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C:\Users\johnsonerik\Desktop\"/>
    </mc:Choice>
  </mc:AlternateContent>
  <xr:revisionPtr revIDLastSave="0" documentId="13_ncr:1_{BC39B7C7-EAFE-4FB0-B411-118695D1C93A}" xr6:coauthVersionLast="47" xr6:coauthVersionMax="47" xr10:uidLastSave="{00000000-0000-0000-0000-000000000000}"/>
  <workbookProtection workbookAlgorithmName="SHA-512" workbookHashValue="p5OPlwBkMXzQiLzXBOLsyMRRQ6/cLWqX6N65vxg1NzBXYyAjIDUjoYVzZk9gWZ3MELAfJflveHmbRVYKS1IQjA==" workbookSaltValue="Dd2+8DJwDOTbdDJ/CZPrJA==" workbookSpinCount="100000" lockStructure="1"/>
  <bookViews>
    <workbookView xWindow="-120" yWindow="-120" windowWidth="29040" windowHeight="15840" activeTab="1" xr2:uid="{9F19C87C-9211-49CC-93C0-EAE981786171}"/>
  </bookViews>
  <sheets>
    <sheet name="Instructions" sheetId="12" r:id="rId1"/>
    <sheet name="Inputs" sheetId="1" r:id="rId2"/>
    <sheet name="Measure Inputs" sheetId="2" r:id="rId3"/>
    <sheet name="Results Summary" sheetId="6" r:id="rId4"/>
    <sheet name="EPlus Comparison" sheetId="13" state="hidden" r:id="rId5"/>
    <sheet name="Envelope Calcs" sheetId="8" state="hidden" r:id="rId6"/>
    <sheet name="Building Profiles" sheetId="4" state="hidden" r:id="rId7"/>
    <sheet name="Picklists" sheetId="3" state="hidden" r:id="rId8"/>
    <sheet name="Weather Data" sheetId="7" state="hidden" r:id="rId9"/>
    <sheet name="Peak_Consump_LF" sheetId="9" state="hidden" r:id="rId10"/>
    <sheet name="Zip Code Lines_1" sheetId="10" state="hidden" r:id="rId11"/>
    <sheet name="DOE prototypical models" sheetId="11" state="hidden" r:id="rId12"/>
  </sheets>
  <definedNames>
    <definedName name="_xlnm._FilterDatabase" localSheetId="10" hidden="1">'Zip Code Lines_1'!$B$1:$G$2156</definedName>
    <definedName name="Bldg_Type">'Weather Data'!$DE$16</definedName>
    <definedName name="CoolingBalance">'Building Profiles'!$B$18</definedName>
    <definedName name="CoolingDesign">'Building Profiles'!$B$20</definedName>
    <definedName name="FloorIns">T_Floor_Ins[[#All],[FloorIns]]</definedName>
    <definedName name="HeatingBalance">'Building Profiles'!$B$17</definedName>
    <definedName name="HeatingDesign">'Building Profiles'!$B$19</definedName>
    <definedName name="WallIns">T_Wall_Ins[[#All],[WallIns]]</definedName>
    <definedName name="WindowType">Picklists!$D$2:$D$6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8" i="6" l="1"/>
  <c r="J7" i="6"/>
  <c r="J6" i="6"/>
  <c r="J5" i="6"/>
  <c r="J4" i="6"/>
  <c r="I8" i="6"/>
  <c r="I7" i="6"/>
  <c r="I6" i="6"/>
  <c r="D16" i="1"/>
  <c r="D15" i="1"/>
  <c r="G11" i="2"/>
  <c r="H11" i="2"/>
  <c r="M11" i="2" a="1"/>
  <c r="M11" i="2" s="1"/>
  <c r="N11" i="2" a="1"/>
  <c r="N11" i="2" s="1"/>
  <c r="V11" i="2"/>
  <c r="W11" i="2"/>
  <c r="X11" i="2"/>
  <c r="Y11" i="2"/>
  <c r="R34" i="13"/>
  <c r="X32" i="13"/>
  <c r="X34" i="13" s="1"/>
  <c r="W32" i="13"/>
  <c r="W34" i="13" s="1"/>
  <c r="V32" i="13"/>
  <c r="V34" i="13" s="1"/>
  <c r="T32" i="13"/>
  <c r="T34" i="13" s="1"/>
  <c r="S32" i="13"/>
  <c r="S34" i="13" s="1"/>
  <c r="R32" i="13"/>
  <c r="P32" i="13"/>
  <c r="P34" i="13" s="1"/>
  <c r="O32" i="13"/>
  <c r="O34" i="13" s="1"/>
  <c r="N32" i="13"/>
  <c r="N34" i="13" s="1"/>
  <c r="M32" i="13"/>
  <c r="M34" i="13" s="1"/>
  <c r="L32" i="13"/>
  <c r="L34" i="13" s="1"/>
  <c r="K32" i="13"/>
  <c r="K34" i="13" s="1"/>
  <c r="J32" i="13"/>
  <c r="J34" i="13" s="1"/>
  <c r="H32" i="13"/>
  <c r="H34" i="13" s="1"/>
  <c r="G32" i="13"/>
  <c r="G34" i="13" s="1"/>
  <c r="F32" i="13"/>
  <c r="F34" i="13" s="1"/>
  <c r="E32" i="13"/>
  <c r="E34" i="13" s="1"/>
  <c r="D32" i="13"/>
  <c r="D34" i="13" s="1"/>
  <c r="C32" i="13"/>
  <c r="C34" i="13" s="1"/>
  <c r="B32" i="13"/>
  <c r="B34" i="13" s="1"/>
  <c r="Y31" i="13"/>
  <c r="Y32" i="13" s="1"/>
  <c r="Y34" i="13" s="1"/>
  <c r="U31" i="13"/>
  <c r="U32" i="13" s="1"/>
  <c r="U34" i="13" s="1"/>
  <c r="Q31" i="13"/>
  <c r="Q32" i="13" s="1"/>
  <c r="Q34" i="13" s="1"/>
  <c r="M31" i="13"/>
  <c r="I31" i="13"/>
  <c r="I32" i="13" s="1"/>
  <c r="I34" i="13" s="1"/>
  <c r="E31" i="13"/>
  <c r="X25" i="13"/>
  <c r="X27" i="13" s="1"/>
  <c r="W25" i="13"/>
  <c r="W27" i="13" s="1"/>
  <c r="V25" i="13"/>
  <c r="V27" i="13" s="1"/>
  <c r="T25" i="13"/>
  <c r="T27" i="13" s="1"/>
  <c r="S25" i="13"/>
  <c r="S27" i="13" s="1"/>
  <c r="R25" i="13"/>
  <c r="R27" i="13" s="1"/>
  <c r="Q25" i="13"/>
  <c r="Q27" i="13" s="1"/>
  <c r="P25" i="13"/>
  <c r="P27" i="13" s="1"/>
  <c r="O25" i="13"/>
  <c r="O27" i="13" s="1"/>
  <c r="N25" i="13"/>
  <c r="N27" i="13" s="1"/>
  <c r="L25" i="13"/>
  <c r="L27" i="13" s="1"/>
  <c r="K25" i="13"/>
  <c r="K27" i="13" s="1"/>
  <c r="J25" i="13"/>
  <c r="J27" i="13" s="1"/>
  <c r="I25" i="13"/>
  <c r="I27" i="13" s="1"/>
  <c r="H25" i="13"/>
  <c r="H27" i="13" s="1"/>
  <c r="G25" i="13"/>
  <c r="G27" i="13" s="1"/>
  <c r="F25" i="13"/>
  <c r="F27" i="13" s="1"/>
  <c r="D25" i="13"/>
  <c r="D27" i="13" s="1"/>
  <c r="C25" i="13"/>
  <c r="C27" i="13" s="1"/>
  <c r="B25" i="13"/>
  <c r="B27" i="13" s="1"/>
  <c r="Y24" i="13"/>
  <c r="Y25" i="13" s="1"/>
  <c r="Y27" i="13" s="1"/>
  <c r="U24" i="13"/>
  <c r="U25" i="13" s="1"/>
  <c r="U27" i="13" s="1"/>
  <c r="Q24" i="13"/>
  <c r="M24" i="13"/>
  <c r="M25" i="13" s="1"/>
  <c r="M27" i="13" s="1"/>
  <c r="I24" i="13"/>
  <c r="E24" i="13"/>
  <c r="E25" i="13" s="1"/>
  <c r="E27" i="13" s="1"/>
  <c r="X18" i="13"/>
  <c r="X20" i="13" s="1"/>
  <c r="W18" i="13"/>
  <c r="W20" i="13" s="1"/>
  <c r="V18" i="13"/>
  <c r="V20" i="13" s="1"/>
  <c r="T18" i="13"/>
  <c r="T20" i="13" s="1"/>
  <c r="S18" i="13"/>
  <c r="S20" i="13" s="1"/>
  <c r="R18" i="13"/>
  <c r="R20" i="13" s="1"/>
  <c r="Q18" i="13"/>
  <c r="Q20" i="13" s="1"/>
  <c r="P18" i="13"/>
  <c r="P20" i="13" s="1"/>
  <c r="O18" i="13"/>
  <c r="O20" i="13" s="1"/>
  <c r="N18" i="13"/>
  <c r="N20" i="13" s="1"/>
  <c r="L18" i="13"/>
  <c r="L20" i="13" s="1"/>
  <c r="K18" i="13"/>
  <c r="K20" i="13" s="1"/>
  <c r="J18" i="13"/>
  <c r="J20" i="13" s="1"/>
  <c r="I18" i="13"/>
  <c r="I20" i="13" s="1"/>
  <c r="H18" i="13"/>
  <c r="H20" i="13" s="1"/>
  <c r="G18" i="13"/>
  <c r="G20" i="13" s="1"/>
  <c r="F18" i="13"/>
  <c r="F20" i="13" s="1"/>
  <c r="D18" i="13"/>
  <c r="D20" i="13" s="1"/>
  <c r="C18" i="13"/>
  <c r="C20" i="13" s="1"/>
  <c r="B18" i="13"/>
  <c r="B20" i="13" s="1"/>
  <c r="Y17" i="13"/>
  <c r="Y18" i="13" s="1"/>
  <c r="Y20" i="13" s="1"/>
  <c r="U17" i="13"/>
  <c r="U18" i="13" s="1"/>
  <c r="U20" i="13" s="1"/>
  <c r="Q17" i="13"/>
  <c r="M17" i="13"/>
  <c r="M18" i="13" s="1"/>
  <c r="M20" i="13" s="1"/>
  <c r="I17" i="13"/>
  <c r="E17" i="13"/>
  <c r="E18" i="13" s="1"/>
  <c r="E20" i="13" s="1"/>
  <c r="X11" i="13"/>
  <c r="X13" i="13" s="1"/>
  <c r="W11" i="13"/>
  <c r="W13" i="13" s="1"/>
  <c r="V11" i="13"/>
  <c r="V13" i="13" s="1"/>
  <c r="T11" i="13"/>
  <c r="T13" i="13" s="1"/>
  <c r="S11" i="13"/>
  <c r="S13" i="13" s="1"/>
  <c r="R11" i="13"/>
  <c r="R13" i="13" s="1"/>
  <c r="P11" i="13"/>
  <c r="P13" i="13" s="1"/>
  <c r="O11" i="13"/>
  <c r="O13" i="13" s="1"/>
  <c r="N11" i="13"/>
  <c r="N13" i="13" s="1"/>
  <c r="L11" i="13"/>
  <c r="L13" i="13" s="1"/>
  <c r="K11" i="13"/>
  <c r="K13" i="13" s="1"/>
  <c r="J11" i="13"/>
  <c r="J13" i="13" s="1"/>
  <c r="H11" i="13"/>
  <c r="H13" i="13" s="1"/>
  <c r="G11" i="13"/>
  <c r="G13" i="13" s="1"/>
  <c r="F11" i="13"/>
  <c r="F13" i="13" s="1"/>
  <c r="D11" i="13"/>
  <c r="D13" i="13" s="1"/>
  <c r="C11" i="13"/>
  <c r="C13" i="13" s="1"/>
  <c r="B11" i="13"/>
  <c r="B13" i="13" s="1"/>
  <c r="Y10" i="13"/>
  <c r="Y11" i="13" s="1"/>
  <c r="Y13" i="13" s="1"/>
  <c r="U10" i="13"/>
  <c r="U11" i="13" s="1"/>
  <c r="U13" i="13" s="1"/>
  <c r="Q10" i="13"/>
  <c r="Q11" i="13" s="1"/>
  <c r="Q13" i="13" s="1"/>
  <c r="M10" i="13"/>
  <c r="M11" i="13" s="1"/>
  <c r="M13" i="13" s="1"/>
  <c r="I10" i="13"/>
  <c r="I11" i="13" s="1"/>
  <c r="I13" i="13" s="1"/>
  <c r="E10" i="13"/>
  <c r="E11" i="13" s="1"/>
  <c r="E13" i="13" s="1"/>
  <c r="X4" i="13"/>
  <c r="X6" i="13" s="1"/>
  <c r="W4" i="13"/>
  <c r="W6" i="13" s="1"/>
  <c r="V4" i="13"/>
  <c r="V6" i="13" s="1"/>
  <c r="U4" i="13"/>
  <c r="U6" i="13" s="1"/>
  <c r="T4" i="13"/>
  <c r="T6" i="13" s="1"/>
  <c r="S4" i="13"/>
  <c r="S6" i="13" s="1"/>
  <c r="R4" i="13"/>
  <c r="R6" i="13" s="1"/>
  <c r="P4" i="13"/>
  <c r="P6" i="13" s="1"/>
  <c r="O4" i="13"/>
  <c r="O6" i="13" s="1"/>
  <c r="N4" i="13"/>
  <c r="N6" i="13" s="1"/>
  <c r="M4" i="13"/>
  <c r="M6" i="13" s="1"/>
  <c r="L4" i="13"/>
  <c r="L6" i="13" s="1"/>
  <c r="K4" i="13"/>
  <c r="K6" i="13" s="1"/>
  <c r="J4" i="13"/>
  <c r="J6" i="13" s="1"/>
  <c r="H4" i="13"/>
  <c r="H6" i="13" s="1"/>
  <c r="G4" i="13"/>
  <c r="G6" i="13" s="1"/>
  <c r="F4" i="13"/>
  <c r="F6" i="13" s="1"/>
  <c r="E4" i="13"/>
  <c r="E6" i="13" s="1"/>
  <c r="D4" i="13"/>
  <c r="D6" i="13" s="1"/>
  <c r="C4" i="13"/>
  <c r="C6" i="13" s="1"/>
  <c r="B4" i="13"/>
  <c r="B6" i="13" s="1"/>
  <c r="Y3" i="13"/>
  <c r="Y4" i="13" s="1"/>
  <c r="Y6" i="13" s="1"/>
  <c r="U3" i="13"/>
  <c r="Q3" i="13"/>
  <c r="Q4" i="13" s="1"/>
  <c r="Q6" i="13" s="1"/>
  <c r="M3" i="13"/>
  <c r="I3" i="13"/>
  <c r="I4" i="13" s="1"/>
  <c r="I6" i="13" s="1"/>
  <c r="E3" i="13"/>
  <c r="H7" i="6"/>
  <c r="H8" i="6"/>
  <c r="G7" i="6"/>
  <c r="G8" i="6"/>
  <c r="L5" i="6"/>
  <c r="L6" i="6"/>
  <c r="L7" i="6"/>
  <c r="L8" i="6"/>
  <c r="L4" i="6"/>
  <c r="E5" i="6"/>
  <c r="E6" i="6"/>
  <c r="E7" i="6"/>
  <c r="E8" i="6"/>
  <c r="D9" i="6"/>
  <c r="C9" i="6"/>
  <c r="D88" i="3"/>
  <c r="G3" i="2"/>
  <c r="G4" i="2"/>
  <c r="G5" i="2"/>
  <c r="G6" i="2"/>
  <c r="G7" i="2"/>
  <c r="G8" i="2"/>
  <c r="G9" i="2"/>
  <c r="G10" i="2"/>
  <c r="G12" i="2"/>
  <c r="B43" i="1"/>
  <c r="B42" i="1"/>
  <c r="B12" i="1"/>
  <c r="F8" i="6" l="1"/>
  <c r="M8" i="6" s="1"/>
  <c r="F7" i="6"/>
  <c r="M7" i="6" s="1"/>
  <c r="K8" i="6"/>
  <c r="K7" i="6"/>
  <c r="N7" i="6"/>
  <c r="N8" i="6"/>
  <c r="H3" i="2"/>
  <c r="H4" i="2"/>
  <c r="H5" i="2"/>
  <c r="H6" i="2"/>
  <c r="H7" i="2"/>
  <c r="H8" i="2"/>
  <c r="H9" i="2"/>
  <c r="H10" i="2"/>
  <c r="H12" i="2"/>
  <c r="N46" i="4"/>
  <c r="M46" i="4"/>
  <c r="L46" i="4"/>
  <c r="K46" i="4"/>
  <c r="J46" i="4"/>
  <c r="I46" i="4"/>
  <c r="H46" i="4"/>
  <c r="G46" i="4"/>
  <c r="D98" i="1" l="1"/>
  <c r="D75" i="1" s="1"/>
  <c r="F98" i="1"/>
  <c r="D76" i="1" s="1"/>
  <c r="E98" i="1"/>
  <c r="C97" i="1"/>
  <c r="B97" i="1"/>
  <c r="D64" i="1"/>
  <c r="R2" i="3"/>
  <c r="C63" i="1"/>
  <c r="C44" i="1"/>
  <c r="Q39" i="8" l="1"/>
  <c r="C77" i="8"/>
  <c r="Q37" i="8"/>
  <c r="C66" i="8"/>
  <c r="C35" i="1"/>
  <c r="N3" i="2" l="1" a="1"/>
  <c r="N3" i="2" s="1"/>
  <c r="N4" i="2" a="1"/>
  <c r="N4" i="2" s="1"/>
  <c r="N5" i="2" a="1"/>
  <c r="N5" i="2" s="1"/>
  <c r="N6" i="2" a="1"/>
  <c r="N6" i="2" s="1"/>
  <c r="N7" i="2" a="1"/>
  <c r="N7" i="2" s="1"/>
  <c r="N8" i="2" a="1"/>
  <c r="N8" i="2" s="1"/>
  <c r="N9" i="2" a="1"/>
  <c r="N9" i="2" s="1"/>
  <c r="N10" i="2" a="1"/>
  <c r="N10" i="2" s="1"/>
  <c r="N12" i="2" a="1"/>
  <c r="N12" i="2" s="1"/>
  <c r="M3" i="2" a="1"/>
  <c r="M3" i="2" s="1"/>
  <c r="M4" i="2" a="1"/>
  <c r="M4" i="2" s="1"/>
  <c r="M5" i="2" a="1"/>
  <c r="M5" i="2" s="1"/>
  <c r="M6" i="2" a="1"/>
  <c r="M6" i="2" s="1"/>
  <c r="M7" i="2" a="1"/>
  <c r="M7" i="2" s="1"/>
  <c r="M8" i="2" a="1"/>
  <c r="M8" i="2" s="1"/>
  <c r="M9" i="2" a="1"/>
  <c r="M9" i="2" s="1"/>
  <c r="M10" i="2" a="1"/>
  <c r="M10" i="2" s="1"/>
  <c r="M12" i="2" a="1"/>
  <c r="M12" i="2" s="1"/>
  <c r="N16" i="11" l="1"/>
  <c r="M16" i="11"/>
  <c r="L16" i="11"/>
  <c r="K16" i="11"/>
  <c r="J16" i="11"/>
  <c r="I16" i="11"/>
  <c r="H16" i="11"/>
  <c r="G16" i="11"/>
  <c r="F16" i="11"/>
  <c r="E16" i="11"/>
  <c r="D16" i="11"/>
  <c r="C16" i="11"/>
  <c r="N15" i="11"/>
  <c r="M15" i="11"/>
  <c r="L15" i="11"/>
  <c r="K15" i="11"/>
  <c r="J15" i="11"/>
  <c r="I15" i="11"/>
  <c r="H15" i="11"/>
  <c r="G15" i="11"/>
  <c r="F15" i="11"/>
  <c r="E15" i="11"/>
  <c r="D15" i="11"/>
  <c r="C15" i="11"/>
  <c r="N14" i="11"/>
  <c r="M14" i="11"/>
  <c r="L14" i="11"/>
  <c r="K14" i="11"/>
  <c r="J14" i="11"/>
  <c r="I14" i="11"/>
  <c r="H14" i="11"/>
  <c r="G14" i="11"/>
  <c r="F14" i="11"/>
  <c r="E14" i="11"/>
  <c r="D14" i="11"/>
  <c r="C14" i="11"/>
  <c r="N12" i="11"/>
  <c r="M12" i="11"/>
  <c r="L12" i="11"/>
  <c r="K12" i="11"/>
  <c r="J12" i="11"/>
  <c r="I12" i="11"/>
  <c r="H12" i="11"/>
  <c r="G12" i="11"/>
  <c r="F12" i="11"/>
  <c r="E12" i="11"/>
  <c r="D12" i="11"/>
  <c r="C12" i="11"/>
  <c r="N11" i="11"/>
  <c r="M11" i="11"/>
  <c r="L11" i="11"/>
  <c r="K11" i="11"/>
  <c r="J11" i="11"/>
  <c r="I11" i="11"/>
  <c r="H11" i="11"/>
  <c r="G11" i="11"/>
  <c r="F11" i="11"/>
  <c r="E11" i="11"/>
  <c r="D11" i="11"/>
  <c r="C11" i="11"/>
  <c r="N10" i="11"/>
  <c r="M10" i="11"/>
  <c r="L10" i="11"/>
  <c r="K10" i="11"/>
  <c r="J10" i="11"/>
  <c r="I10" i="11"/>
  <c r="H10" i="11"/>
  <c r="G10" i="11"/>
  <c r="F10" i="11"/>
  <c r="E10" i="11"/>
  <c r="D10" i="11"/>
  <c r="C10" i="11"/>
  <c r="N9" i="11"/>
  <c r="M9" i="11"/>
  <c r="L9" i="11"/>
  <c r="K9" i="11"/>
  <c r="J9" i="11"/>
  <c r="I9" i="11"/>
  <c r="H9" i="11"/>
  <c r="G9" i="11"/>
  <c r="F9" i="11"/>
  <c r="E9" i="11"/>
  <c r="D9" i="11"/>
  <c r="C9" i="11"/>
  <c r="N7" i="11"/>
  <c r="M7" i="11"/>
  <c r="L7" i="11"/>
  <c r="K7" i="11"/>
  <c r="J7" i="11"/>
  <c r="I7" i="11"/>
  <c r="H7" i="11"/>
  <c r="G7" i="11"/>
  <c r="F7" i="11"/>
  <c r="E7" i="11"/>
  <c r="D7" i="11"/>
  <c r="C7" i="11"/>
  <c r="Y3" i="2" l="1"/>
  <c r="Y4" i="2"/>
  <c r="Y5" i="2"/>
  <c r="Y6" i="2"/>
  <c r="Y7" i="2"/>
  <c r="Y8" i="2"/>
  <c r="Y9" i="2"/>
  <c r="Y10" i="2"/>
  <c r="Y12" i="2"/>
  <c r="X3" i="2" l="1"/>
  <c r="X4" i="2"/>
  <c r="X5" i="2"/>
  <c r="X6" i="2"/>
  <c r="X7" i="2"/>
  <c r="X8" i="2"/>
  <c r="X9" i="2"/>
  <c r="X10" i="2"/>
  <c r="X12" i="2"/>
  <c r="R5" i="3"/>
  <c r="R4" i="3"/>
  <c r="R3" i="3"/>
  <c r="C53" i="1"/>
  <c r="C28" i="1"/>
  <c r="C27" i="1"/>
  <c r="C23" i="1"/>
  <c r="C22" i="1"/>
  <c r="L3" i="3"/>
  <c r="L2" i="3"/>
  <c r="J4" i="3"/>
  <c r="J3" i="3"/>
  <c r="J2" i="3"/>
  <c r="C19" i="1"/>
  <c r="M2" i="10"/>
  <c r="G2156" i="10"/>
  <c r="F2156" i="10"/>
  <c r="E2156" i="10"/>
  <c r="D2156" i="10"/>
  <c r="G2155" i="10"/>
  <c r="F2155" i="10"/>
  <c r="E2155" i="10"/>
  <c r="D2155" i="10"/>
  <c r="G2154" i="10"/>
  <c r="F2154" i="10"/>
  <c r="E2154" i="10"/>
  <c r="D2154" i="10"/>
  <c r="G2153" i="10"/>
  <c r="F2153" i="10"/>
  <c r="E2153" i="10"/>
  <c r="D2153" i="10"/>
  <c r="G2152" i="10"/>
  <c r="F2152" i="10"/>
  <c r="E2152" i="10"/>
  <c r="D2152" i="10"/>
  <c r="G2151" i="10"/>
  <c r="F2151" i="10"/>
  <c r="E2151" i="10"/>
  <c r="D2151" i="10"/>
  <c r="G2150" i="10"/>
  <c r="F2150" i="10"/>
  <c r="E2150" i="10"/>
  <c r="D2150" i="10"/>
  <c r="G2149" i="10"/>
  <c r="F2149" i="10"/>
  <c r="E2149" i="10"/>
  <c r="D2149" i="10"/>
  <c r="G2148" i="10"/>
  <c r="F2148" i="10"/>
  <c r="E2148" i="10"/>
  <c r="D2148" i="10"/>
  <c r="G2147" i="10"/>
  <c r="F2147" i="10"/>
  <c r="E2147" i="10"/>
  <c r="D2147" i="10"/>
  <c r="G2146" i="10"/>
  <c r="F2146" i="10"/>
  <c r="E2146" i="10"/>
  <c r="D2146" i="10"/>
  <c r="G2145" i="10"/>
  <c r="F2145" i="10"/>
  <c r="E2145" i="10"/>
  <c r="D2145" i="10"/>
  <c r="G2144" i="10"/>
  <c r="F2144" i="10"/>
  <c r="E2144" i="10"/>
  <c r="D2144" i="10"/>
  <c r="G2143" i="10"/>
  <c r="F2143" i="10"/>
  <c r="E2143" i="10"/>
  <c r="D2143" i="10"/>
  <c r="G2142" i="10"/>
  <c r="F2142" i="10"/>
  <c r="E2142" i="10"/>
  <c r="D2142" i="10"/>
  <c r="G2141" i="10"/>
  <c r="F2141" i="10"/>
  <c r="E2141" i="10"/>
  <c r="D2141" i="10"/>
  <c r="G2140" i="10"/>
  <c r="F2140" i="10"/>
  <c r="E2140" i="10"/>
  <c r="D2140" i="10"/>
  <c r="G2139" i="10"/>
  <c r="F2139" i="10"/>
  <c r="E2139" i="10"/>
  <c r="D2139" i="10"/>
  <c r="G2138" i="10"/>
  <c r="F2138" i="10"/>
  <c r="E2138" i="10"/>
  <c r="D2138" i="10"/>
  <c r="G2137" i="10"/>
  <c r="F2137" i="10"/>
  <c r="E2137" i="10"/>
  <c r="D2137" i="10"/>
  <c r="G2136" i="10"/>
  <c r="F2136" i="10"/>
  <c r="E2136" i="10"/>
  <c r="D2136" i="10"/>
  <c r="G2135" i="10"/>
  <c r="F2135" i="10"/>
  <c r="E2135" i="10"/>
  <c r="D2135" i="10"/>
  <c r="G2134" i="10"/>
  <c r="F2134" i="10"/>
  <c r="E2134" i="10"/>
  <c r="D2134" i="10"/>
  <c r="G2133" i="10"/>
  <c r="F2133" i="10"/>
  <c r="E2133" i="10"/>
  <c r="D2133" i="10"/>
  <c r="G2132" i="10"/>
  <c r="F2132" i="10"/>
  <c r="E2132" i="10"/>
  <c r="D2132" i="10"/>
  <c r="G2131" i="10"/>
  <c r="F2131" i="10"/>
  <c r="E2131" i="10"/>
  <c r="D2131" i="10"/>
  <c r="G2130" i="10"/>
  <c r="F2130" i="10"/>
  <c r="E2130" i="10"/>
  <c r="D2130" i="10"/>
  <c r="G2129" i="10"/>
  <c r="F2129" i="10"/>
  <c r="E2129" i="10"/>
  <c r="D2129" i="10"/>
  <c r="G2128" i="10"/>
  <c r="F2128" i="10"/>
  <c r="E2128" i="10"/>
  <c r="D2128" i="10"/>
  <c r="G2127" i="10"/>
  <c r="F2127" i="10"/>
  <c r="E2127" i="10"/>
  <c r="D2127" i="10"/>
  <c r="G2126" i="10"/>
  <c r="F2126" i="10"/>
  <c r="E2126" i="10"/>
  <c r="D2126" i="10"/>
  <c r="G2125" i="10"/>
  <c r="F2125" i="10"/>
  <c r="E2125" i="10"/>
  <c r="D2125" i="10"/>
  <c r="G2124" i="10"/>
  <c r="F2124" i="10"/>
  <c r="E2124" i="10"/>
  <c r="D2124" i="10"/>
  <c r="G2123" i="10"/>
  <c r="F2123" i="10"/>
  <c r="E2123" i="10"/>
  <c r="D2123" i="10"/>
  <c r="G2122" i="10"/>
  <c r="F2122" i="10"/>
  <c r="E2122" i="10"/>
  <c r="D2122" i="10"/>
  <c r="G2121" i="10"/>
  <c r="F2121" i="10"/>
  <c r="E2121" i="10"/>
  <c r="D2121" i="10"/>
  <c r="G2120" i="10"/>
  <c r="F2120" i="10"/>
  <c r="E2120" i="10"/>
  <c r="D2120" i="10"/>
  <c r="G2119" i="10"/>
  <c r="F2119" i="10"/>
  <c r="E2119" i="10"/>
  <c r="D2119" i="10"/>
  <c r="G2118" i="10"/>
  <c r="F2118" i="10"/>
  <c r="E2118" i="10"/>
  <c r="D2118" i="10"/>
  <c r="G2117" i="10"/>
  <c r="F2117" i="10"/>
  <c r="E2117" i="10"/>
  <c r="D2117" i="10"/>
  <c r="G2116" i="10"/>
  <c r="F2116" i="10"/>
  <c r="E2116" i="10"/>
  <c r="D2116" i="10"/>
  <c r="G2115" i="10"/>
  <c r="F2115" i="10"/>
  <c r="E2115" i="10"/>
  <c r="D2115" i="10"/>
  <c r="G2114" i="10"/>
  <c r="F2114" i="10"/>
  <c r="E2114" i="10"/>
  <c r="D2114" i="10"/>
  <c r="G2113" i="10"/>
  <c r="F2113" i="10"/>
  <c r="E2113" i="10"/>
  <c r="D2113" i="10"/>
  <c r="G2112" i="10"/>
  <c r="F2112" i="10"/>
  <c r="E2112" i="10"/>
  <c r="D2112" i="10"/>
  <c r="G2111" i="10"/>
  <c r="F2111" i="10"/>
  <c r="E2111" i="10"/>
  <c r="D2111" i="10"/>
  <c r="G2110" i="10"/>
  <c r="F2110" i="10"/>
  <c r="E2110" i="10"/>
  <c r="D2110" i="10"/>
  <c r="G2109" i="10"/>
  <c r="F2109" i="10"/>
  <c r="E2109" i="10"/>
  <c r="D2109" i="10"/>
  <c r="G2108" i="10"/>
  <c r="F2108" i="10"/>
  <c r="E2108" i="10"/>
  <c r="D2108" i="10"/>
  <c r="G2107" i="10"/>
  <c r="F2107" i="10"/>
  <c r="E2107" i="10"/>
  <c r="D2107" i="10"/>
  <c r="G2106" i="10"/>
  <c r="F2106" i="10"/>
  <c r="E2106" i="10"/>
  <c r="D2106" i="10"/>
  <c r="G2105" i="10"/>
  <c r="F2105" i="10"/>
  <c r="E2105" i="10"/>
  <c r="D2105" i="10"/>
  <c r="G2104" i="10"/>
  <c r="F2104" i="10"/>
  <c r="E2104" i="10"/>
  <c r="D2104" i="10"/>
  <c r="G2103" i="10"/>
  <c r="F2103" i="10"/>
  <c r="E2103" i="10"/>
  <c r="D2103" i="10"/>
  <c r="G2102" i="10"/>
  <c r="F2102" i="10"/>
  <c r="E2102" i="10"/>
  <c r="D2102" i="10"/>
  <c r="G2101" i="10"/>
  <c r="F2101" i="10"/>
  <c r="E2101" i="10"/>
  <c r="D2101" i="10"/>
  <c r="G2100" i="10"/>
  <c r="F2100" i="10"/>
  <c r="E2100" i="10"/>
  <c r="D2100" i="10"/>
  <c r="G2099" i="10"/>
  <c r="F2099" i="10"/>
  <c r="E2099" i="10"/>
  <c r="D2099" i="10"/>
  <c r="G2098" i="10"/>
  <c r="F2098" i="10"/>
  <c r="E2098" i="10"/>
  <c r="D2098" i="10"/>
  <c r="G2097" i="10"/>
  <c r="F2097" i="10"/>
  <c r="E2097" i="10"/>
  <c r="D2097" i="10"/>
  <c r="G2096" i="10"/>
  <c r="F2096" i="10"/>
  <c r="E2096" i="10"/>
  <c r="D2096" i="10"/>
  <c r="G2095" i="10"/>
  <c r="F2095" i="10"/>
  <c r="E2095" i="10"/>
  <c r="D2095" i="10"/>
  <c r="G2094" i="10"/>
  <c r="F2094" i="10"/>
  <c r="E2094" i="10"/>
  <c r="D2094" i="10"/>
  <c r="G2093" i="10"/>
  <c r="F2093" i="10"/>
  <c r="E2093" i="10"/>
  <c r="D2093" i="10"/>
  <c r="G2092" i="10"/>
  <c r="F2092" i="10"/>
  <c r="E2092" i="10"/>
  <c r="D2092" i="10"/>
  <c r="G2091" i="10"/>
  <c r="F2091" i="10"/>
  <c r="E2091" i="10"/>
  <c r="D2091" i="10"/>
  <c r="G2090" i="10"/>
  <c r="F2090" i="10"/>
  <c r="E2090" i="10"/>
  <c r="D2090" i="10"/>
  <c r="G2089" i="10"/>
  <c r="F2089" i="10"/>
  <c r="E2089" i="10"/>
  <c r="D2089" i="10"/>
  <c r="G2088" i="10"/>
  <c r="F2088" i="10"/>
  <c r="E2088" i="10"/>
  <c r="D2088" i="10"/>
  <c r="G2087" i="10"/>
  <c r="F2087" i="10"/>
  <c r="E2087" i="10"/>
  <c r="D2087" i="10"/>
  <c r="G2086" i="10"/>
  <c r="F2086" i="10"/>
  <c r="E2086" i="10"/>
  <c r="D2086" i="10"/>
  <c r="G2085" i="10"/>
  <c r="F2085" i="10"/>
  <c r="E2085" i="10"/>
  <c r="D2085" i="10"/>
  <c r="G2084" i="10"/>
  <c r="F2084" i="10"/>
  <c r="E2084" i="10"/>
  <c r="D2084" i="10"/>
  <c r="G2083" i="10"/>
  <c r="F2083" i="10"/>
  <c r="E2083" i="10"/>
  <c r="D2083" i="10"/>
  <c r="G2082" i="10"/>
  <c r="F2082" i="10"/>
  <c r="E2082" i="10"/>
  <c r="D2082" i="10"/>
  <c r="G2081" i="10"/>
  <c r="F2081" i="10"/>
  <c r="E2081" i="10"/>
  <c r="D2081" i="10"/>
  <c r="G2080" i="10"/>
  <c r="F2080" i="10"/>
  <c r="E2080" i="10"/>
  <c r="D2080" i="10"/>
  <c r="G2079" i="10"/>
  <c r="F2079" i="10"/>
  <c r="E2079" i="10"/>
  <c r="D2079" i="10"/>
  <c r="G2078" i="10"/>
  <c r="F2078" i="10"/>
  <c r="E2078" i="10"/>
  <c r="D2078" i="10"/>
  <c r="G2077" i="10"/>
  <c r="F2077" i="10"/>
  <c r="E2077" i="10"/>
  <c r="D2077" i="10"/>
  <c r="G2076" i="10"/>
  <c r="F2076" i="10"/>
  <c r="E2076" i="10"/>
  <c r="D2076" i="10"/>
  <c r="G2075" i="10"/>
  <c r="F2075" i="10"/>
  <c r="E2075" i="10"/>
  <c r="D2075" i="10"/>
  <c r="G2074" i="10"/>
  <c r="F2074" i="10"/>
  <c r="E2074" i="10"/>
  <c r="D2074" i="10"/>
  <c r="G2073" i="10"/>
  <c r="F2073" i="10"/>
  <c r="E2073" i="10"/>
  <c r="D2073" i="10"/>
  <c r="G2072" i="10"/>
  <c r="F2072" i="10"/>
  <c r="E2072" i="10"/>
  <c r="D2072" i="10"/>
  <c r="G2071" i="10"/>
  <c r="F2071" i="10"/>
  <c r="E2071" i="10"/>
  <c r="D2071" i="10"/>
  <c r="G2070" i="10"/>
  <c r="F2070" i="10"/>
  <c r="E2070" i="10"/>
  <c r="D2070" i="10"/>
  <c r="G2069" i="10"/>
  <c r="F2069" i="10"/>
  <c r="E2069" i="10"/>
  <c r="D2069" i="10"/>
  <c r="G2068" i="10"/>
  <c r="F2068" i="10"/>
  <c r="E2068" i="10"/>
  <c r="D2068" i="10"/>
  <c r="G2067" i="10"/>
  <c r="F2067" i="10"/>
  <c r="E2067" i="10"/>
  <c r="D2067" i="10"/>
  <c r="G2066" i="10"/>
  <c r="F2066" i="10"/>
  <c r="E2066" i="10"/>
  <c r="D2066" i="10"/>
  <c r="G2065" i="10"/>
  <c r="F2065" i="10"/>
  <c r="E2065" i="10"/>
  <c r="D2065" i="10"/>
  <c r="G2064" i="10"/>
  <c r="F2064" i="10"/>
  <c r="E2064" i="10"/>
  <c r="D2064" i="10"/>
  <c r="G2063" i="10"/>
  <c r="F2063" i="10"/>
  <c r="E2063" i="10"/>
  <c r="D2063" i="10"/>
  <c r="G2062" i="10"/>
  <c r="F2062" i="10"/>
  <c r="E2062" i="10"/>
  <c r="D2062" i="10"/>
  <c r="G2061" i="10"/>
  <c r="F2061" i="10"/>
  <c r="E2061" i="10"/>
  <c r="D2061" i="10"/>
  <c r="G2060" i="10"/>
  <c r="F2060" i="10"/>
  <c r="E2060" i="10"/>
  <c r="D2060" i="10"/>
  <c r="G2059" i="10"/>
  <c r="F2059" i="10"/>
  <c r="E2059" i="10"/>
  <c r="D2059" i="10"/>
  <c r="G2058" i="10"/>
  <c r="F2058" i="10"/>
  <c r="E2058" i="10"/>
  <c r="D2058" i="10"/>
  <c r="G2057" i="10"/>
  <c r="F2057" i="10"/>
  <c r="E2057" i="10"/>
  <c r="D2057" i="10"/>
  <c r="G2056" i="10"/>
  <c r="F2056" i="10"/>
  <c r="E2056" i="10"/>
  <c r="D2056" i="10"/>
  <c r="G2055" i="10"/>
  <c r="F2055" i="10"/>
  <c r="E2055" i="10"/>
  <c r="D2055" i="10"/>
  <c r="G2054" i="10"/>
  <c r="F2054" i="10"/>
  <c r="E2054" i="10"/>
  <c r="D2054" i="10"/>
  <c r="G2053" i="10"/>
  <c r="F2053" i="10"/>
  <c r="E2053" i="10"/>
  <c r="D2053" i="10"/>
  <c r="G2052" i="10"/>
  <c r="F2052" i="10"/>
  <c r="E2052" i="10"/>
  <c r="D2052" i="10"/>
  <c r="G2051" i="10"/>
  <c r="F2051" i="10"/>
  <c r="E2051" i="10"/>
  <c r="D2051" i="10"/>
  <c r="G2050" i="10"/>
  <c r="F2050" i="10"/>
  <c r="E2050" i="10"/>
  <c r="D2050" i="10"/>
  <c r="G2049" i="10"/>
  <c r="F2049" i="10"/>
  <c r="E2049" i="10"/>
  <c r="D2049" i="10"/>
  <c r="G2048" i="10"/>
  <c r="F2048" i="10"/>
  <c r="E2048" i="10"/>
  <c r="D2048" i="10"/>
  <c r="G2047" i="10"/>
  <c r="F2047" i="10"/>
  <c r="E2047" i="10"/>
  <c r="D2047" i="10"/>
  <c r="G2046" i="10"/>
  <c r="F2046" i="10"/>
  <c r="E2046" i="10"/>
  <c r="D2046" i="10"/>
  <c r="G2045" i="10"/>
  <c r="F2045" i="10"/>
  <c r="E2045" i="10"/>
  <c r="D2045" i="10"/>
  <c r="G2044" i="10"/>
  <c r="F2044" i="10"/>
  <c r="E2044" i="10"/>
  <c r="D2044" i="10"/>
  <c r="G2043" i="10"/>
  <c r="F2043" i="10"/>
  <c r="E2043" i="10"/>
  <c r="D2043" i="10"/>
  <c r="G2042" i="10"/>
  <c r="F2042" i="10"/>
  <c r="E2042" i="10"/>
  <c r="D2042" i="10"/>
  <c r="G2041" i="10"/>
  <c r="F2041" i="10"/>
  <c r="E2041" i="10"/>
  <c r="D2041" i="10"/>
  <c r="G2040" i="10"/>
  <c r="F2040" i="10"/>
  <c r="E2040" i="10"/>
  <c r="D2040" i="10"/>
  <c r="G2039" i="10"/>
  <c r="F2039" i="10"/>
  <c r="E2039" i="10"/>
  <c r="D2039" i="10"/>
  <c r="G2038" i="10"/>
  <c r="F2038" i="10"/>
  <c r="E2038" i="10"/>
  <c r="D2038" i="10"/>
  <c r="G2037" i="10"/>
  <c r="F2037" i="10"/>
  <c r="E2037" i="10"/>
  <c r="D2037" i="10"/>
  <c r="G2036" i="10"/>
  <c r="F2036" i="10"/>
  <c r="E2036" i="10"/>
  <c r="D2036" i="10"/>
  <c r="G2035" i="10"/>
  <c r="F2035" i="10"/>
  <c r="E2035" i="10"/>
  <c r="D2035" i="10"/>
  <c r="G2034" i="10"/>
  <c r="F2034" i="10"/>
  <c r="E2034" i="10"/>
  <c r="D2034" i="10"/>
  <c r="G2033" i="10"/>
  <c r="F2033" i="10"/>
  <c r="E2033" i="10"/>
  <c r="D2033" i="10"/>
  <c r="G2032" i="10"/>
  <c r="F2032" i="10"/>
  <c r="E2032" i="10"/>
  <c r="D2032" i="10"/>
  <c r="G2031" i="10"/>
  <c r="F2031" i="10"/>
  <c r="E2031" i="10"/>
  <c r="D2031" i="10"/>
  <c r="G2030" i="10"/>
  <c r="F2030" i="10"/>
  <c r="E2030" i="10"/>
  <c r="D2030" i="10"/>
  <c r="G2029" i="10"/>
  <c r="F2029" i="10"/>
  <c r="E2029" i="10"/>
  <c r="D2029" i="10"/>
  <c r="G2028" i="10"/>
  <c r="F2028" i="10"/>
  <c r="E2028" i="10"/>
  <c r="D2028" i="10"/>
  <c r="G2027" i="10"/>
  <c r="F2027" i="10"/>
  <c r="E2027" i="10"/>
  <c r="D2027" i="10"/>
  <c r="G2026" i="10"/>
  <c r="F2026" i="10"/>
  <c r="E2026" i="10"/>
  <c r="D2026" i="10"/>
  <c r="G2025" i="10"/>
  <c r="F2025" i="10"/>
  <c r="E2025" i="10"/>
  <c r="D2025" i="10"/>
  <c r="G2024" i="10"/>
  <c r="F2024" i="10"/>
  <c r="E2024" i="10"/>
  <c r="D2024" i="10"/>
  <c r="G2023" i="10"/>
  <c r="F2023" i="10"/>
  <c r="E2023" i="10"/>
  <c r="D2023" i="10"/>
  <c r="G2022" i="10"/>
  <c r="F2022" i="10"/>
  <c r="E2022" i="10"/>
  <c r="D2022" i="10"/>
  <c r="G2021" i="10"/>
  <c r="F2021" i="10"/>
  <c r="E2021" i="10"/>
  <c r="D2021" i="10"/>
  <c r="G2020" i="10"/>
  <c r="F2020" i="10"/>
  <c r="E2020" i="10"/>
  <c r="D2020" i="10"/>
  <c r="G2019" i="10"/>
  <c r="F2019" i="10"/>
  <c r="E2019" i="10"/>
  <c r="D2019" i="10"/>
  <c r="G2018" i="10"/>
  <c r="F2018" i="10"/>
  <c r="E2018" i="10"/>
  <c r="D2018" i="10"/>
  <c r="G2017" i="10"/>
  <c r="F2017" i="10"/>
  <c r="E2017" i="10"/>
  <c r="D2017" i="10"/>
  <c r="G2016" i="10"/>
  <c r="F2016" i="10"/>
  <c r="E2016" i="10"/>
  <c r="D2016" i="10"/>
  <c r="G2015" i="10"/>
  <c r="F2015" i="10"/>
  <c r="E2015" i="10"/>
  <c r="D2015" i="10"/>
  <c r="G2014" i="10"/>
  <c r="F2014" i="10"/>
  <c r="E2014" i="10"/>
  <c r="D2014" i="10"/>
  <c r="G2013" i="10"/>
  <c r="F2013" i="10"/>
  <c r="E2013" i="10"/>
  <c r="D2013" i="10"/>
  <c r="G2012" i="10"/>
  <c r="F2012" i="10"/>
  <c r="E2012" i="10"/>
  <c r="D2012" i="10"/>
  <c r="G2011" i="10"/>
  <c r="F2011" i="10"/>
  <c r="E2011" i="10"/>
  <c r="D2011" i="10"/>
  <c r="G2010" i="10"/>
  <c r="F2010" i="10"/>
  <c r="E2010" i="10"/>
  <c r="D2010" i="10"/>
  <c r="G2009" i="10"/>
  <c r="F2009" i="10"/>
  <c r="E2009" i="10"/>
  <c r="D2009" i="10"/>
  <c r="G2008" i="10"/>
  <c r="F2008" i="10"/>
  <c r="E2008" i="10"/>
  <c r="D2008" i="10"/>
  <c r="G2007" i="10"/>
  <c r="F2007" i="10"/>
  <c r="E2007" i="10"/>
  <c r="D2007" i="10"/>
  <c r="G2006" i="10"/>
  <c r="F2006" i="10"/>
  <c r="E2006" i="10"/>
  <c r="D2006" i="10"/>
  <c r="G2005" i="10"/>
  <c r="F2005" i="10"/>
  <c r="E2005" i="10"/>
  <c r="D2005" i="10"/>
  <c r="G2004" i="10"/>
  <c r="F2004" i="10"/>
  <c r="E2004" i="10"/>
  <c r="D2004" i="10"/>
  <c r="G2003" i="10"/>
  <c r="F2003" i="10"/>
  <c r="E2003" i="10"/>
  <c r="D2003" i="10"/>
  <c r="G2002" i="10"/>
  <c r="F2002" i="10"/>
  <c r="E2002" i="10"/>
  <c r="D2002" i="10"/>
  <c r="G2001" i="10"/>
  <c r="F2001" i="10"/>
  <c r="E2001" i="10"/>
  <c r="D2001" i="10"/>
  <c r="G2000" i="10"/>
  <c r="F2000" i="10"/>
  <c r="E2000" i="10"/>
  <c r="D2000" i="10"/>
  <c r="G1999" i="10"/>
  <c r="F1999" i="10"/>
  <c r="E1999" i="10"/>
  <c r="D1999" i="10"/>
  <c r="G1998" i="10"/>
  <c r="F1998" i="10"/>
  <c r="E1998" i="10"/>
  <c r="D1998" i="10"/>
  <c r="G1997" i="10"/>
  <c r="F1997" i="10"/>
  <c r="E1997" i="10"/>
  <c r="D1997" i="10"/>
  <c r="G1996" i="10"/>
  <c r="F1996" i="10"/>
  <c r="E1996" i="10"/>
  <c r="D1996" i="10"/>
  <c r="G1995" i="10"/>
  <c r="F1995" i="10"/>
  <c r="E1995" i="10"/>
  <c r="D1995" i="10"/>
  <c r="G1994" i="10"/>
  <c r="F1994" i="10"/>
  <c r="E1994" i="10"/>
  <c r="D1994" i="10"/>
  <c r="G1993" i="10"/>
  <c r="F1993" i="10"/>
  <c r="E1993" i="10"/>
  <c r="D1993" i="10"/>
  <c r="G1992" i="10"/>
  <c r="F1992" i="10"/>
  <c r="E1992" i="10"/>
  <c r="D1992" i="10"/>
  <c r="G1991" i="10"/>
  <c r="F1991" i="10"/>
  <c r="E1991" i="10"/>
  <c r="D1991" i="10"/>
  <c r="G1990" i="10"/>
  <c r="F1990" i="10"/>
  <c r="E1990" i="10"/>
  <c r="D1990" i="10"/>
  <c r="G1989" i="10"/>
  <c r="F1989" i="10"/>
  <c r="E1989" i="10"/>
  <c r="D1989" i="10"/>
  <c r="G1988" i="10"/>
  <c r="F1988" i="10"/>
  <c r="E1988" i="10"/>
  <c r="D1988" i="10"/>
  <c r="G1987" i="10"/>
  <c r="F1987" i="10"/>
  <c r="E1987" i="10"/>
  <c r="D1987" i="10"/>
  <c r="G1986" i="10"/>
  <c r="F1986" i="10"/>
  <c r="E1986" i="10"/>
  <c r="D1986" i="10"/>
  <c r="G1985" i="10"/>
  <c r="F1985" i="10"/>
  <c r="E1985" i="10"/>
  <c r="D1985" i="10"/>
  <c r="G1984" i="10"/>
  <c r="F1984" i="10"/>
  <c r="E1984" i="10"/>
  <c r="D1984" i="10"/>
  <c r="G1983" i="10"/>
  <c r="F1983" i="10"/>
  <c r="E1983" i="10"/>
  <c r="D1983" i="10"/>
  <c r="G1982" i="10"/>
  <c r="F1982" i="10"/>
  <c r="E1982" i="10"/>
  <c r="D1982" i="10"/>
  <c r="G1981" i="10"/>
  <c r="F1981" i="10"/>
  <c r="E1981" i="10"/>
  <c r="D1981" i="10"/>
  <c r="G1980" i="10"/>
  <c r="F1980" i="10"/>
  <c r="E1980" i="10"/>
  <c r="D1980" i="10"/>
  <c r="G1979" i="10"/>
  <c r="F1979" i="10"/>
  <c r="E1979" i="10"/>
  <c r="D1979" i="10"/>
  <c r="G1978" i="10"/>
  <c r="F1978" i="10"/>
  <c r="E1978" i="10"/>
  <c r="D1978" i="10"/>
  <c r="G1977" i="10"/>
  <c r="F1977" i="10"/>
  <c r="E1977" i="10"/>
  <c r="D1977" i="10"/>
  <c r="G1976" i="10"/>
  <c r="F1976" i="10"/>
  <c r="E1976" i="10"/>
  <c r="D1976" i="10"/>
  <c r="G1975" i="10"/>
  <c r="F1975" i="10"/>
  <c r="E1975" i="10"/>
  <c r="D1975" i="10"/>
  <c r="G1974" i="10"/>
  <c r="F1974" i="10"/>
  <c r="E1974" i="10"/>
  <c r="D1974" i="10"/>
  <c r="G1973" i="10"/>
  <c r="F1973" i="10"/>
  <c r="E1973" i="10"/>
  <c r="D1973" i="10"/>
  <c r="G1972" i="10"/>
  <c r="F1972" i="10"/>
  <c r="E1972" i="10"/>
  <c r="D1972" i="10"/>
  <c r="G1971" i="10"/>
  <c r="F1971" i="10"/>
  <c r="E1971" i="10"/>
  <c r="D1971" i="10"/>
  <c r="G1970" i="10"/>
  <c r="F1970" i="10"/>
  <c r="E1970" i="10"/>
  <c r="D1970" i="10"/>
  <c r="G1969" i="10"/>
  <c r="F1969" i="10"/>
  <c r="E1969" i="10"/>
  <c r="D1969" i="10"/>
  <c r="G1968" i="10"/>
  <c r="F1968" i="10"/>
  <c r="E1968" i="10"/>
  <c r="D1968" i="10"/>
  <c r="G1967" i="10"/>
  <c r="F1967" i="10"/>
  <c r="E1967" i="10"/>
  <c r="D1967" i="10"/>
  <c r="G1966" i="10"/>
  <c r="F1966" i="10"/>
  <c r="E1966" i="10"/>
  <c r="D1966" i="10"/>
  <c r="G1965" i="10"/>
  <c r="F1965" i="10"/>
  <c r="E1965" i="10"/>
  <c r="D1965" i="10"/>
  <c r="G1964" i="10"/>
  <c r="F1964" i="10"/>
  <c r="E1964" i="10"/>
  <c r="D1964" i="10"/>
  <c r="G1963" i="10"/>
  <c r="F1963" i="10"/>
  <c r="E1963" i="10"/>
  <c r="D1963" i="10"/>
  <c r="G1962" i="10"/>
  <c r="F1962" i="10"/>
  <c r="E1962" i="10"/>
  <c r="D1962" i="10"/>
  <c r="G1961" i="10"/>
  <c r="F1961" i="10"/>
  <c r="E1961" i="10"/>
  <c r="D1961" i="10"/>
  <c r="G1960" i="10"/>
  <c r="F1960" i="10"/>
  <c r="E1960" i="10"/>
  <c r="D1960" i="10"/>
  <c r="G1959" i="10"/>
  <c r="F1959" i="10"/>
  <c r="E1959" i="10"/>
  <c r="D1959" i="10"/>
  <c r="G1958" i="10"/>
  <c r="F1958" i="10"/>
  <c r="E1958" i="10"/>
  <c r="D1958" i="10"/>
  <c r="G1957" i="10"/>
  <c r="F1957" i="10"/>
  <c r="E1957" i="10"/>
  <c r="D1957" i="10"/>
  <c r="G1956" i="10"/>
  <c r="F1956" i="10"/>
  <c r="E1956" i="10"/>
  <c r="D1956" i="10"/>
  <c r="G1955" i="10"/>
  <c r="F1955" i="10"/>
  <c r="E1955" i="10"/>
  <c r="D1955" i="10"/>
  <c r="G1954" i="10"/>
  <c r="F1954" i="10"/>
  <c r="E1954" i="10"/>
  <c r="D1954" i="10"/>
  <c r="G1953" i="10"/>
  <c r="F1953" i="10"/>
  <c r="E1953" i="10"/>
  <c r="D1953" i="10"/>
  <c r="G1952" i="10"/>
  <c r="F1952" i="10"/>
  <c r="E1952" i="10"/>
  <c r="D1952" i="10"/>
  <c r="G1951" i="10"/>
  <c r="F1951" i="10"/>
  <c r="E1951" i="10"/>
  <c r="D1951" i="10"/>
  <c r="G1950" i="10"/>
  <c r="F1950" i="10"/>
  <c r="E1950" i="10"/>
  <c r="D1950" i="10"/>
  <c r="G1949" i="10"/>
  <c r="F1949" i="10"/>
  <c r="E1949" i="10"/>
  <c r="D1949" i="10"/>
  <c r="G1948" i="10"/>
  <c r="F1948" i="10"/>
  <c r="E1948" i="10"/>
  <c r="D1948" i="10"/>
  <c r="G1947" i="10"/>
  <c r="F1947" i="10"/>
  <c r="E1947" i="10"/>
  <c r="D1947" i="10"/>
  <c r="G1946" i="10"/>
  <c r="F1946" i="10"/>
  <c r="E1946" i="10"/>
  <c r="D1946" i="10"/>
  <c r="G1945" i="10"/>
  <c r="F1945" i="10"/>
  <c r="E1945" i="10"/>
  <c r="D1945" i="10"/>
  <c r="G1944" i="10"/>
  <c r="F1944" i="10"/>
  <c r="E1944" i="10"/>
  <c r="D1944" i="10"/>
  <c r="G1943" i="10"/>
  <c r="F1943" i="10"/>
  <c r="E1943" i="10"/>
  <c r="D1943" i="10"/>
  <c r="G1942" i="10"/>
  <c r="F1942" i="10"/>
  <c r="E1942" i="10"/>
  <c r="D1942" i="10"/>
  <c r="G1941" i="10"/>
  <c r="F1941" i="10"/>
  <c r="E1941" i="10"/>
  <c r="D1941" i="10"/>
  <c r="G1940" i="10"/>
  <c r="F1940" i="10"/>
  <c r="E1940" i="10"/>
  <c r="D1940" i="10"/>
  <c r="G1939" i="10"/>
  <c r="F1939" i="10"/>
  <c r="E1939" i="10"/>
  <c r="D1939" i="10"/>
  <c r="G1938" i="10"/>
  <c r="F1938" i="10"/>
  <c r="E1938" i="10"/>
  <c r="D1938" i="10"/>
  <c r="G1937" i="10"/>
  <c r="F1937" i="10"/>
  <c r="E1937" i="10"/>
  <c r="D1937" i="10"/>
  <c r="G1936" i="10"/>
  <c r="F1936" i="10"/>
  <c r="E1936" i="10"/>
  <c r="D1936" i="10"/>
  <c r="G1935" i="10"/>
  <c r="F1935" i="10"/>
  <c r="E1935" i="10"/>
  <c r="D1935" i="10"/>
  <c r="G1934" i="10"/>
  <c r="F1934" i="10"/>
  <c r="E1934" i="10"/>
  <c r="D1934" i="10"/>
  <c r="G1933" i="10"/>
  <c r="F1933" i="10"/>
  <c r="E1933" i="10"/>
  <c r="D1933" i="10"/>
  <c r="G1932" i="10"/>
  <c r="F1932" i="10"/>
  <c r="E1932" i="10"/>
  <c r="D1932" i="10"/>
  <c r="G1931" i="10"/>
  <c r="F1931" i="10"/>
  <c r="E1931" i="10"/>
  <c r="D1931" i="10"/>
  <c r="G1930" i="10"/>
  <c r="F1930" i="10"/>
  <c r="E1930" i="10"/>
  <c r="D1930" i="10"/>
  <c r="G1929" i="10"/>
  <c r="F1929" i="10"/>
  <c r="E1929" i="10"/>
  <c r="D1929" i="10"/>
  <c r="G1928" i="10"/>
  <c r="F1928" i="10"/>
  <c r="E1928" i="10"/>
  <c r="D1928" i="10"/>
  <c r="G1927" i="10"/>
  <c r="F1927" i="10"/>
  <c r="E1927" i="10"/>
  <c r="D1927" i="10"/>
  <c r="G1926" i="10"/>
  <c r="F1926" i="10"/>
  <c r="E1926" i="10"/>
  <c r="D1926" i="10"/>
  <c r="G1925" i="10"/>
  <c r="F1925" i="10"/>
  <c r="E1925" i="10"/>
  <c r="D1925" i="10"/>
  <c r="G1924" i="10"/>
  <c r="F1924" i="10"/>
  <c r="E1924" i="10"/>
  <c r="D1924" i="10"/>
  <c r="G1923" i="10"/>
  <c r="F1923" i="10"/>
  <c r="E1923" i="10"/>
  <c r="D1923" i="10"/>
  <c r="G1922" i="10"/>
  <c r="F1922" i="10"/>
  <c r="E1922" i="10"/>
  <c r="D1922" i="10"/>
  <c r="G1921" i="10"/>
  <c r="F1921" i="10"/>
  <c r="E1921" i="10"/>
  <c r="D1921" i="10"/>
  <c r="G1920" i="10"/>
  <c r="F1920" i="10"/>
  <c r="E1920" i="10"/>
  <c r="D1920" i="10"/>
  <c r="G1919" i="10"/>
  <c r="F1919" i="10"/>
  <c r="E1919" i="10"/>
  <c r="D1919" i="10"/>
  <c r="G1918" i="10"/>
  <c r="F1918" i="10"/>
  <c r="E1918" i="10"/>
  <c r="D1918" i="10"/>
  <c r="G1917" i="10"/>
  <c r="F1917" i="10"/>
  <c r="E1917" i="10"/>
  <c r="D1917" i="10"/>
  <c r="G1916" i="10"/>
  <c r="F1916" i="10"/>
  <c r="E1916" i="10"/>
  <c r="D1916" i="10"/>
  <c r="G1915" i="10"/>
  <c r="F1915" i="10"/>
  <c r="E1915" i="10"/>
  <c r="D1915" i="10"/>
  <c r="G1914" i="10"/>
  <c r="F1914" i="10"/>
  <c r="E1914" i="10"/>
  <c r="D1914" i="10"/>
  <c r="G1913" i="10"/>
  <c r="F1913" i="10"/>
  <c r="E1913" i="10"/>
  <c r="D1913" i="10"/>
  <c r="G1912" i="10"/>
  <c r="F1912" i="10"/>
  <c r="E1912" i="10"/>
  <c r="D1912" i="10"/>
  <c r="G1911" i="10"/>
  <c r="F1911" i="10"/>
  <c r="E1911" i="10"/>
  <c r="D1911" i="10"/>
  <c r="G1910" i="10"/>
  <c r="F1910" i="10"/>
  <c r="E1910" i="10"/>
  <c r="D1910" i="10"/>
  <c r="G1909" i="10"/>
  <c r="F1909" i="10"/>
  <c r="E1909" i="10"/>
  <c r="D1909" i="10"/>
  <c r="G1908" i="10"/>
  <c r="F1908" i="10"/>
  <c r="E1908" i="10"/>
  <c r="D1908" i="10"/>
  <c r="G1907" i="10"/>
  <c r="F1907" i="10"/>
  <c r="E1907" i="10"/>
  <c r="D1907" i="10"/>
  <c r="G1906" i="10"/>
  <c r="F1906" i="10"/>
  <c r="E1906" i="10"/>
  <c r="D1906" i="10"/>
  <c r="G1905" i="10"/>
  <c r="F1905" i="10"/>
  <c r="E1905" i="10"/>
  <c r="D1905" i="10"/>
  <c r="G1904" i="10"/>
  <c r="F1904" i="10"/>
  <c r="E1904" i="10"/>
  <c r="D1904" i="10"/>
  <c r="G1903" i="10"/>
  <c r="F1903" i="10"/>
  <c r="E1903" i="10"/>
  <c r="D1903" i="10"/>
  <c r="G1902" i="10"/>
  <c r="F1902" i="10"/>
  <c r="E1902" i="10"/>
  <c r="D1902" i="10"/>
  <c r="G1901" i="10"/>
  <c r="F1901" i="10"/>
  <c r="E1901" i="10"/>
  <c r="D1901" i="10"/>
  <c r="G1900" i="10"/>
  <c r="F1900" i="10"/>
  <c r="E1900" i="10"/>
  <c r="D1900" i="10"/>
  <c r="G1899" i="10"/>
  <c r="F1899" i="10"/>
  <c r="E1899" i="10"/>
  <c r="D1899" i="10"/>
  <c r="G1898" i="10"/>
  <c r="F1898" i="10"/>
  <c r="E1898" i="10"/>
  <c r="D1898" i="10"/>
  <c r="G1897" i="10"/>
  <c r="F1897" i="10"/>
  <c r="E1897" i="10"/>
  <c r="D1897" i="10"/>
  <c r="G1896" i="10"/>
  <c r="F1896" i="10"/>
  <c r="E1896" i="10"/>
  <c r="D1896" i="10"/>
  <c r="G1895" i="10"/>
  <c r="F1895" i="10"/>
  <c r="E1895" i="10"/>
  <c r="D1895" i="10"/>
  <c r="G1894" i="10"/>
  <c r="F1894" i="10"/>
  <c r="E1894" i="10"/>
  <c r="D1894" i="10"/>
  <c r="G1893" i="10"/>
  <c r="F1893" i="10"/>
  <c r="E1893" i="10"/>
  <c r="D1893" i="10"/>
  <c r="G1892" i="10"/>
  <c r="F1892" i="10"/>
  <c r="E1892" i="10"/>
  <c r="D1892" i="10"/>
  <c r="G1891" i="10"/>
  <c r="F1891" i="10"/>
  <c r="E1891" i="10"/>
  <c r="D1891" i="10"/>
  <c r="G1890" i="10"/>
  <c r="F1890" i="10"/>
  <c r="E1890" i="10"/>
  <c r="D1890" i="10"/>
  <c r="G1889" i="10"/>
  <c r="F1889" i="10"/>
  <c r="E1889" i="10"/>
  <c r="D1889" i="10"/>
  <c r="G1888" i="10"/>
  <c r="F1888" i="10"/>
  <c r="E1888" i="10"/>
  <c r="D1888" i="10"/>
  <c r="G1887" i="10"/>
  <c r="F1887" i="10"/>
  <c r="E1887" i="10"/>
  <c r="D1887" i="10"/>
  <c r="G1886" i="10"/>
  <c r="F1886" i="10"/>
  <c r="E1886" i="10"/>
  <c r="D1886" i="10"/>
  <c r="G1885" i="10"/>
  <c r="F1885" i="10"/>
  <c r="E1885" i="10"/>
  <c r="D1885" i="10"/>
  <c r="G1884" i="10"/>
  <c r="F1884" i="10"/>
  <c r="E1884" i="10"/>
  <c r="D1884" i="10"/>
  <c r="G1883" i="10"/>
  <c r="F1883" i="10"/>
  <c r="E1883" i="10"/>
  <c r="D1883" i="10"/>
  <c r="G1882" i="10"/>
  <c r="F1882" i="10"/>
  <c r="E1882" i="10"/>
  <c r="D1882" i="10"/>
  <c r="G1881" i="10"/>
  <c r="F1881" i="10"/>
  <c r="E1881" i="10"/>
  <c r="D1881" i="10"/>
  <c r="G1880" i="10"/>
  <c r="F1880" i="10"/>
  <c r="E1880" i="10"/>
  <c r="D1880" i="10"/>
  <c r="G1879" i="10"/>
  <c r="F1879" i="10"/>
  <c r="E1879" i="10"/>
  <c r="D1879" i="10"/>
  <c r="G1878" i="10"/>
  <c r="F1878" i="10"/>
  <c r="E1878" i="10"/>
  <c r="D1878" i="10"/>
  <c r="G1877" i="10"/>
  <c r="F1877" i="10"/>
  <c r="E1877" i="10"/>
  <c r="D1877" i="10"/>
  <c r="G1876" i="10"/>
  <c r="F1876" i="10"/>
  <c r="E1876" i="10"/>
  <c r="D1876" i="10"/>
  <c r="G1875" i="10"/>
  <c r="F1875" i="10"/>
  <c r="E1875" i="10"/>
  <c r="D1875" i="10"/>
  <c r="G1874" i="10"/>
  <c r="F1874" i="10"/>
  <c r="E1874" i="10"/>
  <c r="D1874" i="10"/>
  <c r="G1873" i="10"/>
  <c r="F1873" i="10"/>
  <c r="E1873" i="10"/>
  <c r="D1873" i="10"/>
  <c r="G1872" i="10"/>
  <c r="F1872" i="10"/>
  <c r="E1872" i="10"/>
  <c r="D1872" i="10"/>
  <c r="G1871" i="10"/>
  <c r="F1871" i="10"/>
  <c r="E1871" i="10"/>
  <c r="D1871" i="10"/>
  <c r="G1870" i="10"/>
  <c r="F1870" i="10"/>
  <c r="E1870" i="10"/>
  <c r="D1870" i="10"/>
  <c r="G1869" i="10"/>
  <c r="F1869" i="10"/>
  <c r="E1869" i="10"/>
  <c r="D1869" i="10"/>
  <c r="G1868" i="10"/>
  <c r="F1868" i="10"/>
  <c r="E1868" i="10"/>
  <c r="D1868" i="10"/>
  <c r="G1867" i="10"/>
  <c r="F1867" i="10"/>
  <c r="E1867" i="10"/>
  <c r="D1867" i="10"/>
  <c r="G1866" i="10"/>
  <c r="F1866" i="10"/>
  <c r="E1866" i="10"/>
  <c r="D1866" i="10"/>
  <c r="G1865" i="10"/>
  <c r="F1865" i="10"/>
  <c r="E1865" i="10"/>
  <c r="D1865" i="10"/>
  <c r="G1864" i="10"/>
  <c r="F1864" i="10"/>
  <c r="E1864" i="10"/>
  <c r="D1864" i="10"/>
  <c r="G1863" i="10"/>
  <c r="F1863" i="10"/>
  <c r="E1863" i="10"/>
  <c r="D1863" i="10"/>
  <c r="G1862" i="10"/>
  <c r="F1862" i="10"/>
  <c r="E1862" i="10"/>
  <c r="D1862" i="10"/>
  <c r="G1861" i="10"/>
  <c r="F1861" i="10"/>
  <c r="E1861" i="10"/>
  <c r="D1861" i="10"/>
  <c r="G1860" i="10"/>
  <c r="F1860" i="10"/>
  <c r="E1860" i="10"/>
  <c r="D1860" i="10"/>
  <c r="G1859" i="10"/>
  <c r="F1859" i="10"/>
  <c r="E1859" i="10"/>
  <c r="D1859" i="10"/>
  <c r="G1858" i="10"/>
  <c r="F1858" i="10"/>
  <c r="E1858" i="10"/>
  <c r="D1858" i="10"/>
  <c r="G1857" i="10"/>
  <c r="F1857" i="10"/>
  <c r="E1857" i="10"/>
  <c r="D1857" i="10"/>
  <c r="G1856" i="10"/>
  <c r="F1856" i="10"/>
  <c r="E1856" i="10"/>
  <c r="D1856" i="10"/>
  <c r="G1855" i="10"/>
  <c r="F1855" i="10"/>
  <c r="E1855" i="10"/>
  <c r="D1855" i="10"/>
  <c r="G1854" i="10"/>
  <c r="F1854" i="10"/>
  <c r="E1854" i="10"/>
  <c r="D1854" i="10"/>
  <c r="G1853" i="10"/>
  <c r="F1853" i="10"/>
  <c r="E1853" i="10"/>
  <c r="D1853" i="10"/>
  <c r="G1852" i="10"/>
  <c r="F1852" i="10"/>
  <c r="E1852" i="10"/>
  <c r="D1852" i="10"/>
  <c r="G1851" i="10"/>
  <c r="F1851" i="10"/>
  <c r="E1851" i="10"/>
  <c r="D1851" i="10"/>
  <c r="G1850" i="10"/>
  <c r="F1850" i="10"/>
  <c r="E1850" i="10"/>
  <c r="D1850" i="10"/>
  <c r="G1849" i="10"/>
  <c r="F1849" i="10"/>
  <c r="E1849" i="10"/>
  <c r="D1849" i="10"/>
  <c r="G1848" i="10"/>
  <c r="F1848" i="10"/>
  <c r="E1848" i="10"/>
  <c r="D1848" i="10"/>
  <c r="G1847" i="10"/>
  <c r="F1847" i="10"/>
  <c r="E1847" i="10"/>
  <c r="D1847" i="10"/>
  <c r="G1846" i="10"/>
  <c r="F1846" i="10"/>
  <c r="E1846" i="10"/>
  <c r="D1846" i="10"/>
  <c r="G1845" i="10"/>
  <c r="F1845" i="10"/>
  <c r="E1845" i="10"/>
  <c r="D1845" i="10"/>
  <c r="G1844" i="10"/>
  <c r="F1844" i="10"/>
  <c r="E1844" i="10"/>
  <c r="D1844" i="10"/>
  <c r="G1843" i="10"/>
  <c r="F1843" i="10"/>
  <c r="E1843" i="10"/>
  <c r="D1843" i="10"/>
  <c r="G1842" i="10"/>
  <c r="F1842" i="10"/>
  <c r="E1842" i="10"/>
  <c r="D1842" i="10"/>
  <c r="G1841" i="10"/>
  <c r="F1841" i="10"/>
  <c r="E1841" i="10"/>
  <c r="D1841" i="10"/>
  <c r="G1840" i="10"/>
  <c r="F1840" i="10"/>
  <c r="E1840" i="10"/>
  <c r="D1840" i="10"/>
  <c r="G1839" i="10"/>
  <c r="F1839" i="10"/>
  <c r="E1839" i="10"/>
  <c r="D1839" i="10"/>
  <c r="G1838" i="10"/>
  <c r="F1838" i="10"/>
  <c r="E1838" i="10"/>
  <c r="D1838" i="10"/>
  <c r="G1837" i="10"/>
  <c r="F1837" i="10"/>
  <c r="E1837" i="10"/>
  <c r="D1837" i="10"/>
  <c r="G1836" i="10"/>
  <c r="F1836" i="10"/>
  <c r="E1836" i="10"/>
  <c r="D1836" i="10"/>
  <c r="G1835" i="10"/>
  <c r="F1835" i="10"/>
  <c r="E1835" i="10"/>
  <c r="D1835" i="10"/>
  <c r="G1834" i="10"/>
  <c r="F1834" i="10"/>
  <c r="E1834" i="10"/>
  <c r="D1834" i="10"/>
  <c r="G1833" i="10"/>
  <c r="F1833" i="10"/>
  <c r="E1833" i="10"/>
  <c r="D1833" i="10"/>
  <c r="G1832" i="10"/>
  <c r="F1832" i="10"/>
  <c r="E1832" i="10"/>
  <c r="D1832" i="10"/>
  <c r="G1831" i="10"/>
  <c r="F1831" i="10"/>
  <c r="E1831" i="10"/>
  <c r="D1831" i="10"/>
  <c r="G1830" i="10"/>
  <c r="F1830" i="10"/>
  <c r="E1830" i="10"/>
  <c r="D1830" i="10"/>
  <c r="G1829" i="10"/>
  <c r="F1829" i="10"/>
  <c r="E1829" i="10"/>
  <c r="D1829" i="10"/>
  <c r="G1828" i="10"/>
  <c r="F1828" i="10"/>
  <c r="E1828" i="10"/>
  <c r="D1828" i="10"/>
  <c r="G1827" i="10"/>
  <c r="F1827" i="10"/>
  <c r="E1827" i="10"/>
  <c r="D1827" i="10"/>
  <c r="G1826" i="10"/>
  <c r="F1826" i="10"/>
  <c r="E1826" i="10"/>
  <c r="D1826" i="10"/>
  <c r="G1825" i="10"/>
  <c r="F1825" i="10"/>
  <c r="E1825" i="10"/>
  <c r="D1825" i="10"/>
  <c r="G1824" i="10"/>
  <c r="F1824" i="10"/>
  <c r="E1824" i="10"/>
  <c r="D1824" i="10"/>
  <c r="G1823" i="10"/>
  <c r="F1823" i="10"/>
  <c r="E1823" i="10"/>
  <c r="D1823" i="10"/>
  <c r="G1822" i="10"/>
  <c r="F1822" i="10"/>
  <c r="E1822" i="10"/>
  <c r="D1822" i="10"/>
  <c r="G1821" i="10"/>
  <c r="F1821" i="10"/>
  <c r="E1821" i="10"/>
  <c r="D1821" i="10"/>
  <c r="G1820" i="10"/>
  <c r="F1820" i="10"/>
  <c r="E1820" i="10"/>
  <c r="D1820" i="10"/>
  <c r="G1819" i="10"/>
  <c r="F1819" i="10"/>
  <c r="E1819" i="10"/>
  <c r="D1819" i="10"/>
  <c r="G1818" i="10"/>
  <c r="F1818" i="10"/>
  <c r="E1818" i="10"/>
  <c r="D1818" i="10"/>
  <c r="G1817" i="10"/>
  <c r="F1817" i="10"/>
  <c r="E1817" i="10"/>
  <c r="D1817" i="10"/>
  <c r="G1816" i="10"/>
  <c r="F1816" i="10"/>
  <c r="E1816" i="10"/>
  <c r="D1816" i="10"/>
  <c r="G1815" i="10"/>
  <c r="F1815" i="10"/>
  <c r="E1815" i="10"/>
  <c r="D1815" i="10"/>
  <c r="G1814" i="10"/>
  <c r="F1814" i="10"/>
  <c r="E1814" i="10"/>
  <c r="D1814" i="10"/>
  <c r="G1813" i="10"/>
  <c r="F1813" i="10"/>
  <c r="E1813" i="10"/>
  <c r="D1813" i="10"/>
  <c r="G1812" i="10"/>
  <c r="F1812" i="10"/>
  <c r="E1812" i="10"/>
  <c r="D1812" i="10"/>
  <c r="G1811" i="10"/>
  <c r="F1811" i="10"/>
  <c r="E1811" i="10"/>
  <c r="D1811" i="10"/>
  <c r="G1810" i="10"/>
  <c r="F1810" i="10"/>
  <c r="E1810" i="10"/>
  <c r="D1810" i="10"/>
  <c r="G1809" i="10"/>
  <c r="F1809" i="10"/>
  <c r="E1809" i="10"/>
  <c r="D1809" i="10"/>
  <c r="G1808" i="10"/>
  <c r="F1808" i="10"/>
  <c r="E1808" i="10"/>
  <c r="D1808" i="10"/>
  <c r="G1807" i="10"/>
  <c r="F1807" i="10"/>
  <c r="E1807" i="10"/>
  <c r="D1807" i="10"/>
  <c r="G1806" i="10"/>
  <c r="F1806" i="10"/>
  <c r="E1806" i="10"/>
  <c r="D1806" i="10"/>
  <c r="G1805" i="10"/>
  <c r="F1805" i="10"/>
  <c r="E1805" i="10"/>
  <c r="D1805" i="10"/>
  <c r="G1804" i="10"/>
  <c r="F1804" i="10"/>
  <c r="E1804" i="10"/>
  <c r="D1804" i="10"/>
  <c r="G1803" i="10"/>
  <c r="F1803" i="10"/>
  <c r="E1803" i="10"/>
  <c r="D1803" i="10"/>
  <c r="G1802" i="10"/>
  <c r="F1802" i="10"/>
  <c r="E1802" i="10"/>
  <c r="D1802" i="10"/>
  <c r="G1801" i="10"/>
  <c r="F1801" i="10"/>
  <c r="E1801" i="10"/>
  <c r="D1801" i="10"/>
  <c r="G1800" i="10"/>
  <c r="F1800" i="10"/>
  <c r="E1800" i="10"/>
  <c r="D1800" i="10"/>
  <c r="G1799" i="10"/>
  <c r="F1799" i="10"/>
  <c r="E1799" i="10"/>
  <c r="D1799" i="10"/>
  <c r="G1798" i="10"/>
  <c r="F1798" i="10"/>
  <c r="E1798" i="10"/>
  <c r="D1798" i="10"/>
  <c r="G1797" i="10"/>
  <c r="F1797" i="10"/>
  <c r="E1797" i="10"/>
  <c r="D1797" i="10"/>
  <c r="G1796" i="10"/>
  <c r="F1796" i="10"/>
  <c r="E1796" i="10"/>
  <c r="D1796" i="10"/>
  <c r="G1795" i="10"/>
  <c r="F1795" i="10"/>
  <c r="E1795" i="10"/>
  <c r="D1795" i="10"/>
  <c r="G1794" i="10"/>
  <c r="F1794" i="10"/>
  <c r="E1794" i="10"/>
  <c r="D1794" i="10"/>
  <c r="G1793" i="10"/>
  <c r="F1793" i="10"/>
  <c r="E1793" i="10"/>
  <c r="D1793" i="10"/>
  <c r="G1792" i="10"/>
  <c r="F1792" i="10"/>
  <c r="E1792" i="10"/>
  <c r="D1792" i="10"/>
  <c r="G1791" i="10"/>
  <c r="F1791" i="10"/>
  <c r="E1791" i="10"/>
  <c r="D1791" i="10"/>
  <c r="G1790" i="10"/>
  <c r="F1790" i="10"/>
  <c r="E1790" i="10"/>
  <c r="D1790" i="10"/>
  <c r="G1789" i="10"/>
  <c r="F1789" i="10"/>
  <c r="E1789" i="10"/>
  <c r="D1789" i="10"/>
  <c r="G1788" i="10"/>
  <c r="F1788" i="10"/>
  <c r="E1788" i="10"/>
  <c r="D1788" i="10"/>
  <c r="G1787" i="10"/>
  <c r="F1787" i="10"/>
  <c r="E1787" i="10"/>
  <c r="D1787" i="10"/>
  <c r="G1786" i="10"/>
  <c r="F1786" i="10"/>
  <c r="E1786" i="10"/>
  <c r="D1786" i="10"/>
  <c r="G1785" i="10"/>
  <c r="F1785" i="10"/>
  <c r="E1785" i="10"/>
  <c r="D1785" i="10"/>
  <c r="G1784" i="10"/>
  <c r="F1784" i="10"/>
  <c r="E1784" i="10"/>
  <c r="D1784" i="10"/>
  <c r="G1783" i="10"/>
  <c r="F1783" i="10"/>
  <c r="E1783" i="10"/>
  <c r="D1783" i="10"/>
  <c r="G1782" i="10"/>
  <c r="F1782" i="10"/>
  <c r="E1782" i="10"/>
  <c r="D1782" i="10"/>
  <c r="G1781" i="10"/>
  <c r="F1781" i="10"/>
  <c r="E1781" i="10"/>
  <c r="D1781" i="10"/>
  <c r="G1780" i="10"/>
  <c r="F1780" i="10"/>
  <c r="E1780" i="10"/>
  <c r="D1780" i="10"/>
  <c r="G1779" i="10"/>
  <c r="F1779" i="10"/>
  <c r="E1779" i="10"/>
  <c r="D1779" i="10"/>
  <c r="G1778" i="10"/>
  <c r="F1778" i="10"/>
  <c r="E1778" i="10"/>
  <c r="D1778" i="10"/>
  <c r="G1777" i="10"/>
  <c r="F1777" i="10"/>
  <c r="E1777" i="10"/>
  <c r="D1777" i="10"/>
  <c r="G1776" i="10"/>
  <c r="F1776" i="10"/>
  <c r="E1776" i="10"/>
  <c r="D1776" i="10"/>
  <c r="G1775" i="10"/>
  <c r="F1775" i="10"/>
  <c r="E1775" i="10"/>
  <c r="D1775" i="10"/>
  <c r="G1774" i="10"/>
  <c r="F1774" i="10"/>
  <c r="E1774" i="10"/>
  <c r="D1774" i="10"/>
  <c r="G1773" i="10"/>
  <c r="F1773" i="10"/>
  <c r="E1773" i="10"/>
  <c r="D1773" i="10"/>
  <c r="G1772" i="10"/>
  <c r="F1772" i="10"/>
  <c r="E1772" i="10"/>
  <c r="D1772" i="10"/>
  <c r="G1771" i="10"/>
  <c r="F1771" i="10"/>
  <c r="E1771" i="10"/>
  <c r="D1771" i="10"/>
  <c r="G1770" i="10"/>
  <c r="F1770" i="10"/>
  <c r="E1770" i="10"/>
  <c r="D1770" i="10"/>
  <c r="G1769" i="10"/>
  <c r="F1769" i="10"/>
  <c r="E1769" i="10"/>
  <c r="D1769" i="10"/>
  <c r="G1768" i="10"/>
  <c r="F1768" i="10"/>
  <c r="E1768" i="10"/>
  <c r="D1768" i="10"/>
  <c r="G1767" i="10"/>
  <c r="F1767" i="10"/>
  <c r="E1767" i="10"/>
  <c r="D1767" i="10"/>
  <c r="G1766" i="10"/>
  <c r="F1766" i="10"/>
  <c r="E1766" i="10"/>
  <c r="D1766" i="10"/>
  <c r="G1765" i="10"/>
  <c r="F1765" i="10"/>
  <c r="E1765" i="10"/>
  <c r="D1765" i="10"/>
  <c r="G1764" i="10"/>
  <c r="F1764" i="10"/>
  <c r="E1764" i="10"/>
  <c r="D1764" i="10"/>
  <c r="G1763" i="10"/>
  <c r="F1763" i="10"/>
  <c r="E1763" i="10"/>
  <c r="D1763" i="10"/>
  <c r="G1762" i="10"/>
  <c r="F1762" i="10"/>
  <c r="E1762" i="10"/>
  <c r="D1762" i="10"/>
  <c r="G1761" i="10"/>
  <c r="F1761" i="10"/>
  <c r="E1761" i="10"/>
  <c r="D1761" i="10"/>
  <c r="G1760" i="10"/>
  <c r="F1760" i="10"/>
  <c r="E1760" i="10"/>
  <c r="D1760" i="10"/>
  <c r="G1759" i="10"/>
  <c r="F1759" i="10"/>
  <c r="E1759" i="10"/>
  <c r="D1759" i="10"/>
  <c r="G1758" i="10"/>
  <c r="F1758" i="10"/>
  <c r="E1758" i="10"/>
  <c r="D1758" i="10"/>
  <c r="G1757" i="10"/>
  <c r="F1757" i="10"/>
  <c r="E1757" i="10"/>
  <c r="D1757" i="10"/>
  <c r="G1756" i="10"/>
  <c r="F1756" i="10"/>
  <c r="E1756" i="10"/>
  <c r="D1756" i="10"/>
  <c r="G1755" i="10"/>
  <c r="F1755" i="10"/>
  <c r="E1755" i="10"/>
  <c r="D1755" i="10"/>
  <c r="G1754" i="10"/>
  <c r="F1754" i="10"/>
  <c r="E1754" i="10"/>
  <c r="D1754" i="10"/>
  <c r="G1753" i="10"/>
  <c r="F1753" i="10"/>
  <c r="E1753" i="10"/>
  <c r="D1753" i="10"/>
  <c r="G1752" i="10"/>
  <c r="F1752" i="10"/>
  <c r="E1752" i="10"/>
  <c r="D1752" i="10"/>
  <c r="G1751" i="10"/>
  <c r="F1751" i="10"/>
  <c r="E1751" i="10"/>
  <c r="D1751" i="10"/>
  <c r="G1750" i="10"/>
  <c r="F1750" i="10"/>
  <c r="E1750" i="10"/>
  <c r="D1750" i="10"/>
  <c r="G1749" i="10"/>
  <c r="F1749" i="10"/>
  <c r="E1749" i="10"/>
  <c r="D1749" i="10"/>
  <c r="G1748" i="10"/>
  <c r="F1748" i="10"/>
  <c r="E1748" i="10"/>
  <c r="D1748" i="10"/>
  <c r="G1747" i="10"/>
  <c r="F1747" i="10"/>
  <c r="E1747" i="10"/>
  <c r="D1747" i="10"/>
  <c r="G1746" i="10"/>
  <c r="F1746" i="10"/>
  <c r="E1746" i="10"/>
  <c r="D1746" i="10"/>
  <c r="G1745" i="10"/>
  <c r="F1745" i="10"/>
  <c r="E1745" i="10"/>
  <c r="D1745" i="10"/>
  <c r="G1744" i="10"/>
  <c r="F1744" i="10"/>
  <c r="E1744" i="10"/>
  <c r="D1744" i="10"/>
  <c r="G1743" i="10"/>
  <c r="F1743" i="10"/>
  <c r="E1743" i="10"/>
  <c r="D1743" i="10"/>
  <c r="G1742" i="10"/>
  <c r="F1742" i="10"/>
  <c r="E1742" i="10"/>
  <c r="D1742" i="10"/>
  <c r="G1741" i="10"/>
  <c r="F1741" i="10"/>
  <c r="E1741" i="10"/>
  <c r="D1741" i="10"/>
  <c r="G1740" i="10"/>
  <c r="F1740" i="10"/>
  <c r="E1740" i="10"/>
  <c r="D1740" i="10"/>
  <c r="G1739" i="10"/>
  <c r="F1739" i="10"/>
  <c r="E1739" i="10"/>
  <c r="D1739" i="10"/>
  <c r="G1738" i="10"/>
  <c r="F1738" i="10"/>
  <c r="E1738" i="10"/>
  <c r="D1738" i="10"/>
  <c r="G1737" i="10"/>
  <c r="F1737" i="10"/>
  <c r="E1737" i="10"/>
  <c r="D1737" i="10"/>
  <c r="G1736" i="10"/>
  <c r="F1736" i="10"/>
  <c r="E1736" i="10"/>
  <c r="D1736" i="10"/>
  <c r="G1735" i="10"/>
  <c r="F1735" i="10"/>
  <c r="E1735" i="10"/>
  <c r="D1735" i="10"/>
  <c r="G1734" i="10"/>
  <c r="F1734" i="10"/>
  <c r="E1734" i="10"/>
  <c r="D1734" i="10"/>
  <c r="G1733" i="10"/>
  <c r="F1733" i="10"/>
  <c r="E1733" i="10"/>
  <c r="D1733" i="10"/>
  <c r="G1732" i="10"/>
  <c r="F1732" i="10"/>
  <c r="E1732" i="10"/>
  <c r="D1732" i="10"/>
  <c r="G1731" i="10"/>
  <c r="F1731" i="10"/>
  <c r="E1731" i="10"/>
  <c r="D1731" i="10"/>
  <c r="G1730" i="10"/>
  <c r="F1730" i="10"/>
  <c r="E1730" i="10"/>
  <c r="D1730" i="10"/>
  <c r="G1729" i="10"/>
  <c r="F1729" i="10"/>
  <c r="E1729" i="10"/>
  <c r="D1729" i="10"/>
  <c r="G1728" i="10"/>
  <c r="F1728" i="10"/>
  <c r="E1728" i="10"/>
  <c r="D1728" i="10"/>
  <c r="G1727" i="10"/>
  <c r="F1727" i="10"/>
  <c r="E1727" i="10"/>
  <c r="D1727" i="10"/>
  <c r="G1726" i="10"/>
  <c r="F1726" i="10"/>
  <c r="E1726" i="10"/>
  <c r="D1726" i="10"/>
  <c r="G1725" i="10"/>
  <c r="F1725" i="10"/>
  <c r="E1725" i="10"/>
  <c r="D1725" i="10"/>
  <c r="G1724" i="10"/>
  <c r="F1724" i="10"/>
  <c r="E1724" i="10"/>
  <c r="D1724" i="10"/>
  <c r="G1723" i="10"/>
  <c r="F1723" i="10"/>
  <c r="E1723" i="10"/>
  <c r="D1723" i="10"/>
  <c r="G1722" i="10"/>
  <c r="F1722" i="10"/>
  <c r="E1722" i="10"/>
  <c r="D1722" i="10"/>
  <c r="G1721" i="10"/>
  <c r="F1721" i="10"/>
  <c r="E1721" i="10"/>
  <c r="D1721" i="10"/>
  <c r="G1720" i="10"/>
  <c r="F1720" i="10"/>
  <c r="E1720" i="10"/>
  <c r="D1720" i="10"/>
  <c r="G1719" i="10"/>
  <c r="F1719" i="10"/>
  <c r="E1719" i="10"/>
  <c r="D1719" i="10"/>
  <c r="G1718" i="10"/>
  <c r="F1718" i="10"/>
  <c r="E1718" i="10"/>
  <c r="D1718" i="10"/>
  <c r="G1717" i="10"/>
  <c r="F1717" i="10"/>
  <c r="E1717" i="10"/>
  <c r="D1717" i="10"/>
  <c r="G1716" i="10"/>
  <c r="F1716" i="10"/>
  <c r="E1716" i="10"/>
  <c r="D1716" i="10"/>
  <c r="G1715" i="10"/>
  <c r="F1715" i="10"/>
  <c r="E1715" i="10"/>
  <c r="D1715" i="10"/>
  <c r="G1714" i="10"/>
  <c r="F1714" i="10"/>
  <c r="E1714" i="10"/>
  <c r="D1714" i="10"/>
  <c r="G1713" i="10"/>
  <c r="F1713" i="10"/>
  <c r="E1713" i="10"/>
  <c r="D1713" i="10"/>
  <c r="G1712" i="10"/>
  <c r="F1712" i="10"/>
  <c r="E1712" i="10"/>
  <c r="D1712" i="10"/>
  <c r="G1711" i="10"/>
  <c r="F1711" i="10"/>
  <c r="E1711" i="10"/>
  <c r="D1711" i="10"/>
  <c r="G1710" i="10"/>
  <c r="F1710" i="10"/>
  <c r="E1710" i="10"/>
  <c r="D1710" i="10"/>
  <c r="G1709" i="10"/>
  <c r="F1709" i="10"/>
  <c r="E1709" i="10"/>
  <c r="D1709" i="10"/>
  <c r="G1708" i="10"/>
  <c r="F1708" i="10"/>
  <c r="E1708" i="10"/>
  <c r="D1708" i="10"/>
  <c r="G1707" i="10"/>
  <c r="F1707" i="10"/>
  <c r="E1707" i="10"/>
  <c r="D1707" i="10"/>
  <c r="G1706" i="10"/>
  <c r="F1706" i="10"/>
  <c r="E1706" i="10"/>
  <c r="D1706" i="10"/>
  <c r="G1705" i="10"/>
  <c r="F1705" i="10"/>
  <c r="E1705" i="10"/>
  <c r="D1705" i="10"/>
  <c r="G1704" i="10"/>
  <c r="F1704" i="10"/>
  <c r="E1704" i="10"/>
  <c r="D1704" i="10"/>
  <c r="G1703" i="10"/>
  <c r="F1703" i="10"/>
  <c r="E1703" i="10"/>
  <c r="D1703" i="10"/>
  <c r="G1702" i="10"/>
  <c r="F1702" i="10"/>
  <c r="E1702" i="10"/>
  <c r="D1702" i="10"/>
  <c r="G1701" i="10"/>
  <c r="F1701" i="10"/>
  <c r="E1701" i="10"/>
  <c r="D1701" i="10"/>
  <c r="G1700" i="10"/>
  <c r="F1700" i="10"/>
  <c r="E1700" i="10"/>
  <c r="D1700" i="10"/>
  <c r="G1699" i="10"/>
  <c r="F1699" i="10"/>
  <c r="E1699" i="10"/>
  <c r="D1699" i="10"/>
  <c r="G1698" i="10"/>
  <c r="F1698" i="10"/>
  <c r="E1698" i="10"/>
  <c r="D1698" i="10"/>
  <c r="G1697" i="10"/>
  <c r="F1697" i="10"/>
  <c r="E1697" i="10"/>
  <c r="D1697" i="10"/>
  <c r="G1696" i="10"/>
  <c r="F1696" i="10"/>
  <c r="E1696" i="10"/>
  <c r="D1696" i="10"/>
  <c r="G1695" i="10"/>
  <c r="F1695" i="10"/>
  <c r="E1695" i="10"/>
  <c r="D1695" i="10"/>
  <c r="G1694" i="10"/>
  <c r="F1694" i="10"/>
  <c r="E1694" i="10"/>
  <c r="D1694" i="10"/>
  <c r="G1693" i="10"/>
  <c r="F1693" i="10"/>
  <c r="E1693" i="10"/>
  <c r="D1693" i="10"/>
  <c r="G1692" i="10"/>
  <c r="F1692" i="10"/>
  <c r="E1692" i="10"/>
  <c r="D1692" i="10"/>
  <c r="G1691" i="10"/>
  <c r="F1691" i="10"/>
  <c r="E1691" i="10"/>
  <c r="D1691" i="10"/>
  <c r="G1690" i="10"/>
  <c r="F1690" i="10"/>
  <c r="E1690" i="10"/>
  <c r="D1690" i="10"/>
  <c r="G1689" i="10"/>
  <c r="F1689" i="10"/>
  <c r="E1689" i="10"/>
  <c r="D1689" i="10"/>
  <c r="G1688" i="10"/>
  <c r="F1688" i="10"/>
  <c r="E1688" i="10"/>
  <c r="D1688" i="10"/>
  <c r="G1687" i="10"/>
  <c r="F1687" i="10"/>
  <c r="E1687" i="10"/>
  <c r="D1687" i="10"/>
  <c r="G1686" i="10"/>
  <c r="F1686" i="10"/>
  <c r="E1686" i="10"/>
  <c r="D1686" i="10"/>
  <c r="G1685" i="10"/>
  <c r="F1685" i="10"/>
  <c r="E1685" i="10"/>
  <c r="D1685" i="10"/>
  <c r="G1684" i="10"/>
  <c r="F1684" i="10"/>
  <c r="E1684" i="10"/>
  <c r="D1684" i="10"/>
  <c r="G1683" i="10"/>
  <c r="F1683" i="10"/>
  <c r="E1683" i="10"/>
  <c r="D1683" i="10"/>
  <c r="G1682" i="10"/>
  <c r="F1682" i="10"/>
  <c r="E1682" i="10"/>
  <c r="D1682" i="10"/>
  <c r="G1681" i="10"/>
  <c r="F1681" i="10"/>
  <c r="E1681" i="10"/>
  <c r="D1681" i="10"/>
  <c r="G1680" i="10"/>
  <c r="F1680" i="10"/>
  <c r="E1680" i="10"/>
  <c r="D1680" i="10"/>
  <c r="G1679" i="10"/>
  <c r="F1679" i="10"/>
  <c r="E1679" i="10"/>
  <c r="D1679" i="10"/>
  <c r="G1678" i="10"/>
  <c r="F1678" i="10"/>
  <c r="E1678" i="10"/>
  <c r="D1678" i="10"/>
  <c r="G1677" i="10"/>
  <c r="F1677" i="10"/>
  <c r="E1677" i="10"/>
  <c r="D1677" i="10"/>
  <c r="G1676" i="10"/>
  <c r="F1676" i="10"/>
  <c r="E1676" i="10"/>
  <c r="D1676" i="10"/>
  <c r="G1675" i="10"/>
  <c r="F1675" i="10"/>
  <c r="E1675" i="10"/>
  <c r="D1675" i="10"/>
  <c r="G1674" i="10"/>
  <c r="F1674" i="10"/>
  <c r="E1674" i="10"/>
  <c r="D1674" i="10"/>
  <c r="G1673" i="10"/>
  <c r="F1673" i="10"/>
  <c r="E1673" i="10"/>
  <c r="D1673" i="10"/>
  <c r="G1672" i="10"/>
  <c r="F1672" i="10"/>
  <c r="E1672" i="10"/>
  <c r="D1672" i="10"/>
  <c r="G1671" i="10"/>
  <c r="F1671" i="10"/>
  <c r="E1671" i="10"/>
  <c r="D1671" i="10"/>
  <c r="G1670" i="10"/>
  <c r="F1670" i="10"/>
  <c r="E1670" i="10"/>
  <c r="D1670" i="10"/>
  <c r="G1669" i="10"/>
  <c r="F1669" i="10"/>
  <c r="E1669" i="10"/>
  <c r="D1669" i="10"/>
  <c r="G1668" i="10"/>
  <c r="F1668" i="10"/>
  <c r="E1668" i="10"/>
  <c r="D1668" i="10"/>
  <c r="G1667" i="10"/>
  <c r="F1667" i="10"/>
  <c r="E1667" i="10"/>
  <c r="D1667" i="10"/>
  <c r="G1666" i="10"/>
  <c r="F1666" i="10"/>
  <c r="E1666" i="10"/>
  <c r="D1666" i="10"/>
  <c r="G1665" i="10"/>
  <c r="F1665" i="10"/>
  <c r="E1665" i="10"/>
  <c r="D1665" i="10"/>
  <c r="G1664" i="10"/>
  <c r="F1664" i="10"/>
  <c r="E1664" i="10"/>
  <c r="D1664" i="10"/>
  <c r="G1663" i="10"/>
  <c r="F1663" i="10"/>
  <c r="E1663" i="10"/>
  <c r="D1663" i="10"/>
  <c r="G1662" i="10"/>
  <c r="F1662" i="10"/>
  <c r="E1662" i="10"/>
  <c r="D1662" i="10"/>
  <c r="G1661" i="10"/>
  <c r="F1661" i="10"/>
  <c r="E1661" i="10"/>
  <c r="D1661" i="10"/>
  <c r="G1660" i="10"/>
  <c r="F1660" i="10"/>
  <c r="E1660" i="10"/>
  <c r="D1660" i="10"/>
  <c r="G1659" i="10"/>
  <c r="F1659" i="10"/>
  <c r="E1659" i="10"/>
  <c r="D1659" i="10"/>
  <c r="G1658" i="10"/>
  <c r="F1658" i="10"/>
  <c r="E1658" i="10"/>
  <c r="D1658" i="10"/>
  <c r="G1657" i="10"/>
  <c r="F1657" i="10"/>
  <c r="E1657" i="10"/>
  <c r="D1657" i="10"/>
  <c r="G1656" i="10"/>
  <c r="F1656" i="10"/>
  <c r="E1656" i="10"/>
  <c r="D1656" i="10"/>
  <c r="G1655" i="10"/>
  <c r="F1655" i="10"/>
  <c r="E1655" i="10"/>
  <c r="D1655" i="10"/>
  <c r="G1654" i="10"/>
  <c r="F1654" i="10"/>
  <c r="E1654" i="10"/>
  <c r="D1654" i="10"/>
  <c r="G1653" i="10"/>
  <c r="F1653" i="10"/>
  <c r="E1653" i="10"/>
  <c r="D1653" i="10"/>
  <c r="G1652" i="10"/>
  <c r="F1652" i="10"/>
  <c r="E1652" i="10"/>
  <c r="D1652" i="10"/>
  <c r="G1651" i="10"/>
  <c r="F1651" i="10"/>
  <c r="E1651" i="10"/>
  <c r="D1651" i="10"/>
  <c r="G1650" i="10"/>
  <c r="F1650" i="10"/>
  <c r="E1650" i="10"/>
  <c r="D1650" i="10"/>
  <c r="G1649" i="10"/>
  <c r="F1649" i="10"/>
  <c r="E1649" i="10"/>
  <c r="D1649" i="10"/>
  <c r="G1648" i="10"/>
  <c r="F1648" i="10"/>
  <c r="E1648" i="10"/>
  <c r="D1648" i="10"/>
  <c r="G1647" i="10"/>
  <c r="F1647" i="10"/>
  <c r="E1647" i="10"/>
  <c r="D1647" i="10"/>
  <c r="G1646" i="10"/>
  <c r="F1646" i="10"/>
  <c r="E1646" i="10"/>
  <c r="D1646" i="10"/>
  <c r="G1645" i="10"/>
  <c r="F1645" i="10"/>
  <c r="E1645" i="10"/>
  <c r="D1645" i="10"/>
  <c r="G1644" i="10"/>
  <c r="F1644" i="10"/>
  <c r="E1644" i="10"/>
  <c r="D1644" i="10"/>
  <c r="G1643" i="10"/>
  <c r="F1643" i="10"/>
  <c r="E1643" i="10"/>
  <c r="D1643" i="10"/>
  <c r="G1642" i="10"/>
  <c r="F1642" i="10"/>
  <c r="E1642" i="10"/>
  <c r="D1642" i="10"/>
  <c r="G1641" i="10"/>
  <c r="F1641" i="10"/>
  <c r="E1641" i="10"/>
  <c r="D1641" i="10"/>
  <c r="G1640" i="10"/>
  <c r="F1640" i="10"/>
  <c r="E1640" i="10"/>
  <c r="D1640" i="10"/>
  <c r="G1639" i="10"/>
  <c r="F1639" i="10"/>
  <c r="E1639" i="10"/>
  <c r="D1639" i="10"/>
  <c r="G1638" i="10"/>
  <c r="F1638" i="10"/>
  <c r="E1638" i="10"/>
  <c r="D1638" i="10"/>
  <c r="G1637" i="10"/>
  <c r="F1637" i="10"/>
  <c r="E1637" i="10"/>
  <c r="D1637" i="10"/>
  <c r="G1636" i="10"/>
  <c r="F1636" i="10"/>
  <c r="E1636" i="10"/>
  <c r="D1636" i="10"/>
  <c r="G1635" i="10"/>
  <c r="F1635" i="10"/>
  <c r="E1635" i="10"/>
  <c r="D1635" i="10"/>
  <c r="G1634" i="10"/>
  <c r="F1634" i="10"/>
  <c r="E1634" i="10"/>
  <c r="D1634" i="10"/>
  <c r="G1633" i="10"/>
  <c r="F1633" i="10"/>
  <c r="E1633" i="10"/>
  <c r="D1633" i="10"/>
  <c r="G1632" i="10"/>
  <c r="F1632" i="10"/>
  <c r="E1632" i="10"/>
  <c r="D1632" i="10"/>
  <c r="G1631" i="10"/>
  <c r="F1631" i="10"/>
  <c r="E1631" i="10"/>
  <c r="D1631" i="10"/>
  <c r="G1630" i="10"/>
  <c r="F1630" i="10"/>
  <c r="E1630" i="10"/>
  <c r="D1630" i="10"/>
  <c r="G1629" i="10"/>
  <c r="F1629" i="10"/>
  <c r="E1629" i="10"/>
  <c r="D1629" i="10"/>
  <c r="G1628" i="10"/>
  <c r="F1628" i="10"/>
  <c r="E1628" i="10"/>
  <c r="D1628" i="10"/>
  <c r="G1627" i="10"/>
  <c r="F1627" i="10"/>
  <c r="E1627" i="10"/>
  <c r="D1627" i="10"/>
  <c r="G1626" i="10"/>
  <c r="F1626" i="10"/>
  <c r="E1626" i="10"/>
  <c r="D1626" i="10"/>
  <c r="G1625" i="10"/>
  <c r="F1625" i="10"/>
  <c r="E1625" i="10"/>
  <c r="D1625" i="10"/>
  <c r="G1624" i="10"/>
  <c r="F1624" i="10"/>
  <c r="E1624" i="10"/>
  <c r="D1624" i="10"/>
  <c r="G1623" i="10"/>
  <c r="F1623" i="10"/>
  <c r="E1623" i="10"/>
  <c r="D1623" i="10"/>
  <c r="G1622" i="10"/>
  <c r="F1622" i="10"/>
  <c r="E1622" i="10"/>
  <c r="D1622" i="10"/>
  <c r="G1621" i="10"/>
  <c r="F1621" i="10"/>
  <c r="E1621" i="10"/>
  <c r="D1621" i="10"/>
  <c r="G1620" i="10"/>
  <c r="F1620" i="10"/>
  <c r="E1620" i="10"/>
  <c r="D1620" i="10"/>
  <c r="G1619" i="10"/>
  <c r="F1619" i="10"/>
  <c r="E1619" i="10"/>
  <c r="D1619" i="10"/>
  <c r="G1618" i="10"/>
  <c r="F1618" i="10"/>
  <c r="E1618" i="10"/>
  <c r="D1618" i="10"/>
  <c r="G1617" i="10"/>
  <c r="F1617" i="10"/>
  <c r="E1617" i="10"/>
  <c r="D1617" i="10"/>
  <c r="G1616" i="10"/>
  <c r="F1616" i="10"/>
  <c r="E1616" i="10"/>
  <c r="D1616" i="10"/>
  <c r="G1615" i="10"/>
  <c r="F1615" i="10"/>
  <c r="E1615" i="10"/>
  <c r="D1615" i="10"/>
  <c r="G1614" i="10"/>
  <c r="F1614" i="10"/>
  <c r="E1614" i="10"/>
  <c r="D1614" i="10"/>
  <c r="G1613" i="10"/>
  <c r="F1613" i="10"/>
  <c r="E1613" i="10"/>
  <c r="D1613" i="10"/>
  <c r="G1612" i="10"/>
  <c r="F1612" i="10"/>
  <c r="E1612" i="10"/>
  <c r="D1612" i="10"/>
  <c r="G1611" i="10"/>
  <c r="F1611" i="10"/>
  <c r="E1611" i="10"/>
  <c r="D1611" i="10"/>
  <c r="G1610" i="10"/>
  <c r="F1610" i="10"/>
  <c r="E1610" i="10"/>
  <c r="D1610" i="10"/>
  <c r="G1609" i="10"/>
  <c r="F1609" i="10"/>
  <c r="E1609" i="10"/>
  <c r="D1609" i="10"/>
  <c r="G1608" i="10"/>
  <c r="F1608" i="10"/>
  <c r="E1608" i="10"/>
  <c r="D1608" i="10"/>
  <c r="G1607" i="10"/>
  <c r="F1607" i="10"/>
  <c r="E1607" i="10"/>
  <c r="D1607" i="10"/>
  <c r="G1606" i="10"/>
  <c r="F1606" i="10"/>
  <c r="E1606" i="10"/>
  <c r="D1606" i="10"/>
  <c r="G1605" i="10"/>
  <c r="F1605" i="10"/>
  <c r="E1605" i="10"/>
  <c r="D1605" i="10"/>
  <c r="G1604" i="10"/>
  <c r="F1604" i="10"/>
  <c r="E1604" i="10"/>
  <c r="D1604" i="10"/>
  <c r="G1603" i="10"/>
  <c r="F1603" i="10"/>
  <c r="E1603" i="10"/>
  <c r="D1603" i="10"/>
  <c r="G1602" i="10"/>
  <c r="F1602" i="10"/>
  <c r="E1602" i="10"/>
  <c r="D1602" i="10"/>
  <c r="G1601" i="10"/>
  <c r="F1601" i="10"/>
  <c r="E1601" i="10"/>
  <c r="D1601" i="10"/>
  <c r="G1600" i="10"/>
  <c r="F1600" i="10"/>
  <c r="E1600" i="10"/>
  <c r="D1600" i="10"/>
  <c r="G1599" i="10"/>
  <c r="F1599" i="10"/>
  <c r="E1599" i="10"/>
  <c r="D1599" i="10"/>
  <c r="G1598" i="10"/>
  <c r="F1598" i="10"/>
  <c r="E1598" i="10"/>
  <c r="D1598" i="10"/>
  <c r="G1597" i="10"/>
  <c r="F1597" i="10"/>
  <c r="E1597" i="10"/>
  <c r="D1597" i="10"/>
  <c r="G1596" i="10"/>
  <c r="F1596" i="10"/>
  <c r="E1596" i="10"/>
  <c r="D1596" i="10"/>
  <c r="G1595" i="10"/>
  <c r="F1595" i="10"/>
  <c r="E1595" i="10"/>
  <c r="D1595" i="10"/>
  <c r="G1594" i="10"/>
  <c r="F1594" i="10"/>
  <c r="E1594" i="10"/>
  <c r="D1594" i="10"/>
  <c r="G1593" i="10"/>
  <c r="F1593" i="10"/>
  <c r="E1593" i="10"/>
  <c r="D1593" i="10"/>
  <c r="G1592" i="10"/>
  <c r="F1592" i="10"/>
  <c r="E1592" i="10"/>
  <c r="D1592" i="10"/>
  <c r="G1591" i="10"/>
  <c r="F1591" i="10"/>
  <c r="E1591" i="10"/>
  <c r="D1591" i="10"/>
  <c r="G1590" i="10"/>
  <c r="F1590" i="10"/>
  <c r="E1590" i="10"/>
  <c r="D1590" i="10"/>
  <c r="G1589" i="10"/>
  <c r="F1589" i="10"/>
  <c r="E1589" i="10"/>
  <c r="D1589" i="10"/>
  <c r="G1588" i="10"/>
  <c r="F1588" i="10"/>
  <c r="E1588" i="10"/>
  <c r="D1588" i="10"/>
  <c r="G1587" i="10"/>
  <c r="F1587" i="10"/>
  <c r="E1587" i="10"/>
  <c r="D1587" i="10"/>
  <c r="G1586" i="10"/>
  <c r="F1586" i="10"/>
  <c r="E1586" i="10"/>
  <c r="D1586" i="10"/>
  <c r="G1585" i="10"/>
  <c r="F1585" i="10"/>
  <c r="E1585" i="10"/>
  <c r="D1585" i="10"/>
  <c r="G1584" i="10"/>
  <c r="F1584" i="10"/>
  <c r="E1584" i="10"/>
  <c r="D1584" i="10"/>
  <c r="G1583" i="10"/>
  <c r="F1583" i="10"/>
  <c r="E1583" i="10"/>
  <c r="D1583" i="10"/>
  <c r="G1582" i="10"/>
  <c r="F1582" i="10"/>
  <c r="E1582" i="10"/>
  <c r="D1582" i="10"/>
  <c r="G1581" i="10"/>
  <c r="F1581" i="10"/>
  <c r="E1581" i="10"/>
  <c r="D1581" i="10"/>
  <c r="G1580" i="10"/>
  <c r="F1580" i="10"/>
  <c r="E1580" i="10"/>
  <c r="D1580" i="10"/>
  <c r="G1579" i="10"/>
  <c r="F1579" i="10"/>
  <c r="E1579" i="10"/>
  <c r="D1579" i="10"/>
  <c r="G1578" i="10"/>
  <c r="F1578" i="10"/>
  <c r="E1578" i="10"/>
  <c r="D1578" i="10"/>
  <c r="G1577" i="10"/>
  <c r="F1577" i="10"/>
  <c r="E1577" i="10"/>
  <c r="D1577" i="10"/>
  <c r="G1576" i="10"/>
  <c r="F1576" i="10"/>
  <c r="E1576" i="10"/>
  <c r="D1576" i="10"/>
  <c r="G1575" i="10"/>
  <c r="F1575" i="10"/>
  <c r="E1575" i="10"/>
  <c r="D1575" i="10"/>
  <c r="G1574" i="10"/>
  <c r="F1574" i="10"/>
  <c r="E1574" i="10"/>
  <c r="D1574" i="10"/>
  <c r="G1573" i="10"/>
  <c r="F1573" i="10"/>
  <c r="E1573" i="10"/>
  <c r="D1573" i="10"/>
  <c r="G1572" i="10"/>
  <c r="F1572" i="10"/>
  <c r="E1572" i="10"/>
  <c r="D1572" i="10"/>
  <c r="G1571" i="10"/>
  <c r="F1571" i="10"/>
  <c r="E1571" i="10"/>
  <c r="D1571" i="10"/>
  <c r="G1570" i="10"/>
  <c r="F1570" i="10"/>
  <c r="E1570" i="10"/>
  <c r="D1570" i="10"/>
  <c r="G1569" i="10"/>
  <c r="F1569" i="10"/>
  <c r="E1569" i="10"/>
  <c r="D1569" i="10"/>
  <c r="G1568" i="10"/>
  <c r="F1568" i="10"/>
  <c r="E1568" i="10"/>
  <c r="D1568" i="10"/>
  <c r="G1567" i="10"/>
  <c r="F1567" i="10"/>
  <c r="E1567" i="10"/>
  <c r="D1567" i="10"/>
  <c r="G1566" i="10"/>
  <c r="F1566" i="10"/>
  <c r="E1566" i="10"/>
  <c r="D1566" i="10"/>
  <c r="G1565" i="10"/>
  <c r="F1565" i="10"/>
  <c r="E1565" i="10"/>
  <c r="D1565" i="10"/>
  <c r="G1564" i="10"/>
  <c r="F1564" i="10"/>
  <c r="E1564" i="10"/>
  <c r="D1564" i="10"/>
  <c r="G1563" i="10"/>
  <c r="F1563" i="10"/>
  <c r="E1563" i="10"/>
  <c r="D1563" i="10"/>
  <c r="G1562" i="10"/>
  <c r="F1562" i="10"/>
  <c r="E1562" i="10"/>
  <c r="D1562" i="10"/>
  <c r="G1561" i="10"/>
  <c r="F1561" i="10"/>
  <c r="E1561" i="10"/>
  <c r="D1561" i="10"/>
  <c r="G1560" i="10"/>
  <c r="F1560" i="10"/>
  <c r="E1560" i="10"/>
  <c r="D1560" i="10"/>
  <c r="G1559" i="10"/>
  <c r="F1559" i="10"/>
  <c r="E1559" i="10"/>
  <c r="D1559" i="10"/>
  <c r="G1558" i="10"/>
  <c r="F1558" i="10"/>
  <c r="E1558" i="10"/>
  <c r="D1558" i="10"/>
  <c r="G1557" i="10"/>
  <c r="F1557" i="10"/>
  <c r="E1557" i="10"/>
  <c r="D1557" i="10"/>
  <c r="G1556" i="10"/>
  <c r="F1556" i="10"/>
  <c r="E1556" i="10"/>
  <c r="D1556" i="10"/>
  <c r="G1555" i="10"/>
  <c r="F1555" i="10"/>
  <c r="E1555" i="10"/>
  <c r="D1555" i="10"/>
  <c r="G1554" i="10"/>
  <c r="F1554" i="10"/>
  <c r="E1554" i="10"/>
  <c r="D1554" i="10"/>
  <c r="G1553" i="10"/>
  <c r="F1553" i="10"/>
  <c r="E1553" i="10"/>
  <c r="D1553" i="10"/>
  <c r="G1552" i="10"/>
  <c r="F1552" i="10"/>
  <c r="E1552" i="10"/>
  <c r="D1552" i="10"/>
  <c r="G1551" i="10"/>
  <c r="F1551" i="10"/>
  <c r="E1551" i="10"/>
  <c r="D1551" i="10"/>
  <c r="G1550" i="10"/>
  <c r="F1550" i="10"/>
  <c r="E1550" i="10"/>
  <c r="D1550" i="10"/>
  <c r="G1549" i="10"/>
  <c r="F1549" i="10"/>
  <c r="E1549" i="10"/>
  <c r="D1549" i="10"/>
  <c r="G1548" i="10"/>
  <c r="F1548" i="10"/>
  <c r="E1548" i="10"/>
  <c r="D1548" i="10"/>
  <c r="G1547" i="10"/>
  <c r="F1547" i="10"/>
  <c r="E1547" i="10"/>
  <c r="D1547" i="10"/>
  <c r="G1546" i="10"/>
  <c r="F1546" i="10"/>
  <c r="E1546" i="10"/>
  <c r="D1546" i="10"/>
  <c r="G1545" i="10"/>
  <c r="F1545" i="10"/>
  <c r="E1545" i="10"/>
  <c r="D1545" i="10"/>
  <c r="G1544" i="10"/>
  <c r="F1544" i="10"/>
  <c r="E1544" i="10"/>
  <c r="D1544" i="10"/>
  <c r="G1543" i="10"/>
  <c r="F1543" i="10"/>
  <c r="E1543" i="10"/>
  <c r="D1543" i="10"/>
  <c r="G1542" i="10"/>
  <c r="F1542" i="10"/>
  <c r="E1542" i="10"/>
  <c r="D1542" i="10"/>
  <c r="G1541" i="10"/>
  <c r="F1541" i="10"/>
  <c r="E1541" i="10"/>
  <c r="D1541" i="10"/>
  <c r="G1540" i="10"/>
  <c r="F1540" i="10"/>
  <c r="E1540" i="10"/>
  <c r="D1540" i="10"/>
  <c r="G1539" i="10"/>
  <c r="F1539" i="10"/>
  <c r="E1539" i="10"/>
  <c r="D1539" i="10"/>
  <c r="G1538" i="10"/>
  <c r="F1538" i="10"/>
  <c r="E1538" i="10"/>
  <c r="D1538" i="10"/>
  <c r="G1537" i="10"/>
  <c r="F1537" i="10"/>
  <c r="E1537" i="10"/>
  <c r="D1537" i="10"/>
  <c r="G1536" i="10"/>
  <c r="F1536" i="10"/>
  <c r="E1536" i="10"/>
  <c r="D1536" i="10"/>
  <c r="G1535" i="10"/>
  <c r="F1535" i="10"/>
  <c r="E1535" i="10"/>
  <c r="D1535" i="10"/>
  <c r="G1534" i="10"/>
  <c r="F1534" i="10"/>
  <c r="E1534" i="10"/>
  <c r="D1534" i="10"/>
  <c r="G1533" i="10"/>
  <c r="F1533" i="10"/>
  <c r="E1533" i="10"/>
  <c r="D1533" i="10"/>
  <c r="G1532" i="10"/>
  <c r="F1532" i="10"/>
  <c r="E1532" i="10"/>
  <c r="D1532" i="10"/>
  <c r="G1531" i="10"/>
  <c r="F1531" i="10"/>
  <c r="E1531" i="10"/>
  <c r="D1531" i="10"/>
  <c r="G1530" i="10"/>
  <c r="F1530" i="10"/>
  <c r="E1530" i="10"/>
  <c r="D1530" i="10"/>
  <c r="G1529" i="10"/>
  <c r="F1529" i="10"/>
  <c r="E1529" i="10"/>
  <c r="D1529" i="10"/>
  <c r="G1528" i="10"/>
  <c r="F1528" i="10"/>
  <c r="E1528" i="10"/>
  <c r="D1528" i="10"/>
  <c r="G1527" i="10"/>
  <c r="F1527" i="10"/>
  <c r="E1527" i="10"/>
  <c r="D1527" i="10"/>
  <c r="G1526" i="10"/>
  <c r="F1526" i="10"/>
  <c r="E1526" i="10"/>
  <c r="D1526" i="10"/>
  <c r="G1525" i="10"/>
  <c r="F1525" i="10"/>
  <c r="E1525" i="10"/>
  <c r="D1525" i="10"/>
  <c r="G1524" i="10"/>
  <c r="F1524" i="10"/>
  <c r="E1524" i="10"/>
  <c r="D1524" i="10"/>
  <c r="G1523" i="10"/>
  <c r="F1523" i="10"/>
  <c r="E1523" i="10"/>
  <c r="D1523" i="10"/>
  <c r="G1522" i="10"/>
  <c r="F1522" i="10"/>
  <c r="E1522" i="10"/>
  <c r="D1522" i="10"/>
  <c r="G1521" i="10"/>
  <c r="F1521" i="10"/>
  <c r="E1521" i="10"/>
  <c r="D1521" i="10"/>
  <c r="G1520" i="10"/>
  <c r="F1520" i="10"/>
  <c r="E1520" i="10"/>
  <c r="D1520" i="10"/>
  <c r="G1519" i="10"/>
  <c r="F1519" i="10"/>
  <c r="E1519" i="10"/>
  <c r="D1519" i="10"/>
  <c r="G1518" i="10"/>
  <c r="F1518" i="10"/>
  <c r="E1518" i="10"/>
  <c r="D1518" i="10"/>
  <c r="G1517" i="10"/>
  <c r="F1517" i="10"/>
  <c r="E1517" i="10"/>
  <c r="D1517" i="10"/>
  <c r="G1516" i="10"/>
  <c r="F1516" i="10"/>
  <c r="E1516" i="10"/>
  <c r="D1516" i="10"/>
  <c r="G1515" i="10"/>
  <c r="F1515" i="10"/>
  <c r="E1515" i="10"/>
  <c r="D1515" i="10"/>
  <c r="G1514" i="10"/>
  <c r="F1514" i="10"/>
  <c r="E1514" i="10"/>
  <c r="D1514" i="10"/>
  <c r="G1513" i="10"/>
  <c r="F1513" i="10"/>
  <c r="E1513" i="10"/>
  <c r="D1513" i="10"/>
  <c r="G1512" i="10"/>
  <c r="F1512" i="10"/>
  <c r="E1512" i="10"/>
  <c r="D1512" i="10"/>
  <c r="G1511" i="10"/>
  <c r="F1511" i="10"/>
  <c r="E1511" i="10"/>
  <c r="D1511" i="10"/>
  <c r="G1510" i="10"/>
  <c r="F1510" i="10"/>
  <c r="E1510" i="10"/>
  <c r="D1510" i="10"/>
  <c r="G1509" i="10"/>
  <c r="F1509" i="10"/>
  <c r="E1509" i="10"/>
  <c r="D1509" i="10"/>
  <c r="G1508" i="10"/>
  <c r="F1508" i="10"/>
  <c r="E1508" i="10"/>
  <c r="D1508" i="10"/>
  <c r="G1507" i="10"/>
  <c r="F1507" i="10"/>
  <c r="E1507" i="10"/>
  <c r="D1507" i="10"/>
  <c r="G1506" i="10"/>
  <c r="F1506" i="10"/>
  <c r="E1506" i="10"/>
  <c r="D1506" i="10"/>
  <c r="G1505" i="10"/>
  <c r="F1505" i="10"/>
  <c r="E1505" i="10"/>
  <c r="D1505" i="10"/>
  <c r="G1504" i="10"/>
  <c r="F1504" i="10"/>
  <c r="E1504" i="10"/>
  <c r="D1504" i="10"/>
  <c r="G1503" i="10"/>
  <c r="F1503" i="10"/>
  <c r="E1503" i="10"/>
  <c r="D1503" i="10"/>
  <c r="G1502" i="10"/>
  <c r="F1502" i="10"/>
  <c r="E1502" i="10"/>
  <c r="D1502" i="10"/>
  <c r="G1501" i="10"/>
  <c r="F1501" i="10"/>
  <c r="E1501" i="10"/>
  <c r="D1501" i="10"/>
  <c r="G1500" i="10"/>
  <c r="F1500" i="10"/>
  <c r="E1500" i="10"/>
  <c r="D1500" i="10"/>
  <c r="G1499" i="10"/>
  <c r="F1499" i="10"/>
  <c r="E1499" i="10"/>
  <c r="D1499" i="10"/>
  <c r="G1498" i="10"/>
  <c r="F1498" i="10"/>
  <c r="E1498" i="10"/>
  <c r="D1498" i="10"/>
  <c r="G1497" i="10"/>
  <c r="F1497" i="10"/>
  <c r="E1497" i="10"/>
  <c r="D1497" i="10"/>
  <c r="G1496" i="10"/>
  <c r="F1496" i="10"/>
  <c r="E1496" i="10"/>
  <c r="D1496" i="10"/>
  <c r="G1495" i="10"/>
  <c r="F1495" i="10"/>
  <c r="E1495" i="10"/>
  <c r="D1495" i="10"/>
  <c r="G1494" i="10"/>
  <c r="F1494" i="10"/>
  <c r="E1494" i="10"/>
  <c r="D1494" i="10"/>
  <c r="G1493" i="10"/>
  <c r="F1493" i="10"/>
  <c r="E1493" i="10"/>
  <c r="D1493" i="10"/>
  <c r="G1492" i="10"/>
  <c r="F1492" i="10"/>
  <c r="E1492" i="10"/>
  <c r="D1492" i="10"/>
  <c r="G1491" i="10"/>
  <c r="F1491" i="10"/>
  <c r="E1491" i="10"/>
  <c r="D1491" i="10"/>
  <c r="G1490" i="10"/>
  <c r="F1490" i="10"/>
  <c r="E1490" i="10"/>
  <c r="D1490" i="10"/>
  <c r="G1489" i="10"/>
  <c r="F1489" i="10"/>
  <c r="E1489" i="10"/>
  <c r="D1489" i="10"/>
  <c r="G1488" i="10"/>
  <c r="F1488" i="10"/>
  <c r="E1488" i="10"/>
  <c r="D1488" i="10"/>
  <c r="G1487" i="10"/>
  <c r="F1487" i="10"/>
  <c r="E1487" i="10"/>
  <c r="D1487" i="10"/>
  <c r="G1486" i="10"/>
  <c r="F1486" i="10"/>
  <c r="E1486" i="10"/>
  <c r="D1486" i="10"/>
  <c r="G1485" i="10"/>
  <c r="F1485" i="10"/>
  <c r="E1485" i="10"/>
  <c r="D1485" i="10"/>
  <c r="G1484" i="10"/>
  <c r="F1484" i="10"/>
  <c r="E1484" i="10"/>
  <c r="D1484" i="10"/>
  <c r="G1483" i="10"/>
  <c r="F1483" i="10"/>
  <c r="E1483" i="10"/>
  <c r="D1483" i="10"/>
  <c r="G1482" i="10"/>
  <c r="F1482" i="10"/>
  <c r="E1482" i="10"/>
  <c r="D1482" i="10"/>
  <c r="G1481" i="10"/>
  <c r="F1481" i="10"/>
  <c r="E1481" i="10"/>
  <c r="D1481" i="10"/>
  <c r="G1480" i="10"/>
  <c r="F1480" i="10"/>
  <c r="E1480" i="10"/>
  <c r="D1480" i="10"/>
  <c r="G1479" i="10"/>
  <c r="F1479" i="10"/>
  <c r="E1479" i="10"/>
  <c r="D1479" i="10"/>
  <c r="G1478" i="10"/>
  <c r="F1478" i="10"/>
  <c r="E1478" i="10"/>
  <c r="D1478" i="10"/>
  <c r="G1477" i="10"/>
  <c r="F1477" i="10"/>
  <c r="E1477" i="10"/>
  <c r="D1477" i="10"/>
  <c r="G1476" i="10"/>
  <c r="F1476" i="10"/>
  <c r="E1476" i="10"/>
  <c r="D1476" i="10"/>
  <c r="G1475" i="10"/>
  <c r="F1475" i="10"/>
  <c r="E1475" i="10"/>
  <c r="D1475" i="10"/>
  <c r="G1474" i="10"/>
  <c r="F1474" i="10"/>
  <c r="E1474" i="10"/>
  <c r="D1474" i="10"/>
  <c r="G1473" i="10"/>
  <c r="F1473" i="10"/>
  <c r="E1473" i="10"/>
  <c r="D1473" i="10"/>
  <c r="G1472" i="10"/>
  <c r="F1472" i="10"/>
  <c r="E1472" i="10"/>
  <c r="D1472" i="10"/>
  <c r="G1471" i="10"/>
  <c r="F1471" i="10"/>
  <c r="E1471" i="10"/>
  <c r="D1471" i="10"/>
  <c r="G1470" i="10"/>
  <c r="F1470" i="10"/>
  <c r="E1470" i="10"/>
  <c r="D1470" i="10"/>
  <c r="G1469" i="10"/>
  <c r="F1469" i="10"/>
  <c r="E1469" i="10"/>
  <c r="D1469" i="10"/>
  <c r="G1468" i="10"/>
  <c r="F1468" i="10"/>
  <c r="E1468" i="10"/>
  <c r="D1468" i="10"/>
  <c r="G1467" i="10"/>
  <c r="F1467" i="10"/>
  <c r="E1467" i="10"/>
  <c r="D1467" i="10"/>
  <c r="G1466" i="10"/>
  <c r="F1466" i="10"/>
  <c r="E1466" i="10"/>
  <c r="D1466" i="10"/>
  <c r="G1465" i="10"/>
  <c r="F1465" i="10"/>
  <c r="E1465" i="10"/>
  <c r="D1465" i="10"/>
  <c r="G1464" i="10"/>
  <c r="F1464" i="10"/>
  <c r="E1464" i="10"/>
  <c r="D1464" i="10"/>
  <c r="G1463" i="10"/>
  <c r="F1463" i="10"/>
  <c r="E1463" i="10"/>
  <c r="D1463" i="10"/>
  <c r="G1462" i="10"/>
  <c r="F1462" i="10"/>
  <c r="E1462" i="10"/>
  <c r="D1462" i="10"/>
  <c r="G1461" i="10"/>
  <c r="F1461" i="10"/>
  <c r="E1461" i="10"/>
  <c r="D1461" i="10"/>
  <c r="G1460" i="10"/>
  <c r="F1460" i="10"/>
  <c r="E1460" i="10"/>
  <c r="D1460" i="10"/>
  <c r="G1459" i="10"/>
  <c r="F1459" i="10"/>
  <c r="E1459" i="10"/>
  <c r="D1459" i="10"/>
  <c r="G1458" i="10"/>
  <c r="F1458" i="10"/>
  <c r="E1458" i="10"/>
  <c r="D1458" i="10"/>
  <c r="G1457" i="10"/>
  <c r="F1457" i="10"/>
  <c r="E1457" i="10"/>
  <c r="D1457" i="10"/>
  <c r="G1456" i="10"/>
  <c r="F1456" i="10"/>
  <c r="E1456" i="10"/>
  <c r="D1456" i="10"/>
  <c r="G1455" i="10"/>
  <c r="F1455" i="10"/>
  <c r="E1455" i="10"/>
  <c r="D1455" i="10"/>
  <c r="G1454" i="10"/>
  <c r="F1454" i="10"/>
  <c r="E1454" i="10"/>
  <c r="D1454" i="10"/>
  <c r="G1453" i="10"/>
  <c r="F1453" i="10"/>
  <c r="E1453" i="10"/>
  <c r="D1453" i="10"/>
  <c r="G1452" i="10"/>
  <c r="F1452" i="10"/>
  <c r="E1452" i="10"/>
  <c r="D1452" i="10"/>
  <c r="G1451" i="10"/>
  <c r="F1451" i="10"/>
  <c r="E1451" i="10"/>
  <c r="D1451" i="10"/>
  <c r="G1450" i="10"/>
  <c r="F1450" i="10"/>
  <c r="E1450" i="10"/>
  <c r="D1450" i="10"/>
  <c r="G1449" i="10"/>
  <c r="F1449" i="10"/>
  <c r="E1449" i="10"/>
  <c r="D1449" i="10"/>
  <c r="G1448" i="10"/>
  <c r="F1448" i="10"/>
  <c r="E1448" i="10"/>
  <c r="D1448" i="10"/>
  <c r="G1447" i="10"/>
  <c r="F1447" i="10"/>
  <c r="E1447" i="10"/>
  <c r="D1447" i="10"/>
  <c r="G1446" i="10"/>
  <c r="F1446" i="10"/>
  <c r="E1446" i="10"/>
  <c r="D1446" i="10"/>
  <c r="G1445" i="10"/>
  <c r="F1445" i="10"/>
  <c r="E1445" i="10"/>
  <c r="D1445" i="10"/>
  <c r="G1444" i="10"/>
  <c r="F1444" i="10"/>
  <c r="E1444" i="10"/>
  <c r="D1444" i="10"/>
  <c r="G1443" i="10"/>
  <c r="F1443" i="10"/>
  <c r="E1443" i="10"/>
  <c r="D1443" i="10"/>
  <c r="G1442" i="10"/>
  <c r="F1442" i="10"/>
  <c r="E1442" i="10"/>
  <c r="D1442" i="10"/>
  <c r="G1441" i="10"/>
  <c r="F1441" i="10"/>
  <c r="E1441" i="10"/>
  <c r="D1441" i="10"/>
  <c r="G1440" i="10"/>
  <c r="F1440" i="10"/>
  <c r="E1440" i="10"/>
  <c r="D1440" i="10"/>
  <c r="G1439" i="10"/>
  <c r="F1439" i="10"/>
  <c r="E1439" i="10"/>
  <c r="D1439" i="10"/>
  <c r="G1438" i="10"/>
  <c r="F1438" i="10"/>
  <c r="E1438" i="10"/>
  <c r="D1438" i="10"/>
  <c r="G1437" i="10"/>
  <c r="F1437" i="10"/>
  <c r="E1437" i="10"/>
  <c r="D1437" i="10"/>
  <c r="G1436" i="10"/>
  <c r="F1436" i="10"/>
  <c r="E1436" i="10"/>
  <c r="D1436" i="10"/>
  <c r="G1435" i="10"/>
  <c r="F1435" i="10"/>
  <c r="E1435" i="10"/>
  <c r="D1435" i="10"/>
  <c r="G1434" i="10"/>
  <c r="F1434" i="10"/>
  <c r="E1434" i="10"/>
  <c r="D1434" i="10"/>
  <c r="G1433" i="10"/>
  <c r="F1433" i="10"/>
  <c r="E1433" i="10"/>
  <c r="D1433" i="10"/>
  <c r="G1432" i="10"/>
  <c r="F1432" i="10"/>
  <c r="E1432" i="10"/>
  <c r="D1432" i="10"/>
  <c r="G1431" i="10"/>
  <c r="F1431" i="10"/>
  <c r="E1431" i="10"/>
  <c r="D1431" i="10"/>
  <c r="G1430" i="10"/>
  <c r="F1430" i="10"/>
  <c r="E1430" i="10"/>
  <c r="D1430" i="10"/>
  <c r="G1429" i="10"/>
  <c r="F1429" i="10"/>
  <c r="E1429" i="10"/>
  <c r="D1429" i="10"/>
  <c r="G1428" i="10"/>
  <c r="F1428" i="10"/>
  <c r="E1428" i="10"/>
  <c r="D1428" i="10"/>
  <c r="G1427" i="10"/>
  <c r="F1427" i="10"/>
  <c r="E1427" i="10"/>
  <c r="D1427" i="10"/>
  <c r="G1426" i="10"/>
  <c r="F1426" i="10"/>
  <c r="E1426" i="10"/>
  <c r="D1426" i="10"/>
  <c r="G1425" i="10"/>
  <c r="F1425" i="10"/>
  <c r="E1425" i="10"/>
  <c r="D1425" i="10"/>
  <c r="G1424" i="10"/>
  <c r="F1424" i="10"/>
  <c r="E1424" i="10"/>
  <c r="D1424" i="10"/>
  <c r="G1423" i="10"/>
  <c r="F1423" i="10"/>
  <c r="E1423" i="10"/>
  <c r="D1423" i="10"/>
  <c r="G1422" i="10"/>
  <c r="F1422" i="10"/>
  <c r="E1422" i="10"/>
  <c r="D1422" i="10"/>
  <c r="G1421" i="10"/>
  <c r="F1421" i="10"/>
  <c r="E1421" i="10"/>
  <c r="D1421" i="10"/>
  <c r="G1420" i="10"/>
  <c r="F1420" i="10"/>
  <c r="E1420" i="10"/>
  <c r="D1420" i="10"/>
  <c r="G1419" i="10"/>
  <c r="F1419" i="10"/>
  <c r="E1419" i="10"/>
  <c r="D1419" i="10"/>
  <c r="G1418" i="10"/>
  <c r="F1418" i="10"/>
  <c r="E1418" i="10"/>
  <c r="D1418" i="10"/>
  <c r="G1417" i="10"/>
  <c r="F1417" i="10"/>
  <c r="E1417" i="10"/>
  <c r="D1417" i="10"/>
  <c r="G1416" i="10"/>
  <c r="F1416" i="10"/>
  <c r="E1416" i="10"/>
  <c r="D1416" i="10"/>
  <c r="G1415" i="10"/>
  <c r="F1415" i="10"/>
  <c r="E1415" i="10"/>
  <c r="D1415" i="10"/>
  <c r="G1414" i="10"/>
  <c r="F1414" i="10"/>
  <c r="E1414" i="10"/>
  <c r="D1414" i="10"/>
  <c r="G1413" i="10"/>
  <c r="F1413" i="10"/>
  <c r="E1413" i="10"/>
  <c r="D1413" i="10"/>
  <c r="G1412" i="10"/>
  <c r="F1412" i="10"/>
  <c r="E1412" i="10"/>
  <c r="D1412" i="10"/>
  <c r="G1411" i="10"/>
  <c r="F1411" i="10"/>
  <c r="E1411" i="10"/>
  <c r="D1411" i="10"/>
  <c r="G1410" i="10"/>
  <c r="F1410" i="10"/>
  <c r="E1410" i="10"/>
  <c r="D1410" i="10"/>
  <c r="G1409" i="10"/>
  <c r="F1409" i="10"/>
  <c r="E1409" i="10"/>
  <c r="D1409" i="10"/>
  <c r="G1408" i="10"/>
  <c r="F1408" i="10"/>
  <c r="E1408" i="10"/>
  <c r="D1408" i="10"/>
  <c r="G1407" i="10"/>
  <c r="F1407" i="10"/>
  <c r="E1407" i="10"/>
  <c r="D1407" i="10"/>
  <c r="G1406" i="10"/>
  <c r="F1406" i="10"/>
  <c r="E1406" i="10"/>
  <c r="D1406" i="10"/>
  <c r="G1405" i="10"/>
  <c r="F1405" i="10"/>
  <c r="E1405" i="10"/>
  <c r="D1405" i="10"/>
  <c r="G1404" i="10"/>
  <c r="F1404" i="10"/>
  <c r="E1404" i="10"/>
  <c r="D1404" i="10"/>
  <c r="G1403" i="10"/>
  <c r="F1403" i="10"/>
  <c r="E1403" i="10"/>
  <c r="D1403" i="10"/>
  <c r="G1402" i="10"/>
  <c r="F1402" i="10"/>
  <c r="E1402" i="10"/>
  <c r="D1402" i="10"/>
  <c r="G1401" i="10"/>
  <c r="F1401" i="10"/>
  <c r="E1401" i="10"/>
  <c r="D1401" i="10"/>
  <c r="G1400" i="10"/>
  <c r="F1400" i="10"/>
  <c r="E1400" i="10"/>
  <c r="D1400" i="10"/>
  <c r="G1399" i="10"/>
  <c r="F1399" i="10"/>
  <c r="E1399" i="10"/>
  <c r="D1399" i="10"/>
  <c r="G1398" i="10"/>
  <c r="F1398" i="10"/>
  <c r="E1398" i="10"/>
  <c r="D1398" i="10"/>
  <c r="G1397" i="10"/>
  <c r="F1397" i="10"/>
  <c r="E1397" i="10"/>
  <c r="D1397" i="10"/>
  <c r="G1396" i="10"/>
  <c r="F1396" i="10"/>
  <c r="E1396" i="10"/>
  <c r="D1396" i="10"/>
  <c r="G1395" i="10"/>
  <c r="F1395" i="10"/>
  <c r="E1395" i="10"/>
  <c r="D1395" i="10"/>
  <c r="G1394" i="10"/>
  <c r="F1394" i="10"/>
  <c r="E1394" i="10"/>
  <c r="D1394" i="10"/>
  <c r="G1393" i="10"/>
  <c r="F1393" i="10"/>
  <c r="E1393" i="10"/>
  <c r="D1393" i="10"/>
  <c r="G1392" i="10"/>
  <c r="F1392" i="10"/>
  <c r="E1392" i="10"/>
  <c r="D1392" i="10"/>
  <c r="G1391" i="10"/>
  <c r="F1391" i="10"/>
  <c r="E1391" i="10"/>
  <c r="D1391" i="10"/>
  <c r="G1390" i="10"/>
  <c r="F1390" i="10"/>
  <c r="E1390" i="10"/>
  <c r="D1390" i="10"/>
  <c r="G1389" i="10"/>
  <c r="F1389" i="10"/>
  <c r="E1389" i="10"/>
  <c r="D1389" i="10"/>
  <c r="G1388" i="10"/>
  <c r="F1388" i="10"/>
  <c r="E1388" i="10"/>
  <c r="D1388" i="10"/>
  <c r="G1387" i="10"/>
  <c r="F1387" i="10"/>
  <c r="E1387" i="10"/>
  <c r="D1387" i="10"/>
  <c r="G1386" i="10"/>
  <c r="F1386" i="10"/>
  <c r="E1386" i="10"/>
  <c r="D1386" i="10"/>
  <c r="G1385" i="10"/>
  <c r="F1385" i="10"/>
  <c r="E1385" i="10"/>
  <c r="D1385" i="10"/>
  <c r="G1384" i="10"/>
  <c r="F1384" i="10"/>
  <c r="E1384" i="10"/>
  <c r="D1384" i="10"/>
  <c r="G1383" i="10"/>
  <c r="F1383" i="10"/>
  <c r="E1383" i="10"/>
  <c r="D1383" i="10"/>
  <c r="G1382" i="10"/>
  <c r="F1382" i="10"/>
  <c r="E1382" i="10"/>
  <c r="D1382" i="10"/>
  <c r="G1381" i="10"/>
  <c r="F1381" i="10"/>
  <c r="E1381" i="10"/>
  <c r="D1381" i="10"/>
  <c r="G1380" i="10"/>
  <c r="F1380" i="10"/>
  <c r="E1380" i="10"/>
  <c r="D1380" i="10"/>
  <c r="G1379" i="10"/>
  <c r="F1379" i="10"/>
  <c r="E1379" i="10"/>
  <c r="D1379" i="10"/>
  <c r="G1378" i="10"/>
  <c r="F1378" i="10"/>
  <c r="E1378" i="10"/>
  <c r="D1378" i="10"/>
  <c r="G1377" i="10"/>
  <c r="F1377" i="10"/>
  <c r="E1377" i="10"/>
  <c r="D1377" i="10"/>
  <c r="G1376" i="10"/>
  <c r="F1376" i="10"/>
  <c r="E1376" i="10"/>
  <c r="D1376" i="10"/>
  <c r="G1375" i="10"/>
  <c r="F1375" i="10"/>
  <c r="E1375" i="10"/>
  <c r="D1375" i="10"/>
  <c r="G1374" i="10"/>
  <c r="F1374" i="10"/>
  <c r="E1374" i="10"/>
  <c r="D1374" i="10"/>
  <c r="G1373" i="10"/>
  <c r="F1373" i="10"/>
  <c r="E1373" i="10"/>
  <c r="D1373" i="10"/>
  <c r="G1372" i="10"/>
  <c r="F1372" i="10"/>
  <c r="E1372" i="10"/>
  <c r="D1372" i="10"/>
  <c r="G1371" i="10"/>
  <c r="F1371" i="10"/>
  <c r="E1371" i="10"/>
  <c r="D1371" i="10"/>
  <c r="G1370" i="10"/>
  <c r="F1370" i="10"/>
  <c r="E1370" i="10"/>
  <c r="D1370" i="10"/>
  <c r="G1369" i="10"/>
  <c r="F1369" i="10"/>
  <c r="E1369" i="10"/>
  <c r="D1369" i="10"/>
  <c r="G1368" i="10"/>
  <c r="F1368" i="10"/>
  <c r="E1368" i="10"/>
  <c r="D1368" i="10"/>
  <c r="G1367" i="10"/>
  <c r="F1367" i="10"/>
  <c r="E1367" i="10"/>
  <c r="D1367" i="10"/>
  <c r="G1366" i="10"/>
  <c r="F1366" i="10"/>
  <c r="E1366" i="10"/>
  <c r="D1366" i="10"/>
  <c r="G1365" i="10"/>
  <c r="F1365" i="10"/>
  <c r="E1365" i="10"/>
  <c r="D1365" i="10"/>
  <c r="G1364" i="10"/>
  <c r="F1364" i="10"/>
  <c r="E1364" i="10"/>
  <c r="D1364" i="10"/>
  <c r="G1363" i="10"/>
  <c r="F1363" i="10"/>
  <c r="E1363" i="10"/>
  <c r="D1363" i="10"/>
  <c r="G1362" i="10"/>
  <c r="F1362" i="10"/>
  <c r="E1362" i="10"/>
  <c r="D1362" i="10"/>
  <c r="G1361" i="10"/>
  <c r="F1361" i="10"/>
  <c r="E1361" i="10"/>
  <c r="D1361" i="10"/>
  <c r="G1360" i="10"/>
  <c r="F1360" i="10"/>
  <c r="E1360" i="10"/>
  <c r="D1360" i="10"/>
  <c r="G1359" i="10"/>
  <c r="F1359" i="10"/>
  <c r="E1359" i="10"/>
  <c r="D1359" i="10"/>
  <c r="G1358" i="10"/>
  <c r="F1358" i="10"/>
  <c r="E1358" i="10"/>
  <c r="D1358" i="10"/>
  <c r="G1357" i="10"/>
  <c r="F1357" i="10"/>
  <c r="E1357" i="10"/>
  <c r="D1357" i="10"/>
  <c r="G1356" i="10"/>
  <c r="F1356" i="10"/>
  <c r="E1356" i="10"/>
  <c r="D1356" i="10"/>
  <c r="G1355" i="10"/>
  <c r="F1355" i="10"/>
  <c r="E1355" i="10"/>
  <c r="D1355" i="10"/>
  <c r="G1354" i="10"/>
  <c r="F1354" i="10"/>
  <c r="E1354" i="10"/>
  <c r="D1354" i="10"/>
  <c r="G1353" i="10"/>
  <c r="F1353" i="10"/>
  <c r="E1353" i="10"/>
  <c r="D1353" i="10"/>
  <c r="G1352" i="10"/>
  <c r="F1352" i="10"/>
  <c r="E1352" i="10"/>
  <c r="D1352" i="10"/>
  <c r="G1351" i="10"/>
  <c r="F1351" i="10"/>
  <c r="E1351" i="10"/>
  <c r="D1351" i="10"/>
  <c r="G1350" i="10"/>
  <c r="F1350" i="10"/>
  <c r="E1350" i="10"/>
  <c r="D1350" i="10"/>
  <c r="G1349" i="10"/>
  <c r="F1349" i="10"/>
  <c r="E1349" i="10"/>
  <c r="D1349" i="10"/>
  <c r="G1348" i="10"/>
  <c r="F1348" i="10"/>
  <c r="E1348" i="10"/>
  <c r="D1348" i="10"/>
  <c r="G1347" i="10"/>
  <c r="F1347" i="10"/>
  <c r="E1347" i="10"/>
  <c r="D1347" i="10"/>
  <c r="G1346" i="10"/>
  <c r="F1346" i="10"/>
  <c r="E1346" i="10"/>
  <c r="D1346" i="10"/>
  <c r="G1345" i="10"/>
  <c r="F1345" i="10"/>
  <c r="E1345" i="10"/>
  <c r="D1345" i="10"/>
  <c r="G1344" i="10"/>
  <c r="F1344" i="10"/>
  <c r="E1344" i="10"/>
  <c r="D1344" i="10"/>
  <c r="G1343" i="10"/>
  <c r="F1343" i="10"/>
  <c r="E1343" i="10"/>
  <c r="D1343" i="10"/>
  <c r="G1342" i="10"/>
  <c r="F1342" i="10"/>
  <c r="E1342" i="10"/>
  <c r="D1342" i="10"/>
  <c r="G1341" i="10"/>
  <c r="F1341" i="10"/>
  <c r="E1341" i="10"/>
  <c r="D1341" i="10"/>
  <c r="G1340" i="10"/>
  <c r="F1340" i="10"/>
  <c r="E1340" i="10"/>
  <c r="D1340" i="10"/>
  <c r="G1339" i="10"/>
  <c r="F1339" i="10"/>
  <c r="E1339" i="10"/>
  <c r="D1339" i="10"/>
  <c r="G1338" i="10"/>
  <c r="F1338" i="10"/>
  <c r="E1338" i="10"/>
  <c r="D1338" i="10"/>
  <c r="G1337" i="10"/>
  <c r="F1337" i="10"/>
  <c r="E1337" i="10"/>
  <c r="D1337" i="10"/>
  <c r="G1336" i="10"/>
  <c r="F1336" i="10"/>
  <c r="E1336" i="10"/>
  <c r="D1336" i="10"/>
  <c r="G1335" i="10"/>
  <c r="F1335" i="10"/>
  <c r="E1335" i="10"/>
  <c r="D1335" i="10"/>
  <c r="G1334" i="10"/>
  <c r="F1334" i="10"/>
  <c r="E1334" i="10"/>
  <c r="D1334" i="10"/>
  <c r="G1333" i="10"/>
  <c r="F1333" i="10"/>
  <c r="E1333" i="10"/>
  <c r="D1333" i="10"/>
  <c r="G1332" i="10"/>
  <c r="F1332" i="10"/>
  <c r="E1332" i="10"/>
  <c r="D1332" i="10"/>
  <c r="G1331" i="10"/>
  <c r="F1331" i="10"/>
  <c r="E1331" i="10"/>
  <c r="D1331" i="10"/>
  <c r="G1330" i="10"/>
  <c r="F1330" i="10"/>
  <c r="E1330" i="10"/>
  <c r="D1330" i="10"/>
  <c r="G1329" i="10"/>
  <c r="F1329" i="10"/>
  <c r="E1329" i="10"/>
  <c r="D1329" i="10"/>
  <c r="G1328" i="10"/>
  <c r="F1328" i="10"/>
  <c r="E1328" i="10"/>
  <c r="D1328" i="10"/>
  <c r="G1327" i="10"/>
  <c r="F1327" i="10"/>
  <c r="E1327" i="10"/>
  <c r="D1327" i="10"/>
  <c r="G1326" i="10"/>
  <c r="F1326" i="10"/>
  <c r="E1326" i="10"/>
  <c r="D1326" i="10"/>
  <c r="G1325" i="10"/>
  <c r="F1325" i="10"/>
  <c r="E1325" i="10"/>
  <c r="D1325" i="10"/>
  <c r="G1324" i="10"/>
  <c r="F1324" i="10"/>
  <c r="E1324" i="10"/>
  <c r="D1324" i="10"/>
  <c r="G1323" i="10"/>
  <c r="F1323" i="10"/>
  <c r="E1323" i="10"/>
  <c r="D1323" i="10"/>
  <c r="G1322" i="10"/>
  <c r="F1322" i="10"/>
  <c r="E1322" i="10"/>
  <c r="D1322" i="10"/>
  <c r="G1321" i="10"/>
  <c r="F1321" i="10"/>
  <c r="E1321" i="10"/>
  <c r="D1321" i="10"/>
  <c r="G1320" i="10"/>
  <c r="F1320" i="10"/>
  <c r="E1320" i="10"/>
  <c r="D1320" i="10"/>
  <c r="G1319" i="10"/>
  <c r="F1319" i="10"/>
  <c r="E1319" i="10"/>
  <c r="D1319" i="10"/>
  <c r="G1318" i="10"/>
  <c r="F1318" i="10"/>
  <c r="E1318" i="10"/>
  <c r="D1318" i="10"/>
  <c r="G1317" i="10"/>
  <c r="F1317" i="10"/>
  <c r="E1317" i="10"/>
  <c r="D1317" i="10"/>
  <c r="G1316" i="10"/>
  <c r="F1316" i="10"/>
  <c r="E1316" i="10"/>
  <c r="D1316" i="10"/>
  <c r="G1315" i="10"/>
  <c r="F1315" i="10"/>
  <c r="E1315" i="10"/>
  <c r="D1315" i="10"/>
  <c r="G1314" i="10"/>
  <c r="F1314" i="10"/>
  <c r="E1314" i="10"/>
  <c r="D1314" i="10"/>
  <c r="G1313" i="10"/>
  <c r="F1313" i="10"/>
  <c r="E1313" i="10"/>
  <c r="D1313" i="10"/>
  <c r="G1312" i="10"/>
  <c r="F1312" i="10"/>
  <c r="E1312" i="10"/>
  <c r="D1312" i="10"/>
  <c r="G1311" i="10"/>
  <c r="F1311" i="10"/>
  <c r="E1311" i="10"/>
  <c r="D1311" i="10"/>
  <c r="G1310" i="10"/>
  <c r="F1310" i="10"/>
  <c r="E1310" i="10"/>
  <c r="D1310" i="10"/>
  <c r="G1309" i="10"/>
  <c r="F1309" i="10"/>
  <c r="E1309" i="10"/>
  <c r="D1309" i="10"/>
  <c r="G1308" i="10"/>
  <c r="F1308" i="10"/>
  <c r="E1308" i="10"/>
  <c r="D1308" i="10"/>
  <c r="G1307" i="10"/>
  <c r="F1307" i="10"/>
  <c r="E1307" i="10"/>
  <c r="D1307" i="10"/>
  <c r="G1306" i="10"/>
  <c r="F1306" i="10"/>
  <c r="E1306" i="10"/>
  <c r="D1306" i="10"/>
  <c r="G1305" i="10"/>
  <c r="F1305" i="10"/>
  <c r="E1305" i="10"/>
  <c r="D1305" i="10"/>
  <c r="G1304" i="10"/>
  <c r="F1304" i="10"/>
  <c r="E1304" i="10"/>
  <c r="D1304" i="10"/>
  <c r="G1303" i="10"/>
  <c r="F1303" i="10"/>
  <c r="E1303" i="10"/>
  <c r="D1303" i="10"/>
  <c r="G1302" i="10"/>
  <c r="F1302" i="10"/>
  <c r="E1302" i="10"/>
  <c r="D1302" i="10"/>
  <c r="G1301" i="10"/>
  <c r="F1301" i="10"/>
  <c r="E1301" i="10"/>
  <c r="D1301" i="10"/>
  <c r="G1300" i="10"/>
  <c r="F1300" i="10"/>
  <c r="E1300" i="10"/>
  <c r="D1300" i="10"/>
  <c r="G1299" i="10"/>
  <c r="F1299" i="10"/>
  <c r="E1299" i="10"/>
  <c r="D1299" i="10"/>
  <c r="G1298" i="10"/>
  <c r="F1298" i="10"/>
  <c r="E1298" i="10"/>
  <c r="D1298" i="10"/>
  <c r="G1297" i="10"/>
  <c r="F1297" i="10"/>
  <c r="E1297" i="10"/>
  <c r="D1297" i="10"/>
  <c r="G1296" i="10"/>
  <c r="F1296" i="10"/>
  <c r="E1296" i="10"/>
  <c r="D1296" i="10"/>
  <c r="G1295" i="10"/>
  <c r="F1295" i="10"/>
  <c r="E1295" i="10"/>
  <c r="D1295" i="10"/>
  <c r="G1294" i="10"/>
  <c r="F1294" i="10"/>
  <c r="E1294" i="10"/>
  <c r="D1294" i="10"/>
  <c r="G1293" i="10"/>
  <c r="F1293" i="10"/>
  <c r="E1293" i="10"/>
  <c r="D1293" i="10"/>
  <c r="G1292" i="10"/>
  <c r="F1292" i="10"/>
  <c r="E1292" i="10"/>
  <c r="D1292" i="10"/>
  <c r="G1291" i="10"/>
  <c r="F1291" i="10"/>
  <c r="E1291" i="10"/>
  <c r="D1291" i="10"/>
  <c r="G1290" i="10"/>
  <c r="F1290" i="10"/>
  <c r="E1290" i="10"/>
  <c r="D1290" i="10"/>
  <c r="G1289" i="10"/>
  <c r="F1289" i="10"/>
  <c r="E1289" i="10"/>
  <c r="D1289" i="10"/>
  <c r="G1288" i="10"/>
  <c r="F1288" i="10"/>
  <c r="E1288" i="10"/>
  <c r="D1288" i="10"/>
  <c r="G1287" i="10"/>
  <c r="F1287" i="10"/>
  <c r="E1287" i="10"/>
  <c r="D1287" i="10"/>
  <c r="G1286" i="10"/>
  <c r="F1286" i="10"/>
  <c r="E1286" i="10"/>
  <c r="D1286" i="10"/>
  <c r="G1285" i="10"/>
  <c r="F1285" i="10"/>
  <c r="E1285" i="10"/>
  <c r="D1285" i="10"/>
  <c r="G1284" i="10"/>
  <c r="F1284" i="10"/>
  <c r="E1284" i="10"/>
  <c r="D1284" i="10"/>
  <c r="G1283" i="10"/>
  <c r="F1283" i="10"/>
  <c r="E1283" i="10"/>
  <c r="D1283" i="10"/>
  <c r="G1282" i="10"/>
  <c r="F1282" i="10"/>
  <c r="E1282" i="10"/>
  <c r="D1282" i="10"/>
  <c r="G1281" i="10"/>
  <c r="F1281" i="10"/>
  <c r="E1281" i="10"/>
  <c r="D1281" i="10"/>
  <c r="G1280" i="10"/>
  <c r="F1280" i="10"/>
  <c r="E1280" i="10"/>
  <c r="D1280" i="10"/>
  <c r="G1279" i="10"/>
  <c r="F1279" i="10"/>
  <c r="E1279" i="10"/>
  <c r="D1279" i="10"/>
  <c r="G1278" i="10"/>
  <c r="F1278" i="10"/>
  <c r="E1278" i="10"/>
  <c r="D1278" i="10"/>
  <c r="G1277" i="10"/>
  <c r="F1277" i="10"/>
  <c r="E1277" i="10"/>
  <c r="D1277" i="10"/>
  <c r="G1276" i="10"/>
  <c r="F1276" i="10"/>
  <c r="E1276" i="10"/>
  <c r="D1276" i="10"/>
  <c r="G1275" i="10"/>
  <c r="F1275" i="10"/>
  <c r="E1275" i="10"/>
  <c r="D1275" i="10"/>
  <c r="G1274" i="10"/>
  <c r="F1274" i="10"/>
  <c r="E1274" i="10"/>
  <c r="D1274" i="10"/>
  <c r="G1273" i="10"/>
  <c r="F1273" i="10"/>
  <c r="E1273" i="10"/>
  <c r="D1273" i="10"/>
  <c r="G1272" i="10"/>
  <c r="F1272" i="10"/>
  <c r="E1272" i="10"/>
  <c r="D1272" i="10"/>
  <c r="G1271" i="10"/>
  <c r="F1271" i="10"/>
  <c r="E1271" i="10"/>
  <c r="D1271" i="10"/>
  <c r="G1270" i="10"/>
  <c r="F1270" i="10"/>
  <c r="E1270" i="10"/>
  <c r="D1270" i="10"/>
  <c r="G1269" i="10"/>
  <c r="F1269" i="10"/>
  <c r="E1269" i="10"/>
  <c r="D1269" i="10"/>
  <c r="G1268" i="10"/>
  <c r="F1268" i="10"/>
  <c r="E1268" i="10"/>
  <c r="D1268" i="10"/>
  <c r="G1267" i="10"/>
  <c r="F1267" i="10"/>
  <c r="E1267" i="10"/>
  <c r="D1267" i="10"/>
  <c r="G1266" i="10"/>
  <c r="F1266" i="10"/>
  <c r="E1266" i="10"/>
  <c r="D1266" i="10"/>
  <c r="G1265" i="10"/>
  <c r="F1265" i="10"/>
  <c r="E1265" i="10"/>
  <c r="D1265" i="10"/>
  <c r="G1264" i="10"/>
  <c r="F1264" i="10"/>
  <c r="E1264" i="10"/>
  <c r="D1264" i="10"/>
  <c r="G1263" i="10"/>
  <c r="F1263" i="10"/>
  <c r="E1263" i="10"/>
  <c r="D1263" i="10"/>
  <c r="G1262" i="10"/>
  <c r="F1262" i="10"/>
  <c r="E1262" i="10"/>
  <c r="D1262" i="10"/>
  <c r="G1261" i="10"/>
  <c r="F1261" i="10"/>
  <c r="E1261" i="10"/>
  <c r="D1261" i="10"/>
  <c r="G1260" i="10"/>
  <c r="F1260" i="10"/>
  <c r="E1260" i="10"/>
  <c r="D1260" i="10"/>
  <c r="G1259" i="10"/>
  <c r="F1259" i="10"/>
  <c r="E1259" i="10"/>
  <c r="D1259" i="10"/>
  <c r="G1258" i="10"/>
  <c r="F1258" i="10"/>
  <c r="E1258" i="10"/>
  <c r="D1258" i="10"/>
  <c r="G1257" i="10"/>
  <c r="F1257" i="10"/>
  <c r="E1257" i="10"/>
  <c r="D1257" i="10"/>
  <c r="G1256" i="10"/>
  <c r="F1256" i="10"/>
  <c r="E1256" i="10"/>
  <c r="D1256" i="10"/>
  <c r="G1255" i="10"/>
  <c r="F1255" i="10"/>
  <c r="E1255" i="10"/>
  <c r="D1255" i="10"/>
  <c r="G1254" i="10"/>
  <c r="F1254" i="10"/>
  <c r="E1254" i="10"/>
  <c r="D1254" i="10"/>
  <c r="G1253" i="10"/>
  <c r="F1253" i="10"/>
  <c r="E1253" i="10"/>
  <c r="D1253" i="10"/>
  <c r="G1252" i="10"/>
  <c r="F1252" i="10"/>
  <c r="E1252" i="10"/>
  <c r="D1252" i="10"/>
  <c r="G1251" i="10"/>
  <c r="F1251" i="10"/>
  <c r="E1251" i="10"/>
  <c r="D1251" i="10"/>
  <c r="G1250" i="10"/>
  <c r="F1250" i="10"/>
  <c r="E1250" i="10"/>
  <c r="D1250" i="10"/>
  <c r="G1249" i="10"/>
  <c r="F1249" i="10"/>
  <c r="E1249" i="10"/>
  <c r="D1249" i="10"/>
  <c r="G1248" i="10"/>
  <c r="F1248" i="10"/>
  <c r="E1248" i="10"/>
  <c r="D1248" i="10"/>
  <c r="G1247" i="10"/>
  <c r="F1247" i="10"/>
  <c r="E1247" i="10"/>
  <c r="D1247" i="10"/>
  <c r="G1246" i="10"/>
  <c r="F1246" i="10"/>
  <c r="E1246" i="10"/>
  <c r="D1246" i="10"/>
  <c r="G1245" i="10"/>
  <c r="F1245" i="10"/>
  <c r="E1245" i="10"/>
  <c r="D1245" i="10"/>
  <c r="G1244" i="10"/>
  <c r="F1244" i="10"/>
  <c r="E1244" i="10"/>
  <c r="D1244" i="10"/>
  <c r="G1243" i="10"/>
  <c r="F1243" i="10"/>
  <c r="E1243" i="10"/>
  <c r="D1243" i="10"/>
  <c r="G1242" i="10"/>
  <c r="F1242" i="10"/>
  <c r="E1242" i="10"/>
  <c r="D1242" i="10"/>
  <c r="G1241" i="10"/>
  <c r="F1241" i="10"/>
  <c r="E1241" i="10"/>
  <c r="D1241" i="10"/>
  <c r="G1240" i="10"/>
  <c r="F1240" i="10"/>
  <c r="E1240" i="10"/>
  <c r="D1240" i="10"/>
  <c r="G1239" i="10"/>
  <c r="F1239" i="10"/>
  <c r="E1239" i="10"/>
  <c r="D1239" i="10"/>
  <c r="G1238" i="10"/>
  <c r="F1238" i="10"/>
  <c r="E1238" i="10"/>
  <c r="D1238" i="10"/>
  <c r="G1237" i="10"/>
  <c r="F1237" i="10"/>
  <c r="E1237" i="10"/>
  <c r="D1237" i="10"/>
  <c r="G1236" i="10"/>
  <c r="F1236" i="10"/>
  <c r="E1236" i="10"/>
  <c r="D1236" i="10"/>
  <c r="G1235" i="10"/>
  <c r="F1235" i="10"/>
  <c r="E1235" i="10"/>
  <c r="D1235" i="10"/>
  <c r="G1234" i="10"/>
  <c r="F1234" i="10"/>
  <c r="E1234" i="10"/>
  <c r="D1234" i="10"/>
  <c r="G1233" i="10"/>
  <c r="F1233" i="10"/>
  <c r="E1233" i="10"/>
  <c r="D1233" i="10"/>
  <c r="G1232" i="10"/>
  <c r="F1232" i="10"/>
  <c r="E1232" i="10"/>
  <c r="D1232" i="10"/>
  <c r="G1231" i="10"/>
  <c r="F1231" i="10"/>
  <c r="E1231" i="10"/>
  <c r="D1231" i="10"/>
  <c r="G1230" i="10"/>
  <c r="F1230" i="10"/>
  <c r="E1230" i="10"/>
  <c r="D1230" i="10"/>
  <c r="G1229" i="10"/>
  <c r="F1229" i="10"/>
  <c r="E1229" i="10"/>
  <c r="D1229" i="10"/>
  <c r="G1228" i="10"/>
  <c r="F1228" i="10"/>
  <c r="E1228" i="10"/>
  <c r="D1228" i="10"/>
  <c r="G1227" i="10"/>
  <c r="F1227" i="10"/>
  <c r="E1227" i="10"/>
  <c r="D1227" i="10"/>
  <c r="G1226" i="10"/>
  <c r="F1226" i="10"/>
  <c r="E1226" i="10"/>
  <c r="D1226" i="10"/>
  <c r="G1225" i="10"/>
  <c r="F1225" i="10"/>
  <c r="E1225" i="10"/>
  <c r="D1225" i="10"/>
  <c r="G1224" i="10"/>
  <c r="F1224" i="10"/>
  <c r="E1224" i="10"/>
  <c r="D1224" i="10"/>
  <c r="G1223" i="10"/>
  <c r="F1223" i="10"/>
  <c r="E1223" i="10"/>
  <c r="D1223" i="10"/>
  <c r="G1222" i="10"/>
  <c r="F1222" i="10"/>
  <c r="E1222" i="10"/>
  <c r="D1222" i="10"/>
  <c r="G1221" i="10"/>
  <c r="F1221" i="10"/>
  <c r="E1221" i="10"/>
  <c r="D1221" i="10"/>
  <c r="G1220" i="10"/>
  <c r="F1220" i="10"/>
  <c r="E1220" i="10"/>
  <c r="D1220" i="10"/>
  <c r="G1219" i="10"/>
  <c r="F1219" i="10"/>
  <c r="E1219" i="10"/>
  <c r="D1219" i="10"/>
  <c r="G1218" i="10"/>
  <c r="F1218" i="10"/>
  <c r="E1218" i="10"/>
  <c r="D1218" i="10"/>
  <c r="G1217" i="10"/>
  <c r="F1217" i="10"/>
  <c r="E1217" i="10"/>
  <c r="D1217" i="10"/>
  <c r="G1216" i="10"/>
  <c r="F1216" i="10"/>
  <c r="E1216" i="10"/>
  <c r="D1216" i="10"/>
  <c r="G1215" i="10"/>
  <c r="F1215" i="10"/>
  <c r="E1215" i="10"/>
  <c r="D1215" i="10"/>
  <c r="G1214" i="10"/>
  <c r="F1214" i="10"/>
  <c r="E1214" i="10"/>
  <c r="D1214" i="10"/>
  <c r="G1213" i="10"/>
  <c r="F1213" i="10"/>
  <c r="E1213" i="10"/>
  <c r="D1213" i="10"/>
  <c r="G1212" i="10"/>
  <c r="F1212" i="10"/>
  <c r="E1212" i="10"/>
  <c r="D1212" i="10"/>
  <c r="G1211" i="10"/>
  <c r="F1211" i="10"/>
  <c r="E1211" i="10"/>
  <c r="D1211" i="10"/>
  <c r="G1210" i="10"/>
  <c r="F1210" i="10"/>
  <c r="E1210" i="10"/>
  <c r="D1210" i="10"/>
  <c r="G1209" i="10"/>
  <c r="F1209" i="10"/>
  <c r="E1209" i="10"/>
  <c r="D1209" i="10"/>
  <c r="G1208" i="10"/>
  <c r="F1208" i="10"/>
  <c r="E1208" i="10"/>
  <c r="D1208" i="10"/>
  <c r="G1207" i="10"/>
  <c r="F1207" i="10"/>
  <c r="E1207" i="10"/>
  <c r="D1207" i="10"/>
  <c r="G1206" i="10"/>
  <c r="F1206" i="10"/>
  <c r="E1206" i="10"/>
  <c r="D1206" i="10"/>
  <c r="G1205" i="10"/>
  <c r="F1205" i="10"/>
  <c r="E1205" i="10"/>
  <c r="D1205" i="10"/>
  <c r="G1204" i="10"/>
  <c r="F1204" i="10"/>
  <c r="E1204" i="10"/>
  <c r="D1204" i="10"/>
  <c r="G1203" i="10"/>
  <c r="F1203" i="10"/>
  <c r="E1203" i="10"/>
  <c r="D1203" i="10"/>
  <c r="G1202" i="10"/>
  <c r="F1202" i="10"/>
  <c r="E1202" i="10"/>
  <c r="D1202" i="10"/>
  <c r="G1201" i="10"/>
  <c r="F1201" i="10"/>
  <c r="E1201" i="10"/>
  <c r="D1201" i="10"/>
  <c r="G1200" i="10"/>
  <c r="F1200" i="10"/>
  <c r="E1200" i="10"/>
  <c r="D1200" i="10"/>
  <c r="G1199" i="10"/>
  <c r="F1199" i="10"/>
  <c r="E1199" i="10"/>
  <c r="D1199" i="10"/>
  <c r="G1198" i="10"/>
  <c r="F1198" i="10"/>
  <c r="E1198" i="10"/>
  <c r="D1198" i="10"/>
  <c r="G1197" i="10"/>
  <c r="F1197" i="10"/>
  <c r="E1197" i="10"/>
  <c r="D1197" i="10"/>
  <c r="G1196" i="10"/>
  <c r="F1196" i="10"/>
  <c r="E1196" i="10"/>
  <c r="D1196" i="10"/>
  <c r="G1195" i="10"/>
  <c r="F1195" i="10"/>
  <c r="E1195" i="10"/>
  <c r="D1195" i="10"/>
  <c r="G1194" i="10"/>
  <c r="F1194" i="10"/>
  <c r="E1194" i="10"/>
  <c r="D1194" i="10"/>
  <c r="G1193" i="10"/>
  <c r="F1193" i="10"/>
  <c r="E1193" i="10"/>
  <c r="D1193" i="10"/>
  <c r="G1192" i="10"/>
  <c r="F1192" i="10"/>
  <c r="E1192" i="10"/>
  <c r="D1192" i="10"/>
  <c r="G1191" i="10"/>
  <c r="F1191" i="10"/>
  <c r="E1191" i="10"/>
  <c r="D1191" i="10"/>
  <c r="G1190" i="10"/>
  <c r="F1190" i="10"/>
  <c r="E1190" i="10"/>
  <c r="D1190" i="10"/>
  <c r="G1189" i="10"/>
  <c r="F1189" i="10"/>
  <c r="E1189" i="10"/>
  <c r="D1189" i="10"/>
  <c r="G1188" i="10"/>
  <c r="F1188" i="10"/>
  <c r="E1188" i="10"/>
  <c r="D1188" i="10"/>
  <c r="G1187" i="10"/>
  <c r="F1187" i="10"/>
  <c r="E1187" i="10"/>
  <c r="D1187" i="10"/>
  <c r="G1186" i="10"/>
  <c r="F1186" i="10"/>
  <c r="E1186" i="10"/>
  <c r="D1186" i="10"/>
  <c r="G1185" i="10"/>
  <c r="F1185" i="10"/>
  <c r="E1185" i="10"/>
  <c r="D1185" i="10"/>
  <c r="G1184" i="10"/>
  <c r="F1184" i="10"/>
  <c r="E1184" i="10"/>
  <c r="D1184" i="10"/>
  <c r="G1183" i="10"/>
  <c r="F1183" i="10"/>
  <c r="E1183" i="10"/>
  <c r="D1183" i="10"/>
  <c r="G1182" i="10"/>
  <c r="F1182" i="10"/>
  <c r="E1182" i="10"/>
  <c r="D1182" i="10"/>
  <c r="G1181" i="10"/>
  <c r="F1181" i="10"/>
  <c r="E1181" i="10"/>
  <c r="D1181" i="10"/>
  <c r="G1180" i="10"/>
  <c r="F1180" i="10"/>
  <c r="E1180" i="10"/>
  <c r="D1180" i="10"/>
  <c r="G1179" i="10"/>
  <c r="F1179" i="10"/>
  <c r="E1179" i="10"/>
  <c r="D1179" i="10"/>
  <c r="G1178" i="10"/>
  <c r="F1178" i="10"/>
  <c r="E1178" i="10"/>
  <c r="D1178" i="10"/>
  <c r="G1177" i="10"/>
  <c r="F1177" i="10"/>
  <c r="E1177" i="10"/>
  <c r="D1177" i="10"/>
  <c r="G1176" i="10"/>
  <c r="F1176" i="10"/>
  <c r="E1176" i="10"/>
  <c r="D1176" i="10"/>
  <c r="G1175" i="10"/>
  <c r="F1175" i="10"/>
  <c r="E1175" i="10"/>
  <c r="D1175" i="10"/>
  <c r="G1174" i="10"/>
  <c r="F1174" i="10"/>
  <c r="E1174" i="10"/>
  <c r="D1174" i="10"/>
  <c r="G1173" i="10"/>
  <c r="F1173" i="10"/>
  <c r="E1173" i="10"/>
  <c r="D1173" i="10"/>
  <c r="G1172" i="10"/>
  <c r="F1172" i="10"/>
  <c r="E1172" i="10"/>
  <c r="D1172" i="10"/>
  <c r="G1171" i="10"/>
  <c r="F1171" i="10"/>
  <c r="E1171" i="10"/>
  <c r="D1171" i="10"/>
  <c r="G1170" i="10"/>
  <c r="F1170" i="10"/>
  <c r="E1170" i="10"/>
  <c r="D1170" i="10"/>
  <c r="G1169" i="10"/>
  <c r="F1169" i="10"/>
  <c r="E1169" i="10"/>
  <c r="D1169" i="10"/>
  <c r="G1168" i="10"/>
  <c r="F1168" i="10"/>
  <c r="E1168" i="10"/>
  <c r="D1168" i="10"/>
  <c r="G1167" i="10"/>
  <c r="F1167" i="10"/>
  <c r="E1167" i="10"/>
  <c r="D1167" i="10"/>
  <c r="G1166" i="10"/>
  <c r="F1166" i="10"/>
  <c r="E1166" i="10"/>
  <c r="D1166" i="10"/>
  <c r="G1165" i="10"/>
  <c r="F1165" i="10"/>
  <c r="E1165" i="10"/>
  <c r="D1165" i="10"/>
  <c r="G1164" i="10"/>
  <c r="F1164" i="10"/>
  <c r="E1164" i="10"/>
  <c r="D1164" i="10"/>
  <c r="G1163" i="10"/>
  <c r="F1163" i="10"/>
  <c r="E1163" i="10"/>
  <c r="D1163" i="10"/>
  <c r="G1162" i="10"/>
  <c r="F1162" i="10"/>
  <c r="E1162" i="10"/>
  <c r="D1162" i="10"/>
  <c r="G1161" i="10"/>
  <c r="F1161" i="10"/>
  <c r="E1161" i="10"/>
  <c r="D1161" i="10"/>
  <c r="G1160" i="10"/>
  <c r="F1160" i="10"/>
  <c r="E1160" i="10"/>
  <c r="D1160" i="10"/>
  <c r="G1159" i="10"/>
  <c r="F1159" i="10"/>
  <c r="E1159" i="10"/>
  <c r="D1159" i="10"/>
  <c r="G1158" i="10"/>
  <c r="F1158" i="10"/>
  <c r="E1158" i="10"/>
  <c r="D1158" i="10"/>
  <c r="G1157" i="10"/>
  <c r="F1157" i="10"/>
  <c r="E1157" i="10"/>
  <c r="D1157" i="10"/>
  <c r="G1156" i="10"/>
  <c r="F1156" i="10"/>
  <c r="E1156" i="10"/>
  <c r="D1156" i="10"/>
  <c r="G1155" i="10"/>
  <c r="F1155" i="10"/>
  <c r="E1155" i="10"/>
  <c r="D1155" i="10"/>
  <c r="G1154" i="10"/>
  <c r="F1154" i="10"/>
  <c r="E1154" i="10"/>
  <c r="D1154" i="10"/>
  <c r="G1153" i="10"/>
  <c r="F1153" i="10"/>
  <c r="E1153" i="10"/>
  <c r="D1153" i="10"/>
  <c r="G1152" i="10"/>
  <c r="F1152" i="10"/>
  <c r="E1152" i="10"/>
  <c r="D1152" i="10"/>
  <c r="G1151" i="10"/>
  <c r="F1151" i="10"/>
  <c r="E1151" i="10"/>
  <c r="D1151" i="10"/>
  <c r="G1150" i="10"/>
  <c r="F1150" i="10"/>
  <c r="E1150" i="10"/>
  <c r="D1150" i="10"/>
  <c r="G1149" i="10"/>
  <c r="F1149" i="10"/>
  <c r="E1149" i="10"/>
  <c r="D1149" i="10"/>
  <c r="G1148" i="10"/>
  <c r="F1148" i="10"/>
  <c r="E1148" i="10"/>
  <c r="D1148" i="10"/>
  <c r="G1147" i="10"/>
  <c r="F1147" i="10"/>
  <c r="E1147" i="10"/>
  <c r="D1147" i="10"/>
  <c r="G1146" i="10"/>
  <c r="F1146" i="10"/>
  <c r="E1146" i="10"/>
  <c r="D1146" i="10"/>
  <c r="G1145" i="10"/>
  <c r="F1145" i="10"/>
  <c r="E1145" i="10"/>
  <c r="D1145" i="10"/>
  <c r="G1144" i="10"/>
  <c r="F1144" i="10"/>
  <c r="E1144" i="10"/>
  <c r="D1144" i="10"/>
  <c r="G1143" i="10"/>
  <c r="F1143" i="10"/>
  <c r="E1143" i="10"/>
  <c r="D1143" i="10"/>
  <c r="G1142" i="10"/>
  <c r="F1142" i="10"/>
  <c r="E1142" i="10"/>
  <c r="D1142" i="10"/>
  <c r="G1141" i="10"/>
  <c r="F1141" i="10"/>
  <c r="E1141" i="10"/>
  <c r="D1141" i="10"/>
  <c r="G1140" i="10"/>
  <c r="F1140" i="10"/>
  <c r="E1140" i="10"/>
  <c r="D1140" i="10"/>
  <c r="G1139" i="10"/>
  <c r="F1139" i="10"/>
  <c r="E1139" i="10"/>
  <c r="D1139" i="10"/>
  <c r="G1138" i="10"/>
  <c r="F1138" i="10"/>
  <c r="E1138" i="10"/>
  <c r="D1138" i="10"/>
  <c r="G1137" i="10"/>
  <c r="F1137" i="10"/>
  <c r="E1137" i="10"/>
  <c r="D1137" i="10"/>
  <c r="G1136" i="10"/>
  <c r="F1136" i="10"/>
  <c r="E1136" i="10"/>
  <c r="D1136" i="10"/>
  <c r="G1135" i="10"/>
  <c r="F1135" i="10"/>
  <c r="E1135" i="10"/>
  <c r="D1135" i="10"/>
  <c r="G1134" i="10"/>
  <c r="F1134" i="10"/>
  <c r="E1134" i="10"/>
  <c r="D1134" i="10"/>
  <c r="G1133" i="10"/>
  <c r="F1133" i="10"/>
  <c r="E1133" i="10"/>
  <c r="D1133" i="10"/>
  <c r="G1132" i="10"/>
  <c r="F1132" i="10"/>
  <c r="E1132" i="10"/>
  <c r="D1132" i="10"/>
  <c r="G1131" i="10"/>
  <c r="F1131" i="10"/>
  <c r="E1131" i="10"/>
  <c r="D1131" i="10"/>
  <c r="G1130" i="10"/>
  <c r="F1130" i="10"/>
  <c r="E1130" i="10"/>
  <c r="D1130" i="10"/>
  <c r="G1129" i="10"/>
  <c r="F1129" i="10"/>
  <c r="E1129" i="10"/>
  <c r="D1129" i="10"/>
  <c r="G1128" i="10"/>
  <c r="F1128" i="10"/>
  <c r="E1128" i="10"/>
  <c r="D1128" i="10"/>
  <c r="G1127" i="10"/>
  <c r="F1127" i="10"/>
  <c r="E1127" i="10"/>
  <c r="D1127" i="10"/>
  <c r="G1126" i="10"/>
  <c r="F1126" i="10"/>
  <c r="E1126" i="10"/>
  <c r="D1126" i="10"/>
  <c r="G1125" i="10"/>
  <c r="F1125" i="10"/>
  <c r="E1125" i="10"/>
  <c r="D1125" i="10"/>
  <c r="G1124" i="10"/>
  <c r="F1124" i="10"/>
  <c r="E1124" i="10"/>
  <c r="D1124" i="10"/>
  <c r="G1123" i="10"/>
  <c r="F1123" i="10"/>
  <c r="E1123" i="10"/>
  <c r="D1123" i="10"/>
  <c r="G1122" i="10"/>
  <c r="F1122" i="10"/>
  <c r="E1122" i="10"/>
  <c r="D1122" i="10"/>
  <c r="G1121" i="10"/>
  <c r="F1121" i="10"/>
  <c r="E1121" i="10"/>
  <c r="D1121" i="10"/>
  <c r="G1120" i="10"/>
  <c r="F1120" i="10"/>
  <c r="E1120" i="10"/>
  <c r="D1120" i="10"/>
  <c r="G1119" i="10"/>
  <c r="F1119" i="10"/>
  <c r="E1119" i="10"/>
  <c r="D1119" i="10"/>
  <c r="G1118" i="10"/>
  <c r="F1118" i="10"/>
  <c r="E1118" i="10"/>
  <c r="D1118" i="10"/>
  <c r="G1117" i="10"/>
  <c r="F1117" i="10"/>
  <c r="E1117" i="10"/>
  <c r="D1117" i="10"/>
  <c r="G1116" i="10"/>
  <c r="F1116" i="10"/>
  <c r="E1116" i="10"/>
  <c r="D1116" i="10"/>
  <c r="G1115" i="10"/>
  <c r="F1115" i="10"/>
  <c r="E1115" i="10"/>
  <c r="D1115" i="10"/>
  <c r="G1114" i="10"/>
  <c r="F1114" i="10"/>
  <c r="E1114" i="10"/>
  <c r="D1114" i="10"/>
  <c r="G1113" i="10"/>
  <c r="F1113" i="10"/>
  <c r="E1113" i="10"/>
  <c r="D1113" i="10"/>
  <c r="G1112" i="10"/>
  <c r="F1112" i="10"/>
  <c r="E1112" i="10"/>
  <c r="D1112" i="10"/>
  <c r="G1111" i="10"/>
  <c r="F1111" i="10"/>
  <c r="E1111" i="10"/>
  <c r="D1111" i="10"/>
  <c r="G1110" i="10"/>
  <c r="F1110" i="10"/>
  <c r="E1110" i="10"/>
  <c r="D1110" i="10"/>
  <c r="G1109" i="10"/>
  <c r="F1109" i="10"/>
  <c r="E1109" i="10"/>
  <c r="D1109" i="10"/>
  <c r="G1108" i="10"/>
  <c r="F1108" i="10"/>
  <c r="E1108" i="10"/>
  <c r="D1108" i="10"/>
  <c r="G1107" i="10"/>
  <c r="F1107" i="10"/>
  <c r="E1107" i="10"/>
  <c r="D1107" i="10"/>
  <c r="G1106" i="10"/>
  <c r="F1106" i="10"/>
  <c r="E1106" i="10"/>
  <c r="D1106" i="10"/>
  <c r="G1105" i="10"/>
  <c r="F1105" i="10"/>
  <c r="E1105" i="10"/>
  <c r="D1105" i="10"/>
  <c r="G1104" i="10"/>
  <c r="F1104" i="10"/>
  <c r="E1104" i="10"/>
  <c r="D1104" i="10"/>
  <c r="G1103" i="10"/>
  <c r="F1103" i="10"/>
  <c r="E1103" i="10"/>
  <c r="D1103" i="10"/>
  <c r="G1102" i="10"/>
  <c r="F1102" i="10"/>
  <c r="E1102" i="10"/>
  <c r="D1102" i="10"/>
  <c r="G1101" i="10"/>
  <c r="F1101" i="10"/>
  <c r="E1101" i="10"/>
  <c r="D1101" i="10"/>
  <c r="G1100" i="10"/>
  <c r="F1100" i="10"/>
  <c r="E1100" i="10"/>
  <c r="D1100" i="10"/>
  <c r="G1099" i="10"/>
  <c r="F1099" i="10"/>
  <c r="E1099" i="10"/>
  <c r="D1099" i="10"/>
  <c r="G1098" i="10"/>
  <c r="F1098" i="10"/>
  <c r="E1098" i="10"/>
  <c r="D1098" i="10"/>
  <c r="G1097" i="10"/>
  <c r="F1097" i="10"/>
  <c r="E1097" i="10"/>
  <c r="D1097" i="10"/>
  <c r="G1096" i="10"/>
  <c r="F1096" i="10"/>
  <c r="E1096" i="10"/>
  <c r="D1096" i="10"/>
  <c r="G1095" i="10"/>
  <c r="F1095" i="10"/>
  <c r="E1095" i="10"/>
  <c r="D1095" i="10"/>
  <c r="G1094" i="10"/>
  <c r="F1094" i="10"/>
  <c r="E1094" i="10"/>
  <c r="D1094" i="10"/>
  <c r="G1093" i="10"/>
  <c r="F1093" i="10"/>
  <c r="E1093" i="10"/>
  <c r="D1093" i="10"/>
  <c r="G1092" i="10"/>
  <c r="F1092" i="10"/>
  <c r="E1092" i="10"/>
  <c r="D1092" i="10"/>
  <c r="G1091" i="10"/>
  <c r="F1091" i="10"/>
  <c r="E1091" i="10"/>
  <c r="D1091" i="10"/>
  <c r="G1090" i="10"/>
  <c r="F1090" i="10"/>
  <c r="E1090" i="10"/>
  <c r="D1090" i="10"/>
  <c r="G1089" i="10"/>
  <c r="F1089" i="10"/>
  <c r="E1089" i="10"/>
  <c r="D1089" i="10"/>
  <c r="G1088" i="10"/>
  <c r="F1088" i="10"/>
  <c r="E1088" i="10"/>
  <c r="D1088" i="10"/>
  <c r="G1087" i="10"/>
  <c r="F1087" i="10"/>
  <c r="E1087" i="10"/>
  <c r="D1087" i="10"/>
  <c r="G1086" i="10"/>
  <c r="F1086" i="10"/>
  <c r="E1086" i="10"/>
  <c r="D1086" i="10"/>
  <c r="G1085" i="10"/>
  <c r="F1085" i="10"/>
  <c r="E1085" i="10"/>
  <c r="D1085" i="10"/>
  <c r="G1084" i="10"/>
  <c r="F1084" i="10"/>
  <c r="E1084" i="10"/>
  <c r="D1084" i="10"/>
  <c r="G1083" i="10"/>
  <c r="F1083" i="10"/>
  <c r="E1083" i="10"/>
  <c r="D1083" i="10"/>
  <c r="G1082" i="10"/>
  <c r="F1082" i="10"/>
  <c r="E1082" i="10"/>
  <c r="D1082" i="10"/>
  <c r="G1081" i="10"/>
  <c r="F1081" i="10"/>
  <c r="E1081" i="10"/>
  <c r="D1081" i="10"/>
  <c r="G1080" i="10"/>
  <c r="F1080" i="10"/>
  <c r="E1080" i="10"/>
  <c r="D1080" i="10"/>
  <c r="G1079" i="10"/>
  <c r="F1079" i="10"/>
  <c r="E1079" i="10"/>
  <c r="D1079" i="10"/>
  <c r="G1078" i="10"/>
  <c r="F1078" i="10"/>
  <c r="E1078" i="10"/>
  <c r="D1078" i="10"/>
  <c r="G1077" i="10"/>
  <c r="F1077" i="10"/>
  <c r="E1077" i="10"/>
  <c r="D1077" i="10"/>
  <c r="G1076" i="10"/>
  <c r="F1076" i="10"/>
  <c r="E1076" i="10"/>
  <c r="D1076" i="10"/>
  <c r="G1075" i="10"/>
  <c r="F1075" i="10"/>
  <c r="E1075" i="10"/>
  <c r="D1075" i="10"/>
  <c r="G1074" i="10"/>
  <c r="F1074" i="10"/>
  <c r="E1074" i="10"/>
  <c r="D1074" i="10"/>
  <c r="G1073" i="10"/>
  <c r="F1073" i="10"/>
  <c r="E1073" i="10"/>
  <c r="D1073" i="10"/>
  <c r="G1072" i="10"/>
  <c r="F1072" i="10"/>
  <c r="E1072" i="10"/>
  <c r="D1072" i="10"/>
  <c r="G1071" i="10"/>
  <c r="F1071" i="10"/>
  <c r="E1071" i="10"/>
  <c r="D1071" i="10"/>
  <c r="G1070" i="10"/>
  <c r="F1070" i="10"/>
  <c r="E1070" i="10"/>
  <c r="D1070" i="10"/>
  <c r="G1069" i="10"/>
  <c r="F1069" i="10"/>
  <c r="E1069" i="10"/>
  <c r="D1069" i="10"/>
  <c r="G1068" i="10"/>
  <c r="F1068" i="10"/>
  <c r="E1068" i="10"/>
  <c r="D1068" i="10"/>
  <c r="G1067" i="10"/>
  <c r="F1067" i="10"/>
  <c r="E1067" i="10"/>
  <c r="D1067" i="10"/>
  <c r="G1066" i="10"/>
  <c r="F1066" i="10"/>
  <c r="E1066" i="10"/>
  <c r="D1066" i="10"/>
  <c r="G1065" i="10"/>
  <c r="F1065" i="10"/>
  <c r="E1065" i="10"/>
  <c r="D1065" i="10"/>
  <c r="G1064" i="10"/>
  <c r="F1064" i="10"/>
  <c r="E1064" i="10"/>
  <c r="D1064" i="10"/>
  <c r="G1063" i="10"/>
  <c r="F1063" i="10"/>
  <c r="E1063" i="10"/>
  <c r="D1063" i="10"/>
  <c r="G1062" i="10"/>
  <c r="F1062" i="10"/>
  <c r="E1062" i="10"/>
  <c r="D1062" i="10"/>
  <c r="G1061" i="10"/>
  <c r="F1061" i="10"/>
  <c r="E1061" i="10"/>
  <c r="D1061" i="10"/>
  <c r="G1060" i="10"/>
  <c r="F1060" i="10"/>
  <c r="E1060" i="10"/>
  <c r="D1060" i="10"/>
  <c r="G1059" i="10"/>
  <c r="F1059" i="10"/>
  <c r="E1059" i="10"/>
  <c r="D1059" i="10"/>
  <c r="G1058" i="10"/>
  <c r="F1058" i="10"/>
  <c r="E1058" i="10"/>
  <c r="D1058" i="10"/>
  <c r="G1057" i="10"/>
  <c r="F1057" i="10"/>
  <c r="E1057" i="10"/>
  <c r="D1057" i="10"/>
  <c r="G1056" i="10"/>
  <c r="F1056" i="10"/>
  <c r="E1056" i="10"/>
  <c r="D1056" i="10"/>
  <c r="G1055" i="10"/>
  <c r="F1055" i="10"/>
  <c r="E1055" i="10"/>
  <c r="D1055" i="10"/>
  <c r="G1054" i="10"/>
  <c r="F1054" i="10"/>
  <c r="E1054" i="10"/>
  <c r="D1054" i="10"/>
  <c r="G1053" i="10"/>
  <c r="F1053" i="10"/>
  <c r="E1053" i="10"/>
  <c r="D1053" i="10"/>
  <c r="G1052" i="10"/>
  <c r="F1052" i="10"/>
  <c r="E1052" i="10"/>
  <c r="D1052" i="10"/>
  <c r="G1051" i="10"/>
  <c r="F1051" i="10"/>
  <c r="E1051" i="10"/>
  <c r="D1051" i="10"/>
  <c r="G1050" i="10"/>
  <c r="F1050" i="10"/>
  <c r="E1050" i="10"/>
  <c r="D1050" i="10"/>
  <c r="G1049" i="10"/>
  <c r="F1049" i="10"/>
  <c r="E1049" i="10"/>
  <c r="D1049" i="10"/>
  <c r="G1048" i="10"/>
  <c r="F1048" i="10"/>
  <c r="E1048" i="10"/>
  <c r="D1048" i="10"/>
  <c r="G1047" i="10"/>
  <c r="F1047" i="10"/>
  <c r="E1047" i="10"/>
  <c r="D1047" i="10"/>
  <c r="G1046" i="10"/>
  <c r="F1046" i="10"/>
  <c r="E1046" i="10"/>
  <c r="D1046" i="10"/>
  <c r="G1045" i="10"/>
  <c r="F1045" i="10"/>
  <c r="E1045" i="10"/>
  <c r="D1045" i="10"/>
  <c r="G1044" i="10"/>
  <c r="F1044" i="10"/>
  <c r="E1044" i="10"/>
  <c r="D1044" i="10"/>
  <c r="G1043" i="10"/>
  <c r="F1043" i="10"/>
  <c r="E1043" i="10"/>
  <c r="D1043" i="10"/>
  <c r="G1042" i="10"/>
  <c r="F1042" i="10"/>
  <c r="E1042" i="10"/>
  <c r="D1042" i="10"/>
  <c r="G1041" i="10"/>
  <c r="F1041" i="10"/>
  <c r="E1041" i="10"/>
  <c r="D1041" i="10"/>
  <c r="G1040" i="10"/>
  <c r="F1040" i="10"/>
  <c r="E1040" i="10"/>
  <c r="D1040" i="10"/>
  <c r="G1039" i="10"/>
  <c r="F1039" i="10"/>
  <c r="E1039" i="10"/>
  <c r="D1039" i="10"/>
  <c r="G1038" i="10"/>
  <c r="F1038" i="10"/>
  <c r="E1038" i="10"/>
  <c r="D1038" i="10"/>
  <c r="G1037" i="10"/>
  <c r="F1037" i="10"/>
  <c r="E1037" i="10"/>
  <c r="D1037" i="10"/>
  <c r="G1036" i="10"/>
  <c r="F1036" i="10"/>
  <c r="E1036" i="10"/>
  <c r="D1036" i="10"/>
  <c r="G1035" i="10"/>
  <c r="F1035" i="10"/>
  <c r="E1035" i="10"/>
  <c r="D1035" i="10"/>
  <c r="G1034" i="10"/>
  <c r="F1034" i="10"/>
  <c r="E1034" i="10"/>
  <c r="D1034" i="10"/>
  <c r="G1033" i="10"/>
  <c r="F1033" i="10"/>
  <c r="E1033" i="10"/>
  <c r="D1033" i="10"/>
  <c r="G1032" i="10"/>
  <c r="F1032" i="10"/>
  <c r="E1032" i="10"/>
  <c r="D1032" i="10"/>
  <c r="G1031" i="10"/>
  <c r="F1031" i="10"/>
  <c r="E1031" i="10"/>
  <c r="D1031" i="10"/>
  <c r="G1030" i="10"/>
  <c r="F1030" i="10"/>
  <c r="E1030" i="10"/>
  <c r="D1030" i="10"/>
  <c r="G1029" i="10"/>
  <c r="F1029" i="10"/>
  <c r="E1029" i="10"/>
  <c r="D1029" i="10"/>
  <c r="G1028" i="10"/>
  <c r="F1028" i="10"/>
  <c r="E1028" i="10"/>
  <c r="D1028" i="10"/>
  <c r="G1027" i="10"/>
  <c r="F1027" i="10"/>
  <c r="E1027" i="10"/>
  <c r="D1027" i="10"/>
  <c r="G1026" i="10"/>
  <c r="F1026" i="10"/>
  <c r="E1026" i="10"/>
  <c r="D1026" i="10"/>
  <c r="G1025" i="10"/>
  <c r="F1025" i="10"/>
  <c r="E1025" i="10"/>
  <c r="D1025" i="10"/>
  <c r="G1024" i="10"/>
  <c r="F1024" i="10"/>
  <c r="E1024" i="10"/>
  <c r="D1024" i="10"/>
  <c r="G1023" i="10"/>
  <c r="F1023" i="10"/>
  <c r="E1023" i="10"/>
  <c r="D1023" i="10"/>
  <c r="G1022" i="10"/>
  <c r="F1022" i="10"/>
  <c r="E1022" i="10"/>
  <c r="D1022" i="10"/>
  <c r="G1021" i="10"/>
  <c r="F1021" i="10"/>
  <c r="E1021" i="10"/>
  <c r="D1021" i="10"/>
  <c r="G1020" i="10"/>
  <c r="F1020" i="10"/>
  <c r="E1020" i="10"/>
  <c r="D1020" i="10"/>
  <c r="G1019" i="10"/>
  <c r="F1019" i="10"/>
  <c r="E1019" i="10"/>
  <c r="D1019" i="10"/>
  <c r="G1018" i="10"/>
  <c r="F1018" i="10"/>
  <c r="E1018" i="10"/>
  <c r="D1018" i="10"/>
  <c r="G1017" i="10"/>
  <c r="F1017" i="10"/>
  <c r="E1017" i="10"/>
  <c r="D1017" i="10"/>
  <c r="G1016" i="10"/>
  <c r="F1016" i="10"/>
  <c r="E1016" i="10"/>
  <c r="D1016" i="10"/>
  <c r="G1015" i="10"/>
  <c r="F1015" i="10"/>
  <c r="E1015" i="10"/>
  <c r="D1015" i="10"/>
  <c r="G1014" i="10"/>
  <c r="F1014" i="10"/>
  <c r="E1014" i="10"/>
  <c r="D1014" i="10"/>
  <c r="G1013" i="10"/>
  <c r="F1013" i="10"/>
  <c r="E1013" i="10"/>
  <c r="D1013" i="10"/>
  <c r="G1012" i="10"/>
  <c r="F1012" i="10"/>
  <c r="E1012" i="10"/>
  <c r="D1012" i="10"/>
  <c r="G1011" i="10"/>
  <c r="F1011" i="10"/>
  <c r="E1011" i="10"/>
  <c r="D1011" i="10"/>
  <c r="G1010" i="10"/>
  <c r="F1010" i="10"/>
  <c r="E1010" i="10"/>
  <c r="D1010" i="10"/>
  <c r="G1009" i="10"/>
  <c r="F1009" i="10"/>
  <c r="E1009" i="10"/>
  <c r="D1009" i="10"/>
  <c r="G1008" i="10"/>
  <c r="F1008" i="10"/>
  <c r="E1008" i="10"/>
  <c r="D1008" i="10"/>
  <c r="G1007" i="10"/>
  <c r="F1007" i="10"/>
  <c r="E1007" i="10"/>
  <c r="D1007" i="10"/>
  <c r="G1006" i="10"/>
  <c r="F1006" i="10"/>
  <c r="E1006" i="10"/>
  <c r="D1006" i="10"/>
  <c r="G1005" i="10"/>
  <c r="F1005" i="10"/>
  <c r="E1005" i="10"/>
  <c r="D1005" i="10"/>
  <c r="G1004" i="10"/>
  <c r="F1004" i="10"/>
  <c r="E1004" i="10"/>
  <c r="D1004" i="10"/>
  <c r="G1003" i="10"/>
  <c r="F1003" i="10"/>
  <c r="E1003" i="10"/>
  <c r="D1003" i="10"/>
  <c r="G1002" i="10"/>
  <c r="F1002" i="10"/>
  <c r="E1002" i="10"/>
  <c r="D1002" i="10"/>
  <c r="G1001" i="10"/>
  <c r="F1001" i="10"/>
  <c r="E1001" i="10"/>
  <c r="D1001" i="10"/>
  <c r="G1000" i="10"/>
  <c r="F1000" i="10"/>
  <c r="E1000" i="10"/>
  <c r="D1000" i="10"/>
  <c r="G999" i="10"/>
  <c r="F999" i="10"/>
  <c r="E999" i="10"/>
  <c r="D999" i="10"/>
  <c r="G998" i="10"/>
  <c r="F998" i="10"/>
  <c r="E998" i="10"/>
  <c r="D998" i="10"/>
  <c r="G997" i="10"/>
  <c r="F997" i="10"/>
  <c r="E997" i="10"/>
  <c r="D997" i="10"/>
  <c r="G996" i="10"/>
  <c r="F996" i="10"/>
  <c r="E996" i="10"/>
  <c r="D996" i="10"/>
  <c r="G995" i="10"/>
  <c r="F995" i="10"/>
  <c r="E995" i="10"/>
  <c r="D995" i="10"/>
  <c r="G994" i="10"/>
  <c r="F994" i="10"/>
  <c r="E994" i="10"/>
  <c r="D994" i="10"/>
  <c r="G993" i="10"/>
  <c r="F993" i="10"/>
  <c r="E993" i="10"/>
  <c r="D993" i="10"/>
  <c r="G992" i="10"/>
  <c r="F992" i="10"/>
  <c r="E992" i="10"/>
  <c r="D992" i="10"/>
  <c r="G991" i="10"/>
  <c r="F991" i="10"/>
  <c r="E991" i="10"/>
  <c r="D991" i="10"/>
  <c r="G990" i="10"/>
  <c r="F990" i="10"/>
  <c r="E990" i="10"/>
  <c r="D990" i="10"/>
  <c r="G989" i="10"/>
  <c r="F989" i="10"/>
  <c r="E989" i="10"/>
  <c r="D989" i="10"/>
  <c r="G988" i="10"/>
  <c r="F988" i="10"/>
  <c r="E988" i="10"/>
  <c r="D988" i="10"/>
  <c r="G987" i="10"/>
  <c r="F987" i="10"/>
  <c r="E987" i="10"/>
  <c r="D987" i="10"/>
  <c r="G986" i="10"/>
  <c r="F986" i="10"/>
  <c r="E986" i="10"/>
  <c r="D986" i="10"/>
  <c r="G985" i="10"/>
  <c r="F985" i="10"/>
  <c r="E985" i="10"/>
  <c r="D985" i="10"/>
  <c r="G984" i="10"/>
  <c r="F984" i="10"/>
  <c r="E984" i="10"/>
  <c r="D984" i="10"/>
  <c r="G983" i="10"/>
  <c r="F983" i="10"/>
  <c r="E983" i="10"/>
  <c r="D983" i="10"/>
  <c r="G982" i="10"/>
  <c r="F982" i="10"/>
  <c r="E982" i="10"/>
  <c r="D982" i="10"/>
  <c r="G981" i="10"/>
  <c r="F981" i="10"/>
  <c r="E981" i="10"/>
  <c r="D981" i="10"/>
  <c r="G980" i="10"/>
  <c r="F980" i="10"/>
  <c r="E980" i="10"/>
  <c r="D980" i="10"/>
  <c r="G979" i="10"/>
  <c r="F979" i="10"/>
  <c r="E979" i="10"/>
  <c r="D979" i="10"/>
  <c r="G978" i="10"/>
  <c r="F978" i="10"/>
  <c r="E978" i="10"/>
  <c r="D978" i="10"/>
  <c r="G977" i="10"/>
  <c r="F977" i="10"/>
  <c r="E977" i="10"/>
  <c r="D977" i="10"/>
  <c r="G976" i="10"/>
  <c r="F976" i="10"/>
  <c r="E976" i="10"/>
  <c r="D976" i="10"/>
  <c r="G975" i="10"/>
  <c r="F975" i="10"/>
  <c r="E975" i="10"/>
  <c r="D975" i="10"/>
  <c r="G974" i="10"/>
  <c r="F974" i="10"/>
  <c r="E974" i="10"/>
  <c r="D974" i="10"/>
  <c r="G973" i="10"/>
  <c r="F973" i="10"/>
  <c r="E973" i="10"/>
  <c r="D973" i="10"/>
  <c r="G972" i="10"/>
  <c r="F972" i="10"/>
  <c r="E972" i="10"/>
  <c r="D972" i="10"/>
  <c r="G971" i="10"/>
  <c r="F971" i="10"/>
  <c r="E971" i="10"/>
  <c r="D971" i="10"/>
  <c r="G970" i="10"/>
  <c r="F970" i="10"/>
  <c r="E970" i="10"/>
  <c r="D970" i="10"/>
  <c r="G969" i="10"/>
  <c r="F969" i="10"/>
  <c r="E969" i="10"/>
  <c r="D969" i="10"/>
  <c r="G968" i="10"/>
  <c r="F968" i="10"/>
  <c r="E968" i="10"/>
  <c r="D968" i="10"/>
  <c r="G967" i="10"/>
  <c r="F967" i="10"/>
  <c r="E967" i="10"/>
  <c r="D967" i="10"/>
  <c r="G966" i="10"/>
  <c r="F966" i="10"/>
  <c r="E966" i="10"/>
  <c r="D966" i="10"/>
  <c r="G965" i="10"/>
  <c r="F965" i="10"/>
  <c r="E965" i="10"/>
  <c r="D965" i="10"/>
  <c r="G964" i="10"/>
  <c r="F964" i="10"/>
  <c r="E964" i="10"/>
  <c r="D964" i="10"/>
  <c r="G963" i="10"/>
  <c r="F963" i="10"/>
  <c r="E963" i="10"/>
  <c r="D963" i="10"/>
  <c r="G962" i="10"/>
  <c r="F962" i="10"/>
  <c r="E962" i="10"/>
  <c r="D962" i="10"/>
  <c r="G961" i="10"/>
  <c r="F961" i="10"/>
  <c r="E961" i="10"/>
  <c r="D961" i="10"/>
  <c r="G960" i="10"/>
  <c r="F960" i="10"/>
  <c r="E960" i="10"/>
  <c r="D960" i="10"/>
  <c r="G959" i="10"/>
  <c r="F959" i="10"/>
  <c r="E959" i="10"/>
  <c r="D959" i="10"/>
  <c r="G958" i="10"/>
  <c r="F958" i="10"/>
  <c r="E958" i="10"/>
  <c r="D958" i="10"/>
  <c r="G957" i="10"/>
  <c r="F957" i="10"/>
  <c r="E957" i="10"/>
  <c r="D957" i="10"/>
  <c r="G956" i="10"/>
  <c r="F956" i="10"/>
  <c r="E956" i="10"/>
  <c r="D956" i="10"/>
  <c r="G955" i="10"/>
  <c r="F955" i="10"/>
  <c r="E955" i="10"/>
  <c r="D955" i="10"/>
  <c r="G954" i="10"/>
  <c r="F954" i="10"/>
  <c r="E954" i="10"/>
  <c r="D954" i="10"/>
  <c r="G953" i="10"/>
  <c r="F953" i="10"/>
  <c r="E953" i="10"/>
  <c r="D953" i="10"/>
  <c r="G952" i="10"/>
  <c r="F952" i="10"/>
  <c r="E952" i="10"/>
  <c r="D952" i="10"/>
  <c r="G951" i="10"/>
  <c r="F951" i="10"/>
  <c r="E951" i="10"/>
  <c r="D951" i="10"/>
  <c r="G950" i="10"/>
  <c r="F950" i="10"/>
  <c r="E950" i="10"/>
  <c r="D950" i="10"/>
  <c r="G949" i="10"/>
  <c r="F949" i="10"/>
  <c r="E949" i="10"/>
  <c r="D949" i="10"/>
  <c r="G948" i="10"/>
  <c r="F948" i="10"/>
  <c r="E948" i="10"/>
  <c r="D948" i="10"/>
  <c r="G947" i="10"/>
  <c r="F947" i="10"/>
  <c r="E947" i="10"/>
  <c r="D947" i="10"/>
  <c r="G946" i="10"/>
  <c r="F946" i="10"/>
  <c r="E946" i="10"/>
  <c r="D946" i="10"/>
  <c r="G945" i="10"/>
  <c r="F945" i="10"/>
  <c r="E945" i="10"/>
  <c r="D945" i="10"/>
  <c r="G944" i="10"/>
  <c r="F944" i="10"/>
  <c r="E944" i="10"/>
  <c r="D944" i="10"/>
  <c r="G943" i="10"/>
  <c r="F943" i="10"/>
  <c r="E943" i="10"/>
  <c r="D943" i="10"/>
  <c r="G942" i="10"/>
  <c r="F942" i="10"/>
  <c r="E942" i="10"/>
  <c r="D942" i="10"/>
  <c r="G941" i="10"/>
  <c r="F941" i="10"/>
  <c r="E941" i="10"/>
  <c r="D941" i="10"/>
  <c r="G940" i="10"/>
  <c r="F940" i="10"/>
  <c r="E940" i="10"/>
  <c r="D940" i="10"/>
  <c r="G939" i="10"/>
  <c r="F939" i="10"/>
  <c r="E939" i="10"/>
  <c r="D939" i="10"/>
  <c r="G938" i="10"/>
  <c r="F938" i="10"/>
  <c r="E938" i="10"/>
  <c r="D938" i="10"/>
  <c r="G937" i="10"/>
  <c r="F937" i="10"/>
  <c r="E937" i="10"/>
  <c r="D937" i="10"/>
  <c r="G936" i="10"/>
  <c r="F936" i="10"/>
  <c r="E936" i="10"/>
  <c r="D936" i="10"/>
  <c r="G935" i="10"/>
  <c r="F935" i="10"/>
  <c r="E935" i="10"/>
  <c r="D935" i="10"/>
  <c r="G934" i="10"/>
  <c r="F934" i="10"/>
  <c r="E934" i="10"/>
  <c r="D934" i="10"/>
  <c r="G933" i="10"/>
  <c r="F933" i="10"/>
  <c r="E933" i="10"/>
  <c r="D933" i="10"/>
  <c r="G932" i="10"/>
  <c r="F932" i="10"/>
  <c r="E932" i="10"/>
  <c r="D932" i="10"/>
  <c r="G931" i="10"/>
  <c r="F931" i="10"/>
  <c r="E931" i="10"/>
  <c r="D931" i="10"/>
  <c r="G930" i="10"/>
  <c r="F930" i="10"/>
  <c r="E930" i="10"/>
  <c r="D930" i="10"/>
  <c r="G929" i="10"/>
  <c r="F929" i="10"/>
  <c r="E929" i="10"/>
  <c r="D929" i="10"/>
  <c r="G928" i="10"/>
  <c r="F928" i="10"/>
  <c r="E928" i="10"/>
  <c r="D928" i="10"/>
  <c r="G927" i="10"/>
  <c r="F927" i="10"/>
  <c r="E927" i="10"/>
  <c r="D927" i="10"/>
  <c r="G926" i="10"/>
  <c r="F926" i="10"/>
  <c r="E926" i="10"/>
  <c r="D926" i="10"/>
  <c r="G925" i="10"/>
  <c r="F925" i="10"/>
  <c r="E925" i="10"/>
  <c r="D925" i="10"/>
  <c r="G924" i="10"/>
  <c r="F924" i="10"/>
  <c r="E924" i="10"/>
  <c r="D924" i="10"/>
  <c r="G923" i="10"/>
  <c r="F923" i="10"/>
  <c r="E923" i="10"/>
  <c r="D923" i="10"/>
  <c r="G922" i="10"/>
  <c r="F922" i="10"/>
  <c r="E922" i="10"/>
  <c r="D922" i="10"/>
  <c r="G921" i="10"/>
  <c r="F921" i="10"/>
  <c r="E921" i="10"/>
  <c r="D921" i="10"/>
  <c r="G920" i="10"/>
  <c r="F920" i="10"/>
  <c r="E920" i="10"/>
  <c r="D920" i="10"/>
  <c r="G919" i="10"/>
  <c r="F919" i="10"/>
  <c r="E919" i="10"/>
  <c r="D919" i="10"/>
  <c r="G918" i="10"/>
  <c r="F918" i="10"/>
  <c r="E918" i="10"/>
  <c r="D918" i="10"/>
  <c r="G917" i="10"/>
  <c r="F917" i="10"/>
  <c r="E917" i="10"/>
  <c r="D917" i="10"/>
  <c r="G916" i="10"/>
  <c r="F916" i="10"/>
  <c r="E916" i="10"/>
  <c r="D916" i="10"/>
  <c r="G915" i="10"/>
  <c r="F915" i="10"/>
  <c r="E915" i="10"/>
  <c r="D915" i="10"/>
  <c r="G914" i="10"/>
  <c r="F914" i="10"/>
  <c r="E914" i="10"/>
  <c r="D914" i="10"/>
  <c r="G913" i="10"/>
  <c r="F913" i="10"/>
  <c r="E913" i="10"/>
  <c r="D913" i="10"/>
  <c r="G912" i="10"/>
  <c r="F912" i="10"/>
  <c r="E912" i="10"/>
  <c r="D912" i="10"/>
  <c r="G911" i="10"/>
  <c r="F911" i="10"/>
  <c r="E911" i="10"/>
  <c r="D911" i="10"/>
  <c r="G910" i="10"/>
  <c r="F910" i="10"/>
  <c r="E910" i="10"/>
  <c r="D910" i="10"/>
  <c r="G909" i="10"/>
  <c r="F909" i="10"/>
  <c r="E909" i="10"/>
  <c r="D909" i="10"/>
  <c r="G908" i="10"/>
  <c r="F908" i="10"/>
  <c r="E908" i="10"/>
  <c r="D908" i="10"/>
  <c r="G907" i="10"/>
  <c r="F907" i="10"/>
  <c r="E907" i="10"/>
  <c r="D907" i="10"/>
  <c r="G906" i="10"/>
  <c r="F906" i="10"/>
  <c r="E906" i="10"/>
  <c r="D906" i="10"/>
  <c r="G905" i="10"/>
  <c r="F905" i="10"/>
  <c r="E905" i="10"/>
  <c r="D905" i="10"/>
  <c r="G904" i="10"/>
  <c r="F904" i="10"/>
  <c r="E904" i="10"/>
  <c r="D904" i="10"/>
  <c r="G903" i="10"/>
  <c r="F903" i="10"/>
  <c r="E903" i="10"/>
  <c r="D903" i="10"/>
  <c r="G902" i="10"/>
  <c r="F902" i="10"/>
  <c r="E902" i="10"/>
  <c r="D902" i="10"/>
  <c r="G901" i="10"/>
  <c r="F901" i="10"/>
  <c r="E901" i="10"/>
  <c r="D901" i="10"/>
  <c r="G900" i="10"/>
  <c r="F900" i="10"/>
  <c r="E900" i="10"/>
  <c r="D900" i="10"/>
  <c r="G899" i="10"/>
  <c r="F899" i="10"/>
  <c r="E899" i="10"/>
  <c r="D899" i="10"/>
  <c r="G898" i="10"/>
  <c r="F898" i="10"/>
  <c r="E898" i="10"/>
  <c r="D898" i="10"/>
  <c r="G897" i="10"/>
  <c r="F897" i="10"/>
  <c r="E897" i="10"/>
  <c r="D897" i="10"/>
  <c r="G896" i="10"/>
  <c r="F896" i="10"/>
  <c r="E896" i="10"/>
  <c r="D896" i="10"/>
  <c r="G895" i="10"/>
  <c r="F895" i="10"/>
  <c r="E895" i="10"/>
  <c r="D895" i="10"/>
  <c r="G894" i="10"/>
  <c r="F894" i="10"/>
  <c r="E894" i="10"/>
  <c r="D894" i="10"/>
  <c r="G893" i="10"/>
  <c r="F893" i="10"/>
  <c r="E893" i="10"/>
  <c r="D893" i="10"/>
  <c r="G892" i="10"/>
  <c r="F892" i="10"/>
  <c r="E892" i="10"/>
  <c r="D892" i="10"/>
  <c r="G891" i="10"/>
  <c r="F891" i="10"/>
  <c r="E891" i="10"/>
  <c r="D891" i="10"/>
  <c r="G890" i="10"/>
  <c r="F890" i="10"/>
  <c r="E890" i="10"/>
  <c r="D890" i="10"/>
  <c r="G889" i="10"/>
  <c r="F889" i="10"/>
  <c r="E889" i="10"/>
  <c r="D889" i="10"/>
  <c r="G888" i="10"/>
  <c r="F888" i="10"/>
  <c r="E888" i="10"/>
  <c r="D888" i="10"/>
  <c r="G887" i="10"/>
  <c r="F887" i="10"/>
  <c r="E887" i="10"/>
  <c r="D887" i="10"/>
  <c r="G886" i="10"/>
  <c r="F886" i="10"/>
  <c r="E886" i="10"/>
  <c r="D886" i="10"/>
  <c r="G885" i="10"/>
  <c r="F885" i="10"/>
  <c r="E885" i="10"/>
  <c r="D885" i="10"/>
  <c r="G884" i="10"/>
  <c r="F884" i="10"/>
  <c r="E884" i="10"/>
  <c r="D884" i="10"/>
  <c r="G883" i="10"/>
  <c r="F883" i="10"/>
  <c r="E883" i="10"/>
  <c r="D883" i="10"/>
  <c r="G882" i="10"/>
  <c r="F882" i="10"/>
  <c r="E882" i="10"/>
  <c r="D882" i="10"/>
  <c r="G881" i="10"/>
  <c r="F881" i="10"/>
  <c r="E881" i="10"/>
  <c r="D881" i="10"/>
  <c r="G880" i="10"/>
  <c r="F880" i="10"/>
  <c r="E880" i="10"/>
  <c r="D880" i="10"/>
  <c r="G879" i="10"/>
  <c r="F879" i="10"/>
  <c r="E879" i="10"/>
  <c r="D879" i="10"/>
  <c r="G878" i="10"/>
  <c r="F878" i="10"/>
  <c r="E878" i="10"/>
  <c r="D878" i="10"/>
  <c r="G877" i="10"/>
  <c r="F877" i="10"/>
  <c r="E877" i="10"/>
  <c r="D877" i="10"/>
  <c r="G876" i="10"/>
  <c r="F876" i="10"/>
  <c r="E876" i="10"/>
  <c r="D876" i="10"/>
  <c r="G875" i="10"/>
  <c r="F875" i="10"/>
  <c r="E875" i="10"/>
  <c r="D875" i="10"/>
  <c r="G874" i="10"/>
  <c r="F874" i="10"/>
  <c r="E874" i="10"/>
  <c r="D874" i="10"/>
  <c r="G873" i="10"/>
  <c r="F873" i="10"/>
  <c r="E873" i="10"/>
  <c r="D873" i="10"/>
  <c r="G872" i="10"/>
  <c r="F872" i="10"/>
  <c r="E872" i="10"/>
  <c r="D872" i="10"/>
  <c r="G871" i="10"/>
  <c r="F871" i="10"/>
  <c r="E871" i="10"/>
  <c r="D871" i="10"/>
  <c r="G870" i="10"/>
  <c r="F870" i="10"/>
  <c r="E870" i="10"/>
  <c r="D870" i="10"/>
  <c r="G869" i="10"/>
  <c r="F869" i="10"/>
  <c r="E869" i="10"/>
  <c r="D869" i="10"/>
  <c r="G868" i="10"/>
  <c r="F868" i="10"/>
  <c r="E868" i="10"/>
  <c r="D868" i="10"/>
  <c r="G867" i="10"/>
  <c r="F867" i="10"/>
  <c r="E867" i="10"/>
  <c r="D867" i="10"/>
  <c r="G866" i="10"/>
  <c r="F866" i="10"/>
  <c r="E866" i="10"/>
  <c r="D866" i="10"/>
  <c r="G865" i="10"/>
  <c r="F865" i="10"/>
  <c r="E865" i="10"/>
  <c r="D865" i="10"/>
  <c r="G864" i="10"/>
  <c r="F864" i="10"/>
  <c r="E864" i="10"/>
  <c r="D864" i="10"/>
  <c r="G863" i="10"/>
  <c r="F863" i="10"/>
  <c r="E863" i="10"/>
  <c r="D863" i="10"/>
  <c r="G862" i="10"/>
  <c r="F862" i="10"/>
  <c r="E862" i="10"/>
  <c r="D862" i="10"/>
  <c r="G861" i="10"/>
  <c r="F861" i="10"/>
  <c r="E861" i="10"/>
  <c r="D861" i="10"/>
  <c r="G860" i="10"/>
  <c r="F860" i="10"/>
  <c r="E860" i="10"/>
  <c r="D860" i="10"/>
  <c r="G859" i="10"/>
  <c r="F859" i="10"/>
  <c r="E859" i="10"/>
  <c r="D859" i="10"/>
  <c r="G858" i="10"/>
  <c r="F858" i="10"/>
  <c r="E858" i="10"/>
  <c r="D858" i="10"/>
  <c r="G857" i="10"/>
  <c r="F857" i="10"/>
  <c r="E857" i="10"/>
  <c r="D857" i="10"/>
  <c r="G856" i="10"/>
  <c r="F856" i="10"/>
  <c r="E856" i="10"/>
  <c r="D856" i="10"/>
  <c r="G855" i="10"/>
  <c r="F855" i="10"/>
  <c r="E855" i="10"/>
  <c r="D855" i="10"/>
  <c r="G854" i="10"/>
  <c r="F854" i="10"/>
  <c r="E854" i="10"/>
  <c r="D854" i="10"/>
  <c r="G853" i="10"/>
  <c r="F853" i="10"/>
  <c r="E853" i="10"/>
  <c r="D853" i="10"/>
  <c r="G852" i="10"/>
  <c r="F852" i="10"/>
  <c r="E852" i="10"/>
  <c r="D852" i="10"/>
  <c r="G851" i="10"/>
  <c r="F851" i="10"/>
  <c r="E851" i="10"/>
  <c r="D851" i="10"/>
  <c r="G850" i="10"/>
  <c r="F850" i="10"/>
  <c r="E850" i="10"/>
  <c r="D850" i="10"/>
  <c r="G849" i="10"/>
  <c r="F849" i="10"/>
  <c r="E849" i="10"/>
  <c r="D849" i="10"/>
  <c r="G848" i="10"/>
  <c r="F848" i="10"/>
  <c r="E848" i="10"/>
  <c r="D848" i="10"/>
  <c r="G847" i="10"/>
  <c r="F847" i="10"/>
  <c r="E847" i="10"/>
  <c r="D847" i="10"/>
  <c r="G846" i="10"/>
  <c r="F846" i="10"/>
  <c r="E846" i="10"/>
  <c r="D846" i="10"/>
  <c r="G845" i="10"/>
  <c r="F845" i="10"/>
  <c r="E845" i="10"/>
  <c r="D845" i="10"/>
  <c r="G844" i="10"/>
  <c r="F844" i="10"/>
  <c r="E844" i="10"/>
  <c r="D844" i="10"/>
  <c r="G843" i="10"/>
  <c r="F843" i="10"/>
  <c r="E843" i="10"/>
  <c r="D843" i="10"/>
  <c r="G842" i="10"/>
  <c r="F842" i="10"/>
  <c r="E842" i="10"/>
  <c r="D842" i="10"/>
  <c r="G841" i="10"/>
  <c r="F841" i="10"/>
  <c r="E841" i="10"/>
  <c r="D841" i="10"/>
  <c r="G840" i="10"/>
  <c r="F840" i="10"/>
  <c r="E840" i="10"/>
  <c r="D840" i="10"/>
  <c r="G839" i="10"/>
  <c r="F839" i="10"/>
  <c r="E839" i="10"/>
  <c r="D839" i="10"/>
  <c r="G838" i="10"/>
  <c r="F838" i="10"/>
  <c r="E838" i="10"/>
  <c r="D838" i="10"/>
  <c r="G837" i="10"/>
  <c r="F837" i="10"/>
  <c r="E837" i="10"/>
  <c r="D837" i="10"/>
  <c r="G836" i="10"/>
  <c r="F836" i="10"/>
  <c r="E836" i="10"/>
  <c r="D836" i="10"/>
  <c r="G835" i="10"/>
  <c r="F835" i="10"/>
  <c r="E835" i="10"/>
  <c r="D835" i="10"/>
  <c r="G834" i="10"/>
  <c r="F834" i="10"/>
  <c r="E834" i="10"/>
  <c r="D834" i="10"/>
  <c r="G833" i="10"/>
  <c r="F833" i="10"/>
  <c r="E833" i="10"/>
  <c r="D833" i="10"/>
  <c r="G832" i="10"/>
  <c r="F832" i="10"/>
  <c r="E832" i="10"/>
  <c r="D832" i="10"/>
  <c r="G831" i="10"/>
  <c r="F831" i="10"/>
  <c r="E831" i="10"/>
  <c r="D831" i="10"/>
  <c r="G830" i="10"/>
  <c r="F830" i="10"/>
  <c r="E830" i="10"/>
  <c r="D830" i="10"/>
  <c r="G829" i="10"/>
  <c r="F829" i="10"/>
  <c r="E829" i="10"/>
  <c r="D829" i="10"/>
  <c r="G828" i="10"/>
  <c r="F828" i="10"/>
  <c r="E828" i="10"/>
  <c r="D828" i="10"/>
  <c r="G827" i="10"/>
  <c r="F827" i="10"/>
  <c r="E827" i="10"/>
  <c r="D827" i="10"/>
  <c r="G826" i="10"/>
  <c r="F826" i="10"/>
  <c r="E826" i="10"/>
  <c r="D826" i="10"/>
  <c r="G825" i="10"/>
  <c r="F825" i="10"/>
  <c r="E825" i="10"/>
  <c r="D825" i="10"/>
  <c r="G824" i="10"/>
  <c r="F824" i="10"/>
  <c r="E824" i="10"/>
  <c r="D824" i="10"/>
  <c r="G823" i="10"/>
  <c r="F823" i="10"/>
  <c r="E823" i="10"/>
  <c r="D823" i="10"/>
  <c r="G822" i="10"/>
  <c r="F822" i="10"/>
  <c r="E822" i="10"/>
  <c r="D822" i="10"/>
  <c r="G821" i="10"/>
  <c r="F821" i="10"/>
  <c r="E821" i="10"/>
  <c r="D821" i="10"/>
  <c r="G820" i="10"/>
  <c r="F820" i="10"/>
  <c r="E820" i="10"/>
  <c r="D820" i="10"/>
  <c r="G819" i="10"/>
  <c r="F819" i="10"/>
  <c r="E819" i="10"/>
  <c r="D819" i="10"/>
  <c r="G818" i="10"/>
  <c r="F818" i="10"/>
  <c r="E818" i="10"/>
  <c r="D818" i="10"/>
  <c r="G817" i="10"/>
  <c r="F817" i="10"/>
  <c r="E817" i="10"/>
  <c r="D817" i="10"/>
  <c r="G816" i="10"/>
  <c r="F816" i="10"/>
  <c r="E816" i="10"/>
  <c r="D816" i="10"/>
  <c r="G815" i="10"/>
  <c r="F815" i="10"/>
  <c r="E815" i="10"/>
  <c r="D815" i="10"/>
  <c r="G814" i="10"/>
  <c r="F814" i="10"/>
  <c r="E814" i="10"/>
  <c r="D814" i="10"/>
  <c r="G813" i="10"/>
  <c r="F813" i="10"/>
  <c r="E813" i="10"/>
  <c r="D813" i="10"/>
  <c r="G812" i="10"/>
  <c r="F812" i="10"/>
  <c r="E812" i="10"/>
  <c r="D812" i="10"/>
  <c r="G811" i="10"/>
  <c r="F811" i="10"/>
  <c r="E811" i="10"/>
  <c r="D811" i="10"/>
  <c r="G810" i="10"/>
  <c r="F810" i="10"/>
  <c r="E810" i="10"/>
  <c r="D810" i="10"/>
  <c r="G809" i="10"/>
  <c r="F809" i="10"/>
  <c r="E809" i="10"/>
  <c r="D809" i="10"/>
  <c r="G808" i="10"/>
  <c r="F808" i="10"/>
  <c r="E808" i="10"/>
  <c r="D808" i="10"/>
  <c r="G807" i="10"/>
  <c r="F807" i="10"/>
  <c r="E807" i="10"/>
  <c r="D807" i="10"/>
  <c r="G806" i="10"/>
  <c r="F806" i="10"/>
  <c r="E806" i="10"/>
  <c r="D806" i="10"/>
  <c r="G805" i="10"/>
  <c r="F805" i="10"/>
  <c r="E805" i="10"/>
  <c r="D805" i="10"/>
  <c r="G804" i="10"/>
  <c r="F804" i="10"/>
  <c r="E804" i="10"/>
  <c r="D804" i="10"/>
  <c r="G803" i="10"/>
  <c r="F803" i="10"/>
  <c r="E803" i="10"/>
  <c r="D803" i="10"/>
  <c r="G802" i="10"/>
  <c r="F802" i="10"/>
  <c r="E802" i="10"/>
  <c r="D802" i="10"/>
  <c r="G801" i="10"/>
  <c r="F801" i="10"/>
  <c r="E801" i="10"/>
  <c r="D801" i="10"/>
  <c r="G800" i="10"/>
  <c r="F800" i="10"/>
  <c r="E800" i="10"/>
  <c r="D800" i="10"/>
  <c r="G799" i="10"/>
  <c r="F799" i="10"/>
  <c r="E799" i="10"/>
  <c r="D799" i="10"/>
  <c r="G798" i="10"/>
  <c r="F798" i="10"/>
  <c r="E798" i="10"/>
  <c r="D798" i="10"/>
  <c r="G797" i="10"/>
  <c r="F797" i="10"/>
  <c r="E797" i="10"/>
  <c r="D797" i="10"/>
  <c r="G796" i="10"/>
  <c r="F796" i="10"/>
  <c r="E796" i="10"/>
  <c r="D796" i="10"/>
  <c r="G795" i="10"/>
  <c r="F795" i="10"/>
  <c r="E795" i="10"/>
  <c r="D795" i="10"/>
  <c r="G794" i="10"/>
  <c r="F794" i="10"/>
  <c r="E794" i="10"/>
  <c r="D794" i="10"/>
  <c r="G793" i="10"/>
  <c r="F793" i="10"/>
  <c r="E793" i="10"/>
  <c r="D793" i="10"/>
  <c r="G792" i="10"/>
  <c r="F792" i="10"/>
  <c r="E792" i="10"/>
  <c r="D792" i="10"/>
  <c r="G791" i="10"/>
  <c r="F791" i="10"/>
  <c r="E791" i="10"/>
  <c r="D791" i="10"/>
  <c r="G790" i="10"/>
  <c r="F790" i="10"/>
  <c r="E790" i="10"/>
  <c r="D790" i="10"/>
  <c r="G789" i="10"/>
  <c r="F789" i="10"/>
  <c r="E789" i="10"/>
  <c r="D789" i="10"/>
  <c r="G788" i="10"/>
  <c r="F788" i="10"/>
  <c r="E788" i="10"/>
  <c r="D788" i="10"/>
  <c r="G787" i="10"/>
  <c r="F787" i="10"/>
  <c r="E787" i="10"/>
  <c r="D787" i="10"/>
  <c r="G786" i="10"/>
  <c r="F786" i="10"/>
  <c r="E786" i="10"/>
  <c r="D786" i="10"/>
  <c r="G785" i="10"/>
  <c r="F785" i="10"/>
  <c r="E785" i="10"/>
  <c r="D785" i="10"/>
  <c r="G784" i="10"/>
  <c r="F784" i="10"/>
  <c r="E784" i="10"/>
  <c r="D784" i="10"/>
  <c r="G783" i="10"/>
  <c r="F783" i="10"/>
  <c r="E783" i="10"/>
  <c r="D783" i="10"/>
  <c r="G782" i="10"/>
  <c r="F782" i="10"/>
  <c r="E782" i="10"/>
  <c r="D782" i="10"/>
  <c r="G781" i="10"/>
  <c r="F781" i="10"/>
  <c r="E781" i="10"/>
  <c r="D781" i="10"/>
  <c r="G780" i="10"/>
  <c r="F780" i="10"/>
  <c r="E780" i="10"/>
  <c r="D780" i="10"/>
  <c r="G779" i="10"/>
  <c r="F779" i="10"/>
  <c r="E779" i="10"/>
  <c r="D779" i="10"/>
  <c r="G778" i="10"/>
  <c r="F778" i="10"/>
  <c r="E778" i="10"/>
  <c r="D778" i="10"/>
  <c r="G777" i="10"/>
  <c r="F777" i="10"/>
  <c r="E777" i="10"/>
  <c r="D777" i="10"/>
  <c r="G776" i="10"/>
  <c r="F776" i="10"/>
  <c r="E776" i="10"/>
  <c r="D776" i="10"/>
  <c r="G775" i="10"/>
  <c r="F775" i="10"/>
  <c r="E775" i="10"/>
  <c r="D775" i="10"/>
  <c r="G774" i="10"/>
  <c r="F774" i="10"/>
  <c r="E774" i="10"/>
  <c r="D774" i="10"/>
  <c r="G773" i="10"/>
  <c r="F773" i="10"/>
  <c r="E773" i="10"/>
  <c r="D773" i="10"/>
  <c r="G772" i="10"/>
  <c r="F772" i="10"/>
  <c r="E772" i="10"/>
  <c r="D772" i="10"/>
  <c r="G771" i="10"/>
  <c r="F771" i="10"/>
  <c r="E771" i="10"/>
  <c r="D771" i="10"/>
  <c r="G770" i="10"/>
  <c r="F770" i="10"/>
  <c r="E770" i="10"/>
  <c r="D770" i="10"/>
  <c r="G769" i="10"/>
  <c r="F769" i="10"/>
  <c r="E769" i="10"/>
  <c r="D769" i="10"/>
  <c r="G768" i="10"/>
  <c r="F768" i="10"/>
  <c r="E768" i="10"/>
  <c r="D768" i="10"/>
  <c r="G767" i="10"/>
  <c r="F767" i="10"/>
  <c r="E767" i="10"/>
  <c r="D767" i="10"/>
  <c r="G766" i="10"/>
  <c r="F766" i="10"/>
  <c r="E766" i="10"/>
  <c r="D766" i="10"/>
  <c r="G765" i="10"/>
  <c r="F765" i="10"/>
  <c r="E765" i="10"/>
  <c r="D765" i="10"/>
  <c r="G764" i="10"/>
  <c r="F764" i="10"/>
  <c r="E764" i="10"/>
  <c r="D764" i="10"/>
  <c r="G763" i="10"/>
  <c r="F763" i="10"/>
  <c r="E763" i="10"/>
  <c r="D763" i="10"/>
  <c r="G762" i="10"/>
  <c r="F762" i="10"/>
  <c r="E762" i="10"/>
  <c r="D762" i="10"/>
  <c r="G761" i="10"/>
  <c r="F761" i="10"/>
  <c r="E761" i="10"/>
  <c r="D761" i="10"/>
  <c r="G760" i="10"/>
  <c r="F760" i="10"/>
  <c r="E760" i="10"/>
  <c r="D760" i="10"/>
  <c r="G759" i="10"/>
  <c r="F759" i="10"/>
  <c r="E759" i="10"/>
  <c r="D759" i="10"/>
  <c r="G758" i="10"/>
  <c r="F758" i="10"/>
  <c r="E758" i="10"/>
  <c r="D758" i="10"/>
  <c r="G757" i="10"/>
  <c r="F757" i="10"/>
  <c r="E757" i="10"/>
  <c r="D757" i="10"/>
  <c r="G756" i="10"/>
  <c r="F756" i="10"/>
  <c r="E756" i="10"/>
  <c r="D756" i="10"/>
  <c r="G755" i="10"/>
  <c r="F755" i="10"/>
  <c r="E755" i="10"/>
  <c r="D755" i="10"/>
  <c r="G754" i="10"/>
  <c r="F754" i="10"/>
  <c r="E754" i="10"/>
  <c r="D754" i="10"/>
  <c r="G753" i="10"/>
  <c r="F753" i="10"/>
  <c r="E753" i="10"/>
  <c r="D753" i="10"/>
  <c r="G752" i="10"/>
  <c r="F752" i="10"/>
  <c r="E752" i="10"/>
  <c r="D752" i="10"/>
  <c r="G751" i="10"/>
  <c r="F751" i="10"/>
  <c r="E751" i="10"/>
  <c r="D751" i="10"/>
  <c r="G750" i="10"/>
  <c r="F750" i="10"/>
  <c r="E750" i="10"/>
  <c r="D750" i="10"/>
  <c r="G749" i="10"/>
  <c r="F749" i="10"/>
  <c r="E749" i="10"/>
  <c r="D749" i="10"/>
  <c r="G748" i="10"/>
  <c r="F748" i="10"/>
  <c r="E748" i="10"/>
  <c r="D748" i="10"/>
  <c r="G747" i="10"/>
  <c r="F747" i="10"/>
  <c r="E747" i="10"/>
  <c r="D747" i="10"/>
  <c r="G746" i="10"/>
  <c r="F746" i="10"/>
  <c r="E746" i="10"/>
  <c r="D746" i="10"/>
  <c r="G745" i="10"/>
  <c r="F745" i="10"/>
  <c r="E745" i="10"/>
  <c r="D745" i="10"/>
  <c r="G744" i="10"/>
  <c r="F744" i="10"/>
  <c r="E744" i="10"/>
  <c r="D744" i="10"/>
  <c r="G743" i="10"/>
  <c r="F743" i="10"/>
  <c r="E743" i="10"/>
  <c r="D743" i="10"/>
  <c r="G742" i="10"/>
  <c r="F742" i="10"/>
  <c r="E742" i="10"/>
  <c r="D742" i="10"/>
  <c r="G741" i="10"/>
  <c r="F741" i="10"/>
  <c r="E741" i="10"/>
  <c r="D741" i="10"/>
  <c r="G740" i="10"/>
  <c r="F740" i="10"/>
  <c r="E740" i="10"/>
  <c r="D740" i="10"/>
  <c r="G739" i="10"/>
  <c r="F739" i="10"/>
  <c r="E739" i="10"/>
  <c r="D739" i="10"/>
  <c r="G738" i="10"/>
  <c r="F738" i="10"/>
  <c r="E738" i="10"/>
  <c r="D738" i="10"/>
  <c r="G737" i="10"/>
  <c r="F737" i="10"/>
  <c r="E737" i="10"/>
  <c r="D737" i="10"/>
  <c r="G736" i="10"/>
  <c r="F736" i="10"/>
  <c r="E736" i="10"/>
  <c r="D736" i="10"/>
  <c r="G735" i="10"/>
  <c r="F735" i="10"/>
  <c r="E735" i="10"/>
  <c r="D735" i="10"/>
  <c r="G734" i="10"/>
  <c r="F734" i="10"/>
  <c r="E734" i="10"/>
  <c r="D734" i="10"/>
  <c r="G733" i="10"/>
  <c r="F733" i="10"/>
  <c r="E733" i="10"/>
  <c r="D733" i="10"/>
  <c r="G732" i="10"/>
  <c r="F732" i="10"/>
  <c r="E732" i="10"/>
  <c r="D732" i="10"/>
  <c r="G731" i="10"/>
  <c r="F731" i="10"/>
  <c r="E731" i="10"/>
  <c r="D731" i="10"/>
  <c r="G730" i="10"/>
  <c r="F730" i="10"/>
  <c r="E730" i="10"/>
  <c r="D730" i="10"/>
  <c r="G729" i="10"/>
  <c r="F729" i="10"/>
  <c r="E729" i="10"/>
  <c r="D729" i="10"/>
  <c r="G728" i="10"/>
  <c r="F728" i="10"/>
  <c r="E728" i="10"/>
  <c r="D728" i="10"/>
  <c r="G727" i="10"/>
  <c r="F727" i="10"/>
  <c r="E727" i="10"/>
  <c r="D727" i="10"/>
  <c r="G726" i="10"/>
  <c r="F726" i="10"/>
  <c r="E726" i="10"/>
  <c r="D726" i="10"/>
  <c r="G725" i="10"/>
  <c r="F725" i="10"/>
  <c r="E725" i="10"/>
  <c r="D725" i="10"/>
  <c r="G724" i="10"/>
  <c r="F724" i="10"/>
  <c r="E724" i="10"/>
  <c r="D724" i="10"/>
  <c r="G723" i="10"/>
  <c r="F723" i="10"/>
  <c r="E723" i="10"/>
  <c r="D723" i="10"/>
  <c r="G722" i="10"/>
  <c r="F722" i="10"/>
  <c r="E722" i="10"/>
  <c r="D722" i="10"/>
  <c r="G721" i="10"/>
  <c r="F721" i="10"/>
  <c r="E721" i="10"/>
  <c r="D721" i="10"/>
  <c r="G720" i="10"/>
  <c r="F720" i="10"/>
  <c r="E720" i="10"/>
  <c r="D720" i="10"/>
  <c r="G719" i="10"/>
  <c r="F719" i="10"/>
  <c r="E719" i="10"/>
  <c r="D719" i="10"/>
  <c r="G718" i="10"/>
  <c r="F718" i="10"/>
  <c r="E718" i="10"/>
  <c r="D718" i="10"/>
  <c r="G717" i="10"/>
  <c r="F717" i="10"/>
  <c r="E717" i="10"/>
  <c r="D717" i="10"/>
  <c r="G716" i="10"/>
  <c r="F716" i="10"/>
  <c r="E716" i="10"/>
  <c r="D716" i="10"/>
  <c r="G715" i="10"/>
  <c r="F715" i="10"/>
  <c r="E715" i="10"/>
  <c r="D715" i="10"/>
  <c r="G714" i="10"/>
  <c r="F714" i="10"/>
  <c r="E714" i="10"/>
  <c r="D714" i="10"/>
  <c r="G713" i="10"/>
  <c r="F713" i="10"/>
  <c r="E713" i="10"/>
  <c r="D713" i="10"/>
  <c r="G712" i="10"/>
  <c r="F712" i="10"/>
  <c r="E712" i="10"/>
  <c r="D712" i="10"/>
  <c r="G711" i="10"/>
  <c r="F711" i="10"/>
  <c r="E711" i="10"/>
  <c r="D711" i="10"/>
  <c r="G710" i="10"/>
  <c r="F710" i="10"/>
  <c r="E710" i="10"/>
  <c r="D710" i="10"/>
  <c r="G709" i="10"/>
  <c r="F709" i="10"/>
  <c r="E709" i="10"/>
  <c r="D709" i="10"/>
  <c r="G708" i="10"/>
  <c r="F708" i="10"/>
  <c r="E708" i="10"/>
  <c r="D708" i="10"/>
  <c r="G707" i="10"/>
  <c r="F707" i="10"/>
  <c r="E707" i="10"/>
  <c r="D707" i="10"/>
  <c r="G706" i="10"/>
  <c r="F706" i="10"/>
  <c r="E706" i="10"/>
  <c r="D706" i="10"/>
  <c r="G705" i="10"/>
  <c r="F705" i="10"/>
  <c r="E705" i="10"/>
  <c r="D705" i="10"/>
  <c r="G704" i="10"/>
  <c r="F704" i="10"/>
  <c r="E704" i="10"/>
  <c r="D704" i="10"/>
  <c r="G703" i="10"/>
  <c r="F703" i="10"/>
  <c r="E703" i="10"/>
  <c r="D703" i="10"/>
  <c r="G702" i="10"/>
  <c r="F702" i="10"/>
  <c r="E702" i="10"/>
  <c r="D702" i="10"/>
  <c r="G701" i="10"/>
  <c r="F701" i="10"/>
  <c r="E701" i="10"/>
  <c r="D701" i="10"/>
  <c r="G700" i="10"/>
  <c r="F700" i="10"/>
  <c r="E700" i="10"/>
  <c r="D700" i="10"/>
  <c r="G699" i="10"/>
  <c r="F699" i="10"/>
  <c r="E699" i="10"/>
  <c r="D699" i="10"/>
  <c r="G698" i="10"/>
  <c r="F698" i="10"/>
  <c r="E698" i="10"/>
  <c r="D698" i="10"/>
  <c r="G697" i="10"/>
  <c r="F697" i="10"/>
  <c r="E697" i="10"/>
  <c r="D697" i="10"/>
  <c r="G696" i="10"/>
  <c r="F696" i="10"/>
  <c r="E696" i="10"/>
  <c r="D696" i="10"/>
  <c r="G695" i="10"/>
  <c r="F695" i="10"/>
  <c r="E695" i="10"/>
  <c r="D695" i="10"/>
  <c r="G694" i="10"/>
  <c r="F694" i="10"/>
  <c r="E694" i="10"/>
  <c r="D694" i="10"/>
  <c r="G693" i="10"/>
  <c r="F693" i="10"/>
  <c r="E693" i="10"/>
  <c r="D693" i="10"/>
  <c r="G692" i="10"/>
  <c r="F692" i="10"/>
  <c r="E692" i="10"/>
  <c r="D692" i="10"/>
  <c r="G691" i="10"/>
  <c r="F691" i="10"/>
  <c r="E691" i="10"/>
  <c r="D691" i="10"/>
  <c r="G690" i="10"/>
  <c r="F690" i="10"/>
  <c r="E690" i="10"/>
  <c r="D690" i="10"/>
  <c r="G689" i="10"/>
  <c r="F689" i="10"/>
  <c r="E689" i="10"/>
  <c r="D689" i="10"/>
  <c r="G688" i="10"/>
  <c r="F688" i="10"/>
  <c r="E688" i="10"/>
  <c r="D688" i="10"/>
  <c r="G687" i="10"/>
  <c r="F687" i="10"/>
  <c r="E687" i="10"/>
  <c r="D687" i="10"/>
  <c r="G686" i="10"/>
  <c r="F686" i="10"/>
  <c r="E686" i="10"/>
  <c r="D686" i="10"/>
  <c r="G685" i="10"/>
  <c r="F685" i="10"/>
  <c r="E685" i="10"/>
  <c r="D685" i="10"/>
  <c r="G684" i="10"/>
  <c r="F684" i="10"/>
  <c r="E684" i="10"/>
  <c r="D684" i="10"/>
  <c r="G683" i="10"/>
  <c r="F683" i="10"/>
  <c r="E683" i="10"/>
  <c r="D683" i="10"/>
  <c r="G682" i="10"/>
  <c r="F682" i="10"/>
  <c r="E682" i="10"/>
  <c r="D682" i="10"/>
  <c r="G681" i="10"/>
  <c r="F681" i="10"/>
  <c r="E681" i="10"/>
  <c r="D681" i="10"/>
  <c r="G680" i="10"/>
  <c r="F680" i="10"/>
  <c r="E680" i="10"/>
  <c r="D680" i="10"/>
  <c r="G679" i="10"/>
  <c r="F679" i="10"/>
  <c r="E679" i="10"/>
  <c r="D679" i="10"/>
  <c r="G678" i="10"/>
  <c r="F678" i="10"/>
  <c r="E678" i="10"/>
  <c r="D678" i="10"/>
  <c r="G677" i="10"/>
  <c r="F677" i="10"/>
  <c r="E677" i="10"/>
  <c r="D677" i="10"/>
  <c r="G676" i="10"/>
  <c r="F676" i="10"/>
  <c r="E676" i="10"/>
  <c r="D676" i="10"/>
  <c r="G675" i="10"/>
  <c r="F675" i="10"/>
  <c r="E675" i="10"/>
  <c r="D675" i="10"/>
  <c r="G674" i="10"/>
  <c r="F674" i="10"/>
  <c r="E674" i="10"/>
  <c r="D674" i="10"/>
  <c r="G673" i="10"/>
  <c r="F673" i="10"/>
  <c r="E673" i="10"/>
  <c r="D673" i="10"/>
  <c r="G672" i="10"/>
  <c r="F672" i="10"/>
  <c r="E672" i="10"/>
  <c r="D672" i="10"/>
  <c r="G671" i="10"/>
  <c r="F671" i="10"/>
  <c r="E671" i="10"/>
  <c r="D671" i="10"/>
  <c r="G670" i="10"/>
  <c r="F670" i="10"/>
  <c r="E670" i="10"/>
  <c r="D670" i="10"/>
  <c r="G669" i="10"/>
  <c r="F669" i="10"/>
  <c r="E669" i="10"/>
  <c r="D669" i="10"/>
  <c r="G668" i="10"/>
  <c r="F668" i="10"/>
  <c r="E668" i="10"/>
  <c r="D668" i="10"/>
  <c r="G667" i="10"/>
  <c r="F667" i="10"/>
  <c r="E667" i="10"/>
  <c r="D667" i="10"/>
  <c r="G666" i="10"/>
  <c r="F666" i="10"/>
  <c r="E666" i="10"/>
  <c r="D666" i="10"/>
  <c r="G665" i="10"/>
  <c r="F665" i="10"/>
  <c r="E665" i="10"/>
  <c r="D665" i="10"/>
  <c r="G664" i="10"/>
  <c r="F664" i="10"/>
  <c r="E664" i="10"/>
  <c r="D664" i="10"/>
  <c r="G663" i="10"/>
  <c r="F663" i="10"/>
  <c r="E663" i="10"/>
  <c r="D663" i="10"/>
  <c r="G662" i="10"/>
  <c r="F662" i="10"/>
  <c r="E662" i="10"/>
  <c r="D662" i="10"/>
  <c r="G661" i="10"/>
  <c r="F661" i="10"/>
  <c r="E661" i="10"/>
  <c r="D661" i="10"/>
  <c r="G660" i="10"/>
  <c r="F660" i="10"/>
  <c r="E660" i="10"/>
  <c r="D660" i="10"/>
  <c r="G659" i="10"/>
  <c r="F659" i="10"/>
  <c r="E659" i="10"/>
  <c r="D659" i="10"/>
  <c r="G658" i="10"/>
  <c r="F658" i="10"/>
  <c r="E658" i="10"/>
  <c r="D658" i="10"/>
  <c r="G657" i="10"/>
  <c r="F657" i="10"/>
  <c r="E657" i="10"/>
  <c r="D657" i="10"/>
  <c r="G656" i="10"/>
  <c r="F656" i="10"/>
  <c r="E656" i="10"/>
  <c r="D656" i="10"/>
  <c r="G655" i="10"/>
  <c r="F655" i="10"/>
  <c r="E655" i="10"/>
  <c r="D655" i="10"/>
  <c r="G654" i="10"/>
  <c r="F654" i="10"/>
  <c r="E654" i="10"/>
  <c r="D654" i="10"/>
  <c r="G653" i="10"/>
  <c r="F653" i="10"/>
  <c r="E653" i="10"/>
  <c r="D653" i="10"/>
  <c r="G652" i="10"/>
  <c r="F652" i="10"/>
  <c r="E652" i="10"/>
  <c r="D652" i="10"/>
  <c r="G651" i="10"/>
  <c r="F651" i="10"/>
  <c r="E651" i="10"/>
  <c r="D651" i="10"/>
  <c r="G650" i="10"/>
  <c r="F650" i="10"/>
  <c r="E650" i="10"/>
  <c r="D650" i="10"/>
  <c r="G649" i="10"/>
  <c r="F649" i="10"/>
  <c r="E649" i="10"/>
  <c r="D649" i="10"/>
  <c r="G648" i="10"/>
  <c r="F648" i="10"/>
  <c r="E648" i="10"/>
  <c r="D648" i="10"/>
  <c r="G647" i="10"/>
  <c r="F647" i="10"/>
  <c r="E647" i="10"/>
  <c r="D647" i="10"/>
  <c r="G646" i="10"/>
  <c r="F646" i="10"/>
  <c r="E646" i="10"/>
  <c r="D646" i="10"/>
  <c r="G645" i="10"/>
  <c r="F645" i="10"/>
  <c r="E645" i="10"/>
  <c r="D645" i="10"/>
  <c r="G644" i="10"/>
  <c r="F644" i="10"/>
  <c r="E644" i="10"/>
  <c r="D644" i="10"/>
  <c r="G643" i="10"/>
  <c r="F643" i="10"/>
  <c r="E643" i="10"/>
  <c r="D643" i="10"/>
  <c r="G642" i="10"/>
  <c r="F642" i="10"/>
  <c r="E642" i="10"/>
  <c r="D642" i="10"/>
  <c r="G641" i="10"/>
  <c r="F641" i="10"/>
  <c r="E641" i="10"/>
  <c r="D641" i="10"/>
  <c r="G640" i="10"/>
  <c r="F640" i="10"/>
  <c r="E640" i="10"/>
  <c r="D640" i="10"/>
  <c r="G639" i="10"/>
  <c r="F639" i="10"/>
  <c r="E639" i="10"/>
  <c r="D639" i="10"/>
  <c r="G638" i="10"/>
  <c r="F638" i="10"/>
  <c r="E638" i="10"/>
  <c r="D638" i="10"/>
  <c r="G637" i="10"/>
  <c r="F637" i="10"/>
  <c r="E637" i="10"/>
  <c r="D637" i="10"/>
  <c r="G636" i="10"/>
  <c r="F636" i="10"/>
  <c r="E636" i="10"/>
  <c r="D636" i="10"/>
  <c r="G635" i="10"/>
  <c r="F635" i="10"/>
  <c r="E635" i="10"/>
  <c r="D635" i="10"/>
  <c r="G634" i="10"/>
  <c r="F634" i="10"/>
  <c r="E634" i="10"/>
  <c r="D634" i="10"/>
  <c r="G633" i="10"/>
  <c r="F633" i="10"/>
  <c r="E633" i="10"/>
  <c r="D633" i="10"/>
  <c r="G632" i="10"/>
  <c r="F632" i="10"/>
  <c r="E632" i="10"/>
  <c r="D632" i="10"/>
  <c r="G631" i="10"/>
  <c r="F631" i="10"/>
  <c r="E631" i="10"/>
  <c r="D631" i="10"/>
  <c r="G630" i="10"/>
  <c r="F630" i="10"/>
  <c r="E630" i="10"/>
  <c r="D630" i="10"/>
  <c r="G629" i="10"/>
  <c r="F629" i="10"/>
  <c r="E629" i="10"/>
  <c r="D629" i="10"/>
  <c r="G628" i="10"/>
  <c r="F628" i="10"/>
  <c r="E628" i="10"/>
  <c r="D628" i="10"/>
  <c r="G627" i="10"/>
  <c r="F627" i="10"/>
  <c r="E627" i="10"/>
  <c r="D627" i="10"/>
  <c r="G626" i="10"/>
  <c r="F626" i="10"/>
  <c r="E626" i="10"/>
  <c r="D626" i="10"/>
  <c r="G625" i="10"/>
  <c r="F625" i="10"/>
  <c r="E625" i="10"/>
  <c r="D625" i="10"/>
  <c r="G624" i="10"/>
  <c r="F624" i="10"/>
  <c r="E624" i="10"/>
  <c r="D624" i="10"/>
  <c r="G623" i="10"/>
  <c r="F623" i="10"/>
  <c r="E623" i="10"/>
  <c r="D623" i="10"/>
  <c r="G622" i="10"/>
  <c r="F622" i="10"/>
  <c r="E622" i="10"/>
  <c r="D622" i="10"/>
  <c r="G621" i="10"/>
  <c r="F621" i="10"/>
  <c r="E621" i="10"/>
  <c r="D621" i="10"/>
  <c r="G620" i="10"/>
  <c r="F620" i="10"/>
  <c r="E620" i="10"/>
  <c r="D620" i="10"/>
  <c r="G619" i="10"/>
  <c r="F619" i="10"/>
  <c r="E619" i="10"/>
  <c r="D619" i="10"/>
  <c r="G618" i="10"/>
  <c r="F618" i="10"/>
  <c r="E618" i="10"/>
  <c r="D618" i="10"/>
  <c r="G617" i="10"/>
  <c r="F617" i="10"/>
  <c r="E617" i="10"/>
  <c r="D617" i="10"/>
  <c r="G616" i="10"/>
  <c r="F616" i="10"/>
  <c r="E616" i="10"/>
  <c r="D616" i="10"/>
  <c r="G615" i="10"/>
  <c r="F615" i="10"/>
  <c r="E615" i="10"/>
  <c r="D615" i="10"/>
  <c r="G614" i="10"/>
  <c r="F614" i="10"/>
  <c r="E614" i="10"/>
  <c r="D614" i="10"/>
  <c r="G613" i="10"/>
  <c r="F613" i="10"/>
  <c r="E613" i="10"/>
  <c r="D613" i="10"/>
  <c r="G612" i="10"/>
  <c r="F612" i="10"/>
  <c r="E612" i="10"/>
  <c r="D612" i="10"/>
  <c r="G611" i="10"/>
  <c r="F611" i="10"/>
  <c r="E611" i="10"/>
  <c r="D611" i="10"/>
  <c r="G610" i="10"/>
  <c r="F610" i="10"/>
  <c r="E610" i="10"/>
  <c r="D610" i="10"/>
  <c r="G609" i="10"/>
  <c r="F609" i="10"/>
  <c r="E609" i="10"/>
  <c r="D609" i="10"/>
  <c r="G608" i="10"/>
  <c r="F608" i="10"/>
  <c r="E608" i="10"/>
  <c r="D608" i="10"/>
  <c r="G607" i="10"/>
  <c r="F607" i="10"/>
  <c r="E607" i="10"/>
  <c r="D607" i="10"/>
  <c r="G606" i="10"/>
  <c r="F606" i="10"/>
  <c r="E606" i="10"/>
  <c r="D606" i="10"/>
  <c r="G605" i="10"/>
  <c r="F605" i="10"/>
  <c r="E605" i="10"/>
  <c r="D605" i="10"/>
  <c r="G604" i="10"/>
  <c r="F604" i="10"/>
  <c r="E604" i="10"/>
  <c r="D604" i="10"/>
  <c r="G603" i="10"/>
  <c r="F603" i="10"/>
  <c r="E603" i="10"/>
  <c r="D603" i="10"/>
  <c r="G602" i="10"/>
  <c r="F602" i="10"/>
  <c r="E602" i="10"/>
  <c r="D602" i="10"/>
  <c r="G601" i="10"/>
  <c r="F601" i="10"/>
  <c r="E601" i="10"/>
  <c r="D601" i="10"/>
  <c r="G600" i="10"/>
  <c r="F600" i="10"/>
  <c r="E600" i="10"/>
  <c r="D600" i="10"/>
  <c r="G599" i="10"/>
  <c r="F599" i="10"/>
  <c r="E599" i="10"/>
  <c r="D599" i="10"/>
  <c r="G598" i="10"/>
  <c r="F598" i="10"/>
  <c r="E598" i="10"/>
  <c r="D598" i="10"/>
  <c r="G597" i="10"/>
  <c r="F597" i="10"/>
  <c r="E597" i="10"/>
  <c r="D597" i="10"/>
  <c r="G596" i="10"/>
  <c r="F596" i="10"/>
  <c r="E596" i="10"/>
  <c r="D596" i="10"/>
  <c r="G595" i="10"/>
  <c r="F595" i="10"/>
  <c r="E595" i="10"/>
  <c r="D595" i="10"/>
  <c r="G594" i="10"/>
  <c r="F594" i="10"/>
  <c r="E594" i="10"/>
  <c r="D594" i="10"/>
  <c r="G593" i="10"/>
  <c r="F593" i="10"/>
  <c r="E593" i="10"/>
  <c r="D593" i="10"/>
  <c r="G592" i="10"/>
  <c r="F592" i="10"/>
  <c r="E592" i="10"/>
  <c r="D592" i="10"/>
  <c r="G591" i="10"/>
  <c r="F591" i="10"/>
  <c r="E591" i="10"/>
  <c r="D591" i="10"/>
  <c r="G590" i="10"/>
  <c r="F590" i="10"/>
  <c r="E590" i="10"/>
  <c r="D590" i="10"/>
  <c r="G589" i="10"/>
  <c r="F589" i="10"/>
  <c r="E589" i="10"/>
  <c r="D589" i="10"/>
  <c r="G588" i="10"/>
  <c r="F588" i="10"/>
  <c r="E588" i="10"/>
  <c r="D588" i="10"/>
  <c r="G587" i="10"/>
  <c r="F587" i="10"/>
  <c r="E587" i="10"/>
  <c r="D587" i="10"/>
  <c r="G586" i="10"/>
  <c r="F586" i="10"/>
  <c r="E586" i="10"/>
  <c r="D586" i="10"/>
  <c r="G585" i="10"/>
  <c r="F585" i="10"/>
  <c r="E585" i="10"/>
  <c r="D585" i="10"/>
  <c r="G584" i="10"/>
  <c r="F584" i="10"/>
  <c r="E584" i="10"/>
  <c r="D584" i="10"/>
  <c r="G583" i="10"/>
  <c r="F583" i="10"/>
  <c r="E583" i="10"/>
  <c r="D583" i="10"/>
  <c r="G582" i="10"/>
  <c r="F582" i="10"/>
  <c r="E582" i="10"/>
  <c r="D582" i="10"/>
  <c r="G581" i="10"/>
  <c r="F581" i="10"/>
  <c r="E581" i="10"/>
  <c r="D581" i="10"/>
  <c r="G580" i="10"/>
  <c r="F580" i="10"/>
  <c r="E580" i="10"/>
  <c r="D580" i="10"/>
  <c r="G579" i="10"/>
  <c r="F579" i="10"/>
  <c r="E579" i="10"/>
  <c r="D579" i="10"/>
  <c r="G578" i="10"/>
  <c r="F578" i="10"/>
  <c r="E578" i="10"/>
  <c r="D578" i="10"/>
  <c r="G577" i="10"/>
  <c r="F577" i="10"/>
  <c r="E577" i="10"/>
  <c r="D577" i="10"/>
  <c r="G576" i="10"/>
  <c r="F576" i="10"/>
  <c r="E576" i="10"/>
  <c r="D576" i="10"/>
  <c r="G575" i="10"/>
  <c r="F575" i="10"/>
  <c r="E575" i="10"/>
  <c r="D575" i="10"/>
  <c r="G574" i="10"/>
  <c r="F574" i="10"/>
  <c r="E574" i="10"/>
  <c r="D574" i="10"/>
  <c r="G573" i="10"/>
  <c r="F573" i="10"/>
  <c r="E573" i="10"/>
  <c r="D573" i="10"/>
  <c r="G572" i="10"/>
  <c r="F572" i="10"/>
  <c r="E572" i="10"/>
  <c r="D572" i="10"/>
  <c r="G571" i="10"/>
  <c r="F571" i="10"/>
  <c r="E571" i="10"/>
  <c r="D571" i="10"/>
  <c r="G570" i="10"/>
  <c r="F570" i="10"/>
  <c r="E570" i="10"/>
  <c r="D570" i="10"/>
  <c r="G569" i="10"/>
  <c r="F569" i="10"/>
  <c r="E569" i="10"/>
  <c r="D569" i="10"/>
  <c r="G568" i="10"/>
  <c r="F568" i="10"/>
  <c r="E568" i="10"/>
  <c r="D568" i="10"/>
  <c r="G567" i="10"/>
  <c r="F567" i="10"/>
  <c r="E567" i="10"/>
  <c r="D567" i="10"/>
  <c r="G566" i="10"/>
  <c r="F566" i="10"/>
  <c r="E566" i="10"/>
  <c r="D566" i="10"/>
  <c r="G565" i="10"/>
  <c r="F565" i="10"/>
  <c r="E565" i="10"/>
  <c r="D565" i="10"/>
  <c r="G564" i="10"/>
  <c r="F564" i="10"/>
  <c r="E564" i="10"/>
  <c r="D564" i="10"/>
  <c r="G563" i="10"/>
  <c r="F563" i="10"/>
  <c r="E563" i="10"/>
  <c r="D563" i="10"/>
  <c r="G562" i="10"/>
  <c r="F562" i="10"/>
  <c r="E562" i="10"/>
  <c r="D562" i="10"/>
  <c r="G561" i="10"/>
  <c r="F561" i="10"/>
  <c r="E561" i="10"/>
  <c r="D561" i="10"/>
  <c r="G560" i="10"/>
  <c r="F560" i="10"/>
  <c r="E560" i="10"/>
  <c r="D560" i="10"/>
  <c r="G559" i="10"/>
  <c r="F559" i="10"/>
  <c r="E559" i="10"/>
  <c r="D559" i="10"/>
  <c r="G558" i="10"/>
  <c r="F558" i="10"/>
  <c r="E558" i="10"/>
  <c r="D558" i="10"/>
  <c r="G557" i="10"/>
  <c r="F557" i="10"/>
  <c r="E557" i="10"/>
  <c r="D557" i="10"/>
  <c r="G556" i="10"/>
  <c r="F556" i="10"/>
  <c r="E556" i="10"/>
  <c r="D556" i="10"/>
  <c r="G555" i="10"/>
  <c r="F555" i="10"/>
  <c r="E555" i="10"/>
  <c r="D555" i="10"/>
  <c r="G554" i="10"/>
  <c r="F554" i="10"/>
  <c r="E554" i="10"/>
  <c r="D554" i="10"/>
  <c r="G553" i="10"/>
  <c r="F553" i="10"/>
  <c r="E553" i="10"/>
  <c r="D553" i="10"/>
  <c r="G552" i="10"/>
  <c r="F552" i="10"/>
  <c r="E552" i="10"/>
  <c r="D552" i="10"/>
  <c r="G551" i="10"/>
  <c r="F551" i="10"/>
  <c r="E551" i="10"/>
  <c r="D551" i="10"/>
  <c r="G550" i="10"/>
  <c r="F550" i="10"/>
  <c r="E550" i="10"/>
  <c r="D550" i="10"/>
  <c r="G549" i="10"/>
  <c r="F549" i="10"/>
  <c r="E549" i="10"/>
  <c r="D549" i="10"/>
  <c r="G548" i="10"/>
  <c r="F548" i="10"/>
  <c r="E548" i="10"/>
  <c r="D548" i="10"/>
  <c r="G547" i="10"/>
  <c r="F547" i="10"/>
  <c r="E547" i="10"/>
  <c r="D547" i="10"/>
  <c r="G546" i="10"/>
  <c r="F546" i="10"/>
  <c r="E546" i="10"/>
  <c r="D546" i="10"/>
  <c r="G545" i="10"/>
  <c r="F545" i="10"/>
  <c r="E545" i="10"/>
  <c r="D545" i="10"/>
  <c r="G544" i="10"/>
  <c r="F544" i="10"/>
  <c r="E544" i="10"/>
  <c r="D544" i="10"/>
  <c r="G543" i="10"/>
  <c r="F543" i="10"/>
  <c r="E543" i="10"/>
  <c r="D543" i="10"/>
  <c r="G542" i="10"/>
  <c r="F542" i="10"/>
  <c r="E542" i="10"/>
  <c r="D542" i="10"/>
  <c r="G541" i="10"/>
  <c r="F541" i="10"/>
  <c r="E541" i="10"/>
  <c r="D541" i="10"/>
  <c r="G540" i="10"/>
  <c r="F540" i="10"/>
  <c r="E540" i="10"/>
  <c r="D540" i="10"/>
  <c r="G539" i="10"/>
  <c r="F539" i="10"/>
  <c r="E539" i="10"/>
  <c r="D539" i="10"/>
  <c r="G538" i="10"/>
  <c r="F538" i="10"/>
  <c r="E538" i="10"/>
  <c r="D538" i="10"/>
  <c r="G537" i="10"/>
  <c r="F537" i="10"/>
  <c r="E537" i="10"/>
  <c r="D537" i="10"/>
  <c r="G536" i="10"/>
  <c r="F536" i="10"/>
  <c r="E536" i="10"/>
  <c r="D536" i="10"/>
  <c r="G535" i="10"/>
  <c r="F535" i="10"/>
  <c r="E535" i="10"/>
  <c r="D535" i="10"/>
  <c r="G534" i="10"/>
  <c r="F534" i="10"/>
  <c r="E534" i="10"/>
  <c r="D534" i="10"/>
  <c r="G533" i="10"/>
  <c r="F533" i="10"/>
  <c r="E533" i="10"/>
  <c r="D533" i="10"/>
  <c r="G532" i="10"/>
  <c r="F532" i="10"/>
  <c r="E532" i="10"/>
  <c r="D532" i="10"/>
  <c r="G531" i="10"/>
  <c r="F531" i="10"/>
  <c r="E531" i="10"/>
  <c r="D531" i="10"/>
  <c r="G530" i="10"/>
  <c r="F530" i="10"/>
  <c r="E530" i="10"/>
  <c r="D530" i="10"/>
  <c r="G529" i="10"/>
  <c r="F529" i="10"/>
  <c r="E529" i="10"/>
  <c r="D529" i="10"/>
  <c r="G528" i="10"/>
  <c r="F528" i="10"/>
  <c r="E528" i="10"/>
  <c r="D528" i="10"/>
  <c r="G527" i="10"/>
  <c r="F527" i="10"/>
  <c r="E527" i="10"/>
  <c r="D527" i="10"/>
  <c r="G526" i="10"/>
  <c r="F526" i="10"/>
  <c r="E526" i="10"/>
  <c r="D526" i="10"/>
  <c r="G525" i="10"/>
  <c r="F525" i="10"/>
  <c r="E525" i="10"/>
  <c r="D525" i="10"/>
  <c r="G524" i="10"/>
  <c r="F524" i="10"/>
  <c r="E524" i="10"/>
  <c r="D524" i="10"/>
  <c r="G523" i="10"/>
  <c r="F523" i="10"/>
  <c r="E523" i="10"/>
  <c r="D523" i="10"/>
  <c r="G522" i="10"/>
  <c r="F522" i="10"/>
  <c r="E522" i="10"/>
  <c r="D522" i="10"/>
  <c r="G521" i="10"/>
  <c r="F521" i="10"/>
  <c r="E521" i="10"/>
  <c r="D521" i="10"/>
  <c r="G520" i="10"/>
  <c r="F520" i="10"/>
  <c r="E520" i="10"/>
  <c r="D520" i="10"/>
  <c r="G519" i="10"/>
  <c r="F519" i="10"/>
  <c r="E519" i="10"/>
  <c r="D519" i="10"/>
  <c r="G518" i="10"/>
  <c r="F518" i="10"/>
  <c r="E518" i="10"/>
  <c r="D518" i="10"/>
  <c r="G517" i="10"/>
  <c r="F517" i="10"/>
  <c r="E517" i="10"/>
  <c r="D517" i="10"/>
  <c r="G516" i="10"/>
  <c r="F516" i="10"/>
  <c r="E516" i="10"/>
  <c r="D516" i="10"/>
  <c r="G515" i="10"/>
  <c r="F515" i="10"/>
  <c r="E515" i="10"/>
  <c r="D515" i="10"/>
  <c r="G514" i="10"/>
  <c r="F514" i="10"/>
  <c r="E514" i="10"/>
  <c r="D514" i="10"/>
  <c r="G513" i="10"/>
  <c r="F513" i="10"/>
  <c r="E513" i="10"/>
  <c r="D513" i="10"/>
  <c r="G512" i="10"/>
  <c r="F512" i="10"/>
  <c r="E512" i="10"/>
  <c r="D512" i="10"/>
  <c r="G511" i="10"/>
  <c r="F511" i="10"/>
  <c r="E511" i="10"/>
  <c r="D511" i="10"/>
  <c r="G510" i="10"/>
  <c r="F510" i="10"/>
  <c r="E510" i="10"/>
  <c r="D510" i="10"/>
  <c r="G509" i="10"/>
  <c r="F509" i="10"/>
  <c r="E509" i="10"/>
  <c r="D509" i="10"/>
  <c r="G508" i="10"/>
  <c r="F508" i="10"/>
  <c r="E508" i="10"/>
  <c r="D508" i="10"/>
  <c r="G507" i="10"/>
  <c r="F507" i="10"/>
  <c r="E507" i="10"/>
  <c r="D507" i="10"/>
  <c r="G506" i="10"/>
  <c r="F506" i="10"/>
  <c r="E506" i="10"/>
  <c r="D506" i="10"/>
  <c r="G505" i="10"/>
  <c r="F505" i="10"/>
  <c r="E505" i="10"/>
  <c r="D505" i="10"/>
  <c r="G504" i="10"/>
  <c r="F504" i="10"/>
  <c r="E504" i="10"/>
  <c r="D504" i="10"/>
  <c r="G503" i="10"/>
  <c r="F503" i="10"/>
  <c r="E503" i="10"/>
  <c r="D503" i="10"/>
  <c r="G502" i="10"/>
  <c r="F502" i="10"/>
  <c r="E502" i="10"/>
  <c r="D502" i="10"/>
  <c r="G501" i="10"/>
  <c r="F501" i="10"/>
  <c r="E501" i="10"/>
  <c r="D501" i="10"/>
  <c r="G500" i="10"/>
  <c r="F500" i="10"/>
  <c r="E500" i="10"/>
  <c r="D500" i="10"/>
  <c r="G499" i="10"/>
  <c r="F499" i="10"/>
  <c r="E499" i="10"/>
  <c r="D499" i="10"/>
  <c r="G498" i="10"/>
  <c r="F498" i="10"/>
  <c r="E498" i="10"/>
  <c r="D498" i="10"/>
  <c r="G497" i="10"/>
  <c r="F497" i="10"/>
  <c r="E497" i="10"/>
  <c r="D497" i="10"/>
  <c r="G496" i="10"/>
  <c r="F496" i="10"/>
  <c r="E496" i="10"/>
  <c r="D496" i="10"/>
  <c r="G495" i="10"/>
  <c r="F495" i="10"/>
  <c r="E495" i="10"/>
  <c r="D495" i="10"/>
  <c r="G494" i="10"/>
  <c r="F494" i="10"/>
  <c r="E494" i="10"/>
  <c r="D494" i="10"/>
  <c r="G493" i="10"/>
  <c r="F493" i="10"/>
  <c r="E493" i="10"/>
  <c r="D493" i="10"/>
  <c r="G492" i="10"/>
  <c r="F492" i="10"/>
  <c r="E492" i="10"/>
  <c r="D492" i="10"/>
  <c r="G491" i="10"/>
  <c r="F491" i="10"/>
  <c r="E491" i="10"/>
  <c r="D491" i="10"/>
  <c r="G490" i="10"/>
  <c r="F490" i="10"/>
  <c r="E490" i="10"/>
  <c r="D490" i="10"/>
  <c r="G489" i="10"/>
  <c r="F489" i="10"/>
  <c r="E489" i="10"/>
  <c r="D489" i="10"/>
  <c r="G488" i="10"/>
  <c r="F488" i="10"/>
  <c r="E488" i="10"/>
  <c r="D488" i="10"/>
  <c r="G487" i="10"/>
  <c r="F487" i="10"/>
  <c r="E487" i="10"/>
  <c r="D487" i="10"/>
  <c r="G486" i="10"/>
  <c r="F486" i="10"/>
  <c r="E486" i="10"/>
  <c r="D486" i="10"/>
  <c r="G485" i="10"/>
  <c r="F485" i="10"/>
  <c r="E485" i="10"/>
  <c r="D485" i="10"/>
  <c r="G484" i="10"/>
  <c r="F484" i="10"/>
  <c r="E484" i="10"/>
  <c r="D484" i="10"/>
  <c r="G483" i="10"/>
  <c r="F483" i="10"/>
  <c r="E483" i="10"/>
  <c r="D483" i="10"/>
  <c r="G482" i="10"/>
  <c r="F482" i="10"/>
  <c r="E482" i="10"/>
  <c r="D482" i="10"/>
  <c r="G481" i="10"/>
  <c r="F481" i="10"/>
  <c r="E481" i="10"/>
  <c r="D481" i="10"/>
  <c r="G480" i="10"/>
  <c r="F480" i="10"/>
  <c r="E480" i="10"/>
  <c r="D480" i="10"/>
  <c r="G479" i="10"/>
  <c r="F479" i="10"/>
  <c r="E479" i="10"/>
  <c r="D479" i="10"/>
  <c r="G478" i="10"/>
  <c r="F478" i="10"/>
  <c r="E478" i="10"/>
  <c r="D478" i="10"/>
  <c r="G477" i="10"/>
  <c r="F477" i="10"/>
  <c r="E477" i="10"/>
  <c r="D477" i="10"/>
  <c r="G476" i="10"/>
  <c r="F476" i="10"/>
  <c r="E476" i="10"/>
  <c r="D476" i="10"/>
  <c r="G475" i="10"/>
  <c r="F475" i="10"/>
  <c r="E475" i="10"/>
  <c r="D475" i="10"/>
  <c r="G474" i="10"/>
  <c r="F474" i="10"/>
  <c r="E474" i="10"/>
  <c r="D474" i="10"/>
  <c r="G473" i="10"/>
  <c r="F473" i="10"/>
  <c r="E473" i="10"/>
  <c r="D473" i="10"/>
  <c r="G472" i="10"/>
  <c r="F472" i="10"/>
  <c r="E472" i="10"/>
  <c r="D472" i="10"/>
  <c r="G471" i="10"/>
  <c r="F471" i="10"/>
  <c r="E471" i="10"/>
  <c r="D471" i="10"/>
  <c r="G470" i="10"/>
  <c r="F470" i="10"/>
  <c r="E470" i="10"/>
  <c r="D470" i="10"/>
  <c r="G469" i="10"/>
  <c r="F469" i="10"/>
  <c r="E469" i="10"/>
  <c r="D469" i="10"/>
  <c r="G468" i="10"/>
  <c r="F468" i="10"/>
  <c r="E468" i="10"/>
  <c r="D468" i="10"/>
  <c r="G467" i="10"/>
  <c r="F467" i="10"/>
  <c r="E467" i="10"/>
  <c r="D467" i="10"/>
  <c r="G466" i="10"/>
  <c r="F466" i="10"/>
  <c r="E466" i="10"/>
  <c r="D466" i="10"/>
  <c r="G465" i="10"/>
  <c r="F465" i="10"/>
  <c r="E465" i="10"/>
  <c r="D465" i="10"/>
  <c r="G464" i="10"/>
  <c r="F464" i="10"/>
  <c r="E464" i="10"/>
  <c r="D464" i="10"/>
  <c r="G463" i="10"/>
  <c r="F463" i="10"/>
  <c r="E463" i="10"/>
  <c r="D463" i="10"/>
  <c r="G462" i="10"/>
  <c r="F462" i="10"/>
  <c r="E462" i="10"/>
  <c r="D462" i="10"/>
  <c r="G461" i="10"/>
  <c r="F461" i="10"/>
  <c r="E461" i="10"/>
  <c r="D461" i="10"/>
  <c r="G460" i="10"/>
  <c r="F460" i="10"/>
  <c r="E460" i="10"/>
  <c r="D460" i="10"/>
  <c r="G459" i="10"/>
  <c r="F459" i="10"/>
  <c r="E459" i="10"/>
  <c r="D459" i="10"/>
  <c r="G458" i="10"/>
  <c r="F458" i="10"/>
  <c r="E458" i="10"/>
  <c r="D458" i="10"/>
  <c r="G457" i="10"/>
  <c r="F457" i="10"/>
  <c r="E457" i="10"/>
  <c r="D457" i="10"/>
  <c r="G456" i="10"/>
  <c r="F456" i="10"/>
  <c r="E456" i="10"/>
  <c r="D456" i="10"/>
  <c r="G455" i="10"/>
  <c r="F455" i="10"/>
  <c r="E455" i="10"/>
  <c r="D455" i="10"/>
  <c r="G454" i="10"/>
  <c r="F454" i="10"/>
  <c r="E454" i="10"/>
  <c r="D454" i="10"/>
  <c r="G453" i="10"/>
  <c r="F453" i="10"/>
  <c r="E453" i="10"/>
  <c r="D453" i="10"/>
  <c r="G452" i="10"/>
  <c r="F452" i="10"/>
  <c r="E452" i="10"/>
  <c r="D452" i="10"/>
  <c r="G451" i="10"/>
  <c r="F451" i="10"/>
  <c r="E451" i="10"/>
  <c r="D451" i="10"/>
  <c r="G450" i="10"/>
  <c r="F450" i="10"/>
  <c r="E450" i="10"/>
  <c r="D450" i="10"/>
  <c r="G449" i="10"/>
  <c r="F449" i="10"/>
  <c r="E449" i="10"/>
  <c r="D449" i="10"/>
  <c r="G448" i="10"/>
  <c r="F448" i="10"/>
  <c r="E448" i="10"/>
  <c r="D448" i="10"/>
  <c r="G447" i="10"/>
  <c r="F447" i="10"/>
  <c r="E447" i="10"/>
  <c r="D447" i="10"/>
  <c r="G446" i="10"/>
  <c r="F446" i="10"/>
  <c r="E446" i="10"/>
  <c r="D446" i="10"/>
  <c r="G445" i="10"/>
  <c r="F445" i="10"/>
  <c r="E445" i="10"/>
  <c r="D445" i="10"/>
  <c r="G444" i="10"/>
  <c r="F444" i="10"/>
  <c r="E444" i="10"/>
  <c r="D444" i="10"/>
  <c r="G443" i="10"/>
  <c r="F443" i="10"/>
  <c r="E443" i="10"/>
  <c r="D443" i="10"/>
  <c r="G442" i="10"/>
  <c r="F442" i="10"/>
  <c r="E442" i="10"/>
  <c r="D442" i="10"/>
  <c r="G441" i="10"/>
  <c r="F441" i="10"/>
  <c r="E441" i="10"/>
  <c r="D441" i="10"/>
  <c r="G440" i="10"/>
  <c r="F440" i="10"/>
  <c r="E440" i="10"/>
  <c r="D440" i="10"/>
  <c r="G439" i="10"/>
  <c r="F439" i="10"/>
  <c r="E439" i="10"/>
  <c r="D439" i="10"/>
  <c r="G438" i="10"/>
  <c r="F438" i="10"/>
  <c r="E438" i="10"/>
  <c r="D438" i="10"/>
  <c r="G437" i="10"/>
  <c r="F437" i="10"/>
  <c r="E437" i="10"/>
  <c r="D437" i="10"/>
  <c r="G436" i="10"/>
  <c r="F436" i="10"/>
  <c r="E436" i="10"/>
  <c r="D436" i="10"/>
  <c r="G435" i="10"/>
  <c r="F435" i="10"/>
  <c r="E435" i="10"/>
  <c r="D435" i="10"/>
  <c r="G434" i="10"/>
  <c r="F434" i="10"/>
  <c r="E434" i="10"/>
  <c r="D434" i="10"/>
  <c r="G433" i="10"/>
  <c r="F433" i="10"/>
  <c r="E433" i="10"/>
  <c r="D433" i="10"/>
  <c r="G432" i="10"/>
  <c r="F432" i="10"/>
  <c r="E432" i="10"/>
  <c r="D432" i="10"/>
  <c r="G431" i="10"/>
  <c r="F431" i="10"/>
  <c r="E431" i="10"/>
  <c r="D431" i="10"/>
  <c r="G430" i="10"/>
  <c r="F430" i="10"/>
  <c r="E430" i="10"/>
  <c r="D430" i="10"/>
  <c r="G429" i="10"/>
  <c r="F429" i="10"/>
  <c r="E429" i="10"/>
  <c r="D429" i="10"/>
  <c r="G428" i="10"/>
  <c r="F428" i="10"/>
  <c r="E428" i="10"/>
  <c r="D428" i="10"/>
  <c r="G427" i="10"/>
  <c r="F427" i="10"/>
  <c r="E427" i="10"/>
  <c r="D427" i="10"/>
  <c r="G426" i="10"/>
  <c r="F426" i="10"/>
  <c r="E426" i="10"/>
  <c r="D426" i="10"/>
  <c r="G425" i="10"/>
  <c r="F425" i="10"/>
  <c r="E425" i="10"/>
  <c r="D425" i="10"/>
  <c r="G424" i="10"/>
  <c r="F424" i="10"/>
  <c r="E424" i="10"/>
  <c r="D424" i="10"/>
  <c r="G423" i="10"/>
  <c r="F423" i="10"/>
  <c r="E423" i="10"/>
  <c r="D423" i="10"/>
  <c r="G422" i="10"/>
  <c r="F422" i="10"/>
  <c r="E422" i="10"/>
  <c r="D422" i="10"/>
  <c r="G421" i="10"/>
  <c r="F421" i="10"/>
  <c r="E421" i="10"/>
  <c r="D421" i="10"/>
  <c r="G420" i="10"/>
  <c r="F420" i="10"/>
  <c r="E420" i="10"/>
  <c r="D420" i="10"/>
  <c r="G419" i="10"/>
  <c r="F419" i="10"/>
  <c r="E419" i="10"/>
  <c r="D419" i="10"/>
  <c r="G418" i="10"/>
  <c r="F418" i="10"/>
  <c r="E418" i="10"/>
  <c r="D418" i="10"/>
  <c r="G417" i="10"/>
  <c r="F417" i="10"/>
  <c r="E417" i="10"/>
  <c r="D417" i="10"/>
  <c r="G416" i="10"/>
  <c r="F416" i="10"/>
  <c r="E416" i="10"/>
  <c r="D416" i="10"/>
  <c r="G415" i="10"/>
  <c r="F415" i="10"/>
  <c r="E415" i="10"/>
  <c r="D415" i="10"/>
  <c r="G414" i="10"/>
  <c r="F414" i="10"/>
  <c r="E414" i="10"/>
  <c r="D414" i="10"/>
  <c r="G413" i="10"/>
  <c r="F413" i="10"/>
  <c r="E413" i="10"/>
  <c r="D413" i="10"/>
  <c r="G412" i="10"/>
  <c r="F412" i="10"/>
  <c r="E412" i="10"/>
  <c r="D412" i="10"/>
  <c r="G411" i="10"/>
  <c r="F411" i="10"/>
  <c r="E411" i="10"/>
  <c r="D411" i="10"/>
  <c r="G410" i="10"/>
  <c r="F410" i="10"/>
  <c r="E410" i="10"/>
  <c r="D410" i="10"/>
  <c r="G409" i="10"/>
  <c r="F409" i="10"/>
  <c r="E409" i="10"/>
  <c r="D409" i="10"/>
  <c r="G408" i="10"/>
  <c r="F408" i="10"/>
  <c r="E408" i="10"/>
  <c r="D408" i="10"/>
  <c r="G407" i="10"/>
  <c r="F407" i="10"/>
  <c r="E407" i="10"/>
  <c r="D407" i="10"/>
  <c r="G406" i="10"/>
  <c r="F406" i="10"/>
  <c r="E406" i="10"/>
  <c r="D406" i="10"/>
  <c r="G405" i="10"/>
  <c r="F405" i="10"/>
  <c r="E405" i="10"/>
  <c r="D405" i="10"/>
  <c r="G404" i="10"/>
  <c r="F404" i="10"/>
  <c r="E404" i="10"/>
  <c r="D404" i="10"/>
  <c r="G403" i="10"/>
  <c r="F403" i="10"/>
  <c r="E403" i="10"/>
  <c r="D403" i="10"/>
  <c r="G402" i="10"/>
  <c r="F402" i="10"/>
  <c r="E402" i="10"/>
  <c r="D402" i="10"/>
  <c r="G401" i="10"/>
  <c r="F401" i="10"/>
  <c r="E401" i="10"/>
  <c r="D401" i="10"/>
  <c r="G400" i="10"/>
  <c r="F400" i="10"/>
  <c r="E400" i="10"/>
  <c r="D400" i="10"/>
  <c r="G399" i="10"/>
  <c r="F399" i="10"/>
  <c r="E399" i="10"/>
  <c r="D399" i="10"/>
  <c r="G398" i="10"/>
  <c r="F398" i="10"/>
  <c r="E398" i="10"/>
  <c r="D398" i="10"/>
  <c r="G397" i="10"/>
  <c r="F397" i="10"/>
  <c r="E397" i="10"/>
  <c r="D397" i="10"/>
  <c r="G396" i="10"/>
  <c r="F396" i="10"/>
  <c r="E396" i="10"/>
  <c r="D396" i="10"/>
  <c r="G395" i="10"/>
  <c r="F395" i="10"/>
  <c r="E395" i="10"/>
  <c r="D395" i="10"/>
  <c r="G394" i="10"/>
  <c r="F394" i="10"/>
  <c r="E394" i="10"/>
  <c r="D394" i="10"/>
  <c r="G393" i="10"/>
  <c r="F393" i="10"/>
  <c r="E393" i="10"/>
  <c r="D393" i="10"/>
  <c r="G392" i="10"/>
  <c r="F392" i="10"/>
  <c r="E392" i="10"/>
  <c r="D392" i="10"/>
  <c r="G391" i="10"/>
  <c r="F391" i="10"/>
  <c r="E391" i="10"/>
  <c r="D391" i="10"/>
  <c r="G390" i="10"/>
  <c r="F390" i="10"/>
  <c r="E390" i="10"/>
  <c r="D390" i="10"/>
  <c r="G389" i="10"/>
  <c r="F389" i="10"/>
  <c r="E389" i="10"/>
  <c r="D389" i="10"/>
  <c r="G388" i="10"/>
  <c r="F388" i="10"/>
  <c r="E388" i="10"/>
  <c r="D388" i="10"/>
  <c r="G387" i="10"/>
  <c r="F387" i="10"/>
  <c r="E387" i="10"/>
  <c r="D387" i="10"/>
  <c r="G386" i="10"/>
  <c r="F386" i="10"/>
  <c r="E386" i="10"/>
  <c r="D386" i="10"/>
  <c r="G385" i="10"/>
  <c r="F385" i="10"/>
  <c r="E385" i="10"/>
  <c r="D385" i="10"/>
  <c r="G384" i="10"/>
  <c r="F384" i="10"/>
  <c r="E384" i="10"/>
  <c r="D384" i="10"/>
  <c r="G383" i="10"/>
  <c r="F383" i="10"/>
  <c r="E383" i="10"/>
  <c r="D383" i="10"/>
  <c r="G382" i="10"/>
  <c r="F382" i="10"/>
  <c r="E382" i="10"/>
  <c r="D382" i="10"/>
  <c r="G381" i="10"/>
  <c r="F381" i="10"/>
  <c r="E381" i="10"/>
  <c r="D381" i="10"/>
  <c r="G380" i="10"/>
  <c r="F380" i="10"/>
  <c r="E380" i="10"/>
  <c r="D380" i="10"/>
  <c r="G379" i="10"/>
  <c r="F379" i="10"/>
  <c r="E379" i="10"/>
  <c r="D379" i="10"/>
  <c r="G378" i="10"/>
  <c r="F378" i="10"/>
  <c r="E378" i="10"/>
  <c r="D378" i="10"/>
  <c r="G377" i="10"/>
  <c r="F377" i="10"/>
  <c r="E377" i="10"/>
  <c r="D377" i="10"/>
  <c r="G376" i="10"/>
  <c r="F376" i="10"/>
  <c r="E376" i="10"/>
  <c r="D376" i="10"/>
  <c r="G375" i="10"/>
  <c r="F375" i="10"/>
  <c r="E375" i="10"/>
  <c r="D375" i="10"/>
  <c r="G374" i="10"/>
  <c r="F374" i="10"/>
  <c r="E374" i="10"/>
  <c r="D374" i="10"/>
  <c r="G373" i="10"/>
  <c r="F373" i="10"/>
  <c r="E373" i="10"/>
  <c r="D373" i="10"/>
  <c r="G372" i="10"/>
  <c r="F372" i="10"/>
  <c r="E372" i="10"/>
  <c r="D372" i="10"/>
  <c r="G371" i="10"/>
  <c r="F371" i="10"/>
  <c r="E371" i="10"/>
  <c r="D371" i="10"/>
  <c r="G370" i="10"/>
  <c r="F370" i="10"/>
  <c r="E370" i="10"/>
  <c r="D370" i="10"/>
  <c r="G369" i="10"/>
  <c r="F369" i="10"/>
  <c r="E369" i="10"/>
  <c r="D369" i="10"/>
  <c r="G368" i="10"/>
  <c r="F368" i="10"/>
  <c r="E368" i="10"/>
  <c r="D368" i="10"/>
  <c r="G367" i="10"/>
  <c r="F367" i="10"/>
  <c r="E367" i="10"/>
  <c r="D367" i="10"/>
  <c r="G366" i="10"/>
  <c r="F366" i="10"/>
  <c r="E366" i="10"/>
  <c r="D366" i="10"/>
  <c r="G365" i="10"/>
  <c r="F365" i="10"/>
  <c r="E365" i="10"/>
  <c r="D365" i="10"/>
  <c r="G364" i="10"/>
  <c r="F364" i="10"/>
  <c r="E364" i="10"/>
  <c r="D364" i="10"/>
  <c r="G363" i="10"/>
  <c r="F363" i="10"/>
  <c r="E363" i="10"/>
  <c r="D363" i="10"/>
  <c r="G362" i="10"/>
  <c r="F362" i="10"/>
  <c r="E362" i="10"/>
  <c r="D362" i="10"/>
  <c r="G361" i="10"/>
  <c r="F361" i="10"/>
  <c r="E361" i="10"/>
  <c r="D361" i="10"/>
  <c r="G360" i="10"/>
  <c r="F360" i="10"/>
  <c r="E360" i="10"/>
  <c r="D360" i="10"/>
  <c r="G359" i="10"/>
  <c r="F359" i="10"/>
  <c r="E359" i="10"/>
  <c r="D359" i="10"/>
  <c r="G358" i="10"/>
  <c r="F358" i="10"/>
  <c r="E358" i="10"/>
  <c r="D358" i="10"/>
  <c r="G357" i="10"/>
  <c r="F357" i="10"/>
  <c r="E357" i="10"/>
  <c r="D357" i="10"/>
  <c r="G356" i="10"/>
  <c r="F356" i="10"/>
  <c r="E356" i="10"/>
  <c r="D356" i="10"/>
  <c r="G355" i="10"/>
  <c r="F355" i="10"/>
  <c r="E355" i="10"/>
  <c r="D355" i="10"/>
  <c r="G354" i="10"/>
  <c r="F354" i="10"/>
  <c r="E354" i="10"/>
  <c r="D354" i="10"/>
  <c r="G353" i="10"/>
  <c r="F353" i="10"/>
  <c r="E353" i="10"/>
  <c r="D353" i="10"/>
  <c r="G352" i="10"/>
  <c r="F352" i="10"/>
  <c r="E352" i="10"/>
  <c r="D352" i="10"/>
  <c r="G351" i="10"/>
  <c r="F351" i="10"/>
  <c r="E351" i="10"/>
  <c r="D351" i="10"/>
  <c r="G350" i="10"/>
  <c r="F350" i="10"/>
  <c r="E350" i="10"/>
  <c r="D350" i="10"/>
  <c r="G349" i="10"/>
  <c r="F349" i="10"/>
  <c r="E349" i="10"/>
  <c r="D349" i="10"/>
  <c r="G348" i="10"/>
  <c r="F348" i="10"/>
  <c r="E348" i="10"/>
  <c r="D348" i="10"/>
  <c r="G347" i="10"/>
  <c r="F347" i="10"/>
  <c r="E347" i="10"/>
  <c r="D347" i="10"/>
  <c r="G346" i="10"/>
  <c r="F346" i="10"/>
  <c r="E346" i="10"/>
  <c r="D346" i="10"/>
  <c r="G345" i="10"/>
  <c r="F345" i="10"/>
  <c r="E345" i="10"/>
  <c r="D345" i="10"/>
  <c r="G344" i="10"/>
  <c r="F344" i="10"/>
  <c r="E344" i="10"/>
  <c r="D344" i="10"/>
  <c r="G343" i="10"/>
  <c r="F343" i="10"/>
  <c r="E343" i="10"/>
  <c r="D343" i="10"/>
  <c r="G342" i="10"/>
  <c r="F342" i="10"/>
  <c r="E342" i="10"/>
  <c r="D342" i="10"/>
  <c r="G341" i="10"/>
  <c r="F341" i="10"/>
  <c r="E341" i="10"/>
  <c r="D341" i="10"/>
  <c r="G340" i="10"/>
  <c r="F340" i="10"/>
  <c r="E340" i="10"/>
  <c r="D340" i="10"/>
  <c r="G339" i="10"/>
  <c r="F339" i="10"/>
  <c r="E339" i="10"/>
  <c r="D339" i="10"/>
  <c r="G338" i="10"/>
  <c r="F338" i="10"/>
  <c r="E338" i="10"/>
  <c r="D338" i="10"/>
  <c r="G337" i="10"/>
  <c r="F337" i="10"/>
  <c r="E337" i="10"/>
  <c r="D337" i="10"/>
  <c r="G336" i="10"/>
  <c r="F336" i="10"/>
  <c r="E336" i="10"/>
  <c r="D336" i="10"/>
  <c r="G335" i="10"/>
  <c r="F335" i="10"/>
  <c r="E335" i="10"/>
  <c r="D335" i="10"/>
  <c r="G334" i="10"/>
  <c r="F334" i="10"/>
  <c r="E334" i="10"/>
  <c r="D334" i="10"/>
  <c r="G333" i="10"/>
  <c r="F333" i="10"/>
  <c r="E333" i="10"/>
  <c r="D333" i="10"/>
  <c r="G332" i="10"/>
  <c r="F332" i="10"/>
  <c r="E332" i="10"/>
  <c r="D332" i="10"/>
  <c r="G331" i="10"/>
  <c r="F331" i="10"/>
  <c r="E331" i="10"/>
  <c r="D331" i="10"/>
  <c r="G330" i="10"/>
  <c r="F330" i="10"/>
  <c r="E330" i="10"/>
  <c r="D330" i="10"/>
  <c r="G329" i="10"/>
  <c r="F329" i="10"/>
  <c r="E329" i="10"/>
  <c r="D329" i="10"/>
  <c r="G328" i="10"/>
  <c r="F328" i="10"/>
  <c r="E328" i="10"/>
  <c r="D328" i="10"/>
  <c r="G327" i="10"/>
  <c r="F327" i="10"/>
  <c r="E327" i="10"/>
  <c r="D327" i="10"/>
  <c r="G326" i="10"/>
  <c r="F326" i="10"/>
  <c r="E326" i="10"/>
  <c r="D326" i="10"/>
  <c r="G325" i="10"/>
  <c r="F325" i="10"/>
  <c r="E325" i="10"/>
  <c r="D325" i="10"/>
  <c r="G324" i="10"/>
  <c r="F324" i="10"/>
  <c r="E324" i="10"/>
  <c r="D324" i="10"/>
  <c r="G323" i="10"/>
  <c r="F323" i="10"/>
  <c r="E323" i="10"/>
  <c r="D323" i="10"/>
  <c r="G322" i="10"/>
  <c r="F322" i="10"/>
  <c r="E322" i="10"/>
  <c r="D322" i="10"/>
  <c r="G321" i="10"/>
  <c r="F321" i="10"/>
  <c r="E321" i="10"/>
  <c r="D321" i="10"/>
  <c r="G320" i="10"/>
  <c r="F320" i="10"/>
  <c r="E320" i="10"/>
  <c r="D320" i="10"/>
  <c r="G319" i="10"/>
  <c r="F319" i="10"/>
  <c r="E319" i="10"/>
  <c r="D319" i="10"/>
  <c r="G318" i="10"/>
  <c r="F318" i="10"/>
  <c r="E318" i="10"/>
  <c r="D318" i="10"/>
  <c r="G317" i="10"/>
  <c r="F317" i="10"/>
  <c r="E317" i="10"/>
  <c r="D317" i="10"/>
  <c r="G316" i="10"/>
  <c r="F316" i="10"/>
  <c r="E316" i="10"/>
  <c r="D316" i="10"/>
  <c r="G315" i="10"/>
  <c r="F315" i="10"/>
  <c r="E315" i="10"/>
  <c r="D315" i="10"/>
  <c r="G314" i="10"/>
  <c r="F314" i="10"/>
  <c r="E314" i="10"/>
  <c r="D314" i="10"/>
  <c r="G313" i="10"/>
  <c r="F313" i="10"/>
  <c r="E313" i="10"/>
  <c r="D313" i="10"/>
  <c r="G312" i="10"/>
  <c r="F312" i="10"/>
  <c r="E312" i="10"/>
  <c r="D312" i="10"/>
  <c r="G311" i="10"/>
  <c r="F311" i="10"/>
  <c r="E311" i="10"/>
  <c r="D311" i="10"/>
  <c r="G310" i="10"/>
  <c r="F310" i="10"/>
  <c r="E310" i="10"/>
  <c r="D310" i="10"/>
  <c r="G309" i="10"/>
  <c r="F309" i="10"/>
  <c r="E309" i="10"/>
  <c r="D309" i="10"/>
  <c r="G308" i="10"/>
  <c r="F308" i="10"/>
  <c r="E308" i="10"/>
  <c r="D308" i="10"/>
  <c r="G307" i="10"/>
  <c r="F307" i="10"/>
  <c r="E307" i="10"/>
  <c r="D307" i="10"/>
  <c r="G306" i="10"/>
  <c r="F306" i="10"/>
  <c r="E306" i="10"/>
  <c r="D306" i="10"/>
  <c r="G305" i="10"/>
  <c r="F305" i="10"/>
  <c r="E305" i="10"/>
  <c r="D305" i="10"/>
  <c r="G304" i="10"/>
  <c r="F304" i="10"/>
  <c r="E304" i="10"/>
  <c r="D304" i="10"/>
  <c r="G303" i="10"/>
  <c r="F303" i="10"/>
  <c r="E303" i="10"/>
  <c r="D303" i="10"/>
  <c r="G302" i="10"/>
  <c r="F302" i="10"/>
  <c r="E302" i="10"/>
  <c r="D302" i="10"/>
  <c r="G301" i="10"/>
  <c r="F301" i="10"/>
  <c r="E301" i="10"/>
  <c r="D301" i="10"/>
  <c r="G300" i="10"/>
  <c r="F300" i="10"/>
  <c r="E300" i="10"/>
  <c r="D300" i="10"/>
  <c r="G299" i="10"/>
  <c r="F299" i="10"/>
  <c r="E299" i="10"/>
  <c r="D299" i="10"/>
  <c r="G298" i="10"/>
  <c r="F298" i="10"/>
  <c r="E298" i="10"/>
  <c r="D298" i="10"/>
  <c r="G297" i="10"/>
  <c r="F297" i="10"/>
  <c r="E297" i="10"/>
  <c r="D297" i="10"/>
  <c r="G296" i="10"/>
  <c r="F296" i="10"/>
  <c r="E296" i="10"/>
  <c r="D296" i="10"/>
  <c r="G295" i="10"/>
  <c r="F295" i="10"/>
  <c r="E295" i="10"/>
  <c r="D295" i="10"/>
  <c r="G294" i="10"/>
  <c r="F294" i="10"/>
  <c r="E294" i="10"/>
  <c r="D294" i="10"/>
  <c r="G293" i="10"/>
  <c r="F293" i="10"/>
  <c r="E293" i="10"/>
  <c r="D293" i="10"/>
  <c r="G292" i="10"/>
  <c r="F292" i="10"/>
  <c r="E292" i="10"/>
  <c r="D292" i="10"/>
  <c r="G291" i="10"/>
  <c r="F291" i="10"/>
  <c r="E291" i="10"/>
  <c r="D291" i="10"/>
  <c r="G290" i="10"/>
  <c r="F290" i="10"/>
  <c r="E290" i="10"/>
  <c r="D290" i="10"/>
  <c r="G289" i="10"/>
  <c r="F289" i="10"/>
  <c r="E289" i="10"/>
  <c r="D289" i="10"/>
  <c r="G288" i="10"/>
  <c r="F288" i="10"/>
  <c r="E288" i="10"/>
  <c r="D288" i="10"/>
  <c r="G287" i="10"/>
  <c r="F287" i="10"/>
  <c r="E287" i="10"/>
  <c r="D287" i="10"/>
  <c r="G286" i="10"/>
  <c r="F286" i="10"/>
  <c r="E286" i="10"/>
  <c r="D286" i="10"/>
  <c r="G285" i="10"/>
  <c r="F285" i="10"/>
  <c r="E285" i="10"/>
  <c r="D285" i="10"/>
  <c r="G284" i="10"/>
  <c r="F284" i="10"/>
  <c r="E284" i="10"/>
  <c r="D284" i="10"/>
  <c r="G283" i="10"/>
  <c r="F283" i="10"/>
  <c r="E283" i="10"/>
  <c r="D283" i="10"/>
  <c r="G282" i="10"/>
  <c r="F282" i="10"/>
  <c r="E282" i="10"/>
  <c r="D282" i="10"/>
  <c r="G281" i="10"/>
  <c r="F281" i="10"/>
  <c r="E281" i="10"/>
  <c r="D281" i="10"/>
  <c r="G280" i="10"/>
  <c r="F280" i="10"/>
  <c r="E280" i="10"/>
  <c r="D280" i="10"/>
  <c r="G279" i="10"/>
  <c r="F279" i="10"/>
  <c r="E279" i="10"/>
  <c r="D279" i="10"/>
  <c r="G278" i="10"/>
  <c r="F278" i="10"/>
  <c r="E278" i="10"/>
  <c r="D278" i="10"/>
  <c r="G277" i="10"/>
  <c r="F277" i="10"/>
  <c r="E277" i="10"/>
  <c r="D277" i="10"/>
  <c r="G276" i="10"/>
  <c r="F276" i="10"/>
  <c r="E276" i="10"/>
  <c r="D276" i="10"/>
  <c r="G275" i="10"/>
  <c r="F275" i="10"/>
  <c r="E275" i="10"/>
  <c r="D275" i="10"/>
  <c r="G274" i="10"/>
  <c r="F274" i="10"/>
  <c r="E274" i="10"/>
  <c r="D274" i="10"/>
  <c r="G273" i="10"/>
  <c r="F273" i="10"/>
  <c r="E273" i="10"/>
  <c r="D273" i="10"/>
  <c r="G272" i="10"/>
  <c r="F272" i="10"/>
  <c r="E272" i="10"/>
  <c r="D272" i="10"/>
  <c r="G271" i="10"/>
  <c r="F271" i="10"/>
  <c r="E271" i="10"/>
  <c r="D271" i="10"/>
  <c r="G270" i="10"/>
  <c r="F270" i="10"/>
  <c r="E270" i="10"/>
  <c r="D270" i="10"/>
  <c r="G269" i="10"/>
  <c r="F269" i="10"/>
  <c r="E269" i="10"/>
  <c r="D269" i="10"/>
  <c r="G268" i="10"/>
  <c r="F268" i="10"/>
  <c r="E268" i="10"/>
  <c r="D268" i="10"/>
  <c r="G267" i="10"/>
  <c r="F267" i="10"/>
  <c r="E267" i="10"/>
  <c r="D267" i="10"/>
  <c r="G266" i="10"/>
  <c r="F266" i="10"/>
  <c r="E266" i="10"/>
  <c r="D266" i="10"/>
  <c r="G265" i="10"/>
  <c r="F265" i="10"/>
  <c r="E265" i="10"/>
  <c r="D265" i="10"/>
  <c r="G264" i="10"/>
  <c r="F264" i="10"/>
  <c r="E264" i="10"/>
  <c r="D264" i="10"/>
  <c r="G263" i="10"/>
  <c r="F263" i="10"/>
  <c r="E263" i="10"/>
  <c r="D263" i="10"/>
  <c r="G262" i="10"/>
  <c r="F262" i="10"/>
  <c r="E262" i="10"/>
  <c r="D262" i="10"/>
  <c r="G261" i="10"/>
  <c r="F261" i="10"/>
  <c r="E261" i="10"/>
  <c r="D261" i="10"/>
  <c r="G260" i="10"/>
  <c r="F260" i="10"/>
  <c r="E260" i="10"/>
  <c r="D260" i="10"/>
  <c r="G259" i="10"/>
  <c r="F259" i="10"/>
  <c r="E259" i="10"/>
  <c r="D259" i="10"/>
  <c r="G258" i="10"/>
  <c r="F258" i="10"/>
  <c r="E258" i="10"/>
  <c r="D258" i="10"/>
  <c r="G257" i="10"/>
  <c r="F257" i="10"/>
  <c r="E257" i="10"/>
  <c r="D257" i="10"/>
  <c r="G256" i="10"/>
  <c r="F256" i="10"/>
  <c r="E256" i="10"/>
  <c r="D256" i="10"/>
  <c r="G255" i="10"/>
  <c r="F255" i="10"/>
  <c r="E255" i="10"/>
  <c r="D255" i="10"/>
  <c r="G254" i="10"/>
  <c r="F254" i="10"/>
  <c r="E254" i="10"/>
  <c r="D254" i="10"/>
  <c r="G253" i="10"/>
  <c r="F253" i="10"/>
  <c r="E253" i="10"/>
  <c r="D253" i="10"/>
  <c r="G252" i="10"/>
  <c r="F252" i="10"/>
  <c r="E252" i="10"/>
  <c r="D252" i="10"/>
  <c r="G251" i="10"/>
  <c r="F251" i="10"/>
  <c r="E251" i="10"/>
  <c r="D251" i="10"/>
  <c r="G250" i="10"/>
  <c r="F250" i="10"/>
  <c r="E250" i="10"/>
  <c r="D250" i="10"/>
  <c r="G249" i="10"/>
  <c r="F249" i="10"/>
  <c r="E249" i="10"/>
  <c r="D249" i="10"/>
  <c r="G248" i="10"/>
  <c r="F248" i="10"/>
  <c r="E248" i="10"/>
  <c r="D248" i="10"/>
  <c r="G247" i="10"/>
  <c r="F247" i="10"/>
  <c r="E247" i="10"/>
  <c r="D247" i="10"/>
  <c r="G246" i="10"/>
  <c r="F246" i="10"/>
  <c r="E246" i="10"/>
  <c r="D246" i="10"/>
  <c r="G245" i="10"/>
  <c r="F245" i="10"/>
  <c r="E245" i="10"/>
  <c r="D245" i="10"/>
  <c r="G244" i="10"/>
  <c r="F244" i="10"/>
  <c r="E244" i="10"/>
  <c r="D244" i="10"/>
  <c r="G243" i="10"/>
  <c r="F243" i="10"/>
  <c r="E243" i="10"/>
  <c r="D243" i="10"/>
  <c r="G242" i="10"/>
  <c r="F242" i="10"/>
  <c r="E242" i="10"/>
  <c r="D242" i="10"/>
  <c r="G241" i="10"/>
  <c r="F241" i="10"/>
  <c r="E241" i="10"/>
  <c r="D241" i="10"/>
  <c r="G240" i="10"/>
  <c r="F240" i="10"/>
  <c r="E240" i="10"/>
  <c r="D240" i="10"/>
  <c r="G239" i="10"/>
  <c r="F239" i="10"/>
  <c r="E239" i="10"/>
  <c r="D239" i="10"/>
  <c r="G238" i="10"/>
  <c r="F238" i="10"/>
  <c r="E238" i="10"/>
  <c r="D238" i="10"/>
  <c r="G237" i="10"/>
  <c r="F237" i="10"/>
  <c r="E237" i="10"/>
  <c r="D237" i="10"/>
  <c r="G236" i="10"/>
  <c r="F236" i="10"/>
  <c r="E236" i="10"/>
  <c r="D236" i="10"/>
  <c r="G235" i="10"/>
  <c r="F235" i="10"/>
  <c r="E235" i="10"/>
  <c r="D235" i="10"/>
  <c r="G234" i="10"/>
  <c r="F234" i="10"/>
  <c r="E234" i="10"/>
  <c r="D234" i="10"/>
  <c r="G233" i="10"/>
  <c r="F233" i="10"/>
  <c r="E233" i="10"/>
  <c r="D233" i="10"/>
  <c r="G232" i="10"/>
  <c r="F232" i="10"/>
  <c r="E232" i="10"/>
  <c r="D232" i="10"/>
  <c r="G231" i="10"/>
  <c r="F231" i="10"/>
  <c r="E231" i="10"/>
  <c r="D231" i="10"/>
  <c r="G230" i="10"/>
  <c r="F230" i="10"/>
  <c r="E230" i="10"/>
  <c r="D230" i="10"/>
  <c r="G229" i="10"/>
  <c r="F229" i="10"/>
  <c r="E229" i="10"/>
  <c r="D229" i="10"/>
  <c r="G228" i="10"/>
  <c r="F228" i="10"/>
  <c r="E228" i="10"/>
  <c r="D228" i="10"/>
  <c r="G227" i="10"/>
  <c r="F227" i="10"/>
  <c r="E227" i="10"/>
  <c r="D227" i="10"/>
  <c r="G226" i="10"/>
  <c r="F226" i="10"/>
  <c r="E226" i="10"/>
  <c r="D226" i="10"/>
  <c r="G225" i="10"/>
  <c r="F225" i="10"/>
  <c r="E225" i="10"/>
  <c r="D225" i="10"/>
  <c r="G224" i="10"/>
  <c r="F224" i="10"/>
  <c r="E224" i="10"/>
  <c r="D224" i="10"/>
  <c r="G223" i="10"/>
  <c r="F223" i="10"/>
  <c r="E223" i="10"/>
  <c r="D223" i="10"/>
  <c r="G222" i="10"/>
  <c r="F222" i="10"/>
  <c r="E222" i="10"/>
  <c r="D222" i="10"/>
  <c r="G221" i="10"/>
  <c r="F221" i="10"/>
  <c r="E221" i="10"/>
  <c r="D221" i="10"/>
  <c r="G220" i="10"/>
  <c r="F220" i="10"/>
  <c r="E220" i="10"/>
  <c r="D220" i="10"/>
  <c r="G219" i="10"/>
  <c r="F219" i="10"/>
  <c r="E219" i="10"/>
  <c r="D219" i="10"/>
  <c r="G218" i="10"/>
  <c r="F218" i="10"/>
  <c r="E218" i="10"/>
  <c r="D218" i="10"/>
  <c r="G217" i="10"/>
  <c r="F217" i="10"/>
  <c r="E217" i="10"/>
  <c r="D217" i="10"/>
  <c r="G216" i="10"/>
  <c r="F216" i="10"/>
  <c r="E216" i="10"/>
  <c r="D216" i="10"/>
  <c r="G215" i="10"/>
  <c r="F215" i="10"/>
  <c r="E215" i="10"/>
  <c r="D215" i="10"/>
  <c r="G214" i="10"/>
  <c r="F214" i="10"/>
  <c r="E214" i="10"/>
  <c r="D214" i="10"/>
  <c r="G213" i="10"/>
  <c r="F213" i="10"/>
  <c r="E213" i="10"/>
  <c r="D213" i="10"/>
  <c r="G212" i="10"/>
  <c r="F212" i="10"/>
  <c r="E212" i="10"/>
  <c r="D212" i="10"/>
  <c r="G211" i="10"/>
  <c r="F211" i="10"/>
  <c r="E211" i="10"/>
  <c r="D211" i="10"/>
  <c r="G210" i="10"/>
  <c r="F210" i="10"/>
  <c r="E210" i="10"/>
  <c r="D210" i="10"/>
  <c r="G209" i="10"/>
  <c r="F209" i="10"/>
  <c r="E209" i="10"/>
  <c r="D209" i="10"/>
  <c r="G208" i="10"/>
  <c r="F208" i="10"/>
  <c r="E208" i="10"/>
  <c r="D208" i="10"/>
  <c r="G207" i="10"/>
  <c r="F207" i="10"/>
  <c r="E207" i="10"/>
  <c r="D207" i="10"/>
  <c r="G206" i="10"/>
  <c r="F206" i="10"/>
  <c r="E206" i="10"/>
  <c r="D206" i="10"/>
  <c r="G205" i="10"/>
  <c r="F205" i="10"/>
  <c r="E205" i="10"/>
  <c r="D205" i="10"/>
  <c r="G204" i="10"/>
  <c r="F204" i="10"/>
  <c r="E204" i="10"/>
  <c r="D204" i="10"/>
  <c r="G203" i="10"/>
  <c r="F203" i="10"/>
  <c r="E203" i="10"/>
  <c r="D203" i="10"/>
  <c r="G202" i="10"/>
  <c r="F202" i="10"/>
  <c r="E202" i="10"/>
  <c r="D202" i="10"/>
  <c r="G201" i="10"/>
  <c r="F201" i="10"/>
  <c r="E201" i="10"/>
  <c r="D201" i="10"/>
  <c r="G200" i="10"/>
  <c r="F200" i="10"/>
  <c r="E200" i="10"/>
  <c r="D200" i="10"/>
  <c r="G199" i="10"/>
  <c r="F199" i="10"/>
  <c r="E199" i="10"/>
  <c r="D199" i="10"/>
  <c r="G198" i="10"/>
  <c r="F198" i="10"/>
  <c r="E198" i="10"/>
  <c r="D198" i="10"/>
  <c r="G197" i="10"/>
  <c r="F197" i="10"/>
  <c r="E197" i="10"/>
  <c r="D197" i="10"/>
  <c r="G196" i="10"/>
  <c r="F196" i="10"/>
  <c r="E196" i="10"/>
  <c r="D196" i="10"/>
  <c r="G195" i="10"/>
  <c r="F195" i="10"/>
  <c r="E195" i="10"/>
  <c r="D195" i="10"/>
  <c r="G194" i="10"/>
  <c r="F194" i="10"/>
  <c r="E194" i="10"/>
  <c r="D194" i="10"/>
  <c r="G193" i="10"/>
  <c r="F193" i="10"/>
  <c r="E193" i="10"/>
  <c r="D193" i="10"/>
  <c r="G192" i="10"/>
  <c r="F192" i="10"/>
  <c r="E192" i="10"/>
  <c r="D192" i="10"/>
  <c r="G191" i="10"/>
  <c r="F191" i="10"/>
  <c r="E191" i="10"/>
  <c r="D191" i="10"/>
  <c r="G190" i="10"/>
  <c r="F190" i="10"/>
  <c r="E190" i="10"/>
  <c r="D190" i="10"/>
  <c r="G189" i="10"/>
  <c r="F189" i="10"/>
  <c r="E189" i="10"/>
  <c r="D189" i="10"/>
  <c r="G188" i="10"/>
  <c r="F188" i="10"/>
  <c r="E188" i="10"/>
  <c r="D188" i="10"/>
  <c r="G187" i="10"/>
  <c r="F187" i="10"/>
  <c r="E187" i="10"/>
  <c r="D187" i="10"/>
  <c r="G186" i="10"/>
  <c r="F186" i="10"/>
  <c r="E186" i="10"/>
  <c r="D186" i="10"/>
  <c r="G185" i="10"/>
  <c r="F185" i="10"/>
  <c r="E185" i="10"/>
  <c r="D185" i="10"/>
  <c r="G184" i="10"/>
  <c r="F184" i="10"/>
  <c r="E184" i="10"/>
  <c r="D184" i="10"/>
  <c r="G183" i="10"/>
  <c r="F183" i="10"/>
  <c r="E183" i="10"/>
  <c r="D183" i="10"/>
  <c r="G182" i="10"/>
  <c r="F182" i="10"/>
  <c r="E182" i="10"/>
  <c r="D182" i="10"/>
  <c r="G181" i="10"/>
  <c r="F181" i="10"/>
  <c r="E181" i="10"/>
  <c r="D181" i="10"/>
  <c r="G180" i="10"/>
  <c r="F180" i="10"/>
  <c r="E180" i="10"/>
  <c r="D180" i="10"/>
  <c r="G179" i="10"/>
  <c r="F179" i="10"/>
  <c r="E179" i="10"/>
  <c r="D179" i="10"/>
  <c r="G178" i="10"/>
  <c r="F178" i="10"/>
  <c r="E178" i="10"/>
  <c r="D178" i="10"/>
  <c r="G177" i="10"/>
  <c r="F177" i="10"/>
  <c r="E177" i="10"/>
  <c r="D177" i="10"/>
  <c r="G176" i="10"/>
  <c r="F176" i="10"/>
  <c r="E176" i="10"/>
  <c r="D176" i="10"/>
  <c r="G175" i="10"/>
  <c r="F175" i="10"/>
  <c r="E175" i="10"/>
  <c r="D175" i="10"/>
  <c r="G174" i="10"/>
  <c r="F174" i="10"/>
  <c r="E174" i="10"/>
  <c r="D174" i="10"/>
  <c r="G173" i="10"/>
  <c r="F173" i="10"/>
  <c r="E173" i="10"/>
  <c r="D173" i="10"/>
  <c r="G172" i="10"/>
  <c r="F172" i="10"/>
  <c r="E172" i="10"/>
  <c r="D172" i="10"/>
  <c r="G171" i="10"/>
  <c r="F171" i="10"/>
  <c r="E171" i="10"/>
  <c r="D171" i="10"/>
  <c r="G170" i="10"/>
  <c r="F170" i="10"/>
  <c r="E170" i="10"/>
  <c r="D170" i="10"/>
  <c r="G169" i="10"/>
  <c r="F169" i="10"/>
  <c r="E169" i="10"/>
  <c r="D169" i="10"/>
  <c r="G168" i="10"/>
  <c r="F168" i="10"/>
  <c r="E168" i="10"/>
  <c r="D168" i="10"/>
  <c r="G167" i="10"/>
  <c r="F167" i="10"/>
  <c r="E167" i="10"/>
  <c r="D167" i="10"/>
  <c r="G166" i="10"/>
  <c r="F166" i="10"/>
  <c r="E166" i="10"/>
  <c r="D166" i="10"/>
  <c r="G165" i="10"/>
  <c r="F165" i="10"/>
  <c r="E165" i="10"/>
  <c r="D165" i="10"/>
  <c r="G164" i="10"/>
  <c r="F164" i="10"/>
  <c r="E164" i="10"/>
  <c r="D164" i="10"/>
  <c r="G163" i="10"/>
  <c r="F163" i="10"/>
  <c r="E163" i="10"/>
  <c r="D163" i="10"/>
  <c r="G162" i="10"/>
  <c r="F162" i="10"/>
  <c r="E162" i="10"/>
  <c r="D162" i="10"/>
  <c r="G161" i="10"/>
  <c r="F161" i="10"/>
  <c r="E161" i="10"/>
  <c r="D161" i="10"/>
  <c r="G160" i="10"/>
  <c r="F160" i="10"/>
  <c r="E160" i="10"/>
  <c r="D160" i="10"/>
  <c r="G159" i="10"/>
  <c r="F159" i="10"/>
  <c r="E159" i="10"/>
  <c r="D159" i="10"/>
  <c r="G158" i="10"/>
  <c r="F158" i="10"/>
  <c r="E158" i="10"/>
  <c r="D158" i="10"/>
  <c r="G157" i="10"/>
  <c r="F157" i="10"/>
  <c r="E157" i="10"/>
  <c r="D157" i="10"/>
  <c r="G156" i="10"/>
  <c r="F156" i="10"/>
  <c r="E156" i="10"/>
  <c r="D156" i="10"/>
  <c r="G155" i="10"/>
  <c r="F155" i="10"/>
  <c r="E155" i="10"/>
  <c r="D155" i="10"/>
  <c r="G154" i="10"/>
  <c r="F154" i="10"/>
  <c r="E154" i="10"/>
  <c r="D154" i="10"/>
  <c r="G153" i="10"/>
  <c r="F153" i="10"/>
  <c r="E153" i="10"/>
  <c r="D153" i="10"/>
  <c r="G152" i="10"/>
  <c r="F152" i="10"/>
  <c r="E152" i="10"/>
  <c r="D152" i="10"/>
  <c r="G151" i="10"/>
  <c r="F151" i="10"/>
  <c r="E151" i="10"/>
  <c r="D151" i="10"/>
  <c r="G150" i="10"/>
  <c r="F150" i="10"/>
  <c r="E150" i="10"/>
  <c r="D150" i="10"/>
  <c r="G149" i="10"/>
  <c r="F149" i="10"/>
  <c r="E149" i="10"/>
  <c r="D149" i="10"/>
  <c r="G148" i="10"/>
  <c r="F148" i="10"/>
  <c r="E148" i="10"/>
  <c r="D148" i="10"/>
  <c r="G147" i="10"/>
  <c r="F147" i="10"/>
  <c r="E147" i="10"/>
  <c r="D147" i="10"/>
  <c r="G146" i="10"/>
  <c r="F146" i="10"/>
  <c r="E146" i="10"/>
  <c r="D146" i="10"/>
  <c r="G145" i="10"/>
  <c r="F145" i="10"/>
  <c r="E145" i="10"/>
  <c r="D145" i="10"/>
  <c r="G144" i="10"/>
  <c r="F144" i="10"/>
  <c r="E144" i="10"/>
  <c r="D144" i="10"/>
  <c r="G143" i="10"/>
  <c r="F143" i="10"/>
  <c r="E143" i="10"/>
  <c r="D143" i="10"/>
  <c r="G142" i="10"/>
  <c r="F142" i="10"/>
  <c r="E142" i="10"/>
  <c r="D142" i="10"/>
  <c r="G141" i="10"/>
  <c r="F141" i="10"/>
  <c r="E141" i="10"/>
  <c r="D141" i="10"/>
  <c r="G140" i="10"/>
  <c r="F140" i="10"/>
  <c r="E140" i="10"/>
  <c r="D140" i="10"/>
  <c r="G139" i="10"/>
  <c r="F139" i="10"/>
  <c r="E139" i="10"/>
  <c r="D139" i="10"/>
  <c r="G138" i="10"/>
  <c r="F138" i="10"/>
  <c r="E138" i="10"/>
  <c r="D138" i="10"/>
  <c r="G137" i="10"/>
  <c r="F137" i="10"/>
  <c r="E137" i="10"/>
  <c r="D137" i="10"/>
  <c r="G136" i="10"/>
  <c r="F136" i="10"/>
  <c r="E136" i="10"/>
  <c r="D136" i="10"/>
  <c r="G135" i="10"/>
  <c r="F135" i="10"/>
  <c r="E135" i="10"/>
  <c r="D135" i="10"/>
  <c r="G134" i="10"/>
  <c r="F134" i="10"/>
  <c r="E134" i="10"/>
  <c r="D134" i="10"/>
  <c r="G133" i="10"/>
  <c r="F133" i="10"/>
  <c r="E133" i="10"/>
  <c r="D133" i="10"/>
  <c r="G132" i="10"/>
  <c r="F132" i="10"/>
  <c r="E132" i="10"/>
  <c r="D132" i="10"/>
  <c r="G131" i="10"/>
  <c r="F131" i="10"/>
  <c r="E131" i="10"/>
  <c r="D131" i="10"/>
  <c r="G130" i="10"/>
  <c r="F130" i="10"/>
  <c r="E130" i="10"/>
  <c r="D130" i="10"/>
  <c r="G129" i="10"/>
  <c r="F129" i="10"/>
  <c r="E129" i="10"/>
  <c r="D129" i="10"/>
  <c r="G128" i="10"/>
  <c r="F128" i="10"/>
  <c r="E128" i="10"/>
  <c r="D128" i="10"/>
  <c r="G127" i="10"/>
  <c r="F127" i="10"/>
  <c r="E127" i="10"/>
  <c r="D127" i="10"/>
  <c r="G126" i="10"/>
  <c r="F126" i="10"/>
  <c r="E126" i="10"/>
  <c r="D126" i="10"/>
  <c r="G125" i="10"/>
  <c r="F125" i="10"/>
  <c r="E125" i="10"/>
  <c r="D125" i="10"/>
  <c r="G124" i="10"/>
  <c r="F124" i="10"/>
  <c r="E124" i="10"/>
  <c r="D124" i="10"/>
  <c r="G123" i="10"/>
  <c r="F123" i="10"/>
  <c r="E123" i="10"/>
  <c r="D123" i="10"/>
  <c r="G122" i="10"/>
  <c r="F122" i="10"/>
  <c r="E122" i="10"/>
  <c r="D122" i="10"/>
  <c r="G121" i="10"/>
  <c r="F121" i="10"/>
  <c r="E121" i="10"/>
  <c r="D121" i="10"/>
  <c r="G120" i="10"/>
  <c r="F120" i="10"/>
  <c r="E120" i="10"/>
  <c r="D120" i="10"/>
  <c r="G119" i="10"/>
  <c r="F119" i="10"/>
  <c r="E119" i="10"/>
  <c r="D119" i="10"/>
  <c r="G118" i="10"/>
  <c r="F118" i="10"/>
  <c r="E118" i="10"/>
  <c r="D118" i="10"/>
  <c r="G117" i="10"/>
  <c r="F117" i="10"/>
  <c r="E117" i="10"/>
  <c r="D117" i="10"/>
  <c r="G116" i="10"/>
  <c r="F116" i="10"/>
  <c r="E116" i="10"/>
  <c r="D116" i="10"/>
  <c r="G115" i="10"/>
  <c r="F115" i="10"/>
  <c r="E115" i="10"/>
  <c r="D115" i="10"/>
  <c r="G114" i="10"/>
  <c r="F114" i="10"/>
  <c r="E114" i="10"/>
  <c r="D114" i="10"/>
  <c r="G113" i="10"/>
  <c r="F113" i="10"/>
  <c r="E113" i="10"/>
  <c r="D113" i="10"/>
  <c r="G112" i="10"/>
  <c r="F112" i="10"/>
  <c r="E112" i="10"/>
  <c r="D112" i="10"/>
  <c r="G111" i="10"/>
  <c r="F111" i="10"/>
  <c r="E111" i="10"/>
  <c r="D111" i="10"/>
  <c r="G110" i="10"/>
  <c r="F110" i="10"/>
  <c r="E110" i="10"/>
  <c r="D110" i="10"/>
  <c r="G109" i="10"/>
  <c r="F109" i="10"/>
  <c r="E109" i="10"/>
  <c r="D109" i="10"/>
  <c r="G108" i="10"/>
  <c r="F108" i="10"/>
  <c r="E108" i="10"/>
  <c r="D108" i="10"/>
  <c r="G107" i="10"/>
  <c r="F107" i="10"/>
  <c r="E107" i="10"/>
  <c r="D107" i="10"/>
  <c r="G106" i="10"/>
  <c r="F106" i="10"/>
  <c r="E106" i="10"/>
  <c r="D106" i="10"/>
  <c r="G105" i="10"/>
  <c r="F105" i="10"/>
  <c r="E105" i="10"/>
  <c r="D105" i="10"/>
  <c r="G104" i="10"/>
  <c r="F104" i="10"/>
  <c r="E104" i="10"/>
  <c r="D104" i="10"/>
  <c r="G103" i="10"/>
  <c r="F103" i="10"/>
  <c r="E103" i="10"/>
  <c r="D103" i="10"/>
  <c r="G102" i="10"/>
  <c r="F102" i="10"/>
  <c r="E102" i="10"/>
  <c r="D102" i="10"/>
  <c r="G101" i="10"/>
  <c r="F101" i="10"/>
  <c r="E101" i="10"/>
  <c r="D101" i="10"/>
  <c r="G100" i="10"/>
  <c r="F100" i="10"/>
  <c r="E100" i="10"/>
  <c r="D100" i="10"/>
  <c r="G99" i="10"/>
  <c r="F99" i="10"/>
  <c r="E99" i="10"/>
  <c r="D99" i="10"/>
  <c r="G98" i="10"/>
  <c r="F98" i="10"/>
  <c r="E98" i="10"/>
  <c r="D98" i="10"/>
  <c r="G97" i="10"/>
  <c r="F97" i="10"/>
  <c r="E97" i="10"/>
  <c r="D97" i="10"/>
  <c r="G96" i="10"/>
  <c r="F96" i="10"/>
  <c r="E96" i="10"/>
  <c r="D96" i="10"/>
  <c r="G95" i="10"/>
  <c r="F95" i="10"/>
  <c r="E95" i="10"/>
  <c r="D95" i="10"/>
  <c r="G94" i="10"/>
  <c r="F94" i="10"/>
  <c r="E94" i="10"/>
  <c r="D94" i="10"/>
  <c r="G93" i="10"/>
  <c r="F93" i="10"/>
  <c r="E93" i="10"/>
  <c r="D93" i="10"/>
  <c r="G92" i="10"/>
  <c r="F92" i="10"/>
  <c r="E92" i="10"/>
  <c r="D92" i="10"/>
  <c r="G91" i="10"/>
  <c r="F91" i="10"/>
  <c r="E91" i="10"/>
  <c r="D91" i="10"/>
  <c r="G90" i="10"/>
  <c r="F90" i="10"/>
  <c r="E90" i="10"/>
  <c r="D90" i="10"/>
  <c r="G89" i="10"/>
  <c r="F89" i="10"/>
  <c r="E89" i="10"/>
  <c r="D89" i="10"/>
  <c r="G88" i="10"/>
  <c r="F88" i="10"/>
  <c r="E88" i="10"/>
  <c r="D88" i="10"/>
  <c r="G87" i="10"/>
  <c r="F87" i="10"/>
  <c r="E87" i="10"/>
  <c r="D87" i="10"/>
  <c r="G86" i="10"/>
  <c r="F86" i="10"/>
  <c r="E86" i="10"/>
  <c r="D86" i="10"/>
  <c r="G85" i="10"/>
  <c r="F85" i="10"/>
  <c r="E85" i="10"/>
  <c r="D85" i="10"/>
  <c r="G84" i="10"/>
  <c r="F84" i="10"/>
  <c r="E84" i="10"/>
  <c r="D84" i="10"/>
  <c r="G83" i="10"/>
  <c r="F83" i="10"/>
  <c r="E83" i="10"/>
  <c r="D83" i="10"/>
  <c r="G82" i="10"/>
  <c r="F82" i="10"/>
  <c r="E82" i="10"/>
  <c r="D82" i="10"/>
  <c r="G81" i="10"/>
  <c r="F81" i="10"/>
  <c r="E81" i="10"/>
  <c r="D81" i="10"/>
  <c r="G80" i="10"/>
  <c r="F80" i="10"/>
  <c r="E80" i="10"/>
  <c r="D80" i="10"/>
  <c r="G79" i="10"/>
  <c r="F79" i="10"/>
  <c r="E79" i="10"/>
  <c r="D79" i="10"/>
  <c r="G78" i="10"/>
  <c r="F78" i="10"/>
  <c r="E78" i="10"/>
  <c r="D78" i="10"/>
  <c r="G77" i="10"/>
  <c r="F77" i="10"/>
  <c r="E77" i="10"/>
  <c r="D77" i="10"/>
  <c r="G76" i="10"/>
  <c r="F76" i="10"/>
  <c r="E76" i="10"/>
  <c r="D76" i="10"/>
  <c r="G75" i="10"/>
  <c r="F75" i="10"/>
  <c r="E75" i="10"/>
  <c r="D75" i="10"/>
  <c r="G74" i="10"/>
  <c r="F74" i="10"/>
  <c r="E74" i="10"/>
  <c r="D74" i="10"/>
  <c r="G73" i="10"/>
  <c r="F73" i="10"/>
  <c r="E73" i="10"/>
  <c r="D73" i="10"/>
  <c r="G72" i="10"/>
  <c r="F72" i="10"/>
  <c r="E72" i="10"/>
  <c r="D72" i="10"/>
  <c r="G71" i="10"/>
  <c r="F71" i="10"/>
  <c r="E71" i="10"/>
  <c r="D71" i="10"/>
  <c r="G70" i="10"/>
  <c r="F70" i="10"/>
  <c r="E70" i="10"/>
  <c r="D70" i="10"/>
  <c r="G69" i="10"/>
  <c r="F69" i="10"/>
  <c r="E69" i="10"/>
  <c r="D69" i="10"/>
  <c r="G68" i="10"/>
  <c r="F68" i="10"/>
  <c r="E68" i="10"/>
  <c r="D68" i="10"/>
  <c r="G67" i="10"/>
  <c r="F67" i="10"/>
  <c r="E67" i="10"/>
  <c r="D67" i="10"/>
  <c r="G66" i="10"/>
  <c r="F66" i="10"/>
  <c r="E66" i="10"/>
  <c r="D66" i="10"/>
  <c r="G65" i="10"/>
  <c r="F65" i="10"/>
  <c r="E65" i="10"/>
  <c r="D65" i="10"/>
  <c r="G64" i="10"/>
  <c r="F64" i="10"/>
  <c r="E64" i="10"/>
  <c r="D64" i="10"/>
  <c r="G63" i="10"/>
  <c r="F63" i="10"/>
  <c r="E63" i="10"/>
  <c r="D63" i="10"/>
  <c r="G62" i="10"/>
  <c r="F62" i="10"/>
  <c r="E62" i="10"/>
  <c r="D62" i="10"/>
  <c r="G61" i="10"/>
  <c r="F61" i="10"/>
  <c r="E61" i="10"/>
  <c r="D61" i="10"/>
  <c r="G60" i="10"/>
  <c r="F60" i="10"/>
  <c r="E60" i="10"/>
  <c r="D60" i="10"/>
  <c r="G59" i="10"/>
  <c r="F59" i="10"/>
  <c r="E59" i="10"/>
  <c r="D59" i="10"/>
  <c r="G58" i="10"/>
  <c r="F58" i="10"/>
  <c r="E58" i="10"/>
  <c r="D58" i="10"/>
  <c r="G57" i="10"/>
  <c r="F57" i="10"/>
  <c r="E57" i="10"/>
  <c r="D57" i="10"/>
  <c r="G56" i="10"/>
  <c r="F56" i="10"/>
  <c r="E56" i="10"/>
  <c r="D56" i="10"/>
  <c r="G55" i="10"/>
  <c r="F55" i="10"/>
  <c r="E55" i="10"/>
  <c r="D55" i="10"/>
  <c r="G54" i="10"/>
  <c r="F54" i="10"/>
  <c r="E54" i="10"/>
  <c r="D54" i="10"/>
  <c r="G53" i="10"/>
  <c r="F53" i="10"/>
  <c r="E53" i="10"/>
  <c r="D53" i="10"/>
  <c r="G52" i="10"/>
  <c r="F52" i="10"/>
  <c r="E52" i="10"/>
  <c r="D52" i="10"/>
  <c r="G51" i="10"/>
  <c r="F51" i="10"/>
  <c r="E51" i="10"/>
  <c r="D51" i="10"/>
  <c r="G50" i="10"/>
  <c r="F50" i="10"/>
  <c r="E50" i="10"/>
  <c r="D50" i="10"/>
  <c r="G49" i="10"/>
  <c r="F49" i="10"/>
  <c r="E49" i="10"/>
  <c r="D49" i="10"/>
  <c r="G48" i="10"/>
  <c r="F48" i="10"/>
  <c r="E48" i="10"/>
  <c r="D48" i="10"/>
  <c r="G47" i="10"/>
  <c r="F47" i="10"/>
  <c r="E47" i="10"/>
  <c r="D47" i="10"/>
  <c r="G46" i="10"/>
  <c r="F46" i="10"/>
  <c r="E46" i="10"/>
  <c r="D46" i="10"/>
  <c r="G45" i="10"/>
  <c r="F45" i="10"/>
  <c r="E45" i="10"/>
  <c r="D45" i="10"/>
  <c r="G44" i="10"/>
  <c r="F44" i="10"/>
  <c r="E44" i="10"/>
  <c r="D44" i="10"/>
  <c r="G43" i="10"/>
  <c r="F43" i="10"/>
  <c r="E43" i="10"/>
  <c r="D43" i="10"/>
  <c r="G42" i="10"/>
  <c r="F42" i="10"/>
  <c r="E42" i="10"/>
  <c r="D42" i="10"/>
  <c r="G41" i="10"/>
  <c r="F41" i="10"/>
  <c r="E41" i="10"/>
  <c r="D41" i="10"/>
  <c r="G40" i="10"/>
  <c r="F40" i="10"/>
  <c r="E40" i="10"/>
  <c r="D40" i="10"/>
  <c r="G39" i="10"/>
  <c r="F39" i="10"/>
  <c r="E39" i="10"/>
  <c r="D39" i="10"/>
  <c r="G38" i="10"/>
  <c r="F38" i="10"/>
  <c r="E38" i="10"/>
  <c r="D38" i="10"/>
  <c r="G37" i="10"/>
  <c r="F37" i="10"/>
  <c r="E37" i="10"/>
  <c r="D37" i="10"/>
  <c r="G36" i="10"/>
  <c r="F36" i="10"/>
  <c r="E36" i="10"/>
  <c r="D36" i="10"/>
  <c r="G35" i="10"/>
  <c r="F35" i="10"/>
  <c r="E35" i="10"/>
  <c r="D35" i="10"/>
  <c r="G34" i="10"/>
  <c r="F34" i="10"/>
  <c r="E34" i="10"/>
  <c r="D34" i="10"/>
  <c r="G33" i="10"/>
  <c r="F33" i="10"/>
  <c r="E33" i="10"/>
  <c r="D33" i="10"/>
  <c r="G32" i="10"/>
  <c r="F32" i="10"/>
  <c r="E32" i="10"/>
  <c r="D32" i="10"/>
  <c r="G31" i="10"/>
  <c r="F31" i="10"/>
  <c r="E31" i="10"/>
  <c r="D31" i="10"/>
  <c r="G30" i="10"/>
  <c r="F30" i="10"/>
  <c r="E30" i="10"/>
  <c r="D30" i="10"/>
  <c r="G29" i="10"/>
  <c r="F29" i="10"/>
  <c r="E29" i="10"/>
  <c r="D29" i="10"/>
  <c r="G28" i="10"/>
  <c r="F28" i="10"/>
  <c r="E28" i="10"/>
  <c r="D28" i="10"/>
  <c r="G27" i="10"/>
  <c r="F27" i="10"/>
  <c r="E27" i="10"/>
  <c r="D27" i="10"/>
  <c r="G26" i="10"/>
  <c r="F26" i="10"/>
  <c r="E26" i="10"/>
  <c r="D26" i="10"/>
  <c r="G25" i="10"/>
  <c r="F25" i="10"/>
  <c r="E25" i="10"/>
  <c r="D25" i="10"/>
  <c r="G24" i="10"/>
  <c r="F24" i="10"/>
  <c r="E24" i="10"/>
  <c r="D24" i="10"/>
  <c r="G23" i="10"/>
  <c r="F23" i="10"/>
  <c r="E23" i="10"/>
  <c r="D23" i="10"/>
  <c r="G22" i="10"/>
  <c r="F22" i="10"/>
  <c r="E22" i="10"/>
  <c r="D22" i="10"/>
  <c r="G21" i="10"/>
  <c r="F21" i="10"/>
  <c r="E21" i="10"/>
  <c r="D21" i="10"/>
  <c r="G20" i="10"/>
  <c r="F20" i="10"/>
  <c r="E20" i="10"/>
  <c r="D20" i="10"/>
  <c r="G19" i="10"/>
  <c r="F19" i="10"/>
  <c r="E19" i="10"/>
  <c r="D19" i="10"/>
  <c r="G18" i="10"/>
  <c r="F18" i="10"/>
  <c r="E18" i="10"/>
  <c r="D18" i="10"/>
  <c r="G17" i="10"/>
  <c r="F17" i="10"/>
  <c r="E17" i="10"/>
  <c r="D17" i="10"/>
  <c r="G16" i="10"/>
  <c r="F16" i="10"/>
  <c r="E16" i="10"/>
  <c r="D16" i="10"/>
  <c r="G15" i="10"/>
  <c r="F15" i="10"/>
  <c r="E15" i="10"/>
  <c r="D15" i="10"/>
  <c r="G14" i="10"/>
  <c r="F14" i="10"/>
  <c r="E14" i="10"/>
  <c r="D14" i="10"/>
  <c r="G13" i="10"/>
  <c r="F13" i="10"/>
  <c r="E13" i="10"/>
  <c r="D13" i="10"/>
  <c r="G12" i="10"/>
  <c r="F12" i="10"/>
  <c r="E12" i="10"/>
  <c r="D12" i="10"/>
  <c r="G11" i="10"/>
  <c r="F11" i="10"/>
  <c r="E11" i="10"/>
  <c r="D11" i="10"/>
  <c r="G10" i="10"/>
  <c r="F10" i="10"/>
  <c r="E10" i="10"/>
  <c r="D10" i="10"/>
  <c r="G9" i="10"/>
  <c r="F9" i="10"/>
  <c r="E9" i="10"/>
  <c r="D9" i="10"/>
  <c r="G8" i="10"/>
  <c r="F8" i="10"/>
  <c r="E8" i="10"/>
  <c r="D8" i="10"/>
  <c r="G7" i="10"/>
  <c r="F7" i="10"/>
  <c r="E7" i="10"/>
  <c r="D7" i="10"/>
  <c r="G6" i="10"/>
  <c r="F6" i="10"/>
  <c r="E6" i="10"/>
  <c r="D6" i="10"/>
  <c r="G5" i="10"/>
  <c r="F5" i="10"/>
  <c r="E5" i="10"/>
  <c r="D5" i="10"/>
  <c r="G4" i="10"/>
  <c r="F4" i="10"/>
  <c r="E4" i="10"/>
  <c r="D4" i="10"/>
  <c r="G3" i="10"/>
  <c r="F3" i="10"/>
  <c r="E3" i="10"/>
  <c r="D3" i="10"/>
  <c r="G2" i="10"/>
  <c r="F2" i="10"/>
  <c r="E2" i="10"/>
  <c r="D2" i="10"/>
  <c r="M5" i="10" l="1"/>
  <c r="M8" i="10"/>
  <c r="M4" i="10"/>
  <c r="M6" i="10"/>
  <c r="M7" i="10"/>
  <c r="M11" i="10" l="1"/>
  <c r="C5" i="1" s="1"/>
  <c r="M10" i="10"/>
  <c r="C6" i="1" l="1"/>
  <c r="D33" i="1"/>
  <c r="D32" i="1"/>
  <c r="D68" i="1"/>
  <c r="D67" i="1"/>
  <c r="A67" i="1"/>
  <c r="C54" i="1"/>
  <c r="C55" i="1"/>
  <c r="A42" i="1"/>
  <c r="A39" i="1"/>
  <c r="A35" i="1"/>
  <c r="D28" i="1"/>
  <c r="D27" i="1"/>
  <c r="D23" i="1"/>
  <c r="D22" i="1"/>
  <c r="D35" i="1" l="1"/>
  <c r="B64" i="1"/>
  <c r="DE16" i="7" l="1"/>
  <c r="W3" i="2" l="1"/>
  <c r="W4" i="2"/>
  <c r="W5" i="2"/>
  <c r="W6" i="2"/>
  <c r="W7" i="2"/>
  <c r="W8" i="2"/>
  <c r="W9" i="2"/>
  <c r="W10" i="2"/>
  <c r="W12" i="2"/>
  <c r="AQ35" i="8" l="1"/>
  <c r="B20" i="4" l="1"/>
  <c r="B19" i="4"/>
  <c r="V3" i="2"/>
  <c r="V4" i="2"/>
  <c r="V5" i="2"/>
  <c r="V6" i="2"/>
  <c r="V7" i="2"/>
  <c r="V8" i="2"/>
  <c r="V9" i="2"/>
  <c r="V10" i="2"/>
  <c r="V12" i="2"/>
  <c r="K110" i="8" l="1"/>
  <c r="A155" i="9" l="1"/>
  <c r="A154" i="9"/>
  <c r="A153" i="9"/>
  <c r="A150" i="9"/>
  <c r="A149" i="9"/>
  <c r="A148" i="9"/>
  <c r="A147" i="9"/>
  <c r="B61" i="9" s="1"/>
  <c r="A146" i="9"/>
  <c r="A145" i="9"/>
  <c r="A144" i="9"/>
  <c r="AD104" i="9"/>
  <c r="AC104" i="9"/>
  <c r="AB104" i="9"/>
  <c r="Y104" i="9"/>
  <c r="X104" i="9"/>
  <c r="W104" i="9"/>
  <c r="AD103" i="9"/>
  <c r="AC103" i="9"/>
  <c r="AB103" i="9"/>
  <c r="Y103" i="9"/>
  <c r="X103" i="9"/>
  <c r="W103" i="9"/>
  <c r="AD102" i="9"/>
  <c r="AD101" i="9" s="1"/>
  <c r="AC102" i="9"/>
  <c r="AB102" i="9"/>
  <c r="Y102" i="9"/>
  <c r="X102" i="9"/>
  <c r="W102" i="9"/>
  <c r="A102" i="9"/>
  <c r="A103" i="9" s="1"/>
  <c r="AC101" i="9"/>
  <c r="AB101" i="9"/>
  <c r="Y101" i="9"/>
  <c r="X101" i="9"/>
  <c r="W101" i="9"/>
  <c r="AD100" i="9"/>
  <c r="AC100" i="9"/>
  <c r="AB100" i="9"/>
  <c r="Y100" i="9"/>
  <c r="X100" i="9"/>
  <c r="W100" i="9"/>
  <c r="AD99" i="9"/>
  <c r="AC99" i="9"/>
  <c r="AB99" i="9"/>
  <c r="Y99" i="9"/>
  <c r="X99" i="9"/>
  <c r="W99" i="9"/>
  <c r="AD98" i="9"/>
  <c r="AC98" i="9"/>
  <c r="AB98" i="9"/>
  <c r="Y98" i="9"/>
  <c r="X98" i="9"/>
  <c r="W98" i="9"/>
  <c r="A98" i="9"/>
  <c r="A99" i="9" s="1"/>
  <c r="AD97" i="9"/>
  <c r="AC97" i="9"/>
  <c r="AB97" i="9"/>
  <c r="Y97" i="9"/>
  <c r="X97" i="9"/>
  <c r="W97" i="9"/>
  <c r="AD95" i="9"/>
  <c r="AD96" i="9" s="1"/>
  <c r="AC95" i="9"/>
  <c r="AC96" i="9" s="1"/>
  <c r="AB95" i="9"/>
  <c r="AB96" i="9" s="1"/>
  <c r="Y95" i="9"/>
  <c r="Y96" i="9" s="1"/>
  <c r="X95" i="9"/>
  <c r="X96" i="9" s="1"/>
  <c r="W95" i="9"/>
  <c r="W96" i="9" s="1"/>
  <c r="AD94" i="9"/>
  <c r="AC94" i="9"/>
  <c r="AB94" i="9"/>
  <c r="Y94" i="9"/>
  <c r="X94" i="9"/>
  <c r="W94" i="9"/>
  <c r="A94" i="9"/>
  <c r="A95" i="9" s="1"/>
  <c r="AD93" i="9"/>
  <c r="AC93" i="9"/>
  <c r="AB93" i="9"/>
  <c r="Y93" i="9"/>
  <c r="X93" i="9"/>
  <c r="W93" i="9"/>
  <c r="AD92" i="9"/>
  <c r="AC92" i="9"/>
  <c r="AB92" i="9"/>
  <c r="Y92" i="9"/>
  <c r="X92" i="9"/>
  <c r="W92" i="9"/>
  <c r="AD91" i="9"/>
  <c r="AC91" i="9"/>
  <c r="AB91" i="9"/>
  <c r="Y91" i="9"/>
  <c r="X91" i="9"/>
  <c r="W91" i="9"/>
  <c r="AD90" i="9"/>
  <c r="AC90" i="9"/>
  <c r="AB90" i="9"/>
  <c r="Y90" i="9"/>
  <c r="X90" i="9"/>
  <c r="W90" i="9"/>
  <c r="A90" i="9"/>
  <c r="B90" i="9" s="1"/>
  <c r="AD89" i="9"/>
  <c r="AC89" i="9"/>
  <c r="AB89" i="9"/>
  <c r="Y89" i="9"/>
  <c r="X89" i="9"/>
  <c r="W89" i="9"/>
  <c r="B89" i="9"/>
  <c r="AD88" i="9"/>
  <c r="AC88" i="9"/>
  <c r="AB88" i="9"/>
  <c r="AD87" i="9"/>
  <c r="AD86" i="9" s="1"/>
  <c r="AD85" i="9" s="1"/>
  <c r="AC87" i="9"/>
  <c r="AC86" i="9" s="1"/>
  <c r="AC85" i="9" s="1"/>
  <c r="AB87" i="9"/>
  <c r="Y87" i="9"/>
  <c r="Y88" i="9" s="1"/>
  <c r="X87" i="9"/>
  <c r="X88" i="9" s="1"/>
  <c r="W87" i="9"/>
  <c r="W88" i="9" s="1"/>
  <c r="AB86" i="9"/>
  <c r="Y86" i="9"/>
  <c r="A86" i="9"/>
  <c r="AB85" i="9"/>
  <c r="Y85" i="9"/>
  <c r="X85" i="9"/>
  <c r="W85" i="9"/>
  <c r="AD84" i="9"/>
  <c r="AC84" i="9"/>
  <c r="AB84" i="9"/>
  <c r="Y84" i="9"/>
  <c r="X84" i="9"/>
  <c r="W84" i="9"/>
  <c r="AD83" i="9"/>
  <c r="AC83" i="9"/>
  <c r="AB83" i="9"/>
  <c r="Y83" i="9"/>
  <c r="X83" i="9"/>
  <c r="W83" i="9"/>
  <c r="E83" i="9"/>
  <c r="D83" i="9"/>
  <c r="AD82" i="9"/>
  <c r="AD81" i="9" s="1"/>
  <c r="AC82" i="9"/>
  <c r="AC81" i="9" s="1"/>
  <c r="AB82" i="9"/>
  <c r="Y82" i="9"/>
  <c r="X82" i="9"/>
  <c r="W82" i="9"/>
  <c r="A82" i="9"/>
  <c r="A83" i="9" s="1"/>
  <c r="AB81" i="9"/>
  <c r="Y81" i="9"/>
  <c r="X81" i="9"/>
  <c r="W81" i="9"/>
  <c r="AD80" i="9"/>
  <c r="AD79" i="9" s="1"/>
  <c r="AC80" i="9"/>
  <c r="AC79" i="9" s="1"/>
  <c r="AB80" i="9"/>
  <c r="AB79" i="9" s="1"/>
  <c r="Y80" i="9"/>
  <c r="X80" i="9"/>
  <c r="W80" i="9"/>
  <c r="AD78" i="9"/>
  <c r="AD77" i="9" s="1"/>
  <c r="AC78" i="9"/>
  <c r="AC77" i="9" s="1"/>
  <c r="AB78" i="9"/>
  <c r="Y78" i="9"/>
  <c r="Y79" i="9" s="1"/>
  <c r="X78" i="9"/>
  <c r="X79" i="9" s="1"/>
  <c r="W78" i="9"/>
  <c r="W79" i="9" s="1"/>
  <c r="A78" i="9"/>
  <c r="AB77" i="9"/>
  <c r="W77" i="9"/>
  <c r="Y76" i="9"/>
  <c r="X76" i="9"/>
  <c r="D76" i="9"/>
  <c r="W76" i="9" s="1"/>
  <c r="AD75" i="9"/>
  <c r="AD76" i="9" s="1"/>
  <c r="AC75" i="9"/>
  <c r="AC76" i="9" s="1"/>
  <c r="AB75" i="9"/>
  <c r="AB76" i="9" s="1"/>
  <c r="Y75" i="9"/>
  <c r="X75" i="9"/>
  <c r="W75" i="9"/>
  <c r="AC74" i="9"/>
  <c r="AB74" i="9"/>
  <c r="Y74" i="9"/>
  <c r="X74" i="9"/>
  <c r="W74" i="9"/>
  <c r="A74" i="9"/>
  <c r="AD73" i="9"/>
  <c r="AC73" i="9"/>
  <c r="AB73" i="9"/>
  <c r="Y73" i="9"/>
  <c r="X73" i="9"/>
  <c r="W73" i="9"/>
  <c r="AD72" i="9"/>
  <c r="AC72" i="9"/>
  <c r="AB72" i="9"/>
  <c r="Y72" i="9"/>
  <c r="X72" i="9"/>
  <c r="W72" i="9"/>
  <c r="AD71" i="9"/>
  <c r="AC71" i="9"/>
  <c r="AB71" i="9"/>
  <c r="Y71" i="9"/>
  <c r="X71" i="9"/>
  <c r="W71" i="9"/>
  <c r="AD70" i="9"/>
  <c r="AC70" i="9"/>
  <c r="AB70" i="9"/>
  <c r="Y70" i="9"/>
  <c r="X70" i="9"/>
  <c r="W70" i="9"/>
  <c r="A70" i="9"/>
  <c r="A71" i="9" s="1"/>
  <c r="AD69" i="9"/>
  <c r="AC69" i="9"/>
  <c r="AB69" i="9"/>
  <c r="Y69" i="9"/>
  <c r="X69" i="9"/>
  <c r="W69" i="9"/>
  <c r="B69" i="9"/>
  <c r="AD68" i="9"/>
  <c r="AC68" i="9"/>
  <c r="AB68" i="9"/>
  <c r="Y68" i="9"/>
  <c r="Y67" i="9" s="1"/>
  <c r="Y66" i="9" s="1"/>
  <c r="Y65" i="9" s="1"/>
  <c r="X68" i="9"/>
  <c r="W68" i="9"/>
  <c r="W67" i="9" s="1"/>
  <c r="W66" i="9" s="1"/>
  <c r="W65" i="9" s="1"/>
  <c r="AD67" i="9"/>
  <c r="AC67" i="9"/>
  <c r="AB67" i="9"/>
  <c r="X67" i="9"/>
  <c r="X66" i="9" s="1"/>
  <c r="X65" i="9" s="1"/>
  <c r="AD66" i="9"/>
  <c r="AC66" i="9"/>
  <c r="AB66" i="9"/>
  <c r="A66" i="9"/>
  <c r="AD65" i="9"/>
  <c r="AC65" i="9"/>
  <c r="AB65" i="9"/>
  <c r="AD64" i="9"/>
  <c r="AC64" i="9"/>
  <c r="AB64" i="9"/>
  <c r="Y64" i="9"/>
  <c r="Y63" i="9" s="1"/>
  <c r="Y62" i="9" s="1"/>
  <c r="Y61" i="9" s="1"/>
  <c r="Y60" i="9" s="1"/>
  <c r="X64" i="9"/>
  <c r="X63" i="9" s="1"/>
  <c r="X62" i="9" s="1"/>
  <c r="X61" i="9" s="1"/>
  <c r="X60" i="9" s="1"/>
  <c r="W64" i="9"/>
  <c r="AD63" i="9"/>
  <c r="AC63" i="9"/>
  <c r="AC62" i="9" s="1"/>
  <c r="AB63" i="9"/>
  <c r="W63" i="9"/>
  <c r="W62" i="9" s="1"/>
  <c r="W61" i="9" s="1"/>
  <c r="W60" i="9" s="1"/>
  <c r="AD62" i="9"/>
  <c r="AB62" i="9"/>
  <c r="A62" i="9"/>
  <c r="AD61" i="9"/>
  <c r="AC61" i="9"/>
  <c r="AB61" i="9"/>
  <c r="AD60" i="9"/>
  <c r="AC60" i="9"/>
  <c r="AB60" i="9"/>
  <c r="AD59" i="9"/>
  <c r="AD58" i="9" s="1"/>
  <c r="AC59" i="9"/>
  <c r="AB59" i="9"/>
  <c r="Y59" i="9"/>
  <c r="X59" i="9"/>
  <c r="W59" i="9"/>
  <c r="AC58" i="9"/>
  <c r="AB58" i="9"/>
  <c r="Y58" i="9"/>
  <c r="X58" i="9"/>
  <c r="W58" i="9"/>
  <c r="A58" i="9"/>
  <c r="A59" i="9" s="1"/>
  <c r="AD57" i="9"/>
  <c r="AC57" i="9"/>
  <c r="AB57" i="9"/>
  <c r="Y57" i="9"/>
  <c r="X57" i="9"/>
  <c r="W57" i="9"/>
  <c r="AD56" i="9"/>
  <c r="AD55" i="9" s="1"/>
  <c r="AD54" i="9" s="1"/>
  <c r="AC56" i="9"/>
  <c r="AC55" i="9" s="1"/>
  <c r="AC54" i="9" s="1"/>
  <c r="AB56" i="9"/>
  <c r="Y56" i="9"/>
  <c r="X56" i="9"/>
  <c r="W56" i="9"/>
  <c r="W55" i="9" s="1"/>
  <c r="W54" i="9" s="1"/>
  <c r="W53" i="9" s="1"/>
  <c r="AB55" i="9"/>
  <c r="AB54" i="9" s="1"/>
  <c r="Y55" i="9"/>
  <c r="Y54" i="9" s="1"/>
  <c r="Y53" i="9" s="1"/>
  <c r="X55" i="9"/>
  <c r="X54" i="9" s="1"/>
  <c r="X53" i="9" s="1"/>
  <c r="A54" i="9"/>
  <c r="A55" i="9" s="1"/>
  <c r="AD53" i="9"/>
  <c r="AC53" i="9"/>
  <c r="AB53" i="9"/>
  <c r="B53" i="9"/>
  <c r="AD52" i="9"/>
  <c r="AC52" i="9"/>
  <c r="AB52" i="9"/>
  <c r="Y52" i="9"/>
  <c r="X52" i="9"/>
  <c r="W52" i="9"/>
  <c r="AD51" i="9"/>
  <c r="AC51" i="9"/>
  <c r="AB51" i="9"/>
  <c r="Y51" i="9"/>
  <c r="X51" i="9"/>
  <c r="W51" i="9"/>
  <c r="AD50" i="9"/>
  <c r="AC50" i="9"/>
  <c r="AB50" i="9"/>
  <c r="Y50" i="9"/>
  <c r="X50" i="9"/>
  <c r="W50" i="9"/>
  <c r="A50" i="9"/>
  <c r="A51" i="9" s="1"/>
  <c r="AD49" i="9"/>
  <c r="AC49" i="9"/>
  <c r="AB49" i="9"/>
  <c r="Y49" i="9"/>
  <c r="X49" i="9"/>
  <c r="W49" i="9"/>
  <c r="Y48" i="9"/>
  <c r="X48" i="9"/>
  <c r="W48" i="9"/>
  <c r="AD47" i="9"/>
  <c r="AD46" i="9" s="1"/>
  <c r="AC47" i="9"/>
  <c r="AC48" i="9" s="1"/>
  <c r="AB47" i="9"/>
  <c r="AB48" i="9" s="1"/>
  <c r="Y47" i="9"/>
  <c r="X47" i="9"/>
  <c r="W47" i="9"/>
  <c r="AC46" i="9"/>
  <c r="AB46" i="9"/>
  <c r="Y46" i="9"/>
  <c r="Y45" i="9" s="1"/>
  <c r="X46" i="9"/>
  <c r="W46" i="9"/>
  <c r="A46" i="9"/>
  <c r="A47" i="9" s="1"/>
  <c r="AD45" i="9"/>
  <c r="AC45" i="9"/>
  <c r="AB45" i="9"/>
  <c r="X45" i="9"/>
  <c r="W45" i="9"/>
  <c r="AD44" i="9"/>
  <c r="AC44" i="9"/>
  <c r="AB44" i="9"/>
  <c r="Y44" i="9"/>
  <c r="X44" i="9"/>
  <c r="W44" i="9"/>
  <c r="AD43" i="9"/>
  <c r="AC43" i="9"/>
  <c r="AC42" i="9" s="1"/>
  <c r="AB43" i="9"/>
  <c r="Y43" i="9"/>
  <c r="X43" i="9"/>
  <c r="W43" i="9"/>
  <c r="AD42" i="9"/>
  <c r="AB42" i="9"/>
  <c r="Y42" i="9"/>
  <c r="X42" i="9"/>
  <c r="W42" i="9"/>
  <c r="A42" i="9"/>
  <c r="B42" i="9" s="1"/>
  <c r="AD41" i="9"/>
  <c r="AC41" i="9"/>
  <c r="AB41" i="9"/>
  <c r="Y41" i="9"/>
  <c r="X41" i="9"/>
  <c r="W41" i="9"/>
  <c r="AD40" i="9"/>
  <c r="AC40" i="9"/>
  <c r="AB40" i="9"/>
  <c r="AD39" i="9"/>
  <c r="AC39" i="9"/>
  <c r="AB39" i="9"/>
  <c r="Y39" i="9"/>
  <c r="Y40" i="9" s="1"/>
  <c r="X39" i="9"/>
  <c r="X40" i="9" s="1"/>
  <c r="W39" i="9"/>
  <c r="W40" i="9" s="1"/>
  <c r="AD38" i="9"/>
  <c r="AD37" i="9" s="1"/>
  <c r="AC38" i="9"/>
  <c r="AB38" i="9"/>
  <c r="AB37" i="9" s="1"/>
  <c r="Y38" i="9"/>
  <c r="Y37" i="9" s="1"/>
  <c r="X38" i="9"/>
  <c r="W38" i="9"/>
  <c r="W37" i="9" s="1"/>
  <c r="A38" i="9"/>
  <c r="A39" i="9" s="1"/>
  <c r="AC37" i="9"/>
  <c r="X37" i="9"/>
  <c r="B37" i="9"/>
  <c r="AD36" i="9"/>
  <c r="AC36" i="9"/>
  <c r="AB36" i="9"/>
  <c r="Y36" i="9"/>
  <c r="X36" i="9"/>
  <c r="W36" i="9"/>
  <c r="AD35" i="9"/>
  <c r="AC35" i="9"/>
  <c r="AB35" i="9"/>
  <c r="Y35" i="9"/>
  <c r="X35" i="9"/>
  <c r="X34" i="9" s="1"/>
  <c r="W35" i="9"/>
  <c r="AD34" i="9"/>
  <c r="AC34" i="9"/>
  <c r="AB34" i="9"/>
  <c r="Y34" i="9"/>
  <c r="W34" i="9"/>
  <c r="A34" i="9"/>
  <c r="B34" i="9" s="1"/>
  <c r="AD33" i="9"/>
  <c r="AC33" i="9"/>
  <c r="AB33" i="9"/>
  <c r="Y33" i="9"/>
  <c r="X33" i="9"/>
  <c r="W33" i="9"/>
  <c r="AD32" i="9"/>
  <c r="AC32" i="9"/>
  <c r="AB32" i="9"/>
  <c r="Y32" i="9"/>
  <c r="X32" i="9"/>
  <c r="W32" i="9"/>
  <c r="AD31" i="9"/>
  <c r="AC31" i="9"/>
  <c r="AB31" i="9"/>
  <c r="Y31" i="9"/>
  <c r="X31" i="9"/>
  <c r="W31" i="9"/>
  <c r="AD30" i="9"/>
  <c r="AC30" i="9"/>
  <c r="AB30" i="9"/>
  <c r="Y30" i="9"/>
  <c r="X30" i="9"/>
  <c r="X29" i="9" s="1"/>
  <c r="W30" i="9"/>
  <c r="W29" i="9" s="1"/>
  <c r="A30" i="9"/>
  <c r="AD29" i="9"/>
  <c r="AC29" i="9"/>
  <c r="AB29" i="9"/>
  <c r="Y29" i="9"/>
  <c r="AD28" i="9"/>
  <c r="AC28" i="9"/>
  <c r="AB28" i="9"/>
  <c r="Y28" i="9"/>
  <c r="X28" i="9"/>
  <c r="W28" i="9"/>
  <c r="AD27" i="9"/>
  <c r="AC27" i="9"/>
  <c r="AB27" i="9"/>
  <c r="Y27" i="9"/>
  <c r="X27" i="9"/>
  <c r="W27" i="9"/>
  <c r="AD26" i="9"/>
  <c r="AC26" i="9"/>
  <c r="AB26" i="9"/>
  <c r="Y26" i="9"/>
  <c r="X26" i="9"/>
  <c r="W26" i="9"/>
  <c r="A26" i="9"/>
  <c r="A27" i="9" s="1"/>
  <c r="AD25" i="9"/>
  <c r="AC25" i="9"/>
  <c r="AB25" i="9"/>
  <c r="Y25" i="9"/>
  <c r="X25" i="9"/>
  <c r="W25" i="9"/>
  <c r="AD24" i="9"/>
  <c r="AD23" i="9" s="1"/>
  <c r="AC24" i="9"/>
  <c r="AC23" i="9" s="1"/>
  <c r="AB24" i="9"/>
  <c r="Y24" i="9"/>
  <c r="X24" i="9"/>
  <c r="W24" i="9"/>
  <c r="AB23" i="9"/>
  <c r="Y23" i="9"/>
  <c r="Y22" i="9" s="1"/>
  <c r="X23" i="9"/>
  <c r="W23" i="9"/>
  <c r="AD22" i="9"/>
  <c r="AC22" i="9"/>
  <c r="AB22" i="9"/>
  <c r="X22" i="9"/>
  <c r="W22" i="9"/>
  <c r="A22" i="9"/>
  <c r="A23" i="9" s="1"/>
  <c r="AD21" i="9"/>
  <c r="AC21" i="9"/>
  <c r="AB21" i="9"/>
  <c r="Y21" i="9"/>
  <c r="X21" i="9"/>
  <c r="W21" i="9"/>
  <c r="AD20" i="9"/>
  <c r="AC20" i="9"/>
  <c r="AB20" i="9"/>
  <c r="Y20" i="9"/>
  <c r="X20" i="9"/>
  <c r="W20" i="9"/>
  <c r="AD19" i="9"/>
  <c r="AD18" i="9" s="1"/>
  <c r="AC19" i="9"/>
  <c r="AB19" i="9"/>
  <c r="Y19" i="9"/>
  <c r="X19" i="9"/>
  <c r="X18" i="9" s="1"/>
  <c r="W19" i="9"/>
  <c r="W18" i="9" s="1"/>
  <c r="AC18" i="9"/>
  <c r="AB18" i="9"/>
  <c r="Y18" i="9"/>
  <c r="A18" i="9"/>
  <c r="A19" i="9" s="1"/>
  <c r="AD17" i="9"/>
  <c r="AC17" i="9"/>
  <c r="AB17" i="9"/>
  <c r="Y17" i="9"/>
  <c r="X17" i="9"/>
  <c r="W17" i="9"/>
  <c r="AD16" i="9"/>
  <c r="AC16" i="9"/>
  <c r="AB16" i="9"/>
  <c r="Y16" i="9"/>
  <c r="X16" i="9"/>
  <c r="W16" i="9"/>
  <c r="AD15" i="9"/>
  <c r="AC15" i="9"/>
  <c r="AB15" i="9"/>
  <c r="Y15" i="9"/>
  <c r="X15" i="9"/>
  <c r="W15" i="9"/>
  <c r="AD14" i="9"/>
  <c r="AC14" i="9"/>
  <c r="AB14" i="9"/>
  <c r="Y14" i="9"/>
  <c r="X14" i="9"/>
  <c r="W14" i="9"/>
  <c r="A14" i="9"/>
  <c r="A15" i="9" s="1"/>
  <c r="AD13" i="9"/>
  <c r="AC13" i="9"/>
  <c r="AB13" i="9"/>
  <c r="Y13" i="9"/>
  <c r="X13" i="9"/>
  <c r="W13" i="9"/>
  <c r="AD12" i="9"/>
  <c r="AC12" i="9"/>
  <c r="AB12" i="9"/>
  <c r="Y12" i="9"/>
  <c r="X12" i="9"/>
  <c r="W12" i="9"/>
  <c r="AD11" i="9"/>
  <c r="AC11" i="9"/>
  <c r="AB11" i="9"/>
  <c r="Y11" i="9"/>
  <c r="Y10" i="9" s="1"/>
  <c r="X11" i="9"/>
  <c r="W11" i="9"/>
  <c r="AD10" i="9"/>
  <c r="AD9" i="9" s="1"/>
  <c r="AC10" i="9"/>
  <c r="AB10" i="9"/>
  <c r="X10" i="9"/>
  <c r="W10" i="9"/>
  <c r="A10" i="9"/>
  <c r="AC9" i="9"/>
  <c r="AB9" i="9"/>
  <c r="Y9" i="9"/>
  <c r="X9" i="9"/>
  <c r="W9" i="9"/>
  <c r="AD8" i="9"/>
  <c r="AC8" i="9"/>
  <c r="AB8" i="9"/>
  <c r="Y8" i="9"/>
  <c r="X8" i="9"/>
  <c r="W8" i="9"/>
  <c r="AD7" i="9"/>
  <c r="AC7" i="9"/>
  <c r="AB7" i="9"/>
  <c r="Y7" i="9"/>
  <c r="X7" i="9"/>
  <c r="W7" i="9"/>
  <c r="AD6" i="9"/>
  <c r="AD5" i="9" s="1"/>
  <c r="AC6" i="9"/>
  <c r="AC5" i="9" s="1"/>
  <c r="AB6" i="9"/>
  <c r="Y6" i="9"/>
  <c r="X6" i="9"/>
  <c r="X5" i="9" s="1"/>
  <c r="W6" i="9"/>
  <c r="W5" i="9" s="1"/>
  <c r="A6" i="9"/>
  <c r="A7" i="9" s="1"/>
  <c r="AB5" i="9"/>
  <c r="Y5" i="9"/>
  <c r="B77" i="8"/>
  <c r="B66" i="8"/>
  <c r="AI111" i="8"/>
  <c r="B46" i="8"/>
  <c r="B48" i="8" s="1"/>
  <c r="Q36" i="8"/>
  <c r="V29" i="8"/>
  <c r="V23" i="8"/>
  <c r="H19" i="8"/>
  <c r="C19" i="8"/>
  <c r="C25" i="8" s="1"/>
  <c r="C18" i="8"/>
  <c r="C24" i="8" s="1"/>
  <c r="V11" i="8"/>
  <c r="C10" i="8"/>
  <c r="X3" i="8"/>
  <c r="AJ184" i="8"/>
  <c r="AI184" i="8"/>
  <c r="AJ111" i="8"/>
  <c r="D65" i="8"/>
  <c r="D64" i="8"/>
  <c r="D63" i="8"/>
  <c r="D62" i="8"/>
  <c r="C27" i="8"/>
  <c r="AA22" i="8"/>
  <c r="W22" i="8"/>
  <c r="B30" i="9" l="1"/>
  <c r="B54" i="9"/>
  <c r="B74" i="9"/>
  <c r="X86" i="9"/>
  <c r="X77" i="9"/>
  <c r="B97" i="9"/>
  <c r="B98" i="9"/>
  <c r="B10" i="9"/>
  <c r="B38" i="9"/>
  <c r="Y77" i="9"/>
  <c r="B66" i="9"/>
  <c r="AD74" i="9"/>
  <c r="B86" i="9"/>
  <c r="B21" i="9"/>
  <c r="B22" i="9"/>
  <c r="B62" i="9"/>
  <c r="B70" i="9"/>
  <c r="B78" i="9"/>
  <c r="W86" i="9"/>
  <c r="B55" i="9"/>
  <c r="A56" i="9"/>
  <c r="B56" i="9" s="1"/>
  <c r="A28" i="9"/>
  <c r="B28" i="9" s="1"/>
  <c r="B27" i="9"/>
  <c r="A60" i="9"/>
  <c r="B60" i="9" s="1"/>
  <c r="B59" i="9"/>
  <c r="B47" i="9"/>
  <c r="A48" i="9"/>
  <c r="B48" i="9" s="1"/>
  <c r="A100" i="9"/>
  <c r="B100" i="9" s="1"/>
  <c r="B99" i="9"/>
  <c r="B7" i="9"/>
  <c r="A8" i="9"/>
  <c r="B8" i="9" s="1"/>
  <c r="B39" i="9"/>
  <c r="A40" i="9"/>
  <c r="B40" i="9" s="1"/>
  <c r="B15" i="9"/>
  <c r="A16" i="9"/>
  <c r="B16" i="9" s="1"/>
  <c r="A84" i="9"/>
  <c r="B84" i="9" s="1"/>
  <c r="B83" i="9"/>
  <c r="A104" i="9"/>
  <c r="B104" i="9" s="1"/>
  <c r="B103" i="9"/>
  <c r="B19" i="9"/>
  <c r="A20" i="9"/>
  <c r="B20" i="9" s="1"/>
  <c r="A96" i="9"/>
  <c r="B96" i="9" s="1"/>
  <c r="B95" i="9"/>
  <c r="B23" i="9"/>
  <c r="A24" i="9"/>
  <c r="B24" i="9" s="1"/>
  <c r="A52" i="9"/>
  <c r="B52" i="9" s="1"/>
  <c r="B51" i="9"/>
  <c r="B71" i="9"/>
  <c r="A72" i="9"/>
  <c r="B72" i="9" s="1"/>
  <c r="A11" i="9"/>
  <c r="B14" i="9"/>
  <c r="A43" i="9"/>
  <c r="B46" i="9"/>
  <c r="B25" i="9"/>
  <c r="B26" i="9"/>
  <c r="B57" i="9"/>
  <c r="B58" i="9"/>
  <c r="B101" i="9"/>
  <c r="B102" i="9"/>
  <c r="B17" i="9"/>
  <c r="B18" i="9"/>
  <c r="B49" i="9"/>
  <c r="B50" i="9"/>
  <c r="A91" i="9"/>
  <c r="B93" i="9"/>
  <c r="B94" i="9"/>
  <c r="AD48" i="9"/>
  <c r="A75" i="9"/>
  <c r="A79" i="9"/>
  <c r="B81" i="9"/>
  <c r="A87" i="9"/>
  <c r="B13" i="9"/>
  <c r="B45" i="9"/>
  <c r="B9" i="9"/>
  <c r="B41" i="9"/>
  <c r="B73" i="9"/>
  <c r="B77" i="9"/>
  <c r="B85" i="9"/>
  <c r="B5" i="9"/>
  <c r="B6" i="9"/>
  <c r="A35" i="9"/>
  <c r="A67" i="9"/>
  <c r="A31" i="9"/>
  <c r="B33" i="9"/>
  <c r="A63" i="9"/>
  <c r="B65" i="9"/>
  <c r="B82" i="9"/>
  <c r="B29" i="9"/>
  <c r="B49" i="8"/>
  <c r="C20" i="8"/>
  <c r="C26" i="8" s="1"/>
  <c r="B67" i="9" l="1"/>
  <c r="A68" i="9"/>
  <c r="B68" i="9" s="1"/>
  <c r="A12" i="9"/>
  <c r="B12" i="9" s="1"/>
  <c r="B11" i="9"/>
  <c r="B35" i="9"/>
  <c r="A36" i="9"/>
  <c r="B36" i="9" s="1"/>
  <c r="B91" i="9"/>
  <c r="A92" i="9"/>
  <c r="B92" i="9" s="1"/>
  <c r="B87" i="9"/>
  <c r="A88" i="9"/>
  <c r="B88" i="9" s="1"/>
  <c r="B63" i="9"/>
  <c r="A64" i="9"/>
  <c r="B64" i="9" s="1"/>
  <c r="A80" i="9"/>
  <c r="B80" i="9" s="1"/>
  <c r="B79" i="9"/>
  <c r="B31" i="9"/>
  <c r="A32" i="9"/>
  <c r="B32" i="9" s="1"/>
  <c r="B75" i="9"/>
  <c r="A76" i="9"/>
  <c r="B76" i="9" s="1"/>
  <c r="A44" i="9"/>
  <c r="B44" i="9" s="1"/>
  <c r="B43" i="9"/>
  <c r="K106" i="9" l="1"/>
  <c r="I106" i="9"/>
  <c r="J108" i="9"/>
  <c r="I108" i="9"/>
  <c r="M106" i="9"/>
  <c r="L106" i="9"/>
  <c r="J106" i="9"/>
  <c r="DG20" i="7" l="1"/>
  <c r="DG21" i="7"/>
  <c r="DG22" i="7"/>
  <c r="DG23" i="7"/>
  <c r="DG24" i="7"/>
  <c r="DG25" i="7"/>
  <c r="DG26" i="7"/>
  <c r="DG27" i="7"/>
  <c r="DG28" i="7"/>
  <c r="DG29" i="7"/>
  <c r="DG30" i="7"/>
  <c r="DG31" i="7"/>
  <c r="DG32" i="7"/>
  <c r="DG33" i="7"/>
  <c r="DG34" i="7"/>
  <c r="DG35" i="7"/>
  <c r="DG36" i="7"/>
  <c r="DG37" i="7"/>
  <c r="DG38" i="7"/>
  <c r="DG39" i="7"/>
  <c r="DG40" i="7"/>
  <c r="DG41" i="7"/>
  <c r="DG42" i="7"/>
  <c r="DG19" i="7"/>
  <c r="DF20" i="7"/>
  <c r="DF21" i="7"/>
  <c r="DF22" i="7"/>
  <c r="DF23" i="7"/>
  <c r="DF24" i="7"/>
  <c r="DF25" i="7"/>
  <c r="DF26" i="7"/>
  <c r="DF27" i="7"/>
  <c r="DF28" i="7"/>
  <c r="DF29" i="7"/>
  <c r="DF30" i="7"/>
  <c r="DF31" i="7"/>
  <c r="DF32" i="7"/>
  <c r="DF33" i="7"/>
  <c r="DF34" i="7"/>
  <c r="DF35" i="7"/>
  <c r="DF36" i="7"/>
  <c r="DF37" i="7"/>
  <c r="DF38" i="7"/>
  <c r="DF39" i="7"/>
  <c r="DF40" i="7"/>
  <c r="DF41" i="7"/>
  <c r="DF42" i="7"/>
  <c r="DF19" i="7"/>
  <c r="DE20" i="7"/>
  <c r="DE21" i="7"/>
  <c r="DE22" i="7"/>
  <c r="DE23" i="7"/>
  <c r="DE24" i="7"/>
  <c r="DE25" i="7"/>
  <c r="DE26" i="7"/>
  <c r="DE27" i="7"/>
  <c r="DE28" i="7"/>
  <c r="DE29" i="7"/>
  <c r="DE30" i="7"/>
  <c r="DE31" i="7"/>
  <c r="DE32" i="7"/>
  <c r="DE33" i="7"/>
  <c r="DE34" i="7"/>
  <c r="DE35" i="7"/>
  <c r="DE36" i="7"/>
  <c r="DE37" i="7"/>
  <c r="DE38" i="7"/>
  <c r="DE39" i="7"/>
  <c r="DE40" i="7"/>
  <c r="DE41" i="7"/>
  <c r="DE42" i="7"/>
  <c r="F42" i="7" s="1"/>
  <c r="DE19" i="7"/>
  <c r="D5" i="8" l="1"/>
  <c r="D4" i="8"/>
  <c r="C50" i="8"/>
  <c r="C53" i="8" s="1"/>
  <c r="AF110" i="9" a="1"/>
  <c r="AF110" i="9" s="1"/>
  <c r="Y110" i="9" a="1"/>
  <c r="Y110" i="9" s="1"/>
  <c r="AB106" i="9" a="1"/>
  <c r="AB106" i="9" s="1"/>
  <c r="J5" i="8" s="1"/>
  <c r="AC110" i="9" a="1"/>
  <c r="AC110" i="9" s="1"/>
  <c r="AG106" i="9" a="1"/>
  <c r="AG106" i="9" s="1"/>
  <c r="AE106" i="9" a="1"/>
  <c r="AE106" i="9" s="1"/>
  <c r="M110" i="9" a="1"/>
  <c r="M110" i="9" s="1"/>
  <c r="J110" i="9" a="1"/>
  <c r="J110" i="9" s="1"/>
  <c r="W106" i="9" a="1"/>
  <c r="W106" i="9" s="1"/>
  <c r="Q5" i="8" s="1"/>
  <c r="R5" i="8" s="1"/>
  <c r="C5" i="8" s="1"/>
  <c r="AF108" i="9" a="1"/>
  <c r="AF108" i="9" s="1"/>
  <c r="AD108" i="9" a="1"/>
  <c r="AD108" i="9" s="1"/>
  <c r="AC106" i="9" a="1"/>
  <c r="AC106" i="9" s="1"/>
  <c r="AB108" i="9" a="1"/>
  <c r="AB108" i="9" s="1"/>
  <c r="K110" i="9" a="1"/>
  <c r="K110" i="9" s="1"/>
  <c r="X106" i="9" a="1"/>
  <c r="X106" i="9" s="1"/>
  <c r="AB110" i="9" a="1"/>
  <c r="AB110" i="9" s="1"/>
  <c r="AF106" i="9" a="1"/>
  <c r="AF106" i="9" s="1"/>
  <c r="AD106" i="9" a="1"/>
  <c r="AD106" i="9" s="1"/>
  <c r="J4" i="8" s="1"/>
  <c r="L110" i="9" a="1"/>
  <c r="L110" i="9" s="1"/>
  <c r="AE110" i="9" a="1"/>
  <c r="AE110" i="9" s="1"/>
  <c r="AJ106" i="9" a="1"/>
  <c r="AJ106" i="9" s="1"/>
  <c r="AI106" i="9" a="1"/>
  <c r="AI106" i="9" s="1"/>
  <c r="K108" i="9" a="1"/>
  <c r="K108" i="9" s="1"/>
  <c r="AM106" i="9" a="1"/>
  <c r="AM106" i="9" s="1"/>
  <c r="I110" i="9" a="1"/>
  <c r="I110" i="9" s="1"/>
  <c r="AE108" i="9" a="1"/>
  <c r="AE108" i="9" s="1"/>
  <c r="X108" i="9" a="1"/>
  <c r="X108" i="9" s="1"/>
  <c r="M108" i="9" a="1"/>
  <c r="M108" i="9" s="1"/>
  <c r="L108" i="9" a="1"/>
  <c r="L108" i="9" s="1"/>
  <c r="AN106" i="9" a="1"/>
  <c r="AN106" i="9" s="1"/>
  <c r="AK106" i="9" a="1"/>
  <c r="AK106" i="9" s="1"/>
  <c r="AD110" i="9" a="1"/>
  <c r="AD110" i="9" s="1"/>
  <c r="AH106" i="9" a="1"/>
  <c r="AH106" i="9" s="1"/>
  <c r="X110" i="9" a="1"/>
  <c r="X110" i="9" s="1"/>
  <c r="W110" i="9" a="1"/>
  <c r="W110" i="9" s="1"/>
  <c r="AL106" i="9" a="1"/>
  <c r="AL106" i="9" s="1"/>
  <c r="Y108" i="9" a="1"/>
  <c r="Y108" i="9" s="1"/>
  <c r="Y106" i="9" a="1"/>
  <c r="Y106" i="9" s="1"/>
  <c r="Q4" i="8" s="1"/>
  <c r="R4" i="8" s="1"/>
  <c r="C4" i="8" s="1"/>
  <c r="W108" i="9" a="1"/>
  <c r="W108" i="9" s="1"/>
  <c r="AC108" i="9" a="1"/>
  <c r="AC108" i="9" s="1"/>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F424" i="7" s="1"/>
  <c r="E423" i="7"/>
  <c r="E422" i="7"/>
  <c r="E421" i="7"/>
  <c r="E420" i="7"/>
  <c r="E419" i="7"/>
  <c r="E418" i="7"/>
  <c r="E417" i="7"/>
  <c r="E416" i="7"/>
  <c r="E415" i="7"/>
  <c r="E414" i="7"/>
  <c r="E413" i="7"/>
  <c r="E412" i="7"/>
  <c r="E411" i="7"/>
  <c r="E410" i="7"/>
  <c r="E409" i="7"/>
  <c r="E408" i="7"/>
  <c r="E407" i="7"/>
  <c r="E406" i="7"/>
  <c r="E405" i="7"/>
  <c r="E404" i="7"/>
  <c r="E403" i="7"/>
  <c r="E402" i="7"/>
  <c r="E401" i="7"/>
  <c r="E400" i="7"/>
  <c r="F400" i="7" s="1"/>
  <c r="E399" i="7"/>
  <c r="E398" i="7"/>
  <c r="E397" i="7"/>
  <c r="E396" i="7"/>
  <c r="E395" i="7"/>
  <c r="E394" i="7"/>
  <c r="E393" i="7"/>
  <c r="E392" i="7"/>
  <c r="E391" i="7"/>
  <c r="E390" i="7"/>
  <c r="E389" i="7"/>
  <c r="E388" i="7"/>
  <c r="E387" i="7"/>
  <c r="E386" i="7"/>
  <c r="E385" i="7"/>
  <c r="E384" i="7"/>
  <c r="E383" i="7"/>
  <c r="E382" i="7"/>
  <c r="E381" i="7"/>
  <c r="E380" i="7"/>
  <c r="E379" i="7"/>
  <c r="E378" i="7"/>
  <c r="E377" i="7"/>
  <c r="E376" i="7"/>
  <c r="F376" i="7" s="1"/>
  <c r="E375" i="7"/>
  <c r="E374" i="7"/>
  <c r="E373" i="7"/>
  <c r="E372" i="7"/>
  <c r="E371" i="7"/>
  <c r="E370" i="7"/>
  <c r="E369" i="7"/>
  <c r="E368" i="7"/>
  <c r="E367" i="7"/>
  <c r="E366" i="7"/>
  <c r="E365" i="7"/>
  <c r="E364" i="7"/>
  <c r="E363" i="7"/>
  <c r="E362" i="7"/>
  <c r="E361" i="7"/>
  <c r="E360" i="7"/>
  <c r="E359" i="7"/>
  <c r="E358" i="7"/>
  <c r="E357" i="7"/>
  <c r="E356" i="7"/>
  <c r="E355" i="7"/>
  <c r="E354" i="7"/>
  <c r="E353" i="7"/>
  <c r="E352" i="7"/>
  <c r="F352" i="7" s="1"/>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F280" i="7" s="1"/>
  <c r="E279" i="7"/>
  <c r="E278" i="7"/>
  <c r="E277" i="7"/>
  <c r="E276" i="7"/>
  <c r="E275" i="7"/>
  <c r="E274" i="7"/>
  <c r="E273" i="7"/>
  <c r="E272" i="7"/>
  <c r="E271" i="7"/>
  <c r="E270" i="7"/>
  <c r="E269" i="7"/>
  <c r="E268" i="7"/>
  <c r="E267" i="7"/>
  <c r="E266" i="7"/>
  <c r="E265" i="7"/>
  <c r="E264" i="7"/>
  <c r="E263" i="7"/>
  <c r="E262" i="7"/>
  <c r="E261" i="7"/>
  <c r="E260" i="7"/>
  <c r="E259" i="7"/>
  <c r="E258" i="7"/>
  <c r="E257" i="7"/>
  <c r="E256" i="7"/>
  <c r="F256" i="7" s="1"/>
  <c r="E255" i="7"/>
  <c r="E254" i="7"/>
  <c r="E253" i="7"/>
  <c r="E252" i="7"/>
  <c r="E251" i="7"/>
  <c r="E250" i="7"/>
  <c r="E249" i="7"/>
  <c r="E248" i="7"/>
  <c r="E247" i="7"/>
  <c r="E246" i="7"/>
  <c r="E245" i="7"/>
  <c r="E244" i="7"/>
  <c r="E243" i="7"/>
  <c r="E242" i="7"/>
  <c r="E241" i="7"/>
  <c r="E240" i="7"/>
  <c r="E239" i="7"/>
  <c r="E238" i="7"/>
  <c r="E237" i="7"/>
  <c r="E236" i="7"/>
  <c r="E235" i="7"/>
  <c r="E234" i="7"/>
  <c r="E233" i="7"/>
  <c r="E232" i="7"/>
  <c r="F232" i="7" s="1"/>
  <c r="E231" i="7"/>
  <c r="E230" i="7"/>
  <c r="E229" i="7"/>
  <c r="E228" i="7"/>
  <c r="E227" i="7"/>
  <c r="E226" i="7"/>
  <c r="E225" i="7"/>
  <c r="E224" i="7"/>
  <c r="E223" i="7"/>
  <c r="E222" i="7"/>
  <c r="E221" i="7"/>
  <c r="E220" i="7"/>
  <c r="E219" i="7"/>
  <c r="E218" i="7"/>
  <c r="E217" i="7"/>
  <c r="E216" i="7"/>
  <c r="E215" i="7"/>
  <c r="E214" i="7"/>
  <c r="E213" i="7"/>
  <c r="E212" i="7"/>
  <c r="E211" i="7"/>
  <c r="E210" i="7"/>
  <c r="E209" i="7"/>
  <c r="E208" i="7"/>
  <c r="F208" i="7" s="1"/>
  <c r="E207" i="7"/>
  <c r="E206" i="7"/>
  <c r="E205" i="7"/>
  <c r="E204" i="7"/>
  <c r="E203" i="7"/>
  <c r="E202" i="7"/>
  <c r="E201" i="7"/>
  <c r="E200" i="7"/>
  <c r="E199" i="7"/>
  <c r="E198" i="7"/>
  <c r="E197" i="7"/>
  <c r="E196" i="7"/>
  <c r="E195" i="7"/>
  <c r="E194" i="7"/>
  <c r="E193" i="7"/>
  <c r="E192" i="7"/>
  <c r="E191" i="7"/>
  <c r="E190" i="7"/>
  <c r="E189" i="7"/>
  <c r="E188" i="7"/>
  <c r="E187" i="7"/>
  <c r="E186" i="7"/>
  <c r="F185"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F156" i="7" s="1"/>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F113" i="7" s="1"/>
  <c r="E112" i="7"/>
  <c r="E111" i="7"/>
  <c r="E110" i="7"/>
  <c r="E109" i="7"/>
  <c r="E108" i="7"/>
  <c r="E107" i="7"/>
  <c r="E106" i="7"/>
  <c r="E105" i="7"/>
  <c r="E104" i="7"/>
  <c r="E103" i="7"/>
  <c r="E102" i="7"/>
  <c r="E101" i="7"/>
  <c r="E100" i="7"/>
  <c r="E99" i="7"/>
  <c r="E98" i="7"/>
  <c r="E97" i="7"/>
  <c r="E96" i="7"/>
  <c r="E95" i="7"/>
  <c r="E94" i="7"/>
  <c r="E93" i="7"/>
  <c r="E92" i="7"/>
  <c r="E91" i="7"/>
  <c r="E90" i="7"/>
  <c r="E89" i="7"/>
  <c r="F89" i="7" s="1"/>
  <c r="E88" i="7"/>
  <c r="E87" i="7"/>
  <c r="E86" i="7"/>
  <c r="E85" i="7"/>
  <c r="E84" i="7"/>
  <c r="E83" i="7"/>
  <c r="E82" i="7"/>
  <c r="E81" i="7"/>
  <c r="DL80" i="7"/>
  <c r="DK80" i="7"/>
  <c r="CB80" i="7"/>
  <c r="BZ80" i="7"/>
  <c r="E80" i="7"/>
  <c r="DK79" i="7"/>
  <c r="CB79" i="7"/>
  <c r="BZ79" i="7"/>
  <c r="E79" i="7"/>
  <c r="DL78" i="7"/>
  <c r="DK78" i="7"/>
  <c r="CB78" i="7"/>
  <c r="BZ78" i="7"/>
  <c r="E78" i="7"/>
  <c r="DL77" i="7"/>
  <c r="DK77" i="7"/>
  <c r="CB77" i="7"/>
  <c r="BZ77" i="7"/>
  <c r="E77" i="7"/>
  <c r="DL76" i="7"/>
  <c r="DK76" i="7"/>
  <c r="CB76" i="7"/>
  <c r="BZ76" i="7"/>
  <c r="CO76" i="7" s="1"/>
  <c r="E76" i="7"/>
  <c r="DL75" i="7"/>
  <c r="DK75" i="7"/>
  <c r="CB75" i="7"/>
  <c r="BZ75" i="7"/>
  <c r="E75" i="7"/>
  <c r="DL74" i="7"/>
  <c r="DK74" i="7"/>
  <c r="CB74" i="7"/>
  <c r="BZ74" i="7"/>
  <c r="E74" i="7"/>
  <c r="DL73" i="7"/>
  <c r="DK73" i="7"/>
  <c r="CB73" i="7"/>
  <c r="BZ73" i="7"/>
  <c r="E73" i="7"/>
  <c r="DL72" i="7"/>
  <c r="DK72" i="7"/>
  <c r="CB72" i="7"/>
  <c r="BZ72" i="7"/>
  <c r="E72" i="7"/>
  <c r="DL71" i="7"/>
  <c r="DK71" i="7"/>
  <c r="CB71" i="7"/>
  <c r="BZ71" i="7"/>
  <c r="E71" i="7"/>
  <c r="DL70" i="7"/>
  <c r="DK70" i="7"/>
  <c r="CB70" i="7"/>
  <c r="BZ70" i="7"/>
  <c r="E70" i="7"/>
  <c r="DL69" i="7"/>
  <c r="DK69" i="7"/>
  <c r="CB69" i="7"/>
  <c r="BZ69" i="7"/>
  <c r="E69" i="7"/>
  <c r="DL68" i="7"/>
  <c r="DK68" i="7"/>
  <c r="CB68" i="7"/>
  <c r="BZ68" i="7"/>
  <c r="E68" i="7"/>
  <c r="F68" i="7" s="1"/>
  <c r="DL67" i="7"/>
  <c r="DK67" i="7"/>
  <c r="CB67" i="7"/>
  <c r="BZ67" i="7"/>
  <c r="E67" i="7"/>
  <c r="F67" i="7" s="1"/>
  <c r="DL66" i="7"/>
  <c r="DK66" i="7"/>
  <c r="CB66" i="7"/>
  <c r="BZ66" i="7"/>
  <c r="E66" i="7"/>
  <c r="DL65" i="7"/>
  <c r="DK65" i="7"/>
  <c r="CB65" i="7"/>
  <c r="BZ65" i="7"/>
  <c r="E65" i="7"/>
  <c r="DL64" i="7"/>
  <c r="DK64" i="7"/>
  <c r="CB64" i="7"/>
  <c r="BZ64" i="7"/>
  <c r="E64" i="7"/>
  <c r="DL63" i="7"/>
  <c r="DK63" i="7"/>
  <c r="CB63" i="7"/>
  <c r="BZ63" i="7"/>
  <c r="E63" i="7"/>
  <c r="DL62" i="7"/>
  <c r="DK62" i="7"/>
  <c r="CB62" i="7"/>
  <c r="BZ62" i="7"/>
  <c r="E62" i="7"/>
  <c r="DL61" i="7"/>
  <c r="DK61" i="7"/>
  <c r="CB61" i="7"/>
  <c r="BZ61" i="7"/>
  <c r="E61" i="7"/>
  <c r="DK60" i="7"/>
  <c r="CB60" i="7"/>
  <c r="BZ60" i="7"/>
  <c r="E60" i="7"/>
  <c r="DL59" i="7"/>
  <c r="DK59" i="7"/>
  <c r="CB59" i="7"/>
  <c r="BZ59" i="7"/>
  <c r="E59" i="7"/>
  <c r="DL58" i="7"/>
  <c r="DK58" i="7"/>
  <c r="CB58" i="7"/>
  <c r="BZ58" i="7"/>
  <c r="E58" i="7"/>
  <c r="F58" i="7" s="1"/>
  <c r="DL57" i="7"/>
  <c r="DK57" i="7"/>
  <c r="CB57" i="7"/>
  <c r="BZ57" i="7"/>
  <c r="E57" i="7"/>
  <c r="F57" i="7" s="1"/>
  <c r="DL56" i="7"/>
  <c r="DK56" i="7"/>
  <c r="CB56" i="7"/>
  <c r="BZ56" i="7"/>
  <c r="E56" i="7"/>
  <c r="DK55" i="7"/>
  <c r="CB55" i="7"/>
  <c r="BZ55" i="7"/>
  <c r="E55" i="7"/>
  <c r="DL54" i="7"/>
  <c r="DK54" i="7"/>
  <c r="CB54" i="7"/>
  <c r="BZ54" i="7"/>
  <c r="E54" i="7"/>
  <c r="DL53" i="7"/>
  <c r="DK53" i="7"/>
  <c r="CB53" i="7"/>
  <c r="BZ53" i="7"/>
  <c r="E53" i="7"/>
  <c r="DL52" i="7"/>
  <c r="DK52" i="7"/>
  <c r="CB52" i="7"/>
  <c r="BZ52" i="7"/>
  <c r="E52" i="7"/>
  <c r="DL51" i="7"/>
  <c r="DK51" i="7"/>
  <c r="CB51" i="7"/>
  <c r="BZ51" i="7"/>
  <c r="E51" i="7"/>
  <c r="DK50" i="7"/>
  <c r="CB50" i="7"/>
  <c r="BZ50" i="7"/>
  <c r="E50" i="7"/>
  <c r="DL49" i="7"/>
  <c r="DK49" i="7"/>
  <c r="CB49" i="7"/>
  <c r="BZ49" i="7"/>
  <c r="E49" i="7"/>
  <c r="F49" i="7" s="1"/>
  <c r="DL48" i="7"/>
  <c r="DK48" i="7"/>
  <c r="CB48" i="7"/>
  <c r="BZ48" i="7"/>
  <c r="E48" i="7"/>
  <c r="DL47" i="7"/>
  <c r="DK47" i="7"/>
  <c r="CB47" i="7"/>
  <c r="BZ47" i="7"/>
  <c r="E47" i="7"/>
  <c r="DL46" i="7"/>
  <c r="DK46" i="7"/>
  <c r="CB46" i="7"/>
  <c r="BZ46" i="7"/>
  <c r="E46" i="7"/>
  <c r="DK45" i="7"/>
  <c r="CB45" i="7"/>
  <c r="BZ45" i="7"/>
  <c r="E45" i="7"/>
  <c r="F45" i="7" s="1"/>
  <c r="DL44" i="7"/>
  <c r="DL43" i="7" s="1"/>
  <c r="DL42" i="7" s="1"/>
  <c r="DL41" i="7" s="1"/>
  <c r="DL40" i="7" s="1"/>
  <c r="DL39" i="7" s="1"/>
  <c r="DL38" i="7" s="1"/>
  <c r="DL37" i="7" s="1"/>
  <c r="DL36" i="7" s="1"/>
  <c r="DL35" i="7" s="1"/>
  <c r="DL34" i="7" s="1"/>
  <c r="DL33" i="7" s="1"/>
  <c r="DL32" i="7" s="1"/>
  <c r="DL31" i="7" s="1"/>
  <c r="DL30" i="7" s="1"/>
  <c r="DL29" i="7" s="1"/>
  <c r="DL28" i="7" s="1"/>
  <c r="DL27" i="7" s="1"/>
  <c r="DL26" i="7" s="1"/>
  <c r="DL25" i="7" s="1"/>
  <c r="DL24" i="7" s="1"/>
  <c r="DL23" i="7" s="1"/>
  <c r="DL22" i="7" s="1"/>
  <c r="DL21" i="7" s="1"/>
  <c r="DL20" i="7" s="1"/>
  <c r="DL19" i="7" s="1"/>
  <c r="DL18" i="7" s="1"/>
  <c r="DK44" i="7"/>
  <c r="CB44" i="7"/>
  <c r="BZ44" i="7"/>
  <c r="E44" i="7"/>
  <c r="F44" i="7" s="1"/>
  <c r="DK43" i="7"/>
  <c r="CB43" i="7"/>
  <c r="BZ43" i="7"/>
  <c r="E43" i="7"/>
  <c r="F43" i="7" s="1"/>
  <c r="DK42" i="7"/>
  <c r="CB42" i="7"/>
  <c r="BZ42" i="7"/>
  <c r="E42" i="7"/>
  <c r="DK41" i="7"/>
  <c r="CB41" i="7"/>
  <c r="BZ41" i="7"/>
  <c r="E41" i="7"/>
  <c r="DK40" i="7"/>
  <c r="CB40" i="7"/>
  <c r="BZ40" i="7"/>
  <c r="E40" i="7"/>
  <c r="DK39" i="7"/>
  <c r="CB39" i="7"/>
  <c r="BZ39" i="7"/>
  <c r="E39" i="7"/>
  <c r="F39" i="7" s="1"/>
  <c r="DK38" i="7"/>
  <c r="F62" i="7"/>
  <c r="CB38" i="7"/>
  <c r="BZ38" i="7"/>
  <c r="E38" i="7"/>
  <c r="F38" i="7" s="1"/>
  <c r="DK37" i="7"/>
  <c r="F133" i="7"/>
  <c r="CB37" i="7"/>
  <c r="BZ37" i="7"/>
  <c r="E37" i="7"/>
  <c r="F37" i="7" s="1"/>
  <c r="DK36" i="7"/>
  <c r="CB36" i="7"/>
  <c r="BZ36" i="7"/>
  <c r="E36" i="7"/>
  <c r="DK35" i="7"/>
  <c r="CB35" i="7"/>
  <c r="BZ35" i="7"/>
  <c r="E35" i="7"/>
  <c r="DK34" i="7"/>
  <c r="CB34" i="7"/>
  <c r="BZ34" i="7"/>
  <c r="F34" i="7"/>
  <c r="E34" i="7"/>
  <c r="DK33" i="7"/>
  <c r="F129" i="7"/>
  <c r="CB33" i="7"/>
  <c r="BZ33" i="7"/>
  <c r="E33" i="7"/>
  <c r="DK32" i="7"/>
  <c r="CB32" i="7"/>
  <c r="BZ32" i="7"/>
  <c r="E32" i="7"/>
  <c r="F32" i="7" s="1"/>
  <c r="DK31" i="7"/>
  <c r="CB31" i="7"/>
  <c r="BZ31" i="7"/>
  <c r="E31" i="7"/>
  <c r="F31" i="7" s="1"/>
  <c r="DK30" i="7"/>
  <c r="CB30" i="7"/>
  <c r="BZ30" i="7"/>
  <c r="E30" i="7"/>
  <c r="F30" i="7" s="1"/>
  <c r="DK29" i="7"/>
  <c r="CB29" i="7"/>
  <c r="BZ29" i="7"/>
  <c r="E29" i="7"/>
  <c r="DK28" i="7"/>
  <c r="CB28" i="7"/>
  <c r="BZ28" i="7"/>
  <c r="E28" i="7"/>
  <c r="DK27" i="7"/>
  <c r="F76" i="7"/>
  <c r="CB27" i="7"/>
  <c r="BZ27" i="7"/>
  <c r="CQ19" i="7"/>
  <c r="E27" i="7"/>
  <c r="DK26" i="7"/>
  <c r="CB26" i="7"/>
  <c r="BZ26" i="7"/>
  <c r="F26" i="7"/>
  <c r="E26" i="7"/>
  <c r="DK25" i="7"/>
  <c r="CB25" i="7"/>
  <c r="BZ25" i="7"/>
  <c r="E25" i="7"/>
  <c r="DK24" i="7"/>
  <c r="F145" i="7"/>
  <c r="F121" i="7"/>
  <c r="CB24" i="7"/>
  <c r="BZ24" i="7"/>
  <c r="CQ18" i="7"/>
  <c r="E24" i="7"/>
  <c r="F24" i="7" s="1"/>
  <c r="DK23" i="7"/>
  <c r="CB23" i="7"/>
  <c r="BZ23" i="7"/>
  <c r="E23" i="7"/>
  <c r="DK22" i="7"/>
  <c r="CU22" i="7"/>
  <c r="CB22" i="7"/>
  <c r="BZ22" i="7"/>
  <c r="CV18" i="7"/>
  <c r="E22" i="7"/>
  <c r="F22" i="7" s="1"/>
  <c r="DK21" i="7"/>
  <c r="F141" i="7"/>
  <c r="BZ21" i="7"/>
  <c r="E21" i="7"/>
  <c r="DK20" i="7"/>
  <c r="CN20" i="7"/>
  <c r="J5" i="7"/>
  <c r="E20" i="7"/>
  <c r="DK19" i="7"/>
  <c r="CY19" i="7"/>
  <c r="CU77" i="7"/>
  <c r="CO19" i="7"/>
  <c r="CI71" i="7"/>
  <c r="E19" i="7"/>
  <c r="F19" i="7" s="1"/>
  <c r="DK18" i="7"/>
  <c r="CY18" i="7"/>
  <c r="CZ17" i="7"/>
  <c r="CY17" i="7"/>
  <c r="CX17" i="7"/>
  <c r="CW17" i="7"/>
  <c r="CV17" i="7"/>
  <c r="CU17" i="7"/>
  <c r="CT17" i="7"/>
  <c r="CS17" i="7"/>
  <c r="CR17" i="7"/>
  <c r="CQ17" i="7"/>
  <c r="CP17" i="7"/>
  <c r="CO17" i="7"/>
  <c r="CN17" i="7"/>
  <c r="CM17" i="7"/>
  <c r="CL17" i="7"/>
  <c r="CK17" i="7"/>
  <c r="CJ17" i="7"/>
  <c r="CI17" i="7"/>
  <c r="CH17" i="7"/>
  <c r="CG17" i="7"/>
  <c r="CF17" i="7"/>
  <c r="CE17" i="7"/>
  <c r="CD17" i="7"/>
  <c r="CC17" i="7"/>
  <c r="X15" i="7"/>
  <c r="X14" i="7"/>
  <c r="W14" i="7"/>
  <c r="Q14" i="7"/>
  <c r="R14" i="7" s="1"/>
  <c r="L14" i="7"/>
  <c r="K14" i="7"/>
  <c r="X13" i="7"/>
  <c r="W13" i="7"/>
  <c r="Q13" i="7"/>
  <c r="R13" i="7" s="1"/>
  <c r="L13" i="7"/>
  <c r="K13" i="7"/>
  <c r="X12" i="7"/>
  <c r="W12" i="7"/>
  <c r="W15" i="7" s="1"/>
  <c r="Q12" i="7"/>
  <c r="R12" i="7" s="1"/>
  <c r="R15" i="7" s="1"/>
  <c r="L12" i="7"/>
  <c r="L15" i="7" s="1"/>
  <c r="K12" i="7"/>
  <c r="K15" i="7" s="1"/>
  <c r="CZ10" i="7"/>
  <c r="CY10" i="7"/>
  <c r="CX10" i="7"/>
  <c r="CW10" i="7"/>
  <c r="CV10" i="7"/>
  <c r="CU10" i="7"/>
  <c r="CT10" i="7"/>
  <c r="CS10" i="7"/>
  <c r="CR10" i="7"/>
  <c r="CQ10" i="7"/>
  <c r="CP10" i="7"/>
  <c r="CO10" i="7"/>
  <c r="CN10" i="7"/>
  <c r="CM10" i="7"/>
  <c r="CL10" i="7"/>
  <c r="CK10" i="7"/>
  <c r="CJ10" i="7"/>
  <c r="CI10" i="7"/>
  <c r="CH10" i="7"/>
  <c r="CG10" i="7"/>
  <c r="CF10" i="7"/>
  <c r="CE10" i="7"/>
  <c r="CD10" i="7"/>
  <c r="CC10" i="7"/>
  <c r="CZ9" i="7"/>
  <c r="CY9" i="7"/>
  <c r="CX9" i="7"/>
  <c r="CW9" i="7"/>
  <c r="CV9" i="7"/>
  <c r="CU9" i="7"/>
  <c r="CT9" i="7"/>
  <c r="CS9" i="7"/>
  <c r="CR9" i="7"/>
  <c r="CQ9" i="7"/>
  <c r="CP9" i="7"/>
  <c r="CO9" i="7"/>
  <c r="CN9" i="7"/>
  <c r="CM9" i="7"/>
  <c r="CL9" i="7"/>
  <c r="CK9" i="7"/>
  <c r="CJ9" i="7"/>
  <c r="CI9" i="7"/>
  <c r="CH9" i="7"/>
  <c r="CG9" i="7"/>
  <c r="CF9" i="7"/>
  <c r="CE9" i="7"/>
  <c r="CD9" i="7"/>
  <c r="CC9" i="7"/>
  <c r="CZ8" i="7"/>
  <c r="CU8" i="7"/>
  <c r="CT8" i="7"/>
  <c r="CS8" i="7"/>
  <c r="CR8" i="7"/>
  <c r="CQ8" i="7"/>
  <c r="CP8" i="7"/>
  <c r="CO8" i="7"/>
  <c r="CN8" i="7"/>
  <c r="CM8" i="7"/>
  <c r="CY8" i="7" s="1"/>
  <c r="CL8" i="7"/>
  <c r="CX8" i="7" s="1"/>
  <c r="CK8" i="7"/>
  <c r="CW8" i="7" s="1"/>
  <c r="CJ8" i="7"/>
  <c r="CV8" i="7" s="1"/>
  <c r="CI8" i="7"/>
  <c r="CH8" i="7"/>
  <c r="CG8" i="7"/>
  <c r="CF8" i="7"/>
  <c r="CE8" i="7"/>
  <c r="CD8" i="7"/>
  <c r="CC8" i="7"/>
  <c r="J6" i="7"/>
  <c r="C6" i="7"/>
  <c r="C5" i="7"/>
  <c r="C4" i="7"/>
  <c r="J3" i="7"/>
  <c r="C3" i="7"/>
  <c r="D37" i="1" l="1"/>
  <c r="D36" i="1"/>
  <c r="CQ73" i="7"/>
  <c r="CK71" i="7"/>
  <c r="CI20" i="7"/>
  <c r="CI19" i="7"/>
  <c r="J4" i="7"/>
  <c r="CI18" i="7"/>
  <c r="H4" i="7"/>
  <c r="K5" i="8"/>
  <c r="K4" i="8"/>
  <c r="F78" i="7"/>
  <c r="F205" i="7"/>
  <c r="F21" i="7"/>
  <c r="F64" i="7"/>
  <c r="F197" i="7"/>
  <c r="F41" i="7"/>
  <c r="F59" i="7"/>
  <c r="F95" i="7"/>
  <c r="F27" i="7"/>
  <c r="F90" i="7"/>
  <c r="F51" i="7"/>
  <c r="F28" i="7"/>
  <c r="F40" i="7"/>
  <c r="F47" i="7"/>
  <c r="F88" i="7"/>
  <c r="F114" i="7"/>
  <c r="F130" i="7"/>
  <c r="F71" i="7"/>
  <c r="F29" i="7"/>
  <c r="F35" i="7"/>
  <c r="F63" i="7"/>
  <c r="F65" i="7"/>
  <c r="F66" i="7"/>
  <c r="F75" i="7"/>
  <c r="F112" i="7"/>
  <c r="F186" i="7"/>
  <c r="F210" i="7"/>
  <c r="F234" i="7"/>
  <c r="F258" i="7"/>
  <c r="F282" i="7"/>
  <c r="F354" i="7"/>
  <c r="F378" i="7"/>
  <c r="F402" i="7"/>
  <c r="F426" i="7"/>
  <c r="F23" i="7"/>
  <c r="F36" i="7"/>
  <c r="F54" i="7"/>
  <c r="F55" i="7"/>
  <c r="F184" i="7"/>
  <c r="CZ18" i="7"/>
  <c r="F8500" i="7"/>
  <c r="F8332" i="7"/>
  <c r="F8164" i="7"/>
  <c r="F7924" i="7"/>
  <c r="F7756" i="7"/>
  <c r="F7588" i="7"/>
  <c r="F7419" i="7"/>
  <c r="F7587" i="7"/>
  <c r="F7035" i="7"/>
  <c r="F6532" i="7"/>
  <c r="F6531" i="7"/>
  <c r="F6027" i="7"/>
  <c r="F5859" i="7"/>
  <c r="F5787" i="7"/>
  <c r="F5619" i="7"/>
  <c r="F4731" i="7"/>
  <c r="F4564" i="7"/>
  <c r="F3748" i="7"/>
  <c r="F3556" i="7"/>
  <c r="F3747" i="7"/>
  <c r="F3388" i="7"/>
  <c r="CV23" i="7"/>
  <c r="CO20" i="7"/>
  <c r="CW73" i="7"/>
  <c r="CS80" i="7"/>
  <c r="F7439" i="7"/>
  <c r="F7055" i="7"/>
  <c r="F6383" i="7"/>
  <c r="F6047" i="7"/>
  <c r="F5879" i="7"/>
  <c r="F5807" i="7"/>
  <c r="F5639" i="7"/>
  <c r="F5135" i="7"/>
  <c r="F3767" i="7"/>
  <c r="F3" i="7"/>
  <c r="CJ19" i="7"/>
  <c r="CJ18" i="7"/>
  <c r="CV22" i="7"/>
  <c r="CW74" i="7"/>
  <c r="CK69" i="7"/>
  <c r="CP21" i="7"/>
  <c r="CV21" i="7"/>
  <c r="CN21" i="7"/>
  <c r="CU21" i="7"/>
  <c r="CM21" i="7"/>
  <c r="CY21" i="7"/>
  <c r="CO21" i="7"/>
  <c r="CZ21" i="7"/>
  <c r="CG79" i="7"/>
  <c r="CG77" i="7"/>
  <c r="CG18" i="7"/>
  <c r="G5" i="7"/>
  <c r="F5" i="7"/>
  <c r="CG71" i="7"/>
  <c r="G100" i="8" s="1"/>
  <c r="CG70" i="7"/>
  <c r="CH69" i="7"/>
  <c r="CG69" i="7"/>
  <c r="CG75" i="7"/>
  <c r="CH77" i="7"/>
  <c r="CH18" i="7"/>
  <c r="I5" i="7"/>
  <c r="H5" i="7"/>
  <c r="CW77" i="7"/>
  <c r="CW19" i="7"/>
  <c r="CW18" i="7"/>
  <c r="CW20" i="7"/>
  <c r="CW79" i="7"/>
  <c r="CW75" i="7"/>
  <c r="CX20" i="7"/>
  <c r="CX73" i="7"/>
  <c r="CX77" i="7"/>
  <c r="CX19" i="7"/>
  <c r="CX18" i="7"/>
  <c r="CV20" i="7"/>
  <c r="CS75" i="7"/>
  <c r="H6" i="7"/>
  <c r="CZ19" i="7"/>
  <c r="CR19" i="7"/>
  <c r="CR18" i="7"/>
  <c r="F8760" i="7"/>
  <c r="F8712" i="7"/>
  <c r="F8616" i="7"/>
  <c r="F8472" i="7"/>
  <c r="F8424" i="7"/>
  <c r="F8400" i="7"/>
  <c r="F8376" i="7"/>
  <c r="F8304" i="7"/>
  <c r="F8280" i="7"/>
  <c r="CV70" i="7" s="1"/>
  <c r="F8640" i="7"/>
  <c r="F8401" i="7"/>
  <c r="F8305" i="7"/>
  <c r="F8425" i="7"/>
  <c r="F8544" i="7"/>
  <c r="F8448" i="7"/>
  <c r="F8256" i="7"/>
  <c r="F8232" i="7"/>
  <c r="F8208" i="7"/>
  <c r="F8136" i="7"/>
  <c r="F8736" i="7"/>
  <c r="F8377" i="7"/>
  <c r="F8281" i="7"/>
  <c r="F8017" i="7"/>
  <c r="F7993" i="7"/>
  <c r="F8088" i="7"/>
  <c r="F8041" i="7"/>
  <c r="F8112" i="7"/>
  <c r="F8016" i="7"/>
  <c r="F7992" i="7"/>
  <c r="F7968" i="7"/>
  <c r="F7896" i="7"/>
  <c r="F7872" i="7"/>
  <c r="F7848" i="7"/>
  <c r="F7824" i="7"/>
  <c r="F8064" i="7"/>
  <c r="F8040" i="7"/>
  <c r="F7800" i="7"/>
  <c r="F7728" i="7"/>
  <c r="F7704" i="7"/>
  <c r="F7680" i="7"/>
  <c r="F7656" i="7"/>
  <c r="F7632" i="7"/>
  <c r="F7729" i="7"/>
  <c r="F7705" i="7"/>
  <c r="F7681" i="7"/>
  <c r="F7657" i="7"/>
  <c r="F7633" i="7"/>
  <c r="F7561" i="7"/>
  <c r="F7273" i="7"/>
  <c r="F7345" i="7"/>
  <c r="F7080" i="7"/>
  <c r="F6457" i="7"/>
  <c r="F6433" i="7"/>
  <c r="F6409" i="7"/>
  <c r="F6337" i="7"/>
  <c r="F6073" i="7"/>
  <c r="F6289" i="7"/>
  <c r="F6313" i="7"/>
  <c r="F6097" i="7"/>
  <c r="F6241" i="7"/>
  <c r="F6169" i="7"/>
  <c r="F5928" i="7"/>
  <c r="F5832" i="7"/>
  <c r="F5736" i="7"/>
  <c r="F6265" i="7"/>
  <c r="F6072" i="7"/>
  <c r="F5976" i="7"/>
  <c r="F5688" i="7"/>
  <c r="F5592" i="7"/>
  <c r="F6000" i="7"/>
  <c r="F5712" i="7"/>
  <c r="F5184" i="7"/>
  <c r="F5904" i="7"/>
  <c r="F5160" i="7"/>
  <c r="F5041" i="7"/>
  <c r="F4945" i="7"/>
  <c r="F4849" i="7"/>
  <c r="F4969" i="7"/>
  <c r="F4873" i="7"/>
  <c r="F4993" i="7"/>
  <c r="F4801" i="7"/>
  <c r="F4704" i="7"/>
  <c r="F4680" i="7"/>
  <c r="F4656" i="7"/>
  <c r="F4632" i="7"/>
  <c r="F4608" i="7"/>
  <c r="F4536" i="7"/>
  <c r="F4512" i="7"/>
  <c r="F4488" i="7"/>
  <c r="F4464" i="7"/>
  <c r="F4440" i="7"/>
  <c r="F5017" i="7"/>
  <c r="F4825" i="7"/>
  <c r="F4224" i="7"/>
  <c r="F4200" i="7"/>
  <c r="F4176" i="7"/>
  <c r="F4152" i="7"/>
  <c r="F4153" i="7"/>
  <c r="F4057" i="7"/>
  <c r="F3961" i="7"/>
  <c r="F3865" i="7"/>
  <c r="F3816" i="7"/>
  <c r="F3792" i="7"/>
  <c r="F3720" i="7"/>
  <c r="F3696" i="7"/>
  <c r="F3672" i="7"/>
  <c r="F3648" i="7"/>
  <c r="F3624" i="7"/>
  <c r="F3600" i="7"/>
  <c r="F3528" i="7"/>
  <c r="F3504" i="7"/>
  <c r="F3480" i="7"/>
  <c r="F3456" i="7"/>
  <c r="F3432" i="7"/>
  <c r="F4177" i="7"/>
  <c r="F3985" i="7"/>
  <c r="F4201" i="7"/>
  <c r="F4009" i="7"/>
  <c r="F4225" i="7"/>
  <c r="F4129" i="7"/>
  <c r="F4033" i="7"/>
  <c r="F3360" i="7"/>
  <c r="F3313" i="7"/>
  <c r="F3289" i="7"/>
  <c r="F3265" i="7"/>
  <c r="F2184" i="7"/>
  <c r="F2185" i="7"/>
  <c r="F409" i="7"/>
  <c r="F385" i="7"/>
  <c r="F361" i="7"/>
  <c r="F337" i="7"/>
  <c r="F265" i="7"/>
  <c r="F241" i="7"/>
  <c r="F217" i="7"/>
  <c r="F169" i="7"/>
  <c r="F73" i="7"/>
  <c r="F72" i="7"/>
  <c r="F193" i="7"/>
  <c r="F97" i="7"/>
  <c r="F25" i="7"/>
  <c r="F7783" i="7"/>
  <c r="F7447" i="7"/>
  <c r="F7062" i="7"/>
  <c r="F6558" i="7"/>
  <c r="F6391" i="7"/>
  <c r="F6390" i="7"/>
  <c r="F6222" i="7"/>
  <c r="F6055" i="7"/>
  <c r="F5887" i="7"/>
  <c r="F5815" i="7"/>
  <c r="F5142" i="7"/>
  <c r="F3775" i="7"/>
  <c r="F2046" i="7"/>
  <c r="F1878" i="7"/>
  <c r="F1710" i="7"/>
  <c r="F1542" i="7"/>
  <c r="CQ78" i="7"/>
  <c r="F20" i="7"/>
  <c r="E14" i="7"/>
  <c r="F14" i="7" s="1"/>
  <c r="E13" i="7"/>
  <c r="F13" i="7" s="1"/>
  <c r="E12" i="7"/>
  <c r="F8720" i="7"/>
  <c r="F8744" i="7"/>
  <c r="F8648" i="7"/>
  <c r="F8552" i="7"/>
  <c r="F8432" i="7"/>
  <c r="F8408" i="7"/>
  <c r="F8384" i="7"/>
  <c r="F8312" i="7"/>
  <c r="F8288" i="7"/>
  <c r="F8480" i="7"/>
  <c r="F8576" i="7"/>
  <c r="F8264" i="7"/>
  <c r="F8240" i="7"/>
  <c r="F8216" i="7"/>
  <c r="F8144" i="7"/>
  <c r="F8768" i="7"/>
  <c r="F8120" i="7"/>
  <c r="F8048" i="7"/>
  <c r="F8024" i="7"/>
  <c r="F8000" i="7"/>
  <c r="F7976" i="7"/>
  <c r="F7904" i="7"/>
  <c r="F7880" i="7"/>
  <c r="F7856" i="7"/>
  <c r="F7832" i="7"/>
  <c r="F8096" i="7"/>
  <c r="F7808" i="7"/>
  <c r="F7736" i="7"/>
  <c r="F7712" i="7"/>
  <c r="F7688" i="7"/>
  <c r="F7664" i="7"/>
  <c r="F7640" i="7"/>
  <c r="F8072" i="7"/>
  <c r="F6104" i="7"/>
  <c r="F5960" i="7"/>
  <c r="F5768" i="7"/>
  <c r="F5672" i="7"/>
  <c r="F5576" i="7"/>
  <c r="F6008" i="7"/>
  <c r="F5912" i="7"/>
  <c r="F5720" i="7"/>
  <c r="F5744" i="7"/>
  <c r="F5936" i="7"/>
  <c r="F5216" i="7"/>
  <c r="F5192" i="7"/>
  <c r="F5840" i="7"/>
  <c r="F5552" i="7"/>
  <c r="F4712" i="7"/>
  <c r="F4688" i="7"/>
  <c r="F4664" i="7"/>
  <c r="F4640" i="7"/>
  <c r="F4616" i="7"/>
  <c r="F4544" i="7"/>
  <c r="F4520" i="7"/>
  <c r="F4496" i="7"/>
  <c r="F4472" i="7"/>
  <c r="F4448" i="7"/>
  <c r="F4232" i="7"/>
  <c r="F4208" i="7"/>
  <c r="F4184" i="7"/>
  <c r="F4160" i="7"/>
  <c r="F3800" i="7"/>
  <c r="F3728" i="7"/>
  <c r="F3704" i="7"/>
  <c r="F3680" i="7"/>
  <c r="F3656" i="7"/>
  <c r="F3632" i="7"/>
  <c r="F3608" i="7"/>
  <c r="F3536" i="7"/>
  <c r="F3512" i="7"/>
  <c r="F3488" i="7"/>
  <c r="F3464" i="7"/>
  <c r="F3440" i="7"/>
  <c r="F3368" i="7"/>
  <c r="F2192" i="7"/>
  <c r="F1400" i="7"/>
  <c r="F8748" i="7"/>
  <c r="F8652" i="7"/>
  <c r="F8556" i="7"/>
  <c r="F8484" i="7"/>
  <c r="F8772" i="7"/>
  <c r="F8604" i="7"/>
  <c r="F8436" i="7"/>
  <c r="F8412" i="7"/>
  <c r="F8388" i="7"/>
  <c r="F8316" i="7"/>
  <c r="F8292" i="7"/>
  <c r="F8244" i="7"/>
  <c r="F8220" i="7"/>
  <c r="F8148" i="7"/>
  <c r="F8268" i="7"/>
  <c r="F8076" i="7"/>
  <c r="F8100" i="7"/>
  <c r="F8052" i="7"/>
  <c r="F8124" i="7"/>
  <c r="F8028" i="7"/>
  <c r="F8004" i="7"/>
  <c r="F7980" i="7"/>
  <c r="F7908" i="7"/>
  <c r="F7884" i="7"/>
  <c r="F7860" i="7"/>
  <c r="F7836" i="7"/>
  <c r="F7740" i="7"/>
  <c r="F7716" i="7"/>
  <c r="F7692" i="7"/>
  <c r="F7668" i="7"/>
  <c r="F7644" i="7"/>
  <c r="F7812" i="7"/>
  <c r="F6588" i="7"/>
  <c r="F6516" i="7"/>
  <c r="F6492" i="7"/>
  <c r="F6108" i="7"/>
  <c r="F5220" i="7"/>
  <c r="F4716" i="7"/>
  <c r="F4692" i="7"/>
  <c r="F4668" i="7"/>
  <c r="F4644" i="7"/>
  <c r="F4620" i="7"/>
  <c r="F4548" i="7"/>
  <c r="F4524" i="7"/>
  <c r="F4500" i="7"/>
  <c r="F4476" i="7"/>
  <c r="F4452" i="7"/>
  <c r="F5172" i="7"/>
  <c r="F4236" i="7"/>
  <c r="F4212" i="7"/>
  <c r="F4188" i="7"/>
  <c r="F4164" i="7"/>
  <c r="F3804" i="7"/>
  <c r="F3732" i="7"/>
  <c r="F3708" i="7"/>
  <c r="F3684" i="7"/>
  <c r="F3660" i="7"/>
  <c r="F3636" i="7"/>
  <c r="F3612" i="7"/>
  <c r="F3540" i="7"/>
  <c r="F3516" i="7"/>
  <c r="F3492" i="7"/>
  <c r="F3468" i="7"/>
  <c r="F3444" i="7"/>
  <c r="F3348" i="7"/>
  <c r="F3324" i="7"/>
  <c r="F3372" i="7"/>
  <c r="F2196" i="7"/>
  <c r="CV19" i="7"/>
  <c r="F8588" i="7"/>
  <c r="F8540" i="7"/>
  <c r="F8468" i="7"/>
  <c r="F8420" i="7"/>
  <c r="F8396" i="7"/>
  <c r="F8372" i="7"/>
  <c r="F8300" i="7"/>
  <c r="F8276" i="7"/>
  <c r="F8756" i="7"/>
  <c r="F8252" i="7"/>
  <c r="F8228" i="7"/>
  <c r="F8204" i="7"/>
  <c r="F8132" i="7"/>
  <c r="F8108" i="7"/>
  <c r="F8060" i="7"/>
  <c r="F8084" i="7"/>
  <c r="F8036" i="7"/>
  <c r="F8012" i="7"/>
  <c r="F7988" i="7"/>
  <c r="F7964" i="7"/>
  <c r="F7892" i="7"/>
  <c r="F7868" i="7"/>
  <c r="F7844" i="7"/>
  <c r="F7820" i="7"/>
  <c r="F7724" i="7"/>
  <c r="F7700" i="7"/>
  <c r="F7676" i="7"/>
  <c r="F7652" i="7"/>
  <c r="F7628" i="7"/>
  <c r="F7796" i="7"/>
  <c r="F6572" i="7"/>
  <c r="F6500" i="7"/>
  <c r="F5204" i="7"/>
  <c r="F4700" i="7"/>
  <c r="F4676" i="7"/>
  <c r="F4652" i="7"/>
  <c r="F4628" i="7"/>
  <c r="F4604" i="7"/>
  <c r="F4532" i="7"/>
  <c r="F4508" i="7"/>
  <c r="F4484" i="7"/>
  <c r="F4460" i="7"/>
  <c r="F4436" i="7"/>
  <c r="F4220" i="7"/>
  <c r="F4196" i="7"/>
  <c r="F4172" i="7"/>
  <c r="F4148" i="7"/>
  <c r="F3812" i="7"/>
  <c r="F3788" i="7"/>
  <c r="F3716" i="7"/>
  <c r="F3692" i="7"/>
  <c r="F3668" i="7"/>
  <c r="F3644" i="7"/>
  <c r="F3620" i="7"/>
  <c r="F3596" i="7"/>
  <c r="F3524" i="7"/>
  <c r="F3500" i="7"/>
  <c r="F3476" i="7"/>
  <c r="F3452" i="7"/>
  <c r="F3428" i="7"/>
  <c r="F3332" i="7"/>
  <c r="F3356" i="7"/>
  <c r="F2180" i="7"/>
  <c r="CU23" i="7"/>
  <c r="F8482" i="7"/>
  <c r="F8433" i="7"/>
  <c r="F8385" i="7"/>
  <c r="F8409" i="7"/>
  <c r="F8313" i="7"/>
  <c r="F8025" i="7"/>
  <c r="F8001" i="7"/>
  <c r="F7737" i="7"/>
  <c r="F7713" i="7"/>
  <c r="F7689" i="7"/>
  <c r="F7665" i="7"/>
  <c r="F7641" i="7"/>
  <c r="F7569" i="7"/>
  <c r="F7281" i="7"/>
  <c r="F7473" i="7"/>
  <c r="F7377" i="7"/>
  <c r="F7353" i="7"/>
  <c r="F6586" i="7"/>
  <c r="F6465" i="7"/>
  <c r="F6441" i="7"/>
  <c r="F6417" i="7"/>
  <c r="F6345" i="7"/>
  <c r="F6466" i="7"/>
  <c r="F6442" i="7"/>
  <c r="F6418" i="7"/>
  <c r="F6346" i="7"/>
  <c r="F6322" i="7"/>
  <c r="F6298" i="7"/>
  <c r="F6274" i="7"/>
  <c r="F6250" i="7"/>
  <c r="F6178" i="7"/>
  <c r="F6154" i="7"/>
  <c r="F6130" i="7"/>
  <c r="F6081" i="7"/>
  <c r="F6321" i="7"/>
  <c r="F6249" i="7"/>
  <c r="F6153" i="7"/>
  <c r="F6273" i="7"/>
  <c r="F6177" i="7"/>
  <c r="F6297" i="7"/>
  <c r="F6129" i="7"/>
  <c r="F6106" i="7"/>
  <c r="F4977" i="7"/>
  <c r="F4881" i="7"/>
  <c r="F5001" i="7"/>
  <c r="F4809" i="7"/>
  <c r="F5025" i="7"/>
  <c r="F4833" i="7"/>
  <c r="F5049" i="7"/>
  <c r="F4953" i="7"/>
  <c r="F4857" i="7"/>
  <c r="F4185" i="7"/>
  <c r="F3993" i="7"/>
  <c r="F3897" i="7"/>
  <c r="F4209" i="7"/>
  <c r="F4017" i="7"/>
  <c r="F3825" i="7"/>
  <c r="F4233" i="7"/>
  <c r="F4137" i="7"/>
  <c r="F4041" i="7"/>
  <c r="F4161" i="7"/>
  <c r="F4065" i="7"/>
  <c r="F3969" i="7"/>
  <c r="F3873" i="7"/>
  <c r="F3321" i="7"/>
  <c r="F3297" i="7"/>
  <c r="F3273" i="7"/>
  <c r="F3201" i="7"/>
  <c r="F2193" i="7"/>
  <c r="F2194" i="7"/>
  <c r="F2170" i="7"/>
  <c r="F2146" i="7"/>
  <c r="F2122" i="7"/>
  <c r="F2098" i="7"/>
  <c r="F2074" i="7"/>
  <c r="F2002" i="7"/>
  <c r="F1978" i="7"/>
  <c r="F1954" i="7"/>
  <c r="F1930" i="7"/>
  <c r="F1906" i="7"/>
  <c r="F1834" i="7"/>
  <c r="F1810" i="7"/>
  <c r="F1786" i="7"/>
  <c r="F1762" i="7"/>
  <c r="F1738" i="7"/>
  <c r="F1666" i="7"/>
  <c r="F1642" i="7"/>
  <c r="F1618" i="7"/>
  <c r="F1594" i="7"/>
  <c r="F1570" i="7"/>
  <c r="F1498" i="7"/>
  <c r="F417" i="7"/>
  <c r="F393" i="7"/>
  <c r="F369" i="7"/>
  <c r="F345" i="7"/>
  <c r="F273" i="7"/>
  <c r="F249" i="7"/>
  <c r="F225" i="7"/>
  <c r="F8508" i="7"/>
  <c r="F8340" i="7"/>
  <c r="F8172" i="7"/>
  <c r="F7932" i="7"/>
  <c r="F7764" i="7"/>
  <c r="F6540" i="7"/>
  <c r="F4572" i="7"/>
  <c r="F4260" i="7"/>
  <c r="F3756" i="7"/>
  <c r="F3564" i="7"/>
  <c r="F3396" i="7"/>
  <c r="F8368" i="7"/>
  <c r="F8200" i="7"/>
  <c r="F8704" i="7"/>
  <c r="F7960" i="7"/>
  <c r="F7624" i="7"/>
  <c r="F5896" i="7"/>
  <c r="F5656" i="7"/>
  <c r="F5152" i="7"/>
  <c r="F6064" i="7"/>
  <c r="F4600" i="7"/>
  <c r="F4432" i="7"/>
  <c r="F3784" i="7"/>
  <c r="F3592" i="7"/>
  <c r="F3424" i="7"/>
  <c r="H3" i="7"/>
  <c r="I3" i="7"/>
  <c r="I4" i="7"/>
  <c r="I6" i="7"/>
  <c r="CP18" i="7"/>
  <c r="CP19" i="7"/>
  <c r="CM20" i="7"/>
  <c r="CU20" i="7"/>
  <c r="F8684" i="7"/>
  <c r="F8516" i="7"/>
  <c r="F8348" i="7"/>
  <c r="F8180" i="7"/>
  <c r="F7940" i="7"/>
  <c r="F7772" i="7"/>
  <c r="F6548" i="7"/>
  <c r="F4580" i="7"/>
  <c r="F3764" i="7"/>
  <c r="F3572" i="7"/>
  <c r="F3404" i="7"/>
  <c r="F7415" i="7"/>
  <c r="F7031" i="7"/>
  <c r="F6527" i="7"/>
  <c r="F6023" i="7"/>
  <c r="F5855" i="7"/>
  <c r="F5783" i="7"/>
  <c r="F5615" i="7"/>
  <c r="F4727" i="7"/>
  <c r="F3743" i="7"/>
  <c r="F8763" i="7"/>
  <c r="F8739" i="7"/>
  <c r="F8715" i="7"/>
  <c r="F8716" i="7"/>
  <c r="F8620" i="7"/>
  <c r="F8452" i="7"/>
  <c r="F8764" i="7"/>
  <c r="F8572" i="7"/>
  <c r="F8475" i="7"/>
  <c r="F8428" i="7"/>
  <c r="F8404" i="7"/>
  <c r="F8380" i="7"/>
  <c r="F8308" i="7"/>
  <c r="F8284" i="7"/>
  <c r="F8260" i="7"/>
  <c r="F8236" i="7"/>
  <c r="F8212" i="7"/>
  <c r="F8140" i="7"/>
  <c r="F8044" i="7"/>
  <c r="F8068" i="7"/>
  <c r="F8092" i="7"/>
  <c r="F8116" i="7"/>
  <c r="F8020" i="7"/>
  <c r="F7996" i="7"/>
  <c r="F7972" i="7"/>
  <c r="F7900" i="7"/>
  <c r="F7876" i="7"/>
  <c r="F7852" i="7"/>
  <c r="F7828" i="7"/>
  <c r="F7804" i="7"/>
  <c r="F7732" i="7"/>
  <c r="F7708" i="7"/>
  <c r="F7684" i="7"/>
  <c r="F7660" i="7"/>
  <c r="F7636" i="7"/>
  <c r="F7827" i="7"/>
  <c r="F7563" i="7"/>
  <c r="F7539" i="7"/>
  <c r="F7515" i="7"/>
  <c r="F7491" i="7"/>
  <c r="F7467" i="7"/>
  <c r="F7395" i="7"/>
  <c r="F7371" i="7"/>
  <c r="F7347" i="7"/>
  <c r="F7803" i="7"/>
  <c r="F7299" i="7"/>
  <c r="F7323" i="7"/>
  <c r="F7084" i="7"/>
  <c r="F6507" i="7"/>
  <c r="F6459" i="7"/>
  <c r="F6435" i="7"/>
  <c r="F6411" i="7"/>
  <c r="F6604" i="7"/>
  <c r="F6580" i="7"/>
  <c r="F6484" i="7"/>
  <c r="F6075" i="7"/>
  <c r="F6003" i="7"/>
  <c r="F5979" i="7"/>
  <c r="F5931" i="7"/>
  <c r="F5907" i="7"/>
  <c r="F5835" i="7"/>
  <c r="F5763" i="7"/>
  <c r="F5739" i="7"/>
  <c r="F5715" i="7"/>
  <c r="F5691" i="7"/>
  <c r="F5595" i="7"/>
  <c r="F5571" i="7"/>
  <c r="F5547" i="7"/>
  <c r="F5548" i="7"/>
  <c r="F5211" i="7"/>
  <c r="F4708" i="7"/>
  <c r="F4684" i="7"/>
  <c r="F4660" i="7"/>
  <c r="F4636" i="7"/>
  <c r="F4612" i="7"/>
  <c r="F4540" i="7"/>
  <c r="F4516" i="7"/>
  <c r="F4492" i="7"/>
  <c r="F4468" i="7"/>
  <c r="F4444" i="7"/>
  <c r="F4227" i="7"/>
  <c r="F4228" i="7"/>
  <c r="F4204" i="7"/>
  <c r="F4180" i="7"/>
  <c r="F4156" i="7"/>
  <c r="F3820" i="7"/>
  <c r="F3796" i="7"/>
  <c r="F3724" i="7"/>
  <c r="F3700" i="7"/>
  <c r="F3676" i="7"/>
  <c r="F3652" i="7"/>
  <c r="F3628" i="7"/>
  <c r="F3604" i="7"/>
  <c r="F3532" i="7"/>
  <c r="F3508" i="7"/>
  <c r="F3484" i="7"/>
  <c r="F3460" i="7"/>
  <c r="F3436" i="7"/>
  <c r="F3819" i="7"/>
  <c r="F3795" i="7"/>
  <c r="F3723" i="7"/>
  <c r="F3699" i="7"/>
  <c r="F3675" i="7"/>
  <c r="F3651" i="7"/>
  <c r="F3364" i="7"/>
  <c r="F2187" i="7"/>
  <c r="F2188" i="7"/>
  <c r="F1396" i="7"/>
  <c r="F8502" i="7"/>
  <c r="F7423" i="7"/>
  <c r="F7039" i="7"/>
  <c r="F6535" i="7"/>
  <c r="F6366" i="7"/>
  <c r="F6198" i="7"/>
  <c r="F6031" i="7"/>
  <c r="F5863" i="7"/>
  <c r="F5791" i="7"/>
  <c r="F5623" i="7"/>
  <c r="F4734" i="7"/>
  <c r="F4735" i="7"/>
  <c r="F3751" i="7"/>
  <c r="F2022" i="7"/>
  <c r="F1854" i="7"/>
  <c r="F1686" i="7"/>
  <c r="F1518" i="7"/>
  <c r="F33" i="7"/>
  <c r="F8361" i="7"/>
  <c r="F7786" i="7"/>
  <c r="F7617" i="7"/>
  <c r="F6393" i="7"/>
  <c r="F6394" i="7"/>
  <c r="F6226" i="7"/>
  <c r="F6225" i="7"/>
  <c r="F5097" i="7"/>
  <c r="F4929" i="7"/>
  <c r="F4113" i="7"/>
  <c r="F3945" i="7"/>
  <c r="F3249" i="7"/>
  <c r="F2050" i="7"/>
  <c r="F1882" i="7"/>
  <c r="F1714" i="7"/>
  <c r="F1546" i="7"/>
  <c r="F321" i="7"/>
  <c r="F8771" i="7"/>
  <c r="F8747" i="7"/>
  <c r="F8723" i="7"/>
  <c r="F8459" i="7"/>
  <c r="F8267" i="7"/>
  <c r="F8051" i="7"/>
  <c r="F7811" i="7"/>
  <c r="F7547" i="7"/>
  <c r="F7523" i="7"/>
  <c r="F7499" i="7"/>
  <c r="F7475" i="7"/>
  <c r="F7403" i="7"/>
  <c r="F7379" i="7"/>
  <c r="F7355" i="7"/>
  <c r="F7571" i="7"/>
  <c r="F7331" i="7"/>
  <c r="F7307" i="7"/>
  <c r="F6467" i="7"/>
  <c r="F6443" i="7"/>
  <c r="F6419" i="7"/>
  <c r="F6515" i="7"/>
  <c r="F6491" i="7"/>
  <c r="F6083" i="7"/>
  <c r="F6011" i="7"/>
  <c r="F5987" i="7"/>
  <c r="F5963" i="7"/>
  <c r="F5915" i="7"/>
  <c r="F5843" i="7"/>
  <c r="F5771" i="7"/>
  <c r="F5747" i="7"/>
  <c r="F5723" i="7"/>
  <c r="F5699" i="7"/>
  <c r="F5675" i="7"/>
  <c r="F5603" i="7"/>
  <c r="F5579" i="7"/>
  <c r="F5555" i="7"/>
  <c r="F4235" i="7"/>
  <c r="F4211" i="7"/>
  <c r="F3827" i="7"/>
  <c r="F3803" i="7"/>
  <c r="F3731" i="7"/>
  <c r="F3707" i="7"/>
  <c r="F3683" i="7"/>
  <c r="F3659" i="7"/>
  <c r="F3635" i="7"/>
  <c r="F3323" i="7"/>
  <c r="F2195" i="7"/>
  <c r="F2171" i="7"/>
  <c r="F6374" i="7"/>
  <c r="F6206" i="7"/>
  <c r="F4742" i="7"/>
  <c r="F2030" i="7"/>
  <c r="F1862" i="7"/>
  <c r="F1694" i="7"/>
  <c r="F1526" i="7"/>
  <c r="F8345" i="7"/>
  <c r="F7769" i="7"/>
  <c r="F7601" i="7"/>
  <c r="F6377" i="7"/>
  <c r="F6378" i="7"/>
  <c r="F6210" i="7"/>
  <c r="F6209" i="7"/>
  <c r="F4913" i="7"/>
  <c r="F5129" i="7"/>
  <c r="F5081" i="7"/>
  <c r="F3929" i="7"/>
  <c r="F4097" i="7"/>
  <c r="F3233" i="7"/>
  <c r="F2034" i="7"/>
  <c r="F1866" i="7"/>
  <c r="F1698" i="7"/>
  <c r="F1530" i="7"/>
  <c r="F305" i="7"/>
  <c r="F53" i="7"/>
  <c r="CE67" i="7"/>
  <c r="CE68" i="7"/>
  <c r="CC69" i="7"/>
  <c r="CR71" i="7"/>
  <c r="CJ71" i="7"/>
  <c r="CH71" i="7"/>
  <c r="CV71" i="7"/>
  <c r="CF71" i="7"/>
  <c r="CL71" i="7"/>
  <c r="CK72" i="7"/>
  <c r="CI73" i="7"/>
  <c r="G102" i="8" s="1"/>
  <c r="CG74" i="7"/>
  <c r="CU74" i="7"/>
  <c r="CE75" i="7"/>
  <c r="CG76" i="7"/>
  <c r="CW76" i="7"/>
  <c r="CK79" i="7"/>
  <c r="F80" i="7"/>
  <c r="CJ80" i="7"/>
  <c r="G182" i="8" s="1"/>
  <c r="F82" i="7"/>
  <c r="F104" i="7"/>
  <c r="F107" i="7"/>
  <c r="F110" i="7"/>
  <c r="F136" i="7"/>
  <c r="F139" i="7"/>
  <c r="F142" i="7"/>
  <c r="F168" i="7"/>
  <c r="F171" i="7"/>
  <c r="F174" i="7"/>
  <c r="F177" i="7"/>
  <c r="F200" i="7"/>
  <c r="F203" i="7"/>
  <c r="F206" i="7"/>
  <c r="F214" i="7"/>
  <c r="F222" i="7"/>
  <c r="F230" i="7"/>
  <c r="F238" i="7"/>
  <c r="F246" i="7"/>
  <c r="F254" i="7"/>
  <c r="F262" i="7"/>
  <c r="F270" i="7"/>
  <c r="F278" i="7"/>
  <c r="F286" i="7"/>
  <c r="F294" i="7"/>
  <c r="F302" i="7"/>
  <c r="F310" i="7"/>
  <c r="F318" i="7"/>
  <c r="F326" i="7"/>
  <c r="F334" i="7"/>
  <c r="F342" i="7"/>
  <c r="F350" i="7"/>
  <c r="F358" i="7"/>
  <c r="F366" i="7"/>
  <c r="F374" i="7"/>
  <c r="F382" i="7"/>
  <c r="F390" i="7"/>
  <c r="F398" i="7"/>
  <c r="F406" i="7"/>
  <c r="F414" i="7"/>
  <c r="F422" i="7"/>
  <c r="F8369" i="7"/>
  <c r="F8538" i="7"/>
  <c r="F7625" i="7"/>
  <c r="F6401" i="7"/>
  <c r="F6402" i="7"/>
  <c r="F6234" i="7"/>
  <c r="F6065" i="7"/>
  <c r="F6233" i="7"/>
  <c r="F5105" i="7"/>
  <c r="F5154" i="7"/>
  <c r="F4937" i="7"/>
  <c r="F4121" i="7"/>
  <c r="F3953" i="7"/>
  <c r="F3257" i="7"/>
  <c r="F2058" i="7"/>
  <c r="F1890" i="7"/>
  <c r="F1722" i="7"/>
  <c r="F1554" i="7"/>
  <c r="F329" i="7"/>
  <c r="CE69" i="7"/>
  <c r="CC70" i="7"/>
  <c r="CX72" i="7"/>
  <c r="CH72" i="7"/>
  <c r="CV72" i="7"/>
  <c r="CF72" i="7"/>
  <c r="CL72" i="7"/>
  <c r="CD72" i="7"/>
  <c r="CK73" i="7"/>
  <c r="CI74" i="7"/>
  <c r="G103" i="8" s="1"/>
  <c r="CV74" i="7"/>
  <c r="CT75" i="7"/>
  <c r="CI76" i="7"/>
  <c r="CK77" i="7"/>
  <c r="CW78" i="7"/>
  <c r="CO78" i="7"/>
  <c r="CG78" i="7"/>
  <c r="CT78" i="7"/>
  <c r="CL78" i="7"/>
  <c r="CD78" i="7"/>
  <c r="CS78" i="7"/>
  <c r="CK78" i="7"/>
  <c r="CC78" i="7"/>
  <c r="CR78" i="7"/>
  <c r="CJ78" i="7"/>
  <c r="CX78" i="7"/>
  <c r="CP78" i="7"/>
  <c r="CH78" i="7"/>
  <c r="CU78" i="7"/>
  <c r="CL79" i="7"/>
  <c r="CK80" i="7"/>
  <c r="F92" i="7"/>
  <c r="F98" i="7"/>
  <c r="F101" i="7"/>
  <c r="F124" i="7"/>
  <c r="F127" i="7"/>
  <c r="F159" i="7"/>
  <c r="F162" i="7"/>
  <c r="F165" i="7"/>
  <c r="F188" i="7"/>
  <c r="F191" i="7"/>
  <c r="F194" i="7"/>
  <c r="F211" i="7"/>
  <c r="F219" i="7"/>
  <c r="F227" i="7"/>
  <c r="F235" i="7"/>
  <c r="F243" i="7"/>
  <c r="F251" i="7"/>
  <c r="F259" i="7"/>
  <c r="F267" i="7"/>
  <c r="F275" i="7"/>
  <c r="F283" i="7"/>
  <c r="F291" i="7"/>
  <c r="F299" i="7"/>
  <c r="F307" i="7"/>
  <c r="F315" i="7"/>
  <c r="F323" i="7"/>
  <c r="F331" i="7"/>
  <c r="F339" i="7"/>
  <c r="F347" i="7"/>
  <c r="F355" i="7"/>
  <c r="F363" i="7"/>
  <c r="F371" i="7"/>
  <c r="F379" i="7"/>
  <c r="F387" i="7"/>
  <c r="F395" i="7"/>
  <c r="F403" i="7"/>
  <c r="F411" i="7"/>
  <c r="F419" i="7"/>
  <c r="F427" i="7"/>
  <c r="CN62" i="7" s="1"/>
  <c r="F435" i="7"/>
  <c r="F443" i="7"/>
  <c r="F451" i="7"/>
  <c r="F459" i="7"/>
  <c r="F467" i="7"/>
  <c r="F475" i="7"/>
  <c r="F483" i="7"/>
  <c r="F491" i="7"/>
  <c r="F499" i="7"/>
  <c r="F507" i="7"/>
  <c r="F515" i="7"/>
  <c r="F523" i="7"/>
  <c r="F531" i="7"/>
  <c r="F539" i="7"/>
  <c r="F547" i="7"/>
  <c r="F555" i="7"/>
  <c r="F563" i="7"/>
  <c r="F571" i="7"/>
  <c r="F579" i="7"/>
  <c r="F587" i="7"/>
  <c r="F595" i="7"/>
  <c r="F603" i="7"/>
  <c r="F611" i="7"/>
  <c r="F619" i="7"/>
  <c r="F627" i="7"/>
  <c r="F635" i="7"/>
  <c r="F643" i="7"/>
  <c r="F651" i="7"/>
  <c r="F659" i="7"/>
  <c r="F667" i="7"/>
  <c r="F675" i="7"/>
  <c r="F683" i="7"/>
  <c r="F691" i="7"/>
  <c r="F699" i="7"/>
  <c r="F707" i="7"/>
  <c r="F715" i="7"/>
  <c r="F723" i="7"/>
  <c r="F731" i="7"/>
  <c r="F739" i="7"/>
  <c r="F747" i="7"/>
  <c r="F755" i="7"/>
  <c r="F763" i="7"/>
  <c r="F771" i="7"/>
  <c r="F779" i="7"/>
  <c r="F787" i="7"/>
  <c r="F795" i="7"/>
  <c r="F803" i="7"/>
  <c r="F811" i="7"/>
  <c r="F819" i="7"/>
  <c r="F827" i="7"/>
  <c r="F835" i="7"/>
  <c r="F843" i="7"/>
  <c r="F851" i="7"/>
  <c r="F859" i="7"/>
  <c r="F867" i="7"/>
  <c r="F875" i="7"/>
  <c r="F883" i="7"/>
  <c r="F891" i="7"/>
  <c r="CD64" i="7" s="1"/>
  <c r="F899" i="7"/>
  <c r="F907" i="7"/>
  <c r="F915" i="7"/>
  <c r="F923" i="7"/>
  <c r="F931" i="7"/>
  <c r="F939" i="7"/>
  <c r="F947" i="7"/>
  <c r="F955" i="7"/>
  <c r="F963" i="7"/>
  <c r="F971" i="7"/>
  <c r="F979" i="7"/>
  <c r="F987" i="7"/>
  <c r="F995" i="7"/>
  <c r="F1003" i="7"/>
  <c r="F1011" i="7"/>
  <c r="F1019" i="7"/>
  <c r="F1027" i="7"/>
  <c r="F1035" i="7"/>
  <c r="F1043" i="7"/>
  <c r="F1051" i="7"/>
  <c r="F1059" i="7"/>
  <c r="F1067" i="7"/>
  <c r="F1075" i="7"/>
  <c r="F1083" i="7"/>
  <c r="F1091" i="7"/>
  <c r="F1099" i="7"/>
  <c r="F1107" i="7"/>
  <c r="F1115" i="7"/>
  <c r="F1123" i="7"/>
  <c r="F1131" i="7"/>
  <c r="F1139" i="7"/>
  <c r="F1147" i="7"/>
  <c r="F1155" i="7"/>
  <c r="F1163" i="7"/>
  <c r="F1171" i="7"/>
  <c r="F1179" i="7"/>
  <c r="F1187" i="7"/>
  <c r="F1195" i="7"/>
  <c r="F1203" i="7"/>
  <c r="F1211" i="7"/>
  <c r="F1219" i="7"/>
  <c r="F1227" i="7"/>
  <c r="F1235" i="7"/>
  <c r="F1243" i="7"/>
  <c r="F1251" i="7"/>
  <c r="F1259" i="7"/>
  <c r="F1267" i="7"/>
  <c r="F1275" i="7"/>
  <c r="F1283" i="7"/>
  <c r="F1291" i="7"/>
  <c r="F1299" i="7"/>
  <c r="F1307" i="7"/>
  <c r="F1315" i="7"/>
  <c r="F1323" i="7"/>
  <c r="F1331" i="7"/>
  <c r="F1339" i="7"/>
  <c r="F1347" i="7"/>
  <c r="F1355" i="7"/>
  <c r="F1363" i="7"/>
  <c r="F1371" i="7"/>
  <c r="F1379" i="7"/>
  <c r="F1387" i="7"/>
  <c r="F8524" i="7"/>
  <c r="F8356" i="7"/>
  <c r="F8188" i="7"/>
  <c r="F7948" i="7"/>
  <c r="F7779" i="7"/>
  <c r="F7443" i="7"/>
  <c r="F6387" i="7"/>
  <c r="F6051" i="7"/>
  <c r="F5883" i="7"/>
  <c r="F5811" i="7"/>
  <c r="F5140" i="7"/>
  <c r="F4588" i="7"/>
  <c r="F3772" i="7"/>
  <c r="F3580" i="7"/>
  <c r="F3412" i="7"/>
  <c r="F3771" i="7"/>
  <c r="F8381" i="7"/>
  <c r="F8405" i="7"/>
  <c r="F8309" i="7"/>
  <c r="F8429" i="7"/>
  <c r="F8021" i="7"/>
  <c r="F7997" i="7"/>
  <c r="F7733" i="7"/>
  <c r="F7709" i="7"/>
  <c r="F7685" i="7"/>
  <c r="F7661" i="7"/>
  <c r="F7637" i="7"/>
  <c r="F7565" i="7"/>
  <c r="F7301" i="7"/>
  <c r="F7277" i="7"/>
  <c r="F7469" i="7"/>
  <c r="F6509" i="7"/>
  <c r="F6461" i="7"/>
  <c r="F6437" i="7"/>
  <c r="F6413" i="7"/>
  <c r="F6341" i="7"/>
  <c r="F6485" i="7"/>
  <c r="F6245" i="7"/>
  <c r="F6149" i="7"/>
  <c r="F6077" i="7"/>
  <c r="F6269" i="7"/>
  <c r="F6173" i="7"/>
  <c r="F6293" i="7"/>
  <c r="F6125" i="7"/>
  <c r="F6101" i="7"/>
  <c r="F6317" i="7"/>
  <c r="F5021" i="7"/>
  <c r="F4829" i="7"/>
  <c r="F5045" i="7"/>
  <c r="F4949" i="7"/>
  <c r="F4853" i="7"/>
  <c r="F4973" i="7"/>
  <c r="F4877" i="7"/>
  <c r="F4781" i="7"/>
  <c r="F4805" i="7"/>
  <c r="F4997" i="7"/>
  <c r="F4205" i="7"/>
  <c r="F4013" i="7"/>
  <c r="F4229" i="7"/>
  <c r="F4133" i="7"/>
  <c r="F4037" i="7"/>
  <c r="F4157" i="7"/>
  <c r="F4061" i="7"/>
  <c r="F3965" i="7"/>
  <c r="F3869" i="7"/>
  <c r="F4181" i="7"/>
  <c r="F3989" i="7"/>
  <c r="F3317" i="7"/>
  <c r="F3293" i="7"/>
  <c r="F3269" i="7"/>
  <c r="F3197" i="7"/>
  <c r="F2189" i="7"/>
  <c r="F413" i="7"/>
  <c r="F389" i="7"/>
  <c r="F365" i="7"/>
  <c r="F341" i="7"/>
  <c r="F269" i="7"/>
  <c r="F245" i="7"/>
  <c r="F221" i="7"/>
  <c r="F8336" i="7"/>
  <c r="F8672" i="7"/>
  <c r="F8168" i="7"/>
  <c r="F7928" i="7"/>
  <c r="F7760" i="7"/>
  <c r="F5864" i="7"/>
  <c r="F5624" i="7"/>
  <c r="F4568" i="7"/>
  <c r="F6032" i="7"/>
  <c r="F4256" i="7"/>
  <c r="F3752" i="7"/>
  <c r="F3560" i="7"/>
  <c r="F3392" i="7"/>
  <c r="CK66" i="7"/>
  <c r="CI68" i="7"/>
  <c r="F69" i="7"/>
  <c r="CE70" i="7"/>
  <c r="CC71" i="7"/>
  <c r="CV73" i="7"/>
  <c r="CF73" i="7"/>
  <c r="CT73" i="7"/>
  <c r="CL73" i="7"/>
  <c r="CD73" i="7"/>
  <c r="CR73" i="7"/>
  <c r="CJ73" i="7"/>
  <c r="CK74" i="7"/>
  <c r="CI75" i="7"/>
  <c r="G104" i="8" s="1"/>
  <c r="CU75" i="7"/>
  <c r="CJ76" i="7"/>
  <c r="CM77" i="7"/>
  <c r="CV78" i="7"/>
  <c r="CO79" i="7"/>
  <c r="CN80" i="7"/>
  <c r="F81" i="7"/>
  <c r="F83" i="7"/>
  <c r="F86" i="7"/>
  <c r="F115" i="7"/>
  <c r="F118" i="7"/>
  <c r="F144" i="7"/>
  <c r="F147" i="7"/>
  <c r="F150" i="7"/>
  <c r="F153" i="7"/>
  <c r="F176" i="7"/>
  <c r="F179" i="7"/>
  <c r="F182" i="7"/>
  <c r="F216" i="7"/>
  <c r="F224" i="7"/>
  <c r="F240" i="7"/>
  <c r="F248" i="7"/>
  <c r="F264" i="7"/>
  <c r="F272" i="7"/>
  <c r="F288" i="7"/>
  <c r="F296" i="7"/>
  <c r="F304" i="7"/>
  <c r="F312" i="7"/>
  <c r="F320" i="7"/>
  <c r="F328" i="7"/>
  <c r="F336" i="7"/>
  <c r="F344" i="7"/>
  <c r="F360" i="7"/>
  <c r="F368" i="7"/>
  <c r="F384" i="7"/>
  <c r="F392" i="7"/>
  <c r="F408" i="7"/>
  <c r="F416" i="7"/>
  <c r="F8534" i="7"/>
  <c r="F7790" i="7"/>
  <c r="F6566" i="7"/>
  <c r="F6398" i="7"/>
  <c r="F6230" i="7"/>
  <c r="F2054" i="7"/>
  <c r="F1886" i="7"/>
  <c r="F1718" i="7"/>
  <c r="F1550" i="7"/>
  <c r="F60" i="7"/>
  <c r="F61" i="7"/>
  <c r="CC18" i="7"/>
  <c r="CS18" i="7"/>
  <c r="CP20" i="7"/>
  <c r="F8325" i="7"/>
  <c r="F7749" i="7"/>
  <c r="F7581" i="7"/>
  <c r="F6525" i="7"/>
  <c r="F6357" i="7"/>
  <c r="F6358" i="7"/>
  <c r="F6190" i="7"/>
  <c r="F6189" i="7"/>
  <c r="F4893" i="7"/>
  <c r="F4726" i="7"/>
  <c r="F5109" i="7"/>
  <c r="F5061" i="7"/>
  <c r="F4725" i="7"/>
  <c r="F4077" i="7"/>
  <c r="F3909" i="7"/>
  <c r="F3213" i="7"/>
  <c r="F2205" i="7"/>
  <c r="F2014" i="7"/>
  <c r="F1846" i="7"/>
  <c r="F1678" i="7"/>
  <c r="F1510" i="7"/>
  <c r="F285" i="7"/>
  <c r="F8352" i="7"/>
  <c r="F8184" i="7"/>
  <c r="F8353" i="7"/>
  <c r="F7944" i="7"/>
  <c r="F7776" i="7"/>
  <c r="F7609" i="7"/>
  <c r="F7441" i="7"/>
  <c r="F6553" i="7"/>
  <c r="F6385" i="7"/>
  <c r="F6217" i="7"/>
  <c r="F5640" i="7"/>
  <c r="F5880" i="7"/>
  <c r="F5808" i="7"/>
  <c r="F5089" i="7"/>
  <c r="F4584" i="7"/>
  <c r="F4921" i="7"/>
  <c r="F3768" i="7"/>
  <c r="F3576" i="7"/>
  <c r="F4105" i="7"/>
  <c r="F3937" i="7"/>
  <c r="F3241" i="7"/>
  <c r="F3408" i="7"/>
  <c r="F313" i="7"/>
  <c r="F8450" i="7"/>
  <c r="F8258" i="7"/>
  <c r="F7802" i="7"/>
  <c r="F6602" i="7"/>
  <c r="F6578" i="7"/>
  <c r="F6458" i="7"/>
  <c r="F6434" i="7"/>
  <c r="F6410" i="7"/>
  <c r="F6338" i="7"/>
  <c r="F6314" i="7"/>
  <c r="F6290" i="7"/>
  <c r="F6266" i="7"/>
  <c r="F6242" i="7"/>
  <c r="F6170" i="7"/>
  <c r="F6146" i="7"/>
  <c r="F6122" i="7"/>
  <c r="F6098" i="7"/>
  <c r="F5210" i="7"/>
  <c r="F5186" i="7"/>
  <c r="F3314" i="7"/>
  <c r="F2186" i="7"/>
  <c r="F2162" i="7"/>
  <c r="F2138" i="7"/>
  <c r="F2114" i="7"/>
  <c r="F2090" i="7"/>
  <c r="F2066" i="7"/>
  <c r="F1994" i="7"/>
  <c r="F1970" i="7"/>
  <c r="F1946" i="7"/>
  <c r="F1922" i="7"/>
  <c r="F1898" i="7"/>
  <c r="F1826" i="7"/>
  <c r="F1802" i="7"/>
  <c r="F1778" i="7"/>
  <c r="F1754" i="7"/>
  <c r="F1730" i="7"/>
  <c r="F1658" i="7"/>
  <c r="F1634" i="7"/>
  <c r="F1610" i="7"/>
  <c r="F1586" i="7"/>
  <c r="F1562" i="7"/>
  <c r="F1490" i="7"/>
  <c r="F8333" i="7"/>
  <c r="F7757" i="7"/>
  <c r="F7589" i="7"/>
  <c r="F7421" i="7"/>
  <c r="F6365" i="7"/>
  <c r="F6197" i="7"/>
  <c r="F5117" i="7"/>
  <c r="F4733" i="7"/>
  <c r="F5069" i="7"/>
  <c r="F4901" i="7"/>
  <c r="F3917" i="7"/>
  <c r="F4085" i="7"/>
  <c r="CF20" i="7" s="1"/>
  <c r="F3221" i="7"/>
  <c r="F293" i="7"/>
  <c r="F8360" i="7"/>
  <c r="F8192" i="7"/>
  <c r="F7952" i="7"/>
  <c r="F7616" i="7"/>
  <c r="F7784" i="7"/>
  <c r="F7064" i="7"/>
  <c r="F6560" i="7"/>
  <c r="F5816" i="7"/>
  <c r="F5648" i="7"/>
  <c r="F4592" i="7"/>
  <c r="F3776" i="7"/>
  <c r="F3584" i="7"/>
  <c r="F3416" i="7"/>
  <c r="F8341" i="7"/>
  <c r="F7765" i="7"/>
  <c r="F7597" i="7"/>
  <c r="F6541" i="7"/>
  <c r="F6373" i="7"/>
  <c r="F6205" i="7"/>
  <c r="F5077" i="7"/>
  <c r="F4741" i="7"/>
  <c r="F4909" i="7"/>
  <c r="F5125" i="7"/>
  <c r="F4093" i="7"/>
  <c r="F3925" i="7"/>
  <c r="F3229" i="7"/>
  <c r="F301" i="7"/>
  <c r="F7431" i="7"/>
  <c r="F7047" i="7"/>
  <c r="F6375" i="7"/>
  <c r="F6543" i="7"/>
  <c r="F6039" i="7"/>
  <c r="F5871" i="7"/>
  <c r="F5799" i="7"/>
  <c r="F5631" i="7"/>
  <c r="F4743" i="7"/>
  <c r="F3759" i="7"/>
  <c r="CC64" i="7"/>
  <c r="CL66" i="7"/>
  <c r="CK67" i="7"/>
  <c r="CJ68" i="7"/>
  <c r="CU69" i="7"/>
  <c r="F70" i="7"/>
  <c r="CF70" i="7"/>
  <c r="CD71" i="7"/>
  <c r="CQ71" i="7"/>
  <c r="CC72" i="7"/>
  <c r="CQ72" i="7"/>
  <c r="CO73" i="7"/>
  <c r="CT74" i="7"/>
  <c r="CL74" i="7"/>
  <c r="CD74" i="7"/>
  <c r="CR74" i="7"/>
  <c r="CJ74" i="7"/>
  <c r="CX74" i="7"/>
  <c r="CP74" i="7"/>
  <c r="CH74" i="7"/>
  <c r="CK75" i="7"/>
  <c r="CO77" i="7"/>
  <c r="CE78" i="7"/>
  <c r="CU79" i="7"/>
  <c r="CS79" i="7"/>
  <c r="CR80" i="7"/>
  <c r="F100" i="7"/>
  <c r="F103" i="7"/>
  <c r="F106" i="7"/>
  <c r="F109" i="7"/>
  <c r="F132" i="7"/>
  <c r="F135" i="7"/>
  <c r="F138" i="7"/>
  <c r="F164" i="7"/>
  <c r="F167" i="7"/>
  <c r="F170" i="7"/>
  <c r="F173" i="7"/>
  <c r="F196" i="7"/>
  <c r="F199" i="7"/>
  <c r="F202" i="7"/>
  <c r="F7595" i="7"/>
  <c r="F7427" i="7"/>
  <c r="F7043" i="7"/>
  <c r="F6539" i="7"/>
  <c r="F6371" i="7"/>
  <c r="F6035" i="7"/>
  <c r="F5867" i="7"/>
  <c r="F5795" i="7"/>
  <c r="F5627" i="7"/>
  <c r="F3755" i="7"/>
  <c r="F7451" i="7"/>
  <c r="F6395" i="7"/>
  <c r="F6059" i="7"/>
  <c r="F5891" i="7"/>
  <c r="F5819" i="7"/>
  <c r="F5147" i="7"/>
  <c r="F3779" i="7"/>
  <c r="F8389" i="7"/>
  <c r="F8293" i="7"/>
  <c r="F8413" i="7"/>
  <c r="F8317" i="7"/>
  <c r="F8437" i="7"/>
  <c r="F8269" i="7"/>
  <c r="F8029" i="7"/>
  <c r="F8005" i="7"/>
  <c r="F7741" i="7"/>
  <c r="F7717" i="7"/>
  <c r="F7693" i="7"/>
  <c r="F7669" i="7"/>
  <c r="F7645" i="7"/>
  <c r="F7549" i="7"/>
  <c r="F7357" i="7"/>
  <c r="F7333" i="7"/>
  <c r="F7285" i="7"/>
  <c r="F7261" i="7"/>
  <c r="F7573" i="7"/>
  <c r="F6493" i="7"/>
  <c r="F6469" i="7"/>
  <c r="F6445" i="7"/>
  <c r="F6421" i="7"/>
  <c r="F6349" i="7"/>
  <c r="F6517" i="7"/>
  <c r="F6277" i="7"/>
  <c r="F6181" i="7"/>
  <c r="F6133" i="7"/>
  <c r="F6085" i="7"/>
  <c r="F6301" i="7"/>
  <c r="F6325" i="7"/>
  <c r="F6253" i="7"/>
  <c r="F6109" i="7"/>
  <c r="F6157" i="7"/>
  <c r="F5053" i="7"/>
  <c r="F4957" i="7"/>
  <c r="F4861" i="7"/>
  <c r="F4981" i="7"/>
  <c r="F4885" i="7"/>
  <c r="F5005" i="7"/>
  <c r="F4813" i="7"/>
  <c r="F5029" i="7"/>
  <c r="F4237" i="7"/>
  <c r="F4141" i="7"/>
  <c r="F4045" i="7"/>
  <c r="F4165" i="7"/>
  <c r="F4069" i="7"/>
  <c r="F3973" i="7"/>
  <c r="F4189" i="7"/>
  <c r="F3997" i="7"/>
  <c r="F3901" i="7"/>
  <c r="F4837" i="7"/>
  <c r="F4213" i="7"/>
  <c r="F4021" i="7"/>
  <c r="F3301" i="7"/>
  <c r="F3277" i="7"/>
  <c r="F3205" i="7"/>
  <c r="F2197" i="7"/>
  <c r="F2173" i="7"/>
  <c r="F421" i="7"/>
  <c r="F397" i="7"/>
  <c r="F373" i="7"/>
  <c r="F349" i="7"/>
  <c r="F277" i="7"/>
  <c r="F253" i="7"/>
  <c r="F229" i="7"/>
  <c r="F8775" i="7"/>
  <c r="F8751" i="7"/>
  <c r="F8727" i="7"/>
  <c r="F8055" i="7"/>
  <c r="F7815" i="7"/>
  <c r="F7551" i="7"/>
  <c r="F7527" i="7"/>
  <c r="F7503" i="7"/>
  <c r="F7479" i="7"/>
  <c r="F7407" i="7"/>
  <c r="F7383" i="7"/>
  <c r="F7359" i="7"/>
  <c r="F7287" i="7"/>
  <c r="F7335" i="7"/>
  <c r="F6471" i="7"/>
  <c r="F6447" i="7"/>
  <c r="F6423" i="7"/>
  <c r="F6519" i="7"/>
  <c r="F6015" i="7"/>
  <c r="F5991" i="7"/>
  <c r="F5967" i="7"/>
  <c r="F5919" i="7"/>
  <c r="F5847" i="7"/>
  <c r="F5775" i="7"/>
  <c r="F5751" i="7"/>
  <c r="F5727" i="7"/>
  <c r="F5703" i="7"/>
  <c r="F5607" i="7"/>
  <c r="F5583" i="7"/>
  <c r="F5559" i="7"/>
  <c r="F5199" i="7"/>
  <c r="F4239" i="7"/>
  <c r="F4215" i="7"/>
  <c r="F3807" i="7"/>
  <c r="F3735" i="7"/>
  <c r="F3711" i="7"/>
  <c r="F3687" i="7"/>
  <c r="F3663" i="7"/>
  <c r="F3639" i="7"/>
  <c r="F3327" i="7"/>
  <c r="F2199" i="7"/>
  <c r="F2175" i="7"/>
  <c r="CC19" i="7"/>
  <c r="CS19" i="7"/>
  <c r="F8755" i="7"/>
  <c r="F8731" i="7"/>
  <c r="F8707" i="7"/>
  <c r="F8443" i="7"/>
  <c r="F7843" i="7"/>
  <c r="F7795" i="7"/>
  <c r="F7555" i="7"/>
  <c r="F7531" i="7"/>
  <c r="F7507" i="7"/>
  <c r="F7483" i="7"/>
  <c r="F7459" i="7"/>
  <c r="F7387" i="7"/>
  <c r="F7363" i="7"/>
  <c r="F7819" i="7"/>
  <c r="F7315" i="7"/>
  <c r="F7339" i="7"/>
  <c r="F7291" i="7"/>
  <c r="F6475" i="7"/>
  <c r="F6451" i="7"/>
  <c r="F6427" i="7"/>
  <c r="F6403" i="7"/>
  <c r="F6499" i="7"/>
  <c r="F6067" i="7"/>
  <c r="F5995" i="7"/>
  <c r="F5971" i="7"/>
  <c r="F5923" i="7"/>
  <c r="F5899" i="7"/>
  <c r="F5827" i="7"/>
  <c r="F5755" i="7"/>
  <c r="F5731" i="7"/>
  <c r="F5707" i="7"/>
  <c r="F5683" i="7"/>
  <c r="F5587" i="7"/>
  <c r="F5563" i="7"/>
  <c r="F5203" i="7"/>
  <c r="F5179" i="7"/>
  <c r="F4219" i="7"/>
  <c r="F3811" i="7"/>
  <c r="F3787" i="7"/>
  <c r="F3715" i="7"/>
  <c r="F3691" i="7"/>
  <c r="F3667" i="7"/>
  <c r="F3643" i="7"/>
  <c r="F2179" i="7"/>
  <c r="CD18" i="7"/>
  <c r="CT18" i="7"/>
  <c r="CD19" i="7"/>
  <c r="CT19" i="7"/>
  <c r="F7411" i="7"/>
  <c r="F7027" i="7"/>
  <c r="F6523" i="7"/>
  <c r="F6019" i="7"/>
  <c r="F5851" i="7"/>
  <c r="F5779" i="7"/>
  <c r="F5611" i="7"/>
  <c r="F4243" i="7"/>
  <c r="F3739" i="7"/>
  <c r="F2203" i="7"/>
  <c r="CY20" i="7"/>
  <c r="F8518" i="7"/>
  <c r="F8349" i="7"/>
  <c r="F7773" i="7"/>
  <c r="F7605" i="7"/>
  <c r="F6381" i="7"/>
  <c r="F6382" i="7"/>
  <c r="F6214" i="7"/>
  <c r="F6213" i="7"/>
  <c r="F5134" i="7"/>
  <c r="F5085" i="7"/>
  <c r="F4917" i="7"/>
  <c r="F4101" i="7"/>
  <c r="F3933" i="7"/>
  <c r="F3237" i="7"/>
  <c r="F2038" i="7"/>
  <c r="F1870" i="7"/>
  <c r="F1702" i="7"/>
  <c r="F1534" i="7"/>
  <c r="F309" i="7"/>
  <c r="F6362" i="7"/>
  <c r="F6194" i="7"/>
  <c r="F2018" i="7"/>
  <c r="F1850" i="7"/>
  <c r="F1682" i="7"/>
  <c r="F1514" i="7"/>
  <c r="F8357" i="7"/>
  <c r="F7613" i="7"/>
  <c r="F6389" i="7"/>
  <c r="F6221" i="7"/>
  <c r="F4925" i="7"/>
  <c r="F4109" i="7"/>
  <c r="F3941" i="7"/>
  <c r="F5093" i="7"/>
  <c r="F3245" i="7"/>
  <c r="F317" i="7"/>
  <c r="F8365" i="7"/>
  <c r="F7621" i="7"/>
  <c r="F7453" i="7"/>
  <c r="F6565" i="7"/>
  <c r="F6397" i="7"/>
  <c r="F6061" i="7"/>
  <c r="F6229" i="7"/>
  <c r="F4765" i="7"/>
  <c r="F5101" i="7"/>
  <c r="F4933" i="7"/>
  <c r="F3949" i="7"/>
  <c r="F4117" i="7"/>
  <c r="F3253" i="7"/>
  <c r="F325" i="7"/>
  <c r="F7791" i="7"/>
  <c r="F7455" i="7"/>
  <c r="F6399" i="7"/>
  <c r="F6063" i="7"/>
  <c r="F5895" i="7"/>
  <c r="F5823" i="7"/>
  <c r="F3783" i="7"/>
  <c r="CF67" i="7"/>
  <c r="CL67" i="7"/>
  <c r="CK68" i="7"/>
  <c r="CI69" i="7"/>
  <c r="G98" i="8" s="1"/>
  <c r="CU70" i="7"/>
  <c r="CE71" i="7"/>
  <c r="CE72" i="7"/>
  <c r="CR72" i="7"/>
  <c r="CC73" i="7"/>
  <c r="CP73" i="7"/>
  <c r="CR75" i="7"/>
  <c r="CJ75" i="7"/>
  <c r="G177" i="8" s="1"/>
  <c r="CX75" i="7"/>
  <c r="CP75" i="7"/>
  <c r="CH75" i="7"/>
  <c r="CV75" i="7"/>
  <c r="CF75" i="7"/>
  <c r="CL75" i="7"/>
  <c r="CP77" i="7"/>
  <c r="CF78" i="7"/>
  <c r="CT79" i="7"/>
  <c r="F91" i="7"/>
  <c r="F94" i="7"/>
  <c r="F120" i="7"/>
  <c r="F123" i="7"/>
  <c r="F126" i="7"/>
  <c r="CF55" i="7" s="1"/>
  <c r="F152" i="7"/>
  <c r="F155" i="7"/>
  <c r="F158" i="7"/>
  <c r="F161" i="7"/>
  <c r="F187" i="7"/>
  <c r="F190" i="7"/>
  <c r="F218" i="7"/>
  <c r="F226" i="7"/>
  <c r="F242" i="7"/>
  <c r="F250" i="7"/>
  <c r="F266" i="7"/>
  <c r="F274" i="7"/>
  <c r="F290" i="7"/>
  <c r="F298" i="7"/>
  <c r="F306" i="7"/>
  <c r="F314" i="7"/>
  <c r="F322" i="7"/>
  <c r="F330" i="7"/>
  <c r="F338" i="7"/>
  <c r="F346" i="7"/>
  <c r="F362" i="7"/>
  <c r="F370" i="7"/>
  <c r="F386" i="7"/>
  <c r="F394" i="7"/>
  <c r="F410" i="7"/>
  <c r="F418" i="7"/>
  <c r="F56" i="7"/>
  <c r="CE58" i="7" s="1"/>
  <c r="CF68" i="7"/>
  <c r="CL68" i="7"/>
  <c r="CD68" i="7"/>
  <c r="CI70" i="7"/>
  <c r="G99" i="8" s="1"/>
  <c r="CG72" i="7"/>
  <c r="CE73" i="7"/>
  <c r="CC74" i="7"/>
  <c r="CO74" i="7"/>
  <c r="CS76" i="7"/>
  <c r="CK76" i="7"/>
  <c r="CC76" i="7"/>
  <c r="CX76" i="7"/>
  <c r="CP76" i="7"/>
  <c r="CH76" i="7"/>
  <c r="CV76" i="7"/>
  <c r="CF76" i="7"/>
  <c r="CT76" i="7"/>
  <c r="CL76" i="7"/>
  <c r="CD76" i="7"/>
  <c r="CQ76" i="7"/>
  <c r="CC77" i="7"/>
  <c r="CS77" i="7"/>
  <c r="CI78" i="7"/>
  <c r="G107" i="8" s="1"/>
  <c r="CC79" i="7"/>
  <c r="CT80" i="7"/>
  <c r="CL80" i="7"/>
  <c r="CD80" i="7"/>
  <c r="CX80" i="7"/>
  <c r="CP80" i="7"/>
  <c r="CH80" i="7"/>
  <c r="CV80" i="7"/>
  <c r="F85" i="7"/>
  <c r="F108" i="7"/>
  <c r="F111" i="7"/>
  <c r="F117" i="7"/>
  <c r="F140" i="7"/>
  <c r="F143" i="7"/>
  <c r="F146" i="7"/>
  <c r="F149" i="7"/>
  <c r="F172" i="7"/>
  <c r="F175" i="7"/>
  <c r="F178" i="7"/>
  <c r="F181" i="7"/>
  <c r="F204" i="7"/>
  <c r="F207" i="7"/>
  <c r="F215" i="7"/>
  <c r="F223" i="7"/>
  <c r="F231" i="7"/>
  <c r="F239" i="7"/>
  <c r="F247" i="7"/>
  <c r="F255" i="7"/>
  <c r="F263" i="7"/>
  <c r="F271" i="7"/>
  <c r="F279" i="7"/>
  <c r="F287" i="7"/>
  <c r="F295" i="7"/>
  <c r="F303" i="7"/>
  <c r="F311" i="7"/>
  <c r="F319" i="7"/>
  <c r="F327" i="7"/>
  <c r="F335" i="7"/>
  <c r="F343" i="7"/>
  <c r="F351" i="7"/>
  <c r="F359" i="7"/>
  <c r="F367" i="7"/>
  <c r="F375" i="7"/>
  <c r="CN59" i="7" s="1"/>
  <c r="F383" i="7"/>
  <c r="F391" i="7"/>
  <c r="F399" i="7"/>
  <c r="F407" i="7"/>
  <c r="F415" i="7"/>
  <c r="F423" i="7"/>
  <c r="F8328" i="7"/>
  <c r="F8160" i="7"/>
  <c r="F8329" i="7"/>
  <c r="F7920" i="7"/>
  <c r="F7752" i="7"/>
  <c r="F7753" i="7"/>
  <c r="F7585" i="7"/>
  <c r="F7417" i="7"/>
  <c r="F6361" i="7"/>
  <c r="F6193" i="7"/>
  <c r="F5784" i="7"/>
  <c r="F5616" i="7"/>
  <c r="F5065" i="7"/>
  <c r="F4897" i="7"/>
  <c r="F4560" i="7"/>
  <c r="F5113" i="7"/>
  <c r="F3744" i="7"/>
  <c r="F3552" i="7"/>
  <c r="F4081" i="7"/>
  <c r="F3913" i="7"/>
  <c r="F4248" i="7"/>
  <c r="F3217" i="7"/>
  <c r="F3384" i="7"/>
  <c r="F289" i="7"/>
  <c r="F4" i="7"/>
  <c r="F6" i="7"/>
  <c r="CE18" i="7"/>
  <c r="CM18" i="7"/>
  <c r="CU18" i="7"/>
  <c r="CM19" i="7"/>
  <c r="CU19" i="7"/>
  <c r="F7435" i="7"/>
  <c r="F7051" i="7"/>
  <c r="F6547" i="7"/>
  <c r="F6379" i="7"/>
  <c r="F6043" i="7"/>
  <c r="F5875" i="7"/>
  <c r="F5803" i="7"/>
  <c r="F5635" i="7"/>
  <c r="F3763" i="7"/>
  <c r="CJ20" i="7"/>
  <c r="CZ20" i="7"/>
  <c r="F8522" i="7"/>
  <c r="F7778" i="7"/>
  <c r="F7058" i="7"/>
  <c r="F6386" i="7"/>
  <c r="F6218" i="7"/>
  <c r="F2042" i="7"/>
  <c r="F1874" i="7"/>
  <c r="F1706" i="7"/>
  <c r="F1538" i="7"/>
  <c r="F8680" i="7"/>
  <c r="F8344" i="7"/>
  <c r="F8176" i="7"/>
  <c r="F7936" i="7"/>
  <c r="F7768" i="7"/>
  <c r="F6544" i="7"/>
  <c r="F5800" i="7"/>
  <c r="F6040" i="7"/>
  <c r="F5872" i="7"/>
  <c r="F4576" i="7"/>
  <c r="F4264" i="7"/>
  <c r="F3760" i="7"/>
  <c r="F3568" i="7"/>
  <c r="F3400" i="7"/>
  <c r="F46" i="7"/>
  <c r="F48" i="7"/>
  <c r="G4" i="7"/>
  <c r="G6" i="7"/>
  <c r="Q15" i="7"/>
  <c r="CF18" i="7"/>
  <c r="CN18" i="7"/>
  <c r="CN19" i="7"/>
  <c r="F50" i="7"/>
  <c r="CE62" i="7" s="1"/>
  <c r="CE66" i="7"/>
  <c r="CC67" i="7"/>
  <c r="CV69" i="7"/>
  <c r="CF69" i="7"/>
  <c r="CL69" i="7"/>
  <c r="CD69" i="7"/>
  <c r="CJ69" i="7"/>
  <c r="CK70" i="7"/>
  <c r="CU71" i="7"/>
  <c r="CI72" i="7"/>
  <c r="G101" i="8" s="1"/>
  <c r="CU72" i="7"/>
  <c r="CG73" i="7"/>
  <c r="CS73" i="7"/>
  <c r="CE74" i="7"/>
  <c r="CQ74" i="7"/>
  <c r="CC75" i="7"/>
  <c r="CO75" i="7"/>
  <c r="CR76" i="7"/>
  <c r="CE77" i="7"/>
  <c r="CM78" i="7"/>
  <c r="CD79" i="7"/>
  <c r="CC80" i="7"/>
  <c r="F96" i="7"/>
  <c r="F99" i="7"/>
  <c r="F102" i="7"/>
  <c r="F105" i="7"/>
  <c r="F128" i="7"/>
  <c r="F131" i="7"/>
  <c r="F134" i="7"/>
  <c r="F137" i="7"/>
  <c r="F160" i="7"/>
  <c r="F163" i="7"/>
  <c r="F166" i="7"/>
  <c r="F192" i="7"/>
  <c r="F195" i="7"/>
  <c r="F198" i="7"/>
  <c r="F201" i="7"/>
  <c r="F212" i="7"/>
  <c r="F220" i="7"/>
  <c r="F228" i="7"/>
  <c r="F236" i="7"/>
  <c r="F244" i="7"/>
  <c r="F252" i="7"/>
  <c r="F260" i="7"/>
  <c r="F268" i="7"/>
  <c r="F276" i="7"/>
  <c r="F284" i="7"/>
  <c r="F292" i="7"/>
  <c r="F300" i="7"/>
  <c r="F308" i="7"/>
  <c r="F316" i="7"/>
  <c r="F324" i="7"/>
  <c r="F332" i="7"/>
  <c r="F340" i="7"/>
  <c r="F348" i="7"/>
  <c r="F356" i="7"/>
  <c r="F364" i="7"/>
  <c r="F372" i="7"/>
  <c r="F380" i="7"/>
  <c r="CN60" i="7" s="1"/>
  <c r="F388" i="7"/>
  <c r="F396" i="7"/>
  <c r="F404" i="7"/>
  <c r="F412" i="7"/>
  <c r="F420" i="7"/>
  <c r="F8421" i="7"/>
  <c r="F8254" i="7"/>
  <c r="F8373" i="7"/>
  <c r="F8277" i="7"/>
  <c r="F8397" i="7"/>
  <c r="F8037" i="7"/>
  <c r="F8013" i="7"/>
  <c r="F7989" i="7"/>
  <c r="F7798" i="7"/>
  <c r="F7725" i="7"/>
  <c r="F7701" i="7"/>
  <c r="F7677" i="7"/>
  <c r="F7653" i="7"/>
  <c r="F7629" i="7"/>
  <c r="F7557" i="7"/>
  <c r="F7485" i="7"/>
  <c r="F7389" i="7"/>
  <c r="F7317" i="7"/>
  <c r="F7269" i="7"/>
  <c r="F7078" i="7"/>
  <c r="F6573" i="7"/>
  <c r="F6574" i="7"/>
  <c r="F6477" i="7"/>
  <c r="F6453" i="7"/>
  <c r="F6429" i="7"/>
  <c r="F6405" i="7"/>
  <c r="F6333" i="7"/>
  <c r="F6454" i="7"/>
  <c r="F6430" i="7"/>
  <c r="F6406" i="7"/>
  <c r="F6334" i="7"/>
  <c r="F6310" i="7"/>
  <c r="F6286" i="7"/>
  <c r="F6262" i="7"/>
  <c r="F6238" i="7"/>
  <c r="F6166" i="7"/>
  <c r="F6309" i="7"/>
  <c r="F6069" i="7"/>
  <c r="F6237" i="7"/>
  <c r="F6118" i="7"/>
  <c r="F6261" i="7"/>
  <c r="F6165" i="7"/>
  <c r="F6141" i="7"/>
  <c r="F6094" i="7"/>
  <c r="F5542" i="7"/>
  <c r="F6142" i="7"/>
  <c r="F6285" i="7"/>
  <c r="F5206" i="7"/>
  <c r="F4989" i="7"/>
  <c r="F4797" i="7"/>
  <c r="F5013" i="7"/>
  <c r="F4821" i="7"/>
  <c r="F5037" i="7"/>
  <c r="F4941" i="7"/>
  <c r="F4845" i="7"/>
  <c r="F4773" i="7"/>
  <c r="F4965" i="7"/>
  <c r="F4869" i="7"/>
  <c r="F4173" i="7"/>
  <c r="F3981" i="7"/>
  <c r="F4197" i="7"/>
  <c r="F4005" i="7"/>
  <c r="F4221" i="7"/>
  <c r="F4125" i="7"/>
  <c r="F4029" i="7"/>
  <c r="F4149" i="7"/>
  <c r="F4053" i="7"/>
  <c r="F3957" i="7"/>
  <c r="F3837" i="7"/>
  <c r="F3309" i="7"/>
  <c r="F3285" i="7"/>
  <c r="F3261" i="7"/>
  <c r="F3310" i="7"/>
  <c r="F2181" i="7"/>
  <c r="F2182" i="7"/>
  <c r="F2158" i="7"/>
  <c r="F2134" i="7"/>
  <c r="F2110" i="7"/>
  <c r="F2086" i="7"/>
  <c r="F2062" i="7"/>
  <c r="F1990" i="7"/>
  <c r="F1966" i="7"/>
  <c r="F1942" i="7"/>
  <c r="F1918" i="7"/>
  <c r="F1894" i="7"/>
  <c r="F1822" i="7"/>
  <c r="F1798" i="7"/>
  <c r="F1774" i="7"/>
  <c r="F1750" i="7"/>
  <c r="F1726" i="7"/>
  <c r="F1654" i="7"/>
  <c r="F1630" i="7"/>
  <c r="F1606" i="7"/>
  <c r="F1582" i="7"/>
  <c r="F1558" i="7"/>
  <c r="F1486" i="7"/>
  <c r="F1414" i="7"/>
  <c r="F1438" i="7"/>
  <c r="F405" i="7"/>
  <c r="F381" i="7"/>
  <c r="F357" i="7"/>
  <c r="F333" i="7"/>
  <c r="F261" i="7"/>
  <c r="F237" i="7"/>
  <c r="F213" i="7"/>
  <c r="G3" i="7"/>
  <c r="CO18" i="7"/>
  <c r="F8492" i="7"/>
  <c r="F8324" i="7"/>
  <c r="F8156" i="7"/>
  <c r="F7916" i="7"/>
  <c r="F7748" i="7"/>
  <c r="F7580" i="7"/>
  <c r="F6524" i="7"/>
  <c r="F4556" i="7"/>
  <c r="F4244" i="7"/>
  <c r="F3740" i="7"/>
  <c r="F3548" i="7"/>
  <c r="F3380" i="7"/>
  <c r="F2204" i="7"/>
  <c r="F8759" i="7"/>
  <c r="F8735" i="7"/>
  <c r="F8711" i="7"/>
  <c r="F8447" i="7"/>
  <c r="F7823" i="7"/>
  <c r="F8039" i="7"/>
  <c r="F7559" i="7"/>
  <c r="F7535" i="7"/>
  <c r="F7511" i="7"/>
  <c r="F7487" i="7"/>
  <c r="F7463" i="7"/>
  <c r="F7391" i="7"/>
  <c r="F7367" i="7"/>
  <c r="F7343" i="7"/>
  <c r="F7319" i="7"/>
  <c r="F6503" i="7"/>
  <c r="F6455" i="7"/>
  <c r="F6431" i="7"/>
  <c r="F6407" i="7"/>
  <c r="F6071" i="7"/>
  <c r="F5999" i="7"/>
  <c r="F5975" i="7"/>
  <c r="F5927" i="7"/>
  <c r="F5903" i="7"/>
  <c r="F5831" i="7"/>
  <c r="F5759" i="7"/>
  <c r="F5735" i="7"/>
  <c r="F5711" i="7"/>
  <c r="F5687" i="7"/>
  <c r="F5591" i="7"/>
  <c r="F5567" i="7"/>
  <c r="F5159" i="7"/>
  <c r="F4223" i="7"/>
  <c r="F3839" i="7"/>
  <c r="F3815" i="7"/>
  <c r="F3791" i="7"/>
  <c r="F3719" i="7"/>
  <c r="F3695" i="7"/>
  <c r="F3671" i="7"/>
  <c r="F3647" i="7"/>
  <c r="F2183" i="7"/>
  <c r="F8767" i="7"/>
  <c r="F8743" i="7"/>
  <c r="F8719" i="7"/>
  <c r="F8479" i="7"/>
  <c r="F8454" i="7"/>
  <c r="F8455" i="7"/>
  <c r="F8262" i="7"/>
  <c r="F8047" i="7"/>
  <c r="F7831" i="7"/>
  <c r="F7807" i="7"/>
  <c r="F7567" i="7"/>
  <c r="F7543" i="7"/>
  <c r="F7519" i="7"/>
  <c r="F7495" i="7"/>
  <c r="F7471" i="7"/>
  <c r="F7399" i="7"/>
  <c r="F7375" i="7"/>
  <c r="F7351" i="7"/>
  <c r="F7327" i="7"/>
  <c r="F7303" i="7"/>
  <c r="F6463" i="7"/>
  <c r="F6439" i="7"/>
  <c r="F6415" i="7"/>
  <c r="F6511" i="7"/>
  <c r="F6606" i="7"/>
  <c r="F6462" i="7"/>
  <c r="F6438" i="7"/>
  <c r="F6414" i="7"/>
  <c r="F6342" i="7"/>
  <c r="F6318" i="7"/>
  <c r="F6294" i="7"/>
  <c r="F6270" i="7"/>
  <c r="F6246" i="7"/>
  <c r="F6174" i="7"/>
  <c r="F6150" i="7"/>
  <c r="F6079" i="7"/>
  <c r="F6007" i="7"/>
  <c r="F5983" i="7"/>
  <c r="F5935" i="7"/>
  <c r="F5911" i="7"/>
  <c r="F5839" i="7"/>
  <c r="F5767" i="7"/>
  <c r="F5743" i="7"/>
  <c r="F5719" i="7"/>
  <c r="F5695" i="7"/>
  <c r="F5671" i="7"/>
  <c r="F5599" i="7"/>
  <c r="F5575" i="7"/>
  <c r="F6102" i="7"/>
  <c r="F6126" i="7"/>
  <c r="F5551" i="7"/>
  <c r="F5191" i="7"/>
  <c r="F5166" i="7"/>
  <c r="F5167" i="7"/>
  <c r="F4231" i="7"/>
  <c r="F3799" i="7"/>
  <c r="F3727" i="7"/>
  <c r="F3703" i="7"/>
  <c r="F3679" i="7"/>
  <c r="F3655" i="7"/>
  <c r="F3318" i="7"/>
  <c r="F2191" i="7"/>
  <c r="F2190" i="7"/>
  <c r="F2166" i="7"/>
  <c r="F2142" i="7"/>
  <c r="F2118" i="7"/>
  <c r="F2094" i="7"/>
  <c r="F2070" i="7"/>
  <c r="F1998" i="7"/>
  <c r="F1974" i="7"/>
  <c r="F1950" i="7"/>
  <c r="F1926" i="7"/>
  <c r="F1902" i="7"/>
  <c r="F1830" i="7"/>
  <c r="F1806" i="7"/>
  <c r="F1782" i="7"/>
  <c r="F1758" i="7"/>
  <c r="F1734" i="7"/>
  <c r="F1662" i="7"/>
  <c r="F1638" i="7"/>
  <c r="F1614" i="7"/>
  <c r="F1590" i="7"/>
  <c r="F1566" i="7"/>
  <c r="F1494" i="7"/>
  <c r="F1422" i="7"/>
  <c r="F1446" i="7"/>
  <c r="F1470" i="7"/>
  <c r="F8337" i="7"/>
  <c r="F8506" i="7"/>
  <c r="F7761" i="7"/>
  <c r="F7593" i="7"/>
  <c r="F6369" i="7"/>
  <c r="F6370" i="7"/>
  <c r="F6202" i="7"/>
  <c r="F6201" i="7"/>
  <c r="F5073" i="7"/>
  <c r="F4905" i="7"/>
  <c r="F5121" i="7"/>
  <c r="F4258" i="7"/>
  <c r="F4089" i="7"/>
  <c r="F3921" i="7"/>
  <c r="F3225" i="7"/>
  <c r="F2026" i="7"/>
  <c r="F1858" i="7"/>
  <c r="F1690" i="7"/>
  <c r="F1522" i="7"/>
  <c r="F297" i="7"/>
  <c r="F8532" i="7"/>
  <c r="F8364" i="7"/>
  <c r="F8196" i="7"/>
  <c r="F7956" i="7"/>
  <c r="F7620" i="7"/>
  <c r="F7788" i="7"/>
  <c r="F7068" i="7"/>
  <c r="F4596" i="7"/>
  <c r="F4428" i="7"/>
  <c r="F3780" i="7"/>
  <c r="F3588" i="7"/>
  <c r="F3420" i="7"/>
  <c r="F8486" i="7"/>
  <c r="F8462" i="7"/>
  <c r="F7094" i="7"/>
  <c r="F6590" i="7"/>
  <c r="F6470" i="7"/>
  <c r="F6446" i="7"/>
  <c r="F6422" i="7"/>
  <c r="F6350" i="7"/>
  <c r="F6326" i="7"/>
  <c r="F6302" i="7"/>
  <c r="F6278" i="7"/>
  <c r="F6254" i="7"/>
  <c r="F6182" i="7"/>
  <c r="F6158" i="7"/>
  <c r="F6110" i="7"/>
  <c r="F6134" i="7"/>
  <c r="F5198" i="7"/>
  <c r="F5174" i="7"/>
  <c r="F3302" i="7"/>
  <c r="F2198" i="7"/>
  <c r="F2174" i="7"/>
  <c r="F2150" i="7"/>
  <c r="F2126" i="7"/>
  <c r="F2102" i="7"/>
  <c r="F2078" i="7"/>
  <c r="F2006" i="7"/>
  <c r="F1982" i="7"/>
  <c r="F1958" i="7"/>
  <c r="F1934" i="7"/>
  <c r="F1910" i="7"/>
  <c r="F1838" i="7"/>
  <c r="F1814" i="7"/>
  <c r="F1790" i="7"/>
  <c r="F1766" i="7"/>
  <c r="F1742" i="7"/>
  <c r="F1670" i="7"/>
  <c r="F1646" i="7"/>
  <c r="F1622" i="7"/>
  <c r="F1598" i="7"/>
  <c r="F1574" i="7"/>
  <c r="F1430" i="7"/>
  <c r="F1454" i="7"/>
  <c r="F1478" i="7"/>
  <c r="F1502" i="7"/>
  <c r="F1406" i="7"/>
  <c r="F52" i="7"/>
  <c r="CE61" i="7" s="1"/>
  <c r="CF66" i="7"/>
  <c r="CD67" i="7"/>
  <c r="CC68" i="7"/>
  <c r="CL70" i="7"/>
  <c r="CD70" i="7"/>
  <c r="CJ70" i="7"/>
  <c r="CH70" i="7"/>
  <c r="CJ72" i="7"/>
  <c r="CW72" i="7"/>
  <c r="CH73" i="7"/>
  <c r="CU73" i="7"/>
  <c r="F74" i="7"/>
  <c r="CF74" i="7"/>
  <c r="CS74" i="7"/>
  <c r="CD75" i="7"/>
  <c r="CQ75" i="7"/>
  <c r="CE76" i="7"/>
  <c r="CU76" i="7"/>
  <c r="F77" i="7"/>
  <c r="CN78" i="7"/>
  <c r="F79" i="7"/>
  <c r="CF80" i="7"/>
  <c r="F84" i="7"/>
  <c r="F87" i="7"/>
  <c r="F93" i="7"/>
  <c r="F116" i="7"/>
  <c r="F119" i="7"/>
  <c r="F122" i="7"/>
  <c r="F125" i="7"/>
  <c r="F148" i="7"/>
  <c r="F151" i="7"/>
  <c r="F154" i="7"/>
  <c r="F157" i="7"/>
  <c r="F180" i="7"/>
  <c r="F183" i="7"/>
  <c r="F189" i="7"/>
  <c r="CJ77" i="7"/>
  <c r="G179" i="8" s="1"/>
  <c r="CR77" i="7"/>
  <c r="CF79" i="7"/>
  <c r="CN79" i="7"/>
  <c r="CV79" i="7"/>
  <c r="CE80" i="7"/>
  <c r="CM80" i="7"/>
  <c r="CU80" i="7"/>
  <c r="F430" i="7"/>
  <c r="CM64" i="7" s="1"/>
  <c r="F438" i="7"/>
  <c r="F446" i="7"/>
  <c r="F454" i="7"/>
  <c r="F462" i="7"/>
  <c r="F470" i="7"/>
  <c r="F478" i="7"/>
  <c r="F486" i="7"/>
  <c r="F494" i="7"/>
  <c r="F502" i="7"/>
  <c r="F510" i="7"/>
  <c r="F518" i="7"/>
  <c r="F526" i="7"/>
  <c r="F534" i="7"/>
  <c r="F542" i="7"/>
  <c r="F550" i="7"/>
  <c r="F558" i="7"/>
  <c r="F566" i="7"/>
  <c r="F574" i="7"/>
  <c r="CN73" i="7" s="1"/>
  <c r="F582" i="7"/>
  <c r="F590" i="7"/>
  <c r="F598" i="7"/>
  <c r="F606" i="7"/>
  <c r="F614" i="7"/>
  <c r="F622" i="7"/>
  <c r="F630" i="7"/>
  <c r="F638" i="7"/>
  <c r="F646" i="7"/>
  <c r="F654" i="7"/>
  <c r="F662" i="7"/>
  <c r="F670" i="7"/>
  <c r="F678" i="7"/>
  <c r="F686" i="7"/>
  <c r="F694" i="7"/>
  <c r="F702" i="7"/>
  <c r="F710" i="7"/>
  <c r="F718" i="7"/>
  <c r="F726" i="7"/>
  <c r="F734" i="7"/>
  <c r="F742" i="7"/>
  <c r="F750" i="7"/>
  <c r="F758" i="7"/>
  <c r="F766" i="7"/>
  <c r="F774" i="7"/>
  <c r="F782" i="7"/>
  <c r="F790" i="7"/>
  <c r="F798" i="7"/>
  <c r="F806" i="7"/>
  <c r="F814" i="7"/>
  <c r="F822" i="7"/>
  <c r="F830" i="7"/>
  <c r="F838" i="7"/>
  <c r="F846" i="7"/>
  <c r="F854" i="7"/>
  <c r="F862" i="7"/>
  <c r="F870" i="7"/>
  <c r="F878" i="7"/>
  <c r="F886" i="7"/>
  <c r="F894" i="7"/>
  <c r="F902" i="7"/>
  <c r="F910" i="7"/>
  <c r="F918" i="7"/>
  <c r="F926" i="7"/>
  <c r="F934" i="7"/>
  <c r="F942" i="7"/>
  <c r="F950" i="7"/>
  <c r="F958" i="7"/>
  <c r="F966" i="7"/>
  <c r="F974" i="7"/>
  <c r="F982" i="7"/>
  <c r="F990" i="7"/>
  <c r="F998" i="7"/>
  <c r="F1006" i="7"/>
  <c r="F1014" i="7"/>
  <c r="F1022" i="7"/>
  <c r="F1030" i="7"/>
  <c r="F1038" i="7"/>
  <c r="F1046" i="7"/>
  <c r="F1054" i="7"/>
  <c r="F1062" i="7"/>
  <c r="F1070" i="7"/>
  <c r="F1078" i="7"/>
  <c r="F1086" i="7"/>
  <c r="F1094" i="7"/>
  <c r="F1102" i="7"/>
  <c r="F1110" i="7"/>
  <c r="F1118" i="7"/>
  <c r="F1126" i="7"/>
  <c r="F1134" i="7"/>
  <c r="F1142" i="7"/>
  <c r="F1150" i="7"/>
  <c r="F1158" i="7"/>
  <c r="F1166" i="7"/>
  <c r="F1174" i="7"/>
  <c r="F1182" i="7"/>
  <c r="F1190" i="7"/>
  <c r="F1198" i="7"/>
  <c r="F1206" i="7"/>
  <c r="F1214" i="7"/>
  <c r="F1222" i="7"/>
  <c r="F1230" i="7"/>
  <c r="F1238" i="7"/>
  <c r="F1246" i="7"/>
  <c r="F1254" i="7"/>
  <c r="F1262" i="7"/>
  <c r="F1270" i="7"/>
  <c r="F1278" i="7"/>
  <c r="F1286" i="7"/>
  <c r="F1294" i="7"/>
  <c r="F1302" i="7"/>
  <c r="F1310" i="7"/>
  <c r="F1318" i="7"/>
  <c r="F1326" i="7"/>
  <c r="F1334" i="7"/>
  <c r="F1342" i="7"/>
  <c r="F1350" i="7"/>
  <c r="F1358" i="7"/>
  <c r="F1366" i="7"/>
  <c r="F1374" i="7"/>
  <c r="F1382" i="7"/>
  <c r="F1390" i="7"/>
  <c r="F1398" i="7"/>
  <c r="F1462" i="7"/>
  <c r="F8752" i="7"/>
  <c r="F8776" i="7"/>
  <c r="F8584" i="7"/>
  <c r="F8440" i="7"/>
  <c r="F8416" i="7"/>
  <c r="F8392" i="7"/>
  <c r="F8320" i="7"/>
  <c r="F8296" i="7"/>
  <c r="F8608" i="7"/>
  <c r="F8248" i="7"/>
  <c r="F8224" i="7"/>
  <c r="F8152" i="7"/>
  <c r="F8128" i="7"/>
  <c r="F8272" i="7"/>
  <c r="F8080" i="7"/>
  <c r="F8056" i="7"/>
  <c r="F8104" i="7"/>
  <c r="F8032" i="7"/>
  <c r="F8008" i="7"/>
  <c r="F7984" i="7"/>
  <c r="F7912" i="7"/>
  <c r="F7888" i="7"/>
  <c r="F7864" i="7"/>
  <c r="F7840" i="7"/>
  <c r="F7816" i="7"/>
  <c r="F7744" i="7"/>
  <c r="F7720" i="7"/>
  <c r="F7696" i="7"/>
  <c r="F7672" i="7"/>
  <c r="F7648" i="7"/>
  <c r="F7096" i="7"/>
  <c r="F6088" i="7"/>
  <c r="F5704" i="7"/>
  <c r="F5608" i="7"/>
  <c r="F5944" i="7"/>
  <c r="F5848" i="7"/>
  <c r="F5752" i="7"/>
  <c r="F5560" i="7"/>
  <c r="F5968" i="7"/>
  <c r="F5680" i="7"/>
  <c r="F5584" i="7"/>
  <c r="F4720" i="7"/>
  <c r="F4696" i="7"/>
  <c r="F4672" i="7"/>
  <c r="F4648" i="7"/>
  <c r="F4624" i="7"/>
  <c r="F4552" i="7"/>
  <c r="F4528" i="7"/>
  <c r="F4504" i="7"/>
  <c r="F4480" i="7"/>
  <c r="F4456" i="7"/>
  <c r="F5776" i="7"/>
  <c r="F4240" i="7"/>
  <c r="F4216" i="7"/>
  <c r="F4192" i="7"/>
  <c r="F4168" i="7"/>
  <c r="F4144" i="7"/>
  <c r="F3808" i="7"/>
  <c r="F3736" i="7"/>
  <c r="F3712" i="7"/>
  <c r="F3688" i="7"/>
  <c r="F3664" i="7"/>
  <c r="F3640" i="7"/>
  <c r="F3616" i="7"/>
  <c r="F3544" i="7"/>
  <c r="F3520" i="7"/>
  <c r="F3496" i="7"/>
  <c r="F3472" i="7"/>
  <c r="F3448" i="7"/>
  <c r="F3832" i="7"/>
  <c r="F3376" i="7"/>
  <c r="F2200" i="7"/>
  <c r="F2176" i="7"/>
  <c r="CD77" i="7"/>
  <c r="CL77" i="7"/>
  <c r="CT77" i="7"/>
  <c r="CH79" i="7"/>
  <c r="CP79" i="7"/>
  <c r="CX79" i="7"/>
  <c r="CG80" i="7"/>
  <c r="CO80" i="7"/>
  <c r="CW80" i="7"/>
  <c r="F432" i="7"/>
  <c r="F440" i="7"/>
  <c r="CM62" i="7" s="1"/>
  <c r="F448" i="7"/>
  <c r="CN67" i="7" s="1"/>
  <c r="F456" i="7"/>
  <c r="F464" i="7"/>
  <c r="F472" i="7"/>
  <c r="F480" i="7"/>
  <c r="F488" i="7"/>
  <c r="F496" i="7"/>
  <c r="F504" i="7"/>
  <c r="F512" i="7"/>
  <c r="F520" i="7"/>
  <c r="F528" i="7"/>
  <c r="F536" i="7"/>
  <c r="F544" i="7"/>
  <c r="F552" i="7"/>
  <c r="F560" i="7"/>
  <c r="F568" i="7"/>
  <c r="F576" i="7"/>
  <c r="F584" i="7"/>
  <c r="F592" i="7"/>
  <c r="F600" i="7"/>
  <c r="F608" i="7"/>
  <c r="F616" i="7"/>
  <c r="F624" i="7"/>
  <c r="F632" i="7"/>
  <c r="F640" i="7"/>
  <c r="F648" i="7"/>
  <c r="F656" i="7"/>
  <c r="F664" i="7"/>
  <c r="CM71" i="7" s="1"/>
  <c r="F672" i="7"/>
  <c r="F680" i="7"/>
  <c r="F688" i="7"/>
  <c r="F696" i="7"/>
  <c r="F704" i="7"/>
  <c r="F712" i="7"/>
  <c r="F720" i="7"/>
  <c r="F728" i="7"/>
  <c r="F736" i="7"/>
  <c r="F744" i="7"/>
  <c r="F752" i="7"/>
  <c r="F760" i="7"/>
  <c r="F768" i="7"/>
  <c r="F776" i="7"/>
  <c r="F784" i="7"/>
  <c r="F792" i="7"/>
  <c r="F800" i="7"/>
  <c r="F808" i="7"/>
  <c r="F816" i="7"/>
  <c r="F824" i="7"/>
  <c r="F832" i="7"/>
  <c r="F840" i="7"/>
  <c r="F848" i="7"/>
  <c r="F856" i="7"/>
  <c r="F864" i="7"/>
  <c r="F872" i="7"/>
  <c r="F880" i="7"/>
  <c r="F888" i="7"/>
  <c r="F896" i="7"/>
  <c r="F904" i="7"/>
  <c r="F912" i="7"/>
  <c r="F920" i="7"/>
  <c r="F928" i="7"/>
  <c r="F936" i="7"/>
  <c r="F944" i="7"/>
  <c r="F952" i="7"/>
  <c r="F960" i="7"/>
  <c r="F968" i="7"/>
  <c r="F976" i="7"/>
  <c r="F984" i="7"/>
  <c r="F992" i="7"/>
  <c r="F1000" i="7"/>
  <c r="F1008" i="7"/>
  <c r="F1016" i="7"/>
  <c r="F1024" i="7"/>
  <c r="F1032" i="7"/>
  <c r="F1040" i="7"/>
  <c r="F1048" i="7"/>
  <c r="F1056" i="7"/>
  <c r="F1064" i="7"/>
  <c r="F1072" i="7"/>
  <c r="F1080" i="7"/>
  <c r="F1088" i="7"/>
  <c r="F1096" i="7"/>
  <c r="F1104" i="7"/>
  <c r="F1112" i="7"/>
  <c r="F1120" i="7"/>
  <c r="F1128" i="7"/>
  <c r="F1136" i="7"/>
  <c r="F1144" i="7"/>
  <c r="F1152" i="7"/>
  <c r="F1160" i="7"/>
  <c r="F1168" i="7"/>
  <c r="F1176" i="7"/>
  <c r="F1184" i="7"/>
  <c r="F1192" i="7"/>
  <c r="F1200" i="7"/>
  <c r="F1208" i="7"/>
  <c r="F1216" i="7"/>
  <c r="F1224" i="7"/>
  <c r="F1232" i="7"/>
  <c r="F1240" i="7"/>
  <c r="F1248" i="7"/>
  <c r="F1256" i="7"/>
  <c r="F1264" i="7"/>
  <c r="F1272" i="7"/>
  <c r="F1280" i="7"/>
  <c r="F1288" i="7"/>
  <c r="F1296" i="7"/>
  <c r="F1304" i="7"/>
  <c r="F1312" i="7"/>
  <c r="F1320" i="7"/>
  <c r="F1328" i="7"/>
  <c r="F1336" i="7"/>
  <c r="F1344" i="7"/>
  <c r="F1352" i="7"/>
  <c r="F1360" i="7"/>
  <c r="F1368" i="7"/>
  <c r="F1376" i="7"/>
  <c r="F1384" i="7"/>
  <c r="F1392" i="7"/>
  <c r="CI79" i="7"/>
  <c r="G108" i="8" s="1"/>
  <c r="CQ79" i="7"/>
  <c r="F429" i="7"/>
  <c r="F437" i="7"/>
  <c r="F445" i="7"/>
  <c r="F453" i="7"/>
  <c r="F461" i="7"/>
  <c r="F469" i="7"/>
  <c r="F477" i="7"/>
  <c r="F485" i="7"/>
  <c r="F493" i="7"/>
  <c r="F501" i="7"/>
  <c r="F509" i="7"/>
  <c r="F517" i="7"/>
  <c r="F525" i="7"/>
  <c r="CN70" i="7" s="1"/>
  <c r="F533" i="7"/>
  <c r="F541" i="7"/>
  <c r="F549" i="7"/>
  <c r="F557" i="7"/>
  <c r="F565" i="7"/>
  <c r="F573" i="7"/>
  <c r="CM72" i="7" s="1"/>
  <c r="F581" i="7"/>
  <c r="F589" i="7"/>
  <c r="F597" i="7"/>
  <c r="F605" i="7"/>
  <c r="F613" i="7"/>
  <c r="F621" i="7"/>
  <c r="F629" i="7"/>
  <c r="F637" i="7"/>
  <c r="F645" i="7"/>
  <c r="F653" i="7"/>
  <c r="F661" i="7"/>
  <c r="F669" i="7"/>
  <c r="F677" i="7"/>
  <c r="F685" i="7"/>
  <c r="F693" i="7"/>
  <c r="F701" i="7"/>
  <c r="F709" i="7"/>
  <c r="F717" i="7"/>
  <c r="F725" i="7"/>
  <c r="F733" i="7"/>
  <c r="F741" i="7"/>
  <c r="F749" i="7"/>
  <c r="F757" i="7"/>
  <c r="F765" i="7"/>
  <c r="F773" i="7"/>
  <c r="F781" i="7"/>
  <c r="F789" i="7"/>
  <c r="F797" i="7"/>
  <c r="F805" i="7"/>
  <c r="F813" i="7"/>
  <c r="F821" i="7"/>
  <c r="F829" i="7"/>
  <c r="F837" i="7"/>
  <c r="F845" i="7"/>
  <c r="F853" i="7"/>
  <c r="F861" i="7"/>
  <c r="F869" i="7"/>
  <c r="F877" i="7"/>
  <c r="F885" i="7"/>
  <c r="CE65" i="7" s="1"/>
  <c r="F893" i="7"/>
  <c r="F901" i="7"/>
  <c r="F909" i="7"/>
  <c r="F917" i="7"/>
  <c r="F925" i="7"/>
  <c r="F933" i="7"/>
  <c r="F941" i="7"/>
  <c r="F949" i="7"/>
  <c r="F957" i="7"/>
  <c r="F965" i="7"/>
  <c r="F973" i="7"/>
  <c r="F981" i="7"/>
  <c r="F989" i="7"/>
  <c r="F997" i="7"/>
  <c r="F1005" i="7"/>
  <c r="F1013" i="7"/>
  <c r="F1021" i="7"/>
  <c r="F1029" i="7"/>
  <c r="F1037" i="7"/>
  <c r="F1045" i="7"/>
  <c r="F1053" i="7"/>
  <c r="F1061" i="7"/>
  <c r="F1069" i="7"/>
  <c r="F1077" i="7"/>
  <c r="F1085" i="7"/>
  <c r="F1093" i="7"/>
  <c r="F1101" i="7"/>
  <c r="F1109" i="7"/>
  <c r="F1117" i="7"/>
  <c r="F1125" i="7"/>
  <c r="F1133" i="7"/>
  <c r="F1141" i="7"/>
  <c r="F1149" i="7"/>
  <c r="F1157" i="7"/>
  <c r="F1165" i="7"/>
  <c r="F1173" i="7"/>
  <c r="F1181" i="7"/>
  <c r="F1189" i="7"/>
  <c r="F1197" i="7"/>
  <c r="F1205" i="7"/>
  <c r="F1213" i="7"/>
  <c r="F1221" i="7"/>
  <c r="F1229" i="7"/>
  <c r="F1237" i="7"/>
  <c r="F1245" i="7"/>
  <c r="F1253" i="7"/>
  <c r="F1261" i="7"/>
  <c r="F1269" i="7"/>
  <c r="F1277" i="7"/>
  <c r="F1285" i="7"/>
  <c r="F1293" i="7"/>
  <c r="F1301" i="7"/>
  <c r="F1309" i="7"/>
  <c r="F1317" i="7"/>
  <c r="F1325" i="7"/>
  <c r="F1333" i="7"/>
  <c r="F1341" i="7"/>
  <c r="F1349" i="7"/>
  <c r="F1357" i="7"/>
  <c r="F1365" i="7"/>
  <c r="F1373" i="7"/>
  <c r="F1381" i="7"/>
  <c r="F1389" i="7"/>
  <c r="F8466" i="7"/>
  <c r="F8273" i="7"/>
  <c r="F8393" i="7"/>
  <c r="F8417" i="7"/>
  <c r="F8321" i="7"/>
  <c r="F8490" i="7"/>
  <c r="F8033" i="7"/>
  <c r="F8009" i="7"/>
  <c r="F8297" i="7"/>
  <c r="F8057" i="7"/>
  <c r="F7745" i="7"/>
  <c r="F7721" i="7"/>
  <c r="F7697" i="7"/>
  <c r="F7673" i="7"/>
  <c r="F7649" i="7"/>
  <c r="F7577" i="7"/>
  <c r="F7553" i="7"/>
  <c r="F7265" i="7"/>
  <c r="F7409" i="7"/>
  <c r="F7385" i="7"/>
  <c r="F6473" i="7"/>
  <c r="F6449" i="7"/>
  <c r="F6425" i="7"/>
  <c r="F6353" i="7"/>
  <c r="F6329" i="7"/>
  <c r="F6474" i="7"/>
  <c r="F6450" i="7"/>
  <c r="F6426" i="7"/>
  <c r="F6354" i="7"/>
  <c r="F6330" i="7"/>
  <c r="F6306" i="7"/>
  <c r="F6282" i="7"/>
  <c r="F6258" i="7"/>
  <c r="F6186" i="7"/>
  <c r="F6162" i="7"/>
  <c r="F6257" i="7"/>
  <c r="F6161" i="7"/>
  <c r="F6114" i="7"/>
  <c r="F6281" i="7"/>
  <c r="F6185" i="7"/>
  <c r="F6090" i="7"/>
  <c r="F6138" i="7"/>
  <c r="F6305" i="7"/>
  <c r="F6113" i="7"/>
  <c r="F5538" i="7"/>
  <c r="F5009" i="7"/>
  <c r="F4817" i="7"/>
  <c r="F5033" i="7"/>
  <c r="F4841" i="7"/>
  <c r="F5057" i="7"/>
  <c r="F4961" i="7"/>
  <c r="F4865" i="7"/>
  <c r="F4985" i="7"/>
  <c r="F4889" i="7"/>
  <c r="F4217" i="7"/>
  <c r="F4025" i="7"/>
  <c r="F4241" i="7"/>
  <c r="F4145" i="7"/>
  <c r="F4049" i="7"/>
  <c r="F4169" i="7"/>
  <c r="F4073" i="7"/>
  <c r="F3977" i="7"/>
  <c r="F4193" i="7"/>
  <c r="F4001" i="7"/>
  <c r="F3905" i="7"/>
  <c r="F3305" i="7"/>
  <c r="F3281" i="7"/>
  <c r="F3209" i="7"/>
  <c r="F3306" i="7"/>
  <c r="F2201" i="7"/>
  <c r="F2177" i="7"/>
  <c r="F2202" i="7"/>
  <c r="F2178" i="7"/>
  <c r="F2154" i="7"/>
  <c r="F2130" i="7"/>
  <c r="F2106" i="7"/>
  <c r="F2082" i="7"/>
  <c r="F2010" i="7"/>
  <c r="F1986" i="7"/>
  <c r="F1962" i="7"/>
  <c r="F1938" i="7"/>
  <c r="F1914" i="7"/>
  <c r="F1842" i="7"/>
  <c r="F1818" i="7"/>
  <c r="F1794" i="7"/>
  <c r="F1770" i="7"/>
  <c r="F1746" i="7"/>
  <c r="F1674" i="7"/>
  <c r="F1650" i="7"/>
  <c r="F1626" i="7"/>
  <c r="F1602" i="7"/>
  <c r="F1578" i="7"/>
  <c r="F1506" i="7"/>
  <c r="F1482" i="7"/>
  <c r="CF77" i="7"/>
  <c r="CN77" i="7"/>
  <c r="CV77" i="7"/>
  <c r="CJ79" i="7"/>
  <c r="G181" i="8" s="1"/>
  <c r="CR79" i="7"/>
  <c r="CI80" i="7"/>
  <c r="CQ80" i="7"/>
  <c r="F434" i="7"/>
  <c r="F442" i="7"/>
  <c r="F450" i="7"/>
  <c r="CN68" i="7" s="1"/>
  <c r="F458" i="7"/>
  <c r="F466" i="7"/>
  <c r="F474" i="7"/>
  <c r="F482" i="7"/>
  <c r="F490" i="7"/>
  <c r="F498" i="7"/>
  <c r="F506" i="7"/>
  <c r="F514" i="7"/>
  <c r="F522" i="7"/>
  <c r="F530" i="7"/>
  <c r="F538" i="7"/>
  <c r="F546" i="7"/>
  <c r="F554" i="7"/>
  <c r="F562" i="7"/>
  <c r="F570" i="7"/>
  <c r="F578" i="7"/>
  <c r="F586" i="7"/>
  <c r="F594" i="7"/>
  <c r="F602" i="7"/>
  <c r="F610" i="7"/>
  <c r="F618" i="7"/>
  <c r="F626" i="7"/>
  <c r="F634" i="7"/>
  <c r="F642" i="7"/>
  <c r="F650" i="7"/>
  <c r="F658" i="7"/>
  <c r="F666" i="7"/>
  <c r="F674" i="7"/>
  <c r="F682" i="7"/>
  <c r="F690" i="7"/>
  <c r="F698" i="7"/>
  <c r="F706" i="7"/>
  <c r="F714" i="7"/>
  <c r="F722" i="7"/>
  <c r="F730" i="7"/>
  <c r="F738" i="7"/>
  <c r="F746" i="7"/>
  <c r="F754" i="7"/>
  <c r="F762" i="7"/>
  <c r="F770" i="7"/>
  <c r="F778" i="7"/>
  <c r="F786" i="7"/>
  <c r="F794" i="7"/>
  <c r="F802" i="7"/>
  <c r="F810" i="7"/>
  <c r="F818" i="7"/>
  <c r="F826" i="7"/>
  <c r="F834" i="7"/>
  <c r="F842" i="7"/>
  <c r="F850" i="7"/>
  <c r="F858" i="7"/>
  <c r="F866" i="7"/>
  <c r="F874" i="7"/>
  <c r="F882" i="7"/>
  <c r="CF64" i="7" s="1"/>
  <c r="F890" i="7"/>
  <c r="F898" i="7"/>
  <c r="F906" i="7"/>
  <c r="F914" i="7"/>
  <c r="F922" i="7"/>
  <c r="F930" i="7"/>
  <c r="F938" i="7"/>
  <c r="F946" i="7"/>
  <c r="F954" i="7"/>
  <c r="F962" i="7"/>
  <c r="F970" i="7"/>
  <c r="F978" i="7"/>
  <c r="F986" i="7"/>
  <c r="F994" i="7"/>
  <c r="F1002" i="7"/>
  <c r="F1010" i="7"/>
  <c r="F1018" i="7"/>
  <c r="F1026" i="7"/>
  <c r="F1034" i="7"/>
  <c r="F1042" i="7"/>
  <c r="F1050" i="7"/>
  <c r="F1058" i="7"/>
  <c r="F1066" i="7"/>
  <c r="F1074" i="7"/>
  <c r="F1082" i="7"/>
  <c r="F1090" i="7"/>
  <c r="F1098" i="7"/>
  <c r="F1106" i="7"/>
  <c r="F1114" i="7"/>
  <c r="F1122" i="7"/>
  <c r="F1130" i="7"/>
  <c r="F1138" i="7"/>
  <c r="F1146" i="7"/>
  <c r="F1154" i="7"/>
  <c r="F1162" i="7"/>
  <c r="F1170" i="7"/>
  <c r="F1178" i="7"/>
  <c r="F1186" i="7"/>
  <c r="F1194" i="7"/>
  <c r="F1202" i="7"/>
  <c r="F1210" i="7"/>
  <c r="F1218" i="7"/>
  <c r="F1226" i="7"/>
  <c r="F1234" i="7"/>
  <c r="F1242" i="7"/>
  <c r="F1250" i="7"/>
  <c r="F1258" i="7"/>
  <c r="F1266" i="7"/>
  <c r="F1274" i="7"/>
  <c r="F1282" i="7"/>
  <c r="F1290" i="7"/>
  <c r="F1298" i="7"/>
  <c r="F1306" i="7"/>
  <c r="F1314" i="7"/>
  <c r="F1322" i="7"/>
  <c r="F1330" i="7"/>
  <c r="F1338" i="7"/>
  <c r="F1346" i="7"/>
  <c r="F1354" i="7"/>
  <c r="F1362" i="7"/>
  <c r="F1370" i="7"/>
  <c r="F1378" i="7"/>
  <c r="F1386" i="7"/>
  <c r="F1394" i="7"/>
  <c r="F1402" i="7"/>
  <c r="F1410" i="7"/>
  <c r="F1418" i="7"/>
  <c r="F1426" i="7"/>
  <c r="F1434" i="7"/>
  <c r="F1442" i="7"/>
  <c r="F1450" i="7"/>
  <c r="F1458" i="7"/>
  <c r="F1466" i="7"/>
  <c r="F1474" i="7"/>
  <c r="F431" i="7"/>
  <c r="F439" i="7"/>
  <c r="F447" i="7"/>
  <c r="CN66" i="7" s="1"/>
  <c r="F455" i="7"/>
  <c r="F463" i="7"/>
  <c r="F471" i="7"/>
  <c r="F479" i="7"/>
  <c r="F487" i="7"/>
  <c r="F495" i="7"/>
  <c r="F503" i="7"/>
  <c r="F511" i="7"/>
  <c r="F519" i="7"/>
  <c r="F527" i="7"/>
  <c r="F535" i="7"/>
  <c r="F543" i="7"/>
  <c r="F551" i="7"/>
  <c r="F559" i="7"/>
  <c r="F567" i="7"/>
  <c r="F575" i="7"/>
  <c r="F583" i="7"/>
  <c r="F591" i="7"/>
  <c r="F599" i="7"/>
  <c r="F607" i="7"/>
  <c r="F615" i="7"/>
  <c r="F623" i="7"/>
  <c r="F631" i="7"/>
  <c r="F639" i="7"/>
  <c r="F647" i="7"/>
  <c r="F655" i="7"/>
  <c r="F663" i="7"/>
  <c r="F671" i="7"/>
  <c r="F679" i="7"/>
  <c r="F687" i="7"/>
  <c r="F695" i="7"/>
  <c r="F703" i="7"/>
  <c r="F711" i="7"/>
  <c r="F719" i="7"/>
  <c r="F727" i="7"/>
  <c r="F735" i="7"/>
  <c r="F743" i="7"/>
  <c r="F751" i="7"/>
  <c r="F759" i="7"/>
  <c r="F767" i="7"/>
  <c r="F775" i="7"/>
  <c r="F783" i="7"/>
  <c r="F791" i="7"/>
  <c r="F799" i="7"/>
  <c r="F807" i="7"/>
  <c r="F815" i="7"/>
  <c r="F823" i="7"/>
  <c r="F831" i="7"/>
  <c r="F839" i="7"/>
  <c r="F847" i="7"/>
  <c r="F855" i="7"/>
  <c r="F863" i="7"/>
  <c r="CM75" i="7" s="1"/>
  <c r="F871" i="7"/>
  <c r="F879" i="7"/>
  <c r="F887" i="7"/>
  <c r="F895" i="7"/>
  <c r="F903" i="7"/>
  <c r="F911" i="7"/>
  <c r="F919" i="7"/>
  <c r="F927" i="7"/>
  <c r="F935" i="7"/>
  <c r="F943" i="7"/>
  <c r="F951" i="7"/>
  <c r="F959" i="7"/>
  <c r="F967" i="7"/>
  <c r="F975" i="7"/>
  <c r="F983" i="7"/>
  <c r="F991" i="7"/>
  <c r="F999" i="7"/>
  <c r="F1007" i="7"/>
  <c r="F1015" i="7"/>
  <c r="F1023" i="7"/>
  <c r="F1031" i="7"/>
  <c r="F1039" i="7"/>
  <c r="F1047" i="7"/>
  <c r="F1055" i="7"/>
  <c r="F1063" i="7"/>
  <c r="F1071" i="7"/>
  <c r="F1079" i="7"/>
  <c r="F1087" i="7"/>
  <c r="F1095" i="7"/>
  <c r="F1103" i="7"/>
  <c r="F1111" i="7"/>
  <c r="F1119" i="7"/>
  <c r="F1127" i="7"/>
  <c r="F1135" i="7"/>
  <c r="F1143" i="7"/>
  <c r="F1151" i="7"/>
  <c r="F1159" i="7"/>
  <c r="F1167" i="7"/>
  <c r="F1175" i="7"/>
  <c r="F1183" i="7"/>
  <c r="F1191" i="7"/>
  <c r="F1199" i="7"/>
  <c r="F1207" i="7"/>
  <c r="F1215" i="7"/>
  <c r="F1223" i="7"/>
  <c r="F1231" i="7"/>
  <c r="F1239" i="7"/>
  <c r="F1247" i="7"/>
  <c r="F1255" i="7"/>
  <c r="F1263" i="7"/>
  <c r="F1271" i="7"/>
  <c r="F1279" i="7"/>
  <c r="F1287" i="7"/>
  <c r="F1295" i="7"/>
  <c r="F1303" i="7"/>
  <c r="F1311" i="7"/>
  <c r="F1319" i="7"/>
  <c r="F1327" i="7"/>
  <c r="F1335" i="7"/>
  <c r="F1343" i="7"/>
  <c r="F1351" i="7"/>
  <c r="F1359" i="7"/>
  <c r="F1367" i="7"/>
  <c r="F1375" i="7"/>
  <c r="F1383" i="7"/>
  <c r="F1391" i="7"/>
  <c r="F209" i="7"/>
  <c r="F233" i="7"/>
  <c r="F257" i="7"/>
  <c r="F281" i="7"/>
  <c r="F353" i="7"/>
  <c r="F377" i="7"/>
  <c r="F401" i="7"/>
  <c r="F425" i="7"/>
  <c r="F428" i="7"/>
  <c r="CN63" i="7" s="1"/>
  <c r="F436" i="7"/>
  <c r="F444" i="7"/>
  <c r="F452" i="7"/>
  <c r="F460" i="7"/>
  <c r="F468" i="7"/>
  <c r="F476" i="7"/>
  <c r="F484" i="7"/>
  <c r="F492" i="7"/>
  <c r="F500" i="7"/>
  <c r="F508" i="7"/>
  <c r="F516" i="7"/>
  <c r="F524" i="7"/>
  <c r="F532" i="7"/>
  <c r="F540" i="7"/>
  <c r="F548" i="7"/>
  <c r="F556" i="7"/>
  <c r="F564" i="7"/>
  <c r="F572" i="7"/>
  <c r="F580" i="7"/>
  <c r="F588" i="7"/>
  <c r="F596" i="7"/>
  <c r="F604" i="7"/>
  <c r="F612" i="7"/>
  <c r="F620" i="7"/>
  <c r="F628" i="7"/>
  <c r="F636" i="7"/>
  <c r="F644" i="7"/>
  <c r="F652" i="7"/>
  <c r="F660" i="7"/>
  <c r="F668" i="7"/>
  <c r="F676" i="7"/>
  <c r="F684" i="7"/>
  <c r="F692" i="7"/>
  <c r="F700" i="7"/>
  <c r="F708" i="7"/>
  <c r="F716" i="7"/>
  <c r="F724" i="7"/>
  <c r="F732" i="7"/>
  <c r="F740" i="7"/>
  <c r="F748" i="7"/>
  <c r="F756" i="7"/>
  <c r="F764" i="7"/>
  <c r="F772" i="7"/>
  <c r="F780" i="7"/>
  <c r="F788" i="7"/>
  <c r="F796" i="7"/>
  <c r="F804" i="7"/>
  <c r="F812" i="7"/>
  <c r="F820" i="7"/>
  <c r="F828" i="7"/>
  <c r="F836" i="7"/>
  <c r="F844" i="7"/>
  <c r="F852" i="7"/>
  <c r="F860" i="7"/>
  <c r="F868" i="7"/>
  <c r="F876" i="7"/>
  <c r="F884" i="7"/>
  <c r="F892" i="7"/>
  <c r="F900" i="7"/>
  <c r="F908" i="7"/>
  <c r="F916" i="7"/>
  <c r="F924" i="7"/>
  <c r="F932" i="7"/>
  <c r="F940" i="7"/>
  <c r="F948" i="7"/>
  <c r="F956" i="7"/>
  <c r="F964" i="7"/>
  <c r="F972" i="7"/>
  <c r="F980" i="7"/>
  <c r="F988" i="7"/>
  <c r="F996" i="7"/>
  <c r="F1004" i="7"/>
  <c r="F1012" i="7"/>
  <c r="F1020" i="7"/>
  <c r="F1028" i="7"/>
  <c r="F1036" i="7"/>
  <c r="F1044" i="7"/>
  <c r="F1052" i="7"/>
  <c r="F1060" i="7"/>
  <c r="F1068" i="7"/>
  <c r="F1076" i="7"/>
  <c r="F1084" i="7"/>
  <c r="F1092" i="7"/>
  <c r="F1100" i="7"/>
  <c r="F1108" i="7"/>
  <c r="F1116" i="7"/>
  <c r="F1124" i="7"/>
  <c r="F1132" i="7"/>
  <c r="F1140" i="7"/>
  <c r="F1148" i="7"/>
  <c r="F1156" i="7"/>
  <c r="F1164" i="7"/>
  <c r="F1172" i="7"/>
  <c r="F1180" i="7"/>
  <c r="F1188" i="7"/>
  <c r="F1196" i="7"/>
  <c r="F1204" i="7"/>
  <c r="F1212" i="7"/>
  <c r="F1220" i="7"/>
  <c r="F1228" i="7"/>
  <c r="F1236" i="7"/>
  <c r="F1244" i="7"/>
  <c r="F1252" i="7"/>
  <c r="F1260" i="7"/>
  <c r="F1268" i="7"/>
  <c r="F1276" i="7"/>
  <c r="F1284" i="7"/>
  <c r="F1292" i="7"/>
  <c r="F1300" i="7"/>
  <c r="F1308" i="7"/>
  <c r="F1316" i="7"/>
  <c r="F1324" i="7"/>
  <c r="F1332" i="7"/>
  <c r="F1340" i="7"/>
  <c r="F1348" i="7"/>
  <c r="F1356" i="7"/>
  <c r="F1364" i="7"/>
  <c r="F1372" i="7"/>
  <c r="F1380" i="7"/>
  <c r="F1388" i="7"/>
  <c r="CI77" i="7"/>
  <c r="G106" i="8" s="1"/>
  <c r="CQ77" i="7"/>
  <c r="CE79" i="7"/>
  <c r="CM79" i="7"/>
  <c r="F433" i="7"/>
  <c r="F441" i="7"/>
  <c r="F449" i="7"/>
  <c r="F457" i="7"/>
  <c r="F465" i="7"/>
  <c r="F473" i="7"/>
  <c r="F481" i="7"/>
  <c r="F489" i="7"/>
  <c r="F497" i="7"/>
  <c r="F505" i="7"/>
  <c r="F513" i="7"/>
  <c r="F521" i="7"/>
  <c r="F529" i="7"/>
  <c r="F537" i="7"/>
  <c r="F545" i="7"/>
  <c r="F553" i="7"/>
  <c r="F561" i="7"/>
  <c r="F569" i="7"/>
  <c r="F577" i="7"/>
  <c r="CM74" i="7" s="1"/>
  <c r="F585" i="7"/>
  <c r="F593" i="7"/>
  <c r="F601" i="7"/>
  <c r="F609" i="7"/>
  <c r="F617" i="7"/>
  <c r="F625" i="7"/>
  <c r="F633" i="7"/>
  <c r="F641" i="7"/>
  <c r="F649" i="7"/>
  <c r="F657" i="7"/>
  <c r="F665" i="7"/>
  <c r="F673" i="7"/>
  <c r="F681" i="7"/>
  <c r="F689" i="7"/>
  <c r="F697" i="7"/>
  <c r="F705" i="7"/>
  <c r="F713" i="7"/>
  <c r="F721" i="7"/>
  <c r="F729" i="7"/>
  <c r="F737" i="7"/>
  <c r="F745" i="7"/>
  <c r="F753" i="7"/>
  <c r="F761" i="7"/>
  <c r="F769" i="7"/>
  <c r="F777" i="7"/>
  <c r="F785" i="7"/>
  <c r="F793" i="7"/>
  <c r="F801" i="7"/>
  <c r="F809" i="7"/>
  <c r="F817" i="7"/>
  <c r="F825" i="7"/>
  <c r="F833" i="7"/>
  <c r="F841" i="7"/>
  <c r="F849" i="7"/>
  <c r="F857" i="7"/>
  <c r="F865" i="7"/>
  <c r="CN76" i="7" s="1"/>
  <c r="F873" i="7"/>
  <c r="F881" i="7"/>
  <c r="F889" i="7"/>
  <c r="F897" i="7"/>
  <c r="F905" i="7"/>
  <c r="F913" i="7"/>
  <c r="F921" i="7"/>
  <c r="F929" i="7"/>
  <c r="F937" i="7"/>
  <c r="F945" i="7"/>
  <c r="F953" i="7"/>
  <c r="F961" i="7"/>
  <c r="F969" i="7"/>
  <c r="F977" i="7"/>
  <c r="F985" i="7"/>
  <c r="F993" i="7"/>
  <c r="F1001" i="7"/>
  <c r="F1009" i="7"/>
  <c r="F1017" i="7"/>
  <c r="F1025" i="7"/>
  <c r="F1033" i="7"/>
  <c r="F1041" i="7"/>
  <c r="F1049" i="7"/>
  <c r="F1057" i="7"/>
  <c r="F1065" i="7"/>
  <c r="F1073" i="7"/>
  <c r="F1081" i="7"/>
  <c r="F1089" i="7"/>
  <c r="F1097" i="7"/>
  <c r="F1105" i="7"/>
  <c r="F1113" i="7"/>
  <c r="F1121" i="7"/>
  <c r="F1129" i="7"/>
  <c r="F1137" i="7"/>
  <c r="F1145" i="7"/>
  <c r="F1153" i="7"/>
  <c r="F1161" i="7"/>
  <c r="F1169" i="7"/>
  <c r="F1177" i="7"/>
  <c r="F1185" i="7"/>
  <c r="F1193" i="7"/>
  <c r="F1201" i="7"/>
  <c r="F1209" i="7"/>
  <c r="F1217" i="7"/>
  <c r="F1225" i="7"/>
  <c r="F1233" i="7"/>
  <c r="F1241" i="7"/>
  <c r="F1249" i="7"/>
  <c r="F1257" i="7"/>
  <c r="F1265" i="7"/>
  <c r="F1273" i="7"/>
  <c r="F1281" i="7"/>
  <c r="F1289" i="7"/>
  <c r="F1297" i="7"/>
  <c r="F1305" i="7"/>
  <c r="F1313" i="7"/>
  <c r="F1321" i="7"/>
  <c r="F1329" i="7"/>
  <c r="F1337" i="7"/>
  <c r="F1345" i="7"/>
  <c r="F1353" i="7"/>
  <c r="F1361" i="7"/>
  <c r="F1369" i="7"/>
  <c r="F1377" i="7"/>
  <c r="F1385" i="7"/>
  <c r="F1393" i="7"/>
  <c r="F1397" i="7"/>
  <c r="F1409" i="7"/>
  <c r="F1412" i="7"/>
  <c r="F1415" i="7"/>
  <c r="F1441" i="7"/>
  <c r="F1444" i="7"/>
  <c r="F1447" i="7"/>
  <c r="F1473" i="7"/>
  <c r="F1476" i="7"/>
  <c r="F1479" i="7"/>
  <c r="F1505" i="7"/>
  <c r="F1508" i="7"/>
  <c r="F1511" i="7"/>
  <c r="F1403" i="7"/>
  <c r="F1429" i="7"/>
  <c r="F1432" i="7"/>
  <c r="F1435" i="7"/>
  <c r="F1461" i="7"/>
  <c r="F1464" i="7"/>
  <c r="F1467" i="7"/>
  <c r="F1493" i="7"/>
  <c r="F1496" i="7"/>
  <c r="F1499" i="7"/>
  <c r="F1525" i="7"/>
  <c r="F1528" i="7"/>
  <c r="F1531" i="7"/>
  <c r="F1539" i="7"/>
  <c r="F1547" i="7"/>
  <c r="F1555" i="7"/>
  <c r="F1563" i="7"/>
  <c r="F1571" i="7"/>
  <c r="F1579" i="7"/>
  <c r="F1587" i="7"/>
  <c r="F1595" i="7"/>
  <c r="F1603" i="7"/>
  <c r="F1611" i="7"/>
  <c r="F1619" i="7"/>
  <c r="F1627" i="7"/>
  <c r="F1635" i="7"/>
  <c r="F1643" i="7"/>
  <c r="F1651" i="7"/>
  <c r="F1659" i="7"/>
  <c r="F1667" i="7"/>
  <c r="F1675" i="7"/>
  <c r="F1683" i="7"/>
  <c r="F1691" i="7"/>
  <c r="F1699" i="7"/>
  <c r="F1707" i="7"/>
  <c r="F1715" i="7"/>
  <c r="F1723" i="7"/>
  <c r="F1731" i="7"/>
  <c r="F1739" i="7"/>
  <c r="F1747" i="7"/>
  <c r="F1755" i="7"/>
  <c r="F1763" i="7"/>
  <c r="F1771" i="7"/>
  <c r="F1779" i="7"/>
  <c r="F1787" i="7"/>
  <c r="F1795" i="7"/>
  <c r="F1803" i="7"/>
  <c r="F1811" i="7"/>
  <c r="F1819" i="7"/>
  <c r="F1827" i="7"/>
  <c r="F1835" i="7"/>
  <c r="F1843" i="7"/>
  <c r="F1851" i="7"/>
  <c r="F1859" i="7"/>
  <c r="F1867" i="7"/>
  <c r="F1875" i="7"/>
  <c r="F1883" i="7"/>
  <c r="F1891" i="7"/>
  <c r="F1899" i="7"/>
  <c r="F1907" i="7"/>
  <c r="F1915" i="7"/>
  <c r="F1923" i="7"/>
  <c r="F1931" i="7"/>
  <c r="F1939" i="7"/>
  <c r="F1947" i="7"/>
  <c r="F1955" i="7"/>
  <c r="F1963" i="7"/>
  <c r="F1971" i="7"/>
  <c r="F1979" i="7"/>
  <c r="F1987" i="7"/>
  <c r="F1995" i="7"/>
  <c r="F2003" i="7"/>
  <c r="F2011" i="7"/>
  <c r="F2019" i="7"/>
  <c r="F2027" i="7"/>
  <c r="F2035" i="7"/>
  <c r="F2043" i="7"/>
  <c r="F2051" i="7"/>
  <c r="F2059" i="7"/>
  <c r="F2067" i="7"/>
  <c r="F2075" i="7"/>
  <c r="F2083" i="7"/>
  <c r="F2091" i="7"/>
  <c r="F2099" i="7"/>
  <c r="F2107" i="7"/>
  <c r="F2115" i="7"/>
  <c r="F2123" i="7"/>
  <c r="F2131" i="7"/>
  <c r="F2139" i="7"/>
  <c r="F2147" i="7"/>
  <c r="F2155" i="7"/>
  <c r="F2163" i="7"/>
  <c r="F1417" i="7"/>
  <c r="F1420" i="7"/>
  <c r="F1423" i="7"/>
  <c r="F1449" i="7"/>
  <c r="F1452" i="7"/>
  <c r="F1455" i="7"/>
  <c r="F1481" i="7"/>
  <c r="F1484" i="7"/>
  <c r="F1487" i="7"/>
  <c r="F1513" i="7"/>
  <c r="F1516" i="7"/>
  <c r="F1519" i="7"/>
  <c r="F1536" i="7"/>
  <c r="F1544" i="7"/>
  <c r="F1552" i="7"/>
  <c r="F1560" i="7"/>
  <c r="F1568" i="7"/>
  <c r="F1576" i="7"/>
  <c r="F1584" i="7"/>
  <c r="F1592" i="7"/>
  <c r="F1600" i="7"/>
  <c r="F1608" i="7"/>
  <c r="F1616" i="7"/>
  <c r="F1624" i="7"/>
  <c r="F1632" i="7"/>
  <c r="F1640" i="7"/>
  <c r="F1648" i="7"/>
  <c r="F1656" i="7"/>
  <c r="F1664" i="7"/>
  <c r="F1672" i="7"/>
  <c r="F1680" i="7"/>
  <c r="F1688" i="7"/>
  <c r="F1696" i="7"/>
  <c r="F1704" i="7"/>
  <c r="F1712" i="7"/>
  <c r="F1720" i="7"/>
  <c r="F1728" i="7"/>
  <c r="F1736" i="7"/>
  <c r="F1744" i="7"/>
  <c r="F1752" i="7"/>
  <c r="F1760" i="7"/>
  <c r="F1768" i="7"/>
  <c r="F1776" i="7"/>
  <c r="F1784" i="7"/>
  <c r="F1792" i="7"/>
  <c r="F1800" i="7"/>
  <c r="F1808" i="7"/>
  <c r="F1816" i="7"/>
  <c r="F1824" i="7"/>
  <c r="F1832" i="7"/>
  <c r="F1840" i="7"/>
  <c r="F1848" i="7"/>
  <c r="F1856" i="7"/>
  <c r="F1864" i="7"/>
  <c r="F1872" i="7"/>
  <c r="F1880" i="7"/>
  <c r="F1888" i="7"/>
  <c r="F1896" i="7"/>
  <c r="F1904" i="7"/>
  <c r="F1912" i="7"/>
  <c r="F1920" i="7"/>
  <c r="F1928" i="7"/>
  <c r="F1936" i="7"/>
  <c r="F1944" i="7"/>
  <c r="F1952" i="7"/>
  <c r="F1960" i="7"/>
  <c r="F1968" i="7"/>
  <c r="F1976" i="7"/>
  <c r="F1984" i="7"/>
  <c r="F1992" i="7"/>
  <c r="F2000" i="7"/>
  <c r="F2008" i="7"/>
  <c r="F2016" i="7"/>
  <c r="F2024" i="7"/>
  <c r="F2032" i="7"/>
  <c r="F2040" i="7"/>
  <c r="F2048" i="7"/>
  <c r="F2056" i="7"/>
  <c r="F2064" i="7"/>
  <c r="F2072" i="7"/>
  <c r="F2080" i="7"/>
  <c r="F2088" i="7"/>
  <c r="F2096" i="7"/>
  <c r="F2104" i="7"/>
  <c r="F2112" i="7"/>
  <c r="F2120" i="7"/>
  <c r="F2128" i="7"/>
  <c r="F2136" i="7"/>
  <c r="F2144" i="7"/>
  <c r="F2152" i="7"/>
  <c r="F2160" i="7"/>
  <c r="F2168" i="7"/>
  <c r="F1399" i="7"/>
  <c r="F1405" i="7"/>
  <c r="F1408" i="7"/>
  <c r="F1411" i="7"/>
  <c r="F1437" i="7"/>
  <c r="F1440" i="7"/>
  <c r="F1443" i="7"/>
  <c r="F1469" i="7"/>
  <c r="F1472" i="7"/>
  <c r="F1475" i="7"/>
  <c r="F1501" i="7"/>
  <c r="F1504" i="7"/>
  <c r="F1507" i="7"/>
  <c r="F1533" i="7"/>
  <c r="F1541" i="7"/>
  <c r="F1549" i="7"/>
  <c r="F1557" i="7"/>
  <c r="F1565" i="7"/>
  <c r="F1573" i="7"/>
  <c r="F1581" i="7"/>
  <c r="F1589" i="7"/>
  <c r="F1597" i="7"/>
  <c r="F1605" i="7"/>
  <c r="F1613" i="7"/>
  <c r="F1621" i="7"/>
  <c r="F1629" i="7"/>
  <c r="F1637" i="7"/>
  <c r="F1645" i="7"/>
  <c r="F1653" i="7"/>
  <c r="F1661" i="7"/>
  <c r="F1669" i="7"/>
  <c r="F1677" i="7"/>
  <c r="F1685" i="7"/>
  <c r="F1693" i="7"/>
  <c r="F1701" i="7"/>
  <c r="F1709" i="7"/>
  <c r="F1717" i="7"/>
  <c r="F1725" i="7"/>
  <c r="F1733" i="7"/>
  <c r="F1741" i="7"/>
  <c r="F1749" i="7"/>
  <c r="F1757" i="7"/>
  <c r="F1765" i="7"/>
  <c r="F1773" i="7"/>
  <c r="F1781" i="7"/>
  <c r="F1789" i="7"/>
  <c r="F1797" i="7"/>
  <c r="F1805" i="7"/>
  <c r="F1813" i="7"/>
  <c r="F1821" i="7"/>
  <c r="F1829" i="7"/>
  <c r="F1837" i="7"/>
  <c r="F1845" i="7"/>
  <c r="F1853" i="7"/>
  <c r="F1861" i="7"/>
  <c r="F1869" i="7"/>
  <c r="F1877" i="7"/>
  <c r="F1885" i="7"/>
  <c r="F1893" i="7"/>
  <c r="F1901" i="7"/>
  <c r="F1909" i="7"/>
  <c r="F1917" i="7"/>
  <c r="F1925" i="7"/>
  <c r="F1933" i="7"/>
  <c r="F1941" i="7"/>
  <c r="F1949" i="7"/>
  <c r="F1957" i="7"/>
  <c r="F1965" i="7"/>
  <c r="F1973" i="7"/>
  <c r="F1981" i="7"/>
  <c r="F1989" i="7"/>
  <c r="F1997" i="7"/>
  <c r="F2005" i="7"/>
  <c r="F2013" i="7"/>
  <c r="F2021" i="7"/>
  <c r="F2029" i="7"/>
  <c r="F2037" i="7"/>
  <c r="F2045" i="7"/>
  <c r="F2053" i="7"/>
  <c r="F2061" i="7"/>
  <c r="F2069" i="7"/>
  <c r="F2077" i="7"/>
  <c r="F2085" i="7"/>
  <c r="F2093" i="7"/>
  <c r="F2101" i="7"/>
  <c r="F2109" i="7"/>
  <c r="F2117" i="7"/>
  <c r="F2125" i="7"/>
  <c r="F2133" i="7"/>
  <c r="F2141" i="7"/>
  <c r="F2149" i="7"/>
  <c r="F2157" i="7"/>
  <c r="F2165" i="7"/>
  <c r="F1425" i="7"/>
  <c r="F1428" i="7"/>
  <c r="F1431" i="7"/>
  <c r="F1457" i="7"/>
  <c r="F1460" i="7"/>
  <c r="F1463" i="7"/>
  <c r="F1489" i="7"/>
  <c r="F1492" i="7"/>
  <c r="F1495" i="7"/>
  <c r="F1521" i="7"/>
  <c r="F1524" i="7"/>
  <c r="F1527" i="7"/>
  <c r="F1395" i="7"/>
  <c r="F1413" i="7"/>
  <c r="F1416" i="7"/>
  <c r="F1419" i="7"/>
  <c r="F1445" i="7"/>
  <c r="F1448" i="7"/>
  <c r="F1451" i="7"/>
  <c r="F1477" i="7"/>
  <c r="F1480" i="7"/>
  <c r="F1483" i="7"/>
  <c r="F1509" i="7"/>
  <c r="F1512" i="7"/>
  <c r="F1515" i="7"/>
  <c r="F1535" i="7"/>
  <c r="F1543" i="7"/>
  <c r="F1551" i="7"/>
  <c r="F1559" i="7"/>
  <c r="F1567" i="7"/>
  <c r="F1575" i="7"/>
  <c r="F1583" i="7"/>
  <c r="F1591" i="7"/>
  <c r="F1599" i="7"/>
  <c r="F1607" i="7"/>
  <c r="F1615" i="7"/>
  <c r="F1623" i="7"/>
  <c r="F1631" i="7"/>
  <c r="F1639" i="7"/>
  <c r="F1647" i="7"/>
  <c r="F1655" i="7"/>
  <c r="F1663" i="7"/>
  <c r="F1671" i="7"/>
  <c r="F1679" i="7"/>
  <c r="F1687" i="7"/>
  <c r="F1695" i="7"/>
  <c r="F1703" i="7"/>
  <c r="F1711" i="7"/>
  <c r="F1719" i="7"/>
  <c r="F1727" i="7"/>
  <c r="F1735" i="7"/>
  <c r="F1743" i="7"/>
  <c r="F1751" i="7"/>
  <c r="F1759" i="7"/>
  <c r="F1767" i="7"/>
  <c r="F1775" i="7"/>
  <c r="F1783" i="7"/>
  <c r="F1791" i="7"/>
  <c r="F1799" i="7"/>
  <c r="F1807" i="7"/>
  <c r="F1815" i="7"/>
  <c r="F1823" i="7"/>
  <c r="F1831" i="7"/>
  <c r="F1839" i="7"/>
  <c r="F1847" i="7"/>
  <c r="F1855" i="7"/>
  <c r="F1863" i="7"/>
  <c r="F1871" i="7"/>
  <c r="F1879" i="7"/>
  <c r="F1887" i="7"/>
  <c r="F1895" i="7"/>
  <c r="F1903" i="7"/>
  <c r="F1911" i="7"/>
  <c r="F1919" i="7"/>
  <c r="F1927" i="7"/>
  <c r="F1935" i="7"/>
  <c r="F1943" i="7"/>
  <c r="F1951" i="7"/>
  <c r="F1959" i="7"/>
  <c r="F1967" i="7"/>
  <c r="F1975" i="7"/>
  <c r="F1983" i="7"/>
  <c r="F1991" i="7"/>
  <c r="F1999" i="7"/>
  <c r="F2007" i="7"/>
  <c r="F2015" i="7"/>
  <c r="F2023" i="7"/>
  <c r="F2031" i="7"/>
  <c r="F2039" i="7"/>
  <c r="F2047" i="7"/>
  <c r="F2055" i="7"/>
  <c r="F2063" i="7"/>
  <c r="F2071" i="7"/>
  <c r="F2079" i="7"/>
  <c r="F2087" i="7"/>
  <c r="F2095" i="7"/>
  <c r="F2103" i="7"/>
  <c r="F2111" i="7"/>
  <c r="F2119" i="7"/>
  <c r="F2127" i="7"/>
  <c r="F2135" i="7"/>
  <c r="F2143" i="7"/>
  <c r="F2151" i="7"/>
  <c r="F2159" i="7"/>
  <c r="F2167" i="7"/>
  <c r="F1401" i="7"/>
  <c r="F1404" i="7"/>
  <c r="F1407" i="7"/>
  <c r="F1433" i="7"/>
  <c r="F1436" i="7"/>
  <c r="F1439" i="7"/>
  <c r="F1465" i="7"/>
  <c r="F1468" i="7"/>
  <c r="F1471" i="7"/>
  <c r="F1497" i="7"/>
  <c r="F1500" i="7"/>
  <c r="F1503" i="7"/>
  <c r="F1529" i="7"/>
  <c r="F1532" i="7"/>
  <c r="F1540" i="7"/>
  <c r="F1548" i="7"/>
  <c r="F1556" i="7"/>
  <c r="F1564" i="7"/>
  <c r="F1572" i="7"/>
  <c r="F1580" i="7"/>
  <c r="F1588" i="7"/>
  <c r="F1596" i="7"/>
  <c r="F1604" i="7"/>
  <c r="F1612" i="7"/>
  <c r="F1620" i="7"/>
  <c r="F1628" i="7"/>
  <c r="F1636" i="7"/>
  <c r="F1644" i="7"/>
  <c r="F1652" i="7"/>
  <c r="F1660" i="7"/>
  <c r="F1668" i="7"/>
  <c r="F1676" i="7"/>
  <c r="F1684" i="7"/>
  <c r="F1692" i="7"/>
  <c r="F1700" i="7"/>
  <c r="F1708" i="7"/>
  <c r="F1716" i="7"/>
  <c r="F1724" i="7"/>
  <c r="F1732" i="7"/>
  <c r="F1740" i="7"/>
  <c r="F1748" i="7"/>
  <c r="F1756" i="7"/>
  <c r="F1764" i="7"/>
  <c r="F1772" i="7"/>
  <c r="F1780" i="7"/>
  <c r="F1788" i="7"/>
  <c r="F1796" i="7"/>
  <c r="F1804" i="7"/>
  <c r="F1812" i="7"/>
  <c r="F1820" i="7"/>
  <c r="F1828" i="7"/>
  <c r="F1836" i="7"/>
  <c r="F1844" i="7"/>
  <c r="F1852" i="7"/>
  <c r="F1860" i="7"/>
  <c r="F1868" i="7"/>
  <c r="F1876" i="7"/>
  <c r="F1884" i="7"/>
  <c r="F1892" i="7"/>
  <c r="F1900" i="7"/>
  <c r="F1908" i="7"/>
  <c r="F1916" i="7"/>
  <c r="F1924" i="7"/>
  <c r="F1932" i="7"/>
  <c r="F1940" i="7"/>
  <c r="F1948" i="7"/>
  <c r="F1956" i="7"/>
  <c r="F1964" i="7"/>
  <c r="F1972" i="7"/>
  <c r="F1980" i="7"/>
  <c r="F1988" i="7"/>
  <c r="F1996" i="7"/>
  <c r="F2004" i="7"/>
  <c r="F2012" i="7"/>
  <c r="F2020" i="7"/>
  <c r="F2028" i="7"/>
  <c r="F2036" i="7"/>
  <c r="F2044" i="7"/>
  <c r="F2052" i="7"/>
  <c r="F2060" i="7"/>
  <c r="F2068" i="7"/>
  <c r="F2076" i="7"/>
  <c r="F2084" i="7"/>
  <c r="F2092" i="7"/>
  <c r="F2100" i="7"/>
  <c r="F2108" i="7"/>
  <c r="F2116" i="7"/>
  <c r="F2124" i="7"/>
  <c r="F2132" i="7"/>
  <c r="F2140" i="7"/>
  <c r="F2148" i="7"/>
  <c r="F2156" i="7"/>
  <c r="F2164" i="7"/>
  <c r="F2172" i="7"/>
  <c r="F1421" i="7"/>
  <c r="F1424" i="7"/>
  <c r="F1427" i="7"/>
  <c r="F1453" i="7"/>
  <c r="F1456" i="7"/>
  <c r="F1459" i="7"/>
  <c r="F1485" i="7"/>
  <c r="F1488" i="7"/>
  <c r="F1491" i="7"/>
  <c r="F1517" i="7"/>
  <c r="F1520" i="7"/>
  <c r="F1523" i="7"/>
  <c r="F1537" i="7"/>
  <c r="F1545" i="7"/>
  <c r="F1553" i="7"/>
  <c r="F1561" i="7"/>
  <c r="F1569" i="7"/>
  <c r="F1577" i="7"/>
  <c r="F1585" i="7"/>
  <c r="F1593" i="7"/>
  <c r="F1601" i="7"/>
  <c r="F1609" i="7"/>
  <c r="F1617" i="7"/>
  <c r="F1625" i="7"/>
  <c r="F1633" i="7"/>
  <c r="F1641" i="7"/>
  <c r="F1649" i="7"/>
  <c r="F1657" i="7"/>
  <c r="F1665" i="7"/>
  <c r="F1673" i="7"/>
  <c r="F1681" i="7"/>
  <c r="F1689" i="7"/>
  <c r="F1697" i="7"/>
  <c r="F1705" i="7"/>
  <c r="F1713" i="7"/>
  <c r="F1721" i="7"/>
  <c r="F1729" i="7"/>
  <c r="F1737" i="7"/>
  <c r="F1745" i="7"/>
  <c r="F1753" i="7"/>
  <c r="F1761" i="7"/>
  <c r="F1769" i="7"/>
  <c r="F1777" i="7"/>
  <c r="F1785" i="7"/>
  <c r="F1793" i="7"/>
  <c r="F1801" i="7"/>
  <c r="F1809" i="7"/>
  <c r="F1817" i="7"/>
  <c r="F1825" i="7"/>
  <c r="F1833" i="7"/>
  <c r="F1841" i="7"/>
  <c r="F1849" i="7"/>
  <c r="F1857" i="7"/>
  <c r="F1865" i="7"/>
  <c r="F1873" i="7"/>
  <c r="F1881" i="7"/>
  <c r="F1889" i="7"/>
  <c r="F1897" i="7"/>
  <c r="F1905" i="7"/>
  <c r="F1913" i="7"/>
  <c r="F1921" i="7"/>
  <c r="F1929" i="7"/>
  <c r="F1937" i="7"/>
  <c r="F1945" i="7"/>
  <c r="F1953" i="7"/>
  <c r="F1961" i="7"/>
  <c r="F1969" i="7"/>
  <c r="F1977" i="7"/>
  <c r="F1985" i="7"/>
  <c r="F1993" i="7"/>
  <c r="F2001" i="7"/>
  <c r="F2009" i="7"/>
  <c r="F2017" i="7"/>
  <c r="F2025" i="7"/>
  <c r="F2033" i="7"/>
  <c r="F2041" i="7"/>
  <c r="F2049" i="7"/>
  <c r="F2057" i="7"/>
  <c r="F2065" i="7"/>
  <c r="F2073" i="7"/>
  <c r="F2081" i="7"/>
  <c r="F2089" i="7"/>
  <c r="F2097" i="7"/>
  <c r="F2105" i="7"/>
  <c r="F2113" i="7"/>
  <c r="F2121" i="7"/>
  <c r="F2129" i="7"/>
  <c r="F2137" i="7"/>
  <c r="F2145" i="7"/>
  <c r="F2153" i="7"/>
  <c r="F2161" i="7"/>
  <c r="F2169" i="7"/>
  <c r="F2206" i="7"/>
  <c r="F2214" i="7"/>
  <c r="F2222" i="7"/>
  <c r="F2230" i="7"/>
  <c r="F2238" i="7"/>
  <c r="F2246" i="7"/>
  <c r="F2254" i="7"/>
  <c r="F2262" i="7"/>
  <c r="F2270" i="7"/>
  <c r="F2278" i="7"/>
  <c r="F2286" i="7"/>
  <c r="F2294" i="7"/>
  <c r="F2302" i="7"/>
  <c r="F2310" i="7"/>
  <c r="F2318" i="7"/>
  <c r="F2326" i="7"/>
  <c r="F2334" i="7"/>
  <c r="F2342" i="7"/>
  <c r="F2350" i="7"/>
  <c r="F2358" i="7"/>
  <c r="F2366" i="7"/>
  <c r="F2374" i="7"/>
  <c r="F2382" i="7"/>
  <c r="F2390" i="7"/>
  <c r="F2398" i="7"/>
  <c r="F2406" i="7"/>
  <c r="F2414" i="7"/>
  <c r="F2422" i="7"/>
  <c r="F2430" i="7"/>
  <c r="F2438" i="7"/>
  <c r="F2446" i="7"/>
  <c r="F2454" i="7"/>
  <c r="F2462" i="7"/>
  <c r="F2470" i="7"/>
  <c r="F2478" i="7"/>
  <c r="F2486" i="7"/>
  <c r="F2494" i="7"/>
  <c r="F2502" i="7"/>
  <c r="F2510" i="7"/>
  <c r="F2518" i="7"/>
  <c r="F2526" i="7"/>
  <c r="F2534" i="7"/>
  <c r="F2542" i="7"/>
  <c r="F2550" i="7"/>
  <c r="F2558" i="7"/>
  <c r="F2566" i="7"/>
  <c r="F2574" i="7"/>
  <c r="F2582" i="7"/>
  <c r="F2590" i="7"/>
  <c r="F2598" i="7"/>
  <c r="F2606" i="7"/>
  <c r="F2614" i="7"/>
  <c r="F2622" i="7"/>
  <c r="F2630" i="7"/>
  <c r="F2638" i="7"/>
  <c r="F2646" i="7"/>
  <c r="F2654" i="7"/>
  <c r="F2662" i="7"/>
  <c r="F2670" i="7"/>
  <c r="F2678" i="7"/>
  <c r="F2686" i="7"/>
  <c r="F2694" i="7"/>
  <c r="F2702" i="7"/>
  <c r="F2710" i="7"/>
  <c r="F2718" i="7"/>
  <c r="F2726" i="7"/>
  <c r="F2734" i="7"/>
  <c r="F2742" i="7"/>
  <c r="F2750" i="7"/>
  <c r="F2758" i="7"/>
  <c r="F2766" i="7"/>
  <c r="F2774" i="7"/>
  <c r="F2782" i="7"/>
  <c r="F2790" i="7"/>
  <c r="F2798" i="7"/>
  <c r="F2806" i="7"/>
  <c r="F2814" i="7"/>
  <c r="F2822" i="7"/>
  <c r="F2830" i="7"/>
  <c r="F2838" i="7"/>
  <c r="F2846" i="7"/>
  <c r="F2854" i="7"/>
  <c r="F2862" i="7"/>
  <c r="F2870" i="7"/>
  <c r="F2878" i="7"/>
  <c r="F2886" i="7"/>
  <c r="F2894" i="7"/>
  <c r="F2902" i="7"/>
  <c r="F2910" i="7"/>
  <c r="F2918" i="7"/>
  <c r="F2926" i="7"/>
  <c r="F2934" i="7"/>
  <c r="F2942" i="7"/>
  <c r="F2950" i="7"/>
  <c r="F2958" i="7"/>
  <c r="F2966" i="7"/>
  <c r="F2974" i="7"/>
  <c r="F2982" i="7"/>
  <c r="F2990" i="7"/>
  <c r="F2998" i="7"/>
  <c r="F3006" i="7"/>
  <c r="F3014" i="7"/>
  <c r="F3022" i="7"/>
  <c r="F3030" i="7"/>
  <c r="F3038" i="7"/>
  <c r="F3046" i="7"/>
  <c r="F3054" i="7"/>
  <c r="CM24" i="7" s="1"/>
  <c r="F3062" i="7"/>
  <c r="F3070" i="7"/>
  <c r="F3078" i="7"/>
  <c r="F3086" i="7"/>
  <c r="F3094" i="7"/>
  <c r="F3102" i="7"/>
  <c r="F3110" i="7"/>
  <c r="F3118" i="7"/>
  <c r="F3126" i="7"/>
  <c r="F3134" i="7"/>
  <c r="F3142" i="7"/>
  <c r="F3150" i="7"/>
  <c r="F3158" i="7"/>
  <c r="F3166" i="7"/>
  <c r="F3174" i="7"/>
  <c r="F3182" i="7"/>
  <c r="F3190" i="7"/>
  <c r="F3198" i="7"/>
  <c r="F3206" i="7"/>
  <c r="F3214" i="7"/>
  <c r="F3222" i="7"/>
  <c r="F3230" i="7"/>
  <c r="F3238" i="7"/>
  <c r="F3246" i="7"/>
  <c r="F3254" i="7"/>
  <c r="F3262" i="7"/>
  <c r="F3270" i="7"/>
  <c r="F3278" i="7"/>
  <c r="F3286" i="7"/>
  <c r="F3294" i="7"/>
  <c r="F2211" i="7"/>
  <c r="F2219" i="7"/>
  <c r="F2227" i="7"/>
  <c r="F2235" i="7"/>
  <c r="F2243" i="7"/>
  <c r="F2251" i="7"/>
  <c r="F2259" i="7"/>
  <c r="F2267" i="7"/>
  <c r="F2275" i="7"/>
  <c r="F2283" i="7"/>
  <c r="F2291" i="7"/>
  <c r="F2299" i="7"/>
  <c r="F2307" i="7"/>
  <c r="F2315" i="7"/>
  <c r="F2323" i="7"/>
  <c r="F2331" i="7"/>
  <c r="F2339" i="7"/>
  <c r="F2347" i="7"/>
  <c r="F2355" i="7"/>
  <c r="F2363" i="7"/>
  <c r="F2371" i="7"/>
  <c r="F2379" i="7"/>
  <c r="F2387" i="7"/>
  <c r="F2395" i="7"/>
  <c r="F2403" i="7"/>
  <c r="F2411" i="7"/>
  <c r="F2419" i="7"/>
  <c r="F2427" i="7"/>
  <c r="F2435" i="7"/>
  <c r="F2443" i="7"/>
  <c r="F2451" i="7"/>
  <c r="F2459" i="7"/>
  <c r="F2467" i="7"/>
  <c r="F2475" i="7"/>
  <c r="F2483" i="7"/>
  <c r="F2491" i="7"/>
  <c r="F2499" i="7"/>
  <c r="F2507" i="7"/>
  <c r="F2515" i="7"/>
  <c r="F2523" i="7"/>
  <c r="F2531" i="7"/>
  <c r="F2539" i="7"/>
  <c r="F2547" i="7"/>
  <c r="F2555" i="7"/>
  <c r="F2563" i="7"/>
  <c r="F2571" i="7"/>
  <c r="F2579" i="7"/>
  <c r="F2587" i="7"/>
  <c r="F2595" i="7"/>
  <c r="F2603" i="7"/>
  <c r="F2611" i="7"/>
  <c r="F2619" i="7"/>
  <c r="F2627" i="7"/>
  <c r="F2635" i="7"/>
  <c r="F2643" i="7"/>
  <c r="F2651" i="7"/>
  <c r="F2659" i="7"/>
  <c r="F2667" i="7"/>
  <c r="F2675" i="7"/>
  <c r="F2683" i="7"/>
  <c r="F2691" i="7"/>
  <c r="F2699" i="7"/>
  <c r="F2707" i="7"/>
  <c r="F2715" i="7"/>
  <c r="F2723" i="7"/>
  <c r="F2731" i="7"/>
  <c r="F2739" i="7"/>
  <c r="F2747" i="7"/>
  <c r="F2755" i="7"/>
  <c r="F2763" i="7"/>
  <c r="F2771" i="7"/>
  <c r="F2779" i="7"/>
  <c r="F2787" i="7"/>
  <c r="F2795" i="7"/>
  <c r="F2803" i="7"/>
  <c r="F2811" i="7"/>
  <c r="F2819" i="7"/>
  <c r="F2827" i="7"/>
  <c r="F2835" i="7"/>
  <c r="F2843" i="7"/>
  <c r="F2851" i="7"/>
  <c r="F2859" i="7"/>
  <c r="F2867" i="7"/>
  <c r="F2875" i="7"/>
  <c r="F2883" i="7"/>
  <c r="F2891" i="7"/>
  <c r="F2899" i="7"/>
  <c r="F2907" i="7"/>
  <c r="F2915" i="7"/>
  <c r="F2923" i="7"/>
  <c r="F2931" i="7"/>
  <c r="F2939" i="7"/>
  <c r="F2947" i="7"/>
  <c r="F2955" i="7"/>
  <c r="F2963" i="7"/>
  <c r="F2971" i="7"/>
  <c r="F2979" i="7"/>
  <c r="F2987" i="7"/>
  <c r="F2995" i="7"/>
  <c r="F3003" i="7"/>
  <c r="F3011" i="7"/>
  <c r="F3019" i="7"/>
  <c r="F3027" i="7"/>
  <c r="F3035" i="7"/>
  <c r="F3043" i="7"/>
  <c r="F3051" i="7"/>
  <c r="F3059" i="7"/>
  <c r="F3067" i="7"/>
  <c r="F3075" i="7"/>
  <c r="F3083" i="7"/>
  <c r="F3091" i="7"/>
  <c r="F3099" i="7"/>
  <c r="F3107" i="7"/>
  <c r="F3115" i="7"/>
  <c r="F3123" i="7"/>
  <c r="F3131" i="7"/>
  <c r="F3139" i="7"/>
  <c r="F3147" i="7"/>
  <c r="F3155" i="7"/>
  <c r="F3163" i="7"/>
  <c r="F3171" i="7"/>
  <c r="F3179" i="7"/>
  <c r="F3187" i="7"/>
  <c r="F3195" i="7"/>
  <c r="F3203" i="7"/>
  <c r="F3211" i="7"/>
  <c r="F3219" i="7"/>
  <c r="F3227" i="7"/>
  <c r="F3235" i="7"/>
  <c r="F3243" i="7"/>
  <c r="F3251" i="7"/>
  <c r="F3259" i="7"/>
  <c r="F3267" i="7"/>
  <c r="F3275" i="7"/>
  <c r="F3283" i="7"/>
  <c r="F3291" i="7"/>
  <c r="F3299" i="7"/>
  <c r="F3307" i="7"/>
  <c r="F3315" i="7"/>
  <c r="F3331" i="7"/>
  <c r="F2208" i="7"/>
  <c r="F2216" i="7"/>
  <c r="F2224" i="7"/>
  <c r="F2232" i="7"/>
  <c r="F2240" i="7"/>
  <c r="F2248" i="7"/>
  <c r="F2256" i="7"/>
  <c r="F2264" i="7"/>
  <c r="F2272" i="7"/>
  <c r="F2280" i="7"/>
  <c r="F2288" i="7"/>
  <c r="F2296" i="7"/>
  <c r="F2304" i="7"/>
  <c r="F2312" i="7"/>
  <c r="F2320" i="7"/>
  <c r="F2328" i="7"/>
  <c r="F2336" i="7"/>
  <c r="F2344" i="7"/>
  <c r="F2352" i="7"/>
  <c r="F2360" i="7"/>
  <c r="F2368" i="7"/>
  <c r="F2376" i="7"/>
  <c r="F2384" i="7"/>
  <c r="F2392" i="7"/>
  <c r="F2400" i="7"/>
  <c r="F2408" i="7"/>
  <c r="F2416" i="7"/>
  <c r="F2424" i="7"/>
  <c r="F2432" i="7"/>
  <c r="F2440" i="7"/>
  <c r="F2448" i="7"/>
  <c r="F2456" i="7"/>
  <c r="F2464" i="7"/>
  <c r="F2472" i="7"/>
  <c r="F2480" i="7"/>
  <c r="F2488" i="7"/>
  <c r="F2496" i="7"/>
  <c r="F2504" i="7"/>
  <c r="F2512" i="7"/>
  <c r="F2520" i="7"/>
  <c r="F2528" i="7"/>
  <c r="F2536" i="7"/>
  <c r="F2544" i="7"/>
  <c r="F2552" i="7"/>
  <c r="F2560" i="7"/>
  <c r="F2568" i="7"/>
  <c r="F2576" i="7"/>
  <c r="F2584" i="7"/>
  <c r="F2592" i="7"/>
  <c r="F2600" i="7"/>
  <c r="F2608" i="7"/>
  <c r="F2616" i="7"/>
  <c r="F2624" i="7"/>
  <c r="F2632" i="7"/>
  <c r="F2640" i="7"/>
  <c r="F2648" i="7"/>
  <c r="F2656" i="7"/>
  <c r="F2664" i="7"/>
  <c r="F2672" i="7"/>
  <c r="F2680" i="7"/>
  <c r="F2688" i="7"/>
  <c r="F2696" i="7"/>
  <c r="F2704" i="7"/>
  <c r="F2712" i="7"/>
  <c r="F2720" i="7"/>
  <c r="F2728" i="7"/>
  <c r="F2736" i="7"/>
  <c r="F2744" i="7"/>
  <c r="F2752" i="7"/>
  <c r="F2760" i="7"/>
  <c r="F2768" i="7"/>
  <c r="F2776" i="7"/>
  <c r="F2784" i="7"/>
  <c r="F2792" i="7"/>
  <c r="F2800" i="7"/>
  <c r="F2808" i="7"/>
  <c r="F2816" i="7"/>
  <c r="F2824" i="7"/>
  <c r="F2832" i="7"/>
  <c r="F2840" i="7"/>
  <c r="F2848" i="7"/>
  <c r="F2856" i="7"/>
  <c r="F2864" i="7"/>
  <c r="F2872" i="7"/>
  <c r="F2880" i="7"/>
  <c r="F2888" i="7"/>
  <c r="F2896" i="7"/>
  <c r="F2904" i="7"/>
  <c r="F2912" i="7"/>
  <c r="F2920" i="7"/>
  <c r="F2928" i="7"/>
  <c r="F2936" i="7"/>
  <c r="F2944" i="7"/>
  <c r="F2952" i="7"/>
  <c r="F2960" i="7"/>
  <c r="F2968" i="7"/>
  <c r="F2976" i="7"/>
  <c r="F2984" i="7"/>
  <c r="F2992" i="7"/>
  <c r="F3000" i="7"/>
  <c r="F3008" i="7"/>
  <c r="F3016" i="7"/>
  <c r="F3024" i="7"/>
  <c r="F3032" i="7"/>
  <c r="F3040" i="7"/>
  <c r="F3048" i="7"/>
  <c r="F3056" i="7"/>
  <c r="F3064" i="7"/>
  <c r="F3072" i="7"/>
  <c r="F3080" i="7"/>
  <c r="F3088" i="7"/>
  <c r="F3096" i="7"/>
  <c r="F3104" i="7"/>
  <c r="CN23" i="7" s="1"/>
  <c r="F3112" i="7"/>
  <c r="F3120" i="7"/>
  <c r="F3128" i="7"/>
  <c r="F3136" i="7"/>
  <c r="F3144" i="7"/>
  <c r="F3152" i="7"/>
  <c r="F3160" i="7"/>
  <c r="F3168" i="7"/>
  <c r="F3176" i="7"/>
  <c r="F3184" i="7"/>
  <c r="F3192" i="7"/>
  <c r="F3200" i="7"/>
  <c r="F3208" i="7"/>
  <c r="F3216" i="7"/>
  <c r="F3224" i="7"/>
  <c r="F3232" i="7"/>
  <c r="F3240" i="7"/>
  <c r="F3248" i="7"/>
  <c r="F3256" i="7"/>
  <c r="F3264" i="7"/>
  <c r="F3272" i="7"/>
  <c r="F3280" i="7"/>
  <c r="F3288" i="7"/>
  <c r="F3296" i="7"/>
  <c r="F3304" i="7"/>
  <c r="F3312" i="7"/>
  <c r="F3320" i="7"/>
  <c r="F3328" i="7"/>
  <c r="F3336" i="7"/>
  <c r="F3344" i="7"/>
  <c r="F3352" i="7"/>
  <c r="F2213" i="7"/>
  <c r="F2221" i="7"/>
  <c r="F2229" i="7"/>
  <c r="F2237" i="7"/>
  <c r="F2245" i="7"/>
  <c r="F2253" i="7"/>
  <c r="F2261" i="7"/>
  <c r="F2269" i="7"/>
  <c r="F2277" i="7"/>
  <c r="F2285" i="7"/>
  <c r="F2293" i="7"/>
  <c r="F2301" i="7"/>
  <c r="F2309" i="7"/>
  <c r="F2317" i="7"/>
  <c r="F2325" i="7"/>
  <c r="F2333" i="7"/>
  <c r="F2341" i="7"/>
  <c r="F2349" i="7"/>
  <c r="F2357" i="7"/>
  <c r="F2365" i="7"/>
  <c r="F2373" i="7"/>
  <c r="F2381" i="7"/>
  <c r="F2389" i="7"/>
  <c r="F2397" i="7"/>
  <c r="F2405" i="7"/>
  <c r="F2413" i="7"/>
  <c r="F2421" i="7"/>
  <c r="F2429" i="7"/>
  <c r="F2437" i="7"/>
  <c r="F2445" i="7"/>
  <c r="F2453" i="7"/>
  <c r="F2461" i="7"/>
  <c r="F2469" i="7"/>
  <c r="F2477" i="7"/>
  <c r="F2485" i="7"/>
  <c r="F2493" i="7"/>
  <c r="F2501" i="7"/>
  <c r="F2509" i="7"/>
  <c r="F2517" i="7"/>
  <c r="F2525" i="7"/>
  <c r="F2533" i="7"/>
  <c r="F2541" i="7"/>
  <c r="F2549" i="7"/>
  <c r="F2557" i="7"/>
  <c r="F2565" i="7"/>
  <c r="F2573" i="7"/>
  <c r="F2581" i="7"/>
  <c r="F2589" i="7"/>
  <c r="F2597" i="7"/>
  <c r="F2605" i="7"/>
  <c r="F2613" i="7"/>
  <c r="F2621" i="7"/>
  <c r="F2629" i="7"/>
  <c r="F2637" i="7"/>
  <c r="F2645" i="7"/>
  <c r="F2653" i="7"/>
  <c r="F2661" i="7"/>
  <c r="F2669" i="7"/>
  <c r="F2677" i="7"/>
  <c r="F2685" i="7"/>
  <c r="F2693" i="7"/>
  <c r="F2701" i="7"/>
  <c r="F2709" i="7"/>
  <c r="F2717" i="7"/>
  <c r="F2725" i="7"/>
  <c r="F2733" i="7"/>
  <c r="F2741" i="7"/>
  <c r="F2749" i="7"/>
  <c r="F2757" i="7"/>
  <c r="F2765" i="7"/>
  <c r="F2773" i="7"/>
  <c r="F2781" i="7"/>
  <c r="F2789" i="7"/>
  <c r="F2797" i="7"/>
  <c r="F2805" i="7"/>
  <c r="F2813" i="7"/>
  <c r="F2821" i="7"/>
  <c r="F2829" i="7"/>
  <c r="F2837" i="7"/>
  <c r="F2845" i="7"/>
  <c r="F2853" i="7"/>
  <c r="F2861" i="7"/>
  <c r="F2869" i="7"/>
  <c r="F2877" i="7"/>
  <c r="F2885" i="7"/>
  <c r="F2893" i="7"/>
  <c r="F2901" i="7"/>
  <c r="F2909" i="7"/>
  <c r="F2917" i="7"/>
  <c r="F2925" i="7"/>
  <c r="F2933" i="7"/>
  <c r="F2941" i="7"/>
  <c r="F2949" i="7"/>
  <c r="F2957" i="7"/>
  <c r="F2965" i="7"/>
  <c r="F2973" i="7"/>
  <c r="F2981" i="7"/>
  <c r="F2989" i="7"/>
  <c r="F2997" i="7"/>
  <c r="F3005" i="7"/>
  <c r="F3013" i="7"/>
  <c r="F3021" i="7"/>
  <c r="F3029" i="7"/>
  <c r="F3037" i="7"/>
  <c r="F3045" i="7"/>
  <c r="F3053" i="7"/>
  <c r="F3061" i="7"/>
  <c r="F3069" i="7"/>
  <c r="F3077" i="7"/>
  <c r="F3085" i="7"/>
  <c r="F3093" i="7"/>
  <c r="F3101" i="7"/>
  <c r="F3109" i="7"/>
  <c r="F3117" i="7"/>
  <c r="F3125" i="7"/>
  <c r="F3133" i="7"/>
  <c r="F3141" i="7"/>
  <c r="F3149" i="7"/>
  <c r="F3157" i="7"/>
  <c r="F3165" i="7"/>
  <c r="F3173" i="7"/>
  <c r="F3181" i="7"/>
  <c r="F3189" i="7"/>
  <c r="F2210" i="7"/>
  <c r="F2218" i="7"/>
  <c r="F2226" i="7"/>
  <c r="F2234" i="7"/>
  <c r="F2242" i="7"/>
  <c r="F2250" i="7"/>
  <c r="F2258" i="7"/>
  <c r="F2266" i="7"/>
  <c r="F2274" i="7"/>
  <c r="F2282" i="7"/>
  <c r="F2290" i="7"/>
  <c r="F2298" i="7"/>
  <c r="F2306" i="7"/>
  <c r="F2314" i="7"/>
  <c r="F2322" i="7"/>
  <c r="F2330" i="7"/>
  <c r="F2338" i="7"/>
  <c r="F2346" i="7"/>
  <c r="F2354" i="7"/>
  <c r="F2362" i="7"/>
  <c r="F2370" i="7"/>
  <c r="F2378" i="7"/>
  <c r="F2386" i="7"/>
  <c r="F2394" i="7"/>
  <c r="F2402" i="7"/>
  <c r="F2410" i="7"/>
  <c r="F2418" i="7"/>
  <c r="F2426" i="7"/>
  <c r="F2434" i="7"/>
  <c r="F2442" i="7"/>
  <c r="F2450" i="7"/>
  <c r="F2458" i="7"/>
  <c r="F2466" i="7"/>
  <c r="F2474" i="7"/>
  <c r="F2482" i="7"/>
  <c r="F2490" i="7"/>
  <c r="F2498" i="7"/>
  <c r="F2506" i="7"/>
  <c r="F2514" i="7"/>
  <c r="F2522" i="7"/>
  <c r="F2530" i="7"/>
  <c r="F2538" i="7"/>
  <c r="F2546" i="7"/>
  <c r="F2554" i="7"/>
  <c r="F2562" i="7"/>
  <c r="F2570" i="7"/>
  <c r="F2578" i="7"/>
  <c r="F2586" i="7"/>
  <c r="F2594" i="7"/>
  <c r="F2602" i="7"/>
  <c r="F2610" i="7"/>
  <c r="F2618" i="7"/>
  <c r="F2626" i="7"/>
  <c r="F2634" i="7"/>
  <c r="F2642" i="7"/>
  <c r="F2650" i="7"/>
  <c r="F2658" i="7"/>
  <c r="F2666" i="7"/>
  <c r="F2674" i="7"/>
  <c r="F2682" i="7"/>
  <c r="F2690" i="7"/>
  <c r="F2698" i="7"/>
  <c r="F2706" i="7"/>
  <c r="F2714" i="7"/>
  <c r="F2722" i="7"/>
  <c r="F2730" i="7"/>
  <c r="F2738" i="7"/>
  <c r="F2746" i="7"/>
  <c r="F2754" i="7"/>
  <c r="F2762" i="7"/>
  <c r="F2770" i="7"/>
  <c r="F2778" i="7"/>
  <c r="F2786" i="7"/>
  <c r="F2794" i="7"/>
  <c r="F2802" i="7"/>
  <c r="F2810" i="7"/>
  <c r="F2818" i="7"/>
  <c r="F2826" i="7"/>
  <c r="F2834" i="7"/>
  <c r="F2842" i="7"/>
  <c r="F2850" i="7"/>
  <c r="F2858" i="7"/>
  <c r="F2866" i="7"/>
  <c r="F2874" i="7"/>
  <c r="F2882" i="7"/>
  <c r="F2890" i="7"/>
  <c r="F2898" i="7"/>
  <c r="F2906" i="7"/>
  <c r="F2914" i="7"/>
  <c r="F2922" i="7"/>
  <c r="F2930" i="7"/>
  <c r="F2938" i="7"/>
  <c r="F2946" i="7"/>
  <c r="F2954" i="7"/>
  <c r="F2962" i="7"/>
  <c r="F2970" i="7"/>
  <c r="F2978" i="7"/>
  <c r="F2986" i="7"/>
  <c r="F2994" i="7"/>
  <c r="F3002" i="7"/>
  <c r="F3010" i="7"/>
  <c r="F3018" i="7"/>
  <c r="F3026" i="7"/>
  <c r="F3034" i="7"/>
  <c r="F3042" i="7"/>
  <c r="F3050" i="7"/>
  <c r="F3058" i="7"/>
  <c r="CM23" i="7" s="1"/>
  <c r="F3066" i="7"/>
  <c r="F3074" i="7"/>
  <c r="F3082" i="7"/>
  <c r="F3090" i="7"/>
  <c r="F3098" i="7"/>
  <c r="F3106" i="7"/>
  <c r="F3114" i="7"/>
  <c r="F3122" i="7"/>
  <c r="F3130" i="7"/>
  <c r="F3138" i="7"/>
  <c r="F3146" i="7"/>
  <c r="F3154" i="7"/>
  <c r="F3162" i="7"/>
  <c r="F3170" i="7"/>
  <c r="F3178" i="7"/>
  <c r="F3186" i="7"/>
  <c r="F3194" i="7"/>
  <c r="F3202" i="7"/>
  <c r="F3210" i="7"/>
  <c r="F3218" i="7"/>
  <c r="F3226" i="7"/>
  <c r="F3234" i="7"/>
  <c r="F3242" i="7"/>
  <c r="F3250" i="7"/>
  <c r="F3258" i="7"/>
  <c r="F3266" i="7"/>
  <c r="F3274" i="7"/>
  <c r="F3282" i="7"/>
  <c r="F3290" i="7"/>
  <c r="F3298" i="7"/>
  <c r="F2207" i="7"/>
  <c r="F2215" i="7"/>
  <c r="F2223" i="7"/>
  <c r="F2231" i="7"/>
  <c r="F2239" i="7"/>
  <c r="F2247" i="7"/>
  <c r="F2255" i="7"/>
  <c r="F2263" i="7"/>
  <c r="F2271" i="7"/>
  <c r="F2279" i="7"/>
  <c r="F2287" i="7"/>
  <c r="F2295" i="7"/>
  <c r="F2303" i="7"/>
  <c r="F2311" i="7"/>
  <c r="F2319" i="7"/>
  <c r="F2327" i="7"/>
  <c r="F2335" i="7"/>
  <c r="F2343" i="7"/>
  <c r="F2351" i="7"/>
  <c r="F2359" i="7"/>
  <c r="F2367" i="7"/>
  <c r="F2375" i="7"/>
  <c r="F2383" i="7"/>
  <c r="F2391" i="7"/>
  <c r="F2399" i="7"/>
  <c r="F2407" i="7"/>
  <c r="F2415" i="7"/>
  <c r="F2423" i="7"/>
  <c r="F2431" i="7"/>
  <c r="F2439" i="7"/>
  <c r="F2447" i="7"/>
  <c r="F2455" i="7"/>
  <c r="F2463" i="7"/>
  <c r="F2471" i="7"/>
  <c r="F2479" i="7"/>
  <c r="F2487" i="7"/>
  <c r="F2495" i="7"/>
  <c r="F2503" i="7"/>
  <c r="F2511" i="7"/>
  <c r="F2519" i="7"/>
  <c r="F2527" i="7"/>
  <c r="F2535" i="7"/>
  <c r="F2543" i="7"/>
  <c r="F2551" i="7"/>
  <c r="F2559" i="7"/>
  <c r="F2567" i="7"/>
  <c r="F2575" i="7"/>
  <c r="F2583" i="7"/>
  <c r="F2591" i="7"/>
  <c r="F2599" i="7"/>
  <c r="F2607" i="7"/>
  <c r="F2615" i="7"/>
  <c r="F2623" i="7"/>
  <c r="F2631" i="7"/>
  <c r="F2639" i="7"/>
  <c r="F2647" i="7"/>
  <c r="F2655" i="7"/>
  <c r="F2663" i="7"/>
  <c r="F2671" i="7"/>
  <c r="F2679" i="7"/>
  <c r="F2687" i="7"/>
  <c r="F2695" i="7"/>
  <c r="F2703" i="7"/>
  <c r="F2711" i="7"/>
  <c r="F2719" i="7"/>
  <c r="F2727" i="7"/>
  <c r="F2735" i="7"/>
  <c r="F2743" i="7"/>
  <c r="F2751" i="7"/>
  <c r="F2759" i="7"/>
  <c r="F2767" i="7"/>
  <c r="F2775" i="7"/>
  <c r="F2783" i="7"/>
  <c r="F2791" i="7"/>
  <c r="F2799" i="7"/>
  <c r="F2807" i="7"/>
  <c r="F2815" i="7"/>
  <c r="F2823" i="7"/>
  <c r="F2831" i="7"/>
  <c r="F2839" i="7"/>
  <c r="F2847" i="7"/>
  <c r="F2855" i="7"/>
  <c r="F2863" i="7"/>
  <c r="F2871" i="7"/>
  <c r="F2879" i="7"/>
  <c r="F2887" i="7"/>
  <c r="F2895" i="7"/>
  <c r="F2903" i="7"/>
  <c r="F2911" i="7"/>
  <c r="F2919" i="7"/>
  <c r="F2927" i="7"/>
  <c r="F2935" i="7"/>
  <c r="F2943" i="7"/>
  <c r="F2951" i="7"/>
  <c r="F2959" i="7"/>
  <c r="F2967" i="7"/>
  <c r="F2975" i="7"/>
  <c r="F2983" i="7"/>
  <c r="F2991" i="7"/>
  <c r="F2999" i="7"/>
  <c r="F3007" i="7"/>
  <c r="F3015" i="7"/>
  <c r="F3023" i="7"/>
  <c r="F3031" i="7"/>
  <c r="F3039" i="7"/>
  <c r="F3047" i="7"/>
  <c r="F3055" i="7"/>
  <c r="F3063" i="7"/>
  <c r="F3071" i="7"/>
  <c r="F3079" i="7"/>
  <c r="F3087" i="7"/>
  <c r="F3095" i="7"/>
  <c r="F3103" i="7"/>
  <c r="F3111" i="7"/>
  <c r="F3119" i="7"/>
  <c r="F3127" i="7"/>
  <c r="F3135" i="7"/>
  <c r="F3143" i="7"/>
  <c r="F3151" i="7"/>
  <c r="F3159" i="7"/>
  <c r="F3167" i="7"/>
  <c r="F3175" i="7"/>
  <c r="F3183" i="7"/>
  <c r="F3191" i="7"/>
  <c r="F3199" i="7"/>
  <c r="F3207" i="7"/>
  <c r="F3215" i="7"/>
  <c r="F3223" i="7"/>
  <c r="F3231" i="7"/>
  <c r="F3239" i="7"/>
  <c r="F3247" i="7"/>
  <c r="F3255" i="7"/>
  <c r="F3263" i="7"/>
  <c r="F3271" i="7"/>
  <c r="F3279" i="7"/>
  <c r="F3287" i="7"/>
  <c r="F3295" i="7"/>
  <c r="F3303" i="7"/>
  <c r="F3311" i="7"/>
  <c r="F3319" i="7"/>
  <c r="F2212" i="7"/>
  <c r="F2220" i="7"/>
  <c r="F2228" i="7"/>
  <c r="F2236" i="7"/>
  <c r="F2244" i="7"/>
  <c r="F2252" i="7"/>
  <c r="F2260" i="7"/>
  <c r="F2268" i="7"/>
  <c r="F2276" i="7"/>
  <c r="F2284" i="7"/>
  <c r="F2292" i="7"/>
  <c r="F2300" i="7"/>
  <c r="F2308" i="7"/>
  <c r="F2316" i="7"/>
  <c r="F2324" i="7"/>
  <c r="F2332" i="7"/>
  <c r="F2340" i="7"/>
  <c r="F2348" i="7"/>
  <c r="F2356" i="7"/>
  <c r="F2364" i="7"/>
  <c r="F2372" i="7"/>
  <c r="F2380" i="7"/>
  <c r="F2388" i="7"/>
  <c r="F2396" i="7"/>
  <c r="F2404" i="7"/>
  <c r="F2412" i="7"/>
  <c r="F2420" i="7"/>
  <c r="F2428" i="7"/>
  <c r="F2436" i="7"/>
  <c r="F2444" i="7"/>
  <c r="F2452" i="7"/>
  <c r="F2460" i="7"/>
  <c r="F2468" i="7"/>
  <c r="F2476" i="7"/>
  <c r="F2484" i="7"/>
  <c r="F2492" i="7"/>
  <c r="F2500" i="7"/>
  <c r="F2508" i="7"/>
  <c r="F2516" i="7"/>
  <c r="F2524" i="7"/>
  <c r="F2532" i="7"/>
  <c r="F2540" i="7"/>
  <c r="F2548" i="7"/>
  <c r="F2556" i="7"/>
  <c r="F2564" i="7"/>
  <c r="F2572" i="7"/>
  <c r="F2580" i="7"/>
  <c r="F2588" i="7"/>
  <c r="F2596" i="7"/>
  <c r="F2604" i="7"/>
  <c r="F2612" i="7"/>
  <c r="F2620" i="7"/>
  <c r="F2628" i="7"/>
  <c r="F2636" i="7"/>
  <c r="F2644" i="7"/>
  <c r="F2652" i="7"/>
  <c r="F2660" i="7"/>
  <c r="F2668" i="7"/>
  <c r="F2676" i="7"/>
  <c r="F2684" i="7"/>
  <c r="F2692" i="7"/>
  <c r="F2700" i="7"/>
  <c r="F2708" i="7"/>
  <c r="F2716" i="7"/>
  <c r="F2724" i="7"/>
  <c r="F2732" i="7"/>
  <c r="F2740" i="7"/>
  <c r="F2748" i="7"/>
  <c r="F2756" i="7"/>
  <c r="F2764" i="7"/>
  <c r="F2772" i="7"/>
  <c r="F2780" i="7"/>
  <c r="F2788" i="7"/>
  <c r="F2796" i="7"/>
  <c r="F2804" i="7"/>
  <c r="F2812" i="7"/>
  <c r="F2820" i="7"/>
  <c r="F2828" i="7"/>
  <c r="F2836" i="7"/>
  <c r="F2844" i="7"/>
  <c r="F2852" i="7"/>
  <c r="F2860" i="7"/>
  <c r="F2868" i="7"/>
  <c r="F2876" i="7"/>
  <c r="F2884" i="7"/>
  <c r="F2892" i="7"/>
  <c r="F2900" i="7"/>
  <c r="F2908" i="7"/>
  <c r="F2916" i="7"/>
  <c r="F2924" i="7"/>
  <c r="F2932" i="7"/>
  <c r="F2940" i="7"/>
  <c r="F2948" i="7"/>
  <c r="F2956" i="7"/>
  <c r="F2964" i="7"/>
  <c r="F2972" i="7"/>
  <c r="F2980" i="7"/>
  <c r="F2988" i="7"/>
  <c r="F2996" i="7"/>
  <c r="F3004" i="7"/>
  <c r="F3012" i="7"/>
  <c r="F3020" i="7"/>
  <c r="F3028" i="7"/>
  <c r="F3036" i="7"/>
  <c r="F3044" i="7"/>
  <c r="F3052" i="7"/>
  <c r="F3060" i="7"/>
  <c r="F3068" i="7"/>
  <c r="F3076" i="7"/>
  <c r="F3084" i="7"/>
  <c r="F3092" i="7"/>
  <c r="F3100" i="7"/>
  <c r="F3108" i="7"/>
  <c r="F3116" i="7"/>
  <c r="F3124" i="7"/>
  <c r="F3132" i="7"/>
  <c r="F3140" i="7"/>
  <c r="F3148" i="7"/>
  <c r="F3156" i="7"/>
  <c r="F3164" i="7"/>
  <c r="F3172" i="7"/>
  <c r="F3180" i="7"/>
  <c r="F3188" i="7"/>
  <c r="F3196" i="7"/>
  <c r="F3204" i="7"/>
  <c r="F3212" i="7"/>
  <c r="F3220" i="7"/>
  <c r="F3228" i="7"/>
  <c r="F3236" i="7"/>
  <c r="F3244" i="7"/>
  <c r="F3252" i="7"/>
  <c r="F3260" i="7"/>
  <c r="F3268" i="7"/>
  <c r="F3276" i="7"/>
  <c r="F3284" i="7"/>
  <c r="F3292" i="7"/>
  <c r="F3300" i="7"/>
  <c r="F3308" i="7"/>
  <c r="F3316" i="7"/>
  <c r="F3340" i="7"/>
  <c r="F2209" i="7"/>
  <c r="F2217" i="7"/>
  <c r="F2225" i="7"/>
  <c r="F2233" i="7"/>
  <c r="F2241" i="7"/>
  <c r="F2249" i="7"/>
  <c r="F2257" i="7"/>
  <c r="F2265" i="7"/>
  <c r="F2273" i="7"/>
  <c r="F2281" i="7"/>
  <c r="F2289" i="7"/>
  <c r="F2297" i="7"/>
  <c r="F2305" i="7"/>
  <c r="F2313" i="7"/>
  <c r="F2321" i="7"/>
  <c r="F2329" i="7"/>
  <c r="F2337" i="7"/>
  <c r="F2345" i="7"/>
  <c r="F2353" i="7"/>
  <c r="F2361" i="7"/>
  <c r="F2369" i="7"/>
  <c r="F2377" i="7"/>
  <c r="F2385" i="7"/>
  <c r="F2393" i="7"/>
  <c r="F2401" i="7"/>
  <c r="F2409" i="7"/>
  <c r="F2417" i="7"/>
  <c r="F2425" i="7"/>
  <c r="F2433" i="7"/>
  <c r="F2441" i="7"/>
  <c r="F2449" i="7"/>
  <c r="F2457" i="7"/>
  <c r="F2465" i="7"/>
  <c r="F2473" i="7"/>
  <c r="F2481" i="7"/>
  <c r="F2489" i="7"/>
  <c r="F2497" i="7"/>
  <c r="F2505" i="7"/>
  <c r="F2513" i="7"/>
  <c r="F2521" i="7"/>
  <c r="F2529" i="7"/>
  <c r="F2537" i="7"/>
  <c r="F2545" i="7"/>
  <c r="F2553" i="7"/>
  <c r="F2561" i="7"/>
  <c r="F2569" i="7"/>
  <c r="F2577" i="7"/>
  <c r="F2585" i="7"/>
  <c r="F2593" i="7"/>
  <c r="F2601" i="7"/>
  <c r="F2609" i="7"/>
  <c r="F2617" i="7"/>
  <c r="F2625" i="7"/>
  <c r="F2633" i="7"/>
  <c r="F2641" i="7"/>
  <c r="F2649" i="7"/>
  <c r="F2657" i="7"/>
  <c r="F2665" i="7"/>
  <c r="F2673" i="7"/>
  <c r="F2681" i="7"/>
  <c r="F2689" i="7"/>
  <c r="F2697" i="7"/>
  <c r="F2705" i="7"/>
  <c r="F2713" i="7"/>
  <c r="F2721" i="7"/>
  <c r="F2729" i="7"/>
  <c r="F2737" i="7"/>
  <c r="F2745" i="7"/>
  <c r="F2753" i="7"/>
  <c r="F2761" i="7"/>
  <c r="F2769" i="7"/>
  <c r="F2777" i="7"/>
  <c r="F2785" i="7"/>
  <c r="F2793" i="7"/>
  <c r="F2801" i="7"/>
  <c r="F2809" i="7"/>
  <c r="F2817" i="7"/>
  <c r="F2825" i="7"/>
  <c r="F2833" i="7"/>
  <c r="F2841" i="7"/>
  <c r="F2849" i="7"/>
  <c r="F2857" i="7"/>
  <c r="F2865" i="7"/>
  <c r="F2873" i="7"/>
  <c r="F2881" i="7"/>
  <c r="F2889" i="7"/>
  <c r="F2897" i="7"/>
  <c r="F2905" i="7"/>
  <c r="F2913" i="7"/>
  <c r="F2921" i="7"/>
  <c r="F2929" i="7"/>
  <c r="F2937" i="7"/>
  <c r="F2945" i="7"/>
  <c r="F2953" i="7"/>
  <c r="F2961" i="7"/>
  <c r="F2969" i="7"/>
  <c r="F2977" i="7"/>
  <c r="F2985" i="7"/>
  <c r="F2993" i="7"/>
  <c r="F3001" i="7"/>
  <c r="F3009" i="7"/>
  <c r="F3017" i="7"/>
  <c r="F3025" i="7"/>
  <c r="F3033" i="7"/>
  <c r="F3041" i="7"/>
  <c r="F3049" i="7"/>
  <c r="F3057" i="7"/>
  <c r="F3065" i="7"/>
  <c r="F3073" i="7"/>
  <c r="F3081" i="7"/>
  <c r="F3089" i="7"/>
  <c r="F3097" i="7"/>
  <c r="F3105" i="7"/>
  <c r="CM22" i="7" s="1"/>
  <c r="F3113" i="7"/>
  <c r="F3121" i="7"/>
  <c r="F3129" i="7"/>
  <c r="F3137" i="7"/>
  <c r="F3145" i="7"/>
  <c r="F3153" i="7"/>
  <c r="F3161" i="7"/>
  <c r="F3169" i="7"/>
  <c r="F3177" i="7"/>
  <c r="F3185" i="7"/>
  <c r="F3193" i="7"/>
  <c r="F3333" i="7"/>
  <c r="F3359" i="7"/>
  <c r="F3362" i="7"/>
  <c r="F3365" i="7"/>
  <c r="F3391" i="7"/>
  <c r="F3394" i="7"/>
  <c r="F3397" i="7"/>
  <c r="F3414" i="7"/>
  <c r="F3422" i="7"/>
  <c r="F3430" i="7"/>
  <c r="F3438" i="7"/>
  <c r="F3446" i="7"/>
  <c r="F3454" i="7"/>
  <c r="F3462" i="7"/>
  <c r="F3470" i="7"/>
  <c r="F3478" i="7"/>
  <c r="F3486" i="7"/>
  <c r="F3494" i="7"/>
  <c r="F3502" i="7"/>
  <c r="F3510" i="7"/>
  <c r="F3518" i="7"/>
  <c r="F3526" i="7"/>
  <c r="F3534" i="7"/>
  <c r="F3542" i="7"/>
  <c r="F3550" i="7"/>
  <c r="F3558" i="7"/>
  <c r="F3566" i="7"/>
  <c r="F3574" i="7"/>
  <c r="F3582" i="7"/>
  <c r="CF26" i="7" s="1"/>
  <c r="F3590" i="7"/>
  <c r="F3598" i="7"/>
  <c r="F3606" i="7"/>
  <c r="F3614" i="7"/>
  <c r="F3622" i="7"/>
  <c r="F3630" i="7"/>
  <c r="F3638" i="7"/>
  <c r="F3646" i="7"/>
  <c r="F3654" i="7"/>
  <c r="F3662" i="7"/>
  <c r="F3670" i="7"/>
  <c r="F3678" i="7"/>
  <c r="F3686" i="7"/>
  <c r="F3694" i="7"/>
  <c r="F3702" i="7"/>
  <c r="F3710" i="7"/>
  <c r="F3718" i="7"/>
  <c r="F3726" i="7"/>
  <c r="F3734" i="7"/>
  <c r="F3742" i="7"/>
  <c r="F3750" i="7"/>
  <c r="F3758" i="7"/>
  <c r="F3766" i="7"/>
  <c r="F3774" i="7"/>
  <c r="F3782" i="7"/>
  <c r="F3790" i="7"/>
  <c r="F3798" i="7"/>
  <c r="F3806" i="7"/>
  <c r="F3814" i="7"/>
  <c r="F3326" i="7"/>
  <c r="F3347" i="7"/>
  <c r="F3350" i="7"/>
  <c r="F3353" i="7"/>
  <c r="F3379" i="7"/>
  <c r="F3382" i="7"/>
  <c r="F3385" i="7"/>
  <c r="F3411" i="7"/>
  <c r="F3419" i="7"/>
  <c r="F3427" i="7"/>
  <c r="F3435" i="7"/>
  <c r="F3443" i="7"/>
  <c r="F3451" i="7"/>
  <c r="F3459" i="7"/>
  <c r="F3467" i="7"/>
  <c r="F3475" i="7"/>
  <c r="F3483" i="7"/>
  <c r="F3491" i="7"/>
  <c r="F3499" i="7"/>
  <c r="F3507" i="7"/>
  <c r="F3515" i="7"/>
  <c r="F3523" i="7"/>
  <c r="F3531" i="7"/>
  <c r="F3539" i="7"/>
  <c r="F3547" i="7"/>
  <c r="F3555" i="7"/>
  <c r="F3563" i="7"/>
  <c r="F3571" i="7"/>
  <c r="F3579" i="7"/>
  <c r="F3587" i="7"/>
  <c r="F3595" i="7"/>
  <c r="F3603" i="7"/>
  <c r="F3611" i="7"/>
  <c r="F3619" i="7"/>
  <c r="F3627" i="7"/>
  <c r="F3835" i="7"/>
  <c r="F3843" i="7"/>
  <c r="F3329" i="7"/>
  <c r="F3335" i="7"/>
  <c r="F3338" i="7"/>
  <c r="F3341" i="7"/>
  <c r="F3367" i="7"/>
  <c r="F3370" i="7"/>
  <c r="F3373" i="7"/>
  <c r="F3399" i="7"/>
  <c r="F3402" i="7"/>
  <c r="F3405" i="7"/>
  <c r="F3824" i="7"/>
  <c r="F3840" i="7"/>
  <c r="F3322" i="7"/>
  <c r="F3355" i="7"/>
  <c r="F3358" i="7"/>
  <c r="F3361" i="7"/>
  <c r="F3387" i="7"/>
  <c r="F3390" i="7"/>
  <c r="F3393" i="7"/>
  <c r="F3413" i="7"/>
  <c r="F3421" i="7"/>
  <c r="F3429" i="7"/>
  <c r="F3437" i="7"/>
  <c r="F3445" i="7"/>
  <c r="F3453" i="7"/>
  <c r="F3461" i="7"/>
  <c r="F3469" i="7"/>
  <c r="F3477" i="7"/>
  <c r="F3485" i="7"/>
  <c r="F3493" i="7"/>
  <c r="F3501" i="7"/>
  <c r="F3509" i="7"/>
  <c r="F3517" i="7"/>
  <c r="F3525" i="7"/>
  <c r="F3533" i="7"/>
  <c r="F3541" i="7"/>
  <c r="F3549" i="7"/>
  <c r="F3557" i="7"/>
  <c r="F3565" i="7"/>
  <c r="F3573" i="7"/>
  <c r="F3581" i="7"/>
  <c r="F3589" i="7"/>
  <c r="F3597" i="7"/>
  <c r="F3605" i="7"/>
  <c r="F3613" i="7"/>
  <c r="F3621" i="7"/>
  <c r="F3629" i="7"/>
  <c r="F3637" i="7"/>
  <c r="F3645" i="7"/>
  <c r="F3653" i="7"/>
  <c r="F3661" i="7"/>
  <c r="F3669" i="7"/>
  <c r="F3677" i="7"/>
  <c r="F3685" i="7"/>
  <c r="F3693" i="7"/>
  <c r="F3701" i="7"/>
  <c r="F3709" i="7"/>
  <c r="F3717" i="7"/>
  <c r="F3725" i="7"/>
  <c r="F3733" i="7"/>
  <c r="F3741" i="7"/>
  <c r="F3749" i="7"/>
  <c r="F3757" i="7"/>
  <c r="F3765" i="7"/>
  <c r="F3773" i="7"/>
  <c r="F3781" i="7"/>
  <c r="F3789" i="7"/>
  <c r="F3797" i="7"/>
  <c r="F3805" i="7"/>
  <c r="F3813" i="7"/>
  <c r="F3821" i="7"/>
  <c r="F3829" i="7"/>
  <c r="F3845" i="7"/>
  <c r="F3853" i="7"/>
  <c r="F3861" i="7"/>
  <c r="F3877" i="7"/>
  <c r="F3885" i="7"/>
  <c r="F3893" i="7"/>
  <c r="F3325" i="7"/>
  <c r="F3343" i="7"/>
  <c r="F3346" i="7"/>
  <c r="F3349" i="7"/>
  <c r="F3375" i="7"/>
  <c r="F3378" i="7"/>
  <c r="F3381" i="7"/>
  <c r="F3407" i="7"/>
  <c r="F3410" i="7"/>
  <c r="F3418" i="7"/>
  <c r="F3426" i="7"/>
  <c r="F3434" i="7"/>
  <c r="F3442" i="7"/>
  <c r="F3450" i="7"/>
  <c r="F3458" i="7"/>
  <c r="F3466" i="7"/>
  <c r="F3474" i="7"/>
  <c r="F3482" i="7"/>
  <c r="F3490" i="7"/>
  <c r="F3498" i="7"/>
  <c r="F3506" i="7"/>
  <c r="F3514" i="7"/>
  <c r="F3522" i="7"/>
  <c r="F3530" i="7"/>
  <c r="F3538" i="7"/>
  <c r="F3546" i="7"/>
  <c r="F3554" i="7"/>
  <c r="F3562" i="7"/>
  <c r="F3570" i="7"/>
  <c r="F3578" i="7"/>
  <c r="F3586" i="7"/>
  <c r="F3594" i="7"/>
  <c r="F3602" i="7"/>
  <c r="F3610" i="7"/>
  <c r="F3618" i="7"/>
  <c r="F3626" i="7"/>
  <c r="F3634" i="7"/>
  <c r="F3642" i="7"/>
  <c r="F3650" i="7"/>
  <c r="F3658" i="7"/>
  <c r="F3666" i="7"/>
  <c r="F3674" i="7"/>
  <c r="F3682" i="7"/>
  <c r="F3690" i="7"/>
  <c r="F3698" i="7"/>
  <c r="F3706" i="7"/>
  <c r="F3714" i="7"/>
  <c r="F3722" i="7"/>
  <c r="F3730" i="7"/>
  <c r="F3738" i="7"/>
  <c r="F3746" i="7"/>
  <c r="F3754" i="7"/>
  <c r="F3762" i="7"/>
  <c r="F3770" i="7"/>
  <c r="F3778" i="7"/>
  <c r="F3786" i="7"/>
  <c r="F3794" i="7"/>
  <c r="F3802" i="7"/>
  <c r="F3810" i="7"/>
  <c r="F3818" i="7"/>
  <c r="F3334" i="7"/>
  <c r="F3337" i="7"/>
  <c r="F3363" i="7"/>
  <c r="F3366" i="7"/>
  <c r="F3369" i="7"/>
  <c r="F3395" i="7"/>
  <c r="F3398" i="7"/>
  <c r="F3401" i="7"/>
  <c r="F3415" i="7"/>
  <c r="F3423" i="7"/>
  <c r="F3431" i="7"/>
  <c r="F3439" i="7"/>
  <c r="F3447" i="7"/>
  <c r="F3455" i="7"/>
  <c r="F3463" i="7"/>
  <c r="F3471" i="7"/>
  <c r="F3479" i="7"/>
  <c r="F3487" i="7"/>
  <c r="F3495" i="7"/>
  <c r="F3503" i="7"/>
  <c r="F3511" i="7"/>
  <c r="F3519" i="7"/>
  <c r="F3527" i="7"/>
  <c r="F3535" i="7"/>
  <c r="F3543" i="7"/>
  <c r="F3551" i="7"/>
  <c r="F3559" i="7"/>
  <c r="F3567" i="7"/>
  <c r="F3575" i="7"/>
  <c r="F3583" i="7"/>
  <c r="F3591" i="7"/>
  <c r="F3599" i="7"/>
  <c r="F3607" i="7"/>
  <c r="F3615" i="7"/>
  <c r="F3623" i="7"/>
  <c r="F3631" i="7"/>
  <c r="F3823" i="7"/>
  <c r="F3831" i="7"/>
  <c r="F3351" i="7"/>
  <c r="F3354" i="7"/>
  <c r="F3357" i="7"/>
  <c r="F3383" i="7"/>
  <c r="F3386" i="7"/>
  <c r="F3389" i="7"/>
  <c r="F3828" i="7"/>
  <c r="F3836" i="7"/>
  <c r="F3330" i="7"/>
  <c r="F3339" i="7"/>
  <c r="F3342" i="7"/>
  <c r="F3345" i="7"/>
  <c r="F3371" i="7"/>
  <c r="F3374" i="7"/>
  <c r="F3377" i="7"/>
  <c r="F3403" i="7"/>
  <c r="F3406" i="7"/>
  <c r="F3409" i="7"/>
  <c r="F3417" i="7"/>
  <c r="F3425" i="7"/>
  <c r="F3433" i="7"/>
  <c r="F3441" i="7"/>
  <c r="F3449" i="7"/>
  <c r="F3457" i="7"/>
  <c r="F3465" i="7"/>
  <c r="F3473" i="7"/>
  <c r="F3481" i="7"/>
  <c r="F3489" i="7"/>
  <c r="F3497" i="7"/>
  <c r="F3505" i="7"/>
  <c r="F3513" i="7"/>
  <c r="F3521" i="7"/>
  <c r="F3529" i="7"/>
  <c r="F3537" i="7"/>
  <c r="F3545" i="7"/>
  <c r="F3553" i="7"/>
  <c r="F3561" i="7"/>
  <c r="F3569" i="7"/>
  <c r="F3577" i="7"/>
  <c r="F3585" i="7"/>
  <c r="F3593" i="7"/>
  <c r="F3601" i="7"/>
  <c r="F3609" i="7"/>
  <c r="F3617" i="7"/>
  <c r="F3625" i="7"/>
  <c r="F3633" i="7"/>
  <c r="F3641" i="7"/>
  <c r="F3649" i="7"/>
  <c r="F3657" i="7"/>
  <c r="F3665" i="7"/>
  <c r="F3673" i="7"/>
  <c r="F3681" i="7"/>
  <c r="F3689" i="7"/>
  <c r="F3697" i="7"/>
  <c r="F3705" i="7"/>
  <c r="F3713" i="7"/>
  <c r="F3721" i="7"/>
  <c r="F3729" i="7"/>
  <c r="F3737" i="7"/>
  <c r="F3745" i="7"/>
  <c r="F3753" i="7"/>
  <c r="F3761" i="7"/>
  <c r="F3769" i="7"/>
  <c r="F3777" i="7"/>
  <c r="F3785" i="7"/>
  <c r="F3793" i="7"/>
  <c r="F3801" i="7"/>
  <c r="F3809" i="7"/>
  <c r="F3817" i="7"/>
  <c r="F3833" i="7"/>
  <c r="F3841" i="7"/>
  <c r="F3849" i="7"/>
  <c r="F3857" i="7"/>
  <c r="F3881" i="7"/>
  <c r="F3889" i="7"/>
  <c r="F3826" i="7"/>
  <c r="F3864" i="7"/>
  <c r="F3867" i="7"/>
  <c r="F3870" i="7"/>
  <c r="F3896" i="7"/>
  <c r="F3899" i="7"/>
  <c r="F3902" i="7"/>
  <c r="F3928" i="7"/>
  <c r="F3931" i="7"/>
  <c r="F3934" i="7"/>
  <c r="F3960" i="7"/>
  <c r="F3963" i="7"/>
  <c r="F3966" i="7"/>
  <c r="F3992" i="7"/>
  <c r="F3995" i="7"/>
  <c r="F3998" i="7"/>
  <c r="F4024" i="7"/>
  <c r="F4027" i="7"/>
  <c r="F4030" i="7"/>
  <c r="F4056" i="7"/>
  <c r="F4059" i="7"/>
  <c r="F4062" i="7"/>
  <c r="F4088" i="7"/>
  <c r="F4091" i="7"/>
  <c r="F4094" i="7"/>
  <c r="F4120" i="7"/>
  <c r="F4123" i="7"/>
  <c r="F4126" i="7"/>
  <c r="F4155" i="7"/>
  <c r="F4158" i="7"/>
  <c r="F4187" i="7"/>
  <c r="F4190" i="7"/>
  <c r="F4222" i="7"/>
  <c r="F4272" i="7"/>
  <c r="F3822" i="7"/>
  <c r="F3852" i="7"/>
  <c r="F3855" i="7"/>
  <c r="F3858" i="7"/>
  <c r="F3884" i="7"/>
  <c r="F3887" i="7"/>
  <c r="F3890" i="7"/>
  <c r="F3916" i="7"/>
  <c r="F3919" i="7"/>
  <c r="F3922" i="7"/>
  <c r="F3948" i="7"/>
  <c r="F3951" i="7"/>
  <c r="F3954" i="7"/>
  <c r="F3980" i="7"/>
  <c r="F3983" i="7"/>
  <c r="F3986" i="7"/>
  <c r="F4012" i="7"/>
  <c r="F4015" i="7"/>
  <c r="F4018" i="7"/>
  <c r="F4044" i="7"/>
  <c r="F4047" i="7"/>
  <c r="F4050" i="7"/>
  <c r="F4076" i="7"/>
  <c r="F4079" i="7"/>
  <c r="F4082" i="7"/>
  <c r="F4108" i="7"/>
  <c r="F4111" i="7"/>
  <c r="F4114" i="7"/>
  <c r="F4140" i="7"/>
  <c r="F4143" i="7"/>
  <c r="F4146" i="7"/>
  <c r="F4175" i="7"/>
  <c r="F4178" i="7"/>
  <c r="F4207" i="7"/>
  <c r="F4210" i="7"/>
  <c r="F4242" i="7"/>
  <c r="F3846" i="7"/>
  <c r="F3872" i="7"/>
  <c r="F3875" i="7"/>
  <c r="F3878" i="7"/>
  <c r="F3904" i="7"/>
  <c r="F3907" i="7"/>
  <c r="F3910" i="7"/>
  <c r="F3936" i="7"/>
  <c r="F3939" i="7"/>
  <c r="F3942" i="7"/>
  <c r="F3968" i="7"/>
  <c r="F3971" i="7"/>
  <c r="F3974" i="7"/>
  <c r="F4000" i="7"/>
  <c r="F4003" i="7"/>
  <c r="F4006" i="7"/>
  <c r="F4032" i="7"/>
  <c r="F4035" i="7"/>
  <c r="F4038" i="7"/>
  <c r="F4064" i="7"/>
  <c r="F4067" i="7"/>
  <c r="F4070" i="7"/>
  <c r="F4096" i="7"/>
  <c r="F4099" i="7"/>
  <c r="F4102" i="7"/>
  <c r="F4128" i="7"/>
  <c r="F4131" i="7"/>
  <c r="F4134" i="7"/>
  <c r="F4163" i="7"/>
  <c r="F4166" i="7"/>
  <c r="F4195" i="7"/>
  <c r="F4198" i="7"/>
  <c r="F4230" i="7"/>
  <c r="F4250" i="7"/>
  <c r="F4834" i="7"/>
  <c r="F5136" i="7"/>
  <c r="F3860" i="7"/>
  <c r="F3863" i="7"/>
  <c r="F3866" i="7"/>
  <c r="F3892" i="7"/>
  <c r="F3895" i="7"/>
  <c r="F3898" i="7"/>
  <c r="F3924" i="7"/>
  <c r="F3927" i="7"/>
  <c r="F3930" i="7"/>
  <c r="F3956" i="7"/>
  <c r="F3959" i="7"/>
  <c r="F3962" i="7"/>
  <c r="F3988" i="7"/>
  <c r="F3991" i="7"/>
  <c r="F3994" i="7"/>
  <c r="F4020" i="7"/>
  <c r="F4023" i="7"/>
  <c r="F4026" i="7"/>
  <c r="F4052" i="7"/>
  <c r="F4055" i="7"/>
  <c r="F4058" i="7"/>
  <c r="F4084" i="7"/>
  <c r="F4087" i="7"/>
  <c r="CF21" i="7" s="1"/>
  <c r="F4090" i="7"/>
  <c r="F4116" i="7"/>
  <c r="F4119" i="7"/>
  <c r="F4122" i="7"/>
  <c r="F4151" i="7"/>
  <c r="F4154" i="7"/>
  <c r="F4183" i="7"/>
  <c r="F4186" i="7"/>
  <c r="F4218" i="7"/>
  <c r="F4799" i="7"/>
  <c r="F5090" i="7"/>
  <c r="F3842" i="7"/>
  <c r="F3848" i="7"/>
  <c r="F3851" i="7"/>
  <c r="F3854" i="7"/>
  <c r="F3880" i="7"/>
  <c r="F3883" i="7"/>
  <c r="F3886" i="7"/>
  <c r="F3912" i="7"/>
  <c r="F3915" i="7"/>
  <c r="F3918" i="7"/>
  <c r="F3944" i="7"/>
  <c r="F3947" i="7"/>
  <c r="F3950" i="7"/>
  <c r="F3976" i="7"/>
  <c r="F3979" i="7"/>
  <c r="F3982" i="7"/>
  <c r="F4008" i="7"/>
  <c r="F4011" i="7"/>
  <c r="F4014" i="7"/>
  <c r="F4040" i="7"/>
  <c r="F4043" i="7"/>
  <c r="F4046" i="7"/>
  <c r="F4072" i="7"/>
  <c r="F4075" i="7"/>
  <c r="F4078" i="7"/>
  <c r="F4104" i="7"/>
  <c r="F4107" i="7"/>
  <c r="F4110" i="7"/>
  <c r="F4136" i="7"/>
  <c r="F4139" i="7"/>
  <c r="F4142" i="7"/>
  <c r="F4171" i="7"/>
  <c r="F4174" i="7"/>
  <c r="F4203" i="7"/>
  <c r="F4206" i="7"/>
  <c r="F4238" i="7"/>
  <c r="F4252" i="7"/>
  <c r="F4268" i="7"/>
  <c r="F4276" i="7"/>
  <c r="F4764" i="7"/>
  <c r="F5055" i="7"/>
  <c r="F3838" i="7"/>
  <c r="F3868" i="7"/>
  <c r="F3871" i="7"/>
  <c r="F3874" i="7"/>
  <c r="F3900" i="7"/>
  <c r="F3903" i="7"/>
  <c r="F3906" i="7"/>
  <c r="F3932" i="7"/>
  <c r="F3935" i="7"/>
  <c r="F3938" i="7"/>
  <c r="F3964" i="7"/>
  <c r="F3967" i="7"/>
  <c r="F3970" i="7"/>
  <c r="F3996" i="7"/>
  <c r="F3999" i="7"/>
  <c r="F4002" i="7"/>
  <c r="F4028" i="7"/>
  <c r="F4031" i="7"/>
  <c r="F4034" i="7"/>
  <c r="F4060" i="7"/>
  <c r="F4063" i="7"/>
  <c r="F4066" i="7"/>
  <c r="F4092" i="7"/>
  <c r="F4095" i="7"/>
  <c r="F4098" i="7"/>
  <c r="F4124" i="7"/>
  <c r="F4127" i="7"/>
  <c r="F4130" i="7"/>
  <c r="F4159" i="7"/>
  <c r="F4162" i="7"/>
  <c r="F4191" i="7"/>
  <c r="F4194" i="7"/>
  <c r="F4226" i="7"/>
  <c r="F4246" i="7"/>
  <c r="F4729" i="7"/>
  <c r="F4737" i="7"/>
  <c r="F5020" i="7"/>
  <c r="F3834" i="7"/>
  <c r="F3856" i="7"/>
  <c r="F3859" i="7"/>
  <c r="F3862" i="7"/>
  <c r="F3888" i="7"/>
  <c r="F3891" i="7"/>
  <c r="F3894" i="7"/>
  <c r="F3920" i="7"/>
  <c r="F3923" i="7"/>
  <c r="F3926" i="7"/>
  <c r="F3952" i="7"/>
  <c r="F3955" i="7"/>
  <c r="F3958" i="7"/>
  <c r="F3984" i="7"/>
  <c r="F3987" i="7"/>
  <c r="F3990" i="7"/>
  <c r="F4016" i="7"/>
  <c r="F4019" i="7"/>
  <c r="F4022" i="7"/>
  <c r="F4048" i="7"/>
  <c r="F4051" i="7"/>
  <c r="F4054" i="7"/>
  <c r="F4080" i="7"/>
  <c r="F4083" i="7"/>
  <c r="CE24" i="7" s="1"/>
  <c r="F4086" i="7"/>
  <c r="F4112" i="7"/>
  <c r="F4115" i="7"/>
  <c r="F4118" i="7"/>
  <c r="F4147" i="7"/>
  <c r="F4150" i="7"/>
  <c r="F4179" i="7"/>
  <c r="F4182" i="7"/>
  <c r="F4214" i="7"/>
  <c r="F4254" i="7"/>
  <c r="F4278" i="7"/>
  <c r="F4286" i="7"/>
  <c r="F4294" i="7"/>
  <c r="F4302" i="7"/>
  <c r="F4310" i="7"/>
  <c r="F4318" i="7"/>
  <c r="F4326" i="7"/>
  <c r="F4334" i="7"/>
  <c r="F4342" i="7"/>
  <c r="F4350" i="7"/>
  <c r="F4358" i="7"/>
  <c r="F4366" i="7"/>
  <c r="F4374" i="7"/>
  <c r="F4382" i="7"/>
  <c r="F4390" i="7"/>
  <c r="F4398" i="7"/>
  <c r="F4406" i="7"/>
  <c r="F4414" i="7"/>
  <c r="F4422" i="7"/>
  <c r="F4430" i="7"/>
  <c r="F4438" i="7"/>
  <c r="F4446" i="7"/>
  <c r="F4454" i="7"/>
  <c r="F4462" i="7"/>
  <c r="F4470" i="7"/>
  <c r="F4478" i="7"/>
  <c r="F4486" i="7"/>
  <c r="F4494" i="7"/>
  <c r="F4502" i="7"/>
  <c r="F4510" i="7"/>
  <c r="F4518" i="7"/>
  <c r="F4526" i="7"/>
  <c r="F4534" i="7"/>
  <c r="F4542" i="7"/>
  <c r="F4550" i="7"/>
  <c r="F4558" i="7"/>
  <c r="F4566" i="7"/>
  <c r="F4574" i="7"/>
  <c r="F4582" i="7"/>
  <c r="F4590" i="7"/>
  <c r="F4598" i="7"/>
  <c r="F4606" i="7"/>
  <c r="F4614" i="7"/>
  <c r="F4622" i="7"/>
  <c r="F4630" i="7"/>
  <c r="F4638" i="7"/>
  <c r="F4646" i="7"/>
  <c r="F4654" i="7"/>
  <c r="F4662" i="7"/>
  <c r="F4670" i="7"/>
  <c r="F4678" i="7"/>
  <c r="F4686" i="7"/>
  <c r="F4694" i="7"/>
  <c r="F4702" i="7"/>
  <c r="F4710" i="7"/>
  <c r="F4718" i="7"/>
  <c r="F3830" i="7"/>
  <c r="F3844" i="7"/>
  <c r="F3847" i="7"/>
  <c r="F3850" i="7"/>
  <c r="F3876" i="7"/>
  <c r="F3879" i="7"/>
  <c r="F3882" i="7"/>
  <c r="F3908" i="7"/>
  <c r="F3911" i="7"/>
  <c r="F3914" i="7"/>
  <c r="F3940" i="7"/>
  <c r="F3943" i="7"/>
  <c r="F3946" i="7"/>
  <c r="F3972" i="7"/>
  <c r="F3975" i="7"/>
  <c r="F3978" i="7"/>
  <c r="F4004" i="7"/>
  <c r="F4007" i="7"/>
  <c r="F4010" i="7"/>
  <c r="F4036" i="7"/>
  <c r="F4039" i="7"/>
  <c r="F4042" i="7"/>
  <c r="F4068" i="7"/>
  <c r="F4071" i="7"/>
  <c r="F4074" i="7"/>
  <c r="F4100" i="7"/>
  <c r="F4103" i="7"/>
  <c r="F4106" i="7"/>
  <c r="F4132" i="7"/>
  <c r="F4135" i="7"/>
  <c r="F4138" i="7"/>
  <c r="F4167" i="7"/>
  <c r="F4170" i="7"/>
  <c r="F4199" i="7"/>
  <c r="F4202" i="7"/>
  <c r="F4234" i="7"/>
  <c r="F4251" i="7"/>
  <c r="F4275" i="7"/>
  <c r="F4257" i="7"/>
  <c r="F4263" i="7"/>
  <c r="F4266" i="7"/>
  <c r="F4269" i="7"/>
  <c r="F4283" i="7"/>
  <c r="F4291" i="7"/>
  <c r="F4299" i="7"/>
  <c r="F4307" i="7"/>
  <c r="F4315" i="7"/>
  <c r="F4323" i="7"/>
  <c r="F4331" i="7"/>
  <c r="F4339" i="7"/>
  <c r="F4347" i="7"/>
  <c r="F4355" i="7"/>
  <c r="F4363" i="7"/>
  <c r="F4371" i="7"/>
  <c r="F4379" i="7"/>
  <c r="F4387" i="7"/>
  <c r="F4395" i="7"/>
  <c r="F4403" i="7"/>
  <c r="F4411" i="7"/>
  <c r="F4419" i="7"/>
  <c r="F4427" i="7"/>
  <c r="F4435" i="7"/>
  <c r="F4443" i="7"/>
  <c r="F4451" i="7"/>
  <c r="F4459" i="7"/>
  <c r="F4467" i="7"/>
  <c r="F4475" i="7"/>
  <c r="F4483" i="7"/>
  <c r="F4491" i="7"/>
  <c r="F4499" i="7"/>
  <c r="F4507" i="7"/>
  <c r="F4515" i="7"/>
  <c r="F4523" i="7"/>
  <c r="F4531" i="7"/>
  <c r="F4539" i="7"/>
  <c r="F4547" i="7"/>
  <c r="F4555" i="7"/>
  <c r="F4563" i="7"/>
  <c r="F4571" i="7"/>
  <c r="F4579" i="7"/>
  <c r="F4587" i="7"/>
  <c r="F4595" i="7"/>
  <c r="F4603" i="7"/>
  <c r="F4611" i="7"/>
  <c r="F4619" i="7"/>
  <c r="F4627" i="7"/>
  <c r="F4635" i="7"/>
  <c r="F4643" i="7"/>
  <c r="F4651" i="7"/>
  <c r="F4659" i="7"/>
  <c r="F4667" i="7"/>
  <c r="F4675" i="7"/>
  <c r="F4683" i="7"/>
  <c r="F4691" i="7"/>
  <c r="F4699" i="7"/>
  <c r="F4707" i="7"/>
  <c r="F4715" i="7"/>
  <c r="F4723" i="7"/>
  <c r="F4745" i="7"/>
  <c r="F4753" i="7"/>
  <c r="F4761" i="7"/>
  <c r="F4769" i="7"/>
  <c r="F4796" i="7"/>
  <c r="F4831" i="7"/>
  <c r="F4866" i="7"/>
  <c r="F5052" i="7"/>
  <c r="F5087" i="7"/>
  <c r="F5122" i="7"/>
  <c r="F4247" i="7"/>
  <c r="F4280" i="7"/>
  <c r="F4288" i="7"/>
  <c r="F4296" i="7"/>
  <c r="F4304" i="7"/>
  <c r="F4312" i="7"/>
  <c r="F4320" i="7"/>
  <c r="F4328" i="7"/>
  <c r="F4336" i="7"/>
  <c r="F4344" i="7"/>
  <c r="F4352" i="7"/>
  <c r="F4360" i="7"/>
  <c r="F4368" i="7"/>
  <c r="F4376" i="7"/>
  <c r="F4384" i="7"/>
  <c r="F4392" i="7"/>
  <c r="F4400" i="7"/>
  <c r="F4408" i="7"/>
  <c r="F4416" i="7"/>
  <c r="F4424" i="7"/>
  <c r="F4739" i="7"/>
  <c r="F4750" i="7"/>
  <c r="F4777" i="7"/>
  <c r="F4785" i="7"/>
  <c r="F4793" i="7"/>
  <c r="F4828" i="7"/>
  <c r="CG19" i="7" s="1"/>
  <c r="F4863" i="7"/>
  <c r="F4898" i="7"/>
  <c r="F5084" i="7"/>
  <c r="F5119" i="7"/>
  <c r="F5224" i="7"/>
  <c r="F5232" i="7"/>
  <c r="F5240" i="7"/>
  <c r="F5248" i="7"/>
  <c r="F5256" i="7"/>
  <c r="F5264" i="7"/>
  <c r="F5272" i="7"/>
  <c r="F5280" i="7"/>
  <c r="F5288" i="7"/>
  <c r="F5296" i="7"/>
  <c r="F5304" i="7"/>
  <c r="F5312" i="7"/>
  <c r="F5320" i="7"/>
  <c r="F5328" i="7"/>
  <c r="F5336" i="7"/>
  <c r="F5344" i="7"/>
  <c r="F5352" i="7"/>
  <c r="F5360" i="7"/>
  <c r="F5368" i="7"/>
  <c r="F5376" i="7"/>
  <c r="F5384" i="7"/>
  <c r="F5392" i="7"/>
  <c r="F5400" i="7"/>
  <c r="F5408" i="7"/>
  <c r="F5416" i="7"/>
  <c r="F5424" i="7"/>
  <c r="F5432" i="7"/>
  <c r="CP22" i="7" s="1"/>
  <c r="F5440" i="7"/>
  <c r="F5448" i="7"/>
  <c r="F5456" i="7"/>
  <c r="F5464" i="7"/>
  <c r="F5472" i="7"/>
  <c r="F5480" i="7"/>
  <c r="F5488" i="7"/>
  <c r="F5496" i="7"/>
  <c r="F5504" i="7"/>
  <c r="F5512" i="7"/>
  <c r="F5520" i="7"/>
  <c r="F5528" i="7"/>
  <c r="F5536" i="7"/>
  <c r="F5544" i="7"/>
  <c r="F4253" i="7"/>
  <c r="F4271" i="7"/>
  <c r="F4274" i="7"/>
  <c r="F4277" i="7"/>
  <c r="F4285" i="7"/>
  <c r="F4293" i="7"/>
  <c r="F4301" i="7"/>
  <c r="F4309" i="7"/>
  <c r="F4317" i="7"/>
  <c r="F4325" i="7"/>
  <c r="F4333" i="7"/>
  <c r="F4341" i="7"/>
  <c r="F4349" i="7"/>
  <c r="F4357" i="7"/>
  <c r="F4365" i="7"/>
  <c r="F4373" i="7"/>
  <c r="F4381" i="7"/>
  <c r="F4389" i="7"/>
  <c r="F4397" i="7"/>
  <c r="F4405" i="7"/>
  <c r="F4413" i="7"/>
  <c r="F4421" i="7"/>
  <c r="F4429" i="7"/>
  <c r="F4437" i="7"/>
  <c r="F4445" i="7"/>
  <c r="F4453" i="7"/>
  <c r="CT23" i="7" s="1"/>
  <c r="F4461" i="7"/>
  <c r="F4469" i="7"/>
  <c r="F4477" i="7"/>
  <c r="F4485" i="7"/>
  <c r="F4493" i="7"/>
  <c r="F4501" i="7"/>
  <c r="F4509" i="7"/>
  <c r="F4517" i="7"/>
  <c r="F4525" i="7"/>
  <c r="F4533" i="7"/>
  <c r="F4541" i="7"/>
  <c r="F4549" i="7"/>
  <c r="F4557" i="7"/>
  <c r="F4565" i="7"/>
  <c r="F4573" i="7"/>
  <c r="F4581" i="7"/>
  <c r="F4589" i="7"/>
  <c r="F4597" i="7"/>
  <c r="F4605" i="7"/>
  <c r="F4613" i="7"/>
  <c r="F4621" i="7"/>
  <c r="F4629" i="7"/>
  <c r="F4637" i="7"/>
  <c r="F4645" i="7"/>
  <c r="F4653" i="7"/>
  <c r="F4661" i="7"/>
  <c r="F4669" i="7"/>
  <c r="F4677" i="7"/>
  <c r="F4685" i="7"/>
  <c r="F4693" i="7"/>
  <c r="F4701" i="7"/>
  <c r="F4709" i="7"/>
  <c r="F4717" i="7"/>
  <c r="F4860" i="7"/>
  <c r="F4895" i="7"/>
  <c r="F4930" i="7"/>
  <c r="F5116" i="7"/>
  <c r="F4259" i="7"/>
  <c r="F4262" i="7"/>
  <c r="F4265" i="7"/>
  <c r="F4282" i="7"/>
  <c r="F4290" i="7"/>
  <c r="F4298" i="7"/>
  <c r="F4306" i="7"/>
  <c r="F4314" i="7"/>
  <c r="F4322" i="7"/>
  <c r="F4330" i="7"/>
  <c r="F4338" i="7"/>
  <c r="F4346" i="7"/>
  <c r="F4354" i="7"/>
  <c r="F4362" i="7"/>
  <c r="F4370" i="7"/>
  <c r="F4378" i="7"/>
  <c r="F4386" i="7"/>
  <c r="F4394" i="7"/>
  <c r="F4402" i="7"/>
  <c r="F4410" i="7"/>
  <c r="F4418" i="7"/>
  <c r="F4426" i="7"/>
  <c r="F4434" i="7"/>
  <c r="F4442" i="7"/>
  <c r="F4450" i="7"/>
  <c r="F4458" i="7"/>
  <c r="F4466" i="7"/>
  <c r="F4474" i="7"/>
  <c r="F4482" i="7"/>
  <c r="F4490" i="7"/>
  <c r="F4498" i="7"/>
  <c r="F4506" i="7"/>
  <c r="F4514" i="7"/>
  <c r="F4522" i="7"/>
  <c r="F4530" i="7"/>
  <c r="F4538" i="7"/>
  <c r="F4546" i="7"/>
  <c r="F4554" i="7"/>
  <c r="F4562" i="7"/>
  <c r="F4570" i="7"/>
  <c r="F4578" i="7"/>
  <c r="F4586" i="7"/>
  <c r="F4594" i="7"/>
  <c r="F4602" i="7"/>
  <c r="F4610" i="7"/>
  <c r="F4618" i="7"/>
  <c r="F4626" i="7"/>
  <c r="F4634" i="7"/>
  <c r="F4642" i="7"/>
  <c r="F4650" i="7"/>
  <c r="F4658" i="7"/>
  <c r="F4666" i="7"/>
  <c r="F4674" i="7"/>
  <c r="F4682" i="7"/>
  <c r="F4690" i="7"/>
  <c r="F4698" i="7"/>
  <c r="F4706" i="7"/>
  <c r="F4714" i="7"/>
  <c r="F4722" i="7"/>
  <c r="F4892" i="7"/>
  <c r="F4927" i="7"/>
  <c r="F4962" i="7"/>
  <c r="F5183" i="7"/>
  <c r="F5194" i="7"/>
  <c r="F5202" i="7"/>
  <c r="F4249" i="7"/>
  <c r="F4279" i="7"/>
  <c r="F4287" i="7"/>
  <c r="F4295" i="7"/>
  <c r="F4303" i="7"/>
  <c r="F4311" i="7"/>
  <c r="F4319" i="7"/>
  <c r="F4327" i="7"/>
  <c r="F4335" i="7"/>
  <c r="F4343" i="7"/>
  <c r="F4351" i="7"/>
  <c r="F4359" i="7"/>
  <c r="F4367" i="7"/>
  <c r="F4375" i="7"/>
  <c r="F4383" i="7"/>
  <c r="F4391" i="7"/>
  <c r="F4399" i="7"/>
  <c r="F4407" i="7"/>
  <c r="F4415" i="7"/>
  <c r="F4423" i="7"/>
  <c r="F4431" i="7"/>
  <c r="F4439" i="7"/>
  <c r="F4447" i="7"/>
  <c r="CS22" i="7" s="1"/>
  <c r="F4455" i="7"/>
  <c r="F4463" i="7"/>
  <c r="F4471" i="7"/>
  <c r="F4479" i="7"/>
  <c r="F4487" i="7"/>
  <c r="F4495" i="7"/>
  <c r="F4503" i="7"/>
  <c r="F4511" i="7"/>
  <c r="F4519" i="7"/>
  <c r="F4527" i="7"/>
  <c r="F4535" i="7"/>
  <c r="F4543" i="7"/>
  <c r="F4551" i="7"/>
  <c r="F4559" i="7"/>
  <c r="F4567" i="7"/>
  <c r="F4575" i="7"/>
  <c r="F4583" i="7"/>
  <c r="F4591" i="7"/>
  <c r="F4599" i="7"/>
  <c r="F4607" i="7"/>
  <c r="F4615" i="7"/>
  <c r="F4623" i="7"/>
  <c r="F4631" i="7"/>
  <c r="F4639" i="7"/>
  <c r="F4647" i="7"/>
  <c r="F4655" i="7"/>
  <c r="F4663" i="7"/>
  <c r="F4671" i="7"/>
  <c r="F4679" i="7"/>
  <c r="F4687" i="7"/>
  <c r="F4695" i="7"/>
  <c r="F4703" i="7"/>
  <c r="F4711" i="7"/>
  <c r="F4719" i="7"/>
  <c r="F4730" i="7"/>
  <c r="F4738" i="7"/>
  <c r="F4749" i="7"/>
  <c r="F4757" i="7"/>
  <c r="F4924" i="7"/>
  <c r="F4959" i="7"/>
  <c r="F4994" i="7"/>
  <c r="F5161" i="7"/>
  <c r="F4255" i="7"/>
  <c r="F4267" i="7"/>
  <c r="F4270" i="7"/>
  <c r="F4273" i="7"/>
  <c r="F4284" i="7"/>
  <c r="F4292" i="7"/>
  <c r="F4300" i="7"/>
  <c r="F4308" i="7"/>
  <c r="F4316" i="7"/>
  <c r="F4324" i="7"/>
  <c r="F4332" i="7"/>
  <c r="F4340" i="7"/>
  <c r="F4348" i="7"/>
  <c r="F4356" i="7"/>
  <c r="F4364" i="7"/>
  <c r="F4372" i="7"/>
  <c r="F4380" i="7"/>
  <c r="F4388" i="7"/>
  <c r="F4396" i="7"/>
  <c r="F4404" i="7"/>
  <c r="F4412" i="7"/>
  <c r="F4420" i="7"/>
  <c r="F4746" i="7"/>
  <c r="F4770" i="7"/>
  <c r="F4789" i="7"/>
  <c r="F4956" i="7"/>
  <c r="F4991" i="7"/>
  <c r="F5026" i="7"/>
  <c r="F5150" i="7"/>
  <c r="F4245" i="7"/>
  <c r="F4261" i="7"/>
  <c r="F4281" i="7"/>
  <c r="F4289" i="7"/>
  <c r="F4297" i="7"/>
  <c r="F4305" i="7"/>
  <c r="F4313" i="7"/>
  <c r="F4321" i="7"/>
  <c r="F4329" i="7"/>
  <c r="F4337" i="7"/>
  <c r="F4345" i="7"/>
  <c r="F4353" i="7"/>
  <c r="F4361" i="7"/>
  <c r="F4369" i="7"/>
  <c r="F4377" i="7"/>
  <c r="F4385" i="7"/>
  <c r="F4393" i="7"/>
  <c r="F4401" i="7"/>
  <c r="F4409" i="7"/>
  <c r="F4417" i="7"/>
  <c r="F4425" i="7"/>
  <c r="F4433" i="7"/>
  <c r="F4441" i="7"/>
  <c r="F4449" i="7"/>
  <c r="F4457" i="7"/>
  <c r="F4465" i="7"/>
  <c r="F4473" i="7"/>
  <c r="F4481" i="7"/>
  <c r="F4489" i="7"/>
  <c r="F4497" i="7"/>
  <c r="F4505" i="7"/>
  <c r="F4513" i="7"/>
  <c r="F4521" i="7"/>
  <c r="F4529" i="7"/>
  <c r="F4537" i="7"/>
  <c r="F4545" i="7"/>
  <c r="F4553" i="7"/>
  <c r="F4561" i="7"/>
  <c r="F4569" i="7"/>
  <c r="F4577" i="7"/>
  <c r="F4585" i="7"/>
  <c r="F4593" i="7"/>
  <c r="F4601" i="7"/>
  <c r="F4609" i="7"/>
  <c r="F4617" i="7"/>
  <c r="F4625" i="7"/>
  <c r="F4633" i="7"/>
  <c r="F4641" i="7"/>
  <c r="F4649" i="7"/>
  <c r="F4657" i="7"/>
  <c r="F4665" i="7"/>
  <c r="F4673" i="7"/>
  <c r="F4681" i="7"/>
  <c r="F4689" i="7"/>
  <c r="F4697" i="7"/>
  <c r="F4705" i="7"/>
  <c r="F4713" i="7"/>
  <c r="F4721" i="7"/>
  <c r="F4732" i="7"/>
  <c r="F4767" i="7"/>
  <c r="F4802" i="7"/>
  <c r="F4988" i="7"/>
  <c r="F5023" i="7"/>
  <c r="F5058" i="7"/>
  <c r="F4728" i="7"/>
  <c r="F4752" i="7"/>
  <c r="F4755" i="7"/>
  <c r="F4758" i="7"/>
  <c r="F4784" i="7"/>
  <c r="F4787" i="7"/>
  <c r="F4790" i="7"/>
  <c r="F4816" i="7"/>
  <c r="F4819" i="7"/>
  <c r="F4822" i="7"/>
  <c r="F4848" i="7"/>
  <c r="F4851" i="7"/>
  <c r="F4854" i="7"/>
  <c r="F4880" i="7"/>
  <c r="F4883" i="7"/>
  <c r="F4886" i="7"/>
  <c r="F4912" i="7"/>
  <c r="F4915" i="7"/>
  <c r="F4918" i="7"/>
  <c r="F4944" i="7"/>
  <c r="F4947" i="7"/>
  <c r="F4950" i="7"/>
  <c r="F4976" i="7"/>
  <c r="F4979" i="7"/>
  <c r="F4982" i="7"/>
  <c r="F5008" i="7"/>
  <c r="F5011" i="7"/>
  <c r="F5014" i="7"/>
  <c r="F5040" i="7"/>
  <c r="F5043" i="7"/>
  <c r="F5046" i="7"/>
  <c r="F5072" i="7"/>
  <c r="F5075" i="7"/>
  <c r="F5078" i="7"/>
  <c r="F5104" i="7"/>
  <c r="F5107" i="7"/>
  <c r="F5110" i="7"/>
  <c r="F5144" i="7"/>
  <c r="F5158" i="7"/>
  <c r="F5180" i="7"/>
  <c r="F5773" i="7"/>
  <c r="F5792" i="7"/>
  <c r="F4724" i="7"/>
  <c r="F4772" i="7"/>
  <c r="F4775" i="7"/>
  <c r="F4778" i="7"/>
  <c r="F4804" i="7"/>
  <c r="F4807" i="7"/>
  <c r="F4810" i="7"/>
  <c r="F4836" i="7"/>
  <c r="F4839" i="7"/>
  <c r="F4842" i="7"/>
  <c r="F4868" i="7"/>
  <c r="F4871" i="7"/>
  <c r="F4874" i="7"/>
  <c r="F4900" i="7"/>
  <c r="F4903" i="7"/>
  <c r="F4906" i="7"/>
  <c r="F4932" i="7"/>
  <c r="F4935" i="7"/>
  <c r="F4938" i="7"/>
  <c r="F4964" i="7"/>
  <c r="F4967" i="7"/>
  <c r="F4970" i="7"/>
  <c r="F4996" i="7"/>
  <c r="F4999" i="7"/>
  <c r="F5002" i="7"/>
  <c r="F5028" i="7"/>
  <c r="F5031" i="7"/>
  <c r="F5034" i="7"/>
  <c r="F5060" i="7"/>
  <c r="F5063" i="7"/>
  <c r="F5066" i="7"/>
  <c r="F5092" i="7"/>
  <c r="F5095" i="7"/>
  <c r="F5098" i="7"/>
  <c r="F5124" i="7"/>
  <c r="F5127" i="7"/>
  <c r="F5130" i="7"/>
  <c r="F5138" i="7"/>
  <c r="F5155" i="7"/>
  <c r="F5163" i="7"/>
  <c r="F5171" i="7"/>
  <c r="F5188" i="7"/>
  <c r="F5196" i="7"/>
  <c r="F5207" i="7"/>
  <c r="F5738" i="7"/>
  <c r="F6029" i="7"/>
  <c r="F6048" i="7"/>
  <c r="F6056" i="7"/>
  <c r="F4748" i="7"/>
  <c r="F4760" i="7"/>
  <c r="F4763" i="7"/>
  <c r="F4766" i="7"/>
  <c r="F4792" i="7"/>
  <c r="F4795" i="7"/>
  <c r="F4798" i="7"/>
  <c r="F4824" i="7"/>
  <c r="F4827" i="7"/>
  <c r="F4830" i="7"/>
  <c r="F4856" i="7"/>
  <c r="CU24" i="7" s="1"/>
  <c r="F4859" i="7"/>
  <c r="F4862" i="7"/>
  <c r="F4888" i="7"/>
  <c r="F4891" i="7"/>
  <c r="F4894" i="7"/>
  <c r="F4920" i="7"/>
  <c r="F4923" i="7"/>
  <c r="F4926" i="7"/>
  <c r="F4952" i="7"/>
  <c r="F4955" i="7"/>
  <c r="F4958" i="7"/>
  <c r="F4984" i="7"/>
  <c r="F4987" i="7"/>
  <c r="F4990" i="7"/>
  <c r="F5016" i="7"/>
  <c r="F5019" i="7"/>
  <c r="F5022" i="7"/>
  <c r="F5048" i="7"/>
  <c r="F5051" i="7"/>
  <c r="F5054" i="7"/>
  <c r="F5080" i="7"/>
  <c r="F5083" i="7"/>
  <c r="F5086" i="7"/>
  <c r="F5112" i="7"/>
  <c r="F5115" i="7"/>
  <c r="F5118" i="7"/>
  <c r="F5146" i="7"/>
  <c r="F5168" i="7"/>
  <c r="F5182" i="7"/>
  <c r="F5193" i="7"/>
  <c r="F5215" i="7"/>
  <c r="F5994" i="7"/>
  <c r="F4751" i="7"/>
  <c r="F4754" i="7"/>
  <c r="F4780" i="7"/>
  <c r="F4783" i="7"/>
  <c r="F4786" i="7"/>
  <c r="F4812" i="7"/>
  <c r="F4815" i="7"/>
  <c r="F4818" i="7"/>
  <c r="F4844" i="7"/>
  <c r="F4847" i="7"/>
  <c r="F4850" i="7"/>
  <c r="F4876" i="7"/>
  <c r="F4879" i="7"/>
  <c r="F4882" i="7"/>
  <c r="F4908" i="7"/>
  <c r="F4911" i="7"/>
  <c r="F4914" i="7"/>
  <c r="F4940" i="7"/>
  <c r="F4943" i="7"/>
  <c r="F4946" i="7"/>
  <c r="F4972" i="7"/>
  <c r="F4975" i="7"/>
  <c r="F4978" i="7"/>
  <c r="F5004" i="7"/>
  <c r="F5007" i="7"/>
  <c r="F5010" i="7"/>
  <c r="F5036" i="7"/>
  <c r="F5039" i="7"/>
  <c r="F5042" i="7"/>
  <c r="F5068" i="7"/>
  <c r="F5071" i="7"/>
  <c r="F5074" i="7"/>
  <c r="F5100" i="7"/>
  <c r="F5103" i="7"/>
  <c r="F5106" i="7"/>
  <c r="F5132" i="7"/>
  <c r="F5143" i="7"/>
  <c r="F5176" i="7"/>
  <c r="F5190" i="7"/>
  <c r="F5212" i="7"/>
  <c r="F5228" i="7"/>
  <c r="F5652" i="7"/>
  <c r="F5660" i="7"/>
  <c r="F5668" i="7"/>
  <c r="F5676" i="7"/>
  <c r="F5959" i="7"/>
  <c r="F4744" i="7"/>
  <c r="F4768" i="7"/>
  <c r="F4771" i="7"/>
  <c r="F4774" i="7"/>
  <c r="F4800" i="7"/>
  <c r="F4803" i="7"/>
  <c r="F4806" i="7"/>
  <c r="F4832" i="7"/>
  <c r="F4835" i="7"/>
  <c r="F4838" i="7"/>
  <c r="F4864" i="7"/>
  <c r="F4867" i="7"/>
  <c r="F4870" i="7"/>
  <c r="F4896" i="7"/>
  <c r="F4899" i="7"/>
  <c r="F4902" i="7"/>
  <c r="F4928" i="7"/>
  <c r="F4931" i="7"/>
  <c r="F4934" i="7"/>
  <c r="F4960" i="7"/>
  <c r="F4963" i="7"/>
  <c r="F4966" i="7"/>
  <c r="F4992" i="7"/>
  <c r="F4995" i="7"/>
  <c r="F4998" i="7"/>
  <c r="F5024" i="7"/>
  <c r="F5027" i="7"/>
  <c r="F5030" i="7"/>
  <c r="F5056" i="7"/>
  <c r="F5059" i="7"/>
  <c r="F5062" i="7"/>
  <c r="F5088" i="7"/>
  <c r="F5091" i="7"/>
  <c r="F5094" i="7"/>
  <c r="F5120" i="7"/>
  <c r="F5123" i="7"/>
  <c r="F5126" i="7"/>
  <c r="F5151" i="7"/>
  <c r="F5162" i="7"/>
  <c r="F5170" i="7"/>
  <c r="F5187" i="7"/>
  <c r="F5195" i="7"/>
  <c r="F5908" i="7"/>
  <c r="F5916" i="7"/>
  <c r="F5924" i="7"/>
  <c r="F5932" i="7"/>
  <c r="F4740" i="7"/>
  <c r="F4747" i="7"/>
  <c r="F4756" i="7"/>
  <c r="F4759" i="7"/>
  <c r="F4762" i="7"/>
  <c r="F4788" i="7"/>
  <c r="F4791" i="7"/>
  <c r="F4794" i="7"/>
  <c r="F4820" i="7"/>
  <c r="F4823" i="7"/>
  <c r="F4826" i="7"/>
  <c r="F4852" i="7"/>
  <c r="F4855" i="7"/>
  <c r="CQ20" i="7" s="1"/>
  <c r="F4858" i="7"/>
  <c r="F4884" i="7"/>
  <c r="F4887" i="7"/>
  <c r="F4890" i="7"/>
  <c r="F4916" i="7"/>
  <c r="F4919" i="7"/>
  <c r="F4922" i="7"/>
  <c r="F4948" i="7"/>
  <c r="F4951" i="7"/>
  <c r="F4954" i="7"/>
  <c r="F4980" i="7"/>
  <c r="F4983" i="7"/>
  <c r="F4986" i="7"/>
  <c r="F5012" i="7"/>
  <c r="F5015" i="7"/>
  <c r="F5018" i="7"/>
  <c r="F5044" i="7"/>
  <c r="F5047" i="7"/>
  <c r="F5050" i="7"/>
  <c r="F5076" i="7"/>
  <c r="F5079" i="7"/>
  <c r="F5082" i="7"/>
  <c r="F5108" i="7"/>
  <c r="F5111" i="7"/>
  <c r="F5114" i="7"/>
  <c r="F5148" i="7"/>
  <c r="F5178" i="7"/>
  <c r="F5200" i="7"/>
  <c r="F5214" i="7"/>
  <c r="F4736" i="7"/>
  <c r="F4776" i="7"/>
  <c r="F4779" i="7"/>
  <c r="F4782" i="7"/>
  <c r="F4808" i="7"/>
  <c r="F4811" i="7"/>
  <c r="F4814" i="7"/>
  <c r="F4840" i="7"/>
  <c r="F4843" i="7"/>
  <c r="F4846" i="7"/>
  <c r="F4872" i="7"/>
  <c r="F4875" i="7"/>
  <c r="F4878" i="7"/>
  <c r="F4904" i="7"/>
  <c r="F4907" i="7"/>
  <c r="F4910" i="7"/>
  <c r="F4936" i="7"/>
  <c r="F4939" i="7"/>
  <c r="F4942" i="7"/>
  <c r="F4968" i="7"/>
  <c r="F4971" i="7"/>
  <c r="F4974" i="7"/>
  <c r="F5000" i="7"/>
  <c r="F5003" i="7"/>
  <c r="F5006" i="7"/>
  <c r="F5032" i="7"/>
  <c r="F5035" i="7"/>
  <c r="F5038" i="7"/>
  <c r="F5064" i="7"/>
  <c r="F5067" i="7"/>
  <c r="F5070" i="7"/>
  <c r="F5096" i="7"/>
  <c r="F5099" i="7"/>
  <c r="F5102" i="7"/>
  <c r="F5128" i="7"/>
  <c r="F5131" i="7"/>
  <c r="F5139" i="7"/>
  <c r="F5156" i="7"/>
  <c r="F5164" i="7"/>
  <c r="F5175" i="7"/>
  <c r="F5208" i="7"/>
  <c r="F5157" i="7"/>
  <c r="F5189" i="7"/>
  <c r="F5223" i="7"/>
  <c r="F5226" i="7"/>
  <c r="F5229" i="7"/>
  <c r="F5237" i="7"/>
  <c r="F5245" i="7"/>
  <c r="F5253" i="7"/>
  <c r="F5261" i="7"/>
  <c r="F5269" i="7"/>
  <c r="F5277" i="7"/>
  <c r="F5285" i="7"/>
  <c r="F5293" i="7"/>
  <c r="F5301" i="7"/>
  <c r="F5309" i="7"/>
  <c r="F5317" i="7"/>
  <c r="F5325" i="7"/>
  <c r="F5333" i="7"/>
  <c r="F5341" i="7"/>
  <c r="F5349" i="7"/>
  <c r="F5357" i="7"/>
  <c r="F5365" i="7"/>
  <c r="F5373" i="7"/>
  <c r="F5381" i="7"/>
  <c r="F5389" i="7"/>
  <c r="F5397" i="7"/>
  <c r="F5405" i="7"/>
  <c r="F5413" i="7"/>
  <c r="F5421" i="7"/>
  <c r="F5429" i="7"/>
  <c r="F5437" i="7"/>
  <c r="F5445" i="7"/>
  <c r="F5453" i="7"/>
  <c r="F5461" i="7"/>
  <c r="F5469" i="7"/>
  <c r="F5477" i="7"/>
  <c r="F5485" i="7"/>
  <c r="F5493" i="7"/>
  <c r="F5501" i="7"/>
  <c r="F5509" i="7"/>
  <c r="F5517" i="7"/>
  <c r="F5525" i="7"/>
  <c r="F5533" i="7"/>
  <c r="F5541" i="7"/>
  <c r="F5568" i="7"/>
  <c r="F5684" i="7"/>
  <c r="F5692" i="7"/>
  <c r="F5700" i="7"/>
  <c r="F5708" i="7"/>
  <c r="F5770" i="7"/>
  <c r="F5805" i="7"/>
  <c r="F5824" i="7"/>
  <c r="F5940" i="7"/>
  <c r="F5948" i="7"/>
  <c r="F5956" i="7"/>
  <c r="F5964" i="7"/>
  <c r="F6026" i="7"/>
  <c r="F6080" i="7"/>
  <c r="F6160" i="7"/>
  <c r="F5153" i="7"/>
  <c r="F5185" i="7"/>
  <c r="F5217" i="7"/>
  <c r="F5234" i="7"/>
  <c r="F5242" i="7"/>
  <c r="F5250" i="7"/>
  <c r="F5258" i="7"/>
  <c r="F5266" i="7"/>
  <c r="F5274" i="7"/>
  <c r="F5282" i="7"/>
  <c r="F5290" i="7"/>
  <c r="F5298" i="7"/>
  <c r="F5306" i="7"/>
  <c r="F5314" i="7"/>
  <c r="F5322" i="7"/>
  <c r="F5330" i="7"/>
  <c r="F5338" i="7"/>
  <c r="F5346" i="7"/>
  <c r="F5354" i="7"/>
  <c r="F5362" i="7"/>
  <c r="F5370" i="7"/>
  <c r="F5378" i="7"/>
  <c r="F5386" i="7"/>
  <c r="F5394" i="7"/>
  <c r="F5402" i="7"/>
  <c r="F5410" i="7"/>
  <c r="F5418" i="7"/>
  <c r="F5426" i="7"/>
  <c r="F5434" i="7"/>
  <c r="F5442" i="7"/>
  <c r="F5450" i="7"/>
  <c r="F5458" i="7"/>
  <c r="F5466" i="7"/>
  <c r="F5474" i="7"/>
  <c r="F5482" i="7"/>
  <c r="F5490" i="7"/>
  <c r="F5498" i="7"/>
  <c r="F5506" i="7"/>
  <c r="F5514" i="7"/>
  <c r="F5522" i="7"/>
  <c r="F5530" i="7"/>
  <c r="F5581" i="7"/>
  <c r="F5600" i="7"/>
  <c r="F5716" i="7"/>
  <c r="F5724" i="7"/>
  <c r="F5732" i="7"/>
  <c r="F5740" i="7"/>
  <c r="F5802" i="7"/>
  <c r="F5837" i="7"/>
  <c r="F5856" i="7"/>
  <c r="F5972" i="7"/>
  <c r="F5980" i="7"/>
  <c r="F5988" i="7"/>
  <c r="F5996" i="7"/>
  <c r="F6058" i="7"/>
  <c r="F6288" i="7"/>
  <c r="F5149" i="7"/>
  <c r="F5181" i="7"/>
  <c r="F5213" i="7"/>
  <c r="F5231" i="7"/>
  <c r="F5239" i="7"/>
  <c r="F5247" i="7"/>
  <c r="F5255" i="7"/>
  <c r="F5263" i="7"/>
  <c r="F5271" i="7"/>
  <c r="F5279" i="7"/>
  <c r="F5287" i="7"/>
  <c r="F5295" i="7"/>
  <c r="F5303" i="7"/>
  <c r="F5311" i="7"/>
  <c r="F5319" i="7"/>
  <c r="F5327" i="7"/>
  <c r="F5335" i="7"/>
  <c r="F5343" i="7"/>
  <c r="F5351" i="7"/>
  <c r="F5359" i="7"/>
  <c r="F5367" i="7"/>
  <c r="F5375" i="7"/>
  <c r="F5383" i="7"/>
  <c r="F5391" i="7"/>
  <c r="F5399" i="7"/>
  <c r="F5407" i="7"/>
  <c r="F5415" i="7"/>
  <c r="F5423" i="7"/>
  <c r="F5431" i="7"/>
  <c r="F5439" i="7"/>
  <c r="F5447" i="7"/>
  <c r="F5455" i="7"/>
  <c r="F5463" i="7"/>
  <c r="F5471" i="7"/>
  <c r="F5479" i="7"/>
  <c r="F5487" i="7"/>
  <c r="F5495" i="7"/>
  <c r="F5503" i="7"/>
  <c r="F5511" i="7"/>
  <c r="F5519" i="7"/>
  <c r="F5527" i="7"/>
  <c r="F5535" i="7"/>
  <c r="F5543" i="7"/>
  <c r="F5578" i="7"/>
  <c r="F5613" i="7"/>
  <c r="F5632" i="7"/>
  <c r="F5748" i="7"/>
  <c r="F5756" i="7"/>
  <c r="F5764" i="7"/>
  <c r="F5772" i="7"/>
  <c r="F5834" i="7"/>
  <c r="F5869" i="7"/>
  <c r="F5888" i="7"/>
  <c r="F6004" i="7"/>
  <c r="F6012" i="7"/>
  <c r="F6020" i="7"/>
  <c r="F6028" i="7"/>
  <c r="F5145" i="7"/>
  <c r="F5177" i="7"/>
  <c r="F5209" i="7"/>
  <c r="F5219" i="7"/>
  <c r="F5222" i="7"/>
  <c r="F5225" i="7"/>
  <c r="F5236" i="7"/>
  <c r="F5244" i="7"/>
  <c r="F5252" i="7"/>
  <c r="F5260" i="7"/>
  <c r="F5268" i="7"/>
  <c r="F5276" i="7"/>
  <c r="F5284" i="7"/>
  <c r="F5292" i="7"/>
  <c r="F5300" i="7"/>
  <c r="F5308" i="7"/>
  <c r="F5316" i="7"/>
  <c r="F5324" i="7"/>
  <c r="F5332" i="7"/>
  <c r="F5340" i="7"/>
  <c r="F5348" i="7"/>
  <c r="F5356" i="7"/>
  <c r="F5364" i="7"/>
  <c r="F5372" i="7"/>
  <c r="F5380" i="7"/>
  <c r="F5388" i="7"/>
  <c r="F5396" i="7"/>
  <c r="F5404" i="7"/>
  <c r="F5412" i="7"/>
  <c r="F5420" i="7"/>
  <c r="F5428" i="7"/>
  <c r="F5436" i="7"/>
  <c r="F5444" i="7"/>
  <c r="F5452" i="7"/>
  <c r="F5460" i="7"/>
  <c r="F5468" i="7"/>
  <c r="F5476" i="7"/>
  <c r="F5484" i="7"/>
  <c r="F5492" i="7"/>
  <c r="F5500" i="7"/>
  <c r="F5508" i="7"/>
  <c r="F5516" i="7"/>
  <c r="F5524" i="7"/>
  <c r="F5532" i="7"/>
  <c r="F5540" i="7"/>
  <c r="F5610" i="7"/>
  <c r="F5645" i="7"/>
  <c r="F5664" i="7"/>
  <c r="F5780" i="7"/>
  <c r="F5788" i="7"/>
  <c r="F5796" i="7"/>
  <c r="F5804" i="7"/>
  <c r="F5866" i="7"/>
  <c r="F5901" i="7"/>
  <c r="F5920" i="7"/>
  <c r="F6036" i="7"/>
  <c r="F6044" i="7"/>
  <c r="F6052" i="7"/>
  <c r="F6060" i="7"/>
  <c r="F5141" i="7"/>
  <c r="F5173" i="7"/>
  <c r="F5205" i="7"/>
  <c r="F5233" i="7"/>
  <c r="F5241" i="7"/>
  <c r="F5249" i="7"/>
  <c r="F5257" i="7"/>
  <c r="F5265" i="7"/>
  <c r="F5273" i="7"/>
  <c r="F5281" i="7"/>
  <c r="F5289" i="7"/>
  <c r="F5297" i="7"/>
  <c r="F5305" i="7"/>
  <c r="F5313" i="7"/>
  <c r="F5321" i="7"/>
  <c r="F5329" i="7"/>
  <c r="F5337" i="7"/>
  <c r="F5345" i="7"/>
  <c r="F5353" i="7"/>
  <c r="F5361" i="7"/>
  <c r="F5369" i="7"/>
  <c r="F5377" i="7"/>
  <c r="F5385" i="7"/>
  <c r="F5393" i="7"/>
  <c r="F5401" i="7"/>
  <c r="F5409" i="7"/>
  <c r="F5417" i="7"/>
  <c r="F5425" i="7"/>
  <c r="F5433" i="7"/>
  <c r="F5441" i="7"/>
  <c r="F5449" i="7"/>
  <c r="F5457" i="7"/>
  <c r="F5465" i="7"/>
  <c r="F5473" i="7"/>
  <c r="F5481" i="7"/>
  <c r="F5489" i="7"/>
  <c r="F5497" i="7"/>
  <c r="F5505" i="7"/>
  <c r="F5513" i="7"/>
  <c r="F5521" i="7"/>
  <c r="F5529" i="7"/>
  <c r="F5537" i="7"/>
  <c r="F5545" i="7"/>
  <c r="F5556" i="7"/>
  <c r="F5564" i="7"/>
  <c r="F5572" i="7"/>
  <c r="F5580" i="7"/>
  <c r="F5642" i="7"/>
  <c r="F5677" i="7"/>
  <c r="F5696" i="7"/>
  <c r="F5812" i="7"/>
  <c r="F5820" i="7"/>
  <c r="F5828" i="7"/>
  <c r="F5836" i="7"/>
  <c r="F5898" i="7"/>
  <c r="F5933" i="7"/>
  <c r="F5952" i="7"/>
  <c r="F6068" i="7"/>
  <c r="F6076" i="7"/>
  <c r="F6084" i="7"/>
  <c r="F6116" i="7"/>
  <c r="F6247" i="7"/>
  <c r="F5137" i="7"/>
  <c r="F5169" i="7"/>
  <c r="F5201" i="7"/>
  <c r="F5227" i="7"/>
  <c r="F5230" i="7"/>
  <c r="F5238" i="7"/>
  <c r="F5246" i="7"/>
  <c r="F5254" i="7"/>
  <c r="F5262" i="7"/>
  <c r="F5270" i="7"/>
  <c r="F5278" i="7"/>
  <c r="F5286" i="7"/>
  <c r="F5294" i="7"/>
  <c r="F5302" i="7"/>
  <c r="F5310" i="7"/>
  <c r="F5318" i="7"/>
  <c r="F5326" i="7"/>
  <c r="F5334" i="7"/>
  <c r="F5342" i="7"/>
  <c r="F5350" i="7"/>
  <c r="F5358" i="7"/>
  <c r="F5366" i="7"/>
  <c r="F5374" i="7"/>
  <c r="F5382" i="7"/>
  <c r="F5390" i="7"/>
  <c r="F5398" i="7"/>
  <c r="F5406" i="7"/>
  <c r="F5414" i="7"/>
  <c r="F5422" i="7"/>
  <c r="F5430" i="7"/>
  <c r="F5438" i="7"/>
  <c r="F5446" i="7"/>
  <c r="F5454" i="7"/>
  <c r="F5462" i="7"/>
  <c r="F5470" i="7"/>
  <c r="F5478" i="7"/>
  <c r="F5486" i="7"/>
  <c r="F5494" i="7"/>
  <c r="F5502" i="7"/>
  <c r="F5510" i="7"/>
  <c r="F5518" i="7"/>
  <c r="F5526" i="7"/>
  <c r="F5534" i="7"/>
  <c r="F5588" i="7"/>
  <c r="F5596" i="7"/>
  <c r="F5604" i="7"/>
  <c r="F5612" i="7"/>
  <c r="F5674" i="7"/>
  <c r="F5709" i="7"/>
  <c r="F5728" i="7"/>
  <c r="F5844" i="7"/>
  <c r="F5852" i="7"/>
  <c r="F5860" i="7"/>
  <c r="F5868" i="7"/>
  <c r="F5930" i="7"/>
  <c r="F5965" i="7"/>
  <c r="F5984" i="7"/>
  <c r="F5992" i="7"/>
  <c r="F6121" i="7"/>
  <c r="F6145" i="7"/>
  <c r="F5133" i="7"/>
  <c r="F5165" i="7"/>
  <c r="F5197" i="7"/>
  <c r="F5218" i="7"/>
  <c r="F5221" i="7"/>
  <c r="F5235" i="7"/>
  <c r="F5243" i="7"/>
  <c r="F5251" i="7"/>
  <c r="F5259" i="7"/>
  <c r="F5267" i="7"/>
  <c r="F5275" i="7"/>
  <c r="F5283" i="7"/>
  <c r="F5291" i="7"/>
  <c r="F5299" i="7"/>
  <c r="F5307" i="7"/>
  <c r="F5315" i="7"/>
  <c r="F5323" i="7"/>
  <c r="F5331" i="7"/>
  <c r="F5339" i="7"/>
  <c r="F5347" i="7"/>
  <c r="F5355" i="7"/>
  <c r="F5363" i="7"/>
  <c r="F5371" i="7"/>
  <c r="F5379" i="7"/>
  <c r="F5387" i="7"/>
  <c r="F5395" i="7"/>
  <c r="F5403" i="7"/>
  <c r="F5411" i="7"/>
  <c r="F5419" i="7"/>
  <c r="F5427" i="7"/>
  <c r="F5435" i="7"/>
  <c r="F5443" i="7"/>
  <c r="F5451" i="7"/>
  <c r="F5459" i="7"/>
  <c r="F5467" i="7"/>
  <c r="F5475" i="7"/>
  <c r="F5483" i="7"/>
  <c r="F5491" i="7"/>
  <c r="F5499" i="7"/>
  <c r="F5507" i="7"/>
  <c r="F5515" i="7"/>
  <c r="F5523" i="7"/>
  <c r="F5531" i="7"/>
  <c r="F5539" i="7"/>
  <c r="F5620" i="7"/>
  <c r="F5628" i="7"/>
  <c r="F5636" i="7"/>
  <c r="F5644" i="7"/>
  <c r="F5706" i="7"/>
  <c r="F5741" i="7"/>
  <c r="F5760" i="7"/>
  <c r="F5876" i="7"/>
  <c r="F5884" i="7"/>
  <c r="F5892" i="7"/>
  <c r="F5900" i="7"/>
  <c r="F5962" i="7"/>
  <c r="F5997" i="7"/>
  <c r="F6016" i="7"/>
  <c r="F6024" i="7"/>
  <c r="F5566" i="7"/>
  <c r="F5569" i="7"/>
  <c r="F5598" i="7"/>
  <c r="F5601" i="7"/>
  <c r="F5630" i="7"/>
  <c r="F5633" i="7"/>
  <c r="F5659" i="7"/>
  <c r="F5662" i="7"/>
  <c r="F5665" i="7"/>
  <c r="F5694" i="7"/>
  <c r="F5697" i="7"/>
  <c r="F5726" i="7"/>
  <c r="F5729" i="7"/>
  <c r="F5758" i="7"/>
  <c r="F5761" i="7"/>
  <c r="F5790" i="7"/>
  <c r="F5793" i="7"/>
  <c r="F5822" i="7"/>
  <c r="F5825" i="7"/>
  <c r="F5854" i="7"/>
  <c r="F5857" i="7"/>
  <c r="F5886" i="7"/>
  <c r="F5889" i="7"/>
  <c r="F5918" i="7"/>
  <c r="F5921" i="7"/>
  <c r="F5947" i="7"/>
  <c r="F5950" i="7"/>
  <c r="F5953" i="7"/>
  <c r="F5982" i="7"/>
  <c r="F5985" i="7"/>
  <c r="F6014" i="7"/>
  <c r="F6017" i="7"/>
  <c r="F6046" i="7"/>
  <c r="F6049" i="7"/>
  <c r="F6078" i="7"/>
  <c r="F6095" i="7"/>
  <c r="F6112" i="7"/>
  <c r="F6132" i="7"/>
  <c r="F6195" i="7"/>
  <c r="F6244" i="7"/>
  <c r="F6323" i="7"/>
  <c r="F6331" i="7"/>
  <c r="F6339" i="7"/>
  <c r="F6347" i="7"/>
  <c r="F6355" i="7"/>
  <c r="F6363" i="7"/>
  <c r="F6483" i="7"/>
  <c r="F5554" i="7"/>
  <c r="F5557" i="7"/>
  <c r="F5586" i="7"/>
  <c r="F5589" i="7"/>
  <c r="F5618" i="7"/>
  <c r="F5621" i="7"/>
  <c r="F5647" i="7"/>
  <c r="F5650" i="7"/>
  <c r="F5653" i="7"/>
  <c r="F5679" i="7"/>
  <c r="F5682" i="7"/>
  <c r="F5685" i="7"/>
  <c r="F5714" i="7"/>
  <c r="F5717" i="7"/>
  <c r="F5746" i="7"/>
  <c r="F5749" i="7"/>
  <c r="F5778" i="7"/>
  <c r="F5781" i="7"/>
  <c r="F5810" i="7"/>
  <c r="F5813" i="7"/>
  <c r="F5842" i="7"/>
  <c r="F5845" i="7"/>
  <c r="F5874" i="7"/>
  <c r="F5877" i="7"/>
  <c r="F5906" i="7"/>
  <c r="F5909" i="7"/>
  <c r="F5938" i="7"/>
  <c r="F5941" i="7"/>
  <c r="F5970" i="7"/>
  <c r="F5973" i="7"/>
  <c r="F6002" i="7"/>
  <c r="F6005" i="7"/>
  <c r="F6034" i="7"/>
  <c r="F6037" i="7"/>
  <c r="F6066" i="7"/>
  <c r="F6092" i="7"/>
  <c r="F6100" i="7"/>
  <c r="F6123" i="7"/>
  <c r="F6137" i="7"/>
  <c r="F6151" i="7"/>
  <c r="F6192" i="7"/>
  <c r="F6279" i="7"/>
  <c r="F6320" i="7"/>
  <c r="F5574" i="7"/>
  <c r="F5577" i="7"/>
  <c r="F5606" i="7"/>
  <c r="F5609" i="7"/>
  <c r="F5638" i="7"/>
  <c r="F5641" i="7"/>
  <c r="F5667" i="7"/>
  <c r="F5670" i="7"/>
  <c r="F5673" i="7"/>
  <c r="F5702" i="7"/>
  <c r="F5705" i="7"/>
  <c r="F5734" i="7"/>
  <c r="F5737" i="7"/>
  <c r="F5766" i="7"/>
  <c r="F5769" i="7"/>
  <c r="F5798" i="7"/>
  <c r="F5801" i="7"/>
  <c r="F5830" i="7"/>
  <c r="F5833" i="7"/>
  <c r="F5862" i="7"/>
  <c r="F5865" i="7"/>
  <c r="F5894" i="7"/>
  <c r="F5897" i="7"/>
  <c r="F5926" i="7"/>
  <c r="F5929" i="7"/>
  <c r="F5955" i="7"/>
  <c r="F5958" i="7"/>
  <c r="F5961" i="7"/>
  <c r="F5990" i="7"/>
  <c r="F5993" i="7"/>
  <c r="F6022" i="7"/>
  <c r="F6025" i="7"/>
  <c r="F6054" i="7"/>
  <c r="F6057" i="7"/>
  <c r="F6086" i="7"/>
  <c r="F6089" i="7"/>
  <c r="F6148" i="7"/>
  <c r="F6227" i="7"/>
  <c r="F6276" i="7"/>
  <c r="F5550" i="7"/>
  <c r="F5562" i="7"/>
  <c r="F5565" i="7"/>
  <c r="F5594" i="7"/>
  <c r="F5597" i="7"/>
  <c r="F5626" i="7"/>
  <c r="F5629" i="7"/>
  <c r="F5655" i="7"/>
  <c r="F5658" i="7"/>
  <c r="F5661" i="7"/>
  <c r="F5690" i="7"/>
  <c r="F5693" i="7"/>
  <c r="F5722" i="7"/>
  <c r="F5725" i="7"/>
  <c r="F5754" i="7"/>
  <c r="F5757" i="7"/>
  <c r="F5786" i="7"/>
  <c r="F5789" i="7"/>
  <c r="F5818" i="7"/>
  <c r="F5821" i="7"/>
  <c r="F5850" i="7"/>
  <c r="F5853" i="7"/>
  <c r="F5882" i="7"/>
  <c r="F5885" i="7"/>
  <c r="F5914" i="7"/>
  <c r="F5917" i="7"/>
  <c r="F5943" i="7"/>
  <c r="F5946" i="7"/>
  <c r="F5949" i="7"/>
  <c r="F5978" i="7"/>
  <c r="F5981" i="7"/>
  <c r="F6010" i="7"/>
  <c r="F6013" i="7"/>
  <c r="F6042" i="7"/>
  <c r="F6045" i="7"/>
  <c r="F6074" i="7"/>
  <c r="F6105" i="7"/>
  <c r="F6117" i="7"/>
  <c r="F6139" i="7"/>
  <c r="F6183" i="7"/>
  <c r="F6224" i="7"/>
  <c r="F6311" i="7"/>
  <c r="F5553" i="7"/>
  <c r="F5582" i="7"/>
  <c r="F5585" i="7"/>
  <c r="F5614" i="7"/>
  <c r="F5617" i="7"/>
  <c r="F5643" i="7"/>
  <c r="F5646" i="7"/>
  <c r="F5649" i="7"/>
  <c r="F5678" i="7"/>
  <c r="F5681" i="7"/>
  <c r="F5710" i="7"/>
  <c r="F5713" i="7"/>
  <c r="F5742" i="7"/>
  <c r="F5745" i="7"/>
  <c r="F5774" i="7"/>
  <c r="F5777" i="7"/>
  <c r="F5806" i="7"/>
  <c r="F5809" i="7"/>
  <c r="F5838" i="7"/>
  <c r="F5841" i="7"/>
  <c r="F5870" i="7"/>
  <c r="F5873" i="7"/>
  <c r="F5902" i="7"/>
  <c r="F5905" i="7"/>
  <c r="F5934" i="7"/>
  <c r="F5937" i="7"/>
  <c r="F5966" i="7"/>
  <c r="F5969" i="7"/>
  <c r="F5998" i="7"/>
  <c r="F6001" i="7"/>
  <c r="F6030" i="7"/>
  <c r="F6033" i="7"/>
  <c r="F6062" i="7"/>
  <c r="F6091" i="7"/>
  <c r="F6180" i="7"/>
  <c r="F6259" i="7"/>
  <c r="F6308" i="7"/>
  <c r="F5546" i="7"/>
  <c r="F5570" i="7"/>
  <c r="F5573" i="7"/>
  <c r="F5602" i="7"/>
  <c r="F5605" i="7"/>
  <c r="F5634" i="7"/>
  <c r="F5637" i="7"/>
  <c r="F5663" i="7"/>
  <c r="F5666" i="7"/>
  <c r="F5669" i="7"/>
  <c r="F5698" i="7"/>
  <c r="F5701" i="7"/>
  <c r="F5730" i="7"/>
  <c r="F5733" i="7"/>
  <c r="F5762" i="7"/>
  <c r="F5765" i="7"/>
  <c r="F5794" i="7"/>
  <c r="F5797" i="7"/>
  <c r="F5826" i="7"/>
  <c r="F5829" i="7"/>
  <c r="F5858" i="7"/>
  <c r="F5861" i="7"/>
  <c r="F5890" i="7"/>
  <c r="F5893" i="7"/>
  <c r="F5922" i="7"/>
  <c r="F5925" i="7"/>
  <c r="F5951" i="7"/>
  <c r="F5954" i="7"/>
  <c r="F5957" i="7"/>
  <c r="F5986" i="7"/>
  <c r="F5989" i="7"/>
  <c r="F6018" i="7"/>
  <c r="F6021" i="7"/>
  <c r="F6050" i="7"/>
  <c r="F6053" i="7"/>
  <c r="F6082" i="7"/>
  <c r="F6096" i="7"/>
  <c r="F6215" i="7"/>
  <c r="F6256" i="7"/>
  <c r="F5549" i="7"/>
  <c r="F5558" i="7"/>
  <c r="F5561" i="7"/>
  <c r="F5590" i="7"/>
  <c r="F5593" i="7"/>
  <c r="F5622" i="7"/>
  <c r="F5625" i="7"/>
  <c r="F5651" i="7"/>
  <c r="F5654" i="7"/>
  <c r="F5657" i="7"/>
  <c r="F5686" i="7"/>
  <c r="F5689" i="7"/>
  <c r="F5718" i="7"/>
  <c r="F5721" i="7"/>
  <c r="F5750" i="7"/>
  <c r="F5753" i="7"/>
  <c r="F5782" i="7"/>
  <c r="F5785" i="7"/>
  <c r="F5814" i="7"/>
  <c r="F5817" i="7"/>
  <c r="F5846" i="7"/>
  <c r="F5849" i="7"/>
  <c r="F5878" i="7"/>
  <c r="F5881" i="7"/>
  <c r="F5910" i="7"/>
  <c r="F5913" i="7"/>
  <c r="F5939" i="7"/>
  <c r="F5942" i="7"/>
  <c r="F5945" i="7"/>
  <c r="F5974" i="7"/>
  <c r="F5977" i="7"/>
  <c r="F6006" i="7"/>
  <c r="F6009" i="7"/>
  <c r="F6038" i="7"/>
  <c r="F6041" i="7"/>
  <c r="F6070" i="7"/>
  <c r="F6093" i="7"/>
  <c r="F6163" i="7"/>
  <c r="F6212" i="7"/>
  <c r="F6291" i="7"/>
  <c r="F6087" i="7"/>
  <c r="F6119" i="7"/>
  <c r="F6135" i="7"/>
  <c r="F6168" i="7"/>
  <c r="F6171" i="7"/>
  <c r="F6200" i="7"/>
  <c r="F6203" i="7"/>
  <c r="F6232" i="7"/>
  <c r="F6235" i="7"/>
  <c r="F6264" i="7"/>
  <c r="F6267" i="7"/>
  <c r="F6296" i="7"/>
  <c r="F6299" i="7"/>
  <c r="F6328" i="7"/>
  <c r="F6336" i="7"/>
  <c r="F6344" i="7"/>
  <c r="F6352" i="7"/>
  <c r="F6360" i="7"/>
  <c r="F6368" i="7"/>
  <c r="F6376" i="7"/>
  <c r="F6384" i="7"/>
  <c r="F6392" i="7"/>
  <c r="F6400" i="7"/>
  <c r="F6408" i="7"/>
  <c r="F6416" i="7"/>
  <c r="F6424" i="7"/>
  <c r="F6432" i="7"/>
  <c r="F6440" i="7"/>
  <c r="F6448" i="7"/>
  <c r="F6456" i="7"/>
  <c r="F6464" i="7"/>
  <c r="F6472" i="7"/>
  <c r="F6480" i="7"/>
  <c r="F6488" i="7"/>
  <c r="F6496" i="7"/>
  <c r="F6504" i="7"/>
  <c r="F6512" i="7"/>
  <c r="F6520" i="7"/>
  <c r="F6528" i="7"/>
  <c r="F6536" i="7"/>
  <c r="F6115" i="7"/>
  <c r="F6128" i="7"/>
  <c r="F6144" i="7"/>
  <c r="F6156" i="7"/>
  <c r="F6159" i="7"/>
  <c r="F6188" i="7"/>
  <c r="F6191" i="7"/>
  <c r="F6220" i="7"/>
  <c r="F6223" i="7"/>
  <c r="F6252" i="7"/>
  <c r="F6255" i="7"/>
  <c r="F6284" i="7"/>
  <c r="F6287" i="7"/>
  <c r="F6316" i="7"/>
  <c r="F6319" i="7"/>
  <c r="F6501" i="7"/>
  <c r="F6533" i="7"/>
  <c r="F6549" i="7"/>
  <c r="F6111" i="7"/>
  <c r="F6131" i="7"/>
  <c r="F6147" i="7"/>
  <c r="F6176" i="7"/>
  <c r="F6179" i="7"/>
  <c r="F6208" i="7"/>
  <c r="F6211" i="7"/>
  <c r="F6240" i="7"/>
  <c r="F6243" i="7"/>
  <c r="F6272" i="7"/>
  <c r="F6275" i="7"/>
  <c r="F6304" i="7"/>
  <c r="F6307" i="7"/>
  <c r="F6107" i="7"/>
  <c r="F6124" i="7"/>
  <c r="F6140" i="7"/>
  <c r="F6164" i="7"/>
  <c r="F6167" i="7"/>
  <c r="F6196" i="7"/>
  <c r="F6199" i="7"/>
  <c r="F6228" i="7"/>
  <c r="F6231" i="7"/>
  <c r="F6260" i="7"/>
  <c r="F6263" i="7"/>
  <c r="F6292" i="7"/>
  <c r="F6295" i="7"/>
  <c r="F6324" i="7"/>
  <c r="F6327" i="7"/>
  <c r="F6335" i="7"/>
  <c r="F6343" i="7"/>
  <c r="F6351" i="7"/>
  <c r="F6359" i="7"/>
  <c r="F6367" i="7"/>
  <c r="F6479" i="7"/>
  <c r="F6487" i="7"/>
  <c r="F6495" i="7"/>
  <c r="F6103" i="7"/>
  <c r="F6127" i="7"/>
  <c r="F6143" i="7"/>
  <c r="F6152" i="7"/>
  <c r="F6155" i="7"/>
  <c r="F6184" i="7"/>
  <c r="F6187" i="7"/>
  <c r="F6216" i="7"/>
  <c r="F6219" i="7"/>
  <c r="F6248" i="7"/>
  <c r="F6251" i="7"/>
  <c r="F6280" i="7"/>
  <c r="F6283" i="7"/>
  <c r="F6312" i="7"/>
  <c r="F6315" i="7"/>
  <c r="F6332" i="7"/>
  <c r="F6340" i="7"/>
  <c r="F6348" i="7"/>
  <c r="F6356" i="7"/>
  <c r="F6364" i="7"/>
  <c r="F6372" i="7"/>
  <c r="F6380" i="7"/>
  <c r="F6388" i="7"/>
  <c r="F6396" i="7"/>
  <c r="F6404" i="7"/>
  <c r="F6412" i="7"/>
  <c r="F6420" i="7"/>
  <c r="F6428" i="7"/>
  <c r="F6436" i="7"/>
  <c r="F6444" i="7"/>
  <c r="F6452" i="7"/>
  <c r="F6460" i="7"/>
  <c r="F6468" i="7"/>
  <c r="F6476" i="7"/>
  <c r="F6508" i="7"/>
  <c r="F6556" i="7"/>
  <c r="F6099" i="7"/>
  <c r="F6120" i="7"/>
  <c r="F6136" i="7"/>
  <c r="F6172" i="7"/>
  <c r="F6175" i="7"/>
  <c r="F6204" i="7"/>
  <c r="F6207" i="7"/>
  <c r="F6236" i="7"/>
  <c r="F6239" i="7"/>
  <c r="F6268" i="7"/>
  <c r="F6271" i="7"/>
  <c r="F6300" i="7"/>
  <c r="F6303" i="7"/>
  <c r="F6481" i="7"/>
  <c r="F6489" i="7"/>
  <c r="F6497" i="7"/>
  <c r="F6505" i="7"/>
  <c r="F6513" i="7"/>
  <c r="F6521" i="7"/>
  <c r="F6529" i="7"/>
  <c r="F6537" i="7"/>
  <c r="F6545" i="7"/>
  <c r="F6506" i="7"/>
  <c r="F6538" i="7"/>
  <c r="F6563" i="7"/>
  <c r="F6592" i="7"/>
  <c r="F6600" i="7"/>
  <c r="F6502" i="7"/>
  <c r="F6534" i="7"/>
  <c r="F6554" i="7"/>
  <c r="F6557" i="7"/>
  <c r="F6577" i="7"/>
  <c r="F6498" i="7"/>
  <c r="F6530" i="7"/>
  <c r="F6568" i="7"/>
  <c r="F6594" i="7"/>
  <c r="F6608" i="7"/>
  <c r="F7440" i="7"/>
  <c r="F6494" i="7"/>
  <c r="F6526" i="7"/>
  <c r="F6562" i="7"/>
  <c r="F6591" i="7"/>
  <c r="F6613" i="7"/>
  <c r="F6621" i="7"/>
  <c r="F6629" i="7"/>
  <c r="F6637" i="7"/>
  <c r="F6645" i="7"/>
  <c r="F6653" i="7"/>
  <c r="F6661" i="7"/>
  <c r="F6669" i="7"/>
  <c r="F6677" i="7"/>
  <c r="F6685" i="7"/>
  <c r="F6490" i="7"/>
  <c r="F6522" i="7"/>
  <c r="F6550" i="7"/>
  <c r="F6570" i="7"/>
  <c r="F6576" i="7"/>
  <c r="F6582" i="7"/>
  <c r="F6596" i="7"/>
  <c r="F6610" i="7"/>
  <c r="F7082" i="7"/>
  <c r="F7090" i="7"/>
  <c r="F6486" i="7"/>
  <c r="F6518" i="7"/>
  <c r="F6564" i="7"/>
  <c r="F6567" i="7"/>
  <c r="F6593" i="7"/>
  <c r="F6607" i="7"/>
  <c r="F6482" i="7"/>
  <c r="F6514" i="7"/>
  <c r="F6546" i="7"/>
  <c r="F6552" i="7"/>
  <c r="F6555" i="7"/>
  <c r="F6561" i="7"/>
  <c r="F6584" i="7"/>
  <c r="F6598" i="7"/>
  <c r="F6612" i="7"/>
  <c r="F6620" i="7"/>
  <c r="F6628" i="7"/>
  <c r="F6636" i="7"/>
  <c r="F6644" i="7"/>
  <c r="F6652" i="7"/>
  <c r="F6660" i="7"/>
  <c r="F6668" i="7"/>
  <c r="F6676" i="7"/>
  <c r="F6684" i="7"/>
  <c r="F6692" i="7"/>
  <c r="F6700" i="7"/>
  <c r="F6708" i="7"/>
  <c r="F6716" i="7"/>
  <c r="F6724" i="7"/>
  <c r="F6732" i="7"/>
  <c r="F6740" i="7"/>
  <c r="F6748" i="7"/>
  <c r="F6756" i="7"/>
  <c r="F6764" i="7"/>
  <c r="F6772" i="7"/>
  <c r="F6780" i="7"/>
  <c r="F6788" i="7"/>
  <c r="F6796" i="7"/>
  <c r="F6804" i="7"/>
  <c r="F6812" i="7"/>
  <c r="F6820" i="7"/>
  <c r="F6828" i="7"/>
  <c r="F6836" i="7"/>
  <c r="F6844" i="7"/>
  <c r="F6852" i="7"/>
  <c r="F6860" i="7"/>
  <c r="F6868" i="7"/>
  <c r="F6876" i="7"/>
  <c r="F6884" i="7"/>
  <c r="F6892" i="7"/>
  <c r="F6900" i="7"/>
  <c r="F6908" i="7"/>
  <c r="F6916" i="7"/>
  <c r="F6924" i="7"/>
  <c r="F6932" i="7"/>
  <c r="F6940" i="7"/>
  <c r="F6948" i="7"/>
  <c r="F6956" i="7"/>
  <c r="F6964" i="7"/>
  <c r="F6972" i="7"/>
  <c r="F6980" i="7"/>
  <c r="F6988" i="7"/>
  <c r="F6996" i="7"/>
  <c r="F7004" i="7"/>
  <c r="F7012" i="7"/>
  <c r="F7020" i="7"/>
  <c r="F7028" i="7"/>
  <c r="F7036" i="7"/>
  <c r="F7044" i="7"/>
  <c r="F7052" i="7"/>
  <c r="F7060" i="7"/>
  <c r="F6478" i="7"/>
  <c r="F6510" i="7"/>
  <c r="F6542" i="7"/>
  <c r="F6569" i="7"/>
  <c r="F6581" i="7"/>
  <c r="F6609" i="7"/>
  <c r="F6597" i="7"/>
  <c r="F6618" i="7"/>
  <c r="F6626" i="7"/>
  <c r="F6634" i="7"/>
  <c r="F6642" i="7"/>
  <c r="F6650" i="7"/>
  <c r="F6658" i="7"/>
  <c r="F6666" i="7"/>
  <c r="F6674" i="7"/>
  <c r="F6682" i="7"/>
  <c r="F6690" i="7"/>
  <c r="F6698" i="7"/>
  <c r="F6706" i="7"/>
  <c r="F6714" i="7"/>
  <c r="F6722" i="7"/>
  <c r="F6730" i="7"/>
  <c r="F6738" i="7"/>
  <c r="F6746" i="7"/>
  <c r="F6754" i="7"/>
  <c r="F6762" i="7"/>
  <c r="F6770" i="7"/>
  <c r="F6778" i="7"/>
  <c r="F6786" i="7"/>
  <c r="F6794" i="7"/>
  <c r="F6802" i="7"/>
  <c r="F6810" i="7"/>
  <c r="F6818" i="7"/>
  <c r="F6826" i="7"/>
  <c r="F6834" i="7"/>
  <c r="F6842" i="7"/>
  <c r="F6850" i="7"/>
  <c r="F6858" i="7"/>
  <c r="F6866" i="7"/>
  <c r="F6874" i="7"/>
  <c r="F6882" i="7"/>
  <c r="F6890" i="7"/>
  <c r="F6898" i="7"/>
  <c r="F6906" i="7"/>
  <c r="F6914" i="7"/>
  <c r="F6922" i="7"/>
  <c r="F6930" i="7"/>
  <c r="F6938" i="7"/>
  <c r="F6946" i="7"/>
  <c r="F6954" i="7"/>
  <c r="F6962" i="7"/>
  <c r="F6970" i="7"/>
  <c r="F6978" i="7"/>
  <c r="F6986" i="7"/>
  <c r="F6994" i="7"/>
  <c r="F7002" i="7"/>
  <c r="F7010" i="7"/>
  <c r="F7018" i="7"/>
  <c r="F7026" i="7"/>
  <c r="F7034" i="7"/>
  <c r="F7042" i="7"/>
  <c r="F7050" i="7"/>
  <c r="F7088" i="7"/>
  <c r="F7099" i="7"/>
  <c r="F7107" i="7"/>
  <c r="F7115" i="7"/>
  <c r="F7123" i="7"/>
  <c r="F7131" i="7"/>
  <c r="F7139" i="7"/>
  <c r="F7147" i="7"/>
  <c r="F7155" i="7"/>
  <c r="F7163" i="7"/>
  <c r="F7171" i="7"/>
  <c r="F7179" i="7"/>
  <c r="F7187" i="7"/>
  <c r="F7195" i="7"/>
  <c r="F7203" i="7"/>
  <c r="F7211" i="7"/>
  <c r="F7219" i="7"/>
  <c r="F7227" i="7"/>
  <c r="F7235" i="7"/>
  <c r="F7243" i="7"/>
  <c r="F7251" i="7"/>
  <c r="F7259" i="7"/>
  <c r="F7267" i="7"/>
  <c r="F7275" i="7"/>
  <c r="F7283" i="7"/>
  <c r="F6559" i="7"/>
  <c r="F6587" i="7"/>
  <c r="F6603" i="7"/>
  <c r="F6615" i="7"/>
  <c r="F6623" i="7"/>
  <c r="F6631" i="7"/>
  <c r="F6639" i="7"/>
  <c r="F6647" i="7"/>
  <c r="F6655" i="7"/>
  <c r="F6663" i="7"/>
  <c r="F6671" i="7"/>
  <c r="F6679" i="7"/>
  <c r="F6687" i="7"/>
  <c r="F6695" i="7"/>
  <c r="F6703" i="7"/>
  <c r="F6711" i="7"/>
  <c r="F6719" i="7"/>
  <c r="F6727" i="7"/>
  <c r="F6735" i="7"/>
  <c r="F6743" i="7"/>
  <c r="F6751" i="7"/>
  <c r="F6759" i="7"/>
  <c r="F6767" i="7"/>
  <c r="F6775" i="7"/>
  <c r="F6783" i="7"/>
  <c r="F6791" i="7"/>
  <c r="F6799" i="7"/>
  <c r="F6807" i="7"/>
  <c r="F6815" i="7"/>
  <c r="F6823" i="7"/>
  <c r="F6831" i="7"/>
  <c r="F6839" i="7"/>
  <c r="F6847" i="7"/>
  <c r="F6855" i="7"/>
  <c r="F6863" i="7"/>
  <c r="F6871" i="7"/>
  <c r="F6879" i="7"/>
  <c r="F6887" i="7"/>
  <c r="F6895" i="7"/>
  <c r="F6903" i="7"/>
  <c r="F6911" i="7"/>
  <c r="F6919" i="7"/>
  <c r="F6927" i="7"/>
  <c r="F6935" i="7"/>
  <c r="F6943" i="7"/>
  <c r="F6951" i="7"/>
  <c r="F6959" i="7"/>
  <c r="F6967" i="7"/>
  <c r="F6975" i="7"/>
  <c r="F6983" i="7"/>
  <c r="F6991" i="7"/>
  <c r="F6999" i="7"/>
  <c r="F7007" i="7"/>
  <c r="F7015" i="7"/>
  <c r="F7023" i="7"/>
  <c r="F7066" i="7"/>
  <c r="F7074" i="7"/>
  <c r="F6551" i="7"/>
  <c r="F6583" i="7"/>
  <c r="F6599" i="7"/>
  <c r="F6617" i="7"/>
  <c r="F6625" i="7"/>
  <c r="F6633" i="7"/>
  <c r="F6641" i="7"/>
  <c r="F6649" i="7"/>
  <c r="F6657" i="7"/>
  <c r="F6665" i="7"/>
  <c r="F6673" i="7"/>
  <c r="F6681" i="7"/>
  <c r="F6689" i="7"/>
  <c r="F6697" i="7"/>
  <c r="F6705" i="7"/>
  <c r="F6713" i="7"/>
  <c r="F6721" i="7"/>
  <c r="F6729" i="7"/>
  <c r="F6737" i="7"/>
  <c r="F6745" i="7"/>
  <c r="F6753" i="7"/>
  <c r="F6761" i="7"/>
  <c r="F6769" i="7"/>
  <c r="F6777" i="7"/>
  <c r="F6785" i="7"/>
  <c r="F6793" i="7"/>
  <c r="F6801" i="7"/>
  <c r="F6809" i="7"/>
  <c r="F6817" i="7"/>
  <c r="F6825" i="7"/>
  <c r="F6833" i="7"/>
  <c r="F6841" i="7"/>
  <c r="F6849" i="7"/>
  <c r="F6857" i="7"/>
  <c r="F6865" i="7"/>
  <c r="F6873" i="7"/>
  <c r="F6881" i="7"/>
  <c r="F6889" i="7"/>
  <c r="F6897" i="7"/>
  <c r="F6905" i="7"/>
  <c r="F6913" i="7"/>
  <c r="F6921" i="7"/>
  <c r="F6929" i="7"/>
  <c r="F6937" i="7"/>
  <c r="F6945" i="7"/>
  <c r="F6953" i="7"/>
  <c r="F6961" i="7"/>
  <c r="F6969" i="7"/>
  <c r="F6977" i="7"/>
  <c r="F6985" i="7"/>
  <c r="F6993" i="7"/>
  <c r="F7001" i="7"/>
  <c r="F7009" i="7"/>
  <c r="F7017" i="7"/>
  <c r="F7025" i="7"/>
  <c r="F7033" i="7"/>
  <c r="F7041" i="7"/>
  <c r="F7049" i="7"/>
  <c r="F7057" i="7"/>
  <c r="F7076" i="7"/>
  <c r="F7098" i="7"/>
  <c r="F7397" i="7"/>
  <c r="F7405" i="7"/>
  <c r="F7413" i="7"/>
  <c r="F6579" i="7"/>
  <c r="F6589" i="7"/>
  <c r="F6605" i="7"/>
  <c r="F6614" i="7"/>
  <c r="F6622" i="7"/>
  <c r="F6630" i="7"/>
  <c r="F6638" i="7"/>
  <c r="F6646" i="7"/>
  <c r="F6654" i="7"/>
  <c r="F6662" i="7"/>
  <c r="F6670" i="7"/>
  <c r="F6678" i="7"/>
  <c r="F6686" i="7"/>
  <c r="F6694" i="7"/>
  <c r="F6702" i="7"/>
  <c r="F6710" i="7"/>
  <c r="F6718" i="7"/>
  <c r="F6726" i="7"/>
  <c r="F6734" i="7"/>
  <c r="F6742" i="7"/>
  <c r="F6750" i="7"/>
  <c r="F6758" i="7"/>
  <c r="F6766" i="7"/>
  <c r="F6774" i="7"/>
  <c r="F6782" i="7"/>
  <c r="F6790" i="7"/>
  <c r="F6798" i="7"/>
  <c r="F6806" i="7"/>
  <c r="F6814" i="7"/>
  <c r="F6822" i="7"/>
  <c r="F6830" i="7"/>
  <c r="F6838" i="7"/>
  <c r="F6846" i="7"/>
  <c r="F6854" i="7"/>
  <c r="F6862" i="7"/>
  <c r="F6870" i="7"/>
  <c r="F6878" i="7"/>
  <c r="F6886" i="7"/>
  <c r="F6894" i="7"/>
  <c r="F6902" i="7"/>
  <c r="F6910" i="7"/>
  <c r="F6918" i="7"/>
  <c r="F6926" i="7"/>
  <c r="F6934" i="7"/>
  <c r="F6942" i="7"/>
  <c r="F6950" i="7"/>
  <c r="F6958" i="7"/>
  <c r="F6966" i="7"/>
  <c r="F6974" i="7"/>
  <c r="F6982" i="7"/>
  <c r="F6990" i="7"/>
  <c r="F6998" i="7"/>
  <c r="F7006" i="7"/>
  <c r="F7014" i="7"/>
  <c r="F7022" i="7"/>
  <c r="F7030" i="7"/>
  <c r="F7038" i="7"/>
  <c r="F7046" i="7"/>
  <c r="F7054" i="7"/>
  <c r="F7092" i="7"/>
  <c r="F6575" i="7"/>
  <c r="F6595" i="7"/>
  <c r="F6611" i="7"/>
  <c r="F6619" i="7"/>
  <c r="F6627" i="7"/>
  <c r="F6635" i="7"/>
  <c r="F6643" i="7"/>
  <c r="F6651" i="7"/>
  <c r="F6659" i="7"/>
  <c r="F6667" i="7"/>
  <c r="F6675" i="7"/>
  <c r="F6683" i="7"/>
  <c r="F6691" i="7"/>
  <c r="F6699" i="7"/>
  <c r="F6707" i="7"/>
  <c r="F6715" i="7"/>
  <c r="F6723" i="7"/>
  <c r="F6731" i="7"/>
  <c r="F6739" i="7"/>
  <c r="F6747" i="7"/>
  <c r="F6755" i="7"/>
  <c r="F6763" i="7"/>
  <c r="F6771" i="7"/>
  <c r="F6779" i="7"/>
  <c r="F6787" i="7"/>
  <c r="F6795" i="7"/>
  <c r="F6803" i="7"/>
  <c r="F6811" i="7"/>
  <c r="F6819" i="7"/>
  <c r="F6827" i="7"/>
  <c r="F6835" i="7"/>
  <c r="F6843" i="7"/>
  <c r="F6851" i="7"/>
  <c r="F6859" i="7"/>
  <c r="F6867" i="7"/>
  <c r="F6875" i="7"/>
  <c r="F6883" i="7"/>
  <c r="F6891" i="7"/>
  <c r="F6899" i="7"/>
  <c r="F6907" i="7"/>
  <c r="F6915" i="7"/>
  <c r="F6923" i="7"/>
  <c r="F6931" i="7"/>
  <c r="F6939" i="7"/>
  <c r="F6947" i="7"/>
  <c r="F6955" i="7"/>
  <c r="F6963" i="7"/>
  <c r="F6971" i="7"/>
  <c r="F6979" i="7"/>
  <c r="F6987" i="7"/>
  <c r="F6995" i="7"/>
  <c r="F7003" i="7"/>
  <c r="F7011" i="7"/>
  <c r="F7019" i="7"/>
  <c r="F7059" i="7"/>
  <c r="F7070" i="7"/>
  <c r="F6571" i="7"/>
  <c r="F6585" i="7"/>
  <c r="F6601" i="7"/>
  <c r="F6616" i="7"/>
  <c r="F6624" i="7"/>
  <c r="F6632" i="7"/>
  <c r="F6640" i="7"/>
  <c r="F6648" i="7"/>
  <c r="F6656" i="7"/>
  <c r="F6664" i="7"/>
  <c r="F6672" i="7"/>
  <c r="F6680" i="7"/>
  <c r="F6688" i="7"/>
  <c r="F6696" i="7"/>
  <c r="F6704" i="7"/>
  <c r="F6712" i="7"/>
  <c r="F6720" i="7"/>
  <c r="F6728" i="7"/>
  <c r="F6736" i="7"/>
  <c r="F6744" i="7"/>
  <c r="F6752" i="7"/>
  <c r="F6760" i="7"/>
  <c r="F6768" i="7"/>
  <c r="F6776" i="7"/>
  <c r="F6784" i="7"/>
  <c r="F6792" i="7"/>
  <c r="F6800" i="7"/>
  <c r="F6808" i="7"/>
  <c r="F6816" i="7"/>
  <c r="F6824" i="7"/>
  <c r="F6832" i="7"/>
  <c r="F6840" i="7"/>
  <c r="F6848" i="7"/>
  <c r="F6856" i="7"/>
  <c r="F6864" i="7"/>
  <c r="F6872" i="7"/>
  <c r="F6880" i="7"/>
  <c r="F6888" i="7"/>
  <c r="F6896" i="7"/>
  <c r="F6904" i="7"/>
  <c r="F6912" i="7"/>
  <c r="F6920" i="7"/>
  <c r="F6928" i="7"/>
  <c r="F6936" i="7"/>
  <c r="F6944" i="7"/>
  <c r="F6952" i="7"/>
  <c r="F6960" i="7"/>
  <c r="F6968" i="7"/>
  <c r="F6976" i="7"/>
  <c r="F6984" i="7"/>
  <c r="F6992" i="7"/>
  <c r="F7000" i="7"/>
  <c r="F7008" i="7"/>
  <c r="F7016" i="7"/>
  <c r="F7024" i="7"/>
  <c r="F7032" i="7"/>
  <c r="F7040" i="7"/>
  <c r="F7048" i="7"/>
  <c r="F7056" i="7"/>
  <c r="F7067" i="7"/>
  <c r="F7086" i="7"/>
  <c r="F7305" i="7"/>
  <c r="F7313" i="7"/>
  <c r="F6693" i="7"/>
  <c r="F6701" i="7"/>
  <c r="F6709" i="7"/>
  <c r="F6717" i="7"/>
  <c r="F6725" i="7"/>
  <c r="F6733" i="7"/>
  <c r="F6741" i="7"/>
  <c r="F6749" i="7"/>
  <c r="F6757" i="7"/>
  <c r="F6765" i="7"/>
  <c r="F6773" i="7"/>
  <c r="F6781" i="7"/>
  <c r="F6789" i="7"/>
  <c r="F6797" i="7"/>
  <c r="F6805" i="7"/>
  <c r="F6813" i="7"/>
  <c r="F6821" i="7"/>
  <c r="F6829" i="7"/>
  <c r="F6837" i="7"/>
  <c r="F6845" i="7"/>
  <c r="F6853" i="7"/>
  <c r="F6861" i="7"/>
  <c r="F6869" i="7"/>
  <c r="F6877" i="7"/>
  <c r="F6885" i="7"/>
  <c r="F6893" i="7"/>
  <c r="F6901" i="7"/>
  <c r="F6909" i="7"/>
  <c r="F6917" i="7"/>
  <c r="F6925" i="7"/>
  <c r="F6933" i="7"/>
  <c r="F6941" i="7"/>
  <c r="F6949" i="7"/>
  <c r="F6957" i="7"/>
  <c r="F6965" i="7"/>
  <c r="F6973" i="7"/>
  <c r="F6981" i="7"/>
  <c r="F6989" i="7"/>
  <c r="F6997" i="7"/>
  <c r="F7005" i="7"/>
  <c r="F7013" i="7"/>
  <c r="F7021" i="7"/>
  <c r="F7029" i="7"/>
  <c r="F7037" i="7"/>
  <c r="F7045" i="7"/>
  <c r="F7053" i="7"/>
  <c r="F7072" i="7"/>
  <c r="F7083" i="7"/>
  <c r="F7071" i="7"/>
  <c r="F7087" i="7"/>
  <c r="F7105" i="7"/>
  <c r="F7113" i="7"/>
  <c r="F7121" i="7"/>
  <c r="F7129" i="7"/>
  <c r="F7137" i="7"/>
  <c r="F7145" i="7"/>
  <c r="F7153" i="7"/>
  <c r="F7161" i="7"/>
  <c r="F7169" i="7"/>
  <c r="F7177" i="7"/>
  <c r="F7185" i="7"/>
  <c r="F7193" i="7"/>
  <c r="F7201" i="7"/>
  <c r="F7209" i="7"/>
  <c r="F7217" i="7"/>
  <c r="F7225" i="7"/>
  <c r="F7233" i="7"/>
  <c r="F7241" i="7"/>
  <c r="F7249" i="7"/>
  <c r="F7257" i="7"/>
  <c r="F7311" i="7"/>
  <c r="F7322" i="7"/>
  <c r="F7341" i="7"/>
  <c r="F7349" i="7"/>
  <c r="F7376" i="7"/>
  <c r="F7446" i="7"/>
  <c r="F7061" i="7"/>
  <c r="F7077" i="7"/>
  <c r="F7093" i="7"/>
  <c r="F7102" i="7"/>
  <c r="F7110" i="7"/>
  <c r="F7118" i="7"/>
  <c r="F7126" i="7"/>
  <c r="F7134" i="7"/>
  <c r="F7142" i="7"/>
  <c r="F7150" i="7"/>
  <c r="F7158" i="7"/>
  <c r="F7166" i="7"/>
  <c r="F7174" i="7"/>
  <c r="F7182" i="7"/>
  <c r="F7190" i="7"/>
  <c r="F7198" i="7"/>
  <c r="F7206" i="7"/>
  <c r="F7214" i="7"/>
  <c r="F7222" i="7"/>
  <c r="F7230" i="7"/>
  <c r="F7238" i="7"/>
  <c r="F7246" i="7"/>
  <c r="F7254" i="7"/>
  <c r="F7262" i="7"/>
  <c r="F7270" i="7"/>
  <c r="F7278" i="7"/>
  <c r="F7289" i="7"/>
  <c r="F7297" i="7"/>
  <c r="F7338" i="7"/>
  <c r="F7365" i="7"/>
  <c r="F7373" i="7"/>
  <c r="F7381" i="7"/>
  <c r="F7408" i="7"/>
  <c r="F7073" i="7"/>
  <c r="F7089" i="7"/>
  <c r="F7104" i="7"/>
  <c r="F7112" i="7"/>
  <c r="F7120" i="7"/>
  <c r="F7128" i="7"/>
  <c r="F7136" i="7"/>
  <c r="F7144" i="7"/>
  <c r="F7152" i="7"/>
  <c r="F7160" i="7"/>
  <c r="F7168" i="7"/>
  <c r="F7176" i="7"/>
  <c r="F7184" i="7"/>
  <c r="F7192" i="7"/>
  <c r="F7200" i="7"/>
  <c r="F7208" i="7"/>
  <c r="F7216" i="7"/>
  <c r="F7224" i="7"/>
  <c r="F7232" i="7"/>
  <c r="F7240" i="7"/>
  <c r="F7248" i="7"/>
  <c r="F7256" i="7"/>
  <c r="F7264" i="7"/>
  <c r="F7272" i="7"/>
  <c r="F7280" i="7"/>
  <c r="F7321" i="7"/>
  <c r="F7329" i="7"/>
  <c r="F7429" i="7"/>
  <c r="F7437" i="7"/>
  <c r="F7445" i="7"/>
  <c r="F7461" i="7"/>
  <c r="F7477" i="7"/>
  <c r="F7063" i="7"/>
  <c r="F7079" i="7"/>
  <c r="F7095" i="7"/>
  <c r="F7101" i="7"/>
  <c r="F7109" i="7"/>
  <c r="F7117" i="7"/>
  <c r="F7125" i="7"/>
  <c r="F7133" i="7"/>
  <c r="F7141" i="7"/>
  <c r="F7149" i="7"/>
  <c r="F7157" i="7"/>
  <c r="F7165" i="7"/>
  <c r="F7173" i="7"/>
  <c r="F7181" i="7"/>
  <c r="F7189" i="7"/>
  <c r="F7197" i="7"/>
  <c r="F7205" i="7"/>
  <c r="F7213" i="7"/>
  <c r="F7221" i="7"/>
  <c r="F7229" i="7"/>
  <c r="F7237" i="7"/>
  <c r="F7245" i="7"/>
  <c r="F7253" i="7"/>
  <c r="F7337" i="7"/>
  <c r="F7069" i="7"/>
  <c r="F7085" i="7"/>
  <c r="F7106" i="7"/>
  <c r="F7114" i="7"/>
  <c r="F7122" i="7"/>
  <c r="F7130" i="7"/>
  <c r="F7138" i="7"/>
  <c r="F7146" i="7"/>
  <c r="F7154" i="7"/>
  <c r="F7162" i="7"/>
  <c r="F7170" i="7"/>
  <c r="F7178" i="7"/>
  <c r="F7186" i="7"/>
  <c r="F7194" i="7"/>
  <c r="F7202" i="7"/>
  <c r="F7210" i="7"/>
  <c r="F7218" i="7"/>
  <c r="F7226" i="7"/>
  <c r="F7234" i="7"/>
  <c r="F7242" i="7"/>
  <c r="F7250" i="7"/>
  <c r="F7258" i="7"/>
  <c r="F7266" i="7"/>
  <c r="F7274" i="7"/>
  <c r="F7282" i="7"/>
  <c r="F7293" i="7"/>
  <c r="F7350" i="7"/>
  <c r="F7361" i="7"/>
  <c r="F7369" i="7"/>
  <c r="F7075" i="7"/>
  <c r="F7091" i="7"/>
  <c r="F7103" i="7"/>
  <c r="F7111" i="7"/>
  <c r="F7119" i="7"/>
  <c r="F7127" i="7"/>
  <c r="F7135" i="7"/>
  <c r="F7143" i="7"/>
  <c r="F7151" i="7"/>
  <c r="F7159" i="7"/>
  <c r="F7167" i="7"/>
  <c r="F7175" i="7"/>
  <c r="F7183" i="7"/>
  <c r="F7191" i="7"/>
  <c r="F7199" i="7"/>
  <c r="F7207" i="7"/>
  <c r="F7215" i="7"/>
  <c r="F7223" i="7"/>
  <c r="F7231" i="7"/>
  <c r="F7239" i="7"/>
  <c r="F7247" i="7"/>
  <c r="F7255" i="7"/>
  <c r="F7263" i="7"/>
  <c r="F7271" i="7"/>
  <c r="F7279" i="7"/>
  <c r="F7290" i="7"/>
  <c r="F7309" i="7"/>
  <c r="F7382" i="7"/>
  <c r="F7393" i="7"/>
  <c r="F7401" i="7"/>
  <c r="F7065" i="7"/>
  <c r="F7081" i="7"/>
  <c r="F7097" i="7"/>
  <c r="F7100" i="7"/>
  <c r="F7108" i="7"/>
  <c r="F7116" i="7"/>
  <c r="F7124" i="7"/>
  <c r="F7132" i="7"/>
  <c r="F7140" i="7"/>
  <c r="F7148" i="7"/>
  <c r="F7156" i="7"/>
  <c r="F7164" i="7"/>
  <c r="F7172" i="7"/>
  <c r="F7180" i="7"/>
  <c r="F7188" i="7"/>
  <c r="F7196" i="7"/>
  <c r="F7204" i="7"/>
  <c r="F7212" i="7"/>
  <c r="F7220" i="7"/>
  <c r="F7228" i="7"/>
  <c r="F7236" i="7"/>
  <c r="F7244" i="7"/>
  <c r="F7252" i="7"/>
  <c r="F7260" i="7"/>
  <c r="F7268" i="7"/>
  <c r="F7276" i="7"/>
  <c r="F7284" i="7"/>
  <c r="F7295" i="7"/>
  <c r="F7306" i="7"/>
  <c r="F7325" i="7"/>
  <c r="F7344" i="7"/>
  <c r="F7414" i="7"/>
  <c r="F7425" i="7"/>
  <c r="F7433" i="7"/>
  <c r="F7449" i="7"/>
  <c r="F7457" i="7"/>
  <c r="F7465" i="7"/>
  <c r="F7481" i="7"/>
  <c r="F7294" i="7"/>
  <c r="F7310" i="7"/>
  <c r="F7326" i="7"/>
  <c r="F7342" i="7"/>
  <c r="F7368" i="7"/>
  <c r="F7374" i="7"/>
  <c r="F7400" i="7"/>
  <c r="F7406" i="7"/>
  <c r="F7432" i="7"/>
  <c r="F7438" i="7"/>
  <c r="F7464" i="7"/>
  <c r="F7470" i="7"/>
  <c r="F7490" i="7"/>
  <c r="F7498" i="7"/>
  <c r="F7506" i="7"/>
  <c r="F7514" i="7"/>
  <c r="F7522" i="7"/>
  <c r="F7530" i="7"/>
  <c r="F7538" i="7"/>
  <c r="F7546" i="7"/>
  <c r="F7554" i="7"/>
  <c r="F7562" i="7"/>
  <c r="F7584" i="7"/>
  <c r="F7300" i="7"/>
  <c r="F7316" i="7"/>
  <c r="F7332" i="7"/>
  <c r="F7356" i="7"/>
  <c r="F7362" i="7"/>
  <c r="F7388" i="7"/>
  <c r="F7394" i="7"/>
  <c r="F7420" i="7"/>
  <c r="F7426" i="7"/>
  <c r="F7452" i="7"/>
  <c r="F7458" i="7"/>
  <c r="F7484" i="7"/>
  <c r="F7603" i="7"/>
  <c r="F7611" i="7"/>
  <c r="F7472" i="7"/>
  <c r="F7478" i="7"/>
  <c r="F7492" i="7"/>
  <c r="F7500" i="7"/>
  <c r="F7508" i="7"/>
  <c r="F7516" i="7"/>
  <c r="F7524" i="7"/>
  <c r="F7532" i="7"/>
  <c r="F7540" i="7"/>
  <c r="F7548" i="7"/>
  <c r="F7556" i="7"/>
  <c r="F7564" i="7"/>
  <c r="F7572" i="7"/>
  <c r="F7575" i="7"/>
  <c r="F7600" i="7"/>
  <c r="F7296" i="7"/>
  <c r="F7312" i="7"/>
  <c r="F7328" i="7"/>
  <c r="F7364" i="7"/>
  <c r="F7370" i="7"/>
  <c r="F7396" i="7"/>
  <c r="F7402" i="7"/>
  <c r="F7428" i="7"/>
  <c r="F7434" i="7"/>
  <c r="F7460" i="7"/>
  <c r="F7466" i="7"/>
  <c r="F7489" i="7"/>
  <c r="F7497" i="7"/>
  <c r="F7505" i="7"/>
  <c r="F7513" i="7"/>
  <c r="F7521" i="7"/>
  <c r="F7529" i="7"/>
  <c r="F7537" i="7"/>
  <c r="F7545" i="7"/>
  <c r="F7583" i="7"/>
  <c r="F7286" i="7"/>
  <c r="F7302" i="7"/>
  <c r="F7318" i="7"/>
  <c r="F7334" i="7"/>
  <c r="F7352" i="7"/>
  <c r="F7358" i="7"/>
  <c r="F7384" i="7"/>
  <c r="F7390" i="7"/>
  <c r="F7416" i="7"/>
  <c r="F7422" i="7"/>
  <c r="F7448" i="7"/>
  <c r="F7454" i="7"/>
  <c r="F7480" i="7"/>
  <c r="F7486" i="7"/>
  <c r="F7494" i="7"/>
  <c r="F7502" i="7"/>
  <c r="F7510" i="7"/>
  <c r="F7518" i="7"/>
  <c r="F7526" i="7"/>
  <c r="F7534" i="7"/>
  <c r="F7542" i="7"/>
  <c r="F7550" i="7"/>
  <c r="F7558" i="7"/>
  <c r="F7566" i="7"/>
  <c r="F7591" i="7"/>
  <c r="F7292" i="7"/>
  <c r="F7308" i="7"/>
  <c r="F7324" i="7"/>
  <c r="F7340" i="7"/>
  <c r="F7346" i="7"/>
  <c r="F7372" i="7"/>
  <c r="F7378" i="7"/>
  <c r="F7404" i="7"/>
  <c r="F7410" i="7"/>
  <c r="F7436" i="7"/>
  <c r="F7442" i="7"/>
  <c r="F7468" i="7"/>
  <c r="F7474" i="7"/>
  <c r="F7599" i="7"/>
  <c r="F7607" i="7"/>
  <c r="F7615" i="7"/>
  <c r="F7298" i="7"/>
  <c r="F7314" i="7"/>
  <c r="F7330" i="7"/>
  <c r="F7360" i="7"/>
  <c r="F7366" i="7"/>
  <c r="F7392" i="7"/>
  <c r="F7398" i="7"/>
  <c r="F7424" i="7"/>
  <c r="F7430" i="7"/>
  <c r="F7456" i="7"/>
  <c r="F7462" i="7"/>
  <c r="F7488" i="7"/>
  <c r="F7496" i="7"/>
  <c r="F7504" i="7"/>
  <c r="F7512" i="7"/>
  <c r="F7520" i="7"/>
  <c r="F7528" i="7"/>
  <c r="F7536" i="7"/>
  <c r="F7544" i="7"/>
  <c r="F7552" i="7"/>
  <c r="F7560" i="7"/>
  <c r="F7568" i="7"/>
  <c r="F7579" i="7"/>
  <c r="F7288" i="7"/>
  <c r="F7304" i="7"/>
  <c r="F7320" i="7"/>
  <c r="F7336" i="7"/>
  <c r="F7348" i="7"/>
  <c r="F7354" i="7"/>
  <c r="F7380" i="7"/>
  <c r="F7386" i="7"/>
  <c r="F7412" i="7"/>
  <c r="F7418" i="7"/>
  <c r="F7444" i="7"/>
  <c r="F7450" i="7"/>
  <c r="F7476" i="7"/>
  <c r="F7482" i="7"/>
  <c r="F7493" i="7"/>
  <c r="F7501" i="7"/>
  <c r="F7509" i="7"/>
  <c r="F7517" i="7"/>
  <c r="F7525" i="7"/>
  <c r="F7533" i="7"/>
  <c r="F7541" i="7"/>
  <c r="F7576" i="7"/>
  <c r="F7590" i="7"/>
  <c r="F7606" i="7"/>
  <c r="F7618" i="7"/>
  <c r="F7626" i="7"/>
  <c r="F7634" i="7"/>
  <c r="F7642" i="7"/>
  <c r="F7650" i="7"/>
  <c r="F7658" i="7"/>
  <c r="F7666" i="7"/>
  <c r="F7674" i="7"/>
  <c r="F7682" i="7"/>
  <c r="F7690" i="7"/>
  <c r="F7698" i="7"/>
  <c r="F7706" i="7"/>
  <c r="F7714" i="7"/>
  <c r="F7722" i="7"/>
  <c r="F7730" i="7"/>
  <c r="F7738" i="7"/>
  <c r="F7746" i="7"/>
  <c r="F7754" i="7"/>
  <c r="F7762" i="7"/>
  <c r="F7770" i="7"/>
  <c r="F7586" i="7"/>
  <c r="F7596" i="7"/>
  <c r="F7612" i="7"/>
  <c r="F7623" i="7"/>
  <c r="F7631" i="7"/>
  <c r="F7639" i="7"/>
  <c r="F7647" i="7"/>
  <c r="F7655" i="7"/>
  <c r="F7663" i="7"/>
  <c r="F7671" i="7"/>
  <c r="F7679" i="7"/>
  <c r="F7687" i="7"/>
  <c r="F7695" i="7"/>
  <c r="F7703" i="7"/>
  <c r="F7711" i="7"/>
  <c r="F7719" i="7"/>
  <c r="F7727" i="7"/>
  <c r="F7735" i="7"/>
  <c r="F7743" i="7"/>
  <c r="F7751" i="7"/>
  <c r="F7759" i="7"/>
  <c r="F7767" i="7"/>
  <c r="F7775" i="7"/>
  <c r="F7794" i="7"/>
  <c r="F7835" i="7"/>
  <c r="F8059" i="7"/>
  <c r="F7582" i="7"/>
  <c r="F7602" i="7"/>
  <c r="F7813" i="7"/>
  <c r="F7578" i="7"/>
  <c r="F7592" i="7"/>
  <c r="F7608" i="7"/>
  <c r="F7614" i="7"/>
  <c r="F7780" i="7"/>
  <c r="F7799" i="7"/>
  <c r="F7845" i="7"/>
  <c r="F7853" i="7"/>
  <c r="F7861" i="7"/>
  <c r="F7869" i="7"/>
  <c r="F7877" i="7"/>
  <c r="F7885" i="7"/>
  <c r="F7893" i="7"/>
  <c r="F7901" i="7"/>
  <c r="F7909" i="7"/>
  <c r="F7917" i="7"/>
  <c r="F7925" i="7"/>
  <c r="F7933" i="7"/>
  <c r="F7941" i="7"/>
  <c r="F7949" i="7"/>
  <c r="F7957" i="7"/>
  <c r="F7965" i="7"/>
  <c r="F7973" i="7"/>
  <c r="F7981" i="7"/>
  <c r="F7574" i="7"/>
  <c r="F7598" i="7"/>
  <c r="F7622" i="7"/>
  <c r="F7630" i="7"/>
  <c r="F7638" i="7"/>
  <c r="F7646" i="7"/>
  <c r="F7654" i="7"/>
  <c r="F7662" i="7"/>
  <c r="F7670" i="7"/>
  <c r="F7678" i="7"/>
  <c r="F7686" i="7"/>
  <c r="F7694" i="7"/>
  <c r="F7702" i="7"/>
  <c r="F7710" i="7"/>
  <c r="F7718" i="7"/>
  <c r="F7726" i="7"/>
  <c r="F7734" i="7"/>
  <c r="F7742" i="7"/>
  <c r="F7750" i="7"/>
  <c r="F7758" i="7"/>
  <c r="F7766" i="7"/>
  <c r="F7774" i="7"/>
  <c r="F7785" i="7"/>
  <c r="F7842" i="7"/>
  <c r="F7570" i="7"/>
  <c r="F7604" i="7"/>
  <c r="F7619" i="7"/>
  <c r="F7627" i="7"/>
  <c r="F7635" i="7"/>
  <c r="F7643" i="7"/>
  <c r="F7651" i="7"/>
  <c r="F7659" i="7"/>
  <c r="F7667" i="7"/>
  <c r="F7675" i="7"/>
  <c r="F7683" i="7"/>
  <c r="F7691" i="7"/>
  <c r="F7699" i="7"/>
  <c r="F7707" i="7"/>
  <c r="F7715" i="7"/>
  <c r="F7723" i="7"/>
  <c r="F7731" i="7"/>
  <c r="F7739" i="7"/>
  <c r="F7747" i="7"/>
  <c r="F7755" i="7"/>
  <c r="F7763" i="7"/>
  <c r="F7771" i="7"/>
  <c r="F7782" i="7"/>
  <c r="F7839" i="7"/>
  <c r="F7594" i="7"/>
  <c r="F7610" i="7"/>
  <c r="F7787" i="7"/>
  <c r="F7792" i="7"/>
  <c r="F7806" i="7"/>
  <c r="F7781" i="7"/>
  <c r="F7830" i="7"/>
  <c r="F7833" i="7"/>
  <c r="F7850" i="7"/>
  <c r="F7858" i="7"/>
  <c r="F7866" i="7"/>
  <c r="F7874" i="7"/>
  <c r="F7882" i="7"/>
  <c r="F7890" i="7"/>
  <c r="F7898" i="7"/>
  <c r="F7906" i="7"/>
  <c r="F7914" i="7"/>
  <c r="F7922" i="7"/>
  <c r="F7930" i="7"/>
  <c r="F7938" i="7"/>
  <c r="F7946" i="7"/>
  <c r="F7954" i="7"/>
  <c r="F7962" i="7"/>
  <c r="F7970" i="7"/>
  <c r="F7978" i="7"/>
  <c r="F7986" i="7"/>
  <c r="F7994" i="7"/>
  <c r="F8002" i="7"/>
  <c r="F8010" i="7"/>
  <c r="F8018" i="7"/>
  <c r="F8026" i="7"/>
  <c r="F8034" i="7"/>
  <c r="F8045" i="7"/>
  <c r="F8053" i="7"/>
  <c r="F7777" i="7"/>
  <c r="F7809" i="7"/>
  <c r="F7818" i="7"/>
  <c r="F7821" i="7"/>
  <c r="F7847" i="7"/>
  <c r="F7855" i="7"/>
  <c r="F7863" i="7"/>
  <c r="F7871" i="7"/>
  <c r="F7879" i="7"/>
  <c r="F7887" i="7"/>
  <c r="F7895" i="7"/>
  <c r="F7903" i="7"/>
  <c r="F7911" i="7"/>
  <c r="F7919" i="7"/>
  <c r="F7927" i="7"/>
  <c r="F7935" i="7"/>
  <c r="F7943" i="7"/>
  <c r="F7951" i="7"/>
  <c r="F7959" i="7"/>
  <c r="F7967" i="7"/>
  <c r="F7975" i="7"/>
  <c r="F7983" i="7"/>
  <c r="F7991" i="7"/>
  <c r="F7999" i="7"/>
  <c r="F8007" i="7"/>
  <c r="F8015" i="7"/>
  <c r="F8023" i="7"/>
  <c r="F8031" i="7"/>
  <c r="F8069" i="7"/>
  <c r="F7805" i="7"/>
  <c r="F7838" i="7"/>
  <c r="F7841" i="7"/>
  <c r="F8066" i="7"/>
  <c r="F7801" i="7"/>
  <c r="F7826" i="7"/>
  <c r="F7829" i="7"/>
  <c r="F7849" i="7"/>
  <c r="F7857" i="7"/>
  <c r="F7865" i="7"/>
  <c r="F7873" i="7"/>
  <c r="F7881" i="7"/>
  <c r="F7889" i="7"/>
  <c r="F7897" i="7"/>
  <c r="F7905" i="7"/>
  <c r="F7913" i="7"/>
  <c r="F7921" i="7"/>
  <c r="F7929" i="7"/>
  <c r="F7937" i="7"/>
  <c r="F7945" i="7"/>
  <c r="F7953" i="7"/>
  <c r="F7961" i="7"/>
  <c r="F7969" i="7"/>
  <c r="F7977" i="7"/>
  <c r="F7985" i="7"/>
  <c r="F8063" i="7"/>
  <c r="F8098" i="7"/>
  <c r="F7797" i="7"/>
  <c r="F7814" i="7"/>
  <c r="F7817" i="7"/>
  <c r="F7846" i="7"/>
  <c r="F7854" i="7"/>
  <c r="F7862" i="7"/>
  <c r="F7870" i="7"/>
  <c r="F7878" i="7"/>
  <c r="F7886" i="7"/>
  <c r="F7894" i="7"/>
  <c r="F7902" i="7"/>
  <c r="F7910" i="7"/>
  <c r="F7918" i="7"/>
  <c r="F7926" i="7"/>
  <c r="F7934" i="7"/>
  <c r="F7942" i="7"/>
  <c r="F7950" i="7"/>
  <c r="F7958" i="7"/>
  <c r="F7966" i="7"/>
  <c r="F7974" i="7"/>
  <c r="F7982" i="7"/>
  <c r="F7990" i="7"/>
  <c r="F7998" i="7"/>
  <c r="F8006" i="7"/>
  <c r="F8014" i="7"/>
  <c r="F8022" i="7"/>
  <c r="F8030" i="7"/>
  <c r="F8049" i="7"/>
  <c r="F8095" i="7"/>
  <c r="F7793" i="7"/>
  <c r="F7834" i="7"/>
  <c r="F7837" i="7"/>
  <c r="F7851" i="7"/>
  <c r="F7859" i="7"/>
  <c r="F7867" i="7"/>
  <c r="F7875" i="7"/>
  <c r="F7883" i="7"/>
  <c r="F7891" i="7"/>
  <c r="F7899" i="7"/>
  <c r="F7907" i="7"/>
  <c r="F7915" i="7"/>
  <c r="F7923" i="7"/>
  <c r="F7931" i="7"/>
  <c r="F7939" i="7"/>
  <c r="F7947" i="7"/>
  <c r="F7955" i="7"/>
  <c r="F7963" i="7"/>
  <c r="F7971" i="7"/>
  <c r="F7979" i="7"/>
  <c r="F7987" i="7"/>
  <c r="F7995" i="7"/>
  <c r="F8003" i="7"/>
  <c r="F8011" i="7"/>
  <c r="F8019" i="7"/>
  <c r="F8027" i="7"/>
  <c r="F8035" i="7"/>
  <c r="F8046" i="7"/>
  <c r="F7789" i="7"/>
  <c r="F7810" i="7"/>
  <c r="F7822" i="7"/>
  <c r="F7825" i="7"/>
  <c r="F8043" i="7"/>
  <c r="F8054" i="7"/>
  <c r="F8061" i="7"/>
  <c r="F8087" i="7"/>
  <c r="F8090" i="7"/>
  <c r="F8093" i="7"/>
  <c r="F8119" i="7"/>
  <c r="F8122" i="7"/>
  <c r="F8125" i="7"/>
  <c r="F8133" i="7"/>
  <c r="F8141" i="7"/>
  <c r="F8149" i="7"/>
  <c r="F8157" i="7"/>
  <c r="F8165" i="7"/>
  <c r="F8173" i="7"/>
  <c r="F8181" i="7"/>
  <c r="F8189" i="7"/>
  <c r="F8197" i="7"/>
  <c r="F8205" i="7"/>
  <c r="F8213" i="7"/>
  <c r="F8221" i="7"/>
  <c r="F8229" i="7"/>
  <c r="F8237" i="7"/>
  <c r="F8245" i="7"/>
  <c r="F8253" i="7"/>
  <c r="F8261" i="7"/>
  <c r="F8323" i="7"/>
  <c r="F8358" i="7"/>
  <c r="F8050" i="7"/>
  <c r="F8075" i="7"/>
  <c r="F8078" i="7"/>
  <c r="F8081" i="7"/>
  <c r="F8107" i="7"/>
  <c r="F8110" i="7"/>
  <c r="F8113" i="7"/>
  <c r="F8130" i="7"/>
  <c r="F8138" i="7"/>
  <c r="F8146" i="7"/>
  <c r="F8154" i="7"/>
  <c r="F8162" i="7"/>
  <c r="F8170" i="7"/>
  <c r="F8178" i="7"/>
  <c r="F8186" i="7"/>
  <c r="F8194" i="7"/>
  <c r="F8202" i="7"/>
  <c r="F8210" i="7"/>
  <c r="F8218" i="7"/>
  <c r="F8226" i="7"/>
  <c r="F8234" i="7"/>
  <c r="F8242" i="7"/>
  <c r="F8250" i="7"/>
  <c r="F8285" i="7"/>
  <c r="F8355" i="7"/>
  <c r="F8101" i="7"/>
  <c r="F8127" i="7"/>
  <c r="F8135" i="7"/>
  <c r="F8143" i="7"/>
  <c r="F8151" i="7"/>
  <c r="F8159" i="7"/>
  <c r="F8167" i="7"/>
  <c r="F8175" i="7"/>
  <c r="F8183" i="7"/>
  <c r="F8191" i="7"/>
  <c r="F8199" i="7"/>
  <c r="F8207" i="7"/>
  <c r="F8215" i="7"/>
  <c r="F8223" i="7"/>
  <c r="F8231" i="7"/>
  <c r="F8239" i="7"/>
  <c r="F8247" i="7"/>
  <c r="F8255" i="7"/>
  <c r="F8263" i="7"/>
  <c r="F8301" i="7"/>
  <c r="F8042" i="7"/>
  <c r="F8083" i="7"/>
  <c r="F8086" i="7"/>
  <c r="F8089" i="7"/>
  <c r="F8115" i="7"/>
  <c r="F8118" i="7"/>
  <c r="F8121" i="7"/>
  <c r="F8038" i="7"/>
  <c r="F8071" i="7"/>
  <c r="F8074" i="7"/>
  <c r="F8077" i="7"/>
  <c r="F8103" i="7"/>
  <c r="F8106" i="7"/>
  <c r="F8109" i="7"/>
  <c r="F8129" i="7"/>
  <c r="F8137" i="7"/>
  <c r="F8145" i="7"/>
  <c r="F8153" i="7"/>
  <c r="F8161" i="7"/>
  <c r="F8169" i="7"/>
  <c r="F8177" i="7"/>
  <c r="F8185" i="7"/>
  <c r="F8193" i="7"/>
  <c r="F8201" i="7"/>
  <c r="F8209" i="7"/>
  <c r="F8217" i="7"/>
  <c r="F8225" i="7"/>
  <c r="F8233" i="7"/>
  <c r="F8241" i="7"/>
  <c r="F8249" i="7"/>
  <c r="F8257" i="7"/>
  <c r="F8265" i="7"/>
  <c r="F8062" i="7"/>
  <c r="F8065" i="7"/>
  <c r="F8091" i="7"/>
  <c r="F8094" i="7"/>
  <c r="F8097" i="7"/>
  <c r="F8123" i="7"/>
  <c r="F8126" i="7"/>
  <c r="F8134" i="7"/>
  <c r="F8142" i="7"/>
  <c r="F8150" i="7"/>
  <c r="F8158" i="7"/>
  <c r="F8166" i="7"/>
  <c r="F8174" i="7"/>
  <c r="F8182" i="7"/>
  <c r="F8190" i="7"/>
  <c r="F8198" i="7"/>
  <c r="F8206" i="7"/>
  <c r="F8214" i="7"/>
  <c r="F8222" i="7"/>
  <c r="F8230" i="7"/>
  <c r="F8238" i="7"/>
  <c r="F8246" i="7"/>
  <c r="F8289" i="7"/>
  <c r="F8079" i="7"/>
  <c r="F8082" i="7"/>
  <c r="F8085" i="7"/>
  <c r="F8111" i="7"/>
  <c r="F8114" i="7"/>
  <c r="F8117" i="7"/>
  <c r="F8131" i="7"/>
  <c r="F8139" i="7"/>
  <c r="F8147" i="7"/>
  <c r="F8155" i="7"/>
  <c r="F8163" i="7"/>
  <c r="F8171" i="7"/>
  <c r="F8179" i="7"/>
  <c r="F8187" i="7"/>
  <c r="F8195" i="7"/>
  <c r="F8203" i="7"/>
  <c r="F8211" i="7"/>
  <c r="F8219" i="7"/>
  <c r="F8227" i="7"/>
  <c r="F8235" i="7"/>
  <c r="F8243" i="7"/>
  <c r="F8251" i="7"/>
  <c r="F8259" i="7"/>
  <c r="F8294" i="7"/>
  <c r="F8058" i="7"/>
  <c r="F8067" i="7"/>
  <c r="F8070" i="7"/>
  <c r="F8073" i="7"/>
  <c r="F8099" i="7"/>
  <c r="F8102" i="7"/>
  <c r="F8105" i="7"/>
  <c r="F8291" i="7"/>
  <c r="F8326" i="7"/>
  <c r="F8275" i="7"/>
  <c r="F8278" i="7"/>
  <c r="F8307" i="7"/>
  <c r="F8310" i="7"/>
  <c r="F8339" i="7"/>
  <c r="F8342" i="7"/>
  <c r="F8371" i="7"/>
  <c r="F8374" i="7"/>
  <c r="F8403" i="7"/>
  <c r="F8406" i="7"/>
  <c r="F8435" i="7"/>
  <c r="F8438" i="7"/>
  <c r="F8446" i="7"/>
  <c r="F8460" i="7"/>
  <c r="F8463" i="7"/>
  <c r="F8471" i="7"/>
  <c r="F8493" i="7"/>
  <c r="F8512" i="7"/>
  <c r="F8520" i="7"/>
  <c r="F8580" i="7"/>
  <c r="F8596" i="7"/>
  <c r="F8631" i="7"/>
  <c r="F8666" i="7"/>
  <c r="F8701" i="7"/>
  <c r="F8728" i="7"/>
  <c r="F8295" i="7"/>
  <c r="F8298" i="7"/>
  <c r="F8327" i="7"/>
  <c r="F8330" i="7"/>
  <c r="F8359" i="7"/>
  <c r="F8362" i="7"/>
  <c r="F8391" i="7"/>
  <c r="F8394" i="7"/>
  <c r="F8423" i="7"/>
  <c r="F8426" i="7"/>
  <c r="F8476" i="7"/>
  <c r="F8498" i="7"/>
  <c r="F8509" i="7"/>
  <c r="F8528" i="7"/>
  <c r="F8536" i="7"/>
  <c r="F8612" i="7"/>
  <c r="F8628" i="7"/>
  <c r="F8636" i="7"/>
  <c r="F8663" i="7"/>
  <c r="F8698" i="7"/>
  <c r="F8733" i="7"/>
  <c r="F8271" i="7"/>
  <c r="F8283" i="7"/>
  <c r="F8286" i="7"/>
  <c r="F8315" i="7"/>
  <c r="F8318" i="7"/>
  <c r="F8347" i="7"/>
  <c r="F8350" i="7"/>
  <c r="F8379" i="7"/>
  <c r="F8382" i="7"/>
  <c r="F8411" i="7"/>
  <c r="F8414" i="7"/>
  <c r="F8451" i="7"/>
  <c r="F8514" i="7"/>
  <c r="F8525" i="7"/>
  <c r="F8644" i="7"/>
  <c r="F8660" i="7"/>
  <c r="F8668" i="7"/>
  <c r="F8695" i="7"/>
  <c r="F8730" i="7"/>
  <c r="F8765" i="7"/>
  <c r="F8274" i="7"/>
  <c r="F8303" i="7"/>
  <c r="F8306" i="7"/>
  <c r="F8335" i="7"/>
  <c r="F8338" i="7"/>
  <c r="F8367" i="7"/>
  <c r="F8370" i="7"/>
  <c r="F8399" i="7"/>
  <c r="F8402" i="7"/>
  <c r="F8431" i="7"/>
  <c r="F8434" i="7"/>
  <c r="F8470" i="7"/>
  <c r="F8478" i="7"/>
  <c r="F8530" i="7"/>
  <c r="F8541" i="7"/>
  <c r="F8560" i="7"/>
  <c r="F8568" i="7"/>
  <c r="F8676" i="7"/>
  <c r="F8692" i="7"/>
  <c r="F8700" i="7"/>
  <c r="F8762" i="7"/>
  <c r="F8387" i="7"/>
  <c r="F8390" i="7"/>
  <c r="F8419" i="7"/>
  <c r="F8422" i="7"/>
  <c r="F8442" i="7"/>
  <c r="F8456" i="7"/>
  <c r="F8467" i="7"/>
  <c r="F8573" i="7"/>
  <c r="F8592" i="7"/>
  <c r="F8600" i="7"/>
  <c r="F8708" i="7"/>
  <c r="F8724" i="7"/>
  <c r="F8732" i="7"/>
  <c r="F8270" i="7"/>
  <c r="F8279" i="7"/>
  <c r="F8282" i="7"/>
  <c r="F8311" i="7"/>
  <c r="F8314" i="7"/>
  <c r="F8343" i="7"/>
  <c r="F8346" i="7"/>
  <c r="F8375" i="7"/>
  <c r="F8378" i="7"/>
  <c r="F8407" i="7"/>
  <c r="F8410" i="7"/>
  <c r="F8439" i="7"/>
  <c r="F8464" i="7"/>
  <c r="F8483" i="7"/>
  <c r="F8494" i="7"/>
  <c r="F8570" i="7"/>
  <c r="F8605" i="7"/>
  <c r="F8624" i="7"/>
  <c r="F8632" i="7"/>
  <c r="F8740" i="7"/>
  <c r="F8266" i="7"/>
  <c r="F8299" i="7"/>
  <c r="F8302" i="7"/>
  <c r="F8331" i="7"/>
  <c r="F8334" i="7"/>
  <c r="F8363" i="7"/>
  <c r="F8366" i="7"/>
  <c r="F8395" i="7"/>
  <c r="F8398" i="7"/>
  <c r="F8427" i="7"/>
  <c r="F8430" i="7"/>
  <c r="F8444" i="7"/>
  <c r="F8458" i="7"/>
  <c r="F8469" i="7"/>
  <c r="F8488" i="7"/>
  <c r="F8510" i="7"/>
  <c r="F8567" i="7"/>
  <c r="F8602" i="7"/>
  <c r="F8637" i="7"/>
  <c r="F8656" i="7"/>
  <c r="F8664" i="7"/>
  <c r="F8287" i="7"/>
  <c r="F8290" i="7"/>
  <c r="F8319" i="7"/>
  <c r="F8322" i="7"/>
  <c r="F8351" i="7"/>
  <c r="F8354" i="7"/>
  <c r="F8383" i="7"/>
  <c r="F8386" i="7"/>
  <c r="F8415" i="7"/>
  <c r="F8418" i="7"/>
  <c r="F8474" i="7"/>
  <c r="F8496" i="7"/>
  <c r="F8504" i="7"/>
  <c r="F8526" i="7"/>
  <c r="F8548" i="7"/>
  <c r="F8564" i="7"/>
  <c r="F8599" i="7"/>
  <c r="F8634" i="7"/>
  <c r="F8669" i="7"/>
  <c r="F8688" i="7"/>
  <c r="F8696" i="7"/>
  <c r="F8465" i="7"/>
  <c r="F8499" i="7"/>
  <c r="F8515" i="7"/>
  <c r="F8531" i="7"/>
  <c r="F8555" i="7"/>
  <c r="F8558" i="7"/>
  <c r="F8561" i="7"/>
  <c r="F8587" i="7"/>
  <c r="F8590" i="7"/>
  <c r="F8593" i="7"/>
  <c r="F8619" i="7"/>
  <c r="F8622" i="7"/>
  <c r="F8625" i="7"/>
  <c r="F8651" i="7"/>
  <c r="F8654" i="7"/>
  <c r="F8657" i="7"/>
  <c r="F8683" i="7"/>
  <c r="F8686" i="7"/>
  <c r="F8689" i="7"/>
  <c r="F8718" i="7"/>
  <c r="F8721" i="7"/>
  <c r="F8750" i="7"/>
  <c r="F8753" i="7"/>
  <c r="F8461" i="7"/>
  <c r="F8489" i="7"/>
  <c r="F8505" i="7"/>
  <c r="F8521" i="7"/>
  <c r="F8537" i="7"/>
  <c r="F8543" i="7"/>
  <c r="F8546" i="7"/>
  <c r="F8549" i="7"/>
  <c r="F8575" i="7"/>
  <c r="F8578" i="7"/>
  <c r="F8581" i="7"/>
  <c r="F8607" i="7"/>
  <c r="F8610" i="7"/>
  <c r="F8613" i="7"/>
  <c r="F8639" i="7"/>
  <c r="F8642" i="7"/>
  <c r="F8645" i="7"/>
  <c r="F8671" i="7"/>
  <c r="F8674" i="7"/>
  <c r="F8677" i="7"/>
  <c r="F8703" i="7"/>
  <c r="F8706" i="7"/>
  <c r="F8709" i="7"/>
  <c r="F8738" i="7"/>
  <c r="F8741" i="7"/>
  <c r="F8770" i="7"/>
  <c r="F8773" i="7"/>
  <c r="F8457" i="7"/>
  <c r="F8495" i="7"/>
  <c r="F8511" i="7"/>
  <c r="F8527" i="7"/>
  <c r="F8563" i="7"/>
  <c r="F8566" i="7"/>
  <c r="F8569" i="7"/>
  <c r="F8595" i="7"/>
  <c r="F8598" i="7"/>
  <c r="F8601" i="7"/>
  <c r="F8627" i="7"/>
  <c r="F8630" i="7"/>
  <c r="F8633" i="7"/>
  <c r="F8659" i="7"/>
  <c r="F8662" i="7"/>
  <c r="F8665" i="7"/>
  <c r="F8691" i="7"/>
  <c r="F8694" i="7"/>
  <c r="F8697" i="7"/>
  <c r="F8726" i="7"/>
  <c r="F8729" i="7"/>
  <c r="F8758" i="7"/>
  <c r="F8761" i="7"/>
  <c r="F8453" i="7"/>
  <c r="F8485" i="7"/>
  <c r="F8501" i="7"/>
  <c r="F8517" i="7"/>
  <c r="F8533" i="7"/>
  <c r="F8551" i="7"/>
  <c r="F8554" i="7"/>
  <c r="F8557" i="7"/>
  <c r="F8583" i="7"/>
  <c r="F8586" i="7"/>
  <c r="F8589" i="7"/>
  <c r="F8615" i="7"/>
  <c r="F8618" i="7"/>
  <c r="F8621" i="7"/>
  <c r="F8647" i="7"/>
  <c r="F8650" i="7"/>
  <c r="F8653" i="7"/>
  <c r="F8679" i="7"/>
  <c r="F8682" i="7"/>
  <c r="F8685" i="7"/>
  <c r="F8714" i="7"/>
  <c r="F8717" i="7"/>
  <c r="F8746" i="7"/>
  <c r="F8749" i="7"/>
  <c r="F8778" i="7"/>
  <c r="F8449" i="7"/>
  <c r="F8481" i="7"/>
  <c r="F8491" i="7"/>
  <c r="F8507" i="7"/>
  <c r="F8523" i="7"/>
  <c r="F8539" i="7"/>
  <c r="F8542" i="7"/>
  <c r="F8545" i="7"/>
  <c r="CE57" i="7" s="1"/>
  <c r="F8571" i="7"/>
  <c r="F8574" i="7"/>
  <c r="F8577" i="7"/>
  <c r="F8603" i="7"/>
  <c r="F8606" i="7"/>
  <c r="F8609" i="7"/>
  <c r="F8635" i="7"/>
  <c r="F8638" i="7"/>
  <c r="F8641" i="7"/>
  <c r="F8667" i="7"/>
  <c r="F8670" i="7"/>
  <c r="F8673" i="7"/>
  <c r="F8699" i="7"/>
  <c r="F8702" i="7"/>
  <c r="F8705" i="7"/>
  <c r="F8734" i="7"/>
  <c r="F8737" i="7"/>
  <c r="F8766" i="7"/>
  <c r="F8769" i="7"/>
  <c r="F8445" i="7"/>
  <c r="F8477" i="7"/>
  <c r="F8497" i="7"/>
  <c r="F8513" i="7"/>
  <c r="F8529" i="7"/>
  <c r="F8559" i="7"/>
  <c r="F8562" i="7"/>
  <c r="F8565" i="7"/>
  <c r="F8591" i="7"/>
  <c r="F8594" i="7"/>
  <c r="F8597" i="7"/>
  <c r="F8623" i="7"/>
  <c r="F8626" i="7"/>
  <c r="F8629" i="7"/>
  <c r="F8655" i="7"/>
  <c r="F8658" i="7"/>
  <c r="F8661" i="7"/>
  <c r="F8687" i="7"/>
  <c r="F8690" i="7"/>
  <c r="F8693" i="7"/>
  <c r="F8722" i="7"/>
  <c r="F8725" i="7"/>
  <c r="F8754" i="7"/>
  <c r="F8757" i="7"/>
  <c r="F8441" i="7"/>
  <c r="F8473" i="7"/>
  <c r="F8487" i="7"/>
  <c r="F8503" i="7"/>
  <c r="F8519" i="7"/>
  <c r="F8535" i="7"/>
  <c r="F8547" i="7"/>
  <c r="F8550" i="7"/>
  <c r="F8553" i="7"/>
  <c r="F8579" i="7"/>
  <c r="F8582" i="7"/>
  <c r="F8585" i="7"/>
  <c r="F8611" i="7"/>
  <c r="F8614" i="7"/>
  <c r="F8617" i="7"/>
  <c r="F8643" i="7"/>
  <c r="F8646" i="7"/>
  <c r="F8649" i="7"/>
  <c r="F8675" i="7"/>
  <c r="F8678" i="7"/>
  <c r="F8681" i="7"/>
  <c r="F8710" i="7"/>
  <c r="F8713" i="7"/>
  <c r="F8742" i="7"/>
  <c r="F8745" i="7"/>
  <c r="F8774" i="7"/>
  <c r="F8777" i="7"/>
  <c r="G172" i="8" l="1"/>
  <c r="G48" i="8"/>
  <c r="G178" i="8"/>
  <c r="G180" i="8"/>
  <c r="G176" i="8"/>
  <c r="G109" i="8"/>
  <c r="G171" i="8"/>
  <c r="G175" i="8"/>
  <c r="G173" i="8"/>
  <c r="G174" i="8"/>
  <c r="G105" i="8"/>
  <c r="G120" i="8"/>
  <c r="G47" i="8"/>
  <c r="CK19" i="7"/>
  <c r="CL19" i="7"/>
  <c r="CL18" i="7"/>
  <c r="CK18" i="7"/>
  <c r="CL20" i="7"/>
  <c r="CR22" i="7"/>
  <c r="CP29" i="7"/>
  <c r="CO70" i="7"/>
  <c r="CQ70" i="7"/>
  <c r="CY75" i="7"/>
  <c r="CO72" i="7"/>
  <c r="CT70" i="7"/>
  <c r="CC57" i="7"/>
  <c r="CY25" i="7"/>
  <c r="CF39" i="7"/>
  <c r="CW66" i="7"/>
  <c r="CC60" i="7"/>
  <c r="CM57" i="7"/>
  <c r="CX22" i="7"/>
  <c r="CS66" i="7"/>
  <c r="CG67" i="7"/>
  <c r="CP70" i="7"/>
  <c r="CD31" i="7"/>
  <c r="CR37" i="7"/>
  <c r="CZ49" i="7"/>
  <c r="CY41" i="7"/>
  <c r="CF33" i="7"/>
  <c r="CO26" i="7"/>
  <c r="CG48" i="7"/>
  <c r="CT72" i="7"/>
  <c r="CS72" i="7"/>
  <c r="CD23" i="7"/>
  <c r="CG33" i="7"/>
  <c r="CG41" i="7"/>
  <c r="CS58" i="7"/>
  <c r="CZ71" i="7"/>
  <c r="CX44" i="7"/>
  <c r="CW55" i="7"/>
  <c r="CO30" i="7"/>
  <c r="CC34" i="7"/>
  <c r="CW46" i="7"/>
  <c r="CE54" i="7"/>
  <c r="CP59" i="7"/>
  <c r="CR32" i="7"/>
  <c r="CQ40" i="7"/>
  <c r="CR47" i="7"/>
  <c r="CG44" i="7"/>
  <c r="CR64" i="7"/>
  <c r="CZ65" i="7"/>
  <c r="CC28" i="7"/>
  <c r="CX32" i="7"/>
  <c r="CG39" i="7"/>
  <c r="CI57" i="7"/>
  <c r="CO44" i="7"/>
  <c r="CC46" i="7"/>
  <c r="CQ36" i="7"/>
  <c r="CS33" i="7"/>
  <c r="CN38" i="7"/>
  <c r="CN58" i="7"/>
  <c r="CI61" i="7"/>
  <c r="CN54" i="7"/>
  <c r="CH42" i="7"/>
  <c r="CS36" i="7"/>
  <c r="CO61" i="7"/>
  <c r="CC56" i="7"/>
  <c r="CQ24" i="7"/>
  <c r="CZ26" i="7"/>
  <c r="CX26" i="7"/>
  <c r="CG25" i="7"/>
  <c r="CD41" i="7"/>
  <c r="CX41" i="7"/>
  <c r="CE51" i="7"/>
  <c r="CO46" i="7"/>
  <c r="CU46" i="7"/>
  <c r="CX60" i="7"/>
  <c r="CC22" i="7"/>
  <c r="CY33" i="7"/>
  <c r="CM29" i="7"/>
  <c r="CH34" i="7"/>
  <c r="CL35" i="7"/>
  <c r="CK58" i="7"/>
  <c r="CW69" i="7"/>
  <c r="CR43" i="7"/>
  <c r="CH21" i="7"/>
  <c r="CJ24" i="7"/>
  <c r="CE33" i="7"/>
  <c r="CI25" i="7"/>
  <c r="CT27" i="7"/>
  <c r="CZ75" i="7"/>
  <c r="CI44" i="7"/>
  <c r="G73" i="8" s="1"/>
  <c r="CC61" i="7"/>
  <c r="CG64" i="7"/>
  <c r="CT66" i="7"/>
  <c r="CM46" i="7"/>
  <c r="CU66" i="7"/>
  <c r="CO60" i="7"/>
  <c r="CG62" i="7"/>
  <c r="CY60" i="7"/>
  <c r="CL38" i="7"/>
  <c r="CY36" i="7"/>
  <c r="CP71" i="7"/>
  <c r="CS50" i="7"/>
  <c r="CJ43" i="7"/>
  <c r="CW47" i="7"/>
  <c r="CG49" i="7"/>
  <c r="CG58" i="7"/>
  <c r="CH61" i="7"/>
  <c r="CY74" i="7"/>
  <c r="CO47" i="7"/>
  <c r="CH47" i="7"/>
  <c r="CR61" i="7"/>
  <c r="CW61" i="7"/>
  <c r="CX43" i="7"/>
  <c r="CH52" i="7"/>
  <c r="CZ47" i="7"/>
  <c r="CD44" i="7"/>
  <c r="CL60" i="7"/>
  <c r="CX48" i="7"/>
  <c r="CP58" i="7"/>
  <c r="CT64" i="7"/>
  <c r="CL31" i="7"/>
  <c r="CG24" i="7"/>
  <c r="CJ41" i="7"/>
  <c r="CV49" i="7"/>
  <c r="CY68" i="7"/>
  <c r="CK61" i="7"/>
  <c r="CG36" i="7"/>
  <c r="CK52" i="7"/>
  <c r="CG30" i="7"/>
  <c r="CS35" i="7"/>
  <c r="CR24" i="7"/>
  <c r="CO25" i="7"/>
  <c r="CK26" i="7"/>
  <c r="CW34" i="7"/>
  <c r="CG35" i="7"/>
  <c r="CZ34" i="7"/>
  <c r="CF38" i="7"/>
  <c r="CH66" i="7"/>
  <c r="CK57" i="7"/>
  <c r="CE43" i="7"/>
  <c r="CH57" i="7"/>
  <c r="CW24" i="7"/>
  <c r="CD25" i="7"/>
  <c r="CO33" i="7"/>
  <c r="CK34" i="7"/>
  <c r="CY43" i="7"/>
  <c r="CS64" i="7"/>
  <c r="CT69" i="7"/>
  <c r="CO65" i="7"/>
  <c r="CI66" i="7"/>
  <c r="CP66" i="7"/>
  <c r="CP53" i="7"/>
  <c r="CN46" i="7"/>
  <c r="CF37" i="7"/>
  <c r="CI34" i="7"/>
  <c r="CH40" i="7"/>
  <c r="CM50" i="7"/>
  <c r="CM49" i="7"/>
  <c r="CR63" i="7"/>
  <c r="CV55" i="7"/>
  <c r="CV15" i="7"/>
  <c r="CR68" i="7"/>
  <c r="CL56" i="7"/>
  <c r="CJ44" i="7"/>
  <c r="CK53" i="7"/>
  <c r="CS55" i="7"/>
  <c r="CX45" i="7"/>
  <c r="CF47" i="7"/>
  <c r="CZ25" i="7"/>
  <c r="CM47" i="7"/>
  <c r="CC47" i="7"/>
  <c r="CS24" i="7"/>
  <c r="CV12" i="7"/>
  <c r="CO29" i="7"/>
  <c r="CS21" i="7"/>
  <c r="CV32" i="7"/>
  <c r="CQ34" i="7"/>
  <c r="CS20" i="7"/>
  <c r="CE35" i="7"/>
  <c r="CV37" i="7"/>
  <c r="CY38" i="7"/>
  <c r="CR48" i="7"/>
  <c r="CR44" i="7"/>
  <c r="CR69" i="7"/>
  <c r="CP48" i="7"/>
  <c r="CR59" i="7"/>
  <c r="CX71" i="7"/>
  <c r="CZ23" i="7"/>
  <c r="CZ22" i="7"/>
  <c r="CM31" i="7"/>
  <c r="CC40" i="7"/>
  <c r="CX27" i="7"/>
  <c r="CZ41" i="7"/>
  <c r="CT30" i="7"/>
  <c r="CC39" i="7"/>
  <c r="CD65" i="7"/>
  <c r="CZ67" i="7"/>
  <c r="CH23" i="7"/>
  <c r="CL21" i="7"/>
  <c r="CO24" i="7"/>
  <c r="CC27" i="7"/>
  <c r="CY28" i="7"/>
  <c r="CC24" i="7"/>
  <c r="CP35" i="7"/>
  <c r="CQ28" i="7"/>
  <c r="CK36" i="7"/>
  <c r="CZ32" i="7"/>
  <c r="CF28" i="7"/>
  <c r="CR25" i="7"/>
  <c r="CK24" i="7"/>
  <c r="CC33" i="7"/>
  <c r="CQ37" i="7"/>
  <c r="CW35" i="7"/>
  <c r="CY35" i="7"/>
  <c r="CX29" i="7"/>
  <c r="CF36" i="7"/>
  <c r="CV33" i="7"/>
  <c r="CE39" i="7"/>
  <c r="CD35" i="7"/>
  <c r="CU32" i="7"/>
  <c r="CC41" i="7"/>
  <c r="CS70" i="7"/>
  <c r="CX68" i="7"/>
  <c r="CC62" i="7"/>
  <c r="CJ65" i="7"/>
  <c r="CQ51" i="7"/>
  <c r="CU64" i="7"/>
  <c r="CS52" i="7"/>
  <c r="CW67" i="7"/>
  <c r="CN51" i="7"/>
  <c r="CT58" i="7"/>
  <c r="CS40" i="7"/>
  <c r="CO39" i="7"/>
  <c r="CQ35" i="7"/>
  <c r="CX28" i="7"/>
  <c r="CL59" i="7"/>
  <c r="CF49" i="7"/>
  <c r="CP68" i="7"/>
  <c r="CL41" i="7"/>
  <c r="CD43" i="7"/>
  <c r="CN36" i="7"/>
  <c r="CX46" i="7"/>
  <c r="CQ65" i="7"/>
  <c r="CK59" i="7"/>
  <c r="CV50" i="7"/>
  <c r="CC55" i="7"/>
  <c r="CL52" i="7"/>
  <c r="CY78" i="7"/>
  <c r="CV26" i="7"/>
  <c r="CR42" i="7"/>
  <c r="CU47" i="7"/>
  <c r="CQ54" i="7"/>
  <c r="CO35" i="7"/>
  <c r="CU36" i="7"/>
  <c r="CP46" i="7"/>
  <c r="CY53" i="7"/>
  <c r="CX49" i="7"/>
  <c r="CF30" i="7"/>
  <c r="CQ27" i="7"/>
  <c r="CF29" i="7"/>
  <c r="CX36" i="7"/>
  <c r="CW42" i="7"/>
  <c r="CU34" i="7"/>
  <c r="CO37" i="7"/>
  <c r="CZ37" i="7"/>
  <c r="CY42" i="7"/>
  <c r="CW31" i="7"/>
  <c r="CW37" i="7"/>
  <c r="CQ42" i="7"/>
  <c r="CV38" i="7"/>
  <c r="CJ35" i="7"/>
  <c r="CP41" i="7"/>
  <c r="CF40" i="7"/>
  <c r="CH45" i="7"/>
  <c r="CU41" i="7"/>
  <c r="CL62" i="7"/>
  <c r="CS49" i="7"/>
  <c r="CR70" i="7"/>
  <c r="CC63" i="7"/>
  <c r="CL57" i="7"/>
  <c r="CS45" i="7"/>
  <c r="CZ69" i="7"/>
  <c r="CK42" i="7"/>
  <c r="CZ77" i="7"/>
  <c r="CP56" i="7"/>
  <c r="CH68" i="7"/>
  <c r="G170" i="8" s="1"/>
  <c r="CX54" i="7"/>
  <c r="CK46" i="7"/>
  <c r="CX25" i="7"/>
  <c r="CR67" i="7"/>
  <c r="CF48" i="7"/>
  <c r="CP64" i="7"/>
  <c r="CV58" i="7"/>
  <c r="CD42" i="7"/>
  <c r="CI45" i="7"/>
  <c r="CX50" i="7"/>
  <c r="CL58" i="7"/>
  <c r="CZ56" i="7"/>
  <c r="CZ52" i="7"/>
  <c r="CQ64" i="7"/>
  <c r="CZ30" i="7"/>
  <c r="CZ46" i="7"/>
  <c r="CM41" i="7"/>
  <c r="CS68" i="7"/>
  <c r="CO63" i="7"/>
  <c r="CX35" i="7"/>
  <c r="CD20" i="7"/>
  <c r="CW57" i="7"/>
  <c r="CW71" i="7"/>
  <c r="CO43" i="7"/>
  <c r="CS32" i="7"/>
  <c r="CQ21" i="7"/>
  <c r="CJ22" i="7"/>
  <c r="CW30" i="7"/>
  <c r="CR39" i="7"/>
  <c r="CG38" i="7"/>
  <c r="CK32" i="7"/>
  <c r="CI50" i="7"/>
  <c r="CK40" i="7"/>
  <c r="CT55" i="7"/>
  <c r="CL29" i="7"/>
  <c r="CQ69" i="7"/>
  <c r="CW70" i="7"/>
  <c r="CV51" i="7"/>
  <c r="CU48" i="7"/>
  <c r="CQ62" i="7"/>
  <c r="CX57" i="7"/>
  <c r="CZ48" i="7"/>
  <c r="CP61" i="7"/>
  <c r="CG22" i="7"/>
  <c r="CH20" i="7"/>
  <c r="G122" i="8" s="1"/>
  <c r="CC21" i="7"/>
  <c r="CP24" i="7"/>
  <c r="CU25" i="7"/>
  <c r="CK22" i="7"/>
  <c r="CV27" i="7"/>
  <c r="CI27" i="7"/>
  <c r="CK31" i="7"/>
  <c r="CR30" i="7"/>
  <c r="CR23" i="7"/>
  <c r="CS25" i="7"/>
  <c r="CC26" i="7"/>
  <c r="CG27" i="7"/>
  <c r="CP37" i="7"/>
  <c r="CL25" i="7"/>
  <c r="CO32" i="7"/>
  <c r="CP34" i="7"/>
  <c r="CI33" i="7"/>
  <c r="G62" i="8" s="1"/>
  <c r="CM36" i="7"/>
  <c r="CS37" i="7"/>
  <c r="CJ29" i="7"/>
  <c r="CQ38" i="7"/>
  <c r="CD36" i="7"/>
  <c r="CD38" i="7"/>
  <c r="CQ41" i="7"/>
  <c r="CU29" i="7"/>
  <c r="CH37" i="7"/>
  <c r="CW39" i="7"/>
  <c r="CP38" i="7"/>
  <c r="CQ50" i="7"/>
  <c r="CY57" i="7"/>
  <c r="CT65" i="7"/>
  <c r="CQ49" i="7"/>
  <c r="CT62" i="7"/>
  <c r="CX53" i="7"/>
  <c r="CN41" i="7"/>
  <c r="CU44" i="7"/>
  <c r="CV48" i="7"/>
  <c r="CI39" i="7"/>
  <c r="G68" i="8" s="1"/>
  <c r="CR52" i="7"/>
  <c r="CD59" i="7"/>
  <c r="CY76" i="7"/>
  <c r="CH44" i="7"/>
  <c r="CI67" i="7"/>
  <c r="G96" i="8" s="1"/>
  <c r="CE46" i="7"/>
  <c r="CN47" i="7"/>
  <c r="CX40" i="7"/>
  <c r="CU62" i="7"/>
  <c r="CT47" i="7"/>
  <c r="CE49" i="7"/>
  <c r="CZ51" i="7"/>
  <c r="CK55" i="7"/>
  <c r="CZ68" i="7"/>
  <c r="CG53" i="7"/>
  <c r="CH58" i="7"/>
  <c r="CL47" i="7"/>
  <c r="CG47" i="7"/>
  <c r="CK56" i="7"/>
  <c r="CC51" i="7"/>
  <c r="CR56" i="7"/>
  <c r="CP32" i="7"/>
  <c r="CK45" i="7"/>
  <c r="CR58" i="7"/>
  <c r="CL63" i="7"/>
  <c r="CC29" i="7"/>
  <c r="CU49" i="7"/>
  <c r="CY24" i="7"/>
  <c r="CV28" i="7"/>
  <c r="CQ25" i="7"/>
  <c r="CZ40" i="7"/>
  <c r="CX33" i="7"/>
  <c r="CK33" i="7"/>
  <c r="CT38" i="7"/>
  <c r="CX42" i="7"/>
  <c r="CD60" i="7"/>
  <c r="CC20" i="7"/>
  <c r="CL23" i="7"/>
  <c r="CZ27" i="7"/>
  <c r="CP26" i="7"/>
  <c r="CI21" i="7"/>
  <c r="CI24" i="7"/>
  <c r="G53" i="8" s="1"/>
  <c r="CY39" i="7"/>
  <c r="CN30" i="7"/>
  <c r="CN32" i="7"/>
  <c r="CR35" i="7"/>
  <c r="CE36" i="7"/>
  <c r="CH32" i="7"/>
  <c r="CL33" i="7"/>
  <c r="CV39" i="7"/>
  <c r="CO40" i="7"/>
  <c r="CF41" i="7"/>
  <c r="CG43" i="7"/>
  <c r="CI31" i="7"/>
  <c r="CX38" i="7"/>
  <c r="CQ43" i="7"/>
  <c r="CQ33" i="7"/>
  <c r="CU40" i="7"/>
  <c r="CJ28" i="7"/>
  <c r="CV44" i="7"/>
  <c r="CC42" i="7"/>
  <c r="CQ46" i="7"/>
  <c r="CV68" i="7"/>
  <c r="CH49" i="7"/>
  <c r="CS67" i="7"/>
  <c r="CJ46" i="7"/>
  <c r="CZ79" i="7"/>
  <c r="CO69" i="7"/>
  <c r="CE52" i="7"/>
  <c r="CX62" i="7"/>
  <c r="CK48" i="7"/>
  <c r="CI41" i="7"/>
  <c r="G70" i="8" s="1"/>
  <c r="CP62" i="7"/>
  <c r="CI59" i="7"/>
  <c r="CD57" i="7"/>
  <c r="CO67" i="7"/>
  <c r="CJ40" i="7"/>
  <c r="G142" i="8" s="1"/>
  <c r="CW56" i="7"/>
  <c r="CV60" i="7"/>
  <c r="CI30" i="7"/>
  <c r="G59" i="8" s="1"/>
  <c r="CY50" i="7"/>
  <c r="CL53" i="7"/>
  <c r="CV63" i="7"/>
  <c r="CH51" i="7"/>
  <c r="CN49" i="7"/>
  <c r="CC44" i="7"/>
  <c r="CP67" i="7"/>
  <c r="CZ73" i="7"/>
  <c r="CS48" i="7"/>
  <c r="CK64" i="7"/>
  <c r="CZ50" i="7"/>
  <c r="CS54" i="7"/>
  <c r="CG61" i="7"/>
  <c r="CP72" i="7"/>
  <c r="CO48" i="7"/>
  <c r="CX59" i="7"/>
  <c r="CS28" i="7"/>
  <c r="CV53" i="7"/>
  <c r="CN25" i="7"/>
  <c r="CU50" i="7"/>
  <c r="CO68" i="7"/>
  <c r="CP31" i="7"/>
  <c r="CP60" i="7"/>
  <c r="CD33" i="7"/>
  <c r="CU63" i="7"/>
  <c r="CD61" i="7"/>
  <c r="CW60" i="7"/>
  <c r="CZ55" i="7"/>
  <c r="CH55" i="7"/>
  <c r="CS51" i="7"/>
  <c r="CH48" i="7"/>
  <c r="CO59" i="7"/>
  <c r="CO50" i="7"/>
  <c r="CG46" i="7"/>
  <c r="CU59" i="7"/>
  <c r="CE50" i="7"/>
  <c r="CX70" i="7"/>
  <c r="CQ68" i="7"/>
  <c r="CW64" i="7"/>
  <c r="CJ62" i="7"/>
  <c r="CQ56" i="7"/>
  <c r="CG52" i="7"/>
  <c r="CJ48" i="7"/>
  <c r="CW43" i="7"/>
  <c r="CS42" i="7"/>
  <c r="CV41" i="7"/>
  <c r="CO34" i="7"/>
  <c r="CQ32" i="7"/>
  <c r="CE28" i="7"/>
  <c r="CF23" i="7"/>
  <c r="CJ37" i="7"/>
  <c r="CD15" i="7"/>
  <c r="CI63" i="7"/>
  <c r="G92" i="8" s="1"/>
  <c r="CL61" i="7"/>
  <c r="CK60" i="7"/>
  <c r="CZ59" i="7"/>
  <c r="CM55" i="7"/>
  <c r="CP55" i="7"/>
  <c r="CG51" i="7"/>
  <c r="CV47" i="7"/>
  <c r="CU43" i="7"/>
  <c r="CF19" i="7"/>
  <c r="CY54" i="7"/>
  <c r="CJ54" i="7"/>
  <c r="CS44" i="7"/>
  <c r="CU39" i="7"/>
  <c r="CP27" i="7"/>
  <c r="CY22" i="7"/>
  <c r="CE19" i="7"/>
  <c r="CM68" i="7"/>
  <c r="CT63" i="7"/>
  <c r="CS56" i="7"/>
  <c r="CY23" i="7"/>
  <c r="CV67" i="7"/>
  <c r="CP65" i="7"/>
  <c r="CJ60" i="7"/>
  <c r="CJ55" i="7"/>
  <c r="G157" i="8" s="1"/>
  <c r="CR53" i="7"/>
  <c r="CP50" i="7"/>
  <c r="CR46" i="7"/>
  <c r="CV42" i="7"/>
  <c r="CH38" i="7"/>
  <c r="CM37" i="7"/>
  <c r="CT34" i="7"/>
  <c r="CF32" i="7"/>
  <c r="CV24" i="7"/>
  <c r="CH22" i="7"/>
  <c r="CE41" i="7"/>
  <c r="CP39" i="7"/>
  <c r="CK37" i="7"/>
  <c r="CW68" i="7"/>
  <c r="CJ66" i="7"/>
  <c r="G168" i="8" s="1"/>
  <c r="CI60" i="7"/>
  <c r="G89" i="8" s="1"/>
  <c r="CU54" i="7"/>
  <c r="CD52" i="7"/>
  <c r="CD48" i="7"/>
  <c r="CP43" i="7"/>
  <c r="CI36" i="7"/>
  <c r="G65" i="8" s="1"/>
  <c r="CP33" i="7"/>
  <c r="CM32" i="7"/>
  <c r="CI28" i="7"/>
  <c r="G57" i="8" s="1"/>
  <c r="CH25" i="7"/>
  <c r="CF58" i="7"/>
  <c r="CM51" i="7"/>
  <c r="CP51" i="7"/>
  <c r="CY65" i="7"/>
  <c r="CF65" i="7"/>
  <c r="CS61" i="7"/>
  <c r="CY45" i="7"/>
  <c r="CJ45" i="7"/>
  <c r="G147" i="8" s="1"/>
  <c r="CR34" i="7"/>
  <c r="CT32" i="7"/>
  <c r="CU27" i="7"/>
  <c r="CX64" i="7"/>
  <c r="CK47" i="7"/>
  <c r="CY46" i="7"/>
  <c r="CZ44" i="7"/>
  <c r="CZ43" i="7"/>
  <c r="CY71" i="7"/>
  <c r="CG66" i="7"/>
  <c r="CH63" i="7"/>
  <c r="CQ60" i="7"/>
  <c r="CF56" i="7"/>
  <c r="CJ51" i="7"/>
  <c r="G153" i="8" s="1"/>
  <c r="CW40" i="7"/>
  <c r="CY37" i="7"/>
  <c r="CC35" i="7"/>
  <c r="CL30" i="7"/>
  <c r="CM25" i="7"/>
  <c r="CT22" i="7"/>
  <c r="CE20" i="7"/>
  <c r="CG37" i="7"/>
  <c r="CJ30" i="7"/>
  <c r="G132" i="8" s="1"/>
  <c r="CK25" i="7"/>
  <c r="CK20" i="7"/>
  <c r="CN37" i="7"/>
  <c r="CZ33" i="7"/>
  <c r="CS53" i="7"/>
  <c r="CR21" i="7"/>
  <c r="CP57" i="7"/>
  <c r="CN22" i="7"/>
  <c r="CN12" i="7" s="1"/>
  <c r="CS38" i="7"/>
  <c r="CR40" i="7"/>
  <c r="CH26" i="7"/>
  <c r="CS26" i="7"/>
  <c r="CR20" i="7"/>
  <c r="CX52" i="7"/>
  <c r="CX58" i="7"/>
  <c r="CW62" i="7"/>
  <c r="CH19" i="7"/>
  <c r="G121" i="8" s="1"/>
  <c r="CG20" i="7"/>
  <c r="G49" i="8" s="1"/>
  <c r="CH56" i="7"/>
  <c r="CH27" i="7"/>
  <c r="CG21" i="7"/>
  <c r="CT21" i="7"/>
  <c r="CK21" i="7"/>
  <c r="CL46" i="7"/>
  <c r="CK51" i="7"/>
  <c r="CL49" i="7"/>
  <c r="CW54" i="7"/>
  <c r="CD24" i="7"/>
  <c r="CU45" i="7"/>
  <c r="CU53" i="7"/>
  <c r="CK29" i="7"/>
  <c r="CN33" i="7"/>
  <c r="CZ39" i="7"/>
  <c r="CF60" i="7"/>
  <c r="CE22" i="7"/>
  <c r="CU65" i="7"/>
  <c r="CE53" i="7"/>
  <c r="CZ61" i="7"/>
  <c r="CP23" i="7"/>
  <c r="CP12" i="7" s="1"/>
  <c r="CI26" i="7"/>
  <c r="G55" i="8" s="1"/>
  <c r="CW59" i="7"/>
  <c r="CH65" i="7"/>
  <c r="CM28" i="7"/>
  <c r="CG50" i="7"/>
  <c r="CY48" i="7"/>
  <c r="CR62" i="7"/>
  <c r="CD56" i="7"/>
  <c r="CX47" i="7"/>
  <c r="CI43" i="7"/>
  <c r="CW41" i="7"/>
  <c r="CV40" i="7"/>
  <c r="CG34" i="7"/>
  <c r="CI32" i="7"/>
  <c r="G61" i="8" s="1"/>
  <c r="CR27" i="7"/>
  <c r="CL15" i="7"/>
  <c r="CQ66" i="7"/>
  <c r="CK62" i="7"/>
  <c r="CT61" i="7"/>
  <c r="CS60" i="7"/>
  <c r="CD55" i="7"/>
  <c r="CX55" i="7"/>
  <c r="CI47" i="7"/>
  <c r="G76" i="8" s="1"/>
  <c r="CH43" i="7"/>
  <c r="CL54" i="7"/>
  <c r="CR54" i="7"/>
  <c r="CT48" i="7"/>
  <c r="CF44" i="7"/>
  <c r="CD39" i="7"/>
  <c r="CQ22" i="7"/>
  <c r="CU12" i="7"/>
  <c r="CV62" i="7"/>
  <c r="CE56" i="7"/>
  <c r="CQ23" i="7"/>
  <c r="CH67" i="7"/>
  <c r="CC65" i="7"/>
  <c r="CV59" i="7"/>
  <c r="CK54" i="7"/>
  <c r="CZ53" i="7"/>
  <c r="CC50" i="7"/>
  <c r="CD46" i="7"/>
  <c r="CJ42" i="7"/>
  <c r="G144" i="8" s="1"/>
  <c r="CE37" i="7"/>
  <c r="CL34" i="7"/>
  <c r="CS31" i="7"/>
  <c r="CZ28" i="7"/>
  <c r="CN24" i="7"/>
  <c r="CY40" i="7"/>
  <c r="CX39" i="7"/>
  <c r="CC37" i="7"/>
  <c r="CY77" i="7"/>
  <c r="CR66" i="7"/>
  <c r="CQ63" i="7"/>
  <c r="CT59" i="7"/>
  <c r="CI54" i="7"/>
  <c r="CQ47" i="7"/>
  <c r="CC43" i="7"/>
  <c r="CJ39" i="7"/>
  <c r="CV35" i="7"/>
  <c r="CH33" i="7"/>
  <c r="CE32" i="7"/>
  <c r="CV57" i="7"/>
  <c r="CD51" i="7"/>
  <c r="CX51" i="7"/>
  <c r="CY73" i="7"/>
  <c r="CS69" i="7"/>
  <c r="CM65" i="7"/>
  <c r="CN65" i="7"/>
  <c r="CY49" i="7"/>
  <c r="CL45" i="7"/>
  <c r="CR45" i="7"/>
  <c r="CJ34" i="7"/>
  <c r="G136" i="8" s="1"/>
  <c r="CD32" i="7"/>
  <c r="CM27" i="7"/>
  <c r="CN72" i="7"/>
  <c r="CE15" i="7"/>
  <c r="CL64" i="7"/>
  <c r="CM63" i="7"/>
  <c r="CS47" i="7"/>
  <c r="CY44" i="7"/>
  <c r="CI65" i="7"/>
  <c r="G94" i="8" s="1"/>
  <c r="CP63" i="7"/>
  <c r="CQ55" i="7"/>
  <c r="CK44" i="7"/>
  <c r="CN40" i="7"/>
  <c r="CX34" i="7"/>
  <c r="CD30" i="7"/>
  <c r="CE25" i="7"/>
  <c r="CL22" i="7"/>
  <c r="CM39" i="7"/>
  <c r="CI35" i="7"/>
  <c r="G64" i="8" s="1"/>
  <c r="CT28" i="7"/>
  <c r="CC25" i="7"/>
  <c r="CR33" i="7"/>
  <c r="CW44" i="7"/>
  <c r="F12" i="7"/>
  <c r="F15" i="7" s="1"/>
  <c r="E15" i="7"/>
  <c r="CW51" i="7"/>
  <c r="CJ33" i="7"/>
  <c r="G135" i="8" s="1"/>
  <c r="CT33" i="7"/>
  <c r="CD26" i="7"/>
  <c r="CW26" i="7"/>
  <c r="CQ61" i="7"/>
  <c r="CQ45" i="7"/>
  <c r="CX31" i="7"/>
  <c r="CW45" i="7"/>
  <c r="CW63" i="7"/>
  <c r="CG55" i="7"/>
  <c r="CH59" i="7"/>
  <c r="CG57" i="7"/>
  <c r="CG32" i="7"/>
  <c r="CE21" i="7"/>
  <c r="CK65" i="7"/>
  <c r="CK28" i="7"/>
  <c r="CK50" i="7"/>
  <c r="CY47" i="7"/>
  <c r="CU38" i="7"/>
  <c r="CO36" i="7"/>
  <c r="CS29" i="7"/>
  <c r="CM38" i="7"/>
  <c r="CE38" i="7"/>
  <c r="CH29" i="7"/>
  <c r="CI64" i="7"/>
  <c r="G93" i="8" s="1"/>
  <c r="CQ26" i="7"/>
  <c r="CW50" i="7"/>
  <c r="CW48" i="7"/>
  <c r="CG59" i="7"/>
  <c r="CM59" i="7"/>
  <c r="CJ64" i="7"/>
  <c r="G166" i="8" s="1"/>
  <c r="CI46" i="7"/>
  <c r="G75" i="8" s="1"/>
  <c r="CY79" i="7"/>
  <c r="CQ58" i="7"/>
  <c r="CI42" i="7"/>
  <c r="CE59" i="7"/>
  <c r="CQ48" i="7"/>
  <c r="CQ67" i="7"/>
  <c r="CK63" i="7"/>
  <c r="CZ62" i="7"/>
  <c r="CO58" i="7"/>
  <c r="CO55" i="7"/>
  <c r="CU51" i="7"/>
  <c r="CJ47" i="7"/>
  <c r="G149" i="8" s="1"/>
  <c r="CN42" i="7"/>
  <c r="CK41" i="7"/>
  <c r="CM40" i="7"/>
  <c r="CN31" i="7"/>
  <c r="CJ27" i="7"/>
  <c r="G129" i="8" s="1"/>
  <c r="CY61" i="7"/>
  <c r="CF61" i="7"/>
  <c r="CE60" i="7"/>
  <c r="CY59" i="7"/>
  <c r="CL55" i="7"/>
  <c r="CM54" i="7"/>
  <c r="CF50" i="7"/>
  <c r="CT46" i="7"/>
  <c r="CZ42" i="7"/>
  <c r="CF54" i="7"/>
  <c r="CZ54" i="7"/>
  <c r="CS43" i="7"/>
  <c r="CC36" i="7"/>
  <c r="CI22" i="7"/>
  <c r="G51" i="8" s="1"/>
  <c r="CM12" i="7"/>
  <c r="CM67" i="7"/>
  <c r="CN57" i="7"/>
  <c r="CM56" i="7"/>
  <c r="CI23" i="7"/>
  <c r="CN75" i="7"/>
  <c r="CN74" i="7"/>
  <c r="CI15" i="7"/>
  <c r="CJ59" i="7"/>
  <c r="G161" i="8" s="1"/>
  <c r="CD53" i="7"/>
  <c r="CP49" i="7"/>
  <c r="CO45" i="7"/>
  <c r="CR41" i="7"/>
  <c r="CZ36" i="7"/>
  <c r="CD34" i="7"/>
  <c r="CR28" i="7"/>
  <c r="CF24" i="7"/>
  <c r="CP40" i="7"/>
  <c r="CP36" i="7"/>
  <c r="CU35" i="7"/>
  <c r="CM76" i="7"/>
  <c r="CZ66" i="7"/>
  <c r="CD63" i="7"/>
  <c r="CU58" i="7"/>
  <c r="CT52" i="7"/>
  <c r="CO49" i="7"/>
  <c r="CD47" i="7"/>
  <c r="CU42" i="7"/>
  <c r="CW38" i="7"/>
  <c r="CN35" i="7"/>
  <c r="CZ31" i="7"/>
  <c r="CN27" i="7"/>
  <c r="CV56" i="7"/>
  <c r="CL51" i="7"/>
  <c r="CM73" i="7"/>
  <c r="CV65" i="7"/>
  <c r="CF45" i="7"/>
  <c r="CZ45" i="7"/>
  <c r="CY31" i="7"/>
  <c r="CE27" i="7"/>
  <c r="CZ78" i="7"/>
  <c r="CO62" i="7"/>
  <c r="CE47" i="7"/>
  <c r="CM44" i="7"/>
  <c r="CL44" i="7"/>
  <c r="CL43" i="7"/>
  <c r="CY34" i="7"/>
  <c r="CX63" i="7"/>
  <c r="CJ50" i="7"/>
  <c r="CK43" i="7"/>
  <c r="CE40" i="7"/>
  <c r="CI37" i="7"/>
  <c r="G66" i="8" s="1"/>
  <c r="CJ32" i="7"/>
  <c r="G134" i="8" s="1"/>
  <c r="CY29" i="7"/>
  <c r="CD22" i="7"/>
  <c r="CV34" i="7"/>
  <c r="CL28" i="7"/>
  <c r="CD45" i="7"/>
  <c r="CT31" i="7"/>
  <c r="CS39" i="7"/>
  <c r="CT57" i="7"/>
  <c r="CT50" i="7"/>
  <c r="CM58" i="7"/>
  <c r="CL27" i="7"/>
  <c r="CV31" i="7"/>
  <c r="CL26" i="7"/>
  <c r="CR49" i="7"/>
  <c r="CW32" i="7"/>
  <c r="CX65" i="7"/>
  <c r="CW53" i="7"/>
  <c r="CX61" i="7"/>
  <c r="CW36" i="7"/>
  <c r="CH15" i="7"/>
  <c r="CH35" i="7"/>
  <c r="CW21" i="7"/>
  <c r="CL32" i="7"/>
  <c r="CL39" i="7"/>
  <c r="CT24" i="7"/>
  <c r="CV46" i="7"/>
  <c r="CX37" i="7"/>
  <c r="CN29" i="7"/>
  <c r="CD29" i="7"/>
  <c r="CM35" i="7"/>
  <c r="CY26" i="7"/>
  <c r="CX23" i="7"/>
  <c r="CG28" i="7"/>
  <c r="CQ59" i="7"/>
  <c r="CI58" i="7"/>
  <c r="G87" i="8" s="1"/>
  <c r="CI49" i="7"/>
  <c r="G78" i="8" s="1"/>
  <c r="CI48" i="7"/>
  <c r="G77" i="8" s="1"/>
  <c r="CZ70" i="7"/>
  <c r="CY62" i="7"/>
  <c r="CD62" i="7"/>
  <c r="CW58" i="7"/>
  <c r="CO54" i="7"/>
  <c r="CI51" i="7"/>
  <c r="G80" i="8" s="1"/>
  <c r="CG42" i="7"/>
  <c r="CD40" i="7"/>
  <c r="CF31" i="7"/>
  <c r="CK30" i="7"/>
  <c r="CZ80" i="7"/>
  <c r="CY69" i="7"/>
  <c r="CF15" i="7"/>
  <c r="CS65" i="7"/>
  <c r="CM61" i="7"/>
  <c r="CN61" i="7"/>
  <c r="CM60" i="7"/>
  <c r="CZ58" i="7"/>
  <c r="CO53" i="7"/>
  <c r="CH46" i="7"/>
  <c r="CM42" i="7"/>
  <c r="CN53" i="7"/>
  <c r="CT40" i="7"/>
  <c r="CJ25" i="7"/>
  <c r="G127" i="8" s="1"/>
  <c r="CT68" i="7"/>
  <c r="CO66" i="7"/>
  <c r="CU57" i="7"/>
  <c r="CU56" i="7"/>
  <c r="CY80" i="7"/>
  <c r="CX67" i="7"/>
  <c r="CE64" i="7"/>
  <c r="CM53" i="7"/>
  <c r="CD49" i="7"/>
  <c r="CC45" i="7"/>
  <c r="CI40" i="7"/>
  <c r="G69" i="8" s="1"/>
  <c r="CT39" i="7"/>
  <c r="CR36" i="7"/>
  <c r="CC31" i="7"/>
  <c r="CS23" i="7"/>
  <c r="CG40" i="7"/>
  <c r="CZ74" i="7"/>
  <c r="CY66" i="7"/>
  <c r="CD66" i="7"/>
  <c r="CS62" i="7"/>
  <c r="CJ57" i="7"/>
  <c r="G159" i="8" s="1"/>
  <c r="CY52" i="7"/>
  <c r="CF52" i="7"/>
  <c r="CW49" i="7"/>
  <c r="CO38" i="7"/>
  <c r="CT37" i="7"/>
  <c r="CF35" i="7"/>
  <c r="CR31" i="7"/>
  <c r="CF27" i="7"/>
  <c r="CT60" i="7"/>
  <c r="CI56" i="7"/>
  <c r="CT51" i="7"/>
  <c r="CL50" i="7"/>
  <c r="CU68" i="7"/>
  <c r="CR65" i="7"/>
  <c r="CO64" i="7"/>
  <c r="CE48" i="7"/>
  <c r="CN45" i="7"/>
  <c r="CN44" i="7"/>
  <c r="CQ31" i="7"/>
  <c r="CZ72" i="7"/>
  <c r="CT67" i="7"/>
  <c r="CT44" i="7"/>
  <c r="CT43" i="7"/>
  <c r="CN71" i="7"/>
  <c r="CP69" i="7"/>
  <c r="CY63" i="7"/>
  <c r="CJ63" i="7"/>
  <c r="G165" i="8" s="1"/>
  <c r="CC59" i="7"/>
  <c r="CJ49" i="7"/>
  <c r="G151" i="8" s="1"/>
  <c r="CV36" i="7"/>
  <c r="CQ29" i="7"/>
  <c r="CZ38" i="7"/>
  <c r="CN34" i="7"/>
  <c r="CU31" i="7"/>
  <c r="CD28" i="7"/>
  <c r="CS41" i="7"/>
  <c r="CT35" i="7"/>
  <c r="CT25" i="7"/>
  <c r="CW28" i="7"/>
  <c r="CJ26" i="7"/>
  <c r="G128" i="8" s="1"/>
  <c r="CT26" i="7"/>
  <c r="CR50" i="7"/>
  <c r="CZ35" i="7"/>
  <c r="CX69" i="7"/>
  <c r="CG68" i="7"/>
  <c r="G97" i="8" s="1"/>
  <c r="CH60" i="7"/>
  <c r="CH39" i="7"/>
  <c r="CG63" i="7"/>
  <c r="CR29" i="7"/>
  <c r="CL24" i="7"/>
  <c r="CL42" i="7"/>
  <c r="CY32" i="7"/>
  <c r="CV29" i="7"/>
  <c r="CN48" i="7"/>
  <c r="CZ24" i="7"/>
  <c r="CE42" i="7"/>
  <c r="CS57" i="7"/>
  <c r="CQ57" i="7"/>
  <c r="CY70" i="7"/>
  <c r="CC58" i="7"/>
  <c r="CC54" i="7"/>
  <c r="CH50" i="7"/>
  <c r="CT45" i="7"/>
  <c r="CO42" i="7"/>
  <c r="CK38" i="7"/>
  <c r="CC30" i="7"/>
  <c r="CI62" i="7"/>
  <c r="G91" i="8" s="1"/>
  <c r="CM69" i="7"/>
  <c r="CN69" i="7"/>
  <c r="CG65" i="7"/>
  <c r="CJ61" i="7"/>
  <c r="G163" i="8" s="1"/>
  <c r="CV61" i="7"/>
  <c r="CU60" i="7"/>
  <c r="CY58" i="7"/>
  <c r="CC53" i="7"/>
  <c r="CT49" i="7"/>
  <c r="CV54" i="7"/>
  <c r="CP52" i="7"/>
  <c r="CM34" i="7"/>
  <c r="CC66" i="7"/>
  <c r="CG56" i="7"/>
  <c r="CY67" i="7"/>
  <c r="CJ67" i="7"/>
  <c r="G169" i="8" s="1"/>
  <c r="CS63" i="7"/>
  <c r="CJ58" i="7"/>
  <c r="G160" i="8" s="1"/>
  <c r="CH53" i="7"/>
  <c r="CT53" i="7"/>
  <c r="CQ44" i="7"/>
  <c r="CK39" i="7"/>
  <c r="CJ36" i="7"/>
  <c r="CX30" i="7"/>
  <c r="CW27" i="7"/>
  <c r="CK23" i="7"/>
  <c r="CM66" i="7"/>
  <c r="CF62" i="7"/>
  <c r="CX56" i="7"/>
  <c r="CM52" i="7"/>
  <c r="CN52" i="7"/>
  <c r="CC49" i="7"/>
  <c r="CL37" i="7"/>
  <c r="CS34" i="7"/>
  <c r="CJ31" i="7"/>
  <c r="G133" i="8" s="1"/>
  <c r="CJ23" i="7"/>
  <c r="G125" i="8" s="1"/>
  <c r="CF51" i="7"/>
  <c r="CZ76" i="7"/>
  <c r="CM48" i="7"/>
  <c r="CV45" i="7"/>
  <c r="CO28" i="7"/>
  <c r="CV66" i="7"/>
  <c r="CN64" i="7"/>
  <c r="CP44" i="7"/>
  <c r="CF43" i="7"/>
  <c r="CC15" i="7"/>
  <c r="CD58" i="7"/>
  <c r="CD54" i="7"/>
  <c r="CL48" i="7"/>
  <c r="CO31" i="7"/>
  <c r="CI29" i="7"/>
  <c r="CS27" i="7"/>
  <c r="CW23" i="7"/>
  <c r="CR38" i="7"/>
  <c r="CT36" i="7"/>
  <c r="CF34" i="7"/>
  <c r="CY27" i="7"/>
  <c r="CE23" i="7"/>
  <c r="CY72" i="7"/>
  <c r="CE30" i="7"/>
  <c r="CH31" i="7"/>
  <c r="CD27" i="7"/>
  <c r="CR26" i="7"/>
  <c r="CE26" i="7"/>
  <c r="CQ39" i="7"/>
  <c r="CR51" i="7"/>
  <c r="CZ29" i="7"/>
  <c r="CX24" i="7"/>
  <c r="CW25" i="7"/>
  <c r="CH36" i="7"/>
  <c r="CX21" i="7"/>
  <c r="CC32" i="7"/>
  <c r="CI53" i="7"/>
  <c r="G82" i="8" s="1"/>
  <c r="CM30" i="7"/>
  <c r="CG29" i="7"/>
  <c r="CT29" i="7"/>
  <c r="CU28" i="7"/>
  <c r="CV25" i="7"/>
  <c r="CF25" i="7"/>
  <c r="CC48" i="7"/>
  <c r="CM70" i="7"/>
  <c r="CH62" i="7"/>
  <c r="CQ53" i="7"/>
  <c r="CG45" i="7"/>
  <c r="CT41" i="7"/>
  <c r="CN39" i="7"/>
  <c r="CC38" i="7"/>
  <c r="CF22" i="7"/>
  <c r="CJ15" i="7"/>
  <c r="CZ60" i="7"/>
  <c r="CG60" i="7"/>
  <c r="CO57" i="7"/>
  <c r="CN55" i="7"/>
  <c r="CQ52" i="7"/>
  <c r="CE45" i="7"/>
  <c r="CH54" i="7"/>
  <c r="CC52" i="7"/>
  <c r="CS46" i="7"/>
  <c r="CE34" i="7"/>
  <c r="CT71" i="7"/>
  <c r="CN56" i="7"/>
  <c r="CO56" i="7"/>
  <c r="CE63" i="7"/>
  <c r="CO52" i="7"/>
  <c r="CE44" i="7"/>
  <c r="CP30" i="7"/>
  <c r="CO27" i="7"/>
  <c r="CC23" i="7"/>
  <c r="CF42" i="7"/>
  <c r="CU61" i="7"/>
  <c r="CJ56" i="7"/>
  <c r="G158" i="8" s="1"/>
  <c r="CJ52" i="7"/>
  <c r="G154" i="8" s="1"/>
  <c r="CV52" i="7"/>
  <c r="CK49" i="7"/>
  <c r="CM45" i="7"/>
  <c r="CD37" i="7"/>
  <c r="CW22" i="7"/>
  <c r="CS59" i="7"/>
  <c r="CT54" i="7"/>
  <c r="CO71" i="7"/>
  <c r="CU67" i="7"/>
  <c r="CT42" i="7"/>
  <c r="CV30" i="7"/>
  <c r="CV64" i="7"/>
  <c r="CM43" i="7"/>
  <c r="CN43" i="7"/>
  <c r="CF63" i="7"/>
  <c r="CZ63" i="7"/>
  <c r="CR57" i="7"/>
  <c r="CF53" i="7"/>
  <c r="CP42" i="7"/>
  <c r="CU33" i="7"/>
  <c r="CG31" i="7"/>
  <c r="CK27" i="7"/>
  <c r="CO23" i="7"/>
  <c r="CJ38" i="7"/>
  <c r="G140" i="8" s="1"/>
  <c r="CL36" i="7"/>
  <c r="CE31" i="7"/>
  <c r="CY30" i="7"/>
  <c r="CT56" i="7"/>
  <c r="CS30" i="7"/>
  <c r="CY56" i="7"/>
  <c r="CM26" i="7"/>
  <c r="CR55" i="7"/>
  <c r="CW52" i="7"/>
  <c r="CH28" i="7"/>
  <c r="CH41" i="7"/>
  <c r="CH24" i="7"/>
  <c r="CU30" i="7"/>
  <c r="CE29" i="7"/>
  <c r="CP54" i="7"/>
  <c r="CF46" i="7"/>
  <c r="CH30" i="7"/>
  <c r="CU55" i="7"/>
  <c r="CO51" i="7"/>
  <c r="CO22" i="7"/>
  <c r="CF59" i="7"/>
  <c r="CG54" i="7"/>
  <c r="CL65" i="7"/>
  <c r="CP47" i="7"/>
  <c r="CP45" i="7"/>
  <c r="CZ64" i="7"/>
  <c r="CH64" i="7"/>
  <c r="CV43" i="7"/>
  <c r="CF57" i="7"/>
  <c r="CM33" i="7"/>
  <c r="CN28" i="7"/>
  <c r="CG23" i="7"/>
  <c r="CI38" i="7"/>
  <c r="G67" i="8" s="1"/>
  <c r="CQ30" i="7"/>
  <c r="CI52" i="7"/>
  <c r="G81" i="8" s="1"/>
  <c r="CW65" i="7"/>
  <c r="CY64" i="7"/>
  <c r="CN26" i="7"/>
  <c r="CU26" i="7"/>
  <c r="CR60" i="7"/>
  <c r="CW33" i="7"/>
  <c r="CU52" i="7"/>
  <c r="CD21" i="7"/>
  <c r="CO41" i="7"/>
  <c r="CT20" i="7"/>
  <c r="CW29" i="7"/>
  <c r="CY51" i="7"/>
  <c r="CZ57" i="7"/>
  <c r="CD50" i="7"/>
  <c r="CY55" i="7"/>
  <c r="CS71" i="7"/>
  <c r="CJ53" i="7"/>
  <c r="CU37" i="7"/>
  <c r="CU15" i="7"/>
  <c r="CX66" i="7"/>
  <c r="CI55" i="7"/>
  <c r="G84" i="8" s="1"/>
  <c r="CN50" i="7"/>
  <c r="CP25" i="7"/>
  <c r="CP28" i="7"/>
  <c r="CK35" i="7"/>
  <c r="CL40" i="7"/>
  <c r="CE55" i="7"/>
  <c r="CJ21" i="7"/>
  <c r="G123" i="8" s="1"/>
  <c r="CG26" i="7"/>
  <c r="CG15" i="7"/>
  <c r="CK15" i="7"/>
  <c r="E4" i="6"/>
  <c r="E9" i="6" s="1"/>
  <c r="L42" i="4"/>
  <c r="N42" i="4" s="1"/>
  <c r="L43" i="4"/>
  <c r="N43" i="4" s="1"/>
  <c r="K43" i="4"/>
  <c r="M43" i="4" s="1"/>
  <c r="L36" i="4"/>
  <c r="N36" i="4" s="1"/>
  <c r="K42" i="4"/>
  <c r="M42" i="4" s="1"/>
  <c r="K36" i="4"/>
  <c r="M36" i="4" s="1"/>
  <c r="L41" i="4"/>
  <c r="N41" i="4" s="1"/>
  <c r="L40" i="4"/>
  <c r="N40" i="4" s="1"/>
  <c r="K40" i="4"/>
  <c r="M40" i="4" s="1"/>
  <c r="L39" i="4"/>
  <c r="N39" i="4" s="1"/>
  <c r="K39" i="4"/>
  <c r="M39" i="4" s="1"/>
  <c r="L38" i="4"/>
  <c r="N38" i="4" s="1"/>
  <c r="K38" i="4"/>
  <c r="M38" i="4" s="1"/>
  <c r="L37" i="4"/>
  <c r="N37" i="4" s="1"/>
  <c r="L35" i="4"/>
  <c r="N35" i="4" s="1"/>
  <c r="K35" i="4"/>
  <c r="M35" i="4" s="1"/>
  <c r="L34" i="4"/>
  <c r="C29" i="1" s="1"/>
  <c r="K45" i="4"/>
  <c r="K44" i="4"/>
  <c r="K34" i="4"/>
  <c r="C24" i="1" s="1"/>
  <c r="K41" i="4"/>
  <c r="M41" i="4" s="1"/>
  <c r="K37" i="4"/>
  <c r="M37" i="4" s="1"/>
  <c r="O95" i="4"/>
  <c r="K95" i="4"/>
  <c r="N95" i="4"/>
  <c r="M95" i="4"/>
  <c r="J95" i="4"/>
  <c r="I95" i="4"/>
  <c r="K96" i="4"/>
  <c r="G91" i="4"/>
  <c r="G88" i="4"/>
  <c r="G85" i="4"/>
  <c r="G82" i="4"/>
  <c r="G79" i="4"/>
  <c r="G76" i="4"/>
  <c r="G73" i="4"/>
  <c r="G70" i="4"/>
  <c r="G67" i="4"/>
  <c r="G64" i="4"/>
  <c r="G61" i="4"/>
  <c r="G58" i="4"/>
  <c r="E46" i="4"/>
  <c r="P45" i="4"/>
  <c r="R45" i="4" s="1"/>
  <c r="L45" i="4"/>
  <c r="N45" i="4" s="1"/>
  <c r="R44" i="4"/>
  <c r="N44" i="4"/>
  <c r="Q43" i="4"/>
  <c r="P43" i="4"/>
  <c r="R43" i="4" s="1"/>
  <c r="O43" i="4"/>
  <c r="Q42" i="4"/>
  <c r="P42" i="4"/>
  <c r="R42" i="4" s="1"/>
  <c r="O42" i="4"/>
  <c r="F42" i="4"/>
  <c r="E42" i="4"/>
  <c r="R41" i="4"/>
  <c r="P41" i="4"/>
  <c r="O41" i="4"/>
  <c r="Q41" i="4" s="1"/>
  <c r="F41" i="4"/>
  <c r="E41" i="4"/>
  <c r="P40" i="4"/>
  <c r="R40" i="4" s="1"/>
  <c r="O40" i="4"/>
  <c r="Q40" i="4" s="1"/>
  <c r="F40" i="4"/>
  <c r="E40" i="4"/>
  <c r="Q39" i="4"/>
  <c r="P39" i="4"/>
  <c r="R39" i="4" s="1"/>
  <c r="O39" i="4"/>
  <c r="F39" i="4"/>
  <c r="E39" i="4"/>
  <c r="R38" i="4"/>
  <c r="Q38" i="4"/>
  <c r="P38" i="4"/>
  <c r="O38" i="4"/>
  <c r="F38" i="4"/>
  <c r="E38" i="4"/>
  <c r="P37" i="4"/>
  <c r="R37" i="4" s="1"/>
  <c r="O37" i="4"/>
  <c r="Q37" i="4" s="1"/>
  <c r="F37" i="4"/>
  <c r="E37" i="4"/>
  <c r="P36" i="4"/>
  <c r="R36" i="4" s="1"/>
  <c r="O36" i="4"/>
  <c r="Q36" i="4" s="1"/>
  <c r="F36" i="4"/>
  <c r="E36" i="4"/>
  <c r="P35" i="4"/>
  <c r="R35" i="4" s="1"/>
  <c r="O35" i="4"/>
  <c r="Q35" i="4" s="1"/>
  <c r="F35" i="4"/>
  <c r="E35" i="4"/>
  <c r="R34" i="4"/>
  <c r="Q34" i="4"/>
  <c r="P34" i="4"/>
  <c r="O34" i="4"/>
  <c r="F34" i="4"/>
  <c r="E34" i="4"/>
  <c r="G79" i="8" l="1"/>
  <c r="G95" i="8"/>
  <c r="G162" i="8"/>
  <c r="G126" i="8"/>
  <c r="G86" i="8"/>
  <c r="G155" i="8"/>
  <c r="G83" i="8"/>
  <c r="G139" i="8"/>
  <c r="G150" i="8"/>
  <c r="G130" i="8"/>
  <c r="G146" i="8"/>
  <c r="G90" i="8"/>
  <c r="G52" i="8"/>
  <c r="G88" i="8"/>
  <c r="G148" i="8"/>
  <c r="G183" i="8" s="1"/>
  <c r="G63" i="8"/>
  <c r="G143" i="8"/>
  <c r="G58" i="8"/>
  <c r="G71" i="8"/>
  <c r="G50" i="8"/>
  <c r="G156" i="8"/>
  <c r="G164" i="8"/>
  <c r="G56" i="8"/>
  <c r="G110" i="8" s="1"/>
  <c r="G124" i="8"/>
  <c r="G167" i="8"/>
  <c r="G138" i="8"/>
  <c r="G85" i="8"/>
  <c r="G152" i="8"/>
  <c r="G141" i="8"/>
  <c r="G72" i="8"/>
  <c r="G60" i="8"/>
  <c r="G131" i="8"/>
  <c r="G74" i="8"/>
  <c r="G137" i="8"/>
  <c r="G145" i="8"/>
  <c r="G54" i="8"/>
  <c r="CL12" i="7"/>
  <c r="D72" i="1"/>
  <c r="D71" i="1"/>
  <c r="CF14" i="7"/>
  <c r="CT15" i="7"/>
  <c r="CZ12" i="7"/>
  <c r="CQ15" i="7"/>
  <c r="CR12" i="7"/>
  <c r="B18" i="4"/>
  <c r="R11" i="2" s="1" a="1"/>
  <c r="R11" i="2" s="1"/>
  <c r="CG12" i="7"/>
  <c r="B17" i="4"/>
  <c r="Q11" i="2" s="1" a="1"/>
  <c r="Q11" i="2" s="1"/>
  <c r="CH12" i="7"/>
  <c r="CK12" i="7"/>
  <c r="CX12" i="7"/>
  <c r="B75" i="8"/>
  <c r="C75" i="8" s="1"/>
  <c r="B63" i="8"/>
  <c r="B74" i="8"/>
  <c r="C74" i="8" s="1"/>
  <c r="B62" i="8"/>
  <c r="B73" i="8"/>
  <c r="C73" i="8" s="1"/>
  <c r="B72" i="8"/>
  <c r="C72" i="8" s="1"/>
  <c r="B71" i="8"/>
  <c r="B65" i="8"/>
  <c r="B76" i="8"/>
  <c r="C76" i="8" s="1"/>
  <c r="B64" i="8"/>
  <c r="CR15" i="7"/>
  <c r="CY12" i="7"/>
  <c r="CV14" i="7"/>
  <c r="CK14" i="7"/>
  <c r="CR14" i="7"/>
  <c r="CX15" i="7"/>
  <c r="CP15" i="7"/>
  <c r="CD12" i="7"/>
  <c r="CC81" i="7"/>
  <c r="D3" i="7" s="1"/>
  <c r="CE12" i="7"/>
  <c r="CZ81" i="7"/>
  <c r="CL81" i="7"/>
  <c r="CQ12" i="7"/>
  <c r="CW81" i="7"/>
  <c r="CK81" i="7"/>
  <c r="CO81" i="7"/>
  <c r="CH81" i="7"/>
  <c r="E5" i="7" s="1"/>
  <c r="CO14" i="7"/>
  <c r="CJ81" i="7"/>
  <c r="E6" i="7" s="1"/>
  <c r="CX81" i="7"/>
  <c r="CR81" i="7"/>
  <c r="CO15" i="7"/>
  <c r="CI13" i="7"/>
  <c r="CY81" i="7"/>
  <c r="CU81" i="7"/>
  <c r="CE14" i="7"/>
  <c r="CT81" i="7"/>
  <c r="CV81" i="7"/>
  <c r="CZ15" i="7"/>
  <c r="CL14" i="7"/>
  <c r="CO13" i="7"/>
  <c r="CG81" i="7"/>
  <c r="CW12" i="7"/>
  <c r="CG13" i="7"/>
  <c r="CC14" i="7"/>
  <c r="CV13" i="7"/>
  <c r="CW15" i="7"/>
  <c r="CS81" i="7"/>
  <c r="CP81" i="7"/>
  <c r="CR13" i="7"/>
  <c r="CI81" i="7"/>
  <c r="D6" i="7" s="1"/>
  <c r="CC13" i="7"/>
  <c r="CY13" i="7"/>
  <c r="CW13" i="7"/>
  <c r="CN14" i="7"/>
  <c r="CN13" i="7"/>
  <c r="CN15" i="7"/>
  <c r="CN81" i="7"/>
  <c r="CM81" i="7"/>
  <c r="CF13" i="7"/>
  <c r="CE13" i="7"/>
  <c r="CF81" i="7"/>
  <c r="E4" i="7" s="1"/>
  <c r="CH13" i="7"/>
  <c r="CE81" i="7"/>
  <c r="CX14" i="7"/>
  <c r="CM14" i="7"/>
  <c r="CP13" i="7"/>
  <c r="CU14" i="7"/>
  <c r="CQ81" i="7"/>
  <c r="CQ13" i="7"/>
  <c r="CL13" i="7"/>
  <c r="CD14" i="7"/>
  <c r="CO12" i="7"/>
  <c r="CC12" i="7"/>
  <c r="CZ13" i="7"/>
  <c r="CS12" i="7"/>
  <c r="CS13" i="7"/>
  <c r="CT14" i="7"/>
  <c r="CD81" i="7"/>
  <c r="E3" i="7" s="1"/>
  <c r="CS14" i="7"/>
  <c r="CM15" i="7"/>
  <c r="CT13" i="7"/>
  <c r="CW14" i="7"/>
  <c r="CQ14" i="7"/>
  <c r="CM13" i="7"/>
  <c r="CP14" i="7"/>
  <c r="CS15" i="7"/>
  <c r="CD13" i="7"/>
  <c r="CI14" i="7"/>
  <c r="CJ14" i="7"/>
  <c r="CY15" i="7"/>
  <c r="CJ12" i="7"/>
  <c r="CZ14" i="7"/>
  <c r="CK13" i="7"/>
  <c r="CY14" i="7"/>
  <c r="CT12" i="7"/>
  <c r="CF12" i="7"/>
  <c r="CJ13" i="7"/>
  <c r="CH14" i="7"/>
  <c r="CI12" i="7"/>
  <c r="CG14" i="7"/>
  <c r="CX13" i="7"/>
  <c r="CU13" i="7"/>
  <c r="N34" i="4"/>
  <c r="C30" i="1" s="1"/>
  <c r="M34" i="4"/>
  <c r="C25" i="1" s="1"/>
  <c r="O44" i="4"/>
  <c r="M44" i="4"/>
  <c r="R9" i="2" l="1" a="1"/>
  <c r="R9" i="2" s="1"/>
  <c r="R6" i="2" a="1"/>
  <c r="R6" i="2" s="1"/>
  <c r="R7" i="2" a="1"/>
  <c r="R7" i="2" s="1"/>
  <c r="R4" i="2" a="1"/>
  <c r="R4" i="2" s="1"/>
  <c r="R5" i="2" a="1"/>
  <c r="R5" i="2" s="1"/>
  <c r="R8" i="2" a="1"/>
  <c r="R8" i="2" s="1"/>
  <c r="R10" i="2" a="1"/>
  <c r="R10" i="2" s="1"/>
  <c r="R12" i="2" a="1"/>
  <c r="R12" i="2" s="1"/>
  <c r="R3" i="2" a="1"/>
  <c r="R3" i="2" s="1"/>
  <c r="Q3" i="2" a="1"/>
  <c r="Q3" i="2" s="1"/>
  <c r="Q9" i="2" a="1"/>
  <c r="Q9" i="2" s="1"/>
  <c r="Q10" i="2" a="1"/>
  <c r="Q10" i="2" s="1"/>
  <c r="Q4" i="2" a="1"/>
  <c r="Q4" i="2" s="1"/>
  <c r="Q12" i="2" a="1"/>
  <c r="Q12" i="2" s="1"/>
  <c r="Q6" i="2" a="1"/>
  <c r="Q6" i="2" s="1"/>
  <c r="Q5" i="2" a="1"/>
  <c r="Q5" i="2" s="1"/>
  <c r="Q8" i="2" a="1"/>
  <c r="Q8" i="2" s="1"/>
  <c r="Q7" i="2" a="1"/>
  <c r="Q7" i="2" s="1"/>
  <c r="C71" i="8"/>
  <c r="S39" i="8"/>
  <c r="L5" i="8" s="1"/>
  <c r="M5" i="8" s="1"/>
  <c r="N5" i="8" s="1"/>
  <c r="CK82" i="7"/>
  <c r="H54" i="8"/>
  <c r="H62" i="8"/>
  <c r="H70" i="8"/>
  <c r="H78" i="8"/>
  <c r="H86" i="8"/>
  <c r="H94" i="8"/>
  <c r="H102" i="8"/>
  <c r="H74" i="8"/>
  <c r="H106" i="8"/>
  <c r="H109" i="8"/>
  <c r="H55" i="8"/>
  <c r="H63" i="8"/>
  <c r="H71" i="8"/>
  <c r="H79" i="8"/>
  <c r="H87" i="8"/>
  <c r="H95" i="8"/>
  <c r="H103" i="8"/>
  <c r="H66" i="8"/>
  <c r="H98" i="8"/>
  <c r="H48" i="8"/>
  <c r="H56" i="8"/>
  <c r="H64" i="8"/>
  <c r="H72" i="8"/>
  <c r="H80" i="8"/>
  <c r="H88" i="8"/>
  <c r="H96" i="8"/>
  <c r="H104" i="8"/>
  <c r="H50" i="8"/>
  <c r="H82" i="8"/>
  <c r="H49" i="8"/>
  <c r="H57" i="8"/>
  <c r="H65" i="8"/>
  <c r="H73" i="8"/>
  <c r="H81" i="8"/>
  <c r="H89" i="8"/>
  <c r="H97" i="8"/>
  <c r="H105" i="8"/>
  <c r="H47" i="8"/>
  <c r="H58" i="8"/>
  <c r="H90" i="8"/>
  <c r="H51" i="8"/>
  <c r="H59" i="8"/>
  <c r="H67" i="8"/>
  <c r="H75" i="8"/>
  <c r="H83" i="8"/>
  <c r="H91" i="8"/>
  <c r="H99" i="8"/>
  <c r="H107" i="8"/>
  <c r="H69" i="8"/>
  <c r="H52" i="8"/>
  <c r="H60" i="8"/>
  <c r="H68" i="8"/>
  <c r="H76" i="8"/>
  <c r="H84" i="8"/>
  <c r="H92" i="8"/>
  <c r="H100" i="8"/>
  <c r="H108" i="8"/>
  <c r="H53" i="8"/>
  <c r="H61" i="8"/>
  <c r="H77" i="8"/>
  <c r="H85" i="8"/>
  <c r="H93" i="8"/>
  <c r="H101" i="8"/>
  <c r="H121" i="8"/>
  <c r="H129" i="8"/>
  <c r="H137" i="8"/>
  <c r="H145" i="8"/>
  <c r="H153" i="8"/>
  <c r="H161" i="8"/>
  <c r="H169" i="8"/>
  <c r="H177" i="8"/>
  <c r="H125" i="8"/>
  <c r="H157" i="8"/>
  <c r="H181" i="8"/>
  <c r="H122" i="8"/>
  <c r="H130" i="8"/>
  <c r="H138" i="8"/>
  <c r="H146" i="8"/>
  <c r="H154" i="8"/>
  <c r="H162" i="8"/>
  <c r="H170" i="8"/>
  <c r="H178" i="8"/>
  <c r="H165" i="8"/>
  <c r="H123" i="8"/>
  <c r="H131" i="8"/>
  <c r="H139" i="8"/>
  <c r="H147" i="8"/>
  <c r="H155" i="8"/>
  <c r="H163" i="8"/>
  <c r="H171" i="8"/>
  <c r="H179" i="8"/>
  <c r="H141" i="8"/>
  <c r="H124" i="8"/>
  <c r="H132" i="8"/>
  <c r="H140" i="8"/>
  <c r="H148" i="8"/>
  <c r="H156" i="8"/>
  <c r="H164" i="8"/>
  <c r="H172" i="8"/>
  <c r="H180" i="8"/>
  <c r="H133" i="8"/>
  <c r="H149" i="8"/>
  <c r="H173" i="8"/>
  <c r="H126" i="8"/>
  <c r="H134" i="8"/>
  <c r="H142" i="8"/>
  <c r="H150" i="8"/>
  <c r="H158" i="8"/>
  <c r="H166" i="8"/>
  <c r="H174" i="8"/>
  <c r="H182" i="8"/>
  <c r="H127" i="8"/>
  <c r="H135" i="8"/>
  <c r="H143" i="8"/>
  <c r="H151" i="8"/>
  <c r="H159" i="8"/>
  <c r="H167" i="8"/>
  <c r="H175" i="8"/>
  <c r="H120" i="8"/>
  <c r="H128" i="8"/>
  <c r="H136" i="8"/>
  <c r="H144" i="8"/>
  <c r="H152" i="8"/>
  <c r="H160" i="8"/>
  <c r="H168" i="8"/>
  <c r="H176" i="8"/>
  <c r="CW82" i="7"/>
  <c r="CQ82" i="7"/>
  <c r="CU82" i="7"/>
  <c r="CY82" i="7"/>
  <c r="CG82" i="7"/>
  <c r="CO82" i="7"/>
  <c r="CI82" i="7"/>
  <c r="D5" i="7"/>
  <c r="CS82" i="7"/>
  <c r="CM82" i="7"/>
  <c r="CC82" i="7"/>
  <c r="CE82" i="7"/>
  <c r="D4" i="7"/>
  <c r="O45" i="4"/>
  <c r="Q45" i="4" s="1"/>
  <c r="Q44" i="4"/>
  <c r="M45" i="4"/>
  <c r="S37" i="8" l="1"/>
  <c r="L4" i="8" s="1"/>
  <c r="M4" i="8" s="1"/>
  <c r="N4" i="8" s="1"/>
  <c r="N6" i="8" s="1"/>
  <c r="X7" i="8"/>
  <c r="X8" i="8"/>
  <c r="X13" i="2"/>
  <c r="L9" i="6" s="1"/>
  <c r="R13" i="2"/>
  <c r="Q13" i="2"/>
  <c r="V15" i="8"/>
  <c r="J104" i="8" s="1"/>
  <c r="R182" i="8"/>
  <c r="T182" i="8" s="1"/>
  <c r="Y182" i="8"/>
  <c r="R101" i="8"/>
  <c r="T101" i="8" s="1"/>
  <c r="Y101" i="8"/>
  <c r="R92" i="8"/>
  <c r="T92" i="8" s="1"/>
  <c r="Y92" i="8"/>
  <c r="R128" i="8"/>
  <c r="T128" i="8" s="1"/>
  <c r="Y128" i="8"/>
  <c r="R127" i="8"/>
  <c r="T127" i="8" s="1"/>
  <c r="Y127" i="8"/>
  <c r="R126" i="8"/>
  <c r="T126" i="8" s="1"/>
  <c r="Y126" i="8"/>
  <c r="R148" i="8"/>
  <c r="T148" i="8" s="1"/>
  <c r="Y148" i="8"/>
  <c r="Y155" i="8"/>
  <c r="R155" i="8"/>
  <c r="T155" i="8" s="1"/>
  <c r="Y162" i="8"/>
  <c r="R162" i="8"/>
  <c r="T162" i="8" s="1"/>
  <c r="R125" i="8"/>
  <c r="T125" i="8" s="1"/>
  <c r="Y125" i="8"/>
  <c r="R121" i="8"/>
  <c r="T121" i="8" s="1"/>
  <c r="Y121" i="8"/>
  <c r="R100" i="8"/>
  <c r="T100" i="8" s="1"/>
  <c r="Y100" i="8"/>
  <c r="Y107" i="8"/>
  <c r="R107" i="8"/>
  <c r="T107" i="8" s="1"/>
  <c r="R90" i="8"/>
  <c r="T90" i="8" s="1"/>
  <c r="Y90" i="8"/>
  <c r="R65" i="8"/>
  <c r="T65" i="8" s="1"/>
  <c r="Y65" i="8"/>
  <c r="Y80" i="8"/>
  <c r="R80" i="8"/>
  <c r="T80" i="8" s="1"/>
  <c r="Y95" i="8"/>
  <c r="R95" i="8"/>
  <c r="T95" i="8" s="1"/>
  <c r="R74" i="8"/>
  <c r="T74" i="8" s="1"/>
  <c r="Y74" i="8"/>
  <c r="R140" i="8"/>
  <c r="T140" i="8" s="1"/>
  <c r="Y140" i="8"/>
  <c r="R102" i="8"/>
  <c r="T102" i="8" s="1"/>
  <c r="Y102" i="8"/>
  <c r="R176" i="8"/>
  <c r="T176" i="8" s="1"/>
  <c r="Y176" i="8"/>
  <c r="R175" i="8"/>
  <c r="T175" i="8" s="1"/>
  <c r="Y175" i="8"/>
  <c r="Y174" i="8"/>
  <c r="R174" i="8"/>
  <c r="T174" i="8" s="1"/>
  <c r="R149" i="8"/>
  <c r="T149" i="8" s="1"/>
  <c r="Y149" i="8"/>
  <c r="R132" i="8"/>
  <c r="T132" i="8" s="1"/>
  <c r="Y132" i="8"/>
  <c r="Y139" i="8"/>
  <c r="R139" i="8"/>
  <c r="T139" i="8" s="1"/>
  <c r="Y146" i="8"/>
  <c r="R146" i="8"/>
  <c r="T146" i="8" s="1"/>
  <c r="Y169" i="8"/>
  <c r="R169" i="8"/>
  <c r="T169" i="8" s="1"/>
  <c r="R93" i="8"/>
  <c r="T93" i="8" s="1"/>
  <c r="Y93" i="8"/>
  <c r="R84" i="8"/>
  <c r="T84" i="8" s="1"/>
  <c r="Y84" i="8"/>
  <c r="R91" i="8"/>
  <c r="T91" i="8" s="1"/>
  <c r="Y91" i="8"/>
  <c r="Y47" i="8"/>
  <c r="R47" i="8"/>
  <c r="T47" i="8" s="1"/>
  <c r="R49" i="8"/>
  <c r="T49" i="8" s="1"/>
  <c r="Y49" i="8"/>
  <c r="Y64" i="8"/>
  <c r="R64" i="8"/>
  <c r="T64" i="8" s="1"/>
  <c r="Y79" i="8"/>
  <c r="R79" i="8"/>
  <c r="T79" i="8" s="1"/>
  <c r="Y94" i="8"/>
  <c r="R94" i="8"/>
  <c r="T94" i="8" s="1"/>
  <c r="R177" i="8"/>
  <c r="T177" i="8" s="1"/>
  <c r="Y177" i="8"/>
  <c r="Y87" i="8"/>
  <c r="R87" i="8"/>
  <c r="T87" i="8" s="1"/>
  <c r="R168" i="8"/>
  <c r="T168" i="8" s="1"/>
  <c r="Y168" i="8"/>
  <c r="R167" i="8"/>
  <c r="T167" i="8" s="1"/>
  <c r="Y167" i="8"/>
  <c r="Y166" i="8"/>
  <c r="R166" i="8"/>
  <c r="T166" i="8" s="1"/>
  <c r="R133" i="8"/>
  <c r="T133" i="8" s="1"/>
  <c r="Y133" i="8"/>
  <c r="R124" i="8"/>
  <c r="T124" i="8" s="1"/>
  <c r="Y124" i="8"/>
  <c r="Y131" i="8"/>
  <c r="R131" i="8"/>
  <c r="T131" i="8" s="1"/>
  <c r="Y138" i="8"/>
  <c r="R138" i="8"/>
  <c r="T138" i="8" s="1"/>
  <c r="Y161" i="8"/>
  <c r="R161" i="8"/>
  <c r="T161" i="8" s="1"/>
  <c r="R85" i="8"/>
  <c r="T85" i="8" s="1"/>
  <c r="Y85" i="8"/>
  <c r="R76" i="8"/>
  <c r="T76" i="8" s="1"/>
  <c r="Y76" i="8"/>
  <c r="Y83" i="8"/>
  <c r="R83" i="8"/>
  <c r="T83" i="8" s="1"/>
  <c r="R105" i="8"/>
  <c r="T105" i="8" s="1"/>
  <c r="Y105" i="8"/>
  <c r="R82" i="8"/>
  <c r="T82" i="8" s="1"/>
  <c r="Y82" i="8"/>
  <c r="Y56" i="8"/>
  <c r="R56" i="8"/>
  <c r="T56" i="8" s="1"/>
  <c r="Y71" i="8"/>
  <c r="R71" i="8"/>
  <c r="T71" i="8" s="1"/>
  <c r="Y86" i="8"/>
  <c r="R86" i="8"/>
  <c r="T86" i="8" s="1"/>
  <c r="R173" i="8"/>
  <c r="T173" i="8" s="1"/>
  <c r="Y173" i="8"/>
  <c r="Y72" i="8"/>
  <c r="R72" i="8"/>
  <c r="T72" i="8" s="1"/>
  <c r="R160" i="8"/>
  <c r="T160" i="8" s="1"/>
  <c r="Y160" i="8"/>
  <c r="R159" i="8"/>
  <c r="T159" i="8" s="1"/>
  <c r="Y159" i="8"/>
  <c r="R158" i="8"/>
  <c r="T158" i="8" s="1"/>
  <c r="Y158" i="8"/>
  <c r="R180" i="8"/>
  <c r="T180" i="8" s="1"/>
  <c r="Y180" i="8"/>
  <c r="R141" i="8"/>
  <c r="T141" i="8" s="1"/>
  <c r="Y141" i="8"/>
  <c r="Y123" i="8"/>
  <c r="R123" i="8"/>
  <c r="T123" i="8" s="1"/>
  <c r="Y130" i="8"/>
  <c r="R130" i="8"/>
  <c r="T130" i="8" s="1"/>
  <c r="Y153" i="8"/>
  <c r="R153" i="8"/>
  <c r="T153" i="8" s="1"/>
  <c r="R77" i="8"/>
  <c r="T77" i="8" s="1"/>
  <c r="Y77" i="8"/>
  <c r="R68" i="8"/>
  <c r="T68" i="8" s="1"/>
  <c r="Y68" i="8"/>
  <c r="Y75" i="8"/>
  <c r="R75" i="8"/>
  <c r="T75" i="8" s="1"/>
  <c r="R97" i="8"/>
  <c r="T97" i="8" s="1"/>
  <c r="Y97" i="8"/>
  <c r="R50" i="8"/>
  <c r="T50" i="8" s="1"/>
  <c r="Y50" i="8"/>
  <c r="Y48" i="8"/>
  <c r="R48" i="8"/>
  <c r="T48" i="8" s="1"/>
  <c r="Y63" i="8"/>
  <c r="R63" i="8"/>
  <c r="T63" i="8" s="1"/>
  <c r="R78" i="8"/>
  <c r="T78" i="8" s="1"/>
  <c r="Y78" i="8"/>
  <c r="Y154" i="8"/>
  <c r="R154" i="8"/>
  <c r="T154" i="8" s="1"/>
  <c r="R57" i="8"/>
  <c r="T57" i="8" s="1"/>
  <c r="Y57" i="8"/>
  <c r="R152" i="8"/>
  <c r="T152" i="8" s="1"/>
  <c r="Y152" i="8"/>
  <c r="R151" i="8"/>
  <c r="T151" i="8" s="1"/>
  <c r="Y151" i="8"/>
  <c r="R150" i="8"/>
  <c r="T150" i="8" s="1"/>
  <c r="Y150" i="8"/>
  <c r="R172" i="8"/>
  <c r="T172" i="8" s="1"/>
  <c r="Y172" i="8"/>
  <c r="Y179" i="8"/>
  <c r="R179" i="8"/>
  <c r="T179" i="8" s="1"/>
  <c r="R165" i="8"/>
  <c r="T165" i="8" s="1"/>
  <c r="Y165" i="8"/>
  <c r="Y122" i="8"/>
  <c r="R122" i="8"/>
  <c r="T122" i="8" s="1"/>
  <c r="R145" i="8"/>
  <c r="T145" i="8" s="1"/>
  <c r="Y145" i="8"/>
  <c r="R61" i="8"/>
  <c r="T61" i="8" s="1"/>
  <c r="Y61" i="8"/>
  <c r="R60" i="8"/>
  <c r="T60" i="8" s="1"/>
  <c r="Y60" i="8"/>
  <c r="R67" i="8"/>
  <c r="T67" i="8" s="1"/>
  <c r="Y67" i="8"/>
  <c r="R89" i="8"/>
  <c r="T89" i="8" s="1"/>
  <c r="Y89" i="8"/>
  <c r="Y104" i="8"/>
  <c r="R104" i="8"/>
  <c r="T104" i="8" s="1"/>
  <c r="R98" i="8"/>
  <c r="T98" i="8" s="1"/>
  <c r="Y98" i="8"/>
  <c r="Y55" i="8"/>
  <c r="R55" i="8"/>
  <c r="T55" i="8" s="1"/>
  <c r="Y70" i="8"/>
  <c r="R70" i="8"/>
  <c r="T70" i="8" s="1"/>
  <c r="R120" i="8"/>
  <c r="T120" i="8" s="1"/>
  <c r="Y120" i="8"/>
  <c r="Y99" i="8"/>
  <c r="R99" i="8"/>
  <c r="T99" i="8" s="1"/>
  <c r="R144" i="8"/>
  <c r="T144" i="8" s="1"/>
  <c r="Y144" i="8"/>
  <c r="R143" i="8"/>
  <c r="T143" i="8" s="1"/>
  <c r="Y143" i="8"/>
  <c r="Y142" i="8"/>
  <c r="R142" i="8"/>
  <c r="T142" i="8" s="1"/>
  <c r="R164" i="8"/>
  <c r="T164" i="8" s="1"/>
  <c r="Y164" i="8"/>
  <c r="Y171" i="8"/>
  <c r="R171" i="8"/>
  <c r="T171" i="8" s="1"/>
  <c r="Y178" i="8"/>
  <c r="R178" i="8"/>
  <c r="T178" i="8" s="1"/>
  <c r="R181" i="8"/>
  <c r="T181" i="8" s="1"/>
  <c r="Y181" i="8"/>
  <c r="Y137" i="8"/>
  <c r="R137" i="8"/>
  <c r="T137" i="8" s="1"/>
  <c r="R53" i="8"/>
  <c r="T53" i="8" s="1"/>
  <c r="Y53" i="8"/>
  <c r="R52" i="8"/>
  <c r="T52" i="8" s="1"/>
  <c r="Y52" i="8"/>
  <c r="Y59" i="8"/>
  <c r="R59" i="8"/>
  <c r="T59" i="8" s="1"/>
  <c r="R81" i="8"/>
  <c r="T81" i="8" s="1"/>
  <c r="Y81" i="8"/>
  <c r="Y96" i="8"/>
  <c r="R96" i="8"/>
  <c r="T96" i="8" s="1"/>
  <c r="R66" i="8"/>
  <c r="T66" i="8" s="1"/>
  <c r="Y66" i="8"/>
  <c r="R109" i="8"/>
  <c r="T109" i="8" s="1"/>
  <c r="Y109" i="8"/>
  <c r="Y62" i="8"/>
  <c r="R62" i="8"/>
  <c r="T62" i="8" s="1"/>
  <c r="Y147" i="8"/>
  <c r="R147" i="8"/>
  <c r="T147" i="8" s="1"/>
  <c r="R58" i="8"/>
  <c r="T58" i="8" s="1"/>
  <c r="Y58" i="8"/>
  <c r="R136" i="8"/>
  <c r="T136" i="8" s="1"/>
  <c r="Y136" i="8"/>
  <c r="R135" i="8"/>
  <c r="T135" i="8" s="1"/>
  <c r="Y135" i="8"/>
  <c r="Y134" i="8"/>
  <c r="R134" i="8"/>
  <c r="T134" i="8" s="1"/>
  <c r="R156" i="8"/>
  <c r="T156" i="8" s="1"/>
  <c r="Y156" i="8"/>
  <c r="Y163" i="8"/>
  <c r="R163" i="8"/>
  <c r="T163" i="8" s="1"/>
  <c r="Y170" i="8"/>
  <c r="R170" i="8"/>
  <c r="T170" i="8" s="1"/>
  <c r="R157" i="8"/>
  <c r="T157" i="8" s="1"/>
  <c r="Y157" i="8"/>
  <c r="Y129" i="8"/>
  <c r="R129" i="8"/>
  <c r="T129" i="8" s="1"/>
  <c r="R108" i="8"/>
  <c r="T108" i="8" s="1"/>
  <c r="Y108" i="8"/>
  <c r="R69" i="8"/>
  <c r="T69" i="8" s="1"/>
  <c r="Y69" i="8"/>
  <c r="Y51" i="8"/>
  <c r="R51" i="8"/>
  <c r="T51" i="8" s="1"/>
  <c r="R73" i="8"/>
  <c r="T73" i="8" s="1"/>
  <c r="Y73" i="8"/>
  <c r="Y88" i="8"/>
  <c r="R88" i="8"/>
  <c r="T88" i="8" s="1"/>
  <c r="Y103" i="8"/>
  <c r="R103" i="8"/>
  <c r="T103" i="8" s="1"/>
  <c r="R106" i="8"/>
  <c r="T106" i="8" s="1"/>
  <c r="Y106" i="8"/>
  <c r="Y54" i="8"/>
  <c r="R54" i="8"/>
  <c r="T54" i="8" s="1"/>
  <c r="V3" i="8"/>
  <c r="C66" i="1" l="1"/>
  <c r="E5" i="8" s="1"/>
  <c r="D66" i="1" s="1"/>
  <c r="C65" i="1"/>
  <c r="E4" i="8" s="1"/>
  <c r="D65" i="1" s="1"/>
  <c r="X9" i="8"/>
  <c r="J144" i="8"/>
  <c r="V144" i="8" s="1"/>
  <c r="J150" i="8"/>
  <c r="J142" i="8"/>
  <c r="J143" i="8"/>
  <c r="AA143" i="8" s="1"/>
  <c r="J76" i="8"/>
  <c r="J84" i="8"/>
  <c r="V84" i="8" s="1"/>
  <c r="J75" i="8"/>
  <c r="V75" i="8" s="1"/>
  <c r="J173" i="8"/>
  <c r="V173" i="8" s="1"/>
  <c r="J97" i="8"/>
  <c r="J161" i="8"/>
  <c r="J103" i="8"/>
  <c r="AA103" i="8" s="1"/>
  <c r="J167" i="8"/>
  <c r="AA167" i="8" s="1"/>
  <c r="J91" i="8"/>
  <c r="M91" i="8" s="1"/>
  <c r="O91" i="8" s="1"/>
  <c r="J85" i="8"/>
  <c r="J79" i="8"/>
  <c r="J107" i="8"/>
  <c r="M107" i="8" s="1"/>
  <c r="O107" i="8" s="1"/>
  <c r="J148" i="8"/>
  <c r="AA148" i="8" s="1"/>
  <c r="J81" i="8"/>
  <c r="J170" i="8"/>
  <c r="AA170" i="8" s="1"/>
  <c r="J90" i="8"/>
  <c r="V90" i="8" s="1"/>
  <c r="J160" i="8"/>
  <c r="V160" i="8" s="1"/>
  <c r="J182" i="8"/>
  <c r="V182" i="8" s="1"/>
  <c r="J82" i="8"/>
  <c r="J180" i="8"/>
  <c r="V180" i="8" s="1"/>
  <c r="J172" i="8"/>
  <c r="W172" i="8" s="1"/>
  <c r="J164" i="8"/>
  <c r="M164" i="8" s="1"/>
  <c r="O164" i="8" s="1"/>
  <c r="J101" i="8"/>
  <c r="W101" i="8" s="1"/>
  <c r="J96" i="8"/>
  <c r="J153" i="8"/>
  <c r="J165" i="8"/>
  <c r="J174" i="8"/>
  <c r="V174" i="8" s="1"/>
  <c r="J89" i="8"/>
  <c r="J92" i="8"/>
  <c r="J181" i="8"/>
  <c r="AA181" i="8" s="1"/>
  <c r="J157" i="8"/>
  <c r="AA157" i="8" s="1"/>
  <c r="J171" i="8"/>
  <c r="M171" i="8" s="1"/>
  <c r="O171" i="8" s="1"/>
  <c r="J159" i="8"/>
  <c r="J98" i="8"/>
  <c r="W98" i="8" s="1"/>
  <c r="J78" i="8"/>
  <c r="V78" i="8" s="1"/>
  <c r="J145" i="8"/>
  <c r="J162" i="8"/>
  <c r="V162" i="8" s="1"/>
  <c r="J149" i="8"/>
  <c r="AA149" i="8" s="1"/>
  <c r="AM33" i="8"/>
  <c r="AN33" i="8" s="1"/>
  <c r="AM60" i="8" s="1"/>
  <c r="J146" i="8"/>
  <c r="M146" i="8" s="1"/>
  <c r="O146" i="8" s="1"/>
  <c r="J168" i="8"/>
  <c r="V168" i="8" s="1"/>
  <c r="J175" i="8"/>
  <c r="V175" i="8" s="1"/>
  <c r="J156" i="8"/>
  <c r="V156" i="8" s="1"/>
  <c r="J100" i="8"/>
  <c r="V100" i="8" s="1"/>
  <c r="J87" i="8"/>
  <c r="V87" i="8" s="1"/>
  <c r="J86" i="8"/>
  <c r="V86" i="8" s="1"/>
  <c r="J179" i="8"/>
  <c r="V179" i="8" s="1"/>
  <c r="J158" i="8"/>
  <c r="V158" i="8" s="1"/>
  <c r="J102" i="8"/>
  <c r="W102" i="8" s="1"/>
  <c r="J147" i="8"/>
  <c r="V147" i="8" s="1"/>
  <c r="J177" i="8"/>
  <c r="V177" i="8" s="1"/>
  <c r="J169" i="8"/>
  <c r="M169" i="8" s="1"/>
  <c r="O169" i="8" s="1"/>
  <c r="J155" i="8"/>
  <c r="V155" i="8" s="1"/>
  <c r="J72" i="8"/>
  <c r="M72" i="8" s="1"/>
  <c r="O72" i="8" s="1"/>
  <c r="J106" i="8"/>
  <c r="M106" i="8" s="1"/>
  <c r="O106" i="8" s="1"/>
  <c r="J95" i="8"/>
  <c r="J152" i="8"/>
  <c r="AA152" i="8" s="1"/>
  <c r="J154" i="8"/>
  <c r="AA154" i="8" s="1"/>
  <c r="J93" i="8"/>
  <c r="V93" i="8" s="1"/>
  <c r="J105" i="8"/>
  <c r="V105" i="8" s="1"/>
  <c r="J74" i="8"/>
  <c r="M74" i="8" s="1"/>
  <c r="O74" i="8" s="1"/>
  <c r="J71" i="8"/>
  <c r="V71" i="8" s="1"/>
  <c r="J151" i="8"/>
  <c r="V151" i="8" s="1"/>
  <c r="J166" i="8"/>
  <c r="V166" i="8" s="1"/>
  <c r="J108" i="8"/>
  <c r="V108" i="8" s="1"/>
  <c r="J73" i="8"/>
  <c r="V73" i="8" s="1"/>
  <c r="J94" i="8"/>
  <c r="V94" i="8" s="1"/>
  <c r="J163" i="8"/>
  <c r="AA163" i="8" s="1"/>
  <c r="J99" i="8"/>
  <c r="V99" i="8" s="1"/>
  <c r="J109" i="8"/>
  <c r="AA109" i="8" s="1"/>
  <c r="J80" i="8"/>
  <c r="V80" i="8" s="1"/>
  <c r="J88" i="8"/>
  <c r="J70" i="8"/>
  <c r="V70" i="8" s="1"/>
  <c r="J178" i="8"/>
  <c r="M178" i="8" s="1"/>
  <c r="O178" i="8" s="1"/>
  <c r="J176" i="8"/>
  <c r="M176" i="8" s="1"/>
  <c r="O176" i="8" s="1"/>
  <c r="J77" i="8"/>
  <c r="V77" i="8" s="1"/>
  <c r="J83" i="8"/>
  <c r="V83" i="8" s="1"/>
  <c r="V104" i="8"/>
  <c r="AA104" i="8"/>
  <c r="W104" i="8"/>
  <c r="M104" i="8"/>
  <c r="O104" i="8" s="1"/>
  <c r="J127" i="8"/>
  <c r="V127" i="8" s="1"/>
  <c r="J122" i="8"/>
  <c r="J132" i="8"/>
  <c r="V132" i="8" s="1"/>
  <c r="J61" i="8"/>
  <c r="V61" i="8" s="1"/>
  <c r="J49" i="8"/>
  <c r="V49" i="8" s="1"/>
  <c r="J135" i="8"/>
  <c r="V135" i="8" s="1"/>
  <c r="J138" i="8"/>
  <c r="V138" i="8" s="1"/>
  <c r="J140" i="8"/>
  <c r="V140" i="8" s="1"/>
  <c r="J65" i="8"/>
  <c r="V65" i="8" s="1"/>
  <c r="J47" i="8"/>
  <c r="J120" i="8"/>
  <c r="J133" i="8"/>
  <c r="V133" i="8" s="1"/>
  <c r="J125" i="8"/>
  <c r="V125" i="8" s="1"/>
  <c r="J53" i="8"/>
  <c r="V53" i="8" s="1"/>
  <c r="J64" i="8"/>
  <c r="V64" i="8" s="1"/>
  <c r="J68" i="8"/>
  <c r="V68" i="8" s="1"/>
  <c r="J136" i="8"/>
  <c r="V136" i="8" s="1"/>
  <c r="J123" i="8"/>
  <c r="V123" i="8" s="1"/>
  <c r="J126" i="8"/>
  <c r="V126" i="8" s="1"/>
  <c r="J52" i="8"/>
  <c r="V52" i="8" s="1"/>
  <c r="J58" i="8"/>
  <c r="V58" i="8" s="1"/>
  <c r="J121" i="8"/>
  <c r="V121" i="8" s="1"/>
  <c r="J131" i="8"/>
  <c r="V131" i="8" s="1"/>
  <c r="J134" i="8"/>
  <c r="V134" i="8" s="1"/>
  <c r="J60" i="8"/>
  <c r="V60" i="8" s="1"/>
  <c r="J48" i="8"/>
  <c r="V48" i="8" s="1"/>
  <c r="J62" i="8"/>
  <c r="V62" i="8" s="1"/>
  <c r="J129" i="8"/>
  <c r="V129" i="8" s="1"/>
  <c r="J139" i="8"/>
  <c r="V139" i="8" s="1"/>
  <c r="J128" i="8"/>
  <c r="V128" i="8" s="1"/>
  <c r="J66" i="8"/>
  <c r="V66" i="8" s="1"/>
  <c r="J50" i="8"/>
  <c r="V50" i="8" s="1"/>
  <c r="J67" i="8"/>
  <c r="V67" i="8" s="1"/>
  <c r="J63" i="8"/>
  <c r="V63" i="8" s="1"/>
  <c r="J54" i="8"/>
  <c r="V54" i="8" s="1"/>
  <c r="J137" i="8"/>
  <c r="V137" i="8" s="1"/>
  <c r="J141" i="8"/>
  <c r="V141" i="8" s="1"/>
  <c r="J51" i="8"/>
  <c r="V51" i="8" s="1"/>
  <c r="J69" i="8"/>
  <c r="V69" i="8" s="1"/>
  <c r="J57" i="8"/>
  <c r="V57" i="8" s="1"/>
  <c r="J55" i="8"/>
  <c r="V55" i="8" s="1"/>
  <c r="J130" i="8"/>
  <c r="V130" i="8" s="1"/>
  <c r="J124" i="8"/>
  <c r="V124" i="8" s="1"/>
  <c r="J56" i="8"/>
  <c r="V56" i="8" s="1"/>
  <c r="J59" i="8"/>
  <c r="AB7" i="8"/>
  <c r="AM32" i="8"/>
  <c r="AN32" i="8" s="1"/>
  <c r="AM59" i="8" s="1"/>
  <c r="AA3" i="8"/>
  <c r="D66" i="8"/>
  <c r="D25" i="1" l="1"/>
  <c r="I136" i="8" s="1"/>
  <c r="S136" i="8" s="1"/>
  <c r="D30" i="1"/>
  <c r="D29" i="1"/>
  <c r="D24" i="1"/>
  <c r="I49" i="8" s="1"/>
  <c r="Z49" i="8" s="1"/>
  <c r="W144" i="8"/>
  <c r="M150" i="8"/>
  <c r="O150" i="8" s="1"/>
  <c r="AA142" i="8"/>
  <c r="M144" i="8"/>
  <c r="O144" i="8" s="1"/>
  <c r="V150" i="8"/>
  <c r="W150" i="8" s="1"/>
  <c r="AA144" i="8"/>
  <c r="AA150" i="8"/>
  <c r="AC143" i="8"/>
  <c r="M142" i="8"/>
  <c r="O142" i="8" s="1"/>
  <c r="V142" i="8"/>
  <c r="W142" i="8" s="1"/>
  <c r="V79" i="8"/>
  <c r="W79" i="8" s="1"/>
  <c r="M79" i="8"/>
  <c r="O79" i="8" s="1"/>
  <c r="M82" i="8"/>
  <c r="O82" i="8" s="1"/>
  <c r="V181" i="8"/>
  <c r="V82" i="8"/>
  <c r="AA82" i="8" s="1"/>
  <c r="M143" i="8"/>
  <c r="O143" i="8" s="1"/>
  <c r="M81" i="8"/>
  <c r="O81" i="8" s="1"/>
  <c r="V143" i="8"/>
  <c r="W143" i="8" s="1"/>
  <c r="W107" i="8"/>
  <c r="AA107" i="8"/>
  <c r="AE107" i="8" s="1"/>
  <c r="M173" i="8"/>
  <c r="O173" i="8" s="1"/>
  <c r="W173" i="8"/>
  <c r="V107" i="8"/>
  <c r="V81" i="8"/>
  <c r="AA81" i="8" s="1"/>
  <c r="AA161" i="8"/>
  <c r="AC161" i="8" s="1"/>
  <c r="V161" i="8"/>
  <c r="W161" i="8" s="1"/>
  <c r="M161" i="8"/>
  <c r="O161" i="8" s="1"/>
  <c r="V72" i="8"/>
  <c r="W72" i="8" s="1"/>
  <c r="V103" i="8"/>
  <c r="W90" i="8"/>
  <c r="AA75" i="8"/>
  <c r="AC75" i="8" s="1"/>
  <c r="M167" i="8"/>
  <c r="O167" i="8" s="1"/>
  <c r="AA164" i="8"/>
  <c r="M75" i="8"/>
  <c r="O75" i="8" s="1"/>
  <c r="M149" i="8"/>
  <c r="O149" i="8" s="1"/>
  <c r="V149" i="8"/>
  <c r="W149" i="8" s="1"/>
  <c r="W75" i="8"/>
  <c r="V76" i="8"/>
  <c r="AA76" i="8" s="1"/>
  <c r="W181" i="8"/>
  <c r="M182" i="8"/>
  <c r="O182" i="8" s="1"/>
  <c r="M97" i="8"/>
  <c r="O97" i="8" s="1"/>
  <c r="AA182" i="8"/>
  <c r="AE182" i="8" s="1"/>
  <c r="W84" i="8"/>
  <c r="AA84" i="8"/>
  <c r="M85" i="8"/>
  <c r="O85" i="8" s="1"/>
  <c r="M148" i="8"/>
  <c r="O148" i="8" s="1"/>
  <c r="M76" i="8"/>
  <c r="O76" i="8" s="1"/>
  <c r="V85" i="8"/>
  <c r="AA85" i="8" s="1"/>
  <c r="M155" i="8"/>
  <c r="O155" i="8" s="1"/>
  <c r="W182" i="8"/>
  <c r="V172" i="8"/>
  <c r="V148" i="8"/>
  <c r="W148" i="8" s="1"/>
  <c r="V97" i="8"/>
  <c r="AA97" i="8" s="1"/>
  <c r="M172" i="8"/>
  <c r="O172" i="8" s="1"/>
  <c r="M84" i="8"/>
  <c r="O84" i="8" s="1"/>
  <c r="AA173" i="8"/>
  <c r="AE173" i="8" s="1"/>
  <c r="M90" i="8"/>
  <c r="O90" i="8" s="1"/>
  <c r="W160" i="8"/>
  <c r="AA90" i="8"/>
  <c r="AC90" i="8" s="1"/>
  <c r="V167" i="8"/>
  <c r="W167" i="8" s="1"/>
  <c r="M160" i="8"/>
  <c r="O160" i="8" s="1"/>
  <c r="W180" i="8"/>
  <c r="V170" i="8"/>
  <c r="W170" i="8" s="1"/>
  <c r="M103" i="8"/>
  <c r="O103" i="8" s="1"/>
  <c r="M170" i="8"/>
  <c r="O170" i="8" s="1"/>
  <c r="V91" i="8"/>
  <c r="AA91" i="8" s="1"/>
  <c r="W103" i="8"/>
  <c r="AA160" i="8"/>
  <c r="AC160" i="8" s="1"/>
  <c r="AA172" i="8"/>
  <c r="AE172" i="8" s="1"/>
  <c r="V92" i="8"/>
  <c r="W92" i="8" s="1"/>
  <c r="W155" i="8"/>
  <c r="AA87" i="8"/>
  <c r="AA155" i="8"/>
  <c r="AC155" i="8" s="1"/>
  <c r="W162" i="8"/>
  <c r="W99" i="8"/>
  <c r="M162" i="8"/>
  <c r="O162" i="8" s="1"/>
  <c r="M92" i="8"/>
  <c r="O92" i="8" s="1"/>
  <c r="M99" i="8"/>
  <c r="O99" i="8" s="1"/>
  <c r="AA99" i="8"/>
  <c r="AE99" i="8" s="1"/>
  <c r="AA101" i="8"/>
  <c r="AE101" i="8" s="1"/>
  <c r="V157" i="8"/>
  <c r="W157" i="8" s="1"/>
  <c r="V89" i="8"/>
  <c r="W89" i="8" s="1"/>
  <c r="M157" i="8"/>
  <c r="O157" i="8" s="1"/>
  <c r="AA106" i="8"/>
  <c r="AC106" i="8" s="1"/>
  <c r="W179" i="8"/>
  <c r="W151" i="8"/>
  <c r="M89" i="8"/>
  <c r="O89" i="8" s="1"/>
  <c r="M87" i="8"/>
  <c r="O87" i="8" s="1"/>
  <c r="W83" i="8"/>
  <c r="W87" i="8"/>
  <c r="AA83" i="8"/>
  <c r="AA162" i="8"/>
  <c r="AC162" i="8" s="1"/>
  <c r="V74" i="8"/>
  <c r="AA74" i="8" s="1"/>
  <c r="AC74" i="8" s="1"/>
  <c r="AA105" i="8"/>
  <c r="AC105" i="8" s="1"/>
  <c r="M145" i="8"/>
  <c r="O145" i="8" s="1"/>
  <c r="V145" i="8"/>
  <c r="W145" i="8" s="1"/>
  <c r="W100" i="8"/>
  <c r="AA145" i="8"/>
  <c r="M100" i="8"/>
  <c r="O100" i="8" s="1"/>
  <c r="M179" i="8"/>
  <c r="O179" i="8" s="1"/>
  <c r="AA179" i="8"/>
  <c r="AE179" i="8" s="1"/>
  <c r="V106" i="8"/>
  <c r="AA151" i="8"/>
  <c r="W106" i="8"/>
  <c r="W80" i="8"/>
  <c r="M151" i="8"/>
  <c r="O151" i="8" s="1"/>
  <c r="M101" i="8"/>
  <c r="O101" i="8" s="1"/>
  <c r="AA80" i="8"/>
  <c r="AC80" i="8" s="1"/>
  <c r="V101" i="8"/>
  <c r="V169" i="8"/>
  <c r="W169" i="8" s="1"/>
  <c r="M83" i="8"/>
  <c r="O83" i="8" s="1"/>
  <c r="M109" i="8"/>
  <c r="O109" i="8" s="1"/>
  <c r="AA165" i="8"/>
  <c r="V95" i="8"/>
  <c r="AA95" i="8" s="1"/>
  <c r="AA171" i="8"/>
  <c r="AC171" i="8" s="1"/>
  <c r="V171" i="8"/>
  <c r="M158" i="8"/>
  <c r="O158" i="8" s="1"/>
  <c r="V146" i="8"/>
  <c r="W146" i="8" s="1"/>
  <c r="AA158" i="8"/>
  <c r="M95" i="8"/>
  <c r="O95" i="8" s="1"/>
  <c r="Z20" i="8" s="1"/>
  <c r="V163" i="8"/>
  <c r="W163" i="8" s="1"/>
  <c r="AA169" i="8"/>
  <c r="M105" i="8"/>
  <c r="O105" i="8" s="1"/>
  <c r="W105" i="8"/>
  <c r="W77" i="8"/>
  <c r="M86" i="8"/>
  <c r="O86" i="8" s="1"/>
  <c r="AA100" i="8"/>
  <c r="AC100" i="8" s="1"/>
  <c r="AA71" i="8"/>
  <c r="AA77" i="8"/>
  <c r="W86" i="8"/>
  <c r="V109" i="8"/>
  <c r="W71" i="8"/>
  <c r="M77" i="8"/>
  <c r="O77" i="8" s="1"/>
  <c r="AA86" i="8"/>
  <c r="M163" i="8"/>
  <c r="O163" i="8" s="1"/>
  <c r="M71" i="8"/>
  <c r="O71" i="8" s="1"/>
  <c r="W109" i="8"/>
  <c r="M181" i="8"/>
  <c r="O181" i="8" s="1"/>
  <c r="M180" i="8"/>
  <c r="O180" i="8" s="1"/>
  <c r="V164" i="8"/>
  <c r="W164" i="8" s="1"/>
  <c r="AA180" i="8"/>
  <c r="AE180" i="8" s="1"/>
  <c r="W158" i="8"/>
  <c r="AA146" i="8"/>
  <c r="AC146" i="8" s="1"/>
  <c r="W171" i="8"/>
  <c r="AA166" i="8"/>
  <c r="M166" i="8"/>
  <c r="O166" i="8" s="1"/>
  <c r="M96" i="8"/>
  <c r="O96" i="8" s="1"/>
  <c r="V96" i="8"/>
  <c r="AA96" i="8" s="1"/>
  <c r="V88" i="8"/>
  <c r="AA88" i="8" s="1"/>
  <c r="AC88" i="8" s="1"/>
  <c r="W166" i="8"/>
  <c r="M88" i="8"/>
  <c r="O88" i="8" s="1"/>
  <c r="AA153" i="8"/>
  <c r="M80" i="8"/>
  <c r="O80" i="8" s="1"/>
  <c r="V165" i="8"/>
  <c r="W165" i="8" s="1"/>
  <c r="V178" i="8"/>
  <c r="W168" i="8"/>
  <c r="W177" i="8"/>
  <c r="M102" i="8"/>
  <c r="O102" i="8" s="1"/>
  <c r="M70" i="8"/>
  <c r="O70" i="8" s="1"/>
  <c r="M153" i="8"/>
  <c r="O153" i="8" s="1"/>
  <c r="V153" i="8"/>
  <c r="W153" i="8" s="1"/>
  <c r="V159" i="8"/>
  <c r="W159" i="8" s="1"/>
  <c r="V152" i="8"/>
  <c r="AA168" i="8"/>
  <c r="V102" i="8"/>
  <c r="W108" i="8"/>
  <c r="M152" i="8"/>
  <c r="O152" i="8" s="1"/>
  <c r="M168" i="8"/>
  <c r="O168" i="8" s="1"/>
  <c r="AA108" i="8"/>
  <c r="AC108" i="8" s="1"/>
  <c r="M159" i="8"/>
  <c r="O159" i="8" s="1"/>
  <c r="M108" i="8"/>
  <c r="O108" i="8" s="1"/>
  <c r="AA159" i="8"/>
  <c r="AA102" i="8"/>
  <c r="AE102" i="8" s="1"/>
  <c r="AA70" i="8"/>
  <c r="W70" i="8"/>
  <c r="AA177" i="8"/>
  <c r="AE177" i="8" s="1"/>
  <c r="M94" i="8"/>
  <c r="O94" i="8" s="1"/>
  <c r="W93" i="8"/>
  <c r="M177" i="8"/>
  <c r="O177" i="8" s="1"/>
  <c r="W156" i="8"/>
  <c r="W78" i="8"/>
  <c r="W176" i="8"/>
  <c r="W94" i="8"/>
  <c r="M93" i="8"/>
  <c r="O93" i="8" s="1"/>
  <c r="AA147" i="8"/>
  <c r="M156" i="8"/>
  <c r="O156" i="8" s="1"/>
  <c r="M78" i="8"/>
  <c r="O78" i="8" s="1"/>
  <c r="M174" i="8"/>
  <c r="O174" i="8" s="1"/>
  <c r="AA93" i="8"/>
  <c r="AC93" i="8" s="1"/>
  <c r="M154" i="8"/>
  <c r="O154" i="8" s="1"/>
  <c r="M147" i="8"/>
  <c r="O147" i="8" s="1"/>
  <c r="M175" i="8"/>
  <c r="O175" i="8" s="1"/>
  <c r="AA78" i="8"/>
  <c r="AA174" i="8"/>
  <c r="AC174" i="8" s="1"/>
  <c r="V176" i="8"/>
  <c r="V154" i="8"/>
  <c r="W154" i="8" s="1"/>
  <c r="AA156" i="8"/>
  <c r="AC156" i="8" s="1"/>
  <c r="AA94" i="8"/>
  <c r="W178" i="8"/>
  <c r="AA176" i="8"/>
  <c r="AE176" i="8" s="1"/>
  <c r="W73" i="8"/>
  <c r="W147" i="8"/>
  <c r="W175" i="8"/>
  <c r="AA98" i="8"/>
  <c r="AE98" i="8" s="1"/>
  <c r="W174" i="8"/>
  <c r="AA178" i="8"/>
  <c r="AE178" i="8" s="1"/>
  <c r="AA73" i="8"/>
  <c r="AA175" i="8"/>
  <c r="AE175" i="8" s="1"/>
  <c r="M98" i="8"/>
  <c r="O98" i="8" s="1"/>
  <c r="M165" i="8"/>
  <c r="O165" i="8" s="1"/>
  <c r="V98" i="8"/>
  <c r="M73" i="8"/>
  <c r="O73" i="8" s="1"/>
  <c r="V120" i="8"/>
  <c r="W120" i="8" s="1"/>
  <c r="J183" i="8"/>
  <c r="V47" i="8"/>
  <c r="W47" i="8" s="1"/>
  <c r="G35" i="8" a="1"/>
  <c r="G35" i="8" s="1"/>
  <c r="G34" i="8" a="1"/>
  <c r="G34" i="8" s="1"/>
  <c r="AA49" i="8"/>
  <c r="AC49" i="8" s="1"/>
  <c r="AE49" i="8" s="1"/>
  <c r="AA62" i="8"/>
  <c r="AC62" i="8" s="1"/>
  <c r="AE62" i="8" s="1"/>
  <c r="AA53" i="8"/>
  <c r="AC53" i="8" s="1"/>
  <c r="AE53" i="8" s="1"/>
  <c r="W63" i="8"/>
  <c r="V122" i="8"/>
  <c r="W122" i="8" s="1"/>
  <c r="W68" i="8"/>
  <c r="V59" i="8"/>
  <c r="W59" i="8" s="1"/>
  <c r="W67" i="8"/>
  <c r="M67" i="8"/>
  <c r="O67" i="8" s="1"/>
  <c r="AA67" i="8"/>
  <c r="AC67" i="8" s="1"/>
  <c r="AE67" i="8" s="1"/>
  <c r="M136" i="8"/>
  <c r="O136" i="8" s="1"/>
  <c r="AA136" i="8"/>
  <c r="AC136" i="8" s="1"/>
  <c r="AE136" i="8" s="1"/>
  <c r="M65" i="8"/>
  <c r="O65" i="8" s="1"/>
  <c r="W65" i="8"/>
  <c r="AA57" i="8"/>
  <c r="AC57" i="8" s="1"/>
  <c r="AE57" i="8" s="1"/>
  <c r="W57" i="8"/>
  <c r="M57" i="8"/>
  <c r="O57" i="8" s="1"/>
  <c r="M50" i="8"/>
  <c r="O50" i="8" s="1"/>
  <c r="AA50" i="8"/>
  <c r="M134" i="8"/>
  <c r="O134" i="8" s="1"/>
  <c r="AA134" i="8"/>
  <c r="AC134" i="8" s="1"/>
  <c r="AE134" i="8" s="1"/>
  <c r="W134" i="8"/>
  <c r="M68" i="8"/>
  <c r="O68" i="8" s="1"/>
  <c r="AA68" i="8"/>
  <c r="AC68" i="8" s="1"/>
  <c r="AE68" i="8" s="1"/>
  <c r="AA140" i="8"/>
  <c r="AC140" i="8" s="1"/>
  <c r="AE140" i="8" s="1"/>
  <c r="W140" i="8"/>
  <c r="M140" i="8"/>
  <c r="O140" i="8" s="1"/>
  <c r="AC170" i="8"/>
  <c r="AE170" i="8"/>
  <c r="AM61" i="8"/>
  <c r="M131" i="8"/>
  <c r="O131" i="8" s="1"/>
  <c r="W131" i="8"/>
  <c r="AA131" i="8"/>
  <c r="AC131" i="8" s="1"/>
  <c r="AE131" i="8" s="1"/>
  <c r="AC152" i="8"/>
  <c r="AC167" i="8"/>
  <c r="AE167" i="8" s="1"/>
  <c r="AC157" i="8"/>
  <c r="M51" i="8"/>
  <c r="O51" i="8" s="1"/>
  <c r="AA51" i="8"/>
  <c r="AC51" i="8" s="1"/>
  <c r="AE51" i="8" s="1"/>
  <c r="W128" i="8"/>
  <c r="AA128" i="8"/>
  <c r="AC128" i="8" s="1"/>
  <c r="AE128" i="8" s="1"/>
  <c r="M128" i="8"/>
  <c r="O128" i="8" s="1"/>
  <c r="W121" i="8"/>
  <c r="AA121" i="8"/>
  <c r="AC121" i="8" s="1"/>
  <c r="AE121" i="8" s="1"/>
  <c r="M121" i="8"/>
  <c r="O121" i="8" s="1"/>
  <c r="M53" i="8"/>
  <c r="O53" i="8" s="1"/>
  <c r="W53" i="8"/>
  <c r="AA135" i="8"/>
  <c r="M135" i="8"/>
  <c r="O135" i="8" s="1"/>
  <c r="AC163" i="8"/>
  <c r="AE163" i="8" s="1"/>
  <c r="W136" i="8"/>
  <c r="M69" i="8"/>
  <c r="O69" i="8" s="1"/>
  <c r="AA69" i="8"/>
  <c r="AC69" i="8" s="1"/>
  <c r="AE69" i="8" s="1"/>
  <c r="W69" i="8"/>
  <c r="M64" i="8"/>
  <c r="O64" i="8" s="1"/>
  <c r="AA64" i="8"/>
  <c r="AC64" i="8" s="1"/>
  <c r="AE64" i="8" s="1"/>
  <c r="M59" i="8"/>
  <c r="O59" i="8" s="1"/>
  <c r="AA141" i="8"/>
  <c r="W141" i="8"/>
  <c r="M141" i="8"/>
  <c r="O141" i="8" s="1"/>
  <c r="AA139" i="8"/>
  <c r="AC139" i="8" s="1"/>
  <c r="AE139" i="8" s="1"/>
  <c r="M139" i="8"/>
  <c r="O139" i="8" s="1"/>
  <c r="W139" i="8"/>
  <c r="M58" i="8"/>
  <c r="O58" i="8" s="1"/>
  <c r="W58" i="8"/>
  <c r="AA58" i="8"/>
  <c r="AC58" i="8" s="1"/>
  <c r="AE58" i="8" s="1"/>
  <c r="AA125" i="8"/>
  <c r="AC125" i="8" s="1"/>
  <c r="AE125" i="8" s="1"/>
  <c r="M125" i="8"/>
  <c r="O125" i="8" s="1"/>
  <c r="M49" i="8"/>
  <c r="O49" i="8" s="1"/>
  <c r="W49" i="8"/>
  <c r="AE104" i="8"/>
  <c r="AC104" i="8"/>
  <c r="W135" i="8"/>
  <c r="W125" i="8"/>
  <c r="W64" i="8"/>
  <c r="M66" i="8"/>
  <c r="O66" i="8" s="1"/>
  <c r="AA66" i="8"/>
  <c r="AC66" i="8" s="1"/>
  <c r="AE66" i="8" s="1"/>
  <c r="W66" i="8"/>
  <c r="W138" i="8"/>
  <c r="AA138" i="8"/>
  <c r="AC138" i="8" s="1"/>
  <c r="AE138" i="8" s="1"/>
  <c r="M138" i="8"/>
  <c r="O138" i="8" s="1"/>
  <c r="AA65" i="8"/>
  <c r="AC65" i="8" s="1"/>
  <c r="AE65" i="8" s="1"/>
  <c r="W56" i="8"/>
  <c r="M56" i="8"/>
  <c r="O56" i="8" s="1"/>
  <c r="AA56" i="8"/>
  <c r="AC56" i="8" s="1"/>
  <c r="AE56" i="8" s="1"/>
  <c r="W137" i="8"/>
  <c r="M137" i="8"/>
  <c r="O137" i="8" s="1"/>
  <c r="AA137" i="8"/>
  <c r="AC137" i="8" s="1"/>
  <c r="AE137" i="8" s="1"/>
  <c r="W129" i="8"/>
  <c r="M129" i="8"/>
  <c r="O129" i="8" s="1"/>
  <c r="AA129" i="8"/>
  <c r="AC129" i="8" s="1"/>
  <c r="AE129" i="8" s="1"/>
  <c r="W52" i="8"/>
  <c r="AA52" i="8"/>
  <c r="AC52" i="8" s="1"/>
  <c r="AE52" i="8" s="1"/>
  <c r="M52" i="8"/>
  <c r="O52" i="8" s="1"/>
  <c r="AA133" i="8"/>
  <c r="AC133" i="8" s="1"/>
  <c r="AE133" i="8" s="1"/>
  <c r="W133" i="8"/>
  <c r="M133" i="8"/>
  <c r="O133" i="8" s="1"/>
  <c r="M61" i="8"/>
  <c r="O61" i="8" s="1"/>
  <c r="W61" i="8"/>
  <c r="W51" i="8"/>
  <c r="AE103" i="8"/>
  <c r="AC103" i="8"/>
  <c r="AC149" i="8"/>
  <c r="AE149" i="8" s="1"/>
  <c r="AE181" i="8"/>
  <c r="AC181" i="8"/>
  <c r="M124" i="8"/>
  <c r="O124" i="8" s="1"/>
  <c r="W124" i="8"/>
  <c r="AA124" i="8"/>
  <c r="AC124" i="8" s="1"/>
  <c r="AE124" i="8" s="1"/>
  <c r="M54" i="8"/>
  <c r="O54" i="8" s="1"/>
  <c r="AA54" i="8"/>
  <c r="AC54" i="8" s="1"/>
  <c r="AE54" i="8" s="1"/>
  <c r="W54" i="8"/>
  <c r="M62" i="8"/>
  <c r="O62" i="8" s="1"/>
  <c r="W62" i="8"/>
  <c r="M126" i="8"/>
  <c r="O126" i="8" s="1"/>
  <c r="W126" i="8"/>
  <c r="AA126" i="8"/>
  <c r="AC126" i="8" s="1"/>
  <c r="AE126" i="8" s="1"/>
  <c r="M120" i="8"/>
  <c r="O120" i="8" s="1"/>
  <c r="AA120" i="8"/>
  <c r="AC120" i="8" s="1"/>
  <c r="M132" i="8"/>
  <c r="O132" i="8" s="1"/>
  <c r="AA132" i="8"/>
  <c r="AC132" i="8" s="1"/>
  <c r="AE132" i="8" s="1"/>
  <c r="W132" i="8"/>
  <c r="AC148" i="8"/>
  <c r="AE148" i="8" s="1"/>
  <c r="AA61" i="8"/>
  <c r="AC61" i="8" s="1"/>
  <c r="AE61" i="8" s="1"/>
  <c r="W50" i="8"/>
  <c r="W130" i="8"/>
  <c r="M130" i="8"/>
  <c r="O130" i="8" s="1"/>
  <c r="AA130" i="8"/>
  <c r="AC130" i="8" s="1"/>
  <c r="AE130" i="8" s="1"/>
  <c r="M63" i="8"/>
  <c r="O63" i="8" s="1"/>
  <c r="AA63" i="8"/>
  <c r="AC63" i="8" s="1"/>
  <c r="AE63" i="8" s="1"/>
  <c r="W48" i="8"/>
  <c r="M48" i="8"/>
  <c r="O48" i="8" s="1"/>
  <c r="AA48" i="8"/>
  <c r="AC48" i="8" s="1"/>
  <c r="AE48" i="8" s="1"/>
  <c r="M123" i="8"/>
  <c r="O123" i="8" s="1"/>
  <c r="AA123" i="8"/>
  <c r="AC123" i="8" s="1"/>
  <c r="AE123" i="8" s="1"/>
  <c r="J110" i="8"/>
  <c r="M47" i="8"/>
  <c r="M122" i="8"/>
  <c r="O122" i="8" s="1"/>
  <c r="AA122" i="8"/>
  <c r="W123" i="8"/>
  <c r="AC154" i="8"/>
  <c r="AE109" i="8"/>
  <c r="AC109" i="8"/>
  <c r="M55" i="8"/>
  <c r="O55" i="8" s="1"/>
  <c r="AA55" i="8"/>
  <c r="W55" i="8"/>
  <c r="M60" i="8"/>
  <c r="O60" i="8" s="1"/>
  <c r="AA60" i="8"/>
  <c r="AC60" i="8" s="1"/>
  <c r="AE60" i="8" s="1"/>
  <c r="W60" i="8"/>
  <c r="W127" i="8"/>
  <c r="M127" i="8"/>
  <c r="O127" i="8" s="1"/>
  <c r="AA127" i="8"/>
  <c r="AC127" i="8" s="1"/>
  <c r="AE127" i="8" s="1"/>
  <c r="I145" i="8" l="1"/>
  <c r="S145" i="8" s="1"/>
  <c r="I123" i="8"/>
  <c r="Z123" i="8" s="1"/>
  <c r="I169" i="8"/>
  <c r="Z169" i="8" s="1"/>
  <c r="I152" i="8"/>
  <c r="Z152" i="8" s="1"/>
  <c r="I154" i="8"/>
  <c r="S154" i="8" s="1"/>
  <c r="I147" i="8"/>
  <c r="S147" i="8" s="1"/>
  <c r="I165" i="8"/>
  <c r="S165" i="8" s="1"/>
  <c r="I126" i="8"/>
  <c r="Z126" i="8" s="1"/>
  <c r="I161" i="8"/>
  <c r="Z161" i="8" s="1"/>
  <c r="I177" i="8"/>
  <c r="Z177" i="8" s="1"/>
  <c r="I128" i="8"/>
  <c r="S128" i="8" s="1"/>
  <c r="I155" i="8"/>
  <c r="S155" i="8" s="1"/>
  <c r="I135" i="8"/>
  <c r="Z135" i="8" s="1"/>
  <c r="I164" i="8"/>
  <c r="S164" i="8" s="1"/>
  <c r="I146" i="8"/>
  <c r="S146" i="8" s="1"/>
  <c r="I176" i="8"/>
  <c r="S176" i="8" s="1"/>
  <c r="I173" i="8"/>
  <c r="S173" i="8" s="1"/>
  <c r="I143" i="8"/>
  <c r="Z143" i="8" s="1"/>
  <c r="I160" i="8"/>
  <c r="Z160" i="8" s="1"/>
  <c r="I170" i="8"/>
  <c r="Z170" i="8" s="1"/>
  <c r="I150" i="8"/>
  <c r="S150" i="8" s="1"/>
  <c r="I157" i="8"/>
  <c r="S157" i="8" s="1"/>
  <c r="I125" i="8"/>
  <c r="S125" i="8" s="1"/>
  <c r="I131" i="8"/>
  <c r="Z131" i="8" s="1"/>
  <c r="I132" i="8"/>
  <c r="Z132" i="8" s="1"/>
  <c r="I142" i="8"/>
  <c r="Z142" i="8" s="1"/>
  <c r="I171" i="8"/>
  <c r="S171" i="8" s="1"/>
  <c r="I159" i="8"/>
  <c r="Z159" i="8" s="1"/>
  <c r="I138" i="8"/>
  <c r="Z138" i="8" s="1"/>
  <c r="I178" i="8"/>
  <c r="Z178" i="8" s="1"/>
  <c r="I166" i="8"/>
  <c r="Z166" i="8" s="1"/>
  <c r="I168" i="8"/>
  <c r="Z168" i="8" s="1"/>
  <c r="I151" i="8"/>
  <c r="Z151" i="8" s="1"/>
  <c r="I180" i="8"/>
  <c r="Z180" i="8" s="1"/>
  <c r="I124" i="8"/>
  <c r="Z124" i="8" s="1"/>
  <c r="I162" i="8"/>
  <c r="S162" i="8" s="1"/>
  <c r="I175" i="8"/>
  <c r="S175" i="8" s="1"/>
  <c r="I133" i="8"/>
  <c r="Z133" i="8" s="1"/>
  <c r="I148" i="8"/>
  <c r="S148" i="8" s="1"/>
  <c r="Z136" i="8"/>
  <c r="I163" i="8"/>
  <c r="S163" i="8" s="1"/>
  <c r="I179" i="8"/>
  <c r="Z179" i="8" s="1"/>
  <c r="I122" i="8"/>
  <c r="Z122" i="8" s="1"/>
  <c r="I134" i="8"/>
  <c r="Z134" i="8" s="1"/>
  <c r="I129" i="8"/>
  <c r="S129" i="8" s="1"/>
  <c r="I120" i="8"/>
  <c r="Z120" i="8" s="1"/>
  <c r="I167" i="8"/>
  <c r="S167" i="8" s="1"/>
  <c r="I137" i="8"/>
  <c r="S137" i="8" s="1"/>
  <c r="I153" i="8"/>
  <c r="S153" i="8" s="1"/>
  <c r="I174" i="8"/>
  <c r="S174" i="8" s="1"/>
  <c r="I158" i="8"/>
  <c r="S158" i="8" s="1"/>
  <c r="I181" i="8"/>
  <c r="Z181" i="8" s="1"/>
  <c r="I182" i="8"/>
  <c r="S182" i="8" s="1"/>
  <c r="I156" i="8"/>
  <c r="Z156" i="8" s="1"/>
  <c r="I144" i="8"/>
  <c r="Z144" i="8" s="1"/>
  <c r="I121" i="8"/>
  <c r="S121" i="8" s="1"/>
  <c r="I130" i="8"/>
  <c r="Z130" i="8" s="1"/>
  <c r="I172" i="8"/>
  <c r="Z172" i="8" s="1"/>
  <c r="I139" i="8"/>
  <c r="S139" i="8" s="1"/>
  <c r="I149" i="8"/>
  <c r="Z149" i="8" s="1"/>
  <c r="I127" i="8"/>
  <c r="Z127" i="8" s="1"/>
  <c r="I141" i="8"/>
  <c r="S141" i="8" s="1"/>
  <c r="I140" i="8"/>
  <c r="S140" i="8" s="1"/>
  <c r="I63" i="8"/>
  <c r="S63" i="8" s="1"/>
  <c r="I91" i="8"/>
  <c r="S91" i="8" s="1"/>
  <c r="I62" i="8"/>
  <c r="Z62" i="8" s="1"/>
  <c r="I94" i="8"/>
  <c r="S94" i="8" s="1"/>
  <c r="I69" i="8"/>
  <c r="S69" i="8" s="1"/>
  <c r="I55" i="8"/>
  <c r="Z55" i="8" s="1"/>
  <c r="I81" i="8"/>
  <c r="S81" i="8" s="1"/>
  <c r="I48" i="8"/>
  <c r="Z48" i="8" s="1"/>
  <c r="I99" i="8"/>
  <c r="S99" i="8" s="1"/>
  <c r="I93" i="8"/>
  <c r="Z93" i="8" s="1"/>
  <c r="I59" i="8"/>
  <c r="S59" i="8" s="1"/>
  <c r="I75" i="8"/>
  <c r="S75" i="8" s="1"/>
  <c r="I85" i="8"/>
  <c r="Z85" i="8" s="1"/>
  <c r="I87" i="8"/>
  <c r="Z87" i="8" s="1"/>
  <c r="I101" i="8"/>
  <c r="S101" i="8" s="1"/>
  <c r="I88" i="8"/>
  <c r="Z88" i="8" s="1"/>
  <c r="I104" i="8"/>
  <c r="Z104" i="8" s="1"/>
  <c r="I107" i="8"/>
  <c r="Z107" i="8" s="1"/>
  <c r="I65" i="8"/>
  <c r="Z65" i="8" s="1"/>
  <c r="I89" i="8"/>
  <c r="S89" i="8" s="1"/>
  <c r="I108" i="8"/>
  <c r="Z108" i="8" s="1"/>
  <c r="I50" i="8"/>
  <c r="Z50" i="8" s="1"/>
  <c r="I100" i="8"/>
  <c r="Z100" i="8" s="1"/>
  <c r="I92" i="8"/>
  <c r="S92" i="8" s="1"/>
  <c r="I80" i="8"/>
  <c r="S80" i="8" s="1"/>
  <c r="I66" i="8"/>
  <c r="Z66" i="8" s="1"/>
  <c r="I109" i="8"/>
  <c r="S109" i="8" s="1"/>
  <c r="I54" i="8"/>
  <c r="S54" i="8" s="1"/>
  <c r="I96" i="8"/>
  <c r="S96" i="8" s="1"/>
  <c r="I84" i="8"/>
  <c r="S84" i="8" s="1"/>
  <c r="I95" i="8"/>
  <c r="S95" i="8" s="1"/>
  <c r="I105" i="8"/>
  <c r="S105" i="8" s="1"/>
  <c r="I82" i="8"/>
  <c r="Z82" i="8" s="1"/>
  <c r="I90" i="8"/>
  <c r="Z90" i="8" s="1"/>
  <c r="I56" i="8"/>
  <c r="S56" i="8" s="1"/>
  <c r="I103" i="8"/>
  <c r="S103" i="8" s="1"/>
  <c r="I64" i="8"/>
  <c r="S64" i="8" s="1"/>
  <c r="I60" i="8"/>
  <c r="S60" i="8" s="1"/>
  <c r="I57" i="8"/>
  <c r="S57" i="8" s="1"/>
  <c r="S49" i="8"/>
  <c r="I79" i="8"/>
  <c r="S79" i="8" s="1"/>
  <c r="I86" i="8"/>
  <c r="Z86" i="8" s="1"/>
  <c r="I52" i="8"/>
  <c r="S52" i="8" s="1"/>
  <c r="I98" i="8"/>
  <c r="S98" i="8" s="1"/>
  <c r="I102" i="8"/>
  <c r="Z102" i="8" s="1"/>
  <c r="I47" i="8"/>
  <c r="S47" i="8" s="1"/>
  <c r="I70" i="8"/>
  <c r="S70" i="8" s="1"/>
  <c r="I53" i="8"/>
  <c r="Z53" i="8" s="1"/>
  <c r="I58" i="8"/>
  <c r="Z58" i="8" s="1"/>
  <c r="I51" i="8"/>
  <c r="Z51" i="8" s="1"/>
  <c r="I78" i="8"/>
  <c r="Z78" i="8" s="1"/>
  <c r="I77" i="8"/>
  <c r="Z77" i="8" s="1"/>
  <c r="I73" i="8"/>
  <c r="S73" i="8" s="1"/>
  <c r="I71" i="8"/>
  <c r="Z71" i="8" s="1"/>
  <c r="I76" i="8"/>
  <c r="S76" i="8" s="1"/>
  <c r="I106" i="8"/>
  <c r="Z106" i="8" s="1"/>
  <c r="I97" i="8"/>
  <c r="Z97" i="8" s="1"/>
  <c r="I74" i="8"/>
  <c r="S74" i="8" s="1"/>
  <c r="I68" i="8"/>
  <c r="S68" i="8" s="1"/>
  <c r="I72" i="8"/>
  <c r="Z72" i="8" s="1"/>
  <c r="I83" i="8"/>
  <c r="Z83" i="8" s="1"/>
  <c r="I67" i="8"/>
  <c r="Z67" i="8" s="1"/>
  <c r="I61" i="8"/>
  <c r="S61" i="8" s="1"/>
  <c r="AE154" i="8"/>
  <c r="W95" i="8"/>
  <c r="AE152" i="8"/>
  <c r="W74" i="8"/>
  <c r="AE157" i="8"/>
  <c r="W152" i="8"/>
  <c r="AA72" i="8"/>
  <c r="AC72" i="8" s="1"/>
  <c r="AE72" i="8" s="1"/>
  <c r="W96" i="8"/>
  <c r="W85" i="8"/>
  <c r="W76" i="8"/>
  <c r="AC96" i="8"/>
  <c r="AE96" i="8" s="1"/>
  <c r="AC95" i="8"/>
  <c r="AE95" i="8" s="1"/>
  <c r="AC85" i="8"/>
  <c r="AE85" i="8" s="1"/>
  <c r="AC82" i="8"/>
  <c r="AE82" i="8" s="1"/>
  <c r="AA79" i="8"/>
  <c r="AC79" i="8" s="1"/>
  <c r="W88" i="8"/>
  <c r="AE143" i="8"/>
  <c r="AA89" i="8"/>
  <c r="W81" i="8"/>
  <c r="W91" i="8"/>
  <c r="W97" i="8"/>
  <c r="AA92" i="8"/>
  <c r="W82" i="8"/>
  <c r="AC144" i="8"/>
  <c r="AE144" i="8" s="1"/>
  <c r="AE106" i="8"/>
  <c r="AC150" i="8"/>
  <c r="AE150" i="8" s="1"/>
  <c r="AC142" i="8"/>
  <c r="AE142" i="8" s="1"/>
  <c r="AC173" i="8"/>
  <c r="AC97" i="8"/>
  <c r="AE97" i="8" s="1"/>
  <c r="AC83" i="8"/>
  <c r="AE83" i="8" s="1"/>
  <c r="AC91" i="8"/>
  <c r="AE91" i="8" s="1"/>
  <c r="AC81" i="8"/>
  <c r="AE81" i="8" s="1"/>
  <c r="AE90" i="8"/>
  <c r="AC164" i="8"/>
  <c r="AE164" i="8" s="1"/>
  <c r="AE161" i="8"/>
  <c r="AC87" i="8"/>
  <c r="AE87" i="8" s="1"/>
  <c r="AC77" i="8"/>
  <c r="AE77" i="8" s="1"/>
  <c r="AE160" i="8"/>
  <c r="AC107" i="8"/>
  <c r="AC76" i="8"/>
  <c r="AE76" i="8" s="1"/>
  <c r="AE74" i="8"/>
  <c r="AE75" i="8"/>
  <c r="AC84" i="8"/>
  <c r="AE84" i="8" s="1"/>
  <c r="AC182" i="8"/>
  <c r="AC172" i="8"/>
  <c r="AC145" i="8"/>
  <c r="AE145" i="8" s="1"/>
  <c r="AC101" i="8"/>
  <c r="AE155" i="8"/>
  <c r="AC99" i="8"/>
  <c r="AE100" i="8"/>
  <c r="AE162" i="8"/>
  <c r="AC165" i="8"/>
  <c r="AE165" i="8" s="1"/>
  <c r="AC180" i="8"/>
  <c r="AE88" i="8"/>
  <c r="AE171" i="8"/>
  <c r="AE80" i="8"/>
  <c r="AE105" i="8"/>
  <c r="AC169" i="8"/>
  <c r="AE169" i="8" s="1"/>
  <c r="AC86" i="8"/>
  <c r="AE86" i="8" s="1"/>
  <c r="AC179" i="8"/>
  <c r="AC71" i="8"/>
  <c r="AE71" i="8" s="1"/>
  <c r="AC151" i="8"/>
  <c r="AE151" i="8" s="1"/>
  <c r="AC176" i="8"/>
  <c r="AC98" i="8"/>
  <c r="AC159" i="8"/>
  <c r="AE159" i="8" s="1"/>
  <c r="AC166" i="8"/>
  <c r="AE166" i="8" s="1"/>
  <c r="AC158" i="8"/>
  <c r="AE158" i="8" s="1"/>
  <c r="AC153" i="8"/>
  <c r="AE153" i="8" s="1"/>
  <c r="AC177" i="8"/>
  <c r="AC175" i="8"/>
  <c r="AE108" i="8"/>
  <c r="AE146" i="8"/>
  <c r="AC70" i="8"/>
  <c r="AE70" i="8" s="1"/>
  <c r="AE174" i="8"/>
  <c r="AE93" i="8"/>
  <c r="AC102" i="8"/>
  <c r="AC168" i="8"/>
  <c r="AE168" i="8" s="1"/>
  <c r="AC178" i="8"/>
  <c r="AC94" i="8"/>
  <c r="AE94" i="8" s="1"/>
  <c r="AC147" i="8"/>
  <c r="AE147" i="8" s="1"/>
  <c r="AE156" i="8"/>
  <c r="AC73" i="8"/>
  <c r="AE73" i="8" s="1"/>
  <c r="AC78" i="8"/>
  <c r="AE78" i="8" s="1"/>
  <c r="AE120" i="8"/>
  <c r="AA47" i="8"/>
  <c r="AC47" i="8" s="1"/>
  <c r="AE47" i="8" s="1"/>
  <c r="V7" i="8"/>
  <c r="V20" i="8"/>
  <c r="AA59" i="8"/>
  <c r="AC59" i="8" s="1"/>
  <c r="AE59" i="8" s="1"/>
  <c r="AC135" i="8"/>
  <c r="AE135" i="8" s="1"/>
  <c r="AC141" i="8"/>
  <c r="AE141" i="8" s="1"/>
  <c r="AC50" i="8"/>
  <c r="AE50" i="8" s="1"/>
  <c r="AC122" i="8"/>
  <c r="AE122" i="8" s="1"/>
  <c r="AC55" i="8"/>
  <c r="AE55" i="8" s="1"/>
  <c r="O47" i="8"/>
  <c r="S159" i="8" l="1"/>
  <c r="U159" i="8" s="1"/>
  <c r="S134" i="8"/>
  <c r="U134" i="8" s="1"/>
  <c r="S149" i="8"/>
  <c r="U149" i="8" s="1"/>
  <c r="Z165" i="8"/>
  <c r="S85" i="8"/>
  <c r="U85" i="8" s="1"/>
  <c r="S122" i="8"/>
  <c r="U122" i="8" s="1"/>
  <c r="Z81" i="8"/>
  <c r="S124" i="8"/>
  <c r="U124" i="8" s="1"/>
  <c r="Z94" i="8"/>
  <c r="Z128" i="8"/>
  <c r="Z171" i="8"/>
  <c r="S160" i="8"/>
  <c r="U160" i="8" s="1"/>
  <c r="S77" i="8"/>
  <c r="U77" i="8" s="1"/>
  <c r="S169" i="8"/>
  <c r="U169" i="8" s="1"/>
  <c r="Z103" i="8"/>
  <c r="Z155" i="8"/>
  <c r="S181" i="8"/>
  <c r="U181" i="8" s="1"/>
  <c r="S177" i="8"/>
  <c r="U177" i="8" s="1"/>
  <c r="S170" i="8"/>
  <c r="U170" i="8" s="1"/>
  <c r="S151" i="8"/>
  <c r="U151" i="8" s="1"/>
  <c r="Z60" i="8"/>
  <c r="Z182" i="8"/>
  <c r="S161" i="8"/>
  <c r="U161" i="8" s="1"/>
  <c r="Z153" i="8"/>
  <c r="S132" i="8"/>
  <c r="U132" i="8" s="1"/>
  <c r="Z70" i="8"/>
  <c r="Z47" i="8"/>
  <c r="S120" i="8"/>
  <c r="U120" i="8" s="1"/>
  <c r="S156" i="8"/>
  <c r="U156" i="8" s="1"/>
  <c r="Z57" i="8"/>
  <c r="Z95" i="8"/>
  <c r="Z147" i="8"/>
  <c r="S178" i="8"/>
  <c r="U178" i="8" s="1"/>
  <c r="S127" i="8"/>
  <c r="U127" i="8" s="1"/>
  <c r="Z150" i="8"/>
  <c r="S135" i="8"/>
  <c r="U135" i="8" s="1"/>
  <c r="S90" i="8"/>
  <c r="U90" i="8" s="1"/>
  <c r="S86" i="8"/>
  <c r="U86" i="8" s="1"/>
  <c r="Z173" i="8"/>
  <c r="Z145" i="8"/>
  <c r="Z129" i="8"/>
  <c r="S138" i="8"/>
  <c r="U138" i="8" s="1"/>
  <c r="Z154" i="8"/>
  <c r="Z162" i="8"/>
  <c r="S123" i="8"/>
  <c r="U123" i="8" s="1"/>
  <c r="Z175" i="8"/>
  <c r="S71" i="8"/>
  <c r="U71" i="8" s="1"/>
  <c r="S55" i="8"/>
  <c r="U55" i="8" s="1"/>
  <c r="Z84" i="8"/>
  <c r="S152" i="8"/>
  <c r="U152" i="8" s="1"/>
  <c r="S87" i="8"/>
  <c r="U87" i="8" s="1"/>
  <c r="S50" i="8"/>
  <c r="U50" i="8" s="1"/>
  <c r="Z64" i="8"/>
  <c r="S131" i="8"/>
  <c r="U131" i="8" s="1"/>
  <c r="S143" i="8"/>
  <c r="U143" i="8" s="1"/>
  <c r="Z164" i="8"/>
  <c r="S88" i="8"/>
  <c r="U88" i="8" s="1"/>
  <c r="S100" i="8"/>
  <c r="U100" i="8" s="1"/>
  <c r="Z61" i="8"/>
  <c r="Z148" i="8"/>
  <c r="S166" i="8"/>
  <c r="U166" i="8" s="1"/>
  <c r="Z101" i="8"/>
  <c r="Z76" i="8"/>
  <c r="Z157" i="8"/>
  <c r="S133" i="8"/>
  <c r="U133" i="8" s="1"/>
  <c r="Z141" i="8"/>
  <c r="Z176" i="8"/>
  <c r="Z121" i="8"/>
  <c r="S179" i="8"/>
  <c r="U179" i="8" s="1"/>
  <c r="Z146" i="8"/>
  <c r="Z125" i="8"/>
  <c r="S168" i="8"/>
  <c r="U168" i="8" s="1"/>
  <c r="Z137" i="8"/>
  <c r="S67" i="8"/>
  <c r="U67" i="8" s="1"/>
  <c r="S126" i="8"/>
  <c r="U126" i="8" s="1"/>
  <c r="Z167" i="8"/>
  <c r="S142" i="8"/>
  <c r="U142" i="8" s="1"/>
  <c r="S78" i="8"/>
  <c r="U78" i="8" s="1"/>
  <c r="S62" i="8"/>
  <c r="U62" i="8" s="1"/>
  <c r="S180" i="8"/>
  <c r="U180" i="8" s="1"/>
  <c r="Z174" i="8"/>
  <c r="S130" i="8"/>
  <c r="U130" i="8" s="1"/>
  <c r="Z52" i="8"/>
  <c r="Z75" i="8"/>
  <c r="S172" i="8"/>
  <c r="U172" i="8" s="1"/>
  <c r="S144" i="8"/>
  <c r="U144" i="8" s="1"/>
  <c r="Z140" i="8"/>
  <c r="Z59" i="8"/>
  <c r="S65" i="8"/>
  <c r="U65" i="8" s="1"/>
  <c r="Z109" i="8"/>
  <c r="Z56" i="8"/>
  <c r="Z163" i="8"/>
  <c r="Z139" i="8"/>
  <c r="S58" i="8"/>
  <c r="U58" i="8" s="1"/>
  <c r="Z158" i="8"/>
  <c r="Z68" i="8"/>
  <c r="S48" i="8"/>
  <c r="U48" i="8" s="1"/>
  <c r="Z91" i="8"/>
  <c r="S51" i="8"/>
  <c r="U51" i="8" s="1"/>
  <c r="Z89" i="8"/>
  <c r="Z54" i="8"/>
  <c r="S107" i="8"/>
  <c r="U107" i="8" s="1"/>
  <c r="S106" i="8"/>
  <c r="U106" i="8" s="1"/>
  <c r="S72" i="8"/>
  <c r="U72" i="8" s="1"/>
  <c r="S93" i="8"/>
  <c r="U93" i="8" s="1"/>
  <c r="Z98" i="8"/>
  <c r="Z74" i="8"/>
  <c r="S66" i="8"/>
  <c r="U66" i="8" s="1"/>
  <c r="Z79" i="8"/>
  <c r="S108" i="8"/>
  <c r="U108" i="8" s="1"/>
  <c r="S97" i="8"/>
  <c r="U97" i="8" s="1"/>
  <c r="S102" i="8"/>
  <c r="U102" i="8" s="1"/>
  <c r="Z80" i="8"/>
  <c r="Z105" i="8"/>
  <c r="Z69" i="8"/>
  <c r="Z73" i="8"/>
  <c r="S82" i="8"/>
  <c r="U82" i="8" s="1"/>
  <c r="S104" i="8"/>
  <c r="U104" i="8" s="1"/>
  <c r="Z99" i="8"/>
  <c r="S83" i="8"/>
  <c r="U83" i="8" s="1"/>
  <c r="Z92" i="8"/>
  <c r="Z63" i="8"/>
  <c r="Z96" i="8"/>
  <c r="S53" i="8"/>
  <c r="U53" i="8" s="1"/>
  <c r="AE79" i="8"/>
  <c r="AC92" i="8"/>
  <c r="AE92" i="8" s="1"/>
  <c r="AC89" i="8"/>
  <c r="AE89" i="8" s="1"/>
  <c r="U54" i="8"/>
  <c r="U136" i="8"/>
  <c r="U153" i="8"/>
  <c r="U73" i="8"/>
  <c r="U94" i="8"/>
  <c r="U182" i="8"/>
  <c r="U91" i="8"/>
  <c r="U154" i="8"/>
  <c r="F4" i="8"/>
  <c r="U146" i="8"/>
  <c r="U76" i="8"/>
  <c r="U164" i="8"/>
  <c r="U155" i="8"/>
  <c r="U89" i="8"/>
  <c r="V4" i="8"/>
  <c r="U101" i="8"/>
  <c r="U167" i="8"/>
  <c r="U128" i="8"/>
  <c r="U68" i="8"/>
  <c r="U174" i="8"/>
  <c r="U59" i="8"/>
  <c r="U63" i="8"/>
  <c r="U52" i="8"/>
  <c r="U175" i="8"/>
  <c r="U163" i="8"/>
  <c r="U69" i="8"/>
  <c r="U171" i="8"/>
  <c r="U148" i="8"/>
  <c r="U84" i="8"/>
  <c r="U56" i="8"/>
  <c r="U157" i="8"/>
  <c r="U111" i="8"/>
  <c r="U173" i="8"/>
  <c r="U95" i="8"/>
  <c r="U176" i="8"/>
  <c r="U81" i="8"/>
  <c r="U49" i="8"/>
  <c r="U99" i="8"/>
  <c r="U162" i="8"/>
  <c r="U92" i="8"/>
  <c r="U64" i="8"/>
  <c r="U79" i="8"/>
  <c r="U110" i="8"/>
  <c r="U129" i="8"/>
  <c r="U47" i="8"/>
  <c r="U141" i="8"/>
  <c r="U61" i="8"/>
  <c r="U74" i="8"/>
  <c r="U109" i="8"/>
  <c r="U57" i="8"/>
  <c r="U147" i="8"/>
  <c r="U80" i="8"/>
  <c r="U105" i="8"/>
  <c r="U96" i="8"/>
  <c r="U103" i="8"/>
  <c r="U125" i="8"/>
  <c r="U98" i="8"/>
  <c r="U60" i="8"/>
  <c r="U139" i="8"/>
  <c r="U121" i="8"/>
  <c r="U70" i="8"/>
  <c r="U145" i="8"/>
  <c r="U75" i="8"/>
  <c r="U165" i="8"/>
  <c r="U158" i="8"/>
  <c r="U137" i="8"/>
  <c r="U150" i="8"/>
  <c r="U140" i="8"/>
  <c r="V16" i="8"/>
  <c r="F5" i="8"/>
  <c r="AE183" i="8"/>
  <c r="Z7" i="8"/>
  <c r="AA7" i="8"/>
  <c r="AM54" i="8"/>
  <c r="D19" i="8"/>
  <c r="I15" i="8"/>
  <c r="Q4" i="6" s="1"/>
  <c r="X20" i="8"/>
  <c r="Y20" i="8" s="1"/>
  <c r="AE110" i="8" l="1"/>
  <c r="D18" i="8"/>
  <c r="D20" i="8" s="1"/>
  <c r="D21" i="8" s="1"/>
  <c r="W7" i="8"/>
  <c r="Y7" i="8" s="1"/>
  <c r="I14" i="8"/>
  <c r="P4" i="6" s="1"/>
  <c r="R4" i="6" s="1"/>
  <c r="AM53" i="8"/>
  <c r="AN59" i="8" s="1"/>
  <c r="AO59" i="8" s="1"/>
  <c r="AN60" i="8"/>
  <c r="AO60" i="8" s="1"/>
  <c r="K142" i="8"/>
  <c r="N142" i="8" s="1"/>
  <c r="P142" i="8" s="1"/>
  <c r="Q142" i="8" s="1"/>
  <c r="K144" i="8"/>
  <c r="N144" i="8" s="1"/>
  <c r="P144" i="8" s="1"/>
  <c r="Q144" i="8" s="1"/>
  <c r="K143" i="8"/>
  <c r="N143" i="8" s="1"/>
  <c r="P143" i="8" s="1"/>
  <c r="Q143" i="8" s="1"/>
  <c r="V5" i="8" a="1"/>
  <c r="V5" i="8" s="1"/>
  <c r="H4" i="8"/>
  <c r="F6" i="8"/>
  <c r="H5" i="8"/>
  <c r="H6" i="8"/>
  <c r="K162" i="8"/>
  <c r="K147" i="8"/>
  <c r="K151" i="8"/>
  <c r="K165" i="8"/>
  <c r="X165" i="8" s="1"/>
  <c r="K167" i="8"/>
  <c r="K90" i="8"/>
  <c r="K106" i="8"/>
  <c r="K99" i="8"/>
  <c r="K70" i="8"/>
  <c r="K85" i="8"/>
  <c r="X85" i="8" s="1"/>
  <c r="K170" i="8"/>
  <c r="X170" i="8" s="1"/>
  <c r="K155" i="8"/>
  <c r="K175" i="8"/>
  <c r="K173" i="8"/>
  <c r="K168" i="8"/>
  <c r="K104" i="8"/>
  <c r="K92" i="8"/>
  <c r="K91" i="8"/>
  <c r="K78" i="8"/>
  <c r="K88" i="8"/>
  <c r="K178" i="8"/>
  <c r="K163" i="8"/>
  <c r="K152" i="8"/>
  <c r="K181" i="8"/>
  <c r="K145" i="8"/>
  <c r="K80" i="8"/>
  <c r="X80" i="8" s="1"/>
  <c r="K89" i="8"/>
  <c r="K76" i="8"/>
  <c r="K83" i="8"/>
  <c r="X83" i="8" s="1"/>
  <c r="K103" i="8"/>
  <c r="X103" i="8" s="1"/>
  <c r="K148" i="8"/>
  <c r="K171" i="8"/>
  <c r="K177" i="8"/>
  <c r="K150" i="8"/>
  <c r="K74" i="8"/>
  <c r="K81" i="8"/>
  <c r="K101" i="8"/>
  <c r="K109" i="8"/>
  <c r="K100" i="8"/>
  <c r="X100" i="8" s="1"/>
  <c r="K172" i="8"/>
  <c r="K179" i="8"/>
  <c r="K176" i="8"/>
  <c r="K158" i="8"/>
  <c r="K79" i="8"/>
  <c r="K73" i="8"/>
  <c r="K107" i="8"/>
  <c r="X107" i="8" s="1"/>
  <c r="K75" i="8"/>
  <c r="K102" i="8"/>
  <c r="K169" i="8"/>
  <c r="K159" i="8"/>
  <c r="K156" i="8"/>
  <c r="K161" i="8"/>
  <c r="X161" i="8" s="1"/>
  <c r="K166" i="8"/>
  <c r="K105" i="8"/>
  <c r="K86" i="8"/>
  <c r="K98" i="8"/>
  <c r="K77" i="8"/>
  <c r="X77" i="8" s="1"/>
  <c r="K95" i="8"/>
  <c r="K146" i="8"/>
  <c r="X146" i="8" s="1"/>
  <c r="K160" i="8"/>
  <c r="K164" i="8"/>
  <c r="K149" i="8"/>
  <c r="K174" i="8"/>
  <c r="K108" i="8"/>
  <c r="K71" i="8"/>
  <c r="X71" i="8" s="1"/>
  <c r="K97" i="8"/>
  <c r="K82" i="8"/>
  <c r="K93" i="8"/>
  <c r="K154" i="8"/>
  <c r="K153" i="8"/>
  <c r="K180" i="8"/>
  <c r="K157" i="8"/>
  <c r="K182" i="8"/>
  <c r="K87" i="8"/>
  <c r="X87" i="8" s="1"/>
  <c r="K96" i="8"/>
  <c r="K94" i="8"/>
  <c r="X94" i="8" s="1"/>
  <c r="K72" i="8"/>
  <c r="K84" i="8"/>
  <c r="X84" i="8" s="1"/>
  <c r="K136" i="8"/>
  <c r="N136" i="8" s="1"/>
  <c r="P136" i="8" s="1"/>
  <c r="Q136" i="8" s="1"/>
  <c r="K140" i="8"/>
  <c r="K135" i="8"/>
  <c r="K58" i="8"/>
  <c r="N58" i="8" s="1"/>
  <c r="P58" i="8" s="1"/>
  <c r="Q58" i="8" s="1"/>
  <c r="K61" i="8"/>
  <c r="N61" i="8" s="1"/>
  <c r="P61" i="8" s="1"/>
  <c r="Q61" i="8" s="1"/>
  <c r="K66" i="8"/>
  <c r="N66" i="8" s="1"/>
  <c r="P66" i="8" s="1"/>
  <c r="Q66" i="8" s="1"/>
  <c r="K129" i="8"/>
  <c r="K123" i="8"/>
  <c r="K52" i="8"/>
  <c r="N52" i="8" s="1"/>
  <c r="P52" i="8" s="1"/>
  <c r="Q52" i="8" s="1"/>
  <c r="K51" i="8"/>
  <c r="K56" i="8"/>
  <c r="N56" i="8" s="1"/>
  <c r="P56" i="8" s="1"/>
  <c r="Q56" i="8" s="1"/>
  <c r="K121" i="8"/>
  <c r="N121" i="8" s="1"/>
  <c r="P121" i="8" s="1"/>
  <c r="Q121" i="8" s="1"/>
  <c r="K131" i="8"/>
  <c r="N131" i="8" s="1"/>
  <c r="P131" i="8" s="1"/>
  <c r="Q131" i="8" s="1"/>
  <c r="K69" i="8"/>
  <c r="N69" i="8" s="1"/>
  <c r="P69" i="8" s="1"/>
  <c r="Q69" i="8" s="1"/>
  <c r="K55" i="8"/>
  <c r="K126" i="8"/>
  <c r="K137" i="8"/>
  <c r="K139" i="8"/>
  <c r="K57" i="8"/>
  <c r="K65" i="8"/>
  <c r="N65" i="8" s="1"/>
  <c r="P65" i="8" s="1"/>
  <c r="Q65" i="8" s="1"/>
  <c r="K53" i="8"/>
  <c r="N53" i="8" s="1"/>
  <c r="P53" i="8" s="1"/>
  <c r="Q53" i="8" s="1"/>
  <c r="K134" i="8"/>
  <c r="N134" i="8" s="1"/>
  <c r="P134" i="8" s="1"/>
  <c r="Q134" i="8" s="1"/>
  <c r="K122" i="8"/>
  <c r="N122" i="8" s="1"/>
  <c r="P122" i="8" s="1"/>
  <c r="Q122" i="8" s="1"/>
  <c r="K132" i="8"/>
  <c r="K54" i="8"/>
  <c r="N54" i="8" s="1"/>
  <c r="P54" i="8" s="1"/>
  <c r="Q54" i="8" s="1"/>
  <c r="K50" i="8"/>
  <c r="K48" i="8"/>
  <c r="AB8" i="8"/>
  <c r="AB9" i="8" s="1"/>
  <c r="K127" i="8"/>
  <c r="K130" i="8"/>
  <c r="K125" i="8"/>
  <c r="K63" i="8"/>
  <c r="N63" i="8" s="1"/>
  <c r="P63" i="8" s="1"/>
  <c r="Q63" i="8" s="1"/>
  <c r="K59" i="8"/>
  <c r="N59" i="8" s="1"/>
  <c r="P59" i="8" s="1"/>
  <c r="Q59" i="8" s="1"/>
  <c r="K60" i="8"/>
  <c r="N60" i="8" s="1"/>
  <c r="P60" i="8" s="1"/>
  <c r="Q60" i="8" s="1"/>
  <c r="K120" i="8"/>
  <c r="K138" i="8"/>
  <c r="N138" i="8" s="1"/>
  <c r="P138" i="8" s="1"/>
  <c r="Q138" i="8" s="1"/>
  <c r="K133" i="8"/>
  <c r="K67" i="8"/>
  <c r="K49" i="8"/>
  <c r="K62" i="8"/>
  <c r="N62" i="8" s="1"/>
  <c r="P62" i="8" s="1"/>
  <c r="Q62" i="8" s="1"/>
  <c r="K128" i="8"/>
  <c r="K124" i="8"/>
  <c r="K141" i="8"/>
  <c r="K68" i="8"/>
  <c r="N68" i="8" s="1"/>
  <c r="P68" i="8" s="1"/>
  <c r="Q68" i="8" s="1"/>
  <c r="K64" i="8"/>
  <c r="K47" i="8"/>
  <c r="AM55" i="8" l="1"/>
  <c r="AM56" i="8" s="1"/>
  <c r="X142" i="8"/>
  <c r="AB142" i="8" s="1"/>
  <c r="AD142" i="8" s="1"/>
  <c r="AF142" i="8" s="1"/>
  <c r="AG142" i="8" s="1"/>
  <c r="AH142" i="8" s="1"/>
  <c r="AO61" i="8"/>
  <c r="X143" i="8"/>
  <c r="AB143" i="8" s="1"/>
  <c r="AD143" i="8" s="1"/>
  <c r="AF143" i="8" s="1"/>
  <c r="AG143" i="8" s="1"/>
  <c r="AH143" i="8" s="1"/>
  <c r="AI143" i="8" s="1"/>
  <c r="X144" i="8"/>
  <c r="AB144" i="8" s="1"/>
  <c r="AD144" i="8" s="1"/>
  <c r="AF144" i="8" s="1"/>
  <c r="AG144" i="8" s="1"/>
  <c r="AH144" i="8" s="1"/>
  <c r="AI144" i="8" s="1"/>
  <c r="K183" i="8"/>
  <c r="X52" i="8"/>
  <c r="AB52" i="8" s="1"/>
  <c r="AD52" i="8" s="1"/>
  <c r="AF52" i="8" s="1"/>
  <c r="AG52" i="8" s="1"/>
  <c r="AH52" i="8" s="1"/>
  <c r="AI52" i="8" s="1"/>
  <c r="X63" i="8"/>
  <c r="AB63" i="8" s="1"/>
  <c r="AD63" i="8" s="1"/>
  <c r="AF63" i="8" s="1"/>
  <c r="AG63" i="8" s="1"/>
  <c r="AH63" i="8" s="1"/>
  <c r="AI63" i="8" s="1"/>
  <c r="X54" i="8"/>
  <c r="AB54" i="8" s="1"/>
  <c r="AD54" i="8" s="1"/>
  <c r="AF54" i="8" s="1"/>
  <c r="AG54" i="8" s="1"/>
  <c r="AH54" i="8" s="1"/>
  <c r="AJ54" i="8" s="1"/>
  <c r="X132" i="8"/>
  <c r="AB132" i="8" s="1"/>
  <c r="AD132" i="8" s="1"/>
  <c r="AF132" i="8" s="1"/>
  <c r="AG132" i="8" s="1"/>
  <c r="AH132" i="8" s="1"/>
  <c r="N132" i="8"/>
  <c r="P132" i="8" s="1"/>
  <c r="Q132" i="8" s="1"/>
  <c r="X126" i="8"/>
  <c r="AB126" i="8" s="1"/>
  <c r="AD126" i="8" s="1"/>
  <c r="AF126" i="8" s="1"/>
  <c r="AG126" i="8" s="1"/>
  <c r="AH126" i="8" s="1"/>
  <c r="N126" i="8"/>
  <c r="P126" i="8" s="1"/>
  <c r="Q126" i="8" s="1"/>
  <c r="X123" i="8"/>
  <c r="AB123" i="8" s="1"/>
  <c r="AD123" i="8" s="1"/>
  <c r="AF123" i="8" s="1"/>
  <c r="AG123" i="8" s="1"/>
  <c r="AH123" i="8" s="1"/>
  <c r="N123" i="8"/>
  <c r="P123" i="8" s="1"/>
  <c r="Q123" i="8" s="1"/>
  <c r="X68" i="8"/>
  <c r="AB68" i="8" s="1"/>
  <c r="AD68" i="8" s="1"/>
  <c r="AF68" i="8" s="1"/>
  <c r="AG68" i="8" s="1"/>
  <c r="AH68" i="8" s="1"/>
  <c r="AB182" i="8"/>
  <c r="N182" i="8"/>
  <c r="P182" i="8" s="1"/>
  <c r="Q182" i="8" s="1"/>
  <c r="N71" i="8"/>
  <c r="P71" i="8" s="1"/>
  <c r="Q71" i="8" s="1"/>
  <c r="AB71" i="8"/>
  <c r="AB77" i="8"/>
  <c r="N77" i="8"/>
  <c r="P77" i="8" s="1"/>
  <c r="Q77" i="8" s="1"/>
  <c r="X169" i="8"/>
  <c r="AB169" i="8" s="1"/>
  <c r="N169" i="8"/>
  <c r="P169" i="8" s="1"/>
  <c r="Q169" i="8" s="1"/>
  <c r="X179" i="8"/>
  <c r="AB179" i="8"/>
  <c r="N179" i="8"/>
  <c r="P179" i="8" s="1"/>
  <c r="Q179" i="8" s="1"/>
  <c r="X177" i="8"/>
  <c r="AB177" i="8"/>
  <c r="N177" i="8"/>
  <c r="P177" i="8" s="1"/>
  <c r="Q177" i="8" s="1"/>
  <c r="X145" i="8"/>
  <c r="AB145" i="8" s="1"/>
  <c r="N145" i="8"/>
  <c r="P145" i="8" s="1"/>
  <c r="Q145" i="8" s="1"/>
  <c r="N92" i="8"/>
  <c r="P92" i="8" s="1"/>
  <c r="Q92" i="8" s="1"/>
  <c r="X70" i="8"/>
  <c r="AB70" i="8" s="1"/>
  <c r="N70" i="8"/>
  <c r="P70" i="8" s="1"/>
  <c r="Q70" i="8" s="1"/>
  <c r="X162" i="8"/>
  <c r="AB162" i="8" s="1"/>
  <c r="N162" i="8"/>
  <c r="P162" i="8" s="1"/>
  <c r="Q162" i="8" s="1"/>
  <c r="X56" i="8"/>
  <c r="AB56" i="8" s="1"/>
  <c r="AD56" i="8" s="1"/>
  <c r="AF56" i="8" s="1"/>
  <c r="AG56" i="8" s="1"/>
  <c r="AH56" i="8" s="1"/>
  <c r="X138" i="8"/>
  <c r="AB138" i="8" s="1"/>
  <c r="AD138" i="8" s="1"/>
  <c r="AF138" i="8" s="1"/>
  <c r="AG138" i="8" s="1"/>
  <c r="AH138" i="8" s="1"/>
  <c r="X61" i="8"/>
  <c r="AB61" i="8" s="1"/>
  <c r="AD61" i="8" s="1"/>
  <c r="AF61" i="8" s="1"/>
  <c r="AG61" i="8" s="1"/>
  <c r="AH61" i="8" s="1"/>
  <c r="X50" i="8"/>
  <c r="AB50" i="8" s="1"/>
  <c r="AD50" i="8" s="1"/>
  <c r="N50" i="8"/>
  <c r="P50" i="8" s="1"/>
  <c r="Q50" i="8" s="1"/>
  <c r="X49" i="8"/>
  <c r="AB49" i="8" s="1"/>
  <c r="AD49" i="8" s="1"/>
  <c r="AF49" i="8" s="1"/>
  <c r="AG49" i="8" s="1"/>
  <c r="AH49" i="8" s="1"/>
  <c r="N49" i="8"/>
  <c r="P49" i="8" s="1"/>
  <c r="Q49" i="8" s="1"/>
  <c r="N125" i="8"/>
  <c r="P125" i="8" s="1"/>
  <c r="Q125" i="8" s="1"/>
  <c r="X55" i="8"/>
  <c r="AB55" i="8" s="1"/>
  <c r="AD55" i="8" s="1"/>
  <c r="AF55" i="8" s="1"/>
  <c r="AG55" i="8" s="1"/>
  <c r="AH55" i="8" s="1"/>
  <c r="N55" i="8"/>
  <c r="P55" i="8" s="1"/>
  <c r="Q55" i="8" s="1"/>
  <c r="X129" i="8"/>
  <c r="AB129" i="8" s="1"/>
  <c r="AD129" i="8" s="1"/>
  <c r="AF129" i="8" s="1"/>
  <c r="AG129" i="8" s="1"/>
  <c r="AH129" i="8" s="1"/>
  <c r="N129" i="8"/>
  <c r="P129" i="8" s="1"/>
  <c r="Q129" i="8" s="1"/>
  <c r="X157" i="8"/>
  <c r="AB157" i="8" s="1"/>
  <c r="N157" i="8"/>
  <c r="P157" i="8" s="1"/>
  <c r="Q157" i="8" s="1"/>
  <c r="X108" i="8"/>
  <c r="N108" i="8"/>
  <c r="P108" i="8" s="1"/>
  <c r="Q108" i="8" s="1"/>
  <c r="AB108" i="8"/>
  <c r="AB98" i="8"/>
  <c r="N98" i="8"/>
  <c r="P98" i="8" s="1"/>
  <c r="Q98" i="8" s="1"/>
  <c r="X102" i="8"/>
  <c r="N102" i="8"/>
  <c r="P102" i="8" s="1"/>
  <c r="Q102" i="8" s="1"/>
  <c r="AB102" i="8"/>
  <c r="X172" i="8"/>
  <c r="N172" i="8"/>
  <c r="P172" i="8" s="1"/>
  <c r="Q172" i="8" s="1"/>
  <c r="AB172" i="8"/>
  <c r="X171" i="8"/>
  <c r="AB171" i="8"/>
  <c r="N171" i="8"/>
  <c r="P171" i="8" s="1"/>
  <c r="Q171" i="8" s="1"/>
  <c r="X181" i="8"/>
  <c r="N181" i="8"/>
  <c r="P181" i="8" s="1"/>
  <c r="Q181" i="8" s="1"/>
  <c r="AB181" i="8"/>
  <c r="X104" i="8"/>
  <c r="AB104" i="8"/>
  <c r="N104" i="8"/>
  <c r="P104" i="8" s="1"/>
  <c r="Q104" i="8" s="1"/>
  <c r="N99" i="8"/>
  <c r="P99" i="8" s="1"/>
  <c r="Q99" i="8" s="1"/>
  <c r="AB99" i="8"/>
  <c r="X98" i="8"/>
  <c r="N96" i="8"/>
  <c r="P96" i="8" s="1"/>
  <c r="Q96" i="8" s="1"/>
  <c r="X47" i="8"/>
  <c r="N47" i="8"/>
  <c r="X67" i="8"/>
  <c r="AB67" i="8" s="1"/>
  <c r="AD67" i="8" s="1"/>
  <c r="AF67" i="8" s="1"/>
  <c r="AG67" i="8" s="1"/>
  <c r="AH67" i="8" s="1"/>
  <c r="N67" i="8"/>
  <c r="P67" i="8" s="1"/>
  <c r="Q67" i="8" s="1"/>
  <c r="X130" i="8"/>
  <c r="AB130" i="8" s="1"/>
  <c r="AD130" i="8" s="1"/>
  <c r="AF130" i="8" s="1"/>
  <c r="AG130" i="8" s="1"/>
  <c r="AH130" i="8" s="1"/>
  <c r="N130" i="8"/>
  <c r="P130" i="8" s="1"/>
  <c r="Q130" i="8" s="1"/>
  <c r="X62" i="8"/>
  <c r="AB62" i="8" s="1"/>
  <c r="AD62" i="8" s="1"/>
  <c r="AF62" i="8" s="1"/>
  <c r="AG62" i="8" s="1"/>
  <c r="AH62" i="8" s="1"/>
  <c r="X180" i="8"/>
  <c r="N180" i="8"/>
  <c r="P180" i="8" s="1"/>
  <c r="Q180" i="8" s="1"/>
  <c r="AB180" i="8"/>
  <c r="X174" i="8"/>
  <c r="AB174" i="8"/>
  <c r="N174" i="8"/>
  <c r="P174" i="8" s="1"/>
  <c r="Q174" i="8" s="1"/>
  <c r="X86" i="8"/>
  <c r="AB86" i="8" s="1"/>
  <c r="N86" i="8"/>
  <c r="P86" i="8" s="1"/>
  <c r="Q86" i="8" s="1"/>
  <c r="X75" i="8"/>
  <c r="N75" i="8"/>
  <c r="P75" i="8" s="1"/>
  <c r="Q75" i="8" s="1"/>
  <c r="AB75" i="8"/>
  <c r="AB100" i="8"/>
  <c r="N100" i="8"/>
  <c r="P100" i="8" s="1"/>
  <c r="Q100" i="8" s="1"/>
  <c r="X148" i="8"/>
  <c r="AB148" i="8" s="1"/>
  <c r="N148" i="8"/>
  <c r="P148" i="8" s="1"/>
  <c r="Q148" i="8" s="1"/>
  <c r="N152" i="8"/>
  <c r="P152" i="8" s="1"/>
  <c r="Q152" i="8" s="1"/>
  <c r="X168" i="8"/>
  <c r="AB168" i="8" s="1"/>
  <c r="N168" i="8"/>
  <c r="P168" i="8" s="1"/>
  <c r="Q168" i="8" s="1"/>
  <c r="X106" i="8"/>
  <c r="AB106" i="8"/>
  <c r="N106" i="8"/>
  <c r="P106" i="8" s="1"/>
  <c r="Q106" i="8" s="1"/>
  <c r="X53" i="8"/>
  <c r="AB53" i="8" s="1"/>
  <c r="AD53" i="8" s="1"/>
  <c r="AF53" i="8" s="1"/>
  <c r="AG53" i="8" s="1"/>
  <c r="AH53" i="8" s="1"/>
  <c r="X136" i="8"/>
  <c r="AB136" i="8" s="1"/>
  <c r="AD136" i="8" s="1"/>
  <c r="AF136" i="8" s="1"/>
  <c r="AG136" i="8" s="1"/>
  <c r="AH136" i="8" s="1"/>
  <c r="X140" i="8"/>
  <c r="AB140" i="8" s="1"/>
  <c r="AD140" i="8" s="1"/>
  <c r="AF140" i="8" s="1"/>
  <c r="AG140" i="8" s="1"/>
  <c r="AH140" i="8" s="1"/>
  <c r="N140" i="8"/>
  <c r="P140" i="8" s="1"/>
  <c r="Q140" i="8" s="1"/>
  <c r="X64" i="8"/>
  <c r="AB64" i="8" s="1"/>
  <c r="AD64" i="8" s="1"/>
  <c r="AF64" i="8" s="1"/>
  <c r="AG64" i="8" s="1"/>
  <c r="AH64" i="8" s="1"/>
  <c r="N64" i="8"/>
  <c r="P64" i="8" s="1"/>
  <c r="Q64" i="8" s="1"/>
  <c r="X133" i="8"/>
  <c r="AB133" i="8" s="1"/>
  <c r="AD133" i="8" s="1"/>
  <c r="AF133" i="8" s="1"/>
  <c r="AG133" i="8" s="1"/>
  <c r="AH133" i="8" s="1"/>
  <c r="N133" i="8"/>
  <c r="P133" i="8" s="1"/>
  <c r="Q133" i="8" s="1"/>
  <c r="X127" i="8"/>
  <c r="AB127" i="8" s="1"/>
  <c r="AD127" i="8" s="1"/>
  <c r="AF127" i="8" s="1"/>
  <c r="AG127" i="8" s="1"/>
  <c r="AH127" i="8" s="1"/>
  <c r="N127" i="8"/>
  <c r="P127" i="8" s="1"/>
  <c r="Q127" i="8" s="1"/>
  <c r="X134" i="8"/>
  <c r="AB134" i="8" s="1"/>
  <c r="AD134" i="8" s="1"/>
  <c r="AF134" i="8" s="1"/>
  <c r="AG134" i="8" s="1"/>
  <c r="AH134" i="8" s="1"/>
  <c r="X122" i="8"/>
  <c r="AB122" i="8" s="1"/>
  <c r="AD122" i="8" s="1"/>
  <c r="AF122" i="8" s="1"/>
  <c r="AG122" i="8" s="1"/>
  <c r="AH122" i="8" s="1"/>
  <c r="N84" i="8"/>
  <c r="P84" i="8" s="1"/>
  <c r="Q84" i="8" s="1"/>
  <c r="AB84" i="8"/>
  <c r="N153" i="8"/>
  <c r="P153" i="8" s="1"/>
  <c r="Q153" i="8" s="1"/>
  <c r="N149" i="8"/>
  <c r="P149" i="8" s="1"/>
  <c r="Q149" i="8" s="1"/>
  <c r="X105" i="8"/>
  <c r="AB105" i="8"/>
  <c r="N105" i="8"/>
  <c r="P105" i="8" s="1"/>
  <c r="Q105" i="8" s="1"/>
  <c r="AB107" i="8"/>
  <c r="N107" i="8"/>
  <c r="P107" i="8" s="1"/>
  <c r="Q107" i="8" s="1"/>
  <c r="X109" i="8"/>
  <c r="N109" i="8"/>
  <c r="P109" i="8" s="1"/>
  <c r="Q109" i="8" s="1"/>
  <c r="AB109" i="8"/>
  <c r="AB103" i="8"/>
  <c r="N103" i="8"/>
  <c r="P103" i="8" s="1"/>
  <c r="Q103" i="8" s="1"/>
  <c r="X163" i="8"/>
  <c r="AB163" i="8" s="1"/>
  <c r="N163" i="8"/>
  <c r="P163" i="8" s="1"/>
  <c r="Q163" i="8" s="1"/>
  <c r="X173" i="8"/>
  <c r="N173" i="8"/>
  <c r="P173" i="8" s="1"/>
  <c r="Q173" i="8" s="1"/>
  <c r="AB173" i="8"/>
  <c r="X90" i="8"/>
  <c r="AB90" i="8" s="1"/>
  <c r="N90" i="8"/>
  <c r="P90" i="8" s="1"/>
  <c r="Q90" i="8" s="1"/>
  <c r="X125" i="8"/>
  <c r="AB125" i="8" s="1"/>
  <c r="AD125" i="8" s="1"/>
  <c r="AF125" i="8" s="1"/>
  <c r="AG125" i="8" s="1"/>
  <c r="AH125" i="8" s="1"/>
  <c r="X153" i="8"/>
  <c r="AB153" i="8" s="1"/>
  <c r="X66" i="8"/>
  <c r="AB66" i="8" s="1"/>
  <c r="AD66" i="8" s="1"/>
  <c r="AF66" i="8" s="1"/>
  <c r="AG66" i="8" s="1"/>
  <c r="AH66" i="8" s="1"/>
  <c r="X139" i="8"/>
  <c r="AB139" i="8" s="1"/>
  <c r="AD139" i="8" s="1"/>
  <c r="AF139" i="8" s="1"/>
  <c r="AG139" i="8" s="1"/>
  <c r="AH139" i="8" s="1"/>
  <c r="N139" i="8"/>
  <c r="P139" i="8" s="1"/>
  <c r="Q139" i="8" s="1"/>
  <c r="X121" i="8"/>
  <c r="AB121" i="8" s="1"/>
  <c r="AD121" i="8" s="1"/>
  <c r="AF121" i="8" s="1"/>
  <c r="AG121" i="8" s="1"/>
  <c r="AH121" i="8" s="1"/>
  <c r="X72" i="8"/>
  <c r="AB72" i="8" s="1"/>
  <c r="N72" i="8"/>
  <c r="P72" i="8" s="1"/>
  <c r="Q72" i="8" s="1"/>
  <c r="X154" i="8"/>
  <c r="AB154" i="8" s="1"/>
  <c r="N154" i="8"/>
  <c r="P154" i="8" s="1"/>
  <c r="Q154" i="8" s="1"/>
  <c r="X164" i="8"/>
  <c r="AB164" i="8" s="1"/>
  <c r="N164" i="8"/>
  <c r="P164" i="8" s="1"/>
  <c r="Q164" i="8" s="1"/>
  <c r="N166" i="8"/>
  <c r="P166" i="8" s="1"/>
  <c r="Q166" i="8" s="1"/>
  <c r="X73" i="8"/>
  <c r="AB73" i="8" s="1"/>
  <c r="N73" i="8"/>
  <c r="P73" i="8" s="1"/>
  <c r="Q73" i="8" s="1"/>
  <c r="X101" i="8"/>
  <c r="N101" i="8"/>
  <c r="P101" i="8" s="1"/>
  <c r="Q101" i="8" s="1"/>
  <c r="AB101" i="8"/>
  <c r="AB83" i="8"/>
  <c r="N83" i="8"/>
  <c r="P83" i="8" s="1"/>
  <c r="Q83" i="8" s="1"/>
  <c r="X178" i="8"/>
  <c r="AB178" i="8"/>
  <c r="N178" i="8"/>
  <c r="P178" i="8" s="1"/>
  <c r="Q178" i="8" s="1"/>
  <c r="X175" i="8"/>
  <c r="N175" i="8"/>
  <c r="P175" i="8" s="1"/>
  <c r="Q175" i="8" s="1"/>
  <c r="AB175" i="8"/>
  <c r="N167" i="8"/>
  <c r="P167" i="8" s="1"/>
  <c r="Q167" i="8" s="1"/>
  <c r="X60" i="8"/>
  <c r="AB60" i="8" s="1"/>
  <c r="AD60" i="8" s="1"/>
  <c r="AF60" i="8" s="1"/>
  <c r="AG60" i="8" s="1"/>
  <c r="AH60" i="8" s="1"/>
  <c r="X166" i="8"/>
  <c r="AB166" i="8" s="1"/>
  <c r="X182" i="8"/>
  <c r="X124" i="8"/>
  <c r="AB124" i="8" s="1"/>
  <c r="AD124" i="8" s="1"/>
  <c r="AF124" i="8" s="1"/>
  <c r="AG124" i="8" s="1"/>
  <c r="AH124" i="8" s="1"/>
  <c r="N124" i="8"/>
  <c r="P124" i="8" s="1"/>
  <c r="Q124" i="8" s="1"/>
  <c r="X51" i="8"/>
  <c r="AB51" i="8" s="1"/>
  <c r="AD51" i="8" s="1"/>
  <c r="AF51" i="8" s="1"/>
  <c r="AG51" i="8" s="1"/>
  <c r="AH51" i="8" s="1"/>
  <c r="N51" i="8"/>
  <c r="P51" i="8" s="1"/>
  <c r="Q51" i="8" s="1"/>
  <c r="X141" i="8"/>
  <c r="AB141" i="8" s="1"/>
  <c r="AD141" i="8" s="1"/>
  <c r="AF141" i="8" s="1"/>
  <c r="AG141" i="8" s="1"/>
  <c r="AH141" i="8" s="1"/>
  <c r="N141" i="8"/>
  <c r="P141" i="8" s="1"/>
  <c r="Q141" i="8" s="1"/>
  <c r="X120" i="8"/>
  <c r="AB120" i="8" s="1"/>
  <c r="AD120" i="8" s="1"/>
  <c r="AF120" i="8" s="1"/>
  <c r="AG120" i="8" s="1"/>
  <c r="AH120" i="8" s="1"/>
  <c r="N120" i="8"/>
  <c r="P120" i="8" s="1"/>
  <c r="Q120" i="8" s="1"/>
  <c r="X48" i="8"/>
  <c r="AB48" i="8" s="1"/>
  <c r="AD48" i="8" s="1"/>
  <c r="AF48" i="8" s="1"/>
  <c r="AG48" i="8" s="1"/>
  <c r="AH48" i="8" s="1"/>
  <c r="N48" i="8"/>
  <c r="P48" i="8" s="1"/>
  <c r="Q48" i="8" s="1"/>
  <c r="X57" i="8"/>
  <c r="AB57" i="8" s="1"/>
  <c r="AD57" i="8" s="1"/>
  <c r="AF57" i="8" s="1"/>
  <c r="AG57" i="8" s="1"/>
  <c r="AH57" i="8" s="1"/>
  <c r="N57" i="8"/>
  <c r="P57" i="8" s="1"/>
  <c r="Q57" i="8" s="1"/>
  <c r="X135" i="8"/>
  <c r="AB135" i="8" s="1"/>
  <c r="AD135" i="8" s="1"/>
  <c r="AF135" i="8" s="1"/>
  <c r="AG135" i="8" s="1"/>
  <c r="AH135" i="8" s="1"/>
  <c r="N135" i="8"/>
  <c r="P135" i="8" s="1"/>
  <c r="Q135" i="8" s="1"/>
  <c r="N94" i="8"/>
  <c r="P94" i="8" s="1"/>
  <c r="Q94" i="8" s="1"/>
  <c r="AB94" i="8"/>
  <c r="X93" i="8"/>
  <c r="AB93" i="8" s="1"/>
  <c r="N93" i="8"/>
  <c r="P93" i="8" s="1"/>
  <c r="Q93" i="8" s="1"/>
  <c r="X160" i="8"/>
  <c r="AB160" i="8" s="1"/>
  <c r="N160" i="8"/>
  <c r="P160" i="8" s="1"/>
  <c r="Q160" i="8" s="1"/>
  <c r="AB161" i="8"/>
  <c r="N161" i="8"/>
  <c r="P161" i="8" s="1"/>
  <c r="Q161" i="8" s="1"/>
  <c r="X79" i="8"/>
  <c r="AB79" i="8" s="1"/>
  <c r="N79" i="8"/>
  <c r="P79" i="8" s="1"/>
  <c r="Q79" i="8" s="1"/>
  <c r="X81" i="8"/>
  <c r="AB81" i="8" s="1"/>
  <c r="N81" i="8"/>
  <c r="P81" i="8" s="1"/>
  <c r="Q81" i="8" s="1"/>
  <c r="X76" i="8"/>
  <c r="AB76" i="8" s="1"/>
  <c r="N76" i="8"/>
  <c r="P76" i="8" s="1"/>
  <c r="Q76" i="8" s="1"/>
  <c r="X88" i="8"/>
  <c r="AB88" i="8" s="1"/>
  <c r="N88" i="8"/>
  <c r="P88" i="8" s="1"/>
  <c r="Q88" i="8" s="1"/>
  <c r="N155" i="8"/>
  <c r="P155" i="8" s="1"/>
  <c r="Q155" i="8" s="1"/>
  <c r="AB165" i="8"/>
  <c r="N165" i="8"/>
  <c r="P165" i="8" s="1"/>
  <c r="Q165" i="8" s="1"/>
  <c r="X155" i="8"/>
  <c r="AB155" i="8" s="1"/>
  <c r="X69" i="8"/>
  <c r="AB69" i="8" s="1"/>
  <c r="AD69" i="8" s="1"/>
  <c r="AF69" i="8" s="1"/>
  <c r="AG69" i="8" s="1"/>
  <c r="AH69" i="8" s="1"/>
  <c r="X152" i="8"/>
  <c r="AB152" i="8" s="1"/>
  <c r="X92" i="8"/>
  <c r="AB92" i="8" s="1"/>
  <c r="AB146" i="8"/>
  <c r="N146" i="8"/>
  <c r="P146" i="8" s="1"/>
  <c r="Q146" i="8" s="1"/>
  <c r="X156" i="8"/>
  <c r="AB156" i="8" s="1"/>
  <c r="N156" i="8"/>
  <c r="P156" i="8" s="1"/>
  <c r="Q156" i="8" s="1"/>
  <c r="X158" i="8"/>
  <c r="AB158" i="8" s="1"/>
  <c r="N158" i="8"/>
  <c r="P158" i="8" s="1"/>
  <c r="Q158" i="8" s="1"/>
  <c r="N74" i="8"/>
  <c r="P74" i="8" s="1"/>
  <c r="Q74" i="8" s="1"/>
  <c r="X89" i="8"/>
  <c r="AB89" i="8" s="1"/>
  <c r="N89" i="8"/>
  <c r="P89" i="8" s="1"/>
  <c r="Q89" i="8" s="1"/>
  <c r="X78" i="8"/>
  <c r="AB78" i="8" s="1"/>
  <c r="N78" i="8"/>
  <c r="P78" i="8" s="1"/>
  <c r="Q78" i="8" s="1"/>
  <c r="AB170" i="8"/>
  <c r="N170" i="8"/>
  <c r="P170" i="8" s="1"/>
  <c r="Q170" i="8" s="1"/>
  <c r="X151" i="8"/>
  <c r="AB151" i="8" s="1"/>
  <c r="N151" i="8"/>
  <c r="P151" i="8" s="1"/>
  <c r="Q151" i="8" s="1"/>
  <c r="X167" i="8"/>
  <c r="AB167" i="8" s="1"/>
  <c r="X131" i="8"/>
  <c r="AB131" i="8" s="1"/>
  <c r="AD131" i="8" s="1"/>
  <c r="AF131" i="8" s="1"/>
  <c r="AG131" i="8" s="1"/>
  <c r="AH131" i="8" s="1"/>
  <c r="X74" i="8"/>
  <c r="AB74" i="8" s="1"/>
  <c r="X82" i="8"/>
  <c r="AB82" i="8" s="1"/>
  <c r="N82" i="8"/>
  <c r="P82" i="8" s="1"/>
  <c r="Q82" i="8" s="1"/>
  <c r="X128" i="8"/>
  <c r="AB128" i="8" s="1"/>
  <c r="AD128" i="8" s="1"/>
  <c r="AF128" i="8" s="1"/>
  <c r="AG128" i="8" s="1"/>
  <c r="AH128" i="8" s="1"/>
  <c r="N128" i="8"/>
  <c r="P128" i="8" s="1"/>
  <c r="Q128" i="8" s="1"/>
  <c r="X137" i="8"/>
  <c r="AB137" i="8" s="1"/>
  <c r="AD137" i="8" s="1"/>
  <c r="AF137" i="8" s="1"/>
  <c r="AG137" i="8" s="1"/>
  <c r="AH137" i="8" s="1"/>
  <c r="N137" i="8"/>
  <c r="P137" i="8" s="1"/>
  <c r="Q137" i="8" s="1"/>
  <c r="X65" i="8"/>
  <c r="AB65" i="8" s="1"/>
  <c r="AD65" i="8" s="1"/>
  <c r="AF65" i="8" s="1"/>
  <c r="AG65" i="8" s="1"/>
  <c r="AH65" i="8" s="1"/>
  <c r="X99" i="8"/>
  <c r="N87" i="8"/>
  <c r="P87" i="8" s="1"/>
  <c r="Q87" i="8" s="1"/>
  <c r="AB87" i="8"/>
  <c r="X97" i="8"/>
  <c r="AB97" i="8" s="1"/>
  <c r="N97" i="8"/>
  <c r="P97" i="8" s="1"/>
  <c r="Q97" i="8" s="1"/>
  <c r="X95" i="8"/>
  <c r="AB95" i="8" s="1"/>
  <c r="N95" i="8"/>
  <c r="X159" i="8"/>
  <c r="AB159" i="8" s="1"/>
  <c r="N159" i="8"/>
  <c r="P159" i="8" s="1"/>
  <c r="Q159" i="8" s="1"/>
  <c r="X176" i="8"/>
  <c r="N176" i="8"/>
  <c r="P176" i="8" s="1"/>
  <c r="Q176" i="8" s="1"/>
  <c r="AB176" i="8"/>
  <c r="X150" i="8"/>
  <c r="AB150" i="8" s="1"/>
  <c r="N150" i="8"/>
  <c r="P150" i="8" s="1"/>
  <c r="Q150" i="8" s="1"/>
  <c r="N80" i="8"/>
  <c r="P80" i="8" s="1"/>
  <c r="Q80" i="8" s="1"/>
  <c r="AB80" i="8"/>
  <c r="X91" i="8"/>
  <c r="AB91" i="8" s="1"/>
  <c r="N91" i="8"/>
  <c r="P91" i="8" s="1"/>
  <c r="Q91" i="8" s="1"/>
  <c r="AB85" i="8"/>
  <c r="N85" i="8"/>
  <c r="P85" i="8" s="1"/>
  <c r="Q85" i="8" s="1"/>
  <c r="X147" i="8"/>
  <c r="AB147" i="8" s="1"/>
  <c r="N147" i="8"/>
  <c r="P147" i="8" s="1"/>
  <c r="Q147" i="8" s="1"/>
  <c r="X59" i="8"/>
  <c r="AB59" i="8" s="1"/>
  <c r="AD59" i="8" s="1"/>
  <c r="AF59" i="8" s="1"/>
  <c r="AG59" i="8" s="1"/>
  <c r="AH59" i="8" s="1"/>
  <c r="X58" i="8"/>
  <c r="AB58" i="8" s="1"/>
  <c r="AD58" i="8" s="1"/>
  <c r="AF58" i="8" s="1"/>
  <c r="AG58" i="8" s="1"/>
  <c r="AH58" i="8" s="1"/>
  <c r="X149" i="8"/>
  <c r="AB149" i="8" s="1"/>
  <c r="X96" i="8"/>
  <c r="AB96" i="8" s="1"/>
  <c r="AJ144" i="8" l="1"/>
  <c r="AJ143" i="8"/>
  <c r="AI142" i="8"/>
  <c r="AJ142" i="8"/>
  <c r="AI54" i="8"/>
  <c r="V8" i="8"/>
  <c r="V21" i="8"/>
  <c r="AJ52" i="8"/>
  <c r="AJ63" i="8"/>
  <c r="AI125" i="8"/>
  <c r="AJ125" i="8"/>
  <c r="AJ135" i="8"/>
  <c r="AI135" i="8"/>
  <c r="AI120" i="8"/>
  <c r="AJ120" i="8"/>
  <c r="AJ64" i="8"/>
  <c r="AI64" i="8"/>
  <c r="AI128" i="8"/>
  <c r="AJ128" i="8"/>
  <c r="AI67" i="8"/>
  <c r="AJ67" i="8"/>
  <c r="AD76" i="8"/>
  <c r="AF76" i="8" s="1"/>
  <c r="AG76" i="8" s="1"/>
  <c r="AH76" i="8" s="1"/>
  <c r="AD94" i="8"/>
  <c r="AF94" i="8" s="1"/>
  <c r="AG94" i="8" s="1"/>
  <c r="AH94" i="8" s="1"/>
  <c r="AI141" i="8"/>
  <c r="AJ141" i="8"/>
  <c r="AD154" i="8"/>
  <c r="AF154" i="8" s="1"/>
  <c r="AG154" i="8" s="1"/>
  <c r="AH154" i="8" s="1"/>
  <c r="AI139" i="8"/>
  <c r="AJ139" i="8"/>
  <c r="AD103" i="8"/>
  <c r="AF103" i="8"/>
  <c r="AG103" i="8" s="1"/>
  <c r="AH103" i="8" s="1"/>
  <c r="AI134" i="8"/>
  <c r="AJ134" i="8"/>
  <c r="AF98" i="8"/>
  <c r="AG98" i="8" s="1"/>
  <c r="AH98" i="8" s="1"/>
  <c r="AD98" i="8"/>
  <c r="AJ138" i="8"/>
  <c r="AI138" i="8"/>
  <c r="AD71" i="8"/>
  <c r="AF71" i="8" s="1"/>
  <c r="AG71" i="8" s="1"/>
  <c r="AH71" i="8" s="1"/>
  <c r="AJ126" i="8"/>
  <c r="AI126" i="8"/>
  <c r="AD95" i="8"/>
  <c r="AF95" i="8" s="1"/>
  <c r="AG95" i="8" s="1"/>
  <c r="AH95" i="8" s="1"/>
  <c r="AD82" i="8"/>
  <c r="AF82" i="8" s="1"/>
  <c r="AG82" i="8" s="1"/>
  <c r="AH82" i="8" s="1"/>
  <c r="AD165" i="8"/>
  <c r="AF165" i="8" s="1"/>
  <c r="AG165" i="8" s="1"/>
  <c r="AH165" i="8" s="1"/>
  <c r="AD161" i="8"/>
  <c r="AF161" i="8" s="1"/>
  <c r="AG161" i="8" s="1"/>
  <c r="AH161" i="8" s="1"/>
  <c r="AI48" i="8"/>
  <c r="AJ48" i="8"/>
  <c r="AF178" i="8"/>
  <c r="AG178" i="8" s="1"/>
  <c r="AH178" i="8" s="1"/>
  <c r="AD178" i="8"/>
  <c r="AD73" i="8"/>
  <c r="AF73" i="8" s="1"/>
  <c r="AG73" i="8" s="1"/>
  <c r="AH73" i="8" s="1"/>
  <c r="AF173" i="8"/>
  <c r="AG173" i="8" s="1"/>
  <c r="AH173" i="8" s="1"/>
  <c r="AD173" i="8"/>
  <c r="AD109" i="8"/>
  <c r="AF109" i="8"/>
  <c r="AG109" i="8" s="1"/>
  <c r="AH109" i="8" s="1"/>
  <c r="AD149" i="8"/>
  <c r="AF149" i="8" s="1"/>
  <c r="AG149" i="8" s="1"/>
  <c r="AH149" i="8" s="1"/>
  <c r="AJ127" i="8"/>
  <c r="AI127" i="8"/>
  <c r="AI130" i="8"/>
  <c r="AJ130" i="8"/>
  <c r="AD104" i="8"/>
  <c r="AF104" i="8"/>
  <c r="AG104" i="8" s="1"/>
  <c r="AH104" i="8" s="1"/>
  <c r="AF172" i="8"/>
  <c r="AG172" i="8" s="1"/>
  <c r="AH172" i="8" s="1"/>
  <c r="AD172" i="8"/>
  <c r="AF108" i="8"/>
  <c r="AG108" i="8" s="1"/>
  <c r="AH108" i="8" s="1"/>
  <c r="AD108" i="8"/>
  <c r="AJ129" i="8"/>
  <c r="AI129" i="8"/>
  <c r="AI56" i="8"/>
  <c r="AJ56" i="8"/>
  <c r="AD92" i="8"/>
  <c r="AF92" i="8"/>
  <c r="AG92" i="8" s="1"/>
  <c r="AH92" i="8" s="1"/>
  <c r="AF179" i="8"/>
  <c r="AG179" i="8" s="1"/>
  <c r="AH179" i="8" s="1"/>
  <c r="AD179" i="8"/>
  <c r="AD85" i="8"/>
  <c r="AF85" i="8" s="1"/>
  <c r="AG85" i="8" s="1"/>
  <c r="AH85" i="8" s="1"/>
  <c r="AI65" i="8"/>
  <c r="AJ65" i="8"/>
  <c r="AD74" i="8"/>
  <c r="AF74" i="8" s="1"/>
  <c r="AG74" i="8" s="1"/>
  <c r="AH74" i="8" s="1"/>
  <c r="AD155" i="8"/>
  <c r="AF155" i="8" s="1"/>
  <c r="AG155" i="8" s="1"/>
  <c r="AH155" i="8" s="1"/>
  <c r="AD160" i="8"/>
  <c r="AF160" i="8" s="1"/>
  <c r="AG160" i="8" s="1"/>
  <c r="AH160" i="8" s="1"/>
  <c r="AI51" i="8"/>
  <c r="AJ51" i="8"/>
  <c r="AJ60" i="8"/>
  <c r="AI60" i="8"/>
  <c r="AI140" i="8"/>
  <c r="AJ140" i="8"/>
  <c r="AD168" i="8"/>
  <c r="AF168" i="8" s="1"/>
  <c r="AG168" i="8" s="1"/>
  <c r="AH168" i="8" s="1"/>
  <c r="AD100" i="8"/>
  <c r="AF100" i="8"/>
  <c r="AG100" i="8" s="1"/>
  <c r="AH100" i="8" s="1"/>
  <c r="AD174" i="8"/>
  <c r="AF174" i="8"/>
  <c r="AG174" i="8" s="1"/>
  <c r="AH174" i="8" s="1"/>
  <c r="AD96" i="8"/>
  <c r="AF96" i="8" s="1"/>
  <c r="AG96" i="8" s="1"/>
  <c r="AH96" i="8" s="1"/>
  <c r="AI49" i="8"/>
  <c r="AJ49" i="8"/>
  <c r="W30" i="8" s="1"/>
  <c r="AD89" i="8"/>
  <c r="AF89" i="8" s="1"/>
  <c r="AG89" i="8" s="1"/>
  <c r="AH89" i="8" s="1"/>
  <c r="P95" i="8"/>
  <c r="Q95" i="8" s="1"/>
  <c r="AF176" i="8"/>
  <c r="AG176" i="8" s="1"/>
  <c r="AH176" i="8" s="1"/>
  <c r="AD176" i="8"/>
  <c r="AD170" i="8"/>
  <c r="AF170" i="8" s="1"/>
  <c r="AG170" i="8" s="1"/>
  <c r="AH170" i="8" s="1"/>
  <c r="AD146" i="8"/>
  <c r="AF146" i="8" s="1"/>
  <c r="AG146" i="8" s="1"/>
  <c r="AH146" i="8" s="1"/>
  <c r="AD81" i="8"/>
  <c r="AF81" i="8" s="1"/>
  <c r="AG81" i="8" s="1"/>
  <c r="AH81" i="8" s="1"/>
  <c r="AJ66" i="8"/>
  <c r="AI66" i="8"/>
  <c r="AD75" i="8"/>
  <c r="AF75" i="8" s="1"/>
  <c r="AG75" i="8" s="1"/>
  <c r="AH75" i="8" s="1"/>
  <c r="AF181" i="8"/>
  <c r="AG181" i="8" s="1"/>
  <c r="AH181" i="8" s="1"/>
  <c r="AD181" i="8"/>
  <c r="AD162" i="8"/>
  <c r="AF162" i="8" s="1"/>
  <c r="AG162" i="8" s="1"/>
  <c r="AH162" i="8" s="1"/>
  <c r="AD145" i="8"/>
  <c r="AF145" i="8" s="1"/>
  <c r="AG145" i="8" s="1"/>
  <c r="AH145" i="8" s="1"/>
  <c r="AF182" i="8"/>
  <c r="AG182" i="8" s="1"/>
  <c r="AH182" i="8" s="1"/>
  <c r="AD182" i="8"/>
  <c r="AI58" i="8"/>
  <c r="AJ58" i="8"/>
  <c r="AD91" i="8"/>
  <c r="AF91" i="8" s="1"/>
  <c r="AG91" i="8" s="1"/>
  <c r="AH91" i="8" s="1"/>
  <c r="AD97" i="8"/>
  <c r="AF97" i="8" s="1"/>
  <c r="AG97" i="8" s="1"/>
  <c r="AH97" i="8" s="1"/>
  <c r="AI137" i="8"/>
  <c r="AJ137" i="8"/>
  <c r="AD78" i="8"/>
  <c r="AF78" i="8" s="1"/>
  <c r="AG78" i="8" s="1"/>
  <c r="AH78" i="8" s="1"/>
  <c r="AD88" i="8"/>
  <c r="AF88" i="8" s="1"/>
  <c r="AG88" i="8" s="1"/>
  <c r="AH88" i="8" s="1"/>
  <c r="AD167" i="8"/>
  <c r="AF167" i="8" s="1"/>
  <c r="AG167" i="8" s="1"/>
  <c r="AH167" i="8" s="1"/>
  <c r="AD83" i="8"/>
  <c r="AF83" i="8" s="1"/>
  <c r="AG83" i="8" s="1"/>
  <c r="AH83" i="8" s="1"/>
  <c r="AD166" i="8"/>
  <c r="AF166" i="8" s="1"/>
  <c r="AG166" i="8" s="1"/>
  <c r="AH166" i="8" s="1"/>
  <c r="AD72" i="8"/>
  <c r="AF72" i="8" s="1"/>
  <c r="AG72" i="8" s="1"/>
  <c r="AH72" i="8" s="1"/>
  <c r="AD153" i="8"/>
  <c r="AF153" i="8" s="1"/>
  <c r="AG153" i="8" s="1"/>
  <c r="AH153" i="8" s="1"/>
  <c r="AI136" i="8"/>
  <c r="AJ136" i="8"/>
  <c r="AD180" i="8"/>
  <c r="AF180" i="8"/>
  <c r="AG180" i="8" s="1"/>
  <c r="AH180" i="8" s="1"/>
  <c r="AD102" i="8"/>
  <c r="AF102" i="8"/>
  <c r="AG102" i="8" s="1"/>
  <c r="AH102" i="8" s="1"/>
  <c r="AJ55" i="8"/>
  <c r="AI55" i="8"/>
  <c r="AD169" i="8"/>
  <c r="AF169" i="8" s="1"/>
  <c r="AG169" i="8" s="1"/>
  <c r="AH169" i="8" s="1"/>
  <c r="AI68" i="8"/>
  <c r="AJ68" i="8"/>
  <c r="AI132" i="8"/>
  <c r="AJ132" i="8"/>
  <c r="AD150" i="8"/>
  <c r="AF150" i="8" s="1"/>
  <c r="AG150" i="8" s="1"/>
  <c r="AH150" i="8" s="1"/>
  <c r="AI59" i="8"/>
  <c r="AJ59" i="8"/>
  <c r="AJ131" i="8"/>
  <c r="AI131" i="8"/>
  <c r="AD158" i="8"/>
  <c r="AF158" i="8" s="1"/>
  <c r="AG158" i="8" s="1"/>
  <c r="AH158" i="8" s="1"/>
  <c r="AD93" i="8"/>
  <c r="AF93" i="8" s="1"/>
  <c r="AG93" i="8" s="1"/>
  <c r="AH93" i="8" s="1"/>
  <c r="Q183" i="8"/>
  <c r="AF175" i="8"/>
  <c r="AG175" i="8" s="1"/>
  <c r="AH175" i="8" s="1"/>
  <c r="AD175" i="8"/>
  <c r="AF101" i="8"/>
  <c r="AG101" i="8" s="1"/>
  <c r="AH101" i="8" s="1"/>
  <c r="AD101" i="8"/>
  <c r="AD164" i="8"/>
  <c r="AF164" i="8" s="1"/>
  <c r="AG164" i="8" s="1"/>
  <c r="AH164" i="8" s="1"/>
  <c r="AD163" i="8"/>
  <c r="AF163" i="8" s="1"/>
  <c r="AG163" i="8" s="1"/>
  <c r="AH163" i="8" s="1"/>
  <c r="AD107" i="8"/>
  <c r="AF107" i="8"/>
  <c r="AG107" i="8" s="1"/>
  <c r="AH107" i="8" s="1"/>
  <c r="AD84" i="8"/>
  <c r="AF84" i="8" s="1"/>
  <c r="AG84" i="8" s="1"/>
  <c r="AH84" i="8" s="1"/>
  <c r="AI133" i="8"/>
  <c r="AJ133" i="8"/>
  <c r="AJ53" i="8"/>
  <c r="AI53" i="8"/>
  <c r="AD152" i="8"/>
  <c r="AF152" i="8" s="1"/>
  <c r="AG152" i="8" s="1"/>
  <c r="AH152" i="8" s="1"/>
  <c r="AD157" i="8"/>
  <c r="AF157" i="8" s="1"/>
  <c r="AG157" i="8" s="1"/>
  <c r="AH157" i="8" s="1"/>
  <c r="AF50" i="8"/>
  <c r="AG50" i="8" s="1"/>
  <c r="AH50" i="8" s="1"/>
  <c r="Z8" i="8"/>
  <c r="Z9" i="8" s="1"/>
  <c r="AA8" i="8"/>
  <c r="AA9" i="8" s="1"/>
  <c r="AJ123" i="8"/>
  <c r="AI123" i="8"/>
  <c r="AD147" i="8"/>
  <c r="AF147" i="8" s="1"/>
  <c r="AG147" i="8" s="1"/>
  <c r="AH147" i="8" s="1"/>
  <c r="AD80" i="8"/>
  <c r="AF80" i="8" s="1"/>
  <c r="AG80" i="8" s="1"/>
  <c r="AH80" i="8" s="1"/>
  <c r="AI69" i="8"/>
  <c r="AJ69" i="8"/>
  <c r="AD79" i="8"/>
  <c r="AF79" i="8" s="1"/>
  <c r="AG79" i="8" s="1"/>
  <c r="AH79" i="8" s="1"/>
  <c r="AJ57" i="8"/>
  <c r="AI57" i="8"/>
  <c r="AI124" i="8"/>
  <c r="AJ124" i="8"/>
  <c r="AI121" i="8"/>
  <c r="AJ121" i="8"/>
  <c r="AD90" i="8"/>
  <c r="AF90" i="8" s="1"/>
  <c r="AG90" i="8" s="1"/>
  <c r="AH90" i="8" s="1"/>
  <c r="AD86" i="8"/>
  <c r="AF86" i="8" s="1"/>
  <c r="AG86" i="8" s="1"/>
  <c r="AH86" i="8" s="1"/>
  <c r="AB47" i="8"/>
  <c r="AD47" i="8" s="1"/>
  <c r="AF47" i="8" s="1"/>
  <c r="AF99" i="8"/>
  <c r="AG99" i="8" s="1"/>
  <c r="AH99" i="8" s="1"/>
  <c r="AD99" i="8"/>
  <c r="AD70" i="8"/>
  <c r="AF70" i="8" s="1"/>
  <c r="AG70" i="8" s="1"/>
  <c r="AH70" i="8" s="1"/>
  <c r="AD177" i="8"/>
  <c r="AF177" i="8"/>
  <c r="AG177" i="8" s="1"/>
  <c r="AH177" i="8" s="1"/>
  <c r="AD159" i="8"/>
  <c r="AF159" i="8" s="1"/>
  <c r="AG159" i="8" s="1"/>
  <c r="AH159" i="8" s="1"/>
  <c r="AD87" i="8"/>
  <c r="AF87" i="8" s="1"/>
  <c r="AG87" i="8" s="1"/>
  <c r="AH87" i="8" s="1"/>
  <c r="AD151" i="8"/>
  <c r="AF151" i="8" s="1"/>
  <c r="AG151" i="8" s="1"/>
  <c r="AH151" i="8" s="1"/>
  <c r="AD156" i="8"/>
  <c r="AF156" i="8" s="1"/>
  <c r="AG156" i="8" s="1"/>
  <c r="AH156" i="8" s="1"/>
  <c r="AF105" i="8"/>
  <c r="AG105" i="8" s="1"/>
  <c r="AH105" i="8" s="1"/>
  <c r="AD105" i="8"/>
  <c r="AI122" i="8"/>
  <c r="AJ122" i="8"/>
  <c r="AF106" i="8"/>
  <c r="AG106" i="8" s="1"/>
  <c r="AH106" i="8" s="1"/>
  <c r="AD106" i="8"/>
  <c r="AD148" i="8"/>
  <c r="AF148" i="8" s="1"/>
  <c r="AG148" i="8" s="1"/>
  <c r="AH148" i="8" s="1"/>
  <c r="AI62" i="8"/>
  <c r="AJ62" i="8"/>
  <c r="P47" i="8"/>
  <c r="V18" i="8" a="1"/>
  <c r="V18" i="8" s="1"/>
  <c r="AD171" i="8"/>
  <c r="AF171" i="8"/>
  <c r="AG171" i="8" s="1"/>
  <c r="AH171" i="8" s="1"/>
  <c r="AI61" i="8"/>
  <c r="AJ61" i="8"/>
  <c r="AD77" i="8"/>
  <c r="AF77" i="8" s="1"/>
  <c r="AG77" i="8" s="1"/>
  <c r="AH77" i="8" s="1"/>
  <c r="Z21" i="8" l="1"/>
  <c r="Z22" i="8" s="1"/>
  <c r="AI106" i="8"/>
  <c r="AJ106" i="8"/>
  <c r="X21" i="8"/>
  <c r="X22" i="8" s="1"/>
  <c r="X26" i="8" s="1"/>
  <c r="AN54" i="8"/>
  <c r="AO54" i="8" s="1"/>
  <c r="E19" i="8"/>
  <c r="F19" i="8" s="1"/>
  <c r="C11" i="8" s="1"/>
  <c r="Q47" i="8"/>
  <c r="AI87" i="8"/>
  <c r="AJ87" i="8"/>
  <c r="AI99" i="8"/>
  <c r="AJ99" i="8"/>
  <c r="AJ50" i="8"/>
  <c r="AI50" i="8"/>
  <c r="AI164" i="8"/>
  <c r="AJ164" i="8"/>
  <c r="AI158" i="8"/>
  <c r="AJ158" i="8"/>
  <c r="AI153" i="8"/>
  <c r="AJ153" i="8"/>
  <c r="AI167" i="8"/>
  <c r="AJ167" i="8"/>
  <c r="AI145" i="8"/>
  <c r="AJ145" i="8"/>
  <c r="AI176" i="8"/>
  <c r="AJ176" i="8"/>
  <c r="AI155" i="8"/>
  <c r="AJ155" i="8"/>
  <c r="AI179" i="8"/>
  <c r="AJ179" i="8"/>
  <c r="AI108" i="8"/>
  <c r="AJ108" i="8"/>
  <c r="AI73" i="8"/>
  <c r="AJ73" i="8"/>
  <c r="AI71" i="8"/>
  <c r="AJ71" i="8"/>
  <c r="AI103" i="8"/>
  <c r="AJ103" i="8"/>
  <c r="AI77" i="8"/>
  <c r="AJ77" i="8"/>
  <c r="E18" i="8"/>
  <c r="AG47" i="8"/>
  <c r="AH47" i="8" s="1"/>
  <c r="AN53" i="8"/>
  <c r="W8" i="8"/>
  <c r="Y8" i="8" s="1"/>
  <c r="AI80" i="8"/>
  <c r="AJ80" i="8"/>
  <c r="AI102" i="8"/>
  <c r="AJ102" i="8"/>
  <c r="AI91" i="8"/>
  <c r="AJ91" i="8"/>
  <c r="AI162" i="8"/>
  <c r="AJ162" i="8"/>
  <c r="AI174" i="8"/>
  <c r="AJ174" i="8"/>
  <c r="AI74" i="8"/>
  <c r="AJ74" i="8"/>
  <c r="AI92" i="8"/>
  <c r="AJ92" i="8"/>
  <c r="AI94" i="8"/>
  <c r="AJ94" i="8"/>
  <c r="AI105" i="8"/>
  <c r="AJ105" i="8"/>
  <c r="AI159" i="8"/>
  <c r="AJ159" i="8"/>
  <c r="AI147" i="8"/>
  <c r="AJ147" i="8"/>
  <c r="AI157" i="8"/>
  <c r="AJ157" i="8"/>
  <c r="AI84" i="8"/>
  <c r="AJ84" i="8"/>
  <c r="AI101" i="8"/>
  <c r="AJ101" i="8"/>
  <c r="AI72" i="8"/>
  <c r="AJ72" i="8"/>
  <c r="AI88" i="8"/>
  <c r="AJ88" i="8"/>
  <c r="AI81" i="8"/>
  <c r="AJ81" i="8"/>
  <c r="AI172" i="8"/>
  <c r="AJ172" i="8"/>
  <c r="AI149" i="8"/>
  <c r="AJ149" i="8"/>
  <c r="AI178" i="8"/>
  <c r="AJ178" i="8"/>
  <c r="AI82" i="8"/>
  <c r="AJ82" i="8"/>
  <c r="AI76" i="8"/>
  <c r="AJ76" i="8"/>
  <c r="AI156" i="8"/>
  <c r="AJ156" i="8"/>
  <c r="AI177" i="8"/>
  <c r="AJ177" i="8"/>
  <c r="AI86" i="8"/>
  <c r="AJ86" i="8"/>
  <c r="AI107" i="8"/>
  <c r="AJ107" i="8"/>
  <c r="AI180" i="8"/>
  <c r="AJ180" i="8"/>
  <c r="AI89" i="8"/>
  <c r="AJ89" i="8"/>
  <c r="AI100" i="8"/>
  <c r="AJ100" i="8"/>
  <c r="AI104" i="8"/>
  <c r="AJ104" i="8"/>
  <c r="AI109" i="8"/>
  <c r="AJ109" i="8"/>
  <c r="AI171" i="8"/>
  <c r="AJ171" i="8"/>
  <c r="AI148" i="8"/>
  <c r="AJ148" i="8"/>
  <c r="AI152" i="8"/>
  <c r="AJ152" i="8"/>
  <c r="AI175" i="8"/>
  <c r="AJ175" i="8"/>
  <c r="AI166" i="8"/>
  <c r="AJ166" i="8"/>
  <c r="AI78" i="8"/>
  <c r="AJ78" i="8"/>
  <c r="AI181" i="8"/>
  <c r="AJ181" i="8"/>
  <c r="AI146" i="8"/>
  <c r="AJ146" i="8"/>
  <c r="AI95" i="8"/>
  <c r="AJ95" i="8"/>
  <c r="AI98" i="8"/>
  <c r="AJ98" i="8"/>
  <c r="AI90" i="8"/>
  <c r="AJ90" i="8"/>
  <c r="AI79" i="8"/>
  <c r="AJ79" i="8"/>
  <c r="AI169" i="8"/>
  <c r="AJ169" i="8"/>
  <c r="AI75" i="8"/>
  <c r="AJ75" i="8"/>
  <c r="AI168" i="8"/>
  <c r="AJ168" i="8"/>
  <c r="AI154" i="8"/>
  <c r="AJ154" i="8"/>
  <c r="AI151" i="8"/>
  <c r="AJ151" i="8"/>
  <c r="AI70" i="8"/>
  <c r="AJ70" i="8"/>
  <c r="AI163" i="8"/>
  <c r="AJ163" i="8"/>
  <c r="AI83" i="8"/>
  <c r="AJ83" i="8"/>
  <c r="AI182" i="8"/>
  <c r="AJ182" i="8"/>
  <c r="AI170" i="8"/>
  <c r="AJ170" i="8"/>
  <c r="AI160" i="8"/>
  <c r="AJ160" i="8"/>
  <c r="AI85" i="8"/>
  <c r="AJ85" i="8"/>
  <c r="AI173" i="8"/>
  <c r="AJ173" i="8"/>
  <c r="AI161" i="8"/>
  <c r="AJ161" i="8"/>
  <c r="AI93" i="8"/>
  <c r="AJ93" i="8"/>
  <c r="AI150" i="8"/>
  <c r="AJ150" i="8"/>
  <c r="AI97" i="8"/>
  <c r="AJ97" i="8"/>
  <c r="AI96" i="8"/>
  <c r="AJ96" i="8"/>
  <c r="AI165" i="8"/>
  <c r="AJ165" i="8"/>
  <c r="AP54" i="8" l="1"/>
  <c r="AP60" i="8" s="1"/>
  <c r="AQ60" i="8" s="1"/>
  <c r="AR60" i="8" s="1"/>
  <c r="Y21" i="8"/>
  <c r="AI183" i="8"/>
  <c r="AJ183" i="8"/>
  <c r="AI47" i="8"/>
  <c r="AP36" i="8" s="1" a="1"/>
  <c r="AP36" i="8" s="1"/>
  <c r="H18" i="8"/>
  <c r="AN36" i="8"/>
  <c r="E20" i="8"/>
  <c r="G18" i="8"/>
  <c r="L19" i="8" s="1"/>
  <c r="F24" i="8" s="1"/>
  <c r="F18" i="8"/>
  <c r="AJ47" i="8"/>
  <c r="X32" i="8"/>
  <c r="AN50" i="8"/>
  <c r="G19" i="8"/>
  <c r="K19" i="8" s="1"/>
  <c r="F25" i="8" s="1"/>
  <c r="Q110" i="8"/>
  <c r="E15" i="8"/>
  <c r="D15" i="8" s="1"/>
  <c r="G15" i="8" s="1"/>
  <c r="X4" i="6" s="1"/>
  <c r="Y9" i="8"/>
  <c r="W9" i="8"/>
  <c r="W26" i="8" s="1"/>
  <c r="Y26" i="8" s="1"/>
  <c r="AN55" i="8"/>
  <c r="AO53" i="8"/>
  <c r="S11" i="2" l="1"/>
  <c r="S8" i="2"/>
  <c r="S10" i="2"/>
  <c r="S9" i="2"/>
  <c r="S5" i="2"/>
  <c r="S6" i="2"/>
  <c r="S7" i="2"/>
  <c r="S12" i="2"/>
  <c r="S3" i="2"/>
  <c r="S4" i="2"/>
  <c r="T5" i="2"/>
  <c r="T7" i="2"/>
  <c r="T8" i="2"/>
  <c r="T10" i="2"/>
  <c r="T11" i="2"/>
  <c r="T9" i="2"/>
  <c r="T6" i="2"/>
  <c r="T4" i="2"/>
  <c r="T12" i="2"/>
  <c r="T3" i="2"/>
  <c r="AP53" i="8"/>
  <c r="AP59" i="8" s="1"/>
  <c r="AQ59" i="8" s="1"/>
  <c r="AR59" i="8" s="1"/>
  <c r="AP37" i="8"/>
  <c r="G20" i="8"/>
  <c r="J19" i="8" s="1"/>
  <c r="F26" i="8" s="1"/>
  <c r="X30" i="8"/>
  <c r="G5" i="8"/>
  <c r="E21" i="8"/>
  <c r="F20" i="8"/>
  <c r="F21" i="8" s="1"/>
  <c r="Y33" i="8"/>
  <c r="AJ110" i="8"/>
  <c r="AN37" i="8"/>
  <c r="AN56" i="8"/>
  <c r="AO55" i="8"/>
  <c r="T4" i="6"/>
  <c r="H20" i="8"/>
  <c r="H21" i="8" s="1"/>
  <c r="D11" i="8"/>
  <c r="AM50" i="8"/>
  <c r="AQ50" i="8" s="1"/>
  <c r="AQ36" i="8"/>
  <c r="AM36" i="8"/>
  <c r="AI110" i="8"/>
  <c r="AN49" i="8"/>
  <c r="E14" i="8"/>
  <c r="D14" i="8" s="1"/>
  <c r="G14" i="8" s="1"/>
  <c r="W4" i="6" s="1"/>
  <c r="U11" i="2" l="1"/>
  <c r="U10" i="2"/>
  <c r="U9" i="2"/>
  <c r="U8" i="2"/>
  <c r="U5" i="2"/>
  <c r="U6" i="2"/>
  <c r="U7" i="2"/>
  <c r="U12" i="2"/>
  <c r="U3" i="2"/>
  <c r="U4" i="2"/>
  <c r="I5" i="6"/>
  <c r="I4" i="6"/>
  <c r="AM49" i="8"/>
  <c r="AQ49" i="8" s="1"/>
  <c r="AL36" i="8"/>
  <c r="AL37" i="8" s="1"/>
  <c r="AP55" i="8"/>
  <c r="AP61" i="8" s="1"/>
  <c r="AQ61" i="8" s="1"/>
  <c r="B11" i="8"/>
  <c r="G4" i="8"/>
  <c r="G6" i="8" s="1"/>
  <c r="Y30" i="8"/>
  <c r="AM37" i="8"/>
  <c r="AO36" i="8"/>
  <c r="AQ37" i="8"/>
  <c r="S4" i="6"/>
  <c r="G21" i="8"/>
  <c r="U4" i="6"/>
  <c r="AR61" i="8" l="1"/>
  <c r="AL38" i="8"/>
  <c r="AL39" i="8" s="1"/>
  <c r="AL41" i="8" s="1"/>
  <c r="AO37" i="8"/>
  <c r="AO38" i="8" l="1"/>
  <c r="AO39" i="8" s="1"/>
  <c r="AO41" i="8" s="1"/>
  <c r="AN38" i="8"/>
  <c r="AN39" i="8" s="1"/>
  <c r="AN41" i="8" s="1"/>
  <c r="AP38" i="8"/>
  <c r="AP39" i="8" s="1"/>
  <c r="AP41" i="8" s="1"/>
  <c r="AQ38" i="8"/>
  <c r="AQ39" i="8" s="1"/>
  <c r="AQ41" i="8" s="1"/>
  <c r="AM38" i="8"/>
  <c r="AM39" i="8" s="1"/>
  <c r="AM41" i="8" s="1"/>
  <c r="J9" i="6" l="1"/>
  <c r="W11" i="8"/>
  <c r="W29" i="8" s="1"/>
  <c r="G6" i="6" l="1"/>
  <c r="G5" i="6"/>
  <c r="F5" i="6" s="1"/>
  <c r="M5" i="6" s="1"/>
  <c r="H6" i="6"/>
  <c r="H5" i="6"/>
  <c r="G4" i="6"/>
  <c r="F4" i="6" s="1"/>
  <c r="T13" i="2"/>
  <c r="H4" i="6"/>
  <c r="X23" i="8"/>
  <c r="I9" i="6"/>
  <c r="X29" i="8"/>
  <c r="Y29" i="8" s="1"/>
  <c r="K6" i="6" l="1"/>
  <c r="F6" i="6"/>
  <c r="M6" i="6" s="1"/>
  <c r="N6" i="6"/>
  <c r="N5" i="6"/>
  <c r="K5" i="6"/>
  <c r="H9" i="6"/>
  <c r="G9" i="6"/>
  <c r="N4" i="6"/>
  <c r="K4" i="6"/>
  <c r="M4" i="6"/>
  <c r="U13" i="2"/>
  <c r="S13" i="2"/>
  <c r="M9" i="6" l="1"/>
  <c r="K9" i="6"/>
  <c r="F9" i="6"/>
  <c r="N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tc={B3B884AC-9427-4828-98B8-74F12F225186}</author>
  </authors>
  <commentList>
    <comment ref="L4" authorId="0" shapeId="0" xr:uid="{B3B884AC-9427-4828-98B8-74F12F225186}">
      <text>
        <t>[Threaded comment]
Your version of Excel allows you to read this threaded comment; however, any edits to it will get removed if the file is opened in a newer version of Excel. Learn more: https://go.microsoft.com/fwlink/?linkid=870924
Comment:
    ASHRAE 2017</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<sst xmlns="http://schemas.openxmlformats.org/spreadsheetml/2006/main" count="5267" uniqueCount="749">
  <si>
    <t>Welcome to the Con Edison Custom Envelope Savings Calculator</t>
  </si>
  <si>
    <t>Below cells are optional</t>
  </si>
  <si>
    <t>Project Details</t>
  </si>
  <si>
    <t>Instructions</t>
  </si>
  <si>
    <t xml:space="preserve">                                                            </t>
  </si>
  <si>
    <t>Program Name</t>
  </si>
  <si>
    <t>The Custom Envelope Savings Calculator is an excel based tool developed to assist Con Edison's Energy Efficiency programs with calculating envelope energy savings for the following building envelope measures through a custom path:</t>
  </si>
  <si>
    <t>Account Holder Information</t>
  </si>
  <si>
    <t>• Window Replacement</t>
  </si>
  <si>
    <t>Account Name</t>
  </si>
  <si>
    <t/>
  </si>
  <si>
    <t>• Window Inserts</t>
  </si>
  <si>
    <t>Account Number (14 Digits)</t>
  </si>
  <si>
    <t>• Air Leakage Sealing</t>
  </si>
  <si>
    <t>Title</t>
  </si>
  <si>
    <t>• Opaque Shell Insulation: Walls, Floors, Ceilings</t>
  </si>
  <si>
    <t>Mailing Address</t>
  </si>
  <si>
    <t>Unit Number</t>
  </si>
  <si>
    <t>Users shall review the ‘Instructions’, 'Inputs’, 'Measure Inputs', and ‘Results Summary’ tabs; and input project specific details where needed.</t>
  </si>
  <si>
    <t>City</t>
  </si>
  <si>
    <t>Zip</t>
  </si>
  <si>
    <t xml:space="preserve">Cells requiring user input are highlighted in yellow. </t>
  </si>
  <si>
    <t>Cells in white will auto-populate based on the inputs the user enters.</t>
  </si>
  <si>
    <t>Site Information</t>
  </si>
  <si>
    <t xml:space="preserve">Red cells indicate there may be an issue with an input or measure/project eligibility. </t>
  </si>
  <si>
    <t>Contact First Name</t>
  </si>
  <si>
    <t>* Indicates required field.</t>
  </si>
  <si>
    <t>Contact Last Name</t>
  </si>
  <si>
    <t>Street Address</t>
  </si>
  <si>
    <t xml:space="preserve">Tabs should be completed in the following order: </t>
  </si>
  <si>
    <t>1.           Inputs</t>
  </si>
  <si>
    <t>2.           Measure Inputs</t>
  </si>
  <si>
    <t>Phone</t>
  </si>
  <si>
    <t>3.           Results Summary</t>
  </si>
  <si>
    <t>Email</t>
  </si>
  <si>
    <t>Measure level savings will be displayed on Measure Inputs tab and Project level savings will be summarized in Results Summary tab.</t>
  </si>
  <si>
    <t>Participating Contractor Information</t>
  </si>
  <si>
    <t>NOTE:
1. This calculator provides savings estimates in the absence of an energy model. The results should not be construed as the final savings or as an incentive offer. Final savings might change based on engineering review of actual project details.
2. The customer is responsible for ensuring compliance with all applicable building codes.
3. This calculator provides prescriptive savings estimates for buildings with electric cooling and gas/steam/electric heating systems. If building heating/cooling fuel types vary, please complete the calculator and inform your business development manager upon submission.</t>
  </si>
  <si>
    <t>Installation Completed By</t>
  </si>
  <si>
    <t>Company Name</t>
  </si>
  <si>
    <t>Contact Name</t>
  </si>
  <si>
    <t>Project Notes</t>
  </si>
  <si>
    <t>For Internal Use Only</t>
  </si>
  <si>
    <t>Project Name</t>
  </si>
  <si>
    <t>Project Number</t>
  </si>
  <si>
    <t>Application Received Date</t>
  </si>
  <si>
    <t>Tool version</t>
  </si>
  <si>
    <t>Tool version date</t>
  </si>
  <si>
    <t>Project Information</t>
  </si>
  <si>
    <t>Select Mode</t>
  </si>
  <si>
    <t>Building Characteristics</t>
  </si>
  <si>
    <t>Zip Code*</t>
  </si>
  <si>
    <t>Utility</t>
  </si>
  <si>
    <t>Con Edison</t>
  </si>
  <si>
    <t>Project Application Submission</t>
  </si>
  <si>
    <t>Approximate project location</t>
  </si>
  <si>
    <t>NOAA/TMY3 Location</t>
  </si>
  <si>
    <t>Program</t>
  </si>
  <si>
    <t>Commercial/Industrial</t>
  </si>
  <si>
    <r>
      <t xml:space="preserve">Building Type* </t>
    </r>
    <r>
      <rPr>
        <sz val="11"/>
        <color theme="1"/>
        <rFont val="Arial"/>
        <family val="2"/>
      </rPr>
      <t>(If Custom, fill in cells A101 to D136 below)</t>
    </r>
  </si>
  <si>
    <r>
      <rPr>
        <b/>
        <sz val="10"/>
        <color theme="0" tint="-0.499984740745262"/>
        <rFont val="Arial"/>
        <family val="2"/>
      </rPr>
      <t>Note:
Project Application Mod</t>
    </r>
    <r>
      <rPr>
        <sz val="10"/>
        <color theme="0" tint="-0.499984740745262"/>
        <rFont val="Arial"/>
        <family val="2"/>
      </rPr>
      <t xml:space="preserve">e is used for the application submission.
</t>
    </r>
    <r>
      <rPr>
        <b/>
        <sz val="10"/>
        <color theme="0" tint="-0.499984740745262"/>
        <rFont val="Arial"/>
        <family val="2"/>
      </rPr>
      <t>Rought Estimate Mode</t>
    </r>
    <r>
      <rPr>
        <sz val="10"/>
        <color theme="0" tint="-0.499984740745262"/>
        <rFont val="Arial"/>
        <family val="2"/>
      </rPr>
      <t xml:space="preserve"> is used only for feasibility studies.</t>
    </r>
  </si>
  <si>
    <t>Construction Type*</t>
  </si>
  <si>
    <t>Gross Building Area impacted by SOW (SF)*</t>
  </si>
  <si>
    <t>Billing Data: Annual Cooling Energy Use (kWh)</t>
  </si>
  <si>
    <t>Billing Data: Annual Heating Energy Use (MMBtu)</t>
  </si>
  <si>
    <t>Floor to Floor Height (ft)</t>
  </si>
  <si>
    <t>Incentive Category</t>
  </si>
  <si>
    <r>
      <t xml:space="preserve">Scope of work
</t>
    </r>
    <r>
      <rPr>
        <sz val="11"/>
        <color theme="1"/>
        <rFont val="Arial"/>
        <family val="2"/>
      </rPr>
      <t>- Heat Pump installation
- Bundle Set: Heat Pumps with Envelope Upgrades or ERVs or both</t>
    </r>
  </si>
  <si>
    <t>Bundle Set</t>
  </si>
  <si>
    <t>Before Envelope upgrade</t>
  </si>
  <si>
    <t>After Envelope upgrade</t>
  </si>
  <si>
    <t>Cooling Temperature Set Point During Occupied Hours (°F)</t>
  </si>
  <si>
    <t>Cooling Temperature Set Point During Unoccupied Hours (°F)</t>
  </si>
  <si>
    <t xml:space="preserve">Occupied Cooling Balance Point (°F) </t>
  </si>
  <si>
    <t xml:space="preserve">Unoccupied Cooling Balance Point (°F) </t>
  </si>
  <si>
    <t>Heating Temperature Set Point During Occupied Hours  (°F)</t>
  </si>
  <si>
    <t>Heating Temperature Set Point During Unoccupied Hours  (°F)</t>
  </si>
  <si>
    <t xml:space="preserve">Occupied Heating Balance Point (°F) </t>
  </si>
  <si>
    <t xml:space="preserve">Unoccupied Heating Balance Point (°F) </t>
  </si>
  <si>
    <t>Design Temperatures</t>
  </si>
  <si>
    <t>Dry bulb cooling design temperature used in Load Calculations  (°F)*</t>
  </si>
  <si>
    <t>Dry bulb heating design temperature used in Load Calculations  (°F)*</t>
  </si>
  <si>
    <t>Building Loads source:</t>
  </si>
  <si>
    <t>[units]</t>
  </si>
  <si>
    <t xml:space="preserve">BCL Building Cooling Load (Btu/hr)                   </t>
  </si>
  <si>
    <t>Btu/h per SF</t>
  </si>
  <si>
    <t xml:space="preserve">BHL Building Heating Load (Btu/hr)                    </t>
  </si>
  <si>
    <t>Existing Heating System Fuel*</t>
  </si>
  <si>
    <t>Baseline Efficiency as the basis from which to calculate savings</t>
  </si>
  <si>
    <t>Proposed Heat Pumps</t>
  </si>
  <si>
    <t>Heat Pump type (Used in Demo Mode)</t>
  </si>
  <si>
    <t>Air Source</t>
  </si>
  <si>
    <t>Heating Controls</t>
  </si>
  <si>
    <t xml:space="preserve">Complete table below if Ground Source Heat Pump Type is selected: </t>
  </si>
  <si>
    <t>Closed Loop Ground Source Heat Pumps</t>
  </si>
  <si>
    <t>Pumping Type</t>
  </si>
  <si>
    <t>Quantity of Duty Pumps</t>
  </si>
  <si>
    <t>Pump Horsepower</t>
  </si>
  <si>
    <t>Pump Motor Efficiency</t>
  </si>
  <si>
    <t>Pumping Design Power (kW)</t>
  </si>
  <si>
    <t>Loop Type</t>
  </si>
  <si>
    <t>Average Ground Temp (F)</t>
  </si>
  <si>
    <t>Max Entering Water Temperature (EWT) (deg F) in Cooling</t>
  </si>
  <si>
    <t>Min Entering Water Temperature (EWT) (deg F) in Heating</t>
  </si>
  <si>
    <r>
      <t xml:space="preserve">Building Loads </t>
    </r>
    <r>
      <rPr>
        <b/>
        <u/>
        <sz val="11"/>
        <color theme="1"/>
        <rFont val="Arial"/>
        <family val="2"/>
      </rPr>
      <t>after</t>
    </r>
    <r>
      <rPr>
        <b/>
        <sz val="11"/>
        <color theme="1"/>
        <rFont val="Arial"/>
        <family val="2"/>
      </rPr>
      <t xml:space="preserve"> Envelope Improvements</t>
    </r>
  </si>
  <si>
    <t>Data per Manual N or ACCA 183 load calculations</t>
  </si>
  <si>
    <t>BCL Building Cooling Load  (Btu/hr) 
[Eligible Loads Only]</t>
  </si>
  <si>
    <t>BHL Building Heating Load (Btu/hr) 
[Eligible Loads Only]</t>
  </si>
  <si>
    <t>Proposed Heat Pump system design includes ERV or HRV</t>
  </si>
  <si>
    <t>No</t>
  </si>
  <si>
    <t>Select Heat Pump system that uses ERV or HRV</t>
  </si>
  <si>
    <t>Proxy
(Not used)</t>
  </si>
  <si>
    <t>Equipment Heating Capacity reduction</t>
  </si>
  <si>
    <t>Equipment Cooling Capacity reduction</t>
  </si>
  <si>
    <t>Material</t>
  </si>
  <si>
    <t>$ per SF</t>
  </si>
  <si>
    <t>Labor</t>
  </si>
  <si>
    <t>Existing HVAC system efficiency</t>
  </si>
  <si>
    <t xml:space="preserve"> Per "Existing Eqp Efficiency" tab</t>
  </si>
  <si>
    <t>Existing HVAC system</t>
  </si>
  <si>
    <t>Existing HVAC System Cooling Efficiency (EER)*</t>
  </si>
  <si>
    <t>Existing Equipment</t>
  </si>
  <si>
    <t>EER</t>
  </si>
  <si>
    <t>Existing HVAC System Heating Efficiency (COP)*</t>
  </si>
  <si>
    <t>COP</t>
  </si>
  <si>
    <t>Complete table below for Existing Equipment Custom Efficiency:</t>
  </si>
  <si>
    <t>Unit #</t>
  </si>
  <si>
    <t>Cooling capacity %*</t>
  </si>
  <si>
    <t>Heating capacity %*</t>
  </si>
  <si>
    <t>Cooling efficiency EER*</t>
  </si>
  <si>
    <t>Cooling efficiency SEER 
(if available)</t>
  </si>
  <si>
    <t>Heating efficiency COP*</t>
  </si>
  <si>
    <t>Total</t>
  </si>
  <si>
    <t>Weighted avg Efficiency</t>
  </si>
  <si>
    <t xml:space="preserve">Complete table below if Cutom Building Type is selected: </t>
  </si>
  <si>
    <t xml:space="preserve">Hour (Time of Day) </t>
  </si>
  <si>
    <t>Custom HVAC Schedule</t>
  </si>
  <si>
    <t>Weekday</t>
  </si>
  <si>
    <t>Saturday</t>
  </si>
  <si>
    <t>Sunday</t>
  </si>
  <si>
    <t>1:00 AM (12 to 1 AM)</t>
  </si>
  <si>
    <t>2:00 AM (1 to 2 AM)</t>
  </si>
  <si>
    <t>3:00 AM (2 to 3 AM)</t>
  </si>
  <si>
    <t>4:00 AM (3 to 4 AM)</t>
  </si>
  <si>
    <t>5:00 AM (4 to 5 AM)</t>
  </si>
  <si>
    <t>6:00 AM (5 to 6 AM)</t>
  </si>
  <si>
    <t>7:00 AM (6 to 7 AM)</t>
  </si>
  <si>
    <t>8:00 AM (7 to 8 AM)</t>
  </si>
  <si>
    <t>9:00 AM (8 to 9 AM)</t>
  </si>
  <si>
    <t>10:00 AM (9 to 10 AM)</t>
  </si>
  <si>
    <t>11:00 AM (10 to 11 AM)</t>
  </si>
  <si>
    <t>12:00 PM (11 to 12 PM)</t>
  </si>
  <si>
    <t>1:00 PM (12 to 1 PM)</t>
  </si>
  <si>
    <t>2:00 PM (1 to 2 PM)</t>
  </si>
  <si>
    <t>3:00 PM (2 to 3 PM)</t>
  </si>
  <si>
    <t>4:00 PM (3 to 4 PM)</t>
  </si>
  <si>
    <t>5:00 PM (4 to 5 PM)</t>
  </si>
  <si>
    <t>6:00 PM (5 to 6 PM)</t>
  </si>
  <si>
    <t>7:00 PM (6 to 7 PM)</t>
  </si>
  <si>
    <t>8:00 PM (7 to 8 PM)</t>
  </si>
  <si>
    <t>9:00 PM (8 to 9 PM)</t>
  </si>
  <si>
    <t>10:00 PM (9 to 10 PM)</t>
  </si>
  <si>
    <t>11:00 PM (10 to 11 PM)</t>
  </si>
  <si>
    <t>12:00 PM (11 to 12 AM)</t>
  </si>
  <si>
    <t>Occupied Hours</t>
  </si>
  <si>
    <t>Unoccupied Hours</t>
  </si>
  <si>
    <t>Cooling Setpoint (deg F)</t>
  </si>
  <si>
    <t>Heating Setpoint (deg F)</t>
  </si>
  <si>
    <t>Cooling Balance
 Point (deg F)</t>
  </si>
  <si>
    <t>Heating Balance
 Point (deg F)</t>
  </si>
  <si>
    <t>Measure Name*</t>
  </si>
  <si>
    <t>Quantity*</t>
  </si>
  <si>
    <t>Square Feet*</t>
  </si>
  <si>
    <t>Baseline Window Type*</t>
  </si>
  <si>
    <t>Baseline U-value</t>
  </si>
  <si>
    <t>Proposed U-Value*</t>
  </si>
  <si>
    <t>Effective Baseline U-value</t>
  </si>
  <si>
    <t>Effective Proposed U-value</t>
  </si>
  <si>
    <t>Baseline Insulation Style*</t>
  </si>
  <si>
    <t>Proposed Insulation Style*</t>
  </si>
  <si>
    <t>Baseline R- Value*</t>
  </si>
  <si>
    <t>Proposed R- Value*</t>
  </si>
  <si>
    <t>Effective Baseline R- Value</t>
  </si>
  <si>
    <t>Effective Proposed R- Value</t>
  </si>
  <si>
    <t>Baseline Air Leakage Rate (in CFM/SQFT)</t>
  </si>
  <si>
    <t>Proposed Air Leakage Rate (in CFM/SQFT)*</t>
  </si>
  <si>
    <t>∆ BHL</t>
  </si>
  <si>
    <t>∆ BCL</t>
  </si>
  <si>
    <t>Cooling Savings kWh</t>
  </si>
  <si>
    <t>Cooling Savings kW</t>
  </si>
  <si>
    <t>Heating Savings MMBTU</t>
  </si>
  <si>
    <t>Backend Insulation</t>
  </si>
  <si>
    <t>Backend Window</t>
  </si>
  <si>
    <t>EUL</t>
  </si>
  <si>
    <t>Measure Code</t>
  </si>
  <si>
    <t>Safety Factor - Electric</t>
  </si>
  <si>
    <t>Safety Factor - Gas</t>
  </si>
  <si>
    <t>Envelope Summary</t>
  </si>
  <si>
    <t>Category</t>
  </si>
  <si>
    <t>Material Cost*</t>
  </si>
  <si>
    <t>Labor Cost*</t>
  </si>
  <si>
    <t>Total Cost</t>
  </si>
  <si>
    <t>MMBtu Savings</t>
  </si>
  <si>
    <t>kWh savings</t>
  </si>
  <si>
    <t>kW Savings</t>
  </si>
  <si>
    <t>Therms savings</t>
  </si>
  <si>
    <t>Mlb Savings</t>
  </si>
  <si>
    <r>
      <t xml:space="preserve"> CO</t>
    </r>
    <r>
      <rPr>
        <b/>
        <vertAlign val="subscript"/>
        <sz val="10"/>
        <rFont val="Arial"/>
        <family val="2"/>
      </rPr>
      <t>2</t>
    </r>
    <r>
      <rPr>
        <b/>
        <sz val="10"/>
        <rFont val="Arial"/>
        <family val="2"/>
      </rPr>
      <t xml:space="preserve"> emissions reduction
(Metric Tons/yr)</t>
    </r>
  </si>
  <si>
    <t>Effective Useful Life (years)</t>
  </si>
  <si>
    <t>Lifetime MMBtu Savings</t>
  </si>
  <si>
    <t>Estimated Incentives</t>
  </si>
  <si>
    <t>Baseline Electric Use kWh</t>
  </si>
  <si>
    <t>Baseline Fossil Fuel Use MMBTU</t>
  </si>
  <si>
    <t>Energy use MMBTU</t>
  </si>
  <si>
    <t>Net Savings as % of annual Energy Use</t>
  </si>
  <si>
    <t>Heating  Savings as % of annual Space Heating Energy Use</t>
  </si>
  <si>
    <t>Cooling Savings as % of annual Cooling Energy Use</t>
  </si>
  <si>
    <t xml:space="preserve"> Electric use % change</t>
  </si>
  <si>
    <t>Fossil Fuel use % change</t>
  </si>
  <si>
    <t>Window Replacement</t>
  </si>
  <si>
    <t>Window Inserts</t>
  </si>
  <si>
    <t>Air Sealing</t>
  </si>
  <si>
    <t>Opaque Shell: Wall</t>
  </si>
  <si>
    <t>Opaque Shell: Ceiling/Floor</t>
  </si>
  <si>
    <t>Office Large</t>
  </si>
  <si>
    <t>Hotel</t>
  </si>
  <si>
    <t>Hospital</t>
  </si>
  <si>
    <t>Mid Rise</t>
  </si>
  <si>
    <t>High Rise</t>
  </si>
  <si>
    <t>Secondary School</t>
  </si>
  <si>
    <t>0.58-1.23</t>
  </si>
  <si>
    <t>kWh Cooling</t>
  </si>
  <si>
    <t>kWh total</t>
  </si>
  <si>
    <t>Therms</t>
  </si>
  <si>
    <t>MMBTU</t>
  </si>
  <si>
    <t>EPlus</t>
  </si>
  <si>
    <t>Calculator</t>
  </si>
  <si>
    <t>0.51-1.23</t>
  </si>
  <si>
    <t>0.42-1.23</t>
  </si>
  <si>
    <t>0.38-1.23</t>
  </si>
  <si>
    <t>Rough Estimate based on the Historical Data</t>
  </si>
  <si>
    <t>DIAGNOSTIC BLOCK</t>
  </si>
  <si>
    <t>Load Difference</t>
  </si>
  <si>
    <t>Baseline</t>
  </si>
  <si>
    <t>Proposed</t>
  </si>
  <si>
    <t>Net Savings</t>
  </si>
  <si>
    <t>COOLING</t>
  </si>
  <si>
    <t>Tier % reduction</t>
  </si>
  <si>
    <t>BTU</t>
  </si>
  <si>
    <t>Savings in MMBtu</t>
  </si>
  <si>
    <t>BHL or BCL % reduction</t>
  </si>
  <si>
    <t>Per ConEd histoical models</t>
  </si>
  <si>
    <t xml:space="preserve"> Steam Consumption kBTU/CF</t>
  </si>
  <si>
    <t>Total *steam Consumption kBTU</t>
  </si>
  <si>
    <t>Total Consumption kBTU</t>
  </si>
  <si>
    <t>kBTU</t>
  </si>
  <si>
    <t>Per ConEd historical models</t>
  </si>
  <si>
    <t>Peak kBTU/h per MCF</t>
  </si>
  <si>
    <t>1.0 Ratio Applied "ESTIMATED Ratio" BTU/h per CF</t>
  </si>
  <si>
    <t>Baseline BCL</t>
  </si>
  <si>
    <t>Btu/h     Tdes=</t>
  </si>
  <si>
    <t>F                       Baseline AC Capacity @ 110% sizing =</t>
  </si>
  <si>
    <t>Btu/h</t>
  </si>
  <si>
    <t>BCL Building Cooling Load  (Btu/hr)                      [Eligible Loads Only]</t>
  </si>
  <si>
    <t>Cooling</t>
  </si>
  <si>
    <t>Proposed BCL</t>
  </si>
  <si>
    <t>Cooling Sizing Ratio:</t>
  </si>
  <si>
    <t>Proposed AC Capacity @ 110% sizing =</t>
  </si>
  <si>
    <t>BHL Building Heating Load (Btu/hr)                      [Eligible Loads Only]</t>
  </si>
  <si>
    <t>Heating</t>
  </si>
  <si>
    <t>Unmet Cooling Load</t>
  </si>
  <si>
    <t xml:space="preserve">  MMBtu</t>
  </si>
  <si>
    <t>Ratio based on AHRI, if different from cell above, Applicant entered HP capacity at design temp</t>
  </si>
  <si>
    <t>total</t>
  </si>
  <si>
    <t>Delivered Cooling Load (MMBtu)</t>
  </si>
  <si>
    <t>Energy Use (kWh)</t>
  </si>
  <si>
    <t>Rated EER @ 95F (Btu/Wh)</t>
  </si>
  <si>
    <t>Actual Seasonal Efficiency (Btu/Wh)</t>
  </si>
  <si>
    <t>Actual Peak Efficiency @ 95F (Btu/Wh)</t>
  </si>
  <si>
    <t>Cooling Peak Demand from 95F Bin (kW)</t>
  </si>
  <si>
    <t>Cooling Peak Demand from Rated EER (kW)</t>
  </si>
  <si>
    <t>Basecase</t>
  </si>
  <si>
    <t>Electric Savings</t>
  </si>
  <si>
    <t>Savings</t>
  </si>
  <si>
    <t>Net Electric Savings in MMBTU</t>
  </si>
  <si>
    <t>Cooling Savings (kWh)</t>
  </si>
  <si>
    <t>from Results (H5)</t>
  </si>
  <si>
    <t>All Savings</t>
  </si>
  <si>
    <t xml:space="preserve"> </t>
  </si>
  <si>
    <t>Savings in native units</t>
  </si>
  <si>
    <t>% change</t>
  </si>
  <si>
    <t>Baseline Electric use kWh</t>
  </si>
  <si>
    <t>HEATING</t>
  </si>
  <si>
    <t>therm savings</t>
  </si>
  <si>
    <t>Baseline Gas use MMBTU</t>
  </si>
  <si>
    <t>Baseline BHL</t>
  </si>
  <si>
    <t>F</t>
  </si>
  <si>
    <t>Heating  Savings as % of annual Heating consumption</t>
  </si>
  <si>
    <t>Cooling Savings as % of annual Cooling consumption</t>
  </si>
  <si>
    <t>Proposed BHL</t>
  </si>
  <si>
    <t>Energy Consumption</t>
  </si>
  <si>
    <t>MMBTU per Billing Data</t>
  </si>
  <si>
    <t>Baseline MMBTU</t>
  </si>
  <si>
    <t>Proposed MMBTU</t>
  </si>
  <si>
    <t>Delta MMBTU</t>
  </si>
  <si>
    <t>Heating Fossil Fuel Avoidance Savings (MMbtu)</t>
  </si>
  <si>
    <t>Estimated kWh Savings</t>
  </si>
  <si>
    <t>Heating Sizing Ratio</t>
  </si>
  <si>
    <t>Bldg Sizing Tab</t>
  </si>
  <si>
    <t>Unmet Heating</t>
  </si>
  <si>
    <t>Delivered Heating Load (MMBtu)</t>
  </si>
  <si>
    <t>Heating Energy Use (kWh)</t>
  </si>
  <si>
    <t>Heating Fuel Use (MMBtu)</t>
  </si>
  <si>
    <t>Actual Seasonal Heating Efficiency 
(-)</t>
  </si>
  <si>
    <t>Actual Peak Heating Efficiency @ 5F 
(-)</t>
  </si>
  <si>
    <t>Heating Peak Demand @ 5F (kW)</t>
  </si>
  <si>
    <t>Total kBTU/sf</t>
  </si>
  <si>
    <t>Estimated savings after incorporating the billing data</t>
  </si>
  <si>
    <t>from Results (G5)</t>
  </si>
  <si>
    <t>Electric (kWh)</t>
  </si>
  <si>
    <t>Fuel (MMBtu)</t>
  </si>
  <si>
    <t>Total Site Energy (MMBtu)</t>
  </si>
  <si>
    <t>from Results</t>
  </si>
  <si>
    <t>from this sheet (AV49:AV50)</t>
  </si>
  <si>
    <t>Load BTU</t>
  </si>
  <si>
    <t>% of the total Load</t>
  </si>
  <si>
    <t>sum column Y</t>
  </si>
  <si>
    <t>BCL</t>
  </si>
  <si>
    <t>sum of AS</t>
  </si>
  <si>
    <t>BHL</t>
  </si>
  <si>
    <t>BEFLHC</t>
  </si>
  <si>
    <t>BEFLHH</t>
  </si>
  <si>
    <t>Efficiencies</t>
  </si>
  <si>
    <t>Net MMBtu Savings</t>
  </si>
  <si>
    <t>Heating Electrification Savings (kWh)</t>
  </si>
  <si>
    <t>Net kWh savings</t>
  </si>
  <si>
    <t xml:space="preserve">Estimated </t>
  </si>
  <si>
    <t>Cooling Equipment</t>
  </si>
  <si>
    <t>Estimated MMBTU</t>
  </si>
  <si>
    <t>SEER</t>
  </si>
  <si>
    <t>Billing adjusted MMBTU</t>
  </si>
  <si>
    <t>Heating Equipment</t>
  </si>
  <si>
    <t>Billing adjusted</t>
  </si>
  <si>
    <t>To be reported</t>
  </si>
  <si>
    <t>`</t>
  </si>
  <si>
    <t>OCCUPIED MODE</t>
  </si>
  <si>
    <t>Location Selected:</t>
  </si>
  <si>
    <t>Heating Calculation</t>
  </si>
  <si>
    <t>Cooling Calculation</t>
  </si>
  <si>
    <t>Row Reference for Bin data lookup</t>
  </si>
  <si>
    <t>Outdoor Air Temperature Mid-pts</t>
  </si>
  <si>
    <t>Occupied Hours @ Temp Bin</t>
  </si>
  <si>
    <t>Mode</t>
  </si>
  <si>
    <t>Baseline Building Load (Btuh)</t>
  </si>
  <si>
    <t>Proposed Building Load (Btuh)</t>
  </si>
  <si>
    <t>Baseline Delivered Heating Capacity  (Btuh)</t>
  </si>
  <si>
    <t>Proposed Delivered Heating Capacity  (Btuh)</t>
  </si>
  <si>
    <t>Baseline Heating Consumption (btu)</t>
  </si>
  <si>
    <t>Proposed Heating Consumption (btu)</t>
  </si>
  <si>
    <t>Net Heat Savings (btu)</t>
  </si>
  <si>
    <t xml:space="preserve">Baseline Cooling Capacity Adjustment Factor </t>
  </si>
  <si>
    <t xml:space="preserve">Proposed Cooling Capacity Adjustment Factor </t>
  </si>
  <si>
    <t>Baseline Cooling Capacity (Btuh)</t>
  </si>
  <si>
    <t>Proposed Cooling Capacity (Btuh)</t>
  </si>
  <si>
    <t>Delivered Cooling Capacity  BASELINE (Btuh)</t>
  </si>
  <si>
    <t>Delivered Cooling Capacity &gt; BCL</t>
  </si>
  <si>
    <t>Delivered Cooling Capacity  Proposed (Btuh)</t>
  </si>
  <si>
    <t>Baseline Cooling EIR Temperature Adjustment Factor 
(EIR = 1/Efficiency)</t>
  </si>
  <si>
    <t>Proposed Cooling EIR Temperature Adjustment Factor
(EIR = 1/Efficiency)</t>
  </si>
  <si>
    <t>Baseline Part Load Factor (1/PLF, Proposed Cd )</t>
  </si>
  <si>
    <t>Proposed Part Load Factor (1/PLF, Proposed Cd )</t>
  </si>
  <si>
    <t>Baseline Actual Cooling EER</t>
  </si>
  <si>
    <t>Proposed Actual Heat Pump Cooling EER</t>
  </si>
  <si>
    <t>Baseline Cooling Consumption (btu)</t>
  </si>
  <si>
    <t>Proposed Cooling Consumption (btu)</t>
  </si>
  <si>
    <t>Cool Savings (btu)</t>
  </si>
  <si>
    <t>Cool Savings (kWh)</t>
  </si>
  <si>
    <t>▲kWh Total</t>
  </si>
  <si>
    <t>▲MMbtu Total</t>
  </si>
  <si>
    <t>Lookup Reference</t>
  </si>
  <si>
    <t>Electric</t>
  </si>
  <si>
    <t>Building type:</t>
  </si>
  <si>
    <t>Fossil Fuel</t>
  </si>
  <si>
    <t>Baseline Degradation Constant</t>
  </si>
  <si>
    <t>Proposed Degradation Constant (same system as Baseline)</t>
  </si>
  <si>
    <t>Reduction MMBTU</t>
  </si>
  <si>
    <t>BHL Factor</t>
  </si>
  <si>
    <t>Utilization Ratio</t>
  </si>
  <si>
    <t>Back-up Sizing of Design Load</t>
  </si>
  <si>
    <t>Controls Factor</t>
  </si>
  <si>
    <t>Coincidence Factor (Peak Demand)</t>
  </si>
  <si>
    <t xml:space="preserve">Energy Consumption </t>
  </si>
  <si>
    <t>Billing Data MMBTU</t>
  </si>
  <si>
    <t>Ratio (sanity Check)</t>
  </si>
  <si>
    <t>Adjusted Billing Data MMBTU</t>
  </si>
  <si>
    <t>SAVINGS 
Delta MMBTU</t>
  </si>
  <si>
    <t>Existing HVAC system Cooling Efficiency (EER)</t>
  </si>
  <si>
    <t>Existing HVAC system Heating Efficiency (COP)</t>
  </si>
  <si>
    <t>Eff</t>
  </si>
  <si>
    <t>Totals</t>
  </si>
  <si>
    <t>▲Btu</t>
  </si>
  <si>
    <t>▲kWh</t>
  </si>
  <si>
    <t>UNOCCUPIED MODE</t>
  </si>
  <si>
    <t>Unoccupied Hours @ Temp Bin</t>
  </si>
  <si>
    <t>Building Type</t>
  </si>
  <si>
    <t>Schedules (ASHRAE 90.1 User Manual Typical Load Profiles)</t>
  </si>
  <si>
    <t>Office</t>
  </si>
  <si>
    <t>Assembly</t>
  </si>
  <si>
    <t>Health</t>
  </si>
  <si>
    <t>Light Manufacturing</t>
  </si>
  <si>
    <t>Restaurant</t>
  </si>
  <si>
    <t>Retail</t>
  </si>
  <si>
    <t>School</t>
  </si>
  <si>
    <t>Warehouse</t>
  </si>
  <si>
    <t>Laboratory</t>
  </si>
  <si>
    <t>Residential</t>
  </si>
  <si>
    <t>Multi-Family</t>
  </si>
  <si>
    <t>Custom</t>
  </si>
  <si>
    <t>Hour (Time of Day)</t>
  </si>
  <si>
    <t>HVAC Schedule</t>
  </si>
  <si>
    <t>Sat</t>
  </si>
  <si>
    <t>Sun</t>
  </si>
  <si>
    <t>Off</t>
  </si>
  <si>
    <t>On</t>
  </si>
  <si>
    <t>Multifamily</t>
  </si>
  <si>
    <t>Heating Balance Point</t>
  </si>
  <si>
    <t>Cooling Balance Point</t>
  </si>
  <si>
    <t>Heating Design Point</t>
  </si>
  <si>
    <t>Cooling Design Point</t>
  </si>
  <si>
    <t>Balance Point (deg F)</t>
  </si>
  <si>
    <t>Building Profiles</t>
  </si>
  <si>
    <t>Setpoints (deg F)</t>
  </si>
  <si>
    <t>Existing Building</t>
  </si>
  <si>
    <t>New Construction</t>
  </si>
  <si>
    <t>Set Points are from Appendix A of TRM</t>
  </si>
  <si>
    <t>Occupied Balance Points are from Geothermal Residential White Paper (2020) and ARUP Commercial Energy Plus Analysis where available; when building profile does not exist, value has been assumed.</t>
  </si>
  <si>
    <t>Unoccupied Balance Points are Assumed, typ +/- 3 to 5 degrees of Occupied Balance Points</t>
  </si>
  <si>
    <t>ARUP Commercial Analysis</t>
  </si>
  <si>
    <t>Balance Point COOLING</t>
  </si>
  <si>
    <t>Balance Point HEATING</t>
  </si>
  <si>
    <t>Pre-1980</t>
  </si>
  <si>
    <t>Post-1980</t>
  </si>
  <si>
    <t>NC</t>
  </si>
  <si>
    <t>4A</t>
  </si>
  <si>
    <t>Academic</t>
  </si>
  <si>
    <t>NY JFK</t>
  </si>
  <si>
    <t>5A</t>
  </si>
  <si>
    <t>Buffalo</t>
  </si>
  <si>
    <t>6A</t>
  </si>
  <si>
    <t>Massena</t>
  </si>
  <si>
    <t>Office-Low-Rise</t>
  </si>
  <si>
    <t>Office-Mid-Rise</t>
  </si>
  <si>
    <t>Grocery</t>
  </si>
  <si>
    <t>Hotel-Large</t>
  </si>
  <si>
    <t>Hotel-Small</t>
  </si>
  <si>
    <t>Outpatient</t>
  </si>
  <si>
    <t>Average</t>
  </si>
  <si>
    <t>Does not include hospital/outpatient; values are outliers</t>
  </si>
  <si>
    <t>Geothermal White Paper: Savings Calculations for Residential Ground Source Heat Pumps: The Basis for Equivalent Full Load Hours (EFLH) and Seasonal Efficiency Factors (2020)</t>
  </si>
  <si>
    <t>Envelope Measure List</t>
  </si>
  <si>
    <t>WindowType</t>
  </si>
  <si>
    <t>Insulation Style</t>
  </si>
  <si>
    <t>Year of Construction</t>
  </si>
  <si>
    <t>Program List</t>
  </si>
  <si>
    <t>Energy Code Compliance Path</t>
  </si>
  <si>
    <t>Section ECC406 Energy Code Compliance</t>
  </si>
  <si>
    <t>Envelope Tiers</t>
  </si>
  <si>
    <t>WR</t>
  </si>
  <si>
    <t>Single Pane Clear</t>
  </si>
  <si>
    <t>Between Studs</t>
  </si>
  <si>
    <t>Old (before 1950)</t>
  </si>
  <si>
    <t>Prescriptive - Tabular Analysis</t>
  </si>
  <si>
    <t>C406.2 More Efficient HVAC equipment</t>
  </si>
  <si>
    <t>WI</t>
  </si>
  <si>
    <t>Single Pane Tinted</t>
  </si>
  <si>
    <t>Continuous</t>
  </si>
  <si>
    <t>Moderately Old (1951-79)</t>
  </si>
  <si>
    <t>Prescriptive - COMcheck</t>
  </si>
  <si>
    <t>C406.3 Reduced Lighting Power</t>
  </si>
  <si>
    <t>AS</t>
  </si>
  <si>
    <t>Double Pane Clear</t>
  </si>
  <si>
    <t>Moderately New (1980-99)</t>
  </si>
  <si>
    <t>Total Building Performance - Energy Modeling</t>
  </si>
  <si>
    <t>C406.4 Enhanced Digital Lighting Controls</t>
  </si>
  <si>
    <t>OW</t>
  </si>
  <si>
    <t>Double Pane Tinted</t>
  </si>
  <si>
    <t>New (after 1999)</t>
  </si>
  <si>
    <t>SMB</t>
  </si>
  <si>
    <t>C406.5 Provision of Dedicated Outdoor Air System</t>
  </si>
  <si>
    <t>OC</t>
  </si>
  <si>
    <t>Triple Pane</t>
  </si>
  <si>
    <t>C406.6 High-efficiency Service Water Heating</t>
  </si>
  <si>
    <t>Window Film</t>
  </si>
  <si>
    <t>WF</t>
  </si>
  <si>
    <t>C406.7 Enhanced Envelope Performance</t>
  </si>
  <si>
    <t>Window Glazing</t>
  </si>
  <si>
    <t>WG</t>
  </si>
  <si>
    <t>C406.8 Reduced Air Infiltration</t>
  </si>
  <si>
    <t>Not Applicable</t>
  </si>
  <si>
    <t>WallIns</t>
  </si>
  <si>
    <t>R-0</t>
  </si>
  <si>
    <t>R-4</t>
  </si>
  <si>
    <t>R-8</t>
  </si>
  <si>
    <t>R-11</t>
  </si>
  <si>
    <t>R-13</t>
  </si>
  <si>
    <t>R-15</t>
  </si>
  <si>
    <t>R-19</t>
  </si>
  <si>
    <t>R-21</t>
  </si>
  <si>
    <t>R-25</t>
  </si>
  <si>
    <t>FloorIns</t>
  </si>
  <si>
    <t>R-5</t>
  </si>
  <si>
    <t>R-10</t>
  </si>
  <si>
    <t>R-12</t>
  </si>
  <si>
    <t>R-16</t>
  </si>
  <si>
    <t>R-20</t>
  </si>
  <si>
    <t>R-24</t>
  </si>
  <si>
    <t>R-30</t>
  </si>
  <si>
    <t>R-35</t>
  </si>
  <si>
    <t>R-38</t>
  </si>
  <si>
    <t>R-40</t>
  </si>
  <si>
    <t>R-45</t>
  </si>
  <si>
    <t>R-50</t>
  </si>
  <si>
    <t>R-55</t>
  </si>
  <si>
    <t>NY State Design Temperatures</t>
  </si>
  <si>
    <t>2021 ASHRAE</t>
  </si>
  <si>
    <t>ASHRAE 2017 Weather Station Name</t>
  </si>
  <si>
    <t>City Name</t>
  </si>
  <si>
    <t>99% heating</t>
  </si>
  <si>
    <t>1% cooling</t>
  </si>
  <si>
    <t>Closest ACCA Weather Station</t>
  </si>
  <si>
    <t>ALBANY INTL</t>
  </si>
  <si>
    <t>Albany</t>
  </si>
  <si>
    <t>GREATER BINGHAMTON AP</t>
  </si>
  <si>
    <t>Binghamton</t>
  </si>
  <si>
    <t>BUFFALO NIAGARA INTL</t>
  </si>
  <si>
    <t>REPUBLIC AP</t>
  </si>
  <si>
    <t>Central Long Island</t>
  </si>
  <si>
    <t>Islip</t>
  </si>
  <si>
    <t>ELMIRA CORNING REGIONAL</t>
  </si>
  <si>
    <t>Elmira</t>
  </si>
  <si>
    <t>Syracuse</t>
  </si>
  <si>
    <t>WHEELER-SACK AAF</t>
  </si>
  <si>
    <t>Fort Drum</t>
  </si>
  <si>
    <t>FLOYD BENNETT MEMORIAL</t>
  </si>
  <si>
    <t xml:space="preserve">Glens Falls </t>
  </si>
  <si>
    <t>LONG ISLAND MACARTHUR AP</t>
  </si>
  <si>
    <t>CHAUTAUQUA COUNTY AP</t>
  </si>
  <si>
    <t>Jamestown</t>
  </si>
  <si>
    <t>MASSENA INTL</t>
  </si>
  <si>
    <t>SULLIVAN COUNTY INTL</t>
  </si>
  <si>
    <t>Monticello</t>
  </si>
  <si>
    <t>Poughkeepsie</t>
  </si>
  <si>
    <t>NEW YORK CENTRAL PARK</t>
  </si>
  <si>
    <t>New York City - Central Park</t>
  </si>
  <si>
    <t>NYC Central Park</t>
  </si>
  <si>
    <t>JOHN F KENNEDY INTL</t>
  </si>
  <si>
    <t>New York City - JFK</t>
  </si>
  <si>
    <t>NYC JFK</t>
  </si>
  <si>
    <t>LAGUARDIA AP</t>
  </si>
  <si>
    <t>New York City - Laguardia</t>
  </si>
  <si>
    <t>NYC Laguardia</t>
  </si>
  <si>
    <t>NIAGARA FALLS INTL</t>
  </si>
  <si>
    <t>Niagara Falls</t>
  </si>
  <si>
    <t>DUTCHESS COUNTY AP</t>
  </si>
  <si>
    <t>GREATER ROCHESTER INTL</t>
  </si>
  <si>
    <t>Rochester</t>
  </si>
  <si>
    <t>ADIRONDACK REGIONAL</t>
  </si>
  <si>
    <t>Saranac Lake</t>
  </si>
  <si>
    <t>SYRACUSE HANCOCK INTL</t>
  </si>
  <si>
    <t>ONEIDA COUNTY AP</t>
  </si>
  <si>
    <t>Utica</t>
  </si>
  <si>
    <t>WATERTOWN INTL</t>
  </si>
  <si>
    <t>Watertown</t>
  </si>
  <si>
    <t>FRANCIS S GABRESKI AP</t>
  </si>
  <si>
    <t>Westhampton</t>
  </si>
  <si>
    <t>WESTCHESTER COUNTY AP</t>
  </si>
  <si>
    <t>White Plains</t>
  </si>
  <si>
    <t>White Plains WCA</t>
  </si>
  <si>
    <t>Min Baseline U</t>
  </si>
  <si>
    <t>Code U</t>
  </si>
  <si>
    <t>Sector</t>
  </si>
  <si>
    <t>2004-2007 Safety Factor - Electric</t>
  </si>
  <si>
    <t>2004-2007 Safety Factor - Gas</t>
  </si>
  <si>
    <t>2007-2010 Safety Factor - Electric</t>
  </si>
  <si>
    <t>2007-2010 Safety Factor - Gas</t>
  </si>
  <si>
    <t>2010-2013 Safety Factor - Electric</t>
  </si>
  <si>
    <t>2010-2013 Safety Factor - Gas</t>
  </si>
  <si>
    <t>2013-2016 Safety Factor - Electric</t>
  </si>
  <si>
    <t>2013-2016 Safety Factor - Gas</t>
  </si>
  <si>
    <t>2017 Safety Factor - Electric</t>
  </si>
  <si>
    <t>2017 Safety Factor - Gas</t>
  </si>
  <si>
    <t>Bin difference check</t>
  </si>
  <si>
    <t>Weedkay vs. Weekend</t>
  </si>
  <si>
    <t>total # hours</t>
  </si>
  <si>
    <t># occupied hours</t>
  </si>
  <si>
    <t># hours unoccupied hrs</t>
  </si>
  <si>
    <t>1st Q</t>
  </si>
  <si>
    <t>Median</t>
  </si>
  <si>
    <t>3rd Quartile</t>
  </si>
  <si>
    <t># hrs below 55 °F</t>
  </si>
  <si>
    <t># hrs above 65 °F</t>
  </si>
  <si>
    <t>NYC Lag</t>
  </si>
  <si>
    <t>Occupied</t>
  </si>
  <si>
    <t>Unoccupied</t>
  </si>
  <si>
    <t>Bin Temp</t>
  </si>
  <si>
    <t>Max</t>
  </si>
  <si>
    <t>Min</t>
  </si>
  <si>
    <t>WEEKDAY</t>
  </si>
  <si>
    <t>Hours Over 90F</t>
  </si>
  <si>
    <t>SATURDAY</t>
  </si>
  <si>
    <t>Hours Under 60F</t>
  </si>
  <si>
    <t>SUNDAY</t>
  </si>
  <si>
    <t>Hours Under 10F</t>
  </si>
  <si>
    <t>ALL</t>
  </si>
  <si>
    <t>Hours under 0F</t>
  </si>
  <si>
    <t>Defrost from ccASHP calculator prepared by NYSERDA</t>
  </si>
  <si>
    <t>8760 BIN Data</t>
  </si>
  <si>
    <t>Building Type:</t>
  </si>
  <si>
    <t>NEW YORK LAGUARDIA ARPT</t>
  </si>
  <si>
    <t>NEW YORK CENTRAL PRK OBS BELV</t>
  </si>
  <si>
    <t>WHITE PLAINS WESTCHESTER CO A</t>
  </si>
  <si>
    <t>NEW YORK J F KENNEDY INT'L AR</t>
  </si>
  <si>
    <t>ISLIP LONG ISL MACARTHUR AP</t>
  </si>
  <si>
    <t>POUGHKEEPSIE DUTCHESS CO AP</t>
  </si>
  <si>
    <t>BINGHAMTON EDWIN A LINK FIELD</t>
  </si>
  <si>
    <t>ALBANY COUNTY AP</t>
  </si>
  <si>
    <t>SYRACUSE HANCOCK INT'L ARPT</t>
  </si>
  <si>
    <t>BUFFALO NIAGARA INTL AP</t>
  </si>
  <si>
    <t>ROCHESTER GREATER ROCHESTER I</t>
  </si>
  <si>
    <t>MASSENA AP</t>
  </si>
  <si>
    <t>Low Temp</t>
  </si>
  <si>
    <t>Mid Point</t>
  </si>
  <si>
    <t>High Temp</t>
  </si>
  <si>
    <t>Mid-Pt Temp</t>
  </si>
  <si>
    <t>Defrost Factor</t>
  </si>
  <si>
    <t>Date (MM/DD/YYYY)</t>
  </si>
  <si>
    <t>Time (HH:MM)</t>
  </si>
  <si>
    <t>Dry-bulb (C)</t>
  </si>
  <si>
    <t>DB (F)</t>
  </si>
  <si>
    <t>Week Day</t>
  </si>
  <si>
    <t>Occupied?</t>
  </si>
  <si>
    <t>TOTAL</t>
  </si>
  <si>
    <t>Company Estimates for Peak Load and Consumption Based on Building Size and Type</t>
  </si>
  <si>
    <r>
      <rPr>
        <sz val="10"/>
        <color rgb="FF7030A0"/>
        <rFont val="Arial"/>
        <family val="2"/>
      </rPr>
      <t>Purple Means Less Than 10 Values</t>
    </r>
    <r>
      <rPr>
        <sz val="10"/>
        <color rgb="FFFF0000"/>
        <rFont val="Arial"/>
        <family val="2"/>
      </rPr>
      <t xml:space="preserve">,  Red Means Less Than 5 Values, </t>
    </r>
    <r>
      <rPr>
        <sz val="10"/>
        <color theme="9" tint="-0.249977111117893"/>
        <rFont val="Arial"/>
        <family val="2"/>
      </rPr>
      <t>Orange Means Estimated by using adjacent columns</t>
    </r>
  </si>
  <si>
    <t>Building Age</t>
  </si>
  <si>
    <t>Peak Load Factors (lbs per hr / MCF)</t>
  </si>
  <si>
    <t>Steam Consumption Factors (Mlb per MCF / year)</t>
  </si>
  <si>
    <t>Company Estimated Load Factor</t>
  </si>
  <si>
    <t>Peak Load Factors (BTU/h / CF)</t>
  </si>
  <si>
    <t>Steam Consumption Factors (kBTU / CF)</t>
  </si>
  <si>
    <t>Hot Water</t>
  </si>
  <si>
    <t>Air Conditioning</t>
  </si>
  <si>
    <t>Dry Cleaning</t>
  </si>
  <si>
    <t>Manufacturing</t>
  </si>
  <si>
    <t>HTG</t>
  </si>
  <si>
    <t>HTG,HW</t>
  </si>
  <si>
    <t>HTG,HW,AC</t>
  </si>
  <si>
    <t>HTG,AC</t>
  </si>
  <si>
    <t>AC</t>
  </si>
  <si>
    <t>HW</t>
  </si>
  <si>
    <t>Asylum and Home</t>
  </si>
  <si>
    <t>-</t>
  </si>
  <si>
    <t>Condominium</t>
  </si>
  <si>
    <t>Dry Cleaners</t>
  </si>
  <si>
    <t>Educational Facility</t>
  </si>
  <si>
    <t>Elevator Apartment</t>
  </si>
  <si>
    <t>Firehouse</t>
  </si>
  <si>
    <t>Foreign Government Building / United Nations</t>
  </si>
  <si>
    <t>Government Facility</t>
  </si>
  <si>
    <t>Hospital / Health Facility</t>
  </si>
  <si>
    <t>Hotel / Club</t>
  </si>
  <si>
    <t>Indoor Public Facility / Concert Hall</t>
  </si>
  <si>
    <t>Industrial and Manufacturing</t>
  </si>
  <si>
    <t>Loft Building</t>
  </si>
  <si>
    <t>Mixed Use (Residential &amp; Commercial)</t>
  </si>
  <si>
    <t>Mixed Use (Retail/Restaurant &amp; Commercial/Residential)</t>
  </si>
  <si>
    <t>Museum / Gallery</t>
  </si>
  <si>
    <t>Office Building</t>
  </si>
  <si>
    <t>One / Two Family Dwelling</t>
  </si>
  <si>
    <t>Religious Facility</t>
  </si>
  <si>
    <t>Spa</t>
  </si>
  <si>
    <t>Theater</t>
  </si>
  <si>
    <t>Utility Bureau Property</t>
  </si>
  <si>
    <t>Walk Up Apartment</t>
  </si>
  <si>
    <t>Buliding Type #1</t>
  </si>
  <si>
    <t>Type of Construction</t>
  </si>
  <si>
    <t>Building Loads Source</t>
  </si>
  <si>
    <t>Buliding Type #2</t>
  </si>
  <si>
    <t>Manual J or ACCA 183 calculations</t>
  </si>
  <si>
    <t>Estimate</t>
  </si>
  <si>
    <t>Buliding Type #3</t>
  </si>
  <si>
    <t>Data was revised to correct anomalies</t>
  </si>
  <si>
    <t>Types of Building</t>
  </si>
  <si>
    <t>missing in original zip list</t>
  </si>
  <si>
    <t>ZIP Code</t>
  </si>
  <si>
    <t>Weather_Station</t>
  </si>
  <si>
    <t>Town Name</t>
  </si>
  <si>
    <t>99% Heating Design Temp</t>
  </si>
  <si>
    <t>1% Cooling Design Temp</t>
  </si>
  <si>
    <t>Snow_Depth</t>
  </si>
  <si>
    <t>Project Zip Code:</t>
  </si>
  <si>
    <t>ID</t>
  </si>
  <si>
    <t>Lat</t>
  </si>
  <si>
    <t>Lon</t>
  </si>
  <si>
    <t>Elev Ft</t>
  </si>
  <si>
    <t>99.6% temp</t>
  </si>
  <si>
    <t>0.4% DB</t>
  </si>
  <si>
    <t>MCWB</t>
  </si>
  <si>
    <t>1% DB</t>
  </si>
  <si>
    <t>TRM site</t>
  </si>
  <si>
    <t>Snow</t>
  </si>
  <si>
    <t>Recommended Weather Station:</t>
  </si>
  <si>
    <t>Name</t>
  </si>
  <si>
    <t>Cold Design Temp:</t>
  </si>
  <si>
    <t>Warm Design Temp:</t>
  </si>
  <si>
    <t>Recommended Snow Depth:</t>
  </si>
  <si>
    <t>Farmingdale</t>
  </si>
  <si>
    <t>NY - Central Park</t>
  </si>
  <si>
    <t>NY - JFK</t>
  </si>
  <si>
    <t>NY- Laguardia</t>
  </si>
  <si>
    <t>x</t>
  </si>
  <si>
    <t>AFTER 1999</t>
  </si>
  <si>
    <t>NEW CONSTRUCTION</t>
  </si>
  <si>
    <t>Climate 4A</t>
  </si>
  <si>
    <t>ASHRAE 90.1</t>
  </si>
  <si>
    <t>UNIT</t>
  </si>
  <si>
    <t>AREA</t>
  </si>
  <si>
    <t>BTU/h per ft2</t>
  </si>
  <si>
    <t>ft2</t>
  </si>
  <si>
    <t>Large Office</t>
  </si>
  <si>
    <t>Medium Office</t>
  </si>
  <si>
    <t>Small Office</t>
  </si>
  <si>
    <t>MF Mid Rise</t>
  </si>
  <si>
    <t>MF High Rise</t>
  </si>
  <si>
    <t>Large Office per Peak Consumption</t>
  </si>
  <si>
    <t>Small Office per Peak Consumption</t>
  </si>
  <si>
    <t>MF Mid Rise per Peak Consumption</t>
  </si>
  <si>
    <t>MF High Rise per Peak Consumption</t>
  </si>
  <si>
    <t>Hospital per Peak Consumption</t>
  </si>
  <si>
    <t>Quick Service Restaurant</t>
  </si>
  <si>
    <t>Full Service Restaurant</t>
  </si>
  <si>
    <t>Primary School</t>
  </si>
  <si>
    <t>Stand-alone Retail</t>
  </si>
  <si>
    <t>Small Hotel</t>
  </si>
  <si>
    <t>Large Hotel</t>
  </si>
  <si>
    <t>Warehouse (non-refrigerated)</t>
  </si>
  <si>
    <t>Residential MF CZ4</t>
  </si>
  <si>
    <t>Residential SF CZ4</t>
  </si>
  <si>
    <t>Outpatient Healthcare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</si>
</sst>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4" formatCode="_(&quot;$&quot;* #,##0.00_);_(&quot;$&quot;* \(#,##0.00\);_(&quot;$&quot;* &quot;-&quot;??_);_(@_)"/>
    <numFmt numFmtId="43" formatCode="_(* #,##0.00_);_(* \(#,##0.00\);_(* &quot;-&quot;??_);_(@_)"/>
    <numFmt numFmtId="164" formatCode="h:mm;@"/>
    <numFmt numFmtId="165" formatCode="_(* #,##0.0_);_(* \(#,##0.0\);_(* &quot;-&quot;??_);_(@_)"/>
    <numFmt numFmtId="166" formatCode="_(* #,##0_);_(* \(#,##0\);_(* &quot;-&quot;??_);_(@_)"/>
    <numFmt numFmtId="167" formatCode="0.0%"/>
    <numFmt numFmtId="168" formatCode="0.000"/>
    <numFmt numFmtId="169" formatCode="0.0"/>
    <numFmt numFmtId="170" formatCode="_(&quot;$&quot;* #,##0_);_(&quot;$&quot;* \(#,##0\);_(&quot;$&quot;* &quot;-&quot;??_);_(@_)"/>
    <numFmt numFmtId="171" formatCode="0.0000"/>
    <numFmt numFmtId="172" formatCode="_(* #,##0.000_);_(* \(#,##0.000\);_(* &quot;-&quot;??_);_(@_)"/>
    <numFmt numFmtId="173" formatCode="0.00000000000"/>
    <numFmt numFmtId="174" formatCode="_(* #,##0.0000000000_);_(* \(#,##0.0000000000\);_(* &quot;-&quot;??_);_(@_)"/>
    <numFmt numFmtId="175" formatCode="_(* #,##0.00000_);_(* \(#,##0.00000\);_(* &quot;-&quot;??_);_(@_)"/>
    <numFmt numFmtId="176" formatCode=";;;"/>
    <numFmt numFmtId="177" formatCode="[$-409]m/d/yy\ h:mm\ AM/PM;@"/>
    <numFmt numFmtId="178" formatCode="#,##0.0"/>
  </numFmts>
  <fonts count="72"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rgb="FFFF0000"/>
      <name val="Arial"/>
      <family val="2"/>
    </font>
    <font>
      <b/>
      <sz val="10"/>
      <color theme="1"/>
      <name val="Arial"/>
      <family val="2"/>
    </font>
    <font>
      <sz val="11"/>
      <color theme="1"/>
      <name val="Calibri"/>
      <family val="2"/>
      <scheme val="minor"/>
    </font>
    <font>
      <b/>
      <sz val="11"/>
      <color theme="1"/>
      <name val="Calibri"/>
      <family val="2"/>
      <scheme val="minor"/>
    </font>
    <font>
      <sz val="11"/>
      <name val="Calibri"/>
      <family val="2"/>
      <scheme val="minor"/>
    </font>
    <font>
      <sz val="10"/>
      <color rgb="FF000000"/>
      <name val="Arial"/>
      <family val="2"/>
    </font>
    <font>
      <i/>
      <sz val="11"/>
      <color theme="1"/>
      <name val="Arial"/>
      <family val="2"/>
    </font>
    <font>
      <sz val="11"/>
      <color theme="1"/>
      <name val="Arial"/>
      <family val="2"/>
    </font>
    <font>
      <b/>
      <sz val="11"/>
      <color rgb="FFFFFFFF"/>
      <name val="Arial"/>
      <family val="2"/>
    </font>
    <font>
      <b/>
      <sz val="10"/>
      <color rgb="FFFFFFFF"/>
      <name val="Arial"/>
      <family val="2"/>
    </font>
    <font>
      <b/>
      <sz val="10"/>
      <color rgb="FF000000"/>
      <name val="Arial"/>
      <family val="2"/>
    </font>
    <font>
      <sz val="11"/>
      <color rgb="FFFF0000"/>
      <name val="Calibri"/>
      <family val="2"/>
      <scheme val="minor"/>
    </font>
    <font>
      <b/>
      <i/>
      <sz val="10"/>
      <color theme="1"/>
      <name val="Arial"/>
      <family val="2"/>
    </font>
    <font>
      <i/>
      <sz val="10"/>
      <color theme="1"/>
      <name val="Arial"/>
      <family val="2"/>
    </font>
    <font>
      <sz val="11"/>
      <color rgb="FF000000"/>
      <name val="Arial"/>
      <family val="2"/>
    </font>
    <font>
      <sz val="9"/>
      <color theme="1"/>
      <name val="Arial"/>
      <family val="2"/>
    </font>
    <font>
      <sz val="10"/>
      <color rgb="FF9C0006"/>
      <name val="Arial"/>
      <family val="2"/>
    </font>
    <font>
      <b/>
      <u/>
      <sz val="10"/>
      <color theme="1"/>
      <name val="Arial"/>
      <family val="2"/>
    </font>
    <font>
      <sz val="10"/>
      <name val="Arial"/>
      <family val="2"/>
    </font>
    <font>
      <b/>
      <sz val="11"/>
      <color theme="0"/>
      <name val="Calibri"/>
      <family val="2"/>
      <scheme val="minor"/>
    </font>
    <font>
      <b/>
      <sz val="10"/>
      <name val="Arial"/>
      <family val="2"/>
    </font>
    <font>
      <b/>
      <sz val="10"/>
      <color theme="1"/>
      <name val="Calibri"/>
      <family val="2"/>
      <scheme val="minor"/>
    </font>
    <font>
      <b/>
      <u/>
      <sz val="12"/>
      <name val="Arial"/>
      <family val="2"/>
    </font>
    <font>
      <sz val="10"/>
      <color rgb="FF7030A0"/>
      <name val="Arial"/>
      <family val="2"/>
    </font>
    <font>
      <sz val="10"/>
      <color theme="9" tint="-0.249977111117893"/>
      <name val="Arial"/>
      <family val="2"/>
    </font>
    <font>
      <b/>
      <sz val="12"/>
      <name val="Arial"/>
      <family val="2"/>
    </font>
    <font>
      <sz val="12"/>
      <name val="Arial"/>
      <family val="2"/>
    </font>
    <font>
      <sz val="10"/>
      <color theme="0"/>
      <name val="Arial"/>
      <family val="2"/>
    </font>
    <font>
      <sz val="11"/>
      <color rgb="FFC00000"/>
      <name val="Calibri"/>
      <family val="2"/>
      <scheme val="minor"/>
    </font>
    <font>
      <sz val="11"/>
      <color rgb="FF000000"/>
      <name val="Calibri"/>
      <family val="2"/>
    </font>
    <font>
      <sz val="10"/>
      <color theme="0" tint="-0.34998626667073579"/>
      <name val="Calibri"/>
      <family val="2"/>
    </font>
    <font>
      <sz val="11"/>
      <color theme="0" tint="-0.34998626667073579"/>
      <name val="Calibri"/>
      <family val="2"/>
    </font>
    <font>
      <b/>
      <sz val="11"/>
      <color rgb="FF000000"/>
      <name val="Calibri"/>
      <family val="2"/>
    </font>
    <font>
      <sz val="11"/>
      <color theme="9"/>
      <name val="Calibri"/>
      <family val="2"/>
      <scheme val="minor"/>
    </font>
    <font>
      <b/>
      <sz val="11"/>
      <color theme="1"/>
      <name val="Arial"/>
      <family val="2"/>
    </font>
    <font>
      <b/>
      <i/>
      <sz val="11"/>
      <color theme="1"/>
      <name val="Arial"/>
      <family val="2"/>
    </font>
    <font>
      <b/>
      <sz val="14"/>
      <color theme="1"/>
      <name val="Arial"/>
      <family val="2"/>
    </font>
    <font>
      <sz val="14"/>
      <color theme="1"/>
      <name val="Arial"/>
      <family val="2"/>
    </font>
    <font>
      <b/>
      <sz val="11"/>
      <color theme="0" tint="-4.9989318521683403E-2"/>
      <name val="Arial"/>
      <family val="2"/>
    </font>
    <font>
      <sz val="11"/>
      <color theme="0" tint="-4.9989318521683403E-2"/>
      <name val="Arial"/>
      <family val="2"/>
    </font>
    <font>
      <sz val="11"/>
      <color rgb="FFC00000"/>
      <name val="Arial"/>
      <family val="2"/>
    </font>
    <font>
      <sz val="11"/>
      <name val="Arial"/>
      <family val="2"/>
    </font>
    <font>
      <b/>
      <sz val="11"/>
      <name val="Arial"/>
      <family val="2"/>
    </font>
    <font>
      <sz val="11"/>
      <color theme="0"/>
      <name val="Arial"/>
      <family val="2"/>
    </font>
    <font>
      <sz val="11"/>
      <color theme="0" tint="-0.34998626667073579"/>
      <name val="Arial"/>
      <family val="2"/>
    </font>
    <font>
      <i/>
      <sz val="11"/>
      <color theme="0" tint="-4.9989318521683403E-2"/>
      <name val="Arial"/>
      <family val="2"/>
    </font>
    <font>
      <b/>
      <i/>
      <sz val="11"/>
      <name val="Arial"/>
      <family val="2"/>
    </font>
    <font>
      <b/>
      <sz val="8"/>
      <color theme="0" tint="-4.9989318521683403E-2"/>
      <name val="Arial"/>
      <family val="2"/>
    </font>
    <font>
      <b/>
      <sz val="14"/>
      <color theme="0"/>
      <name val="Arial"/>
      <family val="2"/>
    </font>
    <font>
      <i/>
      <sz val="11"/>
      <color rgb="FFFF0000"/>
      <name val="Arial"/>
      <family val="2"/>
    </font>
    <font>
      <b/>
      <u/>
      <sz val="11"/>
      <color theme="1"/>
      <name val="Arial"/>
      <family val="2"/>
    </font>
    <font>
      <b/>
      <sz val="11"/>
      <color theme="0"/>
      <name val="Arial"/>
      <family val="2"/>
    </font>
    <font>
      <b/>
      <sz val="14"/>
      <color rgb="FFFF0000"/>
      <name val="Arial"/>
      <family val="2"/>
    </font>
    <font>
      <sz val="11"/>
      <color rgb="FF000000"/>
      <name val="Calibri"/>
      <family val="2"/>
      <scheme val="minor"/>
    </font>
    <font>
      <b/>
      <sz val="12"/>
      <color theme="1"/>
      <name val="Arial"/>
      <family val="2"/>
    </font>
    <font>
      <sz val="11"/>
      <color rgb="FFFF0000"/>
      <name val="Arial"/>
      <family val="2"/>
    </font>
    <font>
      <b/>
      <sz val="12"/>
      <color rgb="FFFF0000"/>
      <name val="Arial"/>
      <family val="2"/>
    </font>
    <font>
      <b/>
      <i/>
      <sz val="11"/>
      <color rgb="FFFF0000"/>
      <name val="Arial"/>
      <family val="2"/>
    </font>
    <font>
      <b/>
      <sz val="14"/>
      <color rgb="FFC00000"/>
      <name val="Arial"/>
      <family val="2"/>
    </font>
    <font>
      <b/>
      <vertAlign val="subscript"/>
      <sz val="10"/>
      <name val="Arial"/>
      <family val="2"/>
    </font>
    <font>
      <b/>
      <sz val="10"/>
      <color theme="0" tint="-0.34998626667073579"/>
      <name val="Arial"/>
      <family val="2"/>
    </font>
    <font>
      <sz val="10"/>
      <color theme="0" tint="-0.34998626667073579"/>
      <name val="Arial"/>
      <family val="2"/>
    </font>
    <font>
      <sz val="10"/>
      <color theme="0" tint="-0.499984740745262"/>
      <name val="Arial"/>
      <family val="2"/>
    </font>
    <font>
      <b/>
      <sz val="10"/>
      <color theme="0" tint="-0.499984740745262"/>
      <name val="Arial"/>
      <family val="2"/>
    </font>
    <font>
      <sz val="11"/>
      <color theme="0" tint="-0.499984740745262"/>
      <name val="Arial"/>
      <family val="2"/>
    </font>
    <font>
      <b/>
      <sz val="12"/>
      <color theme="0"/>
      <name val="Arial"/>
      <family val="2"/>
    </font>
    <font>
      <sz val="11"/>
      <color theme="6"/>
      <name val="Arial"/>
      <family val="2"/>
    </font>
  </fonts>
  <fills count="28">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theme="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C7CE"/>
      </patternFill>
    </fill>
    <fill>
      <patternFill patternType="solid">
        <fgColor theme="6" tint="0.39997558519241921"/>
        <bgColor indexed="65"/>
      </patternFill>
    </fill>
    <fill>
      <patternFill patternType="solid">
        <fgColor theme="4" tint="-0.499984740745262"/>
        <bgColor indexed="64"/>
      </patternFill>
    </fill>
    <fill>
      <patternFill patternType="solid">
        <fgColor theme="5" tint="-0.249977111117893"/>
        <bgColor indexed="64"/>
      </patternFill>
    </fill>
    <fill>
      <patternFill patternType="solid">
        <fgColor rgb="FFFFC000"/>
        <bgColor indexed="64"/>
      </patternFill>
    </fill>
    <fill>
      <patternFill patternType="solid">
        <fgColor theme="6" tint="0.79998168889431442"/>
        <bgColor indexed="64"/>
      </patternFill>
    </fill>
    <fill>
      <patternFill patternType="solid">
        <fgColor rgb="FFCCFFCC"/>
        <bgColor indexed="64"/>
      </patternFill>
    </fill>
    <fill>
      <patternFill patternType="solid">
        <fgColor theme="9"/>
      </patternFill>
    </fill>
    <fill>
      <patternFill patternType="solid">
        <fgColor theme="9" tint="0.59999389629810485"/>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7" tint="0.59999389629810485"/>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thin">
        <color indexed="64"/>
      </top>
      <bottom/>
      <diagonal/>
    </border>
    <border>
      <left style="medium">
        <color theme="0"/>
      </left>
      <right style="medium">
        <color theme="0"/>
      </right>
      <top style="medium">
        <color theme="0"/>
      </top>
      <bottom style="medium">
        <color theme="0"/>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medium">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4" tint="0.39997558519241921"/>
      </top>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right/>
      <top/>
      <bottom style="thin">
        <color indexed="64"/>
      </bottom>
      <diagonal/>
    </border>
    <border>
      <left style="thin">
        <color indexed="64"/>
      </left>
      <right style="thin">
        <color indexed="64"/>
      </right>
      <top style="medium">
        <color indexed="64"/>
      </top>
      <bottom/>
      <diagonal/>
    </border>
    <border>
      <left style="medium">
        <color indexed="64"/>
      </left>
      <right/>
      <top style="medium">
        <color rgb="FFC00000"/>
      </top>
      <bottom style="thin">
        <color indexed="64"/>
      </bottom>
      <diagonal/>
    </border>
    <border>
      <left style="thin">
        <color indexed="64"/>
      </left>
      <right style="thin">
        <color indexed="64"/>
      </right>
      <top/>
      <bottom style="medium">
        <color auto="1"/>
      </bottom>
      <diagonal/>
    </border>
    <border>
      <left style="thin">
        <color indexed="64"/>
      </left>
      <right style="medium">
        <color indexed="64"/>
      </right>
      <top/>
      <bottom style="medium">
        <color indexed="64"/>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top style="medium">
        <color theme="0"/>
      </top>
      <bottom/>
      <diagonal/>
    </border>
    <border>
      <left/>
      <right/>
      <top/>
      <bottom style="medium">
        <color theme="0"/>
      </bottom>
      <diagonal/>
    </border>
    <border>
      <left style="medium">
        <color theme="0"/>
      </left>
      <right style="medium">
        <color theme="0"/>
      </right>
      <top/>
      <bottom style="medium">
        <color theme="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11">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10" fillId="0" borderId="0"/>
    <xf numFmtId="0" fontId="21" fillId="13" borderId="0" applyNumberFormat="0" applyBorder="0" applyAlignment="0" applyProtection="0"/>
    <xf numFmtId="0" fontId="7" fillId="14" borderId="0" applyNumberFormat="0" applyBorder="0" applyAlignment="0" applyProtection="0"/>
    <xf numFmtId="0" fontId="23" fillId="0" borderId="0"/>
    <xf numFmtId="9" fontId="23" fillId="0" borderId="0" applyFont="0" applyFill="0" applyBorder="0" applyAlignment="0" applyProtection="0"/>
    <xf numFmtId="0" fontId="32" fillId="20" borderId="0" applyNumberFormat="0" applyBorder="0" applyAlignment="0" applyProtection="0"/>
    <xf numFmtId="0" fontId="34" fillId="0" borderId="0" applyBorder="0"/>
  </cellStyleXfs>
  <cellXfs count="945">
    <xf numFmtId="0" fontId="0" fillId="0" borderId="0" xfId="0"/>
    <xf numFmtId="0" fontId="9" fillId="0" borderId="0" xfId="0" applyFont="1"/>
    <xf numFmtId="0" fontId="11" fillId="0" borderId="0" xfId="0" applyFont="1"/>
    <xf numFmtId="0" fontId="12" fillId="0" borderId="0" xfId="0" applyFont="1"/>
    <xf numFmtId="0" fontId="12" fillId="0" borderId="0" xfId="0" applyFont="1" applyAlignment="1">
      <alignment wrapText="1"/>
    </xf>
    <xf numFmtId="168" fontId="10" fillId="0" borderId="43" xfId="4" applyNumberFormat="1" applyBorder="1" applyAlignment="1">
      <alignment vertical="center"/>
    </xf>
    <xf numFmtId="0" fontId="6" fillId="0" borderId="43" xfId="0" applyFont="1" applyBorder="1"/>
    <xf numFmtId="0" fontId="4" fillId="0" borderId="0" xfId="0" applyFont="1"/>
    <xf numFmtId="168" fontId="10" fillId="0" borderId="0" xfId="4" applyNumberFormat="1" applyAlignment="1">
      <alignment vertical="center"/>
    </xf>
    <xf numFmtId="0" fontId="0" fillId="10" borderId="0" xfId="0" applyFill="1"/>
    <xf numFmtId="0" fontId="0" fillId="0" borderId="14" xfId="0" applyBorder="1"/>
    <xf numFmtId="0" fontId="0" fillId="0" borderId="36" xfId="0" applyBorder="1"/>
    <xf numFmtId="0" fontId="8" fillId="0" borderId="38" xfId="0" applyFont="1" applyBorder="1" applyAlignment="1">
      <alignment horizontal="center"/>
    </xf>
    <xf numFmtId="0" fontId="8" fillId="0" borderId="46" xfId="0" applyFont="1" applyBorder="1" applyAlignment="1">
      <alignment horizontal="center"/>
    </xf>
    <xf numFmtId="0" fontId="8" fillId="0" borderId="0" xfId="0" applyFont="1" applyAlignment="1">
      <alignment horizontal="center"/>
    </xf>
    <xf numFmtId="0" fontId="8" fillId="0" borderId="47" xfId="0" applyFont="1" applyBorder="1" applyAlignment="1">
      <alignment horizontal="center"/>
    </xf>
    <xf numFmtId="0" fontId="0" fillId="0" borderId="49" xfId="0" applyBorder="1"/>
    <xf numFmtId="0" fontId="0" fillId="0" borderId="3" xfId="0" applyBorder="1"/>
    <xf numFmtId="0" fontId="0" fillId="0" borderId="43" xfId="0" applyBorder="1"/>
    <xf numFmtId="0" fontId="0" fillId="0" borderId="51" xfId="0" applyBorder="1"/>
    <xf numFmtId="164" fontId="0" fillId="0" borderId="0" xfId="0" applyNumberFormat="1"/>
    <xf numFmtId="0" fontId="0" fillId="0" borderId="47" xfId="0" applyBorder="1"/>
    <xf numFmtId="0" fontId="0" fillId="0" borderId="46" xfId="0" applyBorder="1"/>
    <xf numFmtId="0" fontId="16" fillId="0" borderId="0" xfId="0" applyFont="1"/>
    <xf numFmtId="0" fontId="0" fillId="0" borderId="12" xfId="0" applyBorder="1"/>
    <xf numFmtId="0" fontId="8" fillId="0" borderId="43" xfId="0" applyFont="1" applyBorder="1" applyAlignment="1">
      <alignment horizontal="center"/>
    </xf>
    <xf numFmtId="0" fontId="5" fillId="0" borderId="0" xfId="0" applyFont="1"/>
    <xf numFmtId="0" fontId="6" fillId="0" borderId="43" xfId="0" applyFont="1" applyBorder="1" applyAlignment="1">
      <alignment horizontal="right"/>
    </xf>
    <xf numFmtId="0" fontId="6" fillId="10" borderId="32" xfId="0" applyFont="1" applyFill="1" applyBorder="1"/>
    <xf numFmtId="0" fontId="6" fillId="0" borderId="38" xfId="0" applyFont="1" applyBorder="1" applyAlignment="1">
      <alignment horizontal="center"/>
    </xf>
    <xf numFmtId="0" fontId="6" fillId="0" borderId="46" xfId="0" applyFont="1" applyBorder="1" applyAlignment="1">
      <alignment horizontal="center"/>
    </xf>
    <xf numFmtId="0" fontId="6" fillId="0" borderId="14" xfId="0" applyFont="1" applyBorder="1" applyAlignment="1">
      <alignment horizontal="center"/>
    </xf>
    <xf numFmtId="0" fontId="6" fillId="0" borderId="0" xfId="0" applyFont="1" applyAlignment="1">
      <alignment horizontal="center"/>
    </xf>
    <xf numFmtId="0" fontId="6" fillId="0" borderId="36" xfId="0" applyFont="1" applyBorder="1" applyAlignment="1">
      <alignment horizontal="center"/>
    </xf>
    <xf numFmtId="0" fontId="6" fillId="0" borderId="47" xfId="0" applyFont="1" applyBorder="1" applyAlignment="1">
      <alignment horizontal="center"/>
    </xf>
    <xf numFmtId="0" fontId="17" fillId="10" borderId="0" xfId="0" applyFont="1" applyFill="1"/>
    <xf numFmtId="0" fontId="5" fillId="0" borderId="43" xfId="0" applyFont="1" applyBorder="1"/>
    <xf numFmtId="169" fontId="5" fillId="0" borderId="43" xfId="0" applyNumberFormat="1" applyFont="1" applyBorder="1"/>
    <xf numFmtId="0" fontId="18" fillId="10" borderId="0" xfId="0" applyFont="1" applyFill="1"/>
    <xf numFmtId="0" fontId="0" fillId="0" borderId="66" xfId="0" applyBorder="1"/>
    <xf numFmtId="0" fontId="0" fillId="0" borderId="67" xfId="0" applyBorder="1"/>
    <xf numFmtId="0" fontId="0" fillId="0" borderId="65" xfId="0" applyBorder="1"/>
    <xf numFmtId="0" fontId="0" fillId="0" borderId="68" xfId="0" applyBorder="1"/>
    <xf numFmtId="0" fontId="20" fillId="2" borderId="0" xfId="0" applyFont="1" applyFill="1"/>
    <xf numFmtId="0" fontId="20" fillId="2" borderId="0" xfId="0" applyFont="1" applyFill="1" applyAlignment="1">
      <alignment horizontal="center" vertical="center"/>
    </xf>
    <xf numFmtId="166" fontId="20" fillId="2" borderId="0" xfId="1" applyNumberFormat="1" applyFont="1" applyFill="1" applyAlignment="1">
      <alignment horizontal="center" vertical="center"/>
    </xf>
    <xf numFmtId="0" fontId="0" fillId="0" borderId="0" xfId="0" applyAlignment="1">
      <alignment horizontal="center"/>
    </xf>
    <xf numFmtId="43" fontId="8" fillId="0" borderId="0" xfId="1" applyFont="1" applyBorder="1" applyAlignment="1">
      <alignment horizontal="left" vertical="center"/>
    </xf>
    <xf numFmtId="0" fontId="8" fillId="0" borderId="32" xfId="0" applyFont="1" applyBorder="1" applyAlignment="1">
      <alignment horizontal="center"/>
    </xf>
    <xf numFmtId="9" fontId="0" fillId="0" borderId="0" xfId="0" applyNumberFormat="1"/>
    <xf numFmtId="0" fontId="0" fillId="0" borderId="62" xfId="0" applyBorder="1" applyAlignment="1">
      <alignment horizontal="center"/>
    </xf>
    <xf numFmtId="0" fontId="0" fillId="0" borderId="43" xfId="0" applyBorder="1" applyAlignment="1">
      <alignment horizontal="center"/>
    </xf>
    <xf numFmtId="0" fontId="0" fillId="0" borderId="28" xfId="0" applyBorder="1" applyAlignment="1">
      <alignment horizontal="center"/>
    </xf>
    <xf numFmtId="1" fontId="0" fillId="0" borderId="0" xfId="0" applyNumberFormat="1" applyAlignment="1">
      <alignment horizontal="center"/>
    </xf>
    <xf numFmtId="0" fontId="0" fillId="0" borderId="0" xfId="0" applyAlignment="1">
      <alignment horizontal="right"/>
    </xf>
    <xf numFmtId="0" fontId="0" fillId="12" borderId="0" xfId="0" applyFill="1"/>
    <xf numFmtId="0" fontId="0" fillId="12" borderId="0" xfId="0" applyFill="1" applyAlignment="1">
      <alignment horizontal="right"/>
    </xf>
    <xf numFmtId="0" fontId="9" fillId="0" borderId="66" xfId="0" applyFont="1" applyBorder="1"/>
    <xf numFmtId="0" fontId="9" fillId="0" borderId="12" xfId="0" applyFont="1" applyBorder="1"/>
    <xf numFmtId="0" fontId="8" fillId="0" borderId="32" xfId="0" applyFont="1" applyBorder="1"/>
    <xf numFmtId="0" fontId="0" fillId="0" borderId="39" xfId="0" applyBorder="1"/>
    <xf numFmtId="0" fontId="0" fillId="0" borderId="40" xfId="0" applyBorder="1"/>
    <xf numFmtId="0" fontId="9" fillId="0" borderId="67" xfId="0" applyFont="1" applyBorder="1"/>
    <xf numFmtId="0" fontId="8" fillId="0" borderId="47" xfId="0" applyFont="1" applyBorder="1" applyAlignment="1">
      <alignment horizontal="center" wrapText="1"/>
    </xf>
    <xf numFmtId="0" fontId="8" fillId="0" borderId="46" xfId="0" applyFont="1" applyBorder="1" applyAlignment="1">
      <alignment horizontal="center" wrapText="1"/>
    </xf>
    <xf numFmtId="0" fontId="8" fillId="0" borderId="14" xfId="0" applyFont="1" applyBorder="1" applyAlignment="1">
      <alignment horizontal="center" wrapText="1"/>
    </xf>
    <xf numFmtId="0" fontId="8" fillId="0" borderId="36" xfId="0" applyFont="1" applyBorder="1" applyAlignment="1">
      <alignment horizontal="center" wrapText="1"/>
    </xf>
    <xf numFmtId="0" fontId="8" fillId="0" borderId="1" xfId="0" applyFont="1" applyBorder="1" applyAlignment="1">
      <alignment vertical="center" wrapText="1"/>
    </xf>
    <xf numFmtId="0" fontId="8" fillId="0" borderId="2" xfId="0" applyFont="1" applyBorder="1" applyAlignment="1">
      <alignment vertical="center"/>
    </xf>
    <xf numFmtId="0" fontId="8" fillId="0" borderId="3" xfId="0" applyFont="1" applyBorder="1" applyAlignment="1">
      <alignment vertical="center"/>
    </xf>
    <xf numFmtId="0" fontId="9" fillId="0" borderId="0" xfId="0" applyFont="1" applyAlignment="1">
      <alignment horizontal="center"/>
    </xf>
    <xf numFmtId="0" fontId="0" fillId="0" borderId="1" xfId="0" applyBorder="1"/>
    <xf numFmtId="0" fontId="0" fillId="0" borderId="2" xfId="0" applyBorder="1"/>
    <xf numFmtId="0" fontId="8" fillId="0" borderId="47" xfId="0" applyFont="1" applyBorder="1" applyAlignment="1">
      <alignment vertical="center" wrapText="1"/>
    </xf>
    <xf numFmtId="14" fontId="0" fillId="0" borderId="67" xfId="0" applyNumberFormat="1" applyBorder="1"/>
    <xf numFmtId="14" fontId="9" fillId="0" borderId="67" xfId="0" applyNumberFormat="1" applyFont="1" applyBorder="1"/>
    <xf numFmtId="20" fontId="9" fillId="0" borderId="0" xfId="0" applyNumberFormat="1" applyFont="1"/>
    <xf numFmtId="20" fontId="0" fillId="0" borderId="0" xfId="0" applyNumberFormat="1"/>
    <xf numFmtId="164" fontId="0" fillId="0" borderId="50" xfId="0" applyNumberFormat="1" applyBorder="1"/>
    <xf numFmtId="164" fontId="0" fillId="0" borderId="53" xfId="0" applyNumberFormat="1" applyBorder="1"/>
    <xf numFmtId="46" fontId="0" fillId="0" borderId="0" xfId="0" applyNumberFormat="1"/>
    <xf numFmtId="164" fontId="0" fillId="0" borderId="56" xfId="0" applyNumberFormat="1" applyBorder="1"/>
    <xf numFmtId="0" fontId="16" fillId="7" borderId="43" xfId="0" applyFont="1" applyFill="1" applyBorder="1"/>
    <xf numFmtId="171" fontId="0" fillId="0" borderId="43" xfId="0" applyNumberFormat="1" applyBorder="1"/>
    <xf numFmtId="14" fontId="0" fillId="0" borderId="63" xfId="0" applyNumberFormat="1" applyBorder="1"/>
    <xf numFmtId="164" fontId="0" fillId="0" borderId="69" xfId="0" applyNumberFormat="1" applyBorder="1"/>
    <xf numFmtId="0" fontId="0" fillId="0" borderId="69" xfId="0" applyBorder="1"/>
    <xf numFmtId="20" fontId="0" fillId="0" borderId="69" xfId="0" applyNumberFormat="1" applyBorder="1"/>
    <xf numFmtId="46" fontId="0" fillId="0" borderId="69" xfId="0" applyNumberFormat="1" applyBorder="1"/>
    <xf numFmtId="0" fontId="0" fillId="0" borderId="18" xfId="0" applyBorder="1"/>
    <xf numFmtId="14" fontId="0" fillId="0" borderId="0" xfId="0" applyNumberFormat="1"/>
    <xf numFmtId="0" fontId="3" fillId="0" borderId="0" xfId="0" applyFont="1"/>
    <xf numFmtId="0" fontId="6" fillId="0" borderId="0" xfId="0" applyFont="1"/>
    <xf numFmtId="0" fontId="22" fillId="8" borderId="0" xfId="0" applyFont="1" applyFill="1"/>
    <xf numFmtId="0" fontId="23" fillId="8" borderId="0" xfId="0" applyFont="1" applyFill="1"/>
    <xf numFmtId="0" fontId="24" fillId="15" borderId="71" xfId="0" applyFont="1" applyFill="1" applyBorder="1" applyAlignment="1">
      <alignment vertical="center"/>
    </xf>
    <xf numFmtId="0" fontId="24" fillId="16" borderId="28" xfId="0" applyFont="1" applyFill="1" applyBorder="1" applyAlignment="1">
      <alignment vertical="center"/>
    </xf>
    <xf numFmtId="0" fontId="5" fillId="7" borderId="0" xfId="0" applyFont="1" applyFill="1"/>
    <xf numFmtId="0" fontId="6" fillId="8" borderId="43" xfId="0" applyFont="1" applyFill="1" applyBorder="1" applyAlignment="1">
      <alignment horizontal="right" wrapText="1"/>
    </xf>
    <xf numFmtId="0" fontId="25" fillId="12" borderId="43" xfId="0" applyFont="1" applyFill="1" applyBorder="1" applyAlignment="1">
      <alignment horizontal="center" vertical="center" wrapText="1"/>
    </xf>
    <xf numFmtId="0" fontId="18" fillId="7" borderId="0" xfId="0" applyFont="1" applyFill="1"/>
    <xf numFmtId="4" fontId="5" fillId="7" borderId="0" xfId="0" applyNumberFormat="1" applyFont="1" applyFill="1"/>
    <xf numFmtId="0" fontId="23" fillId="0" borderId="43" xfId="0" applyFont="1" applyBorder="1"/>
    <xf numFmtId="0" fontId="6" fillId="0" borderId="43" xfId="0" applyFont="1" applyBorder="1" applyAlignment="1">
      <alignment wrapText="1"/>
    </xf>
    <xf numFmtId="0" fontId="22" fillId="9" borderId="0" xfId="0" applyFont="1" applyFill="1"/>
    <xf numFmtId="0" fontId="6" fillId="9" borderId="43" xfId="0" applyFont="1" applyFill="1" applyBorder="1" applyAlignment="1">
      <alignment horizontal="center" vertical="center" wrapText="1"/>
    </xf>
    <xf numFmtId="0" fontId="6" fillId="7" borderId="43" xfId="0" applyFont="1" applyFill="1" applyBorder="1"/>
    <xf numFmtId="165" fontId="5" fillId="7" borderId="0" xfId="1" applyNumberFormat="1" applyFont="1" applyFill="1"/>
    <xf numFmtId="165" fontId="5" fillId="7" borderId="0" xfId="0" applyNumberFormat="1" applyFont="1" applyFill="1"/>
    <xf numFmtId="166" fontId="5" fillId="7" borderId="0" xfId="0" applyNumberFormat="1" applyFont="1" applyFill="1"/>
    <xf numFmtId="0" fontId="6" fillId="17" borderId="43" xfId="0" applyFont="1" applyFill="1" applyBorder="1"/>
    <xf numFmtId="0" fontId="6" fillId="17" borderId="20" xfId="0" applyFont="1" applyFill="1" applyBorder="1"/>
    <xf numFmtId="0" fontId="25" fillId="0" borderId="43" xfId="0" applyFont="1" applyBorder="1" applyAlignment="1">
      <alignment horizontal="center" vertical="center" wrapText="1"/>
    </xf>
    <xf numFmtId="43" fontId="23" fillId="10" borderId="43" xfId="1" applyFont="1" applyFill="1" applyBorder="1" applyAlignment="1">
      <alignment horizontal="center" vertical="center"/>
    </xf>
    <xf numFmtId="0" fontId="23" fillId="0" borderId="43" xfId="0" applyFont="1" applyBorder="1" applyAlignment="1">
      <alignment horizontal="center" vertical="center"/>
    </xf>
    <xf numFmtId="0" fontId="6" fillId="0" borderId="43" xfId="0" applyFont="1" applyBorder="1" applyAlignment="1">
      <alignment horizontal="center" vertical="center" wrapText="1"/>
    </xf>
    <xf numFmtId="172" fontId="23" fillId="10" borderId="43" xfId="1" applyNumberFormat="1" applyFont="1" applyFill="1" applyBorder="1" applyAlignment="1">
      <alignment horizontal="center" vertical="center"/>
    </xf>
    <xf numFmtId="0" fontId="7" fillId="14" borderId="43" xfId="6" applyBorder="1"/>
    <xf numFmtId="166" fontId="7" fillId="14" borderId="43" xfId="6" applyNumberFormat="1" applyBorder="1"/>
    <xf numFmtId="43" fontId="0" fillId="0" borderId="0" xfId="1" applyFont="1" applyProtection="1"/>
    <xf numFmtId="0" fontId="6" fillId="0" borderId="54" xfId="0" applyFont="1" applyBorder="1" applyAlignment="1">
      <alignment vertical="center"/>
    </xf>
    <xf numFmtId="0" fontId="26" fillId="17" borderId="4" xfId="0" applyFont="1" applyFill="1" applyBorder="1"/>
    <xf numFmtId="0" fontId="25" fillId="0" borderId="54" xfId="0" applyFont="1" applyBorder="1" applyAlignment="1">
      <alignment horizontal="center" vertical="center" wrapText="1"/>
    </xf>
    <xf numFmtId="0" fontId="25" fillId="8" borderId="30" xfId="0" applyFont="1" applyFill="1" applyBorder="1"/>
    <xf numFmtId="0" fontId="25" fillId="8" borderId="43" xfId="0" applyFont="1" applyFill="1" applyBorder="1" applyAlignment="1">
      <alignment horizontal="center"/>
    </xf>
    <xf numFmtId="0" fontId="25" fillId="8" borderId="30" xfId="0" applyFont="1" applyFill="1" applyBorder="1" applyAlignment="1">
      <alignment horizontal="center"/>
    </xf>
    <xf numFmtId="0" fontId="25" fillId="8" borderId="20" xfId="0" applyFont="1" applyFill="1" applyBorder="1" applyAlignment="1">
      <alignment horizontal="center"/>
    </xf>
    <xf numFmtId="0" fontId="23" fillId="0" borderId="43" xfId="0" applyFont="1" applyBorder="1" applyAlignment="1">
      <alignment vertical="center"/>
    </xf>
    <xf numFmtId="0" fontId="25" fillId="0" borderId="43" xfId="0" applyFont="1" applyBorder="1" applyAlignment="1">
      <alignment vertical="center"/>
    </xf>
    <xf numFmtId="0" fontId="25" fillId="4" borderId="43" xfId="0" applyFont="1" applyFill="1" applyBorder="1" applyAlignment="1">
      <alignment horizontal="center" vertical="center" wrapText="1"/>
    </xf>
    <xf numFmtId="0" fontId="23" fillId="0" borderId="43" xfId="0" applyFont="1" applyBorder="1" applyAlignment="1">
      <alignment horizontal="center" vertical="center" wrapText="1"/>
    </xf>
    <xf numFmtId="0" fontId="23" fillId="10" borderId="43" xfId="0" applyFont="1" applyFill="1" applyBorder="1" applyAlignment="1">
      <alignment horizontal="center" vertical="center" wrapText="1"/>
    </xf>
    <xf numFmtId="0" fontId="6" fillId="0" borderId="43" xfId="0" applyFont="1" applyBorder="1" applyAlignment="1">
      <alignment horizontal="center"/>
    </xf>
    <xf numFmtId="0" fontId="23" fillId="0" borderId="0" xfId="0" applyFont="1"/>
    <xf numFmtId="0" fontId="23" fillId="0" borderId="54" xfId="0" applyFont="1" applyBorder="1"/>
    <xf numFmtId="0" fontId="8" fillId="8" borderId="43" xfId="0" applyFont="1" applyFill="1" applyBorder="1"/>
    <xf numFmtId="0" fontId="8" fillId="9" borderId="43" xfId="0" applyFont="1" applyFill="1" applyBorder="1"/>
    <xf numFmtId="0" fontId="6" fillId="0" borderId="8" xfId="0" applyFont="1" applyBorder="1" applyAlignment="1">
      <alignment horizontal="center"/>
    </xf>
    <xf numFmtId="3" fontId="6" fillId="4" borderId="8" xfId="0" applyNumberFormat="1" applyFont="1" applyFill="1" applyBorder="1" applyAlignment="1">
      <alignment horizontal="center"/>
    </xf>
    <xf numFmtId="3" fontId="6" fillId="0" borderId="0" xfId="0" applyNumberFormat="1" applyFont="1" applyAlignment="1">
      <alignment horizontal="center"/>
    </xf>
    <xf numFmtId="0" fontId="6" fillId="0" borderId="54" xfId="0" applyFont="1" applyBorder="1" applyAlignment="1">
      <alignment horizontal="left" vertical="center"/>
    </xf>
    <xf numFmtId="0" fontId="6" fillId="0" borderId="30" xfId="0" applyFont="1" applyBorder="1" applyAlignment="1">
      <alignment horizontal="left" vertical="center"/>
    </xf>
    <xf numFmtId="0" fontId="6" fillId="0" borderId="30" xfId="0" applyFont="1" applyBorder="1" applyAlignment="1">
      <alignment vertical="center"/>
    </xf>
    <xf numFmtId="43" fontId="6" fillId="0" borderId="30" xfId="1" applyFont="1" applyBorder="1" applyAlignment="1">
      <alignment vertical="center"/>
    </xf>
    <xf numFmtId="43" fontId="6" fillId="0" borderId="20" xfId="1" applyFont="1" applyBorder="1" applyAlignment="1">
      <alignment vertical="center"/>
    </xf>
    <xf numFmtId="0" fontId="25" fillId="8" borderId="20" xfId="0" applyFont="1" applyFill="1" applyBorder="1"/>
    <xf numFmtId="43" fontId="6" fillId="17" borderId="43" xfId="1" applyFont="1" applyFill="1" applyBorder="1" applyAlignment="1">
      <alignment horizontal="center"/>
    </xf>
    <xf numFmtId="0" fontId="25" fillId="0" borderId="43" xfId="0" applyFont="1" applyBorder="1" applyAlignment="1">
      <alignment horizontal="center" vertical="center"/>
    </xf>
    <xf numFmtId="43" fontId="23" fillId="0" borderId="43" xfId="1" applyFont="1" applyFill="1" applyBorder="1" applyAlignment="1">
      <alignment horizontal="center" vertical="center"/>
    </xf>
    <xf numFmtId="0" fontId="27" fillId="0" borderId="0" xfId="7" applyFont="1"/>
    <xf numFmtId="0" fontId="23" fillId="0" borderId="0" xfId="7"/>
    <xf numFmtId="166" fontId="23" fillId="0" borderId="0" xfId="1" applyNumberFormat="1" applyFont="1"/>
    <xf numFmtId="0" fontId="5" fillId="0" borderId="0" xfId="7" applyFont="1"/>
    <xf numFmtId="0" fontId="23" fillId="0" borderId="29" xfId="7" applyBorder="1" applyAlignment="1">
      <alignment horizontal="center" vertical="center"/>
    </xf>
    <xf numFmtId="0" fontId="23" fillId="0" borderId="31" xfId="7" applyBorder="1" applyAlignment="1">
      <alignment horizontal="center" vertical="center"/>
    </xf>
    <xf numFmtId="0" fontId="23" fillId="0" borderId="56" xfId="7" applyBorder="1" applyAlignment="1">
      <alignment horizontal="center"/>
    </xf>
    <xf numFmtId="0" fontId="23" fillId="0" borderId="55" xfId="7" applyBorder="1" applyAlignment="1">
      <alignment horizontal="center"/>
    </xf>
    <xf numFmtId="0" fontId="23" fillId="0" borderId="23" xfId="7" applyBorder="1" applyAlignment="1">
      <alignment horizontal="center"/>
    </xf>
    <xf numFmtId="0" fontId="23" fillId="0" borderId="22" xfId="7" applyBorder="1" applyAlignment="1">
      <alignment horizontal="center"/>
    </xf>
    <xf numFmtId="0" fontId="23" fillId="0" borderId="42" xfId="7" applyBorder="1" applyAlignment="1">
      <alignment horizontal="center" vertical="center" wrapText="1"/>
    </xf>
    <xf numFmtId="0" fontId="23" fillId="0" borderId="72" xfId="7" applyBorder="1" applyAlignment="1">
      <alignment horizontal="center"/>
    </xf>
    <xf numFmtId="0" fontId="23" fillId="0" borderId="73" xfId="7" applyBorder="1" applyAlignment="1">
      <alignment horizontal="center"/>
    </xf>
    <xf numFmtId="166" fontId="23" fillId="0" borderId="56" xfId="1" applyNumberFormat="1" applyFont="1" applyBorder="1" applyAlignment="1">
      <alignment horizontal="center"/>
    </xf>
    <xf numFmtId="166" fontId="23" fillId="0" borderId="55" xfId="1" applyNumberFormat="1" applyFont="1" applyBorder="1" applyAlignment="1">
      <alignment horizontal="center"/>
    </xf>
    <xf numFmtId="166" fontId="23" fillId="0" borderId="22" xfId="1" applyNumberFormat="1" applyFont="1" applyBorder="1" applyAlignment="1">
      <alignment horizontal="center"/>
    </xf>
    <xf numFmtId="0" fontId="23" fillId="0" borderId="50" xfId="7" applyBorder="1"/>
    <xf numFmtId="0" fontId="23" fillId="0" borderId="29" xfId="7" applyBorder="1"/>
    <xf numFmtId="0" fontId="23" fillId="0" borderId="52" xfId="7" applyBorder="1"/>
    <xf numFmtId="2" fontId="5" fillId="0" borderId="50" xfId="7" applyNumberFormat="1" applyFont="1" applyBorder="1" applyAlignment="1">
      <alignment horizontal="center" vertical="center"/>
    </xf>
    <xf numFmtId="2" fontId="5" fillId="0" borderId="49" xfId="7" applyNumberFormat="1" applyFont="1" applyBorder="1" applyAlignment="1">
      <alignment horizontal="center" vertical="center"/>
    </xf>
    <xf numFmtId="2" fontId="29" fillId="0" borderId="43" xfId="7" applyNumberFormat="1" applyFont="1" applyBorder="1" applyAlignment="1">
      <alignment horizontal="center" vertical="center"/>
    </xf>
    <xf numFmtId="2" fontId="23" fillId="0" borderId="49" xfId="7" applyNumberFormat="1" applyBorder="1" applyAlignment="1">
      <alignment horizontal="center" vertical="center"/>
    </xf>
    <xf numFmtId="2" fontId="28" fillId="0" borderId="48" xfId="7" applyNumberFormat="1" applyFont="1" applyBorder="1" applyAlignment="1">
      <alignment horizontal="center" vertical="center"/>
    </xf>
    <xf numFmtId="2" fontId="28" fillId="0" borderId="49" xfId="7" applyNumberFormat="1" applyFont="1" applyBorder="1" applyAlignment="1">
      <alignment horizontal="center" vertical="center"/>
    </xf>
    <xf numFmtId="2" fontId="29" fillId="0" borderId="49" xfId="7" applyNumberFormat="1" applyFont="1" applyBorder="1" applyAlignment="1">
      <alignment horizontal="center" vertical="center"/>
    </xf>
    <xf numFmtId="9" fontId="29" fillId="0" borderId="50" xfId="8" applyFont="1" applyBorder="1" applyAlignment="1">
      <alignment horizontal="center" vertical="center"/>
    </xf>
    <xf numFmtId="9" fontId="28" fillId="0" borderId="49" xfId="8" applyFont="1" applyBorder="1" applyAlignment="1">
      <alignment horizontal="center" vertical="center"/>
    </xf>
    <xf numFmtId="9" fontId="29" fillId="0" borderId="49" xfId="8" applyFont="1" applyBorder="1" applyAlignment="1">
      <alignment horizontal="center" vertical="center"/>
    </xf>
    <xf numFmtId="9" fontId="0" fillId="0" borderId="49" xfId="8" applyFont="1" applyBorder="1" applyAlignment="1">
      <alignment horizontal="center" vertical="center"/>
    </xf>
    <xf numFmtId="9" fontId="0" fillId="0" borderId="51" xfId="8" applyFont="1" applyBorder="1" applyAlignment="1">
      <alignment horizontal="center" vertical="center"/>
    </xf>
    <xf numFmtId="43" fontId="23" fillId="10" borderId="20" xfId="1" applyFont="1" applyFill="1" applyBorder="1" applyAlignment="1">
      <alignment horizontal="center" vertical="center"/>
    </xf>
    <xf numFmtId="2" fontId="23" fillId="0" borderId="51" xfId="7" applyNumberFormat="1" applyBorder="1" applyAlignment="1">
      <alignment horizontal="center" vertical="center"/>
    </xf>
    <xf numFmtId="0" fontId="23" fillId="0" borderId="53" xfId="7" applyBorder="1" applyAlignment="1">
      <alignment vertical="center"/>
    </xf>
    <xf numFmtId="0" fontId="23" fillId="0" borderId="30" xfId="7" applyBorder="1" applyAlignment="1">
      <alignment vertical="center"/>
    </xf>
    <xf numFmtId="0" fontId="23" fillId="0" borderId="54" xfId="7" applyBorder="1"/>
    <xf numFmtId="2" fontId="5" fillId="0" borderId="53" xfId="7" applyNumberFormat="1" applyFont="1" applyBorder="1" applyAlignment="1">
      <alignment horizontal="center" vertical="center"/>
    </xf>
    <xf numFmtId="2" fontId="5" fillId="0" borderId="43" xfId="7" applyNumberFormat="1" applyFont="1" applyBorder="1" applyAlignment="1">
      <alignment horizontal="center" vertical="center"/>
    </xf>
    <xf numFmtId="2" fontId="23" fillId="0" borderId="43" xfId="7" applyNumberFormat="1" applyBorder="1" applyAlignment="1">
      <alignment horizontal="center" vertical="center"/>
    </xf>
    <xf numFmtId="2" fontId="28" fillId="0" borderId="43" xfId="7" applyNumberFormat="1" applyFont="1" applyBorder="1" applyAlignment="1">
      <alignment horizontal="center" vertical="center"/>
    </xf>
    <xf numFmtId="9" fontId="29" fillId="0" borderId="53" xfId="8" applyFont="1" applyBorder="1" applyAlignment="1">
      <alignment horizontal="center" vertical="center"/>
    </xf>
    <xf numFmtId="9" fontId="28" fillId="0" borderId="43" xfId="8" applyFont="1" applyBorder="1" applyAlignment="1">
      <alignment horizontal="center" vertical="center"/>
    </xf>
    <xf numFmtId="9" fontId="29" fillId="0" borderId="43" xfId="8" applyFont="1" applyBorder="1" applyAlignment="1">
      <alignment horizontal="center" vertical="center"/>
    </xf>
    <xf numFmtId="9" fontId="0" fillId="0" borderId="43" xfId="8" applyFont="1" applyBorder="1" applyAlignment="1">
      <alignment horizontal="center" vertical="center"/>
    </xf>
    <xf numFmtId="9" fontId="0" fillId="0" borderId="21" xfId="8" applyFont="1" applyBorder="1" applyAlignment="1">
      <alignment horizontal="center" vertical="center"/>
    </xf>
    <xf numFmtId="43" fontId="5" fillId="0" borderId="53" xfId="1" applyFont="1" applyBorder="1" applyAlignment="1">
      <alignment horizontal="center" vertical="center"/>
    </xf>
    <xf numFmtId="43" fontId="5" fillId="0" borderId="43" xfId="1" applyFont="1" applyBorder="1" applyAlignment="1">
      <alignment horizontal="center" vertical="center"/>
    </xf>
    <xf numFmtId="2" fontId="23" fillId="0" borderId="21" xfId="7" applyNumberFormat="1" applyBorder="1" applyAlignment="1">
      <alignment horizontal="center" vertical="center"/>
    </xf>
    <xf numFmtId="43" fontId="28" fillId="0" borderId="20" xfId="1" applyFont="1" applyBorder="1" applyAlignment="1">
      <alignment horizontal="center" vertical="center"/>
    </xf>
    <xf numFmtId="43" fontId="28" fillId="0" borderId="43" xfId="1" applyFont="1" applyBorder="1" applyAlignment="1">
      <alignment horizontal="center" vertical="center"/>
    </xf>
    <xf numFmtId="2" fontId="29" fillId="0" borderId="33" xfId="7" applyNumberFormat="1" applyFont="1" applyBorder="1" applyAlignment="1">
      <alignment horizontal="center" vertical="center"/>
    </xf>
    <xf numFmtId="43" fontId="29" fillId="0" borderId="33" xfId="1" applyFont="1" applyBorder="1" applyAlignment="1">
      <alignment horizontal="center" vertical="center"/>
    </xf>
    <xf numFmtId="43" fontId="29" fillId="0" borderId="43" xfId="1" applyFont="1" applyBorder="1" applyAlignment="1">
      <alignment horizontal="center" vertical="center"/>
    </xf>
    <xf numFmtId="43" fontId="29" fillId="0" borderId="20" xfId="1" applyFont="1" applyBorder="1" applyAlignment="1">
      <alignment horizontal="center" vertical="center"/>
    </xf>
    <xf numFmtId="0" fontId="23" fillId="0" borderId="56" xfId="7" applyBorder="1" applyAlignment="1">
      <alignment vertical="center"/>
    </xf>
    <xf numFmtId="0" fontId="23" fillId="0" borderId="31" xfId="7" applyBorder="1" applyAlignment="1">
      <alignment vertical="center"/>
    </xf>
    <xf numFmtId="0" fontId="23" fillId="0" borderId="57" xfId="7" applyBorder="1"/>
    <xf numFmtId="2" fontId="29" fillId="0" borderId="28" xfId="7" applyNumberFormat="1" applyFont="1" applyBorder="1" applyAlignment="1">
      <alignment horizontal="center" vertical="center"/>
    </xf>
    <xf numFmtId="2" fontId="29" fillId="0" borderId="55" xfId="7" applyNumberFormat="1" applyFont="1" applyBorder="1" applyAlignment="1">
      <alignment horizontal="center" vertical="center"/>
    </xf>
    <xf numFmtId="2" fontId="23" fillId="0" borderId="55" xfId="7" applyNumberFormat="1" applyBorder="1" applyAlignment="1">
      <alignment horizontal="center" vertical="center"/>
    </xf>
    <xf numFmtId="2" fontId="29" fillId="0" borderId="22" xfId="7" applyNumberFormat="1" applyFont="1" applyBorder="1" applyAlignment="1">
      <alignment horizontal="center" vertical="center"/>
    </xf>
    <xf numFmtId="2" fontId="5" fillId="0" borderId="22" xfId="7" applyNumberFormat="1" applyFont="1" applyBorder="1" applyAlignment="1">
      <alignment horizontal="center" vertical="center"/>
    </xf>
    <xf numFmtId="9" fontId="29" fillId="0" borderId="56" xfId="8" applyFont="1" applyBorder="1" applyAlignment="1">
      <alignment horizontal="center" vertical="center"/>
    </xf>
    <xf numFmtId="9" fontId="29" fillId="0" borderId="55" xfId="8" applyFont="1" applyBorder="1" applyAlignment="1">
      <alignment horizontal="center" vertical="center"/>
    </xf>
    <xf numFmtId="9" fontId="0" fillId="0" borderId="55" xfId="8" applyFont="1" applyBorder="1" applyAlignment="1">
      <alignment horizontal="center" vertical="center"/>
    </xf>
    <xf numFmtId="9" fontId="0" fillId="0" borderId="23" xfId="8" applyFont="1" applyBorder="1" applyAlignment="1">
      <alignment horizontal="center" vertical="center"/>
    </xf>
    <xf numFmtId="43" fontId="29" fillId="0" borderId="28" xfId="1" applyFont="1" applyBorder="1" applyAlignment="1">
      <alignment horizontal="center" vertical="center"/>
    </xf>
    <xf numFmtId="43" fontId="29" fillId="0" borderId="55" xfId="1" applyFont="1" applyBorder="1" applyAlignment="1">
      <alignment horizontal="center" vertical="center"/>
    </xf>
    <xf numFmtId="2" fontId="23" fillId="0" borderId="23" xfId="7" applyNumberFormat="1" applyBorder="1" applyAlignment="1">
      <alignment horizontal="center" vertical="center"/>
    </xf>
    <xf numFmtId="43" fontId="29" fillId="0" borderId="22" xfId="1" applyFont="1" applyBorder="1" applyAlignment="1">
      <alignment horizontal="center" vertical="center"/>
    </xf>
    <xf numFmtId="2" fontId="28" fillId="0" borderId="50" xfId="7" applyNumberFormat="1" applyFont="1" applyBorder="1" applyAlignment="1">
      <alignment horizontal="center" vertical="center"/>
    </xf>
    <xf numFmtId="2" fontId="5" fillId="0" borderId="48" xfId="7" applyNumberFormat="1" applyFont="1" applyBorder="1" applyAlignment="1">
      <alignment horizontal="center" vertical="center"/>
    </xf>
    <xf numFmtId="43" fontId="28" fillId="0" borderId="50" xfId="1" applyFont="1" applyBorder="1" applyAlignment="1">
      <alignment horizontal="center" vertical="center"/>
    </xf>
    <xf numFmtId="43" fontId="28" fillId="0" borderId="49" xfId="1" applyFont="1" applyBorder="1" applyAlignment="1">
      <alignment horizontal="center" vertical="center"/>
    </xf>
    <xf numFmtId="43" fontId="29" fillId="0" borderId="49" xfId="1" applyFont="1" applyBorder="1" applyAlignment="1">
      <alignment horizontal="center" vertical="center"/>
    </xf>
    <xf numFmtId="2" fontId="23" fillId="0" borderId="53" xfId="7" applyNumberFormat="1" applyBorder="1" applyAlignment="1">
      <alignment horizontal="center" vertical="center"/>
    </xf>
    <xf numFmtId="2" fontId="23" fillId="0" borderId="20" xfId="7" applyNumberFormat="1" applyBorder="1" applyAlignment="1">
      <alignment horizontal="center" vertical="center"/>
    </xf>
    <xf numFmtId="9" fontId="5" fillId="0" borderId="43" xfId="8" applyFont="1" applyBorder="1" applyAlignment="1">
      <alignment horizontal="center" vertical="center"/>
    </xf>
    <xf numFmtId="43" fontId="23" fillId="0" borderId="20" xfId="1" applyFont="1" applyBorder="1" applyAlignment="1">
      <alignment horizontal="center" vertical="center"/>
    </xf>
    <xf numFmtId="43" fontId="23" fillId="0" borderId="43" xfId="1" applyFont="1" applyBorder="1" applyAlignment="1">
      <alignment horizontal="center" vertical="center"/>
    </xf>
    <xf numFmtId="9" fontId="28" fillId="0" borderId="53" xfId="8" applyFont="1" applyBorder="1" applyAlignment="1">
      <alignment horizontal="center" vertical="center"/>
    </xf>
    <xf numFmtId="43" fontId="23" fillId="0" borderId="53" xfId="1" applyFont="1" applyBorder="1" applyAlignment="1">
      <alignment horizontal="center" vertical="center"/>
    </xf>
    <xf numFmtId="2" fontId="23" fillId="0" borderId="56" xfId="7" applyNumberFormat="1" applyBorder="1" applyAlignment="1">
      <alignment horizontal="center" vertical="center"/>
    </xf>
    <xf numFmtId="2" fontId="23" fillId="0" borderId="22" xfId="7" applyNumberFormat="1" applyBorder="1" applyAlignment="1">
      <alignment horizontal="center" vertical="center"/>
    </xf>
    <xf numFmtId="9" fontId="28" fillId="0" borderId="56" xfId="8" applyFont="1" applyBorder="1" applyAlignment="1">
      <alignment horizontal="center" vertical="center"/>
    </xf>
    <xf numFmtId="43" fontId="23" fillId="0" borderId="56" xfId="1" applyFont="1" applyBorder="1" applyAlignment="1">
      <alignment horizontal="center" vertical="center"/>
    </xf>
    <xf numFmtId="43" fontId="23" fillId="0" borderId="55" xfId="1" applyFont="1" applyBorder="1" applyAlignment="1">
      <alignment horizontal="center" vertical="center"/>
    </xf>
    <xf numFmtId="43" fontId="23" fillId="0" borderId="22" xfId="1" applyFont="1" applyBorder="1" applyAlignment="1">
      <alignment horizontal="center" vertical="center"/>
    </xf>
    <xf numFmtId="2" fontId="23" fillId="0" borderId="50" xfId="7" applyNumberFormat="1" applyBorder="1" applyAlignment="1">
      <alignment horizontal="center" vertical="center"/>
    </xf>
    <xf numFmtId="2" fontId="5" fillId="0" borderId="51" xfId="7" applyNumberFormat="1" applyFont="1" applyBorder="1" applyAlignment="1">
      <alignment horizontal="center" vertical="center"/>
    </xf>
    <xf numFmtId="2" fontId="23" fillId="0" borderId="48" xfId="7" applyNumberFormat="1" applyBorder="1" applyAlignment="1">
      <alignment horizontal="center" vertical="center"/>
    </xf>
    <xf numFmtId="2" fontId="28" fillId="0" borderId="51" xfId="7" applyNumberFormat="1" applyFont="1" applyBorder="1" applyAlignment="1">
      <alignment horizontal="center" vertical="center"/>
    </xf>
    <xf numFmtId="9" fontId="0" fillId="0" borderId="50" xfId="8" applyFont="1" applyBorder="1" applyAlignment="1">
      <alignment horizontal="center" vertical="center"/>
    </xf>
    <xf numFmtId="9" fontId="5" fillId="0" borderId="49" xfId="8" applyFont="1" applyBorder="1" applyAlignment="1">
      <alignment horizontal="center" vertical="center"/>
    </xf>
    <xf numFmtId="43" fontId="23" fillId="0" borderId="50" xfId="1" applyFont="1" applyBorder="1" applyAlignment="1">
      <alignment horizontal="center" vertical="center"/>
    </xf>
    <xf numFmtId="43" fontId="23" fillId="0" borderId="49" xfId="1" applyFont="1" applyBorder="1" applyAlignment="1">
      <alignment horizontal="center" vertical="center"/>
    </xf>
    <xf numFmtId="43" fontId="23" fillId="0" borderId="48" xfId="1" applyFont="1" applyBorder="1" applyAlignment="1">
      <alignment horizontal="center" vertical="center"/>
    </xf>
    <xf numFmtId="2" fontId="29" fillId="0" borderId="21" xfId="7" applyNumberFormat="1" applyFont="1" applyBorder="1" applyAlignment="1">
      <alignment horizontal="center" vertical="center"/>
    </xf>
    <xf numFmtId="9" fontId="0" fillId="0" borderId="53" xfId="8" applyFont="1" applyBorder="1" applyAlignment="1">
      <alignment horizontal="center" vertical="center"/>
    </xf>
    <xf numFmtId="2" fontId="29" fillId="0" borderId="23" xfId="7" applyNumberFormat="1" applyFont="1" applyBorder="1" applyAlignment="1">
      <alignment horizontal="center" vertical="center"/>
    </xf>
    <xf numFmtId="9" fontId="0" fillId="0" borderId="56" xfId="8" applyFont="1" applyBorder="1" applyAlignment="1">
      <alignment horizontal="center" vertical="center"/>
    </xf>
    <xf numFmtId="9" fontId="5" fillId="0" borderId="50" xfId="8" applyFont="1" applyBorder="1" applyAlignment="1">
      <alignment horizontal="center" vertical="center"/>
    </xf>
    <xf numFmtId="9" fontId="5" fillId="0" borderId="53" xfId="8" applyFont="1" applyBorder="1" applyAlignment="1">
      <alignment horizontal="center" vertical="center"/>
    </xf>
    <xf numFmtId="2" fontId="5" fillId="0" borderId="55" xfId="7" applyNumberFormat="1" applyFont="1" applyBorder="1" applyAlignment="1">
      <alignment horizontal="center" vertical="center"/>
    </xf>
    <xf numFmtId="2" fontId="28" fillId="0" borderId="55" xfId="7" applyNumberFormat="1" applyFont="1" applyBorder="1" applyAlignment="1">
      <alignment horizontal="center" vertical="center"/>
    </xf>
    <xf numFmtId="9" fontId="5" fillId="0" borderId="56" xfId="8" applyFont="1" applyBorder="1" applyAlignment="1">
      <alignment horizontal="center" vertical="center"/>
    </xf>
    <xf numFmtId="9" fontId="5" fillId="0" borderId="55" xfId="8" applyFont="1" applyBorder="1" applyAlignment="1">
      <alignment horizontal="center" vertical="center"/>
    </xf>
    <xf numFmtId="43" fontId="5" fillId="0" borderId="22" xfId="1" applyFont="1" applyBorder="1" applyAlignment="1">
      <alignment horizontal="center" vertical="center"/>
    </xf>
    <xf numFmtId="43" fontId="28" fillId="0" borderId="55" xfId="1" applyFont="1" applyBorder="1" applyAlignment="1">
      <alignment horizontal="center" vertical="center"/>
    </xf>
    <xf numFmtId="2" fontId="29" fillId="0" borderId="27" xfId="7" applyNumberFormat="1" applyFont="1" applyBorder="1" applyAlignment="1">
      <alignment horizontal="center" vertical="center"/>
    </xf>
    <xf numFmtId="43" fontId="29" fillId="0" borderId="27" xfId="1" applyFont="1" applyBorder="1" applyAlignment="1">
      <alignment horizontal="center" vertical="center"/>
    </xf>
    <xf numFmtId="43" fontId="29" fillId="0" borderId="29" xfId="1" applyFont="1" applyBorder="1" applyAlignment="1">
      <alignment horizontal="center" vertical="center"/>
    </xf>
    <xf numFmtId="43" fontId="29" fillId="0" borderId="30" xfId="1" applyFont="1" applyBorder="1" applyAlignment="1">
      <alignment horizontal="center" vertical="center"/>
    </xf>
    <xf numFmtId="2" fontId="5" fillId="0" borderId="20" xfId="7" applyNumberFormat="1" applyFont="1" applyBorder="1" applyAlignment="1">
      <alignment horizontal="center" vertical="center"/>
    </xf>
    <xf numFmtId="2" fontId="29" fillId="0" borderId="20" xfId="7" applyNumberFormat="1" applyFont="1" applyBorder="1" applyAlignment="1">
      <alignment horizontal="center" vertical="center"/>
    </xf>
    <xf numFmtId="43" fontId="5" fillId="0" borderId="20" xfId="1" applyFont="1" applyBorder="1" applyAlignment="1">
      <alignment horizontal="center" vertical="center"/>
    </xf>
    <xf numFmtId="2" fontId="29" fillId="0" borderId="56" xfId="7" applyNumberFormat="1" applyFont="1" applyBorder="1" applyAlignment="1">
      <alignment horizontal="center" vertical="center"/>
    </xf>
    <xf numFmtId="43" fontId="29" fillId="0" borderId="56" xfId="1" applyFont="1" applyBorder="1" applyAlignment="1">
      <alignment horizontal="center" vertical="center"/>
    </xf>
    <xf numFmtId="9" fontId="28" fillId="0" borderId="50" xfId="8" applyFont="1" applyBorder="1" applyAlignment="1">
      <alignment horizontal="center" vertical="center"/>
    </xf>
    <xf numFmtId="2" fontId="28" fillId="0" borderId="53" xfId="7" applyNumberFormat="1" applyFont="1" applyBorder="1" applyAlignment="1">
      <alignment horizontal="center" vertical="center"/>
    </xf>
    <xf numFmtId="2" fontId="28" fillId="0" borderId="20" xfId="7" applyNumberFormat="1" applyFont="1" applyBorder="1" applyAlignment="1">
      <alignment horizontal="center" vertical="center"/>
    </xf>
    <xf numFmtId="43" fontId="28" fillId="0" borderId="53" xfId="1" applyFont="1" applyBorder="1" applyAlignment="1">
      <alignment horizontal="center" vertical="center"/>
    </xf>
    <xf numFmtId="2" fontId="5" fillId="0" borderId="56" xfId="7" applyNumberFormat="1" applyFont="1" applyBorder="1" applyAlignment="1">
      <alignment horizontal="center" vertical="center"/>
    </xf>
    <xf numFmtId="43" fontId="5" fillId="0" borderId="56" xfId="1" applyFont="1" applyBorder="1" applyAlignment="1">
      <alignment horizontal="center" vertical="center"/>
    </xf>
    <xf numFmtId="43" fontId="5" fillId="0" borderId="55" xfId="1" applyFont="1" applyBorder="1" applyAlignment="1">
      <alignment horizontal="center" vertical="center"/>
    </xf>
    <xf numFmtId="43" fontId="28" fillId="0" borderId="48" xfId="1" applyFont="1" applyBorder="1" applyAlignment="1">
      <alignment horizontal="center" vertical="center"/>
    </xf>
    <xf numFmtId="43" fontId="5" fillId="0" borderId="49" xfId="1" applyFont="1" applyBorder="1" applyAlignment="1">
      <alignment horizontal="center" vertical="center"/>
    </xf>
    <xf numFmtId="43" fontId="29" fillId="0" borderId="31" xfId="1" applyFont="1" applyBorder="1" applyAlignment="1">
      <alignment horizontal="center" vertical="center"/>
    </xf>
    <xf numFmtId="43" fontId="29" fillId="10" borderId="22" xfId="1" applyFont="1" applyFill="1" applyBorder="1" applyAlignment="1">
      <alignment horizontal="center" vertical="center"/>
    </xf>
    <xf numFmtId="2" fontId="29" fillId="0" borderId="50" xfId="7" applyNumberFormat="1" applyFont="1" applyBorder="1" applyAlignment="1">
      <alignment horizontal="center" vertical="center"/>
    </xf>
    <xf numFmtId="171" fontId="29" fillId="0" borderId="50" xfId="7" applyNumberFormat="1" applyFont="1" applyBorder="1" applyAlignment="1">
      <alignment horizontal="center" vertical="center"/>
    </xf>
    <xf numFmtId="43" fontId="29" fillId="0" borderId="50" xfId="1" applyFont="1" applyBorder="1" applyAlignment="1">
      <alignment horizontal="center" vertical="center"/>
    </xf>
    <xf numFmtId="43" fontId="29" fillId="0" borderId="48" xfId="1" applyFont="1" applyBorder="1" applyAlignment="1">
      <alignment horizontal="center" vertical="center"/>
    </xf>
    <xf numFmtId="2" fontId="29" fillId="0" borderId="53" xfId="7" applyNumberFormat="1" applyFont="1" applyBorder="1" applyAlignment="1">
      <alignment horizontal="center" vertical="center"/>
    </xf>
    <xf numFmtId="171" fontId="29" fillId="0" borderId="53" xfId="7" applyNumberFormat="1" applyFont="1" applyBorder="1" applyAlignment="1">
      <alignment horizontal="center" vertical="center"/>
    </xf>
    <xf numFmtId="43" fontId="29" fillId="0" borderId="53" xfId="1" applyFont="1" applyBorder="1" applyAlignment="1">
      <alignment horizontal="center" vertical="center"/>
    </xf>
    <xf numFmtId="171" fontId="29" fillId="0" borderId="56" xfId="7" applyNumberFormat="1" applyFont="1" applyBorder="1" applyAlignment="1">
      <alignment horizontal="center" vertical="center"/>
    </xf>
    <xf numFmtId="9" fontId="28" fillId="0" borderId="55" xfId="8" applyFont="1" applyBorder="1" applyAlignment="1">
      <alignment horizontal="center" vertical="center"/>
    </xf>
    <xf numFmtId="0" fontId="23" fillId="10" borderId="52" xfId="7" applyFill="1" applyBorder="1"/>
    <xf numFmtId="0" fontId="23" fillId="10" borderId="57" xfId="7" applyFill="1" applyBorder="1"/>
    <xf numFmtId="43" fontId="5" fillId="10" borderId="22" xfId="1" applyFont="1" applyFill="1" applyBorder="1" applyAlignment="1">
      <alignment horizontal="center" vertical="center"/>
    </xf>
    <xf numFmtId="43" fontId="23" fillId="10" borderId="50" xfId="1" applyFont="1" applyFill="1" applyBorder="1" applyAlignment="1">
      <alignment horizontal="center" vertical="center"/>
    </xf>
    <xf numFmtId="43" fontId="23" fillId="10" borderId="49" xfId="1" applyFont="1" applyFill="1" applyBorder="1" applyAlignment="1">
      <alignment horizontal="center" vertical="center"/>
    </xf>
    <xf numFmtId="43" fontId="29" fillId="10" borderId="49" xfId="1" applyFont="1" applyFill="1" applyBorder="1" applyAlignment="1">
      <alignment horizontal="center" vertical="center"/>
    </xf>
    <xf numFmtId="43" fontId="28" fillId="10" borderId="53" xfId="1" applyFont="1" applyFill="1" applyBorder="1" applyAlignment="1">
      <alignment horizontal="center" vertical="center"/>
    </xf>
    <xf numFmtId="43" fontId="28" fillId="10" borderId="43" xfId="1" applyFont="1" applyFill="1" applyBorder="1" applyAlignment="1">
      <alignment horizontal="center" vertical="center"/>
    </xf>
    <xf numFmtId="43" fontId="5" fillId="0" borderId="50" xfId="1" applyFont="1" applyBorder="1" applyAlignment="1">
      <alignment horizontal="center" vertical="center"/>
    </xf>
    <xf numFmtId="2" fontId="5" fillId="10" borderId="53" xfId="7" applyNumberFormat="1" applyFont="1" applyFill="1" applyBorder="1" applyAlignment="1">
      <alignment horizontal="center" vertical="center"/>
    </xf>
    <xf numFmtId="2" fontId="5" fillId="10" borderId="43" xfId="7" applyNumberFormat="1" applyFont="1" applyFill="1" applyBorder="1" applyAlignment="1">
      <alignment horizontal="center" vertical="center"/>
    </xf>
    <xf numFmtId="2" fontId="21" fillId="13" borderId="20" xfId="5" applyNumberFormat="1" applyBorder="1" applyAlignment="1">
      <alignment horizontal="center" vertical="center"/>
    </xf>
    <xf numFmtId="43" fontId="29" fillId="10" borderId="43" xfId="1" applyFont="1" applyFill="1" applyBorder="1" applyAlignment="1">
      <alignment horizontal="center" vertical="center"/>
    </xf>
    <xf numFmtId="2" fontId="28" fillId="0" borderId="22" xfId="7" applyNumberFormat="1" applyFont="1" applyBorder="1" applyAlignment="1">
      <alignment horizontal="center" vertical="center"/>
    </xf>
    <xf numFmtId="43" fontId="5" fillId="10" borderId="56" xfId="1" applyFont="1" applyFill="1" applyBorder="1" applyAlignment="1">
      <alignment horizontal="center" vertical="center"/>
    </xf>
    <xf numFmtId="43" fontId="5" fillId="10" borderId="55" xfId="1" applyFont="1" applyFill="1" applyBorder="1" applyAlignment="1">
      <alignment horizontal="center" vertical="center"/>
    </xf>
    <xf numFmtId="43" fontId="29" fillId="10" borderId="55" xfId="1" applyFont="1" applyFill="1" applyBorder="1" applyAlignment="1">
      <alignment horizontal="center" vertical="center"/>
    </xf>
    <xf numFmtId="43" fontId="28" fillId="0" borderId="22" xfId="1" applyFont="1" applyBorder="1" applyAlignment="1">
      <alignment horizontal="center" vertical="center"/>
    </xf>
    <xf numFmtId="43" fontId="28" fillId="10" borderId="50" xfId="1" applyFont="1" applyFill="1" applyBorder="1" applyAlignment="1">
      <alignment horizontal="center" vertical="center"/>
    </xf>
    <xf numFmtId="43" fontId="28" fillId="10" borderId="49" xfId="1" applyFont="1" applyFill="1" applyBorder="1" applyAlignment="1">
      <alignment horizontal="center" vertical="center"/>
    </xf>
    <xf numFmtId="2" fontId="28" fillId="0" borderId="56" xfId="7" applyNumberFormat="1" applyFont="1" applyBorder="1" applyAlignment="1">
      <alignment horizontal="center" vertical="center"/>
    </xf>
    <xf numFmtId="43" fontId="28" fillId="10" borderId="56" xfId="1" applyFont="1" applyFill="1" applyBorder="1" applyAlignment="1">
      <alignment horizontal="center" vertical="center"/>
    </xf>
    <xf numFmtId="43" fontId="28" fillId="10" borderId="55" xfId="1" applyFont="1" applyFill="1" applyBorder="1" applyAlignment="1">
      <alignment horizontal="center" vertical="center"/>
    </xf>
    <xf numFmtId="43" fontId="28" fillId="10" borderId="22" xfId="1" applyFont="1" applyFill="1" applyBorder="1" applyAlignment="1">
      <alignment horizontal="center" vertical="center"/>
    </xf>
    <xf numFmtId="43" fontId="5" fillId="10" borderId="53" xfId="1" applyFont="1" applyFill="1" applyBorder="1" applyAlignment="1">
      <alignment horizontal="center" vertical="center"/>
    </xf>
    <xf numFmtId="43" fontId="5" fillId="10" borderId="43" xfId="1" applyFont="1" applyFill="1" applyBorder="1" applyAlignment="1">
      <alignment horizontal="center" vertical="center"/>
    </xf>
    <xf numFmtId="43" fontId="23" fillId="0" borderId="0" xfId="1" applyFont="1"/>
    <xf numFmtId="0" fontId="25" fillId="0" borderId="0" xfId="7" applyFont="1"/>
    <xf numFmtId="9" fontId="0" fillId="0" borderId="0" xfId="8" applyFont="1"/>
    <xf numFmtId="43" fontId="23" fillId="0" borderId="0" xfId="7" applyNumberFormat="1"/>
    <xf numFmtId="9" fontId="23" fillId="0" borderId="0" xfId="3" applyFont="1"/>
    <xf numFmtId="0" fontId="30" fillId="0" borderId="5" xfId="7" applyFont="1" applyBorder="1"/>
    <xf numFmtId="0" fontId="30" fillId="0" borderId="0" xfId="7" applyFont="1"/>
    <xf numFmtId="0" fontId="31" fillId="0" borderId="5" xfId="7" applyFont="1" applyBorder="1"/>
    <xf numFmtId="0" fontId="31" fillId="0" borderId="9" xfId="7" applyFont="1" applyBorder="1"/>
    <xf numFmtId="0" fontId="31" fillId="0" borderId="0" xfId="7" applyFont="1"/>
    <xf numFmtId="0" fontId="31" fillId="0" borderId="9" xfId="7" applyFont="1" applyBorder="1" applyAlignment="1">
      <alignment wrapText="1"/>
    </xf>
    <xf numFmtId="0" fontId="31" fillId="0" borderId="15" xfId="7" applyFont="1" applyBorder="1"/>
    <xf numFmtId="166" fontId="23" fillId="10" borderId="0" xfId="1" applyNumberFormat="1" applyFont="1" applyFill="1"/>
    <xf numFmtId="0" fontId="10" fillId="0" borderId="20" xfId="4" applyBorder="1" applyAlignment="1">
      <alignment vertical="center"/>
    </xf>
    <xf numFmtId="0" fontId="15" fillId="0" borderId="18" xfId="4" applyFont="1" applyBorder="1" applyAlignment="1">
      <alignment vertical="center"/>
    </xf>
    <xf numFmtId="0" fontId="6" fillId="0" borderId="8" xfId="0" applyFont="1" applyBorder="1"/>
    <xf numFmtId="0" fontId="6" fillId="0" borderId="63" xfId="0" applyFont="1" applyBorder="1"/>
    <xf numFmtId="0" fontId="10" fillId="0" borderId="65" xfId="4" applyBorder="1" applyAlignment="1">
      <alignment vertical="center"/>
    </xf>
    <xf numFmtId="0" fontId="15" fillId="0" borderId="18" xfId="0" applyFont="1" applyBorder="1"/>
    <xf numFmtId="0" fontId="14" fillId="0" borderId="45" xfId="4" applyFont="1" applyBorder="1" applyAlignment="1">
      <alignment horizontal="center" vertical="center" wrapText="1"/>
    </xf>
    <xf numFmtId="0" fontId="13" fillId="0" borderId="0" xfId="4" applyFont="1" applyAlignment="1">
      <alignment horizontal="center" vertical="center" wrapText="1"/>
    </xf>
    <xf numFmtId="0" fontId="12" fillId="0" borderId="0" xfId="0" applyFont="1" applyAlignment="1">
      <alignment horizontal="center" vertical="center"/>
    </xf>
    <xf numFmtId="43" fontId="12" fillId="0" borderId="45" xfId="0" applyNumberFormat="1" applyFont="1" applyBorder="1"/>
    <xf numFmtId="43" fontId="12" fillId="0" borderId="0" xfId="0" applyNumberFormat="1" applyFont="1" applyAlignment="1">
      <alignment wrapText="1"/>
    </xf>
    <xf numFmtId="43" fontId="12" fillId="0" borderId="0" xfId="0" applyNumberFormat="1" applyFont="1"/>
    <xf numFmtId="166" fontId="12" fillId="0" borderId="0" xfId="0" applyNumberFormat="1" applyFont="1" applyAlignment="1">
      <alignment wrapText="1"/>
    </xf>
    <xf numFmtId="166" fontId="12" fillId="0" borderId="0" xfId="0" applyNumberFormat="1" applyFont="1"/>
    <xf numFmtId="166" fontId="0" fillId="0" borderId="0" xfId="1" applyNumberFormat="1" applyFont="1"/>
    <xf numFmtId="0" fontId="35" fillId="0" borderId="0" xfId="10" applyFont="1"/>
    <xf numFmtId="0" fontId="34" fillId="0" borderId="0" xfId="10"/>
    <xf numFmtId="0" fontId="7" fillId="0" borderId="0" xfId="10" applyFont="1"/>
    <xf numFmtId="169" fontId="34" fillId="0" borderId="0" xfId="10" applyNumberFormat="1"/>
    <xf numFmtId="0" fontId="34" fillId="21" borderId="1" xfId="10" applyFill="1" applyBorder="1"/>
    <xf numFmtId="0" fontId="34" fillId="21" borderId="80" xfId="10" applyFill="1" applyBorder="1" applyAlignment="1">
      <alignment horizontal="left"/>
    </xf>
    <xf numFmtId="0" fontId="34" fillId="22" borderId="14" xfId="10" applyFill="1" applyBorder="1"/>
    <xf numFmtId="0" fontId="34" fillId="22" borderId="81" xfId="10" applyFill="1" applyBorder="1" applyAlignment="1">
      <alignment horizontal="left"/>
    </xf>
    <xf numFmtId="0" fontId="36" fillId="0" borderId="0" xfId="10" applyFont="1"/>
    <xf numFmtId="9" fontId="8" fillId="0" borderId="0" xfId="10" applyNumberFormat="1" applyFont="1"/>
    <xf numFmtId="9" fontId="37" fillId="0" borderId="0" xfId="10" applyNumberFormat="1" applyFont="1"/>
    <xf numFmtId="9" fontId="34" fillId="0" borderId="0" xfId="10" applyNumberFormat="1"/>
    <xf numFmtId="0" fontId="34" fillId="23" borderId="14" xfId="10" applyFill="1" applyBorder="1"/>
    <xf numFmtId="0" fontId="34" fillId="23" borderId="81" xfId="10" applyFill="1" applyBorder="1" applyAlignment="1">
      <alignment horizontal="left"/>
    </xf>
    <xf numFmtId="1" fontId="34" fillId="0" borderId="0" xfId="10" applyNumberFormat="1"/>
    <xf numFmtId="0" fontId="8" fillId="0" borderId="0" xfId="10" applyFont="1"/>
    <xf numFmtId="0" fontId="34" fillId="23" borderId="47" xfId="10" applyFill="1" applyBorder="1"/>
    <xf numFmtId="0" fontId="34" fillId="23" borderId="73" xfId="10" applyFill="1" applyBorder="1" applyAlignment="1">
      <alignment horizontal="left"/>
    </xf>
    <xf numFmtId="0" fontId="34" fillId="5" borderId="43" xfId="10" applyFill="1" applyBorder="1"/>
    <xf numFmtId="169" fontId="36" fillId="0" borderId="0" xfId="10" applyNumberFormat="1" applyFont="1"/>
    <xf numFmtId="169" fontId="8" fillId="0" borderId="0" xfId="10" applyNumberFormat="1" applyFont="1"/>
    <xf numFmtId="0" fontId="8" fillId="22" borderId="43" xfId="0" applyFont="1" applyFill="1" applyBorder="1" applyAlignment="1">
      <alignment horizontal="center" vertical="center" wrapText="1"/>
    </xf>
    <xf numFmtId="0" fontId="8" fillId="0" borderId="43" xfId="0" applyFont="1" applyBorder="1" applyAlignment="1">
      <alignment horizontal="center" vertical="center"/>
    </xf>
    <xf numFmtId="0" fontId="8" fillId="0" borderId="43" xfId="0" applyFont="1" applyBorder="1" applyAlignment="1">
      <alignment horizontal="center" vertical="center" wrapText="1"/>
    </xf>
    <xf numFmtId="0" fontId="34" fillId="0" borderId="43" xfId="10" applyBorder="1"/>
    <xf numFmtId="0" fontId="38" fillId="0" borderId="0" xfId="10" applyFont="1"/>
    <xf numFmtId="0" fontId="8" fillId="0" borderId="0" xfId="0" applyFont="1"/>
    <xf numFmtId="0" fontId="2" fillId="0" borderId="0" xfId="0" applyFont="1"/>
    <xf numFmtId="0" fontId="6" fillId="22" borderId="43" xfId="0" applyFont="1" applyFill="1" applyBorder="1" applyAlignment="1">
      <alignment horizontal="center" vertical="center" wrapText="1"/>
    </xf>
    <xf numFmtId="0" fontId="6" fillId="0" borderId="43" xfId="0" applyFont="1" applyBorder="1" applyAlignment="1">
      <alignment horizontal="center" vertical="center"/>
    </xf>
    <xf numFmtId="0" fontId="6" fillId="22" borderId="43" xfId="0" applyFont="1" applyFill="1" applyBorder="1"/>
    <xf numFmtId="166" fontId="12" fillId="0" borderId="0" xfId="1" applyNumberFormat="1" applyFont="1"/>
    <xf numFmtId="0" fontId="0" fillId="0" borderId="50" xfId="0" applyBorder="1"/>
    <xf numFmtId="0" fontId="0" fillId="0" borderId="53" xfId="0" applyBorder="1"/>
    <xf numFmtId="0" fontId="0" fillId="0" borderId="21" xfId="0" applyBorder="1"/>
    <xf numFmtId="0" fontId="8" fillId="0" borderId="14" xfId="0" applyFont="1" applyBorder="1" applyAlignment="1">
      <alignment horizontal="center"/>
    </xf>
    <xf numFmtId="0" fontId="8" fillId="0" borderId="14" xfId="0" applyFont="1" applyBorder="1"/>
    <xf numFmtId="43" fontId="0" fillId="0" borderId="53" xfId="0" applyNumberFormat="1" applyBorder="1"/>
    <xf numFmtId="43" fontId="0" fillId="0" borderId="21" xfId="0" applyNumberFormat="1" applyBorder="1"/>
    <xf numFmtId="43" fontId="0" fillId="0" borderId="0" xfId="0" applyNumberFormat="1"/>
    <xf numFmtId="43" fontId="0" fillId="0" borderId="53" xfId="1" applyFont="1" applyBorder="1"/>
    <xf numFmtId="43" fontId="0" fillId="0" borderId="21" xfId="1" applyFont="1" applyBorder="1"/>
    <xf numFmtId="43" fontId="0" fillId="0" borderId="0" xfId="1" applyFont="1"/>
    <xf numFmtId="43" fontId="33" fillId="0" borderId="53" xfId="1" applyFont="1" applyBorder="1"/>
    <xf numFmtId="43" fontId="33" fillId="0" borderId="21" xfId="1" applyFont="1" applyBorder="1"/>
    <xf numFmtId="0" fontId="33" fillId="0" borderId="53" xfId="0" applyFont="1" applyBorder="1"/>
    <xf numFmtId="0" fontId="33" fillId="0" borderId="21" xfId="0" applyFont="1" applyBorder="1"/>
    <xf numFmtId="0" fontId="0" fillId="0" borderId="38" xfId="0" applyBorder="1"/>
    <xf numFmtId="0" fontId="0" fillId="0" borderId="56" xfId="0" applyBorder="1"/>
    <xf numFmtId="0" fontId="0" fillId="0" borderId="23" xfId="0" applyBorder="1"/>
    <xf numFmtId="0" fontId="10" fillId="0" borderId="0" xfId="0" applyFont="1"/>
    <xf numFmtId="0" fontId="12" fillId="2" borderId="0" xfId="0" applyFont="1" applyFill="1" applyAlignment="1">
      <alignment vertical="center" wrapText="1"/>
    </xf>
    <xf numFmtId="0" fontId="12" fillId="2" borderId="0" xfId="0" applyFont="1" applyFill="1" applyAlignment="1">
      <alignment vertical="center"/>
    </xf>
    <xf numFmtId="0" fontId="12" fillId="2" borderId="0" xfId="0" applyFont="1" applyFill="1" applyAlignment="1">
      <alignment horizontal="center" vertical="center"/>
    </xf>
    <xf numFmtId="0" fontId="12" fillId="0" borderId="0" xfId="0" applyFont="1" applyAlignment="1">
      <alignment vertical="center"/>
    </xf>
    <xf numFmtId="0" fontId="12" fillId="0" borderId="0" xfId="0" applyFont="1" applyAlignment="1">
      <alignment vertical="center" wrapText="1"/>
    </xf>
    <xf numFmtId="0" fontId="42" fillId="0" borderId="10" xfId="0" applyFont="1" applyBorder="1" applyAlignment="1">
      <alignment horizontal="center" vertical="center" wrapText="1"/>
    </xf>
    <xf numFmtId="0" fontId="45" fillId="2" borderId="0" xfId="0" applyFont="1" applyFill="1" applyAlignment="1">
      <alignment vertical="center" wrapText="1"/>
    </xf>
    <xf numFmtId="164" fontId="44" fillId="7" borderId="79" xfId="0" applyNumberFormat="1" applyFont="1" applyFill="1" applyBorder="1" applyAlignment="1">
      <alignment horizontal="center" vertical="center"/>
    </xf>
    <xf numFmtId="0" fontId="44" fillId="7" borderId="79" xfId="0" applyFont="1" applyFill="1" applyBorder="1" applyAlignment="1" applyProtection="1">
      <alignment horizontal="center" vertical="center"/>
      <protection locked="0"/>
    </xf>
    <xf numFmtId="164" fontId="44" fillId="7" borderId="13" xfId="0" applyNumberFormat="1" applyFont="1" applyFill="1" applyBorder="1" applyAlignment="1">
      <alignment horizontal="center" vertical="center"/>
    </xf>
    <xf numFmtId="0" fontId="44" fillId="7" borderId="13" xfId="0" applyFont="1" applyFill="1" applyBorder="1" applyAlignment="1" applyProtection="1">
      <alignment horizontal="center" vertical="center"/>
      <protection locked="0"/>
    </xf>
    <xf numFmtId="0" fontId="45" fillId="0" borderId="0" xfId="0" applyFont="1" applyAlignment="1">
      <alignment vertical="center"/>
    </xf>
    <xf numFmtId="0" fontId="39" fillId="7" borderId="9" xfId="0" applyFont="1" applyFill="1" applyBorder="1" applyAlignment="1">
      <alignment horizontal="center" vertical="center" wrapText="1"/>
    </xf>
    <xf numFmtId="0" fontId="39" fillId="0" borderId="18" xfId="0" applyFont="1" applyBorder="1" applyAlignment="1">
      <alignment vertical="center"/>
    </xf>
    <xf numFmtId="0" fontId="12" fillId="0" borderId="19" xfId="0" applyFont="1" applyBorder="1" applyAlignment="1">
      <alignment horizontal="center" vertical="center" wrapText="1"/>
    </xf>
    <xf numFmtId="0" fontId="12" fillId="2" borderId="20" xfId="0" applyFont="1" applyFill="1" applyBorder="1" applyAlignment="1">
      <alignment horizontal="center" vertical="center" wrapText="1"/>
    </xf>
    <xf numFmtId="0" fontId="39" fillId="8" borderId="20" xfId="0" applyFont="1" applyFill="1" applyBorder="1" applyAlignment="1">
      <alignment vertical="center"/>
    </xf>
    <xf numFmtId="0" fontId="12" fillId="0" borderId="21" xfId="0" applyFont="1" applyBorder="1" applyAlignment="1">
      <alignment horizontal="center" vertical="center" wrapText="1"/>
    </xf>
    <xf numFmtId="165" fontId="46" fillId="2" borderId="20" xfId="1" applyNumberFormat="1" applyFont="1" applyFill="1" applyBorder="1" applyAlignment="1" applyProtection="1">
      <alignment vertical="center" wrapText="1"/>
    </xf>
    <xf numFmtId="166" fontId="12" fillId="0" borderId="0" xfId="1" applyNumberFormat="1" applyFont="1" applyAlignment="1">
      <alignment vertical="center"/>
    </xf>
    <xf numFmtId="1" fontId="12" fillId="0" borderId="21" xfId="0" applyNumberFormat="1" applyFont="1" applyBorder="1" applyAlignment="1">
      <alignment horizontal="center" vertical="center" wrapText="1"/>
    </xf>
    <xf numFmtId="0" fontId="12" fillId="0" borderId="20" xfId="0" applyFont="1" applyBorder="1" applyAlignment="1">
      <alignment vertical="center"/>
    </xf>
    <xf numFmtId="0" fontId="12" fillId="0" borderId="21" xfId="0" applyFont="1" applyBorder="1" applyAlignment="1">
      <alignment vertical="center" wrapText="1"/>
    </xf>
    <xf numFmtId="0" fontId="39" fillId="9" borderId="20" xfId="0" applyFont="1" applyFill="1" applyBorder="1" applyAlignment="1">
      <alignment vertical="center"/>
    </xf>
    <xf numFmtId="44" fontId="12" fillId="0" borderId="0" xfId="2" applyFont="1" applyAlignment="1">
      <alignment vertical="center"/>
    </xf>
    <xf numFmtId="0" fontId="39" fillId="7" borderId="15" xfId="0" applyFont="1" applyFill="1" applyBorder="1" applyAlignment="1">
      <alignment horizontal="center" vertical="center" wrapText="1"/>
    </xf>
    <xf numFmtId="0" fontId="39" fillId="9" borderId="22" xfId="0" applyFont="1" applyFill="1" applyBorder="1" applyAlignment="1">
      <alignment vertical="center"/>
    </xf>
    <xf numFmtId="1" fontId="12" fillId="0" borderId="23" xfId="0" applyNumberFormat="1" applyFont="1" applyBorder="1" applyAlignment="1">
      <alignment horizontal="center" vertical="center" wrapText="1"/>
    </xf>
    <xf numFmtId="0" fontId="47" fillId="0" borderId="24" xfId="0" applyFont="1" applyBorder="1" applyAlignment="1">
      <alignment vertical="center"/>
    </xf>
    <xf numFmtId="0" fontId="12" fillId="5" borderId="25" xfId="0" applyFont="1" applyFill="1" applyBorder="1" applyAlignment="1" applyProtection="1">
      <alignment horizontal="center" vertical="center" wrapText="1"/>
      <protection locked="0"/>
    </xf>
    <xf numFmtId="0" fontId="47" fillId="0" borderId="26" xfId="0" applyFont="1" applyBorder="1" applyAlignment="1">
      <alignment vertical="center"/>
    </xf>
    <xf numFmtId="0" fontId="12" fillId="5" borderId="16" xfId="0" applyFont="1" applyFill="1" applyBorder="1" applyAlignment="1" applyProtection="1">
      <alignment horizontal="center" vertical="center" wrapText="1"/>
      <protection locked="0"/>
    </xf>
    <xf numFmtId="0" fontId="49" fillId="2" borderId="0" xfId="0" applyFont="1" applyFill="1" applyAlignment="1">
      <alignment vertical="center" wrapText="1"/>
    </xf>
    <xf numFmtId="0" fontId="47" fillId="0" borderId="1" xfId="0" applyFont="1" applyBorder="1" applyAlignment="1">
      <alignment vertical="center" wrapText="1"/>
    </xf>
    <xf numFmtId="43" fontId="39" fillId="0" borderId="5" xfId="1" applyFont="1" applyFill="1" applyBorder="1" applyAlignment="1" applyProtection="1">
      <alignment horizontal="center" vertical="center" wrapText="1"/>
    </xf>
    <xf numFmtId="43" fontId="48" fillId="2" borderId="14" xfId="0" applyNumberFormat="1" applyFont="1" applyFill="1" applyBorder="1" applyAlignment="1">
      <alignment horizontal="center" vertical="center" wrapText="1"/>
    </xf>
    <xf numFmtId="43" fontId="48" fillId="2" borderId="0" xfId="0" applyNumberFormat="1" applyFont="1" applyFill="1" applyAlignment="1">
      <alignment horizontal="center" vertical="center" wrapText="1"/>
    </xf>
    <xf numFmtId="0" fontId="47" fillId="0" borderId="27" xfId="0" applyFont="1" applyBorder="1" applyAlignment="1">
      <alignment vertical="center"/>
    </xf>
    <xf numFmtId="3" fontId="12" fillId="5" borderId="24" xfId="0" applyNumberFormat="1" applyFont="1" applyFill="1" applyBorder="1" applyAlignment="1" applyProtection="1">
      <alignment horizontal="center" vertical="center" wrapText="1"/>
      <protection locked="0"/>
    </xf>
    <xf numFmtId="165" fontId="48" fillId="2" borderId="0" xfId="1" applyNumberFormat="1" applyFont="1" applyFill="1" applyBorder="1" applyAlignment="1">
      <alignment horizontal="center" vertical="center" wrapText="1"/>
    </xf>
    <xf numFmtId="0" fontId="47" fillId="0" borderId="28" xfId="0" applyFont="1" applyBorder="1" applyAlignment="1">
      <alignment vertical="center"/>
    </xf>
    <xf numFmtId="3" fontId="12" fillId="5" borderId="17" xfId="0" applyNumberFormat="1" applyFont="1" applyFill="1" applyBorder="1" applyAlignment="1" applyProtection="1">
      <alignment horizontal="center" vertical="center" wrapText="1"/>
      <protection locked="0"/>
    </xf>
    <xf numFmtId="43" fontId="12" fillId="2" borderId="0" xfId="0" applyNumberFormat="1" applyFont="1" applyFill="1" applyAlignment="1">
      <alignment vertical="center"/>
    </xf>
    <xf numFmtId="43" fontId="12" fillId="2" borderId="0" xfId="0" applyNumberFormat="1" applyFont="1" applyFill="1" applyAlignment="1">
      <alignment vertical="center" wrapText="1"/>
    </xf>
    <xf numFmtId="0" fontId="39" fillId="0" borderId="29" xfId="0" applyFont="1" applyBorder="1" applyAlignment="1">
      <alignment vertical="center"/>
    </xf>
    <xf numFmtId="0" fontId="12" fillId="5" borderId="24" xfId="0" applyFont="1" applyFill="1" applyBorder="1" applyAlignment="1" applyProtection="1">
      <alignment horizontal="center" vertical="center"/>
      <protection locked="0"/>
    </xf>
    <xf numFmtId="0" fontId="39" fillId="0" borderId="30" xfId="0" applyFont="1" applyBorder="1" applyAlignment="1">
      <alignment vertical="center" wrapText="1"/>
    </xf>
    <xf numFmtId="0" fontId="46" fillId="5" borderId="7" xfId="0" applyFont="1" applyFill="1" applyBorder="1" applyAlignment="1" applyProtection="1">
      <alignment horizontal="center" vertical="center" wrapText="1"/>
      <protection locked="0"/>
    </xf>
    <xf numFmtId="0" fontId="39" fillId="0" borderId="31" xfId="0" applyFont="1" applyBorder="1" applyAlignment="1">
      <alignment vertical="center"/>
    </xf>
    <xf numFmtId="0" fontId="12" fillId="0" borderId="17" xfId="0" applyFont="1" applyBorder="1" applyAlignment="1">
      <alignment horizontal="center" vertical="center"/>
    </xf>
    <xf numFmtId="0" fontId="39" fillId="0" borderId="32" xfId="0" applyFont="1" applyBorder="1" applyAlignment="1">
      <alignment vertical="center"/>
    </xf>
    <xf numFmtId="0" fontId="46" fillId="5" borderId="26" xfId="0" applyFont="1" applyFill="1" applyBorder="1" applyAlignment="1" applyProtection="1">
      <alignment horizontal="center" vertical="center"/>
      <protection locked="0"/>
    </xf>
    <xf numFmtId="0" fontId="50" fillId="7" borderId="13" xfId="0" applyFont="1" applyFill="1" applyBorder="1" applyAlignment="1">
      <alignment horizontal="center" vertical="center"/>
    </xf>
    <xf numFmtId="0" fontId="51" fillId="0" borderId="1" xfId="0" applyFont="1" applyBorder="1" applyAlignment="1">
      <alignment vertical="center"/>
    </xf>
    <xf numFmtId="0" fontId="46" fillId="0" borderId="2" xfId="0" applyFont="1" applyBorder="1" applyAlignment="1">
      <alignment vertical="center"/>
    </xf>
    <xf numFmtId="0" fontId="46" fillId="0" borderId="3" xfId="0" applyFont="1" applyBorder="1" applyAlignment="1">
      <alignment vertical="center" wrapText="1"/>
    </xf>
    <xf numFmtId="0" fontId="47" fillId="0" borderId="24" xfId="0" applyFont="1" applyBorder="1" applyAlignment="1">
      <alignment horizontal="left" vertical="center"/>
    </xf>
    <xf numFmtId="0" fontId="12" fillId="5" borderId="25" xfId="0" applyFont="1" applyFill="1" applyBorder="1" applyAlignment="1" applyProtection="1">
      <alignment horizontal="center" vertical="center"/>
      <protection locked="0"/>
    </xf>
    <xf numFmtId="0" fontId="44" fillId="7" borderId="13" xfId="0" applyFont="1" applyFill="1" applyBorder="1" applyAlignment="1">
      <alignment horizontal="center" vertical="center"/>
    </xf>
    <xf numFmtId="0" fontId="44" fillId="7" borderId="13" xfId="0" applyFont="1" applyFill="1" applyBorder="1" applyAlignment="1">
      <alignment vertical="center"/>
    </xf>
    <xf numFmtId="0" fontId="47" fillId="0" borderId="7" xfId="0" applyFont="1" applyBorder="1" applyAlignment="1">
      <alignment horizontal="left" vertical="center"/>
    </xf>
    <xf numFmtId="0" fontId="12" fillId="5" borderId="11" xfId="0" applyFont="1" applyFill="1" applyBorder="1" applyAlignment="1" applyProtection="1">
      <alignment horizontal="center" vertical="center"/>
      <protection locked="0"/>
    </xf>
    <xf numFmtId="0" fontId="43" fillId="7" borderId="13" xfId="0" applyFont="1" applyFill="1" applyBorder="1" applyAlignment="1">
      <alignment horizontal="center" vertical="center"/>
    </xf>
    <xf numFmtId="0" fontId="52" fillId="7" borderId="13" xfId="0" applyFont="1" applyFill="1" applyBorder="1" applyAlignment="1">
      <alignment horizontal="center" vertical="center" wrapText="1"/>
    </xf>
    <xf numFmtId="167" fontId="12" fillId="0" borderId="11" xfId="3" applyNumberFormat="1" applyFont="1" applyFill="1" applyBorder="1" applyAlignment="1" applyProtection="1">
      <alignment horizontal="center" vertical="center"/>
    </xf>
    <xf numFmtId="1" fontId="12" fillId="0" borderId="11" xfId="0" applyNumberFormat="1" applyFont="1" applyBorder="1" applyAlignment="1">
      <alignment horizontal="center" vertical="center"/>
    </xf>
    <xf numFmtId="0" fontId="12" fillId="0" borderId="11" xfId="0" applyFont="1" applyBorder="1" applyAlignment="1">
      <alignment horizontal="center" vertical="center"/>
    </xf>
    <xf numFmtId="0" fontId="46" fillId="2" borderId="7" xfId="0" applyFont="1" applyFill="1" applyBorder="1" applyAlignment="1">
      <alignment vertical="center"/>
    </xf>
    <xf numFmtId="0" fontId="12" fillId="0" borderId="11" xfId="0" applyFont="1" applyBorder="1" applyAlignment="1">
      <alignment vertical="center"/>
    </xf>
    <xf numFmtId="0" fontId="12" fillId="5" borderId="11" xfId="0" applyFont="1" applyFill="1" applyBorder="1" applyAlignment="1" applyProtection="1">
      <alignment vertical="center"/>
      <protection locked="0"/>
    </xf>
    <xf numFmtId="0" fontId="47" fillId="0" borderId="17" xfId="0" applyFont="1" applyBorder="1" applyAlignment="1">
      <alignment horizontal="left" vertical="center"/>
    </xf>
    <xf numFmtId="0" fontId="12" fillId="5" borderId="16" xfId="0" applyFont="1" applyFill="1" applyBorder="1" applyAlignment="1" applyProtection="1">
      <alignment vertical="center"/>
      <protection locked="0"/>
    </xf>
    <xf numFmtId="0" fontId="12" fillId="2" borderId="14" xfId="0" applyFont="1" applyFill="1" applyBorder="1" applyAlignment="1">
      <alignment horizontal="center" vertical="center" wrapText="1"/>
    </xf>
    <xf numFmtId="0" fontId="54" fillId="2" borderId="0" xfId="0" applyFont="1" applyFill="1" applyAlignment="1">
      <alignment vertical="center" wrapText="1"/>
    </xf>
    <xf numFmtId="0" fontId="54" fillId="2" borderId="36" xfId="0" applyFont="1" applyFill="1" applyBorder="1" applyAlignment="1">
      <alignment vertical="center" wrapText="1"/>
    </xf>
    <xf numFmtId="0" fontId="54" fillId="2" borderId="0" xfId="0" applyFont="1" applyFill="1" applyAlignment="1">
      <alignment horizontal="center" vertical="center" wrapText="1"/>
    </xf>
    <xf numFmtId="43" fontId="12" fillId="5" borderId="24" xfId="1" applyFont="1" applyFill="1" applyBorder="1" applyAlignment="1" applyProtection="1">
      <alignment horizontal="center" vertical="center" wrapText="1"/>
      <protection locked="0"/>
    </xf>
    <xf numFmtId="43" fontId="12" fillId="2" borderId="0" xfId="0" applyNumberFormat="1" applyFont="1" applyFill="1" applyAlignment="1">
      <alignment horizontal="center" vertical="center"/>
    </xf>
    <xf numFmtId="3" fontId="12" fillId="0" borderId="7" xfId="0" applyNumberFormat="1" applyFont="1" applyBorder="1" applyAlignment="1" applyProtection="1">
      <alignment horizontal="center" vertical="center" wrapText="1"/>
      <protection locked="0"/>
    </xf>
    <xf numFmtId="43" fontId="48" fillId="2" borderId="0" xfId="1" applyFont="1" applyFill="1" applyBorder="1" applyAlignment="1">
      <alignment horizontal="center" vertical="center" wrapText="1"/>
    </xf>
    <xf numFmtId="3" fontId="12" fillId="0" borderId="7" xfId="0" quotePrefix="1" applyNumberFormat="1" applyFont="1" applyBorder="1" applyAlignment="1" applyProtection="1">
      <alignment horizontal="center" vertical="center" wrapText="1"/>
      <protection locked="0"/>
    </xf>
    <xf numFmtId="0" fontId="47" fillId="0" borderId="15" xfId="0" applyFont="1" applyBorder="1" applyAlignment="1">
      <alignment vertical="center" wrapText="1"/>
    </xf>
    <xf numFmtId="3" fontId="12" fillId="5" borderId="15" xfId="0" applyNumberFormat="1" applyFont="1" applyFill="1" applyBorder="1" applyAlignment="1" applyProtection="1">
      <alignment horizontal="center" vertical="center" wrapText="1"/>
      <protection locked="0"/>
    </xf>
    <xf numFmtId="0" fontId="47" fillId="0" borderId="26" xfId="0" applyFont="1" applyBorder="1" applyAlignment="1">
      <alignment vertical="center" wrapText="1"/>
    </xf>
    <xf numFmtId="0" fontId="47" fillId="0" borderId="37" xfId="0" applyFont="1" applyBorder="1" applyAlignment="1">
      <alignment vertical="center" wrapText="1"/>
    </xf>
    <xf numFmtId="9" fontId="12" fillId="5" borderId="37" xfId="3" applyFont="1" applyFill="1" applyBorder="1" applyAlignment="1" applyProtection="1">
      <alignment horizontal="center" vertical="center" wrapText="1"/>
      <protection locked="0"/>
    </xf>
    <xf numFmtId="0" fontId="47" fillId="0" borderId="17" xfId="0" applyFont="1" applyBorder="1" applyAlignment="1">
      <alignment vertical="center" wrapText="1"/>
    </xf>
    <xf numFmtId="9" fontId="12" fillId="5" borderId="17" xfId="3" applyFont="1" applyFill="1" applyBorder="1" applyAlignment="1" applyProtection="1">
      <alignment horizontal="center" vertical="center" wrapText="1"/>
      <protection locked="0"/>
    </xf>
    <xf numFmtId="0" fontId="46" fillId="0" borderId="0" xfId="0" applyFont="1" applyAlignment="1">
      <alignment vertical="center" wrapText="1"/>
    </xf>
    <xf numFmtId="43" fontId="48" fillId="0" borderId="0" xfId="0" applyNumberFormat="1" applyFont="1" applyAlignment="1">
      <alignment horizontal="left" vertical="center" wrapText="1"/>
    </xf>
    <xf numFmtId="44" fontId="48" fillId="2" borderId="0" xfId="2" applyFont="1" applyFill="1" applyBorder="1" applyAlignment="1">
      <alignment horizontal="center" vertical="center" wrapText="1"/>
    </xf>
    <xf numFmtId="0" fontId="12" fillId="2" borderId="14" xfId="0" applyFont="1" applyFill="1" applyBorder="1" applyAlignment="1">
      <alignment vertical="center"/>
    </xf>
    <xf numFmtId="0" fontId="12" fillId="2" borderId="38" xfId="0" applyFont="1" applyFill="1" applyBorder="1" applyAlignment="1">
      <alignment vertical="center" wrapText="1"/>
    </xf>
    <xf numFmtId="0" fontId="12" fillId="2" borderId="0" xfId="0" applyFont="1" applyFill="1" applyAlignment="1">
      <alignment horizontal="center" vertical="center" wrapText="1"/>
    </xf>
    <xf numFmtId="0" fontId="48" fillId="2" borderId="0" xfId="0" applyFont="1" applyFill="1" applyAlignment="1">
      <alignment horizontal="center" vertical="center" wrapText="1"/>
    </xf>
    <xf numFmtId="0" fontId="47" fillId="0" borderId="29" xfId="0" applyFont="1" applyBorder="1" applyAlignment="1">
      <alignment vertical="center"/>
    </xf>
    <xf numFmtId="0" fontId="47" fillId="0" borderId="31" xfId="0" applyFont="1" applyBorder="1" applyAlignment="1">
      <alignment vertical="center"/>
    </xf>
    <xf numFmtId="43" fontId="12" fillId="5" borderId="17" xfId="1" applyFont="1" applyFill="1" applyBorder="1" applyAlignment="1" applyProtection="1">
      <alignment horizontal="center" vertical="center" wrapText="1"/>
      <protection locked="0"/>
    </xf>
    <xf numFmtId="2" fontId="12" fillId="2" borderId="0" xfId="0" applyNumberFormat="1" applyFont="1" applyFill="1" applyAlignment="1">
      <alignment horizontal="center" vertical="center"/>
    </xf>
    <xf numFmtId="0" fontId="46" fillId="2" borderId="0" xfId="0" applyFont="1" applyFill="1" applyAlignment="1">
      <alignment vertical="center"/>
    </xf>
    <xf numFmtId="0" fontId="45" fillId="2" borderId="0" xfId="0" applyFont="1" applyFill="1" applyAlignment="1">
      <alignment vertical="center"/>
    </xf>
    <xf numFmtId="0" fontId="56" fillId="2" borderId="0" xfId="4" applyFont="1" applyFill="1" applyAlignment="1">
      <alignment horizontal="center" vertical="center" wrapText="1"/>
    </xf>
    <xf numFmtId="0" fontId="48" fillId="0" borderId="0" xfId="0" applyFont="1" applyAlignment="1">
      <alignment wrapText="1"/>
    </xf>
    <xf numFmtId="0" fontId="48" fillId="0" borderId="0" xfId="0" applyFont="1"/>
    <xf numFmtId="2" fontId="48" fillId="0" borderId="0" xfId="0" applyNumberFormat="1" applyFont="1"/>
    <xf numFmtId="0" fontId="58" fillId="0" borderId="0" xfId="0" applyFont="1"/>
    <xf numFmtId="0" fontId="48" fillId="24" borderId="0" xfId="0" applyFont="1" applyFill="1"/>
    <xf numFmtId="0" fontId="39" fillId="26" borderId="53" xfId="0" applyFont="1" applyFill="1" applyBorder="1" applyAlignment="1">
      <alignment vertical="center"/>
    </xf>
    <xf numFmtId="0" fontId="39" fillId="26" borderId="56" xfId="0" applyFont="1" applyFill="1" applyBorder="1" applyAlignment="1">
      <alignment vertical="center"/>
    </xf>
    <xf numFmtId="0" fontId="39" fillId="2" borderId="0" xfId="0" applyFont="1" applyFill="1" applyAlignment="1">
      <alignment vertical="center"/>
    </xf>
    <xf numFmtId="0" fontId="12" fillId="2" borderId="0" xfId="0" applyFont="1" applyFill="1" applyAlignment="1">
      <alignment horizontal="left" vertical="center"/>
    </xf>
    <xf numFmtId="0" fontId="39" fillId="26" borderId="61" xfId="0" applyFont="1" applyFill="1" applyBorder="1" applyAlignment="1">
      <alignment vertical="center"/>
    </xf>
    <xf numFmtId="0" fontId="40" fillId="2" borderId="0" xfId="0" applyFont="1" applyFill="1" applyAlignment="1">
      <alignment vertical="center"/>
    </xf>
    <xf numFmtId="0" fontId="12" fillId="2" borderId="1" xfId="0" applyFont="1" applyFill="1" applyBorder="1" applyAlignment="1">
      <alignment vertical="center"/>
    </xf>
    <xf numFmtId="0" fontId="12" fillId="2" borderId="3" xfId="0" applyFont="1" applyFill="1" applyBorder="1" applyAlignment="1">
      <alignment vertical="center"/>
    </xf>
    <xf numFmtId="18" fontId="12" fillId="2" borderId="36" xfId="0" applyNumberFormat="1" applyFont="1" applyFill="1" applyBorder="1" applyAlignment="1">
      <alignment vertical="center"/>
    </xf>
    <xf numFmtId="14" fontId="12" fillId="2" borderId="36" xfId="0" applyNumberFormat="1" applyFont="1" applyFill="1" applyBorder="1" applyAlignment="1">
      <alignment vertical="center"/>
    </xf>
    <xf numFmtId="169" fontId="12" fillId="2" borderId="36" xfId="0" applyNumberFormat="1" applyFont="1" applyFill="1" applyBorder="1" applyAlignment="1">
      <alignment horizontal="right" vertical="center"/>
    </xf>
    <xf numFmtId="0" fontId="12" fillId="2" borderId="47" xfId="0" applyFont="1" applyFill="1" applyBorder="1" applyAlignment="1">
      <alignment vertical="center"/>
    </xf>
    <xf numFmtId="14" fontId="12" fillId="2" borderId="46" xfId="0" applyNumberFormat="1" applyFont="1" applyFill="1" applyBorder="1" applyAlignment="1">
      <alignment vertical="center"/>
    </xf>
    <xf numFmtId="176" fontId="60" fillId="2" borderId="0" xfId="0" applyNumberFormat="1" applyFont="1" applyFill="1" applyAlignment="1">
      <alignment vertical="center"/>
    </xf>
    <xf numFmtId="14" fontId="48" fillId="2" borderId="0" xfId="0" applyNumberFormat="1" applyFont="1" applyFill="1" applyAlignment="1">
      <alignment vertical="center"/>
    </xf>
    <xf numFmtId="177" fontId="48" fillId="2" borderId="0" xfId="0" applyNumberFormat="1" applyFont="1" applyFill="1" applyAlignment="1">
      <alignment vertical="center"/>
    </xf>
    <xf numFmtId="0" fontId="48" fillId="2" borderId="0" xfId="0" applyFont="1" applyFill="1" applyAlignment="1">
      <alignment vertical="center"/>
    </xf>
    <xf numFmtId="0" fontId="56" fillId="25" borderId="0" xfId="0" applyFont="1" applyFill="1" applyAlignment="1">
      <alignment horizontal="center" vertical="center"/>
    </xf>
    <xf numFmtId="18" fontId="12" fillId="2" borderId="0" xfId="0" applyNumberFormat="1" applyFont="1" applyFill="1" applyAlignment="1">
      <alignment vertical="center"/>
    </xf>
    <xf numFmtId="14" fontId="12" fillId="2" borderId="0" xfId="0" applyNumberFormat="1" applyFont="1" applyFill="1" applyAlignment="1">
      <alignment vertical="center"/>
    </xf>
    <xf numFmtId="169" fontId="12" fillId="2" borderId="0" xfId="0" applyNumberFormat="1" applyFont="1" applyFill="1" applyAlignment="1">
      <alignment horizontal="right" vertical="center"/>
    </xf>
    <xf numFmtId="0" fontId="12" fillId="2" borderId="0" xfId="0" applyFont="1" applyFill="1"/>
    <xf numFmtId="0" fontId="12" fillId="2" borderId="0" xfId="0" applyFont="1" applyFill="1" applyAlignment="1">
      <alignment wrapText="1"/>
    </xf>
    <xf numFmtId="0" fontId="59" fillId="2" borderId="0" xfId="0" applyFont="1" applyFill="1" applyAlignment="1">
      <alignment horizontal="center" vertical="center" wrapText="1"/>
    </xf>
    <xf numFmtId="0" fontId="56" fillId="2" borderId="0" xfId="0" applyFont="1" applyFill="1" applyAlignment="1">
      <alignment horizontal="center" vertical="center"/>
    </xf>
    <xf numFmtId="0" fontId="12" fillId="2" borderId="0" xfId="0" quotePrefix="1" applyFont="1" applyFill="1" applyAlignment="1" applyProtection="1">
      <alignment horizontal="left" vertical="center"/>
      <protection locked="0"/>
    </xf>
    <xf numFmtId="1" fontId="12" fillId="2" borderId="0" xfId="0" applyNumberFormat="1" applyFont="1" applyFill="1" applyAlignment="1" applyProtection="1">
      <alignment horizontal="left" vertical="center"/>
      <protection locked="0"/>
    </xf>
    <xf numFmtId="0" fontId="12" fillId="2" borderId="0" xfId="0" applyFont="1" applyFill="1" applyAlignment="1" applyProtection="1">
      <alignment horizontal="left" vertical="center"/>
      <protection locked="0"/>
    </xf>
    <xf numFmtId="49" fontId="12" fillId="2" borderId="0" xfId="0" applyNumberFormat="1" applyFont="1" applyFill="1" applyAlignment="1" applyProtection="1">
      <alignment horizontal="lef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horizontal="left" vertical="center" wrapText="1"/>
      <protection locked="0"/>
    </xf>
    <xf numFmtId="0" fontId="12" fillId="2" borderId="0" xfId="0" applyFont="1" applyFill="1" applyAlignment="1">
      <alignment vertical="top" wrapText="1"/>
    </xf>
    <xf numFmtId="0" fontId="12" fillId="27" borderId="0" xfId="0" applyFont="1" applyFill="1" applyAlignment="1">
      <alignment wrapText="1"/>
    </xf>
    <xf numFmtId="0" fontId="12" fillId="0" borderId="45" xfId="0" applyFont="1" applyBorder="1"/>
    <xf numFmtId="0" fontId="65" fillId="0" borderId="44" xfId="0" applyFont="1" applyBorder="1" applyAlignment="1">
      <alignment horizontal="center" vertical="center" wrapText="1"/>
    </xf>
    <xf numFmtId="43" fontId="66" fillId="0" borderId="44" xfId="1" quotePrefix="1" applyFont="1" applyBorder="1" applyAlignment="1">
      <alignment horizontal="center" vertical="center"/>
    </xf>
    <xf numFmtId="167" fontId="66" fillId="0" borderId="44" xfId="3" quotePrefix="1" applyNumberFormat="1" applyFont="1" applyBorder="1" applyAlignment="1">
      <alignment horizontal="center" vertical="center"/>
    </xf>
    <xf numFmtId="166" fontId="12" fillId="0" borderId="0" xfId="1" applyNumberFormat="1" applyFont="1" applyAlignment="1">
      <alignment horizontal="center" vertical="center"/>
    </xf>
    <xf numFmtId="0" fontId="12" fillId="12" borderId="21" xfId="0" applyFont="1" applyFill="1" applyBorder="1" applyAlignment="1">
      <alignment horizontal="left" vertical="center"/>
    </xf>
    <xf numFmtId="0" fontId="47" fillId="0" borderId="2" xfId="0" applyFont="1" applyBorder="1" applyAlignment="1">
      <alignment vertical="center" wrapText="1"/>
    </xf>
    <xf numFmtId="0" fontId="47" fillId="0" borderId="25" xfId="0" applyFont="1" applyBorder="1" applyAlignment="1">
      <alignment vertical="center" wrapText="1"/>
    </xf>
    <xf numFmtId="0" fontId="47" fillId="0" borderId="11" xfId="0" applyFont="1" applyBorder="1" applyAlignment="1">
      <alignment vertical="center" wrapText="1"/>
    </xf>
    <xf numFmtId="0" fontId="12" fillId="2" borderId="2" xfId="0" applyFont="1" applyFill="1" applyBorder="1" applyAlignment="1">
      <alignment vertical="center"/>
    </xf>
    <xf numFmtId="44" fontId="12" fillId="2" borderId="0" xfId="0" applyNumberFormat="1" applyFont="1" applyFill="1" applyAlignment="1">
      <alignment vertical="center"/>
    </xf>
    <xf numFmtId="43" fontId="12" fillId="2" borderId="24" xfId="1" applyFont="1" applyFill="1" applyBorder="1" applyAlignment="1" applyProtection="1">
      <alignment horizontal="center" vertical="center" wrapText="1"/>
      <protection locked="0"/>
    </xf>
    <xf numFmtId="165" fontId="69" fillId="2" borderId="14" xfId="1" applyNumberFormat="1" applyFont="1" applyFill="1" applyBorder="1" applyAlignment="1">
      <alignment horizontal="center" vertical="center" wrapText="1"/>
    </xf>
    <xf numFmtId="0" fontId="43" fillId="7" borderId="43" xfId="0" applyFont="1" applyFill="1" applyBorder="1" applyAlignment="1">
      <alignment horizontal="center" vertical="center" wrapText="1"/>
    </xf>
    <xf numFmtId="0" fontId="43" fillId="7" borderId="43" xfId="0" applyFont="1" applyFill="1" applyBorder="1" applyAlignment="1">
      <alignment vertical="center" wrapText="1"/>
    </xf>
    <xf numFmtId="0" fontId="44" fillId="7" borderId="43" xfId="0" applyFont="1" applyFill="1" applyBorder="1" applyAlignment="1">
      <alignment horizontal="center" vertical="center"/>
    </xf>
    <xf numFmtId="0" fontId="44" fillId="7" borderId="43" xfId="0" applyFont="1" applyFill="1" applyBorder="1" applyAlignment="1" applyProtection="1">
      <alignment horizontal="center" vertical="center"/>
      <protection locked="0"/>
    </xf>
    <xf numFmtId="0" fontId="44" fillId="7" borderId="43" xfId="0" applyFont="1" applyFill="1" applyBorder="1" applyAlignment="1">
      <alignment vertical="center"/>
    </xf>
    <xf numFmtId="0" fontId="43" fillId="7" borderId="43" xfId="0" applyFont="1" applyFill="1" applyBorder="1" applyAlignment="1">
      <alignment horizontal="center" vertical="center"/>
    </xf>
    <xf numFmtId="0" fontId="43" fillId="7" borderId="43" xfId="0" applyFont="1" applyFill="1" applyBorder="1" applyAlignment="1">
      <alignment vertical="center"/>
    </xf>
    <xf numFmtId="0" fontId="43" fillId="7" borderId="43" xfId="0" applyFont="1" applyFill="1" applyBorder="1" applyAlignment="1">
      <alignment horizontal="right" vertical="center"/>
    </xf>
    <xf numFmtId="2" fontId="43" fillId="7" borderId="43" xfId="0" applyNumberFormat="1" applyFont="1" applyFill="1" applyBorder="1" applyAlignment="1">
      <alignment vertical="center"/>
    </xf>
    <xf numFmtId="0" fontId="12" fillId="5" borderId="21" xfId="0" quotePrefix="1" applyFont="1" applyFill="1" applyBorder="1" applyAlignment="1" applyProtection="1">
      <alignment horizontal="left" vertical="center"/>
      <protection locked="0"/>
    </xf>
    <xf numFmtId="1" fontId="12" fillId="5" borderId="21" xfId="0" applyNumberFormat="1" applyFont="1" applyFill="1" applyBorder="1" applyAlignment="1" applyProtection="1">
      <alignment horizontal="left" vertical="center"/>
      <protection locked="0"/>
    </xf>
    <xf numFmtId="0" fontId="12" fillId="5" borderId="21" xfId="0" applyFont="1" applyFill="1" applyBorder="1" applyAlignment="1" applyProtection="1">
      <alignment horizontal="left" vertical="center"/>
      <protection locked="0"/>
    </xf>
    <xf numFmtId="49" fontId="12" fillId="5" borderId="23" xfId="0" applyNumberFormat="1" applyFont="1" applyFill="1" applyBorder="1" applyAlignment="1" applyProtection="1">
      <alignment horizontal="left" vertical="center"/>
      <protection locked="0"/>
    </xf>
    <xf numFmtId="49" fontId="12" fillId="5" borderId="21" xfId="0" applyNumberFormat="1" applyFont="1" applyFill="1" applyBorder="1" applyAlignment="1" applyProtection="1">
      <alignment horizontal="left" vertical="center"/>
      <protection locked="0"/>
    </xf>
    <xf numFmtId="0" fontId="12" fillId="5" borderId="46" xfId="0" applyFont="1" applyFill="1" applyBorder="1" applyAlignment="1" applyProtection="1">
      <alignment vertical="center"/>
      <protection locked="0"/>
    </xf>
    <xf numFmtId="0" fontId="12" fillId="5" borderId="19" xfId="0" applyFont="1" applyFill="1" applyBorder="1" applyAlignment="1" applyProtection="1">
      <alignment vertical="center"/>
      <protection locked="0"/>
    </xf>
    <xf numFmtId="0" fontId="12" fillId="5" borderId="73" xfId="0" applyFont="1" applyFill="1" applyBorder="1" applyAlignment="1" applyProtection="1">
      <alignment vertical="center"/>
      <protection locked="0"/>
    </xf>
    <xf numFmtId="0" fontId="39" fillId="0" borderId="20" xfId="0" applyFont="1" applyBorder="1" applyAlignment="1">
      <alignment vertical="center"/>
    </xf>
    <xf numFmtId="0" fontId="39" fillId="0" borderId="48" xfId="0" applyFont="1" applyBorder="1" applyAlignment="1">
      <alignment vertical="center"/>
    </xf>
    <xf numFmtId="0" fontId="12" fillId="5" borderId="51" xfId="1" applyNumberFormat="1"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2" borderId="21"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wrapText="1"/>
      <protection locked="0"/>
    </xf>
    <xf numFmtId="3" fontId="12" fillId="5" borderId="21" xfId="0" applyNumberFormat="1" applyFont="1" applyFill="1" applyBorder="1" applyAlignment="1" applyProtection="1">
      <alignment horizontal="center" vertical="center" wrapText="1"/>
      <protection locked="0"/>
    </xf>
    <xf numFmtId="0" fontId="39" fillId="0" borderId="22" xfId="0" applyFont="1" applyBorder="1" applyAlignment="1">
      <alignment vertical="center" wrapText="1"/>
    </xf>
    <xf numFmtId="0" fontId="12" fillId="5" borderId="23" xfId="0" applyFont="1" applyFill="1" applyBorder="1" applyAlignment="1" applyProtection="1">
      <alignment horizontal="center" vertical="center"/>
      <protection locked="0"/>
    </xf>
    <xf numFmtId="0" fontId="46" fillId="2" borderId="0" xfId="0" applyFont="1" applyFill="1" applyAlignment="1">
      <alignment vertical="center" wrapText="1"/>
    </xf>
    <xf numFmtId="0" fontId="12" fillId="2" borderId="0" xfId="0" applyFont="1" applyFill="1" applyAlignment="1" applyProtection="1">
      <alignment horizontal="center" vertical="center" wrapText="1"/>
      <protection locked="0"/>
    </xf>
    <xf numFmtId="0" fontId="47" fillId="7" borderId="26" xfId="0" applyFont="1" applyFill="1" applyBorder="1" applyAlignment="1">
      <alignment vertical="center" wrapText="1"/>
    </xf>
    <xf numFmtId="0" fontId="39" fillId="0" borderId="26" xfId="0" applyFont="1" applyBorder="1" applyAlignment="1">
      <alignment vertical="center"/>
    </xf>
    <xf numFmtId="1" fontId="12" fillId="5" borderId="26" xfId="0" applyNumberFormat="1" applyFont="1" applyFill="1" applyBorder="1" applyAlignment="1" applyProtection="1">
      <alignment horizontal="center" vertical="center"/>
      <protection locked="0"/>
    </xf>
    <xf numFmtId="0" fontId="6" fillId="0" borderId="18" xfId="0" applyFont="1" applyBorder="1"/>
    <xf numFmtId="44" fontId="12" fillId="2" borderId="0" xfId="2" applyFont="1" applyFill="1" applyAlignment="1">
      <alignment vertical="center"/>
    </xf>
    <xf numFmtId="43" fontId="66" fillId="0" borderId="0" xfId="1" quotePrefix="1" applyFont="1" applyBorder="1" applyAlignment="1">
      <alignment horizontal="center" vertical="center"/>
    </xf>
    <xf numFmtId="167" fontId="66" fillId="0" borderId="0" xfId="3" quotePrefix="1" applyNumberFormat="1" applyFont="1" applyBorder="1" applyAlignment="1">
      <alignment horizontal="center" vertical="center"/>
    </xf>
    <xf numFmtId="0" fontId="25" fillId="0" borderId="41" xfId="0" applyFont="1" applyBorder="1" applyAlignment="1">
      <alignment horizontal="center" vertical="center"/>
    </xf>
    <xf numFmtId="0" fontId="25" fillId="0" borderId="70" xfId="0" applyFont="1" applyBorder="1" applyAlignment="1">
      <alignment horizontal="center" vertical="center"/>
    </xf>
    <xf numFmtId="0" fontId="25" fillId="0" borderId="70" xfId="0" applyFont="1" applyBorder="1" applyAlignment="1">
      <alignment horizontal="center" vertical="center" wrapText="1"/>
    </xf>
    <xf numFmtId="0" fontId="25" fillId="0" borderId="80" xfId="0" applyFont="1" applyBorder="1" applyAlignment="1">
      <alignment horizontal="center" vertical="center" wrapText="1"/>
    </xf>
    <xf numFmtId="170" fontId="23" fillId="0" borderId="43" xfId="2" applyNumberFormat="1" applyFont="1" applyBorder="1" applyAlignment="1">
      <alignment horizontal="center" vertical="center"/>
    </xf>
    <xf numFmtId="165" fontId="23" fillId="0" borderId="43" xfId="1" applyNumberFormat="1" applyFont="1" applyFill="1" applyBorder="1" applyAlignment="1" applyProtection="1">
      <alignment horizontal="center" vertical="center"/>
    </xf>
    <xf numFmtId="165" fontId="23" fillId="0" borderId="43" xfId="1" applyNumberFormat="1" applyFont="1" applyFill="1" applyBorder="1" applyAlignment="1">
      <alignment horizontal="center" vertical="center"/>
    </xf>
    <xf numFmtId="165" fontId="23" fillId="0" borderId="43" xfId="1" applyNumberFormat="1" applyFont="1" applyBorder="1" applyAlignment="1" applyProtection="1">
      <alignment horizontal="center" vertical="center"/>
    </xf>
    <xf numFmtId="168" fontId="23" fillId="0" borderId="53" xfId="0" applyNumberFormat="1" applyFont="1" applyBorder="1" applyAlignment="1">
      <alignment horizontal="left" vertical="center" wrapText="1"/>
    </xf>
    <xf numFmtId="44" fontId="23" fillId="0" borderId="21" xfId="2" applyFont="1" applyBorder="1" applyAlignment="1" applyProtection="1">
      <alignment horizontal="center" vertical="center"/>
    </xf>
    <xf numFmtId="0" fontId="25" fillId="0" borderId="56" xfId="0" applyFont="1" applyBorder="1" applyAlignment="1">
      <alignment horizontal="left" vertical="center" wrapText="1"/>
    </xf>
    <xf numFmtId="3" fontId="6" fillId="0" borderId="55" xfId="0" applyNumberFormat="1" applyFont="1" applyBorder="1" applyAlignment="1">
      <alignment horizontal="center" vertical="center" wrapText="1"/>
    </xf>
    <xf numFmtId="170" fontId="6" fillId="0" borderId="55" xfId="2" applyNumberFormat="1" applyFont="1" applyFill="1" applyBorder="1" applyAlignment="1" applyProtection="1">
      <alignment horizontal="center" vertical="center" wrapText="1"/>
    </xf>
    <xf numFmtId="0" fontId="12" fillId="0" borderId="54" xfId="0" applyFont="1" applyBorder="1"/>
    <xf numFmtId="0" fontId="12" fillId="0" borderId="42" xfId="0" applyFont="1" applyBorder="1"/>
    <xf numFmtId="0" fontId="12" fillId="0" borderId="72" xfId="0" applyFont="1" applyBorder="1"/>
    <xf numFmtId="0" fontId="12" fillId="0" borderId="73" xfId="0" applyFont="1" applyBorder="1"/>
    <xf numFmtId="0" fontId="12" fillId="0" borderId="84" xfId="0" applyFont="1" applyBorder="1"/>
    <xf numFmtId="0" fontId="12" fillId="0" borderId="85" xfId="0" applyFont="1" applyBorder="1"/>
    <xf numFmtId="0" fontId="12" fillId="0" borderId="50" xfId="0" applyFont="1" applyBorder="1"/>
    <xf numFmtId="0" fontId="12" fillId="0" borderId="49" xfId="0" applyFont="1" applyBorder="1"/>
    <xf numFmtId="0" fontId="12" fillId="0" borderId="51" xfId="0" applyFont="1" applyBorder="1"/>
    <xf numFmtId="0" fontId="12" fillId="0" borderId="61" xfId="0" applyFont="1" applyBorder="1"/>
    <xf numFmtId="0" fontId="12" fillId="0" borderId="8" xfId="0" applyFont="1" applyBorder="1"/>
    <xf numFmtId="0" fontId="12" fillId="0" borderId="19" xfId="0" applyFont="1" applyBorder="1"/>
    <xf numFmtId="0" fontId="12" fillId="0" borderId="18" xfId="0" applyFont="1" applyBorder="1"/>
    <xf numFmtId="0" fontId="12" fillId="0" borderId="63" xfId="0" applyFont="1" applyBorder="1"/>
    <xf numFmtId="0" fontId="12" fillId="0" borderId="53" xfId="0" applyFont="1" applyBorder="1"/>
    <xf numFmtId="0" fontId="12" fillId="0" borderId="43" xfId="0" applyFont="1" applyBorder="1"/>
    <xf numFmtId="0" fontId="12" fillId="0" borderId="21" xfId="0" applyFont="1" applyBorder="1"/>
    <xf numFmtId="43" fontId="12" fillId="0" borderId="53" xfId="1" applyFont="1" applyBorder="1"/>
    <xf numFmtId="43" fontId="12" fillId="0" borderId="43" xfId="1" applyFont="1" applyBorder="1"/>
    <xf numFmtId="43" fontId="12" fillId="0" borderId="21" xfId="1" applyFont="1" applyBorder="1"/>
    <xf numFmtId="43" fontId="12" fillId="0" borderId="20" xfId="1" applyFont="1" applyBorder="1"/>
    <xf numFmtId="43" fontId="12" fillId="0" borderId="54" xfId="1" applyFont="1" applyBorder="1"/>
    <xf numFmtId="43" fontId="12" fillId="0" borderId="28" xfId="1" applyFont="1" applyBorder="1" applyAlignment="1">
      <alignment vertical="center"/>
    </xf>
    <xf numFmtId="43" fontId="12" fillId="0" borderId="55" xfId="1" applyFont="1" applyBorder="1" applyAlignment="1">
      <alignment vertical="center"/>
    </xf>
    <xf numFmtId="43" fontId="12" fillId="0" borderId="23" xfId="1" applyFont="1" applyBorder="1" applyAlignment="1">
      <alignment vertical="center"/>
    </xf>
    <xf numFmtId="43" fontId="12" fillId="0" borderId="31" xfId="1" applyFont="1" applyBorder="1" applyAlignment="1">
      <alignment vertical="center"/>
    </xf>
    <xf numFmtId="43" fontId="12" fillId="0" borderId="57" xfId="1" applyFont="1" applyBorder="1" applyAlignment="1">
      <alignment vertical="center"/>
    </xf>
    <xf numFmtId="0" fontId="12" fillId="0" borderId="56" xfId="0" applyFont="1" applyBorder="1"/>
    <xf numFmtId="0" fontId="12" fillId="0" borderId="55" xfId="0" applyFont="1" applyBorder="1"/>
    <xf numFmtId="0" fontId="12" fillId="0" borderId="23" xfId="0" applyFont="1" applyBorder="1"/>
    <xf numFmtId="169" fontId="12" fillId="0" borderId="0" xfId="0" applyNumberFormat="1" applyFont="1"/>
    <xf numFmtId="2" fontId="12" fillId="0" borderId="0" xfId="0" applyNumberFormat="1" applyFont="1"/>
    <xf numFmtId="168" fontId="19" fillId="5" borderId="45" xfId="4" applyNumberFormat="1" applyFont="1" applyFill="1" applyBorder="1" applyAlignment="1" applyProtection="1">
      <alignment vertical="center"/>
      <protection locked="0"/>
    </xf>
    <xf numFmtId="1" fontId="10" fillId="5" borderId="45" xfId="4" applyNumberFormat="1" applyFill="1" applyBorder="1" applyAlignment="1" applyProtection="1">
      <alignment vertical="center"/>
      <protection locked="0"/>
    </xf>
    <xf numFmtId="4" fontId="12" fillId="5" borderId="45" xfId="0" applyNumberFormat="1" applyFont="1" applyFill="1" applyBorder="1" applyProtection="1">
      <protection locked="0"/>
    </xf>
    <xf numFmtId="0" fontId="12" fillId="5" borderId="45" xfId="0" applyFont="1" applyFill="1" applyBorder="1" applyProtection="1">
      <protection locked="0"/>
    </xf>
    <xf numFmtId="3" fontId="12" fillId="5" borderId="45" xfId="0" applyNumberFormat="1" applyFont="1" applyFill="1" applyBorder="1" applyProtection="1">
      <protection locked="0"/>
    </xf>
    <xf numFmtId="43" fontId="12" fillId="5" borderId="45" xfId="0" applyNumberFormat="1" applyFont="1" applyFill="1" applyBorder="1" applyProtection="1">
      <protection locked="0"/>
    </xf>
    <xf numFmtId="43" fontId="71" fillId="2" borderId="0" xfId="1" applyFont="1" applyFill="1" applyAlignment="1">
      <alignment vertical="center" wrapText="1"/>
    </xf>
    <xf numFmtId="178" fontId="6" fillId="0" borderId="55" xfId="0" applyNumberFormat="1" applyFont="1" applyBorder="1" applyAlignment="1">
      <alignment horizontal="center" vertical="center" wrapText="1"/>
    </xf>
    <xf numFmtId="44" fontId="6" fillId="0" borderId="23" xfId="2" applyFont="1" applyFill="1" applyBorder="1" applyAlignment="1" applyProtection="1">
      <alignment horizontal="center" vertical="center" wrapText="1"/>
    </xf>
    <xf numFmtId="165" fontId="12" fillId="0" borderId="0" xfId="1" applyNumberFormat="1" applyFont="1"/>
    <xf numFmtId="43" fontId="12" fillId="0" borderId="0" xfId="1" applyFont="1"/>
    <xf numFmtId="0" fontId="69" fillId="2" borderId="0" xfId="0" applyFont="1" applyFill="1" applyAlignment="1">
      <alignment vertical="center" wrapText="1"/>
    </xf>
    <xf numFmtId="0" fontId="1" fillId="0" borderId="20" xfId="0" applyFont="1" applyBorder="1"/>
    <xf numFmtId="0" fontId="1" fillId="0" borderId="43" xfId="0" applyFont="1" applyBorder="1"/>
    <xf numFmtId="0" fontId="1" fillId="0" borderId="54" xfId="0" applyFont="1" applyBorder="1"/>
    <xf numFmtId="0" fontId="1" fillId="0" borderId="65" xfId="0" applyFont="1" applyBorder="1"/>
    <xf numFmtId="0" fontId="1" fillId="0" borderId="4" xfId="0" applyFont="1" applyBorder="1"/>
    <xf numFmtId="0" fontId="1" fillId="0" borderId="66" xfId="0" applyFont="1" applyBorder="1"/>
    <xf numFmtId="0" fontId="12" fillId="0" borderId="21" xfId="0" applyFont="1" applyBorder="1" applyAlignment="1" applyProtection="1">
      <alignment horizontal="center" vertical="center" wrapText="1"/>
      <protection locked="0"/>
    </xf>
    <xf numFmtId="0" fontId="1" fillId="0" borderId="43" xfId="0" applyFont="1" applyBorder="1" applyAlignment="1">
      <alignment horizontal="center" vertical="center"/>
    </xf>
    <xf numFmtId="170" fontId="1" fillId="5" borderId="43" xfId="2" applyNumberFormat="1" applyFont="1" applyFill="1" applyBorder="1" applyAlignment="1" applyProtection="1">
      <alignment horizontal="center" vertical="center" wrapText="1"/>
      <protection locked="0"/>
    </xf>
    <xf numFmtId="165" fontId="1" fillId="0" borderId="43" xfId="1" applyNumberFormat="1" applyFont="1" applyFill="1" applyBorder="1" applyAlignment="1">
      <alignment horizontal="center" vertical="center"/>
    </xf>
    <xf numFmtId="165" fontId="1" fillId="0" borderId="43" xfId="1" applyNumberFormat="1" applyFont="1" applyFill="1" applyBorder="1" applyAlignment="1" applyProtection="1">
      <alignment horizontal="center" vertical="center"/>
    </xf>
    <xf numFmtId="0" fontId="1" fillId="0" borderId="0" xfId="0" applyFont="1"/>
    <xf numFmtId="0" fontId="1" fillId="4" borderId="0" xfId="0" applyFont="1" applyFill="1"/>
    <xf numFmtId="0" fontId="1" fillId="0" borderId="1" xfId="0" applyFont="1" applyBorder="1"/>
    <xf numFmtId="0" fontId="1" fillId="0" borderId="2" xfId="0" applyFont="1" applyBorder="1"/>
    <xf numFmtId="166" fontId="1" fillId="0" borderId="70" xfId="1" applyNumberFormat="1" applyFont="1" applyBorder="1"/>
    <xf numFmtId="166" fontId="1" fillId="0" borderId="2" xfId="1" applyNumberFormat="1" applyFont="1" applyBorder="1"/>
    <xf numFmtId="166" fontId="1" fillId="0" borderId="3" xfId="1" applyNumberFormat="1" applyFont="1" applyBorder="1"/>
    <xf numFmtId="0" fontId="1" fillId="4" borderId="2" xfId="0" applyFont="1" applyFill="1" applyBorder="1"/>
    <xf numFmtId="166" fontId="1" fillId="4" borderId="51" xfId="1" applyNumberFormat="1" applyFont="1" applyFill="1" applyBorder="1"/>
    <xf numFmtId="0" fontId="1" fillId="8" borderId="0" xfId="0" applyFont="1" applyFill="1"/>
    <xf numFmtId="0" fontId="1" fillId="0" borderId="14" xfId="0" applyFont="1" applyBorder="1"/>
    <xf numFmtId="166" fontId="1" fillId="0" borderId="43" xfId="1" applyNumberFormat="1" applyFont="1" applyBorder="1"/>
    <xf numFmtId="0" fontId="1" fillId="0" borderId="43" xfId="0" applyFont="1" applyBorder="1" applyAlignment="1">
      <alignment wrapText="1"/>
    </xf>
    <xf numFmtId="166" fontId="1" fillId="0" borderId="21" xfId="1" applyNumberFormat="1" applyFont="1" applyBorder="1" applyAlignment="1">
      <alignment wrapText="1"/>
    </xf>
    <xf numFmtId="0" fontId="1" fillId="4" borderId="20" xfId="0" applyFont="1" applyFill="1" applyBorder="1" applyAlignment="1">
      <alignment wrapText="1"/>
    </xf>
    <xf numFmtId="0" fontId="1" fillId="4" borderId="43" xfId="0" applyFont="1" applyFill="1" applyBorder="1" applyAlignment="1">
      <alignment wrapText="1"/>
    </xf>
    <xf numFmtId="0" fontId="1" fillId="4" borderId="54" xfId="0" applyFont="1" applyFill="1" applyBorder="1" applyAlignment="1">
      <alignment wrapText="1"/>
    </xf>
    <xf numFmtId="166" fontId="1" fillId="4" borderId="21" xfId="1" applyNumberFormat="1" applyFont="1" applyFill="1" applyBorder="1" applyAlignment="1">
      <alignment wrapText="1"/>
    </xf>
    <xf numFmtId="0" fontId="1" fillId="0" borderId="50" xfId="0" applyFont="1" applyBorder="1" applyAlignment="1">
      <alignment horizontal="center" wrapText="1"/>
    </xf>
    <xf numFmtId="0" fontId="1" fillId="0" borderId="49" xfId="0" applyFont="1" applyBorder="1" applyAlignment="1">
      <alignment horizontal="center"/>
    </xf>
    <xf numFmtId="0" fontId="1" fillId="0" borderId="51" xfId="0" applyFont="1" applyBorder="1" applyAlignment="1">
      <alignment horizontal="center" wrapText="1"/>
    </xf>
    <xf numFmtId="0" fontId="1" fillId="7" borderId="0" xfId="0" applyFont="1" applyFill="1"/>
    <xf numFmtId="166" fontId="1" fillId="7" borderId="0" xfId="1" applyNumberFormat="1" applyFont="1" applyFill="1"/>
    <xf numFmtId="1" fontId="1" fillId="7" borderId="0" xfId="0" applyNumberFormat="1" applyFont="1" applyFill="1"/>
    <xf numFmtId="0" fontId="1" fillId="7" borderId="0" xfId="0" quotePrefix="1" applyFont="1" applyFill="1"/>
    <xf numFmtId="0" fontId="1" fillId="7" borderId="0" xfId="0" applyFont="1" applyFill="1" applyAlignment="1">
      <alignment horizontal="right"/>
    </xf>
    <xf numFmtId="3" fontId="1" fillId="0" borderId="43" xfId="0" applyNumberFormat="1" applyFont="1" applyBorder="1"/>
    <xf numFmtId="10" fontId="1" fillId="0" borderId="43" xfId="3" applyNumberFormat="1" applyFont="1" applyBorder="1"/>
    <xf numFmtId="43" fontId="1" fillId="0" borderId="21" xfId="1" applyFont="1" applyBorder="1"/>
    <xf numFmtId="0" fontId="1" fillId="4" borderId="20" xfId="0" applyFont="1" applyFill="1" applyBorder="1"/>
    <xf numFmtId="43" fontId="1" fillId="4" borderId="43" xfId="1" applyFont="1" applyFill="1" applyBorder="1"/>
    <xf numFmtId="166" fontId="1" fillId="4" borderId="43" xfId="1" applyNumberFormat="1" applyFont="1" applyFill="1" applyBorder="1"/>
    <xf numFmtId="166" fontId="1" fillId="4" borderId="54" xfId="1" applyNumberFormat="1" applyFont="1" applyFill="1" applyBorder="1"/>
    <xf numFmtId="166" fontId="1" fillId="4" borderId="21" xfId="1" applyNumberFormat="1" applyFont="1" applyFill="1" applyBorder="1"/>
    <xf numFmtId="0" fontId="1" fillId="0" borderId="53" xfId="0" applyFont="1" applyBorder="1"/>
    <xf numFmtId="43" fontId="1" fillId="0" borderId="43" xfId="1" applyFont="1" applyBorder="1"/>
    <xf numFmtId="9" fontId="1" fillId="7" borderId="0" xfId="3" applyFont="1" applyFill="1" applyBorder="1" applyAlignment="1">
      <alignment horizontal="left"/>
    </xf>
    <xf numFmtId="0" fontId="1" fillId="0" borderId="56" xfId="0" applyFont="1" applyBorder="1"/>
    <xf numFmtId="43" fontId="1" fillId="0" borderId="55" xfId="1" applyFont="1" applyBorder="1"/>
    <xf numFmtId="43" fontId="1" fillId="0" borderId="23" xfId="1" applyFont="1" applyBorder="1"/>
    <xf numFmtId="43" fontId="1" fillId="7" borderId="0" xfId="1" applyFont="1" applyFill="1"/>
    <xf numFmtId="0" fontId="1" fillId="7" borderId="0" xfId="0" quotePrefix="1" applyFont="1" applyFill="1" applyAlignment="1">
      <alignment wrapText="1"/>
    </xf>
    <xf numFmtId="0" fontId="1" fillId="0" borderId="47" xfId="0" applyFont="1" applyBorder="1"/>
    <xf numFmtId="0" fontId="1" fillId="0" borderId="38" xfId="0" applyFont="1" applyBorder="1"/>
    <xf numFmtId="166" fontId="1" fillId="0" borderId="72" xfId="1" applyNumberFormat="1" applyFont="1" applyBorder="1"/>
    <xf numFmtId="2" fontId="1" fillId="0" borderId="46" xfId="1" applyNumberFormat="1" applyFont="1" applyBorder="1"/>
    <xf numFmtId="0" fontId="1" fillId="4" borderId="38" xfId="0" applyFont="1" applyFill="1" applyBorder="1"/>
    <xf numFmtId="166" fontId="1" fillId="4" borderId="23" xfId="1" applyNumberFormat="1" applyFont="1" applyFill="1" applyBorder="1"/>
    <xf numFmtId="0" fontId="1" fillId="7" borderId="43" xfId="0" applyFont="1" applyFill="1" applyBorder="1"/>
    <xf numFmtId="43" fontId="1" fillId="7" borderId="43" xfId="1" applyFont="1" applyFill="1" applyBorder="1"/>
    <xf numFmtId="166" fontId="1" fillId="0" borderId="43" xfId="0" applyNumberFormat="1" applyFont="1" applyBorder="1"/>
    <xf numFmtId="43" fontId="1" fillId="7" borderId="0" xfId="0" applyNumberFormat="1" applyFont="1" applyFill="1"/>
    <xf numFmtId="0" fontId="1" fillId="0" borderId="0" xfId="0" applyFont="1" applyAlignment="1">
      <alignment wrapText="1"/>
    </xf>
    <xf numFmtId="166" fontId="1" fillId="0" borderId="43" xfId="1" applyNumberFormat="1" applyFont="1" applyFill="1" applyBorder="1"/>
    <xf numFmtId="167" fontId="1" fillId="0" borderId="43" xfId="3" applyNumberFormat="1" applyFont="1" applyBorder="1"/>
    <xf numFmtId="0" fontId="1" fillId="9" borderId="0" xfId="0" applyFont="1" applyFill="1"/>
    <xf numFmtId="0" fontId="1" fillId="18" borderId="43" xfId="0" applyFont="1" applyFill="1" applyBorder="1" applyAlignment="1">
      <alignment wrapText="1"/>
    </xf>
    <xf numFmtId="9" fontId="1" fillId="7" borderId="0" xfId="3" applyFont="1" applyFill="1"/>
    <xf numFmtId="165" fontId="1" fillId="0" borderId="43" xfId="1" applyNumberFormat="1" applyFont="1" applyFill="1" applyBorder="1"/>
    <xf numFmtId="9" fontId="1" fillId="7" borderId="43" xfId="3" applyFont="1" applyFill="1" applyBorder="1"/>
    <xf numFmtId="165" fontId="1" fillId="0" borderId="43" xfId="1" applyNumberFormat="1" applyFont="1" applyBorder="1"/>
    <xf numFmtId="9" fontId="1" fillId="7" borderId="43" xfId="1" applyNumberFormat="1" applyFont="1" applyFill="1" applyBorder="1"/>
    <xf numFmtId="165" fontId="1" fillId="0" borderId="0" xfId="1" applyNumberFormat="1" applyFont="1"/>
    <xf numFmtId="43" fontId="1" fillId="0" borderId="43" xfId="0" applyNumberFormat="1" applyFont="1" applyBorder="1"/>
    <xf numFmtId="43" fontId="1" fillId="0" borderId="0" xfId="1" applyFont="1"/>
    <xf numFmtId="43" fontId="1" fillId="0" borderId="0" xfId="0" applyNumberFormat="1" applyFont="1"/>
    <xf numFmtId="167" fontId="1" fillId="0" borderId="0" xfId="3" applyNumberFormat="1" applyFont="1"/>
    <xf numFmtId="0" fontId="1" fillId="7" borderId="54" xfId="0" applyFont="1" applyFill="1" applyBorder="1"/>
    <xf numFmtId="0" fontId="1" fillId="7" borderId="20" xfId="0" applyFont="1" applyFill="1" applyBorder="1"/>
    <xf numFmtId="166" fontId="1" fillId="0" borderId="0" xfId="1" applyNumberFormat="1" applyFont="1" applyBorder="1"/>
    <xf numFmtId="166" fontId="1" fillId="0" borderId="0" xfId="1" applyNumberFormat="1" applyFont="1" applyBorder="1" applyAlignment="1">
      <alignment wrapText="1"/>
    </xf>
    <xf numFmtId="0" fontId="1" fillId="0" borderId="0" xfId="0" applyFont="1" applyAlignment="1">
      <alignment horizontal="center"/>
    </xf>
    <xf numFmtId="43" fontId="1" fillId="0" borderId="43" xfId="1" applyFont="1" applyBorder="1" applyAlignment="1">
      <alignment horizontal="center"/>
    </xf>
    <xf numFmtId="166" fontId="1" fillId="10" borderId="43" xfId="0" applyNumberFormat="1" applyFont="1" applyFill="1" applyBorder="1"/>
    <xf numFmtId="43" fontId="1" fillId="10" borderId="43" xfId="0" applyNumberFormat="1" applyFont="1" applyFill="1" applyBorder="1"/>
    <xf numFmtId="2" fontId="1" fillId="0" borderId="0" xfId="1" applyNumberFormat="1" applyFont="1" applyBorder="1"/>
    <xf numFmtId="173" fontId="1" fillId="0" borderId="0" xfId="0" applyNumberFormat="1" applyFont="1"/>
    <xf numFmtId="174" fontId="1" fillId="0" borderId="0" xfId="0" applyNumberFormat="1" applyFont="1"/>
    <xf numFmtId="0" fontId="1" fillId="0" borderId="30" xfId="0" applyFont="1" applyBorder="1"/>
    <xf numFmtId="0" fontId="1" fillId="0" borderId="0" xfId="0" applyFont="1" applyAlignment="1">
      <alignment horizontal="center" wrapText="1"/>
    </xf>
    <xf numFmtId="0" fontId="1" fillId="0" borderId="43" xfId="0" applyFont="1" applyBorder="1" applyAlignment="1">
      <alignment horizontal="center"/>
    </xf>
    <xf numFmtId="0" fontId="1" fillId="4" borderId="43" xfId="0" applyFont="1" applyFill="1" applyBorder="1" applyAlignment="1">
      <alignment horizontal="center"/>
    </xf>
    <xf numFmtId="43" fontId="1" fillId="0" borderId="43" xfId="1" applyFont="1" applyFill="1" applyBorder="1"/>
    <xf numFmtId="172" fontId="1" fillId="0" borderId="43" xfId="1" applyNumberFormat="1" applyFont="1" applyFill="1" applyBorder="1"/>
    <xf numFmtId="9" fontId="1" fillId="0" borderId="43" xfId="3" applyFont="1" applyFill="1" applyBorder="1"/>
    <xf numFmtId="0" fontId="1" fillId="19" borderId="43" xfId="0" applyFont="1" applyFill="1" applyBorder="1"/>
    <xf numFmtId="0" fontId="1" fillId="6" borderId="43" xfId="0" applyFont="1" applyFill="1" applyBorder="1"/>
    <xf numFmtId="43" fontId="1" fillId="6" borderId="43" xfId="0" applyNumberFormat="1" applyFont="1" applyFill="1" applyBorder="1"/>
    <xf numFmtId="0" fontId="1" fillId="6" borderId="43" xfId="0" applyFont="1" applyFill="1" applyBorder="1" applyAlignment="1">
      <alignment wrapText="1"/>
    </xf>
    <xf numFmtId="0" fontId="1" fillId="6" borderId="43" xfId="0" applyFont="1" applyFill="1" applyBorder="1" applyAlignment="1">
      <alignment horizontal="center"/>
    </xf>
    <xf numFmtId="166" fontId="1" fillId="6" borderId="43" xfId="1" applyNumberFormat="1" applyFont="1" applyFill="1" applyBorder="1"/>
    <xf numFmtId="166" fontId="1" fillId="6" borderId="43" xfId="0" applyNumberFormat="1" applyFont="1" applyFill="1" applyBorder="1"/>
    <xf numFmtId="167" fontId="1" fillId="6" borderId="43" xfId="3" applyNumberFormat="1" applyFont="1" applyFill="1" applyBorder="1"/>
    <xf numFmtId="2" fontId="1" fillId="0" borderId="43" xfId="0" applyNumberFormat="1" applyFont="1" applyBorder="1"/>
    <xf numFmtId="9" fontId="1" fillId="0" borderId="43" xfId="0" applyNumberFormat="1" applyFont="1" applyBorder="1"/>
    <xf numFmtId="0" fontId="1" fillId="0" borderId="8" xfId="0" applyFont="1" applyBorder="1" applyAlignment="1">
      <alignment horizontal="center"/>
    </xf>
    <xf numFmtId="9" fontId="1" fillId="0" borderId="0" xfId="3" applyFont="1" applyBorder="1"/>
    <xf numFmtId="43" fontId="1" fillId="0" borderId="67" xfId="0" applyNumberFormat="1" applyFont="1" applyBorder="1" applyAlignment="1">
      <alignment horizontal="center"/>
    </xf>
    <xf numFmtId="166" fontId="1" fillId="0" borderId="0" xfId="1" applyNumberFormat="1" applyFont="1" applyFill="1" applyBorder="1"/>
    <xf numFmtId="172" fontId="1" fillId="0" borderId="0" xfId="1" applyNumberFormat="1" applyFont="1" applyFill="1" applyBorder="1"/>
    <xf numFmtId="175" fontId="1" fillId="0" borderId="0" xfId="1" applyNumberFormat="1" applyFont="1" applyFill="1" applyBorder="1"/>
    <xf numFmtId="43" fontId="1" fillId="0" borderId="67" xfId="1" applyFont="1" applyFill="1" applyBorder="1" applyAlignment="1">
      <alignment horizontal="center"/>
    </xf>
    <xf numFmtId="9" fontId="1" fillId="0" borderId="0" xfId="3" applyFont="1" applyFill="1" applyBorder="1"/>
    <xf numFmtId="172" fontId="1" fillId="0" borderId="0" xfId="1" applyNumberFormat="1" applyFont="1" applyBorder="1"/>
    <xf numFmtId="175" fontId="1" fillId="0" borderId="0" xfId="1" applyNumberFormat="1" applyFont="1" applyBorder="1"/>
    <xf numFmtId="166" fontId="1" fillId="0" borderId="0" xfId="0" applyNumberFormat="1" applyFont="1" applyAlignment="1">
      <alignment horizontal="center"/>
    </xf>
    <xf numFmtId="43" fontId="1" fillId="0" borderId="0" xfId="1" applyFont="1" applyBorder="1"/>
    <xf numFmtId="166" fontId="1" fillId="0" borderId="0" xfId="0" applyNumberFormat="1" applyFont="1"/>
    <xf numFmtId="44" fontId="1" fillId="0" borderId="0" xfId="2" applyFont="1"/>
    <xf numFmtId="170" fontId="1" fillId="0" borderId="0" xfId="2" applyNumberFormat="1" applyFont="1"/>
    <xf numFmtId="43" fontId="1" fillId="0" borderId="67" xfId="1" applyFont="1" applyBorder="1" applyAlignment="1">
      <alignment horizontal="center"/>
    </xf>
    <xf numFmtId="0" fontId="1" fillId="10" borderId="0" xfId="0" applyFont="1" applyFill="1"/>
    <xf numFmtId="0" fontId="1" fillId="0" borderId="36" xfId="0" applyFont="1" applyBorder="1"/>
    <xf numFmtId="164" fontId="1" fillId="0" borderId="24" xfId="0" applyNumberFormat="1" applyFont="1" applyBorder="1"/>
    <xf numFmtId="0" fontId="1" fillId="0" borderId="48" xfId="0" applyFont="1" applyBorder="1"/>
    <xf numFmtId="0" fontId="1" fillId="0" borderId="49" xfId="0" applyFont="1" applyBorder="1"/>
    <xf numFmtId="0" fontId="1" fillId="0" borderId="3" xfId="0" applyFont="1" applyBorder="1"/>
    <xf numFmtId="0" fontId="1" fillId="0" borderId="50" xfId="0" applyFont="1" applyBorder="1"/>
    <xf numFmtId="0" fontId="1" fillId="0" borderId="51" xfId="0" applyFont="1" applyBorder="1"/>
    <xf numFmtId="0" fontId="1" fillId="0" borderId="52" xfId="0" applyFont="1" applyBorder="1"/>
    <xf numFmtId="164" fontId="1" fillId="0" borderId="0" xfId="0" applyNumberFormat="1" applyFont="1"/>
    <xf numFmtId="164" fontId="1" fillId="0" borderId="7" xfId="0" applyNumberFormat="1" applyFont="1" applyBorder="1"/>
    <xf numFmtId="0" fontId="1" fillId="0" borderId="21" xfId="0" applyFont="1" applyBorder="1"/>
    <xf numFmtId="0" fontId="1" fillId="0" borderId="46" xfId="0" applyFont="1" applyBorder="1"/>
    <xf numFmtId="169" fontId="1" fillId="0" borderId="43" xfId="0" applyNumberFormat="1" applyFont="1" applyBorder="1"/>
    <xf numFmtId="164" fontId="1" fillId="0" borderId="17" xfId="0" applyNumberFormat="1" applyFont="1" applyBorder="1"/>
    <xf numFmtId="0" fontId="1" fillId="0" borderId="22" xfId="0" applyFont="1" applyBorder="1"/>
    <xf numFmtId="0" fontId="1" fillId="0" borderId="55" xfId="0" applyFont="1" applyBorder="1"/>
    <xf numFmtId="0" fontId="1" fillId="0" borderId="23" xfId="0" applyFont="1" applyBorder="1"/>
    <xf numFmtId="0" fontId="1" fillId="0" borderId="57" xfId="0" applyFont="1" applyBorder="1"/>
    <xf numFmtId="1" fontId="1" fillId="0" borderId="0" xfId="0" applyNumberFormat="1" applyFont="1"/>
    <xf numFmtId="0" fontId="1" fillId="0" borderId="61" xfId="0" applyFont="1" applyBorder="1"/>
    <xf numFmtId="0" fontId="1" fillId="0" borderId="19" xfId="0" quotePrefix="1" applyFont="1" applyBorder="1"/>
    <xf numFmtId="0" fontId="1" fillId="0" borderId="21" xfId="0" quotePrefix="1" applyFont="1" applyBorder="1"/>
    <xf numFmtId="0" fontId="1" fillId="11" borderId="61" xfId="0" applyFont="1" applyFill="1" applyBorder="1"/>
    <xf numFmtId="0" fontId="1" fillId="6" borderId="8" xfId="0" applyFont="1" applyFill="1" applyBorder="1"/>
    <xf numFmtId="0" fontId="1" fillId="11" borderId="8" xfId="0" applyFont="1" applyFill="1" applyBorder="1"/>
    <xf numFmtId="0" fontId="1" fillId="6" borderId="19" xfId="0" applyFont="1" applyFill="1" applyBorder="1"/>
    <xf numFmtId="1" fontId="1" fillId="11" borderId="61" xfId="0" applyNumberFormat="1" applyFont="1" applyFill="1" applyBorder="1"/>
    <xf numFmtId="1" fontId="1" fillId="6" borderId="8" xfId="0" applyNumberFormat="1" applyFont="1" applyFill="1" applyBorder="1"/>
    <xf numFmtId="1" fontId="1" fillId="11" borderId="8" xfId="0" applyNumberFormat="1" applyFont="1" applyFill="1" applyBorder="1"/>
    <xf numFmtId="1" fontId="1" fillId="6" borderId="19" xfId="0" applyNumberFormat="1" applyFont="1" applyFill="1" applyBorder="1"/>
    <xf numFmtId="0" fontId="1" fillId="11" borderId="53" xfId="0" applyFont="1" applyFill="1" applyBorder="1"/>
    <xf numFmtId="0" fontId="1" fillId="11" borderId="43" xfId="0" applyFont="1" applyFill="1" applyBorder="1"/>
    <xf numFmtId="0" fontId="1" fillId="6" borderId="21" xfId="0" applyFont="1" applyFill="1" applyBorder="1"/>
    <xf numFmtId="1" fontId="1" fillId="11" borderId="53" xfId="0" applyNumberFormat="1" applyFont="1" applyFill="1" applyBorder="1"/>
    <xf numFmtId="1" fontId="1" fillId="6" borderId="43" xfId="0" applyNumberFormat="1" applyFont="1" applyFill="1" applyBorder="1"/>
    <xf numFmtId="1" fontId="1" fillId="11" borderId="33" xfId="0" applyNumberFormat="1" applyFont="1" applyFill="1" applyBorder="1"/>
    <xf numFmtId="1" fontId="1" fillId="11" borderId="64" xfId="0" applyNumberFormat="1" applyFont="1" applyFill="1" applyBorder="1"/>
    <xf numFmtId="0" fontId="1" fillId="0" borderId="23" xfId="0" quotePrefix="1" applyFont="1" applyBorder="1"/>
    <xf numFmtId="0" fontId="1" fillId="11" borderId="56" xfId="0" applyFont="1" applyFill="1" applyBorder="1"/>
    <xf numFmtId="0" fontId="1" fillId="6" borderId="55" xfId="0" applyFont="1" applyFill="1" applyBorder="1"/>
    <xf numFmtId="0" fontId="1" fillId="11" borderId="55" xfId="0" applyFont="1" applyFill="1" applyBorder="1"/>
    <xf numFmtId="0" fontId="1" fillId="6" borderId="23" xfId="0" applyFont="1" applyFill="1" applyBorder="1"/>
    <xf numFmtId="169" fontId="1" fillId="0" borderId="0" xfId="0" applyNumberFormat="1" applyFont="1"/>
    <xf numFmtId="0" fontId="1" fillId="22" borderId="43" xfId="0" applyFont="1" applyFill="1" applyBorder="1"/>
    <xf numFmtId="0" fontId="1" fillId="0" borderId="8" xfId="0" applyFont="1" applyBorder="1"/>
    <xf numFmtId="0" fontId="1" fillId="0" borderId="63" xfId="0" applyFont="1" applyBorder="1"/>
    <xf numFmtId="0" fontId="56" fillId="25" borderId="1" xfId="0" applyFont="1" applyFill="1" applyBorder="1" applyAlignment="1">
      <alignment horizontal="center" vertical="center"/>
    </xf>
    <xf numFmtId="0" fontId="56" fillId="25" borderId="3" xfId="0" applyFont="1" applyFill="1" applyBorder="1" applyAlignment="1">
      <alignment horizontal="center" vertical="center"/>
    </xf>
    <xf numFmtId="0" fontId="12" fillId="5" borderId="62" xfId="0" applyFont="1" applyFill="1" applyBorder="1" applyAlignment="1" applyProtection="1">
      <alignment horizontal="left" vertical="center" wrapText="1"/>
      <protection locked="0"/>
    </xf>
    <xf numFmtId="0" fontId="12" fillId="5" borderId="6" xfId="0" applyFont="1" applyFill="1" applyBorder="1" applyAlignment="1" applyProtection="1">
      <alignment horizontal="left" vertical="center" wrapText="1"/>
      <protection locked="0"/>
    </xf>
    <xf numFmtId="0" fontId="53" fillId="25" borderId="27" xfId="0" applyFont="1" applyFill="1" applyBorder="1" applyAlignment="1">
      <alignment horizontal="center" vertical="center"/>
    </xf>
    <xf numFmtId="0" fontId="53" fillId="25" borderId="29" xfId="0" applyFont="1" applyFill="1" applyBorder="1" applyAlignment="1">
      <alignment horizontal="center" vertical="center"/>
    </xf>
    <xf numFmtId="0" fontId="53" fillId="25" borderId="25" xfId="0" applyFont="1" applyFill="1" applyBorder="1" applyAlignment="1">
      <alignment horizontal="center" vertical="center"/>
    </xf>
    <xf numFmtId="0" fontId="62" fillId="2" borderId="0" xfId="0" applyFont="1" applyFill="1" applyAlignment="1">
      <alignment horizontal="left" wrapText="1"/>
    </xf>
    <xf numFmtId="0" fontId="61" fillId="2" borderId="38" xfId="0" applyFont="1" applyFill="1" applyBorder="1" applyAlignment="1">
      <alignment horizontal="center" vertical="center" wrapText="1"/>
    </xf>
    <xf numFmtId="0" fontId="56" fillId="25" borderId="27" xfId="0" applyFont="1" applyFill="1" applyBorder="1" applyAlignment="1">
      <alignment horizontal="center" vertical="center"/>
    </xf>
    <xf numFmtId="0" fontId="56" fillId="25" borderId="25" xfId="0" applyFont="1" applyFill="1" applyBorder="1" applyAlignment="1">
      <alignment horizontal="center" vertical="center"/>
    </xf>
    <xf numFmtId="0" fontId="56" fillId="25" borderId="50" xfId="0" applyFont="1" applyFill="1" applyBorder="1" applyAlignment="1">
      <alignment horizontal="center" vertical="center"/>
    </xf>
    <xf numFmtId="0" fontId="56" fillId="25" borderId="51" xfId="0" applyFont="1" applyFill="1" applyBorder="1" applyAlignment="1">
      <alignment horizontal="center" vertical="center"/>
    </xf>
    <xf numFmtId="0" fontId="39" fillId="0" borderId="9" xfId="0" applyFont="1" applyBorder="1" applyAlignment="1">
      <alignment horizontal="center" vertical="center" wrapText="1"/>
    </xf>
    <xf numFmtId="0" fontId="12" fillId="0" borderId="15" xfId="0" applyFont="1" applyBorder="1" applyAlignment="1">
      <alignment horizontal="center" vertical="center" wrapText="1"/>
    </xf>
    <xf numFmtId="0" fontId="47" fillId="0" borderId="9" xfId="0" applyFont="1" applyBorder="1" applyAlignment="1">
      <alignment horizontal="center" vertical="center" wrapText="1"/>
    </xf>
    <xf numFmtId="0" fontId="70" fillId="20" borderId="32" xfId="9" applyFont="1" applyBorder="1" applyAlignment="1">
      <alignment horizontal="center" vertical="center" wrapText="1"/>
    </xf>
    <xf numFmtId="0" fontId="70" fillId="20" borderId="39" xfId="9" applyFont="1" applyBorder="1" applyAlignment="1">
      <alignment horizontal="center" vertical="center" wrapText="1"/>
    </xf>
    <xf numFmtId="0" fontId="70" fillId="20" borderId="40" xfId="9" applyFont="1" applyBorder="1" applyAlignment="1">
      <alignment horizontal="center" vertical="center" wrapText="1"/>
    </xf>
    <xf numFmtId="0" fontId="47" fillId="7" borderId="41" xfId="0" applyFont="1" applyFill="1" applyBorder="1" applyAlignment="1">
      <alignment horizontal="center" vertical="center" wrapText="1"/>
    </xf>
    <xf numFmtId="0" fontId="47" fillId="7" borderId="42" xfId="0" applyFont="1" applyFill="1" applyBorder="1" applyAlignment="1">
      <alignment horizontal="center" vertical="center" wrapText="1"/>
    </xf>
    <xf numFmtId="0" fontId="43" fillId="7" borderId="43" xfId="0" applyFont="1" applyFill="1" applyBorder="1" applyAlignment="1">
      <alignment horizontal="center" vertical="center" wrapText="1"/>
    </xf>
    <xf numFmtId="0" fontId="47" fillId="0" borderId="27" xfId="0" applyFont="1" applyBorder="1" applyAlignment="1">
      <alignment horizontal="center" vertical="center" wrapText="1"/>
    </xf>
    <xf numFmtId="0" fontId="46" fillId="0" borderId="33" xfId="0" applyFont="1" applyBorder="1" applyAlignment="1">
      <alignment vertical="center" wrapText="1"/>
    </xf>
    <xf numFmtId="0" fontId="46" fillId="0" borderId="28" xfId="0" applyFont="1" applyBorder="1" applyAlignment="1">
      <alignment vertical="center" wrapText="1"/>
    </xf>
    <xf numFmtId="0" fontId="53" fillId="20" borderId="1" xfId="9" applyFont="1" applyBorder="1" applyAlignment="1">
      <alignment horizontal="center" vertical="center" wrapText="1"/>
    </xf>
    <xf numFmtId="0" fontId="53" fillId="20" borderId="2" xfId="9" applyFont="1" applyBorder="1" applyAlignment="1">
      <alignment horizontal="center" vertical="center" wrapText="1"/>
    </xf>
    <xf numFmtId="0" fontId="53" fillId="20" borderId="3" xfId="9" applyFont="1" applyBorder="1" applyAlignment="1">
      <alignment horizontal="center" vertical="center" wrapText="1"/>
    </xf>
    <xf numFmtId="0" fontId="39" fillId="0" borderId="24"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17" xfId="0" applyFont="1" applyBorder="1" applyAlignment="1">
      <alignment horizontal="center" vertical="center" wrapText="1"/>
    </xf>
    <xf numFmtId="0" fontId="47" fillId="7" borderId="27" xfId="0" applyFont="1" applyFill="1" applyBorder="1" applyAlignment="1">
      <alignment horizontal="center" vertical="center" wrapText="1"/>
    </xf>
    <xf numFmtId="0" fontId="46" fillId="7" borderId="28" xfId="0" applyFont="1" applyFill="1" applyBorder="1" applyAlignment="1">
      <alignment vertical="center" wrapText="1"/>
    </xf>
    <xf numFmtId="0" fontId="47" fillId="7" borderId="5" xfId="0" applyFont="1" applyFill="1" applyBorder="1" applyAlignment="1">
      <alignment horizontal="center" vertical="center" wrapText="1"/>
    </xf>
    <xf numFmtId="0" fontId="46" fillId="7" borderId="9" xfId="0" applyFont="1" applyFill="1" applyBorder="1" applyAlignment="1">
      <alignment horizontal="center" vertical="center" wrapText="1"/>
    </xf>
    <xf numFmtId="0" fontId="46" fillId="7" borderId="15" xfId="0" applyFont="1" applyFill="1" applyBorder="1" applyAlignment="1">
      <alignment horizontal="center" vertical="center" wrapText="1"/>
    </xf>
    <xf numFmtId="0" fontId="39" fillId="7" borderId="5" xfId="0" applyFont="1" applyFill="1" applyBorder="1" applyAlignment="1">
      <alignment horizontal="center" vertical="center" wrapText="1"/>
    </xf>
    <xf numFmtId="0" fontId="70" fillId="20" borderId="1" xfId="9" applyFont="1" applyBorder="1" applyAlignment="1">
      <alignment horizontal="center" vertical="center" wrapText="1"/>
    </xf>
    <xf numFmtId="0" fontId="70" fillId="20" borderId="2" xfId="9" applyFont="1" applyBorder="1" applyAlignment="1">
      <alignment horizontal="center" vertical="center" wrapText="1"/>
    </xf>
    <xf numFmtId="0" fontId="70" fillId="20" borderId="3" xfId="9" applyFont="1" applyBorder="1" applyAlignment="1">
      <alignment horizontal="center" vertical="center" wrapText="1"/>
    </xf>
    <xf numFmtId="0" fontId="41" fillId="3" borderId="4" xfId="0" applyFont="1" applyFill="1" applyBorder="1" applyAlignment="1">
      <alignment horizontal="center" vertical="center" wrapText="1"/>
    </xf>
    <xf numFmtId="0" fontId="42" fillId="0" borderId="8" xfId="0" applyFont="1" applyBorder="1" applyAlignment="1">
      <alignment horizontal="center" vertical="center" wrapText="1"/>
    </xf>
    <xf numFmtId="0" fontId="39" fillId="4" borderId="24" xfId="0" applyFont="1" applyFill="1" applyBorder="1" applyAlignment="1">
      <alignment horizontal="center" vertical="center" wrapText="1"/>
    </xf>
    <xf numFmtId="0" fontId="39" fillId="4" borderId="7" xfId="0" applyFont="1" applyFill="1" applyBorder="1" applyAlignment="1">
      <alignment horizontal="center" vertical="center" wrapText="1"/>
    </xf>
    <xf numFmtId="0" fontId="39" fillId="4" borderId="17" xfId="0" applyFont="1" applyFill="1" applyBorder="1" applyAlignment="1">
      <alignment horizontal="center" vertical="center" wrapText="1"/>
    </xf>
    <xf numFmtId="0" fontId="57" fillId="6" borderId="4" xfId="0" applyFont="1" applyFill="1" applyBorder="1" applyAlignment="1" applyProtection="1">
      <alignment horizontal="center" vertical="center" wrapText="1"/>
      <protection locked="0"/>
    </xf>
    <xf numFmtId="0" fontId="42" fillId="0" borderId="10"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67" fillId="2" borderId="12" xfId="0" applyFont="1" applyFill="1" applyBorder="1" applyAlignment="1">
      <alignment vertical="center" wrapText="1"/>
    </xf>
    <xf numFmtId="0" fontId="1" fillId="0" borderId="0" xfId="0" applyFont="1" applyAlignment="1">
      <alignment vertical="center" wrapText="1"/>
    </xf>
    <xf numFmtId="0" fontId="43" fillId="7" borderId="34" xfId="0" applyFont="1" applyFill="1" applyBorder="1" applyAlignment="1">
      <alignment horizontal="center" vertical="center"/>
    </xf>
    <xf numFmtId="0" fontId="12" fillId="0" borderId="35" xfId="0" applyFont="1" applyBorder="1" applyAlignment="1">
      <alignment horizontal="center" vertical="center"/>
    </xf>
    <xf numFmtId="0" fontId="43" fillId="7" borderId="74" xfId="0" applyFont="1" applyFill="1" applyBorder="1" applyAlignment="1">
      <alignment horizontal="center" vertical="center"/>
    </xf>
    <xf numFmtId="0" fontId="43" fillId="7" borderId="0" xfId="0" applyFont="1" applyFill="1" applyAlignment="1">
      <alignment horizontal="center" vertical="center"/>
    </xf>
    <xf numFmtId="0" fontId="12" fillId="0" borderId="0" xfId="0" applyFont="1" applyAlignment="1">
      <alignment horizontal="center" vertical="center"/>
    </xf>
    <xf numFmtId="0" fontId="43" fillId="7" borderId="75" xfId="0" applyFont="1" applyFill="1" applyBorder="1" applyAlignment="1">
      <alignment horizontal="center" vertical="center" wrapText="1"/>
    </xf>
    <xf numFmtId="0" fontId="12" fillId="0" borderId="76" xfId="0" applyFont="1" applyBorder="1" applyAlignment="1">
      <alignment horizontal="center" vertical="center" wrapText="1"/>
    </xf>
    <xf numFmtId="0" fontId="43" fillId="7" borderId="75" xfId="0" applyFont="1" applyFill="1" applyBorder="1" applyAlignment="1">
      <alignment horizontal="center" vertical="center"/>
    </xf>
    <xf numFmtId="0" fontId="43" fillId="7" borderId="77" xfId="0" applyFont="1" applyFill="1" applyBorder="1" applyAlignment="1">
      <alignment horizontal="center" vertical="center" wrapText="1"/>
    </xf>
    <xf numFmtId="0" fontId="12" fillId="0" borderId="74" xfId="0" applyFont="1" applyBorder="1" applyAlignment="1">
      <alignment horizontal="center" vertical="center" wrapText="1"/>
    </xf>
    <xf numFmtId="0" fontId="43" fillId="7" borderId="0" xfId="0" applyFont="1" applyFill="1" applyAlignment="1">
      <alignment horizontal="center" vertical="center" wrapText="1"/>
    </xf>
    <xf numFmtId="0" fontId="12" fillId="0" borderId="0" xfId="0" applyFont="1" applyAlignment="1">
      <alignment horizontal="center" vertical="center" wrapText="1"/>
    </xf>
    <xf numFmtId="0" fontId="12" fillId="0" borderId="78" xfId="0" applyFont="1" applyBorder="1" applyAlignment="1">
      <alignment horizontal="center" vertical="center" wrapText="1"/>
    </xf>
    <xf numFmtId="0" fontId="63" fillId="0" borderId="58" xfId="0" applyFont="1" applyBorder="1" applyAlignment="1">
      <alignment horizontal="center" wrapText="1"/>
    </xf>
    <xf numFmtId="0" fontId="63" fillId="0" borderId="59" xfId="0" applyFont="1" applyBorder="1" applyAlignment="1">
      <alignment horizontal="center" wrapText="1"/>
    </xf>
    <xf numFmtId="0" fontId="63" fillId="0" borderId="60" xfId="0" applyFont="1" applyBorder="1" applyAlignment="1">
      <alignment horizontal="center" wrapText="1"/>
    </xf>
    <xf numFmtId="0" fontId="39" fillId="0" borderId="32" xfId="0" applyFont="1" applyBorder="1" applyAlignment="1">
      <alignment horizontal="center"/>
    </xf>
    <xf numFmtId="0" fontId="39" fillId="0" borderId="39" xfId="0" applyFont="1" applyBorder="1" applyAlignment="1">
      <alignment horizontal="center"/>
    </xf>
    <xf numFmtId="0" fontId="39" fillId="0" borderId="40" xfId="0" applyFont="1" applyBorder="1" applyAlignment="1">
      <alignment horizontal="center"/>
    </xf>
    <xf numFmtId="0" fontId="39" fillId="0" borderId="58" xfId="0" applyFont="1" applyBorder="1" applyAlignment="1">
      <alignment horizontal="center"/>
    </xf>
    <xf numFmtId="0" fontId="39" fillId="0" borderId="59" xfId="0" applyFont="1" applyBorder="1" applyAlignment="1">
      <alignment horizontal="center"/>
    </xf>
    <xf numFmtId="0" fontId="39" fillId="0" borderId="60" xfId="0" applyFont="1" applyBorder="1" applyAlignment="1">
      <alignment horizontal="center"/>
    </xf>
    <xf numFmtId="0" fontId="39" fillId="0" borderId="82" xfId="0" applyFont="1" applyBorder="1" applyAlignment="1">
      <alignment horizontal="center"/>
    </xf>
    <xf numFmtId="0" fontId="39" fillId="0" borderId="83" xfId="0" applyFont="1" applyBorder="1" applyAlignment="1">
      <alignment horizontal="center"/>
    </xf>
    <xf numFmtId="0" fontId="6" fillId="0" borderId="43" xfId="0" applyFont="1" applyBorder="1" applyAlignment="1">
      <alignment horizontal="center"/>
    </xf>
    <xf numFmtId="0" fontId="6" fillId="9" borderId="54" xfId="0" applyFont="1" applyFill="1" applyBorder="1" applyAlignment="1">
      <alignment horizontal="center"/>
    </xf>
    <xf numFmtId="0" fontId="0" fillId="0" borderId="30" xfId="0" applyBorder="1" applyAlignment="1">
      <alignment horizontal="center"/>
    </xf>
    <xf numFmtId="0" fontId="0" fillId="0" borderId="20" xfId="0" applyBorder="1" applyAlignment="1">
      <alignment horizontal="center"/>
    </xf>
    <xf numFmtId="0" fontId="6" fillId="17" borderId="63" xfId="0" applyFont="1" applyFill="1" applyBorder="1" applyAlignment="1">
      <alignment horizontal="center"/>
    </xf>
    <xf numFmtId="0" fontId="6" fillId="17" borderId="69" xfId="0" applyFont="1" applyFill="1" applyBorder="1" applyAlignment="1">
      <alignment horizontal="center"/>
    </xf>
    <xf numFmtId="0" fontId="0" fillId="0" borderId="69" xfId="0" applyBorder="1" applyAlignment="1"/>
    <xf numFmtId="0" fontId="25" fillId="0" borderId="43" xfId="0" applyFont="1" applyBorder="1" applyAlignment="1">
      <alignment horizontal="center" vertical="center"/>
    </xf>
    <xf numFmtId="0" fontId="6" fillId="0" borderId="43" xfId="0" applyFont="1" applyBorder="1" applyAlignment="1">
      <alignment horizontal="center" vertical="center" wrapText="1"/>
    </xf>
    <xf numFmtId="0" fontId="0" fillId="0" borderId="43" xfId="0" applyBorder="1" applyAlignment="1">
      <alignment wrapText="1"/>
    </xf>
    <xf numFmtId="0" fontId="6" fillId="0" borderId="39" xfId="0" applyFont="1" applyBorder="1" applyAlignment="1">
      <alignment horizontal="center"/>
    </xf>
    <xf numFmtId="0" fontId="6" fillId="0" borderId="40" xfId="0" applyFont="1" applyBorder="1" applyAlignment="1">
      <alignment horizontal="center"/>
    </xf>
    <xf numFmtId="0" fontId="6" fillId="0" borderId="32" xfId="0" applyFont="1" applyBorder="1" applyAlignment="1">
      <alignment horizont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1" fillId="0" borderId="4" xfId="0" applyFont="1" applyBorder="1" applyAlignment="1">
      <alignment horizontal="center" vertical="center"/>
    </xf>
    <xf numFmtId="0" fontId="1" fillId="0" borderId="10" xfId="0" applyFont="1" applyBorder="1" applyAlignment="1">
      <alignment horizontal="center" vertical="center"/>
    </xf>
    <xf numFmtId="0" fontId="1" fillId="0" borderId="8" xfId="0" applyFont="1" applyBorder="1" applyAlignment="1">
      <alignment horizontal="center" vertical="center"/>
    </xf>
    <xf numFmtId="0" fontId="1" fillId="0" borderId="58" xfId="0" applyFont="1" applyBorder="1" applyAlignment="1">
      <alignment horizontal="center"/>
    </xf>
    <xf numFmtId="0" fontId="1" fillId="0" borderId="59" xfId="0" applyFont="1" applyBorder="1" applyAlignment="1">
      <alignment horizontal="center"/>
    </xf>
    <xf numFmtId="0" fontId="1" fillId="0" borderId="60"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 fillId="0" borderId="47" xfId="0" applyFont="1" applyBorder="1" applyAlignment="1">
      <alignment horizontal="center"/>
    </xf>
    <xf numFmtId="0" fontId="1" fillId="0" borderId="46" xfId="0" applyFont="1" applyBorder="1" applyAlignment="1">
      <alignment horizontal="center"/>
    </xf>
    <xf numFmtId="0" fontId="1" fillId="7" borderId="58" xfId="0" applyFont="1" applyFill="1" applyBorder="1" applyAlignment="1">
      <alignment horizontal="center"/>
    </xf>
    <xf numFmtId="0" fontId="1" fillId="7" borderId="59" xfId="0" applyFont="1" applyFill="1" applyBorder="1" applyAlignment="1">
      <alignment horizontal="center"/>
    </xf>
    <xf numFmtId="0" fontId="1" fillId="7" borderId="60" xfId="0" applyFont="1" applyFill="1" applyBorder="1" applyAlignment="1">
      <alignment horizontal="center"/>
    </xf>
    <xf numFmtId="0" fontId="1" fillId="0" borderId="61" xfId="0" applyFont="1" applyBorder="1" applyAlignment="1">
      <alignment horizontal="center"/>
    </xf>
    <xf numFmtId="0" fontId="1" fillId="0" borderId="8" xfId="0" applyFont="1" applyBorder="1" applyAlignment="1">
      <alignment horizontal="center"/>
    </xf>
    <xf numFmtId="0" fontId="1" fillId="0" borderId="19" xfId="0" applyFont="1" applyBorder="1" applyAlignment="1">
      <alignment horizontal="center"/>
    </xf>
    <xf numFmtId="0" fontId="1" fillId="0" borderId="62" xfId="0" applyFont="1" applyBorder="1" applyAlignment="1">
      <alignment horizontal="center"/>
    </xf>
    <xf numFmtId="0" fontId="1" fillId="0" borderId="18" xfId="0" applyFont="1" applyBorder="1" applyAlignment="1">
      <alignment horizontal="center"/>
    </xf>
    <xf numFmtId="0" fontId="1" fillId="0" borderId="63" xfId="0" applyFont="1" applyBorder="1" applyAlignment="1">
      <alignment horizontal="center"/>
    </xf>
    <xf numFmtId="0" fontId="1" fillId="0" borderId="6" xfId="0" applyFont="1" applyBorder="1" applyAlignment="1">
      <alignment horizontal="center"/>
    </xf>
    <xf numFmtId="0" fontId="6" fillId="0" borderId="54" xfId="0" applyFont="1" applyBorder="1" applyAlignment="1">
      <alignment horizontal="center"/>
    </xf>
    <xf numFmtId="0" fontId="6" fillId="0" borderId="30" xfId="0" applyFont="1" applyBorder="1" applyAlignment="1">
      <alignment horizontal="center"/>
    </xf>
    <xf numFmtId="0" fontId="6" fillId="0" borderId="20" xfId="0" applyFont="1" applyBorder="1" applyAlignment="1">
      <alignment horizont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8" fillId="0" borderId="54" xfId="0" applyFont="1" applyBorder="1" applyAlignment="1">
      <alignment horizontal="center"/>
    </xf>
    <xf numFmtId="0" fontId="8" fillId="0" borderId="30" xfId="0" applyFont="1" applyBorder="1" applyAlignment="1">
      <alignment horizontal="center"/>
    </xf>
    <xf numFmtId="0" fontId="8" fillId="0" borderId="20" xfId="0" applyFont="1" applyBorder="1" applyAlignment="1">
      <alignment horizont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23" fillId="0" borderId="48" xfId="7" applyBorder="1" applyAlignment="1">
      <alignment horizontal="center"/>
    </xf>
    <xf numFmtId="0" fontId="23" fillId="0" borderId="49" xfId="7" applyBorder="1" applyAlignment="1">
      <alignment horizontal="center"/>
    </xf>
    <xf numFmtId="0" fontId="23" fillId="0" borderId="51" xfId="7" applyBorder="1" applyAlignment="1">
      <alignment horizontal="center"/>
    </xf>
    <xf numFmtId="0" fontId="23" fillId="0" borderId="50" xfId="7" applyBorder="1" applyAlignment="1">
      <alignment horizontal="center" vertical="center" wrapText="1"/>
    </xf>
    <xf numFmtId="0" fontId="23" fillId="0" borderId="49" xfId="7" applyBorder="1" applyAlignment="1">
      <alignment horizontal="center" vertical="center" wrapText="1"/>
    </xf>
    <xf numFmtId="0" fontId="23" fillId="0" borderId="51" xfId="7" applyBorder="1" applyAlignment="1">
      <alignment horizontal="center" vertical="center" wrapText="1"/>
    </xf>
    <xf numFmtId="0" fontId="8" fillId="0" borderId="32" xfId="0" applyFont="1" applyBorder="1" applyAlignment="1">
      <alignment horizontal="center"/>
    </xf>
    <xf numFmtId="0" fontId="8" fillId="0" borderId="40" xfId="0" applyFont="1" applyBorder="1" applyAlignment="1">
      <alignment horizontal="center"/>
    </xf>
    <xf numFmtId="0" fontId="23" fillId="0" borderId="50" xfId="7" applyBorder="1" applyAlignment="1">
      <alignment horizontal="center" vertical="center"/>
    </xf>
    <xf numFmtId="0" fontId="23" fillId="0" borderId="56" xfId="7" applyBorder="1" applyAlignment="1">
      <alignment horizontal="center" vertical="center"/>
    </xf>
    <xf numFmtId="0" fontId="23" fillId="0" borderId="52" xfId="7" applyBorder="1" applyAlignment="1">
      <alignment horizontal="center" vertical="center"/>
    </xf>
    <xf numFmtId="0" fontId="23" fillId="0" borderId="57" xfId="7" applyBorder="1" applyAlignment="1">
      <alignment horizontal="center" vertical="center"/>
    </xf>
    <xf numFmtId="0" fontId="23" fillId="0" borderId="50" xfId="7" applyBorder="1" applyAlignment="1">
      <alignment horizontal="center"/>
    </xf>
    <xf numFmtId="0" fontId="0" fillId="0" borderId="0" xfId="0" applyAlignment="1">
      <alignment wrapText="1"/>
    </xf>
    <xf numFmtId="0" fontId="8" fillId="0" borderId="39" xfId="0" applyFont="1" applyBorder="1" applyAlignment="1">
      <alignment horizontal="center"/>
    </xf>
  </cellXfs>
  <cellStyles count="11">
    <cellStyle name="60% - Accent3 2" xfId="6" xr:uid="{ED9CB299-ED43-40F4-A2FD-DD1D0415D4C8}"/>
    <cellStyle name="Accent6" xfId="9" builtinId="49"/>
    <cellStyle name="Bad" xfId="5" builtinId="27"/>
    <cellStyle name="Comma" xfId="1" builtinId="3"/>
    <cellStyle name="Currency" xfId="2" builtinId="4"/>
    <cellStyle name="Normal" xfId="0" builtinId="0"/>
    <cellStyle name="Normal 2" xfId="7" xr:uid="{0A117218-2C74-4FC2-BD8D-B8C274106A47}"/>
    <cellStyle name="Normal 2 2 2 2" xfId="4" xr:uid="{AF3ED069-257D-4498-BAEF-8DD1675D9D58}"/>
    <cellStyle name="Normal 4" xfId="10" xr:uid="{BF4CD9F9-D8A1-4C9A-80AA-39CC2DF5F81F}"/>
    <cellStyle name="Percent" xfId="3" builtinId="5"/>
    <cellStyle name="Percent 2" xfId="8" xr:uid="{96961F27-7B48-41D1-875C-A9242ECF8746}"/>
  </cellStyles>
  <dxfs count="178">
    <dxf>
      <font>
        <b val="0"/>
        <i val="0"/>
        <strike val="0"/>
        <condense val="0"/>
        <extend val="0"/>
        <outline val="0"/>
        <shadow val="0"/>
        <u val="none"/>
        <vertAlign val="baseline"/>
        <sz val="10"/>
        <color theme="1"/>
        <name val="Arial"/>
        <family val="2"/>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theme="1"/>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font>
        <b val="0"/>
        <i val="0"/>
        <strike val="0"/>
        <condense val="0"/>
        <extend val="0"/>
        <outline val="0"/>
        <shadow val="0"/>
        <u val="none"/>
        <vertAlign val="baseline"/>
        <sz val="10"/>
        <color theme="1"/>
        <name val="Arial"/>
        <family val="2"/>
        <scheme val="none"/>
      </font>
    </dxf>
    <dxf>
      <border outline="0">
        <bottom style="thin">
          <color indexed="64"/>
        </bottom>
      </border>
    </dxf>
    <dxf>
      <font>
        <b val="0"/>
        <i val="0"/>
        <strike val="0"/>
        <condense val="0"/>
        <extend val="0"/>
        <outline val="0"/>
        <shadow val="0"/>
        <u val="none"/>
        <vertAlign val="baseline"/>
        <sz val="10"/>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border diagonalUp="0" diagonalDown="0">
        <left style="medium">
          <color indexed="64"/>
        </left>
        <right/>
        <top/>
        <bottom/>
        <vertical/>
        <horizontal/>
      </border>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theme="1"/>
        <name val="Arial"/>
        <family val="2"/>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0"/>
        <name val="Arial"/>
        <family val="2"/>
        <scheme val="none"/>
      </font>
    </dxf>
    <dxf>
      <border outline="0">
        <bottom style="thin">
          <color indexed="64"/>
        </bottom>
      </border>
    </dxf>
    <dxf>
      <font>
        <strike val="0"/>
        <outline val="0"/>
        <shadow val="0"/>
        <u val="none"/>
        <vertAlign val="baseline"/>
        <sz val="10"/>
        <name val="Arial"/>
        <family val="2"/>
        <scheme val="none"/>
      </font>
    </dxf>
    <dxf>
      <font>
        <b val="0"/>
        <i val="0"/>
        <strike val="0"/>
        <condense val="0"/>
        <extend val="0"/>
        <outline val="0"/>
        <shadow val="0"/>
        <u val="none"/>
        <vertAlign val="baseline"/>
        <sz val="10"/>
        <color theme="1"/>
        <name val="Arial"/>
        <family val="2"/>
        <scheme val="none"/>
      </font>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theme="1"/>
        <name val="Arial"/>
        <family val="2"/>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rgb="FF000000"/>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0"/>
        <name val="Arial"/>
        <family val="2"/>
        <scheme val="none"/>
      </font>
    </dxf>
    <dxf>
      <border outline="0">
        <bottom style="thin">
          <color indexed="64"/>
        </bottom>
      </border>
    </dxf>
    <dxf>
      <font>
        <strike val="0"/>
        <outline val="0"/>
        <shadow val="0"/>
        <u val="none"/>
        <vertAlign val="baseline"/>
        <sz val="10"/>
        <name val="Arial"/>
        <family val="2"/>
        <scheme val="none"/>
      </font>
    </dxf>
    <dxf>
      <font>
        <color auto="1"/>
      </font>
      <fill>
        <patternFill>
          <bgColor theme="5" tint="0.59996337778862885"/>
        </patternFill>
      </fill>
    </dxf>
    <dxf>
      <fill>
        <patternFill>
          <bgColor theme="4" tint="0.59996337778862885"/>
        </patternFill>
      </fill>
    </dxf>
    <dxf>
      <font>
        <color auto="1"/>
      </font>
      <fill>
        <patternFill>
          <bgColor theme="5" tint="0.59996337778862885"/>
        </patternFill>
      </fill>
    </dxf>
    <dxf>
      <fill>
        <patternFill>
          <bgColor theme="4" tint="0.59996337778862885"/>
        </patternFill>
      </fill>
    </dxf>
    <dxf>
      <font>
        <color auto="1"/>
      </font>
      <fill>
        <patternFill>
          <bgColor theme="5" tint="0.59996337778862885"/>
        </patternFill>
      </fill>
    </dxf>
    <dxf>
      <fill>
        <patternFill>
          <bgColor theme="4" tint="0.59996337778862885"/>
        </patternFill>
      </fill>
    </dxf>
    <dxf>
      <font>
        <color auto="1"/>
      </font>
      <fill>
        <patternFill>
          <bgColor theme="5" tint="0.59996337778862885"/>
        </patternFill>
      </fill>
    </dxf>
    <dxf>
      <fill>
        <patternFill>
          <bgColor theme="4" tint="0.59996337778862885"/>
        </patternFill>
      </fill>
    </dxf>
    <dxf>
      <font>
        <color theme="0"/>
      </font>
      <fill>
        <patternFill patternType="solid">
          <bgColor theme="0"/>
        </patternFill>
      </fill>
    </dxf>
    <dxf>
      <font>
        <color theme="0"/>
      </font>
      <fill>
        <patternFill>
          <bgColor theme="0"/>
        </patternFill>
      </fill>
    </dxf>
    <dxf>
      <font>
        <color theme="0"/>
      </font>
      <fill>
        <patternFill>
          <bgColor theme="0"/>
        </patternFill>
      </fill>
    </dxf>
    <dxf>
      <font>
        <color theme="0"/>
      </font>
      <fill>
        <patternFill patternType="solid">
          <bgColor theme="0"/>
        </patternFill>
      </fill>
    </dxf>
    <dxf>
      <font>
        <color theme="0"/>
      </font>
      <fill>
        <patternFill patternType="solid">
          <bgColor theme="0"/>
        </patternFill>
      </fill>
    </dxf>
    <dxf>
      <font>
        <strike val="0"/>
        <outline val="0"/>
        <shadow val="0"/>
        <u val="none"/>
        <vertAlign val="baseline"/>
        <sz val="11"/>
        <color theme="0"/>
        <name val="Arial"/>
        <family val="2"/>
        <scheme val="none"/>
      </font>
      <numFmt numFmtId="0" formatCode="General"/>
    </dxf>
    <dxf>
      <font>
        <strike val="0"/>
        <outline val="0"/>
        <shadow val="0"/>
        <u val="none"/>
        <vertAlign val="baseline"/>
        <sz val="11"/>
        <color theme="0"/>
        <name val="Arial"/>
        <family val="2"/>
        <scheme val="none"/>
      </font>
      <numFmt numFmtId="0" formatCode="General"/>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0"/>
        <name val="Arial"/>
        <family val="2"/>
        <scheme val="none"/>
      </font>
      <numFmt numFmtId="0" formatCode="General"/>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sz val="11"/>
        <color theme="0"/>
        <name val="Arial"/>
        <family val="2"/>
        <scheme val="none"/>
      </font>
      <numFmt numFmtId="0" formatCode="General"/>
    </dxf>
    <dxf>
      <font>
        <b val="0"/>
        <i val="0"/>
        <strike val="0"/>
        <condense val="0"/>
        <extend val="0"/>
        <outline val="0"/>
        <shadow val="0"/>
        <u val="none"/>
        <vertAlign val="baseline"/>
        <sz val="11"/>
        <color theme="1"/>
        <name val="Arial"/>
        <family val="2"/>
        <scheme val="none"/>
      </font>
      <numFmt numFmtId="35" formatCode="_(* #,##0.00_);_(* \(#,##0.00\);_(* &quot;-&quot;??_);_(@_)"/>
      <border diagonalUp="0" diagonalDown="0" outline="0">
        <left/>
        <right/>
        <top/>
        <bottom/>
      </border>
    </dxf>
    <dxf>
      <font>
        <strike val="0"/>
        <outline val="0"/>
        <shadow val="0"/>
        <u val="none"/>
        <vertAlign val="baseline"/>
        <name val="Arial"/>
        <family val="2"/>
        <scheme val="none"/>
      </font>
      <numFmt numFmtId="35" formatCode="_(* #,##0.00_);_(* \(#,##0.00\);_(* &quot;-&quot;??_);_(@_)"/>
    </dxf>
    <dxf>
      <font>
        <b val="0"/>
        <i val="0"/>
        <strike val="0"/>
        <condense val="0"/>
        <extend val="0"/>
        <outline val="0"/>
        <shadow val="0"/>
        <u val="none"/>
        <vertAlign val="baseline"/>
        <sz val="11"/>
        <color theme="1"/>
        <name val="Arial"/>
        <family val="2"/>
        <scheme val="none"/>
      </font>
      <numFmt numFmtId="166" formatCode="_(* #,##0_);_(* \(#,##0\);_(* &quot;-&quot;??_);_(@_)"/>
      <border diagonalUp="0" diagonalDown="0" outline="0">
        <left/>
        <right/>
        <top/>
        <bottom/>
      </border>
    </dxf>
    <dxf>
      <font>
        <b val="0"/>
        <i val="0"/>
        <strike val="0"/>
        <condense val="0"/>
        <extend val="0"/>
        <outline val="0"/>
        <shadow val="0"/>
        <u val="none"/>
        <vertAlign val="baseline"/>
        <sz val="11"/>
        <color theme="1"/>
        <name val="Arial"/>
        <family val="2"/>
        <scheme val="none"/>
      </font>
      <numFmt numFmtId="35" formatCode="_(* #,##0.00_);_(* \(#,##0.00\);_(* &quot;-&quot;??_);_(@_)"/>
    </dxf>
    <dxf>
      <font>
        <b val="0"/>
        <i val="0"/>
        <strike val="0"/>
        <condense val="0"/>
        <extend val="0"/>
        <outline val="0"/>
        <shadow val="0"/>
        <u val="none"/>
        <vertAlign val="baseline"/>
        <sz val="11"/>
        <color theme="1"/>
        <name val="Arial"/>
        <family val="2"/>
        <scheme val="none"/>
      </font>
      <numFmt numFmtId="166" formatCode="_(* #,##0_);_(* \(#,##0\);_(* &quot;-&quot;??_);_(@_)"/>
      <border diagonalUp="0" diagonalDown="0" outline="0">
        <left/>
        <right/>
        <top/>
        <bottom/>
      </border>
    </dxf>
    <dxf>
      <font>
        <strike val="0"/>
        <outline val="0"/>
        <shadow val="0"/>
        <u val="none"/>
        <vertAlign val="baseline"/>
        <name val="Arial"/>
        <family val="2"/>
        <scheme val="none"/>
      </font>
      <numFmt numFmtId="35" formatCode="_(* #,##0.00_);_(* \(#,##0.00\);_(* &quot;-&quot;??_);_(@_)"/>
    </dxf>
    <dxf>
      <font>
        <b val="0"/>
        <i val="0"/>
        <strike val="0"/>
        <condense val="0"/>
        <extend val="0"/>
        <outline val="0"/>
        <shadow val="0"/>
        <u val="none"/>
        <vertAlign val="baseline"/>
        <sz val="11"/>
        <color theme="1"/>
        <name val="Arial"/>
        <family val="2"/>
        <scheme val="none"/>
      </font>
      <numFmt numFmtId="166" formatCode="_(* #,##0_);_(* \(#,##0\);_(* &quot;-&quot;??_);_(@_)"/>
      <border diagonalUp="0" diagonalDown="0" outline="0">
        <left/>
        <right/>
        <top/>
        <bottom/>
      </border>
    </dxf>
    <dxf>
      <font>
        <strike val="0"/>
        <outline val="0"/>
        <shadow val="0"/>
        <u val="none"/>
        <vertAlign val="baseline"/>
        <name val="Arial"/>
        <family val="2"/>
        <scheme val="none"/>
      </font>
      <numFmt numFmtId="166" formatCode="_(* #,##0_);_(* \(#,##0\);_(* &quot;-&quot;??_);_(@_)"/>
      <border diagonalUp="0" diagonalDown="0">
        <left/>
        <right/>
        <top style="thin">
          <color theme="4" tint="0.39997558519241921"/>
        </top>
        <bottom/>
      </border>
    </dxf>
    <dxf>
      <font>
        <b val="0"/>
        <i val="0"/>
        <strike val="0"/>
        <condense val="0"/>
        <extend val="0"/>
        <outline val="0"/>
        <shadow val="0"/>
        <u val="none"/>
        <vertAlign val="baseline"/>
        <sz val="11"/>
        <color theme="1"/>
        <name val="Arial"/>
        <family val="2"/>
        <scheme val="none"/>
      </font>
      <numFmt numFmtId="166" formatCode="_(* #,##0_);_(* \(#,##0\);_(* &quot;-&quot;??_);_(@_)"/>
      <border diagonalUp="0" diagonalDown="0" outline="0">
        <left/>
        <right/>
        <top/>
        <bottom/>
      </border>
    </dxf>
    <dxf>
      <font>
        <strike val="0"/>
        <outline val="0"/>
        <shadow val="0"/>
        <u val="none"/>
        <vertAlign val="baseline"/>
        <name val="Arial"/>
        <family val="2"/>
        <scheme val="none"/>
      </font>
      <numFmt numFmtId="166" formatCode="_(* #,##0_);_(* \(#,##0\);_(* &quot;-&quot;??_);_(@_)"/>
      <border diagonalUp="0" diagonalDown="0">
        <left/>
        <right/>
        <top style="thin">
          <color theme="4" tint="0.39997558519241921"/>
        </top>
        <bottom/>
      </border>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numFmt numFmtId="35" formatCode="_(* #,##0.00_);_(* \(#,##0.00\);_(* &quot;-&quot;??_);_(@_)"/>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b val="0"/>
        <i val="0"/>
        <strike val="0"/>
        <condense val="0"/>
        <extend val="0"/>
        <outline val="0"/>
        <shadow val="0"/>
        <u val="none"/>
        <vertAlign val="baseline"/>
        <sz val="11"/>
        <color theme="1"/>
        <name val="Arial"/>
        <family val="2"/>
        <scheme val="none"/>
      </font>
      <numFmt numFmtId="35" formatCode="_(* #,##0.00_);_(* \(#,##0.00\);_(* &quot;-&quot;??_);_(@_)"/>
      <fill>
        <patternFill patternType="solid">
          <fgColor indexed="64"/>
          <bgColor theme="7" tint="0.79998168889431442"/>
        </patternFill>
      </fill>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b val="0"/>
        <i val="0"/>
        <strike val="0"/>
        <condense val="0"/>
        <extend val="0"/>
        <outline val="0"/>
        <shadow val="0"/>
        <u val="none"/>
        <vertAlign val="baseline"/>
        <sz val="11"/>
        <color theme="1"/>
        <name val="Arial"/>
        <family val="2"/>
        <scheme val="none"/>
      </font>
      <numFmt numFmtId="35" formatCode="_(* #,##0.00_);_(* \(#,##0.00\);_(* &quot;-&quot;??_);_(@_)"/>
      <fill>
        <patternFill patternType="none">
          <fgColor indexed="64"/>
          <bgColor auto="1"/>
        </patternFill>
      </fill>
      <border diagonalUp="0" diagonalDown="0" outline="0">
        <left/>
        <right/>
        <top style="thin">
          <color theme="4" tint="0.39997558519241921"/>
        </top>
        <bottom/>
      </border>
    </dxf>
    <dxf>
      <font>
        <b val="0"/>
        <i val="0"/>
        <strike val="0"/>
        <condense val="0"/>
        <extend val="0"/>
        <outline val="0"/>
        <shadow val="0"/>
        <u val="none"/>
        <vertAlign val="baseline"/>
        <sz val="11"/>
        <color theme="1"/>
        <name val="Arial"/>
        <family val="2"/>
        <scheme val="none"/>
      </font>
      <border diagonalUp="0" diagonalDown="0" outline="0">
        <left/>
        <right/>
        <top/>
        <bottom/>
      </border>
    </dxf>
    <dxf>
      <font>
        <b val="0"/>
        <i val="0"/>
        <strike val="0"/>
        <condense val="0"/>
        <extend val="0"/>
        <outline val="0"/>
        <shadow val="0"/>
        <u val="none"/>
        <vertAlign val="baseline"/>
        <sz val="11"/>
        <color theme="1"/>
        <name val="Arial"/>
        <family val="2"/>
        <scheme val="none"/>
      </font>
      <numFmt numFmtId="35" formatCode="_(* #,##0.00_);_(* \(#,##0.00\);_(* &quot;-&quot;??_);_(@_)"/>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numFmt numFmtId="0" formatCode="General"/>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fill>
        <patternFill patternType="none">
          <fgColor indexed="64"/>
          <bgColor indexed="65"/>
        </patternFill>
      </fill>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Arial"/>
        <family val="2"/>
        <scheme val="none"/>
      </font>
      <border diagonalUp="0" diagonalDown="0" outline="0">
        <left/>
        <right/>
        <top/>
        <bottom/>
      </border>
    </dxf>
    <dxf>
      <font>
        <b val="0"/>
        <i val="0"/>
        <strike val="0"/>
        <condense val="0"/>
        <extend val="0"/>
        <outline val="0"/>
        <shadow val="0"/>
        <u val="none"/>
        <vertAlign val="baseline"/>
        <sz val="11"/>
        <color theme="1"/>
        <name val="Arial"/>
        <family val="2"/>
        <scheme val="none"/>
      </font>
      <numFmt numFmtId="0" formatCode="General"/>
      <fill>
        <patternFill patternType="none">
          <fgColor indexed="64"/>
          <bgColor auto="1"/>
        </patternFill>
      </fill>
      <border diagonalUp="0" diagonalDown="0">
        <left/>
        <right/>
        <top style="thin">
          <color theme="4" tint="0.39997558519241921"/>
        </top>
        <bottom/>
      </border>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1"/>
        <color theme="1"/>
        <name val="Arial"/>
        <family val="2"/>
        <scheme val="none"/>
      </font>
      <border diagonalUp="0" diagonalDown="0" outline="0">
        <left/>
        <right/>
        <top/>
        <bottom/>
      </border>
    </dxf>
    <dxf>
      <font>
        <strike val="0"/>
        <outline val="0"/>
        <shadow val="0"/>
        <u val="none"/>
        <vertAlign val="baseline"/>
        <name val="Arial"/>
        <family val="2"/>
        <scheme val="none"/>
      </font>
      <numFmt numFmtId="3" formatCode="#,##0"/>
      <fill>
        <patternFill patternType="solid">
          <fgColor indexed="64"/>
          <bgColor theme="7" tint="0.79998168889431442"/>
        </patternFill>
      </fill>
      <border diagonalUp="0" diagonalDown="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rgb="FF000000"/>
        <name val="Arial"/>
        <family val="2"/>
        <scheme val="none"/>
      </font>
      <numFmt numFmtId="1" formatCode="0"/>
      <fill>
        <patternFill patternType="solid">
          <fgColor indexed="64"/>
          <bgColor theme="7"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rgb="FF000000"/>
        <name val="Arial"/>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0000"/>
        <name val="Arial"/>
        <family val="2"/>
        <scheme val="none"/>
      </font>
      <numFmt numFmtId="168" formatCode="0.000"/>
      <fill>
        <patternFill patternType="solid">
          <fgColor indexed="64"/>
          <bgColor theme="7" tint="0.79998168889431442"/>
        </patternFill>
      </fill>
      <alignment horizontal="general" vertical="center" textRotation="0" wrapText="0" indent="0" justifyLastLine="0" shrinkToFit="0" readingOrder="0"/>
      <border diagonalUp="0" diagonalDown="0">
        <left/>
        <right/>
        <top style="thin">
          <color theme="4" tint="0.39997558519241921"/>
        </top>
        <bottom/>
      </border>
      <protection locked="0" hidden="0"/>
    </dxf>
    <dxf>
      <border outline="0">
        <left style="thin">
          <color theme="4" tint="0.39997558519241921"/>
        </left>
      </border>
    </dxf>
    <dxf>
      <font>
        <strike val="0"/>
        <outline val="0"/>
        <shadow val="0"/>
        <u val="none"/>
        <vertAlign val="baseline"/>
        <name val="Arial"/>
        <family val="2"/>
        <scheme val="none"/>
      </font>
    </dxf>
    <dxf>
      <font>
        <b/>
        <i val="0"/>
        <strike val="0"/>
        <condense val="0"/>
        <extend val="0"/>
        <outline val="0"/>
        <shadow val="0"/>
        <u val="none"/>
        <vertAlign val="baseline"/>
        <sz val="11"/>
        <color rgb="FFFFFFFF"/>
        <name val="Arial"/>
        <family val="2"/>
        <scheme val="none"/>
      </font>
      <fill>
        <patternFill patternType="none">
          <fgColor indexed="64"/>
          <bgColor auto="1"/>
        </patternFill>
      </fill>
      <alignment horizontal="center" vertical="center" textRotation="0" wrapText="1" indent="0" justifyLastLine="0" shrinkToFit="0" readingOrder="0"/>
    </dxf>
    <dxf>
      <fill>
        <patternFill patternType="solid">
          <fgColor auto="1"/>
          <bgColor rgb="FFFF0000"/>
        </patternFill>
      </fill>
      <border>
        <left/>
        <right/>
        <top/>
        <bottom/>
      </border>
    </dxf>
    <dxf>
      <fill>
        <patternFill patternType="solid">
          <fgColor auto="1"/>
          <bgColor rgb="FFFF0000"/>
        </patternFill>
      </fill>
      <border>
        <left/>
        <right/>
        <top/>
        <bottom/>
      </border>
    </dxf>
    <dxf>
      <font>
        <color theme="1" tint="0.499984740745262"/>
      </font>
      <fill>
        <patternFill>
          <fgColor theme="1" tint="0.499984740745262"/>
          <bgColor theme="1" tint="0.499984740745262"/>
        </patternFill>
      </fill>
      <border>
        <left/>
        <right/>
        <top/>
        <bottom/>
        <vertical/>
        <horizontal/>
      </border>
    </dxf>
    <dxf>
      <font>
        <strike val="0"/>
        <color theme="1" tint="0.499984740745262"/>
      </font>
      <fill>
        <patternFill>
          <fgColor theme="1" tint="0.499984740745262"/>
          <bgColor theme="1" tint="0.499984740745262"/>
        </patternFill>
      </fill>
      <border>
        <left/>
        <right/>
        <top/>
        <bottom/>
        <vertical/>
        <horizontal/>
      </border>
    </dxf>
    <dxf>
      <font>
        <strike val="0"/>
        <color theme="1" tint="0.499984740745262"/>
      </font>
      <fill>
        <patternFill patternType="solid">
          <fgColor theme="1" tint="0.499984740745262"/>
          <bgColor theme="1" tint="0.499984740745262"/>
        </patternFill>
      </fill>
      <border>
        <left/>
        <right/>
        <top/>
        <bottom/>
        <vertical/>
        <horizontal/>
      </border>
    </dxf>
    <dxf>
      <font>
        <color theme="1"/>
      </font>
      <fill>
        <patternFill>
          <bgColor theme="7" tint="0.79998168889431442"/>
        </patternFill>
      </fill>
      <border>
        <left style="thin">
          <color auto="1"/>
        </left>
        <right style="thin">
          <color auto="1"/>
        </right>
        <top style="thin">
          <color auto="1"/>
        </top>
        <bottom style="thin">
          <color auto="1"/>
        </bottom>
        <vertical/>
        <horizontal/>
      </border>
    </dxf>
    <dxf>
      <font>
        <color theme="1"/>
      </font>
      <border>
        <left style="thin">
          <color theme="1"/>
        </left>
        <right style="thin">
          <color theme="1"/>
        </right>
        <top style="thin">
          <color theme="1"/>
        </top>
        <bottom style="thin">
          <color theme="1"/>
        </bottom>
        <vertical/>
        <horizontal/>
      </border>
    </dxf>
    <dxf>
      <font>
        <color theme="1"/>
      </font>
      <border>
        <left style="thin">
          <color theme="1"/>
        </left>
        <right style="thin">
          <color theme="1"/>
        </right>
        <top style="thin">
          <color theme="1"/>
        </top>
        <bottom style="thin">
          <color theme="1"/>
        </bottom>
        <vertical/>
        <horizontal/>
      </border>
    </dxf>
    <dxf>
      <font>
        <color theme="1"/>
      </font>
      <fill>
        <patternFill>
          <bgColor theme="7" tint="0.79998168889431442"/>
        </patternFill>
      </fill>
      <border>
        <left style="thin">
          <color auto="1"/>
        </left>
        <right style="thin">
          <color auto="1"/>
        </right>
        <top style="thin">
          <color auto="1"/>
        </top>
        <bottom style="thin">
          <color auto="1"/>
        </bottom>
        <vertical/>
        <horizontal/>
      </border>
    </dxf>
    <dxf>
      <font>
        <color theme="0" tint="-4.9989318521683403E-2"/>
      </font>
      <fill>
        <patternFill patternType="solid">
          <fgColor auto="1"/>
          <bgColor theme="0" tint="-4.9989318521683403E-2"/>
        </patternFill>
      </fill>
      <border>
        <left style="thin">
          <color theme="0"/>
        </left>
        <right style="thin">
          <color theme="0"/>
        </right>
        <top style="thin">
          <color theme="0"/>
        </top>
        <bottom style="thin">
          <color theme="0"/>
        </bottom>
        <vertical/>
        <horizontal/>
      </border>
    </dxf>
    <dxf>
      <font>
        <color theme="2"/>
      </font>
      <fill>
        <patternFill>
          <bgColor theme="2"/>
        </patternFill>
      </fill>
    </dxf>
    <dxf>
      <font>
        <color theme="2"/>
      </font>
      <fill>
        <patternFill patternType="solid">
          <bgColor theme="2"/>
        </patternFill>
      </fill>
      <border>
        <left/>
        <right/>
        <top/>
        <bottom/>
        <vertical/>
        <horizontal/>
      </border>
    </dxf>
    <dxf>
      <font>
        <color theme="1"/>
      </font>
      <fill>
        <patternFill>
          <bgColor theme="7" tint="0.79998168889431442"/>
        </patternFill>
      </fill>
      <border>
        <left style="thin">
          <color auto="1"/>
        </left>
        <right style="thin">
          <color auto="1"/>
        </right>
        <top style="thin">
          <color auto="1"/>
        </top>
        <bottom style="thin">
          <color auto="1"/>
        </bottom>
        <vertical/>
        <horizontal/>
      </border>
    </dxf>
    <dxf>
      <font>
        <color theme="1"/>
      </font>
      <fill>
        <patternFill patternType="none">
          <bgColor auto="1"/>
        </patternFill>
      </fill>
      <border>
        <vertical/>
        <horizontal/>
      </border>
    </dxf>
    <dxf>
      <font>
        <color theme="0"/>
      </font>
      <fill>
        <patternFill patternType="none">
          <bgColor auto="1"/>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dxf>
    <dxf>
      <font>
        <color theme="0"/>
      </font>
      <fill>
        <patternFill patternType="none">
          <bgColor auto="1"/>
        </patternFill>
      </fill>
      <border>
        <left/>
        <right/>
        <top/>
        <bottom/>
        <vertical/>
        <horizontal/>
      </border>
    </dxf>
    <dxf>
      <font>
        <color theme="1"/>
      </font>
      <fill>
        <patternFill patternType="none">
          <bgColor auto="1"/>
        </patternFill>
      </fill>
      <border>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dxf>
    <dxf>
      <font>
        <color theme="0"/>
      </font>
      <fill>
        <patternFill patternType="none">
          <bgColor auto="1"/>
        </patternFill>
      </fill>
      <border>
        <left/>
        <right/>
        <top/>
        <bottom/>
        <vertical/>
        <horizontal/>
      </border>
    </dxf>
    <dxf>
      <font>
        <color theme="1"/>
      </font>
      <fill>
        <patternFill patternType="none">
          <bgColor auto="1"/>
        </patternFill>
      </fill>
      <border>
        <vertical/>
        <horizontal/>
      </border>
    </dxf>
    <dxf>
      <border>
        <left style="thin">
          <color auto="1"/>
        </left>
        <right style="thin">
          <color auto="1"/>
        </right>
        <top style="thin">
          <color auto="1"/>
        </top>
        <bottom style="thin">
          <color auto="1"/>
        </bottom>
        <vertical/>
        <horizontal/>
      </border>
    </dxf>
    <dxf>
      <fill>
        <patternFill>
          <bgColor theme="0" tint="-0.14996795556505021"/>
        </patternFill>
      </fill>
    </dxf>
    <dxf>
      <font>
        <color theme="0"/>
      </font>
      <fill>
        <patternFill patternType="none">
          <bgColor auto="1"/>
        </patternFill>
      </fill>
      <border>
        <left/>
        <right/>
        <top/>
        <bottom/>
        <vertical/>
        <horizontal/>
      </border>
    </dxf>
    <dxf>
      <font>
        <color theme="1"/>
      </font>
      <fill>
        <patternFill patternType="none">
          <bgColor auto="1"/>
        </patternFill>
      </fill>
      <border>
        <vertical/>
        <horizontal/>
      </border>
    </dxf>
    <dxf>
      <fill>
        <patternFill>
          <bgColor theme="7" tint="0.79998168889431442"/>
        </patternFill>
      </fill>
    </dxf>
    <dxf>
      <fill>
        <patternFill>
          <bgColor theme="0" tint="-0.14996795556505021"/>
        </patternFill>
      </fill>
    </dxf>
    <dxf>
      <font>
        <color theme="1"/>
      </font>
      <border>
        <left style="thin">
          <color theme="1"/>
        </left>
        <right style="thin">
          <color theme="1"/>
        </right>
        <top style="thin">
          <color theme="1"/>
        </top>
        <bottom style="thin">
          <color theme="1"/>
        </bottom>
        <vertical/>
        <horizontal/>
      </border>
    </dxf>
    <dxf>
      <fill>
        <patternFill>
          <bgColor rgb="FFFF0000"/>
        </patternFill>
      </fill>
    </dxf>
    <dxf>
      <font>
        <color theme="0"/>
      </font>
    </dxf>
    <dxf>
      <font>
        <color theme="0"/>
      </font>
    </dxf>
    <dxf>
      <font>
        <strike val="0"/>
        <color theme="2"/>
      </font>
      <fill>
        <patternFill patternType="solid">
          <fgColor theme="2"/>
          <bgColor theme="2"/>
        </patternFill>
      </fill>
      <border>
        <left/>
        <right/>
        <top/>
        <bottom/>
      </border>
    </dxf>
    <dxf>
      <font>
        <strike/>
        <color auto="1"/>
      </font>
      <fill>
        <patternFill>
          <bgColor theme="0"/>
        </patternFill>
      </fill>
    </dxf>
    <dxf>
      <font>
        <color theme="0"/>
      </font>
      <fill>
        <patternFill>
          <bgColor theme="0"/>
        </patternFill>
      </fill>
    </dxf>
    <dxf>
      <font>
        <color theme="0"/>
      </font>
      <fill>
        <patternFill>
          <bgColor rgb="FFC00000"/>
        </patternFill>
      </fill>
    </dxf>
    <dxf>
      <font>
        <color theme="0"/>
      </font>
      <fill>
        <patternFill>
          <bgColor rgb="FFC00000"/>
        </patternFill>
      </fill>
    </dxf>
    <dxf>
      <font>
        <color theme="0"/>
      </font>
      <fill>
        <patternFill patternType="solid">
          <bgColor theme="0"/>
        </patternFill>
      </fill>
      <border>
        <left style="thin">
          <color auto="1"/>
        </left>
        <right style="thin">
          <color auto="1"/>
        </right>
        <top style="thin">
          <color auto="1"/>
        </top>
        <bottom style="thin">
          <color auto="1"/>
        </bottom>
        <vertical/>
        <horizontal/>
      </border>
    </dxf>
    <dxf>
      <font>
        <strike/>
        <color auto="1"/>
      </font>
      <fill>
        <patternFill>
          <bgColor theme="0"/>
        </patternFill>
      </fill>
    </dxf>
    <dxf>
      <font>
        <strike/>
        <color auto="1"/>
      </font>
      <fill>
        <patternFill>
          <bgColor theme="0"/>
        </patternFill>
      </fill>
    </dxf>
    <dxf>
      <font>
        <strike val="0"/>
        <color theme="0"/>
      </font>
      <fill>
        <patternFill>
          <bgColor theme="0"/>
        </patternFill>
      </fill>
    </dxf>
    <dxf>
      <font>
        <strike/>
        <color auto="1"/>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rgb="FFC00000"/>
      </font>
      <fill>
        <patternFill>
          <bgColor rgb="FFC00000"/>
        </patternFill>
      </fill>
    </dxf>
    <dxf>
      <font>
        <color rgb="FFC00000"/>
      </font>
      <fill>
        <patternFill>
          <bgColor rgb="FFC00000"/>
        </patternFill>
      </fill>
    </dxf>
    <dxf>
      <font>
        <color rgb="FFC00000"/>
      </font>
      <fill>
        <patternFill>
          <bgColor rgb="FFC00000"/>
        </patternFill>
      </fill>
    </dxf>
    <dxf>
      <font>
        <color theme="0" tint="-0.499984740745262"/>
      </font>
      <fill>
        <patternFill>
          <bgColor theme="0"/>
        </patternFill>
      </fill>
      <border>
        <left style="thin">
          <color auto="1"/>
        </left>
        <right style="thin">
          <color auto="1"/>
        </right>
        <top style="thin">
          <color auto="1"/>
        </top>
        <bottom style="thin">
          <color auto="1"/>
        </bottom>
      </border>
    </dxf>
    <dxf>
      <font>
        <color theme="0" tint="-4.9989318521683403E-2"/>
      </font>
      <fill>
        <patternFill patternType="solid">
          <bgColor theme="0" tint="-4.9989318521683403E-2"/>
        </patternFill>
      </fill>
      <border>
        <left style="thin">
          <color theme="0"/>
        </left>
        <right style="thin">
          <color theme="0"/>
        </right>
        <top style="thin">
          <color theme="0"/>
        </top>
        <bottom style="thin">
          <color theme="0"/>
        </bottom>
        <vertical/>
        <horizontal/>
      </border>
    </dxf>
    <dxf>
      <font>
        <color theme="0" tint="-0.499984740745262"/>
      </font>
      <fill>
        <patternFill>
          <bgColor theme="0"/>
        </patternFill>
      </fill>
      <border>
        <left style="thin">
          <color auto="1"/>
        </left>
        <right style="thin">
          <color auto="1"/>
        </right>
        <top style="thin">
          <color auto="1"/>
        </top>
        <bottom style="thin">
          <color auto="1"/>
        </bottom>
      </border>
    </dxf>
    <dxf>
      <font>
        <color theme="0" tint="-0.499984740745262"/>
      </font>
      <fill>
        <patternFill>
          <bgColor theme="0"/>
        </patternFill>
      </fill>
      <border>
        <left style="thin">
          <color auto="1"/>
        </left>
        <right style="thin">
          <color auto="1"/>
        </right>
        <top style="thin">
          <color auto="1"/>
        </top>
        <bottom style="thin">
          <color auto="1"/>
        </bottom>
      </border>
    </dxf>
    <dxf>
      <font>
        <strike/>
        <color theme="0"/>
      </font>
      <fill>
        <patternFill>
          <bgColor theme="0"/>
        </patternFill>
      </fill>
    </dxf>
    <dxf>
      <font>
        <strike/>
        <color auto="1"/>
      </font>
      <fill>
        <patternFill>
          <bgColor theme="0"/>
        </patternFill>
      </fill>
    </dxf>
    <dxf>
      <font>
        <strike val="0"/>
        <color theme="0"/>
      </font>
      <fill>
        <patternFill>
          <bgColor theme="0"/>
        </patternFill>
      </fill>
    </dxf>
    <dxf>
      <fill>
        <patternFill>
          <bgColor rgb="FFC00000"/>
        </patternFill>
      </fill>
    </dxf>
    <dxf>
      <fill>
        <patternFill>
          <bgColor rgb="FFC00000"/>
        </patternFill>
      </fill>
    </dxf>
    <dxf>
      <font>
        <color auto="1"/>
      </font>
      <fill>
        <patternFill>
          <bgColor theme="0"/>
        </patternFill>
      </fill>
    </dxf>
    <dxf>
      <font>
        <color theme="0"/>
      </font>
      <fill>
        <patternFill>
          <bgColor theme="0"/>
        </patternFill>
      </fill>
    </dxf>
    <dxf>
      <fill>
        <patternFill patternType="lightGrid"/>
      </fill>
    </dxf>
    <dxf>
      <font>
        <color theme="0"/>
      </font>
      <fill>
        <patternFill>
          <bgColor theme="0"/>
        </patternFill>
      </fill>
    </dxf>
    <dxf>
      <font>
        <color theme="0" tint="-0.34998626667073579"/>
      </font>
      <fill>
        <patternFill patternType="none">
          <bgColor auto="1"/>
        </patternFill>
      </fill>
      <border>
        <left style="thin">
          <color auto="1"/>
        </left>
        <right style="thin">
          <color auto="1"/>
        </right>
        <top style="thin">
          <color auto="1"/>
        </top>
        <bottom style="thin">
          <color auto="1"/>
        </bottom>
      </border>
    </dxf>
    <dxf>
      <font>
        <color theme="0"/>
      </font>
      <fill>
        <patternFill>
          <bgColor theme="0"/>
        </patternFill>
      </fill>
    </dxf>
    <dxf>
      <font>
        <color theme="0"/>
      </font>
      <fill>
        <patternFill>
          <fgColor theme="0"/>
          <bgColor theme="0"/>
        </patternFill>
      </fill>
    </dxf>
    <dxf>
      <font>
        <color theme="0"/>
      </font>
      <fill>
        <patternFill>
          <bgColor theme="0"/>
        </patternFill>
      </fill>
    </dxf>
    <dxf>
      <font>
        <strike/>
        <color auto="1"/>
      </font>
      <fill>
        <patternFill>
          <bgColor theme="0"/>
        </patternFill>
      </fill>
    </dxf>
    <dxf>
      <font>
        <strike/>
        <color theme="0"/>
      </font>
      <fill>
        <patternFill>
          <bgColor theme="0"/>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FF0000"/>
        </patternFill>
      </fill>
    </dxf>
    <dxf>
      <fill>
        <patternFill>
          <bgColor theme="5" tint="0.39994506668294322"/>
        </patternFill>
      </fill>
    </dxf>
  </dxfs>
  <tableStyles count="1" defaultTableStyle="TableStyleMedium2" defaultPivotStyle="PivotStyleLight16">
    <tableStyle name="Invisible" pivot="0" table="0" count="0" xr9:uid="{EC62779C-9FBF-46A2-AF1B-A0307DA06BB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 Data'!$CC$16</c:f>
              <c:strCache>
                <c:ptCount val="1"/>
                <c:pt idx="0">
                  <c:v>NYC Laguardia</c:v>
                </c:pt>
              </c:strCache>
            </c:strRef>
          </c:tx>
          <c:spPr>
            <a:ln w="28575" cap="rnd">
              <a:solidFill>
                <a:schemeClr val="accent1"/>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Data'!$CC$21:$CC$68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0-1D22-440F-89B5-AD5638322D9F}"/>
            </c:ext>
          </c:extLst>
        </c:ser>
        <c:ser>
          <c:idx val="1"/>
          <c:order val="1"/>
          <c:tx>
            <c:strRef>
              <c:f>'Weather Data'!$CE$16</c:f>
              <c:strCache>
                <c:ptCount val="1"/>
                <c:pt idx="0">
                  <c:v>NYC JFK</c:v>
                </c:pt>
              </c:strCache>
            </c:strRef>
          </c:tx>
          <c:spPr>
            <a:ln w="28575" cap="rnd">
              <a:solidFill>
                <a:schemeClr val="accent2"/>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Data'!$CE$18:$CE$68</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1-1D22-440F-89B5-AD5638322D9F}"/>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 Data'!$CC$16</c:f>
              <c:strCache>
                <c:ptCount val="1"/>
                <c:pt idx="0">
                  <c:v>NYC Laguardia</c:v>
                </c:pt>
              </c:strCache>
            </c:strRef>
          </c:tx>
          <c:spPr>
            <a:ln w="28575" cap="rnd">
              <a:solidFill>
                <a:schemeClr val="accent1"/>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Data'!$CC$21:$CC$68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0-3DC0-478E-B93D-F4EB24B1CD5D}"/>
            </c:ext>
          </c:extLst>
        </c:ser>
        <c:ser>
          <c:idx val="1"/>
          <c:order val="1"/>
          <c:tx>
            <c:strRef>
              <c:f>'Weather Data'!$CE$16</c:f>
              <c:strCache>
                <c:ptCount val="1"/>
                <c:pt idx="0">
                  <c:v>NYC JFK</c:v>
                </c:pt>
              </c:strCache>
            </c:strRef>
          </c:tx>
          <c:spPr>
            <a:ln w="28575" cap="rnd">
              <a:solidFill>
                <a:schemeClr val="accent2"/>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Data'!$CE$18:$CE$68</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1-3DC0-478E-B93D-F4EB24B1CD5D}"/>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'Weather Data'!$CC$16</c:f>
              <c:strCache>
                <c:ptCount val="1"/>
                <c:pt idx="0">
                  <c:v>NYC Laguardia</c:v>
                </c:pt>
              </c:strCache>
            </c:strRef>
          </c:tx>
          <c:spPr>
            <a:ln w="28575" cap="rnd">
              <a:solidFill>
                <a:schemeClr val="accent1"/>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Data'!$CC$21:$CC$68</c:f>
              <c:numCache>
                <c:formatCode>General</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numCache>
            </c:numRef>
          </c:val>
          <c:smooth val="0"/>
          <c:extLst>
            <c:ext xmlns:c16="http://schemas.microsoft.com/office/drawing/2014/chart" uri="{C3380CC4-5D6E-409C-BE32-E72D297353CC}">
              <c16:uniqueId val="{00000000-C6F6-4F50-A89C-FDDD774EC8DB}"/>
            </c:ext>
          </c:extLst>
        </c:ser>
        <c:ser>
          <c:idx val="1"/>
          <c:order val="1"/>
          <c:tx>
            <c:strRef>
              <c:f>'Weather Data'!$CE$16</c:f>
              <c:strCache>
                <c:ptCount val="1"/>
                <c:pt idx="0">
                  <c:v>NYC JFK</c:v>
                </c:pt>
              </c:strCache>
            </c:strRef>
          </c:tx>
          <c:spPr>
            <a:ln w="28575" cap="rnd">
              <a:solidFill>
                <a:schemeClr val="accent2"/>
              </a:solidFill>
              <a:round/>
            </a:ln>
            <a:effectLst/>
          </c:spPr>
          <c:marker>
            <c:symbol val="none"/>
          </c:marker>
          <c:cat>
            <c:numRef>
              <c:f>'Weather Data'!$CA$18:$CA$68</c:f>
              <c:numCache>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Cache>
            </c:numRef>
          </c:cat>
          <c:val>
            <c:numRef>
              <c:f>'Weather Data'!$CE$18:$CE$68</c:f>
              <c:numCache>
                <c:formatCode>General</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1-C6F6-4F50-A89C-FDDD774EC8DB}"/>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NYC Laguardia</c:v>
          </c:tx>
          <c:spPr>
            <a:ln w="28575" cap="rnd">
              <a:solidFill>
                <a:schemeClr val="accent1"/>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48"/>
              <c:pt idx="0">
                <c:v>2</c:v>
              </c:pt>
              <c:pt idx="1">
                <c:v>12</c:v>
              </c:pt>
              <c:pt idx="2">
                <c:v>24</c:v>
              </c:pt>
              <c:pt idx="3">
                <c:v>41</c:v>
              </c:pt>
              <c:pt idx="4">
                <c:v>93</c:v>
              </c:pt>
              <c:pt idx="5">
                <c:v>105</c:v>
              </c:pt>
              <c:pt idx="6">
                <c:v>131</c:v>
              </c:pt>
              <c:pt idx="7">
                <c:v>150</c:v>
              </c:pt>
              <c:pt idx="8">
                <c:v>190</c:v>
              </c:pt>
              <c:pt idx="9">
                <c:v>105</c:v>
              </c:pt>
              <c:pt idx="10">
                <c:v>241</c:v>
              </c:pt>
              <c:pt idx="11">
                <c:v>197</c:v>
              </c:pt>
              <c:pt idx="12">
                <c:v>176</c:v>
              </c:pt>
              <c:pt idx="13">
                <c:v>239</c:v>
              </c:pt>
              <c:pt idx="14">
                <c:v>119</c:v>
              </c:pt>
              <c:pt idx="15">
                <c:v>131</c:v>
              </c:pt>
              <c:pt idx="16">
                <c:v>146</c:v>
              </c:pt>
              <c:pt idx="17">
                <c:v>141</c:v>
              </c:pt>
              <c:pt idx="18">
                <c:v>63</c:v>
              </c:pt>
              <c:pt idx="19">
                <c:v>197</c:v>
              </c:pt>
              <c:pt idx="20">
                <c:v>173</c:v>
              </c:pt>
              <c:pt idx="21">
                <c:v>175</c:v>
              </c:pt>
              <c:pt idx="22">
                <c:v>309</c:v>
              </c:pt>
              <c:pt idx="23">
                <c:v>175</c:v>
              </c:pt>
              <c:pt idx="24">
                <c:v>142</c:v>
              </c:pt>
              <c:pt idx="25">
                <c:v>164</c:v>
              </c:pt>
              <c:pt idx="26">
                <c:v>137</c:v>
              </c:pt>
              <c:pt idx="27">
                <c:v>56</c:v>
              </c:pt>
              <c:pt idx="28">
                <c:v>133</c:v>
              </c:pt>
              <c:pt idx="29">
                <c:v>170</c:v>
              </c:pt>
              <c:pt idx="30">
                <c:v>153</c:v>
              </c:pt>
              <c:pt idx="31">
                <c:v>162</c:v>
              </c:pt>
              <c:pt idx="32">
                <c:v>84</c:v>
              </c:pt>
              <c:pt idx="33">
                <c:v>58</c:v>
              </c:pt>
              <c:pt idx="34">
                <c:v>50</c:v>
              </c:pt>
              <c:pt idx="35">
                <c:v>47</c:v>
              </c:pt>
              <c:pt idx="36">
                <c:v>19</c:v>
              </c:pt>
              <c:pt idx="37">
                <c:v>22</c:v>
              </c:pt>
              <c:pt idx="38">
                <c:v>22</c:v>
              </c:pt>
              <c:pt idx="39">
                <c:v>19</c:v>
              </c:pt>
              <c:pt idx="40">
                <c:v>10</c:v>
              </c:pt>
              <c:pt idx="41">
                <c:v>2</c:v>
              </c:pt>
              <c:pt idx="42">
                <c:v>5</c:v>
              </c:pt>
              <c:pt idx="43">
                <c:v>1</c:v>
              </c:pt>
              <c:pt idx="44">
                <c:v>3</c:v>
              </c:pt>
              <c:pt idx="45">
                <c:v>0</c:v>
              </c:pt>
              <c:pt idx="46">
                <c:v>0</c:v>
              </c:pt>
              <c:pt idx="47">
                <c:v>0</c:v>
              </c:pt>
            </c:numLit>
          </c:val>
          <c:smooth val="0"/>
          <c:extLst>
            <c:ext xmlns:c16="http://schemas.microsoft.com/office/drawing/2014/chart" uri="{C3380CC4-5D6E-409C-BE32-E72D297353CC}">
              <c16:uniqueId val="{00000000-5848-49E3-A897-8698C617487E}"/>
            </c:ext>
          </c:extLst>
        </c:ser>
        <c:ser>
          <c:idx val="1"/>
          <c:order val="1"/>
          <c:tx>
            <c:v>NYC JFK</c:v>
          </c:tx>
          <c:spPr>
            <a:ln w="28575" cap="rnd">
              <a:solidFill>
                <a:schemeClr val="accent2"/>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51"/>
              <c:pt idx="0">
                <c:v>0</c:v>
              </c:pt>
              <c:pt idx="1">
                <c:v>1</c:v>
              </c:pt>
              <c:pt idx="2">
                <c:v>1</c:v>
              </c:pt>
              <c:pt idx="3">
                <c:v>1</c:v>
              </c:pt>
              <c:pt idx="4">
                <c:v>4</c:v>
              </c:pt>
              <c:pt idx="5">
                <c:v>15</c:v>
              </c:pt>
              <c:pt idx="6">
                <c:v>22</c:v>
              </c:pt>
              <c:pt idx="7">
                <c:v>73</c:v>
              </c:pt>
              <c:pt idx="8">
                <c:v>87</c:v>
              </c:pt>
              <c:pt idx="9">
                <c:v>109</c:v>
              </c:pt>
              <c:pt idx="10">
                <c:v>131</c:v>
              </c:pt>
              <c:pt idx="11">
                <c:v>189</c:v>
              </c:pt>
              <c:pt idx="12">
                <c:v>97</c:v>
              </c:pt>
              <c:pt idx="13">
                <c:v>180</c:v>
              </c:pt>
              <c:pt idx="14">
                <c:v>196</c:v>
              </c:pt>
              <c:pt idx="15">
                <c:v>219</c:v>
              </c:pt>
              <c:pt idx="16">
                <c:v>261</c:v>
              </c:pt>
              <c:pt idx="17">
                <c:v>154</c:v>
              </c:pt>
              <c:pt idx="18">
                <c:v>138</c:v>
              </c:pt>
              <c:pt idx="19">
                <c:v>138</c:v>
              </c:pt>
              <c:pt idx="20">
                <c:v>144</c:v>
              </c:pt>
              <c:pt idx="21">
                <c:v>66</c:v>
              </c:pt>
              <c:pt idx="22">
                <c:v>164</c:v>
              </c:pt>
              <c:pt idx="23">
                <c:v>151</c:v>
              </c:pt>
              <c:pt idx="24">
                <c:v>134</c:v>
              </c:pt>
              <c:pt idx="25">
                <c:v>233</c:v>
              </c:pt>
              <c:pt idx="26">
                <c:v>153</c:v>
              </c:pt>
              <c:pt idx="27">
                <c:v>163</c:v>
              </c:pt>
              <c:pt idx="28">
                <c:v>182</c:v>
              </c:pt>
              <c:pt idx="29">
                <c:v>203</c:v>
              </c:pt>
              <c:pt idx="30">
                <c:v>95</c:v>
              </c:pt>
              <c:pt idx="31">
                <c:v>181</c:v>
              </c:pt>
              <c:pt idx="32">
                <c:v>170</c:v>
              </c:pt>
              <c:pt idx="33">
                <c:v>182</c:v>
              </c:pt>
              <c:pt idx="34">
                <c:v>173</c:v>
              </c:pt>
              <c:pt idx="35">
                <c:v>78</c:v>
              </c:pt>
              <c:pt idx="36">
                <c:v>73</c:v>
              </c:pt>
              <c:pt idx="37">
                <c:v>62</c:v>
              </c:pt>
              <c:pt idx="38">
                <c:v>63</c:v>
              </c:pt>
              <c:pt idx="39">
                <c:v>19</c:v>
              </c:pt>
              <c:pt idx="40">
                <c:v>28</c:v>
              </c:pt>
              <c:pt idx="41">
                <c:v>24</c:v>
              </c:pt>
              <c:pt idx="42">
                <c:v>24</c:v>
              </c:pt>
              <c:pt idx="43">
                <c:v>9</c:v>
              </c:pt>
              <c:pt idx="44">
                <c:v>4</c:v>
              </c:pt>
              <c:pt idx="45">
                <c:v>3</c:v>
              </c:pt>
              <c:pt idx="46">
                <c:v>3</c:v>
              </c:pt>
              <c:pt idx="47">
                <c:v>0</c:v>
              </c:pt>
              <c:pt idx="48">
                <c:v>0</c:v>
              </c:pt>
              <c:pt idx="49">
                <c:v>0</c:v>
              </c:pt>
              <c:pt idx="50">
                <c:v>0</c:v>
              </c:pt>
            </c:numLit>
          </c:val>
          <c:smooth val="0"/>
          <c:extLst>
            <c:ext xmlns:c16="http://schemas.microsoft.com/office/drawing/2014/chart" uri="{C3380CC4-5D6E-409C-BE32-E72D297353CC}">
              <c16:uniqueId val="{00000001-5848-49E3-A897-8698C617487E}"/>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NYC Laguardia</c:v>
          </c:tx>
          <c:spPr>
            <a:ln w="28575" cap="rnd">
              <a:solidFill>
                <a:schemeClr val="accent1"/>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48"/>
              <c:pt idx="0">
                <c:v>2</c:v>
              </c:pt>
              <c:pt idx="1">
                <c:v>12</c:v>
              </c:pt>
              <c:pt idx="2">
                <c:v>24</c:v>
              </c:pt>
              <c:pt idx="3">
                <c:v>41</c:v>
              </c:pt>
              <c:pt idx="4">
                <c:v>93</c:v>
              </c:pt>
              <c:pt idx="5">
                <c:v>105</c:v>
              </c:pt>
              <c:pt idx="6">
                <c:v>131</c:v>
              </c:pt>
              <c:pt idx="7">
                <c:v>150</c:v>
              </c:pt>
              <c:pt idx="8">
                <c:v>190</c:v>
              </c:pt>
              <c:pt idx="9">
                <c:v>105</c:v>
              </c:pt>
              <c:pt idx="10">
                <c:v>241</c:v>
              </c:pt>
              <c:pt idx="11">
                <c:v>197</c:v>
              </c:pt>
              <c:pt idx="12">
                <c:v>176</c:v>
              </c:pt>
              <c:pt idx="13">
                <c:v>239</c:v>
              </c:pt>
              <c:pt idx="14">
                <c:v>119</c:v>
              </c:pt>
              <c:pt idx="15">
                <c:v>131</c:v>
              </c:pt>
              <c:pt idx="16">
                <c:v>146</c:v>
              </c:pt>
              <c:pt idx="17">
                <c:v>141</c:v>
              </c:pt>
              <c:pt idx="18">
                <c:v>63</c:v>
              </c:pt>
              <c:pt idx="19">
                <c:v>197</c:v>
              </c:pt>
              <c:pt idx="20">
                <c:v>173</c:v>
              </c:pt>
              <c:pt idx="21">
                <c:v>175</c:v>
              </c:pt>
              <c:pt idx="22">
                <c:v>309</c:v>
              </c:pt>
              <c:pt idx="23">
                <c:v>175</c:v>
              </c:pt>
              <c:pt idx="24">
                <c:v>142</c:v>
              </c:pt>
              <c:pt idx="25">
                <c:v>164</c:v>
              </c:pt>
              <c:pt idx="26">
                <c:v>137</c:v>
              </c:pt>
              <c:pt idx="27">
                <c:v>56</c:v>
              </c:pt>
              <c:pt idx="28">
                <c:v>133</c:v>
              </c:pt>
              <c:pt idx="29">
                <c:v>170</c:v>
              </c:pt>
              <c:pt idx="30">
                <c:v>153</c:v>
              </c:pt>
              <c:pt idx="31">
                <c:v>162</c:v>
              </c:pt>
              <c:pt idx="32">
                <c:v>84</c:v>
              </c:pt>
              <c:pt idx="33">
                <c:v>58</c:v>
              </c:pt>
              <c:pt idx="34">
                <c:v>50</c:v>
              </c:pt>
              <c:pt idx="35">
                <c:v>47</c:v>
              </c:pt>
              <c:pt idx="36">
                <c:v>19</c:v>
              </c:pt>
              <c:pt idx="37">
                <c:v>22</c:v>
              </c:pt>
              <c:pt idx="38">
                <c:v>22</c:v>
              </c:pt>
              <c:pt idx="39">
                <c:v>19</c:v>
              </c:pt>
              <c:pt idx="40">
                <c:v>10</c:v>
              </c:pt>
              <c:pt idx="41">
                <c:v>2</c:v>
              </c:pt>
              <c:pt idx="42">
                <c:v>5</c:v>
              </c:pt>
              <c:pt idx="43">
                <c:v>1</c:v>
              </c:pt>
              <c:pt idx="44">
                <c:v>3</c:v>
              </c:pt>
              <c:pt idx="45">
                <c:v>0</c:v>
              </c:pt>
              <c:pt idx="46">
                <c:v>0</c:v>
              </c:pt>
              <c:pt idx="47">
                <c:v>0</c:v>
              </c:pt>
            </c:numLit>
          </c:val>
          <c:smooth val="0"/>
          <c:extLst>
            <c:ext xmlns:c16="http://schemas.microsoft.com/office/drawing/2014/chart" uri="{C3380CC4-5D6E-409C-BE32-E72D297353CC}">
              <c16:uniqueId val="{00000000-EE6A-4A2A-99FD-20CC145A33B7}"/>
            </c:ext>
          </c:extLst>
        </c:ser>
        <c:ser>
          <c:idx val="1"/>
          <c:order val="1"/>
          <c:tx>
            <c:v>NYC JFK</c:v>
          </c:tx>
          <c:spPr>
            <a:ln w="28575" cap="rnd">
              <a:solidFill>
                <a:schemeClr val="accent2"/>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51"/>
              <c:pt idx="0">
                <c:v>0</c:v>
              </c:pt>
              <c:pt idx="1">
                <c:v>1</c:v>
              </c:pt>
              <c:pt idx="2">
                <c:v>1</c:v>
              </c:pt>
              <c:pt idx="3">
                <c:v>1</c:v>
              </c:pt>
              <c:pt idx="4">
                <c:v>4</c:v>
              </c:pt>
              <c:pt idx="5">
                <c:v>15</c:v>
              </c:pt>
              <c:pt idx="6">
                <c:v>22</c:v>
              </c:pt>
              <c:pt idx="7">
                <c:v>73</c:v>
              </c:pt>
              <c:pt idx="8">
                <c:v>87</c:v>
              </c:pt>
              <c:pt idx="9">
                <c:v>109</c:v>
              </c:pt>
              <c:pt idx="10">
                <c:v>131</c:v>
              </c:pt>
              <c:pt idx="11">
                <c:v>189</c:v>
              </c:pt>
              <c:pt idx="12">
                <c:v>97</c:v>
              </c:pt>
              <c:pt idx="13">
                <c:v>180</c:v>
              </c:pt>
              <c:pt idx="14">
                <c:v>196</c:v>
              </c:pt>
              <c:pt idx="15">
                <c:v>219</c:v>
              </c:pt>
              <c:pt idx="16">
                <c:v>261</c:v>
              </c:pt>
              <c:pt idx="17">
                <c:v>154</c:v>
              </c:pt>
              <c:pt idx="18">
                <c:v>138</c:v>
              </c:pt>
              <c:pt idx="19">
                <c:v>138</c:v>
              </c:pt>
              <c:pt idx="20">
                <c:v>144</c:v>
              </c:pt>
              <c:pt idx="21">
                <c:v>66</c:v>
              </c:pt>
              <c:pt idx="22">
                <c:v>164</c:v>
              </c:pt>
              <c:pt idx="23">
                <c:v>151</c:v>
              </c:pt>
              <c:pt idx="24">
                <c:v>134</c:v>
              </c:pt>
              <c:pt idx="25">
                <c:v>233</c:v>
              </c:pt>
              <c:pt idx="26">
                <c:v>153</c:v>
              </c:pt>
              <c:pt idx="27">
                <c:v>163</c:v>
              </c:pt>
              <c:pt idx="28">
                <c:v>182</c:v>
              </c:pt>
              <c:pt idx="29">
                <c:v>203</c:v>
              </c:pt>
              <c:pt idx="30">
                <c:v>95</c:v>
              </c:pt>
              <c:pt idx="31">
                <c:v>181</c:v>
              </c:pt>
              <c:pt idx="32">
                <c:v>170</c:v>
              </c:pt>
              <c:pt idx="33">
                <c:v>182</c:v>
              </c:pt>
              <c:pt idx="34">
                <c:v>173</c:v>
              </c:pt>
              <c:pt idx="35">
                <c:v>78</c:v>
              </c:pt>
              <c:pt idx="36">
                <c:v>73</c:v>
              </c:pt>
              <c:pt idx="37">
                <c:v>62</c:v>
              </c:pt>
              <c:pt idx="38">
                <c:v>63</c:v>
              </c:pt>
              <c:pt idx="39">
                <c:v>19</c:v>
              </c:pt>
              <c:pt idx="40">
                <c:v>28</c:v>
              </c:pt>
              <c:pt idx="41">
                <c:v>24</c:v>
              </c:pt>
              <c:pt idx="42">
                <c:v>24</c:v>
              </c:pt>
              <c:pt idx="43">
                <c:v>9</c:v>
              </c:pt>
              <c:pt idx="44">
                <c:v>4</c:v>
              </c:pt>
              <c:pt idx="45">
                <c:v>3</c:v>
              </c:pt>
              <c:pt idx="46">
                <c:v>3</c:v>
              </c:pt>
              <c:pt idx="47">
                <c:v>0</c:v>
              </c:pt>
              <c:pt idx="48">
                <c:v>0</c:v>
              </c:pt>
              <c:pt idx="49">
                <c:v>0</c:v>
              </c:pt>
              <c:pt idx="50">
                <c:v>0</c:v>
              </c:pt>
            </c:numLit>
          </c:val>
          <c:smooth val="0"/>
          <c:extLst>
            <c:ext xmlns:c16="http://schemas.microsoft.com/office/drawing/2014/chart" uri="{C3380CC4-5D6E-409C-BE32-E72D297353CC}">
              <c16:uniqueId val="{00000001-EE6A-4A2A-99FD-20CC145A33B7}"/>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NYC Laguardia</c:v>
          </c:tx>
          <c:spPr>
            <a:ln w="28575" cap="rnd">
              <a:solidFill>
                <a:schemeClr val="accent1"/>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48"/>
              <c:pt idx="0">
                <c:v>2</c:v>
              </c:pt>
              <c:pt idx="1">
                <c:v>12</c:v>
              </c:pt>
              <c:pt idx="2">
                <c:v>24</c:v>
              </c:pt>
              <c:pt idx="3">
                <c:v>41</c:v>
              </c:pt>
              <c:pt idx="4">
                <c:v>93</c:v>
              </c:pt>
              <c:pt idx="5">
                <c:v>105</c:v>
              </c:pt>
              <c:pt idx="6">
                <c:v>131</c:v>
              </c:pt>
              <c:pt idx="7">
                <c:v>150</c:v>
              </c:pt>
              <c:pt idx="8">
                <c:v>190</c:v>
              </c:pt>
              <c:pt idx="9">
                <c:v>105</c:v>
              </c:pt>
              <c:pt idx="10">
                <c:v>241</c:v>
              </c:pt>
              <c:pt idx="11">
                <c:v>197</c:v>
              </c:pt>
              <c:pt idx="12">
                <c:v>176</c:v>
              </c:pt>
              <c:pt idx="13">
                <c:v>239</c:v>
              </c:pt>
              <c:pt idx="14">
                <c:v>119</c:v>
              </c:pt>
              <c:pt idx="15">
                <c:v>131</c:v>
              </c:pt>
              <c:pt idx="16">
                <c:v>146</c:v>
              </c:pt>
              <c:pt idx="17">
                <c:v>141</c:v>
              </c:pt>
              <c:pt idx="18">
                <c:v>63</c:v>
              </c:pt>
              <c:pt idx="19">
                <c:v>197</c:v>
              </c:pt>
              <c:pt idx="20">
                <c:v>173</c:v>
              </c:pt>
              <c:pt idx="21">
                <c:v>175</c:v>
              </c:pt>
              <c:pt idx="22">
                <c:v>309</c:v>
              </c:pt>
              <c:pt idx="23">
                <c:v>175</c:v>
              </c:pt>
              <c:pt idx="24">
                <c:v>142</c:v>
              </c:pt>
              <c:pt idx="25">
                <c:v>164</c:v>
              </c:pt>
              <c:pt idx="26">
                <c:v>137</c:v>
              </c:pt>
              <c:pt idx="27">
                <c:v>56</c:v>
              </c:pt>
              <c:pt idx="28">
                <c:v>133</c:v>
              </c:pt>
              <c:pt idx="29">
                <c:v>170</c:v>
              </c:pt>
              <c:pt idx="30">
                <c:v>153</c:v>
              </c:pt>
              <c:pt idx="31">
                <c:v>162</c:v>
              </c:pt>
              <c:pt idx="32">
                <c:v>84</c:v>
              </c:pt>
              <c:pt idx="33">
                <c:v>58</c:v>
              </c:pt>
              <c:pt idx="34">
                <c:v>50</c:v>
              </c:pt>
              <c:pt idx="35">
                <c:v>47</c:v>
              </c:pt>
              <c:pt idx="36">
                <c:v>19</c:v>
              </c:pt>
              <c:pt idx="37">
                <c:v>22</c:v>
              </c:pt>
              <c:pt idx="38">
                <c:v>22</c:v>
              </c:pt>
              <c:pt idx="39">
                <c:v>19</c:v>
              </c:pt>
              <c:pt idx="40">
                <c:v>10</c:v>
              </c:pt>
              <c:pt idx="41">
                <c:v>2</c:v>
              </c:pt>
              <c:pt idx="42">
                <c:v>5</c:v>
              </c:pt>
              <c:pt idx="43">
                <c:v>1</c:v>
              </c:pt>
              <c:pt idx="44">
                <c:v>3</c:v>
              </c:pt>
              <c:pt idx="45">
                <c:v>0</c:v>
              </c:pt>
              <c:pt idx="46">
                <c:v>0</c:v>
              </c:pt>
              <c:pt idx="47">
                <c:v>0</c:v>
              </c:pt>
            </c:numLit>
          </c:val>
          <c:smooth val="0"/>
          <c:extLst>
            <c:ext xmlns:c16="http://schemas.microsoft.com/office/drawing/2014/chart" uri="{C3380CC4-5D6E-409C-BE32-E72D297353CC}">
              <c16:uniqueId val="{00000000-8ED0-44CF-8882-8295CF56641B}"/>
            </c:ext>
          </c:extLst>
        </c:ser>
        <c:ser>
          <c:idx val="1"/>
          <c:order val="1"/>
          <c:tx>
            <c:v>NYC JFK</c:v>
          </c:tx>
          <c:spPr>
            <a:ln w="28575" cap="rnd">
              <a:solidFill>
                <a:schemeClr val="accent2"/>
              </a:solidFill>
              <a:round/>
            </a:ln>
            <a:effectLst/>
          </c:spPr>
          <c:marker>
            <c:symbol val="none"/>
          </c:marker>
          <c:cat>
            <c:numLit>
              <c:formatCode>General</c:formatCode>
              <c:ptCount val="51"/>
              <c:pt idx="0">
                <c:v>101</c:v>
              </c:pt>
              <c:pt idx="1">
                <c:v>99</c:v>
              </c:pt>
              <c:pt idx="2">
                <c:v>97</c:v>
              </c:pt>
              <c:pt idx="3">
                <c:v>95</c:v>
              </c:pt>
              <c:pt idx="4">
                <c:v>93</c:v>
              </c:pt>
              <c:pt idx="5">
                <c:v>91</c:v>
              </c:pt>
              <c:pt idx="6">
                <c:v>89</c:v>
              </c:pt>
              <c:pt idx="7">
                <c:v>87</c:v>
              </c:pt>
              <c:pt idx="8">
                <c:v>85</c:v>
              </c:pt>
              <c:pt idx="9">
                <c:v>83</c:v>
              </c:pt>
              <c:pt idx="10">
                <c:v>81</c:v>
              </c:pt>
              <c:pt idx="11">
                <c:v>79</c:v>
              </c:pt>
              <c:pt idx="12">
                <c:v>77</c:v>
              </c:pt>
              <c:pt idx="13">
                <c:v>75</c:v>
              </c:pt>
              <c:pt idx="14">
                <c:v>73</c:v>
              </c:pt>
              <c:pt idx="15">
                <c:v>71</c:v>
              </c:pt>
              <c:pt idx="16">
                <c:v>69</c:v>
              </c:pt>
              <c:pt idx="17">
                <c:v>67</c:v>
              </c:pt>
              <c:pt idx="18">
                <c:v>65</c:v>
              </c:pt>
              <c:pt idx="19">
                <c:v>63</c:v>
              </c:pt>
              <c:pt idx="20">
                <c:v>61</c:v>
              </c:pt>
              <c:pt idx="21">
                <c:v>59</c:v>
              </c:pt>
              <c:pt idx="22">
                <c:v>57</c:v>
              </c:pt>
              <c:pt idx="23">
                <c:v>55</c:v>
              </c:pt>
              <c:pt idx="24">
                <c:v>53</c:v>
              </c:pt>
              <c:pt idx="25">
                <c:v>51</c:v>
              </c:pt>
              <c:pt idx="26">
                <c:v>49</c:v>
              </c:pt>
              <c:pt idx="27">
                <c:v>47</c:v>
              </c:pt>
              <c:pt idx="28">
                <c:v>45</c:v>
              </c:pt>
              <c:pt idx="29">
                <c:v>43</c:v>
              </c:pt>
              <c:pt idx="30">
                <c:v>41</c:v>
              </c:pt>
              <c:pt idx="31">
                <c:v>39</c:v>
              </c:pt>
              <c:pt idx="32">
                <c:v>37</c:v>
              </c:pt>
              <c:pt idx="33">
                <c:v>35</c:v>
              </c:pt>
              <c:pt idx="34">
                <c:v>33</c:v>
              </c:pt>
              <c:pt idx="35">
                <c:v>31</c:v>
              </c:pt>
              <c:pt idx="36">
                <c:v>29</c:v>
              </c:pt>
              <c:pt idx="37">
                <c:v>27</c:v>
              </c:pt>
              <c:pt idx="38">
                <c:v>25</c:v>
              </c:pt>
              <c:pt idx="39">
                <c:v>23</c:v>
              </c:pt>
              <c:pt idx="40">
                <c:v>21</c:v>
              </c:pt>
              <c:pt idx="41">
                <c:v>19</c:v>
              </c:pt>
              <c:pt idx="42">
                <c:v>17</c:v>
              </c:pt>
              <c:pt idx="43">
                <c:v>15</c:v>
              </c:pt>
              <c:pt idx="44">
                <c:v>13</c:v>
              </c:pt>
              <c:pt idx="45">
                <c:v>11</c:v>
              </c:pt>
              <c:pt idx="46">
                <c:v>9</c:v>
              </c:pt>
              <c:pt idx="47">
                <c:v>7</c:v>
              </c:pt>
              <c:pt idx="48">
                <c:v>5</c:v>
              </c:pt>
              <c:pt idx="49">
                <c:v>3</c:v>
              </c:pt>
              <c:pt idx="50">
                <c:v>1</c:v>
              </c:pt>
            </c:numLit>
          </c:cat>
          <c:val>
            <c:numLit>
              <c:formatCode>General</c:formatCode>
              <c:ptCount val="51"/>
              <c:pt idx="0">
                <c:v>0</c:v>
              </c:pt>
              <c:pt idx="1">
                <c:v>1</c:v>
              </c:pt>
              <c:pt idx="2">
                <c:v>1</c:v>
              </c:pt>
              <c:pt idx="3">
                <c:v>1</c:v>
              </c:pt>
              <c:pt idx="4">
                <c:v>4</c:v>
              </c:pt>
              <c:pt idx="5">
                <c:v>15</c:v>
              </c:pt>
              <c:pt idx="6">
                <c:v>22</c:v>
              </c:pt>
              <c:pt idx="7">
                <c:v>73</c:v>
              </c:pt>
              <c:pt idx="8">
                <c:v>87</c:v>
              </c:pt>
              <c:pt idx="9">
                <c:v>109</c:v>
              </c:pt>
              <c:pt idx="10">
                <c:v>131</c:v>
              </c:pt>
              <c:pt idx="11">
                <c:v>189</c:v>
              </c:pt>
              <c:pt idx="12">
                <c:v>97</c:v>
              </c:pt>
              <c:pt idx="13">
                <c:v>180</c:v>
              </c:pt>
              <c:pt idx="14">
                <c:v>196</c:v>
              </c:pt>
              <c:pt idx="15">
                <c:v>219</c:v>
              </c:pt>
              <c:pt idx="16">
                <c:v>261</c:v>
              </c:pt>
              <c:pt idx="17">
                <c:v>154</c:v>
              </c:pt>
              <c:pt idx="18">
                <c:v>138</c:v>
              </c:pt>
              <c:pt idx="19">
                <c:v>138</c:v>
              </c:pt>
              <c:pt idx="20">
                <c:v>144</c:v>
              </c:pt>
              <c:pt idx="21">
                <c:v>66</c:v>
              </c:pt>
              <c:pt idx="22">
                <c:v>164</c:v>
              </c:pt>
              <c:pt idx="23">
                <c:v>151</c:v>
              </c:pt>
              <c:pt idx="24">
                <c:v>134</c:v>
              </c:pt>
              <c:pt idx="25">
                <c:v>233</c:v>
              </c:pt>
              <c:pt idx="26">
                <c:v>153</c:v>
              </c:pt>
              <c:pt idx="27">
                <c:v>163</c:v>
              </c:pt>
              <c:pt idx="28">
                <c:v>182</c:v>
              </c:pt>
              <c:pt idx="29">
                <c:v>203</c:v>
              </c:pt>
              <c:pt idx="30">
                <c:v>95</c:v>
              </c:pt>
              <c:pt idx="31">
                <c:v>181</c:v>
              </c:pt>
              <c:pt idx="32">
                <c:v>170</c:v>
              </c:pt>
              <c:pt idx="33">
                <c:v>182</c:v>
              </c:pt>
              <c:pt idx="34">
                <c:v>173</c:v>
              </c:pt>
              <c:pt idx="35">
                <c:v>78</c:v>
              </c:pt>
              <c:pt idx="36">
                <c:v>73</c:v>
              </c:pt>
              <c:pt idx="37">
                <c:v>62</c:v>
              </c:pt>
              <c:pt idx="38">
                <c:v>63</c:v>
              </c:pt>
              <c:pt idx="39">
                <c:v>19</c:v>
              </c:pt>
              <c:pt idx="40">
                <c:v>28</c:v>
              </c:pt>
              <c:pt idx="41">
                <c:v>24</c:v>
              </c:pt>
              <c:pt idx="42">
                <c:v>24</c:v>
              </c:pt>
              <c:pt idx="43">
                <c:v>9</c:v>
              </c:pt>
              <c:pt idx="44">
                <c:v>4</c:v>
              </c:pt>
              <c:pt idx="45">
                <c:v>3</c:v>
              </c:pt>
              <c:pt idx="46">
                <c:v>3</c:v>
              </c:pt>
              <c:pt idx="47">
                <c:v>0</c:v>
              </c:pt>
              <c:pt idx="48">
                <c:v>0</c:v>
              </c:pt>
              <c:pt idx="49">
                <c:v>0</c:v>
              </c:pt>
              <c:pt idx="50">
                <c:v>0</c:v>
              </c:pt>
            </c:numLit>
          </c:val>
          <c:smooth val="0"/>
          <c:extLst>
            <c:ext xmlns:c16="http://schemas.microsoft.com/office/drawing/2014/chart" uri="{C3380CC4-5D6E-409C-BE32-E72D297353CC}">
              <c16:uniqueId val="{00000001-8ED0-44CF-8882-8295CF56641B}"/>
            </c:ext>
          </c:extLst>
        </c:ser>
        <c:dLbls>
          <c:showLegendKey val="0"/>
          <c:showVal val="0"/>
          <c:showCatName val="0"/>
          <c:showSerName val="0"/>
          <c:showPercent val="0"/>
          <c:showBubbleSize val="0"/>
        </c:dLbls>
        <c:smooth val="0"/>
        <c:axId val="881665536"/>
        <c:axId val="881681760"/>
      </c:lineChart>
      <c:catAx>
        <c:axId val="88166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81760"/>
        <c:crosses val="autoZero"/>
        <c:auto val="1"/>
        <c:lblAlgn val="ctr"/>
        <c:lblOffset val="100"/>
        <c:noMultiLvlLbl val="0"/>
      </c:catAx>
      <c:valAx>
        <c:axId val="881681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816655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4</xdr:col>
      <xdr:colOff>11340</xdr:colOff>
      <xdr:row>98</xdr:row>
      <xdr:rowOff>79375</xdr:rowOff>
    </xdr:from>
    <xdr:ext cx="9162894" cy="2131703"/>
    <xdr:pic>
      <xdr:nvPicPr>
        <xdr:cNvPr id="2" name="Picture 1">
          <a:extLst>
            <a:ext uri="{FF2B5EF4-FFF2-40B4-BE49-F238E27FC236}">
              <a16:creationId xmlns:a16="http://schemas.microsoft.com/office/drawing/2014/main" id="{B34997A8-B0E5-4629-BA4F-F882A1C2AFD2}"/>
            </a:ext>
          </a:extLst>
        </xdr:cNvPr>
        <xdr:cNvPicPr>
          <a:picLocks noChangeAspect="1"/>
        </xdr:cNvPicPr>
      </xdr:nvPicPr>
      <xdr:blipFill>
        <a:blip xmlns:r="http://schemas.openxmlformats.org/officeDocument/2006/relationships" r:embed="rId1"/>
        <a:stretch>
          <a:fillRect/>
        </a:stretch>
      </xdr:blipFill>
      <xdr:spPr>
        <a:xfrm>
          <a:off x="3018065" y="18875375"/>
          <a:ext cx="9162894" cy="213170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83</xdr:col>
      <xdr:colOff>1732360</xdr:colOff>
      <xdr:row>87</xdr:row>
      <xdr:rowOff>172163</xdr:rowOff>
    </xdr:from>
    <xdr:to>
      <xdr:col>88</xdr:col>
      <xdr:colOff>615315</xdr:colOff>
      <xdr:row>110</xdr:row>
      <xdr:rowOff>67628</xdr:rowOff>
    </xdr:to>
    <xdr:graphicFrame macro="">
      <xdr:nvGraphicFramePr>
        <xdr:cNvPr id="2" name="Chart 1">
          <a:extLst>
            <a:ext uri="{FF2B5EF4-FFF2-40B4-BE49-F238E27FC236}">
              <a16:creationId xmlns:a16="http://schemas.microsoft.com/office/drawing/2014/main" id="{03A03777-018D-43D1-BDAB-DACADDBDD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91</xdr:col>
      <xdr:colOff>1732360</xdr:colOff>
      <xdr:row>87</xdr:row>
      <xdr:rowOff>172163</xdr:rowOff>
    </xdr:from>
    <xdr:to>
      <xdr:col>96</xdr:col>
      <xdr:colOff>615315</xdr:colOff>
      <xdr:row>110</xdr:row>
      <xdr:rowOff>67628</xdr:rowOff>
    </xdr:to>
    <xdr:graphicFrame macro="">
      <xdr:nvGraphicFramePr>
        <xdr:cNvPr id="3" name="Chart 2">
          <a:extLst>
            <a:ext uri="{FF2B5EF4-FFF2-40B4-BE49-F238E27FC236}">
              <a16:creationId xmlns:a16="http://schemas.microsoft.com/office/drawing/2014/main" id="{921B6372-CA1A-4D56-9B83-B5E20ED3E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99</xdr:col>
      <xdr:colOff>1732360</xdr:colOff>
      <xdr:row>87</xdr:row>
      <xdr:rowOff>172163</xdr:rowOff>
    </xdr:from>
    <xdr:to>
      <xdr:col>104</xdr:col>
      <xdr:colOff>615315</xdr:colOff>
      <xdr:row>110</xdr:row>
      <xdr:rowOff>67628</xdr:rowOff>
    </xdr:to>
    <xdr:graphicFrame macro="">
      <xdr:nvGraphicFramePr>
        <xdr:cNvPr id="4" name="Chart 3">
          <a:extLst>
            <a:ext uri="{FF2B5EF4-FFF2-40B4-BE49-F238E27FC236}">
              <a16:creationId xmlns:a16="http://schemas.microsoft.com/office/drawing/2014/main" id="{EC149050-1161-42D2-A2C4-FE085D80A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83</xdr:col>
      <xdr:colOff>1732360</xdr:colOff>
      <xdr:row>87</xdr:row>
      <xdr:rowOff>172163</xdr:rowOff>
    </xdr:from>
    <xdr:to>
      <xdr:col>88</xdr:col>
      <xdr:colOff>615315</xdr:colOff>
      <xdr:row>110</xdr:row>
      <xdr:rowOff>67628</xdr:rowOff>
    </xdr:to>
    <xdr:graphicFrame macro="">
      <xdr:nvGraphicFramePr>
        <xdr:cNvPr id="5" name="Chart 4">
          <a:extLst>
            <a:ext uri="{FF2B5EF4-FFF2-40B4-BE49-F238E27FC236}">
              <a16:creationId xmlns:a16="http://schemas.microsoft.com/office/drawing/2014/main" id="{110DF390-4964-455A-8883-551361F03E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91</xdr:col>
      <xdr:colOff>1732360</xdr:colOff>
      <xdr:row>87</xdr:row>
      <xdr:rowOff>172163</xdr:rowOff>
    </xdr:from>
    <xdr:to>
      <xdr:col>96</xdr:col>
      <xdr:colOff>615315</xdr:colOff>
      <xdr:row>110</xdr:row>
      <xdr:rowOff>67628</xdr:rowOff>
    </xdr:to>
    <xdr:graphicFrame macro="">
      <xdr:nvGraphicFramePr>
        <xdr:cNvPr id="6" name="Chart 5">
          <a:extLst>
            <a:ext uri="{FF2B5EF4-FFF2-40B4-BE49-F238E27FC236}">
              <a16:creationId xmlns:a16="http://schemas.microsoft.com/office/drawing/2014/main" id="{1DEAA83C-B83D-47CA-BED5-F0704C20A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99</xdr:col>
      <xdr:colOff>1732360</xdr:colOff>
      <xdr:row>87</xdr:row>
      <xdr:rowOff>172163</xdr:rowOff>
    </xdr:from>
    <xdr:to>
      <xdr:col>104</xdr:col>
      <xdr:colOff>615315</xdr:colOff>
      <xdr:row>110</xdr:row>
      <xdr:rowOff>67628</xdr:rowOff>
    </xdr:to>
    <xdr:graphicFrame macro="">
      <xdr:nvGraphicFramePr>
        <xdr:cNvPr id="7" name="Chart 6">
          <a:extLst>
            <a:ext uri="{FF2B5EF4-FFF2-40B4-BE49-F238E27FC236}">
              <a16:creationId xmlns:a16="http://schemas.microsoft.com/office/drawing/2014/main" id="{33C4B2B1-0B87-40C0-BD9E-67E7D01D7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Bruce Harley" id="{B4B08B39-E9D0-4ED7-B7C3-1EE2DF0566D5}" userId="Bruce Harley"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D05EE9-394D-4D35-A165-F7120B52B9D6}" name="T_ECM" displayName="T_ECM" ref="A2:Y12" headerRowDxfId="99" dataDxfId="98" tableBorderDxfId="97" headerRowCellStyle="Normal 2 2 2 2">
  <autoFilter ref="A2:Y12" xr:uid="{DE2C961C-F21D-4413-B095-3A716459B143}"/>
  <tableColumns count="25">
    <tableColumn id="1" xr3:uid="{B4ED3FFC-515E-4F65-8DFB-5E06A600D643}" name="Measure Name*" totalsRowLabel="Total" dataDxfId="96" totalsRowDxfId="95" dataCellStyle="Normal 2 2 2 2"/>
    <tableColumn id="2" xr3:uid="{FD1ABC57-0169-4B26-A859-97942401EB37}" name="Quantity*" dataDxfId="94" totalsRowDxfId="93" dataCellStyle="Normal 2 2 2 2"/>
    <tableColumn id="4" xr3:uid="{3318B6B2-CAEA-408C-9957-E312F7A0A8FF}" name="Square Feet*" dataDxfId="92" totalsRowDxfId="91"/>
    <tableColumn id="5" xr3:uid="{B032ADD9-86A2-4DE2-B791-24A6B4598658}" name="Baseline Window Type*" dataDxfId="90" totalsRowDxfId="89"/>
    <tableColumn id="7" xr3:uid="{005FFE3D-1AF1-418C-88D1-3C3F197A7E68}" name="Baseline U-value" dataDxfId="88" totalsRowDxfId="87"/>
    <tableColumn id="8" xr3:uid="{DEC50498-5385-4B7D-85B4-C492A3267196}" name="Proposed U-Value*" dataDxfId="86" totalsRowDxfId="85"/>
    <tableColumn id="18" xr3:uid="{AB6142C7-98FD-4DE8-80F2-BCC2C6EA622F}" name="Effective Baseline U-value" dataDxfId="84" totalsRowDxfId="83">
      <calculatedColumnFormula>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calculatedColumnFormula>
    </tableColumn>
    <tableColumn id="17" xr3:uid="{D46BDF93-711D-4475-94B9-D160371574A6}" name="Effective Proposed U-value" dataDxfId="82" totalsRowDxfId="81">
      <calculatedColumnFormula>IFERROR(IF(OR(ISBLANK(T_ECM[[#This Row],[Quantity*]]),T_ECM[[#This Row],[Measure Name*]]=Picklists!$A$5,T_ECM[[#This Row],[Measure Name*]]=Picklists!$A$6),"",IF(ISBLANK(T_ECM[[#This Row],[Proposed U-Value*]]),0,MIN(T_ECM[[#This Row],[Proposed U-Value*]],VLOOKUP(Inputs!$C$8,T_MinUvalues[],3,FALSE)))),"")</calculatedColumnFormula>
    </tableColumn>
    <tableColumn id="9" xr3:uid="{74CCD0F8-E500-4FF9-B348-B71281CC2AA4}" name="Baseline Insulation Style*" dataDxfId="80" totalsRowDxfId="79"/>
    <tableColumn id="10" xr3:uid="{1552A7ED-6466-4309-814A-393759B2C9BB}" name="Proposed Insulation Style*" dataDxfId="78" totalsRowDxfId="77"/>
    <tableColumn id="11" xr3:uid="{994F01ED-06B5-4893-A929-4E84E6363F83}" name="Baseline R- Value*" dataDxfId="76" totalsRowDxfId="75"/>
    <tableColumn id="12" xr3:uid="{7CB7D677-24EB-4400-9BCB-F9FD3C5D5783}" name="Proposed R- Value*" dataDxfId="74" totalsRowDxfId="73"/>
    <tableColumn id="98" xr3:uid="{A6DD639E-2D03-4BB9-B228-99AE010C4A5E}" name="Effective Baseline R- Value" dataDxfId="72" totalsRowDxfId="71">
      <calculatedColumnFormula array="1">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calculatedColumnFormula>
    </tableColumn>
    <tableColumn id="97" xr3:uid="{2382D04E-6F52-4179-A3E0-8ED855D809A6}" name="Effective Proposed R- Value" dataDxfId="70" totalsRowDxfId="69">
      <calculatedColumnFormula array="1">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calculatedColumnFormula>
    </tableColumn>
    <tableColumn id="13" xr3:uid="{9A16DAB6-463C-422A-A3B7-88FF491B9DEB}" name="Baseline Air Leakage Rate (in CFM/SQFT)" dataDxfId="68" totalsRowDxfId="67"/>
    <tableColumn id="14" xr3:uid="{C03FDE51-344D-4A42-B098-84ACAF45D61A}" name="Proposed Air Leakage Rate (in CFM/SQFT)*" dataDxfId="66" totalsRowDxfId="65"/>
    <tableColumn id="99" xr3:uid="{E24471B5-0BD5-47BC-8FC9-CBEAFAA19689}" name="∆ BHL" totalsRowFunction="sum" dataDxfId="64" totalsRowDxfId="63" totalsRowCellStyle="Comma">
      <calculatedColumnFormula array="1">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calculatedColumnFormula>
    </tableColumn>
    <tableColumn id="100" xr3:uid="{B345E150-F645-4C23-95A8-7475CA5C251E}" name="∆ BCL" totalsRowFunction="sum" dataDxfId="62" totalsRowDxfId="61" totalsRowCellStyle="Comma">
      <calculatedColumnFormula array="1">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calculatedColumnFormula>
    </tableColumn>
    <tableColumn id="101" xr3:uid="{19208E62-A7F9-41C2-A8E1-A301A4E35384}" name="Cooling Savings kWh" totalsRowFunction="sum" dataDxfId="60" totalsRowDxfId="59" totalsRowCellStyle="Comma">
      <calculatedColumnFormula>IFERROR(IF(T_ECM[[#This Row],[Proposed U-Value*]]&gt;T_ECM[[#This Row],[Effective Proposed U-value]],0,'Envelope Calcs'!$AN$36*T_ECM[[#This Row],[∆ BCL]]/$R$13),0)</calculatedColumnFormula>
    </tableColumn>
    <tableColumn id="19" xr3:uid="{94301F61-C4C4-4178-B6DC-E4B3818B6305}" name="Cooling Savings kW" dataDxfId="58" totalsRowDxfId="57" totalsRowCellStyle="Comma">
      <calculatedColumnFormula>IFERROR(IF(T_ECM[[#This Row],[Proposed U-Value*]]&gt;T_ECM[[#This Row],[Effective Proposed U-value]],0,'Envelope Calcs'!$AP$36*T_ECM[[#This Row],[∆ BCL]]/$R$13),0)</calculatedColumnFormula>
    </tableColumn>
    <tableColumn id="102" xr3:uid="{CBFF5CB6-9FB0-45F0-B8B2-27626AD5C995}" name="Heating Savings MMBTU" totalsRowFunction="sum" dataDxfId="56" totalsRowDxfId="55" totalsRowCellStyle="Comma">
      <calculatedColumnFormula>IFERROR(IF(T_ECM[[#This Row],[Proposed U-Value*]]&gt;T_ECM[[#This Row],[Effective Proposed U-value]],0,'Envelope Calcs'!$AQ$36*0.1*T_ECM[[#This Row],[∆ BHL]]/$Q$13),0)</calculatedColumnFormula>
    </tableColumn>
    <tableColumn id="3" xr3:uid="{F81DE801-0B1E-4831-80BD-EDEB2124B8E5}" name="Backend Insulation" dataDxfId="54" totalsRowDxfId="53">
      <calculatedColumnFormula>IF(T_ECM[[#This Row],[Measure Name*]]=Picklists!$A$5,"WallIns",IF(T_ECM[[#This Row],[Measure Name*]]=Picklists!$A$6,"FloorIns",0))</calculatedColumnFormula>
    </tableColumn>
    <tableColumn id="6" xr3:uid="{E1C0F16D-3891-4013-BCD8-871EC97E0063}" name="Backend Window" dataDxfId="52" totalsRowDxfId="51">
      <calculatedColumnFormula>IF(OR(T_ECM[[#This Row],[Measure Name*]]=Picklists!$A$2,T_ECM[[#This Row],[Measure Name*]]=Picklists!$A$3),"WindowType",0)</calculatedColumnFormula>
    </tableColumn>
    <tableColumn id="15" xr3:uid="{8459B55F-A79E-43E9-933F-8F4574EC6D8D}" name="EUL" dataDxfId="50">
      <calculatedColumnFormula>IFERROR(VLOOKUP(T_ECM[[#This Row],[Measure Name*]],Picklists!$A$2:$B$6,2,FALSE),0)</calculatedColumnFormula>
    </tableColumn>
    <tableColumn id="16" xr3:uid="{3B142701-2406-490A-B015-872A7DB78708}" name="Measure Code" dataDxfId="49">
      <calculatedColumnFormula>IFERROR(VLOOKUP(T_ECM[[#This Row],[Measure Name*]],Picklists!$A$1:$C$8,3,FALSE),"")</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C7E9522-F52A-4609-9ACC-3D026EA7A11F}" name="T_Wall_Ins" displayName="T_Wall_Ins" ref="A10:C19" totalsRowShown="0" headerRowDxfId="35" dataDxfId="33" headerRowBorderDxfId="34" tableBorderDxfId="32" totalsRowBorderDxfId="31">
  <autoFilter ref="A10:C19" xr:uid="{0C7E9522-F52A-4609-9ACC-3D026EA7A11F}"/>
  <tableColumns count="3">
    <tableColumn id="1" xr3:uid="{38D36554-7893-43C2-BDE0-B8DBE8CFFC55}" name="WallIns" dataDxfId="30" dataCellStyle="Normal 2 2 2 2"/>
    <tableColumn id="2" xr3:uid="{47CE5556-0C09-4503-B9B8-3E647258C964}" name="Continuous" dataDxfId="29"/>
    <tableColumn id="3" xr3:uid="{4BDE7D4E-713E-462F-81BB-39A844FFA9B1}" name="Between Studs" dataDxfId="28"/>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20900F5-5244-44B6-8CAE-D9FAC4661002}" name="T_Floor_Ins" displayName="T_Floor_Ins" ref="A22:C44" totalsRowShown="0" headerRowDxfId="27" dataDxfId="25" headerRowBorderDxfId="26" tableBorderDxfId="24" totalsRowBorderDxfId="23">
  <autoFilter ref="A22:C44" xr:uid="{E20900F5-5244-44B6-8CAE-D9FAC4661002}"/>
  <tableColumns count="3">
    <tableColumn id="1" xr3:uid="{F88387D2-35FC-4FBE-A0B6-6E5E654033B8}" name="FloorIns" dataDxfId="22"/>
    <tableColumn id="2" xr3:uid="{1673A9D5-5BBC-4532-9EC6-8087B6EB3812}" name="Continuous" dataDxfId="21"/>
    <tableColumn id="3" xr3:uid="{5D140FEF-A777-48F0-8474-2351D49E9368}" name="Between Studs" dataDxfId="20"/>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BB51E9-65D6-4594-B0E9-6B8A0C40B546}" name="T_MinUvalues" displayName="T_MinUvalues" ref="A74:C86" totalsRowShown="0" headerRowDxfId="19">
  <autoFilter ref="A74:C86" xr:uid="{10BB51E9-65D6-4594-B0E9-6B8A0C40B546}"/>
  <tableColumns count="3">
    <tableColumn id="1" xr3:uid="{BE164855-EA23-4509-8F33-54C2F83BFE80}" name="Building Type" dataDxfId="18"/>
    <tableColumn id="2" xr3:uid="{693B408D-B23B-46FD-9F86-CEC70B985660}" name="Min Baseline U" dataDxfId="17"/>
    <tableColumn id="3" xr3:uid="{2D131E96-CBC5-42DF-A7FD-E3359D160E54}" name="Code U" dataDxfId="1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09A8289-D36A-4B74-A90D-74F4A5F87975}" name="Table_SF2" displayName="Table_SF2" ref="A90:K103" totalsRowShown="0" headerRowDxfId="15" dataDxfId="13" headerRowBorderDxfId="14" tableBorderDxfId="12" totalsRowBorderDxfId="11">
  <autoFilter ref="A90:K103" xr:uid="{409A8289-D36A-4B74-A90D-74F4A5F87975}"/>
  <tableColumns count="11">
    <tableColumn id="1" xr3:uid="{5D05596D-B0A6-4FDE-AB29-F4DFE250CCB9}" name="Sector" dataDxfId="10"/>
    <tableColumn id="2" xr3:uid="{A8A508F4-AB58-424A-90DB-8B1A3C9EC524}" name="2004-2007 Safety Factor - Electric" dataDxfId="9"/>
    <tableColumn id="3" xr3:uid="{1282937C-D077-42AD-BCAC-D3B6051165EC}" name="2004-2007 Safety Factor - Gas" dataDxfId="8"/>
    <tableColumn id="4" xr3:uid="{97533081-9C17-40B1-AD09-DF9E71AD2336}" name="2007-2010 Safety Factor - Electric" dataDxfId="7"/>
    <tableColumn id="5" xr3:uid="{2816A7F0-BA14-458A-B70F-8F29ACBCBB17}" name="2007-2010 Safety Factor - Gas" dataDxfId="6"/>
    <tableColumn id="6" xr3:uid="{D384EF25-2752-49CC-80D5-871C4EA8DF4C}" name="2010-2013 Safety Factor - Electric" dataDxfId="5"/>
    <tableColumn id="7" xr3:uid="{5D0381FE-306D-406A-BED8-4AE420949F40}" name="2010-2013 Safety Factor - Gas" dataDxfId="4"/>
    <tableColumn id="8" xr3:uid="{1611C833-CD77-4CAD-88C5-A1281A4A8F80}" name="2013-2016 Safety Factor - Electric" dataDxfId="3"/>
    <tableColumn id="9" xr3:uid="{AD02C0C3-0449-44F7-B42F-AC751A345435}" name="2013-2016 Safety Factor - Gas" dataDxfId="2"/>
    <tableColumn id="10" xr3:uid="{F9BD7B18-54A5-4E9F-87DB-BFB6824F8F07}" name="2017 Safety Factor - Electric" dataDxfId="1"/>
    <tableColumn id="11" xr3:uid="{1D57BFE4-E88C-48F8-BD56-0DE16D4FD4E2}" name="2017 Safety Factor - Gas" dataDxfId="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4" personId="{B4B08B39-E9D0-4ED7-B7C3-1EE2DF0566D5}" id="{B3B884AC-9427-4828-98B8-74F12F225186}">
    <text>ASHRAE 2017</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bin"/><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39DD-B834-4A2C-A9CE-36423C80FB23}">
  <sheetPr codeName="Sheet5"/>
  <dimension ref="A1:G71"/>
  <sheetViews>
    <sheetView zoomScaleNormal="100" workbookViewId="0">
      <selection activeCell="B6" sqref="B6"/>
    </sheetView>
  </sheetViews>
  <sheetFormatPr defaultColWidth="8.7109375" defaultRowHeight="14.25" x14ac:dyDescent="0.2"/>
  <cols>
    <col min="1" max="1" width="28.85546875" style="393" bestFit="1" customWidth="1"/>
    <col min="2" max="2" width="33.5703125" style="393" customWidth="1"/>
    <col min="3" max="3" width="20.5703125" style="395" customWidth="1"/>
    <col min="4" max="4" width="98.140625" style="3" customWidth="1"/>
    <col min="5" max="16384" width="8.7109375" style="3"/>
  </cols>
  <sheetData>
    <row r="1" spans="1:7" ht="15" thickBot="1" x14ac:dyDescent="0.25">
      <c r="C1" s="393"/>
      <c r="D1" s="520"/>
    </row>
    <row r="2" spans="1:7" ht="18.95" customHeight="1" x14ac:dyDescent="0.2">
      <c r="A2" s="810" t="s">
        <v>0</v>
      </c>
      <c r="B2" s="811"/>
      <c r="C2" s="811"/>
      <c r="D2" s="812"/>
    </row>
    <row r="3" spans="1:7" ht="16.5" thickBot="1" x14ac:dyDescent="0.25">
      <c r="A3" s="814" t="s">
        <v>1</v>
      </c>
      <c r="B3" s="814"/>
      <c r="C3" s="522"/>
      <c r="D3" s="520"/>
    </row>
    <row r="4" spans="1:7" ht="15" x14ac:dyDescent="0.2">
      <c r="A4" s="815" t="s">
        <v>2</v>
      </c>
      <c r="B4" s="816"/>
      <c r="C4" s="523"/>
      <c r="D4" s="516" t="s">
        <v>3</v>
      </c>
      <c r="G4" s="3" t="s">
        <v>4</v>
      </c>
    </row>
    <row r="5" spans="1:7" ht="15" hidden="1" x14ac:dyDescent="0.2">
      <c r="A5" s="499" t="s">
        <v>5</v>
      </c>
      <c r="B5" s="537"/>
      <c r="C5" s="502"/>
      <c r="D5" s="520"/>
    </row>
    <row r="6" spans="1:7" ht="43.5" thickBot="1" x14ac:dyDescent="0.25">
      <c r="C6" s="393"/>
      <c r="D6" s="530" t="s">
        <v>6</v>
      </c>
    </row>
    <row r="7" spans="1:7" ht="15" x14ac:dyDescent="0.2">
      <c r="A7" s="815" t="s">
        <v>7</v>
      </c>
      <c r="B7" s="816"/>
      <c r="C7" s="523"/>
      <c r="D7" s="520" t="s">
        <v>8</v>
      </c>
    </row>
    <row r="8" spans="1:7" ht="15" x14ac:dyDescent="0.2">
      <c r="A8" s="499" t="s">
        <v>9</v>
      </c>
      <c r="B8" s="554" t="s">
        <v>10</v>
      </c>
      <c r="C8" s="524"/>
      <c r="D8" s="520" t="s">
        <v>11</v>
      </c>
    </row>
    <row r="9" spans="1:7" ht="15" x14ac:dyDescent="0.2">
      <c r="A9" s="499" t="s">
        <v>12</v>
      </c>
      <c r="B9" s="555"/>
      <c r="C9" s="525"/>
      <c r="D9" s="520" t="s">
        <v>13</v>
      </c>
    </row>
    <row r="10" spans="1:7" ht="15" x14ac:dyDescent="0.2">
      <c r="A10" s="499" t="s">
        <v>14</v>
      </c>
      <c r="B10" s="556"/>
      <c r="C10" s="526"/>
      <c r="D10" s="520" t="s">
        <v>15</v>
      </c>
    </row>
    <row r="11" spans="1:7" ht="15" x14ac:dyDescent="0.2">
      <c r="A11" s="499" t="s">
        <v>16</v>
      </c>
      <c r="B11" s="556"/>
      <c r="C11" s="526"/>
    </row>
    <row r="12" spans="1:7" ht="28.5" x14ac:dyDescent="0.2">
      <c r="A12" s="499" t="s">
        <v>17</v>
      </c>
      <c r="B12" s="556"/>
      <c r="C12" s="526"/>
      <c r="D12" s="521" t="s">
        <v>18</v>
      </c>
    </row>
    <row r="13" spans="1:7" ht="15" x14ac:dyDescent="0.2">
      <c r="A13" s="499" t="s">
        <v>19</v>
      </c>
      <c r="B13" s="556"/>
      <c r="C13" s="526"/>
      <c r="D13" s="521"/>
    </row>
    <row r="14" spans="1:7" ht="15.75" thickBot="1" x14ac:dyDescent="0.25">
      <c r="A14" s="500" t="s">
        <v>20</v>
      </c>
      <c r="B14" s="557"/>
      <c r="C14" s="527"/>
      <c r="D14" s="531" t="s">
        <v>21</v>
      </c>
    </row>
    <row r="15" spans="1:7" ht="15.75" thickBot="1" x14ac:dyDescent="0.25">
      <c r="A15" s="501"/>
      <c r="C15" s="393"/>
      <c r="D15" s="3" t="s">
        <v>22</v>
      </c>
    </row>
    <row r="16" spans="1:7" ht="15" x14ac:dyDescent="0.2">
      <c r="A16" s="817" t="s">
        <v>23</v>
      </c>
      <c r="B16" s="818"/>
      <c r="C16" s="523"/>
      <c r="D16" s="498" t="s">
        <v>24</v>
      </c>
    </row>
    <row r="17" spans="1:4" ht="15" x14ac:dyDescent="0.2">
      <c r="A17" s="499" t="s">
        <v>25</v>
      </c>
      <c r="B17" s="555"/>
      <c r="C17" s="525"/>
      <c r="D17" s="521" t="s">
        <v>26</v>
      </c>
    </row>
    <row r="18" spans="1:4" ht="15" x14ac:dyDescent="0.2">
      <c r="A18" s="499" t="s">
        <v>27</v>
      </c>
      <c r="B18" s="555"/>
      <c r="C18" s="525"/>
    </row>
    <row r="19" spans="1:4" ht="15" x14ac:dyDescent="0.2">
      <c r="A19" s="499" t="s">
        <v>28</v>
      </c>
      <c r="B19" s="556"/>
      <c r="C19" s="526"/>
      <c r="D19" s="520" t="s">
        <v>29</v>
      </c>
    </row>
    <row r="20" spans="1:4" ht="15" x14ac:dyDescent="0.2">
      <c r="A20" s="499" t="s">
        <v>17</v>
      </c>
      <c r="B20" s="556"/>
      <c r="C20" s="526"/>
      <c r="D20" s="520"/>
    </row>
    <row r="21" spans="1:4" ht="15" x14ac:dyDescent="0.2">
      <c r="A21" s="499" t="s">
        <v>19</v>
      </c>
      <c r="B21" s="556"/>
      <c r="C21" s="526"/>
      <c r="D21" s="520" t="s">
        <v>30</v>
      </c>
    </row>
    <row r="22" spans="1:4" ht="15" x14ac:dyDescent="0.2">
      <c r="A22" s="499" t="s">
        <v>20</v>
      </c>
      <c r="B22" s="558"/>
      <c r="C22" s="527"/>
      <c r="D22" s="520" t="s">
        <v>31</v>
      </c>
    </row>
    <row r="23" spans="1:4" ht="15" x14ac:dyDescent="0.2">
      <c r="A23" s="499" t="s">
        <v>32</v>
      </c>
      <c r="B23" s="556"/>
      <c r="C23" s="526"/>
      <c r="D23" s="520" t="s">
        <v>33</v>
      </c>
    </row>
    <row r="24" spans="1:4" ht="29.25" thickBot="1" x14ac:dyDescent="0.25">
      <c r="A24" s="500" t="s">
        <v>34</v>
      </c>
      <c r="B24" s="559"/>
      <c r="C24" s="528"/>
      <c r="D24" s="521" t="s">
        <v>35</v>
      </c>
    </row>
    <row r="25" spans="1:4" ht="15.75" thickBot="1" x14ac:dyDescent="0.25">
      <c r="A25" s="501"/>
      <c r="B25" s="502"/>
      <c r="C25" s="502"/>
      <c r="D25" s="520"/>
    </row>
    <row r="26" spans="1:4" ht="15" customHeight="1" x14ac:dyDescent="0.2">
      <c r="A26" s="806" t="s">
        <v>36</v>
      </c>
      <c r="B26" s="807"/>
      <c r="C26" s="523"/>
      <c r="D26" s="813" t="s">
        <v>37</v>
      </c>
    </row>
    <row r="27" spans="1:4" ht="15" x14ac:dyDescent="0.2">
      <c r="A27" s="499" t="s">
        <v>38</v>
      </c>
      <c r="B27" s="560"/>
      <c r="C27" s="528"/>
      <c r="D27" s="813"/>
    </row>
    <row r="28" spans="1:4" ht="15" x14ac:dyDescent="0.2">
      <c r="A28" s="499" t="s">
        <v>39</v>
      </c>
      <c r="B28" s="560"/>
      <c r="C28" s="528"/>
      <c r="D28" s="813"/>
    </row>
    <row r="29" spans="1:4" ht="15" x14ac:dyDescent="0.2">
      <c r="A29" s="503" t="s">
        <v>40</v>
      </c>
      <c r="B29" s="560"/>
      <c r="C29" s="528"/>
      <c r="D29" s="813"/>
    </row>
    <row r="30" spans="1:4" ht="15" x14ac:dyDescent="0.2">
      <c r="A30" s="499" t="s">
        <v>14</v>
      </c>
      <c r="B30" s="560"/>
      <c r="C30" s="528"/>
      <c r="D30" s="813"/>
    </row>
    <row r="31" spans="1:4" ht="15" x14ac:dyDescent="0.2">
      <c r="A31" s="499" t="s">
        <v>16</v>
      </c>
      <c r="B31" s="560"/>
      <c r="C31" s="528"/>
      <c r="D31" s="813"/>
    </row>
    <row r="32" spans="1:4" ht="15" x14ac:dyDescent="0.2">
      <c r="A32" s="499" t="s">
        <v>32</v>
      </c>
      <c r="B32" s="560"/>
      <c r="C32" s="528"/>
      <c r="D32" s="813"/>
    </row>
    <row r="33" spans="1:4" ht="15.75" thickBot="1" x14ac:dyDescent="0.25">
      <c r="A33" s="500" t="s">
        <v>34</v>
      </c>
      <c r="B33" s="561"/>
      <c r="C33" s="528"/>
      <c r="D33" s="813"/>
    </row>
    <row r="34" spans="1:4" ht="15" thickBot="1" x14ac:dyDescent="0.25">
      <c r="C34" s="393"/>
      <c r="D34" s="520"/>
    </row>
    <row r="35" spans="1:4" ht="15" x14ac:dyDescent="0.2">
      <c r="A35" s="806" t="s">
        <v>41</v>
      </c>
      <c r="B35" s="807"/>
      <c r="C35" s="523"/>
      <c r="D35" s="520"/>
    </row>
    <row r="36" spans="1:4" x14ac:dyDescent="0.2">
      <c r="A36" s="808"/>
      <c r="B36" s="809"/>
      <c r="C36" s="529"/>
      <c r="D36" s="520"/>
    </row>
    <row r="37" spans="1:4" x14ac:dyDescent="0.2">
      <c r="A37" s="808"/>
      <c r="B37" s="809"/>
      <c r="C37" s="529"/>
      <c r="D37" s="520"/>
    </row>
    <row r="38" spans="1:4" x14ac:dyDescent="0.2">
      <c r="A38" s="808"/>
      <c r="B38" s="809"/>
      <c r="C38" s="529"/>
      <c r="D38" s="520"/>
    </row>
    <row r="39" spans="1:4" x14ac:dyDescent="0.2">
      <c r="A39" s="808"/>
      <c r="B39" s="809"/>
      <c r="C39" s="529"/>
      <c r="D39" s="520"/>
    </row>
    <row r="40" spans="1:4" x14ac:dyDescent="0.2">
      <c r="A40" s="808"/>
      <c r="B40" s="809"/>
      <c r="C40" s="529"/>
      <c r="D40" s="520"/>
    </row>
    <row r="41" spans="1:4" x14ac:dyDescent="0.2">
      <c r="A41" s="808"/>
      <c r="B41" s="809"/>
      <c r="C41" s="529"/>
      <c r="D41" s="520"/>
    </row>
    <row r="42" spans="1:4" x14ac:dyDescent="0.2">
      <c r="A42" s="808"/>
      <c r="B42" s="809"/>
      <c r="C42" s="529"/>
      <c r="D42" s="520"/>
    </row>
    <row r="43" spans="1:4" x14ac:dyDescent="0.2">
      <c r="A43" s="808"/>
      <c r="B43" s="809"/>
      <c r="C43" s="529"/>
      <c r="D43" s="520"/>
    </row>
    <row r="44" spans="1:4" x14ac:dyDescent="0.2">
      <c r="A44" s="808"/>
      <c r="B44" s="809"/>
      <c r="C44" s="529"/>
      <c r="D44" s="520"/>
    </row>
    <row r="45" spans="1:4" x14ac:dyDescent="0.2">
      <c r="A45" s="808"/>
      <c r="B45" s="809"/>
      <c r="C45" s="529"/>
      <c r="D45" s="520"/>
    </row>
    <row r="46" spans="1:4" x14ac:dyDescent="0.2">
      <c r="A46" s="808"/>
      <c r="B46" s="809"/>
      <c r="C46" s="529"/>
      <c r="D46" s="520"/>
    </row>
    <row r="47" spans="1:4" x14ac:dyDescent="0.2">
      <c r="A47" s="808"/>
      <c r="B47" s="809"/>
      <c r="C47" s="529"/>
      <c r="D47" s="520"/>
    </row>
    <row r="48" spans="1:4" x14ac:dyDescent="0.2">
      <c r="A48" s="808"/>
      <c r="B48" s="809"/>
      <c r="C48" s="529"/>
      <c r="D48" s="520"/>
    </row>
    <row r="49" spans="1:4" x14ac:dyDescent="0.2">
      <c r="A49" s="808"/>
      <c r="B49" s="809"/>
      <c r="C49" s="529"/>
      <c r="D49" s="520"/>
    </row>
    <row r="50" spans="1:4" x14ac:dyDescent="0.2">
      <c r="C50" s="393"/>
      <c r="D50" s="520"/>
    </row>
    <row r="51" spans="1:4" x14ac:dyDescent="0.2">
      <c r="C51" s="393"/>
      <c r="D51" s="520"/>
    </row>
    <row r="52" spans="1:4" ht="15" thickBot="1" x14ac:dyDescent="0.25">
      <c r="A52" s="504" t="s">
        <v>42</v>
      </c>
      <c r="C52" s="393"/>
      <c r="D52" s="520"/>
    </row>
    <row r="53" spans="1:4" x14ac:dyDescent="0.2">
      <c r="A53" s="505" t="s">
        <v>43</v>
      </c>
      <c r="B53" s="506"/>
      <c r="C53" s="393"/>
      <c r="D53" s="520"/>
    </row>
    <row r="54" spans="1:4" x14ac:dyDescent="0.2">
      <c r="A54" s="483" t="s">
        <v>44</v>
      </c>
      <c r="B54" s="507"/>
      <c r="C54" s="517"/>
      <c r="D54" s="520"/>
    </row>
    <row r="55" spans="1:4" x14ac:dyDescent="0.2">
      <c r="A55" s="483" t="s">
        <v>45</v>
      </c>
      <c r="B55" s="508"/>
      <c r="C55" s="518"/>
      <c r="D55" s="520"/>
    </row>
    <row r="56" spans="1:4" x14ac:dyDescent="0.2">
      <c r="A56" s="483" t="s">
        <v>46</v>
      </c>
      <c r="B56" s="509">
        <v>1.1000000000000001</v>
      </c>
      <c r="C56" s="519"/>
      <c r="D56" s="520"/>
    </row>
    <row r="57" spans="1:4" ht="15" thickBot="1" x14ac:dyDescent="0.25">
      <c r="A57" s="510" t="s">
        <v>47</v>
      </c>
      <c r="B57" s="511">
        <v>45113</v>
      </c>
      <c r="C57" s="518"/>
      <c r="D57" s="520"/>
    </row>
    <row r="58" spans="1:4" x14ac:dyDescent="0.2">
      <c r="A58" s="512" t="s">
        <v>46</v>
      </c>
      <c r="B58" s="512">
        <v>21</v>
      </c>
      <c r="C58" s="512"/>
      <c r="D58" s="520"/>
    </row>
    <row r="59" spans="1:4" x14ac:dyDescent="0.2">
      <c r="A59" s="513"/>
      <c r="B59" s="514"/>
      <c r="C59" s="514"/>
      <c r="D59" s="520"/>
    </row>
    <row r="60" spans="1:4" x14ac:dyDescent="0.2">
      <c r="A60" s="515"/>
      <c r="B60" s="515"/>
      <c r="C60" s="515"/>
      <c r="D60" s="520"/>
    </row>
    <row r="61" spans="1:4" x14ac:dyDescent="0.2">
      <c r="C61" s="393"/>
      <c r="D61" s="520"/>
    </row>
    <row r="62" spans="1:4" x14ac:dyDescent="0.2">
      <c r="C62" s="393"/>
      <c r="D62" s="520"/>
    </row>
    <row r="63" spans="1:4" x14ac:dyDescent="0.2">
      <c r="C63" s="393"/>
      <c r="D63" s="520"/>
    </row>
    <row r="64" spans="1:4" x14ac:dyDescent="0.2">
      <c r="C64" s="393"/>
      <c r="D64" s="520"/>
    </row>
    <row r="65" spans="3:4" x14ac:dyDescent="0.2">
      <c r="C65" s="393"/>
      <c r="D65" s="520"/>
    </row>
    <row r="66" spans="3:4" x14ac:dyDescent="0.2">
      <c r="C66" s="393"/>
      <c r="D66" s="520"/>
    </row>
    <row r="67" spans="3:4" x14ac:dyDescent="0.2">
      <c r="C67" s="393"/>
      <c r="D67" s="520"/>
    </row>
    <row r="68" spans="3:4" x14ac:dyDescent="0.2">
      <c r="C68" s="393"/>
      <c r="D68" s="520"/>
    </row>
    <row r="69" spans="3:4" x14ac:dyDescent="0.2">
      <c r="C69" s="393"/>
      <c r="D69" s="520"/>
    </row>
    <row r="70" spans="3:4" x14ac:dyDescent="0.2">
      <c r="C70" s="393"/>
      <c r="D70" s="520"/>
    </row>
    <row r="71" spans="3:4" x14ac:dyDescent="0.2">
      <c r="D71" s="520"/>
    </row>
  </sheetData>
  <sheetProtection algorithmName="SHA-512" hashValue="qSeVxbSIP9C9PHaqkB+0gES99tbWI6Rp7Bt78Li9+SK6E7idzXVb6VmhOfQOKCVKSDv/yA4X5ZS5Fw2ZaMrDiw==" saltValue="tAW3RgWBkWr4pOcg9E4oyQ==" spinCount="100000" sheet="1" objects="1" scenarios="1"/>
  <protectedRanges>
    <protectedRange sqref="B8:C8 B10:C14 B28:C33" name="Range1_1_2"/>
    <protectedRange sqref="B17:C24" name="Range1_1_2_1_1"/>
    <protectedRange sqref="B37:C49" name="Range1_1_1_1"/>
  </protectedRanges>
  <mergeCells count="22">
    <mergeCell ref="A2:D2"/>
    <mergeCell ref="A42:B42"/>
    <mergeCell ref="A43:B43"/>
    <mergeCell ref="A44:B44"/>
    <mergeCell ref="A45:B45"/>
    <mergeCell ref="A36:B36"/>
    <mergeCell ref="A37:B37"/>
    <mergeCell ref="A38:B38"/>
    <mergeCell ref="A39:B39"/>
    <mergeCell ref="A40:B40"/>
    <mergeCell ref="D26:D33"/>
    <mergeCell ref="A3:B3"/>
    <mergeCell ref="A35:B35"/>
    <mergeCell ref="A4:B4"/>
    <mergeCell ref="A7:B7"/>
    <mergeCell ref="A16:B16"/>
    <mergeCell ref="A26:B26"/>
    <mergeCell ref="A48:B48"/>
    <mergeCell ref="A49:B49"/>
    <mergeCell ref="A46:B46"/>
    <mergeCell ref="A47:B47"/>
    <mergeCell ref="A41:B41"/>
  </mergeCells>
  <conditionalFormatting sqref="B31:C31">
    <cfRule type="expression" dxfId="177" priority="9">
      <formula>AND(B27="Participating Contractor", B31="")</formula>
    </cfRule>
  </conditionalFormatting>
  <conditionalFormatting sqref="A3">
    <cfRule type="expression" dxfId="176" priority="8">
      <formula>OR(A3= "ERROR! PLEASE CORRECT ACCOUNT NO. TO FIRST 14 DIGITS ONLY - WITHOUT ANY DASHES/HYPHENS", A3= "ERROR! INCORRECT VERSION USED; PLEASE CORRECT",A3="Tool is outdated")</formula>
    </cfRule>
  </conditionalFormatting>
  <conditionalFormatting sqref="B28:C28">
    <cfRule type="expression" dxfId="175" priority="7">
      <formula>AND(B27="Participating Contractor", B28="")</formula>
    </cfRule>
  </conditionalFormatting>
  <conditionalFormatting sqref="B29:C29">
    <cfRule type="expression" dxfId="174" priority="6">
      <formula>AND(B27="Participating Contractor", B29="")</formula>
    </cfRule>
  </conditionalFormatting>
  <conditionalFormatting sqref="B30:C30">
    <cfRule type="expression" dxfId="173" priority="5">
      <formula>AND(B27="Participating Contractor", B30="")</formula>
    </cfRule>
  </conditionalFormatting>
  <conditionalFormatting sqref="B32:C32">
    <cfRule type="expression" dxfId="172" priority="4">
      <formula>AND(B27="Participating Contractor", B32="")</formula>
    </cfRule>
  </conditionalFormatting>
  <conditionalFormatting sqref="B33:C33">
    <cfRule type="expression" dxfId="171" priority="3">
      <formula>AND(B27="Participating Contractor", B33="")</formula>
    </cfRule>
  </conditionalFormatting>
  <conditionalFormatting sqref="B53:C53">
    <cfRule type="expression" dxfId="170" priority="2">
      <formula>AND(B9&gt;0,B53="")</formula>
    </cfRule>
  </conditionalFormatting>
  <conditionalFormatting sqref="B55:C55">
    <cfRule type="expression" dxfId="169" priority="1">
      <formula>AND(B9&gt;0,B55="")</formula>
    </cfRule>
  </conditionalFormatting>
  <conditionalFormatting sqref="B54:C54">
    <cfRule type="expression" dxfId="168" priority="10">
      <formula>AND(B9&gt;0,B53="")</formula>
    </cfRule>
  </conditionalFormatting>
  <dataValidations count="4">
    <dataValidation type="textLength" allowBlank="1" showInputMessage="1" showErrorMessage="1" errorTitle="Account Number" error="Please enter only the first 14 digits without any dashes/hyphens." sqref="B9:C9" xr:uid="{6E3C7F00-F99E-4516-B74B-EE90F97BFC24}">
      <formula1>14</formula1>
      <formula2>14</formula2>
    </dataValidation>
    <dataValidation type="custom" allowBlank="1" showInputMessage="1" showErrorMessage="1" sqref="B8:C8" xr:uid="{54331C8A-C3AE-4587-94EE-43D2E95296EA}">
      <formula1>AND(B496=1.2)</formula1>
    </dataValidation>
    <dataValidation type="date" allowBlank="1" showInputMessage="1" showErrorMessage="1" sqref="B27:C27" xr:uid="{40FC54A0-8EEB-40B4-A4A9-965D0D48791F}">
      <formula1>44378</formula1>
      <formula2>46569</formula2>
    </dataValidation>
    <dataValidation type="textLength" allowBlank="1" showInputMessage="1" showErrorMessage="1" sqref="B28:C33 B37:C49" xr:uid="{75AA8E15-9878-4BE2-8DE5-251C2A55EAD6}">
      <formula1>1</formula1>
      <formula2>40</formula2>
    </dataValidation>
  </dataValidations>
  <pageMargins left="0.7" right="0.7" top="0.75" bottom="0.75" header="0.3" footer="0.3"/>
  <pageSetup orientation="portrait" r:id="rId1"/>
  <headerFooter>
    <oddFooter>&amp;C_x000D_&amp;1#&amp;"Calibri"&amp;22&amp;K0073CF 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6AE47-4065-48B9-8C77-D9F7B34AC69A}">
  <sheetPr codeName="Sheet3"/>
  <dimension ref="A1:AN156"/>
  <sheetViews>
    <sheetView workbookViewId="0">
      <selection activeCell="D18" sqref="D18"/>
    </sheetView>
  </sheetViews>
  <sheetFormatPr defaultColWidth="9.140625" defaultRowHeight="12.75" x14ac:dyDescent="0.2"/>
  <cols>
    <col min="1" max="1" width="43" style="150" customWidth="1"/>
    <col min="2" max="2" width="12.7109375" style="150" customWidth="1"/>
    <col min="3" max="3" width="23.5703125" style="150" bestFit="1" customWidth="1"/>
    <col min="4" max="4" width="15.28515625" style="150" customWidth="1"/>
    <col min="5" max="5" width="13.5703125" style="150" customWidth="1"/>
    <col min="6" max="6" width="14.28515625" style="150" customWidth="1"/>
    <col min="7" max="7" width="15" style="150" customWidth="1"/>
    <col min="8" max="8" width="12.7109375" style="150" customWidth="1"/>
    <col min="9" max="9" width="14.42578125" style="150" customWidth="1"/>
    <col min="10" max="10" width="14.5703125" style="150" customWidth="1"/>
    <col min="11" max="11" width="14.28515625" style="150" customWidth="1"/>
    <col min="12" max="12" width="12" style="150" customWidth="1"/>
    <col min="13" max="13" width="11.28515625" style="150" customWidth="1"/>
    <col min="14" max="14" width="4.7109375" style="150" customWidth="1"/>
    <col min="15" max="15" width="8.5703125" style="150" customWidth="1"/>
    <col min="16" max="16" width="11.7109375" style="150" customWidth="1"/>
    <col min="17" max="17" width="7.7109375" style="150" customWidth="1"/>
    <col min="18" max="19" width="4.7109375" style="150" customWidth="1"/>
    <col min="20" max="20" width="11.7109375" style="150" customWidth="1"/>
    <col min="21" max="21" width="12.7109375" style="150" customWidth="1"/>
    <col min="22" max="22" width="16.85546875" style="150" customWidth="1"/>
    <col min="23" max="23" width="15.28515625" style="151" customWidth="1"/>
    <col min="24" max="24" width="13.5703125" style="151" customWidth="1"/>
    <col min="25" max="25" width="14.28515625" style="151" bestFit="1" customWidth="1"/>
    <col min="26" max="26" width="15" style="150" customWidth="1"/>
    <col min="27" max="27" width="12.7109375" style="150" bestFit="1" customWidth="1"/>
    <col min="28" max="28" width="14.42578125" style="151" customWidth="1"/>
    <col min="29" max="29" width="14.5703125" style="151" customWidth="1"/>
    <col min="30" max="30" width="14.28515625" style="151" bestFit="1" customWidth="1"/>
    <col min="31" max="31" width="12" style="150" customWidth="1"/>
    <col min="32" max="32" width="11.28515625" style="150" customWidth="1"/>
    <col min="33" max="33" width="9.28515625" style="150" customWidth="1"/>
    <col min="34" max="34" width="8.5703125" style="150" bestFit="1" customWidth="1"/>
    <col min="35" max="35" width="11.7109375" style="150" bestFit="1" customWidth="1"/>
    <col min="36" max="36" width="7.7109375" style="150" bestFit="1" customWidth="1"/>
    <col min="37" max="38" width="4.7109375" style="150" bestFit="1" customWidth="1"/>
    <col min="39" max="39" width="11.7109375" style="150" bestFit="1" customWidth="1"/>
    <col min="40" max="40" width="12.7109375" style="150" bestFit="1" customWidth="1"/>
    <col min="41" max="16384" width="9.140625" style="150"/>
  </cols>
  <sheetData>
    <row r="1" spans="1:40" ht="15.75" x14ac:dyDescent="0.25">
      <c r="A1" s="149" t="s">
        <v>642</v>
      </c>
      <c r="B1" s="149"/>
    </row>
    <row r="2" spans="1:40" ht="13.5" thickBot="1" x14ac:dyDescent="0.25">
      <c r="A2" s="152" t="s">
        <v>643</v>
      </c>
      <c r="B2" s="152"/>
    </row>
    <row r="3" spans="1:40" x14ac:dyDescent="0.2">
      <c r="A3" s="938" t="s">
        <v>404</v>
      </c>
      <c r="B3" s="153"/>
      <c r="C3" s="940" t="s">
        <v>644</v>
      </c>
      <c r="D3" s="942" t="s">
        <v>645</v>
      </c>
      <c r="E3" s="931"/>
      <c r="F3" s="931"/>
      <c r="G3" s="931"/>
      <c r="H3" s="932"/>
      <c r="I3" s="930" t="s">
        <v>646</v>
      </c>
      <c r="J3" s="931"/>
      <c r="K3" s="931"/>
      <c r="L3" s="931"/>
      <c r="M3" s="932"/>
      <c r="N3" s="933" t="s">
        <v>647</v>
      </c>
      <c r="O3" s="934"/>
      <c r="P3" s="934"/>
      <c r="Q3" s="934"/>
      <c r="R3" s="934"/>
      <c r="S3" s="934"/>
      <c r="T3" s="934"/>
      <c r="U3" s="935"/>
      <c r="W3" s="942" t="s">
        <v>648</v>
      </c>
      <c r="X3" s="931"/>
      <c r="Y3" s="931"/>
      <c r="Z3" s="931"/>
      <c r="AA3" s="932"/>
      <c r="AB3" s="930" t="s">
        <v>649</v>
      </c>
      <c r="AC3" s="931"/>
      <c r="AD3" s="931"/>
      <c r="AE3" s="931"/>
      <c r="AF3" s="932"/>
      <c r="AG3" s="933" t="s">
        <v>647</v>
      </c>
      <c r="AH3" s="934"/>
      <c r="AI3" s="934"/>
      <c r="AJ3" s="934"/>
      <c r="AK3" s="934"/>
      <c r="AL3" s="934"/>
      <c r="AM3" s="934"/>
      <c r="AN3" s="935"/>
    </row>
    <row r="4" spans="1:40" ht="13.5" thickBot="1" x14ac:dyDescent="0.25">
      <c r="A4" s="939"/>
      <c r="B4" s="154"/>
      <c r="C4" s="941"/>
      <c r="D4" s="155" t="s">
        <v>269</v>
      </c>
      <c r="E4" s="156" t="s">
        <v>650</v>
      </c>
      <c r="F4" s="156" t="s">
        <v>651</v>
      </c>
      <c r="G4" s="156" t="s">
        <v>652</v>
      </c>
      <c r="H4" s="157" t="s">
        <v>653</v>
      </c>
      <c r="I4" s="158" t="s">
        <v>269</v>
      </c>
      <c r="J4" s="156" t="s">
        <v>650</v>
      </c>
      <c r="K4" s="156" t="s">
        <v>651</v>
      </c>
      <c r="L4" s="156" t="s">
        <v>652</v>
      </c>
      <c r="M4" s="157" t="s">
        <v>653</v>
      </c>
      <c r="N4" s="159" t="s">
        <v>654</v>
      </c>
      <c r="O4" s="160" t="s">
        <v>655</v>
      </c>
      <c r="P4" s="160" t="s">
        <v>656</v>
      </c>
      <c r="Q4" s="160" t="s">
        <v>657</v>
      </c>
      <c r="R4" s="160" t="s">
        <v>658</v>
      </c>
      <c r="S4" s="160" t="s">
        <v>659</v>
      </c>
      <c r="T4" s="160" t="s">
        <v>652</v>
      </c>
      <c r="U4" s="161" t="s">
        <v>653</v>
      </c>
      <c r="W4" s="162" t="s">
        <v>269</v>
      </c>
      <c r="X4" s="163" t="s">
        <v>650</v>
      </c>
      <c r="Y4" s="163" t="s">
        <v>651</v>
      </c>
      <c r="Z4" s="156" t="s">
        <v>652</v>
      </c>
      <c r="AA4" s="157" t="s">
        <v>653</v>
      </c>
      <c r="AB4" s="164" t="s">
        <v>269</v>
      </c>
      <c r="AC4" s="163" t="s">
        <v>650</v>
      </c>
      <c r="AD4" s="163" t="s">
        <v>651</v>
      </c>
      <c r="AE4" s="156" t="s">
        <v>652</v>
      </c>
      <c r="AF4" s="157" t="s">
        <v>653</v>
      </c>
      <c r="AG4" s="159" t="s">
        <v>654</v>
      </c>
      <c r="AH4" s="160" t="s">
        <v>655</v>
      </c>
      <c r="AI4" s="160" t="s">
        <v>656</v>
      </c>
      <c r="AJ4" s="160" t="s">
        <v>657</v>
      </c>
      <c r="AK4" s="160" t="s">
        <v>658</v>
      </c>
      <c r="AL4" s="160" t="s">
        <v>659</v>
      </c>
      <c r="AM4" s="160" t="s">
        <v>652</v>
      </c>
      <c r="AN4" s="161" t="s">
        <v>653</v>
      </c>
    </row>
    <row r="5" spans="1:40" ht="15" x14ac:dyDescent="0.2">
      <c r="A5" s="165" t="s">
        <v>660</v>
      </c>
      <c r="B5" s="166" t="str">
        <f t="shared" ref="B5:B68" si="0">IFERROR(VLOOKUP(A5,A$144:B$155,2,FALSE),"")</f>
        <v/>
      </c>
      <c r="C5" s="167" t="s">
        <v>470</v>
      </c>
      <c r="D5" s="168">
        <v>3.2</v>
      </c>
      <c r="E5" s="169">
        <v>4.1000000000000005</v>
      </c>
      <c r="F5" s="170">
        <v>2.9</v>
      </c>
      <c r="G5" s="171" t="s">
        <v>10</v>
      </c>
      <c r="H5" s="171" t="s">
        <v>10</v>
      </c>
      <c r="I5" s="172">
        <v>2.97</v>
      </c>
      <c r="J5" s="173">
        <v>3.47</v>
      </c>
      <c r="K5" s="174">
        <v>2.86</v>
      </c>
      <c r="L5" s="169" t="s">
        <v>661</v>
      </c>
      <c r="M5" s="169" t="s">
        <v>661</v>
      </c>
      <c r="N5" s="175">
        <v>0.08</v>
      </c>
      <c r="O5" s="176">
        <v>0.16</v>
      </c>
      <c r="P5" s="177">
        <v>0.28000000000000003</v>
      </c>
      <c r="Q5" s="177">
        <v>0.23</v>
      </c>
      <c r="R5" s="177">
        <v>0.12</v>
      </c>
      <c r="S5" s="177">
        <v>0.12</v>
      </c>
      <c r="T5" s="178" t="s">
        <v>661</v>
      </c>
      <c r="U5" s="179" t="s">
        <v>661</v>
      </c>
      <c r="W5" s="180">
        <f>+W6*1.1</f>
        <v>8.6394000000000002</v>
      </c>
      <c r="X5" s="180">
        <f>+X6*1.1</f>
        <v>1.5708</v>
      </c>
      <c r="Y5" s="180">
        <f>+Y6*1.1</f>
        <v>3.2538</v>
      </c>
      <c r="Z5" s="171" t="s">
        <v>10</v>
      </c>
      <c r="AA5" s="181" t="s">
        <v>10</v>
      </c>
      <c r="AB5" s="180">
        <f>+AB6*1.1</f>
        <v>3.90456</v>
      </c>
      <c r="AC5" s="180">
        <f>+AC6*1.1</f>
        <v>4.8694800000000003</v>
      </c>
      <c r="AD5" s="180">
        <f>+AD6*1.1</f>
        <v>3.20892</v>
      </c>
      <c r="AE5" s="169" t="s">
        <v>661</v>
      </c>
      <c r="AF5" s="169" t="s">
        <v>661</v>
      </c>
      <c r="AG5" s="175">
        <v>0.08</v>
      </c>
      <c r="AH5" s="176">
        <v>0.16</v>
      </c>
      <c r="AI5" s="177">
        <v>0.28000000000000003</v>
      </c>
      <c r="AJ5" s="177">
        <v>0.23</v>
      </c>
      <c r="AK5" s="177">
        <v>0.12</v>
      </c>
      <c r="AL5" s="177">
        <v>0.12</v>
      </c>
      <c r="AM5" s="178" t="s">
        <v>661</v>
      </c>
      <c r="AN5" s="179" t="s">
        <v>661</v>
      </c>
    </row>
    <row r="6" spans="1:40" ht="15" x14ac:dyDescent="0.2">
      <c r="A6" s="182" t="str">
        <f>A5</f>
        <v>Asylum and Home</v>
      </c>
      <c r="B6" s="183" t="str">
        <f t="shared" si="0"/>
        <v/>
      </c>
      <c r="C6" s="184" t="s">
        <v>476</v>
      </c>
      <c r="D6" s="185">
        <v>7.7</v>
      </c>
      <c r="E6" s="186">
        <v>1.4</v>
      </c>
      <c r="F6" s="186">
        <v>2.9</v>
      </c>
      <c r="G6" s="187" t="s">
        <v>10</v>
      </c>
      <c r="H6" s="187" t="s">
        <v>10</v>
      </c>
      <c r="I6" s="188">
        <v>3.48</v>
      </c>
      <c r="J6" s="188">
        <v>4.34</v>
      </c>
      <c r="K6" s="188">
        <v>2.86</v>
      </c>
      <c r="L6" s="186" t="s">
        <v>661</v>
      </c>
      <c r="M6" s="186" t="s">
        <v>661</v>
      </c>
      <c r="N6" s="189">
        <v>6.6666666666666666E-2</v>
      </c>
      <c r="O6" s="190">
        <v>0.05</v>
      </c>
      <c r="P6" s="190">
        <v>0.06</v>
      </c>
      <c r="Q6" s="191">
        <v>0.23</v>
      </c>
      <c r="R6" s="191">
        <v>0.12</v>
      </c>
      <c r="S6" s="191">
        <v>0.12</v>
      </c>
      <c r="T6" s="192" t="s">
        <v>661</v>
      </c>
      <c r="U6" s="193" t="s">
        <v>661</v>
      </c>
      <c r="W6" s="194">
        <f t="shared" ref="W6:Y9" si="1">D6*1.02</f>
        <v>7.8540000000000001</v>
      </c>
      <c r="X6" s="195">
        <f t="shared" si="1"/>
        <v>1.4279999999999999</v>
      </c>
      <c r="Y6" s="195">
        <f t="shared" si="1"/>
        <v>2.9579999999999997</v>
      </c>
      <c r="Z6" s="187" t="s">
        <v>10</v>
      </c>
      <c r="AA6" s="196" t="s">
        <v>10</v>
      </c>
      <c r="AB6" s="197">
        <f t="shared" ref="AB6:AD8" si="2">I6*1.02</f>
        <v>3.5495999999999999</v>
      </c>
      <c r="AC6" s="198">
        <f t="shared" si="2"/>
        <v>4.4268000000000001</v>
      </c>
      <c r="AD6" s="198">
        <f t="shared" si="2"/>
        <v>2.9171999999999998</v>
      </c>
      <c r="AE6" s="186" t="s">
        <v>661</v>
      </c>
      <c r="AF6" s="186" t="s">
        <v>661</v>
      </c>
      <c r="AG6" s="189">
        <v>6.6666666666666666E-2</v>
      </c>
      <c r="AH6" s="190">
        <v>0.05</v>
      </c>
      <c r="AI6" s="190">
        <v>0.06</v>
      </c>
      <c r="AJ6" s="191">
        <v>0.23</v>
      </c>
      <c r="AK6" s="191">
        <v>0.12</v>
      </c>
      <c r="AL6" s="191">
        <v>0.12</v>
      </c>
      <c r="AM6" s="192" t="s">
        <v>661</v>
      </c>
      <c r="AN6" s="193" t="s">
        <v>661</v>
      </c>
    </row>
    <row r="7" spans="1:40" ht="15" x14ac:dyDescent="0.2">
      <c r="A7" s="182" t="str">
        <f>A6</f>
        <v>Asylum and Home</v>
      </c>
      <c r="B7" s="183" t="str">
        <f t="shared" si="0"/>
        <v/>
      </c>
      <c r="C7" s="184" t="s">
        <v>481</v>
      </c>
      <c r="D7" s="199">
        <v>5.45</v>
      </c>
      <c r="E7" s="170">
        <v>2.7500000000000004</v>
      </c>
      <c r="F7" s="170">
        <v>2.9</v>
      </c>
      <c r="G7" s="187" t="s">
        <v>10</v>
      </c>
      <c r="H7" s="187" t="s">
        <v>10</v>
      </c>
      <c r="I7" s="170">
        <v>3.2250000000000001</v>
      </c>
      <c r="J7" s="170">
        <v>3.9050000000000002</v>
      </c>
      <c r="K7" s="170">
        <v>2.86</v>
      </c>
      <c r="L7" s="186" t="s">
        <v>661</v>
      </c>
      <c r="M7" s="186" t="s">
        <v>661</v>
      </c>
      <c r="N7" s="189">
        <v>0.1</v>
      </c>
      <c r="O7" s="191">
        <v>0.10500000000000001</v>
      </c>
      <c r="P7" s="191">
        <v>0.28000000000000003</v>
      </c>
      <c r="Q7" s="191">
        <v>0.23</v>
      </c>
      <c r="R7" s="191">
        <v>0.12</v>
      </c>
      <c r="S7" s="191">
        <v>0.12</v>
      </c>
      <c r="T7" s="192" t="s">
        <v>661</v>
      </c>
      <c r="U7" s="193" t="s">
        <v>661</v>
      </c>
      <c r="W7" s="200">
        <f t="shared" si="1"/>
        <v>5.5590000000000002</v>
      </c>
      <c r="X7" s="201">
        <f t="shared" si="1"/>
        <v>2.8050000000000006</v>
      </c>
      <c r="Y7" s="201">
        <f t="shared" si="1"/>
        <v>2.9579999999999997</v>
      </c>
      <c r="Z7" s="187" t="s">
        <v>10</v>
      </c>
      <c r="AA7" s="196" t="s">
        <v>10</v>
      </c>
      <c r="AB7" s="202">
        <f t="shared" si="2"/>
        <v>3.2895000000000003</v>
      </c>
      <c r="AC7" s="201">
        <f t="shared" si="2"/>
        <v>3.9831000000000003</v>
      </c>
      <c r="AD7" s="201">
        <f t="shared" si="2"/>
        <v>2.9171999999999998</v>
      </c>
      <c r="AE7" s="186" t="s">
        <v>661</v>
      </c>
      <c r="AF7" s="186" t="s">
        <v>661</v>
      </c>
      <c r="AG7" s="189">
        <v>0.1</v>
      </c>
      <c r="AH7" s="191">
        <v>0.10500000000000001</v>
      </c>
      <c r="AI7" s="191">
        <v>0.28000000000000003</v>
      </c>
      <c r="AJ7" s="191">
        <v>0.23</v>
      </c>
      <c r="AK7" s="191">
        <v>0.12</v>
      </c>
      <c r="AL7" s="191">
        <v>0.12</v>
      </c>
      <c r="AM7" s="192" t="s">
        <v>661</v>
      </c>
      <c r="AN7" s="193" t="s">
        <v>661</v>
      </c>
    </row>
    <row r="8" spans="1:40" ht="15.75" thickBot="1" x14ac:dyDescent="0.25">
      <c r="A8" s="203" t="str">
        <f>A7</f>
        <v>Asylum and Home</v>
      </c>
      <c r="B8" s="204" t="str">
        <f t="shared" si="0"/>
        <v/>
      </c>
      <c r="C8" s="205" t="s">
        <v>486</v>
      </c>
      <c r="D8" s="206">
        <v>5.45</v>
      </c>
      <c r="E8" s="207">
        <v>2.7500000000000004</v>
      </c>
      <c r="F8" s="170">
        <v>2.9</v>
      </c>
      <c r="G8" s="208" t="s">
        <v>10</v>
      </c>
      <c r="H8" s="208" t="s">
        <v>10</v>
      </c>
      <c r="I8" s="209">
        <v>3.2250000000000001</v>
      </c>
      <c r="J8" s="209">
        <v>3.9050000000000002</v>
      </c>
      <c r="K8" s="209">
        <v>2.86</v>
      </c>
      <c r="L8" s="210" t="s">
        <v>661</v>
      </c>
      <c r="M8" s="210" t="s">
        <v>661</v>
      </c>
      <c r="N8" s="211">
        <v>0.02</v>
      </c>
      <c r="O8" s="212">
        <v>0.10500000000000001</v>
      </c>
      <c r="P8" s="212">
        <v>0.28000000000000003</v>
      </c>
      <c r="Q8" s="212">
        <v>0.23</v>
      </c>
      <c r="R8" s="212">
        <v>0.12</v>
      </c>
      <c r="S8" s="212">
        <v>0.12</v>
      </c>
      <c r="T8" s="213" t="s">
        <v>661</v>
      </c>
      <c r="U8" s="214" t="s">
        <v>661</v>
      </c>
      <c r="W8" s="215">
        <f t="shared" si="1"/>
        <v>5.5590000000000002</v>
      </c>
      <c r="X8" s="216">
        <f t="shared" si="1"/>
        <v>2.8050000000000006</v>
      </c>
      <c r="Y8" s="201">
        <f t="shared" si="1"/>
        <v>2.9579999999999997</v>
      </c>
      <c r="Z8" s="208" t="s">
        <v>10</v>
      </c>
      <c r="AA8" s="217" t="s">
        <v>10</v>
      </c>
      <c r="AB8" s="218">
        <f t="shared" si="2"/>
        <v>3.2895000000000003</v>
      </c>
      <c r="AC8" s="218">
        <f t="shared" si="2"/>
        <v>3.9831000000000003</v>
      </c>
      <c r="AD8" s="218">
        <f t="shared" si="2"/>
        <v>2.9171999999999998</v>
      </c>
      <c r="AE8" s="210" t="s">
        <v>661</v>
      </c>
      <c r="AF8" s="210" t="s">
        <v>661</v>
      </c>
      <c r="AG8" s="211">
        <v>0.02</v>
      </c>
      <c r="AH8" s="212">
        <v>0.10500000000000001</v>
      </c>
      <c r="AI8" s="212">
        <v>0.28000000000000003</v>
      </c>
      <c r="AJ8" s="212">
        <v>0.23</v>
      </c>
      <c r="AK8" s="212">
        <v>0.12</v>
      </c>
      <c r="AL8" s="212">
        <v>0.12</v>
      </c>
      <c r="AM8" s="213" t="s">
        <v>661</v>
      </c>
      <c r="AN8" s="214" t="s">
        <v>661</v>
      </c>
    </row>
    <row r="9" spans="1:40" ht="15" x14ac:dyDescent="0.2">
      <c r="A9" s="165" t="s">
        <v>662</v>
      </c>
      <c r="B9" s="166" t="str">
        <f t="shared" si="0"/>
        <v/>
      </c>
      <c r="C9" s="167" t="s">
        <v>470</v>
      </c>
      <c r="D9" s="219">
        <v>4.8</v>
      </c>
      <c r="E9" s="173">
        <v>1.3</v>
      </c>
      <c r="F9" s="174">
        <v>1.8</v>
      </c>
      <c r="G9" s="171" t="s">
        <v>10</v>
      </c>
      <c r="H9" s="171" t="s">
        <v>10</v>
      </c>
      <c r="I9" s="220">
        <v>2.36</v>
      </c>
      <c r="J9" s="169">
        <v>1.1200000000000001</v>
      </c>
      <c r="K9" s="174">
        <v>2.54</v>
      </c>
      <c r="L9" s="169" t="s">
        <v>661</v>
      </c>
      <c r="M9" s="169" t="s">
        <v>661</v>
      </c>
      <c r="N9" s="175">
        <v>0.11499999999999999</v>
      </c>
      <c r="O9" s="178">
        <v>0.12</v>
      </c>
      <c r="P9" s="177">
        <v>0.27500000000000002</v>
      </c>
      <c r="Q9" s="177">
        <v>0.23</v>
      </c>
      <c r="R9" s="177">
        <v>0.12</v>
      </c>
      <c r="S9" s="177">
        <v>0.12</v>
      </c>
      <c r="T9" s="178" t="s">
        <v>661</v>
      </c>
      <c r="U9" s="179" t="s">
        <v>661</v>
      </c>
      <c r="W9" s="221">
        <f t="shared" si="1"/>
        <v>4.8959999999999999</v>
      </c>
      <c r="X9" s="222">
        <f t="shared" si="1"/>
        <v>1.3260000000000001</v>
      </c>
      <c r="Y9" s="223">
        <f t="shared" si="1"/>
        <v>1.8360000000000001</v>
      </c>
      <c r="Z9" s="171" t="s">
        <v>10</v>
      </c>
      <c r="AA9" s="181" t="s">
        <v>10</v>
      </c>
      <c r="AB9" s="180">
        <f>+AB10*1.1</f>
        <v>1.7278800000000001</v>
      </c>
      <c r="AC9" s="180">
        <f>+AC10*1.1</f>
        <v>2.1318000000000001</v>
      </c>
      <c r="AD9" s="180">
        <f>+AD10*1.1</f>
        <v>2.8498800000000006</v>
      </c>
      <c r="AE9" s="169" t="s">
        <v>661</v>
      </c>
      <c r="AF9" s="169" t="s">
        <v>661</v>
      </c>
      <c r="AG9" s="175">
        <v>0.11499999999999999</v>
      </c>
      <c r="AH9" s="178">
        <v>0.12</v>
      </c>
      <c r="AI9" s="177">
        <v>0.27500000000000002</v>
      </c>
      <c r="AJ9" s="177">
        <v>0.23</v>
      </c>
      <c r="AK9" s="177">
        <v>0.12</v>
      </c>
      <c r="AL9" s="177">
        <v>0.12</v>
      </c>
      <c r="AM9" s="178" t="s">
        <v>661</v>
      </c>
      <c r="AN9" s="179" t="s">
        <v>661</v>
      </c>
    </row>
    <row r="10" spans="1:40" ht="15" x14ac:dyDescent="0.2">
      <c r="A10" s="182" t="str">
        <f>A9</f>
        <v>Condominium</v>
      </c>
      <c r="B10" s="183" t="str">
        <f t="shared" si="0"/>
        <v/>
      </c>
      <c r="C10" s="184" t="s">
        <v>476</v>
      </c>
      <c r="D10" s="224">
        <v>1.9</v>
      </c>
      <c r="E10" s="187">
        <v>1.1000000000000001</v>
      </c>
      <c r="F10" s="188">
        <v>1.8</v>
      </c>
      <c r="G10" s="187" t="s">
        <v>10</v>
      </c>
      <c r="H10" s="187" t="s">
        <v>10</v>
      </c>
      <c r="I10" s="225">
        <v>1.54</v>
      </c>
      <c r="J10" s="187">
        <v>1.9</v>
      </c>
      <c r="K10" s="186">
        <v>2.54</v>
      </c>
      <c r="L10" s="186" t="s">
        <v>661</v>
      </c>
      <c r="M10" s="186" t="s">
        <v>661</v>
      </c>
      <c r="N10" s="189">
        <v>0.11499999999999999</v>
      </c>
      <c r="O10" s="192">
        <v>0.2</v>
      </c>
      <c r="P10" s="226">
        <v>0.26</v>
      </c>
      <c r="Q10" s="191">
        <v>0.23</v>
      </c>
      <c r="R10" s="191">
        <v>0.12</v>
      </c>
      <c r="S10" s="190">
        <v>7.0000000000000007E-2</v>
      </c>
      <c r="T10" s="192" t="s">
        <v>661</v>
      </c>
      <c r="U10" s="193" t="s">
        <v>661</v>
      </c>
      <c r="W10" s="180">
        <f>+W11*1.1</f>
        <v>2.2440000000000002</v>
      </c>
      <c r="X10" s="180">
        <f>+X11*1.1</f>
        <v>1.2342000000000002</v>
      </c>
      <c r="Y10" s="180">
        <f>+Y11*1.1</f>
        <v>1.4586000000000001</v>
      </c>
      <c r="Z10" s="187" t="s">
        <v>10</v>
      </c>
      <c r="AA10" s="196" t="s">
        <v>10</v>
      </c>
      <c r="AB10" s="227">
        <f t="shared" ref="AB10:AD17" si="3">I10*1.02</f>
        <v>1.5708</v>
      </c>
      <c r="AC10" s="228">
        <f t="shared" si="3"/>
        <v>1.9379999999999999</v>
      </c>
      <c r="AD10" s="195">
        <f t="shared" si="3"/>
        <v>2.5908000000000002</v>
      </c>
      <c r="AE10" s="186" t="s">
        <v>661</v>
      </c>
      <c r="AF10" s="186" t="s">
        <v>661</v>
      </c>
      <c r="AG10" s="189">
        <v>0.11499999999999999</v>
      </c>
      <c r="AH10" s="192">
        <v>0.2</v>
      </c>
      <c r="AI10" s="226">
        <v>0.26</v>
      </c>
      <c r="AJ10" s="191">
        <v>0.23</v>
      </c>
      <c r="AK10" s="191">
        <v>0.12</v>
      </c>
      <c r="AL10" s="190">
        <v>7.0000000000000007E-2</v>
      </c>
      <c r="AM10" s="192" t="s">
        <v>661</v>
      </c>
      <c r="AN10" s="193" t="s">
        <v>661</v>
      </c>
    </row>
    <row r="11" spans="1:40" ht="15" x14ac:dyDescent="0.2">
      <c r="A11" s="182" t="str">
        <f>A10</f>
        <v>Condominium</v>
      </c>
      <c r="B11" s="183" t="str">
        <f t="shared" si="0"/>
        <v/>
      </c>
      <c r="C11" s="184" t="s">
        <v>481</v>
      </c>
      <c r="D11" s="224">
        <v>2</v>
      </c>
      <c r="E11" s="187">
        <v>1.1000000000000001</v>
      </c>
      <c r="F11" s="186">
        <v>1.3</v>
      </c>
      <c r="G11" s="187" t="s">
        <v>10</v>
      </c>
      <c r="H11" s="187" t="s">
        <v>10</v>
      </c>
      <c r="I11" s="225">
        <v>1.85</v>
      </c>
      <c r="J11" s="187">
        <v>1.58</v>
      </c>
      <c r="K11" s="188">
        <v>1.37</v>
      </c>
      <c r="L11" s="186" t="s">
        <v>661</v>
      </c>
      <c r="M11" s="186" t="s">
        <v>661</v>
      </c>
      <c r="N11" s="229">
        <v>0.11</v>
      </c>
      <c r="O11" s="192">
        <v>0.17</v>
      </c>
      <c r="P11" s="190">
        <v>0.28999999999999998</v>
      </c>
      <c r="Q11" s="190">
        <v>0.42</v>
      </c>
      <c r="R11" s="191">
        <v>0.12</v>
      </c>
      <c r="S11" s="191">
        <v>0.12</v>
      </c>
      <c r="T11" s="192" t="s">
        <v>661</v>
      </c>
      <c r="U11" s="193" t="s">
        <v>661</v>
      </c>
      <c r="W11" s="230">
        <f t="shared" ref="W11:Y17" si="4">D11*1.02</f>
        <v>2.04</v>
      </c>
      <c r="X11" s="228">
        <f t="shared" si="4"/>
        <v>1.1220000000000001</v>
      </c>
      <c r="Y11" s="195">
        <f t="shared" si="4"/>
        <v>1.3260000000000001</v>
      </c>
      <c r="Z11" s="187" t="s">
        <v>10</v>
      </c>
      <c r="AA11" s="196" t="s">
        <v>10</v>
      </c>
      <c r="AB11" s="227">
        <f t="shared" si="3"/>
        <v>1.8870000000000002</v>
      </c>
      <c r="AC11" s="228">
        <f t="shared" si="3"/>
        <v>1.6116000000000001</v>
      </c>
      <c r="AD11" s="198">
        <f t="shared" si="3"/>
        <v>1.3974000000000002</v>
      </c>
      <c r="AE11" s="186" t="s">
        <v>661</v>
      </c>
      <c r="AF11" s="186" t="s">
        <v>661</v>
      </c>
      <c r="AG11" s="229">
        <v>0.11</v>
      </c>
      <c r="AH11" s="192">
        <v>0.17</v>
      </c>
      <c r="AI11" s="190">
        <v>0.28999999999999998</v>
      </c>
      <c r="AJ11" s="190">
        <v>0.42</v>
      </c>
      <c r="AK11" s="191">
        <v>0.12</v>
      </c>
      <c r="AL11" s="191">
        <v>0.12</v>
      </c>
      <c r="AM11" s="192" t="s">
        <v>661</v>
      </c>
      <c r="AN11" s="193" t="s">
        <v>661</v>
      </c>
    </row>
    <row r="12" spans="1:40" ht="15.75" thickBot="1" x14ac:dyDescent="0.25">
      <c r="A12" s="203" t="str">
        <f>A11</f>
        <v>Condominium</v>
      </c>
      <c r="B12" s="204" t="str">
        <f t="shared" si="0"/>
        <v/>
      </c>
      <c r="C12" s="205" t="s">
        <v>486</v>
      </c>
      <c r="D12" s="231">
        <v>2.2999999999999998</v>
      </c>
      <c r="E12" s="208">
        <v>1.2</v>
      </c>
      <c r="F12" s="207">
        <v>1.3</v>
      </c>
      <c r="G12" s="208" t="s">
        <v>10</v>
      </c>
      <c r="H12" s="208" t="s">
        <v>10</v>
      </c>
      <c r="I12" s="232">
        <v>1.75</v>
      </c>
      <c r="J12" s="208">
        <v>1.28</v>
      </c>
      <c r="K12" s="207">
        <v>1.37</v>
      </c>
      <c r="L12" s="210" t="s">
        <v>661</v>
      </c>
      <c r="M12" s="210" t="s">
        <v>661</v>
      </c>
      <c r="N12" s="233">
        <v>0.12</v>
      </c>
      <c r="O12" s="213">
        <v>0.14000000000000001</v>
      </c>
      <c r="P12" s="212">
        <v>0.27500000000000002</v>
      </c>
      <c r="Q12" s="212">
        <v>0.23</v>
      </c>
      <c r="R12" s="212">
        <v>0.12</v>
      </c>
      <c r="S12" s="212">
        <v>0.12</v>
      </c>
      <c r="T12" s="213" t="s">
        <v>661</v>
      </c>
      <c r="U12" s="214" t="s">
        <v>661</v>
      </c>
      <c r="W12" s="234">
        <f t="shared" si="4"/>
        <v>2.3459999999999996</v>
      </c>
      <c r="X12" s="235">
        <f t="shared" si="4"/>
        <v>1.224</v>
      </c>
      <c r="Y12" s="216">
        <f t="shared" si="4"/>
        <v>1.3260000000000001</v>
      </c>
      <c r="Z12" s="208" t="s">
        <v>10</v>
      </c>
      <c r="AA12" s="217" t="s">
        <v>10</v>
      </c>
      <c r="AB12" s="236">
        <f t="shared" si="3"/>
        <v>1.7850000000000001</v>
      </c>
      <c r="AC12" s="235">
        <f t="shared" si="3"/>
        <v>1.3056000000000001</v>
      </c>
      <c r="AD12" s="216">
        <f t="shared" si="3"/>
        <v>1.3974000000000002</v>
      </c>
      <c r="AE12" s="210" t="s">
        <v>661</v>
      </c>
      <c r="AF12" s="210" t="s">
        <v>661</v>
      </c>
      <c r="AG12" s="233">
        <v>0.12</v>
      </c>
      <c r="AH12" s="213">
        <v>0.14000000000000001</v>
      </c>
      <c r="AI12" s="212">
        <v>0.27500000000000002</v>
      </c>
      <c r="AJ12" s="212">
        <v>0.23</v>
      </c>
      <c r="AK12" s="212">
        <v>0.12</v>
      </c>
      <c r="AL12" s="212">
        <v>0.12</v>
      </c>
      <c r="AM12" s="213" t="s">
        <v>661</v>
      </c>
      <c r="AN12" s="214" t="s">
        <v>661</v>
      </c>
    </row>
    <row r="13" spans="1:40" ht="15" x14ac:dyDescent="0.2">
      <c r="A13" s="150" t="s">
        <v>663</v>
      </c>
      <c r="B13" s="150" t="str">
        <f t="shared" si="0"/>
        <v/>
      </c>
      <c r="C13" s="167" t="s">
        <v>470</v>
      </c>
      <c r="D13" s="237">
        <v>0</v>
      </c>
      <c r="E13" s="171">
        <v>0</v>
      </c>
      <c r="F13" s="171">
        <v>0</v>
      </c>
      <c r="G13" s="174">
        <v>15.625</v>
      </c>
      <c r="H13" s="238">
        <v>3</v>
      </c>
      <c r="I13" s="239">
        <v>0</v>
      </c>
      <c r="J13" s="239">
        <v>0</v>
      </c>
      <c r="K13" s="239">
        <v>0</v>
      </c>
      <c r="L13" s="174">
        <v>25.52</v>
      </c>
      <c r="M13" s="240">
        <v>7.18</v>
      </c>
      <c r="N13" s="241"/>
      <c r="O13" s="242">
        <v>0.16767257018433956</v>
      </c>
      <c r="P13" s="178"/>
      <c r="Q13" s="177">
        <v>0.23</v>
      </c>
      <c r="R13" s="177">
        <v>0.12</v>
      </c>
      <c r="S13" s="177">
        <v>0.12</v>
      </c>
      <c r="T13" s="242">
        <v>0.08</v>
      </c>
      <c r="U13" s="179"/>
      <c r="W13" s="243">
        <f t="shared" si="4"/>
        <v>0</v>
      </c>
      <c r="X13" s="244">
        <f t="shared" si="4"/>
        <v>0</v>
      </c>
      <c r="Y13" s="244">
        <f t="shared" si="4"/>
        <v>0</v>
      </c>
      <c r="Z13" s="174">
        <v>15.625</v>
      </c>
      <c r="AA13" s="238">
        <v>3</v>
      </c>
      <c r="AB13" s="245">
        <f t="shared" si="3"/>
        <v>0</v>
      </c>
      <c r="AC13" s="245">
        <f t="shared" si="3"/>
        <v>0</v>
      </c>
      <c r="AD13" s="245">
        <f t="shared" si="3"/>
        <v>0</v>
      </c>
      <c r="AE13" s="174">
        <v>25.52</v>
      </c>
      <c r="AF13" s="240">
        <v>7.18</v>
      </c>
      <c r="AG13" s="241"/>
      <c r="AH13" s="242">
        <v>0.16767257018433956</v>
      </c>
      <c r="AI13" s="178"/>
      <c r="AJ13" s="177">
        <v>0.23</v>
      </c>
      <c r="AK13" s="177">
        <v>0.12</v>
      </c>
      <c r="AL13" s="177">
        <v>0.12</v>
      </c>
      <c r="AM13" s="242">
        <v>0.08</v>
      </c>
      <c r="AN13" s="179"/>
    </row>
    <row r="14" spans="1:40" ht="15" x14ac:dyDescent="0.2">
      <c r="A14" s="182" t="str">
        <f>A13</f>
        <v>Dry Cleaners</v>
      </c>
      <c r="B14" s="183" t="str">
        <f t="shared" si="0"/>
        <v/>
      </c>
      <c r="C14" s="184" t="s">
        <v>476</v>
      </c>
      <c r="D14" s="224">
        <v>0</v>
      </c>
      <c r="E14" s="187">
        <v>0</v>
      </c>
      <c r="F14" s="187">
        <v>0</v>
      </c>
      <c r="G14" s="186">
        <v>15.625</v>
      </c>
      <c r="H14" s="246">
        <v>3</v>
      </c>
      <c r="I14" s="225">
        <v>0</v>
      </c>
      <c r="J14" s="225">
        <v>0</v>
      </c>
      <c r="K14" s="225">
        <v>0</v>
      </c>
      <c r="L14" s="188">
        <v>25.52</v>
      </c>
      <c r="M14" s="246">
        <v>7.18</v>
      </c>
      <c r="N14" s="247"/>
      <c r="O14" s="192"/>
      <c r="P14" s="192"/>
      <c r="Q14" s="191">
        <v>0.23</v>
      </c>
      <c r="R14" s="191">
        <v>0.12</v>
      </c>
      <c r="S14" s="191">
        <v>0.12</v>
      </c>
      <c r="T14" s="226">
        <v>0.19</v>
      </c>
      <c r="U14" s="193"/>
      <c r="W14" s="230">
        <f t="shared" si="4"/>
        <v>0</v>
      </c>
      <c r="X14" s="228">
        <f t="shared" si="4"/>
        <v>0</v>
      </c>
      <c r="Y14" s="228">
        <f t="shared" si="4"/>
        <v>0</v>
      </c>
      <c r="Z14" s="186">
        <v>15.625</v>
      </c>
      <c r="AA14" s="246">
        <v>3</v>
      </c>
      <c r="AB14" s="227">
        <f t="shared" si="3"/>
        <v>0</v>
      </c>
      <c r="AC14" s="227">
        <f t="shared" si="3"/>
        <v>0</v>
      </c>
      <c r="AD14" s="227">
        <f t="shared" si="3"/>
        <v>0</v>
      </c>
      <c r="AE14" s="188">
        <v>25.52</v>
      </c>
      <c r="AF14" s="246">
        <v>7.18</v>
      </c>
      <c r="AG14" s="247"/>
      <c r="AH14" s="192"/>
      <c r="AI14" s="192"/>
      <c r="AJ14" s="191">
        <v>0.23</v>
      </c>
      <c r="AK14" s="191">
        <v>0.12</v>
      </c>
      <c r="AL14" s="191">
        <v>0.12</v>
      </c>
      <c r="AM14" s="226">
        <v>0.19</v>
      </c>
      <c r="AN14" s="193"/>
    </row>
    <row r="15" spans="1:40" ht="15" x14ac:dyDescent="0.2">
      <c r="A15" s="182" t="str">
        <f>A14</f>
        <v>Dry Cleaners</v>
      </c>
      <c r="B15" s="183" t="str">
        <f t="shared" si="0"/>
        <v/>
      </c>
      <c r="C15" s="184" t="s">
        <v>481</v>
      </c>
      <c r="D15" s="224">
        <v>0</v>
      </c>
      <c r="E15" s="187">
        <v>0</v>
      </c>
      <c r="F15" s="187">
        <v>0</v>
      </c>
      <c r="G15" s="188">
        <v>17.571428571428569</v>
      </c>
      <c r="H15" s="246">
        <v>3</v>
      </c>
      <c r="I15" s="225">
        <v>0</v>
      </c>
      <c r="J15" s="225">
        <v>0</v>
      </c>
      <c r="K15" s="225">
        <v>0</v>
      </c>
      <c r="L15" s="186">
        <v>11.57</v>
      </c>
      <c r="M15" s="246">
        <v>7.18</v>
      </c>
      <c r="N15" s="247"/>
      <c r="O15" s="192"/>
      <c r="P15" s="192"/>
      <c r="Q15" s="191">
        <v>0.23</v>
      </c>
      <c r="R15" s="191">
        <v>0.12</v>
      </c>
      <c r="S15" s="191">
        <v>0.12</v>
      </c>
      <c r="T15" s="192">
        <v>0.17</v>
      </c>
      <c r="U15" s="193"/>
      <c r="W15" s="230">
        <f t="shared" si="4"/>
        <v>0</v>
      </c>
      <c r="X15" s="228">
        <f t="shared" si="4"/>
        <v>0</v>
      </c>
      <c r="Y15" s="228">
        <f t="shared" si="4"/>
        <v>0</v>
      </c>
      <c r="Z15" s="188">
        <v>17.571428571428569</v>
      </c>
      <c r="AA15" s="246">
        <v>3</v>
      </c>
      <c r="AB15" s="227">
        <f t="shared" si="3"/>
        <v>0</v>
      </c>
      <c r="AC15" s="227">
        <f t="shared" si="3"/>
        <v>0</v>
      </c>
      <c r="AD15" s="227">
        <f t="shared" si="3"/>
        <v>0</v>
      </c>
      <c r="AE15" s="186">
        <v>11.57</v>
      </c>
      <c r="AF15" s="246">
        <v>7.18</v>
      </c>
      <c r="AG15" s="247"/>
      <c r="AH15" s="192"/>
      <c r="AI15" s="192"/>
      <c r="AJ15" s="191">
        <v>0.23</v>
      </c>
      <c r="AK15" s="191">
        <v>0.12</v>
      </c>
      <c r="AL15" s="191">
        <v>0.12</v>
      </c>
      <c r="AM15" s="192">
        <v>0.17</v>
      </c>
      <c r="AN15" s="193"/>
    </row>
    <row r="16" spans="1:40" ht="15.75" thickBot="1" x14ac:dyDescent="0.25">
      <c r="A16" s="203" t="str">
        <f>A15</f>
        <v>Dry Cleaners</v>
      </c>
      <c r="B16" s="204" t="str">
        <f t="shared" si="0"/>
        <v/>
      </c>
      <c r="C16" s="205" t="s">
        <v>486</v>
      </c>
      <c r="D16" s="231">
        <v>0</v>
      </c>
      <c r="E16" s="208">
        <v>0</v>
      </c>
      <c r="F16" s="208">
        <v>0</v>
      </c>
      <c r="G16" s="207">
        <v>17.571428571428569</v>
      </c>
      <c r="H16" s="248">
        <v>3</v>
      </c>
      <c r="I16" s="232">
        <v>0</v>
      </c>
      <c r="J16" s="232">
        <v>0</v>
      </c>
      <c r="K16" s="232">
        <v>0</v>
      </c>
      <c r="L16" s="207">
        <v>11.57</v>
      </c>
      <c r="M16" s="248">
        <v>7.18</v>
      </c>
      <c r="N16" s="249"/>
      <c r="O16" s="213"/>
      <c r="P16" s="213"/>
      <c r="Q16" s="212">
        <v>0.23</v>
      </c>
      <c r="R16" s="212">
        <v>0.12</v>
      </c>
      <c r="S16" s="212">
        <v>0.12</v>
      </c>
      <c r="T16" s="212">
        <v>0.1466666666666667</v>
      </c>
      <c r="U16" s="214"/>
      <c r="W16" s="234">
        <f t="shared" si="4"/>
        <v>0</v>
      </c>
      <c r="X16" s="235">
        <f t="shared" si="4"/>
        <v>0</v>
      </c>
      <c r="Y16" s="235">
        <f t="shared" si="4"/>
        <v>0</v>
      </c>
      <c r="Z16" s="207">
        <v>17.571428571428569</v>
      </c>
      <c r="AA16" s="248">
        <v>3</v>
      </c>
      <c r="AB16" s="236">
        <f t="shared" si="3"/>
        <v>0</v>
      </c>
      <c r="AC16" s="236">
        <f t="shared" si="3"/>
        <v>0</v>
      </c>
      <c r="AD16" s="236">
        <f t="shared" si="3"/>
        <v>0</v>
      </c>
      <c r="AE16" s="207">
        <v>11.57</v>
      </c>
      <c r="AF16" s="248">
        <v>7.18</v>
      </c>
      <c r="AG16" s="249"/>
      <c r="AH16" s="213"/>
      <c r="AI16" s="213"/>
      <c r="AJ16" s="212">
        <v>0.23</v>
      </c>
      <c r="AK16" s="212">
        <v>0.12</v>
      </c>
      <c r="AL16" s="212">
        <v>0.12</v>
      </c>
      <c r="AM16" s="212">
        <v>0.1466666666666667</v>
      </c>
      <c r="AN16" s="214"/>
    </row>
    <row r="17" spans="1:40" ht="15" x14ac:dyDescent="0.2">
      <c r="A17" s="150" t="s">
        <v>664</v>
      </c>
      <c r="B17" s="150" t="str">
        <f t="shared" si="0"/>
        <v>School</v>
      </c>
      <c r="C17" s="167" t="s">
        <v>470</v>
      </c>
      <c r="D17" s="237">
        <v>3.9719801302670965</v>
      </c>
      <c r="E17" s="171">
        <v>1.9020680933990664</v>
      </c>
      <c r="F17" s="174">
        <v>2.2524415301552674</v>
      </c>
      <c r="G17" s="171" t="s">
        <v>10</v>
      </c>
      <c r="H17" s="181" t="s">
        <v>10</v>
      </c>
      <c r="I17" s="171">
        <v>3.16</v>
      </c>
      <c r="J17" s="171">
        <v>1.3</v>
      </c>
      <c r="K17" s="174">
        <v>2.0333333333333332</v>
      </c>
      <c r="L17" s="239" t="s">
        <v>661</v>
      </c>
      <c r="M17" s="239" t="s">
        <v>661</v>
      </c>
      <c r="N17" s="250">
        <v>0.05</v>
      </c>
      <c r="O17" s="178">
        <v>0.12</v>
      </c>
      <c r="P17" s="177">
        <v>0.23333333333333331</v>
      </c>
      <c r="Q17" s="177">
        <v>0.23</v>
      </c>
      <c r="R17" s="177">
        <v>0.12</v>
      </c>
      <c r="S17" s="177">
        <v>0.12</v>
      </c>
      <c r="T17" s="178"/>
      <c r="U17" s="179"/>
      <c r="W17" s="243">
        <f t="shared" si="4"/>
        <v>4.0514197328724384</v>
      </c>
      <c r="X17" s="244">
        <f t="shared" si="4"/>
        <v>1.9401094552670477</v>
      </c>
      <c r="Y17" s="223">
        <f t="shared" si="4"/>
        <v>2.2974903607583728</v>
      </c>
      <c r="Z17" s="171" t="s">
        <v>10</v>
      </c>
      <c r="AA17" s="181" t="s">
        <v>10</v>
      </c>
      <c r="AB17" s="245">
        <f t="shared" si="3"/>
        <v>3.2232000000000003</v>
      </c>
      <c r="AC17" s="244">
        <f t="shared" si="3"/>
        <v>1.3260000000000001</v>
      </c>
      <c r="AD17" s="223">
        <f t="shared" si="3"/>
        <v>2.0739999999999998</v>
      </c>
      <c r="AE17" s="239" t="s">
        <v>661</v>
      </c>
      <c r="AF17" s="239" t="s">
        <v>661</v>
      </c>
      <c r="AG17" s="250">
        <v>0.05</v>
      </c>
      <c r="AH17" s="178">
        <v>0.12</v>
      </c>
      <c r="AI17" s="177">
        <v>0.23333333333333331</v>
      </c>
      <c r="AJ17" s="177">
        <v>0.23</v>
      </c>
      <c r="AK17" s="177">
        <v>0.12</v>
      </c>
      <c r="AL17" s="177">
        <v>0.12</v>
      </c>
      <c r="AM17" s="178"/>
      <c r="AN17" s="179"/>
    </row>
    <row r="18" spans="1:40" ht="15" x14ac:dyDescent="0.2">
      <c r="A18" s="182" t="str">
        <f>A17</f>
        <v>Educational Facility</v>
      </c>
      <c r="B18" s="183" t="str">
        <f t="shared" si="0"/>
        <v>School</v>
      </c>
      <c r="C18" s="184" t="s">
        <v>476</v>
      </c>
      <c r="D18" s="224">
        <v>3.1035334784143913</v>
      </c>
      <c r="E18" s="187">
        <v>1.25754204641638</v>
      </c>
      <c r="F18" s="187">
        <v>3.2784928276227161</v>
      </c>
      <c r="G18" s="187" t="s">
        <v>10</v>
      </c>
      <c r="H18" s="196" t="s">
        <v>10</v>
      </c>
      <c r="I18" s="187">
        <v>1.73</v>
      </c>
      <c r="J18" s="187">
        <v>2.96</v>
      </c>
      <c r="K18" s="187">
        <v>3.28</v>
      </c>
      <c r="L18" s="225" t="s">
        <v>661</v>
      </c>
      <c r="M18" s="225" t="s">
        <v>661</v>
      </c>
      <c r="N18" s="251">
        <v>0.09</v>
      </c>
      <c r="O18" s="192">
        <v>0.09</v>
      </c>
      <c r="P18" s="192">
        <v>0.23</v>
      </c>
      <c r="Q18" s="191">
        <v>0.23</v>
      </c>
      <c r="R18" s="191">
        <v>0.12</v>
      </c>
      <c r="S18" s="191">
        <v>0.12</v>
      </c>
      <c r="T18" s="192"/>
      <c r="U18" s="193"/>
      <c r="W18" s="180">
        <f>+W19*1.1</f>
        <v>3.8879127753188478</v>
      </c>
      <c r="X18" s="180">
        <f>+X19*1.1</f>
        <v>1.4861923604401803</v>
      </c>
      <c r="Y18" s="180">
        <f>+Y19*1.1</f>
        <v>1.4024232136398469</v>
      </c>
      <c r="Z18" s="187" t="s">
        <v>10</v>
      </c>
      <c r="AA18" s="196" t="s">
        <v>10</v>
      </c>
      <c r="AB18" s="180">
        <f>+AB19*1.1</f>
        <v>3.0518400000000008</v>
      </c>
      <c r="AC18" s="180">
        <f>+AC19*1.1</f>
        <v>1.35762</v>
      </c>
      <c r="AD18" s="180">
        <f>+AD19*1.1</f>
        <v>1.9074000000000002</v>
      </c>
      <c r="AE18" s="225" t="s">
        <v>661</v>
      </c>
      <c r="AF18" s="225" t="s">
        <v>661</v>
      </c>
      <c r="AG18" s="251">
        <v>0.09</v>
      </c>
      <c r="AH18" s="192">
        <v>0.09</v>
      </c>
      <c r="AI18" s="192">
        <v>0.23</v>
      </c>
      <c r="AJ18" s="191">
        <v>0.23</v>
      </c>
      <c r="AK18" s="191">
        <v>0.12</v>
      </c>
      <c r="AL18" s="191">
        <v>0.12</v>
      </c>
      <c r="AM18" s="192"/>
      <c r="AN18" s="193"/>
    </row>
    <row r="19" spans="1:40" ht="15" x14ac:dyDescent="0.2">
      <c r="A19" s="182" t="str">
        <f>A18</f>
        <v>Educational Facility</v>
      </c>
      <c r="B19" s="183" t="str">
        <f t="shared" si="0"/>
        <v>School</v>
      </c>
      <c r="C19" s="184" t="s">
        <v>481</v>
      </c>
      <c r="D19" s="224">
        <v>3.4651629013536964</v>
      </c>
      <c r="E19" s="187">
        <v>1.3245921216044387</v>
      </c>
      <c r="F19" s="187">
        <v>1.2499315629588652</v>
      </c>
      <c r="G19" s="187" t="s">
        <v>10</v>
      </c>
      <c r="H19" s="196" t="s">
        <v>10</v>
      </c>
      <c r="I19" s="187">
        <v>2.72</v>
      </c>
      <c r="J19" s="187">
        <v>1.21</v>
      </c>
      <c r="K19" s="188">
        <v>1.7</v>
      </c>
      <c r="L19" s="225" t="s">
        <v>661</v>
      </c>
      <c r="M19" s="225" t="s">
        <v>661</v>
      </c>
      <c r="N19" s="251">
        <v>0.08</v>
      </c>
      <c r="O19" s="192">
        <v>0.1</v>
      </c>
      <c r="P19" s="226">
        <v>0.22</v>
      </c>
      <c r="Q19" s="191">
        <v>0.23</v>
      </c>
      <c r="R19" s="191">
        <v>0.12</v>
      </c>
      <c r="S19" s="191">
        <v>0.12</v>
      </c>
      <c r="T19" s="192"/>
      <c r="U19" s="193"/>
      <c r="W19" s="230">
        <f t="shared" ref="W19:Y21" si="5">D19*1.02</f>
        <v>3.5344661593807705</v>
      </c>
      <c r="X19" s="228">
        <f t="shared" si="5"/>
        <v>1.3510839640365275</v>
      </c>
      <c r="Y19" s="228">
        <f t="shared" si="5"/>
        <v>1.2749301942180424</v>
      </c>
      <c r="Z19" s="187" t="s">
        <v>10</v>
      </c>
      <c r="AA19" s="196" t="s">
        <v>10</v>
      </c>
      <c r="AB19" s="227">
        <f t="shared" ref="AB19:AD22" si="6">I19*1.02</f>
        <v>2.7744000000000004</v>
      </c>
      <c r="AC19" s="228">
        <f t="shared" si="6"/>
        <v>1.2342</v>
      </c>
      <c r="AD19" s="198">
        <f t="shared" si="6"/>
        <v>1.734</v>
      </c>
      <c r="AE19" s="225" t="s">
        <v>661</v>
      </c>
      <c r="AF19" s="225" t="s">
        <v>661</v>
      </c>
      <c r="AG19" s="251">
        <v>0.08</v>
      </c>
      <c r="AH19" s="192">
        <v>0.1</v>
      </c>
      <c r="AI19" s="226">
        <v>0.22</v>
      </c>
      <c r="AJ19" s="191">
        <v>0.23</v>
      </c>
      <c r="AK19" s="191">
        <v>0.12</v>
      </c>
      <c r="AL19" s="191">
        <v>0.12</v>
      </c>
      <c r="AM19" s="192"/>
      <c r="AN19" s="193"/>
    </row>
    <row r="20" spans="1:40" ht="15.75" thickBot="1" x14ac:dyDescent="0.25">
      <c r="A20" s="203" t="str">
        <f>A19</f>
        <v>Educational Facility</v>
      </c>
      <c r="B20" s="204" t="str">
        <f t="shared" si="0"/>
        <v>School</v>
      </c>
      <c r="C20" s="205" t="s">
        <v>486</v>
      </c>
      <c r="D20" s="231">
        <v>2.7773026059304593</v>
      </c>
      <c r="E20" s="208">
        <v>2.0329611404155954</v>
      </c>
      <c r="F20" s="208">
        <v>2.2289001998842202</v>
      </c>
      <c r="G20" s="208" t="s">
        <v>10</v>
      </c>
      <c r="H20" s="217" t="s">
        <v>10</v>
      </c>
      <c r="I20" s="252">
        <v>1.53</v>
      </c>
      <c r="J20" s="253">
        <v>5.04</v>
      </c>
      <c r="K20" s="253">
        <v>1.1200000000000001</v>
      </c>
      <c r="L20" s="232" t="s">
        <v>661</v>
      </c>
      <c r="M20" s="232" t="s">
        <v>661</v>
      </c>
      <c r="N20" s="254">
        <v>0.03</v>
      </c>
      <c r="O20" s="213">
        <v>0.14000000000000001</v>
      </c>
      <c r="P20" s="255">
        <v>0.25</v>
      </c>
      <c r="Q20" s="212">
        <v>0.23</v>
      </c>
      <c r="R20" s="212">
        <v>0.12</v>
      </c>
      <c r="S20" s="212">
        <v>0.12</v>
      </c>
      <c r="T20" s="213"/>
      <c r="U20" s="214"/>
      <c r="W20" s="234">
        <f t="shared" si="5"/>
        <v>2.8328486580490684</v>
      </c>
      <c r="X20" s="235">
        <f t="shared" si="5"/>
        <v>2.0736203632239074</v>
      </c>
      <c r="Y20" s="235">
        <f t="shared" si="5"/>
        <v>2.2734782038819046</v>
      </c>
      <c r="Z20" s="208" t="s">
        <v>10</v>
      </c>
      <c r="AA20" s="217" t="s">
        <v>10</v>
      </c>
      <c r="AB20" s="256">
        <f t="shared" si="6"/>
        <v>1.5606</v>
      </c>
      <c r="AC20" s="257">
        <f t="shared" si="6"/>
        <v>5.1408000000000005</v>
      </c>
      <c r="AD20" s="257">
        <f t="shared" si="6"/>
        <v>1.1424000000000001</v>
      </c>
      <c r="AE20" s="232" t="s">
        <v>661</v>
      </c>
      <c r="AF20" s="232" t="s">
        <v>661</v>
      </c>
      <c r="AG20" s="254">
        <v>0.03</v>
      </c>
      <c r="AH20" s="213">
        <v>0.14000000000000001</v>
      </c>
      <c r="AI20" s="255">
        <v>0.25</v>
      </c>
      <c r="AJ20" s="212">
        <v>0.23</v>
      </c>
      <c r="AK20" s="212">
        <v>0.12</v>
      </c>
      <c r="AL20" s="212">
        <v>0.12</v>
      </c>
      <c r="AM20" s="213"/>
      <c r="AN20" s="214"/>
    </row>
    <row r="21" spans="1:40" ht="15" x14ac:dyDescent="0.2">
      <c r="A21" s="150" t="s">
        <v>665</v>
      </c>
      <c r="B21" s="150" t="str">
        <f t="shared" si="0"/>
        <v>Multifamily</v>
      </c>
      <c r="C21" s="167" t="s">
        <v>470</v>
      </c>
      <c r="D21" s="237">
        <v>3.77670697450352</v>
      </c>
      <c r="E21" s="171">
        <v>2.779493928966823</v>
      </c>
      <c r="F21" s="174">
        <v>1.2444133972320872</v>
      </c>
      <c r="G21" s="171" t="s">
        <v>10</v>
      </c>
      <c r="H21" s="181" t="s">
        <v>10</v>
      </c>
      <c r="I21" s="239">
        <v>2.36</v>
      </c>
      <c r="J21" s="171">
        <v>1.81</v>
      </c>
      <c r="K21" s="174">
        <v>1.77</v>
      </c>
      <c r="L21" s="239" t="s">
        <v>661</v>
      </c>
      <c r="M21" s="239" t="s">
        <v>661</v>
      </c>
      <c r="N21" s="250">
        <v>0.08</v>
      </c>
      <c r="O21" s="178">
        <v>0.15</v>
      </c>
      <c r="P21" s="177">
        <v>0.28000000000000003</v>
      </c>
      <c r="Q21" s="177">
        <v>0.23</v>
      </c>
      <c r="R21" s="177">
        <v>0.12</v>
      </c>
      <c r="S21" s="177">
        <v>0.12</v>
      </c>
      <c r="T21" s="178"/>
      <c r="U21" s="179"/>
      <c r="W21" s="243">
        <f t="shared" si="5"/>
        <v>3.8522411139935904</v>
      </c>
      <c r="X21" s="244">
        <f t="shared" si="5"/>
        <v>2.8350838075461597</v>
      </c>
      <c r="Y21" s="223">
        <f t="shared" si="5"/>
        <v>1.269301665176729</v>
      </c>
      <c r="Z21" s="171" t="s">
        <v>10</v>
      </c>
      <c r="AA21" s="181" t="s">
        <v>10</v>
      </c>
      <c r="AB21" s="245">
        <f t="shared" si="6"/>
        <v>2.4072</v>
      </c>
      <c r="AC21" s="244">
        <f t="shared" si="6"/>
        <v>1.8462000000000001</v>
      </c>
      <c r="AD21" s="223">
        <f t="shared" si="6"/>
        <v>1.8054000000000001</v>
      </c>
      <c r="AE21" s="239" t="s">
        <v>661</v>
      </c>
      <c r="AF21" s="239" t="s">
        <v>661</v>
      </c>
      <c r="AG21" s="250">
        <v>0.08</v>
      </c>
      <c r="AH21" s="178">
        <v>0.15</v>
      </c>
      <c r="AI21" s="177">
        <v>0.28000000000000003</v>
      </c>
      <c r="AJ21" s="177">
        <v>0.23</v>
      </c>
      <c r="AK21" s="177">
        <v>0.12</v>
      </c>
      <c r="AL21" s="177">
        <v>0.12</v>
      </c>
      <c r="AM21" s="178"/>
      <c r="AN21" s="179"/>
    </row>
    <row r="22" spans="1:40" ht="15" x14ac:dyDescent="0.2">
      <c r="A22" s="182" t="str">
        <f>A21</f>
        <v>Elevator Apartment</v>
      </c>
      <c r="B22" s="183" t="str">
        <f t="shared" si="0"/>
        <v>Multifamily</v>
      </c>
      <c r="C22" s="184" t="s">
        <v>476</v>
      </c>
      <c r="D22" s="224">
        <v>1.95802409048552</v>
      </c>
      <c r="E22" s="187">
        <v>0.95103341824251253</v>
      </c>
      <c r="F22" s="187">
        <v>1.2444133972320872</v>
      </c>
      <c r="G22" s="187" t="s">
        <v>10</v>
      </c>
      <c r="H22" s="196" t="s">
        <v>10</v>
      </c>
      <c r="I22" s="225">
        <v>1.93</v>
      </c>
      <c r="J22" s="187">
        <v>1.73</v>
      </c>
      <c r="K22" s="187">
        <v>1.77</v>
      </c>
      <c r="L22" s="225" t="s">
        <v>661</v>
      </c>
      <c r="M22" s="225" t="s">
        <v>661</v>
      </c>
      <c r="N22" s="189">
        <v>6.6666666666666666E-2</v>
      </c>
      <c r="O22" s="192">
        <v>0.19</v>
      </c>
      <c r="P22" s="192">
        <v>0.28000000000000003</v>
      </c>
      <c r="Q22" s="191">
        <v>0.23</v>
      </c>
      <c r="R22" s="226">
        <v>0.12</v>
      </c>
      <c r="S22" s="191">
        <v>0.12</v>
      </c>
      <c r="T22" s="192"/>
      <c r="U22" s="193"/>
      <c r="W22" s="180">
        <f>+W23*1.1</f>
        <v>2.7873471125946869</v>
      </c>
      <c r="X22" s="180">
        <f>+X23*1.1</f>
        <v>1.0997400253271941</v>
      </c>
      <c r="Y22" s="180">
        <f>+Y23*1.1</f>
        <v>1.3055941188862781</v>
      </c>
      <c r="Z22" s="187" t="s">
        <v>10</v>
      </c>
      <c r="AA22" s="196" t="s">
        <v>10</v>
      </c>
      <c r="AB22" s="227">
        <f t="shared" si="6"/>
        <v>1.9685999999999999</v>
      </c>
      <c r="AC22" s="228">
        <f t="shared" si="6"/>
        <v>1.7645999999999999</v>
      </c>
      <c r="AD22" s="228">
        <f t="shared" si="6"/>
        <v>1.8054000000000001</v>
      </c>
      <c r="AE22" s="225" t="s">
        <v>661</v>
      </c>
      <c r="AF22" s="225" t="s">
        <v>661</v>
      </c>
      <c r="AG22" s="189">
        <v>6.6666666666666666E-2</v>
      </c>
      <c r="AH22" s="192">
        <v>0.19</v>
      </c>
      <c r="AI22" s="192">
        <v>0.28000000000000003</v>
      </c>
      <c r="AJ22" s="191">
        <v>0.23</v>
      </c>
      <c r="AK22" s="226">
        <v>0.12</v>
      </c>
      <c r="AL22" s="191">
        <v>0.12</v>
      </c>
      <c r="AM22" s="192"/>
      <c r="AN22" s="193"/>
    </row>
    <row r="23" spans="1:40" ht="15" x14ac:dyDescent="0.2">
      <c r="A23" s="182" t="str">
        <f>A22</f>
        <v>Elevator Apartment</v>
      </c>
      <c r="B23" s="183" t="str">
        <f t="shared" si="0"/>
        <v>Multifamily</v>
      </c>
      <c r="C23" s="184" t="s">
        <v>481</v>
      </c>
      <c r="D23" s="224">
        <v>2.4842665887653177</v>
      </c>
      <c r="E23" s="187">
        <v>0.98016045038074318</v>
      </c>
      <c r="F23" s="187">
        <v>1.1636311220020303</v>
      </c>
      <c r="G23" s="187" t="s">
        <v>10</v>
      </c>
      <c r="H23" s="196" t="s">
        <v>10</v>
      </c>
      <c r="I23" s="225">
        <v>2.2200000000000002</v>
      </c>
      <c r="J23" s="187">
        <v>1.48</v>
      </c>
      <c r="K23" s="187">
        <v>1.79</v>
      </c>
      <c r="L23" s="225" t="s">
        <v>661</v>
      </c>
      <c r="M23" s="225" t="s">
        <v>661</v>
      </c>
      <c r="N23" s="251">
        <v>0.1</v>
      </c>
      <c r="O23" s="192">
        <v>0.16</v>
      </c>
      <c r="P23" s="192">
        <v>0.28000000000000003</v>
      </c>
      <c r="Q23" s="191">
        <v>0.23</v>
      </c>
      <c r="R23" s="191">
        <v>0.12</v>
      </c>
      <c r="S23" s="226">
        <v>0.26</v>
      </c>
      <c r="T23" s="192"/>
      <c r="U23" s="193"/>
      <c r="W23" s="230">
        <f t="shared" ref="W23:Y28" si="7">D23*1.02</f>
        <v>2.5339519205406242</v>
      </c>
      <c r="X23" s="228">
        <f t="shared" si="7"/>
        <v>0.99976365938835809</v>
      </c>
      <c r="Y23" s="228">
        <f t="shared" si="7"/>
        <v>1.1869037444420709</v>
      </c>
      <c r="Z23" s="187" t="s">
        <v>10</v>
      </c>
      <c r="AA23" s="196" t="s">
        <v>10</v>
      </c>
      <c r="AB23" s="180">
        <f>+AB24*1.1</f>
        <v>1.8064200000000004</v>
      </c>
      <c r="AC23" s="180">
        <f>+AC24*1.1</f>
        <v>1.27908</v>
      </c>
      <c r="AD23" s="180">
        <f>+AD24*1.1</f>
        <v>2.0083800000000003</v>
      </c>
      <c r="AE23" s="225" t="s">
        <v>661</v>
      </c>
      <c r="AF23" s="225" t="s">
        <v>661</v>
      </c>
      <c r="AG23" s="251">
        <v>0.1</v>
      </c>
      <c r="AH23" s="192">
        <v>0.16</v>
      </c>
      <c r="AI23" s="192">
        <v>0.28000000000000003</v>
      </c>
      <c r="AJ23" s="191">
        <v>0.23</v>
      </c>
      <c r="AK23" s="191">
        <v>0.12</v>
      </c>
      <c r="AL23" s="226">
        <v>0.26</v>
      </c>
      <c r="AM23" s="192"/>
      <c r="AN23" s="193"/>
    </row>
    <row r="24" spans="1:40" ht="15.75" thickBot="1" x14ac:dyDescent="0.25">
      <c r="A24" s="203" t="str">
        <f>A23</f>
        <v>Elevator Apartment</v>
      </c>
      <c r="B24" s="204" t="str">
        <f t="shared" si="0"/>
        <v>Multifamily</v>
      </c>
      <c r="C24" s="205" t="s">
        <v>486</v>
      </c>
      <c r="D24" s="231">
        <v>1.8379108302949339</v>
      </c>
      <c r="E24" s="208">
        <v>0.82045992646420285</v>
      </c>
      <c r="F24" s="207">
        <v>1.1636311220020303</v>
      </c>
      <c r="G24" s="208" t="s">
        <v>10</v>
      </c>
      <c r="H24" s="217" t="s">
        <v>10</v>
      </c>
      <c r="I24" s="232">
        <v>1.61</v>
      </c>
      <c r="J24" s="208">
        <v>1.1399999999999999</v>
      </c>
      <c r="K24" s="207">
        <v>1.79</v>
      </c>
      <c r="L24" s="232" t="s">
        <v>661</v>
      </c>
      <c r="M24" s="232" t="s">
        <v>661</v>
      </c>
      <c r="N24" s="254">
        <v>0.02</v>
      </c>
      <c r="O24" s="213">
        <v>0.17</v>
      </c>
      <c r="P24" s="212">
        <v>0.28000000000000003</v>
      </c>
      <c r="Q24" s="212">
        <v>0.23</v>
      </c>
      <c r="R24" s="212">
        <v>0.12</v>
      </c>
      <c r="S24" s="212">
        <v>0.12</v>
      </c>
      <c r="T24" s="213"/>
      <c r="U24" s="214"/>
      <c r="W24" s="234">
        <f t="shared" si="7"/>
        <v>1.8746690469008325</v>
      </c>
      <c r="X24" s="235">
        <f t="shared" si="7"/>
        <v>0.83686912499348687</v>
      </c>
      <c r="Y24" s="216">
        <f t="shared" si="7"/>
        <v>1.1869037444420709</v>
      </c>
      <c r="Z24" s="208" t="s">
        <v>10</v>
      </c>
      <c r="AA24" s="217" t="s">
        <v>10</v>
      </c>
      <c r="AB24" s="236">
        <f t="shared" ref="AB24:AD36" si="8">I24*1.02</f>
        <v>1.6422000000000001</v>
      </c>
      <c r="AC24" s="235">
        <f t="shared" si="8"/>
        <v>1.1627999999999998</v>
      </c>
      <c r="AD24" s="216">
        <f t="shared" si="8"/>
        <v>1.8258000000000001</v>
      </c>
      <c r="AE24" s="232" t="s">
        <v>661</v>
      </c>
      <c r="AF24" s="232" t="s">
        <v>661</v>
      </c>
      <c r="AG24" s="254">
        <v>0.02</v>
      </c>
      <c r="AH24" s="213">
        <v>0.17</v>
      </c>
      <c r="AI24" s="212">
        <v>0.28000000000000003</v>
      </c>
      <c r="AJ24" s="212">
        <v>0.23</v>
      </c>
      <c r="AK24" s="212">
        <v>0.12</v>
      </c>
      <c r="AL24" s="212">
        <v>0.12</v>
      </c>
      <c r="AM24" s="213"/>
      <c r="AN24" s="214"/>
    </row>
    <row r="25" spans="1:40" ht="15" x14ac:dyDescent="0.2">
      <c r="A25" s="150" t="s">
        <v>666</v>
      </c>
      <c r="B25" s="150" t="str">
        <f t="shared" si="0"/>
        <v/>
      </c>
      <c r="C25" s="167" t="s">
        <v>470</v>
      </c>
      <c r="D25" s="258">
        <v>6.4622877122877123</v>
      </c>
      <c r="E25" s="174">
        <v>1.7274392274392274</v>
      </c>
      <c r="F25" s="174">
        <v>1.1636311220020303</v>
      </c>
      <c r="G25" s="171" t="s">
        <v>10</v>
      </c>
      <c r="H25" s="181" t="s">
        <v>10</v>
      </c>
      <c r="I25" s="258">
        <v>1.66</v>
      </c>
      <c r="J25" s="174">
        <v>1.61</v>
      </c>
      <c r="K25" s="174">
        <v>1.79</v>
      </c>
      <c r="L25" s="239" t="s">
        <v>661</v>
      </c>
      <c r="M25" s="239" t="s">
        <v>661</v>
      </c>
      <c r="N25" s="175">
        <v>0.05</v>
      </c>
      <c r="O25" s="242">
        <v>0.31</v>
      </c>
      <c r="P25" s="177">
        <v>0.28000000000000003</v>
      </c>
      <c r="Q25" s="177">
        <v>0.23</v>
      </c>
      <c r="R25" s="177">
        <v>0.12</v>
      </c>
      <c r="S25" s="177">
        <v>0.12</v>
      </c>
      <c r="T25" s="178"/>
      <c r="U25" s="179"/>
      <c r="W25" s="259">
        <f t="shared" si="7"/>
        <v>6.5915334665334671</v>
      </c>
      <c r="X25" s="223">
        <f t="shared" si="7"/>
        <v>1.761988011988012</v>
      </c>
      <c r="Y25" s="223">
        <f t="shared" si="7"/>
        <v>1.1869037444420709</v>
      </c>
      <c r="Z25" s="171" t="s">
        <v>10</v>
      </c>
      <c r="AA25" s="181" t="s">
        <v>10</v>
      </c>
      <c r="AB25" s="260">
        <f t="shared" si="8"/>
        <v>1.6932</v>
      </c>
      <c r="AC25" s="223">
        <f t="shared" si="8"/>
        <v>1.6422000000000001</v>
      </c>
      <c r="AD25" s="223">
        <f t="shared" si="8"/>
        <v>1.8258000000000001</v>
      </c>
      <c r="AE25" s="239" t="s">
        <v>661</v>
      </c>
      <c r="AF25" s="239" t="s">
        <v>661</v>
      </c>
      <c r="AG25" s="175">
        <v>0.05</v>
      </c>
      <c r="AH25" s="242">
        <v>0.31</v>
      </c>
      <c r="AI25" s="177">
        <v>0.28000000000000003</v>
      </c>
      <c r="AJ25" s="177">
        <v>0.23</v>
      </c>
      <c r="AK25" s="177">
        <v>0.12</v>
      </c>
      <c r="AL25" s="177">
        <v>0.12</v>
      </c>
      <c r="AM25" s="178"/>
      <c r="AN25" s="179"/>
    </row>
    <row r="26" spans="1:40" ht="15" x14ac:dyDescent="0.2">
      <c r="A26" s="182" t="str">
        <f>A25</f>
        <v>Firehouse</v>
      </c>
      <c r="B26" s="183" t="str">
        <f t="shared" si="0"/>
        <v/>
      </c>
      <c r="C26" s="184" t="s">
        <v>476</v>
      </c>
      <c r="D26" s="199">
        <v>6.4622877122877123</v>
      </c>
      <c r="E26" s="170">
        <v>1.7274392274392274</v>
      </c>
      <c r="F26" s="170">
        <v>1.1636311220020303</v>
      </c>
      <c r="G26" s="187" t="s">
        <v>10</v>
      </c>
      <c r="H26" s="196" t="s">
        <v>10</v>
      </c>
      <c r="I26" s="199">
        <v>1.66</v>
      </c>
      <c r="J26" s="170">
        <v>1.61</v>
      </c>
      <c r="K26" s="170">
        <v>1.79</v>
      </c>
      <c r="L26" s="225" t="s">
        <v>661</v>
      </c>
      <c r="M26" s="225" t="s">
        <v>661</v>
      </c>
      <c r="N26" s="189">
        <v>6.6666666666666666E-2</v>
      </c>
      <c r="O26" s="191">
        <v>0.185</v>
      </c>
      <c r="P26" s="191">
        <v>0.28000000000000003</v>
      </c>
      <c r="Q26" s="191">
        <v>0.23</v>
      </c>
      <c r="R26" s="191">
        <v>0.12</v>
      </c>
      <c r="S26" s="191">
        <v>0.12</v>
      </c>
      <c r="T26" s="192"/>
      <c r="U26" s="193"/>
      <c r="W26" s="200">
        <f t="shared" si="7"/>
        <v>6.5915334665334671</v>
      </c>
      <c r="X26" s="201">
        <f t="shared" si="7"/>
        <v>1.761988011988012</v>
      </c>
      <c r="Y26" s="201">
        <f t="shared" si="7"/>
        <v>1.1869037444420709</v>
      </c>
      <c r="Z26" s="187" t="s">
        <v>10</v>
      </c>
      <c r="AA26" s="196" t="s">
        <v>10</v>
      </c>
      <c r="AB26" s="261">
        <f t="shared" si="8"/>
        <v>1.6932</v>
      </c>
      <c r="AC26" s="201">
        <f t="shared" si="8"/>
        <v>1.6422000000000001</v>
      </c>
      <c r="AD26" s="201">
        <f t="shared" si="8"/>
        <v>1.8258000000000001</v>
      </c>
      <c r="AE26" s="225" t="s">
        <v>661</v>
      </c>
      <c r="AF26" s="225" t="s">
        <v>661</v>
      </c>
      <c r="AG26" s="189">
        <v>6.6666666666666666E-2</v>
      </c>
      <c r="AH26" s="191">
        <v>0.185</v>
      </c>
      <c r="AI26" s="191">
        <v>0.28000000000000003</v>
      </c>
      <c r="AJ26" s="191">
        <v>0.23</v>
      </c>
      <c r="AK26" s="191">
        <v>0.12</v>
      </c>
      <c r="AL26" s="191">
        <v>0.12</v>
      </c>
      <c r="AM26" s="192"/>
      <c r="AN26" s="193"/>
    </row>
    <row r="27" spans="1:40" ht="15" x14ac:dyDescent="0.2">
      <c r="A27" s="182" t="str">
        <f>A26</f>
        <v>Firehouse</v>
      </c>
      <c r="B27" s="183" t="str">
        <f t="shared" si="0"/>
        <v/>
      </c>
      <c r="C27" s="184" t="s">
        <v>481</v>
      </c>
      <c r="D27" s="185">
        <v>6.4622877122877123</v>
      </c>
      <c r="E27" s="186">
        <v>1.7274392274392274</v>
      </c>
      <c r="F27" s="170">
        <v>1.1636311220020303</v>
      </c>
      <c r="G27" s="187" t="s">
        <v>10</v>
      </c>
      <c r="H27" s="196" t="s">
        <v>10</v>
      </c>
      <c r="I27" s="262">
        <v>1.66</v>
      </c>
      <c r="J27" s="186">
        <v>1.61</v>
      </c>
      <c r="K27" s="263">
        <v>1.79</v>
      </c>
      <c r="L27" s="225" t="s">
        <v>661</v>
      </c>
      <c r="M27" s="225" t="s">
        <v>661</v>
      </c>
      <c r="N27" s="189">
        <v>0.06</v>
      </c>
      <c r="O27" s="226">
        <v>0.06</v>
      </c>
      <c r="P27" s="191">
        <v>0.28000000000000003</v>
      </c>
      <c r="Q27" s="191">
        <v>0.23</v>
      </c>
      <c r="R27" s="191">
        <v>0.12</v>
      </c>
      <c r="S27" s="191">
        <v>0.12</v>
      </c>
      <c r="T27" s="192"/>
      <c r="U27" s="193"/>
      <c r="W27" s="194">
        <f t="shared" si="7"/>
        <v>6.5915334665334671</v>
      </c>
      <c r="X27" s="195">
        <f t="shared" si="7"/>
        <v>1.761988011988012</v>
      </c>
      <c r="Y27" s="201">
        <f t="shared" si="7"/>
        <v>1.1869037444420709</v>
      </c>
      <c r="Z27" s="187" t="s">
        <v>10</v>
      </c>
      <c r="AA27" s="196" t="s">
        <v>10</v>
      </c>
      <c r="AB27" s="264">
        <f t="shared" si="8"/>
        <v>1.6932</v>
      </c>
      <c r="AC27" s="195">
        <f t="shared" si="8"/>
        <v>1.6422000000000001</v>
      </c>
      <c r="AD27" s="202">
        <f t="shared" si="8"/>
        <v>1.8258000000000001</v>
      </c>
      <c r="AE27" s="225" t="s">
        <v>661</v>
      </c>
      <c r="AF27" s="225" t="s">
        <v>661</v>
      </c>
      <c r="AG27" s="189">
        <v>0.06</v>
      </c>
      <c r="AH27" s="226">
        <v>0.06</v>
      </c>
      <c r="AI27" s="191">
        <v>0.28000000000000003</v>
      </c>
      <c r="AJ27" s="191">
        <v>0.23</v>
      </c>
      <c r="AK27" s="191">
        <v>0.12</v>
      </c>
      <c r="AL27" s="191">
        <v>0.12</v>
      </c>
      <c r="AM27" s="192"/>
      <c r="AN27" s="193"/>
    </row>
    <row r="28" spans="1:40" ht="15.75" thickBot="1" x14ac:dyDescent="0.25">
      <c r="A28" s="203" t="str">
        <f>A27</f>
        <v>Firehouse</v>
      </c>
      <c r="B28" s="204" t="str">
        <f t="shared" si="0"/>
        <v/>
      </c>
      <c r="C28" s="205" t="s">
        <v>486</v>
      </c>
      <c r="D28" s="265">
        <v>6.4622877122877123</v>
      </c>
      <c r="E28" s="207">
        <v>1.7274392274392274</v>
      </c>
      <c r="F28" s="207">
        <v>1.1636311220020303</v>
      </c>
      <c r="G28" s="208" t="s">
        <v>10</v>
      </c>
      <c r="H28" s="217" t="s">
        <v>10</v>
      </c>
      <c r="I28" s="265">
        <v>1.66</v>
      </c>
      <c r="J28" s="207">
        <v>1.61</v>
      </c>
      <c r="K28" s="207">
        <v>1.79</v>
      </c>
      <c r="L28" s="232" t="s">
        <v>661</v>
      </c>
      <c r="M28" s="232" t="s">
        <v>661</v>
      </c>
      <c r="N28" s="211">
        <v>0.09</v>
      </c>
      <c r="O28" s="212">
        <v>0.185</v>
      </c>
      <c r="P28" s="212">
        <v>0.28000000000000003</v>
      </c>
      <c r="Q28" s="212">
        <v>0.23</v>
      </c>
      <c r="R28" s="212">
        <v>0.12</v>
      </c>
      <c r="S28" s="212">
        <v>0.12</v>
      </c>
      <c r="T28" s="213"/>
      <c r="U28" s="214"/>
      <c r="W28" s="266">
        <f t="shared" si="7"/>
        <v>6.5915334665334671</v>
      </c>
      <c r="X28" s="216">
        <f t="shared" si="7"/>
        <v>1.761988011988012</v>
      </c>
      <c r="Y28" s="216">
        <f t="shared" si="7"/>
        <v>1.1869037444420709</v>
      </c>
      <c r="Z28" s="208" t="s">
        <v>10</v>
      </c>
      <c r="AA28" s="217" t="s">
        <v>10</v>
      </c>
      <c r="AB28" s="218">
        <f t="shared" si="8"/>
        <v>1.6932</v>
      </c>
      <c r="AC28" s="216">
        <f t="shared" si="8"/>
        <v>1.6422000000000001</v>
      </c>
      <c r="AD28" s="216">
        <f t="shared" si="8"/>
        <v>1.8258000000000001</v>
      </c>
      <c r="AE28" s="232" t="s">
        <v>661</v>
      </c>
      <c r="AF28" s="232" t="s">
        <v>661</v>
      </c>
      <c r="AG28" s="211">
        <v>0.09</v>
      </c>
      <c r="AH28" s="212">
        <v>0.185</v>
      </c>
      <c r="AI28" s="212">
        <v>0.28000000000000003</v>
      </c>
      <c r="AJ28" s="212">
        <v>0.23</v>
      </c>
      <c r="AK28" s="212">
        <v>0.12</v>
      </c>
      <c r="AL28" s="212">
        <v>0.12</v>
      </c>
      <c r="AM28" s="213"/>
      <c r="AN28" s="214"/>
    </row>
    <row r="29" spans="1:40" ht="15" x14ac:dyDescent="0.2">
      <c r="A29" s="150" t="s">
        <v>667</v>
      </c>
      <c r="B29" s="150" t="str">
        <f t="shared" si="0"/>
        <v/>
      </c>
      <c r="C29" s="167" t="s">
        <v>470</v>
      </c>
      <c r="D29" s="237">
        <v>9.5868206548692889</v>
      </c>
      <c r="E29" s="171">
        <v>1.3541395103159486</v>
      </c>
      <c r="F29" s="174">
        <v>0.99181073703366707</v>
      </c>
      <c r="G29" s="171" t="s">
        <v>10</v>
      </c>
      <c r="H29" s="181" t="s">
        <v>10</v>
      </c>
      <c r="I29" s="239">
        <v>3.58</v>
      </c>
      <c r="J29" s="171">
        <v>1.31</v>
      </c>
      <c r="K29" s="174">
        <v>0.27</v>
      </c>
      <c r="L29" s="239" t="s">
        <v>661</v>
      </c>
      <c r="M29" s="239" t="s">
        <v>661</v>
      </c>
      <c r="N29" s="267">
        <v>0.1</v>
      </c>
      <c r="O29" s="178">
        <v>0.12</v>
      </c>
      <c r="P29" s="177">
        <v>0.15</v>
      </c>
      <c r="Q29" s="177">
        <v>0.23</v>
      </c>
      <c r="R29" s="177">
        <v>0.12</v>
      </c>
      <c r="S29" s="177">
        <v>0.12</v>
      </c>
      <c r="T29" s="178"/>
      <c r="U29" s="179"/>
      <c r="W29" s="180">
        <f>+W30*1.1</f>
        <v>3.8907495300599142</v>
      </c>
      <c r="X29" s="180">
        <f>+X30*1.1</f>
        <v>1.0916944531144517</v>
      </c>
      <c r="Y29" s="180">
        <f>+Y30*1.1</f>
        <v>1.1128116469517746</v>
      </c>
      <c r="Z29" s="171" t="s">
        <v>10</v>
      </c>
      <c r="AA29" s="181" t="s">
        <v>10</v>
      </c>
      <c r="AB29" s="245">
        <f t="shared" si="8"/>
        <v>3.6516000000000002</v>
      </c>
      <c r="AC29" s="244">
        <f t="shared" si="8"/>
        <v>1.3362000000000001</v>
      </c>
      <c r="AD29" s="223">
        <f t="shared" si="8"/>
        <v>0.27540000000000003</v>
      </c>
      <c r="AE29" s="239" t="s">
        <v>661</v>
      </c>
      <c r="AF29" s="239" t="s">
        <v>661</v>
      </c>
      <c r="AG29" s="267">
        <v>0.1</v>
      </c>
      <c r="AH29" s="178">
        <v>0.12</v>
      </c>
      <c r="AI29" s="177">
        <v>0.15</v>
      </c>
      <c r="AJ29" s="177">
        <v>0.23</v>
      </c>
      <c r="AK29" s="177">
        <v>0.12</v>
      </c>
      <c r="AL29" s="177">
        <v>0.12</v>
      </c>
      <c r="AM29" s="178"/>
      <c r="AN29" s="179"/>
    </row>
    <row r="30" spans="1:40" ht="15" x14ac:dyDescent="0.2">
      <c r="A30" s="182" t="str">
        <f>A29</f>
        <v>Foreign Government Building / United Nations</v>
      </c>
      <c r="B30" s="183" t="str">
        <f t="shared" si="0"/>
        <v/>
      </c>
      <c r="C30" s="184" t="s">
        <v>476</v>
      </c>
      <c r="D30" s="268">
        <v>3.4676912032619551</v>
      </c>
      <c r="E30" s="188">
        <v>0.97298970865815659</v>
      </c>
      <c r="F30" s="188">
        <v>0.99181073703366707</v>
      </c>
      <c r="G30" s="187" t="s">
        <v>10</v>
      </c>
      <c r="H30" s="196" t="s">
        <v>10</v>
      </c>
      <c r="I30" s="269">
        <v>2.4300000000000002</v>
      </c>
      <c r="J30" s="188">
        <v>0.71</v>
      </c>
      <c r="K30" s="186">
        <v>0.27</v>
      </c>
      <c r="L30" s="225" t="s">
        <v>661</v>
      </c>
      <c r="M30" s="225" t="s">
        <v>661</v>
      </c>
      <c r="N30" s="189">
        <v>9.5000000000000001E-2</v>
      </c>
      <c r="O30" s="190">
        <v>0.15</v>
      </c>
      <c r="P30" s="191">
        <v>0.06</v>
      </c>
      <c r="Q30" s="191">
        <v>0.23</v>
      </c>
      <c r="R30" s="191">
        <v>0.12</v>
      </c>
      <c r="S30" s="191">
        <v>0.12</v>
      </c>
      <c r="T30" s="192"/>
      <c r="U30" s="193"/>
      <c r="W30" s="270">
        <f t="shared" ref="W30:Y33" si="9">D30*1.02</f>
        <v>3.5370450273271943</v>
      </c>
      <c r="X30" s="198">
        <f t="shared" si="9"/>
        <v>0.99244950283131972</v>
      </c>
      <c r="Y30" s="198">
        <f t="shared" si="9"/>
        <v>1.0116469517743405</v>
      </c>
      <c r="Z30" s="187" t="s">
        <v>10</v>
      </c>
      <c r="AA30" s="196" t="s">
        <v>10</v>
      </c>
      <c r="AB30" s="197">
        <f t="shared" si="8"/>
        <v>2.4786000000000001</v>
      </c>
      <c r="AC30" s="198">
        <f t="shared" si="8"/>
        <v>0.72419999999999995</v>
      </c>
      <c r="AD30" s="195">
        <f t="shared" si="8"/>
        <v>0.27540000000000003</v>
      </c>
      <c r="AE30" s="225" t="s">
        <v>661</v>
      </c>
      <c r="AF30" s="225" t="s">
        <v>661</v>
      </c>
      <c r="AG30" s="189">
        <v>9.5000000000000001E-2</v>
      </c>
      <c r="AH30" s="190">
        <v>0.15</v>
      </c>
      <c r="AI30" s="191">
        <v>0.06</v>
      </c>
      <c r="AJ30" s="191">
        <v>0.23</v>
      </c>
      <c r="AK30" s="191">
        <v>0.12</v>
      </c>
      <c r="AL30" s="191">
        <v>0.12</v>
      </c>
      <c r="AM30" s="192"/>
      <c r="AN30" s="193"/>
    </row>
    <row r="31" spans="1:40" ht="15" x14ac:dyDescent="0.2">
      <c r="A31" s="182" t="str">
        <f>A30</f>
        <v>Foreign Government Building / United Nations</v>
      </c>
      <c r="B31" s="183" t="str">
        <f t="shared" si="0"/>
        <v/>
      </c>
      <c r="C31" s="184" t="s">
        <v>481</v>
      </c>
      <c r="D31" s="224">
        <v>2.5716730103356036</v>
      </c>
      <c r="E31" s="187">
        <v>0.62321402869624398</v>
      </c>
      <c r="F31" s="170">
        <v>0.99181073703366707</v>
      </c>
      <c r="G31" s="187" t="s">
        <v>10</v>
      </c>
      <c r="H31" s="196" t="s">
        <v>10</v>
      </c>
      <c r="I31" s="225">
        <v>2.0699999999999998</v>
      </c>
      <c r="J31" s="188">
        <v>0.82</v>
      </c>
      <c r="K31" s="170">
        <v>0.27</v>
      </c>
      <c r="L31" s="225" t="s">
        <v>661</v>
      </c>
      <c r="M31" s="225" t="s">
        <v>661</v>
      </c>
      <c r="N31" s="251">
        <v>0.09</v>
      </c>
      <c r="O31" s="190">
        <v>0.13</v>
      </c>
      <c r="P31" s="191">
        <v>0.17</v>
      </c>
      <c r="Q31" s="191">
        <v>0.23</v>
      </c>
      <c r="R31" s="191">
        <v>0.12</v>
      </c>
      <c r="S31" s="191">
        <v>0.12</v>
      </c>
      <c r="T31" s="192"/>
      <c r="U31" s="193"/>
      <c r="W31" s="230">
        <f t="shared" si="9"/>
        <v>2.6231064705423157</v>
      </c>
      <c r="X31" s="228">
        <f t="shared" si="9"/>
        <v>0.63567830927016888</v>
      </c>
      <c r="Y31" s="201">
        <f t="shared" si="9"/>
        <v>1.0116469517743405</v>
      </c>
      <c r="Z31" s="187" t="s">
        <v>10</v>
      </c>
      <c r="AA31" s="196" t="s">
        <v>10</v>
      </c>
      <c r="AB31" s="227">
        <f t="shared" si="8"/>
        <v>2.1113999999999997</v>
      </c>
      <c r="AC31" s="198">
        <f t="shared" si="8"/>
        <v>0.83639999999999992</v>
      </c>
      <c r="AD31" s="201">
        <f t="shared" si="8"/>
        <v>0.27540000000000003</v>
      </c>
      <c r="AE31" s="225" t="s">
        <v>661</v>
      </c>
      <c r="AF31" s="225" t="s">
        <v>661</v>
      </c>
      <c r="AG31" s="251">
        <v>0.09</v>
      </c>
      <c r="AH31" s="190">
        <v>0.13</v>
      </c>
      <c r="AI31" s="191">
        <v>0.17</v>
      </c>
      <c r="AJ31" s="191">
        <v>0.23</v>
      </c>
      <c r="AK31" s="191">
        <v>0.12</v>
      </c>
      <c r="AL31" s="191">
        <v>0.12</v>
      </c>
      <c r="AM31" s="192"/>
      <c r="AN31" s="193"/>
    </row>
    <row r="32" spans="1:40" ht="15.75" thickBot="1" x14ac:dyDescent="0.25">
      <c r="A32" s="203" t="str">
        <f>A31</f>
        <v>Foreign Government Building / United Nations</v>
      </c>
      <c r="B32" s="204" t="str">
        <f t="shared" si="0"/>
        <v/>
      </c>
      <c r="C32" s="205" t="s">
        <v>486</v>
      </c>
      <c r="D32" s="271">
        <v>5.6038036770481021</v>
      </c>
      <c r="E32" s="252">
        <v>1.4943476472128274</v>
      </c>
      <c r="F32" s="207">
        <v>0.99181073703366707</v>
      </c>
      <c r="G32" s="208" t="s">
        <v>10</v>
      </c>
      <c r="H32" s="217" t="s">
        <v>10</v>
      </c>
      <c r="I32" s="210">
        <v>1.7</v>
      </c>
      <c r="J32" s="252">
        <v>1.57</v>
      </c>
      <c r="K32" s="207">
        <v>0.27</v>
      </c>
      <c r="L32" s="232" t="s">
        <v>661</v>
      </c>
      <c r="M32" s="232" t="s">
        <v>661</v>
      </c>
      <c r="N32" s="211">
        <v>9.5000000000000001E-2</v>
      </c>
      <c r="O32" s="255">
        <v>0.05</v>
      </c>
      <c r="P32" s="212">
        <v>0.15</v>
      </c>
      <c r="Q32" s="212">
        <v>0.23</v>
      </c>
      <c r="R32" s="212">
        <v>0.12</v>
      </c>
      <c r="S32" s="212">
        <v>0.12</v>
      </c>
      <c r="T32" s="213"/>
      <c r="U32" s="214"/>
      <c r="W32" s="272">
        <f t="shared" si="9"/>
        <v>5.7158797505890639</v>
      </c>
      <c r="X32" s="273">
        <f t="shared" si="9"/>
        <v>1.5242346001570839</v>
      </c>
      <c r="Y32" s="216">
        <f t="shared" si="9"/>
        <v>1.0116469517743405</v>
      </c>
      <c r="Z32" s="208" t="s">
        <v>10</v>
      </c>
      <c r="AA32" s="217" t="s">
        <v>10</v>
      </c>
      <c r="AB32" s="256">
        <f t="shared" si="8"/>
        <v>1.734</v>
      </c>
      <c r="AC32" s="273">
        <f t="shared" si="8"/>
        <v>1.6014000000000002</v>
      </c>
      <c r="AD32" s="216">
        <f t="shared" si="8"/>
        <v>0.27540000000000003</v>
      </c>
      <c r="AE32" s="232" t="s">
        <v>661</v>
      </c>
      <c r="AF32" s="232" t="s">
        <v>661</v>
      </c>
      <c r="AG32" s="211">
        <v>9.5000000000000001E-2</v>
      </c>
      <c r="AH32" s="255">
        <v>0.05</v>
      </c>
      <c r="AI32" s="212">
        <v>0.15</v>
      </c>
      <c r="AJ32" s="212">
        <v>0.23</v>
      </c>
      <c r="AK32" s="212">
        <v>0.12</v>
      </c>
      <c r="AL32" s="212">
        <v>0.12</v>
      </c>
      <c r="AM32" s="213"/>
      <c r="AN32" s="214"/>
    </row>
    <row r="33" spans="1:40" ht="15" x14ac:dyDescent="0.2">
      <c r="A33" s="150" t="s">
        <v>668</v>
      </c>
      <c r="B33" s="150" t="str">
        <f t="shared" si="0"/>
        <v/>
      </c>
      <c r="C33" s="167" t="s">
        <v>470</v>
      </c>
      <c r="D33" s="219">
        <v>4.2018847046853143</v>
      </c>
      <c r="E33" s="173">
        <v>2.983200371289199</v>
      </c>
      <c r="F33" s="173">
        <v>4.4416666666666664</v>
      </c>
      <c r="G33" s="171" t="s">
        <v>10</v>
      </c>
      <c r="H33" s="181" t="s">
        <v>10</v>
      </c>
      <c r="I33" s="172">
        <v>3.8</v>
      </c>
      <c r="J33" s="173">
        <v>1.62</v>
      </c>
      <c r="K33" s="169">
        <v>5.64</v>
      </c>
      <c r="L33" s="239" t="s">
        <v>661</v>
      </c>
      <c r="M33" s="239" t="s">
        <v>661</v>
      </c>
      <c r="N33" s="250">
        <v>0.11</v>
      </c>
      <c r="O33" s="176">
        <v>0.13</v>
      </c>
      <c r="P33" s="177">
        <v>0.15</v>
      </c>
      <c r="Q33" s="242">
        <v>0.28000000000000003</v>
      </c>
      <c r="R33" s="177">
        <v>0.12</v>
      </c>
      <c r="S33" s="177">
        <v>0.12</v>
      </c>
      <c r="T33" s="178"/>
      <c r="U33" s="179"/>
      <c r="W33" s="221">
        <f t="shared" si="9"/>
        <v>4.2859223987790207</v>
      </c>
      <c r="X33" s="222">
        <f t="shared" si="9"/>
        <v>3.0428643787149832</v>
      </c>
      <c r="Y33" s="222">
        <f t="shared" si="9"/>
        <v>4.5305</v>
      </c>
      <c r="Z33" s="171" t="s">
        <v>10</v>
      </c>
      <c r="AA33" s="181" t="s">
        <v>10</v>
      </c>
      <c r="AB33" s="274">
        <f t="shared" si="8"/>
        <v>3.8759999999999999</v>
      </c>
      <c r="AC33" s="222">
        <f t="shared" si="8"/>
        <v>1.6524000000000001</v>
      </c>
      <c r="AD33" s="275">
        <f t="shared" si="8"/>
        <v>5.7527999999999997</v>
      </c>
      <c r="AE33" s="239" t="s">
        <v>661</v>
      </c>
      <c r="AF33" s="239" t="s">
        <v>661</v>
      </c>
      <c r="AG33" s="250">
        <v>0.11</v>
      </c>
      <c r="AH33" s="176">
        <v>0.13</v>
      </c>
      <c r="AI33" s="177">
        <v>0.15</v>
      </c>
      <c r="AJ33" s="242">
        <v>0.28000000000000003</v>
      </c>
      <c r="AK33" s="177">
        <v>0.12</v>
      </c>
      <c r="AL33" s="177">
        <v>0.12</v>
      </c>
      <c r="AM33" s="178"/>
      <c r="AN33" s="179"/>
    </row>
    <row r="34" spans="1:40" ht="15" x14ac:dyDescent="0.2">
      <c r="A34" s="182" t="str">
        <f>A33</f>
        <v>Government Facility</v>
      </c>
      <c r="B34" s="183" t="str">
        <f t="shared" si="0"/>
        <v/>
      </c>
      <c r="C34" s="184" t="s">
        <v>476</v>
      </c>
      <c r="D34" s="268">
        <v>2.0838182314945231</v>
      </c>
      <c r="E34" s="188">
        <v>0.948260674379657</v>
      </c>
      <c r="F34" s="188">
        <v>2.302886574748729</v>
      </c>
      <c r="G34" s="187" t="s">
        <v>10</v>
      </c>
      <c r="H34" s="196" t="s">
        <v>10</v>
      </c>
      <c r="I34" s="269">
        <v>2.2999999999999998</v>
      </c>
      <c r="J34" s="186">
        <v>1.33</v>
      </c>
      <c r="K34" s="186">
        <v>1.44</v>
      </c>
      <c r="L34" s="225" t="s">
        <v>661</v>
      </c>
      <c r="M34" s="225" t="s">
        <v>661</v>
      </c>
      <c r="N34" s="251">
        <v>0.16</v>
      </c>
      <c r="O34" s="190">
        <v>0.15</v>
      </c>
      <c r="P34" s="226">
        <v>0.26</v>
      </c>
      <c r="Q34" s="191">
        <v>0.28000000000000003</v>
      </c>
      <c r="R34" s="191">
        <v>0.12</v>
      </c>
      <c r="S34" s="191">
        <v>0.12</v>
      </c>
      <c r="T34" s="192"/>
      <c r="U34" s="193"/>
      <c r="W34" s="180">
        <f>+W35*1.1</f>
        <v>2.8430567450196285</v>
      </c>
      <c r="X34" s="180">
        <f>+X35*1.1</f>
        <v>0.54183250000000005</v>
      </c>
      <c r="Y34" s="180">
        <f>+Y35*1.1</f>
        <v>3.7836943684340372</v>
      </c>
      <c r="Z34" s="187" t="s">
        <v>10</v>
      </c>
      <c r="AA34" s="196" t="s">
        <v>10</v>
      </c>
      <c r="AB34" s="197">
        <f t="shared" si="8"/>
        <v>2.3459999999999996</v>
      </c>
      <c r="AC34" s="195">
        <f t="shared" si="8"/>
        <v>1.3566</v>
      </c>
      <c r="AD34" s="195">
        <f t="shared" si="8"/>
        <v>1.4687999999999999</v>
      </c>
      <c r="AE34" s="225" t="s">
        <v>661</v>
      </c>
      <c r="AF34" s="225" t="s">
        <v>661</v>
      </c>
      <c r="AG34" s="251">
        <v>0.16</v>
      </c>
      <c r="AH34" s="190">
        <v>0.15</v>
      </c>
      <c r="AI34" s="226">
        <v>0.26</v>
      </c>
      <c r="AJ34" s="191">
        <v>0.28000000000000003</v>
      </c>
      <c r="AK34" s="191">
        <v>0.12</v>
      </c>
      <c r="AL34" s="191">
        <v>0.12</v>
      </c>
      <c r="AM34" s="192"/>
      <c r="AN34" s="193"/>
    </row>
    <row r="35" spans="1:40" ht="15" x14ac:dyDescent="0.2">
      <c r="A35" s="182" t="str">
        <f>A34</f>
        <v>Government Facility</v>
      </c>
      <c r="B35" s="183" t="str">
        <f t="shared" si="0"/>
        <v/>
      </c>
      <c r="C35" s="184" t="s">
        <v>481</v>
      </c>
      <c r="D35" s="185">
        <v>2.5339186675754264</v>
      </c>
      <c r="E35" s="186">
        <v>0.48291666666666666</v>
      </c>
      <c r="F35" s="170">
        <v>3.372276620707698</v>
      </c>
      <c r="G35" s="187" t="s">
        <v>10</v>
      </c>
      <c r="H35" s="196" t="s">
        <v>10</v>
      </c>
      <c r="I35" s="262">
        <v>2.11</v>
      </c>
      <c r="J35" s="186">
        <v>0.2</v>
      </c>
      <c r="K35" s="170">
        <v>3.54</v>
      </c>
      <c r="L35" s="225" t="s">
        <v>661</v>
      </c>
      <c r="M35" s="225" t="s">
        <v>661</v>
      </c>
      <c r="N35" s="251">
        <v>0.08</v>
      </c>
      <c r="O35" s="226">
        <v>0.21</v>
      </c>
      <c r="P35" s="191">
        <v>0.17</v>
      </c>
      <c r="Q35" s="191">
        <v>0.28000000000000003</v>
      </c>
      <c r="R35" s="191">
        <v>0.12</v>
      </c>
      <c r="S35" s="191">
        <v>0.12</v>
      </c>
      <c r="T35" s="192"/>
      <c r="U35" s="193"/>
      <c r="W35" s="194">
        <f t="shared" ref="W35:Y36" si="10">D35*1.02</f>
        <v>2.5845970409269348</v>
      </c>
      <c r="X35" s="195">
        <f t="shared" si="10"/>
        <v>0.49257499999999999</v>
      </c>
      <c r="Y35" s="201">
        <f t="shared" si="10"/>
        <v>3.4397221531218518</v>
      </c>
      <c r="Z35" s="187" t="s">
        <v>10</v>
      </c>
      <c r="AA35" s="196" t="s">
        <v>10</v>
      </c>
      <c r="AB35" s="264">
        <f t="shared" si="8"/>
        <v>2.1522000000000001</v>
      </c>
      <c r="AC35" s="195">
        <f t="shared" si="8"/>
        <v>0.20400000000000001</v>
      </c>
      <c r="AD35" s="201">
        <f t="shared" si="8"/>
        <v>3.6108000000000002</v>
      </c>
      <c r="AE35" s="225" t="s">
        <v>661</v>
      </c>
      <c r="AF35" s="225" t="s">
        <v>661</v>
      </c>
      <c r="AG35" s="251">
        <v>0.08</v>
      </c>
      <c r="AH35" s="226">
        <v>0.21</v>
      </c>
      <c r="AI35" s="191">
        <v>0.17</v>
      </c>
      <c r="AJ35" s="191">
        <v>0.28000000000000003</v>
      </c>
      <c r="AK35" s="191">
        <v>0.12</v>
      </c>
      <c r="AL35" s="191">
        <v>0.12</v>
      </c>
      <c r="AM35" s="192"/>
      <c r="AN35" s="193"/>
    </row>
    <row r="36" spans="1:40" ht="15.75" thickBot="1" x14ac:dyDescent="0.25">
      <c r="A36" s="203" t="str">
        <f>A35</f>
        <v>Government Facility</v>
      </c>
      <c r="B36" s="204" t="str">
        <f t="shared" si="0"/>
        <v/>
      </c>
      <c r="C36" s="205" t="s">
        <v>486</v>
      </c>
      <c r="D36" s="206">
        <v>2.3088684495349749</v>
      </c>
      <c r="E36" s="207">
        <v>0.71558867052316177</v>
      </c>
      <c r="F36" s="207">
        <v>3.372276620707698</v>
      </c>
      <c r="G36" s="208" t="s">
        <v>10</v>
      </c>
      <c r="H36" s="217" t="s">
        <v>10</v>
      </c>
      <c r="I36" s="206">
        <v>2.2050000000000001</v>
      </c>
      <c r="J36" s="207">
        <v>0.76500000000000001</v>
      </c>
      <c r="K36" s="207">
        <v>3.54</v>
      </c>
      <c r="L36" s="232" t="s">
        <v>661</v>
      </c>
      <c r="M36" s="232" t="s">
        <v>661</v>
      </c>
      <c r="N36" s="211">
        <v>0.11666666666666668</v>
      </c>
      <c r="O36" s="212">
        <v>0.16333333333333333</v>
      </c>
      <c r="P36" s="212">
        <v>0.15</v>
      </c>
      <c r="Q36" s="212">
        <v>0.28000000000000003</v>
      </c>
      <c r="R36" s="212">
        <v>0.12</v>
      </c>
      <c r="S36" s="212">
        <v>0.12</v>
      </c>
      <c r="T36" s="213"/>
      <c r="U36" s="214"/>
      <c r="W36" s="215">
        <f t="shared" si="10"/>
        <v>2.3550458185256744</v>
      </c>
      <c r="X36" s="216">
        <f t="shared" si="10"/>
        <v>0.72990044393362508</v>
      </c>
      <c r="Y36" s="216">
        <f t="shared" si="10"/>
        <v>3.4397221531218518</v>
      </c>
      <c r="Z36" s="208" t="s">
        <v>10</v>
      </c>
      <c r="AA36" s="217" t="s">
        <v>10</v>
      </c>
      <c r="AB36" s="276">
        <f t="shared" si="8"/>
        <v>2.2491000000000003</v>
      </c>
      <c r="AC36" s="216">
        <f t="shared" si="8"/>
        <v>0.78029999999999999</v>
      </c>
      <c r="AD36" s="216">
        <f t="shared" si="8"/>
        <v>3.6108000000000002</v>
      </c>
      <c r="AE36" s="232" t="s">
        <v>661</v>
      </c>
      <c r="AF36" s="232" t="s">
        <v>661</v>
      </c>
      <c r="AG36" s="211">
        <v>0.11666666666666668</v>
      </c>
      <c r="AH36" s="212">
        <v>0.16333333333333333</v>
      </c>
      <c r="AI36" s="212">
        <v>0.15</v>
      </c>
      <c r="AJ36" s="212">
        <v>0.28000000000000003</v>
      </c>
      <c r="AK36" s="212">
        <v>0.12</v>
      </c>
      <c r="AL36" s="212">
        <v>0.12</v>
      </c>
      <c r="AM36" s="213"/>
      <c r="AN36" s="214"/>
    </row>
    <row r="37" spans="1:40" ht="15" x14ac:dyDescent="0.2">
      <c r="A37" s="150" t="s">
        <v>669</v>
      </c>
      <c r="B37" s="150" t="str">
        <f t="shared" si="0"/>
        <v>Health</v>
      </c>
      <c r="C37" s="167" t="s">
        <v>470</v>
      </c>
      <c r="D37" s="168">
        <v>2.6763121872753151</v>
      </c>
      <c r="E37" s="169">
        <v>1.3197949387717991</v>
      </c>
      <c r="F37" s="169">
        <v>4.6237335648016389</v>
      </c>
      <c r="G37" s="171" t="s">
        <v>10</v>
      </c>
      <c r="H37" s="181" t="s">
        <v>10</v>
      </c>
      <c r="I37" s="220">
        <v>2.91</v>
      </c>
      <c r="J37" s="169">
        <v>3.7</v>
      </c>
      <c r="K37" s="169">
        <v>3.87</v>
      </c>
      <c r="L37" s="239" t="s">
        <v>661</v>
      </c>
      <c r="M37" s="239" t="s">
        <v>661</v>
      </c>
      <c r="N37" s="175">
        <v>0.2</v>
      </c>
      <c r="O37" s="176">
        <v>0.16</v>
      </c>
      <c r="P37" s="242">
        <v>0.36</v>
      </c>
      <c r="Q37" s="177">
        <v>0.23</v>
      </c>
      <c r="R37" s="177">
        <v>0.12</v>
      </c>
      <c r="S37" s="177">
        <v>0.12</v>
      </c>
      <c r="T37" s="178"/>
      <c r="U37" s="179"/>
      <c r="W37" s="180">
        <f>+W38*1.1</f>
        <v>3.5497624758969715</v>
      </c>
      <c r="X37" s="180">
        <f>+X38*1.1</f>
        <v>2.066636142552766</v>
      </c>
      <c r="Y37" s="180">
        <f>+Y38*1.1</f>
        <v>3.1692120971730295</v>
      </c>
      <c r="Z37" s="171" t="s">
        <v>10</v>
      </c>
      <c r="AA37" s="181" t="s">
        <v>10</v>
      </c>
      <c r="AB37" s="180">
        <f>+AB38*1.1</f>
        <v>4.0728600000000004</v>
      </c>
      <c r="AC37" s="180">
        <f>+AC38*1.1</f>
        <v>4.8470400000000007</v>
      </c>
      <c r="AD37" s="180">
        <f>+AD38*1.1</f>
        <v>3.0967200000000004</v>
      </c>
      <c r="AE37" s="239" t="s">
        <v>661</v>
      </c>
      <c r="AF37" s="239" t="s">
        <v>661</v>
      </c>
      <c r="AG37" s="175">
        <v>0.2</v>
      </c>
      <c r="AH37" s="176">
        <v>0.16</v>
      </c>
      <c r="AI37" s="242">
        <v>0.36</v>
      </c>
      <c r="AJ37" s="177">
        <v>0.23</v>
      </c>
      <c r="AK37" s="177">
        <v>0.12</v>
      </c>
      <c r="AL37" s="177">
        <v>0.12</v>
      </c>
      <c r="AM37" s="178"/>
      <c r="AN37" s="179"/>
    </row>
    <row r="38" spans="1:40" ht="15" x14ac:dyDescent="0.2">
      <c r="A38" s="182" t="str">
        <f>A37</f>
        <v>Hospital / Health Facility</v>
      </c>
      <c r="B38" s="183" t="str">
        <f t="shared" si="0"/>
        <v>Health</v>
      </c>
      <c r="C38" s="184" t="s">
        <v>476</v>
      </c>
      <c r="D38" s="224">
        <v>3.1637811728136995</v>
      </c>
      <c r="E38" s="187">
        <v>1.8419216956798268</v>
      </c>
      <c r="F38" s="187">
        <v>2.8246097122754272</v>
      </c>
      <c r="G38" s="187" t="s">
        <v>10</v>
      </c>
      <c r="H38" s="196" t="s">
        <v>10</v>
      </c>
      <c r="I38" s="225">
        <v>3.63</v>
      </c>
      <c r="J38" s="187">
        <v>4.32</v>
      </c>
      <c r="K38" s="188">
        <v>2.76</v>
      </c>
      <c r="L38" s="225" t="s">
        <v>661</v>
      </c>
      <c r="M38" s="225" t="s">
        <v>661</v>
      </c>
      <c r="N38" s="189">
        <v>0.2</v>
      </c>
      <c r="O38" s="192">
        <v>0.22</v>
      </c>
      <c r="P38" s="190">
        <v>0.32</v>
      </c>
      <c r="Q38" s="191">
        <v>0.23</v>
      </c>
      <c r="R38" s="191">
        <v>0.12</v>
      </c>
      <c r="S38" s="191">
        <v>0.12</v>
      </c>
      <c r="T38" s="192"/>
      <c r="U38" s="193"/>
      <c r="W38" s="230">
        <f t="shared" ref="W38:Y39" si="11">D38*1.02</f>
        <v>3.2270567962699737</v>
      </c>
      <c r="X38" s="228">
        <f t="shared" si="11"/>
        <v>1.8787601295934233</v>
      </c>
      <c r="Y38" s="228">
        <f t="shared" si="11"/>
        <v>2.8811019065209358</v>
      </c>
      <c r="Z38" s="187" t="s">
        <v>10</v>
      </c>
      <c r="AA38" s="196" t="s">
        <v>10</v>
      </c>
      <c r="AB38" s="227">
        <f t="shared" ref="AB38:AD41" si="12">I38*1.02</f>
        <v>3.7025999999999999</v>
      </c>
      <c r="AC38" s="228">
        <f t="shared" si="12"/>
        <v>4.4064000000000005</v>
      </c>
      <c r="AD38" s="198">
        <f t="shared" si="12"/>
        <v>2.8151999999999999</v>
      </c>
      <c r="AE38" s="225" t="s">
        <v>661</v>
      </c>
      <c r="AF38" s="225" t="s">
        <v>661</v>
      </c>
      <c r="AG38" s="189">
        <v>0.2</v>
      </c>
      <c r="AH38" s="192">
        <v>0.22</v>
      </c>
      <c r="AI38" s="190">
        <v>0.32</v>
      </c>
      <c r="AJ38" s="191">
        <v>0.23</v>
      </c>
      <c r="AK38" s="191">
        <v>0.12</v>
      </c>
      <c r="AL38" s="191">
        <v>0.12</v>
      </c>
      <c r="AM38" s="192"/>
      <c r="AN38" s="193"/>
    </row>
    <row r="39" spans="1:40" ht="15" x14ac:dyDescent="0.2">
      <c r="A39" s="182" t="str">
        <f>A38</f>
        <v>Hospital / Health Facility</v>
      </c>
      <c r="B39" s="183" t="str">
        <f t="shared" si="0"/>
        <v>Health</v>
      </c>
      <c r="C39" s="184" t="s">
        <v>481</v>
      </c>
      <c r="D39" s="268">
        <v>2.9654452638519206</v>
      </c>
      <c r="E39" s="188">
        <v>1.051063705712924</v>
      </c>
      <c r="F39" s="188">
        <v>1.5739970930232559</v>
      </c>
      <c r="G39" s="187" t="s">
        <v>10</v>
      </c>
      <c r="H39" s="196" t="s">
        <v>10</v>
      </c>
      <c r="I39" s="269">
        <v>2.68</v>
      </c>
      <c r="J39" s="188">
        <v>2.66</v>
      </c>
      <c r="K39" s="186">
        <v>1.94</v>
      </c>
      <c r="L39" s="225" t="s">
        <v>661</v>
      </c>
      <c r="M39" s="225" t="s">
        <v>661</v>
      </c>
      <c r="N39" s="251">
        <v>0.2</v>
      </c>
      <c r="O39" s="190">
        <v>0.19</v>
      </c>
      <c r="P39" s="226">
        <v>0.4</v>
      </c>
      <c r="Q39" s="191">
        <v>0.23</v>
      </c>
      <c r="R39" s="191">
        <v>0.12</v>
      </c>
      <c r="S39" s="191">
        <v>0.12</v>
      </c>
      <c r="T39" s="192"/>
      <c r="U39" s="193"/>
      <c r="W39" s="270">
        <f t="shared" si="11"/>
        <v>3.024754169128959</v>
      </c>
      <c r="X39" s="198">
        <f t="shared" si="11"/>
        <v>1.0720849798271825</v>
      </c>
      <c r="Y39" s="198">
        <f t="shared" si="11"/>
        <v>1.6054770348837211</v>
      </c>
      <c r="Z39" s="187" t="s">
        <v>10</v>
      </c>
      <c r="AA39" s="196" t="s">
        <v>10</v>
      </c>
      <c r="AB39" s="197">
        <f t="shared" si="12"/>
        <v>2.7336</v>
      </c>
      <c r="AC39" s="198">
        <f t="shared" si="12"/>
        <v>2.7132000000000001</v>
      </c>
      <c r="AD39" s="195">
        <f t="shared" si="12"/>
        <v>1.9787999999999999</v>
      </c>
      <c r="AE39" s="225" t="s">
        <v>661</v>
      </c>
      <c r="AF39" s="225" t="s">
        <v>661</v>
      </c>
      <c r="AG39" s="251">
        <v>0.2</v>
      </c>
      <c r="AH39" s="190">
        <v>0.19</v>
      </c>
      <c r="AI39" s="226">
        <v>0.4</v>
      </c>
      <c r="AJ39" s="191">
        <v>0.23</v>
      </c>
      <c r="AK39" s="191">
        <v>0.12</v>
      </c>
      <c r="AL39" s="191">
        <v>0.12</v>
      </c>
      <c r="AM39" s="192"/>
      <c r="AN39" s="193"/>
    </row>
    <row r="40" spans="1:40" ht="15.75" thickBot="1" x14ac:dyDescent="0.25">
      <c r="A40" s="203" t="str">
        <f>A39</f>
        <v>Hospital / Health Facility</v>
      </c>
      <c r="B40" s="204" t="str">
        <f t="shared" si="0"/>
        <v>Health</v>
      </c>
      <c r="C40" s="205" t="s">
        <v>486</v>
      </c>
      <c r="D40" s="271">
        <v>3.7724997255118806</v>
      </c>
      <c r="E40" s="252">
        <v>1.5980835899281847</v>
      </c>
      <c r="F40" s="252">
        <v>2.1511132038593437</v>
      </c>
      <c r="G40" s="208" t="s">
        <v>10</v>
      </c>
      <c r="H40" s="217" t="s">
        <v>10</v>
      </c>
      <c r="I40" s="210">
        <v>1.89</v>
      </c>
      <c r="J40" s="252">
        <v>3.82</v>
      </c>
      <c r="K40" s="252">
        <v>3.24</v>
      </c>
      <c r="L40" s="232" t="s">
        <v>661</v>
      </c>
      <c r="M40" s="232" t="s">
        <v>661</v>
      </c>
      <c r="N40" s="211">
        <v>0.2</v>
      </c>
      <c r="O40" s="255">
        <v>0.18</v>
      </c>
      <c r="P40" s="255">
        <v>0.31</v>
      </c>
      <c r="Q40" s="212">
        <v>0.23</v>
      </c>
      <c r="R40" s="212">
        <v>0.12</v>
      </c>
      <c r="S40" s="212">
        <v>0.12</v>
      </c>
      <c r="T40" s="213"/>
      <c r="U40" s="214"/>
      <c r="W40" s="180">
        <f>+W39*0.9</f>
        <v>2.722278752216063</v>
      </c>
      <c r="X40" s="180">
        <f>+X39*0.9</f>
        <v>0.96487648184446428</v>
      </c>
      <c r="Y40" s="180">
        <f>+Y39*0.9</f>
        <v>1.4449293313953491</v>
      </c>
      <c r="Z40" s="208" t="s">
        <v>10</v>
      </c>
      <c r="AA40" s="217" t="s">
        <v>10</v>
      </c>
      <c r="AB40" s="256">
        <f t="shared" si="12"/>
        <v>1.9278</v>
      </c>
      <c r="AC40" s="273">
        <f t="shared" si="12"/>
        <v>3.8963999999999999</v>
      </c>
      <c r="AD40" s="273">
        <f t="shared" si="12"/>
        <v>3.3048000000000002</v>
      </c>
      <c r="AE40" s="232" t="s">
        <v>661</v>
      </c>
      <c r="AF40" s="232" t="s">
        <v>661</v>
      </c>
      <c r="AG40" s="211">
        <v>0.2</v>
      </c>
      <c r="AH40" s="255">
        <v>0.18</v>
      </c>
      <c r="AI40" s="255">
        <v>0.31</v>
      </c>
      <c r="AJ40" s="212">
        <v>0.23</v>
      </c>
      <c r="AK40" s="212">
        <v>0.12</v>
      </c>
      <c r="AL40" s="212">
        <v>0.12</v>
      </c>
      <c r="AM40" s="213"/>
      <c r="AN40" s="214"/>
    </row>
    <row r="41" spans="1:40" ht="15" x14ac:dyDescent="0.2">
      <c r="A41" s="150" t="s">
        <v>670</v>
      </c>
      <c r="B41" s="150" t="str">
        <f t="shared" si="0"/>
        <v>Hotel</v>
      </c>
      <c r="C41" s="167" t="s">
        <v>470</v>
      </c>
      <c r="D41" s="237">
        <v>3.7620638619829547</v>
      </c>
      <c r="E41" s="171">
        <v>1.6223097256944516</v>
      </c>
      <c r="F41" s="171">
        <v>1.3253364311593605</v>
      </c>
      <c r="G41" s="171" t="s">
        <v>10</v>
      </c>
      <c r="H41" s="181" t="s">
        <v>10</v>
      </c>
      <c r="I41" s="239">
        <v>2.6197151671009293</v>
      </c>
      <c r="J41" s="171">
        <v>2.0133012865872413</v>
      </c>
      <c r="K41" s="171">
        <v>1.580790621466321</v>
      </c>
      <c r="L41" s="171"/>
      <c r="M41" s="181"/>
      <c r="N41" s="250">
        <v>0.1</v>
      </c>
      <c r="O41" s="178">
        <v>0.13</v>
      </c>
      <c r="P41" s="242">
        <v>0.48</v>
      </c>
      <c r="Q41" s="177">
        <v>0.23</v>
      </c>
      <c r="R41" s="177">
        <v>0.12</v>
      </c>
      <c r="S41" s="242">
        <v>0.18</v>
      </c>
      <c r="T41" s="242">
        <v>0.05</v>
      </c>
      <c r="U41" s="179"/>
      <c r="W41" s="243">
        <f t="shared" ref="W41:Y44" si="13">D41*1.02</f>
        <v>3.8373051392226141</v>
      </c>
      <c r="X41" s="244">
        <f t="shared" si="13"/>
        <v>1.6547559202083406</v>
      </c>
      <c r="Y41" s="244">
        <f t="shared" si="13"/>
        <v>1.3518431597825478</v>
      </c>
      <c r="Z41" s="171" t="s">
        <v>10</v>
      </c>
      <c r="AA41" s="181" t="s">
        <v>10</v>
      </c>
      <c r="AB41" s="245">
        <f t="shared" si="12"/>
        <v>2.672109470442948</v>
      </c>
      <c r="AC41" s="244">
        <f t="shared" si="12"/>
        <v>2.0535673123189859</v>
      </c>
      <c r="AD41" s="244">
        <f t="shared" si="12"/>
        <v>1.6124064338956474</v>
      </c>
      <c r="AE41" s="171"/>
      <c r="AF41" s="181"/>
      <c r="AG41" s="250">
        <v>0.1</v>
      </c>
      <c r="AH41" s="178">
        <v>0.13</v>
      </c>
      <c r="AI41" s="242">
        <v>0.48</v>
      </c>
      <c r="AJ41" s="177">
        <v>0.23</v>
      </c>
      <c r="AK41" s="177">
        <v>0.12</v>
      </c>
      <c r="AL41" s="242">
        <v>0.18</v>
      </c>
      <c r="AM41" s="242">
        <v>0.05</v>
      </c>
      <c r="AN41" s="179"/>
    </row>
    <row r="42" spans="1:40" ht="15" x14ac:dyDescent="0.2">
      <c r="A42" s="182" t="str">
        <f>A41</f>
        <v>Hotel / Club</v>
      </c>
      <c r="B42" s="183" t="str">
        <f t="shared" si="0"/>
        <v>Hotel</v>
      </c>
      <c r="C42" s="184" t="s">
        <v>476</v>
      </c>
      <c r="D42" s="268">
        <v>2.0524230292793737</v>
      </c>
      <c r="E42" s="188">
        <v>0.88874180620030363</v>
      </c>
      <c r="F42" s="188">
        <v>1.581065127925221</v>
      </c>
      <c r="G42" s="187" t="s">
        <v>10</v>
      </c>
      <c r="H42" s="196" t="s">
        <v>10</v>
      </c>
      <c r="I42" s="269">
        <v>1.002101328826611</v>
      </c>
      <c r="J42" s="188">
        <v>2.8512605227139667</v>
      </c>
      <c r="K42" s="188">
        <v>2.9963243433699538</v>
      </c>
      <c r="L42" s="187"/>
      <c r="M42" s="196"/>
      <c r="N42" s="189">
        <v>0.1</v>
      </c>
      <c r="O42" s="226">
        <v>0.17</v>
      </c>
      <c r="P42" s="226">
        <v>0.31</v>
      </c>
      <c r="Q42" s="191">
        <v>0.23</v>
      </c>
      <c r="R42" s="191">
        <v>0.12</v>
      </c>
      <c r="S42" s="191">
        <v>0.12</v>
      </c>
      <c r="T42" s="192"/>
      <c r="U42" s="193"/>
      <c r="W42" s="270">
        <f t="shared" si="13"/>
        <v>2.0934714898649611</v>
      </c>
      <c r="X42" s="198">
        <f t="shared" si="13"/>
        <v>0.90651664232430973</v>
      </c>
      <c r="Y42" s="198">
        <f t="shared" si="13"/>
        <v>1.6126864304837254</v>
      </c>
      <c r="Z42" s="187" t="s">
        <v>10</v>
      </c>
      <c r="AA42" s="196" t="s">
        <v>10</v>
      </c>
      <c r="AB42" s="180">
        <f>+AB43*1.1</f>
        <v>2.2391989430759556</v>
      </c>
      <c r="AC42" s="180">
        <f>+AC43*1.1</f>
        <v>3.2806706967130395</v>
      </c>
      <c r="AD42" s="180">
        <f>+AD43*1.1</f>
        <v>1.6646655288365597</v>
      </c>
      <c r="AE42" s="187"/>
      <c r="AF42" s="196"/>
      <c r="AG42" s="189">
        <v>0.1</v>
      </c>
      <c r="AH42" s="226">
        <v>0.17</v>
      </c>
      <c r="AI42" s="226">
        <v>0.31</v>
      </c>
      <c r="AJ42" s="191">
        <v>0.23</v>
      </c>
      <c r="AK42" s="191">
        <v>0.12</v>
      </c>
      <c r="AL42" s="191">
        <v>0.12</v>
      </c>
      <c r="AM42" s="192"/>
      <c r="AN42" s="193"/>
    </row>
    <row r="43" spans="1:40" ht="15" x14ac:dyDescent="0.2">
      <c r="A43" s="182" t="str">
        <f>A42</f>
        <v>Hotel / Club</v>
      </c>
      <c r="B43" s="183" t="str">
        <f t="shared" si="0"/>
        <v>Hotel</v>
      </c>
      <c r="C43" s="184" t="s">
        <v>481</v>
      </c>
      <c r="D43" s="224">
        <v>2.917817360985226</v>
      </c>
      <c r="E43" s="187">
        <v>1.4822638070801115</v>
      </c>
      <c r="F43" s="187">
        <v>1.4034600070321483</v>
      </c>
      <c r="G43" s="187" t="s">
        <v>10</v>
      </c>
      <c r="H43" s="196" t="s">
        <v>10</v>
      </c>
      <c r="I43" s="225">
        <v>1.99572098313365</v>
      </c>
      <c r="J43" s="187">
        <v>2.9239489275517285</v>
      </c>
      <c r="K43" s="187">
        <v>1.4836591166101243</v>
      </c>
      <c r="L43" s="187"/>
      <c r="M43" s="196"/>
      <c r="N43" s="189">
        <v>0.1</v>
      </c>
      <c r="O43" s="192">
        <v>0.2</v>
      </c>
      <c r="P43" s="226">
        <v>0.13</v>
      </c>
      <c r="Q43" s="191">
        <v>0.23</v>
      </c>
      <c r="R43" s="191">
        <v>0.12</v>
      </c>
      <c r="S43" s="191">
        <v>0.12</v>
      </c>
      <c r="T43" s="192"/>
      <c r="U43" s="193"/>
      <c r="W43" s="230">
        <f t="shared" si="13"/>
        <v>2.9761737082049304</v>
      </c>
      <c r="X43" s="228">
        <f t="shared" si="13"/>
        <v>1.5119090832217137</v>
      </c>
      <c r="Y43" s="228">
        <f t="shared" si="13"/>
        <v>1.4315292071727914</v>
      </c>
      <c r="Z43" s="187" t="s">
        <v>10</v>
      </c>
      <c r="AA43" s="196" t="s">
        <v>10</v>
      </c>
      <c r="AB43" s="227">
        <f t="shared" ref="AB43:AD45" si="14">I43*1.02</f>
        <v>2.035635402796323</v>
      </c>
      <c r="AC43" s="228">
        <f t="shared" si="14"/>
        <v>2.982427906102763</v>
      </c>
      <c r="AD43" s="228">
        <f t="shared" si="14"/>
        <v>1.5133322989423268</v>
      </c>
      <c r="AE43" s="187"/>
      <c r="AF43" s="196"/>
      <c r="AG43" s="189">
        <v>0.1</v>
      </c>
      <c r="AH43" s="192">
        <v>0.2</v>
      </c>
      <c r="AI43" s="226">
        <v>0.13</v>
      </c>
      <c r="AJ43" s="191">
        <v>0.23</v>
      </c>
      <c r="AK43" s="191">
        <v>0.12</v>
      </c>
      <c r="AL43" s="191">
        <v>0.12</v>
      </c>
      <c r="AM43" s="192"/>
      <c r="AN43" s="193"/>
    </row>
    <row r="44" spans="1:40" ht="15.75" thickBot="1" x14ac:dyDescent="0.25">
      <c r="A44" s="203" t="str">
        <f>A43</f>
        <v>Hotel / Club</v>
      </c>
      <c r="B44" s="204" t="str">
        <f t="shared" si="0"/>
        <v>Hotel</v>
      </c>
      <c r="C44" s="205" t="s">
        <v>486</v>
      </c>
      <c r="D44" s="231">
        <v>2.6138188489030854</v>
      </c>
      <c r="E44" s="208">
        <v>1.6770298836317117</v>
      </c>
      <c r="F44" s="208">
        <v>1.4627242340981015</v>
      </c>
      <c r="G44" s="208" t="s">
        <v>10</v>
      </c>
      <c r="H44" s="217" t="s">
        <v>10</v>
      </c>
      <c r="I44" s="232">
        <v>1.5246534114377204</v>
      </c>
      <c r="J44" s="208">
        <v>2.6066077508717891</v>
      </c>
      <c r="K44" s="208">
        <v>1.5228165908829976</v>
      </c>
      <c r="L44" s="208"/>
      <c r="M44" s="217"/>
      <c r="N44" s="211">
        <v>0.1</v>
      </c>
      <c r="O44" s="213">
        <v>0.19</v>
      </c>
      <c r="P44" s="255">
        <v>0.35</v>
      </c>
      <c r="Q44" s="212">
        <v>0.23</v>
      </c>
      <c r="R44" s="212">
        <v>0.12</v>
      </c>
      <c r="S44" s="255">
        <v>0.05</v>
      </c>
      <c r="T44" s="213"/>
      <c r="U44" s="214"/>
      <c r="W44" s="234">
        <f t="shared" si="13"/>
        <v>2.666095225881147</v>
      </c>
      <c r="X44" s="235">
        <f t="shared" si="13"/>
        <v>1.7105704813043459</v>
      </c>
      <c r="Y44" s="235">
        <f t="shared" si="13"/>
        <v>1.4919787187800635</v>
      </c>
      <c r="Z44" s="208" t="s">
        <v>10</v>
      </c>
      <c r="AA44" s="217" t="s">
        <v>10</v>
      </c>
      <c r="AB44" s="236">
        <f t="shared" si="14"/>
        <v>1.5551464796664749</v>
      </c>
      <c r="AC44" s="235">
        <f t="shared" si="14"/>
        <v>2.6587399058892247</v>
      </c>
      <c r="AD44" s="235">
        <f t="shared" si="14"/>
        <v>1.5532729227006576</v>
      </c>
      <c r="AE44" s="208"/>
      <c r="AF44" s="217"/>
      <c r="AG44" s="211">
        <v>0.1</v>
      </c>
      <c r="AH44" s="213">
        <v>0.19</v>
      </c>
      <c r="AI44" s="255">
        <v>0.35</v>
      </c>
      <c r="AJ44" s="212">
        <v>0.23</v>
      </c>
      <c r="AK44" s="212">
        <v>0.12</v>
      </c>
      <c r="AL44" s="255">
        <v>0.05</v>
      </c>
      <c r="AM44" s="213"/>
      <c r="AN44" s="214"/>
    </row>
    <row r="45" spans="1:40" ht="15" x14ac:dyDescent="0.2">
      <c r="A45" s="150" t="s">
        <v>671</v>
      </c>
      <c r="B45" s="150" t="str">
        <f t="shared" si="0"/>
        <v/>
      </c>
      <c r="C45" s="167" t="s">
        <v>470</v>
      </c>
      <c r="D45" s="219">
        <v>2.6780426070553491</v>
      </c>
      <c r="E45" s="173">
        <v>1.7039268994612859</v>
      </c>
      <c r="F45" s="173">
        <v>2.7240049513129452</v>
      </c>
      <c r="G45" s="171" t="s">
        <v>10</v>
      </c>
      <c r="H45" s="181" t="s">
        <v>10</v>
      </c>
      <c r="I45" s="172">
        <v>2.5853399116363409</v>
      </c>
      <c r="J45" s="173">
        <v>3.7446818177457155</v>
      </c>
      <c r="K45" s="173">
        <v>4.7630866009092658</v>
      </c>
      <c r="L45" s="171"/>
      <c r="M45" s="181"/>
      <c r="N45" s="250">
        <v>0.09</v>
      </c>
      <c r="O45" s="176">
        <v>0.21</v>
      </c>
      <c r="P45" s="242">
        <v>0.38</v>
      </c>
      <c r="Q45" s="177">
        <v>0.23</v>
      </c>
      <c r="R45" s="177">
        <v>0.12</v>
      </c>
      <c r="S45" s="177">
        <v>0.12</v>
      </c>
      <c r="T45" s="178"/>
      <c r="U45" s="179"/>
      <c r="W45" s="180">
        <f>+W46*1.1</f>
        <v>6.8701289836034851</v>
      </c>
      <c r="X45" s="180">
        <f>+X46*1.1</f>
        <v>3.2913152218635235</v>
      </c>
      <c r="Y45" s="180">
        <f>+Y46*1.1</f>
        <v>14.966855228644567</v>
      </c>
      <c r="Z45" s="171" t="s">
        <v>10</v>
      </c>
      <c r="AA45" s="181" t="s">
        <v>10</v>
      </c>
      <c r="AB45" s="274">
        <f t="shared" si="14"/>
        <v>2.6370467098690678</v>
      </c>
      <c r="AC45" s="222">
        <f t="shared" si="14"/>
        <v>3.8195754541006299</v>
      </c>
      <c r="AD45" s="222">
        <f t="shared" si="14"/>
        <v>4.8583483329274513</v>
      </c>
      <c r="AE45" s="171"/>
      <c r="AF45" s="181"/>
      <c r="AG45" s="250">
        <v>0.09</v>
      </c>
      <c r="AH45" s="176">
        <v>0.21</v>
      </c>
      <c r="AI45" s="242">
        <v>0.38</v>
      </c>
      <c r="AJ45" s="177">
        <v>0.23</v>
      </c>
      <c r="AK45" s="177">
        <v>0.12</v>
      </c>
      <c r="AL45" s="177">
        <v>0.12</v>
      </c>
      <c r="AM45" s="178"/>
      <c r="AN45" s="179"/>
    </row>
    <row r="46" spans="1:40" ht="15" x14ac:dyDescent="0.2">
      <c r="A46" s="182" t="str">
        <f>A45</f>
        <v>Indoor Public Facility / Concert Hall</v>
      </c>
      <c r="B46" s="183" t="str">
        <f t="shared" si="0"/>
        <v/>
      </c>
      <c r="C46" s="184" t="s">
        <v>476</v>
      </c>
      <c r="D46" s="268">
        <v>6.1231096110547982</v>
      </c>
      <c r="E46" s="188">
        <v>2.9334360266163308</v>
      </c>
      <c r="F46" s="188">
        <v>13.339443162784818</v>
      </c>
      <c r="G46" s="187" t="s">
        <v>10</v>
      </c>
      <c r="H46" s="196" t="s">
        <v>10</v>
      </c>
      <c r="I46" s="262">
        <v>6.4579781036175206</v>
      </c>
      <c r="J46" s="186">
        <v>6.0661970153074174</v>
      </c>
      <c r="K46" s="186">
        <v>5.0013694445322292</v>
      </c>
      <c r="L46" s="187"/>
      <c r="M46" s="196"/>
      <c r="N46" s="251">
        <v>7.0000000000000007E-2</v>
      </c>
      <c r="O46" s="226">
        <v>0.12</v>
      </c>
      <c r="P46" s="226">
        <v>0.17</v>
      </c>
      <c r="Q46" s="191">
        <v>0.23</v>
      </c>
      <c r="R46" s="191">
        <v>0.12</v>
      </c>
      <c r="S46" s="191">
        <v>0.12</v>
      </c>
      <c r="T46" s="192"/>
      <c r="U46" s="193"/>
      <c r="W46" s="270">
        <f t="shared" ref="W46:Y52" si="15">D46*1.02</f>
        <v>6.2455718032758947</v>
      </c>
      <c r="X46" s="198">
        <f t="shared" si="15"/>
        <v>2.9921047471486575</v>
      </c>
      <c r="Y46" s="198">
        <f t="shared" si="15"/>
        <v>13.606232026040514</v>
      </c>
      <c r="Z46" s="187" t="s">
        <v>10</v>
      </c>
      <c r="AA46" s="196" t="s">
        <v>10</v>
      </c>
      <c r="AB46" s="180">
        <f>+AB47*1.1</f>
        <v>3.0736050726562918</v>
      </c>
      <c r="AC46" s="180">
        <f>+AC47*1.1</f>
        <v>4.1135733447851655</v>
      </c>
      <c r="AD46" s="180">
        <f>+AD47*1.1</f>
        <v>5.4778598414926796</v>
      </c>
      <c r="AE46" s="187"/>
      <c r="AF46" s="196"/>
      <c r="AG46" s="251">
        <v>7.0000000000000007E-2</v>
      </c>
      <c r="AH46" s="226">
        <v>0.12</v>
      </c>
      <c r="AI46" s="226">
        <v>0.17</v>
      </c>
      <c r="AJ46" s="191">
        <v>0.23</v>
      </c>
      <c r="AK46" s="191">
        <v>0.12</v>
      </c>
      <c r="AL46" s="191">
        <v>0.12</v>
      </c>
      <c r="AM46" s="192"/>
      <c r="AN46" s="193"/>
    </row>
    <row r="47" spans="1:40" ht="15" x14ac:dyDescent="0.2">
      <c r="A47" s="182" t="str">
        <f>A46</f>
        <v>Indoor Public Facility / Concert Hall</v>
      </c>
      <c r="B47" s="183" t="str">
        <f t="shared" si="0"/>
        <v/>
      </c>
      <c r="C47" s="184" t="s">
        <v>481</v>
      </c>
      <c r="D47" s="185">
        <v>4.3839098060194202</v>
      </c>
      <c r="E47" s="186">
        <v>2.2199492356270061</v>
      </c>
      <c r="F47" s="170">
        <v>8.0317240570488817</v>
      </c>
      <c r="G47" s="187" t="s">
        <v>10</v>
      </c>
      <c r="H47" s="196" t="s">
        <v>10</v>
      </c>
      <c r="I47" s="262">
        <v>2.7393984604779784</v>
      </c>
      <c r="J47" s="186">
        <v>3.6662864035518403</v>
      </c>
      <c r="K47" s="170">
        <v>4.8822280227207475</v>
      </c>
      <c r="L47" s="187"/>
      <c r="M47" s="196"/>
      <c r="N47" s="251">
        <v>7.0000000000000007E-2</v>
      </c>
      <c r="O47" s="226">
        <v>0.15</v>
      </c>
      <c r="P47" s="191">
        <v>0.27500000000000002</v>
      </c>
      <c r="Q47" s="191">
        <v>0.23</v>
      </c>
      <c r="R47" s="191">
        <v>0.12</v>
      </c>
      <c r="S47" s="191">
        <v>0.12</v>
      </c>
      <c r="T47" s="192"/>
      <c r="U47" s="193"/>
      <c r="W47" s="194">
        <f t="shared" si="15"/>
        <v>4.4715880021398089</v>
      </c>
      <c r="X47" s="195">
        <f t="shared" si="15"/>
        <v>2.2643482203395462</v>
      </c>
      <c r="Y47" s="201">
        <f t="shared" si="15"/>
        <v>8.1923585381898594</v>
      </c>
      <c r="Z47" s="187" t="s">
        <v>10</v>
      </c>
      <c r="AA47" s="196" t="s">
        <v>10</v>
      </c>
      <c r="AB47" s="264">
        <f>I47*1.02</f>
        <v>2.7941864296875378</v>
      </c>
      <c r="AC47" s="195">
        <f>J47*1.02</f>
        <v>3.7396121316228772</v>
      </c>
      <c r="AD47" s="201">
        <f>K47*1.02</f>
        <v>4.9798725831751627</v>
      </c>
      <c r="AE47" s="187"/>
      <c r="AF47" s="196"/>
      <c r="AG47" s="251">
        <v>7.0000000000000007E-2</v>
      </c>
      <c r="AH47" s="226">
        <v>0.15</v>
      </c>
      <c r="AI47" s="191">
        <v>0.27500000000000002</v>
      </c>
      <c r="AJ47" s="191">
        <v>0.23</v>
      </c>
      <c r="AK47" s="191">
        <v>0.12</v>
      </c>
      <c r="AL47" s="191">
        <v>0.12</v>
      </c>
      <c r="AM47" s="192"/>
      <c r="AN47" s="193"/>
    </row>
    <row r="48" spans="1:40" ht="15.75" thickBot="1" x14ac:dyDescent="0.25">
      <c r="A48" s="203" t="str">
        <f>A47</f>
        <v>Indoor Public Facility / Concert Hall</v>
      </c>
      <c r="B48" s="204" t="str">
        <f t="shared" si="0"/>
        <v/>
      </c>
      <c r="C48" s="205" t="s">
        <v>486</v>
      </c>
      <c r="D48" s="265">
        <v>4.3950206747098557</v>
      </c>
      <c r="E48" s="207">
        <v>2.2857707205682076</v>
      </c>
      <c r="F48" s="207">
        <v>8.0317240570488817</v>
      </c>
      <c r="G48" s="208" t="s">
        <v>10</v>
      </c>
      <c r="H48" s="217" t="s">
        <v>10</v>
      </c>
      <c r="I48" s="265">
        <v>3.9275721585772803</v>
      </c>
      <c r="J48" s="207">
        <v>4.4923884122016577</v>
      </c>
      <c r="K48" s="207">
        <v>4.8822280227207475</v>
      </c>
      <c r="L48" s="208"/>
      <c r="M48" s="217"/>
      <c r="N48" s="211">
        <v>7.6666666666666675E-2</v>
      </c>
      <c r="O48" s="212">
        <v>0.16</v>
      </c>
      <c r="P48" s="212">
        <v>0.27500000000000002</v>
      </c>
      <c r="Q48" s="212">
        <v>0.23</v>
      </c>
      <c r="R48" s="212">
        <v>0.12</v>
      </c>
      <c r="S48" s="212">
        <v>0.12</v>
      </c>
      <c r="T48" s="213"/>
      <c r="U48" s="214"/>
      <c r="W48" s="266">
        <f t="shared" si="15"/>
        <v>4.4829210882040531</v>
      </c>
      <c r="X48" s="216">
        <f t="shared" si="15"/>
        <v>2.3314861349795719</v>
      </c>
      <c r="Y48" s="216">
        <f t="shared" si="15"/>
        <v>8.1923585381898594</v>
      </c>
      <c r="Z48" s="208" t="s">
        <v>10</v>
      </c>
      <c r="AA48" s="217" t="s">
        <v>10</v>
      </c>
      <c r="AB48" s="277">
        <f>+AB47*0.9</f>
        <v>2.5147677867187843</v>
      </c>
      <c r="AC48" s="277">
        <f>+AC47*0.9</f>
        <v>3.3656509184605894</v>
      </c>
      <c r="AD48" s="277">
        <f>+AD47*0.9</f>
        <v>4.4818853248576467</v>
      </c>
      <c r="AE48" s="208"/>
      <c r="AF48" s="217"/>
      <c r="AG48" s="211">
        <v>7.6666666666666675E-2</v>
      </c>
      <c r="AH48" s="212">
        <v>0.16</v>
      </c>
      <c r="AI48" s="212">
        <v>0.27500000000000002</v>
      </c>
      <c r="AJ48" s="212">
        <v>0.23</v>
      </c>
      <c r="AK48" s="212">
        <v>0.12</v>
      </c>
      <c r="AL48" s="212">
        <v>0.12</v>
      </c>
      <c r="AM48" s="213"/>
      <c r="AN48" s="214"/>
    </row>
    <row r="49" spans="1:40" ht="15" x14ac:dyDescent="0.2">
      <c r="A49" s="150" t="s">
        <v>672</v>
      </c>
      <c r="B49" s="150" t="str">
        <f t="shared" si="0"/>
        <v>Light Manufacturing</v>
      </c>
      <c r="C49" s="167" t="s">
        <v>470</v>
      </c>
      <c r="D49" s="278">
        <v>2.9058907599118862</v>
      </c>
      <c r="E49" s="174">
        <v>2.0245098039215685</v>
      </c>
      <c r="F49" s="174">
        <v>1.1636311220020303</v>
      </c>
      <c r="G49" s="171" t="s">
        <v>10</v>
      </c>
      <c r="H49" s="181" t="s">
        <v>10</v>
      </c>
      <c r="I49" s="279">
        <v>2.1676933138886088</v>
      </c>
      <c r="J49" s="174">
        <v>0.65403694852941208</v>
      </c>
      <c r="K49" s="174">
        <v>1.79</v>
      </c>
      <c r="L49" s="171"/>
      <c r="M49" s="181"/>
      <c r="N49" s="175">
        <v>0.09</v>
      </c>
      <c r="O49" s="177">
        <v>7.0000000000000007E-2</v>
      </c>
      <c r="P49" s="177">
        <v>0.15</v>
      </c>
      <c r="Q49" s="177">
        <v>0.23</v>
      </c>
      <c r="R49" s="177">
        <v>0.12</v>
      </c>
      <c r="S49" s="177">
        <v>0.12</v>
      </c>
      <c r="T49" s="178"/>
      <c r="U49" s="179"/>
      <c r="W49" s="280">
        <f t="shared" si="15"/>
        <v>2.9640085751101237</v>
      </c>
      <c r="X49" s="223">
        <f t="shared" si="15"/>
        <v>2.0649999999999999</v>
      </c>
      <c r="Y49" s="223">
        <f t="shared" si="15"/>
        <v>1.1869037444420709</v>
      </c>
      <c r="Z49" s="171" t="s">
        <v>10</v>
      </c>
      <c r="AA49" s="181" t="s">
        <v>10</v>
      </c>
      <c r="AB49" s="281">
        <f t="shared" ref="AB49:AD53" si="16">I49*1.02</f>
        <v>2.2110471801663811</v>
      </c>
      <c r="AC49" s="223">
        <f t="shared" si="16"/>
        <v>0.66711768750000033</v>
      </c>
      <c r="AD49" s="223">
        <f t="shared" si="16"/>
        <v>1.8258000000000001</v>
      </c>
      <c r="AE49" s="171"/>
      <c r="AF49" s="181"/>
      <c r="AG49" s="175">
        <v>0.09</v>
      </c>
      <c r="AH49" s="177">
        <v>7.0000000000000007E-2</v>
      </c>
      <c r="AI49" s="177">
        <v>0.15</v>
      </c>
      <c r="AJ49" s="177">
        <v>0.23</v>
      </c>
      <c r="AK49" s="177">
        <v>0.12</v>
      </c>
      <c r="AL49" s="177">
        <v>0.12</v>
      </c>
      <c r="AM49" s="178"/>
      <c r="AN49" s="179"/>
    </row>
    <row r="50" spans="1:40" ht="15" x14ac:dyDescent="0.2">
      <c r="A50" s="182" t="str">
        <f>A49</f>
        <v>Industrial and Manufacturing</v>
      </c>
      <c r="B50" s="183" t="str">
        <f t="shared" si="0"/>
        <v>Light Manufacturing</v>
      </c>
      <c r="C50" s="184" t="s">
        <v>476</v>
      </c>
      <c r="D50" s="185">
        <v>2.9058907599118862</v>
      </c>
      <c r="E50" s="186">
        <v>2.0245098039215685</v>
      </c>
      <c r="F50" s="170">
        <v>1.1636311220020303</v>
      </c>
      <c r="G50" s="187" t="s">
        <v>10</v>
      </c>
      <c r="H50" s="196" t="s">
        <v>10</v>
      </c>
      <c r="I50" s="262">
        <v>2.1676933138886088</v>
      </c>
      <c r="J50" s="186">
        <v>0.65403694852941208</v>
      </c>
      <c r="K50" s="170">
        <v>1.79</v>
      </c>
      <c r="L50" s="187"/>
      <c r="M50" s="196"/>
      <c r="N50" s="251">
        <v>0.09</v>
      </c>
      <c r="O50" s="226">
        <v>7.0000000000000007E-2</v>
      </c>
      <c r="P50" s="191">
        <v>0.16</v>
      </c>
      <c r="Q50" s="191">
        <v>0.23</v>
      </c>
      <c r="R50" s="191">
        <v>0.12</v>
      </c>
      <c r="S50" s="191">
        <v>0.12</v>
      </c>
      <c r="T50" s="192"/>
      <c r="U50" s="193"/>
      <c r="W50" s="194">
        <f t="shared" si="15"/>
        <v>2.9640085751101237</v>
      </c>
      <c r="X50" s="195">
        <f t="shared" si="15"/>
        <v>2.0649999999999999</v>
      </c>
      <c r="Y50" s="201">
        <f t="shared" si="15"/>
        <v>1.1869037444420709</v>
      </c>
      <c r="Z50" s="187" t="s">
        <v>10</v>
      </c>
      <c r="AA50" s="196" t="s">
        <v>10</v>
      </c>
      <c r="AB50" s="264">
        <f t="shared" si="16"/>
        <v>2.2110471801663811</v>
      </c>
      <c r="AC50" s="195">
        <f t="shared" si="16"/>
        <v>0.66711768750000033</v>
      </c>
      <c r="AD50" s="201">
        <f t="shared" si="16"/>
        <v>1.8258000000000001</v>
      </c>
      <c r="AE50" s="187"/>
      <c r="AF50" s="196"/>
      <c r="AG50" s="251">
        <v>0.09</v>
      </c>
      <c r="AH50" s="226">
        <v>7.0000000000000007E-2</v>
      </c>
      <c r="AI50" s="191">
        <v>0.16</v>
      </c>
      <c r="AJ50" s="191">
        <v>0.23</v>
      </c>
      <c r="AK50" s="191">
        <v>0.12</v>
      </c>
      <c r="AL50" s="191">
        <v>0.12</v>
      </c>
      <c r="AM50" s="192"/>
      <c r="AN50" s="193"/>
    </row>
    <row r="51" spans="1:40" ht="15" x14ac:dyDescent="0.2">
      <c r="A51" s="182" t="str">
        <f>A50</f>
        <v>Industrial and Manufacturing</v>
      </c>
      <c r="B51" s="183" t="str">
        <f t="shared" si="0"/>
        <v>Light Manufacturing</v>
      </c>
      <c r="C51" s="184" t="s">
        <v>481</v>
      </c>
      <c r="D51" s="282">
        <v>2.9058907599118862</v>
      </c>
      <c r="E51" s="170">
        <v>2.0245098039215685</v>
      </c>
      <c r="F51" s="170">
        <v>1.1636311220020303</v>
      </c>
      <c r="G51" s="187" t="s">
        <v>10</v>
      </c>
      <c r="H51" s="196" t="s">
        <v>10</v>
      </c>
      <c r="I51" s="283">
        <v>2.1676933138886088</v>
      </c>
      <c r="J51" s="170">
        <v>0.65403694852941208</v>
      </c>
      <c r="K51" s="170">
        <v>1.79</v>
      </c>
      <c r="L51" s="187"/>
      <c r="M51" s="196"/>
      <c r="N51" s="189">
        <v>0.09</v>
      </c>
      <c r="O51" s="191">
        <v>7.0000000000000007E-2</v>
      </c>
      <c r="P51" s="191">
        <v>0.17</v>
      </c>
      <c r="Q51" s="191">
        <v>0.23</v>
      </c>
      <c r="R51" s="191">
        <v>0.12</v>
      </c>
      <c r="S51" s="191">
        <v>0.12</v>
      </c>
      <c r="T51" s="192"/>
      <c r="U51" s="193"/>
      <c r="W51" s="284">
        <f t="shared" si="15"/>
        <v>2.9640085751101237</v>
      </c>
      <c r="X51" s="201">
        <f t="shared" si="15"/>
        <v>2.0649999999999999</v>
      </c>
      <c r="Y51" s="201">
        <f t="shared" si="15"/>
        <v>1.1869037444420709</v>
      </c>
      <c r="Z51" s="187" t="s">
        <v>10</v>
      </c>
      <c r="AA51" s="196" t="s">
        <v>10</v>
      </c>
      <c r="AB51" s="202">
        <f t="shared" si="16"/>
        <v>2.2110471801663811</v>
      </c>
      <c r="AC51" s="201">
        <f t="shared" si="16"/>
        <v>0.66711768750000033</v>
      </c>
      <c r="AD51" s="201">
        <f t="shared" si="16"/>
        <v>1.8258000000000001</v>
      </c>
      <c r="AE51" s="187"/>
      <c r="AF51" s="196"/>
      <c r="AG51" s="189">
        <v>0.09</v>
      </c>
      <c r="AH51" s="191">
        <v>7.0000000000000007E-2</v>
      </c>
      <c r="AI51" s="191">
        <v>0.17</v>
      </c>
      <c r="AJ51" s="191">
        <v>0.23</v>
      </c>
      <c r="AK51" s="191">
        <v>0.12</v>
      </c>
      <c r="AL51" s="191">
        <v>0.12</v>
      </c>
      <c r="AM51" s="192"/>
      <c r="AN51" s="193"/>
    </row>
    <row r="52" spans="1:40" ht="15.75" thickBot="1" x14ac:dyDescent="0.25">
      <c r="A52" s="203" t="str">
        <f>A51</f>
        <v>Industrial and Manufacturing</v>
      </c>
      <c r="B52" s="204" t="str">
        <f t="shared" si="0"/>
        <v>Light Manufacturing</v>
      </c>
      <c r="C52" s="205" t="s">
        <v>486</v>
      </c>
      <c r="D52" s="265">
        <v>2.9058907599118862</v>
      </c>
      <c r="E52" s="207">
        <v>2.0245098039215685</v>
      </c>
      <c r="F52" s="207">
        <v>1.1636311220020303</v>
      </c>
      <c r="G52" s="208" t="s">
        <v>10</v>
      </c>
      <c r="H52" s="217" t="s">
        <v>10</v>
      </c>
      <c r="I52" s="285">
        <v>2.1676933138886088</v>
      </c>
      <c r="J52" s="207">
        <v>0.65403694852941208</v>
      </c>
      <c r="K52" s="207">
        <v>1.79</v>
      </c>
      <c r="L52" s="208"/>
      <c r="M52" s="217"/>
      <c r="N52" s="211">
        <v>0.09</v>
      </c>
      <c r="O52" s="212">
        <v>7.0000000000000007E-2</v>
      </c>
      <c r="P52" s="212">
        <v>0.15</v>
      </c>
      <c r="Q52" s="212">
        <v>0.23</v>
      </c>
      <c r="R52" s="212">
        <v>0.12</v>
      </c>
      <c r="S52" s="212">
        <v>0.12</v>
      </c>
      <c r="T52" s="213"/>
      <c r="U52" s="214"/>
      <c r="W52" s="266">
        <f t="shared" si="15"/>
        <v>2.9640085751101237</v>
      </c>
      <c r="X52" s="216">
        <f t="shared" si="15"/>
        <v>2.0649999999999999</v>
      </c>
      <c r="Y52" s="216">
        <f t="shared" si="15"/>
        <v>1.1869037444420709</v>
      </c>
      <c r="Z52" s="208" t="s">
        <v>10</v>
      </c>
      <c r="AA52" s="217" t="s">
        <v>10</v>
      </c>
      <c r="AB52" s="218">
        <f t="shared" si="16"/>
        <v>2.2110471801663811</v>
      </c>
      <c r="AC52" s="216">
        <f t="shared" si="16"/>
        <v>0.66711768750000033</v>
      </c>
      <c r="AD52" s="216">
        <f t="shared" si="16"/>
        <v>1.8258000000000001</v>
      </c>
      <c r="AE52" s="208"/>
      <c r="AF52" s="217"/>
      <c r="AG52" s="211">
        <v>0.09</v>
      </c>
      <c r="AH52" s="212">
        <v>7.0000000000000007E-2</v>
      </c>
      <c r="AI52" s="212">
        <v>0.15</v>
      </c>
      <c r="AJ52" s="212">
        <v>0.23</v>
      </c>
      <c r="AK52" s="212">
        <v>0.12</v>
      </c>
      <c r="AL52" s="212">
        <v>0.12</v>
      </c>
      <c r="AM52" s="213"/>
      <c r="AN52" s="214"/>
    </row>
    <row r="53" spans="1:40" ht="15" x14ac:dyDescent="0.2">
      <c r="A53" s="150" t="s">
        <v>673</v>
      </c>
      <c r="B53" s="150" t="str">
        <f t="shared" si="0"/>
        <v/>
      </c>
      <c r="C53" s="167" t="s">
        <v>470</v>
      </c>
      <c r="D53" s="219">
        <v>4.1604046211559806</v>
      </c>
      <c r="E53" s="173">
        <v>1.3662532735969526</v>
      </c>
      <c r="F53" s="174">
        <v>1.1636311220020303</v>
      </c>
      <c r="G53" s="171" t="s">
        <v>10</v>
      </c>
      <c r="H53" s="181" t="s">
        <v>10</v>
      </c>
      <c r="I53" s="172">
        <v>1.7693839891862688</v>
      </c>
      <c r="J53" s="173">
        <v>0.14422179543716485</v>
      </c>
      <c r="K53" s="174">
        <v>1.79</v>
      </c>
      <c r="L53" s="171"/>
      <c r="M53" s="181"/>
      <c r="N53" s="250">
        <v>0.05</v>
      </c>
      <c r="O53" s="242">
        <v>0.02</v>
      </c>
      <c r="P53" s="177">
        <v>0.28000000000000003</v>
      </c>
      <c r="Q53" s="177">
        <v>0.23</v>
      </c>
      <c r="R53" s="177">
        <v>0.12</v>
      </c>
      <c r="S53" s="177">
        <v>0.12</v>
      </c>
      <c r="T53" s="178"/>
      <c r="U53" s="179"/>
      <c r="W53" s="180">
        <f t="shared" ref="W53:Y55" si="17">+W54*1.1</f>
        <v>2.0629596197374385</v>
      </c>
      <c r="X53" s="180">
        <f t="shared" si="17"/>
        <v>1.1550203048631138</v>
      </c>
      <c r="Y53" s="180">
        <f t="shared" si="17"/>
        <v>1.5797688838523967</v>
      </c>
      <c r="Z53" s="171" t="s">
        <v>10</v>
      </c>
      <c r="AA53" s="181" t="s">
        <v>10</v>
      </c>
      <c r="AB53" s="274">
        <f t="shared" si="16"/>
        <v>1.8047716689699942</v>
      </c>
      <c r="AC53" s="222">
        <f t="shared" si="16"/>
        <v>0.14710623134590814</v>
      </c>
      <c r="AD53" s="223">
        <f t="shared" si="16"/>
        <v>1.8258000000000001</v>
      </c>
      <c r="AE53" s="171"/>
      <c r="AF53" s="181"/>
      <c r="AG53" s="250">
        <v>0.05</v>
      </c>
      <c r="AH53" s="242">
        <v>0.02</v>
      </c>
      <c r="AI53" s="177">
        <v>0.28000000000000003</v>
      </c>
      <c r="AJ53" s="177">
        <v>0.23</v>
      </c>
      <c r="AK53" s="177">
        <v>0.12</v>
      </c>
      <c r="AL53" s="177">
        <v>0.12</v>
      </c>
      <c r="AM53" s="178"/>
      <c r="AN53" s="179"/>
    </row>
    <row r="54" spans="1:40" ht="15" x14ac:dyDescent="0.2">
      <c r="A54" s="182" t="str">
        <f>A53</f>
        <v>Loft Building</v>
      </c>
      <c r="B54" s="183" t="str">
        <f t="shared" si="0"/>
        <v/>
      </c>
      <c r="C54" s="184" t="s">
        <v>476</v>
      </c>
      <c r="D54" s="185">
        <v>0.34122340425531916</v>
      </c>
      <c r="E54" s="186">
        <v>0.33528368794326241</v>
      </c>
      <c r="F54" s="170">
        <v>1.1636311220020303</v>
      </c>
      <c r="G54" s="187" t="s">
        <v>10</v>
      </c>
      <c r="H54" s="196" t="s">
        <v>10</v>
      </c>
      <c r="I54" s="262">
        <v>0.99668168683510627</v>
      </c>
      <c r="J54" s="186">
        <v>0.2485824044769504</v>
      </c>
      <c r="K54" s="170">
        <v>1.79</v>
      </c>
      <c r="L54" s="187"/>
      <c r="M54" s="196"/>
      <c r="N54" s="189">
        <v>6.6666666666666666E-2</v>
      </c>
      <c r="O54" s="226">
        <v>0.31</v>
      </c>
      <c r="P54" s="191">
        <v>0.28000000000000003</v>
      </c>
      <c r="Q54" s="191">
        <v>0.23</v>
      </c>
      <c r="R54" s="191">
        <v>0.12</v>
      </c>
      <c r="S54" s="191">
        <v>0.12</v>
      </c>
      <c r="T54" s="192"/>
      <c r="U54" s="193"/>
      <c r="W54" s="180">
        <f t="shared" si="17"/>
        <v>1.8754178361249438</v>
      </c>
      <c r="X54" s="180">
        <f t="shared" si="17"/>
        <v>1.0500184589664669</v>
      </c>
      <c r="Y54" s="180">
        <f t="shared" si="17"/>
        <v>1.436153530774906</v>
      </c>
      <c r="Z54" s="187" t="s">
        <v>10</v>
      </c>
      <c r="AA54" s="196" t="s">
        <v>10</v>
      </c>
      <c r="AB54" s="180">
        <f t="shared" ref="AB54:AD55" si="18">+AB55*1.1</f>
        <v>1.5201395286328656</v>
      </c>
      <c r="AC54" s="180">
        <f t="shared" si="18"/>
        <v>0.24239947176700055</v>
      </c>
      <c r="AD54" s="180">
        <f t="shared" si="18"/>
        <v>2.2092180000000003</v>
      </c>
      <c r="AE54" s="187"/>
      <c r="AF54" s="196"/>
      <c r="AG54" s="189">
        <v>6.6666666666666666E-2</v>
      </c>
      <c r="AH54" s="226">
        <v>0.31</v>
      </c>
      <c r="AI54" s="191">
        <v>0.28000000000000003</v>
      </c>
      <c r="AJ54" s="191">
        <v>0.23</v>
      </c>
      <c r="AK54" s="191">
        <v>0.12</v>
      </c>
      <c r="AL54" s="191">
        <v>0.12</v>
      </c>
      <c r="AM54" s="192"/>
      <c r="AN54" s="193"/>
    </row>
    <row r="55" spans="1:40" ht="15" x14ac:dyDescent="0.2">
      <c r="A55" s="182" t="str">
        <f>A54</f>
        <v>Loft Building</v>
      </c>
      <c r="B55" s="183" t="str">
        <f t="shared" si="0"/>
        <v/>
      </c>
      <c r="C55" s="184" t="s">
        <v>481</v>
      </c>
      <c r="D55" s="268">
        <v>4.7761174520875755</v>
      </c>
      <c r="E55" s="170">
        <v>0.85076848077010758</v>
      </c>
      <c r="F55" s="170">
        <v>1.1636311220020303</v>
      </c>
      <c r="G55" s="187" t="s">
        <v>10</v>
      </c>
      <c r="H55" s="196" t="s">
        <v>10</v>
      </c>
      <c r="I55" s="269">
        <v>2.381540838657735</v>
      </c>
      <c r="J55" s="170">
        <v>0.19640209995705762</v>
      </c>
      <c r="K55" s="170">
        <v>1.79</v>
      </c>
      <c r="L55" s="187"/>
      <c r="M55" s="196"/>
      <c r="N55" s="229">
        <v>0.06</v>
      </c>
      <c r="O55" s="191">
        <v>0.16500000000000001</v>
      </c>
      <c r="P55" s="191">
        <v>0.28000000000000003</v>
      </c>
      <c r="Q55" s="191">
        <v>0.23</v>
      </c>
      <c r="R55" s="191">
        <v>0.12</v>
      </c>
      <c r="S55" s="191">
        <v>0.12</v>
      </c>
      <c r="T55" s="192"/>
      <c r="U55" s="193"/>
      <c r="W55" s="180">
        <f t="shared" si="17"/>
        <v>1.7049253055681306</v>
      </c>
      <c r="X55" s="180">
        <f t="shared" si="17"/>
        <v>0.95456223542406082</v>
      </c>
      <c r="Y55" s="180">
        <f t="shared" si="17"/>
        <v>1.3055941188862781</v>
      </c>
      <c r="Z55" s="187" t="s">
        <v>10</v>
      </c>
      <c r="AA55" s="196" t="s">
        <v>10</v>
      </c>
      <c r="AB55" s="180">
        <f t="shared" si="18"/>
        <v>1.3819450260298778</v>
      </c>
      <c r="AC55" s="180">
        <f t="shared" si="18"/>
        <v>0.22036315615181867</v>
      </c>
      <c r="AD55" s="180">
        <f t="shared" si="18"/>
        <v>2.0083800000000003</v>
      </c>
      <c r="AE55" s="187"/>
      <c r="AF55" s="196"/>
      <c r="AG55" s="229">
        <v>0.06</v>
      </c>
      <c r="AH55" s="191">
        <v>0.16500000000000001</v>
      </c>
      <c r="AI55" s="191">
        <v>0.28000000000000003</v>
      </c>
      <c r="AJ55" s="191">
        <v>0.23</v>
      </c>
      <c r="AK55" s="191">
        <v>0.12</v>
      </c>
      <c r="AL55" s="191">
        <v>0.12</v>
      </c>
      <c r="AM55" s="192"/>
      <c r="AN55" s="193"/>
    </row>
    <row r="56" spans="1:40" ht="15.75" thickBot="1" x14ac:dyDescent="0.25">
      <c r="A56" s="203" t="str">
        <f>A55</f>
        <v>Loft Building</v>
      </c>
      <c r="B56" s="204" t="str">
        <f t="shared" si="0"/>
        <v/>
      </c>
      <c r="C56" s="205" t="s">
        <v>486</v>
      </c>
      <c r="D56" s="271">
        <v>1.519541270559831</v>
      </c>
      <c r="E56" s="207">
        <v>0.85076848077010758</v>
      </c>
      <c r="F56" s="207">
        <v>1.1636311220020303</v>
      </c>
      <c r="G56" s="208" t="s">
        <v>10</v>
      </c>
      <c r="H56" s="217" t="s">
        <v>10</v>
      </c>
      <c r="I56" s="210">
        <v>1.2316800588501584</v>
      </c>
      <c r="J56" s="207">
        <v>0.19640209995705762</v>
      </c>
      <c r="K56" s="207">
        <v>1.79</v>
      </c>
      <c r="L56" s="208"/>
      <c r="M56" s="217"/>
      <c r="N56" s="254">
        <v>0.09</v>
      </c>
      <c r="O56" s="212">
        <v>0.16500000000000001</v>
      </c>
      <c r="P56" s="212">
        <v>0.28000000000000003</v>
      </c>
      <c r="Q56" s="212">
        <v>0.23</v>
      </c>
      <c r="R56" s="212">
        <v>0.12</v>
      </c>
      <c r="S56" s="212">
        <v>0.12</v>
      </c>
      <c r="T56" s="213"/>
      <c r="U56" s="214"/>
      <c r="W56" s="272">
        <f t="shared" ref="W56:Y59" si="19">D56*1.02</f>
        <v>1.5499320959710277</v>
      </c>
      <c r="X56" s="216">
        <f t="shared" si="19"/>
        <v>0.86778385038550976</v>
      </c>
      <c r="Y56" s="216">
        <f t="shared" si="19"/>
        <v>1.1869037444420709</v>
      </c>
      <c r="Z56" s="208" t="s">
        <v>10</v>
      </c>
      <c r="AA56" s="217" t="s">
        <v>10</v>
      </c>
      <c r="AB56" s="256">
        <f t="shared" ref="AB56:AD57" si="20">I56*1.02</f>
        <v>1.2563136600271616</v>
      </c>
      <c r="AC56" s="216">
        <f t="shared" si="20"/>
        <v>0.20033014195619878</v>
      </c>
      <c r="AD56" s="216">
        <f t="shared" si="20"/>
        <v>1.8258000000000001</v>
      </c>
      <c r="AE56" s="208"/>
      <c r="AF56" s="217"/>
      <c r="AG56" s="254">
        <v>0.09</v>
      </c>
      <c r="AH56" s="212">
        <v>0.16500000000000001</v>
      </c>
      <c r="AI56" s="212">
        <v>0.28000000000000003</v>
      </c>
      <c r="AJ56" s="212">
        <v>0.23</v>
      </c>
      <c r="AK56" s="212">
        <v>0.12</v>
      </c>
      <c r="AL56" s="212">
        <v>0.12</v>
      </c>
      <c r="AM56" s="213"/>
      <c r="AN56" s="214"/>
    </row>
    <row r="57" spans="1:40" ht="15" x14ac:dyDescent="0.2">
      <c r="A57" s="150" t="s">
        <v>674</v>
      </c>
      <c r="B57" s="150" t="str">
        <f t="shared" si="0"/>
        <v/>
      </c>
      <c r="C57" s="167" t="s">
        <v>470</v>
      </c>
      <c r="D57" s="219">
        <v>2.5566419387566728</v>
      </c>
      <c r="E57" s="173">
        <v>0.90854092300636824</v>
      </c>
      <c r="F57" s="174">
        <v>1.0938764660530502</v>
      </c>
      <c r="G57" s="171" t="s">
        <v>10</v>
      </c>
      <c r="H57" s="181" t="s">
        <v>10</v>
      </c>
      <c r="I57" s="172">
        <v>2.3431725366630762</v>
      </c>
      <c r="J57" s="173">
        <v>0.5983587642903162</v>
      </c>
      <c r="K57" s="174">
        <v>1.1625874520947774</v>
      </c>
      <c r="L57" s="171"/>
      <c r="M57" s="181"/>
      <c r="N57" s="250">
        <v>0.14000000000000001</v>
      </c>
      <c r="O57" s="242">
        <v>0.1</v>
      </c>
      <c r="P57" s="177">
        <v>0.25666666666666665</v>
      </c>
      <c r="Q57" s="177">
        <v>0.23</v>
      </c>
      <c r="R57" s="177">
        <v>0.12</v>
      </c>
      <c r="S57" s="177">
        <v>0.12</v>
      </c>
      <c r="T57" s="178"/>
      <c r="U57" s="179"/>
      <c r="W57" s="221">
        <f t="shared" si="19"/>
        <v>2.6077747775318061</v>
      </c>
      <c r="X57" s="222">
        <f t="shared" si="19"/>
        <v>0.9267117414664956</v>
      </c>
      <c r="Y57" s="223">
        <f t="shared" si="19"/>
        <v>1.1157539953741114</v>
      </c>
      <c r="Z57" s="171" t="s">
        <v>10</v>
      </c>
      <c r="AA57" s="181" t="s">
        <v>10</v>
      </c>
      <c r="AB57" s="274">
        <f t="shared" si="20"/>
        <v>2.3900359873963377</v>
      </c>
      <c r="AC57" s="222">
        <f t="shared" si="20"/>
        <v>0.61032593957612258</v>
      </c>
      <c r="AD57" s="223">
        <f t="shared" si="20"/>
        <v>1.185839201136673</v>
      </c>
      <c r="AE57" s="171"/>
      <c r="AF57" s="181"/>
      <c r="AG57" s="250">
        <v>0.14000000000000001</v>
      </c>
      <c r="AH57" s="242">
        <v>0.1</v>
      </c>
      <c r="AI57" s="177">
        <v>0.25666666666666665</v>
      </c>
      <c r="AJ57" s="177">
        <v>0.23</v>
      </c>
      <c r="AK57" s="177">
        <v>0.12</v>
      </c>
      <c r="AL57" s="177">
        <v>0.12</v>
      </c>
      <c r="AM57" s="178"/>
      <c r="AN57" s="179"/>
    </row>
    <row r="58" spans="1:40" ht="15" x14ac:dyDescent="0.2">
      <c r="A58" s="182" t="str">
        <f>A57</f>
        <v>Mixed Use (Residential &amp; Commercial)</v>
      </c>
      <c r="B58" s="183" t="str">
        <f t="shared" si="0"/>
        <v/>
      </c>
      <c r="C58" s="184" t="s">
        <v>476</v>
      </c>
      <c r="D58" s="224">
        <v>1.7452667116944225</v>
      </c>
      <c r="E58" s="187">
        <v>0.50787749905278745</v>
      </c>
      <c r="F58" s="187">
        <v>1.228683193597307</v>
      </c>
      <c r="G58" s="187" t="s">
        <v>10</v>
      </c>
      <c r="H58" s="196" t="s">
        <v>10</v>
      </c>
      <c r="I58" s="225">
        <v>1.4752533583237299</v>
      </c>
      <c r="J58" s="187">
        <v>1.784457106048863</v>
      </c>
      <c r="K58" s="187">
        <v>1.5159449749532821</v>
      </c>
      <c r="L58" s="187"/>
      <c r="M58" s="196"/>
      <c r="N58" s="189">
        <v>0.12666666666666668</v>
      </c>
      <c r="O58" s="226">
        <v>0.17</v>
      </c>
      <c r="P58" s="190">
        <v>0.26</v>
      </c>
      <c r="Q58" s="191">
        <v>0.23</v>
      </c>
      <c r="R58" s="191">
        <v>0.12</v>
      </c>
      <c r="S58" s="191">
        <v>0.12</v>
      </c>
      <c r="T58" s="192"/>
      <c r="U58" s="193"/>
      <c r="W58" s="230">
        <f t="shared" si="19"/>
        <v>1.780172045928311</v>
      </c>
      <c r="X58" s="228">
        <f t="shared" si="19"/>
        <v>0.51803504903384323</v>
      </c>
      <c r="Y58" s="228">
        <f t="shared" si="19"/>
        <v>1.2532568574692533</v>
      </c>
      <c r="Z58" s="187" t="s">
        <v>10</v>
      </c>
      <c r="AA58" s="196" t="s">
        <v>10</v>
      </c>
      <c r="AB58" s="180">
        <f>+AB59*1.1</f>
        <v>1.9215056582568477</v>
      </c>
      <c r="AC58" s="180">
        <f>+AC59*1.1</f>
        <v>1.5419776782742598</v>
      </c>
      <c r="AD58" s="180">
        <f>+AD59*1.1</f>
        <v>2.0077902789768443</v>
      </c>
      <c r="AE58" s="187"/>
      <c r="AF58" s="196"/>
      <c r="AG58" s="189">
        <v>0.12666666666666668</v>
      </c>
      <c r="AH58" s="226">
        <v>0.17</v>
      </c>
      <c r="AI58" s="190">
        <v>0.26</v>
      </c>
      <c r="AJ58" s="191">
        <v>0.23</v>
      </c>
      <c r="AK58" s="191">
        <v>0.12</v>
      </c>
      <c r="AL58" s="191">
        <v>0.12</v>
      </c>
      <c r="AM58" s="192"/>
      <c r="AN58" s="193"/>
    </row>
    <row r="59" spans="1:40" ht="15" x14ac:dyDescent="0.2">
      <c r="A59" s="182" t="str">
        <f>A58</f>
        <v>Mixed Use (Residential &amp; Commercial)</v>
      </c>
      <c r="B59" s="183" t="str">
        <f t="shared" si="0"/>
        <v/>
      </c>
      <c r="C59" s="184" t="s">
        <v>481</v>
      </c>
      <c r="D59" s="224">
        <v>1.6786882487367847</v>
      </c>
      <c r="E59" s="187">
        <v>0.81217365750723136</v>
      </c>
      <c r="F59" s="187">
        <v>1.5514499091361682</v>
      </c>
      <c r="G59" s="187" t="s">
        <v>10</v>
      </c>
      <c r="H59" s="196" t="s">
        <v>10</v>
      </c>
      <c r="I59" s="225">
        <v>1.712571887929454</v>
      </c>
      <c r="J59" s="187">
        <v>1.3743116562159177</v>
      </c>
      <c r="K59" s="187">
        <v>1.7894744019401463</v>
      </c>
      <c r="L59" s="187"/>
      <c r="M59" s="196"/>
      <c r="N59" s="251">
        <v>0.11</v>
      </c>
      <c r="O59" s="192">
        <v>0.19</v>
      </c>
      <c r="P59" s="226">
        <v>0.33</v>
      </c>
      <c r="Q59" s="191">
        <v>0.23</v>
      </c>
      <c r="R59" s="191">
        <v>0.12</v>
      </c>
      <c r="S59" s="191">
        <v>0.12</v>
      </c>
      <c r="T59" s="192"/>
      <c r="U59" s="193"/>
      <c r="W59" s="230">
        <f t="shared" si="19"/>
        <v>1.7122620137115203</v>
      </c>
      <c r="X59" s="228">
        <f t="shared" si="19"/>
        <v>0.82841713065737599</v>
      </c>
      <c r="Y59" s="228">
        <f t="shared" si="19"/>
        <v>1.5824789073188916</v>
      </c>
      <c r="Z59" s="187" t="s">
        <v>10</v>
      </c>
      <c r="AA59" s="196" t="s">
        <v>10</v>
      </c>
      <c r="AB59" s="227">
        <f t="shared" ref="AB59:AD61" si="21">I59*1.02</f>
        <v>1.7468233256880432</v>
      </c>
      <c r="AC59" s="228">
        <f t="shared" si="21"/>
        <v>1.4017978893402361</v>
      </c>
      <c r="AD59" s="228">
        <f t="shared" si="21"/>
        <v>1.8252638899789493</v>
      </c>
      <c r="AE59" s="187"/>
      <c r="AF59" s="196"/>
      <c r="AG59" s="251">
        <v>0.11</v>
      </c>
      <c r="AH59" s="192">
        <v>0.19</v>
      </c>
      <c r="AI59" s="226">
        <v>0.33</v>
      </c>
      <c r="AJ59" s="191">
        <v>0.23</v>
      </c>
      <c r="AK59" s="191">
        <v>0.12</v>
      </c>
      <c r="AL59" s="191">
        <v>0.12</v>
      </c>
      <c r="AM59" s="192"/>
      <c r="AN59" s="193"/>
    </row>
    <row r="60" spans="1:40" ht="15.75" thickBot="1" x14ac:dyDescent="0.25">
      <c r="A60" s="203" t="str">
        <f>A59</f>
        <v>Mixed Use (Residential &amp; Commercial)</v>
      </c>
      <c r="B60" s="204" t="str">
        <f t="shared" si="0"/>
        <v/>
      </c>
      <c r="C60" s="205" t="s">
        <v>486</v>
      </c>
      <c r="D60" s="231">
        <v>2.0142009836683532</v>
      </c>
      <c r="E60" s="208">
        <v>0.84087730664105798</v>
      </c>
      <c r="F60" s="208">
        <v>0.50149629542567575</v>
      </c>
      <c r="G60" s="208" t="s">
        <v>10</v>
      </c>
      <c r="H60" s="217" t="s">
        <v>10</v>
      </c>
      <c r="I60" s="232">
        <v>1.0376502007676858</v>
      </c>
      <c r="J60" s="208">
        <v>1.057615000531938</v>
      </c>
      <c r="K60" s="208">
        <v>0.18234297939090427</v>
      </c>
      <c r="L60" s="208"/>
      <c r="M60" s="217"/>
      <c r="N60" s="254">
        <v>0.13</v>
      </c>
      <c r="O60" s="213">
        <v>0.17</v>
      </c>
      <c r="P60" s="255">
        <v>0.18</v>
      </c>
      <c r="Q60" s="212">
        <v>0.23</v>
      </c>
      <c r="R60" s="212">
        <v>0.12</v>
      </c>
      <c r="S60" s="212">
        <v>0.12</v>
      </c>
      <c r="T60" s="213"/>
      <c r="U60" s="214"/>
      <c r="W60" s="180">
        <f t="shared" ref="W60:Y63" si="22">+W61*1.1</f>
        <v>3.8054509792772153</v>
      </c>
      <c r="X60" s="180">
        <f t="shared" si="22"/>
        <v>1.438659715691996</v>
      </c>
      <c r="Y60" s="180">
        <f t="shared" si="22"/>
        <v>2.5308120790537227</v>
      </c>
      <c r="Z60" s="208" t="s">
        <v>10</v>
      </c>
      <c r="AA60" s="217" t="s">
        <v>10</v>
      </c>
      <c r="AB60" s="236">
        <f t="shared" si="21"/>
        <v>1.0584032047830394</v>
      </c>
      <c r="AC60" s="235">
        <f t="shared" si="21"/>
        <v>1.0787673005425769</v>
      </c>
      <c r="AD60" s="235">
        <f t="shared" si="21"/>
        <v>0.18598983897872237</v>
      </c>
      <c r="AE60" s="208"/>
      <c r="AF60" s="217"/>
      <c r="AG60" s="254">
        <v>0.13</v>
      </c>
      <c r="AH60" s="213">
        <v>0.17</v>
      </c>
      <c r="AI60" s="255">
        <v>0.18</v>
      </c>
      <c r="AJ60" s="212">
        <v>0.23</v>
      </c>
      <c r="AK60" s="212">
        <v>0.12</v>
      </c>
      <c r="AL60" s="212">
        <v>0.12</v>
      </c>
      <c r="AM60" s="213"/>
      <c r="AN60" s="214"/>
    </row>
    <row r="61" spans="1:40" ht="15" x14ac:dyDescent="0.2">
      <c r="A61" s="150" t="s">
        <v>675</v>
      </c>
      <c r="B61" s="150" t="str">
        <f t="shared" si="0"/>
        <v/>
      </c>
      <c r="C61" s="167" t="s">
        <v>470</v>
      </c>
      <c r="D61" s="237">
        <v>17.708139264398454</v>
      </c>
      <c r="E61" s="171">
        <v>1.409937230506372</v>
      </c>
      <c r="F61" s="174">
        <v>2.1428700699036414</v>
      </c>
      <c r="G61" s="171" t="s">
        <v>10</v>
      </c>
      <c r="H61" s="181" t="s">
        <v>10</v>
      </c>
      <c r="I61" s="239">
        <v>2.600420525554743</v>
      </c>
      <c r="J61" s="171">
        <v>0.63668394092331293</v>
      </c>
      <c r="K61" s="174">
        <v>2.6197960372182161</v>
      </c>
      <c r="L61" s="171"/>
      <c r="M61" s="181"/>
      <c r="N61" s="241">
        <v>0.06</v>
      </c>
      <c r="O61" s="176">
        <v>0.08</v>
      </c>
      <c r="P61" s="177">
        <v>0.28000000000000003</v>
      </c>
      <c r="Q61" s="177">
        <v>0.23</v>
      </c>
      <c r="R61" s="177">
        <v>0.12</v>
      </c>
      <c r="S61" s="177">
        <v>0.12</v>
      </c>
      <c r="T61" s="178"/>
      <c r="U61" s="179"/>
      <c r="W61" s="180">
        <f t="shared" si="22"/>
        <v>3.4595008902520137</v>
      </c>
      <c r="X61" s="180">
        <f t="shared" si="22"/>
        <v>1.3078724688109054</v>
      </c>
      <c r="Y61" s="180">
        <f t="shared" si="22"/>
        <v>2.3007382536852021</v>
      </c>
      <c r="Z61" s="171" t="s">
        <v>10</v>
      </c>
      <c r="AA61" s="181" t="s">
        <v>10</v>
      </c>
      <c r="AB61" s="245">
        <f t="shared" si="21"/>
        <v>2.6524289360658377</v>
      </c>
      <c r="AC61" s="244">
        <f t="shared" si="21"/>
        <v>0.64941761974177925</v>
      </c>
      <c r="AD61" s="223">
        <f t="shared" si="21"/>
        <v>2.6721919579625806</v>
      </c>
      <c r="AE61" s="171"/>
      <c r="AF61" s="181"/>
      <c r="AG61" s="241">
        <v>0.06</v>
      </c>
      <c r="AH61" s="176">
        <v>0.08</v>
      </c>
      <c r="AI61" s="177">
        <v>0.28000000000000003</v>
      </c>
      <c r="AJ61" s="177">
        <v>0.23</v>
      </c>
      <c r="AK61" s="177">
        <v>0.12</v>
      </c>
      <c r="AL61" s="177">
        <v>0.12</v>
      </c>
      <c r="AM61" s="178"/>
      <c r="AN61" s="179"/>
    </row>
    <row r="62" spans="1:40" ht="15" x14ac:dyDescent="0.2">
      <c r="A62" s="182" t="str">
        <f>A61</f>
        <v>Mixed Use (Retail/Restaurant &amp; Commercial/Residential)</v>
      </c>
      <c r="B62" s="183" t="str">
        <f t="shared" si="0"/>
        <v/>
      </c>
      <c r="C62" s="184" t="s">
        <v>476</v>
      </c>
      <c r="D62" s="268">
        <v>2.0286261627089774</v>
      </c>
      <c r="E62" s="188">
        <v>0.78441050281599034</v>
      </c>
      <c r="F62" s="188">
        <v>2.1428700699036414</v>
      </c>
      <c r="G62" s="187" t="s">
        <v>10</v>
      </c>
      <c r="H62" s="196" t="s">
        <v>10</v>
      </c>
      <c r="I62" s="269">
        <v>1.8325493564139164</v>
      </c>
      <c r="J62" s="188">
        <v>1.3812957705941389</v>
      </c>
      <c r="K62" s="188">
        <v>2.6197960372182161</v>
      </c>
      <c r="L62" s="187"/>
      <c r="M62" s="196"/>
      <c r="N62" s="251">
        <v>0.02</v>
      </c>
      <c r="O62" s="190">
        <v>0.16</v>
      </c>
      <c r="P62" s="226">
        <v>0.24</v>
      </c>
      <c r="Q62" s="191">
        <v>0.23</v>
      </c>
      <c r="R62" s="191">
        <v>0.12</v>
      </c>
      <c r="S62" s="191">
        <v>0.12</v>
      </c>
      <c r="T62" s="192"/>
      <c r="U62" s="193"/>
      <c r="W62" s="180">
        <f t="shared" si="22"/>
        <v>3.1450008093200124</v>
      </c>
      <c r="X62" s="180">
        <f t="shared" si="22"/>
        <v>1.1889749716462774</v>
      </c>
      <c r="Y62" s="180">
        <f t="shared" si="22"/>
        <v>2.091580230622911</v>
      </c>
      <c r="Z62" s="187" t="s">
        <v>10</v>
      </c>
      <c r="AA62" s="196" t="s">
        <v>10</v>
      </c>
      <c r="AB62" s="180">
        <f>+AB63*1.1</f>
        <v>2.3277453176829868</v>
      </c>
      <c r="AC62" s="180">
        <f>+AC63*1.1</f>
        <v>1.2624889524508465</v>
      </c>
      <c r="AD62" s="180">
        <f>+AD63*1.1</f>
        <v>3.2093157525936564</v>
      </c>
      <c r="AE62" s="187"/>
      <c r="AF62" s="196"/>
      <c r="AG62" s="251">
        <v>0.02</v>
      </c>
      <c r="AH62" s="190">
        <v>0.16</v>
      </c>
      <c r="AI62" s="226">
        <v>0.24</v>
      </c>
      <c r="AJ62" s="191">
        <v>0.23</v>
      </c>
      <c r="AK62" s="191">
        <v>0.12</v>
      </c>
      <c r="AL62" s="191">
        <v>0.12</v>
      </c>
      <c r="AM62" s="192"/>
      <c r="AN62" s="193"/>
    </row>
    <row r="63" spans="1:40" ht="15" x14ac:dyDescent="0.2">
      <c r="A63" s="182" t="str">
        <f>A62</f>
        <v>Mixed Use (Retail/Restaurant &amp; Commercial/Residential)</v>
      </c>
      <c r="B63" s="183" t="str">
        <f t="shared" si="0"/>
        <v/>
      </c>
      <c r="C63" s="184" t="s">
        <v>481</v>
      </c>
      <c r="D63" s="224">
        <v>3.6302155975133101</v>
      </c>
      <c r="E63" s="187">
        <v>0.97159224669907485</v>
      </c>
      <c r="F63" s="187">
        <v>1.6946850029354323</v>
      </c>
      <c r="G63" s="187" t="s">
        <v>10</v>
      </c>
      <c r="H63" s="196" t="s">
        <v>10</v>
      </c>
      <c r="I63" s="225">
        <v>2.0746393205730715</v>
      </c>
      <c r="J63" s="187">
        <v>1.1252129700987934</v>
      </c>
      <c r="K63" s="187">
        <v>2.8603527206717079</v>
      </c>
      <c r="L63" s="187"/>
      <c r="M63" s="196"/>
      <c r="N63" s="247">
        <v>0.06</v>
      </c>
      <c r="O63" s="192">
        <v>0.11</v>
      </c>
      <c r="P63" s="226">
        <v>0.32</v>
      </c>
      <c r="Q63" s="191">
        <v>0.23</v>
      </c>
      <c r="R63" s="191">
        <v>0.12</v>
      </c>
      <c r="S63" s="191">
        <v>0.12</v>
      </c>
      <c r="T63" s="192"/>
      <c r="U63" s="193"/>
      <c r="W63" s="180">
        <f t="shared" si="22"/>
        <v>2.8590916448363748</v>
      </c>
      <c r="X63" s="180">
        <f t="shared" si="22"/>
        <v>1.080886337860252</v>
      </c>
      <c r="Y63" s="180">
        <f t="shared" si="22"/>
        <v>1.9014365732935554</v>
      </c>
      <c r="Z63" s="187" t="s">
        <v>10</v>
      </c>
      <c r="AA63" s="196" t="s">
        <v>10</v>
      </c>
      <c r="AB63" s="227">
        <f t="shared" ref="AB63:AD73" si="23">I63*1.02</f>
        <v>2.1161321069845331</v>
      </c>
      <c r="AC63" s="228">
        <f t="shared" si="23"/>
        <v>1.1477172295007694</v>
      </c>
      <c r="AD63" s="228">
        <f t="shared" si="23"/>
        <v>2.9175597750851421</v>
      </c>
      <c r="AE63" s="187"/>
      <c r="AF63" s="196"/>
      <c r="AG63" s="247">
        <v>0.06</v>
      </c>
      <c r="AH63" s="192">
        <v>0.11</v>
      </c>
      <c r="AI63" s="226">
        <v>0.32</v>
      </c>
      <c r="AJ63" s="191">
        <v>0.23</v>
      </c>
      <c r="AK63" s="191">
        <v>0.12</v>
      </c>
      <c r="AL63" s="191">
        <v>0.12</v>
      </c>
      <c r="AM63" s="192"/>
      <c r="AN63" s="193"/>
    </row>
    <row r="64" spans="1:40" ht="15.75" thickBot="1" x14ac:dyDescent="0.25">
      <c r="A64" s="203" t="str">
        <f>A63</f>
        <v>Mixed Use (Retail/Restaurant &amp; Commercial/Residential)</v>
      </c>
      <c r="B64" s="204" t="str">
        <f t="shared" si="0"/>
        <v/>
      </c>
      <c r="C64" s="205" t="s">
        <v>486</v>
      </c>
      <c r="D64" s="231">
        <v>2.5482100221358062</v>
      </c>
      <c r="E64" s="208">
        <v>0.9633568073620784</v>
      </c>
      <c r="F64" s="207">
        <v>1.6946850029354323</v>
      </c>
      <c r="G64" s="208" t="s">
        <v>10</v>
      </c>
      <c r="H64" s="217" t="s">
        <v>10</v>
      </c>
      <c r="I64" s="232">
        <v>1.8850582473784903</v>
      </c>
      <c r="J64" s="208">
        <v>1.698639136167875</v>
      </c>
      <c r="K64" s="207">
        <v>2.8603527206717079</v>
      </c>
      <c r="L64" s="208"/>
      <c r="M64" s="217"/>
      <c r="N64" s="233">
        <v>0.09</v>
      </c>
      <c r="O64" s="286">
        <v>0.21</v>
      </c>
      <c r="P64" s="212">
        <v>0.28000000000000003</v>
      </c>
      <c r="Q64" s="212">
        <v>0.23</v>
      </c>
      <c r="R64" s="212">
        <v>0.12</v>
      </c>
      <c r="S64" s="212">
        <v>0.12</v>
      </c>
      <c r="T64" s="213"/>
      <c r="U64" s="214"/>
      <c r="W64" s="234">
        <f>D64*1.02</f>
        <v>2.5991742225785224</v>
      </c>
      <c r="X64" s="235">
        <f>E64*1.02</f>
        <v>0.98262394350932003</v>
      </c>
      <c r="Y64" s="216">
        <f>F64*1.02</f>
        <v>1.7285787029941411</v>
      </c>
      <c r="Z64" s="208" t="s">
        <v>10</v>
      </c>
      <c r="AA64" s="217" t="s">
        <v>10</v>
      </c>
      <c r="AB64" s="236">
        <f t="shared" si="23"/>
        <v>1.9227594123260601</v>
      </c>
      <c r="AC64" s="235">
        <f t="shared" si="23"/>
        <v>1.7326119188912326</v>
      </c>
      <c r="AD64" s="216">
        <f t="shared" si="23"/>
        <v>2.9175597750851421</v>
      </c>
      <c r="AE64" s="208"/>
      <c r="AF64" s="217"/>
      <c r="AG64" s="233">
        <v>0.09</v>
      </c>
      <c r="AH64" s="286">
        <v>0.21</v>
      </c>
      <c r="AI64" s="212">
        <v>0.28000000000000003</v>
      </c>
      <c r="AJ64" s="212">
        <v>0.23</v>
      </c>
      <c r="AK64" s="212">
        <v>0.12</v>
      </c>
      <c r="AL64" s="212">
        <v>0.12</v>
      </c>
      <c r="AM64" s="213"/>
      <c r="AN64" s="214"/>
    </row>
    <row r="65" spans="1:40" ht="15" x14ac:dyDescent="0.2">
      <c r="A65" s="150" t="s">
        <v>676</v>
      </c>
      <c r="B65" s="150" t="str">
        <f t="shared" si="0"/>
        <v/>
      </c>
      <c r="C65" s="167" t="s">
        <v>470</v>
      </c>
      <c r="D65" s="219">
        <v>4.1195557814947632</v>
      </c>
      <c r="E65" s="173">
        <v>1.6327574647869507</v>
      </c>
      <c r="F65" s="174">
        <v>2.7415782973467908</v>
      </c>
      <c r="G65" s="171" t="s">
        <v>10</v>
      </c>
      <c r="H65" s="181" t="s">
        <v>10</v>
      </c>
      <c r="I65" s="172">
        <v>3.1562779120310944</v>
      </c>
      <c r="J65" s="173">
        <v>7.1071181503834646</v>
      </c>
      <c r="K65" s="174">
        <v>4.0934691878540104</v>
      </c>
      <c r="L65" s="171"/>
      <c r="M65" s="181"/>
      <c r="N65" s="250">
        <v>0.09</v>
      </c>
      <c r="O65" s="242">
        <v>0.27</v>
      </c>
      <c r="P65" s="177">
        <v>0.45</v>
      </c>
      <c r="Q65" s="177">
        <v>0.23</v>
      </c>
      <c r="R65" s="177">
        <v>0.12</v>
      </c>
      <c r="S65" s="177">
        <v>0.12</v>
      </c>
      <c r="T65" s="178"/>
      <c r="U65" s="179"/>
      <c r="W65" s="180">
        <f t="shared" ref="W65:Y67" si="24">+W66</f>
        <v>4.2277304000233435</v>
      </c>
      <c r="X65" s="180">
        <f t="shared" si="24"/>
        <v>1.9620016822721831</v>
      </c>
      <c r="Y65" s="180">
        <f t="shared" si="24"/>
        <v>2.7964098632937269</v>
      </c>
      <c r="Z65" s="171" t="s">
        <v>10</v>
      </c>
      <c r="AA65" s="181" t="s">
        <v>10</v>
      </c>
      <c r="AB65" s="274">
        <f t="shared" si="23"/>
        <v>3.2194034702717165</v>
      </c>
      <c r="AC65" s="222">
        <f t="shared" si="23"/>
        <v>7.2492605133911336</v>
      </c>
      <c r="AD65" s="223">
        <f t="shared" si="23"/>
        <v>4.1753385716110909</v>
      </c>
      <c r="AE65" s="171"/>
      <c r="AF65" s="181"/>
      <c r="AG65" s="250">
        <v>0.09</v>
      </c>
      <c r="AH65" s="242">
        <v>0.27</v>
      </c>
      <c r="AI65" s="177">
        <v>0.45</v>
      </c>
      <c r="AJ65" s="177">
        <v>0.23</v>
      </c>
      <c r="AK65" s="177">
        <v>0.12</v>
      </c>
      <c r="AL65" s="177">
        <v>0.12</v>
      </c>
      <c r="AM65" s="178"/>
      <c r="AN65" s="179"/>
    </row>
    <row r="66" spans="1:40" ht="15" x14ac:dyDescent="0.2">
      <c r="A66" s="182" t="str">
        <f>A65</f>
        <v>Museum / Gallery</v>
      </c>
      <c r="B66" s="183" t="str">
        <f t="shared" si="0"/>
        <v/>
      </c>
      <c r="C66" s="184" t="s">
        <v>476</v>
      </c>
      <c r="D66" s="185">
        <v>2.6287438447511127</v>
      </c>
      <c r="E66" s="186">
        <v>2.0832218603220332</v>
      </c>
      <c r="F66" s="186">
        <v>2.7415782973467908</v>
      </c>
      <c r="G66" s="187" t="s">
        <v>10</v>
      </c>
      <c r="H66" s="196" t="s">
        <v>10</v>
      </c>
      <c r="I66" s="262">
        <v>2.4856223788230536</v>
      </c>
      <c r="J66" s="186">
        <v>9.8238122401625496</v>
      </c>
      <c r="K66" s="186">
        <v>4.0934691878540104</v>
      </c>
      <c r="L66" s="187"/>
      <c r="M66" s="196"/>
      <c r="N66" s="189">
        <v>6.5000000000000002E-2</v>
      </c>
      <c r="O66" s="226">
        <v>0.37</v>
      </c>
      <c r="P66" s="226">
        <v>0.45</v>
      </c>
      <c r="Q66" s="191">
        <v>0.23</v>
      </c>
      <c r="R66" s="191">
        <v>0.12</v>
      </c>
      <c r="S66" s="191">
        <v>0.12</v>
      </c>
      <c r="T66" s="192"/>
      <c r="U66" s="193"/>
      <c r="W66" s="180">
        <f t="shared" si="24"/>
        <v>4.2277304000233435</v>
      </c>
      <c r="X66" s="180">
        <f t="shared" si="24"/>
        <v>1.9620016822721831</v>
      </c>
      <c r="Y66" s="180">
        <f t="shared" si="24"/>
        <v>2.7964098632937269</v>
      </c>
      <c r="Z66" s="187" t="s">
        <v>10</v>
      </c>
      <c r="AA66" s="196" t="s">
        <v>10</v>
      </c>
      <c r="AB66" s="264">
        <f t="shared" si="23"/>
        <v>2.5353348263995148</v>
      </c>
      <c r="AC66" s="195">
        <f t="shared" si="23"/>
        <v>10.020288484965802</v>
      </c>
      <c r="AD66" s="195">
        <f t="shared" si="23"/>
        <v>4.1753385716110909</v>
      </c>
      <c r="AE66" s="187"/>
      <c r="AF66" s="196"/>
      <c r="AG66" s="189">
        <v>6.5000000000000002E-2</v>
      </c>
      <c r="AH66" s="226">
        <v>0.37</v>
      </c>
      <c r="AI66" s="226">
        <v>0.45</v>
      </c>
      <c r="AJ66" s="191">
        <v>0.23</v>
      </c>
      <c r="AK66" s="191">
        <v>0.12</v>
      </c>
      <c r="AL66" s="191">
        <v>0.12</v>
      </c>
      <c r="AM66" s="192"/>
      <c r="AN66" s="193"/>
    </row>
    <row r="67" spans="1:40" ht="15" x14ac:dyDescent="0.2">
      <c r="A67" s="182" t="str">
        <f>A66</f>
        <v>Museum / Gallery</v>
      </c>
      <c r="B67" s="183" t="str">
        <f t="shared" si="0"/>
        <v/>
      </c>
      <c r="C67" s="184" t="s">
        <v>481</v>
      </c>
      <c r="D67" s="185">
        <v>5.6862015502933696</v>
      </c>
      <c r="E67" s="186">
        <v>2.0546138580444953</v>
      </c>
      <c r="F67" s="170">
        <v>2.7415782973467908</v>
      </c>
      <c r="G67" s="187" t="s">
        <v>10</v>
      </c>
      <c r="H67" s="196" t="s">
        <v>10</v>
      </c>
      <c r="I67" s="262">
        <v>2.3418678056166433</v>
      </c>
      <c r="J67" s="186">
        <v>10.198841869919349</v>
      </c>
      <c r="K67" s="170">
        <v>4.0934691878540104</v>
      </c>
      <c r="L67" s="187"/>
      <c r="M67" s="196"/>
      <c r="N67" s="251">
        <v>0.04</v>
      </c>
      <c r="O67" s="226">
        <v>0.35</v>
      </c>
      <c r="P67" s="191">
        <v>0.45</v>
      </c>
      <c r="Q67" s="191">
        <v>0.23</v>
      </c>
      <c r="R67" s="191">
        <v>0.12</v>
      </c>
      <c r="S67" s="191">
        <v>0.12</v>
      </c>
      <c r="T67" s="192"/>
      <c r="U67" s="193"/>
      <c r="W67" s="180">
        <f t="shared" si="24"/>
        <v>4.2277304000233435</v>
      </c>
      <c r="X67" s="180">
        <f t="shared" si="24"/>
        <v>1.9620016822721831</v>
      </c>
      <c r="Y67" s="180">
        <f t="shared" si="24"/>
        <v>2.7964098632937269</v>
      </c>
      <c r="Z67" s="187" t="s">
        <v>10</v>
      </c>
      <c r="AA67" s="196" t="s">
        <v>10</v>
      </c>
      <c r="AB67" s="264">
        <f t="shared" si="23"/>
        <v>2.3887051617289763</v>
      </c>
      <c r="AC67" s="195">
        <f t="shared" si="23"/>
        <v>10.402818707317737</v>
      </c>
      <c r="AD67" s="201">
        <f t="shared" si="23"/>
        <v>4.1753385716110909</v>
      </c>
      <c r="AE67" s="187"/>
      <c r="AF67" s="196"/>
      <c r="AG67" s="251">
        <v>0.04</v>
      </c>
      <c r="AH67" s="226">
        <v>0.35</v>
      </c>
      <c r="AI67" s="191">
        <v>0.45</v>
      </c>
      <c r="AJ67" s="191">
        <v>0.23</v>
      </c>
      <c r="AK67" s="191">
        <v>0.12</v>
      </c>
      <c r="AL67" s="191">
        <v>0.12</v>
      </c>
      <c r="AM67" s="192"/>
      <c r="AN67" s="193"/>
    </row>
    <row r="68" spans="1:40" ht="15.75" thickBot="1" x14ac:dyDescent="0.25">
      <c r="A68" s="203" t="str">
        <f>A67</f>
        <v>Museum / Gallery</v>
      </c>
      <c r="B68" s="204" t="str">
        <f t="shared" si="0"/>
        <v/>
      </c>
      <c r="C68" s="205" t="s">
        <v>486</v>
      </c>
      <c r="D68" s="265">
        <v>4.1448337255130818</v>
      </c>
      <c r="E68" s="207">
        <v>1.9235310610511598</v>
      </c>
      <c r="F68" s="207">
        <v>2.7415782973467908</v>
      </c>
      <c r="G68" s="208" t="s">
        <v>10</v>
      </c>
      <c r="H68" s="217" t="s">
        <v>10</v>
      </c>
      <c r="I68" s="210">
        <v>1.5532642816325568</v>
      </c>
      <c r="J68" s="252">
        <v>6.3955870020501209</v>
      </c>
      <c r="K68" s="207">
        <v>4.0934691878540104</v>
      </c>
      <c r="L68" s="208"/>
      <c r="M68" s="217"/>
      <c r="N68" s="211">
        <v>6.5000000000000002E-2</v>
      </c>
      <c r="O68" s="212">
        <v>0.33</v>
      </c>
      <c r="P68" s="212">
        <v>0.45</v>
      </c>
      <c r="Q68" s="212">
        <v>0.23</v>
      </c>
      <c r="R68" s="212">
        <v>0.12</v>
      </c>
      <c r="S68" s="212">
        <v>0.12</v>
      </c>
      <c r="T68" s="213"/>
      <c r="U68" s="214"/>
      <c r="W68" s="266">
        <f t="shared" ref="W68:Y76" si="25">D68*1.02</f>
        <v>4.2277304000233435</v>
      </c>
      <c r="X68" s="216">
        <f t="shared" si="25"/>
        <v>1.9620016822721831</v>
      </c>
      <c r="Y68" s="216">
        <f t="shared" si="25"/>
        <v>2.7964098632937269</v>
      </c>
      <c r="Z68" s="208" t="s">
        <v>10</v>
      </c>
      <c r="AA68" s="217" t="s">
        <v>10</v>
      </c>
      <c r="AB68" s="256">
        <f t="shared" si="23"/>
        <v>1.584329567265208</v>
      </c>
      <c r="AC68" s="273">
        <f t="shared" si="23"/>
        <v>6.5234987420911237</v>
      </c>
      <c r="AD68" s="216">
        <f t="shared" si="23"/>
        <v>4.1753385716110909</v>
      </c>
      <c r="AE68" s="208"/>
      <c r="AF68" s="217"/>
      <c r="AG68" s="211">
        <v>6.5000000000000002E-2</v>
      </c>
      <c r="AH68" s="212">
        <v>0.33</v>
      </c>
      <c r="AI68" s="212">
        <v>0.45</v>
      </c>
      <c r="AJ68" s="212">
        <v>0.23</v>
      </c>
      <c r="AK68" s="212">
        <v>0.12</v>
      </c>
      <c r="AL68" s="212">
        <v>0.12</v>
      </c>
      <c r="AM68" s="213"/>
      <c r="AN68" s="214"/>
    </row>
    <row r="69" spans="1:40" ht="15" x14ac:dyDescent="0.2">
      <c r="A69" s="150" t="s">
        <v>677</v>
      </c>
      <c r="B69" s="150" t="str">
        <f t="shared" ref="B69:B104" si="26">IFERROR(VLOOKUP(A69,A$144:B$155,2,FALSE),"")</f>
        <v>Office</v>
      </c>
      <c r="C69" s="167" t="s">
        <v>470</v>
      </c>
      <c r="D69" s="237">
        <v>3.3298050920766893</v>
      </c>
      <c r="E69" s="171">
        <v>1.2695249546561267</v>
      </c>
      <c r="F69" s="171">
        <v>1.8270437168602347</v>
      </c>
      <c r="G69" s="171" t="s">
        <v>10</v>
      </c>
      <c r="H69" s="181" t="s">
        <v>10</v>
      </c>
      <c r="I69" s="239">
        <v>2.0383089443207933</v>
      </c>
      <c r="J69" s="171">
        <v>0.69905436902633478</v>
      </c>
      <c r="K69" s="171">
        <v>1.0228807023944329</v>
      </c>
      <c r="L69" s="171"/>
      <c r="M69" s="181"/>
      <c r="N69" s="241">
        <v>7.0000000000000007E-2</v>
      </c>
      <c r="O69" s="178">
        <v>0.1</v>
      </c>
      <c r="P69" s="178">
        <v>0.15</v>
      </c>
      <c r="Q69" s="177">
        <v>0.14666666666666667</v>
      </c>
      <c r="R69" s="177">
        <v>0.12</v>
      </c>
      <c r="S69" s="177">
        <v>0.12</v>
      </c>
      <c r="T69" s="178"/>
      <c r="U69" s="179"/>
      <c r="W69" s="243">
        <f t="shared" si="25"/>
        <v>3.3964011939182233</v>
      </c>
      <c r="X69" s="244">
        <f t="shared" si="25"/>
        <v>1.2949154537492493</v>
      </c>
      <c r="Y69" s="244">
        <f t="shared" si="25"/>
        <v>1.8635845911974394</v>
      </c>
      <c r="Z69" s="171" t="s">
        <v>10</v>
      </c>
      <c r="AA69" s="181" t="s">
        <v>10</v>
      </c>
      <c r="AB69" s="245">
        <f t="shared" si="23"/>
        <v>2.0790751232072093</v>
      </c>
      <c r="AC69" s="244">
        <f t="shared" si="23"/>
        <v>0.7130354564068615</v>
      </c>
      <c r="AD69" s="244">
        <f t="shared" si="23"/>
        <v>1.0433383164423216</v>
      </c>
      <c r="AE69" s="171"/>
      <c r="AF69" s="181"/>
      <c r="AG69" s="241">
        <v>7.0000000000000007E-2</v>
      </c>
      <c r="AH69" s="178">
        <v>0.1</v>
      </c>
      <c r="AI69" s="178">
        <v>0.15</v>
      </c>
      <c r="AJ69" s="177">
        <v>0.14666666666666667</v>
      </c>
      <c r="AK69" s="177">
        <v>0.12</v>
      </c>
      <c r="AL69" s="177">
        <v>0.12</v>
      </c>
      <c r="AM69" s="178"/>
      <c r="AN69" s="179"/>
    </row>
    <row r="70" spans="1:40" ht="15" x14ac:dyDescent="0.2">
      <c r="A70" s="182" t="str">
        <f>A69</f>
        <v>Office Building</v>
      </c>
      <c r="B70" s="183" t="str">
        <f t="shared" si="26"/>
        <v>Office</v>
      </c>
      <c r="C70" s="184" t="s">
        <v>476</v>
      </c>
      <c r="D70" s="224">
        <v>2.7703489743232081</v>
      </c>
      <c r="E70" s="187">
        <v>0.96396583776675637</v>
      </c>
      <c r="F70" s="187">
        <v>2.3847502352575045</v>
      </c>
      <c r="G70" s="187" t="s">
        <v>10</v>
      </c>
      <c r="H70" s="196" t="s">
        <v>10</v>
      </c>
      <c r="I70" s="225">
        <v>1.4292153548421911</v>
      </c>
      <c r="J70" s="187">
        <v>1.3674771902199163</v>
      </c>
      <c r="K70" s="187">
        <v>1.4737819609959963</v>
      </c>
      <c r="L70" s="187"/>
      <c r="M70" s="196"/>
      <c r="N70" s="247">
        <v>0.05</v>
      </c>
      <c r="O70" s="192">
        <v>0.1</v>
      </c>
      <c r="P70" s="192">
        <v>0.16</v>
      </c>
      <c r="Q70" s="226">
        <v>0.08</v>
      </c>
      <c r="R70" s="191">
        <v>0.12</v>
      </c>
      <c r="S70" s="191">
        <v>0.12</v>
      </c>
      <c r="T70" s="192"/>
      <c r="U70" s="193"/>
      <c r="W70" s="230">
        <f t="shared" si="25"/>
        <v>2.8257559538096721</v>
      </c>
      <c r="X70" s="228">
        <f t="shared" si="25"/>
        <v>0.98324515452209149</v>
      </c>
      <c r="Y70" s="228">
        <f t="shared" si="25"/>
        <v>2.4324452399626546</v>
      </c>
      <c r="Z70" s="187" t="s">
        <v>10</v>
      </c>
      <c r="AA70" s="196" t="s">
        <v>10</v>
      </c>
      <c r="AB70" s="227">
        <f t="shared" si="23"/>
        <v>1.457799661939035</v>
      </c>
      <c r="AC70" s="228">
        <f t="shared" si="23"/>
        <v>1.3948267340243146</v>
      </c>
      <c r="AD70" s="228">
        <f t="shared" si="23"/>
        <v>1.5032576002159164</v>
      </c>
      <c r="AE70" s="187"/>
      <c r="AF70" s="196"/>
      <c r="AG70" s="247">
        <v>0.05</v>
      </c>
      <c r="AH70" s="192">
        <v>0.1</v>
      </c>
      <c r="AI70" s="192">
        <v>0.16</v>
      </c>
      <c r="AJ70" s="226">
        <v>0.08</v>
      </c>
      <c r="AK70" s="191">
        <v>0.12</v>
      </c>
      <c r="AL70" s="191">
        <v>0.12</v>
      </c>
      <c r="AM70" s="192"/>
      <c r="AN70" s="193"/>
    </row>
    <row r="71" spans="1:40" ht="15" x14ac:dyDescent="0.2">
      <c r="A71" s="182" t="str">
        <f>A70</f>
        <v>Office Building</v>
      </c>
      <c r="B71" s="183" t="str">
        <f t="shared" si="26"/>
        <v>Office</v>
      </c>
      <c r="C71" s="184" t="s">
        <v>481</v>
      </c>
      <c r="D71" s="224">
        <v>2.3841651864297697</v>
      </c>
      <c r="E71" s="187">
        <v>1.0357304479124168</v>
      </c>
      <c r="F71" s="187">
        <v>2.4635444922483187</v>
      </c>
      <c r="G71" s="187" t="s">
        <v>10</v>
      </c>
      <c r="H71" s="196" t="s">
        <v>10</v>
      </c>
      <c r="I71" s="225">
        <v>1.4682025481281928</v>
      </c>
      <c r="J71" s="187">
        <v>1.0442043057355372</v>
      </c>
      <c r="K71" s="187">
        <v>1.511817843136948</v>
      </c>
      <c r="L71" s="187"/>
      <c r="M71" s="196"/>
      <c r="N71" s="247">
        <v>0.09</v>
      </c>
      <c r="O71" s="192">
        <v>0.11</v>
      </c>
      <c r="P71" s="192">
        <v>0.17</v>
      </c>
      <c r="Q71" s="226">
        <v>0.22</v>
      </c>
      <c r="R71" s="191">
        <v>0.12</v>
      </c>
      <c r="S71" s="226">
        <v>0.15</v>
      </c>
      <c r="T71" s="192"/>
      <c r="U71" s="193"/>
      <c r="W71" s="230">
        <f t="shared" si="25"/>
        <v>2.431848490158365</v>
      </c>
      <c r="X71" s="228">
        <f t="shared" si="25"/>
        <v>1.0564450568706651</v>
      </c>
      <c r="Y71" s="228">
        <f t="shared" si="25"/>
        <v>2.5128153820932853</v>
      </c>
      <c r="Z71" s="187" t="s">
        <v>10</v>
      </c>
      <c r="AA71" s="196" t="s">
        <v>10</v>
      </c>
      <c r="AB71" s="227">
        <f t="shared" si="23"/>
        <v>1.4975665990907567</v>
      </c>
      <c r="AC71" s="228">
        <f t="shared" si="23"/>
        <v>1.0650883918502481</v>
      </c>
      <c r="AD71" s="228">
        <f t="shared" si="23"/>
        <v>1.5420541999996871</v>
      </c>
      <c r="AE71" s="187"/>
      <c r="AF71" s="196"/>
      <c r="AG71" s="247">
        <v>0.09</v>
      </c>
      <c r="AH71" s="192">
        <v>0.11</v>
      </c>
      <c r="AI71" s="192">
        <v>0.17</v>
      </c>
      <c r="AJ71" s="226">
        <v>0.22</v>
      </c>
      <c r="AK71" s="191">
        <v>0.12</v>
      </c>
      <c r="AL71" s="226">
        <v>0.15</v>
      </c>
      <c r="AM71" s="192"/>
      <c r="AN71" s="193"/>
    </row>
    <row r="72" spans="1:40" ht="15.75" thickBot="1" x14ac:dyDescent="0.25">
      <c r="A72" s="203" t="str">
        <f>A71</f>
        <v>Office Building</v>
      </c>
      <c r="B72" s="204" t="str">
        <f t="shared" si="26"/>
        <v>Office</v>
      </c>
      <c r="C72" s="205" t="s">
        <v>486</v>
      </c>
      <c r="D72" s="231">
        <v>2.103332800363805</v>
      </c>
      <c r="E72" s="208">
        <v>0.95608550057023689</v>
      </c>
      <c r="F72" s="208">
        <v>1.922709657285252</v>
      </c>
      <c r="G72" s="208" t="s">
        <v>10</v>
      </c>
      <c r="H72" s="217" t="s">
        <v>10</v>
      </c>
      <c r="I72" s="232">
        <v>1.1767375202883312</v>
      </c>
      <c r="J72" s="208">
        <v>1.1077589366620753</v>
      </c>
      <c r="K72" s="208">
        <v>1.3120462351307296</v>
      </c>
      <c r="L72" s="208"/>
      <c r="M72" s="217"/>
      <c r="N72" s="249">
        <v>7.0000000000000007E-2</v>
      </c>
      <c r="O72" s="213">
        <v>0.12</v>
      </c>
      <c r="P72" s="213">
        <v>0.15</v>
      </c>
      <c r="Q72" s="255">
        <v>0.14000000000000001</v>
      </c>
      <c r="R72" s="212">
        <v>0.12</v>
      </c>
      <c r="S72" s="212">
        <v>0.12</v>
      </c>
      <c r="T72" s="213"/>
      <c r="U72" s="214"/>
      <c r="W72" s="234">
        <f t="shared" si="25"/>
        <v>2.1453994563710812</v>
      </c>
      <c r="X72" s="235">
        <f t="shared" si="25"/>
        <v>0.97520721058164161</v>
      </c>
      <c r="Y72" s="235">
        <f t="shared" si="25"/>
        <v>1.961163850430957</v>
      </c>
      <c r="Z72" s="208" t="s">
        <v>10</v>
      </c>
      <c r="AA72" s="217" t="s">
        <v>10</v>
      </c>
      <c r="AB72" s="236">
        <f t="shared" si="23"/>
        <v>1.2002722706940978</v>
      </c>
      <c r="AC72" s="235">
        <f t="shared" si="23"/>
        <v>1.1299141153953167</v>
      </c>
      <c r="AD72" s="235">
        <f t="shared" si="23"/>
        <v>1.3382871598333441</v>
      </c>
      <c r="AE72" s="208"/>
      <c r="AF72" s="217"/>
      <c r="AG72" s="249">
        <v>7.0000000000000007E-2</v>
      </c>
      <c r="AH72" s="213">
        <v>0.12</v>
      </c>
      <c r="AI72" s="213">
        <v>0.15</v>
      </c>
      <c r="AJ72" s="255">
        <v>0.14000000000000001</v>
      </c>
      <c r="AK72" s="212">
        <v>0.12</v>
      </c>
      <c r="AL72" s="212">
        <v>0.12</v>
      </c>
      <c r="AM72" s="213"/>
      <c r="AN72" s="214"/>
    </row>
    <row r="73" spans="1:40" ht="15" x14ac:dyDescent="0.2">
      <c r="A73" s="150" t="s">
        <v>678</v>
      </c>
      <c r="B73" s="150" t="str">
        <f t="shared" si="26"/>
        <v/>
      </c>
      <c r="C73" s="287" t="s">
        <v>486</v>
      </c>
      <c r="D73" s="219">
        <v>5.9828249415158954</v>
      </c>
      <c r="E73" s="173">
        <v>1.5164541715953481</v>
      </c>
      <c r="F73" s="174">
        <v>1.1636311220020303</v>
      </c>
      <c r="G73" s="171" t="s">
        <v>10</v>
      </c>
      <c r="H73" s="181" t="s">
        <v>10</v>
      </c>
      <c r="I73" s="172">
        <v>2.0785478648364575</v>
      </c>
      <c r="J73" s="173">
        <v>1.1015092779755495</v>
      </c>
      <c r="K73" s="174">
        <v>1.79</v>
      </c>
      <c r="L73" s="171"/>
      <c r="M73" s="181"/>
      <c r="N73" s="250">
        <v>0.04</v>
      </c>
      <c r="O73" s="242">
        <v>0.04</v>
      </c>
      <c r="P73" s="177">
        <v>0.28000000000000003</v>
      </c>
      <c r="Q73" s="177">
        <v>0.23</v>
      </c>
      <c r="R73" s="177">
        <v>0.12</v>
      </c>
      <c r="S73" s="177">
        <v>0.12</v>
      </c>
      <c r="T73" s="178"/>
      <c r="U73" s="179"/>
      <c r="W73" s="221">
        <f t="shared" si="25"/>
        <v>6.1024814403462138</v>
      </c>
      <c r="X73" s="222">
        <f t="shared" si="25"/>
        <v>1.5467832550272551</v>
      </c>
      <c r="Y73" s="223">
        <f t="shared" si="25"/>
        <v>1.1869037444420709</v>
      </c>
      <c r="Z73" s="171" t="s">
        <v>10</v>
      </c>
      <c r="AA73" s="181" t="s">
        <v>10</v>
      </c>
      <c r="AB73" s="274">
        <f t="shared" si="23"/>
        <v>2.1201188221331866</v>
      </c>
      <c r="AC73" s="222">
        <f t="shared" si="23"/>
        <v>1.1235394635350606</v>
      </c>
      <c r="AD73" s="223">
        <f t="shared" si="23"/>
        <v>1.8258000000000001</v>
      </c>
      <c r="AE73" s="171"/>
      <c r="AF73" s="181"/>
      <c r="AG73" s="250">
        <v>0.04</v>
      </c>
      <c r="AH73" s="242">
        <v>0.04</v>
      </c>
      <c r="AI73" s="177">
        <v>0.28000000000000003</v>
      </c>
      <c r="AJ73" s="177">
        <v>0.23</v>
      </c>
      <c r="AK73" s="177">
        <v>0.12</v>
      </c>
      <c r="AL73" s="177">
        <v>0.12</v>
      </c>
      <c r="AM73" s="178"/>
      <c r="AN73" s="179"/>
    </row>
    <row r="74" spans="1:40" ht="15" x14ac:dyDescent="0.2">
      <c r="A74" s="182" t="str">
        <f>A73</f>
        <v>One / Two Family Dwelling</v>
      </c>
      <c r="B74" s="183" t="str">
        <f t="shared" si="26"/>
        <v/>
      </c>
      <c r="C74" s="184" t="s">
        <v>476</v>
      </c>
      <c r="D74" s="185">
        <v>7.351273004930186</v>
      </c>
      <c r="E74" s="170">
        <v>1.5164541715953481</v>
      </c>
      <c r="F74" s="170">
        <v>1.1636311220020303</v>
      </c>
      <c r="G74" s="187" t="s">
        <v>10</v>
      </c>
      <c r="H74" s="196" t="s">
        <v>10</v>
      </c>
      <c r="I74" s="262">
        <v>5.1390741600316385</v>
      </c>
      <c r="J74" s="170">
        <v>1.1015092779755495</v>
      </c>
      <c r="K74" s="170">
        <v>1.79</v>
      </c>
      <c r="L74" s="187"/>
      <c r="M74" s="196"/>
      <c r="N74" s="251">
        <v>0.08</v>
      </c>
      <c r="O74" s="191">
        <v>9.0000000000000011E-2</v>
      </c>
      <c r="P74" s="191">
        <v>0.28000000000000003</v>
      </c>
      <c r="Q74" s="191">
        <v>0.23</v>
      </c>
      <c r="R74" s="191">
        <v>0.12</v>
      </c>
      <c r="S74" s="191">
        <v>0.12</v>
      </c>
      <c r="T74" s="192"/>
      <c r="U74" s="193"/>
      <c r="W74" s="194">
        <f t="shared" si="25"/>
        <v>7.4982984650287898</v>
      </c>
      <c r="X74" s="201">
        <f t="shared" si="25"/>
        <v>1.5467832550272551</v>
      </c>
      <c r="Y74" s="201">
        <f t="shared" si="25"/>
        <v>1.1869037444420709</v>
      </c>
      <c r="Z74" s="187" t="s">
        <v>10</v>
      </c>
      <c r="AA74" s="196" t="s">
        <v>10</v>
      </c>
      <c r="AB74" s="180">
        <f>+AB75*1.1</f>
        <v>1.6462302627564585</v>
      </c>
      <c r="AC74" s="180">
        <f>+AC75*1.1</f>
        <v>9.8166136384872971</v>
      </c>
      <c r="AD74" s="180">
        <f>+AD75*1.1</f>
        <v>2.0083800000000003</v>
      </c>
      <c r="AE74" s="187"/>
      <c r="AF74" s="196"/>
      <c r="AG74" s="251">
        <v>0.08</v>
      </c>
      <c r="AH74" s="191">
        <v>9.0000000000000011E-2</v>
      </c>
      <c r="AI74" s="191">
        <v>0.28000000000000003</v>
      </c>
      <c r="AJ74" s="191">
        <v>0.23</v>
      </c>
      <c r="AK74" s="191">
        <v>0.12</v>
      </c>
      <c r="AL74" s="191">
        <v>0.12</v>
      </c>
      <c r="AM74" s="192"/>
      <c r="AN74" s="193"/>
    </row>
    <row r="75" spans="1:40" ht="15" x14ac:dyDescent="0.2">
      <c r="A75" s="182" t="str">
        <f>A74</f>
        <v>One / Two Family Dwelling</v>
      </c>
      <c r="B75" s="183" t="str">
        <f t="shared" si="26"/>
        <v/>
      </c>
      <c r="C75" s="184" t="s">
        <v>481</v>
      </c>
      <c r="D75" s="185">
        <v>6.1357233974699694</v>
      </c>
      <c r="E75" s="186">
        <v>1.6344211757202085</v>
      </c>
      <c r="F75" s="170">
        <v>1.1636311220020303</v>
      </c>
      <c r="G75" s="187" t="s">
        <v>10</v>
      </c>
      <c r="H75" s="196" t="s">
        <v>10</v>
      </c>
      <c r="I75" s="262">
        <v>1.4672283981786616</v>
      </c>
      <c r="J75" s="186">
        <v>8.7492100164770914</v>
      </c>
      <c r="K75" s="170">
        <v>1.79</v>
      </c>
      <c r="L75" s="187"/>
      <c r="M75" s="196"/>
      <c r="N75" s="189">
        <v>0.06</v>
      </c>
      <c r="O75" s="226">
        <v>0.14000000000000001</v>
      </c>
      <c r="P75" s="191">
        <v>0.28000000000000003</v>
      </c>
      <c r="Q75" s="191">
        <v>0.23</v>
      </c>
      <c r="R75" s="191">
        <v>0.12</v>
      </c>
      <c r="S75" s="191">
        <v>0.12</v>
      </c>
      <c r="T75" s="192"/>
      <c r="U75" s="193"/>
      <c r="W75" s="194">
        <f t="shared" si="25"/>
        <v>6.2584378654193689</v>
      </c>
      <c r="X75" s="195">
        <f t="shared" si="25"/>
        <v>1.6671095992346128</v>
      </c>
      <c r="Y75" s="201">
        <f t="shared" si="25"/>
        <v>1.1869037444420709</v>
      </c>
      <c r="Z75" s="187" t="s">
        <v>10</v>
      </c>
      <c r="AA75" s="196" t="s">
        <v>10</v>
      </c>
      <c r="AB75" s="264">
        <f>I75*1.02</f>
        <v>1.4965729661422349</v>
      </c>
      <c r="AC75" s="195">
        <f>J75*1.02</f>
        <v>8.9241942168066331</v>
      </c>
      <c r="AD75" s="201">
        <f>K75*1.02</f>
        <v>1.8258000000000001</v>
      </c>
      <c r="AE75" s="187"/>
      <c r="AF75" s="196"/>
      <c r="AG75" s="189">
        <v>0.06</v>
      </c>
      <c r="AH75" s="226">
        <v>0.14000000000000001</v>
      </c>
      <c r="AI75" s="191">
        <v>0.28000000000000003</v>
      </c>
      <c r="AJ75" s="191">
        <v>0.23</v>
      </c>
      <c r="AK75" s="191">
        <v>0.12</v>
      </c>
      <c r="AL75" s="191">
        <v>0.12</v>
      </c>
      <c r="AM75" s="192"/>
      <c r="AN75" s="193"/>
    </row>
    <row r="76" spans="1:40" ht="15.75" thickBot="1" x14ac:dyDescent="0.25">
      <c r="A76" s="203" t="str">
        <f>A75</f>
        <v>One / Two Family Dwelling</v>
      </c>
      <c r="B76" s="204" t="str">
        <f t="shared" si="26"/>
        <v/>
      </c>
      <c r="C76" s="288" t="s">
        <v>470</v>
      </c>
      <c r="D76" s="271">
        <f>11.5651522906158</f>
        <v>11.565152290615799</v>
      </c>
      <c r="E76" s="252">
        <v>3.0840406108308702</v>
      </c>
      <c r="F76" s="207">
        <v>1.1636311220020299</v>
      </c>
      <c r="G76" s="208" t="s">
        <v>10</v>
      </c>
      <c r="H76" s="217" t="s">
        <v>10</v>
      </c>
      <c r="I76" s="210">
        <v>3.2246066645031233</v>
      </c>
      <c r="J76" s="252">
        <v>9.7018501659876275</v>
      </c>
      <c r="K76" s="207">
        <v>1.79</v>
      </c>
      <c r="L76" s="208"/>
      <c r="M76" s="217"/>
      <c r="N76" s="211">
        <v>0.06</v>
      </c>
      <c r="O76" s="255">
        <v>0.09</v>
      </c>
      <c r="P76" s="212">
        <v>0.28000000000000003</v>
      </c>
      <c r="Q76" s="212">
        <v>0.23</v>
      </c>
      <c r="R76" s="212">
        <v>0.12</v>
      </c>
      <c r="S76" s="212">
        <v>0.12</v>
      </c>
      <c r="T76" s="213"/>
      <c r="U76" s="214"/>
      <c r="W76" s="272">
        <f t="shared" si="25"/>
        <v>11.796455336428116</v>
      </c>
      <c r="X76" s="273">
        <f t="shared" si="25"/>
        <v>3.1457214230474877</v>
      </c>
      <c r="Y76" s="216">
        <f t="shared" si="25"/>
        <v>1.1869037444420705</v>
      </c>
      <c r="Z76" s="208" t="s">
        <v>10</v>
      </c>
      <c r="AA76" s="217" t="s">
        <v>10</v>
      </c>
      <c r="AB76" s="289">
        <f>+AB75*0.9</f>
        <v>1.3469156695280113</v>
      </c>
      <c r="AC76" s="289">
        <f>+AC75*0.9</f>
        <v>8.0317747951259708</v>
      </c>
      <c r="AD76" s="289">
        <f>+AD75*0.9</f>
        <v>1.6432200000000001</v>
      </c>
      <c r="AE76" s="208"/>
      <c r="AF76" s="217"/>
      <c r="AG76" s="211">
        <v>0.06</v>
      </c>
      <c r="AH76" s="255">
        <v>0.09</v>
      </c>
      <c r="AI76" s="212">
        <v>0.28000000000000003</v>
      </c>
      <c r="AJ76" s="212">
        <v>0.23</v>
      </c>
      <c r="AK76" s="212">
        <v>0.12</v>
      </c>
      <c r="AL76" s="212">
        <v>0.12</v>
      </c>
      <c r="AM76" s="213"/>
      <c r="AN76" s="214"/>
    </row>
    <row r="77" spans="1:40" ht="15" x14ac:dyDescent="0.2">
      <c r="A77" s="150" t="s">
        <v>679</v>
      </c>
      <c r="B77" s="150" t="str">
        <f t="shared" si="26"/>
        <v/>
      </c>
      <c r="C77" s="167" t="s">
        <v>470</v>
      </c>
      <c r="D77" s="237">
        <v>5.42310268303142</v>
      </c>
      <c r="E77" s="171">
        <v>1.6327822414821531</v>
      </c>
      <c r="F77" s="174">
        <v>2.8689138576779025</v>
      </c>
      <c r="G77" s="171" t="s">
        <v>10</v>
      </c>
      <c r="H77" s="181" t="s">
        <v>10</v>
      </c>
      <c r="I77" s="239">
        <v>4.7596381177464115</v>
      </c>
      <c r="J77" s="171">
        <v>1.5053058910251671</v>
      </c>
      <c r="K77" s="174">
        <v>1.9952251535580527</v>
      </c>
      <c r="L77" s="171"/>
      <c r="M77" s="181"/>
      <c r="N77" s="241">
        <v>0.09</v>
      </c>
      <c r="O77" s="178">
        <v>0.11</v>
      </c>
      <c r="P77" s="177">
        <v>0.15</v>
      </c>
      <c r="Q77" s="177">
        <v>0.23</v>
      </c>
      <c r="R77" s="177">
        <v>0.12</v>
      </c>
      <c r="S77" s="177">
        <v>0.12</v>
      </c>
      <c r="T77" s="178"/>
      <c r="U77" s="179"/>
      <c r="W77" s="290">
        <f>+W78*1.2</f>
        <v>2.1814109215608339</v>
      </c>
      <c r="X77" s="291">
        <f>+X78*1.2</f>
        <v>1.5006290076361906</v>
      </c>
      <c r="Y77" s="292">
        <f>+Y78*1.2</f>
        <v>3.5115505617977529</v>
      </c>
      <c r="Z77" s="171" t="s">
        <v>10</v>
      </c>
      <c r="AA77" s="181" t="s">
        <v>10</v>
      </c>
      <c r="AB77" s="180">
        <f>+AB78*1.1</f>
        <v>1.2356805509949489</v>
      </c>
      <c r="AC77" s="180">
        <f>+AC78*1.1</f>
        <v>1.1672264189058104E-2</v>
      </c>
      <c r="AD77" s="180">
        <f>+AD78*1.1</f>
        <v>2.2386426222921352</v>
      </c>
      <c r="AE77" s="171"/>
      <c r="AF77" s="181"/>
      <c r="AG77" s="241">
        <v>0.09</v>
      </c>
      <c r="AH77" s="178">
        <v>0.11</v>
      </c>
      <c r="AI77" s="177">
        <v>0.15</v>
      </c>
      <c r="AJ77" s="177">
        <v>0.23</v>
      </c>
      <c r="AK77" s="177">
        <v>0.12</v>
      </c>
      <c r="AL77" s="177">
        <v>0.12</v>
      </c>
      <c r="AM77" s="178"/>
      <c r="AN77" s="179"/>
    </row>
    <row r="78" spans="1:40" ht="15" x14ac:dyDescent="0.2">
      <c r="A78" s="182" t="str">
        <f>A77</f>
        <v>Religious Facility</v>
      </c>
      <c r="B78" s="183" t="str">
        <f t="shared" si="26"/>
        <v/>
      </c>
      <c r="C78" s="184" t="s">
        <v>476</v>
      </c>
      <c r="D78" s="185">
        <v>1.7821984653274787</v>
      </c>
      <c r="E78" s="170">
        <v>1.2260040912060381</v>
      </c>
      <c r="F78" s="170">
        <v>2.8689138576779025</v>
      </c>
      <c r="G78" s="187" t="s">
        <v>10</v>
      </c>
      <c r="H78" s="196" t="s">
        <v>10</v>
      </c>
      <c r="I78" s="262">
        <v>1.1013195641666209</v>
      </c>
      <c r="J78" s="186">
        <v>1.0403087512529503E-2</v>
      </c>
      <c r="K78" s="170">
        <v>1.9952251535580527</v>
      </c>
      <c r="L78" s="187"/>
      <c r="M78" s="196"/>
      <c r="N78" s="251">
        <v>0.06</v>
      </c>
      <c r="O78" s="226">
        <v>0.15</v>
      </c>
      <c r="P78" s="191">
        <v>0.16</v>
      </c>
      <c r="Q78" s="191">
        <v>0.23</v>
      </c>
      <c r="R78" s="191">
        <v>0.12</v>
      </c>
      <c r="S78" s="191">
        <v>0.12</v>
      </c>
      <c r="T78" s="192"/>
      <c r="U78" s="193"/>
      <c r="W78" s="194">
        <f>D78*1.02</f>
        <v>1.8178424346340283</v>
      </c>
      <c r="X78" s="201">
        <f>E78*1.02</f>
        <v>1.2505241730301588</v>
      </c>
      <c r="Y78" s="201">
        <f>F78*1.02</f>
        <v>2.9262921348314608</v>
      </c>
      <c r="Z78" s="187" t="s">
        <v>10</v>
      </c>
      <c r="AA78" s="196" t="s">
        <v>10</v>
      </c>
      <c r="AB78" s="264">
        <f>I78*1.02</f>
        <v>1.1233459554499534</v>
      </c>
      <c r="AC78" s="195">
        <f>J78*1.02</f>
        <v>1.0611149262780093E-2</v>
      </c>
      <c r="AD78" s="201">
        <f>K78*1.02</f>
        <v>2.0351296566292136</v>
      </c>
      <c r="AE78" s="187"/>
      <c r="AF78" s="196"/>
      <c r="AG78" s="251">
        <v>0.06</v>
      </c>
      <c r="AH78" s="226">
        <v>0.15</v>
      </c>
      <c r="AI78" s="191">
        <v>0.16</v>
      </c>
      <c r="AJ78" s="191">
        <v>0.23</v>
      </c>
      <c r="AK78" s="191">
        <v>0.12</v>
      </c>
      <c r="AL78" s="191">
        <v>0.12</v>
      </c>
      <c r="AM78" s="192"/>
      <c r="AN78" s="193"/>
    </row>
    <row r="79" spans="1:40" ht="15" x14ac:dyDescent="0.2">
      <c r="A79" s="182" t="str">
        <f>A78</f>
        <v>Religious Facility</v>
      </c>
      <c r="B79" s="183" t="str">
        <f t="shared" si="26"/>
        <v/>
      </c>
      <c r="C79" s="184" t="s">
        <v>481</v>
      </c>
      <c r="D79" s="268">
        <v>7.5376343134157988</v>
      </c>
      <c r="E79" s="188">
        <v>0.81922594092992318</v>
      </c>
      <c r="F79" s="188">
        <v>2.8689138576779025</v>
      </c>
      <c r="G79" s="187" t="s">
        <v>10</v>
      </c>
      <c r="H79" s="196" t="s">
        <v>10</v>
      </c>
      <c r="I79" s="269">
        <v>4.3727507902463545</v>
      </c>
      <c r="J79" s="188">
        <v>0.69494028753801373</v>
      </c>
      <c r="K79" s="188">
        <v>1.9952251535580527</v>
      </c>
      <c r="L79" s="187"/>
      <c r="M79" s="196"/>
      <c r="N79" s="229">
        <v>0.08</v>
      </c>
      <c r="O79" s="226">
        <v>0.1</v>
      </c>
      <c r="P79" s="191">
        <v>0.17</v>
      </c>
      <c r="Q79" s="191">
        <v>0.23</v>
      </c>
      <c r="R79" s="191">
        <v>0.12</v>
      </c>
      <c r="S79" s="191">
        <v>0.12</v>
      </c>
      <c r="T79" s="192"/>
      <c r="U79" s="193"/>
      <c r="W79" s="293">
        <f>+W78*0.8</f>
        <v>1.4542739477072226</v>
      </c>
      <c r="X79" s="294">
        <f>+X78*0.8</f>
        <v>1.0004193384241271</v>
      </c>
      <c r="Y79" s="294">
        <f>+Y78*0.8</f>
        <v>2.3410337078651686</v>
      </c>
      <c r="Z79" s="187" t="s">
        <v>10</v>
      </c>
      <c r="AA79" s="196" t="s">
        <v>10</v>
      </c>
      <c r="AB79" s="180">
        <f>+AB80*1.1</f>
        <v>0.68253519410674235</v>
      </c>
      <c r="AC79" s="180">
        <f>+AC80*1.1</f>
        <v>0.13093355366961232</v>
      </c>
      <c r="AD79" s="180">
        <f>+AD80*1.1</f>
        <v>2.2386426222921352</v>
      </c>
      <c r="AE79" s="187"/>
      <c r="AF79" s="196"/>
      <c r="AG79" s="229">
        <v>0.08</v>
      </c>
      <c r="AH79" s="226">
        <v>0.1</v>
      </c>
      <c r="AI79" s="191">
        <v>0.17</v>
      </c>
      <c r="AJ79" s="191">
        <v>0.23</v>
      </c>
      <c r="AK79" s="191">
        <v>0.12</v>
      </c>
      <c r="AL79" s="191">
        <v>0.12</v>
      </c>
      <c r="AM79" s="192"/>
      <c r="AN79" s="193"/>
    </row>
    <row r="80" spans="1:40" ht="15.75" thickBot="1" x14ac:dyDescent="0.25">
      <c r="A80" s="203" t="str">
        <f>A79</f>
        <v>Religious Facility</v>
      </c>
      <c r="B80" s="204" t="str">
        <f t="shared" si="26"/>
        <v/>
      </c>
      <c r="C80" s="205" t="s">
        <v>486</v>
      </c>
      <c r="D80" s="271">
        <v>0.79396814317681796</v>
      </c>
      <c r="E80" s="252">
        <v>7.4215890596174464E-2</v>
      </c>
      <c r="F80" s="207">
        <v>2.8689138576779025</v>
      </c>
      <c r="G80" s="208" t="s">
        <v>10</v>
      </c>
      <c r="H80" s="217" t="s">
        <v>10</v>
      </c>
      <c r="I80" s="210">
        <v>0.60832013735003765</v>
      </c>
      <c r="J80" s="252">
        <v>0.11669657189805019</v>
      </c>
      <c r="K80" s="207">
        <v>1.9952251535580527</v>
      </c>
      <c r="L80" s="208"/>
      <c r="M80" s="217"/>
      <c r="N80" s="254">
        <v>0.08</v>
      </c>
      <c r="O80" s="255">
        <v>0.11</v>
      </c>
      <c r="P80" s="212">
        <v>0.15</v>
      </c>
      <c r="Q80" s="212">
        <v>0.23</v>
      </c>
      <c r="R80" s="212">
        <v>0.12</v>
      </c>
      <c r="S80" s="212">
        <v>0.12</v>
      </c>
      <c r="T80" s="213"/>
      <c r="U80" s="214"/>
      <c r="W80" s="272">
        <f t="shared" ref="W80:Y85" si="27">D80*1.02</f>
        <v>0.80984750604035438</v>
      </c>
      <c r="X80" s="273">
        <f t="shared" si="27"/>
        <v>7.5700208408097949E-2</v>
      </c>
      <c r="Y80" s="216">
        <f t="shared" si="27"/>
        <v>2.9262921348314608</v>
      </c>
      <c r="Z80" s="208" t="s">
        <v>10</v>
      </c>
      <c r="AA80" s="217" t="s">
        <v>10</v>
      </c>
      <c r="AB80" s="256">
        <f>I80*1.02</f>
        <v>0.62048654009703841</v>
      </c>
      <c r="AC80" s="273">
        <f>J80*1.02</f>
        <v>0.1190305033360112</v>
      </c>
      <c r="AD80" s="216">
        <f>K80*1.02</f>
        <v>2.0351296566292136</v>
      </c>
      <c r="AE80" s="208"/>
      <c r="AF80" s="217"/>
      <c r="AG80" s="254">
        <v>0.08</v>
      </c>
      <c r="AH80" s="255">
        <v>0.11</v>
      </c>
      <c r="AI80" s="212">
        <v>0.15</v>
      </c>
      <c r="AJ80" s="212">
        <v>0.23</v>
      </c>
      <c r="AK80" s="212">
        <v>0.12</v>
      </c>
      <c r="AL80" s="212">
        <v>0.12</v>
      </c>
      <c r="AM80" s="213"/>
      <c r="AN80" s="214"/>
    </row>
    <row r="81" spans="1:40" ht="15" x14ac:dyDescent="0.2">
      <c r="A81" s="150" t="s">
        <v>410</v>
      </c>
      <c r="B81" s="150" t="str">
        <f t="shared" si="26"/>
        <v>Restaurant</v>
      </c>
      <c r="C81" s="167" t="s">
        <v>470</v>
      </c>
      <c r="D81" s="168">
        <v>8.7918541340636409</v>
      </c>
      <c r="E81" s="169">
        <v>6.1228482003129887</v>
      </c>
      <c r="F81" s="174">
        <v>1.1636311220020303</v>
      </c>
      <c r="G81" s="171" t="s">
        <v>10</v>
      </c>
      <c r="H81" s="181" t="s">
        <v>10</v>
      </c>
      <c r="I81" s="220">
        <v>3.6277889125940055</v>
      </c>
      <c r="J81" s="169">
        <v>12.797682772221677</v>
      </c>
      <c r="K81" s="174">
        <v>1.79</v>
      </c>
      <c r="L81" s="171"/>
      <c r="M81" s="181"/>
      <c r="N81" s="250">
        <v>7.0000000000000007E-2</v>
      </c>
      <c r="O81" s="242">
        <v>0.16</v>
      </c>
      <c r="P81" s="177">
        <v>0.23</v>
      </c>
      <c r="Q81" s="177">
        <v>0.23</v>
      </c>
      <c r="R81" s="177">
        <v>0.12</v>
      </c>
      <c r="S81" s="242">
        <v>0.02</v>
      </c>
      <c r="T81" s="178"/>
      <c r="U81" s="179"/>
      <c r="W81" s="295">
        <f t="shared" si="27"/>
        <v>8.9676912167449139</v>
      </c>
      <c r="X81" s="275">
        <f t="shared" si="27"/>
        <v>6.245305164319249</v>
      </c>
      <c r="Y81" s="223">
        <f t="shared" si="27"/>
        <v>1.1869037444420709</v>
      </c>
      <c r="Z81" s="171" t="s">
        <v>10</v>
      </c>
      <c r="AA81" s="181" t="s">
        <v>10</v>
      </c>
      <c r="AB81" s="180">
        <f>+AB82*1.1</f>
        <v>1.022601653187609</v>
      </c>
      <c r="AC81" s="180">
        <f>+AC82*1.1</f>
        <v>5.4569081124918331</v>
      </c>
      <c r="AD81" s="180">
        <f>+AD82*1.1</f>
        <v>2.0083800000000003</v>
      </c>
      <c r="AE81" s="171"/>
      <c r="AF81" s="181"/>
      <c r="AG81" s="250">
        <v>7.0000000000000007E-2</v>
      </c>
      <c r="AH81" s="242">
        <v>0.16</v>
      </c>
      <c r="AI81" s="177">
        <v>0.23</v>
      </c>
      <c r="AJ81" s="177">
        <v>0.23</v>
      </c>
      <c r="AK81" s="177">
        <v>0.12</v>
      </c>
      <c r="AL81" s="242">
        <v>0.02</v>
      </c>
      <c r="AM81" s="178"/>
      <c r="AN81" s="179"/>
    </row>
    <row r="82" spans="1:40" ht="15" x14ac:dyDescent="0.2">
      <c r="A82" s="182" t="str">
        <f>A81</f>
        <v>Restaurant</v>
      </c>
      <c r="B82" s="183" t="str">
        <f t="shared" si="26"/>
        <v>Restaurant</v>
      </c>
      <c r="C82" s="184" t="s">
        <v>476</v>
      </c>
      <c r="D82" s="185">
        <v>8.4726154181184654</v>
      </c>
      <c r="E82" s="186">
        <v>2.2593641114982579</v>
      </c>
      <c r="F82" s="170">
        <v>1.1636311220020303</v>
      </c>
      <c r="G82" s="187" t="s">
        <v>10</v>
      </c>
      <c r="H82" s="196" t="s">
        <v>10</v>
      </c>
      <c r="I82" s="262">
        <v>0.91140967307273524</v>
      </c>
      <c r="J82" s="186">
        <v>4.863554467461527</v>
      </c>
      <c r="K82" s="170">
        <v>1.79</v>
      </c>
      <c r="L82" s="187"/>
      <c r="M82" s="196"/>
      <c r="N82" s="189">
        <v>7.0000000000000007E-2</v>
      </c>
      <c r="O82" s="226">
        <v>0.06</v>
      </c>
      <c r="P82" s="191">
        <v>0.23</v>
      </c>
      <c r="Q82" s="191">
        <v>0.23</v>
      </c>
      <c r="R82" s="191">
        <v>0.12</v>
      </c>
      <c r="S82" s="191">
        <v>3.5000000000000003E-2</v>
      </c>
      <c r="T82" s="192"/>
      <c r="U82" s="193"/>
      <c r="W82" s="194">
        <f t="shared" si="27"/>
        <v>8.6420677264808354</v>
      </c>
      <c r="X82" s="195">
        <f t="shared" si="27"/>
        <v>2.3045513937282229</v>
      </c>
      <c r="Y82" s="201">
        <f t="shared" si="27"/>
        <v>1.1869037444420709</v>
      </c>
      <c r="Z82" s="187" t="s">
        <v>10</v>
      </c>
      <c r="AA82" s="196" t="s">
        <v>10</v>
      </c>
      <c r="AB82" s="264">
        <f t="shared" ref="AB82:AD84" si="28">I82*1.02</f>
        <v>0.92963786653419</v>
      </c>
      <c r="AC82" s="195">
        <f t="shared" si="28"/>
        <v>4.9608255568107573</v>
      </c>
      <c r="AD82" s="201">
        <f t="shared" si="28"/>
        <v>1.8258000000000001</v>
      </c>
      <c r="AE82" s="187"/>
      <c r="AF82" s="196"/>
      <c r="AG82" s="189">
        <v>7.0000000000000007E-2</v>
      </c>
      <c r="AH82" s="226">
        <v>0.06</v>
      </c>
      <c r="AI82" s="191">
        <v>0.23</v>
      </c>
      <c r="AJ82" s="191">
        <v>0.23</v>
      </c>
      <c r="AK82" s="191">
        <v>0.12</v>
      </c>
      <c r="AL82" s="191">
        <v>3.5000000000000003E-2</v>
      </c>
      <c r="AM82" s="192"/>
      <c r="AN82" s="193"/>
    </row>
    <row r="83" spans="1:40" ht="15" x14ac:dyDescent="0.2">
      <c r="A83" s="182" t="str">
        <f>A82</f>
        <v>Restaurant</v>
      </c>
      <c r="B83" s="183" t="str">
        <f t="shared" si="26"/>
        <v>Restaurant</v>
      </c>
      <c r="C83" s="184" t="s">
        <v>481</v>
      </c>
      <c r="D83" s="296">
        <f>56.875/10</f>
        <v>5.6875</v>
      </c>
      <c r="E83" s="297">
        <f>15.1666666666667/10</f>
        <v>1.5166666666666699</v>
      </c>
      <c r="F83" s="170">
        <v>1.1636311220020303</v>
      </c>
      <c r="G83" s="187" t="s">
        <v>10</v>
      </c>
      <c r="H83" s="196" t="s">
        <v>10</v>
      </c>
      <c r="I83" s="298">
        <v>0.14335263888888916</v>
      </c>
      <c r="J83" s="186">
        <v>6.3021113611111108</v>
      </c>
      <c r="K83" s="170">
        <v>1.79</v>
      </c>
      <c r="L83" s="187"/>
      <c r="M83" s="196"/>
      <c r="N83" s="189">
        <v>7.0000000000000007E-2</v>
      </c>
      <c r="O83" s="226">
        <v>0.17</v>
      </c>
      <c r="P83" s="191">
        <v>0.23</v>
      </c>
      <c r="Q83" s="191">
        <v>0.23</v>
      </c>
      <c r="R83" s="191">
        <v>0.12</v>
      </c>
      <c r="S83" s="226">
        <v>0.05</v>
      </c>
      <c r="T83" s="192"/>
      <c r="U83" s="193"/>
      <c r="W83" s="194">
        <f t="shared" si="27"/>
        <v>5.8012500000000005</v>
      </c>
      <c r="X83" s="195">
        <f t="shared" si="27"/>
        <v>1.5470000000000033</v>
      </c>
      <c r="Y83" s="201">
        <f t="shared" si="27"/>
        <v>1.1869037444420709</v>
      </c>
      <c r="Z83" s="187" t="s">
        <v>10</v>
      </c>
      <c r="AA83" s="196" t="s">
        <v>10</v>
      </c>
      <c r="AB83" s="264">
        <f t="shared" si="28"/>
        <v>0.14621969166666696</v>
      </c>
      <c r="AC83" s="195">
        <f t="shared" si="28"/>
        <v>6.4281535883333332</v>
      </c>
      <c r="AD83" s="201">
        <f t="shared" si="28"/>
        <v>1.8258000000000001</v>
      </c>
      <c r="AE83" s="187"/>
      <c r="AF83" s="196"/>
      <c r="AG83" s="189">
        <v>7.0000000000000007E-2</v>
      </c>
      <c r="AH83" s="226">
        <v>0.17</v>
      </c>
      <c r="AI83" s="191">
        <v>0.23</v>
      </c>
      <c r="AJ83" s="191">
        <v>0.23</v>
      </c>
      <c r="AK83" s="191">
        <v>0.12</v>
      </c>
      <c r="AL83" s="226">
        <v>0.05</v>
      </c>
      <c r="AM83" s="192"/>
      <c r="AN83" s="193"/>
    </row>
    <row r="84" spans="1:40" ht="15.75" thickBot="1" x14ac:dyDescent="0.25">
      <c r="A84" s="203" t="str">
        <f>A83</f>
        <v>Restaurant</v>
      </c>
      <c r="B84" s="204" t="str">
        <f t="shared" si="26"/>
        <v>Restaurant</v>
      </c>
      <c r="C84" s="205" t="s">
        <v>486</v>
      </c>
      <c r="D84" s="271">
        <v>3.6830357142857144</v>
      </c>
      <c r="E84" s="252">
        <v>0.98214285714285721</v>
      </c>
      <c r="F84" s="207">
        <v>1.1636311220020303</v>
      </c>
      <c r="G84" s="208" t="s">
        <v>10</v>
      </c>
      <c r="H84" s="217" t="s">
        <v>10</v>
      </c>
      <c r="I84" s="210">
        <v>0.66207863095238073</v>
      </c>
      <c r="J84" s="252">
        <v>11.614353928571429</v>
      </c>
      <c r="K84" s="207">
        <v>1.79</v>
      </c>
      <c r="L84" s="208"/>
      <c r="M84" s="217"/>
      <c r="N84" s="211">
        <v>7.0000000000000007E-2</v>
      </c>
      <c r="O84" s="255">
        <v>0.35</v>
      </c>
      <c r="P84" s="212">
        <v>0.23</v>
      </c>
      <c r="Q84" s="212">
        <v>0.23</v>
      </c>
      <c r="R84" s="212">
        <v>0.12</v>
      </c>
      <c r="S84" s="212">
        <v>3.5000000000000003E-2</v>
      </c>
      <c r="T84" s="213"/>
      <c r="U84" s="214"/>
      <c r="W84" s="272">
        <f t="shared" si="27"/>
        <v>3.7566964285714288</v>
      </c>
      <c r="X84" s="273">
        <f t="shared" si="27"/>
        <v>1.0017857142857143</v>
      </c>
      <c r="Y84" s="216">
        <f t="shared" si="27"/>
        <v>1.1869037444420709</v>
      </c>
      <c r="Z84" s="208" t="s">
        <v>10</v>
      </c>
      <c r="AA84" s="217" t="s">
        <v>10</v>
      </c>
      <c r="AB84" s="256">
        <f t="shared" si="28"/>
        <v>0.67532020357142841</v>
      </c>
      <c r="AC84" s="273">
        <f t="shared" si="28"/>
        <v>11.846641007142857</v>
      </c>
      <c r="AD84" s="216">
        <f t="shared" si="28"/>
        <v>1.8258000000000001</v>
      </c>
      <c r="AE84" s="208"/>
      <c r="AF84" s="217"/>
      <c r="AG84" s="211">
        <v>7.0000000000000007E-2</v>
      </c>
      <c r="AH84" s="255">
        <v>0.35</v>
      </c>
      <c r="AI84" s="212">
        <v>0.23</v>
      </c>
      <c r="AJ84" s="212">
        <v>0.23</v>
      </c>
      <c r="AK84" s="212">
        <v>0.12</v>
      </c>
      <c r="AL84" s="212">
        <v>3.5000000000000003E-2</v>
      </c>
      <c r="AM84" s="213"/>
      <c r="AN84" s="214"/>
    </row>
    <row r="85" spans="1:40" ht="15" x14ac:dyDescent="0.2">
      <c r="A85" s="150" t="s">
        <v>411</v>
      </c>
      <c r="B85" s="150" t="str">
        <f t="shared" si="26"/>
        <v>Retail</v>
      </c>
      <c r="C85" s="167" t="s">
        <v>470</v>
      </c>
      <c r="D85" s="237">
        <v>5.2170443995043172</v>
      </c>
      <c r="E85" s="171">
        <v>0.81914232660568076</v>
      </c>
      <c r="F85" s="171">
        <v>0.90053573272252407</v>
      </c>
      <c r="G85" s="171" t="s">
        <v>10</v>
      </c>
      <c r="H85" s="181" t="s">
        <v>10</v>
      </c>
      <c r="I85" s="239">
        <v>2.4431055696576203</v>
      </c>
      <c r="J85" s="173">
        <v>1.263661374285626</v>
      </c>
      <c r="K85" s="169">
        <v>0.88851763724406763</v>
      </c>
      <c r="L85" s="171"/>
      <c r="M85" s="181"/>
      <c r="N85" s="250">
        <v>0.08</v>
      </c>
      <c r="O85" s="242">
        <v>0.11</v>
      </c>
      <c r="P85" s="242">
        <v>0.14000000000000001</v>
      </c>
      <c r="Q85" s="177">
        <v>0.23</v>
      </c>
      <c r="R85" s="177">
        <v>0.12</v>
      </c>
      <c r="S85" s="242">
        <v>0.35</v>
      </c>
      <c r="T85" s="178"/>
      <c r="U85" s="179"/>
      <c r="W85" s="243">
        <f t="shared" si="27"/>
        <v>5.3213852874944036</v>
      </c>
      <c r="X85" s="244">
        <f t="shared" si="27"/>
        <v>0.8355251731377944</v>
      </c>
      <c r="Y85" s="244">
        <f t="shared" si="27"/>
        <v>0.91854644737697455</v>
      </c>
      <c r="Z85" s="171" t="s">
        <v>10</v>
      </c>
      <c r="AA85" s="181" t="s">
        <v>10</v>
      </c>
      <c r="AB85" s="180">
        <f t="shared" ref="AB85:AD86" si="29">+AB86*1.1</f>
        <v>4.3217946105526428</v>
      </c>
      <c r="AC85" s="180">
        <f t="shared" si="29"/>
        <v>3.9242124377500005</v>
      </c>
      <c r="AD85" s="180">
        <f t="shared" si="29"/>
        <v>1.0966084678866284</v>
      </c>
      <c r="AE85" s="171"/>
      <c r="AF85" s="181"/>
      <c r="AG85" s="250">
        <v>0.08</v>
      </c>
      <c r="AH85" s="242">
        <v>0.11</v>
      </c>
      <c r="AI85" s="242">
        <v>0.14000000000000001</v>
      </c>
      <c r="AJ85" s="177">
        <v>0.23</v>
      </c>
      <c r="AK85" s="177">
        <v>0.12</v>
      </c>
      <c r="AL85" s="242">
        <v>0.35</v>
      </c>
      <c r="AM85" s="178"/>
      <c r="AN85" s="179"/>
    </row>
    <row r="86" spans="1:40" ht="15" x14ac:dyDescent="0.2">
      <c r="A86" s="182" t="str">
        <f>A85</f>
        <v>Retail</v>
      </c>
      <c r="B86" s="183" t="str">
        <f t="shared" si="26"/>
        <v>Retail</v>
      </c>
      <c r="C86" s="184" t="s">
        <v>476</v>
      </c>
      <c r="D86" s="268">
        <v>2.4058892563787966</v>
      </c>
      <c r="E86" s="188">
        <v>0.89444444444444449</v>
      </c>
      <c r="F86" s="170">
        <v>0.90053573272252407</v>
      </c>
      <c r="G86" s="187" t="s">
        <v>10</v>
      </c>
      <c r="H86" s="196" t="s">
        <v>10</v>
      </c>
      <c r="I86" s="269">
        <v>1.4394735929415707</v>
      </c>
      <c r="J86" s="186">
        <v>0.42101570972222235</v>
      </c>
      <c r="K86" s="170">
        <v>0.88851763724406763</v>
      </c>
      <c r="L86" s="187"/>
      <c r="M86" s="196"/>
      <c r="N86" s="251">
        <v>7.0000000000000007E-2</v>
      </c>
      <c r="O86" s="226">
        <v>7.0000000000000007E-2</v>
      </c>
      <c r="P86" s="191">
        <v>0.14000000000000001</v>
      </c>
      <c r="Q86" s="191">
        <v>0.23</v>
      </c>
      <c r="R86" s="191">
        <v>0.12</v>
      </c>
      <c r="S86" s="191">
        <v>0.12</v>
      </c>
      <c r="T86" s="192"/>
      <c r="U86" s="193"/>
      <c r="W86" s="293">
        <f>+W87*1.1</f>
        <v>4.2870419973837111</v>
      </c>
      <c r="X86" s="294">
        <f>+X87*1.1</f>
        <v>3.8568750000000005</v>
      </c>
      <c r="Y86" s="299">
        <f>+Y87*1.1</f>
        <v>1.010401092114672</v>
      </c>
      <c r="Z86" s="187" t="s">
        <v>10</v>
      </c>
      <c r="AA86" s="196" t="s">
        <v>10</v>
      </c>
      <c r="AB86" s="180">
        <f t="shared" si="29"/>
        <v>3.9289041914114935</v>
      </c>
      <c r="AC86" s="180">
        <f t="shared" si="29"/>
        <v>3.5674658525000003</v>
      </c>
      <c r="AD86" s="180">
        <f t="shared" si="29"/>
        <v>0.99691678898784397</v>
      </c>
      <c r="AE86" s="187"/>
      <c r="AF86" s="196"/>
      <c r="AG86" s="251">
        <v>7.0000000000000007E-2</v>
      </c>
      <c r="AH86" s="226">
        <v>7.0000000000000007E-2</v>
      </c>
      <c r="AI86" s="191">
        <v>0.14000000000000001</v>
      </c>
      <c r="AJ86" s="191">
        <v>0.23</v>
      </c>
      <c r="AK86" s="191">
        <v>0.12</v>
      </c>
      <c r="AL86" s="191">
        <v>0.12</v>
      </c>
      <c r="AM86" s="192"/>
      <c r="AN86" s="193"/>
    </row>
    <row r="87" spans="1:40" ht="15" x14ac:dyDescent="0.2">
      <c r="A87" s="182" t="str">
        <f>A86</f>
        <v>Retail</v>
      </c>
      <c r="B87" s="183" t="str">
        <f t="shared" si="26"/>
        <v>Retail</v>
      </c>
      <c r="C87" s="184" t="s">
        <v>481</v>
      </c>
      <c r="D87" s="268">
        <v>3.8208930457965335</v>
      </c>
      <c r="E87" s="188">
        <v>3.4375</v>
      </c>
      <c r="F87" s="170">
        <v>0.90053573272252407</v>
      </c>
      <c r="G87" s="187" t="s">
        <v>10</v>
      </c>
      <c r="H87" s="196" t="s">
        <v>10</v>
      </c>
      <c r="I87" s="269">
        <v>3.5016971402954487</v>
      </c>
      <c r="J87" s="186">
        <v>3.1795595833333334</v>
      </c>
      <c r="K87" s="170">
        <v>0.88851763724406763</v>
      </c>
      <c r="L87" s="187"/>
      <c r="M87" s="196"/>
      <c r="N87" s="251">
        <v>0.16</v>
      </c>
      <c r="O87" s="226">
        <v>0.13</v>
      </c>
      <c r="P87" s="191">
        <v>0.14000000000000001</v>
      </c>
      <c r="Q87" s="191">
        <v>0.23</v>
      </c>
      <c r="R87" s="191">
        <v>0.12</v>
      </c>
      <c r="S87" s="226">
        <v>0.11</v>
      </c>
      <c r="T87" s="192"/>
      <c r="U87" s="193"/>
      <c r="W87" s="270">
        <f>D87*1.02</f>
        <v>3.8973109067124643</v>
      </c>
      <c r="X87" s="198">
        <f>E87*1.02</f>
        <v>3.5062500000000001</v>
      </c>
      <c r="Y87" s="201">
        <f>F87*1.02</f>
        <v>0.91854644737697455</v>
      </c>
      <c r="Z87" s="187" t="s">
        <v>10</v>
      </c>
      <c r="AA87" s="196" t="s">
        <v>10</v>
      </c>
      <c r="AB87" s="197">
        <f t="shared" ref="AB87:AD95" si="30">I87*1.02</f>
        <v>3.5717310831013576</v>
      </c>
      <c r="AC87" s="195">
        <f t="shared" si="30"/>
        <v>3.2431507750000002</v>
      </c>
      <c r="AD87" s="201">
        <f t="shared" si="30"/>
        <v>0.90628798998894899</v>
      </c>
      <c r="AE87" s="187"/>
      <c r="AF87" s="196"/>
      <c r="AG87" s="251">
        <v>0.16</v>
      </c>
      <c r="AH87" s="226">
        <v>0.13</v>
      </c>
      <c r="AI87" s="191">
        <v>0.14000000000000001</v>
      </c>
      <c r="AJ87" s="191">
        <v>0.23</v>
      </c>
      <c r="AK87" s="191">
        <v>0.12</v>
      </c>
      <c r="AL87" s="226">
        <v>0.11</v>
      </c>
      <c r="AM87" s="192"/>
      <c r="AN87" s="193"/>
    </row>
    <row r="88" spans="1:40" ht="15.75" thickBot="1" x14ac:dyDescent="0.25">
      <c r="A88" s="203" t="str">
        <f>A87</f>
        <v>Retail</v>
      </c>
      <c r="B88" s="204" t="str">
        <f t="shared" si="26"/>
        <v>Retail</v>
      </c>
      <c r="C88" s="205" t="s">
        <v>486</v>
      </c>
      <c r="D88" s="271">
        <v>7.4103756745344533</v>
      </c>
      <c r="E88" s="252">
        <v>0.44691993785438699</v>
      </c>
      <c r="F88" s="207">
        <v>0.90053573272252407</v>
      </c>
      <c r="G88" s="208" t="s">
        <v>10</v>
      </c>
      <c r="H88" s="217" t="s">
        <v>10</v>
      </c>
      <c r="I88" s="300">
        <v>2.8897648718916269</v>
      </c>
      <c r="J88" s="252">
        <v>1.0431499665232233</v>
      </c>
      <c r="K88" s="207">
        <v>0.88851763724406763</v>
      </c>
      <c r="L88" s="208"/>
      <c r="M88" s="217"/>
      <c r="N88" s="254">
        <v>0.04</v>
      </c>
      <c r="O88" s="255">
        <v>0.08</v>
      </c>
      <c r="P88" s="212">
        <v>0.14000000000000001</v>
      </c>
      <c r="Q88" s="212">
        <v>0.23</v>
      </c>
      <c r="R88" s="212">
        <v>0.12</v>
      </c>
      <c r="S88" s="212">
        <v>0.12</v>
      </c>
      <c r="T88" s="213"/>
      <c r="U88" s="214"/>
      <c r="W88" s="301">
        <f>+W87*0.8</f>
        <v>3.1178487253699716</v>
      </c>
      <c r="X88" s="302">
        <f>+X87*0.8</f>
        <v>2.8050000000000002</v>
      </c>
      <c r="Y88" s="303">
        <f>+Y87*0.8</f>
        <v>0.73483715790157966</v>
      </c>
      <c r="Z88" s="208" t="s">
        <v>10</v>
      </c>
      <c r="AA88" s="217" t="s">
        <v>10</v>
      </c>
      <c r="AB88" s="304">
        <f t="shared" si="30"/>
        <v>2.9475601693294595</v>
      </c>
      <c r="AC88" s="273">
        <f t="shared" si="30"/>
        <v>1.0640129658536879</v>
      </c>
      <c r="AD88" s="216">
        <f t="shared" si="30"/>
        <v>0.90628798998894899</v>
      </c>
      <c r="AE88" s="208"/>
      <c r="AF88" s="217"/>
      <c r="AG88" s="254">
        <v>0.04</v>
      </c>
      <c r="AH88" s="255">
        <v>0.08</v>
      </c>
      <c r="AI88" s="212">
        <v>0.14000000000000001</v>
      </c>
      <c r="AJ88" s="212">
        <v>0.23</v>
      </c>
      <c r="AK88" s="212">
        <v>0.12</v>
      </c>
      <c r="AL88" s="212">
        <v>0.12</v>
      </c>
      <c r="AM88" s="213"/>
      <c r="AN88" s="214"/>
    </row>
    <row r="89" spans="1:40" ht="15" x14ac:dyDescent="0.2">
      <c r="A89" s="150" t="s">
        <v>680</v>
      </c>
      <c r="B89" s="150" t="str">
        <f t="shared" si="26"/>
        <v>Assembly</v>
      </c>
      <c r="C89" s="167" t="s">
        <v>470</v>
      </c>
      <c r="D89" s="278">
        <v>1.3</v>
      </c>
      <c r="E89" s="174">
        <v>1.425</v>
      </c>
      <c r="F89" s="174">
        <v>1.1636311220020303</v>
      </c>
      <c r="G89" s="171" t="s">
        <v>10</v>
      </c>
      <c r="H89" s="181" t="s">
        <v>10</v>
      </c>
      <c r="I89" s="278">
        <v>0.46976064583333305</v>
      </c>
      <c r="J89" s="174">
        <v>4.8877831875000011</v>
      </c>
      <c r="K89" s="174">
        <v>1.79</v>
      </c>
      <c r="L89" s="171"/>
      <c r="M89" s="181"/>
      <c r="N89" s="175">
        <v>0.08</v>
      </c>
      <c r="O89" s="177">
        <v>0.35</v>
      </c>
      <c r="P89" s="177">
        <v>0.48</v>
      </c>
      <c r="Q89" s="177">
        <v>0.23</v>
      </c>
      <c r="R89" s="177">
        <v>0.12</v>
      </c>
      <c r="S89" s="177">
        <v>0.12</v>
      </c>
      <c r="T89" s="178"/>
      <c r="U89" s="179"/>
      <c r="W89" s="280">
        <f t="shared" ref="W89:Y92" si="31">D89*1.02</f>
        <v>1.3260000000000001</v>
      </c>
      <c r="X89" s="223">
        <f t="shared" si="31"/>
        <v>1.4535</v>
      </c>
      <c r="Y89" s="223">
        <f t="shared" si="31"/>
        <v>1.1869037444420709</v>
      </c>
      <c r="Z89" s="171" t="s">
        <v>10</v>
      </c>
      <c r="AA89" s="181" t="s">
        <v>10</v>
      </c>
      <c r="AB89" s="281">
        <f t="shared" si="30"/>
        <v>0.47915585874999972</v>
      </c>
      <c r="AC89" s="223">
        <f t="shared" si="30"/>
        <v>4.9855388512500012</v>
      </c>
      <c r="AD89" s="223">
        <f t="shared" si="30"/>
        <v>1.8258000000000001</v>
      </c>
      <c r="AE89" s="171"/>
      <c r="AF89" s="181"/>
      <c r="AG89" s="175">
        <v>0.08</v>
      </c>
      <c r="AH89" s="177">
        <v>0.35</v>
      </c>
      <c r="AI89" s="177">
        <v>0.48</v>
      </c>
      <c r="AJ89" s="177">
        <v>0.23</v>
      </c>
      <c r="AK89" s="177">
        <v>0.12</v>
      </c>
      <c r="AL89" s="177">
        <v>0.12</v>
      </c>
      <c r="AM89" s="178"/>
      <c r="AN89" s="179"/>
    </row>
    <row r="90" spans="1:40" ht="15" x14ac:dyDescent="0.2">
      <c r="A90" s="182" t="str">
        <f>A89</f>
        <v>Spa</v>
      </c>
      <c r="B90" s="183" t="str">
        <f t="shared" si="26"/>
        <v>Assembly</v>
      </c>
      <c r="C90" s="184" t="s">
        <v>476</v>
      </c>
      <c r="D90" s="282">
        <v>1.3</v>
      </c>
      <c r="E90" s="170">
        <v>1.425</v>
      </c>
      <c r="F90" s="170">
        <v>1.1636311220020303</v>
      </c>
      <c r="G90" s="187" t="s">
        <v>10</v>
      </c>
      <c r="H90" s="196" t="s">
        <v>10</v>
      </c>
      <c r="I90" s="282">
        <v>0.46976064583333305</v>
      </c>
      <c r="J90" s="170">
        <v>4.8877831875000011</v>
      </c>
      <c r="K90" s="170">
        <v>1.79</v>
      </c>
      <c r="L90" s="187"/>
      <c r="M90" s="196"/>
      <c r="N90" s="189">
        <v>6.6666666666666666E-2</v>
      </c>
      <c r="O90" s="191">
        <v>0.35</v>
      </c>
      <c r="P90" s="191">
        <v>0.31</v>
      </c>
      <c r="Q90" s="191">
        <v>0.23</v>
      </c>
      <c r="R90" s="191">
        <v>0.12</v>
      </c>
      <c r="S90" s="191">
        <v>0.12</v>
      </c>
      <c r="T90" s="192"/>
      <c r="U90" s="193"/>
      <c r="W90" s="284">
        <f t="shared" si="31"/>
        <v>1.3260000000000001</v>
      </c>
      <c r="X90" s="201">
        <f t="shared" si="31"/>
        <v>1.4535</v>
      </c>
      <c r="Y90" s="201">
        <f t="shared" si="31"/>
        <v>1.1869037444420709</v>
      </c>
      <c r="Z90" s="187" t="s">
        <v>10</v>
      </c>
      <c r="AA90" s="196" t="s">
        <v>10</v>
      </c>
      <c r="AB90" s="202">
        <f t="shared" si="30"/>
        <v>0.47915585874999972</v>
      </c>
      <c r="AC90" s="201">
        <f t="shared" si="30"/>
        <v>4.9855388512500012</v>
      </c>
      <c r="AD90" s="201">
        <f t="shared" si="30"/>
        <v>1.8258000000000001</v>
      </c>
      <c r="AE90" s="187"/>
      <c r="AF90" s="196"/>
      <c r="AG90" s="189">
        <v>6.6666666666666666E-2</v>
      </c>
      <c r="AH90" s="191">
        <v>0.35</v>
      </c>
      <c r="AI90" s="191">
        <v>0.31</v>
      </c>
      <c r="AJ90" s="191">
        <v>0.23</v>
      </c>
      <c r="AK90" s="191">
        <v>0.12</v>
      </c>
      <c r="AL90" s="191">
        <v>0.12</v>
      </c>
      <c r="AM90" s="192"/>
      <c r="AN90" s="193"/>
    </row>
    <row r="91" spans="1:40" ht="15" x14ac:dyDescent="0.2">
      <c r="A91" s="182" t="str">
        <f>A90</f>
        <v>Spa</v>
      </c>
      <c r="B91" s="183" t="str">
        <f t="shared" si="26"/>
        <v>Assembly</v>
      </c>
      <c r="C91" s="184" t="s">
        <v>481</v>
      </c>
      <c r="D91" s="185">
        <v>1.3</v>
      </c>
      <c r="E91" s="186">
        <v>1.425</v>
      </c>
      <c r="F91" s="170">
        <v>1.1636311220020303</v>
      </c>
      <c r="G91" s="187" t="s">
        <v>10</v>
      </c>
      <c r="H91" s="196" t="s">
        <v>10</v>
      </c>
      <c r="I91" s="262">
        <v>0.46976064583333305</v>
      </c>
      <c r="J91" s="186">
        <v>4.8877831875000011</v>
      </c>
      <c r="K91" s="170">
        <v>1.79</v>
      </c>
      <c r="L91" s="187"/>
      <c r="M91" s="196"/>
      <c r="N91" s="189">
        <v>0.1</v>
      </c>
      <c r="O91" s="226">
        <v>0.35</v>
      </c>
      <c r="P91" s="191">
        <v>0.13</v>
      </c>
      <c r="Q91" s="191">
        <v>0.23</v>
      </c>
      <c r="R91" s="191">
        <v>0.12</v>
      </c>
      <c r="S91" s="191">
        <v>0.12</v>
      </c>
      <c r="T91" s="192"/>
      <c r="U91" s="193"/>
      <c r="W91" s="194">
        <f t="shared" si="31"/>
        <v>1.3260000000000001</v>
      </c>
      <c r="X91" s="195">
        <f t="shared" si="31"/>
        <v>1.4535</v>
      </c>
      <c r="Y91" s="201">
        <f t="shared" si="31"/>
        <v>1.1869037444420709</v>
      </c>
      <c r="Z91" s="187" t="s">
        <v>10</v>
      </c>
      <c r="AA91" s="196" t="s">
        <v>10</v>
      </c>
      <c r="AB91" s="264">
        <f t="shared" si="30"/>
        <v>0.47915585874999972</v>
      </c>
      <c r="AC91" s="195">
        <f t="shared" si="30"/>
        <v>4.9855388512500012</v>
      </c>
      <c r="AD91" s="201">
        <f t="shared" si="30"/>
        <v>1.8258000000000001</v>
      </c>
      <c r="AE91" s="187"/>
      <c r="AF91" s="196"/>
      <c r="AG91" s="189">
        <v>0.1</v>
      </c>
      <c r="AH91" s="226">
        <v>0.35</v>
      </c>
      <c r="AI91" s="191">
        <v>0.13</v>
      </c>
      <c r="AJ91" s="191">
        <v>0.23</v>
      </c>
      <c r="AK91" s="191">
        <v>0.12</v>
      </c>
      <c r="AL91" s="191">
        <v>0.12</v>
      </c>
      <c r="AM91" s="192"/>
      <c r="AN91" s="193"/>
    </row>
    <row r="92" spans="1:40" ht="15.75" thickBot="1" x14ac:dyDescent="0.25">
      <c r="A92" s="203" t="str">
        <f>A91</f>
        <v>Spa</v>
      </c>
      <c r="B92" s="204" t="str">
        <f t="shared" si="26"/>
        <v>Assembly</v>
      </c>
      <c r="C92" s="205" t="s">
        <v>486</v>
      </c>
      <c r="D92" s="265">
        <v>1.3</v>
      </c>
      <c r="E92" s="207">
        <v>1.425</v>
      </c>
      <c r="F92" s="207">
        <v>1.1636311220020303</v>
      </c>
      <c r="G92" s="208" t="s">
        <v>10</v>
      </c>
      <c r="H92" s="217" t="s">
        <v>10</v>
      </c>
      <c r="I92" s="265">
        <v>0.46976064583333305</v>
      </c>
      <c r="J92" s="207">
        <v>4.8877831875000011</v>
      </c>
      <c r="K92" s="207">
        <v>1.79</v>
      </c>
      <c r="L92" s="208"/>
      <c r="M92" s="217"/>
      <c r="N92" s="211">
        <v>0.02</v>
      </c>
      <c r="O92" s="212">
        <v>0.35</v>
      </c>
      <c r="P92" s="212">
        <v>0.35</v>
      </c>
      <c r="Q92" s="212">
        <v>0.23</v>
      </c>
      <c r="R92" s="212">
        <v>0.12</v>
      </c>
      <c r="S92" s="212">
        <v>0.12</v>
      </c>
      <c r="T92" s="213"/>
      <c r="U92" s="214"/>
      <c r="W92" s="266">
        <f t="shared" si="31"/>
        <v>1.3260000000000001</v>
      </c>
      <c r="X92" s="216">
        <f t="shared" si="31"/>
        <v>1.4535</v>
      </c>
      <c r="Y92" s="216">
        <f t="shared" si="31"/>
        <v>1.1869037444420709</v>
      </c>
      <c r="Z92" s="208" t="s">
        <v>10</v>
      </c>
      <c r="AA92" s="217" t="s">
        <v>10</v>
      </c>
      <c r="AB92" s="218">
        <f t="shared" si="30"/>
        <v>0.47915585874999972</v>
      </c>
      <c r="AC92" s="216">
        <f t="shared" si="30"/>
        <v>4.9855388512500012</v>
      </c>
      <c r="AD92" s="216">
        <f t="shared" si="30"/>
        <v>1.8258000000000001</v>
      </c>
      <c r="AE92" s="208"/>
      <c r="AF92" s="217"/>
      <c r="AG92" s="211">
        <v>0.02</v>
      </c>
      <c r="AH92" s="212">
        <v>0.35</v>
      </c>
      <c r="AI92" s="212">
        <v>0.35</v>
      </c>
      <c r="AJ92" s="212">
        <v>0.23</v>
      </c>
      <c r="AK92" s="212">
        <v>0.12</v>
      </c>
      <c r="AL92" s="212">
        <v>0.12</v>
      </c>
      <c r="AM92" s="213"/>
      <c r="AN92" s="214"/>
    </row>
    <row r="93" spans="1:40" ht="15" x14ac:dyDescent="0.2">
      <c r="A93" s="150" t="s">
        <v>681</v>
      </c>
      <c r="B93" s="150" t="str">
        <f t="shared" si="26"/>
        <v/>
      </c>
      <c r="C93" s="167" t="s">
        <v>470</v>
      </c>
      <c r="D93" s="219">
        <v>4.0613399495420213</v>
      </c>
      <c r="E93" s="173">
        <v>2.3377021144278611</v>
      </c>
      <c r="F93" s="174">
        <v>1.1636311220020303</v>
      </c>
      <c r="G93" s="171" t="s">
        <v>10</v>
      </c>
      <c r="H93" s="181" t="s">
        <v>10</v>
      </c>
      <c r="I93" s="172">
        <v>1.8290180404003606</v>
      </c>
      <c r="J93" s="169">
        <v>0.33128203420398017</v>
      </c>
      <c r="K93" s="174">
        <v>1.79</v>
      </c>
      <c r="L93" s="171"/>
      <c r="M93" s="181"/>
      <c r="N93" s="250">
        <v>0.06</v>
      </c>
      <c r="O93" s="242">
        <v>7.0000000000000007E-2</v>
      </c>
      <c r="P93" s="177">
        <v>0.38</v>
      </c>
      <c r="Q93" s="177">
        <v>0.23</v>
      </c>
      <c r="R93" s="177">
        <v>0.12</v>
      </c>
      <c r="S93" s="177">
        <v>0.12</v>
      </c>
      <c r="T93" s="178"/>
      <c r="U93" s="179"/>
      <c r="W93" s="305">
        <f>+W94*1.1</f>
        <v>5.6556349772116148</v>
      </c>
      <c r="X93" s="306">
        <f>+X94*1.1</f>
        <v>1.2803299011913809</v>
      </c>
      <c r="Y93" s="292">
        <f>+Y94*1.1</f>
        <v>1.3055941188862781</v>
      </c>
      <c r="Z93" s="171" t="s">
        <v>10</v>
      </c>
      <c r="AA93" s="181" t="s">
        <v>10</v>
      </c>
      <c r="AB93" s="274">
        <f t="shared" si="30"/>
        <v>1.865598401208368</v>
      </c>
      <c r="AC93" s="275">
        <f t="shared" si="30"/>
        <v>0.33790767488805978</v>
      </c>
      <c r="AD93" s="223">
        <f t="shared" si="30"/>
        <v>1.8258000000000001</v>
      </c>
      <c r="AE93" s="171"/>
      <c r="AF93" s="181"/>
      <c r="AG93" s="250">
        <v>0.06</v>
      </c>
      <c r="AH93" s="242">
        <v>7.0000000000000007E-2</v>
      </c>
      <c r="AI93" s="177">
        <v>0.38</v>
      </c>
      <c r="AJ93" s="177">
        <v>0.23</v>
      </c>
      <c r="AK93" s="177">
        <v>0.12</v>
      </c>
      <c r="AL93" s="177">
        <v>0.12</v>
      </c>
      <c r="AM93" s="178"/>
      <c r="AN93" s="179"/>
    </row>
    <row r="94" spans="1:40" ht="15" x14ac:dyDescent="0.2">
      <c r="A94" s="182" t="str">
        <f>A93</f>
        <v>Theater</v>
      </c>
      <c r="B94" s="183" t="str">
        <f t="shared" si="26"/>
        <v/>
      </c>
      <c r="C94" s="184" t="s">
        <v>476</v>
      </c>
      <c r="D94" s="199">
        <v>5.0406728852153426</v>
      </c>
      <c r="E94" s="170">
        <v>1.1411139939317121</v>
      </c>
      <c r="F94" s="170">
        <v>1.1636311220020303</v>
      </c>
      <c r="G94" s="187" t="s">
        <v>10</v>
      </c>
      <c r="H94" s="196" t="s">
        <v>10</v>
      </c>
      <c r="I94" s="199">
        <v>1.9252057308705808</v>
      </c>
      <c r="J94" s="170">
        <v>0.39148693108565896</v>
      </c>
      <c r="K94" s="170">
        <v>1.79</v>
      </c>
      <c r="L94" s="187"/>
      <c r="M94" s="196"/>
      <c r="N94" s="189">
        <v>6.3333333333333339E-2</v>
      </c>
      <c r="O94" s="191">
        <v>9.3333333333333338E-2</v>
      </c>
      <c r="P94" s="191">
        <v>0.17</v>
      </c>
      <c r="Q94" s="191">
        <v>0.23</v>
      </c>
      <c r="R94" s="191">
        <v>0.12</v>
      </c>
      <c r="S94" s="191">
        <v>0.12</v>
      </c>
      <c r="T94" s="192"/>
      <c r="U94" s="193"/>
      <c r="W94" s="200">
        <f t="shared" ref="W94:Y95" si="32">D94*1.02</f>
        <v>5.1414863429196496</v>
      </c>
      <c r="X94" s="201">
        <f t="shared" si="32"/>
        <v>1.1639362738103463</v>
      </c>
      <c r="Y94" s="201">
        <f t="shared" si="32"/>
        <v>1.1869037444420709</v>
      </c>
      <c r="Z94" s="187" t="s">
        <v>10</v>
      </c>
      <c r="AA94" s="196" t="s">
        <v>10</v>
      </c>
      <c r="AB94" s="261">
        <f t="shared" si="30"/>
        <v>1.9637098454879924</v>
      </c>
      <c r="AC94" s="201">
        <f t="shared" si="30"/>
        <v>0.39931666970737217</v>
      </c>
      <c r="AD94" s="201">
        <f t="shared" si="30"/>
        <v>1.8258000000000001</v>
      </c>
      <c r="AE94" s="187"/>
      <c r="AF94" s="196"/>
      <c r="AG94" s="189">
        <v>6.3333333333333339E-2</v>
      </c>
      <c r="AH94" s="191">
        <v>9.3333333333333338E-2</v>
      </c>
      <c r="AI94" s="191">
        <v>0.17</v>
      </c>
      <c r="AJ94" s="191">
        <v>0.23</v>
      </c>
      <c r="AK94" s="191">
        <v>0.12</v>
      </c>
      <c r="AL94" s="191">
        <v>0.12</v>
      </c>
      <c r="AM94" s="192"/>
      <c r="AN94" s="193"/>
    </row>
    <row r="95" spans="1:40" ht="15" x14ac:dyDescent="0.2">
      <c r="A95" s="182" t="str">
        <f>A94</f>
        <v>Theater</v>
      </c>
      <c r="B95" s="183" t="str">
        <f t="shared" si="26"/>
        <v/>
      </c>
      <c r="C95" s="184" t="s">
        <v>481</v>
      </c>
      <c r="D95" s="268">
        <v>4.3599273950262107</v>
      </c>
      <c r="E95" s="188">
        <v>0.19113315065230191</v>
      </c>
      <c r="F95" s="170">
        <v>1.1636311220020303</v>
      </c>
      <c r="G95" s="187" t="s">
        <v>10</v>
      </c>
      <c r="H95" s="196" t="s">
        <v>10</v>
      </c>
      <c r="I95" s="262">
        <v>1.4175899575394273</v>
      </c>
      <c r="J95" s="186">
        <v>0.63281005692934467</v>
      </c>
      <c r="K95" s="170">
        <v>1.79</v>
      </c>
      <c r="L95" s="187"/>
      <c r="M95" s="196"/>
      <c r="N95" s="251">
        <v>7.0000000000000007E-2</v>
      </c>
      <c r="O95" s="226">
        <v>0.15</v>
      </c>
      <c r="P95" s="191">
        <v>0.27500000000000002</v>
      </c>
      <c r="Q95" s="191">
        <v>0.23</v>
      </c>
      <c r="R95" s="191">
        <v>0.12</v>
      </c>
      <c r="S95" s="191">
        <v>0.12</v>
      </c>
      <c r="T95" s="192"/>
      <c r="U95" s="193"/>
      <c r="W95" s="270">
        <f t="shared" si="32"/>
        <v>4.4471259429267347</v>
      </c>
      <c r="X95" s="198">
        <f t="shared" si="32"/>
        <v>0.19495581366534795</v>
      </c>
      <c r="Y95" s="201">
        <f t="shared" si="32"/>
        <v>1.1869037444420709</v>
      </c>
      <c r="Z95" s="187" t="s">
        <v>10</v>
      </c>
      <c r="AA95" s="196" t="s">
        <v>10</v>
      </c>
      <c r="AB95" s="264">
        <f t="shared" si="30"/>
        <v>1.445941756690216</v>
      </c>
      <c r="AC95" s="195">
        <f t="shared" si="30"/>
        <v>0.64546625806793156</v>
      </c>
      <c r="AD95" s="201">
        <f t="shared" si="30"/>
        <v>1.8258000000000001</v>
      </c>
      <c r="AE95" s="187"/>
      <c r="AF95" s="196"/>
      <c r="AG95" s="251">
        <v>7.0000000000000007E-2</v>
      </c>
      <c r="AH95" s="226">
        <v>0.15</v>
      </c>
      <c r="AI95" s="191">
        <v>0.27500000000000002</v>
      </c>
      <c r="AJ95" s="191">
        <v>0.23</v>
      </c>
      <c r="AK95" s="191">
        <v>0.12</v>
      </c>
      <c r="AL95" s="191">
        <v>0.12</v>
      </c>
      <c r="AM95" s="192"/>
      <c r="AN95" s="193"/>
    </row>
    <row r="96" spans="1:40" ht="15.75" thickBot="1" x14ac:dyDescent="0.25">
      <c r="A96" s="203" t="str">
        <f>A95</f>
        <v>Theater</v>
      </c>
      <c r="B96" s="204" t="str">
        <f t="shared" si="26"/>
        <v/>
      </c>
      <c r="C96" s="205" t="s">
        <v>486</v>
      </c>
      <c r="D96" s="307">
        <v>6.7007513110777976</v>
      </c>
      <c r="E96" s="253">
        <v>0.89450671671497362</v>
      </c>
      <c r="F96" s="207">
        <v>1.1636311220020303</v>
      </c>
      <c r="G96" s="208" t="s">
        <v>10</v>
      </c>
      <c r="H96" s="217" t="s">
        <v>10</v>
      </c>
      <c r="I96" s="300">
        <v>2.5290091946719548</v>
      </c>
      <c r="J96" s="252">
        <v>0.21036870212365189</v>
      </c>
      <c r="K96" s="207">
        <v>1.79</v>
      </c>
      <c r="L96" s="208"/>
      <c r="M96" s="217"/>
      <c r="N96" s="233">
        <v>0.06</v>
      </c>
      <c r="O96" s="255">
        <v>0.06</v>
      </c>
      <c r="P96" s="212">
        <v>0.27500000000000002</v>
      </c>
      <c r="Q96" s="212">
        <v>0.23</v>
      </c>
      <c r="R96" s="212">
        <v>0.12</v>
      </c>
      <c r="S96" s="212">
        <v>0.12</v>
      </c>
      <c r="T96" s="213"/>
      <c r="U96" s="214"/>
      <c r="W96" s="308">
        <f>+W95*0.9</f>
        <v>4.002413348634061</v>
      </c>
      <c r="X96" s="309">
        <f>+X95*0.9</f>
        <v>0.17546023229881316</v>
      </c>
      <c r="Y96" s="303">
        <f>+Y95*0.9</f>
        <v>1.0682133699978638</v>
      </c>
      <c r="Z96" s="208" t="s">
        <v>10</v>
      </c>
      <c r="AA96" s="217" t="s">
        <v>10</v>
      </c>
      <c r="AB96" s="310">
        <f>+AB95*0.9</f>
        <v>1.3013475810211943</v>
      </c>
      <c r="AC96" s="310">
        <f>+AC95*0.9</f>
        <v>0.58091963226113841</v>
      </c>
      <c r="AD96" s="310">
        <f>+AD95*0.9</f>
        <v>1.6432200000000001</v>
      </c>
      <c r="AE96" s="208"/>
      <c r="AF96" s="217"/>
      <c r="AG96" s="233">
        <v>0.06</v>
      </c>
      <c r="AH96" s="255">
        <v>0.06</v>
      </c>
      <c r="AI96" s="212">
        <v>0.27500000000000002</v>
      </c>
      <c r="AJ96" s="212">
        <v>0.23</v>
      </c>
      <c r="AK96" s="212">
        <v>0.12</v>
      </c>
      <c r="AL96" s="212">
        <v>0.12</v>
      </c>
      <c r="AM96" s="213"/>
      <c r="AN96" s="214"/>
    </row>
    <row r="97" spans="1:40" ht="15" x14ac:dyDescent="0.2">
      <c r="A97" s="150" t="s">
        <v>682</v>
      </c>
      <c r="B97" s="150" t="str">
        <f t="shared" si="26"/>
        <v/>
      </c>
      <c r="C97" s="167" t="s">
        <v>470</v>
      </c>
      <c r="D97" s="278">
        <v>1.421</v>
      </c>
      <c r="E97" s="174">
        <v>1.0561111111111112</v>
      </c>
      <c r="F97" s="174">
        <v>1.1636311220020303</v>
      </c>
      <c r="G97" s="171" t="s">
        <v>10</v>
      </c>
      <c r="H97" s="181" t="s">
        <v>10</v>
      </c>
      <c r="I97" s="278">
        <v>2.8619583333333334</v>
      </c>
      <c r="J97" s="174">
        <v>0.50179722222222178</v>
      </c>
      <c r="K97" s="174">
        <v>1.79</v>
      </c>
      <c r="L97" s="171"/>
      <c r="M97" s="181"/>
      <c r="N97" s="175">
        <v>7.0000000000000007E-2</v>
      </c>
      <c r="O97" s="177">
        <v>0.2</v>
      </c>
      <c r="P97" s="177">
        <v>0.15</v>
      </c>
      <c r="Q97" s="177">
        <v>0.23</v>
      </c>
      <c r="R97" s="177">
        <v>0.12</v>
      </c>
      <c r="S97" s="177">
        <v>0.12</v>
      </c>
      <c r="T97" s="178"/>
      <c r="U97" s="179"/>
      <c r="W97" s="280">
        <f t="shared" ref="W97:Y101" si="33">D97*1.02</f>
        <v>1.4494200000000002</v>
      </c>
      <c r="X97" s="223">
        <f t="shared" si="33"/>
        <v>1.0772333333333335</v>
      </c>
      <c r="Y97" s="223">
        <f t="shared" si="33"/>
        <v>1.1869037444420709</v>
      </c>
      <c r="Z97" s="171" t="s">
        <v>10</v>
      </c>
      <c r="AA97" s="181" t="s">
        <v>10</v>
      </c>
      <c r="AB97" s="281">
        <f t="shared" ref="AB97:AD100" si="34">I97*1.02</f>
        <v>2.9191975000000001</v>
      </c>
      <c r="AC97" s="223">
        <f t="shared" si="34"/>
        <v>0.51183316666666623</v>
      </c>
      <c r="AD97" s="223">
        <f t="shared" si="34"/>
        <v>1.8258000000000001</v>
      </c>
      <c r="AE97" s="171"/>
      <c r="AF97" s="181"/>
      <c r="AG97" s="175">
        <v>7.0000000000000007E-2</v>
      </c>
      <c r="AH97" s="177">
        <v>0.2</v>
      </c>
      <c r="AI97" s="177">
        <v>0.15</v>
      </c>
      <c r="AJ97" s="177">
        <v>0.23</v>
      </c>
      <c r="AK97" s="177">
        <v>0.12</v>
      </c>
      <c r="AL97" s="177">
        <v>0.12</v>
      </c>
      <c r="AM97" s="178"/>
      <c r="AN97" s="179"/>
    </row>
    <row r="98" spans="1:40" ht="15" x14ac:dyDescent="0.2">
      <c r="A98" s="182" t="str">
        <f>A97</f>
        <v>Utility Bureau Property</v>
      </c>
      <c r="B98" s="183" t="str">
        <f t="shared" si="26"/>
        <v/>
      </c>
      <c r="C98" s="184" t="s">
        <v>476</v>
      </c>
      <c r="D98" s="185">
        <v>1.421</v>
      </c>
      <c r="E98" s="186">
        <v>1.0561111111111112</v>
      </c>
      <c r="F98" s="170">
        <v>1.1636311220020303</v>
      </c>
      <c r="G98" s="187" t="s">
        <v>10</v>
      </c>
      <c r="H98" s="196" t="s">
        <v>10</v>
      </c>
      <c r="I98" s="262">
        <v>2.8619583333333334</v>
      </c>
      <c r="J98" s="186">
        <v>0.50179722222222178</v>
      </c>
      <c r="K98" s="170">
        <v>1.79</v>
      </c>
      <c r="L98" s="187"/>
      <c r="M98" s="196"/>
      <c r="N98" s="189">
        <v>0.05</v>
      </c>
      <c r="O98" s="226">
        <v>0.2</v>
      </c>
      <c r="P98" s="191">
        <v>0.16</v>
      </c>
      <c r="Q98" s="191">
        <v>0.23</v>
      </c>
      <c r="R98" s="191">
        <v>0.12</v>
      </c>
      <c r="S98" s="191">
        <v>0.12</v>
      </c>
      <c r="T98" s="192"/>
      <c r="U98" s="193"/>
      <c r="W98" s="194">
        <f t="shared" si="33"/>
        <v>1.4494200000000002</v>
      </c>
      <c r="X98" s="195">
        <f t="shared" si="33"/>
        <v>1.0772333333333335</v>
      </c>
      <c r="Y98" s="201">
        <f t="shared" si="33"/>
        <v>1.1869037444420709</v>
      </c>
      <c r="Z98" s="187" t="s">
        <v>10</v>
      </c>
      <c r="AA98" s="196" t="s">
        <v>10</v>
      </c>
      <c r="AB98" s="264">
        <f t="shared" si="34"/>
        <v>2.9191975000000001</v>
      </c>
      <c r="AC98" s="195">
        <f t="shared" si="34"/>
        <v>0.51183316666666623</v>
      </c>
      <c r="AD98" s="201">
        <f t="shared" si="34"/>
        <v>1.8258000000000001</v>
      </c>
      <c r="AE98" s="187"/>
      <c r="AF98" s="196"/>
      <c r="AG98" s="189">
        <v>0.05</v>
      </c>
      <c r="AH98" s="226">
        <v>0.2</v>
      </c>
      <c r="AI98" s="191">
        <v>0.16</v>
      </c>
      <c r="AJ98" s="191">
        <v>0.23</v>
      </c>
      <c r="AK98" s="191">
        <v>0.12</v>
      </c>
      <c r="AL98" s="191">
        <v>0.12</v>
      </c>
      <c r="AM98" s="192"/>
      <c r="AN98" s="193"/>
    </row>
    <row r="99" spans="1:40" ht="15" x14ac:dyDescent="0.2">
      <c r="A99" s="182" t="str">
        <f>A98</f>
        <v>Utility Bureau Property</v>
      </c>
      <c r="B99" s="183" t="str">
        <f t="shared" si="26"/>
        <v/>
      </c>
      <c r="C99" s="184" t="s">
        <v>481</v>
      </c>
      <c r="D99" s="282">
        <v>1.421</v>
      </c>
      <c r="E99" s="170">
        <v>1.0561111111111112</v>
      </c>
      <c r="F99" s="170">
        <v>1.1636311220020303</v>
      </c>
      <c r="G99" s="187" t="s">
        <v>10</v>
      </c>
      <c r="H99" s="196" t="s">
        <v>10</v>
      </c>
      <c r="I99" s="282">
        <v>2.8619583333333334</v>
      </c>
      <c r="J99" s="170">
        <v>0.50179722222222178</v>
      </c>
      <c r="K99" s="170">
        <v>1.79</v>
      </c>
      <c r="L99" s="187"/>
      <c r="M99" s="196"/>
      <c r="N99" s="189">
        <v>0.09</v>
      </c>
      <c r="O99" s="191">
        <v>0.2</v>
      </c>
      <c r="P99" s="191">
        <v>0.17</v>
      </c>
      <c r="Q99" s="191">
        <v>0.23</v>
      </c>
      <c r="R99" s="191">
        <v>0.12</v>
      </c>
      <c r="S99" s="191">
        <v>0.12</v>
      </c>
      <c r="T99" s="192"/>
      <c r="U99" s="193"/>
      <c r="W99" s="284">
        <f t="shared" si="33"/>
        <v>1.4494200000000002</v>
      </c>
      <c r="X99" s="201">
        <f t="shared" si="33"/>
        <v>1.0772333333333335</v>
      </c>
      <c r="Y99" s="201">
        <f t="shared" si="33"/>
        <v>1.1869037444420709</v>
      </c>
      <c r="Z99" s="187" t="s">
        <v>10</v>
      </c>
      <c r="AA99" s="196" t="s">
        <v>10</v>
      </c>
      <c r="AB99" s="202">
        <f t="shared" si="34"/>
        <v>2.9191975000000001</v>
      </c>
      <c r="AC99" s="201">
        <f t="shared" si="34"/>
        <v>0.51183316666666623</v>
      </c>
      <c r="AD99" s="201">
        <f t="shared" si="34"/>
        <v>1.8258000000000001</v>
      </c>
      <c r="AE99" s="187"/>
      <c r="AF99" s="196"/>
      <c r="AG99" s="189">
        <v>0.09</v>
      </c>
      <c r="AH99" s="191">
        <v>0.2</v>
      </c>
      <c r="AI99" s="191">
        <v>0.17</v>
      </c>
      <c r="AJ99" s="191">
        <v>0.23</v>
      </c>
      <c r="AK99" s="191">
        <v>0.12</v>
      </c>
      <c r="AL99" s="191">
        <v>0.12</v>
      </c>
      <c r="AM99" s="192"/>
      <c r="AN99" s="193"/>
    </row>
    <row r="100" spans="1:40" ht="15.75" thickBot="1" x14ac:dyDescent="0.25">
      <c r="A100" s="203" t="str">
        <f>A99</f>
        <v>Utility Bureau Property</v>
      </c>
      <c r="B100" s="204" t="str">
        <f t="shared" si="26"/>
        <v/>
      </c>
      <c r="C100" s="205" t="s">
        <v>486</v>
      </c>
      <c r="D100" s="265">
        <v>1.421</v>
      </c>
      <c r="E100" s="207">
        <v>1.0561111111111112</v>
      </c>
      <c r="F100" s="207">
        <v>1.1636311220020303</v>
      </c>
      <c r="G100" s="208" t="s">
        <v>10</v>
      </c>
      <c r="H100" s="217" t="s">
        <v>10</v>
      </c>
      <c r="I100" s="265">
        <v>2.8619583333333334</v>
      </c>
      <c r="J100" s="207">
        <v>0.50179722222222178</v>
      </c>
      <c r="K100" s="207">
        <v>1.79</v>
      </c>
      <c r="L100" s="208"/>
      <c r="M100" s="217"/>
      <c r="N100" s="211">
        <v>7.0000000000000007E-2</v>
      </c>
      <c r="O100" s="212">
        <v>0.2</v>
      </c>
      <c r="P100" s="212">
        <v>0.15</v>
      </c>
      <c r="Q100" s="212">
        <v>0.23</v>
      </c>
      <c r="R100" s="212">
        <v>0.12</v>
      </c>
      <c r="S100" s="212">
        <v>0.12</v>
      </c>
      <c r="T100" s="213"/>
      <c r="U100" s="214"/>
      <c r="W100" s="266">
        <f t="shared" si="33"/>
        <v>1.4494200000000002</v>
      </c>
      <c r="X100" s="216">
        <f t="shared" si="33"/>
        <v>1.0772333333333335</v>
      </c>
      <c r="Y100" s="216">
        <f t="shared" si="33"/>
        <v>1.1869037444420709</v>
      </c>
      <c r="Z100" s="208" t="s">
        <v>10</v>
      </c>
      <c r="AA100" s="217" t="s">
        <v>10</v>
      </c>
      <c r="AB100" s="218">
        <f t="shared" si="34"/>
        <v>2.9191975000000001</v>
      </c>
      <c r="AC100" s="216">
        <f t="shared" si="34"/>
        <v>0.51183316666666623</v>
      </c>
      <c r="AD100" s="216">
        <f t="shared" si="34"/>
        <v>1.8258000000000001</v>
      </c>
      <c r="AE100" s="208"/>
      <c r="AF100" s="217"/>
      <c r="AG100" s="211">
        <v>7.0000000000000007E-2</v>
      </c>
      <c r="AH100" s="212">
        <v>0.2</v>
      </c>
      <c r="AI100" s="212">
        <v>0.15</v>
      </c>
      <c r="AJ100" s="212">
        <v>0.23</v>
      </c>
      <c r="AK100" s="212">
        <v>0.12</v>
      </c>
      <c r="AL100" s="212">
        <v>0.12</v>
      </c>
      <c r="AM100" s="213"/>
      <c r="AN100" s="214"/>
    </row>
    <row r="101" spans="1:40" ht="15" x14ac:dyDescent="0.2">
      <c r="A101" s="150" t="s">
        <v>683</v>
      </c>
      <c r="B101" s="150" t="str">
        <f t="shared" si="26"/>
        <v>Residential</v>
      </c>
      <c r="C101" s="167" t="s">
        <v>470</v>
      </c>
      <c r="D101" s="219">
        <v>4.4042923971380272</v>
      </c>
      <c r="E101" s="173">
        <v>1.1429008145442623</v>
      </c>
      <c r="F101" s="174">
        <v>1.1636311220020303</v>
      </c>
      <c r="G101" s="171" t="s">
        <v>10</v>
      </c>
      <c r="H101" s="181" t="s">
        <v>10</v>
      </c>
      <c r="I101" s="172">
        <v>2.9908672784909309</v>
      </c>
      <c r="J101" s="169">
        <v>1.2188835634127142</v>
      </c>
      <c r="K101" s="174">
        <v>1.79</v>
      </c>
      <c r="L101" s="171"/>
      <c r="M101" s="181"/>
      <c r="N101" s="251">
        <v>0.04</v>
      </c>
      <c r="O101" s="190">
        <v>0.11</v>
      </c>
      <c r="P101" s="177">
        <v>0.28000000000000003</v>
      </c>
      <c r="Q101" s="177">
        <v>0.23</v>
      </c>
      <c r="R101" s="177">
        <v>0.12</v>
      </c>
      <c r="S101" s="177">
        <v>0.12</v>
      </c>
      <c r="T101" s="192"/>
      <c r="U101" s="193"/>
      <c r="W101" s="221">
        <f t="shared" si="33"/>
        <v>4.4923782450807881</v>
      </c>
      <c r="X101" s="222">
        <f t="shared" si="33"/>
        <v>1.1657588308351476</v>
      </c>
      <c r="Y101" s="223">
        <f t="shared" si="33"/>
        <v>1.1869037444420709</v>
      </c>
      <c r="Z101" s="171" t="s">
        <v>10</v>
      </c>
      <c r="AA101" s="181" t="s">
        <v>10</v>
      </c>
      <c r="AB101" s="180">
        <f t="shared" ref="AB101:AD102" si="35">+AB102*1.1</f>
        <v>3.9428699812540655</v>
      </c>
      <c r="AC101" s="180">
        <f t="shared" si="35"/>
        <v>1.6205533338966667</v>
      </c>
      <c r="AD101" s="180">
        <f t="shared" si="35"/>
        <v>2.2092180000000003</v>
      </c>
      <c r="AE101" s="171"/>
      <c r="AF101" s="181"/>
      <c r="AG101" s="251">
        <v>0.04</v>
      </c>
      <c r="AH101" s="190">
        <v>0.11</v>
      </c>
      <c r="AI101" s="177">
        <v>0.28000000000000003</v>
      </c>
      <c r="AJ101" s="177">
        <v>0.23</v>
      </c>
      <c r="AK101" s="177">
        <v>0.12</v>
      </c>
      <c r="AL101" s="177">
        <v>0.12</v>
      </c>
      <c r="AM101" s="192"/>
      <c r="AN101" s="193"/>
    </row>
    <row r="102" spans="1:40" ht="15" x14ac:dyDescent="0.2">
      <c r="A102" s="182" t="str">
        <f>A101</f>
        <v>Walk Up Apartment</v>
      </c>
      <c r="B102" s="183" t="str">
        <f t="shared" si="26"/>
        <v>Residential</v>
      </c>
      <c r="C102" s="184" t="s">
        <v>476</v>
      </c>
      <c r="D102" s="185">
        <v>3.8529650004992546</v>
      </c>
      <c r="E102" s="186">
        <v>1.4390397988939918</v>
      </c>
      <c r="F102" s="170">
        <v>1.1636311220020303</v>
      </c>
      <c r="G102" s="187" t="s">
        <v>10</v>
      </c>
      <c r="H102" s="196" t="s">
        <v>10</v>
      </c>
      <c r="I102" s="262">
        <v>2.4836205570878471</v>
      </c>
      <c r="J102" s="186">
        <v>3.0983624250228514</v>
      </c>
      <c r="K102" s="170">
        <v>1.79</v>
      </c>
      <c r="L102" s="187"/>
      <c r="M102" s="196"/>
      <c r="N102" s="189">
        <v>0.04</v>
      </c>
      <c r="O102" s="226">
        <v>0.28999999999999998</v>
      </c>
      <c r="P102" s="191">
        <v>0.28000000000000003</v>
      </c>
      <c r="Q102" s="191">
        <v>0.23</v>
      </c>
      <c r="R102" s="191">
        <v>0.12</v>
      </c>
      <c r="S102" s="191">
        <v>0.12</v>
      </c>
      <c r="T102" s="192"/>
      <c r="U102" s="193"/>
      <c r="W102" s="311">
        <f>+W103*1.02</f>
        <v>4.3587942853983304</v>
      </c>
      <c r="X102" s="312">
        <f>+X103*1.02</f>
        <v>1.1577468736101775</v>
      </c>
      <c r="Y102" s="299">
        <f>+Y103*1.02</f>
        <v>1.2106418193309123</v>
      </c>
      <c r="Z102" s="187" t="s">
        <v>10</v>
      </c>
      <c r="AA102" s="196" t="s">
        <v>10</v>
      </c>
      <c r="AB102" s="180">
        <f t="shared" si="35"/>
        <v>3.5844272556855139</v>
      </c>
      <c r="AC102" s="180">
        <f t="shared" si="35"/>
        <v>1.4732303035424241</v>
      </c>
      <c r="AD102" s="180">
        <f t="shared" si="35"/>
        <v>2.0083800000000003</v>
      </c>
      <c r="AE102" s="187"/>
      <c r="AF102" s="196"/>
      <c r="AG102" s="189">
        <v>0.04</v>
      </c>
      <c r="AH102" s="226">
        <v>0.28999999999999998</v>
      </c>
      <c r="AI102" s="191">
        <v>0.28000000000000003</v>
      </c>
      <c r="AJ102" s="191">
        <v>0.23</v>
      </c>
      <c r="AK102" s="191">
        <v>0.12</v>
      </c>
      <c r="AL102" s="191">
        <v>0.12</v>
      </c>
      <c r="AM102" s="192"/>
      <c r="AN102" s="193"/>
    </row>
    <row r="103" spans="1:40" ht="15" x14ac:dyDescent="0.2">
      <c r="A103" s="182" t="str">
        <f>A102</f>
        <v>Walk Up Apartment</v>
      </c>
      <c r="B103" s="183" t="str">
        <f t="shared" si="26"/>
        <v>Residential</v>
      </c>
      <c r="C103" s="184" t="s">
        <v>481</v>
      </c>
      <c r="D103" s="268">
        <v>4.1895369909634086</v>
      </c>
      <c r="E103" s="188">
        <v>1.1127901514899821</v>
      </c>
      <c r="F103" s="170">
        <v>1.1636311220020303</v>
      </c>
      <c r="G103" s="187" t="s">
        <v>10</v>
      </c>
      <c r="H103" s="196" t="s">
        <v>10</v>
      </c>
      <c r="I103" s="269">
        <v>3.1946766984719375</v>
      </c>
      <c r="J103" s="186">
        <v>1.3130394862231942</v>
      </c>
      <c r="K103" s="170">
        <v>1.79</v>
      </c>
      <c r="L103" s="187"/>
      <c r="M103" s="196"/>
      <c r="N103" s="251">
        <v>0.04</v>
      </c>
      <c r="O103" s="190">
        <v>0.11</v>
      </c>
      <c r="P103" s="191">
        <v>0.28000000000000003</v>
      </c>
      <c r="Q103" s="191">
        <v>0.23</v>
      </c>
      <c r="R103" s="191">
        <v>0.12</v>
      </c>
      <c r="S103" s="191">
        <v>0.12</v>
      </c>
      <c r="T103" s="192"/>
      <c r="U103" s="193"/>
      <c r="W103" s="270">
        <f t="shared" ref="W103:Y104" si="36">D103*1.02</f>
        <v>4.2733277307826771</v>
      </c>
      <c r="X103" s="198">
        <f t="shared" si="36"/>
        <v>1.1350459545197817</v>
      </c>
      <c r="Y103" s="201">
        <f t="shared" si="36"/>
        <v>1.1869037444420709</v>
      </c>
      <c r="Z103" s="187" t="s">
        <v>10</v>
      </c>
      <c r="AA103" s="196" t="s">
        <v>10</v>
      </c>
      <c r="AB103" s="197">
        <f t="shared" ref="AB103:AD104" si="37">I103*1.02</f>
        <v>3.2585702324413761</v>
      </c>
      <c r="AC103" s="195">
        <f t="shared" si="37"/>
        <v>1.3393002759476582</v>
      </c>
      <c r="AD103" s="201">
        <f t="shared" si="37"/>
        <v>1.8258000000000001</v>
      </c>
      <c r="AE103" s="187"/>
      <c r="AF103" s="196"/>
      <c r="AG103" s="251">
        <v>0.04</v>
      </c>
      <c r="AH103" s="190">
        <v>0.11</v>
      </c>
      <c r="AI103" s="191">
        <v>0.28000000000000003</v>
      </c>
      <c r="AJ103" s="191">
        <v>0.23</v>
      </c>
      <c r="AK103" s="191">
        <v>0.12</v>
      </c>
      <c r="AL103" s="191">
        <v>0.12</v>
      </c>
      <c r="AM103" s="192"/>
      <c r="AN103" s="193"/>
    </row>
    <row r="104" spans="1:40" ht="15.75" thickBot="1" x14ac:dyDescent="0.25">
      <c r="A104" s="203" t="str">
        <f>A103</f>
        <v>Walk Up Apartment</v>
      </c>
      <c r="B104" s="204" t="str">
        <f t="shared" si="26"/>
        <v>Residential</v>
      </c>
      <c r="C104" s="205" t="s">
        <v>486</v>
      </c>
      <c r="D104" s="206">
        <v>4.148931462866897</v>
      </c>
      <c r="E104" s="207">
        <v>1.2315769216427452</v>
      </c>
      <c r="F104" s="207">
        <v>1.1636311220020303</v>
      </c>
      <c r="G104" s="208" t="s">
        <v>10</v>
      </c>
      <c r="H104" s="217" t="s">
        <v>10</v>
      </c>
      <c r="I104" s="206">
        <v>2.8897215113502384</v>
      </c>
      <c r="J104" s="207">
        <v>1.8767618248862534</v>
      </c>
      <c r="K104" s="207">
        <v>1.79</v>
      </c>
      <c r="L104" s="208"/>
      <c r="M104" s="217"/>
      <c r="N104" s="211">
        <v>0.04</v>
      </c>
      <c r="O104" s="212">
        <v>0.17</v>
      </c>
      <c r="P104" s="212">
        <v>0.28000000000000003</v>
      </c>
      <c r="Q104" s="212">
        <v>0.23</v>
      </c>
      <c r="R104" s="212">
        <v>0.12</v>
      </c>
      <c r="S104" s="212">
        <v>0.12</v>
      </c>
      <c r="T104" s="213"/>
      <c r="U104" s="214"/>
      <c r="W104" s="215">
        <f t="shared" si="36"/>
        <v>4.2319100921242354</v>
      </c>
      <c r="X104" s="216">
        <f t="shared" si="36"/>
        <v>1.2562084600756001</v>
      </c>
      <c r="Y104" s="216">
        <f t="shared" si="36"/>
        <v>1.1869037444420709</v>
      </c>
      <c r="Z104" s="208" t="s">
        <v>10</v>
      </c>
      <c r="AA104" s="217" t="s">
        <v>10</v>
      </c>
      <c r="AB104" s="276">
        <f t="shared" si="37"/>
        <v>2.9475159415772434</v>
      </c>
      <c r="AC104" s="216">
        <f t="shared" si="37"/>
        <v>1.9142970613839785</v>
      </c>
      <c r="AD104" s="216">
        <f t="shared" si="37"/>
        <v>1.8258000000000001</v>
      </c>
      <c r="AE104" s="208"/>
      <c r="AF104" s="217"/>
      <c r="AG104" s="211">
        <v>0.04</v>
      </c>
      <c r="AH104" s="212">
        <v>0.17</v>
      </c>
      <c r="AI104" s="212">
        <v>0.28000000000000003</v>
      </c>
      <c r="AJ104" s="212">
        <v>0.23</v>
      </c>
      <c r="AK104" s="212">
        <v>0.12</v>
      </c>
      <c r="AL104" s="212">
        <v>0.12</v>
      </c>
      <c r="AM104" s="213"/>
      <c r="AN104" s="214"/>
    </row>
    <row r="105" spans="1:40" x14ac:dyDescent="0.2">
      <c r="AB105" s="313"/>
      <c r="AC105" s="313"/>
      <c r="AD105" s="313"/>
    </row>
    <row r="106" spans="1:40" ht="15" x14ac:dyDescent="0.25">
      <c r="G106" s="314" t="s">
        <v>684</v>
      </c>
      <c r="I106" s="150">
        <f>SUMIFS(I5:I104,$B$5:$B$104,Inputs!C8,$C$5:$C$104,Inputs!$C$12)</f>
        <v>0</v>
      </c>
      <c r="J106" s="150">
        <f>SUMIFS(J5:J104,$B$5:$B$104,Inputs!C8,$C$5:$C$104,Inputs!$C$12)</f>
        <v>0</v>
      </c>
      <c r="K106" s="150">
        <f>SUMIFS(K5:K104,$B$5:$B$104,Inputs!C8,$C$5:$C$104,Inputs!$C$12)</f>
        <v>0</v>
      </c>
      <c r="L106" s="150">
        <f>SUMIFS(L5:L104,$B$5:$B$104,Inputs!C8,$C$5:$C$104,Inputs!$C$12)</f>
        <v>0</v>
      </c>
      <c r="M106" s="150">
        <f>SUMIFS(M5:M104,$B$5:$B$104,Inputs!C8,$C$5:$C$104,Inputs!$C$12)</f>
        <v>0</v>
      </c>
      <c r="N106" s="315">
        <v>0.2</v>
      </c>
      <c r="O106" s="315">
        <v>0.18</v>
      </c>
      <c r="P106" s="315">
        <v>0.31</v>
      </c>
      <c r="Q106" s="315">
        <v>0.23</v>
      </c>
      <c r="R106" s="315">
        <v>0.12</v>
      </c>
      <c r="S106" s="315">
        <v>0.12</v>
      </c>
      <c r="T106" s="315">
        <v>0</v>
      </c>
      <c r="U106" s="315">
        <v>0</v>
      </c>
      <c r="V106" s="314" t="s">
        <v>684</v>
      </c>
      <c r="W106" s="313" cm="1">
        <f t="array" ref="W106">SUMIFS(W5:W104,$B$5:$B$104,Bldg_Type,Peak_Consump_LF!$C$5:$C$104,Inputs!$C$12)</f>
        <v>0</v>
      </c>
      <c r="X106" s="313" cm="1">
        <f t="array" ref="X106">SUMIFS(X5:X104,$B$5:$B$104,Bldg_Type,Peak_Consump_LF!$C$5:$C$104,Inputs!$C$12)</f>
        <v>0</v>
      </c>
      <c r="Y106" s="313" cm="1">
        <f t="array" ref="Y106">SUMIFS(Y5:Y104,$B$5:$B$104,Bldg_Type,Peak_Consump_LF!$C$5:$C$104,Inputs!$C$12)</f>
        <v>0</v>
      </c>
      <c r="AA106" s="316"/>
      <c r="AB106" s="313" cm="1">
        <f t="array" ref="AB106">SUMIFS(AB5:AB104,$B$5:$B$104,Bldg_Type,Peak_Consump_LF!$C$5:$C$104,Inputs!$C$12)</f>
        <v>0</v>
      </c>
      <c r="AC106" s="313" cm="1">
        <f t="array" ref="AC106">SUMIFS(AC5:AC104,$B$5:$B$104,Bldg_Type,Peak_Consump_LF!$C$5:$C$104,Inputs!$C$12)</f>
        <v>0</v>
      </c>
      <c r="AD106" s="313" cm="1">
        <f t="array" ref="AD106">SUMIFS(AD5:AD104,$B$5:$B$104,Bldg_Type,Peak_Consump_LF!$C$5:$C$104,Inputs!$C$12)</f>
        <v>0</v>
      </c>
      <c r="AE106" s="151" cm="1">
        <f t="array" ref="AE106">SUMIFS(AE5:AE104,$B$5:$B$104,Bldg_Type,Peak_Consump_LF!$C$5:$C$104,Inputs!$C$12)</f>
        <v>0</v>
      </c>
      <c r="AF106" s="151" cm="1">
        <f t="array" ref="AF106">SUMIFS(AF5:AF104,$B$5:$B$104,Bldg_Type,Peak_Consump_LF!$C$5:$C$104,Inputs!$C$12)</f>
        <v>0</v>
      </c>
      <c r="AG106" s="317" cm="1">
        <f t="array" ref="AG106">SUMIFS(AG5:AG104,$B$5:$B$104,Bldg_Type,Peak_Consump_LF!$C$5:$C$104,Inputs!$C$12)</f>
        <v>0</v>
      </c>
      <c r="AH106" s="317" cm="1">
        <f t="array" ref="AH106">SUMIFS(AH5:AH104,$B$5:$B$104,Bldg_Type,Peak_Consump_LF!$C$5:$C$104,Inputs!$C$12)</f>
        <v>0</v>
      </c>
      <c r="AI106" s="317" cm="1">
        <f t="array" ref="AI106">SUMIFS(AI5:AI104,$B$5:$B$104,Bldg_Type,Peak_Consump_LF!$C$5:$C$104,Inputs!$C$12)</f>
        <v>0</v>
      </c>
      <c r="AJ106" s="317" cm="1">
        <f t="array" ref="AJ106">SUMIFS(AJ5:AJ104,$B$5:$B$104,Bldg_Type,Peak_Consump_LF!$C$5:$C$104,Inputs!$C$12)</f>
        <v>0</v>
      </c>
      <c r="AK106" s="317" cm="1">
        <f t="array" ref="AK106">SUMIFS(AK5:AK104,$B$5:$B$104,Bldg_Type,Peak_Consump_LF!$C$5:$C$104,Inputs!$C$12)</f>
        <v>0</v>
      </c>
      <c r="AL106" s="317" cm="1">
        <f t="array" ref="AL106">SUMIFS(AL5:AL104,$B$5:$B$104,Bldg_Type,Peak_Consump_LF!$C$5:$C$104,Inputs!$C$12)</f>
        <v>0</v>
      </c>
      <c r="AM106" s="317" cm="1">
        <f t="array" ref="AM106">SUMIFS(AM5:AM104,$B$5:$B$104,Bldg_Type,Peak_Consump_LF!$C$5:$C$104,Inputs!$C$12)</f>
        <v>0</v>
      </c>
      <c r="AN106" s="317" cm="1">
        <f t="array" ref="AN106">SUMIFS(AN5:AN104,$B$5:$B$104,Bldg_Type,Peak_Consump_LF!$C$5:$C$104,Inputs!$C$12)</f>
        <v>0</v>
      </c>
    </row>
    <row r="107" spans="1:40" ht="15.75" thickBot="1" x14ac:dyDescent="0.3">
      <c r="I107" s="313"/>
      <c r="J107" s="313"/>
      <c r="K107" s="313"/>
      <c r="N107" s="315">
        <v>0.18</v>
      </c>
      <c r="AB107" s="313"/>
      <c r="AC107" s="313"/>
      <c r="AD107" s="313"/>
      <c r="AG107" s="315"/>
    </row>
    <row r="108" spans="1:40" ht="15.75" x14ac:dyDescent="0.25">
      <c r="A108" s="318" t="s">
        <v>685</v>
      </c>
      <c r="B108" s="319"/>
      <c r="C108" s="320" t="s">
        <v>686</v>
      </c>
      <c r="G108" s="314" t="s">
        <v>687</v>
      </c>
      <c r="I108" s="313">
        <f>SUMIFS(I5:I104,$B$5:$B$104,Inputs!C8,$C$5:$C$104,Inputs!$C$12)</f>
        <v>0</v>
      </c>
      <c r="J108" s="313">
        <f>SUMIFS(J5:J104,$B$5:$B$104,Inputs!C8,$C$5:$C$104,Inputs!$C$12)</f>
        <v>0</v>
      </c>
      <c r="K108" s="313" cm="1">
        <f t="array" ref="K108">SUMIFS(K5:K104,$B$5:$B$104,Bldg_Type,Peak_Consump_LF!$C$5:$C$104,Inputs!$C$12)</f>
        <v>0</v>
      </c>
      <c r="L108" s="313" cm="1">
        <f t="array" ref="L108">SUMIFS(L5:L104,$B$5:$B$104,Bldg_Type,Peak_Consump_LF!$C$5:$C$104,Inputs!$C$12)</f>
        <v>0</v>
      </c>
      <c r="M108" s="313" cm="1">
        <f t="array" ref="M108">SUMIFS(M5:M104,$B$5:$B$104,Bldg_Type,Peak_Consump_LF!$C$5:$C$104,Inputs!$C$12)</f>
        <v>0</v>
      </c>
      <c r="V108" s="314" t="s">
        <v>687</v>
      </c>
      <c r="W108" s="313" cm="1">
        <f t="array" ref="W108">SUMIFS(W5:W104,$B$5:$B$104,Bldg_Type,Peak_Consump_LF!$C$5:$C$104,Inputs!$C$12)</f>
        <v>0</v>
      </c>
      <c r="X108" s="313" cm="1">
        <f t="array" ref="X108">SUMIFS(X5:X104,$B$5:$B$104,Bldg_Type,Peak_Consump_LF!$C$5:$C$104,Inputs!$C$12)</f>
        <v>0</v>
      </c>
      <c r="Y108" s="313" cm="1">
        <f t="array" ref="Y108">SUMIFS(Y5:Y104,$B$5:$B$104,Bldg_Type,Peak_Consump_LF!$C$5:$C$104,Inputs!$C$12)</f>
        <v>0</v>
      </c>
      <c r="AB108" s="313" cm="1">
        <f t="array" ref="AB108">SUMIFS(AB5:AB104,$B$5:$B$104,Bldg_Type,Peak_Consump_LF!$C$5:$C$104,Inputs!$C$12)</f>
        <v>0</v>
      </c>
      <c r="AC108" s="313" cm="1">
        <f t="array" ref="AC108">SUMIFS(AC5:AC104,$B$5:$B$104,Bldg_Type,Peak_Consump_LF!$C$5:$C$104,Inputs!$C$12)</f>
        <v>0</v>
      </c>
      <c r="AD108" s="313" cm="1">
        <f t="array" ref="AD108">SUMIFS(AD5:AD104,$B$5:$B$104,Bldg_Type,Peak_Consump_LF!$C$5:$C$104,Inputs!$C$12)</f>
        <v>0</v>
      </c>
      <c r="AE108" s="151" cm="1">
        <f t="array" ref="AE108">SUMIFS(AE5:AE104,$B$5:$B$104,Bldg_Type,Peak_Consump_LF!$C$5:$C$104,Inputs!$C$12)</f>
        <v>0</v>
      </c>
      <c r="AF108" s="151" cm="1">
        <f t="array" ref="AF108">SUMIFS(AF5:AF104,$B$5:$B$104,Bldg_Type,Peak_Consump_LF!$C$5:$C$104,Inputs!$C$12)</f>
        <v>0</v>
      </c>
    </row>
    <row r="109" spans="1:40" ht="30" x14ac:dyDescent="0.2">
      <c r="A109" s="321" t="s">
        <v>470</v>
      </c>
      <c r="B109" s="322"/>
      <c r="C109" s="323" t="s">
        <v>688</v>
      </c>
      <c r="I109" s="313"/>
      <c r="J109" s="313"/>
      <c r="K109" s="313"/>
      <c r="AB109" s="313"/>
      <c r="AC109" s="313"/>
      <c r="AD109" s="313"/>
    </row>
    <row r="110" spans="1:40" ht="15" x14ac:dyDescent="0.2">
      <c r="A110" s="321" t="s">
        <v>476</v>
      </c>
      <c r="B110" s="322"/>
      <c r="C110" s="323" t="s">
        <v>689</v>
      </c>
      <c r="G110" s="314" t="s">
        <v>690</v>
      </c>
      <c r="I110" s="313" cm="1">
        <f t="array" ref="I110">SUMIFS(I5:I104,$B$5:$B$104,Bldg_Type,Peak_Consump_LF!$C$5:$C$104,Inputs!$C$12)</f>
        <v>0</v>
      </c>
      <c r="J110" s="313" cm="1">
        <f t="array" ref="J110">SUMIFS(J5:J104,$B$5:$B$104,Bldg_Type,Peak_Consump_LF!$C$5:$C$104,Inputs!$C$12)</f>
        <v>0</v>
      </c>
      <c r="K110" s="313" cm="1">
        <f t="array" ref="K110">SUMIFS(K5:K104,$B$5:$B$104,Bldg_Type,Peak_Consump_LF!$C$5:$C$104,Inputs!$C$12)</f>
        <v>0</v>
      </c>
      <c r="L110" s="313" cm="1">
        <f t="array" ref="L110">SUMIFS(L5:L104,$B$5:$B$104,Bldg_Type,Peak_Consump_LF!$C$5:$C$104,Inputs!$C$12)</f>
        <v>0</v>
      </c>
      <c r="M110" s="313" cm="1">
        <f t="array" ref="M110">SUMIFS(M5:M104,$B$5:$B$104,Bldg_Type,Peak_Consump_LF!$C$5:$C$104,Inputs!$C$12)</f>
        <v>0</v>
      </c>
      <c r="V110" s="314" t="s">
        <v>690</v>
      </c>
      <c r="W110" s="313" cm="1">
        <f t="array" ref="W110">SUMIFS(W5:W104,$B$5:$B$104,Bldg_Type,Peak_Consump_LF!$C$5:$C$104,Inputs!$C$12)</f>
        <v>0</v>
      </c>
      <c r="X110" s="313" cm="1">
        <f t="array" ref="X110">SUMIFS(X5:X104,$B$5:$B$104,Bldg_Type,Peak_Consump_LF!$C$5:$C$104,Inputs!$C$12)</f>
        <v>0</v>
      </c>
      <c r="Y110" s="313" cm="1">
        <f t="array" ref="Y110">SUMIFS(Y5:Y104,$B$5:$B$104,Bldg_Type,Peak_Consump_LF!$C$5:$C$104,Inputs!$C$12)</f>
        <v>0</v>
      </c>
      <c r="AB110" s="313" cm="1">
        <f t="array" ref="AB110">SUMIFS(AB5:AB104,$B$5:$B$104,Bldg_Type,Peak_Consump_LF!$C$5:$C$104,Inputs!$C$12)</f>
        <v>0</v>
      </c>
      <c r="AC110" s="313" cm="1">
        <f t="array" ref="AC110">SUMIFS(AC5:AC104,$B$5:$B$104,Bldg_Type,Peak_Consump_LF!$C$5:$C$104,Inputs!$C$12)</f>
        <v>0</v>
      </c>
      <c r="AD110" s="313" cm="1">
        <f t="array" ref="AD110">SUMIFS(AD5:AD104,$B$5:$B$104,Bldg_Type,Peak_Consump_LF!$C$5:$C$104,Inputs!$C$12)</f>
        <v>0</v>
      </c>
      <c r="AE110" s="151" cm="1">
        <f t="array" ref="AE110">SUMIFS(AE5:AE104,$B$5:$B$104,Bldg_Type,Peak_Consump_LF!$C$5:$C$104,Inputs!$C$12)</f>
        <v>0</v>
      </c>
      <c r="AF110" s="151" cm="1">
        <f t="array" ref="AF110">SUMIFS(AF5:AF104,$B$5:$B$104,Bldg_Type,Peak_Consump_LF!$C$5:$C$104,Inputs!$C$12)</f>
        <v>0</v>
      </c>
    </row>
    <row r="111" spans="1:40" ht="15" x14ac:dyDescent="0.2">
      <c r="A111" s="321" t="s">
        <v>481</v>
      </c>
      <c r="B111" s="322"/>
      <c r="C111" s="321"/>
      <c r="AB111" s="313"/>
      <c r="AC111" s="313"/>
      <c r="AD111" s="313"/>
    </row>
    <row r="112" spans="1:40" ht="15" x14ac:dyDescent="0.2">
      <c r="A112" s="321" t="s">
        <v>486</v>
      </c>
      <c r="B112" s="322"/>
      <c r="C112" s="321"/>
      <c r="Z112" s="151"/>
      <c r="AA112" s="151"/>
    </row>
    <row r="113" spans="1:27" ht="15.75" thickBot="1" x14ac:dyDescent="0.25">
      <c r="A113" s="324"/>
      <c r="B113" s="322"/>
      <c r="C113" s="324"/>
      <c r="Z113" s="151"/>
      <c r="AA113" s="151"/>
    </row>
    <row r="114" spans="1:27" x14ac:dyDescent="0.2">
      <c r="G114" s="150">
        <v>2.8897648718916269</v>
      </c>
      <c r="W114" s="325" t="s">
        <v>691</v>
      </c>
      <c r="X114" s="325"/>
      <c r="Y114" s="325"/>
      <c r="Z114" s="151"/>
      <c r="AA114" s="151"/>
    </row>
    <row r="115" spans="1:27" x14ac:dyDescent="0.2">
      <c r="Z115" s="151"/>
      <c r="AA115" s="151"/>
    </row>
    <row r="116" spans="1:27" x14ac:dyDescent="0.2">
      <c r="A116" s="150" t="s">
        <v>692</v>
      </c>
      <c r="Z116" s="151"/>
      <c r="AA116" s="151"/>
    </row>
    <row r="117" spans="1:27" x14ac:dyDescent="0.2">
      <c r="A117" s="150" t="s">
        <v>660</v>
      </c>
      <c r="Z117" s="151"/>
      <c r="AA117" s="151"/>
    </row>
    <row r="118" spans="1:27" x14ac:dyDescent="0.2">
      <c r="A118" s="150" t="s">
        <v>662</v>
      </c>
      <c r="Z118" s="151"/>
      <c r="AA118" s="151"/>
    </row>
    <row r="119" spans="1:27" x14ac:dyDescent="0.2">
      <c r="A119" s="152" t="s">
        <v>663</v>
      </c>
    </row>
    <row r="120" spans="1:27" x14ac:dyDescent="0.2">
      <c r="A120" s="150" t="s">
        <v>664</v>
      </c>
    </row>
    <row r="121" spans="1:27" x14ac:dyDescent="0.2">
      <c r="A121" s="150" t="s">
        <v>665</v>
      </c>
    </row>
    <row r="122" spans="1:27" x14ac:dyDescent="0.2">
      <c r="A122" s="152" t="s">
        <v>666</v>
      </c>
    </row>
    <row r="123" spans="1:27" x14ac:dyDescent="0.2">
      <c r="A123" s="150" t="s">
        <v>667</v>
      </c>
    </row>
    <row r="124" spans="1:27" x14ac:dyDescent="0.2">
      <c r="A124" s="150" t="s">
        <v>668</v>
      </c>
    </row>
    <row r="125" spans="1:27" x14ac:dyDescent="0.2">
      <c r="A125" s="150" t="s">
        <v>669</v>
      </c>
    </row>
    <row r="126" spans="1:27" x14ac:dyDescent="0.2">
      <c r="A126" s="150" t="s">
        <v>670</v>
      </c>
    </row>
    <row r="127" spans="1:27" x14ac:dyDescent="0.2">
      <c r="A127" s="150" t="s">
        <v>671</v>
      </c>
    </row>
    <row r="128" spans="1:27" x14ac:dyDescent="0.2">
      <c r="A128" s="150" t="s">
        <v>672</v>
      </c>
    </row>
    <row r="129" spans="1:3" x14ac:dyDescent="0.2">
      <c r="A129" s="150" t="s">
        <v>673</v>
      </c>
    </row>
    <row r="130" spans="1:3" x14ac:dyDescent="0.2">
      <c r="A130" s="150" t="s">
        <v>674</v>
      </c>
    </row>
    <row r="131" spans="1:3" x14ac:dyDescent="0.2">
      <c r="A131" s="150" t="s">
        <v>675</v>
      </c>
    </row>
    <row r="132" spans="1:3" x14ac:dyDescent="0.2">
      <c r="A132" s="152" t="s">
        <v>676</v>
      </c>
    </row>
    <row r="133" spans="1:3" x14ac:dyDescent="0.2">
      <c r="A133" s="150" t="s">
        <v>677</v>
      </c>
    </row>
    <row r="134" spans="1:3" x14ac:dyDescent="0.2">
      <c r="A134" s="150" t="s">
        <v>678</v>
      </c>
    </row>
    <row r="135" spans="1:3" x14ac:dyDescent="0.2">
      <c r="A135" s="152" t="s">
        <v>679</v>
      </c>
    </row>
    <row r="136" spans="1:3" x14ac:dyDescent="0.2">
      <c r="A136" s="150" t="s">
        <v>410</v>
      </c>
    </row>
    <row r="137" spans="1:3" x14ac:dyDescent="0.2">
      <c r="A137" s="150" t="s">
        <v>411</v>
      </c>
    </row>
    <row r="138" spans="1:3" x14ac:dyDescent="0.2">
      <c r="A138" s="152" t="s">
        <v>680</v>
      </c>
    </row>
    <row r="139" spans="1:3" x14ac:dyDescent="0.2">
      <c r="A139" s="152" t="s">
        <v>681</v>
      </c>
    </row>
    <row r="140" spans="1:3" x14ac:dyDescent="0.2">
      <c r="A140" s="150" t="s">
        <v>682</v>
      </c>
    </row>
    <row r="141" spans="1:3" x14ac:dyDescent="0.2">
      <c r="A141" s="150" t="s">
        <v>683</v>
      </c>
    </row>
    <row r="142" spans="1:3" ht="13.5" thickBot="1" x14ac:dyDescent="0.25"/>
    <row r="143" spans="1:3" ht="15.75" thickBot="1" x14ac:dyDescent="0.3">
      <c r="B143" s="936" t="s">
        <v>404</v>
      </c>
      <c r="C143" s="937"/>
    </row>
    <row r="144" spans="1:3" ht="15" x14ac:dyDescent="0.25">
      <c r="A144" s="150" t="str">
        <f>+A133</f>
        <v>Office Building</v>
      </c>
      <c r="B144" s="10" t="s">
        <v>406</v>
      </c>
      <c r="C144" s="11">
        <v>1</v>
      </c>
    </row>
    <row r="145" spans="1:3" ht="15" x14ac:dyDescent="0.25">
      <c r="A145" s="150" t="str">
        <f>+A138</f>
        <v>Spa</v>
      </c>
      <c r="B145" s="10" t="s">
        <v>407</v>
      </c>
      <c r="C145" s="11">
        <v>2</v>
      </c>
    </row>
    <row r="146" spans="1:3" ht="15" x14ac:dyDescent="0.25">
      <c r="A146" s="150" t="str">
        <f>+A125</f>
        <v>Hospital / Health Facility</v>
      </c>
      <c r="B146" s="10" t="s">
        <v>408</v>
      </c>
      <c r="C146" s="11">
        <v>3</v>
      </c>
    </row>
    <row r="147" spans="1:3" ht="15" x14ac:dyDescent="0.25">
      <c r="A147" s="150" t="str">
        <f>+A128</f>
        <v>Industrial and Manufacturing</v>
      </c>
      <c r="B147" s="10" t="s">
        <v>409</v>
      </c>
      <c r="C147" s="11">
        <v>4</v>
      </c>
    </row>
    <row r="148" spans="1:3" ht="15" x14ac:dyDescent="0.25">
      <c r="A148" s="150" t="str">
        <f>+A136</f>
        <v>Restaurant</v>
      </c>
      <c r="B148" s="10" t="s">
        <v>410</v>
      </c>
      <c r="C148" s="11">
        <v>5</v>
      </c>
    </row>
    <row r="149" spans="1:3" ht="15" x14ac:dyDescent="0.25">
      <c r="A149" s="150" t="str">
        <f>+A137</f>
        <v>Retail</v>
      </c>
      <c r="B149" s="10" t="s">
        <v>411</v>
      </c>
      <c r="C149" s="11">
        <v>6</v>
      </c>
    </row>
    <row r="150" spans="1:3" ht="15" x14ac:dyDescent="0.25">
      <c r="A150" s="150" t="str">
        <f>+A120</f>
        <v>Educational Facility</v>
      </c>
      <c r="B150" s="10" t="s">
        <v>412</v>
      </c>
      <c r="C150" s="11">
        <v>7</v>
      </c>
    </row>
    <row r="151" spans="1:3" ht="15" x14ac:dyDescent="0.25">
      <c r="B151" s="10" t="s">
        <v>413</v>
      </c>
      <c r="C151" s="11">
        <v>8</v>
      </c>
    </row>
    <row r="152" spans="1:3" ht="15" x14ac:dyDescent="0.25">
      <c r="B152" s="10" t="s">
        <v>414</v>
      </c>
      <c r="C152" s="11">
        <v>9</v>
      </c>
    </row>
    <row r="153" spans="1:3" ht="15" x14ac:dyDescent="0.25">
      <c r="A153" s="150" t="str">
        <f>+A126</f>
        <v>Hotel / Club</v>
      </c>
      <c r="B153" s="10" t="s">
        <v>225</v>
      </c>
      <c r="C153" s="11">
        <v>10</v>
      </c>
    </row>
    <row r="154" spans="1:3" ht="15" x14ac:dyDescent="0.25">
      <c r="A154" s="150" t="str">
        <f>+A141</f>
        <v>Walk Up Apartment</v>
      </c>
      <c r="B154" s="10" t="s">
        <v>415</v>
      </c>
      <c r="C154" s="11">
        <v>11</v>
      </c>
    </row>
    <row r="155" spans="1:3" ht="15" x14ac:dyDescent="0.25">
      <c r="A155" s="150" t="str">
        <f>+A121</f>
        <v>Elevator Apartment</v>
      </c>
      <c r="B155" s="10" t="s">
        <v>424</v>
      </c>
      <c r="C155" s="11">
        <v>12</v>
      </c>
    </row>
    <row r="156" spans="1:3" ht="15.75" thickBot="1" x14ac:dyDescent="0.3">
      <c r="B156" s="21" t="s">
        <v>417</v>
      </c>
      <c r="C156" s="22">
        <v>13</v>
      </c>
    </row>
  </sheetData>
  <mergeCells count="9">
    <mergeCell ref="AB3:AF3"/>
    <mergeCell ref="AG3:AN3"/>
    <mergeCell ref="B143:C143"/>
    <mergeCell ref="A3:A4"/>
    <mergeCell ref="C3:C4"/>
    <mergeCell ref="D3:H3"/>
    <mergeCell ref="I3:M3"/>
    <mergeCell ref="N3:U3"/>
    <mergeCell ref="W3:AA3"/>
  </mergeCells>
  <pageMargins left="0.7" right="0.7" top="0.75" bottom="0.75" header="0.3" footer="0.3"/>
  <pageSetup orientation="portrait" r:id="rId1"/>
  <headerFooter>
    <oddFooter>&amp;C_x000D_&amp;1#&amp;"Calibri"&amp;22&amp;K0073CF INTERNAL</oddFooter>
  </headerFooter>
  <ignoredErrors>
    <ignoredError sqref="W18:Y18 AB18:AD18 W22:Y22 AB23:AD23 W29:Y29 W34:Y34 W37:Y37 AB37:AD37 W40:Y40 AB42:AD42 W45:Y45 AB46:AD46 AB48:AD48 AB58:AD58 AB62:AD62 AB74:AD74 W77:Y77 AB78:AD78 W79:Y79 AB79:AD81 W86:Y86 W88:Y88 W93:Y93 W96:Y96 AB96:AD96 W102:Y102 AB9:AD9 W10:Y10"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1E40-5BD7-43B6-A5CC-936AD7CC380A}">
  <sheetPr codeName="Sheet23"/>
  <dimension ref="A1:AC2156"/>
  <sheetViews>
    <sheetView topLeftCell="A95" zoomScale="90" zoomScaleNormal="90" workbookViewId="0">
      <selection activeCell="D18" sqref="D18"/>
    </sheetView>
  </sheetViews>
  <sheetFormatPr defaultColWidth="9.140625" defaultRowHeight="15" x14ac:dyDescent="0.25"/>
  <cols>
    <col min="1" max="1" width="4.85546875" style="342" customWidth="1"/>
    <col min="2" max="2" width="11.140625" style="342" customWidth="1"/>
    <col min="3" max="3" width="34.140625" style="342" customWidth="1"/>
    <col min="4" max="4" width="20.42578125" style="342" customWidth="1"/>
    <col min="5" max="5" width="18.140625" style="342" customWidth="1"/>
    <col min="6" max="6" width="19.5703125" style="342" customWidth="1"/>
    <col min="7" max="7" width="13" style="342" customWidth="1"/>
    <col min="8" max="8" width="4.140625" style="342" customWidth="1"/>
    <col min="9" max="9" width="23.5703125" style="342" customWidth="1"/>
    <col min="10" max="10" width="11.85546875" style="342" customWidth="1"/>
    <col min="11" max="11" width="4.140625" style="342" customWidth="1"/>
    <col min="12" max="12" width="28.42578125" style="342" bestFit="1" customWidth="1"/>
    <col min="13" max="13" width="26.140625" style="342" customWidth="1"/>
    <col min="14" max="15" width="9.140625" style="342"/>
    <col min="16" max="21" width="24" style="342" customWidth="1"/>
    <col min="22" max="16384" width="9.140625" style="342"/>
  </cols>
  <sheetData>
    <row r="1" spans="1:29" ht="15.75" thickBot="1" x14ac:dyDescent="0.3">
      <c r="A1" s="341" t="s">
        <v>693</v>
      </c>
      <c r="B1" s="342" t="s">
        <v>694</v>
      </c>
      <c r="C1" s="342" t="s">
        <v>695</v>
      </c>
      <c r="D1" s="342" t="s">
        <v>696</v>
      </c>
      <c r="E1" s="342" t="s">
        <v>697</v>
      </c>
      <c r="F1" s="342" t="s">
        <v>698</v>
      </c>
      <c r="G1" s="342" t="s">
        <v>699</v>
      </c>
    </row>
    <row r="2" spans="1:29" x14ac:dyDescent="0.25">
      <c r="B2" s="342">
        <v>6390</v>
      </c>
      <c r="C2" s="343" t="s">
        <v>573</v>
      </c>
      <c r="D2" s="343" t="str">
        <f ca="1">OFFSET('Zip Code Lines_1'!$U$3,MATCH('Zip Code Lines_1'!C2,'Zip Code Lines_1'!$Q$4:$Q$26,0),0)</f>
        <v>Westhampton</v>
      </c>
      <c r="E2" s="344">
        <f ca="1">OFFSET('Zip Code Lines_1'!$W$3,MATCH('Zip Code Lines_1'!C2,'Zip Code Lines_1'!$Q$4:$Q$26,0),0)</f>
        <v>12.2</v>
      </c>
      <c r="F2" s="344">
        <f ca="1">OFFSET('Zip Code Lines_1'!$Z$3,MATCH('Zip Code Lines_1'!C2,'Zip Code Lines_1'!$Q$4:$Q$26,0),0)</f>
        <v>84</v>
      </c>
      <c r="G2" s="342">
        <f ca="1">OFFSET('Zip Code Lines_1'!$AC$3,MATCH('Zip Code Lines_1'!C2,'Zip Code Lines_1'!$Q$4:$Q$26,0),0)</f>
        <v>6</v>
      </c>
      <c r="L2" s="345" t="s">
        <v>700</v>
      </c>
      <c r="M2" s="346">
        <f>+Inputs!C2</f>
        <v>0</v>
      </c>
    </row>
    <row r="3" spans="1:29" x14ac:dyDescent="0.25">
      <c r="B3" s="342">
        <v>10001</v>
      </c>
      <c r="C3" s="343" t="s">
        <v>552</v>
      </c>
      <c r="D3" s="343" t="str">
        <f ca="1">OFFSET('Zip Code Lines_1'!$U$3,MATCH('Zip Code Lines_1'!C3,'Zip Code Lines_1'!$Q$4:$Q$26,0),0)</f>
        <v>NY - Central Park</v>
      </c>
      <c r="E3" s="344">
        <f ca="1">OFFSET('Zip Code Lines_1'!$W$3,MATCH('Zip Code Lines_1'!C3,'Zip Code Lines_1'!$Q$4:$Q$26,0),0)</f>
        <v>17.5</v>
      </c>
      <c r="F3" s="344">
        <f ca="1">OFFSET('Zip Code Lines_1'!$Z$3,MATCH('Zip Code Lines_1'!C3,'Zip Code Lines_1'!$Q$4:$Q$26,0),0)</f>
        <v>88</v>
      </c>
      <c r="G3" s="342">
        <f ca="1">OFFSET('Zip Code Lines_1'!$AC$3,MATCH('Zip Code Lines_1'!C3,'Zip Code Lines_1'!$Q$4:$Q$26,0),0)</f>
        <v>6</v>
      </c>
      <c r="L3" s="347"/>
      <c r="M3" s="348"/>
      <c r="P3" s="342" t="s">
        <v>701</v>
      </c>
      <c r="R3" s="342" t="s">
        <v>702</v>
      </c>
      <c r="S3" s="342" t="s">
        <v>703</v>
      </c>
      <c r="T3" s="342" t="s">
        <v>704</v>
      </c>
      <c r="V3" s="349" t="s">
        <v>705</v>
      </c>
      <c r="W3" s="350">
        <v>0.99</v>
      </c>
      <c r="X3" s="350" t="s">
        <v>706</v>
      </c>
      <c r="Y3" s="351" t="s">
        <v>707</v>
      </c>
      <c r="Z3" s="351" t="s">
        <v>708</v>
      </c>
      <c r="AA3" s="351" t="s">
        <v>707</v>
      </c>
      <c r="AB3" s="352" t="s">
        <v>709</v>
      </c>
      <c r="AC3" s="351" t="s">
        <v>710</v>
      </c>
    </row>
    <row r="4" spans="1:29" x14ac:dyDescent="0.25">
      <c r="B4" s="342">
        <v>10002</v>
      </c>
      <c r="C4" s="343" t="s">
        <v>552</v>
      </c>
      <c r="D4" s="343" t="str">
        <f ca="1">OFFSET('Zip Code Lines_1'!$U$3,MATCH('Zip Code Lines_1'!C4,'Zip Code Lines_1'!$Q$4:$Q$26,0),0)</f>
        <v>NY - Central Park</v>
      </c>
      <c r="E4" s="344">
        <f ca="1">OFFSET('Zip Code Lines_1'!$W$3,MATCH('Zip Code Lines_1'!C4,'Zip Code Lines_1'!$Q$4:$Q$26,0),0)</f>
        <v>17.5</v>
      </c>
      <c r="F4" s="344">
        <f ca="1">OFFSET('Zip Code Lines_1'!$Z$3,MATCH('Zip Code Lines_1'!C4,'Zip Code Lines_1'!$Q$4:$Q$26,0),0)</f>
        <v>88</v>
      </c>
      <c r="G4" s="342">
        <f ca="1">OFFSET('Zip Code Lines_1'!$AC$3,MATCH('Zip Code Lines_1'!C4,'Zip Code Lines_1'!$Q$4:$Q$26,0),0)</f>
        <v>6</v>
      </c>
      <c r="L4" s="353" t="s">
        <v>711</v>
      </c>
      <c r="M4" s="354" t="str">
        <f>_xlfn.XLOOKUP(M$2,B:B,C:C,"-",0)</f>
        <v>-</v>
      </c>
      <c r="P4" s="342">
        <v>726228</v>
      </c>
      <c r="Q4" s="342" t="s">
        <v>566</v>
      </c>
      <c r="R4" s="342">
        <v>44.384999999999998</v>
      </c>
      <c r="S4" s="342">
        <v>-74.206999999999994</v>
      </c>
      <c r="T4" s="342">
        <v>1663</v>
      </c>
      <c r="U4" s="342" t="s">
        <v>567</v>
      </c>
      <c r="V4" s="349">
        <v>-18.399999999999999</v>
      </c>
      <c r="W4" s="342">
        <v>-11.5</v>
      </c>
      <c r="X4" s="344">
        <v>83.5</v>
      </c>
      <c r="Y4" s="344">
        <v>67.3</v>
      </c>
      <c r="Z4" s="344">
        <v>81</v>
      </c>
      <c r="AA4" s="344">
        <v>66.2</v>
      </c>
      <c r="AB4" s="344"/>
      <c r="AC4" s="355">
        <v>24</v>
      </c>
    </row>
    <row r="5" spans="1:29" x14ac:dyDescent="0.25">
      <c r="B5" s="342">
        <v>10003</v>
      </c>
      <c r="C5" s="343" t="s">
        <v>552</v>
      </c>
      <c r="D5" s="343" t="str">
        <f ca="1">OFFSET('Zip Code Lines_1'!$U$3,MATCH('Zip Code Lines_1'!C5,'Zip Code Lines_1'!$Q$4:$Q$26,0),0)</f>
        <v>NY - Central Park</v>
      </c>
      <c r="E5" s="344">
        <f ca="1">OFFSET('Zip Code Lines_1'!$W$3,MATCH('Zip Code Lines_1'!C5,'Zip Code Lines_1'!$Q$4:$Q$26,0),0)</f>
        <v>17.5</v>
      </c>
      <c r="F5" s="344">
        <f ca="1">OFFSET('Zip Code Lines_1'!$Z$3,MATCH('Zip Code Lines_1'!C5,'Zip Code Lines_1'!$Q$4:$Q$26,0),0)</f>
        <v>88</v>
      </c>
      <c r="G5" s="342">
        <f ca="1">OFFSET('Zip Code Lines_1'!$AC$3,MATCH('Zip Code Lines_1'!C5,'Zip Code Lines_1'!$Q$4:$Q$26,0),0)</f>
        <v>6</v>
      </c>
      <c r="L5" s="353" t="s">
        <v>712</v>
      </c>
      <c r="M5" s="354" t="str">
        <f>_xlfn.XLOOKUP(M$2,B:B,D:D,"-",0)</f>
        <v>-</v>
      </c>
      <c r="P5" s="342">
        <v>726223</v>
      </c>
      <c r="Q5" s="356" t="s">
        <v>548</v>
      </c>
      <c r="R5" s="342">
        <v>44.936</v>
      </c>
      <c r="S5" s="342">
        <v>-74.846000000000004</v>
      </c>
      <c r="T5" s="342">
        <v>213</v>
      </c>
      <c r="U5" s="342" t="s">
        <v>449</v>
      </c>
      <c r="V5" s="349">
        <v>-13.4</v>
      </c>
      <c r="W5" s="342">
        <v>-7.8</v>
      </c>
      <c r="X5" s="344">
        <v>87.3</v>
      </c>
      <c r="Y5" s="344">
        <v>72.3</v>
      </c>
      <c r="Z5" s="344">
        <v>84.4</v>
      </c>
      <c r="AA5" s="344">
        <v>70.8</v>
      </c>
      <c r="AB5" s="344" t="b">
        <v>1</v>
      </c>
      <c r="AC5" s="355">
        <v>12</v>
      </c>
    </row>
    <row r="6" spans="1:29" x14ac:dyDescent="0.25">
      <c r="B6" s="342">
        <v>10004</v>
      </c>
      <c r="C6" s="343" t="s">
        <v>552</v>
      </c>
      <c r="D6" s="343" t="str">
        <f ca="1">OFFSET('Zip Code Lines_1'!$U$3,MATCH('Zip Code Lines_1'!C6,'Zip Code Lines_1'!$Q$4:$Q$26,0),0)</f>
        <v>NY - Central Park</v>
      </c>
      <c r="E6" s="344">
        <f ca="1">OFFSET('Zip Code Lines_1'!$W$3,MATCH('Zip Code Lines_1'!C6,'Zip Code Lines_1'!$Q$4:$Q$26,0),0)</f>
        <v>17.5</v>
      </c>
      <c r="F6" s="344">
        <f ca="1">OFFSET('Zip Code Lines_1'!$Z$3,MATCH('Zip Code Lines_1'!C6,'Zip Code Lines_1'!$Q$4:$Q$26,0),0)</f>
        <v>88</v>
      </c>
      <c r="G6" s="342">
        <f ca="1">OFFSET('Zip Code Lines_1'!$AC$3,MATCH('Zip Code Lines_1'!C6,'Zip Code Lines_1'!$Q$4:$Q$26,0),0)</f>
        <v>6</v>
      </c>
      <c r="L6" s="353" t="s">
        <v>713</v>
      </c>
      <c r="M6" s="354" t="str">
        <f>_xlfn.XLOOKUP(M$2,B:B,E:E,"-",0)</f>
        <v>-</v>
      </c>
      <c r="P6" s="342">
        <v>726227</v>
      </c>
      <c r="Q6" s="342" t="s">
        <v>571</v>
      </c>
      <c r="R6" s="342">
        <v>43.991999999999997</v>
      </c>
      <c r="S6" s="342">
        <v>-76.022000000000006</v>
      </c>
      <c r="T6" s="342">
        <v>318</v>
      </c>
      <c r="U6" s="342" t="s">
        <v>572</v>
      </c>
      <c r="V6" s="349">
        <v>-12.5</v>
      </c>
      <c r="W6" s="342">
        <v>-5</v>
      </c>
      <c r="X6" s="344">
        <v>85.6</v>
      </c>
      <c r="Y6" s="344">
        <v>71.7</v>
      </c>
      <c r="Z6" s="344">
        <v>83.1</v>
      </c>
      <c r="AA6" s="344">
        <v>70.5</v>
      </c>
      <c r="AB6" s="344"/>
      <c r="AC6" s="355">
        <v>24</v>
      </c>
    </row>
    <row r="7" spans="1:29" x14ac:dyDescent="0.25">
      <c r="B7" s="342">
        <v>10005</v>
      </c>
      <c r="C7" s="343" t="s">
        <v>552</v>
      </c>
      <c r="D7" s="343" t="str">
        <f ca="1">OFFSET('Zip Code Lines_1'!$U$3,MATCH('Zip Code Lines_1'!C7,'Zip Code Lines_1'!$Q$4:$Q$26,0),0)</f>
        <v>NY - Central Park</v>
      </c>
      <c r="E7" s="344">
        <f ca="1">OFFSET('Zip Code Lines_1'!$W$3,MATCH('Zip Code Lines_1'!C7,'Zip Code Lines_1'!$Q$4:$Q$26,0),0)</f>
        <v>17.5</v>
      </c>
      <c r="F7" s="344">
        <f ca="1">OFFSET('Zip Code Lines_1'!$Z$3,MATCH('Zip Code Lines_1'!C7,'Zip Code Lines_1'!$Q$4:$Q$26,0),0)</f>
        <v>88</v>
      </c>
      <c r="G7" s="342">
        <f ca="1">OFFSET('Zip Code Lines_1'!$AC$3,MATCH('Zip Code Lines_1'!C7,'Zip Code Lines_1'!$Q$4:$Q$26,0),0)</f>
        <v>6</v>
      </c>
      <c r="L7" s="353" t="s">
        <v>714</v>
      </c>
      <c r="M7" s="354" t="str">
        <f>_xlfn.XLOOKUP(M$2,B:B,F:F,"-",0)</f>
        <v>-</v>
      </c>
      <c r="P7" s="342">
        <v>743700</v>
      </c>
      <c r="Q7" s="342" t="s">
        <v>541</v>
      </c>
      <c r="R7" s="342">
        <v>44.05</v>
      </c>
      <c r="S7" s="342">
        <v>-75.733000000000004</v>
      </c>
      <c r="T7" s="342">
        <v>689</v>
      </c>
      <c r="U7" s="342" t="s">
        <v>542</v>
      </c>
      <c r="V7" s="349">
        <v>-10.5</v>
      </c>
      <c r="W7" s="342">
        <v>-4.4000000000000004</v>
      </c>
      <c r="X7" s="344">
        <v>86.2</v>
      </c>
      <c r="Y7" s="344">
        <v>70.8</v>
      </c>
      <c r="Z7" s="344">
        <v>83.6</v>
      </c>
      <c r="AA7" s="344">
        <v>69.400000000000006</v>
      </c>
      <c r="AB7" s="344"/>
      <c r="AC7" s="355">
        <v>18</v>
      </c>
    </row>
    <row r="8" spans="1:29" ht="15.75" thickBot="1" x14ac:dyDescent="0.3">
      <c r="B8" s="342">
        <v>10006</v>
      </c>
      <c r="C8" s="343" t="s">
        <v>552</v>
      </c>
      <c r="D8" s="343" t="str">
        <f ca="1">OFFSET('Zip Code Lines_1'!$U$3,MATCH('Zip Code Lines_1'!C8,'Zip Code Lines_1'!$Q$4:$Q$26,0),0)</f>
        <v>NY - Central Park</v>
      </c>
      <c r="E8" s="344">
        <f ca="1">OFFSET('Zip Code Lines_1'!$W$3,MATCH('Zip Code Lines_1'!C8,'Zip Code Lines_1'!$Q$4:$Q$26,0),0)</f>
        <v>17.5</v>
      </c>
      <c r="F8" s="344">
        <f ca="1">OFFSET('Zip Code Lines_1'!$Z$3,MATCH('Zip Code Lines_1'!C8,'Zip Code Lines_1'!$Q$4:$Q$26,0),0)</f>
        <v>88</v>
      </c>
      <c r="G8" s="342">
        <f ca="1">OFFSET('Zip Code Lines_1'!$AC$3,MATCH('Zip Code Lines_1'!C8,'Zip Code Lines_1'!$Q$4:$Q$26,0),0)</f>
        <v>6</v>
      </c>
      <c r="L8" s="357" t="s">
        <v>715</v>
      </c>
      <c r="M8" s="358" t="str">
        <f>_xlfn.XLOOKUP(M$2,B:B,G:G,"-",0)</f>
        <v>-</v>
      </c>
      <c r="P8" s="342">
        <v>725220</v>
      </c>
      <c r="Q8" s="342" t="s">
        <v>543</v>
      </c>
      <c r="R8" s="342">
        <v>43.35</v>
      </c>
      <c r="S8" s="342">
        <v>-73.617000000000004</v>
      </c>
      <c r="T8" s="355">
        <v>322</v>
      </c>
      <c r="U8" s="342" t="s">
        <v>544</v>
      </c>
      <c r="V8" s="349">
        <v>-8.6999999999999993</v>
      </c>
      <c r="W8" s="342">
        <v>-1.8</v>
      </c>
      <c r="X8" s="344">
        <v>87.7</v>
      </c>
      <c r="Y8" s="344">
        <v>72.2</v>
      </c>
      <c r="Z8" s="344">
        <v>84.7</v>
      </c>
      <c r="AA8" s="344">
        <v>70.400000000000006</v>
      </c>
      <c r="AB8" s="344"/>
      <c r="AC8" s="355">
        <v>12</v>
      </c>
    </row>
    <row r="9" spans="1:29" x14ac:dyDescent="0.25">
      <c r="B9" s="342">
        <v>10007</v>
      </c>
      <c r="C9" s="343" t="s">
        <v>552</v>
      </c>
      <c r="D9" s="343" t="str">
        <f ca="1">OFFSET('Zip Code Lines_1'!$U$3,MATCH('Zip Code Lines_1'!C9,'Zip Code Lines_1'!$Q$4:$Q$26,0),0)</f>
        <v>NY - Central Park</v>
      </c>
      <c r="E9" s="344">
        <f ca="1">OFFSET('Zip Code Lines_1'!$W$3,MATCH('Zip Code Lines_1'!C9,'Zip Code Lines_1'!$Q$4:$Q$26,0),0)</f>
        <v>17.5</v>
      </c>
      <c r="F9" s="344">
        <f ca="1">OFFSET('Zip Code Lines_1'!$Z$3,MATCH('Zip Code Lines_1'!C9,'Zip Code Lines_1'!$Q$4:$Q$26,0),0)</f>
        <v>88</v>
      </c>
      <c r="G9" s="342">
        <f ca="1">OFFSET('Zip Code Lines_1'!$AC$3,MATCH('Zip Code Lines_1'!C9,'Zip Code Lines_1'!$Q$4:$Q$26,0),0)</f>
        <v>6</v>
      </c>
      <c r="P9" s="342">
        <v>725197</v>
      </c>
      <c r="Q9" s="342" t="s">
        <v>569</v>
      </c>
      <c r="R9" s="342">
        <v>43.145000000000003</v>
      </c>
      <c r="S9" s="342">
        <v>-75.384</v>
      </c>
      <c r="T9" s="342">
        <v>712</v>
      </c>
      <c r="U9" s="342" t="s">
        <v>570</v>
      </c>
      <c r="V9" s="349">
        <v>-4.8</v>
      </c>
      <c r="W9" s="342">
        <v>1.2</v>
      </c>
      <c r="X9" s="344">
        <v>87.1</v>
      </c>
      <c r="Y9" s="344">
        <v>72.400000000000006</v>
      </c>
      <c r="Z9" s="344">
        <v>84.2</v>
      </c>
      <c r="AA9" s="344">
        <v>70.599999999999994</v>
      </c>
      <c r="AB9" s="344"/>
      <c r="AC9" s="355">
        <v>18</v>
      </c>
    </row>
    <row r="10" spans="1:29" x14ac:dyDescent="0.25">
      <c r="B10" s="342">
        <v>10008</v>
      </c>
      <c r="C10" s="343" t="s">
        <v>552</v>
      </c>
      <c r="D10" s="343" t="str">
        <f ca="1">OFFSET('Zip Code Lines_1'!$U$3,MATCH('Zip Code Lines_1'!C10,'Zip Code Lines_1'!$Q$4:$Q$26,0),0)</f>
        <v>NY - Central Park</v>
      </c>
      <c r="E10" s="344">
        <f ca="1">OFFSET('Zip Code Lines_1'!$W$3,MATCH('Zip Code Lines_1'!C10,'Zip Code Lines_1'!$Q$4:$Q$26,0),0)</f>
        <v>17.5</v>
      </c>
      <c r="F10" s="344">
        <f ca="1">OFFSET('Zip Code Lines_1'!$Z$3,MATCH('Zip Code Lines_1'!C10,'Zip Code Lines_1'!$Q$4:$Q$26,0),0)</f>
        <v>88</v>
      </c>
      <c r="G10" s="342">
        <f ca="1">OFFSET('Zip Code Lines_1'!$AC$3,MATCH('Zip Code Lines_1'!C10,'Zip Code Lines_1'!$Q$4:$Q$26,0),0)</f>
        <v>6</v>
      </c>
      <c r="L10" s="359" t="s">
        <v>529</v>
      </c>
      <c r="M10" s="359" t="e">
        <f>VLOOKUP(M4,'Zip Code Lines_1'!Q31:S53,3,FALSE)</f>
        <v>#N/A</v>
      </c>
      <c r="P10" s="342">
        <v>725150</v>
      </c>
      <c r="Q10" s="356" t="s">
        <v>532</v>
      </c>
      <c r="R10" s="342">
        <v>42.207000000000001</v>
      </c>
      <c r="S10" s="342">
        <v>-75.98</v>
      </c>
      <c r="T10" s="342">
        <v>1594</v>
      </c>
      <c r="U10" s="342" t="s">
        <v>533</v>
      </c>
      <c r="V10" s="349">
        <v>0</v>
      </c>
      <c r="W10" s="342">
        <v>4.5</v>
      </c>
      <c r="X10" s="344">
        <v>85.2</v>
      </c>
      <c r="Y10" s="344">
        <v>69.8</v>
      </c>
      <c r="Z10" s="344">
        <v>82.3</v>
      </c>
      <c r="AA10" s="344">
        <v>68.3</v>
      </c>
      <c r="AB10" s="344" t="b">
        <v>1</v>
      </c>
      <c r="AC10" s="355">
        <v>12</v>
      </c>
    </row>
    <row r="11" spans="1:29" x14ac:dyDescent="0.25">
      <c r="B11" s="342">
        <v>10009</v>
      </c>
      <c r="C11" s="343" t="s">
        <v>552</v>
      </c>
      <c r="D11" s="343" t="str">
        <f ca="1">OFFSET('Zip Code Lines_1'!$U$3,MATCH('Zip Code Lines_1'!C11,'Zip Code Lines_1'!$Q$4:$Q$26,0),0)</f>
        <v>NY - Central Park</v>
      </c>
      <c r="E11" s="344">
        <f ca="1">OFFSET('Zip Code Lines_1'!$W$3,MATCH('Zip Code Lines_1'!C11,'Zip Code Lines_1'!$Q$4:$Q$26,0),0)</f>
        <v>17.5</v>
      </c>
      <c r="F11" s="344">
        <f ca="1">OFFSET('Zip Code Lines_1'!$Z$3,MATCH('Zip Code Lines_1'!C11,'Zip Code Lines_1'!$Q$4:$Q$26,0),0)</f>
        <v>88</v>
      </c>
      <c r="G11" s="342">
        <f ca="1">OFFSET('Zip Code Lines_1'!$AC$3,MATCH('Zip Code Lines_1'!C11,'Zip Code Lines_1'!$Q$4:$Q$26,0),0)</f>
        <v>6</v>
      </c>
      <c r="L11" s="359" t="s">
        <v>526</v>
      </c>
      <c r="M11" s="359" t="e">
        <f>VLOOKUP(M4,'Zip Code Lines_1'!Q31:S53,2,FALSE)</f>
        <v>#N/A</v>
      </c>
      <c r="P11" s="342">
        <v>725180</v>
      </c>
      <c r="Q11" s="356" t="s">
        <v>530</v>
      </c>
      <c r="R11" s="342">
        <v>42.743000000000002</v>
      </c>
      <c r="S11" s="342">
        <v>-73.808999999999997</v>
      </c>
      <c r="T11" s="342">
        <v>312</v>
      </c>
      <c r="U11" s="342" t="s">
        <v>531</v>
      </c>
      <c r="V11" s="349">
        <v>-0.3</v>
      </c>
      <c r="W11" s="342">
        <v>4.7</v>
      </c>
      <c r="X11" s="344">
        <v>88.9</v>
      </c>
      <c r="Y11" s="344">
        <v>72.599999999999994</v>
      </c>
      <c r="Z11" s="344">
        <v>86.1</v>
      </c>
      <c r="AA11" s="344">
        <v>71</v>
      </c>
      <c r="AB11" s="344" t="b">
        <v>1</v>
      </c>
      <c r="AC11" s="355">
        <v>12</v>
      </c>
    </row>
    <row r="12" spans="1:29" x14ac:dyDescent="0.25">
      <c r="B12" s="342">
        <v>10010</v>
      </c>
      <c r="C12" s="343" t="s">
        <v>552</v>
      </c>
      <c r="D12" s="343" t="str">
        <f ca="1">OFFSET('Zip Code Lines_1'!$U$3,MATCH('Zip Code Lines_1'!C12,'Zip Code Lines_1'!$Q$4:$Q$26,0),0)</f>
        <v>NY - Central Park</v>
      </c>
      <c r="E12" s="344">
        <f ca="1">OFFSET('Zip Code Lines_1'!$W$3,MATCH('Zip Code Lines_1'!C12,'Zip Code Lines_1'!$Q$4:$Q$26,0),0)</f>
        <v>17.5</v>
      </c>
      <c r="F12" s="344">
        <f ca="1">OFFSET('Zip Code Lines_1'!$Z$3,MATCH('Zip Code Lines_1'!C12,'Zip Code Lines_1'!$Q$4:$Q$26,0),0)</f>
        <v>88</v>
      </c>
      <c r="G12" s="342">
        <f ca="1">OFFSET('Zip Code Lines_1'!$AC$3,MATCH('Zip Code Lines_1'!C12,'Zip Code Lines_1'!$Q$4:$Q$26,0),0)</f>
        <v>6</v>
      </c>
      <c r="P12" s="342">
        <v>725145</v>
      </c>
      <c r="Q12" s="342" t="s">
        <v>549</v>
      </c>
      <c r="R12" s="342">
        <v>41.701000000000001</v>
      </c>
      <c r="S12" s="342">
        <v>-74.795000000000002</v>
      </c>
      <c r="T12" s="342">
        <v>1404</v>
      </c>
      <c r="U12" s="342" t="s">
        <v>550</v>
      </c>
      <c r="V12" s="349">
        <v>0.2</v>
      </c>
      <c r="W12" s="342">
        <v>4.7</v>
      </c>
      <c r="X12" s="344">
        <v>86.3</v>
      </c>
      <c r="Y12" s="344">
        <v>70.5</v>
      </c>
      <c r="Z12" s="344">
        <v>82.5</v>
      </c>
      <c r="AA12" s="344">
        <v>68.400000000000006</v>
      </c>
      <c r="AB12" s="344"/>
      <c r="AC12" s="355">
        <v>12</v>
      </c>
    </row>
    <row r="13" spans="1:29" x14ac:dyDescent="0.25">
      <c r="B13" s="342">
        <v>10011</v>
      </c>
      <c r="C13" s="343" t="s">
        <v>552</v>
      </c>
      <c r="D13" s="343" t="str">
        <f ca="1">OFFSET('Zip Code Lines_1'!$U$3,MATCH('Zip Code Lines_1'!C13,'Zip Code Lines_1'!$Q$4:$Q$26,0),0)</f>
        <v>NY - Central Park</v>
      </c>
      <c r="E13" s="344">
        <f ca="1">OFFSET('Zip Code Lines_1'!$W$3,MATCH('Zip Code Lines_1'!C13,'Zip Code Lines_1'!$Q$4:$Q$26,0),0)</f>
        <v>17.5</v>
      </c>
      <c r="F13" s="344">
        <f ca="1">OFFSET('Zip Code Lines_1'!$Z$3,MATCH('Zip Code Lines_1'!C13,'Zip Code Lines_1'!$Q$4:$Q$26,0),0)</f>
        <v>88</v>
      </c>
      <c r="G13" s="342">
        <f ca="1">OFFSET('Zip Code Lines_1'!$AC$3,MATCH('Zip Code Lines_1'!C13,'Zip Code Lines_1'!$Q$4:$Q$26,0),0)</f>
        <v>6</v>
      </c>
      <c r="P13" s="342">
        <v>725156</v>
      </c>
      <c r="Q13" s="342" t="s">
        <v>538</v>
      </c>
      <c r="R13" s="342">
        <v>42.158999999999999</v>
      </c>
      <c r="S13" s="342">
        <v>-76.891999999999996</v>
      </c>
      <c r="T13" s="342">
        <v>955</v>
      </c>
      <c r="U13" s="342" t="s">
        <v>539</v>
      </c>
      <c r="V13" s="349">
        <v>-0.1</v>
      </c>
      <c r="W13" s="342">
        <v>4.8</v>
      </c>
      <c r="X13" s="344">
        <v>89.6</v>
      </c>
      <c r="Y13" s="344">
        <v>71.5</v>
      </c>
      <c r="Z13" s="344">
        <v>86.4</v>
      </c>
      <c r="AA13" s="344">
        <v>69.900000000000006</v>
      </c>
      <c r="AB13" s="344"/>
      <c r="AC13" s="355">
        <v>6</v>
      </c>
    </row>
    <row r="14" spans="1:29" x14ac:dyDescent="0.25">
      <c r="B14" s="342">
        <v>10012</v>
      </c>
      <c r="C14" s="343" t="s">
        <v>552</v>
      </c>
      <c r="D14" s="343" t="str">
        <f ca="1">OFFSET('Zip Code Lines_1'!$U$3,MATCH('Zip Code Lines_1'!C14,'Zip Code Lines_1'!$Q$4:$Q$26,0),0)</f>
        <v>NY - Central Park</v>
      </c>
      <c r="E14" s="344">
        <f ca="1">OFFSET('Zip Code Lines_1'!$W$3,MATCH('Zip Code Lines_1'!C14,'Zip Code Lines_1'!$Q$4:$Q$26,0),0)</f>
        <v>17.5</v>
      </c>
      <c r="F14" s="344">
        <f ca="1">OFFSET('Zip Code Lines_1'!$Z$3,MATCH('Zip Code Lines_1'!C14,'Zip Code Lines_1'!$Q$4:$Q$26,0),0)</f>
        <v>88</v>
      </c>
      <c r="G14" s="342">
        <f ca="1">OFFSET('Zip Code Lines_1'!$AC$3,MATCH('Zip Code Lines_1'!C14,'Zip Code Lines_1'!$Q$4:$Q$26,0),0)</f>
        <v>6</v>
      </c>
      <c r="P14" s="342">
        <v>725235</v>
      </c>
      <c r="Q14" s="342" t="s">
        <v>546</v>
      </c>
      <c r="R14" s="342">
        <v>42.15</v>
      </c>
      <c r="S14" s="342">
        <v>-79.25</v>
      </c>
      <c r="T14" s="342">
        <v>1722</v>
      </c>
      <c r="U14" s="342" t="s">
        <v>547</v>
      </c>
      <c r="V14" s="349">
        <v>0.6</v>
      </c>
      <c r="W14" s="342">
        <v>4.8</v>
      </c>
      <c r="X14" s="344">
        <v>82.4</v>
      </c>
      <c r="Y14" s="344">
        <v>69.7</v>
      </c>
      <c r="Z14" s="344">
        <v>81.099999999999994</v>
      </c>
      <c r="AA14" s="344">
        <v>68.599999999999994</v>
      </c>
      <c r="AB14" s="344"/>
      <c r="AC14" s="355">
        <v>12</v>
      </c>
    </row>
    <row r="15" spans="1:29" x14ac:dyDescent="0.25">
      <c r="B15" s="342">
        <v>10013</v>
      </c>
      <c r="C15" s="343" t="s">
        <v>552</v>
      </c>
      <c r="D15" s="343" t="str">
        <f ca="1">OFFSET('Zip Code Lines_1'!$U$3,MATCH('Zip Code Lines_1'!C15,'Zip Code Lines_1'!$Q$4:$Q$26,0),0)</f>
        <v>NY - Central Park</v>
      </c>
      <c r="E15" s="344">
        <f ca="1">OFFSET('Zip Code Lines_1'!$W$3,MATCH('Zip Code Lines_1'!C15,'Zip Code Lines_1'!$Q$4:$Q$26,0),0)</f>
        <v>17.5</v>
      </c>
      <c r="F15" s="344">
        <f ca="1">OFFSET('Zip Code Lines_1'!$Z$3,MATCH('Zip Code Lines_1'!C15,'Zip Code Lines_1'!$Q$4:$Q$26,0),0)</f>
        <v>88</v>
      </c>
      <c r="G15" s="342">
        <f ca="1">OFFSET('Zip Code Lines_1'!$AC$3,MATCH('Zip Code Lines_1'!C15,'Zip Code Lines_1'!$Q$4:$Q$26,0),0)</f>
        <v>6</v>
      </c>
      <c r="P15" s="342">
        <v>725190</v>
      </c>
      <c r="Q15" s="356" t="s">
        <v>568</v>
      </c>
      <c r="R15" s="342">
        <v>43.110999999999997</v>
      </c>
      <c r="S15" s="342">
        <v>-76.103999999999999</v>
      </c>
      <c r="T15" s="342">
        <v>413</v>
      </c>
      <c r="U15" s="342" t="s">
        <v>540</v>
      </c>
      <c r="V15" s="349">
        <v>-0.7</v>
      </c>
      <c r="W15" s="342">
        <v>4.9000000000000004</v>
      </c>
      <c r="X15" s="344">
        <v>89.2</v>
      </c>
      <c r="Y15" s="344">
        <v>73</v>
      </c>
      <c r="Z15" s="344">
        <v>86.4</v>
      </c>
      <c r="AA15" s="344">
        <v>71.2</v>
      </c>
      <c r="AB15" s="344" t="b">
        <v>1</v>
      </c>
      <c r="AC15" s="355">
        <v>12</v>
      </c>
    </row>
    <row r="16" spans="1:29" x14ac:dyDescent="0.25">
      <c r="B16" s="342">
        <v>10014</v>
      </c>
      <c r="C16" s="343" t="s">
        <v>552</v>
      </c>
      <c r="D16" s="343" t="str">
        <f ca="1">OFFSET('Zip Code Lines_1'!$U$3,MATCH('Zip Code Lines_1'!C16,'Zip Code Lines_1'!$Q$4:$Q$26,0),0)</f>
        <v>NY - Central Park</v>
      </c>
      <c r="E16" s="344">
        <f ca="1">OFFSET('Zip Code Lines_1'!$W$3,MATCH('Zip Code Lines_1'!C16,'Zip Code Lines_1'!$Q$4:$Q$26,0),0)</f>
        <v>17.5</v>
      </c>
      <c r="F16" s="344">
        <f ca="1">OFFSET('Zip Code Lines_1'!$Z$3,MATCH('Zip Code Lines_1'!C16,'Zip Code Lines_1'!$Q$4:$Q$26,0),0)</f>
        <v>88</v>
      </c>
      <c r="G16" s="342">
        <f ca="1">OFFSET('Zip Code Lines_1'!$AC$3,MATCH('Zip Code Lines_1'!C16,'Zip Code Lines_1'!$Q$4:$Q$26,0),0)</f>
        <v>6</v>
      </c>
      <c r="P16" s="342">
        <v>725287</v>
      </c>
      <c r="Q16" s="342" t="s">
        <v>561</v>
      </c>
      <c r="R16" s="342">
        <v>43.107999999999997</v>
      </c>
      <c r="S16" s="342">
        <v>-78.938000000000002</v>
      </c>
      <c r="T16" s="342">
        <v>584</v>
      </c>
      <c r="U16" s="342" t="s">
        <v>562</v>
      </c>
      <c r="V16" s="349">
        <v>2.8</v>
      </c>
      <c r="W16" s="342">
        <v>6.9</v>
      </c>
      <c r="X16" s="344">
        <v>87.8</v>
      </c>
      <c r="Y16" s="344">
        <v>72.400000000000006</v>
      </c>
      <c r="Z16" s="344">
        <v>85.2</v>
      </c>
      <c r="AA16" s="344">
        <v>71</v>
      </c>
      <c r="AB16" s="344"/>
      <c r="AC16" s="355">
        <v>18</v>
      </c>
    </row>
    <row r="17" spans="2:29" x14ac:dyDescent="0.25">
      <c r="B17" s="342">
        <v>10016</v>
      </c>
      <c r="C17" s="343" t="s">
        <v>552</v>
      </c>
      <c r="D17" s="343" t="str">
        <f ca="1">OFFSET('Zip Code Lines_1'!$U$3,MATCH('Zip Code Lines_1'!C17,'Zip Code Lines_1'!$Q$4:$Q$26,0),0)</f>
        <v>NY - Central Park</v>
      </c>
      <c r="E17" s="344">
        <f ca="1">OFFSET('Zip Code Lines_1'!$W$3,MATCH('Zip Code Lines_1'!C17,'Zip Code Lines_1'!$Q$4:$Q$26,0),0)</f>
        <v>17.5</v>
      </c>
      <c r="F17" s="344">
        <f ca="1">OFFSET('Zip Code Lines_1'!$Z$3,MATCH('Zip Code Lines_1'!C17,'Zip Code Lines_1'!$Q$4:$Q$26,0),0)</f>
        <v>88</v>
      </c>
      <c r="G17" s="342">
        <f ca="1">OFFSET('Zip Code Lines_1'!$AC$3,MATCH('Zip Code Lines_1'!C17,'Zip Code Lines_1'!$Q$4:$Q$26,0),0)</f>
        <v>6</v>
      </c>
      <c r="P17" s="342">
        <v>725290</v>
      </c>
      <c r="Q17" s="342" t="s">
        <v>564</v>
      </c>
      <c r="R17" s="342">
        <v>43.116999999999997</v>
      </c>
      <c r="S17" s="342">
        <v>-77.677000000000007</v>
      </c>
      <c r="T17" s="342">
        <v>538</v>
      </c>
      <c r="U17" s="342" t="s">
        <v>565</v>
      </c>
      <c r="V17" s="349">
        <v>2.8</v>
      </c>
      <c r="W17" s="342">
        <v>7.1</v>
      </c>
      <c r="X17" s="344">
        <v>88.5</v>
      </c>
      <c r="Y17" s="344">
        <v>73</v>
      </c>
      <c r="Z17" s="344">
        <v>85.6</v>
      </c>
      <c r="AA17" s="344">
        <v>71</v>
      </c>
      <c r="AB17" s="344"/>
      <c r="AC17" s="355">
        <v>12</v>
      </c>
    </row>
    <row r="18" spans="2:29" x14ac:dyDescent="0.25">
      <c r="B18" s="342">
        <v>10017</v>
      </c>
      <c r="C18" s="343" t="s">
        <v>552</v>
      </c>
      <c r="D18" s="343" t="str">
        <f ca="1">OFFSET('Zip Code Lines_1'!$U$3,MATCH('Zip Code Lines_1'!C18,'Zip Code Lines_1'!$Q$4:$Q$26,0),0)</f>
        <v>NY - Central Park</v>
      </c>
      <c r="E18" s="344">
        <f ca="1">OFFSET('Zip Code Lines_1'!$W$3,MATCH('Zip Code Lines_1'!C18,'Zip Code Lines_1'!$Q$4:$Q$26,0),0)</f>
        <v>17.5</v>
      </c>
      <c r="F18" s="344">
        <f ca="1">OFFSET('Zip Code Lines_1'!$Z$3,MATCH('Zip Code Lines_1'!C18,'Zip Code Lines_1'!$Q$4:$Q$26,0),0)</f>
        <v>88</v>
      </c>
      <c r="G18" s="342">
        <f ca="1">OFFSET('Zip Code Lines_1'!$AC$3,MATCH('Zip Code Lines_1'!C18,'Zip Code Lines_1'!$Q$4:$Q$26,0),0)</f>
        <v>6</v>
      </c>
      <c r="P18" s="342">
        <v>725280</v>
      </c>
      <c r="Q18" s="356" t="s">
        <v>534</v>
      </c>
      <c r="R18" s="342">
        <v>42.941000000000003</v>
      </c>
      <c r="S18" s="342">
        <v>-78.736000000000004</v>
      </c>
      <c r="T18" s="342">
        <v>715</v>
      </c>
      <c r="U18" s="342" t="s">
        <v>447</v>
      </c>
      <c r="V18" s="349">
        <v>3.5</v>
      </c>
      <c r="W18" s="342">
        <v>7.4</v>
      </c>
      <c r="X18" s="344">
        <v>86.3</v>
      </c>
      <c r="Y18" s="344">
        <v>71.2</v>
      </c>
      <c r="Z18" s="344">
        <v>83.9</v>
      </c>
      <c r="AA18" s="344">
        <v>69.900000000000006</v>
      </c>
      <c r="AB18" s="344" t="b">
        <v>1</v>
      </c>
      <c r="AC18" s="355">
        <v>18</v>
      </c>
    </row>
    <row r="19" spans="2:29" x14ac:dyDescent="0.25">
      <c r="B19" s="342">
        <v>10018</v>
      </c>
      <c r="C19" s="343" t="s">
        <v>552</v>
      </c>
      <c r="D19" s="343" t="str">
        <f ca="1">OFFSET('Zip Code Lines_1'!$U$3,MATCH('Zip Code Lines_1'!C19,'Zip Code Lines_1'!$Q$4:$Q$26,0),0)</f>
        <v>NY - Central Park</v>
      </c>
      <c r="E19" s="344">
        <f ca="1">OFFSET('Zip Code Lines_1'!$W$3,MATCH('Zip Code Lines_1'!C19,'Zip Code Lines_1'!$Q$4:$Q$26,0),0)</f>
        <v>17.5</v>
      </c>
      <c r="F19" s="344">
        <f ca="1">OFFSET('Zip Code Lines_1'!$Z$3,MATCH('Zip Code Lines_1'!C19,'Zip Code Lines_1'!$Q$4:$Q$26,0),0)</f>
        <v>88</v>
      </c>
      <c r="G19" s="342">
        <f ca="1">OFFSET('Zip Code Lines_1'!$AC$3,MATCH('Zip Code Lines_1'!C19,'Zip Code Lines_1'!$Q$4:$Q$26,0),0)</f>
        <v>6</v>
      </c>
      <c r="P19" s="342">
        <v>725036</v>
      </c>
      <c r="Q19" s="356" t="s">
        <v>563</v>
      </c>
      <c r="R19" s="342">
        <v>41.627000000000002</v>
      </c>
      <c r="S19" s="342">
        <v>-73.884</v>
      </c>
      <c r="T19" s="342">
        <v>167</v>
      </c>
      <c r="U19" s="342" t="s">
        <v>551</v>
      </c>
      <c r="V19" s="349">
        <v>2.7</v>
      </c>
      <c r="W19" s="342">
        <v>8.4</v>
      </c>
      <c r="X19" s="344">
        <v>91.3</v>
      </c>
      <c r="Y19" s="344">
        <v>73.5</v>
      </c>
      <c r="Z19" s="344">
        <v>88.4</v>
      </c>
      <c r="AA19" s="344">
        <v>72.3</v>
      </c>
      <c r="AB19" s="344" t="b">
        <v>1</v>
      </c>
      <c r="AC19" s="355">
        <v>12</v>
      </c>
    </row>
    <row r="20" spans="2:29" x14ac:dyDescent="0.25">
      <c r="B20" s="342">
        <v>10019</v>
      </c>
      <c r="C20" s="343" t="s">
        <v>552</v>
      </c>
      <c r="D20" s="343" t="str">
        <f ca="1">OFFSET('Zip Code Lines_1'!$U$3,MATCH('Zip Code Lines_1'!C20,'Zip Code Lines_1'!$Q$4:$Q$26,0),0)</f>
        <v>NY - Central Park</v>
      </c>
      <c r="E20" s="344">
        <f ca="1">OFFSET('Zip Code Lines_1'!$W$3,MATCH('Zip Code Lines_1'!C20,'Zip Code Lines_1'!$Q$4:$Q$26,0),0)</f>
        <v>17.5</v>
      </c>
      <c r="F20" s="344">
        <f ca="1">OFFSET('Zip Code Lines_1'!$Z$3,MATCH('Zip Code Lines_1'!C20,'Zip Code Lines_1'!$Q$4:$Q$26,0),0)</f>
        <v>88</v>
      </c>
      <c r="G20" s="342">
        <f ca="1">OFFSET('Zip Code Lines_1'!$AC$3,MATCH('Zip Code Lines_1'!C20,'Zip Code Lines_1'!$Q$4:$Q$26,0),0)</f>
        <v>6</v>
      </c>
      <c r="P20" s="342">
        <v>744865</v>
      </c>
      <c r="Q20" s="342" t="s">
        <v>573</v>
      </c>
      <c r="R20" s="342">
        <v>40.844000000000001</v>
      </c>
      <c r="S20" s="342">
        <v>-72.632000000000005</v>
      </c>
      <c r="T20" s="342">
        <v>66</v>
      </c>
      <c r="U20" s="342" t="s">
        <v>574</v>
      </c>
      <c r="V20" s="360">
        <v>8</v>
      </c>
      <c r="W20" s="342">
        <v>12.2</v>
      </c>
      <c r="X20" s="344">
        <v>87.8</v>
      </c>
      <c r="Y20" s="344">
        <v>72.8</v>
      </c>
      <c r="Z20" s="344">
        <v>84</v>
      </c>
      <c r="AA20" s="344">
        <v>71.2</v>
      </c>
      <c r="AB20" s="344"/>
      <c r="AC20" s="355">
        <v>6</v>
      </c>
    </row>
    <row r="21" spans="2:29" x14ac:dyDescent="0.25">
      <c r="B21" s="342">
        <v>10020</v>
      </c>
      <c r="C21" s="343" t="s">
        <v>552</v>
      </c>
      <c r="D21" s="343" t="str">
        <f ca="1">OFFSET('Zip Code Lines_1'!$U$3,MATCH('Zip Code Lines_1'!C21,'Zip Code Lines_1'!$Q$4:$Q$26,0),0)</f>
        <v>NY - Central Park</v>
      </c>
      <c r="E21" s="344">
        <f ca="1">OFFSET('Zip Code Lines_1'!$W$3,MATCH('Zip Code Lines_1'!C21,'Zip Code Lines_1'!$Q$4:$Q$26,0),0)</f>
        <v>17.5</v>
      </c>
      <c r="F21" s="344">
        <f ca="1">OFFSET('Zip Code Lines_1'!$Z$3,MATCH('Zip Code Lines_1'!C21,'Zip Code Lines_1'!$Q$4:$Q$26,0),0)</f>
        <v>88</v>
      </c>
      <c r="G21" s="342">
        <f ca="1">OFFSET('Zip Code Lines_1'!$AC$3,MATCH('Zip Code Lines_1'!C21,'Zip Code Lines_1'!$Q$4:$Q$26,0),0)</f>
        <v>6</v>
      </c>
      <c r="P21" s="342">
        <v>725037</v>
      </c>
      <c r="Q21" s="342" t="s">
        <v>575</v>
      </c>
      <c r="R21" s="342">
        <v>41.067</v>
      </c>
      <c r="S21" s="342">
        <v>-73.707999999999998</v>
      </c>
      <c r="T21" s="342">
        <v>381</v>
      </c>
      <c r="U21" s="342" t="s">
        <v>576</v>
      </c>
      <c r="V21" s="349">
        <v>9.1999999999999993</v>
      </c>
      <c r="W21" s="342">
        <v>13.5</v>
      </c>
      <c r="X21" s="344">
        <v>89.6</v>
      </c>
      <c r="Y21" s="344">
        <v>73.400000000000006</v>
      </c>
      <c r="Z21" s="361">
        <v>86.4</v>
      </c>
      <c r="AA21" s="344">
        <v>71.8</v>
      </c>
      <c r="AB21" s="344"/>
      <c r="AC21" s="355">
        <v>6</v>
      </c>
    </row>
    <row r="22" spans="2:29" x14ac:dyDescent="0.25">
      <c r="B22" s="342">
        <v>10021</v>
      </c>
      <c r="C22" s="343" t="s">
        <v>552</v>
      </c>
      <c r="D22" s="343" t="str">
        <f ca="1">OFFSET('Zip Code Lines_1'!$U$3,MATCH('Zip Code Lines_1'!C22,'Zip Code Lines_1'!$Q$4:$Q$26,0),0)</f>
        <v>NY - Central Park</v>
      </c>
      <c r="E22" s="344">
        <f ca="1">OFFSET('Zip Code Lines_1'!$W$3,MATCH('Zip Code Lines_1'!C22,'Zip Code Lines_1'!$Q$4:$Q$26,0),0)</f>
        <v>17.5</v>
      </c>
      <c r="F22" s="344">
        <f ca="1">OFFSET('Zip Code Lines_1'!$Z$3,MATCH('Zip Code Lines_1'!C22,'Zip Code Lines_1'!$Q$4:$Q$26,0),0)</f>
        <v>88</v>
      </c>
      <c r="G22" s="342">
        <f ca="1">OFFSET('Zip Code Lines_1'!$AC$3,MATCH('Zip Code Lines_1'!C22,'Zip Code Lines_1'!$Q$4:$Q$26,0),0)</f>
        <v>6</v>
      </c>
      <c r="P22" s="342">
        <v>725050</v>
      </c>
      <c r="Q22" s="342" t="s">
        <v>545</v>
      </c>
      <c r="R22" s="342">
        <v>40.793999999999997</v>
      </c>
      <c r="S22" s="342">
        <v>-73.102000000000004</v>
      </c>
      <c r="T22" s="342">
        <v>85</v>
      </c>
      <c r="U22" s="342" t="s">
        <v>537</v>
      </c>
      <c r="V22" s="349">
        <v>11.9</v>
      </c>
      <c r="W22" s="342">
        <v>15.9</v>
      </c>
      <c r="X22" s="344">
        <v>88.6</v>
      </c>
      <c r="Y22" s="344">
        <v>73.5</v>
      </c>
      <c r="Z22" s="344">
        <v>85.7</v>
      </c>
      <c r="AA22" s="344">
        <v>71.900000000000006</v>
      </c>
      <c r="AB22" s="344"/>
      <c r="AC22" s="355">
        <v>6</v>
      </c>
    </row>
    <row r="23" spans="2:29" x14ac:dyDescent="0.25">
      <c r="B23" s="342">
        <v>10022</v>
      </c>
      <c r="C23" s="343" t="s">
        <v>552</v>
      </c>
      <c r="D23" s="343" t="str">
        <f ca="1">OFFSET('Zip Code Lines_1'!$U$3,MATCH('Zip Code Lines_1'!C23,'Zip Code Lines_1'!$Q$4:$Q$26,0),0)</f>
        <v>NY - Central Park</v>
      </c>
      <c r="E23" s="344">
        <f ca="1">OFFSET('Zip Code Lines_1'!$W$3,MATCH('Zip Code Lines_1'!C23,'Zip Code Lines_1'!$Q$4:$Q$26,0),0)</f>
        <v>17.5</v>
      </c>
      <c r="F23" s="344">
        <f ca="1">OFFSET('Zip Code Lines_1'!$Z$3,MATCH('Zip Code Lines_1'!C23,'Zip Code Lines_1'!$Q$4:$Q$26,0),0)</f>
        <v>88</v>
      </c>
      <c r="G23" s="342">
        <f ca="1">OFFSET('Zip Code Lines_1'!$AC$3,MATCH('Zip Code Lines_1'!C23,'Zip Code Lines_1'!$Q$4:$Q$26,0),0)</f>
        <v>6</v>
      </c>
      <c r="P23" s="342">
        <v>744864</v>
      </c>
      <c r="Q23" s="342" t="s">
        <v>535</v>
      </c>
      <c r="R23" s="342">
        <v>40.734000000000002</v>
      </c>
      <c r="S23" s="342">
        <v>-73.417000000000002</v>
      </c>
      <c r="T23" s="342">
        <v>82</v>
      </c>
      <c r="U23" s="342" t="s">
        <v>716</v>
      </c>
      <c r="V23" s="349">
        <v>12.4</v>
      </c>
      <c r="W23" s="342">
        <v>17</v>
      </c>
      <c r="X23" s="344">
        <v>89.9</v>
      </c>
      <c r="Y23" s="344">
        <v>73.8</v>
      </c>
      <c r="Z23" s="344">
        <v>86.3</v>
      </c>
      <c r="AA23" s="344">
        <v>71.900000000000006</v>
      </c>
      <c r="AB23" s="344"/>
      <c r="AC23" s="355">
        <v>6</v>
      </c>
    </row>
    <row r="24" spans="2:29" x14ac:dyDescent="0.25">
      <c r="B24" s="342">
        <v>10023</v>
      </c>
      <c r="C24" s="343" t="s">
        <v>552</v>
      </c>
      <c r="D24" s="343" t="str">
        <f ca="1">OFFSET('Zip Code Lines_1'!$U$3,MATCH('Zip Code Lines_1'!C24,'Zip Code Lines_1'!$Q$4:$Q$26,0),0)</f>
        <v>NY - Central Park</v>
      </c>
      <c r="E24" s="344">
        <f ca="1">OFFSET('Zip Code Lines_1'!$W$3,MATCH('Zip Code Lines_1'!C24,'Zip Code Lines_1'!$Q$4:$Q$26,0),0)</f>
        <v>17.5</v>
      </c>
      <c r="F24" s="344">
        <f ca="1">OFFSET('Zip Code Lines_1'!$Z$3,MATCH('Zip Code Lines_1'!C24,'Zip Code Lines_1'!$Q$4:$Q$26,0),0)</f>
        <v>88</v>
      </c>
      <c r="G24" s="342">
        <f ca="1">OFFSET('Zip Code Lines_1'!$AC$3,MATCH('Zip Code Lines_1'!C24,'Zip Code Lines_1'!$Q$4:$Q$26,0),0)</f>
        <v>6</v>
      </c>
      <c r="P24" s="342">
        <v>725053</v>
      </c>
      <c r="Q24" s="342" t="s">
        <v>552</v>
      </c>
      <c r="R24" s="342">
        <v>40.779000000000003</v>
      </c>
      <c r="S24" s="342">
        <v>-73.968999999999994</v>
      </c>
      <c r="T24" s="342">
        <v>131</v>
      </c>
      <c r="U24" s="342" t="s">
        <v>717</v>
      </c>
      <c r="V24" s="349">
        <v>13.5</v>
      </c>
      <c r="W24" s="342">
        <v>17.5</v>
      </c>
      <c r="X24" s="344">
        <v>91</v>
      </c>
      <c r="Y24" s="344">
        <v>73.7</v>
      </c>
      <c r="Z24" s="361">
        <v>88</v>
      </c>
      <c r="AA24" s="344">
        <v>72.400000000000006</v>
      </c>
      <c r="AB24" s="344"/>
      <c r="AC24" s="355">
        <v>6</v>
      </c>
    </row>
    <row r="25" spans="2:29" x14ac:dyDescent="0.25">
      <c r="B25" s="342">
        <v>10024</v>
      </c>
      <c r="C25" s="343" t="s">
        <v>552</v>
      </c>
      <c r="D25" s="343" t="str">
        <f ca="1">OFFSET('Zip Code Lines_1'!$U$3,MATCH('Zip Code Lines_1'!C25,'Zip Code Lines_1'!$Q$4:$Q$26,0),0)</f>
        <v>NY - Central Park</v>
      </c>
      <c r="E25" s="344">
        <f ca="1">OFFSET('Zip Code Lines_1'!$W$3,MATCH('Zip Code Lines_1'!C25,'Zip Code Lines_1'!$Q$4:$Q$26,0),0)</f>
        <v>17.5</v>
      </c>
      <c r="F25" s="344">
        <f ca="1">OFFSET('Zip Code Lines_1'!$Z$3,MATCH('Zip Code Lines_1'!C25,'Zip Code Lines_1'!$Q$4:$Q$26,0),0)</f>
        <v>88</v>
      </c>
      <c r="G25" s="342">
        <f ca="1">OFFSET('Zip Code Lines_1'!$AC$3,MATCH('Zip Code Lines_1'!C25,'Zip Code Lines_1'!$Q$4:$Q$26,0),0)</f>
        <v>6</v>
      </c>
      <c r="P25" s="342">
        <v>744860</v>
      </c>
      <c r="Q25" s="356" t="s">
        <v>555</v>
      </c>
      <c r="R25" s="342">
        <v>40.639000000000003</v>
      </c>
      <c r="S25" s="342">
        <v>-73.762</v>
      </c>
      <c r="T25" s="342">
        <v>10</v>
      </c>
      <c r="U25" s="342" t="s">
        <v>718</v>
      </c>
      <c r="V25" s="349">
        <v>14.1</v>
      </c>
      <c r="W25" s="342">
        <v>18</v>
      </c>
      <c r="X25" s="344">
        <v>89.9</v>
      </c>
      <c r="Y25" s="344">
        <v>73</v>
      </c>
      <c r="Z25" s="344">
        <v>86.6</v>
      </c>
      <c r="AA25" s="344">
        <v>71.7</v>
      </c>
      <c r="AB25" s="344" t="b">
        <v>1</v>
      </c>
      <c r="AC25" s="355">
        <v>6</v>
      </c>
    </row>
    <row r="26" spans="2:29" x14ac:dyDescent="0.25">
      <c r="B26" s="342">
        <v>10025</v>
      </c>
      <c r="C26" s="343" t="s">
        <v>552</v>
      </c>
      <c r="D26" s="343" t="str">
        <f ca="1">OFFSET('Zip Code Lines_1'!$U$3,MATCH('Zip Code Lines_1'!C26,'Zip Code Lines_1'!$Q$4:$Q$26,0),0)</f>
        <v>NY - Central Park</v>
      </c>
      <c r="E26" s="344">
        <f ca="1">OFFSET('Zip Code Lines_1'!$W$3,MATCH('Zip Code Lines_1'!C26,'Zip Code Lines_1'!$Q$4:$Q$26,0),0)</f>
        <v>17.5</v>
      </c>
      <c r="F26" s="344">
        <f ca="1">OFFSET('Zip Code Lines_1'!$Z$3,MATCH('Zip Code Lines_1'!C26,'Zip Code Lines_1'!$Q$4:$Q$26,0),0)</f>
        <v>88</v>
      </c>
      <c r="G26" s="342">
        <f ca="1">OFFSET('Zip Code Lines_1'!$AC$3,MATCH('Zip Code Lines_1'!C26,'Zip Code Lines_1'!$Q$4:$Q$26,0),0)</f>
        <v>6</v>
      </c>
      <c r="P26" s="342">
        <v>725030</v>
      </c>
      <c r="Q26" s="342" t="s">
        <v>558</v>
      </c>
      <c r="R26" s="342">
        <v>40.779000000000003</v>
      </c>
      <c r="S26" s="342">
        <v>-73.88</v>
      </c>
      <c r="T26" s="342">
        <v>10</v>
      </c>
      <c r="U26" s="342" t="s">
        <v>719</v>
      </c>
      <c r="V26" s="349">
        <v>14.3</v>
      </c>
      <c r="W26" s="342">
        <v>18.399999999999999</v>
      </c>
      <c r="X26" s="344">
        <v>92.5</v>
      </c>
      <c r="Y26" s="344">
        <v>73.900000000000006</v>
      </c>
      <c r="Z26" s="344">
        <v>89.6</v>
      </c>
      <c r="AA26" s="344">
        <v>72.5</v>
      </c>
      <c r="AB26" s="344"/>
      <c r="AC26" s="355">
        <v>6</v>
      </c>
    </row>
    <row r="27" spans="2:29" x14ac:dyDescent="0.25">
      <c r="B27" s="342">
        <v>10026</v>
      </c>
      <c r="C27" s="343" t="s">
        <v>552</v>
      </c>
      <c r="D27" s="343" t="str">
        <f ca="1">OFFSET('Zip Code Lines_1'!$U$3,MATCH('Zip Code Lines_1'!C27,'Zip Code Lines_1'!$Q$4:$Q$26,0),0)</f>
        <v>NY - Central Park</v>
      </c>
      <c r="E27" s="344">
        <f ca="1">OFFSET('Zip Code Lines_1'!$W$3,MATCH('Zip Code Lines_1'!C27,'Zip Code Lines_1'!$Q$4:$Q$26,0),0)</f>
        <v>17.5</v>
      </c>
      <c r="F27" s="344">
        <f ca="1">OFFSET('Zip Code Lines_1'!$Z$3,MATCH('Zip Code Lines_1'!C27,'Zip Code Lines_1'!$Q$4:$Q$26,0),0)</f>
        <v>88</v>
      </c>
      <c r="G27" s="342">
        <f ca="1">OFFSET('Zip Code Lines_1'!$AC$3,MATCH('Zip Code Lines_1'!C27,'Zip Code Lines_1'!$Q$4:$Q$26,0),0)</f>
        <v>6</v>
      </c>
    </row>
    <row r="28" spans="2:29" x14ac:dyDescent="0.25">
      <c r="B28" s="342">
        <v>10027</v>
      </c>
      <c r="C28" s="343" t="s">
        <v>552</v>
      </c>
      <c r="D28" s="343" t="str">
        <f ca="1">OFFSET('Zip Code Lines_1'!$U$3,MATCH('Zip Code Lines_1'!C28,'Zip Code Lines_1'!$Q$4:$Q$26,0),0)</f>
        <v>NY - Central Park</v>
      </c>
      <c r="E28" s="344">
        <f ca="1">OFFSET('Zip Code Lines_1'!$W$3,MATCH('Zip Code Lines_1'!C28,'Zip Code Lines_1'!$Q$4:$Q$26,0),0)</f>
        <v>17.5</v>
      </c>
      <c r="F28" s="344">
        <f ca="1">OFFSET('Zip Code Lines_1'!$Z$3,MATCH('Zip Code Lines_1'!C28,'Zip Code Lines_1'!$Q$4:$Q$26,0),0)</f>
        <v>88</v>
      </c>
      <c r="G28" s="342">
        <f ca="1">OFFSET('Zip Code Lines_1'!$AC$3,MATCH('Zip Code Lines_1'!C28,'Zip Code Lines_1'!$Q$4:$Q$26,0),0)</f>
        <v>6</v>
      </c>
    </row>
    <row r="29" spans="2:29" x14ac:dyDescent="0.25">
      <c r="B29" s="342">
        <v>10028</v>
      </c>
      <c r="C29" s="343" t="s">
        <v>552</v>
      </c>
      <c r="D29" s="343" t="str">
        <f ca="1">OFFSET('Zip Code Lines_1'!$U$3,MATCH('Zip Code Lines_1'!C29,'Zip Code Lines_1'!$Q$4:$Q$26,0),0)</f>
        <v>NY - Central Park</v>
      </c>
      <c r="E29" s="344">
        <f ca="1">OFFSET('Zip Code Lines_1'!$W$3,MATCH('Zip Code Lines_1'!C29,'Zip Code Lines_1'!$Q$4:$Q$26,0),0)</f>
        <v>17.5</v>
      </c>
      <c r="F29" s="344">
        <f ca="1">OFFSET('Zip Code Lines_1'!$Z$3,MATCH('Zip Code Lines_1'!C29,'Zip Code Lines_1'!$Q$4:$Q$26,0),0)</f>
        <v>88</v>
      </c>
      <c r="G29" s="342">
        <f ca="1">OFFSET('Zip Code Lines_1'!$AC$3,MATCH('Zip Code Lines_1'!C29,'Zip Code Lines_1'!$Q$4:$Q$26,0),0)</f>
        <v>6</v>
      </c>
    </row>
    <row r="30" spans="2:29" ht="30" x14ac:dyDescent="0.25">
      <c r="B30" s="342">
        <v>10029</v>
      </c>
      <c r="C30" s="343" t="s">
        <v>552</v>
      </c>
      <c r="D30" s="343" t="str">
        <f ca="1">OFFSET('Zip Code Lines_1'!$U$3,MATCH('Zip Code Lines_1'!C30,'Zip Code Lines_1'!$Q$4:$Q$26,0),0)</f>
        <v>NY - Central Park</v>
      </c>
      <c r="E30" s="344">
        <f ca="1">OFFSET('Zip Code Lines_1'!$W$3,MATCH('Zip Code Lines_1'!C30,'Zip Code Lines_1'!$Q$4:$Q$26,0),0)</f>
        <v>17.5</v>
      </c>
      <c r="F30" s="344">
        <f ca="1">OFFSET('Zip Code Lines_1'!$Z$3,MATCH('Zip Code Lines_1'!C30,'Zip Code Lines_1'!$Q$4:$Q$26,0),0)</f>
        <v>88</v>
      </c>
      <c r="G30" s="342">
        <f ca="1">OFFSET('Zip Code Lines_1'!$AC$3,MATCH('Zip Code Lines_1'!C30,'Zip Code Lines_1'!$Q$4:$Q$26,0),0)</f>
        <v>6</v>
      </c>
      <c r="Q30" s="362" t="s">
        <v>525</v>
      </c>
      <c r="R30" s="363" t="s">
        <v>526</v>
      </c>
      <c r="S30" s="364" t="s">
        <v>529</v>
      </c>
    </row>
    <row r="31" spans="2:29" x14ac:dyDescent="0.25">
      <c r="B31" s="342">
        <v>10030</v>
      </c>
      <c r="C31" s="343" t="s">
        <v>552</v>
      </c>
      <c r="D31" s="343" t="str">
        <f ca="1">OFFSET('Zip Code Lines_1'!$U$3,MATCH('Zip Code Lines_1'!C31,'Zip Code Lines_1'!$Q$4:$Q$26,0),0)</f>
        <v>NY - Central Park</v>
      </c>
      <c r="E31" s="344">
        <f ca="1">OFFSET('Zip Code Lines_1'!$W$3,MATCH('Zip Code Lines_1'!C31,'Zip Code Lines_1'!$Q$4:$Q$26,0),0)</f>
        <v>17.5</v>
      </c>
      <c r="F31" s="344">
        <f ca="1">OFFSET('Zip Code Lines_1'!$Z$3,MATCH('Zip Code Lines_1'!C31,'Zip Code Lines_1'!$Q$4:$Q$26,0),0)</f>
        <v>88</v>
      </c>
      <c r="G31" s="342">
        <f ca="1">OFFSET('Zip Code Lines_1'!$AC$3,MATCH('Zip Code Lines_1'!C31,'Zip Code Lines_1'!$Q$4:$Q$26,0),0)</f>
        <v>6</v>
      </c>
      <c r="Q31" s="365" t="s">
        <v>566</v>
      </c>
      <c r="R31" s="365" t="s">
        <v>567</v>
      </c>
      <c r="S31" s="365" t="s">
        <v>531</v>
      </c>
    </row>
    <row r="32" spans="2:29" x14ac:dyDescent="0.25">
      <c r="B32" s="342">
        <v>10031</v>
      </c>
      <c r="C32" s="343" t="s">
        <v>552</v>
      </c>
      <c r="D32" s="343" t="str">
        <f ca="1">OFFSET('Zip Code Lines_1'!$U$3,MATCH('Zip Code Lines_1'!C32,'Zip Code Lines_1'!$Q$4:$Q$26,0),0)</f>
        <v>NY - Central Park</v>
      </c>
      <c r="E32" s="344">
        <f ca="1">OFFSET('Zip Code Lines_1'!$W$3,MATCH('Zip Code Lines_1'!C32,'Zip Code Lines_1'!$Q$4:$Q$26,0),0)</f>
        <v>17.5</v>
      </c>
      <c r="F32" s="344">
        <f ca="1">OFFSET('Zip Code Lines_1'!$Z$3,MATCH('Zip Code Lines_1'!C32,'Zip Code Lines_1'!$Q$4:$Q$26,0),0)</f>
        <v>88</v>
      </c>
      <c r="G32" s="342">
        <f ca="1">OFFSET('Zip Code Lines_1'!$AC$3,MATCH('Zip Code Lines_1'!C32,'Zip Code Lines_1'!$Q$4:$Q$26,0),0)</f>
        <v>6</v>
      </c>
      <c r="Q32" s="365" t="s">
        <v>530</v>
      </c>
      <c r="R32" s="365" t="s">
        <v>531</v>
      </c>
      <c r="S32" s="365" t="s">
        <v>531</v>
      </c>
    </row>
    <row r="33" spans="2:19" x14ac:dyDescent="0.25">
      <c r="B33" s="342">
        <v>10032</v>
      </c>
      <c r="C33" s="343" t="s">
        <v>552</v>
      </c>
      <c r="D33" s="343" t="str">
        <f ca="1">OFFSET('Zip Code Lines_1'!$U$3,MATCH('Zip Code Lines_1'!C33,'Zip Code Lines_1'!$Q$4:$Q$26,0),0)</f>
        <v>NY - Central Park</v>
      </c>
      <c r="E33" s="344">
        <f ca="1">OFFSET('Zip Code Lines_1'!$W$3,MATCH('Zip Code Lines_1'!C33,'Zip Code Lines_1'!$Q$4:$Q$26,0),0)</f>
        <v>17.5</v>
      </c>
      <c r="F33" s="344">
        <f ca="1">OFFSET('Zip Code Lines_1'!$Z$3,MATCH('Zip Code Lines_1'!C33,'Zip Code Lines_1'!$Q$4:$Q$26,0),0)</f>
        <v>88</v>
      </c>
      <c r="G33" s="342">
        <f ca="1">OFFSET('Zip Code Lines_1'!$AC$3,MATCH('Zip Code Lines_1'!C33,'Zip Code Lines_1'!$Q$4:$Q$26,0),0)</f>
        <v>6</v>
      </c>
      <c r="Q33" s="365" t="s">
        <v>534</v>
      </c>
      <c r="R33" s="365" t="s">
        <v>447</v>
      </c>
      <c r="S33" s="365" t="s">
        <v>447</v>
      </c>
    </row>
    <row r="34" spans="2:19" x14ac:dyDescent="0.25">
      <c r="B34" s="342">
        <v>10033</v>
      </c>
      <c r="C34" s="343" t="s">
        <v>552</v>
      </c>
      <c r="D34" s="343" t="str">
        <f ca="1">OFFSET('Zip Code Lines_1'!$U$3,MATCH('Zip Code Lines_1'!C34,'Zip Code Lines_1'!$Q$4:$Q$26,0),0)</f>
        <v>NY - Central Park</v>
      </c>
      <c r="E34" s="344">
        <f ca="1">OFFSET('Zip Code Lines_1'!$W$3,MATCH('Zip Code Lines_1'!C34,'Zip Code Lines_1'!$Q$4:$Q$26,0),0)</f>
        <v>17.5</v>
      </c>
      <c r="F34" s="344">
        <f ca="1">OFFSET('Zip Code Lines_1'!$Z$3,MATCH('Zip Code Lines_1'!C34,'Zip Code Lines_1'!$Q$4:$Q$26,0),0)</f>
        <v>88</v>
      </c>
      <c r="G34" s="342">
        <f ca="1">OFFSET('Zip Code Lines_1'!$AC$3,MATCH('Zip Code Lines_1'!C34,'Zip Code Lines_1'!$Q$4:$Q$26,0),0)</f>
        <v>6</v>
      </c>
      <c r="Q34" s="365" t="s">
        <v>546</v>
      </c>
      <c r="R34" s="365" t="s">
        <v>547</v>
      </c>
      <c r="S34" s="365" t="s">
        <v>447</v>
      </c>
    </row>
    <row r="35" spans="2:19" x14ac:dyDescent="0.25">
      <c r="B35" s="342">
        <v>10034</v>
      </c>
      <c r="C35" s="343" t="s">
        <v>552</v>
      </c>
      <c r="D35" s="343" t="str">
        <f ca="1">OFFSET('Zip Code Lines_1'!$U$3,MATCH('Zip Code Lines_1'!C35,'Zip Code Lines_1'!$Q$4:$Q$26,0),0)</f>
        <v>NY - Central Park</v>
      </c>
      <c r="E35" s="344">
        <f ca="1">OFFSET('Zip Code Lines_1'!$W$3,MATCH('Zip Code Lines_1'!C35,'Zip Code Lines_1'!$Q$4:$Q$26,0),0)</f>
        <v>17.5</v>
      </c>
      <c r="F35" s="344">
        <f ca="1">OFFSET('Zip Code Lines_1'!$Z$3,MATCH('Zip Code Lines_1'!C35,'Zip Code Lines_1'!$Q$4:$Q$26,0),0)</f>
        <v>88</v>
      </c>
      <c r="G35" s="342">
        <f ca="1">OFFSET('Zip Code Lines_1'!$AC$3,MATCH('Zip Code Lines_1'!C35,'Zip Code Lines_1'!$Q$4:$Q$26,0),0)</f>
        <v>6</v>
      </c>
      <c r="Q35" s="365" t="s">
        <v>563</v>
      </c>
      <c r="R35" s="365" t="s">
        <v>551</v>
      </c>
      <c r="S35" s="365" t="s">
        <v>551</v>
      </c>
    </row>
    <row r="36" spans="2:19" x14ac:dyDescent="0.25">
      <c r="B36" s="342">
        <v>10035</v>
      </c>
      <c r="C36" s="343" t="s">
        <v>552</v>
      </c>
      <c r="D36" s="343" t="str">
        <f ca="1">OFFSET('Zip Code Lines_1'!$U$3,MATCH('Zip Code Lines_1'!C36,'Zip Code Lines_1'!$Q$4:$Q$26,0),0)</f>
        <v>NY - Central Park</v>
      </c>
      <c r="E36" s="344">
        <f ca="1">OFFSET('Zip Code Lines_1'!$W$3,MATCH('Zip Code Lines_1'!C36,'Zip Code Lines_1'!$Q$4:$Q$26,0),0)</f>
        <v>17.5</v>
      </c>
      <c r="F36" s="344">
        <f ca="1">OFFSET('Zip Code Lines_1'!$Z$3,MATCH('Zip Code Lines_1'!C36,'Zip Code Lines_1'!$Q$4:$Q$26,0),0)</f>
        <v>88</v>
      </c>
      <c r="G36" s="342">
        <f ca="1">OFFSET('Zip Code Lines_1'!$AC$3,MATCH('Zip Code Lines_1'!C36,'Zip Code Lines_1'!$Q$4:$Q$26,0),0)</f>
        <v>6</v>
      </c>
      <c r="Q36" s="365" t="s">
        <v>538</v>
      </c>
      <c r="R36" s="365" t="s">
        <v>539</v>
      </c>
      <c r="S36" s="365" t="s">
        <v>540</v>
      </c>
    </row>
    <row r="37" spans="2:19" x14ac:dyDescent="0.25">
      <c r="B37" s="342">
        <v>10036</v>
      </c>
      <c r="C37" s="343" t="s">
        <v>552</v>
      </c>
      <c r="D37" s="343" t="str">
        <f ca="1">OFFSET('Zip Code Lines_1'!$U$3,MATCH('Zip Code Lines_1'!C37,'Zip Code Lines_1'!$Q$4:$Q$26,0),0)</f>
        <v>NY - Central Park</v>
      </c>
      <c r="E37" s="344">
        <f ca="1">OFFSET('Zip Code Lines_1'!$W$3,MATCH('Zip Code Lines_1'!C37,'Zip Code Lines_1'!$Q$4:$Q$26,0),0)</f>
        <v>17.5</v>
      </c>
      <c r="F37" s="344">
        <f ca="1">OFFSET('Zip Code Lines_1'!$Z$3,MATCH('Zip Code Lines_1'!C37,'Zip Code Lines_1'!$Q$4:$Q$26,0),0)</f>
        <v>88</v>
      </c>
      <c r="G37" s="342">
        <f ca="1">OFFSET('Zip Code Lines_1'!$AC$3,MATCH('Zip Code Lines_1'!C37,'Zip Code Lines_1'!$Q$4:$Q$26,0),0)</f>
        <v>6</v>
      </c>
      <c r="Q37" s="365" t="s">
        <v>543</v>
      </c>
      <c r="R37" s="365" t="s">
        <v>544</v>
      </c>
      <c r="S37" s="365" t="s">
        <v>531</v>
      </c>
    </row>
    <row r="38" spans="2:19" x14ac:dyDescent="0.25">
      <c r="B38" s="342">
        <v>10037</v>
      </c>
      <c r="C38" s="343" t="s">
        <v>552</v>
      </c>
      <c r="D38" s="343" t="str">
        <f ca="1">OFFSET('Zip Code Lines_1'!$U$3,MATCH('Zip Code Lines_1'!C38,'Zip Code Lines_1'!$Q$4:$Q$26,0),0)</f>
        <v>NY - Central Park</v>
      </c>
      <c r="E38" s="344">
        <f ca="1">OFFSET('Zip Code Lines_1'!$W$3,MATCH('Zip Code Lines_1'!C38,'Zip Code Lines_1'!$Q$4:$Q$26,0),0)</f>
        <v>17.5</v>
      </c>
      <c r="F38" s="344">
        <f ca="1">OFFSET('Zip Code Lines_1'!$Z$3,MATCH('Zip Code Lines_1'!C38,'Zip Code Lines_1'!$Q$4:$Q$26,0),0)</f>
        <v>88</v>
      </c>
      <c r="G38" s="342">
        <f ca="1">OFFSET('Zip Code Lines_1'!$AC$3,MATCH('Zip Code Lines_1'!C38,'Zip Code Lines_1'!$Q$4:$Q$26,0),0)</f>
        <v>6</v>
      </c>
      <c r="Q38" s="365" t="s">
        <v>573</v>
      </c>
      <c r="R38" s="365" t="s">
        <v>574</v>
      </c>
      <c r="S38" s="365" t="s">
        <v>537</v>
      </c>
    </row>
    <row r="39" spans="2:19" x14ac:dyDescent="0.25">
      <c r="B39" s="342">
        <v>10038</v>
      </c>
      <c r="C39" s="343" t="s">
        <v>552</v>
      </c>
      <c r="D39" s="343" t="str">
        <f ca="1">OFFSET('Zip Code Lines_1'!$U$3,MATCH('Zip Code Lines_1'!C39,'Zip Code Lines_1'!$Q$4:$Q$26,0),0)</f>
        <v>NY - Central Park</v>
      </c>
      <c r="E39" s="344">
        <f ca="1">OFFSET('Zip Code Lines_1'!$W$3,MATCH('Zip Code Lines_1'!C39,'Zip Code Lines_1'!$Q$4:$Q$26,0),0)</f>
        <v>17.5</v>
      </c>
      <c r="F39" s="344">
        <f ca="1">OFFSET('Zip Code Lines_1'!$Z$3,MATCH('Zip Code Lines_1'!C39,'Zip Code Lines_1'!$Q$4:$Q$26,0),0)</f>
        <v>88</v>
      </c>
      <c r="G39" s="342">
        <f ca="1">OFFSET('Zip Code Lines_1'!$AC$3,MATCH('Zip Code Lines_1'!C39,'Zip Code Lines_1'!$Q$4:$Q$26,0),0)</f>
        <v>6</v>
      </c>
      <c r="Q39" s="365" t="s">
        <v>532</v>
      </c>
      <c r="R39" s="365" t="s">
        <v>533</v>
      </c>
      <c r="S39" s="365" t="s">
        <v>533</v>
      </c>
    </row>
    <row r="40" spans="2:19" x14ac:dyDescent="0.25">
      <c r="B40" s="342">
        <v>10039</v>
      </c>
      <c r="C40" s="343" t="s">
        <v>552</v>
      </c>
      <c r="D40" s="343" t="str">
        <f ca="1">OFFSET('Zip Code Lines_1'!$U$3,MATCH('Zip Code Lines_1'!C40,'Zip Code Lines_1'!$Q$4:$Q$26,0),0)</f>
        <v>NY - Central Park</v>
      </c>
      <c r="E40" s="344">
        <f ca="1">OFFSET('Zip Code Lines_1'!$W$3,MATCH('Zip Code Lines_1'!C40,'Zip Code Lines_1'!$Q$4:$Q$26,0),0)</f>
        <v>17.5</v>
      </c>
      <c r="F40" s="344">
        <f ca="1">OFFSET('Zip Code Lines_1'!$Z$3,MATCH('Zip Code Lines_1'!C40,'Zip Code Lines_1'!$Q$4:$Q$26,0),0)</f>
        <v>88</v>
      </c>
      <c r="G40" s="342">
        <f ca="1">OFFSET('Zip Code Lines_1'!$AC$3,MATCH('Zip Code Lines_1'!C40,'Zip Code Lines_1'!$Q$4:$Q$26,0),0)</f>
        <v>6</v>
      </c>
      <c r="Q40" s="365" t="s">
        <v>564</v>
      </c>
      <c r="R40" s="365" t="s">
        <v>565</v>
      </c>
      <c r="S40" s="365" t="s">
        <v>565</v>
      </c>
    </row>
    <row r="41" spans="2:19" x14ac:dyDescent="0.25">
      <c r="B41" s="342">
        <v>10040</v>
      </c>
      <c r="C41" s="343" t="s">
        <v>552</v>
      </c>
      <c r="D41" s="343" t="str">
        <f ca="1">OFFSET('Zip Code Lines_1'!$U$3,MATCH('Zip Code Lines_1'!C41,'Zip Code Lines_1'!$Q$4:$Q$26,0),0)</f>
        <v>NY - Central Park</v>
      </c>
      <c r="E41" s="344">
        <f ca="1">OFFSET('Zip Code Lines_1'!$W$3,MATCH('Zip Code Lines_1'!C41,'Zip Code Lines_1'!$Q$4:$Q$26,0),0)</f>
        <v>17.5</v>
      </c>
      <c r="F41" s="344">
        <f ca="1">OFFSET('Zip Code Lines_1'!$Z$3,MATCH('Zip Code Lines_1'!C41,'Zip Code Lines_1'!$Q$4:$Q$26,0),0)</f>
        <v>88</v>
      </c>
      <c r="G41" s="342">
        <f ca="1">OFFSET('Zip Code Lines_1'!$AC$3,MATCH('Zip Code Lines_1'!C41,'Zip Code Lines_1'!$Q$4:$Q$26,0),0)</f>
        <v>6</v>
      </c>
      <c r="Q41" s="365" t="s">
        <v>555</v>
      </c>
      <c r="R41" s="365" t="s">
        <v>556</v>
      </c>
      <c r="S41" s="365" t="s">
        <v>557</v>
      </c>
    </row>
    <row r="42" spans="2:19" x14ac:dyDescent="0.25">
      <c r="B42" s="342">
        <v>10041</v>
      </c>
      <c r="C42" s="343" t="s">
        <v>552</v>
      </c>
      <c r="D42" s="343" t="str">
        <f ca="1">OFFSET('Zip Code Lines_1'!$U$3,MATCH('Zip Code Lines_1'!C42,'Zip Code Lines_1'!$Q$4:$Q$26,0),0)</f>
        <v>NY - Central Park</v>
      </c>
      <c r="E42" s="344">
        <f ca="1">OFFSET('Zip Code Lines_1'!$W$3,MATCH('Zip Code Lines_1'!C42,'Zip Code Lines_1'!$Q$4:$Q$26,0),0)</f>
        <v>17.5</v>
      </c>
      <c r="F42" s="344">
        <f ca="1">OFFSET('Zip Code Lines_1'!$Z$3,MATCH('Zip Code Lines_1'!C42,'Zip Code Lines_1'!$Q$4:$Q$26,0),0)</f>
        <v>88</v>
      </c>
      <c r="G42" s="342">
        <f ca="1">OFFSET('Zip Code Lines_1'!$AC$3,MATCH('Zip Code Lines_1'!C42,'Zip Code Lines_1'!$Q$4:$Q$26,0),0)</f>
        <v>6</v>
      </c>
      <c r="Q42" s="365" t="s">
        <v>558</v>
      </c>
      <c r="R42" s="365" t="s">
        <v>559</v>
      </c>
      <c r="S42" s="365" t="s">
        <v>560</v>
      </c>
    </row>
    <row r="43" spans="2:19" x14ac:dyDescent="0.25">
      <c r="B43" s="342">
        <v>10043</v>
      </c>
      <c r="C43" s="343" t="s">
        <v>552</v>
      </c>
      <c r="D43" s="343" t="str">
        <f ca="1">OFFSET('Zip Code Lines_1'!$U$3,MATCH('Zip Code Lines_1'!C43,'Zip Code Lines_1'!$Q$4:$Q$26,0),0)</f>
        <v>NY - Central Park</v>
      </c>
      <c r="E43" s="344">
        <f ca="1">OFFSET('Zip Code Lines_1'!$W$3,MATCH('Zip Code Lines_1'!C43,'Zip Code Lines_1'!$Q$4:$Q$26,0),0)</f>
        <v>17.5</v>
      </c>
      <c r="F43" s="344">
        <f ca="1">OFFSET('Zip Code Lines_1'!$Z$3,MATCH('Zip Code Lines_1'!C43,'Zip Code Lines_1'!$Q$4:$Q$26,0),0)</f>
        <v>88</v>
      </c>
      <c r="G43" s="342">
        <f ca="1">OFFSET('Zip Code Lines_1'!$AC$3,MATCH('Zip Code Lines_1'!C43,'Zip Code Lines_1'!$Q$4:$Q$26,0),0)</f>
        <v>6</v>
      </c>
      <c r="Q43" s="365" t="s">
        <v>545</v>
      </c>
      <c r="R43" s="365" t="s">
        <v>537</v>
      </c>
      <c r="S43" s="365" t="s">
        <v>537</v>
      </c>
    </row>
    <row r="44" spans="2:19" x14ac:dyDescent="0.25">
      <c r="B44" s="342">
        <v>10044</v>
      </c>
      <c r="C44" s="343" t="s">
        <v>552</v>
      </c>
      <c r="D44" s="343" t="str">
        <f ca="1">OFFSET('Zip Code Lines_1'!$U$3,MATCH('Zip Code Lines_1'!C44,'Zip Code Lines_1'!$Q$4:$Q$26,0),0)</f>
        <v>NY - Central Park</v>
      </c>
      <c r="E44" s="344">
        <f ca="1">OFFSET('Zip Code Lines_1'!$W$3,MATCH('Zip Code Lines_1'!C44,'Zip Code Lines_1'!$Q$4:$Q$26,0),0)</f>
        <v>17.5</v>
      </c>
      <c r="F44" s="344">
        <f ca="1">OFFSET('Zip Code Lines_1'!$Z$3,MATCH('Zip Code Lines_1'!C44,'Zip Code Lines_1'!$Q$4:$Q$26,0),0)</f>
        <v>88</v>
      </c>
      <c r="G44" s="342">
        <f ca="1">OFFSET('Zip Code Lines_1'!$AC$3,MATCH('Zip Code Lines_1'!C44,'Zip Code Lines_1'!$Q$4:$Q$26,0),0)</f>
        <v>6</v>
      </c>
      <c r="Q44" s="365" t="s">
        <v>548</v>
      </c>
      <c r="R44" s="365" t="s">
        <v>449</v>
      </c>
      <c r="S44" s="365" t="s">
        <v>449</v>
      </c>
    </row>
    <row r="45" spans="2:19" x14ac:dyDescent="0.25">
      <c r="B45" s="342">
        <v>10045</v>
      </c>
      <c r="C45" s="343" t="s">
        <v>552</v>
      </c>
      <c r="D45" s="343" t="str">
        <f ca="1">OFFSET('Zip Code Lines_1'!$U$3,MATCH('Zip Code Lines_1'!C45,'Zip Code Lines_1'!$Q$4:$Q$26,0),0)</f>
        <v>NY - Central Park</v>
      </c>
      <c r="E45" s="344">
        <f ca="1">OFFSET('Zip Code Lines_1'!$W$3,MATCH('Zip Code Lines_1'!C45,'Zip Code Lines_1'!$Q$4:$Q$26,0),0)</f>
        <v>17.5</v>
      </c>
      <c r="F45" s="344">
        <f ca="1">OFFSET('Zip Code Lines_1'!$Z$3,MATCH('Zip Code Lines_1'!C45,'Zip Code Lines_1'!$Q$4:$Q$26,0),0)</f>
        <v>88</v>
      </c>
      <c r="G45" s="342">
        <f ca="1">OFFSET('Zip Code Lines_1'!$AC$3,MATCH('Zip Code Lines_1'!C45,'Zip Code Lines_1'!$Q$4:$Q$26,0),0)</f>
        <v>6</v>
      </c>
      <c r="Q45" s="365" t="s">
        <v>552</v>
      </c>
      <c r="R45" s="365" t="s">
        <v>553</v>
      </c>
      <c r="S45" s="365" t="s">
        <v>554</v>
      </c>
    </row>
    <row r="46" spans="2:19" x14ac:dyDescent="0.25">
      <c r="B46" s="342">
        <v>10055</v>
      </c>
      <c r="C46" s="343" t="s">
        <v>552</v>
      </c>
      <c r="D46" s="343" t="str">
        <f ca="1">OFFSET('Zip Code Lines_1'!$U$3,MATCH('Zip Code Lines_1'!C46,'Zip Code Lines_1'!$Q$4:$Q$26,0),0)</f>
        <v>NY - Central Park</v>
      </c>
      <c r="E46" s="344">
        <f ca="1">OFFSET('Zip Code Lines_1'!$W$3,MATCH('Zip Code Lines_1'!C46,'Zip Code Lines_1'!$Q$4:$Q$26,0),0)</f>
        <v>17.5</v>
      </c>
      <c r="F46" s="344">
        <f ca="1">OFFSET('Zip Code Lines_1'!$Z$3,MATCH('Zip Code Lines_1'!C46,'Zip Code Lines_1'!$Q$4:$Q$26,0),0)</f>
        <v>88</v>
      </c>
      <c r="G46" s="342">
        <f ca="1">OFFSET('Zip Code Lines_1'!$AC$3,MATCH('Zip Code Lines_1'!C46,'Zip Code Lines_1'!$Q$4:$Q$26,0),0)</f>
        <v>6</v>
      </c>
      <c r="Q46" s="365" t="s">
        <v>561</v>
      </c>
      <c r="R46" s="365" t="s">
        <v>562</v>
      </c>
      <c r="S46" s="365" t="s">
        <v>447</v>
      </c>
    </row>
    <row r="47" spans="2:19" x14ac:dyDescent="0.25">
      <c r="B47" s="342">
        <v>10060</v>
      </c>
      <c r="C47" s="343" t="s">
        <v>552</v>
      </c>
      <c r="D47" s="343" t="str">
        <f ca="1">OFFSET('Zip Code Lines_1'!$U$3,MATCH('Zip Code Lines_1'!C47,'Zip Code Lines_1'!$Q$4:$Q$26,0),0)</f>
        <v>NY - Central Park</v>
      </c>
      <c r="E47" s="344">
        <f ca="1">OFFSET('Zip Code Lines_1'!$W$3,MATCH('Zip Code Lines_1'!C47,'Zip Code Lines_1'!$Q$4:$Q$26,0),0)</f>
        <v>17.5</v>
      </c>
      <c r="F47" s="344">
        <f ca="1">OFFSET('Zip Code Lines_1'!$Z$3,MATCH('Zip Code Lines_1'!C47,'Zip Code Lines_1'!$Q$4:$Q$26,0),0)</f>
        <v>88</v>
      </c>
      <c r="G47" s="342">
        <f ca="1">OFFSET('Zip Code Lines_1'!$AC$3,MATCH('Zip Code Lines_1'!C47,'Zip Code Lines_1'!$Q$4:$Q$26,0),0)</f>
        <v>6</v>
      </c>
      <c r="Q47" s="365" t="s">
        <v>569</v>
      </c>
      <c r="R47" s="365" t="s">
        <v>570</v>
      </c>
      <c r="S47" s="365" t="s">
        <v>540</v>
      </c>
    </row>
    <row r="48" spans="2:19" x14ac:dyDescent="0.25">
      <c r="B48" s="342">
        <v>10065</v>
      </c>
      <c r="C48" s="343" t="s">
        <v>552</v>
      </c>
      <c r="D48" s="343" t="str">
        <f ca="1">OFFSET('Zip Code Lines_1'!$U$3,MATCH('Zip Code Lines_1'!C48,'Zip Code Lines_1'!$Q$4:$Q$26,0),0)</f>
        <v>NY - Central Park</v>
      </c>
      <c r="E48" s="344">
        <f ca="1">OFFSET('Zip Code Lines_1'!$W$3,MATCH('Zip Code Lines_1'!C48,'Zip Code Lines_1'!$Q$4:$Q$26,0),0)</f>
        <v>17.5</v>
      </c>
      <c r="F48" s="344">
        <f ca="1">OFFSET('Zip Code Lines_1'!$Z$3,MATCH('Zip Code Lines_1'!C48,'Zip Code Lines_1'!$Q$4:$Q$26,0),0)</f>
        <v>88</v>
      </c>
      <c r="G48" s="342">
        <f ca="1">OFFSET('Zip Code Lines_1'!$AC$3,MATCH('Zip Code Lines_1'!C48,'Zip Code Lines_1'!$Q$4:$Q$26,0),0)</f>
        <v>6</v>
      </c>
      <c r="Q48" s="365" t="s">
        <v>535</v>
      </c>
      <c r="R48" s="365" t="s">
        <v>536</v>
      </c>
      <c r="S48" s="365" t="s">
        <v>537</v>
      </c>
    </row>
    <row r="49" spans="2:19" x14ac:dyDescent="0.25">
      <c r="B49" s="342">
        <v>10069</v>
      </c>
      <c r="C49" s="343" t="s">
        <v>552</v>
      </c>
      <c r="D49" s="343" t="str">
        <f ca="1">OFFSET('Zip Code Lines_1'!$U$3,MATCH('Zip Code Lines_1'!C49,'Zip Code Lines_1'!$Q$4:$Q$26,0),0)</f>
        <v>NY - Central Park</v>
      </c>
      <c r="E49" s="344">
        <f ca="1">OFFSET('Zip Code Lines_1'!$W$3,MATCH('Zip Code Lines_1'!C49,'Zip Code Lines_1'!$Q$4:$Q$26,0),0)</f>
        <v>17.5</v>
      </c>
      <c r="F49" s="344">
        <f ca="1">OFFSET('Zip Code Lines_1'!$Z$3,MATCH('Zip Code Lines_1'!C49,'Zip Code Lines_1'!$Q$4:$Q$26,0),0)</f>
        <v>88</v>
      </c>
      <c r="G49" s="342">
        <f ca="1">OFFSET('Zip Code Lines_1'!$AC$3,MATCH('Zip Code Lines_1'!C49,'Zip Code Lines_1'!$Q$4:$Q$26,0),0)</f>
        <v>6</v>
      </c>
      <c r="Q49" s="365" t="s">
        <v>549</v>
      </c>
      <c r="R49" s="365" t="s">
        <v>550</v>
      </c>
      <c r="S49" s="365" t="s">
        <v>551</v>
      </c>
    </row>
    <row r="50" spans="2:19" x14ac:dyDescent="0.25">
      <c r="B50" s="342">
        <v>10075</v>
      </c>
      <c r="C50" s="343" t="s">
        <v>552</v>
      </c>
      <c r="D50" s="343" t="str">
        <f ca="1">OFFSET('Zip Code Lines_1'!$U$3,MATCH('Zip Code Lines_1'!C50,'Zip Code Lines_1'!$Q$4:$Q$26,0),0)</f>
        <v>NY - Central Park</v>
      </c>
      <c r="E50" s="344">
        <f ca="1">OFFSET('Zip Code Lines_1'!$W$3,MATCH('Zip Code Lines_1'!C50,'Zip Code Lines_1'!$Q$4:$Q$26,0),0)</f>
        <v>17.5</v>
      </c>
      <c r="F50" s="344">
        <f ca="1">OFFSET('Zip Code Lines_1'!$Z$3,MATCH('Zip Code Lines_1'!C50,'Zip Code Lines_1'!$Q$4:$Q$26,0),0)</f>
        <v>88</v>
      </c>
      <c r="G50" s="342">
        <f ca="1">OFFSET('Zip Code Lines_1'!$AC$3,MATCH('Zip Code Lines_1'!C50,'Zip Code Lines_1'!$Q$4:$Q$26,0),0)</f>
        <v>6</v>
      </c>
      <c r="Q50" s="365" t="s">
        <v>568</v>
      </c>
      <c r="R50" s="365" t="s">
        <v>540</v>
      </c>
      <c r="S50" s="365" t="s">
        <v>540</v>
      </c>
    </row>
    <row r="51" spans="2:19" x14ac:dyDescent="0.25">
      <c r="B51" s="342">
        <v>10080</v>
      </c>
      <c r="C51" s="343" t="s">
        <v>552</v>
      </c>
      <c r="D51" s="343" t="str">
        <f ca="1">OFFSET('Zip Code Lines_1'!$U$3,MATCH('Zip Code Lines_1'!C51,'Zip Code Lines_1'!$Q$4:$Q$26,0),0)</f>
        <v>NY - Central Park</v>
      </c>
      <c r="E51" s="344">
        <f ca="1">OFFSET('Zip Code Lines_1'!$W$3,MATCH('Zip Code Lines_1'!C51,'Zip Code Lines_1'!$Q$4:$Q$26,0),0)</f>
        <v>17.5</v>
      </c>
      <c r="F51" s="344">
        <f ca="1">OFFSET('Zip Code Lines_1'!$Z$3,MATCH('Zip Code Lines_1'!C51,'Zip Code Lines_1'!$Q$4:$Q$26,0),0)</f>
        <v>88</v>
      </c>
      <c r="G51" s="342">
        <f ca="1">OFFSET('Zip Code Lines_1'!$AC$3,MATCH('Zip Code Lines_1'!C51,'Zip Code Lines_1'!$Q$4:$Q$26,0),0)</f>
        <v>6</v>
      </c>
      <c r="Q51" s="365" t="s">
        <v>571</v>
      </c>
      <c r="R51" s="365" t="s">
        <v>572</v>
      </c>
      <c r="S51" s="365" t="s">
        <v>540</v>
      </c>
    </row>
    <row r="52" spans="2:19" x14ac:dyDescent="0.25">
      <c r="B52" s="342">
        <v>10081</v>
      </c>
      <c r="C52" s="343" t="s">
        <v>552</v>
      </c>
      <c r="D52" s="343" t="str">
        <f ca="1">OFFSET('Zip Code Lines_1'!$U$3,MATCH('Zip Code Lines_1'!C52,'Zip Code Lines_1'!$Q$4:$Q$26,0),0)</f>
        <v>NY - Central Park</v>
      </c>
      <c r="E52" s="344">
        <f ca="1">OFFSET('Zip Code Lines_1'!$W$3,MATCH('Zip Code Lines_1'!C52,'Zip Code Lines_1'!$Q$4:$Q$26,0),0)</f>
        <v>17.5</v>
      </c>
      <c r="F52" s="344">
        <f ca="1">OFFSET('Zip Code Lines_1'!$Z$3,MATCH('Zip Code Lines_1'!C52,'Zip Code Lines_1'!$Q$4:$Q$26,0),0)</f>
        <v>88</v>
      </c>
      <c r="G52" s="342">
        <f ca="1">OFFSET('Zip Code Lines_1'!$AC$3,MATCH('Zip Code Lines_1'!C52,'Zip Code Lines_1'!$Q$4:$Q$26,0),0)</f>
        <v>6</v>
      </c>
      <c r="Q52" s="365" t="s">
        <v>575</v>
      </c>
      <c r="R52" s="365" t="s">
        <v>576</v>
      </c>
      <c r="S52" s="365" t="s">
        <v>577</v>
      </c>
    </row>
    <row r="53" spans="2:19" x14ac:dyDescent="0.25">
      <c r="B53" s="342">
        <v>10087</v>
      </c>
      <c r="C53" s="343" t="s">
        <v>552</v>
      </c>
      <c r="D53" s="343" t="str">
        <f ca="1">OFFSET('Zip Code Lines_1'!$U$3,MATCH('Zip Code Lines_1'!C53,'Zip Code Lines_1'!$Q$4:$Q$26,0),0)</f>
        <v>NY - Central Park</v>
      </c>
      <c r="E53" s="344">
        <f ca="1">OFFSET('Zip Code Lines_1'!$W$3,MATCH('Zip Code Lines_1'!C53,'Zip Code Lines_1'!$Q$4:$Q$26,0),0)</f>
        <v>17.5</v>
      </c>
      <c r="F53" s="344">
        <f ca="1">OFFSET('Zip Code Lines_1'!$Z$3,MATCH('Zip Code Lines_1'!C53,'Zip Code Lines_1'!$Q$4:$Q$26,0),0)</f>
        <v>88</v>
      </c>
      <c r="G53" s="342">
        <f ca="1">OFFSET('Zip Code Lines_1'!$AC$3,MATCH('Zip Code Lines_1'!C53,'Zip Code Lines_1'!$Q$4:$Q$26,0),0)</f>
        <v>6</v>
      </c>
      <c r="Q53" s="365" t="s">
        <v>541</v>
      </c>
      <c r="R53" s="365" t="s">
        <v>542</v>
      </c>
      <c r="S53" s="365" t="s">
        <v>540</v>
      </c>
    </row>
    <row r="54" spans="2:19" x14ac:dyDescent="0.25">
      <c r="B54" s="342">
        <v>10090</v>
      </c>
      <c r="C54" s="343" t="s">
        <v>552</v>
      </c>
      <c r="D54" s="343" t="str">
        <f ca="1">OFFSET('Zip Code Lines_1'!$U$3,MATCH('Zip Code Lines_1'!C54,'Zip Code Lines_1'!$Q$4:$Q$26,0),0)</f>
        <v>NY - Central Park</v>
      </c>
      <c r="E54" s="344">
        <f ca="1">OFFSET('Zip Code Lines_1'!$W$3,MATCH('Zip Code Lines_1'!C54,'Zip Code Lines_1'!$Q$4:$Q$26,0),0)</f>
        <v>17.5</v>
      </c>
      <c r="F54" s="344">
        <f ca="1">OFFSET('Zip Code Lines_1'!$Z$3,MATCH('Zip Code Lines_1'!C54,'Zip Code Lines_1'!$Q$4:$Q$26,0),0)</f>
        <v>88</v>
      </c>
      <c r="G54" s="342">
        <f ca="1">OFFSET('Zip Code Lines_1'!$AC$3,MATCH('Zip Code Lines_1'!C54,'Zip Code Lines_1'!$Q$4:$Q$26,0),0)</f>
        <v>6</v>
      </c>
    </row>
    <row r="55" spans="2:19" x14ac:dyDescent="0.25">
      <c r="B55" s="342">
        <v>10101</v>
      </c>
      <c r="C55" s="343" t="s">
        <v>552</v>
      </c>
      <c r="D55" s="343" t="str">
        <f ca="1">OFFSET('Zip Code Lines_1'!$U$3,MATCH('Zip Code Lines_1'!C55,'Zip Code Lines_1'!$Q$4:$Q$26,0),0)</f>
        <v>NY - Central Park</v>
      </c>
      <c r="E55" s="344">
        <f ca="1">OFFSET('Zip Code Lines_1'!$W$3,MATCH('Zip Code Lines_1'!C55,'Zip Code Lines_1'!$Q$4:$Q$26,0),0)</f>
        <v>17.5</v>
      </c>
      <c r="F55" s="344">
        <f ca="1">OFFSET('Zip Code Lines_1'!$Z$3,MATCH('Zip Code Lines_1'!C55,'Zip Code Lines_1'!$Q$4:$Q$26,0),0)</f>
        <v>88</v>
      </c>
      <c r="G55" s="342">
        <f ca="1">OFFSET('Zip Code Lines_1'!$AC$3,MATCH('Zip Code Lines_1'!C55,'Zip Code Lines_1'!$Q$4:$Q$26,0),0)</f>
        <v>6</v>
      </c>
    </row>
    <row r="56" spans="2:19" x14ac:dyDescent="0.25">
      <c r="B56" s="342">
        <v>10102</v>
      </c>
      <c r="C56" s="343" t="s">
        <v>552</v>
      </c>
      <c r="D56" s="343" t="str">
        <f ca="1">OFFSET('Zip Code Lines_1'!$U$3,MATCH('Zip Code Lines_1'!C56,'Zip Code Lines_1'!$Q$4:$Q$26,0),0)</f>
        <v>NY - Central Park</v>
      </c>
      <c r="E56" s="344">
        <f ca="1">OFFSET('Zip Code Lines_1'!$W$3,MATCH('Zip Code Lines_1'!C56,'Zip Code Lines_1'!$Q$4:$Q$26,0),0)</f>
        <v>17.5</v>
      </c>
      <c r="F56" s="344">
        <f ca="1">OFFSET('Zip Code Lines_1'!$Z$3,MATCH('Zip Code Lines_1'!C56,'Zip Code Lines_1'!$Q$4:$Q$26,0),0)</f>
        <v>88</v>
      </c>
      <c r="G56" s="342">
        <f ca="1">OFFSET('Zip Code Lines_1'!$AC$3,MATCH('Zip Code Lines_1'!C56,'Zip Code Lines_1'!$Q$4:$Q$26,0),0)</f>
        <v>6</v>
      </c>
    </row>
    <row r="57" spans="2:19" x14ac:dyDescent="0.25">
      <c r="B57" s="342">
        <v>10103</v>
      </c>
      <c r="C57" s="343" t="s">
        <v>552</v>
      </c>
      <c r="D57" s="343" t="str">
        <f ca="1">OFFSET('Zip Code Lines_1'!$U$3,MATCH('Zip Code Lines_1'!C57,'Zip Code Lines_1'!$Q$4:$Q$26,0),0)</f>
        <v>NY - Central Park</v>
      </c>
      <c r="E57" s="344">
        <f ca="1">OFFSET('Zip Code Lines_1'!$W$3,MATCH('Zip Code Lines_1'!C57,'Zip Code Lines_1'!$Q$4:$Q$26,0),0)</f>
        <v>17.5</v>
      </c>
      <c r="F57" s="344">
        <f ca="1">OFFSET('Zip Code Lines_1'!$Z$3,MATCH('Zip Code Lines_1'!C57,'Zip Code Lines_1'!$Q$4:$Q$26,0),0)</f>
        <v>88</v>
      </c>
      <c r="G57" s="342">
        <f ca="1">OFFSET('Zip Code Lines_1'!$AC$3,MATCH('Zip Code Lines_1'!C57,'Zip Code Lines_1'!$Q$4:$Q$26,0),0)</f>
        <v>6</v>
      </c>
    </row>
    <row r="58" spans="2:19" x14ac:dyDescent="0.25">
      <c r="B58" s="342">
        <v>10104</v>
      </c>
      <c r="C58" s="343" t="s">
        <v>552</v>
      </c>
      <c r="D58" s="343" t="str">
        <f ca="1">OFFSET('Zip Code Lines_1'!$U$3,MATCH('Zip Code Lines_1'!C58,'Zip Code Lines_1'!$Q$4:$Q$26,0),0)</f>
        <v>NY - Central Park</v>
      </c>
      <c r="E58" s="344">
        <f ca="1">OFFSET('Zip Code Lines_1'!$W$3,MATCH('Zip Code Lines_1'!C58,'Zip Code Lines_1'!$Q$4:$Q$26,0),0)</f>
        <v>17.5</v>
      </c>
      <c r="F58" s="344">
        <f ca="1">OFFSET('Zip Code Lines_1'!$Z$3,MATCH('Zip Code Lines_1'!C58,'Zip Code Lines_1'!$Q$4:$Q$26,0),0)</f>
        <v>88</v>
      </c>
      <c r="G58" s="342">
        <f ca="1">OFFSET('Zip Code Lines_1'!$AC$3,MATCH('Zip Code Lines_1'!C58,'Zip Code Lines_1'!$Q$4:$Q$26,0),0)</f>
        <v>6</v>
      </c>
    </row>
    <row r="59" spans="2:19" x14ac:dyDescent="0.25">
      <c r="B59" s="342">
        <v>10105</v>
      </c>
      <c r="C59" s="343" t="s">
        <v>552</v>
      </c>
      <c r="D59" s="343" t="str">
        <f ca="1">OFFSET('Zip Code Lines_1'!$U$3,MATCH('Zip Code Lines_1'!C59,'Zip Code Lines_1'!$Q$4:$Q$26,0),0)</f>
        <v>NY - Central Park</v>
      </c>
      <c r="E59" s="344">
        <f ca="1">OFFSET('Zip Code Lines_1'!$W$3,MATCH('Zip Code Lines_1'!C59,'Zip Code Lines_1'!$Q$4:$Q$26,0),0)</f>
        <v>17.5</v>
      </c>
      <c r="F59" s="344">
        <f ca="1">OFFSET('Zip Code Lines_1'!$Z$3,MATCH('Zip Code Lines_1'!C59,'Zip Code Lines_1'!$Q$4:$Q$26,0),0)</f>
        <v>88</v>
      </c>
      <c r="G59" s="342">
        <f ca="1">OFFSET('Zip Code Lines_1'!$AC$3,MATCH('Zip Code Lines_1'!C59,'Zip Code Lines_1'!$Q$4:$Q$26,0),0)</f>
        <v>6</v>
      </c>
    </row>
    <row r="60" spans="2:19" x14ac:dyDescent="0.25">
      <c r="B60" s="342">
        <v>10106</v>
      </c>
      <c r="C60" s="343" t="s">
        <v>552</v>
      </c>
      <c r="D60" s="343" t="str">
        <f ca="1">OFFSET('Zip Code Lines_1'!$U$3,MATCH('Zip Code Lines_1'!C60,'Zip Code Lines_1'!$Q$4:$Q$26,0),0)</f>
        <v>NY - Central Park</v>
      </c>
      <c r="E60" s="344">
        <f ca="1">OFFSET('Zip Code Lines_1'!$W$3,MATCH('Zip Code Lines_1'!C60,'Zip Code Lines_1'!$Q$4:$Q$26,0),0)</f>
        <v>17.5</v>
      </c>
      <c r="F60" s="344">
        <f ca="1">OFFSET('Zip Code Lines_1'!$Z$3,MATCH('Zip Code Lines_1'!C60,'Zip Code Lines_1'!$Q$4:$Q$26,0),0)</f>
        <v>88</v>
      </c>
      <c r="G60" s="342">
        <f ca="1">OFFSET('Zip Code Lines_1'!$AC$3,MATCH('Zip Code Lines_1'!C60,'Zip Code Lines_1'!$Q$4:$Q$26,0),0)</f>
        <v>6</v>
      </c>
    </row>
    <row r="61" spans="2:19" x14ac:dyDescent="0.25">
      <c r="B61" s="342">
        <v>10107</v>
      </c>
      <c r="C61" s="343" t="s">
        <v>552</v>
      </c>
      <c r="D61" s="343" t="str">
        <f ca="1">OFFSET('Zip Code Lines_1'!$U$3,MATCH('Zip Code Lines_1'!C61,'Zip Code Lines_1'!$Q$4:$Q$26,0),0)</f>
        <v>NY - Central Park</v>
      </c>
      <c r="E61" s="344">
        <f ca="1">OFFSET('Zip Code Lines_1'!$W$3,MATCH('Zip Code Lines_1'!C61,'Zip Code Lines_1'!$Q$4:$Q$26,0),0)</f>
        <v>17.5</v>
      </c>
      <c r="F61" s="344">
        <f ca="1">OFFSET('Zip Code Lines_1'!$Z$3,MATCH('Zip Code Lines_1'!C61,'Zip Code Lines_1'!$Q$4:$Q$26,0),0)</f>
        <v>88</v>
      </c>
      <c r="G61" s="342">
        <f ca="1">OFFSET('Zip Code Lines_1'!$AC$3,MATCH('Zip Code Lines_1'!C61,'Zip Code Lines_1'!$Q$4:$Q$26,0),0)</f>
        <v>6</v>
      </c>
    </row>
    <row r="62" spans="2:19" x14ac:dyDescent="0.25">
      <c r="B62" s="342">
        <v>10108</v>
      </c>
      <c r="C62" s="343" t="s">
        <v>552</v>
      </c>
      <c r="D62" s="343" t="str">
        <f ca="1">OFFSET('Zip Code Lines_1'!$U$3,MATCH('Zip Code Lines_1'!C62,'Zip Code Lines_1'!$Q$4:$Q$26,0),0)</f>
        <v>NY - Central Park</v>
      </c>
      <c r="E62" s="344">
        <f ca="1">OFFSET('Zip Code Lines_1'!$W$3,MATCH('Zip Code Lines_1'!C62,'Zip Code Lines_1'!$Q$4:$Q$26,0),0)</f>
        <v>17.5</v>
      </c>
      <c r="F62" s="344">
        <f ca="1">OFFSET('Zip Code Lines_1'!$Z$3,MATCH('Zip Code Lines_1'!C62,'Zip Code Lines_1'!$Q$4:$Q$26,0),0)</f>
        <v>88</v>
      </c>
      <c r="G62" s="342">
        <f ca="1">OFFSET('Zip Code Lines_1'!$AC$3,MATCH('Zip Code Lines_1'!C62,'Zip Code Lines_1'!$Q$4:$Q$26,0),0)</f>
        <v>6</v>
      </c>
    </row>
    <row r="63" spans="2:19" x14ac:dyDescent="0.25">
      <c r="B63" s="342">
        <v>10109</v>
      </c>
      <c r="C63" s="343" t="s">
        <v>552</v>
      </c>
      <c r="D63" s="343" t="str">
        <f ca="1">OFFSET('Zip Code Lines_1'!$U$3,MATCH('Zip Code Lines_1'!C63,'Zip Code Lines_1'!$Q$4:$Q$26,0),0)</f>
        <v>NY - Central Park</v>
      </c>
      <c r="E63" s="344">
        <f ca="1">OFFSET('Zip Code Lines_1'!$W$3,MATCH('Zip Code Lines_1'!C63,'Zip Code Lines_1'!$Q$4:$Q$26,0),0)</f>
        <v>17.5</v>
      </c>
      <c r="F63" s="344">
        <f ca="1">OFFSET('Zip Code Lines_1'!$Z$3,MATCH('Zip Code Lines_1'!C63,'Zip Code Lines_1'!$Q$4:$Q$26,0),0)</f>
        <v>88</v>
      </c>
      <c r="G63" s="342">
        <f ca="1">OFFSET('Zip Code Lines_1'!$AC$3,MATCH('Zip Code Lines_1'!C63,'Zip Code Lines_1'!$Q$4:$Q$26,0),0)</f>
        <v>6</v>
      </c>
    </row>
    <row r="64" spans="2:19" x14ac:dyDescent="0.25">
      <c r="B64" s="342">
        <v>10110</v>
      </c>
      <c r="C64" s="343" t="s">
        <v>552</v>
      </c>
      <c r="D64" s="343" t="str">
        <f ca="1">OFFSET('Zip Code Lines_1'!$U$3,MATCH('Zip Code Lines_1'!C64,'Zip Code Lines_1'!$Q$4:$Q$26,0),0)</f>
        <v>NY - Central Park</v>
      </c>
      <c r="E64" s="344">
        <f ca="1">OFFSET('Zip Code Lines_1'!$W$3,MATCH('Zip Code Lines_1'!C64,'Zip Code Lines_1'!$Q$4:$Q$26,0),0)</f>
        <v>17.5</v>
      </c>
      <c r="F64" s="344">
        <f ca="1">OFFSET('Zip Code Lines_1'!$Z$3,MATCH('Zip Code Lines_1'!C64,'Zip Code Lines_1'!$Q$4:$Q$26,0),0)</f>
        <v>88</v>
      </c>
      <c r="G64" s="342">
        <f ca="1">OFFSET('Zip Code Lines_1'!$AC$3,MATCH('Zip Code Lines_1'!C64,'Zip Code Lines_1'!$Q$4:$Q$26,0),0)</f>
        <v>6</v>
      </c>
    </row>
    <row r="65" spans="2:7" x14ac:dyDescent="0.25">
      <c r="B65" s="342">
        <v>10111</v>
      </c>
      <c r="C65" s="343" t="s">
        <v>552</v>
      </c>
      <c r="D65" s="343" t="str">
        <f ca="1">OFFSET('Zip Code Lines_1'!$U$3,MATCH('Zip Code Lines_1'!C65,'Zip Code Lines_1'!$Q$4:$Q$26,0),0)</f>
        <v>NY - Central Park</v>
      </c>
      <c r="E65" s="344">
        <f ca="1">OFFSET('Zip Code Lines_1'!$W$3,MATCH('Zip Code Lines_1'!C65,'Zip Code Lines_1'!$Q$4:$Q$26,0),0)</f>
        <v>17.5</v>
      </c>
      <c r="F65" s="344">
        <f ca="1">OFFSET('Zip Code Lines_1'!$Z$3,MATCH('Zip Code Lines_1'!C65,'Zip Code Lines_1'!$Q$4:$Q$26,0),0)</f>
        <v>88</v>
      </c>
      <c r="G65" s="342">
        <f ca="1">OFFSET('Zip Code Lines_1'!$AC$3,MATCH('Zip Code Lines_1'!C65,'Zip Code Lines_1'!$Q$4:$Q$26,0),0)</f>
        <v>6</v>
      </c>
    </row>
    <row r="66" spans="2:7" x14ac:dyDescent="0.25">
      <c r="B66" s="342">
        <v>10112</v>
      </c>
      <c r="C66" s="343" t="s">
        <v>552</v>
      </c>
      <c r="D66" s="343" t="str">
        <f ca="1">OFFSET('Zip Code Lines_1'!$U$3,MATCH('Zip Code Lines_1'!C66,'Zip Code Lines_1'!$Q$4:$Q$26,0),0)</f>
        <v>NY - Central Park</v>
      </c>
      <c r="E66" s="344">
        <f ca="1">OFFSET('Zip Code Lines_1'!$W$3,MATCH('Zip Code Lines_1'!C66,'Zip Code Lines_1'!$Q$4:$Q$26,0),0)</f>
        <v>17.5</v>
      </c>
      <c r="F66" s="344">
        <f ca="1">OFFSET('Zip Code Lines_1'!$Z$3,MATCH('Zip Code Lines_1'!C66,'Zip Code Lines_1'!$Q$4:$Q$26,0),0)</f>
        <v>88</v>
      </c>
      <c r="G66" s="342">
        <f ca="1">OFFSET('Zip Code Lines_1'!$AC$3,MATCH('Zip Code Lines_1'!C66,'Zip Code Lines_1'!$Q$4:$Q$26,0),0)</f>
        <v>6</v>
      </c>
    </row>
    <row r="67" spans="2:7" x14ac:dyDescent="0.25">
      <c r="B67" s="342">
        <v>10113</v>
      </c>
      <c r="C67" s="343" t="s">
        <v>552</v>
      </c>
      <c r="D67" s="343" t="str">
        <f ca="1">OFFSET('Zip Code Lines_1'!$U$3,MATCH('Zip Code Lines_1'!C67,'Zip Code Lines_1'!$Q$4:$Q$26,0),0)</f>
        <v>NY - Central Park</v>
      </c>
      <c r="E67" s="344">
        <f ca="1">OFFSET('Zip Code Lines_1'!$W$3,MATCH('Zip Code Lines_1'!C67,'Zip Code Lines_1'!$Q$4:$Q$26,0),0)</f>
        <v>17.5</v>
      </c>
      <c r="F67" s="344">
        <f ca="1">OFFSET('Zip Code Lines_1'!$Z$3,MATCH('Zip Code Lines_1'!C67,'Zip Code Lines_1'!$Q$4:$Q$26,0),0)</f>
        <v>88</v>
      </c>
      <c r="G67" s="342">
        <f ca="1">OFFSET('Zip Code Lines_1'!$AC$3,MATCH('Zip Code Lines_1'!C67,'Zip Code Lines_1'!$Q$4:$Q$26,0),0)</f>
        <v>6</v>
      </c>
    </row>
    <row r="68" spans="2:7" x14ac:dyDescent="0.25">
      <c r="B68" s="342">
        <v>10114</v>
      </c>
      <c r="C68" s="343" t="s">
        <v>552</v>
      </c>
      <c r="D68" s="343" t="str">
        <f ca="1">OFFSET('Zip Code Lines_1'!$U$3,MATCH('Zip Code Lines_1'!C68,'Zip Code Lines_1'!$Q$4:$Q$26,0),0)</f>
        <v>NY - Central Park</v>
      </c>
      <c r="E68" s="344">
        <f ca="1">OFFSET('Zip Code Lines_1'!$W$3,MATCH('Zip Code Lines_1'!C68,'Zip Code Lines_1'!$Q$4:$Q$26,0),0)</f>
        <v>17.5</v>
      </c>
      <c r="F68" s="344">
        <f ca="1">OFFSET('Zip Code Lines_1'!$Z$3,MATCH('Zip Code Lines_1'!C68,'Zip Code Lines_1'!$Q$4:$Q$26,0),0)</f>
        <v>88</v>
      </c>
      <c r="G68" s="342">
        <f ca="1">OFFSET('Zip Code Lines_1'!$AC$3,MATCH('Zip Code Lines_1'!C68,'Zip Code Lines_1'!$Q$4:$Q$26,0),0)</f>
        <v>6</v>
      </c>
    </row>
    <row r="69" spans="2:7" x14ac:dyDescent="0.25">
      <c r="B69" s="342">
        <v>10115</v>
      </c>
      <c r="C69" s="343" t="s">
        <v>552</v>
      </c>
      <c r="D69" s="343" t="str">
        <f ca="1">OFFSET('Zip Code Lines_1'!$U$3,MATCH('Zip Code Lines_1'!C69,'Zip Code Lines_1'!$Q$4:$Q$26,0),0)</f>
        <v>NY - Central Park</v>
      </c>
      <c r="E69" s="344">
        <f ca="1">OFFSET('Zip Code Lines_1'!$W$3,MATCH('Zip Code Lines_1'!C69,'Zip Code Lines_1'!$Q$4:$Q$26,0),0)</f>
        <v>17.5</v>
      </c>
      <c r="F69" s="344">
        <f ca="1">OFFSET('Zip Code Lines_1'!$Z$3,MATCH('Zip Code Lines_1'!C69,'Zip Code Lines_1'!$Q$4:$Q$26,0),0)</f>
        <v>88</v>
      </c>
      <c r="G69" s="342">
        <f ca="1">OFFSET('Zip Code Lines_1'!$AC$3,MATCH('Zip Code Lines_1'!C69,'Zip Code Lines_1'!$Q$4:$Q$26,0),0)</f>
        <v>6</v>
      </c>
    </row>
    <row r="70" spans="2:7" x14ac:dyDescent="0.25">
      <c r="B70" s="342">
        <v>10116</v>
      </c>
      <c r="C70" s="343" t="s">
        <v>552</v>
      </c>
      <c r="D70" s="343" t="str">
        <f ca="1">OFFSET('Zip Code Lines_1'!$U$3,MATCH('Zip Code Lines_1'!C70,'Zip Code Lines_1'!$Q$4:$Q$26,0),0)</f>
        <v>NY - Central Park</v>
      </c>
      <c r="E70" s="344">
        <f ca="1">OFFSET('Zip Code Lines_1'!$W$3,MATCH('Zip Code Lines_1'!C70,'Zip Code Lines_1'!$Q$4:$Q$26,0),0)</f>
        <v>17.5</v>
      </c>
      <c r="F70" s="344">
        <f ca="1">OFFSET('Zip Code Lines_1'!$Z$3,MATCH('Zip Code Lines_1'!C70,'Zip Code Lines_1'!$Q$4:$Q$26,0),0)</f>
        <v>88</v>
      </c>
      <c r="G70" s="342">
        <f ca="1">OFFSET('Zip Code Lines_1'!$AC$3,MATCH('Zip Code Lines_1'!C70,'Zip Code Lines_1'!$Q$4:$Q$26,0),0)</f>
        <v>6</v>
      </c>
    </row>
    <row r="71" spans="2:7" x14ac:dyDescent="0.25">
      <c r="B71" s="342">
        <v>10117</v>
      </c>
      <c r="C71" s="343" t="s">
        <v>552</v>
      </c>
      <c r="D71" s="343" t="str">
        <f ca="1">OFFSET('Zip Code Lines_1'!$U$3,MATCH('Zip Code Lines_1'!C71,'Zip Code Lines_1'!$Q$4:$Q$26,0),0)</f>
        <v>NY - Central Park</v>
      </c>
      <c r="E71" s="344">
        <f ca="1">OFFSET('Zip Code Lines_1'!$W$3,MATCH('Zip Code Lines_1'!C71,'Zip Code Lines_1'!$Q$4:$Q$26,0),0)</f>
        <v>17.5</v>
      </c>
      <c r="F71" s="344">
        <f ca="1">OFFSET('Zip Code Lines_1'!$Z$3,MATCH('Zip Code Lines_1'!C71,'Zip Code Lines_1'!$Q$4:$Q$26,0),0)</f>
        <v>88</v>
      </c>
      <c r="G71" s="342">
        <f ca="1">OFFSET('Zip Code Lines_1'!$AC$3,MATCH('Zip Code Lines_1'!C71,'Zip Code Lines_1'!$Q$4:$Q$26,0),0)</f>
        <v>6</v>
      </c>
    </row>
    <row r="72" spans="2:7" x14ac:dyDescent="0.25">
      <c r="B72" s="342">
        <v>10118</v>
      </c>
      <c r="C72" s="343" t="s">
        <v>552</v>
      </c>
      <c r="D72" s="343" t="str">
        <f ca="1">OFFSET('Zip Code Lines_1'!$U$3,MATCH('Zip Code Lines_1'!C72,'Zip Code Lines_1'!$Q$4:$Q$26,0),0)</f>
        <v>NY - Central Park</v>
      </c>
      <c r="E72" s="344">
        <f ca="1">OFFSET('Zip Code Lines_1'!$W$3,MATCH('Zip Code Lines_1'!C72,'Zip Code Lines_1'!$Q$4:$Q$26,0),0)</f>
        <v>17.5</v>
      </c>
      <c r="F72" s="344">
        <f ca="1">OFFSET('Zip Code Lines_1'!$Z$3,MATCH('Zip Code Lines_1'!C72,'Zip Code Lines_1'!$Q$4:$Q$26,0),0)</f>
        <v>88</v>
      </c>
      <c r="G72" s="342">
        <f ca="1">OFFSET('Zip Code Lines_1'!$AC$3,MATCH('Zip Code Lines_1'!C72,'Zip Code Lines_1'!$Q$4:$Q$26,0),0)</f>
        <v>6</v>
      </c>
    </row>
    <row r="73" spans="2:7" x14ac:dyDescent="0.25">
      <c r="B73" s="342">
        <v>10119</v>
      </c>
      <c r="C73" s="343" t="s">
        <v>552</v>
      </c>
      <c r="D73" s="343" t="str">
        <f ca="1">OFFSET('Zip Code Lines_1'!$U$3,MATCH('Zip Code Lines_1'!C73,'Zip Code Lines_1'!$Q$4:$Q$26,0),0)</f>
        <v>NY - Central Park</v>
      </c>
      <c r="E73" s="344">
        <f ca="1">OFFSET('Zip Code Lines_1'!$W$3,MATCH('Zip Code Lines_1'!C73,'Zip Code Lines_1'!$Q$4:$Q$26,0),0)</f>
        <v>17.5</v>
      </c>
      <c r="F73" s="344">
        <f ca="1">OFFSET('Zip Code Lines_1'!$Z$3,MATCH('Zip Code Lines_1'!C73,'Zip Code Lines_1'!$Q$4:$Q$26,0),0)</f>
        <v>88</v>
      </c>
      <c r="G73" s="342">
        <f ca="1">OFFSET('Zip Code Lines_1'!$AC$3,MATCH('Zip Code Lines_1'!C73,'Zip Code Lines_1'!$Q$4:$Q$26,0),0)</f>
        <v>6</v>
      </c>
    </row>
    <row r="74" spans="2:7" x14ac:dyDescent="0.25">
      <c r="B74" s="342">
        <v>10120</v>
      </c>
      <c r="C74" s="343" t="s">
        <v>552</v>
      </c>
      <c r="D74" s="343" t="str">
        <f ca="1">OFFSET('Zip Code Lines_1'!$U$3,MATCH('Zip Code Lines_1'!C74,'Zip Code Lines_1'!$Q$4:$Q$26,0),0)</f>
        <v>NY - Central Park</v>
      </c>
      <c r="E74" s="344">
        <f ca="1">OFFSET('Zip Code Lines_1'!$W$3,MATCH('Zip Code Lines_1'!C74,'Zip Code Lines_1'!$Q$4:$Q$26,0),0)</f>
        <v>17.5</v>
      </c>
      <c r="F74" s="344">
        <f ca="1">OFFSET('Zip Code Lines_1'!$Z$3,MATCH('Zip Code Lines_1'!C74,'Zip Code Lines_1'!$Q$4:$Q$26,0),0)</f>
        <v>88</v>
      </c>
      <c r="G74" s="342">
        <f ca="1">OFFSET('Zip Code Lines_1'!$AC$3,MATCH('Zip Code Lines_1'!C74,'Zip Code Lines_1'!$Q$4:$Q$26,0),0)</f>
        <v>6</v>
      </c>
    </row>
    <row r="75" spans="2:7" x14ac:dyDescent="0.25">
      <c r="B75" s="342">
        <v>10121</v>
      </c>
      <c r="C75" s="343" t="s">
        <v>552</v>
      </c>
      <c r="D75" s="343" t="str">
        <f ca="1">OFFSET('Zip Code Lines_1'!$U$3,MATCH('Zip Code Lines_1'!C75,'Zip Code Lines_1'!$Q$4:$Q$26,0),0)</f>
        <v>NY - Central Park</v>
      </c>
      <c r="E75" s="344">
        <f ca="1">OFFSET('Zip Code Lines_1'!$W$3,MATCH('Zip Code Lines_1'!C75,'Zip Code Lines_1'!$Q$4:$Q$26,0),0)</f>
        <v>17.5</v>
      </c>
      <c r="F75" s="344">
        <f ca="1">OFFSET('Zip Code Lines_1'!$Z$3,MATCH('Zip Code Lines_1'!C75,'Zip Code Lines_1'!$Q$4:$Q$26,0),0)</f>
        <v>88</v>
      </c>
      <c r="G75" s="342">
        <f ca="1">OFFSET('Zip Code Lines_1'!$AC$3,MATCH('Zip Code Lines_1'!C75,'Zip Code Lines_1'!$Q$4:$Q$26,0),0)</f>
        <v>6</v>
      </c>
    </row>
    <row r="76" spans="2:7" x14ac:dyDescent="0.25">
      <c r="B76" s="342">
        <v>10122</v>
      </c>
      <c r="C76" s="343" t="s">
        <v>552</v>
      </c>
      <c r="D76" s="343" t="str">
        <f ca="1">OFFSET('Zip Code Lines_1'!$U$3,MATCH('Zip Code Lines_1'!C76,'Zip Code Lines_1'!$Q$4:$Q$26,0),0)</f>
        <v>NY - Central Park</v>
      </c>
      <c r="E76" s="344">
        <f ca="1">OFFSET('Zip Code Lines_1'!$W$3,MATCH('Zip Code Lines_1'!C76,'Zip Code Lines_1'!$Q$4:$Q$26,0),0)</f>
        <v>17.5</v>
      </c>
      <c r="F76" s="344">
        <f ca="1">OFFSET('Zip Code Lines_1'!$Z$3,MATCH('Zip Code Lines_1'!C76,'Zip Code Lines_1'!$Q$4:$Q$26,0),0)</f>
        <v>88</v>
      </c>
      <c r="G76" s="342">
        <f ca="1">OFFSET('Zip Code Lines_1'!$AC$3,MATCH('Zip Code Lines_1'!C76,'Zip Code Lines_1'!$Q$4:$Q$26,0),0)</f>
        <v>6</v>
      </c>
    </row>
    <row r="77" spans="2:7" x14ac:dyDescent="0.25">
      <c r="B77" s="342">
        <v>10123</v>
      </c>
      <c r="C77" s="343" t="s">
        <v>552</v>
      </c>
      <c r="D77" s="343" t="str">
        <f ca="1">OFFSET('Zip Code Lines_1'!$U$3,MATCH('Zip Code Lines_1'!C77,'Zip Code Lines_1'!$Q$4:$Q$26,0),0)</f>
        <v>NY - Central Park</v>
      </c>
      <c r="E77" s="344">
        <f ca="1">OFFSET('Zip Code Lines_1'!$W$3,MATCH('Zip Code Lines_1'!C77,'Zip Code Lines_1'!$Q$4:$Q$26,0),0)</f>
        <v>17.5</v>
      </c>
      <c r="F77" s="344">
        <f ca="1">OFFSET('Zip Code Lines_1'!$Z$3,MATCH('Zip Code Lines_1'!C77,'Zip Code Lines_1'!$Q$4:$Q$26,0),0)</f>
        <v>88</v>
      </c>
      <c r="G77" s="342">
        <f ca="1">OFFSET('Zip Code Lines_1'!$AC$3,MATCH('Zip Code Lines_1'!C77,'Zip Code Lines_1'!$Q$4:$Q$26,0),0)</f>
        <v>6</v>
      </c>
    </row>
    <row r="78" spans="2:7" x14ac:dyDescent="0.25">
      <c r="B78" s="342">
        <v>10124</v>
      </c>
      <c r="C78" s="343" t="s">
        <v>552</v>
      </c>
      <c r="D78" s="343" t="str">
        <f ca="1">OFFSET('Zip Code Lines_1'!$U$3,MATCH('Zip Code Lines_1'!C78,'Zip Code Lines_1'!$Q$4:$Q$26,0),0)</f>
        <v>NY - Central Park</v>
      </c>
      <c r="E78" s="344">
        <f ca="1">OFFSET('Zip Code Lines_1'!$W$3,MATCH('Zip Code Lines_1'!C78,'Zip Code Lines_1'!$Q$4:$Q$26,0),0)</f>
        <v>17.5</v>
      </c>
      <c r="F78" s="344">
        <f ca="1">OFFSET('Zip Code Lines_1'!$Z$3,MATCH('Zip Code Lines_1'!C78,'Zip Code Lines_1'!$Q$4:$Q$26,0),0)</f>
        <v>88</v>
      </c>
      <c r="G78" s="342">
        <f ca="1">OFFSET('Zip Code Lines_1'!$AC$3,MATCH('Zip Code Lines_1'!C78,'Zip Code Lines_1'!$Q$4:$Q$26,0),0)</f>
        <v>6</v>
      </c>
    </row>
    <row r="79" spans="2:7" x14ac:dyDescent="0.25">
      <c r="B79" s="342">
        <v>10125</v>
      </c>
      <c r="C79" s="343" t="s">
        <v>552</v>
      </c>
      <c r="D79" s="343" t="str">
        <f ca="1">OFFSET('Zip Code Lines_1'!$U$3,MATCH('Zip Code Lines_1'!C79,'Zip Code Lines_1'!$Q$4:$Q$26,0),0)</f>
        <v>NY - Central Park</v>
      </c>
      <c r="E79" s="344">
        <f ca="1">OFFSET('Zip Code Lines_1'!$W$3,MATCH('Zip Code Lines_1'!C79,'Zip Code Lines_1'!$Q$4:$Q$26,0),0)</f>
        <v>17.5</v>
      </c>
      <c r="F79" s="344">
        <f ca="1">OFFSET('Zip Code Lines_1'!$Z$3,MATCH('Zip Code Lines_1'!C79,'Zip Code Lines_1'!$Q$4:$Q$26,0),0)</f>
        <v>88</v>
      </c>
      <c r="G79" s="342">
        <f ca="1">OFFSET('Zip Code Lines_1'!$AC$3,MATCH('Zip Code Lines_1'!C79,'Zip Code Lines_1'!$Q$4:$Q$26,0),0)</f>
        <v>6</v>
      </c>
    </row>
    <row r="80" spans="2:7" x14ac:dyDescent="0.25">
      <c r="B80" s="342">
        <v>10126</v>
      </c>
      <c r="C80" s="343" t="s">
        <v>552</v>
      </c>
      <c r="D80" s="343" t="str">
        <f ca="1">OFFSET('Zip Code Lines_1'!$U$3,MATCH('Zip Code Lines_1'!C80,'Zip Code Lines_1'!$Q$4:$Q$26,0),0)</f>
        <v>NY - Central Park</v>
      </c>
      <c r="E80" s="344">
        <f ca="1">OFFSET('Zip Code Lines_1'!$W$3,MATCH('Zip Code Lines_1'!C80,'Zip Code Lines_1'!$Q$4:$Q$26,0),0)</f>
        <v>17.5</v>
      </c>
      <c r="F80" s="344">
        <f ca="1">OFFSET('Zip Code Lines_1'!$Z$3,MATCH('Zip Code Lines_1'!C80,'Zip Code Lines_1'!$Q$4:$Q$26,0),0)</f>
        <v>88</v>
      </c>
      <c r="G80" s="342">
        <f ca="1">OFFSET('Zip Code Lines_1'!$AC$3,MATCH('Zip Code Lines_1'!C80,'Zip Code Lines_1'!$Q$4:$Q$26,0),0)</f>
        <v>6</v>
      </c>
    </row>
    <row r="81" spans="2:7" x14ac:dyDescent="0.25">
      <c r="B81" s="342">
        <v>10128</v>
      </c>
      <c r="C81" s="343" t="s">
        <v>552</v>
      </c>
      <c r="D81" s="343" t="str">
        <f ca="1">OFFSET('Zip Code Lines_1'!$U$3,MATCH('Zip Code Lines_1'!C81,'Zip Code Lines_1'!$Q$4:$Q$26,0),0)</f>
        <v>NY - Central Park</v>
      </c>
      <c r="E81" s="344">
        <f ca="1">OFFSET('Zip Code Lines_1'!$W$3,MATCH('Zip Code Lines_1'!C81,'Zip Code Lines_1'!$Q$4:$Q$26,0),0)</f>
        <v>17.5</v>
      </c>
      <c r="F81" s="344">
        <f ca="1">OFFSET('Zip Code Lines_1'!$Z$3,MATCH('Zip Code Lines_1'!C81,'Zip Code Lines_1'!$Q$4:$Q$26,0),0)</f>
        <v>88</v>
      </c>
      <c r="G81" s="342">
        <f ca="1">OFFSET('Zip Code Lines_1'!$AC$3,MATCH('Zip Code Lines_1'!C81,'Zip Code Lines_1'!$Q$4:$Q$26,0),0)</f>
        <v>6</v>
      </c>
    </row>
    <row r="82" spans="2:7" x14ac:dyDescent="0.25">
      <c r="B82" s="342">
        <v>10129</v>
      </c>
      <c r="C82" s="343" t="s">
        <v>552</v>
      </c>
      <c r="D82" s="343" t="str">
        <f ca="1">OFFSET('Zip Code Lines_1'!$U$3,MATCH('Zip Code Lines_1'!C82,'Zip Code Lines_1'!$Q$4:$Q$26,0),0)</f>
        <v>NY - Central Park</v>
      </c>
      <c r="E82" s="344">
        <f ca="1">OFFSET('Zip Code Lines_1'!$W$3,MATCH('Zip Code Lines_1'!C82,'Zip Code Lines_1'!$Q$4:$Q$26,0),0)</f>
        <v>17.5</v>
      </c>
      <c r="F82" s="344">
        <f ca="1">OFFSET('Zip Code Lines_1'!$Z$3,MATCH('Zip Code Lines_1'!C82,'Zip Code Lines_1'!$Q$4:$Q$26,0),0)</f>
        <v>88</v>
      </c>
      <c r="G82" s="342">
        <f ca="1">OFFSET('Zip Code Lines_1'!$AC$3,MATCH('Zip Code Lines_1'!C82,'Zip Code Lines_1'!$Q$4:$Q$26,0),0)</f>
        <v>6</v>
      </c>
    </row>
    <row r="83" spans="2:7" x14ac:dyDescent="0.25">
      <c r="B83" s="342">
        <v>10130</v>
      </c>
      <c r="C83" s="343" t="s">
        <v>552</v>
      </c>
      <c r="D83" s="343" t="str">
        <f ca="1">OFFSET('Zip Code Lines_1'!$U$3,MATCH('Zip Code Lines_1'!C83,'Zip Code Lines_1'!$Q$4:$Q$26,0),0)</f>
        <v>NY - Central Park</v>
      </c>
      <c r="E83" s="344">
        <f ca="1">OFFSET('Zip Code Lines_1'!$W$3,MATCH('Zip Code Lines_1'!C83,'Zip Code Lines_1'!$Q$4:$Q$26,0),0)</f>
        <v>17.5</v>
      </c>
      <c r="F83" s="344">
        <f ca="1">OFFSET('Zip Code Lines_1'!$Z$3,MATCH('Zip Code Lines_1'!C83,'Zip Code Lines_1'!$Q$4:$Q$26,0),0)</f>
        <v>88</v>
      </c>
      <c r="G83" s="342">
        <f ca="1">OFFSET('Zip Code Lines_1'!$AC$3,MATCH('Zip Code Lines_1'!C83,'Zip Code Lines_1'!$Q$4:$Q$26,0),0)</f>
        <v>6</v>
      </c>
    </row>
    <row r="84" spans="2:7" x14ac:dyDescent="0.25">
      <c r="B84" s="342">
        <v>10131</v>
      </c>
      <c r="C84" s="343" t="s">
        <v>552</v>
      </c>
      <c r="D84" s="343" t="str">
        <f ca="1">OFFSET('Zip Code Lines_1'!$U$3,MATCH('Zip Code Lines_1'!C84,'Zip Code Lines_1'!$Q$4:$Q$26,0),0)</f>
        <v>NY - Central Park</v>
      </c>
      <c r="E84" s="344">
        <f ca="1">OFFSET('Zip Code Lines_1'!$W$3,MATCH('Zip Code Lines_1'!C84,'Zip Code Lines_1'!$Q$4:$Q$26,0),0)</f>
        <v>17.5</v>
      </c>
      <c r="F84" s="344">
        <f ca="1">OFFSET('Zip Code Lines_1'!$Z$3,MATCH('Zip Code Lines_1'!C84,'Zip Code Lines_1'!$Q$4:$Q$26,0),0)</f>
        <v>88</v>
      </c>
      <c r="G84" s="342">
        <f ca="1">OFFSET('Zip Code Lines_1'!$AC$3,MATCH('Zip Code Lines_1'!C84,'Zip Code Lines_1'!$Q$4:$Q$26,0),0)</f>
        <v>6</v>
      </c>
    </row>
    <row r="85" spans="2:7" x14ac:dyDescent="0.25">
      <c r="B85" s="342">
        <v>10132</v>
      </c>
      <c r="C85" s="343" t="s">
        <v>552</v>
      </c>
      <c r="D85" s="343" t="str">
        <f ca="1">OFFSET('Zip Code Lines_1'!$U$3,MATCH('Zip Code Lines_1'!C85,'Zip Code Lines_1'!$Q$4:$Q$26,0),0)</f>
        <v>NY - Central Park</v>
      </c>
      <c r="E85" s="344">
        <f ca="1">OFFSET('Zip Code Lines_1'!$W$3,MATCH('Zip Code Lines_1'!C85,'Zip Code Lines_1'!$Q$4:$Q$26,0),0)</f>
        <v>17.5</v>
      </c>
      <c r="F85" s="344">
        <f ca="1">OFFSET('Zip Code Lines_1'!$Z$3,MATCH('Zip Code Lines_1'!C85,'Zip Code Lines_1'!$Q$4:$Q$26,0),0)</f>
        <v>88</v>
      </c>
      <c r="G85" s="342">
        <f ca="1">OFFSET('Zip Code Lines_1'!$AC$3,MATCH('Zip Code Lines_1'!C85,'Zip Code Lines_1'!$Q$4:$Q$26,0),0)</f>
        <v>6</v>
      </c>
    </row>
    <row r="86" spans="2:7" x14ac:dyDescent="0.25">
      <c r="B86" s="342">
        <v>10133</v>
      </c>
      <c r="C86" s="343" t="s">
        <v>552</v>
      </c>
      <c r="D86" s="343" t="str">
        <f ca="1">OFFSET('Zip Code Lines_1'!$U$3,MATCH('Zip Code Lines_1'!C86,'Zip Code Lines_1'!$Q$4:$Q$26,0),0)</f>
        <v>NY - Central Park</v>
      </c>
      <c r="E86" s="344">
        <f ca="1">OFFSET('Zip Code Lines_1'!$W$3,MATCH('Zip Code Lines_1'!C86,'Zip Code Lines_1'!$Q$4:$Q$26,0),0)</f>
        <v>17.5</v>
      </c>
      <c r="F86" s="344">
        <f ca="1">OFFSET('Zip Code Lines_1'!$Z$3,MATCH('Zip Code Lines_1'!C86,'Zip Code Lines_1'!$Q$4:$Q$26,0),0)</f>
        <v>88</v>
      </c>
      <c r="G86" s="342">
        <f ca="1">OFFSET('Zip Code Lines_1'!$AC$3,MATCH('Zip Code Lines_1'!C86,'Zip Code Lines_1'!$Q$4:$Q$26,0),0)</f>
        <v>6</v>
      </c>
    </row>
    <row r="87" spans="2:7" x14ac:dyDescent="0.25">
      <c r="B87" s="342">
        <v>10138</v>
      </c>
      <c r="C87" s="343" t="s">
        <v>552</v>
      </c>
      <c r="D87" s="343" t="str">
        <f ca="1">OFFSET('Zip Code Lines_1'!$U$3,MATCH('Zip Code Lines_1'!C87,'Zip Code Lines_1'!$Q$4:$Q$26,0),0)</f>
        <v>NY - Central Park</v>
      </c>
      <c r="E87" s="344">
        <f ca="1">OFFSET('Zip Code Lines_1'!$W$3,MATCH('Zip Code Lines_1'!C87,'Zip Code Lines_1'!$Q$4:$Q$26,0),0)</f>
        <v>17.5</v>
      </c>
      <c r="F87" s="344">
        <f ca="1">OFFSET('Zip Code Lines_1'!$Z$3,MATCH('Zip Code Lines_1'!C87,'Zip Code Lines_1'!$Q$4:$Q$26,0),0)</f>
        <v>88</v>
      </c>
      <c r="G87" s="342">
        <f ca="1">OFFSET('Zip Code Lines_1'!$AC$3,MATCH('Zip Code Lines_1'!C87,'Zip Code Lines_1'!$Q$4:$Q$26,0),0)</f>
        <v>6</v>
      </c>
    </row>
    <row r="88" spans="2:7" x14ac:dyDescent="0.25">
      <c r="B88" s="342">
        <v>10150</v>
      </c>
      <c r="C88" s="343" t="s">
        <v>552</v>
      </c>
      <c r="D88" s="343" t="str">
        <f ca="1">OFFSET('Zip Code Lines_1'!$U$3,MATCH('Zip Code Lines_1'!C88,'Zip Code Lines_1'!$Q$4:$Q$26,0),0)</f>
        <v>NY - Central Park</v>
      </c>
      <c r="E88" s="344">
        <f ca="1">OFFSET('Zip Code Lines_1'!$W$3,MATCH('Zip Code Lines_1'!C88,'Zip Code Lines_1'!$Q$4:$Q$26,0),0)</f>
        <v>17.5</v>
      </c>
      <c r="F88" s="344">
        <f ca="1">OFFSET('Zip Code Lines_1'!$Z$3,MATCH('Zip Code Lines_1'!C88,'Zip Code Lines_1'!$Q$4:$Q$26,0),0)</f>
        <v>88</v>
      </c>
      <c r="G88" s="342">
        <f ca="1">OFFSET('Zip Code Lines_1'!$AC$3,MATCH('Zip Code Lines_1'!C88,'Zip Code Lines_1'!$Q$4:$Q$26,0),0)</f>
        <v>6</v>
      </c>
    </row>
    <row r="89" spans="2:7" x14ac:dyDescent="0.25">
      <c r="B89" s="342">
        <v>10151</v>
      </c>
      <c r="C89" s="343" t="s">
        <v>552</v>
      </c>
      <c r="D89" s="343" t="str">
        <f ca="1">OFFSET('Zip Code Lines_1'!$U$3,MATCH('Zip Code Lines_1'!C89,'Zip Code Lines_1'!$Q$4:$Q$26,0),0)</f>
        <v>NY - Central Park</v>
      </c>
      <c r="E89" s="344">
        <f ca="1">OFFSET('Zip Code Lines_1'!$W$3,MATCH('Zip Code Lines_1'!C89,'Zip Code Lines_1'!$Q$4:$Q$26,0),0)</f>
        <v>17.5</v>
      </c>
      <c r="F89" s="344">
        <f ca="1">OFFSET('Zip Code Lines_1'!$Z$3,MATCH('Zip Code Lines_1'!C89,'Zip Code Lines_1'!$Q$4:$Q$26,0),0)</f>
        <v>88</v>
      </c>
      <c r="G89" s="342">
        <f ca="1">OFFSET('Zip Code Lines_1'!$AC$3,MATCH('Zip Code Lines_1'!C89,'Zip Code Lines_1'!$Q$4:$Q$26,0),0)</f>
        <v>6</v>
      </c>
    </row>
    <row r="90" spans="2:7" x14ac:dyDescent="0.25">
      <c r="B90" s="342">
        <v>10152</v>
      </c>
      <c r="C90" s="343" t="s">
        <v>552</v>
      </c>
      <c r="D90" s="343" t="str">
        <f ca="1">OFFSET('Zip Code Lines_1'!$U$3,MATCH('Zip Code Lines_1'!C90,'Zip Code Lines_1'!$Q$4:$Q$26,0),0)</f>
        <v>NY - Central Park</v>
      </c>
      <c r="E90" s="344">
        <f ca="1">OFFSET('Zip Code Lines_1'!$W$3,MATCH('Zip Code Lines_1'!C90,'Zip Code Lines_1'!$Q$4:$Q$26,0),0)</f>
        <v>17.5</v>
      </c>
      <c r="F90" s="344">
        <f ca="1">OFFSET('Zip Code Lines_1'!$Z$3,MATCH('Zip Code Lines_1'!C90,'Zip Code Lines_1'!$Q$4:$Q$26,0),0)</f>
        <v>88</v>
      </c>
      <c r="G90" s="342">
        <f ca="1">OFFSET('Zip Code Lines_1'!$AC$3,MATCH('Zip Code Lines_1'!C90,'Zip Code Lines_1'!$Q$4:$Q$26,0),0)</f>
        <v>6</v>
      </c>
    </row>
    <row r="91" spans="2:7" x14ac:dyDescent="0.25">
      <c r="B91" s="342">
        <v>10153</v>
      </c>
      <c r="C91" s="343" t="s">
        <v>552</v>
      </c>
      <c r="D91" s="343" t="str">
        <f ca="1">OFFSET('Zip Code Lines_1'!$U$3,MATCH('Zip Code Lines_1'!C91,'Zip Code Lines_1'!$Q$4:$Q$26,0),0)</f>
        <v>NY - Central Park</v>
      </c>
      <c r="E91" s="344">
        <f ca="1">OFFSET('Zip Code Lines_1'!$W$3,MATCH('Zip Code Lines_1'!C91,'Zip Code Lines_1'!$Q$4:$Q$26,0),0)</f>
        <v>17.5</v>
      </c>
      <c r="F91" s="344">
        <f ca="1">OFFSET('Zip Code Lines_1'!$Z$3,MATCH('Zip Code Lines_1'!C91,'Zip Code Lines_1'!$Q$4:$Q$26,0),0)</f>
        <v>88</v>
      </c>
      <c r="G91" s="342">
        <f ca="1">OFFSET('Zip Code Lines_1'!$AC$3,MATCH('Zip Code Lines_1'!C91,'Zip Code Lines_1'!$Q$4:$Q$26,0),0)</f>
        <v>6</v>
      </c>
    </row>
    <row r="92" spans="2:7" x14ac:dyDescent="0.25">
      <c r="B92" s="342">
        <v>10154</v>
      </c>
      <c r="C92" s="343" t="s">
        <v>552</v>
      </c>
      <c r="D92" s="343" t="str">
        <f ca="1">OFFSET('Zip Code Lines_1'!$U$3,MATCH('Zip Code Lines_1'!C92,'Zip Code Lines_1'!$Q$4:$Q$26,0),0)</f>
        <v>NY - Central Park</v>
      </c>
      <c r="E92" s="344">
        <f ca="1">OFFSET('Zip Code Lines_1'!$W$3,MATCH('Zip Code Lines_1'!C92,'Zip Code Lines_1'!$Q$4:$Q$26,0),0)</f>
        <v>17.5</v>
      </c>
      <c r="F92" s="344">
        <f ca="1">OFFSET('Zip Code Lines_1'!$Z$3,MATCH('Zip Code Lines_1'!C92,'Zip Code Lines_1'!$Q$4:$Q$26,0),0)</f>
        <v>88</v>
      </c>
      <c r="G92" s="342">
        <f ca="1">OFFSET('Zip Code Lines_1'!$AC$3,MATCH('Zip Code Lines_1'!C92,'Zip Code Lines_1'!$Q$4:$Q$26,0),0)</f>
        <v>6</v>
      </c>
    </row>
    <row r="93" spans="2:7" x14ac:dyDescent="0.25">
      <c r="B93" s="342">
        <v>10155</v>
      </c>
      <c r="C93" s="343" t="s">
        <v>552</v>
      </c>
      <c r="D93" s="343" t="str">
        <f ca="1">OFFSET('Zip Code Lines_1'!$U$3,MATCH('Zip Code Lines_1'!C93,'Zip Code Lines_1'!$Q$4:$Q$26,0),0)</f>
        <v>NY - Central Park</v>
      </c>
      <c r="E93" s="344">
        <f ca="1">OFFSET('Zip Code Lines_1'!$W$3,MATCH('Zip Code Lines_1'!C93,'Zip Code Lines_1'!$Q$4:$Q$26,0),0)</f>
        <v>17.5</v>
      </c>
      <c r="F93" s="344">
        <f ca="1">OFFSET('Zip Code Lines_1'!$Z$3,MATCH('Zip Code Lines_1'!C93,'Zip Code Lines_1'!$Q$4:$Q$26,0),0)</f>
        <v>88</v>
      </c>
      <c r="G93" s="342">
        <f ca="1">OFFSET('Zip Code Lines_1'!$AC$3,MATCH('Zip Code Lines_1'!C93,'Zip Code Lines_1'!$Q$4:$Q$26,0),0)</f>
        <v>6</v>
      </c>
    </row>
    <row r="94" spans="2:7" x14ac:dyDescent="0.25">
      <c r="B94" s="342">
        <v>10156</v>
      </c>
      <c r="C94" s="343" t="s">
        <v>552</v>
      </c>
      <c r="D94" s="343" t="str">
        <f ca="1">OFFSET('Zip Code Lines_1'!$U$3,MATCH('Zip Code Lines_1'!C94,'Zip Code Lines_1'!$Q$4:$Q$26,0),0)</f>
        <v>NY - Central Park</v>
      </c>
      <c r="E94" s="344">
        <f ca="1">OFFSET('Zip Code Lines_1'!$W$3,MATCH('Zip Code Lines_1'!C94,'Zip Code Lines_1'!$Q$4:$Q$26,0),0)</f>
        <v>17.5</v>
      </c>
      <c r="F94" s="344">
        <f ca="1">OFFSET('Zip Code Lines_1'!$Z$3,MATCH('Zip Code Lines_1'!C94,'Zip Code Lines_1'!$Q$4:$Q$26,0),0)</f>
        <v>88</v>
      </c>
      <c r="G94" s="342">
        <f ca="1">OFFSET('Zip Code Lines_1'!$AC$3,MATCH('Zip Code Lines_1'!C94,'Zip Code Lines_1'!$Q$4:$Q$26,0),0)</f>
        <v>6</v>
      </c>
    </row>
    <row r="95" spans="2:7" x14ac:dyDescent="0.25">
      <c r="B95" s="342">
        <v>10157</v>
      </c>
      <c r="C95" s="343" t="s">
        <v>552</v>
      </c>
      <c r="D95" s="343" t="str">
        <f ca="1">OFFSET('Zip Code Lines_1'!$U$3,MATCH('Zip Code Lines_1'!C95,'Zip Code Lines_1'!$Q$4:$Q$26,0),0)</f>
        <v>NY - Central Park</v>
      </c>
      <c r="E95" s="344">
        <f ca="1">OFFSET('Zip Code Lines_1'!$W$3,MATCH('Zip Code Lines_1'!C95,'Zip Code Lines_1'!$Q$4:$Q$26,0),0)</f>
        <v>17.5</v>
      </c>
      <c r="F95" s="344">
        <f ca="1">OFFSET('Zip Code Lines_1'!$Z$3,MATCH('Zip Code Lines_1'!C95,'Zip Code Lines_1'!$Q$4:$Q$26,0),0)</f>
        <v>88</v>
      </c>
      <c r="G95" s="342">
        <f ca="1">OFFSET('Zip Code Lines_1'!$AC$3,MATCH('Zip Code Lines_1'!C95,'Zip Code Lines_1'!$Q$4:$Q$26,0),0)</f>
        <v>6</v>
      </c>
    </row>
    <row r="96" spans="2:7" x14ac:dyDescent="0.25">
      <c r="B96" s="342">
        <v>10158</v>
      </c>
      <c r="C96" s="343" t="s">
        <v>552</v>
      </c>
      <c r="D96" s="343" t="str">
        <f ca="1">OFFSET('Zip Code Lines_1'!$U$3,MATCH('Zip Code Lines_1'!C96,'Zip Code Lines_1'!$Q$4:$Q$26,0),0)</f>
        <v>NY - Central Park</v>
      </c>
      <c r="E96" s="344">
        <f ca="1">OFFSET('Zip Code Lines_1'!$W$3,MATCH('Zip Code Lines_1'!C96,'Zip Code Lines_1'!$Q$4:$Q$26,0),0)</f>
        <v>17.5</v>
      </c>
      <c r="F96" s="344">
        <f ca="1">OFFSET('Zip Code Lines_1'!$Z$3,MATCH('Zip Code Lines_1'!C96,'Zip Code Lines_1'!$Q$4:$Q$26,0),0)</f>
        <v>88</v>
      </c>
      <c r="G96" s="342">
        <f ca="1">OFFSET('Zip Code Lines_1'!$AC$3,MATCH('Zip Code Lines_1'!C96,'Zip Code Lines_1'!$Q$4:$Q$26,0),0)</f>
        <v>6</v>
      </c>
    </row>
    <row r="97" spans="1:8" x14ac:dyDescent="0.25">
      <c r="B97" s="342">
        <v>10159</v>
      </c>
      <c r="C97" s="343" t="s">
        <v>552</v>
      </c>
      <c r="D97" s="343" t="str">
        <f ca="1">OFFSET('Zip Code Lines_1'!$U$3,MATCH('Zip Code Lines_1'!C97,'Zip Code Lines_1'!$Q$4:$Q$26,0),0)</f>
        <v>NY - Central Park</v>
      </c>
      <c r="E97" s="344">
        <f ca="1">OFFSET('Zip Code Lines_1'!$W$3,MATCH('Zip Code Lines_1'!C97,'Zip Code Lines_1'!$Q$4:$Q$26,0),0)</f>
        <v>17.5</v>
      </c>
      <c r="F97" s="344">
        <f ca="1">OFFSET('Zip Code Lines_1'!$Z$3,MATCH('Zip Code Lines_1'!C97,'Zip Code Lines_1'!$Q$4:$Q$26,0),0)</f>
        <v>88</v>
      </c>
      <c r="G97" s="342">
        <f ca="1">OFFSET('Zip Code Lines_1'!$AC$3,MATCH('Zip Code Lines_1'!C97,'Zip Code Lines_1'!$Q$4:$Q$26,0),0)</f>
        <v>6</v>
      </c>
    </row>
    <row r="98" spans="1:8" x14ac:dyDescent="0.25">
      <c r="B98" s="342">
        <v>10160</v>
      </c>
      <c r="C98" s="343" t="s">
        <v>552</v>
      </c>
      <c r="D98" s="343" t="str">
        <f ca="1">OFFSET('Zip Code Lines_1'!$U$3,MATCH('Zip Code Lines_1'!C98,'Zip Code Lines_1'!$Q$4:$Q$26,0),0)</f>
        <v>NY - Central Park</v>
      </c>
      <c r="E98" s="344">
        <f ca="1">OFFSET('Zip Code Lines_1'!$W$3,MATCH('Zip Code Lines_1'!C98,'Zip Code Lines_1'!$Q$4:$Q$26,0),0)</f>
        <v>17.5</v>
      </c>
      <c r="F98" s="344">
        <f ca="1">OFFSET('Zip Code Lines_1'!$Z$3,MATCH('Zip Code Lines_1'!C98,'Zip Code Lines_1'!$Q$4:$Q$26,0),0)</f>
        <v>88</v>
      </c>
      <c r="G98" s="342">
        <f ca="1">OFFSET('Zip Code Lines_1'!$AC$3,MATCH('Zip Code Lines_1'!C98,'Zip Code Lines_1'!$Q$4:$Q$26,0),0)</f>
        <v>6</v>
      </c>
    </row>
    <row r="99" spans="1:8" x14ac:dyDescent="0.25">
      <c r="A99" s="342" t="s">
        <v>720</v>
      </c>
      <c r="B99" s="342">
        <v>10161</v>
      </c>
      <c r="C99" s="366" t="s">
        <v>552</v>
      </c>
      <c r="D99" s="343" t="str">
        <f ca="1">OFFSET('Zip Code Lines_1'!$U$3,MATCH('Zip Code Lines_1'!C99,'Zip Code Lines_1'!$Q$4:$Q$26,0),0)</f>
        <v>NY - Central Park</v>
      </c>
      <c r="E99" s="344">
        <f ca="1">OFFSET('Zip Code Lines_1'!$W$3,MATCH('Zip Code Lines_1'!C99,'Zip Code Lines_1'!$Q$4:$Q$26,0),0)</f>
        <v>17.5</v>
      </c>
      <c r="F99" s="344">
        <f ca="1">OFFSET('Zip Code Lines_1'!$Z$3,MATCH('Zip Code Lines_1'!C99,'Zip Code Lines_1'!$Q$4:$Q$26,0),0)</f>
        <v>88</v>
      </c>
      <c r="G99" s="342">
        <f ca="1">OFFSET('Zip Code Lines_1'!$AC$3,MATCH('Zip Code Lines_1'!C99,'Zip Code Lines_1'!$Q$4:$Q$26,0),0)</f>
        <v>6</v>
      </c>
    </row>
    <row r="100" spans="1:8" x14ac:dyDescent="0.25">
      <c r="B100" s="342">
        <v>10162</v>
      </c>
      <c r="C100" s="343" t="s">
        <v>552</v>
      </c>
      <c r="D100" s="343" t="str">
        <f ca="1">OFFSET('Zip Code Lines_1'!$U$3,MATCH('Zip Code Lines_1'!C100,'Zip Code Lines_1'!$Q$4:$Q$26,0),0)</f>
        <v>NY - Central Park</v>
      </c>
      <c r="E100" s="344">
        <f ca="1">OFFSET('Zip Code Lines_1'!$W$3,MATCH('Zip Code Lines_1'!C100,'Zip Code Lines_1'!$Q$4:$Q$26,0),0)</f>
        <v>17.5</v>
      </c>
      <c r="F100" s="344">
        <f ca="1">OFFSET('Zip Code Lines_1'!$Z$3,MATCH('Zip Code Lines_1'!C100,'Zip Code Lines_1'!$Q$4:$Q$26,0),0)</f>
        <v>88</v>
      </c>
      <c r="G100" s="342">
        <f ca="1">OFFSET('Zip Code Lines_1'!$AC$3,MATCH('Zip Code Lines_1'!C100,'Zip Code Lines_1'!$Q$4:$Q$26,0),0)</f>
        <v>6</v>
      </c>
      <c r="H100" s="342">
        <v>10162</v>
      </c>
    </row>
    <row r="101" spans="1:8" x14ac:dyDescent="0.25">
      <c r="B101" s="342">
        <v>10163</v>
      </c>
      <c r="C101" s="343" t="s">
        <v>552</v>
      </c>
      <c r="D101" s="343" t="str">
        <f ca="1">OFFSET('Zip Code Lines_1'!$U$3,MATCH('Zip Code Lines_1'!C101,'Zip Code Lines_1'!$Q$4:$Q$26,0),0)</f>
        <v>NY - Central Park</v>
      </c>
      <c r="E101" s="344">
        <f ca="1">OFFSET('Zip Code Lines_1'!$W$3,MATCH('Zip Code Lines_1'!C101,'Zip Code Lines_1'!$Q$4:$Q$26,0),0)</f>
        <v>17.5</v>
      </c>
      <c r="F101" s="344">
        <f ca="1">OFFSET('Zip Code Lines_1'!$Z$3,MATCH('Zip Code Lines_1'!C101,'Zip Code Lines_1'!$Q$4:$Q$26,0),0)</f>
        <v>88</v>
      </c>
      <c r="G101" s="342">
        <f ca="1">OFFSET('Zip Code Lines_1'!$AC$3,MATCH('Zip Code Lines_1'!C101,'Zip Code Lines_1'!$Q$4:$Q$26,0),0)</f>
        <v>6</v>
      </c>
      <c r="H101" s="342">
        <v>10163</v>
      </c>
    </row>
    <row r="102" spans="1:8" x14ac:dyDescent="0.25">
      <c r="B102" s="342">
        <v>10164</v>
      </c>
      <c r="C102" s="343" t="s">
        <v>552</v>
      </c>
      <c r="D102" s="343" t="str">
        <f ca="1">OFFSET('Zip Code Lines_1'!$U$3,MATCH('Zip Code Lines_1'!C102,'Zip Code Lines_1'!$Q$4:$Q$26,0),0)</f>
        <v>NY - Central Park</v>
      </c>
      <c r="E102" s="344">
        <f ca="1">OFFSET('Zip Code Lines_1'!$W$3,MATCH('Zip Code Lines_1'!C102,'Zip Code Lines_1'!$Q$4:$Q$26,0),0)</f>
        <v>17.5</v>
      </c>
      <c r="F102" s="344">
        <f ca="1">OFFSET('Zip Code Lines_1'!$Z$3,MATCH('Zip Code Lines_1'!C102,'Zip Code Lines_1'!$Q$4:$Q$26,0),0)</f>
        <v>88</v>
      </c>
      <c r="G102" s="342">
        <f ca="1">OFFSET('Zip Code Lines_1'!$AC$3,MATCH('Zip Code Lines_1'!C102,'Zip Code Lines_1'!$Q$4:$Q$26,0),0)</f>
        <v>6</v>
      </c>
      <c r="H102" s="342">
        <v>10164</v>
      </c>
    </row>
    <row r="103" spans="1:8" x14ac:dyDescent="0.25">
      <c r="B103" s="342">
        <v>10165</v>
      </c>
      <c r="C103" s="343" t="s">
        <v>552</v>
      </c>
      <c r="D103" s="343" t="str">
        <f ca="1">OFFSET('Zip Code Lines_1'!$U$3,MATCH('Zip Code Lines_1'!C103,'Zip Code Lines_1'!$Q$4:$Q$26,0),0)</f>
        <v>NY - Central Park</v>
      </c>
      <c r="E103" s="344">
        <f ca="1">OFFSET('Zip Code Lines_1'!$W$3,MATCH('Zip Code Lines_1'!C103,'Zip Code Lines_1'!$Q$4:$Q$26,0),0)</f>
        <v>17.5</v>
      </c>
      <c r="F103" s="344">
        <f ca="1">OFFSET('Zip Code Lines_1'!$Z$3,MATCH('Zip Code Lines_1'!C103,'Zip Code Lines_1'!$Q$4:$Q$26,0),0)</f>
        <v>88</v>
      </c>
      <c r="G103" s="342">
        <f ca="1">OFFSET('Zip Code Lines_1'!$AC$3,MATCH('Zip Code Lines_1'!C103,'Zip Code Lines_1'!$Q$4:$Q$26,0),0)</f>
        <v>6</v>
      </c>
      <c r="H103" s="342">
        <v>10165</v>
      </c>
    </row>
    <row r="104" spans="1:8" x14ac:dyDescent="0.25">
      <c r="B104" s="342">
        <v>10166</v>
      </c>
      <c r="C104" s="343" t="s">
        <v>552</v>
      </c>
      <c r="D104" s="343" t="str">
        <f ca="1">OFFSET('Zip Code Lines_1'!$U$3,MATCH('Zip Code Lines_1'!C104,'Zip Code Lines_1'!$Q$4:$Q$26,0),0)</f>
        <v>NY - Central Park</v>
      </c>
      <c r="E104" s="344">
        <f ca="1">OFFSET('Zip Code Lines_1'!$W$3,MATCH('Zip Code Lines_1'!C104,'Zip Code Lines_1'!$Q$4:$Q$26,0),0)</f>
        <v>17.5</v>
      </c>
      <c r="F104" s="344">
        <f ca="1">OFFSET('Zip Code Lines_1'!$Z$3,MATCH('Zip Code Lines_1'!C104,'Zip Code Lines_1'!$Q$4:$Q$26,0),0)</f>
        <v>88</v>
      </c>
      <c r="G104" s="342">
        <f ca="1">OFFSET('Zip Code Lines_1'!$AC$3,MATCH('Zip Code Lines_1'!C104,'Zip Code Lines_1'!$Q$4:$Q$26,0),0)</f>
        <v>6</v>
      </c>
      <c r="H104" s="342">
        <v>10166</v>
      </c>
    </row>
    <row r="105" spans="1:8" x14ac:dyDescent="0.25">
      <c r="B105" s="342">
        <v>10167</v>
      </c>
      <c r="C105" s="343" t="s">
        <v>552</v>
      </c>
      <c r="D105" s="343" t="str">
        <f ca="1">OFFSET('Zip Code Lines_1'!$U$3,MATCH('Zip Code Lines_1'!C105,'Zip Code Lines_1'!$Q$4:$Q$26,0),0)</f>
        <v>NY - Central Park</v>
      </c>
      <c r="E105" s="344">
        <f ca="1">OFFSET('Zip Code Lines_1'!$W$3,MATCH('Zip Code Lines_1'!C105,'Zip Code Lines_1'!$Q$4:$Q$26,0),0)</f>
        <v>17.5</v>
      </c>
      <c r="F105" s="344">
        <f ca="1">OFFSET('Zip Code Lines_1'!$Z$3,MATCH('Zip Code Lines_1'!C105,'Zip Code Lines_1'!$Q$4:$Q$26,0),0)</f>
        <v>88</v>
      </c>
      <c r="G105" s="342">
        <f ca="1">OFFSET('Zip Code Lines_1'!$AC$3,MATCH('Zip Code Lines_1'!C105,'Zip Code Lines_1'!$Q$4:$Q$26,0),0)</f>
        <v>6</v>
      </c>
      <c r="H105" s="342">
        <v>10167</v>
      </c>
    </row>
    <row r="106" spans="1:8" x14ac:dyDescent="0.25">
      <c r="B106" s="342">
        <v>10168</v>
      </c>
      <c r="C106" s="343" t="s">
        <v>552</v>
      </c>
      <c r="D106" s="343" t="str">
        <f ca="1">OFFSET('Zip Code Lines_1'!$U$3,MATCH('Zip Code Lines_1'!C106,'Zip Code Lines_1'!$Q$4:$Q$26,0),0)</f>
        <v>NY - Central Park</v>
      </c>
      <c r="E106" s="344">
        <f ca="1">OFFSET('Zip Code Lines_1'!$W$3,MATCH('Zip Code Lines_1'!C106,'Zip Code Lines_1'!$Q$4:$Q$26,0),0)</f>
        <v>17.5</v>
      </c>
      <c r="F106" s="344">
        <f ca="1">OFFSET('Zip Code Lines_1'!$Z$3,MATCH('Zip Code Lines_1'!C106,'Zip Code Lines_1'!$Q$4:$Q$26,0),0)</f>
        <v>88</v>
      </c>
      <c r="G106" s="342">
        <f ca="1">OFFSET('Zip Code Lines_1'!$AC$3,MATCH('Zip Code Lines_1'!C106,'Zip Code Lines_1'!$Q$4:$Q$26,0),0)</f>
        <v>6</v>
      </c>
      <c r="H106" s="342">
        <v>10168</v>
      </c>
    </row>
    <row r="107" spans="1:8" x14ac:dyDescent="0.25">
      <c r="B107" s="342">
        <v>10169</v>
      </c>
      <c r="C107" s="343" t="s">
        <v>552</v>
      </c>
      <c r="D107" s="343" t="str">
        <f ca="1">OFFSET('Zip Code Lines_1'!$U$3,MATCH('Zip Code Lines_1'!C107,'Zip Code Lines_1'!$Q$4:$Q$26,0),0)</f>
        <v>NY - Central Park</v>
      </c>
      <c r="E107" s="344">
        <f ca="1">OFFSET('Zip Code Lines_1'!$W$3,MATCH('Zip Code Lines_1'!C107,'Zip Code Lines_1'!$Q$4:$Q$26,0),0)</f>
        <v>17.5</v>
      </c>
      <c r="F107" s="344">
        <f ca="1">OFFSET('Zip Code Lines_1'!$Z$3,MATCH('Zip Code Lines_1'!C107,'Zip Code Lines_1'!$Q$4:$Q$26,0),0)</f>
        <v>88</v>
      </c>
      <c r="G107" s="342">
        <f ca="1">OFFSET('Zip Code Lines_1'!$AC$3,MATCH('Zip Code Lines_1'!C107,'Zip Code Lines_1'!$Q$4:$Q$26,0),0)</f>
        <v>6</v>
      </c>
      <c r="H107" s="342">
        <v>10169</v>
      </c>
    </row>
    <row r="108" spans="1:8" x14ac:dyDescent="0.25">
      <c r="B108" s="342">
        <v>10170</v>
      </c>
      <c r="C108" s="343" t="s">
        <v>552</v>
      </c>
      <c r="D108" s="343" t="str">
        <f ca="1">OFFSET('Zip Code Lines_1'!$U$3,MATCH('Zip Code Lines_1'!C108,'Zip Code Lines_1'!$Q$4:$Q$26,0),0)</f>
        <v>NY - Central Park</v>
      </c>
      <c r="E108" s="344">
        <f ca="1">OFFSET('Zip Code Lines_1'!$W$3,MATCH('Zip Code Lines_1'!C108,'Zip Code Lines_1'!$Q$4:$Q$26,0),0)</f>
        <v>17.5</v>
      </c>
      <c r="F108" s="344">
        <f ca="1">OFFSET('Zip Code Lines_1'!$Z$3,MATCH('Zip Code Lines_1'!C108,'Zip Code Lines_1'!$Q$4:$Q$26,0),0)</f>
        <v>88</v>
      </c>
      <c r="G108" s="342">
        <f ca="1">OFFSET('Zip Code Lines_1'!$AC$3,MATCH('Zip Code Lines_1'!C108,'Zip Code Lines_1'!$Q$4:$Q$26,0),0)</f>
        <v>6</v>
      </c>
      <c r="H108" s="342">
        <v>10170</v>
      </c>
    </row>
    <row r="109" spans="1:8" x14ac:dyDescent="0.25">
      <c r="B109" s="342">
        <v>10171</v>
      </c>
      <c r="C109" s="343" t="s">
        <v>552</v>
      </c>
      <c r="D109" s="343" t="str">
        <f ca="1">OFFSET('Zip Code Lines_1'!$U$3,MATCH('Zip Code Lines_1'!C109,'Zip Code Lines_1'!$Q$4:$Q$26,0),0)</f>
        <v>NY - Central Park</v>
      </c>
      <c r="E109" s="344">
        <f ca="1">OFFSET('Zip Code Lines_1'!$W$3,MATCH('Zip Code Lines_1'!C109,'Zip Code Lines_1'!$Q$4:$Q$26,0),0)</f>
        <v>17.5</v>
      </c>
      <c r="F109" s="344">
        <f ca="1">OFFSET('Zip Code Lines_1'!$Z$3,MATCH('Zip Code Lines_1'!C109,'Zip Code Lines_1'!$Q$4:$Q$26,0),0)</f>
        <v>88</v>
      </c>
      <c r="G109" s="342">
        <f ca="1">OFFSET('Zip Code Lines_1'!$AC$3,MATCH('Zip Code Lines_1'!C109,'Zip Code Lines_1'!$Q$4:$Q$26,0),0)</f>
        <v>6</v>
      </c>
      <c r="H109" s="342">
        <v>10171</v>
      </c>
    </row>
    <row r="110" spans="1:8" x14ac:dyDescent="0.25">
      <c r="B110" s="342">
        <v>10172</v>
      </c>
      <c r="C110" s="343" t="s">
        <v>552</v>
      </c>
      <c r="D110" s="343" t="str">
        <f ca="1">OFFSET('Zip Code Lines_1'!$U$3,MATCH('Zip Code Lines_1'!C110,'Zip Code Lines_1'!$Q$4:$Q$26,0),0)</f>
        <v>NY - Central Park</v>
      </c>
      <c r="E110" s="344">
        <f ca="1">OFFSET('Zip Code Lines_1'!$W$3,MATCH('Zip Code Lines_1'!C110,'Zip Code Lines_1'!$Q$4:$Q$26,0),0)</f>
        <v>17.5</v>
      </c>
      <c r="F110" s="344">
        <f ca="1">OFFSET('Zip Code Lines_1'!$Z$3,MATCH('Zip Code Lines_1'!C110,'Zip Code Lines_1'!$Q$4:$Q$26,0),0)</f>
        <v>88</v>
      </c>
      <c r="G110" s="342">
        <f ca="1">OFFSET('Zip Code Lines_1'!$AC$3,MATCH('Zip Code Lines_1'!C110,'Zip Code Lines_1'!$Q$4:$Q$26,0),0)</f>
        <v>6</v>
      </c>
      <c r="H110" s="342">
        <v>10172</v>
      </c>
    </row>
    <row r="111" spans="1:8" x14ac:dyDescent="0.25">
      <c r="B111" s="342">
        <v>10173</v>
      </c>
      <c r="C111" s="343" t="s">
        <v>552</v>
      </c>
      <c r="D111" s="343" t="str">
        <f ca="1">OFFSET('Zip Code Lines_1'!$U$3,MATCH('Zip Code Lines_1'!C111,'Zip Code Lines_1'!$Q$4:$Q$26,0),0)</f>
        <v>NY - Central Park</v>
      </c>
      <c r="E111" s="344">
        <f ca="1">OFFSET('Zip Code Lines_1'!$W$3,MATCH('Zip Code Lines_1'!C111,'Zip Code Lines_1'!$Q$4:$Q$26,0),0)</f>
        <v>17.5</v>
      </c>
      <c r="F111" s="344">
        <f ca="1">OFFSET('Zip Code Lines_1'!$Z$3,MATCH('Zip Code Lines_1'!C111,'Zip Code Lines_1'!$Q$4:$Q$26,0),0)</f>
        <v>88</v>
      </c>
      <c r="G111" s="342">
        <f ca="1">OFFSET('Zip Code Lines_1'!$AC$3,MATCH('Zip Code Lines_1'!C111,'Zip Code Lines_1'!$Q$4:$Q$26,0),0)</f>
        <v>6</v>
      </c>
      <c r="H111" s="342">
        <v>10173</v>
      </c>
    </row>
    <row r="112" spans="1:8" x14ac:dyDescent="0.25">
      <c r="B112" s="342">
        <v>10174</v>
      </c>
      <c r="C112" s="343" t="s">
        <v>552</v>
      </c>
      <c r="D112" s="343" t="str">
        <f ca="1">OFFSET('Zip Code Lines_1'!$U$3,MATCH('Zip Code Lines_1'!C112,'Zip Code Lines_1'!$Q$4:$Q$26,0),0)</f>
        <v>NY - Central Park</v>
      </c>
      <c r="E112" s="344">
        <f ca="1">OFFSET('Zip Code Lines_1'!$W$3,MATCH('Zip Code Lines_1'!C112,'Zip Code Lines_1'!$Q$4:$Q$26,0),0)</f>
        <v>17.5</v>
      </c>
      <c r="F112" s="344">
        <f ca="1">OFFSET('Zip Code Lines_1'!$Z$3,MATCH('Zip Code Lines_1'!C112,'Zip Code Lines_1'!$Q$4:$Q$26,0),0)</f>
        <v>88</v>
      </c>
      <c r="G112" s="342">
        <f ca="1">OFFSET('Zip Code Lines_1'!$AC$3,MATCH('Zip Code Lines_1'!C112,'Zip Code Lines_1'!$Q$4:$Q$26,0),0)</f>
        <v>6</v>
      </c>
      <c r="H112" s="342">
        <v>10174</v>
      </c>
    </row>
    <row r="113" spans="1:8" x14ac:dyDescent="0.25">
      <c r="B113" s="342">
        <v>10175</v>
      </c>
      <c r="C113" s="343" t="s">
        <v>552</v>
      </c>
      <c r="D113" s="343" t="str">
        <f ca="1">OFFSET('Zip Code Lines_1'!$U$3,MATCH('Zip Code Lines_1'!C113,'Zip Code Lines_1'!$Q$4:$Q$26,0),0)</f>
        <v>NY - Central Park</v>
      </c>
      <c r="E113" s="344">
        <f ca="1">OFFSET('Zip Code Lines_1'!$W$3,MATCH('Zip Code Lines_1'!C113,'Zip Code Lines_1'!$Q$4:$Q$26,0),0)</f>
        <v>17.5</v>
      </c>
      <c r="F113" s="344">
        <f ca="1">OFFSET('Zip Code Lines_1'!$Z$3,MATCH('Zip Code Lines_1'!C113,'Zip Code Lines_1'!$Q$4:$Q$26,0),0)</f>
        <v>88</v>
      </c>
      <c r="G113" s="342">
        <f ca="1">OFFSET('Zip Code Lines_1'!$AC$3,MATCH('Zip Code Lines_1'!C113,'Zip Code Lines_1'!$Q$4:$Q$26,0),0)</f>
        <v>6</v>
      </c>
      <c r="H113" s="342">
        <v>10175</v>
      </c>
    </row>
    <row r="114" spans="1:8" x14ac:dyDescent="0.25">
      <c r="B114" s="342">
        <v>10176</v>
      </c>
      <c r="C114" s="343" t="s">
        <v>552</v>
      </c>
      <c r="D114" s="343" t="str">
        <f ca="1">OFFSET('Zip Code Lines_1'!$U$3,MATCH('Zip Code Lines_1'!C114,'Zip Code Lines_1'!$Q$4:$Q$26,0),0)</f>
        <v>NY - Central Park</v>
      </c>
      <c r="E114" s="344">
        <f ca="1">OFFSET('Zip Code Lines_1'!$W$3,MATCH('Zip Code Lines_1'!C114,'Zip Code Lines_1'!$Q$4:$Q$26,0),0)</f>
        <v>17.5</v>
      </c>
      <c r="F114" s="344">
        <f ca="1">OFFSET('Zip Code Lines_1'!$Z$3,MATCH('Zip Code Lines_1'!C114,'Zip Code Lines_1'!$Q$4:$Q$26,0),0)</f>
        <v>88</v>
      </c>
      <c r="G114" s="342">
        <f ca="1">OFFSET('Zip Code Lines_1'!$AC$3,MATCH('Zip Code Lines_1'!C114,'Zip Code Lines_1'!$Q$4:$Q$26,0),0)</f>
        <v>6</v>
      </c>
      <c r="H114" s="342">
        <v>10176</v>
      </c>
    </row>
    <row r="115" spans="1:8" x14ac:dyDescent="0.25">
      <c r="B115" s="342">
        <v>10177</v>
      </c>
      <c r="C115" s="343" t="s">
        <v>552</v>
      </c>
      <c r="D115" s="343" t="str">
        <f ca="1">OFFSET('Zip Code Lines_1'!$U$3,MATCH('Zip Code Lines_1'!C115,'Zip Code Lines_1'!$Q$4:$Q$26,0),0)</f>
        <v>NY - Central Park</v>
      </c>
      <c r="E115" s="344">
        <f ca="1">OFFSET('Zip Code Lines_1'!$W$3,MATCH('Zip Code Lines_1'!C115,'Zip Code Lines_1'!$Q$4:$Q$26,0),0)</f>
        <v>17.5</v>
      </c>
      <c r="F115" s="344">
        <f ca="1">OFFSET('Zip Code Lines_1'!$Z$3,MATCH('Zip Code Lines_1'!C115,'Zip Code Lines_1'!$Q$4:$Q$26,0),0)</f>
        <v>88</v>
      </c>
      <c r="G115" s="342">
        <f ca="1">OFFSET('Zip Code Lines_1'!$AC$3,MATCH('Zip Code Lines_1'!C115,'Zip Code Lines_1'!$Q$4:$Q$26,0),0)</f>
        <v>6</v>
      </c>
      <c r="H115" s="342">
        <v>10177</v>
      </c>
    </row>
    <row r="116" spans="1:8" x14ac:dyDescent="0.25">
      <c r="B116" s="342">
        <v>10178</v>
      </c>
      <c r="C116" s="343" t="s">
        <v>552</v>
      </c>
      <c r="D116" s="343" t="str">
        <f ca="1">OFFSET('Zip Code Lines_1'!$U$3,MATCH('Zip Code Lines_1'!C116,'Zip Code Lines_1'!$Q$4:$Q$26,0),0)</f>
        <v>NY - Central Park</v>
      </c>
      <c r="E116" s="344">
        <f ca="1">OFFSET('Zip Code Lines_1'!$W$3,MATCH('Zip Code Lines_1'!C116,'Zip Code Lines_1'!$Q$4:$Q$26,0),0)</f>
        <v>17.5</v>
      </c>
      <c r="F116" s="344">
        <f ca="1">OFFSET('Zip Code Lines_1'!$Z$3,MATCH('Zip Code Lines_1'!C116,'Zip Code Lines_1'!$Q$4:$Q$26,0),0)</f>
        <v>88</v>
      </c>
      <c r="G116" s="342">
        <f ca="1">OFFSET('Zip Code Lines_1'!$AC$3,MATCH('Zip Code Lines_1'!C116,'Zip Code Lines_1'!$Q$4:$Q$26,0),0)</f>
        <v>6</v>
      </c>
      <c r="H116" s="342">
        <v>10178</v>
      </c>
    </row>
    <row r="117" spans="1:8" x14ac:dyDescent="0.25">
      <c r="B117" s="342">
        <v>10179</v>
      </c>
      <c r="C117" s="343" t="s">
        <v>552</v>
      </c>
      <c r="D117" s="343" t="str">
        <f ca="1">OFFSET('Zip Code Lines_1'!$U$3,MATCH('Zip Code Lines_1'!C117,'Zip Code Lines_1'!$Q$4:$Q$26,0),0)</f>
        <v>NY - Central Park</v>
      </c>
      <c r="E117" s="344">
        <f ca="1">OFFSET('Zip Code Lines_1'!$W$3,MATCH('Zip Code Lines_1'!C117,'Zip Code Lines_1'!$Q$4:$Q$26,0),0)</f>
        <v>17.5</v>
      </c>
      <c r="F117" s="344">
        <f ca="1">OFFSET('Zip Code Lines_1'!$Z$3,MATCH('Zip Code Lines_1'!C117,'Zip Code Lines_1'!$Q$4:$Q$26,0),0)</f>
        <v>88</v>
      </c>
      <c r="G117" s="342">
        <f ca="1">OFFSET('Zip Code Lines_1'!$AC$3,MATCH('Zip Code Lines_1'!C117,'Zip Code Lines_1'!$Q$4:$Q$26,0),0)</f>
        <v>6</v>
      </c>
      <c r="H117" s="342">
        <v>10179</v>
      </c>
    </row>
    <row r="118" spans="1:8" x14ac:dyDescent="0.25">
      <c r="B118" s="342">
        <v>10185</v>
      </c>
      <c r="C118" s="343" t="s">
        <v>552</v>
      </c>
      <c r="D118" s="343" t="str">
        <f ca="1">OFFSET('Zip Code Lines_1'!$U$3,MATCH('Zip Code Lines_1'!C118,'Zip Code Lines_1'!$Q$4:$Q$26,0),0)</f>
        <v>NY - Central Park</v>
      </c>
      <c r="E118" s="344">
        <f ca="1">OFFSET('Zip Code Lines_1'!$W$3,MATCH('Zip Code Lines_1'!C118,'Zip Code Lines_1'!$Q$4:$Q$26,0),0)</f>
        <v>17.5</v>
      </c>
      <c r="F118" s="344">
        <f ca="1">OFFSET('Zip Code Lines_1'!$Z$3,MATCH('Zip Code Lines_1'!C118,'Zip Code Lines_1'!$Q$4:$Q$26,0),0)</f>
        <v>88</v>
      </c>
      <c r="G118" s="342">
        <f ca="1">OFFSET('Zip Code Lines_1'!$AC$3,MATCH('Zip Code Lines_1'!C118,'Zip Code Lines_1'!$Q$4:$Q$26,0),0)</f>
        <v>6</v>
      </c>
      <c r="H118" s="342">
        <v>10185</v>
      </c>
    </row>
    <row r="119" spans="1:8" x14ac:dyDescent="0.25">
      <c r="B119" s="342">
        <v>10199</v>
      </c>
      <c r="C119" s="343" t="s">
        <v>552</v>
      </c>
      <c r="D119" s="343" t="str">
        <f ca="1">OFFSET('Zip Code Lines_1'!$U$3,MATCH('Zip Code Lines_1'!C119,'Zip Code Lines_1'!$Q$4:$Q$26,0),0)</f>
        <v>NY - Central Park</v>
      </c>
      <c r="E119" s="344">
        <f ca="1">OFFSET('Zip Code Lines_1'!$W$3,MATCH('Zip Code Lines_1'!C119,'Zip Code Lines_1'!$Q$4:$Q$26,0),0)</f>
        <v>17.5</v>
      </c>
      <c r="F119" s="344">
        <f ca="1">OFFSET('Zip Code Lines_1'!$Z$3,MATCH('Zip Code Lines_1'!C119,'Zip Code Lines_1'!$Q$4:$Q$26,0),0)</f>
        <v>88</v>
      </c>
      <c r="G119" s="342">
        <f ca="1">OFFSET('Zip Code Lines_1'!$AC$3,MATCH('Zip Code Lines_1'!C119,'Zip Code Lines_1'!$Q$4:$Q$26,0),0)</f>
        <v>6</v>
      </c>
      <c r="H119" s="342">
        <v>10199</v>
      </c>
    </row>
    <row r="120" spans="1:8" x14ac:dyDescent="0.25">
      <c r="B120" s="342">
        <v>10203</v>
      </c>
      <c r="C120" s="343" t="s">
        <v>552</v>
      </c>
      <c r="D120" s="343" t="str">
        <f ca="1">OFFSET('Zip Code Lines_1'!$U$3,MATCH('Zip Code Lines_1'!C120,'Zip Code Lines_1'!$Q$4:$Q$26,0),0)</f>
        <v>NY - Central Park</v>
      </c>
      <c r="E120" s="344">
        <f ca="1">OFFSET('Zip Code Lines_1'!$W$3,MATCH('Zip Code Lines_1'!C120,'Zip Code Lines_1'!$Q$4:$Q$26,0),0)</f>
        <v>17.5</v>
      </c>
      <c r="F120" s="344">
        <f ca="1">OFFSET('Zip Code Lines_1'!$Z$3,MATCH('Zip Code Lines_1'!C120,'Zip Code Lines_1'!$Q$4:$Q$26,0),0)</f>
        <v>88</v>
      </c>
      <c r="G120" s="342">
        <f ca="1">OFFSET('Zip Code Lines_1'!$AC$3,MATCH('Zip Code Lines_1'!C120,'Zip Code Lines_1'!$Q$4:$Q$26,0),0)</f>
        <v>6</v>
      </c>
      <c r="H120" s="342">
        <v>10203</v>
      </c>
    </row>
    <row r="121" spans="1:8" x14ac:dyDescent="0.25">
      <c r="B121" s="342">
        <v>10211</v>
      </c>
      <c r="C121" s="343" t="s">
        <v>552</v>
      </c>
      <c r="D121" s="343" t="str">
        <f ca="1">OFFSET('Zip Code Lines_1'!$U$3,MATCH('Zip Code Lines_1'!C121,'Zip Code Lines_1'!$Q$4:$Q$26,0),0)</f>
        <v>NY - Central Park</v>
      </c>
      <c r="E121" s="344">
        <f ca="1">OFFSET('Zip Code Lines_1'!$W$3,MATCH('Zip Code Lines_1'!C121,'Zip Code Lines_1'!$Q$4:$Q$26,0),0)</f>
        <v>17.5</v>
      </c>
      <c r="F121" s="344">
        <f ca="1">OFFSET('Zip Code Lines_1'!$Z$3,MATCH('Zip Code Lines_1'!C121,'Zip Code Lines_1'!$Q$4:$Q$26,0),0)</f>
        <v>88</v>
      </c>
      <c r="G121" s="342">
        <f ca="1">OFFSET('Zip Code Lines_1'!$AC$3,MATCH('Zip Code Lines_1'!C121,'Zip Code Lines_1'!$Q$4:$Q$26,0),0)</f>
        <v>6</v>
      </c>
      <c r="H121" s="342">
        <v>10211</v>
      </c>
    </row>
    <row r="122" spans="1:8" x14ac:dyDescent="0.25">
      <c r="B122" s="342">
        <v>10212</v>
      </c>
      <c r="C122" s="343" t="s">
        <v>552</v>
      </c>
      <c r="D122" s="343" t="str">
        <f ca="1">OFFSET('Zip Code Lines_1'!$U$3,MATCH('Zip Code Lines_1'!C122,'Zip Code Lines_1'!$Q$4:$Q$26,0),0)</f>
        <v>NY - Central Park</v>
      </c>
      <c r="E122" s="344">
        <f ca="1">OFFSET('Zip Code Lines_1'!$W$3,MATCH('Zip Code Lines_1'!C122,'Zip Code Lines_1'!$Q$4:$Q$26,0),0)</f>
        <v>17.5</v>
      </c>
      <c r="F122" s="344">
        <f ca="1">OFFSET('Zip Code Lines_1'!$Z$3,MATCH('Zip Code Lines_1'!C122,'Zip Code Lines_1'!$Q$4:$Q$26,0),0)</f>
        <v>88</v>
      </c>
      <c r="G122" s="342">
        <f ca="1">OFFSET('Zip Code Lines_1'!$AC$3,MATCH('Zip Code Lines_1'!C122,'Zip Code Lines_1'!$Q$4:$Q$26,0),0)</f>
        <v>6</v>
      </c>
      <c r="H122" s="342">
        <v>10212</v>
      </c>
    </row>
    <row r="123" spans="1:8" x14ac:dyDescent="0.25">
      <c r="B123" s="342">
        <v>10213</v>
      </c>
      <c r="C123" s="343" t="s">
        <v>552</v>
      </c>
      <c r="D123" s="343" t="str">
        <f ca="1">OFFSET('Zip Code Lines_1'!$U$3,MATCH('Zip Code Lines_1'!C123,'Zip Code Lines_1'!$Q$4:$Q$26,0),0)</f>
        <v>NY - Central Park</v>
      </c>
      <c r="E123" s="344">
        <f ca="1">OFFSET('Zip Code Lines_1'!$W$3,MATCH('Zip Code Lines_1'!C123,'Zip Code Lines_1'!$Q$4:$Q$26,0),0)</f>
        <v>17.5</v>
      </c>
      <c r="F123" s="344">
        <f ca="1">OFFSET('Zip Code Lines_1'!$Z$3,MATCH('Zip Code Lines_1'!C123,'Zip Code Lines_1'!$Q$4:$Q$26,0),0)</f>
        <v>88</v>
      </c>
      <c r="G123" s="342">
        <f ca="1">OFFSET('Zip Code Lines_1'!$AC$3,MATCH('Zip Code Lines_1'!C123,'Zip Code Lines_1'!$Q$4:$Q$26,0),0)</f>
        <v>6</v>
      </c>
      <c r="H123" s="342">
        <v>10213</v>
      </c>
    </row>
    <row r="124" spans="1:8" x14ac:dyDescent="0.25">
      <c r="B124" s="342">
        <v>10242</v>
      </c>
      <c r="C124" s="343" t="s">
        <v>552</v>
      </c>
      <c r="D124" s="343" t="str">
        <f ca="1">OFFSET('Zip Code Lines_1'!$U$3,MATCH('Zip Code Lines_1'!C124,'Zip Code Lines_1'!$Q$4:$Q$26,0),0)</f>
        <v>NY - Central Park</v>
      </c>
      <c r="E124" s="344">
        <f ca="1">OFFSET('Zip Code Lines_1'!$W$3,MATCH('Zip Code Lines_1'!C124,'Zip Code Lines_1'!$Q$4:$Q$26,0),0)</f>
        <v>17.5</v>
      </c>
      <c r="F124" s="344">
        <f ca="1">OFFSET('Zip Code Lines_1'!$Z$3,MATCH('Zip Code Lines_1'!C124,'Zip Code Lines_1'!$Q$4:$Q$26,0),0)</f>
        <v>88</v>
      </c>
      <c r="G124" s="342">
        <f ca="1">OFFSET('Zip Code Lines_1'!$AC$3,MATCH('Zip Code Lines_1'!C124,'Zip Code Lines_1'!$Q$4:$Q$26,0),0)</f>
        <v>6</v>
      </c>
      <c r="H124" s="342">
        <v>10242</v>
      </c>
    </row>
    <row r="125" spans="1:8" x14ac:dyDescent="0.25">
      <c r="B125" s="342">
        <v>10249</v>
      </c>
      <c r="C125" s="343" t="s">
        <v>552</v>
      </c>
      <c r="D125" s="343" t="str">
        <f ca="1">OFFSET('Zip Code Lines_1'!$U$3,MATCH('Zip Code Lines_1'!C125,'Zip Code Lines_1'!$Q$4:$Q$26,0),0)</f>
        <v>NY - Central Park</v>
      </c>
      <c r="E125" s="344">
        <f ca="1">OFFSET('Zip Code Lines_1'!$W$3,MATCH('Zip Code Lines_1'!C125,'Zip Code Lines_1'!$Q$4:$Q$26,0),0)</f>
        <v>17.5</v>
      </c>
      <c r="F125" s="344">
        <f ca="1">OFFSET('Zip Code Lines_1'!$Z$3,MATCH('Zip Code Lines_1'!C125,'Zip Code Lines_1'!$Q$4:$Q$26,0),0)</f>
        <v>88</v>
      </c>
      <c r="G125" s="342">
        <f ca="1">OFFSET('Zip Code Lines_1'!$AC$3,MATCH('Zip Code Lines_1'!C125,'Zip Code Lines_1'!$Q$4:$Q$26,0),0)</f>
        <v>6</v>
      </c>
      <c r="H125" s="342">
        <v>10249</v>
      </c>
    </row>
    <row r="126" spans="1:8" x14ac:dyDescent="0.25">
      <c r="B126" s="342">
        <v>10256</v>
      </c>
      <c r="C126" s="343" t="s">
        <v>552</v>
      </c>
      <c r="D126" s="343" t="str">
        <f ca="1">OFFSET('Zip Code Lines_1'!$U$3,MATCH('Zip Code Lines_1'!C126,'Zip Code Lines_1'!$Q$4:$Q$26,0),0)</f>
        <v>NY - Central Park</v>
      </c>
      <c r="E126" s="344">
        <f ca="1">OFFSET('Zip Code Lines_1'!$W$3,MATCH('Zip Code Lines_1'!C126,'Zip Code Lines_1'!$Q$4:$Q$26,0),0)</f>
        <v>17.5</v>
      </c>
      <c r="F126" s="344">
        <f ca="1">OFFSET('Zip Code Lines_1'!$Z$3,MATCH('Zip Code Lines_1'!C126,'Zip Code Lines_1'!$Q$4:$Q$26,0),0)</f>
        <v>88</v>
      </c>
      <c r="G126" s="342">
        <f ca="1">OFFSET('Zip Code Lines_1'!$AC$3,MATCH('Zip Code Lines_1'!C126,'Zip Code Lines_1'!$Q$4:$Q$26,0),0)</f>
        <v>6</v>
      </c>
      <c r="H126" s="342">
        <v>10256</v>
      </c>
    </row>
    <row r="127" spans="1:8" x14ac:dyDescent="0.25">
      <c r="A127" s="342" t="s">
        <v>720</v>
      </c>
      <c r="B127" s="342">
        <v>10257</v>
      </c>
      <c r="C127" s="366" t="s">
        <v>552</v>
      </c>
      <c r="D127" s="343" t="str">
        <f ca="1">OFFSET('Zip Code Lines_1'!$U$3,MATCH('Zip Code Lines_1'!C127,'Zip Code Lines_1'!$Q$4:$Q$26,0),0)</f>
        <v>NY - Central Park</v>
      </c>
      <c r="E127" s="344">
        <f ca="1">OFFSET('Zip Code Lines_1'!$W$3,MATCH('Zip Code Lines_1'!C127,'Zip Code Lines_1'!$Q$4:$Q$26,0),0)</f>
        <v>17.5</v>
      </c>
      <c r="F127" s="344">
        <f ca="1">OFFSET('Zip Code Lines_1'!$Z$3,MATCH('Zip Code Lines_1'!C127,'Zip Code Lines_1'!$Q$4:$Q$26,0),0)</f>
        <v>88</v>
      </c>
      <c r="G127" s="342">
        <f ca="1">OFFSET('Zip Code Lines_1'!$AC$3,MATCH('Zip Code Lines_1'!C127,'Zip Code Lines_1'!$Q$4:$Q$26,0),0)</f>
        <v>6</v>
      </c>
    </row>
    <row r="128" spans="1:8" x14ac:dyDescent="0.25">
      <c r="B128" s="342">
        <v>10258</v>
      </c>
      <c r="C128" s="343" t="s">
        <v>552</v>
      </c>
      <c r="D128" s="343" t="str">
        <f ca="1">OFFSET('Zip Code Lines_1'!$U$3,MATCH('Zip Code Lines_1'!C128,'Zip Code Lines_1'!$Q$4:$Q$26,0),0)</f>
        <v>NY - Central Park</v>
      </c>
      <c r="E128" s="344">
        <f ca="1">OFFSET('Zip Code Lines_1'!$W$3,MATCH('Zip Code Lines_1'!C128,'Zip Code Lines_1'!$Q$4:$Q$26,0),0)</f>
        <v>17.5</v>
      </c>
      <c r="F128" s="344">
        <f ca="1">OFFSET('Zip Code Lines_1'!$Z$3,MATCH('Zip Code Lines_1'!C128,'Zip Code Lines_1'!$Q$4:$Q$26,0),0)</f>
        <v>88</v>
      </c>
      <c r="G128" s="342">
        <f ca="1">OFFSET('Zip Code Lines_1'!$AC$3,MATCH('Zip Code Lines_1'!C128,'Zip Code Lines_1'!$Q$4:$Q$26,0),0)</f>
        <v>6</v>
      </c>
      <c r="H128" s="342">
        <v>10258</v>
      </c>
    </row>
    <row r="129" spans="2:8" x14ac:dyDescent="0.25">
      <c r="B129" s="342">
        <v>10259</v>
      </c>
      <c r="C129" s="343" t="s">
        <v>552</v>
      </c>
      <c r="D129" s="343" t="str">
        <f ca="1">OFFSET('Zip Code Lines_1'!$U$3,MATCH('Zip Code Lines_1'!C129,'Zip Code Lines_1'!$Q$4:$Q$26,0),0)</f>
        <v>NY - Central Park</v>
      </c>
      <c r="E129" s="344">
        <f ca="1">OFFSET('Zip Code Lines_1'!$W$3,MATCH('Zip Code Lines_1'!C129,'Zip Code Lines_1'!$Q$4:$Q$26,0),0)</f>
        <v>17.5</v>
      </c>
      <c r="F129" s="344">
        <f ca="1">OFFSET('Zip Code Lines_1'!$Z$3,MATCH('Zip Code Lines_1'!C129,'Zip Code Lines_1'!$Q$4:$Q$26,0),0)</f>
        <v>88</v>
      </c>
      <c r="G129" s="342">
        <f ca="1">OFFSET('Zip Code Lines_1'!$AC$3,MATCH('Zip Code Lines_1'!C129,'Zip Code Lines_1'!$Q$4:$Q$26,0),0)</f>
        <v>6</v>
      </c>
      <c r="H129" s="342">
        <v>10259</v>
      </c>
    </row>
    <row r="130" spans="2:8" x14ac:dyDescent="0.25">
      <c r="B130" s="342">
        <v>10260</v>
      </c>
      <c r="C130" s="343" t="s">
        <v>552</v>
      </c>
      <c r="D130" s="343" t="str">
        <f ca="1">OFFSET('Zip Code Lines_1'!$U$3,MATCH('Zip Code Lines_1'!C130,'Zip Code Lines_1'!$Q$4:$Q$26,0),0)</f>
        <v>NY - Central Park</v>
      </c>
      <c r="E130" s="344">
        <f ca="1">OFFSET('Zip Code Lines_1'!$W$3,MATCH('Zip Code Lines_1'!C130,'Zip Code Lines_1'!$Q$4:$Q$26,0),0)</f>
        <v>17.5</v>
      </c>
      <c r="F130" s="344">
        <f ca="1">OFFSET('Zip Code Lines_1'!$Z$3,MATCH('Zip Code Lines_1'!C130,'Zip Code Lines_1'!$Q$4:$Q$26,0),0)</f>
        <v>88</v>
      </c>
      <c r="G130" s="342">
        <f ca="1">OFFSET('Zip Code Lines_1'!$AC$3,MATCH('Zip Code Lines_1'!C130,'Zip Code Lines_1'!$Q$4:$Q$26,0),0)</f>
        <v>6</v>
      </c>
      <c r="H130" s="342">
        <v>10260</v>
      </c>
    </row>
    <row r="131" spans="2:8" x14ac:dyDescent="0.25">
      <c r="B131" s="342">
        <v>10261</v>
      </c>
      <c r="C131" s="343" t="s">
        <v>552</v>
      </c>
      <c r="D131" s="343" t="str">
        <f ca="1">OFFSET('Zip Code Lines_1'!$U$3,MATCH('Zip Code Lines_1'!C131,'Zip Code Lines_1'!$Q$4:$Q$26,0),0)</f>
        <v>NY - Central Park</v>
      </c>
      <c r="E131" s="344">
        <f ca="1">OFFSET('Zip Code Lines_1'!$W$3,MATCH('Zip Code Lines_1'!C131,'Zip Code Lines_1'!$Q$4:$Q$26,0),0)</f>
        <v>17.5</v>
      </c>
      <c r="F131" s="344">
        <f ca="1">OFFSET('Zip Code Lines_1'!$Z$3,MATCH('Zip Code Lines_1'!C131,'Zip Code Lines_1'!$Q$4:$Q$26,0),0)</f>
        <v>88</v>
      </c>
      <c r="G131" s="342">
        <f ca="1">OFFSET('Zip Code Lines_1'!$AC$3,MATCH('Zip Code Lines_1'!C131,'Zip Code Lines_1'!$Q$4:$Q$26,0),0)</f>
        <v>6</v>
      </c>
      <c r="H131" s="342">
        <v>10261</v>
      </c>
    </row>
    <row r="132" spans="2:8" x14ac:dyDescent="0.25">
      <c r="B132" s="342">
        <v>10265</v>
      </c>
      <c r="C132" s="343" t="s">
        <v>552</v>
      </c>
      <c r="D132" s="343" t="str">
        <f ca="1">OFFSET('Zip Code Lines_1'!$U$3,MATCH('Zip Code Lines_1'!C132,'Zip Code Lines_1'!$Q$4:$Q$26,0),0)</f>
        <v>NY - Central Park</v>
      </c>
      <c r="E132" s="344">
        <f ca="1">OFFSET('Zip Code Lines_1'!$W$3,MATCH('Zip Code Lines_1'!C132,'Zip Code Lines_1'!$Q$4:$Q$26,0),0)</f>
        <v>17.5</v>
      </c>
      <c r="F132" s="344">
        <f ca="1">OFFSET('Zip Code Lines_1'!$Z$3,MATCH('Zip Code Lines_1'!C132,'Zip Code Lines_1'!$Q$4:$Q$26,0),0)</f>
        <v>88</v>
      </c>
      <c r="G132" s="342">
        <f ca="1">OFFSET('Zip Code Lines_1'!$AC$3,MATCH('Zip Code Lines_1'!C132,'Zip Code Lines_1'!$Q$4:$Q$26,0),0)</f>
        <v>6</v>
      </c>
      <c r="H132" s="342">
        <v>10265</v>
      </c>
    </row>
    <row r="133" spans="2:8" x14ac:dyDescent="0.25">
      <c r="B133" s="342">
        <v>10268</v>
      </c>
      <c r="C133" s="343" t="s">
        <v>552</v>
      </c>
      <c r="D133" s="343" t="str">
        <f ca="1">OFFSET('Zip Code Lines_1'!$U$3,MATCH('Zip Code Lines_1'!C133,'Zip Code Lines_1'!$Q$4:$Q$26,0),0)</f>
        <v>NY - Central Park</v>
      </c>
      <c r="E133" s="344">
        <f ca="1">OFFSET('Zip Code Lines_1'!$W$3,MATCH('Zip Code Lines_1'!C133,'Zip Code Lines_1'!$Q$4:$Q$26,0),0)</f>
        <v>17.5</v>
      </c>
      <c r="F133" s="344">
        <f ca="1">OFFSET('Zip Code Lines_1'!$Z$3,MATCH('Zip Code Lines_1'!C133,'Zip Code Lines_1'!$Q$4:$Q$26,0),0)</f>
        <v>88</v>
      </c>
      <c r="G133" s="342">
        <f ca="1">OFFSET('Zip Code Lines_1'!$AC$3,MATCH('Zip Code Lines_1'!C133,'Zip Code Lines_1'!$Q$4:$Q$26,0),0)</f>
        <v>6</v>
      </c>
      <c r="H133" s="342">
        <v>10268</v>
      </c>
    </row>
    <row r="134" spans="2:8" x14ac:dyDescent="0.25">
      <c r="B134" s="342">
        <v>10269</v>
      </c>
      <c r="C134" s="343" t="s">
        <v>552</v>
      </c>
      <c r="D134" s="343" t="str">
        <f ca="1">OFFSET('Zip Code Lines_1'!$U$3,MATCH('Zip Code Lines_1'!C134,'Zip Code Lines_1'!$Q$4:$Q$26,0),0)</f>
        <v>NY - Central Park</v>
      </c>
      <c r="E134" s="344">
        <f ca="1">OFFSET('Zip Code Lines_1'!$W$3,MATCH('Zip Code Lines_1'!C134,'Zip Code Lines_1'!$Q$4:$Q$26,0),0)</f>
        <v>17.5</v>
      </c>
      <c r="F134" s="344">
        <f ca="1">OFFSET('Zip Code Lines_1'!$Z$3,MATCH('Zip Code Lines_1'!C134,'Zip Code Lines_1'!$Q$4:$Q$26,0),0)</f>
        <v>88</v>
      </c>
      <c r="G134" s="342">
        <f ca="1">OFFSET('Zip Code Lines_1'!$AC$3,MATCH('Zip Code Lines_1'!C134,'Zip Code Lines_1'!$Q$4:$Q$26,0),0)</f>
        <v>6</v>
      </c>
      <c r="H134" s="342">
        <v>10269</v>
      </c>
    </row>
    <row r="135" spans="2:8" x14ac:dyDescent="0.25">
      <c r="B135" s="342">
        <v>10270</v>
      </c>
      <c r="C135" s="343" t="s">
        <v>552</v>
      </c>
      <c r="D135" s="343" t="str">
        <f ca="1">OFFSET('Zip Code Lines_1'!$U$3,MATCH('Zip Code Lines_1'!C135,'Zip Code Lines_1'!$Q$4:$Q$26,0),0)</f>
        <v>NY - Central Park</v>
      </c>
      <c r="E135" s="344">
        <f ca="1">OFFSET('Zip Code Lines_1'!$W$3,MATCH('Zip Code Lines_1'!C135,'Zip Code Lines_1'!$Q$4:$Q$26,0),0)</f>
        <v>17.5</v>
      </c>
      <c r="F135" s="344">
        <f ca="1">OFFSET('Zip Code Lines_1'!$Z$3,MATCH('Zip Code Lines_1'!C135,'Zip Code Lines_1'!$Q$4:$Q$26,0),0)</f>
        <v>88</v>
      </c>
      <c r="G135" s="342">
        <f ca="1">OFFSET('Zip Code Lines_1'!$AC$3,MATCH('Zip Code Lines_1'!C135,'Zip Code Lines_1'!$Q$4:$Q$26,0),0)</f>
        <v>6</v>
      </c>
      <c r="H135" s="342">
        <v>10270</v>
      </c>
    </row>
    <row r="136" spans="2:8" x14ac:dyDescent="0.25">
      <c r="B136" s="342">
        <v>10271</v>
      </c>
      <c r="C136" s="343" t="s">
        <v>552</v>
      </c>
      <c r="D136" s="343" t="str">
        <f ca="1">OFFSET('Zip Code Lines_1'!$U$3,MATCH('Zip Code Lines_1'!C136,'Zip Code Lines_1'!$Q$4:$Q$26,0),0)</f>
        <v>NY - Central Park</v>
      </c>
      <c r="E136" s="344">
        <f ca="1">OFFSET('Zip Code Lines_1'!$W$3,MATCH('Zip Code Lines_1'!C136,'Zip Code Lines_1'!$Q$4:$Q$26,0),0)</f>
        <v>17.5</v>
      </c>
      <c r="F136" s="344">
        <f ca="1">OFFSET('Zip Code Lines_1'!$Z$3,MATCH('Zip Code Lines_1'!C136,'Zip Code Lines_1'!$Q$4:$Q$26,0),0)</f>
        <v>88</v>
      </c>
      <c r="G136" s="342">
        <f ca="1">OFFSET('Zip Code Lines_1'!$AC$3,MATCH('Zip Code Lines_1'!C136,'Zip Code Lines_1'!$Q$4:$Q$26,0),0)</f>
        <v>6</v>
      </c>
      <c r="H136" s="342">
        <v>10271</v>
      </c>
    </row>
    <row r="137" spans="2:8" x14ac:dyDescent="0.25">
      <c r="B137" s="342">
        <v>10272</v>
      </c>
      <c r="C137" s="343" t="s">
        <v>552</v>
      </c>
      <c r="D137" s="343" t="str">
        <f ca="1">OFFSET('Zip Code Lines_1'!$U$3,MATCH('Zip Code Lines_1'!C137,'Zip Code Lines_1'!$Q$4:$Q$26,0),0)</f>
        <v>NY - Central Park</v>
      </c>
      <c r="E137" s="344">
        <f ca="1">OFFSET('Zip Code Lines_1'!$W$3,MATCH('Zip Code Lines_1'!C137,'Zip Code Lines_1'!$Q$4:$Q$26,0),0)</f>
        <v>17.5</v>
      </c>
      <c r="F137" s="344">
        <f ca="1">OFFSET('Zip Code Lines_1'!$Z$3,MATCH('Zip Code Lines_1'!C137,'Zip Code Lines_1'!$Q$4:$Q$26,0),0)</f>
        <v>88</v>
      </c>
      <c r="G137" s="342">
        <f ca="1">OFFSET('Zip Code Lines_1'!$AC$3,MATCH('Zip Code Lines_1'!C137,'Zip Code Lines_1'!$Q$4:$Q$26,0),0)</f>
        <v>6</v>
      </c>
      <c r="H137" s="342">
        <v>10272</v>
      </c>
    </row>
    <row r="138" spans="2:8" x14ac:dyDescent="0.25">
      <c r="B138" s="342">
        <v>10273</v>
      </c>
      <c r="C138" s="343" t="s">
        <v>552</v>
      </c>
      <c r="D138" s="343" t="str">
        <f ca="1">OFFSET('Zip Code Lines_1'!$U$3,MATCH('Zip Code Lines_1'!C138,'Zip Code Lines_1'!$Q$4:$Q$26,0),0)</f>
        <v>NY - Central Park</v>
      </c>
      <c r="E138" s="344">
        <f ca="1">OFFSET('Zip Code Lines_1'!$W$3,MATCH('Zip Code Lines_1'!C138,'Zip Code Lines_1'!$Q$4:$Q$26,0),0)</f>
        <v>17.5</v>
      </c>
      <c r="F138" s="344">
        <f ca="1">OFFSET('Zip Code Lines_1'!$Z$3,MATCH('Zip Code Lines_1'!C138,'Zip Code Lines_1'!$Q$4:$Q$26,0),0)</f>
        <v>88</v>
      </c>
      <c r="G138" s="342">
        <f ca="1">OFFSET('Zip Code Lines_1'!$AC$3,MATCH('Zip Code Lines_1'!C138,'Zip Code Lines_1'!$Q$4:$Q$26,0),0)</f>
        <v>6</v>
      </c>
      <c r="H138" s="342">
        <v>10273</v>
      </c>
    </row>
    <row r="139" spans="2:8" x14ac:dyDescent="0.25">
      <c r="B139" s="342">
        <v>10274</v>
      </c>
      <c r="C139" s="343" t="s">
        <v>552</v>
      </c>
      <c r="D139" s="343" t="str">
        <f ca="1">OFFSET('Zip Code Lines_1'!$U$3,MATCH('Zip Code Lines_1'!C139,'Zip Code Lines_1'!$Q$4:$Q$26,0),0)</f>
        <v>NY - Central Park</v>
      </c>
      <c r="E139" s="344">
        <f ca="1">OFFSET('Zip Code Lines_1'!$W$3,MATCH('Zip Code Lines_1'!C139,'Zip Code Lines_1'!$Q$4:$Q$26,0),0)</f>
        <v>17.5</v>
      </c>
      <c r="F139" s="344">
        <f ca="1">OFFSET('Zip Code Lines_1'!$Z$3,MATCH('Zip Code Lines_1'!C139,'Zip Code Lines_1'!$Q$4:$Q$26,0),0)</f>
        <v>88</v>
      </c>
      <c r="G139" s="342">
        <f ca="1">OFFSET('Zip Code Lines_1'!$AC$3,MATCH('Zip Code Lines_1'!C139,'Zip Code Lines_1'!$Q$4:$Q$26,0),0)</f>
        <v>6</v>
      </c>
      <c r="H139" s="342">
        <v>10274</v>
      </c>
    </row>
    <row r="140" spans="2:8" x14ac:dyDescent="0.25">
      <c r="B140" s="342">
        <v>10275</v>
      </c>
      <c r="C140" s="343" t="s">
        <v>552</v>
      </c>
      <c r="D140" s="343" t="str">
        <f ca="1">OFFSET('Zip Code Lines_1'!$U$3,MATCH('Zip Code Lines_1'!C140,'Zip Code Lines_1'!$Q$4:$Q$26,0),0)</f>
        <v>NY - Central Park</v>
      </c>
      <c r="E140" s="344">
        <f ca="1">OFFSET('Zip Code Lines_1'!$W$3,MATCH('Zip Code Lines_1'!C140,'Zip Code Lines_1'!$Q$4:$Q$26,0),0)</f>
        <v>17.5</v>
      </c>
      <c r="F140" s="344">
        <f ca="1">OFFSET('Zip Code Lines_1'!$Z$3,MATCH('Zip Code Lines_1'!C140,'Zip Code Lines_1'!$Q$4:$Q$26,0),0)</f>
        <v>88</v>
      </c>
      <c r="G140" s="342">
        <f ca="1">OFFSET('Zip Code Lines_1'!$AC$3,MATCH('Zip Code Lines_1'!C140,'Zip Code Lines_1'!$Q$4:$Q$26,0),0)</f>
        <v>6</v>
      </c>
      <c r="H140" s="342">
        <v>10275</v>
      </c>
    </row>
    <row r="141" spans="2:8" x14ac:dyDescent="0.25">
      <c r="B141" s="342">
        <v>10276</v>
      </c>
      <c r="C141" s="343" t="s">
        <v>552</v>
      </c>
      <c r="D141" s="343" t="str">
        <f ca="1">OFFSET('Zip Code Lines_1'!$U$3,MATCH('Zip Code Lines_1'!C141,'Zip Code Lines_1'!$Q$4:$Q$26,0),0)</f>
        <v>NY - Central Park</v>
      </c>
      <c r="E141" s="344">
        <f ca="1">OFFSET('Zip Code Lines_1'!$W$3,MATCH('Zip Code Lines_1'!C141,'Zip Code Lines_1'!$Q$4:$Q$26,0),0)</f>
        <v>17.5</v>
      </c>
      <c r="F141" s="344">
        <f ca="1">OFFSET('Zip Code Lines_1'!$Z$3,MATCH('Zip Code Lines_1'!C141,'Zip Code Lines_1'!$Q$4:$Q$26,0),0)</f>
        <v>88</v>
      </c>
      <c r="G141" s="342">
        <f ca="1">OFFSET('Zip Code Lines_1'!$AC$3,MATCH('Zip Code Lines_1'!C141,'Zip Code Lines_1'!$Q$4:$Q$26,0),0)</f>
        <v>6</v>
      </c>
      <c r="H141" s="342">
        <v>10276</v>
      </c>
    </row>
    <row r="142" spans="2:8" x14ac:dyDescent="0.25">
      <c r="B142" s="342">
        <v>10277</v>
      </c>
      <c r="C142" s="343" t="s">
        <v>552</v>
      </c>
      <c r="D142" s="343" t="str">
        <f ca="1">OFFSET('Zip Code Lines_1'!$U$3,MATCH('Zip Code Lines_1'!C142,'Zip Code Lines_1'!$Q$4:$Q$26,0),0)</f>
        <v>NY - Central Park</v>
      </c>
      <c r="E142" s="344">
        <f ca="1">OFFSET('Zip Code Lines_1'!$W$3,MATCH('Zip Code Lines_1'!C142,'Zip Code Lines_1'!$Q$4:$Q$26,0),0)</f>
        <v>17.5</v>
      </c>
      <c r="F142" s="344">
        <f ca="1">OFFSET('Zip Code Lines_1'!$Z$3,MATCH('Zip Code Lines_1'!C142,'Zip Code Lines_1'!$Q$4:$Q$26,0),0)</f>
        <v>88</v>
      </c>
      <c r="G142" s="342">
        <f ca="1">OFFSET('Zip Code Lines_1'!$AC$3,MATCH('Zip Code Lines_1'!C142,'Zip Code Lines_1'!$Q$4:$Q$26,0),0)</f>
        <v>6</v>
      </c>
      <c r="H142" s="342">
        <v>10277</v>
      </c>
    </row>
    <row r="143" spans="2:8" x14ac:dyDescent="0.25">
      <c r="B143" s="342">
        <v>10278</v>
      </c>
      <c r="C143" s="343" t="s">
        <v>552</v>
      </c>
      <c r="D143" s="343" t="str">
        <f ca="1">OFFSET('Zip Code Lines_1'!$U$3,MATCH('Zip Code Lines_1'!C143,'Zip Code Lines_1'!$Q$4:$Q$26,0),0)</f>
        <v>NY - Central Park</v>
      </c>
      <c r="E143" s="344">
        <f ca="1">OFFSET('Zip Code Lines_1'!$W$3,MATCH('Zip Code Lines_1'!C143,'Zip Code Lines_1'!$Q$4:$Q$26,0),0)</f>
        <v>17.5</v>
      </c>
      <c r="F143" s="344">
        <f ca="1">OFFSET('Zip Code Lines_1'!$Z$3,MATCH('Zip Code Lines_1'!C143,'Zip Code Lines_1'!$Q$4:$Q$26,0),0)</f>
        <v>88</v>
      </c>
      <c r="G143" s="342">
        <f ca="1">OFFSET('Zip Code Lines_1'!$AC$3,MATCH('Zip Code Lines_1'!C143,'Zip Code Lines_1'!$Q$4:$Q$26,0),0)</f>
        <v>6</v>
      </c>
      <c r="H143" s="342">
        <v>10278</v>
      </c>
    </row>
    <row r="144" spans="2:8" x14ac:dyDescent="0.25">
      <c r="B144" s="342">
        <v>10279</v>
      </c>
      <c r="C144" s="343" t="s">
        <v>552</v>
      </c>
      <c r="D144" s="343" t="str">
        <f ca="1">OFFSET('Zip Code Lines_1'!$U$3,MATCH('Zip Code Lines_1'!C144,'Zip Code Lines_1'!$Q$4:$Q$26,0),0)</f>
        <v>NY - Central Park</v>
      </c>
      <c r="E144" s="344">
        <f ca="1">OFFSET('Zip Code Lines_1'!$W$3,MATCH('Zip Code Lines_1'!C144,'Zip Code Lines_1'!$Q$4:$Q$26,0),0)</f>
        <v>17.5</v>
      </c>
      <c r="F144" s="344">
        <f ca="1">OFFSET('Zip Code Lines_1'!$Z$3,MATCH('Zip Code Lines_1'!C144,'Zip Code Lines_1'!$Q$4:$Q$26,0),0)</f>
        <v>88</v>
      </c>
      <c r="G144" s="342">
        <f ca="1">OFFSET('Zip Code Lines_1'!$AC$3,MATCH('Zip Code Lines_1'!C144,'Zip Code Lines_1'!$Q$4:$Q$26,0),0)</f>
        <v>6</v>
      </c>
      <c r="H144" s="342">
        <v>10279</v>
      </c>
    </row>
    <row r="145" spans="1:8" x14ac:dyDescent="0.25">
      <c r="B145" s="342">
        <v>10280</v>
      </c>
      <c r="C145" s="343" t="s">
        <v>552</v>
      </c>
      <c r="D145" s="343" t="str">
        <f ca="1">OFFSET('Zip Code Lines_1'!$U$3,MATCH('Zip Code Lines_1'!C145,'Zip Code Lines_1'!$Q$4:$Q$26,0),0)</f>
        <v>NY - Central Park</v>
      </c>
      <c r="E145" s="344">
        <f ca="1">OFFSET('Zip Code Lines_1'!$W$3,MATCH('Zip Code Lines_1'!C145,'Zip Code Lines_1'!$Q$4:$Q$26,0),0)</f>
        <v>17.5</v>
      </c>
      <c r="F145" s="344">
        <f ca="1">OFFSET('Zip Code Lines_1'!$Z$3,MATCH('Zip Code Lines_1'!C145,'Zip Code Lines_1'!$Q$4:$Q$26,0),0)</f>
        <v>88</v>
      </c>
      <c r="G145" s="342">
        <f ca="1">OFFSET('Zip Code Lines_1'!$AC$3,MATCH('Zip Code Lines_1'!C145,'Zip Code Lines_1'!$Q$4:$Q$26,0),0)</f>
        <v>6</v>
      </c>
      <c r="H145" s="342">
        <v>10280</v>
      </c>
    </row>
    <row r="146" spans="1:8" x14ac:dyDescent="0.25">
      <c r="B146" s="342">
        <v>10281</v>
      </c>
      <c r="C146" s="343" t="s">
        <v>552</v>
      </c>
      <c r="D146" s="343" t="str">
        <f ca="1">OFFSET('Zip Code Lines_1'!$U$3,MATCH('Zip Code Lines_1'!C146,'Zip Code Lines_1'!$Q$4:$Q$26,0),0)</f>
        <v>NY - Central Park</v>
      </c>
      <c r="E146" s="344">
        <f ca="1">OFFSET('Zip Code Lines_1'!$W$3,MATCH('Zip Code Lines_1'!C146,'Zip Code Lines_1'!$Q$4:$Q$26,0),0)</f>
        <v>17.5</v>
      </c>
      <c r="F146" s="344">
        <f ca="1">OFFSET('Zip Code Lines_1'!$Z$3,MATCH('Zip Code Lines_1'!C146,'Zip Code Lines_1'!$Q$4:$Q$26,0),0)</f>
        <v>88</v>
      </c>
      <c r="G146" s="342">
        <f ca="1">OFFSET('Zip Code Lines_1'!$AC$3,MATCH('Zip Code Lines_1'!C146,'Zip Code Lines_1'!$Q$4:$Q$26,0),0)</f>
        <v>6</v>
      </c>
      <c r="H146" s="342">
        <v>10281</v>
      </c>
    </row>
    <row r="147" spans="1:8" x14ac:dyDescent="0.25">
      <c r="B147" s="342">
        <v>10282</v>
      </c>
      <c r="C147" s="343" t="s">
        <v>552</v>
      </c>
      <c r="D147" s="343" t="str">
        <f ca="1">OFFSET('Zip Code Lines_1'!$U$3,MATCH('Zip Code Lines_1'!C147,'Zip Code Lines_1'!$Q$4:$Q$26,0),0)</f>
        <v>NY - Central Park</v>
      </c>
      <c r="E147" s="344">
        <f ca="1">OFFSET('Zip Code Lines_1'!$W$3,MATCH('Zip Code Lines_1'!C147,'Zip Code Lines_1'!$Q$4:$Q$26,0),0)</f>
        <v>17.5</v>
      </c>
      <c r="F147" s="344">
        <f ca="1">OFFSET('Zip Code Lines_1'!$Z$3,MATCH('Zip Code Lines_1'!C147,'Zip Code Lines_1'!$Q$4:$Q$26,0),0)</f>
        <v>88</v>
      </c>
      <c r="G147" s="342">
        <f ca="1">OFFSET('Zip Code Lines_1'!$AC$3,MATCH('Zip Code Lines_1'!C147,'Zip Code Lines_1'!$Q$4:$Q$26,0),0)</f>
        <v>6</v>
      </c>
      <c r="H147" s="342">
        <v>10282</v>
      </c>
    </row>
    <row r="148" spans="1:8" x14ac:dyDescent="0.25">
      <c r="B148" s="342">
        <v>10285</v>
      </c>
      <c r="C148" s="343" t="s">
        <v>552</v>
      </c>
      <c r="D148" s="343" t="str">
        <f ca="1">OFFSET('Zip Code Lines_1'!$U$3,MATCH('Zip Code Lines_1'!C148,'Zip Code Lines_1'!$Q$4:$Q$26,0),0)</f>
        <v>NY - Central Park</v>
      </c>
      <c r="E148" s="344">
        <f ca="1">OFFSET('Zip Code Lines_1'!$W$3,MATCH('Zip Code Lines_1'!C148,'Zip Code Lines_1'!$Q$4:$Q$26,0),0)</f>
        <v>17.5</v>
      </c>
      <c r="F148" s="344">
        <f ca="1">OFFSET('Zip Code Lines_1'!$Z$3,MATCH('Zip Code Lines_1'!C148,'Zip Code Lines_1'!$Q$4:$Q$26,0),0)</f>
        <v>88</v>
      </c>
      <c r="G148" s="342">
        <f ca="1">OFFSET('Zip Code Lines_1'!$AC$3,MATCH('Zip Code Lines_1'!C148,'Zip Code Lines_1'!$Q$4:$Q$26,0),0)</f>
        <v>6</v>
      </c>
      <c r="H148" s="342">
        <v>10285</v>
      </c>
    </row>
    <row r="149" spans="1:8" x14ac:dyDescent="0.25">
      <c r="B149" s="342">
        <v>10286</v>
      </c>
      <c r="C149" s="343" t="s">
        <v>552</v>
      </c>
      <c r="D149" s="343" t="str">
        <f ca="1">OFFSET('Zip Code Lines_1'!$U$3,MATCH('Zip Code Lines_1'!C149,'Zip Code Lines_1'!$Q$4:$Q$26,0),0)</f>
        <v>NY - Central Park</v>
      </c>
      <c r="E149" s="344">
        <f ca="1">OFFSET('Zip Code Lines_1'!$W$3,MATCH('Zip Code Lines_1'!C149,'Zip Code Lines_1'!$Q$4:$Q$26,0),0)</f>
        <v>17.5</v>
      </c>
      <c r="F149" s="344">
        <f ca="1">OFFSET('Zip Code Lines_1'!$Z$3,MATCH('Zip Code Lines_1'!C149,'Zip Code Lines_1'!$Q$4:$Q$26,0),0)</f>
        <v>88</v>
      </c>
      <c r="G149" s="342">
        <f ca="1">OFFSET('Zip Code Lines_1'!$AC$3,MATCH('Zip Code Lines_1'!C149,'Zip Code Lines_1'!$Q$4:$Q$26,0),0)</f>
        <v>6</v>
      </c>
      <c r="H149" s="342">
        <v>10286</v>
      </c>
    </row>
    <row r="150" spans="1:8" x14ac:dyDescent="0.25">
      <c r="A150" s="342" t="s">
        <v>720</v>
      </c>
      <c r="B150" s="342">
        <v>10292</v>
      </c>
      <c r="C150" s="366" t="s">
        <v>552</v>
      </c>
      <c r="D150" s="343" t="str">
        <f ca="1">OFFSET('Zip Code Lines_1'!$U$3,MATCH('Zip Code Lines_1'!C150,'Zip Code Lines_1'!$Q$4:$Q$26,0),0)</f>
        <v>NY - Central Park</v>
      </c>
      <c r="E150" s="344">
        <f ca="1">OFFSET('Zip Code Lines_1'!$W$3,MATCH('Zip Code Lines_1'!C150,'Zip Code Lines_1'!$Q$4:$Q$26,0),0)</f>
        <v>17.5</v>
      </c>
      <c r="F150" s="344">
        <f ca="1">OFFSET('Zip Code Lines_1'!$Z$3,MATCH('Zip Code Lines_1'!C150,'Zip Code Lines_1'!$Q$4:$Q$26,0),0)</f>
        <v>88</v>
      </c>
      <c r="G150" s="342">
        <f ca="1">OFFSET('Zip Code Lines_1'!$AC$3,MATCH('Zip Code Lines_1'!C150,'Zip Code Lines_1'!$Q$4:$Q$26,0),0)</f>
        <v>6</v>
      </c>
    </row>
    <row r="151" spans="1:8" x14ac:dyDescent="0.25">
      <c r="B151" s="342">
        <v>10301</v>
      </c>
      <c r="C151" s="343" t="s">
        <v>555</v>
      </c>
      <c r="D151" s="343" t="str">
        <f ca="1">OFFSET('Zip Code Lines_1'!$U$3,MATCH('Zip Code Lines_1'!C151,'Zip Code Lines_1'!$Q$4:$Q$26,0),0)</f>
        <v>NY - JFK</v>
      </c>
      <c r="E151" s="344">
        <f ca="1">OFFSET('Zip Code Lines_1'!$W$3,MATCH('Zip Code Lines_1'!C151,'Zip Code Lines_1'!$Q$4:$Q$26,0),0)</f>
        <v>18</v>
      </c>
      <c r="F151" s="344">
        <f ca="1">OFFSET('Zip Code Lines_1'!$Z$3,MATCH('Zip Code Lines_1'!C151,'Zip Code Lines_1'!$Q$4:$Q$26,0),0)</f>
        <v>86.6</v>
      </c>
      <c r="G151" s="342">
        <f ca="1">OFFSET('Zip Code Lines_1'!$AC$3,MATCH('Zip Code Lines_1'!C151,'Zip Code Lines_1'!$Q$4:$Q$26,0),0)</f>
        <v>6</v>
      </c>
      <c r="H151" s="342">
        <v>10301</v>
      </c>
    </row>
    <row r="152" spans="1:8" x14ac:dyDescent="0.25">
      <c r="B152" s="342">
        <v>10302</v>
      </c>
      <c r="C152" s="343" t="s">
        <v>555</v>
      </c>
      <c r="D152" s="343" t="str">
        <f ca="1">OFFSET('Zip Code Lines_1'!$U$3,MATCH('Zip Code Lines_1'!C152,'Zip Code Lines_1'!$Q$4:$Q$26,0),0)</f>
        <v>NY - JFK</v>
      </c>
      <c r="E152" s="344">
        <f ca="1">OFFSET('Zip Code Lines_1'!$W$3,MATCH('Zip Code Lines_1'!C152,'Zip Code Lines_1'!$Q$4:$Q$26,0),0)</f>
        <v>18</v>
      </c>
      <c r="F152" s="344">
        <f ca="1">OFFSET('Zip Code Lines_1'!$Z$3,MATCH('Zip Code Lines_1'!C152,'Zip Code Lines_1'!$Q$4:$Q$26,0),0)</f>
        <v>86.6</v>
      </c>
      <c r="G152" s="342">
        <f ca="1">OFFSET('Zip Code Lines_1'!$AC$3,MATCH('Zip Code Lines_1'!C152,'Zip Code Lines_1'!$Q$4:$Q$26,0),0)</f>
        <v>6</v>
      </c>
      <c r="H152" s="342">
        <v>10302</v>
      </c>
    </row>
    <row r="153" spans="1:8" x14ac:dyDescent="0.25">
      <c r="B153" s="342">
        <v>10303</v>
      </c>
      <c r="C153" s="343" t="s">
        <v>555</v>
      </c>
      <c r="D153" s="343" t="str">
        <f ca="1">OFFSET('Zip Code Lines_1'!$U$3,MATCH('Zip Code Lines_1'!C153,'Zip Code Lines_1'!$Q$4:$Q$26,0),0)</f>
        <v>NY - JFK</v>
      </c>
      <c r="E153" s="344">
        <f ca="1">OFFSET('Zip Code Lines_1'!$W$3,MATCH('Zip Code Lines_1'!C153,'Zip Code Lines_1'!$Q$4:$Q$26,0),0)</f>
        <v>18</v>
      </c>
      <c r="F153" s="344">
        <f ca="1">OFFSET('Zip Code Lines_1'!$Z$3,MATCH('Zip Code Lines_1'!C153,'Zip Code Lines_1'!$Q$4:$Q$26,0),0)</f>
        <v>86.6</v>
      </c>
      <c r="G153" s="342">
        <f ca="1">OFFSET('Zip Code Lines_1'!$AC$3,MATCH('Zip Code Lines_1'!C153,'Zip Code Lines_1'!$Q$4:$Q$26,0),0)</f>
        <v>6</v>
      </c>
      <c r="H153" s="342">
        <v>10303</v>
      </c>
    </row>
    <row r="154" spans="1:8" x14ac:dyDescent="0.25">
      <c r="B154" s="342">
        <v>10304</v>
      </c>
      <c r="C154" s="343" t="s">
        <v>555</v>
      </c>
      <c r="D154" s="343" t="str">
        <f ca="1">OFFSET('Zip Code Lines_1'!$U$3,MATCH('Zip Code Lines_1'!C154,'Zip Code Lines_1'!$Q$4:$Q$26,0),0)</f>
        <v>NY - JFK</v>
      </c>
      <c r="E154" s="344">
        <f ca="1">OFFSET('Zip Code Lines_1'!$W$3,MATCH('Zip Code Lines_1'!C154,'Zip Code Lines_1'!$Q$4:$Q$26,0),0)</f>
        <v>18</v>
      </c>
      <c r="F154" s="344">
        <f ca="1">OFFSET('Zip Code Lines_1'!$Z$3,MATCH('Zip Code Lines_1'!C154,'Zip Code Lines_1'!$Q$4:$Q$26,0),0)</f>
        <v>86.6</v>
      </c>
      <c r="G154" s="342">
        <f ca="1">OFFSET('Zip Code Lines_1'!$AC$3,MATCH('Zip Code Lines_1'!C154,'Zip Code Lines_1'!$Q$4:$Q$26,0),0)</f>
        <v>6</v>
      </c>
      <c r="H154" s="342">
        <v>10304</v>
      </c>
    </row>
    <row r="155" spans="1:8" x14ac:dyDescent="0.25">
      <c r="B155" s="342">
        <v>10305</v>
      </c>
      <c r="C155" s="343" t="s">
        <v>555</v>
      </c>
      <c r="D155" s="343" t="str">
        <f ca="1">OFFSET('Zip Code Lines_1'!$U$3,MATCH('Zip Code Lines_1'!C155,'Zip Code Lines_1'!$Q$4:$Q$26,0),0)</f>
        <v>NY - JFK</v>
      </c>
      <c r="E155" s="344">
        <f ca="1">OFFSET('Zip Code Lines_1'!$W$3,MATCH('Zip Code Lines_1'!C155,'Zip Code Lines_1'!$Q$4:$Q$26,0),0)</f>
        <v>18</v>
      </c>
      <c r="F155" s="344">
        <f ca="1">OFFSET('Zip Code Lines_1'!$Z$3,MATCH('Zip Code Lines_1'!C155,'Zip Code Lines_1'!$Q$4:$Q$26,0),0)</f>
        <v>86.6</v>
      </c>
      <c r="G155" s="342">
        <f ca="1">OFFSET('Zip Code Lines_1'!$AC$3,MATCH('Zip Code Lines_1'!C155,'Zip Code Lines_1'!$Q$4:$Q$26,0),0)</f>
        <v>6</v>
      </c>
      <c r="H155" s="342">
        <v>10305</v>
      </c>
    </row>
    <row r="156" spans="1:8" x14ac:dyDescent="0.25">
      <c r="B156" s="342">
        <v>10306</v>
      </c>
      <c r="C156" s="343" t="s">
        <v>552</v>
      </c>
      <c r="D156" s="343" t="str">
        <f ca="1">OFFSET('Zip Code Lines_1'!$U$3,MATCH('Zip Code Lines_1'!C156,'Zip Code Lines_1'!$Q$4:$Q$26,0),0)</f>
        <v>NY - Central Park</v>
      </c>
      <c r="E156" s="344">
        <f ca="1">OFFSET('Zip Code Lines_1'!$W$3,MATCH('Zip Code Lines_1'!C156,'Zip Code Lines_1'!$Q$4:$Q$26,0),0)</f>
        <v>17.5</v>
      </c>
      <c r="F156" s="344">
        <f ca="1">OFFSET('Zip Code Lines_1'!$Z$3,MATCH('Zip Code Lines_1'!C156,'Zip Code Lines_1'!$Q$4:$Q$26,0),0)</f>
        <v>88</v>
      </c>
      <c r="G156" s="342">
        <f ca="1">OFFSET('Zip Code Lines_1'!$AC$3,MATCH('Zip Code Lines_1'!C156,'Zip Code Lines_1'!$Q$4:$Q$26,0),0)</f>
        <v>6</v>
      </c>
      <c r="H156" s="342">
        <v>10306</v>
      </c>
    </row>
    <row r="157" spans="1:8" x14ac:dyDescent="0.25">
      <c r="B157" s="342">
        <v>10307</v>
      </c>
      <c r="C157" s="343" t="s">
        <v>555</v>
      </c>
      <c r="D157" s="343" t="str">
        <f ca="1">OFFSET('Zip Code Lines_1'!$U$3,MATCH('Zip Code Lines_1'!C157,'Zip Code Lines_1'!$Q$4:$Q$26,0),0)</f>
        <v>NY - JFK</v>
      </c>
      <c r="E157" s="344">
        <f ca="1">OFFSET('Zip Code Lines_1'!$W$3,MATCH('Zip Code Lines_1'!C157,'Zip Code Lines_1'!$Q$4:$Q$26,0),0)</f>
        <v>18</v>
      </c>
      <c r="F157" s="344">
        <f ca="1">OFFSET('Zip Code Lines_1'!$Z$3,MATCH('Zip Code Lines_1'!C157,'Zip Code Lines_1'!$Q$4:$Q$26,0),0)</f>
        <v>86.6</v>
      </c>
      <c r="G157" s="342">
        <f ca="1">OFFSET('Zip Code Lines_1'!$AC$3,MATCH('Zip Code Lines_1'!C157,'Zip Code Lines_1'!$Q$4:$Q$26,0),0)</f>
        <v>6</v>
      </c>
      <c r="H157" s="342">
        <v>10307</v>
      </c>
    </row>
    <row r="158" spans="1:8" x14ac:dyDescent="0.25">
      <c r="B158" s="342">
        <v>10308</v>
      </c>
      <c r="C158" s="343" t="s">
        <v>555</v>
      </c>
      <c r="D158" s="343" t="str">
        <f ca="1">OFFSET('Zip Code Lines_1'!$U$3,MATCH('Zip Code Lines_1'!C158,'Zip Code Lines_1'!$Q$4:$Q$26,0),0)</f>
        <v>NY - JFK</v>
      </c>
      <c r="E158" s="344">
        <f ca="1">OFFSET('Zip Code Lines_1'!$W$3,MATCH('Zip Code Lines_1'!C158,'Zip Code Lines_1'!$Q$4:$Q$26,0),0)</f>
        <v>18</v>
      </c>
      <c r="F158" s="344">
        <f ca="1">OFFSET('Zip Code Lines_1'!$Z$3,MATCH('Zip Code Lines_1'!C158,'Zip Code Lines_1'!$Q$4:$Q$26,0),0)</f>
        <v>86.6</v>
      </c>
      <c r="G158" s="342">
        <f ca="1">OFFSET('Zip Code Lines_1'!$AC$3,MATCH('Zip Code Lines_1'!C158,'Zip Code Lines_1'!$Q$4:$Q$26,0),0)</f>
        <v>6</v>
      </c>
      <c r="H158" s="342">
        <v>10308</v>
      </c>
    </row>
    <row r="159" spans="1:8" x14ac:dyDescent="0.25">
      <c r="B159" s="342">
        <v>10309</v>
      </c>
      <c r="C159" s="343" t="s">
        <v>555</v>
      </c>
      <c r="D159" s="343" t="str">
        <f ca="1">OFFSET('Zip Code Lines_1'!$U$3,MATCH('Zip Code Lines_1'!C159,'Zip Code Lines_1'!$Q$4:$Q$26,0),0)</f>
        <v>NY - JFK</v>
      </c>
      <c r="E159" s="344">
        <f ca="1">OFFSET('Zip Code Lines_1'!$W$3,MATCH('Zip Code Lines_1'!C159,'Zip Code Lines_1'!$Q$4:$Q$26,0),0)</f>
        <v>18</v>
      </c>
      <c r="F159" s="344">
        <f ca="1">OFFSET('Zip Code Lines_1'!$Z$3,MATCH('Zip Code Lines_1'!C159,'Zip Code Lines_1'!$Q$4:$Q$26,0),0)</f>
        <v>86.6</v>
      </c>
      <c r="G159" s="342">
        <f ca="1">OFFSET('Zip Code Lines_1'!$AC$3,MATCH('Zip Code Lines_1'!C159,'Zip Code Lines_1'!$Q$4:$Q$26,0),0)</f>
        <v>6</v>
      </c>
      <c r="H159" s="342">
        <v>10309</v>
      </c>
    </row>
    <row r="160" spans="1:8" x14ac:dyDescent="0.25">
      <c r="B160" s="342">
        <v>10310</v>
      </c>
      <c r="C160" s="343" t="s">
        <v>552</v>
      </c>
      <c r="D160" s="343" t="str">
        <f ca="1">OFFSET('Zip Code Lines_1'!$U$3,MATCH('Zip Code Lines_1'!C160,'Zip Code Lines_1'!$Q$4:$Q$26,0),0)</f>
        <v>NY - Central Park</v>
      </c>
      <c r="E160" s="344">
        <f ca="1">OFFSET('Zip Code Lines_1'!$W$3,MATCH('Zip Code Lines_1'!C160,'Zip Code Lines_1'!$Q$4:$Q$26,0),0)</f>
        <v>17.5</v>
      </c>
      <c r="F160" s="344">
        <f ca="1">OFFSET('Zip Code Lines_1'!$Z$3,MATCH('Zip Code Lines_1'!C160,'Zip Code Lines_1'!$Q$4:$Q$26,0),0)</f>
        <v>88</v>
      </c>
      <c r="G160" s="342">
        <f ca="1">OFFSET('Zip Code Lines_1'!$AC$3,MATCH('Zip Code Lines_1'!C160,'Zip Code Lines_1'!$Q$4:$Q$26,0),0)</f>
        <v>6</v>
      </c>
      <c r="H160" s="342">
        <v>10310</v>
      </c>
    </row>
    <row r="161" spans="2:8" x14ac:dyDescent="0.25">
      <c r="B161" s="342">
        <v>10311</v>
      </c>
      <c r="C161" s="343" t="s">
        <v>552</v>
      </c>
      <c r="D161" s="343" t="str">
        <f ca="1">OFFSET('Zip Code Lines_1'!$U$3,MATCH('Zip Code Lines_1'!C161,'Zip Code Lines_1'!$Q$4:$Q$26,0),0)</f>
        <v>NY - Central Park</v>
      </c>
      <c r="E161" s="344">
        <f ca="1">OFFSET('Zip Code Lines_1'!$W$3,MATCH('Zip Code Lines_1'!C161,'Zip Code Lines_1'!$Q$4:$Q$26,0),0)</f>
        <v>17.5</v>
      </c>
      <c r="F161" s="344">
        <f ca="1">OFFSET('Zip Code Lines_1'!$Z$3,MATCH('Zip Code Lines_1'!C161,'Zip Code Lines_1'!$Q$4:$Q$26,0),0)</f>
        <v>88</v>
      </c>
      <c r="G161" s="342">
        <f ca="1">OFFSET('Zip Code Lines_1'!$AC$3,MATCH('Zip Code Lines_1'!C161,'Zip Code Lines_1'!$Q$4:$Q$26,0),0)</f>
        <v>6</v>
      </c>
      <c r="H161" s="342">
        <v>10311</v>
      </c>
    </row>
    <row r="162" spans="2:8" x14ac:dyDescent="0.25">
      <c r="B162" s="342">
        <v>10312</v>
      </c>
      <c r="C162" s="343" t="s">
        <v>555</v>
      </c>
      <c r="D162" s="343" t="str">
        <f ca="1">OFFSET('Zip Code Lines_1'!$U$3,MATCH('Zip Code Lines_1'!C162,'Zip Code Lines_1'!$Q$4:$Q$26,0),0)</f>
        <v>NY - JFK</v>
      </c>
      <c r="E162" s="344">
        <f ca="1">OFFSET('Zip Code Lines_1'!$W$3,MATCH('Zip Code Lines_1'!C162,'Zip Code Lines_1'!$Q$4:$Q$26,0),0)</f>
        <v>18</v>
      </c>
      <c r="F162" s="344">
        <f ca="1">OFFSET('Zip Code Lines_1'!$Z$3,MATCH('Zip Code Lines_1'!C162,'Zip Code Lines_1'!$Q$4:$Q$26,0),0)</f>
        <v>86.6</v>
      </c>
      <c r="G162" s="342">
        <f ca="1">OFFSET('Zip Code Lines_1'!$AC$3,MATCH('Zip Code Lines_1'!C162,'Zip Code Lines_1'!$Q$4:$Q$26,0),0)</f>
        <v>6</v>
      </c>
      <c r="H162" s="342">
        <v>10312</v>
      </c>
    </row>
    <row r="163" spans="2:8" x14ac:dyDescent="0.25">
      <c r="B163" s="342">
        <v>10313</v>
      </c>
      <c r="C163" s="343" t="s">
        <v>552</v>
      </c>
      <c r="D163" s="343" t="str">
        <f ca="1">OFFSET('Zip Code Lines_1'!$U$3,MATCH('Zip Code Lines_1'!C163,'Zip Code Lines_1'!$Q$4:$Q$26,0),0)</f>
        <v>NY - Central Park</v>
      </c>
      <c r="E163" s="344">
        <f ca="1">OFFSET('Zip Code Lines_1'!$W$3,MATCH('Zip Code Lines_1'!C163,'Zip Code Lines_1'!$Q$4:$Q$26,0),0)</f>
        <v>17.5</v>
      </c>
      <c r="F163" s="344">
        <f ca="1">OFFSET('Zip Code Lines_1'!$Z$3,MATCH('Zip Code Lines_1'!C163,'Zip Code Lines_1'!$Q$4:$Q$26,0),0)</f>
        <v>88</v>
      </c>
      <c r="G163" s="342">
        <f ca="1">OFFSET('Zip Code Lines_1'!$AC$3,MATCH('Zip Code Lines_1'!C163,'Zip Code Lines_1'!$Q$4:$Q$26,0),0)</f>
        <v>6</v>
      </c>
      <c r="H163" s="342">
        <v>10313</v>
      </c>
    </row>
    <row r="164" spans="2:8" x14ac:dyDescent="0.25">
      <c r="B164" s="342">
        <v>10314</v>
      </c>
      <c r="C164" s="343" t="s">
        <v>555</v>
      </c>
      <c r="D164" s="343" t="str">
        <f ca="1">OFFSET('Zip Code Lines_1'!$U$3,MATCH('Zip Code Lines_1'!C164,'Zip Code Lines_1'!$Q$4:$Q$26,0),0)</f>
        <v>NY - JFK</v>
      </c>
      <c r="E164" s="344">
        <f ca="1">OFFSET('Zip Code Lines_1'!$W$3,MATCH('Zip Code Lines_1'!C164,'Zip Code Lines_1'!$Q$4:$Q$26,0),0)</f>
        <v>18</v>
      </c>
      <c r="F164" s="344">
        <f ca="1">OFFSET('Zip Code Lines_1'!$Z$3,MATCH('Zip Code Lines_1'!C164,'Zip Code Lines_1'!$Q$4:$Q$26,0),0)</f>
        <v>86.6</v>
      </c>
      <c r="G164" s="342">
        <f ca="1">OFFSET('Zip Code Lines_1'!$AC$3,MATCH('Zip Code Lines_1'!C164,'Zip Code Lines_1'!$Q$4:$Q$26,0),0)</f>
        <v>6</v>
      </c>
      <c r="H164" s="342">
        <v>10314</v>
      </c>
    </row>
    <row r="165" spans="2:8" x14ac:dyDescent="0.25">
      <c r="B165" s="342">
        <v>10451</v>
      </c>
      <c r="C165" s="343" t="s">
        <v>552</v>
      </c>
      <c r="D165" s="343" t="str">
        <f ca="1">OFFSET('Zip Code Lines_1'!$U$3,MATCH('Zip Code Lines_1'!C165,'Zip Code Lines_1'!$Q$4:$Q$26,0),0)</f>
        <v>NY - Central Park</v>
      </c>
      <c r="E165" s="344">
        <f ca="1">OFFSET('Zip Code Lines_1'!$W$3,MATCH('Zip Code Lines_1'!C165,'Zip Code Lines_1'!$Q$4:$Q$26,0),0)</f>
        <v>17.5</v>
      </c>
      <c r="F165" s="344">
        <f ca="1">OFFSET('Zip Code Lines_1'!$Z$3,MATCH('Zip Code Lines_1'!C165,'Zip Code Lines_1'!$Q$4:$Q$26,0),0)</f>
        <v>88</v>
      </c>
      <c r="G165" s="342">
        <f ca="1">OFFSET('Zip Code Lines_1'!$AC$3,MATCH('Zip Code Lines_1'!C165,'Zip Code Lines_1'!$Q$4:$Q$26,0),0)</f>
        <v>6</v>
      </c>
      <c r="H165" s="342">
        <v>10451</v>
      </c>
    </row>
    <row r="166" spans="2:8" x14ac:dyDescent="0.25">
      <c r="B166" s="342">
        <v>10452</v>
      </c>
      <c r="C166" s="343" t="s">
        <v>552</v>
      </c>
      <c r="D166" s="343" t="str">
        <f ca="1">OFFSET('Zip Code Lines_1'!$U$3,MATCH('Zip Code Lines_1'!C166,'Zip Code Lines_1'!$Q$4:$Q$26,0),0)</f>
        <v>NY - Central Park</v>
      </c>
      <c r="E166" s="344">
        <f ca="1">OFFSET('Zip Code Lines_1'!$W$3,MATCH('Zip Code Lines_1'!C166,'Zip Code Lines_1'!$Q$4:$Q$26,0),0)</f>
        <v>17.5</v>
      </c>
      <c r="F166" s="344">
        <f ca="1">OFFSET('Zip Code Lines_1'!$Z$3,MATCH('Zip Code Lines_1'!C166,'Zip Code Lines_1'!$Q$4:$Q$26,0),0)</f>
        <v>88</v>
      </c>
      <c r="G166" s="342">
        <f ca="1">OFFSET('Zip Code Lines_1'!$AC$3,MATCH('Zip Code Lines_1'!C166,'Zip Code Lines_1'!$Q$4:$Q$26,0),0)</f>
        <v>6</v>
      </c>
      <c r="H166" s="342">
        <v>10452</v>
      </c>
    </row>
    <row r="167" spans="2:8" x14ac:dyDescent="0.25">
      <c r="B167" s="342">
        <v>10453</v>
      </c>
      <c r="C167" s="343" t="s">
        <v>552</v>
      </c>
      <c r="D167" s="343" t="str">
        <f ca="1">OFFSET('Zip Code Lines_1'!$U$3,MATCH('Zip Code Lines_1'!C167,'Zip Code Lines_1'!$Q$4:$Q$26,0),0)</f>
        <v>NY - Central Park</v>
      </c>
      <c r="E167" s="344">
        <f ca="1">OFFSET('Zip Code Lines_1'!$W$3,MATCH('Zip Code Lines_1'!C167,'Zip Code Lines_1'!$Q$4:$Q$26,0),0)</f>
        <v>17.5</v>
      </c>
      <c r="F167" s="344">
        <f ca="1">OFFSET('Zip Code Lines_1'!$Z$3,MATCH('Zip Code Lines_1'!C167,'Zip Code Lines_1'!$Q$4:$Q$26,0),0)</f>
        <v>88</v>
      </c>
      <c r="G167" s="342">
        <f ca="1">OFFSET('Zip Code Lines_1'!$AC$3,MATCH('Zip Code Lines_1'!C167,'Zip Code Lines_1'!$Q$4:$Q$26,0),0)</f>
        <v>6</v>
      </c>
      <c r="H167" s="342">
        <v>10453</v>
      </c>
    </row>
    <row r="168" spans="2:8" x14ac:dyDescent="0.25">
      <c r="B168" s="342">
        <v>10454</v>
      </c>
      <c r="C168" s="343" t="s">
        <v>552</v>
      </c>
      <c r="D168" s="343" t="str">
        <f ca="1">OFFSET('Zip Code Lines_1'!$U$3,MATCH('Zip Code Lines_1'!C168,'Zip Code Lines_1'!$Q$4:$Q$26,0),0)</f>
        <v>NY - Central Park</v>
      </c>
      <c r="E168" s="344">
        <f ca="1">OFFSET('Zip Code Lines_1'!$W$3,MATCH('Zip Code Lines_1'!C168,'Zip Code Lines_1'!$Q$4:$Q$26,0),0)</f>
        <v>17.5</v>
      </c>
      <c r="F168" s="344">
        <f ca="1">OFFSET('Zip Code Lines_1'!$Z$3,MATCH('Zip Code Lines_1'!C168,'Zip Code Lines_1'!$Q$4:$Q$26,0),0)</f>
        <v>88</v>
      </c>
      <c r="G168" s="342">
        <f ca="1">OFFSET('Zip Code Lines_1'!$AC$3,MATCH('Zip Code Lines_1'!C168,'Zip Code Lines_1'!$Q$4:$Q$26,0),0)</f>
        <v>6</v>
      </c>
      <c r="H168" s="342">
        <v>10454</v>
      </c>
    </row>
    <row r="169" spans="2:8" x14ac:dyDescent="0.25">
      <c r="B169" s="342">
        <v>10455</v>
      </c>
      <c r="C169" s="343" t="s">
        <v>552</v>
      </c>
      <c r="D169" s="343" t="str">
        <f ca="1">OFFSET('Zip Code Lines_1'!$U$3,MATCH('Zip Code Lines_1'!C169,'Zip Code Lines_1'!$Q$4:$Q$26,0),0)</f>
        <v>NY - Central Park</v>
      </c>
      <c r="E169" s="344">
        <f ca="1">OFFSET('Zip Code Lines_1'!$W$3,MATCH('Zip Code Lines_1'!C169,'Zip Code Lines_1'!$Q$4:$Q$26,0),0)</f>
        <v>17.5</v>
      </c>
      <c r="F169" s="344">
        <f ca="1">OFFSET('Zip Code Lines_1'!$Z$3,MATCH('Zip Code Lines_1'!C169,'Zip Code Lines_1'!$Q$4:$Q$26,0),0)</f>
        <v>88</v>
      </c>
      <c r="G169" s="342">
        <f ca="1">OFFSET('Zip Code Lines_1'!$AC$3,MATCH('Zip Code Lines_1'!C169,'Zip Code Lines_1'!$Q$4:$Q$26,0),0)</f>
        <v>6</v>
      </c>
      <c r="H169" s="342">
        <v>10455</v>
      </c>
    </row>
    <row r="170" spans="2:8" x14ac:dyDescent="0.25">
      <c r="B170" s="342">
        <v>10456</v>
      </c>
      <c r="C170" s="343" t="s">
        <v>552</v>
      </c>
      <c r="D170" s="343" t="str">
        <f ca="1">OFFSET('Zip Code Lines_1'!$U$3,MATCH('Zip Code Lines_1'!C170,'Zip Code Lines_1'!$Q$4:$Q$26,0),0)</f>
        <v>NY - Central Park</v>
      </c>
      <c r="E170" s="344">
        <f ca="1">OFFSET('Zip Code Lines_1'!$W$3,MATCH('Zip Code Lines_1'!C170,'Zip Code Lines_1'!$Q$4:$Q$26,0),0)</f>
        <v>17.5</v>
      </c>
      <c r="F170" s="344">
        <f ca="1">OFFSET('Zip Code Lines_1'!$Z$3,MATCH('Zip Code Lines_1'!C170,'Zip Code Lines_1'!$Q$4:$Q$26,0),0)</f>
        <v>88</v>
      </c>
      <c r="G170" s="342">
        <f ca="1">OFFSET('Zip Code Lines_1'!$AC$3,MATCH('Zip Code Lines_1'!C170,'Zip Code Lines_1'!$Q$4:$Q$26,0),0)</f>
        <v>6</v>
      </c>
      <c r="H170" s="342">
        <v>10456</v>
      </c>
    </row>
    <row r="171" spans="2:8" x14ac:dyDescent="0.25">
      <c r="B171" s="342">
        <v>10457</v>
      </c>
      <c r="C171" s="343" t="s">
        <v>552</v>
      </c>
      <c r="D171" s="343" t="str">
        <f ca="1">OFFSET('Zip Code Lines_1'!$U$3,MATCH('Zip Code Lines_1'!C171,'Zip Code Lines_1'!$Q$4:$Q$26,0),0)</f>
        <v>NY - Central Park</v>
      </c>
      <c r="E171" s="344">
        <f ca="1">OFFSET('Zip Code Lines_1'!$W$3,MATCH('Zip Code Lines_1'!C171,'Zip Code Lines_1'!$Q$4:$Q$26,0),0)</f>
        <v>17.5</v>
      </c>
      <c r="F171" s="344">
        <f ca="1">OFFSET('Zip Code Lines_1'!$Z$3,MATCH('Zip Code Lines_1'!C171,'Zip Code Lines_1'!$Q$4:$Q$26,0),0)</f>
        <v>88</v>
      </c>
      <c r="G171" s="342">
        <f ca="1">OFFSET('Zip Code Lines_1'!$AC$3,MATCH('Zip Code Lines_1'!C171,'Zip Code Lines_1'!$Q$4:$Q$26,0),0)</f>
        <v>6</v>
      </c>
      <c r="H171" s="342">
        <v>10457</v>
      </c>
    </row>
    <row r="172" spans="2:8" x14ac:dyDescent="0.25">
      <c r="B172" s="342">
        <v>10458</v>
      </c>
      <c r="C172" s="343" t="s">
        <v>552</v>
      </c>
      <c r="D172" s="343" t="str">
        <f ca="1">OFFSET('Zip Code Lines_1'!$U$3,MATCH('Zip Code Lines_1'!C172,'Zip Code Lines_1'!$Q$4:$Q$26,0),0)</f>
        <v>NY - Central Park</v>
      </c>
      <c r="E172" s="344">
        <f ca="1">OFFSET('Zip Code Lines_1'!$W$3,MATCH('Zip Code Lines_1'!C172,'Zip Code Lines_1'!$Q$4:$Q$26,0),0)</f>
        <v>17.5</v>
      </c>
      <c r="F172" s="344">
        <f ca="1">OFFSET('Zip Code Lines_1'!$Z$3,MATCH('Zip Code Lines_1'!C172,'Zip Code Lines_1'!$Q$4:$Q$26,0),0)</f>
        <v>88</v>
      </c>
      <c r="G172" s="342">
        <f ca="1">OFFSET('Zip Code Lines_1'!$AC$3,MATCH('Zip Code Lines_1'!C172,'Zip Code Lines_1'!$Q$4:$Q$26,0),0)</f>
        <v>6</v>
      </c>
      <c r="H172" s="342">
        <v>10458</v>
      </c>
    </row>
    <row r="173" spans="2:8" x14ac:dyDescent="0.25">
      <c r="B173" s="342">
        <v>10459</v>
      </c>
      <c r="C173" s="343" t="s">
        <v>552</v>
      </c>
      <c r="D173" s="343" t="str">
        <f ca="1">OFFSET('Zip Code Lines_1'!$U$3,MATCH('Zip Code Lines_1'!C173,'Zip Code Lines_1'!$Q$4:$Q$26,0),0)</f>
        <v>NY - Central Park</v>
      </c>
      <c r="E173" s="344">
        <f ca="1">OFFSET('Zip Code Lines_1'!$W$3,MATCH('Zip Code Lines_1'!C173,'Zip Code Lines_1'!$Q$4:$Q$26,0),0)</f>
        <v>17.5</v>
      </c>
      <c r="F173" s="344">
        <f ca="1">OFFSET('Zip Code Lines_1'!$Z$3,MATCH('Zip Code Lines_1'!C173,'Zip Code Lines_1'!$Q$4:$Q$26,0),0)</f>
        <v>88</v>
      </c>
      <c r="G173" s="342">
        <f ca="1">OFFSET('Zip Code Lines_1'!$AC$3,MATCH('Zip Code Lines_1'!C173,'Zip Code Lines_1'!$Q$4:$Q$26,0),0)</f>
        <v>6</v>
      </c>
      <c r="H173" s="342">
        <v>10459</v>
      </c>
    </row>
    <row r="174" spans="2:8" x14ac:dyDescent="0.25">
      <c r="B174" s="342">
        <v>10460</v>
      </c>
      <c r="C174" s="343" t="s">
        <v>552</v>
      </c>
      <c r="D174" s="343" t="str">
        <f ca="1">OFFSET('Zip Code Lines_1'!$U$3,MATCH('Zip Code Lines_1'!C174,'Zip Code Lines_1'!$Q$4:$Q$26,0),0)</f>
        <v>NY - Central Park</v>
      </c>
      <c r="E174" s="344">
        <f ca="1">OFFSET('Zip Code Lines_1'!$W$3,MATCH('Zip Code Lines_1'!C174,'Zip Code Lines_1'!$Q$4:$Q$26,0),0)</f>
        <v>17.5</v>
      </c>
      <c r="F174" s="344">
        <f ca="1">OFFSET('Zip Code Lines_1'!$Z$3,MATCH('Zip Code Lines_1'!C174,'Zip Code Lines_1'!$Q$4:$Q$26,0),0)</f>
        <v>88</v>
      </c>
      <c r="G174" s="342">
        <f ca="1">OFFSET('Zip Code Lines_1'!$AC$3,MATCH('Zip Code Lines_1'!C174,'Zip Code Lines_1'!$Q$4:$Q$26,0),0)</f>
        <v>6</v>
      </c>
      <c r="H174" s="342">
        <v>10460</v>
      </c>
    </row>
    <row r="175" spans="2:8" x14ac:dyDescent="0.25">
      <c r="B175" s="342">
        <v>10461</v>
      </c>
      <c r="C175" s="343" t="s">
        <v>552</v>
      </c>
      <c r="D175" s="343" t="str">
        <f ca="1">OFFSET('Zip Code Lines_1'!$U$3,MATCH('Zip Code Lines_1'!C175,'Zip Code Lines_1'!$Q$4:$Q$26,0),0)</f>
        <v>NY - Central Park</v>
      </c>
      <c r="E175" s="344">
        <f ca="1">OFFSET('Zip Code Lines_1'!$W$3,MATCH('Zip Code Lines_1'!C175,'Zip Code Lines_1'!$Q$4:$Q$26,0),0)</f>
        <v>17.5</v>
      </c>
      <c r="F175" s="344">
        <f ca="1">OFFSET('Zip Code Lines_1'!$Z$3,MATCH('Zip Code Lines_1'!C175,'Zip Code Lines_1'!$Q$4:$Q$26,0),0)</f>
        <v>88</v>
      </c>
      <c r="G175" s="342">
        <f ca="1">OFFSET('Zip Code Lines_1'!$AC$3,MATCH('Zip Code Lines_1'!C175,'Zip Code Lines_1'!$Q$4:$Q$26,0),0)</f>
        <v>6</v>
      </c>
      <c r="H175" s="342">
        <v>10461</v>
      </c>
    </row>
    <row r="176" spans="2:8" x14ac:dyDescent="0.25">
      <c r="B176" s="342">
        <v>10462</v>
      </c>
      <c r="C176" s="343" t="s">
        <v>552</v>
      </c>
      <c r="D176" s="343" t="str">
        <f ca="1">OFFSET('Zip Code Lines_1'!$U$3,MATCH('Zip Code Lines_1'!C176,'Zip Code Lines_1'!$Q$4:$Q$26,0),0)</f>
        <v>NY - Central Park</v>
      </c>
      <c r="E176" s="344">
        <f ca="1">OFFSET('Zip Code Lines_1'!$W$3,MATCH('Zip Code Lines_1'!C176,'Zip Code Lines_1'!$Q$4:$Q$26,0),0)</f>
        <v>17.5</v>
      </c>
      <c r="F176" s="344">
        <f ca="1">OFFSET('Zip Code Lines_1'!$Z$3,MATCH('Zip Code Lines_1'!C176,'Zip Code Lines_1'!$Q$4:$Q$26,0),0)</f>
        <v>88</v>
      </c>
      <c r="G176" s="342">
        <f ca="1">OFFSET('Zip Code Lines_1'!$AC$3,MATCH('Zip Code Lines_1'!C176,'Zip Code Lines_1'!$Q$4:$Q$26,0),0)</f>
        <v>6</v>
      </c>
      <c r="H176" s="342">
        <v>10462</v>
      </c>
    </row>
    <row r="177" spans="2:8" x14ac:dyDescent="0.25">
      <c r="B177" s="342">
        <v>10463</v>
      </c>
      <c r="C177" s="343" t="s">
        <v>552</v>
      </c>
      <c r="D177" s="343" t="str">
        <f ca="1">OFFSET('Zip Code Lines_1'!$U$3,MATCH('Zip Code Lines_1'!C177,'Zip Code Lines_1'!$Q$4:$Q$26,0),0)</f>
        <v>NY - Central Park</v>
      </c>
      <c r="E177" s="344">
        <f ca="1">OFFSET('Zip Code Lines_1'!$W$3,MATCH('Zip Code Lines_1'!C177,'Zip Code Lines_1'!$Q$4:$Q$26,0),0)</f>
        <v>17.5</v>
      </c>
      <c r="F177" s="344">
        <f ca="1">OFFSET('Zip Code Lines_1'!$Z$3,MATCH('Zip Code Lines_1'!C177,'Zip Code Lines_1'!$Q$4:$Q$26,0),0)</f>
        <v>88</v>
      </c>
      <c r="G177" s="342">
        <f ca="1">OFFSET('Zip Code Lines_1'!$AC$3,MATCH('Zip Code Lines_1'!C177,'Zip Code Lines_1'!$Q$4:$Q$26,0),0)</f>
        <v>6</v>
      </c>
      <c r="H177" s="342">
        <v>10463</v>
      </c>
    </row>
    <row r="178" spans="2:8" x14ac:dyDescent="0.25">
      <c r="B178" s="342">
        <v>10464</v>
      </c>
      <c r="C178" s="343" t="s">
        <v>552</v>
      </c>
      <c r="D178" s="343" t="str">
        <f ca="1">OFFSET('Zip Code Lines_1'!$U$3,MATCH('Zip Code Lines_1'!C178,'Zip Code Lines_1'!$Q$4:$Q$26,0),0)</f>
        <v>NY - Central Park</v>
      </c>
      <c r="E178" s="344">
        <f ca="1">OFFSET('Zip Code Lines_1'!$W$3,MATCH('Zip Code Lines_1'!C178,'Zip Code Lines_1'!$Q$4:$Q$26,0),0)</f>
        <v>17.5</v>
      </c>
      <c r="F178" s="344">
        <f ca="1">OFFSET('Zip Code Lines_1'!$Z$3,MATCH('Zip Code Lines_1'!C178,'Zip Code Lines_1'!$Q$4:$Q$26,0),0)</f>
        <v>88</v>
      </c>
      <c r="G178" s="342">
        <f ca="1">OFFSET('Zip Code Lines_1'!$AC$3,MATCH('Zip Code Lines_1'!C178,'Zip Code Lines_1'!$Q$4:$Q$26,0),0)</f>
        <v>6</v>
      </c>
      <c r="H178" s="342">
        <v>10464</v>
      </c>
    </row>
    <row r="179" spans="2:8" x14ac:dyDescent="0.25">
      <c r="B179" s="342">
        <v>10465</v>
      </c>
      <c r="C179" s="343" t="s">
        <v>552</v>
      </c>
      <c r="D179" s="343" t="str">
        <f ca="1">OFFSET('Zip Code Lines_1'!$U$3,MATCH('Zip Code Lines_1'!C179,'Zip Code Lines_1'!$Q$4:$Q$26,0),0)</f>
        <v>NY - Central Park</v>
      </c>
      <c r="E179" s="344">
        <f ca="1">OFFSET('Zip Code Lines_1'!$W$3,MATCH('Zip Code Lines_1'!C179,'Zip Code Lines_1'!$Q$4:$Q$26,0),0)</f>
        <v>17.5</v>
      </c>
      <c r="F179" s="344">
        <f ca="1">OFFSET('Zip Code Lines_1'!$Z$3,MATCH('Zip Code Lines_1'!C179,'Zip Code Lines_1'!$Q$4:$Q$26,0),0)</f>
        <v>88</v>
      </c>
      <c r="G179" s="342">
        <f ca="1">OFFSET('Zip Code Lines_1'!$AC$3,MATCH('Zip Code Lines_1'!C179,'Zip Code Lines_1'!$Q$4:$Q$26,0),0)</f>
        <v>6</v>
      </c>
      <c r="H179" s="342">
        <v>10465</v>
      </c>
    </row>
    <row r="180" spans="2:8" x14ac:dyDescent="0.25">
      <c r="B180" s="342">
        <v>10466</v>
      </c>
      <c r="C180" s="343" t="s">
        <v>552</v>
      </c>
      <c r="D180" s="343" t="str">
        <f ca="1">OFFSET('Zip Code Lines_1'!$U$3,MATCH('Zip Code Lines_1'!C180,'Zip Code Lines_1'!$Q$4:$Q$26,0),0)</f>
        <v>NY - Central Park</v>
      </c>
      <c r="E180" s="344">
        <f ca="1">OFFSET('Zip Code Lines_1'!$W$3,MATCH('Zip Code Lines_1'!C180,'Zip Code Lines_1'!$Q$4:$Q$26,0),0)</f>
        <v>17.5</v>
      </c>
      <c r="F180" s="344">
        <f ca="1">OFFSET('Zip Code Lines_1'!$Z$3,MATCH('Zip Code Lines_1'!C180,'Zip Code Lines_1'!$Q$4:$Q$26,0),0)</f>
        <v>88</v>
      </c>
      <c r="G180" s="342">
        <f ca="1">OFFSET('Zip Code Lines_1'!$AC$3,MATCH('Zip Code Lines_1'!C180,'Zip Code Lines_1'!$Q$4:$Q$26,0),0)</f>
        <v>6</v>
      </c>
      <c r="H180" s="342">
        <v>10466</v>
      </c>
    </row>
    <row r="181" spans="2:8" x14ac:dyDescent="0.25">
      <c r="B181" s="342">
        <v>10467</v>
      </c>
      <c r="C181" s="343" t="s">
        <v>552</v>
      </c>
      <c r="D181" s="343" t="str">
        <f ca="1">OFFSET('Zip Code Lines_1'!$U$3,MATCH('Zip Code Lines_1'!C181,'Zip Code Lines_1'!$Q$4:$Q$26,0),0)</f>
        <v>NY - Central Park</v>
      </c>
      <c r="E181" s="344">
        <f ca="1">OFFSET('Zip Code Lines_1'!$W$3,MATCH('Zip Code Lines_1'!C181,'Zip Code Lines_1'!$Q$4:$Q$26,0),0)</f>
        <v>17.5</v>
      </c>
      <c r="F181" s="344">
        <f ca="1">OFFSET('Zip Code Lines_1'!$Z$3,MATCH('Zip Code Lines_1'!C181,'Zip Code Lines_1'!$Q$4:$Q$26,0),0)</f>
        <v>88</v>
      </c>
      <c r="G181" s="342">
        <f ca="1">OFFSET('Zip Code Lines_1'!$AC$3,MATCH('Zip Code Lines_1'!C181,'Zip Code Lines_1'!$Q$4:$Q$26,0),0)</f>
        <v>6</v>
      </c>
      <c r="H181" s="342">
        <v>10467</v>
      </c>
    </row>
    <row r="182" spans="2:8" x14ac:dyDescent="0.25">
      <c r="B182" s="342">
        <v>10468</v>
      </c>
      <c r="C182" s="343" t="s">
        <v>552</v>
      </c>
      <c r="D182" s="343" t="str">
        <f ca="1">OFFSET('Zip Code Lines_1'!$U$3,MATCH('Zip Code Lines_1'!C182,'Zip Code Lines_1'!$Q$4:$Q$26,0),0)</f>
        <v>NY - Central Park</v>
      </c>
      <c r="E182" s="344">
        <f ca="1">OFFSET('Zip Code Lines_1'!$W$3,MATCH('Zip Code Lines_1'!C182,'Zip Code Lines_1'!$Q$4:$Q$26,0),0)</f>
        <v>17.5</v>
      </c>
      <c r="F182" s="344">
        <f ca="1">OFFSET('Zip Code Lines_1'!$Z$3,MATCH('Zip Code Lines_1'!C182,'Zip Code Lines_1'!$Q$4:$Q$26,0),0)</f>
        <v>88</v>
      </c>
      <c r="G182" s="342">
        <f ca="1">OFFSET('Zip Code Lines_1'!$AC$3,MATCH('Zip Code Lines_1'!C182,'Zip Code Lines_1'!$Q$4:$Q$26,0),0)</f>
        <v>6</v>
      </c>
      <c r="H182" s="342">
        <v>10468</v>
      </c>
    </row>
    <row r="183" spans="2:8" x14ac:dyDescent="0.25">
      <c r="B183" s="342">
        <v>10469</v>
      </c>
      <c r="C183" s="343" t="s">
        <v>552</v>
      </c>
      <c r="D183" s="343" t="str">
        <f ca="1">OFFSET('Zip Code Lines_1'!$U$3,MATCH('Zip Code Lines_1'!C183,'Zip Code Lines_1'!$Q$4:$Q$26,0),0)</f>
        <v>NY - Central Park</v>
      </c>
      <c r="E183" s="344">
        <f ca="1">OFFSET('Zip Code Lines_1'!$W$3,MATCH('Zip Code Lines_1'!C183,'Zip Code Lines_1'!$Q$4:$Q$26,0),0)</f>
        <v>17.5</v>
      </c>
      <c r="F183" s="344">
        <f ca="1">OFFSET('Zip Code Lines_1'!$Z$3,MATCH('Zip Code Lines_1'!C183,'Zip Code Lines_1'!$Q$4:$Q$26,0),0)</f>
        <v>88</v>
      </c>
      <c r="G183" s="342">
        <f ca="1">OFFSET('Zip Code Lines_1'!$AC$3,MATCH('Zip Code Lines_1'!C183,'Zip Code Lines_1'!$Q$4:$Q$26,0),0)</f>
        <v>6</v>
      </c>
      <c r="H183" s="342">
        <v>10469</v>
      </c>
    </row>
    <row r="184" spans="2:8" x14ac:dyDescent="0.25">
      <c r="B184" s="342">
        <v>10470</v>
      </c>
      <c r="C184" s="343" t="s">
        <v>575</v>
      </c>
      <c r="D184" s="343" t="str">
        <f ca="1">OFFSET('Zip Code Lines_1'!$U$3,MATCH('Zip Code Lines_1'!C184,'Zip Code Lines_1'!$Q$4:$Q$26,0),0)</f>
        <v>White Plains</v>
      </c>
      <c r="E184" s="344">
        <f ca="1">OFFSET('Zip Code Lines_1'!$W$3,MATCH('Zip Code Lines_1'!C184,'Zip Code Lines_1'!$Q$4:$Q$26,0),0)</f>
        <v>13.5</v>
      </c>
      <c r="F184" s="344">
        <f ca="1">OFFSET('Zip Code Lines_1'!$Z$3,MATCH('Zip Code Lines_1'!C184,'Zip Code Lines_1'!$Q$4:$Q$26,0),0)</f>
        <v>86.4</v>
      </c>
      <c r="G184" s="342">
        <f ca="1">OFFSET('Zip Code Lines_1'!$AC$3,MATCH('Zip Code Lines_1'!C184,'Zip Code Lines_1'!$Q$4:$Q$26,0),0)</f>
        <v>6</v>
      </c>
      <c r="H184" s="342">
        <v>10470</v>
      </c>
    </row>
    <row r="185" spans="2:8" x14ac:dyDescent="0.25">
      <c r="B185" s="342">
        <v>10471</v>
      </c>
      <c r="C185" s="343" t="s">
        <v>552</v>
      </c>
      <c r="D185" s="343" t="str">
        <f ca="1">OFFSET('Zip Code Lines_1'!$U$3,MATCH('Zip Code Lines_1'!C185,'Zip Code Lines_1'!$Q$4:$Q$26,0),0)</f>
        <v>NY - Central Park</v>
      </c>
      <c r="E185" s="344">
        <f ca="1">OFFSET('Zip Code Lines_1'!$W$3,MATCH('Zip Code Lines_1'!C185,'Zip Code Lines_1'!$Q$4:$Q$26,0),0)</f>
        <v>17.5</v>
      </c>
      <c r="F185" s="344">
        <f ca="1">OFFSET('Zip Code Lines_1'!$Z$3,MATCH('Zip Code Lines_1'!C185,'Zip Code Lines_1'!$Q$4:$Q$26,0),0)</f>
        <v>88</v>
      </c>
      <c r="G185" s="342">
        <f ca="1">OFFSET('Zip Code Lines_1'!$AC$3,MATCH('Zip Code Lines_1'!C185,'Zip Code Lines_1'!$Q$4:$Q$26,0),0)</f>
        <v>6</v>
      </c>
      <c r="H185" s="342">
        <v>10471</v>
      </c>
    </row>
    <row r="186" spans="2:8" x14ac:dyDescent="0.25">
      <c r="B186" s="342">
        <v>10472</v>
      </c>
      <c r="C186" s="343" t="s">
        <v>552</v>
      </c>
      <c r="D186" s="343" t="str">
        <f ca="1">OFFSET('Zip Code Lines_1'!$U$3,MATCH('Zip Code Lines_1'!C186,'Zip Code Lines_1'!$Q$4:$Q$26,0),0)</f>
        <v>NY - Central Park</v>
      </c>
      <c r="E186" s="344">
        <f ca="1">OFFSET('Zip Code Lines_1'!$W$3,MATCH('Zip Code Lines_1'!C186,'Zip Code Lines_1'!$Q$4:$Q$26,0),0)</f>
        <v>17.5</v>
      </c>
      <c r="F186" s="344">
        <f ca="1">OFFSET('Zip Code Lines_1'!$Z$3,MATCH('Zip Code Lines_1'!C186,'Zip Code Lines_1'!$Q$4:$Q$26,0),0)</f>
        <v>88</v>
      </c>
      <c r="G186" s="342">
        <f ca="1">OFFSET('Zip Code Lines_1'!$AC$3,MATCH('Zip Code Lines_1'!C186,'Zip Code Lines_1'!$Q$4:$Q$26,0),0)</f>
        <v>6</v>
      </c>
      <c r="H186" s="342">
        <v>10472</v>
      </c>
    </row>
    <row r="187" spans="2:8" x14ac:dyDescent="0.25">
      <c r="B187" s="342">
        <v>10473</v>
      </c>
      <c r="C187" s="343" t="s">
        <v>552</v>
      </c>
      <c r="D187" s="343" t="str">
        <f ca="1">OFFSET('Zip Code Lines_1'!$U$3,MATCH('Zip Code Lines_1'!C187,'Zip Code Lines_1'!$Q$4:$Q$26,0),0)</f>
        <v>NY - Central Park</v>
      </c>
      <c r="E187" s="344">
        <f ca="1">OFFSET('Zip Code Lines_1'!$W$3,MATCH('Zip Code Lines_1'!C187,'Zip Code Lines_1'!$Q$4:$Q$26,0),0)</f>
        <v>17.5</v>
      </c>
      <c r="F187" s="344">
        <f ca="1">OFFSET('Zip Code Lines_1'!$Z$3,MATCH('Zip Code Lines_1'!C187,'Zip Code Lines_1'!$Q$4:$Q$26,0),0)</f>
        <v>88</v>
      </c>
      <c r="G187" s="342">
        <f ca="1">OFFSET('Zip Code Lines_1'!$AC$3,MATCH('Zip Code Lines_1'!C187,'Zip Code Lines_1'!$Q$4:$Q$26,0),0)</f>
        <v>6</v>
      </c>
      <c r="H187" s="342">
        <v>10473</v>
      </c>
    </row>
    <row r="188" spans="2:8" x14ac:dyDescent="0.25">
      <c r="B188" s="342">
        <v>10474</v>
      </c>
      <c r="C188" s="343" t="s">
        <v>558</v>
      </c>
      <c r="D188" s="343" t="str">
        <f ca="1">OFFSET('Zip Code Lines_1'!$U$3,MATCH('Zip Code Lines_1'!C188,'Zip Code Lines_1'!$Q$4:$Q$26,0),0)</f>
        <v>NY- Laguardia</v>
      </c>
      <c r="E188" s="344">
        <f ca="1">OFFSET('Zip Code Lines_1'!$W$3,MATCH('Zip Code Lines_1'!C188,'Zip Code Lines_1'!$Q$4:$Q$26,0),0)</f>
        <v>18.399999999999999</v>
      </c>
      <c r="F188" s="344">
        <f ca="1">OFFSET('Zip Code Lines_1'!$Z$3,MATCH('Zip Code Lines_1'!C188,'Zip Code Lines_1'!$Q$4:$Q$26,0),0)</f>
        <v>89.6</v>
      </c>
      <c r="G188" s="342">
        <f ca="1">OFFSET('Zip Code Lines_1'!$AC$3,MATCH('Zip Code Lines_1'!C188,'Zip Code Lines_1'!$Q$4:$Q$26,0),0)</f>
        <v>6</v>
      </c>
      <c r="H188" s="342">
        <v>10474</v>
      </c>
    </row>
    <row r="189" spans="2:8" x14ac:dyDescent="0.25">
      <c r="B189" s="342">
        <v>10475</v>
      </c>
      <c r="C189" s="343" t="s">
        <v>552</v>
      </c>
      <c r="D189" s="343" t="str">
        <f ca="1">OFFSET('Zip Code Lines_1'!$U$3,MATCH('Zip Code Lines_1'!C189,'Zip Code Lines_1'!$Q$4:$Q$26,0),0)</f>
        <v>NY - Central Park</v>
      </c>
      <c r="E189" s="344">
        <f ca="1">OFFSET('Zip Code Lines_1'!$W$3,MATCH('Zip Code Lines_1'!C189,'Zip Code Lines_1'!$Q$4:$Q$26,0),0)</f>
        <v>17.5</v>
      </c>
      <c r="F189" s="344">
        <f ca="1">OFFSET('Zip Code Lines_1'!$Z$3,MATCH('Zip Code Lines_1'!C189,'Zip Code Lines_1'!$Q$4:$Q$26,0),0)</f>
        <v>88</v>
      </c>
      <c r="G189" s="342">
        <f ca="1">OFFSET('Zip Code Lines_1'!$AC$3,MATCH('Zip Code Lines_1'!C189,'Zip Code Lines_1'!$Q$4:$Q$26,0),0)</f>
        <v>6</v>
      </c>
      <c r="H189" s="342">
        <v>10475</v>
      </c>
    </row>
    <row r="190" spans="2:8" x14ac:dyDescent="0.25">
      <c r="B190" s="342">
        <v>10501</v>
      </c>
      <c r="C190" s="343" t="s">
        <v>575</v>
      </c>
      <c r="D190" s="343" t="str">
        <f ca="1">OFFSET('Zip Code Lines_1'!$U$3,MATCH('Zip Code Lines_1'!C190,'Zip Code Lines_1'!$Q$4:$Q$26,0),0)</f>
        <v>White Plains</v>
      </c>
      <c r="E190" s="344">
        <f ca="1">OFFSET('Zip Code Lines_1'!$W$3,MATCH('Zip Code Lines_1'!C190,'Zip Code Lines_1'!$Q$4:$Q$26,0),0)</f>
        <v>13.5</v>
      </c>
      <c r="F190" s="344">
        <f ca="1">OFFSET('Zip Code Lines_1'!$Z$3,MATCH('Zip Code Lines_1'!C190,'Zip Code Lines_1'!$Q$4:$Q$26,0),0)</f>
        <v>86.4</v>
      </c>
      <c r="G190" s="342">
        <f ca="1">OFFSET('Zip Code Lines_1'!$AC$3,MATCH('Zip Code Lines_1'!C190,'Zip Code Lines_1'!$Q$4:$Q$26,0),0)</f>
        <v>6</v>
      </c>
      <c r="H190" s="342">
        <v>10501</v>
      </c>
    </row>
    <row r="191" spans="2:8" x14ac:dyDescent="0.25">
      <c r="B191" s="342">
        <v>10502</v>
      </c>
      <c r="C191" s="343" t="s">
        <v>575</v>
      </c>
      <c r="D191" s="343" t="str">
        <f ca="1">OFFSET('Zip Code Lines_1'!$U$3,MATCH('Zip Code Lines_1'!C191,'Zip Code Lines_1'!$Q$4:$Q$26,0),0)</f>
        <v>White Plains</v>
      </c>
      <c r="E191" s="344">
        <f ca="1">OFFSET('Zip Code Lines_1'!$W$3,MATCH('Zip Code Lines_1'!C191,'Zip Code Lines_1'!$Q$4:$Q$26,0),0)</f>
        <v>13.5</v>
      </c>
      <c r="F191" s="344">
        <f ca="1">OFFSET('Zip Code Lines_1'!$Z$3,MATCH('Zip Code Lines_1'!C191,'Zip Code Lines_1'!$Q$4:$Q$26,0),0)</f>
        <v>86.4</v>
      </c>
      <c r="G191" s="342">
        <f ca="1">OFFSET('Zip Code Lines_1'!$AC$3,MATCH('Zip Code Lines_1'!C191,'Zip Code Lines_1'!$Q$4:$Q$26,0),0)</f>
        <v>6</v>
      </c>
      <c r="H191" s="342">
        <v>10502</v>
      </c>
    </row>
    <row r="192" spans="2:8" x14ac:dyDescent="0.25">
      <c r="B192" s="342">
        <v>10503</v>
      </c>
      <c r="C192" s="343" t="s">
        <v>575</v>
      </c>
      <c r="D192" s="343" t="str">
        <f ca="1">OFFSET('Zip Code Lines_1'!$U$3,MATCH('Zip Code Lines_1'!C192,'Zip Code Lines_1'!$Q$4:$Q$26,0),0)</f>
        <v>White Plains</v>
      </c>
      <c r="E192" s="344">
        <f ca="1">OFFSET('Zip Code Lines_1'!$W$3,MATCH('Zip Code Lines_1'!C192,'Zip Code Lines_1'!$Q$4:$Q$26,0),0)</f>
        <v>13.5</v>
      </c>
      <c r="F192" s="344">
        <f ca="1">OFFSET('Zip Code Lines_1'!$Z$3,MATCH('Zip Code Lines_1'!C192,'Zip Code Lines_1'!$Q$4:$Q$26,0),0)</f>
        <v>86.4</v>
      </c>
      <c r="G192" s="342">
        <f ca="1">OFFSET('Zip Code Lines_1'!$AC$3,MATCH('Zip Code Lines_1'!C192,'Zip Code Lines_1'!$Q$4:$Q$26,0),0)</f>
        <v>6</v>
      </c>
      <c r="H192" s="342">
        <v>10503</v>
      </c>
    </row>
    <row r="193" spans="2:8" x14ac:dyDescent="0.25">
      <c r="B193" s="342">
        <v>10504</v>
      </c>
      <c r="C193" s="343" t="s">
        <v>575</v>
      </c>
      <c r="D193" s="343" t="str">
        <f ca="1">OFFSET('Zip Code Lines_1'!$U$3,MATCH('Zip Code Lines_1'!C193,'Zip Code Lines_1'!$Q$4:$Q$26,0),0)</f>
        <v>White Plains</v>
      </c>
      <c r="E193" s="344">
        <f ca="1">OFFSET('Zip Code Lines_1'!$W$3,MATCH('Zip Code Lines_1'!C193,'Zip Code Lines_1'!$Q$4:$Q$26,0),0)</f>
        <v>13.5</v>
      </c>
      <c r="F193" s="344">
        <f ca="1">OFFSET('Zip Code Lines_1'!$Z$3,MATCH('Zip Code Lines_1'!C193,'Zip Code Lines_1'!$Q$4:$Q$26,0),0)</f>
        <v>86.4</v>
      </c>
      <c r="G193" s="342">
        <f ca="1">OFFSET('Zip Code Lines_1'!$AC$3,MATCH('Zip Code Lines_1'!C193,'Zip Code Lines_1'!$Q$4:$Q$26,0),0)</f>
        <v>6</v>
      </c>
      <c r="H193" s="342">
        <v>10504</v>
      </c>
    </row>
    <row r="194" spans="2:8" x14ac:dyDescent="0.25">
      <c r="B194" s="342">
        <v>10505</v>
      </c>
      <c r="C194" s="343" t="s">
        <v>575</v>
      </c>
      <c r="D194" s="343" t="str">
        <f ca="1">OFFSET('Zip Code Lines_1'!$U$3,MATCH('Zip Code Lines_1'!C194,'Zip Code Lines_1'!$Q$4:$Q$26,0),0)</f>
        <v>White Plains</v>
      </c>
      <c r="E194" s="344">
        <f ca="1">OFFSET('Zip Code Lines_1'!$W$3,MATCH('Zip Code Lines_1'!C194,'Zip Code Lines_1'!$Q$4:$Q$26,0),0)</f>
        <v>13.5</v>
      </c>
      <c r="F194" s="344">
        <f ca="1">OFFSET('Zip Code Lines_1'!$Z$3,MATCH('Zip Code Lines_1'!C194,'Zip Code Lines_1'!$Q$4:$Q$26,0),0)</f>
        <v>86.4</v>
      </c>
      <c r="G194" s="342">
        <f ca="1">OFFSET('Zip Code Lines_1'!$AC$3,MATCH('Zip Code Lines_1'!C194,'Zip Code Lines_1'!$Q$4:$Q$26,0),0)</f>
        <v>6</v>
      </c>
      <c r="H194" s="342">
        <v>10505</v>
      </c>
    </row>
    <row r="195" spans="2:8" x14ac:dyDescent="0.25">
      <c r="B195" s="342">
        <v>10506</v>
      </c>
      <c r="C195" s="343" t="s">
        <v>575</v>
      </c>
      <c r="D195" s="343" t="str">
        <f ca="1">OFFSET('Zip Code Lines_1'!$U$3,MATCH('Zip Code Lines_1'!C195,'Zip Code Lines_1'!$Q$4:$Q$26,0),0)</f>
        <v>White Plains</v>
      </c>
      <c r="E195" s="344">
        <f ca="1">OFFSET('Zip Code Lines_1'!$W$3,MATCH('Zip Code Lines_1'!C195,'Zip Code Lines_1'!$Q$4:$Q$26,0),0)</f>
        <v>13.5</v>
      </c>
      <c r="F195" s="344">
        <f ca="1">OFFSET('Zip Code Lines_1'!$Z$3,MATCH('Zip Code Lines_1'!C195,'Zip Code Lines_1'!$Q$4:$Q$26,0),0)</f>
        <v>86.4</v>
      </c>
      <c r="G195" s="342">
        <f ca="1">OFFSET('Zip Code Lines_1'!$AC$3,MATCH('Zip Code Lines_1'!C195,'Zip Code Lines_1'!$Q$4:$Q$26,0),0)</f>
        <v>6</v>
      </c>
      <c r="H195" s="342">
        <v>10506</v>
      </c>
    </row>
    <row r="196" spans="2:8" x14ac:dyDescent="0.25">
      <c r="B196" s="342">
        <v>10507</v>
      </c>
      <c r="C196" s="343" t="s">
        <v>575</v>
      </c>
      <c r="D196" s="343" t="str">
        <f ca="1">OFFSET('Zip Code Lines_1'!$U$3,MATCH('Zip Code Lines_1'!C196,'Zip Code Lines_1'!$Q$4:$Q$26,0),0)</f>
        <v>White Plains</v>
      </c>
      <c r="E196" s="344">
        <f ca="1">OFFSET('Zip Code Lines_1'!$W$3,MATCH('Zip Code Lines_1'!C196,'Zip Code Lines_1'!$Q$4:$Q$26,0),0)</f>
        <v>13.5</v>
      </c>
      <c r="F196" s="344">
        <f ca="1">OFFSET('Zip Code Lines_1'!$Z$3,MATCH('Zip Code Lines_1'!C196,'Zip Code Lines_1'!$Q$4:$Q$26,0),0)</f>
        <v>86.4</v>
      </c>
      <c r="G196" s="342">
        <f ca="1">OFFSET('Zip Code Lines_1'!$AC$3,MATCH('Zip Code Lines_1'!C196,'Zip Code Lines_1'!$Q$4:$Q$26,0),0)</f>
        <v>6</v>
      </c>
      <c r="H196" s="342">
        <v>10507</v>
      </c>
    </row>
    <row r="197" spans="2:8" x14ac:dyDescent="0.25">
      <c r="B197" s="342">
        <v>10509</v>
      </c>
      <c r="C197" s="343" t="s">
        <v>575</v>
      </c>
      <c r="D197" s="343" t="str">
        <f ca="1">OFFSET('Zip Code Lines_1'!$U$3,MATCH('Zip Code Lines_1'!C197,'Zip Code Lines_1'!$Q$4:$Q$26,0),0)</f>
        <v>White Plains</v>
      </c>
      <c r="E197" s="344">
        <f ca="1">OFFSET('Zip Code Lines_1'!$W$3,MATCH('Zip Code Lines_1'!C197,'Zip Code Lines_1'!$Q$4:$Q$26,0),0)</f>
        <v>13.5</v>
      </c>
      <c r="F197" s="344">
        <f ca="1">OFFSET('Zip Code Lines_1'!$Z$3,MATCH('Zip Code Lines_1'!C197,'Zip Code Lines_1'!$Q$4:$Q$26,0),0)</f>
        <v>86.4</v>
      </c>
      <c r="G197" s="342">
        <f ca="1">OFFSET('Zip Code Lines_1'!$AC$3,MATCH('Zip Code Lines_1'!C197,'Zip Code Lines_1'!$Q$4:$Q$26,0),0)</f>
        <v>6</v>
      </c>
      <c r="H197" s="342">
        <v>10509</v>
      </c>
    </row>
    <row r="198" spans="2:8" x14ac:dyDescent="0.25">
      <c r="B198" s="342">
        <v>10510</v>
      </c>
      <c r="C198" s="343" t="s">
        <v>575</v>
      </c>
      <c r="D198" s="343" t="str">
        <f ca="1">OFFSET('Zip Code Lines_1'!$U$3,MATCH('Zip Code Lines_1'!C198,'Zip Code Lines_1'!$Q$4:$Q$26,0),0)</f>
        <v>White Plains</v>
      </c>
      <c r="E198" s="344">
        <f ca="1">OFFSET('Zip Code Lines_1'!$W$3,MATCH('Zip Code Lines_1'!C198,'Zip Code Lines_1'!$Q$4:$Q$26,0),0)</f>
        <v>13.5</v>
      </c>
      <c r="F198" s="344">
        <f ca="1">OFFSET('Zip Code Lines_1'!$Z$3,MATCH('Zip Code Lines_1'!C198,'Zip Code Lines_1'!$Q$4:$Q$26,0),0)</f>
        <v>86.4</v>
      </c>
      <c r="G198" s="342">
        <f ca="1">OFFSET('Zip Code Lines_1'!$AC$3,MATCH('Zip Code Lines_1'!C198,'Zip Code Lines_1'!$Q$4:$Q$26,0),0)</f>
        <v>6</v>
      </c>
      <c r="H198" s="342">
        <v>10510</v>
      </c>
    </row>
    <row r="199" spans="2:8" x14ac:dyDescent="0.25">
      <c r="B199" s="342">
        <v>10511</v>
      </c>
      <c r="C199" s="343" t="s">
        <v>575</v>
      </c>
      <c r="D199" s="343" t="str">
        <f ca="1">OFFSET('Zip Code Lines_1'!$U$3,MATCH('Zip Code Lines_1'!C199,'Zip Code Lines_1'!$Q$4:$Q$26,0),0)</f>
        <v>White Plains</v>
      </c>
      <c r="E199" s="344">
        <f ca="1">OFFSET('Zip Code Lines_1'!$W$3,MATCH('Zip Code Lines_1'!C199,'Zip Code Lines_1'!$Q$4:$Q$26,0),0)</f>
        <v>13.5</v>
      </c>
      <c r="F199" s="344">
        <f ca="1">OFFSET('Zip Code Lines_1'!$Z$3,MATCH('Zip Code Lines_1'!C199,'Zip Code Lines_1'!$Q$4:$Q$26,0),0)</f>
        <v>86.4</v>
      </c>
      <c r="G199" s="342">
        <f ca="1">OFFSET('Zip Code Lines_1'!$AC$3,MATCH('Zip Code Lines_1'!C199,'Zip Code Lines_1'!$Q$4:$Q$26,0),0)</f>
        <v>6</v>
      </c>
      <c r="H199" s="342">
        <v>10511</v>
      </c>
    </row>
    <row r="200" spans="2:8" x14ac:dyDescent="0.25">
      <c r="B200" s="342">
        <v>10512</v>
      </c>
      <c r="C200" s="343" t="s">
        <v>563</v>
      </c>
      <c r="D200" s="343" t="str">
        <f ca="1">OFFSET('Zip Code Lines_1'!$U$3,MATCH('Zip Code Lines_1'!C200,'Zip Code Lines_1'!$Q$4:$Q$26,0),0)</f>
        <v>Poughkeepsie</v>
      </c>
      <c r="E200" s="344">
        <f ca="1">OFFSET('Zip Code Lines_1'!$W$3,MATCH('Zip Code Lines_1'!C200,'Zip Code Lines_1'!$Q$4:$Q$26,0),0)</f>
        <v>8.4</v>
      </c>
      <c r="F200" s="344">
        <f ca="1">OFFSET('Zip Code Lines_1'!$Z$3,MATCH('Zip Code Lines_1'!C200,'Zip Code Lines_1'!$Q$4:$Q$26,0),0)</f>
        <v>88.4</v>
      </c>
      <c r="G200" s="342">
        <f ca="1">OFFSET('Zip Code Lines_1'!$AC$3,MATCH('Zip Code Lines_1'!C200,'Zip Code Lines_1'!$Q$4:$Q$26,0),0)</f>
        <v>12</v>
      </c>
      <c r="H200" s="342">
        <v>10512</v>
      </c>
    </row>
    <row r="201" spans="2:8" x14ac:dyDescent="0.25">
      <c r="B201" s="342">
        <v>10514</v>
      </c>
      <c r="C201" s="343" t="s">
        <v>575</v>
      </c>
      <c r="D201" s="343" t="str">
        <f ca="1">OFFSET('Zip Code Lines_1'!$U$3,MATCH('Zip Code Lines_1'!C201,'Zip Code Lines_1'!$Q$4:$Q$26,0),0)</f>
        <v>White Plains</v>
      </c>
      <c r="E201" s="344">
        <f ca="1">OFFSET('Zip Code Lines_1'!$W$3,MATCH('Zip Code Lines_1'!C201,'Zip Code Lines_1'!$Q$4:$Q$26,0),0)</f>
        <v>13.5</v>
      </c>
      <c r="F201" s="344">
        <f ca="1">OFFSET('Zip Code Lines_1'!$Z$3,MATCH('Zip Code Lines_1'!C201,'Zip Code Lines_1'!$Q$4:$Q$26,0),0)</f>
        <v>86.4</v>
      </c>
      <c r="G201" s="342">
        <f ca="1">OFFSET('Zip Code Lines_1'!$AC$3,MATCH('Zip Code Lines_1'!C201,'Zip Code Lines_1'!$Q$4:$Q$26,0),0)</f>
        <v>6</v>
      </c>
      <c r="H201" s="342">
        <v>10514</v>
      </c>
    </row>
    <row r="202" spans="2:8" x14ac:dyDescent="0.25">
      <c r="B202" s="342">
        <v>10516</v>
      </c>
      <c r="C202" s="343" t="s">
        <v>563</v>
      </c>
      <c r="D202" s="343" t="str">
        <f ca="1">OFFSET('Zip Code Lines_1'!$U$3,MATCH('Zip Code Lines_1'!C202,'Zip Code Lines_1'!$Q$4:$Q$26,0),0)</f>
        <v>Poughkeepsie</v>
      </c>
      <c r="E202" s="344">
        <f ca="1">OFFSET('Zip Code Lines_1'!$W$3,MATCH('Zip Code Lines_1'!C202,'Zip Code Lines_1'!$Q$4:$Q$26,0),0)</f>
        <v>8.4</v>
      </c>
      <c r="F202" s="344">
        <f ca="1">OFFSET('Zip Code Lines_1'!$Z$3,MATCH('Zip Code Lines_1'!C202,'Zip Code Lines_1'!$Q$4:$Q$26,0),0)</f>
        <v>88.4</v>
      </c>
      <c r="G202" s="342">
        <f ca="1">OFFSET('Zip Code Lines_1'!$AC$3,MATCH('Zip Code Lines_1'!C202,'Zip Code Lines_1'!$Q$4:$Q$26,0),0)</f>
        <v>12</v>
      </c>
      <c r="H202" s="342">
        <v>10516</v>
      </c>
    </row>
    <row r="203" spans="2:8" x14ac:dyDescent="0.25">
      <c r="B203" s="342">
        <v>10517</v>
      </c>
      <c r="C203" s="343" t="s">
        <v>575</v>
      </c>
      <c r="D203" s="343" t="str">
        <f ca="1">OFFSET('Zip Code Lines_1'!$U$3,MATCH('Zip Code Lines_1'!C203,'Zip Code Lines_1'!$Q$4:$Q$26,0),0)</f>
        <v>White Plains</v>
      </c>
      <c r="E203" s="344">
        <f ca="1">OFFSET('Zip Code Lines_1'!$W$3,MATCH('Zip Code Lines_1'!C203,'Zip Code Lines_1'!$Q$4:$Q$26,0),0)</f>
        <v>13.5</v>
      </c>
      <c r="F203" s="344">
        <f ca="1">OFFSET('Zip Code Lines_1'!$Z$3,MATCH('Zip Code Lines_1'!C203,'Zip Code Lines_1'!$Q$4:$Q$26,0),0)</f>
        <v>86.4</v>
      </c>
      <c r="G203" s="342">
        <f ca="1">OFFSET('Zip Code Lines_1'!$AC$3,MATCH('Zip Code Lines_1'!C203,'Zip Code Lines_1'!$Q$4:$Q$26,0),0)</f>
        <v>6</v>
      </c>
      <c r="H203" s="342">
        <v>10517</v>
      </c>
    </row>
    <row r="204" spans="2:8" x14ac:dyDescent="0.25">
      <c r="B204" s="342">
        <v>10518</v>
      </c>
      <c r="C204" s="343" t="s">
        <v>575</v>
      </c>
      <c r="D204" s="343" t="str">
        <f ca="1">OFFSET('Zip Code Lines_1'!$U$3,MATCH('Zip Code Lines_1'!C204,'Zip Code Lines_1'!$Q$4:$Q$26,0),0)</f>
        <v>White Plains</v>
      </c>
      <c r="E204" s="344">
        <f ca="1">OFFSET('Zip Code Lines_1'!$W$3,MATCH('Zip Code Lines_1'!C204,'Zip Code Lines_1'!$Q$4:$Q$26,0),0)</f>
        <v>13.5</v>
      </c>
      <c r="F204" s="344">
        <f ca="1">OFFSET('Zip Code Lines_1'!$Z$3,MATCH('Zip Code Lines_1'!C204,'Zip Code Lines_1'!$Q$4:$Q$26,0),0)</f>
        <v>86.4</v>
      </c>
      <c r="G204" s="342">
        <f ca="1">OFFSET('Zip Code Lines_1'!$AC$3,MATCH('Zip Code Lines_1'!C204,'Zip Code Lines_1'!$Q$4:$Q$26,0),0)</f>
        <v>6</v>
      </c>
      <c r="H204" s="342">
        <v>10518</v>
      </c>
    </row>
    <row r="205" spans="2:8" x14ac:dyDescent="0.25">
      <c r="B205" s="342">
        <v>10519</v>
      </c>
      <c r="C205" s="343" t="s">
        <v>575</v>
      </c>
      <c r="D205" s="343" t="str">
        <f ca="1">OFFSET('Zip Code Lines_1'!$U$3,MATCH('Zip Code Lines_1'!C205,'Zip Code Lines_1'!$Q$4:$Q$26,0),0)</f>
        <v>White Plains</v>
      </c>
      <c r="E205" s="344">
        <f ca="1">OFFSET('Zip Code Lines_1'!$W$3,MATCH('Zip Code Lines_1'!C205,'Zip Code Lines_1'!$Q$4:$Q$26,0),0)</f>
        <v>13.5</v>
      </c>
      <c r="F205" s="344">
        <f ca="1">OFFSET('Zip Code Lines_1'!$Z$3,MATCH('Zip Code Lines_1'!C205,'Zip Code Lines_1'!$Q$4:$Q$26,0),0)</f>
        <v>86.4</v>
      </c>
      <c r="G205" s="342">
        <f ca="1">OFFSET('Zip Code Lines_1'!$AC$3,MATCH('Zip Code Lines_1'!C205,'Zip Code Lines_1'!$Q$4:$Q$26,0),0)</f>
        <v>6</v>
      </c>
      <c r="H205" s="342">
        <v>10519</v>
      </c>
    </row>
    <row r="206" spans="2:8" x14ac:dyDescent="0.25">
      <c r="B206" s="342">
        <v>10520</v>
      </c>
      <c r="C206" s="343" t="s">
        <v>575</v>
      </c>
      <c r="D206" s="343" t="str">
        <f ca="1">OFFSET('Zip Code Lines_1'!$U$3,MATCH('Zip Code Lines_1'!C206,'Zip Code Lines_1'!$Q$4:$Q$26,0),0)</f>
        <v>White Plains</v>
      </c>
      <c r="E206" s="344">
        <f ca="1">OFFSET('Zip Code Lines_1'!$W$3,MATCH('Zip Code Lines_1'!C206,'Zip Code Lines_1'!$Q$4:$Q$26,0),0)</f>
        <v>13.5</v>
      </c>
      <c r="F206" s="344">
        <f ca="1">OFFSET('Zip Code Lines_1'!$Z$3,MATCH('Zip Code Lines_1'!C206,'Zip Code Lines_1'!$Q$4:$Q$26,0),0)</f>
        <v>86.4</v>
      </c>
      <c r="G206" s="342">
        <f ca="1">OFFSET('Zip Code Lines_1'!$AC$3,MATCH('Zip Code Lines_1'!C206,'Zip Code Lines_1'!$Q$4:$Q$26,0),0)</f>
        <v>6</v>
      </c>
      <c r="H206" s="342">
        <v>10520</v>
      </c>
    </row>
    <row r="207" spans="2:8" x14ac:dyDescent="0.25">
      <c r="B207" s="342">
        <v>10521</v>
      </c>
      <c r="C207" s="343" t="s">
        <v>575</v>
      </c>
      <c r="D207" s="343" t="str">
        <f ca="1">OFFSET('Zip Code Lines_1'!$U$3,MATCH('Zip Code Lines_1'!C207,'Zip Code Lines_1'!$Q$4:$Q$26,0),0)</f>
        <v>White Plains</v>
      </c>
      <c r="E207" s="344">
        <f ca="1">OFFSET('Zip Code Lines_1'!$W$3,MATCH('Zip Code Lines_1'!C207,'Zip Code Lines_1'!$Q$4:$Q$26,0),0)</f>
        <v>13.5</v>
      </c>
      <c r="F207" s="344">
        <f ca="1">OFFSET('Zip Code Lines_1'!$Z$3,MATCH('Zip Code Lines_1'!C207,'Zip Code Lines_1'!$Q$4:$Q$26,0),0)</f>
        <v>86.4</v>
      </c>
      <c r="G207" s="342">
        <f ca="1">OFFSET('Zip Code Lines_1'!$AC$3,MATCH('Zip Code Lines_1'!C207,'Zip Code Lines_1'!$Q$4:$Q$26,0),0)</f>
        <v>6</v>
      </c>
      <c r="H207" s="342">
        <v>10521</v>
      </c>
    </row>
    <row r="208" spans="2:8" x14ac:dyDescent="0.25">
      <c r="B208" s="342">
        <v>10522</v>
      </c>
      <c r="C208" s="343" t="s">
        <v>575</v>
      </c>
      <c r="D208" s="343" t="str">
        <f ca="1">OFFSET('Zip Code Lines_1'!$U$3,MATCH('Zip Code Lines_1'!C208,'Zip Code Lines_1'!$Q$4:$Q$26,0),0)</f>
        <v>White Plains</v>
      </c>
      <c r="E208" s="344">
        <f ca="1">OFFSET('Zip Code Lines_1'!$W$3,MATCH('Zip Code Lines_1'!C208,'Zip Code Lines_1'!$Q$4:$Q$26,0),0)</f>
        <v>13.5</v>
      </c>
      <c r="F208" s="344">
        <f ca="1">OFFSET('Zip Code Lines_1'!$Z$3,MATCH('Zip Code Lines_1'!C208,'Zip Code Lines_1'!$Q$4:$Q$26,0),0)</f>
        <v>86.4</v>
      </c>
      <c r="G208" s="342">
        <f ca="1">OFFSET('Zip Code Lines_1'!$AC$3,MATCH('Zip Code Lines_1'!C208,'Zip Code Lines_1'!$Q$4:$Q$26,0),0)</f>
        <v>6</v>
      </c>
      <c r="H208" s="342">
        <v>10522</v>
      </c>
    </row>
    <row r="209" spans="2:8" x14ac:dyDescent="0.25">
      <c r="B209" s="342">
        <v>10523</v>
      </c>
      <c r="C209" s="343" t="s">
        <v>575</v>
      </c>
      <c r="D209" s="343" t="str">
        <f ca="1">OFFSET('Zip Code Lines_1'!$U$3,MATCH('Zip Code Lines_1'!C209,'Zip Code Lines_1'!$Q$4:$Q$26,0),0)</f>
        <v>White Plains</v>
      </c>
      <c r="E209" s="344">
        <f ca="1">OFFSET('Zip Code Lines_1'!$W$3,MATCH('Zip Code Lines_1'!C209,'Zip Code Lines_1'!$Q$4:$Q$26,0),0)</f>
        <v>13.5</v>
      </c>
      <c r="F209" s="344">
        <f ca="1">OFFSET('Zip Code Lines_1'!$Z$3,MATCH('Zip Code Lines_1'!C209,'Zip Code Lines_1'!$Q$4:$Q$26,0),0)</f>
        <v>86.4</v>
      </c>
      <c r="G209" s="342">
        <f ca="1">OFFSET('Zip Code Lines_1'!$AC$3,MATCH('Zip Code Lines_1'!C209,'Zip Code Lines_1'!$Q$4:$Q$26,0),0)</f>
        <v>6</v>
      </c>
      <c r="H209" s="342">
        <v>10523</v>
      </c>
    </row>
    <row r="210" spans="2:8" x14ac:dyDescent="0.25">
      <c r="B210" s="342">
        <v>10524</v>
      </c>
      <c r="C210" s="343" t="s">
        <v>563</v>
      </c>
      <c r="D210" s="343" t="str">
        <f ca="1">OFFSET('Zip Code Lines_1'!$U$3,MATCH('Zip Code Lines_1'!C210,'Zip Code Lines_1'!$Q$4:$Q$26,0),0)</f>
        <v>Poughkeepsie</v>
      </c>
      <c r="E210" s="344">
        <f ca="1">OFFSET('Zip Code Lines_1'!$W$3,MATCH('Zip Code Lines_1'!C210,'Zip Code Lines_1'!$Q$4:$Q$26,0),0)</f>
        <v>8.4</v>
      </c>
      <c r="F210" s="344">
        <f ca="1">OFFSET('Zip Code Lines_1'!$Z$3,MATCH('Zip Code Lines_1'!C210,'Zip Code Lines_1'!$Q$4:$Q$26,0),0)</f>
        <v>88.4</v>
      </c>
      <c r="G210" s="342">
        <f ca="1">OFFSET('Zip Code Lines_1'!$AC$3,MATCH('Zip Code Lines_1'!C210,'Zip Code Lines_1'!$Q$4:$Q$26,0),0)</f>
        <v>12</v>
      </c>
      <c r="H210" s="342">
        <v>10524</v>
      </c>
    </row>
    <row r="211" spans="2:8" x14ac:dyDescent="0.25">
      <c r="B211" s="342">
        <v>10526</v>
      </c>
      <c r="C211" s="343" t="s">
        <v>575</v>
      </c>
      <c r="D211" s="343" t="str">
        <f ca="1">OFFSET('Zip Code Lines_1'!$U$3,MATCH('Zip Code Lines_1'!C211,'Zip Code Lines_1'!$Q$4:$Q$26,0),0)</f>
        <v>White Plains</v>
      </c>
      <c r="E211" s="344">
        <f ca="1">OFFSET('Zip Code Lines_1'!$W$3,MATCH('Zip Code Lines_1'!C211,'Zip Code Lines_1'!$Q$4:$Q$26,0),0)</f>
        <v>13.5</v>
      </c>
      <c r="F211" s="344">
        <f ca="1">OFFSET('Zip Code Lines_1'!$Z$3,MATCH('Zip Code Lines_1'!C211,'Zip Code Lines_1'!$Q$4:$Q$26,0),0)</f>
        <v>86.4</v>
      </c>
      <c r="G211" s="342">
        <f ca="1">OFFSET('Zip Code Lines_1'!$AC$3,MATCH('Zip Code Lines_1'!C211,'Zip Code Lines_1'!$Q$4:$Q$26,0),0)</f>
        <v>6</v>
      </c>
      <c r="H211" s="342">
        <v>10526</v>
      </c>
    </row>
    <row r="212" spans="2:8" x14ac:dyDescent="0.25">
      <c r="B212" s="342">
        <v>10527</v>
      </c>
      <c r="C212" s="343" t="s">
        <v>575</v>
      </c>
      <c r="D212" s="343" t="str">
        <f ca="1">OFFSET('Zip Code Lines_1'!$U$3,MATCH('Zip Code Lines_1'!C212,'Zip Code Lines_1'!$Q$4:$Q$26,0),0)</f>
        <v>White Plains</v>
      </c>
      <c r="E212" s="344">
        <f ca="1">OFFSET('Zip Code Lines_1'!$W$3,MATCH('Zip Code Lines_1'!C212,'Zip Code Lines_1'!$Q$4:$Q$26,0),0)</f>
        <v>13.5</v>
      </c>
      <c r="F212" s="344">
        <f ca="1">OFFSET('Zip Code Lines_1'!$Z$3,MATCH('Zip Code Lines_1'!C212,'Zip Code Lines_1'!$Q$4:$Q$26,0),0)</f>
        <v>86.4</v>
      </c>
      <c r="G212" s="342">
        <f ca="1">OFFSET('Zip Code Lines_1'!$AC$3,MATCH('Zip Code Lines_1'!C212,'Zip Code Lines_1'!$Q$4:$Q$26,0),0)</f>
        <v>6</v>
      </c>
      <c r="H212" s="342">
        <v>10527</v>
      </c>
    </row>
    <row r="213" spans="2:8" x14ac:dyDescent="0.25">
      <c r="B213" s="342">
        <v>10528</v>
      </c>
      <c r="C213" s="343" t="s">
        <v>575</v>
      </c>
      <c r="D213" s="343" t="str">
        <f ca="1">OFFSET('Zip Code Lines_1'!$U$3,MATCH('Zip Code Lines_1'!C213,'Zip Code Lines_1'!$Q$4:$Q$26,0),0)</f>
        <v>White Plains</v>
      </c>
      <c r="E213" s="344">
        <f ca="1">OFFSET('Zip Code Lines_1'!$W$3,MATCH('Zip Code Lines_1'!C213,'Zip Code Lines_1'!$Q$4:$Q$26,0),0)</f>
        <v>13.5</v>
      </c>
      <c r="F213" s="344">
        <f ca="1">OFFSET('Zip Code Lines_1'!$Z$3,MATCH('Zip Code Lines_1'!C213,'Zip Code Lines_1'!$Q$4:$Q$26,0),0)</f>
        <v>86.4</v>
      </c>
      <c r="G213" s="342">
        <f ca="1">OFFSET('Zip Code Lines_1'!$AC$3,MATCH('Zip Code Lines_1'!C213,'Zip Code Lines_1'!$Q$4:$Q$26,0),0)</f>
        <v>6</v>
      </c>
      <c r="H213" s="342">
        <v>10528</v>
      </c>
    </row>
    <row r="214" spans="2:8" x14ac:dyDescent="0.25">
      <c r="B214" s="342">
        <v>10530</v>
      </c>
      <c r="C214" s="343" t="s">
        <v>575</v>
      </c>
      <c r="D214" s="343" t="str">
        <f ca="1">OFFSET('Zip Code Lines_1'!$U$3,MATCH('Zip Code Lines_1'!C214,'Zip Code Lines_1'!$Q$4:$Q$26,0),0)</f>
        <v>White Plains</v>
      </c>
      <c r="E214" s="344">
        <f ca="1">OFFSET('Zip Code Lines_1'!$W$3,MATCH('Zip Code Lines_1'!C214,'Zip Code Lines_1'!$Q$4:$Q$26,0),0)</f>
        <v>13.5</v>
      </c>
      <c r="F214" s="344">
        <f ca="1">OFFSET('Zip Code Lines_1'!$Z$3,MATCH('Zip Code Lines_1'!C214,'Zip Code Lines_1'!$Q$4:$Q$26,0),0)</f>
        <v>86.4</v>
      </c>
      <c r="G214" s="342">
        <f ca="1">OFFSET('Zip Code Lines_1'!$AC$3,MATCH('Zip Code Lines_1'!C214,'Zip Code Lines_1'!$Q$4:$Q$26,0),0)</f>
        <v>6</v>
      </c>
      <c r="H214" s="342">
        <v>10530</v>
      </c>
    </row>
    <row r="215" spans="2:8" x14ac:dyDescent="0.25">
      <c r="B215" s="342">
        <v>10532</v>
      </c>
      <c r="C215" s="343" t="s">
        <v>575</v>
      </c>
      <c r="D215" s="343" t="str">
        <f ca="1">OFFSET('Zip Code Lines_1'!$U$3,MATCH('Zip Code Lines_1'!C215,'Zip Code Lines_1'!$Q$4:$Q$26,0),0)</f>
        <v>White Plains</v>
      </c>
      <c r="E215" s="344">
        <f ca="1">OFFSET('Zip Code Lines_1'!$W$3,MATCH('Zip Code Lines_1'!C215,'Zip Code Lines_1'!$Q$4:$Q$26,0),0)</f>
        <v>13.5</v>
      </c>
      <c r="F215" s="344">
        <f ca="1">OFFSET('Zip Code Lines_1'!$Z$3,MATCH('Zip Code Lines_1'!C215,'Zip Code Lines_1'!$Q$4:$Q$26,0),0)</f>
        <v>86.4</v>
      </c>
      <c r="G215" s="342">
        <f ca="1">OFFSET('Zip Code Lines_1'!$AC$3,MATCH('Zip Code Lines_1'!C215,'Zip Code Lines_1'!$Q$4:$Q$26,0),0)</f>
        <v>6</v>
      </c>
      <c r="H215" s="342">
        <v>10532</v>
      </c>
    </row>
    <row r="216" spans="2:8" x14ac:dyDescent="0.25">
      <c r="B216" s="342">
        <v>10533</v>
      </c>
      <c r="C216" s="343" t="s">
        <v>575</v>
      </c>
      <c r="D216" s="343" t="str">
        <f ca="1">OFFSET('Zip Code Lines_1'!$U$3,MATCH('Zip Code Lines_1'!C216,'Zip Code Lines_1'!$Q$4:$Q$26,0),0)</f>
        <v>White Plains</v>
      </c>
      <c r="E216" s="344">
        <f ca="1">OFFSET('Zip Code Lines_1'!$W$3,MATCH('Zip Code Lines_1'!C216,'Zip Code Lines_1'!$Q$4:$Q$26,0),0)</f>
        <v>13.5</v>
      </c>
      <c r="F216" s="344">
        <f ca="1">OFFSET('Zip Code Lines_1'!$Z$3,MATCH('Zip Code Lines_1'!C216,'Zip Code Lines_1'!$Q$4:$Q$26,0),0)</f>
        <v>86.4</v>
      </c>
      <c r="G216" s="342">
        <f ca="1">OFFSET('Zip Code Lines_1'!$AC$3,MATCH('Zip Code Lines_1'!C216,'Zip Code Lines_1'!$Q$4:$Q$26,0),0)</f>
        <v>6</v>
      </c>
      <c r="H216" s="342">
        <v>10533</v>
      </c>
    </row>
    <row r="217" spans="2:8" x14ac:dyDescent="0.25">
      <c r="B217" s="342">
        <v>10535</v>
      </c>
      <c r="C217" s="343" t="s">
        <v>575</v>
      </c>
      <c r="D217" s="343" t="str">
        <f ca="1">OFFSET('Zip Code Lines_1'!$U$3,MATCH('Zip Code Lines_1'!C217,'Zip Code Lines_1'!$Q$4:$Q$26,0),0)</f>
        <v>White Plains</v>
      </c>
      <c r="E217" s="344">
        <f ca="1">OFFSET('Zip Code Lines_1'!$W$3,MATCH('Zip Code Lines_1'!C217,'Zip Code Lines_1'!$Q$4:$Q$26,0),0)</f>
        <v>13.5</v>
      </c>
      <c r="F217" s="344">
        <f ca="1">OFFSET('Zip Code Lines_1'!$Z$3,MATCH('Zip Code Lines_1'!C217,'Zip Code Lines_1'!$Q$4:$Q$26,0),0)</f>
        <v>86.4</v>
      </c>
      <c r="G217" s="342">
        <f ca="1">OFFSET('Zip Code Lines_1'!$AC$3,MATCH('Zip Code Lines_1'!C217,'Zip Code Lines_1'!$Q$4:$Q$26,0),0)</f>
        <v>6</v>
      </c>
      <c r="H217" s="342">
        <v>10535</v>
      </c>
    </row>
    <row r="218" spans="2:8" x14ac:dyDescent="0.25">
      <c r="B218" s="342">
        <v>10536</v>
      </c>
      <c r="C218" s="343" t="s">
        <v>575</v>
      </c>
      <c r="D218" s="343" t="str">
        <f ca="1">OFFSET('Zip Code Lines_1'!$U$3,MATCH('Zip Code Lines_1'!C218,'Zip Code Lines_1'!$Q$4:$Q$26,0),0)</f>
        <v>White Plains</v>
      </c>
      <c r="E218" s="344">
        <f ca="1">OFFSET('Zip Code Lines_1'!$W$3,MATCH('Zip Code Lines_1'!C218,'Zip Code Lines_1'!$Q$4:$Q$26,0),0)</f>
        <v>13.5</v>
      </c>
      <c r="F218" s="344">
        <f ca="1">OFFSET('Zip Code Lines_1'!$Z$3,MATCH('Zip Code Lines_1'!C218,'Zip Code Lines_1'!$Q$4:$Q$26,0),0)</f>
        <v>86.4</v>
      </c>
      <c r="G218" s="342">
        <f ca="1">OFFSET('Zip Code Lines_1'!$AC$3,MATCH('Zip Code Lines_1'!C218,'Zip Code Lines_1'!$Q$4:$Q$26,0),0)</f>
        <v>6</v>
      </c>
      <c r="H218" s="342">
        <v>10536</v>
      </c>
    </row>
    <row r="219" spans="2:8" x14ac:dyDescent="0.25">
      <c r="B219" s="342">
        <v>10537</v>
      </c>
      <c r="C219" s="343" t="s">
        <v>575</v>
      </c>
      <c r="D219" s="343" t="str">
        <f ca="1">OFFSET('Zip Code Lines_1'!$U$3,MATCH('Zip Code Lines_1'!C219,'Zip Code Lines_1'!$Q$4:$Q$26,0),0)</f>
        <v>White Plains</v>
      </c>
      <c r="E219" s="344">
        <f ca="1">OFFSET('Zip Code Lines_1'!$W$3,MATCH('Zip Code Lines_1'!C219,'Zip Code Lines_1'!$Q$4:$Q$26,0),0)</f>
        <v>13.5</v>
      </c>
      <c r="F219" s="344">
        <f ca="1">OFFSET('Zip Code Lines_1'!$Z$3,MATCH('Zip Code Lines_1'!C219,'Zip Code Lines_1'!$Q$4:$Q$26,0),0)</f>
        <v>86.4</v>
      </c>
      <c r="G219" s="342">
        <f ca="1">OFFSET('Zip Code Lines_1'!$AC$3,MATCH('Zip Code Lines_1'!C219,'Zip Code Lines_1'!$Q$4:$Q$26,0),0)</f>
        <v>6</v>
      </c>
      <c r="H219" s="342">
        <v>10537</v>
      </c>
    </row>
    <row r="220" spans="2:8" x14ac:dyDescent="0.25">
      <c r="B220" s="342">
        <v>10538</v>
      </c>
      <c r="C220" s="343" t="s">
        <v>575</v>
      </c>
      <c r="D220" s="343" t="str">
        <f ca="1">OFFSET('Zip Code Lines_1'!$U$3,MATCH('Zip Code Lines_1'!C220,'Zip Code Lines_1'!$Q$4:$Q$26,0),0)</f>
        <v>White Plains</v>
      </c>
      <c r="E220" s="344">
        <f ca="1">OFFSET('Zip Code Lines_1'!$W$3,MATCH('Zip Code Lines_1'!C220,'Zip Code Lines_1'!$Q$4:$Q$26,0),0)</f>
        <v>13.5</v>
      </c>
      <c r="F220" s="344">
        <f ca="1">OFFSET('Zip Code Lines_1'!$Z$3,MATCH('Zip Code Lines_1'!C220,'Zip Code Lines_1'!$Q$4:$Q$26,0),0)</f>
        <v>86.4</v>
      </c>
      <c r="G220" s="342">
        <f ca="1">OFFSET('Zip Code Lines_1'!$AC$3,MATCH('Zip Code Lines_1'!C220,'Zip Code Lines_1'!$Q$4:$Q$26,0),0)</f>
        <v>6</v>
      </c>
      <c r="H220" s="342">
        <v>10538</v>
      </c>
    </row>
    <row r="221" spans="2:8" x14ac:dyDescent="0.25">
      <c r="B221" s="342">
        <v>10540</v>
      </c>
      <c r="C221" s="343" t="s">
        <v>575</v>
      </c>
      <c r="D221" s="343" t="str">
        <f ca="1">OFFSET('Zip Code Lines_1'!$U$3,MATCH('Zip Code Lines_1'!C221,'Zip Code Lines_1'!$Q$4:$Q$26,0),0)</f>
        <v>White Plains</v>
      </c>
      <c r="E221" s="344">
        <f ca="1">OFFSET('Zip Code Lines_1'!$W$3,MATCH('Zip Code Lines_1'!C221,'Zip Code Lines_1'!$Q$4:$Q$26,0),0)</f>
        <v>13.5</v>
      </c>
      <c r="F221" s="344">
        <f ca="1">OFFSET('Zip Code Lines_1'!$Z$3,MATCH('Zip Code Lines_1'!C221,'Zip Code Lines_1'!$Q$4:$Q$26,0),0)</f>
        <v>86.4</v>
      </c>
      <c r="G221" s="342">
        <f ca="1">OFFSET('Zip Code Lines_1'!$AC$3,MATCH('Zip Code Lines_1'!C221,'Zip Code Lines_1'!$Q$4:$Q$26,0),0)</f>
        <v>6</v>
      </c>
      <c r="H221" s="342">
        <v>10540</v>
      </c>
    </row>
    <row r="222" spans="2:8" x14ac:dyDescent="0.25">
      <c r="B222" s="342">
        <v>10541</v>
      </c>
      <c r="C222" s="343" t="s">
        <v>575</v>
      </c>
      <c r="D222" s="343" t="str">
        <f ca="1">OFFSET('Zip Code Lines_1'!$U$3,MATCH('Zip Code Lines_1'!C222,'Zip Code Lines_1'!$Q$4:$Q$26,0),0)</f>
        <v>White Plains</v>
      </c>
      <c r="E222" s="344">
        <f ca="1">OFFSET('Zip Code Lines_1'!$W$3,MATCH('Zip Code Lines_1'!C222,'Zip Code Lines_1'!$Q$4:$Q$26,0),0)</f>
        <v>13.5</v>
      </c>
      <c r="F222" s="344">
        <f ca="1">OFFSET('Zip Code Lines_1'!$Z$3,MATCH('Zip Code Lines_1'!C222,'Zip Code Lines_1'!$Q$4:$Q$26,0),0)</f>
        <v>86.4</v>
      </c>
      <c r="G222" s="342">
        <f ca="1">OFFSET('Zip Code Lines_1'!$AC$3,MATCH('Zip Code Lines_1'!C222,'Zip Code Lines_1'!$Q$4:$Q$26,0),0)</f>
        <v>6</v>
      </c>
      <c r="H222" s="342">
        <v>10541</v>
      </c>
    </row>
    <row r="223" spans="2:8" x14ac:dyDescent="0.25">
      <c r="B223" s="342">
        <v>10542</v>
      </c>
      <c r="C223" s="343" t="s">
        <v>575</v>
      </c>
      <c r="D223" s="343" t="str">
        <f ca="1">OFFSET('Zip Code Lines_1'!$U$3,MATCH('Zip Code Lines_1'!C223,'Zip Code Lines_1'!$Q$4:$Q$26,0),0)</f>
        <v>White Plains</v>
      </c>
      <c r="E223" s="344">
        <f ca="1">OFFSET('Zip Code Lines_1'!$W$3,MATCH('Zip Code Lines_1'!C223,'Zip Code Lines_1'!$Q$4:$Q$26,0),0)</f>
        <v>13.5</v>
      </c>
      <c r="F223" s="344">
        <f ca="1">OFFSET('Zip Code Lines_1'!$Z$3,MATCH('Zip Code Lines_1'!C223,'Zip Code Lines_1'!$Q$4:$Q$26,0),0)</f>
        <v>86.4</v>
      </c>
      <c r="G223" s="342">
        <f ca="1">OFFSET('Zip Code Lines_1'!$AC$3,MATCH('Zip Code Lines_1'!C223,'Zip Code Lines_1'!$Q$4:$Q$26,0),0)</f>
        <v>6</v>
      </c>
      <c r="H223" s="342">
        <v>10542</v>
      </c>
    </row>
    <row r="224" spans="2:8" x14ac:dyDescent="0.25">
      <c r="B224" s="342">
        <v>10543</v>
      </c>
      <c r="C224" s="343" t="s">
        <v>575</v>
      </c>
      <c r="D224" s="343" t="str">
        <f ca="1">OFFSET('Zip Code Lines_1'!$U$3,MATCH('Zip Code Lines_1'!C224,'Zip Code Lines_1'!$Q$4:$Q$26,0),0)</f>
        <v>White Plains</v>
      </c>
      <c r="E224" s="344">
        <f ca="1">OFFSET('Zip Code Lines_1'!$W$3,MATCH('Zip Code Lines_1'!C224,'Zip Code Lines_1'!$Q$4:$Q$26,0),0)</f>
        <v>13.5</v>
      </c>
      <c r="F224" s="344">
        <f ca="1">OFFSET('Zip Code Lines_1'!$Z$3,MATCH('Zip Code Lines_1'!C224,'Zip Code Lines_1'!$Q$4:$Q$26,0),0)</f>
        <v>86.4</v>
      </c>
      <c r="G224" s="342">
        <f ca="1">OFFSET('Zip Code Lines_1'!$AC$3,MATCH('Zip Code Lines_1'!C224,'Zip Code Lines_1'!$Q$4:$Q$26,0),0)</f>
        <v>6</v>
      </c>
      <c r="H224" s="342">
        <v>10543</v>
      </c>
    </row>
    <row r="225" spans="2:8" x14ac:dyDescent="0.25">
      <c r="B225" s="342">
        <v>10545</v>
      </c>
      <c r="C225" s="343" t="s">
        <v>575</v>
      </c>
      <c r="D225" s="343" t="str">
        <f ca="1">OFFSET('Zip Code Lines_1'!$U$3,MATCH('Zip Code Lines_1'!C225,'Zip Code Lines_1'!$Q$4:$Q$26,0),0)</f>
        <v>White Plains</v>
      </c>
      <c r="E225" s="344">
        <f ca="1">OFFSET('Zip Code Lines_1'!$W$3,MATCH('Zip Code Lines_1'!C225,'Zip Code Lines_1'!$Q$4:$Q$26,0),0)</f>
        <v>13.5</v>
      </c>
      <c r="F225" s="344">
        <f ca="1">OFFSET('Zip Code Lines_1'!$Z$3,MATCH('Zip Code Lines_1'!C225,'Zip Code Lines_1'!$Q$4:$Q$26,0),0)</f>
        <v>86.4</v>
      </c>
      <c r="G225" s="342">
        <f ca="1">OFFSET('Zip Code Lines_1'!$AC$3,MATCH('Zip Code Lines_1'!C225,'Zip Code Lines_1'!$Q$4:$Q$26,0),0)</f>
        <v>6</v>
      </c>
      <c r="H225" s="342">
        <v>10545</v>
      </c>
    </row>
    <row r="226" spans="2:8" x14ac:dyDescent="0.25">
      <c r="B226" s="342">
        <v>10546</v>
      </c>
      <c r="C226" s="343" t="s">
        <v>575</v>
      </c>
      <c r="D226" s="343" t="str">
        <f ca="1">OFFSET('Zip Code Lines_1'!$U$3,MATCH('Zip Code Lines_1'!C226,'Zip Code Lines_1'!$Q$4:$Q$26,0),0)</f>
        <v>White Plains</v>
      </c>
      <c r="E226" s="344">
        <f ca="1">OFFSET('Zip Code Lines_1'!$W$3,MATCH('Zip Code Lines_1'!C226,'Zip Code Lines_1'!$Q$4:$Q$26,0),0)</f>
        <v>13.5</v>
      </c>
      <c r="F226" s="344">
        <f ca="1">OFFSET('Zip Code Lines_1'!$Z$3,MATCH('Zip Code Lines_1'!C226,'Zip Code Lines_1'!$Q$4:$Q$26,0),0)</f>
        <v>86.4</v>
      </c>
      <c r="G226" s="342">
        <f ca="1">OFFSET('Zip Code Lines_1'!$AC$3,MATCH('Zip Code Lines_1'!C226,'Zip Code Lines_1'!$Q$4:$Q$26,0),0)</f>
        <v>6</v>
      </c>
      <c r="H226" s="342">
        <v>10546</v>
      </c>
    </row>
    <row r="227" spans="2:8" x14ac:dyDescent="0.25">
      <c r="B227" s="342">
        <v>10547</v>
      </c>
      <c r="C227" s="343" t="s">
        <v>575</v>
      </c>
      <c r="D227" s="343" t="str">
        <f ca="1">OFFSET('Zip Code Lines_1'!$U$3,MATCH('Zip Code Lines_1'!C227,'Zip Code Lines_1'!$Q$4:$Q$26,0),0)</f>
        <v>White Plains</v>
      </c>
      <c r="E227" s="344">
        <f ca="1">OFFSET('Zip Code Lines_1'!$W$3,MATCH('Zip Code Lines_1'!C227,'Zip Code Lines_1'!$Q$4:$Q$26,0),0)</f>
        <v>13.5</v>
      </c>
      <c r="F227" s="344">
        <f ca="1">OFFSET('Zip Code Lines_1'!$Z$3,MATCH('Zip Code Lines_1'!C227,'Zip Code Lines_1'!$Q$4:$Q$26,0),0)</f>
        <v>86.4</v>
      </c>
      <c r="G227" s="342">
        <f ca="1">OFFSET('Zip Code Lines_1'!$AC$3,MATCH('Zip Code Lines_1'!C227,'Zip Code Lines_1'!$Q$4:$Q$26,0),0)</f>
        <v>6</v>
      </c>
      <c r="H227" s="342">
        <v>10547</v>
      </c>
    </row>
    <row r="228" spans="2:8" x14ac:dyDescent="0.25">
      <c r="B228" s="342">
        <v>10548</v>
      </c>
      <c r="C228" s="343" t="s">
        <v>575</v>
      </c>
      <c r="D228" s="343" t="str">
        <f ca="1">OFFSET('Zip Code Lines_1'!$U$3,MATCH('Zip Code Lines_1'!C228,'Zip Code Lines_1'!$Q$4:$Q$26,0),0)</f>
        <v>White Plains</v>
      </c>
      <c r="E228" s="344">
        <f ca="1">OFFSET('Zip Code Lines_1'!$W$3,MATCH('Zip Code Lines_1'!C228,'Zip Code Lines_1'!$Q$4:$Q$26,0),0)</f>
        <v>13.5</v>
      </c>
      <c r="F228" s="344">
        <f ca="1">OFFSET('Zip Code Lines_1'!$Z$3,MATCH('Zip Code Lines_1'!C228,'Zip Code Lines_1'!$Q$4:$Q$26,0),0)</f>
        <v>86.4</v>
      </c>
      <c r="G228" s="342">
        <f ca="1">OFFSET('Zip Code Lines_1'!$AC$3,MATCH('Zip Code Lines_1'!C228,'Zip Code Lines_1'!$Q$4:$Q$26,0),0)</f>
        <v>6</v>
      </c>
      <c r="H228" s="342">
        <v>10548</v>
      </c>
    </row>
    <row r="229" spans="2:8" x14ac:dyDescent="0.25">
      <c r="B229" s="342">
        <v>10549</v>
      </c>
      <c r="C229" s="343" t="s">
        <v>575</v>
      </c>
      <c r="D229" s="343" t="str">
        <f ca="1">OFFSET('Zip Code Lines_1'!$U$3,MATCH('Zip Code Lines_1'!C229,'Zip Code Lines_1'!$Q$4:$Q$26,0),0)</f>
        <v>White Plains</v>
      </c>
      <c r="E229" s="344">
        <f ca="1">OFFSET('Zip Code Lines_1'!$W$3,MATCH('Zip Code Lines_1'!C229,'Zip Code Lines_1'!$Q$4:$Q$26,0),0)</f>
        <v>13.5</v>
      </c>
      <c r="F229" s="344">
        <f ca="1">OFFSET('Zip Code Lines_1'!$Z$3,MATCH('Zip Code Lines_1'!C229,'Zip Code Lines_1'!$Q$4:$Q$26,0),0)</f>
        <v>86.4</v>
      </c>
      <c r="G229" s="342">
        <f ca="1">OFFSET('Zip Code Lines_1'!$AC$3,MATCH('Zip Code Lines_1'!C229,'Zip Code Lines_1'!$Q$4:$Q$26,0),0)</f>
        <v>6</v>
      </c>
      <c r="H229" s="342">
        <v>10549</v>
      </c>
    </row>
    <row r="230" spans="2:8" x14ac:dyDescent="0.25">
      <c r="B230" s="342">
        <v>10550</v>
      </c>
      <c r="C230" s="343" t="s">
        <v>575</v>
      </c>
      <c r="D230" s="343" t="str">
        <f ca="1">OFFSET('Zip Code Lines_1'!$U$3,MATCH('Zip Code Lines_1'!C230,'Zip Code Lines_1'!$Q$4:$Q$26,0),0)</f>
        <v>White Plains</v>
      </c>
      <c r="E230" s="344">
        <f ca="1">OFFSET('Zip Code Lines_1'!$W$3,MATCH('Zip Code Lines_1'!C230,'Zip Code Lines_1'!$Q$4:$Q$26,0),0)</f>
        <v>13.5</v>
      </c>
      <c r="F230" s="344">
        <f ca="1">OFFSET('Zip Code Lines_1'!$Z$3,MATCH('Zip Code Lines_1'!C230,'Zip Code Lines_1'!$Q$4:$Q$26,0),0)</f>
        <v>86.4</v>
      </c>
      <c r="G230" s="342">
        <f ca="1">OFFSET('Zip Code Lines_1'!$AC$3,MATCH('Zip Code Lines_1'!C230,'Zip Code Lines_1'!$Q$4:$Q$26,0),0)</f>
        <v>6</v>
      </c>
      <c r="H230" s="342">
        <v>10550</v>
      </c>
    </row>
    <row r="231" spans="2:8" x14ac:dyDescent="0.25">
      <c r="B231" s="342">
        <v>10551</v>
      </c>
      <c r="C231" s="343" t="s">
        <v>575</v>
      </c>
      <c r="D231" s="343" t="str">
        <f ca="1">OFFSET('Zip Code Lines_1'!$U$3,MATCH('Zip Code Lines_1'!C231,'Zip Code Lines_1'!$Q$4:$Q$26,0),0)</f>
        <v>White Plains</v>
      </c>
      <c r="E231" s="344">
        <f ca="1">OFFSET('Zip Code Lines_1'!$W$3,MATCH('Zip Code Lines_1'!C231,'Zip Code Lines_1'!$Q$4:$Q$26,0),0)</f>
        <v>13.5</v>
      </c>
      <c r="F231" s="344">
        <f ca="1">OFFSET('Zip Code Lines_1'!$Z$3,MATCH('Zip Code Lines_1'!C231,'Zip Code Lines_1'!$Q$4:$Q$26,0),0)</f>
        <v>86.4</v>
      </c>
      <c r="G231" s="342">
        <f ca="1">OFFSET('Zip Code Lines_1'!$AC$3,MATCH('Zip Code Lines_1'!C231,'Zip Code Lines_1'!$Q$4:$Q$26,0),0)</f>
        <v>6</v>
      </c>
      <c r="H231" s="342">
        <v>10551</v>
      </c>
    </row>
    <row r="232" spans="2:8" x14ac:dyDescent="0.25">
      <c r="B232" s="342">
        <v>10552</v>
      </c>
      <c r="C232" s="343" t="s">
        <v>575</v>
      </c>
      <c r="D232" s="343" t="str">
        <f ca="1">OFFSET('Zip Code Lines_1'!$U$3,MATCH('Zip Code Lines_1'!C232,'Zip Code Lines_1'!$Q$4:$Q$26,0),0)</f>
        <v>White Plains</v>
      </c>
      <c r="E232" s="344">
        <f ca="1">OFFSET('Zip Code Lines_1'!$W$3,MATCH('Zip Code Lines_1'!C232,'Zip Code Lines_1'!$Q$4:$Q$26,0),0)</f>
        <v>13.5</v>
      </c>
      <c r="F232" s="344">
        <f ca="1">OFFSET('Zip Code Lines_1'!$Z$3,MATCH('Zip Code Lines_1'!C232,'Zip Code Lines_1'!$Q$4:$Q$26,0),0)</f>
        <v>86.4</v>
      </c>
      <c r="G232" s="342">
        <f ca="1">OFFSET('Zip Code Lines_1'!$AC$3,MATCH('Zip Code Lines_1'!C232,'Zip Code Lines_1'!$Q$4:$Q$26,0),0)</f>
        <v>6</v>
      </c>
      <c r="H232" s="342">
        <v>10552</v>
      </c>
    </row>
    <row r="233" spans="2:8" x14ac:dyDescent="0.25">
      <c r="B233" s="342">
        <v>10553</v>
      </c>
      <c r="C233" s="343" t="s">
        <v>575</v>
      </c>
      <c r="D233" s="343" t="str">
        <f ca="1">OFFSET('Zip Code Lines_1'!$U$3,MATCH('Zip Code Lines_1'!C233,'Zip Code Lines_1'!$Q$4:$Q$26,0),0)</f>
        <v>White Plains</v>
      </c>
      <c r="E233" s="344">
        <f ca="1">OFFSET('Zip Code Lines_1'!$W$3,MATCH('Zip Code Lines_1'!C233,'Zip Code Lines_1'!$Q$4:$Q$26,0),0)</f>
        <v>13.5</v>
      </c>
      <c r="F233" s="344">
        <f ca="1">OFFSET('Zip Code Lines_1'!$Z$3,MATCH('Zip Code Lines_1'!C233,'Zip Code Lines_1'!$Q$4:$Q$26,0),0)</f>
        <v>86.4</v>
      </c>
      <c r="G233" s="342">
        <f ca="1">OFFSET('Zip Code Lines_1'!$AC$3,MATCH('Zip Code Lines_1'!C233,'Zip Code Lines_1'!$Q$4:$Q$26,0),0)</f>
        <v>6</v>
      </c>
      <c r="H233" s="342">
        <v>10553</v>
      </c>
    </row>
    <row r="234" spans="2:8" x14ac:dyDescent="0.25">
      <c r="B234" s="342">
        <v>10560</v>
      </c>
      <c r="C234" s="343" t="s">
        <v>575</v>
      </c>
      <c r="D234" s="343" t="str">
        <f ca="1">OFFSET('Zip Code Lines_1'!$U$3,MATCH('Zip Code Lines_1'!C234,'Zip Code Lines_1'!$Q$4:$Q$26,0),0)</f>
        <v>White Plains</v>
      </c>
      <c r="E234" s="344">
        <f ca="1">OFFSET('Zip Code Lines_1'!$W$3,MATCH('Zip Code Lines_1'!C234,'Zip Code Lines_1'!$Q$4:$Q$26,0),0)</f>
        <v>13.5</v>
      </c>
      <c r="F234" s="344">
        <f ca="1">OFFSET('Zip Code Lines_1'!$Z$3,MATCH('Zip Code Lines_1'!C234,'Zip Code Lines_1'!$Q$4:$Q$26,0),0)</f>
        <v>86.4</v>
      </c>
      <c r="G234" s="342">
        <f ca="1">OFFSET('Zip Code Lines_1'!$AC$3,MATCH('Zip Code Lines_1'!C234,'Zip Code Lines_1'!$Q$4:$Q$26,0),0)</f>
        <v>6</v>
      </c>
      <c r="H234" s="342">
        <v>10560</v>
      </c>
    </row>
    <row r="235" spans="2:8" x14ac:dyDescent="0.25">
      <c r="B235" s="342">
        <v>10562</v>
      </c>
      <c r="C235" s="343" t="s">
        <v>575</v>
      </c>
      <c r="D235" s="343" t="str">
        <f ca="1">OFFSET('Zip Code Lines_1'!$U$3,MATCH('Zip Code Lines_1'!C235,'Zip Code Lines_1'!$Q$4:$Q$26,0),0)</f>
        <v>White Plains</v>
      </c>
      <c r="E235" s="344">
        <f ca="1">OFFSET('Zip Code Lines_1'!$W$3,MATCH('Zip Code Lines_1'!C235,'Zip Code Lines_1'!$Q$4:$Q$26,0),0)</f>
        <v>13.5</v>
      </c>
      <c r="F235" s="344">
        <f ca="1">OFFSET('Zip Code Lines_1'!$Z$3,MATCH('Zip Code Lines_1'!C235,'Zip Code Lines_1'!$Q$4:$Q$26,0),0)</f>
        <v>86.4</v>
      </c>
      <c r="G235" s="342">
        <f ca="1">OFFSET('Zip Code Lines_1'!$AC$3,MATCH('Zip Code Lines_1'!C235,'Zip Code Lines_1'!$Q$4:$Q$26,0),0)</f>
        <v>6</v>
      </c>
      <c r="H235" s="342">
        <v>10562</v>
      </c>
    </row>
    <row r="236" spans="2:8" x14ac:dyDescent="0.25">
      <c r="B236" s="342">
        <v>10566</v>
      </c>
      <c r="C236" s="343" t="s">
        <v>575</v>
      </c>
      <c r="D236" s="343" t="str">
        <f ca="1">OFFSET('Zip Code Lines_1'!$U$3,MATCH('Zip Code Lines_1'!C236,'Zip Code Lines_1'!$Q$4:$Q$26,0),0)</f>
        <v>White Plains</v>
      </c>
      <c r="E236" s="344">
        <f ca="1">OFFSET('Zip Code Lines_1'!$W$3,MATCH('Zip Code Lines_1'!C236,'Zip Code Lines_1'!$Q$4:$Q$26,0),0)</f>
        <v>13.5</v>
      </c>
      <c r="F236" s="344">
        <f ca="1">OFFSET('Zip Code Lines_1'!$Z$3,MATCH('Zip Code Lines_1'!C236,'Zip Code Lines_1'!$Q$4:$Q$26,0),0)</f>
        <v>86.4</v>
      </c>
      <c r="G236" s="342">
        <f ca="1">OFFSET('Zip Code Lines_1'!$AC$3,MATCH('Zip Code Lines_1'!C236,'Zip Code Lines_1'!$Q$4:$Q$26,0),0)</f>
        <v>6</v>
      </c>
      <c r="H236" s="342">
        <v>10566</v>
      </c>
    </row>
    <row r="237" spans="2:8" x14ac:dyDescent="0.25">
      <c r="B237" s="342">
        <v>10567</v>
      </c>
      <c r="C237" s="343" t="s">
        <v>575</v>
      </c>
      <c r="D237" s="343" t="str">
        <f ca="1">OFFSET('Zip Code Lines_1'!$U$3,MATCH('Zip Code Lines_1'!C237,'Zip Code Lines_1'!$Q$4:$Q$26,0),0)</f>
        <v>White Plains</v>
      </c>
      <c r="E237" s="344">
        <f ca="1">OFFSET('Zip Code Lines_1'!$W$3,MATCH('Zip Code Lines_1'!C237,'Zip Code Lines_1'!$Q$4:$Q$26,0),0)</f>
        <v>13.5</v>
      </c>
      <c r="F237" s="344">
        <f ca="1">OFFSET('Zip Code Lines_1'!$Z$3,MATCH('Zip Code Lines_1'!C237,'Zip Code Lines_1'!$Q$4:$Q$26,0),0)</f>
        <v>86.4</v>
      </c>
      <c r="G237" s="342">
        <f ca="1">OFFSET('Zip Code Lines_1'!$AC$3,MATCH('Zip Code Lines_1'!C237,'Zip Code Lines_1'!$Q$4:$Q$26,0),0)</f>
        <v>6</v>
      </c>
      <c r="H237" s="342">
        <v>10567</v>
      </c>
    </row>
    <row r="238" spans="2:8" x14ac:dyDescent="0.25">
      <c r="B238" s="342">
        <v>10570</v>
      </c>
      <c r="C238" s="343" t="s">
        <v>575</v>
      </c>
      <c r="D238" s="343" t="str">
        <f ca="1">OFFSET('Zip Code Lines_1'!$U$3,MATCH('Zip Code Lines_1'!C238,'Zip Code Lines_1'!$Q$4:$Q$26,0),0)</f>
        <v>White Plains</v>
      </c>
      <c r="E238" s="344">
        <f ca="1">OFFSET('Zip Code Lines_1'!$W$3,MATCH('Zip Code Lines_1'!C238,'Zip Code Lines_1'!$Q$4:$Q$26,0),0)</f>
        <v>13.5</v>
      </c>
      <c r="F238" s="344">
        <f ca="1">OFFSET('Zip Code Lines_1'!$Z$3,MATCH('Zip Code Lines_1'!C238,'Zip Code Lines_1'!$Q$4:$Q$26,0),0)</f>
        <v>86.4</v>
      </c>
      <c r="G238" s="342">
        <f ca="1">OFFSET('Zip Code Lines_1'!$AC$3,MATCH('Zip Code Lines_1'!C238,'Zip Code Lines_1'!$Q$4:$Q$26,0),0)</f>
        <v>6</v>
      </c>
      <c r="H238" s="342">
        <v>10570</v>
      </c>
    </row>
    <row r="239" spans="2:8" x14ac:dyDescent="0.25">
      <c r="B239" s="342">
        <v>10573</v>
      </c>
      <c r="C239" s="343" t="s">
        <v>575</v>
      </c>
      <c r="D239" s="343" t="str">
        <f ca="1">OFFSET('Zip Code Lines_1'!$U$3,MATCH('Zip Code Lines_1'!C239,'Zip Code Lines_1'!$Q$4:$Q$26,0),0)</f>
        <v>White Plains</v>
      </c>
      <c r="E239" s="344">
        <f ca="1">OFFSET('Zip Code Lines_1'!$W$3,MATCH('Zip Code Lines_1'!C239,'Zip Code Lines_1'!$Q$4:$Q$26,0),0)</f>
        <v>13.5</v>
      </c>
      <c r="F239" s="344">
        <f ca="1">OFFSET('Zip Code Lines_1'!$Z$3,MATCH('Zip Code Lines_1'!C239,'Zip Code Lines_1'!$Q$4:$Q$26,0),0)</f>
        <v>86.4</v>
      </c>
      <c r="G239" s="342">
        <f ca="1">OFFSET('Zip Code Lines_1'!$AC$3,MATCH('Zip Code Lines_1'!C239,'Zip Code Lines_1'!$Q$4:$Q$26,0),0)</f>
        <v>6</v>
      </c>
      <c r="H239" s="342">
        <v>10573</v>
      </c>
    </row>
    <row r="240" spans="2:8" x14ac:dyDescent="0.25">
      <c r="B240" s="342">
        <v>10576</v>
      </c>
      <c r="C240" s="343" t="s">
        <v>575</v>
      </c>
      <c r="D240" s="343" t="str">
        <f ca="1">OFFSET('Zip Code Lines_1'!$U$3,MATCH('Zip Code Lines_1'!C240,'Zip Code Lines_1'!$Q$4:$Q$26,0),0)</f>
        <v>White Plains</v>
      </c>
      <c r="E240" s="344">
        <f ca="1">OFFSET('Zip Code Lines_1'!$W$3,MATCH('Zip Code Lines_1'!C240,'Zip Code Lines_1'!$Q$4:$Q$26,0),0)</f>
        <v>13.5</v>
      </c>
      <c r="F240" s="344">
        <f ca="1">OFFSET('Zip Code Lines_1'!$Z$3,MATCH('Zip Code Lines_1'!C240,'Zip Code Lines_1'!$Q$4:$Q$26,0),0)</f>
        <v>86.4</v>
      </c>
      <c r="G240" s="342">
        <f ca="1">OFFSET('Zip Code Lines_1'!$AC$3,MATCH('Zip Code Lines_1'!C240,'Zip Code Lines_1'!$Q$4:$Q$26,0),0)</f>
        <v>6</v>
      </c>
      <c r="H240" s="342">
        <v>10576</v>
      </c>
    </row>
    <row r="241" spans="2:8" x14ac:dyDescent="0.25">
      <c r="B241" s="342">
        <v>10577</v>
      </c>
      <c r="C241" s="343" t="s">
        <v>575</v>
      </c>
      <c r="D241" s="343" t="str">
        <f ca="1">OFFSET('Zip Code Lines_1'!$U$3,MATCH('Zip Code Lines_1'!C241,'Zip Code Lines_1'!$Q$4:$Q$26,0),0)</f>
        <v>White Plains</v>
      </c>
      <c r="E241" s="344">
        <f ca="1">OFFSET('Zip Code Lines_1'!$W$3,MATCH('Zip Code Lines_1'!C241,'Zip Code Lines_1'!$Q$4:$Q$26,0),0)</f>
        <v>13.5</v>
      </c>
      <c r="F241" s="344">
        <f ca="1">OFFSET('Zip Code Lines_1'!$Z$3,MATCH('Zip Code Lines_1'!C241,'Zip Code Lines_1'!$Q$4:$Q$26,0),0)</f>
        <v>86.4</v>
      </c>
      <c r="G241" s="342">
        <f ca="1">OFFSET('Zip Code Lines_1'!$AC$3,MATCH('Zip Code Lines_1'!C241,'Zip Code Lines_1'!$Q$4:$Q$26,0),0)</f>
        <v>6</v>
      </c>
      <c r="H241" s="342">
        <v>10577</v>
      </c>
    </row>
    <row r="242" spans="2:8" x14ac:dyDescent="0.25">
      <c r="B242" s="342">
        <v>10578</v>
      </c>
      <c r="C242" s="343" t="s">
        <v>575</v>
      </c>
      <c r="D242" s="343" t="str">
        <f ca="1">OFFSET('Zip Code Lines_1'!$U$3,MATCH('Zip Code Lines_1'!C242,'Zip Code Lines_1'!$Q$4:$Q$26,0),0)</f>
        <v>White Plains</v>
      </c>
      <c r="E242" s="344">
        <f ca="1">OFFSET('Zip Code Lines_1'!$W$3,MATCH('Zip Code Lines_1'!C242,'Zip Code Lines_1'!$Q$4:$Q$26,0),0)</f>
        <v>13.5</v>
      </c>
      <c r="F242" s="344">
        <f ca="1">OFFSET('Zip Code Lines_1'!$Z$3,MATCH('Zip Code Lines_1'!C242,'Zip Code Lines_1'!$Q$4:$Q$26,0),0)</f>
        <v>86.4</v>
      </c>
      <c r="G242" s="342">
        <f ca="1">OFFSET('Zip Code Lines_1'!$AC$3,MATCH('Zip Code Lines_1'!C242,'Zip Code Lines_1'!$Q$4:$Q$26,0),0)</f>
        <v>6</v>
      </c>
      <c r="H242" s="342">
        <v>10578</v>
      </c>
    </row>
    <row r="243" spans="2:8" x14ac:dyDescent="0.25">
      <c r="B243" s="342">
        <v>10579</v>
      </c>
      <c r="C243" s="343" t="s">
        <v>563</v>
      </c>
      <c r="D243" s="343" t="str">
        <f ca="1">OFFSET('Zip Code Lines_1'!$U$3,MATCH('Zip Code Lines_1'!C243,'Zip Code Lines_1'!$Q$4:$Q$26,0),0)</f>
        <v>Poughkeepsie</v>
      </c>
      <c r="E243" s="344">
        <f ca="1">OFFSET('Zip Code Lines_1'!$W$3,MATCH('Zip Code Lines_1'!C243,'Zip Code Lines_1'!$Q$4:$Q$26,0),0)</f>
        <v>8.4</v>
      </c>
      <c r="F243" s="344">
        <f ca="1">OFFSET('Zip Code Lines_1'!$Z$3,MATCH('Zip Code Lines_1'!C243,'Zip Code Lines_1'!$Q$4:$Q$26,0),0)</f>
        <v>88.4</v>
      </c>
      <c r="G243" s="342">
        <f ca="1">OFFSET('Zip Code Lines_1'!$AC$3,MATCH('Zip Code Lines_1'!C243,'Zip Code Lines_1'!$Q$4:$Q$26,0),0)</f>
        <v>12</v>
      </c>
      <c r="H243" s="342">
        <v>10579</v>
      </c>
    </row>
    <row r="244" spans="2:8" x14ac:dyDescent="0.25">
      <c r="B244" s="342">
        <v>10580</v>
      </c>
      <c r="C244" s="343" t="s">
        <v>575</v>
      </c>
      <c r="D244" s="343" t="str">
        <f ca="1">OFFSET('Zip Code Lines_1'!$U$3,MATCH('Zip Code Lines_1'!C244,'Zip Code Lines_1'!$Q$4:$Q$26,0),0)</f>
        <v>White Plains</v>
      </c>
      <c r="E244" s="344">
        <f ca="1">OFFSET('Zip Code Lines_1'!$W$3,MATCH('Zip Code Lines_1'!C244,'Zip Code Lines_1'!$Q$4:$Q$26,0),0)</f>
        <v>13.5</v>
      </c>
      <c r="F244" s="344">
        <f ca="1">OFFSET('Zip Code Lines_1'!$Z$3,MATCH('Zip Code Lines_1'!C244,'Zip Code Lines_1'!$Q$4:$Q$26,0),0)</f>
        <v>86.4</v>
      </c>
      <c r="G244" s="342">
        <f ca="1">OFFSET('Zip Code Lines_1'!$AC$3,MATCH('Zip Code Lines_1'!C244,'Zip Code Lines_1'!$Q$4:$Q$26,0),0)</f>
        <v>6</v>
      </c>
      <c r="H244" s="342">
        <v>10580</v>
      </c>
    </row>
    <row r="245" spans="2:8" x14ac:dyDescent="0.25">
      <c r="B245" s="342">
        <v>10583</v>
      </c>
      <c r="C245" s="343" t="s">
        <v>575</v>
      </c>
      <c r="D245" s="343" t="str">
        <f ca="1">OFFSET('Zip Code Lines_1'!$U$3,MATCH('Zip Code Lines_1'!C245,'Zip Code Lines_1'!$Q$4:$Q$26,0),0)</f>
        <v>White Plains</v>
      </c>
      <c r="E245" s="344">
        <f ca="1">OFFSET('Zip Code Lines_1'!$W$3,MATCH('Zip Code Lines_1'!C245,'Zip Code Lines_1'!$Q$4:$Q$26,0),0)</f>
        <v>13.5</v>
      </c>
      <c r="F245" s="344">
        <f ca="1">OFFSET('Zip Code Lines_1'!$Z$3,MATCH('Zip Code Lines_1'!C245,'Zip Code Lines_1'!$Q$4:$Q$26,0),0)</f>
        <v>86.4</v>
      </c>
      <c r="G245" s="342">
        <f ca="1">OFFSET('Zip Code Lines_1'!$AC$3,MATCH('Zip Code Lines_1'!C245,'Zip Code Lines_1'!$Q$4:$Q$26,0),0)</f>
        <v>6</v>
      </c>
      <c r="H245" s="342">
        <v>10583</v>
      </c>
    </row>
    <row r="246" spans="2:8" x14ac:dyDescent="0.25">
      <c r="B246" s="342">
        <v>10587</v>
      </c>
      <c r="C246" s="343" t="s">
        <v>575</v>
      </c>
      <c r="D246" s="343" t="str">
        <f ca="1">OFFSET('Zip Code Lines_1'!$U$3,MATCH('Zip Code Lines_1'!C246,'Zip Code Lines_1'!$Q$4:$Q$26,0),0)</f>
        <v>White Plains</v>
      </c>
      <c r="E246" s="344">
        <f ca="1">OFFSET('Zip Code Lines_1'!$W$3,MATCH('Zip Code Lines_1'!C246,'Zip Code Lines_1'!$Q$4:$Q$26,0),0)</f>
        <v>13.5</v>
      </c>
      <c r="F246" s="344">
        <f ca="1">OFFSET('Zip Code Lines_1'!$Z$3,MATCH('Zip Code Lines_1'!C246,'Zip Code Lines_1'!$Q$4:$Q$26,0),0)</f>
        <v>86.4</v>
      </c>
      <c r="G246" s="342">
        <f ca="1">OFFSET('Zip Code Lines_1'!$AC$3,MATCH('Zip Code Lines_1'!C246,'Zip Code Lines_1'!$Q$4:$Q$26,0),0)</f>
        <v>6</v>
      </c>
      <c r="H246" s="342">
        <v>10587</v>
      </c>
    </row>
    <row r="247" spans="2:8" x14ac:dyDescent="0.25">
      <c r="B247" s="342">
        <v>10588</v>
      </c>
      <c r="C247" s="343" t="s">
        <v>575</v>
      </c>
      <c r="D247" s="343" t="str">
        <f ca="1">OFFSET('Zip Code Lines_1'!$U$3,MATCH('Zip Code Lines_1'!C247,'Zip Code Lines_1'!$Q$4:$Q$26,0),0)</f>
        <v>White Plains</v>
      </c>
      <c r="E247" s="344">
        <f ca="1">OFFSET('Zip Code Lines_1'!$W$3,MATCH('Zip Code Lines_1'!C247,'Zip Code Lines_1'!$Q$4:$Q$26,0),0)</f>
        <v>13.5</v>
      </c>
      <c r="F247" s="344">
        <f ca="1">OFFSET('Zip Code Lines_1'!$Z$3,MATCH('Zip Code Lines_1'!C247,'Zip Code Lines_1'!$Q$4:$Q$26,0),0)</f>
        <v>86.4</v>
      </c>
      <c r="G247" s="342">
        <f ca="1">OFFSET('Zip Code Lines_1'!$AC$3,MATCH('Zip Code Lines_1'!C247,'Zip Code Lines_1'!$Q$4:$Q$26,0),0)</f>
        <v>6</v>
      </c>
      <c r="H247" s="342">
        <v>10588</v>
      </c>
    </row>
    <row r="248" spans="2:8" x14ac:dyDescent="0.25">
      <c r="B248" s="342">
        <v>10589</v>
      </c>
      <c r="C248" s="343" t="s">
        <v>575</v>
      </c>
      <c r="D248" s="343" t="str">
        <f ca="1">OFFSET('Zip Code Lines_1'!$U$3,MATCH('Zip Code Lines_1'!C248,'Zip Code Lines_1'!$Q$4:$Q$26,0),0)</f>
        <v>White Plains</v>
      </c>
      <c r="E248" s="344">
        <f ca="1">OFFSET('Zip Code Lines_1'!$W$3,MATCH('Zip Code Lines_1'!C248,'Zip Code Lines_1'!$Q$4:$Q$26,0),0)</f>
        <v>13.5</v>
      </c>
      <c r="F248" s="344">
        <f ca="1">OFFSET('Zip Code Lines_1'!$Z$3,MATCH('Zip Code Lines_1'!C248,'Zip Code Lines_1'!$Q$4:$Q$26,0),0)</f>
        <v>86.4</v>
      </c>
      <c r="G248" s="342">
        <f ca="1">OFFSET('Zip Code Lines_1'!$AC$3,MATCH('Zip Code Lines_1'!C248,'Zip Code Lines_1'!$Q$4:$Q$26,0),0)</f>
        <v>6</v>
      </c>
      <c r="H248" s="342">
        <v>10589</v>
      </c>
    </row>
    <row r="249" spans="2:8" x14ac:dyDescent="0.25">
      <c r="B249" s="342">
        <v>10590</v>
      </c>
      <c r="C249" s="343" t="s">
        <v>575</v>
      </c>
      <c r="D249" s="343" t="str">
        <f ca="1">OFFSET('Zip Code Lines_1'!$U$3,MATCH('Zip Code Lines_1'!C249,'Zip Code Lines_1'!$Q$4:$Q$26,0),0)</f>
        <v>White Plains</v>
      </c>
      <c r="E249" s="344">
        <f ca="1">OFFSET('Zip Code Lines_1'!$W$3,MATCH('Zip Code Lines_1'!C249,'Zip Code Lines_1'!$Q$4:$Q$26,0),0)</f>
        <v>13.5</v>
      </c>
      <c r="F249" s="344">
        <f ca="1">OFFSET('Zip Code Lines_1'!$Z$3,MATCH('Zip Code Lines_1'!C249,'Zip Code Lines_1'!$Q$4:$Q$26,0),0)</f>
        <v>86.4</v>
      </c>
      <c r="G249" s="342">
        <f ca="1">OFFSET('Zip Code Lines_1'!$AC$3,MATCH('Zip Code Lines_1'!C249,'Zip Code Lines_1'!$Q$4:$Q$26,0),0)</f>
        <v>6</v>
      </c>
      <c r="H249" s="342">
        <v>10590</v>
      </c>
    </row>
    <row r="250" spans="2:8" x14ac:dyDescent="0.25">
      <c r="B250" s="342">
        <v>10591</v>
      </c>
      <c r="C250" s="343" t="s">
        <v>575</v>
      </c>
      <c r="D250" s="343" t="str">
        <f ca="1">OFFSET('Zip Code Lines_1'!$U$3,MATCH('Zip Code Lines_1'!C250,'Zip Code Lines_1'!$Q$4:$Q$26,0),0)</f>
        <v>White Plains</v>
      </c>
      <c r="E250" s="344">
        <f ca="1">OFFSET('Zip Code Lines_1'!$W$3,MATCH('Zip Code Lines_1'!C250,'Zip Code Lines_1'!$Q$4:$Q$26,0),0)</f>
        <v>13.5</v>
      </c>
      <c r="F250" s="344">
        <f ca="1">OFFSET('Zip Code Lines_1'!$Z$3,MATCH('Zip Code Lines_1'!C250,'Zip Code Lines_1'!$Q$4:$Q$26,0),0)</f>
        <v>86.4</v>
      </c>
      <c r="G250" s="342">
        <f ca="1">OFFSET('Zip Code Lines_1'!$AC$3,MATCH('Zip Code Lines_1'!C250,'Zip Code Lines_1'!$Q$4:$Q$26,0),0)</f>
        <v>6</v>
      </c>
      <c r="H250" s="342">
        <v>10591</v>
      </c>
    </row>
    <row r="251" spans="2:8" x14ac:dyDescent="0.25">
      <c r="B251" s="342">
        <v>10594</v>
      </c>
      <c r="C251" s="343" t="s">
        <v>575</v>
      </c>
      <c r="D251" s="343" t="str">
        <f ca="1">OFFSET('Zip Code Lines_1'!$U$3,MATCH('Zip Code Lines_1'!C251,'Zip Code Lines_1'!$Q$4:$Q$26,0),0)</f>
        <v>White Plains</v>
      </c>
      <c r="E251" s="344">
        <f ca="1">OFFSET('Zip Code Lines_1'!$W$3,MATCH('Zip Code Lines_1'!C251,'Zip Code Lines_1'!$Q$4:$Q$26,0),0)</f>
        <v>13.5</v>
      </c>
      <c r="F251" s="344">
        <f ca="1">OFFSET('Zip Code Lines_1'!$Z$3,MATCH('Zip Code Lines_1'!C251,'Zip Code Lines_1'!$Q$4:$Q$26,0),0)</f>
        <v>86.4</v>
      </c>
      <c r="G251" s="342">
        <f ca="1">OFFSET('Zip Code Lines_1'!$AC$3,MATCH('Zip Code Lines_1'!C251,'Zip Code Lines_1'!$Q$4:$Q$26,0),0)</f>
        <v>6</v>
      </c>
      <c r="H251" s="342">
        <v>10594</v>
      </c>
    </row>
    <row r="252" spans="2:8" x14ac:dyDescent="0.25">
      <c r="B252" s="342">
        <v>10595</v>
      </c>
      <c r="C252" s="343" t="s">
        <v>575</v>
      </c>
      <c r="D252" s="343" t="str">
        <f ca="1">OFFSET('Zip Code Lines_1'!$U$3,MATCH('Zip Code Lines_1'!C252,'Zip Code Lines_1'!$Q$4:$Q$26,0),0)</f>
        <v>White Plains</v>
      </c>
      <c r="E252" s="344">
        <f ca="1">OFFSET('Zip Code Lines_1'!$W$3,MATCH('Zip Code Lines_1'!C252,'Zip Code Lines_1'!$Q$4:$Q$26,0),0)</f>
        <v>13.5</v>
      </c>
      <c r="F252" s="344">
        <f ca="1">OFFSET('Zip Code Lines_1'!$Z$3,MATCH('Zip Code Lines_1'!C252,'Zip Code Lines_1'!$Q$4:$Q$26,0),0)</f>
        <v>86.4</v>
      </c>
      <c r="G252" s="342">
        <f ca="1">OFFSET('Zip Code Lines_1'!$AC$3,MATCH('Zip Code Lines_1'!C252,'Zip Code Lines_1'!$Q$4:$Q$26,0),0)</f>
        <v>6</v>
      </c>
      <c r="H252" s="342">
        <v>10595</v>
      </c>
    </row>
    <row r="253" spans="2:8" x14ac:dyDescent="0.25">
      <c r="B253" s="342">
        <v>10596</v>
      </c>
      <c r="C253" s="343" t="s">
        <v>575</v>
      </c>
      <c r="D253" s="343" t="str">
        <f ca="1">OFFSET('Zip Code Lines_1'!$U$3,MATCH('Zip Code Lines_1'!C253,'Zip Code Lines_1'!$Q$4:$Q$26,0),0)</f>
        <v>White Plains</v>
      </c>
      <c r="E253" s="344">
        <f ca="1">OFFSET('Zip Code Lines_1'!$W$3,MATCH('Zip Code Lines_1'!C253,'Zip Code Lines_1'!$Q$4:$Q$26,0),0)</f>
        <v>13.5</v>
      </c>
      <c r="F253" s="344">
        <f ca="1">OFFSET('Zip Code Lines_1'!$Z$3,MATCH('Zip Code Lines_1'!C253,'Zip Code Lines_1'!$Q$4:$Q$26,0),0)</f>
        <v>86.4</v>
      </c>
      <c r="G253" s="342">
        <f ca="1">OFFSET('Zip Code Lines_1'!$AC$3,MATCH('Zip Code Lines_1'!C253,'Zip Code Lines_1'!$Q$4:$Q$26,0),0)</f>
        <v>6</v>
      </c>
      <c r="H253" s="342">
        <v>10596</v>
      </c>
    </row>
    <row r="254" spans="2:8" x14ac:dyDescent="0.25">
      <c r="B254" s="342">
        <v>10597</v>
      </c>
      <c r="C254" s="343" t="s">
        <v>575</v>
      </c>
      <c r="D254" s="343" t="str">
        <f ca="1">OFFSET('Zip Code Lines_1'!$U$3,MATCH('Zip Code Lines_1'!C254,'Zip Code Lines_1'!$Q$4:$Q$26,0),0)</f>
        <v>White Plains</v>
      </c>
      <c r="E254" s="344">
        <f ca="1">OFFSET('Zip Code Lines_1'!$W$3,MATCH('Zip Code Lines_1'!C254,'Zip Code Lines_1'!$Q$4:$Q$26,0),0)</f>
        <v>13.5</v>
      </c>
      <c r="F254" s="344">
        <f ca="1">OFFSET('Zip Code Lines_1'!$Z$3,MATCH('Zip Code Lines_1'!C254,'Zip Code Lines_1'!$Q$4:$Q$26,0),0)</f>
        <v>86.4</v>
      </c>
      <c r="G254" s="342">
        <f ca="1">OFFSET('Zip Code Lines_1'!$AC$3,MATCH('Zip Code Lines_1'!C254,'Zip Code Lines_1'!$Q$4:$Q$26,0),0)</f>
        <v>6</v>
      </c>
      <c r="H254" s="342">
        <v>10597</v>
      </c>
    </row>
    <row r="255" spans="2:8" x14ac:dyDescent="0.25">
      <c r="B255" s="342">
        <v>10598</v>
      </c>
      <c r="C255" s="343" t="s">
        <v>575</v>
      </c>
      <c r="D255" s="343" t="str">
        <f ca="1">OFFSET('Zip Code Lines_1'!$U$3,MATCH('Zip Code Lines_1'!C255,'Zip Code Lines_1'!$Q$4:$Q$26,0),0)</f>
        <v>White Plains</v>
      </c>
      <c r="E255" s="344">
        <f ca="1">OFFSET('Zip Code Lines_1'!$W$3,MATCH('Zip Code Lines_1'!C255,'Zip Code Lines_1'!$Q$4:$Q$26,0),0)</f>
        <v>13.5</v>
      </c>
      <c r="F255" s="344">
        <f ca="1">OFFSET('Zip Code Lines_1'!$Z$3,MATCH('Zip Code Lines_1'!C255,'Zip Code Lines_1'!$Q$4:$Q$26,0),0)</f>
        <v>86.4</v>
      </c>
      <c r="G255" s="342">
        <f ca="1">OFFSET('Zip Code Lines_1'!$AC$3,MATCH('Zip Code Lines_1'!C255,'Zip Code Lines_1'!$Q$4:$Q$26,0),0)</f>
        <v>6</v>
      </c>
      <c r="H255" s="342">
        <v>10598</v>
      </c>
    </row>
    <row r="256" spans="2:8" x14ac:dyDescent="0.25">
      <c r="B256" s="342">
        <v>10601</v>
      </c>
      <c r="C256" s="343" t="s">
        <v>575</v>
      </c>
      <c r="D256" s="343" t="str">
        <f ca="1">OFFSET('Zip Code Lines_1'!$U$3,MATCH('Zip Code Lines_1'!C256,'Zip Code Lines_1'!$Q$4:$Q$26,0),0)</f>
        <v>White Plains</v>
      </c>
      <c r="E256" s="344">
        <f ca="1">OFFSET('Zip Code Lines_1'!$W$3,MATCH('Zip Code Lines_1'!C256,'Zip Code Lines_1'!$Q$4:$Q$26,0),0)</f>
        <v>13.5</v>
      </c>
      <c r="F256" s="344">
        <f ca="1">OFFSET('Zip Code Lines_1'!$Z$3,MATCH('Zip Code Lines_1'!C256,'Zip Code Lines_1'!$Q$4:$Q$26,0),0)</f>
        <v>86.4</v>
      </c>
      <c r="G256" s="342">
        <f ca="1">OFFSET('Zip Code Lines_1'!$AC$3,MATCH('Zip Code Lines_1'!C256,'Zip Code Lines_1'!$Q$4:$Q$26,0),0)</f>
        <v>6</v>
      </c>
      <c r="H256" s="342">
        <v>10601</v>
      </c>
    </row>
    <row r="257" spans="2:8" x14ac:dyDescent="0.25">
      <c r="B257" s="342">
        <v>10602</v>
      </c>
      <c r="C257" s="343" t="s">
        <v>575</v>
      </c>
      <c r="D257" s="343" t="str">
        <f ca="1">OFFSET('Zip Code Lines_1'!$U$3,MATCH('Zip Code Lines_1'!C257,'Zip Code Lines_1'!$Q$4:$Q$26,0),0)</f>
        <v>White Plains</v>
      </c>
      <c r="E257" s="344">
        <f ca="1">OFFSET('Zip Code Lines_1'!$W$3,MATCH('Zip Code Lines_1'!C257,'Zip Code Lines_1'!$Q$4:$Q$26,0),0)</f>
        <v>13.5</v>
      </c>
      <c r="F257" s="344">
        <f ca="1">OFFSET('Zip Code Lines_1'!$Z$3,MATCH('Zip Code Lines_1'!C257,'Zip Code Lines_1'!$Q$4:$Q$26,0),0)</f>
        <v>86.4</v>
      </c>
      <c r="G257" s="342">
        <f ca="1">OFFSET('Zip Code Lines_1'!$AC$3,MATCH('Zip Code Lines_1'!C257,'Zip Code Lines_1'!$Q$4:$Q$26,0),0)</f>
        <v>6</v>
      </c>
      <c r="H257" s="342">
        <v>10602</v>
      </c>
    </row>
    <row r="258" spans="2:8" x14ac:dyDescent="0.25">
      <c r="B258" s="342">
        <v>10603</v>
      </c>
      <c r="C258" s="343" t="s">
        <v>575</v>
      </c>
      <c r="D258" s="343" t="str">
        <f ca="1">OFFSET('Zip Code Lines_1'!$U$3,MATCH('Zip Code Lines_1'!C258,'Zip Code Lines_1'!$Q$4:$Q$26,0),0)</f>
        <v>White Plains</v>
      </c>
      <c r="E258" s="344">
        <f ca="1">OFFSET('Zip Code Lines_1'!$W$3,MATCH('Zip Code Lines_1'!C258,'Zip Code Lines_1'!$Q$4:$Q$26,0),0)</f>
        <v>13.5</v>
      </c>
      <c r="F258" s="344">
        <f ca="1">OFFSET('Zip Code Lines_1'!$Z$3,MATCH('Zip Code Lines_1'!C258,'Zip Code Lines_1'!$Q$4:$Q$26,0),0)</f>
        <v>86.4</v>
      </c>
      <c r="G258" s="342">
        <f ca="1">OFFSET('Zip Code Lines_1'!$AC$3,MATCH('Zip Code Lines_1'!C258,'Zip Code Lines_1'!$Q$4:$Q$26,0),0)</f>
        <v>6</v>
      </c>
      <c r="H258" s="342">
        <v>10603</v>
      </c>
    </row>
    <row r="259" spans="2:8" x14ac:dyDescent="0.25">
      <c r="B259" s="342">
        <v>10604</v>
      </c>
      <c r="C259" s="343" t="s">
        <v>575</v>
      </c>
      <c r="D259" s="343" t="str">
        <f ca="1">OFFSET('Zip Code Lines_1'!$U$3,MATCH('Zip Code Lines_1'!C259,'Zip Code Lines_1'!$Q$4:$Q$26,0),0)</f>
        <v>White Plains</v>
      </c>
      <c r="E259" s="344">
        <f ca="1">OFFSET('Zip Code Lines_1'!$W$3,MATCH('Zip Code Lines_1'!C259,'Zip Code Lines_1'!$Q$4:$Q$26,0),0)</f>
        <v>13.5</v>
      </c>
      <c r="F259" s="344">
        <f ca="1">OFFSET('Zip Code Lines_1'!$Z$3,MATCH('Zip Code Lines_1'!C259,'Zip Code Lines_1'!$Q$4:$Q$26,0),0)</f>
        <v>86.4</v>
      </c>
      <c r="G259" s="342">
        <f ca="1">OFFSET('Zip Code Lines_1'!$AC$3,MATCH('Zip Code Lines_1'!C259,'Zip Code Lines_1'!$Q$4:$Q$26,0),0)</f>
        <v>6</v>
      </c>
      <c r="H259" s="342">
        <v>10604</v>
      </c>
    </row>
    <row r="260" spans="2:8" x14ac:dyDescent="0.25">
      <c r="B260" s="342">
        <v>10605</v>
      </c>
      <c r="C260" s="343" t="s">
        <v>575</v>
      </c>
      <c r="D260" s="343" t="str">
        <f ca="1">OFFSET('Zip Code Lines_1'!$U$3,MATCH('Zip Code Lines_1'!C260,'Zip Code Lines_1'!$Q$4:$Q$26,0),0)</f>
        <v>White Plains</v>
      </c>
      <c r="E260" s="344">
        <f ca="1">OFFSET('Zip Code Lines_1'!$W$3,MATCH('Zip Code Lines_1'!C260,'Zip Code Lines_1'!$Q$4:$Q$26,0),0)</f>
        <v>13.5</v>
      </c>
      <c r="F260" s="344">
        <f ca="1">OFFSET('Zip Code Lines_1'!$Z$3,MATCH('Zip Code Lines_1'!C260,'Zip Code Lines_1'!$Q$4:$Q$26,0),0)</f>
        <v>86.4</v>
      </c>
      <c r="G260" s="342">
        <f ca="1">OFFSET('Zip Code Lines_1'!$AC$3,MATCH('Zip Code Lines_1'!C260,'Zip Code Lines_1'!$Q$4:$Q$26,0),0)</f>
        <v>6</v>
      </c>
      <c r="H260" s="342">
        <v>10605</v>
      </c>
    </row>
    <row r="261" spans="2:8" x14ac:dyDescent="0.25">
      <c r="B261" s="342">
        <v>10606</v>
      </c>
      <c r="C261" s="343" t="s">
        <v>575</v>
      </c>
      <c r="D261" s="343" t="str">
        <f ca="1">OFFSET('Zip Code Lines_1'!$U$3,MATCH('Zip Code Lines_1'!C261,'Zip Code Lines_1'!$Q$4:$Q$26,0),0)</f>
        <v>White Plains</v>
      </c>
      <c r="E261" s="344">
        <f ca="1">OFFSET('Zip Code Lines_1'!$W$3,MATCH('Zip Code Lines_1'!C261,'Zip Code Lines_1'!$Q$4:$Q$26,0),0)</f>
        <v>13.5</v>
      </c>
      <c r="F261" s="344">
        <f ca="1">OFFSET('Zip Code Lines_1'!$Z$3,MATCH('Zip Code Lines_1'!C261,'Zip Code Lines_1'!$Q$4:$Q$26,0),0)</f>
        <v>86.4</v>
      </c>
      <c r="G261" s="342">
        <f ca="1">OFFSET('Zip Code Lines_1'!$AC$3,MATCH('Zip Code Lines_1'!C261,'Zip Code Lines_1'!$Q$4:$Q$26,0),0)</f>
        <v>6</v>
      </c>
      <c r="H261" s="342">
        <v>10606</v>
      </c>
    </row>
    <row r="262" spans="2:8" x14ac:dyDescent="0.25">
      <c r="B262" s="342">
        <v>10607</v>
      </c>
      <c r="C262" s="343" t="s">
        <v>575</v>
      </c>
      <c r="D262" s="343" t="str">
        <f ca="1">OFFSET('Zip Code Lines_1'!$U$3,MATCH('Zip Code Lines_1'!C262,'Zip Code Lines_1'!$Q$4:$Q$26,0),0)</f>
        <v>White Plains</v>
      </c>
      <c r="E262" s="344">
        <f ca="1">OFFSET('Zip Code Lines_1'!$W$3,MATCH('Zip Code Lines_1'!C262,'Zip Code Lines_1'!$Q$4:$Q$26,0),0)</f>
        <v>13.5</v>
      </c>
      <c r="F262" s="344">
        <f ca="1">OFFSET('Zip Code Lines_1'!$Z$3,MATCH('Zip Code Lines_1'!C262,'Zip Code Lines_1'!$Q$4:$Q$26,0),0)</f>
        <v>86.4</v>
      </c>
      <c r="G262" s="342">
        <f ca="1">OFFSET('Zip Code Lines_1'!$AC$3,MATCH('Zip Code Lines_1'!C262,'Zip Code Lines_1'!$Q$4:$Q$26,0),0)</f>
        <v>6</v>
      </c>
      <c r="H262" s="342">
        <v>10607</v>
      </c>
    </row>
    <row r="263" spans="2:8" x14ac:dyDescent="0.25">
      <c r="B263" s="342">
        <v>10610</v>
      </c>
      <c r="C263" s="343" t="s">
        <v>575</v>
      </c>
      <c r="D263" s="343" t="str">
        <f ca="1">OFFSET('Zip Code Lines_1'!$U$3,MATCH('Zip Code Lines_1'!C263,'Zip Code Lines_1'!$Q$4:$Q$26,0),0)</f>
        <v>White Plains</v>
      </c>
      <c r="E263" s="344">
        <f ca="1">OFFSET('Zip Code Lines_1'!$W$3,MATCH('Zip Code Lines_1'!C263,'Zip Code Lines_1'!$Q$4:$Q$26,0),0)</f>
        <v>13.5</v>
      </c>
      <c r="F263" s="344">
        <f ca="1">OFFSET('Zip Code Lines_1'!$Z$3,MATCH('Zip Code Lines_1'!C263,'Zip Code Lines_1'!$Q$4:$Q$26,0),0)</f>
        <v>86.4</v>
      </c>
      <c r="G263" s="342">
        <f ca="1">OFFSET('Zip Code Lines_1'!$AC$3,MATCH('Zip Code Lines_1'!C263,'Zip Code Lines_1'!$Q$4:$Q$26,0),0)</f>
        <v>6</v>
      </c>
      <c r="H263" s="342">
        <v>10610</v>
      </c>
    </row>
    <row r="264" spans="2:8" x14ac:dyDescent="0.25">
      <c r="B264" s="342">
        <v>10701</v>
      </c>
      <c r="C264" s="343" t="s">
        <v>575</v>
      </c>
      <c r="D264" s="343" t="str">
        <f ca="1">OFFSET('Zip Code Lines_1'!$U$3,MATCH('Zip Code Lines_1'!C264,'Zip Code Lines_1'!$Q$4:$Q$26,0),0)</f>
        <v>White Plains</v>
      </c>
      <c r="E264" s="344">
        <f ca="1">OFFSET('Zip Code Lines_1'!$W$3,MATCH('Zip Code Lines_1'!C264,'Zip Code Lines_1'!$Q$4:$Q$26,0),0)</f>
        <v>13.5</v>
      </c>
      <c r="F264" s="344">
        <f ca="1">OFFSET('Zip Code Lines_1'!$Z$3,MATCH('Zip Code Lines_1'!C264,'Zip Code Lines_1'!$Q$4:$Q$26,0),0)</f>
        <v>86.4</v>
      </c>
      <c r="G264" s="342">
        <f ca="1">OFFSET('Zip Code Lines_1'!$AC$3,MATCH('Zip Code Lines_1'!C264,'Zip Code Lines_1'!$Q$4:$Q$26,0),0)</f>
        <v>6</v>
      </c>
      <c r="H264" s="342">
        <v>10701</v>
      </c>
    </row>
    <row r="265" spans="2:8" x14ac:dyDescent="0.25">
      <c r="B265" s="342">
        <v>10702</v>
      </c>
      <c r="C265" s="343" t="s">
        <v>552</v>
      </c>
      <c r="D265" s="343" t="str">
        <f ca="1">OFFSET('Zip Code Lines_1'!$U$3,MATCH('Zip Code Lines_1'!C265,'Zip Code Lines_1'!$Q$4:$Q$26,0),0)</f>
        <v>NY - Central Park</v>
      </c>
      <c r="E265" s="344">
        <f ca="1">OFFSET('Zip Code Lines_1'!$W$3,MATCH('Zip Code Lines_1'!C265,'Zip Code Lines_1'!$Q$4:$Q$26,0),0)</f>
        <v>17.5</v>
      </c>
      <c r="F265" s="344">
        <f ca="1">OFFSET('Zip Code Lines_1'!$Z$3,MATCH('Zip Code Lines_1'!C265,'Zip Code Lines_1'!$Q$4:$Q$26,0),0)</f>
        <v>88</v>
      </c>
      <c r="G265" s="342">
        <f ca="1">OFFSET('Zip Code Lines_1'!$AC$3,MATCH('Zip Code Lines_1'!C265,'Zip Code Lines_1'!$Q$4:$Q$26,0),0)</f>
        <v>6</v>
      </c>
      <c r="H265" s="342">
        <v>10702</v>
      </c>
    </row>
    <row r="266" spans="2:8" x14ac:dyDescent="0.25">
      <c r="B266" s="342">
        <v>10703</v>
      </c>
      <c r="C266" s="343" t="s">
        <v>575</v>
      </c>
      <c r="D266" s="343" t="str">
        <f ca="1">OFFSET('Zip Code Lines_1'!$U$3,MATCH('Zip Code Lines_1'!C266,'Zip Code Lines_1'!$Q$4:$Q$26,0),0)</f>
        <v>White Plains</v>
      </c>
      <c r="E266" s="344">
        <f ca="1">OFFSET('Zip Code Lines_1'!$W$3,MATCH('Zip Code Lines_1'!C266,'Zip Code Lines_1'!$Q$4:$Q$26,0),0)</f>
        <v>13.5</v>
      </c>
      <c r="F266" s="344">
        <f ca="1">OFFSET('Zip Code Lines_1'!$Z$3,MATCH('Zip Code Lines_1'!C266,'Zip Code Lines_1'!$Q$4:$Q$26,0),0)</f>
        <v>86.4</v>
      </c>
      <c r="G266" s="342">
        <f ca="1">OFFSET('Zip Code Lines_1'!$AC$3,MATCH('Zip Code Lines_1'!C266,'Zip Code Lines_1'!$Q$4:$Q$26,0),0)</f>
        <v>6</v>
      </c>
      <c r="H266" s="342">
        <v>10703</v>
      </c>
    </row>
    <row r="267" spans="2:8" x14ac:dyDescent="0.25">
      <c r="B267" s="342">
        <v>10704</v>
      </c>
      <c r="C267" s="343" t="s">
        <v>575</v>
      </c>
      <c r="D267" s="343" t="str">
        <f ca="1">OFFSET('Zip Code Lines_1'!$U$3,MATCH('Zip Code Lines_1'!C267,'Zip Code Lines_1'!$Q$4:$Q$26,0),0)</f>
        <v>White Plains</v>
      </c>
      <c r="E267" s="344">
        <f ca="1">OFFSET('Zip Code Lines_1'!$W$3,MATCH('Zip Code Lines_1'!C267,'Zip Code Lines_1'!$Q$4:$Q$26,0),0)</f>
        <v>13.5</v>
      </c>
      <c r="F267" s="344">
        <f ca="1">OFFSET('Zip Code Lines_1'!$Z$3,MATCH('Zip Code Lines_1'!C267,'Zip Code Lines_1'!$Q$4:$Q$26,0),0)</f>
        <v>86.4</v>
      </c>
      <c r="G267" s="342">
        <f ca="1">OFFSET('Zip Code Lines_1'!$AC$3,MATCH('Zip Code Lines_1'!C267,'Zip Code Lines_1'!$Q$4:$Q$26,0),0)</f>
        <v>6</v>
      </c>
      <c r="H267" s="342">
        <v>10704</v>
      </c>
    </row>
    <row r="268" spans="2:8" x14ac:dyDescent="0.25">
      <c r="B268" s="342">
        <v>10705</v>
      </c>
      <c r="C268" s="343" t="s">
        <v>552</v>
      </c>
      <c r="D268" s="343" t="str">
        <f ca="1">OFFSET('Zip Code Lines_1'!$U$3,MATCH('Zip Code Lines_1'!C268,'Zip Code Lines_1'!$Q$4:$Q$26,0),0)</f>
        <v>NY - Central Park</v>
      </c>
      <c r="E268" s="344">
        <f ca="1">OFFSET('Zip Code Lines_1'!$W$3,MATCH('Zip Code Lines_1'!C268,'Zip Code Lines_1'!$Q$4:$Q$26,0),0)</f>
        <v>17.5</v>
      </c>
      <c r="F268" s="344">
        <f ca="1">OFFSET('Zip Code Lines_1'!$Z$3,MATCH('Zip Code Lines_1'!C268,'Zip Code Lines_1'!$Q$4:$Q$26,0),0)</f>
        <v>88</v>
      </c>
      <c r="G268" s="342">
        <f ca="1">OFFSET('Zip Code Lines_1'!$AC$3,MATCH('Zip Code Lines_1'!C268,'Zip Code Lines_1'!$Q$4:$Q$26,0),0)</f>
        <v>6</v>
      </c>
      <c r="H268" s="342">
        <v>10705</v>
      </c>
    </row>
    <row r="269" spans="2:8" x14ac:dyDescent="0.25">
      <c r="B269" s="342">
        <v>10706</v>
      </c>
      <c r="C269" s="343" t="s">
        <v>575</v>
      </c>
      <c r="D269" s="343" t="str">
        <f ca="1">OFFSET('Zip Code Lines_1'!$U$3,MATCH('Zip Code Lines_1'!C269,'Zip Code Lines_1'!$Q$4:$Q$26,0),0)</f>
        <v>White Plains</v>
      </c>
      <c r="E269" s="344">
        <f ca="1">OFFSET('Zip Code Lines_1'!$W$3,MATCH('Zip Code Lines_1'!C269,'Zip Code Lines_1'!$Q$4:$Q$26,0),0)</f>
        <v>13.5</v>
      </c>
      <c r="F269" s="344">
        <f ca="1">OFFSET('Zip Code Lines_1'!$Z$3,MATCH('Zip Code Lines_1'!C269,'Zip Code Lines_1'!$Q$4:$Q$26,0),0)</f>
        <v>86.4</v>
      </c>
      <c r="G269" s="342">
        <f ca="1">OFFSET('Zip Code Lines_1'!$AC$3,MATCH('Zip Code Lines_1'!C269,'Zip Code Lines_1'!$Q$4:$Q$26,0),0)</f>
        <v>6</v>
      </c>
      <c r="H269" s="342">
        <v>10706</v>
      </c>
    </row>
    <row r="270" spans="2:8" x14ac:dyDescent="0.25">
      <c r="B270" s="342">
        <v>10707</v>
      </c>
      <c r="C270" s="343" t="s">
        <v>575</v>
      </c>
      <c r="D270" s="343" t="str">
        <f ca="1">OFFSET('Zip Code Lines_1'!$U$3,MATCH('Zip Code Lines_1'!C270,'Zip Code Lines_1'!$Q$4:$Q$26,0),0)</f>
        <v>White Plains</v>
      </c>
      <c r="E270" s="344">
        <f ca="1">OFFSET('Zip Code Lines_1'!$W$3,MATCH('Zip Code Lines_1'!C270,'Zip Code Lines_1'!$Q$4:$Q$26,0),0)</f>
        <v>13.5</v>
      </c>
      <c r="F270" s="344">
        <f ca="1">OFFSET('Zip Code Lines_1'!$Z$3,MATCH('Zip Code Lines_1'!C270,'Zip Code Lines_1'!$Q$4:$Q$26,0),0)</f>
        <v>86.4</v>
      </c>
      <c r="G270" s="342">
        <f ca="1">OFFSET('Zip Code Lines_1'!$AC$3,MATCH('Zip Code Lines_1'!C270,'Zip Code Lines_1'!$Q$4:$Q$26,0),0)</f>
        <v>6</v>
      </c>
      <c r="H270" s="342">
        <v>10707</v>
      </c>
    </row>
    <row r="271" spans="2:8" x14ac:dyDescent="0.25">
      <c r="B271" s="342">
        <v>10708</v>
      </c>
      <c r="C271" s="343" t="s">
        <v>575</v>
      </c>
      <c r="D271" s="343" t="str">
        <f ca="1">OFFSET('Zip Code Lines_1'!$U$3,MATCH('Zip Code Lines_1'!C271,'Zip Code Lines_1'!$Q$4:$Q$26,0),0)</f>
        <v>White Plains</v>
      </c>
      <c r="E271" s="344">
        <f ca="1">OFFSET('Zip Code Lines_1'!$W$3,MATCH('Zip Code Lines_1'!C271,'Zip Code Lines_1'!$Q$4:$Q$26,0),0)</f>
        <v>13.5</v>
      </c>
      <c r="F271" s="344">
        <f ca="1">OFFSET('Zip Code Lines_1'!$Z$3,MATCH('Zip Code Lines_1'!C271,'Zip Code Lines_1'!$Q$4:$Q$26,0),0)</f>
        <v>86.4</v>
      </c>
      <c r="G271" s="342">
        <f ca="1">OFFSET('Zip Code Lines_1'!$AC$3,MATCH('Zip Code Lines_1'!C271,'Zip Code Lines_1'!$Q$4:$Q$26,0),0)</f>
        <v>6</v>
      </c>
      <c r="H271" s="342">
        <v>10708</v>
      </c>
    </row>
    <row r="272" spans="2:8" x14ac:dyDescent="0.25">
      <c r="B272" s="342">
        <v>10709</v>
      </c>
      <c r="C272" s="343" t="s">
        <v>575</v>
      </c>
      <c r="D272" s="343" t="str">
        <f ca="1">OFFSET('Zip Code Lines_1'!$U$3,MATCH('Zip Code Lines_1'!C272,'Zip Code Lines_1'!$Q$4:$Q$26,0),0)</f>
        <v>White Plains</v>
      </c>
      <c r="E272" s="344">
        <f ca="1">OFFSET('Zip Code Lines_1'!$W$3,MATCH('Zip Code Lines_1'!C272,'Zip Code Lines_1'!$Q$4:$Q$26,0),0)</f>
        <v>13.5</v>
      </c>
      <c r="F272" s="344">
        <f ca="1">OFFSET('Zip Code Lines_1'!$Z$3,MATCH('Zip Code Lines_1'!C272,'Zip Code Lines_1'!$Q$4:$Q$26,0),0)</f>
        <v>86.4</v>
      </c>
      <c r="G272" s="342">
        <f ca="1">OFFSET('Zip Code Lines_1'!$AC$3,MATCH('Zip Code Lines_1'!C272,'Zip Code Lines_1'!$Q$4:$Q$26,0),0)</f>
        <v>6</v>
      </c>
      <c r="H272" s="342">
        <v>10709</v>
      </c>
    </row>
    <row r="273" spans="2:8" x14ac:dyDescent="0.25">
      <c r="B273" s="342">
        <v>10710</v>
      </c>
      <c r="C273" s="343" t="s">
        <v>575</v>
      </c>
      <c r="D273" s="343" t="str">
        <f ca="1">OFFSET('Zip Code Lines_1'!$U$3,MATCH('Zip Code Lines_1'!C273,'Zip Code Lines_1'!$Q$4:$Q$26,0),0)</f>
        <v>White Plains</v>
      </c>
      <c r="E273" s="344">
        <f ca="1">OFFSET('Zip Code Lines_1'!$W$3,MATCH('Zip Code Lines_1'!C273,'Zip Code Lines_1'!$Q$4:$Q$26,0),0)</f>
        <v>13.5</v>
      </c>
      <c r="F273" s="344">
        <f ca="1">OFFSET('Zip Code Lines_1'!$Z$3,MATCH('Zip Code Lines_1'!C273,'Zip Code Lines_1'!$Q$4:$Q$26,0),0)</f>
        <v>86.4</v>
      </c>
      <c r="G273" s="342">
        <f ca="1">OFFSET('Zip Code Lines_1'!$AC$3,MATCH('Zip Code Lines_1'!C273,'Zip Code Lines_1'!$Q$4:$Q$26,0),0)</f>
        <v>6</v>
      </c>
      <c r="H273" s="342">
        <v>10710</v>
      </c>
    </row>
    <row r="274" spans="2:8" x14ac:dyDescent="0.25">
      <c r="B274" s="342">
        <v>10801</v>
      </c>
      <c r="C274" s="343" t="s">
        <v>575</v>
      </c>
      <c r="D274" s="343" t="str">
        <f ca="1">OFFSET('Zip Code Lines_1'!$U$3,MATCH('Zip Code Lines_1'!C274,'Zip Code Lines_1'!$Q$4:$Q$26,0),0)</f>
        <v>White Plains</v>
      </c>
      <c r="E274" s="344">
        <f ca="1">OFFSET('Zip Code Lines_1'!$W$3,MATCH('Zip Code Lines_1'!C274,'Zip Code Lines_1'!$Q$4:$Q$26,0),0)</f>
        <v>13.5</v>
      </c>
      <c r="F274" s="344">
        <f ca="1">OFFSET('Zip Code Lines_1'!$Z$3,MATCH('Zip Code Lines_1'!C274,'Zip Code Lines_1'!$Q$4:$Q$26,0),0)</f>
        <v>86.4</v>
      </c>
      <c r="G274" s="342">
        <f ca="1">OFFSET('Zip Code Lines_1'!$AC$3,MATCH('Zip Code Lines_1'!C274,'Zip Code Lines_1'!$Q$4:$Q$26,0),0)</f>
        <v>6</v>
      </c>
      <c r="H274" s="342">
        <v>10801</v>
      </c>
    </row>
    <row r="275" spans="2:8" x14ac:dyDescent="0.25">
      <c r="B275" s="342">
        <v>10802</v>
      </c>
      <c r="C275" s="343" t="s">
        <v>575</v>
      </c>
      <c r="D275" s="343" t="str">
        <f ca="1">OFFSET('Zip Code Lines_1'!$U$3,MATCH('Zip Code Lines_1'!C275,'Zip Code Lines_1'!$Q$4:$Q$26,0),0)</f>
        <v>White Plains</v>
      </c>
      <c r="E275" s="344">
        <f ca="1">OFFSET('Zip Code Lines_1'!$W$3,MATCH('Zip Code Lines_1'!C275,'Zip Code Lines_1'!$Q$4:$Q$26,0),0)</f>
        <v>13.5</v>
      </c>
      <c r="F275" s="344">
        <f ca="1">OFFSET('Zip Code Lines_1'!$Z$3,MATCH('Zip Code Lines_1'!C275,'Zip Code Lines_1'!$Q$4:$Q$26,0),0)</f>
        <v>86.4</v>
      </c>
      <c r="G275" s="342">
        <f ca="1">OFFSET('Zip Code Lines_1'!$AC$3,MATCH('Zip Code Lines_1'!C275,'Zip Code Lines_1'!$Q$4:$Q$26,0),0)</f>
        <v>6</v>
      </c>
      <c r="H275" s="342">
        <v>10802</v>
      </c>
    </row>
    <row r="276" spans="2:8" x14ac:dyDescent="0.25">
      <c r="B276" s="342">
        <v>10803</v>
      </c>
      <c r="C276" s="343" t="s">
        <v>575</v>
      </c>
      <c r="D276" s="343" t="str">
        <f ca="1">OFFSET('Zip Code Lines_1'!$U$3,MATCH('Zip Code Lines_1'!C276,'Zip Code Lines_1'!$Q$4:$Q$26,0),0)</f>
        <v>White Plains</v>
      </c>
      <c r="E276" s="344">
        <f ca="1">OFFSET('Zip Code Lines_1'!$W$3,MATCH('Zip Code Lines_1'!C276,'Zip Code Lines_1'!$Q$4:$Q$26,0),0)</f>
        <v>13.5</v>
      </c>
      <c r="F276" s="344">
        <f ca="1">OFFSET('Zip Code Lines_1'!$Z$3,MATCH('Zip Code Lines_1'!C276,'Zip Code Lines_1'!$Q$4:$Q$26,0),0)</f>
        <v>86.4</v>
      </c>
      <c r="G276" s="342">
        <f ca="1">OFFSET('Zip Code Lines_1'!$AC$3,MATCH('Zip Code Lines_1'!C276,'Zip Code Lines_1'!$Q$4:$Q$26,0),0)</f>
        <v>6</v>
      </c>
      <c r="H276" s="342">
        <v>10803</v>
      </c>
    </row>
    <row r="277" spans="2:8" x14ac:dyDescent="0.25">
      <c r="B277" s="342">
        <v>10804</v>
      </c>
      <c r="C277" s="343" t="s">
        <v>575</v>
      </c>
      <c r="D277" s="343" t="str">
        <f ca="1">OFFSET('Zip Code Lines_1'!$U$3,MATCH('Zip Code Lines_1'!C277,'Zip Code Lines_1'!$Q$4:$Q$26,0),0)</f>
        <v>White Plains</v>
      </c>
      <c r="E277" s="344">
        <f ca="1">OFFSET('Zip Code Lines_1'!$W$3,MATCH('Zip Code Lines_1'!C277,'Zip Code Lines_1'!$Q$4:$Q$26,0),0)</f>
        <v>13.5</v>
      </c>
      <c r="F277" s="344">
        <f ca="1">OFFSET('Zip Code Lines_1'!$Z$3,MATCH('Zip Code Lines_1'!C277,'Zip Code Lines_1'!$Q$4:$Q$26,0),0)</f>
        <v>86.4</v>
      </c>
      <c r="G277" s="342">
        <f ca="1">OFFSET('Zip Code Lines_1'!$AC$3,MATCH('Zip Code Lines_1'!C277,'Zip Code Lines_1'!$Q$4:$Q$26,0),0)</f>
        <v>6</v>
      </c>
      <c r="H277" s="342">
        <v>10804</v>
      </c>
    </row>
    <row r="278" spans="2:8" x14ac:dyDescent="0.25">
      <c r="B278" s="342">
        <v>10805</v>
      </c>
      <c r="C278" s="343" t="s">
        <v>575</v>
      </c>
      <c r="D278" s="343" t="str">
        <f ca="1">OFFSET('Zip Code Lines_1'!$U$3,MATCH('Zip Code Lines_1'!C278,'Zip Code Lines_1'!$Q$4:$Q$26,0),0)</f>
        <v>White Plains</v>
      </c>
      <c r="E278" s="344">
        <f ca="1">OFFSET('Zip Code Lines_1'!$W$3,MATCH('Zip Code Lines_1'!C278,'Zip Code Lines_1'!$Q$4:$Q$26,0),0)</f>
        <v>13.5</v>
      </c>
      <c r="F278" s="344">
        <f ca="1">OFFSET('Zip Code Lines_1'!$Z$3,MATCH('Zip Code Lines_1'!C278,'Zip Code Lines_1'!$Q$4:$Q$26,0),0)</f>
        <v>86.4</v>
      </c>
      <c r="G278" s="342">
        <f ca="1">OFFSET('Zip Code Lines_1'!$AC$3,MATCH('Zip Code Lines_1'!C278,'Zip Code Lines_1'!$Q$4:$Q$26,0),0)</f>
        <v>6</v>
      </c>
      <c r="H278" s="342">
        <v>10805</v>
      </c>
    </row>
    <row r="279" spans="2:8" x14ac:dyDescent="0.25">
      <c r="B279" s="342">
        <v>10901</v>
      </c>
      <c r="C279" s="343" t="s">
        <v>575</v>
      </c>
      <c r="D279" s="343" t="str">
        <f ca="1">OFFSET('Zip Code Lines_1'!$U$3,MATCH('Zip Code Lines_1'!C279,'Zip Code Lines_1'!$Q$4:$Q$26,0),0)</f>
        <v>White Plains</v>
      </c>
      <c r="E279" s="344">
        <f ca="1">OFFSET('Zip Code Lines_1'!$W$3,MATCH('Zip Code Lines_1'!C279,'Zip Code Lines_1'!$Q$4:$Q$26,0),0)</f>
        <v>13.5</v>
      </c>
      <c r="F279" s="344">
        <f ca="1">OFFSET('Zip Code Lines_1'!$Z$3,MATCH('Zip Code Lines_1'!C279,'Zip Code Lines_1'!$Q$4:$Q$26,0),0)</f>
        <v>86.4</v>
      </c>
      <c r="G279" s="342">
        <f ca="1">OFFSET('Zip Code Lines_1'!$AC$3,MATCH('Zip Code Lines_1'!C279,'Zip Code Lines_1'!$Q$4:$Q$26,0),0)</f>
        <v>6</v>
      </c>
      <c r="H279" s="342">
        <v>10901</v>
      </c>
    </row>
    <row r="280" spans="2:8" x14ac:dyDescent="0.25">
      <c r="B280" s="342">
        <v>10910</v>
      </c>
      <c r="C280" s="343" t="s">
        <v>563</v>
      </c>
      <c r="D280" s="343" t="str">
        <f ca="1">OFFSET('Zip Code Lines_1'!$U$3,MATCH('Zip Code Lines_1'!C280,'Zip Code Lines_1'!$Q$4:$Q$26,0),0)</f>
        <v>Poughkeepsie</v>
      </c>
      <c r="E280" s="344">
        <f ca="1">OFFSET('Zip Code Lines_1'!$W$3,MATCH('Zip Code Lines_1'!C280,'Zip Code Lines_1'!$Q$4:$Q$26,0),0)</f>
        <v>8.4</v>
      </c>
      <c r="F280" s="344">
        <f ca="1">OFFSET('Zip Code Lines_1'!$Z$3,MATCH('Zip Code Lines_1'!C280,'Zip Code Lines_1'!$Q$4:$Q$26,0),0)</f>
        <v>88.4</v>
      </c>
      <c r="G280" s="342">
        <f ca="1">OFFSET('Zip Code Lines_1'!$AC$3,MATCH('Zip Code Lines_1'!C280,'Zip Code Lines_1'!$Q$4:$Q$26,0),0)</f>
        <v>12</v>
      </c>
      <c r="H280" s="342">
        <v>10910</v>
      </c>
    </row>
    <row r="281" spans="2:8" x14ac:dyDescent="0.25">
      <c r="B281" s="342">
        <v>10911</v>
      </c>
      <c r="C281" s="343" t="s">
        <v>563</v>
      </c>
      <c r="D281" s="343" t="str">
        <f ca="1">OFFSET('Zip Code Lines_1'!$U$3,MATCH('Zip Code Lines_1'!C281,'Zip Code Lines_1'!$Q$4:$Q$26,0),0)</f>
        <v>Poughkeepsie</v>
      </c>
      <c r="E281" s="344">
        <f ca="1">OFFSET('Zip Code Lines_1'!$W$3,MATCH('Zip Code Lines_1'!C281,'Zip Code Lines_1'!$Q$4:$Q$26,0),0)</f>
        <v>8.4</v>
      </c>
      <c r="F281" s="344">
        <f ca="1">OFFSET('Zip Code Lines_1'!$Z$3,MATCH('Zip Code Lines_1'!C281,'Zip Code Lines_1'!$Q$4:$Q$26,0),0)</f>
        <v>88.4</v>
      </c>
      <c r="G281" s="342">
        <f ca="1">OFFSET('Zip Code Lines_1'!$AC$3,MATCH('Zip Code Lines_1'!C281,'Zip Code Lines_1'!$Q$4:$Q$26,0),0)</f>
        <v>12</v>
      </c>
      <c r="H281" s="342">
        <v>10911</v>
      </c>
    </row>
    <row r="282" spans="2:8" x14ac:dyDescent="0.25">
      <c r="B282" s="342">
        <v>10912</v>
      </c>
      <c r="C282" s="343" t="s">
        <v>563</v>
      </c>
      <c r="D282" s="343" t="str">
        <f ca="1">OFFSET('Zip Code Lines_1'!$U$3,MATCH('Zip Code Lines_1'!C282,'Zip Code Lines_1'!$Q$4:$Q$26,0),0)</f>
        <v>Poughkeepsie</v>
      </c>
      <c r="E282" s="344">
        <f ca="1">OFFSET('Zip Code Lines_1'!$W$3,MATCH('Zip Code Lines_1'!C282,'Zip Code Lines_1'!$Q$4:$Q$26,0),0)</f>
        <v>8.4</v>
      </c>
      <c r="F282" s="344">
        <f ca="1">OFFSET('Zip Code Lines_1'!$Z$3,MATCH('Zip Code Lines_1'!C282,'Zip Code Lines_1'!$Q$4:$Q$26,0),0)</f>
        <v>88.4</v>
      </c>
      <c r="G282" s="342">
        <f ca="1">OFFSET('Zip Code Lines_1'!$AC$3,MATCH('Zip Code Lines_1'!C282,'Zip Code Lines_1'!$Q$4:$Q$26,0),0)</f>
        <v>12</v>
      </c>
      <c r="H282" s="342">
        <v>10912</v>
      </c>
    </row>
    <row r="283" spans="2:8" x14ac:dyDescent="0.25">
      <c r="B283" s="342">
        <v>10913</v>
      </c>
      <c r="C283" s="343" t="s">
        <v>575</v>
      </c>
      <c r="D283" s="343" t="str">
        <f ca="1">OFFSET('Zip Code Lines_1'!$U$3,MATCH('Zip Code Lines_1'!C283,'Zip Code Lines_1'!$Q$4:$Q$26,0),0)</f>
        <v>White Plains</v>
      </c>
      <c r="E283" s="344">
        <f ca="1">OFFSET('Zip Code Lines_1'!$W$3,MATCH('Zip Code Lines_1'!C283,'Zip Code Lines_1'!$Q$4:$Q$26,0),0)</f>
        <v>13.5</v>
      </c>
      <c r="F283" s="344">
        <f ca="1">OFFSET('Zip Code Lines_1'!$Z$3,MATCH('Zip Code Lines_1'!C283,'Zip Code Lines_1'!$Q$4:$Q$26,0),0)</f>
        <v>86.4</v>
      </c>
      <c r="G283" s="342">
        <f ca="1">OFFSET('Zip Code Lines_1'!$AC$3,MATCH('Zip Code Lines_1'!C283,'Zip Code Lines_1'!$Q$4:$Q$26,0),0)</f>
        <v>6</v>
      </c>
      <c r="H283" s="342">
        <v>10913</v>
      </c>
    </row>
    <row r="284" spans="2:8" x14ac:dyDescent="0.25">
      <c r="B284" s="342">
        <v>10914</v>
      </c>
      <c r="C284" s="343" t="s">
        <v>563</v>
      </c>
      <c r="D284" s="343" t="str">
        <f ca="1">OFFSET('Zip Code Lines_1'!$U$3,MATCH('Zip Code Lines_1'!C284,'Zip Code Lines_1'!$Q$4:$Q$26,0),0)</f>
        <v>Poughkeepsie</v>
      </c>
      <c r="E284" s="344">
        <f ca="1">OFFSET('Zip Code Lines_1'!$W$3,MATCH('Zip Code Lines_1'!C284,'Zip Code Lines_1'!$Q$4:$Q$26,0),0)</f>
        <v>8.4</v>
      </c>
      <c r="F284" s="344">
        <f ca="1">OFFSET('Zip Code Lines_1'!$Z$3,MATCH('Zip Code Lines_1'!C284,'Zip Code Lines_1'!$Q$4:$Q$26,0),0)</f>
        <v>88.4</v>
      </c>
      <c r="G284" s="342">
        <f ca="1">OFFSET('Zip Code Lines_1'!$AC$3,MATCH('Zip Code Lines_1'!C284,'Zip Code Lines_1'!$Q$4:$Q$26,0),0)</f>
        <v>12</v>
      </c>
      <c r="H284" s="342">
        <v>10914</v>
      </c>
    </row>
    <row r="285" spans="2:8" x14ac:dyDescent="0.25">
      <c r="B285" s="342">
        <v>10915</v>
      </c>
      <c r="C285" s="343" t="s">
        <v>563</v>
      </c>
      <c r="D285" s="343" t="str">
        <f ca="1">OFFSET('Zip Code Lines_1'!$U$3,MATCH('Zip Code Lines_1'!C285,'Zip Code Lines_1'!$Q$4:$Q$26,0),0)</f>
        <v>Poughkeepsie</v>
      </c>
      <c r="E285" s="344">
        <f ca="1">OFFSET('Zip Code Lines_1'!$W$3,MATCH('Zip Code Lines_1'!C285,'Zip Code Lines_1'!$Q$4:$Q$26,0),0)</f>
        <v>8.4</v>
      </c>
      <c r="F285" s="344">
        <f ca="1">OFFSET('Zip Code Lines_1'!$Z$3,MATCH('Zip Code Lines_1'!C285,'Zip Code Lines_1'!$Q$4:$Q$26,0),0)</f>
        <v>88.4</v>
      </c>
      <c r="G285" s="342">
        <f ca="1">OFFSET('Zip Code Lines_1'!$AC$3,MATCH('Zip Code Lines_1'!C285,'Zip Code Lines_1'!$Q$4:$Q$26,0),0)</f>
        <v>12</v>
      </c>
      <c r="H285" s="342">
        <v>10915</v>
      </c>
    </row>
    <row r="286" spans="2:8" x14ac:dyDescent="0.25">
      <c r="B286" s="342">
        <v>10916</v>
      </c>
      <c r="C286" s="343" t="s">
        <v>563</v>
      </c>
      <c r="D286" s="343" t="str">
        <f ca="1">OFFSET('Zip Code Lines_1'!$U$3,MATCH('Zip Code Lines_1'!C286,'Zip Code Lines_1'!$Q$4:$Q$26,0),0)</f>
        <v>Poughkeepsie</v>
      </c>
      <c r="E286" s="344">
        <f ca="1">OFFSET('Zip Code Lines_1'!$W$3,MATCH('Zip Code Lines_1'!C286,'Zip Code Lines_1'!$Q$4:$Q$26,0),0)</f>
        <v>8.4</v>
      </c>
      <c r="F286" s="344">
        <f ca="1">OFFSET('Zip Code Lines_1'!$Z$3,MATCH('Zip Code Lines_1'!C286,'Zip Code Lines_1'!$Q$4:$Q$26,0),0)</f>
        <v>88.4</v>
      </c>
      <c r="G286" s="342">
        <f ca="1">OFFSET('Zip Code Lines_1'!$AC$3,MATCH('Zip Code Lines_1'!C286,'Zip Code Lines_1'!$Q$4:$Q$26,0),0)</f>
        <v>12</v>
      </c>
      <c r="H286" s="342">
        <v>10916</v>
      </c>
    </row>
    <row r="287" spans="2:8" x14ac:dyDescent="0.25">
      <c r="B287" s="342">
        <v>10917</v>
      </c>
      <c r="C287" s="343" t="s">
        <v>563</v>
      </c>
      <c r="D287" s="343" t="str">
        <f ca="1">OFFSET('Zip Code Lines_1'!$U$3,MATCH('Zip Code Lines_1'!C287,'Zip Code Lines_1'!$Q$4:$Q$26,0),0)</f>
        <v>Poughkeepsie</v>
      </c>
      <c r="E287" s="344">
        <f ca="1">OFFSET('Zip Code Lines_1'!$W$3,MATCH('Zip Code Lines_1'!C287,'Zip Code Lines_1'!$Q$4:$Q$26,0),0)</f>
        <v>8.4</v>
      </c>
      <c r="F287" s="344">
        <f ca="1">OFFSET('Zip Code Lines_1'!$Z$3,MATCH('Zip Code Lines_1'!C287,'Zip Code Lines_1'!$Q$4:$Q$26,0),0)</f>
        <v>88.4</v>
      </c>
      <c r="G287" s="342">
        <f ca="1">OFFSET('Zip Code Lines_1'!$AC$3,MATCH('Zip Code Lines_1'!C287,'Zip Code Lines_1'!$Q$4:$Q$26,0),0)</f>
        <v>12</v>
      </c>
      <c r="H287" s="342">
        <v>10917</v>
      </c>
    </row>
    <row r="288" spans="2:8" x14ac:dyDescent="0.25">
      <c r="B288" s="342">
        <v>10918</v>
      </c>
      <c r="C288" s="343" t="s">
        <v>563</v>
      </c>
      <c r="D288" s="343" t="str">
        <f ca="1">OFFSET('Zip Code Lines_1'!$U$3,MATCH('Zip Code Lines_1'!C288,'Zip Code Lines_1'!$Q$4:$Q$26,0),0)</f>
        <v>Poughkeepsie</v>
      </c>
      <c r="E288" s="344">
        <f ca="1">OFFSET('Zip Code Lines_1'!$W$3,MATCH('Zip Code Lines_1'!C288,'Zip Code Lines_1'!$Q$4:$Q$26,0),0)</f>
        <v>8.4</v>
      </c>
      <c r="F288" s="344">
        <f ca="1">OFFSET('Zip Code Lines_1'!$Z$3,MATCH('Zip Code Lines_1'!C288,'Zip Code Lines_1'!$Q$4:$Q$26,0),0)</f>
        <v>88.4</v>
      </c>
      <c r="G288" s="342">
        <f ca="1">OFFSET('Zip Code Lines_1'!$AC$3,MATCH('Zip Code Lines_1'!C288,'Zip Code Lines_1'!$Q$4:$Q$26,0),0)</f>
        <v>12</v>
      </c>
      <c r="H288" s="342">
        <v>10918</v>
      </c>
    </row>
    <row r="289" spans="2:8" x14ac:dyDescent="0.25">
      <c r="B289" s="342">
        <v>10919</v>
      </c>
      <c r="C289" s="343" t="s">
        <v>563</v>
      </c>
      <c r="D289" s="343" t="str">
        <f ca="1">OFFSET('Zip Code Lines_1'!$U$3,MATCH('Zip Code Lines_1'!C289,'Zip Code Lines_1'!$Q$4:$Q$26,0),0)</f>
        <v>Poughkeepsie</v>
      </c>
      <c r="E289" s="344">
        <f ca="1">OFFSET('Zip Code Lines_1'!$W$3,MATCH('Zip Code Lines_1'!C289,'Zip Code Lines_1'!$Q$4:$Q$26,0),0)</f>
        <v>8.4</v>
      </c>
      <c r="F289" s="344">
        <f ca="1">OFFSET('Zip Code Lines_1'!$Z$3,MATCH('Zip Code Lines_1'!C289,'Zip Code Lines_1'!$Q$4:$Q$26,0),0)</f>
        <v>88.4</v>
      </c>
      <c r="G289" s="342">
        <f ca="1">OFFSET('Zip Code Lines_1'!$AC$3,MATCH('Zip Code Lines_1'!C289,'Zip Code Lines_1'!$Q$4:$Q$26,0),0)</f>
        <v>12</v>
      </c>
      <c r="H289" s="342">
        <v>10919</v>
      </c>
    </row>
    <row r="290" spans="2:8" x14ac:dyDescent="0.25">
      <c r="B290" s="342">
        <v>10920</v>
      </c>
      <c r="C290" s="343" t="s">
        <v>575</v>
      </c>
      <c r="D290" s="343" t="str">
        <f ca="1">OFFSET('Zip Code Lines_1'!$U$3,MATCH('Zip Code Lines_1'!C290,'Zip Code Lines_1'!$Q$4:$Q$26,0),0)</f>
        <v>White Plains</v>
      </c>
      <c r="E290" s="344">
        <f ca="1">OFFSET('Zip Code Lines_1'!$W$3,MATCH('Zip Code Lines_1'!C290,'Zip Code Lines_1'!$Q$4:$Q$26,0),0)</f>
        <v>13.5</v>
      </c>
      <c r="F290" s="344">
        <f ca="1">OFFSET('Zip Code Lines_1'!$Z$3,MATCH('Zip Code Lines_1'!C290,'Zip Code Lines_1'!$Q$4:$Q$26,0),0)</f>
        <v>86.4</v>
      </c>
      <c r="G290" s="342">
        <f ca="1">OFFSET('Zip Code Lines_1'!$AC$3,MATCH('Zip Code Lines_1'!C290,'Zip Code Lines_1'!$Q$4:$Q$26,0),0)</f>
        <v>6</v>
      </c>
      <c r="H290" s="342">
        <v>10920</v>
      </c>
    </row>
    <row r="291" spans="2:8" x14ac:dyDescent="0.25">
      <c r="B291" s="342">
        <v>10921</v>
      </c>
      <c r="C291" s="343" t="s">
        <v>563</v>
      </c>
      <c r="D291" s="343" t="str">
        <f ca="1">OFFSET('Zip Code Lines_1'!$U$3,MATCH('Zip Code Lines_1'!C291,'Zip Code Lines_1'!$Q$4:$Q$26,0),0)</f>
        <v>Poughkeepsie</v>
      </c>
      <c r="E291" s="344">
        <f ca="1">OFFSET('Zip Code Lines_1'!$W$3,MATCH('Zip Code Lines_1'!C291,'Zip Code Lines_1'!$Q$4:$Q$26,0),0)</f>
        <v>8.4</v>
      </c>
      <c r="F291" s="344">
        <f ca="1">OFFSET('Zip Code Lines_1'!$Z$3,MATCH('Zip Code Lines_1'!C291,'Zip Code Lines_1'!$Q$4:$Q$26,0),0)</f>
        <v>88.4</v>
      </c>
      <c r="G291" s="342">
        <f ca="1">OFFSET('Zip Code Lines_1'!$AC$3,MATCH('Zip Code Lines_1'!C291,'Zip Code Lines_1'!$Q$4:$Q$26,0),0)</f>
        <v>12</v>
      </c>
      <c r="H291" s="342">
        <v>10921</v>
      </c>
    </row>
    <row r="292" spans="2:8" x14ac:dyDescent="0.25">
      <c r="B292" s="342">
        <v>10922</v>
      </c>
      <c r="C292" s="343" t="s">
        <v>563</v>
      </c>
      <c r="D292" s="343" t="str">
        <f ca="1">OFFSET('Zip Code Lines_1'!$U$3,MATCH('Zip Code Lines_1'!C292,'Zip Code Lines_1'!$Q$4:$Q$26,0),0)</f>
        <v>Poughkeepsie</v>
      </c>
      <c r="E292" s="344">
        <f ca="1">OFFSET('Zip Code Lines_1'!$W$3,MATCH('Zip Code Lines_1'!C292,'Zip Code Lines_1'!$Q$4:$Q$26,0),0)</f>
        <v>8.4</v>
      </c>
      <c r="F292" s="344">
        <f ca="1">OFFSET('Zip Code Lines_1'!$Z$3,MATCH('Zip Code Lines_1'!C292,'Zip Code Lines_1'!$Q$4:$Q$26,0),0)</f>
        <v>88.4</v>
      </c>
      <c r="G292" s="342">
        <f ca="1">OFFSET('Zip Code Lines_1'!$AC$3,MATCH('Zip Code Lines_1'!C292,'Zip Code Lines_1'!$Q$4:$Q$26,0),0)</f>
        <v>12</v>
      </c>
      <c r="H292" s="342">
        <v>10922</v>
      </c>
    </row>
    <row r="293" spans="2:8" x14ac:dyDescent="0.25">
      <c r="B293" s="342">
        <v>10923</v>
      </c>
      <c r="C293" s="343" t="s">
        <v>575</v>
      </c>
      <c r="D293" s="343" t="str">
        <f ca="1">OFFSET('Zip Code Lines_1'!$U$3,MATCH('Zip Code Lines_1'!C293,'Zip Code Lines_1'!$Q$4:$Q$26,0),0)</f>
        <v>White Plains</v>
      </c>
      <c r="E293" s="344">
        <f ca="1">OFFSET('Zip Code Lines_1'!$W$3,MATCH('Zip Code Lines_1'!C293,'Zip Code Lines_1'!$Q$4:$Q$26,0),0)</f>
        <v>13.5</v>
      </c>
      <c r="F293" s="344">
        <f ca="1">OFFSET('Zip Code Lines_1'!$Z$3,MATCH('Zip Code Lines_1'!C293,'Zip Code Lines_1'!$Q$4:$Q$26,0),0)</f>
        <v>86.4</v>
      </c>
      <c r="G293" s="342">
        <f ca="1">OFFSET('Zip Code Lines_1'!$AC$3,MATCH('Zip Code Lines_1'!C293,'Zip Code Lines_1'!$Q$4:$Q$26,0),0)</f>
        <v>6</v>
      </c>
      <c r="H293" s="342">
        <v>10923</v>
      </c>
    </row>
    <row r="294" spans="2:8" x14ac:dyDescent="0.25">
      <c r="B294" s="342">
        <v>10924</v>
      </c>
      <c r="C294" s="343" t="s">
        <v>563</v>
      </c>
      <c r="D294" s="343" t="str">
        <f ca="1">OFFSET('Zip Code Lines_1'!$U$3,MATCH('Zip Code Lines_1'!C294,'Zip Code Lines_1'!$Q$4:$Q$26,0),0)</f>
        <v>Poughkeepsie</v>
      </c>
      <c r="E294" s="344">
        <f ca="1">OFFSET('Zip Code Lines_1'!$W$3,MATCH('Zip Code Lines_1'!C294,'Zip Code Lines_1'!$Q$4:$Q$26,0),0)</f>
        <v>8.4</v>
      </c>
      <c r="F294" s="344">
        <f ca="1">OFFSET('Zip Code Lines_1'!$Z$3,MATCH('Zip Code Lines_1'!C294,'Zip Code Lines_1'!$Q$4:$Q$26,0),0)</f>
        <v>88.4</v>
      </c>
      <c r="G294" s="342">
        <f ca="1">OFFSET('Zip Code Lines_1'!$AC$3,MATCH('Zip Code Lines_1'!C294,'Zip Code Lines_1'!$Q$4:$Q$26,0),0)</f>
        <v>12</v>
      </c>
      <c r="H294" s="342">
        <v>10924</v>
      </c>
    </row>
    <row r="295" spans="2:8" x14ac:dyDescent="0.25">
      <c r="B295" s="342">
        <v>10925</v>
      </c>
      <c r="C295" s="343" t="s">
        <v>563</v>
      </c>
      <c r="D295" s="343" t="str">
        <f ca="1">OFFSET('Zip Code Lines_1'!$U$3,MATCH('Zip Code Lines_1'!C295,'Zip Code Lines_1'!$Q$4:$Q$26,0),0)</f>
        <v>Poughkeepsie</v>
      </c>
      <c r="E295" s="344">
        <f ca="1">OFFSET('Zip Code Lines_1'!$W$3,MATCH('Zip Code Lines_1'!C295,'Zip Code Lines_1'!$Q$4:$Q$26,0),0)</f>
        <v>8.4</v>
      </c>
      <c r="F295" s="344">
        <f ca="1">OFFSET('Zip Code Lines_1'!$Z$3,MATCH('Zip Code Lines_1'!C295,'Zip Code Lines_1'!$Q$4:$Q$26,0),0)</f>
        <v>88.4</v>
      </c>
      <c r="G295" s="342">
        <f ca="1">OFFSET('Zip Code Lines_1'!$AC$3,MATCH('Zip Code Lines_1'!C295,'Zip Code Lines_1'!$Q$4:$Q$26,0),0)</f>
        <v>12</v>
      </c>
      <c r="H295" s="342">
        <v>10925</v>
      </c>
    </row>
    <row r="296" spans="2:8" x14ac:dyDescent="0.25">
      <c r="B296" s="342">
        <v>10926</v>
      </c>
      <c r="C296" s="343" t="s">
        <v>563</v>
      </c>
      <c r="D296" s="343" t="str">
        <f ca="1">OFFSET('Zip Code Lines_1'!$U$3,MATCH('Zip Code Lines_1'!C296,'Zip Code Lines_1'!$Q$4:$Q$26,0),0)</f>
        <v>Poughkeepsie</v>
      </c>
      <c r="E296" s="344">
        <f ca="1">OFFSET('Zip Code Lines_1'!$W$3,MATCH('Zip Code Lines_1'!C296,'Zip Code Lines_1'!$Q$4:$Q$26,0),0)</f>
        <v>8.4</v>
      </c>
      <c r="F296" s="344">
        <f ca="1">OFFSET('Zip Code Lines_1'!$Z$3,MATCH('Zip Code Lines_1'!C296,'Zip Code Lines_1'!$Q$4:$Q$26,0),0)</f>
        <v>88.4</v>
      </c>
      <c r="G296" s="342">
        <f ca="1">OFFSET('Zip Code Lines_1'!$AC$3,MATCH('Zip Code Lines_1'!C296,'Zip Code Lines_1'!$Q$4:$Q$26,0),0)</f>
        <v>12</v>
      </c>
      <c r="H296" s="342">
        <v>10926</v>
      </c>
    </row>
    <row r="297" spans="2:8" x14ac:dyDescent="0.25">
      <c r="B297" s="342">
        <v>10927</v>
      </c>
      <c r="C297" s="343" t="s">
        <v>575</v>
      </c>
      <c r="D297" s="343" t="str">
        <f ca="1">OFFSET('Zip Code Lines_1'!$U$3,MATCH('Zip Code Lines_1'!C297,'Zip Code Lines_1'!$Q$4:$Q$26,0),0)</f>
        <v>White Plains</v>
      </c>
      <c r="E297" s="344">
        <f ca="1">OFFSET('Zip Code Lines_1'!$W$3,MATCH('Zip Code Lines_1'!C297,'Zip Code Lines_1'!$Q$4:$Q$26,0),0)</f>
        <v>13.5</v>
      </c>
      <c r="F297" s="344">
        <f ca="1">OFFSET('Zip Code Lines_1'!$Z$3,MATCH('Zip Code Lines_1'!C297,'Zip Code Lines_1'!$Q$4:$Q$26,0),0)</f>
        <v>86.4</v>
      </c>
      <c r="G297" s="342">
        <f ca="1">OFFSET('Zip Code Lines_1'!$AC$3,MATCH('Zip Code Lines_1'!C297,'Zip Code Lines_1'!$Q$4:$Q$26,0),0)</f>
        <v>6</v>
      </c>
      <c r="H297" s="342">
        <v>10927</v>
      </c>
    </row>
    <row r="298" spans="2:8" x14ac:dyDescent="0.25">
      <c r="B298" s="342">
        <v>10928</v>
      </c>
      <c r="C298" s="343" t="s">
        <v>563</v>
      </c>
      <c r="D298" s="343" t="str">
        <f ca="1">OFFSET('Zip Code Lines_1'!$U$3,MATCH('Zip Code Lines_1'!C298,'Zip Code Lines_1'!$Q$4:$Q$26,0),0)</f>
        <v>Poughkeepsie</v>
      </c>
      <c r="E298" s="344">
        <f ca="1">OFFSET('Zip Code Lines_1'!$W$3,MATCH('Zip Code Lines_1'!C298,'Zip Code Lines_1'!$Q$4:$Q$26,0),0)</f>
        <v>8.4</v>
      </c>
      <c r="F298" s="344">
        <f ca="1">OFFSET('Zip Code Lines_1'!$Z$3,MATCH('Zip Code Lines_1'!C298,'Zip Code Lines_1'!$Q$4:$Q$26,0),0)</f>
        <v>88.4</v>
      </c>
      <c r="G298" s="342">
        <f ca="1">OFFSET('Zip Code Lines_1'!$AC$3,MATCH('Zip Code Lines_1'!C298,'Zip Code Lines_1'!$Q$4:$Q$26,0),0)</f>
        <v>12</v>
      </c>
      <c r="H298" s="342">
        <v>10928</v>
      </c>
    </row>
    <row r="299" spans="2:8" x14ac:dyDescent="0.25">
      <c r="B299" s="342">
        <v>10930</v>
      </c>
      <c r="C299" s="343" t="s">
        <v>563</v>
      </c>
      <c r="D299" s="343" t="str">
        <f ca="1">OFFSET('Zip Code Lines_1'!$U$3,MATCH('Zip Code Lines_1'!C299,'Zip Code Lines_1'!$Q$4:$Q$26,0),0)</f>
        <v>Poughkeepsie</v>
      </c>
      <c r="E299" s="344">
        <f ca="1">OFFSET('Zip Code Lines_1'!$W$3,MATCH('Zip Code Lines_1'!C299,'Zip Code Lines_1'!$Q$4:$Q$26,0),0)</f>
        <v>8.4</v>
      </c>
      <c r="F299" s="344">
        <f ca="1">OFFSET('Zip Code Lines_1'!$Z$3,MATCH('Zip Code Lines_1'!C299,'Zip Code Lines_1'!$Q$4:$Q$26,0),0)</f>
        <v>88.4</v>
      </c>
      <c r="G299" s="342">
        <f ca="1">OFFSET('Zip Code Lines_1'!$AC$3,MATCH('Zip Code Lines_1'!C299,'Zip Code Lines_1'!$Q$4:$Q$26,0),0)</f>
        <v>12</v>
      </c>
      <c r="H299" s="342">
        <v>10930</v>
      </c>
    </row>
    <row r="300" spans="2:8" x14ac:dyDescent="0.25">
      <c r="B300" s="342">
        <v>10931</v>
      </c>
      <c r="C300" s="343" t="s">
        <v>575</v>
      </c>
      <c r="D300" s="343" t="str">
        <f ca="1">OFFSET('Zip Code Lines_1'!$U$3,MATCH('Zip Code Lines_1'!C300,'Zip Code Lines_1'!$Q$4:$Q$26,0),0)</f>
        <v>White Plains</v>
      </c>
      <c r="E300" s="344">
        <f ca="1">OFFSET('Zip Code Lines_1'!$W$3,MATCH('Zip Code Lines_1'!C300,'Zip Code Lines_1'!$Q$4:$Q$26,0),0)</f>
        <v>13.5</v>
      </c>
      <c r="F300" s="344">
        <f ca="1">OFFSET('Zip Code Lines_1'!$Z$3,MATCH('Zip Code Lines_1'!C300,'Zip Code Lines_1'!$Q$4:$Q$26,0),0)</f>
        <v>86.4</v>
      </c>
      <c r="G300" s="342">
        <f ca="1">OFFSET('Zip Code Lines_1'!$AC$3,MATCH('Zip Code Lines_1'!C300,'Zip Code Lines_1'!$Q$4:$Q$26,0),0)</f>
        <v>6</v>
      </c>
      <c r="H300" s="342">
        <v>10931</v>
      </c>
    </row>
    <row r="301" spans="2:8" x14ac:dyDescent="0.25">
      <c r="B301" s="342">
        <v>10932</v>
      </c>
      <c r="C301" s="343" t="s">
        <v>563</v>
      </c>
      <c r="D301" s="343" t="str">
        <f ca="1">OFFSET('Zip Code Lines_1'!$U$3,MATCH('Zip Code Lines_1'!C301,'Zip Code Lines_1'!$Q$4:$Q$26,0),0)</f>
        <v>Poughkeepsie</v>
      </c>
      <c r="E301" s="344">
        <f ca="1">OFFSET('Zip Code Lines_1'!$W$3,MATCH('Zip Code Lines_1'!C301,'Zip Code Lines_1'!$Q$4:$Q$26,0),0)</f>
        <v>8.4</v>
      </c>
      <c r="F301" s="344">
        <f ca="1">OFFSET('Zip Code Lines_1'!$Z$3,MATCH('Zip Code Lines_1'!C301,'Zip Code Lines_1'!$Q$4:$Q$26,0),0)</f>
        <v>88.4</v>
      </c>
      <c r="G301" s="342">
        <f ca="1">OFFSET('Zip Code Lines_1'!$AC$3,MATCH('Zip Code Lines_1'!C301,'Zip Code Lines_1'!$Q$4:$Q$26,0),0)</f>
        <v>12</v>
      </c>
      <c r="H301" s="342">
        <v>10932</v>
      </c>
    </row>
    <row r="302" spans="2:8" x14ac:dyDescent="0.25">
      <c r="B302" s="342">
        <v>10933</v>
      </c>
      <c r="C302" s="343" t="s">
        <v>563</v>
      </c>
      <c r="D302" s="343" t="str">
        <f ca="1">OFFSET('Zip Code Lines_1'!$U$3,MATCH('Zip Code Lines_1'!C302,'Zip Code Lines_1'!$Q$4:$Q$26,0),0)</f>
        <v>Poughkeepsie</v>
      </c>
      <c r="E302" s="344">
        <f ca="1">OFFSET('Zip Code Lines_1'!$W$3,MATCH('Zip Code Lines_1'!C302,'Zip Code Lines_1'!$Q$4:$Q$26,0),0)</f>
        <v>8.4</v>
      </c>
      <c r="F302" s="344">
        <f ca="1">OFFSET('Zip Code Lines_1'!$Z$3,MATCH('Zip Code Lines_1'!C302,'Zip Code Lines_1'!$Q$4:$Q$26,0),0)</f>
        <v>88.4</v>
      </c>
      <c r="G302" s="342">
        <f ca="1">OFFSET('Zip Code Lines_1'!$AC$3,MATCH('Zip Code Lines_1'!C302,'Zip Code Lines_1'!$Q$4:$Q$26,0),0)</f>
        <v>12</v>
      </c>
      <c r="H302" s="342">
        <v>10933</v>
      </c>
    </row>
    <row r="303" spans="2:8" x14ac:dyDescent="0.25">
      <c r="B303" s="342">
        <v>10940</v>
      </c>
      <c r="C303" s="343" t="s">
        <v>563</v>
      </c>
      <c r="D303" s="343" t="str">
        <f ca="1">OFFSET('Zip Code Lines_1'!$U$3,MATCH('Zip Code Lines_1'!C303,'Zip Code Lines_1'!$Q$4:$Q$26,0),0)</f>
        <v>Poughkeepsie</v>
      </c>
      <c r="E303" s="344">
        <f ca="1">OFFSET('Zip Code Lines_1'!$W$3,MATCH('Zip Code Lines_1'!C303,'Zip Code Lines_1'!$Q$4:$Q$26,0),0)</f>
        <v>8.4</v>
      </c>
      <c r="F303" s="344">
        <f ca="1">OFFSET('Zip Code Lines_1'!$Z$3,MATCH('Zip Code Lines_1'!C303,'Zip Code Lines_1'!$Q$4:$Q$26,0),0)</f>
        <v>88.4</v>
      </c>
      <c r="G303" s="342">
        <f ca="1">OFFSET('Zip Code Lines_1'!$AC$3,MATCH('Zip Code Lines_1'!C303,'Zip Code Lines_1'!$Q$4:$Q$26,0),0)</f>
        <v>12</v>
      </c>
      <c r="H303" s="342">
        <v>10940</v>
      </c>
    </row>
    <row r="304" spans="2:8" x14ac:dyDescent="0.25">
      <c r="B304" s="342">
        <v>10941</v>
      </c>
      <c r="C304" s="343" t="s">
        <v>563</v>
      </c>
      <c r="D304" s="343" t="str">
        <f ca="1">OFFSET('Zip Code Lines_1'!$U$3,MATCH('Zip Code Lines_1'!C304,'Zip Code Lines_1'!$Q$4:$Q$26,0),0)</f>
        <v>Poughkeepsie</v>
      </c>
      <c r="E304" s="344">
        <f ca="1">OFFSET('Zip Code Lines_1'!$W$3,MATCH('Zip Code Lines_1'!C304,'Zip Code Lines_1'!$Q$4:$Q$26,0),0)</f>
        <v>8.4</v>
      </c>
      <c r="F304" s="344">
        <f ca="1">OFFSET('Zip Code Lines_1'!$Z$3,MATCH('Zip Code Lines_1'!C304,'Zip Code Lines_1'!$Q$4:$Q$26,0),0)</f>
        <v>88.4</v>
      </c>
      <c r="G304" s="342">
        <f ca="1">OFFSET('Zip Code Lines_1'!$AC$3,MATCH('Zip Code Lines_1'!C304,'Zip Code Lines_1'!$Q$4:$Q$26,0),0)</f>
        <v>12</v>
      </c>
      <c r="H304" s="342">
        <v>10941</v>
      </c>
    </row>
    <row r="305" spans="2:8" x14ac:dyDescent="0.25">
      <c r="B305" s="342">
        <v>10949</v>
      </c>
      <c r="C305" s="343" t="s">
        <v>563</v>
      </c>
      <c r="D305" s="343" t="str">
        <f ca="1">OFFSET('Zip Code Lines_1'!$U$3,MATCH('Zip Code Lines_1'!C305,'Zip Code Lines_1'!$Q$4:$Q$26,0),0)</f>
        <v>Poughkeepsie</v>
      </c>
      <c r="E305" s="344">
        <f ca="1">OFFSET('Zip Code Lines_1'!$W$3,MATCH('Zip Code Lines_1'!C305,'Zip Code Lines_1'!$Q$4:$Q$26,0),0)</f>
        <v>8.4</v>
      </c>
      <c r="F305" s="344">
        <f ca="1">OFFSET('Zip Code Lines_1'!$Z$3,MATCH('Zip Code Lines_1'!C305,'Zip Code Lines_1'!$Q$4:$Q$26,0),0)</f>
        <v>88.4</v>
      </c>
      <c r="G305" s="342">
        <f ca="1">OFFSET('Zip Code Lines_1'!$AC$3,MATCH('Zip Code Lines_1'!C305,'Zip Code Lines_1'!$Q$4:$Q$26,0),0)</f>
        <v>12</v>
      </c>
      <c r="H305" s="342">
        <v>10949</v>
      </c>
    </row>
    <row r="306" spans="2:8" x14ac:dyDescent="0.25">
      <c r="B306" s="342">
        <v>10950</v>
      </c>
      <c r="C306" s="343" t="s">
        <v>563</v>
      </c>
      <c r="D306" s="343" t="str">
        <f ca="1">OFFSET('Zip Code Lines_1'!$U$3,MATCH('Zip Code Lines_1'!C306,'Zip Code Lines_1'!$Q$4:$Q$26,0),0)</f>
        <v>Poughkeepsie</v>
      </c>
      <c r="E306" s="344">
        <f ca="1">OFFSET('Zip Code Lines_1'!$W$3,MATCH('Zip Code Lines_1'!C306,'Zip Code Lines_1'!$Q$4:$Q$26,0),0)</f>
        <v>8.4</v>
      </c>
      <c r="F306" s="344">
        <f ca="1">OFFSET('Zip Code Lines_1'!$Z$3,MATCH('Zip Code Lines_1'!C306,'Zip Code Lines_1'!$Q$4:$Q$26,0),0)</f>
        <v>88.4</v>
      </c>
      <c r="G306" s="342">
        <f ca="1">OFFSET('Zip Code Lines_1'!$AC$3,MATCH('Zip Code Lines_1'!C306,'Zip Code Lines_1'!$Q$4:$Q$26,0),0)</f>
        <v>12</v>
      </c>
      <c r="H306" s="342">
        <v>10950</v>
      </c>
    </row>
    <row r="307" spans="2:8" x14ac:dyDescent="0.25">
      <c r="B307" s="342">
        <v>10952</v>
      </c>
      <c r="C307" s="343" t="s">
        <v>575</v>
      </c>
      <c r="D307" s="343" t="str">
        <f ca="1">OFFSET('Zip Code Lines_1'!$U$3,MATCH('Zip Code Lines_1'!C307,'Zip Code Lines_1'!$Q$4:$Q$26,0),0)</f>
        <v>White Plains</v>
      </c>
      <c r="E307" s="344">
        <f ca="1">OFFSET('Zip Code Lines_1'!$W$3,MATCH('Zip Code Lines_1'!C307,'Zip Code Lines_1'!$Q$4:$Q$26,0),0)</f>
        <v>13.5</v>
      </c>
      <c r="F307" s="344">
        <f ca="1">OFFSET('Zip Code Lines_1'!$Z$3,MATCH('Zip Code Lines_1'!C307,'Zip Code Lines_1'!$Q$4:$Q$26,0),0)</f>
        <v>86.4</v>
      </c>
      <c r="G307" s="342">
        <f ca="1">OFFSET('Zip Code Lines_1'!$AC$3,MATCH('Zip Code Lines_1'!C307,'Zip Code Lines_1'!$Q$4:$Q$26,0),0)</f>
        <v>6</v>
      </c>
      <c r="H307" s="342">
        <v>10952</v>
      </c>
    </row>
    <row r="308" spans="2:8" x14ac:dyDescent="0.25">
      <c r="B308" s="342">
        <v>10953</v>
      </c>
      <c r="C308" s="343" t="s">
        <v>563</v>
      </c>
      <c r="D308" s="343" t="str">
        <f ca="1">OFFSET('Zip Code Lines_1'!$U$3,MATCH('Zip Code Lines_1'!C308,'Zip Code Lines_1'!$Q$4:$Q$26,0),0)</f>
        <v>Poughkeepsie</v>
      </c>
      <c r="E308" s="344">
        <f ca="1">OFFSET('Zip Code Lines_1'!$W$3,MATCH('Zip Code Lines_1'!C308,'Zip Code Lines_1'!$Q$4:$Q$26,0),0)</f>
        <v>8.4</v>
      </c>
      <c r="F308" s="344">
        <f ca="1">OFFSET('Zip Code Lines_1'!$Z$3,MATCH('Zip Code Lines_1'!C308,'Zip Code Lines_1'!$Q$4:$Q$26,0),0)</f>
        <v>88.4</v>
      </c>
      <c r="G308" s="342">
        <f ca="1">OFFSET('Zip Code Lines_1'!$AC$3,MATCH('Zip Code Lines_1'!C308,'Zip Code Lines_1'!$Q$4:$Q$26,0),0)</f>
        <v>12</v>
      </c>
      <c r="H308" s="342">
        <v>10953</v>
      </c>
    </row>
    <row r="309" spans="2:8" x14ac:dyDescent="0.25">
      <c r="B309" s="342">
        <v>10954</v>
      </c>
      <c r="C309" s="343" t="s">
        <v>575</v>
      </c>
      <c r="D309" s="343" t="str">
        <f ca="1">OFFSET('Zip Code Lines_1'!$U$3,MATCH('Zip Code Lines_1'!C309,'Zip Code Lines_1'!$Q$4:$Q$26,0),0)</f>
        <v>White Plains</v>
      </c>
      <c r="E309" s="344">
        <f ca="1">OFFSET('Zip Code Lines_1'!$W$3,MATCH('Zip Code Lines_1'!C309,'Zip Code Lines_1'!$Q$4:$Q$26,0),0)</f>
        <v>13.5</v>
      </c>
      <c r="F309" s="344">
        <f ca="1">OFFSET('Zip Code Lines_1'!$Z$3,MATCH('Zip Code Lines_1'!C309,'Zip Code Lines_1'!$Q$4:$Q$26,0),0)</f>
        <v>86.4</v>
      </c>
      <c r="G309" s="342">
        <f ca="1">OFFSET('Zip Code Lines_1'!$AC$3,MATCH('Zip Code Lines_1'!C309,'Zip Code Lines_1'!$Q$4:$Q$26,0),0)</f>
        <v>6</v>
      </c>
      <c r="H309" s="342">
        <v>10954</v>
      </c>
    </row>
    <row r="310" spans="2:8" x14ac:dyDescent="0.25">
      <c r="B310" s="342">
        <v>10956</v>
      </c>
      <c r="C310" s="343" t="s">
        <v>575</v>
      </c>
      <c r="D310" s="343" t="str">
        <f ca="1">OFFSET('Zip Code Lines_1'!$U$3,MATCH('Zip Code Lines_1'!C310,'Zip Code Lines_1'!$Q$4:$Q$26,0),0)</f>
        <v>White Plains</v>
      </c>
      <c r="E310" s="344">
        <f ca="1">OFFSET('Zip Code Lines_1'!$W$3,MATCH('Zip Code Lines_1'!C310,'Zip Code Lines_1'!$Q$4:$Q$26,0),0)</f>
        <v>13.5</v>
      </c>
      <c r="F310" s="344">
        <f ca="1">OFFSET('Zip Code Lines_1'!$Z$3,MATCH('Zip Code Lines_1'!C310,'Zip Code Lines_1'!$Q$4:$Q$26,0),0)</f>
        <v>86.4</v>
      </c>
      <c r="G310" s="342">
        <f ca="1">OFFSET('Zip Code Lines_1'!$AC$3,MATCH('Zip Code Lines_1'!C310,'Zip Code Lines_1'!$Q$4:$Q$26,0),0)</f>
        <v>6</v>
      </c>
      <c r="H310" s="342">
        <v>10956</v>
      </c>
    </row>
    <row r="311" spans="2:8" x14ac:dyDescent="0.25">
      <c r="B311" s="342">
        <v>10958</v>
      </c>
      <c r="C311" s="343" t="s">
        <v>563</v>
      </c>
      <c r="D311" s="343" t="str">
        <f ca="1">OFFSET('Zip Code Lines_1'!$U$3,MATCH('Zip Code Lines_1'!C311,'Zip Code Lines_1'!$Q$4:$Q$26,0),0)</f>
        <v>Poughkeepsie</v>
      </c>
      <c r="E311" s="344">
        <f ca="1">OFFSET('Zip Code Lines_1'!$W$3,MATCH('Zip Code Lines_1'!C311,'Zip Code Lines_1'!$Q$4:$Q$26,0),0)</f>
        <v>8.4</v>
      </c>
      <c r="F311" s="344">
        <f ca="1">OFFSET('Zip Code Lines_1'!$Z$3,MATCH('Zip Code Lines_1'!C311,'Zip Code Lines_1'!$Q$4:$Q$26,0),0)</f>
        <v>88.4</v>
      </c>
      <c r="G311" s="342">
        <f ca="1">OFFSET('Zip Code Lines_1'!$AC$3,MATCH('Zip Code Lines_1'!C311,'Zip Code Lines_1'!$Q$4:$Q$26,0),0)</f>
        <v>12</v>
      </c>
      <c r="H311" s="342">
        <v>10958</v>
      </c>
    </row>
    <row r="312" spans="2:8" x14ac:dyDescent="0.25">
      <c r="B312" s="342">
        <v>10959</v>
      </c>
      <c r="C312" s="343" t="s">
        <v>563</v>
      </c>
      <c r="D312" s="343" t="str">
        <f ca="1">OFFSET('Zip Code Lines_1'!$U$3,MATCH('Zip Code Lines_1'!C312,'Zip Code Lines_1'!$Q$4:$Q$26,0),0)</f>
        <v>Poughkeepsie</v>
      </c>
      <c r="E312" s="344">
        <f ca="1">OFFSET('Zip Code Lines_1'!$W$3,MATCH('Zip Code Lines_1'!C312,'Zip Code Lines_1'!$Q$4:$Q$26,0),0)</f>
        <v>8.4</v>
      </c>
      <c r="F312" s="344">
        <f ca="1">OFFSET('Zip Code Lines_1'!$Z$3,MATCH('Zip Code Lines_1'!C312,'Zip Code Lines_1'!$Q$4:$Q$26,0),0)</f>
        <v>88.4</v>
      </c>
      <c r="G312" s="342">
        <f ca="1">OFFSET('Zip Code Lines_1'!$AC$3,MATCH('Zip Code Lines_1'!C312,'Zip Code Lines_1'!$Q$4:$Q$26,0),0)</f>
        <v>12</v>
      </c>
      <c r="H312" s="342">
        <v>10959</v>
      </c>
    </row>
    <row r="313" spans="2:8" x14ac:dyDescent="0.25">
      <c r="B313" s="342">
        <v>10960</v>
      </c>
      <c r="C313" s="343" t="s">
        <v>575</v>
      </c>
      <c r="D313" s="343" t="str">
        <f ca="1">OFFSET('Zip Code Lines_1'!$U$3,MATCH('Zip Code Lines_1'!C313,'Zip Code Lines_1'!$Q$4:$Q$26,0),0)</f>
        <v>White Plains</v>
      </c>
      <c r="E313" s="344">
        <f ca="1">OFFSET('Zip Code Lines_1'!$W$3,MATCH('Zip Code Lines_1'!C313,'Zip Code Lines_1'!$Q$4:$Q$26,0),0)</f>
        <v>13.5</v>
      </c>
      <c r="F313" s="344">
        <f ca="1">OFFSET('Zip Code Lines_1'!$Z$3,MATCH('Zip Code Lines_1'!C313,'Zip Code Lines_1'!$Q$4:$Q$26,0),0)</f>
        <v>86.4</v>
      </c>
      <c r="G313" s="342">
        <f ca="1">OFFSET('Zip Code Lines_1'!$AC$3,MATCH('Zip Code Lines_1'!C313,'Zip Code Lines_1'!$Q$4:$Q$26,0),0)</f>
        <v>6</v>
      </c>
      <c r="H313" s="342">
        <v>10960</v>
      </c>
    </row>
    <row r="314" spans="2:8" x14ac:dyDescent="0.25">
      <c r="B314" s="342">
        <v>10962</v>
      </c>
      <c r="C314" s="343" t="s">
        <v>575</v>
      </c>
      <c r="D314" s="343" t="str">
        <f ca="1">OFFSET('Zip Code Lines_1'!$U$3,MATCH('Zip Code Lines_1'!C314,'Zip Code Lines_1'!$Q$4:$Q$26,0),0)</f>
        <v>White Plains</v>
      </c>
      <c r="E314" s="344">
        <f ca="1">OFFSET('Zip Code Lines_1'!$W$3,MATCH('Zip Code Lines_1'!C314,'Zip Code Lines_1'!$Q$4:$Q$26,0),0)</f>
        <v>13.5</v>
      </c>
      <c r="F314" s="344">
        <f ca="1">OFFSET('Zip Code Lines_1'!$Z$3,MATCH('Zip Code Lines_1'!C314,'Zip Code Lines_1'!$Q$4:$Q$26,0),0)</f>
        <v>86.4</v>
      </c>
      <c r="G314" s="342">
        <f ca="1">OFFSET('Zip Code Lines_1'!$AC$3,MATCH('Zip Code Lines_1'!C314,'Zip Code Lines_1'!$Q$4:$Q$26,0),0)</f>
        <v>6</v>
      </c>
      <c r="H314" s="342">
        <v>10962</v>
      </c>
    </row>
    <row r="315" spans="2:8" x14ac:dyDescent="0.25">
      <c r="B315" s="342">
        <v>10963</v>
      </c>
      <c r="C315" s="343" t="s">
        <v>563</v>
      </c>
      <c r="D315" s="343" t="str">
        <f ca="1">OFFSET('Zip Code Lines_1'!$U$3,MATCH('Zip Code Lines_1'!C315,'Zip Code Lines_1'!$Q$4:$Q$26,0),0)</f>
        <v>Poughkeepsie</v>
      </c>
      <c r="E315" s="344">
        <f ca="1">OFFSET('Zip Code Lines_1'!$W$3,MATCH('Zip Code Lines_1'!C315,'Zip Code Lines_1'!$Q$4:$Q$26,0),0)</f>
        <v>8.4</v>
      </c>
      <c r="F315" s="344">
        <f ca="1">OFFSET('Zip Code Lines_1'!$Z$3,MATCH('Zip Code Lines_1'!C315,'Zip Code Lines_1'!$Q$4:$Q$26,0),0)</f>
        <v>88.4</v>
      </c>
      <c r="G315" s="342">
        <f ca="1">OFFSET('Zip Code Lines_1'!$AC$3,MATCH('Zip Code Lines_1'!C315,'Zip Code Lines_1'!$Q$4:$Q$26,0),0)</f>
        <v>12</v>
      </c>
      <c r="H315" s="342">
        <v>10963</v>
      </c>
    </row>
    <row r="316" spans="2:8" x14ac:dyDescent="0.25">
      <c r="B316" s="342">
        <v>10964</v>
      </c>
      <c r="C316" s="343" t="s">
        <v>575</v>
      </c>
      <c r="D316" s="343" t="str">
        <f ca="1">OFFSET('Zip Code Lines_1'!$U$3,MATCH('Zip Code Lines_1'!C316,'Zip Code Lines_1'!$Q$4:$Q$26,0),0)</f>
        <v>White Plains</v>
      </c>
      <c r="E316" s="344">
        <f ca="1">OFFSET('Zip Code Lines_1'!$W$3,MATCH('Zip Code Lines_1'!C316,'Zip Code Lines_1'!$Q$4:$Q$26,0),0)</f>
        <v>13.5</v>
      </c>
      <c r="F316" s="344">
        <f ca="1">OFFSET('Zip Code Lines_1'!$Z$3,MATCH('Zip Code Lines_1'!C316,'Zip Code Lines_1'!$Q$4:$Q$26,0),0)</f>
        <v>86.4</v>
      </c>
      <c r="G316" s="342">
        <f ca="1">OFFSET('Zip Code Lines_1'!$AC$3,MATCH('Zip Code Lines_1'!C316,'Zip Code Lines_1'!$Q$4:$Q$26,0),0)</f>
        <v>6</v>
      </c>
      <c r="H316" s="342">
        <v>10964</v>
      </c>
    </row>
    <row r="317" spans="2:8" x14ac:dyDescent="0.25">
      <c r="B317" s="342">
        <v>10965</v>
      </c>
      <c r="C317" s="343" t="s">
        <v>575</v>
      </c>
      <c r="D317" s="343" t="str">
        <f ca="1">OFFSET('Zip Code Lines_1'!$U$3,MATCH('Zip Code Lines_1'!C317,'Zip Code Lines_1'!$Q$4:$Q$26,0),0)</f>
        <v>White Plains</v>
      </c>
      <c r="E317" s="344">
        <f ca="1">OFFSET('Zip Code Lines_1'!$W$3,MATCH('Zip Code Lines_1'!C317,'Zip Code Lines_1'!$Q$4:$Q$26,0),0)</f>
        <v>13.5</v>
      </c>
      <c r="F317" s="344">
        <f ca="1">OFFSET('Zip Code Lines_1'!$Z$3,MATCH('Zip Code Lines_1'!C317,'Zip Code Lines_1'!$Q$4:$Q$26,0),0)</f>
        <v>86.4</v>
      </c>
      <c r="G317" s="342">
        <f ca="1">OFFSET('Zip Code Lines_1'!$AC$3,MATCH('Zip Code Lines_1'!C317,'Zip Code Lines_1'!$Q$4:$Q$26,0),0)</f>
        <v>6</v>
      </c>
      <c r="H317" s="342">
        <v>10965</v>
      </c>
    </row>
    <row r="318" spans="2:8" x14ac:dyDescent="0.25">
      <c r="B318" s="342">
        <v>10968</v>
      </c>
      <c r="C318" s="343" t="s">
        <v>575</v>
      </c>
      <c r="D318" s="343" t="str">
        <f ca="1">OFFSET('Zip Code Lines_1'!$U$3,MATCH('Zip Code Lines_1'!C318,'Zip Code Lines_1'!$Q$4:$Q$26,0),0)</f>
        <v>White Plains</v>
      </c>
      <c r="E318" s="344">
        <f ca="1">OFFSET('Zip Code Lines_1'!$W$3,MATCH('Zip Code Lines_1'!C318,'Zip Code Lines_1'!$Q$4:$Q$26,0),0)</f>
        <v>13.5</v>
      </c>
      <c r="F318" s="344">
        <f ca="1">OFFSET('Zip Code Lines_1'!$Z$3,MATCH('Zip Code Lines_1'!C318,'Zip Code Lines_1'!$Q$4:$Q$26,0),0)</f>
        <v>86.4</v>
      </c>
      <c r="G318" s="342">
        <f ca="1">OFFSET('Zip Code Lines_1'!$AC$3,MATCH('Zip Code Lines_1'!C318,'Zip Code Lines_1'!$Q$4:$Q$26,0),0)</f>
        <v>6</v>
      </c>
      <c r="H318" s="342">
        <v>10968</v>
      </c>
    </row>
    <row r="319" spans="2:8" x14ac:dyDescent="0.25">
      <c r="B319" s="342">
        <v>10969</v>
      </c>
      <c r="C319" s="343" t="s">
        <v>563</v>
      </c>
      <c r="D319" s="343" t="str">
        <f ca="1">OFFSET('Zip Code Lines_1'!$U$3,MATCH('Zip Code Lines_1'!C319,'Zip Code Lines_1'!$Q$4:$Q$26,0),0)</f>
        <v>Poughkeepsie</v>
      </c>
      <c r="E319" s="344">
        <f ca="1">OFFSET('Zip Code Lines_1'!$W$3,MATCH('Zip Code Lines_1'!C319,'Zip Code Lines_1'!$Q$4:$Q$26,0),0)</f>
        <v>8.4</v>
      </c>
      <c r="F319" s="344">
        <f ca="1">OFFSET('Zip Code Lines_1'!$Z$3,MATCH('Zip Code Lines_1'!C319,'Zip Code Lines_1'!$Q$4:$Q$26,0),0)</f>
        <v>88.4</v>
      </c>
      <c r="G319" s="342">
        <f ca="1">OFFSET('Zip Code Lines_1'!$AC$3,MATCH('Zip Code Lines_1'!C319,'Zip Code Lines_1'!$Q$4:$Q$26,0),0)</f>
        <v>12</v>
      </c>
      <c r="H319" s="342">
        <v>10969</v>
      </c>
    </row>
    <row r="320" spans="2:8" x14ac:dyDescent="0.25">
      <c r="B320" s="342">
        <v>10970</v>
      </c>
      <c r="C320" s="343" t="s">
        <v>575</v>
      </c>
      <c r="D320" s="343" t="str">
        <f ca="1">OFFSET('Zip Code Lines_1'!$U$3,MATCH('Zip Code Lines_1'!C320,'Zip Code Lines_1'!$Q$4:$Q$26,0),0)</f>
        <v>White Plains</v>
      </c>
      <c r="E320" s="344">
        <f ca="1">OFFSET('Zip Code Lines_1'!$W$3,MATCH('Zip Code Lines_1'!C320,'Zip Code Lines_1'!$Q$4:$Q$26,0),0)</f>
        <v>13.5</v>
      </c>
      <c r="F320" s="344">
        <f ca="1">OFFSET('Zip Code Lines_1'!$Z$3,MATCH('Zip Code Lines_1'!C320,'Zip Code Lines_1'!$Q$4:$Q$26,0),0)</f>
        <v>86.4</v>
      </c>
      <c r="G320" s="342">
        <f ca="1">OFFSET('Zip Code Lines_1'!$AC$3,MATCH('Zip Code Lines_1'!C320,'Zip Code Lines_1'!$Q$4:$Q$26,0),0)</f>
        <v>6</v>
      </c>
      <c r="H320" s="342">
        <v>10970</v>
      </c>
    </row>
    <row r="321" spans="2:8" x14ac:dyDescent="0.25">
      <c r="B321" s="342">
        <v>10973</v>
      </c>
      <c r="C321" s="343" t="s">
        <v>563</v>
      </c>
      <c r="D321" s="343" t="str">
        <f ca="1">OFFSET('Zip Code Lines_1'!$U$3,MATCH('Zip Code Lines_1'!C321,'Zip Code Lines_1'!$Q$4:$Q$26,0),0)</f>
        <v>Poughkeepsie</v>
      </c>
      <c r="E321" s="344">
        <f ca="1">OFFSET('Zip Code Lines_1'!$W$3,MATCH('Zip Code Lines_1'!C321,'Zip Code Lines_1'!$Q$4:$Q$26,0),0)</f>
        <v>8.4</v>
      </c>
      <c r="F321" s="344">
        <f ca="1">OFFSET('Zip Code Lines_1'!$Z$3,MATCH('Zip Code Lines_1'!C321,'Zip Code Lines_1'!$Q$4:$Q$26,0),0)</f>
        <v>88.4</v>
      </c>
      <c r="G321" s="342">
        <f ca="1">OFFSET('Zip Code Lines_1'!$AC$3,MATCH('Zip Code Lines_1'!C321,'Zip Code Lines_1'!$Q$4:$Q$26,0),0)</f>
        <v>12</v>
      </c>
      <c r="H321" s="342">
        <v>10973</v>
      </c>
    </row>
    <row r="322" spans="2:8" x14ac:dyDescent="0.25">
      <c r="B322" s="342">
        <v>10974</v>
      </c>
      <c r="C322" s="343" t="s">
        <v>575</v>
      </c>
      <c r="D322" s="343" t="str">
        <f ca="1">OFFSET('Zip Code Lines_1'!$U$3,MATCH('Zip Code Lines_1'!C322,'Zip Code Lines_1'!$Q$4:$Q$26,0),0)</f>
        <v>White Plains</v>
      </c>
      <c r="E322" s="344">
        <f ca="1">OFFSET('Zip Code Lines_1'!$W$3,MATCH('Zip Code Lines_1'!C322,'Zip Code Lines_1'!$Q$4:$Q$26,0),0)</f>
        <v>13.5</v>
      </c>
      <c r="F322" s="344">
        <f ca="1">OFFSET('Zip Code Lines_1'!$Z$3,MATCH('Zip Code Lines_1'!C322,'Zip Code Lines_1'!$Q$4:$Q$26,0),0)</f>
        <v>86.4</v>
      </c>
      <c r="G322" s="342">
        <f ca="1">OFFSET('Zip Code Lines_1'!$AC$3,MATCH('Zip Code Lines_1'!C322,'Zip Code Lines_1'!$Q$4:$Q$26,0),0)</f>
        <v>6</v>
      </c>
      <c r="H322" s="342">
        <v>10974</v>
      </c>
    </row>
    <row r="323" spans="2:8" x14ac:dyDescent="0.25">
      <c r="B323" s="342">
        <v>10975</v>
      </c>
      <c r="C323" s="343" t="s">
        <v>563</v>
      </c>
      <c r="D323" s="343" t="str">
        <f ca="1">OFFSET('Zip Code Lines_1'!$U$3,MATCH('Zip Code Lines_1'!C323,'Zip Code Lines_1'!$Q$4:$Q$26,0),0)</f>
        <v>Poughkeepsie</v>
      </c>
      <c r="E323" s="344">
        <f ca="1">OFFSET('Zip Code Lines_1'!$W$3,MATCH('Zip Code Lines_1'!C323,'Zip Code Lines_1'!$Q$4:$Q$26,0),0)</f>
        <v>8.4</v>
      </c>
      <c r="F323" s="344">
        <f ca="1">OFFSET('Zip Code Lines_1'!$Z$3,MATCH('Zip Code Lines_1'!C323,'Zip Code Lines_1'!$Q$4:$Q$26,0),0)</f>
        <v>88.4</v>
      </c>
      <c r="G323" s="342">
        <f ca="1">OFFSET('Zip Code Lines_1'!$AC$3,MATCH('Zip Code Lines_1'!C323,'Zip Code Lines_1'!$Q$4:$Q$26,0),0)</f>
        <v>12</v>
      </c>
      <c r="H323" s="342">
        <v>10975</v>
      </c>
    </row>
    <row r="324" spans="2:8" x14ac:dyDescent="0.25">
      <c r="B324" s="342">
        <v>10976</v>
      </c>
      <c r="C324" s="343" t="s">
        <v>575</v>
      </c>
      <c r="D324" s="343" t="str">
        <f ca="1">OFFSET('Zip Code Lines_1'!$U$3,MATCH('Zip Code Lines_1'!C324,'Zip Code Lines_1'!$Q$4:$Q$26,0),0)</f>
        <v>White Plains</v>
      </c>
      <c r="E324" s="344">
        <f ca="1">OFFSET('Zip Code Lines_1'!$W$3,MATCH('Zip Code Lines_1'!C324,'Zip Code Lines_1'!$Q$4:$Q$26,0),0)</f>
        <v>13.5</v>
      </c>
      <c r="F324" s="344">
        <f ca="1">OFFSET('Zip Code Lines_1'!$Z$3,MATCH('Zip Code Lines_1'!C324,'Zip Code Lines_1'!$Q$4:$Q$26,0),0)</f>
        <v>86.4</v>
      </c>
      <c r="G324" s="342">
        <f ca="1">OFFSET('Zip Code Lines_1'!$AC$3,MATCH('Zip Code Lines_1'!C324,'Zip Code Lines_1'!$Q$4:$Q$26,0),0)</f>
        <v>6</v>
      </c>
      <c r="H324" s="342">
        <v>10976</v>
      </c>
    </row>
    <row r="325" spans="2:8" x14ac:dyDescent="0.25">
      <c r="B325" s="342">
        <v>10977</v>
      </c>
      <c r="C325" s="343" t="s">
        <v>575</v>
      </c>
      <c r="D325" s="343" t="str">
        <f ca="1">OFFSET('Zip Code Lines_1'!$U$3,MATCH('Zip Code Lines_1'!C325,'Zip Code Lines_1'!$Q$4:$Q$26,0),0)</f>
        <v>White Plains</v>
      </c>
      <c r="E325" s="344">
        <f ca="1">OFFSET('Zip Code Lines_1'!$W$3,MATCH('Zip Code Lines_1'!C325,'Zip Code Lines_1'!$Q$4:$Q$26,0),0)</f>
        <v>13.5</v>
      </c>
      <c r="F325" s="344">
        <f ca="1">OFFSET('Zip Code Lines_1'!$Z$3,MATCH('Zip Code Lines_1'!C325,'Zip Code Lines_1'!$Q$4:$Q$26,0),0)</f>
        <v>86.4</v>
      </c>
      <c r="G325" s="342">
        <f ca="1">OFFSET('Zip Code Lines_1'!$AC$3,MATCH('Zip Code Lines_1'!C325,'Zip Code Lines_1'!$Q$4:$Q$26,0),0)</f>
        <v>6</v>
      </c>
      <c r="H325" s="342">
        <v>10977</v>
      </c>
    </row>
    <row r="326" spans="2:8" x14ac:dyDescent="0.25">
      <c r="B326" s="342">
        <v>10979</v>
      </c>
      <c r="C326" s="343" t="s">
        <v>563</v>
      </c>
      <c r="D326" s="343" t="str">
        <f ca="1">OFFSET('Zip Code Lines_1'!$U$3,MATCH('Zip Code Lines_1'!C326,'Zip Code Lines_1'!$Q$4:$Q$26,0),0)</f>
        <v>Poughkeepsie</v>
      </c>
      <c r="E326" s="344">
        <f ca="1">OFFSET('Zip Code Lines_1'!$W$3,MATCH('Zip Code Lines_1'!C326,'Zip Code Lines_1'!$Q$4:$Q$26,0),0)</f>
        <v>8.4</v>
      </c>
      <c r="F326" s="344">
        <f ca="1">OFFSET('Zip Code Lines_1'!$Z$3,MATCH('Zip Code Lines_1'!C326,'Zip Code Lines_1'!$Q$4:$Q$26,0),0)</f>
        <v>88.4</v>
      </c>
      <c r="G326" s="342">
        <f ca="1">OFFSET('Zip Code Lines_1'!$AC$3,MATCH('Zip Code Lines_1'!C326,'Zip Code Lines_1'!$Q$4:$Q$26,0),0)</f>
        <v>12</v>
      </c>
      <c r="H326" s="342">
        <v>10979</v>
      </c>
    </row>
    <row r="327" spans="2:8" x14ac:dyDescent="0.25">
      <c r="B327" s="342">
        <v>10980</v>
      </c>
      <c r="C327" s="343" t="s">
        <v>575</v>
      </c>
      <c r="D327" s="343" t="str">
        <f ca="1">OFFSET('Zip Code Lines_1'!$U$3,MATCH('Zip Code Lines_1'!C327,'Zip Code Lines_1'!$Q$4:$Q$26,0),0)</f>
        <v>White Plains</v>
      </c>
      <c r="E327" s="344">
        <f ca="1">OFFSET('Zip Code Lines_1'!$W$3,MATCH('Zip Code Lines_1'!C327,'Zip Code Lines_1'!$Q$4:$Q$26,0),0)</f>
        <v>13.5</v>
      </c>
      <c r="F327" s="344">
        <f ca="1">OFFSET('Zip Code Lines_1'!$Z$3,MATCH('Zip Code Lines_1'!C327,'Zip Code Lines_1'!$Q$4:$Q$26,0),0)</f>
        <v>86.4</v>
      </c>
      <c r="G327" s="342">
        <f ca="1">OFFSET('Zip Code Lines_1'!$AC$3,MATCH('Zip Code Lines_1'!C327,'Zip Code Lines_1'!$Q$4:$Q$26,0),0)</f>
        <v>6</v>
      </c>
      <c r="H327" s="342">
        <v>10980</v>
      </c>
    </row>
    <row r="328" spans="2:8" x14ac:dyDescent="0.25">
      <c r="B328" s="342">
        <v>10981</v>
      </c>
      <c r="C328" s="343" t="s">
        <v>563</v>
      </c>
      <c r="D328" s="343" t="str">
        <f ca="1">OFFSET('Zip Code Lines_1'!$U$3,MATCH('Zip Code Lines_1'!C328,'Zip Code Lines_1'!$Q$4:$Q$26,0),0)</f>
        <v>Poughkeepsie</v>
      </c>
      <c r="E328" s="344">
        <f ca="1">OFFSET('Zip Code Lines_1'!$W$3,MATCH('Zip Code Lines_1'!C328,'Zip Code Lines_1'!$Q$4:$Q$26,0),0)</f>
        <v>8.4</v>
      </c>
      <c r="F328" s="344">
        <f ca="1">OFFSET('Zip Code Lines_1'!$Z$3,MATCH('Zip Code Lines_1'!C328,'Zip Code Lines_1'!$Q$4:$Q$26,0),0)</f>
        <v>88.4</v>
      </c>
      <c r="G328" s="342">
        <f ca="1">OFFSET('Zip Code Lines_1'!$AC$3,MATCH('Zip Code Lines_1'!C328,'Zip Code Lines_1'!$Q$4:$Q$26,0),0)</f>
        <v>12</v>
      </c>
      <c r="H328" s="342">
        <v>10981</v>
      </c>
    </row>
    <row r="329" spans="2:8" x14ac:dyDescent="0.25">
      <c r="B329" s="342">
        <v>10982</v>
      </c>
      <c r="C329" s="343" t="s">
        <v>575</v>
      </c>
      <c r="D329" s="343" t="str">
        <f ca="1">OFFSET('Zip Code Lines_1'!$U$3,MATCH('Zip Code Lines_1'!C329,'Zip Code Lines_1'!$Q$4:$Q$26,0),0)</f>
        <v>White Plains</v>
      </c>
      <c r="E329" s="344">
        <f ca="1">OFFSET('Zip Code Lines_1'!$W$3,MATCH('Zip Code Lines_1'!C329,'Zip Code Lines_1'!$Q$4:$Q$26,0),0)</f>
        <v>13.5</v>
      </c>
      <c r="F329" s="344">
        <f ca="1">OFFSET('Zip Code Lines_1'!$Z$3,MATCH('Zip Code Lines_1'!C329,'Zip Code Lines_1'!$Q$4:$Q$26,0),0)</f>
        <v>86.4</v>
      </c>
      <c r="G329" s="342">
        <f ca="1">OFFSET('Zip Code Lines_1'!$AC$3,MATCH('Zip Code Lines_1'!C329,'Zip Code Lines_1'!$Q$4:$Q$26,0),0)</f>
        <v>6</v>
      </c>
      <c r="H329" s="342">
        <v>10982</v>
      </c>
    </row>
    <row r="330" spans="2:8" x14ac:dyDescent="0.25">
      <c r="B330" s="342">
        <v>10983</v>
      </c>
      <c r="C330" s="343" t="s">
        <v>575</v>
      </c>
      <c r="D330" s="343" t="str">
        <f ca="1">OFFSET('Zip Code Lines_1'!$U$3,MATCH('Zip Code Lines_1'!C330,'Zip Code Lines_1'!$Q$4:$Q$26,0),0)</f>
        <v>White Plains</v>
      </c>
      <c r="E330" s="344">
        <f ca="1">OFFSET('Zip Code Lines_1'!$W$3,MATCH('Zip Code Lines_1'!C330,'Zip Code Lines_1'!$Q$4:$Q$26,0),0)</f>
        <v>13.5</v>
      </c>
      <c r="F330" s="344">
        <f ca="1">OFFSET('Zip Code Lines_1'!$Z$3,MATCH('Zip Code Lines_1'!C330,'Zip Code Lines_1'!$Q$4:$Q$26,0),0)</f>
        <v>86.4</v>
      </c>
      <c r="G330" s="342">
        <f ca="1">OFFSET('Zip Code Lines_1'!$AC$3,MATCH('Zip Code Lines_1'!C330,'Zip Code Lines_1'!$Q$4:$Q$26,0),0)</f>
        <v>6</v>
      </c>
      <c r="H330" s="342">
        <v>10983</v>
      </c>
    </row>
    <row r="331" spans="2:8" x14ac:dyDescent="0.25">
      <c r="B331" s="342">
        <v>10984</v>
      </c>
      <c r="C331" s="343" t="s">
        <v>575</v>
      </c>
      <c r="D331" s="343" t="str">
        <f ca="1">OFFSET('Zip Code Lines_1'!$U$3,MATCH('Zip Code Lines_1'!C331,'Zip Code Lines_1'!$Q$4:$Q$26,0),0)</f>
        <v>White Plains</v>
      </c>
      <c r="E331" s="344">
        <f ca="1">OFFSET('Zip Code Lines_1'!$W$3,MATCH('Zip Code Lines_1'!C331,'Zip Code Lines_1'!$Q$4:$Q$26,0),0)</f>
        <v>13.5</v>
      </c>
      <c r="F331" s="344">
        <f ca="1">OFFSET('Zip Code Lines_1'!$Z$3,MATCH('Zip Code Lines_1'!C331,'Zip Code Lines_1'!$Q$4:$Q$26,0),0)</f>
        <v>86.4</v>
      </c>
      <c r="G331" s="342">
        <f ca="1">OFFSET('Zip Code Lines_1'!$AC$3,MATCH('Zip Code Lines_1'!C331,'Zip Code Lines_1'!$Q$4:$Q$26,0),0)</f>
        <v>6</v>
      </c>
      <c r="H331" s="342">
        <v>10984</v>
      </c>
    </row>
    <row r="332" spans="2:8" x14ac:dyDescent="0.25">
      <c r="B332" s="342">
        <v>10985</v>
      </c>
      <c r="C332" s="343" t="s">
        <v>563</v>
      </c>
      <c r="D332" s="343" t="str">
        <f ca="1">OFFSET('Zip Code Lines_1'!$U$3,MATCH('Zip Code Lines_1'!C332,'Zip Code Lines_1'!$Q$4:$Q$26,0),0)</f>
        <v>Poughkeepsie</v>
      </c>
      <c r="E332" s="344">
        <f ca="1">OFFSET('Zip Code Lines_1'!$W$3,MATCH('Zip Code Lines_1'!C332,'Zip Code Lines_1'!$Q$4:$Q$26,0),0)</f>
        <v>8.4</v>
      </c>
      <c r="F332" s="344">
        <f ca="1">OFFSET('Zip Code Lines_1'!$Z$3,MATCH('Zip Code Lines_1'!C332,'Zip Code Lines_1'!$Q$4:$Q$26,0),0)</f>
        <v>88.4</v>
      </c>
      <c r="G332" s="342">
        <f ca="1">OFFSET('Zip Code Lines_1'!$AC$3,MATCH('Zip Code Lines_1'!C332,'Zip Code Lines_1'!$Q$4:$Q$26,0),0)</f>
        <v>12</v>
      </c>
      <c r="H332" s="342">
        <v>10985</v>
      </c>
    </row>
    <row r="333" spans="2:8" x14ac:dyDescent="0.25">
      <c r="B333" s="342">
        <v>10986</v>
      </c>
      <c r="C333" s="343" t="s">
        <v>563</v>
      </c>
      <c r="D333" s="343" t="str">
        <f ca="1">OFFSET('Zip Code Lines_1'!$U$3,MATCH('Zip Code Lines_1'!C333,'Zip Code Lines_1'!$Q$4:$Q$26,0),0)</f>
        <v>Poughkeepsie</v>
      </c>
      <c r="E333" s="344">
        <f ca="1">OFFSET('Zip Code Lines_1'!$W$3,MATCH('Zip Code Lines_1'!C333,'Zip Code Lines_1'!$Q$4:$Q$26,0),0)</f>
        <v>8.4</v>
      </c>
      <c r="F333" s="344">
        <f ca="1">OFFSET('Zip Code Lines_1'!$Z$3,MATCH('Zip Code Lines_1'!C333,'Zip Code Lines_1'!$Q$4:$Q$26,0),0)</f>
        <v>88.4</v>
      </c>
      <c r="G333" s="342">
        <f ca="1">OFFSET('Zip Code Lines_1'!$AC$3,MATCH('Zip Code Lines_1'!C333,'Zip Code Lines_1'!$Q$4:$Q$26,0),0)</f>
        <v>12</v>
      </c>
      <c r="H333" s="342">
        <v>10986</v>
      </c>
    </row>
    <row r="334" spans="2:8" x14ac:dyDescent="0.25">
      <c r="B334" s="342">
        <v>10987</v>
      </c>
      <c r="C334" s="343" t="s">
        <v>563</v>
      </c>
      <c r="D334" s="343" t="str">
        <f ca="1">OFFSET('Zip Code Lines_1'!$U$3,MATCH('Zip Code Lines_1'!C334,'Zip Code Lines_1'!$Q$4:$Q$26,0),0)</f>
        <v>Poughkeepsie</v>
      </c>
      <c r="E334" s="344">
        <f ca="1">OFFSET('Zip Code Lines_1'!$W$3,MATCH('Zip Code Lines_1'!C334,'Zip Code Lines_1'!$Q$4:$Q$26,0),0)</f>
        <v>8.4</v>
      </c>
      <c r="F334" s="344">
        <f ca="1">OFFSET('Zip Code Lines_1'!$Z$3,MATCH('Zip Code Lines_1'!C334,'Zip Code Lines_1'!$Q$4:$Q$26,0),0)</f>
        <v>88.4</v>
      </c>
      <c r="G334" s="342">
        <f ca="1">OFFSET('Zip Code Lines_1'!$AC$3,MATCH('Zip Code Lines_1'!C334,'Zip Code Lines_1'!$Q$4:$Q$26,0),0)</f>
        <v>12</v>
      </c>
      <c r="H334" s="342">
        <v>10987</v>
      </c>
    </row>
    <row r="335" spans="2:8" x14ac:dyDescent="0.25">
      <c r="B335" s="342">
        <v>10988</v>
      </c>
      <c r="C335" s="343" t="s">
        <v>563</v>
      </c>
      <c r="D335" s="343" t="str">
        <f ca="1">OFFSET('Zip Code Lines_1'!$U$3,MATCH('Zip Code Lines_1'!C335,'Zip Code Lines_1'!$Q$4:$Q$26,0),0)</f>
        <v>Poughkeepsie</v>
      </c>
      <c r="E335" s="344">
        <f ca="1">OFFSET('Zip Code Lines_1'!$W$3,MATCH('Zip Code Lines_1'!C335,'Zip Code Lines_1'!$Q$4:$Q$26,0),0)</f>
        <v>8.4</v>
      </c>
      <c r="F335" s="344">
        <f ca="1">OFFSET('Zip Code Lines_1'!$Z$3,MATCH('Zip Code Lines_1'!C335,'Zip Code Lines_1'!$Q$4:$Q$26,0),0)</f>
        <v>88.4</v>
      </c>
      <c r="G335" s="342">
        <f ca="1">OFFSET('Zip Code Lines_1'!$AC$3,MATCH('Zip Code Lines_1'!C335,'Zip Code Lines_1'!$Q$4:$Q$26,0),0)</f>
        <v>12</v>
      </c>
      <c r="H335" s="342">
        <v>10988</v>
      </c>
    </row>
    <row r="336" spans="2:8" x14ac:dyDescent="0.25">
      <c r="B336" s="342">
        <v>10989</v>
      </c>
      <c r="C336" s="343" t="s">
        <v>575</v>
      </c>
      <c r="D336" s="343" t="str">
        <f ca="1">OFFSET('Zip Code Lines_1'!$U$3,MATCH('Zip Code Lines_1'!C336,'Zip Code Lines_1'!$Q$4:$Q$26,0),0)</f>
        <v>White Plains</v>
      </c>
      <c r="E336" s="344">
        <f ca="1">OFFSET('Zip Code Lines_1'!$W$3,MATCH('Zip Code Lines_1'!C336,'Zip Code Lines_1'!$Q$4:$Q$26,0),0)</f>
        <v>13.5</v>
      </c>
      <c r="F336" s="344">
        <f ca="1">OFFSET('Zip Code Lines_1'!$Z$3,MATCH('Zip Code Lines_1'!C336,'Zip Code Lines_1'!$Q$4:$Q$26,0),0)</f>
        <v>86.4</v>
      </c>
      <c r="G336" s="342">
        <f ca="1">OFFSET('Zip Code Lines_1'!$AC$3,MATCH('Zip Code Lines_1'!C336,'Zip Code Lines_1'!$Q$4:$Q$26,0),0)</f>
        <v>6</v>
      </c>
      <c r="H336" s="342">
        <v>10989</v>
      </c>
    </row>
    <row r="337" spans="2:8" x14ac:dyDescent="0.25">
      <c r="B337" s="342">
        <v>10990</v>
      </c>
      <c r="C337" s="343" t="s">
        <v>563</v>
      </c>
      <c r="D337" s="343" t="str">
        <f ca="1">OFFSET('Zip Code Lines_1'!$U$3,MATCH('Zip Code Lines_1'!C337,'Zip Code Lines_1'!$Q$4:$Q$26,0),0)</f>
        <v>Poughkeepsie</v>
      </c>
      <c r="E337" s="344">
        <f ca="1">OFFSET('Zip Code Lines_1'!$W$3,MATCH('Zip Code Lines_1'!C337,'Zip Code Lines_1'!$Q$4:$Q$26,0),0)</f>
        <v>8.4</v>
      </c>
      <c r="F337" s="344">
        <f ca="1">OFFSET('Zip Code Lines_1'!$Z$3,MATCH('Zip Code Lines_1'!C337,'Zip Code Lines_1'!$Q$4:$Q$26,0),0)</f>
        <v>88.4</v>
      </c>
      <c r="G337" s="342">
        <f ca="1">OFFSET('Zip Code Lines_1'!$AC$3,MATCH('Zip Code Lines_1'!C337,'Zip Code Lines_1'!$Q$4:$Q$26,0),0)</f>
        <v>12</v>
      </c>
      <c r="H337" s="342">
        <v>10990</v>
      </c>
    </row>
    <row r="338" spans="2:8" x14ac:dyDescent="0.25">
      <c r="B338" s="342">
        <v>10992</v>
      </c>
      <c r="C338" s="343" t="s">
        <v>563</v>
      </c>
      <c r="D338" s="343" t="str">
        <f ca="1">OFFSET('Zip Code Lines_1'!$U$3,MATCH('Zip Code Lines_1'!C338,'Zip Code Lines_1'!$Q$4:$Q$26,0),0)</f>
        <v>Poughkeepsie</v>
      </c>
      <c r="E338" s="344">
        <f ca="1">OFFSET('Zip Code Lines_1'!$W$3,MATCH('Zip Code Lines_1'!C338,'Zip Code Lines_1'!$Q$4:$Q$26,0),0)</f>
        <v>8.4</v>
      </c>
      <c r="F338" s="344">
        <f ca="1">OFFSET('Zip Code Lines_1'!$Z$3,MATCH('Zip Code Lines_1'!C338,'Zip Code Lines_1'!$Q$4:$Q$26,0),0)</f>
        <v>88.4</v>
      </c>
      <c r="G338" s="342">
        <f ca="1">OFFSET('Zip Code Lines_1'!$AC$3,MATCH('Zip Code Lines_1'!C338,'Zip Code Lines_1'!$Q$4:$Q$26,0),0)</f>
        <v>12</v>
      </c>
      <c r="H338" s="342">
        <v>10992</v>
      </c>
    </row>
    <row r="339" spans="2:8" x14ac:dyDescent="0.25">
      <c r="B339" s="342">
        <v>10993</v>
      </c>
      <c r="C339" s="343" t="s">
        <v>575</v>
      </c>
      <c r="D339" s="343" t="str">
        <f ca="1">OFFSET('Zip Code Lines_1'!$U$3,MATCH('Zip Code Lines_1'!C339,'Zip Code Lines_1'!$Q$4:$Q$26,0),0)</f>
        <v>White Plains</v>
      </c>
      <c r="E339" s="344">
        <f ca="1">OFFSET('Zip Code Lines_1'!$W$3,MATCH('Zip Code Lines_1'!C339,'Zip Code Lines_1'!$Q$4:$Q$26,0),0)</f>
        <v>13.5</v>
      </c>
      <c r="F339" s="344">
        <f ca="1">OFFSET('Zip Code Lines_1'!$Z$3,MATCH('Zip Code Lines_1'!C339,'Zip Code Lines_1'!$Q$4:$Q$26,0),0)</f>
        <v>86.4</v>
      </c>
      <c r="G339" s="342">
        <f ca="1">OFFSET('Zip Code Lines_1'!$AC$3,MATCH('Zip Code Lines_1'!C339,'Zip Code Lines_1'!$Q$4:$Q$26,0),0)</f>
        <v>6</v>
      </c>
      <c r="H339" s="342">
        <v>10993</v>
      </c>
    </row>
    <row r="340" spans="2:8" x14ac:dyDescent="0.25">
      <c r="B340" s="342">
        <v>10994</v>
      </c>
      <c r="C340" s="343" t="s">
        <v>575</v>
      </c>
      <c r="D340" s="343" t="str">
        <f ca="1">OFFSET('Zip Code Lines_1'!$U$3,MATCH('Zip Code Lines_1'!C340,'Zip Code Lines_1'!$Q$4:$Q$26,0),0)</f>
        <v>White Plains</v>
      </c>
      <c r="E340" s="344">
        <f ca="1">OFFSET('Zip Code Lines_1'!$W$3,MATCH('Zip Code Lines_1'!C340,'Zip Code Lines_1'!$Q$4:$Q$26,0),0)</f>
        <v>13.5</v>
      </c>
      <c r="F340" s="344">
        <f ca="1">OFFSET('Zip Code Lines_1'!$Z$3,MATCH('Zip Code Lines_1'!C340,'Zip Code Lines_1'!$Q$4:$Q$26,0),0)</f>
        <v>86.4</v>
      </c>
      <c r="G340" s="342">
        <f ca="1">OFFSET('Zip Code Lines_1'!$AC$3,MATCH('Zip Code Lines_1'!C340,'Zip Code Lines_1'!$Q$4:$Q$26,0),0)</f>
        <v>6</v>
      </c>
      <c r="H340" s="342">
        <v>10994</v>
      </c>
    </row>
    <row r="341" spans="2:8" x14ac:dyDescent="0.25">
      <c r="B341" s="342">
        <v>10996</v>
      </c>
      <c r="C341" s="343" t="s">
        <v>563</v>
      </c>
      <c r="D341" s="343" t="str">
        <f ca="1">OFFSET('Zip Code Lines_1'!$U$3,MATCH('Zip Code Lines_1'!C341,'Zip Code Lines_1'!$Q$4:$Q$26,0),0)</f>
        <v>Poughkeepsie</v>
      </c>
      <c r="E341" s="344">
        <f ca="1">OFFSET('Zip Code Lines_1'!$W$3,MATCH('Zip Code Lines_1'!C341,'Zip Code Lines_1'!$Q$4:$Q$26,0),0)</f>
        <v>8.4</v>
      </c>
      <c r="F341" s="344">
        <f ca="1">OFFSET('Zip Code Lines_1'!$Z$3,MATCH('Zip Code Lines_1'!C341,'Zip Code Lines_1'!$Q$4:$Q$26,0),0)</f>
        <v>88.4</v>
      </c>
      <c r="G341" s="342">
        <f ca="1">OFFSET('Zip Code Lines_1'!$AC$3,MATCH('Zip Code Lines_1'!C341,'Zip Code Lines_1'!$Q$4:$Q$26,0),0)</f>
        <v>12</v>
      </c>
      <c r="H341" s="342">
        <v>10996</v>
      </c>
    </row>
    <row r="342" spans="2:8" x14ac:dyDescent="0.25">
      <c r="B342" s="342">
        <v>10997</v>
      </c>
      <c r="C342" s="343" t="s">
        <v>563</v>
      </c>
      <c r="D342" s="343" t="str">
        <f ca="1">OFFSET('Zip Code Lines_1'!$U$3,MATCH('Zip Code Lines_1'!C342,'Zip Code Lines_1'!$Q$4:$Q$26,0),0)</f>
        <v>Poughkeepsie</v>
      </c>
      <c r="E342" s="344">
        <f ca="1">OFFSET('Zip Code Lines_1'!$W$3,MATCH('Zip Code Lines_1'!C342,'Zip Code Lines_1'!$Q$4:$Q$26,0),0)</f>
        <v>8.4</v>
      </c>
      <c r="F342" s="344">
        <f ca="1">OFFSET('Zip Code Lines_1'!$Z$3,MATCH('Zip Code Lines_1'!C342,'Zip Code Lines_1'!$Q$4:$Q$26,0),0)</f>
        <v>88.4</v>
      </c>
      <c r="G342" s="342">
        <f ca="1">OFFSET('Zip Code Lines_1'!$AC$3,MATCH('Zip Code Lines_1'!C342,'Zip Code Lines_1'!$Q$4:$Q$26,0),0)</f>
        <v>12</v>
      </c>
      <c r="H342" s="342">
        <v>10997</v>
      </c>
    </row>
    <row r="343" spans="2:8" x14ac:dyDescent="0.25">
      <c r="B343" s="342">
        <v>10998</v>
      </c>
      <c r="C343" s="343" t="s">
        <v>563</v>
      </c>
      <c r="D343" s="343" t="str">
        <f ca="1">OFFSET('Zip Code Lines_1'!$U$3,MATCH('Zip Code Lines_1'!C343,'Zip Code Lines_1'!$Q$4:$Q$26,0),0)</f>
        <v>Poughkeepsie</v>
      </c>
      <c r="E343" s="344">
        <f ca="1">OFFSET('Zip Code Lines_1'!$W$3,MATCH('Zip Code Lines_1'!C343,'Zip Code Lines_1'!$Q$4:$Q$26,0),0)</f>
        <v>8.4</v>
      </c>
      <c r="F343" s="344">
        <f ca="1">OFFSET('Zip Code Lines_1'!$Z$3,MATCH('Zip Code Lines_1'!C343,'Zip Code Lines_1'!$Q$4:$Q$26,0),0)</f>
        <v>88.4</v>
      </c>
      <c r="G343" s="342">
        <f ca="1">OFFSET('Zip Code Lines_1'!$AC$3,MATCH('Zip Code Lines_1'!C343,'Zip Code Lines_1'!$Q$4:$Q$26,0),0)</f>
        <v>12</v>
      </c>
      <c r="H343" s="342">
        <v>10998</v>
      </c>
    </row>
    <row r="344" spans="2:8" x14ac:dyDescent="0.25">
      <c r="B344" s="342">
        <v>11001</v>
      </c>
      <c r="C344" s="343" t="s">
        <v>535</v>
      </c>
      <c r="D344" s="343" t="str">
        <f ca="1">OFFSET('Zip Code Lines_1'!$U$3,MATCH('Zip Code Lines_1'!C344,'Zip Code Lines_1'!$Q$4:$Q$26,0),0)</f>
        <v>Farmingdale</v>
      </c>
      <c r="E344" s="344">
        <f ca="1">OFFSET('Zip Code Lines_1'!$W$3,MATCH('Zip Code Lines_1'!C344,'Zip Code Lines_1'!$Q$4:$Q$26,0),0)</f>
        <v>17</v>
      </c>
      <c r="F344" s="344">
        <f ca="1">OFFSET('Zip Code Lines_1'!$Z$3,MATCH('Zip Code Lines_1'!C344,'Zip Code Lines_1'!$Q$4:$Q$26,0),0)</f>
        <v>86.3</v>
      </c>
      <c r="G344" s="342">
        <f ca="1">OFFSET('Zip Code Lines_1'!$AC$3,MATCH('Zip Code Lines_1'!C344,'Zip Code Lines_1'!$Q$4:$Q$26,0),0)</f>
        <v>6</v>
      </c>
      <c r="H344" s="342">
        <v>11001</v>
      </c>
    </row>
    <row r="345" spans="2:8" x14ac:dyDescent="0.25">
      <c r="B345" s="342">
        <v>11002</v>
      </c>
      <c r="C345" s="343" t="s">
        <v>535</v>
      </c>
      <c r="D345" s="343" t="str">
        <f ca="1">OFFSET('Zip Code Lines_1'!$U$3,MATCH('Zip Code Lines_1'!C345,'Zip Code Lines_1'!$Q$4:$Q$26,0),0)</f>
        <v>Farmingdale</v>
      </c>
      <c r="E345" s="344">
        <f ca="1">OFFSET('Zip Code Lines_1'!$W$3,MATCH('Zip Code Lines_1'!C345,'Zip Code Lines_1'!$Q$4:$Q$26,0),0)</f>
        <v>17</v>
      </c>
      <c r="F345" s="344">
        <f ca="1">OFFSET('Zip Code Lines_1'!$Z$3,MATCH('Zip Code Lines_1'!C345,'Zip Code Lines_1'!$Q$4:$Q$26,0),0)</f>
        <v>86.3</v>
      </c>
      <c r="G345" s="342">
        <f ca="1">OFFSET('Zip Code Lines_1'!$AC$3,MATCH('Zip Code Lines_1'!C345,'Zip Code Lines_1'!$Q$4:$Q$26,0),0)</f>
        <v>6</v>
      </c>
      <c r="H345" s="342">
        <v>11002</v>
      </c>
    </row>
    <row r="346" spans="2:8" x14ac:dyDescent="0.25">
      <c r="B346" s="342">
        <v>11003</v>
      </c>
      <c r="C346" s="343" t="s">
        <v>555</v>
      </c>
      <c r="D346" s="343" t="str">
        <f ca="1">OFFSET('Zip Code Lines_1'!$U$3,MATCH('Zip Code Lines_1'!C346,'Zip Code Lines_1'!$Q$4:$Q$26,0),0)</f>
        <v>NY - JFK</v>
      </c>
      <c r="E346" s="344">
        <f ca="1">OFFSET('Zip Code Lines_1'!$W$3,MATCH('Zip Code Lines_1'!C346,'Zip Code Lines_1'!$Q$4:$Q$26,0),0)</f>
        <v>18</v>
      </c>
      <c r="F346" s="344">
        <f ca="1">OFFSET('Zip Code Lines_1'!$Z$3,MATCH('Zip Code Lines_1'!C346,'Zip Code Lines_1'!$Q$4:$Q$26,0),0)</f>
        <v>86.6</v>
      </c>
      <c r="G346" s="342">
        <f ca="1">OFFSET('Zip Code Lines_1'!$AC$3,MATCH('Zip Code Lines_1'!C346,'Zip Code Lines_1'!$Q$4:$Q$26,0),0)</f>
        <v>6</v>
      </c>
      <c r="H346" s="342">
        <v>11003</v>
      </c>
    </row>
    <row r="347" spans="2:8" x14ac:dyDescent="0.25">
      <c r="B347" s="342">
        <v>11004</v>
      </c>
      <c r="C347" s="343" t="s">
        <v>535</v>
      </c>
      <c r="D347" s="343" t="str">
        <f ca="1">OFFSET('Zip Code Lines_1'!$U$3,MATCH('Zip Code Lines_1'!C347,'Zip Code Lines_1'!$Q$4:$Q$26,0),0)</f>
        <v>Farmingdale</v>
      </c>
      <c r="E347" s="344">
        <f ca="1">OFFSET('Zip Code Lines_1'!$W$3,MATCH('Zip Code Lines_1'!C347,'Zip Code Lines_1'!$Q$4:$Q$26,0),0)</f>
        <v>17</v>
      </c>
      <c r="F347" s="344">
        <f ca="1">OFFSET('Zip Code Lines_1'!$Z$3,MATCH('Zip Code Lines_1'!C347,'Zip Code Lines_1'!$Q$4:$Q$26,0),0)</f>
        <v>86.3</v>
      </c>
      <c r="G347" s="342">
        <f ca="1">OFFSET('Zip Code Lines_1'!$AC$3,MATCH('Zip Code Lines_1'!C347,'Zip Code Lines_1'!$Q$4:$Q$26,0),0)</f>
        <v>6</v>
      </c>
      <c r="H347" s="342">
        <v>11004</v>
      </c>
    </row>
    <row r="348" spans="2:8" x14ac:dyDescent="0.25">
      <c r="B348" s="342">
        <v>11005</v>
      </c>
      <c r="C348" s="343" t="s">
        <v>535</v>
      </c>
      <c r="D348" s="343" t="str">
        <f ca="1">OFFSET('Zip Code Lines_1'!$U$3,MATCH('Zip Code Lines_1'!C348,'Zip Code Lines_1'!$Q$4:$Q$26,0),0)</f>
        <v>Farmingdale</v>
      </c>
      <c r="E348" s="344">
        <f ca="1">OFFSET('Zip Code Lines_1'!$W$3,MATCH('Zip Code Lines_1'!C348,'Zip Code Lines_1'!$Q$4:$Q$26,0),0)</f>
        <v>17</v>
      </c>
      <c r="F348" s="344">
        <f ca="1">OFFSET('Zip Code Lines_1'!$Z$3,MATCH('Zip Code Lines_1'!C348,'Zip Code Lines_1'!$Q$4:$Q$26,0),0)</f>
        <v>86.3</v>
      </c>
      <c r="G348" s="342">
        <f ca="1">OFFSET('Zip Code Lines_1'!$AC$3,MATCH('Zip Code Lines_1'!C348,'Zip Code Lines_1'!$Q$4:$Q$26,0),0)</f>
        <v>6</v>
      </c>
      <c r="H348" s="342">
        <v>11005</v>
      </c>
    </row>
    <row r="349" spans="2:8" x14ac:dyDescent="0.25">
      <c r="B349" s="342">
        <v>11010</v>
      </c>
      <c r="C349" s="343" t="s">
        <v>535</v>
      </c>
      <c r="D349" s="343" t="str">
        <f ca="1">OFFSET('Zip Code Lines_1'!$U$3,MATCH('Zip Code Lines_1'!C349,'Zip Code Lines_1'!$Q$4:$Q$26,0),0)</f>
        <v>Farmingdale</v>
      </c>
      <c r="E349" s="344">
        <f ca="1">OFFSET('Zip Code Lines_1'!$W$3,MATCH('Zip Code Lines_1'!C349,'Zip Code Lines_1'!$Q$4:$Q$26,0),0)</f>
        <v>17</v>
      </c>
      <c r="F349" s="344">
        <f ca="1">OFFSET('Zip Code Lines_1'!$Z$3,MATCH('Zip Code Lines_1'!C349,'Zip Code Lines_1'!$Q$4:$Q$26,0),0)</f>
        <v>86.3</v>
      </c>
      <c r="G349" s="342">
        <f ca="1">OFFSET('Zip Code Lines_1'!$AC$3,MATCH('Zip Code Lines_1'!C349,'Zip Code Lines_1'!$Q$4:$Q$26,0),0)</f>
        <v>6</v>
      </c>
      <c r="H349" s="342">
        <v>11010</v>
      </c>
    </row>
    <row r="350" spans="2:8" x14ac:dyDescent="0.25">
      <c r="B350" s="342">
        <v>11020</v>
      </c>
      <c r="C350" s="343" t="s">
        <v>535</v>
      </c>
      <c r="D350" s="343" t="str">
        <f ca="1">OFFSET('Zip Code Lines_1'!$U$3,MATCH('Zip Code Lines_1'!C350,'Zip Code Lines_1'!$Q$4:$Q$26,0),0)</f>
        <v>Farmingdale</v>
      </c>
      <c r="E350" s="344">
        <f ca="1">OFFSET('Zip Code Lines_1'!$W$3,MATCH('Zip Code Lines_1'!C350,'Zip Code Lines_1'!$Q$4:$Q$26,0),0)</f>
        <v>17</v>
      </c>
      <c r="F350" s="344">
        <f ca="1">OFFSET('Zip Code Lines_1'!$Z$3,MATCH('Zip Code Lines_1'!C350,'Zip Code Lines_1'!$Q$4:$Q$26,0),0)</f>
        <v>86.3</v>
      </c>
      <c r="G350" s="342">
        <f ca="1">OFFSET('Zip Code Lines_1'!$AC$3,MATCH('Zip Code Lines_1'!C350,'Zip Code Lines_1'!$Q$4:$Q$26,0),0)</f>
        <v>6</v>
      </c>
      <c r="H350" s="342">
        <v>11020</v>
      </c>
    </row>
    <row r="351" spans="2:8" x14ac:dyDescent="0.25">
      <c r="B351" s="342">
        <v>11021</v>
      </c>
      <c r="C351" s="343" t="s">
        <v>535</v>
      </c>
      <c r="D351" s="343" t="str">
        <f ca="1">OFFSET('Zip Code Lines_1'!$U$3,MATCH('Zip Code Lines_1'!C351,'Zip Code Lines_1'!$Q$4:$Q$26,0),0)</f>
        <v>Farmingdale</v>
      </c>
      <c r="E351" s="344">
        <f ca="1">OFFSET('Zip Code Lines_1'!$W$3,MATCH('Zip Code Lines_1'!C351,'Zip Code Lines_1'!$Q$4:$Q$26,0),0)</f>
        <v>17</v>
      </c>
      <c r="F351" s="344">
        <f ca="1">OFFSET('Zip Code Lines_1'!$Z$3,MATCH('Zip Code Lines_1'!C351,'Zip Code Lines_1'!$Q$4:$Q$26,0),0)</f>
        <v>86.3</v>
      </c>
      <c r="G351" s="342">
        <f ca="1">OFFSET('Zip Code Lines_1'!$AC$3,MATCH('Zip Code Lines_1'!C351,'Zip Code Lines_1'!$Q$4:$Q$26,0),0)</f>
        <v>6</v>
      </c>
      <c r="H351" s="342">
        <v>11021</v>
      </c>
    </row>
    <row r="352" spans="2:8" x14ac:dyDescent="0.25">
      <c r="B352" s="342">
        <v>11022</v>
      </c>
      <c r="C352" s="343" t="s">
        <v>535</v>
      </c>
      <c r="D352" s="343" t="str">
        <f ca="1">OFFSET('Zip Code Lines_1'!$U$3,MATCH('Zip Code Lines_1'!C352,'Zip Code Lines_1'!$Q$4:$Q$26,0),0)</f>
        <v>Farmingdale</v>
      </c>
      <c r="E352" s="344">
        <f ca="1">OFFSET('Zip Code Lines_1'!$W$3,MATCH('Zip Code Lines_1'!C352,'Zip Code Lines_1'!$Q$4:$Q$26,0),0)</f>
        <v>17</v>
      </c>
      <c r="F352" s="344">
        <f ca="1">OFFSET('Zip Code Lines_1'!$Z$3,MATCH('Zip Code Lines_1'!C352,'Zip Code Lines_1'!$Q$4:$Q$26,0),0)</f>
        <v>86.3</v>
      </c>
      <c r="G352" s="342">
        <f ca="1">OFFSET('Zip Code Lines_1'!$AC$3,MATCH('Zip Code Lines_1'!C352,'Zip Code Lines_1'!$Q$4:$Q$26,0),0)</f>
        <v>6</v>
      </c>
      <c r="H352" s="342">
        <v>11022</v>
      </c>
    </row>
    <row r="353" spans="2:8" x14ac:dyDescent="0.25">
      <c r="B353" s="342">
        <v>11023</v>
      </c>
      <c r="C353" s="343" t="s">
        <v>535</v>
      </c>
      <c r="D353" s="343" t="str">
        <f ca="1">OFFSET('Zip Code Lines_1'!$U$3,MATCH('Zip Code Lines_1'!C353,'Zip Code Lines_1'!$Q$4:$Q$26,0),0)</f>
        <v>Farmingdale</v>
      </c>
      <c r="E353" s="344">
        <f ca="1">OFFSET('Zip Code Lines_1'!$W$3,MATCH('Zip Code Lines_1'!C353,'Zip Code Lines_1'!$Q$4:$Q$26,0),0)</f>
        <v>17</v>
      </c>
      <c r="F353" s="344">
        <f ca="1">OFFSET('Zip Code Lines_1'!$Z$3,MATCH('Zip Code Lines_1'!C353,'Zip Code Lines_1'!$Q$4:$Q$26,0),0)</f>
        <v>86.3</v>
      </c>
      <c r="G353" s="342">
        <f ca="1">OFFSET('Zip Code Lines_1'!$AC$3,MATCH('Zip Code Lines_1'!C353,'Zip Code Lines_1'!$Q$4:$Q$26,0),0)</f>
        <v>6</v>
      </c>
      <c r="H353" s="342">
        <v>11023</v>
      </c>
    </row>
    <row r="354" spans="2:8" x14ac:dyDescent="0.25">
      <c r="B354" s="342">
        <v>11024</v>
      </c>
      <c r="C354" s="343" t="s">
        <v>535</v>
      </c>
      <c r="D354" s="343" t="str">
        <f ca="1">OFFSET('Zip Code Lines_1'!$U$3,MATCH('Zip Code Lines_1'!C354,'Zip Code Lines_1'!$Q$4:$Q$26,0),0)</f>
        <v>Farmingdale</v>
      </c>
      <c r="E354" s="344">
        <f ca="1">OFFSET('Zip Code Lines_1'!$W$3,MATCH('Zip Code Lines_1'!C354,'Zip Code Lines_1'!$Q$4:$Q$26,0),0)</f>
        <v>17</v>
      </c>
      <c r="F354" s="344">
        <f ca="1">OFFSET('Zip Code Lines_1'!$Z$3,MATCH('Zip Code Lines_1'!C354,'Zip Code Lines_1'!$Q$4:$Q$26,0),0)</f>
        <v>86.3</v>
      </c>
      <c r="G354" s="342">
        <f ca="1">OFFSET('Zip Code Lines_1'!$AC$3,MATCH('Zip Code Lines_1'!C354,'Zip Code Lines_1'!$Q$4:$Q$26,0),0)</f>
        <v>6</v>
      </c>
      <c r="H354" s="342">
        <v>11024</v>
      </c>
    </row>
    <row r="355" spans="2:8" x14ac:dyDescent="0.25">
      <c r="B355" s="342">
        <v>11026</v>
      </c>
      <c r="C355" s="343" t="s">
        <v>535</v>
      </c>
      <c r="D355" s="343" t="str">
        <f ca="1">OFFSET('Zip Code Lines_1'!$U$3,MATCH('Zip Code Lines_1'!C355,'Zip Code Lines_1'!$Q$4:$Q$26,0),0)</f>
        <v>Farmingdale</v>
      </c>
      <c r="E355" s="344">
        <f ca="1">OFFSET('Zip Code Lines_1'!$W$3,MATCH('Zip Code Lines_1'!C355,'Zip Code Lines_1'!$Q$4:$Q$26,0),0)</f>
        <v>17</v>
      </c>
      <c r="F355" s="344">
        <f ca="1">OFFSET('Zip Code Lines_1'!$Z$3,MATCH('Zip Code Lines_1'!C355,'Zip Code Lines_1'!$Q$4:$Q$26,0),0)</f>
        <v>86.3</v>
      </c>
      <c r="G355" s="342">
        <f ca="1">OFFSET('Zip Code Lines_1'!$AC$3,MATCH('Zip Code Lines_1'!C355,'Zip Code Lines_1'!$Q$4:$Q$26,0),0)</f>
        <v>6</v>
      </c>
      <c r="H355" s="342">
        <v>11026</v>
      </c>
    </row>
    <row r="356" spans="2:8" x14ac:dyDescent="0.25">
      <c r="B356" s="342">
        <v>11027</v>
      </c>
      <c r="C356" s="343" t="s">
        <v>535</v>
      </c>
      <c r="D356" s="343" t="str">
        <f ca="1">OFFSET('Zip Code Lines_1'!$U$3,MATCH('Zip Code Lines_1'!C356,'Zip Code Lines_1'!$Q$4:$Q$26,0),0)</f>
        <v>Farmingdale</v>
      </c>
      <c r="E356" s="344">
        <f ca="1">OFFSET('Zip Code Lines_1'!$W$3,MATCH('Zip Code Lines_1'!C356,'Zip Code Lines_1'!$Q$4:$Q$26,0),0)</f>
        <v>17</v>
      </c>
      <c r="F356" s="344">
        <f ca="1">OFFSET('Zip Code Lines_1'!$Z$3,MATCH('Zip Code Lines_1'!C356,'Zip Code Lines_1'!$Q$4:$Q$26,0),0)</f>
        <v>86.3</v>
      </c>
      <c r="G356" s="342">
        <f ca="1">OFFSET('Zip Code Lines_1'!$AC$3,MATCH('Zip Code Lines_1'!C356,'Zip Code Lines_1'!$Q$4:$Q$26,0),0)</f>
        <v>6</v>
      </c>
      <c r="H356" s="342">
        <v>11027</v>
      </c>
    </row>
    <row r="357" spans="2:8" x14ac:dyDescent="0.25">
      <c r="B357" s="342">
        <v>11030</v>
      </c>
      <c r="C357" s="343" t="s">
        <v>535</v>
      </c>
      <c r="D357" s="343" t="str">
        <f ca="1">OFFSET('Zip Code Lines_1'!$U$3,MATCH('Zip Code Lines_1'!C357,'Zip Code Lines_1'!$Q$4:$Q$26,0),0)</f>
        <v>Farmingdale</v>
      </c>
      <c r="E357" s="344">
        <f ca="1">OFFSET('Zip Code Lines_1'!$W$3,MATCH('Zip Code Lines_1'!C357,'Zip Code Lines_1'!$Q$4:$Q$26,0),0)</f>
        <v>17</v>
      </c>
      <c r="F357" s="344">
        <f ca="1">OFFSET('Zip Code Lines_1'!$Z$3,MATCH('Zip Code Lines_1'!C357,'Zip Code Lines_1'!$Q$4:$Q$26,0),0)</f>
        <v>86.3</v>
      </c>
      <c r="G357" s="342">
        <f ca="1">OFFSET('Zip Code Lines_1'!$AC$3,MATCH('Zip Code Lines_1'!C357,'Zip Code Lines_1'!$Q$4:$Q$26,0),0)</f>
        <v>6</v>
      </c>
      <c r="H357" s="342">
        <v>11030</v>
      </c>
    </row>
    <row r="358" spans="2:8" x14ac:dyDescent="0.25">
      <c r="B358" s="342">
        <v>11040</v>
      </c>
      <c r="C358" s="343" t="s">
        <v>535</v>
      </c>
      <c r="D358" s="343" t="str">
        <f ca="1">OFFSET('Zip Code Lines_1'!$U$3,MATCH('Zip Code Lines_1'!C358,'Zip Code Lines_1'!$Q$4:$Q$26,0),0)</f>
        <v>Farmingdale</v>
      </c>
      <c r="E358" s="344">
        <f ca="1">OFFSET('Zip Code Lines_1'!$W$3,MATCH('Zip Code Lines_1'!C358,'Zip Code Lines_1'!$Q$4:$Q$26,0),0)</f>
        <v>17</v>
      </c>
      <c r="F358" s="344">
        <f ca="1">OFFSET('Zip Code Lines_1'!$Z$3,MATCH('Zip Code Lines_1'!C358,'Zip Code Lines_1'!$Q$4:$Q$26,0),0)</f>
        <v>86.3</v>
      </c>
      <c r="G358" s="342">
        <f ca="1">OFFSET('Zip Code Lines_1'!$AC$3,MATCH('Zip Code Lines_1'!C358,'Zip Code Lines_1'!$Q$4:$Q$26,0),0)</f>
        <v>6</v>
      </c>
      <c r="H358" s="342">
        <v>11040</v>
      </c>
    </row>
    <row r="359" spans="2:8" x14ac:dyDescent="0.25">
      <c r="B359" s="342">
        <v>11042</v>
      </c>
      <c r="C359" s="343" t="s">
        <v>535</v>
      </c>
      <c r="D359" s="343" t="str">
        <f ca="1">OFFSET('Zip Code Lines_1'!$U$3,MATCH('Zip Code Lines_1'!C359,'Zip Code Lines_1'!$Q$4:$Q$26,0),0)</f>
        <v>Farmingdale</v>
      </c>
      <c r="E359" s="344">
        <f ca="1">OFFSET('Zip Code Lines_1'!$W$3,MATCH('Zip Code Lines_1'!C359,'Zip Code Lines_1'!$Q$4:$Q$26,0),0)</f>
        <v>17</v>
      </c>
      <c r="F359" s="344">
        <f ca="1">OFFSET('Zip Code Lines_1'!$Z$3,MATCH('Zip Code Lines_1'!C359,'Zip Code Lines_1'!$Q$4:$Q$26,0),0)</f>
        <v>86.3</v>
      </c>
      <c r="G359" s="342">
        <f ca="1">OFFSET('Zip Code Lines_1'!$AC$3,MATCH('Zip Code Lines_1'!C359,'Zip Code Lines_1'!$Q$4:$Q$26,0),0)</f>
        <v>6</v>
      </c>
      <c r="H359" s="342">
        <v>11042</v>
      </c>
    </row>
    <row r="360" spans="2:8" x14ac:dyDescent="0.25">
      <c r="B360" s="342">
        <v>11050</v>
      </c>
      <c r="C360" s="343" t="s">
        <v>535</v>
      </c>
      <c r="D360" s="343" t="str">
        <f ca="1">OFFSET('Zip Code Lines_1'!$U$3,MATCH('Zip Code Lines_1'!C360,'Zip Code Lines_1'!$Q$4:$Q$26,0),0)</f>
        <v>Farmingdale</v>
      </c>
      <c r="E360" s="344">
        <f ca="1">OFFSET('Zip Code Lines_1'!$W$3,MATCH('Zip Code Lines_1'!C360,'Zip Code Lines_1'!$Q$4:$Q$26,0),0)</f>
        <v>17</v>
      </c>
      <c r="F360" s="344">
        <f ca="1">OFFSET('Zip Code Lines_1'!$Z$3,MATCH('Zip Code Lines_1'!C360,'Zip Code Lines_1'!$Q$4:$Q$26,0),0)</f>
        <v>86.3</v>
      </c>
      <c r="G360" s="342">
        <f ca="1">OFFSET('Zip Code Lines_1'!$AC$3,MATCH('Zip Code Lines_1'!C360,'Zip Code Lines_1'!$Q$4:$Q$26,0),0)</f>
        <v>6</v>
      </c>
      <c r="H360" s="342">
        <v>11050</v>
      </c>
    </row>
    <row r="361" spans="2:8" x14ac:dyDescent="0.25">
      <c r="B361" s="342">
        <v>11051</v>
      </c>
      <c r="C361" s="343" t="s">
        <v>535</v>
      </c>
      <c r="D361" s="343" t="str">
        <f ca="1">OFFSET('Zip Code Lines_1'!$U$3,MATCH('Zip Code Lines_1'!C361,'Zip Code Lines_1'!$Q$4:$Q$26,0),0)</f>
        <v>Farmingdale</v>
      </c>
      <c r="E361" s="344">
        <f ca="1">OFFSET('Zip Code Lines_1'!$W$3,MATCH('Zip Code Lines_1'!C361,'Zip Code Lines_1'!$Q$4:$Q$26,0),0)</f>
        <v>17</v>
      </c>
      <c r="F361" s="344">
        <f ca="1">OFFSET('Zip Code Lines_1'!$Z$3,MATCH('Zip Code Lines_1'!C361,'Zip Code Lines_1'!$Q$4:$Q$26,0),0)</f>
        <v>86.3</v>
      </c>
      <c r="G361" s="342">
        <f ca="1">OFFSET('Zip Code Lines_1'!$AC$3,MATCH('Zip Code Lines_1'!C361,'Zip Code Lines_1'!$Q$4:$Q$26,0),0)</f>
        <v>6</v>
      </c>
      <c r="H361" s="342">
        <v>11051</v>
      </c>
    </row>
    <row r="362" spans="2:8" x14ac:dyDescent="0.25">
      <c r="B362" s="342">
        <v>11052</v>
      </c>
      <c r="C362" s="343" t="s">
        <v>535</v>
      </c>
      <c r="D362" s="343" t="str">
        <f ca="1">OFFSET('Zip Code Lines_1'!$U$3,MATCH('Zip Code Lines_1'!C362,'Zip Code Lines_1'!$Q$4:$Q$26,0),0)</f>
        <v>Farmingdale</v>
      </c>
      <c r="E362" s="344">
        <f ca="1">OFFSET('Zip Code Lines_1'!$W$3,MATCH('Zip Code Lines_1'!C362,'Zip Code Lines_1'!$Q$4:$Q$26,0),0)</f>
        <v>17</v>
      </c>
      <c r="F362" s="344">
        <f ca="1">OFFSET('Zip Code Lines_1'!$Z$3,MATCH('Zip Code Lines_1'!C362,'Zip Code Lines_1'!$Q$4:$Q$26,0),0)</f>
        <v>86.3</v>
      </c>
      <c r="G362" s="342">
        <f ca="1">OFFSET('Zip Code Lines_1'!$AC$3,MATCH('Zip Code Lines_1'!C362,'Zip Code Lines_1'!$Q$4:$Q$26,0),0)</f>
        <v>6</v>
      </c>
      <c r="H362" s="342">
        <v>11052</v>
      </c>
    </row>
    <row r="363" spans="2:8" x14ac:dyDescent="0.25">
      <c r="B363" s="342">
        <v>11053</v>
      </c>
      <c r="C363" s="343" t="s">
        <v>535</v>
      </c>
      <c r="D363" s="343" t="str">
        <f ca="1">OFFSET('Zip Code Lines_1'!$U$3,MATCH('Zip Code Lines_1'!C363,'Zip Code Lines_1'!$Q$4:$Q$26,0),0)</f>
        <v>Farmingdale</v>
      </c>
      <c r="E363" s="344">
        <f ca="1">OFFSET('Zip Code Lines_1'!$W$3,MATCH('Zip Code Lines_1'!C363,'Zip Code Lines_1'!$Q$4:$Q$26,0),0)</f>
        <v>17</v>
      </c>
      <c r="F363" s="344">
        <f ca="1">OFFSET('Zip Code Lines_1'!$Z$3,MATCH('Zip Code Lines_1'!C363,'Zip Code Lines_1'!$Q$4:$Q$26,0),0)</f>
        <v>86.3</v>
      </c>
      <c r="G363" s="342">
        <f ca="1">OFFSET('Zip Code Lines_1'!$AC$3,MATCH('Zip Code Lines_1'!C363,'Zip Code Lines_1'!$Q$4:$Q$26,0),0)</f>
        <v>6</v>
      </c>
      <c r="H363" s="342">
        <v>11053</v>
      </c>
    </row>
    <row r="364" spans="2:8" x14ac:dyDescent="0.25">
      <c r="B364" s="342">
        <v>11054</v>
      </c>
      <c r="C364" s="343" t="s">
        <v>535</v>
      </c>
      <c r="D364" s="343" t="str">
        <f ca="1">OFFSET('Zip Code Lines_1'!$U$3,MATCH('Zip Code Lines_1'!C364,'Zip Code Lines_1'!$Q$4:$Q$26,0),0)</f>
        <v>Farmingdale</v>
      </c>
      <c r="E364" s="344">
        <f ca="1">OFFSET('Zip Code Lines_1'!$W$3,MATCH('Zip Code Lines_1'!C364,'Zip Code Lines_1'!$Q$4:$Q$26,0),0)</f>
        <v>17</v>
      </c>
      <c r="F364" s="344">
        <f ca="1">OFFSET('Zip Code Lines_1'!$Z$3,MATCH('Zip Code Lines_1'!C364,'Zip Code Lines_1'!$Q$4:$Q$26,0),0)</f>
        <v>86.3</v>
      </c>
      <c r="G364" s="342">
        <f ca="1">OFFSET('Zip Code Lines_1'!$AC$3,MATCH('Zip Code Lines_1'!C364,'Zip Code Lines_1'!$Q$4:$Q$26,0),0)</f>
        <v>6</v>
      </c>
      <c r="H364" s="342">
        <v>11054</v>
      </c>
    </row>
    <row r="365" spans="2:8" x14ac:dyDescent="0.25">
      <c r="B365" s="342">
        <v>11055</v>
      </c>
      <c r="C365" s="343" t="s">
        <v>535</v>
      </c>
      <c r="D365" s="343" t="str">
        <f ca="1">OFFSET('Zip Code Lines_1'!$U$3,MATCH('Zip Code Lines_1'!C365,'Zip Code Lines_1'!$Q$4:$Q$26,0),0)</f>
        <v>Farmingdale</v>
      </c>
      <c r="E365" s="344">
        <f ca="1">OFFSET('Zip Code Lines_1'!$W$3,MATCH('Zip Code Lines_1'!C365,'Zip Code Lines_1'!$Q$4:$Q$26,0),0)</f>
        <v>17</v>
      </c>
      <c r="F365" s="344">
        <f ca="1">OFFSET('Zip Code Lines_1'!$Z$3,MATCH('Zip Code Lines_1'!C365,'Zip Code Lines_1'!$Q$4:$Q$26,0),0)</f>
        <v>86.3</v>
      </c>
      <c r="G365" s="342">
        <f ca="1">OFFSET('Zip Code Lines_1'!$AC$3,MATCH('Zip Code Lines_1'!C365,'Zip Code Lines_1'!$Q$4:$Q$26,0),0)</f>
        <v>6</v>
      </c>
      <c r="H365" s="342">
        <v>11055</v>
      </c>
    </row>
    <row r="366" spans="2:8" x14ac:dyDescent="0.25">
      <c r="B366" s="342">
        <v>11096</v>
      </c>
      <c r="C366" s="343" t="s">
        <v>555</v>
      </c>
      <c r="D366" s="343" t="str">
        <f ca="1">OFFSET('Zip Code Lines_1'!$U$3,MATCH('Zip Code Lines_1'!C366,'Zip Code Lines_1'!$Q$4:$Q$26,0),0)</f>
        <v>NY - JFK</v>
      </c>
      <c r="E366" s="344">
        <f ca="1">OFFSET('Zip Code Lines_1'!$W$3,MATCH('Zip Code Lines_1'!C366,'Zip Code Lines_1'!$Q$4:$Q$26,0),0)</f>
        <v>18</v>
      </c>
      <c r="F366" s="344">
        <f ca="1">OFFSET('Zip Code Lines_1'!$Z$3,MATCH('Zip Code Lines_1'!C366,'Zip Code Lines_1'!$Q$4:$Q$26,0),0)</f>
        <v>86.6</v>
      </c>
      <c r="G366" s="342">
        <f ca="1">OFFSET('Zip Code Lines_1'!$AC$3,MATCH('Zip Code Lines_1'!C366,'Zip Code Lines_1'!$Q$4:$Q$26,0),0)</f>
        <v>6</v>
      </c>
      <c r="H366" s="342">
        <v>11096</v>
      </c>
    </row>
    <row r="367" spans="2:8" x14ac:dyDescent="0.25">
      <c r="B367" s="342">
        <v>11101</v>
      </c>
      <c r="C367" s="343" t="s">
        <v>552</v>
      </c>
      <c r="D367" s="343" t="str">
        <f ca="1">OFFSET('Zip Code Lines_1'!$U$3,MATCH('Zip Code Lines_1'!C367,'Zip Code Lines_1'!$Q$4:$Q$26,0),0)</f>
        <v>NY - Central Park</v>
      </c>
      <c r="E367" s="344">
        <f ca="1">OFFSET('Zip Code Lines_1'!$W$3,MATCH('Zip Code Lines_1'!C367,'Zip Code Lines_1'!$Q$4:$Q$26,0),0)</f>
        <v>17.5</v>
      </c>
      <c r="F367" s="344">
        <f ca="1">OFFSET('Zip Code Lines_1'!$Z$3,MATCH('Zip Code Lines_1'!C367,'Zip Code Lines_1'!$Q$4:$Q$26,0),0)</f>
        <v>88</v>
      </c>
      <c r="G367" s="342">
        <f ca="1">OFFSET('Zip Code Lines_1'!$AC$3,MATCH('Zip Code Lines_1'!C367,'Zip Code Lines_1'!$Q$4:$Q$26,0),0)</f>
        <v>6</v>
      </c>
      <c r="H367" s="342">
        <v>11101</v>
      </c>
    </row>
    <row r="368" spans="2:8" x14ac:dyDescent="0.25">
      <c r="B368" s="342">
        <v>11102</v>
      </c>
      <c r="C368" s="343" t="s">
        <v>552</v>
      </c>
      <c r="D368" s="343" t="str">
        <f ca="1">OFFSET('Zip Code Lines_1'!$U$3,MATCH('Zip Code Lines_1'!C368,'Zip Code Lines_1'!$Q$4:$Q$26,0),0)</f>
        <v>NY - Central Park</v>
      </c>
      <c r="E368" s="344">
        <f ca="1">OFFSET('Zip Code Lines_1'!$W$3,MATCH('Zip Code Lines_1'!C368,'Zip Code Lines_1'!$Q$4:$Q$26,0),0)</f>
        <v>17.5</v>
      </c>
      <c r="F368" s="344">
        <f ca="1">OFFSET('Zip Code Lines_1'!$Z$3,MATCH('Zip Code Lines_1'!C368,'Zip Code Lines_1'!$Q$4:$Q$26,0),0)</f>
        <v>88</v>
      </c>
      <c r="G368" s="342">
        <f ca="1">OFFSET('Zip Code Lines_1'!$AC$3,MATCH('Zip Code Lines_1'!C368,'Zip Code Lines_1'!$Q$4:$Q$26,0),0)</f>
        <v>6</v>
      </c>
      <c r="H368" s="342">
        <v>11102</v>
      </c>
    </row>
    <row r="369" spans="2:8" x14ac:dyDescent="0.25">
      <c r="B369" s="342">
        <v>11103</v>
      </c>
      <c r="C369" s="343" t="s">
        <v>552</v>
      </c>
      <c r="D369" s="343" t="str">
        <f ca="1">OFFSET('Zip Code Lines_1'!$U$3,MATCH('Zip Code Lines_1'!C369,'Zip Code Lines_1'!$Q$4:$Q$26,0),0)</f>
        <v>NY - Central Park</v>
      </c>
      <c r="E369" s="344">
        <f ca="1">OFFSET('Zip Code Lines_1'!$W$3,MATCH('Zip Code Lines_1'!C369,'Zip Code Lines_1'!$Q$4:$Q$26,0),0)</f>
        <v>17.5</v>
      </c>
      <c r="F369" s="344">
        <f ca="1">OFFSET('Zip Code Lines_1'!$Z$3,MATCH('Zip Code Lines_1'!C369,'Zip Code Lines_1'!$Q$4:$Q$26,0),0)</f>
        <v>88</v>
      </c>
      <c r="G369" s="342">
        <f ca="1">OFFSET('Zip Code Lines_1'!$AC$3,MATCH('Zip Code Lines_1'!C369,'Zip Code Lines_1'!$Q$4:$Q$26,0),0)</f>
        <v>6</v>
      </c>
      <c r="H369" s="342">
        <v>11103</v>
      </c>
    </row>
    <row r="370" spans="2:8" x14ac:dyDescent="0.25">
      <c r="B370" s="342">
        <v>11104</v>
      </c>
      <c r="C370" s="343" t="s">
        <v>552</v>
      </c>
      <c r="D370" s="343" t="str">
        <f ca="1">OFFSET('Zip Code Lines_1'!$U$3,MATCH('Zip Code Lines_1'!C370,'Zip Code Lines_1'!$Q$4:$Q$26,0),0)</f>
        <v>NY - Central Park</v>
      </c>
      <c r="E370" s="344">
        <f ca="1">OFFSET('Zip Code Lines_1'!$W$3,MATCH('Zip Code Lines_1'!C370,'Zip Code Lines_1'!$Q$4:$Q$26,0),0)</f>
        <v>17.5</v>
      </c>
      <c r="F370" s="344">
        <f ca="1">OFFSET('Zip Code Lines_1'!$Z$3,MATCH('Zip Code Lines_1'!C370,'Zip Code Lines_1'!$Q$4:$Q$26,0),0)</f>
        <v>88</v>
      </c>
      <c r="G370" s="342">
        <f ca="1">OFFSET('Zip Code Lines_1'!$AC$3,MATCH('Zip Code Lines_1'!C370,'Zip Code Lines_1'!$Q$4:$Q$26,0),0)</f>
        <v>6</v>
      </c>
      <c r="H370" s="342">
        <v>11104</v>
      </c>
    </row>
    <row r="371" spans="2:8" x14ac:dyDescent="0.25">
      <c r="B371" s="342">
        <v>11105</v>
      </c>
      <c r="C371" s="343" t="s">
        <v>552</v>
      </c>
      <c r="D371" s="343" t="str">
        <f ca="1">OFFSET('Zip Code Lines_1'!$U$3,MATCH('Zip Code Lines_1'!C371,'Zip Code Lines_1'!$Q$4:$Q$26,0),0)</f>
        <v>NY - Central Park</v>
      </c>
      <c r="E371" s="344">
        <f ca="1">OFFSET('Zip Code Lines_1'!$W$3,MATCH('Zip Code Lines_1'!C371,'Zip Code Lines_1'!$Q$4:$Q$26,0),0)</f>
        <v>17.5</v>
      </c>
      <c r="F371" s="344">
        <f ca="1">OFFSET('Zip Code Lines_1'!$Z$3,MATCH('Zip Code Lines_1'!C371,'Zip Code Lines_1'!$Q$4:$Q$26,0),0)</f>
        <v>88</v>
      </c>
      <c r="G371" s="342">
        <f ca="1">OFFSET('Zip Code Lines_1'!$AC$3,MATCH('Zip Code Lines_1'!C371,'Zip Code Lines_1'!$Q$4:$Q$26,0),0)</f>
        <v>6</v>
      </c>
      <c r="H371" s="342">
        <v>11105</v>
      </c>
    </row>
    <row r="372" spans="2:8" x14ac:dyDescent="0.25">
      <c r="B372" s="342">
        <v>11106</v>
      </c>
      <c r="C372" s="343" t="s">
        <v>552</v>
      </c>
      <c r="D372" s="343" t="str">
        <f ca="1">OFFSET('Zip Code Lines_1'!$U$3,MATCH('Zip Code Lines_1'!C372,'Zip Code Lines_1'!$Q$4:$Q$26,0),0)</f>
        <v>NY - Central Park</v>
      </c>
      <c r="E372" s="344">
        <f ca="1">OFFSET('Zip Code Lines_1'!$W$3,MATCH('Zip Code Lines_1'!C372,'Zip Code Lines_1'!$Q$4:$Q$26,0),0)</f>
        <v>17.5</v>
      </c>
      <c r="F372" s="344">
        <f ca="1">OFFSET('Zip Code Lines_1'!$Z$3,MATCH('Zip Code Lines_1'!C372,'Zip Code Lines_1'!$Q$4:$Q$26,0),0)</f>
        <v>88</v>
      </c>
      <c r="G372" s="342">
        <f ca="1">OFFSET('Zip Code Lines_1'!$AC$3,MATCH('Zip Code Lines_1'!C372,'Zip Code Lines_1'!$Q$4:$Q$26,0),0)</f>
        <v>6</v>
      </c>
      <c r="H372" s="342">
        <v>11106</v>
      </c>
    </row>
    <row r="373" spans="2:8" x14ac:dyDescent="0.25">
      <c r="B373" s="342">
        <v>11109</v>
      </c>
      <c r="C373" s="343" t="s">
        <v>552</v>
      </c>
      <c r="D373" s="343" t="str">
        <f ca="1">OFFSET('Zip Code Lines_1'!$U$3,MATCH('Zip Code Lines_1'!C373,'Zip Code Lines_1'!$Q$4:$Q$26,0),0)</f>
        <v>NY - Central Park</v>
      </c>
      <c r="E373" s="344">
        <f ca="1">OFFSET('Zip Code Lines_1'!$W$3,MATCH('Zip Code Lines_1'!C373,'Zip Code Lines_1'!$Q$4:$Q$26,0),0)</f>
        <v>17.5</v>
      </c>
      <c r="F373" s="344">
        <f ca="1">OFFSET('Zip Code Lines_1'!$Z$3,MATCH('Zip Code Lines_1'!C373,'Zip Code Lines_1'!$Q$4:$Q$26,0),0)</f>
        <v>88</v>
      </c>
      <c r="G373" s="342">
        <f ca="1">OFFSET('Zip Code Lines_1'!$AC$3,MATCH('Zip Code Lines_1'!C373,'Zip Code Lines_1'!$Q$4:$Q$26,0),0)</f>
        <v>6</v>
      </c>
      <c r="H373" s="342">
        <v>11109</v>
      </c>
    </row>
    <row r="374" spans="2:8" x14ac:dyDescent="0.25">
      <c r="B374" s="342">
        <v>11120</v>
      </c>
      <c r="C374" s="343" t="s">
        <v>552</v>
      </c>
      <c r="D374" s="343" t="str">
        <f ca="1">OFFSET('Zip Code Lines_1'!$U$3,MATCH('Zip Code Lines_1'!C374,'Zip Code Lines_1'!$Q$4:$Q$26,0),0)</f>
        <v>NY - Central Park</v>
      </c>
      <c r="E374" s="344">
        <f ca="1">OFFSET('Zip Code Lines_1'!$W$3,MATCH('Zip Code Lines_1'!C374,'Zip Code Lines_1'!$Q$4:$Q$26,0),0)</f>
        <v>17.5</v>
      </c>
      <c r="F374" s="344">
        <f ca="1">OFFSET('Zip Code Lines_1'!$Z$3,MATCH('Zip Code Lines_1'!C374,'Zip Code Lines_1'!$Q$4:$Q$26,0),0)</f>
        <v>88</v>
      </c>
      <c r="G374" s="342">
        <f ca="1">OFFSET('Zip Code Lines_1'!$AC$3,MATCH('Zip Code Lines_1'!C374,'Zip Code Lines_1'!$Q$4:$Q$26,0),0)</f>
        <v>6</v>
      </c>
      <c r="H374" s="342">
        <v>11120</v>
      </c>
    </row>
    <row r="375" spans="2:8" x14ac:dyDescent="0.25">
      <c r="B375" s="342">
        <v>11201</v>
      </c>
      <c r="C375" s="343" t="s">
        <v>552</v>
      </c>
      <c r="D375" s="343" t="str">
        <f ca="1">OFFSET('Zip Code Lines_1'!$U$3,MATCH('Zip Code Lines_1'!C375,'Zip Code Lines_1'!$Q$4:$Q$26,0),0)</f>
        <v>NY - Central Park</v>
      </c>
      <c r="E375" s="344">
        <f ca="1">OFFSET('Zip Code Lines_1'!$W$3,MATCH('Zip Code Lines_1'!C375,'Zip Code Lines_1'!$Q$4:$Q$26,0),0)</f>
        <v>17.5</v>
      </c>
      <c r="F375" s="344">
        <f ca="1">OFFSET('Zip Code Lines_1'!$Z$3,MATCH('Zip Code Lines_1'!C375,'Zip Code Lines_1'!$Q$4:$Q$26,0),0)</f>
        <v>88</v>
      </c>
      <c r="G375" s="342">
        <f ca="1">OFFSET('Zip Code Lines_1'!$AC$3,MATCH('Zip Code Lines_1'!C375,'Zip Code Lines_1'!$Q$4:$Q$26,0),0)</f>
        <v>6</v>
      </c>
      <c r="H375" s="342">
        <v>11201</v>
      </c>
    </row>
    <row r="376" spans="2:8" x14ac:dyDescent="0.25">
      <c r="B376" s="342">
        <v>11202</v>
      </c>
      <c r="C376" s="343" t="s">
        <v>552</v>
      </c>
      <c r="D376" s="343" t="str">
        <f ca="1">OFFSET('Zip Code Lines_1'!$U$3,MATCH('Zip Code Lines_1'!C376,'Zip Code Lines_1'!$Q$4:$Q$26,0),0)</f>
        <v>NY - Central Park</v>
      </c>
      <c r="E376" s="344">
        <f ca="1">OFFSET('Zip Code Lines_1'!$W$3,MATCH('Zip Code Lines_1'!C376,'Zip Code Lines_1'!$Q$4:$Q$26,0),0)</f>
        <v>17.5</v>
      </c>
      <c r="F376" s="344">
        <f ca="1">OFFSET('Zip Code Lines_1'!$Z$3,MATCH('Zip Code Lines_1'!C376,'Zip Code Lines_1'!$Q$4:$Q$26,0),0)</f>
        <v>88</v>
      </c>
      <c r="G376" s="342">
        <f ca="1">OFFSET('Zip Code Lines_1'!$AC$3,MATCH('Zip Code Lines_1'!C376,'Zip Code Lines_1'!$Q$4:$Q$26,0),0)</f>
        <v>6</v>
      </c>
      <c r="H376" s="342">
        <v>11202</v>
      </c>
    </row>
    <row r="377" spans="2:8" x14ac:dyDescent="0.25">
      <c r="B377" s="342">
        <v>11203</v>
      </c>
      <c r="C377" s="343" t="s">
        <v>552</v>
      </c>
      <c r="D377" s="343" t="str">
        <f ca="1">OFFSET('Zip Code Lines_1'!$U$3,MATCH('Zip Code Lines_1'!C377,'Zip Code Lines_1'!$Q$4:$Q$26,0),0)</f>
        <v>NY - Central Park</v>
      </c>
      <c r="E377" s="344">
        <f ca="1">OFFSET('Zip Code Lines_1'!$W$3,MATCH('Zip Code Lines_1'!C377,'Zip Code Lines_1'!$Q$4:$Q$26,0),0)</f>
        <v>17.5</v>
      </c>
      <c r="F377" s="344">
        <f ca="1">OFFSET('Zip Code Lines_1'!$Z$3,MATCH('Zip Code Lines_1'!C377,'Zip Code Lines_1'!$Q$4:$Q$26,0),0)</f>
        <v>88</v>
      </c>
      <c r="G377" s="342">
        <f ca="1">OFFSET('Zip Code Lines_1'!$AC$3,MATCH('Zip Code Lines_1'!C377,'Zip Code Lines_1'!$Q$4:$Q$26,0),0)</f>
        <v>6</v>
      </c>
      <c r="H377" s="342">
        <v>11203</v>
      </c>
    </row>
    <row r="378" spans="2:8" x14ac:dyDescent="0.25">
      <c r="B378" s="342">
        <v>11204</v>
      </c>
      <c r="C378" s="343" t="s">
        <v>552</v>
      </c>
      <c r="D378" s="343" t="str">
        <f ca="1">OFFSET('Zip Code Lines_1'!$U$3,MATCH('Zip Code Lines_1'!C378,'Zip Code Lines_1'!$Q$4:$Q$26,0),0)</f>
        <v>NY - Central Park</v>
      </c>
      <c r="E378" s="344">
        <f ca="1">OFFSET('Zip Code Lines_1'!$W$3,MATCH('Zip Code Lines_1'!C378,'Zip Code Lines_1'!$Q$4:$Q$26,0),0)</f>
        <v>17.5</v>
      </c>
      <c r="F378" s="344">
        <f ca="1">OFFSET('Zip Code Lines_1'!$Z$3,MATCH('Zip Code Lines_1'!C378,'Zip Code Lines_1'!$Q$4:$Q$26,0),0)</f>
        <v>88</v>
      </c>
      <c r="G378" s="342">
        <f ca="1">OFFSET('Zip Code Lines_1'!$AC$3,MATCH('Zip Code Lines_1'!C378,'Zip Code Lines_1'!$Q$4:$Q$26,0),0)</f>
        <v>6</v>
      </c>
      <c r="H378" s="342">
        <v>11204</v>
      </c>
    </row>
    <row r="379" spans="2:8" x14ac:dyDescent="0.25">
      <c r="B379" s="342">
        <v>11205</v>
      </c>
      <c r="C379" s="343" t="s">
        <v>552</v>
      </c>
      <c r="D379" s="343" t="str">
        <f ca="1">OFFSET('Zip Code Lines_1'!$U$3,MATCH('Zip Code Lines_1'!C379,'Zip Code Lines_1'!$Q$4:$Q$26,0),0)</f>
        <v>NY - Central Park</v>
      </c>
      <c r="E379" s="344">
        <f ca="1">OFFSET('Zip Code Lines_1'!$W$3,MATCH('Zip Code Lines_1'!C379,'Zip Code Lines_1'!$Q$4:$Q$26,0),0)</f>
        <v>17.5</v>
      </c>
      <c r="F379" s="344">
        <f ca="1">OFFSET('Zip Code Lines_1'!$Z$3,MATCH('Zip Code Lines_1'!C379,'Zip Code Lines_1'!$Q$4:$Q$26,0),0)</f>
        <v>88</v>
      </c>
      <c r="G379" s="342">
        <f ca="1">OFFSET('Zip Code Lines_1'!$AC$3,MATCH('Zip Code Lines_1'!C379,'Zip Code Lines_1'!$Q$4:$Q$26,0),0)</f>
        <v>6</v>
      </c>
      <c r="H379" s="342">
        <v>11205</v>
      </c>
    </row>
    <row r="380" spans="2:8" x14ac:dyDescent="0.25">
      <c r="B380" s="342">
        <v>11206</v>
      </c>
      <c r="C380" s="343" t="s">
        <v>552</v>
      </c>
      <c r="D380" s="343" t="str">
        <f ca="1">OFFSET('Zip Code Lines_1'!$U$3,MATCH('Zip Code Lines_1'!C380,'Zip Code Lines_1'!$Q$4:$Q$26,0),0)</f>
        <v>NY - Central Park</v>
      </c>
      <c r="E380" s="344">
        <f ca="1">OFFSET('Zip Code Lines_1'!$W$3,MATCH('Zip Code Lines_1'!C380,'Zip Code Lines_1'!$Q$4:$Q$26,0),0)</f>
        <v>17.5</v>
      </c>
      <c r="F380" s="344">
        <f ca="1">OFFSET('Zip Code Lines_1'!$Z$3,MATCH('Zip Code Lines_1'!C380,'Zip Code Lines_1'!$Q$4:$Q$26,0),0)</f>
        <v>88</v>
      </c>
      <c r="G380" s="342">
        <f ca="1">OFFSET('Zip Code Lines_1'!$AC$3,MATCH('Zip Code Lines_1'!C380,'Zip Code Lines_1'!$Q$4:$Q$26,0),0)</f>
        <v>6</v>
      </c>
      <c r="H380" s="342">
        <v>11206</v>
      </c>
    </row>
    <row r="381" spans="2:8" x14ac:dyDescent="0.25">
      <c r="B381" s="342">
        <v>11207</v>
      </c>
      <c r="C381" s="343" t="s">
        <v>552</v>
      </c>
      <c r="D381" s="343" t="str">
        <f ca="1">OFFSET('Zip Code Lines_1'!$U$3,MATCH('Zip Code Lines_1'!C381,'Zip Code Lines_1'!$Q$4:$Q$26,0),0)</f>
        <v>NY - Central Park</v>
      </c>
      <c r="E381" s="344">
        <f ca="1">OFFSET('Zip Code Lines_1'!$W$3,MATCH('Zip Code Lines_1'!C381,'Zip Code Lines_1'!$Q$4:$Q$26,0),0)</f>
        <v>17.5</v>
      </c>
      <c r="F381" s="344">
        <f ca="1">OFFSET('Zip Code Lines_1'!$Z$3,MATCH('Zip Code Lines_1'!C381,'Zip Code Lines_1'!$Q$4:$Q$26,0),0)</f>
        <v>88</v>
      </c>
      <c r="G381" s="342">
        <f ca="1">OFFSET('Zip Code Lines_1'!$AC$3,MATCH('Zip Code Lines_1'!C381,'Zip Code Lines_1'!$Q$4:$Q$26,0),0)</f>
        <v>6</v>
      </c>
      <c r="H381" s="342">
        <v>11207</v>
      </c>
    </row>
    <row r="382" spans="2:8" x14ac:dyDescent="0.25">
      <c r="B382" s="342">
        <v>11208</v>
      </c>
      <c r="C382" s="343" t="s">
        <v>552</v>
      </c>
      <c r="D382" s="343" t="str">
        <f ca="1">OFFSET('Zip Code Lines_1'!$U$3,MATCH('Zip Code Lines_1'!C382,'Zip Code Lines_1'!$Q$4:$Q$26,0),0)</f>
        <v>NY - Central Park</v>
      </c>
      <c r="E382" s="344">
        <f ca="1">OFFSET('Zip Code Lines_1'!$W$3,MATCH('Zip Code Lines_1'!C382,'Zip Code Lines_1'!$Q$4:$Q$26,0),0)</f>
        <v>17.5</v>
      </c>
      <c r="F382" s="344">
        <f ca="1">OFFSET('Zip Code Lines_1'!$Z$3,MATCH('Zip Code Lines_1'!C382,'Zip Code Lines_1'!$Q$4:$Q$26,0),0)</f>
        <v>88</v>
      </c>
      <c r="G382" s="342">
        <f ca="1">OFFSET('Zip Code Lines_1'!$AC$3,MATCH('Zip Code Lines_1'!C382,'Zip Code Lines_1'!$Q$4:$Q$26,0),0)</f>
        <v>6</v>
      </c>
      <c r="H382" s="342">
        <v>11208</v>
      </c>
    </row>
    <row r="383" spans="2:8" x14ac:dyDescent="0.25">
      <c r="B383" s="342">
        <v>11209</v>
      </c>
      <c r="C383" s="343" t="s">
        <v>552</v>
      </c>
      <c r="D383" s="343" t="str">
        <f ca="1">OFFSET('Zip Code Lines_1'!$U$3,MATCH('Zip Code Lines_1'!C383,'Zip Code Lines_1'!$Q$4:$Q$26,0),0)</f>
        <v>NY - Central Park</v>
      </c>
      <c r="E383" s="344">
        <f ca="1">OFFSET('Zip Code Lines_1'!$W$3,MATCH('Zip Code Lines_1'!C383,'Zip Code Lines_1'!$Q$4:$Q$26,0),0)</f>
        <v>17.5</v>
      </c>
      <c r="F383" s="344">
        <f ca="1">OFFSET('Zip Code Lines_1'!$Z$3,MATCH('Zip Code Lines_1'!C383,'Zip Code Lines_1'!$Q$4:$Q$26,0),0)</f>
        <v>88</v>
      </c>
      <c r="G383" s="342">
        <f ca="1">OFFSET('Zip Code Lines_1'!$AC$3,MATCH('Zip Code Lines_1'!C383,'Zip Code Lines_1'!$Q$4:$Q$26,0),0)</f>
        <v>6</v>
      </c>
      <c r="H383" s="342">
        <v>11209</v>
      </c>
    </row>
    <row r="384" spans="2:8" x14ac:dyDescent="0.25">
      <c r="B384" s="342">
        <v>11210</v>
      </c>
      <c r="C384" s="343" t="s">
        <v>552</v>
      </c>
      <c r="D384" s="343" t="str">
        <f ca="1">OFFSET('Zip Code Lines_1'!$U$3,MATCH('Zip Code Lines_1'!C384,'Zip Code Lines_1'!$Q$4:$Q$26,0),0)</f>
        <v>NY - Central Park</v>
      </c>
      <c r="E384" s="344">
        <f ca="1">OFFSET('Zip Code Lines_1'!$W$3,MATCH('Zip Code Lines_1'!C384,'Zip Code Lines_1'!$Q$4:$Q$26,0),0)</f>
        <v>17.5</v>
      </c>
      <c r="F384" s="344">
        <f ca="1">OFFSET('Zip Code Lines_1'!$Z$3,MATCH('Zip Code Lines_1'!C384,'Zip Code Lines_1'!$Q$4:$Q$26,0),0)</f>
        <v>88</v>
      </c>
      <c r="G384" s="342">
        <f ca="1">OFFSET('Zip Code Lines_1'!$AC$3,MATCH('Zip Code Lines_1'!C384,'Zip Code Lines_1'!$Q$4:$Q$26,0),0)</f>
        <v>6</v>
      </c>
      <c r="H384" s="342">
        <v>11210</v>
      </c>
    </row>
    <row r="385" spans="2:8" x14ac:dyDescent="0.25">
      <c r="B385" s="342">
        <v>11211</v>
      </c>
      <c r="C385" s="343" t="s">
        <v>552</v>
      </c>
      <c r="D385" s="343" t="str">
        <f ca="1">OFFSET('Zip Code Lines_1'!$U$3,MATCH('Zip Code Lines_1'!C385,'Zip Code Lines_1'!$Q$4:$Q$26,0),0)</f>
        <v>NY - Central Park</v>
      </c>
      <c r="E385" s="344">
        <f ca="1">OFFSET('Zip Code Lines_1'!$W$3,MATCH('Zip Code Lines_1'!C385,'Zip Code Lines_1'!$Q$4:$Q$26,0),0)</f>
        <v>17.5</v>
      </c>
      <c r="F385" s="344">
        <f ca="1">OFFSET('Zip Code Lines_1'!$Z$3,MATCH('Zip Code Lines_1'!C385,'Zip Code Lines_1'!$Q$4:$Q$26,0),0)</f>
        <v>88</v>
      </c>
      <c r="G385" s="342">
        <f ca="1">OFFSET('Zip Code Lines_1'!$AC$3,MATCH('Zip Code Lines_1'!C385,'Zip Code Lines_1'!$Q$4:$Q$26,0),0)</f>
        <v>6</v>
      </c>
      <c r="H385" s="342">
        <v>11211</v>
      </c>
    </row>
    <row r="386" spans="2:8" x14ac:dyDescent="0.25">
      <c r="B386" s="342">
        <v>11212</v>
      </c>
      <c r="C386" s="343" t="s">
        <v>552</v>
      </c>
      <c r="D386" s="343" t="str">
        <f ca="1">OFFSET('Zip Code Lines_1'!$U$3,MATCH('Zip Code Lines_1'!C386,'Zip Code Lines_1'!$Q$4:$Q$26,0),0)</f>
        <v>NY - Central Park</v>
      </c>
      <c r="E386" s="344">
        <f ca="1">OFFSET('Zip Code Lines_1'!$W$3,MATCH('Zip Code Lines_1'!C386,'Zip Code Lines_1'!$Q$4:$Q$26,0),0)</f>
        <v>17.5</v>
      </c>
      <c r="F386" s="344">
        <f ca="1">OFFSET('Zip Code Lines_1'!$Z$3,MATCH('Zip Code Lines_1'!C386,'Zip Code Lines_1'!$Q$4:$Q$26,0),0)</f>
        <v>88</v>
      </c>
      <c r="G386" s="342">
        <f ca="1">OFFSET('Zip Code Lines_1'!$AC$3,MATCH('Zip Code Lines_1'!C386,'Zip Code Lines_1'!$Q$4:$Q$26,0),0)</f>
        <v>6</v>
      </c>
      <c r="H386" s="342">
        <v>11212</v>
      </c>
    </row>
    <row r="387" spans="2:8" x14ac:dyDescent="0.25">
      <c r="B387" s="342">
        <v>11213</v>
      </c>
      <c r="C387" s="343" t="s">
        <v>552</v>
      </c>
      <c r="D387" s="343" t="str">
        <f ca="1">OFFSET('Zip Code Lines_1'!$U$3,MATCH('Zip Code Lines_1'!C387,'Zip Code Lines_1'!$Q$4:$Q$26,0),0)</f>
        <v>NY - Central Park</v>
      </c>
      <c r="E387" s="344">
        <f ca="1">OFFSET('Zip Code Lines_1'!$W$3,MATCH('Zip Code Lines_1'!C387,'Zip Code Lines_1'!$Q$4:$Q$26,0),0)</f>
        <v>17.5</v>
      </c>
      <c r="F387" s="344">
        <f ca="1">OFFSET('Zip Code Lines_1'!$Z$3,MATCH('Zip Code Lines_1'!C387,'Zip Code Lines_1'!$Q$4:$Q$26,0),0)</f>
        <v>88</v>
      </c>
      <c r="G387" s="342">
        <f ca="1">OFFSET('Zip Code Lines_1'!$AC$3,MATCH('Zip Code Lines_1'!C387,'Zip Code Lines_1'!$Q$4:$Q$26,0),0)</f>
        <v>6</v>
      </c>
      <c r="H387" s="342">
        <v>11213</v>
      </c>
    </row>
    <row r="388" spans="2:8" x14ac:dyDescent="0.25">
      <c r="B388" s="342">
        <v>11214</v>
      </c>
      <c r="C388" s="343" t="s">
        <v>555</v>
      </c>
      <c r="D388" s="343" t="str">
        <f ca="1">OFFSET('Zip Code Lines_1'!$U$3,MATCH('Zip Code Lines_1'!C388,'Zip Code Lines_1'!$Q$4:$Q$26,0),0)</f>
        <v>NY - JFK</v>
      </c>
      <c r="E388" s="344">
        <f ca="1">OFFSET('Zip Code Lines_1'!$W$3,MATCH('Zip Code Lines_1'!C388,'Zip Code Lines_1'!$Q$4:$Q$26,0),0)</f>
        <v>18</v>
      </c>
      <c r="F388" s="344">
        <f ca="1">OFFSET('Zip Code Lines_1'!$Z$3,MATCH('Zip Code Lines_1'!C388,'Zip Code Lines_1'!$Q$4:$Q$26,0),0)</f>
        <v>86.6</v>
      </c>
      <c r="G388" s="342">
        <f ca="1">OFFSET('Zip Code Lines_1'!$AC$3,MATCH('Zip Code Lines_1'!C388,'Zip Code Lines_1'!$Q$4:$Q$26,0),0)</f>
        <v>6</v>
      </c>
      <c r="H388" s="342">
        <v>11214</v>
      </c>
    </row>
    <row r="389" spans="2:8" x14ac:dyDescent="0.25">
      <c r="B389" s="342">
        <v>11215</v>
      </c>
      <c r="C389" s="343" t="s">
        <v>552</v>
      </c>
      <c r="D389" s="343" t="str">
        <f ca="1">OFFSET('Zip Code Lines_1'!$U$3,MATCH('Zip Code Lines_1'!C389,'Zip Code Lines_1'!$Q$4:$Q$26,0),0)</f>
        <v>NY - Central Park</v>
      </c>
      <c r="E389" s="344">
        <f ca="1">OFFSET('Zip Code Lines_1'!$W$3,MATCH('Zip Code Lines_1'!C389,'Zip Code Lines_1'!$Q$4:$Q$26,0),0)</f>
        <v>17.5</v>
      </c>
      <c r="F389" s="344">
        <f ca="1">OFFSET('Zip Code Lines_1'!$Z$3,MATCH('Zip Code Lines_1'!C389,'Zip Code Lines_1'!$Q$4:$Q$26,0),0)</f>
        <v>88</v>
      </c>
      <c r="G389" s="342">
        <f ca="1">OFFSET('Zip Code Lines_1'!$AC$3,MATCH('Zip Code Lines_1'!C389,'Zip Code Lines_1'!$Q$4:$Q$26,0),0)</f>
        <v>6</v>
      </c>
      <c r="H389" s="342">
        <v>11215</v>
      </c>
    </row>
    <row r="390" spans="2:8" x14ac:dyDescent="0.25">
      <c r="B390" s="342">
        <v>11216</v>
      </c>
      <c r="C390" s="343" t="s">
        <v>552</v>
      </c>
      <c r="D390" s="343" t="str">
        <f ca="1">OFFSET('Zip Code Lines_1'!$U$3,MATCH('Zip Code Lines_1'!C390,'Zip Code Lines_1'!$Q$4:$Q$26,0),0)</f>
        <v>NY - Central Park</v>
      </c>
      <c r="E390" s="344">
        <f ca="1">OFFSET('Zip Code Lines_1'!$W$3,MATCH('Zip Code Lines_1'!C390,'Zip Code Lines_1'!$Q$4:$Q$26,0),0)</f>
        <v>17.5</v>
      </c>
      <c r="F390" s="344">
        <f ca="1">OFFSET('Zip Code Lines_1'!$Z$3,MATCH('Zip Code Lines_1'!C390,'Zip Code Lines_1'!$Q$4:$Q$26,0),0)</f>
        <v>88</v>
      </c>
      <c r="G390" s="342">
        <f ca="1">OFFSET('Zip Code Lines_1'!$AC$3,MATCH('Zip Code Lines_1'!C390,'Zip Code Lines_1'!$Q$4:$Q$26,0),0)</f>
        <v>6</v>
      </c>
      <c r="H390" s="342">
        <v>11216</v>
      </c>
    </row>
    <row r="391" spans="2:8" x14ac:dyDescent="0.25">
      <c r="B391" s="342">
        <v>11217</v>
      </c>
      <c r="C391" s="343" t="s">
        <v>552</v>
      </c>
      <c r="D391" s="343" t="str">
        <f ca="1">OFFSET('Zip Code Lines_1'!$U$3,MATCH('Zip Code Lines_1'!C391,'Zip Code Lines_1'!$Q$4:$Q$26,0),0)</f>
        <v>NY - Central Park</v>
      </c>
      <c r="E391" s="344">
        <f ca="1">OFFSET('Zip Code Lines_1'!$W$3,MATCH('Zip Code Lines_1'!C391,'Zip Code Lines_1'!$Q$4:$Q$26,0),0)</f>
        <v>17.5</v>
      </c>
      <c r="F391" s="344">
        <f ca="1">OFFSET('Zip Code Lines_1'!$Z$3,MATCH('Zip Code Lines_1'!C391,'Zip Code Lines_1'!$Q$4:$Q$26,0),0)</f>
        <v>88</v>
      </c>
      <c r="G391" s="342">
        <f ca="1">OFFSET('Zip Code Lines_1'!$AC$3,MATCH('Zip Code Lines_1'!C391,'Zip Code Lines_1'!$Q$4:$Q$26,0),0)</f>
        <v>6</v>
      </c>
      <c r="H391" s="342">
        <v>11217</v>
      </c>
    </row>
    <row r="392" spans="2:8" x14ac:dyDescent="0.25">
      <c r="B392" s="342">
        <v>11218</v>
      </c>
      <c r="C392" s="343" t="s">
        <v>552</v>
      </c>
      <c r="D392" s="343" t="str">
        <f ca="1">OFFSET('Zip Code Lines_1'!$U$3,MATCH('Zip Code Lines_1'!C392,'Zip Code Lines_1'!$Q$4:$Q$26,0),0)</f>
        <v>NY - Central Park</v>
      </c>
      <c r="E392" s="344">
        <f ca="1">OFFSET('Zip Code Lines_1'!$W$3,MATCH('Zip Code Lines_1'!C392,'Zip Code Lines_1'!$Q$4:$Q$26,0),0)</f>
        <v>17.5</v>
      </c>
      <c r="F392" s="344">
        <f ca="1">OFFSET('Zip Code Lines_1'!$Z$3,MATCH('Zip Code Lines_1'!C392,'Zip Code Lines_1'!$Q$4:$Q$26,0),0)</f>
        <v>88</v>
      </c>
      <c r="G392" s="342">
        <f ca="1">OFFSET('Zip Code Lines_1'!$AC$3,MATCH('Zip Code Lines_1'!C392,'Zip Code Lines_1'!$Q$4:$Q$26,0),0)</f>
        <v>6</v>
      </c>
      <c r="H392" s="342">
        <v>11218</v>
      </c>
    </row>
    <row r="393" spans="2:8" x14ac:dyDescent="0.25">
      <c r="B393" s="342">
        <v>11219</v>
      </c>
      <c r="C393" s="343" t="s">
        <v>552</v>
      </c>
      <c r="D393" s="343" t="str">
        <f ca="1">OFFSET('Zip Code Lines_1'!$U$3,MATCH('Zip Code Lines_1'!C393,'Zip Code Lines_1'!$Q$4:$Q$26,0),0)</f>
        <v>NY - Central Park</v>
      </c>
      <c r="E393" s="344">
        <f ca="1">OFFSET('Zip Code Lines_1'!$W$3,MATCH('Zip Code Lines_1'!C393,'Zip Code Lines_1'!$Q$4:$Q$26,0),0)</f>
        <v>17.5</v>
      </c>
      <c r="F393" s="344">
        <f ca="1">OFFSET('Zip Code Lines_1'!$Z$3,MATCH('Zip Code Lines_1'!C393,'Zip Code Lines_1'!$Q$4:$Q$26,0),0)</f>
        <v>88</v>
      </c>
      <c r="G393" s="342">
        <f ca="1">OFFSET('Zip Code Lines_1'!$AC$3,MATCH('Zip Code Lines_1'!C393,'Zip Code Lines_1'!$Q$4:$Q$26,0),0)</f>
        <v>6</v>
      </c>
      <c r="H393" s="342">
        <v>11219</v>
      </c>
    </row>
    <row r="394" spans="2:8" x14ac:dyDescent="0.25">
      <c r="B394" s="342">
        <v>11220</v>
      </c>
      <c r="C394" s="343" t="s">
        <v>552</v>
      </c>
      <c r="D394" s="343" t="str">
        <f ca="1">OFFSET('Zip Code Lines_1'!$U$3,MATCH('Zip Code Lines_1'!C394,'Zip Code Lines_1'!$Q$4:$Q$26,0),0)</f>
        <v>NY - Central Park</v>
      </c>
      <c r="E394" s="344">
        <f ca="1">OFFSET('Zip Code Lines_1'!$W$3,MATCH('Zip Code Lines_1'!C394,'Zip Code Lines_1'!$Q$4:$Q$26,0),0)</f>
        <v>17.5</v>
      </c>
      <c r="F394" s="344">
        <f ca="1">OFFSET('Zip Code Lines_1'!$Z$3,MATCH('Zip Code Lines_1'!C394,'Zip Code Lines_1'!$Q$4:$Q$26,0),0)</f>
        <v>88</v>
      </c>
      <c r="G394" s="342">
        <f ca="1">OFFSET('Zip Code Lines_1'!$AC$3,MATCH('Zip Code Lines_1'!C394,'Zip Code Lines_1'!$Q$4:$Q$26,0),0)</f>
        <v>6</v>
      </c>
      <c r="H394" s="342">
        <v>11220</v>
      </c>
    </row>
    <row r="395" spans="2:8" x14ac:dyDescent="0.25">
      <c r="B395" s="342">
        <v>11221</v>
      </c>
      <c r="C395" s="343" t="s">
        <v>552</v>
      </c>
      <c r="D395" s="343" t="str">
        <f ca="1">OFFSET('Zip Code Lines_1'!$U$3,MATCH('Zip Code Lines_1'!C395,'Zip Code Lines_1'!$Q$4:$Q$26,0),0)</f>
        <v>NY - Central Park</v>
      </c>
      <c r="E395" s="344">
        <f ca="1">OFFSET('Zip Code Lines_1'!$W$3,MATCH('Zip Code Lines_1'!C395,'Zip Code Lines_1'!$Q$4:$Q$26,0),0)</f>
        <v>17.5</v>
      </c>
      <c r="F395" s="344">
        <f ca="1">OFFSET('Zip Code Lines_1'!$Z$3,MATCH('Zip Code Lines_1'!C395,'Zip Code Lines_1'!$Q$4:$Q$26,0),0)</f>
        <v>88</v>
      </c>
      <c r="G395" s="342">
        <f ca="1">OFFSET('Zip Code Lines_1'!$AC$3,MATCH('Zip Code Lines_1'!C395,'Zip Code Lines_1'!$Q$4:$Q$26,0),0)</f>
        <v>6</v>
      </c>
      <c r="H395" s="342">
        <v>11221</v>
      </c>
    </row>
    <row r="396" spans="2:8" x14ac:dyDescent="0.25">
      <c r="B396" s="342">
        <v>11222</v>
      </c>
      <c r="C396" s="343" t="s">
        <v>552</v>
      </c>
      <c r="D396" s="343" t="str">
        <f ca="1">OFFSET('Zip Code Lines_1'!$U$3,MATCH('Zip Code Lines_1'!C396,'Zip Code Lines_1'!$Q$4:$Q$26,0),0)</f>
        <v>NY - Central Park</v>
      </c>
      <c r="E396" s="344">
        <f ca="1">OFFSET('Zip Code Lines_1'!$W$3,MATCH('Zip Code Lines_1'!C396,'Zip Code Lines_1'!$Q$4:$Q$26,0),0)</f>
        <v>17.5</v>
      </c>
      <c r="F396" s="344">
        <f ca="1">OFFSET('Zip Code Lines_1'!$Z$3,MATCH('Zip Code Lines_1'!C396,'Zip Code Lines_1'!$Q$4:$Q$26,0),0)</f>
        <v>88</v>
      </c>
      <c r="G396" s="342">
        <f ca="1">OFFSET('Zip Code Lines_1'!$AC$3,MATCH('Zip Code Lines_1'!C396,'Zip Code Lines_1'!$Q$4:$Q$26,0),0)</f>
        <v>6</v>
      </c>
      <c r="H396" s="342">
        <v>11222</v>
      </c>
    </row>
    <row r="397" spans="2:8" x14ac:dyDescent="0.25">
      <c r="B397" s="342">
        <v>11223</v>
      </c>
      <c r="C397" s="343" t="s">
        <v>555</v>
      </c>
      <c r="D397" s="343" t="str">
        <f ca="1">OFFSET('Zip Code Lines_1'!$U$3,MATCH('Zip Code Lines_1'!C397,'Zip Code Lines_1'!$Q$4:$Q$26,0),0)</f>
        <v>NY - JFK</v>
      </c>
      <c r="E397" s="344">
        <f ca="1">OFFSET('Zip Code Lines_1'!$W$3,MATCH('Zip Code Lines_1'!C397,'Zip Code Lines_1'!$Q$4:$Q$26,0),0)</f>
        <v>18</v>
      </c>
      <c r="F397" s="344">
        <f ca="1">OFFSET('Zip Code Lines_1'!$Z$3,MATCH('Zip Code Lines_1'!C397,'Zip Code Lines_1'!$Q$4:$Q$26,0),0)</f>
        <v>86.6</v>
      </c>
      <c r="G397" s="342">
        <f ca="1">OFFSET('Zip Code Lines_1'!$AC$3,MATCH('Zip Code Lines_1'!C397,'Zip Code Lines_1'!$Q$4:$Q$26,0),0)</f>
        <v>6</v>
      </c>
      <c r="H397" s="342">
        <v>11223</v>
      </c>
    </row>
    <row r="398" spans="2:8" x14ac:dyDescent="0.25">
      <c r="B398" s="342">
        <v>11224</v>
      </c>
      <c r="C398" s="343" t="s">
        <v>552</v>
      </c>
      <c r="D398" s="343" t="str">
        <f ca="1">OFFSET('Zip Code Lines_1'!$U$3,MATCH('Zip Code Lines_1'!C398,'Zip Code Lines_1'!$Q$4:$Q$26,0),0)</f>
        <v>NY - Central Park</v>
      </c>
      <c r="E398" s="344">
        <f ca="1">OFFSET('Zip Code Lines_1'!$W$3,MATCH('Zip Code Lines_1'!C398,'Zip Code Lines_1'!$Q$4:$Q$26,0),0)</f>
        <v>17.5</v>
      </c>
      <c r="F398" s="344">
        <f ca="1">OFFSET('Zip Code Lines_1'!$Z$3,MATCH('Zip Code Lines_1'!C398,'Zip Code Lines_1'!$Q$4:$Q$26,0),0)</f>
        <v>88</v>
      </c>
      <c r="G398" s="342">
        <f ca="1">OFFSET('Zip Code Lines_1'!$AC$3,MATCH('Zip Code Lines_1'!C398,'Zip Code Lines_1'!$Q$4:$Q$26,0),0)</f>
        <v>6</v>
      </c>
      <c r="H398" s="342">
        <v>11224</v>
      </c>
    </row>
    <row r="399" spans="2:8" x14ac:dyDescent="0.25">
      <c r="B399" s="342">
        <v>11225</v>
      </c>
      <c r="C399" s="343" t="s">
        <v>552</v>
      </c>
      <c r="D399" s="343" t="str">
        <f ca="1">OFFSET('Zip Code Lines_1'!$U$3,MATCH('Zip Code Lines_1'!C399,'Zip Code Lines_1'!$Q$4:$Q$26,0),0)</f>
        <v>NY - Central Park</v>
      </c>
      <c r="E399" s="344">
        <f ca="1">OFFSET('Zip Code Lines_1'!$W$3,MATCH('Zip Code Lines_1'!C399,'Zip Code Lines_1'!$Q$4:$Q$26,0),0)</f>
        <v>17.5</v>
      </c>
      <c r="F399" s="344">
        <f ca="1">OFFSET('Zip Code Lines_1'!$Z$3,MATCH('Zip Code Lines_1'!C399,'Zip Code Lines_1'!$Q$4:$Q$26,0),0)</f>
        <v>88</v>
      </c>
      <c r="G399" s="342">
        <f ca="1">OFFSET('Zip Code Lines_1'!$AC$3,MATCH('Zip Code Lines_1'!C399,'Zip Code Lines_1'!$Q$4:$Q$26,0),0)</f>
        <v>6</v>
      </c>
      <c r="H399" s="342">
        <v>11225</v>
      </c>
    </row>
    <row r="400" spans="2:8" x14ac:dyDescent="0.25">
      <c r="B400" s="342">
        <v>11226</v>
      </c>
      <c r="C400" s="343" t="s">
        <v>552</v>
      </c>
      <c r="D400" s="343" t="str">
        <f ca="1">OFFSET('Zip Code Lines_1'!$U$3,MATCH('Zip Code Lines_1'!C400,'Zip Code Lines_1'!$Q$4:$Q$26,0),0)</f>
        <v>NY - Central Park</v>
      </c>
      <c r="E400" s="344">
        <f ca="1">OFFSET('Zip Code Lines_1'!$W$3,MATCH('Zip Code Lines_1'!C400,'Zip Code Lines_1'!$Q$4:$Q$26,0),0)</f>
        <v>17.5</v>
      </c>
      <c r="F400" s="344">
        <f ca="1">OFFSET('Zip Code Lines_1'!$Z$3,MATCH('Zip Code Lines_1'!C400,'Zip Code Lines_1'!$Q$4:$Q$26,0),0)</f>
        <v>88</v>
      </c>
      <c r="G400" s="342">
        <f ca="1">OFFSET('Zip Code Lines_1'!$AC$3,MATCH('Zip Code Lines_1'!C400,'Zip Code Lines_1'!$Q$4:$Q$26,0),0)</f>
        <v>6</v>
      </c>
      <c r="H400" s="342">
        <v>11226</v>
      </c>
    </row>
    <row r="401" spans="2:8" x14ac:dyDescent="0.25">
      <c r="B401" s="342">
        <v>11228</v>
      </c>
      <c r="C401" s="343" t="s">
        <v>552</v>
      </c>
      <c r="D401" s="343" t="str">
        <f ca="1">OFFSET('Zip Code Lines_1'!$U$3,MATCH('Zip Code Lines_1'!C401,'Zip Code Lines_1'!$Q$4:$Q$26,0),0)</f>
        <v>NY - Central Park</v>
      </c>
      <c r="E401" s="344">
        <f ca="1">OFFSET('Zip Code Lines_1'!$W$3,MATCH('Zip Code Lines_1'!C401,'Zip Code Lines_1'!$Q$4:$Q$26,0),0)</f>
        <v>17.5</v>
      </c>
      <c r="F401" s="344">
        <f ca="1">OFFSET('Zip Code Lines_1'!$Z$3,MATCH('Zip Code Lines_1'!C401,'Zip Code Lines_1'!$Q$4:$Q$26,0),0)</f>
        <v>88</v>
      </c>
      <c r="G401" s="342">
        <f ca="1">OFFSET('Zip Code Lines_1'!$AC$3,MATCH('Zip Code Lines_1'!C401,'Zip Code Lines_1'!$Q$4:$Q$26,0),0)</f>
        <v>6</v>
      </c>
      <c r="H401" s="342">
        <v>11228</v>
      </c>
    </row>
    <row r="402" spans="2:8" x14ac:dyDescent="0.25">
      <c r="B402" s="342">
        <v>11229</v>
      </c>
      <c r="C402" s="343" t="s">
        <v>555</v>
      </c>
      <c r="D402" s="343" t="str">
        <f ca="1">OFFSET('Zip Code Lines_1'!$U$3,MATCH('Zip Code Lines_1'!C402,'Zip Code Lines_1'!$Q$4:$Q$26,0),0)</f>
        <v>NY - JFK</v>
      </c>
      <c r="E402" s="344">
        <f ca="1">OFFSET('Zip Code Lines_1'!$W$3,MATCH('Zip Code Lines_1'!C402,'Zip Code Lines_1'!$Q$4:$Q$26,0),0)</f>
        <v>18</v>
      </c>
      <c r="F402" s="344">
        <f ca="1">OFFSET('Zip Code Lines_1'!$Z$3,MATCH('Zip Code Lines_1'!C402,'Zip Code Lines_1'!$Q$4:$Q$26,0),0)</f>
        <v>86.6</v>
      </c>
      <c r="G402" s="342">
        <f ca="1">OFFSET('Zip Code Lines_1'!$AC$3,MATCH('Zip Code Lines_1'!C402,'Zip Code Lines_1'!$Q$4:$Q$26,0),0)</f>
        <v>6</v>
      </c>
      <c r="H402" s="342">
        <v>11229</v>
      </c>
    </row>
    <row r="403" spans="2:8" x14ac:dyDescent="0.25">
      <c r="B403" s="342">
        <v>11230</v>
      </c>
      <c r="C403" s="343" t="s">
        <v>552</v>
      </c>
      <c r="D403" s="343" t="str">
        <f ca="1">OFFSET('Zip Code Lines_1'!$U$3,MATCH('Zip Code Lines_1'!C403,'Zip Code Lines_1'!$Q$4:$Q$26,0),0)</f>
        <v>NY - Central Park</v>
      </c>
      <c r="E403" s="344">
        <f ca="1">OFFSET('Zip Code Lines_1'!$W$3,MATCH('Zip Code Lines_1'!C403,'Zip Code Lines_1'!$Q$4:$Q$26,0),0)</f>
        <v>17.5</v>
      </c>
      <c r="F403" s="344">
        <f ca="1">OFFSET('Zip Code Lines_1'!$Z$3,MATCH('Zip Code Lines_1'!C403,'Zip Code Lines_1'!$Q$4:$Q$26,0),0)</f>
        <v>88</v>
      </c>
      <c r="G403" s="342">
        <f ca="1">OFFSET('Zip Code Lines_1'!$AC$3,MATCH('Zip Code Lines_1'!C403,'Zip Code Lines_1'!$Q$4:$Q$26,0),0)</f>
        <v>6</v>
      </c>
      <c r="H403" s="342">
        <v>11230</v>
      </c>
    </row>
    <row r="404" spans="2:8" x14ac:dyDescent="0.25">
      <c r="B404" s="342">
        <v>11231</v>
      </c>
      <c r="C404" s="343" t="s">
        <v>552</v>
      </c>
      <c r="D404" s="343" t="str">
        <f ca="1">OFFSET('Zip Code Lines_1'!$U$3,MATCH('Zip Code Lines_1'!C404,'Zip Code Lines_1'!$Q$4:$Q$26,0),0)</f>
        <v>NY - Central Park</v>
      </c>
      <c r="E404" s="344">
        <f ca="1">OFFSET('Zip Code Lines_1'!$W$3,MATCH('Zip Code Lines_1'!C404,'Zip Code Lines_1'!$Q$4:$Q$26,0),0)</f>
        <v>17.5</v>
      </c>
      <c r="F404" s="344">
        <f ca="1">OFFSET('Zip Code Lines_1'!$Z$3,MATCH('Zip Code Lines_1'!C404,'Zip Code Lines_1'!$Q$4:$Q$26,0),0)</f>
        <v>88</v>
      </c>
      <c r="G404" s="342">
        <f ca="1">OFFSET('Zip Code Lines_1'!$AC$3,MATCH('Zip Code Lines_1'!C404,'Zip Code Lines_1'!$Q$4:$Q$26,0),0)</f>
        <v>6</v>
      </c>
      <c r="H404" s="342">
        <v>11231</v>
      </c>
    </row>
    <row r="405" spans="2:8" x14ac:dyDescent="0.25">
      <c r="B405" s="342">
        <v>11232</v>
      </c>
      <c r="C405" s="343" t="s">
        <v>552</v>
      </c>
      <c r="D405" s="343" t="str">
        <f ca="1">OFFSET('Zip Code Lines_1'!$U$3,MATCH('Zip Code Lines_1'!C405,'Zip Code Lines_1'!$Q$4:$Q$26,0),0)</f>
        <v>NY - Central Park</v>
      </c>
      <c r="E405" s="344">
        <f ca="1">OFFSET('Zip Code Lines_1'!$W$3,MATCH('Zip Code Lines_1'!C405,'Zip Code Lines_1'!$Q$4:$Q$26,0),0)</f>
        <v>17.5</v>
      </c>
      <c r="F405" s="344">
        <f ca="1">OFFSET('Zip Code Lines_1'!$Z$3,MATCH('Zip Code Lines_1'!C405,'Zip Code Lines_1'!$Q$4:$Q$26,0),0)</f>
        <v>88</v>
      </c>
      <c r="G405" s="342">
        <f ca="1">OFFSET('Zip Code Lines_1'!$AC$3,MATCH('Zip Code Lines_1'!C405,'Zip Code Lines_1'!$Q$4:$Q$26,0),0)</f>
        <v>6</v>
      </c>
      <c r="H405" s="342">
        <v>11232</v>
      </c>
    </row>
    <row r="406" spans="2:8" x14ac:dyDescent="0.25">
      <c r="B406" s="342">
        <v>11233</v>
      </c>
      <c r="C406" s="343" t="s">
        <v>552</v>
      </c>
      <c r="D406" s="343" t="str">
        <f ca="1">OFFSET('Zip Code Lines_1'!$U$3,MATCH('Zip Code Lines_1'!C406,'Zip Code Lines_1'!$Q$4:$Q$26,0),0)</f>
        <v>NY - Central Park</v>
      </c>
      <c r="E406" s="344">
        <f ca="1">OFFSET('Zip Code Lines_1'!$W$3,MATCH('Zip Code Lines_1'!C406,'Zip Code Lines_1'!$Q$4:$Q$26,0),0)</f>
        <v>17.5</v>
      </c>
      <c r="F406" s="344">
        <f ca="1">OFFSET('Zip Code Lines_1'!$Z$3,MATCH('Zip Code Lines_1'!C406,'Zip Code Lines_1'!$Q$4:$Q$26,0),0)</f>
        <v>88</v>
      </c>
      <c r="G406" s="342">
        <f ca="1">OFFSET('Zip Code Lines_1'!$AC$3,MATCH('Zip Code Lines_1'!C406,'Zip Code Lines_1'!$Q$4:$Q$26,0),0)</f>
        <v>6</v>
      </c>
      <c r="H406" s="342">
        <v>11233</v>
      </c>
    </row>
    <row r="407" spans="2:8" x14ac:dyDescent="0.25">
      <c r="B407" s="342">
        <v>11234</v>
      </c>
      <c r="C407" s="343" t="s">
        <v>552</v>
      </c>
      <c r="D407" s="343" t="str">
        <f ca="1">OFFSET('Zip Code Lines_1'!$U$3,MATCH('Zip Code Lines_1'!C407,'Zip Code Lines_1'!$Q$4:$Q$26,0),0)</f>
        <v>NY - Central Park</v>
      </c>
      <c r="E407" s="344">
        <f ca="1">OFFSET('Zip Code Lines_1'!$W$3,MATCH('Zip Code Lines_1'!C407,'Zip Code Lines_1'!$Q$4:$Q$26,0),0)</f>
        <v>17.5</v>
      </c>
      <c r="F407" s="344">
        <f ca="1">OFFSET('Zip Code Lines_1'!$Z$3,MATCH('Zip Code Lines_1'!C407,'Zip Code Lines_1'!$Q$4:$Q$26,0),0)</f>
        <v>88</v>
      </c>
      <c r="G407" s="342">
        <f ca="1">OFFSET('Zip Code Lines_1'!$AC$3,MATCH('Zip Code Lines_1'!C407,'Zip Code Lines_1'!$Q$4:$Q$26,0),0)</f>
        <v>6</v>
      </c>
      <c r="H407" s="342">
        <v>11234</v>
      </c>
    </row>
    <row r="408" spans="2:8" x14ac:dyDescent="0.25">
      <c r="B408" s="342">
        <v>11235</v>
      </c>
      <c r="C408" s="343" t="s">
        <v>552</v>
      </c>
      <c r="D408" s="343" t="str">
        <f ca="1">OFFSET('Zip Code Lines_1'!$U$3,MATCH('Zip Code Lines_1'!C408,'Zip Code Lines_1'!$Q$4:$Q$26,0),0)</f>
        <v>NY - Central Park</v>
      </c>
      <c r="E408" s="344">
        <f ca="1">OFFSET('Zip Code Lines_1'!$W$3,MATCH('Zip Code Lines_1'!C408,'Zip Code Lines_1'!$Q$4:$Q$26,0),0)</f>
        <v>17.5</v>
      </c>
      <c r="F408" s="344">
        <f ca="1">OFFSET('Zip Code Lines_1'!$Z$3,MATCH('Zip Code Lines_1'!C408,'Zip Code Lines_1'!$Q$4:$Q$26,0),0)</f>
        <v>88</v>
      </c>
      <c r="G408" s="342">
        <f ca="1">OFFSET('Zip Code Lines_1'!$AC$3,MATCH('Zip Code Lines_1'!C408,'Zip Code Lines_1'!$Q$4:$Q$26,0),0)</f>
        <v>6</v>
      </c>
      <c r="H408" s="342">
        <v>11235</v>
      </c>
    </row>
    <row r="409" spans="2:8" x14ac:dyDescent="0.25">
      <c r="B409" s="342">
        <v>11236</v>
      </c>
      <c r="C409" s="343" t="s">
        <v>552</v>
      </c>
      <c r="D409" s="343" t="str">
        <f ca="1">OFFSET('Zip Code Lines_1'!$U$3,MATCH('Zip Code Lines_1'!C409,'Zip Code Lines_1'!$Q$4:$Q$26,0),0)</f>
        <v>NY - Central Park</v>
      </c>
      <c r="E409" s="344">
        <f ca="1">OFFSET('Zip Code Lines_1'!$W$3,MATCH('Zip Code Lines_1'!C409,'Zip Code Lines_1'!$Q$4:$Q$26,0),0)</f>
        <v>17.5</v>
      </c>
      <c r="F409" s="344">
        <f ca="1">OFFSET('Zip Code Lines_1'!$Z$3,MATCH('Zip Code Lines_1'!C409,'Zip Code Lines_1'!$Q$4:$Q$26,0),0)</f>
        <v>88</v>
      </c>
      <c r="G409" s="342">
        <f ca="1">OFFSET('Zip Code Lines_1'!$AC$3,MATCH('Zip Code Lines_1'!C409,'Zip Code Lines_1'!$Q$4:$Q$26,0),0)</f>
        <v>6</v>
      </c>
      <c r="H409" s="342">
        <v>11236</v>
      </c>
    </row>
    <row r="410" spans="2:8" x14ac:dyDescent="0.25">
      <c r="B410" s="342">
        <v>11237</v>
      </c>
      <c r="C410" s="343" t="s">
        <v>552</v>
      </c>
      <c r="D410" s="343" t="str">
        <f ca="1">OFFSET('Zip Code Lines_1'!$U$3,MATCH('Zip Code Lines_1'!C410,'Zip Code Lines_1'!$Q$4:$Q$26,0),0)</f>
        <v>NY - Central Park</v>
      </c>
      <c r="E410" s="344">
        <f ca="1">OFFSET('Zip Code Lines_1'!$W$3,MATCH('Zip Code Lines_1'!C410,'Zip Code Lines_1'!$Q$4:$Q$26,0),0)</f>
        <v>17.5</v>
      </c>
      <c r="F410" s="344">
        <f ca="1">OFFSET('Zip Code Lines_1'!$Z$3,MATCH('Zip Code Lines_1'!C410,'Zip Code Lines_1'!$Q$4:$Q$26,0),0)</f>
        <v>88</v>
      </c>
      <c r="G410" s="342">
        <f ca="1">OFFSET('Zip Code Lines_1'!$AC$3,MATCH('Zip Code Lines_1'!C410,'Zip Code Lines_1'!$Q$4:$Q$26,0),0)</f>
        <v>6</v>
      </c>
      <c r="H410" s="342">
        <v>11237</v>
      </c>
    </row>
    <row r="411" spans="2:8" x14ac:dyDescent="0.25">
      <c r="B411" s="342">
        <v>11238</v>
      </c>
      <c r="C411" s="343" t="s">
        <v>552</v>
      </c>
      <c r="D411" s="343" t="str">
        <f ca="1">OFFSET('Zip Code Lines_1'!$U$3,MATCH('Zip Code Lines_1'!C411,'Zip Code Lines_1'!$Q$4:$Q$26,0),0)</f>
        <v>NY - Central Park</v>
      </c>
      <c r="E411" s="344">
        <f ca="1">OFFSET('Zip Code Lines_1'!$W$3,MATCH('Zip Code Lines_1'!C411,'Zip Code Lines_1'!$Q$4:$Q$26,0),0)</f>
        <v>17.5</v>
      </c>
      <c r="F411" s="344">
        <f ca="1">OFFSET('Zip Code Lines_1'!$Z$3,MATCH('Zip Code Lines_1'!C411,'Zip Code Lines_1'!$Q$4:$Q$26,0),0)</f>
        <v>88</v>
      </c>
      <c r="G411" s="342">
        <f ca="1">OFFSET('Zip Code Lines_1'!$AC$3,MATCH('Zip Code Lines_1'!C411,'Zip Code Lines_1'!$Q$4:$Q$26,0),0)</f>
        <v>6</v>
      </c>
      <c r="H411" s="342">
        <v>11238</v>
      </c>
    </row>
    <row r="412" spans="2:8" x14ac:dyDescent="0.25">
      <c r="B412" s="342">
        <v>11239</v>
      </c>
      <c r="C412" s="343" t="s">
        <v>552</v>
      </c>
      <c r="D412" s="343" t="str">
        <f ca="1">OFFSET('Zip Code Lines_1'!$U$3,MATCH('Zip Code Lines_1'!C412,'Zip Code Lines_1'!$Q$4:$Q$26,0),0)</f>
        <v>NY - Central Park</v>
      </c>
      <c r="E412" s="344">
        <f ca="1">OFFSET('Zip Code Lines_1'!$W$3,MATCH('Zip Code Lines_1'!C412,'Zip Code Lines_1'!$Q$4:$Q$26,0),0)</f>
        <v>17.5</v>
      </c>
      <c r="F412" s="344">
        <f ca="1">OFFSET('Zip Code Lines_1'!$Z$3,MATCH('Zip Code Lines_1'!C412,'Zip Code Lines_1'!$Q$4:$Q$26,0),0)</f>
        <v>88</v>
      </c>
      <c r="G412" s="342">
        <f ca="1">OFFSET('Zip Code Lines_1'!$AC$3,MATCH('Zip Code Lines_1'!C412,'Zip Code Lines_1'!$Q$4:$Q$26,0),0)</f>
        <v>6</v>
      </c>
      <c r="H412" s="342">
        <v>11239</v>
      </c>
    </row>
    <row r="413" spans="2:8" x14ac:dyDescent="0.25">
      <c r="B413" s="342">
        <v>11241</v>
      </c>
      <c r="C413" s="343" t="s">
        <v>552</v>
      </c>
      <c r="D413" s="343" t="str">
        <f ca="1">OFFSET('Zip Code Lines_1'!$U$3,MATCH('Zip Code Lines_1'!C413,'Zip Code Lines_1'!$Q$4:$Q$26,0),0)</f>
        <v>NY - Central Park</v>
      </c>
      <c r="E413" s="344">
        <f ca="1">OFFSET('Zip Code Lines_1'!$W$3,MATCH('Zip Code Lines_1'!C413,'Zip Code Lines_1'!$Q$4:$Q$26,0),0)</f>
        <v>17.5</v>
      </c>
      <c r="F413" s="344">
        <f ca="1">OFFSET('Zip Code Lines_1'!$Z$3,MATCH('Zip Code Lines_1'!C413,'Zip Code Lines_1'!$Q$4:$Q$26,0),0)</f>
        <v>88</v>
      </c>
      <c r="G413" s="342">
        <f ca="1">OFFSET('Zip Code Lines_1'!$AC$3,MATCH('Zip Code Lines_1'!C413,'Zip Code Lines_1'!$Q$4:$Q$26,0),0)</f>
        <v>6</v>
      </c>
      <c r="H413" s="342">
        <v>11241</v>
      </c>
    </row>
    <row r="414" spans="2:8" x14ac:dyDescent="0.25">
      <c r="B414" s="342">
        <v>11242</v>
      </c>
      <c r="C414" s="343" t="s">
        <v>552</v>
      </c>
      <c r="D414" s="343" t="str">
        <f ca="1">OFFSET('Zip Code Lines_1'!$U$3,MATCH('Zip Code Lines_1'!C414,'Zip Code Lines_1'!$Q$4:$Q$26,0),0)</f>
        <v>NY - Central Park</v>
      </c>
      <c r="E414" s="344">
        <f ca="1">OFFSET('Zip Code Lines_1'!$W$3,MATCH('Zip Code Lines_1'!C414,'Zip Code Lines_1'!$Q$4:$Q$26,0),0)</f>
        <v>17.5</v>
      </c>
      <c r="F414" s="344">
        <f ca="1">OFFSET('Zip Code Lines_1'!$Z$3,MATCH('Zip Code Lines_1'!C414,'Zip Code Lines_1'!$Q$4:$Q$26,0),0)</f>
        <v>88</v>
      </c>
      <c r="G414" s="342">
        <f ca="1">OFFSET('Zip Code Lines_1'!$AC$3,MATCH('Zip Code Lines_1'!C414,'Zip Code Lines_1'!$Q$4:$Q$26,0),0)</f>
        <v>6</v>
      </c>
      <c r="H414" s="342">
        <v>11242</v>
      </c>
    </row>
    <row r="415" spans="2:8" x14ac:dyDescent="0.25">
      <c r="B415" s="342">
        <v>11243</v>
      </c>
      <c r="C415" s="343" t="s">
        <v>552</v>
      </c>
      <c r="D415" s="343" t="str">
        <f ca="1">OFFSET('Zip Code Lines_1'!$U$3,MATCH('Zip Code Lines_1'!C415,'Zip Code Lines_1'!$Q$4:$Q$26,0),0)</f>
        <v>NY - Central Park</v>
      </c>
      <c r="E415" s="344">
        <f ca="1">OFFSET('Zip Code Lines_1'!$W$3,MATCH('Zip Code Lines_1'!C415,'Zip Code Lines_1'!$Q$4:$Q$26,0),0)</f>
        <v>17.5</v>
      </c>
      <c r="F415" s="344">
        <f ca="1">OFFSET('Zip Code Lines_1'!$Z$3,MATCH('Zip Code Lines_1'!C415,'Zip Code Lines_1'!$Q$4:$Q$26,0),0)</f>
        <v>88</v>
      </c>
      <c r="G415" s="342">
        <f ca="1">OFFSET('Zip Code Lines_1'!$AC$3,MATCH('Zip Code Lines_1'!C415,'Zip Code Lines_1'!$Q$4:$Q$26,0),0)</f>
        <v>6</v>
      </c>
      <c r="H415" s="342">
        <v>11243</v>
      </c>
    </row>
    <row r="416" spans="2:8" x14ac:dyDescent="0.25">
      <c r="B416" s="342">
        <v>11245</v>
      </c>
      <c r="C416" s="343" t="s">
        <v>552</v>
      </c>
      <c r="D416" s="343" t="str">
        <f ca="1">OFFSET('Zip Code Lines_1'!$U$3,MATCH('Zip Code Lines_1'!C416,'Zip Code Lines_1'!$Q$4:$Q$26,0),0)</f>
        <v>NY - Central Park</v>
      </c>
      <c r="E416" s="344">
        <f ca="1">OFFSET('Zip Code Lines_1'!$W$3,MATCH('Zip Code Lines_1'!C416,'Zip Code Lines_1'!$Q$4:$Q$26,0),0)</f>
        <v>17.5</v>
      </c>
      <c r="F416" s="344">
        <f ca="1">OFFSET('Zip Code Lines_1'!$Z$3,MATCH('Zip Code Lines_1'!C416,'Zip Code Lines_1'!$Q$4:$Q$26,0),0)</f>
        <v>88</v>
      </c>
      <c r="G416" s="342">
        <f ca="1">OFFSET('Zip Code Lines_1'!$AC$3,MATCH('Zip Code Lines_1'!C416,'Zip Code Lines_1'!$Q$4:$Q$26,0),0)</f>
        <v>6</v>
      </c>
      <c r="H416" s="342">
        <v>11245</v>
      </c>
    </row>
    <row r="417" spans="2:8" x14ac:dyDescent="0.25">
      <c r="B417" s="342">
        <v>11247</v>
      </c>
      <c r="C417" s="343" t="s">
        <v>552</v>
      </c>
      <c r="D417" s="343" t="str">
        <f ca="1">OFFSET('Zip Code Lines_1'!$U$3,MATCH('Zip Code Lines_1'!C417,'Zip Code Lines_1'!$Q$4:$Q$26,0),0)</f>
        <v>NY - Central Park</v>
      </c>
      <c r="E417" s="344">
        <f ca="1">OFFSET('Zip Code Lines_1'!$W$3,MATCH('Zip Code Lines_1'!C417,'Zip Code Lines_1'!$Q$4:$Q$26,0),0)</f>
        <v>17.5</v>
      </c>
      <c r="F417" s="344">
        <f ca="1">OFFSET('Zip Code Lines_1'!$Z$3,MATCH('Zip Code Lines_1'!C417,'Zip Code Lines_1'!$Q$4:$Q$26,0),0)</f>
        <v>88</v>
      </c>
      <c r="G417" s="342">
        <f ca="1">OFFSET('Zip Code Lines_1'!$AC$3,MATCH('Zip Code Lines_1'!C417,'Zip Code Lines_1'!$Q$4:$Q$26,0),0)</f>
        <v>6</v>
      </c>
      <c r="H417" s="342">
        <v>11247</v>
      </c>
    </row>
    <row r="418" spans="2:8" x14ac:dyDescent="0.25">
      <c r="B418" s="342">
        <v>11249</v>
      </c>
      <c r="C418" s="343" t="s">
        <v>552</v>
      </c>
      <c r="D418" s="343" t="str">
        <f ca="1">OFFSET('Zip Code Lines_1'!$U$3,MATCH('Zip Code Lines_1'!C418,'Zip Code Lines_1'!$Q$4:$Q$26,0),0)</f>
        <v>NY - Central Park</v>
      </c>
      <c r="E418" s="344">
        <f ca="1">OFFSET('Zip Code Lines_1'!$W$3,MATCH('Zip Code Lines_1'!C418,'Zip Code Lines_1'!$Q$4:$Q$26,0),0)</f>
        <v>17.5</v>
      </c>
      <c r="F418" s="344">
        <f ca="1">OFFSET('Zip Code Lines_1'!$Z$3,MATCH('Zip Code Lines_1'!C418,'Zip Code Lines_1'!$Q$4:$Q$26,0),0)</f>
        <v>88</v>
      </c>
      <c r="G418" s="342">
        <f ca="1">OFFSET('Zip Code Lines_1'!$AC$3,MATCH('Zip Code Lines_1'!C418,'Zip Code Lines_1'!$Q$4:$Q$26,0),0)</f>
        <v>6</v>
      </c>
      <c r="H418" s="342">
        <v>11249</v>
      </c>
    </row>
    <row r="419" spans="2:8" x14ac:dyDescent="0.25">
      <c r="B419" s="342">
        <v>11251</v>
      </c>
      <c r="C419" s="343" t="s">
        <v>552</v>
      </c>
      <c r="D419" s="343" t="str">
        <f ca="1">OFFSET('Zip Code Lines_1'!$U$3,MATCH('Zip Code Lines_1'!C419,'Zip Code Lines_1'!$Q$4:$Q$26,0),0)</f>
        <v>NY - Central Park</v>
      </c>
      <c r="E419" s="344">
        <f ca="1">OFFSET('Zip Code Lines_1'!$W$3,MATCH('Zip Code Lines_1'!C419,'Zip Code Lines_1'!$Q$4:$Q$26,0),0)</f>
        <v>17.5</v>
      </c>
      <c r="F419" s="344">
        <f ca="1">OFFSET('Zip Code Lines_1'!$Z$3,MATCH('Zip Code Lines_1'!C419,'Zip Code Lines_1'!$Q$4:$Q$26,0),0)</f>
        <v>88</v>
      </c>
      <c r="G419" s="342">
        <f ca="1">OFFSET('Zip Code Lines_1'!$AC$3,MATCH('Zip Code Lines_1'!C419,'Zip Code Lines_1'!$Q$4:$Q$26,0),0)</f>
        <v>6</v>
      </c>
      <c r="H419" s="342">
        <v>11251</v>
      </c>
    </row>
    <row r="420" spans="2:8" x14ac:dyDescent="0.25">
      <c r="B420" s="342">
        <v>11252</v>
      </c>
      <c r="C420" s="343" t="s">
        <v>555</v>
      </c>
      <c r="D420" s="343" t="str">
        <f ca="1">OFFSET('Zip Code Lines_1'!$U$3,MATCH('Zip Code Lines_1'!C420,'Zip Code Lines_1'!$Q$4:$Q$26,0),0)</f>
        <v>NY - JFK</v>
      </c>
      <c r="E420" s="344">
        <f ca="1">OFFSET('Zip Code Lines_1'!$W$3,MATCH('Zip Code Lines_1'!C420,'Zip Code Lines_1'!$Q$4:$Q$26,0),0)</f>
        <v>18</v>
      </c>
      <c r="F420" s="344">
        <f ca="1">OFFSET('Zip Code Lines_1'!$Z$3,MATCH('Zip Code Lines_1'!C420,'Zip Code Lines_1'!$Q$4:$Q$26,0),0)</f>
        <v>86.6</v>
      </c>
      <c r="G420" s="342">
        <f ca="1">OFFSET('Zip Code Lines_1'!$AC$3,MATCH('Zip Code Lines_1'!C420,'Zip Code Lines_1'!$Q$4:$Q$26,0),0)</f>
        <v>6</v>
      </c>
      <c r="H420" s="342">
        <v>11252</v>
      </c>
    </row>
    <row r="421" spans="2:8" x14ac:dyDescent="0.25">
      <c r="B421" s="342">
        <v>11256</v>
      </c>
      <c r="C421" s="343" t="s">
        <v>552</v>
      </c>
      <c r="D421" s="343" t="str">
        <f ca="1">OFFSET('Zip Code Lines_1'!$U$3,MATCH('Zip Code Lines_1'!C421,'Zip Code Lines_1'!$Q$4:$Q$26,0),0)</f>
        <v>NY - Central Park</v>
      </c>
      <c r="E421" s="344">
        <f ca="1">OFFSET('Zip Code Lines_1'!$W$3,MATCH('Zip Code Lines_1'!C421,'Zip Code Lines_1'!$Q$4:$Q$26,0),0)</f>
        <v>17.5</v>
      </c>
      <c r="F421" s="344">
        <f ca="1">OFFSET('Zip Code Lines_1'!$Z$3,MATCH('Zip Code Lines_1'!C421,'Zip Code Lines_1'!$Q$4:$Q$26,0),0)</f>
        <v>88</v>
      </c>
      <c r="G421" s="342">
        <f ca="1">OFFSET('Zip Code Lines_1'!$AC$3,MATCH('Zip Code Lines_1'!C421,'Zip Code Lines_1'!$Q$4:$Q$26,0),0)</f>
        <v>6</v>
      </c>
      <c r="H421" s="342">
        <v>11256</v>
      </c>
    </row>
    <row r="422" spans="2:8" x14ac:dyDescent="0.25">
      <c r="B422" s="342">
        <v>11351</v>
      </c>
      <c r="C422" s="343" t="s">
        <v>552</v>
      </c>
      <c r="D422" s="343" t="str">
        <f ca="1">OFFSET('Zip Code Lines_1'!$U$3,MATCH('Zip Code Lines_1'!C422,'Zip Code Lines_1'!$Q$4:$Q$26,0),0)</f>
        <v>NY - Central Park</v>
      </c>
      <c r="E422" s="344">
        <f ca="1">OFFSET('Zip Code Lines_1'!$W$3,MATCH('Zip Code Lines_1'!C422,'Zip Code Lines_1'!$Q$4:$Q$26,0),0)</f>
        <v>17.5</v>
      </c>
      <c r="F422" s="344">
        <f ca="1">OFFSET('Zip Code Lines_1'!$Z$3,MATCH('Zip Code Lines_1'!C422,'Zip Code Lines_1'!$Q$4:$Q$26,0),0)</f>
        <v>88</v>
      </c>
      <c r="G422" s="342">
        <f ca="1">OFFSET('Zip Code Lines_1'!$AC$3,MATCH('Zip Code Lines_1'!C422,'Zip Code Lines_1'!$Q$4:$Q$26,0),0)</f>
        <v>6</v>
      </c>
      <c r="H422" s="342">
        <v>11351</v>
      </c>
    </row>
    <row r="423" spans="2:8" x14ac:dyDescent="0.25">
      <c r="B423" s="342">
        <v>11352</v>
      </c>
      <c r="C423" s="343" t="s">
        <v>552</v>
      </c>
      <c r="D423" s="343" t="str">
        <f ca="1">OFFSET('Zip Code Lines_1'!$U$3,MATCH('Zip Code Lines_1'!C423,'Zip Code Lines_1'!$Q$4:$Q$26,0),0)</f>
        <v>NY - Central Park</v>
      </c>
      <c r="E423" s="344">
        <f ca="1">OFFSET('Zip Code Lines_1'!$W$3,MATCH('Zip Code Lines_1'!C423,'Zip Code Lines_1'!$Q$4:$Q$26,0),0)</f>
        <v>17.5</v>
      </c>
      <c r="F423" s="344">
        <f ca="1">OFFSET('Zip Code Lines_1'!$Z$3,MATCH('Zip Code Lines_1'!C423,'Zip Code Lines_1'!$Q$4:$Q$26,0),0)</f>
        <v>88</v>
      </c>
      <c r="G423" s="342">
        <f ca="1">OFFSET('Zip Code Lines_1'!$AC$3,MATCH('Zip Code Lines_1'!C423,'Zip Code Lines_1'!$Q$4:$Q$26,0),0)</f>
        <v>6</v>
      </c>
      <c r="H423" s="342">
        <v>11352</v>
      </c>
    </row>
    <row r="424" spans="2:8" x14ac:dyDescent="0.25">
      <c r="B424" s="342">
        <v>11354</v>
      </c>
      <c r="C424" s="343" t="s">
        <v>558</v>
      </c>
      <c r="D424" s="343" t="str">
        <f ca="1">OFFSET('Zip Code Lines_1'!$U$3,MATCH('Zip Code Lines_1'!C424,'Zip Code Lines_1'!$Q$4:$Q$26,0),0)</f>
        <v>NY- Laguardia</v>
      </c>
      <c r="E424" s="344">
        <f ca="1">OFFSET('Zip Code Lines_1'!$W$3,MATCH('Zip Code Lines_1'!C424,'Zip Code Lines_1'!$Q$4:$Q$26,0),0)</f>
        <v>18.399999999999999</v>
      </c>
      <c r="F424" s="344">
        <f ca="1">OFFSET('Zip Code Lines_1'!$Z$3,MATCH('Zip Code Lines_1'!C424,'Zip Code Lines_1'!$Q$4:$Q$26,0),0)</f>
        <v>89.6</v>
      </c>
      <c r="G424" s="342">
        <f ca="1">OFFSET('Zip Code Lines_1'!$AC$3,MATCH('Zip Code Lines_1'!C424,'Zip Code Lines_1'!$Q$4:$Q$26,0),0)</f>
        <v>6</v>
      </c>
      <c r="H424" s="342">
        <v>11354</v>
      </c>
    </row>
    <row r="425" spans="2:8" x14ac:dyDescent="0.25">
      <c r="B425" s="342">
        <v>11355</v>
      </c>
      <c r="C425" s="343" t="s">
        <v>552</v>
      </c>
      <c r="D425" s="343" t="str">
        <f ca="1">OFFSET('Zip Code Lines_1'!$U$3,MATCH('Zip Code Lines_1'!C425,'Zip Code Lines_1'!$Q$4:$Q$26,0),0)</f>
        <v>NY - Central Park</v>
      </c>
      <c r="E425" s="344">
        <f ca="1">OFFSET('Zip Code Lines_1'!$W$3,MATCH('Zip Code Lines_1'!C425,'Zip Code Lines_1'!$Q$4:$Q$26,0),0)</f>
        <v>17.5</v>
      </c>
      <c r="F425" s="344">
        <f ca="1">OFFSET('Zip Code Lines_1'!$Z$3,MATCH('Zip Code Lines_1'!C425,'Zip Code Lines_1'!$Q$4:$Q$26,0),0)</f>
        <v>88</v>
      </c>
      <c r="G425" s="342">
        <f ca="1">OFFSET('Zip Code Lines_1'!$AC$3,MATCH('Zip Code Lines_1'!C425,'Zip Code Lines_1'!$Q$4:$Q$26,0),0)</f>
        <v>6</v>
      </c>
      <c r="H425" s="342">
        <v>11355</v>
      </c>
    </row>
    <row r="426" spans="2:8" x14ac:dyDescent="0.25">
      <c r="B426" s="342">
        <v>11356</v>
      </c>
      <c r="C426" s="343" t="s">
        <v>558</v>
      </c>
      <c r="D426" s="343" t="str">
        <f ca="1">OFFSET('Zip Code Lines_1'!$U$3,MATCH('Zip Code Lines_1'!C426,'Zip Code Lines_1'!$Q$4:$Q$26,0),0)</f>
        <v>NY- Laguardia</v>
      </c>
      <c r="E426" s="344">
        <f ca="1">OFFSET('Zip Code Lines_1'!$W$3,MATCH('Zip Code Lines_1'!C426,'Zip Code Lines_1'!$Q$4:$Q$26,0),0)</f>
        <v>18.399999999999999</v>
      </c>
      <c r="F426" s="344">
        <f ca="1">OFFSET('Zip Code Lines_1'!$Z$3,MATCH('Zip Code Lines_1'!C426,'Zip Code Lines_1'!$Q$4:$Q$26,0),0)</f>
        <v>89.6</v>
      </c>
      <c r="G426" s="342">
        <f ca="1">OFFSET('Zip Code Lines_1'!$AC$3,MATCH('Zip Code Lines_1'!C426,'Zip Code Lines_1'!$Q$4:$Q$26,0),0)</f>
        <v>6</v>
      </c>
      <c r="H426" s="342">
        <v>11356</v>
      </c>
    </row>
    <row r="427" spans="2:8" x14ac:dyDescent="0.25">
      <c r="B427" s="342">
        <v>11357</v>
      </c>
      <c r="C427" s="343" t="s">
        <v>552</v>
      </c>
      <c r="D427" s="343" t="str">
        <f ca="1">OFFSET('Zip Code Lines_1'!$U$3,MATCH('Zip Code Lines_1'!C427,'Zip Code Lines_1'!$Q$4:$Q$26,0),0)</f>
        <v>NY - Central Park</v>
      </c>
      <c r="E427" s="344">
        <f ca="1">OFFSET('Zip Code Lines_1'!$W$3,MATCH('Zip Code Lines_1'!C427,'Zip Code Lines_1'!$Q$4:$Q$26,0),0)</f>
        <v>17.5</v>
      </c>
      <c r="F427" s="344">
        <f ca="1">OFFSET('Zip Code Lines_1'!$Z$3,MATCH('Zip Code Lines_1'!C427,'Zip Code Lines_1'!$Q$4:$Q$26,0),0)</f>
        <v>88</v>
      </c>
      <c r="G427" s="342">
        <f ca="1">OFFSET('Zip Code Lines_1'!$AC$3,MATCH('Zip Code Lines_1'!C427,'Zip Code Lines_1'!$Q$4:$Q$26,0),0)</f>
        <v>6</v>
      </c>
      <c r="H427" s="342">
        <v>11357</v>
      </c>
    </row>
    <row r="428" spans="2:8" x14ac:dyDescent="0.25">
      <c r="B428" s="342">
        <v>11358</v>
      </c>
      <c r="C428" s="343" t="s">
        <v>552</v>
      </c>
      <c r="D428" s="343" t="str">
        <f ca="1">OFFSET('Zip Code Lines_1'!$U$3,MATCH('Zip Code Lines_1'!C428,'Zip Code Lines_1'!$Q$4:$Q$26,0),0)</f>
        <v>NY - Central Park</v>
      </c>
      <c r="E428" s="344">
        <f ca="1">OFFSET('Zip Code Lines_1'!$W$3,MATCH('Zip Code Lines_1'!C428,'Zip Code Lines_1'!$Q$4:$Q$26,0),0)</f>
        <v>17.5</v>
      </c>
      <c r="F428" s="344">
        <f ca="1">OFFSET('Zip Code Lines_1'!$Z$3,MATCH('Zip Code Lines_1'!C428,'Zip Code Lines_1'!$Q$4:$Q$26,0),0)</f>
        <v>88</v>
      </c>
      <c r="G428" s="342">
        <f ca="1">OFFSET('Zip Code Lines_1'!$AC$3,MATCH('Zip Code Lines_1'!C428,'Zip Code Lines_1'!$Q$4:$Q$26,0),0)</f>
        <v>6</v>
      </c>
      <c r="H428" s="342">
        <v>11358</v>
      </c>
    </row>
    <row r="429" spans="2:8" x14ac:dyDescent="0.25">
      <c r="B429" s="342">
        <v>11359</v>
      </c>
      <c r="C429" s="343" t="s">
        <v>552</v>
      </c>
      <c r="D429" s="343" t="str">
        <f ca="1">OFFSET('Zip Code Lines_1'!$U$3,MATCH('Zip Code Lines_1'!C429,'Zip Code Lines_1'!$Q$4:$Q$26,0),0)</f>
        <v>NY - Central Park</v>
      </c>
      <c r="E429" s="344">
        <f ca="1">OFFSET('Zip Code Lines_1'!$W$3,MATCH('Zip Code Lines_1'!C429,'Zip Code Lines_1'!$Q$4:$Q$26,0),0)</f>
        <v>17.5</v>
      </c>
      <c r="F429" s="344">
        <f ca="1">OFFSET('Zip Code Lines_1'!$Z$3,MATCH('Zip Code Lines_1'!C429,'Zip Code Lines_1'!$Q$4:$Q$26,0),0)</f>
        <v>88</v>
      </c>
      <c r="G429" s="342">
        <f ca="1">OFFSET('Zip Code Lines_1'!$AC$3,MATCH('Zip Code Lines_1'!C429,'Zip Code Lines_1'!$Q$4:$Q$26,0),0)</f>
        <v>6</v>
      </c>
      <c r="H429" s="342">
        <v>11359</v>
      </c>
    </row>
    <row r="430" spans="2:8" x14ac:dyDescent="0.25">
      <c r="B430" s="342">
        <v>11360</v>
      </c>
      <c r="C430" s="343" t="s">
        <v>552</v>
      </c>
      <c r="D430" s="343" t="str">
        <f ca="1">OFFSET('Zip Code Lines_1'!$U$3,MATCH('Zip Code Lines_1'!C430,'Zip Code Lines_1'!$Q$4:$Q$26,0),0)</f>
        <v>NY - Central Park</v>
      </c>
      <c r="E430" s="344">
        <f ca="1">OFFSET('Zip Code Lines_1'!$W$3,MATCH('Zip Code Lines_1'!C430,'Zip Code Lines_1'!$Q$4:$Q$26,0),0)</f>
        <v>17.5</v>
      </c>
      <c r="F430" s="344">
        <f ca="1">OFFSET('Zip Code Lines_1'!$Z$3,MATCH('Zip Code Lines_1'!C430,'Zip Code Lines_1'!$Q$4:$Q$26,0),0)</f>
        <v>88</v>
      </c>
      <c r="G430" s="342">
        <f ca="1">OFFSET('Zip Code Lines_1'!$AC$3,MATCH('Zip Code Lines_1'!C430,'Zip Code Lines_1'!$Q$4:$Q$26,0),0)</f>
        <v>6</v>
      </c>
      <c r="H430" s="342">
        <v>11360</v>
      </c>
    </row>
    <row r="431" spans="2:8" x14ac:dyDescent="0.25">
      <c r="B431" s="342">
        <v>11361</v>
      </c>
      <c r="C431" s="343" t="s">
        <v>552</v>
      </c>
      <c r="D431" s="343" t="str">
        <f ca="1">OFFSET('Zip Code Lines_1'!$U$3,MATCH('Zip Code Lines_1'!C431,'Zip Code Lines_1'!$Q$4:$Q$26,0),0)</f>
        <v>NY - Central Park</v>
      </c>
      <c r="E431" s="344">
        <f ca="1">OFFSET('Zip Code Lines_1'!$W$3,MATCH('Zip Code Lines_1'!C431,'Zip Code Lines_1'!$Q$4:$Q$26,0),0)</f>
        <v>17.5</v>
      </c>
      <c r="F431" s="344">
        <f ca="1">OFFSET('Zip Code Lines_1'!$Z$3,MATCH('Zip Code Lines_1'!C431,'Zip Code Lines_1'!$Q$4:$Q$26,0),0)</f>
        <v>88</v>
      </c>
      <c r="G431" s="342">
        <f ca="1">OFFSET('Zip Code Lines_1'!$AC$3,MATCH('Zip Code Lines_1'!C431,'Zip Code Lines_1'!$Q$4:$Q$26,0),0)</f>
        <v>6</v>
      </c>
      <c r="H431" s="342">
        <v>11361</v>
      </c>
    </row>
    <row r="432" spans="2:8" x14ac:dyDescent="0.25">
      <c r="B432" s="342">
        <v>11362</v>
      </c>
      <c r="C432" s="343" t="s">
        <v>535</v>
      </c>
      <c r="D432" s="343" t="str">
        <f ca="1">OFFSET('Zip Code Lines_1'!$U$3,MATCH('Zip Code Lines_1'!C432,'Zip Code Lines_1'!$Q$4:$Q$26,0),0)</f>
        <v>Farmingdale</v>
      </c>
      <c r="E432" s="344">
        <f ca="1">OFFSET('Zip Code Lines_1'!$W$3,MATCH('Zip Code Lines_1'!C432,'Zip Code Lines_1'!$Q$4:$Q$26,0),0)</f>
        <v>17</v>
      </c>
      <c r="F432" s="344">
        <f ca="1">OFFSET('Zip Code Lines_1'!$Z$3,MATCH('Zip Code Lines_1'!C432,'Zip Code Lines_1'!$Q$4:$Q$26,0),0)</f>
        <v>86.3</v>
      </c>
      <c r="G432" s="342">
        <f ca="1">OFFSET('Zip Code Lines_1'!$AC$3,MATCH('Zip Code Lines_1'!C432,'Zip Code Lines_1'!$Q$4:$Q$26,0),0)</f>
        <v>6</v>
      </c>
      <c r="H432" s="342">
        <v>11362</v>
      </c>
    </row>
    <row r="433" spans="2:8" x14ac:dyDescent="0.25">
      <c r="B433" s="342">
        <v>11363</v>
      </c>
      <c r="C433" s="343" t="s">
        <v>535</v>
      </c>
      <c r="D433" s="343" t="str">
        <f ca="1">OFFSET('Zip Code Lines_1'!$U$3,MATCH('Zip Code Lines_1'!C433,'Zip Code Lines_1'!$Q$4:$Q$26,0),0)</f>
        <v>Farmingdale</v>
      </c>
      <c r="E433" s="344">
        <f ca="1">OFFSET('Zip Code Lines_1'!$W$3,MATCH('Zip Code Lines_1'!C433,'Zip Code Lines_1'!$Q$4:$Q$26,0),0)</f>
        <v>17</v>
      </c>
      <c r="F433" s="344">
        <f ca="1">OFFSET('Zip Code Lines_1'!$Z$3,MATCH('Zip Code Lines_1'!C433,'Zip Code Lines_1'!$Q$4:$Q$26,0),0)</f>
        <v>86.3</v>
      </c>
      <c r="G433" s="342">
        <f ca="1">OFFSET('Zip Code Lines_1'!$AC$3,MATCH('Zip Code Lines_1'!C433,'Zip Code Lines_1'!$Q$4:$Q$26,0),0)</f>
        <v>6</v>
      </c>
      <c r="H433" s="342">
        <v>11363</v>
      </c>
    </row>
    <row r="434" spans="2:8" x14ac:dyDescent="0.25">
      <c r="B434" s="342">
        <v>11364</v>
      </c>
      <c r="C434" s="343" t="s">
        <v>552</v>
      </c>
      <c r="D434" s="343" t="str">
        <f ca="1">OFFSET('Zip Code Lines_1'!$U$3,MATCH('Zip Code Lines_1'!C434,'Zip Code Lines_1'!$Q$4:$Q$26,0),0)</f>
        <v>NY - Central Park</v>
      </c>
      <c r="E434" s="344">
        <f ca="1">OFFSET('Zip Code Lines_1'!$W$3,MATCH('Zip Code Lines_1'!C434,'Zip Code Lines_1'!$Q$4:$Q$26,0),0)</f>
        <v>17.5</v>
      </c>
      <c r="F434" s="344">
        <f ca="1">OFFSET('Zip Code Lines_1'!$Z$3,MATCH('Zip Code Lines_1'!C434,'Zip Code Lines_1'!$Q$4:$Q$26,0),0)</f>
        <v>88</v>
      </c>
      <c r="G434" s="342">
        <f ca="1">OFFSET('Zip Code Lines_1'!$AC$3,MATCH('Zip Code Lines_1'!C434,'Zip Code Lines_1'!$Q$4:$Q$26,0),0)</f>
        <v>6</v>
      </c>
      <c r="H434" s="342">
        <v>11364</v>
      </c>
    </row>
    <row r="435" spans="2:8" x14ac:dyDescent="0.25">
      <c r="B435" s="342">
        <v>11365</v>
      </c>
      <c r="C435" s="343" t="s">
        <v>552</v>
      </c>
      <c r="D435" s="343" t="str">
        <f ca="1">OFFSET('Zip Code Lines_1'!$U$3,MATCH('Zip Code Lines_1'!C435,'Zip Code Lines_1'!$Q$4:$Q$26,0),0)</f>
        <v>NY - Central Park</v>
      </c>
      <c r="E435" s="344">
        <f ca="1">OFFSET('Zip Code Lines_1'!$W$3,MATCH('Zip Code Lines_1'!C435,'Zip Code Lines_1'!$Q$4:$Q$26,0),0)</f>
        <v>17.5</v>
      </c>
      <c r="F435" s="344">
        <f ca="1">OFFSET('Zip Code Lines_1'!$Z$3,MATCH('Zip Code Lines_1'!C435,'Zip Code Lines_1'!$Q$4:$Q$26,0),0)</f>
        <v>88</v>
      </c>
      <c r="G435" s="342">
        <f ca="1">OFFSET('Zip Code Lines_1'!$AC$3,MATCH('Zip Code Lines_1'!C435,'Zip Code Lines_1'!$Q$4:$Q$26,0),0)</f>
        <v>6</v>
      </c>
      <c r="H435" s="342">
        <v>11365</v>
      </c>
    </row>
    <row r="436" spans="2:8" x14ac:dyDescent="0.25">
      <c r="B436" s="342">
        <v>11366</v>
      </c>
      <c r="C436" s="343" t="s">
        <v>552</v>
      </c>
      <c r="D436" s="343" t="str">
        <f ca="1">OFFSET('Zip Code Lines_1'!$U$3,MATCH('Zip Code Lines_1'!C436,'Zip Code Lines_1'!$Q$4:$Q$26,0),0)</f>
        <v>NY - Central Park</v>
      </c>
      <c r="E436" s="344">
        <f ca="1">OFFSET('Zip Code Lines_1'!$W$3,MATCH('Zip Code Lines_1'!C436,'Zip Code Lines_1'!$Q$4:$Q$26,0),0)</f>
        <v>17.5</v>
      </c>
      <c r="F436" s="344">
        <f ca="1">OFFSET('Zip Code Lines_1'!$Z$3,MATCH('Zip Code Lines_1'!C436,'Zip Code Lines_1'!$Q$4:$Q$26,0),0)</f>
        <v>88</v>
      </c>
      <c r="G436" s="342">
        <f ca="1">OFFSET('Zip Code Lines_1'!$AC$3,MATCH('Zip Code Lines_1'!C436,'Zip Code Lines_1'!$Q$4:$Q$26,0),0)</f>
        <v>6</v>
      </c>
      <c r="H436" s="342">
        <v>11366</v>
      </c>
    </row>
    <row r="437" spans="2:8" x14ac:dyDescent="0.25">
      <c r="B437" s="342">
        <v>11367</v>
      </c>
      <c r="C437" s="343" t="s">
        <v>552</v>
      </c>
      <c r="D437" s="343" t="str">
        <f ca="1">OFFSET('Zip Code Lines_1'!$U$3,MATCH('Zip Code Lines_1'!C437,'Zip Code Lines_1'!$Q$4:$Q$26,0),0)</f>
        <v>NY - Central Park</v>
      </c>
      <c r="E437" s="344">
        <f ca="1">OFFSET('Zip Code Lines_1'!$W$3,MATCH('Zip Code Lines_1'!C437,'Zip Code Lines_1'!$Q$4:$Q$26,0),0)</f>
        <v>17.5</v>
      </c>
      <c r="F437" s="344">
        <f ca="1">OFFSET('Zip Code Lines_1'!$Z$3,MATCH('Zip Code Lines_1'!C437,'Zip Code Lines_1'!$Q$4:$Q$26,0),0)</f>
        <v>88</v>
      </c>
      <c r="G437" s="342">
        <f ca="1">OFFSET('Zip Code Lines_1'!$AC$3,MATCH('Zip Code Lines_1'!C437,'Zip Code Lines_1'!$Q$4:$Q$26,0),0)</f>
        <v>6</v>
      </c>
      <c r="H437" s="342">
        <v>11367</v>
      </c>
    </row>
    <row r="438" spans="2:8" x14ac:dyDescent="0.25">
      <c r="B438" s="342">
        <v>11368</v>
      </c>
      <c r="C438" s="343" t="s">
        <v>558</v>
      </c>
      <c r="D438" s="343" t="str">
        <f ca="1">OFFSET('Zip Code Lines_1'!$U$3,MATCH('Zip Code Lines_1'!C438,'Zip Code Lines_1'!$Q$4:$Q$26,0),0)</f>
        <v>NY- Laguardia</v>
      </c>
      <c r="E438" s="344">
        <f ca="1">OFFSET('Zip Code Lines_1'!$W$3,MATCH('Zip Code Lines_1'!C438,'Zip Code Lines_1'!$Q$4:$Q$26,0),0)</f>
        <v>18.399999999999999</v>
      </c>
      <c r="F438" s="344">
        <f ca="1">OFFSET('Zip Code Lines_1'!$Z$3,MATCH('Zip Code Lines_1'!C438,'Zip Code Lines_1'!$Q$4:$Q$26,0),0)</f>
        <v>89.6</v>
      </c>
      <c r="G438" s="342">
        <f ca="1">OFFSET('Zip Code Lines_1'!$AC$3,MATCH('Zip Code Lines_1'!C438,'Zip Code Lines_1'!$Q$4:$Q$26,0),0)</f>
        <v>6</v>
      </c>
      <c r="H438" s="342">
        <v>11368</v>
      </c>
    </row>
    <row r="439" spans="2:8" x14ac:dyDescent="0.25">
      <c r="B439" s="342">
        <v>11369</v>
      </c>
      <c r="C439" s="343" t="s">
        <v>558</v>
      </c>
      <c r="D439" s="343" t="str">
        <f ca="1">OFFSET('Zip Code Lines_1'!$U$3,MATCH('Zip Code Lines_1'!C439,'Zip Code Lines_1'!$Q$4:$Q$26,0),0)</f>
        <v>NY- Laguardia</v>
      </c>
      <c r="E439" s="344">
        <f ca="1">OFFSET('Zip Code Lines_1'!$W$3,MATCH('Zip Code Lines_1'!C439,'Zip Code Lines_1'!$Q$4:$Q$26,0),0)</f>
        <v>18.399999999999999</v>
      </c>
      <c r="F439" s="344">
        <f ca="1">OFFSET('Zip Code Lines_1'!$Z$3,MATCH('Zip Code Lines_1'!C439,'Zip Code Lines_1'!$Q$4:$Q$26,0),0)</f>
        <v>89.6</v>
      </c>
      <c r="G439" s="342">
        <f ca="1">OFFSET('Zip Code Lines_1'!$AC$3,MATCH('Zip Code Lines_1'!C439,'Zip Code Lines_1'!$Q$4:$Q$26,0),0)</f>
        <v>6</v>
      </c>
      <c r="H439" s="342">
        <v>11369</v>
      </c>
    </row>
    <row r="440" spans="2:8" x14ac:dyDescent="0.25">
      <c r="B440" s="342">
        <v>11370</v>
      </c>
      <c r="C440" s="343" t="s">
        <v>558</v>
      </c>
      <c r="D440" s="343" t="str">
        <f ca="1">OFFSET('Zip Code Lines_1'!$U$3,MATCH('Zip Code Lines_1'!C440,'Zip Code Lines_1'!$Q$4:$Q$26,0),0)</f>
        <v>NY- Laguardia</v>
      </c>
      <c r="E440" s="344">
        <f ca="1">OFFSET('Zip Code Lines_1'!$W$3,MATCH('Zip Code Lines_1'!C440,'Zip Code Lines_1'!$Q$4:$Q$26,0),0)</f>
        <v>18.399999999999999</v>
      </c>
      <c r="F440" s="344">
        <f ca="1">OFFSET('Zip Code Lines_1'!$Z$3,MATCH('Zip Code Lines_1'!C440,'Zip Code Lines_1'!$Q$4:$Q$26,0),0)</f>
        <v>89.6</v>
      </c>
      <c r="G440" s="342">
        <f ca="1">OFFSET('Zip Code Lines_1'!$AC$3,MATCH('Zip Code Lines_1'!C440,'Zip Code Lines_1'!$Q$4:$Q$26,0),0)</f>
        <v>6</v>
      </c>
      <c r="H440" s="342">
        <v>11370</v>
      </c>
    </row>
    <row r="441" spans="2:8" x14ac:dyDescent="0.25">
      <c r="B441" s="342">
        <v>11371</v>
      </c>
      <c r="C441" s="343" t="s">
        <v>558</v>
      </c>
      <c r="D441" s="343" t="str">
        <f ca="1">OFFSET('Zip Code Lines_1'!$U$3,MATCH('Zip Code Lines_1'!C441,'Zip Code Lines_1'!$Q$4:$Q$26,0),0)</f>
        <v>NY- Laguardia</v>
      </c>
      <c r="E441" s="344">
        <f ca="1">OFFSET('Zip Code Lines_1'!$W$3,MATCH('Zip Code Lines_1'!C441,'Zip Code Lines_1'!$Q$4:$Q$26,0),0)</f>
        <v>18.399999999999999</v>
      </c>
      <c r="F441" s="344">
        <f ca="1">OFFSET('Zip Code Lines_1'!$Z$3,MATCH('Zip Code Lines_1'!C441,'Zip Code Lines_1'!$Q$4:$Q$26,0),0)</f>
        <v>89.6</v>
      </c>
      <c r="G441" s="342">
        <f ca="1">OFFSET('Zip Code Lines_1'!$AC$3,MATCH('Zip Code Lines_1'!C441,'Zip Code Lines_1'!$Q$4:$Q$26,0),0)</f>
        <v>6</v>
      </c>
      <c r="H441" s="342">
        <v>11371</v>
      </c>
    </row>
    <row r="442" spans="2:8" x14ac:dyDescent="0.25">
      <c r="B442" s="342">
        <v>11372</v>
      </c>
      <c r="C442" s="343" t="s">
        <v>558</v>
      </c>
      <c r="D442" s="343" t="str">
        <f ca="1">OFFSET('Zip Code Lines_1'!$U$3,MATCH('Zip Code Lines_1'!C442,'Zip Code Lines_1'!$Q$4:$Q$26,0),0)</f>
        <v>NY- Laguardia</v>
      </c>
      <c r="E442" s="344">
        <f ca="1">OFFSET('Zip Code Lines_1'!$W$3,MATCH('Zip Code Lines_1'!C442,'Zip Code Lines_1'!$Q$4:$Q$26,0),0)</f>
        <v>18.399999999999999</v>
      </c>
      <c r="F442" s="344">
        <f ca="1">OFFSET('Zip Code Lines_1'!$Z$3,MATCH('Zip Code Lines_1'!C442,'Zip Code Lines_1'!$Q$4:$Q$26,0),0)</f>
        <v>89.6</v>
      </c>
      <c r="G442" s="342">
        <f ca="1">OFFSET('Zip Code Lines_1'!$AC$3,MATCH('Zip Code Lines_1'!C442,'Zip Code Lines_1'!$Q$4:$Q$26,0),0)</f>
        <v>6</v>
      </c>
      <c r="H442" s="342">
        <v>11372</v>
      </c>
    </row>
    <row r="443" spans="2:8" x14ac:dyDescent="0.25">
      <c r="B443" s="342">
        <v>11373</v>
      </c>
      <c r="C443" s="343" t="s">
        <v>552</v>
      </c>
      <c r="D443" s="343" t="str">
        <f ca="1">OFFSET('Zip Code Lines_1'!$U$3,MATCH('Zip Code Lines_1'!C443,'Zip Code Lines_1'!$Q$4:$Q$26,0),0)</f>
        <v>NY - Central Park</v>
      </c>
      <c r="E443" s="344">
        <f ca="1">OFFSET('Zip Code Lines_1'!$W$3,MATCH('Zip Code Lines_1'!C443,'Zip Code Lines_1'!$Q$4:$Q$26,0),0)</f>
        <v>17.5</v>
      </c>
      <c r="F443" s="344">
        <f ca="1">OFFSET('Zip Code Lines_1'!$Z$3,MATCH('Zip Code Lines_1'!C443,'Zip Code Lines_1'!$Q$4:$Q$26,0),0)</f>
        <v>88</v>
      </c>
      <c r="G443" s="342">
        <f ca="1">OFFSET('Zip Code Lines_1'!$AC$3,MATCH('Zip Code Lines_1'!C443,'Zip Code Lines_1'!$Q$4:$Q$26,0),0)</f>
        <v>6</v>
      </c>
      <c r="H443" s="342">
        <v>11373</v>
      </c>
    </row>
    <row r="444" spans="2:8" x14ac:dyDescent="0.25">
      <c r="B444" s="342">
        <v>11374</v>
      </c>
      <c r="C444" s="343" t="s">
        <v>552</v>
      </c>
      <c r="D444" s="343" t="str">
        <f ca="1">OFFSET('Zip Code Lines_1'!$U$3,MATCH('Zip Code Lines_1'!C444,'Zip Code Lines_1'!$Q$4:$Q$26,0),0)</f>
        <v>NY - Central Park</v>
      </c>
      <c r="E444" s="344">
        <f ca="1">OFFSET('Zip Code Lines_1'!$W$3,MATCH('Zip Code Lines_1'!C444,'Zip Code Lines_1'!$Q$4:$Q$26,0),0)</f>
        <v>17.5</v>
      </c>
      <c r="F444" s="344">
        <f ca="1">OFFSET('Zip Code Lines_1'!$Z$3,MATCH('Zip Code Lines_1'!C444,'Zip Code Lines_1'!$Q$4:$Q$26,0),0)</f>
        <v>88</v>
      </c>
      <c r="G444" s="342">
        <f ca="1">OFFSET('Zip Code Lines_1'!$AC$3,MATCH('Zip Code Lines_1'!C444,'Zip Code Lines_1'!$Q$4:$Q$26,0),0)</f>
        <v>6</v>
      </c>
      <c r="H444" s="342">
        <v>11374</v>
      </c>
    </row>
    <row r="445" spans="2:8" x14ac:dyDescent="0.25">
      <c r="B445" s="342">
        <v>11375</v>
      </c>
      <c r="C445" s="343" t="s">
        <v>552</v>
      </c>
      <c r="D445" s="343" t="str">
        <f ca="1">OFFSET('Zip Code Lines_1'!$U$3,MATCH('Zip Code Lines_1'!C445,'Zip Code Lines_1'!$Q$4:$Q$26,0),0)</f>
        <v>NY - Central Park</v>
      </c>
      <c r="E445" s="344">
        <f ca="1">OFFSET('Zip Code Lines_1'!$W$3,MATCH('Zip Code Lines_1'!C445,'Zip Code Lines_1'!$Q$4:$Q$26,0),0)</f>
        <v>17.5</v>
      </c>
      <c r="F445" s="344">
        <f ca="1">OFFSET('Zip Code Lines_1'!$Z$3,MATCH('Zip Code Lines_1'!C445,'Zip Code Lines_1'!$Q$4:$Q$26,0),0)</f>
        <v>88</v>
      </c>
      <c r="G445" s="342">
        <f ca="1">OFFSET('Zip Code Lines_1'!$AC$3,MATCH('Zip Code Lines_1'!C445,'Zip Code Lines_1'!$Q$4:$Q$26,0),0)</f>
        <v>6</v>
      </c>
      <c r="H445" s="342">
        <v>11375</v>
      </c>
    </row>
    <row r="446" spans="2:8" x14ac:dyDescent="0.25">
      <c r="B446" s="342">
        <v>11377</v>
      </c>
      <c r="C446" s="343" t="s">
        <v>552</v>
      </c>
      <c r="D446" s="343" t="str">
        <f ca="1">OFFSET('Zip Code Lines_1'!$U$3,MATCH('Zip Code Lines_1'!C446,'Zip Code Lines_1'!$Q$4:$Q$26,0),0)</f>
        <v>NY - Central Park</v>
      </c>
      <c r="E446" s="344">
        <f ca="1">OFFSET('Zip Code Lines_1'!$W$3,MATCH('Zip Code Lines_1'!C446,'Zip Code Lines_1'!$Q$4:$Q$26,0),0)</f>
        <v>17.5</v>
      </c>
      <c r="F446" s="344">
        <f ca="1">OFFSET('Zip Code Lines_1'!$Z$3,MATCH('Zip Code Lines_1'!C446,'Zip Code Lines_1'!$Q$4:$Q$26,0),0)</f>
        <v>88</v>
      </c>
      <c r="G446" s="342">
        <f ca="1">OFFSET('Zip Code Lines_1'!$AC$3,MATCH('Zip Code Lines_1'!C446,'Zip Code Lines_1'!$Q$4:$Q$26,0),0)</f>
        <v>6</v>
      </c>
      <c r="H446" s="342">
        <v>11377</v>
      </c>
    </row>
    <row r="447" spans="2:8" x14ac:dyDescent="0.25">
      <c r="B447" s="342">
        <v>11378</v>
      </c>
      <c r="C447" s="343" t="s">
        <v>552</v>
      </c>
      <c r="D447" s="343" t="str">
        <f ca="1">OFFSET('Zip Code Lines_1'!$U$3,MATCH('Zip Code Lines_1'!C447,'Zip Code Lines_1'!$Q$4:$Q$26,0),0)</f>
        <v>NY - Central Park</v>
      </c>
      <c r="E447" s="344">
        <f ca="1">OFFSET('Zip Code Lines_1'!$W$3,MATCH('Zip Code Lines_1'!C447,'Zip Code Lines_1'!$Q$4:$Q$26,0),0)</f>
        <v>17.5</v>
      </c>
      <c r="F447" s="344">
        <f ca="1">OFFSET('Zip Code Lines_1'!$Z$3,MATCH('Zip Code Lines_1'!C447,'Zip Code Lines_1'!$Q$4:$Q$26,0),0)</f>
        <v>88</v>
      </c>
      <c r="G447" s="342">
        <f ca="1">OFFSET('Zip Code Lines_1'!$AC$3,MATCH('Zip Code Lines_1'!C447,'Zip Code Lines_1'!$Q$4:$Q$26,0),0)</f>
        <v>6</v>
      </c>
      <c r="H447" s="342">
        <v>11378</v>
      </c>
    </row>
    <row r="448" spans="2:8" x14ac:dyDescent="0.25">
      <c r="B448" s="342">
        <v>11379</v>
      </c>
      <c r="C448" s="343" t="s">
        <v>552</v>
      </c>
      <c r="D448" s="343" t="str">
        <f ca="1">OFFSET('Zip Code Lines_1'!$U$3,MATCH('Zip Code Lines_1'!C448,'Zip Code Lines_1'!$Q$4:$Q$26,0),0)</f>
        <v>NY - Central Park</v>
      </c>
      <c r="E448" s="344">
        <f ca="1">OFFSET('Zip Code Lines_1'!$W$3,MATCH('Zip Code Lines_1'!C448,'Zip Code Lines_1'!$Q$4:$Q$26,0),0)</f>
        <v>17.5</v>
      </c>
      <c r="F448" s="344">
        <f ca="1">OFFSET('Zip Code Lines_1'!$Z$3,MATCH('Zip Code Lines_1'!C448,'Zip Code Lines_1'!$Q$4:$Q$26,0),0)</f>
        <v>88</v>
      </c>
      <c r="G448" s="342">
        <f ca="1">OFFSET('Zip Code Lines_1'!$AC$3,MATCH('Zip Code Lines_1'!C448,'Zip Code Lines_1'!$Q$4:$Q$26,0),0)</f>
        <v>6</v>
      </c>
      <c r="H448" s="342">
        <v>11379</v>
      </c>
    </row>
    <row r="449" spans="2:8" x14ac:dyDescent="0.25">
      <c r="B449" s="342">
        <v>11380</v>
      </c>
      <c r="C449" s="343" t="s">
        <v>558</v>
      </c>
      <c r="D449" s="343" t="str">
        <f ca="1">OFFSET('Zip Code Lines_1'!$U$3,MATCH('Zip Code Lines_1'!C449,'Zip Code Lines_1'!$Q$4:$Q$26,0),0)</f>
        <v>NY- Laguardia</v>
      </c>
      <c r="E449" s="344">
        <f ca="1">OFFSET('Zip Code Lines_1'!$W$3,MATCH('Zip Code Lines_1'!C449,'Zip Code Lines_1'!$Q$4:$Q$26,0),0)</f>
        <v>18.399999999999999</v>
      </c>
      <c r="F449" s="344">
        <f ca="1">OFFSET('Zip Code Lines_1'!$Z$3,MATCH('Zip Code Lines_1'!C449,'Zip Code Lines_1'!$Q$4:$Q$26,0),0)</f>
        <v>89.6</v>
      </c>
      <c r="G449" s="342">
        <f ca="1">OFFSET('Zip Code Lines_1'!$AC$3,MATCH('Zip Code Lines_1'!C449,'Zip Code Lines_1'!$Q$4:$Q$26,0),0)</f>
        <v>6</v>
      </c>
      <c r="H449" s="342">
        <v>11380</v>
      </c>
    </row>
    <row r="450" spans="2:8" x14ac:dyDescent="0.25">
      <c r="B450" s="342">
        <v>11381</v>
      </c>
      <c r="C450" s="343" t="s">
        <v>552</v>
      </c>
      <c r="D450" s="343" t="str">
        <f ca="1">OFFSET('Zip Code Lines_1'!$U$3,MATCH('Zip Code Lines_1'!C450,'Zip Code Lines_1'!$Q$4:$Q$26,0),0)</f>
        <v>NY - Central Park</v>
      </c>
      <c r="E450" s="344">
        <f ca="1">OFFSET('Zip Code Lines_1'!$W$3,MATCH('Zip Code Lines_1'!C450,'Zip Code Lines_1'!$Q$4:$Q$26,0),0)</f>
        <v>17.5</v>
      </c>
      <c r="F450" s="344">
        <f ca="1">OFFSET('Zip Code Lines_1'!$Z$3,MATCH('Zip Code Lines_1'!C450,'Zip Code Lines_1'!$Q$4:$Q$26,0),0)</f>
        <v>88</v>
      </c>
      <c r="G450" s="342">
        <f ca="1">OFFSET('Zip Code Lines_1'!$AC$3,MATCH('Zip Code Lines_1'!C450,'Zip Code Lines_1'!$Q$4:$Q$26,0),0)</f>
        <v>6</v>
      </c>
      <c r="H450" s="342">
        <v>11381</v>
      </c>
    </row>
    <row r="451" spans="2:8" x14ac:dyDescent="0.25">
      <c r="B451" s="342">
        <v>11385</v>
      </c>
      <c r="C451" s="343" t="s">
        <v>552</v>
      </c>
      <c r="D451" s="343" t="str">
        <f ca="1">OFFSET('Zip Code Lines_1'!$U$3,MATCH('Zip Code Lines_1'!C451,'Zip Code Lines_1'!$Q$4:$Q$26,0),0)</f>
        <v>NY - Central Park</v>
      </c>
      <c r="E451" s="344">
        <f ca="1">OFFSET('Zip Code Lines_1'!$W$3,MATCH('Zip Code Lines_1'!C451,'Zip Code Lines_1'!$Q$4:$Q$26,0),0)</f>
        <v>17.5</v>
      </c>
      <c r="F451" s="344">
        <f ca="1">OFFSET('Zip Code Lines_1'!$Z$3,MATCH('Zip Code Lines_1'!C451,'Zip Code Lines_1'!$Q$4:$Q$26,0),0)</f>
        <v>88</v>
      </c>
      <c r="G451" s="342">
        <f ca="1">OFFSET('Zip Code Lines_1'!$AC$3,MATCH('Zip Code Lines_1'!C451,'Zip Code Lines_1'!$Q$4:$Q$26,0),0)</f>
        <v>6</v>
      </c>
      <c r="H451" s="342">
        <v>11385</v>
      </c>
    </row>
    <row r="452" spans="2:8" x14ac:dyDescent="0.25">
      <c r="B452" s="342">
        <v>11386</v>
      </c>
      <c r="C452" s="343" t="s">
        <v>552</v>
      </c>
      <c r="D452" s="343" t="str">
        <f ca="1">OFFSET('Zip Code Lines_1'!$U$3,MATCH('Zip Code Lines_1'!C452,'Zip Code Lines_1'!$Q$4:$Q$26,0),0)</f>
        <v>NY - Central Park</v>
      </c>
      <c r="E452" s="344">
        <f ca="1">OFFSET('Zip Code Lines_1'!$W$3,MATCH('Zip Code Lines_1'!C452,'Zip Code Lines_1'!$Q$4:$Q$26,0),0)</f>
        <v>17.5</v>
      </c>
      <c r="F452" s="344">
        <f ca="1">OFFSET('Zip Code Lines_1'!$Z$3,MATCH('Zip Code Lines_1'!C452,'Zip Code Lines_1'!$Q$4:$Q$26,0),0)</f>
        <v>88</v>
      </c>
      <c r="G452" s="342">
        <f ca="1">OFFSET('Zip Code Lines_1'!$AC$3,MATCH('Zip Code Lines_1'!C452,'Zip Code Lines_1'!$Q$4:$Q$26,0),0)</f>
        <v>6</v>
      </c>
      <c r="H452" s="342">
        <v>11386</v>
      </c>
    </row>
    <row r="453" spans="2:8" x14ac:dyDescent="0.25">
      <c r="B453" s="342">
        <v>11405</v>
      </c>
      <c r="C453" s="343" t="s">
        <v>552</v>
      </c>
      <c r="D453" s="343" t="str">
        <f ca="1">OFFSET('Zip Code Lines_1'!$U$3,MATCH('Zip Code Lines_1'!C453,'Zip Code Lines_1'!$Q$4:$Q$26,0),0)</f>
        <v>NY - Central Park</v>
      </c>
      <c r="E453" s="344">
        <f ca="1">OFFSET('Zip Code Lines_1'!$W$3,MATCH('Zip Code Lines_1'!C453,'Zip Code Lines_1'!$Q$4:$Q$26,0),0)</f>
        <v>17.5</v>
      </c>
      <c r="F453" s="344">
        <f ca="1">OFFSET('Zip Code Lines_1'!$Z$3,MATCH('Zip Code Lines_1'!C453,'Zip Code Lines_1'!$Q$4:$Q$26,0),0)</f>
        <v>88</v>
      </c>
      <c r="G453" s="342">
        <f ca="1">OFFSET('Zip Code Lines_1'!$AC$3,MATCH('Zip Code Lines_1'!C453,'Zip Code Lines_1'!$Q$4:$Q$26,0),0)</f>
        <v>6</v>
      </c>
      <c r="H453" s="342">
        <v>11405</v>
      </c>
    </row>
    <row r="454" spans="2:8" x14ac:dyDescent="0.25">
      <c r="B454" s="342">
        <v>11411</v>
      </c>
      <c r="C454" s="343" t="s">
        <v>555</v>
      </c>
      <c r="D454" s="343" t="str">
        <f ca="1">OFFSET('Zip Code Lines_1'!$U$3,MATCH('Zip Code Lines_1'!C454,'Zip Code Lines_1'!$Q$4:$Q$26,0),0)</f>
        <v>NY - JFK</v>
      </c>
      <c r="E454" s="344">
        <f ca="1">OFFSET('Zip Code Lines_1'!$W$3,MATCH('Zip Code Lines_1'!C454,'Zip Code Lines_1'!$Q$4:$Q$26,0),0)</f>
        <v>18</v>
      </c>
      <c r="F454" s="344">
        <f ca="1">OFFSET('Zip Code Lines_1'!$Z$3,MATCH('Zip Code Lines_1'!C454,'Zip Code Lines_1'!$Q$4:$Q$26,0),0)</f>
        <v>86.6</v>
      </c>
      <c r="G454" s="342">
        <f ca="1">OFFSET('Zip Code Lines_1'!$AC$3,MATCH('Zip Code Lines_1'!C454,'Zip Code Lines_1'!$Q$4:$Q$26,0),0)</f>
        <v>6</v>
      </c>
      <c r="H454" s="342">
        <v>11411</v>
      </c>
    </row>
    <row r="455" spans="2:8" x14ac:dyDescent="0.25">
      <c r="B455" s="342">
        <v>11412</v>
      </c>
      <c r="C455" s="343" t="s">
        <v>555</v>
      </c>
      <c r="D455" s="343" t="str">
        <f ca="1">OFFSET('Zip Code Lines_1'!$U$3,MATCH('Zip Code Lines_1'!C455,'Zip Code Lines_1'!$Q$4:$Q$26,0),0)</f>
        <v>NY - JFK</v>
      </c>
      <c r="E455" s="344">
        <f ca="1">OFFSET('Zip Code Lines_1'!$W$3,MATCH('Zip Code Lines_1'!C455,'Zip Code Lines_1'!$Q$4:$Q$26,0),0)</f>
        <v>18</v>
      </c>
      <c r="F455" s="344">
        <f ca="1">OFFSET('Zip Code Lines_1'!$Z$3,MATCH('Zip Code Lines_1'!C455,'Zip Code Lines_1'!$Q$4:$Q$26,0),0)</f>
        <v>86.6</v>
      </c>
      <c r="G455" s="342">
        <f ca="1">OFFSET('Zip Code Lines_1'!$AC$3,MATCH('Zip Code Lines_1'!C455,'Zip Code Lines_1'!$Q$4:$Q$26,0),0)</f>
        <v>6</v>
      </c>
      <c r="H455" s="342">
        <v>11412</v>
      </c>
    </row>
    <row r="456" spans="2:8" x14ac:dyDescent="0.25">
      <c r="B456" s="342">
        <v>11413</v>
      </c>
      <c r="C456" s="343" t="s">
        <v>555</v>
      </c>
      <c r="D456" s="343" t="str">
        <f ca="1">OFFSET('Zip Code Lines_1'!$U$3,MATCH('Zip Code Lines_1'!C456,'Zip Code Lines_1'!$Q$4:$Q$26,0),0)</f>
        <v>NY - JFK</v>
      </c>
      <c r="E456" s="344">
        <f ca="1">OFFSET('Zip Code Lines_1'!$W$3,MATCH('Zip Code Lines_1'!C456,'Zip Code Lines_1'!$Q$4:$Q$26,0),0)</f>
        <v>18</v>
      </c>
      <c r="F456" s="344">
        <f ca="1">OFFSET('Zip Code Lines_1'!$Z$3,MATCH('Zip Code Lines_1'!C456,'Zip Code Lines_1'!$Q$4:$Q$26,0),0)</f>
        <v>86.6</v>
      </c>
      <c r="G456" s="342">
        <f ca="1">OFFSET('Zip Code Lines_1'!$AC$3,MATCH('Zip Code Lines_1'!C456,'Zip Code Lines_1'!$Q$4:$Q$26,0),0)</f>
        <v>6</v>
      </c>
      <c r="H456" s="342">
        <v>11413</v>
      </c>
    </row>
    <row r="457" spans="2:8" x14ac:dyDescent="0.25">
      <c r="B457" s="342">
        <v>11414</v>
      </c>
      <c r="C457" s="343" t="s">
        <v>552</v>
      </c>
      <c r="D457" s="343" t="str">
        <f ca="1">OFFSET('Zip Code Lines_1'!$U$3,MATCH('Zip Code Lines_1'!C457,'Zip Code Lines_1'!$Q$4:$Q$26,0),0)</f>
        <v>NY - Central Park</v>
      </c>
      <c r="E457" s="344">
        <f ca="1">OFFSET('Zip Code Lines_1'!$W$3,MATCH('Zip Code Lines_1'!C457,'Zip Code Lines_1'!$Q$4:$Q$26,0),0)</f>
        <v>17.5</v>
      </c>
      <c r="F457" s="344">
        <f ca="1">OFFSET('Zip Code Lines_1'!$Z$3,MATCH('Zip Code Lines_1'!C457,'Zip Code Lines_1'!$Q$4:$Q$26,0),0)</f>
        <v>88</v>
      </c>
      <c r="G457" s="342">
        <f ca="1">OFFSET('Zip Code Lines_1'!$AC$3,MATCH('Zip Code Lines_1'!C457,'Zip Code Lines_1'!$Q$4:$Q$26,0),0)</f>
        <v>6</v>
      </c>
      <c r="H457" s="342">
        <v>11414</v>
      </c>
    </row>
    <row r="458" spans="2:8" x14ac:dyDescent="0.25">
      <c r="B458" s="342">
        <v>11415</v>
      </c>
      <c r="C458" s="343" t="s">
        <v>552</v>
      </c>
      <c r="D458" s="343" t="str">
        <f ca="1">OFFSET('Zip Code Lines_1'!$U$3,MATCH('Zip Code Lines_1'!C458,'Zip Code Lines_1'!$Q$4:$Q$26,0),0)</f>
        <v>NY - Central Park</v>
      </c>
      <c r="E458" s="344">
        <f ca="1">OFFSET('Zip Code Lines_1'!$W$3,MATCH('Zip Code Lines_1'!C458,'Zip Code Lines_1'!$Q$4:$Q$26,0),0)</f>
        <v>17.5</v>
      </c>
      <c r="F458" s="344">
        <f ca="1">OFFSET('Zip Code Lines_1'!$Z$3,MATCH('Zip Code Lines_1'!C458,'Zip Code Lines_1'!$Q$4:$Q$26,0),0)</f>
        <v>88</v>
      </c>
      <c r="G458" s="342">
        <f ca="1">OFFSET('Zip Code Lines_1'!$AC$3,MATCH('Zip Code Lines_1'!C458,'Zip Code Lines_1'!$Q$4:$Q$26,0),0)</f>
        <v>6</v>
      </c>
      <c r="H458" s="342">
        <v>11415</v>
      </c>
    </row>
    <row r="459" spans="2:8" x14ac:dyDescent="0.25">
      <c r="B459" s="342">
        <v>11416</v>
      </c>
      <c r="C459" s="343" t="s">
        <v>552</v>
      </c>
      <c r="D459" s="343" t="str">
        <f ca="1">OFFSET('Zip Code Lines_1'!$U$3,MATCH('Zip Code Lines_1'!C459,'Zip Code Lines_1'!$Q$4:$Q$26,0),0)</f>
        <v>NY - Central Park</v>
      </c>
      <c r="E459" s="344">
        <f ca="1">OFFSET('Zip Code Lines_1'!$W$3,MATCH('Zip Code Lines_1'!C459,'Zip Code Lines_1'!$Q$4:$Q$26,0),0)</f>
        <v>17.5</v>
      </c>
      <c r="F459" s="344">
        <f ca="1">OFFSET('Zip Code Lines_1'!$Z$3,MATCH('Zip Code Lines_1'!C459,'Zip Code Lines_1'!$Q$4:$Q$26,0),0)</f>
        <v>88</v>
      </c>
      <c r="G459" s="342">
        <f ca="1">OFFSET('Zip Code Lines_1'!$AC$3,MATCH('Zip Code Lines_1'!C459,'Zip Code Lines_1'!$Q$4:$Q$26,0),0)</f>
        <v>6</v>
      </c>
      <c r="H459" s="342">
        <v>11416</v>
      </c>
    </row>
    <row r="460" spans="2:8" x14ac:dyDescent="0.25">
      <c r="B460" s="342">
        <v>11417</v>
      </c>
      <c r="C460" s="343" t="s">
        <v>552</v>
      </c>
      <c r="D460" s="343" t="str">
        <f ca="1">OFFSET('Zip Code Lines_1'!$U$3,MATCH('Zip Code Lines_1'!C460,'Zip Code Lines_1'!$Q$4:$Q$26,0),0)</f>
        <v>NY - Central Park</v>
      </c>
      <c r="E460" s="344">
        <f ca="1">OFFSET('Zip Code Lines_1'!$W$3,MATCH('Zip Code Lines_1'!C460,'Zip Code Lines_1'!$Q$4:$Q$26,0),0)</f>
        <v>17.5</v>
      </c>
      <c r="F460" s="344">
        <f ca="1">OFFSET('Zip Code Lines_1'!$Z$3,MATCH('Zip Code Lines_1'!C460,'Zip Code Lines_1'!$Q$4:$Q$26,0),0)</f>
        <v>88</v>
      </c>
      <c r="G460" s="342">
        <f ca="1">OFFSET('Zip Code Lines_1'!$AC$3,MATCH('Zip Code Lines_1'!C460,'Zip Code Lines_1'!$Q$4:$Q$26,0),0)</f>
        <v>6</v>
      </c>
      <c r="H460" s="342">
        <v>11417</v>
      </c>
    </row>
    <row r="461" spans="2:8" x14ac:dyDescent="0.25">
      <c r="B461" s="342">
        <v>11418</v>
      </c>
      <c r="C461" s="343" t="s">
        <v>552</v>
      </c>
      <c r="D461" s="343" t="str">
        <f ca="1">OFFSET('Zip Code Lines_1'!$U$3,MATCH('Zip Code Lines_1'!C461,'Zip Code Lines_1'!$Q$4:$Q$26,0),0)</f>
        <v>NY - Central Park</v>
      </c>
      <c r="E461" s="344">
        <f ca="1">OFFSET('Zip Code Lines_1'!$W$3,MATCH('Zip Code Lines_1'!C461,'Zip Code Lines_1'!$Q$4:$Q$26,0),0)</f>
        <v>17.5</v>
      </c>
      <c r="F461" s="344">
        <f ca="1">OFFSET('Zip Code Lines_1'!$Z$3,MATCH('Zip Code Lines_1'!C461,'Zip Code Lines_1'!$Q$4:$Q$26,0),0)</f>
        <v>88</v>
      </c>
      <c r="G461" s="342">
        <f ca="1">OFFSET('Zip Code Lines_1'!$AC$3,MATCH('Zip Code Lines_1'!C461,'Zip Code Lines_1'!$Q$4:$Q$26,0),0)</f>
        <v>6</v>
      </c>
      <c r="H461" s="342">
        <v>11418</v>
      </c>
    </row>
    <row r="462" spans="2:8" x14ac:dyDescent="0.25">
      <c r="B462" s="342">
        <v>11419</v>
      </c>
      <c r="C462" s="343" t="s">
        <v>552</v>
      </c>
      <c r="D462" s="343" t="str">
        <f ca="1">OFFSET('Zip Code Lines_1'!$U$3,MATCH('Zip Code Lines_1'!C462,'Zip Code Lines_1'!$Q$4:$Q$26,0),0)</f>
        <v>NY - Central Park</v>
      </c>
      <c r="E462" s="344">
        <f ca="1">OFFSET('Zip Code Lines_1'!$W$3,MATCH('Zip Code Lines_1'!C462,'Zip Code Lines_1'!$Q$4:$Q$26,0),0)</f>
        <v>17.5</v>
      </c>
      <c r="F462" s="344">
        <f ca="1">OFFSET('Zip Code Lines_1'!$Z$3,MATCH('Zip Code Lines_1'!C462,'Zip Code Lines_1'!$Q$4:$Q$26,0),0)</f>
        <v>88</v>
      </c>
      <c r="G462" s="342">
        <f ca="1">OFFSET('Zip Code Lines_1'!$AC$3,MATCH('Zip Code Lines_1'!C462,'Zip Code Lines_1'!$Q$4:$Q$26,0),0)</f>
        <v>6</v>
      </c>
      <c r="H462" s="342">
        <v>11419</v>
      </c>
    </row>
    <row r="463" spans="2:8" x14ac:dyDescent="0.25">
      <c r="B463" s="342">
        <v>11420</v>
      </c>
      <c r="C463" s="343" t="s">
        <v>555</v>
      </c>
      <c r="D463" s="343" t="str">
        <f ca="1">OFFSET('Zip Code Lines_1'!$U$3,MATCH('Zip Code Lines_1'!C463,'Zip Code Lines_1'!$Q$4:$Q$26,0),0)</f>
        <v>NY - JFK</v>
      </c>
      <c r="E463" s="344">
        <f ca="1">OFFSET('Zip Code Lines_1'!$W$3,MATCH('Zip Code Lines_1'!C463,'Zip Code Lines_1'!$Q$4:$Q$26,0),0)</f>
        <v>18</v>
      </c>
      <c r="F463" s="344">
        <f ca="1">OFFSET('Zip Code Lines_1'!$Z$3,MATCH('Zip Code Lines_1'!C463,'Zip Code Lines_1'!$Q$4:$Q$26,0),0)</f>
        <v>86.6</v>
      </c>
      <c r="G463" s="342">
        <f ca="1">OFFSET('Zip Code Lines_1'!$AC$3,MATCH('Zip Code Lines_1'!C463,'Zip Code Lines_1'!$Q$4:$Q$26,0),0)</f>
        <v>6</v>
      </c>
      <c r="H463" s="342">
        <v>11420</v>
      </c>
    </row>
    <row r="464" spans="2:8" x14ac:dyDescent="0.25">
      <c r="B464" s="342">
        <v>11421</v>
      </c>
      <c r="C464" s="343" t="s">
        <v>552</v>
      </c>
      <c r="D464" s="343" t="str">
        <f ca="1">OFFSET('Zip Code Lines_1'!$U$3,MATCH('Zip Code Lines_1'!C464,'Zip Code Lines_1'!$Q$4:$Q$26,0),0)</f>
        <v>NY - Central Park</v>
      </c>
      <c r="E464" s="344">
        <f ca="1">OFFSET('Zip Code Lines_1'!$W$3,MATCH('Zip Code Lines_1'!C464,'Zip Code Lines_1'!$Q$4:$Q$26,0),0)</f>
        <v>17.5</v>
      </c>
      <c r="F464" s="344">
        <f ca="1">OFFSET('Zip Code Lines_1'!$Z$3,MATCH('Zip Code Lines_1'!C464,'Zip Code Lines_1'!$Q$4:$Q$26,0),0)</f>
        <v>88</v>
      </c>
      <c r="G464" s="342">
        <f ca="1">OFFSET('Zip Code Lines_1'!$AC$3,MATCH('Zip Code Lines_1'!C464,'Zip Code Lines_1'!$Q$4:$Q$26,0),0)</f>
        <v>6</v>
      </c>
      <c r="H464" s="342">
        <v>11421</v>
      </c>
    </row>
    <row r="465" spans="2:8" x14ac:dyDescent="0.25">
      <c r="B465" s="342">
        <v>11422</v>
      </c>
      <c r="C465" s="343" t="s">
        <v>555</v>
      </c>
      <c r="D465" s="343" t="str">
        <f ca="1">OFFSET('Zip Code Lines_1'!$U$3,MATCH('Zip Code Lines_1'!C465,'Zip Code Lines_1'!$Q$4:$Q$26,0),0)</f>
        <v>NY - JFK</v>
      </c>
      <c r="E465" s="344">
        <f ca="1">OFFSET('Zip Code Lines_1'!$W$3,MATCH('Zip Code Lines_1'!C465,'Zip Code Lines_1'!$Q$4:$Q$26,0),0)</f>
        <v>18</v>
      </c>
      <c r="F465" s="344">
        <f ca="1">OFFSET('Zip Code Lines_1'!$Z$3,MATCH('Zip Code Lines_1'!C465,'Zip Code Lines_1'!$Q$4:$Q$26,0),0)</f>
        <v>86.6</v>
      </c>
      <c r="G465" s="342">
        <f ca="1">OFFSET('Zip Code Lines_1'!$AC$3,MATCH('Zip Code Lines_1'!C465,'Zip Code Lines_1'!$Q$4:$Q$26,0),0)</f>
        <v>6</v>
      </c>
      <c r="H465" s="342">
        <v>11422</v>
      </c>
    </row>
    <row r="466" spans="2:8" x14ac:dyDescent="0.25">
      <c r="B466" s="342">
        <v>11423</v>
      </c>
      <c r="C466" s="343" t="s">
        <v>552</v>
      </c>
      <c r="D466" s="343" t="str">
        <f ca="1">OFFSET('Zip Code Lines_1'!$U$3,MATCH('Zip Code Lines_1'!C466,'Zip Code Lines_1'!$Q$4:$Q$26,0),0)</f>
        <v>NY - Central Park</v>
      </c>
      <c r="E466" s="344">
        <f ca="1">OFFSET('Zip Code Lines_1'!$W$3,MATCH('Zip Code Lines_1'!C466,'Zip Code Lines_1'!$Q$4:$Q$26,0),0)</f>
        <v>17.5</v>
      </c>
      <c r="F466" s="344">
        <f ca="1">OFFSET('Zip Code Lines_1'!$Z$3,MATCH('Zip Code Lines_1'!C466,'Zip Code Lines_1'!$Q$4:$Q$26,0),0)</f>
        <v>88</v>
      </c>
      <c r="G466" s="342">
        <f ca="1">OFFSET('Zip Code Lines_1'!$AC$3,MATCH('Zip Code Lines_1'!C466,'Zip Code Lines_1'!$Q$4:$Q$26,0),0)</f>
        <v>6</v>
      </c>
      <c r="H466" s="342">
        <v>11423</v>
      </c>
    </row>
    <row r="467" spans="2:8" x14ac:dyDescent="0.25">
      <c r="B467" s="342">
        <v>11424</v>
      </c>
      <c r="C467" s="343" t="s">
        <v>552</v>
      </c>
      <c r="D467" s="343" t="str">
        <f ca="1">OFFSET('Zip Code Lines_1'!$U$3,MATCH('Zip Code Lines_1'!C467,'Zip Code Lines_1'!$Q$4:$Q$26,0),0)</f>
        <v>NY - Central Park</v>
      </c>
      <c r="E467" s="344">
        <f ca="1">OFFSET('Zip Code Lines_1'!$W$3,MATCH('Zip Code Lines_1'!C467,'Zip Code Lines_1'!$Q$4:$Q$26,0),0)</f>
        <v>17.5</v>
      </c>
      <c r="F467" s="344">
        <f ca="1">OFFSET('Zip Code Lines_1'!$Z$3,MATCH('Zip Code Lines_1'!C467,'Zip Code Lines_1'!$Q$4:$Q$26,0),0)</f>
        <v>88</v>
      </c>
      <c r="G467" s="342">
        <f ca="1">OFFSET('Zip Code Lines_1'!$AC$3,MATCH('Zip Code Lines_1'!C467,'Zip Code Lines_1'!$Q$4:$Q$26,0),0)</f>
        <v>6</v>
      </c>
      <c r="H467" s="342">
        <v>11424</v>
      </c>
    </row>
    <row r="468" spans="2:8" x14ac:dyDescent="0.25">
      <c r="B468" s="342">
        <v>11425</v>
      </c>
      <c r="C468" s="343" t="s">
        <v>552</v>
      </c>
      <c r="D468" s="343" t="str">
        <f ca="1">OFFSET('Zip Code Lines_1'!$U$3,MATCH('Zip Code Lines_1'!C468,'Zip Code Lines_1'!$Q$4:$Q$26,0),0)</f>
        <v>NY - Central Park</v>
      </c>
      <c r="E468" s="344">
        <f ca="1">OFFSET('Zip Code Lines_1'!$W$3,MATCH('Zip Code Lines_1'!C468,'Zip Code Lines_1'!$Q$4:$Q$26,0),0)</f>
        <v>17.5</v>
      </c>
      <c r="F468" s="344">
        <f ca="1">OFFSET('Zip Code Lines_1'!$Z$3,MATCH('Zip Code Lines_1'!C468,'Zip Code Lines_1'!$Q$4:$Q$26,0),0)</f>
        <v>88</v>
      </c>
      <c r="G468" s="342">
        <f ca="1">OFFSET('Zip Code Lines_1'!$AC$3,MATCH('Zip Code Lines_1'!C468,'Zip Code Lines_1'!$Q$4:$Q$26,0),0)</f>
        <v>6</v>
      </c>
      <c r="H468" s="342">
        <v>11425</v>
      </c>
    </row>
    <row r="469" spans="2:8" x14ac:dyDescent="0.25">
      <c r="B469" s="342">
        <v>11426</v>
      </c>
      <c r="C469" s="343" t="s">
        <v>535</v>
      </c>
      <c r="D469" s="343" t="str">
        <f ca="1">OFFSET('Zip Code Lines_1'!$U$3,MATCH('Zip Code Lines_1'!C469,'Zip Code Lines_1'!$Q$4:$Q$26,0),0)</f>
        <v>Farmingdale</v>
      </c>
      <c r="E469" s="344">
        <f ca="1">OFFSET('Zip Code Lines_1'!$W$3,MATCH('Zip Code Lines_1'!C469,'Zip Code Lines_1'!$Q$4:$Q$26,0),0)</f>
        <v>17</v>
      </c>
      <c r="F469" s="344">
        <f ca="1">OFFSET('Zip Code Lines_1'!$Z$3,MATCH('Zip Code Lines_1'!C469,'Zip Code Lines_1'!$Q$4:$Q$26,0),0)</f>
        <v>86.3</v>
      </c>
      <c r="G469" s="342">
        <f ca="1">OFFSET('Zip Code Lines_1'!$AC$3,MATCH('Zip Code Lines_1'!C469,'Zip Code Lines_1'!$Q$4:$Q$26,0),0)</f>
        <v>6</v>
      </c>
      <c r="H469" s="342">
        <v>11426</v>
      </c>
    </row>
    <row r="470" spans="2:8" x14ac:dyDescent="0.25">
      <c r="B470" s="342">
        <v>11427</v>
      </c>
      <c r="C470" s="343" t="s">
        <v>555</v>
      </c>
      <c r="D470" s="343" t="str">
        <f ca="1">OFFSET('Zip Code Lines_1'!$U$3,MATCH('Zip Code Lines_1'!C470,'Zip Code Lines_1'!$Q$4:$Q$26,0),0)</f>
        <v>NY - JFK</v>
      </c>
      <c r="E470" s="344">
        <f ca="1">OFFSET('Zip Code Lines_1'!$W$3,MATCH('Zip Code Lines_1'!C470,'Zip Code Lines_1'!$Q$4:$Q$26,0),0)</f>
        <v>18</v>
      </c>
      <c r="F470" s="344">
        <f ca="1">OFFSET('Zip Code Lines_1'!$Z$3,MATCH('Zip Code Lines_1'!C470,'Zip Code Lines_1'!$Q$4:$Q$26,0),0)</f>
        <v>86.6</v>
      </c>
      <c r="G470" s="342">
        <f ca="1">OFFSET('Zip Code Lines_1'!$AC$3,MATCH('Zip Code Lines_1'!C470,'Zip Code Lines_1'!$Q$4:$Q$26,0),0)</f>
        <v>6</v>
      </c>
      <c r="H470" s="342">
        <v>11427</v>
      </c>
    </row>
    <row r="471" spans="2:8" x14ac:dyDescent="0.25">
      <c r="B471" s="342">
        <v>11428</v>
      </c>
      <c r="C471" s="343" t="s">
        <v>552</v>
      </c>
      <c r="D471" s="343" t="str">
        <f ca="1">OFFSET('Zip Code Lines_1'!$U$3,MATCH('Zip Code Lines_1'!C471,'Zip Code Lines_1'!$Q$4:$Q$26,0),0)</f>
        <v>NY - Central Park</v>
      </c>
      <c r="E471" s="344">
        <f ca="1">OFFSET('Zip Code Lines_1'!$W$3,MATCH('Zip Code Lines_1'!C471,'Zip Code Lines_1'!$Q$4:$Q$26,0),0)</f>
        <v>17.5</v>
      </c>
      <c r="F471" s="344">
        <f ca="1">OFFSET('Zip Code Lines_1'!$Z$3,MATCH('Zip Code Lines_1'!C471,'Zip Code Lines_1'!$Q$4:$Q$26,0),0)</f>
        <v>88</v>
      </c>
      <c r="G471" s="342">
        <f ca="1">OFFSET('Zip Code Lines_1'!$AC$3,MATCH('Zip Code Lines_1'!C471,'Zip Code Lines_1'!$Q$4:$Q$26,0),0)</f>
        <v>6</v>
      </c>
      <c r="H471" s="342">
        <v>11428</v>
      </c>
    </row>
    <row r="472" spans="2:8" x14ac:dyDescent="0.25">
      <c r="B472" s="342">
        <v>11429</v>
      </c>
      <c r="C472" s="343" t="s">
        <v>555</v>
      </c>
      <c r="D472" s="343" t="str">
        <f ca="1">OFFSET('Zip Code Lines_1'!$U$3,MATCH('Zip Code Lines_1'!C472,'Zip Code Lines_1'!$Q$4:$Q$26,0),0)</f>
        <v>NY - JFK</v>
      </c>
      <c r="E472" s="344">
        <f ca="1">OFFSET('Zip Code Lines_1'!$W$3,MATCH('Zip Code Lines_1'!C472,'Zip Code Lines_1'!$Q$4:$Q$26,0),0)</f>
        <v>18</v>
      </c>
      <c r="F472" s="344">
        <f ca="1">OFFSET('Zip Code Lines_1'!$Z$3,MATCH('Zip Code Lines_1'!C472,'Zip Code Lines_1'!$Q$4:$Q$26,0),0)</f>
        <v>86.6</v>
      </c>
      <c r="G472" s="342">
        <f ca="1">OFFSET('Zip Code Lines_1'!$AC$3,MATCH('Zip Code Lines_1'!C472,'Zip Code Lines_1'!$Q$4:$Q$26,0),0)</f>
        <v>6</v>
      </c>
      <c r="H472" s="342">
        <v>11429</v>
      </c>
    </row>
    <row r="473" spans="2:8" x14ac:dyDescent="0.25">
      <c r="B473" s="342">
        <v>11430</v>
      </c>
      <c r="C473" s="343" t="s">
        <v>555</v>
      </c>
      <c r="D473" s="343" t="str">
        <f ca="1">OFFSET('Zip Code Lines_1'!$U$3,MATCH('Zip Code Lines_1'!C473,'Zip Code Lines_1'!$Q$4:$Q$26,0),0)</f>
        <v>NY - JFK</v>
      </c>
      <c r="E473" s="344">
        <f ca="1">OFFSET('Zip Code Lines_1'!$W$3,MATCH('Zip Code Lines_1'!C473,'Zip Code Lines_1'!$Q$4:$Q$26,0),0)</f>
        <v>18</v>
      </c>
      <c r="F473" s="344">
        <f ca="1">OFFSET('Zip Code Lines_1'!$Z$3,MATCH('Zip Code Lines_1'!C473,'Zip Code Lines_1'!$Q$4:$Q$26,0),0)</f>
        <v>86.6</v>
      </c>
      <c r="G473" s="342">
        <f ca="1">OFFSET('Zip Code Lines_1'!$AC$3,MATCH('Zip Code Lines_1'!C473,'Zip Code Lines_1'!$Q$4:$Q$26,0),0)</f>
        <v>6</v>
      </c>
      <c r="H473" s="342">
        <v>11430</v>
      </c>
    </row>
    <row r="474" spans="2:8" x14ac:dyDescent="0.25">
      <c r="B474" s="342">
        <v>11431</v>
      </c>
      <c r="C474" s="343" t="s">
        <v>552</v>
      </c>
      <c r="D474" s="343" t="str">
        <f ca="1">OFFSET('Zip Code Lines_1'!$U$3,MATCH('Zip Code Lines_1'!C474,'Zip Code Lines_1'!$Q$4:$Q$26,0),0)</f>
        <v>NY - Central Park</v>
      </c>
      <c r="E474" s="344">
        <f ca="1">OFFSET('Zip Code Lines_1'!$W$3,MATCH('Zip Code Lines_1'!C474,'Zip Code Lines_1'!$Q$4:$Q$26,0),0)</f>
        <v>17.5</v>
      </c>
      <c r="F474" s="344">
        <f ca="1">OFFSET('Zip Code Lines_1'!$Z$3,MATCH('Zip Code Lines_1'!C474,'Zip Code Lines_1'!$Q$4:$Q$26,0),0)</f>
        <v>88</v>
      </c>
      <c r="G474" s="342">
        <f ca="1">OFFSET('Zip Code Lines_1'!$AC$3,MATCH('Zip Code Lines_1'!C474,'Zip Code Lines_1'!$Q$4:$Q$26,0),0)</f>
        <v>6</v>
      </c>
      <c r="H474" s="342">
        <v>11431</v>
      </c>
    </row>
    <row r="475" spans="2:8" x14ac:dyDescent="0.25">
      <c r="B475" s="342">
        <v>11432</v>
      </c>
      <c r="C475" s="343" t="s">
        <v>552</v>
      </c>
      <c r="D475" s="343" t="str">
        <f ca="1">OFFSET('Zip Code Lines_1'!$U$3,MATCH('Zip Code Lines_1'!C475,'Zip Code Lines_1'!$Q$4:$Q$26,0),0)</f>
        <v>NY - Central Park</v>
      </c>
      <c r="E475" s="344">
        <f ca="1">OFFSET('Zip Code Lines_1'!$W$3,MATCH('Zip Code Lines_1'!C475,'Zip Code Lines_1'!$Q$4:$Q$26,0),0)</f>
        <v>17.5</v>
      </c>
      <c r="F475" s="344">
        <f ca="1">OFFSET('Zip Code Lines_1'!$Z$3,MATCH('Zip Code Lines_1'!C475,'Zip Code Lines_1'!$Q$4:$Q$26,0),0)</f>
        <v>88</v>
      </c>
      <c r="G475" s="342">
        <f ca="1">OFFSET('Zip Code Lines_1'!$AC$3,MATCH('Zip Code Lines_1'!C475,'Zip Code Lines_1'!$Q$4:$Q$26,0),0)</f>
        <v>6</v>
      </c>
      <c r="H475" s="342">
        <v>11432</v>
      </c>
    </row>
    <row r="476" spans="2:8" x14ac:dyDescent="0.25">
      <c r="B476" s="342">
        <v>11433</v>
      </c>
      <c r="C476" s="343" t="s">
        <v>555</v>
      </c>
      <c r="D476" s="343" t="str">
        <f ca="1">OFFSET('Zip Code Lines_1'!$U$3,MATCH('Zip Code Lines_1'!C476,'Zip Code Lines_1'!$Q$4:$Q$26,0),0)</f>
        <v>NY - JFK</v>
      </c>
      <c r="E476" s="344">
        <f ca="1">OFFSET('Zip Code Lines_1'!$W$3,MATCH('Zip Code Lines_1'!C476,'Zip Code Lines_1'!$Q$4:$Q$26,0),0)</f>
        <v>18</v>
      </c>
      <c r="F476" s="344">
        <f ca="1">OFFSET('Zip Code Lines_1'!$Z$3,MATCH('Zip Code Lines_1'!C476,'Zip Code Lines_1'!$Q$4:$Q$26,0),0)</f>
        <v>86.6</v>
      </c>
      <c r="G476" s="342">
        <f ca="1">OFFSET('Zip Code Lines_1'!$AC$3,MATCH('Zip Code Lines_1'!C476,'Zip Code Lines_1'!$Q$4:$Q$26,0),0)</f>
        <v>6</v>
      </c>
      <c r="H476" s="342">
        <v>11433</v>
      </c>
    </row>
    <row r="477" spans="2:8" x14ac:dyDescent="0.25">
      <c r="B477" s="342">
        <v>11434</v>
      </c>
      <c r="C477" s="343" t="s">
        <v>555</v>
      </c>
      <c r="D477" s="343" t="str">
        <f ca="1">OFFSET('Zip Code Lines_1'!$U$3,MATCH('Zip Code Lines_1'!C477,'Zip Code Lines_1'!$Q$4:$Q$26,0),0)</f>
        <v>NY - JFK</v>
      </c>
      <c r="E477" s="344">
        <f ca="1">OFFSET('Zip Code Lines_1'!$W$3,MATCH('Zip Code Lines_1'!C477,'Zip Code Lines_1'!$Q$4:$Q$26,0),0)</f>
        <v>18</v>
      </c>
      <c r="F477" s="344">
        <f ca="1">OFFSET('Zip Code Lines_1'!$Z$3,MATCH('Zip Code Lines_1'!C477,'Zip Code Lines_1'!$Q$4:$Q$26,0),0)</f>
        <v>86.6</v>
      </c>
      <c r="G477" s="342">
        <f ca="1">OFFSET('Zip Code Lines_1'!$AC$3,MATCH('Zip Code Lines_1'!C477,'Zip Code Lines_1'!$Q$4:$Q$26,0),0)</f>
        <v>6</v>
      </c>
      <c r="H477" s="342">
        <v>11434</v>
      </c>
    </row>
    <row r="478" spans="2:8" x14ac:dyDescent="0.25">
      <c r="B478" s="342">
        <v>11435</v>
      </c>
      <c r="C478" s="343" t="s">
        <v>552</v>
      </c>
      <c r="D478" s="343" t="str">
        <f ca="1">OFFSET('Zip Code Lines_1'!$U$3,MATCH('Zip Code Lines_1'!C478,'Zip Code Lines_1'!$Q$4:$Q$26,0),0)</f>
        <v>NY - Central Park</v>
      </c>
      <c r="E478" s="344">
        <f ca="1">OFFSET('Zip Code Lines_1'!$W$3,MATCH('Zip Code Lines_1'!C478,'Zip Code Lines_1'!$Q$4:$Q$26,0),0)</f>
        <v>17.5</v>
      </c>
      <c r="F478" s="344">
        <f ca="1">OFFSET('Zip Code Lines_1'!$Z$3,MATCH('Zip Code Lines_1'!C478,'Zip Code Lines_1'!$Q$4:$Q$26,0),0)</f>
        <v>88</v>
      </c>
      <c r="G478" s="342">
        <f ca="1">OFFSET('Zip Code Lines_1'!$AC$3,MATCH('Zip Code Lines_1'!C478,'Zip Code Lines_1'!$Q$4:$Q$26,0),0)</f>
        <v>6</v>
      </c>
      <c r="H478" s="342">
        <v>11435</v>
      </c>
    </row>
    <row r="479" spans="2:8" x14ac:dyDescent="0.25">
      <c r="B479" s="342">
        <v>11436</v>
      </c>
      <c r="C479" s="343" t="s">
        <v>555</v>
      </c>
      <c r="D479" s="343" t="str">
        <f ca="1">OFFSET('Zip Code Lines_1'!$U$3,MATCH('Zip Code Lines_1'!C479,'Zip Code Lines_1'!$Q$4:$Q$26,0),0)</f>
        <v>NY - JFK</v>
      </c>
      <c r="E479" s="344">
        <f ca="1">OFFSET('Zip Code Lines_1'!$W$3,MATCH('Zip Code Lines_1'!C479,'Zip Code Lines_1'!$Q$4:$Q$26,0),0)</f>
        <v>18</v>
      </c>
      <c r="F479" s="344">
        <f ca="1">OFFSET('Zip Code Lines_1'!$Z$3,MATCH('Zip Code Lines_1'!C479,'Zip Code Lines_1'!$Q$4:$Q$26,0),0)</f>
        <v>86.6</v>
      </c>
      <c r="G479" s="342">
        <f ca="1">OFFSET('Zip Code Lines_1'!$AC$3,MATCH('Zip Code Lines_1'!C479,'Zip Code Lines_1'!$Q$4:$Q$26,0),0)</f>
        <v>6</v>
      </c>
      <c r="H479" s="342">
        <v>11436</v>
      </c>
    </row>
    <row r="480" spans="2:8" x14ac:dyDescent="0.25">
      <c r="B480" s="342">
        <v>11437</v>
      </c>
      <c r="C480" s="343" t="s">
        <v>555</v>
      </c>
      <c r="D480" s="343" t="str">
        <f ca="1">OFFSET('Zip Code Lines_1'!$U$3,MATCH('Zip Code Lines_1'!C480,'Zip Code Lines_1'!$Q$4:$Q$26,0),0)</f>
        <v>NY - JFK</v>
      </c>
      <c r="E480" s="344">
        <f ca="1">OFFSET('Zip Code Lines_1'!$W$3,MATCH('Zip Code Lines_1'!C480,'Zip Code Lines_1'!$Q$4:$Q$26,0),0)</f>
        <v>18</v>
      </c>
      <c r="F480" s="344">
        <f ca="1">OFFSET('Zip Code Lines_1'!$Z$3,MATCH('Zip Code Lines_1'!C480,'Zip Code Lines_1'!$Q$4:$Q$26,0),0)</f>
        <v>86.6</v>
      </c>
      <c r="G480" s="342">
        <f ca="1">OFFSET('Zip Code Lines_1'!$AC$3,MATCH('Zip Code Lines_1'!C480,'Zip Code Lines_1'!$Q$4:$Q$26,0),0)</f>
        <v>6</v>
      </c>
      <c r="H480" s="342">
        <v>11437</v>
      </c>
    </row>
    <row r="481" spans="2:8" x14ac:dyDescent="0.25">
      <c r="B481" s="342">
        <v>11439</v>
      </c>
      <c r="C481" s="343" t="s">
        <v>552</v>
      </c>
      <c r="D481" s="343" t="str">
        <f ca="1">OFFSET('Zip Code Lines_1'!$U$3,MATCH('Zip Code Lines_1'!C481,'Zip Code Lines_1'!$Q$4:$Q$26,0),0)</f>
        <v>NY - Central Park</v>
      </c>
      <c r="E481" s="344">
        <f ca="1">OFFSET('Zip Code Lines_1'!$W$3,MATCH('Zip Code Lines_1'!C481,'Zip Code Lines_1'!$Q$4:$Q$26,0),0)</f>
        <v>17.5</v>
      </c>
      <c r="F481" s="344">
        <f ca="1">OFFSET('Zip Code Lines_1'!$Z$3,MATCH('Zip Code Lines_1'!C481,'Zip Code Lines_1'!$Q$4:$Q$26,0),0)</f>
        <v>88</v>
      </c>
      <c r="G481" s="342">
        <f ca="1">OFFSET('Zip Code Lines_1'!$AC$3,MATCH('Zip Code Lines_1'!C481,'Zip Code Lines_1'!$Q$4:$Q$26,0),0)</f>
        <v>6</v>
      </c>
      <c r="H481" s="342">
        <v>11439</v>
      </c>
    </row>
    <row r="482" spans="2:8" x14ac:dyDescent="0.25">
      <c r="B482" s="342">
        <v>11451</v>
      </c>
      <c r="C482" s="343" t="s">
        <v>552</v>
      </c>
      <c r="D482" s="343" t="str">
        <f ca="1">OFFSET('Zip Code Lines_1'!$U$3,MATCH('Zip Code Lines_1'!C482,'Zip Code Lines_1'!$Q$4:$Q$26,0),0)</f>
        <v>NY - Central Park</v>
      </c>
      <c r="E482" s="344">
        <f ca="1">OFFSET('Zip Code Lines_1'!$W$3,MATCH('Zip Code Lines_1'!C482,'Zip Code Lines_1'!$Q$4:$Q$26,0),0)</f>
        <v>17.5</v>
      </c>
      <c r="F482" s="344">
        <f ca="1">OFFSET('Zip Code Lines_1'!$Z$3,MATCH('Zip Code Lines_1'!C482,'Zip Code Lines_1'!$Q$4:$Q$26,0),0)</f>
        <v>88</v>
      </c>
      <c r="G482" s="342">
        <f ca="1">OFFSET('Zip Code Lines_1'!$AC$3,MATCH('Zip Code Lines_1'!C482,'Zip Code Lines_1'!$Q$4:$Q$26,0),0)</f>
        <v>6</v>
      </c>
      <c r="H482" s="342">
        <v>11451</v>
      </c>
    </row>
    <row r="483" spans="2:8" x14ac:dyDescent="0.25">
      <c r="B483" s="342">
        <v>11499</v>
      </c>
      <c r="C483" s="343" t="s">
        <v>552</v>
      </c>
      <c r="D483" s="343" t="str">
        <f ca="1">OFFSET('Zip Code Lines_1'!$U$3,MATCH('Zip Code Lines_1'!C483,'Zip Code Lines_1'!$Q$4:$Q$26,0),0)</f>
        <v>NY - Central Park</v>
      </c>
      <c r="E483" s="344">
        <f ca="1">OFFSET('Zip Code Lines_1'!$W$3,MATCH('Zip Code Lines_1'!C483,'Zip Code Lines_1'!$Q$4:$Q$26,0),0)</f>
        <v>17.5</v>
      </c>
      <c r="F483" s="344">
        <f ca="1">OFFSET('Zip Code Lines_1'!$Z$3,MATCH('Zip Code Lines_1'!C483,'Zip Code Lines_1'!$Q$4:$Q$26,0),0)</f>
        <v>88</v>
      </c>
      <c r="G483" s="342">
        <f ca="1">OFFSET('Zip Code Lines_1'!$AC$3,MATCH('Zip Code Lines_1'!C483,'Zip Code Lines_1'!$Q$4:$Q$26,0),0)</f>
        <v>6</v>
      </c>
      <c r="H483" s="342">
        <v>11499</v>
      </c>
    </row>
    <row r="484" spans="2:8" x14ac:dyDescent="0.25">
      <c r="B484" s="342">
        <v>11501</v>
      </c>
      <c r="C484" s="343" t="s">
        <v>535</v>
      </c>
      <c r="D484" s="343" t="str">
        <f ca="1">OFFSET('Zip Code Lines_1'!$U$3,MATCH('Zip Code Lines_1'!C484,'Zip Code Lines_1'!$Q$4:$Q$26,0),0)</f>
        <v>Farmingdale</v>
      </c>
      <c r="E484" s="344">
        <f ca="1">OFFSET('Zip Code Lines_1'!$W$3,MATCH('Zip Code Lines_1'!C484,'Zip Code Lines_1'!$Q$4:$Q$26,0),0)</f>
        <v>17</v>
      </c>
      <c r="F484" s="344">
        <f ca="1">OFFSET('Zip Code Lines_1'!$Z$3,MATCH('Zip Code Lines_1'!C484,'Zip Code Lines_1'!$Q$4:$Q$26,0),0)</f>
        <v>86.3</v>
      </c>
      <c r="G484" s="342">
        <f ca="1">OFFSET('Zip Code Lines_1'!$AC$3,MATCH('Zip Code Lines_1'!C484,'Zip Code Lines_1'!$Q$4:$Q$26,0),0)</f>
        <v>6</v>
      </c>
      <c r="H484" s="342">
        <v>11501</v>
      </c>
    </row>
    <row r="485" spans="2:8" x14ac:dyDescent="0.25">
      <c r="B485" s="342">
        <v>11507</v>
      </c>
      <c r="C485" s="343" t="s">
        <v>535</v>
      </c>
      <c r="D485" s="343" t="str">
        <f ca="1">OFFSET('Zip Code Lines_1'!$U$3,MATCH('Zip Code Lines_1'!C485,'Zip Code Lines_1'!$Q$4:$Q$26,0),0)</f>
        <v>Farmingdale</v>
      </c>
      <c r="E485" s="344">
        <f ca="1">OFFSET('Zip Code Lines_1'!$W$3,MATCH('Zip Code Lines_1'!C485,'Zip Code Lines_1'!$Q$4:$Q$26,0),0)</f>
        <v>17</v>
      </c>
      <c r="F485" s="344">
        <f ca="1">OFFSET('Zip Code Lines_1'!$Z$3,MATCH('Zip Code Lines_1'!C485,'Zip Code Lines_1'!$Q$4:$Q$26,0),0)</f>
        <v>86.3</v>
      </c>
      <c r="G485" s="342">
        <f ca="1">OFFSET('Zip Code Lines_1'!$AC$3,MATCH('Zip Code Lines_1'!C485,'Zip Code Lines_1'!$Q$4:$Q$26,0),0)</f>
        <v>6</v>
      </c>
      <c r="H485" s="342">
        <v>11507</v>
      </c>
    </row>
    <row r="486" spans="2:8" x14ac:dyDescent="0.25">
      <c r="B486" s="342">
        <v>11509</v>
      </c>
      <c r="C486" s="343" t="s">
        <v>555</v>
      </c>
      <c r="D486" s="343" t="str">
        <f ca="1">OFFSET('Zip Code Lines_1'!$U$3,MATCH('Zip Code Lines_1'!C486,'Zip Code Lines_1'!$Q$4:$Q$26,0),0)</f>
        <v>NY - JFK</v>
      </c>
      <c r="E486" s="344">
        <f ca="1">OFFSET('Zip Code Lines_1'!$W$3,MATCH('Zip Code Lines_1'!C486,'Zip Code Lines_1'!$Q$4:$Q$26,0),0)</f>
        <v>18</v>
      </c>
      <c r="F486" s="344">
        <f ca="1">OFFSET('Zip Code Lines_1'!$Z$3,MATCH('Zip Code Lines_1'!C486,'Zip Code Lines_1'!$Q$4:$Q$26,0),0)</f>
        <v>86.6</v>
      </c>
      <c r="G486" s="342">
        <f ca="1">OFFSET('Zip Code Lines_1'!$AC$3,MATCH('Zip Code Lines_1'!C486,'Zip Code Lines_1'!$Q$4:$Q$26,0),0)</f>
        <v>6</v>
      </c>
      <c r="H486" s="342">
        <v>11509</v>
      </c>
    </row>
    <row r="487" spans="2:8" x14ac:dyDescent="0.25">
      <c r="B487" s="342">
        <v>11510</v>
      </c>
      <c r="C487" s="343" t="s">
        <v>535</v>
      </c>
      <c r="D487" s="343" t="str">
        <f ca="1">OFFSET('Zip Code Lines_1'!$U$3,MATCH('Zip Code Lines_1'!C487,'Zip Code Lines_1'!$Q$4:$Q$26,0),0)</f>
        <v>Farmingdale</v>
      </c>
      <c r="E487" s="344">
        <f ca="1">OFFSET('Zip Code Lines_1'!$W$3,MATCH('Zip Code Lines_1'!C487,'Zip Code Lines_1'!$Q$4:$Q$26,0),0)</f>
        <v>17</v>
      </c>
      <c r="F487" s="344">
        <f ca="1">OFFSET('Zip Code Lines_1'!$Z$3,MATCH('Zip Code Lines_1'!C487,'Zip Code Lines_1'!$Q$4:$Q$26,0),0)</f>
        <v>86.3</v>
      </c>
      <c r="G487" s="342">
        <f ca="1">OFFSET('Zip Code Lines_1'!$AC$3,MATCH('Zip Code Lines_1'!C487,'Zip Code Lines_1'!$Q$4:$Q$26,0),0)</f>
        <v>6</v>
      </c>
      <c r="H487" s="342">
        <v>11510</v>
      </c>
    </row>
    <row r="488" spans="2:8" x14ac:dyDescent="0.25">
      <c r="B488" s="342">
        <v>11514</v>
      </c>
      <c r="C488" s="343" t="s">
        <v>535</v>
      </c>
      <c r="D488" s="343" t="str">
        <f ca="1">OFFSET('Zip Code Lines_1'!$U$3,MATCH('Zip Code Lines_1'!C488,'Zip Code Lines_1'!$Q$4:$Q$26,0),0)</f>
        <v>Farmingdale</v>
      </c>
      <c r="E488" s="344">
        <f ca="1">OFFSET('Zip Code Lines_1'!$W$3,MATCH('Zip Code Lines_1'!C488,'Zip Code Lines_1'!$Q$4:$Q$26,0),0)</f>
        <v>17</v>
      </c>
      <c r="F488" s="344">
        <f ca="1">OFFSET('Zip Code Lines_1'!$Z$3,MATCH('Zip Code Lines_1'!C488,'Zip Code Lines_1'!$Q$4:$Q$26,0),0)</f>
        <v>86.3</v>
      </c>
      <c r="G488" s="342">
        <f ca="1">OFFSET('Zip Code Lines_1'!$AC$3,MATCH('Zip Code Lines_1'!C488,'Zip Code Lines_1'!$Q$4:$Q$26,0),0)</f>
        <v>6</v>
      </c>
      <c r="H488" s="342">
        <v>11514</v>
      </c>
    </row>
    <row r="489" spans="2:8" x14ac:dyDescent="0.25">
      <c r="B489" s="342">
        <v>11516</v>
      </c>
      <c r="C489" s="343" t="s">
        <v>555</v>
      </c>
      <c r="D489" s="343" t="str">
        <f ca="1">OFFSET('Zip Code Lines_1'!$U$3,MATCH('Zip Code Lines_1'!C489,'Zip Code Lines_1'!$Q$4:$Q$26,0),0)</f>
        <v>NY - JFK</v>
      </c>
      <c r="E489" s="344">
        <f ca="1">OFFSET('Zip Code Lines_1'!$W$3,MATCH('Zip Code Lines_1'!C489,'Zip Code Lines_1'!$Q$4:$Q$26,0),0)</f>
        <v>18</v>
      </c>
      <c r="F489" s="344">
        <f ca="1">OFFSET('Zip Code Lines_1'!$Z$3,MATCH('Zip Code Lines_1'!C489,'Zip Code Lines_1'!$Q$4:$Q$26,0),0)</f>
        <v>86.6</v>
      </c>
      <c r="G489" s="342">
        <f ca="1">OFFSET('Zip Code Lines_1'!$AC$3,MATCH('Zip Code Lines_1'!C489,'Zip Code Lines_1'!$Q$4:$Q$26,0),0)</f>
        <v>6</v>
      </c>
      <c r="H489" s="342">
        <v>11516</v>
      </c>
    </row>
    <row r="490" spans="2:8" x14ac:dyDescent="0.25">
      <c r="B490" s="342">
        <v>11518</v>
      </c>
      <c r="C490" s="343" t="s">
        <v>555</v>
      </c>
      <c r="D490" s="343" t="str">
        <f ca="1">OFFSET('Zip Code Lines_1'!$U$3,MATCH('Zip Code Lines_1'!C490,'Zip Code Lines_1'!$Q$4:$Q$26,0),0)</f>
        <v>NY - JFK</v>
      </c>
      <c r="E490" s="344">
        <f ca="1">OFFSET('Zip Code Lines_1'!$W$3,MATCH('Zip Code Lines_1'!C490,'Zip Code Lines_1'!$Q$4:$Q$26,0),0)</f>
        <v>18</v>
      </c>
      <c r="F490" s="344">
        <f ca="1">OFFSET('Zip Code Lines_1'!$Z$3,MATCH('Zip Code Lines_1'!C490,'Zip Code Lines_1'!$Q$4:$Q$26,0),0)</f>
        <v>86.6</v>
      </c>
      <c r="G490" s="342">
        <f ca="1">OFFSET('Zip Code Lines_1'!$AC$3,MATCH('Zip Code Lines_1'!C490,'Zip Code Lines_1'!$Q$4:$Q$26,0),0)</f>
        <v>6</v>
      </c>
      <c r="H490" s="342">
        <v>11518</v>
      </c>
    </row>
    <row r="491" spans="2:8" x14ac:dyDescent="0.25">
      <c r="B491" s="342">
        <v>11520</v>
      </c>
      <c r="C491" s="343" t="s">
        <v>535</v>
      </c>
      <c r="D491" s="343" t="str">
        <f ca="1">OFFSET('Zip Code Lines_1'!$U$3,MATCH('Zip Code Lines_1'!C491,'Zip Code Lines_1'!$Q$4:$Q$26,0),0)</f>
        <v>Farmingdale</v>
      </c>
      <c r="E491" s="344">
        <f ca="1">OFFSET('Zip Code Lines_1'!$W$3,MATCH('Zip Code Lines_1'!C491,'Zip Code Lines_1'!$Q$4:$Q$26,0),0)</f>
        <v>17</v>
      </c>
      <c r="F491" s="344">
        <f ca="1">OFFSET('Zip Code Lines_1'!$Z$3,MATCH('Zip Code Lines_1'!C491,'Zip Code Lines_1'!$Q$4:$Q$26,0),0)</f>
        <v>86.3</v>
      </c>
      <c r="G491" s="342">
        <f ca="1">OFFSET('Zip Code Lines_1'!$AC$3,MATCH('Zip Code Lines_1'!C491,'Zip Code Lines_1'!$Q$4:$Q$26,0),0)</f>
        <v>6</v>
      </c>
      <c r="H491" s="342">
        <v>11520</v>
      </c>
    </row>
    <row r="492" spans="2:8" x14ac:dyDescent="0.25">
      <c r="B492" s="342">
        <v>11530</v>
      </c>
      <c r="C492" s="343" t="s">
        <v>535</v>
      </c>
      <c r="D492" s="343" t="str">
        <f ca="1">OFFSET('Zip Code Lines_1'!$U$3,MATCH('Zip Code Lines_1'!C492,'Zip Code Lines_1'!$Q$4:$Q$26,0),0)</f>
        <v>Farmingdale</v>
      </c>
      <c r="E492" s="344">
        <f ca="1">OFFSET('Zip Code Lines_1'!$W$3,MATCH('Zip Code Lines_1'!C492,'Zip Code Lines_1'!$Q$4:$Q$26,0),0)</f>
        <v>17</v>
      </c>
      <c r="F492" s="344">
        <f ca="1">OFFSET('Zip Code Lines_1'!$Z$3,MATCH('Zip Code Lines_1'!C492,'Zip Code Lines_1'!$Q$4:$Q$26,0),0)</f>
        <v>86.3</v>
      </c>
      <c r="G492" s="342">
        <f ca="1">OFFSET('Zip Code Lines_1'!$AC$3,MATCH('Zip Code Lines_1'!C492,'Zip Code Lines_1'!$Q$4:$Q$26,0),0)</f>
        <v>6</v>
      </c>
      <c r="H492" s="342">
        <v>11530</v>
      </c>
    </row>
    <row r="493" spans="2:8" x14ac:dyDescent="0.25">
      <c r="B493" s="342">
        <v>11531</v>
      </c>
      <c r="C493" s="343" t="s">
        <v>535</v>
      </c>
      <c r="D493" s="343" t="str">
        <f ca="1">OFFSET('Zip Code Lines_1'!$U$3,MATCH('Zip Code Lines_1'!C493,'Zip Code Lines_1'!$Q$4:$Q$26,0),0)</f>
        <v>Farmingdale</v>
      </c>
      <c r="E493" s="344">
        <f ca="1">OFFSET('Zip Code Lines_1'!$W$3,MATCH('Zip Code Lines_1'!C493,'Zip Code Lines_1'!$Q$4:$Q$26,0),0)</f>
        <v>17</v>
      </c>
      <c r="F493" s="344">
        <f ca="1">OFFSET('Zip Code Lines_1'!$Z$3,MATCH('Zip Code Lines_1'!C493,'Zip Code Lines_1'!$Q$4:$Q$26,0),0)</f>
        <v>86.3</v>
      </c>
      <c r="G493" s="342">
        <f ca="1">OFFSET('Zip Code Lines_1'!$AC$3,MATCH('Zip Code Lines_1'!C493,'Zip Code Lines_1'!$Q$4:$Q$26,0),0)</f>
        <v>6</v>
      </c>
      <c r="H493" s="342">
        <v>11531</v>
      </c>
    </row>
    <row r="494" spans="2:8" x14ac:dyDescent="0.25">
      <c r="B494" s="342">
        <v>11542</v>
      </c>
      <c r="C494" s="343" t="s">
        <v>535</v>
      </c>
      <c r="D494" s="343" t="str">
        <f ca="1">OFFSET('Zip Code Lines_1'!$U$3,MATCH('Zip Code Lines_1'!C494,'Zip Code Lines_1'!$Q$4:$Q$26,0),0)</f>
        <v>Farmingdale</v>
      </c>
      <c r="E494" s="344">
        <f ca="1">OFFSET('Zip Code Lines_1'!$W$3,MATCH('Zip Code Lines_1'!C494,'Zip Code Lines_1'!$Q$4:$Q$26,0),0)</f>
        <v>17</v>
      </c>
      <c r="F494" s="344">
        <f ca="1">OFFSET('Zip Code Lines_1'!$Z$3,MATCH('Zip Code Lines_1'!C494,'Zip Code Lines_1'!$Q$4:$Q$26,0),0)</f>
        <v>86.3</v>
      </c>
      <c r="G494" s="342">
        <f ca="1">OFFSET('Zip Code Lines_1'!$AC$3,MATCH('Zip Code Lines_1'!C494,'Zip Code Lines_1'!$Q$4:$Q$26,0),0)</f>
        <v>6</v>
      </c>
      <c r="H494" s="342">
        <v>11542</v>
      </c>
    </row>
    <row r="495" spans="2:8" x14ac:dyDescent="0.25">
      <c r="B495" s="342">
        <v>11545</v>
      </c>
      <c r="C495" s="343" t="s">
        <v>535</v>
      </c>
      <c r="D495" s="343" t="str">
        <f ca="1">OFFSET('Zip Code Lines_1'!$U$3,MATCH('Zip Code Lines_1'!C495,'Zip Code Lines_1'!$Q$4:$Q$26,0),0)</f>
        <v>Farmingdale</v>
      </c>
      <c r="E495" s="344">
        <f ca="1">OFFSET('Zip Code Lines_1'!$W$3,MATCH('Zip Code Lines_1'!C495,'Zip Code Lines_1'!$Q$4:$Q$26,0),0)</f>
        <v>17</v>
      </c>
      <c r="F495" s="344">
        <f ca="1">OFFSET('Zip Code Lines_1'!$Z$3,MATCH('Zip Code Lines_1'!C495,'Zip Code Lines_1'!$Q$4:$Q$26,0),0)</f>
        <v>86.3</v>
      </c>
      <c r="G495" s="342">
        <f ca="1">OFFSET('Zip Code Lines_1'!$AC$3,MATCH('Zip Code Lines_1'!C495,'Zip Code Lines_1'!$Q$4:$Q$26,0),0)</f>
        <v>6</v>
      </c>
      <c r="H495" s="342">
        <v>11545</v>
      </c>
    </row>
    <row r="496" spans="2:8" x14ac:dyDescent="0.25">
      <c r="B496" s="342">
        <v>11547</v>
      </c>
      <c r="C496" s="343" t="s">
        <v>535</v>
      </c>
      <c r="D496" s="343" t="str">
        <f ca="1">OFFSET('Zip Code Lines_1'!$U$3,MATCH('Zip Code Lines_1'!C496,'Zip Code Lines_1'!$Q$4:$Q$26,0),0)</f>
        <v>Farmingdale</v>
      </c>
      <c r="E496" s="344">
        <f ca="1">OFFSET('Zip Code Lines_1'!$W$3,MATCH('Zip Code Lines_1'!C496,'Zip Code Lines_1'!$Q$4:$Q$26,0),0)</f>
        <v>17</v>
      </c>
      <c r="F496" s="344">
        <f ca="1">OFFSET('Zip Code Lines_1'!$Z$3,MATCH('Zip Code Lines_1'!C496,'Zip Code Lines_1'!$Q$4:$Q$26,0),0)</f>
        <v>86.3</v>
      </c>
      <c r="G496" s="342">
        <f ca="1">OFFSET('Zip Code Lines_1'!$AC$3,MATCH('Zip Code Lines_1'!C496,'Zip Code Lines_1'!$Q$4:$Q$26,0),0)</f>
        <v>6</v>
      </c>
      <c r="H496" s="342">
        <v>11547</v>
      </c>
    </row>
    <row r="497" spans="2:8" x14ac:dyDescent="0.25">
      <c r="B497" s="342">
        <v>11548</v>
      </c>
      <c r="C497" s="343" t="s">
        <v>535</v>
      </c>
      <c r="D497" s="343" t="str">
        <f ca="1">OFFSET('Zip Code Lines_1'!$U$3,MATCH('Zip Code Lines_1'!C497,'Zip Code Lines_1'!$Q$4:$Q$26,0),0)</f>
        <v>Farmingdale</v>
      </c>
      <c r="E497" s="344">
        <f ca="1">OFFSET('Zip Code Lines_1'!$W$3,MATCH('Zip Code Lines_1'!C497,'Zip Code Lines_1'!$Q$4:$Q$26,0),0)</f>
        <v>17</v>
      </c>
      <c r="F497" s="344">
        <f ca="1">OFFSET('Zip Code Lines_1'!$Z$3,MATCH('Zip Code Lines_1'!C497,'Zip Code Lines_1'!$Q$4:$Q$26,0),0)</f>
        <v>86.3</v>
      </c>
      <c r="G497" s="342">
        <f ca="1">OFFSET('Zip Code Lines_1'!$AC$3,MATCH('Zip Code Lines_1'!C497,'Zip Code Lines_1'!$Q$4:$Q$26,0),0)</f>
        <v>6</v>
      </c>
      <c r="H497" s="342">
        <v>11548</v>
      </c>
    </row>
    <row r="498" spans="2:8" x14ac:dyDescent="0.25">
      <c r="B498" s="342">
        <v>11549</v>
      </c>
      <c r="C498" s="343" t="s">
        <v>535</v>
      </c>
      <c r="D498" s="343" t="str">
        <f ca="1">OFFSET('Zip Code Lines_1'!$U$3,MATCH('Zip Code Lines_1'!C498,'Zip Code Lines_1'!$Q$4:$Q$26,0),0)</f>
        <v>Farmingdale</v>
      </c>
      <c r="E498" s="344">
        <f ca="1">OFFSET('Zip Code Lines_1'!$W$3,MATCH('Zip Code Lines_1'!C498,'Zip Code Lines_1'!$Q$4:$Q$26,0),0)</f>
        <v>17</v>
      </c>
      <c r="F498" s="344">
        <f ca="1">OFFSET('Zip Code Lines_1'!$Z$3,MATCH('Zip Code Lines_1'!C498,'Zip Code Lines_1'!$Q$4:$Q$26,0),0)</f>
        <v>86.3</v>
      </c>
      <c r="G498" s="342">
        <f ca="1">OFFSET('Zip Code Lines_1'!$AC$3,MATCH('Zip Code Lines_1'!C498,'Zip Code Lines_1'!$Q$4:$Q$26,0),0)</f>
        <v>6</v>
      </c>
      <c r="H498" s="342">
        <v>11549</v>
      </c>
    </row>
    <row r="499" spans="2:8" x14ac:dyDescent="0.25">
      <c r="B499" s="342">
        <v>11550</v>
      </c>
      <c r="C499" s="343" t="s">
        <v>535</v>
      </c>
      <c r="D499" s="343" t="str">
        <f ca="1">OFFSET('Zip Code Lines_1'!$U$3,MATCH('Zip Code Lines_1'!C499,'Zip Code Lines_1'!$Q$4:$Q$26,0),0)</f>
        <v>Farmingdale</v>
      </c>
      <c r="E499" s="344">
        <f ca="1">OFFSET('Zip Code Lines_1'!$W$3,MATCH('Zip Code Lines_1'!C499,'Zip Code Lines_1'!$Q$4:$Q$26,0),0)</f>
        <v>17</v>
      </c>
      <c r="F499" s="344">
        <f ca="1">OFFSET('Zip Code Lines_1'!$Z$3,MATCH('Zip Code Lines_1'!C499,'Zip Code Lines_1'!$Q$4:$Q$26,0),0)</f>
        <v>86.3</v>
      </c>
      <c r="G499" s="342">
        <f ca="1">OFFSET('Zip Code Lines_1'!$AC$3,MATCH('Zip Code Lines_1'!C499,'Zip Code Lines_1'!$Q$4:$Q$26,0),0)</f>
        <v>6</v>
      </c>
      <c r="H499" s="342">
        <v>11550</v>
      </c>
    </row>
    <row r="500" spans="2:8" x14ac:dyDescent="0.25">
      <c r="B500" s="342">
        <v>11551</v>
      </c>
      <c r="C500" s="343" t="s">
        <v>535</v>
      </c>
      <c r="D500" s="343" t="str">
        <f ca="1">OFFSET('Zip Code Lines_1'!$U$3,MATCH('Zip Code Lines_1'!C500,'Zip Code Lines_1'!$Q$4:$Q$26,0),0)</f>
        <v>Farmingdale</v>
      </c>
      <c r="E500" s="344">
        <f ca="1">OFFSET('Zip Code Lines_1'!$W$3,MATCH('Zip Code Lines_1'!C500,'Zip Code Lines_1'!$Q$4:$Q$26,0),0)</f>
        <v>17</v>
      </c>
      <c r="F500" s="344">
        <f ca="1">OFFSET('Zip Code Lines_1'!$Z$3,MATCH('Zip Code Lines_1'!C500,'Zip Code Lines_1'!$Q$4:$Q$26,0),0)</f>
        <v>86.3</v>
      </c>
      <c r="G500" s="342">
        <f ca="1">OFFSET('Zip Code Lines_1'!$AC$3,MATCH('Zip Code Lines_1'!C500,'Zip Code Lines_1'!$Q$4:$Q$26,0),0)</f>
        <v>6</v>
      </c>
      <c r="H500" s="342">
        <v>11551</v>
      </c>
    </row>
    <row r="501" spans="2:8" x14ac:dyDescent="0.25">
      <c r="B501" s="342">
        <v>11552</v>
      </c>
      <c r="C501" s="343" t="s">
        <v>535</v>
      </c>
      <c r="D501" s="343" t="str">
        <f ca="1">OFFSET('Zip Code Lines_1'!$U$3,MATCH('Zip Code Lines_1'!C501,'Zip Code Lines_1'!$Q$4:$Q$26,0),0)</f>
        <v>Farmingdale</v>
      </c>
      <c r="E501" s="344">
        <f ca="1">OFFSET('Zip Code Lines_1'!$W$3,MATCH('Zip Code Lines_1'!C501,'Zip Code Lines_1'!$Q$4:$Q$26,0),0)</f>
        <v>17</v>
      </c>
      <c r="F501" s="344">
        <f ca="1">OFFSET('Zip Code Lines_1'!$Z$3,MATCH('Zip Code Lines_1'!C501,'Zip Code Lines_1'!$Q$4:$Q$26,0),0)</f>
        <v>86.3</v>
      </c>
      <c r="G501" s="342">
        <f ca="1">OFFSET('Zip Code Lines_1'!$AC$3,MATCH('Zip Code Lines_1'!C501,'Zip Code Lines_1'!$Q$4:$Q$26,0),0)</f>
        <v>6</v>
      </c>
      <c r="H501" s="342">
        <v>11552</v>
      </c>
    </row>
    <row r="502" spans="2:8" x14ac:dyDescent="0.25">
      <c r="B502" s="342">
        <v>11553</v>
      </c>
      <c r="C502" s="343" t="s">
        <v>535</v>
      </c>
      <c r="D502" s="343" t="str">
        <f ca="1">OFFSET('Zip Code Lines_1'!$U$3,MATCH('Zip Code Lines_1'!C502,'Zip Code Lines_1'!$Q$4:$Q$26,0),0)</f>
        <v>Farmingdale</v>
      </c>
      <c r="E502" s="344">
        <f ca="1">OFFSET('Zip Code Lines_1'!$W$3,MATCH('Zip Code Lines_1'!C502,'Zip Code Lines_1'!$Q$4:$Q$26,0),0)</f>
        <v>17</v>
      </c>
      <c r="F502" s="344">
        <f ca="1">OFFSET('Zip Code Lines_1'!$Z$3,MATCH('Zip Code Lines_1'!C502,'Zip Code Lines_1'!$Q$4:$Q$26,0),0)</f>
        <v>86.3</v>
      </c>
      <c r="G502" s="342">
        <f ca="1">OFFSET('Zip Code Lines_1'!$AC$3,MATCH('Zip Code Lines_1'!C502,'Zip Code Lines_1'!$Q$4:$Q$26,0),0)</f>
        <v>6</v>
      </c>
      <c r="H502" s="342">
        <v>11553</v>
      </c>
    </row>
    <row r="503" spans="2:8" x14ac:dyDescent="0.25">
      <c r="B503" s="342">
        <v>11554</v>
      </c>
      <c r="C503" s="343" t="s">
        <v>535</v>
      </c>
      <c r="D503" s="343" t="str">
        <f ca="1">OFFSET('Zip Code Lines_1'!$U$3,MATCH('Zip Code Lines_1'!C503,'Zip Code Lines_1'!$Q$4:$Q$26,0),0)</f>
        <v>Farmingdale</v>
      </c>
      <c r="E503" s="344">
        <f ca="1">OFFSET('Zip Code Lines_1'!$W$3,MATCH('Zip Code Lines_1'!C503,'Zip Code Lines_1'!$Q$4:$Q$26,0),0)</f>
        <v>17</v>
      </c>
      <c r="F503" s="344">
        <f ca="1">OFFSET('Zip Code Lines_1'!$Z$3,MATCH('Zip Code Lines_1'!C503,'Zip Code Lines_1'!$Q$4:$Q$26,0),0)</f>
        <v>86.3</v>
      </c>
      <c r="G503" s="342">
        <f ca="1">OFFSET('Zip Code Lines_1'!$AC$3,MATCH('Zip Code Lines_1'!C503,'Zip Code Lines_1'!$Q$4:$Q$26,0),0)</f>
        <v>6</v>
      </c>
      <c r="H503" s="342">
        <v>11554</v>
      </c>
    </row>
    <row r="504" spans="2:8" x14ac:dyDescent="0.25">
      <c r="B504" s="342">
        <v>11555</v>
      </c>
      <c r="C504" s="343" t="s">
        <v>535</v>
      </c>
      <c r="D504" s="343" t="str">
        <f ca="1">OFFSET('Zip Code Lines_1'!$U$3,MATCH('Zip Code Lines_1'!C504,'Zip Code Lines_1'!$Q$4:$Q$26,0),0)</f>
        <v>Farmingdale</v>
      </c>
      <c r="E504" s="344">
        <f ca="1">OFFSET('Zip Code Lines_1'!$W$3,MATCH('Zip Code Lines_1'!C504,'Zip Code Lines_1'!$Q$4:$Q$26,0),0)</f>
        <v>17</v>
      </c>
      <c r="F504" s="344">
        <f ca="1">OFFSET('Zip Code Lines_1'!$Z$3,MATCH('Zip Code Lines_1'!C504,'Zip Code Lines_1'!$Q$4:$Q$26,0),0)</f>
        <v>86.3</v>
      </c>
      <c r="G504" s="342">
        <f ca="1">OFFSET('Zip Code Lines_1'!$AC$3,MATCH('Zip Code Lines_1'!C504,'Zip Code Lines_1'!$Q$4:$Q$26,0),0)</f>
        <v>6</v>
      </c>
      <c r="H504" s="342">
        <v>11555</v>
      </c>
    </row>
    <row r="505" spans="2:8" x14ac:dyDescent="0.25">
      <c r="B505" s="342">
        <v>11556</v>
      </c>
      <c r="C505" s="343" t="s">
        <v>535</v>
      </c>
      <c r="D505" s="343" t="str">
        <f ca="1">OFFSET('Zip Code Lines_1'!$U$3,MATCH('Zip Code Lines_1'!C505,'Zip Code Lines_1'!$Q$4:$Q$26,0),0)</f>
        <v>Farmingdale</v>
      </c>
      <c r="E505" s="344">
        <f ca="1">OFFSET('Zip Code Lines_1'!$W$3,MATCH('Zip Code Lines_1'!C505,'Zip Code Lines_1'!$Q$4:$Q$26,0),0)</f>
        <v>17</v>
      </c>
      <c r="F505" s="344">
        <f ca="1">OFFSET('Zip Code Lines_1'!$Z$3,MATCH('Zip Code Lines_1'!C505,'Zip Code Lines_1'!$Q$4:$Q$26,0),0)</f>
        <v>86.3</v>
      </c>
      <c r="G505" s="342">
        <f ca="1">OFFSET('Zip Code Lines_1'!$AC$3,MATCH('Zip Code Lines_1'!C505,'Zip Code Lines_1'!$Q$4:$Q$26,0),0)</f>
        <v>6</v>
      </c>
      <c r="H505" s="342">
        <v>11556</v>
      </c>
    </row>
    <row r="506" spans="2:8" x14ac:dyDescent="0.25">
      <c r="B506" s="342">
        <v>11557</v>
      </c>
      <c r="C506" s="343" t="s">
        <v>555</v>
      </c>
      <c r="D506" s="343" t="str">
        <f ca="1">OFFSET('Zip Code Lines_1'!$U$3,MATCH('Zip Code Lines_1'!C506,'Zip Code Lines_1'!$Q$4:$Q$26,0),0)</f>
        <v>NY - JFK</v>
      </c>
      <c r="E506" s="344">
        <f ca="1">OFFSET('Zip Code Lines_1'!$W$3,MATCH('Zip Code Lines_1'!C506,'Zip Code Lines_1'!$Q$4:$Q$26,0),0)</f>
        <v>18</v>
      </c>
      <c r="F506" s="344">
        <f ca="1">OFFSET('Zip Code Lines_1'!$Z$3,MATCH('Zip Code Lines_1'!C506,'Zip Code Lines_1'!$Q$4:$Q$26,0),0)</f>
        <v>86.6</v>
      </c>
      <c r="G506" s="342">
        <f ca="1">OFFSET('Zip Code Lines_1'!$AC$3,MATCH('Zip Code Lines_1'!C506,'Zip Code Lines_1'!$Q$4:$Q$26,0),0)</f>
        <v>6</v>
      </c>
      <c r="H506" s="342">
        <v>11557</v>
      </c>
    </row>
    <row r="507" spans="2:8" x14ac:dyDescent="0.25">
      <c r="B507" s="342">
        <v>11558</v>
      </c>
      <c r="C507" s="343" t="s">
        <v>555</v>
      </c>
      <c r="D507" s="343" t="str">
        <f ca="1">OFFSET('Zip Code Lines_1'!$U$3,MATCH('Zip Code Lines_1'!C507,'Zip Code Lines_1'!$Q$4:$Q$26,0),0)</f>
        <v>NY - JFK</v>
      </c>
      <c r="E507" s="344">
        <f ca="1">OFFSET('Zip Code Lines_1'!$W$3,MATCH('Zip Code Lines_1'!C507,'Zip Code Lines_1'!$Q$4:$Q$26,0),0)</f>
        <v>18</v>
      </c>
      <c r="F507" s="344">
        <f ca="1">OFFSET('Zip Code Lines_1'!$Z$3,MATCH('Zip Code Lines_1'!C507,'Zip Code Lines_1'!$Q$4:$Q$26,0),0)</f>
        <v>86.6</v>
      </c>
      <c r="G507" s="342">
        <f ca="1">OFFSET('Zip Code Lines_1'!$AC$3,MATCH('Zip Code Lines_1'!C507,'Zip Code Lines_1'!$Q$4:$Q$26,0),0)</f>
        <v>6</v>
      </c>
      <c r="H507" s="342">
        <v>11558</v>
      </c>
    </row>
    <row r="508" spans="2:8" x14ac:dyDescent="0.25">
      <c r="B508" s="342">
        <v>11559</v>
      </c>
      <c r="C508" s="343" t="s">
        <v>555</v>
      </c>
      <c r="D508" s="343" t="str">
        <f ca="1">OFFSET('Zip Code Lines_1'!$U$3,MATCH('Zip Code Lines_1'!C508,'Zip Code Lines_1'!$Q$4:$Q$26,0),0)</f>
        <v>NY - JFK</v>
      </c>
      <c r="E508" s="344">
        <f ca="1">OFFSET('Zip Code Lines_1'!$W$3,MATCH('Zip Code Lines_1'!C508,'Zip Code Lines_1'!$Q$4:$Q$26,0),0)</f>
        <v>18</v>
      </c>
      <c r="F508" s="344">
        <f ca="1">OFFSET('Zip Code Lines_1'!$Z$3,MATCH('Zip Code Lines_1'!C508,'Zip Code Lines_1'!$Q$4:$Q$26,0),0)</f>
        <v>86.6</v>
      </c>
      <c r="G508" s="342">
        <f ca="1">OFFSET('Zip Code Lines_1'!$AC$3,MATCH('Zip Code Lines_1'!C508,'Zip Code Lines_1'!$Q$4:$Q$26,0),0)</f>
        <v>6</v>
      </c>
      <c r="H508" s="342">
        <v>11559</v>
      </c>
    </row>
    <row r="509" spans="2:8" x14ac:dyDescent="0.25">
      <c r="B509" s="342">
        <v>11560</v>
      </c>
      <c r="C509" s="343" t="s">
        <v>535</v>
      </c>
      <c r="D509" s="343" t="str">
        <f ca="1">OFFSET('Zip Code Lines_1'!$U$3,MATCH('Zip Code Lines_1'!C509,'Zip Code Lines_1'!$Q$4:$Q$26,0),0)</f>
        <v>Farmingdale</v>
      </c>
      <c r="E509" s="344">
        <f ca="1">OFFSET('Zip Code Lines_1'!$W$3,MATCH('Zip Code Lines_1'!C509,'Zip Code Lines_1'!$Q$4:$Q$26,0),0)</f>
        <v>17</v>
      </c>
      <c r="F509" s="344">
        <f ca="1">OFFSET('Zip Code Lines_1'!$Z$3,MATCH('Zip Code Lines_1'!C509,'Zip Code Lines_1'!$Q$4:$Q$26,0),0)</f>
        <v>86.3</v>
      </c>
      <c r="G509" s="342">
        <f ca="1">OFFSET('Zip Code Lines_1'!$AC$3,MATCH('Zip Code Lines_1'!C509,'Zip Code Lines_1'!$Q$4:$Q$26,0),0)</f>
        <v>6</v>
      </c>
      <c r="H509" s="342">
        <v>11560</v>
      </c>
    </row>
    <row r="510" spans="2:8" x14ac:dyDescent="0.25">
      <c r="B510" s="342">
        <v>11561</v>
      </c>
      <c r="C510" s="343" t="s">
        <v>555</v>
      </c>
      <c r="D510" s="343" t="str">
        <f ca="1">OFFSET('Zip Code Lines_1'!$U$3,MATCH('Zip Code Lines_1'!C510,'Zip Code Lines_1'!$Q$4:$Q$26,0),0)</f>
        <v>NY - JFK</v>
      </c>
      <c r="E510" s="344">
        <f ca="1">OFFSET('Zip Code Lines_1'!$W$3,MATCH('Zip Code Lines_1'!C510,'Zip Code Lines_1'!$Q$4:$Q$26,0),0)</f>
        <v>18</v>
      </c>
      <c r="F510" s="344">
        <f ca="1">OFFSET('Zip Code Lines_1'!$Z$3,MATCH('Zip Code Lines_1'!C510,'Zip Code Lines_1'!$Q$4:$Q$26,0),0)</f>
        <v>86.6</v>
      </c>
      <c r="G510" s="342">
        <f ca="1">OFFSET('Zip Code Lines_1'!$AC$3,MATCH('Zip Code Lines_1'!C510,'Zip Code Lines_1'!$Q$4:$Q$26,0),0)</f>
        <v>6</v>
      </c>
      <c r="H510" s="342">
        <v>11561</v>
      </c>
    </row>
    <row r="511" spans="2:8" x14ac:dyDescent="0.25">
      <c r="B511" s="342">
        <v>11563</v>
      </c>
      <c r="C511" s="343" t="s">
        <v>555</v>
      </c>
      <c r="D511" s="343" t="str">
        <f ca="1">OFFSET('Zip Code Lines_1'!$U$3,MATCH('Zip Code Lines_1'!C511,'Zip Code Lines_1'!$Q$4:$Q$26,0),0)</f>
        <v>NY - JFK</v>
      </c>
      <c r="E511" s="344">
        <f ca="1">OFFSET('Zip Code Lines_1'!$W$3,MATCH('Zip Code Lines_1'!C511,'Zip Code Lines_1'!$Q$4:$Q$26,0),0)</f>
        <v>18</v>
      </c>
      <c r="F511" s="344">
        <f ca="1">OFFSET('Zip Code Lines_1'!$Z$3,MATCH('Zip Code Lines_1'!C511,'Zip Code Lines_1'!$Q$4:$Q$26,0),0)</f>
        <v>86.6</v>
      </c>
      <c r="G511" s="342">
        <f ca="1">OFFSET('Zip Code Lines_1'!$AC$3,MATCH('Zip Code Lines_1'!C511,'Zip Code Lines_1'!$Q$4:$Q$26,0),0)</f>
        <v>6</v>
      </c>
      <c r="H511" s="342">
        <v>11563</v>
      </c>
    </row>
    <row r="512" spans="2:8" x14ac:dyDescent="0.25">
      <c r="B512" s="342">
        <v>11565</v>
      </c>
      <c r="C512" s="343" t="s">
        <v>555</v>
      </c>
      <c r="D512" s="343" t="str">
        <f ca="1">OFFSET('Zip Code Lines_1'!$U$3,MATCH('Zip Code Lines_1'!C512,'Zip Code Lines_1'!$Q$4:$Q$26,0),0)</f>
        <v>NY - JFK</v>
      </c>
      <c r="E512" s="344">
        <f ca="1">OFFSET('Zip Code Lines_1'!$W$3,MATCH('Zip Code Lines_1'!C512,'Zip Code Lines_1'!$Q$4:$Q$26,0),0)</f>
        <v>18</v>
      </c>
      <c r="F512" s="344">
        <f ca="1">OFFSET('Zip Code Lines_1'!$Z$3,MATCH('Zip Code Lines_1'!C512,'Zip Code Lines_1'!$Q$4:$Q$26,0),0)</f>
        <v>86.6</v>
      </c>
      <c r="G512" s="342">
        <f ca="1">OFFSET('Zip Code Lines_1'!$AC$3,MATCH('Zip Code Lines_1'!C512,'Zip Code Lines_1'!$Q$4:$Q$26,0),0)</f>
        <v>6</v>
      </c>
      <c r="H512" s="342">
        <v>11565</v>
      </c>
    </row>
    <row r="513" spans="2:8" x14ac:dyDescent="0.25">
      <c r="B513" s="342">
        <v>11566</v>
      </c>
      <c r="C513" s="343" t="s">
        <v>535</v>
      </c>
      <c r="D513" s="343" t="str">
        <f ca="1">OFFSET('Zip Code Lines_1'!$U$3,MATCH('Zip Code Lines_1'!C513,'Zip Code Lines_1'!$Q$4:$Q$26,0),0)</f>
        <v>Farmingdale</v>
      </c>
      <c r="E513" s="344">
        <f ca="1">OFFSET('Zip Code Lines_1'!$W$3,MATCH('Zip Code Lines_1'!C513,'Zip Code Lines_1'!$Q$4:$Q$26,0),0)</f>
        <v>17</v>
      </c>
      <c r="F513" s="344">
        <f ca="1">OFFSET('Zip Code Lines_1'!$Z$3,MATCH('Zip Code Lines_1'!C513,'Zip Code Lines_1'!$Q$4:$Q$26,0),0)</f>
        <v>86.3</v>
      </c>
      <c r="G513" s="342">
        <f ca="1">OFFSET('Zip Code Lines_1'!$AC$3,MATCH('Zip Code Lines_1'!C513,'Zip Code Lines_1'!$Q$4:$Q$26,0),0)</f>
        <v>6</v>
      </c>
      <c r="H513" s="342">
        <v>11566</v>
      </c>
    </row>
    <row r="514" spans="2:8" x14ac:dyDescent="0.25">
      <c r="B514" s="342">
        <v>11568</v>
      </c>
      <c r="C514" s="343" t="s">
        <v>535</v>
      </c>
      <c r="D514" s="343" t="str">
        <f ca="1">OFFSET('Zip Code Lines_1'!$U$3,MATCH('Zip Code Lines_1'!C514,'Zip Code Lines_1'!$Q$4:$Q$26,0),0)</f>
        <v>Farmingdale</v>
      </c>
      <c r="E514" s="344">
        <f ca="1">OFFSET('Zip Code Lines_1'!$W$3,MATCH('Zip Code Lines_1'!C514,'Zip Code Lines_1'!$Q$4:$Q$26,0),0)</f>
        <v>17</v>
      </c>
      <c r="F514" s="344">
        <f ca="1">OFFSET('Zip Code Lines_1'!$Z$3,MATCH('Zip Code Lines_1'!C514,'Zip Code Lines_1'!$Q$4:$Q$26,0),0)</f>
        <v>86.3</v>
      </c>
      <c r="G514" s="342">
        <f ca="1">OFFSET('Zip Code Lines_1'!$AC$3,MATCH('Zip Code Lines_1'!C514,'Zip Code Lines_1'!$Q$4:$Q$26,0),0)</f>
        <v>6</v>
      </c>
      <c r="H514" s="342">
        <v>11568</v>
      </c>
    </row>
    <row r="515" spans="2:8" x14ac:dyDescent="0.25">
      <c r="B515" s="342">
        <v>11569</v>
      </c>
      <c r="C515" s="343" t="s">
        <v>555</v>
      </c>
      <c r="D515" s="343" t="str">
        <f ca="1">OFFSET('Zip Code Lines_1'!$U$3,MATCH('Zip Code Lines_1'!C515,'Zip Code Lines_1'!$Q$4:$Q$26,0),0)</f>
        <v>NY - JFK</v>
      </c>
      <c r="E515" s="344">
        <f ca="1">OFFSET('Zip Code Lines_1'!$W$3,MATCH('Zip Code Lines_1'!C515,'Zip Code Lines_1'!$Q$4:$Q$26,0),0)</f>
        <v>18</v>
      </c>
      <c r="F515" s="344">
        <f ca="1">OFFSET('Zip Code Lines_1'!$Z$3,MATCH('Zip Code Lines_1'!C515,'Zip Code Lines_1'!$Q$4:$Q$26,0),0)</f>
        <v>86.6</v>
      </c>
      <c r="G515" s="342">
        <f ca="1">OFFSET('Zip Code Lines_1'!$AC$3,MATCH('Zip Code Lines_1'!C515,'Zip Code Lines_1'!$Q$4:$Q$26,0),0)</f>
        <v>6</v>
      </c>
      <c r="H515" s="342">
        <v>11569</v>
      </c>
    </row>
    <row r="516" spans="2:8" x14ac:dyDescent="0.25">
      <c r="B516" s="342">
        <v>11570</v>
      </c>
      <c r="C516" s="343" t="s">
        <v>535</v>
      </c>
      <c r="D516" s="343" t="str">
        <f ca="1">OFFSET('Zip Code Lines_1'!$U$3,MATCH('Zip Code Lines_1'!C516,'Zip Code Lines_1'!$Q$4:$Q$26,0),0)</f>
        <v>Farmingdale</v>
      </c>
      <c r="E516" s="344">
        <f ca="1">OFFSET('Zip Code Lines_1'!$W$3,MATCH('Zip Code Lines_1'!C516,'Zip Code Lines_1'!$Q$4:$Q$26,0),0)</f>
        <v>17</v>
      </c>
      <c r="F516" s="344">
        <f ca="1">OFFSET('Zip Code Lines_1'!$Z$3,MATCH('Zip Code Lines_1'!C516,'Zip Code Lines_1'!$Q$4:$Q$26,0),0)</f>
        <v>86.3</v>
      </c>
      <c r="G516" s="342">
        <f ca="1">OFFSET('Zip Code Lines_1'!$AC$3,MATCH('Zip Code Lines_1'!C516,'Zip Code Lines_1'!$Q$4:$Q$26,0),0)</f>
        <v>6</v>
      </c>
      <c r="H516" s="342">
        <v>11570</v>
      </c>
    </row>
    <row r="517" spans="2:8" x14ac:dyDescent="0.25">
      <c r="B517" s="342">
        <v>11571</v>
      </c>
      <c r="C517" s="343" t="s">
        <v>535</v>
      </c>
      <c r="D517" s="343" t="str">
        <f ca="1">OFFSET('Zip Code Lines_1'!$U$3,MATCH('Zip Code Lines_1'!C517,'Zip Code Lines_1'!$Q$4:$Q$26,0),0)</f>
        <v>Farmingdale</v>
      </c>
      <c r="E517" s="344">
        <f ca="1">OFFSET('Zip Code Lines_1'!$W$3,MATCH('Zip Code Lines_1'!C517,'Zip Code Lines_1'!$Q$4:$Q$26,0),0)</f>
        <v>17</v>
      </c>
      <c r="F517" s="344">
        <f ca="1">OFFSET('Zip Code Lines_1'!$Z$3,MATCH('Zip Code Lines_1'!C517,'Zip Code Lines_1'!$Q$4:$Q$26,0),0)</f>
        <v>86.3</v>
      </c>
      <c r="G517" s="342">
        <f ca="1">OFFSET('Zip Code Lines_1'!$AC$3,MATCH('Zip Code Lines_1'!C517,'Zip Code Lines_1'!$Q$4:$Q$26,0),0)</f>
        <v>6</v>
      </c>
      <c r="H517" s="342">
        <v>11571</v>
      </c>
    </row>
    <row r="518" spans="2:8" x14ac:dyDescent="0.25">
      <c r="B518" s="342">
        <v>11572</v>
      </c>
      <c r="C518" s="343" t="s">
        <v>535</v>
      </c>
      <c r="D518" s="343" t="str">
        <f ca="1">OFFSET('Zip Code Lines_1'!$U$3,MATCH('Zip Code Lines_1'!C518,'Zip Code Lines_1'!$Q$4:$Q$26,0),0)</f>
        <v>Farmingdale</v>
      </c>
      <c r="E518" s="344">
        <f ca="1">OFFSET('Zip Code Lines_1'!$W$3,MATCH('Zip Code Lines_1'!C518,'Zip Code Lines_1'!$Q$4:$Q$26,0),0)</f>
        <v>17</v>
      </c>
      <c r="F518" s="344">
        <f ca="1">OFFSET('Zip Code Lines_1'!$Z$3,MATCH('Zip Code Lines_1'!C518,'Zip Code Lines_1'!$Q$4:$Q$26,0),0)</f>
        <v>86.3</v>
      </c>
      <c r="G518" s="342">
        <f ca="1">OFFSET('Zip Code Lines_1'!$AC$3,MATCH('Zip Code Lines_1'!C518,'Zip Code Lines_1'!$Q$4:$Q$26,0),0)</f>
        <v>6</v>
      </c>
      <c r="H518" s="342">
        <v>11572</v>
      </c>
    </row>
    <row r="519" spans="2:8" x14ac:dyDescent="0.25">
      <c r="B519" s="342">
        <v>11575</v>
      </c>
      <c r="C519" s="343" t="s">
        <v>535</v>
      </c>
      <c r="D519" s="343" t="str">
        <f ca="1">OFFSET('Zip Code Lines_1'!$U$3,MATCH('Zip Code Lines_1'!C519,'Zip Code Lines_1'!$Q$4:$Q$26,0),0)</f>
        <v>Farmingdale</v>
      </c>
      <c r="E519" s="344">
        <f ca="1">OFFSET('Zip Code Lines_1'!$W$3,MATCH('Zip Code Lines_1'!C519,'Zip Code Lines_1'!$Q$4:$Q$26,0),0)</f>
        <v>17</v>
      </c>
      <c r="F519" s="344">
        <f ca="1">OFFSET('Zip Code Lines_1'!$Z$3,MATCH('Zip Code Lines_1'!C519,'Zip Code Lines_1'!$Q$4:$Q$26,0),0)</f>
        <v>86.3</v>
      </c>
      <c r="G519" s="342">
        <f ca="1">OFFSET('Zip Code Lines_1'!$AC$3,MATCH('Zip Code Lines_1'!C519,'Zip Code Lines_1'!$Q$4:$Q$26,0),0)</f>
        <v>6</v>
      </c>
      <c r="H519" s="342">
        <v>11575</v>
      </c>
    </row>
    <row r="520" spans="2:8" x14ac:dyDescent="0.25">
      <c r="B520" s="342">
        <v>11576</v>
      </c>
      <c r="C520" s="343" t="s">
        <v>535</v>
      </c>
      <c r="D520" s="343" t="str">
        <f ca="1">OFFSET('Zip Code Lines_1'!$U$3,MATCH('Zip Code Lines_1'!C520,'Zip Code Lines_1'!$Q$4:$Q$26,0),0)</f>
        <v>Farmingdale</v>
      </c>
      <c r="E520" s="344">
        <f ca="1">OFFSET('Zip Code Lines_1'!$W$3,MATCH('Zip Code Lines_1'!C520,'Zip Code Lines_1'!$Q$4:$Q$26,0),0)</f>
        <v>17</v>
      </c>
      <c r="F520" s="344">
        <f ca="1">OFFSET('Zip Code Lines_1'!$Z$3,MATCH('Zip Code Lines_1'!C520,'Zip Code Lines_1'!$Q$4:$Q$26,0),0)</f>
        <v>86.3</v>
      </c>
      <c r="G520" s="342">
        <f ca="1">OFFSET('Zip Code Lines_1'!$AC$3,MATCH('Zip Code Lines_1'!C520,'Zip Code Lines_1'!$Q$4:$Q$26,0),0)</f>
        <v>6</v>
      </c>
      <c r="H520" s="342">
        <v>11576</v>
      </c>
    </row>
    <row r="521" spans="2:8" x14ac:dyDescent="0.25">
      <c r="B521" s="342">
        <v>11577</v>
      </c>
      <c r="C521" s="343" t="s">
        <v>535</v>
      </c>
      <c r="D521" s="343" t="str">
        <f ca="1">OFFSET('Zip Code Lines_1'!$U$3,MATCH('Zip Code Lines_1'!C521,'Zip Code Lines_1'!$Q$4:$Q$26,0),0)</f>
        <v>Farmingdale</v>
      </c>
      <c r="E521" s="344">
        <f ca="1">OFFSET('Zip Code Lines_1'!$W$3,MATCH('Zip Code Lines_1'!C521,'Zip Code Lines_1'!$Q$4:$Q$26,0),0)</f>
        <v>17</v>
      </c>
      <c r="F521" s="344">
        <f ca="1">OFFSET('Zip Code Lines_1'!$Z$3,MATCH('Zip Code Lines_1'!C521,'Zip Code Lines_1'!$Q$4:$Q$26,0),0)</f>
        <v>86.3</v>
      </c>
      <c r="G521" s="342">
        <f ca="1">OFFSET('Zip Code Lines_1'!$AC$3,MATCH('Zip Code Lines_1'!C521,'Zip Code Lines_1'!$Q$4:$Q$26,0),0)</f>
        <v>6</v>
      </c>
      <c r="H521" s="342">
        <v>11577</v>
      </c>
    </row>
    <row r="522" spans="2:8" x14ac:dyDescent="0.25">
      <c r="B522" s="342">
        <v>11579</v>
      </c>
      <c r="C522" s="343" t="s">
        <v>535</v>
      </c>
      <c r="D522" s="343" t="str">
        <f ca="1">OFFSET('Zip Code Lines_1'!$U$3,MATCH('Zip Code Lines_1'!C522,'Zip Code Lines_1'!$Q$4:$Q$26,0),0)</f>
        <v>Farmingdale</v>
      </c>
      <c r="E522" s="344">
        <f ca="1">OFFSET('Zip Code Lines_1'!$W$3,MATCH('Zip Code Lines_1'!C522,'Zip Code Lines_1'!$Q$4:$Q$26,0),0)</f>
        <v>17</v>
      </c>
      <c r="F522" s="344">
        <f ca="1">OFFSET('Zip Code Lines_1'!$Z$3,MATCH('Zip Code Lines_1'!C522,'Zip Code Lines_1'!$Q$4:$Q$26,0),0)</f>
        <v>86.3</v>
      </c>
      <c r="G522" s="342">
        <f ca="1">OFFSET('Zip Code Lines_1'!$AC$3,MATCH('Zip Code Lines_1'!C522,'Zip Code Lines_1'!$Q$4:$Q$26,0),0)</f>
        <v>6</v>
      </c>
      <c r="H522" s="342">
        <v>11579</v>
      </c>
    </row>
    <row r="523" spans="2:8" x14ac:dyDescent="0.25">
      <c r="B523" s="342">
        <v>11580</v>
      </c>
      <c r="C523" s="343" t="s">
        <v>555</v>
      </c>
      <c r="D523" s="343" t="str">
        <f ca="1">OFFSET('Zip Code Lines_1'!$U$3,MATCH('Zip Code Lines_1'!C523,'Zip Code Lines_1'!$Q$4:$Q$26,0),0)</f>
        <v>NY - JFK</v>
      </c>
      <c r="E523" s="344">
        <f ca="1">OFFSET('Zip Code Lines_1'!$W$3,MATCH('Zip Code Lines_1'!C523,'Zip Code Lines_1'!$Q$4:$Q$26,0),0)</f>
        <v>18</v>
      </c>
      <c r="F523" s="344">
        <f ca="1">OFFSET('Zip Code Lines_1'!$Z$3,MATCH('Zip Code Lines_1'!C523,'Zip Code Lines_1'!$Q$4:$Q$26,0),0)</f>
        <v>86.6</v>
      </c>
      <c r="G523" s="342">
        <f ca="1">OFFSET('Zip Code Lines_1'!$AC$3,MATCH('Zip Code Lines_1'!C523,'Zip Code Lines_1'!$Q$4:$Q$26,0),0)</f>
        <v>6</v>
      </c>
      <c r="H523" s="342">
        <v>11580</v>
      </c>
    </row>
    <row r="524" spans="2:8" x14ac:dyDescent="0.25">
      <c r="B524" s="342">
        <v>11581</v>
      </c>
      <c r="C524" s="343" t="s">
        <v>555</v>
      </c>
      <c r="D524" s="343" t="str">
        <f ca="1">OFFSET('Zip Code Lines_1'!$U$3,MATCH('Zip Code Lines_1'!C524,'Zip Code Lines_1'!$Q$4:$Q$26,0),0)</f>
        <v>NY - JFK</v>
      </c>
      <c r="E524" s="344">
        <f ca="1">OFFSET('Zip Code Lines_1'!$W$3,MATCH('Zip Code Lines_1'!C524,'Zip Code Lines_1'!$Q$4:$Q$26,0),0)</f>
        <v>18</v>
      </c>
      <c r="F524" s="344">
        <f ca="1">OFFSET('Zip Code Lines_1'!$Z$3,MATCH('Zip Code Lines_1'!C524,'Zip Code Lines_1'!$Q$4:$Q$26,0),0)</f>
        <v>86.6</v>
      </c>
      <c r="G524" s="342">
        <f ca="1">OFFSET('Zip Code Lines_1'!$AC$3,MATCH('Zip Code Lines_1'!C524,'Zip Code Lines_1'!$Q$4:$Q$26,0),0)</f>
        <v>6</v>
      </c>
      <c r="H524" s="342">
        <v>11581</v>
      </c>
    </row>
    <row r="525" spans="2:8" x14ac:dyDescent="0.25">
      <c r="B525" s="342">
        <v>11582</v>
      </c>
      <c r="C525" s="343" t="s">
        <v>555</v>
      </c>
      <c r="D525" s="343" t="str">
        <f ca="1">OFFSET('Zip Code Lines_1'!$U$3,MATCH('Zip Code Lines_1'!C525,'Zip Code Lines_1'!$Q$4:$Q$26,0),0)</f>
        <v>NY - JFK</v>
      </c>
      <c r="E525" s="344">
        <f ca="1">OFFSET('Zip Code Lines_1'!$W$3,MATCH('Zip Code Lines_1'!C525,'Zip Code Lines_1'!$Q$4:$Q$26,0),0)</f>
        <v>18</v>
      </c>
      <c r="F525" s="344">
        <f ca="1">OFFSET('Zip Code Lines_1'!$Z$3,MATCH('Zip Code Lines_1'!C525,'Zip Code Lines_1'!$Q$4:$Q$26,0),0)</f>
        <v>86.6</v>
      </c>
      <c r="G525" s="342">
        <f ca="1">OFFSET('Zip Code Lines_1'!$AC$3,MATCH('Zip Code Lines_1'!C525,'Zip Code Lines_1'!$Q$4:$Q$26,0),0)</f>
        <v>6</v>
      </c>
      <c r="H525" s="342">
        <v>11582</v>
      </c>
    </row>
    <row r="526" spans="2:8" x14ac:dyDescent="0.25">
      <c r="B526" s="342">
        <v>11590</v>
      </c>
      <c r="C526" s="343" t="s">
        <v>535</v>
      </c>
      <c r="D526" s="343" t="str">
        <f ca="1">OFFSET('Zip Code Lines_1'!$U$3,MATCH('Zip Code Lines_1'!C526,'Zip Code Lines_1'!$Q$4:$Q$26,0),0)</f>
        <v>Farmingdale</v>
      </c>
      <c r="E526" s="344">
        <f ca="1">OFFSET('Zip Code Lines_1'!$W$3,MATCH('Zip Code Lines_1'!C526,'Zip Code Lines_1'!$Q$4:$Q$26,0),0)</f>
        <v>17</v>
      </c>
      <c r="F526" s="344">
        <f ca="1">OFFSET('Zip Code Lines_1'!$Z$3,MATCH('Zip Code Lines_1'!C526,'Zip Code Lines_1'!$Q$4:$Q$26,0),0)</f>
        <v>86.3</v>
      </c>
      <c r="G526" s="342">
        <f ca="1">OFFSET('Zip Code Lines_1'!$AC$3,MATCH('Zip Code Lines_1'!C526,'Zip Code Lines_1'!$Q$4:$Q$26,0),0)</f>
        <v>6</v>
      </c>
      <c r="H526" s="342">
        <v>11590</v>
      </c>
    </row>
    <row r="527" spans="2:8" x14ac:dyDescent="0.25">
      <c r="B527" s="342">
        <v>11596</v>
      </c>
      <c r="C527" s="343" t="s">
        <v>535</v>
      </c>
      <c r="D527" s="343" t="str">
        <f ca="1">OFFSET('Zip Code Lines_1'!$U$3,MATCH('Zip Code Lines_1'!C527,'Zip Code Lines_1'!$Q$4:$Q$26,0),0)</f>
        <v>Farmingdale</v>
      </c>
      <c r="E527" s="344">
        <f ca="1">OFFSET('Zip Code Lines_1'!$W$3,MATCH('Zip Code Lines_1'!C527,'Zip Code Lines_1'!$Q$4:$Q$26,0),0)</f>
        <v>17</v>
      </c>
      <c r="F527" s="344">
        <f ca="1">OFFSET('Zip Code Lines_1'!$Z$3,MATCH('Zip Code Lines_1'!C527,'Zip Code Lines_1'!$Q$4:$Q$26,0),0)</f>
        <v>86.3</v>
      </c>
      <c r="G527" s="342">
        <f ca="1">OFFSET('Zip Code Lines_1'!$AC$3,MATCH('Zip Code Lines_1'!C527,'Zip Code Lines_1'!$Q$4:$Q$26,0),0)</f>
        <v>6</v>
      </c>
      <c r="H527" s="342">
        <v>11596</v>
      </c>
    </row>
    <row r="528" spans="2:8" x14ac:dyDescent="0.25">
      <c r="B528" s="342">
        <v>11598</v>
      </c>
      <c r="C528" s="343" t="s">
        <v>555</v>
      </c>
      <c r="D528" s="343" t="str">
        <f ca="1">OFFSET('Zip Code Lines_1'!$U$3,MATCH('Zip Code Lines_1'!C528,'Zip Code Lines_1'!$Q$4:$Q$26,0),0)</f>
        <v>NY - JFK</v>
      </c>
      <c r="E528" s="344">
        <f ca="1">OFFSET('Zip Code Lines_1'!$W$3,MATCH('Zip Code Lines_1'!C528,'Zip Code Lines_1'!$Q$4:$Q$26,0),0)</f>
        <v>18</v>
      </c>
      <c r="F528" s="344">
        <f ca="1">OFFSET('Zip Code Lines_1'!$Z$3,MATCH('Zip Code Lines_1'!C528,'Zip Code Lines_1'!$Q$4:$Q$26,0),0)</f>
        <v>86.6</v>
      </c>
      <c r="G528" s="342">
        <f ca="1">OFFSET('Zip Code Lines_1'!$AC$3,MATCH('Zip Code Lines_1'!C528,'Zip Code Lines_1'!$Q$4:$Q$26,0),0)</f>
        <v>6</v>
      </c>
      <c r="H528" s="342">
        <v>11598</v>
      </c>
    </row>
    <row r="529" spans="2:8" x14ac:dyDescent="0.25">
      <c r="B529" s="342">
        <v>11599</v>
      </c>
      <c r="C529" s="343" t="s">
        <v>535</v>
      </c>
      <c r="D529" s="343" t="str">
        <f ca="1">OFFSET('Zip Code Lines_1'!$U$3,MATCH('Zip Code Lines_1'!C529,'Zip Code Lines_1'!$Q$4:$Q$26,0),0)</f>
        <v>Farmingdale</v>
      </c>
      <c r="E529" s="344">
        <f ca="1">OFFSET('Zip Code Lines_1'!$W$3,MATCH('Zip Code Lines_1'!C529,'Zip Code Lines_1'!$Q$4:$Q$26,0),0)</f>
        <v>17</v>
      </c>
      <c r="F529" s="344">
        <f ca="1">OFFSET('Zip Code Lines_1'!$Z$3,MATCH('Zip Code Lines_1'!C529,'Zip Code Lines_1'!$Q$4:$Q$26,0),0)</f>
        <v>86.3</v>
      </c>
      <c r="G529" s="342">
        <f ca="1">OFFSET('Zip Code Lines_1'!$AC$3,MATCH('Zip Code Lines_1'!C529,'Zip Code Lines_1'!$Q$4:$Q$26,0),0)</f>
        <v>6</v>
      </c>
      <c r="H529" s="342">
        <v>11599</v>
      </c>
    </row>
    <row r="530" spans="2:8" x14ac:dyDescent="0.25">
      <c r="B530" s="342">
        <v>11690</v>
      </c>
      <c r="C530" s="343" t="s">
        <v>555</v>
      </c>
      <c r="D530" s="343" t="str">
        <f ca="1">OFFSET('Zip Code Lines_1'!$U$3,MATCH('Zip Code Lines_1'!C530,'Zip Code Lines_1'!$Q$4:$Q$26,0),0)</f>
        <v>NY - JFK</v>
      </c>
      <c r="E530" s="344">
        <f ca="1">OFFSET('Zip Code Lines_1'!$W$3,MATCH('Zip Code Lines_1'!C530,'Zip Code Lines_1'!$Q$4:$Q$26,0),0)</f>
        <v>18</v>
      </c>
      <c r="F530" s="344">
        <f ca="1">OFFSET('Zip Code Lines_1'!$Z$3,MATCH('Zip Code Lines_1'!C530,'Zip Code Lines_1'!$Q$4:$Q$26,0),0)</f>
        <v>86.6</v>
      </c>
      <c r="G530" s="342">
        <f ca="1">OFFSET('Zip Code Lines_1'!$AC$3,MATCH('Zip Code Lines_1'!C530,'Zip Code Lines_1'!$Q$4:$Q$26,0),0)</f>
        <v>6</v>
      </c>
      <c r="H530" s="342">
        <v>11690</v>
      </c>
    </row>
    <row r="531" spans="2:8" x14ac:dyDescent="0.25">
      <c r="B531" s="342">
        <v>11691</v>
      </c>
      <c r="C531" s="343" t="s">
        <v>555</v>
      </c>
      <c r="D531" s="343" t="str">
        <f ca="1">OFFSET('Zip Code Lines_1'!$U$3,MATCH('Zip Code Lines_1'!C531,'Zip Code Lines_1'!$Q$4:$Q$26,0),0)</f>
        <v>NY - JFK</v>
      </c>
      <c r="E531" s="344">
        <f ca="1">OFFSET('Zip Code Lines_1'!$W$3,MATCH('Zip Code Lines_1'!C531,'Zip Code Lines_1'!$Q$4:$Q$26,0),0)</f>
        <v>18</v>
      </c>
      <c r="F531" s="344">
        <f ca="1">OFFSET('Zip Code Lines_1'!$Z$3,MATCH('Zip Code Lines_1'!C531,'Zip Code Lines_1'!$Q$4:$Q$26,0),0)</f>
        <v>86.6</v>
      </c>
      <c r="G531" s="342">
        <f ca="1">OFFSET('Zip Code Lines_1'!$AC$3,MATCH('Zip Code Lines_1'!C531,'Zip Code Lines_1'!$Q$4:$Q$26,0),0)</f>
        <v>6</v>
      </c>
      <c r="H531" s="342">
        <v>11691</v>
      </c>
    </row>
    <row r="532" spans="2:8" x14ac:dyDescent="0.25">
      <c r="B532" s="342">
        <v>11692</v>
      </c>
      <c r="C532" s="343" t="s">
        <v>555</v>
      </c>
      <c r="D532" s="343" t="str">
        <f ca="1">OFFSET('Zip Code Lines_1'!$U$3,MATCH('Zip Code Lines_1'!C532,'Zip Code Lines_1'!$Q$4:$Q$26,0),0)</f>
        <v>NY - JFK</v>
      </c>
      <c r="E532" s="344">
        <f ca="1">OFFSET('Zip Code Lines_1'!$W$3,MATCH('Zip Code Lines_1'!C532,'Zip Code Lines_1'!$Q$4:$Q$26,0),0)</f>
        <v>18</v>
      </c>
      <c r="F532" s="344">
        <f ca="1">OFFSET('Zip Code Lines_1'!$Z$3,MATCH('Zip Code Lines_1'!C532,'Zip Code Lines_1'!$Q$4:$Q$26,0),0)</f>
        <v>86.6</v>
      </c>
      <c r="G532" s="342">
        <f ca="1">OFFSET('Zip Code Lines_1'!$AC$3,MATCH('Zip Code Lines_1'!C532,'Zip Code Lines_1'!$Q$4:$Q$26,0),0)</f>
        <v>6</v>
      </c>
      <c r="H532" s="342">
        <v>11692</v>
      </c>
    </row>
    <row r="533" spans="2:8" x14ac:dyDescent="0.25">
      <c r="B533" s="342">
        <v>11693</v>
      </c>
      <c r="C533" s="343" t="s">
        <v>555</v>
      </c>
      <c r="D533" s="343" t="str">
        <f ca="1">OFFSET('Zip Code Lines_1'!$U$3,MATCH('Zip Code Lines_1'!C533,'Zip Code Lines_1'!$Q$4:$Q$26,0),0)</f>
        <v>NY - JFK</v>
      </c>
      <c r="E533" s="344">
        <f ca="1">OFFSET('Zip Code Lines_1'!$W$3,MATCH('Zip Code Lines_1'!C533,'Zip Code Lines_1'!$Q$4:$Q$26,0),0)</f>
        <v>18</v>
      </c>
      <c r="F533" s="344">
        <f ca="1">OFFSET('Zip Code Lines_1'!$Z$3,MATCH('Zip Code Lines_1'!C533,'Zip Code Lines_1'!$Q$4:$Q$26,0),0)</f>
        <v>86.6</v>
      </c>
      <c r="G533" s="342">
        <f ca="1">OFFSET('Zip Code Lines_1'!$AC$3,MATCH('Zip Code Lines_1'!C533,'Zip Code Lines_1'!$Q$4:$Q$26,0),0)</f>
        <v>6</v>
      </c>
      <c r="H533" s="342">
        <v>11693</v>
      </c>
    </row>
    <row r="534" spans="2:8" x14ac:dyDescent="0.25">
      <c r="B534" s="342">
        <v>11694</v>
      </c>
      <c r="C534" s="343" t="s">
        <v>552</v>
      </c>
      <c r="D534" s="343" t="str">
        <f ca="1">OFFSET('Zip Code Lines_1'!$U$3,MATCH('Zip Code Lines_1'!C534,'Zip Code Lines_1'!$Q$4:$Q$26,0),0)</f>
        <v>NY - Central Park</v>
      </c>
      <c r="E534" s="344">
        <f ca="1">OFFSET('Zip Code Lines_1'!$W$3,MATCH('Zip Code Lines_1'!C534,'Zip Code Lines_1'!$Q$4:$Q$26,0),0)</f>
        <v>17.5</v>
      </c>
      <c r="F534" s="344">
        <f ca="1">OFFSET('Zip Code Lines_1'!$Z$3,MATCH('Zip Code Lines_1'!C534,'Zip Code Lines_1'!$Q$4:$Q$26,0),0)</f>
        <v>88</v>
      </c>
      <c r="G534" s="342">
        <f ca="1">OFFSET('Zip Code Lines_1'!$AC$3,MATCH('Zip Code Lines_1'!C534,'Zip Code Lines_1'!$Q$4:$Q$26,0),0)</f>
        <v>6</v>
      </c>
      <c r="H534" s="342">
        <v>11694</v>
      </c>
    </row>
    <row r="535" spans="2:8" x14ac:dyDescent="0.25">
      <c r="B535" s="342">
        <v>11695</v>
      </c>
      <c r="C535" s="343" t="s">
        <v>552</v>
      </c>
      <c r="D535" s="343" t="str">
        <f ca="1">OFFSET('Zip Code Lines_1'!$U$3,MATCH('Zip Code Lines_1'!C535,'Zip Code Lines_1'!$Q$4:$Q$26,0),0)</f>
        <v>NY - Central Park</v>
      </c>
      <c r="E535" s="344">
        <f ca="1">OFFSET('Zip Code Lines_1'!$W$3,MATCH('Zip Code Lines_1'!C535,'Zip Code Lines_1'!$Q$4:$Q$26,0),0)</f>
        <v>17.5</v>
      </c>
      <c r="F535" s="344">
        <f ca="1">OFFSET('Zip Code Lines_1'!$Z$3,MATCH('Zip Code Lines_1'!C535,'Zip Code Lines_1'!$Q$4:$Q$26,0),0)</f>
        <v>88</v>
      </c>
      <c r="G535" s="342">
        <f ca="1">OFFSET('Zip Code Lines_1'!$AC$3,MATCH('Zip Code Lines_1'!C535,'Zip Code Lines_1'!$Q$4:$Q$26,0),0)</f>
        <v>6</v>
      </c>
      <c r="H535" s="342">
        <v>11695</v>
      </c>
    </row>
    <row r="536" spans="2:8" x14ac:dyDescent="0.25">
      <c r="B536" s="342">
        <v>11697</v>
      </c>
      <c r="C536" s="343" t="s">
        <v>552</v>
      </c>
      <c r="D536" s="343" t="str">
        <f ca="1">OFFSET('Zip Code Lines_1'!$U$3,MATCH('Zip Code Lines_1'!C536,'Zip Code Lines_1'!$Q$4:$Q$26,0),0)</f>
        <v>NY - Central Park</v>
      </c>
      <c r="E536" s="344">
        <f ca="1">OFFSET('Zip Code Lines_1'!$W$3,MATCH('Zip Code Lines_1'!C536,'Zip Code Lines_1'!$Q$4:$Q$26,0),0)</f>
        <v>17.5</v>
      </c>
      <c r="F536" s="344">
        <f ca="1">OFFSET('Zip Code Lines_1'!$Z$3,MATCH('Zip Code Lines_1'!C536,'Zip Code Lines_1'!$Q$4:$Q$26,0),0)</f>
        <v>88</v>
      </c>
      <c r="G536" s="342">
        <f ca="1">OFFSET('Zip Code Lines_1'!$AC$3,MATCH('Zip Code Lines_1'!C536,'Zip Code Lines_1'!$Q$4:$Q$26,0),0)</f>
        <v>6</v>
      </c>
      <c r="H536" s="342">
        <v>11697</v>
      </c>
    </row>
    <row r="537" spans="2:8" x14ac:dyDescent="0.25">
      <c r="B537" s="342">
        <v>11701</v>
      </c>
      <c r="C537" s="343" t="s">
        <v>535</v>
      </c>
      <c r="D537" s="343" t="str">
        <f ca="1">OFFSET('Zip Code Lines_1'!$U$3,MATCH('Zip Code Lines_1'!C537,'Zip Code Lines_1'!$Q$4:$Q$26,0),0)</f>
        <v>Farmingdale</v>
      </c>
      <c r="E537" s="344">
        <f ca="1">OFFSET('Zip Code Lines_1'!$W$3,MATCH('Zip Code Lines_1'!C537,'Zip Code Lines_1'!$Q$4:$Q$26,0),0)</f>
        <v>17</v>
      </c>
      <c r="F537" s="344">
        <f ca="1">OFFSET('Zip Code Lines_1'!$Z$3,MATCH('Zip Code Lines_1'!C537,'Zip Code Lines_1'!$Q$4:$Q$26,0),0)</f>
        <v>86.3</v>
      </c>
      <c r="G537" s="342">
        <f ca="1">OFFSET('Zip Code Lines_1'!$AC$3,MATCH('Zip Code Lines_1'!C537,'Zip Code Lines_1'!$Q$4:$Q$26,0),0)</f>
        <v>6</v>
      </c>
      <c r="H537" s="342">
        <v>11701</v>
      </c>
    </row>
    <row r="538" spans="2:8" x14ac:dyDescent="0.25">
      <c r="B538" s="342">
        <v>11702</v>
      </c>
      <c r="C538" s="343" t="s">
        <v>535</v>
      </c>
      <c r="D538" s="343" t="str">
        <f ca="1">OFFSET('Zip Code Lines_1'!$U$3,MATCH('Zip Code Lines_1'!C538,'Zip Code Lines_1'!$Q$4:$Q$26,0),0)</f>
        <v>Farmingdale</v>
      </c>
      <c r="E538" s="344">
        <f ca="1">OFFSET('Zip Code Lines_1'!$W$3,MATCH('Zip Code Lines_1'!C538,'Zip Code Lines_1'!$Q$4:$Q$26,0),0)</f>
        <v>17</v>
      </c>
      <c r="F538" s="344">
        <f ca="1">OFFSET('Zip Code Lines_1'!$Z$3,MATCH('Zip Code Lines_1'!C538,'Zip Code Lines_1'!$Q$4:$Q$26,0),0)</f>
        <v>86.3</v>
      </c>
      <c r="G538" s="342">
        <f ca="1">OFFSET('Zip Code Lines_1'!$AC$3,MATCH('Zip Code Lines_1'!C538,'Zip Code Lines_1'!$Q$4:$Q$26,0),0)</f>
        <v>6</v>
      </c>
      <c r="H538" s="342">
        <v>11702</v>
      </c>
    </row>
    <row r="539" spans="2:8" x14ac:dyDescent="0.25">
      <c r="B539" s="342">
        <v>11703</v>
      </c>
      <c r="C539" s="343" t="s">
        <v>535</v>
      </c>
      <c r="D539" s="343" t="str">
        <f ca="1">OFFSET('Zip Code Lines_1'!$U$3,MATCH('Zip Code Lines_1'!C539,'Zip Code Lines_1'!$Q$4:$Q$26,0),0)</f>
        <v>Farmingdale</v>
      </c>
      <c r="E539" s="344">
        <f ca="1">OFFSET('Zip Code Lines_1'!$W$3,MATCH('Zip Code Lines_1'!C539,'Zip Code Lines_1'!$Q$4:$Q$26,0),0)</f>
        <v>17</v>
      </c>
      <c r="F539" s="344">
        <f ca="1">OFFSET('Zip Code Lines_1'!$Z$3,MATCH('Zip Code Lines_1'!C539,'Zip Code Lines_1'!$Q$4:$Q$26,0),0)</f>
        <v>86.3</v>
      </c>
      <c r="G539" s="342">
        <f ca="1">OFFSET('Zip Code Lines_1'!$AC$3,MATCH('Zip Code Lines_1'!C539,'Zip Code Lines_1'!$Q$4:$Q$26,0),0)</f>
        <v>6</v>
      </c>
      <c r="H539" s="342">
        <v>11703</v>
      </c>
    </row>
    <row r="540" spans="2:8" x14ac:dyDescent="0.25">
      <c r="B540" s="342">
        <v>11704</v>
      </c>
      <c r="C540" s="343" t="s">
        <v>535</v>
      </c>
      <c r="D540" s="343" t="str">
        <f ca="1">OFFSET('Zip Code Lines_1'!$U$3,MATCH('Zip Code Lines_1'!C540,'Zip Code Lines_1'!$Q$4:$Q$26,0),0)</f>
        <v>Farmingdale</v>
      </c>
      <c r="E540" s="344">
        <f ca="1">OFFSET('Zip Code Lines_1'!$W$3,MATCH('Zip Code Lines_1'!C540,'Zip Code Lines_1'!$Q$4:$Q$26,0),0)</f>
        <v>17</v>
      </c>
      <c r="F540" s="344">
        <f ca="1">OFFSET('Zip Code Lines_1'!$Z$3,MATCH('Zip Code Lines_1'!C540,'Zip Code Lines_1'!$Q$4:$Q$26,0),0)</f>
        <v>86.3</v>
      </c>
      <c r="G540" s="342">
        <f ca="1">OFFSET('Zip Code Lines_1'!$AC$3,MATCH('Zip Code Lines_1'!C540,'Zip Code Lines_1'!$Q$4:$Q$26,0),0)</f>
        <v>6</v>
      </c>
      <c r="H540" s="342">
        <v>11704</v>
      </c>
    </row>
    <row r="541" spans="2:8" x14ac:dyDescent="0.25">
      <c r="B541" s="342">
        <v>11705</v>
      </c>
      <c r="C541" s="343" t="s">
        <v>545</v>
      </c>
      <c r="D541" s="343" t="str">
        <f ca="1">OFFSET('Zip Code Lines_1'!$U$3,MATCH('Zip Code Lines_1'!C541,'Zip Code Lines_1'!$Q$4:$Q$26,0),0)</f>
        <v>Islip</v>
      </c>
      <c r="E541" s="344">
        <f ca="1">OFFSET('Zip Code Lines_1'!$W$3,MATCH('Zip Code Lines_1'!C541,'Zip Code Lines_1'!$Q$4:$Q$26,0),0)</f>
        <v>15.9</v>
      </c>
      <c r="F541" s="344">
        <f ca="1">OFFSET('Zip Code Lines_1'!$Z$3,MATCH('Zip Code Lines_1'!C541,'Zip Code Lines_1'!$Q$4:$Q$26,0),0)</f>
        <v>85.7</v>
      </c>
      <c r="G541" s="342">
        <f ca="1">OFFSET('Zip Code Lines_1'!$AC$3,MATCH('Zip Code Lines_1'!C541,'Zip Code Lines_1'!$Q$4:$Q$26,0),0)</f>
        <v>6</v>
      </c>
      <c r="H541" s="342">
        <v>11705</v>
      </c>
    </row>
    <row r="542" spans="2:8" x14ac:dyDescent="0.25">
      <c r="B542" s="342">
        <v>11706</v>
      </c>
      <c r="C542" s="343" t="s">
        <v>535</v>
      </c>
      <c r="D542" s="343" t="str">
        <f ca="1">OFFSET('Zip Code Lines_1'!$U$3,MATCH('Zip Code Lines_1'!C542,'Zip Code Lines_1'!$Q$4:$Q$26,0),0)</f>
        <v>Farmingdale</v>
      </c>
      <c r="E542" s="344">
        <f ca="1">OFFSET('Zip Code Lines_1'!$W$3,MATCH('Zip Code Lines_1'!C542,'Zip Code Lines_1'!$Q$4:$Q$26,0),0)</f>
        <v>17</v>
      </c>
      <c r="F542" s="344">
        <f ca="1">OFFSET('Zip Code Lines_1'!$Z$3,MATCH('Zip Code Lines_1'!C542,'Zip Code Lines_1'!$Q$4:$Q$26,0),0)</f>
        <v>86.3</v>
      </c>
      <c r="G542" s="342">
        <f ca="1">OFFSET('Zip Code Lines_1'!$AC$3,MATCH('Zip Code Lines_1'!C542,'Zip Code Lines_1'!$Q$4:$Q$26,0),0)</f>
        <v>6</v>
      </c>
      <c r="H542" s="342">
        <v>11706</v>
      </c>
    </row>
    <row r="543" spans="2:8" x14ac:dyDescent="0.25">
      <c r="B543" s="342">
        <v>11707</v>
      </c>
      <c r="C543" s="343" t="s">
        <v>535</v>
      </c>
      <c r="D543" s="343" t="str">
        <f ca="1">OFFSET('Zip Code Lines_1'!$U$3,MATCH('Zip Code Lines_1'!C543,'Zip Code Lines_1'!$Q$4:$Q$26,0),0)</f>
        <v>Farmingdale</v>
      </c>
      <c r="E543" s="344">
        <f ca="1">OFFSET('Zip Code Lines_1'!$W$3,MATCH('Zip Code Lines_1'!C543,'Zip Code Lines_1'!$Q$4:$Q$26,0),0)</f>
        <v>17</v>
      </c>
      <c r="F543" s="344">
        <f ca="1">OFFSET('Zip Code Lines_1'!$Z$3,MATCH('Zip Code Lines_1'!C543,'Zip Code Lines_1'!$Q$4:$Q$26,0),0)</f>
        <v>86.3</v>
      </c>
      <c r="G543" s="342">
        <f ca="1">OFFSET('Zip Code Lines_1'!$AC$3,MATCH('Zip Code Lines_1'!C543,'Zip Code Lines_1'!$Q$4:$Q$26,0),0)</f>
        <v>6</v>
      </c>
      <c r="H543" s="342">
        <v>11707</v>
      </c>
    </row>
    <row r="544" spans="2:8" x14ac:dyDescent="0.25">
      <c r="B544" s="342">
        <v>11709</v>
      </c>
      <c r="C544" s="343" t="s">
        <v>535</v>
      </c>
      <c r="D544" s="343" t="str">
        <f ca="1">OFFSET('Zip Code Lines_1'!$U$3,MATCH('Zip Code Lines_1'!C544,'Zip Code Lines_1'!$Q$4:$Q$26,0),0)</f>
        <v>Farmingdale</v>
      </c>
      <c r="E544" s="344">
        <f ca="1">OFFSET('Zip Code Lines_1'!$W$3,MATCH('Zip Code Lines_1'!C544,'Zip Code Lines_1'!$Q$4:$Q$26,0),0)</f>
        <v>17</v>
      </c>
      <c r="F544" s="344">
        <f ca="1">OFFSET('Zip Code Lines_1'!$Z$3,MATCH('Zip Code Lines_1'!C544,'Zip Code Lines_1'!$Q$4:$Q$26,0),0)</f>
        <v>86.3</v>
      </c>
      <c r="G544" s="342">
        <f ca="1">OFFSET('Zip Code Lines_1'!$AC$3,MATCH('Zip Code Lines_1'!C544,'Zip Code Lines_1'!$Q$4:$Q$26,0),0)</f>
        <v>6</v>
      </c>
      <c r="H544" s="342">
        <v>11709</v>
      </c>
    </row>
    <row r="545" spans="2:8" x14ac:dyDescent="0.25">
      <c r="B545" s="342">
        <v>11710</v>
      </c>
      <c r="C545" s="343" t="s">
        <v>535</v>
      </c>
      <c r="D545" s="343" t="str">
        <f ca="1">OFFSET('Zip Code Lines_1'!$U$3,MATCH('Zip Code Lines_1'!C545,'Zip Code Lines_1'!$Q$4:$Q$26,0),0)</f>
        <v>Farmingdale</v>
      </c>
      <c r="E545" s="344">
        <f ca="1">OFFSET('Zip Code Lines_1'!$W$3,MATCH('Zip Code Lines_1'!C545,'Zip Code Lines_1'!$Q$4:$Q$26,0),0)</f>
        <v>17</v>
      </c>
      <c r="F545" s="344">
        <f ca="1">OFFSET('Zip Code Lines_1'!$Z$3,MATCH('Zip Code Lines_1'!C545,'Zip Code Lines_1'!$Q$4:$Q$26,0),0)</f>
        <v>86.3</v>
      </c>
      <c r="G545" s="342">
        <f ca="1">OFFSET('Zip Code Lines_1'!$AC$3,MATCH('Zip Code Lines_1'!C545,'Zip Code Lines_1'!$Q$4:$Q$26,0),0)</f>
        <v>6</v>
      </c>
      <c r="H545" s="342">
        <v>11710</v>
      </c>
    </row>
    <row r="546" spans="2:8" x14ac:dyDescent="0.25">
      <c r="B546" s="342">
        <v>11713</v>
      </c>
      <c r="C546" s="343" t="s">
        <v>545</v>
      </c>
      <c r="D546" s="343" t="str">
        <f ca="1">OFFSET('Zip Code Lines_1'!$U$3,MATCH('Zip Code Lines_1'!C546,'Zip Code Lines_1'!$Q$4:$Q$26,0),0)</f>
        <v>Islip</v>
      </c>
      <c r="E546" s="344">
        <f ca="1">OFFSET('Zip Code Lines_1'!$W$3,MATCH('Zip Code Lines_1'!C546,'Zip Code Lines_1'!$Q$4:$Q$26,0),0)</f>
        <v>15.9</v>
      </c>
      <c r="F546" s="344">
        <f ca="1">OFFSET('Zip Code Lines_1'!$Z$3,MATCH('Zip Code Lines_1'!C546,'Zip Code Lines_1'!$Q$4:$Q$26,0),0)</f>
        <v>85.7</v>
      </c>
      <c r="G546" s="342">
        <f ca="1">OFFSET('Zip Code Lines_1'!$AC$3,MATCH('Zip Code Lines_1'!C546,'Zip Code Lines_1'!$Q$4:$Q$26,0),0)</f>
        <v>6</v>
      </c>
      <c r="H546" s="342">
        <v>11713</v>
      </c>
    </row>
    <row r="547" spans="2:8" x14ac:dyDescent="0.25">
      <c r="B547" s="342">
        <v>11714</v>
      </c>
      <c r="C547" s="343" t="s">
        <v>535</v>
      </c>
      <c r="D547" s="343" t="str">
        <f ca="1">OFFSET('Zip Code Lines_1'!$U$3,MATCH('Zip Code Lines_1'!C547,'Zip Code Lines_1'!$Q$4:$Q$26,0),0)</f>
        <v>Farmingdale</v>
      </c>
      <c r="E547" s="344">
        <f ca="1">OFFSET('Zip Code Lines_1'!$W$3,MATCH('Zip Code Lines_1'!C547,'Zip Code Lines_1'!$Q$4:$Q$26,0),0)</f>
        <v>17</v>
      </c>
      <c r="F547" s="344">
        <f ca="1">OFFSET('Zip Code Lines_1'!$Z$3,MATCH('Zip Code Lines_1'!C547,'Zip Code Lines_1'!$Q$4:$Q$26,0),0)</f>
        <v>86.3</v>
      </c>
      <c r="G547" s="342">
        <f ca="1">OFFSET('Zip Code Lines_1'!$AC$3,MATCH('Zip Code Lines_1'!C547,'Zip Code Lines_1'!$Q$4:$Q$26,0),0)</f>
        <v>6</v>
      </c>
      <c r="H547" s="342">
        <v>11714</v>
      </c>
    </row>
    <row r="548" spans="2:8" x14ac:dyDescent="0.25">
      <c r="B548" s="342">
        <v>11715</v>
      </c>
      <c r="C548" s="343" t="s">
        <v>545</v>
      </c>
      <c r="D548" s="343" t="str">
        <f ca="1">OFFSET('Zip Code Lines_1'!$U$3,MATCH('Zip Code Lines_1'!C548,'Zip Code Lines_1'!$Q$4:$Q$26,0),0)</f>
        <v>Islip</v>
      </c>
      <c r="E548" s="344">
        <f ca="1">OFFSET('Zip Code Lines_1'!$W$3,MATCH('Zip Code Lines_1'!C548,'Zip Code Lines_1'!$Q$4:$Q$26,0),0)</f>
        <v>15.9</v>
      </c>
      <c r="F548" s="344">
        <f ca="1">OFFSET('Zip Code Lines_1'!$Z$3,MATCH('Zip Code Lines_1'!C548,'Zip Code Lines_1'!$Q$4:$Q$26,0),0)</f>
        <v>85.7</v>
      </c>
      <c r="G548" s="342">
        <f ca="1">OFFSET('Zip Code Lines_1'!$AC$3,MATCH('Zip Code Lines_1'!C548,'Zip Code Lines_1'!$Q$4:$Q$26,0),0)</f>
        <v>6</v>
      </c>
      <c r="H548" s="342">
        <v>11715</v>
      </c>
    </row>
    <row r="549" spans="2:8" x14ac:dyDescent="0.25">
      <c r="B549" s="342">
        <v>11716</v>
      </c>
      <c r="C549" s="343" t="s">
        <v>545</v>
      </c>
      <c r="D549" s="343" t="str">
        <f ca="1">OFFSET('Zip Code Lines_1'!$U$3,MATCH('Zip Code Lines_1'!C549,'Zip Code Lines_1'!$Q$4:$Q$26,0),0)</f>
        <v>Islip</v>
      </c>
      <c r="E549" s="344">
        <f ca="1">OFFSET('Zip Code Lines_1'!$W$3,MATCH('Zip Code Lines_1'!C549,'Zip Code Lines_1'!$Q$4:$Q$26,0),0)</f>
        <v>15.9</v>
      </c>
      <c r="F549" s="344">
        <f ca="1">OFFSET('Zip Code Lines_1'!$Z$3,MATCH('Zip Code Lines_1'!C549,'Zip Code Lines_1'!$Q$4:$Q$26,0),0)</f>
        <v>85.7</v>
      </c>
      <c r="G549" s="342">
        <f ca="1">OFFSET('Zip Code Lines_1'!$AC$3,MATCH('Zip Code Lines_1'!C549,'Zip Code Lines_1'!$Q$4:$Q$26,0),0)</f>
        <v>6</v>
      </c>
      <c r="H549" s="342">
        <v>11716</v>
      </c>
    </row>
    <row r="550" spans="2:8" x14ac:dyDescent="0.25">
      <c r="B550" s="342">
        <v>11717</v>
      </c>
      <c r="C550" s="343" t="s">
        <v>535</v>
      </c>
      <c r="D550" s="343" t="str">
        <f ca="1">OFFSET('Zip Code Lines_1'!$U$3,MATCH('Zip Code Lines_1'!C550,'Zip Code Lines_1'!$Q$4:$Q$26,0),0)</f>
        <v>Farmingdale</v>
      </c>
      <c r="E550" s="344">
        <f ca="1">OFFSET('Zip Code Lines_1'!$W$3,MATCH('Zip Code Lines_1'!C550,'Zip Code Lines_1'!$Q$4:$Q$26,0),0)</f>
        <v>17</v>
      </c>
      <c r="F550" s="344">
        <f ca="1">OFFSET('Zip Code Lines_1'!$Z$3,MATCH('Zip Code Lines_1'!C550,'Zip Code Lines_1'!$Q$4:$Q$26,0),0)</f>
        <v>86.3</v>
      </c>
      <c r="G550" s="342">
        <f ca="1">OFFSET('Zip Code Lines_1'!$AC$3,MATCH('Zip Code Lines_1'!C550,'Zip Code Lines_1'!$Q$4:$Q$26,0),0)</f>
        <v>6</v>
      </c>
      <c r="H550" s="342">
        <v>11717</v>
      </c>
    </row>
    <row r="551" spans="2:8" x14ac:dyDescent="0.25">
      <c r="B551" s="342">
        <v>11718</v>
      </c>
      <c r="C551" s="343" t="s">
        <v>535</v>
      </c>
      <c r="D551" s="343" t="str">
        <f ca="1">OFFSET('Zip Code Lines_1'!$U$3,MATCH('Zip Code Lines_1'!C551,'Zip Code Lines_1'!$Q$4:$Q$26,0),0)</f>
        <v>Farmingdale</v>
      </c>
      <c r="E551" s="344">
        <f ca="1">OFFSET('Zip Code Lines_1'!$W$3,MATCH('Zip Code Lines_1'!C551,'Zip Code Lines_1'!$Q$4:$Q$26,0),0)</f>
        <v>17</v>
      </c>
      <c r="F551" s="344">
        <f ca="1">OFFSET('Zip Code Lines_1'!$Z$3,MATCH('Zip Code Lines_1'!C551,'Zip Code Lines_1'!$Q$4:$Q$26,0),0)</f>
        <v>86.3</v>
      </c>
      <c r="G551" s="342">
        <f ca="1">OFFSET('Zip Code Lines_1'!$AC$3,MATCH('Zip Code Lines_1'!C551,'Zip Code Lines_1'!$Q$4:$Q$26,0),0)</f>
        <v>6</v>
      </c>
      <c r="H551" s="342">
        <v>11718</v>
      </c>
    </row>
    <row r="552" spans="2:8" x14ac:dyDescent="0.25">
      <c r="B552" s="342">
        <v>11719</v>
      </c>
      <c r="C552" s="343" t="s">
        <v>545</v>
      </c>
      <c r="D552" s="343" t="str">
        <f ca="1">OFFSET('Zip Code Lines_1'!$U$3,MATCH('Zip Code Lines_1'!C552,'Zip Code Lines_1'!$Q$4:$Q$26,0),0)</f>
        <v>Islip</v>
      </c>
      <c r="E552" s="344">
        <f ca="1">OFFSET('Zip Code Lines_1'!$W$3,MATCH('Zip Code Lines_1'!C552,'Zip Code Lines_1'!$Q$4:$Q$26,0),0)</f>
        <v>15.9</v>
      </c>
      <c r="F552" s="344">
        <f ca="1">OFFSET('Zip Code Lines_1'!$Z$3,MATCH('Zip Code Lines_1'!C552,'Zip Code Lines_1'!$Q$4:$Q$26,0),0)</f>
        <v>85.7</v>
      </c>
      <c r="G552" s="342">
        <f ca="1">OFFSET('Zip Code Lines_1'!$AC$3,MATCH('Zip Code Lines_1'!C552,'Zip Code Lines_1'!$Q$4:$Q$26,0),0)</f>
        <v>6</v>
      </c>
      <c r="H552" s="342">
        <v>11719</v>
      </c>
    </row>
    <row r="553" spans="2:8" x14ac:dyDescent="0.25">
      <c r="B553" s="342">
        <v>11720</v>
      </c>
      <c r="C553" s="343" t="s">
        <v>545</v>
      </c>
      <c r="D553" s="343" t="str">
        <f ca="1">OFFSET('Zip Code Lines_1'!$U$3,MATCH('Zip Code Lines_1'!C553,'Zip Code Lines_1'!$Q$4:$Q$26,0),0)</f>
        <v>Islip</v>
      </c>
      <c r="E553" s="344">
        <f ca="1">OFFSET('Zip Code Lines_1'!$W$3,MATCH('Zip Code Lines_1'!C553,'Zip Code Lines_1'!$Q$4:$Q$26,0),0)</f>
        <v>15.9</v>
      </c>
      <c r="F553" s="344">
        <f ca="1">OFFSET('Zip Code Lines_1'!$Z$3,MATCH('Zip Code Lines_1'!C553,'Zip Code Lines_1'!$Q$4:$Q$26,0),0)</f>
        <v>85.7</v>
      </c>
      <c r="G553" s="342">
        <f ca="1">OFFSET('Zip Code Lines_1'!$AC$3,MATCH('Zip Code Lines_1'!C553,'Zip Code Lines_1'!$Q$4:$Q$26,0),0)</f>
        <v>6</v>
      </c>
      <c r="H553" s="342">
        <v>11720</v>
      </c>
    </row>
    <row r="554" spans="2:8" x14ac:dyDescent="0.25">
      <c r="B554" s="342">
        <v>11721</v>
      </c>
      <c r="C554" s="343" t="s">
        <v>535</v>
      </c>
      <c r="D554" s="343" t="str">
        <f ca="1">OFFSET('Zip Code Lines_1'!$U$3,MATCH('Zip Code Lines_1'!C554,'Zip Code Lines_1'!$Q$4:$Q$26,0),0)</f>
        <v>Farmingdale</v>
      </c>
      <c r="E554" s="344">
        <f ca="1">OFFSET('Zip Code Lines_1'!$W$3,MATCH('Zip Code Lines_1'!C554,'Zip Code Lines_1'!$Q$4:$Q$26,0),0)</f>
        <v>17</v>
      </c>
      <c r="F554" s="344">
        <f ca="1">OFFSET('Zip Code Lines_1'!$Z$3,MATCH('Zip Code Lines_1'!C554,'Zip Code Lines_1'!$Q$4:$Q$26,0),0)</f>
        <v>86.3</v>
      </c>
      <c r="G554" s="342">
        <f ca="1">OFFSET('Zip Code Lines_1'!$AC$3,MATCH('Zip Code Lines_1'!C554,'Zip Code Lines_1'!$Q$4:$Q$26,0),0)</f>
        <v>6</v>
      </c>
      <c r="H554" s="342">
        <v>11721</v>
      </c>
    </row>
    <row r="555" spans="2:8" x14ac:dyDescent="0.25">
      <c r="B555" s="342">
        <v>11722</v>
      </c>
      <c r="C555" s="343" t="s">
        <v>535</v>
      </c>
      <c r="D555" s="343" t="str">
        <f ca="1">OFFSET('Zip Code Lines_1'!$U$3,MATCH('Zip Code Lines_1'!C555,'Zip Code Lines_1'!$Q$4:$Q$26,0),0)</f>
        <v>Farmingdale</v>
      </c>
      <c r="E555" s="344">
        <f ca="1">OFFSET('Zip Code Lines_1'!$W$3,MATCH('Zip Code Lines_1'!C555,'Zip Code Lines_1'!$Q$4:$Q$26,0),0)</f>
        <v>17</v>
      </c>
      <c r="F555" s="344">
        <f ca="1">OFFSET('Zip Code Lines_1'!$Z$3,MATCH('Zip Code Lines_1'!C555,'Zip Code Lines_1'!$Q$4:$Q$26,0),0)</f>
        <v>86.3</v>
      </c>
      <c r="G555" s="342">
        <f ca="1">OFFSET('Zip Code Lines_1'!$AC$3,MATCH('Zip Code Lines_1'!C555,'Zip Code Lines_1'!$Q$4:$Q$26,0),0)</f>
        <v>6</v>
      </c>
      <c r="H555" s="342">
        <v>11722</v>
      </c>
    </row>
    <row r="556" spans="2:8" x14ac:dyDescent="0.25">
      <c r="B556" s="342">
        <v>11724</v>
      </c>
      <c r="C556" s="343" t="s">
        <v>535</v>
      </c>
      <c r="D556" s="343" t="str">
        <f ca="1">OFFSET('Zip Code Lines_1'!$U$3,MATCH('Zip Code Lines_1'!C556,'Zip Code Lines_1'!$Q$4:$Q$26,0),0)</f>
        <v>Farmingdale</v>
      </c>
      <c r="E556" s="344">
        <f ca="1">OFFSET('Zip Code Lines_1'!$W$3,MATCH('Zip Code Lines_1'!C556,'Zip Code Lines_1'!$Q$4:$Q$26,0),0)</f>
        <v>17</v>
      </c>
      <c r="F556" s="344">
        <f ca="1">OFFSET('Zip Code Lines_1'!$Z$3,MATCH('Zip Code Lines_1'!C556,'Zip Code Lines_1'!$Q$4:$Q$26,0),0)</f>
        <v>86.3</v>
      </c>
      <c r="G556" s="342">
        <f ca="1">OFFSET('Zip Code Lines_1'!$AC$3,MATCH('Zip Code Lines_1'!C556,'Zip Code Lines_1'!$Q$4:$Q$26,0),0)</f>
        <v>6</v>
      </c>
      <c r="H556" s="342">
        <v>11724</v>
      </c>
    </row>
    <row r="557" spans="2:8" x14ac:dyDescent="0.25">
      <c r="B557" s="342">
        <v>11725</v>
      </c>
      <c r="C557" s="343" t="s">
        <v>535</v>
      </c>
      <c r="D557" s="343" t="str">
        <f ca="1">OFFSET('Zip Code Lines_1'!$U$3,MATCH('Zip Code Lines_1'!C557,'Zip Code Lines_1'!$Q$4:$Q$26,0),0)</f>
        <v>Farmingdale</v>
      </c>
      <c r="E557" s="344">
        <f ca="1">OFFSET('Zip Code Lines_1'!$W$3,MATCH('Zip Code Lines_1'!C557,'Zip Code Lines_1'!$Q$4:$Q$26,0),0)</f>
        <v>17</v>
      </c>
      <c r="F557" s="344">
        <f ca="1">OFFSET('Zip Code Lines_1'!$Z$3,MATCH('Zip Code Lines_1'!C557,'Zip Code Lines_1'!$Q$4:$Q$26,0),0)</f>
        <v>86.3</v>
      </c>
      <c r="G557" s="342">
        <f ca="1">OFFSET('Zip Code Lines_1'!$AC$3,MATCH('Zip Code Lines_1'!C557,'Zip Code Lines_1'!$Q$4:$Q$26,0),0)</f>
        <v>6</v>
      </c>
      <c r="H557" s="342">
        <v>11725</v>
      </c>
    </row>
    <row r="558" spans="2:8" x14ac:dyDescent="0.25">
      <c r="B558" s="342">
        <v>11726</v>
      </c>
      <c r="C558" s="343" t="s">
        <v>535</v>
      </c>
      <c r="D558" s="343" t="str">
        <f ca="1">OFFSET('Zip Code Lines_1'!$U$3,MATCH('Zip Code Lines_1'!C558,'Zip Code Lines_1'!$Q$4:$Q$26,0),0)</f>
        <v>Farmingdale</v>
      </c>
      <c r="E558" s="344">
        <f ca="1">OFFSET('Zip Code Lines_1'!$W$3,MATCH('Zip Code Lines_1'!C558,'Zip Code Lines_1'!$Q$4:$Q$26,0),0)</f>
        <v>17</v>
      </c>
      <c r="F558" s="344">
        <f ca="1">OFFSET('Zip Code Lines_1'!$Z$3,MATCH('Zip Code Lines_1'!C558,'Zip Code Lines_1'!$Q$4:$Q$26,0),0)</f>
        <v>86.3</v>
      </c>
      <c r="G558" s="342">
        <f ca="1">OFFSET('Zip Code Lines_1'!$AC$3,MATCH('Zip Code Lines_1'!C558,'Zip Code Lines_1'!$Q$4:$Q$26,0),0)</f>
        <v>6</v>
      </c>
      <c r="H558" s="342">
        <v>11726</v>
      </c>
    </row>
    <row r="559" spans="2:8" x14ac:dyDescent="0.25">
      <c r="B559" s="342">
        <v>11727</v>
      </c>
      <c r="C559" s="343" t="s">
        <v>545</v>
      </c>
      <c r="D559" s="343" t="str">
        <f ca="1">OFFSET('Zip Code Lines_1'!$U$3,MATCH('Zip Code Lines_1'!C559,'Zip Code Lines_1'!$Q$4:$Q$26,0),0)</f>
        <v>Islip</v>
      </c>
      <c r="E559" s="344">
        <f ca="1">OFFSET('Zip Code Lines_1'!$W$3,MATCH('Zip Code Lines_1'!C559,'Zip Code Lines_1'!$Q$4:$Q$26,0),0)</f>
        <v>15.9</v>
      </c>
      <c r="F559" s="344">
        <f ca="1">OFFSET('Zip Code Lines_1'!$Z$3,MATCH('Zip Code Lines_1'!C559,'Zip Code Lines_1'!$Q$4:$Q$26,0),0)</f>
        <v>85.7</v>
      </c>
      <c r="G559" s="342">
        <f ca="1">OFFSET('Zip Code Lines_1'!$AC$3,MATCH('Zip Code Lines_1'!C559,'Zip Code Lines_1'!$Q$4:$Q$26,0),0)</f>
        <v>6</v>
      </c>
      <c r="H559" s="342">
        <v>11727</v>
      </c>
    </row>
    <row r="560" spans="2:8" x14ac:dyDescent="0.25">
      <c r="B560" s="342">
        <v>11729</v>
      </c>
      <c r="C560" s="343" t="s">
        <v>535</v>
      </c>
      <c r="D560" s="343" t="str">
        <f ca="1">OFFSET('Zip Code Lines_1'!$U$3,MATCH('Zip Code Lines_1'!C560,'Zip Code Lines_1'!$Q$4:$Q$26,0),0)</f>
        <v>Farmingdale</v>
      </c>
      <c r="E560" s="344">
        <f ca="1">OFFSET('Zip Code Lines_1'!$W$3,MATCH('Zip Code Lines_1'!C560,'Zip Code Lines_1'!$Q$4:$Q$26,0),0)</f>
        <v>17</v>
      </c>
      <c r="F560" s="344">
        <f ca="1">OFFSET('Zip Code Lines_1'!$Z$3,MATCH('Zip Code Lines_1'!C560,'Zip Code Lines_1'!$Q$4:$Q$26,0),0)</f>
        <v>86.3</v>
      </c>
      <c r="G560" s="342">
        <f ca="1">OFFSET('Zip Code Lines_1'!$AC$3,MATCH('Zip Code Lines_1'!C560,'Zip Code Lines_1'!$Q$4:$Q$26,0),0)</f>
        <v>6</v>
      </c>
      <c r="H560" s="342">
        <v>11729</v>
      </c>
    </row>
    <row r="561" spans="2:8" x14ac:dyDescent="0.25">
      <c r="B561" s="342">
        <v>11730</v>
      </c>
      <c r="C561" s="343" t="s">
        <v>535</v>
      </c>
      <c r="D561" s="343" t="str">
        <f ca="1">OFFSET('Zip Code Lines_1'!$U$3,MATCH('Zip Code Lines_1'!C561,'Zip Code Lines_1'!$Q$4:$Q$26,0),0)</f>
        <v>Farmingdale</v>
      </c>
      <c r="E561" s="344">
        <f ca="1">OFFSET('Zip Code Lines_1'!$W$3,MATCH('Zip Code Lines_1'!C561,'Zip Code Lines_1'!$Q$4:$Q$26,0),0)</f>
        <v>17</v>
      </c>
      <c r="F561" s="344">
        <f ca="1">OFFSET('Zip Code Lines_1'!$Z$3,MATCH('Zip Code Lines_1'!C561,'Zip Code Lines_1'!$Q$4:$Q$26,0),0)</f>
        <v>86.3</v>
      </c>
      <c r="G561" s="342">
        <f ca="1">OFFSET('Zip Code Lines_1'!$AC$3,MATCH('Zip Code Lines_1'!C561,'Zip Code Lines_1'!$Q$4:$Q$26,0),0)</f>
        <v>6</v>
      </c>
      <c r="H561" s="342">
        <v>11730</v>
      </c>
    </row>
    <row r="562" spans="2:8" x14ac:dyDescent="0.25">
      <c r="B562" s="342">
        <v>11731</v>
      </c>
      <c r="C562" s="343" t="s">
        <v>535</v>
      </c>
      <c r="D562" s="343" t="str">
        <f ca="1">OFFSET('Zip Code Lines_1'!$U$3,MATCH('Zip Code Lines_1'!C562,'Zip Code Lines_1'!$Q$4:$Q$26,0),0)</f>
        <v>Farmingdale</v>
      </c>
      <c r="E562" s="344">
        <f ca="1">OFFSET('Zip Code Lines_1'!$W$3,MATCH('Zip Code Lines_1'!C562,'Zip Code Lines_1'!$Q$4:$Q$26,0),0)</f>
        <v>17</v>
      </c>
      <c r="F562" s="344">
        <f ca="1">OFFSET('Zip Code Lines_1'!$Z$3,MATCH('Zip Code Lines_1'!C562,'Zip Code Lines_1'!$Q$4:$Q$26,0),0)</f>
        <v>86.3</v>
      </c>
      <c r="G562" s="342">
        <f ca="1">OFFSET('Zip Code Lines_1'!$AC$3,MATCH('Zip Code Lines_1'!C562,'Zip Code Lines_1'!$Q$4:$Q$26,0),0)</f>
        <v>6</v>
      </c>
      <c r="H562" s="342">
        <v>11731</v>
      </c>
    </row>
    <row r="563" spans="2:8" x14ac:dyDescent="0.25">
      <c r="B563" s="342">
        <v>11732</v>
      </c>
      <c r="C563" s="343" t="s">
        <v>535</v>
      </c>
      <c r="D563" s="343" t="str">
        <f ca="1">OFFSET('Zip Code Lines_1'!$U$3,MATCH('Zip Code Lines_1'!C563,'Zip Code Lines_1'!$Q$4:$Q$26,0),0)</f>
        <v>Farmingdale</v>
      </c>
      <c r="E563" s="344">
        <f ca="1">OFFSET('Zip Code Lines_1'!$W$3,MATCH('Zip Code Lines_1'!C563,'Zip Code Lines_1'!$Q$4:$Q$26,0),0)</f>
        <v>17</v>
      </c>
      <c r="F563" s="344">
        <f ca="1">OFFSET('Zip Code Lines_1'!$Z$3,MATCH('Zip Code Lines_1'!C563,'Zip Code Lines_1'!$Q$4:$Q$26,0),0)</f>
        <v>86.3</v>
      </c>
      <c r="G563" s="342">
        <f ca="1">OFFSET('Zip Code Lines_1'!$AC$3,MATCH('Zip Code Lines_1'!C563,'Zip Code Lines_1'!$Q$4:$Q$26,0),0)</f>
        <v>6</v>
      </c>
      <c r="H563" s="342">
        <v>11732</v>
      </c>
    </row>
    <row r="564" spans="2:8" x14ac:dyDescent="0.25">
      <c r="B564" s="342">
        <v>11733</v>
      </c>
      <c r="C564" s="343" t="s">
        <v>535</v>
      </c>
      <c r="D564" s="343" t="str">
        <f ca="1">OFFSET('Zip Code Lines_1'!$U$3,MATCH('Zip Code Lines_1'!C564,'Zip Code Lines_1'!$Q$4:$Q$26,0),0)</f>
        <v>Farmingdale</v>
      </c>
      <c r="E564" s="344">
        <f ca="1">OFFSET('Zip Code Lines_1'!$W$3,MATCH('Zip Code Lines_1'!C564,'Zip Code Lines_1'!$Q$4:$Q$26,0),0)</f>
        <v>17</v>
      </c>
      <c r="F564" s="344">
        <f ca="1">OFFSET('Zip Code Lines_1'!$Z$3,MATCH('Zip Code Lines_1'!C564,'Zip Code Lines_1'!$Q$4:$Q$26,0),0)</f>
        <v>86.3</v>
      </c>
      <c r="G564" s="342">
        <f ca="1">OFFSET('Zip Code Lines_1'!$AC$3,MATCH('Zip Code Lines_1'!C564,'Zip Code Lines_1'!$Q$4:$Q$26,0),0)</f>
        <v>6</v>
      </c>
      <c r="H564" s="342">
        <v>11733</v>
      </c>
    </row>
    <row r="565" spans="2:8" x14ac:dyDescent="0.25">
      <c r="B565" s="342">
        <v>11735</v>
      </c>
      <c r="C565" s="343" t="s">
        <v>535</v>
      </c>
      <c r="D565" s="343" t="str">
        <f ca="1">OFFSET('Zip Code Lines_1'!$U$3,MATCH('Zip Code Lines_1'!C565,'Zip Code Lines_1'!$Q$4:$Q$26,0),0)</f>
        <v>Farmingdale</v>
      </c>
      <c r="E565" s="344">
        <f ca="1">OFFSET('Zip Code Lines_1'!$W$3,MATCH('Zip Code Lines_1'!C565,'Zip Code Lines_1'!$Q$4:$Q$26,0),0)</f>
        <v>17</v>
      </c>
      <c r="F565" s="344">
        <f ca="1">OFFSET('Zip Code Lines_1'!$Z$3,MATCH('Zip Code Lines_1'!C565,'Zip Code Lines_1'!$Q$4:$Q$26,0),0)</f>
        <v>86.3</v>
      </c>
      <c r="G565" s="342">
        <f ca="1">OFFSET('Zip Code Lines_1'!$AC$3,MATCH('Zip Code Lines_1'!C565,'Zip Code Lines_1'!$Q$4:$Q$26,0),0)</f>
        <v>6</v>
      </c>
      <c r="H565" s="342">
        <v>11735</v>
      </c>
    </row>
    <row r="566" spans="2:8" x14ac:dyDescent="0.25">
      <c r="B566" s="342">
        <v>11737</v>
      </c>
      <c r="C566" s="343" t="s">
        <v>535</v>
      </c>
      <c r="D566" s="343" t="str">
        <f ca="1">OFFSET('Zip Code Lines_1'!$U$3,MATCH('Zip Code Lines_1'!C566,'Zip Code Lines_1'!$Q$4:$Q$26,0),0)</f>
        <v>Farmingdale</v>
      </c>
      <c r="E566" s="344">
        <f ca="1">OFFSET('Zip Code Lines_1'!$W$3,MATCH('Zip Code Lines_1'!C566,'Zip Code Lines_1'!$Q$4:$Q$26,0),0)</f>
        <v>17</v>
      </c>
      <c r="F566" s="344">
        <f ca="1">OFFSET('Zip Code Lines_1'!$Z$3,MATCH('Zip Code Lines_1'!C566,'Zip Code Lines_1'!$Q$4:$Q$26,0),0)</f>
        <v>86.3</v>
      </c>
      <c r="G566" s="342">
        <f ca="1">OFFSET('Zip Code Lines_1'!$AC$3,MATCH('Zip Code Lines_1'!C566,'Zip Code Lines_1'!$Q$4:$Q$26,0),0)</f>
        <v>6</v>
      </c>
      <c r="H566" s="342">
        <v>11737</v>
      </c>
    </row>
    <row r="567" spans="2:8" x14ac:dyDescent="0.25">
      <c r="B567" s="342">
        <v>11738</v>
      </c>
      <c r="C567" s="343" t="s">
        <v>545</v>
      </c>
      <c r="D567" s="343" t="str">
        <f ca="1">OFFSET('Zip Code Lines_1'!$U$3,MATCH('Zip Code Lines_1'!C567,'Zip Code Lines_1'!$Q$4:$Q$26,0),0)</f>
        <v>Islip</v>
      </c>
      <c r="E567" s="344">
        <f ca="1">OFFSET('Zip Code Lines_1'!$W$3,MATCH('Zip Code Lines_1'!C567,'Zip Code Lines_1'!$Q$4:$Q$26,0),0)</f>
        <v>15.9</v>
      </c>
      <c r="F567" s="344">
        <f ca="1">OFFSET('Zip Code Lines_1'!$Z$3,MATCH('Zip Code Lines_1'!C567,'Zip Code Lines_1'!$Q$4:$Q$26,0),0)</f>
        <v>85.7</v>
      </c>
      <c r="G567" s="342">
        <f ca="1">OFFSET('Zip Code Lines_1'!$AC$3,MATCH('Zip Code Lines_1'!C567,'Zip Code Lines_1'!$Q$4:$Q$26,0),0)</f>
        <v>6</v>
      </c>
      <c r="H567" s="342">
        <v>11738</v>
      </c>
    </row>
    <row r="568" spans="2:8" x14ac:dyDescent="0.25">
      <c r="B568" s="342">
        <v>11739</v>
      </c>
      <c r="C568" s="343" t="s">
        <v>535</v>
      </c>
      <c r="D568" s="343" t="str">
        <f ca="1">OFFSET('Zip Code Lines_1'!$U$3,MATCH('Zip Code Lines_1'!C568,'Zip Code Lines_1'!$Q$4:$Q$26,0),0)</f>
        <v>Farmingdale</v>
      </c>
      <c r="E568" s="344">
        <f ca="1">OFFSET('Zip Code Lines_1'!$W$3,MATCH('Zip Code Lines_1'!C568,'Zip Code Lines_1'!$Q$4:$Q$26,0),0)</f>
        <v>17</v>
      </c>
      <c r="F568" s="344">
        <f ca="1">OFFSET('Zip Code Lines_1'!$Z$3,MATCH('Zip Code Lines_1'!C568,'Zip Code Lines_1'!$Q$4:$Q$26,0),0)</f>
        <v>86.3</v>
      </c>
      <c r="G568" s="342">
        <f ca="1">OFFSET('Zip Code Lines_1'!$AC$3,MATCH('Zip Code Lines_1'!C568,'Zip Code Lines_1'!$Q$4:$Q$26,0),0)</f>
        <v>6</v>
      </c>
      <c r="H568" s="342">
        <v>11739</v>
      </c>
    </row>
    <row r="569" spans="2:8" x14ac:dyDescent="0.25">
      <c r="B569" s="342">
        <v>11740</v>
      </c>
      <c r="C569" s="343" t="s">
        <v>535</v>
      </c>
      <c r="D569" s="343" t="str">
        <f ca="1">OFFSET('Zip Code Lines_1'!$U$3,MATCH('Zip Code Lines_1'!C569,'Zip Code Lines_1'!$Q$4:$Q$26,0),0)</f>
        <v>Farmingdale</v>
      </c>
      <c r="E569" s="344">
        <f ca="1">OFFSET('Zip Code Lines_1'!$W$3,MATCH('Zip Code Lines_1'!C569,'Zip Code Lines_1'!$Q$4:$Q$26,0),0)</f>
        <v>17</v>
      </c>
      <c r="F569" s="344">
        <f ca="1">OFFSET('Zip Code Lines_1'!$Z$3,MATCH('Zip Code Lines_1'!C569,'Zip Code Lines_1'!$Q$4:$Q$26,0),0)</f>
        <v>86.3</v>
      </c>
      <c r="G569" s="342">
        <f ca="1">OFFSET('Zip Code Lines_1'!$AC$3,MATCH('Zip Code Lines_1'!C569,'Zip Code Lines_1'!$Q$4:$Q$26,0),0)</f>
        <v>6</v>
      </c>
      <c r="H569" s="342">
        <v>11740</v>
      </c>
    </row>
    <row r="570" spans="2:8" x14ac:dyDescent="0.25">
      <c r="B570" s="342">
        <v>11741</v>
      </c>
      <c r="C570" s="343" t="s">
        <v>545</v>
      </c>
      <c r="D570" s="343" t="str">
        <f ca="1">OFFSET('Zip Code Lines_1'!$U$3,MATCH('Zip Code Lines_1'!C570,'Zip Code Lines_1'!$Q$4:$Q$26,0),0)</f>
        <v>Islip</v>
      </c>
      <c r="E570" s="344">
        <f ca="1">OFFSET('Zip Code Lines_1'!$W$3,MATCH('Zip Code Lines_1'!C570,'Zip Code Lines_1'!$Q$4:$Q$26,0),0)</f>
        <v>15.9</v>
      </c>
      <c r="F570" s="344">
        <f ca="1">OFFSET('Zip Code Lines_1'!$Z$3,MATCH('Zip Code Lines_1'!C570,'Zip Code Lines_1'!$Q$4:$Q$26,0),0)</f>
        <v>85.7</v>
      </c>
      <c r="G570" s="342">
        <f ca="1">OFFSET('Zip Code Lines_1'!$AC$3,MATCH('Zip Code Lines_1'!C570,'Zip Code Lines_1'!$Q$4:$Q$26,0),0)</f>
        <v>6</v>
      </c>
      <c r="H570" s="342">
        <v>11741</v>
      </c>
    </row>
    <row r="571" spans="2:8" x14ac:dyDescent="0.25">
      <c r="B571" s="342">
        <v>11742</v>
      </c>
      <c r="C571" s="343" t="s">
        <v>545</v>
      </c>
      <c r="D571" s="343" t="str">
        <f ca="1">OFFSET('Zip Code Lines_1'!$U$3,MATCH('Zip Code Lines_1'!C571,'Zip Code Lines_1'!$Q$4:$Q$26,0),0)</f>
        <v>Islip</v>
      </c>
      <c r="E571" s="344">
        <f ca="1">OFFSET('Zip Code Lines_1'!$W$3,MATCH('Zip Code Lines_1'!C571,'Zip Code Lines_1'!$Q$4:$Q$26,0),0)</f>
        <v>15.9</v>
      </c>
      <c r="F571" s="344">
        <f ca="1">OFFSET('Zip Code Lines_1'!$Z$3,MATCH('Zip Code Lines_1'!C571,'Zip Code Lines_1'!$Q$4:$Q$26,0),0)</f>
        <v>85.7</v>
      </c>
      <c r="G571" s="342">
        <f ca="1">OFFSET('Zip Code Lines_1'!$AC$3,MATCH('Zip Code Lines_1'!C571,'Zip Code Lines_1'!$Q$4:$Q$26,0),0)</f>
        <v>6</v>
      </c>
      <c r="H571" s="342">
        <v>11742</v>
      </c>
    </row>
    <row r="572" spans="2:8" x14ac:dyDescent="0.25">
      <c r="B572" s="342">
        <v>11743</v>
      </c>
      <c r="C572" s="343" t="s">
        <v>535</v>
      </c>
      <c r="D572" s="343" t="str">
        <f ca="1">OFFSET('Zip Code Lines_1'!$U$3,MATCH('Zip Code Lines_1'!C572,'Zip Code Lines_1'!$Q$4:$Q$26,0),0)</f>
        <v>Farmingdale</v>
      </c>
      <c r="E572" s="344">
        <f ca="1">OFFSET('Zip Code Lines_1'!$W$3,MATCH('Zip Code Lines_1'!C572,'Zip Code Lines_1'!$Q$4:$Q$26,0),0)</f>
        <v>17</v>
      </c>
      <c r="F572" s="344">
        <f ca="1">OFFSET('Zip Code Lines_1'!$Z$3,MATCH('Zip Code Lines_1'!C572,'Zip Code Lines_1'!$Q$4:$Q$26,0),0)</f>
        <v>86.3</v>
      </c>
      <c r="G572" s="342">
        <f ca="1">OFFSET('Zip Code Lines_1'!$AC$3,MATCH('Zip Code Lines_1'!C572,'Zip Code Lines_1'!$Q$4:$Q$26,0),0)</f>
        <v>6</v>
      </c>
      <c r="H572" s="342">
        <v>11743</v>
      </c>
    </row>
    <row r="573" spans="2:8" x14ac:dyDescent="0.25">
      <c r="B573" s="342">
        <v>11746</v>
      </c>
      <c r="C573" s="343" t="s">
        <v>535</v>
      </c>
      <c r="D573" s="343" t="str">
        <f ca="1">OFFSET('Zip Code Lines_1'!$U$3,MATCH('Zip Code Lines_1'!C573,'Zip Code Lines_1'!$Q$4:$Q$26,0),0)</f>
        <v>Farmingdale</v>
      </c>
      <c r="E573" s="344">
        <f ca="1">OFFSET('Zip Code Lines_1'!$W$3,MATCH('Zip Code Lines_1'!C573,'Zip Code Lines_1'!$Q$4:$Q$26,0),0)</f>
        <v>17</v>
      </c>
      <c r="F573" s="344">
        <f ca="1">OFFSET('Zip Code Lines_1'!$Z$3,MATCH('Zip Code Lines_1'!C573,'Zip Code Lines_1'!$Q$4:$Q$26,0),0)</f>
        <v>86.3</v>
      </c>
      <c r="G573" s="342">
        <f ca="1">OFFSET('Zip Code Lines_1'!$AC$3,MATCH('Zip Code Lines_1'!C573,'Zip Code Lines_1'!$Q$4:$Q$26,0),0)</f>
        <v>6</v>
      </c>
      <c r="H573" s="342">
        <v>11746</v>
      </c>
    </row>
    <row r="574" spans="2:8" x14ac:dyDescent="0.25">
      <c r="B574" s="342">
        <v>11747</v>
      </c>
      <c r="C574" s="343" t="s">
        <v>535</v>
      </c>
      <c r="D574" s="343" t="str">
        <f ca="1">OFFSET('Zip Code Lines_1'!$U$3,MATCH('Zip Code Lines_1'!C574,'Zip Code Lines_1'!$Q$4:$Q$26,0),0)</f>
        <v>Farmingdale</v>
      </c>
      <c r="E574" s="344">
        <f ca="1">OFFSET('Zip Code Lines_1'!$W$3,MATCH('Zip Code Lines_1'!C574,'Zip Code Lines_1'!$Q$4:$Q$26,0),0)</f>
        <v>17</v>
      </c>
      <c r="F574" s="344">
        <f ca="1">OFFSET('Zip Code Lines_1'!$Z$3,MATCH('Zip Code Lines_1'!C574,'Zip Code Lines_1'!$Q$4:$Q$26,0),0)</f>
        <v>86.3</v>
      </c>
      <c r="G574" s="342">
        <f ca="1">OFFSET('Zip Code Lines_1'!$AC$3,MATCH('Zip Code Lines_1'!C574,'Zip Code Lines_1'!$Q$4:$Q$26,0),0)</f>
        <v>6</v>
      </c>
      <c r="H574" s="342">
        <v>11747</v>
      </c>
    </row>
    <row r="575" spans="2:8" x14ac:dyDescent="0.25">
      <c r="B575" s="342">
        <v>11749</v>
      </c>
      <c r="C575" s="343" t="s">
        <v>545</v>
      </c>
      <c r="D575" s="343" t="str">
        <f ca="1">OFFSET('Zip Code Lines_1'!$U$3,MATCH('Zip Code Lines_1'!C575,'Zip Code Lines_1'!$Q$4:$Q$26,0),0)</f>
        <v>Islip</v>
      </c>
      <c r="E575" s="344">
        <f ca="1">OFFSET('Zip Code Lines_1'!$W$3,MATCH('Zip Code Lines_1'!C575,'Zip Code Lines_1'!$Q$4:$Q$26,0),0)</f>
        <v>15.9</v>
      </c>
      <c r="F575" s="344">
        <f ca="1">OFFSET('Zip Code Lines_1'!$Z$3,MATCH('Zip Code Lines_1'!C575,'Zip Code Lines_1'!$Q$4:$Q$26,0),0)</f>
        <v>85.7</v>
      </c>
      <c r="G575" s="342">
        <f ca="1">OFFSET('Zip Code Lines_1'!$AC$3,MATCH('Zip Code Lines_1'!C575,'Zip Code Lines_1'!$Q$4:$Q$26,0),0)</f>
        <v>6</v>
      </c>
      <c r="H575" s="342">
        <v>11749</v>
      </c>
    </row>
    <row r="576" spans="2:8" x14ac:dyDescent="0.25">
      <c r="B576" s="342">
        <v>11751</v>
      </c>
      <c r="C576" s="343" t="s">
        <v>535</v>
      </c>
      <c r="D576" s="343" t="str">
        <f ca="1">OFFSET('Zip Code Lines_1'!$U$3,MATCH('Zip Code Lines_1'!C576,'Zip Code Lines_1'!$Q$4:$Q$26,0),0)</f>
        <v>Farmingdale</v>
      </c>
      <c r="E576" s="344">
        <f ca="1">OFFSET('Zip Code Lines_1'!$W$3,MATCH('Zip Code Lines_1'!C576,'Zip Code Lines_1'!$Q$4:$Q$26,0),0)</f>
        <v>17</v>
      </c>
      <c r="F576" s="344">
        <f ca="1">OFFSET('Zip Code Lines_1'!$Z$3,MATCH('Zip Code Lines_1'!C576,'Zip Code Lines_1'!$Q$4:$Q$26,0),0)</f>
        <v>86.3</v>
      </c>
      <c r="G576" s="342">
        <f ca="1">OFFSET('Zip Code Lines_1'!$AC$3,MATCH('Zip Code Lines_1'!C576,'Zip Code Lines_1'!$Q$4:$Q$26,0),0)</f>
        <v>6</v>
      </c>
      <c r="H576" s="342">
        <v>11751</v>
      </c>
    </row>
    <row r="577" spans="2:8" x14ac:dyDescent="0.25">
      <c r="B577" s="342">
        <v>11752</v>
      </c>
      <c r="C577" s="343" t="s">
        <v>545</v>
      </c>
      <c r="D577" s="343" t="str">
        <f ca="1">OFFSET('Zip Code Lines_1'!$U$3,MATCH('Zip Code Lines_1'!C577,'Zip Code Lines_1'!$Q$4:$Q$26,0),0)</f>
        <v>Islip</v>
      </c>
      <c r="E577" s="344">
        <f ca="1">OFFSET('Zip Code Lines_1'!$W$3,MATCH('Zip Code Lines_1'!C577,'Zip Code Lines_1'!$Q$4:$Q$26,0),0)</f>
        <v>15.9</v>
      </c>
      <c r="F577" s="344">
        <f ca="1">OFFSET('Zip Code Lines_1'!$Z$3,MATCH('Zip Code Lines_1'!C577,'Zip Code Lines_1'!$Q$4:$Q$26,0),0)</f>
        <v>85.7</v>
      </c>
      <c r="G577" s="342">
        <f ca="1">OFFSET('Zip Code Lines_1'!$AC$3,MATCH('Zip Code Lines_1'!C577,'Zip Code Lines_1'!$Q$4:$Q$26,0),0)</f>
        <v>6</v>
      </c>
      <c r="H577" s="342">
        <v>11752</v>
      </c>
    </row>
    <row r="578" spans="2:8" x14ac:dyDescent="0.25">
      <c r="B578" s="342">
        <v>11753</v>
      </c>
      <c r="C578" s="343" t="s">
        <v>535</v>
      </c>
      <c r="D578" s="343" t="str">
        <f ca="1">OFFSET('Zip Code Lines_1'!$U$3,MATCH('Zip Code Lines_1'!C578,'Zip Code Lines_1'!$Q$4:$Q$26,0),0)</f>
        <v>Farmingdale</v>
      </c>
      <c r="E578" s="344">
        <f ca="1">OFFSET('Zip Code Lines_1'!$W$3,MATCH('Zip Code Lines_1'!C578,'Zip Code Lines_1'!$Q$4:$Q$26,0),0)</f>
        <v>17</v>
      </c>
      <c r="F578" s="344">
        <f ca="1">OFFSET('Zip Code Lines_1'!$Z$3,MATCH('Zip Code Lines_1'!C578,'Zip Code Lines_1'!$Q$4:$Q$26,0),0)</f>
        <v>86.3</v>
      </c>
      <c r="G578" s="342">
        <f ca="1">OFFSET('Zip Code Lines_1'!$AC$3,MATCH('Zip Code Lines_1'!C578,'Zip Code Lines_1'!$Q$4:$Q$26,0),0)</f>
        <v>6</v>
      </c>
      <c r="H578" s="342">
        <v>11753</v>
      </c>
    </row>
    <row r="579" spans="2:8" x14ac:dyDescent="0.25">
      <c r="B579" s="342">
        <v>11754</v>
      </c>
      <c r="C579" s="343" t="s">
        <v>535</v>
      </c>
      <c r="D579" s="343" t="str">
        <f ca="1">OFFSET('Zip Code Lines_1'!$U$3,MATCH('Zip Code Lines_1'!C579,'Zip Code Lines_1'!$Q$4:$Q$26,0),0)</f>
        <v>Farmingdale</v>
      </c>
      <c r="E579" s="344">
        <f ca="1">OFFSET('Zip Code Lines_1'!$W$3,MATCH('Zip Code Lines_1'!C579,'Zip Code Lines_1'!$Q$4:$Q$26,0),0)</f>
        <v>17</v>
      </c>
      <c r="F579" s="344">
        <f ca="1">OFFSET('Zip Code Lines_1'!$Z$3,MATCH('Zip Code Lines_1'!C579,'Zip Code Lines_1'!$Q$4:$Q$26,0),0)</f>
        <v>86.3</v>
      </c>
      <c r="G579" s="342">
        <f ca="1">OFFSET('Zip Code Lines_1'!$AC$3,MATCH('Zip Code Lines_1'!C579,'Zip Code Lines_1'!$Q$4:$Q$26,0),0)</f>
        <v>6</v>
      </c>
      <c r="H579" s="342">
        <v>11754</v>
      </c>
    </row>
    <row r="580" spans="2:8" x14ac:dyDescent="0.25">
      <c r="B580" s="342">
        <v>11755</v>
      </c>
      <c r="C580" s="343" t="s">
        <v>545</v>
      </c>
      <c r="D580" s="343" t="str">
        <f ca="1">OFFSET('Zip Code Lines_1'!$U$3,MATCH('Zip Code Lines_1'!C580,'Zip Code Lines_1'!$Q$4:$Q$26,0),0)</f>
        <v>Islip</v>
      </c>
      <c r="E580" s="344">
        <f ca="1">OFFSET('Zip Code Lines_1'!$W$3,MATCH('Zip Code Lines_1'!C580,'Zip Code Lines_1'!$Q$4:$Q$26,0),0)</f>
        <v>15.9</v>
      </c>
      <c r="F580" s="344">
        <f ca="1">OFFSET('Zip Code Lines_1'!$Z$3,MATCH('Zip Code Lines_1'!C580,'Zip Code Lines_1'!$Q$4:$Q$26,0),0)</f>
        <v>85.7</v>
      </c>
      <c r="G580" s="342">
        <f ca="1">OFFSET('Zip Code Lines_1'!$AC$3,MATCH('Zip Code Lines_1'!C580,'Zip Code Lines_1'!$Q$4:$Q$26,0),0)</f>
        <v>6</v>
      </c>
      <c r="H580" s="342">
        <v>11755</v>
      </c>
    </row>
    <row r="581" spans="2:8" x14ac:dyDescent="0.25">
      <c r="B581" s="342">
        <v>11756</v>
      </c>
      <c r="C581" s="343" t="s">
        <v>535</v>
      </c>
      <c r="D581" s="343" t="str">
        <f ca="1">OFFSET('Zip Code Lines_1'!$U$3,MATCH('Zip Code Lines_1'!C581,'Zip Code Lines_1'!$Q$4:$Q$26,0),0)</f>
        <v>Farmingdale</v>
      </c>
      <c r="E581" s="344">
        <f ca="1">OFFSET('Zip Code Lines_1'!$W$3,MATCH('Zip Code Lines_1'!C581,'Zip Code Lines_1'!$Q$4:$Q$26,0),0)</f>
        <v>17</v>
      </c>
      <c r="F581" s="344">
        <f ca="1">OFFSET('Zip Code Lines_1'!$Z$3,MATCH('Zip Code Lines_1'!C581,'Zip Code Lines_1'!$Q$4:$Q$26,0),0)</f>
        <v>86.3</v>
      </c>
      <c r="G581" s="342">
        <f ca="1">OFFSET('Zip Code Lines_1'!$AC$3,MATCH('Zip Code Lines_1'!C581,'Zip Code Lines_1'!$Q$4:$Q$26,0),0)</f>
        <v>6</v>
      </c>
      <c r="H581" s="342">
        <v>11756</v>
      </c>
    </row>
    <row r="582" spans="2:8" x14ac:dyDescent="0.25">
      <c r="B582" s="342">
        <v>11757</v>
      </c>
      <c r="C582" s="343" t="s">
        <v>535</v>
      </c>
      <c r="D582" s="343" t="str">
        <f ca="1">OFFSET('Zip Code Lines_1'!$U$3,MATCH('Zip Code Lines_1'!C582,'Zip Code Lines_1'!$Q$4:$Q$26,0),0)</f>
        <v>Farmingdale</v>
      </c>
      <c r="E582" s="344">
        <f ca="1">OFFSET('Zip Code Lines_1'!$W$3,MATCH('Zip Code Lines_1'!C582,'Zip Code Lines_1'!$Q$4:$Q$26,0),0)</f>
        <v>17</v>
      </c>
      <c r="F582" s="344">
        <f ca="1">OFFSET('Zip Code Lines_1'!$Z$3,MATCH('Zip Code Lines_1'!C582,'Zip Code Lines_1'!$Q$4:$Q$26,0),0)</f>
        <v>86.3</v>
      </c>
      <c r="G582" s="342">
        <f ca="1">OFFSET('Zip Code Lines_1'!$AC$3,MATCH('Zip Code Lines_1'!C582,'Zip Code Lines_1'!$Q$4:$Q$26,0),0)</f>
        <v>6</v>
      </c>
      <c r="H582" s="342">
        <v>11757</v>
      </c>
    </row>
    <row r="583" spans="2:8" x14ac:dyDescent="0.25">
      <c r="B583" s="342">
        <v>11758</v>
      </c>
      <c r="C583" s="343" t="s">
        <v>535</v>
      </c>
      <c r="D583" s="343" t="str">
        <f ca="1">OFFSET('Zip Code Lines_1'!$U$3,MATCH('Zip Code Lines_1'!C583,'Zip Code Lines_1'!$Q$4:$Q$26,0),0)</f>
        <v>Farmingdale</v>
      </c>
      <c r="E583" s="344">
        <f ca="1">OFFSET('Zip Code Lines_1'!$W$3,MATCH('Zip Code Lines_1'!C583,'Zip Code Lines_1'!$Q$4:$Q$26,0),0)</f>
        <v>17</v>
      </c>
      <c r="F583" s="344">
        <f ca="1">OFFSET('Zip Code Lines_1'!$Z$3,MATCH('Zip Code Lines_1'!C583,'Zip Code Lines_1'!$Q$4:$Q$26,0),0)</f>
        <v>86.3</v>
      </c>
      <c r="G583" s="342">
        <f ca="1">OFFSET('Zip Code Lines_1'!$AC$3,MATCH('Zip Code Lines_1'!C583,'Zip Code Lines_1'!$Q$4:$Q$26,0),0)</f>
        <v>6</v>
      </c>
      <c r="H583" s="342">
        <v>11758</v>
      </c>
    </row>
    <row r="584" spans="2:8" x14ac:dyDescent="0.25">
      <c r="B584" s="342">
        <v>11760</v>
      </c>
      <c r="C584" s="343" t="s">
        <v>535</v>
      </c>
      <c r="D584" s="343" t="str">
        <f ca="1">OFFSET('Zip Code Lines_1'!$U$3,MATCH('Zip Code Lines_1'!C584,'Zip Code Lines_1'!$Q$4:$Q$26,0),0)</f>
        <v>Farmingdale</v>
      </c>
      <c r="E584" s="344">
        <f ca="1">OFFSET('Zip Code Lines_1'!$W$3,MATCH('Zip Code Lines_1'!C584,'Zip Code Lines_1'!$Q$4:$Q$26,0),0)</f>
        <v>17</v>
      </c>
      <c r="F584" s="344">
        <f ca="1">OFFSET('Zip Code Lines_1'!$Z$3,MATCH('Zip Code Lines_1'!C584,'Zip Code Lines_1'!$Q$4:$Q$26,0),0)</f>
        <v>86.3</v>
      </c>
      <c r="G584" s="342">
        <f ca="1">OFFSET('Zip Code Lines_1'!$AC$3,MATCH('Zip Code Lines_1'!C584,'Zip Code Lines_1'!$Q$4:$Q$26,0),0)</f>
        <v>6</v>
      </c>
      <c r="H584" s="342">
        <v>11760</v>
      </c>
    </row>
    <row r="585" spans="2:8" x14ac:dyDescent="0.25">
      <c r="B585" s="342">
        <v>11762</v>
      </c>
      <c r="C585" s="343" t="s">
        <v>535</v>
      </c>
      <c r="D585" s="343" t="str">
        <f ca="1">OFFSET('Zip Code Lines_1'!$U$3,MATCH('Zip Code Lines_1'!C585,'Zip Code Lines_1'!$Q$4:$Q$26,0),0)</f>
        <v>Farmingdale</v>
      </c>
      <c r="E585" s="344">
        <f ca="1">OFFSET('Zip Code Lines_1'!$W$3,MATCH('Zip Code Lines_1'!C585,'Zip Code Lines_1'!$Q$4:$Q$26,0),0)</f>
        <v>17</v>
      </c>
      <c r="F585" s="344">
        <f ca="1">OFFSET('Zip Code Lines_1'!$Z$3,MATCH('Zip Code Lines_1'!C585,'Zip Code Lines_1'!$Q$4:$Q$26,0),0)</f>
        <v>86.3</v>
      </c>
      <c r="G585" s="342">
        <f ca="1">OFFSET('Zip Code Lines_1'!$AC$3,MATCH('Zip Code Lines_1'!C585,'Zip Code Lines_1'!$Q$4:$Q$26,0),0)</f>
        <v>6</v>
      </c>
      <c r="H585" s="342">
        <v>11762</v>
      </c>
    </row>
    <row r="586" spans="2:8" x14ac:dyDescent="0.25">
      <c r="B586" s="342">
        <v>11763</v>
      </c>
      <c r="C586" s="343" t="s">
        <v>545</v>
      </c>
      <c r="D586" s="343" t="str">
        <f ca="1">OFFSET('Zip Code Lines_1'!$U$3,MATCH('Zip Code Lines_1'!C586,'Zip Code Lines_1'!$Q$4:$Q$26,0),0)</f>
        <v>Islip</v>
      </c>
      <c r="E586" s="344">
        <f ca="1">OFFSET('Zip Code Lines_1'!$W$3,MATCH('Zip Code Lines_1'!C586,'Zip Code Lines_1'!$Q$4:$Q$26,0),0)</f>
        <v>15.9</v>
      </c>
      <c r="F586" s="344">
        <f ca="1">OFFSET('Zip Code Lines_1'!$Z$3,MATCH('Zip Code Lines_1'!C586,'Zip Code Lines_1'!$Q$4:$Q$26,0),0)</f>
        <v>85.7</v>
      </c>
      <c r="G586" s="342">
        <f ca="1">OFFSET('Zip Code Lines_1'!$AC$3,MATCH('Zip Code Lines_1'!C586,'Zip Code Lines_1'!$Q$4:$Q$26,0),0)</f>
        <v>6</v>
      </c>
      <c r="H586" s="342">
        <v>11763</v>
      </c>
    </row>
    <row r="587" spans="2:8" x14ac:dyDescent="0.25">
      <c r="B587" s="342">
        <v>11764</v>
      </c>
      <c r="C587" s="343" t="s">
        <v>535</v>
      </c>
      <c r="D587" s="343" t="str">
        <f ca="1">OFFSET('Zip Code Lines_1'!$U$3,MATCH('Zip Code Lines_1'!C587,'Zip Code Lines_1'!$Q$4:$Q$26,0),0)</f>
        <v>Farmingdale</v>
      </c>
      <c r="E587" s="344">
        <f ca="1">OFFSET('Zip Code Lines_1'!$W$3,MATCH('Zip Code Lines_1'!C587,'Zip Code Lines_1'!$Q$4:$Q$26,0),0)</f>
        <v>17</v>
      </c>
      <c r="F587" s="344">
        <f ca="1">OFFSET('Zip Code Lines_1'!$Z$3,MATCH('Zip Code Lines_1'!C587,'Zip Code Lines_1'!$Q$4:$Q$26,0),0)</f>
        <v>86.3</v>
      </c>
      <c r="G587" s="342">
        <f ca="1">OFFSET('Zip Code Lines_1'!$AC$3,MATCH('Zip Code Lines_1'!C587,'Zip Code Lines_1'!$Q$4:$Q$26,0),0)</f>
        <v>6</v>
      </c>
      <c r="H587" s="342">
        <v>11764</v>
      </c>
    </row>
    <row r="588" spans="2:8" x14ac:dyDescent="0.25">
      <c r="B588" s="342">
        <v>11765</v>
      </c>
      <c r="C588" s="343" t="s">
        <v>535</v>
      </c>
      <c r="D588" s="343" t="str">
        <f ca="1">OFFSET('Zip Code Lines_1'!$U$3,MATCH('Zip Code Lines_1'!C588,'Zip Code Lines_1'!$Q$4:$Q$26,0),0)</f>
        <v>Farmingdale</v>
      </c>
      <c r="E588" s="344">
        <f ca="1">OFFSET('Zip Code Lines_1'!$W$3,MATCH('Zip Code Lines_1'!C588,'Zip Code Lines_1'!$Q$4:$Q$26,0),0)</f>
        <v>17</v>
      </c>
      <c r="F588" s="344">
        <f ca="1">OFFSET('Zip Code Lines_1'!$Z$3,MATCH('Zip Code Lines_1'!C588,'Zip Code Lines_1'!$Q$4:$Q$26,0),0)</f>
        <v>86.3</v>
      </c>
      <c r="G588" s="342">
        <f ca="1">OFFSET('Zip Code Lines_1'!$AC$3,MATCH('Zip Code Lines_1'!C588,'Zip Code Lines_1'!$Q$4:$Q$26,0),0)</f>
        <v>6</v>
      </c>
      <c r="H588" s="342">
        <v>11765</v>
      </c>
    </row>
    <row r="589" spans="2:8" x14ac:dyDescent="0.25">
      <c r="B589" s="342">
        <v>11766</v>
      </c>
      <c r="C589" s="343" t="s">
        <v>535</v>
      </c>
      <c r="D589" s="343" t="str">
        <f ca="1">OFFSET('Zip Code Lines_1'!$U$3,MATCH('Zip Code Lines_1'!C589,'Zip Code Lines_1'!$Q$4:$Q$26,0),0)</f>
        <v>Farmingdale</v>
      </c>
      <c r="E589" s="344">
        <f ca="1">OFFSET('Zip Code Lines_1'!$W$3,MATCH('Zip Code Lines_1'!C589,'Zip Code Lines_1'!$Q$4:$Q$26,0),0)</f>
        <v>17</v>
      </c>
      <c r="F589" s="344">
        <f ca="1">OFFSET('Zip Code Lines_1'!$Z$3,MATCH('Zip Code Lines_1'!C589,'Zip Code Lines_1'!$Q$4:$Q$26,0),0)</f>
        <v>86.3</v>
      </c>
      <c r="G589" s="342">
        <f ca="1">OFFSET('Zip Code Lines_1'!$AC$3,MATCH('Zip Code Lines_1'!C589,'Zip Code Lines_1'!$Q$4:$Q$26,0),0)</f>
        <v>6</v>
      </c>
      <c r="H589" s="342">
        <v>11766</v>
      </c>
    </row>
    <row r="590" spans="2:8" x14ac:dyDescent="0.25">
      <c r="B590" s="342">
        <v>11767</v>
      </c>
      <c r="C590" s="343" t="s">
        <v>545</v>
      </c>
      <c r="D590" s="343" t="str">
        <f ca="1">OFFSET('Zip Code Lines_1'!$U$3,MATCH('Zip Code Lines_1'!C590,'Zip Code Lines_1'!$Q$4:$Q$26,0),0)</f>
        <v>Islip</v>
      </c>
      <c r="E590" s="344">
        <f ca="1">OFFSET('Zip Code Lines_1'!$W$3,MATCH('Zip Code Lines_1'!C590,'Zip Code Lines_1'!$Q$4:$Q$26,0),0)</f>
        <v>15.9</v>
      </c>
      <c r="F590" s="344">
        <f ca="1">OFFSET('Zip Code Lines_1'!$Z$3,MATCH('Zip Code Lines_1'!C590,'Zip Code Lines_1'!$Q$4:$Q$26,0),0)</f>
        <v>85.7</v>
      </c>
      <c r="G590" s="342">
        <f ca="1">OFFSET('Zip Code Lines_1'!$AC$3,MATCH('Zip Code Lines_1'!C590,'Zip Code Lines_1'!$Q$4:$Q$26,0),0)</f>
        <v>6</v>
      </c>
      <c r="H590" s="342">
        <v>11767</v>
      </c>
    </row>
    <row r="591" spans="2:8" x14ac:dyDescent="0.25">
      <c r="B591" s="342">
        <v>11768</v>
      </c>
      <c r="C591" s="343" t="s">
        <v>535</v>
      </c>
      <c r="D591" s="343" t="str">
        <f ca="1">OFFSET('Zip Code Lines_1'!$U$3,MATCH('Zip Code Lines_1'!C591,'Zip Code Lines_1'!$Q$4:$Q$26,0),0)</f>
        <v>Farmingdale</v>
      </c>
      <c r="E591" s="344">
        <f ca="1">OFFSET('Zip Code Lines_1'!$W$3,MATCH('Zip Code Lines_1'!C591,'Zip Code Lines_1'!$Q$4:$Q$26,0),0)</f>
        <v>17</v>
      </c>
      <c r="F591" s="344">
        <f ca="1">OFFSET('Zip Code Lines_1'!$Z$3,MATCH('Zip Code Lines_1'!C591,'Zip Code Lines_1'!$Q$4:$Q$26,0),0)</f>
        <v>86.3</v>
      </c>
      <c r="G591" s="342">
        <f ca="1">OFFSET('Zip Code Lines_1'!$AC$3,MATCH('Zip Code Lines_1'!C591,'Zip Code Lines_1'!$Q$4:$Q$26,0),0)</f>
        <v>6</v>
      </c>
      <c r="H591" s="342">
        <v>11768</v>
      </c>
    </row>
    <row r="592" spans="2:8" x14ac:dyDescent="0.25">
      <c r="B592" s="342">
        <v>11769</v>
      </c>
      <c r="C592" s="343" t="s">
        <v>545</v>
      </c>
      <c r="D592" s="343" t="str">
        <f ca="1">OFFSET('Zip Code Lines_1'!$U$3,MATCH('Zip Code Lines_1'!C592,'Zip Code Lines_1'!$Q$4:$Q$26,0),0)</f>
        <v>Islip</v>
      </c>
      <c r="E592" s="344">
        <f ca="1">OFFSET('Zip Code Lines_1'!$W$3,MATCH('Zip Code Lines_1'!C592,'Zip Code Lines_1'!$Q$4:$Q$26,0),0)</f>
        <v>15.9</v>
      </c>
      <c r="F592" s="344">
        <f ca="1">OFFSET('Zip Code Lines_1'!$Z$3,MATCH('Zip Code Lines_1'!C592,'Zip Code Lines_1'!$Q$4:$Q$26,0),0)</f>
        <v>85.7</v>
      </c>
      <c r="G592" s="342">
        <f ca="1">OFFSET('Zip Code Lines_1'!$AC$3,MATCH('Zip Code Lines_1'!C592,'Zip Code Lines_1'!$Q$4:$Q$26,0),0)</f>
        <v>6</v>
      </c>
      <c r="H592" s="342">
        <v>11769</v>
      </c>
    </row>
    <row r="593" spans="2:8" x14ac:dyDescent="0.25">
      <c r="B593" s="342">
        <v>11770</v>
      </c>
      <c r="C593" s="343" t="s">
        <v>535</v>
      </c>
      <c r="D593" s="343" t="str">
        <f ca="1">OFFSET('Zip Code Lines_1'!$U$3,MATCH('Zip Code Lines_1'!C593,'Zip Code Lines_1'!$Q$4:$Q$26,0),0)</f>
        <v>Farmingdale</v>
      </c>
      <c r="E593" s="344">
        <f ca="1">OFFSET('Zip Code Lines_1'!$W$3,MATCH('Zip Code Lines_1'!C593,'Zip Code Lines_1'!$Q$4:$Q$26,0),0)</f>
        <v>17</v>
      </c>
      <c r="F593" s="344">
        <f ca="1">OFFSET('Zip Code Lines_1'!$Z$3,MATCH('Zip Code Lines_1'!C593,'Zip Code Lines_1'!$Q$4:$Q$26,0),0)</f>
        <v>86.3</v>
      </c>
      <c r="G593" s="342">
        <f ca="1">OFFSET('Zip Code Lines_1'!$AC$3,MATCH('Zip Code Lines_1'!C593,'Zip Code Lines_1'!$Q$4:$Q$26,0),0)</f>
        <v>6</v>
      </c>
      <c r="H593" s="342">
        <v>11770</v>
      </c>
    </row>
    <row r="594" spans="2:8" x14ac:dyDescent="0.25">
      <c r="B594" s="342">
        <v>11771</v>
      </c>
      <c r="C594" s="343" t="s">
        <v>535</v>
      </c>
      <c r="D594" s="343" t="str">
        <f ca="1">OFFSET('Zip Code Lines_1'!$U$3,MATCH('Zip Code Lines_1'!C594,'Zip Code Lines_1'!$Q$4:$Q$26,0),0)</f>
        <v>Farmingdale</v>
      </c>
      <c r="E594" s="344">
        <f ca="1">OFFSET('Zip Code Lines_1'!$W$3,MATCH('Zip Code Lines_1'!C594,'Zip Code Lines_1'!$Q$4:$Q$26,0),0)</f>
        <v>17</v>
      </c>
      <c r="F594" s="344">
        <f ca="1">OFFSET('Zip Code Lines_1'!$Z$3,MATCH('Zip Code Lines_1'!C594,'Zip Code Lines_1'!$Q$4:$Q$26,0),0)</f>
        <v>86.3</v>
      </c>
      <c r="G594" s="342">
        <f ca="1">OFFSET('Zip Code Lines_1'!$AC$3,MATCH('Zip Code Lines_1'!C594,'Zip Code Lines_1'!$Q$4:$Q$26,0),0)</f>
        <v>6</v>
      </c>
      <c r="H594" s="342">
        <v>11771</v>
      </c>
    </row>
    <row r="595" spans="2:8" x14ac:dyDescent="0.25">
      <c r="B595" s="342">
        <v>11772</v>
      </c>
      <c r="C595" s="343" t="s">
        <v>535</v>
      </c>
      <c r="D595" s="343" t="str">
        <f ca="1">OFFSET('Zip Code Lines_1'!$U$3,MATCH('Zip Code Lines_1'!C595,'Zip Code Lines_1'!$Q$4:$Q$26,0),0)</f>
        <v>Farmingdale</v>
      </c>
      <c r="E595" s="344">
        <f ca="1">OFFSET('Zip Code Lines_1'!$W$3,MATCH('Zip Code Lines_1'!C595,'Zip Code Lines_1'!$Q$4:$Q$26,0),0)</f>
        <v>17</v>
      </c>
      <c r="F595" s="344">
        <f ca="1">OFFSET('Zip Code Lines_1'!$Z$3,MATCH('Zip Code Lines_1'!C595,'Zip Code Lines_1'!$Q$4:$Q$26,0),0)</f>
        <v>86.3</v>
      </c>
      <c r="G595" s="342">
        <f ca="1">OFFSET('Zip Code Lines_1'!$AC$3,MATCH('Zip Code Lines_1'!C595,'Zip Code Lines_1'!$Q$4:$Q$26,0),0)</f>
        <v>6</v>
      </c>
      <c r="H595" s="342">
        <v>11772</v>
      </c>
    </row>
    <row r="596" spans="2:8" x14ac:dyDescent="0.25">
      <c r="B596" s="342">
        <v>11773</v>
      </c>
      <c r="C596" s="343" t="s">
        <v>535</v>
      </c>
      <c r="D596" s="343" t="str">
        <f ca="1">OFFSET('Zip Code Lines_1'!$U$3,MATCH('Zip Code Lines_1'!C596,'Zip Code Lines_1'!$Q$4:$Q$26,0),0)</f>
        <v>Farmingdale</v>
      </c>
      <c r="E596" s="344">
        <f ca="1">OFFSET('Zip Code Lines_1'!$W$3,MATCH('Zip Code Lines_1'!C596,'Zip Code Lines_1'!$Q$4:$Q$26,0),0)</f>
        <v>17</v>
      </c>
      <c r="F596" s="344">
        <f ca="1">OFFSET('Zip Code Lines_1'!$Z$3,MATCH('Zip Code Lines_1'!C596,'Zip Code Lines_1'!$Q$4:$Q$26,0),0)</f>
        <v>86.3</v>
      </c>
      <c r="G596" s="342">
        <f ca="1">OFFSET('Zip Code Lines_1'!$AC$3,MATCH('Zip Code Lines_1'!C596,'Zip Code Lines_1'!$Q$4:$Q$26,0),0)</f>
        <v>6</v>
      </c>
      <c r="H596" s="342">
        <v>11773</v>
      </c>
    </row>
    <row r="597" spans="2:8" x14ac:dyDescent="0.25">
      <c r="B597" s="342">
        <v>11775</v>
      </c>
      <c r="C597" s="343" t="s">
        <v>535</v>
      </c>
      <c r="D597" s="343" t="str">
        <f ca="1">OFFSET('Zip Code Lines_1'!$U$3,MATCH('Zip Code Lines_1'!C597,'Zip Code Lines_1'!$Q$4:$Q$26,0),0)</f>
        <v>Farmingdale</v>
      </c>
      <c r="E597" s="344">
        <f ca="1">OFFSET('Zip Code Lines_1'!$W$3,MATCH('Zip Code Lines_1'!C597,'Zip Code Lines_1'!$Q$4:$Q$26,0),0)</f>
        <v>17</v>
      </c>
      <c r="F597" s="344">
        <f ca="1">OFFSET('Zip Code Lines_1'!$Z$3,MATCH('Zip Code Lines_1'!C597,'Zip Code Lines_1'!$Q$4:$Q$26,0),0)</f>
        <v>86.3</v>
      </c>
      <c r="G597" s="342">
        <f ca="1">OFFSET('Zip Code Lines_1'!$AC$3,MATCH('Zip Code Lines_1'!C597,'Zip Code Lines_1'!$Q$4:$Q$26,0),0)</f>
        <v>6</v>
      </c>
      <c r="H597" s="342">
        <v>11775</v>
      </c>
    </row>
    <row r="598" spans="2:8" x14ac:dyDescent="0.25">
      <c r="B598" s="342">
        <v>11776</v>
      </c>
      <c r="C598" s="343" t="s">
        <v>545</v>
      </c>
      <c r="D598" s="343" t="str">
        <f ca="1">OFFSET('Zip Code Lines_1'!$U$3,MATCH('Zip Code Lines_1'!C598,'Zip Code Lines_1'!$Q$4:$Q$26,0),0)</f>
        <v>Islip</v>
      </c>
      <c r="E598" s="344">
        <f ca="1">OFFSET('Zip Code Lines_1'!$W$3,MATCH('Zip Code Lines_1'!C598,'Zip Code Lines_1'!$Q$4:$Q$26,0),0)</f>
        <v>15.9</v>
      </c>
      <c r="F598" s="344">
        <f ca="1">OFFSET('Zip Code Lines_1'!$Z$3,MATCH('Zip Code Lines_1'!C598,'Zip Code Lines_1'!$Q$4:$Q$26,0),0)</f>
        <v>85.7</v>
      </c>
      <c r="G598" s="342">
        <f ca="1">OFFSET('Zip Code Lines_1'!$AC$3,MATCH('Zip Code Lines_1'!C598,'Zip Code Lines_1'!$Q$4:$Q$26,0),0)</f>
        <v>6</v>
      </c>
      <c r="H598" s="342">
        <v>11776</v>
      </c>
    </row>
    <row r="599" spans="2:8" x14ac:dyDescent="0.25">
      <c r="B599" s="342">
        <v>11777</v>
      </c>
      <c r="C599" s="343" t="s">
        <v>535</v>
      </c>
      <c r="D599" s="343" t="str">
        <f ca="1">OFFSET('Zip Code Lines_1'!$U$3,MATCH('Zip Code Lines_1'!C599,'Zip Code Lines_1'!$Q$4:$Q$26,0),0)</f>
        <v>Farmingdale</v>
      </c>
      <c r="E599" s="344">
        <f ca="1">OFFSET('Zip Code Lines_1'!$W$3,MATCH('Zip Code Lines_1'!C599,'Zip Code Lines_1'!$Q$4:$Q$26,0),0)</f>
        <v>17</v>
      </c>
      <c r="F599" s="344">
        <f ca="1">OFFSET('Zip Code Lines_1'!$Z$3,MATCH('Zip Code Lines_1'!C599,'Zip Code Lines_1'!$Q$4:$Q$26,0),0)</f>
        <v>86.3</v>
      </c>
      <c r="G599" s="342">
        <f ca="1">OFFSET('Zip Code Lines_1'!$AC$3,MATCH('Zip Code Lines_1'!C599,'Zip Code Lines_1'!$Q$4:$Q$26,0),0)</f>
        <v>6</v>
      </c>
      <c r="H599" s="342">
        <v>11777</v>
      </c>
    </row>
    <row r="600" spans="2:8" x14ac:dyDescent="0.25">
      <c r="B600" s="342">
        <v>11778</v>
      </c>
      <c r="C600" s="343" t="s">
        <v>535</v>
      </c>
      <c r="D600" s="343" t="str">
        <f ca="1">OFFSET('Zip Code Lines_1'!$U$3,MATCH('Zip Code Lines_1'!C600,'Zip Code Lines_1'!$Q$4:$Q$26,0),0)</f>
        <v>Farmingdale</v>
      </c>
      <c r="E600" s="344">
        <f ca="1">OFFSET('Zip Code Lines_1'!$W$3,MATCH('Zip Code Lines_1'!C600,'Zip Code Lines_1'!$Q$4:$Q$26,0),0)</f>
        <v>17</v>
      </c>
      <c r="F600" s="344">
        <f ca="1">OFFSET('Zip Code Lines_1'!$Z$3,MATCH('Zip Code Lines_1'!C600,'Zip Code Lines_1'!$Q$4:$Q$26,0),0)</f>
        <v>86.3</v>
      </c>
      <c r="G600" s="342">
        <f ca="1">OFFSET('Zip Code Lines_1'!$AC$3,MATCH('Zip Code Lines_1'!C600,'Zip Code Lines_1'!$Q$4:$Q$26,0),0)</f>
        <v>6</v>
      </c>
      <c r="H600" s="342">
        <v>11778</v>
      </c>
    </row>
    <row r="601" spans="2:8" x14ac:dyDescent="0.25">
      <c r="B601" s="342">
        <v>11779</v>
      </c>
      <c r="C601" s="343" t="s">
        <v>545</v>
      </c>
      <c r="D601" s="343" t="str">
        <f ca="1">OFFSET('Zip Code Lines_1'!$U$3,MATCH('Zip Code Lines_1'!C601,'Zip Code Lines_1'!$Q$4:$Q$26,0),0)</f>
        <v>Islip</v>
      </c>
      <c r="E601" s="344">
        <f ca="1">OFFSET('Zip Code Lines_1'!$W$3,MATCH('Zip Code Lines_1'!C601,'Zip Code Lines_1'!$Q$4:$Q$26,0),0)</f>
        <v>15.9</v>
      </c>
      <c r="F601" s="344">
        <f ca="1">OFFSET('Zip Code Lines_1'!$Z$3,MATCH('Zip Code Lines_1'!C601,'Zip Code Lines_1'!$Q$4:$Q$26,0),0)</f>
        <v>85.7</v>
      </c>
      <c r="G601" s="342">
        <f ca="1">OFFSET('Zip Code Lines_1'!$AC$3,MATCH('Zip Code Lines_1'!C601,'Zip Code Lines_1'!$Q$4:$Q$26,0),0)</f>
        <v>6</v>
      </c>
      <c r="H601" s="342">
        <v>11779</v>
      </c>
    </row>
    <row r="602" spans="2:8" x14ac:dyDescent="0.25">
      <c r="B602" s="342">
        <v>11780</v>
      </c>
      <c r="C602" s="343" t="s">
        <v>535</v>
      </c>
      <c r="D602" s="343" t="str">
        <f ca="1">OFFSET('Zip Code Lines_1'!$U$3,MATCH('Zip Code Lines_1'!C602,'Zip Code Lines_1'!$Q$4:$Q$26,0),0)</f>
        <v>Farmingdale</v>
      </c>
      <c r="E602" s="344">
        <f ca="1">OFFSET('Zip Code Lines_1'!$W$3,MATCH('Zip Code Lines_1'!C602,'Zip Code Lines_1'!$Q$4:$Q$26,0),0)</f>
        <v>17</v>
      </c>
      <c r="F602" s="344">
        <f ca="1">OFFSET('Zip Code Lines_1'!$Z$3,MATCH('Zip Code Lines_1'!C602,'Zip Code Lines_1'!$Q$4:$Q$26,0),0)</f>
        <v>86.3</v>
      </c>
      <c r="G602" s="342">
        <f ca="1">OFFSET('Zip Code Lines_1'!$AC$3,MATCH('Zip Code Lines_1'!C602,'Zip Code Lines_1'!$Q$4:$Q$26,0),0)</f>
        <v>6</v>
      </c>
      <c r="H602" s="342">
        <v>11780</v>
      </c>
    </row>
    <row r="603" spans="2:8" x14ac:dyDescent="0.25">
      <c r="B603" s="342">
        <v>11782</v>
      </c>
      <c r="C603" s="343" t="s">
        <v>545</v>
      </c>
      <c r="D603" s="343" t="str">
        <f ca="1">OFFSET('Zip Code Lines_1'!$U$3,MATCH('Zip Code Lines_1'!C603,'Zip Code Lines_1'!$Q$4:$Q$26,0),0)</f>
        <v>Islip</v>
      </c>
      <c r="E603" s="344">
        <f ca="1">OFFSET('Zip Code Lines_1'!$W$3,MATCH('Zip Code Lines_1'!C603,'Zip Code Lines_1'!$Q$4:$Q$26,0),0)</f>
        <v>15.9</v>
      </c>
      <c r="F603" s="344">
        <f ca="1">OFFSET('Zip Code Lines_1'!$Z$3,MATCH('Zip Code Lines_1'!C603,'Zip Code Lines_1'!$Q$4:$Q$26,0),0)</f>
        <v>85.7</v>
      </c>
      <c r="G603" s="342">
        <f ca="1">OFFSET('Zip Code Lines_1'!$AC$3,MATCH('Zip Code Lines_1'!C603,'Zip Code Lines_1'!$Q$4:$Q$26,0),0)</f>
        <v>6</v>
      </c>
      <c r="H603" s="342">
        <v>11782</v>
      </c>
    </row>
    <row r="604" spans="2:8" x14ac:dyDescent="0.25">
      <c r="B604" s="342">
        <v>11783</v>
      </c>
      <c r="C604" s="343" t="s">
        <v>535</v>
      </c>
      <c r="D604" s="343" t="str">
        <f ca="1">OFFSET('Zip Code Lines_1'!$U$3,MATCH('Zip Code Lines_1'!C604,'Zip Code Lines_1'!$Q$4:$Q$26,0),0)</f>
        <v>Farmingdale</v>
      </c>
      <c r="E604" s="344">
        <f ca="1">OFFSET('Zip Code Lines_1'!$W$3,MATCH('Zip Code Lines_1'!C604,'Zip Code Lines_1'!$Q$4:$Q$26,0),0)</f>
        <v>17</v>
      </c>
      <c r="F604" s="344">
        <f ca="1">OFFSET('Zip Code Lines_1'!$Z$3,MATCH('Zip Code Lines_1'!C604,'Zip Code Lines_1'!$Q$4:$Q$26,0),0)</f>
        <v>86.3</v>
      </c>
      <c r="G604" s="342">
        <f ca="1">OFFSET('Zip Code Lines_1'!$AC$3,MATCH('Zip Code Lines_1'!C604,'Zip Code Lines_1'!$Q$4:$Q$26,0),0)</f>
        <v>6</v>
      </c>
      <c r="H604" s="342">
        <v>11783</v>
      </c>
    </row>
    <row r="605" spans="2:8" x14ac:dyDescent="0.25">
      <c r="B605" s="342">
        <v>11784</v>
      </c>
      <c r="C605" s="343" t="s">
        <v>545</v>
      </c>
      <c r="D605" s="343" t="str">
        <f ca="1">OFFSET('Zip Code Lines_1'!$U$3,MATCH('Zip Code Lines_1'!C605,'Zip Code Lines_1'!$Q$4:$Q$26,0),0)</f>
        <v>Islip</v>
      </c>
      <c r="E605" s="344">
        <f ca="1">OFFSET('Zip Code Lines_1'!$W$3,MATCH('Zip Code Lines_1'!C605,'Zip Code Lines_1'!$Q$4:$Q$26,0),0)</f>
        <v>15.9</v>
      </c>
      <c r="F605" s="344">
        <f ca="1">OFFSET('Zip Code Lines_1'!$Z$3,MATCH('Zip Code Lines_1'!C605,'Zip Code Lines_1'!$Q$4:$Q$26,0),0)</f>
        <v>85.7</v>
      </c>
      <c r="G605" s="342">
        <f ca="1">OFFSET('Zip Code Lines_1'!$AC$3,MATCH('Zip Code Lines_1'!C605,'Zip Code Lines_1'!$Q$4:$Q$26,0),0)</f>
        <v>6</v>
      </c>
      <c r="H605" s="342">
        <v>11784</v>
      </c>
    </row>
    <row r="606" spans="2:8" x14ac:dyDescent="0.25">
      <c r="B606" s="342">
        <v>11786</v>
      </c>
      <c r="C606" s="343" t="s">
        <v>535</v>
      </c>
      <c r="D606" s="343" t="str">
        <f ca="1">OFFSET('Zip Code Lines_1'!$U$3,MATCH('Zip Code Lines_1'!C606,'Zip Code Lines_1'!$Q$4:$Q$26,0),0)</f>
        <v>Farmingdale</v>
      </c>
      <c r="E606" s="344">
        <f ca="1">OFFSET('Zip Code Lines_1'!$W$3,MATCH('Zip Code Lines_1'!C606,'Zip Code Lines_1'!$Q$4:$Q$26,0),0)</f>
        <v>17</v>
      </c>
      <c r="F606" s="344">
        <f ca="1">OFFSET('Zip Code Lines_1'!$Z$3,MATCH('Zip Code Lines_1'!C606,'Zip Code Lines_1'!$Q$4:$Q$26,0),0)</f>
        <v>86.3</v>
      </c>
      <c r="G606" s="342">
        <f ca="1">OFFSET('Zip Code Lines_1'!$AC$3,MATCH('Zip Code Lines_1'!C606,'Zip Code Lines_1'!$Q$4:$Q$26,0),0)</f>
        <v>6</v>
      </c>
      <c r="H606" s="342">
        <v>11786</v>
      </c>
    </row>
    <row r="607" spans="2:8" x14ac:dyDescent="0.25">
      <c r="B607" s="342">
        <v>11787</v>
      </c>
      <c r="C607" s="343" t="s">
        <v>535</v>
      </c>
      <c r="D607" s="343" t="str">
        <f ca="1">OFFSET('Zip Code Lines_1'!$U$3,MATCH('Zip Code Lines_1'!C607,'Zip Code Lines_1'!$Q$4:$Q$26,0),0)</f>
        <v>Farmingdale</v>
      </c>
      <c r="E607" s="344">
        <f ca="1">OFFSET('Zip Code Lines_1'!$W$3,MATCH('Zip Code Lines_1'!C607,'Zip Code Lines_1'!$Q$4:$Q$26,0),0)</f>
        <v>17</v>
      </c>
      <c r="F607" s="344">
        <f ca="1">OFFSET('Zip Code Lines_1'!$Z$3,MATCH('Zip Code Lines_1'!C607,'Zip Code Lines_1'!$Q$4:$Q$26,0),0)</f>
        <v>86.3</v>
      </c>
      <c r="G607" s="342">
        <f ca="1">OFFSET('Zip Code Lines_1'!$AC$3,MATCH('Zip Code Lines_1'!C607,'Zip Code Lines_1'!$Q$4:$Q$26,0),0)</f>
        <v>6</v>
      </c>
      <c r="H607" s="342">
        <v>11787</v>
      </c>
    </row>
    <row r="608" spans="2:8" x14ac:dyDescent="0.25">
      <c r="B608" s="342">
        <v>11788</v>
      </c>
      <c r="C608" s="343" t="s">
        <v>535</v>
      </c>
      <c r="D608" s="343" t="str">
        <f ca="1">OFFSET('Zip Code Lines_1'!$U$3,MATCH('Zip Code Lines_1'!C608,'Zip Code Lines_1'!$Q$4:$Q$26,0),0)</f>
        <v>Farmingdale</v>
      </c>
      <c r="E608" s="344">
        <f ca="1">OFFSET('Zip Code Lines_1'!$W$3,MATCH('Zip Code Lines_1'!C608,'Zip Code Lines_1'!$Q$4:$Q$26,0),0)</f>
        <v>17</v>
      </c>
      <c r="F608" s="344">
        <f ca="1">OFFSET('Zip Code Lines_1'!$Z$3,MATCH('Zip Code Lines_1'!C608,'Zip Code Lines_1'!$Q$4:$Q$26,0),0)</f>
        <v>86.3</v>
      </c>
      <c r="G608" s="342">
        <f ca="1">OFFSET('Zip Code Lines_1'!$AC$3,MATCH('Zip Code Lines_1'!C608,'Zip Code Lines_1'!$Q$4:$Q$26,0),0)</f>
        <v>6</v>
      </c>
      <c r="H608" s="342">
        <v>11788</v>
      </c>
    </row>
    <row r="609" spans="1:8" x14ac:dyDescent="0.25">
      <c r="B609" s="342">
        <v>11789</v>
      </c>
      <c r="C609" s="343" t="s">
        <v>535</v>
      </c>
      <c r="D609" s="343" t="str">
        <f ca="1">OFFSET('Zip Code Lines_1'!$U$3,MATCH('Zip Code Lines_1'!C609,'Zip Code Lines_1'!$Q$4:$Q$26,0),0)</f>
        <v>Farmingdale</v>
      </c>
      <c r="E609" s="344">
        <f ca="1">OFFSET('Zip Code Lines_1'!$W$3,MATCH('Zip Code Lines_1'!C609,'Zip Code Lines_1'!$Q$4:$Q$26,0),0)</f>
        <v>17</v>
      </c>
      <c r="F609" s="344">
        <f ca="1">OFFSET('Zip Code Lines_1'!$Z$3,MATCH('Zip Code Lines_1'!C609,'Zip Code Lines_1'!$Q$4:$Q$26,0),0)</f>
        <v>86.3</v>
      </c>
      <c r="G609" s="342">
        <f ca="1">OFFSET('Zip Code Lines_1'!$AC$3,MATCH('Zip Code Lines_1'!C609,'Zip Code Lines_1'!$Q$4:$Q$26,0),0)</f>
        <v>6</v>
      </c>
      <c r="H609" s="342">
        <v>11789</v>
      </c>
    </row>
    <row r="610" spans="1:8" x14ac:dyDescent="0.25">
      <c r="B610" s="342">
        <v>11790</v>
      </c>
      <c r="C610" s="343" t="s">
        <v>535</v>
      </c>
      <c r="D610" s="343" t="str">
        <f ca="1">OFFSET('Zip Code Lines_1'!$U$3,MATCH('Zip Code Lines_1'!C610,'Zip Code Lines_1'!$Q$4:$Q$26,0),0)</f>
        <v>Farmingdale</v>
      </c>
      <c r="E610" s="344">
        <f ca="1">OFFSET('Zip Code Lines_1'!$W$3,MATCH('Zip Code Lines_1'!C610,'Zip Code Lines_1'!$Q$4:$Q$26,0),0)</f>
        <v>17</v>
      </c>
      <c r="F610" s="344">
        <f ca="1">OFFSET('Zip Code Lines_1'!$Z$3,MATCH('Zip Code Lines_1'!C610,'Zip Code Lines_1'!$Q$4:$Q$26,0),0)</f>
        <v>86.3</v>
      </c>
      <c r="G610" s="342">
        <f ca="1">OFFSET('Zip Code Lines_1'!$AC$3,MATCH('Zip Code Lines_1'!C610,'Zip Code Lines_1'!$Q$4:$Q$26,0),0)</f>
        <v>6</v>
      </c>
      <c r="H610" s="342">
        <v>11790</v>
      </c>
    </row>
    <row r="611" spans="1:8" x14ac:dyDescent="0.25">
      <c r="B611" s="342">
        <v>11791</v>
      </c>
      <c r="C611" s="343" t="s">
        <v>535</v>
      </c>
      <c r="D611" s="343" t="str">
        <f ca="1">OFFSET('Zip Code Lines_1'!$U$3,MATCH('Zip Code Lines_1'!C611,'Zip Code Lines_1'!$Q$4:$Q$26,0),0)</f>
        <v>Farmingdale</v>
      </c>
      <c r="E611" s="344">
        <f ca="1">OFFSET('Zip Code Lines_1'!$W$3,MATCH('Zip Code Lines_1'!C611,'Zip Code Lines_1'!$Q$4:$Q$26,0),0)</f>
        <v>17</v>
      </c>
      <c r="F611" s="344">
        <f ca="1">OFFSET('Zip Code Lines_1'!$Z$3,MATCH('Zip Code Lines_1'!C611,'Zip Code Lines_1'!$Q$4:$Q$26,0),0)</f>
        <v>86.3</v>
      </c>
      <c r="G611" s="342">
        <f ca="1">OFFSET('Zip Code Lines_1'!$AC$3,MATCH('Zip Code Lines_1'!C611,'Zip Code Lines_1'!$Q$4:$Q$26,0),0)</f>
        <v>6</v>
      </c>
      <c r="H611" s="342">
        <v>11791</v>
      </c>
    </row>
    <row r="612" spans="1:8" x14ac:dyDescent="0.25">
      <c r="B612" s="342">
        <v>11792</v>
      </c>
      <c r="C612" s="343" t="s">
        <v>545</v>
      </c>
      <c r="D612" s="343" t="str">
        <f ca="1">OFFSET('Zip Code Lines_1'!$U$3,MATCH('Zip Code Lines_1'!C612,'Zip Code Lines_1'!$Q$4:$Q$26,0),0)</f>
        <v>Islip</v>
      </c>
      <c r="E612" s="344">
        <f ca="1">OFFSET('Zip Code Lines_1'!$W$3,MATCH('Zip Code Lines_1'!C612,'Zip Code Lines_1'!$Q$4:$Q$26,0),0)</f>
        <v>15.9</v>
      </c>
      <c r="F612" s="344">
        <f ca="1">OFFSET('Zip Code Lines_1'!$Z$3,MATCH('Zip Code Lines_1'!C612,'Zip Code Lines_1'!$Q$4:$Q$26,0),0)</f>
        <v>85.7</v>
      </c>
      <c r="G612" s="342">
        <f ca="1">OFFSET('Zip Code Lines_1'!$AC$3,MATCH('Zip Code Lines_1'!C612,'Zip Code Lines_1'!$Q$4:$Q$26,0),0)</f>
        <v>6</v>
      </c>
      <c r="H612" s="342">
        <v>11792</v>
      </c>
    </row>
    <row r="613" spans="1:8" x14ac:dyDescent="0.25">
      <c r="B613" s="342">
        <v>11793</v>
      </c>
      <c r="C613" s="343" t="s">
        <v>535</v>
      </c>
      <c r="D613" s="343" t="str">
        <f ca="1">OFFSET('Zip Code Lines_1'!$U$3,MATCH('Zip Code Lines_1'!C613,'Zip Code Lines_1'!$Q$4:$Q$26,0),0)</f>
        <v>Farmingdale</v>
      </c>
      <c r="E613" s="344">
        <f ca="1">OFFSET('Zip Code Lines_1'!$W$3,MATCH('Zip Code Lines_1'!C613,'Zip Code Lines_1'!$Q$4:$Q$26,0),0)</f>
        <v>17</v>
      </c>
      <c r="F613" s="344">
        <f ca="1">OFFSET('Zip Code Lines_1'!$Z$3,MATCH('Zip Code Lines_1'!C613,'Zip Code Lines_1'!$Q$4:$Q$26,0),0)</f>
        <v>86.3</v>
      </c>
      <c r="G613" s="342">
        <f ca="1">OFFSET('Zip Code Lines_1'!$AC$3,MATCH('Zip Code Lines_1'!C613,'Zip Code Lines_1'!$Q$4:$Q$26,0),0)</f>
        <v>6</v>
      </c>
      <c r="H613" s="342">
        <v>11793</v>
      </c>
    </row>
    <row r="614" spans="1:8" x14ac:dyDescent="0.25">
      <c r="B614" s="342">
        <v>11794</v>
      </c>
      <c r="C614" s="343" t="s">
        <v>535</v>
      </c>
      <c r="D614" s="343" t="str">
        <f ca="1">OFFSET('Zip Code Lines_1'!$U$3,MATCH('Zip Code Lines_1'!C614,'Zip Code Lines_1'!$Q$4:$Q$26,0),0)</f>
        <v>Farmingdale</v>
      </c>
      <c r="E614" s="344">
        <f ca="1">OFFSET('Zip Code Lines_1'!$W$3,MATCH('Zip Code Lines_1'!C614,'Zip Code Lines_1'!$Q$4:$Q$26,0),0)</f>
        <v>17</v>
      </c>
      <c r="F614" s="344">
        <f ca="1">OFFSET('Zip Code Lines_1'!$Z$3,MATCH('Zip Code Lines_1'!C614,'Zip Code Lines_1'!$Q$4:$Q$26,0),0)</f>
        <v>86.3</v>
      </c>
      <c r="G614" s="342">
        <f ca="1">OFFSET('Zip Code Lines_1'!$AC$3,MATCH('Zip Code Lines_1'!C614,'Zip Code Lines_1'!$Q$4:$Q$26,0),0)</f>
        <v>6</v>
      </c>
      <c r="H614" s="342">
        <v>11794</v>
      </c>
    </row>
    <row r="615" spans="1:8" x14ac:dyDescent="0.25">
      <c r="B615" s="342">
        <v>11795</v>
      </c>
      <c r="C615" s="343" t="s">
        <v>535</v>
      </c>
      <c r="D615" s="343" t="str">
        <f ca="1">OFFSET('Zip Code Lines_1'!$U$3,MATCH('Zip Code Lines_1'!C615,'Zip Code Lines_1'!$Q$4:$Q$26,0),0)</f>
        <v>Farmingdale</v>
      </c>
      <c r="E615" s="344">
        <f ca="1">OFFSET('Zip Code Lines_1'!$W$3,MATCH('Zip Code Lines_1'!C615,'Zip Code Lines_1'!$Q$4:$Q$26,0),0)</f>
        <v>17</v>
      </c>
      <c r="F615" s="344">
        <f ca="1">OFFSET('Zip Code Lines_1'!$Z$3,MATCH('Zip Code Lines_1'!C615,'Zip Code Lines_1'!$Q$4:$Q$26,0),0)</f>
        <v>86.3</v>
      </c>
      <c r="G615" s="342">
        <f ca="1">OFFSET('Zip Code Lines_1'!$AC$3,MATCH('Zip Code Lines_1'!C615,'Zip Code Lines_1'!$Q$4:$Q$26,0),0)</f>
        <v>6</v>
      </c>
      <c r="H615" s="342">
        <v>11795</v>
      </c>
    </row>
    <row r="616" spans="1:8" x14ac:dyDescent="0.25">
      <c r="B616" s="342">
        <v>11796</v>
      </c>
      <c r="C616" s="343" t="s">
        <v>545</v>
      </c>
      <c r="D616" s="343" t="str">
        <f ca="1">OFFSET('Zip Code Lines_1'!$U$3,MATCH('Zip Code Lines_1'!C616,'Zip Code Lines_1'!$Q$4:$Q$26,0),0)</f>
        <v>Islip</v>
      </c>
      <c r="E616" s="344">
        <f ca="1">OFFSET('Zip Code Lines_1'!$W$3,MATCH('Zip Code Lines_1'!C616,'Zip Code Lines_1'!$Q$4:$Q$26,0),0)</f>
        <v>15.9</v>
      </c>
      <c r="F616" s="344">
        <f ca="1">OFFSET('Zip Code Lines_1'!$Z$3,MATCH('Zip Code Lines_1'!C616,'Zip Code Lines_1'!$Q$4:$Q$26,0),0)</f>
        <v>85.7</v>
      </c>
      <c r="G616" s="342">
        <f ca="1">OFFSET('Zip Code Lines_1'!$AC$3,MATCH('Zip Code Lines_1'!C616,'Zip Code Lines_1'!$Q$4:$Q$26,0),0)</f>
        <v>6</v>
      </c>
      <c r="H616" s="342">
        <v>11796</v>
      </c>
    </row>
    <row r="617" spans="1:8" x14ac:dyDescent="0.25">
      <c r="B617" s="342">
        <v>11797</v>
      </c>
      <c r="C617" s="343" t="s">
        <v>535</v>
      </c>
      <c r="D617" s="343" t="str">
        <f ca="1">OFFSET('Zip Code Lines_1'!$U$3,MATCH('Zip Code Lines_1'!C617,'Zip Code Lines_1'!$Q$4:$Q$26,0),0)</f>
        <v>Farmingdale</v>
      </c>
      <c r="E617" s="344">
        <f ca="1">OFFSET('Zip Code Lines_1'!$W$3,MATCH('Zip Code Lines_1'!C617,'Zip Code Lines_1'!$Q$4:$Q$26,0),0)</f>
        <v>17</v>
      </c>
      <c r="F617" s="344">
        <f ca="1">OFFSET('Zip Code Lines_1'!$Z$3,MATCH('Zip Code Lines_1'!C617,'Zip Code Lines_1'!$Q$4:$Q$26,0),0)</f>
        <v>86.3</v>
      </c>
      <c r="G617" s="342">
        <f ca="1">OFFSET('Zip Code Lines_1'!$AC$3,MATCH('Zip Code Lines_1'!C617,'Zip Code Lines_1'!$Q$4:$Q$26,0),0)</f>
        <v>6</v>
      </c>
      <c r="H617" s="342">
        <v>11797</v>
      </c>
    </row>
    <row r="618" spans="1:8" x14ac:dyDescent="0.25">
      <c r="B618" s="342">
        <v>11798</v>
      </c>
      <c r="C618" s="343" t="s">
        <v>535</v>
      </c>
      <c r="D618" s="343" t="str">
        <f ca="1">OFFSET('Zip Code Lines_1'!$U$3,MATCH('Zip Code Lines_1'!C618,'Zip Code Lines_1'!$Q$4:$Q$26,0),0)</f>
        <v>Farmingdale</v>
      </c>
      <c r="E618" s="344">
        <f ca="1">OFFSET('Zip Code Lines_1'!$W$3,MATCH('Zip Code Lines_1'!C618,'Zip Code Lines_1'!$Q$4:$Q$26,0),0)</f>
        <v>17</v>
      </c>
      <c r="F618" s="344">
        <f ca="1">OFFSET('Zip Code Lines_1'!$Z$3,MATCH('Zip Code Lines_1'!C618,'Zip Code Lines_1'!$Q$4:$Q$26,0),0)</f>
        <v>86.3</v>
      </c>
      <c r="G618" s="342">
        <f ca="1">OFFSET('Zip Code Lines_1'!$AC$3,MATCH('Zip Code Lines_1'!C618,'Zip Code Lines_1'!$Q$4:$Q$26,0),0)</f>
        <v>6</v>
      </c>
      <c r="H618" s="342">
        <v>11798</v>
      </c>
    </row>
    <row r="619" spans="1:8" x14ac:dyDescent="0.25">
      <c r="B619" s="342">
        <v>11801</v>
      </c>
      <c r="C619" s="343" t="s">
        <v>535</v>
      </c>
      <c r="D619" s="343" t="str">
        <f ca="1">OFFSET('Zip Code Lines_1'!$U$3,MATCH('Zip Code Lines_1'!C619,'Zip Code Lines_1'!$Q$4:$Q$26,0),0)</f>
        <v>Farmingdale</v>
      </c>
      <c r="E619" s="344">
        <f ca="1">OFFSET('Zip Code Lines_1'!$W$3,MATCH('Zip Code Lines_1'!C619,'Zip Code Lines_1'!$Q$4:$Q$26,0),0)</f>
        <v>17</v>
      </c>
      <c r="F619" s="344">
        <f ca="1">OFFSET('Zip Code Lines_1'!$Z$3,MATCH('Zip Code Lines_1'!C619,'Zip Code Lines_1'!$Q$4:$Q$26,0),0)</f>
        <v>86.3</v>
      </c>
      <c r="G619" s="342">
        <f ca="1">OFFSET('Zip Code Lines_1'!$AC$3,MATCH('Zip Code Lines_1'!C619,'Zip Code Lines_1'!$Q$4:$Q$26,0),0)</f>
        <v>6</v>
      </c>
      <c r="H619" s="342">
        <v>11801</v>
      </c>
    </row>
    <row r="620" spans="1:8" x14ac:dyDescent="0.25">
      <c r="B620" s="342">
        <v>11802</v>
      </c>
      <c r="C620" s="343" t="s">
        <v>535</v>
      </c>
      <c r="D620" s="343" t="str">
        <f ca="1">OFFSET('Zip Code Lines_1'!$U$3,MATCH('Zip Code Lines_1'!C620,'Zip Code Lines_1'!$Q$4:$Q$26,0),0)</f>
        <v>Farmingdale</v>
      </c>
      <c r="E620" s="344">
        <f ca="1">OFFSET('Zip Code Lines_1'!$W$3,MATCH('Zip Code Lines_1'!C620,'Zip Code Lines_1'!$Q$4:$Q$26,0),0)</f>
        <v>17</v>
      </c>
      <c r="F620" s="344">
        <f ca="1">OFFSET('Zip Code Lines_1'!$Z$3,MATCH('Zip Code Lines_1'!C620,'Zip Code Lines_1'!$Q$4:$Q$26,0),0)</f>
        <v>86.3</v>
      </c>
      <c r="G620" s="342">
        <f ca="1">OFFSET('Zip Code Lines_1'!$AC$3,MATCH('Zip Code Lines_1'!C620,'Zip Code Lines_1'!$Q$4:$Q$26,0),0)</f>
        <v>6</v>
      </c>
      <c r="H620" s="342">
        <v>11802</v>
      </c>
    </row>
    <row r="621" spans="1:8" x14ac:dyDescent="0.25">
      <c r="B621" s="342">
        <v>11803</v>
      </c>
      <c r="C621" s="343" t="s">
        <v>535</v>
      </c>
      <c r="D621" s="343" t="str">
        <f ca="1">OFFSET('Zip Code Lines_1'!$U$3,MATCH('Zip Code Lines_1'!C621,'Zip Code Lines_1'!$Q$4:$Q$26,0),0)</f>
        <v>Farmingdale</v>
      </c>
      <c r="E621" s="344">
        <f ca="1">OFFSET('Zip Code Lines_1'!$W$3,MATCH('Zip Code Lines_1'!C621,'Zip Code Lines_1'!$Q$4:$Q$26,0),0)</f>
        <v>17</v>
      </c>
      <c r="F621" s="344">
        <f ca="1">OFFSET('Zip Code Lines_1'!$Z$3,MATCH('Zip Code Lines_1'!C621,'Zip Code Lines_1'!$Q$4:$Q$26,0),0)</f>
        <v>86.3</v>
      </c>
      <c r="G621" s="342">
        <f ca="1">OFFSET('Zip Code Lines_1'!$AC$3,MATCH('Zip Code Lines_1'!C621,'Zip Code Lines_1'!$Q$4:$Q$26,0),0)</f>
        <v>6</v>
      </c>
      <c r="H621" s="342">
        <v>11803</v>
      </c>
    </row>
    <row r="622" spans="1:8" x14ac:dyDescent="0.25">
      <c r="B622" s="342">
        <v>11804</v>
      </c>
      <c r="C622" s="343" t="s">
        <v>535</v>
      </c>
      <c r="D622" s="343" t="str">
        <f ca="1">OFFSET('Zip Code Lines_1'!$U$3,MATCH('Zip Code Lines_1'!C622,'Zip Code Lines_1'!$Q$4:$Q$26,0),0)</f>
        <v>Farmingdale</v>
      </c>
      <c r="E622" s="344">
        <f ca="1">OFFSET('Zip Code Lines_1'!$W$3,MATCH('Zip Code Lines_1'!C622,'Zip Code Lines_1'!$Q$4:$Q$26,0),0)</f>
        <v>17</v>
      </c>
      <c r="F622" s="344">
        <f ca="1">OFFSET('Zip Code Lines_1'!$Z$3,MATCH('Zip Code Lines_1'!C622,'Zip Code Lines_1'!$Q$4:$Q$26,0),0)</f>
        <v>86.3</v>
      </c>
      <c r="G622" s="342">
        <f ca="1">OFFSET('Zip Code Lines_1'!$AC$3,MATCH('Zip Code Lines_1'!C622,'Zip Code Lines_1'!$Q$4:$Q$26,0),0)</f>
        <v>6</v>
      </c>
      <c r="H622" s="342">
        <v>11804</v>
      </c>
    </row>
    <row r="623" spans="1:8" x14ac:dyDescent="0.25">
      <c r="B623" s="342">
        <v>11815</v>
      </c>
      <c r="C623" s="343" t="s">
        <v>535</v>
      </c>
      <c r="D623" s="343" t="str">
        <f ca="1">OFFSET('Zip Code Lines_1'!$U$3,MATCH('Zip Code Lines_1'!C623,'Zip Code Lines_1'!$Q$4:$Q$26,0),0)</f>
        <v>Farmingdale</v>
      </c>
      <c r="E623" s="344">
        <f ca="1">OFFSET('Zip Code Lines_1'!$W$3,MATCH('Zip Code Lines_1'!C623,'Zip Code Lines_1'!$Q$4:$Q$26,0),0)</f>
        <v>17</v>
      </c>
      <c r="F623" s="344">
        <f ca="1">OFFSET('Zip Code Lines_1'!$Z$3,MATCH('Zip Code Lines_1'!C623,'Zip Code Lines_1'!$Q$4:$Q$26,0),0)</f>
        <v>86.3</v>
      </c>
      <c r="G623" s="342">
        <f ca="1">OFFSET('Zip Code Lines_1'!$AC$3,MATCH('Zip Code Lines_1'!C623,'Zip Code Lines_1'!$Q$4:$Q$26,0),0)</f>
        <v>6</v>
      </c>
      <c r="H623" s="342">
        <v>11815</v>
      </c>
    </row>
    <row r="624" spans="1:8" x14ac:dyDescent="0.25">
      <c r="A624" s="342" t="s">
        <v>720</v>
      </c>
      <c r="B624" s="342">
        <v>11819</v>
      </c>
      <c r="C624" s="366" t="s">
        <v>535</v>
      </c>
      <c r="D624" s="343" t="str">
        <f ca="1">OFFSET('Zip Code Lines_1'!$U$3,MATCH('Zip Code Lines_1'!C624,'Zip Code Lines_1'!$Q$4:$Q$26,0),0)</f>
        <v>Farmingdale</v>
      </c>
      <c r="E624" s="344">
        <f ca="1">OFFSET('Zip Code Lines_1'!$W$3,MATCH('Zip Code Lines_1'!C624,'Zip Code Lines_1'!$Q$4:$Q$26,0),0)</f>
        <v>17</v>
      </c>
      <c r="F624" s="344">
        <f ca="1">OFFSET('Zip Code Lines_1'!$Z$3,MATCH('Zip Code Lines_1'!C624,'Zip Code Lines_1'!$Q$4:$Q$26,0),0)</f>
        <v>86.3</v>
      </c>
      <c r="G624" s="342">
        <f ca="1">OFFSET('Zip Code Lines_1'!$AC$3,MATCH('Zip Code Lines_1'!C624,'Zip Code Lines_1'!$Q$4:$Q$26,0),0)</f>
        <v>6</v>
      </c>
    </row>
    <row r="625" spans="1:8" x14ac:dyDescent="0.25">
      <c r="B625" s="342">
        <v>11853</v>
      </c>
      <c r="C625" s="343" t="s">
        <v>535</v>
      </c>
      <c r="D625" s="343" t="str">
        <f ca="1">OFFSET('Zip Code Lines_1'!$U$3,MATCH('Zip Code Lines_1'!C625,'Zip Code Lines_1'!$Q$4:$Q$26,0),0)</f>
        <v>Farmingdale</v>
      </c>
      <c r="E625" s="344">
        <f ca="1">OFFSET('Zip Code Lines_1'!$W$3,MATCH('Zip Code Lines_1'!C625,'Zip Code Lines_1'!$Q$4:$Q$26,0),0)</f>
        <v>17</v>
      </c>
      <c r="F625" s="344">
        <f ca="1">OFFSET('Zip Code Lines_1'!$Z$3,MATCH('Zip Code Lines_1'!C625,'Zip Code Lines_1'!$Q$4:$Q$26,0),0)</f>
        <v>86.3</v>
      </c>
      <c r="G625" s="342">
        <f ca="1">OFFSET('Zip Code Lines_1'!$AC$3,MATCH('Zip Code Lines_1'!C625,'Zip Code Lines_1'!$Q$4:$Q$26,0),0)</f>
        <v>6</v>
      </c>
      <c r="H625" s="342">
        <v>11853</v>
      </c>
    </row>
    <row r="626" spans="1:8" x14ac:dyDescent="0.25">
      <c r="A626" s="342" t="s">
        <v>720</v>
      </c>
      <c r="B626" s="342">
        <v>11854</v>
      </c>
      <c r="C626" s="366" t="s">
        <v>535</v>
      </c>
      <c r="D626" s="343" t="str">
        <f ca="1">OFFSET('Zip Code Lines_1'!$U$3,MATCH('Zip Code Lines_1'!C626,'Zip Code Lines_1'!$Q$4:$Q$26,0),0)</f>
        <v>Farmingdale</v>
      </c>
      <c r="E626" s="344">
        <f ca="1">OFFSET('Zip Code Lines_1'!$W$3,MATCH('Zip Code Lines_1'!C626,'Zip Code Lines_1'!$Q$4:$Q$26,0),0)</f>
        <v>17</v>
      </c>
      <c r="F626" s="344">
        <f ca="1">OFFSET('Zip Code Lines_1'!$Z$3,MATCH('Zip Code Lines_1'!C626,'Zip Code Lines_1'!$Q$4:$Q$26,0),0)</f>
        <v>86.3</v>
      </c>
      <c r="G626" s="342">
        <f ca="1">OFFSET('Zip Code Lines_1'!$AC$3,MATCH('Zip Code Lines_1'!C626,'Zip Code Lines_1'!$Q$4:$Q$26,0),0)</f>
        <v>6</v>
      </c>
    </row>
    <row r="627" spans="1:8" x14ac:dyDescent="0.25">
      <c r="B627" s="342">
        <v>11901</v>
      </c>
      <c r="C627" s="343" t="s">
        <v>573</v>
      </c>
      <c r="D627" s="343" t="str">
        <f ca="1">OFFSET('Zip Code Lines_1'!$U$3,MATCH('Zip Code Lines_1'!C627,'Zip Code Lines_1'!$Q$4:$Q$26,0),0)</f>
        <v>Westhampton</v>
      </c>
      <c r="E627" s="344">
        <f ca="1">OFFSET('Zip Code Lines_1'!$W$3,MATCH('Zip Code Lines_1'!C627,'Zip Code Lines_1'!$Q$4:$Q$26,0),0)</f>
        <v>12.2</v>
      </c>
      <c r="F627" s="344">
        <f ca="1">OFFSET('Zip Code Lines_1'!$Z$3,MATCH('Zip Code Lines_1'!C627,'Zip Code Lines_1'!$Q$4:$Q$26,0),0)</f>
        <v>84</v>
      </c>
      <c r="G627" s="342">
        <f ca="1">OFFSET('Zip Code Lines_1'!$AC$3,MATCH('Zip Code Lines_1'!C627,'Zip Code Lines_1'!$Q$4:$Q$26,0),0)</f>
        <v>6</v>
      </c>
      <c r="H627" s="342">
        <v>11901</v>
      </c>
    </row>
    <row r="628" spans="1:8" x14ac:dyDescent="0.25">
      <c r="B628" s="342">
        <v>11930</v>
      </c>
      <c r="C628" s="343" t="s">
        <v>573</v>
      </c>
      <c r="D628" s="343" t="str">
        <f ca="1">OFFSET('Zip Code Lines_1'!$U$3,MATCH('Zip Code Lines_1'!C628,'Zip Code Lines_1'!$Q$4:$Q$26,0),0)</f>
        <v>Westhampton</v>
      </c>
      <c r="E628" s="344">
        <f ca="1">OFFSET('Zip Code Lines_1'!$W$3,MATCH('Zip Code Lines_1'!C628,'Zip Code Lines_1'!$Q$4:$Q$26,0),0)</f>
        <v>12.2</v>
      </c>
      <c r="F628" s="344">
        <f ca="1">OFFSET('Zip Code Lines_1'!$Z$3,MATCH('Zip Code Lines_1'!C628,'Zip Code Lines_1'!$Q$4:$Q$26,0),0)</f>
        <v>84</v>
      </c>
      <c r="G628" s="342">
        <f ca="1">OFFSET('Zip Code Lines_1'!$AC$3,MATCH('Zip Code Lines_1'!C628,'Zip Code Lines_1'!$Q$4:$Q$26,0),0)</f>
        <v>6</v>
      </c>
      <c r="H628" s="342">
        <v>11930</v>
      </c>
    </row>
    <row r="629" spans="1:8" x14ac:dyDescent="0.25">
      <c r="B629" s="342">
        <v>11931</v>
      </c>
      <c r="C629" s="343" t="s">
        <v>573</v>
      </c>
      <c r="D629" s="343" t="str">
        <f ca="1">OFFSET('Zip Code Lines_1'!$U$3,MATCH('Zip Code Lines_1'!C629,'Zip Code Lines_1'!$Q$4:$Q$26,0),0)</f>
        <v>Westhampton</v>
      </c>
      <c r="E629" s="344">
        <f ca="1">OFFSET('Zip Code Lines_1'!$W$3,MATCH('Zip Code Lines_1'!C629,'Zip Code Lines_1'!$Q$4:$Q$26,0),0)</f>
        <v>12.2</v>
      </c>
      <c r="F629" s="344">
        <f ca="1">OFFSET('Zip Code Lines_1'!$Z$3,MATCH('Zip Code Lines_1'!C629,'Zip Code Lines_1'!$Q$4:$Q$26,0),0)</f>
        <v>84</v>
      </c>
      <c r="G629" s="342">
        <f ca="1">OFFSET('Zip Code Lines_1'!$AC$3,MATCH('Zip Code Lines_1'!C629,'Zip Code Lines_1'!$Q$4:$Q$26,0),0)</f>
        <v>6</v>
      </c>
      <c r="H629" s="342">
        <v>11931</v>
      </c>
    </row>
    <row r="630" spans="1:8" x14ac:dyDescent="0.25">
      <c r="B630" s="342">
        <v>11932</v>
      </c>
      <c r="C630" s="343" t="s">
        <v>573</v>
      </c>
      <c r="D630" s="343" t="str">
        <f ca="1">OFFSET('Zip Code Lines_1'!$U$3,MATCH('Zip Code Lines_1'!C630,'Zip Code Lines_1'!$Q$4:$Q$26,0),0)</f>
        <v>Westhampton</v>
      </c>
      <c r="E630" s="344">
        <f ca="1">OFFSET('Zip Code Lines_1'!$W$3,MATCH('Zip Code Lines_1'!C630,'Zip Code Lines_1'!$Q$4:$Q$26,0),0)</f>
        <v>12.2</v>
      </c>
      <c r="F630" s="344">
        <f ca="1">OFFSET('Zip Code Lines_1'!$Z$3,MATCH('Zip Code Lines_1'!C630,'Zip Code Lines_1'!$Q$4:$Q$26,0),0)</f>
        <v>84</v>
      </c>
      <c r="G630" s="342">
        <f ca="1">OFFSET('Zip Code Lines_1'!$AC$3,MATCH('Zip Code Lines_1'!C630,'Zip Code Lines_1'!$Q$4:$Q$26,0),0)</f>
        <v>6</v>
      </c>
      <c r="H630" s="342">
        <v>11932</v>
      </c>
    </row>
    <row r="631" spans="1:8" x14ac:dyDescent="0.25">
      <c r="B631" s="342">
        <v>11933</v>
      </c>
      <c r="C631" s="343" t="s">
        <v>573</v>
      </c>
      <c r="D631" s="343" t="str">
        <f ca="1">OFFSET('Zip Code Lines_1'!$U$3,MATCH('Zip Code Lines_1'!C631,'Zip Code Lines_1'!$Q$4:$Q$26,0),0)</f>
        <v>Westhampton</v>
      </c>
      <c r="E631" s="344">
        <f ca="1">OFFSET('Zip Code Lines_1'!$W$3,MATCH('Zip Code Lines_1'!C631,'Zip Code Lines_1'!$Q$4:$Q$26,0),0)</f>
        <v>12.2</v>
      </c>
      <c r="F631" s="344">
        <f ca="1">OFFSET('Zip Code Lines_1'!$Z$3,MATCH('Zip Code Lines_1'!C631,'Zip Code Lines_1'!$Q$4:$Q$26,0),0)</f>
        <v>84</v>
      </c>
      <c r="G631" s="342">
        <f ca="1">OFFSET('Zip Code Lines_1'!$AC$3,MATCH('Zip Code Lines_1'!C631,'Zip Code Lines_1'!$Q$4:$Q$26,0),0)</f>
        <v>6</v>
      </c>
      <c r="H631" s="342">
        <v>11933</v>
      </c>
    </row>
    <row r="632" spans="1:8" x14ac:dyDescent="0.25">
      <c r="B632" s="342">
        <v>11934</v>
      </c>
      <c r="C632" s="343" t="s">
        <v>573</v>
      </c>
      <c r="D632" s="343" t="str">
        <f ca="1">OFFSET('Zip Code Lines_1'!$U$3,MATCH('Zip Code Lines_1'!C632,'Zip Code Lines_1'!$Q$4:$Q$26,0),0)</f>
        <v>Westhampton</v>
      </c>
      <c r="E632" s="344">
        <f ca="1">OFFSET('Zip Code Lines_1'!$W$3,MATCH('Zip Code Lines_1'!C632,'Zip Code Lines_1'!$Q$4:$Q$26,0),0)</f>
        <v>12.2</v>
      </c>
      <c r="F632" s="344">
        <f ca="1">OFFSET('Zip Code Lines_1'!$Z$3,MATCH('Zip Code Lines_1'!C632,'Zip Code Lines_1'!$Q$4:$Q$26,0),0)</f>
        <v>84</v>
      </c>
      <c r="G632" s="342">
        <f ca="1">OFFSET('Zip Code Lines_1'!$AC$3,MATCH('Zip Code Lines_1'!C632,'Zip Code Lines_1'!$Q$4:$Q$26,0),0)</f>
        <v>6</v>
      </c>
      <c r="H632" s="342">
        <v>11934</v>
      </c>
    </row>
    <row r="633" spans="1:8" x14ac:dyDescent="0.25">
      <c r="B633" s="342">
        <v>11935</v>
      </c>
      <c r="C633" s="343" t="s">
        <v>573</v>
      </c>
      <c r="D633" s="343" t="str">
        <f ca="1">OFFSET('Zip Code Lines_1'!$U$3,MATCH('Zip Code Lines_1'!C633,'Zip Code Lines_1'!$Q$4:$Q$26,0),0)</f>
        <v>Westhampton</v>
      </c>
      <c r="E633" s="344">
        <f ca="1">OFFSET('Zip Code Lines_1'!$W$3,MATCH('Zip Code Lines_1'!C633,'Zip Code Lines_1'!$Q$4:$Q$26,0),0)</f>
        <v>12.2</v>
      </c>
      <c r="F633" s="344">
        <f ca="1">OFFSET('Zip Code Lines_1'!$Z$3,MATCH('Zip Code Lines_1'!C633,'Zip Code Lines_1'!$Q$4:$Q$26,0),0)</f>
        <v>84</v>
      </c>
      <c r="G633" s="342">
        <f ca="1">OFFSET('Zip Code Lines_1'!$AC$3,MATCH('Zip Code Lines_1'!C633,'Zip Code Lines_1'!$Q$4:$Q$26,0),0)</f>
        <v>6</v>
      </c>
      <c r="H633" s="342">
        <v>11935</v>
      </c>
    </row>
    <row r="634" spans="1:8" x14ac:dyDescent="0.25">
      <c r="B634" s="342">
        <v>11937</v>
      </c>
      <c r="C634" s="343" t="s">
        <v>573</v>
      </c>
      <c r="D634" s="343" t="str">
        <f ca="1">OFFSET('Zip Code Lines_1'!$U$3,MATCH('Zip Code Lines_1'!C634,'Zip Code Lines_1'!$Q$4:$Q$26,0),0)</f>
        <v>Westhampton</v>
      </c>
      <c r="E634" s="344">
        <f ca="1">OFFSET('Zip Code Lines_1'!$W$3,MATCH('Zip Code Lines_1'!C634,'Zip Code Lines_1'!$Q$4:$Q$26,0),0)</f>
        <v>12.2</v>
      </c>
      <c r="F634" s="344">
        <f ca="1">OFFSET('Zip Code Lines_1'!$Z$3,MATCH('Zip Code Lines_1'!C634,'Zip Code Lines_1'!$Q$4:$Q$26,0),0)</f>
        <v>84</v>
      </c>
      <c r="G634" s="342">
        <f ca="1">OFFSET('Zip Code Lines_1'!$AC$3,MATCH('Zip Code Lines_1'!C634,'Zip Code Lines_1'!$Q$4:$Q$26,0),0)</f>
        <v>6</v>
      </c>
      <c r="H634" s="342">
        <v>11937</v>
      </c>
    </row>
    <row r="635" spans="1:8" x14ac:dyDescent="0.25">
      <c r="B635" s="342">
        <v>11939</v>
      </c>
      <c r="C635" s="343" t="s">
        <v>573</v>
      </c>
      <c r="D635" s="343" t="str">
        <f ca="1">OFFSET('Zip Code Lines_1'!$U$3,MATCH('Zip Code Lines_1'!C635,'Zip Code Lines_1'!$Q$4:$Q$26,0),0)</f>
        <v>Westhampton</v>
      </c>
      <c r="E635" s="344">
        <f ca="1">OFFSET('Zip Code Lines_1'!$W$3,MATCH('Zip Code Lines_1'!C635,'Zip Code Lines_1'!$Q$4:$Q$26,0),0)</f>
        <v>12.2</v>
      </c>
      <c r="F635" s="344">
        <f ca="1">OFFSET('Zip Code Lines_1'!$Z$3,MATCH('Zip Code Lines_1'!C635,'Zip Code Lines_1'!$Q$4:$Q$26,0),0)</f>
        <v>84</v>
      </c>
      <c r="G635" s="342">
        <f ca="1">OFFSET('Zip Code Lines_1'!$AC$3,MATCH('Zip Code Lines_1'!C635,'Zip Code Lines_1'!$Q$4:$Q$26,0),0)</f>
        <v>6</v>
      </c>
      <c r="H635" s="342">
        <v>11939</v>
      </c>
    </row>
    <row r="636" spans="1:8" x14ac:dyDescent="0.25">
      <c r="B636" s="342">
        <v>11940</v>
      </c>
      <c r="C636" s="343" t="s">
        <v>573</v>
      </c>
      <c r="D636" s="343" t="str">
        <f ca="1">OFFSET('Zip Code Lines_1'!$U$3,MATCH('Zip Code Lines_1'!C636,'Zip Code Lines_1'!$Q$4:$Q$26,0),0)</f>
        <v>Westhampton</v>
      </c>
      <c r="E636" s="344">
        <f ca="1">OFFSET('Zip Code Lines_1'!$W$3,MATCH('Zip Code Lines_1'!C636,'Zip Code Lines_1'!$Q$4:$Q$26,0),0)</f>
        <v>12.2</v>
      </c>
      <c r="F636" s="344">
        <f ca="1">OFFSET('Zip Code Lines_1'!$Z$3,MATCH('Zip Code Lines_1'!C636,'Zip Code Lines_1'!$Q$4:$Q$26,0),0)</f>
        <v>84</v>
      </c>
      <c r="G636" s="342">
        <f ca="1">OFFSET('Zip Code Lines_1'!$AC$3,MATCH('Zip Code Lines_1'!C636,'Zip Code Lines_1'!$Q$4:$Q$26,0),0)</f>
        <v>6</v>
      </c>
      <c r="H636" s="342">
        <v>11940</v>
      </c>
    </row>
    <row r="637" spans="1:8" x14ac:dyDescent="0.25">
      <c r="B637" s="342">
        <v>11941</v>
      </c>
      <c r="C637" s="343" t="s">
        <v>573</v>
      </c>
      <c r="D637" s="343" t="str">
        <f ca="1">OFFSET('Zip Code Lines_1'!$U$3,MATCH('Zip Code Lines_1'!C637,'Zip Code Lines_1'!$Q$4:$Q$26,0),0)</f>
        <v>Westhampton</v>
      </c>
      <c r="E637" s="344">
        <f ca="1">OFFSET('Zip Code Lines_1'!$W$3,MATCH('Zip Code Lines_1'!C637,'Zip Code Lines_1'!$Q$4:$Q$26,0),0)</f>
        <v>12.2</v>
      </c>
      <c r="F637" s="344">
        <f ca="1">OFFSET('Zip Code Lines_1'!$Z$3,MATCH('Zip Code Lines_1'!C637,'Zip Code Lines_1'!$Q$4:$Q$26,0),0)</f>
        <v>84</v>
      </c>
      <c r="G637" s="342">
        <f ca="1">OFFSET('Zip Code Lines_1'!$AC$3,MATCH('Zip Code Lines_1'!C637,'Zip Code Lines_1'!$Q$4:$Q$26,0),0)</f>
        <v>6</v>
      </c>
      <c r="H637" s="342">
        <v>11941</v>
      </c>
    </row>
    <row r="638" spans="1:8" x14ac:dyDescent="0.25">
      <c r="B638" s="342">
        <v>11942</v>
      </c>
      <c r="C638" s="343" t="s">
        <v>573</v>
      </c>
      <c r="D638" s="343" t="str">
        <f ca="1">OFFSET('Zip Code Lines_1'!$U$3,MATCH('Zip Code Lines_1'!C638,'Zip Code Lines_1'!$Q$4:$Q$26,0),0)</f>
        <v>Westhampton</v>
      </c>
      <c r="E638" s="344">
        <f ca="1">OFFSET('Zip Code Lines_1'!$W$3,MATCH('Zip Code Lines_1'!C638,'Zip Code Lines_1'!$Q$4:$Q$26,0),0)</f>
        <v>12.2</v>
      </c>
      <c r="F638" s="344">
        <f ca="1">OFFSET('Zip Code Lines_1'!$Z$3,MATCH('Zip Code Lines_1'!C638,'Zip Code Lines_1'!$Q$4:$Q$26,0),0)</f>
        <v>84</v>
      </c>
      <c r="G638" s="342">
        <f ca="1">OFFSET('Zip Code Lines_1'!$AC$3,MATCH('Zip Code Lines_1'!C638,'Zip Code Lines_1'!$Q$4:$Q$26,0),0)</f>
        <v>6</v>
      </c>
      <c r="H638" s="342">
        <v>11942</v>
      </c>
    </row>
    <row r="639" spans="1:8" x14ac:dyDescent="0.25">
      <c r="B639" s="342">
        <v>11944</v>
      </c>
      <c r="C639" s="343" t="s">
        <v>573</v>
      </c>
      <c r="D639" s="343" t="str">
        <f ca="1">OFFSET('Zip Code Lines_1'!$U$3,MATCH('Zip Code Lines_1'!C639,'Zip Code Lines_1'!$Q$4:$Q$26,0),0)</f>
        <v>Westhampton</v>
      </c>
      <c r="E639" s="344">
        <f ca="1">OFFSET('Zip Code Lines_1'!$W$3,MATCH('Zip Code Lines_1'!C639,'Zip Code Lines_1'!$Q$4:$Q$26,0),0)</f>
        <v>12.2</v>
      </c>
      <c r="F639" s="344">
        <f ca="1">OFFSET('Zip Code Lines_1'!$Z$3,MATCH('Zip Code Lines_1'!C639,'Zip Code Lines_1'!$Q$4:$Q$26,0),0)</f>
        <v>84</v>
      </c>
      <c r="G639" s="342">
        <f ca="1">OFFSET('Zip Code Lines_1'!$AC$3,MATCH('Zip Code Lines_1'!C639,'Zip Code Lines_1'!$Q$4:$Q$26,0),0)</f>
        <v>6</v>
      </c>
      <c r="H639" s="342">
        <v>11944</v>
      </c>
    </row>
    <row r="640" spans="1:8" x14ac:dyDescent="0.25">
      <c r="B640" s="342">
        <v>11946</v>
      </c>
      <c r="C640" s="343" t="s">
        <v>573</v>
      </c>
      <c r="D640" s="343" t="str">
        <f ca="1">OFFSET('Zip Code Lines_1'!$U$3,MATCH('Zip Code Lines_1'!C640,'Zip Code Lines_1'!$Q$4:$Q$26,0),0)</f>
        <v>Westhampton</v>
      </c>
      <c r="E640" s="344">
        <f ca="1">OFFSET('Zip Code Lines_1'!$W$3,MATCH('Zip Code Lines_1'!C640,'Zip Code Lines_1'!$Q$4:$Q$26,0),0)</f>
        <v>12.2</v>
      </c>
      <c r="F640" s="344">
        <f ca="1">OFFSET('Zip Code Lines_1'!$Z$3,MATCH('Zip Code Lines_1'!C640,'Zip Code Lines_1'!$Q$4:$Q$26,0),0)</f>
        <v>84</v>
      </c>
      <c r="G640" s="342">
        <f ca="1">OFFSET('Zip Code Lines_1'!$AC$3,MATCH('Zip Code Lines_1'!C640,'Zip Code Lines_1'!$Q$4:$Q$26,0),0)</f>
        <v>6</v>
      </c>
      <c r="H640" s="342">
        <v>11946</v>
      </c>
    </row>
    <row r="641" spans="2:8" x14ac:dyDescent="0.25">
      <c r="B641" s="342">
        <v>11947</v>
      </c>
      <c r="C641" s="343" t="s">
        <v>573</v>
      </c>
      <c r="D641" s="343" t="str">
        <f ca="1">OFFSET('Zip Code Lines_1'!$U$3,MATCH('Zip Code Lines_1'!C641,'Zip Code Lines_1'!$Q$4:$Q$26,0),0)</f>
        <v>Westhampton</v>
      </c>
      <c r="E641" s="344">
        <f ca="1">OFFSET('Zip Code Lines_1'!$W$3,MATCH('Zip Code Lines_1'!C641,'Zip Code Lines_1'!$Q$4:$Q$26,0),0)</f>
        <v>12.2</v>
      </c>
      <c r="F641" s="344">
        <f ca="1">OFFSET('Zip Code Lines_1'!$Z$3,MATCH('Zip Code Lines_1'!C641,'Zip Code Lines_1'!$Q$4:$Q$26,0),0)</f>
        <v>84</v>
      </c>
      <c r="G641" s="342">
        <f ca="1">OFFSET('Zip Code Lines_1'!$AC$3,MATCH('Zip Code Lines_1'!C641,'Zip Code Lines_1'!$Q$4:$Q$26,0),0)</f>
        <v>6</v>
      </c>
      <c r="H641" s="342">
        <v>11947</v>
      </c>
    </row>
    <row r="642" spans="2:8" x14ac:dyDescent="0.25">
      <c r="B642" s="342">
        <v>11948</v>
      </c>
      <c r="C642" s="343" t="s">
        <v>573</v>
      </c>
      <c r="D642" s="343" t="str">
        <f ca="1">OFFSET('Zip Code Lines_1'!$U$3,MATCH('Zip Code Lines_1'!C642,'Zip Code Lines_1'!$Q$4:$Q$26,0),0)</f>
        <v>Westhampton</v>
      </c>
      <c r="E642" s="344">
        <f ca="1">OFFSET('Zip Code Lines_1'!$W$3,MATCH('Zip Code Lines_1'!C642,'Zip Code Lines_1'!$Q$4:$Q$26,0),0)</f>
        <v>12.2</v>
      </c>
      <c r="F642" s="344">
        <f ca="1">OFFSET('Zip Code Lines_1'!$Z$3,MATCH('Zip Code Lines_1'!C642,'Zip Code Lines_1'!$Q$4:$Q$26,0),0)</f>
        <v>84</v>
      </c>
      <c r="G642" s="342">
        <f ca="1">OFFSET('Zip Code Lines_1'!$AC$3,MATCH('Zip Code Lines_1'!C642,'Zip Code Lines_1'!$Q$4:$Q$26,0),0)</f>
        <v>6</v>
      </c>
      <c r="H642" s="342">
        <v>11948</v>
      </c>
    </row>
    <row r="643" spans="2:8" x14ac:dyDescent="0.25">
      <c r="B643" s="342">
        <v>11949</v>
      </c>
      <c r="C643" s="343" t="s">
        <v>545</v>
      </c>
      <c r="D643" s="343" t="str">
        <f ca="1">OFFSET('Zip Code Lines_1'!$U$3,MATCH('Zip Code Lines_1'!C643,'Zip Code Lines_1'!$Q$4:$Q$26,0),0)</f>
        <v>Islip</v>
      </c>
      <c r="E643" s="344">
        <f ca="1">OFFSET('Zip Code Lines_1'!$W$3,MATCH('Zip Code Lines_1'!C643,'Zip Code Lines_1'!$Q$4:$Q$26,0),0)</f>
        <v>15.9</v>
      </c>
      <c r="F643" s="344">
        <f ca="1">OFFSET('Zip Code Lines_1'!$Z$3,MATCH('Zip Code Lines_1'!C643,'Zip Code Lines_1'!$Q$4:$Q$26,0),0)</f>
        <v>85.7</v>
      </c>
      <c r="G643" s="342">
        <f ca="1">OFFSET('Zip Code Lines_1'!$AC$3,MATCH('Zip Code Lines_1'!C643,'Zip Code Lines_1'!$Q$4:$Q$26,0),0)</f>
        <v>6</v>
      </c>
      <c r="H643" s="342">
        <v>11949</v>
      </c>
    </row>
    <row r="644" spans="2:8" x14ac:dyDescent="0.25">
      <c r="B644" s="342">
        <v>11950</v>
      </c>
      <c r="C644" s="343" t="s">
        <v>545</v>
      </c>
      <c r="D644" s="343" t="str">
        <f ca="1">OFFSET('Zip Code Lines_1'!$U$3,MATCH('Zip Code Lines_1'!C644,'Zip Code Lines_1'!$Q$4:$Q$26,0),0)</f>
        <v>Islip</v>
      </c>
      <c r="E644" s="344">
        <f ca="1">OFFSET('Zip Code Lines_1'!$W$3,MATCH('Zip Code Lines_1'!C644,'Zip Code Lines_1'!$Q$4:$Q$26,0),0)</f>
        <v>15.9</v>
      </c>
      <c r="F644" s="344">
        <f ca="1">OFFSET('Zip Code Lines_1'!$Z$3,MATCH('Zip Code Lines_1'!C644,'Zip Code Lines_1'!$Q$4:$Q$26,0),0)</f>
        <v>85.7</v>
      </c>
      <c r="G644" s="342">
        <f ca="1">OFFSET('Zip Code Lines_1'!$AC$3,MATCH('Zip Code Lines_1'!C644,'Zip Code Lines_1'!$Q$4:$Q$26,0),0)</f>
        <v>6</v>
      </c>
      <c r="H644" s="342">
        <v>11950</v>
      </c>
    </row>
    <row r="645" spans="2:8" x14ac:dyDescent="0.25">
      <c r="B645" s="342">
        <v>11951</v>
      </c>
      <c r="C645" s="343" t="s">
        <v>545</v>
      </c>
      <c r="D645" s="343" t="str">
        <f ca="1">OFFSET('Zip Code Lines_1'!$U$3,MATCH('Zip Code Lines_1'!C645,'Zip Code Lines_1'!$Q$4:$Q$26,0),0)</f>
        <v>Islip</v>
      </c>
      <c r="E645" s="344">
        <f ca="1">OFFSET('Zip Code Lines_1'!$W$3,MATCH('Zip Code Lines_1'!C645,'Zip Code Lines_1'!$Q$4:$Q$26,0),0)</f>
        <v>15.9</v>
      </c>
      <c r="F645" s="344">
        <f ca="1">OFFSET('Zip Code Lines_1'!$Z$3,MATCH('Zip Code Lines_1'!C645,'Zip Code Lines_1'!$Q$4:$Q$26,0),0)</f>
        <v>85.7</v>
      </c>
      <c r="G645" s="342">
        <f ca="1">OFFSET('Zip Code Lines_1'!$AC$3,MATCH('Zip Code Lines_1'!C645,'Zip Code Lines_1'!$Q$4:$Q$26,0),0)</f>
        <v>6</v>
      </c>
      <c r="H645" s="342">
        <v>11951</v>
      </c>
    </row>
    <row r="646" spans="2:8" x14ac:dyDescent="0.25">
      <c r="B646" s="342">
        <v>11952</v>
      </c>
      <c r="C646" s="343" t="s">
        <v>573</v>
      </c>
      <c r="D646" s="343" t="str">
        <f ca="1">OFFSET('Zip Code Lines_1'!$U$3,MATCH('Zip Code Lines_1'!C646,'Zip Code Lines_1'!$Q$4:$Q$26,0),0)</f>
        <v>Westhampton</v>
      </c>
      <c r="E646" s="344">
        <f ca="1">OFFSET('Zip Code Lines_1'!$W$3,MATCH('Zip Code Lines_1'!C646,'Zip Code Lines_1'!$Q$4:$Q$26,0),0)</f>
        <v>12.2</v>
      </c>
      <c r="F646" s="344">
        <f ca="1">OFFSET('Zip Code Lines_1'!$Z$3,MATCH('Zip Code Lines_1'!C646,'Zip Code Lines_1'!$Q$4:$Q$26,0),0)</f>
        <v>84</v>
      </c>
      <c r="G646" s="342">
        <f ca="1">OFFSET('Zip Code Lines_1'!$AC$3,MATCH('Zip Code Lines_1'!C646,'Zip Code Lines_1'!$Q$4:$Q$26,0),0)</f>
        <v>6</v>
      </c>
      <c r="H646" s="342">
        <v>11952</v>
      </c>
    </row>
    <row r="647" spans="2:8" x14ac:dyDescent="0.25">
      <c r="B647" s="342">
        <v>11953</v>
      </c>
      <c r="C647" s="343" t="s">
        <v>545</v>
      </c>
      <c r="D647" s="343" t="str">
        <f ca="1">OFFSET('Zip Code Lines_1'!$U$3,MATCH('Zip Code Lines_1'!C647,'Zip Code Lines_1'!$Q$4:$Q$26,0),0)</f>
        <v>Islip</v>
      </c>
      <c r="E647" s="344">
        <f ca="1">OFFSET('Zip Code Lines_1'!$W$3,MATCH('Zip Code Lines_1'!C647,'Zip Code Lines_1'!$Q$4:$Q$26,0),0)</f>
        <v>15.9</v>
      </c>
      <c r="F647" s="344">
        <f ca="1">OFFSET('Zip Code Lines_1'!$Z$3,MATCH('Zip Code Lines_1'!C647,'Zip Code Lines_1'!$Q$4:$Q$26,0),0)</f>
        <v>85.7</v>
      </c>
      <c r="G647" s="342">
        <f ca="1">OFFSET('Zip Code Lines_1'!$AC$3,MATCH('Zip Code Lines_1'!C647,'Zip Code Lines_1'!$Q$4:$Q$26,0),0)</f>
        <v>6</v>
      </c>
      <c r="H647" s="342">
        <v>11953</v>
      </c>
    </row>
    <row r="648" spans="2:8" x14ac:dyDescent="0.25">
      <c r="B648" s="342">
        <v>11954</v>
      </c>
      <c r="C648" s="343" t="s">
        <v>573</v>
      </c>
      <c r="D648" s="343" t="str">
        <f ca="1">OFFSET('Zip Code Lines_1'!$U$3,MATCH('Zip Code Lines_1'!C648,'Zip Code Lines_1'!$Q$4:$Q$26,0),0)</f>
        <v>Westhampton</v>
      </c>
      <c r="E648" s="344">
        <f ca="1">OFFSET('Zip Code Lines_1'!$W$3,MATCH('Zip Code Lines_1'!C648,'Zip Code Lines_1'!$Q$4:$Q$26,0),0)</f>
        <v>12.2</v>
      </c>
      <c r="F648" s="344">
        <f ca="1">OFFSET('Zip Code Lines_1'!$Z$3,MATCH('Zip Code Lines_1'!C648,'Zip Code Lines_1'!$Q$4:$Q$26,0),0)</f>
        <v>84</v>
      </c>
      <c r="G648" s="342">
        <f ca="1">OFFSET('Zip Code Lines_1'!$AC$3,MATCH('Zip Code Lines_1'!C648,'Zip Code Lines_1'!$Q$4:$Q$26,0),0)</f>
        <v>6</v>
      </c>
      <c r="H648" s="342">
        <v>11954</v>
      </c>
    </row>
    <row r="649" spans="2:8" x14ac:dyDescent="0.25">
      <c r="B649" s="342">
        <v>11955</v>
      </c>
      <c r="C649" s="343" t="s">
        <v>545</v>
      </c>
      <c r="D649" s="343" t="str">
        <f ca="1">OFFSET('Zip Code Lines_1'!$U$3,MATCH('Zip Code Lines_1'!C649,'Zip Code Lines_1'!$Q$4:$Q$26,0),0)</f>
        <v>Islip</v>
      </c>
      <c r="E649" s="344">
        <f ca="1">OFFSET('Zip Code Lines_1'!$W$3,MATCH('Zip Code Lines_1'!C649,'Zip Code Lines_1'!$Q$4:$Q$26,0),0)</f>
        <v>15.9</v>
      </c>
      <c r="F649" s="344">
        <f ca="1">OFFSET('Zip Code Lines_1'!$Z$3,MATCH('Zip Code Lines_1'!C649,'Zip Code Lines_1'!$Q$4:$Q$26,0),0)</f>
        <v>85.7</v>
      </c>
      <c r="G649" s="342">
        <f ca="1">OFFSET('Zip Code Lines_1'!$AC$3,MATCH('Zip Code Lines_1'!C649,'Zip Code Lines_1'!$Q$4:$Q$26,0),0)</f>
        <v>6</v>
      </c>
      <c r="H649" s="342">
        <v>11955</v>
      </c>
    </row>
    <row r="650" spans="2:8" x14ac:dyDescent="0.25">
      <c r="B650" s="342">
        <v>11956</v>
      </c>
      <c r="C650" s="343" t="s">
        <v>573</v>
      </c>
      <c r="D650" s="343" t="str">
        <f ca="1">OFFSET('Zip Code Lines_1'!$U$3,MATCH('Zip Code Lines_1'!C650,'Zip Code Lines_1'!$Q$4:$Q$26,0),0)</f>
        <v>Westhampton</v>
      </c>
      <c r="E650" s="344">
        <f ca="1">OFFSET('Zip Code Lines_1'!$W$3,MATCH('Zip Code Lines_1'!C650,'Zip Code Lines_1'!$Q$4:$Q$26,0),0)</f>
        <v>12.2</v>
      </c>
      <c r="F650" s="344">
        <f ca="1">OFFSET('Zip Code Lines_1'!$Z$3,MATCH('Zip Code Lines_1'!C650,'Zip Code Lines_1'!$Q$4:$Q$26,0),0)</f>
        <v>84</v>
      </c>
      <c r="G650" s="342">
        <f ca="1">OFFSET('Zip Code Lines_1'!$AC$3,MATCH('Zip Code Lines_1'!C650,'Zip Code Lines_1'!$Q$4:$Q$26,0),0)</f>
        <v>6</v>
      </c>
      <c r="H650" s="342">
        <v>11956</v>
      </c>
    </row>
    <row r="651" spans="2:8" x14ac:dyDescent="0.25">
      <c r="B651" s="342">
        <v>11957</v>
      </c>
      <c r="C651" s="343" t="s">
        <v>573</v>
      </c>
      <c r="D651" s="343" t="str">
        <f ca="1">OFFSET('Zip Code Lines_1'!$U$3,MATCH('Zip Code Lines_1'!C651,'Zip Code Lines_1'!$Q$4:$Q$26,0),0)</f>
        <v>Westhampton</v>
      </c>
      <c r="E651" s="344">
        <f ca="1">OFFSET('Zip Code Lines_1'!$W$3,MATCH('Zip Code Lines_1'!C651,'Zip Code Lines_1'!$Q$4:$Q$26,0),0)</f>
        <v>12.2</v>
      </c>
      <c r="F651" s="344">
        <f ca="1">OFFSET('Zip Code Lines_1'!$Z$3,MATCH('Zip Code Lines_1'!C651,'Zip Code Lines_1'!$Q$4:$Q$26,0),0)</f>
        <v>84</v>
      </c>
      <c r="G651" s="342">
        <f ca="1">OFFSET('Zip Code Lines_1'!$AC$3,MATCH('Zip Code Lines_1'!C651,'Zip Code Lines_1'!$Q$4:$Q$26,0),0)</f>
        <v>6</v>
      </c>
      <c r="H651" s="342">
        <v>11957</v>
      </c>
    </row>
    <row r="652" spans="2:8" x14ac:dyDescent="0.25">
      <c r="B652" s="342">
        <v>11958</v>
      </c>
      <c r="C652" s="343" t="s">
        <v>573</v>
      </c>
      <c r="D652" s="343" t="str">
        <f ca="1">OFFSET('Zip Code Lines_1'!$U$3,MATCH('Zip Code Lines_1'!C652,'Zip Code Lines_1'!$Q$4:$Q$26,0),0)</f>
        <v>Westhampton</v>
      </c>
      <c r="E652" s="344">
        <f ca="1">OFFSET('Zip Code Lines_1'!$W$3,MATCH('Zip Code Lines_1'!C652,'Zip Code Lines_1'!$Q$4:$Q$26,0),0)</f>
        <v>12.2</v>
      </c>
      <c r="F652" s="344">
        <f ca="1">OFFSET('Zip Code Lines_1'!$Z$3,MATCH('Zip Code Lines_1'!C652,'Zip Code Lines_1'!$Q$4:$Q$26,0),0)</f>
        <v>84</v>
      </c>
      <c r="G652" s="342">
        <f ca="1">OFFSET('Zip Code Lines_1'!$AC$3,MATCH('Zip Code Lines_1'!C652,'Zip Code Lines_1'!$Q$4:$Q$26,0),0)</f>
        <v>6</v>
      </c>
      <c r="H652" s="342">
        <v>11958</v>
      </c>
    </row>
    <row r="653" spans="2:8" x14ac:dyDescent="0.25">
      <c r="B653" s="342">
        <v>11959</v>
      </c>
      <c r="C653" s="343" t="s">
        <v>573</v>
      </c>
      <c r="D653" s="343" t="str">
        <f ca="1">OFFSET('Zip Code Lines_1'!$U$3,MATCH('Zip Code Lines_1'!C653,'Zip Code Lines_1'!$Q$4:$Q$26,0),0)</f>
        <v>Westhampton</v>
      </c>
      <c r="E653" s="344">
        <f ca="1">OFFSET('Zip Code Lines_1'!$W$3,MATCH('Zip Code Lines_1'!C653,'Zip Code Lines_1'!$Q$4:$Q$26,0),0)</f>
        <v>12.2</v>
      </c>
      <c r="F653" s="344">
        <f ca="1">OFFSET('Zip Code Lines_1'!$Z$3,MATCH('Zip Code Lines_1'!C653,'Zip Code Lines_1'!$Q$4:$Q$26,0),0)</f>
        <v>84</v>
      </c>
      <c r="G653" s="342">
        <f ca="1">OFFSET('Zip Code Lines_1'!$AC$3,MATCH('Zip Code Lines_1'!C653,'Zip Code Lines_1'!$Q$4:$Q$26,0),0)</f>
        <v>6</v>
      </c>
      <c r="H653" s="342">
        <v>11959</v>
      </c>
    </row>
    <row r="654" spans="2:8" x14ac:dyDescent="0.25">
      <c r="B654" s="342">
        <v>11960</v>
      </c>
      <c r="C654" s="343" t="s">
        <v>573</v>
      </c>
      <c r="D654" s="343" t="str">
        <f ca="1">OFFSET('Zip Code Lines_1'!$U$3,MATCH('Zip Code Lines_1'!C654,'Zip Code Lines_1'!$Q$4:$Q$26,0),0)</f>
        <v>Westhampton</v>
      </c>
      <c r="E654" s="344">
        <f ca="1">OFFSET('Zip Code Lines_1'!$W$3,MATCH('Zip Code Lines_1'!C654,'Zip Code Lines_1'!$Q$4:$Q$26,0),0)</f>
        <v>12.2</v>
      </c>
      <c r="F654" s="344">
        <f ca="1">OFFSET('Zip Code Lines_1'!$Z$3,MATCH('Zip Code Lines_1'!C654,'Zip Code Lines_1'!$Q$4:$Q$26,0),0)</f>
        <v>84</v>
      </c>
      <c r="G654" s="342">
        <f ca="1">OFFSET('Zip Code Lines_1'!$AC$3,MATCH('Zip Code Lines_1'!C654,'Zip Code Lines_1'!$Q$4:$Q$26,0),0)</f>
        <v>6</v>
      </c>
      <c r="H654" s="342">
        <v>11960</v>
      </c>
    </row>
    <row r="655" spans="2:8" x14ac:dyDescent="0.25">
      <c r="B655" s="342">
        <v>11961</v>
      </c>
      <c r="C655" s="343" t="s">
        <v>535</v>
      </c>
      <c r="D655" s="343" t="str">
        <f ca="1">OFFSET('Zip Code Lines_1'!$U$3,MATCH('Zip Code Lines_1'!C655,'Zip Code Lines_1'!$Q$4:$Q$26,0),0)</f>
        <v>Farmingdale</v>
      </c>
      <c r="E655" s="344">
        <f ca="1">OFFSET('Zip Code Lines_1'!$W$3,MATCH('Zip Code Lines_1'!C655,'Zip Code Lines_1'!$Q$4:$Q$26,0),0)</f>
        <v>17</v>
      </c>
      <c r="F655" s="344">
        <f ca="1">OFFSET('Zip Code Lines_1'!$Z$3,MATCH('Zip Code Lines_1'!C655,'Zip Code Lines_1'!$Q$4:$Q$26,0),0)</f>
        <v>86.3</v>
      </c>
      <c r="G655" s="342">
        <f ca="1">OFFSET('Zip Code Lines_1'!$AC$3,MATCH('Zip Code Lines_1'!C655,'Zip Code Lines_1'!$Q$4:$Q$26,0),0)</f>
        <v>6</v>
      </c>
      <c r="H655" s="342">
        <v>11961</v>
      </c>
    </row>
    <row r="656" spans="2:8" x14ac:dyDescent="0.25">
      <c r="B656" s="342">
        <v>11962</v>
      </c>
      <c r="C656" s="343" t="s">
        <v>573</v>
      </c>
      <c r="D656" s="343" t="str">
        <f ca="1">OFFSET('Zip Code Lines_1'!$U$3,MATCH('Zip Code Lines_1'!C656,'Zip Code Lines_1'!$Q$4:$Q$26,0),0)</f>
        <v>Westhampton</v>
      </c>
      <c r="E656" s="344">
        <f ca="1">OFFSET('Zip Code Lines_1'!$W$3,MATCH('Zip Code Lines_1'!C656,'Zip Code Lines_1'!$Q$4:$Q$26,0),0)</f>
        <v>12.2</v>
      </c>
      <c r="F656" s="344">
        <f ca="1">OFFSET('Zip Code Lines_1'!$Z$3,MATCH('Zip Code Lines_1'!C656,'Zip Code Lines_1'!$Q$4:$Q$26,0),0)</f>
        <v>84</v>
      </c>
      <c r="G656" s="342">
        <f ca="1">OFFSET('Zip Code Lines_1'!$AC$3,MATCH('Zip Code Lines_1'!C656,'Zip Code Lines_1'!$Q$4:$Q$26,0),0)</f>
        <v>6</v>
      </c>
      <c r="H656" s="342">
        <v>11962</v>
      </c>
    </row>
    <row r="657" spans="2:8" x14ac:dyDescent="0.25">
      <c r="B657" s="342">
        <v>11963</v>
      </c>
      <c r="C657" s="343" t="s">
        <v>573</v>
      </c>
      <c r="D657" s="343" t="str">
        <f ca="1">OFFSET('Zip Code Lines_1'!$U$3,MATCH('Zip Code Lines_1'!C657,'Zip Code Lines_1'!$Q$4:$Q$26,0),0)</f>
        <v>Westhampton</v>
      </c>
      <c r="E657" s="344">
        <f ca="1">OFFSET('Zip Code Lines_1'!$W$3,MATCH('Zip Code Lines_1'!C657,'Zip Code Lines_1'!$Q$4:$Q$26,0),0)</f>
        <v>12.2</v>
      </c>
      <c r="F657" s="344">
        <f ca="1">OFFSET('Zip Code Lines_1'!$Z$3,MATCH('Zip Code Lines_1'!C657,'Zip Code Lines_1'!$Q$4:$Q$26,0),0)</f>
        <v>84</v>
      </c>
      <c r="G657" s="342">
        <f ca="1">OFFSET('Zip Code Lines_1'!$AC$3,MATCH('Zip Code Lines_1'!C657,'Zip Code Lines_1'!$Q$4:$Q$26,0),0)</f>
        <v>6</v>
      </c>
      <c r="H657" s="342">
        <v>11963</v>
      </c>
    </row>
    <row r="658" spans="2:8" x14ac:dyDescent="0.25">
      <c r="B658" s="342">
        <v>11964</v>
      </c>
      <c r="C658" s="343" t="s">
        <v>573</v>
      </c>
      <c r="D658" s="343" t="str">
        <f ca="1">OFFSET('Zip Code Lines_1'!$U$3,MATCH('Zip Code Lines_1'!C658,'Zip Code Lines_1'!$Q$4:$Q$26,0),0)</f>
        <v>Westhampton</v>
      </c>
      <c r="E658" s="344">
        <f ca="1">OFFSET('Zip Code Lines_1'!$W$3,MATCH('Zip Code Lines_1'!C658,'Zip Code Lines_1'!$Q$4:$Q$26,0),0)</f>
        <v>12.2</v>
      </c>
      <c r="F658" s="344">
        <f ca="1">OFFSET('Zip Code Lines_1'!$Z$3,MATCH('Zip Code Lines_1'!C658,'Zip Code Lines_1'!$Q$4:$Q$26,0),0)</f>
        <v>84</v>
      </c>
      <c r="G658" s="342">
        <f ca="1">OFFSET('Zip Code Lines_1'!$AC$3,MATCH('Zip Code Lines_1'!C658,'Zip Code Lines_1'!$Q$4:$Q$26,0),0)</f>
        <v>6</v>
      </c>
      <c r="H658" s="342">
        <v>11964</v>
      </c>
    </row>
    <row r="659" spans="2:8" x14ac:dyDescent="0.25">
      <c r="B659" s="342">
        <v>11965</v>
      </c>
      <c r="C659" s="343" t="s">
        <v>573</v>
      </c>
      <c r="D659" s="343" t="str">
        <f ca="1">OFFSET('Zip Code Lines_1'!$U$3,MATCH('Zip Code Lines_1'!C659,'Zip Code Lines_1'!$Q$4:$Q$26,0),0)</f>
        <v>Westhampton</v>
      </c>
      <c r="E659" s="344">
        <f ca="1">OFFSET('Zip Code Lines_1'!$W$3,MATCH('Zip Code Lines_1'!C659,'Zip Code Lines_1'!$Q$4:$Q$26,0),0)</f>
        <v>12.2</v>
      </c>
      <c r="F659" s="344">
        <f ca="1">OFFSET('Zip Code Lines_1'!$Z$3,MATCH('Zip Code Lines_1'!C659,'Zip Code Lines_1'!$Q$4:$Q$26,0),0)</f>
        <v>84</v>
      </c>
      <c r="G659" s="342">
        <f ca="1">OFFSET('Zip Code Lines_1'!$AC$3,MATCH('Zip Code Lines_1'!C659,'Zip Code Lines_1'!$Q$4:$Q$26,0),0)</f>
        <v>6</v>
      </c>
      <c r="H659" s="342">
        <v>11965</v>
      </c>
    </row>
    <row r="660" spans="2:8" x14ac:dyDescent="0.25">
      <c r="B660" s="342">
        <v>11967</v>
      </c>
      <c r="C660" s="343" t="s">
        <v>545</v>
      </c>
      <c r="D660" s="343" t="str">
        <f ca="1">OFFSET('Zip Code Lines_1'!$U$3,MATCH('Zip Code Lines_1'!C660,'Zip Code Lines_1'!$Q$4:$Q$26,0),0)</f>
        <v>Islip</v>
      </c>
      <c r="E660" s="344">
        <f ca="1">OFFSET('Zip Code Lines_1'!$W$3,MATCH('Zip Code Lines_1'!C660,'Zip Code Lines_1'!$Q$4:$Q$26,0),0)</f>
        <v>15.9</v>
      </c>
      <c r="F660" s="344">
        <f ca="1">OFFSET('Zip Code Lines_1'!$Z$3,MATCH('Zip Code Lines_1'!C660,'Zip Code Lines_1'!$Q$4:$Q$26,0),0)</f>
        <v>85.7</v>
      </c>
      <c r="G660" s="342">
        <f ca="1">OFFSET('Zip Code Lines_1'!$AC$3,MATCH('Zip Code Lines_1'!C660,'Zip Code Lines_1'!$Q$4:$Q$26,0),0)</f>
        <v>6</v>
      </c>
      <c r="H660" s="342">
        <v>11967</v>
      </c>
    </row>
    <row r="661" spans="2:8" x14ac:dyDescent="0.25">
      <c r="B661" s="342">
        <v>11968</v>
      </c>
      <c r="C661" s="343" t="s">
        <v>573</v>
      </c>
      <c r="D661" s="343" t="str">
        <f ca="1">OFFSET('Zip Code Lines_1'!$U$3,MATCH('Zip Code Lines_1'!C661,'Zip Code Lines_1'!$Q$4:$Q$26,0),0)</f>
        <v>Westhampton</v>
      </c>
      <c r="E661" s="344">
        <f ca="1">OFFSET('Zip Code Lines_1'!$W$3,MATCH('Zip Code Lines_1'!C661,'Zip Code Lines_1'!$Q$4:$Q$26,0),0)</f>
        <v>12.2</v>
      </c>
      <c r="F661" s="344">
        <f ca="1">OFFSET('Zip Code Lines_1'!$Z$3,MATCH('Zip Code Lines_1'!C661,'Zip Code Lines_1'!$Q$4:$Q$26,0),0)</f>
        <v>84</v>
      </c>
      <c r="G661" s="342">
        <f ca="1">OFFSET('Zip Code Lines_1'!$AC$3,MATCH('Zip Code Lines_1'!C661,'Zip Code Lines_1'!$Q$4:$Q$26,0),0)</f>
        <v>6</v>
      </c>
      <c r="H661" s="342">
        <v>11968</v>
      </c>
    </row>
    <row r="662" spans="2:8" x14ac:dyDescent="0.25">
      <c r="B662" s="342">
        <v>11969</v>
      </c>
      <c r="C662" s="343" t="s">
        <v>573</v>
      </c>
      <c r="D662" s="343" t="str">
        <f ca="1">OFFSET('Zip Code Lines_1'!$U$3,MATCH('Zip Code Lines_1'!C662,'Zip Code Lines_1'!$Q$4:$Q$26,0),0)</f>
        <v>Westhampton</v>
      </c>
      <c r="E662" s="344">
        <f ca="1">OFFSET('Zip Code Lines_1'!$W$3,MATCH('Zip Code Lines_1'!C662,'Zip Code Lines_1'!$Q$4:$Q$26,0),0)</f>
        <v>12.2</v>
      </c>
      <c r="F662" s="344">
        <f ca="1">OFFSET('Zip Code Lines_1'!$Z$3,MATCH('Zip Code Lines_1'!C662,'Zip Code Lines_1'!$Q$4:$Q$26,0),0)</f>
        <v>84</v>
      </c>
      <c r="G662" s="342">
        <f ca="1">OFFSET('Zip Code Lines_1'!$AC$3,MATCH('Zip Code Lines_1'!C662,'Zip Code Lines_1'!$Q$4:$Q$26,0),0)</f>
        <v>6</v>
      </c>
      <c r="H662" s="342">
        <v>11969</v>
      </c>
    </row>
    <row r="663" spans="2:8" x14ac:dyDescent="0.25">
      <c r="B663" s="342">
        <v>11970</v>
      </c>
      <c r="C663" s="343" t="s">
        <v>573</v>
      </c>
      <c r="D663" s="343" t="str">
        <f ca="1">OFFSET('Zip Code Lines_1'!$U$3,MATCH('Zip Code Lines_1'!C663,'Zip Code Lines_1'!$Q$4:$Q$26,0),0)</f>
        <v>Westhampton</v>
      </c>
      <c r="E663" s="344">
        <f ca="1">OFFSET('Zip Code Lines_1'!$W$3,MATCH('Zip Code Lines_1'!C663,'Zip Code Lines_1'!$Q$4:$Q$26,0),0)</f>
        <v>12.2</v>
      </c>
      <c r="F663" s="344">
        <f ca="1">OFFSET('Zip Code Lines_1'!$Z$3,MATCH('Zip Code Lines_1'!C663,'Zip Code Lines_1'!$Q$4:$Q$26,0),0)</f>
        <v>84</v>
      </c>
      <c r="G663" s="342">
        <f ca="1">OFFSET('Zip Code Lines_1'!$AC$3,MATCH('Zip Code Lines_1'!C663,'Zip Code Lines_1'!$Q$4:$Q$26,0),0)</f>
        <v>6</v>
      </c>
      <c r="H663" s="342">
        <v>11970</v>
      </c>
    </row>
    <row r="664" spans="2:8" x14ac:dyDescent="0.25">
      <c r="B664" s="342">
        <v>11971</v>
      </c>
      <c r="C664" s="343" t="s">
        <v>573</v>
      </c>
      <c r="D664" s="343" t="str">
        <f ca="1">OFFSET('Zip Code Lines_1'!$U$3,MATCH('Zip Code Lines_1'!C664,'Zip Code Lines_1'!$Q$4:$Q$26,0),0)</f>
        <v>Westhampton</v>
      </c>
      <c r="E664" s="344">
        <f ca="1">OFFSET('Zip Code Lines_1'!$W$3,MATCH('Zip Code Lines_1'!C664,'Zip Code Lines_1'!$Q$4:$Q$26,0),0)</f>
        <v>12.2</v>
      </c>
      <c r="F664" s="344">
        <f ca="1">OFFSET('Zip Code Lines_1'!$Z$3,MATCH('Zip Code Lines_1'!C664,'Zip Code Lines_1'!$Q$4:$Q$26,0),0)</f>
        <v>84</v>
      </c>
      <c r="G664" s="342">
        <f ca="1">OFFSET('Zip Code Lines_1'!$AC$3,MATCH('Zip Code Lines_1'!C664,'Zip Code Lines_1'!$Q$4:$Q$26,0),0)</f>
        <v>6</v>
      </c>
      <c r="H664" s="342">
        <v>11971</v>
      </c>
    </row>
    <row r="665" spans="2:8" x14ac:dyDescent="0.25">
      <c r="B665" s="342">
        <v>11972</v>
      </c>
      <c r="C665" s="343" t="s">
        <v>573</v>
      </c>
      <c r="D665" s="343" t="str">
        <f ca="1">OFFSET('Zip Code Lines_1'!$U$3,MATCH('Zip Code Lines_1'!C665,'Zip Code Lines_1'!$Q$4:$Q$26,0),0)</f>
        <v>Westhampton</v>
      </c>
      <c r="E665" s="344">
        <f ca="1">OFFSET('Zip Code Lines_1'!$W$3,MATCH('Zip Code Lines_1'!C665,'Zip Code Lines_1'!$Q$4:$Q$26,0),0)</f>
        <v>12.2</v>
      </c>
      <c r="F665" s="344">
        <f ca="1">OFFSET('Zip Code Lines_1'!$Z$3,MATCH('Zip Code Lines_1'!C665,'Zip Code Lines_1'!$Q$4:$Q$26,0),0)</f>
        <v>84</v>
      </c>
      <c r="G665" s="342">
        <f ca="1">OFFSET('Zip Code Lines_1'!$AC$3,MATCH('Zip Code Lines_1'!C665,'Zip Code Lines_1'!$Q$4:$Q$26,0),0)</f>
        <v>6</v>
      </c>
      <c r="H665" s="342">
        <v>11972</v>
      </c>
    </row>
    <row r="666" spans="2:8" x14ac:dyDescent="0.25">
      <c r="B666" s="342">
        <v>11973</v>
      </c>
      <c r="C666" s="343" t="s">
        <v>535</v>
      </c>
      <c r="D666" s="343" t="str">
        <f ca="1">OFFSET('Zip Code Lines_1'!$U$3,MATCH('Zip Code Lines_1'!C666,'Zip Code Lines_1'!$Q$4:$Q$26,0),0)</f>
        <v>Farmingdale</v>
      </c>
      <c r="E666" s="344">
        <f ca="1">OFFSET('Zip Code Lines_1'!$W$3,MATCH('Zip Code Lines_1'!C666,'Zip Code Lines_1'!$Q$4:$Q$26,0),0)</f>
        <v>17</v>
      </c>
      <c r="F666" s="344">
        <f ca="1">OFFSET('Zip Code Lines_1'!$Z$3,MATCH('Zip Code Lines_1'!C666,'Zip Code Lines_1'!$Q$4:$Q$26,0),0)</f>
        <v>86.3</v>
      </c>
      <c r="G666" s="342">
        <f ca="1">OFFSET('Zip Code Lines_1'!$AC$3,MATCH('Zip Code Lines_1'!C666,'Zip Code Lines_1'!$Q$4:$Q$26,0),0)</f>
        <v>6</v>
      </c>
      <c r="H666" s="342">
        <v>11973</v>
      </c>
    </row>
    <row r="667" spans="2:8" x14ac:dyDescent="0.25">
      <c r="B667" s="342">
        <v>11975</v>
      </c>
      <c r="C667" s="343" t="s">
        <v>573</v>
      </c>
      <c r="D667" s="343" t="str">
        <f ca="1">OFFSET('Zip Code Lines_1'!$U$3,MATCH('Zip Code Lines_1'!C667,'Zip Code Lines_1'!$Q$4:$Q$26,0),0)</f>
        <v>Westhampton</v>
      </c>
      <c r="E667" s="344">
        <f ca="1">OFFSET('Zip Code Lines_1'!$W$3,MATCH('Zip Code Lines_1'!C667,'Zip Code Lines_1'!$Q$4:$Q$26,0),0)</f>
        <v>12.2</v>
      </c>
      <c r="F667" s="344">
        <f ca="1">OFFSET('Zip Code Lines_1'!$Z$3,MATCH('Zip Code Lines_1'!C667,'Zip Code Lines_1'!$Q$4:$Q$26,0),0)</f>
        <v>84</v>
      </c>
      <c r="G667" s="342">
        <f ca="1">OFFSET('Zip Code Lines_1'!$AC$3,MATCH('Zip Code Lines_1'!C667,'Zip Code Lines_1'!$Q$4:$Q$26,0),0)</f>
        <v>6</v>
      </c>
      <c r="H667" s="342">
        <v>11975</v>
      </c>
    </row>
    <row r="668" spans="2:8" x14ac:dyDescent="0.25">
      <c r="B668" s="342">
        <v>11976</v>
      </c>
      <c r="C668" s="343" t="s">
        <v>573</v>
      </c>
      <c r="D668" s="343" t="str">
        <f ca="1">OFFSET('Zip Code Lines_1'!$U$3,MATCH('Zip Code Lines_1'!C668,'Zip Code Lines_1'!$Q$4:$Q$26,0),0)</f>
        <v>Westhampton</v>
      </c>
      <c r="E668" s="344">
        <f ca="1">OFFSET('Zip Code Lines_1'!$W$3,MATCH('Zip Code Lines_1'!C668,'Zip Code Lines_1'!$Q$4:$Q$26,0),0)</f>
        <v>12.2</v>
      </c>
      <c r="F668" s="344">
        <f ca="1">OFFSET('Zip Code Lines_1'!$Z$3,MATCH('Zip Code Lines_1'!C668,'Zip Code Lines_1'!$Q$4:$Q$26,0),0)</f>
        <v>84</v>
      </c>
      <c r="G668" s="342">
        <f ca="1">OFFSET('Zip Code Lines_1'!$AC$3,MATCH('Zip Code Lines_1'!C668,'Zip Code Lines_1'!$Q$4:$Q$26,0),0)</f>
        <v>6</v>
      </c>
      <c r="H668" s="342">
        <v>11976</v>
      </c>
    </row>
    <row r="669" spans="2:8" x14ac:dyDescent="0.25">
      <c r="B669" s="342">
        <v>11977</v>
      </c>
      <c r="C669" s="343" t="s">
        <v>573</v>
      </c>
      <c r="D669" s="343" t="str">
        <f ca="1">OFFSET('Zip Code Lines_1'!$U$3,MATCH('Zip Code Lines_1'!C669,'Zip Code Lines_1'!$Q$4:$Q$26,0),0)</f>
        <v>Westhampton</v>
      </c>
      <c r="E669" s="344">
        <f ca="1">OFFSET('Zip Code Lines_1'!$W$3,MATCH('Zip Code Lines_1'!C669,'Zip Code Lines_1'!$Q$4:$Q$26,0),0)</f>
        <v>12.2</v>
      </c>
      <c r="F669" s="344">
        <f ca="1">OFFSET('Zip Code Lines_1'!$Z$3,MATCH('Zip Code Lines_1'!C669,'Zip Code Lines_1'!$Q$4:$Q$26,0),0)</f>
        <v>84</v>
      </c>
      <c r="G669" s="342">
        <f ca="1">OFFSET('Zip Code Lines_1'!$AC$3,MATCH('Zip Code Lines_1'!C669,'Zip Code Lines_1'!$Q$4:$Q$26,0),0)</f>
        <v>6</v>
      </c>
      <c r="H669" s="342">
        <v>11977</v>
      </c>
    </row>
    <row r="670" spans="2:8" x14ac:dyDescent="0.25">
      <c r="B670" s="342">
        <v>11978</v>
      </c>
      <c r="C670" s="343" t="s">
        <v>573</v>
      </c>
      <c r="D670" s="343" t="str">
        <f ca="1">OFFSET('Zip Code Lines_1'!$U$3,MATCH('Zip Code Lines_1'!C670,'Zip Code Lines_1'!$Q$4:$Q$26,0),0)</f>
        <v>Westhampton</v>
      </c>
      <c r="E670" s="344">
        <f ca="1">OFFSET('Zip Code Lines_1'!$W$3,MATCH('Zip Code Lines_1'!C670,'Zip Code Lines_1'!$Q$4:$Q$26,0),0)</f>
        <v>12.2</v>
      </c>
      <c r="F670" s="344">
        <f ca="1">OFFSET('Zip Code Lines_1'!$Z$3,MATCH('Zip Code Lines_1'!C670,'Zip Code Lines_1'!$Q$4:$Q$26,0),0)</f>
        <v>84</v>
      </c>
      <c r="G670" s="342">
        <f ca="1">OFFSET('Zip Code Lines_1'!$AC$3,MATCH('Zip Code Lines_1'!C670,'Zip Code Lines_1'!$Q$4:$Q$26,0),0)</f>
        <v>6</v>
      </c>
      <c r="H670" s="342">
        <v>11978</v>
      </c>
    </row>
    <row r="671" spans="2:8" x14ac:dyDescent="0.25">
      <c r="B671" s="342">
        <v>11980</v>
      </c>
      <c r="C671" s="343" t="s">
        <v>545</v>
      </c>
      <c r="D671" s="343" t="str">
        <f ca="1">OFFSET('Zip Code Lines_1'!$U$3,MATCH('Zip Code Lines_1'!C671,'Zip Code Lines_1'!$Q$4:$Q$26,0),0)</f>
        <v>Islip</v>
      </c>
      <c r="E671" s="344">
        <f ca="1">OFFSET('Zip Code Lines_1'!$W$3,MATCH('Zip Code Lines_1'!C671,'Zip Code Lines_1'!$Q$4:$Q$26,0),0)</f>
        <v>15.9</v>
      </c>
      <c r="F671" s="344">
        <f ca="1">OFFSET('Zip Code Lines_1'!$Z$3,MATCH('Zip Code Lines_1'!C671,'Zip Code Lines_1'!$Q$4:$Q$26,0),0)</f>
        <v>85.7</v>
      </c>
      <c r="G671" s="342">
        <f ca="1">OFFSET('Zip Code Lines_1'!$AC$3,MATCH('Zip Code Lines_1'!C671,'Zip Code Lines_1'!$Q$4:$Q$26,0),0)</f>
        <v>6</v>
      </c>
      <c r="H671" s="342">
        <v>11980</v>
      </c>
    </row>
    <row r="672" spans="2:8" x14ac:dyDescent="0.25">
      <c r="B672" s="342">
        <v>12007</v>
      </c>
      <c r="C672" s="343" t="s">
        <v>530</v>
      </c>
      <c r="D672" s="343" t="str">
        <f ca="1">OFFSET('Zip Code Lines_1'!$U$3,MATCH('Zip Code Lines_1'!C672,'Zip Code Lines_1'!$Q$4:$Q$26,0),0)</f>
        <v>Albany</v>
      </c>
      <c r="E672" s="344">
        <f ca="1">OFFSET('Zip Code Lines_1'!$W$3,MATCH('Zip Code Lines_1'!C672,'Zip Code Lines_1'!$Q$4:$Q$26,0),0)</f>
        <v>4.7</v>
      </c>
      <c r="F672" s="344">
        <f ca="1">OFFSET('Zip Code Lines_1'!$Z$3,MATCH('Zip Code Lines_1'!C672,'Zip Code Lines_1'!$Q$4:$Q$26,0),0)</f>
        <v>86.1</v>
      </c>
      <c r="G672" s="342">
        <f ca="1">OFFSET('Zip Code Lines_1'!$AC$3,MATCH('Zip Code Lines_1'!C672,'Zip Code Lines_1'!$Q$4:$Q$26,0),0)</f>
        <v>12</v>
      </c>
      <c r="H672" s="342">
        <v>12007</v>
      </c>
    </row>
    <row r="673" spans="2:8" x14ac:dyDescent="0.25">
      <c r="B673" s="342">
        <v>12008</v>
      </c>
      <c r="C673" s="343" t="s">
        <v>530</v>
      </c>
      <c r="D673" s="343" t="str">
        <f ca="1">OFFSET('Zip Code Lines_1'!$U$3,MATCH('Zip Code Lines_1'!C673,'Zip Code Lines_1'!$Q$4:$Q$26,0),0)</f>
        <v>Albany</v>
      </c>
      <c r="E673" s="344">
        <f ca="1">OFFSET('Zip Code Lines_1'!$W$3,MATCH('Zip Code Lines_1'!C673,'Zip Code Lines_1'!$Q$4:$Q$26,0),0)</f>
        <v>4.7</v>
      </c>
      <c r="F673" s="344">
        <f ca="1">OFFSET('Zip Code Lines_1'!$Z$3,MATCH('Zip Code Lines_1'!C673,'Zip Code Lines_1'!$Q$4:$Q$26,0),0)</f>
        <v>86.1</v>
      </c>
      <c r="G673" s="342">
        <f ca="1">OFFSET('Zip Code Lines_1'!$AC$3,MATCH('Zip Code Lines_1'!C673,'Zip Code Lines_1'!$Q$4:$Q$26,0),0)</f>
        <v>12</v>
      </c>
      <c r="H673" s="342">
        <v>12008</v>
      </c>
    </row>
    <row r="674" spans="2:8" x14ac:dyDescent="0.25">
      <c r="B674" s="342">
        <v>12009</v>
      </c>
      <c r="C674" s="343" t="s">
        <v>530</v>
      </c>
      <c r="D674" s="343" t="str">
        <f ca="1">OFFSET('Zip Code Lines_1'!$U$3,MATCH('Zip Code Lines_1'!C674,'Zip Code Lines_1'!$Q$4:$Q$26,0),0)</f>
        <v>Albany</v>
      </c>
      <c r="E674" s="344">
        <f ca="1">OFFSET('Zip Code Lines_1'!$W$3,MATCH('Zip Code Lines_1'!C674,'Zip Code Lines_1'!$Q$4:$Q$26,0),0)</f>
        <v>4.7</v>
      </c>
      <c r="F674" s="344">
        <f ca="1">OFFSET('Zip Code Lines_1'!$Z$3,MATCH('Zip Code Lines_1'!C674,'Zip Code Lines_1'!$Q$4:$Q$26,0),0)</f>
        <v>86.1</v>
      </c>
      <c r="G674" s="342">
        <f ca="1">OFFSET('Zip Code Lines_1'!$AC$3,MATCH('Zip Code Lines_1'!C674,'Zip Code Lines_1'!$Q$4:$Q$26,0),0)</f>
        <v>12</v>
      </c>
      <c r="H674" s="342">
        <v>12009</v>
      </c>
    </row>
    <row r="675" spans="2:8" x14ac:dyDescent="0.25">
      <c r="B675" s="342">
        <v>12010</v>
      </c>
      <c r="C675" s="343" t="s">
        <v>543</v>
      </c>
      <c r="D675" s="343" t="str">
        <f ca="1">OFFSET('Zip Code Lines_1'!$U$3,MATCH('Zip Code Lines_1'!C675,'Zip Code Lines_1'!$Q$4:$Q$26,0),0)</f>
        <v xml:space="preserve">Glens Falls </v>
      </c>
      <c r="E675" s="344">
        <f ca="1">OFFSET('Zip Code Lines_1'!$W$3,MATCH('Zip Code Lines_1'!C675,'Zip Code Lines_1'!$Q$4:$Q$26,0),0)</f>
        <v>-1.8</v>
      </c>
      <c r="F675" s="344">
        <f ca="1">OFFSET('Zip Code Lines_1'!$Z$3,MATCH('Zip Code Lines_1'!C675,'Zip Code Lines_1'!$Q$4:$Q$26,0),0)</f>
        <v>84.7</v>
      </c>
      <c r="G675" s="342">
        <f ca="1">OFFSET('Zip Code Lines_1'!$AC$3,MATCH('Zip Code Lines_1'!C675,'Zip Code Lines_1'!$Q$4:$Q$26,0),0)</f>
        <v>12</v>
      </c>
      <c r="H675" s="342">
        <v>12010</v>
      </c>
    </row>
    <row r="676" spans="2:8" x14ac:dyDescent="0.25">
      <c r="B676" s="342">
        <v>12015</v>
      </c>
      <c r="C676" s="343" t="s">
        <v>530</v>
      </c>
      <c r="D676" s="343" t="str">
        <f ca="1">OFFSET('Zip Code Lines_1'!$U$3,MATCH('Zip Code Lines_1'!C676,'Zip Code Lines_1'!$Q$4:$Q$26,0),0)</f>
        <v>Albany</v>
      </c>
      <c r="E676" s="344">
        <f ca="1">OFFSET('Zip Code Lines_1'!$W$3,MATCH('Zip Code Lines_1'!C676,'Zip Code Lines_1'!$Q$4:$Q$26,0),0)</f>
        <v>4.7</v>
      </c>
      <c r="F676" s="344">
        <f ca="1">OFFSET('Zip Code Lines_1'!$Z$3,MATCH('Zip Code Lines_1'!C676,'Zip Code Lines_1'!$Q$4:$Q$26,0),0)</f>
        <v>86.1</v>
      </c>
      <c r="G676" s="342">
        <f ca="1">OFFSET('Zip Code Lines_1'!$AC$3,MATCH('Zip Code Lines_1'!C676,'Zip Code Lines_1'!$Q$4:$Q$26,0),0)</f>
        <v>12</v>
      </c>
      <c r="H676" s="342">
        <v>12015</v>
      </c>
    </row>
    <row r="677" spans="2:8" x14ac:dyDescent="0.25">
      <c r="B677" s="342">
        <v>12016</v>
      </c>
      <c r="C677" s="343" t="s">
        <v>530</v>
      </c>
      <c r="D677" s="343" t="str">
        <f ca="1">OFFSET('Zip Code Lines_1'!$U$3,MATCH('Zip Code Lines_1'!C677,'Zip Code Lines_1'!$Q$4:$Q$26,0),0)</f>
        <v>Albany</v>
      </c>
      <c r="E677" s="344">
        <f ca="1">OFFSET('Zip Code Lines_1'!$W$3,MATCH('Zip Code Lines_1'!C677,'Zip Code Lines_1'!$Q$4:$Q$26,0),0)</f>
        <v>4.7</v>
      </c>
      <c r="F677" s="344">
        <f ca="1">OFFSET('Zip Code Lines_1'!$Z$3,MATCH('Zip Code Lines_1'!C677,'Zip Code Lines_1'!$Q$4:$Q$26,0),0)</f>
        <v>86.1</v>
      </c>
      <c r="G677" s="342">
        <f ca="1">OFFSET('Zip Code Lines_1'!$AC$3,MATCH('Zip Code Lines_1'!C677,'Zip Code Lines_1'!$Q$4:$Q$26,0),0)</f>
        <v>12</v>
      </c>
      <c r="H677" s="342">
        <v>12016</v>
      </c>
    </row>
    <row r="678" spans="2:8" x14ac:dyDescent="0.25">
      <c r="B678" s="342">
        <v>12017</v>
      </c>
      <c r="C678" s="343" t="s">
        <v>549</v>
      </c>
      <c r="D678" s="343" t="str">
        <f ca="1">OFFSET('Zip Code Lines_1'!$U$3,MATCH('Zip Code Lines_1'!C678,'Zip Code Lines_1'!$Q$4:$Q$26,0),0)</f>
        <v>Monticello</v>
      </c>
      <c r="E678" s="344">
        <f ca="1">OFFSET('Zip Code Lines_1'!$W$3,MATCH('Zip Code Lines_1'!C678,'Zip Code Lines_1'!$Q$4:$Q$26,0),0)</f>
        <v>4.7</v>
      </c>
      <c r="F678" s="344">
        <f ca="1">OFFSET('Zip Code Lines_1'!$Z$3,MATCH('Zip Code Lines_1'!C678,'Zip Code Lines_1'!$Q$4:$Q$26,0),0)</f>
        <v>82.5</v>
      </c>
      <c r="G678" s="342">
        <f ca="1">OFFSET('Zip Code Lines_1'!$AC$3,MATCH('Zip Code Lines_1'!C678,'Zip Code Lines_1'!$Q$4:$Q$26,0),0)</f>
        <v>12</v>
      </c>
      <c r="H678" s="342">
        <v>12017</v>
      </c>
    </row>
    <row r="679" spans="2:8" x14ac:dyDescent="0.25">
      <c r="B679" s="342">
        <v>12018</v>
      </c>
      <c r="C679" s="343" t="s">
        <v>530</v>
      </c>
      <c r="D679" s="343" t="str">
        <f ca="1">OFFSET('Zip Code Lines_1'!$U$3,MATCH('Zip Code Lines_1'!C679,'Zip Code Lines_1'!$Q$4:$Q$26,0),0)</f>
        <v>Albany</v>
      </c>
      <c r="E679" s="344">
        <f ca="1">OFFSET('Zip Code Lines_1'!$W$3,MATCH('Zip Code Lines_1'!C679,'Zip Code Lines_1'!$Q$4:$Q$26,0),0)</f>
        <v>4.7</v>
      </c>
      <c r="F679" s="344">
        <f ca="1">OFFSET('Zip Code Lines_1'!$Z$3,MATCH('Zip Code Lines_1'!C679,'Zip Code Lines_1'!$Q$4:$Q$26,0),0)</f>
        <v>86.1</v>
      </c>
      <c r="G679" s="342">
        <f ca="1">OFFSET('Zip Code Lines_1'!$AC$3,MATCH('Zip Code Lines_1'!C679,'Zip Code Lines_1'!$Q$4:$Q$26,0),0)</f>
        <v>12</v>
      </c>
      <c r="H679" s="342">
        <v>12018</v>
      </c>
    </row>
    <row r="680" spans="2:8" x14ac:dyDescent="0.25">
      <c r="B680" s="342">
        <v>12019</v>
      </c>
      <c r="C680" s="343" t="s">
        <v>543</v>
      </c>
      <c r="D680" s="343" t="str">
        <f ca="1">OFFSET('Zip Code Lines_1'!$U$3,MATCH('Zip Code Lines_1'!C680,'Zip Code Lines_1'!$Q$4:$Q$26,0),0)</f>
        <v xml:space="preserve">Glens Falls </v>
      </c>
      <c r="E680" s="344">
        <f ca="1">OFFSET('Zip Code Lines_1'!$W$3,MATCH('Zip Code Lines_1'!C680,'Zip Code Lines_1'!$Q$4:$Q$26,0),0)</f>
        <v>-1.8</v>
      </c>
      <c r="F680" s="344">
        <f ca="1">OFFSET('Zip Code Lines_1'!$Z$3,MATCH('Zip Code Lines_1'!C680,'Zip Code Lines_1'!$Q$4:$Q$26,0),0)</f>
        <v>84.7</v>
      </c>
      <c r="G680" s="342">
        <f ca="1">OFFSET('Zip Code Lines_1'!$AC$3,MATCH('Zip Code Lines_1'!C680,'Zip Code Lines_1'!$Q$4:$Q$26,0),0)</f>
        <v>12</v>
      </c>
      <c r="H680" s="342">
        <v>12019</v>
      </c>
    </row>
    <row r="681" spans="2:8" x14ac:dyDescent="0.25">
      <c r="B681" s="342">
        <v>12020</v>
      </c>
      <c r="C681" s="343" t="s">
        <v>530</v>
      </c>
      <c r="D681" s="343" t="str">
        <f ca="1">OFFSET('Zip Code Lines_1'!$U$3,MATCH('Zip Code Lines_1'!C681,'Zip Code Lines_1'!$Q$4:$Q$26,0),0)</f>
        <v>Albany</v>
      </c>
      <c r="E681" s="344">
        <f ca="1">OFFSET('Zip Code Lines_1'!$W$3,MATCH('Zip Code Lines_1'!C681,'Zip Code Lines_1'!$Q$4:$Q$26,0),0)</f>
        <v>4.7</v>
      </c>
      <c r="F681" s="344">
        <f ca="1">OFFSET('Zip Code Lines_1'!$Z$3,MATCH('Zip Code Lines_1'!C681,'Zip Code Lines_1'!$Q$4:$Q$26,0),0)</f>
        <v>86.1</v>
      </c>
      <c r="G681" s="342">
        <f ca="1">OFFSET('Zip Code Lines_1'!$AC$3,MATCH('Zip Code Lines_1'!C681,'Zip Code Lines_1'!$Q$4:$Q$26,0),0)</f>
        <v>12</v>
      </c>
      <c r="H681" s="342">
        <v>12020</v>
      </c>
    </row>
    <row r="682" spans="2:8" x14ac:dyDescent="0.25">
      <c r="B682" s="342">
        <v>12022</v>
      </c>
      <c r="C682" s="343" t="s">
        <v>543</v>
      </c>
      <c r="D682" s="343" t="str">
        <f ca="1">OFFSET('Zip Code Lines_1'!$U$3,MATCH('Zip Code Lines_1'!C682,'Zip Code Lines_1'!$Q$4:$Q$26,0),0)</f>
        <v xml:space="preserve">Glens Falls </v>
      </c>
      <c r="E682" s="344">
        <f ca="1">OFFSET('Zip Code Lines_1'!$W$3,MATCH('Zip Code Lines_1'!C682,'Zip Code Lines_1'!$Q$4:$Q$26,0),0)</f>
        <v>-1.8</v>
      </c>
      <c r="F682" s="344">
        <f ca="1">OFFSET('Zip Code Lines_1'!$Z$3,MATCH('Zip Code Lines_1'!C682,'Zip Code Lines_1'!$Q$4:$Q$26,0),0)</f>
        <v>84.7</v>
      </c>
      <c r="G682" s="342">
        <f ca="1">OFFSET('Zip Code Lines_1'!$AC$3,MATCH('Zip Code Lines_1'!C682,'Zip Code Lines_1'!$Q$4:$Q$26,0),0)</f>
        <v>12</v>
      </c>
      <c r="H682" s="342">
        <v>12022</v>
      </c>
    </row>
    <row r="683" spans="2:8" x14ac:dyDescent="0.25">
      <c r="B683" s="342">
        <v>12023</v>
      </c>
      <c r="C683" s="343" t="s">
        <v>530</v>
      </c>
      <c r="D683" s="343" t="str">
        <f ca="1">OFFSET('Zip Code Lines_1'!$U$3,MATCH('Zip Code Lines_1'!C683,'Zip Code Lines_1'!$Q$4:$Q$26,0),0)</f>
        <v>Albany</v>
      </c>
      <c r="E683" s="344">
        <f ca="1">OFFSET('Zip Code Lines_1'!$W$3,MATCH('Zip Code Lines_1'!C683,'Zip Code Lines_1'!$Q$4:$Q$26,0),0)</f>
        <v>4.7</v>
      </c>
      <c r="F683" s="344">
        <f ca="1">OFFSET('Zip Code Lines_1'!$Z$3,MATCH('Zip Code Lines_1'!C683,'Zip Code Lines_1'!$Q$4:$Q$26,0),0)</f>
        <v>86.1</v>
      </c>
      <c r="G683" s="342">
        <f ca="1">OFFSET('Zip Code Lines_1'!$AC$3,MATCH('Zip Code Lines_1'!C683,'Zip Code Lines_1'!$Q$4:$Q$26,0),0)</f>
        <v>12</v>
      </c>
      <c r="H683" s="342">
        <v>12023</v>
      </c>
    </row>
    <row r="684" spans="2:8" x14ac:dyDescent="0.25">
      <c r="B684" s="342">
        <v>12024</v>
      </c>
      <c r="C684" s="343" t="s">
        <v>530</v>
      </c>
      <c r="D684" s="343" t="str">
        <f ca="1">OFFSET('Zip Code Lines_1'!$U$3,MATCH('Zip Code Lines_1'!C684,'Zip Code Lines_1'!$Q$4:$Q$26,0),0)</f>
        <v>Albany</v>
      </c>
      <c r="E684" s="344">
        <f ca="1">OFFSET('Zip Code Lines_1'!$W$3,MATCH('Zip Code Lines_1'!C684,'Zip Code Lines_1'!$Q$4:$Q$26,0),0)</f>
        <v>4.7</v>
      </c>
      <c r="F684" s="344">
        <f ca="1">OFFSET('Zip Code Lines_1'!$Z$3,MATCH('Zip Code Lines_1'!C684,'Zip Code Lines_1'!$Q$4:$Q$26,0),0)</f>
        <v>86.1</v>
      </c>
      <c r="G684" s="342">
        <f ca="1">OFFSET('Zip Code Lines_1'!$AC$3,MATCH('Zip Code Lines_1'!C684,'Zip Code Lines_1'!$Q$4:$Q$26,0),0)</f>
        <v>12</v>
      </c>
      <c r="H684" s="342">
        <v>12024</v>
      </c>
    </row>
    <row r="685" spans="2:8" x14ac:dyDescent="0.25">
      <c r="B685" s="342">
        <v>12025</v>
      </c>
      <c r="C685" s="343" t="s">
        <v>543</v>
      </c>
      <c r="D685" s="343" t="str">
        <f ca="1">OFFSET('Zip Code Lines_1'!$U$3,MATCH('Zip Code Lines_1'!C685,'Zip Code Lines_1'!$Q$4:$Q$26,0),0)</f>
        <v xml:space="preserve">Glens Falls </v>
      </c>
      <c r="E685" s="344">
        <f ca="1">OFFSET('Zip Code Lines_1'!$W$3,MATCH('Zip Code Lines_1'!C685,'Zip Code Lines_1'!$Q$4:$Q$26,0),0)</f>
        <v>-1.8</v>
      </c>
      <c r="F685" s="344">
        <f ca="1">OFFSET('Zip Code Lines_1'!$Z$3,MATCH('Zip Code Lines_1'!C685,'Zip Code Lines_1'!$Q$4:$Q$26,0),0)</f>
        <v>84.7</v>
      </c>
      <c r="G685" s="342">
        <f ca="1">OFFSET('Zip Code Lines_1'!$AC$3,MATCH('Zip Code Lines_1'!C685,'Zip Code Lines_1'!$Q$4:$Q$26,0),0)</f>
        <v>12</v>
      </c>
      <c r="H685" s="342">
        <v>12025</v>
      </c>
    </row>
    <row r="686" spans="2:8" x14ac:dyDescent="0.25">
      <c r="B686" s="342">
        <v>12027</v>
      </c>
      <c r="C686" s="343" t="s">
        <v>543</v>
      </c>
      <c r="D686" s="343" t="str">
        <f ca="1">OFFSET('Zip Code Lines_1'!$U$3,MATCH('Zip Code Lines_1'!C686,'Zip Code Lines_1'!$Q$4:$Q$26,0),0)</f>
        <v xml:space="preserve">Glens Falls </v>
      </c>
      <c r="E686" s="344">
        <f ca="1">OFFSET('Zip Code Lines_1'!$W$3,MATCH('Zip Code Lines_1'!C686,'Zip Code Lines_1'!$Q$4:$Q$26,0),0)</f>
        <v>-1.8</v>
      </c>
      <c r="F686" s="344">
        <f ca="1">OFFSET('Zip Code Lines_1'!$Z$3,MATCH('Zip Code Lines_1'!C686,'Zip Code Lines_1'!$Q$4:$Q$26,0),0)</f>
        <v>84.7</v>
      </c>
      <c r="G686" s="342">
        <f ca="1">OFFSET('Zip Code Lines_1'!$AC$3,MATCH('Zip Code Lines_1'!C686,'Zip Code Lines_1'!$Q$4:$Q$26,0),0)</f>
        <v>12</v>
      </c>
      <c r="H686" s="342">
        <v>12027</v>
      </c>
    </row>
    <row r="687" spans="2:8" x14ac:dyDescent="0.25">
      <c r="B687" s="342">
        <v>12028</v>
      </c>
      <c r="C687" s="343" t="s">
        <v>543</v>
      </c>
      <c r="D687" s="343" t="str">
        <f ca="1">OFFSET('Zip Code Lines_1'!$U$3,MATCH('Zip Code Lines_1'!C687,'Zip Code Lines_1'!$Q$4:$Q$26,0),0)</f>
        <v xml:space="preserve">Glens Falls </v>
      </c>
      <c r="E687" s="344">
        <f ca="1">OFFSET('Zip Code Lines_1'!$W$3,MATCH('Zip Code Lines_1'!C687,'Zip Code Lines_1'!$Q$4:$Q$26,0),0)</f>
        <v>-1.8</v>
      </c>
      <c r="F687" s="344">
        <f ca="1">OFFSET('Zip Code Lines_1'!$Z$3,MATCH('Zip Code Lines_1'!C687,'Zip Code Lines_1'!$Q$4:$Q$26,0),0)</f>
        <v>84.7</v>
      </c>
      <c r="G687" s="342">
        <f ca="1">OFFSET('Zip Code Lines_1'!$AC$3,MATCH('Zip Code Lines_1'!C687,'Zip Code Lines_1'!$Q$4:$Q$26,0),0)</f>
        <v>12</v>
      </c>
      <c r="H687" s="342">
        <v>12028</v>
      </c>
    </row>
    <row r="688" spans="2:8" x14ac:dyDescent="0.25">
      <c r="B688" s="342">
        <v>12029</v>
      </c>
      <c r="C688" s="343" t="s">
        <v>530</v>
      </c>
      <c r="D688" s="343" t="str">
        <f ca="1">OFFSET('Zip Code Lines_1'!$U$3,MATCH('Zip Code Lines_1'!C688,'Zip Code Lines_1'!$Q$4:$Q$26,0),0)</f>
        <v>Albany</v>
      </c>
      <c r="E688" s="344">
        <f ca="1">OFFSET('Zip Code Lines_1'!$W$3,MATCH('Zip Code Lines_1'!C688,'Zip Code Lines_1'!$Q$4:$Q$26,0),0)</f>
        <v>4.7</v>
      </c>
      <c r="F688" s="344">
        <f ca="1">OFFSET('Zip Code Lines_1'!$Z$3,MATCH('Zip Code Lines_1'!C688,'Zip Code Lines_1'!$Q$4:$Q$26,0),0)</f>
        <v>86.1</v>
      </c>
      <c r="G688" s="342">
        <f ca="1">OFFSET('Zip Code Lines_1'!$AC$3,MATCH('Zip Code Lines_1'!C688,'Zip Code Lines_1'!$Q$4:$Q$26,0),0)</f>
        <v>12</v>
      </c>
      <c r="H688" s="342">
        <v>12029</v>
      </c>
    </row>
    <row r="689" spans="2:8" x14ac:dyDescent="0.25">
      <c r="B689" s="342">
        <v>12031</v>
      </c>
      <c r="C689" s="343" t="s">
        <v>543</v>
      </c>
      <c r="D689" s="343" t="str">
        <f ca="1">OFFSET('Zip Code Lines_1'!$U$3,MATCH('Zip Code Lines_1'!C689,'Zip Code Lines_1'!$Q$4:$Q$26,0),0)</f>
        <v xml:space="preserve">Glens Falls </v>
      </c>
      <c r="E689" s="344">
        <f ca="1">OFFSET('Zip Code Lines_1'!$W$3,MATCH('Zip Code Lines_1'!C689,'Zip Code Lines_1'!$Q$4:$Q$26,0),0)</f>
        <v>-1.8</v>
      </c>
      <c r="F689" s="344">
        <f ca="1">OFFSET('Zip Code Lines_1'!$Z$3,MATCH('Zip Code Lines_1'!C689,'Zip Code Lines_1'!$Q$4:$Q$26,0),0)</f>
        <v>84.7</v>
      </c>
      <c r="G689" s="342">
        <f ca="1">OFFSET('Zip Code Lines_1'!$AC$3,MATCH('Zip Code Lines_1'!C689,'Zip Code Lines_1'!$Q$4:$Q$26,0),0)</f>
        <v>12</v>
      </c>
      <c r="H689" s="342">
        <v>12031</v>
      </c>
    </row>
    <row r="690" spans="2:8" x14ac:dyDescent="0.25">
      <c r="B690" s="342">
        <v>12032</v>
      </c>
      <c r="C690" s="343" t="s">
        <v>566</v>
      </c>
      <c r="D690" s="343" t="str">
        <f ca="1">OFFSET('Zip Code Lines_1'!$U$3,MATCH('Zip Code Lines_1'!C690,'Zip Code Lines_1'!$Q$4:$Q$26,0),0)</f>
        <v>Saranac Lake</v>
      </c>
      <c r="E690" s="344">
        <f ca="1">OFFSET('Zip Code Lines_1'!$W$3,MATCH('Zip Code Lines_1'!C690,'Zip Code Lines_1'!$Q$4:$Q$26,0),0)</f>
        <v>-11.5</v>
      </c>
      <c r="F690" s="344">
        <f ca="1">OFFSET('Zip Code Lines_1'!$Z$3,MATCH('Zip Code Lines_1'!C690,'Zip Code Lines_1'!$Q$4:$Q$26,0),0)</f>
        <v>81</v>
      </c>
      <c r="G690" s="342">
        <f ca="1">OFFSET('Zip Code Lines_1'!$AC$3,MATCH('Zip Code Lines_1'!C690,'Zip Code Lines_1'!$Q$4:$Q$26,0),0)</f>
        <v>24</v>
      </c>
      <c r="H690" s="342">
        <v>12032</v>
      </c>
    </row>
    <row r="691" spans="2:8" x14ac:dyDescent="0.25">
      <c r="B691" s="342">
        <v>12033</v>
      </c>
      <c r="C691" s="343" t="s">
        <v>530</v>
      </c>
      <c r="D691" s="343" t="str">
        <f ca="1">OFFSET('Zip Code Lines_1'!$U$3,MATCH('Zip Code Lines_1'!C691,'Zip Code Lines_1'!$Q$4:$Q$26,0),0)</f>
        <v>Albany</v>
      </c>
      <c r="E691" s="344">
        <f ca="1">OFFSET('Zip Code Lines_1'!$W$3,MATCH('Zip Code Lines_1'!C691,'Zip Code Lines_1'!$Q$4:$Q$26,0),0)</f>
        <v>4.7</v>
      </c>
      <c r="F691" s="344">
        <f ca="1">OFFSET('Zip Code Lines_1'!$Z$3,MATCH('Zip Code Lines_1'!C691,'Zip Code Lines_1'!$Q$4:$Q$26,0),0)</f>
        <v>86.1</v>
      </c>
      <c r="G691" s="342">
        <f ca="1">OFFSET('Zip Code Lines_1'!$AC$3,MATCH('Zip Code Lines_1'!C691,'Zip Code Lines_1'!$Q$4:$Q$26,0),0)</f>
        <v>12</v>
      </c>
      <c r="H691" s="342">
        <v>12033</v>
      </c>
    </row>
    <row r="692" spans="2:8" x14ac:dyDescent="0.25">
      <c r="B692" s="342">
        <v>12035</v>
      </c>
      <c r="C692" s="343" t="s">
        <v>569</v>
      </c>
      <c r="D692" s="343" t="str">
        <f ca="1">OFFSET('Zip Code Lines_1'!$U$3,MATCH('Zip Code Lines_1'!C692,'Zip Code Lines_1'!$Q$4:$Q$26,0),0)</f>
        <v>Utica</v>
      </c>
      <c r="E692" s="344">
        <f ca="1">OFFSET('Zip Code Lines_1'!$W$3,MATCH('Zip Code Lines_1'!C692,'Zip Code Lines_1'!$Q$4:$Q$26,0),0)</f>
        <v>1.2</v>
      </c>
      <c r="F692" s="344">
        <f ca="1">OFFSET('Zip Code Lines_1'!$Z$3,MATCH('Zip Code Lines_1'!C692,'Zip Code Lines_1'!$Q$4:$Q$26,0),0)</f>
        <v>84.2</v>
      </c>
      <c r="G692" s="342">
        <f ca="1">OFFSET('Zip Code Lines_1'!$AC$3,MATCH('Zip Code Lines_1'!C692,'Zip Code Lines_1'!$Q$4:$Q$26,0),0)</f>
        <v>18</v>
      </c>
      <c r="H692" s="342">
        <v>12035</v>
      </c>
    </row>
    <row r="693" spans="2:8" x14ac:dyDescent="0.25">
      <c r="B693" s="342">
        <v>12036</v>
      </c>
      <c r="C693" s="343" t="s">
        <v>543</v>
      </c>
      <c r="D693" s="343" t="str">
        <f ca="1">OFFSET('Zip Code Lines_1'!$U$3,MATCH('Zip Code Lines_1'!C693,'Zip Code Lines_1'!$Q$4:$Q$26,0),0)</f>
        <v xml:space="preserve">Glens Falls </v>
      </c>
      <c r="E693" s="344">
        <f ca="1">OFFSET('Zip Code Lines_1'!$W$3,MATCH('Zip Code Lines_1'!C693,'Zip Code Lines_1'!$Q$4:$Q$26,0),0)</f>
        <v>-1.8</v>
      </c>
      <c r="F693" s="344">
        <f ca="1">OFFSET('Zip Code Lines_1'!$Z$3,MATCH('Zip Code Lines_1'!C693,'Zip Code Lines_1'!$Q$4:$Q$26,0),0)</f>
        <v>84.7</v>
      </c>
      <c r="G693" s="342">
        <f ca="1">OFFSET('Zip Code Lines_1'!$AC$3,MATCH('Zip Code Lines_1'!C693,'Zip Code Lines_1'!$Q$4:$Q$26,0),0)</f>
        <v>12</v>
      </c>
      <c r="H693" s="342">
        <v>12036</v>
      </c>
    </row>
    <row r="694" spans="2:8" x14ac:dyDescent="0.25">
      <c r="B694" s="342">
        <v>12037</v>
      </c>
      <c r="C694" s="343" t="s">
        <v>530</v>
      </c>
      <c r="D694" s="343" t="str">
        <f ca="1">OFFSET('Zip Code Lines_1'!$U$3,MATCH('Zip Code Lines_1'!C694,'Zip Code Lines_1'!$Q$4:$Q$26,0),0)</f>
        <v>Albany</v>
      </c>
      <c r="E694" s="344">
        <f ca="1">OFFSET('Zip Code Lines_1'!$W$3,MATCH('Zip Code Lines_1'!C694,'Zip Code Lines_1'!$Q$4:$Q$26,0),0)</f>
        <v>4.7</v>
      </c>
      <c r="F694" s="344">
        <f ca="1">OFFSET('Zip Code Lines_1'!$Z$3,MATCH('Zip Code Lines_1'!C694,'Zip Code Lines_1'!$Q$4:$Q$26,0),0)</f>
        <v>86.1</v>
      </c>
      <c r="G694" s="342">
        <f ca="1">OFFSET('Zip Code Lines_1'!$AC$3,MATCH('Zip Code Lines_1'!C694,'Zip Code Lines_1'!$Q$4:$Q$26,0),0)</f>
        <v>12</v>
      </c>
      <c r="H694" s="342">
        <v>12037</v>
      </c>
    </row>
    <row r="695" spans="2:8" x14ac:dyDescent="0.25">
      <c r="B695" s="342">
        <v>12040</v>
      </c>
      <c r="C695" s="343" t="s">
        <v>543</v>
      </c>
      <c r="D695" s="343" t="str">
        <f ca="1">OFFSET('Zip Code Lines_1'!$U$3,MATCH('Zip Code Lines_1'!C695,'Zip Code Lines_1'!$Q$4:$Q$26,0),0)</f>
        <v xml:space="preserve">Glens Falls </v>
      </c>
      <c r="E695" s="344">
        <f ca="1">OFFSET('Zip Code Lines_1'!$W$3,MATCH('Zip Code Lines_1'!C695,'Zip Code Lines_1'!$Q$4:$Q$26,0),0)</f>
        <v>-1.8</v>
      </c>
      <c r="F695" s="344">
        <f ca="1">OFFSET('Zip Code Lines_1'!$Z$3,MATCH('Zip Code Lines_1'!C695,'Zip Code Lines_1'!$Q$4:$Q$26,0),0)</f>
        <v>84.7</v>
      </c>
      <c r="G695" s="342">
        <f ca="1">OFFSET('Zip Code Lines_1'!$AC$3,MATCH('Zip Code Lines_1'!C695,'Zip Code Lines_1'!$Q$4:$Q$26,0),0)</f>
        <v>12</v>
      </c>
      <c r="H695" s="342">
        <v>12040</v>
      </c>
    </row>
    <row r="696" spans="2:8" x14ac:dyDescent="0.25">
      <c r="B696" s="342">
        <v>12041</v>
      </c>
      <c r="C696" s="343" t="s">
        <v>530</v>
      </c>
      <c r="D696" s="343" t="str">
        <f ca="1">OFFSET('Zip Code Lines_1'!$U$3,MATCH('Zip Code Lines_1'!C696,'Zip Code Lines_1'!$Q$4:$Q$26,0),0)</f>
        <v>Albany</v>
      </c>
      <c r="E696" s="344">
        <f ca="1">OFFSET('Zip Code Lines_1'!$W$3,MATCH('Zip Code Lines_1'!C696,'Zip Code Lines_1'!$Q$4:$Q$26,0),0)</f>
        <v>4.7</v>
      </c>
      <c r="F696" s="344">
        <f ca="1">OFFSET('Zip Code Lines_1'!$Z$3,MATCH('Zip Code Lines_1'!C696,'Zip Code Lines_1'!$Q$4:$Q$26,0),0)</f>
        <v>86.1</v>
      </c>
      <c r="G696" s="342">
        <f ca="1">OFFSET('Zip Code Lines_1'!$AC$3,MATCH('Zip Code Lines_1'!C696,'Zip Code Lines_1'!$Q$4:$Q$26,0),0)</f>
        <v>12</v>
      </c>
      <c r="H696" s="342">
        <v>12041</v>
      </c>
    </row>
    <row r="697" spans="2:8" x14ac:dyDescent="0.25">
      <c r="B697" s="342">
        <v>12042</v>
      </c>
      <c r="C697" s="343" t="s">
        <v>530</v>
      </c>
      <c r="D697" s="343" t="str">
        <f ca="1">OFFSET('Zip Code Lines_1'!$U$3,MATCH('Zip Code Lines_1'!C697,'Zip Code Lines_1'!$Q$4:$Q$26,0),0)</f>
        <v>Albany</v>
      </c>
      <c r="E697" s="344">
        <f ca="1">OFFSET('Zip Code Lines_1'!$W$3,MATCH('Zip Code Lines_1'!C697,'Zip Code Lines_1'!$Q$4:$Q$26,0),0)</f>
        <v>4.7</v>
      </c>
      <c r="F697" s="344">
        <f ca="1">OFFSET('Zip Code Lines_1'!$Z$3,MATCH('Zip Code Lines_1'!C697,'Zip Code Lines_1'!$Q$4:$Q$26,0),0)</f>
        <v>86.1</v>
      </c>
      <c r="G697" s="342">
        <f ca="1">OFFSET('Zip Code Lines_1'!$AC$3,MATCH('Zip Code Lines_1'!C697,'Zip Code Lines_1'!$Q$4:$Q$26,0),0)</f>
        <v>12</v>
      </c>
      <c r="H697" s="342">
        <v>12042</v>
      </c>
    </row>
    <row r="698" spans="2:8" x14ac:dyDescent="0.25">
      <c r="B698" s="342">
        <v>12043</v>
      </c>
      <c r="C698" s="343" t="s">
        <v>543</v>
      </c>
      <c r="D698" s="343" t="str">
        <f ca="1">OFFSET('Zip Code Lines_1'!$U$3,MATCH('Zip Code Lines_1'!C698,'Zip Code Lines_1'!$Q$4:$Q$26,0),0)</f>
        <v xml:space="preserve">Glens Falls </v>
      </c>
      <c r="E698" s="344">
        <f ca="1">OFFSET('Zip Code Lines_1'!$W$3,MATCH('Zip Code Lines_1'!C698,'Zip Code Lines_1'!$Q$4:$Q$26,0),0)</f>
        <v>-1.8</v>
      </c>
      <c r="F698" s="344">
        <f ca="1">OFFSET('Zip Code Lines_1'!$Z$3,MATCH('Zip Code Lines_1'!C698,'Zip Code Lines_1'!$Q$4:$Q$26,0),0)</f>
        <v>84.7</v>
      </c>
      <c r="G698" s="342">
        <f ca="1">OFFSET('Zip Code Lines_1'!$AC$3,MATCH('Zip Code Lines_1'!C698,'Zip Code Lines_1'!$Q$4:$Q$26,0),0)</f>
        <v>12</v>
      </c>
      <c r="H698" s="342">
        <v>12043</v>
      </c>
    </row>
    <row r="699" spans="2:8" x14ac:dyDescent="0.25">
      <c r="B699" s="342">
        <v>12045</v>
      </c>
      <c r="C699" s="343" t="s">
        <v>530</v>
      </c>
      <c r="D699" s="343" t="str">
        <f ca="1">OFFSET('Zip Code Lines_1'!$U$3,MATCH('Zip Code Lines_1'!C699,'Zip Code Lines_1'!$Q$4:$Q$26,0),0)</f>
        <v>Albany</v>
      </c>
      <c r="E699" s="344">
        <f ca="1">OFFSET('Zip Code Lines_1'!$W$3,MATCH('Zip Code Lines_1'!C699,'Zip Code Lines_1'!$Q$4:$Q$26,0),0)</f>
        <v>4.7</v>
      </c>
      <c r="F699" s="344">
        <f ca="1">OFFSET('Zip Code Lines_1'!$Z$3,MATCH('Zip Code Lines_1'!C699,'Zip Code Lines_1'!$Q$4:$Q$26,0),0)</f>
        <v>86.1</v>
      </c>
      <c r="G699" s="342">
        <f ca="1">OFFSET('Zip Code Lines_1'!$AC$3,MATCH('Zip Code Lines_1'!C699,'Zip Code Lines_1'!$Q$4:$Q$26,0),0)</f>
        <v>12</v>
      </c>
      <c r="H699" s="342">
        <v>12045</v>
      </c>
    </row>
    <row r="700" spans="2:8" x14ac:dyDescent="0.25">
      <c r="B700" s="342">
        <v>12046</v>
      </c>
      <c r="C700" s="343" t="s">
        <v>530</v>
      </c>
      <c r="D700" s="343" t="str">
        <f ca="1">OFFSET('Zip Code Lines_1'!$U$3,MATCH('Zip Code Lines_1'!C700,'Zip Code Lines_1'!$Q$4:$Q$26,0),0)</f>
        <v>Albany</v>
      </c>
      <c r="E700" s="344">
        <f ca="1">OFFSET('Zip Code Lines_1'!$W$3,MATCH('Zip Code Lines_1'!C700,'Zip Code Lines_1'!$Q$4:$Q$26,0),0)</f>
        <v>4.7</v>
      </c>
      <c r="F700" s="344">
        <f ca="1">OFFSET('Zip Code Lines_1'!$Z$3,MATCH('Zip Code Lines_1'!C700,'Zip Code Lines_1'!$Q$4:$Q$26,0),0)</f>
        <v>86.1</v>
      </c>
      <c r="G700" s="342">
        <f ca="1">OFFSET('Zip Code Lines_1'!$AC$3,MATCH('Zip Code Lines_1'!C700,'Zip Code Lines_1'!$Q$4:$Q$26,0),0)</f>
        <v>12</v>
      </c>
      <c r="H700" s="342">
        <v>12046</v>
      </c>
    </row>
    <row r="701" spans="2:8" x14ac:dyDescent="0.25">
      <c r="B701" s="342">
        <v>12047</v>
      </c>
      <c r="C701" s="343" t="s">
        <v>530</v>
      </c>
      <c r="D701" s="343" t="str">
        <f ca="1">OFFSET('Zip Code Lines_1'!$U$3,MATCH('Zip Code Lines_1'!C701,'Zip Code Lines_1'!$Q$4:$Q$26,0),0)</f>
        <v>Albany</v>
      </c>
      <c r="E701" s="344">
        <f ca="1">OFFSET('Zip Code Lines_1'!$W$3,MATCH('Zip Code Lines_1'!C701,'Zip Code Lines_1'!$Q$4:$Q$26,0),0)</f>
        <v>4.7</v>
      </c>
      <c r="F701" s="344">
        <f ca="1">OFFSET('Zip Code Lines_1'!$Z$3,MATCH('Zip Code Lines_1'!C701,'Zip Code Lines_1'!$Q$4:$Q$26,0),0)</f>
        <v>86.1</v>
      </c>
      <c r="G701" s="342">
        <f ca="1">OFFSET('Zip Code Lines_1'!$AC$3,MATCH('Zip Code Lines_1'!C701,'Zip Code Lines_1'!$Q$4:$Q$26,0),0)</f>
        <v>12</v>
      </c>
      <c r="H701" s="342">
        <v>12047</v>
      </c>
    </row>
    <row r="702" spans="2:8" x14ac:dyDescent="0.25">
      <c r="B702" s="342">
        <v>12050</v>
      </c>
      <c r="C702" s="343" t="s">
        <v>530</v>
      </c>
      <c r="D702" s="343" t="str">
        <f ca="1">OFFSET('Zip Code Lines_1'!$U$3,MATCH('Zip Code Lines_1'!C702,'Zip Code Lines_1'!$Q$4:$Q$26,0),0)</f>
        <v>Albany</v>
      </c>
      <c r="E702" s="344">
        <f ca="1">OFFSET('Zip Code Lines_1'!$W$3,MATCH('Zip Code Lines_1'!C702,'Zip Code Lines_1'!$Q$4:$Q$26,0),0)</f>
        <v>4.7</v>
      </c>
      <c r="F702" s="344">
        <f ca="1">OFFSET('Zip Code Lines_1'!$Z$3,MATCH('Zip Code Lines_1'!C702,'Zip Code Lines_1'!$Q$4:$Q$26,0),0)</f>
        <v>86.1</v>
      </c>
      <c r="G702" s="342">
        <f ca="1">OFFSET('Zip Code Lines_1'!$AC$3,MATCH('Zip Code Lines_1'!C702,'Zip Code Lines_1'!$Q$4:$Q$26,0),0)</f>
        <v>12</v>
      </c>
      <c r="H702" s="342">
        <v>12050</v>
      </c>
    </row>
    <row r="703" spans="2:8" x14ac:dyDescent="0.25">
      <c r="B703" s="342">
        <v>12051</v>
      </c>
      <c r="C703" s="343" t="s">
        <v>530</v>
      </c>
      <c r="D703" s="343" t="str">
        <f ca="1">OFFSET('Zip Code Lines_1'!$U$3,MATCH('Zip Code Lines_1'!C703,'Zip Code Lines_1'!$Q$4:$Q$26,0),0)</f>
        <v>Albany</v>
      </c>
      <c r="E703" s="344">
        <f ca="1">OFFSET('Zip Code Lines_1'!$W$3,MATCH('Zip Code Lines_1'!C703,'Zip Code Lines_1'!$Q$4:$Q$26,0),0)</f>
        <v>4.7</v>
      </c>
      <c r="F703" s="344">
        <f ca="1">OFFSET('Zip Code Lines_1'!$Z$3,MATCH('Zip Code Lines_1'!C703,'Zip Code Lines_1'!$Q$4:$Q$26,0),0)</f>
        <v>86.1</v>
      </c>
      <c r="G703" s="342">
        <f ca="1">OFFSET('Zip Code Lines_1'!$AC$3,MATCH('Zip Code Lines_1'!C703,'Zip Code Lines_1'!$Q$4:$Q$26,0),0)</f>
        <v>12</v>
      </c>
      <c r="H703" s="342">
        <v>12051</v>
      </c>
    </row>
    <row r="704" spans="2:8" x14ac:dyDescent="0.25">
      <c r="B704" s="342">
        <v>12052</v>
      </c>
      <c r="C704" s="343" t="s">
        <v>543</v>
      </c>
      <c r="D704" s="343" t="str">
        <f ca="1">OFFSET('Zip Code Lines_1'!$U$3,MATCH('Zip Code Lines_1'!C704,'Zip Code Lines_1'!$Q$4:$Q$26,0),0)</f>
        <v xml:space="preserve">Glens Falls </v>
      </c>
      <c r="E704" s="344">
        <f ca="1">OFFSET('Zip Code Lines_1'!$W$3,MATCH('Zip Code Lines_1'!C704,'Zip Code Lines_1'!$Q$4:$Q$26,0),0)</f>
        <v>-1.8</v>
      </c>
      <c r="F704" s="344">
        <f ca="1">OFFSET('Zip Code Lines_1'!$Z$3,MATCH('Zip Code Lines_1'!C704,'Zip Code Lines_1'!$Q$4:$Q$26,0),0)</f>
        <v>84.7</v>
      </c>
      <c r="G704" s="342">
        <f ca="1">OFFSET('Zip Code Lines_1'!$AC$3,MATCH('Zip Code Lines_1'!C704,'Zip Code Lines_1'!$Q$4:$Q$26,0),0)</f>
        <v>12</v>
      </c>
      <c r="H704" s="342">
        <v>12052</v>
      </c>
    </row>
    <row r="705" spans="2:8" x14ac:dyDescent="0.25">
      <c r="B705" s="342">
        <v>12053</v>
      </c>
      <c r="C705" s="343" t="s">
        <v>530</v>
      </c>
      <c r="D705" s="343" t="str">
        <f ca="1">OFFSET('Zip Code Lines_1'!$U$3,MATCH('Zip Code Lines_1'!C705,'Zip Code Lines_1'!$Q$4:$Q$26,0),0)</f>
        <v>Albany</v>
      </c>
      <c r="E705" s="344">
        <f ca="1">OFFSET('Zip Code Lines_1'!$W$3,MATCH('Zip Code Lines_1'!C705,'Zip Code Lines_1'!$Q$4:$Q$26,0),0)</f>
        <v>4.7</v>
      </c>
      <c r="F705" s="344">
        <f ca="1">OFFSET('Zip Code Lines_1'!$Z$3,MATCH('Zip Code Lines_1'!C705,'Zip Code Lines_1'!$Q$4:$Q$26,0),0)</f>
        <v>86.1</v>
      </c>
      <c r="G705" s="342">
        <f ca="1">OFFSET('Zip Code Lines_1'!$AC$3,MATCH('Zip Code Lines_1'!C705,'Zip Code Lines_1'!$Q$4:$Q$26,0),0)</f>
        <v>12</v>
      </c>
      <c r="H705" s="342">
        <v>12053</v>
      </c>
    </row>
    <row r="706" spans="2:8" x14ac:dyDescent="0.25">
      <c r="B706" s="342">
        <v>12054</v>
      </c>
      <c r="C706" s="343" t="s">
        <v>530</v>
      </c>
      <c r="D706" s="343" t="str">
        <f ca="1">OFFSET('Zip Code Lines_1'!$U$3,MATCH('Zip Code Lines_1'!C706,'Zip Code Lines_1'!$Q$4:$Q$26,0),0)</f>
        <v>Albany</v>
      </c>
      <c r="E706" s="344">
        <f ca="1">OFFSET('Zip Code Lines_1'!$W$3,MATCH('Zip Code Lines_1'!C706,'Zip Code Lines_1'!$Q$4:$Q$26,0),0)</f>
        <v>4.7</v>
      </c>
      <c r="F706" s="344">
        <f ca="1">OFFSET('Zip Code Lines_1'!$Z$3,MATCH('Zip Code Lines_1'!C706,'Zip Code Lines_1'!$Q$4:$Q$26,0),0)</f>
        <v>86.1</v>
      </c>
      <c r="G706" s="342">
        <f ca="1">OFFSET('Zip Code Lines_1'!$AC$3,MATCH('Zip Code Lines_1'!C706,'Zip Code Lines_1'!$Q$4:$Q$26,0),0)</f>
        <v>12</v>
      </c>
      <c r="H706" s="342">
        <v>12054</v>
      </c>
    </row>
    <row r="707" spans="2:8" x14ac:dyDescent="0.25">
      <c r="B707" s="342">
        <v>12055</v>
      </c>
      <c r="C707" s="343" t="s">
        <v>543</v>
      </c>
      <c r="D707" s="343" t="str">
        <f ca="1">OFFSET('Zip Code Lines_1'!$U$3,MATCH('Zip Code Lines_1'!C707,'Zip Code Lines_1'!$Q$4:$Q$26,0),0)</f>
        <v xml:space="preserve">Glens Falls </v>
      </c>
      <c r="E707" s="344">
        <f ca="1">OFFSET('Zip Code Lines_1'!$W$3,MATCH('Zip Code Lines_1'!C707,'Zip Code Lines_1'!$Q$4:$Q$26,0),0)</f>
        <v>-1.8</v>
      </c>
      <c r="F707" s="344">
        <f ca="1">OFFSET('Zip Code Lines_1'!$Z$3,MATCH('Zip Code Lines_1'!C707,'Zip Code Lines_1'!$Q$4:$Q$26,0),0)</f>
        <v>84.7</v>
      </c>
      <c r="G707" s="342">
        <f ca="1">OFFSET('Zip Code Lines_1'!$AC$3,MATCH('Zip Code Lines_1'!C707,'Zip Code Lines_1'!$Q$4:$Q$26,0),0)</f>
        <v>12</v>
      </c>
      <c r="H707" s="342">
        <v>12055</v>
      </c>
    </row>
    <row r="708" spans="2:8" x14ac:dyDescent="0.25">
      <c r="B708" s="342">
        <v>12056</v>
      </c>
      <c r="C708" s="343" t="s">
        <v>530</v>
      </c>
      <c r="D708" s="343" t="str">
        <f ca="1">OFFSET('Zip Code Lines_1'!$U$3,MATCH('Zip Code Lines_1'!C708,'Zip Code Lines_1'!$Q$4:$Q$26,0),0)</f>
        <v>Albany</v>
      </c>
      <c r="E708" s="344">
        <f ca="1">OFFSET('Zip Code Lines_1'!$W$3,MATCH('Zip Code Lines_1'!C708,'Zip Code Lines_1'!$Q$4:$Q$26,0),0)</f>
        <v>4.7</v>
      </c>
      <c r="F708" s="344">
        <f ca="1">OFFSET('Zip Code Lines_1'!$Z$3,MATCH('Zip Code Lines_1'!C708,'Zip Code Lines_1'!$Q$4:$Q$26,0),0)</f>
        <v>86.1</v>
      </c>
      <c r="G708" s="342">
        <f ca="1">OFFSET('Zip Code Lines_1'!$AC$3,MATCH('Zip Code Lines_1'!C708,'Zip Code Lines_1'!$Q$4:$Q$26,0),0)</f>
        <v>12</v>
      </c>
      <c r="H708" s="342">
        <v>12056</v>
      </c>
    </row>
    <row r="709" spans="2:8" x14ac:dyDescent="0.25">
      <c r="B709" s="342">
        <v>12057</v>
      </c>
      <c r="C709" s="343" t="s">
        <v>543</v>
      </c>
      <c r="D709" s="343" t="str">
        <f ca="1">OFFSET('Zip Code Lines_1'!$U$3,MATCH('Zip Code Lines_1'!C709,'Zip Code Lines_1'!$Q$4:$Q$26,0),0)</f>
        <v xml:space="preserve">Glens Falls </v>
      </c>
      <c r="E709" s="344">
        <f ca="1">OFFSET('Zip Code Lines_1'!$W$3,MATCH('Zip Code Lines_1'!C709,'Zip Code Lines_1'!$Q$4:$Q$26,0),0)</f>
        <v>-1.8</v>
      </c>
      <c r="F709" s="344">
        <f ca="1">OFFSET('Zip Code Lines_1'!$Z$3,MATCH('Zip Code Lines_1'!C709,'Zip Code Lines_1'!$Q$4:$Q$26,0),0)</f>
        <v>84.7</v>
      </c>
      <c r="G709" s="342">
        <f ca="1">OFFSET('Zip Code Lines_1'!$AC$3,MATCH('Zip Code Lines_1'!C709,'Zip Code Lines_1'!$Q$4:$Q$26,0),0)</f>
        <v>12</v>
      </c>
      <c r="H709" s="342">
        <v>12057</v>
      </c>
    </row>
    <row r="710" spans="2:8" x14ac:dyDescent="0.25">
      <c r="B710" s="342">
        <v>12058</v>
      </c>
      <c r="C710" s="343" t="s">
        <v>530</v>
      </c>
      <c r="D710" s="343" t="str">
        <f ca="1">OFFSET('Zip Code Lines_1'!$U$3,MATCH('Zip Code Lines_1'!C710,'Zip Code Lines_1'!$Q$4:$Q$26,0),0)</f>
        <v>Albany</v>
      </c>
      <c r="E710" s="344">
        <f ca="1">OFFSET('Zip Code Lines_1'!$W$3,MATCH('Zip Code Lines_1'!C710,'Zip Code Lines_1'!$Q$4:$Q$26,0),0)</f>
        <v>4.7</v>
      </c>
      <c r="F710" s="344">
        <f ca="1">OFFSET('Zip Code Lines_1'!$Z$3,MATCH('Zip Code Lines_1'!C710,'Zip Code Lines_1'!$Q$4:$Q$26,0),0)</f>
        <v>86.1</v>
      </c>
      <c r="G710" s="342">
        <f ca="1">OFFSET('Zip Code Lines_1'!$AC$3,MATCH('Zip Code Lines_1'!C710,'Zip Code Lines_1'!$Q$4:$Q$26,0),0)</f>
        <v>12</v>
      </c>
      <c r="H710" s="342">
        <v>12058</v>
      </c>
    </row>
    <row r="711" spans="2:8" x14ac:dyDescent="0.25">
      <c r="B711" s="342">
        <v>12059</v>
      </c>
      <c r="C711" s="343" t="s">
        <v>530</v>
      </c>
      <c r="D711" s="343" t="str">
        <f ca="1">OFFSET('Zip Code Lines_1'!$U$3,MATCH('Zip Code Lines_1'!C711,'Zip Code Lines_1'!$Q$4:$Q$26,0),0)</f>
        <v>Albany</v>
      </c>
      <c r="E711" s="344">
        <f ca="1">OFFSET('Zip Code Lines_1'!$W$3,MATCH('Zip Code Lines_1'!C711,'Zip Code Lines_1'!$Q$4:$Q$26,0),0)</f>
        <v>4.7</v>
      </c>
      <c r="F711" s="344">
        <f ca="1">OFFSET('Zip Code Lines_1'!$Z$3,MATCH('Zip Code Lines_1'!C711,'Zip Code Lines_1'!$Q$4:$Q$26,0),0)</f>
        <v>86.1</v>
      </c>
      <c r="G711" s="342">
        <f ca="1">OFFSET('Zip Code Lines_1'!$AC$3,MATCH('Zip Code Lines_1'!C711,'Zip Code Lines_1'!$Q$4:$Q$26,0),0)</f>
        <v>12</v>
      </c>
      <c r="H711" s="342">
        <v>12059</v>
      </c>
    </row>
    <row r="712" spans="2:8" x14ac:dyDescent="0.25">
      <c r="B712" s="342">
        <v>12060</v>
      </c>
      <c r="C712" s="343" t="s">
        <v>530</v>
      </c>
      <c r="D712" s="343" t="str">
        <f ca="1">OFFSET('Zip Code Lines_1'!$U$3,MATCH('Zip Code Lines_1'!C712,'Zip Code Lines_1'!$Q$4:$Q$26,0),0)</f>
        <v>Albany</v>
      </c>
      <c r="E712" s="344">
        <f ca="1">OFFSET('Zip Code Lines_1'!$W$3,MATCH('Zip Code Lines_1'!C712,'Zip Code Lines_1'!$Q$4:$Q$26,0),0)</f>
        <v>4.7</v>
      </c>
      <c r="F712" s="344">
        <f ca="1">OFFSET('Zip Code Lines_1'!$Z$3,MATCH('Zip Code Lines_1'!C712,'Zip Code Lines_1'!$Q$4:$Q$26,0),0)</f>
        <v>86.1</v>
      </c>
      <c r="G712" s="342">
        <f ca="1">OFFSET('Zip Code Lines_1'!$AC$3,MATCH('Zip Code Lines_1'!C712,'Zip Code Lines_1'!$Q$4:$Q$26,0),0)</f>
        <v>12</v>
      </c>
      <c r="H712" s="342">
        <v>12060</v>
      </c>
    </row>
    <row r="713" spans="2:8" x14ac:dyDescent="0.25">
      <c r="B713" s="342">
        <v>12061</v>
      </c>
      <c r="C713" s="343" t="s">
        <v>530</v>
      </c>
      <c r="D713" s="343" t="str">
        <f ca="1">OFFSET('Zip Code Lines_1'!$U$3,MATCH('Zip Code Lines_1'!C713,'Zip Code Lines_1'!$Q$4:$Q$26,0),0)</f>
        <v>Albany</v>
      </c>
      <c r="E713" s="344">
        <f ca="1">OFFSET('Zip Code Lines_1'!$W$3,MATCH('Zip Code Lines_1'!C713,'Zip Code Lines_1'!$Q$4:$Q$26,0),0)</f>
        <v>4.7</v>
      </c>
      <c r="F713" s="344">
        <f ca="1">OFFSET('Zip Code Lines_1'!$Z$3,MATCH('Zip Code Lines_1'!C713,'Zip Code Lines_1'!$Q$4:$Q$26,0),0)</f>
        <v>86.1</v>
      </c>
      <c r="G713" s="342">
        <f ca="1">OFFSET('Zip Code Lines_1'!$AC$3,MATCH('Zip Code Lines_1'!C713,'Zip Code Lines_1'!$Q$4:$Q$26,0),0)</f>
        <v>12</v>
      </c>
      <c r="H713" s="342">
        <v>12061</v>
      </c>
    </row>
    <row r="714" spans="2:8" x14ac:dyDescent="0.25">
      <c r="B714" s="342">
        <v>12062</v>
      </c>
      <c r="C714" s="343" t="s">
        <v>530</v>
      </c>
      <c r="D714" s="343" t="str">
        <f ca="1">OFFSET('Zip Code Lines_1'!$U$3,MATCH('Zip Code Lines_1'!C714,'Zip Code Lines_1'!$Q$4:$Q$26,0),0)</f>
        <v>Albany</v>
      </c>
      <c r="E714" s="344">
        <f ca="1">OFFSET('Zip Code Lines_1'!$W$3,MATCH('Zip Code Lines_1'!C714,'Zip Code Lines_1'!$Q$4:$Q$26,0),0)</f>
        <v>4.7</v>
      </c>
      <c r="F714" s="344">
        <f ca="1">OFFSET('Zip Code Lines_1'!$Z$3,MATCH('Zip Code Lines_1'!C714,'Zip Code Lines_1'!$Q$4:$Q$26,0),0)</f>
        <v>86.1</v>
      </c>
      <c r="G714" s="342">
        <f ca="1">OFFSET('Zip Code Lines_1'!$AC$3,MATCH('Zip Code Lines_1'!C714,'Zip Code Lines_1'!$Q$4:$Q$26,0),0)</f>
        <v>12</v>
      </c>
      <c r="H714" s="342">
        <v>12062</v>
      </c>
    </row>
    <row r="715" spans="2:8" x14ac:dyDescent="0.25">
      <c r="B715" s="342">
        <v>12063</v>
      </c>
      <c r="C715" s="343" t="s">
        <v>530</v>
      </c>
      <c r="D715" s="343" t="str">
        <f ca="1">OFFSET('Zip Code Lines_1'!$U$3,MATCH('Zip Code Lines_1'!C715,'Zip Code Lines_1'!$Q$4:$Q$26,0),0)</f>
        <v>Albany</v>
      </c>
      <c r="E715" s="344">
        <f ca="1">OFFSET('Zip Code Lines_1'!$W$3,MATCH('Zip Code Lines_1'!C715,'Zip Code Lines_1'!$Q$4:$Q$26,0),0)</f>
        <v>4.7</v>
      </c>
      <c r="F715" s="344">
        <f ca="1">OFFSET('Zip Code Lines_1'!$Z$3,MATCH('Zip Code Lines_1'!C715,'Zip Code Lines_1'!$Q$4:$Q$26,0),0)</f>
        <v>86.1</v>
      </c>
      <c r="G715" s="342">
        <f ca="1">OFFSET('Zip Code Lines_1'!$AC$3,MATCH('Zip Code Lines_1'!C715,'Zip Code Lines_1'!$Q$4:$Q$26,0),0)</f>
        <v>12</v>
      </c>
      <c r="H715" s="342">
        <v>12063</v>
      </c>
    </row>
    <row r="716" spans="2:8" x14ac:dyDescent="0.25">
      <c r="B716" s="342">
        <v>12064</v>
      </c>
      <c r="C716" s="343" t="s">
        <v>543</v>
      </c>
      <c r="D716" s="343" t="str">
        <f ca="1">OFFSET('Zip Code Lines_1'!$U$3,MATCH('Zip Code Lines_1'!C716,'Zip Code Lines_1'!$Q$4:$Q$26,0),0)</f>
        <v xml:space="preserve">Glens Falls </v>
      </c>
      <c r="E716" s="344">
        <f ca="1">OFFSET('Zip Code Lines_1'!$W$3,MATCH('Zip Code Lines_1'!C716,'Zip Code Lines_1'!$Q$4:$Q$26,0),0)</f>
        <v>-1.8</v>
      </c>
      <c r="F716" s="344">
        <f ca="1">OFFSET('Zip Code Lines_1'!$Z$3,MATCH('Zip Code Lines_1'!C716,'Zip Code Lines_1'!$Q$4:$Q$26,0),0)</f>
        <v>84.7</v>
      </c>
      <c r="G716" s="342">
        <f ca="1">OFFSET('Zip Code Lines_1'!$AC$3,MATCH('Zip Code Lines_1'!C716,'Zip Code Lines_1'!$Q$4:$Q$26,0),0)</f>
        <v>12</v>
      </c>
      <c r="H716" s="342">
        <v>12064</v>
      </c>
    </row>
    <row r="717" spans="2:8" x14ac:dyDescent="0.25">
      <c r="B717" s="342">
        <v>12065</v>
      </c>
      <c r="C717" s="343" t="s">
        <v>530</v>
      </c>
      <c r="D717" s="343" t="str">
        <f ca="1">OFFSET('Zip Code Lines_1'!$U$3,MATCH('Zip Code Lines_1'!C717,'Zip Code Lines_1'!$Q$4:$Q$26,0),0)</f>
        <v>Albany</v>
      </c>
      <c r="E717" s="344">
        <f ca="1">OFFSET('Zip Code Lines_1'!$W$3,MATCH('Zip Code Lines_1'!C717,'Zip Code Lines_1'!$Q$4:$Q$26,0),0)</f>
        <v>4.7</v>
      </c>
      <c r="F717" s="344">
        <f ca="1">OFFSET('Zip Code Lines_1'!$Z$3,MATCH('Zip Code Lines_1'!C717,'Zip Code Lines_1'!$Q$4:$Q$26,0),0)</f>
        <v>86.1</v>
      </c>
      <c r="G717" s="342">
        <f ca="1">OFFSET('Zip Code Lines_1'!$AC$3,MATCH('Zip Code Lines_1'!C717,'Zip Code Lines_1'!$Q$4:$Q$26,0),0)</f>
        <v>12</v>
      </c>
      <c r="H717" s="342">
        <v>12065</v>
      </c>
    </row>
    <row r="718" spans="2:8" x14ac:dyDescent="0.25">
      <c r="B718" s="342">
        <v>12066</v>
      </c>
      <c r="C718" s="343" t="s">
        <v>543</v>
      </c>
      <c r="D718" s="343" t="str">
        <f ca="1">OFFSET('Zip Code Lines_1'!$U$3,MATCH('Zip Code Lines_1'!C718,'Zip Code Lines_1'!$Q$4:$Q$26,0),0)</f>
        <v xml:space="preserve">Glens Falls </v>
      </c>
      <c r="E718" s="344">
        <f ca="1">OFFSET('Zip Code Lines_1'!$W$3,MATCH('Zip Code Lines_1'!C718,'Zip Code Lines_1'!$Q$4:$Q$26,0),0)</f>
        <v>-1.8</v>
      </c>
      <c r="F718" s="344">
        <f ca="1">OFFSET('Zip Code Lines_1'!$Z$3,MATCH('Zip Code Lines_1'!C718,'Zip Code Lines_1'!$Q$4:$Q$26,0),0)</f>
        <v>84.7</v>
      </c>
      <c r="G718" s="342">
        <f ca="1">OFFSET('Zip Code Lines_1'!$AC$3,MATCH('Zip Code Lines_1'!C718,'Zip Code Lines_1'!$Q$4:$Q$26,0),0)</f>
        <v>12</v>
      </c>
      <c r="H718" s="342">
        <v>12066</v>
      </c>
    </row>
    <row r="719" spans="2:8" x14ac:dyDescent="0.25">
      <c r="B719" s="342">
        <v>12067</v>
      </c>
      <c r="C719" s="343" t="s">
        <v>530</v>
      </c>
      <c r="D719" s="343" t="str">
        <f ca="1">OFFSET('Zip Code Lines_1'!$U$3,MATCH('Zip Code Lines_1'!C719,'Zip Code Lines_1'!$Q$4:$Q$26,0),0)</f>
        <v>Albany</v>
      </c>
      <c r="E719" s="344">
        <f ca="1">OFFSET('Zip Code Lines_1'!$W$3,MATCH('Zip Code Lines_1'!C719,'Zip Code Lines_1'!$Q$4:$Q$26,0),0)</f>
        <v>4.7</v>
      </c>
      <c r="F719" s="344">
        <f ca="1">OFFSET('Zip Code Lines_1'!$Z$3,MATCH('Zip Code Lines_1'!C719,'Zip Code Lines_1'!$Q$4:$Q$26,0),0)</f>
        <v>86.1</v>
      </c>
      <c r="G719" s="342">
        <f ca="1">OFFSET('Zip Code Lines_1'!$AC$3,MATCH('Zip Code Lines_1'!C719,'Zip Code Lines_1'!$Q$4:$Q$26,0),0)</f>
        <v>12</v>
      </c>
      <c r="H719" s="342">
        <v>12067</v>
      </c>
    </row>
    <row r="720" spans="2:8" x14ac:dyDescent="0.25">
      <c r="B720" s="342">
        <v>12068</v>
      </c>
      <c r="C720" s="343" t="s">
        <v>530</v>
      </c>
      <c r="D720" s="343" t="str">
        <f ca="1">OFFSET('Zip Code Lines_1'!$U$3,MATCH('Zip Code Lines_1'!C720,'Zip Code Lines_1'!$Q$4:$Q$26,0),0)</f>
        <v>Albany</v>
      </c>
      <c r="E720" s="344">
        <f ca="1">OFFSET('Zip Code Lines_1'!$W$3,MATCH('Zip Code Lines_1'!C720,'Zip Code Lines_1'!$Q$4:$Q$26,0),0)</f>
        <v>4.7</v>
      </c>
      <c r="F720" s="344">
        <f ca="1">OFFSET('Zip Code Lines_1'!$Z$3,MATCH('Zip Code Lines_1'!C720,'Zip Code Lines_1'!$Q$4:$Q$26,0),0)</f>
        <v>86.1</v>
      </c>
      <c r="G720" s="342">
        <f ca="1">OFFSET('Zip Code Lines_1'!$AC$3,MATCH('Zip Code Lines_1'!C720,'Zip Code Lines_1'!$Q$4:$Q$26,0),0)</f>
        <v>12</v>
      </c>
      <c r="H720" s="342">
        <v>12068</v>
      </c>
    </row>
    <row r="721" spans="2:8" x14ac:dyDescent="0.25">
      <c r="B721" s="342">
        <v>12069</v>
      </c>
      <c r="C721" s="343" t="s">
        <v>530</v>
      </c>
      <c r="D721" s="343" t="str">
        <f ca="1">OFFSET('Zip Code Lines_1'!$U$3,MATCH('Zip Code Lines_1'!C721,'Zip Code Lines_1'!$Q$4:$Q$26,0),0)</f>
        <v>Albany</v>
      </c>
      <c r="E721" s="344">
        <f ca="1">OFFSET('Zip Code Lines_1'!$W$3,MATCH('Zip Code Lines_1'!C721,'Zip Code Lines_1'!$Q$4:$Q$26,0),0)</f>
        <v>4.7</v>
      </c>
      <c r="F721" s="344">
        <f ca="1">OFFSET('Zip Code Lines_1'!$Z$3,MATCH('Zip Code Lines_1'!C721,'Zip Code Lines_1'!$Q$4:$Q$26,0),0)</f>
        <v>86.1</v>
      </c>
      <c r="G721" s="342">
        <f ca="1">OFFSET('Zip Code Lines_1'!$AC$3,MATCH('Zip Code Lines_1'!C721,'Zip Code Lines_1'!$Q$4:$Q$26,0),0)</f>
        <v>12</v>
      </c>
      <c r="H721" s="342">
        <v>12069</v>
      </c>
    </row>
    <row r="722" spans="2:8" x14ac:dyDescent="0.25">
      <c r="B722" s="342">
        <v>12070</v>
      </c>
      <c r="C722" s="343" t="s">
        <v>569</v>
      </c>
      <c r="D722" s="343" t="str">
        <f ca="1">OFFSET('Zip Code Lines_1'!$U$3,MATCH('Zip Code Lines_1'!C722,'Zip Code Lines_1'!$Q$4:$Q$26,0),0)</f>
        <v>Utica</v>
      </c>
      <c r="E722" s="344">
        <f ca="1">OFFSET('Zip Code Lines_1'!$W$3,MATCH('Zip Code Lines_1'!C722,'Zip Code Lines_1'!$Q$4:$Q$26,0),0)</f>
        <v>1.2</v>
      </c>
      <c r="F722" s="344">
        <f ca="1">OFFSET('Zip Code Lines_1'!$Z$3,MATCH('Zip Code Lines_1'!C722,'Zip Code Lines_1'!$Q$4:$Q$26,0),0)</f>
        <v>84.2</v>
      </c>
      <c r="G722" s="342">
        <f ca="1">OFFSET('Zip Code Lines_1'!$AC$3,MATCH('Zip Code Lines_1'!C722,'Zip Code Lines_1'!$Q$4:$Q$26,0),0)</f>
        <v>18</v>
      </c>
      <c r="H722" s="342">
        <v>12070</v>
      </c>
    </row>
    <row r="723" spans="2:8" x14ac:dyDescent="0.25">
      <c r="B723" s="342">
        <v>12071</v>
      </c>
      <c r="C723" s="343" t="s">
        <v>569</v>
      </c>
      <c r="D723" s="343" t="str">
        <f ca="1">OFFSET('Zip Code Lines_1'!$U$3,MATCH('Zip Code Lines_1'!C723,'Zip Code Lines_1'!$Q$4:$Q$26,0),0)</f>
        <v>Utica</v>
      </c>
      <c r="E723" s="344">
        <f ca="1">OFFSET('Zip Code Lines_1'!$W$3,MATCH('Zip Code Lines_1'!C723,'Zip Code Lines_1'!$Q$4:$Q$26,0),0)</f>
        <v>1.2</v>
      </c>
      <c r="F723" s="344">
        <f ca="1">OFFSET('Zip Code Lines_1'!$Z$3,MATCH('Zip Code Lines_1'!C723,'Zip Code Lines_1'!$Q$4:$Q$26,0),0)</f>
        <v>84.2</v>
      </c>
      <c r="G723" s="342">
        <f ca="1">OFFSET('Zip Code Lines_1'!$AC$3,MATCH('Zip Code Lines_1'!C723,'Zip Code Lines_1'!$Q$4:$Q$26,0),0)</f>
        <v>18</v>
      </c>
      <c r="H723" s="342">
        <v>12071</v>
      </c>
    </row>
    <row r="724" spans="2:8" x14ac:dyDescent="0.25">
      <c r="B724" s="342">
        <v>12072</v>
      </c>
      <c r="C724" s="343" t="s">
        <v>569</v>
      </c>
      <c r="D724" s="343" t="str">
        <f ca="1">OFFSET('Zip Code Lines_1'!$U$3,MATCH('Zip Code Lines_1'!C724,'Zip Code Lines_1'!$Q$4:$Q$26,0),0)</f>
        <v>Utica</v>
      </c>
      <c r="E724" s="344">
        <f ca="1">OFFSET('Zip Code Lines_1'!$W$3,MATCH('Zip Code Lines_1'!C724,'Zip Code Lines_1'!$Q$4:$Q$26,0),0)</f>
        <v>1.2</v>
      </c>
      <c r="F724" s="344">
        <f ca="1">OFFSET('Zip Code Lines_1'!$Z$3,MATCH('Zip Code Lines_1'!C724,'Zip Code Lines_1'!$Q$4:$Q$26,0),0)</f>
        <v>84.2</v>
      </c>
      <c r="G724" s="342">
        <f ca="1">OFFSET('Zip Code Lines_1'!$AC$3,MATCH('Zip Code Lines_1'!C724,'Zip Code Lines_1'!$Q$4:$Q$26,0),0)</f>
        <v>18</v>
      </c>
      <c r="H724" s="342">
        <v>12072</v>
      </c>
    </row>
    <row r="725" spans="2:8" x14ac:dyDescent="0.25">
      <c r="B725" s="342">
        <v>12073</v>
      </c>
      <c r="C725" s="343" t="s">
        <v>530</v>
      </c>
      <c r="D725" s="343" t="str">
        <f ca="1">OFFSET('Zip Code Lines_1'!$U$3,MATCH('Zip Code Lines_1'!C725,'Zip Code Lines_1'!$Q$4:$Q$26,0),0)</f>
        <v>Albany</v>
      </c>
      <c r="E725" s="344">
        <f ca="1">OFFSET('Zip Code Lines_1'!$W$3,MATCH('Zip Code Lines_1'!C725,'Zip Code Lines_1'!$Q$4:$Q$26,0),0)</f>
        <v>4.7</v>
      </c>
      <c r="F725" s="344">
        <f ca="1">OFFSET('Zip Code Lines_1'!$Z$3,MATCH('Zip Code Lines_1'!C725,'Zip Code Lines_1'!$Q$4:$Q$26,0),0)</f>
        <v>86.1</v>
      </c>
      <c r="G725" s="342">
        <f ca="1">OFFSET('Zip Code Lines_1'!$AC$3,MATCH('Zip Code Lines_1'!C725,'Zip Code Lines_1'!$Q$4:$Q$26,0),0)</f>
        <v>12</v>
      </c>
      <c r="H725" s="342">
        <v>12073</v>
      </c>
    </row>
    <row r="726" spans="2:8" x14ac:dyDescent="0.25">
      <c r="B726" s="342">
        <v>12074</v>
      </c>
      <c r="C726" s="343" t="s">
        <v>543</v>
      </c>
      <c r="D726" s="343" t="str">
        <f ca="1">OFFSET('Zip Code Lines_1'!$U$3,MATCH('Zip Code Lines_1'!C726,'Zip Code Lines_1'!$Q$4:$Q$26,0),0)</f>
        <v xml:space="preserve">Glens Falls </v>
      </c>
      <c r="E726" s="344">
        <f ca="1">OFFSET('Zip Code Lines_1'!$W$3,MATCH('Zip Code Lines_1'!C726,'Zip Code Lines_1'!$Q$4:$Q$26,0),0)</f>
        <v>-1.8</v>
      </c>
      <c r="F726" s="344">
        <f ca="1">OFFSET('Zip Code Lines_1'!$Z$3,MATCH('Zip Code Lines_1'!C726,'Zip Code Lines_1'!$Q$4:$Q$26,0),0)</f>
        <v>84.7</v>
      </c>
      <c r="G726" s="342">
        <f ca="1">OFFSET('Zip Code Lines_1'!$AC$3,MATCH('Zip Code Lines_1'!C726,'Zip Code Lines_1'!$Q$4:$Q$26,0),0)</f>
        <v>12</v>
      </c>
      <c r="H726" s="342">
        <v>12074</v>
      </c>
    </row>
    <row r="727" spans="2:8" x14ac:dyDescent="0.25">
      <c r="B727" s="342">
        <v>12075</v>
      </c>
      <c r="C727" s="343" t="s">
        <v>530</v>
      </c>
      <c r="D727" s="343" t="str">
        <f ca="1">OFFSET('Zip Code Lines_1'!$U$3,MATCH('Zip Code Lines_1'!C727,'Zip Code Lines_1'!$Q$4:$Q$26,0),0)</f>
        <v>Albany</v>
      </c>
      <c r="E727" s="344">
        <f ca="1">OFFSET('Zip Code Lines_1'!$W$3,MATCH('Zip Code Lines_1'!C727,'Zip Code Lines_1'!$Q$4:$Q$26,0),0)</f>
        <v>4.7</v>
      </c>
      <c r="F727" s="344">
        <f ca="1">OFFSET('Zip Code Lines_1'!$Z$3,MATCH('Zip Code Lines_1'!C727,'Zip Code Lines_1'!$Q$4:$Q$26,0),0)</f>
        <v>86.1</v>
      </c>
      <c r="G727" s="342">
        <f ca="1">OFFSET('Zip Code Lines_1'!$AC$3,MATCH('Zip Code Lines_1'!C727,'Zip Code Lines_1'!$Q$4:$Q$26,0),0)</f>
        <v>12</v>
      </c>
      <c r="H727" s="342">
        <v>12075</v>
      </c>
    </row>
    <row r="728" spans="2:8" x14ac:dyDescent="0.25">
      <c r="B728" s="342">
        <v>12076</v>
      </c>
      <c r="C728" s="343" t="s">
        <v>543</v>
      </c>
      <c r="D728" s="343" t="str">
        <f ca="1">OFFSET('Zip Code Lines_1'!$U$3,MATCH('Zip Code Lines_1'!C728,'Zip Code Lines_1'!$Q$4:$Q$26,0),0)</f>
        <v xml:space="preserve">Glens Falls </v>
      </c>
      <c r="E728" s="344">
        <f ca="1">OFFSET('Zip Code Lines_1'!$W$3,MATCH('Zip Code Lines_1'!C728,'Zip Code Lines_1'!$Q$4:$Q$26,0),0)</f>
        <v>-1.8</v>
      </c>
      <c r="F728" s="344">
        <f ca="1">OFFSET('Zip Code Lines_1'!$Z$3,MATCH('Zip Code Lines_1'!C728,'Zip Code Lines_1'!$Q$4:$Q$26,0),0)</f>
        <v>84.7</v>
      </c>
      <c r="G728" s="342">
        <f ca="1">OFFSET('Zip Code Lines_1'!$AC$3,MATCH('Zip Code Lines_1'!C728,'Zip Code Lines_1'!$Q$4:$Q$26,0),0)</f>
        <v>12</v>
      </c>
      <c r="H728" s="342">
        <v>12076</v>
      </c>
    </row>
    <row r="729" spans="2:8" x14ac:dyDescent="0.25">
      <c r="B729" s="342">
        <v>12077</v>
      </c>
      <c r="C729" s="343" t="s">
        <v>530</v>
      </c>
      <c r="D729" s="343" t="str">
        <f ca="1">OFFSET('Zip Code Lines_1'!$U$3,MATCH('Zip Code Lines_1'!C729,'Zip Code Lines_1'!$Q$4:$Q$26,0),0)</f>
        <v>Albany</v>
      </c>
      <c r="E729" s="344">
        <f ca="1">OFFSET('Zip Code Lines_1'!$W$3,MATCH('Zip Code Lines_1'!C729,'Zip Code Lines_1'!$Q$4:$Q$26,0),0)</f>
        <v>4.7</v>
      </c>
      <c r="F729" s="344">
        <f ca="1">OFFSET('Zip Code Lines_1'!$Z$3,MATCH('Zip Code Lines_1'!C729,'Zip Code Lines_1'!$Q$4:$Q$26,0),0)</f>
        <v>86.1</v>
      </c>
      <c r="G729" s="342">
        <f ca="1">OFFSET('Zip Code Lines_1'!$AC$3,MATCH('Zip Code Lines_1'!C729,'Zip Code Lines_1'!$Q$4:$Q$26,0),0)</f>
        <v>12</v>
      </c>
      <c r="H729" s="342">
        <v>12077</v>
      </c>
    </row>
    <row r="730" spans="2:8" x14ac:dyDescent="0.25">
      <c r="B730" s="342">
        <v>12078</v>
      </c>
      <c r="C730" s="343" t="s">
        <v>543</v>
      </c>
      <c r="D730" s="343" t="str">
        <f ca="1">OFFSET('Zip Code Lines_1'!$U$3,MATCH('Zip Code Lines_1'!C730,'Zip Code Lines_1'!$Q$4:$Q$26,0),0)</f>
        <v xml:space="preserve">Glens Falls </v>
      </c>
      <c r="E730" s="344">
        <f ca="1">OFFSET('Zip Code Lines_1'!$W$3,MATCH('Zip Code Lines_1'!C730,'Zip Code Lines_1'!$Q$4:$Q$26,0),0)</f>
        <v>-1.8</v>
      </c>
      <c r="F730" s="344">
        <f ca="1">OFFSET('Zip Code Lines_1'!$Z$3,MATCH('Zip Code Lines_1'!C730,'Zip Code Lines_1'!$Q$4:$Q$26,0),0)</f>
        <v>84.7</v>
      </c>
      <c r="G730" s="342">
        <f ca="1">OFFSET('Zip Code Lines_1'!$AC$3,MATCH('Zip Code Lines_1'!C730,'Zip Code Lines_1'!$Q$4:$Q$26,0),0)</f>
        <v>12</v>
      </c>
      <c r="H730" s="342">
        <v>12078</v>
      </c>
    </row>
    <row r="731" spans="2:8" x14ac:dyDescent="0.25">
      <c r="B731" s="342">
        <v>12082</v>
      </c>
      <c r="C731" s="343" t="s">
        <v>543</v>
      </c>
      <c r="D731" s="343" t="str">
        <f ca="1">OFFSET('Zip Code Lines_1'!$U$3,MATCH('Zip Code Lines_1'!C731,'Zip Code Lines_1'!$Q$4:$Q$26,0),0)</f>
        <v xml:space="preserve">Glens Falls </v>
      </c>
      <c r="E731" s="344">
        <f ca="1">OFFSET('Zip Code Lines_1'!$W$3,MATCH('Zip Code Lines_1'!C731,'Zip Code Lines_1'!$Q$4:$Q$26,0),0)</f>
        <v>-1.8</v>
      </c>
      <c r="F731" s="344">
        <f ca="1">OFFSET('Zip Code Lines_1'!$Z$3,MATCH('Zip Code Lines_1'!C731,'Zip Code Lines_1'!$Q$4:$Q$26,0),0)</f>
        <v>84.7</v>
      </c>
      <c r="G731" s="342">
        <f ca="1">OFFSET('Zip Code Lines_1'!$AC$3,MATCH('Zip Code Lines_1'!C731,'Zip Code Lines_1'!$Q$4:$Q$26,0),0)</f>
        <v>12</v>
      </c>
      <c r="H731" s="342">
        <v>12082</v>
      </c>
    </row>
    <row r="732" spans="2:8" x14ac:dyDescent="0.25">
      <c r="B732" s="342">
        <v>12083</v>
      </c>
      <c r="C732" s="343" t="s">
        <v>530</v>
      </c>
      <c r="D732" s="343" t="str">
        <f ca="1">OFFSET('Zip Code Lines_1'!$U$3,MATCH('Zip Code Lines_1'!C732,'Zip Code Lines_1'!$Q$4:$Q$26,0),0)</f>
        <v>Albany</v>
      </c>
      <c r="E732" s="344">
        <f ca="1">OFFSET('Zip Code Lines_1'!$W$3,MATCH('Zip Code Lines_1'!C732,'Zip Code Lines_1'!$Q$4:$Q$26,0),0)</f>
        <v>4.7</v>
      </c>
      <c r="F732" s="344">
        <f ca="1">OFFSET('Zip Code Lines_1'!$Z$3,MATCH('Zip Code Lines_1'!C732,'Zip Code Lines_1'!$Q$4:$Q$26,0),0)</f>
        <v>86.1</v>
      </c>
      <c r="G732" s="342">
        <f ca="1">OFFSET('Zip Code Lines_1'!$AC$3,MATCH('Zip Code Lines_1'!C732,'Zip Code Lines_1'!$Q$4:$Q$26,0),0)</f>
        <v>12</v>
      </c>
      <c r="H732" s="342">
        <v>12083</v>
      </c>
    </row>
    <row r="733" spans="2:8" x14ac:dyDescent="0.25">
      <c r="B733" s="342">
        <v>12084</v>
      </c>
      <c r="C733" s="343" t="s">
        <v>530</v>
      </c>
      <c r="D733" s="343" t="str">
        <f ca="1">OFFSET('Zip Code Lines_1'!$U$3,MATCH('Zip Code Lines_1'!C733,'Zip Code Lines_1'!$Q$4:$Q$26,0),0)</f>
        <v>Albany</v>
      </c>
      <c r="E733" s="344">
        <f ca="1">OFFSET('Zip Code Lines_1'!$W$3,MATCH('Zip Code Lines_1'!C733,'Zip Code Lines_1'!$Q$4:$Q$26,0),0)</f>
        <v>4.7</v>
      </c>
      <c r="F733" s="344">
        <f ca="1">OFFSET('Zip Code Lines_1'!$Z$3,MATCH('Zip Code Lines_1'!C733,'Zip Code Lines_1'!$Q$4:$Q$26,0),0)</f>
        <v>86.1</v>
      </c>
      <c r="G733" s="342">
        <f ca="1">OFFSET('Zip Code Lines_1'!$AC$3,MATCH('Zip Code Lines_1'!C733,'Zip Code Lines_1'!$Q$4:$Q$26,0),0)</f>
        <v>12</v>
      </c>
      <c r="H733" s="342">
        <v>12084</v>
      </c>
    </row>
    <row r="734" spans="2:8" x14ac:dyDescent="0.25">
      <c r="B734" s="342">
        <v>12085</v>
      </c>
      <c r="C734" s="343" t="s">
        <v>530</v>
      </c>
      <c r="D734" s="343" t="str">
        <f ca="1">OFFSET('Zip Code Lines_1'!$U$3,MATCH('Zip Code Lines_1'!C734,'Zip Code Lines_1'!$Q$4:$Q$26,0),0)</f>
        <v>Albany</v>
      </c>
      <c r="E734" s="344">
        <f ca="1">OFFSET('Zip Code Lines_1'!$W$3,MATCH('Zip Code Lines_1'!C734,'Zip Code Lines_1'!$Q$4:$Q$26,0),0)</f>
        <v>4.7</v>
      </c>
      <c r="F734" s="344">
        <f ca="1">OFFSET('Zip Code Lines_1'!$Z$3,MATCH('Zip Code Lines_1'!C734,'Zip Code Lines_1'!$Q$4:$Q$26,0),0)</f>
        <v>86.1</v>
      </c>
      <c r="G734" s="342">
        <f ca="1">OFFSET('Zip Code Lines_1'!$AC$3,MATCH('Zip Code Lines_1'!C734,'Zip Code Lines_1'!$Q$4:$Q$26,0),0)</f>
        <v>12</v>
      </c>
      <c r="H734" s="342">
        <v>12085</v>
      </c>
    </row>
    <row r="735" spans="2:8" x14ac:dyDescent="0.25">
      <c r="B735" s="342">
        <v>12086</v>
      </c>
      <c r="C735" s="343" t="s">
        <v>530</v>
      </c>
      <c r="D735" s="343" t="str">
        <f ca="1">OFFSET('Zip Code Lines_1'!$U$3,MATCH('Zip Code Lines_1'!C735,'Zip Code Lines_1'!$Q$4:$Q$26,0),0)</f>
        <v>Albany</v>
      </c>
      <c r="E735" s="344">
        <f ca="1">OFFSET('Zip Code Lines_1'!$W$3,MATCH('Zip Code Lines_1'!C735,'Zip Code Lines_1'!$Q$4:$Q$26,0),0)</f>
        <v>4.7</v>
      </c>
      <c r="F735" s="344">
        <f ca="1">OFFSET('Zip Code Lines_1'!$Z$3,MATCH('Zip Code Lines_1'!C735,'Zip Code Lines_1'!$Q$4:$Q$26,0),0)</f>
        <v>86.1</v>
      </c>
      <c r="G735" s="342">
        <f ca="1">OFFSET('Zip Code Lines_1'!$AC$3,MATCH('Zip Code Lines_1'!C735,'Zip Code Lines_1'!$Q$4:$Q$26,0),0)</f>
        <v>12</v>
      </c>
      <c r="H735" s="342">
        <v>12086</v>
      </c>
    </row>
    <row r="736" spans="2:8" x14ac:dyDescent="0.25">
      <c r="B736" s="342">
        <v>12087</v>
      </c>
      <c r="C736" s="343" t="s">
        <v>530</v>
      </c>
      <c r="D736" s="343" t="str">
        <f ca="1">OFFSET('Zip Code Lines_1'!$U$3,MATCH('Zip Code Lines_1'!C736,'Zip Code Lines_1'!$Q$4:$Q$26,0),0)</f>
        <v>Albany</v>
      </c>
      <c r="E736" s="344">
        <f ca="1">OFFSET('Zip Code Lines_1'!$W$3,MATCH('Zip Code Lines_1'!C736,'Zip Code Lines_1'!$Q$4:$Q$26,0),0)</f>
        <v>4.7</v>
      </c>
      <c r="F736" s="344">
        <f ca="1">OFFSET('Zip Code Lines_1'!$Z$3,MATCH('Zip Code Lines_1'!C736,'Zip Code Lines_1'!$Q$4:$Q$26,0),0)</f>
        <v>86.1</v>
      </c>
      <c r="G736" s="342">
        <f ca="1">OFFSET('Zip Code Lines_1'!$AC$3,MATCH('Zip Code Lines_1'!C736,'Zip Code Lines_1'!$Q$4:$Q$26,0),0)</f>
        <v>12</v>
      </c>
      <c r="H736" s="342">
        <v>12087</v>
      </c>
    </row>
    <row r="737" spans="2:8" x14ac:dyDescent="0.25">
      <c r="B737" s="342">
        <v>12089</v>
      </c>
      <c r="C737" s="343" t="s">
        <v>543</v>
      </c>
      <c r="D737" s="343" t="str">
        <f ca="1">OFFSET('Zip Code Lines_1'!$U$3,MATCH('Zip Code Lines_1'!C737,'Zip Code Lines_1'!$Q$4:$Q$26,0),0)</f>
        <v xml:space="preserve">Glens Falls </v>
      </c>
      <c r="E737" s="344">
        <f ca="1">OFFSET('Zip Code Lines_1'!$W$3,MATCH('Zip Code Lines_1'!C737,'Zip Code Lines_1'!$Q$4:$Q$26,0),0)</f>
        <v>-1.8</v>
      </c>
      <c r="F737" s="344">
        <f ca="1">OFFSET('Zip Code Lines_1'!$Z$3,MATCH('Zip Code Lines_1'!C737,'Zip Code Lines_1'!$Q$4:$Q$26,0),0)</f>
        <v>84.7</v>
      </c>
      <c r="G737" s="342">
        <f ca="1">OFFSET('Zip Code Lines_1'!$AC$3,MATCH('Zip Code Lines_1'!C737,'Zip Code Lines_1'!$Q$4:$Q$26,0),0)</f>
        <v>12</v>
      </c>
      <c r="H737" s="342">
        <v>12089</v>
      </c>
    </row>
    <row r="738" spans="2:8" x14ac:dyDescent="0.25">
      <c r="B738" s="342">
        <v>12090</v>
      </c>
      <c r="C738" s="343" t="s">
        <v>543</v>
      </c>
      <c r="D738" s="343" t="str">
        <f ca="1">OFFSET('Zip Code Lines_1'!$U$3,MATCH('Zip Code Lines_1'!C738,'Zip Code Lines_1'!$Q$4:$Q$26,0),0)</f>
        <v xml:space="preserve">Glens Falls </v>
      </c>
      <c r="E738" s="344">
        <f ca="1">OFFSET('Zip Code Lines_1'!$W$3,MATCH('Zip Code Lines_1'!C738,'Zip Code Lines_1'!$Q$4:$Q$26,0),0)</f>
        <v>-1.8</v>
      </c>
      <c r="F738" s="344">
        <f ca="1">OFFSET('Zip Code Lines_1'!$Z$3,MATCH('Zip Code Lines_1'!C738,'Zip Code Lines_1'!$Q$4:$Q$26,0),0)</f>
        <v>84.7</v>
      </c>
      <c r="G738" s="342">
        <f ca="1">OFFSET('Zip Code Lines_1'!$AC$3,MATCH('Zip Code Lines_1'!C738,'Zip Code Lines_1'!$Q$4:$Q$26,0),0)</f>
        <v>12</v>
      </c>
      <c r="H738" s="342">
        <v>12090</v>
      </c>
    </row>
    <row r="739" spans="2:8" x14ac:dyDescent="0.25">
      <c r="B739" s="342">
        <v>12092</v>
      </c>
      <c r="C739" s="343" t="s">
        <v>569</v>
      </c>
      <c r="D739" s="343" t="str">
        <f ca="1">OFFSET('Zip Code Lines_1'!$U$3,MATCH('Zip Code Lines_1'!C739,'Zip Code Lines_1'!$Q$4:$Q$26,0),0)</f>
        <v>Utica</v>
      </c>
      <c r="E739" s="344">
        <f ca="1">OFFSET('Zip Code Lines_1'!$W$3,MATCH('Zip Code Lines_1'!C739,'Zip Code Lines_1'!$Q$4:$Q$26,0),0)</f>
        <v>1.2</v>
      </c>
      <c r="F739" s="344">
        <f ca="1">OFFSET('Zip Code Lines_1'!$Z$3,MATCH('Zip Code Lines_1'!C739,'Zip Code Lines_1'!$Q$4:$Q$26,0),0)</f>
        <v>84.2</v>
      </c>
      <c r="G739" s="342">
        <f ca="1">OFFSET('Zip Code Lines_1'!$AC$3,MATCH('Zip Code Lines_1'!C739,'Zip Code Lines_1'!$Q$4:$Q$26,0),0)</f>
        <v>18</v>
      </c>
      <c r="H739" s="342">
        <v>12092</v>
      </c>
    </row>
    <row r="740" spans="2:8" x14ac:dyDescent="0.25">
      <c r="B740" s="342">
        <v>12093</v>
      </c>
      <c r="C740" s="343" t="s">
        <v>543</v>
      </c>
      <c r="D740" s="343" t="str">
        <f ca="1">OFFSET('Zip Code Lines_1'!$U$3,MATCH('Zip Code Lines_1'!C740,'Zip Code Lines_1'!$Q$4:$Q$26,0),0)</f>
        <v xml:space="preserve">Glens Falls </v>
      </c>
      <c r="E740" s="344">
        <f ca="1">OFFSET('Zip Code Lines_1'!$W$3,MATCH('Zip Code Lines_1'!C740,'Zip Code Lines_1'!$Q$4:$Q$26,0),0)</f>
        <v>-1.8</v>
      </c>
      <c r="F740" s="344">
        <f ca="1">OFFSET('Zip Code Lines_1'!$Z$3,MATCH('Zip Code Lines_1'!C740,'Zip Code Lines_1'!$Q$4:$Q$26,0),0)</f>
        <v>84.7</v>
      </c>
      <c r="G740" s="342">
        <f ca="1">OFFSET('Zip Code Lines_1'!$AC$3,MATCH('Zip Code Lines_1'!C740,'Zip Code Lines_1'!$Q$4:$Q$26,0),0)</f>
        <v>12</v>
      </c>
      <c r="H740" s="342">
        <v>12093</v>
      </c>
    </row>
    <row r="741" spans="2:8" x14ac:dyDescent="0.25">
      <c r="B741" s="342">
        <v>12094</v>
      </c>
      <c r="C741" s="343" t="s">
        <v>543</v>
      </c>
      <c r="D741" s="343" t="str">
        <f ca="1">OFFSET('Zip Code Lines_1'!$U$3,MATCH('Zip Code Lines_1'!C741,'Zip Code Lines_1'!$Q$4:$Q$26,0),0)</f>
        <v xml:space="preserve">Glens Falls </v>
      </c>
      <c r="E741" s="344">
        <f ca="1">OFFSET('Zip Code Lines_1'!$W$3,MATCH('Zip Code Lines_1'!C741,'Zip Code Lines_1'!$Q$4:$Q$26,0),0)</f>
        <v>-1.8</v>
      </c>
      <c r="F741" s="344">
        <f ca="1">OFFSET('Zip Code Lines_1'!$Z$3,MATCH('Zip Code Lines_1'!C741,'Zip Code Lines_1'!$Q$4:$Q$26,0),0)</f>
        <v>84.7</v>
      </c>
      <c r="G741" s="342">
        <f ca="1">OFFSET('Zip Code Lines_1'!$AC$3,MATCH('Zip Code Lines_1'!C741,'Zip Code Lines_1'!$Q$4:$Q$26,0),0)</f>
        <v>12</v>
      </c>
      <c r="H741" s="342">
        <v>12094</v>
      </c>
    </row>
    <row r="742" spans="2:8" x14ac:dyDescent="0.25">
      <c r="B742" s="342">
        <v>12095</v>
      </c>
      <c r="C742" s="343" t="s">
        <v>543</v>
      </c>
      <c r="D742" s="343" t="str">
        <f ca="1">OFFSET('Zip Code Lines_1'!$U$3,MATCH('Zip Code Lines_1'!C742,'Zip Code Lines_1'!$Q$4:$Q$26,0),0)</f>
        <v xml:space="preserve">Glens Falls </v>
      </c>
      <c r="E742" s="344">
        <f ca="1">OFFSET('Zip Code Lines_1'!$W$3,MATCH('Zip Code Lines_1'!C742,'Zip Code Lines_1'!$Q$4:$Q$26,0),0)</f>
        <v>-1.8</v>
      </c>
      <c r="F742" s="344">
        <f ca="1">OFFSET('Zip Code Lines_1'!$Z$3,MATCH('Zip Code Lines_1'!C742,'Zip Code Lines_1'!$Q$4:$Q$26,0),0)</f>
        <v>84.7</v>
      </c>
      <c r="G742" s="342">
        <f ca="1">OFFSET('Zip Code Lines_1'!$AC$3,MATCH('Zip Code Lines_1'!C742,'Zip Code Lines_1'!$Q$4:$Q$26,0),0)</f>
        <v>12</v>
      </c>
      <c r="H742" s="342">
        <v>12095</v>
      </c>
    </row>
    <row r="743" spans="2:8" x14ac:dyDescent="0.25">
      <c r="B743" s="342">
        <v>12106</v>
      </c>
      <c r="C743" s="343" t="s">
        <v>530</v>
      </c>
      <c r="D743" s="343" t="str">
        <f ca="1">OFFSET('Zip Code Lines_1'!$U$3,MATCH('Zip Code Lines_1'!C743,'Zip Code Lines_1'!$Q$4:$Q$26,0),0)</f>
        <v>Albany</v>
      </c>
      <c r="E743" s="344">
        <f ca="1">OFFSET('Zip Code Lines_1'!$W$3,MATCH('Zip Code Lines_1'!C743,'Zip Code Lines_1'!$Q$4:$Q$26,0),0)</f>
        <v>4.7</v>
      </c>
      <c r="F743" s="344">
        <f ca="1">OFFSET('Zip Code Lines_1'!$Z$3,MATCH('Zip Code Lines_1'!C743,'Zip Code Lines_1'!$Q$4:$Q$26,0),0)</f>
        <v>86.1</v>
      </c>
      <c r="G743" s="342">
        <f ca="1">OFFSET('Zip Code Lines_1'!$AC$3,MATCH('Zip Code Lines_1'!C743,'Zip Code Lines_1'!$Q$4:$Q$26,0),0)</f>
        <v>12</v>
      </c>
      <c r="H743" s="342">
        <v>12106</v>
      </c>
    </row>
    <row r="744" spans="2:8" x14ac:dyDescent="0.25">
      <c r="B744" s="342">
        <v>12107</v>
      </c>
      <c r="C744" s="343" t="s">
        <v>530</v>
      </c>
      <c r="D744" s="343" t="str">
        <f ca="1">OFFSET('Zip Code Lines_1'!$U$3,MATCH('Zip Code Lines_1'!C744,'Zip Code Lines_1'!$Q$4:$Q$26,0),0)</f>
        <v>Albany</v>
      </c>
      <c r="E744" s="344">
        <f ca="1">OFFSET('Zip Code Lines_1'!$W$3,MATCH('Zip Code Lines_1'!C744,'Zip Code Lines_1'!$Q$4:$Q$26,0),0)</f>
        <v>4.7</v>
      </c>
      <c r="F744" s="344">
        <f ca="1">OFFSET('Zip Code Lines_1'!$Z$3,MATCH('Zip Code Lines_1'!C744,'Zip Code Lines_1'!$Q$4:$Q$26,0),0)</f>
        <v>86.1</v>
      </c>
      <c r="G744" s="342">
        <f ca="1">OFFSET('Zip Code Lines_1'!$AC$3,MATCH('Zip Code Lines_1'!C744,'Zip Code Lines_1'!$Q$4:$Q$26,0),0)</f>
        <v>12</v>
      </c>
      <c r="H744" s="342">
        <v>12107</v>
      </c>
    </row>
    <row r="745" spans="2:8" x14ac:dyDescent="0.25">
      <c r="B745" s="342">
        <v>12108</v>
      </c>
      <c r="C745" s="343" t="s">
        <v>566</v>
      </c>
      <c r="D745" s="343" t="str">
        <f ca="1">OFFSET('Zip Code Lines_1'!$U$3,MATCH('Zip Code Lines_1'!C745,'Zip Code Lines_1'!$Q$4:$Q$26,0),0)</f>
        <v>Saranac Lake</v>
      </c>
      <c r="E745" s="344">
        <f ca="1">OFFSET('Zip Code Lines_1'!$W$3,MATCH('Zip Code Lines_1'!C745,'Zip Code Lines_1'!$Q$4:$Q$26,0),0)</f>
        <v>-11.5</v>
      </c>
      <c r="F745" s="344">
        <f ca="1">OFFSET('Zip Code Lines_1'!$Z$3,MATCH('Zip Code Lines_1'!C745,'Zip Code Lines_1'!$Q$4:$Q$26,0),0)</f>
        <v>81</v>
      </c>
      <c r="G745" s="342">
        <f ca="1">OFFSET('Zip Code Lines_1'!$AC$3,MATCH('Zip Code Lines_1'!C745,'Zip Code Lines_1'!$Q$4:$Q$26,0),0)</f>
        <v>24</v>
      </c>
      <c r="H745" s="342">
        <v>12108</v>
      </c>
    </row>
    <row r="746" spans="2:8" x14ac:dyDescent="0.25">
      <c r="B746" s="342">
        <v>12110</v>
      </c>
      <c r="C746" s="343" t="s">
        <v>530</v>
      </c>
      <c r="D746" s="343" t="str">
        <f ca="1">OFFSET('Zip Code Lines_1'!$U$3,MATCH('Zip Code Lines_1'!C746,'Zip Code Lines_1'!$Q$4:$Q$26,0),0)</f>
        <v>Albany</v>
      </c>
      <c r="E746" s="344">
        <f ca="1">OFFSET('Zip Code Lines_1'!$W$3,MATCH('Zip Code Lines_1'!C746,'Zip Code Lines_1'!$Q$4:$Q$26,0),0)</f>
        <v>4.7</v>
      </c>
      <c r="F746" s="344">
        <f ca="1">OFFSET('Zip Code Lines_1'!$Z$3,MATCH('Zip Code Lines_1'!C746,'Zip Code Lines_1'!$Q$4:$Q$26,0),0)</f>
        <v>86.1</v>
      </c>
      <c r="G746" s="342">
        <f ca="1">OFFSET('Zip Code Lines_1'!$AC$3,MATCH('Zip Code Lines_1'!C746,'Zip Code Lines_1'!$Q$4:$Q$26,0),0)</f>
        <v>12</v>
      </c>
      <c r="H746" s="342">
        <v>12110</v>
      </c>
    </row>
    <row r="747" spans="2:8" x14ac:dyDescent="0.25">
      <c r="B747" s="342">
        <v>12115</v>
      </c>
      <c r="C747" s="343" t="s">
        <v>530</v>
      </c>
      <c r="D747" s="343" t="str">
        <f ca="1">OFFSET('Zip Code Lines_1'!$U$3,MATCH('Zip Code Lines_1'!C747,'Zip Code Lines_1'!$Q$4:$Q$26,0),0)</f>
        <v>Albany</v>
      </c>
      <c r="E747" s="344">
        <f ca="1">OFFSET('Zip Code Lines_1'!$W$3,MATCH('Zip Code Lines_1'!C747,'Zip Code Lines_1'!$Q$4:$Q$26,0),0)</f>
        <v>4.7</v>
      </c>
      <c r="F747" s="344">
        <f ca="1">OFFSET('Zip Code Lines_1'!$Z$3,MATCH('Zip Code Lines_1'!C747,'Zip Code Lines_1'!$Q$4:$Q$26,0),0)</f>
        <v>86.1</v>
      </c>
      <c r="G747" s="342">
        <f ca="1">OFFSET('Zip Code Lines_1'!$AC$3,MATCH('Zip Code Lines_1'!C747,'Zip Code Lines_1'!$Q$4:$Q$26,0),0)</f>
        <v>12</v>
      </c>
      <c r="H747" s="342">
        <v>12115</v>
      </c>
    </row>
    <row r="748" spans="2:8" x14ac:dyDescent="0.25">
      <c r="B748" s="342">
        <v>12116</v>
      </c>
      <c r="C748" s="343" t="s">
        <v>543</v>
      </c>
      <c r="D748" s="343" t="str">
        <f ca="1">OFFSET('Zip Code Lines_1'!$U$3,MATCH('Zip Code Lines_1'!C748,'Zip Code Lines_1'!$Q$4:$Q$26,0),0)</f>
        <v xml:space="preserve">Glens Falls </v>
      </c>
      <c r="E748" s="344">
        <f ca="1">OFFSET('Zip Code Lines_1'!$W$3,MATCH('Zip Code Lines_1'!C748,'Zip Code Lines_1'!$Q$4:$Q$26,0),0)</f>
        <v>-1.8</v>
      </c>
      <c r="F748" s="344">
        <f ca="1">OFFSET('Zip Code Lines_1'!$Z$3,MATCH('Zip Code Lines_1'!C748,'Zip Code Lines_1'!$Q$4:$Q$26,0),0)</f>
        <v>84.7</v>
      </c>
      <c r="G748" s="342">
        <f ca="1">OFFSET('Zip Code Lines_1'!$AC$3,MATCH('Zip Code Lines_1'!C748,'Zip Code Lines_1'!$Q$4:$Q$26,0),0)</f>
        <v>12</v>
      </c>
      <c r="H748" s="342">
        <v>12116</v>
      </c>
    </row>
    <row r="749" spans="2:8" x14ac:dyDescent="0.25">
      <c r="B749" s="342">
        <v>12117</v>
      </c>
      <c r="C749" s="343" t="s">
        <v>543</v>
      </c>
      <c r="D749" s="343" t="str">
        <f ca="1">OFFSET('Zip Code Lines_1'!$U$3,MATCH('Zip Code Lines_1'!C749,'Zip Code Lines_1'!$Q$4:$Q$26,0),0)</f>
        <v xml:space="preserve">Glens Falls </v>
      </c>
      <c r="E749" s="344">
        <f ca="1">OFFSET('Zip Code Lines_1'!$W$3,MATCH('Zip Code Lines_1'!C749,'Zip Code Lines_1'!$Q$4:$Q$26,0),0)</f>
        <v>-1.8</v>
      </c>
      <c r="F749" s="344">
        <f ca="1">OFFSET('Zip Code Lines_1'!$Z$3,MATCH('Zip Code Lines_1'!C749,'Zip Code Lines_1'!$Q$4:$Q$26,0),0)</f>
        <v>84.7</v>
      </c>
      <c r="G749" s="342">
        <f ca="1">OFFSET('Zip Code Lines_1'!$AC$3,MATCH('Zip Code Lines_1'!C749,'Zip Code Lines_1'!$Q$4:$Q$26,0),0)</f>
        <v>12</v>
      </c>
      <c r="H749" s="342">
        <v>12117</v>
      </c>
    </row>
    <row r="750" spans="2:8" x14ac:dyDescent="0.25">
      <c r="B750" s="342">
        <v>12118</v>
      </c>
      <c r="C750" s="343" t="s">
        <v>530</v>
      </c>
      <c r="D750" s="343" t="str">
        <f ca="1">OFFSET('Zip Code Lines_1'!$U$3,MATCH('Zip Code Lines_1'!C750,'Zip Code Lines_1'!$Q$4:$Q$26,0),0)</f>
        <v>Albany</v>
      </c>
      <c r="E750" s="344">
        <f ca="1">OFFSET('Zip Code Lines_1'!$W$3,MATCH('Zip Code Lines_1'!C750,'Zip Code Lines_1'!$Q$4:$Q$26,0),0)</f>
        <v>4.7</v>
      </c>
      <c r="F750" s="344">
        <f ca="1">OFFSET('Zip Code Lines_1'!$Z$3,MATCH('Zip Code Lines_1'!C750,'Zip Code Lines_1'!$Q$4:$Q$26,0),0)</f>
        <v>86.1</v>
      </c>
      <c r="G750" s="342">
        <f ca="1">OFFSET('Zip Code Lines_1'!$AC$3,MATCH('Zip Code Lines_1'!C750,'Zip Code Lines_1'!$Q$4:$Q$26,0),0)</f>
        <v>12</v>
      </c>
      <c r="H750" s="342">
        <v>12118</v>
      </c>
    </row>
    <row r="751" spans="2:8" x14ac:dyDescent="0.25">
      <c r="B751" s="342">
        <v>12120</v>
      </c>
      <c r="C751" s="343" t="s">
        <v>543</v>
      </c>
      <c r="D751" s="343" t="str">
        <f ca="1">OFFSET('Zip Code Lines_1'!$U$3,MATCH('Zip Code Lines_1'!C751,'Zip Code Lines_1'!$Q$4:$Q$26,0),0)</f>
        <v xml:space="preserve">Glens Falls </v>
      </c>
      <c r="E751" s="344">
        <f ca="1">OFFSET('Zip Code Lines_1'!$W$3,MATCH('Zip Code Lines_1'!C751,'Zip Code Lines_1'!$Q$4:$Q$26,0),0)</f>
        <v>-1.8</v>
      </c>
      <c r="F751" s="344">
        <f ca="1">OFFSET('Zip Code Lines_1'!$Z$3,MATCH('Zip Code Lines_1'!C751,'Zip Code Lines_1'!$Q$4:$Q$26,0),0)</f>
        <v>84.7</v>
      </c>
      <c r="G751" s="342">
        <f ca="1">OFFSET('Zip Code Lines_1'!$AC$3,MATCH('Zip Code Lines_1'!C751,'Zip Code Lines_1'!$Q$4:$Q$26,0),0)</f>
        <v>12</v>
      </c>
      <c r="H751" s="342">
        <v>12120</v>
      </c>
    </row>
    <row r="752" spans="2:8" x14ac:dyDescent="0.25">
      <c r="B752" s="342">
        <v>12121</v>
      </c>
      <c r="C752" s="343" t="s">
        <v>530</v>
      </c>
      <c r="D752" s="343" t="str">
        <f ca="1">OFFSET('Zip Code Lines_1'!$U$3,MATCH('Zip Code Lines_1'!C752,'Zip Code Lines_1'!$Q$4:$Q$26,0),0)</f>
        <v>Albany</v>
      </c>
      <c r="E752" s="344">
        <f ca="1">OFFSET('Zip Code Lines_1'!$W$3,MATCH('Zip Code Lines_1'!C752,'Zip Code Lines_1'!$Q$4:$Q$26,0),0)</f>
        <v>4.7</v>
      </c>
      <c r="F752" s="344">
        <f ca="1">OFFSET('Zip Code Lines_1'!$Z$3,MATCH('Zip Code Lines_1'!C752,'Zip Code Lines_1'!$Q$4:$Q$26,0),0)</f>
        <v>86.1</v>
      </c>
      <c r="G752" s="342">
        <f ca="1">OFFSET('Zip Code Lines_1'!$AC$3,MATCH('Zip Code Lines_1'!C752,'Zip Code Lines_1'!$Q$4:$Q$26,0),0)</f>
        <v>12</v>
      </c>
      <c r="H752" s="342">
        <v>12121</v>
      </c>
    </row>
    <row r="753" spans="2:8" x14ac:dyDescent="0.25">
      <c r="B753" s="342">
        <v>12122</v>
      </c>
      <c r="C753" s="343" t="s">
        <v>569</v>
      </c>
      <c r="D753" s="343" t="str">
        <f ca="1">OFFSET('Zip Code Lines_1'!$U$3,MATCH('Zip Code Lines_1'!C753,'Zip Code Lines_1'!$Q$4:$Q$26,0),0)</f>
        <v>Utica</v>
      </c>
      <c r="E753" s="344">
        <f ca="1">OFFSET('Zip Code Lines_1'!$W$3,MATCH('Zip Code Lines_1'!C753,'Zip Code Lines_1'!$Q$4:$Q$26,0),0)</f>
        <v>1.2</v>
      </c>
      <c r="F753" s="344">
        <f ca="1">OFFSET('Zip Code Lines_1'!$Z$3,MATCH('Zip Code Lines_1'!C753,'Zip Code Lines_1'!$Q$4:$Q$26,0),0)</f>
        <v>84.2</v>
      </c>
      <c r="G753" s="342">
        <f ca="1">OFFSET('Zip Code Lines_1'!$AC$3,MATCH('Zip Code Lines_1'!C753,'Zip Code Lines_1'!$Q$4:$Q$26,0),0)</f>
        <v>18</v>
      </c>
      <c r="H753" s="342">
        <v>12122</v>
      </c>
    </row>
    <row r="754" spans="2:8" x14ac:dyDescent="0.25">
      <c r="B754" s="342">
        <v>12123</v>
      </c>
      <c r="C754" s="343" t="s">
        <v>530</v>
      </c>
      <c r="D754" s="343" t="str">
        <f ca="1">OFFSET('Zip Code Lines_1'!$U$3,MATCH('Zip Code Lines_1'!C754,'Zip Code Lines_1'!$Q$4:$Q$26,0),0)</f>
        <v>Albany</v>
      </c>
      <c r="E754" s="344">
        <f ca="1">OFFSET('Zip Code Lines_1'!$W$3,MATCH('Zip Code Lines_1'!C754,'Zip Code Lines_1'!$Q$4:$Q$26,0),0)</f>
        <v>4.7</v>
      </c>
      <c r="F754" s="344">
        <f ca="1">OFFSET('Zip Code Lines_1'!$Z$3,MATCH('Zip Code Lines_1'!C754,'Zip Code Lines_1'!$Q$4:$Q$26,0),0)</f>
        <v>86.1</v>
      </c>
      <c r="G754" s="342">
        <f ca="1">OFFSET('Zip Code Lines_1'!$AC$3,MATCH('Zip Code Lines_1'!C754,'Zip Code Lines_1'!$Q$4:$Q$26,0),0)</f>
        <v>12</v>
      </c>
      <c r="H754" s="342">
        <v>12123</v>
      </c>
    </row>
    <row r="755" spans="2:8" x14ac:dyDescent="0.25">
      <c r="B755" s="342">
        <v>12124</v>
      </c>
      <c r="C755" s="343" t="s">
        <v>530</v>
      </c>
      <c r="D755" s="343" t="str">
        <f ca="1">OFFSET('Zip Code Lines_1'!$U$3,MATCH('Zip Code Lines_1'!C755,'Zip Code Lines_1'!$Q$4:$Q$26,0),0)</f>
        <v>Albany</v>
      </c>
      <c r="E755" s="344">
        <f ca="1">OFFSET('Zip Code Lines_1'!$W$3,MATCH('Zip Code Lines_1'!C755,'Zip Code Lines_1'!$Q$4:$Q$26,0),0)</f>
        <v>4.7</v>
      </c>
      <c r="F755" s="344">
        <f ca="1">OFFSET('Zip Code Lines_1'!$Z$3,MATCH('Zip Code Lines_1'!C755,'Zip Code Lines_1'!$Q$4:$Q$26,0),0)</f>
        <v>86.1</v>
      </c>
      <c r="G755" s="342">
        <f ca="1">OFFSET('Zip Code Lines_1'!$AC$3,MATCH('Zip Code Lines_1'!C755,'Zip Code Lines_1'!$Q$4:$Q$26,0),0)</f>
        <v>12</v>
      </c>
      <c r="H755" s="342">
        <v>12124</v>
      </c>
    </row>
    <row r="756" spans="2:8" x14ac:dyDescent="0.25">
      <c r="B756" s="342">
        <v>12125</v>
      </c>
      <c r="C756" s="343" t="s">
        <v>530</v>
      </c>
      <c r="D756" s="343" t="str">
        <f ca="1">OFFSET('Zip Code Lines_1'!$U$3,MATCH('Zip Code Lines_1'!C756,'Zip Code Lines_1'!$Q$4:$Q$26,0),0)</f>
        <v>Albany</v>
      </c>
      <c r="E756" s="344">
        <f ca="1">OFFSET('Zip Code Lines_1'!$W$3,MATCH('Zip Code Lines_1'!C756,'Zip Code Lines_1'!$Q$4:$Q$26,0),0)</f>
        <v>4.7</v>
      </c>
      <c r="F756" s="344">
        <f ca="1">OFFSET('Zip Code Lines_1'!$Z$3,MATCH('Zip Code Lines_1'!C756,'Zip Code Lines_1'!$Q$4:$Q$26,0),0)</f>
        <v>86.1</v>
      </c>
      <c r="G756" s="342">
        <f ca="1">OFFSET('Zip Code Lines_1'!$AC$3,MATCH('Zip Code Lines_1'!C756,'Zip Code Lines_1'!$Q$4:$Q$26,0),0)</f>
        <v>12</v>
      </c>
      <c r="H756" s="342">
        <v>12125</v>
      </c>
    </row>
    <row r="757" spans="2:8" x14ac:dyDescent="0.25">
      <c r="B757" s="342">
        <v>12128</v>
      </c>
      <c r="C757" s="343" t="s">
        <v>530</v>
      </c>
      <c r="D757" s="343" t="str">
        <f ca="1">OFFSET('Zip Code Lines_1'!$U$3,MATCH('Zip Code Lines_1'!C757,'Zip Code Lines_1'!$Q$4:$Q$26,0),0)</f>
        <v>Albany</v>
      </c>
      <c r="E757" s="344">
        <f ca="1">OFFSET('Zip Code Lines_1'!$W$3,MATCH('Zip Code Lines_1'!C757,'Zip Code Lines_1'!$Q$4:$Q$26,0),0)</f>
        <v>4.7</v>
      </c>
      <c r="F757" s="344">
        <f ca="1">OFFSET('Zip Code Lines_1'!$Z$3,MATCH('Zip Code Lines_1'!C757,'Zip Code Lines_1'!$Q$4:$Q$26,0),0)</f>
        <v>86.1</v>
      </c>
      <c r="G757" s="342">
        <f ca="1">OFFSET('Zip Code Lines_1'!$AC$3,MATCH('Zip Code Lines_1'!C757,'Zip Code Lines_1'!$Q$4:$Q$26,0),0)</f>
        <v>12</v>
      </c>
      <c r="H757" s="342">
        <v>12128</v>
      </c>
    </row>
    <row r="758" spans="2:8" x14ac:dyDescent="0.25">
      <c r="B758" s="342">
        <v>12130</v>
      </c>
      <c r="C758" s="343" t="s">
        <v>530</v>
      </c>
      <c r="D758" s="343" t="str">
        <f ca="1">OFFSET('Zip Code Lines_1'!$U$3,MATCH('Zip Code Lines_1'!C758,'Zip Code Lines_1'!$Q$4:$Q$26,0),0)</f>
        <v>Albany</v>
      </c>
      <c r="E758" s="344">
        <f ca="1">OFFSET('Zip Code Lines_1'!$W$3,MATCH('Zip Code Lines_1'!C758,'Zip Code Lines_1'!$Q$4:$Q$26,0),0)</f>
        <v>4.7</v>
      </c>
      <c r="F758" s="344">
        <f ca="1">OFFSET('Zip Code Lines_1'!$Z$3,MATCH('Zip Code Lines_1'!C758,'Zip Code Lines_1'!$Q$4:$Q$26,0),0)</f>
        <v>86.1</v>
      </c>
      <c r="G758" s="342">
        <f ca="1">OFFSET('Zip Code Lines_1'!$AC$3,MATCH('Zip Code Lines_1'!C758,'Zip Code Lines_1'!$Q$4:$Q$26,0),0)</f>
        <v>12</v>
      </c>
      <c r="H758" s="342">
        <v>12130</v>
      </c>
    </row>
    <row r="759" spans="2:8" x14ac:dyDescent="0.25">
      <c r="B759" s="342">
        <v>12131</v>
      </c>
      <c r="C759" s="343" t="s">
        <v>543</v>
      </c>
      <c r="D759" s="343" t="str">
        <f ca="1">OFFSET('Zip Code Lines_1'!$U$3,MATCH('Zip Code Lines_1'!C759,'Zip Code Lines_1'!$Q$4:$Q$26,0),0)</f>
        <v xml:space="preserve">Glens Falls </v>
      </c>
      <c r="E759" s="344">
        <f ca="1">OFFSET('Zip Code Lines_1'!$W$3,MATCH('Zip Code Lines_1'!C759,'Zip Code Lines_1'!$Q$4:$Q$26,0),0)</f>
        <v>-1.8</v>
      </c>
      <c r="F759" s="344">
        <f ca="1">OFFSET('Zip Code Lines_1'!$Z$3,MATCH('Zip Code Lines_1'!C759,'Zip Code Lines_1'!$Q$4:$Q$26,0),0)</f>
        <v>84.7</v>
      </c>
      <c r="G759" s="342">
        <f ca="1">OFFSET('Zip Code Lines_1'!$AC$3,MATCH('Zip Code Lines_1'!C759,'Zip Code Lines_1'!$Q$4:$Q$26,0),0)</f>
        <v>12</v>
      </c>
      <c r="H759" s="342">
        <v>12131</v>
      </c>
    </row>
    <row r="760" spans="2:8" x14ac:dyDescent="0.25">
      <c r="B760" s="342">
        <v>12132</v>
      </c>
      <c r="C760" s="343" t="s">
        <v>530</v>
      </c>
      <c r="D760" s="343" t="str">
        <f ca="1">OFFSET('Zip Code Lines_1'!$U$3,MATCH('Zip Code Lines_1'!C760,'Zip Code Lines_1'!$Q$4:$Q$26,0),0)</f>
        <v>Albany</v>
      </c>
      <c r="E760" s="344">
        <f ca="1">OFFSET('Zip Code Lines_1'!$W$3,MATCH('Zip Code Lines_1'!C760,'Zip Code Lines_1'!$Q$4:$Q$26,0),0)</f>
        <v>4.7</v>
      </c>
      <c r="F760" s="344">
        <f ca="1">OFFSET('Zip Code Lines_1'!$Z$3,MATCH('Zip Code Lines_1'!C760,'Zip Code Lines_1'!$Q$4:$Q$26,0),0)</f>
        <v>86.1</v>
      </c>
      <c r="G760" s="342">
        <f ca="1">OFFSET('Zip Code Lines_1'!$AC$3,MATCH('Zip Code Lines_1'!C760,'Zip Code Lines_1'!$Q$4:$Q$26,0),0)</f>
        <v>12</v>
      </c>
      <c r="H760" s="342">
        <v>12132</v>
      </c>
    </row>
    <row r="761" spans="2:8" x14ac:dyDescent="0.25">
      <c r="B761" s="342">
        <v>12133</v>
      </c>
      <c r="C761" s="343" t="s">
        <v>543</v>
      </c>
      <c r="D761" s="343" t="str">
        <f ca="1">OFFSET('Zip Code Lines_1'!$U$3,MATCH('Zip Code Lines_1'!C761,'Zip Code Lines_1'!$Q$4:$Q$26,0),0)</f>
        <v xml:space="preserve">Glens Falls </v>
      </c>
      <c r="E761" s="344">
        <f ca="1">OFFSET('Zip Code Lines_1'!$W$3,MATCH('Zip Code Lines_1'!C761,'Zip Code Lines_1'!$Q$4:$Q$26,0),0)</f>
        <v>-1.8</v>
      </c>
      <c r="F761" s="344">
        <f ca="1">OFFSET('Zip Code Lines_1'!$Z$3,MATCH('Zip Code Lines_1'!C761,'Zip Code Lines_1'!$Q$4:$Q$26,0),0)</f>
        <v>84.7</v>
      </c>
      <c r="G761" s="342">
        <f ca="1">OFFSET('Zip Code Lines_1'!$AC$3,MATCH('Zip Code Lines_1'!C761,'Zip Code Lines_1'!$Q$4:$Q$26,0),0)</f>
        <v>12</v>
      </c>
      <c r="H761" s="342">
        <v>12133</v>
      </c>
    </row>
    <row r="762" spans="2:8" x14ac:dyDescent="0.25">
      <c r="B762" s="342">
        <v>12134</v>
      </c>
      <c r="C762" s="343" t="s">
        <v>543</v>
      </c>
      <c r="D762" s="343" t="str">
        <f ca="1">OFFSET('Zip Code Lines_1'!$U$3,MATCH('Zip Code Lines_1'!C762,'Zip Code Lines_1'!$Q$4:$Q$26,0),0)</f>
        <v xml:space="preserve">Glens Falls </v>
      </c>
      <c r="E762" s="344">
        <f ca="1">OFFSET('Zip Code Lines_1'!$W$3,MATCH('Zip Code Lines_1'!C762,'Zip Code Lines_1'!$Q$4:$Q$26,0),0)</f>
        <v>-1.8</v>
      </c>
      <c r="F762" s="344">
        <f ca="1">OFFSET('Zip Code Lines_1'!$Z$3,MATCH('Zip Code Lines_1'!C762,'Zip Code Lines_1'!$Q$4:$Q$26,0),0)</f>
        <v>84.7</v>
      </c>
      <c r="G762" s="342">
        <f ca="1">OFFSET('Zip Code Lines_1'!$AC$3,MATCH('Zip Code Lines_1'!C762,'Zip Code Lines_1'!$Q$4:$Q$26,0),0)</f>
        <v>12</v>
      </c>
      <c r="H762" s="342">
        <v>12134</v>
      </c>
    </row>
    <row r="763" spans="2:8" x14ac:dyDescent="0.25">
      <c r="B763" s="342">
        <v>12136</v>
      </c>
      <c r="C763" s="343" t="s">
        <v>530</v>
      </c>
      <c r="D763" s="343" t="str">
        <f ca="1">OFFSET('Zip Code Lines_1'!$U$3,MATCH('Zip Code Lines_1'!C763,'Zip Code Lines_1'!$Q$4:$Q$26,0),0)</f>
        <v>Albany</v>
      </c>
      <c r="E763" s="344">
        <f ca="1">OFFSET('Zip Code Lines_1'!$W$3,MATCH('Zip Code Lines_1'!C763,'Zip Code Lines_1'!$Q$4:$Q$26,0),0)</f>
        <v>4.7</v>
      </c>
      <c r="F763" s="344">
        <f ca="1">OFFSET('Zip Code Lines_1'!$Z$3,MATCH('Zip Code Lines_1'!C763,'Zip Code Lines_1'!$Q$4:$Q$26,0),0)</f>
        <v>86.1</v>
      </c>
      <c r="G763" s="342">
        <f ca="1">OFFSET('Zip Code Lines_1'!$AC$3,MATCH('Zip Code Lines_1'!C763,'Zip Code Lines_1'!$Q$4:$Q$26,0),0)</f>
        <v>12</v>
      </c>
      <c r="H763" s="342">
        <v>12136</v>
      </c>
    </row>
    <row r="764" spans="2:8" x14ac:dyDescent="0.25">
      <c r="B764" s="342">
        <v>12137</v>
      </c>
      <c r="C764" s="343" t="s">
        <v>543</v>
      </c>
      <c r="D764" s="343" t="str">
        <f ca="1">OFFSET('Zip Code Lines_1'!$U$3,MATCH('Zip Code Lines_1'!C764,'Zip Code Lines_1'!$Q$4:$Q$26,0),0)</f>
        <v xml:space="preserve">Glens Falls </v>
      </c>
      <c r="E764" s="344">
        <f ca="1">OFFSET('Zip Code Lines_1'!$W$3,MATCH('Zip Code Lines_1'!C764,'Zip Code Lines_1'!$Q$4:$Q$26,0),0)</f>
        <v>-1.8</v>
      </c>
      <c r="F764" s="344">
        <f ca="1">OFFSET('Zip Code Lines_1'!$Z$3,MATCH('Zip Code Lines_1'!C764,'Zip Code Lines_1'!$Q$4:$Q$26,0),0)</f>
        <v>84.7</v>
      </c>
      <c r="G764" s="342">
        <f ca="1">OFFSET('Zip Code Lines_1'!$AC$3,MATCH('Zip Code Lines_1'!C764,'Zip Code Lines_1'!$Q$4:$Q$26,0),0)</f>
        <v>12</v>
      </c>
      <c r="H764" s="342">
        <v>12137</v>
      </c>
    </row>
    <row r="765" spans="2:8" x14ac:dyDescent="0.25">
      <c r="B765" s="342">
        <v>12138</v>
      </c>
      <c r="C765" s="343" t="s">
        <v>543</v>
      </c>
      <c r="D765" s="343" t="str">
        <f ca="1">OFFSET('Zip Code Lines_1'!$U$3,MATCH('Zip Code Lines_1'!C765,'Zip Code Lines_1'!$Q$4:$Q$26,0),0)</f>
        <v xml:space="preserve">Glens Falls </v>
      </c>
      <c r="E765" s="344">
        <f ca="1">OFFSET('Zip Code Lines_1'!$W$3,MATCH('Zip Code Lines_1'!C765,'Zip Code Lines_1'!$Q$4:$Q$26,0),0)</f>
        <v>-1.8</v>
      </c>
      <c r="F765" s="344">
        <f ca="1">OFFSET('Zip Code Lines_1'!$Z$3,MATCH('Zip Code Lines_1'!C765,'Zip Code Lines_1'!$Q$4:$Q$26,0),0)</f>
        <v>84.7</v>
      </c>
      <c r="G765" s="342">
        <f ca="1">OFFSET('Zip Code Lines_1'!$AC$3,MATCH('Zip Code Lines_1'!C765,'Zip Code Lines_1'!$Q$4:$Q$26,0),0)</f>
        <v>12</v>
      </c>
      <c r="H765" s="342">
        <v>12138</v>
      </c>
    </row>
    <row r="766" spans="2:8" x14ac:dyDescent="0.25">
      <c r="B766" s="342">
        <v>12139</v>
      </c>
      <c r="C766" s="343" t="s">
        <v>566</v>
      </c>
      <c r="D766" s="343" t="str">
        <f ca="1">OFFSET('Zip Code Lines_1'!$U$3,MATCH('Zip Code Lines_1'!C766,'Zip Code Lines_1'!$Q$4:$Q$26,0),0)</f>
        <v>Saranac Lake</v>
      </c>
      <c r="E766" s="344">
        <f ca="1">OFFSET('Zip Code Lines_1'!$W$3,MATCH('Zip Code Lines_1'!C766,'Zip Code Lines_1'!$Q$4:$Q$26,0),0)</f>
        <v>-11.5</v>
      </c>
      <c r="F766" s="344">
        <f ca="1">OFFSET('Zip Code Lines_1'!$Z$3,MATCH('Zip Code Lines_1'!C766,'Zip Code Lines_1'!$Q$4:$Q$26,0),0)</f>
        <v>81</v>
      </c>
      <c r="G766" s="342">
        <f ca="1">OFFSET('Zip Code Lines_1'!$AC$3,MATCH('Zip Code Lines_1'!C766,'Zip Code Lines_1'!$Q$4:$Q$26,0),0)</f>
        <v>24</v>
      </c>
      <c r="H766" s="342">
        <v>12139</v>
      </c>
    </row>
    <row r="767" spans="2:8" x14ac:dyDescent="0.25">
      <c r="B767" s="342">
        <v>12140</v>
      </c>
      <c r="C767" s="343" t="s">
        <v>530</v>
      </c>
      <c r="D767" s="343" t="str">
        <f ca="1">OFFSET('Zip Code Lines_1'!$U$3,MATCH('Zip Code Lines_1'!C767,'Zip Code Lines_1'!$Q$4:$Q$26,0),0)</f>
        <v>Albany</v>
      </c>
      <c r="E767" s="344">
        <f ca="1">OFFSET('Zip Code Lines_1'!$W$3,MATCH('Zip Code Lines_1'!C767,'Zip Code Lines_1'!$Q$4:$Q$26,0),0)</f>
        <v>4.7</v>
      </c>
      <c r="F767" s="344">
        <f ca="1">OFFSET('Zip Code Lines_1'!$Z$3,MATCH('Zip Code Lines_1'!C767,'Zip Code Lines_1'!$Q$4:$Q$26,0),0)</f>
        <v>86.1</v>
      </c>
      <c r="G767" s="342">
        <f ca="1">OFFSET('Zip Code Lines_1'!$AC$3,MATCH('Zip Code Lines_1'!C767,'Zip Code Lines_1'!$Q$4:$Q$26,0),0)</f>
        <v>12</v>
      </c>
      <c r="H767" s="342">
        <v>12140</v>
      </c>
    </row>
    <row r="768" spans="2:8" x14ac:dyDescent="0.25">
      <c r="B768" s="342">
        <v>12141</v>
      </c>
      <c r="C768" s="343" t="s">
        <v>530</v>
      </c>
      <c r="D768" s="343" t="str">
        <f ca="1">OFFSET('Zip Code Lines_1'!$U$3,MATCH('Zip Code Lines_1'!C768,'Zip Code Lines_1'!$Q$4:$Q$26,0),0)</f>
        <v>Albany</v>
      </c>
      <c r="E768" s="344">
        <f ca="1">OFFSET('Zip Code Lines_1'!$W$3,MATCH('Zip Code Lines_1'!C768,'Zip Code Lines_1'!$Q$4:$Q$26,0),0)</f>
        <v>4.7</v>
      </c>
      <c r="F768" s="344">
        <f ca="1">OFFSET('Zip Code Lines_1'!$Z$3,MATCH('Zip Code Lines_1'!C768,'Zip Code Lines_1'!$Q$4:$Q$26,0),0)</f>
        <v>86.1</v>
      </c>
      <c r="G768" s="342">
        <f ca="1">OFFSET('Zip Code Lines_1'!$AC$3,MATCH('Zip Code Lines_1'!C768,'Zip Code Lines_1'!$Q$4:$Q$26,0),0)</f>
        <v>12</v>
      </c>
      <c r="H768" s="342">
        <v>12141</v>
      </c>
    </row>
    <row r="769" spans="2:8" x14ac:dyDescent="0.25">
      <c r="B769" s="342">
        <v>12143</v>
      </c>
      <c r="C769" s="343" t="s">
        <v>530</v>
      </c>
      <c r="D769" s="343" t="str">
        <f ca="1">OFFSET('Zip Code Lines_1'!$U$3,MATCH('Zip Code Lines_1'!C769,'Zip Code Lines_1'!$Q$4:$Q$26,0),0)</f>
        <v>Albany</v>
      </c>
      <c r="E769" s="344">
        <f ca="1">OFFSET('Zip Code Lines_1'!$W$3,MATCH('Zip Code Lines_1'!C769,'Zip Code Lines_1'!$Q$4:$Q$26,0),0)</f>
        <v>4.7</v>
      </c>
      <c r="F769" s="344">
        <f ca="1">OFFSET('Zip Code Lines_1'!$Z$3,MATCH('Zip Code Lines_1'!C769,'Zip Code Lines_1'!$Q$4:$Q$26,0),0)</f>
        <v>86.1</v>
      </c>
      <c r="G769" s="342">
        <f ca="1">OFFSET('Zip Code Lines_1'!$AC$3,MATCH('Zip Code Lines_1'!C769,'Zip Code Lines_1'!$Q$4:$Q$26,0),0)</f>
        <v>12</v>
      </c>
      <c r="H769" s="342">
        <v>12143</v>
      </c>
    </row>
    <row r="770" spans="2:8" x14ac:dyDescent="0.25">
      <c r="B770" s="342">
        <v>12144</v>
      </c>
      <c r="C770" s="343" t="s">
        <v>530</v>
      </c>
      <c r="D770" s="343" t="str">
        <f ca="1">OFFSET('Zip Code Lines_1'!$U$3,MATCH('Zip Code Lines_1'!C770,'Zip Code Lines_1'!$Q$4:$Q$26,0),0)</f>
        <v>Albany</v>
      </c>
      <c r="E770" s="344">
        <f ca="1">OFFSET('Zip Code Lines_1'!$W$3,MATCH('Zip Code Lines_1'!C770,'Zip Code Lines_1'!$Q$4:$Q$26,0),0)</f>
        <v>4.7</v>
      </c>
      <c r="F770" s="344">
        <f ca="1">OFFSET('Zip Code Lines_1'!$Z$3,MATCH('Zip Code Lines_1'!C770,'Zip Code Lines_1'!$Q$4:$Q$26,0),0)</f>
        <v>86.1</v>
      </c>
      <c r="G770" s="342">
        <f ca="1">OFFSET('Zip Code Lines_1'!$AC$3,MATCH('Zip Code Lines_1'!C770,'Zip Code Lines_1'!$Q$4:$Q$26,0),0)</f>
        <v>12</v>
      </c>
      <c r="H770" s="342">
        <v>12144</v>
      </c>
    </row>
    <row r="771" spans="2:8" x14ac:dyDescent="0.25">
      <c r="B771" s="342">
        <v>12147</v>
      </c>
      <c r="C771" s="343" t="s">
        <v>530</v>
      </c>
      <c r="D771" s="343" t="str">
        <f ca="1">OFFSET('Zip Code Lines_1'!$U$3,MATCH('Zip Code Lines_1'!C771,'Zip Code Lines_1'!$Q$4:$Q$26,0),0)</f>
        <v>Albany</v>
      </c>
      <c r="E771" s="344">
        <f ca="1">OFFSET('Zip Code Lines_1'!$W$3,MATCH('Zip Code Lines_1'!C771,'Zip Code Lines_1'!$Q$4:$Q$26,0),0)</f>
        <v>4.7</v>
      </c>
      <c r="F771" s="344">
        <f ca="1">OFFSET('Zip Code Lines_1'!$Z$3,MATCH('Zip Code Lines_1'!C771,'Zip Code Lines_1'!$Q$4:$Q$26,0),0)</f>
        <v>86.1</v>
      </c>
      <c r="G771" s="342">
        <f ca="1">OFFSET('Zip Code Lines_1'!$AC$3,MATCH('Zip Code Lines_1'!C771,'Zip Code Lines_1'!$Q$4:$Q$26,0),0)</f>
        <v>12</v>
      </c>
      <c r="H771" s="342">
        <v>12147</v>
      </c>
    </row>
    <row r="772" spans="2:8" x14ac:dyDescent="0.25">
      <c r="B772" s="342">
        <v>12148</v>
      </c>
      <c r="C772" s="343" t="s">
        <v>530</v>
      </c>
      <c r="D772" s="343" t="str">
        <f ca="1">OFFSET('Zip Code Lines_1'!$U$3,MATCH('Zip Code Lines_1'!C772,'Zip Code Lines_1'!$Q$4:$Q$26,0),0)</f>
        <v>Albany</v>
      </c>
      <c r="E772" s="344">
        <f ca="1">OFFSET('Zip Code Lines_1'!$W$3,MATCH('Zip Code Lines_1'!C772,'Zip Code Lines_1'!$Q$4:$Q$26,0),0)</f>
        <v>4.7</v>
      </c>
      <c r="F772" s="344">
        <f ca="1">OFFSET('Zip Code Lines_1'!$Z$3,MATCH('Zip Code Lines_1'!C772,'Zip Code Lines_1'!$Q$4:$Q$26,0),0)</f>
        <v>86.1</v>
      </c>
      <c r="G772" s="342">
        <f ca="1">OFFSET('Zip Code Lines_1'!$AC$3,MATCH('Zip Code Lines_1'!C772,'Zip Code Lines_1'!$Q$4:$Q$26,0),0)</f>
        <v>12</v>
      </c>
      <c r="H772" s="342">
        <v>12148</v>
      </c>
    </row>
    <row r="773" spans="2:8" x14ac:dyDescent="0.25">
      <c r="B773" s="342">
        <v>12149</v>
      </c>
      <c r="C773" s="343" t="s">
        <v>543</v>
      </c>
      <c r="D773" s="343" t="str">
        <f ca="1">OFFSET('Zip Code Lines_1'!$U$3,MATCH('Zip Code Lines_1'!C773,'Zip Code Lines_1'!$Q$4:$Q$26,0),0)</f>
        <v xml:space="preserve">Glens Falls </v>
      </c>
      <c r="E773" s="344">
        <f ca="1">OFFSET('Zip Code Lines_1'!$W$3,MATCH('Zip Code Lines_1'!C773,'Zip Code Lines_1'!$Q$4:$Q$26,0),0)</f>
        <v>-1.8</v>
      </c>
      <c r="F773" s="344">
        <f ca="1">OFFSET('Zip Code Lines_1'!$Z$3,MATCH('Zip Code Lines_1'!C773,'Zip Code Lines_1'!$Q$4:$Q$26,0),0)</f>
        <v>84.7</v>
      </c>
      <c r="G773" s="342">
        <f ca="1">OFFSET('Zip Code Lines_1'!$AC$3,MATCH('Zip Code Lines_1'!C773,'Zip Code Lines_1'!$Q$4:$Q$26,0),0)</f>
        <v>12</v>
      </c>
      <c r="H773" s="342">
        <v>12149</v>
      </c>
    </row>
    <row r="774" spans="2:8" x14ac:dyDescent="0.25">
      <c r="B774" s="342">
        <v>12150</v>
      </c>
      <c r="C774" s="343" t="s">
        <v>530</v>
      </c>
      <c r="D774" s="343" t="str">
        <f ca="1">OFFSET('Zip Code Lines_1'!$U$3,MATCH('Zip Code Lines_1'!C774,'Zip Code Lines_1'!$Q$4:$Q$26,0),0)</f>
        <v>Albany</v>
      </c>
      <c r="E774" s="344">
        <f ca="1">OFFSET('Zip Code Lines_1'!$W$3,MATCH('Zip Code Lines_1'!C774,'Zip Code Lines_1'!$Q$4:$Q$26,0),0)</f>
        <v>4.7</v>
      </c>
      <c r="F774" s="344">
        <f ca="1">OFFSET('Zip Code Lines_1'!$Z$3,MATCH('Zip Code Lines_1'!C774,'Zip Code Lines_1'!$Q$4:$Q$26,0),0)</f>
        <v>86.1</v>
      </c>
      <c r="G774" s="342">
        <f ca="1">OFFSET('Zip Code Lines_1'!$AC$3,MATCH('Zip Code Lines_1'!C774,'Zip Code Lines_1'!$Q$4:$Q$26,0),0)</f>
        <v>12</v>
      </c>
      <c r="H774" s="342">
        <v>12150</v>
      </c>
    </row>
    <row r="775" spans="2:8" x14ac:dyDescent="0.25">
      <c r="B775" s="342">
        <v>12151</v>
      </c>
      <c r="C775" s="343" t="s">
        <v>530</v>
      </c>
      <c r="D775" s="343" t="str">
        <f ca="1">OFFSET('Zip Code Lines_1'!$U$3,MATCH('Zip Code Lines_1'!C775,'Zip Code Lines_1'!$Q$4:$Q$26,0),0)</f>
        <v>Albany</v>
      </c>
      <c r="E775" s="344">
        <f ca="1">OFFSET('Zip Code Lines_1'!$W$3,MATCH('Zip Code Lines_1'!C775,'Zip Code Lines_1'!$Q$4:$Q$26,0),0)</f>
        <v>4.7</v>
      </c>
      <c r="F775" s="344">
        <f ca="1">OFFSET('Zip Code Lines_1'!$Z$3,MATCH('Zip Code Lines_1'!C775,'Zip Code Lines_1'!$Q$4:$Q$26,0),0)</f>
        <v>86.1</v>
      </c>
      <c r="G775" s="342">
        <f ca="1">OFFSET('Zip Code Lines_1'!$AC$3,MATCH('Zip Code Lines_1'!C775,'Zip Code Lines_1'!$Q$4:$Q$26,0),0)</f>
        <v>12</v>
      </c>
      <c r="H775" s="342">
        <v>12151</v>
      </c>
    </row>
    <row r="776" spans="2:8" x14ac:dyDescent="0.25">
      <c r="B776" s="342">
        <v>12153</v>
      </c>
      <c r="C776" s="343" t="s">
        <v>530</v>
      </c>
      <c r="D776" s="343" t="str">
        <f ca="1">OFFSET('Zip Code Lines_1'!$U$3,MATCH('Zip Code Lines_1'!C776,'Zip Code Lines_1'!$Q$4:$Q$26,0),0)</f>
        <v>Albany</v>
      </c>
      <c r="E776" s="344">
        <f ca="1">OFFSET('Zip Code Lines_1'!$W$3,MATCH('Zip Code Lines_1'!C776,'Zip Code Lines_1'!$Q$4:$Q$26,0),0)</f>
        <v>4.7</v>
      </c>
      <c r="F776" s="344">
        <f ca="1">OFFSET('Zip Code Lines_1'!$Z$3,MATCH('Zip Code Lines_1'!C776,'Zip Code Lines_1'!$Q$4:$Q$26,0),0)</f>
        <v>86.1</v>
      </c>
      <c r="G776" s="342">
        <f ca="1">OFFSET('Zip Code Lines_1'!$AC$3,MATCH('Zip Code Lines_1'!C776,'Zip Code Lines_1'!$Q$4:$Q$26,0),0)</f>
        <v>12</v>
      </c>
      <c r="H776" s="342">
        <v>12153</v>
      </c>
    </row>
    <row r="777" spans="2:8" x14ac:dyDescent="0.25">
      <c r="B777" s="342">
        <v>12154</v>
      </c>
      <c r="C777" s="343" t="s">
        <v>530</v>
      </c>
      <c r="D777" s="343" t="str">
        <f ca="1">OFFSET('Zip Code Lines_1'!$U$3,MATCH('Zip Code Lines_1'!C777,'Zip Code Lines_1'!$Q$4:$Q$26,0),0)</f>
        <v>Albany</v>
      </c>
      <c r="E777" s="344">
        <f ca="1">OFFSET('Zip Code Lines_1'!$W$3,MATCH('Zip Code Lines_1'!C777,'Zip Code Lines_1'!$Q$4:$Q$26,0),0)</f>
        <v>4.7</v>
      </c>
      <c r="F777" s="344">
        <f ca="1">OFFSET('Zip Code Lines_1'!$Z$3,MATCH('Zip Code Lines_1'!C777,'Zip Code Lines_1'!$Q$4:$Q$26,0),0)</f>
        <v>86.1</v>
      </c>
      <c r="G777" s="342">
        <f ca="1">OFFSET('Zip Code Lines_1'!$AC$3,MATCH('Zip Code Lines_1'!C777,'Zip Code Lines_1'!$Q$4:$Q$26,0),0)</f>
        <v>12</v>
      </c>
      <c r="H777" s="342">
        <v>12154</v>
      </c>
    </row>
    <row r="778" spans="2:8" x14ac:dyDescent="0.25">
      <c r="B778" s="342">
        <v>12155</v>
      </c>
      <c r="C778" s="343" t="s">
        <v>543</v>
      </c>
      <c r="D778" s="343" t="str">
        <f ca="1">OFFSET('Zip Code Lines_1'!$U$3,MATCH('Zip Code Lines_1'!C778,'Zip Code Lines_1'!$Q$4:$Q$26,0),0)</f>
        <v xml:space="preserve">Glens Falls </v>
      </c>
      <c r="E778" s="344">
        <f ca="1">OFFSET('Zip Code Lines_1'!$W$3,MATCH('Zip Code Lines_1'!C778,'Zip Code Lines_1'!$Q$4:$Q$26,0),0)</f>
        <v>-1.8</v>
      </c>
      <c r="F778" s="344">
        <f ca="1">OFFSET('Zip Code Lines_1'!$Z$3,MATCH('Zip Code Lines_1'!C778,'Zip Code Lines_1'!$Q$4:$Q$26,0),0)</f>
        <v>84.7</v>
      </c>
      <c r="G778" s="342">
        <f ca="1">OFFSET('Zip Code Lines_1'!$AC$3,MATCH('Zip Code Lines_1'!C778,'Zip Code Lines_1'!$Q$4:$Q$26,0),0)</f>
        <v>12</v>
      </c>
      <c r="H778" s="342">
        <v>12155</v>
      </c>
    </row>
    <row r="779" spans="2:8" x14ac:dyDescent="0.25">
      <c r="B779" s="342">
        <v>12156</v>
      </c>
      <c r="C779" s="343" t="s">
        <v>530</v>
      </c>
      <c r="D779" s="343" t="str">
        <f ca="1">OFFSET('Zip Code Lines_1'!$U$3,MATCH('Zip Code Lines_1'!C779,'Zip Code Lines_1'!$Q$4:$Q$26,0),0)</f>
        <v>Albany</v>
      </c>
      <c r="E779" s="344">
        <f ca="1">OFFSET('Zip Code Lines_1'!$W$3,MATCH('Zip Code Lines_1'!C779,'Zip Code Lines_1'!$Q$4:$Q$26,0),0)</f>
        <v>4.7</v>
      </c>
      <c r="F779" s="344">
        <f ca="1">OFFSET('Zip Code Lines_1'!$Z$3,MATCH('Zip Code Lines_1'!C779,'Zip Code Lines_1'!$Q$4:$Q$26,0),0)</f>
        <v>86.1</v>
      </c>
      <c r="G779" s="342">
        <f ca="1">OFFSET('Zip Code Lines_1'!$AC$3,MATCH('Zip Code Lines_1'!C779,'Zip Code Lines_1'!$Q$4:$Q$26,0),0)</f>
        <v>12</v>
      </c>
      <c r="H779" s="342">
        <v>12156</v>
      </c>
    </row>
    <row r="780" spans="2:8" x14ac:dyDescent="0.25">
      <c r="B780" s="342">
        <v>12157</v>
      </c>
      <c r="C780" s="343" t="s">
        <v>543</v>
      </c>
      <c r="D780" s="343" t="str">
        <f ca="1">OFFSET('Zip Code Lines_1'!$U$3,MATCH('Zip Code Lines_1'!C780,'Zip Code Lines_1'!$Q$4:$Q$26,0),0)</f>
        <v xml:space="preserve">Glens Falls </v>
      </c>
      <c r="E780" s="344">
        <f ca="1">OFFSET('Zip Code Lines_1'!$W$3,MATCH('Zip Code Lines_1'!C780,'Zip Code Lines_1'!$Q$4:$Q$26,0),0)</f>
        <v>-1.8</v>
      </c>
      <c r="F780" s="344">
        <f ca="1">OFFSET('Zip Code Lines_1'!$Z$3,MATCH('Zip Code Lines_1'!C780,'Zip Code Lines_1'!$Q$4:$Q$26,0),0)</f>
        <v>84.7</v>
      </c>
      <c r="G780" s="342">
        <f ca="1">OFFSET('Zip Code Lines_1'!$AC$3,MATCH('Zip Code Lines_1'!C780,'Zip Code Lines_1'!$Q$4:$Q$26,0),0)</f>
        <v>12</v>
      </c>
      <c r="H780" s="342">
        <v>12157</v>
      </c>
    </row>
    <row r="781" spans="2:8" x14ac:dyDescent="0.25">
      <c r="B781" s="342">
        <v>12158</v>
      </c>
      <c r="C781" s="343" t="s">
        <v>530</v>
      </c>
      <c r="D781" s="343" t="str">
        <f ca="1">OFFSET('Zip Code Lines_1'!$U$3,MATCH('Zip Code Lines_1'!C781,'Zip Code Lines_1'!$Q$4:$Q$26,0),0)</f>
        <v>Albany</v>
      </c>
      <c r="E781" s="344">
        <f ca="1">OFFSET('Zip Code Lines_1'!$W$3,MATCH('Zip Code Lines_1'!C781,'Zip Code Lines_1'!$Q$4:$Q$26,0),0)</f>
        <v>4.7</v>
      </c>
      <c r="F781" s="344">
        <f ca="1">OFFSET('Zip Code Lines_1'!$Z$3,MATCH('Zip Code Lines_1'!C781,'Zip Code Lines_1'!$Q$4:$Q$26,0),0)</f>
        <v>86.1</v>
      </c>
      <c r="G781" s="342">
        <f ca="1">OFFSET('Zip Code Lines_1'!$AC$3,MATCH('Zip Code Lines_1'!C781,'Zip Code Lines_1'!$Q$4:$Q$26,0),0)</f>
        <v>12</v>
      </c>
      <c r="H781" s="342">
        <v>12158</v>
      </c>
    </row>
    <row r="782" spans="2:8" x14ac:dyDescent="0.25">
      <c r="B782" s="342">
        <v>12159</v>
      </c>
      <c r="C782" s="343" t="s">
        <v>530</v>
      </c>
      <c r="D782" s="343" t="str">
        <f ca="1">OFFSET('Zip Code Lines_1'!$U$3,MATCH('Zip Code Lines_1'!C782,'Zip Code Lines_1'!$Q$4:$Q$26,0),0)</f>
        <v>Albany</v>
      </c>
      <c r="E782" s="344">
        <f ca="1">OFFSET('Zip Code Lines_1'!$W$3,MATCH('Zip Code Lines_1'!C782,'Zip Code Lines_1'!$Q$4:$Q$26,0),0)</f>
        <v>4.7</v>
      </c>
      <c r="F782" s="344">
        <f ca="1">OFFSET('Zip Code Lines_1'!$Z$3,MATCH('Zip Code Lines_1'!C782,'Zip Code Lines_1'!$Q$4:$Q$26,0),0)</f>
        <v>86.1</v>
      </c>
      <c r="G782" s="342">
        <f ca="1">OFFSET('Zip Code Lines_1'!$AC$3,MATCH('Zip Code Lines_1'!C782,'Zip Code Lines_1'!$Q$4:$Q$26,0),0)</f>
        <v>12</v>
      </c>
      <c r="H782" s="342">
        <v>12159</v>
      </c>
    </row>
    <row r="783" spans="2:8" x14ac:dyDescent="0.25">
      <c r="B783" s="342">
        <v>12160</v>
      </c>
      <c r="C783" s="343" t="s">
        <v>569</v>
      </c>
      <c r="D783" s="343" t="str">
        <f ca="1">OFFSET('Zip Code Lines_1'!$U$3,MATCH('Zip Code Lines_1'!C783,'Zip Code Lines_1'!$Q$4:$Q$26,0),0)</f>
        <v>Utica</v>
      </c>
      <c r="E783" s="344">
        <f ca="1">OFFSET('Zip Code Lines_1'!$W$3,MATCH('Zip Code Lines_1'!C783,'Zip Code Lines_1'!$Q$4:$Q$26,0),0)</f>
        <v>1.2</v>
      </c>
      <c r="F783" s="344">
        <f ca="1">OFFSET('Zip Code Lines_1'!$Z$3,MATCH('Zip Code Lines_1'!C783,'Zip Code Lines_1'!$Q$4:$Q$26,0),0)</f>
        <v>84.2</v>
      </c>
      <c r="G783" s="342">
        <f ca="1">OFFSET('Zip Code Lines_1'!$AC$3,MATCH('Zip Code Lines_1'!C783,'Zip Code Lines_1'!$Q$4:$Q$26,0),0)</f>
        <v>18</v>
      </c>
      <c r="H783" s="342">
        <v>12160</v>
      </c>
    </row>
    <row r="784" spans="2:8" x14ac:dyDescent="0.25">
      <c r="B784" s="342">
        <v>12161</v>
      </c>
      <c r="C784" s="343" t="s">
        <v>530</v>
      </c>
      <c r="D784" s="343" t="str">
        <f ca="1">OFFSET('Zip Code Lines_1'!$U$3,MATCH('Zip Code Lines_1'!C784,'Zip Code Lines_1'!$Q$4:$Q$26,0),0)</f>
        <v>Albany</v>
      </c>
      <c r="E784" s="344">
        <f ca="1">OFFSET('Zip Code Lines_1'!$W$3,MATCH('Zip Code Lines_1'!C784,'Zip Code Lines_1'!$Q$4:$Q$26,0),0)</f>
        <v>4.7</v>
      </c>
      <c r="F784" s="344">
        <f ca="1">OFFSET('Zip Code Lines_1'!$Z$3,MATCH('Zip Code Lines_1'!C784,'Zip Code Lines_1'!$Q$4:$Q$26,0),0)</f>
        <v>86.1</v>
      </c>
      <c r="G784" s="342">
        <f ca="1">OFFSET('Zip Code Lines_1'!$AC$3,MATCH('Zip Code Lines_1'!C784,'Zip Code Lines_1'!$Q$4:$Q$26,0),0)</f>
        <v>12</v>
      </c>
      <c r="H784" s="342">
        <v>12161</v>
      </c>
    </row>
    <row r="785" spans="2:8" x14ac:dyDescent="0.25">
      <c r="B785" s="342">
        <v>12164</v>
      </c>
      <c r="C785" s="343" t="s">
        <v>566</v>
      </c>
      <c r="D785" s="343" t="str">
        <f ca="1">OFFSET('Zip Code Lines_1'!$U$3,MATCH('Zip Code Lines_1'!C785,'Zip Code Lines_1'!$Q$4:$Q$26,0),0)</f>
        <v>Saranac Lake</v>
      </c>
      <c r="E785" s="344">
        <f ca="1">OFFSET('Zip Code Lines_1'!$W$3,MATCH('Zip Code Lines_1'!C785,'Zip Code Lines_1'!$Q$4:$Q$26,0),0)</f>
        <v>-11.5</v>
      </c>
      <c r="F785" s="344">
        <f ca="1">OFFSET('Zip Code Lines_1'!$Z$3,MATCH('Zip Code Lines_1'!C785,'Zip Code Lines_1'!$Q$4:$Q$26,0),0)</f>
        <v>81</v>
      </c>
      <c r="G785" s="342">
        <f ca="1">OFFSET('Zip Code Lines_1'!$AC$3,MATCH('Zip Code Lines_1'!C785,'Zip Code Lines_1'!$Q$4:$Q$26,0),0)</f>
        <v>24</v>
      </c>
      <c r="H785" s="342">
        <v>12164</v>
      </c>
    </row>
    <row r="786" spans="2:8" x14ac:dyDescent="0.25">
      <c r="B786" s="342">
        <v>12165</v>
      </c>
      <c r="C786" s="343" t="s">
        <v>549</v>
      </c>
      <c r="D786" s="343" t="str">
        <f ca="1">OFFSET('Zip Code Lines_1'!$U$3,MATCH('Zip Code Lines_1'!C786,'Zip Code Lines_1'!$Q$4:$Q$26,0),0)</f>
        <v>Monticello</v>
      </c>
      <c r="E786" s="344">
        <f ca="1">OFFSET('Zip Code Lines_1'!$W$3,MATCH('Zip Code Lines_1'!C786,'Zip Code Lines_1'!$Q$4:$Q$26,0),0)</f>
        <v>4.7</v>
      </c>
      <c r="F786" s="344">
        <f ca="1">OFFSET('Zip Code Lines_1'!$Z$3,MATCH('Zip Code Lines_1'!C786,'Zip Code Lines_1'!$Q$4:$Q$26,0),0)</f>
        <v>82.5</v>
      </c>
      <c r="G786" s="342">
        <f ca="1">OFFSET('Zip Code Lines_1'!$AC$3,MATCH('Zip Code Lines_1'!C786,'Zip Code Lines_1'!$Q$4:$Q$26,0),0)</f>
        <v>12</v>
      </c>
      <c r="H786" s="342">
        <v>12165</v>
      </c>
    </row>
    <row r="787" spans="2:8" x14ac:dyDescent="0.25">
      <c r="B787" s="342">
        <v>12166</v>
      </c>
      <c r="C787" s="343" t="s">
        <v>569</v>
      </c>
      <c r="D787" s="343" t="str">
        <f ca="1">OFFSET('Zip Code Lines_1'!$U$3,MATCH('Zip Code Lines_1'!C787,'Zip Code Lines_1'!$Q$4:$Q$26,0),0)</f>
        <v>Utica</v>
      </c>
      <c r="E787" s="344">
        <f ca="1">OFFSET('Zip Code Lines_1'!$W$3,MATCH('Zip Code Lines_1'!C787,'Zip Code Lines_1'!$Q$4:$Q$26,0),0)</f>
        <v>1.2</v>
      </c>
      <c r="F787" s="344">
        <f ca="1">OFFSET('Zip Code Lines_1'!$Z$3,MATCH('Zip Code Lines_1'!C787,'Zip Code Lines_1'!$Q$4:$Q$26,0),0)</f>
        <v>84.2</v>
      </c>
      <c r="G787" s="342">
        <f ca="1">OFFSET('Zip Code Lines_1'!$AC$3,MATCH('Zip Code Lines_1'!C787,'Zip Code Lines_1'!$Q$4:$Q$26,0),0)</f>
        <v>18</v>
      </c>
      <c r="H787" s="342">
        <v>12166</v>
      </c>
    </row>
    <row r="788" spans="2:8" x14ac:dyDescent="0.25">
      <c r="B788" s="342">
        <v>12167</v>
      </c>
      <c r="C788" s="343" t="s">
        <v>543</v>
      </c>
      <c r="D788" s="343" t="str">
        <f ca="1">OFFSET('Zip Code Lines_1'!$U$3,MATCH('Zip Code Lines_1'!C788,'Zip Code Lines_1'!$Q$4:$Q$26,0),0)</f>
        <v xml:space="preserve">Glens Falls </v>
      </c>
      <c r="E788" s="344">
        <f ca="1">OFFSET('Zip Code Lines_1'!$W$3,MATCH('Zip Code Lines_1'!C788,'Zip Code Lines_1'!$Q$4:$Q$26,0),0)</f>
        <v>-1.8</v>
      </c>
      <c r="F788" s="344">
        <f ca="1">OFFSET('Zip Code Lines_1'!$Z$3,MATCH('Zip Code Lines_1'!C788,'Zip Code Lines_1'!$Q$4:$Q$26,0),0)</f>
        <v>84.7</v>
      </c>
      <c r="G788" s="342">
        <f ca="1">OFFSET('Zip Code Lines_1'!$AC$3,MATCH('Zip Code Lines_1'!C788,'Zip Code Lines_1'!$Q$4:$Q$26,0),0)</f>
        <v>12</v>
      </c>
      <c r="H788" s="342">
        <v>12167</v>
      </c>
    </row>
    <row r="789" spans="2:8" x14ac:dyDescent="0.25">
      <c r="B789" s="342">
        <v>12168</v>
      </c>
      <c r="C789" s="343" t="s">
        <v>543</v>
      </c>
      <c r="D789" s="343" t="str">
        <f ca="1">OFFSET('Zip Code Lines_1'!$U$3,MATCH('Zip Code Lines_1'!C789,'Zip Code Lines_1'!$Q$4:$Q$26,0),0)</f>
        <v xml:space="preserve">Glens Falls </v>
      </c>
      <c r="E789" s="344">
        <f ca="1">OFFSET('Zip Code Lines_1'!$W$3,MATCH('Zip Code Lines_1'!C789,'Zip Code Lines_1'!$Q$4:$Q$26,0),0)</f>
        <v>-1.8</v>
      </c>
      <c r="F789" s="344">
        <f ca="1">OFFSET('Zip Code Lines_1'!$Z$3,MATCH('Zip Code Lines_1'!C789,'Zip Code Lines_1'!$Q$4:$Q$26,0),0)</f>
        <v>84.7</v>
      </c>
      <c r="G789" s="342">
        <f ca="1">OFFSET('Zip Code Lines_1'!$AC$3,MATCH('Zip Code Lines_1'!C789,'Zip Code Lines_1'!$Q$4:$Q$26,0),0)</f>
        <v>12</v>
      </c>
      <c r="H789" s="342">
        <v>12168</v>
      </c>
    </row>
    <row r="790" spans="2:8" x14ac:dyDescent="0.25">
      <c r="B790" s="342">
        <v>12169</v>
      </c>
      <c r="C790" s="343" t="s">
        <v>543</v>
      </c>
      <c r="D790" s="343" t="str">
        <f ca="1">OFFSET('Zip Code Lines_1'!$U$3,MATCH('Zip Code Lines_1'!C790,'Zip Code Lines_1'!$Q$4:$Q$26,0),0)</f>
        <v xml:space="preserve">Glens Falls </v>
      </c>
      <c r="E790" s="344">
        <f ca="1">OFFSET('Zip Code Lines_1'!$W$3,MATCH('Zip Code Lines_1'!C790,'Zip Code Lines_1'!$Q$4:$Q$26,0),0)</f>
        <v>-1.8</v>
      </c>
      <c r="F790" s="344">
        <f ca="1">OFFSET('Zip Code Lines_1'!$Z$3,MATCH('Zip Code Lines_1'!C790,'Zip Code Lines_1'!$Q$4:$Q$26,0),0)</f>
        <v>84.7</v>
      </c>
      <c r="G790" s="342">
        <f ca="1">OFFSET('Zip Code Lines_1'!$AC$3,MATCH('Zip Code Lines_1'!C790,'Zip Code Lines_1'!$Q$4:$Q$26,0),0)</f>
        <v>12</v>
      </c>
      <c r="H790" s="342">
        <v>12169</v>
      </c>
    </row>
    <row r="791" spans="2:8" x14ac:dyDescent="0.25">
      <c r="B791" s="342">
        <v>12170</v>
      </c>
      <c r="C791" s="343" t="s">
        <v>530</v>
      </c>
      <c r="D791" s="343" t="str">
        <f ca="1">OFFSET('Zip Code Lines_1'!$U$3,MATCH('Zip Code Lines_1'!C791,'Zip Code Lines_1'!$Q$4:$Q$26,0),0)</f>
        <v>Albany</v>
      </c>
      <c r="E791" s="344">
        <f ca="1">OFFSET('Zip Code Lines_1'!$W$3,MATCH('Zip Code Lines_1'!C791,'Zip Code Lines_1'!$Q$4:$Q$26,0),0)</f>
        <v>4.7</v>
      </c>
      <c r="F791" s="344">
        <f ca="1">OFFSET('Zip Code Lines_1'!$Z$3,MATCH('Zip Code Lines_1'!C791,'Zip Code Lines_1'!$Q$4:$Q$26,0),0)</f>
        <v>86.1</v>
      </c>
      <c r="G791" s="342">
        <f ca="1">OFFSET('Zip Code Lines_1'!$AC$3,MATCH('Zip Code Lines_1'!C791,'Zip Code Lines_1'!$Q$4:$Q$26,0),0)</f>
        <v>12</v>
      </c>
      <c r="H791" s="342">
        <v>12170</v>
      </c>
    </row>
    <row r="792" spans="2:8" x14ac:dyDescent="0.25">
      <c r="B792" s="342">
        <v>12172</v>
      </c>
      <c r="C792" s="343" t="s">
        <v>530</v>
      </c>
      <c r="D792" s="343" t="str">
        <f ca="1">OFFSET('Zip Code Lines_1'!$U$3,MATCH('Zip Code Lines_1'!C792,'Zip Code Lines_1'!$Q$4:$Q$26,0),0)</f>
        <v>Albany</v>
      </c>
      <c r="E792" s="344">
        <f ca="1">OFFSET('Zip Code Lines_1'!$W$3,MATCH('Zip Code Lines_1'!C792,'Zip Code Lines_1'!$Q$4:$Q$26,0),0)</f>
        <v>4.7</v>
      </c>
      <c r="F792" s="344">
        <f ca="1">OFFSET('Zip Code Lines_1'!$Z$3,MATCH('Zip Code Lines_1'!C792,'Zip Code Lines_1'!$Q$4:$Q$26,0),0)</f>
        <v>86.1</v>
      </c>
      <c r="G792" s="342">
        <f ca="1">OFFSET('Zip Code Lines_1'!$AC$3,MATCH('Zip Code Lines_1'!C792,'Zip Code Lines_1'!$Q$4:$Q$26,0),0)</f>
        <v>12</v>
      </c>
      <c r="H792" s="342">
        <v>12172</v>
      </c>
    </row>
    <row r="793" spans="2:8" x14ac:dyDescent="0.25">
      <c r="B793" s="342">
        <v>12173</v>
      </c>
      <c r="C793" s="343" t="s">
        <v>530</v>
      </c>
      <c r="D793" s="343" t="str">
        <f ca="1">OFFSET('Zip Code Lines_1'!$U$3,MATCH('Zip Code Lines_1'!C793,'Zip Code Lines_1'!$Q$4:$Q$26,0),0)</f>
        <v>Albany</v>
      </c>
      <c r="E793" s="344">
        <f ca="1">OFFSET('Zip Code Lines_1'!$W$3,MATCH('Zip Code Lines_1'!C793,'Zip Code Lines_1'!$Q$4:$Q$26,0),0)</f>
        <v>4.7</v>
      </c>
      <c r="F793" s="344">
        <f ca="1">OFFSET('Zip Code Lines_1'!$Z$3,MATCH('Zip Code Lines_1'!C793,'Zip Code Lines_1'!$Q$4:$Q$26,0),0)</f>
        <v>86.1</v>
      </c>
      <c r="G793" s="342">
        <f ca="1">OFFSET('Zip Code Lines_1'!$AC$3,MATCH('Zip Code Lines_1'!C793,'Zip Code Lines_1'!$Q$4:$Q$26,0),0)</f>
        <v>12</v>
      </c>
      <c r="H793" s="342">
        <v>12173</v>
      </c>
    </row>
    <row r="794" spans="2:8" x14ac:dyDescent="0.25">
      <c r="B794" s="342">
        <v>12174</v>
      </c>
      <c r="C794" s="343" t="s">
        <v>530</v>
      </c>
      <c r="D794" s="343" t="str">
        <f ca="1">OFFSET('Zip Code Lines_1'!$U$3,MATCH('Zip Code Lines_1'!C794,'Zip Code Lines_1'!$Q$4:$Q$26,0),0)</f>
        <v>Albany</v>
      </c>
      <c r="E794" s="344">
        <f ca="1">OFFSET('Zip Code Lines_1'!$W$3,MATCH('Zip Code Lines_1'!C794,'Zip Code Lines_1'!$Q$4:$Q$26,0),0)</f>
        <v>4.7</v>
      </c>
      <c r="F794" s="344">
        <f ca="1">OFFSET('Zip Code Lines_1'!$Z$3,MATCH('Zip Code Lines_1'!C794,'Zip Code Lines_1'!$Q$4:$Q$26,0),0)</f>
        <v>86.1</v>
      </c>
      <c r="G794" s="342">
        <f ca="1">OFFSET('Zip Code Lines_1'!$AC$3,MATCH('Zip Code Lines_1'!C794,'Zip Code Lines_1'!$Q$4:$Q$26,0),0)</f>
        <v>12</v>
      </c>
      <c r="H794" s="342">
        <v>12174</v>
      </c>
    </row>
    <row r="795" spans="2:8" x14ac:dyDescent="0.25">
      <c r="B795" s="342">
        <v>12175</v>
      </c>
      <c r="C795" s="343" t="s">
        <v>543</v>
      </c>
      <c r="D795" s="343" t="str">
        <f ca="1">OFFSET('Zip Code Lines_1'!$U$3,MATCH('Zip Code Lines_1'!C795,'Zip Code Lines_1'!$Q$4:$Q$26,0),0)</f>
        <v xml:space="preserve">Glens Falls </v>
      </c>
      <c r="E795" s="344">
        <f ca="1">OFFSET('Zip Code Lines_1'!$W$3,MATCH('Zip Code Lines_1'!C795,'Zip Code Lines_1'!$Q$4:$Q$26,0),0)</f>
        <v>-1.8</v>
      </c>
      <c r="F795" s="344">
        <f ca="1">OFFSET('Zip Code Lines_1'!$Z$3,MATCH('Zip Code Lines_1'!C795,'Zip Code Lines_1'!$Q$4:$Q$26,0),0)</f>
        <v>84.7</v>
      </c>
      <c r="G795" s="342">
        <f ca="1">OFFSET('Zip Code Lines_1'!$AC$3,MATCH('Zip Code Lines_1'!C795,'Zip Code Lines_1'!$Q$4:$Q$26,0),0)</f>
        <v>12</v>
      </c>
      <c r="H795" s="342">
        <v>12175</v>
      </c>
    </row>
    <row r="796" spans="2:8" x14ac:dyDescent="0.25">
      <c r="B796" s="342">
        <v>12176</v>
      </c>
      <c r="C796" s="343" t="s">
        <v>530</v>
      </c>
      <c r="D796" s="343" t="str">
        <f ca="1">OFFSET('Zip Code Lines_1'!$U$3,MATCH('Zip Code Lines_1'!C796,'Zip Code Lines_1'!$Q$4:$Q$26,0),0)</f>
        <v>Albany</v>
      </c>
      <c r="E796" s="344">
        <f ca="1">OFFSET('Zip Code Lines_1'!$W$3,MATCH('Zip Code Lines_1'!C796,'Zip Code Lines_1'!$Q$4:$Q$26,0),0)</f>
        <v>4.7</v>
      </c>
      <c r="F796" s="344">
        <f ca="1">OFFSET('Zip Code Lines_1'!$Z$3,MATCH('Zip Code Lines_1'!C796,'Zip Code Lines_1'!$Q$4:$Q$26,0),0)</f>
        <v>86.1</v>
      </c>
      <c r="G796" s="342">
        <f ca="1">OFFSET('Zip Code Lines_1'!$AC$3,MATCH('Zip Code Lines_1'!C796,'Zip Code Lines_1'!$Q$4:$Q$26,0),0)</f>
        <v>12</v>
      </c>
      <c r="H796" s="342">
        <v>12176</v>
      </c>
    </row>
    <row r="797" spans="2:8" x14ac:dyDescent="0.25">
      <c r="B797" s="342">
        <v>12177</v>
      </c>
      <c r="C797" s="343" t="s">
        <v>530</v>
      </c>
      <c r="D797" s="343" t="str">
        <f ca="1">OFFSET('Zip Code Lines_1'!$U$3,MATCH('Zip Code Lines_1'!C797,'Zip Code Lines_1'!$Q$4:$Q$26,0),0)</f>
        <v>Albany</v>
      </c>
      <c r="E797" s="344">
        <f ca="1">OFFSET('Zip Code Lines_1'!$W$3,MATCH('Zip Code Lines_1'!C797,'Zip Code Lines_1'!$Q$4:$Q$26,0),0)</f>
        <v>4.7</v>
      </c>
      <c r="F797" s="344">
        <f ca="1">OFFSET('Zip Code Lines_1'!$Z$3,MATCH('Zip Code Lines_1'!C797,'Zip Code Lines_1'!$Q$4:$Q$26,0),0)</f>
        <v>86.1</v>
      </c>
      <c r="G797" s="342">
        <f ca="1">OFFSET('Zip Code Lines_1'!$AC$3,MATCH('Zip Code Lines_1'!C797,'Zip Code Lines_1'!$Q$4:$Q$26,0),0)</f>
        <v>12</v>
      </c>
      <c r="H797" s="342">
        <v>12177</v>
      </c>
    </row>
    <row r="798" spans="2:8" x14ac:dyDescent="0.25">
      <c r="B798" s="342">
        <v>12180</v>
      </c>
      <c r="C798" s="343" t="s">
        <v>530</v>
      </c>
      <c r="D798" s="343" t="str">
        <f ca="1">OFFSET('Zip Code Lines_1'!$U$3,MATCH('Zip Code Lines_1'!C798,'Zip Code Lines_1'!$Q$4:$Q$26,0),0)</f>
        <v>Albany</v>
      </c>
      <c r="E798" s="344">
        <f ca="1">OFFSET('Zip Code Lines_1'!$W$3,MATCH('Zip Code Lines_1'!C798,'Zip Code Lines_1'!$Q$4:$Q$26,0),0)</f>
        <v>4.7</v>
      </c>
      <c r="F798" s="344">
        <f ca="1">OFFSET('Zip Code Lines_1'!$Z$3,MATCH('Zip Code Lines_1'!C798,'Zip Code Lines_1'!$Q$4:$Q$26,0),0)</f>
        <v>86.1</v>
      </c>
      <c r="G798" s="342">
        <f ca="1">OFFSET('Zip Code Lines_1'!$AC$3,MATCH('Zip Code Lines_1'!C798,'Zip Code Lines_1'!$Q$4:$Q$26,0),0)</f>
        <v>12</v>
      </c>
      <c r="H798" s="342">
        <v>12180</v>
      </c>
    </row>
    <row r="799" spans="2:8" x14ac:dyDescent="0.25">
      <c r="B799" s="342">
        <v>12181</v>
      </c>
      <c r="C799" s="343" t="s">
        <v>530</v>
      </c>
      <c r="D799" s="343" t="str">
        <f ca="1">OFFSET('Zip Code Lines_1'!$U$3,MATCH('Zip Code Lines_1'!C799,'Zip Code Lines_1'!$Q$4:$Q$26,0),0)</f>
        <v>Albany</v>
      </c>
      <c r="E799" s="344">
        <f ca="1">OFFSET('Zip Code Lines_1'!$W$3,MATCH('Zip Code Lines_1'!C799,'Zip Code Lines_1'!$Q$4:$Q$26,0),0)</f>
        <v>4.7</v>
      </c>
      <c r="F799" s="344">
        <f ca="1">OFFSET('Zip Code Lines_1'!$Z$3,MATCH('Zip Code Lines_1'!C799,'Zip Code Lines_1'!$Q$4:$Q$26,0),0)</f>
        <v>86.1</v>
      </c>
      <c r="G799" s="342">
        <f ca="1">OFFSET('Zip Code Lines_1'!$AC$3,MATCH('Zip Code Lines_1'!C799,'Zip Code Lines_1'!$Q$4:$Q$26,0),0)</f>
        <v>12</v>
      </c>
      <c r="H799" s="342">
        <v>12181</v>
      </c>
    </row>
    <row r="800" spans="2:8" x14ac:dyDescent="0.25">
      <c r="B800" s="342">
        <v>12182</v>
      </c>
      <c r="C800" s="343" t="s">
        <v>530</v>
      </c>
      <c r="D800" s="343" t="str">
        <f ca="1">OFFSET('Zip Code Lines_1'!$U$3,MATCH('Zip Code Lines_1'!C800,'Zip Code Lines_1'!$Q$4:$Q$26,0),0)</f>
        <v>Albany</v>
      </c>
      <c r="E800" s="344">
        <f ca="1">OFFSET('Zip Code Lines_1'!$W$3,MATCH('Zip Code Lines_1'!C800,'Zip Code Lines_1'!$Q$4:$Q$26,0),0)</f>
        <v>4.7</v>
      </c>
      <c r="F800" s="344">
        <f ca="1">OFFSET('Zip Code Lines_1'!$Z$3,MATCH('Zip Code Lines_1'!C800,'Zip Code Lines_1'!$Q$4:$Q$26,0),0)</f>
        <v>86.1</v>
      </c>
      <c r="G800" s="342">
        <f ca="1">OFFSET('Zip Code Lines_1'!$AC$3,MATCH('Zip Code Lines_1'!C800,'Zip Code Lines_1'!$Q$4:$Q$26,0),0)</f>
        <v>12</v>
      </c>
      <c r="H800" s="342">
        <v>12182</v>
      </c>
    </row>
    <row r="801" spans="2:8" x14ac:dyDescent="0.25">
      <c r="B801" s="342">
        <v>12183</v>
      </c>
      <c r="C801" s="343" t="s">
        <v>530</v>
      </c>
      <c r="D801" s="343" t="str">
        <f ca="1">OFFSET('Zip Code Lines_1'!$U$3,MATCH('Zip Code Lines_1'!C801,'Zip Code Lines_1'!$Q$4:$Q$26,0),0)</f>
        <v>Albany</v>
      </c>
      <c r="E801" s="344">
        <f ca="1">OFFSET('Zip Code Lines_1'!$W$3,MATCH('Zip Code Lines_1'!C801,'Zip Code Lines_1'!$Q$4:$Q$26,0),0)</f>
        <v>4.7</v>
      </c>
      <c r="F801" s="344">
        <f ca="1">OFFSET('Zip Code Lines_1'!$Z$3,MATCH('Zip Code Lines_1'!C801,'Zip Code Lines_1'!$Q$4:$Q$26,0),0)</f>
        <v>86.1</v>
      </c>
      <c r="G801" s="342">
        <f ca="1">OFFSET('Zip Code Lines_1'!$AC$3,MATCH('Zip Code Lines_1'!C801,'Zip Code Lines_1'!$Q$4:$Q$26,0),0)</f>
        <v>12</v>
      </c>
      <c r="H801" s="342">
        <v>12183</v>
      </c>
    </row>
    <row r="802" spans="2:8" x14ac:dyDescent="0.25">
      <c r="B802" s="342">
        <v>12184</v>
      </c>
      <c r="C802" s="343" t="s">
        <v>530</v>
      </c>
      <c r="D802" s="343" t="str">
        <f ca="1">OFFSET('Zip Code Lines_1'!$U$3,MATCH('Zip Code Lines_1'!C802,'Zip Code Lines_1'!$Q$4:$Q$26,0),0)</f>
        <v>Albany</v>
      </c>
      <c r="E802" s="344">
        <f ca="1">OFFSET('Zip Code Lines_1'!$W$3,MATCH('Zip Code Lines_1'!C802,'Zip Code Lines_1'!$Q$4:$Q$26,0),0)</f>
        <v>4.7</v>
      </c>
      <c r="F802" s="344">
        <f ca="1">OFFSET('Zip Code Lines_1'!$Z$3,MATCH('Zip Code Lines_1'!C802,'Zip Code Lines_1'!$Q$4:$Q$26,0),0)</f>
        <v>86.1</v>
      </c>
      <c r="G802" s="342">
        <f ca="1">OFFSET('Zip Code Lines_1'!$AC$3,MATCH('Zip Code Lines_1'!C802,'Zip Code Lines_1'!$Q$4:$Q$26,0),0)</f>
        <v>12</v>
      </c>
      <c r="H802" s="342">
        <v>12184</v>
      </c>
    </row>
    <row r="803" spans="2:8" x14ac:dyDescent="0.25">
      <c r="B803" s="342">
        <v>12185</v>
      </c>
      <c r="C803" s="343" t="s">
        <v>543</v>
      </c>
      <c r="D803" s="343" t="str">
        <f ca="1">OFFSET('Zip Code Lines_1'!$U$3,MATCH('Zip Code Lines_1'!C803,'Zip Code Lines_1'!$Q$4:$Q$26,0),0)</f>
        <v xml:space="preserve">Glens Falls </v>
      </c>
      <c r="E803" s="344">
        <f ca="1">OFFSET('Zip Code Lines_1'!$W$3,MATCH('Zip Code Lines_1'!C803,'Zip Code Lines_1'!$Q$4:$Q$26,0),0)</f>
        <v>-1.8</v>
      </c>
      <c r="F803" s="344">
        <f ca="1">OFFSET('Zip Code Lines_1'!$Z$3,MATCH('Zip Code Lines_1'!C803,'Zip Code Lines_1'!$Q$4:$Q$26,0),0)</f>
        <v>84.7</v>
      </c>
      <c r="G803" s="342">
        <f ca="1">OFFSET('Zip Code Lines_1'!$AC$3,MATCH('Zip Code Lines_1'!C803,'Zip Code Lines_1'!$Q$4:$Q$26,0),0)</f>
        <v>12</v>
      </c>
      <c r="H803" s="342">
        <v>12185</v>
      </c>
    </row>
    <row r="804" spans="2:8" x14ac:dyDescent="0.25">
      <c r="B804" s="342">
        <v>12186</v>
      </c>
      <c r="C804" s="343" t="s">
        <v>530</v>
      </c>
      <c r="D804" s="343" t="str">
        <f ca="1">OFFSET('Zip Code Lines_1'!$U$3,MATCH('Zip Code Lines_1'!C804,'Zip Code Lines_1'!$Q$4:$Q$26,0),0)</f>
        <v>Albany</v>
      </c>
      <c r="E804" s="344">
        <f ca="1">OFFSET('Zip Code Lines_1'!$W$3,MATCH('Zip Code Lines_1'!C804,'Zip Code Lines_1'!$Q$4:$Q$26,0),0)</f>
        <v>4.7</v>
      </c>
      <c r="F804" s="344">
        <f ca="1">OFFSET('Zip Code Lines_1'!$Z$3,MATCH('Zip Code Lines_1'!C804,'Zip Code Lines_1'!$Q$4:$Q$26,0),0)</f>
        <v>86.1</v>
      </c>
      <c r="G804" s="342">
        <f ca="1">OFFSET('Zip Code Lines_1'!$AC$3,MATCH('Zip Code Lines_1'!C804,'Zip Code Lines_1'!$Q$4:$Q$26,0),0)</f>
        <v>12</v>
      </c>
      <c r="H804" s="342">
        <v>12186</v>
      </c>
    </row>
    <row r="805" spans="2:8" x14ac:dyDescent="0.25">
      <c r="B805" s="342">
        <v>12187</v>
      </c>
      <c r="C805" s="343" t="s">
        <v>543</v>
      </c>
      <c r="D805" s="343" t="str">
        <f ca="1">OFFSET('Zip Code Lines_1'!$U$3,MATCH('Zip Code Lines_1'!C805,'Zip Code Lines_1'!$Q$4:$Q$26,0),0)</f>
        <v xml:space="preserve">Glens Falls </v>
      </c>
      <c r="E805" s="344">
        <f ca="1">OFFSET('Zip Code Lines_1'!$W$3,MATCH('Zip Code Lines_1'!C805,'Zip Code Lines_1'!$Q$4:$Q$26,0),0)</f>
        <v>-1.8</v>
      </c>
      <c r="F805" s="344">
        <f ca="1">OFFSET('Zip Code Lines_1'!$Z$3,MATCH('Zip Code Lines_1'!C805,'Zip Code Lines_1'!$Q$4:$Q$26,0),0)</f>
        <v>84.7</v>
      </c>
      <c r="G805" s="342">
        <f ca="1">OFFSET('Zip Code Lines_1'!$AC$3,MATCH('Zip Code Lines_1'!C805,'Zip Code Lines_1'!$Q$4:$Q$26,0),0)</f>
        <v>12</v>
      </c>
      <c r="H805" s="342">
        <v>12187</v>
      </c>
    </row>
    <row r="806" spans="2:8" x14ac:dyDescent="0.25">
      <c r="B806" s="342">
        <v>12188</v>
      </c>
      <c r="C806" s="343" t="s">
        <v>530</v>
      </c>
      <c r="D806" s="343" t="str">
        <f ca="1">OFFSET('Zip Code Lines_1'!$U$3,MATCH('Zip Code Lines_1'!C806,'Zip Code Lines_1'!$Q$4:$Q$26,0),0)</f>
        <v>Albany</v>
      </c>
      <c r="E806" s="344">
        <f ca="1">OFFSET('Zip Code Lines_1'!$W$3,MATCH('Zip Code Lines_1'!C806,'Zip Code Lines_1'!$Q$4:$Q$26,0),0)</f>
        <v>4.7</v>
      </c>
      <c r="F806" s="344">
        <f ca="1">OFFSET('Zip Code Lines_1'!$Z$3,MATCH('Zip Code Lines_1'!C806,'Zip Code Lines_1'!$Q$4:$Q$26,0),0)</f>
        <v>86.1</v>
      </c>
      <c r="G806" s="342">
        <f ca="1">OFFSET('Zip Code Lines_1'!$AC$3,MATCH('Zip Code Lines_1'!C806,'Zip Code Lines_1'!$Q$4:$Q$26,0),0)</f>
        <v>12</v>
      </c>
      <c r="H806" s="342">
        <v>12188</v>
      </c>
    </row>
    <row r="807" spans="2:8" x14ac:dyDescent="0.25">
      <c r="B807" s="342">
        <v>12189</v>
      </c>
      <c r="C807" s="343" t="s">
        <v>530</v>
      </c>
      <c r="D807" s="343" t="str">
        <f ca="1">OFFSET('Zip Code Lines_1'!$U$3,MATCH('Zip Code Lines_1'!C807,'Zip Code Lines_1'!$Q$4:$Q$26,0),0)</f>
        <v>Albany</v>
      </c>
      <c r="E807" s="344">
        <f ca="1">OFFSET('Zip Code Lines_1'!$W$3,MATCH('Zip Code Lines_1'!C807,'Zip Code Lines_1'!$Q$4:$Q$26,0),0)</f>
        <v>4.7</v>
      </c>
      <c r="F807" s="344">
        <f ca="1">OFFSET('Zip Code Lines_1'!$Z$3,MATCH('Zip Code Lines_1'!C807,'Zip Code Lines_1'!$Q$4:$Q$26,0),0)</f>
        <v>86.1</v>
      </c>
      <c r="G807" s="342">
        <f ca="1">OFFSET('Zip Code Lines_1'!$AC$3,MATCH('Zip Code Lines_1'!C807,'Zip Code Lines_1'!$Q$4:$Q$26,0),0)</f>
        <v>12</v>
      </c>
      <c r="H807" s="342">
        <v>12189</v>
      </c>
    </row>
    <row r="808" spans="2:8" x14ac:dyDescent="0.25">
      <c r="B808" s="342">
        <v>12190</v>
      </c>
      <c r="C808" s="343" t="s">
        <v>566</v>
      </c>
      <c r="D808" s="343" t="str">
        <f ca="1">OFFSET('Zip Code Lines_1'!$U$3,MATCH('Zip Code Lines_1'!C808,'Zip Code Lines_1'!$Q$4:$Q$26,0),0)</f>
        <v>Saranac Lake</v>
      </c>
      <c r="E808" s="344">
        <f ca="1">OFFSET('Zip Code Lines_1'!$W$3,MATCH('Zip Code Lines_1'!C808,'Zip Code Lines_1'!$Q$4:$Q$26,0),0)</f>
        <v>-11.5</v>
      </c>
      <c r="F808" s="344">
        <f ca="1">OFFSET('Zip Code Lines_1'!$Z$3,MATCH('Zip Code Lines_1'!C808,'Zip Code Lines_1'!$Q$4:$Q$26,0),0)</f>
        <v>81</v>
      </c>
      <c r="G808" s="342">
        <f ca="1">OFFSET('Zip Code Lines_1'!$AC$3,MATCH('Zip Code Lines_1'!C808,'Zip Code Lines_1'!$Q$4:$Q$26,0),0)</f>
        <v>24</v>
      </c>
      <c r="H808" s="342">
        <v>12190</v>
      </c>
    </row>
    <row r="809" spans="2:8" x14ac:dyDescent="0.25">
      <c r="B809" s="342">
        <v>12192</v>
      </c>
      <c r="C809" s="343" t="s">
        <v>530</v>
      </c>
      <c r="D809" s="343" t="str">
        <f ca="1">OFFSET('Zip Code Lines_1'!$U$3,MATCH('Zip Code Lines_1'!C809,'Zip Code Lines_1'!$Q$4:$Q$26,0),0)</f>
        <v>Albany</v>
      </c>
      <c r="E809" s="344">
        <f ca="1">OFFSET('Zip Code Lines_1'!$W$3,MATCH('Zip Code Lines_1'!C809,'Zip Code Lines_1'!$Q$4:$Q$26,0),0)</f>
        <v>4.7</v>
      </c>
      <c r="F809" s="344">
        <f ca="1">OFFSET('Zip Code Lines_1'!$Z$3,MATCH('Zip Code Lines_1'!C809,'Zip Code Lines_1'!$Q$4:$Q$26,0),0)</f>
        <v>86.1</v>
      </c>
      <c r="G809" s="342">
        <f ca="1">OFFSET('Zip Code Lines_1'!$AC$3,MATCH('Zip Code Lines_1'!C809,'Zip Code Lines_1'!$Q$4:$Q$26,0),0)</f>
        <v>12</v>
      </c>
      <c r="H809" s="342">
        <v>12192</v>
      </c>
    </row>
    <row r="810" spans="2:8" x14ac:dyDescent="0.25">
      <c r="B810" s="342">
        <v>12193</v>
      </c>
      <c r="C810" s="343" t="s">
        <v>530</v>
      </c>
      <c r="D810" s="343" t="str">
        <f ca="1">OFFSET('Zip Code Lines_1'!$U$3,MATCH('Zip Code Lines_1'!C810,'Zip Code Lines_1'!$Q$4:$Q$26,0),0)</f>
        <v>Albany</v>
      </c>
      <c r="E810" s="344">
        <f ca="1">OFFSET('Zip Code Lines_1'!$W$3,MATCH('Zip Code Lines_1'!C810,'Zip Code Lines_1'!$Q$4:$Q$26,0),0)</f>
        <v>4.7</v>
      </c>
      <c r="F810" s="344">
        <f ca="1">OFFSET('Zip Code Lines_1'!$Z$3,MATCH('Zip Code Lines_1'!C810,'Zip Code Lines_1'!$Q$4:$Q$26,0),0)</f>
        <v>86.1</v>
      </c>
      <c r="G810" s="342">
        <f ca="1">OFFSET('Zip Code Lines_1'!$AC$3,MATCH('Zip Code Lines_1'!C810,'Zip Code Lines_1'!$Q$4:$Q$26,0),0)</f>
        <v>12</v>
      </c>
      <c r="H810" s="342">
        <v>12193</v>
      </c>
    </row>
    <row r="811" spans="2:8" x14ac:dyDescent="0.25">
      <c r="B811" s="342">
        <v>12194</v>
      </c>
      <c r="C811" s="343" t="s">
        <v>543</v>
      </c>
      <c r="D811" s="343" t="str">
        <f ca="1">OFFSET('Zip Code Lines_1'!$U$3,MATCH('Zip Code Lines_1'!C811,'Zip Code Lines_1'!$Q$4:$Q$26,0),0)</f>
        <v xml:space="preserve">Glens Falls </v>
      </c>
      <c r="E811" s="344">
        <f ca="1">OFFSET('Zip Code Lines_1'!$W$3,MATCH('Zip Code Lines_1'!C811,'Zip Code Lines_1'!$Q$4:$Q$26,0),0)</f>
        <v>-1.8</v>
      </c>
      <c r="F811" s="344">
        <f ca="1">OFFSET('Zip Code Lines_1'!$Z$3,MATCH('Zip Code Lines_1'!C811,'Zip Code Lines_1'!$Q$4:$Q$26,0),0)</f>
        <v>84.7</v>
      </c>
      <c r="G811" s="342">
        <f ca="1">OFFSET('Zip Code Lines_1'!$AC$3,MATCH('Zip Code Lines_1'!C811,'Zip Code Lines_1'!$Q$4:$Q$26,0),0)</f>
        <v>12</v>
      </c>
      <c r="H811" s="342">
        <v>12194</v>
      </c>
    </row>
    <row r="812" spans="2:8" x14ac:dyDescent="0.25">
      <c r="B812" s="342">
        <v>12195</v>
      </c>
      <c r="C812" s="343" t="s">
        <v>530</v>
      </c>
      <c r="D812" s="343" t="str">
        <f ca="1">OFFSET('Zip Code Lines_1'!$U$3,MATCH('Zip Code Lines_1'!C812,'Zip Code Lines_1'!$Q$4:$Q$26,0),0)</f>
        <v>Albany</v>
      </c>
      <c r="E812" s="344">
        <f ca="1">OFFSET('Zip Code Lines_1'!$W$3,MATCH('Zip Code Lines_1'!C812,'Zip Code Lines_1'!$Q$4:$Q$26,0),0)</f>
        <v>4.7</v>
      </c>
      <c r="F812" s="344">
        <f ca="1">OFFSET('Zip Code Lines_1'!$Z$3,MATCH('Zip Code Lines_1'!C812,'Zip Code Lines_1'!$Q$4:$Q$26,0),0)</f>
        <v>86.1</v>
      </c>
      <c r="G812" s="342">
        <f ca="1">OFFSET('Zip Code Lines_1'!$AC$3,MATCH('Zip Code Lines_1'!C812,'Zip Code Lines_1'!$Q$4:$Q$26,0),0)</f>
        <v>12</v>
      </c>
      <c r="H812" s="342">
        <v>12195</v>
      </c>
    </row>
    <row r="813" spans="2:8" x14ac:dyDescent="0.25">
      <c r="B813" s="342">
        <v>12196</v>
      </c>
      <c r="C813" s="343" t="s">
        <v>530</v>
      </c>
      <c r="D813" s="343" t="str">
        <f ca="1">OFFSET('Zip Code Lines_1'!$U$3,MATCH('Zip Code Lines_1'!C813,'Zip Code Lines_1'!$Q$4:$Q$26,0),0)</f>
        <v>Albany</v>
      </c>
      <c r="E813" s="344">
        <f ca="1">OFFSET('Zip Code Lines_1'!$W$3,MATCH('Zip Code Lines_1'!C813,'Zip Code Lines_1'!$Q$4:$Q$26,0),0)</f>
        <v>4.7</v>
      </c>
      <c r="F813" s="344">
        <f ca="1">OFFSET('Zip Code Lines_1'!$Z$3,MATCH('Zip Code Lines_1'!C813,'Zip Code Lines_1'!$Q$4:$Q$26,0),0)</f>
        <v>86.1</v>
      </c>
      <c r="G813" s="342">
        <f ca="1">OFFSET('Zip Code Lines_1'!$AC$3,MATCH('Zip Code Lines_1'!C813,'Zip Code Lines_1'!$Q$4:$Q$26,0),0)</f>
        <v>12</v>
      </c>
      <c r="H813" s="342">
        <v>12196</v>
      </c>
    </row>
    <row r="814" spans="2:8" x14ac:dyDescent="0.25">
      <c r="B814" s="342">
        <v>12197</v>
      </c>
      <c r="C814" s="343" t="s">
        <v>543</v>
      </c>
      <c r="D814" s="343" t="str">
        <f ca="1">OFFSET('Zip Code Lines_1'!$U$3,MATCH('Zip Code Lines_1'!C814,'Zip Code Lines_1'!$Q$4:$Q$26,0),0)</f>
        <v xml:space="preserve">Glens Falls </v>
      </c>
      <c r="E814" s="344">
        <f ca="1">OFFSET('Zip Code Lines_1'!$W$3,MATCH('Zip Code Lines_1'!C814,'Zip Code Lines_1'!$Q$4:$Q$26,0),0)</f>
        <v>-1.8</v>
      </c>
      <c r="F814" s="344">
        <f ca="1">OFFSET('Zip Code Lines_1'!$Z$3,MATCH('Zip Code Lines_1'!C814,'Zip Code Lines_1'!$Q$4:$Q$26,0),0)</f>
        <v>84.7</v>
      </c>
      <c r="G814" s="342">
        <f ca="1">OFFSET('Zip Code Lines_1'!$AC$3,MATCH('Zip Code Lines_1'!C814,'Zip Code Lines_1'!$Q$4:$Q$26,0),0)</f>
        <v>12</v>
      </c>
      <c r="H814" s="342">
        <v>12197</v>
      </c>
    </row>
    <row r="815" spans="2:8" x14ac:dyDescent="0.25">
      <c r="B815" s="342">
        <v>12198</v>
      </c>
      <c r="C815" s="343" t="s">
        <v>530</v>
      </c>
      <c r="D815" s="343" t="str">
        <f ca="1">OFFSET('Zip Code Lines_1'!$U$3,MATCH('Zip Code Lines_1'!C815,'Zip Code Lines_1'!$Q$4:$Q$26,0),0)</f>
        <v>Albany</v>
      </c>
      <c r="E815" s="344">
        <f ca="1">OFFSET('Zip Code Lines_1'!$W$3,MATCH('Zip Code Lines_1'!C815,'Zip Code Lines_1'!$Q$4:$Q$26,0),0)</f>
        <v>4.7</v>
      </c>
      <c r="F815" s="344">
        <f ca="1">OFFSET('Zip Code Lines_1'!$Z$3,MATCH('Zip Code Lines_1'!C815,'Zip Code Lines_1'!$Q$4:$Q$26,0),0)</f>
        <v>86.1</v>
      </c>
      <c r="G815" s="342">
        <f ca="1">OFFSET('Zip Code Lines_1'!$AC$3,MATCH('Zip Code Lines_1'!C815,'Zip Code Lines_1'!$Q$4:$Q$26,0),0)</f>
        <v>12</v>
      </c>
      <c r="H815" s="342">
        <v>12198</v>
      </c>
    </row>
    <row r="816" spans="2:8" x14ac:dyDescent="0.25">
      <c r="B816" s="342">
        <v>12201</v>
      </c>
      <c r="C816" s="343" t="s">
        <v>530</v>
      </c>
      <c r="D816" s="343" t="str">
        <f ca="1">OFFSET('Zip Code Lines_1'!$U$3,MATCH('Zip Code Lines_1'!C816,'Zip Code Lines_1'!$Q$4:$Q$26,0),0)</f>
        <v>Albany</v>
      </c>
      <c r="E816" s="344">
        <f ca="1">OFFSET('Zip Code Lines_1'!$W$3,MATCH('Zip Code Lines_1'!C816,'Zip Code Lines_1'!$Q$4:$Q$26,0),0)</f>
        <v>4.7</v>
      </c>
      <c r="F816" s="344">
        <f ca="1">OFFSET('Zip Code Lines_1'!$Z$3,MATCH('Zip Code Lines_1'!C816,'Zip Code Lines_1'!$Q$4:$Q$26,0),0)</f>
        <v>86.1</v>
      </c>
      <c r="G816" s="342">
        <f ca="1">OFFSET('Zip Code Lines_1'!$AC$3,MATCH('Zip Code Lines_1'!C816,'Zip Code Lines_1'!$Q$4:$Q$26,0),0)</f>
        <v>12</v>
      </c>
      <c r="H816" s="342">
        <v>12201</v>
      </c>
    </row>
    <row r="817" spans="2:8" x14ac:dyDescent="0.25">
      <c r="B817" s="342">
        <v>12202</v>
      </c>
      <c r="C817" s="343" t="s">
        <v>530</v>
      </c>
      <c r="D817" s="343" t="str">
        <f ca="1">OFFSET('Zip Code Lines_1'!$U$3,MATCH('Zip Code Lines_1'!C817,'Zip Code Lines_1'!$Q$4:$Q$26,0),0)</f>
        <v>Albany</v>
      </c>
      <c r="E817" s="344">
        <f ca="1">OFFSET('Zip Code Lines_1'!$W$3,MATCH('Zip Code Lines_1'!C817,'Zip Code Lines_1'!$Q$4:$Q$26,0),0)</f>
        <v>4.7</v>
      </c>
      <c r="F817" s="344">
        <f ca="1">OFFSET('Zip Code Lines_1'!$Z$3,MATCH('Zip Code Lines_1'!C817,'Zip Code Lines_1'!$Q$4:$Q$26,0),0)</f>
        <v>86.1</v>
      </c>
      <c r="G817" s="342">
        <f ca="1">OFFSET('Zip Code Lines_1'!$AC$3,MATCH('Zip Code Lines_1'!C817,'Zip Code Lines_1'!$Q$4:$Q$26,0),0)</f>
        <v>12</v>
      </c>
      <c r="H817" s="342">
        <v>12202</v>
      </c>
    </row>
    <row r="818" spans="2:8" x14ac:dyDescent="0.25">
      <c r="B818" s="342">
        <v>12203</v>
      </c>
      <c r="C818" s="343" t="s">
        <v>530</v>
      </c>
      <c r="D818" s="343" t="str">
        <f ca="1">OFFSET('Zip Code Lines_1'!$U$3,MATCH('Zip Code Lines_1'!C818,'Zip Code Lines_1'!$Q$4:$Q$26,0),0)</f>
        <v>Albany</v>
      </c>
      <c r="E818" s="344">
        <f ca="1">OFFSET('Zip Code Lines_1'!$W$3,MATCH('Zip Code Lines_1'!C818,'Zip Code Lines_1'!$Q$4:$Q$26,0),0)</f>
        <v>4.7</v>
      </c>
      <c r="F818" s="344">
        <f ca="1">OFFSET('Zip Code Lines_1'!$Z$3,MATCH('Zip Code Lines_1'!C818,'Zip Code Lines_1'!$Q$4:$Q$26,0),0)</f>
        <v>86.1</v>
      </c>
      <c r="G818" s="342">
        <f ca="1">OFFSET('Zip Code Lines_1'!$AC$3,MATCH('Zip Code Lines_1'!C818,'Zip Code Lines_1'!$Q$4:$Q$26,0),0)</f>
        <v>12</v>
      </c>
      <c r="H818" s="342">
        <v>12203</v>
      </c>
    </row>
    <row r="819" spans="2:8" x14ac:dyDescent="0.25">
      <c r="B819" s="342">
        <v>12204</v>
      </c>
      <c r="C819" s="343" t="s">
        <v>530</v>
      </c>
      <c r="D819" s="343" t="str">
        <f ca="1">OFFSET('Zip Code Lines_1'!$U$3,MATCH('Zip Code Lines_1'!C819,'Zip Code Lines_1'!$Q$4:$Q$26,0),0)</f>
        <v>Albany</v>
      </c>
      <c r="E819" s="344">
        <f ca="1">OFFSET('Zip Code Lines_1'!$W$3,MATCH('Zip Code Lines_1'!C819,'Zip Code Lines_1'!$Q$4:$Q$26,0),0)</f>
        <v>4.7</v>
      </c>
      <c r="F819" s="344">
        <f ca="1">OFFSET('Zip Code Lines_1'!$Z$3,MATCH('Zip Code Lines_1'!C819,'Zip Code Lines_1'!$Q$4:$Q$26,0),0)</f>
        <v>86.1</v>
      </c>
      <c r="G819" s="342">
        <f ca="1">OFFSET('Zip Code Lines_1'!$AC$3,MATCH('Zip Code Lines_1'!C819,'Zip Code Lines_1'!$Q$4:$Q$26,0),0)</f>
        <v>12</v>
      </c>
      <c r="H819" s="342">
        <v>12204</v>
      </c>
    </row>
    <row r="820" spans="2:8" x14ac:dyDescent="0.25">
      <c r="B820" s="342">
        <v>12205</v>
      </c>
      <c r="C820" s="343" t="s">
        <v>530</v>
      </c>
      <c r="D820" s="343" t="str">
        <f ca="1">OFFSET('Zip Code Lines_1'!$U$3,MATCH('Zip Code Lines_1'!C820,'Zip Code Lines_1'!$Q$4:$Q$26,0),0)</f>
        <v>Albany</v>
      </c>
      <c r="E820" s="344">
        <f ca="1">OFFSET('Zip Code Lines_1'!$W$3,MATCH('Zip Code Lines_1'!C820,'Zip Code Lines_1'!$Q$4:$Q$26,0),0)</f>
        <v>4.7</v>
      </c>
      <c r="F820" s="344">
        <f ca="1">OFFSET('Zip Code Lines_1'!$Z$3,MATCH('Zip Code Lines_1'!C820,'Zip Code Lines_1'!$Q$4:$Q$26,0),0)</f>
        <v>86.1</v>
      </c>
      <c r="G820" s="342">
        <f ca="1">OFFSET('Zip Code Lines_1'!$AC$3,MATCH('Zip Code Lines_1'!C820,'Zip Code Lines_1'!$Q$4:$Q$26,0),0)</f>
        <v>12</v>
      </c>
      <c r="H820" s="342">
        <v>12205</v>
      </c>
    </row>
    <row r="821" spans="2:8" x14ac:dyDescent="0.25">
      <c r="B821" s="342">
        <v>12206</v>
      </c>
      <c r="C821" s="343" t="s">
        <v>530</v>
      </c>
      <c r="D821" s="343" t="str">
        <f ca="1">OFFSET('Zip Code Lines_1'!$U$3,MATCH('Zip Code Lines_1'!C821,'Zip Code Lines_1'!$Q$4:$Q$26,0),0)</f>
        <v>Albany</v>
      </c>
      <c r="E821" s="344">
        <f ca="1">OFFSET('Zip Code Lines_1'!$W$3,MATCH('Zip Code Lines_1'!C821,'Zip Code Lines_1'!$Q$4:$Q$26,0),0)</f>
        <v>4.7</v>
      </c>
      <c r="F821" s="344">
        <f ca="1">OFFSET('Zip Code Lines_1'!$Z$3,MATCH('Zip Code Lines_1'!C821,'Zip Code Lines_1'!$Q$4:$Q$26,0),0)</f>
        <v>86.1</v>
      </c>
      <c r="G821" s="342">
        <f ca="1">OFFSET('Zip Code Lines_1'!$AC$3,MATCH('Zip Code Lines_1'!C821,'Zip Code Lines_1'!$Q$4:$Q$26,0),0)</f>
        <v>12</v>
      </c>
      <c r="H821" s="342">
        <v>12206</v>
      </c>
    </row>
    <row r="822" spans="2:8" x14ac:dyDescent="0.25">
      <c r="B822" s="342">
        <v>12207</v>
      </c>
      <c r="C822" s="343" t="s">
        <v>530</v>
      </c>
      <c r="D822" s="343" t="str">
        <f ca="1">OFFSET('Zip Code Lines_1'!$U$3,MATCH('Zip Code Lines_1'!C822,'Zip Code Lines_1'!$Q$4:$Q$26,0),0)</f>
        <v>Albany</v>
      </c>
      <c r="E822" s="344">
        <f ca="1">OFFSET('Zip Code Lines_1'!$W$3,MATCH('Zip Code Lines_1'!C822,'Zip Code Lines_1'!$Q$4:$Q$26,0),0)</f>
        <v>4.7</v>
      </c>
      <c r="F822" s="344">
        <f ca="1">OFFSET('Zip Code Lines_1'!$Z$3,MATCH('Zip Code Lines_1'!C822,'Zip Code Lines_1'!$Q$4:$Q$26,0),0)</f>
        <v>86.1</v>
      </c>
      <c r="G822" s="342">
        <f ca="1">OFFSET('Zip Code Lines_1'!$AC$3,MATCH('Zip Code Lines_1'!C822,'Zip Code Lines_1'!$Q$4:$Q$26,0),0)</f>
        <v>12</v>
      </c>
      <c r="H822" s="342">
        <v>12207</v>
      </c>
    </row>
    <row r="823" spans="2:8" x14ac:dyDescent="0.25">
      <c r="B823" s="342">
        <v>12208</v>
      </c>
      <c r="C823" s="343" t="s">
        <v>530</v>
      </c>
      <c r="D823" s="343" t="str">
        <f ca="1">OFFSET('Zip Code Lines_1'!$U$3,MATCH('Zip Code Lines_1'!C823,'Zip Code Lines_1'!$Q$4:$Q$26,0),0)</f>
        <v>Albany</v>
      </c>
      <c r="E823" s="344">
        <f ca="1">OFFSET('Zip Code Lines_1'!$W$3,MATCH('Zip Code Lines_1'!C823,'Zip Code Lines_1'!$Q$4:$Q$26,0),0)</f>
        <v>4.7</v>
      </c>
      <c r="F823" s="344">
        <f ca="1">OFFSET('Zip Code Lines_1'!$Z$3,MATCH('Zip Code Lines_1'!C823,'Zip Code Lines_1'!$Q$4:$Q$26,0),0)</f>
        <v>86.1</v>
      </c>
      <c r="G823" s="342">
        <f ca="1">OFFSET('Zip Code Lines_1'!$AC$3,MATCH('Zip Code Lines_1'!C823,'Zip Code Lines_1'!$Q$4:$Q$26,0),0)</f>
        <v>12</v>
      </c>
      <c r="H823" s="342">
        <v>12208</v>
      </c>
    </row>
    <row r="824" spans="2:8" x14ac:dyDescent="0.25">
      <c r="B824" s="342">
        <v>12209</v>
      </c>
      <c r="C824" s="343" t="s">
        <v>530</v>
      </c>
      <c r="D824" s="343" t="str">
        <f ca="1">OFFSET('Zip Code Lines_1'!$U$3,MATCH('Zip Code Lines_1'!C824,'Zip Code Lines_1'!$Q$4:$Q$26,0),0)</f>
        <v>Albany</v>
      </c>
      <c r="E824" s="344">
        <f ca="1">OFFSET('Zip Code Lines_1'!$W$3,MATCH('Zip Code Lines_1'!C824,'Zip Code Lines_1'!$Q$4:$Q$26,0),0)</f>
        <v>4.7</v>
      </c>
      <c r="F824" s="344">
        <f ca="1">OFFSET('Zip Code Lines_1'!$Z$3,MATCH('Zip Code Lines_1'!C824,'Zip Code Lines_1'!$Q$4:$Q$26,0),0)</f>
        <v>86.1</v>
      </c>
      <c r="G824" s="342">
        <f ca="1">OFFSET('Zip Code Lines_1'!$AC$3,MATCH('Zip Code Lines_1'!C824,'Zip Code Lines_1'!$Q$4:$Q$26,0),0)</f>
        <v>12</v>
      </c>
      <c r="H824" s="342">
        <v>12209</v>
      </c>
    </row>
    <row r="825" spans="2:8" x14ac:dyDescent="0.25">
      <c r="B825" s="342">
        <v>12210</v>
      </c>
      <c r="C825" s="343" t="s">
        <v>530</v>
      </c>
      <c r="D825" s="343" t="str">
        <f ca="1">OFFSET('Zip Code Lines_1'!$U$3,MATCH('Zip Code Lines_1'!C825,'Zip Code Lines_1'!$Q$4:$Q$26,0),0)</f>
        <v>Albany</v>
      </c>
      <c r="E825" s="344">
        <f ca="1">OFFSET('Zip Code Lines_1'!$W$3,MATCH('Zip Code Lines_1'!C825,'Zip Code Lines_1'!$Q$4:$Q$26,0),0)</f>
        <v>4.7</v>
      </c>
      <c r="F825" s="344">
        <f ca="1">OFFSET('Zip Code Lines_1'!$Z$3,MATCH('Zip Code Lines_1'!C825,'Zip Code Lines_1'!$Q$4:$Q$26,0),0)</f>
        <v>86.1</v>
      </c>
      <c r="G825" s="342">
        <f ca="1">OFFSET('Zip Code Lines_1'!$AC$3,MATCH('Zip Code Lines_1'!C825,'Zip Code Lines_1'!$Q$4:$Q$26,0),0)</f>
        <v>12</v>
      </c>
      <c r="H825" s="342">
        <v>12210</v>
      </c>
    </row>
    <row r="826" spans="2:8" x14ac:dyDescent="0.25">
      <c r="B826" s="342">
        <v>12211</v>
      </c>
      <c r="C826" s="343" t="s">
        <v>530</v>
      </c>
      <c r="D826" s="343" t="str">
        <f ca="1">OFFSET('Zip Code Lines_1'!$U$3,MATCH('Zip Code Lines_1'!C826,'Zip Code Lines_1'!$Q$4:$Q$26,0),0)</f>
        <v>Albany</v>
      </c>
      <c r="E826" s="344">
        <f ca="1">OFFSET('Zip Code Lines_1'!$W$3,MATCH('Zip Code Lines_1'!C826,'Zip Code Lines_1'!$Q$4:$Q$26,0),0)</f>
        <v>4.7</v>
      </c>
      <c r="F826" s="344">
        <f ca="1">OFFSET('Zip Code Lines_1'!$Z$3,MATCH('Zip Code Lines_1'!C826,'Zip Code Lines_1'!$Q$4:$Q$26,0),0)</f>
        <v>86.1</v>
      </c>
      <c r="G826" s="342">
        <f ca="1">OFFSET('Zip Code Lines_1'!$AC$3,MATCH('Zip Code Lines_1'!C826,'Zip Code Lines_1'!$Q$4:$Q$26,0),0)</f>
        <v>12</v>
      </c>
      <c r="H826" s="342">
        <v>12211</v>
      </c>
    </row>
    <row r="827" spans="2:8" x14ac:dyDescent="0.25">
      <c r="B827" s="342">
        <v>12212</v>
      </c>
      <c r="C827" s="343" t="s">
        <v>530</v>
      </c>
      <c r="D827" s="343" t="str">
        <f ca="1">OFFSET('Zip Code Lines_1'!$U$3,MATCH('Zip Code Lines_1'!C827,'Zip Code Lines_1'!$Q$4:$Q$26,0),0)</f>
        <v>Albany</v>
      </c>
      <c r="E827" s="344">
        <f ca="1">OFFSET('Zip Code Lines_1'!$W$3,MATCH('Zip Code Lines_1'!C827,'Zip Code Lines_1'!$Q$4:$Q$26,0),0)</f>
        <v>4.7</v>
      </c>
      <c r="F827" s="344">
        <f ca="1">OFFSET('Zip Code Lines_1'!$Z$3,MATCH('Zip Code Lines_1'!C827,'Zip Code Lines_1'!$Q$4:$Q$26,0),0)</f>
        <v>86.1</v>
      </c>
      <c r="G827" s="342">
        <f ca="1">OFFSET('Zip Code Lines_1'!$AC$3,MATCH('Zip Code Lines_1'!C827,'Zip Code Lines_1'!$Q$4:$Q$26,0),0)</f>
        <v>12</v>
      </c>
      <c r="H827" s="342">
        <v>12212</v>
      </c>
    </row>
    <row r="828" spans="2:8" x14ac:dyDescent="0.25">
      <c r="B828" s="342">
        <v>12214</v>
      </c>
      <c r="C828" s="343" t="s">
        <v>530</v>
      </c>
      <c r="D828" s="343" t="str">
        <f ca="1">OFFSET('Zip Code Lines_1'!$U$3,MATCH('Zip Code Lines_1'!C828,'Zip Code Lines_1'!$Q$4:$Q$26,0),0)</f>
        <v>Albany</v>
      </c>
      <c r="E828" s="344">
        <f ca="1">OFFSET('Zip Code Lines_1'!$W$3,MATCH('Zip Code Lines_1'!C828,'Zip Code Lines_1'!$Q$4:$Q$26,0),0)</f>
        <v>4.7</v>
      </c>
      <c r="F828" s="344">
        <f ca="1">OFFSET('Zip Code Lines_1'!$Z$3,MATCH('Zip Code Lines_1'!C828,'Zip Code Lines_1'!$Q$4:$Q$26,0),0)</f>
        <v>86.1</v>
      </c>
      <c r="G828" s="342">
        <f ca="1">OFFSET('Zip Code Lines_1'!$AC$3,MATCH('Zip Code Lines_1'!C828,'Zip Code Lines_1'!$Q$4:$Q$26,0),0)</f>
        <v>12</v>
      </c>
      <c r="H828" s="342">
        <v>12214</v>
      </c>
    </row>
    <row r="829" spans="2:8" x14ac:dyDescent="0.25">
      <c r="B829" s="342">
        <v>12220</v>
      </c>
      <c r="C829" s="343" t="s">
        <v>530</v>
      </c>
      <c r="D829" s="343" t="str">
        <f ca="1">OFFSET('Zip Code Lines_1'!$U$3,MATCH('Zip Code Lines_1'!C829,'Zip Code Lines_1'!$Q$4:$Q$26,0),0)</f>
        <v>Albany</v>
      </c>
      <c r="E829" s="344">
        <f ca="1">OFFSET('Zip Code Lines_1'!$W$3,MATCH('Zip Code Lines_1'!C829,'Zip Code Lines_1'!$Q$4:$Q$26,0),0)</f>
        <v>4.7</v>
      </c>
      <c r="F829" s="344">
        <f ca="1">OFFSET('Zip Code Lines_1'!$Z$3,MATCH('Zip Code Lines_1'!C829,'Zip Code Lines_1'!$Q$4:$Q$26,0),0)</f>
        <v>86.1</v>
      </c>
      <c r="G829" s="342">
        <f ca="1">OFFSET('Zip Code Lines_1'!$AC$3,MATCH('Zip Code Lines_1'!C829,'Zip Code Lines_1'!$Q$4:$Q$26,0),0)</f>
        <v>12</v>
      </c>
      <c r="H829" s="342">
        <v>12220</v>
      </c>
    </row>
    <row r="830" spans="2:8" x14ac:dyDescent="0.25">
      <c r="B830" s="342">
        <v>12222</v>
      </c>
      <c r="C830" s="343" t="s">
        <v>530</v>
      </c>
      <c r="D830" s="343" t="str">
        <f ca="1">OFFSET('Zip Code Lines_1'!$U$3,MATCH('Zip Code Lines_1'!C830,'Zip Code Lines_1'!$Q$4:$Q$26,0),0)</f>
        <v>Albany</v>
      </c>
      <c r="E830" s="344">
        <f ca="1">OFFSET('Zip Code Lines_1'!$W$3,MATCH('Zip Code Lines_1'!C830,'Zip Code Lines_1'!$Q$4:$Q$26,0),0)</f>
        <v>4.7</v>
      </c>
      <c r="F830" s="344">
        <f ca="1">OFFSET('Zip Code Lines_1'!$Z$3,MATCH('Zip Code Lines_1'!C830,'Zip Code Lines_1'!$Q$4:$Q$26,0),0)</f>
        <v>86.1</v>
      </c>
      <c r="G830" s="342">
        <f ca="1">OFFSET('Zip Code Lines_1'!$AC$3,MATCH('Zip Code Lines_1'!C830,'Zip Code Lines_1'!$Q$4:$Q$26,0),0)</f>
        <v>12</v>
      </c>
      <c r="H830" s="342">
        <v>12222</v>
      </c>
    </row>
    <row r="831" spans="2:8" x14ac:dyDescent="0.25">
      <c r="B831" s="342">
        <v>12223</v>
      </c>
      <c r="C831" s="343" t="s">
        <v>530</v>
      </c>
      <c r="D831" s="343" t="str">
        <f ca="1">OFFSET('Zip Code Lines_1'!$U$3,MATCH('Zip Code Lines_1'!C831,'Zip Code Lines_1'!$Q$4:$Q$26,0),0)</f>
        <v>Albany</v>
      </c>
      <c r="E831" s="344">
        <f ca="1">OFFSET('Zip Code Lines_1'!$W$3,MATCH('Zip Code Lines_1'!C831,'Zip Code Lines_1'!$Q$4:$Q$26,0),0)</f>
        <v>4.7</v>
      </c>
      <c r="F831" s="344">
        <f ca="1">OFFSET('Zip Code Lines_1'!$Z$3,MATCH('Zip Code Lines_1'!C831,'Zip Code Lines_1'!$Q$4:$Q$26,0),0)</f>
        <v>86.1</v>
      </c>
      <c r="G831" s="342">
        <f ca="1">OFFSET('Zip Code Lines_1'!$AC$3,MATCH('Zip Code Lines_1'!C831,'Zip Code Lines_1'!$Q$4:$Q$26,0),0)</f>
        <v>12</v>
      </c>
      <c r="H831" s="342">
        <v>12223</v>
      </c>
    </row>
    <row r="832" spans="2:8" x14ac:dyDescent="0.25">
      <c r="B832" s="342">
        <v>12224</v>
      </c>
      <c r="C832" s="343" t="s">
        <v>530</v>
      </c>
      <c r="D832" s="343" t="str">
        <f ca="1">OFFSET('Zip Code Lines_1'!$U$3,MATCH('Zip Code Lines_1'!C832,'Zip Code Lines_1'!$Q$4:$Q$26,0),0)</f>
        <v>Albany</v>
      </c>
      <c r="E832" s="344">
        <f ca="1">OFFSET('Zip Code Lines_1'!$W$3,MATCH('Zip Code Lines_1'!C832,'Zip Code Lines_1'!$Q$4:$Q$26,0),0)</f>
        <v>4.7</v>
      </c>
      <c r="F832" s="344">
        <f ca="1">OFFSET('Zip Code Lines_1'!$Z$3,MATCH('Zip Code Lines_1'!C832,'Zip Code Lines_1'!$Q$4:$Q$26,0),0)</f>
        <v>86.1</v>
      </c>
      <c r="G832" s="342">
        <f ca="1">OFFSET('Zip Code Lines_1'!$AC$3,MATCH('Zip Code Lines_1'!C832,'Zip Code Lines_1'!$Q$4:$Q$26,0),0)</f>
        <v>12</v>
      </c>
      <c r="H832" s="342">
        <v>12224</v>
      </c>
    </row>
    <row r="833" spans="2:8" x14ac:dyDescent="0.25">
      <c r="B833" s="342">
        <v>12225</v>
      </c>
      <c r="C833" s="343" t="s">
        <v>530</v>
      </c>
      <c r="D833" s="343" t="str">
        <f ca="1">OFFSET('Zip Code Lines_1'!$U$3,MATCH('Zip Code Lines_1'!C833,'Zip Code Lines_1'!$Q$4:$Q$26,0),0)</f>
        <v>Albany</v>
      </c>
      <c r="E833" s="344">
        <f ca="1">OFFSET('Zip Code Lines_1'!$W$3,MATCH('Zip Code Lines_1'!C833,'Zip Code Lines_1'!$Q$4:$Q$26,0),0)</f>
        <v>4.7</v>
      </c>
      <c r="F833" s="344">
        <f ca="1">OFFSET('Zip Code Lines_1'!$Z$3,MATCH('Zip Code Lines_1'!C833,'Zip Code Lines_1'!$Q$4:$Q$26,0),0)</f>
        <v>86.1</v>
      </c>
      <c r="G833" s="342">
        <f ca="1">OFFSET('Zip Code Lines_1'!$AC$3,MATCH('Zip Code Lines_1'!C833,'Zip Code Lines_1'!$Q$4:$Q$26,0),0)</f>
        <v>12</v>
      </c>
      <c r="H833" s="342">
        <v>12225</v>
      </c>
    </row>
    <row r="834" spans="2:8" x14ac:dyDescent="0.25">
      <c r="B834" s="342">
        <v>12226</v>
      </c>
      <c r="C834" s="343" t="s">
        <v>530</v>
      </c>
      <c r="D834" s="343" t="str">
        <f ca="1">OFFSET('Zip Code Lines_1'!$U$3,MATCH('Zip Code Lines_1'!C834,'Zip Code Lines_1'!$Q$4:$Q$26,0),0)</f>
        <v>Albany</v>
      </c>
      <c r="E834" s="344">
        <f ca="1">OFFSET('Zip Code Lines_1'!$W$3,MATCH('Zip Code Lines_1'!C834,'Zip Code Lines_1'!$Q$4:$Q$26,0),0)</f>
        <v>4.7</v>
      </c>
      <c r="F834" s="344">
        <f ca="1">OFFSET('Zip Code Lines_1'!$Z$3,MATCH('Zip Code Lines_1'!C834,'Zip Code Lines_1'!$Q$4:$Q$26,0),0)</f>
        <v>86.1</v>
      </c>
      <c r="G834" s="342">
        <f ca="1">OFFSET('Zip Code Lines_1'!$AC$3,MATCH('Zip Code Lines_1'!C834,'Zip Code Lines_1'!$Q$4:$Q$26,0),0)</f>
        <v>12</v>
      </c>
      <c r="H834" s="342">
        <v>12226</v>
      </c>
    </row>
    <row r="835" spans="2:8" x14ac:dyDescent="0.25">
      <c r="B835" s="342">
        <v>12227</v>
      </c>
      <c r="C835" s="343" t="s">
        <v>530</v>
      </c>
      <c r="D835" s="343" t="str">
        <f ca="1">OFFSET('Zip Code Lines_1'!$U$3,MATCH('Zip Code Lines_1'!C835,'Zip Code Lines_1'!$Q$4:$Q$26,0),0)</f>
        <v>Albany</v>
      </c>
      <c r="E835" s="344">
        <f ca="1">OFFSET('Zip Code Lines_1'!$W$3,MATCH('Zip Code Lines_1'!C835,'Zip Code Lines_1'!$Q$4:$Q$26,0),0)</f>
        <v>4.7</v>
      </c>
      <c r="F835" s="344">
        <f ca="1">OFFSET('Zip Code Lines_1'!$Z$3,MATCH('Zip Code Lines_1'!C835,'Zip Code Lines_1'!$Q$4:$Q$26,0),0)</f>
        <v>86.1</v>
      </c>
      <c r="G835" s="342">
        <f ca="1">OFFSET('Zip Code Lines_1'!$AC$3,MATCH('Zip Code Lines_1'!C835,'Zip Code Lines_1'!$Q$4:$Q$26,0),0)</f>
        <v>12</v>
      </c>
      <c r="H835" s="342">
        <v>12227</v>
      </c>
    </row>
    <row r="836" spans="2:8" x14ac:dyDescent="0.25">
      <c r="B836" s="342">
        <v>12228</v>
      </c>
      <c r="C836" s="343" t="s">
        <v>530</v>
      </c>
      <c r="D836" s="343" t="str">
        <f ca="1">OFFSET('Zip Code Lines_1'!$U$3,MATCH('Zip Code Lines_1'!C836,'Zip Code Lines_1'!$Q$4:$Q$26,0),0)</f>
        <v>Albany</v>
      </c>
      <c r="E836" s="344">
        <f ca="1">OFFSET('Zip Code Lines_1'!$W$3,MATCH('Zip Code Lines_1'!C836,'Zip Code Lines_1'!$Q$4:$Q$26,0),0)</f>
        <v>4.7</v>
      </c>
      <c r="F836" s="344">
        <f ca="1">OFFSET('Zip Code Lines_1'!$Z$3,MATCH('Zip Code Lines_1'!C836,'Zip Code Lines_1'!$Q$4:$Q$26,0),0)</f>
        <v>86.1</v>
      </c>
      <c r="G836" s="342">
        <f ca="1">OFFSET('Zip Code Lines_1'!$AC$3,MATCH('Zip Code Lines_1'!C836,'Zip Code Lines_1'!$Q$4:$Q$26,0),0)</f>
        <v>12</v>
      </c>
      <c r="H836" s="342">
        <v>12228</v>
      </c>
    </row>
    <row r="837" spans="2:8" x14ac:dyDescent="0.25">
      <c r="B837" s="342">
        <v>12229</v>
      </c>
      <c r="C837" s="343" t="s">
        <v>530</v>
      </c>
      <c r="D837" s="343" t="str">
        <f ca="1">OFFSET('Zip Code Lines_1'!$U$3,MATCH('Zip Code Lines_1'!C837,'Zip Code Lines_1'!$Q$4:$Q$26,0),0)</f>
        <v>Albany</v>
      </c>
      <c r="E837" s="344">
        <f ca="1">OFFSET('Zip Code Lines_1'!$W$3,MATCH('Zip Code Lines_1'!C837,'Zip Code Lines_1'!$Q$4:$Q$26,0),0)</f>
        <v>4.7</v>
      </c>
      <c r="F837" s="344">
        <f ca="1">OFFSET('Zip Code Lines_1'!$Z$3,MATCH('Zip Code Lines_1'!C837,'Zip Code Lines_1'!$Q$4:$Q$26,0),0)</f>
        <v>86.1</v>
      </c>
      <c r="G837" s="342">
        <f ca="1">OFFSET('Zip Code Lines_1'!$AC$3,MATCH('Zip Code Lines_1'!C837,'Zip Code Lines_1'!$Q$4:$Q$26,0),0)</f>
        <v>12</v>
      </c>
      <c r="H837" s="342">
        <v>12229</v>
      </c>
    </row>
    <row r="838" spans="2:8" x14ac:dyDescent="0.25">
      <c r="B838" s="342">
        <v>12230</v>
      </c>
      <c r="C838" s="343" t="s">
        <v>530</v>
      </c>
      <c r="D838" s="343" t="str">
        <f ca="1">OFFSET('Zip Code Lines_1'!$U$3,MATCH('Zip Code Lines_1'!C838,'Zip Code Lines_1'!$Q$4:$Q$26,0),0)</f>
        <v>Albany</v>
      </c>
      <c r="E838" s="344">
        <f ca="1">OFFSET('Zip Code Lines_1'!$W$3,MATCH('Zip Code Lines_1'!C838,'Zip Code Lines_1'!$Q$4:$Q$26,0),0)</f>
        <v>4.7</v>
      </c>
      <c r="F838" s="344">
        <f ca="1">OFFSET('Zip Code Lines_1'!$Z$3,MATCH('Zip Code Lines_1'!C838,'Zip Code Lines_1'!$Q$4:$Q$26,0),0)</f>
        <v>86.1</v>
      </c>
      <c r="G838" s="342">
        <f ca="1">OFFSET('Zip Code Lines_1'!$AC$3,MATCH('Zip Code Lines_1'!C838,'Zip Code Lines_1'!$Q$4:$Q$26,0),0)</f>
        <v>12</v>
      </c>
      <c r="H838" s="342">
        <v>12230</v>
      </c>
    </row>
    <row r="839" spans="2:8" x14ac:dyDescent="0.25">
      <c r="B839" s="342">
        <v>12231</v>
      </c>
      <c r="C839" s="343" t="s">
        <v>530</v>
      </c>
      <c r="D839" s="343" t="str">
        <f ca="1">OFFSET('Zip Code Lines_1'!$U$3,MATCH('Zip Code Lines_1'!C839,'Zip Code Lines_1'!$Q$4:$Q$26,0),0)</f>
        <v>Albany</v>
      </c>
      <c r="E839" s="344">
        <f ca="1">OFFSET('Zip Code Lines_1'!$W$3,MATCH('Zip Code Lines_1'!C839,'Zip Code Lines_1'!$Q$4:$Q$26,0),0)</f>
        <v>4.7</v>
      </c>
      <c r="F839" s="344">
        <f ca="1">OFFSET('Zip Code Lines_1'!$Z$3,MATCH('Zip Code Lines_1'!C839,'Zip Code Lines_1'!$Q$4:$Q$26,0),0)</f>
        <v>86.1</v>
      </c>
      <c r="G839" s="342">
        <f ca="1">OFFSET('Zip Code Lines_1'!$AC$3,MATCH('Zip Code Lines_1'!C839,'Zip Code Lines_1'!$Q$4:$Q$26,0),0)</f>
        <v>12</v>
      </c>
      <c r="H839" s="342">
        <v>12231</v>
      </c>
    </row>
    <row r="840" spans="2:8" x14ac:dyDescent="0.25">
      <c r="B840" s="342">
        <v>12232</v>
      </c>
      <c r="C840" s="343" t="s">
        <v>530</v>
      </c>
      <c r="D840" s="343" t="str">
        <f ca="1">OFFSET('Zip Code Lines_1'!$U$3,MATCH('Zip Code Lines_1'!C840,'Zip Code Lines_1'!$Q$4:$Q$26,0),0)</f>
        <v>Albany</v>
      </c>
      <c r="E840" s="344">
        <f ca="1">OFFSET('Zip Code Lines_1'!$W$3,MATCH('Zip Code Lines_1'!C840,'Zip Code Lines_1'!$Q$4:$Q$26,0),0)</f>
        <v>4.7</v>
      </c>
      <c r="F840" s="344">
        <f ca="1">OFFSET('Zip Code Lines_1'!$Z$3,MATCH('Zip Code Lines_1'!C840,'Zip Code Lines_1'!$Q$4:$Q$26,0),0)</f>
        <v>86.1</v>
      </c>
      <c r="G840" s="342">
        <f ca="1">OFFSET('Zip Code Lines_1'!$AC$3,MATCH('Zip Code Lines_1'!C840,'Zip Code Lines_1'!$Q$4:$Q$26,0),0)</f>
        <v>12</v>
      </c>
      <c r="H840" s="342">
        <v>12232</v>
      </c>
    </row>
    <row r="841" spans="2:8" x14ac:dyDescent="0.25">
      <c r="B841" s="342">
        <v>12233</v>
      </c>
      <c r="C841" s="343" t="s">
        <v>530</v>
      </c>
      <c r="D841" s="343" t="str">
        <f ca="1">OFFSET('Zip Code Lines_1'!$U$3,MATCH('Zip Code Lines_1'!C841,'Zip Code Lines_1'!$Q$4:$Q$26,0),0)</f>
        <v>Albany</v>
      </c>
      <c r="E841" s="344">
        <f ca="1">OFFSET('Zip Code Lines_1'!$W$3,MATCH('Zip Code Lines_1'!C841,'Zip Code Lines_1'!$Q$4:$Q$26,0),0)</f>
        <v>4.7</v>
      </c>
      <c r="F841" s="344">
        <f ca="1">OFFSET('Zip Code Lines_1'!$Z$3,MATCH('Zip Code Lines_1'!C841,'Zip Code Lines_1'!$Q$4:$Q$26,0),0)</f>
        <v>86.1</v>
      </c>
      <c r="G841" s="342">
        <f ca="1">OFFSET('Zip Code Lines_1'!$AC$3,MATCH('Zip Code Lines_1'!C841,'Zip Code Lines_1'!$Q$4:$Q$26,0),0)</f>
        <v>12</v>
      </c>
      <c r="H841" s="342">
        <v>12233</v>
      </c>
    </row>
    <row r="842" spans="2:8" x14ac:dyDescent="0.25">
      <c r="B842" s="342">
        <v>12234</v>
      </c>
      <c r="C842" s="343" t="s">
        <v>530</v>
      </c>
      <c r="D842" s="343" t="str">
        <f ca="1">OFFSET('Zip Code Lines_1'!$U$3,MATCH('Zip Code Lines_1'!C842,'Zip Code Lines_1'!$Q$4:$Q$26,0),0)</f>
        <v>Albany</v>
      </c>
      <c r="E842" s="344">
        <f ca="1">OFFSET('Zip Code Lines_1'!$W$3,MATCH('Zip Code Lines_1'!C842,'Zip Code Lines_1'!$Q$4:$Q$26,0),0)</f>
        <v>4.7</v>
      </c>
      <c r="F842" s="344">
        <f ca="1">OFFSET('Zip Code Lines_1'!$Z$3,MATCH('Zip Code Lines_1'!C842,'Zip Code Lines_1'!$Q$4:$Q$26,0),0)</f>
        <v>86.1</v>
      </c>
      <c r="G842" s="342">
        <f ca="1">OFFSET('Zip Code Lines_1'!$AC$3,MATCH('Zip Code Lines_1'!C842,'Zip Code Lines_1'!$Q$4:$Q$26,0),0)</f>
        <v>12</v>
      </c>
      <c r="H842" s="342">
        <v>12234</v>
      </c>
    </row>
    <row r="843" spans="2:8" x14ac:dyDescent="0.25">
      <c r="B843" s="342">
        <v>12235</v>
      </c>
      <c r="C843" s="343" t="s">
        <v>530</v>
      </c>
      <c r="D843" s="343" t="str">
        <f ca="1">OFFSET('Zip Code Lines_1'!$U$3,MATCH('Zip Code Lines_1'!C843,'Zip Code Lines_1'!$Q$4:$Q$26,0),0)</f>
        <v>Albany</v>
      </c>
      <c r="E843" s="344">
        <f ca="1">OFFSET('Zip Code Lines_1'!$W$3,MATCH('Zip Code Lines_1'!C843,'Zip Code Lines_1'!$Q$4:$Q$26,0),0)</f>
        <v>4.7</v>
      </c>
      <c r="F843" s="344">
        <f ca="1">OFFSET('Zip Code Lines_1'!$Z$3,MATCH('Zip Code Lines_1'!C843,'Zip Code Lines_1'!$Q$4:$Q$26,0),0)</f>
        <v>86.1</v>
      </c>
      <c r="G843" s="342">
        <f ca="1">OFFSET('Zip Code Lines_1'!$AC$3,MATCH('Zip Code Lines_1'!C843,'Zip Code Lines_1'!$Q$4:$Q$26,0),0)</f>
        <v>12</v>
      </c>
      <c r="H843" s="342">
        <v>12235</v>
      </c>
    </row>
    <row r="844" spans="2:8" x14ac:dyDescent="0.25">
      <c r="B844" s="342">
        <v>12236</v>
      </c>
      <c r="C844" s="343" t="s">
        <v>530</v>
      </c>
      <c r="D844" s="343" t="str">
        <f ca="1">OFFSET('Zip Code Lines_1'!$U$3,MATCH('Zip Code Lines_1'!C844,'Zip Code Lines_1'!$Q$4:$Q$26,0),0)</f>
        <v>Albany</v>
      </c>
      <c r="E844" s="344">
        <f ca="1">OFFSET('Zip Code Lines_1'!$W$3,MATCH('Zip Code Lines_1'!C844,'Zip Code Lines_1'!$Q$4:$Q$26,0),0)</f>
        <v>4.7</v>
      </c>
      <c r="F844" s="344">
        <f ca="1">OFFSET('Zip Code Lines_1'!$Z$3,MATCH('Zip Code Lines_1'!C844,'Zip Code Lines_1'!$Q$4:$Q$26,0),0)</f>
        <v>86.1</v>
      </c>
      <c r="G844" s="342">
        <f ca="1">OFFSET('Zip Code Lines_1'!$AC$3,MATCH('Zip Code Lines_1'!C844,'Zip Code Lines_1'!$Q$4:$Q$26,0),0)</f>
        <v>12</v>
      </c>
      <c r="H844" s="342">
        <v>12236</v>
      </c>
    </row>
    <row r="845" spans="2:8" x14ac:dyDescent="0.25">
      <c r="B845" s="342">
        <v>12237</v>
      </c>
      <c r="C845" s="343" t="s">
        <v>530</v>
      </c>
      <c r="D845" s="343" t="str">
        <f ca="1">OFFSET('Zip Code Lines_1'!$U$3,MATCH('Zip Code Lines_1'!C845,'Zip Code Lines_1'!$Q$4:$Q$26,0),0)</f>
        <v>Albany</v>
      </c>
      <c r="E845" s="344">
        <f ca="1">OFFSET('Zip Code Lines_1'!$W$3,MATCH('Zip Code Lines_1'!C845,'Zip Code Lines_1'!$Q$4:$Q$26,0),0)</f>
        <v>4.7</v>
      </c>
      <c r="F845" s="344">
        <f ca="1">OFFSET('Zip Code Lines_1'!$Z$3,MATCH('Zip Code Lines_1'!C845,'Zip Code Lines_1'!$Q$4:$Q$26,0),0)</f>
        <v>86.1</v>
      </c>
      <c r="G845" s="342">
        <f ca="1">OFFSET('Zip Code Lines_1'!$AC$3,MATCH('Zip Code Lines_1'!C845,'Zip Code Lines_1'!$Q$4:$Q$26,0),0)</f>
        <v>12</v>
      </c>
      <c r="H845" s="342">
        <v>12237</v>
      </c>
    </row>
    <row r="846" spans="2:8" x14ac:dyDescent="0.25">
      <c r="B846" s="342">
        <v>12238</v>
      </c>
      <c r="C846" s="343" t="s">
        <v>530</v>
      </c>
      <c r="D846" s="343" t="str">
        <f ca="1">OFFSET('Zip Code Lines_1'!$U$3,MATCH('Zip Code Lines_1'!C846,'Zip Code Lines_1'!$Q$4:$Q$26,0),0)</f>
        <v>Albany</v>
      </c>
      <c r="E846" s="344">
        <f ca="1">OFFSET('Zip Code Lines_1'!$W$3,MATCH('Zip Code Lines_1'!C846,'Zip Code Lines_1'!$Q$4:$Q$26,0),0)</f>
        <v>4.7</v>
      </c>
      <c r="F846" s="344">
        <f ca="1">OFFSET('Zip Code Lines_1'!$Z$3,MATCH('Zip Code Lines_1'!C846,'Zip Code Lines_1'!$Q$4:$Q$26,0),0)</f>
        <v>86.1</v>
      </c>
      <c r="G846" s="342">
        <f ca="1">OFFSET('Zip Code Lines_1'!$AC$3,MATCH('Zip Code Lines_1'!C846,'Zip Code Lines_1'!$Q$4:$Q$26,0),0)</f>
        <v>12</v>
      </c>
      <c r="H846" s="342">
        <v>12238</v>
      </c>
    </row>
    <row r="847" spans="2:8" x14ac:dyDescent="0.25">
      <c r="B847" s="342">
        <v>12239</v>
      </c>
      <c r="C847" s="343" t="s">
        <v>530</v>
      </c>
      <c r="D847" s="343" t="str">
        <f ca="1">OFFSET('Zip Code Lines_1'!$U$3,MATCH('Zip Code Lines_1'!C847,'Zip Code Lines_1'!$Q$4:$Q$26,0),0)</f>
        <v>Albany</v>
      </c>
      <c r="E847" s="344">
        <f ca="1">OFFSET('Zip Code Lines_1'!$W$3,MATCH('Zip Code Lines_1'!C847,'Zip Code Lines_1'!$Q$4:$Q$26,0),0)</f>
        <v>4.7</v>
      </c>
      <c r="F847" s="344">
        <f ca="1">OFFSET('Zip Code Lines_1'!$Z$3,MATCH('Zip Code Lines_1'!C847,'Zip Code Lines_1'!$Q$4:$Q$26,0),0)</f>
        <v>86.1</v>
      </c>
      <c r="G847" s="342">
        <f ca="1">OFFSET('Zip Code Lines_1'!$AC$3,MATCH('Zip Code Lines_1'!C847,'Zip Code Lines_1'!$Q$4:$Q$26,0),0)</f>
        <v>12</v>
      </c>
      <c r="H847" s="342">
        <v>12239</v>
      </c>
    </row>
    <row r="848" spans="2:8" x14ac:dyDescent="0.25">
      <c r="B848" s="342">
        <v>12240</v>
      </c>
      <c r="C848" s="343" t="s">
        <v>530</v>
      </c>
      <c r="D848" s="343" t="str">
        <f ca="1">OFFSET('Zip Code Lines_1'!$U$3,MATCH('Zip Code Lines_1'!C848,'Zip Code Lines_1'!$Q$4:$Q$26,0),0)</f>
        <v>Albany</v>
      </c>
      <c r="E848" s="344">
        <f ca="1">OFFSET('Zip Code Lines_1'!$W$3,MATCH('Zip Code Lines_1'!C848,'Zip Code Lines_1'!$Q$4:$Q$26,0),0)</f>
        <v>4.7</v>
      </c>
      <c r="F848" s="344">
        <f ca="1">OFFSET('Zip Code Lines_1'!$Z$3,MATCH('Zip Code Lines_1'!C848,'Zip Code Lines_1'!$Q$4:$Q$26,0),0)</f>
        <v>86.1</v>
      </c>
      <c r="G848" s="342">
        <f ca="1">OFFSET('Zip Code Lines_1'!$AC$3,MATCH('Zip Code Lines_1'!C848,'Zip Code Lines_1'!$Q$4:$Q$26,0),0)</f>
        <v>12</v>
      </c>
      <c r="H848" s="342">
        <v>12240</v>
      </c>
    </row>
    <row r="849" spans="1:8" x14ac:dyDescent="0.25">
      <c r="B849" s="342">
        <v>12241</v>
      </c>
      <c r="C849" s="343" t="s">
        <v>530</v>
      </c>
      <c r="D849" s="343" t="str">
        <f ca="1">OFFSET('Zip Code Lines_1'!$U$3,MATCH('Zip Code Lines_1'!C849,'Zip Code Lines_1'!$Q$4:$Q$26,0),0)</f>
        <v>Albany</v>
      </c>
      <c r="E849" s="344">
        <f ca="1">OFFSET('Zip Code Lines_1'!$W$3,MATCH('Zip Code Lines_1'!C849,'Zip Code Lines_1'!$Q$4:$Q$26,0),0)</f>
        <v>4.7</v>
      </c>
      <c r="F849" s="344">
        <f ca="1">OFFSET('Zip Code Lines_1'!$Z$3,MATCH('Zip Code Lines_1'!C849,'Zip Code Lines_1'!$Q$4:$Q$26,0),0)</f>
        <v>86.1</v>
      </c>
      <c r="G849" s="342">
        <f ca="1">OFFSET('Zip Code Lines_1'!$AC$3,MATCH('Zip Code Lines_1'!C849,'Zip Code Lines_1'!$Q$4:$Q$26,0),0)</f>
        <v>12</v>
      </c>
      <c r="H849" s="342">
        <v>12241</v>
      </c>
    </row>
    <row r="850" spans="1:8" x14ac:dyDescent="0.25">
      <c r="B850" s="342">
        <v>12242</v>
      </c>
      <c r="C850" s="343" t="s">
        <v>530</v>
      </c>
      <c r="D850" s="343" t="str">
        <f ca="1">OFFSET('Zip Code Lines_1'!$U$3,MATCH('Zip Code Lines_1'!C850,'Zip Code Lines_1'!$Q$4:$Q$26,0),0)</f>
        <v>Albany</v>
      </c>
      <c r="E850" s="344">
        <f ca="1">OFFSET('Zip Code Lines_1'!$W$3,MATCH('Zip Code Lines_1'!C850,'Zip Code Lines_1'!$Q$4:$Q$26,0),0)</f>
        <v>4.7</v>
      </c>
      <c r="F850" s="344">
        <f ca="1">OFFSET('Zip Code Lines_1'!$Z$3,MATCH('Zip Code Lines_1'!C850,'Zip Code Lines_1'!$Q$4:$Q$26,0),0)</f>
        <v>86.1</v>
      </c>
      <c r="G850" s="342">
        <f ca="1">OFFSET('Zip Code Lines_1'!$AC$3,MATCH('Zip Code Lines_1'!C850,'Zip Code Lines_1'!$Q$4:$Q$26,0),0)</f>
        <v>12</v>
      </c>
      <c r="H850" s="342">
        <v>12242</v>
      </c>
    </row>
    <row r="851" spans="1:8" x14ac:dyDescent="0.25">
      <c r="B851" s="342">
        <v>12243</v>
      </c>
      <c r="C851" s="343" t="s">
        <v>530</v>
      </c>
      <c r="D851" s="343" t="str">
        <f ca="1">OFFSET('Zip Code Lines_1'!$U$3,MATCH('Zip Code Lines_1'!C851,'Zip Code Lines_1'!$Q$4:$Q$26,0),0)</f>
        <v>Albany</v>
      </c>
      <c r="E851" s="344">
        <f ca="1">OFFSET('Zip Code Lines_1'!$W$3,MATCH('Zip Code Lines_1'!C851,'Zip Code Lines_1'!$Q$4:$Q$26,0),0)</f>
        <v>4.7</v>
      </c>
      <c r="F851" s="344">
        <f ca="1">OFFSET('Zip Code Lines_1'!$Z$3,MATCH('Zip Code Lines_1'!C851,'Zip Code Lines_1'!$Q$4:$Q$26,0),0)</f>
        <v>86.1</v>
      </c>
      <c r="G851" s="342">
        <f ca="1">OFFSET('Zip Code Lines_1'!$AC$3,MATCH('Zip Code Lines_1'!C851,'Zip Code Lines_1'!$Q$4:$Q$26,0),0)</f>
        <v>12</v>
      </c>
      <c r="H851" s="342">
        <v>12243</v>
      </c>
    </row>
    <row r="852" spans="1:8" x14ac:dyDescent="0.25">
      <c r="B852" s="342">
        <v>12244</v>
      </c>
      <c r="C852" s="343" t="s">
        <v>530</v>
      </c>
      <c r="D852" s="343" t="str">
        <f ca="1">OFFSET('Zip Code Lines_1'!$U$3,MATCH('Zip Code Lines_1'!C852,'Zip Code Lines_1'!$Q$4:$Q$26,0),0)</f>
        <v>Albany</v>
      </c>
      <c r="E852" s="344">
        <f ca="1">OFFSET('Zip Code Lines_1'!$W$3,MATCH('Zip Code Lines_1'!C852,'Zip Code Lines_1'!$Q$4:$Q$26,0),0)</f>
        <v>4.7</v>
      </c>
      <c r="F852" s="344">
        <f ca="1">OFFSET('Zip Code Lines_1'!$Z$3,MATCH('Zip Code Lines_1'!C852,'Zip Code Lines_1'!$Q$4:$Q$26,0),0)</f>
        <v>86.1</v>
      </c>
      <c r="G852" s="342">
        <f ca="1">OFFSET('Zip Code Lines_1'!$AC$3,MATCH('Zip Code Lines_1'!C852,'Zip Code Lines_1'!$Q$4:$Q$26,0),0)</f>
        <v>12</v>
      </c>
      <c r="H852" s="342">
        <v>12244</v>
      </c>
    </row>
    <row r="853" spans="1:8" x14ac:dyDescent="0.25">
      <c r="B853" s="342">
        <v>12245</v>
      </c>
      <c r="C853" s="343" t="s">
        <v>530</v>
      </c>
      <c r="D853" s="343" t="str">
        <f ca="1">OFFSET('Zip Code Lines_1'!$U$3,MATCH('Zip Code Lines_1'!C853,'Zip Code Lines_1'!$Q$4:$Q$26,0),0)</f>
        <v>Albany</v>
      </c>
      <c r="E853" s="344">
        <f ca="1">OFFSET('Zip Code Lines_1'!$W$3,MATCH('Zip Code Lines_1'!C853,'Zip Code Lines_1'!$Q$4:$Q$26,0),0)</f>
        <v>4.7</v>
      </c>
      <c r="F853" s="344">
        <f ca="1">OFFSET('Zip Code Lines_1'!$Z$3,MATCH('Zip Code Lines_1'!C853,'Zip Code Lines_1'!$Q$4:$Q$26,0),0)</f>
        <v>86.1</v>
      </c>
      <c r="G853" s="342">
        <f ca="1">OFFSET('Zip Code Lines_1'!$AC$3,MATCH('Zip Code Lines_1'!C853,'Zip Code Lines_1'!$Q$4:$Q$26,0),0)</f>
        <v>12</v>
      </c>
      <c r="H853" s="342">
        <v>12245</v>
      </c>
    </row>
    <row r="854" spans="1:8" x14ac:dyDescent="0.25">
      <c r="B854" s="342">
        <v>12246</v>
      </c>
      <c r="C854" s="343" t="s">
        <v>530</v>
      </c>
      <c r="D854" s="343" t="str">
        <f ca="1">OFFSET('Zip Code Lines_1'!$U$3,MATCH('Zip Code Lines_1'!C854,'Zip Code Lines_1'!$Q$4:$Q$26,0),0)</f>
        <v>Albany</v>
      </c>
      <c r="E854" s="344">
        <f ca="1">OFFSET('Zip Code Lines_1'!$W$3,MATCH('Zip Code Lines_1'!C854,'Zip Code Lines_1'!$Q$4:$Q$26,0),0)</f>
        <v>4.7</v>
      </c>
      <c r="F854" s="344">
        <f ca="1">OFFSET('Zip Code Lines_1'!$Z$3,MATCH('Zip Code Lines_1'!C854,'Zip Code Lines_1'!$Q$4:$Q$26,0),0)</f>
        <v>86.1</v>
      </c>
      <c r="G854" s="342">
        <f ca="1">OFFSET('Zip Code Lines_1'!$AC$3,MATCH('Zip Code Lines_1'!C854,'Zip Code Lines_1'!$Q$4:$Q$26,0),0)</f>
        <v>12</v>
      </c>
      <c r="H854" s="342">
        <v>12246</v>
      </c>
    </row>
    <row r="855" spans="1:8" x14ac:dyDescent="0.25">
      <c r="B855" s="342">
        <v>12247</v>
      </c>
      <c r="C855" s="343" t="s">
        <v>530</v>
      </c>
      <c r="D855" s="343" t="str">
        <f ca="1">OFFSET('Zip Code Lines_1'!$U$3,MATCH('Zip Code Lines_1'!C855,'Zip Code Lines_1'!$Q$4:$Q$26,0),0)</f>
        <v>Albany</v>
      </c>
      <c r="E855" s="344">
        <f ca="1">OFFSET('Zip Code Lines_1'!$W$3,MATCH('Zip Code Lines_1'!C855,'Zip Code Lines_1'!$Q$4:$Q$26,0),0)</f>
        <v>4.7</v>
      </c>
      <c r="F855" s="344">
        <f ca="1">OFFSET('Zip Code Lines_1'!$Z$3,MATCH('Zip Code Lines_1'!C855,'Zip Code Lines_1'!$Q$4:$Q$26,0),0)</f>
        <v>86.1</v>
      </c>
      <c r="G855" s="342">
        <f ca="1">OFFSET('Zip Code Lines_1'!$AC$3,MATCH('Zip Code Lines_1'!C855,'Zip Code Lines_1'!$Q$4:$Q$26,0),0)</f>
        <v>12</v>
      </c>
      <c r="H855" s="342">
        <v>12247</v>
      </c>
    </row>
    <row r="856" spans="1:8" x14ac:dyDescent="0.25">
      <c r="B856" s="342">
        <v>12248</v>
      </c>
      <c r="C856" s="343" t="s">
        <v>530</v>
      </c>
      <c r="D856" s="343" t="str">
        <f ca="1">OFFSET('Zip Code Lines_1'!$U$3,MATCH('Zip Code Lines_1'!C856,'Zip Code Lines_1'!$Q$4:$Q$26,0),0)</f>
        <v>Albany</v>
      </c>
      <c r="E856" s="344">
        <f ca="1">OFFSET('Zip Code Lines_1'!$W$3,MATCH('Zip Code Lines_1'!C856,'Zip Code Lines_1'!$Q$4:$Q$26,0),0)</f>
        <v>4.7</v>
      </c>
      <c r="F856" s="344">
        <f ca="1">OFFSET('Zip Code Lines_1'!$Z$3,MATCH('Zip Code Lines_1'!C856,'Zip Code Lines_1'!$Q$4:$Q$26,0),0)</f>
        <v>86.1</v>
      </c>
      <c r="G856" s="342">
        <f ca="1">OFFSET('Zip Code Lines_1'!$AC$3,MATCH('Zip Code Lines_1'!C856,'Zip Code Lines_1'!$Q$4:$Q$26,0),0)</f>
        <v>12</v>
      </c>
      <c r="H856" s="342">
        <v>12248</v>
      </c>
    </row>
    <row r="857" spans="1:8" x14ac:dyDescent="0.25">
      <c r="B857" s="342">
        <v>12249</v>
      </c>
      <c r="C857" s="343" t="s">
        <v>530</v>
      </c>
      <c r="D857" s="343" t="str">
        <f ca="1">OFFSET('Zip Code Lines_1'!$U$3,MATCH('Zip Code Lines_1'!C857,'Zip Code Lines_1'!$Q$4:$Q$26,0),0)</f>
        <v>Albany</v>
      </c>
      <c r="E857" s="344">
        <f ca="1">OFFSET('Zip Code Lines_1'!$W$3,MATCH('Zip Code Lines_1'!C857,'Zip Code Lines_1'!$Q$4:$Q$26,0),0)</f>
        <v>4.7</v>
      </c>
      <c r="F857" s="344">
        <f ca="1">OFFSET('Zip Code Lines_1'!$Z$3,MATCH('Zip Code Lines_1'!C857,'Zip Code Lines_1'!$Q$4:$Q$26,0),0)</f>
        <v>86.1</v>
      </c>
      <c r="G857" s="342">
        <f ca="1">OFFSET('Zip Code Lines_1'!$AC$3,MATCH('Zip Code Lines_1'!C857,'Zip Code Lines_1'!$Q$4:$Q$26,0),0)</f>
        <v>12</v>
      </c>
      <c r="H857" s="342">
        <v>12249</v>
      </c>
    </row>
    <row r="858" spans="1:8" x14ac:dyDescent="0.25">
      <c r="B858" s="342">
        <v>12250</v>
      </c>
      <c r="C858" s="343" t="s">
        <v>530</v>
      </c>
      <c r="D858" s="343" t="str">
        <f ca="1">OFFSET('Zip Code Lines_1'!$U$3,MATCH('Zip Code Lines_1'!C858,'Zip Code Lines_1'!$Q$4:$Q$26,0),0)</f>
        <v>Albany</v>
      </c>
      <c r="E858" s="344">
        <f ca="1">OFFSET('Zip Code Lines_1'!$W$3,MATCH('Zip Code Lines_1'!C858,'Zip Code Lines_1'!$Q$4:$Q$26,0),0)</f>
        <v>4.7</v>
      </c>
      <c r="F858" s="344">
        <f ca="1">OFFSET('Zip Code Lines_1'!$Z$3,MATCH('Zip Code Lines_1'!C858,'Zip Code Lines_1'!$Q$4:$Q$26,0),0)</f>
        <v>86.1</v>
      </c>
      <c r="G858" s="342">
        <f ca="1">OFFSET('Zip Code Lines_1'!$AC$3,MATCH('Zip Code Lines_1'!C858,'Zip Code Lines_1'!$Q$4:$Q$26,0),0)</f>
        <v>12</v>
      </c>
      <c r="H858" s="342">
        <v>12250</v>
      </c>
    </row>
    <row r="859" spans="1:8" x14ac:dyDescent="0.25">
      <c r="A859" s="342" t="s">
        <v>720</v>
      </c>
      <c r="B859" s="342">
        <v>12252</v>
      </c>
      <c r="C859" s="366" t="s">
        <v>530</v>
      </c>
      <c r="D859" s="343" t="str">
        <f ca="1">OFFSET('Zip Code Lines_1'!$U$3,MATCH('Zip Code Lines_1'!C859,'Zip Code Lines_1'!$Q$4:$Q$26,0),0)</f>
        <v>Albany</v>
      </c>
      <c r="E859" s="344">
        <f ca="1">OFFSET('Zip Code Lines_1'!$W$3,MATCH('Zip Code Lines_1'!C859,'Zip Code Lines_1'!$Q$4:$Q$26,0),0)</f>
        <v>4.7</v>
      </c>
      <c r="F859" s="344">
        <f ca="1">OFFSET('Zip Code Lines_1'!$Z$3,MATCH('Zip Code Lines_1'!C859,'Zip Code Lines_1'!$Q$4:$Q$26,0),0)</f>
        <v>86.1</v>
      </c>
      <c r="G859" s="342">
        <f ca="1">OFFSET('Zip Code Lines_1'!$AC$3,MATCH('Zip Code Lines_1'!C859,'Zip Code Lines_1'!$Q$4:$Q$26,0),0)</f>
        <v>12</v>
      </c>
    </row>
    <row r="860" spans="1:8" x14ac:dyDescent="0.25">
      <c r="B860" s="342">
        <v>12255</v>
      </c>
      <c r="C860" s="343" t="s">
        <v>530</v>
      </c>
      <c r="D860" s="343" t="str">
        <f ca="1">OFFSET('Zip Code Lines_1'!$U$3,MATCH('Zip Code Lines_1'!C860,'Zip Code Lines_1'!$Q$4:$Q$26,0),0)</f>
        <v>Albany</v>
      </c>
      <c r="E860" s="344">
        <f ca="1">OFFSET('Zip Code Lines_1'!$W$3,MATCH('Zip Code Lines_1'!C860,'Zip Code Lines_1'!$Q$4:$Q$26,0),0)</f>
        <v>4.7</v>
      </c>
      <c r="F860" s="344">
        <f ca="1">OFFSET('Zip Code Lines_1'!$Z$3,MATCH('Zip Code Lines_1'!C860,'Zip Code Lines_1'!$Q$4:$Q$26,0),0)</f>
        <v>86.1</v>
      </c>
      <c r="G860" s="342">
        <f ca="1">OFFSET('Zip Code Lines_1'!$AC$3,MATCH('Zip Code Lines_1'!C860,'Zip Code Lines_1'!$Q$4:$Q$26,0),0)</f>
        <v>12</v>
      </c>
      <c r="H860" s="342">
        <v>12255</v>
      </c>
    </row>
    <row r="861" spans="1:8" x14ac:dyDescent="0.25">
      <c r="A861" s="342" t="s">
        <v>720</v>
      </c>
      <c r="B861" s="342">
        <v>12256</v>
      </c>
      <c r="C861" s="366" t="s">
        <v>530</v>
      </c>
      <c r="D861" s="343" t="str">
        <f ca="1">OFFSET('Zip Code Lines_1'!$U$3,MATCH('Zip Code Lines_1'!C861,'Zip Code Lines_1'!$Q$4:$Q$26,0),0)</f>
        <v>Albany</v>
      </c>
      <c r="E861" s="344">
        <f ca="1">OFFSET('Zip Code Lines_1'!$W$3,MATCH('Zip Code Lines_1'!C861,'Zip Code Lines_1'!$Q$4:$Q$26,0),0)</f>
        <v>4.7</v>
      </c>
      <c r="F861" s="344">
        <f ca="1">OFFSET('Zip Code Lines_1'!$Z$3,MATCH('Zip Code Lines_1'!C861,'Zip Code Lines_1'!$Q$4:$Q$26,0),0)</f>
        <v>86.1</v>
      </c>
      <c r="G861" s="342">
        <f ca="1">OFFSET('Zip Code Lines_1'!$AC$3,MATCH('Zip Code Lines_1'!C861,'Zip Code Lines_1'!$Q$4:$Q$26,0),0)</f>
        <v>12</v>
      </c>
    </row>
    <row r="862" spans="1:8" x14ac:dyDescent="0.25">
      <c r="B862" s="342">
        <v>12257</v>
      </c>
      <c r="C862" s="343" t="s">
        <v>530</v>
      </c>
      <c r="D862" s="343" t="str">
        <f ca="1">OFFSET('Zip Code Lines_1'!$U$3,MATCH('Zip Code Lines_1'!C862,'Zip Code Lines_1'!$Q$4:$Q$26,0),0)</f>
        <v>Albany</v>
      </c>
      <c r="E862" s="344">
        <f ca="1">OFFSET('Zip Code Lines_1'!$W$3,MATCH('Zip Code Lines_1'!C862,'Zip Code Lines_1'!$Q$4:$Q$26,0),0)</f>
        <v>4.7</v>
      </c>
      <c r="F862" s="344">
        <f ca="1">OFFSET('Zip Code Lines_1'!$Z$3,MATCH('Zip Code Lines_1'!C862,'Zip Code Lines_1'!$Q$4:$Q$26,0),0)</f>
        <v>86.1</v>
      </c>
      <c r="G862" s="342">
        <f ca="1">OFFSET('Zip Code Lines_1'!$AC$3,MATCH('Zip Code Lines_1'!C862,'Zip Code Lines_1'!$Q$4:$Q$26,0),0)</f>
        <v>12</v>
      </c>
      <c r="H862" s="342">
        <v>12257</v>
      </c>
    </row>
    <row r="863" spans="1:8" x14ac:dyDescent="0.25">
      <c r="B863" s="342">
        <v>12260</v>
      </c>
      <c r="C863" s="343" t="s">
        <v>530</v>
      </c>
      <c r="D863" s="343" t="str">
        <f ca="1">OFFSET('Zip Code Lines_1'!$U$3,MATCH('Zip Code Lines_1'!C863,'Zip Code Lines_1'!$Q$4:$Q$26,0),0)</f>
        <v>Albany</v>
      </c>
      <c r="E863" s="344">
        <f ca="1">OFFSET('Zip Code Lines_1'!$W$3,MATCH('Zip Code Lines_1'!C863,'Zip Code Lines_1'!$Q$4:$Q$26,0),0)</f>
        <v>4.7</v>
      </c>
      <c r="F863" s="344">
        <f ca="1">OFFSET('Zip Code Lines_1'!$Z$3,MATCH('Zip Code Lines_1'!C863,'Zip Code Lines_1'!$Q$4:$Q$26,0),0)</f>
        <v>86.1</v>
      </c>
      <c r="G863" s="342">
        <f ca="1">OFFSET('Zip Code Lines_1'!$AC$3,MATCH('Zip Code Lines_1'!C863,'Zip Code Lines_1'!$Q$4:$Q$26,0),0)</f>
        <v>12</v>
      </c>
      <c r="H863" s="342">
        <v>12260</v>
      </c>
    </row>
    <row r="864" spans="1:8" x14ac:dyDescent="0.25">
      <c r="B864" s="342">
        <v>12261</v>
      </c>
      <c r="C864" s="343" t="s">
        <v>530</v>
      </c>
      <c r="D864" s="343" t="str">
        <f ca="1">OFFSET('Zip Code Lines_1'!$U$3,MATCH('Zip Code Lines_1'!C864,'Zip Code Lines_1'!$Q$4:$Q$26,0),0)</f>
        <v>Albany</v>
      </c>
      <c r="E864" s="344">
        <f ca="1">OFFSET('Zip Code Lines_1'!$W$3,MATCH('Zip Code Lines_1'!C864,'Zip Code Lines_1'!$Q$4:$Q$26,0),0)</f>
        <v>4.7</v>
      </c>
      <c r="F864" s="344">
        <f ca="1">OFFSET('Zip Code Lines_1'!$Z$3,MATCH('Zip Code Lines_1'!C864,'Zip Code Lines_1'!$Q$4:$Q$26,0),0)</f>
        <v>86.1</v>
      </c>
      <c r="G864" s="342">
        <f ca="1">OFFSET('Zip Code Lines_1'!$AC$3,MATCH('Zip Code Lines_1'!C864,'Zip Code Lines_1'!$Q$4:$Q$26,0),0)</f>
        <v>12</v>
      </c>
      <c r="H864" s="342">
        <v>12261</v>
      </c>
    </row>
    <row r="865" spans="2:8" x14ac:dyDescent="0.25">
      <c r="B865" s="342">
        <v>12288</v>
      </c>
      <c r="C865" s="343" t="s">
        <v>530</v>
      </c>
      <c r="D865" s="343" t="str">
        <f ca="1">OFFSET('Zip Code Lines_1'!$U$3,MATCH('Zip Code Lines_1'!C865,'Zip Code Lines_1'!$Q$4:$Q$26,0),0)</f>
        <v>Albany</v>
      </c>
      <c r="E865" s="344">
        <f ca="1">OFFSET('Zip Code Lines_1'!$W$3,MATCH('Zip Code Lines_1'!C865,'Zip Code Lines_1'!$Q$4:$Q$26,0),0)</f>
        <v>4.7</v>
      </c>
      <c r="F865" s="344">
        <f ca="1">OFFSET('Zip Code Lines_1'!$Z$3,MATCH('Zip Code Lines_1'!C865,'Zip Code Lines_1'!$Q$4:$Q$26,0),0)</f>
        <v>86.1</v>
      </c>
      <c r="G865" s="342">
        <f ca="1">OFFSET('Zip Code Lines_1'!$AC$3,MATCH('Zip Code Lines_1'!C865,'Zip Code Lines_1'!$Q$4:$Q$26,0),0)</f>
        <v>12</v>
      </c>
      <c r="H865" s="342">
        <v>12288</v>
      </c>
    </row>
    <row r="866" spans="2:8" x14ac:dyDescent="0.25">
      <c r="B866" s="342">
        <v>12301</v>
      </c>
      <c r="C866" s="343" t="s">
        <v>530</v>
      </c>
      <c r="D866" s="343" t="str">
        <f ca="1">OFFSET('Zip Code Lines_1'!$U$3,MATCH('Zip Code Lines_1'!C866,'Zip Code Lines_1'!$Q$4:$Q$26,0),0)</f>
        <v>Albany</v>
      </c>
      <c r="E866" s="344">
        <f ca="1">OFFSET('Zip Code Lines_1'!$W$3,MATCH('Zip Code Lines_1'!C866,'Zip Code Lines_1'!$Q$4:$Q$26,0),0)</f>
        <v>4.7</v>
      </c>
      <c r="F866" s="344">
        <f ca="1">OFFSET('Zip Code Lines_1'!$Z$3,MATCH('Zip Code Lines_1'!C866,'Zip Code Lines_1'!$Q$4:$Q$26,0),0)</f>
        <v>86.1</v>
      </c>
      <c r="G866" s="342">
        <f ca="1">OFFSET('Zip Code Lines_1'!$AC$3,MATCH('Zip Code Lines_1'!C866,'Zip Code Lines_1'!$Q$4:$Q$26,0),0)</f>
        <v>12</v>
      </c>
      <c r="H866" s="342">
        <v>12301</v>
      </c>
    </row>
    <row r="867" spans="2:8" x14ac:dyDescent="0.25">
      <c r="B867" s="342">
        <v>12302</v>
      </c>
      <c r="C867" s="343" t="s">
        <v>530</v>
      </c>
      <c r="D867" s="343" t="str">
        <f ca="1">OFFSET('Zip Code Lines_1'!$U$3,MATCH('Zip Code Lines_1'!C867,'Zip Code Lines_1'!$Q$4:$Q$26,0),0)</f>
        <v>Albany</v>
      </c>
      <c r="E867" s="344">
        <f ca="1">OFFSET('Zip Code Lines_1'!$W$3,MATCH('Zip Code Lines_1'!C867,'Zip Code Lines_1'!$Q$4:$Q$26,0),0)</f>
        <v>4.7</v>
      </c>
      <c r="F867" s="344">
        <f ca="1">OFFSET('Zip Code Lines_1'!$Z$3,MATCH('Zip Code Lines_1'!C867,'Zip Code Lines_1'!$Q$4:$Q$26,0),0)</f>
        <v>86.1</v>
      </c>
      <c r="G867" s="342">
        <f ca="1">OFFSET('Zip Code Lines_1'!$AC$3,MATCH('Zip Code Lines_1'!C867,'Zip Code Lines_1'!$Q$4:$Q$26,0),0)</f>
        <v>12</v>
      </c>
      <c r="H867" s="342">
        <v>12302</v>
      </c>
    </row>
    <row r="868" spans="2:8" x14ac:dyDescent="0.25">
      <c r="B868" s="342">
        <v>12303</v>
      </c>
      <c r="C868" s="343" t="s">
        <v>530</v>
      </c>
      <c r="D868" s="343" t="str">
        <f ca="1">OFFSET('Zip Code Lines_1'!$U$3,MATCH('Zip Code Lines_1'!C868,'Zip Code Lines_1'!$Q$4:$Q$26,0),0)</f>
        <v>Albany</v>
      </c>
      <c r="E868" s="344">
        <f ca="1">OFFSET('Zip Code Lines_1'!$W$3,MATCH('Zip Code Lines_1'!C868,'Zip Code Lines_1'!$Q$4:$Q$26,0),0)</f>
        <v>4.7</v>
      </c>
      <c r="F868" s="344">
        <f ca="1">OFFSET('Zip Code Lines_1'!$Z$3,MATCH('Zip Code Lines_1'!C868,'Zip Code Lines_1'!$Q$4:$Q$26,0),0)</f>
        <v>86.1</v>
      </c>
      <c r="G868" s="342">
        <f ca="1">OFFSET('Zip Code Lines_1'!$AC$3,MATCH('Zip Code Lines_1'!C868,'Zip Code Lines_1'!$Q$4:$Q$26,0),0)</f>
        <v>12</v>
      </c>
      <c r="H868" s="342">
        <v>12303</v>
      </c>
    </row>
    <row r="869" spans="2:8" x14ac:dyDescent="0.25">
      <c r="B869" s="342">
        <v>12304</v>
      </c>
      <c r="C869" s="343" t="s">
        <v>530</v>
      </c>
      <c r="D869" s="343" t="str">
        <f ca="1">OFFSET('Zip Code Lines_1'!$U$3,MATCH('Zip Code Lines_1'!C869,'Zip Code Lines_1'!$Q$4:$Q$26,0),0)</f>
        <v>Albany</v>
      </c>
      <c r="E869" s="344">
        <f ca="1">OFFSET('Zip Code Lines_1'!$W$3,MATCH('Zip Code Lines_1'!C869,'Zip Code Lines_1'!$Q$4:$Q$26,0),0)</f>
        <v>4.7</v>
      </c>
      <c r="F869" s="344">
        <f ca="1">OFFSET('Zip Code Lines_1'!$Z$3,MATCH('Zip Code Lines_1'!C869,'Zip Code Lines_1'!$Q$4:$Q$26,0),0)</f>
        <v>86.1</v>
      </c>
      <c r="G869" s="342">
        <f ca="1">OFFSET('Zip Code Lines_1'!$AC$3,MATCH('Zip Code Lines_1'!C869,'Zip Code Lines_1'!$Q$4:$Q$26,0),0)</f>
        <v>12</v>
      </c>
      <c r="H869" s="342">
        <v>12304</v>
      </c>
    </row>
    <row r="870" spans="2:8" x14ac:dyDescent="0.25">
      <c r="B870" s="342">
        <v>12305</v>
      </c>
      <c r="C870" s="343" t="s">
        <v>530</v>
      </c>
      <c r="D870" s="343" t="str">
        <f ca="1">OFFSET('Zip Code Lines_1'!$U$3,MATCH('Zip Code Lines_1'!C870,'Zip Code Lines_1'!$Q$4:$Q$26,0),0)</f>
        <v>Albany</v>
      </c>
      <c r="E870" s="344">
        <f ca="1">OFFSET('Zip Code Lines_1'!$W$3,MATCH('Zip Code Lines_1'!C870,'Zip Code Lines_1'!$Q$4:$Q$26,0),0)</f>
        <v>4.7</v>
      </c>
      <c r="F870" s="344">
        <f ca="1">OFFSET('Zip Code Lines_1'!$Z$3,MATCH('Zip Code Lines_1'!C870,'Zip Code Lines_1'!$Q$4:$Q$26,0),0)</f>
        <v>86.1</v>
      </c>
      <c r="G870" s="342">
        <f ca="1">OFFSET('Zip Code Lines_1'!$AC$3,MATCH('Zip Code Lines_1'!C870,'Zip Code Lines_1'!$Q$4:$Q$26,0),0)</f>
        <v>12</v>
      </c>
      <c r="H870" s="342">
        <v>12305</v>
      </c>
    </row>
    <row r="871" spans="2:8" x14ac:dyDescent="0.25">
      <c r="B871" s="342">
        <v>12306</v>
      </c>
      <c r="C871" s="343" t="s">
        <v>530</v>
      </c>
      <c r="D871" s="343" t="str">
        <f ca="1">OFFSET('Zip Code Lines_1'!$U$3,MATCH('Zip Code Lines_1'!C871,'Zip Code Lines_1'!$Q$4:$Q$26,0),0)</f>
        <v>Albany</v>
      </c>
      <c r="E871" s="344">
        <f ca="1">OFFSET('Zip Code Lines_1'!$W$3,MATCH('Zip Code Lines_1'!C871,'Zip Code Lines_1'!$Q$4:$Q$26,0),0)</f>
        <v>4.7</v>
      </c>
      <c r="F871" s="344">
        <f ca="1">OFFSET('Zip Code Lines_1'!$Z$3,MATCH('Zip Code Lines_1'!C871,'Zip Code Lines_1'!$Q$4:$Q$26,0),0)</f>
        <v>86.1</v>
      </c>
      <c r="G871" s="342">
        <f ca="1">OFFSET('Zip Code Lines_1'!$AC$3,MATCH('Zip Code Lines_1'!C871,'Zip Code Lines_1'!$Q$4:$Q$26,0),0)</f>
        <v>12</v>
      </c>
      <c r="H871" s="342">
        <v>12306</v>
      </c>
    </row>
    <row r="872" spans="2:8" x14ac:dyDescent="0.25">
      <c r="B872" s="342">
        <v>12307</v>
      </c>
      <c r="C872" s="343" t="s">
        <v>530</v>
      </c>
      <c r="D872" s="343" t="str">
        <f ca="1">OFFSET('Zip Code Lines_1'!$U$3,MATCH('Zip Code Lines_1'!C872,'Zip Code Lines_1'!$Q$4:$Q$26,0),0)</f>
        <v>Albany</v>
      </c>
      <c r="E872" s="344">
        <f ca="1">OFFSET('Zip Code Lines_1'!$W$3,MATCH('Zip Code Lines_1'!C872,'Zip Code Lines_1'!$Q$4:$Q$26,0),0)</f>
        <v>4.7</v>
      </c>
      <c r="F872" s="344">
        <f ca="1">OFFSET('Zip Code Lines_1'!$Z$3,MATCH('Zip Code Lines_1'!C872,'Zip Code Lines_1'!$Q$4:$Q$26,0),0)</f>
        <v>86.1</v>
      </c>
      <c r="G872" s="342">
        <f ca="1">OFFSET('Zip Code Lines_1'!$AC$3,MATCH('Zip Code Lines_1'!C872,'Zip Code Lines_1'!$Q$4:$Q$26,0),0)</f>
        <v>12</v>
      </c>
      <c r="H872" s="342">
        <v>12307</v>
      </c>
    </row>
    <row r="873" spans="2:8" x14ac:dyDescent="0.25">
      <c r="B873" s="342">
        <v>12308</v>
      </c>
      <c r="C873" s="343" t="s">
        <v>530</v>
      </c>
      <c r="D873" s="343" t="str">
        <f ca="1">OFFSET('Zip Code Lines_1'!$U$3,MATCH('Zip Code Lines_1'!C873,'Zip Code Lines_1'!$Q$4:$Q$26,0),0)</f>
        <v>Albany</v>
      </c>
      <c r="E873" s="344">
        <f ca="1">OFFSET('Zip Code Lines_1'!$W$3,MATCH('Zip Code Lines_1'!C873,'Zip Code Lines_1'!$Q$4:$Q$26,0),0)</f>
        <v>4.7</v>
      </c>
      <c r="F873" s="344">
        <f ca="1">OFFSET('Zip Code Lines_1'!$Z$3,MATCH('Zip Code Lines_1'!C873,'Zip Code Lines_1'!$Q$4:$Q$26,0),0)</f>
        <v>86.1</v>
      </c>
      <c r="G873" s="342">
        <f ca="1">OFFSET('Zip Code Lines_1'!$AC$3,MATCH('Zip Code Lines_1'!C873,'Zip Code Lines_1'!$Q$4:$Q$26,0),0)</f>
        <v>12</v>
      </c>
      <c r="H873" s="342">
        <v>12308</v>
      </c>
    </row>
    <row r="874" spans="2:8" x14ac:dyDescent="0.25">
      <c r="B874" s="342">
        <v>12309</v>
      </c>
      <c r="C874" s="343" t="s">
        <v>530</v>
      </c>
      <c r="D874" s="343" t="str">
        <f ca="1">OFFSET('Zip Code Lines_1'!$U$3,MATCH('Zip Code Lines_1'!C874,'Zip Code Lines_1'!$Q$4:$Q$26,0),0)</f>
        <v>Albany</v>
      </c>
      <c r="E874" s="344">
        <f ca="1">OFFSET('Zip Code Lines_1'!$W$3,MATCH('Zip Code Lines_1'!C874,'Zip Code Lines_1'!$Q$4:$Q$26,0),0)</f>
        <v>4.7</v>
      </c>
      <c r="F874" s="344">
        <f ca="1">OFFSET('Zip Code Lines_1'!$Z$3,MATCH('Zip Code Lines_1'!C874,'Zip Code Lines_1'!$Q$4:$Q$26,0),0)</f>
        <v>86.1</v>
      </c>
      <c r="G874" s="342">
        <f ca="1">OFFSET('Zip Code Lines_1'!$AC$3,MATCH('Zip Code Lines_1'!C874,'Zip Code Lines_1'!$Q$4:$Q$26,0),0)</f>
        <v>12</v>
      </c>
      <c r="H874" s="342">
        <v>12309</v>
      </c>
    </row>
    <row r="875" spans="2:8" x14ac:dyDescent="0.25">
      <c r="B875" s="342">
        <v>12325</v>
      </c>
      <c r="C875" s="343" t="s">
        <v>543</v>
      </c>
      <c r="D875" s="343" t="str">
        <f ca="1">OFFSET('Zip Code Lines_1'!$U$3,MATCH('Zip Code Lines_1'!C875,'Zip Code Lines_1'!$Q$4:$Q$26,0),0)</f>
        <v xml:space="preserve">Glens Falls </v>
      </c>
      <c r="E875" s="344">
        <f ca="1">OFFSET('Zip Code Lines_1'!$W$3,MATCH('Zip Code Lines_1'!C875,'Zip Code Lines_1'!$Q$4:$Q$26,0),0)</f>
        <v>-1.8</v>
      </c>
      <c r="F875" s="344">
        <f ca="1">OFFSET('Zip Code Lines_1'!$Z$3,MATCH('Zip Code Lines_1'!C875,'Zip Code Lines_1'!$Q$4:$Q$26,0),0)</f>
        <v>84.7</v>
      </c>
      <c r="G875" s="342">
        <f ca="1">OFFSET('Zip Code Lines_1'!$AC$3,MATCH('Zip Code Lines_1'!C875,'Zip Code Lines_1'!$Q$4:$Q$26,0),0)</f>
        <v>12</v>
      </c>
      <c r="H875" s="342">
        <v>12325</v>
      </c>
    </row>
    <row r="876" spans="2:8" x14ac:dyDescent="0.25">
      <c r="B876" s="342">
        <v>12345</v>
      </c>
      <c r="C876" s="343" t="s">
        <v>530</v>
      </c>
      <c r="D876" s="343" t="str">
        <f ca="1">OFFSET('Zip Code Lines_1'!$U$3,MATCH('Zip Code Lines_1'!C876,'Zip Code Lines_1'!$Q$4:$Q$26,0),0)</f>
        <v>Albany</v>
      </c>
      <c r="E876" s="344">
        <f ca="1">OFFSET('Zip Code Lines_1'!$W$3,MATCH('Zip Code Lines_1'!C876,'Zip Code Lines_1'!$Q$4:$Q$26,0),0)</f>
        <v>4.7</v>
      </c>
      <c r="F876" s="344">
        <f ca="1">OFFSET('Zip Code Lines_1'!$Z$3,MATCH('Zip Code Lines_1'!C876,'Zip Code Lines_1'!$Q$4:$Q$26,0),0)</f>
        <v>86.1</v>
      </c>
      <c r="G876" s="342">
        <f ca="1">OFFSET('Zip Code Lines_1'!$AC$3,MATCH('Zip Code Lines_1'!C876,'Zip Code Lines_1'!$Q$4:$Q$26,0),0)</f>
        <v>12</v>
      </c>
      <c r="H876" s="342">
        <v>12345</v>
      </c>
    </row>
    <row r="877" spans="2:8" x14ac:dyDescent="0.25">
      <c r="B877" s="342">
        <v>12401</v>
      </c>
      <c r="C877" s="343" t="s">
        <v>563</v>
      </c>
      <c r="D877" s="343" t="str">
        <f ca="1">OFFSET('Zip Code Lines_1'!$U$3,MATCH('Zip Code Lines_1'!C877,'Zip Code Lines_1'!$Q$4:$Q$26,0),0)</f>
        <v>Poughkeepsie</v>
      </c>
      <c r="E877" s="344">
        <f ca="1">OFFSET('Zip Code Lines_1'!$W$3,MATCH('Zip Code Lines_1'!C877,'Zip Code Lines_1'!$Q$4:$Q$26,0),0)</f>
        <v>8.4</v>
      </c>
      <c r="F877" s="344">
        <f ca="1">OFFSET('Zip Code Lines_1'!$Z$3,MATCH('Zip Code Lines_1'!C877,'Zip Code Lines_1'!$Q$4:$Q$26,0),0)</f>
        <v>88.4</v>
      </c>
      <c r="G877" s="342">
        <f ca="1">OFFSET('Zip Code Lines_1'!$AC$3,MATCH('Zip Code Lines_1'!C877,'Zip Code Lines_1'!$Q$4:$Q$26,0),0)</f>
        <v>12</v>
      </c>
      <c r="H877" s="342">
        <v>12401</v>
      </c>
    </row>
    <row r="878" spans="2:8" x14ac:dyDescent="0.25">
      <c r="B878" s="342">
        <v>12402</v>
      </c>
      <c r="C878" s="343" t="s">
        <v>563</v>
      </c>
      <c r="D878" s="343" t="str">
        <f ca="1">OFFSET('Zip Code Lines_1'!$U$3,MATCH('Zip Code Lines_1'!C878,'Zip Code Lines_1'!$Q$4:$Q$26,0),0)</f>
        <v>Poughkeepsie</v>
      </c>
      <c r="E878" s="344">
        <f ca="1">OFFSET('Zip Code Lines_1'!$W$3,MATCH('Zip Code Lines_1'!C878,'Zip Code Lines_1'!$Q$4:$Q$26,0),0)</f>
        <v>8.4</v>
      </c>
      <c r="F878" s="344">
        <f ca="1">OFFSET('Zip Code Lines_1'!$Z$3,MATCH('Zip Code Lines_1'!C878,'Zip Code Lines_1'!$Q$4:$Q$26,0),0)</f>
        <v>88.4</v>
      </c>
      <c r="G878" s="342">
        <f ca="1">OFFSET('Zip Code Lines_1'!$AC$3,MATCH('Zip Code Lines_1'!C878,'Zip Code Lines_1'!$Q$4:$Q$26,0),0)</f>
        <v>12</v>
      </c>
      <c r="H878" s="342">
        <v>12402</v>
      </c>
    </row>
    <row r="879" spans="2:8" x14ac:dyDescent="0.25">
      <c r="B879" s="342">
        <v>12404</v>
      </c>
      <c r="C879" s="343" t="s">
        <v>563</v>
      </c>
      <c r="D879" s="343" t="str">
        <f ca="1">OFFSET('Zip Code Lines_1'!$U$3,MATCH('Zip Code Lines_1'!C879,'Zip Code Lines_1'!$Q$4:$Q$26,0),0)</f>
        <v>Poughkeepsie</v>
      </c>
      <c r="E879" s="344">
        <f ca="1">OFFSET('Zip Code Lines_1'!$W$3,MATCH('Zip Code Lines_1'!C879,'Zip Code Lines_1'!$Q$4:$Q$26,0),0)</f>
        <v>8.4</v>
      </c>
      <c r="F879" s="344">
        <f ca="1">OFFSET('Zip Code Lines_1'!$Z$3,MATCH('Zip Code Lines_1'!C879,'Zip Code Lines_1'!$Q$4:$Q$26,0),0)</f>
        <v>88.4</v>
      </c>
      <c r="G879" s="342">
        <f ca="1">OFFSET('Zip Code Lines_1'!$AC$3,MATCH('Zip Code Lines_1'!C879,'Zip Code Lines_1'!$Q$4:$Q$26,0),0)</f>
        <v>12</v>
      </c>
      <c r="H879" s="342">
        <v>12404</v>
      </c>
    </row>
    <row r="880" spans="2:8" x14ac:dyDescent="0.25">
      <c r="B880" s="342">
        <v>12405</v>
      </c>
      <c r="C880" s="343" t="s">
        <v>530</v>
      </c>
      <c r="D880" s="343" t="str">
        <f ca="1">OFFSET('Zip Code Lines_1'!$U$3,MATCH('Zip Code Lines_1'!C880,'Zip Code Lines_1'!$Q$4:$Q$26,0),0)</f>
        <v>Albany</v>
      </c>
      <c r="E880" s="344">
        <f ca="1">OFFSET('Zip Code Lines_1'!$W$3,MATCH('Zip Code Lines_1'!C880,'Zip Code Lines_1'!$Q$4:$Q$26,0),0)</f>
        <v>4.7</v>
      </c>
      <c r="F880" s="344">
        <f ca="1">OFFSET('Zip Code Lines_1'!$Z$3,MATCH('Zip Code Lines_1'!C880,'Zip Code Lines_1'!$Q$4:$Q$26,0),0)</f>
        <v>86.1</v>
      </c>
      <c r="G880" s="342">
        <f ca="1">OFFSET('Zip Code Lines_1'!$AC$3,MATCH('Zip Code Lines_1'!C880,'Zip Code Lines_1'!$Q$4:$Q$26,0),0)</f>
        <v>12</v>
      </c>
      <c r="H880" s="342">
        <v>12405</v>
      </c>
    </row>
    <row r="881" spans="2:8" x14ac:dyDescent="0.25">
      <c r="B881" s="342">
        <v>12406</v>
      </c>
      <c r="C881" s="343" t="s">
        <v>532</v>
      </c>
      <c r="D881" s="343" t="str">
        <f ca="1">OFFSET('Zip Code Lines_1'!$U$3,MATCH('Zip Code Lines_1'!C881,'Zip Code Lines_1'!$Q$4:$Q$26,0),0)</f>
        <v>Binghamton</v>
      </c>
      <c r="E881" s="344">
        <f ca="1">OFFSET('Zip Code Lines_1'!$W$3,MATCH('Zip Code Lines_1'!C881,'Zip Code Lines_1'!$Q$4:$Q$26,0),0)</f>
        <v>4.5</v>
      </c>
      <c r="F881" s="344">
        <f ca="1">OFFSET('Zip Code Lines_1'!$Z$3,MATCH('Zip Code Lines_1'!C881,'Zip Code Lines_1'!$Q$4:$Q$26,0),0)</f>
        <v>82.3</v>
      </c>
      <c r="G881" s="342">
        <f ca="1">OFFSET('Zip Code Lines_1'!$AC$3,MATCH('Zip Code Lines_1'!C881,'Zip Code Lines_1'!$Q$4:$Q$26,0),0)</f>
        <v>12</v>
      </c>
      <c r="H881" s="342">
        <v>12406</v>
      </c>
    </row>
    <row r="882" spans="2:8" x14ac:dyDescent="0.25">
      <c r="B882" s="342">
        <v>12407</v>
      </c>
      <c r="C882" s="343" t="s">
        <v>543</v>
      </c>
      <c r="D882" s="343" t="str">
        <f ca="1">OFFSET('Zip Code Lines_1'!$U$3,MATCH('Zip Code Lines_1'!C882,'Zip Code Lines_1'!$Q$4:$Q$26,0),0)</f>
        <v xml:space="preserve">Glens Falls </v>
      </c>
      <c r="E882" s="344">
        <f ca="1">OFFSET('Zip Code Lines_1'!$W$3,MATCH('Zip Code Lines_1'!C882,'Zip Code Lines_1'!$Q$4:$Q$26,0),0)</f>
        <v>-1.8</v>
      </c>
      <c r="F882" s="344">
        <f ca="1">OFFSET('Zip Code Lines_1'!$Z$3,MATCH('Zip Code Lines_1'!C882,'Zip Code Lines_1'!$Q$4:$Q$26,0),0)</f>
        <v>84.7</v>
      </c>
      <c r="G882" s="342">
        <f ca="1">OFFSET('Zip Code Lines_1'!$AC$3,MATCH('Zip Code Lines_1'!C882,'Zip Code Lines_1'!$Q$4:$Q$26,0),0)</f>
        <v>12</v>
      </c>
      <c r="H882" s="342">
        <v>12407</v>
      </c>
    </row>
    <row r="883" spans="2:8" x14ac:dyDescent="0.25">
      <c r="B883" s="342">
        <v>12409</v>
      </c>
      <c r="C883" s="343" t="s">
        <v>549</v>
      </c>
      <c r="D883" s="343" t="str">
        <f ca="1">OFFSET('Zip Code Lines_1'!$U$3,MATCH('Zip Code Lines_1'!C883,'Zip Code Lines_1'!$Q$4:$Q$26,0),0)</f>
        <v>Monticello</v>
      </c>
      <c r="E883" s="344">
        <f ca="1">OFFSET('Zip Code Lines_1'!$W$3,MATCH('Zip Code Lines_1'!C883,'Zip Code Lines_1'!$Q$4:$Q$26,0),0)</f>
        <v>4.7</v>
      </c>
      <c r="F883" s="344">
        <f ca="1">OFFSET('Zip Code Lines_1'!$Z$3,MATCH('Zip Code Lines_1'!C883,'Zip Code Lines_1'!$Q$4:$Q$26,0),0)</f>
        <v>82.5</v>
      </c>
      <c r="G883" s="342">
        <f ca="1">OFFSET('Zip Code Lines_1'!$AC$3,MATCH('Zip Code Lines_1'!C883,'Zip Code Lines_1'!$Q$4:$Q$26,0),0)</f>
        <v>12</v>
      </c>
      <c r="H883" s="342">
        <v>12409</v>
      </c>
    </row>
    <row r="884" spans="2:8" x14ac:dyDescent="0.25">
      <c r="B884" s="342">
        <v>12410</v>
      </c>
      <c r="C884" s="343" t="s">
        <v>532</v>
      </c>
      <c r="D884" s="343" t="str">
        <f ca="1">OFFSET('Zip Code Lines_1'!$U$3,MATCH('Zip Code Lines_1'!C884,'Zip Code Lines_1'!$Q$4:$Q$26,0),0)</f>
        <v>Binghamton</v>
      </c>
      <c r="E884" s="344">
        <f ca="1">OFFSET('Zip Code Lines_1'!$W$3,MATCH('Zip Code Lines_1'!C884,'Zip Code Lines_1'!$Q$4:$Q$26,0),0)</f>
        <v>4.5</v>
      </c>
      <c r="F884" s="344">
        <f ca="1">OFFSET('Zip Code Lines_1'!$Z$3,MATCH('Zip Code Lines_1'!C884,'Zip Code Lines_1'!$Q$4:$Q$26,0),0)</f>
        <v>82.3</v>
      </c>
      <c r="G884" s="342">
        <f ca="1">OFFSET('Zip Code Lines_1'!$AC$3,MATCH('Zip Code Lines_1'!C884,'Zip Code Lines_1'!$Q$4:$Q$26,0),0)</f>
        <v>12</v>
      </c>
      <c r="H884" s="342">
        <v>12410</v>
      </c>
    </row>
    <row r="885" spans="2:8" x14ac:dyDescent="0.25">
      <c r="B885" s="342">
        <v>12411</v>
      </c>
      <c r="C885" s="343" t="s">
        <v>563</v>
      </c>
      <c r="D885" s="343" t="str">
        <f ca="1">OFFSET('Zip Code Lines_1'!$U$3,MATCH('Zip Code Lines_1'!C885,'Zip Code Lines_1'!$Q$4:$Q$26,0),0)</f>
        <v>Poughkeepsie</v>
      </c>
      <c r="E885" s="344">
        <f ca="1">OFFSET('Zip Code Lines_1'!$W$3,MATCH('Zip Code Lines_1'!C885,'Zip Code Lines_1'!$Q$4:$Q$26,0),0)</f>
        <v>8.4</v>
      </c>
      <c r="F885" s="344">
        <f ca="1">OFFSET('Zip Code Lines_1'!$Z$3,MATCH('Zip Code Lines_1'!C885,'Zip Code Lines_1'!$Q$4:$Q$26,0),0)</f>
        <v>88.4</v>
      </c>
      <c r="G885" s="342">
        <f ca="1">OFFSET('Zip Code Lines_1'!$AC$3,MATCH('Zip Code Lines_1'!C885,'Zip Code Lines_1'!$Q$4:$Q$26,0),0)</f>
        <v>12</v>
      </c>
      <c r="H885" s="342">
        <v>12411</v>
      </c>
    </row>
    <row r="886" spans="2:8" x14ac:dyDescent="0.25">
      <c r="B886" s="342">
        <v>12412</v>
      </c>
      <c r="C886" s="343" t="s">
        <v>549</v>
      </c>
      <c r="D886" s="343" t="str">
        <f ca="1">OFFSET('Zip Code Lines_1'!$U$3,MATCH('Zip Code Lines_1'!C886,'Zip Code Lines_1'!$Q$4:$Q$26,0),0)</f>
        <v>Monticello</v>
      </c>
      <c r="E886" s="344">
        <f ca="1">OFFSET('Zip Code Lines_1'!$W$3,MATCH('Zip Code Lines_1'!C886,'Zip Code Lines_1'!$Q$4:$Q$26,0),0)</f>
        <v>4.7</v>
      </c>
      <c r="F886" s="344">
        <f ca="1">OFFSET('Zip Code Lines_1'!$Z$3,MATCH('Zip Code Lines_1'!C886,'Zip Code Lines_1'!$Q$4:$Q$26,0),0)</f>
        <v>82.5</v>
      </c>
      <c r="G886" s="342">
        <f ca="1">OFFSET('Zip Code Lines_1'!$AC$3,MATCH('Zip Code Lines_1'!C886,'Zip Code Lines_1'!$Q$4:$Q$26,0),0)</f>
        <v>12</v>
      </c>
      <c r="H886" s="342">
        <v>12412</v>
      </c>
    </row>
    <row r="887" spans="2:8" x14ac:dyDescent="0.25">
      <c r="B887" s="342">
        <v>12413</v>
      </c>
      <c r="C887" s="343" t="s">
        <v>530</v>
      </c>
      <c r="D887" s="343" t="str">
        <f ca="1">OFFSET('Zip Code Lines_1'!$U$3,MATCH('Zip Code Lines_1'!C887,'Zip Code Lines_1'!$Q$4:$Q$26,0),0)</f>
        <v>Albany</v>
      </c>
      <c r="E887" s="344">
        <f ca="1">OFFSET('Zip Code Lines_1'!$W$3,MATCH('Zip Code Lines_1'!C887,'Zip Code Lines_1'!$Q$4:$Q$26,0),0)</f>
        <v>4.7</v>
      </c>
      <c r="F887" s="344">
        <f ca="1">OFFSET('Zip Code Lines_1'!$Z$3,MATCH('Zip Code Lines_1'!C887,'Zip Code Lines_1'!$Q$4:$Q$26,0),0)</f>
        <v>86.1</v>
      </c>
      <c r="G887" s="342">
        <f ca="1">OFFSET('Zip Code Lines_1'!$AC$3,MATCH('Zip Code Lines_1'!C887,'Zip Code Lines_1'!$Q$4:$Q$26,0),0)</f>
        <v>12</v>
      </c>
      <c r="H887" s="342">
        <v>12413</v>
      </c>
    </row>
    <row r="888" spans="2:8" x14ac:dyDescent="0.25">
      <c r="B888" s="342">
        <v>12414</v>
      </c>
      <c r="C888" s="343" t="s">
        <v>530</v>
      </c>
      <c r="D888" s="343" t="str">
        <f ca="1">OFFSET('Zip Code Lines_1'!$U$3,MATCH('Zip Code Lines_1'!C888,'Zip Code Lines_1'!$Q$4:$Q$26,0),0)</f>
        <v>Albany</v>
      </c>
      <c r="E888" s="344">
        <f ca="1">OFFSET('Zip Code Lines_1'!$W$3,MATCH('Zip Code Lines_1'!C888,'Zip Code Lines_1'!$Q$4:$Q$26,0),0)</f>
        <v>4.7</v>
      </c>
      <c r="F888" s="344">
        <f ca="1">OFFSET('Zip Code Lines_1'!$Z$3,MATCH('Zip Code Lines_1'!C888,'Zip Code Lines_1'!$Q$4:$Q$26,0),0)</f>
        <v>86.1</v>
      </c>
      <c r="G888" s="342">
        <f ca="1">OFFSET('Zip Code Lines_1'!$AC$3,MATCH('Zip Code Lines_1'!C888,'Zip Code Lines_1'!$Q$4:$Q$26,0),0)</f>
        <v>12</v>
      </c>
      <c r="H888" s="342">
        <v>12414</v>
      </c>
    </row>
    <row r="889" spans="2:8" x14ac:dyDescent="0.25">
      <c r="B889" s="342">
        <v>12416</v>
      </c>
      <c r="C889" s="343" t="s">
        <v>549</v>
      </c>
      <c r="D889" s="343" t="str">
        <f ca="1">OFFSET('Zip Code Lines_1'!$U$3,MATCH('Zip Code Lines_1'!C889,'Zip Code Lines_1'!$Q$4:$Q$26,0),0)</f>
        <v>Monticello</v>
      </c>
      <c r="E889" s="344">
        <f ca="1">OFFSET('Zip Code Lines_1'!$W$3,MATCH('Zip Code Lines_1'!C889,'Zip Code Lines_1'!$Q$4:$Q$26,0),0)</f>
        <v>4.7</v>
      </c>
      <c r="F889" s="344">
        <f ca="1">OFFSET('Zip Code Lines_1'!$Z$3,MATCH('Zip Code Lines_1'!C889,'Zip Code Lines_1'!$Q$4:$Q$26,0),0)</f>
        <v>82.5</v>
      </c>
      <c r="G889" s="342">
        <f ca="1">OFFSET('Zip Code Lines_1'!$AC$3,MATCH('Zip Code Lines_1'!C889,'Zip Code Lines_1'!$Q$4:$Q$26,0),0)</f>
        <v>12</v>
      </c>
      <c r="H889" s="342">
        <v>12416</v>
      </c>
    </row>
    <row r="890" spans="2:8" x14ac:dyDescent="0.25">
      <c r="B890" s="342">
        <v>12417</v>
      </c>
      <c r="C890" s="343" t="s">
        <v>563</v>
      </c>
      <c r="D890" s="343" t="str">
        <f ca="1">OFFSET('Zip Code Lines_1'!$U$3,MATCH('Zip Code Lines_1'!C890,'Zip Code Lines_1'!$Q$4:$Q$26,0),0)</f>
        <v>Poughkeepsie</v>
      </c>
      <c r="E890" s="344">
        <f ca="1">OFFSET('Zip Code Lines_1'!$W$3,MATCH('Zip Code Lines_1'!C890,'Zip Code Lines_1'!$Q$4:$Q$26,0),0)</f>
        <v>8.4</v>
      </c>
      <c r="F890" s="344">
        <f ca="1">OFFSET('Zip Code Lines_1'!$Z$3,MATCH('Zip Code Lines_1'!C890,'Zip Code Lines_1'!$Q$4:$Q$26,0),0)</f>
        <v>88.4</v>
      </c>
      <c r="G890" s="342">
        <f ca="1">OFFSET('Zip Code Lines_1'!$AC$3,MATCH('Zip Code Lines_1'!C890,'Zip Code Lines_1'!$Q$4:$Q$26,0),0)</f>
        <v>12</v>
      </c>
      <c r="H890" s="342">
        <v>12417</v>
      </c>
    </row>
    <row r="891" spans="2:8" x14ac:dyDescent="0.25">
      <c r="B891" s="342">
        <v>12418</v>
      </c>
      <c r="C891" s="343" t="s">
        <v>530</v>
      </c>
      <c r="D891" s="343" t="str">
        <f ca="1">OFFSET('Zip Code Lines_1'!$U$3,MATCH('Zip Code Lines_1'!C891,'Zip Code Lines_1'!$Q$4:$Q$26,0),0)</f>
        <v>Albany</v>
      </c>
      <c r="E891" s="344">
        <f ca="1">OFFSET('Zip Code Lines_1'!$W$3,MATCH('Zip Code Lines_1'!C891,'Zip Code Lines_1'!$Q$4:$Q$26,0),0)</f>
        <v>4.7</v>
      </c>
      <c r="F891" s="344">
        <f ca="1">OFFSET('Zip Code Lines_1'!$Z$3,MATCH('Zip Code Lines_1'!C891,'Zip Code Lines_1'!$Q$4:$Q$26,0),0)</f>
        <v>86.1</v>
      </c>
      <c r="G891" s="342">
        <f ca="1">OFFSET('Zip Code Lines_1'!$AC$3,MATCH('Zip Code Lines_1'!C891,'Zip Code Lines_1'!$Q$4:$Q$26,0),0)</f>
        <v>12</v>
      </c>
      <c r="H891" s="342">
        <v>12418</v>
      </c>
    </row>
    <row r="892" spans="2:8" x14ac:dyDescent="0.25">
      <c r="B892" s="342">
        <v>12419</v>
      </c>
      <c r="C892" s="343" t="s">
        <v>563</v>
      </c>
      <c r="D892" s="343" t="str">
        <f ca="1">OFFSET('Zip Code Lines_1'!$U$3,MATCH('Zip Code Lines_1'!C892,'Zip Code Lines_1'!$Q$4:$Q$26,0),0)</f>
        <v>Poughkeepsie</v>
      </c>
      <c r="E892" s="344">
        <f ca="1">OFFSET('Zip Code Lines_1'!$W$3,MATCH('Zip Code Lines_1'!C892,'Zip Code Lines_1'!$Q$4:$Q$26,0),0)</f>
        <v>8.4</v>
      </c>
      <c r="F892" s="344">
        <f ca="1">OFFSET('Zip Code Lines_1'!$Z$3,MATCH('Zip Code Lines_1'!C892,'Zip Code Lines_1'!$Q$4:$Q$26,0),0)</f>
        <v>88.4</v>
      </c>
      <c r="G892" s="342">
        <f ca="1">OFFSET('Zip Code Lines_1'!$AC$3,MATCH('Zip Code Lines_1'!C892,'Zip Code Lines_1'!$Q$4:$Q$26,0),0)</f>
        <v>12</v>
      </c>
      <c r="H892" s="342">
        <v>12419</v>
      </c>
    </row>
    <row r="893" spans="2:8" x14ac:dyDescent="0.25">
      <c r="B893" s="342">
        <v>12420</v>
      </c>
      <c r="C893" s="343" t="s">
        <v>549</v>
      </c>
      <c r="D893" s="343" t="str">
        <f ca="1">OFFSET('Zip Code Lines_1'!$U$3,MATCH('Zip Code Lines_1'!C893,'Zip Code Lines_1'!$Q$4:$Q$26,0),0)</f>
        <v>Monticello</v>
      </c>
      <c r="E893" s="344">
        <f ca="1">OFFSET('Zip Code Lines_1'!$W$3,MATCH('Zip Code Lines_1'!C893,'Zip Code Lines_1'!$Q$4:$Q$26,0),0)</f>
        <v>4.7</v>
      </c>
      <c r="F893" s="344">
        <f ca="1">OFFSET('Zip Code Lines_1'!$Z$3,MATCH('Zip Code Lines_1'!C893,'Zip Code Lines_1'!$Q$4:$Q$26,0),0)</f>
        <v>82.5</v>
      </c>
      <c r="G893" s="342">
        <f ca="1">OFFSET('Zip Code Lines_1'!$AC$3,MATCH('Zip Code Lines_1'!C893,'Zip Code Lines_1'!$Q$4:$Q$26,0),0)</f>
        <v>12</v>
      </c>
      <c r="H893" s="342">
        <v>12420</v>
      </c>
    </row>
    <row r="894" spans="2:8" x14ac:dyDescent="0.25">
      <c r="B894" s="342">
        <v>12421</v>
      </c>
      <c r="C894" s="343" t="s">
        <v>543</v>
      </c>
      <c r="D894" s="343" t="str">
        <f ca="1">OFFSET('Zip Code Lines_1'!$U$3,MATCH('Zip Code Lines_1'!C894,'Zip Code Lines_1'!$Q$4:$Q$26,0),0)</f>
        <v xml:space="preserve">Glens Falls </v>
      </c>
      <c r="E894" s="344">
        <f ca="1">OFFSET('Zip Code Lines_1'!$W$3,MATCH('Zip Code Lines_1'!C894,'Zip Code Lines_1'!$Q$4:$Q$26,0),0)</f>
        <v>-1.8</v>
      </c>
      <c r="F894" s="344">
        <f ca="1">OFFSET('Zip Code Lines_1'!$Z$3,MATCH('Zip Code Lines_1'!C894,'Zip Code Lines_1'!$Q$4:$Q$26,0),0)</f>
        <v>84.7</v>
      </c>
      <c r="G894" s="342">
        <f ca="1">OFFSET('Zip Code Lines_1'!$AC$3,MATCH('Zip Code Lines_1'!C894,'Zip Code Lines_1'!$Q$4:$Q$26,0),0)</f>
        <v>12</v>
      </c>
      <c r="H894" s="342">
        <v>12421</v>
      </c>
    </row>
    <row r="895" spans="2:8" x14ac:dyDescent="0.25">
      <c r="B895" s="342">
        <v>12422</v>
      </c>
      <c r="C895" s="343" t="s">
        <v>543</v>
      </c>
      <c r="D895" s="343" t="str">
        <f ca="1">OFFSET('Zip Code Lines_1'!$U$3,MATCH('Zip Code Lines_1'!C895,'Zip Code Lines_1'!$Q$4:$Q$26,0),0)</f>
        <v xml:space="preserve">Glens Falls </v>
      </c>
      <c r="E895" s="344">
        <f ca="1">OFFSET('Zip Code Lines_1'!$W$3,MATCH('Zip Code Lines_1'!C895,'Zip Code Lines_1'!$Q$4:$Q$26,0),0)</f>
        <v>-1.8</v>
      </c>
      <c r="F895" s="344">
        <f ca="1">OFFSET('Zip Code Lines_1'!$Z$3,MATCH('Zip Code Lines_1'!C895,'Zip Code Lines_1'!$Q$4:$Q$26,0),0)</f>
        <v>84.7</v>
      </c>
      <c r="G895" s="342">
        <f ca="1">OFFSET('Zip Code Lines_1'!$AC$3,MATCH('Zip Code Lines_1'!C895,'Zip Code Lines_1'!$Q$4:$Q$26,0),0)</f>
        <v>12</v>
      </c>
      <c r="H895" s="342">
        <v>12422</v>
      </c>
    </row>
    <row r="896" spans="2:8" x14ac:dyDescent="0.25">
      <c r="B896" s="342">
        <v>12423</v>
      </c>
      <c r="C896" s="343" t="s">
        <v>530</v>
      </c>
      <c r="D896" s="343" t="str">
        <f ca="1">OFFSET('Zip Code Lines_1'!$U$3,MATCH('Zip Code Lines_1'!C896,'Zip Code Lines_1'!$Q$4:$Q$26,0),0)</f>
        <v>Albany</v>
      </c>
      <c r="E896" s="344">
        <f ca="1">OFFSET('Zip Code Lines_1'!$W$3,MATCH('Zip Code Lines_1'!C896,'Zip Code Lines_1'!$Q$4:$Q$26,0),0)</f>
        <v>4.7</v>
      </c>
      <c r="F896" s="344">
        <f ca="1">OFFSET('Zip Code Lines_1'!$Z$3,MATCH('Zip Code Lines_1'!C896,'Zip Code Lines_1'!$Q$4:$Q$26,0),0)</f>
        <v>86.1</v>
      </c>
      <c r="G896" s="342">
        <f ca="1">OFFSET('Zip Code Lines_1'!$AC$3,MATCH('Zip Code Lines_1'!C896,'Zip Code Lines_1'!$Q$4:$Q$26,0),0)</f>
        <v>12</v>
      </c>
      <c r="H896" s="342">
        <v>12423</v>
      </c>
    </row>
    <row r="897" spans="2:8" x14ac:dyDescent="0.25">
      <c r="B897" s="342">
        <v>12424</v>
      </c>
      <c r="C897" s="343" t="s">
        <v>543</v>
      </c>
      <c r="D897" s="343" t="str">
        <f ca="1">OFFSET('Zip Code Lines_1'!$U$3,MATCH('Zip Code Lines_1'!C897,'Zip Code Lines_1'!$Q$4:$Q$26,0),0)</f>
        <v xml:space="preserve">Glens Falls </v>
      </c>
      <c r="E897" s="344">
        <f ca="1">OFFSET('Zip Code Lines_1'!$W$3,MATCH('Zip Code Lines_1'!C897,'Zip Code Lines_1'!$Q$4:$Q$26,0),0)</f>
        <v>-1.8</v>
      </c>
      <c r="F897" s="344">
        <f ca="1">OFFSET('Zip Code Lines_1'!$Z$3,MATCH('Zip Code Lines_1'!C897,'Zip Code Lines_1'!$Q$4:$Q$26,0),0)</f>
        <v>84.7</v>
      </c>
      <c r="G897" s="342">
        <f ca="1">OFFSET('Zip Code Lines_1'!$AC$3,MATCH('Zip Code Lines_1'!C897,'Zip Code Lines_1'!$Q$4:$Q$26,0),0)</f>
        <v>12</v>
      </c>
      <c r="H897" s="342">
        <v>12424</v>
      </c>
    </row>
    <row r="898" spans="2:8" x14ac:dyDescent="0.25">
      <c r="B898" s="342">
        <v>12427</v>
      </c>
      <c r="C898" s="343" t="s">
        <v>543</v>
      </c>
      <c r="D898" s="343" t="str">
        <f ca="1">OFFSET('Zip Code Lines_1'!$U$3,MATCH('Zip Code Lines_1'!C898,'Zip Code Lines_1'!$Q$4:$Q$26,0),0)</f>
        <v xml:space="preserve">Glens Falls </v>
      </c>
      <c r="E898" s="344">
        <f ca="1">OFFSET('Zip Code Lines_1'!$W$3,MATCH('Zip Code Lines_1'!C898,'Zip Code Lines_1'!$Q$4:$Q$26,0),0)</f>
        <v>-1.8</v>
      </c>
      <c r="F898" s="344">
        <f ca="1">OFFSET('Zip Code Lines_1'!$Z$3,MATCH('Zip Code Lines_1'!C898,'Zip Code Lines_1'!$Q$4:$Q$26,0),0)</f>
        <v>84.7</v>
      </c>
      <c r="G898" s="342">
        <f ca="1">OFFSET('Zip Code Lines_1'!$AC$3,MATCH('Zip Code Lines_1'!C898,'Zip Code Lines_1'!$Q$4:$Q$26,0),0)</f>
        <v>12</v>
      </c>
      <c r="H898" s="342">
        <v>12427</v>
      </c>
    </row>
    <row r="899" spans="2:8" x14ac:dyDescent="0.25">
      <c r="B899" s="342">
        <v>12428</v>
      </c>
      <c r="C899" s="343" t="s">
        <v>549</v>
      </c>
      <c r="D899" s="343" t="str">
        <f ca="1">OFFSET('Zip Code Lines_1'!$U$3,MATCH('Zip Code Lines_1'!C899,'Zip Code Lines_1'!$Q$4:$Q$26,0),0)</f>
        <v>Monticello</v>
      </c>
      <c r="E899" s="344">
        <f ca="1">OFFSET('Zip Code Lines_1'!$W$3,MATCH('Zip Code Lines_1'!C899,'Zip Code Lines_1'!$Q$4:$Q$26,0),0)</f>
        <v>4.7</v>
      </c>
      <c r="F899" s="344">
        <f ca="1">OFFSET('Zip Code Lines_1'!$Z$3,MATCH('Zip Code Lines_1'!C899,'Zip Code Lines_1'!$Q$4:$Q$26,0),0)</f>
        <v>82.5</v>
      </c>
      <c r="G899" s="342">
        <f ca="1">OFFSET('Zip Code Lines_1'!$AC$3,MATCH('Zip Code Lines_1'!C899,'Zip Code Lines_1'!$Q$4:$Q$26,0),0)</f>
        <v>12</v>
      </c>
      <c r="H899" s="342">
        <v>12428</v>
      </c>
    </row>
    <row r="900" spans="2:8" x14ac:dyDescent="0.25">
      <c r="B900" s="342">
        <v>12429</v>
      </c>
      <c r="C900" s="343" t="s">
        <v>563</v>
      </c>
      <c r="D900" s="343" t="str">
        <f ca="1">OFFSET('Zip Code Lines_1'!$U$3,MATCH('Zip Code Lines_1'!C900,'Zip Code Lines_1'!$Q$4:$Q$26,0),0)</f>
        <v>Poughkeepsie</v>
      </c>
      <c r="E900" s="344">
        <f ca="1">OFFSET('Zip Code Lines_1'!$W$3,MATCH('Zip Code Lines_1'!C900,'Zip Code Lines_1'!$Q$4:$Q$26,0),0)</f>
        <v>8.4</v>
      </c>
      <c r="F900" s="344">
        <f ca="1">OFFSET('Zip Code Lines_1'!$Z$3,MATCH('Zip Code Lines_1'!C900,'Zip Code Lines_1'!$Q$4:$Q$26,0),0)</f>
        <v>88.4</v>
      </c>
      <c r="G900" s="342">
        <f ca="1">OFFSET('Zip Code Lines_1'!$AC$3,MATCH('Zip Code Lines_1'!C900,'Zip Code Lines_1'!$Q$4:$Q$26,0),0)</f>
        <v>12</v>
      </c>
      <c r="H900" s="342">
        <v>12429</v>
      </c>
    </row>
    <row r="901" spans="2:8" x14ac:dyDescent="0.25">
      <c r="B901" s="342">
        <v>12430</v>
      </c>
      <c r="C901" s="343" t="s">
        <v>569</v>
      </c>
      <c r="D901" s="343" t="str">
        <f ca="1">OFFSET('Zip Code Lines_1'!$U$3,MATCH('Zip Code Lines_1'!C901,'Zip Code Lines_1'!$Q$4:$Q$26,0),0)</f>
        <v>Utica</v>
      </c>
      <c r="E901" s="344">
        <f ca="1">OFFSET('Zip Code Lines_1'!$W$3,MATCH('Zip Code Lines_1'!C901,'Zip Code Lines_1'!$Q$4:$Q$26,0),0)</f>
        <v>1.2</v>
      </c>
      <c r="F901" s="344">
        <f ca="1">OFFSET('Zip Code Lines_1'!$Z$3,MATCH('Zip Code Lines_1'!C901,'Zip Code Lines_1'!$Q$4:$Q$26,0),0)</f>
        <v>84.2</v>
      </c>
      <c r="G901" s="342">
        <f ca="1">OFFSET('Zip Code Lines_1'!$AC$3,MATCH('Zip Code Lines_1'!C901,'Zip Code Lines_1'!$Q$4:$Q$26,0),0)</f>
        <v>18</v>
      </c>
      <c r="H901" s="342">
        <v>12430</v>
      </c>
    </row>
    <row r="902" spans="2:8" x14ac:dyDescent="0.25">
      <c r="B902" s="342">
        <v>12431</v>
      </c>
      <c r="C902" s="343" t="s">
        <v>530</v>
      </c>
      <c r="D902" s="343" t="str">
        <f ca="1">OFFSET('Zip Code Lines_1'!$U$3,MATCH('Zip Code Lines_1'!C902,'Zip Code Lines_1'!$Q$4:$Q$26,0),0)</f>
        <v>Albany</v>
      </c>
      <c r="E902" s="344">
        <f ca="1">OFFSET('Zip Code Lines_1'!$W$3,MATCH('Zip Code Lines_1'!C902,'Zip Code Lines_1'!$Q$4:$Q$26,0),0)</f>
        <v>4.7</v>
      </c>
      <c r="F902" s="344">
        <f ca="1">OFFSET('Zip Code Lines_1'!$Z$3,MATCH('Zip Code Lines_1'!C902,'Zip Code Lines_1'!$Q$4:$Q$26,0),0)</f>
        <v>86.1</v>
      </c>
      <c r="G902" s="342">
        <f ca="1">OFFSET('Zip Code Lines_1'!$AC$3,MATCH('Zip Code Lines_1'!C902,'Zip Code Lines_1'!$Q$4:$Q$26,0),0)</f>
        <v>12</v>
      </c>
      <c r="H902" s="342">
        <v>12431</v>
      </c>
    </row>
    <row r="903" spans="2:8" x14ac:dyDescent="0.25">
      <c r="B903" s="342">
        <v>12432</v>
      </c>
      <c r="C903" s="343" t="s">
        <v>563</v>
      </c>
      <c r="D903" s="343" t="str">
        <f ca="1">OFFSET('Zip Code Lines_1'!$U$3,MATCH('Zip Code Lines_1'!C903,'Zip Code Lines_1'!$Q$4:$Q$26,0),0)</f>
        <v>Poughkeepsie</v>
      </c>
      <c r="E903" s="344">
        <f ca="1">OFFSET('Zip Code Lines_1'!$W$3,MATCH('Zip Code Lines_1'!C903,'Zip Code Lines_1'!$Q$4:$Q$26,0),0)</f>
        <v>8.4</v>
      </c>
      <c r="F903" s="344">
        <f ca="1">OFFSET('Zip Code Lines_1'!$Z$3,MATCH('Zip Code Lines_1'!C903,'Zip Code Lines_1'!$Q$4:$Q$26,0),0)</f>
        <v>88.4</v>
      </c>
      <c r="G903" s="342">
        <f ca="1">OFFSET('Zip Code Lines_1'!$AC$3,MATCH('Zip Code Lines_1'!C903,'Zip Code Lines_1'!$Q$4:$Q$26,0),0)</f>
        <v>12</v>
      </c>
      <c r="H903" s="342">
        <v>12432</v>
      </c>
    </row>
    <row r="904" spans="2:8" x14ac:dyDescent="0.25">
      <c r="B904" s="342">
        <v>12433</v>
      </c>
      <c r="C904" s="343" t="s">
        <v>530</v>
      </c>
      <c r="D904" s="343" t="str">
        <f ca="1">OFFSET('Zip Code Lines_1'!$U$3,MATCH('Zip Code Lines_1'!C904,'Zip Code Lines_1'!$Q$4:$Q$26,0),0)</f>
        <v>Albany</v>
      </c>
      <c r="E904" s="344">
        <f ca="1">OFFSET('Zip Code Lines_1'!$W$3,MATCH('Zip Code Lines_1'!C904,'Zip Code Lines_1'!$Q$4:$Q$26,0),0)</f>
        <v>4.7</v>
      </c>
      <c r="F904" s="344">
        <f ca="1">OFFSET('Zip Code Lines_1'!$Z$3,MATCH('Zip Code Lines_1'!C904,'Zip Code Lines_1'!$Q$4:$Q$26,0),0)</f>
        <v>86.1</v>
      </c>
      <c r="G904" s="342">
        <f ca="1">OFFSET('Zip Code Lines_1'!$AC$3,MATCH('Zip Code Lines_1'!C904,'Zip Code Lines_1'!$Q$4:$Q$26,0),0)</f>
        <v>12</v>
      </c>
      <c r="H904" s="342">
        <v>12433</v>
      </c>
    </row>
    <row r="905" spans="2:8" x14ac:dyDescent="0.25">
      <c r="B905" s="342">
        <v>12434</v>
      </c>
      <c r="C905" s="343" t="s">
        <v>569</v>
      </c>
      <c r="D905" s="343" t="str">
        <f ca="1">OFFSET('Zip Code Lines_1'!$U$3,MATCH('Zip Code Lines_1'!C905,'Zip Code Lines_1'!$Q$4:$Q$26,0),0)</f>
        <v>Utica</v>
      </c>
      <c r="E905" s="344">
        <f ca="1">OFFSET('Zip Code Lines_1'!$W$3,MATCH('Zip Code Lines_1'!C905,'Zip Code Lines_1'!$Q$4:$Q$26,0),0)</f>
        <v>1.2</v>
      </c>
      <c r="F905" s="344">
        <f ca="1">OFFSET('Zip Code Lines_1'!$Z$3,MATCH('Zip Code Lines_1'!C905,'Zip Code Lines_1'!$Q$4:$Q$26,0),0)</f>
        <v>84.2</v>
      </c>
      <c r="G905" s="342">
        <f ca="1">OFFSET('Zip Code Lines_1'!$AC$3,MATCH('Zip Code Lines_1'!C905,'Zip Code Lines_1'!$Q$4:$Q$26,0),0)</f>
        <v>18</v>
      </c>
      <c r="H905" s="342">
        <v>12434</v>
      </c>
    </row>
    <row r="906" spans="2:8" x14ac:dyDescent="0.25">
      <c r="B906" s="342">
        <v>12435</v>
      </c>
      <c r="C906" s="343" t="s">
        <v>549</v>
      </c>
      <c r="D906" s="343" t="str">
        <f ca="1">OFFSET('Zip Code Lines_1'!$U$3,MATCH('Zip Code Lines_1'!C906,'Zip Code Lines_1'!$Q$4:$Q$26,0),0)</f>
        <v>Monticello</v>
      </c>
      <c r="E906" s="344">
        <f ca="1">OFFSET('Zip Code Lines_1'!$W$3,MATCH('Zip Code Lines_1'!C906,'Zip Code Lines_1'!$Q$4:$Q$26,0),0)</f>
        <v>4.7</v>
      </c>
      <c r="F906" s="344">
        <f ca="1">OFFSET('Zip Code Lines_1'!$Z$3,MATCH('Zip Code Lines_1'!C906,'Zip Code Lines_1'!$Q$4:$Q$26,0),0)</f>
        <v>82.5</v>
      </c>
      <c r="G906" s="342">
        <f ca="1">OFFSET('Zip Code Lines_1'!$AC$3,MATCH('Zip Code Lines_1'!C906,'Zip Code Lines_1'!$Q$4:$Q$26,0),0)</f>
        <v>12</v>
      </c>
      <c r="H906" s="342">
        <v>12435</v>
      </c>
    </row>
    <row r="907" spans="2:8" x14ac:dyDescent="0.25">
      <c r="B907" s="342">
        <v>12436</v>
      </c>
      <c r="C907" s="343" t="s">
        <v>543</v>
      </c>
      <c r="D907" s="343" t="str">
        <f ca="1">OFFSET('Zip Code Lines_1'!$U$3,MATCH('Zip Code Lines_1'!C907,'Zip Code Lines_1'!$Q$4:$Q$26,0),0)</f>
        <v xml:space="preserve">Glens Falls </v>
      </c>
      <c r="E907" s="344">
        <f ca="1">OFFSET('Zip Code Lines_1'!$W$3,MATCH('Zip Code Lines_1'!C907,'Zip Code Lines_1'!$Q$4:$Q$26,0),0)</f>
        <v>-1.8</v>
      </c>
      <c r="F907" s="344">
        <f ca="1">OFFSET('Zip Code Lines_1'!$Z$3,MATCH('Zip Code Lines_1'!C907,'Zip Code Lines_1'!$Q$4:$Q$26,0),0)</f>
        <v>84.7</v>
      </c>
      <c r="G907" s="342">
        <f ca="1">OFFSET('Zip Code Lines_1'!$AC$3,MATCH('Zip Code Lines_1'!C907,'Zip Code Lines_1'!$Q$4:$Q$26,0),0)</f>
        <v>12</v>
      </c>
      <c r="H907" s="342">
        <v>12436</v>
      </c>
    </row>
    <row r="908" spans="2:8" x14ac:dyDescent="0.25">
      <c r="B908" s="342">
        <v>12438</v>
      </c>
      <c r="C908" s="343" t="s">
        <v>569</v>
      </c>
      <c r="D908" s="343" t="str">
        <f ca="1">OFFSET('Zip Code Lines_1'!$U$3,MATCH('Zip Code Lines_1'!C908,'Zip Code Lines_1'!$Q$4:$Q$26,0),0)</f>
        <v>Utica</v>
      </c>
      <c r="E908" s="344">
        <f ca="1">OFFSET('Zip Code Lines_1'!$W$3,MATCH('Zip Code Lines_1'!C908,'Zip Code Lines_1'!$Q$4:$Q$26,0),0)</f>
        <v>1.2</v>
      </c>
      <c r="F908" s="344">
        <f ca="1">OFFSET('Zip Code Lines_1'!$Z$3,MATCH('Zip Code Lines_1'!C908,'Zip Code Lines_1'!$Q$4:$Q$26,0),0)</f>
        <v>84.2</v>
      </c>
      <c r="G908" s="342">
        <f ca="1">OFFSET('Zip Code Lines_1'!$AC$3,MATCH('Zip Code Lines_1'!C908,'Zip Code Lines_1'!$Q$4:$Q$26,0),0)</f>
        <v>18</v>
      </c>
      <c r="H908" s="342">
        <v>12438</v>
      </c>
    </row>
    <row r="909" spans="2:8" x14ac:dyDescent="0.25">
      <c r="B909" s="342">
        <v>12439</v>
      </c>
      <c r="C909" s="343" t="s">
        <v>543</v>
      </c>
      <c r="D909" s="343" t="str">
        <f ca="1">OFFSET('Zip Code Lines_1'!$U$3,MATCH('Zip Code Lines_1'!C909,'Zip Code Lines_1'!$Q$4:$Q$26,0),0)</f>
        <v xml:space="preserve">Glens Falls </v>
      </c>
      <c r="E909" s="344">
        <f ca="1">OFFSET('Zip Code Lines_1'!$W$3,MATCH('Zip Code Lines_1'!C909,'Zip Code Lines_1'!$Q$4:$Q$26,0),0)</f>
        <v>-1.8</v>
      </c>
      <c r="F909" s="344">
        <f ca="1">OFFSET('Zip Code Lines_1'!$Z$3,MATCH('Zip Code Lines_1'!C909,'Zip Code Lines_1'!$Q$4:$Q$26,0),0)</f>
        <v>84.7</v>
      </c>
      <c r="G909" s="342">
        <f ca="1">OFFSET('Zip Code Lines_1'!$AC$3,MATCH('Zip Code Lines_1'!C909,'Zip Code Lines_1'!$Q$4:$Q$26,0),0)</f>
        <v>12</v>
      </c>
      <c r="H909" s="342">
        <v>12439</v>
      </c>
    </row>
    <row r="910" spans="2:8" x14ac:dyDescent="0.25">
      <c r="B910" s="342">
        <v>12440</v>
      </c>
      <c r="C910" s="343" t="s">
        <v>563</v>
      </c>
      <c r="D910" s="343" t="str">
        <f ca="1">OFFSET('Zip Code Lines_1'!$U$3,MATCH('Zip Code Lines_1'!C910,'Zip Code Lines_1'!$Q$4:$Q$26,0),0)</f>
        <v>Poughkeepsie</v>
      </c>
      <c r="E910" s="344">
        <f ca="1">OFFSET('Zip Code Lines_1'!$W$3,MATCH('Zip Code Lines_1'!C910,'Zip Code Lines_1'!$Q$4:$Q$26,0),0)</f>
        <v>8.4</v>
      </c>
      <c r="F910" s="344">
        <f ca="1">OFFSET('Zip Code Lines_1'!$Z$3,MATCH('Zip Code Lines_1'!C910,'Zip Code Lines_1'!$Q$4:$Q$26,0),0)</f>
        <v>88.4</v>
      </c>
      <c r="G910" s="342">
        <f ca="1">OFFSET('Zip Code Lines_1'!$AC$3,MATCH('Zip Code Lines_1'!C910,'Zip Code Lines_1'!$Q$4:$Q$26,0),0)</f>
        <v>12</v>
      </c>
      <c r="H910" s="342">
        <v>12440</v>
      </c>
    </row>
    <row r="911" spans="2:8" x14ac:dyDescent="0.25">
      <c r="B911" s="342">
        <v>12441</v>
      </c>
      <c r="C911" s="343" t="s">
        <v>569</v>
      </c>
      <c r="D911" s="343" t="str">
        <f ca="1">OFFSET('Zip Code Lines_1'!$U$3,MATCH('Zip Code Lines_1'!C911,'Zip Code Lines_1'!$Q$4:$Q$26,0),0)</f>
        <v>Utica</v>
      </c>
      <c r="E911" s="344">
        <f ca="1">OFFSET('Zip Code Lines_1'!$W$3,MATCH('Zip Code Lines_1'!C911,'Zip Code Lines_1'!$Q$4:$Q$26,0),0)</f>
        <v>1.2</v>
      </c>
      <c r="F911" s="344">
        <f ca="1">OFFSET('Zip Code Lines_1'!$Z$3,MATCH('Zip Code Lines_1'!C911,'Zip Code Lines_1'!$Q$4:$Q$26,0),0)</f>
        <v>84.2</v>
      </c>
      <c r="G911" s="342">
        <f ca="1">OFFSET('Zip Code Lines_1'!$AC$3,MATCH('Zip Code Lines_1'!C911,'Zip Code Lines_1'!$Q$4:$Q$26,0),0)</f>
        <v>18</v>
      </c>
      <c r="H911" s="342">
        <v>12441</v>
      </c>
    </row>
    <row r="912" spans="2:8" x14ac:dyDescent="0.25">
      <c r="B912" s="342">
        <v>12442</v>
      </c>
      <c r="C912" s="343" t="s">
        <v>543</v>
      </c>
      <c r="D912" s="343" t="str">
        <f ca="1">OFFSET('Zip Code Lines_1'!$U$3,MATCH('Zip Code Lines_1'!C912,'Zip Code Lines_1'!$Q$4:$Q$26,0),0)</f>
        <v xml:space="preserve">Glens Falls </v>
      </c>
      <c r="E912" s="344">
        <f ca="1">OFFSET('Zip Code Lines_1'!$W$3,MATCH('Zip Code Lines_1'!C912,'Zip Code Lines_1'!$Q$4:$Q$26,0),0)</f>
        <v>-1.8</v>
      </c>
      <c r="F912" s="344">
        <f ca="1">OFFSET('Zip Code Lines_1'!$Z$3,MATCH('Zip Code Lines_1'!C912,'Zip Code Lines_1'!$Q$4:$Q$26,0),0)</f>
        <v>84.7</v>
      </c>
      <c r="G912" s="342">
        <f ca="1">OFFSET('Zip Code Lines_1'!$AC$3,MATCH('Zip Code Lines_1'!C912,'Zip Code Lines_1'!$Q$4:$Q$26,0),0)</f>
        <v>12</v>
      </c>
      <c r="H912" s="342">
        <v>12442</v>
      </c>
    </row>
    <row r="913" spans="2:8" x14ac:dyDescent="0.25">
      <c r="B913" s="342">
        <v>12443</v>
      </c>
      <c r="C913" s="343" t="s">
        <v>563</v>
      </c>
      <c r="D913" s="343" t="str">
        <f ca="1">OFFSET('Zip Code Lines_1'!$U$3,MATCH('Zip Code Lines_1'!C913,'Zip Code Lines_1'!$Q$4:$Q$26,0),0)</f>
        <v>Poughkeepsie</v>
      </c>
      <c r="E913" s="344">
        <f ca="1">OFFSET('Zip Code Lines_1'!$W$3,MATCH('Zip Code Lines_1'!C913,'Zip Code Lines_1'!$Q$4:$Q$26,0),0)</f>
        <v>8.4</v>
      </c>
      <c r="F913" s="344">
        <f ca="1">OFFSET('Zip Code Lines_1'!$Z$3,MATCH('Zip Code Lines_1'!C913,'Zip Code Lines_1'!$Q$4:$Q$26,0),0)</f>
        <v>88.4</v>
      </c>
      <c r="G913" s="342">
        <f ca="1">OFFSET('Zip Code Lines_1'!$AC$3,MATCH('Zip Code Lines_1'!C913,'Zip Code Lines_1'!$Q$4:$Q$26,0),0)</f>
        <v>12</v>
      </c>
      <c r="H913" s="342">
        <v>12443</v>
      </c>
    </row>
    <row r="914" spans="2:8" x14ac:dyDescent="0.25">
      <c r="B914" s="342">
        <v>12444</v>
      </c>
      <c r="C914" s="343" t="s">
        <v>543</v>
      </c>
      <c r="D914" s="343" t="str">
        <f ca="1">OFFSET('Zip Code Lines_1'!$U$3,MATCH('Zip Code Lines_1'!C914,'Zip Code Lines_1'!$Q$4:$Q$26,0),0)</f>
        <v xml:space="preserve">Glens Falls </v>
      </c>
      <c r="E914" s="344">
        <f ca="1">OFFSET('Zip Code Lines_1'!$W$3,MATCH('Zip Code Lines_1'!C914,'Zip Code Lines_1'!$Q$4:$Q$26,0),0)</f>
        <v>-1.8</v>
      </c>
      <c r="F914" s="344">
        <f ca="1">OFFSET('Zip Code Lines_1'!$Z$3,MATCH('Zip Code Lines_1'!C914,'Zip Code Lines_1'!$Q$4:$Q$26,0),0)</f>
        <v>84.7</v>
      </c>
      <c r="G914" s="342">
        <f ca="1">OFFSET('Zip Code Lines_1'!$AC$3,MATCH('Zip Code Lines_1'!C914,'Zip Code Lines_1'!$Q$4:$Q$26,0),0)</f>
        <v>12</v>
      </c>
      <c r="H914" s="342">
        <v>12444</v>
      </c>
    </row>
    <row r="915" spans="2:8" x14ac:dyDescent="0.25">
      <c r="B915" s="342">
        <v>12446</v>
      </c>
      <c r="C915" s="343" t="s">
        <v>563</v>
      </c>
      <c r="D915" s="343" t="str">
        <f ca="1">OFFSET('Zip Code Lines_1'!$U$3,MATCH('Zip Code Lines_1'!C915,'Zip Code Lines_1'!$Q$4:$Q$26,0),0)</f>
        <v>Poughkeepsie</v>
      </c>
      <c r="E915" s="344">
        <f ca="1">OFFSET('Zip Code Lines_1'!$W$3,MATCH('Zip Code Lines_1'!C915,'Zip Code Lines_1'!$Q$4:$Q$26,0),0)</f>
        <v>8.4</v>
      </c>
      <c r="F915" s="344">
        <f ca="1">OFFSET('Zip Code Lines_1'!$Z$3,MATCH('Zip Code Lines_1'!C915,'Zip Code Lines_1'!$Q$4:$Q$26,0),0)</f>
        <v>88.4</v>
      </c>
      <c r="G915" s="342">
        <f ca="1">OFFSET('Zip Code Lines_1'!$AC$3,MATCH('Zip Code Lines_1'!C915,'Zip Code Lines_1'!$Q$4:$Q$26,0),0)</f>
        <v>12</v>
      </c>
      <c r="H915" s="342">
        <v>12446</v>
      </c>
    </row>
    <row r="916" spans="2:8" x14ac:dyDescent="0.25">
      <c r="B916" s="342">
        <v>12448</v>
      </c>
      <c r="C916" s="343" t="s">
        <v>549</v>
      </c>
      <c r="D916" s="343" t="str">
        <f ca="1">OFFSET('Zip Code Lines_1'!$U$3,MATCH('Zip Code Lines_1'!C916,'Zip Code Lines_1'!$Q$4:$Q$26,0),0)</f>
        <v>Monticello</v>
      </c>
      <c r="E916" s="344">
        <f ca="1">OFFSET('Zip Code Lines_1'!$W$3,MATCH('Zip Code Lines_1'!C916,'Zip Code Lines_1'!$Q$4:$Q$26,0),0)</f>
        <v>4.7</v>
      </c>
      <c r="F916" s="344">
        <f ca="1">OFFSET('Zip Code Lines_1'!$Z$3,MATCH('Zip Code Lines_1'!C916,'Zip Code Lines_1'!$Q$4:$Q$26,0),0)</f>
        <v>82.5</v>
      </c>
      <c r="G916" s="342">
        <f ca="1">OFFSET('Zip Code Lines_1'!$AC$3,MATCH('Zip Code Lines_1'!C916,'Zip Code Lines_1'!$Q$4:$Q$26,0),0)</f>
        <v>12</v>
      </c>
      <c r="H916" s="342">
        <v>12448</v>
      </c>
    </row>
    <row r="917" spans="2:8" x14ac:dyDescent="0.25">
      <c r="B917" s="342">
        <v>12449</v>
      </c>
      <c r="C917" s="343" t="s">
        <v>563</v>
      </c>
      <c r="D917" s="343" t="str">
        <f ca="1">OFFSET('Zip Code Lines_1'!$U$3,MATCH('Zip Code Lines_1'!C917,'Zip Code Lines_1'!$Q$4:$Q$26,0),0)</f>
        <v>Poughkeepsie</v>
      </c>
      <c r="E917" s="344">
        <f ca="1">OFFSET('Zip Code Lines_1'!$W$3,MATCH('Zip Code Lines_1'!C917,'Zip Code Lines_1'!$Q$4:$Q$26,0),0)</f>
        <v>8.4</v>
      </c>
      <c r="F917" s="344">
        <f ca="1">OFFSET('Zip Code Lines_1'!$Z$3,MATCH('Zip Code Lines_1'!C917,'Zip Code Lines_1'!$Q$4:$Q$26,0),0)</f>
        <v>88.4</v>
      </c>
      <c r="G917" s="342">
        <f ca="1">OFFSET('Zip Code Lines_1'!$AC$3,MATCH('Zip Code Lines_1'!C917,'Zip Code Lines_1'!$Q$4:$Q$26,0),0)</f>
        <v>12</v>
      </c>
      <c r="H917" s="342">
        <v>12449</v>
      </c>
    </row>
    <row r="918" spans="2:8" x14ac:dyDescent="0.25">
      <c r="B918" s="342">
        <v>12450</v>
      </c>
      <c r="C918" s="343" t="s">
        <v>543</v>
      </c>
      <c r="D918" s="343" t="str">
        <f ca="1">OFFSET('Zip Code Lines_1'!$U$3,MATCH('Zip Code Lines_1'!C918,'Zip Code Lines_1'!$Q$4:$Q$26,0),0)</f>
        <v xml:space="preserve">Glens Falls </v>
      </c>
      <c r="E918" s="344">
        <f ca="1">OFFSET('Zip Code Lines_1'!$W$3,MATCH('Zip Code Lines_1'!C918,'Zip Code Lines_1'!$Q$4:$Q$26,0),0)</f>
        <v>-1.8</v>
      </c>
      <c r="F918" s="344">
        <f ca="1">OFFSET('Zip Code Lines_1'!$Z$3,MATCH('Zip Code Lines_1'!C918,'Zip Code Lines_1'!$Q$4:$Q$26,0),0)</f>
        <v>84.7</v>
      </c>
      <c r="G918" s="342">
        <f ca="1">OFFSET('Zip Code Lines_1'!$AC$3,MATCH('Zip Code Lines_1'!C918,'Zip Code Lines_1'!$Q$4:$Q$26,0),0)</f>
        <v>12</v>
      </c>
      <c r="H918" s="342">
        <v>12450</v>
      </c>
    </row>
    <row r="919" spans="2:8" x14ac:dyDescent="0.25">
      <c r="B919" s="342">
        <v>12451</v>
      </c>
      <c r="C919" s="343" t="s">
        <v>530</v>
      </c>
      <c r="D919" s="343" t="str">
        <f ca="1">OFFSET('Zip Code Lines_1'!$U$3,MATCH('Zip Code Lines_1'!C919,'Zip Code Lines_1'!$Q$4:$Q$26,0),0)</f>
        <v>Albany</v>
      </c>
      <c r="E919" s="344">
        <f ca="1">OFFSET('Zip Code Lines_1'!$W$3,MATCH('Zip Code Lines_1'!C919,'Zip Code Lines_1'!$Q$4:$Q$26,0),0)</f>
        <v>4.7</v>
      </c>
      <c r="F919" s="344">
        <f ca="1">OFFSET('Zip Code Lines_1'!$Z$3,MATCH('Zip Code Lines_1'!C919,'Zip Code Lines_1'!$Q$4:$Q$26,0),0)</f>
        <v>86.1</v>
      </c>
      <c r="G919" s="342">
        <f ca="1">OFFSET('Zip Code Lines_1'!$AC$3,MATCH('Zip Code Lines_1'!C919,'Zip Code Lines_1'!$Q$4:$Q$26,0),0)</f>
        <v>12</v>
      </c>
      <c r="H919" s="342">
        <v>12451</v>
      </c>
    </row>
    <row r="920" spans="2:8" x14ac:dyDescent="0.25">
      <c r="B920" s="342">
        <v>12452</v>
      </c>
      <c r="C920" s="343" t="s">
        <v>569</v>
      </c>
      <c r="D920" s="343" t="str">
        <f ca="1">OFFSET('Zip Code Lines_1'!$U$3,MATCH('Zip Code Lines_1'!C920,'Zip Code Lines_1'!$Q$4:$Q$26,0),0)</f>
        <v>Utica</v>
      </c>
      <c r="E920" s="344">
        <f ca="1">OFFSET('Zip Code Lines_1'!$W$3,MATCH('Zip Code Lines_1'!C920,'Zip Code Lines_1'!$Q$4:$Q$26,0),0)</f>
        <v>1.2</v>
      </c>
      <c r="F920" s="344">
        <f ca="1">OFFSET('Zip Code Lines_1'!$Z$3,MATCH('Zip Code Lines_1'!C920,'Zip Code Lines_1'!$Q$4:$Q$26,0),0)</f>
        <v>84.2</v>
      </c>
      <c r="G920" s="342">
        <f ca="1">OFFSET('Zip Code Lines_1'!$AC$3,MATCH('Zip Code Lines_1'!C920,'Zip Code Lines_1'!$Q$4:$Q$26,0),0)</f>
        <v>18</v>
      </c>
      <c r="H920" s="342">
        <v>12452</v>
      </c>
    </row>
    <row r="921" spans="2:8" x14ac:dyDescent="0.25">
      <c r="B921" s="342">
        <v>12453</v>
      </c>
      <c r="C921" s="343" t="s">
        <v>563</v>
      </c>
      <c r="D921" s="343" t="str">
        <f ca="1">OFFSET('Zip Code Lines_1'!$U$3,MATCH('Zip Code Lines_1'!C921,'Zip Code Lines_1'!$Q$4:$Q$26,0),0)</f>
        <v>Poughkeepsie</v>
      </c>
      <c r="E921" s="344">
        <f ca="1">OFFSET('Zip Code Lines_1'!$W$3,MATCH('Zip Code Lines_1'!C921,'Zip Code Lines_1'!$Q$4:$Q$26,0),0)</f>
        <v>8.4</v>
      </c>
      <c r="F921" s="344">
        <f ca="1">OFFSET('Zip Code Lines_1'!$Z$3,MATCH('Zip Code Lines_1'!C921,'Zip Code Lines_1'!$Q$4:$Q$26,0),0)</f>
        <v>88.4</v>
      </c>
      <c r="G921" s="342">
        <f ca="1">OFFSET('Zip Code Lines_1'!$AC$3,MATCH('Zip Code Lines_1'!C921,'Zip Code Lines_1'!$Q$4:$Q$26,0),0)</f>
        <v>12</v>
      </c>
      <c r="H921" s="342">
        <v>12453</v>
      </c>
    </row>
    <row r="922" spans="2:8" x14ac:dyDescent="0.25">
      <c r="B922" s="342">
        <v>12454</v>
      </c>
      <c r="C922" s="343" t="s">
        <v>543</v>
      </c>
      <c r="D922" s="343" t="str">
        <f ca="1">OFFSET('Zip Code Lines_1'!$U$3,MATCH('Zip Code Lines_1'!C922,'Zip Code Lines_1'!$Q$4:$Q$26,0),0)</f>
        <v xml:space="preserve">Glens Falls </v>
      </c>
      <c r="E922" s="344">
        <f ca="1">OFFSET('Zip Code Lines_1'!$W$3,MATCH('Zip Code Lines_1'!C922,'Zip Code Lines_1'!$Q$4:$Q$26,0),0)</f>
        <v>-1.8</v>
      </c>
      <c r="F922" s="344">
        <f ca="1">OFFSET('Zip Code Lines_1'!$Z$3,MATCH('Zip Code Lines_1'!C922,'Zip Code Lines_1'!$Q$4:$Q$26,0),0)</f>
        <v>84.7</v>
      </c>
      <c r="G922" s="342">
        <f ca="1">OFFSET('Zip Code Lines_1'!$AC$3,MATCH('Zip Code Lines_1'!C922,'Zip Code Lines_1'!$Q$4:$Q$26,0),0)</f>
        <v>12</v>
      </c>
      <c r="H922" s="342">
        <v>12454</v>
      </c>
    </row>
    <row r="923" spans="2:8" x14ac:dyDescent="0.25">
      <c r="B923" s="342">
        <v>12455</v>
      </c>
      <c r="C923" s="343" t="s">
        <v>569</v>
      </c>
      <c r="D923" s="343" t="str">
        <f ca="1">OFFSET('Zip Code Lines_1'!$U$3,MATCH('Zip Code Lines_1'!C923,'Zip Code Lines_1'!$Q$4:$Q$26,0),0)</f>
        <v>Utica</v>
      </c>
      <c r="E923" s="344">
        <f ca="1">OFFSET('Zip Code Lines_1'!$W$3,MATCH('Zip Code Lines_1'!C923,'Zip Code Lines_1'!$Q$4:$Q$26,0),0)</f>
        <v>1.2</v>
      </c>
      <c r="F923" s="344">
        <f ca="1">OFFSET('Zip Code Lines_1'!$Z$3,MATCH('Zip Code Lines_1'!C923,'Zip Code Lines_1'!$Q$4:$Q$26,0),0)</f>
        <v>84.2</v>
      </c>
      <c r="G923" s="342">
        <f ca="1">OFFSET('Zip Code Lines_1'!$AC$3,MATCH('Zip Code Lines_1'!C923,'Zip Code Lines_1'!$Q$4:$Q$26,0),0)</f>
        <v>18</v>
      </c>
      <c r="H923" s="342">
        <v>12455</v>
      </c>
    </row>
    <row r="924" spans="2:8" x14ac:dyDescent="0.25">
      <c r="B924" s="342">
        <v>12456</v>
      </c>
      <c r="C924" s="343" t="s">
        <v>563</v>
      </c>
      <c r="D924" s="343" t="str">
        <f ca="1">OFFSET('Zip Code Lines_1'!$U$3,MATCH('Zip Code Lines_1'!C924,'Zip Code Lines_1'!$Q$4:$Q$26,0),0)</f>
        <v>Poughkeepsie</v>
      </c>
      <c r="E924" s="344">
        <f ca="1">OFFSET('Zip Code Lines_1'!$W$3,MATCH('Zip Code Lines_1'!C924,'Zip Code Lines_1'!$Q$4:$Q$26,0),0)</f>
        <v>8.4</v>
      </c>
      <c r="F924" s="344">
        <f ca="1">OFFSET('Zip Code Lines_1'!$Z$3,MATCH('Zip Code Lines_1'!C924,'Zip Code Lines_1'!$Q$4:$Q$26,0),0)</f>
        <v>88.4</v>
      </c>
      <c r="G924" s="342">
        <f ca="1">OFFSET('Zip Code Lines_1'!$AC$3,MATCH('Zip Code Lines_1'!C924,'Zip Code Lines_1'!$Q$4:$Q$26,0),0)</f>
        <v>12</v>
      </c>
      <c r="H924" s="342">
        <v>12456</v>
      </c>
    </row>
    <row r="925" spans="2:8" x14ac:dyDescent="0.25">
      <c r="B925" s="342">
        <v>12457</v>
      </c>
      <c r="C925" s="343" t="s">
        <v>549</v>
      </c>
      <c r="D925" s="343" t="str">
        <f ca="1">OFFSET('Zip Code Lines_1'!$U$3,MATCH('Zip Code Lines_1'!C925,'Zip Code Lines_1'!$Q$4:$Q$26,0),0)</f>
        <v>Monticello</v>
      </c>
      <c r="E925" s="344">
        <f ca="1">OFFSET('Zip Code Lines_1'!$W$3,MATCH('Zip Code Lines_1'!C925,'Zip Code Lines_1'!$Q$4:$Q$26,0),0)</f>
        <v>4.7</v>
      </c>
      <c r="F925" s="344">
        <f ca="1">OFFSET('Zip Code Lines_1'!$Z$3,MATCH('Zip Code Lines_1'!C925,'Zip Code Lines_1'!$Q$4:$Q$26,0),0)</f>
        <v>82.5</v>
      </c>
      <c r="G925" s="342">
        <f ca="1">OFFSET('Zip Code Lines_1'!$AC$3,MATCH('Zip Code Lines_1'!C925,'Zip Code Lines_1'!$Q$4:$Q$26,0),0)</f>
        <v>12</v>
      </c>
      <c r="H925" s="342">
        <v>12457</v>
      </c>
    </row>
    <row r="926" spans="2:8" x14ac:dyDescent="0.25">
      <c r="B926" s="342">
        <v>12458</v>
      </c>
      <c r="C926" s="343" t="s">
        <v>549</v>
      </c>
      <c r="D926" s="343" t="str">
        <f ca="1">OFFSET('Zip Code Lines_1'!$U$3,MATCH('Zip Code Lines_1'!C926,'Zip Code Lines_1'!$Q$4:$Q$26,0),0)</f>
        <v>Monticello</v>
      </c>
      <c r="E926" s="344">
        <f ca="1">OFFSET('Zip Code Lines_1'!$W$3,MATCH('Zip Code Lines_1'!C926,'Zip Code Lines_1'!$Q$4:$Q$26,0),0)</f>
        <v>4.7</v>
      </c>
      <c r="F926" s="344">
        <f ca="1">OFFSET('Zip Code Lines_1'!$Z$3,MATCH('Zip Code Lines_1'!C926,'Zip Code Lines_1'!$Q$4:$Q$26,0),0)</f>
        <v>82.5</v>
      </c>
      <c r="G926" s="342">
        <f ca="1">OFFSET('Zip Code Lines_1'!$AC$3,MATCH('Zip Code Lines_1'!C926,'Zip Code Lines_1'!$Q$4:$Q$26,0),0)</f>
        <v>12</v>
      </c>
      <c r="H926" s="342">
        <v>12458</v>
      </c>
    </row>
    <row r="927" spans="2:8" x14ac:dyDescent="0.25">
      <c r="B927" s="342">
        <v>12459</v>
      </c>
      <c r="C927" s="343" t="s">
        <v>569</v>
      </c>
      <c r="D927" s="343" t="str">
        <f ca="1">OFFSET('Zip Code Lines_1'!$U$3,MATCH('Zip Code Lines_1'!C927,'Zip Code Lines_1'!$Q$4:$Q$26,0),0)</f>
        <v>Utica</v>
      </c>
      <c r="E927" s="344">
        <f ca="1">OFFSET('Zip Code Lines_1'!$W$3,MATCH('Zip Code Lines_1'!C927,'Zip Code Lines_1'!$Q$4:$Q$26,0),0)</f>
        <v>1.2</v>
      </c>
      <c r="F927" s="344">
        <f ca="1">OFFSET('Zip Code Lines_1'!$Z$3,MATCH('Zip Code Lines_1'!C927,'Zip Code Lines_1'!$Q$4:$Q$26,0),0)</f>
        <v>84.2</v>
      </c>
      <c r="G927" s="342">
        <f ca="1">OFFSET('Zip Code Lines_1'!$AC$3,MATCH('Zip Code Lines_1'!C927,'Zip Code Lines_1'!$Q$4:$Q$26,0),0)</f>
        <v>18</v>
      </c>
      <c r="H927" s="342">
        <v>12459</v>
      </c>
    </row>
    <row r="928" spans="2:8" x14ac:dyDescent="0.25">
      <c r="B928" s="342">
        <v>12460</v>
      </c>
      <c r="C928" s="343" t="s">
        <v>543</v>
      </c>
      <c r="D928" s="343" t="str">
        <f ca="1">OFFSET('Zip Code Lines_1'!$U$3,MATCH('Zip Code Lines_1'!C928,'Zip Code Lines_1'!$Q$4:$Q$26,0),0)</f>
        <v xml:space="preserve">Glens Falls </v>
      </c>
      <c r="E928" s="344">
        <f ca="1">OFFSET('Zip Code Lines_1'!$W$3,MATCH('Zip Code Lines_1'!C928,'Zip Code Lines_1'!$Q$4:$Q$26,0),0)</f>
        <v>-1.8</v>
      </c>
      <c r="F928" s="344">
        <f ca="1">OFFSET('Zip Code Lines_1'!$Z$3,MATCH('Zip Code Lines_1'!C928,'Zip Code Lines_1'!$Q$4:$Q$26,0),0)</f>
        <v>84.7</v>
      </c>
      <c r="G928" s="342">
        <f ca="1">OFFSET('Zip Code Lines_1'!$AC$3,MATCH('Zip Code Lines_1'!C928,'Zip Code Lines_1'!$Q$4:$Q$26,0),0)</f>
        <v>12</v>
      </c>
      <c r="H928" s="342">
        <v>12460</v>
      </c>
    </row>
    <row r="929" spans="2:8" x14ac:dyDescent="0.25">
      <c r="B929" s="342">
        <v>12461</v>
      </c>
      <c r="C929" s="343" t="s">
        <v>549</v>
      </c>
      <c r="D929" s="343" t="str">
        <f ca="1">OFFSET('Zip Code Lines_1'!$U$3,MATCH('Zip Code Lines_1'!C929,'Zip Code Lines_1'!$Q$4:$Q$26,0),0)</f>
        <v>Monticello</v>
      </c>
      <c r="E929" s="344">
        <f ca="1">OFFSET('Zip Code Lines_1'!$W$3,MATCH('Zip Code Lines_1'!C929,'Zip Code Lines_1'!$Q$4:$Q$26,0),0)</f>
        <v>4.7</v>
      </c>
      <c r="F929" s="344">
        <f ca="1">OFFSET('Zip Code Lines_1'!$Z$3,MATCH('Zip Code Lines_1'!C929,'Zip Code Lines_1'!$Q$4:$Q$26,0),0)</f>
        <v>82.5</v>
      </c>
      <c r="G929" s="342">
        <f ca="1">OFFSET('Zip Code Lines_1'!$AC$3,MATCH('Zip Code Lines_1'!C929,'Zip Code Lines_1'!$Q$4:$Q$26,0),0)</f>
        <v>12</v>
      </c>
      <c r="H929" s="342">
        <v>12461</v>
      </c>
    </row>
    <row r="930" spans="2:8" x14ac:dyDescent="0.25">
      <c r="B930" s="342">
        <v>12463</v>
      </c>
      <c r="C930" s="343" t="s">
        <v>543</v>
      </c>
      <c r="D930" s="343" t="str">
        <f ca="1">OFFSET('Zip Code Lines_1'!$U$3,MATCH('Zip Code Lines_1'!C930,'Zip Code Lines_1'!$Q$4:$Q$26,0),0)</f>
        <v xml:space="preserve">Glens Falls </v>
      </c>
      <c r="E930" s="344">
        <f ca="1">OFFSET('Zip Code Lines_1'!$W$3,MATCH('Zip Code Lines_1'!C930,'Zip Code Lines_1'!$Q$4:$Q$26,0),0)</f>
        <v>-1.8</v>
      </c>
      <c r="F930" s="344">
        <f ca="1">OFFSET('Zip Code Lines_1'!$Z$3,MATCH('Zip Code Lines_1'!C930,'Zip Code Lines_1'!$Q$4:$Q$26,0),0)</f>
        <v>84.7</v>
      </c>
      <c r="G930" s="342">
        <f ca="1">OFFSET('Zip Code Lines_1'!$AC$3,MATCH('Zip Code Lines_1'!C930,'Zip Code Lines_1'!$Q$4:$Q$26,0),0)</f>
        <v>12</v>
      </c>
      <c r="H930" s="342">
        <v>12463</v>
      </c>
    </row>
    <row r="931" spans="2:8" x14ac:dyDescent="0.25">
      <c r="B931" s="342">
        <v>12464</v>
      </c>
      <c r="C931" s="343" t="s">
        <v>549</v>
      </c>
      <c r="D931" s="343" t="str">
        <f ca="1">OFFSET('Zip Code Lines_1'!$U$3,MATCH('Zip Code Lines_1'!C931,'Zip Code Lines_1'!$Q$4:$Q$26,0),0)</f>
        <v>Monticello</v>
      </c>
      <c r="E931" s="344">
        <f ca="1">OFFSET('Zip Code Lines_1'!$W$3,MATCH('Zip Code Lines_1'!C931,'Zip Code Lines_1'!$Q$4:$Q$26,0),0)</f>
        <v>4.7</v>
      </c>
      <c r="F931" s="344">
        <f ca="1">OFFSET('Zip Code Lines_1'!$Z$3,MATCH('Zip Code Lines_1'!C931,'Zip Code Lines_1'!$Q$4:$Q$26,0),0)</f>
        <v>82.5</v>
      </c>
      <c r="G931" s="342">
        <f ca="1">OFFSET('Zip Code Lines_1'!$AC$3,MATCH('Zip Code Lines_1'!C931,'Zip Code Lines_1'!$Q$4:$Q$26,0),0)</f>
        <v>12</v>
      </c>
      <c r="H931" s="342">
        <v>12464</v>
      </c>
    </row>
    <row r="932" spans="2:8" x14ac:dyDescent="0.25">
      <c r="B932" s="342">
        <v>12465</v>
      </c>
      <c r="C932" s="343" t="s">
        <v>569</v>
      </c>
      <c r="D932" s="343" t="str">
        <f ca="1">OFFSET('Zip Code Lines_1'!$U$3,MATCH('Zip Code Lines_1'!C932,'Zip Code Lines_1'!$Q$4:$Q$26,0),0)</f>
        <v>Utica</v>
      </c>
      <c r="E932" s="344">
        <f ca="1">OFFSET('Zip Code Lines_1'!$W$3,MATCH('Zip Code Lines_1'!C932,'Zip Code Lines_1'!$Q$4:$Q$26,0),0)</f>
        <v>1.2</v>
      </c>
      <c r="F932" s="344">
        <f ca="1">OFFSET('Zip Code Lines_1'!$Z$3,MATCH('Zip Code Lines_1'!C932,'Zip Code Lines_1'!$Q$4:$Q$26,0),0)</f>
        <v>84.2</v>
      </c>
      <c r="G932" s="342">
        <f ca="1">OFFSET('Zip Code Lines_1'!$AC$3,MATCH('Zip Code Lines_1'!C932,'Zip Code Lines_1'!$Q$4:$Q$26,0),0)</f>
        <v>18</v>
      </c>
      <c r="H932" s="342">
        <v>12465</v>
      </c>
    </row>
    <row r="933" spans="2:8" x14ac:dyDescent="0.25">
      <c r="B933" s="342">
        <v>12466</v>
      </c>
      <c r="C933" s="343" t="s">
        <v>563</v>
      </c>
      <c r="D933" s="343" t="str">
        <f ca="1">OFFSET('Zip Code Lines_1'!$U$3,MATCH('Zip Code Lines_1'!C933,'Zip Code Lines_1'!$Q$4:$Q$26,0),0)</f>
        <v>Poughkeepsie</v>
      </c>
      <c r="E933" s="344">
        <f ca="1">OFFSET('Zip Code Lines_1'!$W$3,MATCH('Zip Code Lines_1'!C933,'Zip Code Lines_1'!$Q$4:$Q$26,0),0)</f>
        <v>8.4</v>
      </c>
      <c r="F933" s="344">
        <f ca="1">OFFSET('Zip Code Lines_1'!$Z$3,MATCH('Zip Code Lines_1'!C933,'Zip Code Lines_1'!$Q$4:$Q$26,0),0)</f>
        <v>88.4</v>
      </c>
      <c r="G933" s="342">
        <f ca="1">OFFSET('Zip Code Lines_1'!$AC$3,MATCH('Zip Code Lines_1'!C933,'Zip Code Lines_1'!$Q$4:$Q$26,0),0)</f>
        <v>12</v>
      </c>
      <c r="H933" s="342">
        <v>12466</v>
      </c>
    </row>
    <row r="934" spans="2:8" x14ac:dyDescent="0.25">
      <c r="B934" s="342">
        <v>12468</v>
      </c>
      <c r="C934" s="343" t="s">
        <v>569</v>
      </c>
      <c r="D934" s="343" t="str">
        <f ca="1">OFFSET('Zip Code Lines_1'!$U$3,MATCH('Zip Code Lines_1'!C934,'Zip Code Lines_1'!$Q$4:$Q$26,0),0)</f>
        <v>Utica</v>
      </c>
      <c r="E934" s="344">
        <f ca="1">OFFSET('Zip Code Lines_1'!$W$3,MATCH('Zip Code Lines_1'!C934,'Zip Code Lines_1'!$Q$4:$Q$26,0),0)</f>
        <v>1.2</v>
      </c>
      <c r="F934" s="344">
        <f ca="1">OFFSET('Zip Code Lines_1'!$Z$3,MATCH('Zip Code Lines_1'!C934,'Zip Code Lines_1'!$Q$4:$Q$26,0),0)</f>
        <v>84.2</v>
      </c>
      <c r="G934" s="342">
        <f ca="1">OFFSET('Zip Code Lines_1'!$AC$3,MATCH('Zip Code Lines_1'!C934,'Zip Code Lines_1'!$Q$4:$Q$26,0),0)</f>
        <v>18</v>
      </c>
      <c r="H934" s="342">
        <v>12468</v>
      </c>
    </row>
    <row r="935" spans="2:8" x14ac:dyDescent="0.25">
      <c r="B935" s="342">
        <v>12469</v>
      </c>
      <c r="C935" s="343" t="s">
        <v>543</v>
      </c>
      <c r="D935" s="343" t="str">
        <f ca="1">OFFSET('Zip Code Lines_1'!$U$3,MATCH('Zip Code Lines_1'!C935,'Zip Code Lines_1'!$Q$4:$Q$26,0),0)</f>
        <v xml:space="preserve">Glens Falls </v>
      </c>
      <c r="E935" s="344">
        <f ca="1">OFFSET('Zip Code Lines_1'!$W$3,MATCH('Zip Code Lines_1'!C935,'Zip Code Lines_1'!$Q$4:$Q$26,0),0)</f>
        <v>-1.8</v>
      </c>
      <c r="F935" s="344">
        <f ca="1">OFFSET('Zip Code Lines_1'!$Z$3,MATCH('Zip Code Lines_1'!C935,'Zip Code Lines_1'!$Q$4:$Q$26,0),0)</f>
        <v>84.7</v>
      </c>
      <c r="G935" s="342">
        <f ca="1">OFFSET('Zip Code Lines_1'!$AC$3,MATCH('Zip Code Lines_1'!C935,'Zip Code Lines_1'!$Q$4:$Q$26,0),0)</f>
        <v>12</v>
      </c>
      <c r="H935" s="342">
        <v>12469</v>
      </c>
    </row>
    <row r="936" spans="2:8" x14ac:dyDescent="0.25">
      <c r="B936" s="342">
        <v>12470</v>
      </c>
      <c r="C936" s="343" t="s">
        <v>530</v>
      </c>
      <c r="D936" s="343" t="str">
        <f ca="1">OFFSET('Zip Code Lines_1'!$U$3,MATCH('Zip Code Lines_1'!C936,'Zip Code Lines_1'!$Q$4:$Q$26,0),0)</f>
        <v>Albany</v>
      </c>
      <c r="E936" s="344">
        <f ca="1">OFFSET('Zip Code Lines_1'!$W$3,MATCH('Zip Code Lines_1'!C936,'Zip Code Lines_1'!$Q$4:$Q$26,0),0)</f>
        <v>4.7</v>
      </c>
      <c r="F936" s="344">
        <f ca="1">OFFSET('Zip Code Lines_1'!$Z$3,MATCH('Zip Code Lines_1'!C936,'Zip Code Lines_1'!$Q$4:$Q$26,0),0)</f>
        <v>86.1</v>
      </c>
      <c r="G936" s="342">
        <f ca="1">OFFSET('Zip Code Lines_1'!$AC$3,MATCH('Zip Code Lines_1'!C936,'Zip Code Lines_1'!$Q$4:$Q$26,0),0)</f>
        <v>12</v>
      </c>
      <c r="H936" s="342">
        <v>12470</v>
      </c>
    </row>
    <row r="937" spans="2:8" x14ac:dyDescent="0.25">
      <c r="B937" s="342">
        <v>12471</v>
      </c>
      <c r="C937" s="343" t="s">
        <v>563</v>
      </c>
      <c r="D937" s="343" t="str">
        <f ca="1">OFFSET('Zip Code Lines_1'!$U$3,MATCH('Zip Code Lines_1'!C937,'Zip Code Lines_1'!$Q$4:$Q$26,0),0)</f>
        <v>Poughkeepsie</v>
      </c>
      <c r="E937" s="344">
        <f ca="1">OFFSET('Zip Code Lines_1'!$W$3,MATCH('Zip Code Lines_1'!C937,'Zip Code Lines_1'!$Q$4:$Q$26,0),0)</f>
        <v>8.4</v>
      </c>
      <c r="F937" s="344">
        <f ca="1">OFFSET('Zip Code Lines_1'!$Z$3,MATCH('Zip Code Lines_1'!C937,'Zip Code Lines_1'!$Q$4:$Q$26,0),0)</f>
        <v>88.4</v>
      </c>
      <c r="G937" s="342">
        <f ca="1">OFFSET('Zip Code Lines_1'!$AC$3,MATCH('Zip Code Lines_1'!C937,'Zip Code Lines_1'!$Q$4:$Q$26,0),0)</f>
        <v>12</v>
      </c>
      <c r="H937" s="342">
        <v>12471</v>
      </c>
    </row>
    <row r="938" spans="2:8" x14ac:dyDescent="0.25">
      <c r="B938" s="342">
        <v>12472</v>
      </c>
      <c r="C938" s="343" t="s">
        <v>563</v>
      </c>
      <c r="D938" s="343" t="str">
        <f ca="1">OFFSET('Zip Code Lines_1'!$U$3,MATCH('Zip Code Lines_1'!C938,'Zip Code Lines_1'!$Q$4:$Q$26,0),0)</f>
        <v>Poughkeepsie</v>
      </c>
      <c r="E938" s="344">
        <f ca="1">OFFSET('Zip Code Lines_1'!$W$3,MATCH('Zip Code Lines_1'!C938,'Zip Code Lines_1'!$Q$4:$Q$26,0),0)</f>
        <v>8.4</v>
      </c>
      <c r="F938" s="344">
        <f ca="1">OFFSET('Zip Code Lines_1'!$Z$3,MATCH('Zip Code Lines_1'!C938,'Zip Code Lines_1'!$Q$4:$Q$26,0),0)</f>
        <v>88.4</v>
      </c>
      <c r="G938" s="342">
        <f ca="1">OFFSET('Zip Code Lines_1'!$AC$3,MATCH('Zip Code Lines_1'!C938,'Zip Code Lines_1'!$Q$4:$Q$26,0),0)</f>
        <v>12</v>
      </c>
      <c r="H938" s="342">
        <v>12472</v>
      </c>
    </row>
    <row r="939" spans="2:8" x14ac:dyDescent="0.25">
      <c r="B939" s="342">
        <v>12473</v>
      </c>
      <c r="C939" s="343" t="s">
        <v>543</v>
      </c>
      <c r="D939" s="343" t="str">
        <f ca="1">OFFSET('Zip Code Lines_1'!$U$3,MATCH('Zip Code Lines_1'!C939,'Zip Code Lines_1'!$Q$4:$Q$26,0),0)</f>
        <v xml:space="preserve">Glens Falls </v>
      </c>
      <c r="E939" s="344">
        <f ca="1">OFFSET('Zip Code Lines_1'!$W$3,MATCH('Zip Code Lines_1'!C939,'Zip Code Lines_1'!$Q$4:$Q$26,0),0)</f>
        <v>-1.8</v>
      </c>
      <c r="F939" s="344">
        <f ca="1">OFFSET('Zip Code Lines_1'!$Z$3,MATCH('Zip Code Lines_1'!C939,'Zip Code Lines_1'!$Q$4:$Q$26,0),0)</f>
        <v>84.7</v>
      </c>
      <c r="G939" s="342">
        <f ca="1">OFFSET('Zip Code Lines_1'!$AC$3,MATCH('Zip Code Lines_1'!C939,'Zip Code Lines_1'!$Q$4:$Q$26,0),0)</f>
        <v>12</v>
      </c>
      <c r="H939" s="342">
        <v>12473</v>
      </c>
    </row>
    <row r="940" spans="2:8" x14ac:dyDescent="0.25">
      <c r="B940" s="342">
        <v>12474</v>
      </c>
      <c r="C940" s="343" t="s">
        <v>569</v>
      </c>
      <c r="D940" s="343" t="str">
        <f ca="1">OFFSET('Zip Code Lines_1'!$U$3,MATCH('Zip Code Lines_1'!C940,'Zip Code Lines_1'!$Q$4:$Q$26,0),0)</f>
        <v>Utica</v>
      </c>
      <c r="E940" s="344">
        <f ca="1">OFFSET('Zip Code Lines_1'!$W$3,MATCH('Zip Code Lines_1'!C940,'Zip Code Lines_1'!$Q$4:$Q$26,0),0)</f>
        <v>1.2</v>
      </c>
      <c r="F940" s="344">
        <f ca="1">OFFSET('Zip Code Lines_1'!$Z$3,MATCH('Zip Code Lines_1'!C940,'Zip Code Lines_1'!$Q$4:$Q$26,0),0)</f>
        <v>84.2</v>
      </c>
      <c r="G940" s="342">
        <f ca="1">OFFSET('Zip Code Lines_1'!$AC$3,MATCH('Zip Code Lines_1'!C940,'Zip Code Lines_1'!$Q$4:$Q$26,0),0)</f>
        <v>18</v>
      </c>
      <c r="H940" s="342">
        <v>12474</v>
      </c>
    </row>
    <row r="941" spans="2:8" x14ac:dyDescent="0.25">
      <c r="B941" s="342">
        <v>12475</v>
      </c>
      <c r="C941" s="343" t="s">
        <v>563</v>
      </c>
      <c r="D941" s="343" t="str">
        <f ca="1">OFFSET('Zip Code Lines_1'!$U$3,MATCH('Zip Code Lines_1'!C941,'Zip Code Lines_1'!$Q$4:$Q$26,0),0)</f>
        <v>Poughkeepsie</v>
      </c>
      <c r="E941" s="344">
        <f ca="1">OFFSET('Zip Code Lines_1'!$W$3,MATCH('Zip Code Lines_1'!C941,'Zip Code Lines_1'!$Q$4:$Q$26,0),0)</f>
        <v>8.4</v>
      </c>
      <c r="F941" s="344">
        <f ca="1">OFFSET('Zip Code Lines_1'!$Z$3,MATCH('Zip Code Lines_1'!C941,'Zip Code Lines_1'!$Q$4:$Q$26,0),0)</f>
        <v>88.4</v>
      </c>
      <c r="G941" s="342">
        <f ca="1">OFFSET('Zip Code Lines_1'!$AC$3,MATCH('Zip Code Lines_1'!C941,'Zip Code Lines_1'!$Q$4:$Q$26,0),0)</f>
        <v>12</v>
      </c>
      <c r="H941" s="342">
        <v>12475</v>
      </c>
    </row>
    <row r="942" spans="2:8" x14ac:dyDescent="0.25">
      <c r="B942" s="342">
        <v>12477</v>
      </c>
      <c r="C942" s="343" t="s">
        <v>530</v>
      </c>
      <c r="D942" s="343" t="str">
        <f ca="1">OFFSET('Zip Code Lines_1'!$U$3,MATCH('Zip Code Lines_1'!C942,'Zip Code Lines_1'!$Q$4:$Q$26,0),0)</f>
        <v>Albany</v>
      </c>
      <c r="E942" s="344">
        <f ca="1">OFFSET('Zip Code Lines_1'!$W$3,MATCH('Zip Code Lines_1'!C942,'Zip Code Lines_1'!$Q$4:$Q$26,0),0)</f>
        <v>4.7</v>
      </c>
      <c r="F942" s="344">
        <f ca="1">OFFSET('Zip Code Lines_1'!$Z$3,MATCH('Zip Code Lines_1'!C942,'Zip Code Lines_1'!$Q$4:$Q$26,0),0)</f>
        <v>86.1</v>
      </c>
      <c r="G942" s="342">
        <f ca="1">OFFSET('Zip Code Lines_1'!$AC$3,MATCH('Zip Code Lines_1'!C942,'Zip Code Lines_1'!$Q$4:$Q$26,0),0)</f>
        <v>12</v>
      </c>
      <c r="H942" s="342">
        <v>12477</v>
      </c>
    </row>
    <row r="943" spans="2:8" x14ac:dyDescent="0.25">
      <c r="B943" s="342">
        <v>12480</v>
      </c>
      <c r="C943" s="343" t="s">
        <v>549</v>
      </c>
      <c r="D943" s="343" t="str">
        <f ca="1">OFFSET('Zip Code Lines_1'!$U$3,MATCH('Zip Code Lines_1'!C943,'Zip Code Lines_1'!$Q$4:$Q$26,0),0)</f>
        <v>Monticello</v>
      </c>
      <c r="E943" s="344">
        <f ca="1">OFFSET('Zip Code Lines_1'!$W$3,MATCH('Zip Code Lines_1'!C943,'Zip Code Lines_1'!$Q$4:$Q$26,0),0)</f>
        <v>4.7</v>
      </c>
      <c r="F943" s="344">
        <f ca="1">OFFSET('Zip Code Lines_1'!$Z$3,MATCH('Zip Code Lines_1'!C943,'Zip Code Lines_1'!$Q$4:$Q$26,0),0)</f>
        <v>82.5</v>
      </c>
      <c r="G943" s="342">
        <f ca="1">OFFSET('Zip Code Lines_1'!$AC$3,MATCH('Zip Code Lines_1'!C943,'Zip Code Lines_1'!$Q$4:$Q$26,0),0)</f>
        <v>12</v>
      </c>
      <c r="H943" s="342">
        <v>12480</v>
      </c>
    </row>
    <row r="944" spans="2:8" x14ac:dyDescent="0.25">
      <c r="B944" s="342">
        <v>12481</v>
      </c>
      <c r="C944" s="343" t="s">
        <v>549</v>
      </c>
      <c r="D944" s="343" t="str">
        <f ca="1">OFFSET('Zip Code Lines_1'!$U$3,MATCH('Zip Code Lines_1'!C944,'Zip Code Lines_1'!$Q$4:$Q$26,0),0)</f>
        <v>Monticello</v>
      </c>
      <c r="E944" s="344">
        <f ca="1">OFFSET('Zip Code Lines_1'!$W$3,MATCH('Zip Code Lines_1'!C944,'Zip Code Lines_1'!$Q$4:$Q$26,0),0)</f>
        <v>4.7</v>
      </c>
      <c r="F944" s="344">
        <f ca="1">OFFSET('Zip Code Lines_1'!$Z$3,MATCH('Zip Code Lines_1'!C944,'Zip Code Lines_1'!$Q$4:$Q$26,0),0)</f>
        <v>82.5</v>
      </c>
      <c r="G944" s="342">
        <f ca="1">OFFSET('Zip Code Lines_1'!$AC$3,MATCH('Zip Code Lines_1'!C944,'Zip Code Lines_1'!$Q$4:$Q$26,0),0)</f>
        <v>12</v>
      </c>
      <c r="H944" s="342">
        <v>12481</v>
      </c>
    </row>
    <row r="945" spans="2:8" x14ac:dyDescent="0.25">
      <c r="B945" s="342">
        <v>12482</v>
      </c>
      <c r="C945" s="343" t="s">
        <v>530</v>
      </c>
      <c r="D945" s="343" t="str">
        <f ca="1">OFFSET('Zip Code Lines_1'!$U$3,MATCH('Zip Code Lines_1'!C945,'Zip Code Lines_1'!$Q$4:$Q$26,0),0)</f>
        <v>Albany</v>
      </c>
      <c r="E945" s="344">
        <f ca="1">OFFSET('Zip Code Lines_1'!$W$3,MATCH('Zip Code Lines_1'!C945,'Zip Code Lines_1'!$Q$4:$Q$26,0),0)</f>
        <v>4.7</v>
      </c>
      <c r="F945" s="344">
        <f ca="1">OFFSET('Zip Code Lines_1'!$Z$3,MATCH('Zip Code Lines_1'!C945,'Zip Code Lines_1'!$Q$4:$Q$26,0),0)</f>
        <v>86.1</v>
      </c>
      <c r="G945" s="342">
        <f ca="1">OFFSET('Zip Code Lines_1'!$AC$3,MATCH('Zip Code Lines_1'!C945,'Zip Code Lines_1'!$Q$4:$Q$26,0),0)</f>
        <v>12</v>
      </c>
      <c r="H945" s="342">
        <v>12482</v>
      </c>
    </row>
    <row r="946" spans="2:8" x14ac:dyDescent="0.25">
      <c r="B946" s="342">
        <v>12483</v>
      </c>
      <c r="C946" s="343" t="s">
        <v>563</v>
      </c>
      <c r="D946" s="343" t="str">
        <f ca="1">OFFSET('Zip Code Lines_1'!$U$3,MATCH('Zip Code Lines_1'!C946,'Zip Code Lines_1'!$Q$4:$Q$26,0),0)</f>
        <v>Poughkeepsie</v>
      </c>
      <c r="E946" s="344">
        <f ca="1">OFFSET('Zip Code Lines_1'!$W$3,MATCH('Zip Code Lines_1'!C946,'Zip Code Lines_1'!$Q$4:$Q$26,0),0)</f>
        <v>8.4</v>
      </c>
      <c r="F946" s="344">
        <f ca="1">OFFSET('Zip Code Lines_1'!$Z$3,MATCH('Zip Code Lines_1'!C946,'Zip Code Lines_1'!$Q$4:$Q$26,0),0)</f>
        <v>88.4</v>
      </c>
      <c r="G946" s="342">
        <f ca="1">OFFSET('Zip Code Lines_1'!$AC$3,MATCH('Zip Code Lines_1'!C946,'Zip Code Lines_1'!$Q$4:$Q$26,0),0)</f>
        <v>12</v>
      </c>
      <c r="H946" s="342">
        <v>12483</v>
      </c>
    </row>
    <row r="947" spans="2:8" x14ac:dyDescent="0.25">
      <c r="B947" s="342">
        <v>12484</v>
      </c>
      <c r="C947" s="343" t="s">
        <v>549</v>
      </c>
      <c r="D947" s="343" t="str">
        <f ca="1">OFFSET('Zip Code Lines_1'!$U$3,MATCH('Zip Code Lines_1'!C947,'Zip Code Lines_1'!$Q$4:$Q$26,0),0)</f>
        <v>Monticello</v>
      </c>
      <c r="E947" s="344">
        <f ca="1">OFFSET('Zip Code Lines_1'!$W$3,MATCH('Zip Code Lines_1'!C947,'Zip Code Lines_1'!$Q$4:$Q$26,0),0)</f>
        <v>4.7</v>
      </c>
      <c r="F947" s="344">
        <f ca="1">OFFSET('Zip Code Lines_1'!$Z$3,MATCH('Zip Code Lines_1'!C947,'Zip Code Lines_1'!$Q$4:$Q$26,0),0)</f>
        <v>82.5</v>
      </c>
      <c r="G947" s="342">
        <f ca="1">OFFSET('Zip Code Lines_1'!$AC$3,MATCH('Zip Code Lines_1'!C947,'Zip Code Lines_1'!$Q$4:$Q$26,0),0)</f>
        <v>12</v>
      </c>
      <c r="H947" s="342">
        <v>12484</v>
      </c>
    </row>
    <row r="948" spans="2:8" x14ac:dyDescent="0.25">
      <c r="B948" s="342">
        <v>12485</v>
      </c>
      <c r="C948" s="343" t="s">
        <v>543</v>
      </c>
      <c r="D948" s="343" t="str">
        <f ca="1">OFFSET('Zip Code Lines_1'!$U$3,MATCH('Zip Code Lines_1'!C948,'Zip Code Lines_1'!$Q$4:$Q$26,0),0)</f>
        <v xml:space="preserve">Glens Falls </v>
      </c>
      <c r="E948" s="344">
        <f ca="1">OFFSET('Zip Code Lines_1'!$W$3,MATCH('Zip Code Lines_1'!C948,'Zip Code Lines_1'!$Q$4:$Q$26,0),0)</f>
        <v>-1.8</v>
      </c>
      <c r="F948" s="344">
        <f ca="1">OFFSET('Zip Code Lines_1'!$Z$3,MATCH('Zip Code Lines_1'!C948,'Zip Code Lines_1'!$Q$4:$Q$26,0),0)</f>
        <v>84.7</v>
      </c>
      <c r="G948" s="342">
        <f ca="1">OFFSET('Zip Code Lines_1'!$AC$3,MATCH('Zip Code Lines_1'!C948,'Zip Code Lines_1'!$Q$4:$Q$26,0),0)</f>
        <v>12</v>
      </c>
      <c r="H948" s="342">
        <v>12485</v>
      </c>
    </row>
    <row r="949" spans="2:8" x14ac:dyDescent="0.25">
      <c r="B949" s="342">
        <v>12486</v>
      </c>
      <c r="C949" s="343" t="s">
        <v>563</v>
      </c>
      <c r="D949" s="343" t="str">
        <f ca="1">OFFSET('Zip Code Lines_1'!$U$3,MATCH('Zip Code Lines_1'!C949,'Zip Code Lines_1'!$Q$4:$Q$26,0),0)</f>
        <v>Poughkeepsie</v>
      </c>
      <c r="E949" s="344">
        <f ca="1">OFFSET('Zip Code Lines_1'!$W$3,MATCH('Zip Code Lines_1'!C949,'Zip Code Lines_1'!$Q$4:$Q$26,0),0)</f>
        <v>8.4</v>
      </c>
      <c r="F949" s="344">
        <f ca="1">OFFSET('Zip Code Lines_1'!$Z$3,MATCH('Zip Code Lines_1'!C949,'Zip Code Lines_1'!$Q$4:$Q$26,0),0)</f>
        <v>88.4</v>
      </c>
      <c r="G949" s="342">
        <f ca="1">OFFSET('Zip Code Lines_1'!$AC$3,MATCH('Zip Code Lines_1'!C949,'Zip Code Lines_1'!$Q$4:$Q$26,0),0)</f>
        <v>12</v>
      </c>
      <c r="H949" s="342">
        <v>12486</v>
      </c>
    </row>
    <row r="950" spans="2:8" x14ac:dyDescent="0.25">
      <c r="B950" s="342">
        <v>12487</v>
      </c>
      <c r="C950" s="343" t="s">
        <v>563</v>
      </c>
      <c r="D950" s="343" t="str">
        <f ca="1">OFFSET('Zip Code Lines_1'!$U$3,MATCH('Zip Code Lines_1'!C950,'Zip Code Lines_1'!$Q$4:$Q$26,0),0)</f>
        <v>Poughkeepsie</v>
      </c>
      <c r="E950" s="344">
        <f ca="1">OFFSET('Zip Code Lines_1'!$W$3,MATCH('Zip Code Lines_1'!C950,'Zip Code Lines_1'!$Q$4:$Q$26,0),0)</f>
        <v>8.4</v>
      </c>
      <c r="F950" s="344">
        <f ca="1">OFFSET('Zip Code Lines_1'!$Z$3,MATCH('Zip Code Lines_1'!C950,'Zip Code Lines_1'!$Q$4:$Q$26,0),0)</f>
        <v>88.4</v>
      </c>
      <c r="G950" s="342">
        <f ca="1">OFFSET('Zip Code Lines_1'!$AC$3,MATCH('Zip Code Lines_1'!C950,'Zip Code Lines_1'!$Q$4:$Q$26,0),0)</f>
        <v>12</v>
      </c>
      <c r="H950" s="342">
        <v>12487</v>
      </c>
    </row>
    <row r="951" spans="2:8" x14ac:dyDescent="0.25">
      <c r="B951" s="342">
        <v>12489</v>
      </c>
      <c r="C951" s="343" t="s">
        <v>563</v>
      </c>
      <c r="D951" s="343" t="str">
        <f ca="1">OFFSET('Zip Code Lines_1'!$U$3,MATCH('Zip Code Lines_1'!C951,'Zip Code Lines_1'!$Q$4:$Q$26,0),0)</f>
        <v>Poughkeepsie</v>
      </c>
      <c r="E951" s="344">
        <f ca="1">OFFSET('Zip Code Lines_1'!$W$3,MATCH('Zip Code Lines_1'!C951,'Zip Code Lines_1'!$Q$4:$Q$26,0),0)</f>
        <v>8.4</v>
      </c>
      <c r="F951" s="344">
        <f ca="1">OFFSET('Zip Code Lines_1'!$Z$3,MATCH('Zip Code Lines_1'!C951,'Zip Code Lines_1'!$Q$4:$Q$26,0),0)</f>
        <v>88.4</v>
      </c>
      <c r="G951" s="342">
        <f ca="1">OFFSET('Zip Code Lines_1'!$AC$3,MATCH('Zip Code Lines_1'!C951,'Zip Code Lines_1'!$Q$4:$Q$26,0),0)</f>
        <v>12</v>
      </c>
      <c r="H951" s="342">
        <v>12489</v>
      </c>
    </row>
    <row r="952" spans="2:8" x14ac:dyDescent="0.25">
      <c r="B952" s="342">
        <v>12490</v>
      </c>
      <c r="C952" s="343" t="s">
        <v>563</v>
      </c>
      <c r="D952" s="343" t="str">
        <f ca="1">OFFSET('Zip Code Lines_1'!$U$3,MATCH('Zip Code Lines_1'!C952,'Zip Code Lines_1'!$Q$4:$Q$26,0),0)</f>
        <v>Poughkeepsie</v>
      </c>
      <c r="E952" s="344">
        <f ca="1">OFFSET('Zip Code Lines_1'!$W$3,MATCH('Zip Code Lines_1'!C952,'Zip Code Lines_1'!$Q$4:$Q$26,0),0)</f>
        <v>8.4</v>
      </c>
      <c r="F952" s="344">
        <f ca="1">OFFSET('Zip Code Lines_1'!$Z$3,MATCH('Zip Code Lines_1'!C952,'Zip Code Lines_1'!$Q$4:$Q$26,0),0)</f>
        <v>88.4</v>
      </c>
      <c r="G952" s="342">
        <f ca="1">OFFSET('Zip Code Lines_1'!$AC$3,MATCH('Zip Code Lines_1'!C952,'Zip Code Lines_1'!$Q$4:$Q$26,0),0)</f>
        <v>12</v>
      </c>
      <c r="H952" s="342">
        <v>12490</v>
      </c>
    </row>
    <row r="953" spans="2:8" x14ac:dyDescent="0.25">
      <c r="B953" s="342">
        <v>12491</v>
      </c>
      <c r="C953" s="343" t="s">
        <v>530</v>
      </c>
      <c r="D953" s="343" t="str">
        <f ca="1">OFFSET('Zip Code Lines_1'!$U$3,MATCH('Zip Code Lines_1'!C953,'Zip Code Lines_1'!$Q$4:$Q$26,0),0)</f>
        <v>Albany</v>
      </c>
      <c r="E953" s="344">
        <f ca="1">OFFSET('Zip Code Lines_1'!$W$3,MATCH('Zip Code Lines_1'!C953,'Zip Code Lines_1'!$Q$4:$Q$26,0),0)</f>
        <v>4.7</v>
      </c>
      <c r="F953" s="344">
        <f ca="1">OFFSET('Zip Code Lines_1'!$Z$3,MATCH('Zip Code Lines_1'!C953,'Zip Code Lines_1'!$Q$4:$Q$26,0),0)</f>
        <v>86.1</v>
      </c>
      <c r="G953" s="342">
        <f ca="1">OFFSET('Zip Code Lines_1'!$AC$3,MATCH('Zip Code Lines_1'!C953,'Zip Code Lines_1'!$Q$4:$Q$26,0),0)</f>
        <v>12</v>
      </c>
      <c r="H953" s="342">
        <v>12491</v>
      </c>
    </row>
    <row r="954" spans="2:8" x14ac:dyDescent="0.25">
      <c r="B954" s="342">
        <v>12492</v>
      </c>
      <c r="C954" s="343" t="s">
        <v>543</v>
      </c>
      <c r="D954" s="343" t="str">
        <f ca="1">OFFSET('Zip Code Lines_1'!$U$3,MATCH('Zip Code Lines_1'!C954,'Zip Code Lines_1'!$Q$4:$Q$26,0),0)</f>
        <v xml:space="preserve">Glens Falls </v>
      </c>
      <c r="E954" s="344">
        <f ca="1">OFFSET('Zip Code Lines_1'!$W$3,MATCH('Zip Code Lines_1'!C954,'Zip Code Lines_1'!$Q$4:$Q$26,0),0)</f>
        <v>-1.8</v>
      </c>
      <c r="F954" s="344">
        <f ca="1">OFFSET('Zip Code Lines_1'!$Z$3,MATCH('Zip Code Lines_1'!C954,'Zip Code Lines_1'!$Q$4:$Q$26,0),0)</f>
        <v>84.7</v>
      </c>
      <c r="G954" s="342">
        <f ca="1">OFFSET('Zip Code Lines_1'!$AC$3,MATCH('Zip Code Lines_1'!C954,'Zip Code Lines_1'!$Q$4:$Q$26,0),0)</f>
        <v>12</v>
      </c>
      <c r="H954" s="342">
        <v>12492</v>
      </c>
    </row>
    <row r="955" spans="2:8" x14ac:dyDescent="0.25">
      <c r="B955" s="342">
        <v>12493</v>
      </c>
      <c r="C955" s="343" t="s">
        <v>563</v>
      </c>
      <c r="D955" s="343" t="str">
        <f ca="1">OFFSET('Zip Code Lines_1'!$U$3,MATCH('Zip Code Lines_1'!C955,'Zip Code Lines_1'!$Q$4:$Q$26,0),0)</f>
        <v>Poughkeepsie</v>
      </c>
      <c r="E955" s="344">
        <f ca="1">OFFSET('Zip Code Lines_1'!$W$3,MATCH('Zip Code Lines_1'!C955,'Zip Code Lines_1'!$Q$4:$Q$26,0),0)</f>
        <v>8.4</v>
      </c>
      <c r="F955" s="344">
        <f ca="1">OFFSET('Zip Code Lines_1'!$Z$3,MATCH('Zip Code Lines_1'!C955,'Zip Code Lines_1'!$Q$4:$Q$26,0),0)</f>
        <v>88.4</v>
      </c>
      <c r="G955" s="342">
        <f ca="1">OFFSET('Zip Code Lines_1'!$AC$3,MATCH('Zip Code Lines_1'!C955,'Zip Code Lines_1'!$Q$4:$Q$26,0),0)</f>
        <v>12</v>
      </c>
      <c r="H955" s="342">
        <v>12493</v>
      </c>
    </row>
    <row r="956" spans="2:8" x14ac:dyDescent="0.25">
      <c r="B956" s="342">
        <v>12494</v>
      </c>
      <c r="C956" s="343" t="s">
        <v>549</v>
      </c>
      <c r="D956" s="343" t="str">
        <f ca="1">OFFSET('Zip Code Lines_1'!$U$3,MATCH('Zip Code Lines_1'!C956,'Zip Code Lines_1'!$Q$4:$Q$26,0),0)</f>
        <v>Monticello</v>
      </c>
      <c r="E956" s="344">
        <f ca="1">OFFSET('Zip Code Lines_1'!$W$3,MATCH('Zip Code Lines_1'!C956,'Zip Code Lines_1'!$Q$4:$Q$26,0),0)</f>
        <v>4.7</v>
      </c>
      <c r="F956" s="344">
        <f ca="1">OFFSET('Zip Code Lines_1'!$Z$3,MATCH('Zip Code Lines_1'!C956,'Zip Code Lines_1'!$Q$4:$Q$26,0),0)</f>
        <v>82.5</v>
      </c>
      <c r="G956" s="342">
        <f ca="1">OFFSET('Zip Code Lines_1'!$AC$3,MATCH('Zip Code Lines_1'!C956,'Zip Code Lines_1'!$Q$4:$Q$26,0),0)</f>
        <v>12</v>
      </c>
      <c r="H956" s="342">
        <v>12494</v>
      </c>
    </row>
    <row r="957" spans="2:8" x14ac:dyDescent="0.25">
      <c r="B957" s="342">
        <v>12495</v>
      </c>
      <c r="C957" s="343" t="s">
        <v>549</v>
      </c>
      <c r="D957" s="343" t="str">
        <f ca="1">OFFSET('Zip Code Lines_1'!$U$3,MATCH('Zip Code Lines_1'!C957,'Zip Code Lines_1'!$Q$4:$Q$26,0),0)</f>
        <v>Monticello</v>
      </c>
      <c r="E957" s="344">
        <f ca="1">OFFSET('Zip Code Lines_1'!$W$3,MATCH('Zip Code Lines_1'!C957,'Zip Code Lines_1'!$Q$4:$Q$26,0),0)</f>
        <v>4.7</v>
      </c>
      <c r="F957" s="344">
        <f ca="1">OFFSET('Zip Code Lines_1'!$Z$3,MATCH('Zip Code Lines_1'!C957,'Zip Code Lines_1'!$Q$4:$Q$26,0),0)</f>
        <v>82.5</v>
      </c>
      <c r="G957" s="342">
        <f ca="1">OFFSET('Zip Code Lines_1'!$AC$3,MATCH('Zip Code Lines_1'!C957,'Zip Code Lines_1'!$Q$4:$Q$26,0),0)</f>
        <v>12</v>
      </c>
      <c r="H957" s="342">
        <v>12495</v>
      </c>
    </row>
    <row r="958" spans="2:8" x14ac:dyDescent="0.25">
      <c r="B958" s="342">
        <v>12496</v>
      </c>
      <c r="C958" s="343" t="s">
        <v>543</v>
      </c>
      <c r="D958" s="343" t="str">
        <f ca="1">OFFSET('Zip Code Lines_1'!$U$3,MATCH('Zip Code Lines_1'!C958,'Zip Code Lines_1'!$Q$4:$Q$26,0),0)</f>
        <v xml:space="preserve">Glens Falls </v>
      </c>
      <c r="E958" s="344">
        <f ca="1">OFFSET('Zip Code Lines_1'!$W$3,MATCH('Zip Code Lines_1'!C958,'Zip Code Lines_1'!$Q$4:$Q$26,0),0)</f>
        <v>-1.8</v>
      </c>
      <c r="F958" s="344">
        <f ca="1">OFFSET('Zip Code Lines_1'!$Z$3,MATCH('Zip Code Lines_1'!C958,'Zip Code Lines_1'!$Q$4:$Q$26,0),0)</f>
        <v>84.7</v>
      </c>
      <c r="G958" s="342">
        <f ca="1">OFFSET('Zip Code Lines_1'!$AC$3,MATCH('Zip Code Lines_1'!C958,'Zip Code Lines_1'!$Q$4:$Q$26,0),0)</f>
        <v>12</v>
      </c>
      <c r="H958" s="342">
        <v>12496</v>
      </c>
    </row>
    <row r="959" spans="2:8" x14ac:dyDescent="0.25">
      <c r="B959" s="342">
        <v>12498</v>
      </c>
      <c r="C959" s="343" t="s">
        <v>530</v>
      </c>
      <c r="D959" s="343" t="str">
        <f ca="1">OFFSET('Zip Code Lines_1'!$U$3,MATCH('Zip Code Lines_1'!C959,'Zip Code Lines_1'!$Q$4:$Q$26,0),0)</f>
        <v>Albany</v>
      </c>
      <c r="E959" s="344">
        <f ca="1">OFFSET('Zip Code Lines_1'!$W$3,MATCH('Zip Code Lines_1'!C959,'Zip Code Lines_1'!$Q$4:$Q$26,0),0)</f>
        <v>4.7</v>
      </c>
      <c r="F959" s="344">
        <f ca="1">OFFSET('Zip Code Lines_1'!$Z$3,MATCH('Zip Code Lines_1'!C959,'Zip Code Lines_1'!$Q$4:$Q$26,0),0)</f>
        <v>86.1</v>
      </c>
      <c r="G959" s="342">
        <f ca="1">OFFSET('Zip Code Lines_1'!$AC$3,MATCH('Zip Code Lines_1'!C959,'Zip Code Lines_1'!$Q$4:$Q$26,0),0)</f>
        <v>12</v>
      </c>
      <c r="H959" s="342">
        <v>12498</v>
      </c>
    </row>
    <row r="960" spans="2:8" x14ac:dyDescent="0.25">
      <c r="B960" s="342">
        <v>12501</v>
      </c>
      <c r="C960" s="343" t="s">
        <v>563</v>
      </c>
      <c r="D960" s="343" t="str">
        <f ca="1">OFFSET('Zip Code Lines_1'!$U$3,MATCH('Zip Code Lines_1'!C960,'Zip Code Lines_1'!$Q$4:$Q$26,0),0)</f>
        <v>Poughkeepsie</v>
      </c>
      <c r="E960" s="344">
        <f ca="1">OFFSET('Zip Code Lines_1'!$W$3,MATCH('Zip Code Lines_1'!C960,'Zip Code Lines_1'!$Q$4:$Q$26,0),0)</f>
        <v>8.4</v>
      </c>
      <c r="F960" s="344">
        <f ca="1">OFFSET('Zip Code Lines_1'!$Z$3,MATCH('Zip Code Lines_1'!C960,'Zip Code Lines_1'!$Q$4:$Q$26,0),0)</f>
        <v>88.4</v>
      </c>
      <c r="G960" s="342">
        <f ca="1">OFFSET('Zip Code Lines_1'!$AC$3,MATCH('Zip Code Lines_1'!C960,'Zip Code Lines_1'!$Q$4:$Q$26,0),0)</f>
        <v>12</v>
      </c>
      <c r="H960" s="342">
        <v>12501</v>
      </c>
    </row>
    <row r="961" spans="2:8" x14ac:dyDescent="0.25">
      <c r="B961" s="342">
        <v>12502</v>
      </c>
      <c r="C961" s="343" t="s">
        <v>530</v>
      </c>
      <c r="D961" s="343" t="str">
        <f ca="1">OFFSET('Zip Code Lines_1'!$U$3,MATCH('Zip Code Lines_1'!C961,'Zip Code Lines_1'!$Q$4:$Q$26,0),0)</f>
        <v>Albany</v>
      </c>
      <c r="E961" s="344">
        <f ca="1">OFFSET('Zip Code Lines_1'!$W$3,MATCH('Zip Code Lines_1'!C961,'Zip Code Lines_1'!$Q$4:$Q$26,0),0)</f>
        <v>4.7</v>
      </c>
      <c r="F961" s="344">
        <f ca="1">OFFSET('Zip Code Lines_1'!$Z$3,MATCH('Zip Code Lines_1'!C961,'Zip Code Lines_1'!$Q$4:$Q$26,0),0)</f>
        <v>86.1</v>
      </c>
      <c r="G961" s="342">
        <f ca="1">OFFSET('Zip Code Lines_1'!$AC$3,MATCH('Zip Code Lines_1'!C961,'Zip Code Lines_1'!$Q$4:$Q$26,0),0)</f>
        <v>12</v>
      </c>
      <c r="H961" s="342">
        <v>12502</v>
      </c>
    </row>
    <row r="962" spans="2:8" x14ac:dyDescent="0.25">
      <c r="B962" s="342">
        <v>12503</v>
      </c>
      <c r="C962" s="343" t="s">
        <v>530</v>
      </c>
      <c r="D962" s="343" t="str">
        <f ca="1">OFFSET('Zip Code Lines_1'!$U$3,MATCH('Zip Code Lines_1'!C962,'Zip Code Lines_1'!$Q$4:$Q$26,0),0)</f>
        <v>Albany</v>
      </c>
      <c r="E962" s="344">
        <f ca="1">OFFSET('Zip Code Lines_1'!$W$3,MATCH('Zip Code Lines_1'!C962,'Zip Code Lines_1'!$Q$4:$Q$26,0),0)</f>
        <v>4.7</v>
      </c>
      <c r="F962" s="344">
        <f ca="1">OFFSET('Zip Code Lines_1'!$Z$3,MATCH('Zip Code Lines_1'!C962,'Zip Code Lines_1'!$Q$4:$Q$26,0),0)</f>
        <v>86.1</v>
      </c>
      <c r="G962" s="342">
        <f ca="1">OFFSET('Zip Code Lines_1'!$AC$3,MATCH('Zip Code Lines_1'!C962,'Zip Code Lines_1'!$Q$4:$Q$26,0),0)</f>
        <v>12</v>
      </c>
      <c r="H962" s="342">
        <v>12503</v>
      </c>
    </row>
    <row r="963" spans="2:8" x14ac:dyDescent="0.25">
      <c r="B963" s="342">
        <v>12504</v>
      </c>
      <c r="C963" s="343" t="s">
        <v>563</v>
      </c>
      <c r="D963" s="343" t="str">
        <f ca="1">OFFSET('Zip Code Lines_1'!$U$3,MATCH('Zip Code Lines_1'!C963,'Zip Code Lines_1'!$Q$4:$Q$26,0),0)</f>
        <v>Poughkeepsie</v>
      </c>
      <c r="E963" s="344">
        <f ca="1">OFFSET('Zip Code Lines_1'!$W$3,MATCH('Zip Code Lines_1'!C963,'Zip Code Lines_1'!$Q$4:$Q$26,0),0)</f>
        <v>8.4</v>
      </c>
      <c r="F963" s="344">
        <f ca="1">OFFSET('Zip Code Lines_1'!$Z$3,MATCH('Zip Code Lines_1'!C963,'Zip Code Lines_1'!$Q$4:$Q$26,0),0)</f>
        <v>88.4</v>
      </c>
      <c r="G963" s="342">
        <f ca="1">OFFSET('Zip Code Lines_1'!$AC$3,MATCH('Zip Code Lines_1'!C963,'Zip Code Lines_1'!$Q$4:$Q$26,0),0)</f>
        <v>12</v>
      </c>
      <c r="H963" s="342">
        <v>12504</v>
      </c>
    </row>
    <row r="964" spans="2:8" x14ac:dyDescent="0.25">
      <c r="B964" s="342">
        <v>12506</v>
      </c>
      <c r="C964" s="343" t="s">
        <v>563</v>
      </c>
      <c r="D964" s="343" t="str">
        <f ca="1">OFFSET('Zip Code Lines_1'!$U$3,MATCH('Zip Code Lines_1'!C964,'Zip Code Lines_1'!$Q$4:$Q$26,0),0)</f>
        <v>Poughkeepsie</v>
      </c>
      <c r="E964" s="344">
        <f ca="1">OFFSET('Zip Code Lines_1'!$W$3,MATCH('Zip Code Lines_1'!C964,'Zip Code Lines_1'!$Q$4:$Q$26,0),0)</f>
        <v>8.4</v>
      </c>
      <c r="F964" s="344">
        <f ca="1">OFFSET('Zip Code Lines_1'!$Z$3,MATCH('Zip Code Lines_1'!C964,'Zip Code Lines_1'!$Q$4:$Q$26,0),0)</f>
        <v>88.4</v>
      </c>
      <c r="G964" s="342">
        <f ca="1">OFFSET('Zip Code Lines_1'!$AC$3,MATCH('Zip Code Lines_1'!C964,'Zip Code Lines_1'!$Q$4:$Q$26,0),0)</f>
        <v>12</v>
      </c>
      <c r="H964" s="342">
        <v>12506</v>
      </c>
    </row>
    <row r="965" spans="2:8" x14ac:dyDescent="0.25">
      <c r="B965" s="342">
        <v>12507</v>
      </c>
      <c r="C965" s="343" t="s">
        <v>563</v>
      </c>
      <c r="D965" s="343" t="str">
        <f ca="1">OFFSET('Zip Code Lines_1'!$U$3,MATCH('Zip Code Lines_1'!C965,'Zip Code Lines_1'!$Q$4:$Q$26,0),0)</f>
        <v>Poughkeepsie</v>
      </c>
      <c r="E965" s="344">
        <f ca="1">OFFSET('Zip Code Lines_1'!$W$3,MATCH('Zip Code Lines_1'!C965,'Zip Code Lines_1'!$Q$4:$Q$26,0),0)</f>
        <v>8.4</v>
      </c>
      <c r="F965" s="344">
        <f ca="1">OFFSET('Zip Code Lines_1'!$Z$3,MATCH('Zip Code Lines_1'!C965,'Zip Code Lines_1'!$Q$4:$Q$26,0),0)</f>
        <v>88.4</v>
      </c>
      <c r="G965" s="342">
        <f ca="1">OFFSET('Zip Code Lines_1'!$AC$3,MATCH('Zip Code Lines_1'!C965,'Zip Code Lines_1'!$Q$4:$Q$26,0),0)</f>
        <v>12</v>
      </c>
      <c r="H965" s="342">
        <v>12507</v>
      </c>
    </row>
    <row r="966" spans="2:8" x14ac:dyDescent="0.25">
      <c r="B966" s="342">
        <v>12508</v>
      </c>
      <c r="C966" s="343" t="s">
        <v>563</v>
      </c>
      <c r="D966" s="343" t="str">
        <f ca="1">OFFSET('Zip Code Lines_1'!$U$3,MATCH('Zip Code Lines_1'!C966,'Zip Code Lines_1'!$Q$4:$Q$26,0),0)</f>
        <v>Poughkeepsie</v>
      </c>
      <c r="E966" s="344">
        <f ca="1">OFFSET('Zip Code Lines_1'!$W$3,MATCH('Zip Code Lines_1'!C966,'Zip Code Lines_1'!$Q$4:$Q$26,0),0)</f>
        <v>8.4</v>
      </c>
      <c r="F966" s="344">
        <f ca="1">OFFSET('Zip Code Lines_1'!$Z$3,MATCH('Zip Code Lines_1'!C966,'Zip Code Lines_1'!$Q$4:$Q$26,0),0)</f>
        <v>88.4</v>
      </c>
      <c r="G966" s="342">
        <f ca="1">OFFSET('Zip Code Lines_1'!$AC$3,MATCH('Zip Code Lines_1'!C966,'Zip Code Lines_1'!$Q$4:$Q$26,0),0)</f>
        <v>12</v>
      </c>
      <c r="H966" s="342">
        <v>12508</v>
      </c>
    </row>
    <row r="967" spans="2:8" x14ac:dyDescent="0.25">
      <c r="B967" s="342">
        <v>12510</v>
      </c>
      <c r="C967" s="343" t="s">
        <v>563</v>
      </c>
      <c r="D967" s="343" t="str">
        <f ca="1">OFFSET('Zip Code Lines_1'!$U$3,MATCH('Zip Code Lines_1'!C967,'Zip Code Lines_1'!$Q$4:$Q$26,0),0)</f>
        <v>Poughkeepsie</v>
      </c>
      <c r="E967" s="344">
        <f ca="1">OFFSET('Zip Code Lines_1'!$W$3,MATCH('Zip Code Lines_1'!C967,'Zip Code Lines_1'!$Q$4:$Q$26,0),0)</f>
        <v>8.4</v>
      </c>
      <c r="F967" s="344">
        <f ca="1">OFFSET('Zip Code Lines_1'!$Z$3,MATCH('Zip Code Lines_1'!C967,'Zip Code Lines_1'!$Q$4:$Q$26,0),0)</f>
        <v>88.4</v>
      </c>
      <c r="G967" s="342">
        <f ca="1">OFFSET('Zip Code Lines_1'!$AC$3,MATCH('Zip Code Lines_1'!C967,'Zip Code Lines_1'!$Q$4:$Q$26,0),0)</f>
        <v>12</v>
      </c>
      <c r="H967" s="342">
        <v>12510</v>
      </c>
    </row>
    <row r="968" spans="2:8" x14ac:dyDescent="0.25">
      <c r="B968" s="342">
        <v>12511</v>
      </c>
      <c r="C968" s="343" t="s">
        <v>563</v>
      </c>
      <c r="D968" s="343" t="str">
        <f ca="1">OFFSET('Zip Code Lines_1'!$U$3,MATCH('Zip Code Lines_1'!C968,'Zip Code Lines_1'!$Q$4:$Q$26,0),0)</f>
        <v>Poughkeepsie</v>
      </c>
      <c r="E968" s="344">
        <f ca="1">OFFSET('Zip Code Lines_1'!$W$3,MATCH('Zip Code Lines_1'!C968,'Zip Code Lines_1'!$Q$4:$Q$26,0),0)</f>
        <v>8.4</v>
      </c>
      <c r="F968" s="344">
        <f ca="1">OFFSET('Zip Code Lines_1'!$Z$3,MATCH('Zip Code Lines_1'!C968,'Zip Code Lines_1'!$Q$4:$Q$26,0),0)</f>
        <v>88.4</v>
      </c>
      <c r="G968" s="342">
        <f ca="1">OFFSET('Zip Code Lines_1'!$AC$3,MATCH('Zip Code Lines_1'!C968,'Zip Code Lines_1'!$Q$4:$Q$26,0),0)</f>
        <v>12</v>
      </c>
      <c r="H968" s="342">
        <v>12511</v>
      </c>
    </row>
    <row r="969" spans="2:8" x14ac:dyDescent="0.25">
      <c r="B969" s="342">
        <v>12512</v>
      </c>
      <c r="C969" s="343" t="s">
        <v>563</v>
      </c>
      <c r="D969" s="343" t="str">
        <f ca="1">OFFSET('Zip Code Lines_1'!$U$3,MATCH('Zip Code Lines_1'!C969,'Zip Code Lines_1'!$Q$4:$Q$26,0),0)</f>
        <v>Poughkeepsie</v>
      </c>
      <c r="E969" s="344">
        <f ca="1">OFFSET('Zip Code Lines_1'!$W$3,MATCH('Zip Code Lines_1'!C969,'Zip Code Lines_1'!$Q$4:$Q$26,0),0)</f>
        <v>8.4</v>
      </c>
      <c r="F969" s="344">
        <f ca="1">OFFSET('Zip Code Lines_1'!$Z$3,MATCH('Zip Code Lines_1'!C969,'Zip Code Lines_1'!$Q$4:$Q$26,0),0)</f>
        <v>88.4</v>
      </c>
      <c r="G969" s="342">
        <f ca="1">OFFSET('Zip Code Lines_1'!$AC$3,MATCH('Zip Code Lines_1'!C969,'Zip Code Lines_1'!$Q$4:$Q$26,0),0)</f>
        <v>12</v>
      </c>
      <c r="H969" s="342">
        <v>12512</v>
      </c>
    </row>
    <row r="970" spans="2:8" x14ac:dyDescent="0.25">
      <c r="B970" s="342">
        <v>12513</v>
      </c>
      <c r="C970" s="343" t="s">
        <v>530</v>
      </c>
      <c r="D970" s="343" t="str">
        <f ca="1">OFFSET('Zip Code Lines_1'!$U$3,MATCH('Zip Code Lines_1'!C970,'Zip Code Lines_1'!$Q$4:$Q$26,0),0)</f>
        <v>Albany</v>
      </c>
      <c r="E970" s="344">
        <f ca="1">OFFSET('Zip Code Lines_1'!$W$3,MATCH('Zip Code Lines_1'!C970,'Zip Code Lines_1'!$Q$4:$Q$26,0),0)</f>
        <v>4.7</v>
      </c>
      <c r="F970" s="344">
        <f ca="1">OFFSET('Zip Code Lines_1'!$Z$3,MATCH('Zip Code Lines_1'!C970,'Zip Code Lines_1'!$Q$4:$Q$26,0),0)</f>
        <v>86.1</v>
      </c>
      <c r="G970" s="342">
        <f ca="1">OFFSET('Zip Code Lines_1'!$AC$3,MATCH('Zip Code Lines_1'!C970,'Zip Code Lines_1'!$Q$4:$Q$26,0),0)</f>
        <v>12</v>
      </c>
      <c r="H970" s="342">
        <v>12513</v>
      </c>
    </row>
    <row r="971" spans="2:8" x14ac:dyDescent="0.25">
      <c r="B971" s="342">
        <v>12514</v>
      </c>
      <c r="C971" s="343" t="s">
        <v>563</v>
      </c>
      <c r="D971" s="343" t="str">
        <f ca="1">OFFSET('Zip Code Lines_1'!$U$3,MATCH('Zip Code Lines_1'!C971,'Zip Code Lines_1'!$Q$4:$Q$26,0),0)</f>
        <v>Poughkeepsie</v>
      </c>
      <c r="E971" s="344">
        <f ca="1">OFFSET('Zip Code Lines_1'!$W$3,MATCH('Zip Code Lines_1'!C971,'Zip Code Lines_1'!$Q$4:$Q$26,0),0)</f>
        <v>8.4</v>
      </c>
      <c r="F971" s="344">
        <f ca="1">OFFSET('Zip Code Lines_1'!$Z$3,MATCH('Zip Code Lines_1'!C971,'Zip Code Lines_1'!$Q$4:$Q$26,0),0)</f>
        <v>88.4</v>
      </c>
      <c r="G971" s="342">
        <f ca="1">OFFSET('Zip Code Lines_1'!$AC$3,MATCH('Zip Code Lines_1'!C971,'Zip Code Lines_1'!$Q$4:$Q$26,0),0)</f>
        <v>12</v>
      </c>
      <c r="H971" s="342">
        <v>12514</v>
      </c>
    </row>
    <row r="972" spans="2:8" x14ac:dyDescent="0.25">
      <c r="B972" s="342">
        <v>12515</v>
      </c>
      <c r="C972" s="343" t="s">
        <v>563</v>
      </c>
      <c r="D972" s="343" t="str">
        <f ca="1">OFFSET('Zip Code Lines_1'!$U$3,MATCH('Zip Code Lines_1'!C972,'Zip Code Lines_1'!$Q$4:$Q$26,0),0)</f>
        <v>Poughkeepsie</v>
      </c>
      <c r="E972" s="344">
        <f ca="1">OFFSET('Zip Code Lines_1'!$W$3,MATCH('Zip Code Lines_1'!C972,'Zip Code Lines_1'!$Q$4:$Q$26,0),0)</f>
        <v>8.4</v>
      </c>
      <c r="F972" s="344">
        <f ca="1">OFFSET('Zip Code Lines_1'!$Z$3,MATCH('Zip Code Lines_1'!C972,'Zip Code Lines_1'!$Q$4:$Q$26,0),0)</f>
        <v>88.4</v>
      </c>
      <c r="G972" s="342">
        <f ca="1">OFFSET('Zip Code Lines_1'!$AC$3,MATCH('Zip Code Lines_1'!C972,'Zip Code Lines_1'!$Q$4:$Q$26,0),0)</f>
        <v>12</v>
      </c>
      <c r="H972" s="342">
        <v>12515</v>
      </c>
    </row>
    <row r="973" spans="2:8" x14ac:dyDescent="0.25">
      <c r="B973" s="342">
        <v>12516</v>
      </c>
      <c r="C973" s="343" t="s">
        <v>530</v>
      </c>
      <c r="D973" s="343" t="str">
        <f ca="1">OFFSET('Zip Code Lines_1'!$U$3,MATCH('Zip Code Lines_1'!C973,'Zip Code Lines_1'!$Q$4:$Q$26,0),0)</f>
        <v>Albany</v>
      </c>
      <c r="E973" s="344">
        <f ca="1">OFFSET('Zip Code Lines_1'!$W$3,MATCH('Zip Code Lines_1'!C973,'Zip Code Lines_1'!$Q$4:$Q$26,0),0)</f>
        <v>4.7</v>
      </c>
      <c r="F973" s="344">
        <f ca="1">OFFSET('Zip Code Lines_1'!$Z$3,MATCH('Zip Code Lines_1'!C973,'Zip Code Lines_1'!$Q$4:$Q$26,0),0)</f>
        <v>86.1</v>
      </c>
      <c r="G973" s="342">
        <f ca="1">OFFSET('Zip Code Lines_1'!$AC$3,MATCH('Zip Code Lines_1'!C973,'Zip Code Lines_1'!$Q$4:$Q$26,0),0)</f>
        <v>12</v>
      </c>
      <c r="H973" s="342">
        <v>12516</v>
      </c>
    </row>
    <row r="974" spans="2:8" x14ac:dyDescent="0.25">
      <c r="B974" s="342">
        <v>12517</v>
      </c>
      <c r="C974" s="343" t="s">
        <v>530</v>
      </c>
      <c r="D974" s="343" t="str">
        <f ca="1">OFFSET('Zip Code Lines_1'!$U$3,MATCH('Zip Code Lines_1'!C974,'Zip Code Lines_1'!$Q$4:$Q$26,0),0)</f>
        <v>Albany</v>
      </c>
      <c r="E974" s="344">
        <f ca="1">OFFSET('Zip Code Lines_1'!$W$3,MATCH('Zip Code Lines_1'!C974,'Zip Code Lines_1'!$Q$4:$Q$26,0),0)</f>
        <v>4.7</v>
      </c>
      <c r="F974" s="344">
        <f ca="1">OFFSET('Zip Code Lines_1'!$Z$3,MATCH('Zip Code Lines_1'!C974,'Zip Code Lines_1'!$Q$4:$Q$26,0),0)</f>
        <v>86.1</v>
      </c>
      <c r="G974" s="342">
        <f ca="1">OFFSET('Zip Code Lines_1'!$AC$3,MATCH('Zip Code Lines_1'!C974,'Zip Code Lines_1'!$Q$4:$Q$26,0),0)</f>
        <v>12</v>
      </c>
      <c r="H974" s="342">
        <v>12517</v>
      </c>
    </row>
    <row r="975" spans="2:8" x14ac:dyDescent="0.25">
      <c r="B975" s="342">
        <v>12518</v>
      </c>
      <c r="C975" s="343" t="s">
        <v>563</v>
      </c>
      <c r="D975" s="343" t="str">
        <f ca="1">OFFSET('Zip Code Lines_1'!$U$3,MATCH('Zip Code Lines_1'!C975,'Zip Code Lines_1'!$Q$4:$Q$26,0),0)</f>
        <v>Poughkeepsie</v>
      </c>
      <c r="E975" s="344">
        <f ca="1">OFFSET('Zip Code Lines_1'!$W$3,MATCH('Zip Code Lines_1'!C975,'Zip Code Lines_1'!$Q$4:$Q$26,0),0)</f>
        <v>8.4</v>
      </c>
      <c r="F975" s="344">
        <f ca="1">OFFSET('Zip Code Lines_1'!$Z$3,MATCH('Zip Code Lines_1'!C975,'Zip Code Lines_1'!$Q$4:$Q$26,0),0)</f>
        <v>88.4</v>
      </c>
      <c r="G975" s="342">
        <f ca="1">OFFSET('Zip Code Lines_1'!$AC$3,MATCH('Zip Code Lines_1'!C975,'Zip Code Lines_1'!$Q$4:$Q$26,0),0)</f>
        <v>12</v>
      </c>
      <c r="H975" s="342">
        <v>12518</v>
      </c>
    </row>
    <row r="976" spans="2:8" x14ac:dyDescent="0.25">
      <c r="B976" s="342">
        <v>12520</v>
      </c>
      <c r="C976" s="343" t="s">
        <v>563</v>
      </c>
      <c r="D976" s="343" t="str">
        <f ca="1">OFFSET('Zip Code Lines_1'!$U$3,MATCH('Zip Code Lines_1'!C976,'Zip Code Lines_1'!$Q$4:$Q$26,0),0)</f>
        <v>Poughkeepsie</v>
      </c>
      <c r="E976" s="344">
        <f ca="1">OFFSET('Zip Code Lines_1'!$W$3,MATCH('Zip Code Lines_1'!C976,'Zip Code Lines_1'!$Q$4:$Q$26,0),0)</f>
        <v>8.4</v>
      </c>
      <c r="F976" s="344">
        <f ca="1">OFFSET('Zip Code Lines_1'!$Z$3,MATCH('Zip Code Lines_1'!C976,'Zip Code Lines_1'!$Q$4:$Q$26,0),0)</f>
        <v>88.4</v>
      </c>
      <c r="G976" s="342">
        <f ca="1">OFFSET('Zip Code Lines_1'!$AC$3,MATCH('Zip Code Lines_1'!C976,'Zip Code Lines_1'!$Q$4:$Q$26,0),0)</f>
        <v>12</v>
      </c>
      <c r="H976" s="342">
        <v>12520</v>
      </c>
    </row>
    <row r="977" spans="2:8" x14ac:dyDescent="0.25">
      <c r="B977" s="342">
        <v>12521</v>
      </c>
      <c r="C977" s="343" t="s">
        <v>549</v>
      </c>
      <c r="D977" s="343" t="str">
        <f ca="1">OFFSET('Zip Code Lines_1'!$U$3,MATCH('Zip Code Lines_1'!C977,'Zip Code Lines_1'!$Q$4:$Q$26,0),0)</f>
        <v>Monticello</v>
      </c>
      <c r="E977" s="344">
        <f ca="1">OFFSET('Zip Code Lines_1'!$W$3,MATCH('Zip Code Lines_1'!C977,'Zip Code Lines_1'!$Q$4:$Q$26,0),0)</f>
        <v>4.7</v>
      </c>
      <c r="F977" s="344">
        <f ca="1">OFFSET('Zip Code Lines_1'!$Z$3,MATCH('Zip Code Lines_1'!C977,'Zip Code Lines_1'!$Q$4:$Q$26,0),0)</f>
        <v>82.5</v>
      </c>
      <c r="G977" s="342">
        <f ca="1">OFFSET('Zip Code Lines_1'!$AC$3,MATCH('Zip Code Lines_1'!C977,'Zip Code Lines_1'!$Q$4:$Q$26,0),0)</f>
        <v>12</v>
      </c>
      <c r="H977" s="342">
        <v>12521</v>
      </c>
    </row>
    <row r="978" spans="2:8" x14ac:dyDescent="0.25">
      <c r="B978" s="342">
        <v>12522</v>
      </c>
      <c r="C978" s="343" t="s">
        <v>563</v>
      </c>
      <c r="D978" s="343" t="str">
        <f ca="1">OFFSET('Zip Code Lines_1'!$U$3,MATCH('Zip Code Lines_1'!C978,'Zip Code Lines_1'!$Q$4:$Q$26,0),0)</f>
        <v>Poughkeepsie</v>
      </c>
      <c r="E978" s="344">
        <f ca="1">OFFSET('Zip Code Lines_1'!$W$3,MATCH('Zip Code Lines_1'!C978,'Zip Code Lines_1'!$Q$4:$Q$26,0),0)</f>
        <v>8.4</v>
      </c>
      <c r="F978" s="344">
        <f ca="1">OFFSET('Zip Code Lines_1'!$Z$3,MATCH('Zip Code Lines_1'!C978,'Zip Code Lines_1'!$Q$4:$Q$26,0),0)</f>
        <v>88.4</v>
      </c>
      <c r="G978" s="342">
        <f ca="1">OFFSET('Zip Code Lines_1'!$AC$3,MATCH('Zip Code Lines_1'!C978,'Zip Code Lines_1'!$Q$4:$Q$26,0),0)</f>
        <v>12</v>
      </c>
      <c r="H978" s="342">
        <v>12522</v>
      </c>
    </row>
    <row r="979" spans="2:8" x14ac:dyDescent="0.25">
      <c r="B979" s="342">
        <v>12523</v>
      </c>
      <c r="C979" s="343" t="s">
        <v>530</v>
      </c>
      <c r="D979" s="343" t="str">
        <f ca="1">OFFSET('Zip Code Lines_1'!$U$3,MATCH('Zip Code Lines_1'!C979,'Zip Code Lines_1'!$Q$4:$Q$26,0),0)</f>
        <v>Albany</v>
      </c>
      <c r="E979" s="344">
        <f ca="1">OFFSET('Zip Code Lines_1'!$W$3,MATCH('Zip Code Lines_1'!C979,'Zip Code Lines_1'!$Q$4:$Q$26,0),0)</f>
        <v>4.7</v>
      </c>
      <c r="F979" s="344">
        <f ca="1">OFFSET('Zip Code Lines_1'!$Z$3,MATCH('Zip Code Lines_1'!C979,'Zip Code Lines_1'!$Q$4:$Q$26,0),0)</f>
        <v>86.1</v>
      </c>
      <c r="G979" s="342">
        <f ca="1">OFFSET('Zip Code Lines_1'!$AC$3,MATCH('Zip Code Lines_1'!C979,'Zip Code Lines_1'!$Q$4:$Q$26,0),0)</f>
        <v>12</v>
      </c>
      <c r="H979" s="342">
        <v>12523</v>
      </c>
    </row>
    <row r="980" spans="2:8" x14ac:dyDescent="0.25">
      <c r="B980" s="342">
        <v>12524</v>
      </c>
      <c r="C980" s="343" t="s">
        <v>563</v>
      </c>
      <c r="D980" s="343" t="str">
        <f ca="1">OFFSET('Zip Code Lines_1'!$U$3,MATCH('Zip Code Lines_1'!C980,'Zip Code Lines_1'!$Q$4:$Q$26,0),0)</f>
        <v>Poughkeepsie</v>
      </c>
      <c r="E980" s="344">
        <f ca="1">OFFSET('Zip Code Lines_1'!$W$3,MATCH('Zip Code Lines_1'!C980,'Zip Code Lines_1'!$Q$4:$Q$26,0),0)</f>
        <v>8.4</v>
      </c>
      <c r="F980" s="344">
        <f ca="1">OFFSET('Zip Code Lines_1'!$Z$3,MATCH('Zip Code Lines_1'!C980,'Zip Code Lines_1'!$Q$4:$Q$26,0),0)</f>
        <v>88.4</v>
      </c>
      <c r="G980" s="342">
        <f ca="1">OFFSET('Zip Code Lines_1'!$AC$3,MATCH('Zip Code Lines_1'!C980,'Zip Code Lines_1'!$Q$4:$Q$26,0),0)</f>
        <v>12</v>
      </c>
      <c r="H980" s="342">
        <v>12524</v>
      </c>
    </row>
    <row r="981" spans="2:8" x14ac:dyDescent="0.25">
      <c r="B981" s="342">
        <v>12525</v>
      </c>
      <c r="C981" s="343" t="s">
        <v>563</v>
      </c>
      <c r="D981" s="343" t="str">
        <f ca="1">OFFSET('Zip Code Lines_1'!$U$3,MATCH('Zip Code Lines_1'!C981,'Zip Code Lines_1'!$Q$4:$Q$26,0),0)</f>
        <v>Poughkeepsie</v>
      </c>
      <c r="E981" s="344">
        <f ca="1">OFFSET('Zip Code Lines_1'!$W$3,MATCH('Zip Code Lines_1'!C981,'Zip Code Lines_1'!$Q$4:$Q$26,0),0)</f>
        <v>8.4</v>
      </c>
      <c r="F981" s="344">
        <f ca="1">OFFSET('Zip Code Lines_1'!$Z$3,MATCH('Zip Code Lines_1'!C981,'Zip Code Lines_1'!$Q$4:$Q$26,0),0)</f>
        <v>88.4</v>
      </c>
      <c r="G981" s="342">
        <f ca="1">OFFSET('Zip Code Lines_1'!$AC$3,MATCH('Zip Code Lines_1'!C981,'Zip Code Lines_1'!$Q$4:$Q$26,0),0)</f>
        <v>12</v>
      </c>
      <c r="H981" s="342">
        <v>12525</v>
      </c>
    </row>
    <row r="982" spans="2:8" x14ac:dyDescent="0.25">
      <c r="B982" s="342">
        <v>12526</v>
      </c>
      <c r="C982" s="343" t="s">
        <v>563</v>
      </c>
      <c r="D982" s="343" t="str">
        <f ca="1">OFFSET('Zip Code Lines_1'!$U$3,MATCH('Zip Code Lines_1'!C982,'Zip Code Lines_1'!$Q$4:$Q$26,0),0)</f>
        <v>Poughkeepsie</v>
      </c>
      <c r="E982" s="344">
        <f ca="1">OFFSET('Zip Code Lines_1'!$W$3,MATCH('Zip Code Lines_1'!C982,'Zip Code Lines_1'!$Q$4:$Q$26,0),0)</f>
        <v>8.4</v>
      </c>
      <c r="F982" s="344">
        <f ca="1">OFFSET('Zip Code Lines_1'!$Z$3,MATCH('Zip Code Lines_1'!C982,'Zip Code Lines_1'!$Q$4:$Q$26,0),0)</f>
        <v>88.4</v>
      </c>
      <c r="G982" s="342">
        <f ca="1">OFFSET('Zip Code Lines_1'!$AC$3,MATCH('Zip Code Lines_1'!C982,'Zip Code Lines_1'!$Q$4:$Q$26,0),0)</f>
        <v>12</v>
      </c>
      <c r="H982" s="342">
        <v>12526</v>
      </c>
    </row>
    <row r="983" spans="2:8" x14ac:dyDescent="0.25">
      <c r="B983" s="342">
        <v>12527</v>
      </c>
      <c r="C983" s="343" t="s">
        <v>563</v>
      </c>
      <c r="D983" s="343" t="str">
        <f ca="1">OFFSET('Zip Code Lines_1'!$U$3,MATCH('Zip Code Lines_1'!C983,'Zip Code Lines_1'!$Q$4:$Q$26,0),0)</f>
        <v>Poughkeepsie</v>
      </c>
      <c r="E983" s="344">
        <f ca="1">OFFSET('Zip Code Lines_1'!$W$3,MATCH('Zip Code Lines_1'!C983,'Zip Code Lines_1'!$Q$4:$Q$26,0),0)</f>
        <v>8.4</v>
      </c>
      <c r="F983" s="344">
        <f ca="1">OFFSET('Zip Code Lines_1'!$Z$3,MATCH('Zip Code Lines_1'!C983,'Zip Code Lines_1'!$Q$4:$Q$26,0),0)</f>
        <v>88.4</v>
      </c>
      <c r="G983" s="342">
        <f ca="1">OFFSET('Zip Code Lines_1'!$AC$3,MATCH('Zip Code Lines_1'!C983,'Zip Code Lines_1'!$Q$4:$Q$26,0),0)</f>
        <v>12</v>
      </c>
      <c r="H983" s="342">
        <v>12527</v>
      </c>
    </row>
    <row r="984" spans="2:8" x14ac:dyDescent="0.25">
      <c r="B984" s="342">
        <v>12528</v>
      </c>
      <c r="C984" s="343" t="s">
        <v>563</v>
      </c>
      <c r="D984" s="343" t="str">
        <f ca="1">OFFSET('Zip Code Lines_1'!$U$3,MATCH('Zip Code Lines_1'!C984,'Zip Code Lines_1'!$Q$4:$Q$26,0),0)</f>
        <v>Poughkeepsie</v>
      </c>
      <c r="E984" s="344">
        <f ca="1">OFFSET('Zip Code Lines_1'!$W$3,MATCH('Zip Code Lines_1'!C984,'Zip Code Lines_1'!$Q$4:$Q$26,0),0)</f>
        <v>8.4</v>
      </c>
      <c r="F984" s="344">
        <f ca="1">OFFSET('Zip Code Lines_1'!$Z$3,MATCH('Zip Code Lines_1'!C984,'Zip Code Lines_1'!$Q$4:$Q$26,0),0)</f>
        <v>88.4</v>
      </c>
      <c r="G984" s="342">
        <f ca="1">OFFSET('Zip Code Lines_1'!$AC$3,MATCH('Zip Code Lines_1'!C984,'Zip Code Lines_1'!$Q$4:$Q$26,0),0)</f>
        <v>12</v>
      </c>
      <c r="H984" s="342">
        <v>12528</v>
      </c>
    </row>
    <row r="985" spans="2:8" x14ac:dyDescent="0.25">
      <c r="B985" s="342">
        <v>12529</v>
      </c>
      <c r="C985" s="343" t="s">
        <v>549</v>
      </c>
      <c r="D985" s="343" t="str">
        <f ca="1">OFFSET('Zip Code Lines_1'!$U$3,MATCH('Zip Code Lines_1'!C985,'Zip Code Lines_1'!$Q$4:$Q$26,0),0)</f>
        <v>Monticello</v>
      </c>
      <c r="E985" s="344">
        <f ca="1">OFFSET('Zip Code Lines_1'!$W$3,MATCH('Zip Code Lines_1'!C985,'Zip Code Lines_1'!$Q$4:$Q$26,0),0)</f>
        <v>4.7</v>
      </c>
      <c r="F985" s="344">
        <f ca="1">OFFSET('Zip Code Lines_1'!$Z$3,MATCH('Zip Code Lines_1'!C985,'Zip Code Lines_1'!$Q$4:$Q$26,0),0)</f>
        <v>82.5</v>
      </c>
      <c r="G985" s="342">
        <f ca="1">OFFSET('Zip Code Lines_1'!$AC$3,MATCH('Zip Code Lines_1'!C985,'Zip Code Lines_1'!$Q$4:$Q$26,0),0)</f>
        <v>12</v>
      </c>
      <c r="H985" s="342">
        <v>12529</v>
      </c>
    </row>
    <row r="986" spans="2:8" x14ac:dyDescent="0.25">
      <c r="B986" s="342">
        <v>12530</v>
      </c>
      <c r="C986" s="343" t="s">
        <v>530</v>
      </c>
      <c r="D986" s="343" t="str">
        <f ca="1">OFFSET('Zip Code Lines_1'!$U$3,MATCH('Zip Code Lines_1'!C986,'Zip Code Lines_1'!$Q$4:$Q$26,0),0)</f>
        <v>Albany</v>
      </c>
      <c r="E986" s="344">
        <f ca="1">OFFSET('Zip Code Lines_1'!$W$3,MATCH('Zip Code Lines_1'!C986,'Zip Code Lines_1'!$Q$4:$Q$26,0),0)</f>
        <v>4.7</v>
      </c>
      <c r="F986" s="344">
        <f ca="1">OFFSET('Zip Code Lines_1'!$Z$3,MATCH('Zip Code Lines_1'!C986,'Zip Code Lines_1'!$Q$4:$Q$26,0),0)</f>
        <v>86.1</v>
      </c>
      <c r="G986" s="342">
        <f ca="1">OFFSET('Zip Code Lines_1'!$AC$3,MATCH('Zip Code Lines_1'!C986,'Zip Code Lines_1'!$Q$4:$Q$26,0),0)</f>
        <v>12</v>
      </c>
      <c r="H986" s="342">
        <v>12530</v>
      </c>
    </row>
    <row r="987" spans="2:8" x14ac:dyDescent="0.25">
      <c r="B987" s="342">
        <v>12531</v>
      </c>
      <c r="C987" s="343" t="s">
        <v>563</v>
      </c>
      <c r="D987" s="343" t="str">
        <f ca="1">OFFSET('Zip Code Lines_1'!$U$3,MATCH('Zip Code Lines_1'!C987,'Zip Code Lines_1'!$Q$4:$Q$26,0),0)</f>
        <v>Poughkeepsie</v>
      </c>
      <c r="E987" s="344">
        <f ca="1">OFFSET('Zip Code Lines_1'!$W$3,MATCH('Zip Code Lines_1'!C987,'Zip Code Lines_1'!$Q$4:$Q$26,0),0)</f>
        <v>8.4</v>
      </c>
      <c r="F987" s="344">
        <f ca="1">OFFSET('Zip Code Lines_1'!$Z$3,MATCH('Zip Code Lines_1'!C987,'Zip Code Lines_1'!$Q$4:$Q$26,0),0)</f>
        <v>88.4</v>
      </c>
      <c r="G987" s="342">
        <f ca="1">OFFSET('Zip Code Lines_1'!$AC$3,MATCH('Zip Code Lines_1'!C987,'Zip Code Lines_1'!$Q$4:$Q$26,0),0)</f>
        <v>12</v>
      </c>
      <c r="H987" s="342">
        <v>12531</v>
      </c>
    </row>
    <row r="988" spans="2:8" x14ac:dyDescent="0.25">
      <c r="B988" s="342">
        <v>12533</v>
      </c>
      <c r="C988" s="343" t="s">
        <v>563</v>
      </c>
      <c r="D988" s="343" t="str">
        <f ca="1">OFFSET('Zip Code Lines_1'!$U$3,MATCH('Zip Code Lines_1'!C988,'Zip Code Lines_1'!$Q$4:$Q$26,0),0)</f>
        <v>Poughkeepsie</v>
      </c>
      <c r="E988" s="344">
        <f ca="1">OFFSET('Zip Code Lines_1'!$W$3,MATCH('Zip Code Lines_1'!C988,'Zip Code Lines_1'!$Q$4:$Q$26,0),0)</f>
        <v>8.4</v>
      </c>
      <c r="F988" s="344">
        <f ca="1">OFFSET('Zip Code Lines_1'!$Z$3,MATCH('Zip Code Lines_1'!C988,'Zip Code Lines_1'!$Q$4:$Q$26,0),0)</f>
        <v>88.4</v>
      </c>
      <c r="G988" s="342">
        <f ca="1">OFFSET('Zip Code Lines_1'!$AC$3,MATCH('Zip Code Lines_1'!C988,'Zip Code Lines_1'!$Q$4:$Q$26,0),0)</f>
        <v>12</v>
      </c>
      <c r="H988" s="342">
        <v>12533</v>
      </c>
    </row>
    <row r="989" spans="2:8" x14ac:dyDescent="0.25">
      <c r="B989" s="342">
        <v>12534</v>
      </c>
      <c r="C989" s="343" t="s">
        <v>530</v>
      </c>
      <c r="D989" s="343" t="str">
        <f ca="1">OFFSET('Zip Code Lines_1'!$U$3,MATCH('Zip Code Lines_1'!C989,'Zip Code Lines_1'!$Q$4:$Q$26,0),0)</f>
        <v>Albany</v>
      </c>
      <c r="E989" s="344">
        <f ca="1">OFFSET('Zip Code Lines_1'!$W$3,MATCH('Zip Code Lines_1'!C989,'Zip Code Lines_1'!$Q$4:$Q$26,0),0)</f>
        <v>4.7</v>
      </c>
      <c r="F989" s="344">
        <f ca="1">OFFSET('Zip Code Lines_1'!$Z$3,MATCH('Zip Code Lines_1'!C989,'Zip Code Lines_1'!$Q$4:$Q$26,0),0)</f>
        <v>86.1</v>
      </c>
      <c r="G989" s="342">
        <f ca="1">OFFSET('Zip Code Lines_1'!$AC$3,MATCH('Zip Code Lines_1'!C989,'Zip Code Lines_1'!$Q$4:$Q$26,0),0)</f>
        <v>12</v>
      </c>
      <c r="H989" s="342">
        <v>12534</v>
      </c>
    </row>
    <row r="990" spans="2:8" x14ac:dyDescent="0.25">
      <c r="B990" s="342">
        <v>12537</v>
      </c>
      <c r="C990" s="343" t="s">
        <v>563</v>
      </c>
      <c r="D990" s="343" t="str">
        <f ca="1">OFFSET('Zip Code Lines_1'!$U$3,MATCH('Zip Code Lines_1'!C990,'Zip Code Lines_1'!$Q$4:$Q$26,0),0)</f>
        <v>Poughkeepsie</v>
      </c>
      <c r="E990" s="344">
        <f ca="1">OFFSET('Zip Code Lines_1'!$W$3,MATCH('Zip Code Lines_1'!C990,'Zip Code Lines_1'!$Q$4:$Q$26,0),0)</f>
        <v>8.4</v>
      </c>
      <c r="F990" s="344">
        <f ca="1">OFFSET('Zip Code Lines_1'!$Z$3,MATCH('Zip Code Lines_1'!C990,'Zip Code Lines_1'!$Q$4:$Q$26,0),0)</f>
        <v>88.4</v>
      </c>
      <c r="G990" s="342">
        <f ca="1">OFFSET('Zip Code Lines_1'!$AC$3,MATCH('Zip Code Lines_1'!C990,'Zip Code Lines_1'!$Q$4:$Q$26,0),0)</f>
        <v>12</v>
      </c>
      <c r="H990" s="342">
        <v>12537</v>
      </c>
    </row>
    <row r="991" spans="2:8" x14ac:dyDescent="0.25">
      <c r="B991" s="342">
        <v>12538</v>
      </c>
      <c r="C991" s="343" t="s">
        <v>563</v>
      </c>
      <c r="D991" s="343" t="str">
        <f ca="1">OFFSET('Zip Code Lines_1'!$U$3,MATCH('Zip Code Lines_1'!C991,'Zip Code Lines_1'!$Q$4:$Q$26,0),0)</f>
        <v>Poughkeepsie</v>
      </c>
      <c r="E991" s="344">
        <f ca="1">OFFSET('Zip Code Lines_1'!$W$3,MATCH('Zip Code Lines_1'!C991,'Zip Code Lines_1'!$Q$4:$Q$26,0),0)</f>
        <v>8.4</v>
      </c>
      <c r="F991" s="344">
        <f ca="1">OFFSET('Zip Code Lines_1'!$Z$3,MATCH('Zip Code Lines_1'!C991,'Zip Code Lines_1'!$Q$4:$Q$26,0),0)</f>
        <v>88.4</v>
      </c>
      <c r="G991" s="342">
        <f ca="1">OFFSET('Zip Code Lines_1'!$AC$3,MATCH('Zip Code Lines_1'!C991,'Zip Code Lines_1'!$Q$4:$Q$26,0),0)</f>
        <v>12</v>
      </c>
      <c r="H991" s="342">
        <v>12538</v>
      </c>
    </row>
    <row r="992" spans="2:8" x14ac:dyDescent="0.25">
      <c r="B992" s="342">
        <v>12540</v>
      </c>
      <c r="C992" s="343" t="s">
        <v>563</v>
      </c>
      <c r="D992" s="343" t="str">
        <f ca="1">OFFSET('Zip Code Lines_1'!$U$3,MATCH('Zip Code Lines_1'!C992,'Zip Code Lines_1'!$Q$4:$Q$26,0),0)</f>
        <v>Poughkeepsie</v>
      </c>
      <c r="E992" s="344">
        <f ca="1">OFFSET('Zip Code Lines_1'!$W$3,MATCH('Zip Code Lines_1'!C992,'Zip Code Lines_1'!$Q$4:$Q$26,0),0)</f>
        <v>8.4</v>
      </c>
      <c r="F992" s="344">
        <f ca="1">OFFSET('Zip Code Lines_1'!$Z$3,MATCH('Zip Code Lines_1'!C992,'Zip Code Lines_1'!$Q$4:$Q$26,0),0)</f>
        <v>88.4</v>
      </c>
      <c r="G992" s="342">
        <f ca="1">OFFSET('Zip Code Lines_1'!$AC$3,MATCH('Zip Code Lines_1'!C992,'Zip Code Lines_1'!$Q$4:$Q$26,0),0)</f>
        <v>12</v>
      </c>
      <c r="H992" s="342">
        <v>12540</v>
      </c>
    </row>
    <row r="993" spans="2:8" x14ac:dyDescent="0.25">
      <c r="B993" s="342">
        <v>12541</v>
      </c>
      <c r="C993" s="343" t="s">
        <v>563</v>
      </c>
      <c r="D993" s="343" t="str">
        <f ca="1">OFFSET('Zip Code Lines_1'!$U$3,MATCH('Zip Code Lines_1'!C993,'Zip Code Lines_1'!$Q$4:$Q$26,0),0)</f>
        <v>Poughkeepsie</v>
      </c>
      <c r="E993" s="344">
        <f ca="1">OFFSET('Zip Code Lines_1'!$W$3,MATCH('Zip Code Lines_1'!C993,'Zip Code Lines_1'!$Q$4:$Q$26,0),0)</f>
        <v>8.4</v>
      </c>
      <c r="F993" s="344">
        <f ca="1">OFFSET('Zip Code Lines_1'!$Z$3,MATCH('Zip Code Lines_1'!C993,'Zip Code Lines_1'!$Q$4:$Q$26,0),0)</f>
        <v>88.4</v>
      </c>
      <c r="G993" s="342">
        <f ca="1">OFFSET('Zip Code Lines_1'!$AC$3,MATCH('Zip Code Lines_1'!C993,'Zip Code Lines_1'!$Q$4:$Q$26,0),0)</f>
        <v>12</v>
      </c>
      <c r="H993" s="342">
        <v>12541</v>
      </c>
    </row>
    <row r="994" spans="2:8" x14ac:dyDescent="0.25">
      <c r="B994" s="342">
        <v>12542</v>
      </c>
      <c r="C994" s="343" t="s">
        <v>563</v>
      </c>
      <c r="D994" s="343" t="str">
        <f ca="1">OFFSET('Zip Code Lines_1'!$U$3,MATCH('Zip Code Lines_1'!C994,'Zip Code Lines_1'!$Q$4:$Q$26,0),0)</f>
        <v>Poughkeepsie</v>
      </c>
      <c r="E994" s="344">
        <f ca="1">OFFSET('Zip Code Lines_1'!$W$3,MATCH('Zip Code Lines_1'!C994,'Zip Code Lines_1'!$Q$4:$Q$26,0),0)</f>
        <v>8.4</v>
      </c>
      <c r="F994" s="344">
        <f ca="1">OFFSET('Zip Code Lines_1'!$Z$3,MATCH('Zip Code Lines_1'!C994,'Zip Code Lines_1'!$Q$4:$Q$26,0),0)</f>
        <v>88.4</v>
      </c>
      <c r="G994" s="342">
        <f ca="1">OFFSET('Zip Code Lines_1'!$AC$3,MATCH('Zip Code Lines_1'!C994,'Zip Code Lines_1'!$Q$4:$Q$26,0),0)</f>
        <v>12</v>
      </c>
      <c r="H994" s="342">
        <v>12542</v>
      </c>
    </row>
    <row r="995" spans="2:8" x14ac:dyDescent="0.25">
      <c r="B995" s="342">
        <v>12543</v>
      </c>
      <c r="C995" s="343" t="s">
        <v>563</v>
      </c>
      <c r="D995" s="343" t="str">
        <f ca="1">OFFSET('Zip Code Lines_1'!$U$3,MATCH('Zip Code Lines_1'!C995,'Zip Code Lines_1'!$Q$4:$Q$26,0),0)</f>
        <v>Poughkeepsie</v>
      </c>
      <c r="E995" s="344">
        <f ca="1">OFFSET('Zip Code Lines_1'!$W$3,MATCH('Zip Code Lines_1'!C995,'Zip Code Lines_1'!$Q$4:$Q$26,0),0)</f>
        <v>8.4</v>
      </c>
      <c r="F995" s="344">
        <f ca="1">OFFSET('Zip Code Lines_1'!$Z$3,MATCH('Zip Code Lines_1'!C995,'Zip Code Lines_1'!$Q$4:$Q$26,0),0)</f>
        <v>88.4</v>
      </c>
      <c r="G995" s="342">
        <f ca="1">OFFSET('Zip Code Lines_1'!$AC$3,MATCH('Zip Code Lines_1'!C995,'Zip Code Lines_1'!$Q$4:$Q$26,0),0)</f>
        <v>12</v>
      </c>
      <c r="H995" s="342">
        <v>12543</v>
      </c>
    </row>
    <row r="996" spans="2:8" x14ac:dyDescent="0.25">
      <c r="B996" s="342">
        <v>12544</v>
      </c>
      <c r="C996" s="343" t="s">
        <v>530</v>
      </c>
      <c r="D996" s="343" t="str">
        <f ca="1">OFFSET('Zip Code Lines_1'!$U$3,MATCH('Zip Code Lines_1'!C996,'Zip Code Lines_1'!$Q$4:$Q$26,0),0)</f>
        <v>Albany</v>
      </c>
      <c r="E996" s="344">
        <f ca="1">OFFSET('Zip Code Lines_1'!$W$3,MATCH('Zip Code Lines_1'!C996,'Zip Code Lines_1'!$Q$4:$Q$26,0),0)</f>
        <v>4.7</v>
      </c>
      <c r="F996" s="344">
        <f ca="1">OFFSET('Zip Code Lines_1'!$Z$3,MATCH('Zip Code Lines_1'!C996,'Zip Code Lines_1'!$Q$4:$Q$26,0),0)</f>
        <v>86.1</v>
      </c>
      <c r="G996" s="342">
        <f ca="1">OFFSET('Zip Code Lines_1'!$AC$3,MATCH('Zip Code Lines_1'!C996,'Zip Code Lines_1'!$Q$4:$Q$26,0),0)</f>
        <v>12</v>
      </c>
      <c r="H996" s="342">
        <v>12544</v>
      </c>
    </row>
    <row r="997" spans="2:8" x14ac:dyDescent="0.25">
      <c r="B997" s="342">
        <v>12545</v>
      </c>
      <c r="C997" s="343" t="s">
        <v>563</v>
      </c>
      <c r="D997" s="343" t="str">
        <f ca="1">OFFSET('Zip Code Lines_1'!$U$3,MATCH('Zip Code Lines_1'!C997,'Zip Code Lines_1'!$Q$4:$Q$26,0),0)</f>
        <v>Poughkeepsie</v>
      </c>
      <c r="E997" s="344">
        <f ca="1">OFFSET('Zip Code Lines_1'!$W$3,MATCH('Zip Code Lines_1'!C997,'Zip Code Lines_1'!$Q$4:$Q$26,0),0)</f>
        <v>8.4</v>
      </c>
      <c r="F997" s="344">
        <f ca="1">OFFSET('Zip Code Lines_1'!$Z$3,MATCH('Zip Code Lines_1'!C997,'Zip Code Lines_1'!$Q$4:$Q$26,0),0)</f>
        <v>88.4</v>
      </c>
      <c r="G997" s="342">
        <f ca="1">OFFSET('Zip Code Lines_1'!$AC$3,MATCH('Zip Code Lines_1'!C997,'Zip Code Lines_1'!$Q$4:$Q$26,0),0)</f>
        <v>12</v>
      </c>
      <c r="H997" s="342">
        <v>12545</v>
      </c>
    </row>
    <row r="998" spans="2:8" x14ac:dyDescent="0.25">
      <c r="B998" s="342">
        <v>12546</v>
      </c>
      <c r="C998" s="343" t="s">
        <v>549</v>
      </c>
      <c r="D998" s="343" t="str">
        <f ca="1">OFFSET('Zip Code Lines_1'!$U$3,MATCH('Zip Code Lines_1'!C998,'Zip Code Lines_1'!$Q$4:$Q$26,0),0)</f>
        <v>Monticello</v>
      </c>
      <c r="E998" s="344">
        <f ca="1">OFFSET('Zip Code Lines_1'!$W$3,MATCH('Zip Code Lines_1'!C998,'Zip Code Lines_1'!$Q$4:$Q$26,0),0)</f>
        <v>4.7</v>
      </c>
      <c r="F998" s="344">
        <f ca="1">OFFSET('Zip Code Lines_1'!$Z$3,MATCH('Zip Code Lines_1'!C998,'Zip Code Lines_1'!$Q$4:$Q$26,0),0)</f>
        <v>82.5</v>
      </c>
      <c r="G998" s="342">
        <f ca="1">OFFSET('Zip Code Lines_1'!$AC$3,MATCH('Zip Code Lines_1'!C998,'Zip Code Lines_1'!$Q$4:$Q$26,0),0)</f>
        <v>12</v>
      </c>
      <c r="H998" s="342">
        <v>12546</v>
      </c>
    </row>
    <row r="999" spans="2:8" x14ac:dyDescent="0.25">
      <c r="B999" s="342">
        <v>12547</v>
      </c>
      <c r="C999" s="343" t="s">
        <v>563</v>
      </c>
      <c r="D999" s="343" t="str">
        <f ca="1">OFFSET('Zip Code Lines_1'!$U$3,MATCH('Zip Code Lines_1'!C999,'Zip Code Lines_1'!$Q$4:$Q$26,0),0)</f>
        <v>Poughkeepsie</v>
      </c>
      <c r="E999" s="344">
        <f ca="1">OFFSET('Zip Code Lines_1'!$W$3,MATCH('Zip Code Lines_1'!C999,'Zip Code Lines_1'!$Q$4:$Q$26,0),0)</f>
        <v>8.4</v>
      </c>
      <c r="F999" s="344">
        <f ca="1">OFFSET('Zip Code Lines_1'!$Z$3,MATCH('Zip Code Lines_1'!C999,'Zip Code Lines_1'!$Q$4:$Q$26,0),0)</f>
        <v>88.4</v>
      </c>
      <c r="G999" s="342">
        <f ca="1">OFFSET('Zip Code Lines_1'!$AC$3,MATCH('Zip Code Lines_1'!C999,'Zip Code Lines_1'!$Q$4:$Q$26,0),0)</f>
        <v>12</v>
      </c>
      <c r="H999" s="342">
        <v>12547</v>
      </c>
    </row>
    <row r="1000" spans="2:8" x14ac:dyDescent="0.25">
      <c r="B1000" s="342">
        <v>12548</v>
      </c>
      <c r="C1000" s="343" t="s">
        <v>563</v>
      </c>
      <c r="D1000" s="343" t="str">
        <f ca="1">OFFSET('Zip Code Lines_1'!$U$3,MATCH('Zip Code Lines_1'!C1000,'Zip Code Lines_1'!$Q$4:$Q$26,0),0)</f>
        <v>Poughkeepsie</v>
      </c>
      <c r="E1000" s="344">
        <f ca="1">OFFSET('Zip Code Lines_1'!$W$3,MATCH('Zip Code Lines_1'!C1000,'Zip Code Lines_1'!$Q$4:$Q$26,0),0)</f>
        <v>8.4</v>
      </c>
      <c r="F1000" s="344">
        <f ca="1">OFFSET('Zip Code Lines_1'!$Z$3,MATCH('Zip Code Lines_1'!C1000,'Zip Code Lines_1'!$Q$4:$Q$26,0),0)</f>
        <v>88.4</v>
      </c>
      <c r="G1000" s="342">
        <f ca="1">OFFSET('Zip Code Lines_1'!$AC$3,MATCH('Zip Code Lines_1'!C1000,'Zip Code Lines_1'!$Q$4:$Q$26,0),0)</f>
        <v>12</v>
      </c>
      <c r="H1000" s="342">
        <v>12548</v>
      </c>
    </row>
    <row r="1001" spans="2:8" x14ac:dyDescent="0.25">
      <c r="B1001" s="342">
        <v>12549</v>
      </c>
      <c r="C1001" s="343" t="s">
        <v>563</v>
      </c>
      <c r="D1001" s="343" t="str">
        <f ca="1">OFFSET('Zip Code Lines_1'!$U$3,MATCH('Zip Code Lines_1'!C1001,'Zip Code Lines_1'!$Q$4:$Q$26,0),0)</f>
        <v>Poughkeepsie</v>
      </c>
      <c r="E1001" s="344">
        <f ca="1">OFFSET('Zip Code Lines_1'!$W$3,MATCH('Zip Code Lines_1'!C1001,'Zip Code Lines_1'!$Q$4:$Q$26,0),0)</f>
        <v>8.4</v>
      </c>
      <c r="F1001" s="344">
        <f ca="1">OFFSET('Zip Code Lines_1'!$Z$3,MATCH('Zip Code Lines_1'!C1001,'Zip Code Lines_1'!$Q$4:$Q$26,0),0)</f>
        <v>88.4</v>
      </c>
      <c r="G1001" s="342">
        <f ca="1">OFFSET('Zip Code Lines_1'!$AC$3,MATCH('Zip Code Lines_1'!C1001,'Zip Code Lines_1'!$Q$4:$Q$26,0),0)</f>
        <v>12</v>
      </c>
      <c r="H1001" s="342">
        <v>12549</v>
      </c>
    </row>
    <row r="1002" spans="2:8" x14ac:dyDescent="0.25">
      <c r="B1002" s="342">
        <v>12550</v>
      </c>
      <c r="C1002" s="343" t="s">
        <v>563</v>
      </c>
      <c r="D1002" s="343" t="str">
        <f ca="1">OFFSET('Zip Code Lines_1'!$U$3,MATCH('Zip Code Lines_1'!C1002,'Zip Code Lines_1'!$Q$4:$Q$26,0),0)</f>
        <v>Poughkeepsie</v>
      </c>
      <c r="E1002" s="344">
        <f ca="1">OFFSET('Zip Code Lines_1'!$W$3,MATCH('Zip Code Lines_1'!C1002,'Zip Code Lines_1'!$Q$4:$Q$26,0),0)</f>
        <v>8.4</v>
      </c>
      <c r="F1002" s="344">
        <f ca="1">OFFSET('Zip Code Lines_1'!$Z$3,MATCH('Zip Code Lines_1'!C1002,'Zip Code Lines_1'!$Q$4:$Q$26,0),0)</f>
        <v>88.4</v>
      </c>
      <c r="G1002" s="342">
        <f ca="1">OFFSET('Zip Code Lines_1'!$AC$3,MATCH('Zip Code Lines_1'!C1002,'Zip Code Lines_1'!$Q$4:$Q$26,0),0)</f>
        <v>12</v>
      </c>
      <c r="H1002" s="342">
        <v>12550</v>
      </c>
    </row>
    <row r="1003" spans="2:8" x14ac:dyDescent="0.25">
      <c r="B1003" s="342">
        <v>12551</v>
      </c>
      <c r="C1003" s="343" t="s">
        <v>563</v>
      </c>
      <c r="D1003" s="343" t="str">
        <f ca="1">OFFSET('Zip Code Lines_1'!$U$3,MATCH('Zip Code Lines_1'!C1003,'Zip Code Lines_1'!$Q$4:$Q$26,0),0)</f>
        <v>Poughkeepsie</v>
      </c>
      <c r="E1003" s="344">
        <f ca="1">OFFSET('Zip Code Lines_1'!$W$3,MATCH('Zip Code Lines_1'!C1003,'Zip Code Lines_1'!$Q$4:$Q$26,0),0)</f>
        <v>8.4</v>
      </c>
      <c r="F1003" s="344">
        <f ca="1">OFFSET('Zip Code Lines_1'!$Z$3,MATCH('Zip Code Lines_1'!C1003,'Zip Code Lines_1'!$Q$4:$Q$26,0),0)</f>
        <v>88.4</v>
      </c>
      <c r="G1003" s="342">
        <f ca="1">OFFSET('Zip Code Lines_1'!$AC$3,MATCH('Zip Code Lines_1'!C1003,'Zip Code Lines_1'!$Q$4:$Q$26,0),0)</f>
        <v>12</v>
      </c>
      <c r="H1003" s="342">
        <v>12551</v>
      </c>
    </row>
    <row r="1004" spans="2:8" x14ac:dyDescent="0.25">
      <c r="B1004" s="342">
        <v>12552</v>
      </c>
      <c r="C1004" s="343" t="s">
        <v>563</v>
      </c>
      <c r="D1004" s="343" t="str">
        <f ca="1">OFFSET('Zip Code Lines_1'!$U$3,MATCH('Zip Code Lines_1'!C1004,'Zip Code Lines_1'!$Q$4:$Q$26,0),0)</f>
        <v>Poughkeepsie</v>
      </c>
      <c r="E1004" s="344">
        <f ca="1">OFFSET('Zip Code Lines_1'!$W$3,MATCH('Zip Code Lines_1'!C1004,'Zip Code Lines_1'!$Q$4:$Q$26,0),0)</f>
        <v>8.4</v>
      </c>
      <c r="F1004" s="344">
        <f ca="1">OFFSET('Zip Code Lines_1'!$Z$3,MATCH('Zip Code Lines_1'!C1004,'Zip Code Lines_1'!$Q$4:$Q$26,0),0)</f>
        <v>88.4</v>
      </c>
      <c r="G1004" s="342">
        <f ca="1">OFFSET('Zip Code Lines_1'!$AC$3,MATCH('Zip Code Lines_1'!C1004,'Zip Code Lines_1'!$Q$4:$Q$26,0),0)</f>
        <v>12</v>
      </c>
      <c r="H1004" s="342">
        <v>12552</v>
      </c>
    </row>
    <row r="1005" spans="2:8" x14ac:dyDescent="0.25">
      <c r="B1005" s="342">
        <v>12553</v>
      </c>
      <c r="C1005" s="343" t="s">
        <v>563</v>
      </c>
      <c r="D1005" s="343" t="str">
        <f ca="1">OFFSET('Zip Code Lines_1'!$U$3,MATCH('Zip Code Lines_1'!C1005,'Zip Code Lines_1'!$Q$4:$Q$26,0),0)</f>
        <v>Poughkeepsie</v>
      </c>
      <c r="E1005" s="344">
        <f ca="1">OFFSET('Zip Code Lines_1'!$W$3,MATCH('Zip Code Lines_1'!C1005,'Zip Code Lines_1'!$Q$4:$Q$26,0),0)</f>
        <v>8.4</v>
      </c>
      <c r="F1005" s="344">
        <f ca="1">OFFSET('Zip Code Lines_1'!$Z$3,MATCH('Zip Code Lines_1'!C1005,'Zip Code Lines_1'!$Q$4:$Q$26,0),0)</f>
        <v>88.4</v>
      </c>
      <c r="G1005" s="342">
        <f ca="1">OFFSET('Zip Code Lines_1'!$AC$3,MATCH('Zip Code Lines_1'!C1005,'Zip Code Lines_1'!$Q$4:$Q$26,0),0)</f>
        <v>12</v>
      </c>
      <c r="H1005" s="342">
        <v>12553</v>
      </c>
    </row>
    <row r="1006" spans="2:8" x14ac:dyDescent="0.25">
      <c r="B1006" s="342">
        <v>12555</v>
      </c>
      <c r="C1006" s="343" t="s">
        <v>563</v>
      </c>
      <c r="D1006" s="343" t="str">
        <f ca="1">OFFSET('Zip Code Lines_1'!$U$3,MATCH('Zip Code Lines_1'!C1006,'Zip Code Lines_1'!$Q$4:$Q$26,0),0)</f>
        <v>Poughkeepsie</v>
      </c>
      <c r="E1006" s="344">
        <f ca="1">OFFSET('Zip Code Lines_1'!$W$3,MATCH('Zip Code Lines_1'!C1006,'Zip Code Lines_1'!$Q$4:$Q$26,0),0)</f>
        <v>8.4</v>
      </c>
      <c r="F1006" s="344">
        <f ca="1">OFFSET('Zip Code Lines_1'!$Z$3,MATCH('Zip Code Lines_1'!C1006,'Zip Code Lines_1'!$Q$4:$Q$26,0),0)</f>
        <v>88.4</v>
      </c>
      <c r="G1006" s="342">
        <f ca="1">OFFSET('Zip Code Lines_1'!$AC$3,MATCH('Zip Code Lines_1'!C1006,'Zip Code Lines_1'!$Q$4:$Q$26,0),0)</f>
        <v>12</v>
      </c>
      <c r="H1006" s="342">
        <v>12555</v>
      </c>
    </row>
    <row r="1007" spans="2:8" x14ac:dyDescent="0.25">
      <c r="B1007" s="342">
        <v>12561</v>
      </c>
      <c r="C1007" s="343" t="s">
        <v>563</v>
      </c>
      <c r="D1007" s="343" t="str">
        <f ca="1">OFFSET('Zip Code Lines_1'!$U$3,MATCH('Zip Code Lines_1'!C1007,'Zip Code Lines_1'!$Q$4:$Q$26,0),0)</f>
        <v>Poughkeepsie</v>
      </c>
      <c r="E1007" s="344">
        <f ca="1">OFFSET('Zip Code Lines_1'!$W$3,MATCH('Zip Code Lines_1'!C1007,'Zip Code Lines_1'!$Q$4:$Q$26,0),0)</f>
        <v>8.4</v>
      </c>
      <c r="F1007" s="344">
        <f ca="1">OFFSET('Zip Code Lines_1'!$Z$3,MATCH('Zip Code Lines_1'!C1007,'Zip Code Lines_1'!$Q$4:$Q$26,0),0)</f>
        <v>88.4</v>
      </c>
      <c r="G1007" s="342">
        <f ca="1">OFFSET('Zip Code Lines_1'!$AC$3,MATCH('Zip Code Lines_1'!C1007,'Zip Code Lines_1'!$Q$4:$Q$26,0),0)</f>
        <v>12</v>
      </c>
      <c r="H1007" s="342">
        <v>12561</v>
      </c>
    </row>
    <row r="1008" spans="2:8" x14ac:dyDescent="0.25">
      <c r="B1008" s="342">
        <v>12563</v>
      </c>
      <c r="C1008" s="343" t="s">
        <v>563</v>
      </c>
      <c r="D1008" s="343" t="str">
        <f ca="1">OFFSET('Zip Code Lines_1'!$U$3,MATCH('Zip Code Lines_1'!C1008,'Zip Code Lines_1'!$Q$4:$Q$26,0),0)</f>
        <v>Poughkeepsie</v>
      </c>
      <c r="E1008" s="344">
        <f ca="1">OFFSET('Zip Code Lines_1'!$W$3,MATCH('Zip Code Lines_1'!C1008,'Zip Code Lines_1'!$Q$4:$Q$26,0),0)</f>
        <v>8.4</v>
      </c>
      <c r="F1008" s="344">
        <f ca="1">OFFSET('Zip Code Lines_1'!$Z$3,MATCH('Zip Code Lines_1'!C1008,'Zip Code Lines_1'!$Q$4:$Q$26,0),0)</f>
        <v>88.4</v>
      </c>
      <c r="G1008" s="342">
        <f ca="1">OFFSET('Zip Code Lines_1'!$AC$3,MATCH('Zip Code Lines_1'!C1008,'Zip Code Lines_1'!$Q$4:$Q$26,0),0)</f>
        <v>12</v>
      </c>
      <c r="H1008" s="342">
        <v>12563</v>
      </c>
    </row>
    <row r="1009" spans="2:8" x14ac:dyDescent="0.25">
      <c r="B1009" s="342">
        <v>12564</v>
      </c>
      <c r="C1009" s="343" t="s">
        <v>563</v>
      </c>
      <c r="D1009" s="343" t="str">
        <f ca="1">OFFSET('Zip Code Lines_1'!$U$3,MATCH('Zip Code Lines_1'!C1009,'Zip Code Lines_1'!$Q$4:$Q$26,0),0)</f>
        <v>Poughkeepsie</v>
      </c>
      <c r="E1009" s="344">
        <f ca="1">OFFSET('Zip Code Lines_1'!$W$3,MATCH('Zip Code Lines_1'!C1009,'Zip Code Lines_1'!$Q$4:$Q$26,0),0)</f>
        <v>8.4</v>
      </c>
      <c r="F1009" s="344">
        <f ca="1">OFFSET('Zip Code Lines_1'!$Z$3,MATCH('Zip Code Lines_1'!C1009,'Zip Code Lines_1'!$Q$4:$Q$26,0),0)</f>
        <v>88.4</v>
      </c>
      <c r="G1009" s="342">
        <f ca="1">OFFSET('Zip Code Lines_1'!$AC$3,MATCH('Zip Code Lines_1'!C1009,'Zip Code Lines_1'!$Q$4:$Q$26,0),0)</f>
        <v>12</v>
      </c>
      <c r="H1009" s="342">
        <v>12564</v>
      </c>
    </row>
    <row r="1010" spans="2:8" x14ac:dyDescent="0.25">
      <c r="B1010" s="342">
        <v>12565</v>
      </c>
      <c r="C1010" s="343" t="s">
        <v>530</v>
      </c>
      <c r="D1010" s="343" t="str">
        <f ca="1">OFFSET('Zip Code Lines_1'!$U$3,MATCH('Zip Code Lines_1'!C1010,'Zip Code Lines_1'!$Q$4:$Q$26,0),0)</f>
        <v>Albany</v>
      </c>
      <c r="E1010" s="344">
        <f ca="1">OFFSET('Zip Code Lines_1'!$W$3,MATCH('Zip Code Lines_1'!C1010,'Zip Code Lines_1'!$Q$4:$Q$26,0),0)</f>
        <v>4.7</v>
      </c>
      <c r="F1010" s="344">
        <f ca="1">OFFSET('Zip Code Lines_1'!$Z$3,MATCH('Zip Code Lines_1'!C1010,'Zip Code Lines_1'!$Q$4:$Q$26,0),0)</f>
        <v>86.1</v>
      </c>
      <c r="G1010" s="342">
        <f ca="1">OFFSET('Zip Code Lines_1'!$AC$3,MATCH('Zip Code Lines_1'!C1010,'Zip Code Lines_1'!$Q$4:$Q$26,0),0)</f>
        <v>12</v>
      </c>
      <c r="H1010" s="342">
        <v>12565</v>
      </c>
    </row>
    <row r="1011" spans="2:8" x14ac:dyDescent="0.25">
      <c r="B1011" s="342">
        <v>12566</v>
      </c>
      <c r="C1011" s="343" t="s">
        <v>563</v>
      </c>
      <c r="D1011" s="343" t="str">
        <f ca="1">OFFSET('Zip Code Lines_1'!$U$3,MATCH('Zip Code Lines_1'!C1011,'Zip Code Lines_1'!$Q$4:$Q$26,0),0)</f>
        <v>Poughkeepsie</v>
      </c>
      <c r="E1011" s="344">
        <f ca="1">OFFSET('Zip Code Lines_1'!$W$3,MATCH('Zip Code Lines_1'!C1011,'Zip Code Lines_1'!$Q$4:$Q$26,0),0)</f>
        <v>8.4</v>
      </c>
      <c r="F1011" s="344">
        <f ca="1">OFFSET('Zip Code Lines_1'!$Z$3,MATCH('Zip Code Lines_1'!C1011,'Zip Code Lines_1'!$Q$4:$Q$26,0),0)</f>
        <v>88.4</v>
      </c>
      <c r="G1011" s="342">
        <f ca="1">OFFSET('Zip Code Lines_1'!$AC$3,MATCH('Zip Code Lines_1'!C1011,'Zip Code Lines_1'!$Q$4:$Q$26,0),0)</f>
        <v>12</v>
      </c>
      <c r="H1011" s="342">
        <v>12566</v>
      </c>
    </row>
    <row r="1012" spans="2:8" x14ac:dyDescent="0.25">
      <c r="B1012" s="342">
        <v>12567</v>
      </c>
      <c r="C1012" s="343" t="s">
        <v>530</v>
      </c>
      <c r="D1012" s="343" t="str">
        <f ca="1">OFFSET('Zip Code Lines_1'!$U$3,MATCH('Zip Code Lines_1'!C1012,'Zip Code Lines_1'!$Q$4:$Q$26,0),0)</f>
        <v>Albany</v>
      </c>
      <c r="E1012" s="344">
        <f ca="1">OFFSET('Zip Code Lines_1'!$W$3,MATCH('Zip Code Lines_1'!C1012,'Zip Code Lines_1'!$Q$4:$Q$26,0),0)</f>
        <v>4.7</v>
      </c>
      <c r="F1012" s="344">
        <f ca="1">OFFSET('Zip Code Lines_1'!$Z$3,MATCH('Zip Code Lines_1'!C1012,'Zip Code Lines_1'!$Q$4:$Q$26,0),0)</f>
        <v>86.1</v>
      </c>
      <c r="G1012" s="342">
        <f ca="1">OFFSET('Zip Code Lines_1'!$AC$3,MATCH('Zip Code Lines_1'!C1012,'Zip Code Lines_1'!$Q$4:$Q$26,0),0)</f>
        <v>12</v>
      </c>
      <c r="H1012" s="342">
        <v>12567</v>
      </c>
    </row>
    <row r="1013" spans="2:8" x14ac:dyDescent="0.25">
      <c r="B1013" s="342">
        <v>12568</v>
      </c>
      <c r="C1013" s="343" t="s">
        <v>563</v>
      </c>
      <c r="D1013" s="343" t="str">
        <f ca="1">OFFSET('Zip Code Lines_1'!$U$3,MATCH('Zip Code Lines_1'!C1013,'Zip Code Lines_1'!$Q$4:$Q$26,0),0)</f>
        <v>Poughkeepsie</v>
      </c>
      <c r="E1013" s="344">
        <f ca="1">OFFSET('Zip Code Lines_1'!$W$3,MATCH('Zip Code Lines_1'!C1013,'Zip Code Lines_1'!$Q$4:$Q$26,0),0)</f>
        <v>8.4</v>
      </c>
      <c r="F1013" s="344">
        <f ca="1">OFFSET('Zip Code Lines_1'!$Z$3,MATCH('Zip Code Lines_1'!C1013,'Zip Code Lines_1'!$Q$4:$Q$26,0),0)</f>
        <v>88.4</v>
      </c>
      <c r="G1013" s="342">
        <f ca="1">OFFSET('Zip Code Lines_1'!$AC$3,MATCH('Zip Code Lines_1'!C1013,'Zip Code Lines_1'!$Q$4:$Q$26,0),0)</f>
        <v>12</v>
      </c>
      <c r="H1013" s="342">
        <v>12568</v>
      </c>
    </row>
    <row r="1014" spans="2:8" x14ac:dyDescent="0.25">
      <c r="B1014" s="342">
        <v>12569</v>
      </c>
      <c r="C1014" s="343" t="s">
        <v>563</v>
      </c>
      <c r="D1014" s="343" t="str">
        <f ca="1">OFFSET('Zip Code Lines_1'!$U$3,MATCH('Zip Code Lines_1'!C1014,'Zip Code Lines_1'!$Q$4:$Q$26,0),0)</f>
        <v>Poughkeepsie</v>
      </c>
      <c r="E1014" s="344">
        <f ca="1">OFFSET('Zip Code Lines_1'!$W$3,MATCH('Zip Code Lines_1'!C1014,'Zip Code Lines_1'!$Q$4:$Q$26,0),0)</f>
        <v>8.4</v>
      </c>
      <c r="F1014" s="344">
        <f ca="1">OFFSET('Zip Code Lines_1'!$Z$3,MATCH('Zip Code Lines_1'!C1014,'Zip Code Lines_1'!$Q$4:$Q$26,0),0)</f>
        <v>88.4</v>
      </c>
      <c r="G1014" s="342">
        <f ca="1">OFFSET('Zip Code Lines_1'!$AC$3,MATCH('Zip Code Lines_1'!C1014,'Zip Code Lines_1'!$Q$4:$Q$26,0),0)</f>
        <v>12</v>
      </c>
      <c r="H1014" s="342">
        <v>12569</v>
      </c>
    </row>
    <row r="1015" spans="2:8" x14ac:dyDescent="0.25">
      <c r="B1015" s="342">
        <v>12570</v>
      </c>
      <c r="C1015" s="343" t="s">
        <v>563</v>
      </c>
      <c r="D1015" s="343" t="str">
        <f ca="1">OFFSET('Zip Code Lines_1'!$U$3,MATCH('Zip Code Lines_1'!C1015,'Zip Code Lines_1'!$Q$4:$Q$26,0),0)</f>
        <v>Poughkeepsie</v>
      </c>
      <c r="E1015" s="344">
        <f ca="1">OFFSET('Zip Code Lines_1'!$W$3,MATCH('Zip Code Lines_1'!C1015,'Zip Code Lines_1'!$Q$4:$Q$26,0),0)</f>
        <v>8.4</v>
      </c>
      <c r="F1015" s="344">
        <f ca="1">OFFSET('Zip Code Lines_1'!$Z$3,MATCH('Zip Code Lines_1'!C1015,'Zip Code Lines_1'!$Q$4:$Q$26,0),0)</f>
        <v>88.4</v>
      </c>
      <c r="G1015" s="342">
        <f ca="1">OFFSET('Zip Code Lines_1'!$AC$3,MATCH('Zip Code Lines_1'!C1015,'Zip Code Lines_1'!$Q$4:$Q$26,0),0)</f>
        <v>12</v>
      </c>
      <c r="H1015" s="342">
        <v>12570</v>
      </c>
    </row>
    <row r="1016" spans="2:8" x14ac:dyDescent="0.25">
      <c r="B1016" s="342">
        <v>12571</v>
      </c>
      <c r="C1016" s="343" t="s">
        <v>530</v>
      </c>
      <c r="D1016" s="343" t="str">
        <f ca="1">OFFSET('Zip Code Lines_1'!$U$3,MATCH('Zip Code Lines_1'!C1016,'Zip Code Lines_1'!$Q$4:$Q$26,0),0)</f>
        <v>Albany</v>
      </c>
      <c r="E1016" s="344">
        <f ca="1">OFFSET('Zip Code Lines_1'!$W$3,MATCH('Zip Code Lines_1'!C1016,'Zip Code Lines_1'!$Q$4:$Q$26,0),0)</f>
        <v>4.7</v>
      </c>
      <c r="F1016" s="344">
        <f ca="1">OFFSET('Zip Code Lines_1'!$Z$3,MATCH('Zip Code Lines_1'!C1016,'Zip Code Lines_1'!$Q$4:$Q$26,0),0)</f>
        <v>86.1</v>
      </c>
      <c r="G1016" s="342">
        <f ca="1">OFFSET('Zip Code Lines_1'!$AC$3,MATCH('Zip Code Lines_1'!C1016,'Zip Code Lines_1'!$Q$4:$Q$26,0),0)</f>
        <v>12</v>
      </c>
      <c r="H1016" s="342">
        <v>12571</v>
      </c>
    </row>
    <row r="1017" spans="2:8" x14ac:dyDescent="0.25">
      <c r="B1017" s="342">
        <v>12572</v>
      </c>
      <c r="C1017" s="343" t="s">
        <v>563</v>
      </c>
      <c r="D1017" s="343" t="str">
        <f ca="1">OFFSET('Zip Code Lines_1'!$U$3,MATCH('Zip Code Lines_1'!C1017,'Zip Code Lines_1'!$Q$4:$Q$26,0),0)</f>
        <v>Poughkeepsie</v>
      </c>
      <c r="E1017" s="344">
        <f ca="1">OFFSET('Zip Code Lines_1'!$W$3,MATCH('Zip Code Lines_1'!C1017,'Zip Code Lines_1'!$Q$4:$Q$26,0),0)</f>
        <v>8.4</v>
      </c>
      <c r="F1017" s="344">
        <f ca="1">OFFSET('Zip Code Lines_1'!$Z$3,MATCH('Zip Code Lines_1'!C1017,'Zip Code Lines_1'!$Q$4:$Q$26,0),0)</f>
        <v>88.4</v>
      </c>
      <c r="G1017" s="342">
        <f ca="1">OFFSET('Zip Code Lines_1'!$AC$3,MATCH('Zip Code Lines_1'!C1017,'Zip Code Lines_1'!$Q$4:$Q$26,0),0)</f>
        <v>12</v>
      </c>
      <c r="H1017" s="342">
        <v>12572</v>
      </c>
    </row>
    <row r="1018" spans="2:8" x14ac:dyDescent="0.25">
      <c r="B1018" s="342">
        <v>12574</v>
      </c>
      <c r="C1018" s="343" t="s">
        <v>563</v>
      </c>
      <c r="D1018" s="343" t="str">
        <f ca="1">OFFSET('Zip Code Lines_1'!$U$3,MATCH('Zip Code Lines_1'!C1018,'Zip Code Lines_1'!$Q$4:$Q$26,0),0)</f>
        <v>Poughkeepsie</v>
      </c>
      <c r="E1018" s="344">
        <f ca="1">OFFSET('Zip Code Lines_1'!$W$3,MATCH('Zip Code Lines_1'!C1018,'Zip Code Lines_1'!$Q$4:$Q$26,0),0)</f>
        <v>8.4</v>
      </c>
      <c r="F1018" s="344">
        <f ca="1">OFFSET('Zip Code Lines_1'!$Z$3,MATCH('Zip Code Lines_1'!C1018,'Zip Code Lines_1'!$Q$4:$Q$26,0),0)</f>
        <v>88.4</v>
      </c>
      <c r="G1018" s="342">
        <f ca="1">OFFSET('Zip Code Lines_1'!$AC$3,MATCH('Zip Code Lines_1'!C1018,'Zip Code Lines_1'!$Q$4:$Q$26,0),0)</f>
        <v>12</v>
      </c>
      <c r="H1018" s="342">
        <v>12574</v>
      </c>
    </row>
    <row r="1019" spans="2:8" x14ac:dyDescent="0.25">
      <c r="B1019" s="342">
        <v>12575</v>
      </c>
      <c r="C1019" s="343" t="s">
        <v>563</v>
      </c>
      <c r="D1019" s="343" t="str">
        <f ca="1">OFFSET('Zip Code Lines_1'!$U$3,MATCH('Zip Code Lines_1'!C1019,'Zip Code Lines_1'!$Q$4:$Q$26,0),0)</f>
        <v>Poughkeepsie</v>
      </c>
      <c r="E1019" s="344">
        <f ca="1">OFFSET('Zip Code Lines_1'!$W$3,MATCH('Zip Code Lines_1'!C1019,'Zip Code Lines_1'!$Q$4:$Q$26,0),0)</f>
        <v>8.4</v>
      </c>
      <c r="F1019" s="344">
        <f ca="1">OFFSET('Zip Code Lines_1'!$Z$3,MATCH('Zip Code Lines_1'!C1019,'Zip Code Lines_1'!$Q$4:$Q$26,0),0)</f>
        <v>88.4</v>
      </c>
      <c r="G1019" s="342">
        <f ca="1">OFFSET('Zip Code Lines_1'!$AC$3,MATCH('Zip Code Lines_1'!C1019,'Zip Code Lines_1'!$Q$4:$Q$26,0),0)</f>
        <v>12</v>
      </c>
      <c r="H1019" s="342">
        <v>12575</v>
      </c>
    </row>
    <row r="1020" spans="2:8" x14ac:dyDescent="0.25">
      <c r="B1020" s="342">
        <v>12577</v>
      </c>
      <c r="C1020" s="343" t="s">
        <v>563</v>
      </c>
      <c r="D1020" s="343" t="str">
        <f ca="1">OFFSET('Zip Code Lines_1'!$U$3,MATCH('Zip Code Lines_1'!C1020,'Zip Code Lines_1'!$Q$4:$Q$26,0),0)</f>
        <v>Poughkeepsie</v>
      </c>
      <c r="E1020" s="344">
        <f ca="1">OFFSET('Zip Code Lines_1'!$W$3,MATCH('Zip Code Lines_1'!C1020,'Zip Code Lines_1'!$Q$4:$Q$26,0),0)</f>
        <v>8.4</v>
      </c>
      <c r="F1020" s="344">
        <f ca="1">OFFSET('Zip Code Lines_1'!$Z$3,MATCH('Zip Code Lines_1'!C1020,'Zip Code Lines_1'!$Q$4:$Q$26,0),0)</f>
        <v>88.4</v>
      </c>
      <c r="G1020" s="342">
        <f ca="1">OFFSET('Zip Code Lines_1'!$AC$3,MATCH('Zip Code Lines_1'!C1020,'Zip Code Lines_1'!$Q$4:$Q$26,0),0)</f>
        <v>12</v>
      </c>
      <c r="H1020" s="342">
        <v>12577</v>
      </c>
    </row>
    <row r="1021" spans="2:8" x14ac:dyDescent="0.25">
      <c r="B1021" s="342">
        <v>12578</v>
      </c>
      <c r="C1021" s="343" t="s">
        <v>563</v>
      </c>
      <c r="D1021" s="343" t="str">
        <f ca="1">OFFSET('Zip Code Lines_1'!$U$3,MATCH('Zip Code Lines_1'!C1021,'Zip Code Lines_1'!$Q$4:$Q$26,0),0)</f>
        <v>Poughkeepsie</v>
      </c>
      <c r="E1021" s="344">
        <f ca="1">OFFSET('Zip Code Lines_1'!$W$3,MATCH('Zip Code Lines_1'!C1021,'Zip Code Lines_1'!$Q$4:$Q$26,0),0)</f>
        <v>8.4</v>
      </c>
      <c r="F1021" s="344">
        <f ca="1">OFFSET('Zip Code Lines_1'!$Z$3,MATCH('Zip Code Lines_1'!C1021,'Zip Code Lines_1'!$Q$4:$Q$26,0),0)</f>
        <v>88.4</v>
      </c>
      <c r="G1021" s="342">
        <f ca="1">OFFSET('Zip Code Lines_1'!$AC$3,MATCH('Zip Code Lines_1'!C1021,'Zip Code Lines_1'!$Q$4:$Q$26,0),0)</f>
        <v>12</v>
      </c>
      <c r="H1021" s="342">
        <v>12578</v>
      </c>
    </row>
    <row r="1022" spans="2:8" x14ac:dyDescent="0.25">
      <c r="B1022" s="342">
        <v>12580</v>
      </c>
      <c r="C1022" s="343" t="s">
        <v>563</v>
      </c>
      <c r="D1022" s="343" t="str">
        <f ca="1">OFFSET('Zip Code Lines_1'!$U$3,MATCH('Zip Code Lines_1'!C1022,'Zip Code Lines_1'!$Q$4:$Q$26,0),0)</f>
        <v>Poughkeepsie</v>
      </c>
      <c r="E1022" s="344">
        <f ca="1">OFFSET('Zip Code Lines_1'!$W$3,MATCH('Zip Code Lines_1'!C1022,'Zip Code Lines_1'!$Q$4:$Q$26,0),0)</f>
        <v>8.4</v>
      </c>
      <c r="F1022" s="344">
        <f ca="1">OFFSET('Zip Code Lines_1'!$Z$3,MATCH('Zip Code Lines_1'!C1022,'Zip Code Lines_1'!$Q$4:$Q$26,0),0)</f>
        <v>88.4</v>
      </c>
      <c r="G1022" s="342">
        <f ca="1">OFFSET('Zip Code Lines_1'!$AC$3,MATCH('Zip Code Lines_1'!C1022,'Zip Code Lines_1'!$Q$4:$Q$26,0),0)</f>
        <v>12</v>
      </c>
      <c r="H1022" s="342">
        <v>12580</v>
      </c>
    </row>
    <row r="1023" spans="2:8" x14ac:dyDescent="0.25">
      <c r="B1023" s="342">
        <v>12581</v>
      </c>
      <c r="C1023" s="343" t="s">
        <v>563</v>
      </c>
      <c r="D1023" s="343" t="str">
        <f ca="1">OFFSET('Zip Code Lines_1'!$U$3,MATCH('Zip Code Lines_1'!C1023,'Zip Code Lines_1'!$Q$4:$Q$26,0),0)</f>
        <v>Poughkeepsie</v>
      </c>
      <c r="E1023" s="344">
        <f ca="1">OFFSET('Zip Code Lines_1'!$W$3,MATCH('Zip Code Lines_1'!C1023,'Zip Code Lines_1'!$Q$4:$Q$26,0),0)</f>
        <v>8.4</v>
      </c>
      <c r="F1023" s="344">
        <f ca="1">OFFSET('Zip Code Lines_1'!$Z$3,MATCH('Zip Code Lines_1'!C1023,'Zip Code Lines_1'!$Q$4:$Q$26,0),0)</f>
        <v>88.4</v>
      </c>
      <c r="G1023" s="342">
        <f ca="1">OFFSET('Zip Code Lines_1'!$AC$3,MATCH('Zip Code Lines_1'!C1023,'Zip Code Lines_1'!$Q$4:$Q$26,0),0)</f>
        <v>12</v>
      </c>
      <c r="H1023" s="342">
        <v>12581</v>
      </c>
    </row>
    <row r="1024" spans="2:8" x14ac:dyDescent="0.25">
      <c r="B1024" s="342">
        <v>12582</v>
      </c>
      <c r="C1024" s="343" t="s">
        <v>563</v>
      </c>
      <c r="D1024" s="343" t="str">
        <f ca="1">OFFSET('Zip Code Lines_1'!$U$3,MATCH('Zip Code Lines_1'!C1024,'Zip Code Lines_1'!$Q$4:$Q$26,0),0)</f>
        <v>Poughkeepsie</v>
      </c>
      <c r="E1024" s="344">
        <f ca="1">OFFSET('Zip Code Lines_1'!$W$3,MATCH('Zip Code Lines_1'!C1024,'Zip Code Lines_1'!$Q$4:$Q$26,0),0)</f>
        <v>8.4</v>
      </c>
      <c r="F1024" s="344">
        <f ca="1">OFFSET('Zip Code Lines_1'!$Z$3,MATCH('Zip Code Lines_1'!C1024,'Zip Code Lines_1'!$Q$4:$Q$26,0),0)</f>
        <v>88.4</v>
      </c>
      <c r="G1024" s="342">
        <f ca="1">OFFSET('Zip Code Lines_1'!$AC$3,MATCH('Zip Code Lines_1'!C1024,'Zip Code Lines_1'!$Q$4:$Q$26,0),0)</f>
        <v>12</v>
      </c>
      <c r="H1024" s="342">
        <v>12582</v>
      </c>
    </row>
    <row r="1025" spans="2:8" x14ac:dyDescent="0.25">
      <c r="B1025" s="342">
        <v>12583</v>
      </c>
      <c r="C1025" s="343" t="s">
        <v>563</v>
      </c>
      <c r="D1025" s="343" t="str">
        <f ca="1">OFFSET('Zip Code Lines_1'!$U$3,MATCH('Zip Code Lines_1'!C1025,'Zip Code Lines_1'!$Q$4:$Q$26,0),0)</f>
        <v>Poughkeepsie</v>
      </c>
      <c r="E1025" s="344">
        <f ca="1">OFFSET('Zip Code Lines_1'!$W$3,MATCH('Zip Code Lines_1'!C1025,'Zip Code Lines_1'!$Q$4:$Q$26,0),0)</f>
        <v>8.4</v>
      </c>
      <c r="F1025" s="344">
        <f ca="1">OFFSET('Zip Code Lines_1'!$Z$3,MATCH('Zip Code Lines_1'!C1025,'Zip Code Lines_1'!$Q$4:$Q$26,0),0)</f>
        <v>88.4</v>
      </c>
      <c r="G1025" s="342">
        <f ca="1">OFFSET('Zip Code Lines_1'!$AC$3,MATCH('Zip Code Lines_1'!C1025,'Zip Code Lines_1'!$Q$4:$Q$26,0),0)</f>
        <v>12</v>
      </c>
      <c r="H1025" s="342">
        <v>12583</v>
      </c>
    </row>
    <row r="1026" spans="2:8" x14ac:dyDescent="0.25">
      <c r="B1026" s="342">
        <v>12584</v>
      </c>
      <c r="C1026" s="343" t="s">
        <v>563</v>
      </c>
      <c r="D1026" s="343" t="str">
        <f ca="1">OFFSET('Zip Code Lines_1'!$U$3,MATCH('Zip Code Lines_1'!C1026,'Zip Code Lines_1'!$Q$4:$Q$26,0),0)</f>
        <v>Poughkeepsie</v>
      </c>
      <c r="E1026" s="344">
        <f ca="1">OFFSET('Zip Code Lines_1'!$W$3,MATCH('Zip Code Lines_1'!C1026,'Zip Code Lines_1'!$Q$4:$Q$26,0),0)</f>
        <v>8.4</v>
      </c>
      <c r="F1026" s="344">
        <f ca="1">OFFSET('Zip Code Lines_1'!$Z$3,MATCH('Zip Code Lines_1'!C1026,'Zip Code Lines_1'!$Q$4:$Q$26,0),0)</f>
        <v>88.4</v>
      </c>
      <c r="G1026" s="342">
        <f ca="1">OFFSET('Zip Code Lines_1'!$AC$3,MATCH('Zip Code Lines_1'!C1026,'Zip Code Lines_1'!$Q$4:$Q$26,0),0)</f>
        <v>12</v>
      </c>
      <c r="H1026" s="342">
        <v>12584</v>
      </c>
    </row>
    <row r="1027" spans="2:8" x14ac:dyDescent="0.25">
      <c r="B1027" s="342">
        <v>12585</v>
      </c>
      <c r="C1027" s="343" t="s">
        <v>563</v>
      </c>
      <c r="D1027" s="343" t="str">
        <f ca="1">OFFSET('Zip Code Lines_1'!$U$3,MATCH('Zip Code Lines_1'!C1027,'Zip Code Lines_1'!$Q$4:$Q$26,0),0)</f>
        <v>Poughkeepsie</v>
      </c>
      <c r="E1027" s="344">
        <f ca="1">OFFSET('Zip Code Lines_1'!$W$3,MATCH('Zip Code Lines_1'!C1027,'Zip Code Lines_1'!$Q$4:$Q$26,0),0)</f>
        <v>8.4</v>
      </c>
      <c r="F1027" s="344">
        <f ca="1">OFFSET('Zip Code Lines_1'!$Z$3,MATCH('Zip Code Lines_1'!C1027,'Zip Code Lines_1'!$Q$4:$Q$26,0),0)</f>
        <v>88.4</v>
      </c>
      <c r="G1027" s="342">
        <f ca="1">OFFSET('Zip Code Lines_1'!$AC$3,MATCH('Zip Code Lines_1'!C1027,'Zip Code Lines_1'!$Q$4:$Q$26,0),0)</f>
        <v>12</v>
      </c>
      <c r="H1027" s="342">
        <v>12585</v>
      </c>
    </row>
    <row r="1028" spans="2:8" x14ac:dyDescent="0.25">
      <c r="B1028" s="342">
        <v>12586</v>
      </c>
      <c r="C1028" s="343" t="s">
        <v>563</v>
      </c>
      <c r="D1028" s="343" t="str">
        <f ca="1">OFFSET('Zip Code Lines_1'!$U$3,MATCH('Zip Code Lines_1'!C1028,'Zip Code Lines_1'!$Q$4:$Q$26,0),0)</f>
        <v>Poughkeepsie</v>
      </c>
      <c r="E1028" s="344">
        <f ca="1">OFFSET('Zip Code Lines_1'!$W$3,MATCH('Zip Code Lines_1'!C1028,'Zip Code Lines_1'!$Q$4:$Q$26,0),0)</f>
        <v>8.4</v>
      </c>
      <c r="F1028" s="344">
        <f ca="1">OFFSET('Zip Code Lines_1'!$Z$3,MATCH('Zip Code Lines_1'!C1028,'Zip Code Lines_1'!$Q$4:$Q$26,0),0)</f>
        <v>88.4</v>
      </c>
      <c r="G1028" s="342">
        <f ca="1">OFFSET('Zip Code Lines_1'!$AC$3,MATCH('Zip Code Lines_1'!C1028,'Zip Code Lines_1'!$Q$4:$Q$26,0),0)</f>
        <v>12</v>
      </c>
      <c r="H1028" s="342">
        <v>12586</v>
      </c>
    </row>
    <row r="1029" spans="2:8" x14ac:dyDescent="0.25">
      <c r="B1029" s="342">
        <v>12588</v>
      </c>
      <c r="C1029" s="343" t="s">
        <v>563</v>
      </c>
      <c r="D1029" s="343" t="str">
        <f ca="1">OFFSET('Zip Code Lines_1'!$U$3,MATCH('Zip Code Lines_1'!C1029,'Zip Code Lines_1'!$Q$4:$Q$26,0),0)</f>
        <v>Poughkeepsie</v>
      </c>
      <c r="E1029" s="344">
        <f ca="1">OFFSET('Zip Code Lines_1'!$W$3,MATCH('Zip Code Lines_1'!C1029,'Zip Code Lines_1'!$Q$4:$Q$26,0),0)</f>
        <v>8.4</v>
      </c>
      <c r="F1029" s="344">
        <f ca="1">OFFSET('Zip Code Lines_1'!$Z$3,MATCH('Zip Code Lines_1'!C1029,'Zip Code Lines_1'!$Q$4:$Q$26,0),0)</f>
        <v>88.4</v>
      </c>
      <c r="G1029" s="342">
        <f ca="1">OFFSET('Zip Code Lines_1'!$AC$3,MATCH('Zip Code Lines_1'!C1029,'Zip Code Lines_1'!$Q$4:$Q$26,0),0)</f>
        <v>12</v>
      </c>
      <c r="H1029" s="342">
        <v>12588</v>
      </c>
    </row>
    <row r="1030" spans="2:8" x14ac:dyDescent="0.25">
      <c r="B1030" s="342">
        <v>12589</v>
      </c>
      <c r="C1030" s="343" t="s">
        <v>563</v>
      </c>
      <c r="D1030" s="343" t="str">
        <f ca="1">OFFSET('Zip Code Lines_1'!$U$3,MATCH('Zip Code Lines_1'!C1030,'Zip Code Lines_1'!$Q$4:$Q$26,0),0)</f>
        <v>Poughkeepsie</v>
      </c>
      <c r="E1030" s="344">
        <f ca="1">OFFSET('Zip Code Lines_1'!$W$3,MATCH('Zip Code Lines_1'!C1030,'Zip Code Lines_1'!$Q$4:$Q$26,0),0)</f>
        <v>8.4</v>
      </c>
      <c r="F1030" s="344">
        <f ca="1">OFFSET('Zip Code Lines_1'!$Z$3,MATCH('Zip Code Lines_1'!C1030,'Zip Code Lines_1'!$Q$4:$Q$26,0),0)</f>
        <v>88.4</v>
      </c>
      <c r="G1030" s="342">
        <f ca="1">OFFSET('Zip Code Lines_1'!$AC$3,MATCH('Zip Code Lines_1'!C1030,'Zip Code Lines_1'!$Q$4:$Q$26,0),0)</f>
        <v>12</v>
      </c>
      <c r="H1030" s="342">
        <v>12589</v>
      </c>
    </row>
    <row r="1031" spans="2:8" x14ac:dyDescent="0.25">
      <c r="B1031" s="342">
        <v>12590</v>
      </c>
      <c r="C1031" s="343" t="s">
        <v>563</v>
      </c>
      <c r="D1031" s="343" t="str">
        <f ca="1">OFFSET('Zip Code Lines_1'!$U$3,MATCH('Zip Code Lines_1'!C1031,'Zip Code Lines_1'!$Q$4:$Q$26,0),0)</f>
        <v>Poughkeepsie</v>
      </c>
      <c r="E1031" s="344">
        <f ca="1">OFFSET('Zip Code Lines_1'!$W$3,MATCH('Zip Code Lines_1'!C1031,'Zip Code Lines_1'!$Q$4:$Q$26,0),0)</f>
        <v>8.4</v>
      </c>
      <c r="F1031" s="344">
        <f ca="1">OFFSET('Zip Code Lines_1'!$Z$3,MATCH('Zip Code Lines_1'!C1031,'Zip Code Lines_1'!$Q$4:$Q$26,0),0)</f>
        <v>88.4</v>
      </c>
      <c r="G1031" s="342">
        <f ca="1">OFFSET('Zip Code Lines_1'!$AC$3,MATCH('Zip Code Lines_1'!C1031,'Zip Code Lines_1'!$Q$4:$Q$26,0),0)</f>
        <v>12</v>
      </c>
      <c r="H1031" s="342">
        <v>12590</v>
      </c>
    </row>
    <row r="1032" spans="2:8" x14ac:dyDescent="0.25">
      <c r="B1032" s="342">
        <v>12592</v>
      </c>
      <c r="C1032" s="343" t="s">
        <v>563</v>
      </c>
      <c r="D1032" s="343" t="str">
        <f ca="1">OFFSET('Zip Code Lines_1'!$U$3,MATCH('Zip Code Lines_1'!C1032,'Zip Code Lines_1'!$Q$4:$Q$26,0),0)</f>
        <v>Poughkeepsie</v>
      </c>
      <c r="E1032" s="344">
        <f ca="1">OFFSET('Zip Code Lines_1'!$W$3,MATCH('Zip Code Lines_1'!C1032,'Zip Code Lines_1'!$Q$4:$Q$26,0),0)</f>
        <v>8.4</v>
      </c>
      <c r="F1032" s="344">
        <f ca="1">OFFSET('Zip Code Lines_1'!$Z$3,MATCH('Zip Code Lines_1'!C1032,'Zip Code Lines_1'!$Q$4:$Q$26,0),0)</f>
        <v>88.4</v>
      </c>
      <c r="G1032" s="342">
        <f ca="1">OFFSET('Zip Code Lines_1'!$AC$3,MATCH('Zip Code Lines_1'!C1032,'Zip Code Lines_1'!$Q$4:$Q$26,0),0)</f>
        <v>12</v>
      </c>
      <c r="H1032" s="342">
        <v>12592</v>
      </c>
    </row>
    <row r="1033" spans="2:8" x14ac:dyDescent="0.25">
      <c r="B1033" s="342">
        <v>12594</v>
      </c>
      <c r="C1033" s="343" t="s">
        <v>563</v>
      </c>
      <c r="D1033" s="343" t="str">
        <f ca="1">OFFSET('Zip Code Lines_1'!$U$3,MATCH('Zip Code Lines_1'!C1033,'Zip Code Lines_1'!$Q$4:$Q$26,0),0)</f>
        <v>Poughkeepsie</v>
      </c>
      <c r="E1033" s="344">
        <f ca="1">OFFSET('Zip Code Lines_1'!$W$3,MATCH('Zip Code Lines_1'!C1033,'Zip Code Lines_1'!$Q$4:$Q$26,0),0)</f>
        <v>8.4</v>
      </c>
      <c r="F1033" s="344">
        <f ca="1">OFFSET('Zip Code Lines_1'!$Z$3,MATCH('Zip Code Lines_1'!C1033,'Zip Code Lines_1'!$Q$4:$Q$26,0),0)</f>
        <v>88.4</v>
      </c>
      <c r="G1033" s="342">
        <f ca="1">OFFSET('Zip Code Lines_1'!$AC$3,MATCH('Zip Code Lines_1'!C1033,'Zip Code Lines_1'!$Q$4:$Q$26,0),0)</f>
        <v>12</v>
      </c>
      <c r="H1033" s="342">
        <v>12594</v>
      </c>
    </row>
    <row r="1034" spans="2:8" x14ac:dyDescent="0.25">
      <c r="B1034" s="342">
        <v>12601</v>
      </c>
      <c r="C1034" s="343" t="s">
        <v>563</v>
      </c>
      <c r="D1034" s="343" t="str">
        <f ca="1">OFFSET('Zip Code Lines_1'!$U$3,MATCH('Zip Code Lines_1'!C1034,'Zip Code Lines_1'!$Q$4:$Q$26,0),0)</f>
        <v>Poughkeepsie</v>
      </c>
      <c r="E1034" s="344">
        <f ca="1">OFFSET('Zip Code Lines_1'!$W$3,MATCH('Zip Code Lines_1'!C1034,'Zip Code Lines_1'!$Q$4:$Q$26,0),0)</f>
        <v>8.4</v>
      </c>
      <c r="F1034" s="344">
        <f ca="1">OFFSET('Zip Code Lines_1'!$Z$3,MATCH('Zip Code Lines_1'!C1034,'Zip Code Lines_1'!$Q$4:$Q$26,0),0)</f>
        <v>88.4</v>
      </c>
      <c r="G1034" s="342">
        <f ca="1">OFFSET('Zip Code Lines_1'!$AC$3,MATCH('Zip Code Lines_1'!C1034,'Zip Code Lines_1'!$Q$4:$Q$26,0),0)</f>
        <v>12</v>
      </c>
      <c r="H1034" s="342">
        <v>12601</v>
      </c>
    </row>
    <row r="1035" spans="2:8" x14ac:dyDescent="0.25">
      <c r="B1035" s="342">
        <v>12602</v>
      </c>
      <c r="C1035" s="343" t="s">
        <v>563</v>
      </c>
      <c r="D1035" s="343" t="str">
        <f ca="1">OFFSET('Zip Code Lines_1'!$U$3,MATCH('Zip Code Lines_1'!C1035,'Zip Code Lines_1'!$Q$4:$Q$26,0),0)</f>
        <v>Poughkeepsie</v>
      </c>
      <c r="E1035" s="344">
        <f ca="1">OFFSET('Zip Code Lines_1'!$W$3,MATCH('Zip Code Lines_1'!C1035,'Zip Code Lines_1'!$Q$4:$Q$26,0),0)</f>
        <v>8.4</v>
      </c>
      <c r="F1035" s="344">
        <f ca="1">OFFSET('Zip Code Lines_1'!$Z$3,MATCH('Zip Code Lines_1'!C1035,'Zip Code Lines_1'!$Q$4:$Q$26,0),0)</f>
        <v>88.4</v>
      </c>
      <c r="G1035" s="342">
        <f ca="1">OFFSET('Zip Code Lines_1'!$AC$3,MATCH('Zip Code Lines_1'!C1035,'Zip Code Lines_1'!$Q$4:$Q$26,0),0)</f>
        <v>12</v>
      </c>
      <c r="H1035" s="342">
        <v>12602</v>
      </c>
    </row>
    <row r="1036" spans="2:8" x14ac:dyDescent="0.25">
      <c r="B1036" s="342">
        <v>12603</v>
      </c>
      <c r="C1036" s="343" t="s">
        <v>563</v>
      </c>
      <c r="D1036" s="343" t="str">
        <f ca="1">OFFSET('Zip Code Lines_1'!$U$3,MATCH('Zip Code Lines_1'!C1036,'Zip Code Lines_1'!$Q$4:$Q$26,0),0)</f>
        <v>Poughkeepsie</v>
      </c>
      <c r="E1036" s="344">
        <f ca="1">OFFSET('Zip Code Lines_1'!$W$3,MATCH('Zip Code Lines_1'!C1036,'Zip Code Lines_1'!$Q$4:$Q$26,0),0)</f>
        <v>8.4</v>
      </c>
      <c r="F1036" s="344">
        <f ca="1">OFFSET('Zip Code Lines_1'!$Z$3,MATCH('Zip Code Lines_1'!C1036,'Zip Code Lines_1'!$Q$4:$Q$26,0),0)</f>
        <v>88.4</v>
      </c>
      <c r="G1036" s="342">
        <f ca="1">OFFSET('Zip Code Lines_1'!$AC$3,MATCH('Zip Code Lines_1'!C1036,'Zip Code Lines_1'!$Q$4:$Q$26,0),0)</f>
        <v>12</v>
      </c>
      <c r="H1036" s="342">
        <v>12603</v>
      </c>
    </row>
    <row r="1037" spans="2:8" x14ac:dyDescent="0.25">
      <c r="B1037" s="342">
        <v>12604</v>
      </c>
      <c r="C1037" s="343" t="s">
        <v>563</v>
      </c>
      <c r="D1037" s="343" t="str">
        <f ca="1">OFFSET('Zip Code Lines_1'!$U$3,MATCH('Zip Code Lines_1'!C1037,'Zip Code Lines_1'!$Q$4:$Q$26,0),0)</f>
        <v>Poughkeepsie</v>
      </c>
      <c r="E1037" s="344">
        <f ca="1">OFFSET('Zip Code Lines_1'!$W$3,MATCH('Zip Code Lines_1'!C1037,'Zip Code Lines_1'!$Q$4:$Q$26,0),0)</f>
        <v>8.4</v>
      </c>
      <c r="F1037" s="344">
        <f ca="1">OFFSET('Zip Code Lines_1'!$Z$3,MATCH('Zip Code Lines_1'!C1037,'Zip Code Lines_1'!$Q$4:$Q$26,0),0)</f>
        <v>88.4</v>
      </c>
      <c r="G1037" s="342">
        <f ca="1">OFFSET('Zip Code Lines_1'!$AC$3,MATCH('Zip Code Lines_1'!C1037,'Zip Code Lines_1'!$Q$4:$Q$26,0),0)</f>
        <v>12</v>
      </c>
      <c r="H1037" s="342">
        <v>12604</v>
      </c>
    </row>
    <row r="1038" spans="2:8" x14ac:dyDescent="0.25">
      <c r="B1038" s="342">
        <v>12701</v>
      </c>
      <c r="C1038" s="343" t="s">
        <v>549</v>
      </c>
      <c r="D1038" s="343" t="str">
        <f ca="1">OFFSET('Zip Code Lines_1'!$U$3,MATCH('Zip Code Lines_1'!C1038,'Zip Code Lines_1'!$Q$4:$Q$26,0),0)</f>
        <v>Monticello</v>
      </c>
      <c r="E1038" s="344">
        <f ca="1">OFFSET('Zip Code Lines_1'!$W$3,MATCH('Zip Code Lines_1'!C1038,'Zip Code Lines_1'!$Q$4:$Q$26,0),0)</f>
        <v>4.7</v>
      </c>
      <c r="F1038" s="344">
        <f ca="1">OFFSET('Zip Code Lines_1'!$Z$3,MATCH('Zip Code Lines_1'!C1038,'Zip Code Lines_1'!$Q$4:$Q$26,0),0)</f>
        <v>82.5</v>
      </c>
      <c r="G1038" s="342">
        <f ca="1">OFFSET('Zip Code Lines_1'!$AC$3,MATCH('Zip Code Lines_1'!C1038,'Zip Code Lines_1'!$Q$4:$Q$26,0),0)</f>
        <v>12</v>
      </c>
      <c r="H1038" s="342">
        <v>12701</v>
      </c>
    </row>
    <row r="1039" spans="2:8" x14ac:dyDescent="0.25">
      <c r="B1039" s="342">
        <v>12719</v>
      </c>
      <c r="C1039" s="343" t="s">
        <v>549</v>
      </c>
      <c r="D1039" s="343" t="str">
        <f ca="1">OFFSET('Zip Code Lines_1'!$U$3,MATCH('Zip Code Lines_1'!C1039,'Zip Code Lines_1'!$Q$4:$Q$26,0),0)</f>
        <v>Monticello</v>
      </c>
      <c r="E1039" s="344">
        <f ca="1">OFFSET('Zip Code Lines_1'!$W$3,MATCH('Zip Code Lines_1'!C1039,'Zip Code Lines_1'!$Q$4:$Q$26,0),0)</f>
        <v>4.7</v>
      </c>
      <c r="F1039" s="344">
        <f ca="1">OFFSET('Zip Code Lines_1'!$Z$3,MATCH('Zip Code Lines_1'!C1039,'Zip Code Lines_1'!$Q$4:$Q$26,0),0)</f>
        <v>82.5</v>
      </c>
      <c r="G1039" s="342">
        <f ca="1">OFFSET('Zip Code Lines_1'!$AC$3,MATCH('Zip Code Lines_1'!C1039,'Zip Code Lines_1'!$Q$4:$Q$26,0),0)</f>
        <v>12</v>
      </c>
      <c r="H1039" s="342">
        <v>12719</v>
      </c>
    </row>
    <row r="1040" spans="2:8" x14ac:dyDescent="0.25">
      <c r="B1040" s="342">
        <v>12720</v>
      </c>
      <c r="C1040" s="343" t="s">
        <v>549</v>
      </c>
      <c r="D1040" s="343" t="str">
        <f ca="1">OFFSET('Zip Code Lines_1'!$U$3,MATCH('Zip Code Lines_1'!C1040,'Zip Code Lines_1'!$Q$4:$Q$26,0),0)</f>
        <v>Monticello</v>
      </c>
      <c r="E1040" s="344">
        <f ca="1">OFFSET('Zip Code Lines_1'!$W$3,MATCH('Zip Code Lines_1'!C1040,'Zip Code Lines_1'!$Q$4:$Q$26,0),0)</f>
        <v>4.7</v>
      </c>
      <c r="F1040" s="344">
        <f ca="1">OFFSET('Zip Code Lines_1'!$Z$3,MATCH('Zip Code Lines_1'!C1040,'Zip Code Lines_1'!$Q$4:$Q$26,0),0)</f>
        <v>82.5</v>
      </c>
      <c r="G1040" s="342">
        <f ca="1">OFFSET('Zip Code Lines_1'!$AC$3,MATCH('Zip Code Lines_1'!C1040,'Zip Code Lines_1'!$Q$4:$Q$26,0),0)</f>
        <v>12</v>
      </c>
      <c r="H1040" s="342">
        <v>12720</v>
      </c>
    </row>
    <row r="1041" spans="2:8" x14ac:dyDescent="0.25">
      <c r="B1041" s="342">
        <v>12721</v>
      </c>
      <c r="C1041" s="343" t="s">
        <v>563</v>
      </c>
      <c r="D1041" s="343" t="str">
        <f ca="1">OFFSET('Zip Code Lines_1'!$U$3,MATCH('Zip Code Lines_1'!C1041,'Zip Code Lines_1'!$Q$4:$Q$26,0),0)</f>
        <v>Poughkeepsie</v>
      </c>
      <c r="E1041" s="344">
        <f ca="1">OFFSET('Zip Code Lines_1'!$W$3,MATCH('Zip Code Lines_1'!C1041,'Zip Code Lines_1'!$Q$4:$Q$26,0),0)</f>
        <v>8.4</v>
      </c>
      <c r="F1041" s="344">
        <f ca="1">OFFSET('Zip Code Lines_1'!$Z$3,MATCH('Zip Code Lines_1'!C1041,'Zip Code Lines_1'!$Q$4:$Q$26,0),0)</f>
        <v>88.4</v>
      </c>
      <c r="G1041" s="342">
        <f ca="1">OFFSET('Zip Code Lines_1'!$AC$3,MATCH('Zip Code Lines_1'!C1041,'Zip Code Lines_1'!$Q$4:$Q$26,0),0)</f>
        <v>12</v>
      </c>
      <c r="H1041" s="342">
        <v>12721</v>
      </c>
    </row>
    <row r="1042" spans="2:8" x14ac:dyDescent="0.25">
      <c r="B1042" s="342">
        <v>12722</v>
      </c>
      <c r="C1042" s="343" t="s">
        <v>563</v>
      </c>
      <c r="D1042" s="343" t="str">
        <f ca="1">OFFSET('Zip Code Lines_1'!$U$3,MATCH('Zip Code Lines_1'!C1042,'Zip Code Lines_1'!$Q$4:$Q$26,0),0)</f>
        <v>Poughkeepsie</v>
      </c>
      <c r="E1042" s="344">
        <f ca="1">OFFSET('Zip Code Lines_1'!$W$3,MATCH('Zip Code Lines_1'!C1042,'Zip Code Lines_1'!$Q$4:$Q$26,0),0)</f>
        <v>8.4</v>
      </c>
      <c r="F1042" s="344">
        <f ca="1">OFFSET('Zip Code Lines_1'!$Z$3,MATCH('Zip Code Lines_1'!C1042,'Zip Code Lines_1'!$Q$4:$Q$26,0),0)</f>
        <v>88.4</v>
      </c>
      <c r="G1042" s="342">
        <f ca="1">OFFSET('Zip Code Lines_1'!$AC$3,MATCH('Zip Code Lines_1'!C1042,'Zip Code Lines_1'!$Q$4:$Q$26,0),0)</f>
        <v>12</v>
      </c>
      <c r="H1042" s="342">
        <v>12722</v>
      </c>
    </row>
    <row r="1043" spans="2:8" x14ac:dyDescent="0.25">
      <c r="B1043" s="342">
        <v>12723</v>
      </c>
      <c r="C1043" s="343" t="s">
        <v>549</v>
      </c>
      <c r="D1043" s="343" t="str">
        <f ca="1">OFFSET('Zip Code Lines_1'!$U$3,MATCH('Zip Code Lines_1'!C1043,'Zip Code Lines_1'!$Q$4:$Q$26,0),0)</f>
        <v>Monticello</v>
      </c>
      <c r="E1043" s="344">
        <f ca="1">OFFSET('Zip Code Lines_1'!$W$3,MATCH('Zip Code Lines_1'!C1043,'Zip Code Lines_1'!$Q$4:$Q$26,0),0)</f>
        <v>4.7</v>
      </c>
      <c r="F1043" s="344">
        <f ca="1">OFFSET('Zip Code Lines_1'!$Z$3,MATCH('Zip Code Lines_1'!C1043,'Zip Code Lines_1'!$Q$4:$Q$26,0),0)</f>
        <v>82.5</v>
      </c>
      <c r="G1043" s="342">
        <f ca="1">OFFSET('Zip Code Lines_1'!$AC$3,MATCH('Zip Code Lines_1'!C1043,'Zip Code Lines_1'!$Q$4:$Q$26,0),0)</f>
        <v>12</v>
      </c>
      <c r="H1043" s="342">
        <v>12723</v>
      </c>
    </row>
    <row r="1044" spans="2:8" x14ac:dyDescent="0.25">
      <c r="B1044" s="342">
        <v>12724</v>
      </c>
      <c r="C1044" s="343" t="s">
        <v>549</v>
      </c>
      <c r="D1044" s="343" t="str">
        <f ca="1">OFFSET('Zip Code Lines_1'!$U$3,MATCH('Zip Code Lines_1'!C1044,'Zip Code Lines_1'!$Q$4:$Q$26,0),0)</f>
        <v>Monticello</v>
      </c>
      <c r="E1044" s="344">
        <f ca="1">OFFSET('Zip Code Lines_1'!$W$3,MATCH('Zip Code Lines_1'!C1044,'Zip Code Lines_1'!$Q$4:$Q$26,0),0)</f>
        <v>4.7</v>
      </c>
      <c r="F1044" s="344">
        <f ca="1">OFFSET('Zip Code Lines_1'!$Z$3,MATCH('Zip Code Lines_1'!C1044,'Zip Code Lines_1'!$Q$4:$Q$26,0),0)</f>
        <v>82.5</v>
      </c>
      <c r="G1044" s="342">
        <f ca="1">OFFSET('Zip Code Lines_1'!$AC$3,MATCH('Zip Code Lines_1'!C1044,'Zip Code Lines_1'!$Q$4:$Q$26,0),0)</f>
        <v>12</v>
      </c>
      <c r="H1044" s="342">
        <v>12724</v>
      </c>
    </row>
    <row r="1045" spans="2:8" x14ac:dyDescent="0.25">
      <c r="B1045" s="342">
        <v>12725</v>
      </c>
      <c r="C1045" s="343" t="s">
        <v>549</v>
      </c>
      <c r="D1045" s="343" t="str">
        <f ca="1">OFFSET('Zip Code Lines_1'!$U$3,MATCH('Zip Code Lines_1'!C1045,'Zip Code Lines_1'!$Q$4:$Q$26,0),0)</f>
        <v>Monticello</v>
      </c>
      <c r="E1045" s="344">
        <f ca="1">OFFSET('Zip Code Lines_1'!$W$3,MATCH('Zip Code Lines_1'!C1045,'Zip Code Lines_1'!$Q$4:$Q$26,0),0)</f>
        <v>4.7</v>
      </c>
      <c r="F1045" s="344">
        <f ca="1">OFFSET('Zip Code Lines_1'!$Z$3,MATCH('Zip Code Lines_1'!C1045,'Zip Code Lines_1'!$Q$4:$Q$26,0),0)</f>
        <v>82.5</v>
      </c>
      <c r="G1045" s="342">
        <f ca="1">OFFSET('Zip Code Lines_1'!$AC$3,MATCH('Zip Code Lines_1'!C1045,'Zip Code Lines_1'!$Q$4:$Q$26,0),0)</f>
        <v>12</v>
      </c>
      <c r="H1045" s="342">
        <v>12725</v>
      </c>
    </row>
    <row r="1046" spans="2:8" x14ac:dyDescent="0.25">
      <c r="B1046" s="342">
        <v>12726</v>
      </c>
      <c r="C1046" s="343" t="s">
        <v>549</v>
      </c>
      <c r="D1046" s="343" t="str">
        <f ca="1">OFFSET('Zip Code Lines_1'!$U$3,MATCH('Zip Code Lines_1'!C1046,'Zip Code Lines_1'!$Q$4:$Q$26,0),0)</f>
        <v>Monticello</v>
      </c>
      <c r="E1046" s="344">
        <f ca="1">OFFSET('Zip Code Lines_1'!$W$3,MATCH('Zip Code Lines_1'!C1046,'Zip Code Lines_1'!$Q$4:$Q$26,0),0)</f>
        <v>4.7</v>
      </c>
      <c r="F1046" s="344">
        <f ca="1">OFFSET('Zip Code Lines_1'!$Z$3,MATCH('Zip Code Lines_1'!C1046,'Zip Code Lines_1'!$Q$4:$Q$26,0),0)</f>
        <v>82.5</v>
      </c>
      <c r="G1046" s="342">
        <f ca="1">OFFSET('Zip Code Lines_1'!$AC$3,MATCH('Zip Code Lines_1'!C1046,'Zip Code Lines_1'!$Q$4:$Q$26,0),0)</f>
        <v>12</v>
      </c>
      <c r="H1046" s="342">
        <v>12726</v>
      </c>
    </row>
    <row r="1047" spans="2:8" x14ac:dyDescent="0.25">
      <c r="B1047" s="342">
        <v>12727</v>
      </c>
      <c r="C1047" s="343" t="s">
        <v>549</v>
      </c>
      <c r="D1047" s="343" t="str">
        <f ca="1">OFFSET('Zip Code Lines_1'!$U$3,MATCH('Zip Code Lines_1'!C1047,'Zip Code Lines_1'!$Q$4:$Q$26,0),0)</f>
        <v>Monticello</v>
      </c>
      <c r="E1047" s="344">
        <f ca="1">OFFSET('Zip Code Lines_1'!$W$3,MATCH('Zip Code Lines_1'!C1047,'Zip Code Lines_1'!$Q$4:$Q$26,0),0)</f>
        <v>4.7</v>
      </c>
      <c r="F1047" s="344">
        <f ca="1">OFFSET('Zip Code Lines_1'!$Z$3,MATCH('Zip Code Lines_1'!C1047,'Zip Code Lines_1'!$Q$4:$Q$26,0),0)</f>
        <v>82.5</v>
      </c>
      <c r="G1047" s="342">
        <f ca="1">OFFSET('Zip Code Lines_1'!$AC$3,MATCH('Zip Code Lines_1'!C1047,'Zip Code Lines_1'!$Q$4:$Q$26,0),0)</f>
        <v>12</v>
      </c>
      <c r="H1047" s="342">
        <v>12727</v>
      </c>
    </row>
    <row r="1048" spans="2:8" x14ac:dyDescent="0.25">
      <c r="B1048" s="342">
        <v>12729</v>
      </c>
      <c r="C1048" s="343" t="s">
        <v>549</v>
      </c>
      <c r="D1048" s="343" t="str">
        <f ca="1">OFFSET('Zip Code Lines_1'!$U$3,MATCH('Zip Code Lines_1'!C1048,'Zip Code Lines_1'!$Q$4:$Q$26,0),0)</f>
        <v>Monticello</v>
      </c>
      <c r="E1048" s="344">
        <f ca="1">OFFSET('Zip Code Lines_1'!$W$3,MATCH('Zip Code Lines_1'!C1048,'Zip Code Lines_1'!$Q$4:$Q$26,0),0)</f>
        <v>4.7</v>
      </c>
      <c r="F1048" s="344">
        <f ca="1">OFFSET('Zip Code Lines_1'!$Z$3,MATCH('Zip Code Lines_1'!C1048,'Zip Code Lines_1'!$Q$4:$Q$26,0),0)</f>
        <v>82.5</v>
      </c>
      <c r="G1048" s="342">
        <f ca="1">OFFSET('Zip Code Lines_1'!$AC$3,MATCH('Zip Code Lines_1'!C1048,'Zip Code Lines_1'!$Q$4:$Q$26,0),0)</f>
        <v>12</v>
      </c>
      <c r="H1048" s="342">
        <v>12729</v>
      </c>
    </row>
    <row r="1049" spans="2:8" x14ac:dyDescent="0.25">
      <c r="B1049" s="342">
        <v>12732</v>
      </c>
      <c r="C1049" s="343" t="s">
        <v>549</v>
      </c>
      <c r="D1049" s="343" t="str">
        <f ca="1">OFFSET('Zip Code Lines_1'!$U$3,MATCH('Zip Code Lines_1'!C1049,'Zip Code Lines_1'!$Q$4:$Q$26,0),0)</f>
        <v>Monticello</v>
      </c>
      <c r="E1049" s="344">
        <f ca="1">OFFSET('Zip Code Lines_1'!$W$3,MATCH('Zip Code Lines_1'!C1049,'Zip Code Lines_1'!$Q$4:$Q$26,0),0)</f>
        <v>4.7</v>
      </c>
      <c r="F1049" s="344">
        <f ca="1">OFFSET('Zip Code Lines_1'!$Z$3,MATCH('Zip Code Lines_1'!C1049,'Zip Code Lines_1'!$Q$4:$Q$26,0),0)</f>
        <v>82.5</v>
      </c>
      <c r="G1049" s="342">
        <f ca="1">OFFSET('Zip Code Lines_1'!$AC$3,MATCH('Zip Code Lines_1'!C1049,'Zip Code Lines_1'!$Q$4:$Q$26,0),0)</f>
        <v>12</v>
      </c>
      <c r="H1049" s="342">
        <v>12732</v>
      </c>
    </row>
    <row r="1050" spans="2:8" x14ac:dyDescent="0.25">
      <c r="B1050" s="342">
        <v>12733</v>
      </c>
      <c r="C1050" s="343" t="s">
        <v>549</v>
      </c>
      <c r="D1050" s="343" t="str">
        <f ca="1">OFFSET('Zip Code Lines_1'!$U$3,MATCH('Zip Code Lines_1'!C1050,'Zip Code Lines_1'!$Q$4:$Q$26,0),0)</f>
        <v>Monticello</v>
      </c>
      <c r="E1050" s="344">
        <f ca="1">OFFSET('Zip Code Lines_1'!$W$3,MATCH('Zip Code Lines_1'!C1050,'Zip Code Lines_1'!$Q$4:$Q$26,0),0)</f>
        <v>4.7</v>
      </c>
      <c r="F1050" s="344">
        <f ca="1">OFFSET('Zip Code Lines_1'!$Z$3,MATCH('Zip Code Lines_1'!C1050,'Zip Code Lines_1'!$Q$4:$Q$26,0),0)</f>
        <v>82.5</v>
      </c>
      <c r="G1050" s="342">
        <f ca="1">OFFSET('Zip Code Lines_1'!$AC$3,MATCH('Zip Code Lines_1'!C1050,'Zip Code Lines_1'!$Q$4:$Q$26,0),0)</f>
        <v>12</v>
      </c>
      <c r="H1050" s="342">
        <v>12733</v>
      </c>
    </row>
    <row r="1051" spans="2:8" x14ac:dyDescent="0.25">
      <c r="B1051" s="342">
        <v>12734</v>
      </c>
      <c r="C1051" s="343" t="s">
        <v>549</v>
      </c>
      <c r="D1051" s="343" t="str">
        <f ca="1">OFFSET('Zip Code Lines_1'!$U$3,MATCH('Zip Code Lines_1'!C1051,'Zip Code Lines_1'!$Q$4:$Q$26,0),0)</f>
        <v>Monticello</v>
      </c>
      <c r="E1051" s="344">
        <f ca="1">OFFSET('Zip Code Lines_1'!$W$3,MATCH('Zip Code Lines_1'!C1051,'Zip Code Lines_1'!$Q$4:$Q$26,0),0)</f>
        <v>4.7</v>
      </c>
      <c r="F1051" s="344">
        <f ca="1">OFFSET('Zip Code Lines_1'!$Z$3,MATCH('Zip Code Lines_1'!C1051,'Zip Code Lines_1'!$Q$4:$Q$26,0),0)</f>
        <v>82.5</v>
      </c>
      <c r="G1051" s="342">
        <f ca="1">OFFSET('Zip Code Lines_1'!$AC$3,MATCH('Zip Code Lines_1'!C1051,'Zip Code Lines_1'!$Q$4:$Q$26,0),0)</f>
        <v>12</v>
      </c>
      <c r="H1051" s="342">
        <v>12734</v>
      </c>
    </row>
    <row r="1052" spans="2:8" x14ac:dyDescent="0.25">
      <c r="B1052" s="342">
        <v>12736</v>
      </c>
      <c r="C1052" s="343" t="s">
        <v>549</v>
      </c>
      <c r="D1052" s="343" t="str">
        <f ca="1">OFFSET('Zip Code Lines_1'!$U$3,MATCH('Zip Code Lines_1'!C1052,'Zip Code Lines_1'!$Q$4:$Q$26,0),0)</f>
        <v>Monticello</v>
      </c>
      <c r="E1052" s="344">
        <f ca="1">OFFSET('Zip Code Lines_1'!$W$3,MATCH('Zip Code Lines_1'!C1052,'Zip Code Lines_1'!$Q$4:$Q$26,0),0)</f>
        <v>4.7</v>
      </c>
      <c r="F1052" s="344">
        <f ca="1">OFFSET('Zip Code Lines_1'!$Z$3,MATCH('Zip Code Lines_1'!C1052,'Zip Code Lines_1'!$Q$4:$Q$26,0),0)</f>
        <v>82.5</v>
      </c>
      <c r="G1052" s="342">
        <f ca="1">OFFSET('Zip Code Lines_1'!$AC$3,MATCH('Zip Code Lines_1'!C1052,'Zip Code Lines_1'!$Q$4:$Q$26,0),0)</f>
        <v>12</v>
      </c>
      <c r="H1052" s="342">
        <v>12736</v>
      </c>
    </row>
    <row r="1053" spans="2:8" x14ac:dyDescent="0.25">
      <c r="B1053" s="342">
        <v>12737</v>
      </c>
      <c r="C1053" s="343" t="s">
        <v>549</v>
      </c>
      <c r="D1053" s="343" t="str">
        <f ca="1">OFFSET('Zip Code Lines_1'!$U$3,MATCH('Zip Code Lines_1'!C1053,'Zip Code Lines_1'!$Q$4:$Q$26,0),0)</f>
        <v>Monticello</v>
      </c>
      <c r="E1053" s="344">
        <f ca="1">OFFSET('Zip Code Lines_1'!$W$3,MATCH('Zip Code Lines_1'!C1053,'Zip Code Lines_1'!$Q$4:$Q$26,0),0)</f>
        <v>4.7</v>
      </c>
      <c r="F1053" s="344">
        <f ca="1">OFFSET('Zip Code Lines_1'!$Z$3,MATCH('Zip Code Lines_1'!C1053,'Zip Code Lines_1'!$Q$4:$Q$26,0),0)</f>
        <v>82.5</v>
      </c>
      <c r="G1053" s="342">
        <f ca="1">OFFSET('Zip Code Lines_1'!$AC$3,MATCH('Zip Code Lines_1'!C1053,'Zip Code Lines_1'!$Q$4:$Q$26,0),0)</f>
        <v>12</v>
      </c>
      <c r="H1053" s="342">
        <v>12737</v>
      </c>
    </row>
    <row r="1054" spans="2:8" x14ac:dyDescent="0.25">
      <c r="B1054" s="342">
        <v>12738</v>
      </c>
      <c r="C1054" s="343" t="s">
        <v>549</v>
      </c>
      <c r="D1054" s="343" t="str">
        <f ca="1">OFFSET('Zip Code Lines_1'!$U$3,MATCH('Zip Code Lines_1'!C1054,'Zip Code Lines_1'!$Q$4:$Q$26,0),0)</f>
        <v>Monticello</v>
      </c>
      <c r="E1054" s="344">
        <f ca="1">OFFSET('Zip Code Lines_1'!$W$3,MATCH('Zip Code Lines_1'!C1054,'Zip Code Lines_1'!$Q$4:$Q$26,0),0)</f>
        <v>4.7</v>
      </c>
      <c r="F1054" s="344">
        <f ca="1">OFFSET('Zip Code Lines_1'!$Z$3,MATCH('Zip Code Lines_1'!C1054,'Zip Code Lines_1'!$Q$4:$Q$26,0),0)</f>
        <v>82.5</v>
      </c>
      <c r="G1054" s="342">
        <f ca="1">OFFSET('Zip Code Lines_1'!$AC$3,MATCH('Zip Code Lines_1'!C1054,'Zip Code Lines_1'!$Q$4:$Q$26,0),0)</f>
        <v>12</v>
      </c>
      <c r="H1054" s="342">
        <v>12738</v>
      </c>
    </row>
    <row r="1055" spans="2:8" x14ac:dyDescent="0.25">
      <c r="B1055" s="342">
        <v>12740</v>
      </c>
      <c r="C1055" s="343" t="s">
        <v>549</v>
      </c>
      <c r="D1055" s="343" t="str">
        <f ca="1">OFFSET('Zip Code Lines_1'!$U$3,MATCH('Zip Code Lines_1'!C1055,'Zip Code Lines_1'!$Q$4:$Q$26,0),0)</f>
        <v>Monticello</v>
      </c>
      <c r="E1055" s="344">
        <f ca="1">OFFSET('Zip Code Lines_1'!$W$3,MATCH('Zip Code Lines_1'!C1055,'Zip Code Lines_1'!$Q$4:$Q$26,0),0)</f>
        <v>4.7</v>
      </c>
      <c r="F1055" s="344">
        <f ca="1">OFFSET('Zip Code Lines_1'!$Z$3,MATCH('Zip Code Lines_1'!C1055,'Zip Code Lines_1'!$Q$4:$Q$26,0),0)</f>
        <v>82.5</v>
      </c>
      <c r="G1055" s="342">
        <f ca="1">OFFSET('Zip Code Lines_1'!$AC$3,MATCH('Zip Code Lines_1'!C1055,'Zip Code Lines_1'!$Q$4:$Q$26,0),0)</f>
        <v>12</v>
      </c>
      <c r="H1055" s="342">
        <v>12740</v>
      </c>
    </row>
    <row r="1056" spans="2:8" x14ac:dyDescent="0.25">
      <c r="B1056" s="342">
        <v>12741</v>
      </c>
      <c r="C1056" s="343" t="s">
        <v>549</v>
      </c>
      <c r="D1056" s="343" t="str">
        <f ca="1">OFFSET('Zip Code Lines_1'!$U$3,MATCH('Zip Code Lines_1'!C1056,'Zip Code Lines_1'!$Q$4:$Q$26,0),0)</f>
        <v>Monticello</v>
      </c>
      <c r="E1056" s="344">
        <f ca="1">OFFSET('Zip Code Lines_1'!$W$3,MATCH('Zip Code Lines_1'!C1056,'Zip Code Lines_1'!$Q$4:$Q$26,0),0)</f>
        <v>4.7</v>
      </c>
      <c r="F1056" s="344">
        <f ca="1">OFFSET('Zip Code Lines_1'!$Z$3,MATCH('Zip Code Lines_1'!C1056,'Zip Code Lines_1'!$Q$4:$Q$26,0),0)</f>
        <v>82.5</v>
      </c>
      <c r="G1056" s="342">
        <f ca="1">OFFSET('Zip Code Lines_1'!$AC$3,MATCH('Zip Code Lines_1'!C1056,'Zip Code Lines_1'!$Q$4:$Q$26,0),0)</f>
        <v>12</v>
      </c>
      <c r="H1056" s="342">
        <v>12741</v>
      </c>
    </row>
    <row r="1057" spans="2:8" x14ac:dyDescent="0.25">
      <c r="B1057" s="342">
        <v>12742</v>
      </c>
      <c r="C1057" s="343" t="s">
        <v>549</v>
      </c>
      <c r="D1057" s="343" t="str">
        <f ca="1">OFFSET('Zip Code Lines_1'!$U$3,MATCH('Zip Code Lines_1'!C1057,'Zip Code Lines_1'!$Q$4:$Q$26,0),0)</f>
        <v>Monticello</v>
      </c>
      <c r="E1057" s="344">
        <f ca="1">OFFSET('Zip Code Lines_1'!$W$3,MATCH('Zip Code Lines_1'!C1057,'Zip Code Lines_1'!$Q$4:$Q$26,0),0)</f>
        <v>4.7</v>
      </c>
      <c r="F1057" s="344">
        <f ca="1">OFFSET('Zip Code Lines_1'!$Z$3,MATCH('Zip Code Lines_1'!C1057,'Zip Code Lines_1'!$Q$4:$Q$26,0),0)</f>
        <v>82.5</v>
      </c>
      <c r="G1057" s="342">
        <f ca="1">OFFSET('Zip Code Lines_1'!$AC$3,MATCH('Zip Code Lines_1'!C1057,'Zip Code Lines_1'!$Q$4:$Q$26,0),0)</f>
        <v>12</v>
      </c>
      <c r="H1057" s="342">
        <v>12742</v>
      </c>
    </row>
    <row r="1058" spans="2:8" x14ac:dyDescent="0.25">
      <c r="B1058" s="342">
        <v>12743</v>
      </c>
      <c r="C1058" s="343" t="s">
        <v>549</v>
      </c>
      <c r="D1058" s="343" t="str">
        <f ca="1">OFFSET('Zip Code Lines_1'!$U$3,MATCH('Zip Code Lines_1'!C1058,'Zip Code Lines_1'!$Q$4:$Q$26,0),0)</f>
        <v>Monticello</v>
      </c>
      <c r="E1058" s="344">
        <f ca="1">OFFSET('Zip Code Lines_1'!$W$3,MATCH('Zip Code Lines_1'!C1058,'Zip Code Lines_1'!$Q$4:$Q$26,0),0)</f>
        <v>4.7</v>
      </c>
      <c r="F1058" s="344">
        <f ca="1">OFFSET('Zip Code Lines_1'!$Z$3,MATCH('Zip Code Lines_1'!C1058,'Zip Code Lines_1'!$Q$4:$Q$26,0),0)</f>
        <v>82.5</v>
      </c>
      <c r="G1058" s="342">
        <f ca="1">OFFSET('Zip Code Lines_1'!$AC$3,MATCH('Zip Code Lines_1'!C1058,'Zip Code Lines_1'!$Q$4:$Q$26,0),0)</f>
        <v>12</v>
      </c>
      <c r="H1058" s="342">
        <v>12743</v>
      </c>
    </row>
    <row r="1059" spans="2:8" x14ac:dyDescent="0.25">
      <c r="B1059" s="342">
        <v>12745</v>
      </c>
      <c r="C1059" s="343" t="s">
        <v>549</v>
      </c>
      <c r="D1059" s="343" t="str">
        <f ca="1">OFFSET('Zip Code Lines_1'!$U$3,MATCH('Zip Code Lines_1'!C1059,'Zip Code Lines_1'!$Q$4:$Q$26,0),0)</f>
        <v>Monticello</v>
      </c>
      <c r="E1059" s="344">
        <f ca="1">OFFSET('Zip Code Lines_1'!$W$3,MATCH('Zip Code Lines_1'!C1059,'Zip Code Lines_1'!$Q$4:$Q$26,0),0)</f>
        <v>4.7</v>
      </c>
      <c r="F1059" s="344">
        <f ca="1">OFFSET('Zip Code Lines_1'!$Z$3,MATCH('Zip Code Lines_1'!C1059,'Zip Code Lines_1'!$Q$4:$Q$26,0),0)</f>
        <v>82.5</v>
      </c>
      <c r="G1059" s="342">
        <f ca="1">OFFSET('Zip Code Lines_1'!$AC$3,MATCH('Zip Code Lines_1'!C1059,'Zip Code Lines_1'!$Q$4:$Q$26,0),0)</f>
        <v>12</v>
      </c>
      <c r="H1059" s="342">
        <v>12745</v>
      </c>
    </row>
    <row r="1060" spans="2:8" x14ac:dyDescent="0.25">
      <c r="B1060" s="342">
        <v>12746</v>
      </c>
      <c r="C1060" s="343" t="s">
        <v>563</v>
      </c>
      <c r="D1060" s="343" t="str">
        <f ca="1">OFFSET('Zip Code Lines_1'!$U$3,MATCH('Zip Code Lines_1'!C1060,'Zip Code Lines_1'!$Q$4:$Q$26,0),0)</f>
        <v>Poughkeepsie</v>
      </c>
      <c r="E1060" s="344">
        <f ca="1">OFFSET('Zip Code Lines_1'!$W$3,MATCH('Zip Code Lines_1'!C1060,'Zip Code Lines_1'!$Q$4:$Q$26,0),0)</f>
        <v>8.4</v>
      </c>
      <c r="F1060" s="344">
        <f ca="1">OFFSET('Zip Code Lines_1'!$Z$3,MATCH('Zip Code Lines_1'!C1060,'Zip Code Lines_1'!$Q$4:$Q$26,0),0)</f>
        <v>88.4</v>
      </c>
      <c r="G1060" s="342">
        <f ca="1">OFFSET('Zip Code Lines_1'!$AC$3,MATCH('Zip Code Lines_1'!C1060,'Zip Code Lines_1'!$Q$4:$Q$26,0),0)</f>
        <v>12</v>
      </c>
      <c r="H1060" s="342">
        <v>12746</v>
      </c>
    </row>
    <row r="1061" spans="2:8" x14ac:dyDescent="0.25">
      <c r="B1061" s="342">
        <v>12747</v>
      </c>
      <c r="C1061" s="343" t="s">
        <v>549</v>
      </c>
      <c r="D1061" s="343" t="str">
        <f ca="1">OFFSET('Zip Code Lines_1'!$U$3,MATCH('Zip Code Lines_1'!C1061,'Zip Code Lines_1'!$Q$4:$Q$26,0),0)</f>
        <v>Monticello</v>
      </c>
      <c r="E1061" s="344">
        <f ca="1">OFFSET('Zip Code Lines_1'!$W$3,MATCH('Zip Code Lines_1'!C1061,'Zip Code Lines_1'!$Q$4:$Q$26,0),0)</f>
        <v>4.7</v>
      </c>
      <c r="F1061" s="344">
        <f ca="1">OFFSET('Zip Code Lines_1'!$Z$3,MATCH('Zip Code Lines_1'!C1061,'Zip Code Lines_1'!$Q$4:$Q$26,0),0)</f>
        <v>82.5</v>
      </c>
      <c r="G1061" s="342">
        <f ca="1">OFFSET('Zip Code Lines_1'!$AC$3,MATCH('Zip Code Lines_1'!C1061,'Zip Code Lines_1'!$Q$4:$Q$26,0),0)</f>
        <v>12</v>
      </c>
      <c r="H1061" s="342">
        <v>12747</v>
      </c>
    </row>
    <row r="1062" spans="2:8" x14ac:dyDescent="0.25">
      <c r="B1062" s="342">
        <v>12748</v>
      </c>
      <c r="C1062" s="343" t="s">
        <v>549</v>
      </c>
      <c r="D1062" s="343" t="str">
        <f ca="1">OFFSET('Zip Code Lines_1'!$U$3,MATCH('Zip Code Lines_1'!C1062,'Zip Code Lines_1'!$Q$4:$Q$26,0),0)</f>
        <v>Monticello</v>
      </c>
      <c r="E1062" s="344">
        <f ca="1">OFFSET('Zip Code Lines_1'!$W$3,MATCH('Zip Code Lines_1'!C1062,'Zip Code Lines_1'!$Q$4:$Q$26,0),0)</f>
        <v>4.7</v>
      </c>
      <c r="F1062" s="344">
        <f ca="1">OFFSET('Zip Code Lines_1'!$Z$3,MATCH('Zip Code Lines_1'!C1062,'Zip Code Lines_1'!$Q$4:$Q$26,0),0)</f>
        <v>82.5</v>
      </c>
      <c r="G1062" s="342">
        <f ca="1">OFFSET('Zip Code Lines_1'!$AC$3,MATCH('Zip Code Lines_1'!C1062,'Zip Code Lines_1'!$Q$4:$Q$26,0),0)</f>
        <v>12</v>
      </c>
      <c r="H1062" s="342">
        <v>12748</v>
      </c>
    </row>
    <row r="1063" spans="2:8" x14ac:dyDescent="0.25">
      <c r="B1063" s="342">
        <v>12749</v>
      </c>
      <c r="C1063" s="343" t="s">
        <v>549</v>
      </c>
      <c r="D1063" s="343" t="str">
        <f ca="1">OFFSET('Zip Code Lines_1'!$U$3,MATCH('Zip Code Lines_1'!C1063,'Zip Code Lines_1'!$Q$4:$Q$26,0),0)</f>
        <v>Monticello</v>
      </c>
      <c r="E1063" s="344">
        <f ca="1">OFFSET('Zip Code Lines_1'!$W$3,MATCH('Zip Code Lines_1'!C1063,'Zip Code Lines_1'!$Q$4:$Q$26,0),0)</f>
        <v>4.7</v>
      </c>
      <c r="F1063" s="344">
        <f ca="1">OFFSET('Zip Code Lines_1'!$Z$3,MATCH('Zip Code Lines_1'!C1063,'Zip Code Lines_1'!$Q$4:$Q$26,0),0)</f>
        <v>82.5</v>
      </c>
      <c r="G1063" s="342">
        <f ca="1">OFFSET('Zip Code Lines_1'!$AC$3,MATCH('Zip Code Lines_1'!C1063,'Zip Code Lines_1'!$Q$4:$Q$26,0),0)</f>
        <v>12</v>
      </c>
      <c r="H1063" s="342">
        <v>12749</v>
      </c>
    </row>
    <row r="1064" spans="2:8" x14ac:dyDescent="0.25">
      <c r="B1064" s="342">
        <v>12750</v>
      </c>
      <c r="C1064" s="343" t="s">
        <v>549</v>
      </c>
      <c r="D1064" s="343" t="str">
        <f ca="1">OFFSET('Zip Code Lines_1'!$U$3,MATCH('Zip Code Lines_1'!C1064,'Zip Code Lines_1'!$Q$4:$Q$26,0),0)</f>
        <v>Monticello</v>
      </c>
      <c r="E1064" s="344">
        <f ca="1">OFFSET('Zip Code Lines_1'!$W$3,MATCH('Zip Code Lines_1'!C1064,'Zip Code Lines_1'!$Q$4:$Q$26,0),0)</f>
        <v>4.7</v>
      </c>
      <c r="F1064" s="344">
        <f ca="1">OFFSET('Zip Code Lines_1'!$Z$3,MATCH('Zip Code Lines_1'!C1064,'Zip Code Lines_1'!$Q$4:$Q$26,0),0)</f>
        <v>82.5</v>
      </c>
      <c r="G1064" s="342">
        <f ca="1">OFFSET('Zip Code Lines_1'!$AC$3,MATCH('Zip Code Lines_1'!C1064,'Zip Code Lines_1'!$Q$4:$Q$26,0),0)</f>
        <v>12</v>
      </c>
      <c r="H1064" s="342">
        <v>12750</v>
      </c>
    </row>
    <row r="1065" spans="2:8" x14ac:dyDescent="0.25">
      <c r="B1065" s="342">
        <v>12751</v>
      </c>
      <c r="C1065" s="343" t="s">
        <v>549</v>
      </c>
      <c r="D1065" s="343" t="str">
        <f ca="1">OFFSET('Zip Code Lines_1'!$U$3,MATCH('Zip Code Lines_1'!C1065,'Zip Code Lines_1'!$Q$4:$Q$26,0),0)</f>
        <v>Monticello</v>
      </c>
      <c r="E1065" s="344">
        <f ca="1">OFFSET('Zip Code Lines_1'!$W$3,MATCH('Zip Code Lines_1'!C1065,'Zip Code Lines_1'!$Q$4:$Q$26,0),0)</f>
        <v>4.7</v>
      </c>
      <c r="F1065" s="344">
        <f ca="1">OFFSET('Zip Code Lines_1'!$Z$3,MATCH('Zip Code Lines_1'!C1065,'Zip Code Lines_1'!$Q$4:$Q$26,0),0)</f>
        <v>82.5</v>
      </c>
      <c r="G1065" s="342">
        <f ca="1">OFFSET('Zip Code Lines_1'!$AC$3,MATCH('Zip Code Lines_1'!C1065,'Zip Code Lines_1'!$Q$4:$Q$26,0),0)</f>
        <v>12</v>
      </c>
      <c r="H1065" s="342">
        <v>12751</v>
      </c>
    </row>
    <row r="1066" spans="2:8" x14ac:dyDescent="0.25">
      <c r="B1066" s="342">
        <v>12752</v>
      </c>
      <c r="C1066" s="343" t="s">
        <v>549</v>
      </c>
      <c r="D1066" s="343" t="str">
        <f ca="1">OFFSET('Zip Code Lines_1'!$U$3,MATCH('Zip Code Lines_1'!C1066,'Zip Code Lines_1'!$Q$4:$Q$26,0),0)</f>
        <v>Monticello</v>
      </c>
      <c r="E1066" s="344">
        <f ca="1">OFFSET('Zip Code Lines_1'!$W$3,MATCH('Zip Code Lines_1'!C1066,'Zip Code Lines_1'!$Q$4:$Q$26,0),0)</f>
        <v>4.7</v>
      </c>
      <c r="F1066" s="344">
        <f ca="1">OFFSET('Zip Code Lines_1'!$Z$3,MATCH('Zip Code Lines_1'!C1066,'Zip Code Lines_1'!$Q$4:$Q$26,0),0)</f>
        <v>82.5</v>
      </c>
      <c r="G1066" s="342">
        <f ca="1">OFFSET('Zip Code Lines_1'!$AC$3,MATCH('Zip Code Lines_1'!C1066,'Zip Code Lines_1'!$Q$4:$Q$26,0),0)</f>
        <v>12</v>
      </c>
      <c r="H1066" s="342">
        <v>12752</v>
      </c>
    </row>
    <row r="1067" spans="2:8" x14ac:dyDescent="0.25">
      <c r="B1067" s="342">
        <v>12754</v>
      </c>
      <c r="C1067" s="343" t="s">
        <v>549</v>
      </c>
      <c r="D1067" s="343" t="str">
        <f ca="1">OFFSET('Zip Code Lines_1'!$U$3,MATCH('Zip Code Lines_1'!C1067,'Zip Code Lines_1'!$Q$4:$Q$26,0),0)</f>
        <v>Monticello</v>
      </c>
      <c r="E1067" s="344">
        <f ca="1">OFFSET('Zip Code Lines_1'!$W$3,MATCH('Zip Code Lines_1'!C1067,'Zip Code Lines_1'!$Q$4:$Q$26,0),0)</f>
        <v>4.7</v>
      </c>
      <c r="F1067" s="344">
        <f ca="1">OFFSET('Zip Code Lines_1'!$Z$3,MATCH('Zip Code Lines_1'!C1067,'Zip Code Lines_1'!$Q$4:$Q$26,0),0)</f>
        <v>82.5</v>
      </c>
      <c r="G1067" s="342">
        <f ca="1">OFFSET('Zip Code Lines_1'!$AC$3,MATCH('Zip Code Lines_1'!C1067,'Zip Code Lines_1'!$Q$4:$Q$26,0),0)</f>
        <v>12</v>
      </c>
      <c r="H1067" s="342">
        <v>12754</v>
      </c>
    </row>
    <row r="1068" spans="2:8" x14ac:dyDescent="0.25">
      <c r="B1068" s="342">
        <v>12758</v>
      </c>
      <c r="C1068" s="343" t="s">
        <v>549</v>
      </c>
      <c r="D1068" s="343" t="str">
        <f ca="1">OFFSET('Zip Code Lines_1'!$U$3,MATCH('Zip Code Lines_1'!C1068,'Zip Code Lines_1'!$Q$4:$Q$26,0),0)</f>
        <v>Monticello</v>
      </c>
      <c r="E1068" s="344">
        <f ca="1">OFFSET('Zip Code Lines_1'!$W$3,MATCH('Zip Code Lines_1'!C1068,'Zip Code Lines_1'!$Q$4:$Q$26,0),0)</f>
        <v>4.7</v>
      </c>
      <c r="F1068" s="344">
        <f ca="1">OFFSET('Zip Code Lines_1'!$Z$3,MATCH('Zip Code Lines_1'!C1068,'Zip Code Lines_1'!$Q$4:$Q$26,0),0)</f>
        <v>82.5</v>
      </c>
      <c r="G1068" s="342">
        <f ca="1">OFFSET('Zip Code Lines_1'!$AC$3,MATCH('Zip Code Lines_1'!C1068,'Zip Code Lines_1'!$Q$4:$Q$26,0),0)</f>
        <v>12</v>
      </c>
      <c r="H1068" s="342">
        <v>12758</v>
      </c>
    </row>
    <row r="1069" spans="2:8" x14ac:dyDescent="0.25">
      <c r="B1069" s="342">
        <v>12759</v>
      </c>
      <c r="C1069" s="343" t="s">
        <v>549</v>
      </c>
      <c r="D1069" s="343" t="str">
        <f ca="1">OFFSET('Zip Code Lines_1'!$U$3,MATCH('Zip Code Lines_1'!C1069,'Zip Code Lines_1'!$Q$4:$Q$26,0),0)</f>
        <v>Monticello</v>
      </c>
      <c r="E1069" s="344">
        <f ca="1">OFFSET('Zip Code Lines_1'!$W$3,MATCH('Zip Code Lines_1'!C1069,'Zip Code Lines_1'!$Q$4:$Q$26,0),0)</f>
        <v>4.7</v>
      </c>
      <c r="F1069" s="344">
        <f ca="1">OFFSET('Zip Code Lines_1'!$Z$3,MATCH('Zip Code Lines_1'!C1069,'Zip Code Lines_1'!$Q$4:$Q$26,0),0)</f>
        <v>82.5</v>
      </c>
      <c r="G1069" s="342">
        <f ca="1">OFFSET('Zip Code Lines_1'!$AC$3,MATCH('Zip Code Lines_1'!C1069,'Zip Code Lines_1'!$Q$4:$Q$26,0),0)</f>
        <v>12</v>
      </c>
      <c r="H1069" s="342">
        <v>12759</v>
      </c>
    </row>
    <row r="1070" spans="2:8" x14ac:dyDescent="0.25">
      <c r="B1070" s="342">
        <v>12760</v>
      </c>
      <c r="C1070" s="343" t="s">
        <v>549</v>
      </c>
      <c r="D1070" s="343" t="str">
        <f ca="1">OFFSET('Zip Code Lines_1'!$U$3,MATCH('Zip Code Lines_1'!C1070,'Zip Code Lines_1'!$Q$4:$Q$26,0),0)</f>
        <v>Monticello</v>
      </c>
      <c r="E1070" s="344">
        <f ca="1">OFFSET('Zip Code Lines_1'!$W$3,MATCH('Zip Code Lines_1'!C1070,'Zip Code Lines_1'!$Q$4:$Q$26,0),0)</f>
        <v>4.7</v>
      </c>
      <c r="F1070" s="344">
        <f ca="1">OFFSET('Zip Code Lines_1'!$Z$3,MATCH('Zip Code Lines_1'!C1070,'Zip Code Lines_1'!$Q$4:$Q$26,0),0)</f>
        <v>82.5</v>
      </c>
      <c r="G1070" s="342">
        <f ca="1">OFFSET('Zip Code Lines_1'!$AC$3,MATCH('Zip Code Lines_1'!C1070,'Zip Code Lines_1'!$Q$4:$Q$26,0),0)</f>
        <v>12</v>
      </c>
      <c r="H1070" s="342">
        <v>12760</v>
      </c>
    </row>
    <row r="1071" spans="2:8" x14ac:dyDescent="0.25">
      <c r="B1071" s="342">
        <v>12762</v>
      </c>
      <c r="C1071" s="343" t="s">
        <v>549</v>
      </c>
      <c r="D1071" s="343" t="str">
        <f ca="1">OFFSET('Zip Code Lines_1'!$U$3,MATCH('Zip Code Lines_1'!C1071,'Zip Code Lines_1'!$Q$4:$Q$26,0),0)</f>
        <v>Monticello</v>
      </c>
      <c r="E1071" s="344">
        <f ca="1">OFFSET('Zip Code Lines_1'!$W$3,MATCH('Zip Code Lines_1'!C1071,'Zip Code Lines_1'!$Q$4:$Q$26,0),0)</f>
        <v>4.7</v>
      </c>
      <c r="F1071" s="344">
        <f ca="1">OFFSET('Zip Code Lines_1'!$Z$3,MATCH('Zip Code Lines_1'!C1071,'Zip Code Lines_1'!$Q$4:$Q$26,0),0)</f>
        <v>82.5</v>
      </c>
      <c r="G1071" s="342">
        <f ca="1">OFFSET('Zip Code Lines_1'!$AC$3,MATCH('Zip Code Lines_1'!C1071,'Zip Code Lines_1'!$Q$4:$Q$26,0),0)</f>
        <v>12</v>
      </c>
      <c r="H1071" s="342">
        <v>12762</v>
      </c>
    </row>
    <row r="1072" spans="2:8" x14ac:dyDescent="0.25">
      <c r="B1072" s="342">
        <v>12763</v>
      </c>
      <c r="C1072" s="343" t="s">
        <v>549</v>
      </c>
      <c r="D1072" s="343" t="str">
        <f ca="1">OFFSET('Zip Code Lines_1'!$U$3,MATCH('Zip Code Lines_1'!C1072,'Zip Code Lines_1'!$Q$4:$Q$26,0),0)</f>
        <v>Monticello</v>
      </c>
      <c r="E1072" s="344">
        <f ca="1">OFFSET('Zip Code Lines_1'!$W$3,MATCH('Zip Code Lines_1'!C1072,'Zip Code Lines_1'!$Q$4:$Q$26,0),0)</f>
        <v>4.7</v>
      </c>
      <c r="F1072" s="344">
        <f ca="1">OFFSET('Zip Code Lines_1'!$Z$3,MATCH('Zip Code Lines_1'!C1072,'Zip Code Lines_1'!$Q$4:$Q$26,0),0)</f>
        <v>82.5</v>
      </c>
      <c r="G1072" s="342">
        <f ca="1">OFFSET('Zip Code Lines_1'!$AC$3,MATCH('Zip Code Lines_1'!C1072,'Zip Code Lines_1'!$Q$4:$Q$26,0),0)</f>
        <v>12</v>
      </c>
      <c r="H1072" s="342">
        <v>12763</v>
      </c>
    </row>
    <row r="1073" spans="2:8" x14ac:dyDescent="0.25">
      <c r="B1073" s="342">
        <v>12764</v>
      </c>
      <c r="C1073" s="343" t="s">
        <v>549</v>
      </c>
      <c r="D1073" s="343" t="str">
        <f ca="1">OFFSET('Zip Code Lines_1'!$U$3,MATCH('Zip Code Lines_1'!C1073,'Zip Code Lines_1'!$Q$4:$Q$26,0),0)</f>
        <v>Monticello</v>
      </c>
      <c r="E1073" s="344">
        <f ca="1">OFFSET('Zip Code Lines_1'!$W$3,MATCH('Zip Code Lines_1'!C1073,'Zip Code Lines_1'!$Q$4:$Q$26,0),0)</f>
        <v>4.7</v>
      </c>
      <c r="F1073" s="344">
        <f ca="1">OFFSET('Zip Code Lines_1'!$Z$3,MATCH('Zip Code Lines_1'!C1073,'Zip Code Lines_1'!$Q$4:$Q$26,0),0)</f>
        <v>82.5</v>
      </c>
      <c r="G1073" s="342">
        <f ca="1">OFFSET('Zip Code Lines_1'!$AC$3,MATCH('Zip Code Lines_1'!C1073,'Zip Code Lines_1'!$Q$4:$Q$26,0),0)</f>
        <v>12</v>
      </c>
      <c r="H1073" s="342">
        <v>12764</v>
      </c>
    </row>
    <row r="1074" spans="2:8" x14ac:dyDescent="0.25">
      <c r="B1074" s="342">
        <v>12765</v>
      </c>
      <c r="C1074" s="343" t="s">
        <v>549</v>
      </c>
      <c r="D1074" s="343" t="str">
        <f ca="1">OFFSET('Zip Code Lines_1'!$U$3,MATCH('Zip Code Lines_1'!C1074,'Zip Code Lines_1'!$Q$4:$Q$26,0),0)</f>
        <v>Monticello</v>
      </c>
      <c r="E1074" s="344">
        <f ca="1">OFFSET('Zip Code Lines_1'!$W$3,MATCH('Zip Code Lines_1'!C1074,'Zip Code Lines_1'!$Q$4:$Q$26,0),0)</f>
        <v>4.7</v>
      </c>
      <c r="F1074" s="344">
        <f ca="1">OFFSET('Zip Code Lines_1'!$Z$3,MATCH('Zip Code Lines_1'!C1074,'Zip Code Lines_1'!$Q$4:$Q$26,0),0)</f>
        <v>82.5</v>
      </c>
      <c r="G1074" s="342">
        <f ca="1">OFFSET('Zip Code Lines_1'!$AC$3,MATCH('Zip Code Lines_1'!C1074,'Zip Code Lines_1'!$Q$4:$Q$26,0),0)</f>
        <v>12</v>
      </c>
      <c r="H1074" s="342">
        <v>12765</v>
      </c>
    </row>
    <row r="1075" spans="2:8" x14ac:dyDescent="0.25">
      <c r="B1075" s="342">
        <v>12766</v>
      </c>
      <c r="C1075" s="343" t="s">
        <v>549</v>
      </c>
      <c r="D1075" s="343" t="str">
        <f ca="1">OFFSET('Zip Code Lines_1'!$U$3,MATCH('Zip Code Lines_1'!C1075,'Zip Code Lines_1'!$Q$4:$Q$26,0),0)</f>
        <v>Monticello</v>
      </c>
      <c r="E1075" s="344">
        <f ca="1">OFFSET('Zip Code Lines_1'!$W$3,MATCH('Zip Code Lines_1'!C1075,'Zip Code Lines_1'!$Q$4:$Q$26,0),0)</f>
        <v>4.7</v>
      </c>
      <c r="F1075" s="344">
        <f ca="1">OFFSET('Zip Code Lines_1'!$Z$3,MATCH('Zip Code Lines_1'!C1075,'Zip Code Lines_1'!$Q$4:$Q$26,0),0)</f>
        <v>82.5</v>
      </c>
      <c r="G1075" s="342">
        <f ca="1">OFFSET('Zip Code Lines_1'!$AC$3,MATCH('Zip Code Lines_1'!C1075,'Zip Code Lines_1'!$Q$4:$Q$26,0),0)</f>
        <v>12</v>
      </c>
      <c r="H1075" s="342">
        <v>12766</v>
      </c>
    </row>
    <row r="1076" spans="2:8" x14ac:dyDescent="0.25">
      <c r="B1076" s="342">
        <v>12767</v>
      </c>
      <c r="C1076" s="343" t="s">
        <v>549</v>
      </c>
      <c r="D1076" s="343" t="str">
        <f ca="1">OFFSET('Zip Code Lines_1'!$U$3,MATCH('Zip Code Lines_1'!C1076,'Zip Code Lines_1'!$Q$4:$Q$26,0),0)</f>
        <v>Monticello</v>
      </c>
      <c r="E1076" s="344">
        <f ca="1">OFFSET('Zip Code Lines_1'!$W$3,MATCH('Zip Code Lines_1'!C1076,'Zip Code Lines_1'!$Q$4:$Q$26,0),0)</f>
        <v>4.7</v>
      </c>
      <c r="F1076" s="344">
        <f ca="1">OFFSET('Zip Code Lines_1'!$Z$3,MATCH('Zip Code Lines_1'!C1076,'Zip Code Lines_1'!$Q$4:$Q$26,0),0)</f>
        <v>82.5</v>
      </c>
      <c r="G1076" s="342">
        <f ca="1">OFFSET('Zip Code Lines_1'!$AC$3,MATCH('Zip Code Lines_1'!C1076,'Zip Code Lines_1'!$Q$4:$Q$26,0),0)</f>
        <v>12</v>
      </c>
      <c r="H1076" s="342">
        <v>12767</v>
      </c>
    </row>
    <row r="1077" spans="2:8" x14ac:dyDescent="0.25">
      <c r="B1077" s="342">
        <v>12768</v>
      </c>
      <c r="C1077" s="343" t="s">
        <v>549</v>
      </c>
      <c r="D1077" s="343" t="str">
        <f ca="1">OFFSET('Zip Code Lines_1'!$U$3,MATCH('Zip Code Lines_1'!C1077,'Zip Code Lines_1'!$Q$4:$Q$26,0),0)</f>
        <v>Monticello</v>
      </c>
      <c r="E1077" s="344">
        <f ca="1">OFFSET('Zip Code Lines_1'!$W$3,MATCH('Zip Code Lines_1'!C1077,'Zip Code Lines_1'!$Q$4:$Q$26,0),0)</f>
        <v>4.7</v>
      </c>
      <c r="F1077" s="344">
        <f ca="1">OFFSET('Zip Code Lines_1'!$Z$3,MATCH('Zip Code Lines_1'!C1077,'Zip Code Lines_1'!$Q$4:$Q$26,0),0)</f>
        <v>82.5</v>
      </c>
      <c r="G1077" s="342">
        <f ca="1">OFFSET('Zip Code Lines_1'!$AC$3,MATCH('Zip Code Lines_1'!C1077,'Zip Code Lines_1'!$Q$4:$Q$26,0),0)</f>
        <v>12</v>
      </c>
      <c r="H1077" s="342">
        <v>12768</v>
      </c>
    </row>
    <row r="1078" spans="2:8" x14ac:dyDescent="0.25">
      <c r="B1078" s="342">
        <v>12769</v>
      </c>
      <c r="C1078" s="343" t="s">
        <v>563</v>
      </c>
      <c r="D1078" s="343" t="str">
        <f ca="1">OFFSET('Zip Code Lines_1'!$U$3,MATCH('Zip Code Lines_1'!C1078,'Zip Code Lines_1'!$Q$4:$Q$26,0),0)</f>
        <v>Poughkeepsie</v>
      </c>
      <c r="E1078" s="344">
        <f ca="1">OFFSET('Zip Code Lines_1'!$W$3,MATCH('Zip Code Lines_1'!C1078,'Zip Code Lines_1'!$Q$4:$Q$26,0),0)</f>
        <v>8.4</v>
      </c>
      <c r="F1078" s="344">
        <f ca="1">OFFSET('Zip Code Lines_1'!$Z$3,MATCH('Zip Code Lines_1'!C1078,'Zip Code Lines_1'!$Q$4:$Q$26,0),0)</f>
        <v>88.4</v>
      </c>
      <c r="G1078" s="342">
        <f ca="1">OFFSET('Zip Code Lines_1'!$AC$3,MATCH('Zip Code Lines_1'!C1078,'Zip Code Lines_1'!$Q$4:$Q$26,0),0)</f>
        <v>12</v>
      </c>
      <c r="H1078" s="342">
        <v>12769</v>
      </c>
    </row>
    <row r="1079" spans="2:8" x14ac:dyDescent="0.25">
      <c r="B1079" s="342">
        <v>12770</v>
      </c>
      <c r="C1079" s="343" t="s">
        <v>549</v>
      </c>
      <c r="D1079" s="343" t="str">
        <f ca="1">OFFSET('Zip Code Lines_1'!$U$3,MATCH('Zip Code Lines_1'!C1079,'Zip Code Lines_1'!$Q$4:$Q$26,0),0)</f>
        <v>Monticello</v>
      </c>
      <c r="E1079" s="344">
        <f ca="1">OFFSET('Zip Code Lines_1'!$W$3,MATCH('Zip Code Lines_1'!C1079,'Zip Code Lines_1'!$Q$4:$Q$26,0),0)</f>
        <v>4.7</v>
      </c>
      <c r="F1079" s="344">
        <f ca="1">OFFSET('Zip Code Lines_1'!$Z$3,MATCH('Zip Code Lines_1'!C1079,'Zip Code Lines_1'!$Q$4:$Q$26,0),0)</f>
        <v>82.5</v>
      </c>
      <c r="G1079" s="342">
        <f ca="1">OFFSET('Zip Code Lines_1'!$AC$3,MATCH('Zip Code Lines_1'!C1079,'Zip Code Lines_1'!$Q$4:$Q$26,0),0)</f>
        <v>12</v>
      </c>
      <c r="H1079" s="342">
        <v>12770</v>
      </c>
    </row>
    <row r="1080" spans="2:8" x14ac:dyDescent="0.25">
      <c r="B1080" s="342">
        <v>12771</v>
      </c>
      <c r="C1080" s="343" t="s">
        <v>549</v>
      </c>
      <c r="D1080" s="343" t="str">
        <f ca="1">OFFSET('Zip Code Lines_1'!$U$3,MATCH('Zip Code Lines_1'!C1080,'Zip Code Lines_1'!$Q$4:$Q$26,0),0)</f>
        <v>Monticello</v>
      </c>
      <c r="E1080" s="344">
        <f ca="1">OFFSET('Zip Code Lines_1'!$W$3,MATCH('Zip Code Lines_1'!C1080,'Zip Code Lines_1'!$Q$4:$Q$26,0),0)</f>
        <v>4.7</v>
      </c>
      <c r="F1080" s="344">
        <f ca="1">OFFSET('Zip Code Lines_1'!$Z$3,MATCH('Zip Code Lines_1'!C1080,'Zip Code Lines_1'!$Q$4:$Q$26,0),0)</f>
        <v>82.5</v>
      </c>
      <c r="G1080" s="342">
        <f ca="1">OFFSET('Zip Code Lines_1'!$AC$3,MATCH('Zip Code Lines_1'!C1080,'Zip Code Lines_1'!$Q$4:$Q$26,0),0)</f>
        <v>12</v>
      </c>
      <c r="H1080" s="342">
        <v>12771</v>
      </c>
    </row>
    <row r="1081" spans="2:8" x14ac:dyDescent="0.25">
      <c r="B1081" s="342">
        <v>12775</v>
      </c>
      <c r="C1081" s="343" t="s">
        <v>549</v>
      </c>
      <c r="D1081" s="343" t="str">
        <f ca="1">OFFSET('Zip Code Lines_1'!$U$3,MATCH('Zip Code Lines_1'!C1081,'Zip Code Lines_1'!$Q$4:$Q$26,0),0)</f>
        <v>Monticello</v>
      </c>
      <c r="E1081" s="344">
        <f ca="1">OFFSET('Zip Code Lines_1'!$W$3,MATCH('Zip Code Lines_1'!C1081,'Zip Code Lines_1'!$Q$4:$Q$26,0),0)</f>
        <v>4.7</v>
      </c>
      <c r="F1081" s="344">
        <f ca="1">OFFSET('Zip Code Lines_1'!$Z$3,MATCH('Zip Code Lines_1'!C1081,'Zip Code Lines_1'!$Q$4:$Q$26,0),0)</f>
        <v>82.5</v>
      </c>
      <c r="G1081" s="342">
        <f ca="1">OFFSET('Zip Code Lines_1'!$AC$3,MATCH('Zip Code Lines_1'!C1081,'Zip Code Lines_1'!$Q$4:$Q$26,0),0)</f>
        <v>12</v>
      </c>
      <c r="H1081" s="342">
        <v>12775</v>
      </c>
    </row>
    <row r="1082" spans="2:8" x14ac:dyDescent="0.25">
      <c r="B1082" s="342">
        <v>12776</v>
      </c>
      <c r="C1082" s="343" t="s">
        <v>549</v>
      </c>
      <c r="D1082" s="343" t="str">
        <f ca="1">OFFSET('Zip Code Lines_1'!$U$3,MATCH('Zip Code Lines_1'!C1082,'Zip Code Lines_1'!$Q$4:$Q$26,0),0)</f>
        <v>Monticello</v>
      </c>
      <c r="E1082" s="344">
        <f ca="1">OFFSET('Zip Code Lines_1'!$W$3,MATCH('Zip Code Lines_1'!C1082,'Zip Code Lines_1'!$Q$4:$Q$26,0),0)</f>
        <v>4.7</v>
      </c>
      <c r="F1082" s="344">
        <f ca="1">OFFSET('Zip Code Lines_1'!$Z$3,MATCH('Zip Code Lines_1'!C1082,'Zip Code Lines_1'!$Q$4:$Q$26,0),0)</f>
        <v>82.5</v>
      </c>
      <c r="G1082" s="342">
        <f ca="1">OFFSET('Zip Code Lines_1'!$AC$3,MATCH('Zip Code Lines_1'!C1082,'Zip Code Lines_1'!$Q$4:$Q$26,0),0)</f>
        <v>12</v>
      </c>
      <c r="H1082" s="342">
        <v>12776</v>
      </c>
    </row>
    <row r="1083" spans="2:8" x14ac:dyDescent="0.25">
      <c r="B1083" s="342">
        <v>12777</v>
      </c>
      <c r="C1083" s="343" t="s">
        <v>549</v>
      </c>
      <c r="D1083" s="343" t="str">
        <f ca="1">OFFSET('Zip Code Lines_1'!$U$3,MATCH('Zip Code Lines_1'!C1083,'Zip Code Lines_1'!$Q$4:$Q$26,0),0)</f>
        <v>Monticello</v>
      </c>
      <c r="E1083" s="344">
        <f ca="1">OFFSET('Zip Code Lines_1'!$W$3,MATCH('Zip Code Lines_1'!C1083,'Zip Code Lines_1'!$Q$4:$Q$26,0),0)</f>
        <v>4.7</v>
      </c>
      <c r="F1083" s="344">
        <f ca="1">OFFSET('Zip Code Lines_1'!$Z$3,MATCH('Zip Code Lines_1'!C1083,'Zip Code Lines_1'!$Q$4:$Q$26,0),0)</f>
        <v>82.5</v>
      </c>
      <c r="G1083" s="342">
        <f ca="1">OFFSET('Zip Code Lines_1'!$AC$3,MATCH('Zip Code Lines_1'!C1083,'Zip Code Lines_1'!$Q$4:$Q$26,0),0)</f>
        <v>12</v>
      </c>
      <c r="H1083" s="342">
        <v>12777</v>
      </c>
    </row>
    <row r="1084" spans="2:8" x14ac:dyDescent="0.25">
      <c r="B1084" s="342">
        <v>12778</v>
      </c>
      <c r="C1084" s="343" t="s">
        <v>549</v>
      </c>
      <c r="D1084" s="343" t="str">
        <f ca="1">OFFSET('Zip Code Lines_1'!$U$3,MATCH('Zip Code Lines_1'!C1084,'Zip Code Lines_1'!$Q$4:$Q$26,0),0)</f>
        <v>Monticello</v>
      </c>
      <c r="E1084" s="344">
        <f ca="1">OFFSET('Zip Code Lines_1'!$W$3,MATCH('Zip Code Lines_1'!C1084,'Zip Code Lines_1'!$Q$4:$Q$26,0),0)</f>
        <v>4.7</v>
      </c>
      <c r="F1084" s="344">
        <f ca="1">OFFSET('Zip Code Lines_1'!$Z$3,MATCH('Zip Code Lines_1'!C1084,'Zip Code Lines_1'!$Q$4:$Q$26,0),0)</f>
        <v>82.5</v>
      </c>
      <c r="G1084" s="342">
        <f ca="1">OFFSET('Zip Code Lines_1'!$AC$3,MATCH('Zip Code Lines_1'!C1084,'Zip Code Lines_1'!$Q$4:$Q$26,0),0)</f>
        <v>12</v>
      </c>
      <c r="H1084" s="342">
        <v>12778</v>
      </c>
    </row>
    <row r="1085" spans="2:8" x14ac:dyDescent="0.25">
      <c r="B1085" s="342">
        <v>12779</v>
      </c>
      <c r="C1085" s="343" t="s">
        <v>549</v>
      </c>
      <c r="D1085" s="343" t="str">
        <f ca="1">OFFSET('Zip Code Lines_1'!$U$3,MATCH('Zip Code Lines_1'!C1085,'Zip Code Lines_1'!$Q$4:$Q$26,0),0)</f>
        <v>Monticello</v>
      </c>
      <c r="E1085" s="344">
        <f ca="1">OFFSET('Zip Code Lines_1'!$W$3,MATCH('Zip Code Lines_1'!C1085,'Zip Code Lines_1'!$Q$4:$Q$26,0),0)</f>
        <v>4.7</v>
      </c>
      <c r="F1085" s="344">
        <f ca="1">OFFSET('Zip Code Lines_1'!$Z$3,MATCH('Zip Code Lines_1'!C1085,'Zip Code Lines_1'!$Q$4:$Q$26,0),0)</f>
        <v>82.5</v>
      </c>
      <c r="G1085" s="342">
        <f ca="1">OFFSET('Zip Code Lines_1'!$AC$3,MATCH('Zip Code Lines_1'!C1085,'Zip Code Lines_1'!$Q$4:$Q$26,0),0)</f>
        <v>12</v>
      </c>
      <c r="H1085" s="342">
        <v>12779</v>
      </c>
    </row>
    <row r="1086" spans="2:8" x14ac:dyDescent="0.25">
      <c r="B1086" s="342">
        <v>12780</v>
      </c>
      <c r="C1086" s="343" t="s">
        <v>549</v>
      </c>
      <c r="D1086" s="343" t="str">
        <f ca="1">OFFSET('Zip Code Lines_1'!$U$3,MATCH('Zip Code Lines_1'!C1086,'Zip Code Lines_1'!$Q$4:$Q$26,0),0)</f>
        <v>Monticello</v>
      </c>
      <c r="E1086" s="344">
        <f ca="1">OFFSET('Zip Code Lines_1'!$W$3,MATCH('Zip Code Lines_1'!C1086,'Zip Code Lines_1'!$Q$4:$Q$26,0),0)</f>
        <v>4.7</v>
      </c>
      <c r="F1086" s="344">
        <f ca="1">OFFSET('Zip Code Lines_1'!$Z$3,MATCH('Zip Code Lines_1'!C1086,'Zip Code Lines_1'!$Q$4:$Q$26,0),0)</f>
        <v>82.5</v>
      </c>
      <c r="G1086" s="342">
        <f ca="1">OFFSET('Zip Code Lines_1'!$AC$3,MATCH('Zip Code Lines_1'!C1086,'Zip Code Lines_1'!$Q$4:$Q$26,0),0)</f>
        <v>12</v>
      </c>
      <c r="H1086" s="342">
        <v>12780</v>
      </c>
    </row>
    <row r="1087" spans="2:8" x14ac:dyDescent="0.25">
      <c r="B1087" s="342">
        <v>12781</v>
      </c>
      <c r="C1087" s="343" t="s">
        <v>563</v>
      </c>
      <c r="D1087" s="343" t="str">
        <f ca="1">OFFSET('Zip Code Lines_1'!$U$3,MATCH('Zip Code Lines_1'!C1087,'Zip Code Lines_1'!$Q$4:$Q$26,0),0)</f>
        <v>Poughkeepsie</v>
      </c>
      <c r="E1087" s="344">
        <f ca="1">OFFSET('Zip Code Lines_1'!$W$3,MATCH('Zip Code Lines_1'!C1087,'Zip Code Lines_1'!$Q$4:$Q$26,0),0)</f>
        <v>8.4</v>
      </c>
      <c r="F1087" s="344">
        <f ca="1">OFFSET('Zip Code Lines_1'!$Z$3,MATCH('Zip Code Lines_1'!C1087,'Zip Code Lines_1'!$Q$4:$Q$26,0),0)</f>
        <v>88.4</v>
      </c>
      <c r="G1087" s="342">
        <f ca="1">OFFSET('Zip Code Lines_1'!$AC$3,MATCH('Zip Code Lines_1'!C1087,'Zip Code Lines_1'!$Q$4:$Q$26,0),0)</f>
        <v>12</v>
      </c>
      <c r="H1087" s="342">
        <v>12781</v>
      </c>
    </row>
    <row r="1088" spans="2:8" x14ac:dyDescent="0.25">
      <c r="B1088" s="342">
        <v>12783</v>
      </c>
      <c r="C1088" s="343" t="s">
        <v>549</v>
      </c>
      <c r="D1088" s="343" t="str">
        <f ca="1">OFFSET('Zip Code Lines_1'!$U$3,MATCH('Zip Code Lines_1'!C1088,'Zip Code Lines_1'!$Q$4:$Q$26,0),0)</f>
        <v>Monticello</v>
      </c>
      <c r="E1088" s="344">
        <f ca="1">OFFSET('Zip Code Lines_1'!$W$3,MATCH('Zip Code Lines_1'!C1088,'Zip Code Lines_1'!$Q$4:$Q$26,0),0)</f>
        <v>4.7</v>
      </c>
      <c r="F1088" s="344">
        <f ca="1">OFFSET('Zip Code Lines_1'!$Z$3,MATCH('Zip Code Lines_1'!C1088,'Zip Code Lines_1'!$Q$4:$Q$26,0),0)</f>
        <v>82.5</v>
      </c>
      <c r="G1088" s="342">
        <f ca="1">OFFSET('Zip Code Lines_1'!$AC$3,MATCH('Zip Code Lines_1'!C1088,'Zip Code Lines_1'!$Q$4:$Q$26,0),0)</f>
        <v>12</v>
      </c>
      <c r="H1088" s="342">
        <v>12783</v>
      </c>
    </row>
    <row r="1089" spans="2:8" x14ac:dyDescent="0.25">
      <c r="B1089" s="342">
        <v>12784</v>
      </c>
      <c r="C1089" s="343" t="s">
        <v>549</v>
      </c>
      <c r="D1089" s="343" t="str">
        <f ca="1">OFFSET('Zip Code Lines_1'!$U$3,MATCH('Zip Code Lines_1'!C1089,'Zip Code Lines_1'!$Q$4:$Q$26,0),0)</f>
        <v>Monticello</v>
      </c>
      <c r="E1089" s="344">
        <f ca="1">OFFSET('Zip Code Lines_1'!$W$3,MATCH('Zip Code Lines_1'!C1089,'Zip Code Lines_1'!$Q$4:$Q$26,0),0)</f>
        <v>4.7</v>
      </c>
      <c r="F1089" s="344">
        <f ca="1">OFFSET('Zip Code Lines_1'!$Z$3,MATCH('Zip Code Lines_1'!C1089,'Zip Code Lines_1'!$Q$4:$Q$26,0),0)</f>
        <v>82.5</v>
      </c>
      <c r="G1089" s="342">
        <f ca="1">OFFSET('Zip Code Lines_1'!$AC$3,MATCH('Zip Code Lines_1'!C1089,'Zip Code Lines_1'!$Q$4:$Q$26,0),0)</f>
        <v>12</v>
      </c>
      <c r="H1089" s="342">
        <v>12784</v>
      </c>
    </row>
    <row r="1090" spans="2:8" x14ac:dyDescent="0.25">
      <c r="B1090" s="342">
        <v>12785</v>
      </c>
      <c r="C1090" s="343" t="s">
        <v>563</v>
      </c>
      <c r="D1090" s="343" t="str">
        <f ca="1">OFFSET('Zip Code Lines_1'!$U$3,MATCH('Zip Code Lines_1'!C1090,'Zip Code Lines_1'!$Q$4:$Q$26,0),0)</f>
        <v>Poughkeepsie</v>
      </c>
      <c r="E1090" s="344">
        <f ca="1">OFFSET('Zip Code Lines_1'!$W$3,MATCH('Zip Code Lines_1'!C1090,'Zip Code Lines_1'!$Q$4:$Q$26,0),0)</f>
        <v>8.4</v>
      </c>
      <c r="F1090" s="344">
        <f ca="1">OFFSET('Zip Code Lines_1'!$Z$3,MATCH('Zip Code Lines_1'!C1090,'Zip Code Lines_1'!$Q$4:$Q$26,0),0)</f>
        <v>88.4</v>
      </c>
      <c r="G1090" s="342">
        <f ca="1">OFFSET('Zip Code Lines_1'!$AC$3,MATCH('Zip Code Lines_1'!C1090,'Zip Code Lines_1'!$Q$4:$Q$26,0),0)</f>
        <v>12</v>
      </c>
      <c r="H1090" s="342">
        <v>12785</v>
      </c>
    </row>
    <row r="1091" spans="2:8" x14ac:dyDescent="0.25">
      <c r="B1091" s="342">
        <v>12786</v>
      </c>
      <c r="C1091" s="343" t="s">
        <v>549</v>
      </c>
      <c r="D1091" s="343" t="str">
        <f ca="1">OFFSET('Zip Code Lines_1'!$U$3,MATCH('Zip Code Lines_1'!C1091,'Zip Code Lines_1'!$Q$4:$Q$26,0),0)</f>
        <v>Monticello</v>
      </c>
      <c r="E1091" s="344">
        <f ca="1">OFFSET('Zip Code Lines_1'!$W$3,MATCH('Zip Code Lines_1'!C1091,'Zip Code Lines_1'!$Q$4:$Q$26,0),0)</f>
        <v>4.7</v>
      </c>
      <c r="F1091" s="344">
        <f ca="1">OFFSET('Zip Code Lines_1'!$Z$3,MATCH('Zip Code Lines_1'!C1091,'Zip Code Lines_1'!$Q$4:$Q$26,0),0)</f>
        <v>82.5</v>
      </c>
      <c r="G1091" s="342">
        <f ca="1">OFFSET('Zip Code Lines_1'!$AC$3,MATCH('Zip Code Lines_1'!C1091,'Zip Code Lines_1'!$Q$4:$Q$26,0),0)</f>
        <v>12</v>
      </c>
      <c r="H1091" s="342">
        <v>12786</v>
      </c>
    </row>
    <row r="1092" spans="2:8" x14ac:dyDescent="0.25">
      <c r="B1092" s="342">
        <v>12787</v>
      </c>
      <c r="C1092" s="343" t="s">
        <v>549</v>
      </c>
      <c r="D1092" s="343" t="str">
        <f ca="1">OFFSET('Zip Code Lines_1'!$U$3,MATCH('Zip Code Lines_1'!C1092,'Zip Code Lines_1'!$Q$4:$Q$26,0),0)</f>
        <v>Monticello</v>
      </c>
      <c r="E1092" s="344">
        <f ca="1">OFFSET('Zip Code Lines_1'!$W$3,MATCH('Zip Code Lines_1'!C1092,'Zip Code Lines_1'!$Q$4:$Q$26,0),0)</f>
        <v>4.7</v>
      </c>
      <c r="F1092" s="344">
        <f ca="1">OFFSET('Zip Code Lines_1'!$Z$3,MATCH('Zip Code Lines_1'!C1092,'Zip Code Lines_1'!$Q$4:$Q$26,0),0)</f>
        <v>82.5</v>
      </c>
      <c r="G1092" s="342">
        <f ca="1">OFFSET('Zip Code Lines_1'!$AC$3,MATCH('Zip Code Lines_1'!C1092,'Zip Code Lines_1'!$Q$4:$Q$26,0),0)</f>
        <v>12</v>
      </c>
      <c r="H1092" s="342">
        <v>12787</v>
      </c>
    </row>
    <row r="1093" spans="2:8" x14ac:dyDescent="0.25">
      <c r="B1093" s="342">
        <v>12788</v>
      </c>
      <c r="C1093" s="343" t="s">
        <v>549</v>
      </c>
      <c r="D1093" s="343" t="str">
        <f ca="1">OFFSET('Zip Code Lines_1'!$U$3,MATCH('Zip Code Lines_1'!C1093,'Zip Code Lines_1'!$Q$4:$Q$26,0),0)</f>
        <v>Monticello</v>
      </c>
      <c r="E1093" s="344">
        <f ca="1">OFFSET('Zip Code Lines_1'!$W$3,MATCH('Zip Code Lines_1'!C1093,'Zip Code Lines_1'!$Q$4:$Q$26,0),0)</f>
        <v>4.7</v>
      </c>
      <c r="F1093" s="344">
        <f ca="1">OFFSET('Zip Code Lines_1'!$Z$3,MATCH('Zip Code Lines_1'!C1093,'Zip Code Lines_1'!$Q$4:$Q$26,0),0)</f>
        <v>82.5</v>
      </c>
      <c r="G1093" s="342">
        <f ca="1">OFFSET('Zip Code Lines_1'!$AC$3,MATCH('Zip Code Lines_1'!C1093,'Zip Code Lines_1'!$Q$4:$Q$26,0),0)</f>
        <v>12</v>
      </c>
      <c r="H1093" s="342">
        <v>12788</v>
      </c>
    </row>
    <row r="1094" spans="2:8" x14ac:dyDescent="0.25">
      <c r="B1094" s="342">
        <v>12789</v>
      </c>
      <c r="C1094" s="343" t="s">
        <v>549</v>
      </c>
      <c r="D1094" s="343" t="str">
        <f ca="1">OFFSET('Zip Code Lines_1'!$U$3,MATCH('Zip Code Lines_1'!C1094,'Zip Code Lines_1'!$Q$4:$Q$26,0),0)</f>
        <v>Monticello</v>
      </c>
      <c r="E1094" s="344">
        <f ca="1">OFFSET('Zip Code Lines_1'!$W$3,MATCH('Zip Code Lines_1'!C1094,'Zip Code Lines_1'!$Q$4:$Q$26,0),0)</f>
        <v>4.7</v>
      </c>
      <c r="F1094" s="344">
        <f ca="1">OFFSET('Zip Code Lines_1'!$Z$3,MATCH('Zip Code Lines_1'!C1094,'Zip Code Lines_1'!$Q$4:$Q$26,0),0)</f>
        <v>82.5</v>
      </c>
      <c r="G1094" s="342">
        <f ca="1">OFFSET('Zip Code Lines_1'!$AC$3,MATCH('Zip Code Lines_1'!C1094,'Zip Code Lines_1'!$Q$4:$Q$26,0),0)</f>
        <v>12</v>
      </c>
      <c r="H1094" s="342">
        <v>12789</v>
      </c>
    </row>
    <row r="1095" spans="2:8" x14ac:dyDescent="0.25">
      <c r="B1095" s="342">
        <v>12790</v>
      </c>
      <c r="C1095" s="343" t="s">
        <v>549</v>
      </c>
      <c r="D1095" s="343" t="str">
        <f ca="1">OFFSET('Zip Code Lines_1'!$U$3,MATCH('Zip Code Lines_1'!C1095,'Zip Code Lines_1'!$Q$4:$Q$26,0),0)</f>
        <v>Monticello</v>
      </c>
      <c r="E1095" s="344">
        <f ca="1">OFFSET('Zip Code Lines_1'!$W$3,MATCH('Zip Code Lines_1'!C1095,'Zip Code Lines_1'!$Q$4:$Q$26,0),0)</f>
        <v>4.7</v>
      </c>
      <c r="F1095" s="344">
        <f ca="1">OFFSET('Zip Code Lines_1'!$Z$3,MATCH('Zip Code Lines_1'!C1095,'Zip Code Lines_1'!$Q$4:$Q$26,0),0)</f>
        <v>82.5</v>
      </c>
      <c r="G1095" s="342">
        <f ca="1">OFFSET('Zip Code Lines_1'!$AC$3,MATCH('Zip Code Lines_1'!C1095,'Zip Code Lines_1'!$Q$4:$Q$26,0),0)</f>
        <v>12</v>
      </c>
      <c r="H1095" s="342">
        <v>12790</v>
      </c>
    </row>
    <row r="1096" spans="2:8" x14ac:dyDescent="0.25">
      <c r="B1096" s="342">
        <v>12791</v>
      </c>
      <c r="C1096" s="343" t="s">
        <v>549</v>
      </c>
      <c r="D1096" s="343" t="str">
        <f ca="1">OFFSET('Zip Code Lines_1'!$U$3,MATCH('Zip Code Lines_1'!C1096,'Zip Code Lines_1'!$Q$4:$Q$26,0),0)</f>
        <v>Monticello</v>
      </c>
      <c r="E1096" s="344">
        <f ca="1">OFFSET('Zip Code Lines_1'!$W$3,MATCH('Zip Code Lines_1'!C1096,'Zip Code Lines_1'!$Q$4:$Q$26,0),0)</f>
        <v>4.7</v>
      </c>
      <c r="F1096" s="344">
        <f ca="1">OFFSET('Zip Code Lines_1'!$Z$3,MATCH('Zip Code Lines_1'!C1096,'Zip Code Lines_1'!$Q$4:$Q$26,0),0)</f>
        <v>82.5</v>
      </c>
      <c r="G1096" s="342">
        <f ca="1">OFFSET('Zip Code Lines_1'!$AC$3,MATCH('Zip Code Lines_1'!C1096,'Zip Code Lines_1'!$Q$4:$Q$26,0),0)</f>
        <v>12</v>
      </c>
      <c r="H1096" s="342">
        <v>12791</v>
      </c>
    </row>
    <row r="1097" spans="2:8" x14ac:dyDescent="0.25">
      <c r="B1097" s="342">
        <v>12792</v>
      </c>
      <c r="C1097" s="343" t="s">
        <v>549</v>
      </c>
      <c r="D1097" s="343" t="str">
        <f ca="1">OFFSET('Zip Code Lines_1'!$U$3,MATCH('Zip Code Lines_1'!C1097,'Zip Code Lines_1'!$Q$4:$Q$26,0),0)</f>
        <v>Monticello</v>
      </c>
      <c r="E1097" s="344">
        <f ca="1">OFFSET('Zip Code Lines_1'!$W$3,MATCH('Zip Code Lines_1'!C1097,'Zip Code Lines_1'!$Q$4:$Q$26,0),0)</f>
        <v>4.7</v>
      </c>
      <c r="F1097" s="344">
        <f ca="1">OFFSET('Zip Code Lines_1'!$Z$3,MATCH('Zip Code Lines_1'!C1097,'Zip Code Lines_1'!$Q$4:$Q$26,0),0)</f>
        <v>82.5</v>
      </c>
      <c r="G1097" s="342">
        <f ca="1">OFFSET('Zip Code Lines_1'!$AC$3,MATCH('Zip Code Lines_1'!C1097,'Zip Code Lines_1'!$Q$4:$Q$26,0),0)</f>
        <v>12</v>
      </c>
      <c r="H1097" s="342">
        <v>12792</v>
      </c>
    </row>
    <row r="1098" spans="2:8" x14ac:dyDescent="0.25">
      <c r="B1098" s="342">
        <v>12801</v>
      </c>
      <c r="C1098" s="343" t="s">
        <v>543</v>
      </c>
      <c r="D1098" s="343" t="str">
        <f ca="1">OFFSET('Zip Code Lines_1'!$U$3,MATCH('Zip Code Lines_1'!C1098,'Zip Code Lines_1'!$Q$4:$Q$26,0),0)</f>
        <v xml:space="preserve">Glens Falls </v>
      </c>
      <c r="E1098" s="344">
        <f ca="1">OFFSET('Zip Code Lines_1'!$W$3,MATCH('Zip Code Lines_1'!C1098,'Zip Code Lines_1'!$Q$4:$Q$26,0),0)</f>
        <v>-1.8</v>
      </c>
      <c r="F1098" s="344">
        <f ca="1">OFFSET('Zip Code Lines_1'!$Z$3,MATCH('Zip Code Lines_1'!C1098,'Zip Code Lines_1'!$Q$4:$Q$26,0),0)</f>
        <v>84.7</v>
      </c>
      <c r="G1098" s="342">
        <f ca="1">OFFSET('Zip Code Lines_1'!$AC$3,MATCH('Zip Code Lines_1'!C1098,'Zip Code Lines_1'!$Q$4:$Q$26,0),0)</f>
        <v>12</v>
      </c>
      <c r="H1098" s="342">
        <v>12801</v>
      </c>
    </row>
    <row r="1099" spans="2:8" x14ac:dyDescent="0.25">
      <c r="B1099" s="342">
        <v>12803</v>
      </c>
      <c r="C1099" s="343" t="s">
        <v>543</v>
      </c>
      <c r="D1099" s="343" t="str">
        <f ca="1">OFFSET('Zip Code Lines_1'!$U$3,MATCH('Zip Code Lines_1'!C1099,'Zip Code Lines_1'!$Q$4:$Q$26,0),0)</f>
        <v xml:space="preserve">Glens Falls </v>
      </c>
      <c r="E1099" s="344">
        <f ca="1">OFFSET('Zip Code Lines_1'!$W$3,MATCH('Zip Code Lines_1'!C1099,'Zip Code Lines_1'!$Q$4:$Q$26,0),0)</f>
        <v>-1.8</v>
      </c>
      <c r="F1099" s="344">
        <f ca="1">OFFSET('Zip Code Lines_1'!$Z$3,MATCH('Zip Code Lines_1'!C1099,'Zip Code Lines_1'!$Q$4:$Q$26,0),0)</f>
        <v>84.7</v>
      </c>
      <c r="G1099" s="342">
        <f ca="1">OFFSET('Zip Code Lines_1'!$AC$3,MATCH('Zip Code Lines_1'!C1099,'Zip Code Lines_1'!$Q$4:$Q$26,0),0)</f>
        <v>12</v>
      </c>
      <c r="H1099" s="342">
        <v>12803</v>
      </c>
    </row>
    <row r="1100" spans="2:8" x14ac:dyDescent="0.25">
      <c r="B1100" s="342">
        <v>12804</v>
      </c>
      <c r="C1100" s="343" t="s">
        <v>543</v>
      </c>
      <c r="D1100" s="343" t="str">
        <f ca="1">OFFSET('Zip Code Lines_1'!$U$3,MATCH('Zip Code Lines_1'!C1100,'Zip Code Lines_1'!$Q$4:$Q$26,0),0)</f>
        <v xml:space="preserve">Glens Falls </v>
      </c>
      <c r="E1100" s="344">
        <f ca="1">OFFSET('Zip Code Lines_1'!$W$3,MATCH('Zip Code Lines_1'!C1100,'Zip Code Lines_1'!$Q$4:$Q$26,0),0)</f>
        <v>-1.8</v>
      </c>
      <c r="F1100" s="344">
        <f ca="1">OFFSET('Zip Code Lines_1'!$Z$3,MATCH('Zip Code Lines_1'!C1100,'Zip Code Lines_1'!$Q$4:$Q$26,0),0)</f>
        <v>84.7</v>
      </c>
      <c r="G1100" s="342">
        <f ca="1">OFFSET('Zip Code Lines_1'!$AC$3,MATCH('Zip Code Lines_1'!C1100,'Zip Code Lines_1'!$Q$4:$Q$26,0),0)</f>
        <v>12</v>
      </c>
      <c r="H1100" s="342">
        <v>12804</v>
      </c>
    </row>
    <row r="1101" spans="2:8" x14ac:dyDescent="0.25">
      <c r="B1101" s="342">
        <v>12808</v>
      </c>
      <c r="C1101" s="343" t="s">
        <v>566</v>
      </c>
      <c r="D1101" s="343" t="str">
        <f ca="1">OFFSET('Zip Code Lines_1'!$U$3,MATCH('Zip Code Lines_1'!C1101,'Zip Code Lines_1'!$Q$4:$Q$26,0),0)</f>
        <v>Saranac Lake</v>
      </c>
      <c r="E1101" s="344">
        <f ca="1">OFFSET('Zip Code Lines_1'!$W$3,MATCH('Zip Code Lines_1'!C1101,'Zip Code Lines_1'!$Q$4:$Q$26,0),0)</f>
        <v>-11.5</v>
      </c>
      <c r="F1101" s="344">
        <f ca="1">OFFSET('Zip Code Lines_1'!$Z$3,MATCH('Zip Code Lines_1'!C1101,'Zip Code Lines_1'!$Q$4:$Q$26,0),0)</f>
        <v>81</v>
      </c>
      <c r="G1101" s="342">
        <f ca="1">OFFSET('Zip Code Lines_1'!$AC$3,MATCH('Zip Code Lines_1'!C1101,'Zip Code Lines_1'!$Q$4:$Q$26,0),0)</f>
        <v>24</v>
      </c>
      <c r="H1101" s="342">
        <v>12808</v>
      </c>
    </row>
    <row r="1102" spans="2:8" x14ac:dyDescent="0.25">
      <c r="B1102" s="342">
        <v>12809</v>
      </c>
      <c r="C1102" s="343" t="s">
        <v>543</v>
      </c>
      <c r="D1102" s="343" t="str">
        <f ca="1">OFFSET('Zip Code Lines_1'!$U$3,MATCH('Zip Code Lines_1'!C1102,'Zip Code Lines_1'!$Q$4:$Q$26,0),0)</f>
        <v xml:space="preserve">Glens Falls </v>
      </c>
      <c r="E1102" s="344">
        <f ca="1">OFFSET('Zip Code Lines_1'!$W$3,MATCH('Zip Code Lines_1'!C1102,'Zip Code Lines_1'!$Q$4:$Q$26,0),0)</f>
        <v>-1.8</v>
      </c>
      <c r="F1102" s="344">
        <f ca="1">OFFSET('Zip Code Lines_1'!$Z$3,MATCH('Zip Code Lines_1'!C1102,'Zip Code Lines_1'!$Q$4:$Q$26,0),0)</f>
        <v>84.7</v>
      </c>
      <c r="G1102" s="342">
        <f ca="1">OFFSET('Zip Code Lines_1'!$AC$3,MATCH('Zip Code Lines_1'!C1102,'Zip Code Lines_1'!$Q$4:$Q$26,0),0)</f>
        <v>12</v>
      </c>
      <c r="H1102" s="342">
        <v>12809</v>
      </c>
    </row>
    <row r="1103" spans="2:8" x14ac:dyDescent="0.25">
      <c r="B1103" s="342">
        <v>12810</v>
      </c>
      <c r="C1103" s="343" t="s">
        <v>543</v>
      </c>
      <c r="D1103" s="343" t="str">
        <f ca="1">OFFSET('Zip Code Lines_1'!$U$3,MATCH('Zip Code Lines_1'!C1103,'Zip Code Lines_1'!$Q$4:$Q$26,0),0)</f>
        <v xml:space="preserve">Glens Falls </v>
      </c>
      <c r="E1103" s="344">
        <f ca="1">OFFSET('Zip Code Lines_1'!$W$3,MATCH('Zip Code Lines_1'!C1103,'Zip Code Lines_1'!$Q$4:$Q$26,0),0)</f>
        <v>-1.8</v>
      </c>
      <c r="F1103" s="344">
        <f ca="1">OFFSET('Zip Code Lines_1'!$Z$3,MATCH('Zip Code Lines_1'!C1103,'Zip Code Lines_1'!$Q$4:$Q$26,0),0)</f>
        <v>84.7</v>
      </c>
      <c r="G1103" s="342">
        <f ca="1">OFFSET('Zip Code Lines_1'!$AC$3,MATCH('Zip Code Lines_1'!C1103,'Zip Code Lines_1'!$Q$4:$Q$26,0),0)</f>
        <v>12</v>
      </c>
      <c r="H1103" s="342">
        <v>12810</v>
      </c>
    </row>
    <row r="1104" spans="2:8" x14ac:dyDescent="0.25">
      <c r="B1104" s="342">
        <v>12811</v>
      </c>
      <c r="C1104" s="343" t="s">
        <v>566</v>
      </c>
      <c r="D1104" s="343" t="str">
        <f ca="1">OFFSET('Zip Code Lines_1'!$U$3,MATCH('Zip Code Lines_1'!C1104,'Zip Code Lines_1'!$Q$4:$Q$26,0),0)</f>
        <v>Saranac Lake</v>
      </c>
      <c r="E1104" s="344">
        <f ca="1">OFFSET('Zip Code Lines_1'!$W$3,MATCH('Zip Code Lines_1'!C1104,'Zip Code Lines_1'!$Q$4:$Q$26,0),0)</f>
        <v>-11.5</v>
      </c>
      <c r="F1104" s="344">
        <f ca="1">OFFSET('Zip Code Lines_1'!$Z$3,MATCH('Zip Code Lines_1'!C1104,'Zip Code Lines_1'!$Q$4:$Q$26,0),0)</f>
        <v>81</v>
      </c>
      <c r="G1104" s="342">
        <f ca="1">OFFSET('Zip Code Lines_1'!$AC$3,MATCH('Zip Code Lines_1'!C1104,'Zip Code Lines_1'!$Q$4:$Q$26,0),0)</f>
        <v>24</v>
      </c>
      <c r="H1104" s="342">
        <v>12811</v>
      </c>
    </row>
    <row r="1105" spans="2:8" x14ac:dyDescent="0.25">
      <c r="B1105" s="342">
        <v>12812</v>
      </c>
      <c r="C1105" s="343" t="s">
        <v>566</v>
      </c>
      <c r="D1105" s="343" t="str">
        <f ca="1">OFFSET('Zip Code Lines_1'!$U$3,MATCH('Zip Code Lines_1'!C1105,'Zip Code Lines_1'!$Q$4:$Q$26,0),0)</f>
        <v>Saranac Lake</v>
      </c>
      <c r="E1105" s="344">
        <f ca="1">OFFSET('Zip Code Lines_1'!$W$3,MATCH('Zip Code Lines_1'!C1105,'Zip Code Lines_1'!$Q$4:$Q$26,0),0)</f>
        <v>-11.5</v>
      </c>
      <c r="F1105" s="344">
        <f ca="1">OFFSET('Zip Code Lines_1'!$Z$3,MATCH('Zip Code Lines_1'!C1105,'Zip Code Lines_1'!$Q$4:$Q$26,0),0)</f>
        <v>81</v>
      </c>
      <c r="G1105" s="342">
        <f ca="1">OFFSET('Zip Code Lines_1'!$AC$3,MATCH('Zip Code Lines_1'!C1105,'Zip Code Lines_1'!$Q$4:$Q$26,0),0)</f>
        <v>24</v>
      </c>
      <c r="H1105" s="342">
        <v>12812</v>
      </c>
    </row>
    <row r="1106" spans="2:8" x14ac:dyDescent="0.25">
      <c r="B1106" s="342">
        <v>12814</v>
      </c>
      <c r="C1106" s="343" t="s">
        <v>543</v>
      </c>
      <c r="D1106" s="343" t="str">
        <f ca="1">OFFSET('Zip Code Lines_1'!$U$3,MATCH('Zip Code Lines_1'!C1106,'Zip Code Lines_1'!$Q$4:$Q$26,0),0)</f>
        <v xml:space="preserve">Glens Falls </v>
      </c>
      <c r="E1106" s="344">
        <f ca="1">OFFSET('Zip Code Lines_1'!$W$3,MATCH('Zip Code Lines_1'!C1106,'Zip Code Lines_1'!$Q$4:$Q$26,0),0)</f>
        <v>-1.8</v>
      </c>
      <c r="F1106" s="344">
        <f ca="1">OFFSET('Zip Code Lines_1'!$Z$3,MATCH('Zip Code Lines_1'!C1106,'Zip Code Lines_1'!$Q$4:$Q$26,0),0)</f>
        <v>84.7</v>
      </c>
      <c r="G1106" s="342">
        <f ca="1">OFFSET('Zip Code Lines_1'!$AC$3,MATCH('Zip Code Lines_1'!C1106,'Zip Code Lines_1'!$Q$4:$Q$26,0),0)</f>
        <v>12</v>
      </c>
      <c r="H1106" s="342">
        <v>12814</v>
      </c>
    </row>
    <row r="1107" spans="2:8" x14ac:dyDescent="0.25">
      <c r="B1107" s="342">
        <v>12815</v>
      </c>
      <c r="C1107" s="343" t="s">
        <v>566</v>
      </c>
      <c r="D1107" s="343" t="str">
        <f ca="1">OFFSET('Zip Code Lines_1'!$U$3,MATCH('Zip Code Lines_1'!C1107,'Zip Code Lines_1'!$Q$4:$Q$26,0),0)</f>
        <v>Saranac Lake</v>
      </c>
      <c r="E1107" s="344">
        <f ca="1">OFFSET('Zip Code Lines_1'!$W$3,MATCH('Zip Code Lines_1'!C1107,'Zip Code Lines_1'!$Q$4:$Q$26,0),0)</f>
        <v>-11.5</v>
      </c>
      <c r="F1107" s="344">
        <f ca="1">OFFSET('Zip Code Lines_1'!$Z$3,MATCH('Zip Code Lines_1'!C1107,'Zip Code Lines_1'!$Q$4:$Q$26,0),0)</f>
        <v>81</v>
      </c>
      <c r="G1107" s="342">
        <f ca="1">OFFSET('Zip Code Lines_1'!$AC$3,MATCH('Zip Code Lines_1'!C1107,'Zip Code Lines_1'!$Q$4:$Q$26,0),0)</f>
        <v>24</v>
      </c>
      <c r="H1107" s="342">
        <v>12815</v>
      </c>
    </row>
    <row r="1108" spans="2:8" x14ac:dyDescent="0.25">
      <c r="B1108" s="342">
        <v>12816</v>
      </c>
      <c r="C1108" s="343" t="s">
        <v>543</v>
      </c>
      <c r="D1108" s="343" t="str">
        <f ca="1">OFFSET('Zip Code Lines_1'!$U$3,MATCH('Zip Code Lines_1'!C1108,'Zip Code Lines_1'!$Q$4:$Q$26,0),0)</f>
        <v xml:space="preserve">Glens Falls </v>
      </c>
      <c r="E1108" s="344">
        <f ca="1">OFFSET('Zip Code Lines_1'!$W$3,MATCH('Zip Code Lines_1'!C1108,'Zip Code Lines_1'!$Q$4:$Q$26,0),0)</f>
        <v>-1.8</v>
      </c>
      <c r="F1108" s="344">
        <f ca="1">OFFSET('Zip Code Lines_1'!$Z$3,MATCH('Zip Code Lines_1'!C1108,'Zip Code Lines_1'!$Q$4:$Q$26,0),0)</f>
        <v>84.7</v>
      </c>
      <c r="G1108" s="342">
        <f ca="1">OFFSET('Zip Code Lines_1'!$AC$3,MATCH('Zip Code Lines_1'!C1108,'Zip Code Lines_1'!$Q$4:$Q$26,0),0)</f>
        <v>12</v>
      </c>
      <c r="H1108" s="342">
        <v>12816</v>
      </c>
    </row>
    <row r="1109" spans="2:8" x14ac:dyDescent="0.25">
      <c r="B1109" s="342">
        <v>12817</v>
      </c>
      <c r="C1109" s="343" t="s">
        <v>566</v>
      </c>
      <c r="D1109" s="343" t="str">
        <f ca="1">OFFSET('Zip Code Lines_1'!$U$3,MATCH('Zip Code Lines_1'!C1109,'Zip Code Lines_1'!$Q$4:$Q$26,0),0)</f>
        <v>Saranac Lake</v>
      </c>
      <c r="E1109" s="344">
        <f ca="1">OFFSET('Zip Code Lines_1'!$W$3,MATCH('Zip Code Lines_1'!C1109,'Zip Code Lines_1'!$Q$4:$Q$26,0),0)</f>
        <v>-11.5</v>
      </c>
      <c r="F1109" s="344">
        <f ca="1">OFFSET('Zip Code Lines_1'!$Z$3,MATCH('Zip Code Lines_1'!C1109,'Zip Code Lines_1'!$Q$4:$Q$26,0),0)</f>
        <v>81</v>
      </c>
      <c r="G1109" s="342">
        <f ca="1">OFFSET('Zip Code Lines_1'!$AC$3,MATCH('Zip Code Lines_1'!C1109,'Zip Code Lines_1'!$Q$4:$Q$26,0),0)</f>
        <v>24</v>
      </c>
      <c r="H1109" s="342">
        <v>12817</v>
      </c>
    </row>
    <row r="1110" spans="2:8" x14ac:dyDescent="0.25">
      <c r="B1110" s="342">
        <v>12819</v>
      </c>
      <c r="C1110" s="343" t="s">
        <v>543</v>
      </c>
      <c r="D1110" s="343" t="str">
        <f ca="1">OFFSET('Zip Code Lines_1'!$U$3,MATCH('Zip Code Lines_1'!C1110,'Zip Code Lines_1'!$Q$4:$Q$26,0),0)</f>
        <v xml:space="preserve">Glens Falls </v>
      </c>
      <c r="E1110" s="344">
        <f ca="1">OFFSET('Zip Code Lines_1'!$W$3,MATCH('Zip Code Lines_1'!C1110,'Zip Code Lines_1'!$Q$4:$Q$26,0),0)</f>
        <v>-1.8</v>
      </c>
      <c r="F1110" s="344">
        <f ca="1">OFFSET('Zip Code Lines_1'!$Z$3,MATCH('Zip Code Lines_1'!C1110,'Zip Code Lines_1'!$Q$4:$Q$26,0),0)</f>
        <v>84.7</v>
      </c>
      <c r="G1110" s="342">
        <f ca="1">OFFSET('Zip Code Lines_1'!$AC$3,MATCH('Zip Code Lines_1'!C1110,'Zip Code Lines_1'!$Q$4:$Q$26,0),0)</f>
        <v>12</v>
      </c>
      <c r="H1110" s="342">
        <v>12819</v>
      </c>
    </row>
    <row r="1111" spans="2:8" x14ac:dyDescent="0.25">
      <c r="B1111" s="342">
        <v>12820</v>
      </c>
      <c r="C1111" s="343" t="s">
        <v>543</v>
      </c>
      <c r="D1111" s="343" t="str">
        <f ca="1">OFFSET('Zip Code Lines_1'!$U$3,MATCH('Zip Code Lines_1'!C1111,'Zip Code Lines_1'!$Q$4:$Q$26,0),0)</f>
        <v xml:space="preserve">Glens Falls </v>
      </c>
      <c r="E1111" s="344">
        <f ca="1">OFFSET('Zip Code Lines_1'!$W$3,MATCH('Zip Code Lines_1'!C1111,'Zip Code Lines_1'!$Q$4:$Q$26,0),0)</f>
        <v>-1.8</v>
      </c>
      <c r="F1111" s="344">
        <f ca="1">OFFSET('Zip Code Lines_1'!$Z$3,MATCH('Zip Code Lines_1'!C1111,'Zip Code Lines_1'!$Q$4:$Q$26,0),0)</f>
        <v>84.7</v>
      </c>
      <c r="G1111" s="342">
        <f ca="1">OFFSET('Zip Code Lines_1'!$AC$3,MATCH('Zip Code Lines_1'!C1111,'Zip Code Lines_1'!$Q$4:$Q$26,0),0)</f>
        <v>12</v>
      </c>
      <c r="H1111" s="342">
        <v>12820</v>
      </c>
    </row>
    <row r="1112" spans="2:8" x14ac:dyDescent="0.25">
      <c r="B1112" s="342">
        <v>12821</v>
      </c>
      <c r="C1112" s="343" t="s">
        <v>543</v>
      </c>
      <c r="D1112" s="343" t="str">
        <f ca="1">OFFSET('Zip Code Lines_1'!$U$3,MATCH('Zip Code Lines_1'!C1112,'Zip Code Lines_1'!$Q$4:$Q$26,0),0)</f>
        <v xml:space="preserve">Glens Falls </v>
      </c>
      <c r="E1112" s="344">
        <f ca="1">OFFSET('Zip Code Lines_1'!$W$3,MATCH('Zip Code Lines_1'!C1112,'Zip Code Lines_1'!$Q$4:$Q$26,0),0)</f>
        <v>-1.8</v>
      </c>
      <c r="F1112" s="344">
        <f ca="1">OFFSET('Zip Code Lines_1'!$Z$3,MATCH('Zip Code Lines_1'!C1112,'Zip Code Lines_1'!$Q$4:$Q$26,0),0)</f>
        <v>84.7</v>
      </c>
      <c r="G1112" s="342">
        <f ca="1">OFFSET('Zip Code Lines_1'!$AC$3,MATCH('Zip Code Lines_1'!C1112,'Zip Code Lines_1'!$Q$4:$Q$26,0),0)</f>
        <v>12</v>
      </c>
      <c r="H1112" s="342">
        <v>12821</v>
      </c>
    </row>
    <row r="1113" spans="2:8" x14ac:dyDescent="0.25">
      <c r="B1113" s="342">
        <v>12822</v>
      </c>
      <c r="C1113" s="343" t="s">
        <v>543</v>
      </c>
      <c r="D1113" s="343" t="str">
        <f ca="1">OFFSET('Zip Code Lines_1'!$U$3,MATCH('Zip Code Lines_1'!C1113,'Zip Code Lines_1'!$Q$4:$Q$26,0),0)</f>
        <v xml:space="preserve">Glens Falls </v>
      </c>
      <c r="E1113" s="344">
        <f ca="1">OFFSET('Zip Code Lines_1'!$W$3,MATCH('Zip Code Lines_1'!C1113,'Zip Code Lines_1'!$Q$4:$Q$26,0),0)</f>
        <v>-1.8</v>
      </c>
      <c r="F1113" s="344">
        <f ca="1">OFFSET('Zip Code Lines_1'!$Z$3,MATCH('Zip Code Lines_1'!C1113,'Zip Code Lines_1'!$Q$4:$Q$26,0),0)</f>
        <v>84.7</v>
      </c>
      <c r="G1113" s="342">
        <f ca="1">OFFSET('Zip Code Lines_1'!$AC$3,MATCH('Zip Code Lines_1'!C1113,'Zip Code Lines_1'!$Q$4:$Q$26,0),0)</f>
        <v>12</v>
      </c>
      <c r="H1113" s="342">
        <v>12822</v>
      </c>
    </row>
    <row r="1114" spans="2:8" x14ac:dyDescent="0.25">
      <c r="B1114" s="342">
        <v>12823</v>
      </c>
      <c r="C1114" s="343" t="s">
        <v>543</v>
      </c>
      <c r="D1114" s="343" t="str">
        <f ca="1">OFFSET('Zip Code Lines_1'!$U$3,MATCH('Zip Code Lines_1'!C1114,'Zip Code Lines_1'!$Q$4:$Q$26,0),0)</f>
        <v xml:space="preserve">Glens Falls </v>
      </c>
      <c r="E1114" s="344">
        <f ca="1">OFFSET('Zip Code Lines_1'!$W$3,MATCH('Zip Code Lines_1'!C1114,'Zip Code Lines_1'!$Q$4:$Q$26,0),0)</f>
        <v>-1.8</v>
      </c>
      <c r="F1114" s="344">
        <f ca="1">OFFSET('Zip Code Lines_1'!$Z$3,MATCH('Zip Code Lines_1'!C1114,'Zip Code Lines_1'!$Q$4:$Q$26,0),0)</f>
        <v>84.7</v>
      </c>
      <c r="G1114" s="342">
        <f ca="1">OFFSET('Zip Code Lines_1'!$AC$3,MATCH('Zip Code Lines_1'!C1114,'Zip Code Lines_1'!$Q$4:$Q$26,0),0)</f>
        <v>12</v>
      </c>
      <c r="H1114" s="342">
        <v>12823</v>
      </c>
    </row>
    <row r="1115" spans="2:8" x14ac:dyDescent="0.25">
      <c r="B1115" s="342">
        <v>12824</v>
      </c>
      <c r="C1115" s="343" t="s">
        <v>543</v>
      </c>
      <c r="D1115" s="343" t="str">
        <f ca="1">OFFSET('Zip Code Lines_1'!$U$3,MATCH('Zip Code Lines_1'!C1115,'Zip Code Lines_1'!$Q$4:$Q$26,0),0)</f>
        <v xml:space="preserve">Glens Falls </v>
      </c>
      <c r="E1115" s="344">
        <f ca="1">OFFSET('Zip Code Lines_1'!$W$3,MATCH('Zip Code Lines_1'!C1115,'Zip Code Lines_1'!$Q$4:$Q$26,0),0)</f>
        <v>-1.8</v>
      </c>
      <c r="F1115" s="344">
        <f ca="1">OFFSET('Zip Code Lines_1'!$Z$3,MATCH('Zip Code Lines_1'!C1115,'Zip Code Lines_1'!$Q$4:$Q$26,0),0)</f>
        <v>84.7</v>
      </c>
      <c r="G1115" s="342">
        <f ca="1">OFFSET('Zip Code Lines_1'!$AC$3,MATCH('Zip Code Lines_1'!C1115,'Zip Code Lines_1'!$Q$4:$Q$26,0),0)</f>
        <v>12</v>
      </c>
      <c r="H1115" s="342">
        <v>12824</v>
      </c>
    </row>
    <row r="1116" spans="2:8" x14ac:dyDescent="0.25">
      <c r="B1116" s="342">
        <v>12827</v>
      </c>
      <c r="C1116" s="343" t="s">
        <v>543</v>
      </c>
      <c r="D1116" s="343" t="str">
        <f ca="1">OFFSET('Zip Code Lines_1'!$U$3,MATCH('Zip Code Lines_1'!C1116,'Zip Code Lines_1'!$Q$4:$Q$26,0),0)</f>
        <v xml:space="preserve">Glens Falls </v>
      </c>
      <c r="E1116" s="344">
        <f ca="1">OFFSET('Zip Code Lines_1'!$W$3,MATCH('Zip Code Lines_1'!C1116,'Zip Code Lines_1'!$Q$4:$Q$26,0),0)</f>
        <v>-1.8</v>
      </c>
      <c r="F1116" s="344">
        <f ca="1">OFFSET('Zip Code Lines_1'!$Z$3,MATCH('Zip Code Lines_1'!C1116,'Zip Code Lines_1'!$Q$4:$Q$26,0),0)</f>
        <v>84.7</v>
      </c>
      <c r="G1116" s="342">
        <f ca="1">OFFSET('Zip Code Lines_1'!$AC$3,MATCH('Zip Code Lines_1'!C1116,'Zip Code Lines_1'!$Q$4:$Q$26,0),0)</f>
        <v>12</v>
      </c>
      <c r="H1116" s="342">
        <v>12827</v>
      </c>
    </row>
    <row r="1117" spans="2:8" x14ac:dyDescent="0.25">
      <c r="B1117" s="342">
        <v>12828</v>
      </c>
      <c r="C1117" s="343" t="s">
        <v>543</v>
      </c>
      <c r="D1117" s="343" t="str">
        <f ca="1">OFFSET('Zip Code Lines_1'!$U$3,MATCH('Zip Code Lines_1'!C1117,'Zip Code Lines_1'!$Q$4:$Q$26,0),0)</f>
        <v xml:space="preserve">Glens Falls </v>
      </c>
      <c r="E1117" s="344">
        <f ca="1">OFFSET('Zip Code Lines_1'!$W$3,MATCH('Zip Code Lines_1'!C1117,'Zip Code Lines_1'!$Q$4:$Q$26,0),0)</f>
        <v>-1.8</v>
      </c>
      <c r="F1117" s="344">
        <f ca="1">OFFSET('Zip Code Lines_1'!$Z$3,MATCH('Zip Code Lines_1'!C1117,'Zip Code Lines_1'!$Q$4:$Q$26,0),0)</f>
        <v>84.7</v>
      </c>
      <c r="G1117" s="342">
        <f ca="1">OFFSET('Zip Code Lines_1'!$AC$3,MATCH('Zip Code Lines_1'!C1117,'Zip Code Lines_1'!$Q$4:$Q$26,0),0)</f>
        <v>12</v>
      </c>
      <c r="H1117" s="342">
        <v>12828</v>
      </c>
    </row>
    <row r="1118" spans="2:8" x14ac:dyDescent="0.25">
      <c r="B1118" s="342">
        <v>12831</v>
      </c>
      <c r="C1118" s="343" t="s">
        <v>543</v>
      </c>
      <c r="D1118" s="343" t="str">
        <f ca="1">OFFSET('Zip Code Lines_1'!$U$3,MATCH('Zip Code Lines_1'!C1118,'Zip Code Lines_1'!$Q$4:$Q$26,0),0)</f>
        <v xml:space="preserve">Glens Falls </v>
      </c>
      <c r="E1118" s="344">
        <f ca="1">OFFSET('Zip Code Lines_1'!$W$3,MATCH('Zip Code Lines_1'!C1118,'Zip Code Lines_1'!$Q$4:$Q$26,0),0)</f>
        <v>-1.8</v>
      </c>
      <c r="F1118" s="344">
        <f ca="1">OFFSET('Zip Code Lines_1'!$Z$3,MATCH('Zip Code Lines_1'!C1118,'Zip Code Lines_1'!$Q$4:$Q$26,0),0)</f>
        <v>84.7</v>
      </c>
      <c r="G1118" s="342">
        <f ca="1">OFFSET('Zip Code Lines_1'!$AC$3,MATCH('Zip Code Lines_1'!C1118,'Zip Code Lines_1'!$Q$4:$Q$26,0),0)</f>
        <v>12</v>
      </c>
      <c r="H1118" s="342">
        <v>12831</v>
      </c>
    </row>
    <row r="1119" spans="2:8" x14ac:dyDescent="0.25">
      <c r="B1119" s="342">
        <v>12832</v>
      </c>
      <c r="C1119" s="343" t="s">
        <v>543</v>
      </c>
      <c r="D1119" s="343" t="str">
        <f ca="1">OFFSET('Zip Code Lines_1'!$U$3,MATCH('Zip Code Lines_1'!C1119,'Zip Code Lines_1'!$Q$4:$Q$26,0),0)</f>
        <v xml:space="preserve">Glens Falls </v>
      </c>
      <c r="E1119" s="344">
        <f ca="1">OFFSET('Zip Code Lines_1'!$W$3,MATCH('Zip Code Lines_1'!C1119,'Zip Code Lines_1'!$Q$4:$Q$26,0),0)</f>
        <v>-1.8</v>
      </c>
      <c r="F1119" s="344">
        <f ca="1">OFFSET('Zip Code Lines_1'!$Z$3,MATCH('Zip Code Lines_1'!C1119,'Zip Code Lines_1'!$Q$4:$Q$26,0),0)</f>
        <v>84.7</v>
      </c>
      <c r="G1119" s="342">
        <f ca="1">OFFSET('Zip Code Lines_1'!$AC$3,MATCH('Zip Code Lines_1'!C1119,'Zip Code Lines_1'!$Q$4:$Q$26,0),0)</f>
        <v>12</v>
      </c>
      <c r="H1119" s="342">
        <v>12832</v>
      </c>
    </row>
    <row r="1120" spans="2:8" x14ac:dyDescent="0.25">
      <c r="B1120" s="342">
        <v>12833</v>
      </c>
      <c r="C1120" s="343" t="s">
        <v>543</v>
      </c>
      <c r="D1120" s="343" t="str">
        <f ca="1">OFFSET('Zip Code Lines_1'!$U$3,MATCH('Zip Code Lines_1'!C1120,'Zip Code Lines_1'!$Q$4:$Q$26,0),0)</f>
        <v xml:space="preserve">Glens Falls </v>
      </c>
      <c r="E1120" s="344">
        <f ca="1">OFFSET('Zip Code Lines_1'!$W$3,MATCH('Zip Code Lines_1'!C1120,'Zip Code Lines_1'!$Q$4:$Q$26,0),0)</f>
        <v>-1.8</v>
      </c>
      <c r="F1120" s="344">
        <f ca="1">OFFSET('Zip Code Lines_1'!$Z$3,MATCH('Zip Code Lines_1'!C1120,'Zip Code Lines_1'!$Q$4:$Q$26,0),0)</f>
        <v>84.7</v>
      </c>
      <c r="G1120" s="342">
        <f ca="1">OFFSET('Zip Code Lines_1'!$AC$3,MATCH('Zip Code Lines_1'!C1120,'Zip Code Lines_1'!$Q$4:$Q$26,0),0)</f>
        <v>12</v>
      </c>
      <c r="H1120" s="342">
        <v>12833</v>
      </c>
    </row>
    <row r="1121" spans="2:8" x14ac:dyDescent="0.25">
      <c r="B1121" s="342">
        <v>12834</v>
      </c>
      <c r="C1121" s="343" t="s">
        <v>543</v>
      </c>
      <c r="D1121" s="343" t="str">
        <f ca="1">OFFSET('Zip Code Lines_1'!$U$3,MATCH('Zip Code Lines_1'!C1121,'Zip Code Lines_1'!$Q$4:$Q$26,0),0)</f>
        <v xml:space="preserve">Glens Falls </v>
      </c>
      <c r="E1121" s="344">
        <f ca="1">OFFSET('Zip Code Lines_1'!$W$3,MATCH('Zip Code Lines_1'!C1121,'Zip Code Lines_1'!$Q$4:$Q$26,0),0)</f>
        <v>-1.8</v>
      </c>
      <c r="F1121" s="344">
        <f ca="1">OFFSET('Zip Code Lines_1'!$Z$3,MATCH('Zip Code Lines_1'!C1121,'Zip Code Lines_1'!$Q$4:$Q$26,0),0)</f>
        <v>84.7</v>
      </c>
      <c r="G1121" s="342">
        <f ca="1">OFFSET('Zip Code Lines_1'!$AC$3,MATCH('Zip Code Lines_1'!C1121,'Zip Code Lines_1'!$Q$4:$Q$26,0),0)</f>
        <v>12</v>
      </c>
      <c r="H1121" s="342">
        <v>12834</v>
      </c>
    </row>
    <row r="1122" spans="2:8" x14ac:dyDescent="0.25">
      <c r="B1122" s="342">
        <v>12835</v>
      </c>
      <c r="C1122" s="343" t="s">
        <v>543</v>
      </c>
      <c r="D1122" s="343" t="str">
        <f ca="1">OFFSET('Zip Code Lines_1'!$U$3,MATCH('Zip Code Lines_1'!C1122,'Zip Code Lines_1'!$Q$4:$Q$26,0),0)</f>
        <v xml:space="preserve">Glens Falls </v>
      </c>
      <c r="E1122" s="344">
        <f ca="1">OFFSET('Zip Code Lines_1'!$W$3,MATCH('Zip Code Lines_1'!C1122,'Zip Code Lines_1'!$Q$4:$Q$26,0),0)</f>
        <v>-1.8</v>
      </c>
      <c r="F1122" s="344">
        <f ca="1">OFFSET('Zip Code Lines_1'!$Z$3,MATCH('Zip Code Lines_1'!C1122,'Zip Code Lines_1'!$Q$4:$Q$26,0),0)</f>
        <v>84.7</v>
      </c>
      <c r="G1122" s="342">
        <f ca="1">OFFSET('Zip Code Lines_1'!$AC$3,MATCH('Zip Code Lines_1'!C1122,'Zip Code Lines_1'!$Q$4:$Q$26,0),0)</f>
        <v>12</v>
      </c>
      <c r="H1122" s="342">
        <v>12835</v>
      </c>
    </row>
    <row r="1123" spans="2:8" x14ac:dyDescent="0.25">
      <c r="B1123" s="342">
        <v>12836</v>
      </c>
      <c r="C1123" s="343" t="s">
        <v>566</v>
      </c>
      <c r="D1123" s="343" t="str">
        <f ca="1">OFFSET('Zip Code Lines_1'!$U$3,MATCH('Zip Code Lines_1'!C1123,'Zip Code Lines_1'!$Q$4:$Q$26,0),0)</f>
        <v>Saranac Lake</v>
      </c>
      <c r="E1123" s="344">
        <f ca="1">OFFSET('Zip Code Lines_1'!$W$3,MATCH('Zip Code Lines_1'!C1123,'Zip Code Lines_1'!$Q$4:$Q$26,0),0)</f>
        <v>-11.5</v>
      </c>
      <c r="F1123" s="344">
        <f ca="1">OFFSET('Zip Code Lines_1'!$Z$3,MATCH('Zip Code Lines_1'!C1123,'Zip Code Lines_1'!$Q$4:$Q$26,0),0)</f>
        <v>81</v>
      </c>
      <c r="G1123" s="342">
        <f ca="1">OFFSET('Zip Code Lines_1'!$AC$3,MATCH('Zip Code Lines_1'!C1123,'Zip Code Lines_1'!$Q$4:$Q$26,0),0)</f>
        <v>24</v>
      </c>
      <c r="H1123" s="342">
        <v>12836</v>
      </c>
    </row>
    <row r="1124" spans="2:8" x14ac:dyDescent="0.25">
      <c r="B1124" s="342">
        <v>12837</v>
      </c>
      <c r="C1124" s="343" t="s">
        <v>543</v>
      </c>
      <c r="D1124" s="343" t="str">
        <f ca="1">OFFSET('Zip Code Lines_1'!$U$3,MATCH('Zip Code Lines_1'!C1124,'Zip Code Lines_1'!$Q$4:$Q$26,0),0)</f>
        <v xml:space="preserve">Glens Falls </v>
      </c>
      <c r="E1124" s="344">
        <f ca="1">OFFSET('Zip Code Lines_1'!$W$3,MATCH('Zip Code Lines_1'!C1124,'Zip Code Lines_1'!$Q$4:$Q$26,0),0)</f>
        <v>-1.8</v>
      </c>
      <c r="F1124" s="344">
        <f ca="1">OFFSET('Zip Code Lines_1'!$Z$3,MATCH('Zip Code Lines_1'!C1124,'Zip Code Lines_1'!$Q$4:$Q$26,0),0)</f>
        <v>84.7</v>
      </c>
      <c r="G1124" s="342">
        <f ca="1">OFFSET('Zip Code Lines_1'!$AC$3,MATCH('Zip Code Lines_1'!C1124,'Zip Code Lines_1'!$Q$4:$Q$26,0),0)</f>
        <v>12</v>
      </c>
      <c r="H1124" s="342">
        <v>12837</v>
      </c>
    </row>
    <row r="1125" spans="2:8" x14ac:dyDescent="0.25">
      <c r="B1125" s="342">
        <v>12838</v>
      </c>
      <c r="C1125" s="343" t="s">
        <v>543</v>
      </c>
      <c r="D1125" s="343" t="str">
        <f ca="1">OFFSET('Zip Code Lines_1'!$U$3,MATCH('Zip Code Lines_1'!C1125,'Zip Code Lines_1'!$Q$4:$Q$26,0),0)</f>
        <v xml:space="preserve">Glens Falls </v>
      </c>
      <c r="E1125" s="344">
        <f ca="1">OFFSET('Zip Code Lines_1'!$W$3,MATCH('Zip Code Lines_1'!C1125,'Zip Code Lines_1'!$Q$4:$Q$26,0),0)</f>
        <v>-1.8</v>
      </c>
      <c r="F1125" s="344">
        <f ca="1">OFFSET('Zip Code Lines_1'!$Z$3,MATCH('Zip Code Lines_1'!C1125,'Zip Code Lines_1'!$Q$4:$Q$26,0),0)</f>
        <v>84.7</v>
      </c>
      <c r="G1125" s="342">
        <f ca="1">OFFSET('Zip Code Lines_1'!$AC$3,MATCH('Zip Code Lines_1'!C1125,'Zip Code Lines_1'!$Q$4:$Q$26,0),0)</f>
        <v>12</v>
      </c>
      <c r="H1125" s="342">
        <v>12838</v>
      </c>
    </row>
    <row r="1126" spans="2:8" x14ac:dyDescent="0.25">
      <c r="B1126" s="342">
        <v>12839</v>
      </c>
      <c r="C1126" s="343" t="s">
        <v>543</v>
      </c>
      <c r="D1126" s="343" t="str">
        <f ca="1">OFFSET('Zip Code Lines_1'!$U$3,MATCH('Zip Code Lines_1'!C1126,'Zip Code Lines_1'!$Q$4:$Q$26,0),0)</f>
        <v xml:space="preserve">Glens Falls </v>
      </c>
      <c r="E1126" s="344">
        <f ca="1">OFFSET('Zip Code Lines_1'!$W$3,MATCH('Zip Code Lines_1'!C1126,'Zip Code Lines_1'!$Q$4:$Q$26,0),0)</f>
        <v>-1.8</v>
      </c>
      <c r="F1126" s="344">
        <f ca="1">OFFSET('Zip Code Lines_1'!$Z$3,MATCH('Zip Code Lines_1'!C1126,'Zip Code Lines_1'!$Q$4:$Q$26,0),0)</f>
        <v>84.7</v>
      </c>
      <c r="G1126" s="342">
        <f ca="1">OFFSET('Zip Code Lines_1'!$AC$3,MATCH('Zip Code Lines_1'!C1126,'Zip Code Lines_1'!$Q$4:$Q$26,0),0)</f>
        <v>12</v>
      </c>
      <c r="H1126" s="342">
        <v>12839</v>
      </c>
    </row>
    <row r="1127" spans="2:8" x14ac:dyDescent="0.25">
      <c r="B1127" s="342">
        <v>12841</v>
      </c>
      <c r="C1127" s="343" t="s">
        <v>543</v>
      </c>
      <c r="D1127" s="343" t="str">
        <f ca="1">OFFSET('Zip Code Lines_1'!$U$3,MATCH('Zip Code Lines_1'!C1127,'Zip Code Lines_1'!$Q$4:$Q$26,0),0)</f>
        <v xml:space="preserve">Glens Falls </v>
      </c>
      <c r="E1127" s="344">
        <f ca="1">OFFSET('Zip Code Lines_1'!$W$3,MATCH('Zip Code Lines_1'!C1127,'Zip Code Lines_1'!$Q$4:$Q$26,0),0)</f>
        <v>-1.8</v>
      </c>
      <c r="F1127" s="344">
        <f ca="1">OFFSET('Zip Code Lines_1'!$Z$3,MATCH('Zip Code Lines_1'!C1127,'Zip Code Lines_1'!$Q$4:$Q$26,0),0)</f>
        <v>84.7</v>
      </c>
      <c r="G1127" s="342">
        <f ca="1">OFFSET('Zip Code Lines_1'!$AC$3,MATCH('Zip Code Lines_1'!C1127,'Zip Code Lines_1'!$Q$4:$Q$26,0),0)</f>
        <v>12</v>
      </c>
      <c r="H1127" s="342">
        <v>12841</v>
      </c>
    </row>
    <row r="1128" spans="2:8" x14ac:dyDescent="0.25">
      <c r="B1128" s="342">
        <v>12842</v>
      </c>
      <c r="C1128" s="343" t="s">
        <v>566</v>
      </c>
      <c r="D1128" s="343" t="str">
        <f ca="1">OFFSET('Zip Code Lines_1'!$U$3,MATCH('Zip Code Lines_1'!C1128,'Zip Code Lines_1'!$Q$4:$Q$26,0),0)</f>
        <v>Saranac Lake</v>
      </c>
      <c r="E1128" s="344">
        <f ca="1">OFFSET('Zip Code Lines_1'!$W$3,MATCH('Zip Code Lines_1'!C1128,'Zip Code Lines_1'!$Q$4:$Q$26,0),0)</f>
        <v>-11.5</v>
      </c>
      <c r="F1128" s="344">
        <f ca="1">OFFSET('Zip Code Lines_1'!$Z$3,MATCH('Zip Code Lines_1'!C1128,'Zip Code Lines_1'!$Q$4:$Q$26,0),0)</f>
        <v>81</v>
      </c>
      <c r="G1128" s="342">
        <f ca="1">OFFSET('Zip Code Lines_1'!$AC$3,MATCH('Zip Code Lines_1'!C1128,'Zip Code Lines_1'!$Q$4:$Q$26,0),0)</f>
        <v>24</v>
      </c>
      <c r="H1128" s="342">
        <v>12842</v>
      </c>
    </row>
    <row r="1129" spans="2:8" x14ac:dyDescent="0.25">
      <c r="B1129" s="342">
        <v>12843</v>
      </c>
      <c r="C1129" s="343" t="s">
        <v>566</v>
      </c>
      <c r="D1129" s="343" t="str">
        <f ca="1">OFFSET('Zip Code Lines_1'!$U$3,MATCH('Zip Code Lines_1'!C1129,'Zip Code Lines_1'!$Q$4:$Q$26,0),0)</f>
        <v>Saranac Lake</v>
      </c>
      <c r="E1129" s="344">
        <f ca="1">OFFSET('Zip Code Lines_1'!$W$3,MATCH('Zip Code Lines_1'!C1129,'Zip Code Lines_1'!$Q$4:$Q$26,0),0)</f>
        <v>-11.5</v>
      </c>
      <c r="F1129" s="344">
        <f ca="1">OFFSET('Zip Code Lines_1'!$Z$3,MATCH('Zip Code Lines_1'!C1129,'Zip Code Lines_1'!$Q$4:$Q$26,0),0)</f>
        <v>81</v>
      </c>
      <c r="G1129" s="342">
        <f ca="1">OFFSET('Zip Code Lines_1'!$AC$3,MATCH('Zip Code Lines_1'!C1129,'Zip Code Lines_1'!$Q$4:$Q$26,0),0)</f>
        <v>24</v>
      </c>
      <c r="H1129" s="342">
        <v>12843</v>
      </c>
    </row>
    <row r="1130" spans="2:8" x14ac:dyDescent="0.25">
      <c r="B1130" s="342">
        <v>12844</v>
      </c>
      <c r="C1130" s="343" t="s">
        <v>543</v>
      </c>
      <c r="D1130" s="343" t="str">
        <f ca="1">OFFSET('Zip Code Lines_1'!$U$3,MATCH('Zip Code Lines_1'!C1130,'Zip Code Lines_1'!$Q$4:$Q$26,0),0)</f>
        <v xml:space="preserve">Glens Falls </v>
      </c>
      <c r="E1130" s="344">
        <f ca="1">OFFSET('Zip Code Lines_1'!$W$3,MATCH('Zip Code Lines_1'!C1130,'Zip Code Lines_1'!$Q$4:$Q$26,0),0)</f>
        <v>-1.8</v>
      </c>
      <c r="F1130" s="344">
        <f ca="1">OFFSET('Zip Code Lines_1'!$Z$3,MATCH('Zip Code Lines_1'!C1130,'Zip Code Lines_1'!$Q$4:$Q$26,0),0)</f>
        <v>84.7</v>
      </c>
      <c r="G1130" s="342">
        <f ca="1">OFFSET('Zip Code Lines_1'!$AC$3,MATCH('Zip Code Lines_1'!C1130,'Zip Code Lines_1'!$Q$4:$Q$26,0),0)</f>
        <v>12</v>
      </c>
      <c r="H1130" s="342">
        <v>12844</v>
      </c>
    </row>
    <row r="1131" spans="2:8" x14ac:dyDescent="0.25">
      <c r="B1131" s="342">
        <v>12845</v>
      </c>
      <c r="C1131" s="343" t="s">
        <v>543</v>
      </c>
      <c r="D1131" s="343" t="str">
        <f ca="1">OFFSET('Zip Code Lines_1'!$U$3,MATCH('Zip Code Lines_1'!C1131,'Zip Code Lines_1'!$Q$4:$Q$26,0),0)</f>
        <v xml:space="preserve">Glens Falls </v>
      </c>
      <c r="E1131" s="344">
        <f ca="1">OFFSET('Zip Code Lines_1'!$W$3,MATCH('Zip Code Lines_1'!C1131,'Zip Code Lines_1'!$Q$4:$Q$26,0),0)</f>
        <v>-1.8</v>
      </c>
      <c r="F1131" s="344">
        <f ca="1">OFFSET('Zip Code Lines_1'!$Z$3,MATCH('Zip Code Lines_1'!C1131,'Zip Code Lines_1'!$Q$4:$Q$26,0),0)</f>
        <v>84.7</v>
      </c>
      <c r="G1131" s="342">
        <f ca="1">OFFSET('Zip Code Lines_1'!$AC$3,MATCH('Zip Code Lines_1'!C1131,'Zip Code Lines_1'!$Q$4:$Q$26,0),0)</f>
        <v>12</v>
      </c>
      <c r="H1131" s="342">
        <v>12845</v>
      </c>
    </row>
    <row r="1132" spans="2:8" x14ac:dyDescent="0.25">
      <c r="B1132" s="342">
        <v>12846</v>
      </c>
      <c r="C1132" s="343" t="s">
        <v>543</v>
      </c>
      <c r="D1132" s="343" t="str">
        <f ca="1">OFFSET('Zip Code Lines_1'!$U$3,MATCH('Zip Code Lines_1'!C1132,'Zip Code Lines_1'!$Q$4:$Q$26,0),0)</f>
        <v xml:space="preserve">Glens Falls </v>
      </c>
      <c r="E1132" s="344">
        <f ca="1">OFFSET('Zip Code Lines_1'!$W$3,MATCH('Zip Code Lines_1'!C1132,'Zip Code Lines_1'!$Q$4:$Q$26,0),0)</f>
        <v>-1.8</v>
      </c>
      <c r="F1132" s="344">
        <f ca="1">OFFSET('Zip Code Lines_1'!$Z$3,MATCH('Zip Code Lines_1'!C1132,'Zip Code Lines_1'!$Q$4:$Q$26,0),0)</f>
        <v>84.7</v>
      </c>
      <c r="G1132" s="342">
        <f ca="1">OFFSET('Zip Code Lines_1'!$AC$3,MATCH('Zip Code Lines_1'!C1132,'Zip Code Lines_1'!$Q$4:$Q$26,0),0)</f>
        <v>12</v>
      </c>
      <c r="H1132" s="342">
        <v>12846</v>
      </c>
    </row>
    <row r="1133" spans="2:8" x14ac:dyDescent="0.25">
      <c r="B1133" s="342">
        <v>12847</v>
      </c>
      <c r="C1133" s="343" t="s">
        <v>566</v>
      </c>
      <c r="D1133" s="343" t="str">
        <f ca="1">OFFSET('Zip Code Lines_1'!$U$3,MATCH('Zip Code Lines_1'!C1133,'Zip Code Lines_1'!$Q$4:$Q$26,0),0)</f>
        <v>Saranac Lake</v>
      </c>
      <c r="E1133" s="344">
        <f ca="1">OFFSET('Zip Code Lines_1'!$W$3,MATCH('Zip Code Lines_1'!C1133,'Zip Code Lines_1'!$Q$4:$Q$26,0),0)</f>
        <v>-11.5</v>
      </c>
      <c r="F1133" s="344">
        <f ca="1">OFFSET('Zip Code Lines_1'!$Z$3,MATCH('Zip Code Lines_1'!C1133,'Zip Code Lines_1'!$Q$4:$Q$26,0),0)</f>
        <v>81</v>
      </c>
      <c r="G1133" s="342">
        <f ca="1">OFFSET('Zip Code Lines_1'!$AC$3,MATCH('Zip Code Lines_1'!C1133,'Zip Code Lines_1'!$Q$4:$Q$26,0),0)</f>
        <v>24</v>
      </c>
      <c r="H1133" s="342">
        <v>12847</v>
      </c>
    </row>
    <row r="1134" spans="2:8" x14ac:dyDescent="0.25">
      <c r="B1134" s="342">
        <v>12848</v>
      </c>
      <c r="C1134" s="343" t="s">
        <v>543</v>
      </c>
      <c r="D1134" s="343" t="str">
        <f ca="1">OFFSET('Zip Code Lines_1'!$U$3,MATCH('Zip Code Lines_1'!C1134,'Zip Code Lines_1'!$Q$4:$Q$26,0),0)</f>
        <v xml:space="preserve">Glens Falls </v>
      </c>
      <c r="E1134" s="344">
        <f ca="1">OFFSET('Zip Code Lines_1'!$W$3,MATCH('Zip Code Lines_1'!C1134,'Zip Code Lines_1'!$Q$4:$Q$26,0),0)</f>
        <v>-1.8</v>
      </c>
      <c r="F1134" s="344">
        <f ca="1">OFFSET('Zip Code Lines_1'!$Z$3,MATCH('Zip Code Lines_1'!C1134,'Zip Code Lines_1'!$Q$4:$Q$26,0),0)</f>
        <v>84.7</v>
      </c>
      <c r="G1134" s="342">
        <f ca="1">OFFSET('Zip Code Lines_1'!$AC$3,MATCH('Zip Code Lines_1'!C1134,'Zip Code Lines_1'!$Q$4:$Q$26,0),0)</f>
        <v>12</v>
      </c>
      <c r="H1134" s="342">
        <v>12848</v>
      </c>
    </row>
    <row r="1135" spans="2:8" x14ac:dyDescent="0.25">
      <c r="B1135" s="342">
        <v>12849</v>
      </c>
      <c r="C1135" s="343" t="s">
        <v>543</v>
      </c>
      <c r="D1135" s="343" t="str">
        <f ca="1">OFFSET('Zip Code Lines_1'!$U$3,MATCH('Zip Code Lines_1'!C1135,'Zip Code Lines_1'!$Q$4:$Q$26,0),0)</f>
        <v xml:space="preserve">Glens Falls </v>
      </c>
      <c r="E1135" s="344">
        <f ca="1">OFFSET('Zip Code Lines_1'!$W$3,MATCH('Zip Code Lines_1'!C1135,'Zip Code Lines_1'!$Q$4:$Q$26,0),0)</f>
        <v>-1.8</v>
      </c>
      <c r="F1135" s="344">
        <f ca="1">OFFSET('Zip Code Lines_1'!$Z$3,MATCH('Zip Code Lines_1'!C1135,'Zip Code Lines_1'!$Q$4:$Q$26,0),0)</f>
        <v>84.7</v>
      </c>
      <c r="G1135" s="342">
        <f ca="1">OFFSET('Zip Code Lines_1'!$AC$3,MATCH('Zip Code Lines_1'!C1135,'Zip Code Lines_1'!$Q$4:$Q$26,0),0)</f>
        <v>12</v>
      </c>
      <c r="H1135" s="342">
        <v>12849</v>
      </c>
    </row>
    <row r="1136" spans="2:8" x14ac:dyDescent="0.25">
      <c r="B1136" s="342">
        <v>12850</v>
      </c>
      <c r="C1136" s="343" t="s">
        <v>543</v>
      </c>
      <c r="D1136" s="343" t="str">
        <f ca="1">OFFSET('Zip Code Lines_1'!$U$3,MATCH('Zip Code Lines_1'!C1136,'Zip Code Lines_1'!$Q$4:$Q$26,0),0)</f>
        <v xml:space="preserve">Glens Falls </v>
      </c>
      <c r="E1136" s="344">
        <f ca="1">OFFSET('Zip Code Lines_1'!$W$3,MATCH('Zip Code Lines_1'!C1136,'Zip Code Lines_1'!$Q$4:$Q$26,0),0)</f>
        <v>-1.8</v>
      </c>
      <c r="F1136" s="344">
        <f ca="1">OFFSET('Zip Code Lines_1'!$Z$3,MATCH('Zip Code Lines_1'!C1136,'Zip Code Lines_1'!$Q$4:$Q$26,0),0)</f>
        <v>84.7</v>
      </c>
      <c r="G1136" s="342">
        <f ca="1">OFFSET('Zip Code Lines_1'!$AC$3,MATCH('Zip Code Lines_1'!C1136,'Zip Code Lines_1'!$Q$4:$Q$26,0),0)</f>
        <v>12</v>
      </c>
      <c r="H1136" s="342">
        <v>12850</v>
      </c>
    </row>
    <row r="1137" spans="2:8" x14ac:dyDescent="0.25">
      <c r="B1137" s="342">
        <v>12851</v>
      </c>
      <c r="C1137" s="343" t="s">
        <v>566</v>
      </c>
      <c r="D1137" s="343" t="str">
        <f ca="1">OFFSET('Zip Code Lines_1'!$U$3,MATCH('Zip Code Lines_1'!C1137,'Zip Code Lines_1'!$Q$4:$Q$26,0),0)</f>
        <v>Saranac Lake</v>
      </c>
      <c r="E1137" s="344">
        <f ca="1">OFFSET('Zip Code Lines_1'!$W$3,MATCH('Zip Code Lines_1'!C1137,'Zip Code Lines_1'!$Q$4:$Q$26,0),0)</f>
        <v>-11.5</v>
      </c>
      <c r="F1137" s="344">
        <f ca="1">OFFSET('Zip Code Lines_1'!$Z$3,MATCH('Zip Code Lines_1'!C1137,'Zip Code Lines_1'!$Q$4:$Q$26,0),0)</f>
        <v>81</v>
      </c>
      <c r="G1137" s="342">
        <f ca="1">OFFSET('Zip Code Lines_1'!$AC$3,MATCH('Zip Code Lines_1'!C1137,'Zip Code Lines_1'!$Q$4:$Q$26,0),0)</f>
        <v>24</v>
      </c>
      <c r="H1137" s="342">
        <v>12851</v>
      </c>
    </row>
    <row r="1138" spans="2:8" x14ac:dyDescent="0.25">
      <c r="B1138" s="342">
        <v>12852</v>
      </c>
      <c r="C1138" s="343" t="s">
        <v>566</v>
      </c>
      <c r="D1138" s="343" t="str">
        <f ca="1">OFFSET('Zip Code Lines_1'!$U$3,MATCH('Zip Code Lines_1'!C1138,'Zip Code Lines_1'!$Q$4:$Q$26,0),0)</f>
        <v>Saranac Lake</v>
      </c>
      <c r="E1138" s="344">
        <f ca="1">OFFSET('Zip Code Lines_1'!$W$3,MATCH('Zip Code Lines_1'!C1138,'Zip Code Lines_1'!$Q$4:$Q$26,0),0)</f>
        <v>-11.5</v>
      </c>
      <c r="F1138" s="344">
        <f ca="1">OFFSET('Zip Code Lines_1'!$Z$3,MATCH('Zip Code Lines_1'!C1138,'Zip Code Lines_1'!$Q$4:$Q$26,0),0)</f>
        <v>81</v>
      </c>
      <c r="G1138" s="342">
        <f ca="1">OFFSET('Zip Code Lines_1'!$AC$3,MATCH('Zip Code Lines_1'!C1138,'Zip Code Lines_1'!$Q$4:$Q$26,0),0)</f>
        <v>24</v>
      </c>
      <c r="H1138" s="342">
        <v>12852</v>
      </c>
    </row>
    <row r="1139" spans="2:8" x14ac:dyDescent="0.25">
      <c r="B1139" s="342">
        <v>12853</v>
      </c>
      <c r="C1139" s="343" t="s">
        <v>566</v>
      </c>
      <c r="D1139" s="343" t="str">
        <f ca="1">OFFSET('Zip Code Lines_1'!$U$3,MATCH('Zip Code Lines_1'!C1139,'Zip Code Lines_1'!$Q$4:$Q$26,0),0)</f>
        <v>Saranac Lake</v>
      </c>
      <c r="E1139" s="344">
        <f ca="1">OFFSET('Zip Code Lines_1'!$W$3,MATCH('Zip Code Lines_1'!C1139,'Zip Code Lines_1'!$Q$4:$Q$26,0),0)</f>
        <v>-11.5</v>
      </c>
      <c r="F1139" s="344">
        <f ca="1">OFFSET('Zip Code Lines_1'!$Z$3,MATCH('Zip Code Lines_1'!C1139,'Zip Code Lines_1'!$Q$4:$Q$26,0),0)</f>
        <v>81</v>
      </c>
      <c r="G1139" s="342">
        <f ca="1">OFFSET('Zip Code Lines_1'!$AC$3,MATCH('Zip Code Lines_1'!C1139,'Zip Code Lines_1'!$Q$4:$Q$26,0),0)</f>
        <v>24</v>
      </c>
      <c r="H1139" s="342">
        <v>12853</v>
      </c>
    </row>
    <row r="1140" spans="2:8" x14ac:dyDescent="0.25">
      <c r="B1140" s="342">
        <v>12854</v>
      </c>
      <c r="C1140" s="343" t="s">
        <v>543</v>
      </c>
      <c r="D1140" s="343" t="str">
        <f ca="1">OFFSET('Zip Code Lines_1'!$U$3,MATCH('Zip Code Lines_1'!C1140,'Zip Code Lines_1'!$Q$4:$Q$26,0),0)</f>
        <v xml:space="preserve">Glens Falls </v>
      </c>
      <c r="E1140" s="344">
        <f ca="1">OFFSET('Zip Code Lines_1'!$W$3,MATCH('Zip Code Lines_1'!C1140,'Zip Code Lines_1'!$Q$4:$Q$26,0),0)</f>
        <v>-1.8</v>
      </c>
      <c r="F1140" s="344">
        <f ca="1">OFFSET('Zip Code Lines_1'!$Z$3,MATCH('Zip Code Lines_1'!C1140,'Zip Code Lines_1'!$Q$4:$Q$26,0),0)</f>
        <v>84.7</v>
      </c>
      <c r="G1140" s="342">
        <f ca="1">OFFSET('Zip Code Lines_1'!$AC$3,MATCH('Zip Code Lines_1'!C1140,'Zip Code Lines_1'!$Q$4:$Q$26,0),0)</f>
        <v>12</v>
      </c>
      <c r="H1140" s="342">
        <v>12854</v>
      </c>
    </row>
    <row r="1141" spans="2:8" x14ac:dyDescent="0.25">
      <c r="B1141" s="342">
        <v>12855</v>
      </c>
      <c r="C1141" s="343" t="s">
        <v>566</v>
      </c>
      <c r="D1141" s="343" t="str">
        <f ca="1">OFFSET('Zip Code Lines_1'!$U$3,MATCH('Zip Code Lines_1'!C1141,'Zip Code Lines_1'!$Q$4:$Q$26,0),0)</f>
        <v>Saranac Lake</v>
      </c>
      <c r="E1141" s="344">
        <f ca="1">OFFSET('Zip Code Lines_1'!$W$3,MATCH('Zip Code Lines_1'!C1141,'Zip Code Lines_1'!$Q$4:$Q$26,0),0)</f>
        <v>-11.5</v>
      </c>
      <c r="F1141" s="344">
        <f ca="1">OFFSET('Zip Code Lines_1'!$Z$3,MATCH('Zip Code Lines_1'!C1141,'Zip Code Lines_1'!$Q$4:$Q$26,0),0)</f>
        <v>81</v>
      </c>
      <c r="G1141" s="342">
        <f ca="1">OFFSET('Zip Code Lines_1'!$AC$3,MATCH('Zip Code Lines_1'!C1141,'Zip Code Lines_1'!$Q$4:$Q$26,0),0)</f>
        <v>24</v>
      </c>
      <c r="H1141" s="342">
        <v>12855</v>
      </c>
    </row>
    <row r="1142" spans="2:8" x14ac:dyDescent="0.25">
      <c r="B1142" s="342">
        <v>12856</v>
      </c>
      <c r="C1142" s="343" t="s">
        <v>566</v>
      </c>
      <c r="D1142" s="343" t="str">
        <f ca="1">OFFSET('Zip Code Lines_1'!$U$3,MATCH('Zip Code Lines_1'!C1142,'Zip Code Lines_1'!$Q$4:$Q$26,0),0)</f>
        <v>Saranac Lake</v>
      </c>
      <c r="E1142" s="344">
        <f ca="1">OFFSET('Zip Code Lines_1'!$W$3,MATCH('Zip Code Lines_1'!C1142,'Zip Code Lines_1'!$Q$4:$Q$26,0),0)</f>
        <v>-11.5</v>
      </c>
      <c r="F1142" s="344">
        <f ca="1">OFFSET('Zip Code Lines_1'!$Z$3,MATCH('Zip Code Lines_1'!C1142,'Zip Code Lines_1'!$Q$4:$Q$26,0),0)</f>
        <v>81</v>
      </c>
      <c r="G1142" s="342">
        <f ca="1">OFFSET('Zip Code Lines_1'!$AC$3,MATCH('Zip Code Lines_1'!C1142,'Zip Code Lines_1'!$Q$4:$Q$26,0),0)</f>
        <v>24</v>
      </c>
      <c r="H1142" s="342">
        <v>12856</v>
      </c>
    </row>
    <row r="1143" spans="2:8" x14ac:dyDescent="0.25">
      <c r="B1143" s="342">
        <v>12857</v>
      </c>
      <c r="C1143" s="343" t="s">
        <v>566</v>
      </c>
      <c r="D1143" s="343" t="str">
        <f ca="1">OFFSET('Zip Code Lines_1'!$U$3,MATCH('Zip Code Lines_1'!C1143,'Zip Code Lines_1'!$Q$4:$Q$26,0),0)</f>
        <v>Saranac Lake</v>
      </c>
      <c r="E1143" s="344">
        <f ca="1">OFFSET('Zip Code Lines_1'!$W$3,MATCH('Zip Code Lines_1'!C1143,'Zip Code Lines_1'!$Q$4:$Q$26,0),0)</f>
        <v>-11.5</v>
      </c>
      <c r="F1143" s="344">
        <f ca="1">OFFSET('Zip Code Lines_1'!$Z$3,MATCH('Zip Code Lines_1'!C1143,'Zip Code Lines_1'!$Q$4:$Q$26,0),0)</f>
        <v>81</v>
      </c>
      <c r="G1143" s="342">
        <f ca="1">OFFSET('Zip Code Lines_1'!$AC$3,MATCH('Zip Code Lines_1'!C1143,'Zip Code Lines_1'!$Q$4:$Q$26,0),0)</f>
        <v>24</v>
      </c>
      <c r="H1143" s="342">
        <v>12857</v>
      </c>
    </row>
    <row r="1144" spans="2:8" x14ac:dyDescent="0.25">
      <c r="B1144" s="342">
        <v>12858</v>
      </c>
      <c r="C1144" s="343" t="s">
        <v>566</v>
      </c>
      <c r="D1144" s="343" t="str">
        <f ca="1">OFFSET('Zip Code Lines_1'!$U$3,MATCH('Zip Code Lines_1'!C1144,'Zip Code Lines_1'!$Q$4:$Q$26,0),0)</f>
        <v>Saranac Lake</v>
      </c>
      <c r="E1144" s="344">
        <f ca="1">OFFSET('Zip Code Lines_1'!$W$3,MATCH('Zip Code Lines_1'!C1144,'Zip Code Lines_1'!$Q$4:$Q$26,0),0)</f>
        <v>-11.5</v>
      </c>
      <c r="F1144" s="344">
        <f ca="1">OFFSET('Zip Code Lines_1'!$Z$3,MATCH('Zip Code Lines_1'!C1144,'Zip Code Lines_1'!$Q$4:$Q$26,0),0)</f>
        <v>81</v>
      </c>
      <c r="G1144" s="342">
        <f ca="1">OFFSET('Zip Code Lines_1'!$AC$3,MATCH('Zip Code Lines_1'!C1144,'Zip Code Lines_1'!$Q$4:$Q$26,0),0)</f>
        <v>24</v>
      </c>
      <c r="H1144" s="342">
        <v>12858</v>
      </c>
    </row>
    <row r="1145" spans="2:8" x14ac:dyDescent="0.25">
      <c r="B1145" s="342">
        <v>12859</v>
      </c>
      <c r="C1145" s="343" t="s">
        <v>543</v>
      </c>
      <c r="D1145" s="343" t="str">
        <f ca="1">OFFSET('Zip Code Lines_1'!$U$3,MATCH('Zip Code Lines_1'!C1145,'Zip Code Lines_1'!$Q$4:$Q$26,0),0)</f>
        <v xml:space="preserve">Glens Falls </v>
      </c>
      <c r="E1145" s="344">
        <f ca="1">OFFSET('Zip Code Lines_1'!$W$3,MATCH('Zip Code Lines_1'!C1145,'Zip Code Lines_1'!$Q$4:$Q$26,0),0)</f>
        <v>-1.8</v>
      </c>
      <c r="F1145" s="344">
        <f ca="1">OFFSET('Zip Code Lines_1'!$Z$3,MATCH('Zip Code Lines_1'!C1145,'Zip Code Lines_1'!$Q$4:$Q$26,0),0)</f>
        <v>84.7</v>
      </c>
      <c r="G1145" s="342">
        <f ca="1">OFFSET('Zip Code Lines_1'!$AC$3,MATCH('Zip Code Lines_1'!C1145,'Zip Code Lines_1'!$Q$4:$Q$26,0),0)</f>
        <v>12</v>
      </c>
      <c r="H1145" s="342">
        <v>12859</v>
      </c>
    </row>
    <row r="1146" spans="2:8" x14ac:dyDescent="0.25">
      <c r="B1146" s="342">
        <v>12860</v>
      </c>
      <c r="C1146" s="343" t="s">
        <v>566</v>
      </c>
      <c r="D1146" s="343" t="str">
        <f ca="1">OFFSET('Zip Code Lines_1'!$U$3,MATCH('Zip Code Lines_1'!C1146,'Zip Code Lines_1'!$Q$4:$Q$26,0),0)</f>
        <v>Saranac Lake</v>
      </c>
      <c r="E1146" s="344">
        <f ca="1">OFFSET('Zip Code Lines_1'!$W$3,MATCH('Zip Code Lines_1'!C1146,'Zip Code Lines_1'!$Q$4:$Q$26,0),0)</f>
        <v>-11.5</v>
      </c>
      <c r="F1146" s="344">
        <f ca="1">OFFSET('Zip Code Lines_1'!$Z$3,MATCH('Zip Code Lines_1'!C1146,'Zip Code Lines_1'!$Q$4:$Q$26,0),0)</f>
        <v>81</v>
      </c>
      <c r="G1146" s="342">
        <f ca="1">OFFSET('Zip Code Lines_1'!$AC$3,MATCH('Zip Code Lines_1'!C1146,'Zip Code Lines_1'!$Q$4:$Q$26,0),0)</f>
        <v>24</v>
      </c>
      <c r="H1146" s="342">
        <v>12860</v>
      </c>
    </row>
    <row r="1147" spans="2:8" x14ac:dyDescent="0.25">
      <c r="B1147" s="342">
        <v>12861</v>
      </c>
      <c r="C1147" s="343" t="s">
        <v>543</v>
      </c>
      <c r="D1147" s="343" t="str">
        <f ca="1">OFFSET('Zip Code Lines_1'!$U$3,MATCH('Zip Code Lines_1'!C1147,'Zip Code Lines_1'!$Q$4:$Q$26,0),0)</f>
        <v xml:space="preserve">Glens Falls </v>
      </c>
      <c r="E1147" s="344">
        <f ca="1">OFFSET('Zip Code Lines_1'!$W$3,MATCH('Zip Code Lines_1'!C1147,'Zip Code Lines_1'!$Q$4:$Q$26,0),0)</f>
        <v>-1.8</v>
      </c>
      <c r="F1147" s="344">
        <f ca="1">OFFSET('Zip Code Lines_1'!$Z$3,MATCH('Zip Code Lines_1'!C1147,'Zip Code Lines_1'!$Q$4:$Q$26,0),0)</f>
        <v>84.7</v>
      </c>
      <c r="G1147" s="342">
        <f ca="1">OFFSET('Zip Code Lines_1'!$AC$3,MATCH('Zip Code Lines_1'!C1147,'Zip Code Lines_1'!$Q$4:$Q$26,0),0)</f>
        <v>12</v>
      </c>
      <c r="H1147" s="342">
        <v>12861</v>
      </c>
    </row>
    <row r="1148" spans="2:8" x14ac:dyDescent="0.25">
      <c r="B1148" s="342">
        <v>12862</v>
      </c>
      <c r="C1148" s="343" t="s">
        <v>566</v>
      </c>
      <c r="D1148" s="343" t="str">
        <f ca="1">OFFSET('Zip Code Lines_1'!$U$3,MATCH('Zip Code Lines_1'!C1148,'Zip Code Lines_1'!$Q$4:$Q$26,0),0)</f>
        <v>Saranac Lake</v>
      </c>
      <c r="E1148" s="344">
        <f ca="1">OFFSET('Zip Code Lines_1'!$W$3,MATCH('Zip Code Lines_1'!C1148,'Zip Code Lines_1'!$Q$4:$Q$26,0),0)</f>
        <v>-11.5</v>
      </c>
      <c r="F1148" s="344">
        <f ca="1">OFFSET('Zip Code Lines_1'!$Z$3,MATCH('Zip Code Lines_1'!C1148,'Zip Code Lines_1'!$Q$4:$Q$26,0),0)</f>
        <v>81</v>
      </c>
      <c r="G1148" s="342">
        <f ca="1">OFFSET('Zip Code Lines_1'!$AC$3,MATCH('Zip Code Lines_1'!C1148,'Zip Code Lines_1'!$Q$4:$Q$26,0),0)</f>
        <v>24</v>
      </c>
      <c r="H1148" s="342">
        <v>12862</v>
      </c>
    </row>
    <row r="1149" spans="2:8" x14ac:dyDescent="0.25">
      <c r="B1149" s="342">
        <v>12863</v>
      </c>
      <c r="C1149" s="343" t="s">
        <v>543</v>
      </c>
      <c r="D1149" s="343" t="str">
        <f ca="1">OFFSET('Zip Code Lines_1'!$U$3,MATCH('Zip Code Lines_1'!C1149,'Zip Code Lines_1'!$Q$4:$Q$26,0),0)</f>
        <v xml:space="preserve">Glens Falls </v>
      </c>
      <c r="E1149" s="344">
        <f ca="1">OFFSET('Zip Code Lines_1'!$W$3,MATCH('Zip Code Lines_1'!C1149,'Zip Code Lines_1'!$Q$4:$Q$26,0),0)</f>
        <v>-1.8</v>
      </c>
      <c r="F1149" s="344">
        <f ca="1">OFFSET('Zip Code Lines_1'!$Z$3,MATCH('Zip Code Lines_1'!C1149,'Zip Code Lines_1'!$Q$4:$Q$26,0),0)</f>
        <v>84.7</v>
      </c>
      <c r="G1149" s="342">
        <f ca="1">OFFSET('Zip Code Lines_1'!$AC$3,MATCH('Zip Code Lines_1'!C1149,'Zip Code Lines_1'!$Q$4:$Q$26,0),0)</f>
        <v>12</v>
      </c>
      <c r="H1149" s="342">
        <v>12863</v>
      </c>
    </row>
    <row r="1150" spans="2:8" x14ac:dyDescent="0.25">
      <c r="B1150" s="342">
        <v>12864</v>
      </c>
      <c r="C1150" s="343" t="s">
        <v>566</v>
      </c>
      <c r="D1150" s="343" t="str">
        <f ca="1">OFFSET('Zip Code Lines_1'!$U$3,MATCH('Zip Code Lines_1'!C1150,'Zip Code Lines_1'!$Q$4:$Q$26,0),0)</f>
        <v>Saranac Lake</v>
      </c>
      <c r="E1150" s="344">
        <f ca="1">OFFSET('Zip Code Lines_1'!$W$3,MATCH('Zip Code Lines_1'!C1150,'Zip Code Lines_1'!$Q$4:$Q$26,0),0)</f>
        <v>-11.5</v>
      </c>
      <c r="F1150" s="344">
        <f ca="1">OFFSET('Zip Code Lines_1'!$Z$3,MATCH('Zip Code Lines_1'!C1150,'Zip Code Lines_1'!$Q$4:$Q$26,0),0)</f>
        <v>81</v>
      </c>
      <c r="G1150" s="342">
        <f ca="1">OFFSET('Zip Code Lines_1'!$AC$3,MATCH('Zip Code Lines_1'!C1150,'Zip Code Lines_1'!$Q$4:$Q$26,0),0)</f>
        <v>24</v>
      </c>
      <c r="H1150" s="342">
        <v>12864</v>
      </c>
    </row>
    <row r="1151" spans="2:8" x14ac:dyDescent="0.25">
      <c r="B1151" s="342">
        <v>12865</v>
      </c>
      <c r="C1151" s="343" t="s">
        <v>543</v>
      </c>
      <c r="D1151" s="343" t="str">
        <f ca="1">OFFSET('Zip Code Lines_1'!$U$3,MATCH('Zip Code Lines_1'!C1151,'Zip Code Lines_1'!$Q$4:$Q$26,0),0)</f>
        <v xml:space="preserve">Glens Falls </v>
      </c>
      <c r="E1151" s="344">
        <f ca="1">OFFSET('Zip Code Lines_1'!$W$3,MATCH('Zip Code Lines_1'!C1151,'Zip Code Lines_1'!$Q$4:$Q$26,0),0)</f>
        <v>-1.8</v>
      </c>
      <c r="F1151" s="344">
        <f ca="1">OFFSET('Zip Code Lines_1'!$Z$3,MATCH('Zip Code Lines_1'!C1151,'Zip Code Lines_1'!$Q$4:$Q$26,0),0)</f>
        <v>84.7</v>
      </c>
      <c r="G1151" s="342">
        <f ca="1">OFFSET('Zip Code Lines_1'!$AC$3,MATCH('Zip Code Lines_1'!C1151,'Zip Code Lines_1'!$Q$4:$Q$26,0),0)</f>
        <v>12</v>
      </c>
      <c r="H1151" s="342">
        <v>12865</v>
      </c>
    </row>
    <row r="1152" spans="2:8" x14ac:dyDescent="0.25">
      <c r="B1152" s="342">
        <v>12866</v>
      </c>
      <c r="C1152" s="343" t="s">
        <v>530</v>
      </c>
      <c r="D1152" s="343" t="str">
        <f ca="1">OFFSET('Zip Code Lines_1'!$U$3,MATCH('Zip Code Lines_1'!C1152,'Zip Code Lines_1'!$Q$4:$Q$26,0),0)</f>
        <v>Albany</v>
      </c>
      <c r="E1152" s="344">
        <f ca="1">OFFSET('Zip Code Lines_1'!$W$3,MATCH('Zip Code Lines_1'!C1152,'Zip Code Lines_1'!$Q$4:$Q$26,0),0)</f>
        <v>4.7</v>
      </c>
      <c r="F1152" s="344">
        <f ca="1">OFFSET('Zip Code Lines_1'!$Z$3,MATCH('Zip Code Lines_1'!C1152,'Zip Code Lines_1'!$Q$4:$Q$26,0),0)</f>
        <v>86.1</v>
      </c>
      <c r="G1152" s="342">
        <f ca="1">OFFSET('Zip Code Lines_1'!$AC$3,MATCH('Zip Code Lines_1'!C1152,'Zip Code Lines_1'!$Q$4:$Q$26,0),0)</f>
        <v>12</v>
      </c>
      <c r="H1152" s="342">
        <v>12866</v>
      </c>
    </row>
    <row r="1153" spans="2:8" x14ac:dyDescent="0.25">
      <c r="B1153" s="342">
        <v>12870</v>
      </c>
      <c r="C1153" s="343" t="s">
        <v>566</v>
      </c>
      <c r="D1153" s="343" t="str">
        <f ca="1">OFFSET('Zip Code Lines_1'!$U$3,MATCH('Zip Code Lines_1'!C1153,'Zip Code Lines_1'!$Q$4:$Q$26,0),0)</f>
        <v>Saranac Lake</v>
      </c>
      <c r="E1153" s="344">
        <f ca="1">OFFSET('Zip Code Lines_1'!$W$3,MATCH('Zip Code Lines_1'!C1153,'Zip Code Lines_1'!$Q$4:$Q$26,0),0)</f>
        <v>-11.5</v>
      </c>
      <c r="F1153" s="344">
        <f ca="1">OFFSET('Zip Code Lines_1'!$Z$3,MATCH('Zip Code Lines_1'!C1153,'Zip Code Lines_1'!$Q$4:$Q$26,0),0)</f>
        <v>81</v>
      </c>
      <c r="G1153" s="342">
        <f ca="1">OFFSET('Zip Code Lines_1'!$AC$3,MATCH('Zip Code Lines_1'!C1153,'Zip Code Lines_1'!$Q$4:$Q$26,0),0)</f>
        <v>24</v>
      </c>
      <c r="H1153" s="342">
        <v>12870</v>
      </c>
    </row>
    <row r="1154" spans="2:8" x14ac:dyDescent="0.25">
      <c r="B1154" s="342">
        <v>12871</v>
      </c>
      <c r="C1154" s="343" t="s">
        <v>530</v>
      </c>
      <c r="D1154" s="343" t="str">
        <f ca="1">OFFSET('Zip Code Lines_1'!$U$3,MATCH('Zip Code Lines_1'!C1154,'Zip Code Lines_1'!$Q$4:$Q$26,0),0)</f>
        <v>Albany</v>
      </c>
      <c r="E1154" s="344">
        <f ca="1">OFFSET('Zip Code Lines_1'!$W$3,MATCH('Zip Code Lines_1'!C1154,'Zip Code Lines_1'!$Q$4:$Q$26,0),0)</f>
        <v>4.7</v>
      </c>
      <c r="F1154" s="344">
        <f ca="1">OFFSET('Zip Code Lines_1'!$Z$3,MATCH('Zip Code Lines_1'!C1154,'Zip Code Lines_1'!$Q$4:$Q$26,0),0)</f>
        <v>86.1</v>
      </c>
      <c r="G1154" s="342">
        <f ca="1">OFFSET('Zip Code Lines_1'!$AC$3,MATCH('Zip Code Lines_1'!C1154,'Zip Code Lines_1'!$Q$4:$Q$26,0),0)</f>
        <v>12</v>
      </c>
      <c r="H1154" s="342">
        <v>12871</v>
      </c>
    </row>
    <row r="1155" spans="2:8" x14ac:dyDescent="0.25">
      <c r="B1155" s="342">
        <v>12872</v>
      </c>
      <c r="C1155" s="343" t="s">
        <v>566</v>
      </c>
      <c r="D1155" s="343" t="str">
        <f ca="1">OFFSET('Zip Code Lines_1'!$U$3,MATCH('Zip Code Lines_1'!C1155,'Zip Code Lines_1'!$Q$4:$Q$26,0),0)</f>
        <v>Saranac Lake</v>
      </c>
      <c r="E1155" s="344">
        <f ca="1">OFFSET('Zip Code Lines_1'!$W$3,MATCH('Zip Code Lines_1'!C1155,'Zip Code Lines_1'!$Q$4:$Q$26,0),0)</f>
        <v>-11.5</v>
      </c>
      <c r="F1155" s="344">
        <f ca="1">OFFSET('Zip Code Lines_1'!$Z$3,MATCH('Zip Code Lines_1'!C1155,'Zip Code Lines_1'!$Q$4:$Q$26,0),0)</f>
        <v>81</v>
      </c>
      <c r="G1155" s="342">
        <f ca="1">OFFSET('Zip Code Lines_1'!$AC$3,MATCH('Zip Code Lines_1'!C1155,'Zip Code Lines_1'!$Q$4:$Q$26,0),0)</f>
        <v>24</v>
      </c>
      <c r="H1155" s="342">
        <v>12872</v>
      </c>
    </row>
    <row r="1156" spans="2:8" x14ac:dyDescent="0.25">
      <c r="B1156" s="342">
        <v>12873</v>
      </c>
      <c r="C1156" s="343" t="s">
        <v>543</v>
      </c>
      <c r="D1156" s="343" t="str">
        <f ca="1">OFFSET('Zip Code Lines_1'!$U$3,MATCH('Zip Code Lines_1'!C1156,'Zip Code Lines_1'!$Q$4:$Q$26,0),0)</f>
        <v xml:space="preserve">Glens Falls </v>
      </c>
      <c r="E1156" s="344">
        <f ca="1">OFFSET('Zip Code Lines_1'!$W$3,MATCH('Zip Code Lines_1'!C1156,'Zip Code Lines_1'!$Q$4:$Q$26,0),0)</f>
        <v>-1.8</v>
      </c>
      <c r="F1156" s="344">
        <f ca="1">OFFSET('Zip Code Lines_1'!$Z$3,MATCH('Zip Code Lines_1'!C1156,'Zip Code Lines_1'!$Q$4:$Q$26,0),0)</f>
        <v>84.7</v>
      </c>
      <c r="G1156" s="342">
        <f ca="1">OFFSET('Zip Code Lines_1'!$AC$3,MATCH('Zip Code Lines_1'!C1156,'Zip Code Lines_1'!$Q$4:$Q$26,0),0)</f>
        <v>12</v>
      </c>
      <c r="H1156" s="342">
        <v>12873</v>
      </c>
    </row>
    <row r="1157" spans="2:8" x14ac:dyDescent="0.25">
      <c r="B1157" s="342">
        <v>12874</v>
      </c>
      <c r="C1157" s="343" t="s">
        <v>566</v>
      </c>
      <c r="D1157" s="343" t="str">
        <f ca="1">OFFSET('Zip Code Lines_1'!$U$3,MATCH('Zip Code Lines_1'!C1157,'Zip Code Lines_1'!$Q$4:$Q$26,0),0)</f>
        <v>Saranac Lake</v>
      </c>
      <c r="E1157" s="344">
        <f ca="1">OFFSET('Zip Code Lines_1'!$W$3,MATCH('Zip Code Lines_1'!C1157,'Zip Code Lines_1'!$Q$4:$Q$26,0),0)</f>
        <v>-11.5</v>
      </c>
      <c r="F1157" s="344">
        <f ca="1">OFFSET('Zip Code Lines_1'!$Z$3,MATCH('Zip Code Lines_1'!C1157,'Zip Code Lines_1'!$Q$4:$Q$26,0),0)</f>
        <v>81</v>
      </c>
      <c r="G1157" s="342">
        <f ca="1">OFFSET('Zip Code Lines_1'!$AC$3,MATCH('Zip Code Lines_1'!C1157,'Zip Code Lines_1'!$Q$4:$Q$26,0),0)</f>
        <v>24</v>
      </c>
      <c r="H1157" s="342">
        <v>12874</v>
      </c>
    </row>
    <row r="1158" spans="2:8" x14ac:dyDescent="0.25">
      <c r="B1158" s="342">
        <v>12878</v>
      </c>
      <c r="C1158" s="343" t="s">
        <v>543</v>
      </c>
      <c r="D1158" s="343" t="str">
        <f ca="1">OFFSET('Zip Code Lines_1'!$U$3,MATCH('Zip Code Lines_1'!C1158,'Zip Code Lines_1'!$Q$4:$Q$26,0),0)</f>
        <v xml:space="preserve">Glens Falls </v>
      </c>
      <c r="E1158" s="344">
        <f ca="1">OFFSET('Zip Code Lines_1'!$W$3,MATCH('Zip Code Lines_1'!C1158,'Zip Code Lines_1'!$Q$4:$Q$26,0),0)</f>
        <v>-1.8</v>
      </c>
      <c r="F1158" s="344">
        <f ca="1">OFFSET('Zip Code Lines_1'!$Z$3,MATCH('Zip Code Lines_1'!C1158,'Zip Code Lines_1'!$Q$4:$Q$26,0),0)</f>
        <v>84.7</v>
      </c>
      <c r="G1158" s="342">
        <f ca="1">OFFSET('Zip Code Lines_1'!$AC$3,MATCH('Zip Code Lines_1'!C1158,'Zip Code Lines_1'!$Q$4:$Q$26,0),0)</f>
        <v>12</v>
      </c>
      <c r="H1158" s="342">
        <v>12878</v>
      </c>
    </row>
    <row r="1159" spans="2:8" x14ac:dyDescent="0.25">
      <c r="B1159" s="342">
        <v>12879</v>
      </c>
      <c r="C1159" s="343" t="s">
        <v>566</v>
      </c>
      <c r="D1159" s="343" t="str">
        <f ca="1">OFFSET('Zip Code Lines_1'!$U$3,MATCH('Zip Code Lines_1'!C1159,'Zip Code Lines_1'!$Q$4:$Q$26,0),0)</f>
        <v>Saranac Lake</v>
      </c>
      <c r="E1159" s="344">
        <f ca="1">OFFSET('Zip Code Lines_1'!$W$3,MATCH('Zip Code Lines_1'!C1159,'Zip Code Lines_1'!$Q$4:$Q$26,0),0)</f>
        <v>-11.5</v>
      </c>
      <c r="F1159" s="344">
        <f ca="1">OFFSET('Zip Code Lines_1'!$Z$3,MATCH('Zip Code Lines_1'!C1159,'Zip Code Lines_1'!$Q$4:$Q$26,0),0)</f>
        <v>81</v>
      </c>
      <c r="G1159" s="342">
        <f ca="1">OFFSET('Zip Code Lines_1'!$AC$3,MATCH('Zip Code Lines_1'!C1159,'Zip Code Lines_1'!$Q$4:$Q$26,0),0)</f>
        <v>24</v>
      </c>
      <c r="H1159" s="342">
        <v>12879</v>
      </c>
    </row>
    <row r="1160" spans="2:8" x14ac:dyDescent="0.25">
      <c r="B1160" s="342">
        <v>12883</v>
      </c>
      <c r="C1160" s="343" t="s">
        <v>566</v>
      </c>
      <c r="D1160" s="343" t="str">
        <f ca="1">OFFSET('Zip Code Lines_1'!$U$3,MATCH('Zip Code Lines_1'!C1160,'Zip Code Lines_1'!$Q$4:$Q$26,0),0)</f>
        <v>Saranac Lake</v>
      </c>
      <c r="E1160" s="344">
        <f ca="1">OFFSET('Zip Code Lines_1'!$W$3,MATCH('Zip Code Lines_1'!C1160,'Zip Code Lines_1'!$Q$4:$Q$26,0),0)</f>
        <v>-11.5</v>
      </c>
      <c r="F1160" s="344">
        <f ca="1">OFFSET('Zip Code Lines_1'!$Z$3,MATCH('Zip Code Lines_1'!C1160,'Zip Code Lines_1'!$Q$4:$Q$26,0),0)</f>
        <v>81</v>
      </c>
      <c r="G1160" s="342">
        <f ca="1">OFFSET('Zip Code Lines_1'!$AC$3,MATCH('Zip Code Lines_1'!C1160,'Zip Code Lines_1'!$Q$4:$Q$26,0),0)</f>
        <v>24</v>
      </c>
      <c r="H1160" s="342">
        <v>12883</v>
      </c>
    </row>
    <row r="1161" spans="2:8" x14ac:dyDescent="0.25">
      <c r="B1161" s="342">
        <v>12884</v>
      </c>
      <c r="C1161" s="343" t="s">
        <v>530</v>
      </c>
      <c r="D1161" s="343" t="str">
        <f ca="1">OFFSET('Zip Code Lines_1'!$U$3,MATCH('Zip Code Lines_1'!C1161,'Zip Code Lines_1'!$Q$4:$Q$26,0),0)</f>
        <v>Albany</v>
      </c>
      <c r="E1161" s="344">
        <f ca="1">OFFSET('Zip Code Lines_1'!$W$3,MATCH('Zip Code Lines_1'!C1161,'Zip Code Lines_1'!$Q$4:$Q$26,0),0)</f>
        <v>4.7</v>
      </c>
      <c r="F1161" s="344">
        <f ca="1">OFFSET('Zip Code Lines_1'!$Z$3,MATCH('Zip Code Lines_1'!C1161,'Zip Code Lines_1'!$Q$4:$Q$26,0),0)</f>
        <v>86.1</v>
      </c>
      <c r="G1161" s="342">
        <f ca="1">OFFSET('Zip Code Lines_1'!$AC$3,MATCH('Zip Code Lines_1'!C1161,'Zip Code Lines_1'!$Q$4:$Q$26,0),0)</f>
        <v>12</v>
      </c>
      <c r="H1161" s="342">
        <v>12884</v>
      </c>
    </row>
    <row r="1162" spans="2:8" x14ac:dyDescent="0.25">
      <c r="B1162" s="342">
        <v>12885</v>
      </c>
      <c r="C1162" s="343" t="s">
        <v>543</v>
      </c>
      <c r="D1162" s="343" t="str">
        <f ca="1">OFFSET('Zip Code Lines_1'!$U$3,MATCH('Zip Code Lines_1'!C1162,'Zip Code Lines_1'!$Q$4:$Q$26,0),0)</f>
        <v xml:space="preserve">Glens Falls </v>
      </c>
      <c r="E1162" s="344">
        <f ca="1">OFFSET('Zip Code Lines_1'!$W$3,MATCH('Zip Code Lines_1'!C1162,'Zip Code Lines_1'!$Q$4:$Q$26,0),0)</f>
        <v>-1.8</v>
      </c>
      <c r="F1162" s="344">
        <f ca="1">OFFSET('Zip Code Lines_1'!$Z$3,MATCH('Zip Code Lines_1'!C1162,'Zip Code Lines_1'!$Q$4:$Q$26,0),0)</f>
        <v>84.7</v>
      </c>
      <c r="G1162" s="342">
        <f ca="1">OFFSET('Zip Code Lines_1'!$AC$3,MATCH('Zip Code Lines_1'!C1162,'Zip Code Lines_1'!$Q$4:$Q$26,0),0)</f>
        <v>12</v>
      </c>
      <c r="H1162" s="342">
        <v>12885</v>
      </c>
    </row>
    <row r="1163" spans="2:8" x14ac:dyDescent="0.25">
      <c r="B1163" s="342">
        <v>12886</v>
      </c>
      <c r="C1163" s="343" t="s">
        <v>566</v>
      </c>
      <c r="D1163" s="343" t="str">
        <f ca="1">OFFSET('Zip Code Lines_1'!$U$3,MATCH('Zip Code Lines_1'!C1163,'Zip Code Lines_1'!$Q$4:$Q$26,0),0)</f>
        <v>Saranac Lake</v>
      </c>
      <c r="E1163" s="344">
        <f ca="1">OFFSET('Zip Code Lines_1'!$W$3,MATCH('Zip Code Lines_1'!C1163,'Zip Code Lines_1'!$Q$4:$Q$26,0),0)</f>
        <v>-11.5</v>
      </c>
      <c r="F1163" s="344">
        <f ca="1">OFFSET('Zip Code Lines_1'!$Z$3,MATCH('Zip Code Lines_1'!C1163,'Zip Code Lines_1'!$Q$4:$Q$26,0),0)</f>
        <v>81</v>
      </c>
      <c r="G1163" s="342">
        <f ca="1">OFFSET('Zip Code Lines_1'!$AC$3,MATCH('Zip Code Lines_1'!C1163,'Zip Code Lines_1'!$Q$4:$Q$26,0),0)</f>
        <v>24</v>
      </c>
      <c r="H1163" s="342">
        <v>12886</v>
      </c>
    </row>
    <row r="1164" spans="2:8" x14ac:dyDescent="0.25">
      <c r="B1164" s="342">
        <v>12887</v>
      </c>
      <c r="C1164" s="343" t="s">
        <v>543</v>
      </c>
      <c r="D1164" s="343" t="str">
        <f ca="1">OFFSET('Zip Code Lines_1'!$U$3,MATCH('Zip Code Lines_1'!C1164,'Zip Code Lines_1'!$Q$4:$Q$26,0),0)</f>
        <v xml:space="preserve">Glens Falls </v>
      </c>
      <c r="E1164" s="344">
        <f ca="1">OFFSET('Zip Code Lines_1'!$W$3,MATCH('Zip Code Lines_1'!C1164,'Zip Code Lines_1'!$Q$4:$Q$26,0),0)</f>
        <v>-1.8</v>
      </c>
      <c r="F1164" s="344">
        <f ca="1">OFFSET('Zip Code Lines_1'!$Z$3,MATCH('Zip Code Lines_1'!C1164,'Zip Code Lines_1'!$Q$4:$Q$26,0),0)</f>
        <v>84.7</v>
      </c>
      <c r="G1164" s="342">
        <f ca="1">OFFSET('Zip Code Lines_1'!$AC$3,MATCH('Zip Code Lines_1'!C1164,'Zip Code Lines_1'!$Q$4:$Q$26,0),0)</f>
        <v>12</v>
      </c>
      <c r="H1164" s="342">
        <v>12887</v>
      </c>
    </row>
    <row r="1165" spans="2:8" x14ac:dyDescent="0.25">
      <c r="B1165" s="342">
        <v>12901</v>
      </c>
      <c r="C1165" s="343" t="s">
        <v>548</v>
      </c>
      <c r="D1165" s="343" t="str">
        <f ca="1">OFFSET('Zip Code Lines_1'!$U$3,MATCH('Zip Code Lines_1'!C1165,'Zip Code Lines_1'!$Q$4:$Q$26,0),0)</f>
        <v>Massena</v>
      </c>
      <c r="E1165" s="344">
        <f ca="1">OFFSET('Zip Code Lines_1'!$W$3,MATCH('Zip Code Lines_1'!C1165,'Zip Code Lines_1'!$Q$4:$Q$26,0),0)</f>
        <v>-7.8</v>
      </c>
      <c r="F1165" s="344">
        <f ca="1">OFFSET('Zip Code Lines_1'!$Z$3,MATCH('Zip Code Lines_1'!C1165,'Zip Code Lines_1'!$Q$4:$Q$26,0),0)</f>
        <v>84.4</v>
      </c>
      <c r="G1165" s="342">
        <f ca="1">OFFSET('Zip Code Lines_1'!$AC$3,MATCH('Zip Code Lines_1'!C1165,'Zip Code Lines_1'!$Q$4:$Q$26,0),0)</f>
        <v>12</v>
      </c>
      <c r="H1165" s="342">
        <v>12901</v>
      </c>
    </row>
    <row r="1166" spans="2:8" x14ac:dyDescent="0.25">
      <c r="B1166" s="342">
        <v>12903</v>
      </c>
      <c r="C1166" s="343" t="s">
        <v>548</v>
      </c>
      <c r="D1166" s="343" t="str">
        <f ca="1">OFFSET('Zip Code Lines_1'!$U$3,MATCH('Zip Code Lines_1'!C1166,'Zip Code Lines_1'!$Q$4:$Q$26,0),0)</f>
        <v>Massena</v>
      </c>
      <c r="E1166" s="344">
        <f ca="1">OFFSET('Zip Code Lines_1'!$W$3,MATCH('Zip Code Lines_1'!C1166,'Zip Code Lines_1'!$Q$4:$Q$26,0),0)</f>
        <v>-7.8</v>
      </c>
      <c r="F1166" s="344">
        <f ca="1">OFFSET('Zip Code Lines_1'!$Z$3,MATCH('Zip Code Lines_1'!C1166,'Zip Code Lines_1'!$Q$4:$Q$26,0),0)</f>
        <v>84.4</v>
      </c>
      <c r="G1166" s="342">
        <f ca="1">OFFSET('Zip Code Lines_1'!$AC$3,MATCH('Zip Code Lines_1'!C1166,'Zip Code Lines_1'!$Q$4:$Q$26,0),0)</f>
        <v>12</v>
      </c>
      <c r="H1166" s="342">
        <v>12903</v>
      </c>
    </row>
    <row r="1167" spans="2:8" x14ac:dyDescent="0.25">
      <c r="B1167" s="342">
        <v>12910</v>
      </c>
      <c r="C1167" s="343" t="s">
        <v>566</v>
      </c>
      <c r="D1167" s="343" t="str">
        <f ca="1">OFFSET('Zip Code Lines_1'!$U$3,MATCH('Zip Code Lines_1'!C1167,'Zip Code Lines_1'!$Q$4:$Q$26,0),0)</f>
        <v>Saranac Lake</v>
      </c>
      <c r="E1167" s="344">
        <f ca="1">OFFSET('Zip Code Lines_1'!$W$3,MATCH('Zip Code Lines_1'!C1167,'Zip Code Lines_1'!$Q$4:$Q$26,0),0)</f>
        <v>-11.5</v>
      </c>
      <c r="F1167" s="344">
        <f ca="1">OFFSET('Zip Code Lines_1'!$Z$3,MATCH('Zip Code Lines_1'!C1167,'Zip Code Lines_1'!$Q$4:$Q$26,0),0)</f>
        <v>81</v>
      </c>
      <c r="G1167" s="342">
        <f ca="1">OFFSET('Zip Code Lines_1'!$AC$3,MATCH('Zip Code Lines_1'!C1167,'Zip Code Lines_1'!$Q$4:$Q$26,0),0)</f>
        <v>24</v>
      </c>
      <c r="H1167" s="342">
        <v>12910</v>
      </c>
    </row>
    <row r="1168" spans="2:8" x14ac:dyDescent="0.25">
      <c r="B1168" s="342">
        <v>12911</v>
      </c>
      <c r="C1168" s="343" t="s">
        <v>548</v>
      </c>
      <c r="D1168" s="343" t="str">
        <f ca="1">OFFSET('Zip Code Lines_1'!$U$3,MATCH('Zip Code Lines_1'!C1168,'Zip Code Lines_1'!$Q$4:$Q$26,0),0)</f>
        <v>Massena</v>
      </c>
      <c r="E1168" s="344">
        <f ca="1">OFFSET('Zip Code Lines_1'!$W$3,MATCH('Zip Code Lines_1'!C1168,'Zip Code Lines_1'!$Q$4:$Q$26,0),0)</f>
        <v>-7.8</v>
      </c>
      <c r="F1168" s="344">
        <f ca="1">OFFSET('Zip Code Lines_1'!$Z$3,MATCH('Zip Code Lines_1'!C1168,'Zip Code Lines_1'!$Q$4:$Q$26,0),0)</f>
        <v>84.4</v>
      </c>
      <c r="G1168" s="342">
        <f ca="1">OFFSET('Zip Code Lines_1'!$AC$3,MATCH('Zip Code Lines_1'!C1168,'Zip Code Lines_1'!$Q$4:$Q$26,0),0)</f>
        <v>12</v>
      </c>
      <c r="H1168" s="342">
        <v>12911</v>
      </c>
    </row>
    <row r="1169" spans="2:8" x14ac:dyDescent="0.25">
      <c r="B1169" s="342">
        <v>12912</v>
      </c>
      <c r="C1169" s="343" t="s">
        <v>566</v>
      </c>
      <c r="D1169" s="343" t="str">
        <f ca="1">OFFSET('Zip Code Lines_1'!$U$3,MATCH('Zip Code Lines_1'!C1169,'Zip Code Lines_1'!$Q$4:$Q$26,0),0)</f>
        <v>Saranac Lake</v>
      </c>
      <c r="E1169" s="344">
        <f ca="1">OFFSET('Zip Code Lines_1'!$W$3,MATCH('Zip Code Lines_1'!C1169,'Zip Code Lines_1'!$Q$4:$Q$26,0),0)</f>
        <v>-11.5</v>
      </c>
      <c r="F1169" s="344">
        <f ca="1">OFFSET('Zip Code Lines_1'!$Z$3,MATCH('Zip Code Lines_1'!C1169,'Zip Code Lines_1'!$Q$4:$Q$26,0),0)</f>
        <v>81</v>
      </c>
      <c r="G1169" s="342">
        <f ca="1">OFFSET('Zip Code Lines_1'!$AC$3,MATCH('Zip Code Lines_1'!C1169,'Zip Code Lines_1'!$Q$4:$Q$26,0),0)</f>
        <v>24</v>
      </c>
      <c r="H1169" s="342">
        <v>12912</v>
      </c>
    </row>
    <row r="1170" spans="2:8" x14ac:dyDescent="0.25">
      <c r="B1170" s="342">
        <v>12913</v>
      </c>
      <c r="C1170" s="343" t="s">
        <v>566</v>
      </c>
      <c r="D1170" s="343" t="str">
        <f ca="1">OFFSET('Zip Code Lines_1'!$U$3,MATCH('Zip Code Lines_1'!C1170,'Zip Code Lines_1'!$Q$4:$Q$26,0),0)</f>
        <v>Saranac Lake</v>
      </c>
      <c r="E1170" s="344">
        <f ca="1">OFFSET('Zip Code Lines_1'!$W$3,MATCH('Zip Code Lines_1'!C1170,'Zip Code Lines_1'!$Q$4:$Q$26,0),0)</f>
        <v>-11.5</v>
      </c>
      <c r="F1170" s="344">
        <f ca="1">OFFSET('Zip Code Lines_1'!$Z$3,MATCH('Zip Code Lines_1'!C1170,'Zip Code Lines_1'!$Q$4:$Q$26,0),0)</f>
        <v>81</v>
      </c>
      <c r="G1170" s="342">
        <f ca="1">OFFSET('Zip Code Lines_1'!$AC$3,MATCH('Zip Code Lines_1'!C1170,'Zip Code Lines_1'!$Q$4:$Q$26,0),0)</f>
        <v>24</v>
      </c>
      <c r="H1170" s="342">
        <v>12913</v>
      </c>
    </row>
    <row r="1171" spans="2:8" x14ac:dyDescent="0.25">
      <c r="B1171" s="342">
        <v>12914</v>
      </c>
      <c r="C1171" s="343" t="s">
        <v>548</v>
      </c>
      <c r="D1171" s="343" t="str">
        <f ca="1">OFFSET('Zip Code Lines_1'!$U$3,MATCH('Zip Code Lines_1'!C1171,'Zip Code Lines_1'!$Q$4:$Q$26,0),0)</f>
        <v>Massena</v>
      </c>
      <c r="E1171" s="344">
        <f ca="1">OFFSET('Zip Code Lines_1'!$W$3,MATCH('Zip Code Lines_1'!C1171,'Zip Code Lines_1'!$Q$4:$Q$26,0),0)</f>
        <v>-7.8</v>
      </c>
      <c r="F1171" s="344">
        <f ca="1">OFFSET('Zip Code Lines_1'!$Z$3,MATCH('Zip Code Lines_1'!C1171,'Zip Code Lines_1'!$Q$4:$Q$26,0),0)</f>
        <v>84.4</v>
      </c>
      <c r="G1171" s="342">
        <f ca="1">OFFSET('Zip Code Lines_1'!$AC$3,MATCH('Zip Code Lines_1'!C1171,'Zip Code Lines_1'!$Q$4:$Q$26,0),0)</f>
        <v>12</v>
      </c>
      <c r="H1171" s="342">
        <v>12914</v>
      </c>
    </row>
    <row r="1172" spans="2:8" x14ac:dyDescent="0.25">
      <c r="B1172" s="342">
        <v>12915</v>
      </c>
      <c r="C1172" s="343" t="s">
        <v>566</v>
      </c>
      <c r="D1172" s="343" t="str">
        <f ca="1">OFFSET('Zip Code Lines_1'!$U$3,MATCH('Zip Code Lines_1'!C1172,'Zip Code Lines_1'!$Q$4:$Q$26,0),0)</f>
        <v>Saranac Lake</v>
      </c>
      <c r="E1172" s="344">
        <f ca="1">OFFSET('Zip Code Lines_1'!$W$3,MATCH('Zip Code Lines_1'!C1172,'Zip Code Lines_1'!$Q$4:$Q$26,0),0)</f>
        <v>-11.5</v>
      </c>
      <c r="F1172" s="344">
        <f ca="1">OFFSET('Zip Code Lines_1'!$Z$3,MATCH('Zip Code Lines_1'!C1172,'Zip Code Lines_1'!$Q$4:$Q$26,0),0)</f>
        <v>81</v>
      </c>
      <c r="G1172" s="342">
        <f ca="1">OFFSET('Zip Code Lines_1'!$AC$3,MATCH('Zip Code Lines_1'!C1172,'Zip Code Lines_1'!$Q$4:$Q$26,0),0)</f>
        <v>24</v>
      </c>
      <c r="H1172" s="342">
        <v>12915</v>
      </c>
    </row>
    <row r="1173" spans="2:8" x14ac:dyDescent="0.25">
      <c r="B1173" s="342">
        <v>12916</v>
      </c>
      <c r="C1173" s="343" t="s">
        <v>548</v>
      </c>
      <c r="D1173" s="343" t="str">
        <f ca="1">OFFSET('Zip Code Lines_1'!$U$3,MATCH('Zip Code Lines_1'!C1173,'Zip Code Lines_1'!$Q$4:$Q$26,0),0)</f>
        <v>Massena</v>
      </c>
      <c r="E1173" s="344">
        <f ca="1">OFFSET('Zip Code Lines_1'!$W$3,MATCH('Zip Code Lines_1'!C1173,'Zip Code Lines_1'!$Q$4:$Q$26,0),0)</f>
        <v>-7.8</v>
      </c>
      <c r="F1173" s="344">
        <f ca="1">OFFSET('Zip Code Lines_1'!$Z$3,MATCH('Zip Code Lines_1'!C1173,'Zip Code Lines_1'!$Q$4:$Q$26,0),0)</f>
        <v>84.4</v>
      </c>
      <c r="G1173" s="342">
        <f ca="1">OFFSET('Zip Code Lines_1'!$AC$3,MATCH('Zip Code Lines_1'!C1173,'Zip Code Lines_1'!$Q$4:$Q$26,0),0)</f>
        <v>12</v>
      </c>
      <c r="H1173" s="342">
        <v>12916</v>
      </c>
    </row>
    <row r="1174" spans="2:8" x14ac:dyDescent="0.25">
      <c r="B1174" s="342">
        <v>12917</v>
      </c>
      <c r="C1174" s="343" t="s">
        <v>566</v>
      </c>
      <c r="D1174" s="343" t="str">
        <f ca="1">OFFSET('Zip Code Lines_1'!$U$3,MATCH('Zip Code Lines_1'!C1174,'Zip Code Lines_1'!$Q$4:$Q$26,0),0)</f>
        <v>Saranac Lake</v>
      </c>
      <c r="E1174" s="344">
        <f ca="1">OFFSET('Zip Code Lines_1'!$W$3,MATCH('Zip Code Lines_1'!C1174,'Zip Code Lines_1'!$Q$4:$Q$26,0),0)</f>
        <v>-11.5</v>
      </c>
      <c r="F1174" s="344">
        <f ca="1">OFFSET('Zip Code Lines_1'!$Z$3,MATCH('Zip Code Lines_1'!C1174,'Zip Code Lines_1'!$Q$4:$Q$26,0),0)</f>
        <v>81</v>
      </c>
      <c r="G1174" s="342">
        <f ca="1">OFFSET('Zip Code Lines_1'!$AC$3,MATCH('Zip Code Lines_1'!C1174,'Zip Code Lines_1'!$Q$4:$Q$26,0),0)</f>
        <v>24</v>
      </c>
      <c r="H1174" s="342">
        <v>12917</v>
      </c>
    </row>
    <row r="1175" spans="2:8" x14ac:dyDescent="0.25">
      <c r="B1175" s="342">
        <v>12918</v>
      </c>
      <c r="C1175" s="343" t="s">
        <v>566</v>
      </c>
      <c r="D1175" s="343" t="str">
        <f ca="1">OFFSET('Zip Code Lines_1'!$U$3,MATCH('Zip Code Lines_1'!C1175,'Zip Code Lines_1'!$Q$4:$Q$26,0),0)</f>
        <v>Saranac Lake</v>
      </c>
      <c r="E1175" s="344">
        <f ca="1">OFFSET('Zip Code Lines_1'!$W$3,MATCH('Zip Code Lines_1'!C1175,'Zip Code Lines_1'!$Q$4:$Q$26,0),0)</f>
        <v>-11.5</v>
      </c>
      <c r="F1175" s="344">
        <f ca="1">OFFSET('Zip Code Lines_1'!$Z$3,MATCH('Zip Code Lines_1'!C1175,'Zip Code Lines_1'!$Q$4:$Q$26,0),0)</f>
        <v>81</v>
      </c>
      <c r="G1175" s="342">
        <f ca="1">OFFSET('Zip Code Lines_1'!$AC$3,MATCH('Zip Code Lines_1'!C1175,'Zip Code Lines_1'!$Q$4:$Q$26,0),0)</f>
        <v>24</v>
      </c>
      <c r="H1175" s="342">
        <v>12918</v>
      </c>
    </row>
    <row r="1176" spans="2:8" x14ac:dyDescent="0.25">
      <c r="B1176" s="342">
        <v>12919</v>
      </c>
      <c r="C1176" s="343" t="s">
        <v>548</v>
      </c>
      <c r="D1176" s="343" t="str">
        <f ca="1">OFFSET('Zip Code Lines_1'!$U$3,MATCH('Zip Code Lines_1'!C1176,'Zip Code Lines_1'!$Q$4:$Q$26,0),0)</f>
        <v>Massena</v>
      </c>
      <c r="E1176" s="344">
        <f ca="1">OFFSET('Zip Code Lines_1'!$W$3,MATCH('Zip Code Lines_1'!C1176,'Zip Code Lines_1'!$Q$4:$Q$26,0),0)</f>
        <v>-7.8</v>
      </c>
      <c r="F1176" s="344">
        <f ca="1">OFFSET('Zip Code Lines_1'!$Z$3,MATCH('Zip Code Lines_1'!C1176,'Zip Code Lines_1'!$Q$4:$Q$26,0),0)</f>
        <v>84.4</v>
      </c>
      <c r="G1176" s="342">
        <f ca="1">OFFSET('Zip Code Lines_1'!$AC$3,MATCH('Zip Code Lines_1'!C1176,'Zip Code Lines_1'!$Q$4:$Q$26,0),0)</f>
        <v>12</v>
      </c>
      <c r="H1176" s="342">
        <v>12919</v>
      </c>
    </row>
    <row r="1177" spans="2:8" x14ac:dyDescent="0.25">
      <c r="B1177" s="342">
        <v>12920</v>
      </c>
      <c r="C1177" s="343" t="s">
        <v>566</v>
      </c>
      <c r="D1177" s="343" t="str">
        <f ca="1">OFFSET('Zip Code Lines_1'!$U$3,MATCH('Zip Code Lines_1'!C1177,'Zip Code Lines_1'!$Q$4:$Q$26,0),0)</f>
        <v>Saranac Lake</v>
      </c>
      <c r="E1177" s="344">
        <f ca="1">OFFSET('Zip Code Lines_1'!$W$3,MATCH('Zip Code Lines_1'!C1177,'Zip Code Lines_1'!$Q$4:$Q$26,0),0)</f>
        <v>-11.5</v>
      </c>
      <c r="F1177" s="344">
        <f ca="1">OFFSET('Zip Code Lines_1'!$Z$3,MATCH('Zip Code Lines_1'!C1177,'Zip Code Lines_1'!$Q$4:$Q$26,0),0)</f>
        <v>81</v>
      </c>
      <c r="G1177" s="342">
        <f ca="1">OFFSET('Zip Code Lines_1'!$AC$3,MATCH('Zip Code Lines_1'!C1177,'Zip Code Lines_1'!$Q$4:$Q$26,0),0)</f>
        <v>24</v>
      </c>
      <c r="H1177" s="342">
        <v>12920</v>
      </c>
    </row>
    <row r="1178" spans="2:8" x14ac:dyDescent="0.25">
      <c r="B1178" s="342">
        <v>12921</v>
      </c>
      <c r="C1178" s="343" t="s">
        <v>548</v>
      </c>
      <c r="D1178" s="343" t="str">
        <f ca="1">OFFSET('Zip Code Lines_1'!$U$3,MATCH('Zip Code Lines_1'!C1178,'Zip Code Lines_1'!$Q$4:$Q$26,0),0)</f>
        <v>Massena</v>
      </c>
      <c r="E1178" s="344">
        <f ca="1">OFFSET('Zip Code Lines_1'!$W$3,MATCH('Zip Code Lines_1'!C1178,'Zip Code Lines_1'!$Q$4:$Q$26,0),0)</f>
        <v>-7.8</v>
      </c>
      <c r="F1178" s="344">
        <f ca="1">OFFSET('Zip Code Lines_1'!$Z$3,MATCH('Zip Code Lines_1'!C1178,'Zip Code Lines_1'!$Q$4:$Q$26,0),0)</f>
        <v>84.4</v>
      </c>
      <c r="G1178" s="342">
        <f ca="1">OFFSET('Zip Code Lines_1'!$AC$3,MATCH('Zip Code Lines_1'!C1178,'Zip Code Lines_1'!$Q$4:$Q$26,0),0)</f>
        <v>12</v>
      </c>
      <c r="H1178" s="342">
        <v>12921</v>
      </c>
    </row>
    <row r="1179" spans="2:8" x14ac:dyDescent="0.25">
      <c r="B1179" s="342">
        <v>12922</v>
      </c>
      <c r="C1179" s="343" t="s">
        <v>566</v>
      </c>
      <c r="D1179" s="343" t="str">
        <f ca="1">OFFSET('Zip Code Lines_1'!$U$3,MATCH('Zip Code Lines_1'!C1179,'Zip Code Lines_1'!$Q$4:$Q$26,0),0)</f>
        <v>Saranac Lake</v>
      </c>
      <c r="E1179" s="344">
        <f ca="1">OFFSET('Zip Code Lines_1'!$W$3,MATCH('Zip Code Lines_1'!C1179,'Zip Code Lines_1'!$Q$4:$Q$26,0),0)</f>
        <v>-11.5</v>
      </c>
      <c r="F1179" s="344">
        <f ca="1">OFFSET('Zip Code Lines_1'!$Z$3,MATCH('Zip Code Lines_1'!C1179,'Zip Code Lines_1'!$Q$4:$Q$26,0),0)</f>
        <v>81</v>
      </c>
      <c r="G1179" s="342">
        <f ca="1">OFFSET('Zip Code Lines_1'!$AC$3,MATCH('Zip Code Lines_1'!C1179,'Zip Code Lines_1'!$Q$4:$Q$26,0),0)</f>
        <v>24</v>
      </c>
      <c r="H1179" s="342">
        <v>12922</v>
      </c>
    </row>
    <row r="1180" spans="2:8" x14ac:dyDescent="0.25">
      <c r="B1180" s="342">
        <v>12923</v>
      </c>
      <c r="C1180" s="343" t="s">
        <v>566</v>
      </c>
      <c r="D1180" s="343" t="str">
        <f ca="1">OFFSET('Zip Code Lines_1'!$U$3,MATCH('Zip Code Lines_1'!C1180,'Zip Code Lines_1'!$Q$4:$Q$26,0),0)</f>
        <v>Saranac Lake</v>
      </c>
      <c r="E1180" s="344">
        <f ca="1">OFFSET('Zip Code Lines_1'!$W$3,MATCH('Zip Code Lines_1'!C1180,'Zip Code Lines_1'!$Q$4:$Q$26,0),0)</f>
        <v>-11.5</v>
      </c>
      <c r="F1180" s="344">
        <f ca="1">OFFSET('Zip Code Lines_1'!$Z$3,MATCH('Zip Code Lines_1'!C1180,'Zip Code Lines_1'!$Q$4:$Q$26,0),0)</f>
        <v>81</v>
      </c>
      <c r="G1180" s="342">
        <f ca="1">OFFSET('Zip Code Lines_1'!$AC$3,MATCH('Zip Code Lines_1'!C1180,'Zip Code Lines_1'!$Q$4:$Q$26,0),0)</f>
        <v>24</v>
      </c>
      <c r="H1180" s="342">
        <v>12923</v>
      </c>
    </row>
    <row r="1181" spans="2:8" x14ac:dyDescent="0.25">
      <c r="B1181" s="342">
        <v>12924</v>
      </c>
      <c r="C1181" s="343" t="s">
        <v>566</v>
      </c>
      <c r="D1181" s="343" t="str">
        <f ca="1">OFFSET('Zip Code Lines_1'!$U$3,MATCH('Zip Code Lines_1'!C1181,'Zip Code Lines_1'!$Q$4:$Q$26,0),0)</f>
        <v>Saranac Lake</v>
      </c>
      <c r="E1181" s="344">
        <f ca="1">OFFSET('Zip Code Lines_1'!$W$3,MATCH('Zip Code Lines_1'!C1181,'Zip Code Lines_1'!$Q$4:$Q$26,0),0)</f>
        <v>-11.5</v>
      </c>
      <c r="F1181" s="344">
        <f ca="1">OFFSET('Zip Code Lines_1'!$Z$3,MATCH('Zip Code Lines_1'!C1181,'Zip Code Lines_1'!$Q$4:$Q$26,0),0)</f>
        <v>81</v>
      </c>
      <c r="G1181" s="342">
        <f ca="1">OFFSET('Zip Code Lines_1'!$AC$3,MATCH('Zip Code Lines_1'!C1181,'Zip Code Lines_1'!$Q$4:$Q$26,0),0)</f>
        <v>24</v>
      </c>
      <c r="H1181" s="342">
        <v>12924</v>
      </c>
    </row>
    <row r="1182" spans="2:8" x14ac:dyDescent="0.25">
      <c r="B1182" s="342">
        <v>12926</v>
      </c>
      <c r="C1182" s="343" t="s">
        <v>548</v>
      </c>
      <c r="D1182" s="343" t="str">
        <f ca="1">OFFSET('Zip Code Lines_1'!$U$3,MATCH('Zip Code Lines_1'!C1182,'Zip Code Lines_1'!$Q$4:$Q$26,0),0)</f>
        <v>Massena</v>
      </c>
      <c r="E1182" s="344">
        <f ca="1">OFFSET('Zip Code Lines_1'!$W$3,MATCH('Zip Code Lines_1'!C1182,'Zip Code Lines_1'!$Q$4:$Q$26,0),0)</f>
        <v>-7.8</v>
      </c>
      <c r="F1182" s="344">
        <f ca="1">OFFSET('Zip Code Lines_1'!$Z$3,MATCH('Zip Code Lines_1'!C1182,'Zip Code Lines_1'!$Q$4:$Q$26,0),0)</f>
        <v>84.4</v>
      </c>
      <c r="G1182" s="342">
        <f ca="1">OFFSET('Zip Code Lines_1'!$AC$3,MATCH('Zip Code Lines_1'!C1182,'Zip Code Lines_1'!$Q$4:$Q$26,0),0)</f>
        <v>12</v>
      </c>
      <c r="H1182" s="342">
        <v>12926</v>
      </c>
    </row>
    <row r="1183" spans="2:8" x14ac:dyDescent="0.25">
      <c r="B1183" s="342">
        <v>12927</v>
      </c>
      <c r="C1183" s="343" t="s">
        <v>566</v>
      </c>
      <c r="D1183" s="343" t="str">
        <f ca="1">OFFSET('Zip Code Lines_1'!$U$3,MATCH('Zip Code Lines_1'!C1183,'Zip Code Lines_1'!$Q$4:$Q$26,0),0)</f>
        <v>Saranac Lake</v>
      </c>
      <c r="E1183" s="344">
        <f ca="1">OFFSET('Zip Code Lines_1'!$W$3,MATCH('Zip Code Lines_1'!C1183,'Zip Code Lines_1'!$Q$4:$Q$26,0),0)</f>
        <v>-11.5</v>
      </c>
      <c r="F1183" s="344">
        <f ca="1">OFFSET('Zip Code Lines_1'!$Z$3,MATCH('Zip Code Lines_1'!C1183,'Zip Code Lines_1'!$Q$4:$Q$26,0),0)</f>
        <v>81</v>
      </c>
      <c r="G1183" s="342">
        <f ca="1">OFFSET('Zip Code Lines_1'!$AC$3,MATCH('Zip Code Lines_1'!C1183,'Zip Code Lines_1'!$Q$4:$Q$26,0),0)</f>
        <v>24</v>
      </c>
      <c r="H1183" s="342">
        <v>12927</v>
      </c>
    </row>
    <row r="1184" spans="2:8" x14ac:dyDescent="0.25">
      <c r="B1184" s="342">
        <v>12928</v>
      </c>
      <c r="C1184" s="343" t="s">
        <v>566</v>
      </c>
      <c r="D1184" s="343" t="str">
        <f ca="1">OFFSET('Zip Code Lines_1'!$U$3,MATCH('Zip Code Lines_1'!C1184,'Zip Code Lines_1'!$Q$4:$Q$26,0),0)</f>
        <v>Saranac Lake</v>
      </c>
      <c r="E1184" s="344">
        <f ca="1">OFFSET('Zip Code Lines_1'!$W$3,MATCH('Zip Code Lines_1'!C1184,'Zip Code Lines_1'!$Q$4:$Q$26,0),0)</f>
        <v>-11.5</v>
      </c>
      <c r="F1184" s="344">
        <f ca="1">OFFSET('Zip Code Lines_1'!$Z$3,MATCH('Zip Code Lines_1'!C1184,'Zip Code Lines_1'!$Q$4:$Q$26,0),0)</f>
        <v>81</v>
      </c>
      <c r="G1184" s="342">
        <f ca="1">OFFSET('Zip Code Lines_1'!$AC$3,MATCH('Zip Code Lines_1'!C1184,'Zip Code Lines_1'!$Q$4:$Q$26,0),0)</f>
        <v>24</v>
      </c>
      <c r="H1184" s="342">
        <v>12928</v>
      </c>
    </row>
    <row r="1185" spans="2:8" x14ac:dyDescent="0.25">
      <c r="B1185" s="342">
        <v>12929</v>
      </c>
      <c r="C1185" s="343" t="s">
        <v>566</v>
      </c>
      <c r="D1185" s="343" t="str">
        <f ca="1">OFFSET('Zip Code Lines_1'!$U$3,MATCH('Zip Code Lines_1'!C1185,'Zip Code Lines_1'!$Q$4:$Q$26,0),0)</f>
        <v>Saranac Lake</v>
      </c>
      <c r="E1185" s="344">
        <f ca="1">OFFSET('Zip Code Lines_1'!$W$3,MATCH('Zip Code Lines_1'!C1185,'Zip Code Lines_1'!$Q$4:$Q$26,0),0)</f>
        <v>-11.5</v>
      </c>
      <c r="F1185" s="344">
        <f ca="1">OFFSET('Zip Code Lines_1'!$Z$3,MATCH('Zip Code Lines_1'!C1185,'Zip Code Lines_1'!$Q$4:$Q$26,0),0)</f>
        <v>81</v>
      </c>
      <c r="G1185" s="342">
        <f ca="1">OFFSET('Zip Code Lines_1'!$AC$3,MATCH('Zip Code Lines_1'!C1185,'Zip Code Lines_1'!$Q$4:$Q$26,0),0)</f>
        <v>24</v>
      </c>
      <c r="H1185" s="342">
        <v>12929</v>
      </c>
    </row>
    <row r="1186" spans="2:8" x14ac:dyDescent="0.25">
      <c r="B1186" s="342">
        <v>12930</v>
      </c>
      <c r="C1186" s="343" t="s">
        <v>566</v>
      </c>
      <c r="D1186" s="343" t="str">
        <f ca="1">OFFSET('Zip Code Lines_1'!$U$3,MATCH('Zip Code Lines_1'!C1186,'Zip Code Lines_1'!$Q$4:$Q$26,0),0)</f>
        <v>Saranac Lake</v>
      </c>
      <c r="E1186" s="344">
        <f ca="1">OFFSET('Zip Code Lines_1'!$W$3,MATCH('Zip Code Lines_1'!C1186,'Zip Code Lines_1'!$Q$4:$Q$26,0),0)</f>
        <v>-11.5</v>
      </c>
      <c r="F1186" s="344">
        <f ca="1">OFFSET('Zip Code Lines_1'!$Z$3,MATCH('Zip Code Lines_1'!C1186,'Zip Code Lines_1'!$Q$4:$Q$26,0),0)</f>
        <v>81</v>
      </c>
      <c r="G1186" s="342">
        <f ca="1">OFFSET('Zip Code Lines_1'!$AC$3,MATCH('Zip Code Lines_1'!C1186,'Zip Code Lines_1'!$Q$4:$Q$26,0),0)</f>
        <v>24</v>
      </c>
      <c r="H1186" s="342">
        <v>12930</v>
      </c>
    </row>
    <row r="1187" spans="2:8" x14ac:dyDescent="0.25">
      <c r="B1187" s="342">
        <v>12932</v>
      </c>
      <c r="C1187" s="343" t="s">
        <v>548</v>
      </c>
      <c r="D1187" s="343" t="str">
        <f ca="1">OFFSET('Zip Code Lines_1'!$U$3,MATCH('Zip Code Lines_1'!C1187,'Zip Code Lines_1'!$Q$4:$Q$26,0),0)</f>
        <v>Massena</v>
      </c>
      <c r="E1187" s="344">
        <f ca="1">OFFSET('Zip Code Lines_1'!$W$3,MATCH('Zip Code Lines_1'!C1187,'Zip Code Lines_1'!$Q$4:$Q$26,0),0)</f>
        <v>-7.8</v>
      </c>
      <c r="F1187" s="344">
        <f ca="1">OFFSET('Zip Code Lines_1'!$Z$3,MATCH('Zip Code Lines_1'!C1187,'Zip Code Lines_1'!$Q$4:$Q$26,0),0)</f>
        <v>84.4</v>
      </c>
      <c r="G1187" s="342">
        <f ca="1">OFFSET('Zip Code Lines_1'!$AC$3,MATCH('Zip Code Lines_1'!C1187,'Zip Code Lines_1'!$Q$4:$Q$26,0),0)</f>
        <v>12</v>
      </c>
      <c r="H1187" s="342">
        <v>12932</v>
      </c>
    </row>
    <row r="1188" spans="2:8" x14ac:dyDescent="0.25">
      <c r="B1188" s="342">
        <v>12933</v>
      </c>
      <c r="C1188" s="343" t="s">
        <v>566</v>
      </c>
      <c r="D1188" s="343" t="str">
        <f ca="1">OFFSET('Zip Code Lines_1'!$U$3,MATCH('Zip Code Lines_1'!C1188,'Zip Code Lines_1'!$Q$4:$Q$26,0),0)</f>
        <v>Saranac Lake</v>
      </c>
      <c r="E1188" s="344">
        <f ca="1">OFFSET('Zip Code Lines_1'!$W$3,MATCH('Zip Code Lines_1'!C1188,'Zip Code Lines_1'!$Q$4:$Q$26,0),0)</f>
        <v>-11.5</v>
      </c>
      <c r="F1188" s="344">
        <f ca="1">OFFSET('Zip Code Lines_1'!$Z$3,MATCH('Zip Code Lines_1'!C1188,'Zip Code Lines_1'!$Q$4:$Q$26,0),0)</f>
        <v>81</v>
      </c>
      <c r="G1188" s="342">
        <f ca="1">OFFSET('Zip Code Lines_1'!$AC$3,MATCH('Zip Code Lines_1'!C1188,'Zip Code Lines_1'!$Q$4:$Q$26,0),0)</f>
        <v>24</v>
      </c>
      <c r="H1188" s="342">
        <v>12933</v>
      </c>
    </row>
    <row r="1189" spans="2:8" x14ac:dyDescent="0.25">
      <c r="B1189" s="342">
        <v>12934</v>
      </c>
      <c r="C1189" s="343" t="s">
        <v>566</v>
      </c>
      <c r="D1189" s="343" t="str">
        <f ca="1">OFFSET('Zip Code Lines_1'!$U$3,MATCH('Zip Code Lines_1'!C1189,'Zip Code Lines_1'!$Q$4:$Q$26,0),0)</f>
        <v>Saranac Lake</v>
      </c>
      <c r="E1189" s="344">
        <f ca="1">OFFSET('Zip Code Lines_1'!$W$3,MATCH('Zip Code Lines_1'!C1189,'Zip Code Lines_1'!$Q$4:$Q$26,0),0)</f>
        <v>-11.5</v>
      </c>
      <c r="F1189" s="344">
        <f ca="1">OFFSET('Zip Code Lines_1'!$Z$3,MATCH('Zip Code Lines_1'!C1189,'Zip Code Lines_1'!$Q$4:$Q$26,0),0)</f>
        <v>81</v>
      </c>
      <c r="G1189" s="342">
        <f ca="1">OFFSET('Zip Code Lines_1'!$AC$3,MATCH('Zip Code Lines_1'!C1189,'Zip Code Lines_1'!$Q$4:$Q$26,0),0)</f>
        <v>24</v>
      </c>
      <c r="H1189" s="342">
        <v>12934</v>
      </c>
    </row>
    <row r="1190" spans="2:8" x14ac:dyDescent="0.25">
      <c r="B1190" s="342">
        <v>12935</v>
      </c>
      <c r="C1190" s="343" t="s">
        <v>566</v>
      </c>
      <c r="D1190" s="343" t="str">
        <f ca="1">OFFSET('Zip Code Lines_1'!$U$3,MATCH('Zip Code Lines_1'!C1190,'Zip Code Lines_1'!$Q$4:$Q$26,0),0)</f>
        <v>Saranac Lake</v>
      </c>
      <c r="E1190" s="344">
        <f ca="1">OFFSET('Zip Code Lines_1'!$W$3,MATCH('Zip Code Lines_1'!C1190,'Zip Code Lines_1'!$Q$4:$Q$26,0),0)</f>
        <v>-11.5</v>
      </c>
      <c r="F1190" s="344">
        <f ca="1">OFFSET('Zip Code Lines_1'!$Z$3,MATCH('Zip Code Lines_1'!C1190,'Zip Code Lines_1'!$Q$4:$Q$26,0),0)</f>
        <v>81</v>
      </c>
      <c r="G1190" s="342">
        <f ca="1">OFFSET('Zip Code Lines_1'!$AC$3,MATCH('Zip Code Lines_1'!C1190,'Zip Code Lines_1'!$Q$4:$Q$26,0),0)</f>
        <v>24</v>
      </c>
      <c r="H1190" s="342">
        <v>12935</v>
      </c>
    </row>
    <row r="1191" spans="2:8" x14ac:dyDescent="0.25">
      <c r="B1191" s="342">
        <v>12936</v>
      </c>
      <c r="C1191" s="343" t="s">
        <v>548</v>
      </c>
      <c r="D1191" s="343" t="str">
        <f ca="1">OFFSET('Zip Code Lines_1'!$U$3,MATCH('Zip Code Lines_1'!C1191,'Zip Code Lines_1'!$Q$4:$Q$26,0),0)</f>
        <v>Massena</v>
      </c>
      <c r="E1191" s="344">
        <f ca="1">OFFSET('Zip Code Lines_1'!$W$3,MATCH('Zip Code Lines_1'!C1191,'Zip Code Lines_1'!$Q$4:$Q$26,0),0)</f>
        <v>-7.8</v>
      </c>
      <c r="F1191" s="344">
        <f ca="1">OFFSET('Zip Code Lines_1'!$Z$3,MATCH('Zip Code Lines_1'!C1191,'Zip Code Lines_1'!$Q$4:$Q$26,0),0)</f>
        <v>84.4</v>
      </c>
      <c r="G1191" s="342">
        <f ca="1">OFFSET('Zip Code Lines_1'!$AC$3,MATCH('Zip Code Lines_1'!C1191,'Zip Code Lines_1'!$Q$4:$Q$26,0),0)</f>
        <v>12</v>
      </c>
      <c r="H1191" s="342">
        <v>12936</v>
      </c>
    </row>
    <row r="1192" spans="2:8" x14ac:dyDescent="0.25">
      <c r="B1192" s="342">
        <v>12937</v>
      </c>
      <c r="C1192" s="343" t="s">
        <v>548</v>
      </c>
      <c r="D1192" s="343" t="str">
        <f ca="1">OFFSET('Zip Code Lines_1'!$U$3,MATCH('Zip Code Lines_1'!C1192,'Zip Code Lines_1'!$Q$4:$Q$26,0),0)</f>
        <v>Massena</v>
      </c>
      <c r="E1192" s="344">
        <f ca="1">OFFSET('Zip Code Lines_1'!$W$3,MATCH('Zip Code Lines_1'!C1192,'Zip Code Lines_1'!$Q$4:$Q$26,0),0)</f>
        <v>-7.8</v>
      </c>
      <c r="F1192" s="344">
        <f ca="1">OFFSET('Zip Code Lines_1'!$Z$3,MATCH('Zip Code Lines_1'!C1192,'Zip Code Lines_1'!$Q$4:$Q$26,0),0)</f>
        <v>84.4</v>
      </c>
      <c r="G1192" s="342">
        <f ca="1">OFFSET('Zip Code Lines_1'!$AC$3,MATCH('Zip Code Lines_1'!C1192,'Zip Code Lines_1'!$Q$4:$Q$26,0),0)</f>
        <v>12</v>
      </c>
      <c r="H1192" s="342">
        <v>12937</v>
      </c>
    </row>
    <row r="1193" spans="2:8" x14ac:dyDescent="0.25">
      <c r="B1193" s="342">
        <v>12939</v>
      </c>
      <c r="C1193" s="343" t="s">
        <v>566</v>
      </c>
      <c r="D1193" s="343" t="str">
        <f ca="1">OFFSET('Zip Code Lines_1'!$U$3,MATCH('Zip Code Lines_1'!C1193,'Zip Code Lines_1'!$Q$4:$Q$26,0),0)</f>
        <v>Saranac Lake</v>
      </c>
      <c r="E1193" s="344">
        <f ca="1">OFFSET('Zip Code Lines_1'!$W$3,MATCH('Zip Code Lines_1'!C1193,'Zip Code Lines_1'!$Q$4:$Q$26,0),0)</f>
        <v>-11.5</v>
      </c>
      <c r="F1193" s="344">
        <f ca="1">OFFSET('Zip Code Lines_1'!$Z$3,MATCH('Zip Code Lines_1'!C1193,'Zip Code Lines_1'!$Q$4:$Q$26,0),0)</f>
        <v>81</v>
      </c>
      <c r="G1193" s="342">
        <f ca="1">OFFSET('Zip Code Lines_1'!$AC$3,MATCH('Zip Code Lines_1'!C1193,'Zip Code Lines_1'!$Q$4:$Q$26,0),0)</f>
        <v>24</v>
      </c>
      <c r="H1193" s="342">
        <v>12939</v>
      </c>
    </row>
    <row r="1194" spans="2:8" x14ac:dyDescent="0.25">
      <c r="B1194" s="342">
        <v>12941</v>
      </c>
      <c r="C1194" s="343" t="s">
        <v>566</v>
      </c>
      <c r="D1194" s="343" t="str">
        <f ca="1">OFFSET('Zip Code Lines_1'!$U$3,MATCH('Zip Code Lines_1'!C1194,'Zip Code Lines_1'!$Q$4:$Q$26,0),0)</f>
        <v>Saranac Lake</v>
      </c>
      <c r="E1194" s="344">
        <f ca="1">OFFSET('Zip Code Lines_1'!$W$3,MATCH('Zip Code Lines_1'!C1194,'Zip Code Lines_1'!$Q$4:$Q$26,0),0)</f>
        <v>-11.5</v>
      </c>
      <c r="F1194" s="344">
        <f ca="1">OFFSET('Zip Code Lines_1'!$Z$3,MATCH('Zip Code Lines_1'!C1194,'Zip Code Lines_1'!$Q$4:$Q$26,0),0)</f>
        <v>81</v>
      </c>
      <c r="G1194" s="342">
        <f ca="1">OFFSET('Zip Code Lines_1'!$AC$3,MATCH('Zip Code Lines_1'!C1194,'Zip Code Lines_1'!$Q$4:$Q$26,0),0)</f>
        <v>24</v>
      </c>
      <c r="H1194" s="342">
        <v>12941</v>
      </c>
    </row>
    <row r="1195" spans="2:8" x14ac:dyDescent="0.25">
      <c r="B1195" s="342">
        <v>12942</v>
      </c>
      <c r="C1195" s="343" t="s">
        <v>566</v>
      </c>
      <c r="D1195" s="343" t="str">
        <f ca="1">OFFSET('Zip Code Lines_1'!$U$3,MATCH('Zip Code Lines_1'!C1195,'Zip Code Lines_1'!$Q$4:$Q$26,0),0)</f>
        <v>Saranac Lake</v>
      </c>
      <c r="E1195" s="344">
        <f ca="1">OFFSET('Zip Code Lines_1'!$W$3,MATCH('Zip Code Lines_1'!C1195,'Zip Code Lines_1'!$Q$4:$Q$26,0),0)</f>
        <v>-11.5</v>
      </c>
      <c r="F1195" s="344">
        <f ca="1">OFFSET('Zip Code Lines_1'!$Z$3,MATCH('Zip Code Lines_1'!C1195,'Zip Code Lines_1'!$Q$4:$Q$26,0),0)</f>
        <v>81</v>
      </c>
      <c r="G1195" s="342">
        <f ca="1">OFFSET('Zip Code Lines_1'!$AC$3,MATCH('Zip Code Lines_1'!C1195,'Zip Code Lines_1'!$Q$4:$Q$26,0),0)</f>
        <v>24</v>
      </c>
      <c r="H1195" s="342">
        <v>12942</v>
      </c>
    </row>
    <row r="1196" spans="2:8" x14ac:dyDescent="0.25">
      <c r="B1196" s="342">
        <v>12943</v>
      </c>
      <c r="C1196" s="343" t="s">
        <v>566</v>
      </c>
      <c r="D1196" s="343" t="str">
        <f ca="1">OFFSET('Zip Code Lines_1'!$U$3,MATCH('Zip Code Lines_1'!C1196,'Zip Code Lines_1'!$Q$4:$Q$26,0),0)</f>
        <v>Saranac Lake</v>
      </c>
      <c r="E1196" s="344">
        <f ca="1">OFFSET('Zip Code Lines_1'!$W$3,MATCH('Zip Code Lines_1'!C1196,'Zip Code Lines_1'!$Q$4:$Q$26,0),0)</f>
        <v>-11.5</v>
      </c>
      <c r="F1196" s="344">
        <f ca="1">OFFSET('Zip Code Lines_1'!$Z$3,MATCH('Zip Code Lines_1'!C1196,'Zip Code Lines_1'!$Q$4:$Q$26,0),0)</f>
        <v>81</v>
      </c>
      <c r="G1196" s="342">
        <f ca="1">OFFSET('Zip Code Lines_1'!$AC$3,MATCH('Zip Code Lines_1'!C1196,'Zip Code Lines_1'!$Q$4:$Q$26,0),0)</f>
        <v>24</v>
      </c>
      <c r="H1196" s="342">
        <v>12943</v>
      </c>
    </row>
    <row r="1197" spans="2:8" x14ac:dyDescent="0.25">
      <c r="B1197" s="342">
        <v>12944</v>
      </c>
      <c r="C1197" s="343" t="s">
        <v>566</v>
      </c>
      <c r="D1197" s="343" t="str">
        <f ca="1">OFFSET('Zip Code Lines_1'!$U$3,MATCH('Zip Code Lines_1'!C1197,'Zip Code Lines_1'!$Q$4:$Q$26,0),0)</f>
        <v>Saranac Lake</v>
      </c>
      <c r="E1197" s="344">
        <f ca="1">OFFSET('Zip Code Lines_1'!$W$3,MATCH('Zip Code Lines_1'!C1197,'Zip Code Lines_1'!$Q$4:$Q$26,0),0)</f>
        <v>-11.5</v>
      </c>
      <c r="F1197" s="344">
        <f ca="1">OFFSET('Zip Code Lines_1'!$Z$3,MATCH('Zip Code Lines_1'!C1197,'Zip Code Lines_1'!$Q$4:$Q$26,0),0)</f>
        <v>81</v>
      </c>
      <c r="G1197" s="342">
        <f ca="1">OFFSET('Zip Code Lines_1'!$AC$3,MATCH('Zip Code Lines_1'!C1197,'Zip Code Lines_1'!$Q$4:$Q$26,0),0)</f>
        <v>24</v>
      </c>
      <c r="H1197" s="342">
        <v>12944</v>
      </c>
    </row>
    <row r="1198" spans="2:8" x14ac:dyDescent="0.25">
      <c r="B1198" s="342">
        <v>12945</v>
      </c>
      <c r="C1198" s="343" t="s">
        <v>566</v>
      </c>
      <c r="D1198" s="343" t="str">
        <f ca="1">OFFSET('Zip Code Lines_1'!$U$3,MATCH('Zip Code Lines_1'!C1198,'Zip Code Lines_1'!$Q$4:$Q$26,0),0)</f>
        <v>Saranac Lake</v>
      </c>
      <c r="E1198" s="344">
        <f ca="1">OFFSET('Zip Code Lines_1'!$W$3,MATCH('Zip Code Lines_1'!C1198,'Zip Code Lines_1'!$Q$4:$Q$26,0),0)</f>
        <v>-11.5</v>
      </c>
      <c r="F1198" s="344">
        <f ca="1">OFFSET('Zip Code Lines_1'!$Z$3,MATCH('Zip Code Lines_1'!C1198,'Zip Code Lines_1'!$Q$4:$Q$26,0),0)</f>
        <v>81</v>
      </c>
      <c r="G1198" s="342">
        <f ca="1">OFFSET('Zip Code Lines_1'!$AC$3,MATCH('Zip Code Lines_1'!C1198,'Zip Code Lines_1'!$Q$4:$Q$26,0),0)</f>
        <v>24</v>
      </c>
      <c r="H1198" s="342">
        <v>12945</v>
      </c>
    </row>
    <row r="1199" spans="2:8" x14ac:dyDescent="0.25">
      <c r="B1199" s="342">
        <v>12946</v>
      </c>
      <c r="C1199" s="343" t="s">
        <v>566</v>
      </c>
      <c r="D1199" s="343" t="str">
        <f ca="1">OFFSET('Zip Code Lines_1'!$U$3,MATCH('Zip Code Lines_1'!C1199,'Zip Code Lines_1'!$Q$4:$Q$26,0),0)</f>
        <v>Saranac Lake</v>
      </c>
      <c r="E1199" s="344">
        <f ca="1">OFFSET('Zip Code Lines_1'!$W$3,MATCH('Zip Code Lines_1'!C1199,'Zip Code Lines_1'!$Q$4:$Q$26,0),0)</f>
        <v>-11.5</v>
      </c>
      <c r="F1199" s="344">
        <f ca="1">OFFSET('Zip Code Lines_1'!$Z$3,MATCH('Zip Code Lines_1'!C1199,'Zip Code Lines_1'!$Q$4:$Q$26,0),0)</f>
        <v>81</v>
      </c>
      <c r="G1199" s="342">
        <f ca="1">OFFSET('Zip Code Lines_1'!$AC$3,MATCH('Zip Code Lines_1'!C1199,'Zip Code Lines_1'!$Q$4:$Q$26,0),0)</f>
        <v>24</v>
      </c>
      <c r="H1199" s="342">
        <v>12946</v>
      </c>
    </row>
    <row r="1200" spans="2:8" x14ac:dyDescent="0.25">
      <c r="B1200" s="342">
        <v>12949</v>
      </c>
      <c r="C1200" s="343" t="s">
        <v>548</v>
      </c>
      <c r="D1200" s="343" t="str">
        <f ca="1">OFFSET('Zip Code Lines_1'!$U$3,MATCH('Zip Code Lines_1'!C1200,'Zip Code Lines_1'!$Q$4:$Q$26,0),0)</f>
        <v>Massena</v>
      </c>
      <c r="E1200" s="344">
        <f ca="1">OFFSET('Zip Code Lines_1'!$W$3,MATCH('Zip Code Lines_1'!C1200,'Zip Code Lines_1'!$Q$4:$Q$26,0),0)</f>
        <v>-7.8</v>
      </c>
      <c r="F1200" s="344">
        <f ca="1">OFFSET('Zip Code Lines_1'!$Z$3,MATCH('Zip Code Lines_1'!C1200,'Zip Code Lines_1'!$Q$4:$Q$26,0),0)</f>
        <v>84.4</v>
      </c>
      <c r="G1200" s="342">
        <f ca="1">OFFSET('Zip Code Lines_1'!$AC$3,MATCH('Zip Code Lines_1'!C1200,'Zip Code Lines_1'!$Q$4:$Q$26,0),0)</f>
        <v>12</v>
      </c>
      <c r="H1200" s="342">
        <v>12949</v>
      </c>
    </row>
    <row r="1201" spans="2:8" x14ac:dyDescent="0.25">
      <c r="B1201" s="342">
        <v>12950</v>
      </c>
      <c r="C1201" s="343" t="s">
        <v>566</v>
      </c>
      <c r="D1201" s="343" t="str">
        <f ca="1">OFFSET('Zip Code Lines_1'!$U$3,MATCH('Zip Code Lines_1'!C1201,'Zip Code Lines_1'!$Q$4:$Q$26,0),0)</f>
        <v>Saranac Lake</v>
      </c>
      <c r="E1201" s="344">
        <f ca="1">OFFSET('Zip Code Lines_1'!$W$3,MATCH('Zip Code Lines_1'!C1201,'Zip Code Lines_1'!$Q$4:$Q$26,0),0)</f>
        <v>-11.5</v>
      </c>
      <c r="F1201" s="344">
        <f ca="1">OFFSET('Zip Code Lines_1'!$Z$3,MATCH('Zip Code Lines_1'!C1201,'Zip Code Lines_1'!$Q$4:$Q$26,0),0)</f>
        <v>81</v>
      </c>
      <c r="G1201" s="342">
        <f ca="1">OFFSET('Zip Code Lines_1'!$AC$3,MATCH('Zip Code Lines_1'!C1201,'Zip Code Lines_1'!$Q$4:$Q$26,0),0)</f>
        <v>24</v>
      </c>
      <c r="H1201" s="342">
        <v>12950</v>
      </c>
    </row>
    <row r="1202" spans="2:8" x14ac:dyDescent="0.25">
      <c r="B1202" s="342">
        <v>12952</v>
      </c>
      <c r="C1202" s="343" t="s">
        <v>566</v>
      </c>
      <c r="D1202" s="343" t="str">
        <f ca="1">OFFSET('Zip Code Lines_1'!$U$3,MATCH('Zip Code Lines_1'!C1202,'Zip Code Lines_1'!$Q$4:$Q$26,0),0)</f>
        <v>Saranac Lake</v>
      </c>
      <c r="E1202" s="344">
        <f ca="1">OFFSET('Zip Code Lines_1'!$W$3,MATCH('Zip Code Lines_1'!C1202,'Zip Code Lines_1'!$Q$4:$Q$26,0),0)</f>
        <v>-11.5</v>
      </c>
      <c r="F1202" s="344">
        <f ca="1">OFFSET('Zip Code Lines_1'!$Z$3,MATCH('Zip Code Lines_1'!C1202,'Zip Code Lines_1'!$Q$4:$Q$26,0),0)</f>
        <v>81</v>
      </c>
      <c r="G1202" s="342">
        <f ca="1">OFFSET('Zip Code Lines_1'!$AC$3,MATCH('Zip Code Lines_1'!C1202,'Zip Code Lines_1'!$Q$4:$Q$26,0),0)</f>
        <v>24</v>
      </c>
      <c r="H1202" s="342">
        <v>12952</v>
      </c>
    </row>
    <row r="1203" spans="2:8" x14ac:dyDescent="0.25">
      <c r="B1203" s="342">
        <v>12953</v>
      </c>
      <c r="C1203" s="343" t="s">
        <v>566</v>
      </c>
      <c r="D1203" s="343" t="str">
        <f ca="1">OFFSET('Zip Code Lines_1'!$U$3,MATCH('Zip Code Lines_1'!C1203,'Zip Code Lines_1'!$Q$4:$Q$26,0),0)</f>
        <v>Saranac Lake</v>
      </c>
      <c r="E1203" s="344">
        <f ca="1">OFFSET('Zip Code Lines_1'!$W$3,MATCH('Zip Code Lines_1'!C1203,'Zip Code Lines_1'!$Q$4:$Q$26,0),0)</f>
        <v>-11.5</v>
      </c>
      <c r="F1203" s="344">
        <f ca="1">OFFSET('Zip Code Lines_1'!$Z$3,MATCH('Zip Code Lines_1'!C1203,'Zip Code Lines_1'!$Q$4:$Q$26,0),0)</f>
        <v>81</v>
      </c>
      <c r="G1203" s="342">
        <f ca="1">OFFSET('Zip Code Lines_1'!$AC$3,MATCH('Zip Code Lines_1'!C1203,'Zip Code Lines_1'!$Q$4:$Q$26,0),0)</f>
        <v>24</v>
      </c>
      <c r="H1203" s="342">
        <v>12953</v>
      </c>
    </row>
    <row r="1204" spans="2:8" x14ac:dyDescent="0.25">
      <c r="B1204" s="342">
        <v>12955</v>
      </c>
      <c r="C1204" s="343" t="s">
        <v>566</v>
      </c>
      <c r="D1204" s="343" t="str">
        <f ca="1">OFFSET('Zip Code Lines_1'!$U$3,MATCH('Zip Code Lines_1'!C1204,'Zip Code Lines_1'!$Q$4:$Q$26,0),0)</f>
        <v>Saranac Lake</v>
      </c>
      <c r="E1204" s="344">
        <f ca="1">OFFSET('Zip Code Lines_1'!$W$3,MATCH('Zip Code Lines_1'!C1204,'Zip Code Lines_1'!$Q$4:$Q$26,0),0)</f>
        <v>-11.5</v>
      </c>
      <c r="F1204" s="344">
        <f ca="1">OFFSET('Zip Code Lines_1'!$Z$3,MATCH('Zip Code Lines_1'!C1204,'Zip Code Lines_1'!$Q$4:$Q$26,0),0)</f>
        <v>81</v>
      </c>
      <c r="G1204" s="342">
        <f ca="1">OFFSET('Zip Code Lines_1'!$AC$3,MATCH('Zip Code Lines_1'!C1204,'Zip Code Lines_1'!$Q$4:$Q$26,0),0)</f>
        <v>24</v>
      </c>
      <c r="H1204" s="342">
        <v>12955</v>
      </c>
    </row>
    <row r="1205" spans="2:8" x14ac:dyDescent="0.25">
      <c r="B1205" s="342">
        <v>12956</v>
      </c>
      <c r="C1205" s="343" t="s">
        <v>566</v>
      </c>
      <c r="D1205" s="343" t="str">
        <f ca="1">OFFSET('Zip Code Lines_1'!$U$3,MATCH('Zip Code Lines_1'!C1205,'Zip Code Lines_1'!$Q$4:$Q$26,0),0)</f>
        <v>Saranac Lake</v>
      </c>
      <c r="E1205" s="344">
        <f ca="1">OFFSET('Zip Code Lines_1'!$W$3,MATCH('Zip Code Lines_1'!C1205,'Zip Code Lines_1'!$Q$4:$Q$26,0),0)</f>
        <v>-11.5</v>
      </c>
      <c r="F1205" s="344">
        <f ca="1">OFFSET('Zip Code Lines_1'!$Z$3,MATCH('Zip Code Lines_1'!C1205,'Zip Code Lines_1'!$Q$4:$Q$26,0),0)</f>
        <v>81</v>
      </c>
      <c r="G1205" s="342">
        <f ca="1">OFFSET('Zip Code Lines_1'!$AC$3,MATCH('Zip Code Lines_1'!C1205,'Zip Code Lines_1'!$Q$4:$Q$26,0),0)</f>
        <v>24</v>
      </c>
      <c r="H1205" s="342">
        <v>12956</v>
      </c>
    </row>
    <row r="1206" spans="2:8" x14ac:dyDescent="0.25">
      <c r="B1206" s="342">
        <v>12957</v>
      </c>
      <c r="C1206" s="343" t="s">
        <v>548</v>
      </c>
      <c r="D1206" s="343" t="str">
        <f ca="1">OFFSET('Zip Code Lines_1'!$U$3,MATCH('Zip Code Lines_1'!C1206,'Zip Code Lines_1'!$Q$4:$Q$26,0),0)</f>
        <v>Massena</v>
      </c>
      <c r="E1206" s="344">
        <f ca="1">OFFSET('Zip Code Lines_1'!$W$3,MATCH('Zip Code Lines_1'!C1206,'Zip Code Lines_1'!$Q$4:$Q$26,0),0)</f>
        <v>-7.8</v>
      </c>
      <c r="F1206" s="344">
        <f ca="1">OFFSET('Zip Code Lines_1'!$Z$3,MATCH('Zip Code Lines_1'!C1206,'Zip Code Lines_1'!$Q$4:$Q$26,0),0)</f>
        <v>84.4</v>
      </c>
      <c r="G1206" s="342">
        <f ca="1">OFFSET('Zip Code Lines_1'!$AC$3,MATCH('Zip Code Lines_1'!C1206,'Zip Code Lines_1'!$Q$4:$Q$26,0),0)</f>
        <v>12</v>
      </c>
      <c r="H1206" s="342">
        <v>12957</v>
      </c>
    </row>
    <row r="1207" spans="2:8" x14ac:dyDescent="0.25">
      <c r="B1207" s="342">
        <v>12958</v>
      </c>
      <c r="C1207" s="343" t="s">
        <v>548</v>
      </c>
      <c r="D1207" s="343" t="str">
        <f ca="1">OFFSET('Zip Code Lines_1'!$U$3,MATCH('Zip Code Lines_1'!C1207,'Zip Code Lines_1'!$Q$4:$Q$26,0),0)</f>
        <v>Massena</v>
      </c>
      <c r="E1207" s="344">
        <f ca="1">OFFSET('Zip Code Lines_1'!$W$3,MATCH('Zip Code Lines_1'!C1207,'Zip Code Lines_1'!$Q$4:$Q$26,0),0)</f>
        <v>-7.8</v>
      </c>
      <c r="F1207" s="344">
        <f ca="1">OFFSET('Zip Code Lines_1'!$Z$3,MATCH('Zip Code Lines_1'!C1207,'Zip Code Lines_1'!$Q$4:$Q$26,0),0)</f>
        <v>84.4</v>
      </c>
      <c r="G1207" s="342">
        <f ca="1">OFFSET('Zip Code Lines_1'!$AC$3,MATCH('Zip Code Lines_1'!C1207,'Zip Code Lines_1'!$Q$4:$Q$26,0),0)</f>
        <v>12</v>
      </c>
      <c r="H1207" s="342">
        <v>12958</v>
      </c>
    </row>
    <row r="1208" spans="2:8" x14ac:dyDescent="0.25">
      <c r="B1208" s="342">
        <v>12959</v>
      </c>
      <c r="C1208" s="343" t="s">
        <v>566</v>
      </c>
      <c r="D1208" s="343" t="str">
        <f ca="1">OFFSET('Zip Code Lines_1'!$U$3,MATCH('Zip Code Lines_1'!C1208,'Zip Code Lines_1'!$Q$4:$Q$26,0),0)</f>
        <v>Saranac Lake</v>
      </c>
      <c r="E1208" s="344">
        <f ca="1">OFFSET('Zip Code Lines_1'!$W$3,MATCH('Zip Code Lines_1'!C1208,'Zip Code Lines_1'!$Q$4:$Q$26,0),0)</f>
        <v>-11.5</v>
      </c>
      <c r="F1208" s="344">
        <f ca="1">OFFSET('Zip Code Lines_1'!$Z$3,MATCH('Zip Code Lines_1'!C1208,'Zip Code Lines_1'!$Q$4:$Q$26,0),0)</f>
        <v>81</v>
      </c>
      <c r="G1208" s="342">
        <f ca="1">OFFSET('Zip Code Lines_1'!$AC$3,MATCH('Zip Code Lines_1'!C1208,'Zip Code Lines_1'!$Q$4:$Q$26,0),0)</f>
        <v>24</v>
      </c>
      <c r="H1208" s="342">
        <v>12959</v>
      </c>
    </row>
    <row r="1209" spans="2:8" x14ac:dyDescent="0.25">
      <c r="B1209" s="342">
        <v>12960</v>
      </c>
      <c r="C1209" s="343" t="s">
        <v>566</v>
      </c>
      <c r="D1209" s="343" t="str">
        <f ca="1">OFFSET('Zip Code Lines_1'!$U$3,MATCH('Zip Code Lines_1'!C1209,'Zip Code Lines_1'!$Q$4:$Q$26,0),0)</f>
        <v>Saranac Lake</v>
      </c>
      <c r="E1209" s="344">
        <f ca="1">OFFSET('Zip Code Lines_1'!$W$3,MATCH('Zip Code Lines_1'!C1209,'Zip Code Lines_1'!$Q$4:$Q$26,0),0)</f>
        <v>-11.5</v>
      </c>
      <c r="F1209" s="344">
        <f ca="1">OFFSET('Zip Code Lines_1'!$Z$3,MATCH('Zip Code Lines_1'!C1209,'Zip Code Lines_1'!$Q$4:$Q$26,0),0)</f>
        <v>81</v>
      </c>
      <c r="G1209" s="342">
        <f ca="1">OFFSET('Zip Code Lines_1'!$AC$3,MATCH('Zip Code Lines_1'!C1209,'Zip Code Lines_1'!$Q$4:$Q$26,0),0)</f>
        <v>24</v>
      </c>
      <c r="H1209" s="342">
        <v>12960</v>
      </c>
    </row>
    <row r="1210" spans="2:8" x14ac:dyDescent="0.25">
      <c r="B1210" s="342">
        <v>12961</v>
      </c>
      <c r="C1210" s="343" t="s">
        <v>566</v>
      </c>
      <c r="D1210" s="343" t="str">
        <f ca="1">OFFSET('Zip Code Lines_1'!$U$3,MATCH('Zip Code Lines_1'!C1210,'Zip Code Lines_1'!$Q$4:$Q$26,0),0)</f>
        <v>Saranac Lake</v>
      </c>
      <c r="E1210" s="344">
        <f ca="1">OFFSET('Zip Code Lines_1'!$W$3,MATCH('Zip Code Lines_1'!C1210,'Zip Code Lines_1'!$Q$4:$Q$26,0),0)</f>
        <v>-11.5</v>
      </c>
      <c r="F1210" s="344">
        <f ca="1">OFFSET('Zip Code Lines_1'!$Z$3,MATCH('Zip Code Lines_1'!C1210,'Zip Code Lines_1'!$Q$4:$Q$26,0),0)</f>
        <v>81</v>
      </c>
      <c r="G1210" s="342">
        <f ca="1">OFFSET('Zip Code Lines_1'!$AC$3,MATCH('Zip Code Lines_1'!C1210,'Zip Code Lines_1'!$Q$4:$Q$26,0),0)</f>
        <v>24</v>
      </c>
      <c r="H1210" s="342">
        <v>12961</v>
      </c>
    </row>
    <row r="1211" spans="2:8" x14ac:dyDescent="0.25">
      <c r="B1211" s="342">
        <v>12962</v>
      </c>
      <c r="C1211" s="343" t="s">
        <v>548</v>
      </c>
      <c r="D1211" s="343" t="str">
        <f ca="1">OFFSET('Zip Code Lines_1'!$U$3,MATCH('Zip Code Lines_1'!C1211,'Zip Code Lines_1'!$Q$4:$Q$26,0),0)</f>
        <v>Massena</v>
      </c>
      <c r="E1211" s="344">
        <f ca="1">OFFSET('Zip Code Lines_1'!$W$3,MATCH('Zip Code Lines_1'!C1211,'Zip Code Lines_1'!$Q$4:$Q$26,0),0)</f>
        <v>-7.8</v>
      </c>
      <c r="F1211" s="344">
        <f ca="1">OFFSET('Zip Code Lines_1'!$Z$3,MATCH('Zip Code Lines_1'!C1211,'Zip Code Lines_1'!$Q$4:$Q$26,0),0)</f>
        <v>84.4</v>
      </c>
      <c r="G1211" s="342">
        <f ca="1">OFFSET('Zip Code Lines_1'!$AC$3,MATCH('Zip Code Lines_1'!C1211,'Zip Code Lines_1'!$Q$4:$Q$26,0),0)</f>
        <v>12</v>
      </c>
      <c r="H1211" s="342">
        <v>12962</v>
      </c>
    </row>
    <row r="1212" spans="2:8" x14ac:dyDescent="0.25">
      <c r="B1212" s="342">
        <v>12964</v>
      </c>
      <c r="C1212" s="343" t="s">
        <v>548</v>
      </c>
      <c r="D1212" s="343" t="str">
        <f ca="1">OFFSET('Zip Code Lines_1'!$U$3,MATCH('Zip Code Lines_1'!C1212,'Zip Code Lines_1'!$Q$4:$Q$26,0),0)</f>
        <v>Massena</v>
      </c>
      <c r="E1212" s="344">
        <f ca="1">OFFSET('Zip Code Lines_1'!$W$3,MATCH('Zip Code Lines_1'!C1212,'Zip Code Lines_1'!$Q$4:$Q$26,0),0)</f>
        <v>-7.8</v>
      </c>
      <c r="F1212" s="344">
        <f ca="1">OFFSET('Zip Code Lines_1'!$Z$3,MATCH('Zip Code Lines_1'!C1212,'Zip Code Lines_1'!$Q$4:$Q$26,0),0)</f>
        <v>84.4</v>
      </c>
      <c r="G1212" s="342">
        <f ca="1">OFFSET('Zip Code Lines_1'!$AC$3,MATCH('Zip Code Lines_1'!C1212,'Zip Code Lines_1'!$Q$4:$Q$26,0),0)</f>
        <v>12</v>
      </c>
      <c r="H1212" s="342">
        <v>12964</v>
      </c>
    </row>
    <row r="1213" spans="2:8" x14ac:dyDescent="0.25">
      <c r="B1213" s="342">
        <v>12965</v>
      </c>
      <c r="C1213" s="343" t="s">
        <v>548</v>
      </c>
      <c r="D1213" s="343" t="str">
        <f ca="1">OFFSET('Zip Code Lines_1'!$U$3,MATCH('Zip Code Lines_1'!C1213,'Zip Code Lines_1'!$Q$4:$Q$26,0),0)</f>
        <v>Massena</v>
      </c>
      <c r="E1213" s="344">
        <f ca="1">OFFSET('Zip Code Lines_1'!$W$3,MATCH('Zip Code Lines_1'!C1213,'Zip Code Lines_1'!$Q$4:$Q$26,0),0)</f>
        <v>-7.8</v>
      </c>
      <c r="F1213" s="344">
        <f ca="1">OFFSET('Zip Code Lines_1'!$Z$3,MATCH('Zip Code Lines_1'!C1213,'Zip Code Lines_1'!$Q$4:$Q$26,0),0)</f>
        <v>84.4</v>
      </c>
      <c r="G1213" s="342">
        <f ca="1">OFFSET('Zip Code Lines_1'!$AC$3,MATCH('Zip Code Lines_1'!C1213,'Zip Code Lines_1'!$Q$4:$Q$26,0),0)</f>
        <v>12</v>
      </c>
      <c r="H1213" s="342">
        <v>12965</v>
      </c>
    </row>
    <row r="1214" spans="2:8" x14ac:dyDescent="0.25">
      <c r="B1214" s="342">
        <v>12966</v>
      </c>
      <c r="C1214" s="343" t="s">
        <v>566</v>
      </c>
      <c r="D1214" s="343" t="str">
        <f ca="1">OFFSET('Zip Code Lines_1'!$U$3,MATCH('Zip Code Lines_1'!C1214,'Zip Code Lines_1'!$Q$4:$Q$26,0),0)</f>
        <v>Saranac Lake</v>
      </c>
      <c r="E1214" s="344">
        <f ca="1">OFFSET('Zip Code Lines_1'!$W$3,MATCH('Zip Code Lines_1'!C1214,'Zip Code Lines_1'!$Q$4:$Q$26,0),0)</f>
        <v>-11.5</v>
      </c>
      <c r="F1214" s="344">
        <f ca="1">OFFSET('Zip Code Lines_1'!$Z$3,MATCH('Zip Code Lines_1'!C1214,'Zip Code Lines_1'!$Q$4:$Q$26,0),0)</f>
        <v>81</v>
      </c>
      <c r="G1214" s="342">
        <f ca="1">OFFSET('Zip Code Lines_1'!$AC$3,MATCH('Zip Code Lines_1'!C1214,'Zip Code Lines_1'!$Q$4:$Q$26,0),0)</f>
        <v>24</v>
      </c>
      <c r="H1214" s="342">
        <v>12966</v>
      </c>
    </row>
    <row r="1215" spans="2:8" x14ac:dyDescent="0.25">
      <c r="B1215" s="342">
        <v>12967</v>
      </c>
      <c r="C1215" s="343" t="s">
        <v>548</v>
      </c>
      <c r="D1215" s="343" t="str">
        <f ca="1">OFFSET('Zip Code Lines_1'!$U$3,MATCH('Zip Code Lines_1'!C1215,'Zip Code Lines_1'!$Q$4:$Q$26,0),0)</f>
        <v>Massena</v>
      </c>
      <c r="E1215" s="344">
        <f ca="1">OFFSET('Zip Code Lines_1'!$W$3,MATCH('Zip Code Lines_1'!C1215,'Zip Code Lines_1'!$Q$4:$Q$26,0),0)</f>
        <v>-7.8</v>
      </c>
      <c r="F1215" s="344">
        <f ca="1">OFFSET('Zip Code Lines_1'!$Z$3,MATCH('Zip Code Lines_1'!C1215,'Zip Code Lines_1'!$Q$4:$Q$26,0),0)</f>
        <v>84.4</v>
      </c>
      <c r="G1215" s="342">
        <f ca="1">OFFSET('Zip Code Lines_1'!$AC$3,MATCH('Zip Code Lines_1'!C1215,'Zip Code Lines_1'!$Q$4:$Q$26,0),0)</f>
        <v>12</v>
      </c>
      <c r="H1215" s="342">
        <v>12967</v>
      </c>
    </row>
    <row r="1216" spans="2:8" x14ac:dyDescent="0.25">
      <c r="B1216" s="342">
        <v>12969</v>
      </c>
      <c r="C1216" s="343" t="s">
        <v>566</v>
      </c>
      <c r="D1216" s="343" t="str">
        <f ca="1">OFFSET('Zip Code Lines_1'!$U$3,MATCH('Zip Code Lines_1'!C1216,'Zip Code Lines_1'!$Q$4:$Q$26,0),0)</f>
        <v>Saranac Lake</v>
      </c>
      <c r="E1216" s="344">
        <f ca="1">OFFSET('Zip Code Lines_1'!$W$3,MATCH('Zip Code Lines_1'!C1216,'Zip Code Lines_1'!$Q$4:$Q$26,0),0)</f>
        <v>-11.5</v>
      </c>
      <c r="F1216" s="344">
        <f ca="1">OFFSET('Zip Code Lines_1'!$Z$3,MATCH('Zip Code Lines_1'!C1216,'Zip Code Lines_1'!$Q$4:$Q$26,0),0)</f>
        <v>81</v>
      </c>
      <c r="G1216" s="342">
        <f ca="1">OFFSET('Zip Code Lines_1'!$AC$3,MATCH('Zip Code Lines_1'!C1216,'Zip Code Lines_1'!$Q$4:$Q$26,0),0)</f>
        <v>24</v>
      </c>
      <c r="H1216" s="342">
        <v>12969</v>
      </c>
    </row>
    <row r="1217" spans="2:8" x14ac:dyDescent="0.25">
      <c r="B1217" s="342">
        <v>12970</v>
      </c>
      <c r="C1217" s="343" t="s">
        <v>566</v>
      </c>
      <c r="D1217" s="343" t="str">
        <f ca="1">OFFSET('Zip Code Lines_1'!$U$3,MATCH('Zip Code Lines_1'!C1217,'Zip Code Lines_1'!$Q$4:$Q$26,0),0)</f>
        <v>Saranac Lake</v>
      </c>
      <c r="E1217" s="344">
        <f ca="1">OFFSET('Zip Code Lines_1'!$W$3,MATCH('Zip Code Lines_1'!C1217,'Zip Code Lines_1'!$Q$4:$Q$26,0),0)</f>
        <v>-11.5</v>
      </c>
      <c r="F1217" s="344">
        <f ca="1">OFFSET('Zip Code Lines_1'!$Z$3,MATCH('Zip Code Lines_1'!C1217,'Zip Code Lines_1'!$Q$4:$Q$26,0),0)</f>
        <v>81</v>
      </c>
      <c r="G1217" s="342">
        <f ca="1">OFFSET('Zip Code Lines_1'!$AC$3,MATCH('Zip Code Lines_1'!C1217,'Zip Code Lines_1'!$Q$4:$Q$26,0),0)</f>
        <v>24</v>
      </c>
      <c r="H1217" s="342">
        <v>12970</v>
      </c>
    </row>
    <row r="1218" spans="2:8" x14ac:dyDescent="0.25">
      <c r="B1218" s="342">
        <v>12972</v>
      </c>
      <c r="C1218" s="343" t="s">
        <v>548</v>
      </c>
      <c r="D1218" s="343" t="str">
        <f ca="1">OFFSET('Zip Code Lines_1'!$U$3,MATCH('Zip Code Lines_1'!C1218,'Zip Code Lines_1'!$Q$4:$Q$26,0),0)</f>
        <v>Massena</v>
      </c>
      <c r="E1218" s="344">
        <f ca="1">OFFSET('Zip Code Lines_1'!$W$3,MATCH('Zip Code Lines_1'!C1218,'Zip Code Lines_1'!$Q$4:$Q$26,0),0)</f>
        <v>-7.8</v>
      </c>
      <c r="F1218" s="344">
        <f ca="1">OFFSET('Zip Code Lines_1'!$Z$3,MATCH('Zip Code Lines_1'!C1218,'Zip Code Lines_1'!$Q$4:$Q$26,0),0)</f>
        <v>84.4</v>
      </c>
      <c r="G1218" s="342">
        <f ca="1">OFFSET('Zip Code Lines_1'!$AC$3,MATCH('Zip Code Lines_1'!C1218,'Zip Code Lines_1'!$Q$4:$Q$26,0),0)</f>
        <v>12</v>
      </c>
      <c r="H1218" s="342">
        <v>12972</v>
      </c>
    </row>
    <row r="1219" spans="2:8" x14ac:dyDescent="0.25">
      <c r="B1219" s="342">
        <v>12973</v>
      </c>
      <c r="C1219" s="343" t="s">
        <v>566</v>
      </c>
      <c r="D1219" s="343" t="str">
        <f ca="1">OFFSET('Zip Code Lines_1'!$U$3,MATCH('Zip Code Lines_1'!C1219,'Zip Code Lines_1'!$Q$4:$Q$26,0),0)</f>
        <v>Saranac Lake</v>
      </c>
      <c r="E1219" s="344">
        <f ca="1">OFFSET('Zip Code Lines_1'!$W$3,MATCH('Zip Code Lines_1'!C1219,'Zip Code Lines_1'!$Q$4:$Q$26,0),0)</f>
        <v>-11.5</v>
      </c>
      <c r="F1219" s="344">
        <f ca="1">OFFSET('Zip Code Lines_1'!$Z$3,MATCH('Zip Code Lines_1'!C1219,'Zip Code Lines_1'!$Q$4:$Q$26,0),0)</f>
        <v>81</v>
      </c>
      <c r="G1219" s="342">
        <f ca="1">OFFSET('Zip Code Lines_1'!$AC$3,MATCH('Zip Code Lines_1'!C1219,'Zip Code Lines_1'!$Q$4:$Q$26,0),0)</f>
        <v>24</v>
      </c>
      <c r="H1219" s="342">
        <v>12973</v>
      </c>
    </row>
    <row r="1220" spans="2:8" x14ac:dyDescent="0.25">
      <c r="B1220" s="342">
        <v>12974</v>
      </c>
      <c r="C1220" s="343" t="s">
        <v>548</v>
      </c>
      <c r="D1220" s="343" t="str">
        <f ca="1">OFFSET('Zip Code Lines_1'!$U$3,MATCH('Zip Code Lines_1'!C1220,'Zip Code Lines_1'!$Q$4:$Q$26,0),0)</f>
        <v>Massena</v>
      </c>
      <c r="E1220" s="344">
        <f ca="1">OFFSET('Zip Code Lines_1'!$W$3,MATCH('Zip Code Lines_1'!C1220,'Zip Code Lines_1'!$Q$4:$Q$26,0),0)</f>
        <v>-7.8</v>
      </c>
      <c r="F1220" s="344">
        <f ca="1">OFFSET('Zip Code Lines_1'!$Z$3,MATCH('Zip Code Lines_1'!C1220,'Zip Code Lines_1'!$Q$4:$Q$26,0),0)</f>
        <v>84.4</v>
      </c>
      <c r="G1220" s="342">
        <f ca="1">OFFSET('Zip Code Lines_1'!$AC$3,MATCH('Zip Code Lines_1'!C1220,'Zip Code Lines_1'!$Q$4:$Q$26,0),0)</f>
        <v>12</v>
      </c>
      <c r="H1220" s="342">
        <v>12974</v>
      </c>
    </row>
    <row r="1221" spans="2:8" x14ac:dyDescent="0.25">
      <c r="B1221" s="342">
        <v>12975</v>
      </c>
      <c r="C1221" s="343" t="s">
        <v>548</v>
      </c>
      <c r="D1221" s="343" t="str">
        <f ca="1">OFFSET('Zip Code Lines_1'!$U$3,MATCH('Zip Code Lines_1'!C1221,'Zip Code Lines_1'!$Q$4:$Q$26,0),0)</f>
        <v>Massena</v>
      </c>
      <c r="E1221" s="344">
        <f ca="1">OFFSET('Zip Code Lines_1'!$W$3,MATCH('Zip Code Lines_1'!C1221,'Zip Code Lines_1'!$Q$4:$Q$26,0),0)</f>
        <v>-7.8</v>
      </c>
      <c r="F1221" s="344">
        <f ca="1">OFFSET('Zip Code Lines_1'!$Z$3,MATCH('Zip Code Lines_1'!C1221,'Zip Code Lines_1'!$Q$4:$Q$26,0),0)</f>
        <v>84.4</v>
      </c>
      <c r="G1221" s="342">
        <f ca="1">OFFSET('Zip Code Lines_1'!$AC$3,MATCH('Zip Code Lines_1'!C1221,'Zip Code Lines_1'!$Q$4:$Q$26,0),0)</f>
        <v>12</v>
      </c>
      <c r="H1221" s="342">
        <v>12975</v>
      </c>
    </row>
    <row r="1222" spans="2:8" x14ac:dyDescent="0.25">
      <c r="B1222" s="342">
        <v>12976</v>
      </c>
      <c r="C1222" s="343" t="s">
        <v>566</v>
      </c>
      <c r="D1222" s="343" t="str">
        <f ca="1">OFFSET('Zip Code Lines_1'!$U$3,MATCH('Zip Code Lines_1'!C1222,'Zip Code Lines_1'!$Q$4:$Q$26,0),0)</f>
        <v>Saranac Lake</v>
      </c>
      <c r="E1222" s="344">
        <f ca="1">OFFSET('Zip Code Lines_1'!$W$3,MATCH('Zip Code Lines_1'!C1222,'Zip Code Lines_1'!$Q$4:$Q$26,0),0)</f>
        <v>-11.5</v>
      </c>
      <c r="F1222" s="344">
        <f ca="1">OFFSET('Zip Code Lines_1'!$Z$3,MATCH('Zip Code Lines_1'!C1222,'Zip Code Lines_1'!$Q$4:$Q$26,0),0)</f>
        <v>81</v>
      </c>
      <c r="G1222" s="342">
        <f ca="1">OFFSET('Zip Code Lines_1'!$AC$3,MATCH('Zip Code Lines_1'!C1222,'Zip Code Lines_1'!$Q$4:$Q$26,0),0)</f>
        <v>24</v>
      </c>
      <c r="H1222" s="342">
        <v>12976</v>
      </c>
    </row>
    <row r="1223" spans="2:8" x14ac:dyDescent="0.25">
      <c r="B1223" s="342">
        <v>12977</v>
      </c>
      <c r="C1223" s="343" t="s">
        <v>566</v>
      </c>
      <c r="D1223" s="343" t="str">
        <f ca="1">OFFSET('Zip Code Lines_1'!$U$3,MATCH('Zip Code Lines_1'!C1223,'Zip Code Lines_1'!$Q$4:$Q$26,0),0)</f>
        <v>Saranac Lake</v>
      </c>
      <c r="E1223" s="344">
        <f ca="1">OFFSET('Zip Code Lines_1'!$W$3,MATCH('Zip Code Lines_1'!C1223,'Zip Code Lines_1'!$Q$4:$Q$26,0),0)</f>
        <v>-11.5</v>
      </c>
      <c r="F1223" s="344">
        <f ca="1">OFFSET('Zip Code Lines_1'!$Z$3,MATCH('Zip Code Lines_1'!C1223,'Zip Code Lines_1'!$Q$4:$Q$26,0),0)</f>
        <v>81</v>
      </c>
      <c r="G1223" s="342">
        <f ca="1">OFFSET('Zip Code Lines_1'!$AC$3,MATCH('Zip Code Lines_1'!C1223,'Zip Code Lines_1'!$Q$4:$Q$26,0),0)</f>
        <v>24</v>
      </c>
      <c r="H1223" s="342">
        <v>12977</v>
      </c>
    </row>
    <row r="1224" spans="2:8" x14ac:dyDescent="0.25">
      <c r="B1224" s="342">
        <v>12978</v>
      </c>
      <c r="C1224" s="343" t="s">
        <v>566</v>
      </c>
      <c r="D1224" s="343" t="str">
        <f ca="1">OFFSET('Zip Code Lines_1'!$U$3,MATCH('Zip Code Lines_1'!C1224,'Zip Code Lines_1'!$Q$4:$Q$26,0),0)</f>
        <v>Saranac Lake</v>
      </c>
      <c r="E1224" s="344">
        <f ca="1">OFFSET('Zip Code Lines_1'!$W$3,MATCH('Zip Code Lines_1'!C1224,'Zip Code Lines_1'!$Q$4:$Q$26,0),0)</f>
        <v>-11.5</v>
      </c>
      <c r="F1224" s="344">
        <f ca="1">OFFSET('Zip Code Lines_1'!$Z$3,MATCH('Zip Code Lines_1'!C1224,'Zip Code Lines_1'!$Q$4:$Q$26,0),0)</f>
        <v>81</v>
      </c>
      <c r="G1224" s="342">
        <f ca="1">OFFSET('Zip Code Lines_1'!$AC$3,MATCH('Zip Code Lines_1'!C1224,'Zip Code Lines_1'!$Q$4:$Q$26,0),0)</f>
        <v>24</v>
      </c>
      <c r="H1224" s="342">
        <v>12978</v>
      </c>
    </row>
    <row r="1225" spans="2:8" x14ac:dyDescent="0.25">
      <c r="B1225" s="342">
        <v>12979</v>
      </c>
      <c r="C1225" s="343" t="s">
        <v>548</v>
      </c>
      <c r="D1225" s="343" t="str">
        <f ca="1">OFFSET('Zip Code Lines_1'!$U$3,MATCH('Zip Code Lines_1'!C1225,'Zip Code Lines_1'!$Q$4:$Q$26,0),0)</f>
        <v>Massena</v>
      </c>
      <c r="E1225" s="344">
        <f ca="1">OFFSET('Zip Code Lines_1'!$W$3,MATCH('Zip Code Lines_1'!C1225,'Zip Code Lines_1'!$Q$4:$Q$26,0),0)</f>
        <v>-7.8</v>
      </c>
      <c r="F1225" s="344">
        <f ca="1">OFFSET('Zip Code Lines_1'!$Z$3,MATCH('Zip Code Lines_1'!C1225,'Zip Code Lines_1'!$Q$4:$Q$26,0),0)</f>
        <v>84.4</v>
      </c>
      <c r="G1225" s="342">
        <f ca="1">OFFSET('Zip Code Lines_1'!$AC$3,MATCH('Zip Code Lines_1'!C1225,'Zip Code Lines_1'!$Q$4:$Q$26,0),0)</f>
        <v>12</v>
      </c>
      <c r="H1225" s="342">
        <v>12979</v>
      </c>
    </row>
    <row r="1226" spans="2:8" x14ac:dyDescent="0.25">
      <c r="B1226" s="342">
        <v>12980</v>
      </c>
      <c r="C1226" s="343" t="s">
        <v>566</v>
      </c>
      <c r="D1226" s="343" t="str">
        <f ca="1">OFFSET('Zip Code Lines_1'!$U$3,MATCH('Zip Code Lines_1'!C1226,'Zip Code Lines_1'!$Q$4:$Q$26,0),0)</f>
        <v>Saranac Lake</v>
      </c>
      <c r="E1226" s="344">
        <f ca="1">OFFSET('Zip Code Lines_1'!$W$3,MATCH('Zip Code Lines_1'!C1226,'Zip Code Lines_1'!$Q$4:$Q$26,0),0)</f>
        <v>-11.5</v>
      </c>
      <c r="F1226" s="344">
        <f ca="1">OFFSET('Zip Code Lines_1'!$Z$3,MATCH('Zip Code Lines_1'!C1226,'Zip Code Lines_1'!$Q$4:$Q$26,0),0)</f>
        <v>81</v>
      </c>
      <c r="G1226" s="342">
        <f ca="1">OFFSET('Zip Code Lines_1'!$AC$3,MATCH('Zip Code Lines_1'!C1226,'Zip Code Lines_1'!$Q$4:$Q$26,0),0)</f>
        <v>24</v>
      </c>
      <c r="H1226" s="342">
        <v>12980</v>
      </c>
    </row>
    <row r="1227" spans="2:8" x14ac:dyDescent="0.25">
      <c r="B1227" s="342">
        <v>12981</v>
      </c>
      <c r="C1227" s="343" t="s">
        <v>566</v>
      </c>
      <c r="D1227" s="343" t="str">
        <f ca="1">OFFSET('Zip Code Lines_1'!$U$3,MATCH('Zip Code Lines_1'!C1227,'Zip Code Lines_1'!$Q$4:$Q$26,0),0)</f>
        <v>Saranac Lake</v>
      </c>
      <c r="E1227" s="344">
        <f ca="1">OFFSET('Zip Code Lines_1'!$W$3,MATCH('Zip Code Lines_1'!C1227,'Zip Code Lines_1'!$Q$4:$Q$26,0),0)</f>
        <v>-11.5</v>
      </c>
      <c r="F1227" s="344">
        <f ca="1">OFFSET('Zip Code Lines_1'!$Z$3,MATCH('Zip Code Lines_1'!C1227,'Zip Code Lines_1'!$Q$4:$Q$26,0),0)</f>
        <v>81</v>
      </c>
      <c r="G1227" s="342">
        <f ca="1">OFFSET('Zip Code Lines_1'!$AC$3,MATCH('Zip Code Lines_1'!C1227,'Zip Code Lines_1'!$Q$4:$Q$26,0),0)</f>
        <v>24</v>
      </c>
      <c r="H1227" s="342">
        <v>12981</v>
      </c>
    </row>
    <row r="1228" spans="2:8" x14ac:dyDescent="0.25">
      <c r="B1228" s="342">
        <v>12983</v>
      </c>
      <c r="C1228" s="343" t="s">
        <v>566</v>
      </c>
      <c r="D1228" s="343" t="str">
        <f ca="1">OFFSET('Zip Code Lines_1'!$U$3,MATCH('Zip Code Lines_1'!C1228,'Zip Code Lines_1'!$Q$4:$Q$26,0),0)</f>
        <v>Saranac Lake</v>
      </c>
      <c r="E1228" s="344">
        <f ca="1">OFFSET('Zip Code Lines_1'!$W$3,MATCH('Zip Code Lines_1'!C1228,'Zip Code Lines_1'!$Q$4:$Q$26,0),0)</f>
        <v>-11.5</v>
      </c>
      <c r="F1228" s="344">
        <f ca="1">OFFSET('Zip Code Lines_1'!$Z$3,MATCH('Zip Code Lines_1'!C1228,'Zip Code Lines_1'!$Q$4:$Q$26,0),0)</f>
        <v>81</v>
      </c>
      <c r="G1228" s="342">
        <f ca="1">OFFSET('Zip Code Lines_1'!$AC$3,MATCH('Zip Code Lines_1'!C1228,'Zip Code Lines_1'!$Q$4:$Q$26,0),0)</f>
        <v>24</v>
      </c>
      <c r="H1228" s="342">
        <v>12983</v>
      </c>
    </row>
    <row r="1229" spans="2:8" x14ac:dyDescent="0.25">
      <c r="B1229" s="342">
        <v>12985</v>
      </c>
      <c r="C1229" s="343" t="s">
        <v>566</v>
      </c>
      <c r="D1229" s="343" t="str">
        <f ca="1">OFFSET('Zip Code Lines_1'!$U$3,MATCH('Zip Code Lines_1'!C1229,'Zip Code Lines_1'!$Q$4:$Q$26,0),0)</f>
        <v>Saranac Lake</v>
      </c>
      <c r="E1229" s="344">
        <f ca="1">OFFSET('Zip Code Lines_1'!$W$3,MATCH('Zip Code Lines_1'!C1229,'Zip Code Lines_1'!$Q$4:$Q$26,0),0)</f>
        <v>-11.5</v>
      </c>
      <c r="F1229" s="344">
        <f ca="1">OFFSET('Zip Code Lines_1'!$Z$3,MATCH('Zip Code Lines_1'!C1229,'Zip Code Lines_1'!$Q$4:$Q$26,0),0)</f>
        <v>81</v>
      </c>
      <c r="G1229" s="342">
        <f ca="1">OFFSET('Zip Code Lines_1'!$AC$3,MATCH('Zip Code Lines_1'!C1229,'Zip Code Lines_1'!$Q$4:$Q$26,0),0)</f>
        <v>24</v>
      </c>
      <c r="H1229" s="342">
        <v>12985</v>
      </c>
    </row>
    <row r="1230" spans="2:8" x14ac:dyDescent="0.25">
      <c r="B1230" s="342">
        <v>12986</v>
      </c>
      <c r="C1230" s="343" t="s">
        <v>566</v>
      </c>
      <c r="D1230" s="343" t="str">
        <f ca="1">OFFSET('Zip Code Lines_1'!$U$3,MATCH('Zip Code Lines_1'!C1230,'Zip Code Lines_1'!$Q$4:$Q$26,0),0)</f>
        <v>Saranac Lake</v>
      </c>
      <c r="E1230" s="344">
        <f ca="1">OFFSET('Zip Code Lines_1'!$W$3,MATCH('Zip Code Lines_1'!C1230,'Zip Code Lines_1'!$Q$4:$Q$26,0),0)</f>
        <v>-11.5</v>
      </c>
      <c r="F1230" s="344">
        <f ca="1">OFFSET('Zip Code Lines_1'!$Z$3,MATCH('Zip Code Lines_1'!C1230,'Zip Code Lines_1'!$Q$4:$Q$26,0),0)</f>
        <v>81</v>
      </c>
      <c r="G1230" s="342">
        <f ca="1">OFFSET('Zip Code Lines_1'!$AC$3,MATCH('Zip Code Lines_1'!C1230,'Zip Code Lines_1'!$Q$4:$Q$26,0),0)</f>
        <v>24</v>
      </c>
      <c r="H1230" s="342">
        <v>12986</v>
      </c>
    </row>
    <row r="1231" spans="2:8" x14ac:dyDescent="0.25">
      <c r="B1231" s="342">
        <v>12987</v>
      </c>
      <c r="C1231" s="343" t="s">
        <v>566</v>
      </c>
      <c r="D1231" s="343" t="str">
        <f ca="1">OFFSET('Zip Code Lines_1'!$U$3,MATCH('Zip Code Lines_1'!C1231,'Zip Code Lines_1'!$Q$4:$Q$26,0),0)</f>
        <v>Saranac Lake</v>
      </c>
      <c r="E1231" s="344">
        <f ca="1">OFFSET('Zip Code Lines_1'!$W$3,MATCH('Zip Code Lines_1'!C1231,'Zip Code Lines_1'!$Q$4:$Q$26,0),0)</f>
        <v>-11.5</v>
      </c>
      <c r="F1231" s="344">
        <f ca="1">OFFSET('Zip Code Lines_1'!$Z$3,MATCH('Zip Code Lines_1'!C1231,'Zip Code Lines_1'!$Q$4:$Q$26,0),0)</f>
        <v>81</v>
      </c>
      <c r="G1231" s="342">
        <f ca="1">OFFSET('Zip Code Lines_1'!$AC$3,MATCH('Zip Code Lines_1'!C1231,'Zip Code Lines_1'!$Q$4:$Q$26,0),0)</f>
        <v>24</v>
      </c>
      <c r="H1231" s="342">
        <v>12987</v>
      </c>
    </row>
    <row r="1232" spans="2:8" x14ac:dyDescent="0.25">
      <c r="B1232" s="342">
        <v>12989</v>
      </c>
      <c r="C1232" s="343" t="s">
        <v>566</v>
      </c>
      <c r="D1232" s="343" t="str">
        <f ca="1">OFFSET('Zip Code Lines_1'!$U$3,MATCH('Zip Code Lines_1'!C1232,'Zip Code Lines_1'!$Q$4:$Q$26,0),0)</f>
        <v>Saranac Lake</v>
      </c>
      <c r="E1232" s="344">
        <f ca="1">OFFSET('Zip Code Lines_1'!$W$3,MATCH('Zip Code Lines_1'!C1232,'Zip Code Lines_1'!$Q$4:$Q$26,0),0)</f>
        <v>-11.5</v>
      </c>
      <c r="F1232" s="344">
        <f ca="1">OFFSET('Zip Code Lines_1'!$Z$3,MATCH('Zip Code Lines_1'!C1232,'Zip Code Lines_1'!$Q$4:$Q$26,0),0)</f>
        <v>81</v>
      </c>
      <c r="G1232" s="342">
        <f ca="1">OFFSET('Zip Code Lines_1'!$AC$3,MATCH('Zip Code Lines_1'!C1232,'Zip Code Lines_1'!$Q$4:$Q$26,0),0)</f>
        <v>24</v>
      </c>
      <c r="H1232" s="342">
        <v>12989</v>
      </c>
    </row>
    <row r="1233" spans="2:8" x14ac:dyDescent="0.25">
      <c r="B1233" s="342">
        <v>12992</v>
      </c>
      <c r="C1233" s="343" t="s">
        <v>548</v>
      </c>
      <c r="D1233" s="343" t="str">
        <f ca="1">OFFSET('Zip Code Lines_1'!$U$3,MATCH('Zip Code Lines_1'!C1233,'Zip Code Lines_1'!$Q$4:$Q$26,0),0)</f>
        <v>Massena</v>
      </c>
      <c r="E1233" s="344">
        <f ca="1">OFFSET('Zip Code Lines_1'!$W$3,MATCH('Zip Code Lines_1'!C1233,'Zip Code Lines_1'!$Q$4:$Q$26,0),0)</f>
        <v>-7.8</v>
      </c>
      <c r="F1233" s="344">
        <f ca="1">OFFSET('Zip Code Lines_1'!$Z$3,MATCH('Zip Code Lines_1'!C1233,'Zip Code Lines_1'!$Q$4:$Q$26,0),0)</f>
        <v>84.4</v>
      </c>
      <c r="G1233" s="342">
        <f ca="1">OFFSET('Zip Code Lines_1'!$AC$3,MATCH('Zip Code Lines_1'!C1233,'Zip Code Lines_1'!$Q$4:$Q$26,0),0)</f>
        <v>12</v>
      </c>
      <c r="H1233" s="342">
        <v>12992</v>
      </c>
    </row>
    <row r="1234" spans="2:8" x14ac:dyDescent="0.25">
      <c r="B1234" s="342">
        <v>12993</v>
      </c>
      <c r="C1234" s="343" t="s">
        <v>548</v>
      </c>
      <c r="D1234" s="343" t="str">
        <f ca="1">OFFSET('Zip Code Lines_1'!$U$3,MATCH('Zip Code Lines_1'!C1234,'Zip Code Lines_1'!$Q$4:$Q$26,0),0)</f>
        <v>Massena</v>
      </c>
      <c r="E1234" s="344">
        <f ca="1">OFFSET('Zip Code Lines_1'!$W$3,MATCH('Zip Code Lines_1'!C1234,'Zip Code Lines_1'!$Q$4:$Q$26,0),0)</f>
        <v>-7.8</v>
      </c>
      <c r="F1234" s="344">
        <f ca="1">OFFSET('Zip Code Lines_1'!$Z$3,MATCH('Zip Code Lines_1'!C1234,'Zip Code Lines_1'!$Q$4:$Q$26,0),0)</f>
        <v>84.4</v>
      </c>
      <c r="G1234" s="342">
        <f ca="1">OFFSET('Zip Code Lines_1'!$AC$3,MATCH('Zip Code Lines_1'!C1234,'Zip Code Lines_1'!$Q$4:$Q$26,0),0)</f>
        <v>12</v>
      </c>
      <c r="H1234" s="342">
        <v>12993</v>
      </c>
    </row>
    <row r="1235" spans="2:8" x14ac:dyDescent="0.25">
      <c r="B1235" s="342">
        <v>12995</v>
      </c>
      <c r="C1235" s="343" t="s">
        <v>566</v>
      </c>
      <c r="D1235" s="343" t="str">
        <f ca="1">OFFSET('Zip Code Lines_1'!$U$3,MATCH('Zip Code Lines_1'!C1235,'Zip Code Lines_1'!$Q$4:$Q$26,0),0)</f>
        <v>Saranac Lake</v>
      </c>
      <c r="E1235" s="344">
        <f ca="1">OFFSET('Zip Code Lines_1'!$W$3,MATCH('Zip Code Lines_1'!C1235,'Zip Code Lines_1'!$Q$4:$Q$26,0),0)</f>
        <v>-11.5</v>
      </c>
      <c r="F1235" s="344">
        <f ca="1">OFFSET('Zip Code Lines_1'!$Z$3,MATCH('Zip Code Lines_1'!C1235,'Zip Code Lines_1'!$Q$4:$Q$26,0),0)</f>
        <v>81</v>
      </c>
      <c r="G1235" s="342">
        <f ca="1">OFFSET('Zip Code Lines_1'!$AC$3,MATCH('Zip Code Lines_1'!C1235,'Zip Code Lines_1'!$Q$4:$Q$26,0),0)</f>
        <v>24</v>
      </c>
      <c r="H1235" s="342">
        <v>12995</v>
      </c>
    </row>
    <row r="1236" spans="2:8" x14ac:dyDescent="0.25">
      <c r="B1236" s="342">
        <v>12996</v>
      </c>
      <c r="C1236" s="343" t="s">
        <v>548</v>
      </c>
      <c r="D1236" s="343" t="str">
        <f ca="1">OFFSET('Zip Code Lines_1'!$U$3,MATCH('Zip Code Lines_1'!C1236,'Zip Code Lines_1'!$Q$4:$Q$26,0),0)</f>
        <v>Massena</v>
      </c>
      <c r="E1236" s="344">
        <f ca="1">OFFSET('Zip Code Lines_1'!$W$3,MATCH('Zip Code Lines_1'!C1236,'Zip Code Lines_1'!$Q$4:$Q$26,0),0)</f>
        <v>-7.8</v>
      </c>
      <c r="F1236" s="344">
        <f ca="1">OFFSET('Zip Code Lines_1'!$Z$3,MATCH('Zip Code Lines_1'!C1236,'Zip Code Lines_1'!$Q$4:$Q$26,0),0)</f>
        <v>84.4</v>
      </c>
      <c r="G1236" s="342">
        <f ca="1">OFFSET('Zip Code Lines_1'!$AC$3,MATCH('Zip Code Lines_1'!C1236,'Zip Code Lines_1'!$Q$4:$Q$26,0),0)</f>
        <v>12</v>
      </c>
      <c r="H1236" s="342">
        <v>12996</v>
      </c>
    </row>
    <row r="1237" spans="2:8" x14ac:dyDescent="0.25">
      <c r="B1237" s="342">
        <v>12997</v>
      </c>
      <c r="C1237" s="343" t="s">
        <v>566</v>
      </c>
      <c r="D1237" s="343" t="str">
        <f ca="1">OFFSET('Zip Code Lines_1'!$U$3,MATCH('Zip Code Lines_1'!C1237,'Zip Code Lines_1'!$Q$4:$Q$26,0),0)</f>
        <v>Saranac Lake</v>
      </c>
      <c r="E1237" s="344">
        <f ca="1">OFFSET('Zip Code Lines_1'!$W$3,MATCH('Zip Code Lines_1'!C1237,'Zip Code Lines_1'!$Q$4:$Q$26,0),0)</f>
        <v>-11.5</v>
      </c>
      <c r="F1237" s="344">
        <f ca="1">OFFSET('Zip Code Lines_1'!$Z$3,MATCH('Zip Code Lines_1'!C1237,'Zip Code Lines_1'!$Q$4:$Q$26,0),0)</f>
        <v>81</v>
      </c>
      <c r="G1237" s="342">
        <f ca="1">OFFSET('Zip Code Lines_1'!$AC$3,MATCH('Zip Code Lines_1'!C1237,'Zip Code Lines_1'!$Q$4:$Q$26,0),0)</f>
        <v>24</v>
      </c>
      <c r="H1237" s="342">
        <v>12997</v>
      </c>
    </row>
    <row r="1238" spans="2:8" x14ac:dyDescent="0.25">
      <c r="B1238" s="342">
        <v>12998</v>
      </c>
      <c r="C1238" s="343" t="s">
        <v>566</v>
      </c>
      <c r="D1238" s="343" t="str">
        <f ca="1">OFFSET('Zip Code Lines_1'!$U$3,MATCH('Zip Code Lines_1'!C1238,'Zip Code Lines_1'!$Q$4:$Q$26,0),0)</f>
        <v>Saranac Lake</v>
      </c>
      <c r="E1238" s="344">
        <f ca="1">OFFSET('Zip Code Lines_1'!$W$3,MATCH('Zip Code Lines_1'!C1238,'Zip Code Lines_1'!$Q$4:$Q$26,0),0)</f>
        <v>-11.5</v>
      </c>
      <c r="F1238" s="344">
        <f ca="1">OFFSET('Zip Code Lines_1'!$Z$3,MATCH('Zip Code Lines_1'!C1238,'Zip Code Lines_1'!$Q$4:$Q$26,0),0)</f>
        <v>81</v>
      </c>
      <c r="G1238" s="342">
        <f ca="1">OFFSET('Zip Code Lines_1'!$AC$3,MATCH('Zip Code Lines_1'!C1238,'Zip Code Lines_1'!$Q$4:$Q$26,0),0)</f>
        <v>24</v>
      </c>
      <c r="H1238" s="342">
        <v>12998</v>
      </c>
    </row>
    <row r="1239" spans="2:8" x14ac:dyDescent="0.25">
      <c r="B1239" s="342">
        <v>13020</v>
      </c>
      <c r="C1239" s="343" t="s">
        <v>569</v>
      </c>
      <c r="D1239" s="343" t="str">
        <f ca="1">OFFSET('Zip Code Lines_1'!$U$3,MATCH('Zip Code Lines_1'!C1239,'Zip Code Lines_1'!$Q$4:$Q$26,0),0)</f>
        <v>Utica</v>
      </c>
      <c r="E1239" s="344">
        <f ca="1">OFFSET('Zip Code Lines_1'!$W$3,MATCH('Zip Code Lines_1'!C1239,'Zip Code Lines_1'!$Q$4:$Q$26,0),0)</f>
        <v>1.2</v>
      </c>
      <c r="F1239" s="344">
        <f ca="1">OFFSET('Zip Code Lines_1'!$Z$3,MATCH('Zip Code Lines_1'!C1239,'Zip Code Lines_1'!$Q$4:$Q$26,0),0)</f>
        <v>84.2</v>
      </c>
      <c r="G1239" s="342">
        <f ca="1">OFFSET('Zip Code Lines_1'!$AC$3,MATCH('Zip Code Lines_1'!C1239,'Zip Code Lines_1'!$Q$4:$Q$26,0),0)</f>
        <v>18</v>
      </c>
      <c r="H1239" s="342">
        <v>13020</v>
      </c>
    </row>
    <row r="1240" spans="2:8" x14ac:dyDescent="0.25">
      <c r="B1240" s="342">
        <v>13021</v>
      </c>
      <c r="C1240" s="343" t="s">
        <v>568</v>
      </c>
      <c r="D1240" s="343" t="str">
        <f ca="1">OFFSET('Zip Code Lines_1'!$U$3,MATCH('Zip Code Lines_1'!C1240,'Zip Code Lines_1'!$Q$4:$Q$26,0),0)</f>
        <v>Syracuse</v>
      </c>
      <c r="E1240" s="344">
        <f ca="1">OFFSET('Zip Code Lines_1'!$W$3,MATCH('Zip Code Lines_1'!C1240,'Zip Code Lines_1'!$Q$4:$Q$26,0),0)</f>
        <v>4.9000000000000004</v>
      </c>
      <c r="F1240" s="344">
        <f ca="1">OFFSET('Zip Code Lines_1'!$Z$3,MATCH('Zip Code Lines_1'!C1240,'Zip Code Lines_1'!$Q$4:$Q$26,0),0)</f>
        <v>86.4</v>
      </c>
      <c r="G1240" s="342">
        <f ca="1">OFFSET('Zip Code Lines_1'!$AC$3,MATCH('Zip Code Lines_1'!C1240,'Zip Code Lines_1'!$Q$4:$Q$26,0),0)</f>
        <v>12</v>
      </c>
      <c r="H1240" s="342">
        <v>13021</v>
      </c>
    </row>
    <row r="1241" spans="2:8" x14ac:dyDescent="0.25">
      <c r="B1241" s="342">
        <v>13022</v>
      </c>
      <c r="C1241" s="343" t="s">
        <v>568</v>
      </c>
      <c r="D1241" s="343" t="str">
        <f ca="1">OFFSET('Zip Code Lines_1'!$U$3,MATCH('Zip Code Lines_1'!C1241,'Zip Code Lines_1'!$Q$4:$Q$26,0),0)</f>
        <v>Syracuse</v>
      </c>
      <c r="E1241" s="344">
        <f ca="1">OFFSET('Zip Code Lines_1'!$W$3,MATCH('Zip Code Lines_1'!C1241,'Zip Code Lines_1'!$Q$4:$Q$26,0),0)</f>
        <v>4.9000000000000004</v>
      </c>
      <c r="F1241" s="344">
        <f ca="1">OFFSET('Zip Code Lines_1'!$Z$3,MATCH('Zip Code Lines_1'!C1241,'Zip Code Lines_1'!$Q$4:$Q$26,0),0)</f>
        <v>86.4</v>
      </c>
      <c r="G1241" s="342">
        <f ca="1">OFFSET('Zip Code Lines_1'!$AC$3,MATCH('Zip Code Lines_1'!C1241,'Zip Code Lines_1'!$Q$4:$Q$26,0),0)</f>
        <v>12</v>
      </c>
      <c r="H1241" s="342">
        <v>13022</v>
      </c>
    </row>
    <row r="1242" spans="2:8" x14ac:dyDescent="0.25">
      <c r="B1242" s="342">
        <v>13024</v>
      </c>
      <c r="C1242" s="343" t="s">
        <v>532</v>
      </c>
      <c r="D1242" s="343" t="str">
        <f ca="1">OFFSET('Zip Code Lines_1'!$U$3,MATCH('Zip Code Lines_1'!C1242,'Zip Code Lines_1'!$Q$4:$Q$26,0),0)</f>
        <v>Binghamton</v>
      </c>
      <c r="E1242" s="344">
        <f ca="1">OFFSET('Zip Code Lines_1'!$W$3,MATCH('Zip Code Lines_1'!C1242,'Zip Code Lines_1'!$Q$4:$Q$26,0),0)</f>
        <v>4.5</v>
      </c>
      <c r="F1242" s="344">
        <f ca="1">OFFSET('Zip Code Lines_1'!$Z$3,MATCH('Zip Code Lines_1'!C1242,'Zip Code Lines_1'!$Q$4:$Q$26,0),0)</f>
        <v>82.3</v>
      </c>
      <c r="G1242" s="342">
        <f ca="1">OFFSET('Zip Code Lines_1'!$AC$3,MATCH('Zip Code Lines_1'!C1242,'Zip Code Lines_1'!$Q$4:$Q$26,0),0)</f>
        <v>12</v>
      </c>
      <c r="H1242" s="342">
        <v>13024</v>
      </c>
    </row>
    <row r="1243" spans="2:8" x14ac:dyDescent="0.25">
      <c r="B1243" s="342">
        <v>13026</v>
      </c>
      <c r="C1243" s="343" t="s">
        <v>532</v>
      </c>
      <c r="D1243" s="343" t="str">
        <f ca="1">OFFSET('Zip Code Lines_1'!$U$3,MATCH('Zip Code Lines_1'!C1243,'Zip Code Lines_1'!$Q$4:$Q$26,0),0)</f>
        <v>Binghamton</v>
      </c>
      <c r="E1243" s="344">
        <f ca="1">OFFSET('Zip Code Lines_1'!$W$3,MATCH('Zip Code Lines_1'!C1243,'Zip Code Lines_1'!$Q$4:$Q$26,0),0)</f>
        <v>4.5</v>
      </c>
      <c r="F1243" s="344">
        <f ca="1">OFFSET('Zip Code Lines_1'!$Z$3,MATCH('Zip Code Lines_1'!C1243,'Zip Code Lines_1'!$Q$4:$Q$26,0),0)</f>
        <v>82.3</v>
      </c>
      <c r="G1243" s="342">
        <f ca="1">OFFSET('Zip Code Lines_1'!$AC$3,MATCH('Zip Code Lines_1'!C1243,'Zip Code Lines_1'!$Q$4:$Q$26,0),0)</f>
        <v>12</v>
      </c>
      <c r="H1243" s="342">
        <v>13026</v>
      </c>
    </row>
    <row r="1244" spans="2:8" x14ac:dyDescent="0.25">
      <c r="B1244" s="342">
        <v>13027</v>
      </c>
      <c r="C1244" s="343" t="s">
        <v>568</v>
      </c>
      <c r="D1244" s="343" t="str">
        <f ca="1">OFFSET('Zip Code Lines_1'!$U$3,MATCH('Zip Code Lines_1'!C1244,'Zip Code Lines_1'!$Q$4:$Q$26,0),0)</f>
        <v>Syracuse</v>
      </c>
      <c r="E1244" s="344">
        <f ca="1">OFFSET('Zip Code Lines_1'!$W$3,MATCH('Zip Code Lines_1'!C1244,'Zip Code Lines_1'!$Q$4:$Q$26,0),0)</f>
        <v>4.9000000000000004</v>
      </c>
      <c r="F1244" s="344">
        <f ca="1">OFFSET('Zip Code Lines_1'!$Z$3,MATCH('Zip Code Lines_1'!C1244,'Zip Code Lines_1'!$Q$4:$Q$26,0),0)</f>
        <v>86.4</v>
      </c>
      <c r="G1244" s="342">
        <f ca="1">OFFSET('Zip Code Lines_1'!$AC$3,MATCH('Zip Code Lines_1'!C1244,'Zip Code Lines_1'!$Q$4:$Q$26,0),0)</f>
        <v>12</v>
      </c>
      <c r="H1244" s="342">
        <v>13027</v>
      </c>
    </row>
    <row r="1245" spans="2:8" x14ac:dyDescent="0.25">
      <c r="B1245" s="342">
        <v>13028</v>
      </c>
      <c r="C1245" s="343" t="s">
        <v>569</v>
      </c>
      <c r="D1245" s="343" t="str">
        <f ca="1">OFFSET('Zip Code Lines_1'!$U$3,MATCH('Zip Code Lines_1'!C1245,'Zip Code Lines_1'!$Q$4:$Q$26,0),0)</f>
        <v>Utica</v>
      </c>
      <c r="E1245" s="344">
        <f ca="1">OFFSET('Zip Code Lines_1'!$W$3,MATCH('Zip Code Lines_1'!C1245,'Zip Code Lines_1'!$Q$4:$Q$26,0),0)</f>
        <v>1.2</v>
      </c>
      <c r="F1245" s="344">
        <f ca="1">OFFSET('Zip Code Lines_1'!$Z$3,MATCH('Zip Code Lines_1'!C1245,'Zip Code Lines_1'!$Q$4:$Q$26,0),0)</f>
        <v>84.2</v>
      </c>
      <c r="G1245" s="342">
        <f ca="1">OFFSET('Zip Code Lines_1'!$AC$3,MATCH('Zip Code Lines_1'!C1245,'Zip Code Lines_1'!$Q$4:$Q$26,0),0)</f>
        <v>18</v>
      </c>
      <c r="H1245" s="342">
        <v>13028</v>
      </c>
    </row>
    <row r="1246" spans="2:8" x14ac:dyDescent="0.25">
      <c r="B1246" s="342">
        <v>13029</v>
      </c>
      <c r="C1246" s="343" t="s">
        <v>568</v>
      </c>
      <c r="D1246" s="343" t="str">
        <f ca="1">OFFSET('Zip Code Lines_1'!$U$3,MATCH('Zip Code Lines_1'!C1246,'Zip Code Lines_1'!$Q$4:$Q$26,0),0)</f>
        <v>Syracuse</v>
      </c>
      <c r="E1246" s="344">
        <f ca="1">OFFSET('Zip Code Lines_1'!$W$3,MATCH('Zip Code Lines_1'!C1246,'Zip Code Lines_1'!$Q$4:$Q$26,0),0)</f>
        <v>4.9000000000000004</v>
      </c>
      <c r="F1246" s="344">
        <f ca="1">OFFSET('Zip Code Lines_1'!$Z$3,MATCH('Zip Code Lines_1'!C1246,'Zip Code Lines_1'!$Q$4:$Q$26,0),0)</f>
        <v>86.4</v>
      </c>
      <c r="G1246" s="342">
        <f ca="1">OFFSET('Zip Code Lines_1'!$AC$3,MATCH('Zip Code Lines_1'!C1246,'Zip Code Lines_1'!$Q$4:$Q$26,0),0)</f>
        <v>12</v>
      </c>
      <c r="H1246" s="342">
        <v>13029</v>
      </c>
    </row>
    <row r="1247" spans="2:8" x14ac:dyDescent="0.25">
      <c r="B1247" s="342">
        <v>13030</v>
      </c>
      <c r="C1247" s="343" t="s">
        <v>568</v>
      </c>
      <c r="D1247" s="343" t="str">
        <f ca="1">OFFSET('Zip Code Lines_1'!$U$3,MATCH('Zip Code Lines_1'!C1247,'Zip Code Lines_1'!$Q$4:$Q$26,0),0)</f>
        <v>Syracuse</v>
      </c>
      <c r="E1247" s="344">
        <f ca="1">OFFSET('Zip Code Lines_1'!$W$3,MATCH('Zip Code Lines_1'!C1247,'Zip Code Lines_1'!$Q$4:$Q$26,0),0)</f>
        <v>4.9000000000000004</v>
      </c>
      <c r="F1247" s="344">
        <f ca="1">OFFSET('Zip Code Lines_1'!$Z$3,MATCH('Zip Code Lines_1'!C1247,'Zip Code Lines_1'!$Q$4:$Q$26,0),0)</f>
        <v>86.4</v>
      </c>
      <c r="G1247" s="342">
        <f ca="1">OFFSET('Zip Code Lines_1'!$AC$3,MATCH('Zip Code Lines_1'!C1247,'Zip Code Lines_1'!$Q$4:$Q$26,0),0)</f>
        <v>12</v>
      </c>
      <c r="H1247" s="342">
        <v>13030</v>
      </c>
    </row>
    <row r="1248" spans="2:8" x14ac:dyDescent="0.25">
      <c r="B1248" s="342">
        <v>13031</v>
      </c>
      <c r="C1248" s="343" t="s">
        <v>568</v>
      </c>
      <c r="D1248" s="343" t="str">
        <f ca="1">OFFSET('Zip Code Lines_1'!$U$3,MATCH('Zip Code Lines_1'!C1248,'Zip Code Lines_1'!$Q$4:$Q$26,0),0)</f>
        <v>Syracuse</v>
      </c>
      <c r="E1248" s="344">
        <f ca="1">OFFSET('Zip Code Lines_1'!$W$3,MATCH('Zip Code Lines_1'!C1248,'Zip Code Lines_1'!$Q$4:$Q$26,0),0)</f>
        <v>4.9000000000000004</v>
      </c>
      <c r="F1248" s="344">
        <f ca="1">OFFSET('Zip Code Lines_1'!$Z$3,MATCH('Zip Code Lines_1'!C1248,'Zip Code Lines_1'!$Q$4:$Q$26,0),0)</f>
        <v>86.4</v>
      </c>
      <c r="G1248" s="342">
        <f ca="1">OFFSET('Zip Code Lines_1'!$AC$3,MATCH('Zip Code Lines_1'!C1248,'Zip Code Lines_1'!$Q$4:$Q$26,0),0)</f>
        <v>12</v>
      </c>
      <c r="H1248" s="342">
        <v>13031</v>
      </c>
    </row>
    <row r="1249" spans="2:8" x14ac:dyDescent="0.25">
      <c r="B1249" s="342">
        <v>13032</v>
      </c>
      <c r="C1249" s="343" t="s">
        <v>569</v>
      </c>
      <c r="D1249" s="343" t="str">
        <f ca="1">OFFSET('Zip Code Lines_1'!$U$3,MATCH('Zip Code Lines_1'!C1249,'Zip Code Lines_1'!$Q$4:$Q$26,0),0)</f>
        <v>Utica</v>
      </c>
      <c r="E1249" s="344">
        <f ca="1">OFFSET('Zip Code Lines_1'!$W$3,MATCH('Zip Code Lines_1'!C1249,'Zip Code Lines_1'!$Q$4:$Q$26,0),0)</f>
        <v>1.2</v>
      </c>
      <c r="F1249" s="344">
        <f ca="1">OFFSET('Zip Code Lines_1'!$Z$3,MATCH('Zip Code Lines_1'!C1249,'Zip Code Lines_1'!$Q$4:$Q$26,0),0)</f>
        <v>84.2</v>
      </c>
      <c r="G1249" s="342">
        <f ca="1">OFFSET('Zip Code Lines_1'!$AC$3,MATCH('Zip Code Lines_1'!C1249,'Zip Code Lines_1'!$Q$4:$Q$26,0),0)</f>
        <v>18</v>
      </c>
      <c r="H1249" s="342">
        <v>13032</v>
      </c>
    </row>
    <row r="1250" spans="2:8" x14ac:dyDescent="0.25">
      <c r="B1250" s="342">
        <v>13033</v>
      </c>
      <c r="C1250" s="343" t="s">
        <v>568</v>
      </c>
      <c r="D1250" s="343" t="str">
        <f ca="1">OFFSET('Zip Code Lines_1'!$U$3,MATCH('Zip Code Lines_1'!C1250,'Zip Code Lines_1'!$Q$4:$Q$26,0),0)</f>
        <v>Syracuse</v>
      </c>
      <c r="E1250" s="344">
        <f ca="1">OFFSET('Zip Code Lines_1'!$W$3,MATCH('Zip Code Lines_1'!C1250,'Zip Code Lines_1'!$Q$4:$Q$26,0),0)</f>
        <v>4.9000000000000004</v>
      </c>
      <c r="F1250" s="344">
        <f ca="1">OFFSET('Zip Code Lines_1'!$Z$3,MATCH('Zip Code Lines_1'!C1250,'Zip Code Lines_1'!$Q$4:$Q$26,0),0)</f>
        <v>86.4</v>
      </c>
      <c r="G1250" s="342">
        <f ca="1">OFFSET('Zip Code Lines_1'!$AC$3,MATCH('Zip Code Lines_1'!C1250,'Zip Code Lines_1'!$Q$4:$Q$26,0),0)</f>
        <v>12</v>
      </c>
      <c r="H1250" s="342">
        <v>13033</v>
      </c>
    </row>
    <row r="1251" spans="2:8" x14ac:dyDescent="0.25">
      <c r="B1251" s="342">
        <v>13034</v>
      </c>
      <c r="C1251" s="343" t="s">
        <v>568</v>
      </c>
      <c r="D1251" s="343" t="str">
        <f ca="1">OFFSET('Zip Code Lines_1'!$U$3,MATCH('Zip Code Lines_1'!C1251,'Zip Code Lines_1'!$Q$4:$Q$26,0),0)</f>
        <v>Syracuse</v>
      </c>
      <c r="E1251" s="344">
        <f ca="1">OFFSET('Zip Code Lines_1'!$W$3,MATCH('Zip Code Lines_1'!C1251,'Zip Code Lines_1'!$Q$4:$Q$26,0),0)</f>
        <v>4.9000000000000004</v>
      </c>
      <c r="F1251" s="344">
        <f ca="1">OFFSET('Zip Code Lines_1'!$Z$3,MATCH('Zip Code Lines_1'!C1251,'Zip Code Lines_1'!$Q$4:$Q$26,0),0)</f>
        <v>86.4</v>
      </c>
      <c r="G1251" s="342">
        <f ca="1">OFFSET('Zip Code Lines_1'!$AC$3,MATCH('Zip Code Lines_1'!C1251,'Zip Code Lines_1'!$Q$4:$Q$26,0),0)</f>
        <v>12</v>
      </c>
      <c r="H1251" s="342">
        <v>13034</v>
      </c>
    </row>
    <row r="1252" spans="2:8" x14ac:dyDescent="0.25">
      <c r="B1252" s="342">
        <v>13035</v>
      </c>
      <c r="C1252" s="343" t="s">
        <v>569</v>
      </c>
      <c r="D1252" s="343" t="str">
        <f ca="1">OFFSET('Zip Code Lines_1'!$U$3,MATCH('Zip Code Lines_1'!C1252,'Zip Code Lines_1'!$Q$4:$Q$26,0),0)</f>
        <v>Utica</v>
      </c>
      <c r="E1252" s="344">
        <f ca="1">OFFSET('Zip Code Lines_1'!$W$3,MATCH('Zip Code Lines_1'!C1252,'Zip Code Lines_1'!$Q$4:$Q$26,0),0)</f>
        <v>1.2</v>
      </c>
      <c r="F1252" s="344">
        <f ca="1">OFFSET('Zip Code Lines_1'!$Z$3,MATCH('Zip Code Lines_1'!C1252,'Zip Code Lines_1'!$Q$4:$Q$26,0),0)</f>
        <v>84.2</v>
      </c>
      <c r="G1252" s="342">
        <f ca="1">OFFSET('Zip Code Lines_1'!$AC$3,MATCH('Zip Code Lines_1'!C1252,'Zip Code Lines_1'!$Q$4:$Q$26,0),0)</f>
        <v>18</v>
      </c>
      <c r="H1252" s="342">
        <v>13035</v>
      </c>
    </row>
    <row r="1253" spans="2:8" x14ac:dyDescent="0.25">
      <c r="B1253" s="342">
        <v>13036</v>
      </c>
      <c r="C1253" s="343" t="s">
        <v>568</v>
      </c>
      <c r="D1253" s="343" t="str">
        <f ca="1">OFFSET('Zip Code Lines_1'!$U$3,MATCH('Zip Code Lines_1'!C1253,'Zip Code Lines_1'!$Q$4:$Q$26,0),0)</f>
        <v>Syracuse</v>
      </c>
      <c r="E1253" s="344">
        <f ca="1">OFFSET('Zip Code Lines_1'!$W$3,MATCH('Zip Code Lines_1'!C1253,'Zip Code Lines_1'!$Q$4:$Q$26,0),0)</f>
        <v>4.9000000000000004</v>
      </c>
      <c r="F1253" s="344">
        <f ca="1">OFFSET('Zip Code Lines_1'!$Z$3,MATCH('Zip Code Lines_1'!C1253,'Zip Code Lines_1'!$Q$4:$Q$26,0),0)</f>
        <v>86.4</v>
      </c>
      <c r="G1253" s="342">
        <f ca="1">OFFSET('Zip Code Lines_1'!$AC$3,MATCH('Zip Code Lines_1'!C1253,'Zip Code Lines_1'!$Q$4:$Q$26,0),0)</f>
        <v>12</v>
      </c>
      <c r="H1253" s="342">
        <v>13036</v>
      </c>
    </row>
    <row r="1254" spans="2:8" x14ac:dyDescent="0.25">
      <c r="B1254" s="342">
        <v>13037</v>
      </c>
      <c r="C1254" s="343" t="s">
        <v>568</v>
      </c>
      <c r="D1254" s="343" t="str">
        <f ca="1">OFFSET('Zip Code Lines_1'!$U$3,MATCH('Zip Code Lines_1'!C1254,'Zip Code Lines_1'!$Q$4:$Q$26,0),0)</f>
        <v>Syracuse</v>
      </c>
      <c r="E1254" s="344">
        <f ca="1">OFFSET('Zip Code Lines_1'!$W$3,MATCH('Zip Code Lines_1'!C1254,'Zip Code Lines_1'!$Q$4:$Q$26,0),0)</f>
        <v>4.9000000000000004</v>
      </c>
      <c r="F1254" s="344">
        <f ca="1">OFFSET('Zip Code Lines_1'!$Z$3,MATCH('Zip Code Lines_1'!C1254,'Zip Code Lines_1'!$Q$4:$Q$26,0),0)</f>
        <v>86.4</v>
      </c>
      <c r="G1254" s="342">
        <f ca="1">OFFSET('Zip Code Lines_1'!$AC$3,MATCH('Zip Code Lines_1'!C1254,'Zip Code Lines_1'!$Q$4:$Q$26,0),0)</f>
        <v>12</v>
      </c>
      <c r="H1254" s="342">
        <v>13037</v>
      </c>
    </row>
    <row r="1255" spans="2:8" x14ac:dyDescent="0.25">
      <c r="B1255" s="342">
        <v>13039</v>
      </c>
      <c r="C1255" s="343" t="s">
        <v>568</v>
      </c>
      <c r="D1255" s="343" t="str">
        <f ca="1">OFFSET('Zip Code Lines_1'!$U$3,MATCH('Zip Code Lines_1'!C1255,'Zip Code Lines_1'!$Q$4:$Q$26,0),0)</f>
        <v>Syracuse</v>
      </c>
      <c r="E1255" s="344">
        <f ca="1">OFFSET('Zip Code Lines_1'!$W$3,MATCH('Zip Code Lines_1'!C1255,'Zip Code Lines_1'!$Q$4:$Q$26,0),0)</f>
        <v>4.9000000000000004</v>
      </c>
      <c r="F1255" s="344">
        <f ca="1">OFFSET('Zip Code Lines_1'!$Z$3,MATCH('Zip Code Lines_1'!C1255,'Zip Code Lines_1'!$Q$4:$Q$26,0),0)</f>
        <v>86.4</v>
      </c>
      <c r="G1255" s="342">
        <f ca="1">OFFSET('Zip Code Lines_1'!$AC$3,MATCH('Zip Code Lines_1'!C1255,'Zip Code Lines_1'!$Q$4:$Q$26,0),0)</f>
        <v>12</v>
      </c>
      <c r="H1255" s="342">
        <v>13039</v>
      </c>
    </row>
    <row r="1256" spans="2:8" x14ac:dyDescent="0.25">
      <c r="B1256" s="342">
        <v>13040</v>
      </c>
      <c r="C1256" s="343" t="s">
        <v>569</v>
      </c>
      <c r="D1256" s="343" t="str">
        <f ca="1">OFFSET('Zip Code Lines_1'!$U$3,MATCH('Zip Code Lines_1'!C1256,'Zip Code Lines_1'!$Q$4:$Q$26,0),0)</f>
        <v>Utica</v>
      </c>
      <c r="E1256" s="344">
        <f ca="1">OFFSET('Zip Code Lines_1'!$W$3,MATCH('Zip Code Lines_1'!C1256,'Zip Code Lines_1'!$Q$4:$Q$26,0),0)</f>
        <v>1.2</v>
      </c>
      <c r="F1256" s="344">
        <f ca="1">OFFSET('Zip Code Lines_1'!$Z$3,MATCH('Zip Code Lines_1'!C1256,'Zip Code Lines_1'!$Q$4:$Q$26,0),0)</f>
        <v>84.2</v>
      </c>
      <c r="G1256" s="342">
        <f ca="1">OFFSET('Zip Code Lines_1'!$AC$3,MATCH('Zip Code Lines_1'!C1256,'Zip Code Lines_1'!$Q$4:$Q$26,0),0)</f>
        <v>18</v>
      </c>
      <c r="H1256" s="342">
        <v>13040</v>
      </c>
    </row>
    <row r="1257" spans="2:8" x14ac:dyDescent="0.25">
      <c r="B1257" s="342">
        <v>13041</v>
      </c>
      <c r="C1257" s="343" t="s">
        <v>568</v>
      </c>
      <c r="D1257" s="343" t="str">
        <f ca="1">OFFSET('Zip Code Lines_1'!$U$3,MATCH('Zip Code Lines_1'!C1257,'Zip Code Lines_1'!$Q$4:$Q$26,0),0)</f>
        <v>Syracuse</v>
      </c>
      <c r="E1257" s="344">
        <f ca="1">OFFSET('Zip Code Lines_1'!$W$3,MATCH('Zip Code Lines_1'!C1257,'Zip Code Lines_1'!$Q$4:$Q$26,0),0)</f>
        <v>4.9000000000000004</v>
      </c>
      <c r="F1257" s="344">
        <f ca="1">OFFSET('Zip Code Lines_1'!$Z$3,MATCH('Zip Code Lines_1'!C1257,'Zip Code Lines_1'!$Q$4:$Q$26,0),0)</f>
        <v>86.4</v>
      </c>
      <c r="G1257" s="342">
        <f ca="1">OFFSET('Zip Code Lines_1'!$AC$3,MATCH('Zip Code Lines_1'!C1257,'Zip Code Lines_1'!$Q$4:$Q$26,0),0)</f>
        <v>12</v>
      </c>
      <c r="H1257" s="342">
        <v>13041</v>
      </c>
    </row>
    <row r="1258" spans="2:8" x14ac:dyDescent="0.25">
      <c r="B1258" s="342">
        <v>13042</v>
      </c>
      <c r="C1258" s="343" t="s">
        <v>569</v>
      </c>
      <c r="D1258" s="343" t="str">
        <f ca="1">OFFSET('Zip Code Lines_1'!$U$3,MATCH('Zip Code Lines_1'!C1258,'Zip Code Lines_1'!$Q$4:$Q$26,0),0)</f>
        <v>Utica</v>
      </c>
      <c r="E1258" s="344">
        <f ca="1">OFFSET('Zip Code Lines_1'!$W$3,MATCH('Zip Code Lines_1'!C1258,'Zip Code Lines_1'!$Q$4:$Q$26,0),0)</f>
        <v>1.2</v>
      </c>
      <c r="F1258" s="344">
        <f ca="1">OFFSET('Zip Code Lines_1'!$Z$3,MATCH('Zip Code Lines_1'!C1258,'Zip Code Lines_1'!$Q$4:$Q$26,0),0)</f>
        <v>84.2</v>
      </c>
      <c r="G1258" s="342">
        <f ca="1">OFFSET('Zip Code Lines_1'!$AC$3,MATCH('Zip Code Lines_1'!C1258,'Zip Code Lines_1'!$Q$4:$Q$26,0),0)</f>
        <v>18</v>
      </c>
      <c r="H1258" s="342">
        <v>13042</v>
      </c>
    </row>
    <row r="1259" spans="2:8" x14ac:dyDescent="0.25">
      <c r="B1259" s="342">
        <v>13043</v>
      </c>
      <c r="C1259" s="343" t="s">
        <v>569</v>
      </c>
      <c r="D1259" s="343" t="str">
        <f ca="1">OFFSET('Zip Code Lines_1'!$U$3,MATCH('Zip Code Lines_1'!C1259,'Zip Code Lines_1'!$Q$4:$Q$26,0),0)</f>
        <v>Utica</v>
      </c>
      <c r="E1259" s="344">
        <f ca="1">OFFSET('Zip Code Lines_1'!$W$3,MATCH('Zip Code Lines_1'!C1259,'Zip Code Lines_1'!$Q$4:$Q$26,0),0)</f>
        <v>1.2</v>
      </c>
      <c r="F1259" s="344">
        <f ca="1">OFFSET('Zip Code Lines_1'!$Z$3,MATCH('Zip Code Lines_1'!C1259,'Zip Code Lines_1'!$Q$4:$Q$26,0),0)</f>
        <v>84.2</v>
      </c>
      <c r="G1259" s="342">
        <f ca="1">OFFSET('Zip Code Lines_1'!$AC$3,MATCH('Zip Code Lines_1'!C1259,'Zip Code Lines_1'!$Q$4:$Q$26,0),0)</f>
        <v>18</v>
      </c>
      <c r="H1259" s="342">
        <v>13043</v>
      </c>
    </row>
    <row r="1260" spans="2:8" x14ac:dyDescent="0.25">
      <c r="B1260" s="342">
        <v>13044</v>
      </c>
      <c r="C1260" s="343" t="s">
        <v>568</v>
      </c>
      <c r="D1260" s="343" t="str">
        <f ca="1">OFFSET('Zip Code Lines_1'!$U$3,MATCH('Zip Code Lines_1'!C1260,'Zip Code Lines_1'!$Q$4:$Q$26,0),0)</f>
        <v>Syracuse</v>
      </c>
      <c r="E1260" s="344">
        <f ca="1">OFFSET('Zip Code Lines_1'!$W$3,MATCH('Zip Code Lines_1'!C1260,'Zip Code Lines_1'!$Q$4:$Q$26,0),0)</f>
        <v>4.9000000000000004</v>
      </c>
      <c r="F1260" s="344">
        <f ca="1">OFFSET('Zip Code Lines_1'!$Z$3,MATCH('Zip Code Lines_1'!C1260,'Zip Code Lines_1'!$Q$4:$Q$26,0),0)</f>
        <v>86.4</v>
      </c>
      <c r="G1260" s="342">
        <f ca="1">OFFSET('Zip Code Lines_1'!$AC$3,MATCH('Zip Code Lines_1'!C1260,'Zip Code Lines_1'!$Q$4:$Q$26,0),0)</f>
        <v>12</v>
      </c>
      <c r="H1260" s="342">
        <v>13044</v>
      </c>
    </row>
    <row r="1261" spans="2:8" x14ac:dyDescent="0.25">
      <c r="B1261" s="342">
        <v>13045</v>
      </c>
      <c r="C1261" s="343" t="s">
        <v>569</v>
      </c>
      <c r="D1261" s="343" t="str">
        <f ca="1">OFFSET('Zip Code Lines_1'!$U$3,MATCH('Zip Code Lines_1'!C1261,'Zip Code Lines_1'!$Q$4:$Q$26,0),0)</f>
        <v>Utica</v>
      </c>
      <c r="E1261" s="344">
        <f ca="1">OFFSET('Zip Code Lines_1'!$W$3,MATCH('Zip Code Lines_1'!C1261,'Zip Code Lines_1'!$Q$4:$Q$26,0),0)</f>
        <v>1.2</v>
      </c>
      <c r="F1261" s="344">
        <f ca="1">OFFSET('Zip Code Lines_1'!$Z$3,MATCH('Zip Code Lines_1'!C1261,'Zip Code Lines_1'!$Q$4:$Q$26,0),0)</f>
        <v>84.2</v>
      </c>
      <c r="G1261" s="342">
        <f ca="1">OFFSET('Zip Code Lines_1'!$AC$3,MATCH('Zip Code Lines_1'!C1261,'Zip Code Lines_1'!$Q$4:$Q$26,0),0)</f>
        <v>18</v>
      </c>
      <c r="H1261" s="342">
        <v>13045</v>
      </c>
    </row>
    <row r="1262" spans="2:8" x14ac:dyDescent="0.25">
      <c r="B1262" s="342">
        <v>13051</v>
      </c>
      <c r="C1262" s="343" t="s">
        <v>569</v>
      </c>
      <c r="D1262" s="343" t="str">
        <f ca="1">OFFSET('Zip Code Lines_1'!$U$3,MATCH('Zip Code Lines_1'!C1262,'Zip Code Lines_1'!$Q$4:$Q$26,0),0)</f>
        <v>Utica</v>
      </c>
      <c r="E1262" s="344">
        <f ca="1">OFFSET('Zip Code Lines_1'!$W$3,MATCH('Zip Code Lines_1'!C1262,'Zip Code Lines_1'!$Q$4:$Q$26,0),0)</f>
        <v>1.2</v>
      </c>
      <c r="F1262" s="344">
        <f ca="1">OFFSET('Zip Code Lines_1'!$Z$3,MATCH('Zip Code Lines_1'!C1262,'Zip Code Lines_1'!$Q$4:$Q$26,0),0)</f>
        <v>84.2</v>
      </c>
      <c r="G1262" s="342">
        <f ca="1">OFFSET('Zip Code Lines_1'!$AC$3,MATCH('Zip Code Lines_1'!C1262,'Zip Code Lines_1'!$Q$4:$Q$26,0),0)</f>
        <v>18</v>
      </c>
      <c r="H1262" s="342">
        <v>13051</v>
      </c>
    </row>
    <row r="1263" spans="2:8" x14ac:dyDescent="0.25">
      <c r="B1263" s="342">
        <v>13052</v>
      </c>
      <c r="C1263" s="343" t="s">
        <v>569</v>
      </c>
      <c r="D1263" s="343" t="str">
        <f ca="1">OFFSET('Zip Code Lines_1'!$U$3,MATCH('Zip Code Lines_1'!C1263,'Zip Code Lines_1'!$Q$4:$Q$26,0),0)</f>
        <v>Utica</v>
      </c>
      <c r="E1263" s="344">
        <f ca="1">OFFSET('Zip Code Lines_1'!$W$3,MATCH('Zip Code Lines_1'!C1263,'Zip Code Lines_1'!$Q$4:$Q$26,0),0)</f>
        <v>1.2</v>
      </c>
      <c r="F1263" s="344">
        <f ca="1">OFFSET('Zip Code Lines_1'!$Z$3,MATCH('Zip Code Lines_1'!C1263,'Zip Code Lines_1'!$Q$4:$Q$26,0),0)</f>
        <v>84.2</v>
      </c>
      <c r="G1263" s="342">
        <f ca="1">OFFSET('Zip Code Lines_1'!$AC$3,MATCH('Zip Code Lines_1'!C1263,'Zip Code Lines_1'!$Q$4:$Q$26,0),0)</f>
        <v>18</v>
      </c>
      <c r="H1263" s="342">
        <v>13052</v>
      </c>
    </row>
    <row r="1264" spans="2:8" x14ac:dyDescent="0.25">
      <c r="B1264" s="342">
        <v>13053</v>
      </c>
      <c r="C1264" s="343" t="s">
        <v>532</v>
      </c>
      <c r="D1264" s="343" t="str">
        <f ca="1">OFFSET('Zip Code Lines_1'!$U$3,MATCH('Zip Code Lines_1'!C1264,'Zip Code Lines_1'!$Q$4:$Q$26,0),0)</f>
        <v>Binghamton</v>
      </c>
      <c r="E1264" s="344">
        <f ca="1">OFFSET('Zip Code Lines_1'!$W$3,MATCH('Zip Code Lines_1'!C1264,'Zip Code Lines_1'!$Q$4:$Q$26,0),0)</f>
        <v>4.5</v>
      </c>
      <c r="F1264" s="344">
        <f ca="1">OFFSET('Zip Code Lines_1'!$Z$3,MATCH('Zip Code Lines_1'!C1264,'Zip Code Lines_1'!$Q$4:$Q$26,0),0)</f>
        <v>82.3</v>
      </c>
      <c r="G1264" s="342">
        <f ca="1">OFFSET('Zip Code Lines_1'!$AC$3,MATCH('Zip Code Lines_1'!C1264,'Zip Code Lines_1'!$Q$4:$Q$26,0),0)</f>
        <v>12</v>
      </c>
      <c r="H1264" s="342">
        <v>13053</v>
      </c>
    </row>
    <row r="1265" spans="2:8" x14ac:dyDescent="0.25">
      <c r="B1265" s="342">
        <v>13054</v>
      </c>
      <c r="C1265" s="343" t="s">
        <v>569</v>
      </c>
      <c r="D1265" s="343" t="str">
        <f ca="1">OFFSET('Zip Code Lines_1'!$U$3,MATCH('Zip Code Lines_1'!C1265,'Zip Code Lines_1'!$Q$4:$Q$26,0),0)</f>
        <v>Utica</v>
      </c>
      <c r="E1265" s="344">
        <f ca="1">OFFSET('Zip Code Lines_1'!$W$3,MATCH('Zip Code Lines_1'!C1265,'Zip Code Lines_1'!$Q$4:$Q$26,0),0)</f>
        <v>1.2</v>
      </c>
      <c r="F1265" s="344">
        <f ca="1">OFFSET('Zip Code Lines_1'!$Z$3,MATCH('Zip Code Lines_1'!C1265,'Zip Code Lines_1'!$Q$4:$Q$26,0),0)</f>
        <v>84.2</v>
      </c>
      <c r="G1265" s="342">
        <f ca="1">OFFSET('Zip Code Lines_1'!$AC$3,MATCH('Zip Code Lines_1'!C1265,'Zip Code Lines_1'!$Q$4:$Q$26,0),0)</f>
        <v>18</v>
      </c>
      <c r="H1265" s="342">
        <v>13054</v>
      </c>
    </row>
    <row r="1266" spans="2:8" x14ac:dyDescent="0.25">
      <c r="B1266" s="342">
        <v>13056</v>
      </c>
      <c r="C1266" s="343" t="s">
        <v>569</v>
      </c>
      <c r="D1266" s="343" t="str">
        <f ca="1">OFFSET('Zip Code Lines_1'!$U$3,MATCH('Zip Code Lines_1'!C1266,'Zip Code Lines_1'!$Q$4:$Q$26,0),0)</f>
        <v>Utica</v>
      </c>
      <c r="E1266" s="344">
        <f ca="1">OFFSET('Zip Code Lines_1'!$W$3,MATCH('Zip Code Lines_1'!C1266,'Zip Code Lines_1'!$Q$4:$Q$26,0),0)</f>
        <v>1.2</v>
      </c>
      <c r="F1266" s="344">
        <f ca="1">OFFSET('Zip Code Lines_1'!$Z$3,MATCH('Zip Code Lines_1'!C1266,'Zip Code Lines_1'!$Q$4:$Q$26,0),0)</f>
        <v>84.2</v>
      </c>
      <c r="G1266" s="342">
        <f ca="1">OFFSET('Zip Code Lines_1'!$AC$3,MATCH('Zip Code Lines_1'!C1266,'Zip Code Lines_1'!$Q$4:$Q$26,0),0)</f>
        <v>18</v>
      </c>
      <c r="H1266" s="342">
        <v>13056</v>
      </c>
    </row>
    <row r="1267" spans="2:8" x14ac:dyDescent="0.25">
      <c r="B1267" s="342">
        <v>13057</v>
      </c>
      <c r="C1267" s="343" t="s">
        <v>568</v>
      </c>
      <c r="D1267" s="343" t="str">
        <f ca="1">OFFSET('Zip Code Lines_1'!$U$3,MATCH('Zip Code Lines_1'!C1267,'Zip Code Lines_1'!$Q$4:$Q$26,0),0)</f>
        <v>Syracuse</v>
      </c>
      <c r="E1267" s="344">
        <f ca="1">OFFSET('Zip Code Lines_1'!$W$3,MATCH('Zip Code Lines_1'!C1267,'Zip Code Lines_1'!$Q$4:$Q$26,0),0)</f>
        <v>4.9000000000000004</v>
      </c>
      <c r="F1267" s="344">
        <f ca="1">OFFSET('Zip Code Lines_1'!$Z$3,MATCH('Zip Code Lines_1'!C1267,'Zip Code Lines_1'!$Q$4:$Q$26,0),0)</f>
        <v>86.4</v>
      </c>
      <c r="G1267" s="342">
        <f ca="1">OFFSET('Zip Code Lines_1'!$AC$3,MATCH('Zip Code Lines_1'!C1267,'Zip Code Lines_1'!$Q$4:$Q$26,0),0)</f>
        <v>12</v>
      </c>
      <c r="H1267" s="342">
        <v>13057</v>
      </c>
    </row>
    <row r="1268" spans="2:8" x14ac:dyDescent="0.25">
      <c r="B1268" s="342">
        <v>13060</v>
      </c>
      <c r="C1268" s="343" t="s">
        <v>568</v>
      </c>
      <c r="D1268" s="343" t="str">
        <f ca="1">OFFSET('Zip Code Lines_1'!$U$3,MATCH('Zip Code Lines_1'!C1268,'Zip Code Lines_1'!$Q$4:$Q$26,0),0)</f>
        <v>Syracuse</v>
      </c>
      <c r="E1268" s="344">
        <f ca="1">OFFSET('Zip Code Lines_1'!$W$3,MATCH('Zip Code Lines_1'!C1268,'Zip Code Lines_1'!$Q$4:$Q$26,0),0)</f>
        <v>4.9000000000000004</v>
      </c>
      <c r="F1268" s="344">
        <f ca="1">OFFSET('Zip Code Lines_1'!$Z$3,MATCH('Zip Code Lines_1'!C1268,'Zip Code Lines_1'!$Q$4:$Q$26,0),0)</f>
        <v>86.4</v>
      </c>
      <c r="G1268" s="342">
        <f ca="1">OFFSET('Zip Code Lines_1'!$AC$3,MATCH('Zip Code Lines_1'!C1268,'Zip Code Lines_1'!$Q$4:$Q$26,0),0)</f>
        <v>12</v>
      </c>
      <c r="H1268" s="342">
        <v>13060</v>
      </c>
    </row>
    <row r="1269" spans="2:8" x14ac:dyDescent="0.25">
      <c r="B1269" s="342">
        <v>13061</v>
      </c>
      <c r="C1269" s="343" t="s">
        <v>569</v>
      </c>
      <c r="D1269" s="343" t="str">
        <f ca="1">OFFSET('Zip Code Lines_1'!$U$3,MATCH('Zip Code Lines_1'!C1269,'Zip Code Lines_1'!$Q$4:$Q$26,0),0)</f>
        <v>Utica</v>
      </c>
      <c r="E1269" s="344">
        <f ca="1">OFFSET('Zip Code Lines_1'!$W$3,MATCH('Zip Code Lines_1'!C1269,'Zip Code Lines_1'!$Q$4:$Q$26,0),0)</f>
        <v>1.2</v>
      </c>
      <c r="F1269" s="344">
        <f ca="1">OFFSET('Zip Code Lines_1'!$Z$3,MATCH('Zip Code Lines_1'!C1269,'Zip Code Lines_1'!$Q$4:$Q$26,0),0)</f>
        <v>84.2</v>
      </c>
      <c r="G1269" s="342">
        <f ca="1">OFFSET('Zip Code Lines_1'!$AC$3,MATCH('Zip Code Lines_1'!C1269,'Zip Code Lines_1'!$Q$4:$Q$26,0),0)</f>
        <v>18</v>
      </c>
      <c r="H1269" s="342">
        <v>13061</v>
      </c>
    </row>
    <row r="1270" spans="2:8" x14ac:dyDescent="0.25">
      <c r="B1270" s="342">
        <v>13062</v>
      </c>
      <c r="C1270" s="343" t="s">
        <v>532</v>
      </c>
      <c r="D1270" s="343" t="str">
        <f ca="1">OFFSET('Zip Code Lines_1'!$U$3,MATCH('Zip Code Lines_1'!C1270,'Zip Code Lines_1'!$Q$4:$Q$26,0),0)</f>
        <v>Binghamton</v>
      </c>
      <c r="E1270" s="344">
        <f ca="1">OFFSET('Zip Code Lines_1'!$W$3,MATCH('Zip Code Lines_1'!C1270,'Zip Code Lines_1'!$Q$4:$Q$26,0),0)</f>
        <v>4.5</v>
      </c>
      <c r="F1270" s="344">
        <f ca="1">OFFSET('Zip Code Lines_1'!$Z$3,MATCH('Zip Code Lines_1'!C1270,'Zip Code Lines_1'!$Q$4:$Q$26,0),0)</f>
        <v>82.3</v>
      </c>
      <c r="G1270" s="342">
        <f ca="1">OFFSET('Zip Code Lines_1'!$AC$3,MATCH('Zip Code Lines_1'!C1270,'Zip Code Lines_1'!$Q$4:$Q$26,0),0)</f>
        <v>12</v>
      </c>
      <c r="H1270" s="342">
        <v>13062</v>
      </c>
    </row>
    <row r="1271" spans="2:8" x14ac:dyDescent="0.25">
      <c r="B1271" s="342">
        <v>13063</v>
      </c>
      <c r="C1271" s="343" t="s">
        <v>569</v>
      </c>
      <c r="D1271" s="343" t="str">
        <f ca="1">OFFSET('Zip Code Lines_1'!$U$3,MATCH('Zip Code Lines_1'!C1271,'Zip Code Lines_1'!$Q$4:$Q$26,0),0)</f>
        <v>Utica</v>
      </c>
      <c r="E1271" s="344">
        <f ca="1">OFFSET('Zip Code Lines_1'!$W$3,MATCH('Zip Code Lines_1'!C1271,'Zip Code Lines_1'!$Q$4:$Q$26,0),0)</f>
        <v>1.2</v>
      </c>
      <c r="F1271" s="344">
        <f ca="1">OFFSET('Zip Code Lines_1'!$Z$3,MATCH('Zip Code Lines_1'!C1271,'Zip Code Lines_1'!$Q$4:$Q$26,0),0)</f>
        <v>84.2</v>
      </c>
      <c r="G1271" s="342">
        <f ca="1">OFFSET('Zip Code Lines_1'!$AC$3,MATCH('Zip Code Lines_1'!C1271,'Zip Code Lines_1'!$Q$4:$Q$26,0),0)</f>
        <v>18</v>
      </c>
      <c r="H1271" s="342">
        <v>13063</v>
      </c>
    </row>
    <row r="1272" spans="2:8" x14ac:dyDescent="0.25">
      <c r="B1272" s="342">
        <v>13064</v>
      </c>
      <c r="C1272" s="343" t="s">
        <v>568</v>
      </c>
      <c r="D1272" s="343" t="str">
        <f ca="1">OFFSET('Zip Code Lines_1'!$U$3,MATCH('Zip Code Lines_1'!C1272,'Zip Code Lines_1'!$Q$4:$Q$26,0),0)</f>
        <v>Syracuse</v>
      </c>
      <c r="E1272" s="344">
        <f ca="1">OFFSET('Zip Code Lines_1'!$W$3,MATCH('Zip Code Lines_1'!C1272,'Zip Code Lines_1'!$Q$4:$Q$26,0),0)</f>
        <v>4.9000000000000004</v>
      </c>
      <c r="F1272" s="344">
        <f ca="1">OFFSET('Zip Code Lines_1'!$Z$3,MATCH('Zip Code Lines_1'!C1272,'Zip Code Lines_1'!$Q$4:$Q$26,0),0)</f>
        <v>86.4</v>
      </c>
      <c r="G1272" s="342">
        <f ca="1">OFFSET('Zip Code Lines_1'!$AC$3,MATCH('Zip Code Lines_1'!C1272,'Zip Code Lines_1'!$Q$4:$Q$26,0),0)</f>
        <v>12</v>
      </c>
      <c r="H1272" s="342">
        <v>13064</v>
      </c>
    </row>
    <row r="1273" spans="2:8" x14ac:dyDescent="0.25">
      <c r="B1273" s="342">
        <v>13065</v>
      </c>
      <c r="C1273" s="343" t="s">
        <v>568</v>
      </c>
      <c r="D1273" s="343" t="str">
        <f ca="1">OFFSET('Zip Code Lines_1'!$U$3,MATCH('Zip Code Lines_1'!C1273,'Zip Code Lines_1'!$Q$4:$Q$26,0),0)</f>
        <v>Syracuse</v>
      </c>
      <c r="E1273" s="344">
        <f ca="1">OFFSET('Zip Code Lines_1'!$W$3,MATCH('Zip Code Lines_1'!C1273,'Zip Code Lines_1'!$Q$4:$Q$26,0),0)</f>
        <v>4.9000000000000004</v>
      </c>
      <c r="F1273" s="344">
        <f ca="1">OFFSET('Zip Code Lines_1'!$Z$3,MATCH('Zip Code Lines_1'!C1273,'Zip Code Lines_1'!$Q$4:$Q$26,0),0)</f>
        <v>86.4</v>
      </c>
      <c r="G1273" s="342">
        <f ca="1">OFFSET('Zip Code Lines_1'!$AC$3,MATCH('Zip Code Lines_1'!C1273,'Zip Code Lines_1'!$Q$4:$Q$26,0),0)</f>
        <v>12</v>
      </c>
      <c r="H1273" s="342">
        <v>13065</v>
      </c>
    </row>
    <row r="1274" spans="2:8" x14ac:dyDescent="0.25">
      <c r="B1274" s="342">
        <v>13066</v>
      </c>
      <c r="C1274" s="343" t="s">
        <v>568</v>
      </c>
      <c r="D1274" s="343" t="str">
        <f ca="1">OFFSET('Zip Code Lines_1'!$U$3,MATCH('Zip Code Lines_1'!C1274,'Zip Code Lines_1'!$Q$4:$Q$26,0),0)</f>
        <v>Syracuse</v>
      </c>
      <c r="E1274" s="344">
        <f ca="1">OFFSET('Zip Code Lines_1'!$W$3,MATCH('Zip Code Lines_1'!C1274,'Zip Code Lines_1'!$Q$4:$Q$26,0),0)</f>
        <v>4.9000000000000004</v>
      </c>
      <c r="F1274" s="344">
        <f ca="1">OFFSET('Zip Code Lines_1'!$Z$3,MATCH('Zip Code Lines_1'!C1274,'Zip Code Lines_1'!$Q$4:$Q$26,0),0)</f>
        <v>86.4</v>
      </c>
      <c r="G1274" s="342">
        <f ca="1">OFFSET('Zip Code Lines_1'!$AC$3,MATCH('Zip Code Lines_1'!C1274,'Zip Code Lines_1'!$Q$4:$Q$26,0),0)</f>
        <v>12</v>
      </c>
      <c r="H1274" s="342">
        <v>13066</v>
      </c>
    </row>
    <row r="1275" spans="2:8" x14ac:dyDescent="0.25">
      <c r="B1275" s="342">
        <v>13068</v>
      </c>
      <c r="C1275" s="343" t="s">
        <v>532</v>
      </c>
      <c r="D1275" s="343" t="str">
        <f ca="1">OFFSET('Zip Code Lines_1'!$U$3,MATCH('Zip Code Lines_1'!C1275,'Zip Code Lines_1'!$Q$4:$Q$26,0),0)</f>
        <v>Binghamton</v>
      </c>
      <c r="E1275" s="344">
        <f ca="1">OFFSET('Zip Code Lines_1'!$W$3,MATCH('Zip Code Lines_1'!C1275,'Zip Code Lines_1'!$Q$4:$Q$26,0),0)</f>
        <v>4.5</v>
      </c>
      <c r="F1275" s="344">
        <f ca="1">OFFSET('Zip Code Lines_1'!$Z$3,MATCH('Zip Code Lines_1'!C1275,'Zip Code Lines_1'!$Q$4:$Q$26,0),0)</f>
        <v>82.3</v>
      </c>
      <c r="G1275" s="342">
        <f ca="1">OFFSET('Zip Code Lines_1'!$AC$3,MATCH('Zip Code Lines_1'!C1275,'Zip Code Lines_1'!$Q$4:$Q$26,0),0)</f>
        <v>12</v>
      </c>
      <c r="H1275" s="342">
        <v>13068</v>
      </c>
    </row>
    <row r="1276" spans="2:8" x14ac:dyDescent="0.25">
      <c r="B1276" s="342">
        <v>13069</v>
      </c>
      <c r="C1276" s="343" t="s">
        <v>568</v>
      </c>
      <c r="D1276" s="343" t="str">
        <f ca="1">OFFSET('Zip Code Lines_1'!$U$3,MATCH('Zip Code Lines_1'!C1276,'Zip Code Lines_1'!$Q$4:$Q$26,0),0)</f>
        <v>Syracuse</v>
      </c>
      <c r="E1276" s="344">
        <f ca="1">OFFSET('Zip Code Lines_1'!$W$3,MATCH('Zip Code Lines_1'!C1276,'Zip Code Lines_1'!$Q$4:$Q$26,0),0)</f>
        <v>4.9000000000000004</v>
      </c>
      <c r="F1276" s="344">
        <f ca="1">OFFSET('Zip Code Lines_1'!$Z$3,MATCH('Zip Code Lines_1'!C1276,'Zip Code Lines_1'!$Q$4:$Q$26,0),0)</f>
        <v>86.4</v>
      </c>
      <c r="G1276" s="342">
        <f ca="1">OFFSET('Zip Code Lines_1'!$AC$3,MATCH('Zip Code Lines_1'!C1276,'Zip Code Lines_1'!$Q$4:$Q$26,0),0)</f>
        <v>12</v>
      </c>
      <c r="H1276" s="342">
        <v>13069</v>
      </c>
    </row>
    <row r="1277" spans="2:8" x14ac:dyDescent="0.25">
      <c r="B1277" s="342">
        <v>13071</v>
      </c>
      <c r="C1277" s="343" t="s">
        <v>532</v>
      </c>
      <c r="D1277" s="343" t="str">
        <f ca="1">OFFSET('Zip Code Lines_1'!$U$3,MATCH('Zip Code Lines_1'!C1277,'Zip Code Lines_1'!$Q$4:$Q$26,0),0)</f>
        <v>Binghamton</v>
      </c>
      <c r="E1277" s="344">
        <f ca="1">OFFSET('Zip Code Lines_1'!$W$3,MATCH('Zip Code Lines_1'!C1277,'Zip Code Lines_1'!$Q$4:$Q$26,0),0)</f>
        <v>4.5</v>
      </c>
      <c r="F1277" s="344">
        <f ca="1">OFFSET('Zip Code Lines_1'!$Z$3,MATCH('Zip Code Lines_1'!C1277,'Zip Code Lines_1'!$Q$4:$Q$26,0),0)</f>
        <v>82.3</v>
      </c>
      <c r="G1277" s="342">
        <f ca="1">OFFSET('Zip Code Lines_1'!$AC$3,MATCH('Zip Code Lines_1'!C1277,'Zip Code Lines_1'!$Q$4:$Q$26,0),0)</f>
        <v>12</v>
      </c>
      <c r="H1277" s="342">
        <v>13071</v>
      </c>
    </row>
    <row r="1278" spans="2:8" x14ac:dyDescent="0.25">
      <c r="B1278" s="342">
        <v>13072</v>
      </c>
      <c r="C1278" s="343" t="s">
        <v>569</v>
      </c>
      <c r="D1278" s="343" t="str">
        <f ca="1">OFFSET('Zip Code Lines_1'!$U$3,MATCH('Zip Code Lines_1'!C1278,'Zip Code Lines_1'!$Q$4:$Q$26,0),0)</f>
        <v>Utica</v>
      </c>
      <c r="E1278" s="344">
        <f ca="1">OFFSET('Zip Code Lines_1'!$W$3,MATCH('Zip Code Lines_1'!C1278,'Zip Code Lines_1'!$Q$4:$Q$26,0),0)</f>
        <v>1.2</v>
      </c>
      <c r="F1278" s="344">
        <f ca="1">OFFSET('Zip Code Lines_1'!$Z$3,MATCH('Zip Code Lines_1'!C1278,'Zip Code Lines_1'!$Q$4:$Q$26,0),0)</f>
        <v>84.2</v>
      </c>
      <c r="G1278" s="342">
        <f ca="1">OFFSET('Zip Code Lines_1'!$AC$3,MATCH('Zip Code Lines_1'!C1278,'Zip Code Lines_1'!$Q$4:$Q$26,0),0)</f>
        <v>18</v>
      </c>
      <c r="H1278" s="342">
        <v>13072</v>
      </c>
    </row>
    <row r="1279" spans="2:8" x14ac:dyDescent="0.25">
      <c r="B1279" s="342">
        <v>13073</v>
      </c>
      <c r="C1279" s="343" t="s">
        <v>569</v>
      </c>
      <c r="D1279" s="343" t="str">
        <f ca="1">OFFSET('Zip Code Lines_1'!$U$3,MATCH('Zip Code Lines_1'!C1279,'Zip Code Lines_1'!$Q$4:$Q$26,0),0)</f>
        <v>Utica</v>
      </c>
      <c r="E1279" s="344">
        <f ca="1">OFFSET('Zip Code Lines_1'!$W$3,MATCH('Zip Code Lines_1'!C1279,'Zip Code Lines_1'!$Q$4:$Q$26,0),0)</f>
        <v>1.2</v>
      </c>
      <c r="F1279" s="344">
        <f ca="1">OFFSET('Zip Code Lines_1'!$Z$3,MATCH('Zip Code Lines_1'!C1279,'Zip Code Lines_1'!$Q$4:$Q$26,0),0)</f>
        <v>84.2</v>
      </c>
      <c r="G1279" s="342">
        <f ca="1">OFFSET('Zip Code Lines_1'!$AC$3,MATCH('Zip Code Lines_1'!C1279,'Zip Code Lines_1'!$Q$4:$Q$26,0),0)</f>
        <v>18</v>
      </c>
      <c r="H1279" s="342">
        <v>13073</v>
      </c>
    </row>
    <row r="1280" spans="2:8" x14ac:dyDescent="0.25">
      <c r="B1280" s="342">
        <v>13074</v>
      </c>
      <c r="C1280" s="343" t="s">
        <v>568</v>
      </c>
      <c r="D1280" s="343" t="str">
        <f ca="1">OFFSET('Zip Code Lines_1'!$U$3,MATCH('Zip Code Lines_1'!C1280,'Zip Code Lines_1'!$Q$4:$Q$26,0),0)</f>
        <v>Syracuse</v>
      </c>
      <c r="E1280" s="344">
        <f ca="1">OFFSET('Zip Code Lines_1'!$W$3,MATCH('Zip Code Lines_1'!C1280,'Zip Code Lines_1'!$Q$4:$Q$26,0),0)</f>
        <v>4.9000000000000004</v>
      </c>
      <c r="F1280" s="344">
        <f ca="1">OFFSET('Zip Code Lines_1'!$Z$3,MATCH('Zip Code Lines_1'!C1280,'Zip Code Lines_1'!$Q$4:$Q$26,0),0)</f>
        <v>86.4</v>
      </c>
      <c r="G1280" s="342">
        <f ca="1">OFFSET('Zip Code Lines_1'!$AC$3,MATCH('Zip Code Lines_1'!C1280,'Zip Code Lines_1'!$Q$4:$Q$26,0),0)</f>
        <v>12</v>
      </c>
      <c r="H1280" s="342">
        <v>13074</v>
      </c>
    </row>
    <row r="1281" spans="2:8" x14ac:dyDescent="0.25">
      <c r="B1281" s="342">
        <v>13076</v>
      </c>
      <c r="C1281" s="343" t="s">
        <v>568</v>
      </c>
      <c r="D1281" s="343" t="str">
        <f ca="1">OFFSET('Zip Code Lines_1'!$U$3,MATCH('Zip Code Lines_1'!C1281,'Zip Code Lines_1'!$Q$4:$Q$26,0),0)</f>
        <v>Syracuse</v>
      </c>
      <c r="E1281" s="344">
        <f ca="1">OFFSET('Zip Code Lines_1'!$W$3,MATCH('Zip Code Lines_1'!C1281,'Zip Code Lines_1'!$Q$4:$Q$26,0),0)</f>
        <v>4.9000000000000004</v>
      </c>
      <c r="F1281" s="344">
        <f ca="1">OFFSET('Zip Code Lines_1'!$Z$3,MATCH('Zip Code Lines_1'!C1281,'Zip Code Lines_1'!$Q$4:$Q$26,0),0)</f>
        <v>86.4</v>
      </c>
      <c r="G1281" s="342">
        <f ca="1">OFFSET('Zip Code Lines_1'!$AC$3,MATCH('Zip Code Lines_1'!C1281,'Zip Code Lines_1'!$Q$4:$Q$26,0),0)</f>
        <v>12</v>
      </c>
      <c r="H1281" s="342">
        <v>13076</v>
      </c>
    </row>
    <row r="1282" spans="2:8" x14ac:dyDescent="0.25">
      <c r="B1282" s="342">
        <v>13077</v>
      </c>
      <c r="C1282" s="343" t="s">
        <v>569</v>
      </c>
      <c r="D1282" s="343" t="str">
        <f ca="1">OFFSET('Zip Code Lines_1'!$U$3,MATCH('Zip Code Lines_1'!C1282,'Zip Code Lines_1'!$Q$4:$Q$26,0),0)</f>
        <v>Utica</v>
      </c>
      <c r="E1282" s="344">
        <f ca="1">OFFSET('Zip Code Lines_1'!$W$3,MATCH('Zip Code Lines_1'!C1282,'Zip Code Lines_1'!$Q$4:$Q$26,0),0)</f>
        <v>1.2</v>
      </c>
      <c r="F1282" s="344">
        <f ca="1">OFFSET('Zip Code Lines_1'!$Z$3,MATCH('Zip Code Lines_1'!C1282,'Zip Code Lines_1'!$Q$4:$Q$26,0),0)</f>
        <v>84.2</v>
      </c>
      <c r="G1282" s="342">
        <f ca="1">OFFSET('Zip Code Lines_1'!$AC$3,MATCH('Zip Code Lines_1'!C1282,'Zip Code Lines_1'!$Q$4:$Q$26,0),0)</f>
        <v>18</v>
      </c>
      <c r="H1282" s="342">
        <v>13077</v>
      </c>
    </row>
    <row r="1283" spans="2:8" x14ac:dyDescent="0.25">
      <c r="B1283" s="342">
        <v>13078</v>
      </c>
      <c r="C1283" s="343" t="s">
        <v>568</v>
      </c>
      <c r="D1283" s="343" t="str">
        <f ca="1">OFFSET('Zip Code Lines_1'!$U$3,MATCH('Zip Code Lines_1'!C1283,'Zip Code Lines_1'!$Q$4:$Q$26,0),0)</f>
        <v>Syracuse</v>
      </c>
      <c r="E1283" s="344">
        <f ca="1">OFFSET('Zip Code Lines_1'!$W$3,MATCH('Zip Code Lines_1'!C1283,'Zip Code Lines_1'!$Q$4:$Q$26,0),0)</f>
        <v>4.9000000000000004</v>
      </c>
      <c r="F1283" s="344">
        <f ca="1">OFFSET('Zip Code Lines_1'!$Z$3,MATCH('Zip Code Lines_1'!C1283,'Zip Code Lines_1'!$Q$4:$Q$26,0),0)</f>
        <v>86.4</v>
      </c>
      <c r="G1283" s="342">
        <f ca="1">OFFSET('Zip Code Lines_1'!$AC$3,MATCH('Zip Code Lines_1'!C1283,'Zip Code Lines_1'!$Q$4:$Q$26,0),0)</f>
        <v>12</v>
      </c>
      <c r="H1283" s="342">
        <v>13078</v>
      </c>
    </row>
    <row r="1284" spans="2:8" x14ac:dyDescent="0.25">
      <c r="B1284" s="342">
        <v>13080</v>
      </c>
      <c r="C1284" s="343" t="s">
        <v>568</v>
      </c>
      <c r="D1284" s="343" t="str">
        <f ca="1">OFFSET('Zip Code Lines_1'!$U$3,MATCH('Zip Code Lines_1'!C1284,'Zip Code Lines_1'!$Q$4:$Q$26,0),0)</f>
        <v>Syracuse</v>
      </c>
      <c r="E1284" s="344">
        <f ca="1">OFFSET('Zip Code Lines_1'!$W$3,MATCH('Zip Code Lines_1'!C1284,'Zip Code Lines_1'!$Q$4:$Q$26,0),0)</f>
        <v>4.9000000000000004</v>
      </c>
      <c r="F1284" s="344">
        <f ca="1">OFFSET('Zip Code Lines_1'!$Z$3,MATCH('Zip Code Lines_1'!C1284,'Zip Code Lines_1'!$Q$4:$Q$26,0),0)</f>
        <v>86.4</v>
      </c>
      <c r="G1284" s="342">
        <f ca="1">OFFSET('Zip Code Lines_1'!$AC$3,MATCH('Zip Code Lines_1'!C1284,'Zip Code Lines_1'!$Q$4:$Q$26,0),0)</f>
        <v>12</v>
      </c>
      <c r="H1284" s="342">
        <v>13080</v>
      </c>
    </row>
    <row r="1285" spans="2:8" x14ac:dyDescent="0.25">
      <c r="B1285" s="342">
        <v>13081</v>
      </c>
      <c r="C1285" s="343" t="s">
        <v>532</v>
      </c>
      <c r="D1285" s="343" t="str">
        <f ca="1">OFFSET('Zip Code Lines_1'!$U$3,MATCH('Zip Code Lines_1'!C1285,'Zip Code Lines_1'!$Q$4:$Q$26,0),0)</f>
        <v>Binghamton</v>
      </c>
      <c r="E1285" s="344">
        <f ca="1">OFFSET('Zip Code Lines_1'!$W$3,MATCH('Zip Code Lines_1'!C1285,'Zip Code Lines_1'!$Q$4:$Q$26,0),0)</f>
        <v>4.5</v>
      </c>
      <c r="F1285" s="344">
        <f ca="1">OFFSET('Zip Code Lines_1'!$Z$3,MATCH('Zip Code Lines_1'!C1285,'Zip Code Lines_1'!$Q$4:$Q$26,0),0)</f>
        <v>82.3</v>
      </c>
      <c r="G1285" s="342">
        <f ca="1">OFFSET('Zip Code Lines_1'!$AC$3,MATCH('Zip Code Lines_1'!C1285,'Zip Code Lines_1'!$Q$4:$Q$26,0),0)</f>
        <v>12</v>
      </c>
      <c r="H1285" s="342">
        <v>13081</v>
      </c>
    </row>
    <row r="1286" spans="2:8" x14ac:dyDescent="0.25">
      <c r="B1286" s="342">
        <v>13082</v>
      </c>
      <c r="C1286" s="343" t="s">
        <v>568</v>
      </c>
      <c r="D1286" s="343" t="str">
        <f ca="1">OFFSET('Zip Code Lines_1'!$U$3,MATCH('Zip Code Lines_1'!C1286,'Zip Code Lines_1'!$Q$4:$Q$26,0),0)</f>
        <v>Syracuse</v>
      </c>
      <c r="E1286" s="344">
        <f ca="1">OFFSET('Zip Code Lines_1'!$W$3,MATCH('Zip Code Lines_1'!C1286,'Zip Code Lines_1'!$Q$4:$Q$26,0),0)</f>
        <v>4.9000000000000004</v>
      </c>
      <c r="F1286" s="344">
        <f ca="1">OFFSET('Zip Code Lines_1'!$Z$3,MATCH('Zip Code Lines_1'!C1286,'Zip Code Lines_1'!$Q$4:$Q$26,0),0)</f>
        <v>86.4</v>
      </c>
      <c r="G1286" s="342">
        <f ca="1">OFFSET('Zip Code Lines_1'!$AC$3,MATCH('Zip Code Lines_1'!C1286,'Zip Code Lines_1'!$Q$4:$Q$26,0),0)</f>
        <v>12</v>
      </c>
      <c r="H1286" s="342">
        <v>13082</v>
      </c>
    </row>
    <row r="1287" spans="2:8" x14ac:dyDescent="0.25">
      <c r="B1287" s="342">
        <v>13083</v>
      </c>
      <c r="C1287" s="343" t="s">
        <v>541</v>
      </c>
      <c r="D1287" s="343" t="str">
        <f ca="1">OFFSET('Zip Code Lines_1'!$U$3,MATCH('Zip Code Lines_1'!C1287,'Zip Code Lines_1'!$Q$4:$Q$26,0),0)</f>
        <v>Fort Drum</v>
      </c>
      <c r="E1287" s="344">
        <f ca="1">OFFSET('Zip Code Lines_1'!$W$3,MATCH('Zip Code Lines_1'!C1287,'Zip Code Lines_1'!$Q$4:$Q$26,0),0)</f>
        <v>-4.4000000000000004</v>
      </c>
      <c r="F1287" s="344">
        <f ca="1">OFFSET('Zip Code Lines_1'!$Z$3,MATCH('Zip Code Lines_1'!C1287,'Zip Code Lines_1'!$Q$4:$Q$26,0),0)</f>
        <v>83.6</v>
      </c>
      <c r="G1287" s="342">
        <f ca="1">OFFSET('Zip Code Lines_1'!$AC$3,MATCH('Zip Code Lines_1'!C1287,'Zip Code Lines_1'!$Q$4:$Q$26,0),0)</f>
        <v>18</v>
      </c>
      <c r="H1287" s="342">
        <v>13083</v>
      </c>
    </row>
    <row r="1288" spans="2:8" x14ac:dyDescent="0.25">
      <c r="B1288" s="342">
        <v>13084</v>
      </c>
      <c r="C1288" s="343" t="s">
        <v>568</v>
      </c>
      <c r="D1288" s="343" t="str">
        <f ca="1">OFFSET('Zip Code Lines_1'!$U$3,MATCH('Zip Code Lines_1'!C1288,'Zip Code Lines_1'!$Q$4:$Q$26,0),0)</f>
        <v>Syracuse</v>
      </c>
      <c r="E1288" s="344">
        <f ca="1">OFFSET('Zip Code Lines_1'!$W$3,MATCH('Zip Code Lines_1'!C1288,'Zip Code Lines_1'!$Q$4:$Q$26,0),0)</f>
        <v>4.9000000000000004</v>
      </c>
      <c r="F1288" s="344">
        <f ca="1">OFFSET('Zip Code Lines_1'!$Z$3,MATCH('Zip Code Lines_1'!C1288,'Zip Code Lines_1'!$Q$4:$Q$26,0),0)</f>
        <v>86.4</v>
      </c>
      <c r="G1288" s="342">
        <f ca="1">OFFSET('Zip Code Lines_1'!$AC$3,MATCH('Zip Code Lines_1'!C1288,'Zip Code Lines_1'!$Q$4:$Q$26,0),0)</f>
        <v>12</v>
      </c>
      <c r="H1288" s="342">
        <v>13084</v>
      </c>
    </row>
    <row r="1289" spans="2:8" x14ac:dyDescent="0.25">
      <c r="B1289" s="342">
        <v>13087</v>
      </c>
      <c r="C1289" s="343" t="s">
        <v>569</v>
      </c>
      <c r="D1289" s="343" t="str">
        <f ca="1">OFFSET('Zip Code Lines_1'!$U$3,MATCH('Zip Code Lines_1'!C1289,'Zip Code Lines_1'!$Q$4:$Q$26,0),0)</f>
        <v>Utica</v>
      </c>
      <c r="E1289" s="344">
        <f ca="1">OFFSET('Zip Code Lines_1'!$W$3,MATCH('Zip Code Lines_1'!C1289,'Zip Code Lines_1'!$Q$4:$Q$26,0),0)</f>
        <v>1.2</v>
      </c>
      <c r="F1289" s="344">
        <f ca="1">OFFSET('Zip Code Lines_1'!$Z$3,MATCH('Zip Code Lines_1'!C1289,'Zip Code Lines_1'!$Q$4:$Q$26,0),0)</f>
        <v>84.2</v>
      </c>
      <c r="G1289" s="342">
        <f ca="1">OFFSET('Zip Code Lines_1'!$AC$3,MATCH('Zip Code Lines_1'!C1289,'Zip Code Lines_1'!$Q$4:$Q$26,0),0)</f>
        <v>18</v>
      </c>
      <c r="H1289" s="342">
        <v>13087</v>
      </c>
    </row>
    <row r="1290" spans="2:8" x14ac:dyDescent="0.25">
      <c r="B1290" s="342">
        <v>13088</v>
      </c>
      <c r="C1290" s="343" t="s">
        <v>568</v>
      </c>
      <c r="D1290" s="343" t="str">
        <f ca="1">OFFSET('Zip Code Lines_1'!$U$3,MATCH('Zip Code Lines_1'!C1290,'Zip Code Lines_1'!$Q$4:$Q$26,0),0)</f>
        <v>Syracuse</v>
      </c>
      <c r="E1290" s="344">
        <f ca="1">OFFSET('Zip Code Lines_1'!$W$3,MATCH('Zip Code Lines_1'!C1290,'Zip Code Lines_1'!$Q$4:$Q$26,0),0)</f>
        <v>4.9000000000000004</v>
      </c>
      <c r="F1290" s="344">
        <f ca="1">OFFSET('Zip Code Lines_1'!$Z$3,MATCH('Zip Code Lines_1'!C1290,'Zip Code Lines_1'!$Q$4:$Q$26,0),0)</f>
        <v>86.4</v>
      </c>
      <c r="G1290" s="342">
        <f ca="1">OFFSET('Zip Code Lines_1'!$AC$3,MATCH('Zip Code Lines_1'!C1290,'Zip Code Lines_1'!$Q$4:$Q$26,0),0)</f>
        <v>12</v>
      </c>
      <c r="H1290" s="342">
        <v>13088</v>
      </c>
    </row>
    <row r="1291" spans="2:8" x14ac:dyDescent="0.25">
      <c r="B1291" s="342">
        <v>13089</v>
      </c>
      <c r="C1291" s="343" t="s">
        <v>568</v>
      </c>
      <c r="D1291" s="343" t="str">
        <f ca="1">OFFSET('Zip Code Lines_1'!$U$3,MATCH('Zip Code Lines_1'!C1291,'Zip Code Lines_1'!$Q$4:$Q$26,0),0)</f>
        <v>Syracuse</v>
      </c>
      <c r="E1291" s="344">
        <f ca="1">OFFSET('Zip Code Lines_1'!$W$3,MATCH('Zip Code Lines_1'!C1291,'Zip Code Lines_1'!$Q$4:$Q$26,0),0)</f>
        <v>4.9000000000000004</v>
      </c>
      <c r="F1291" s="344">
        <f ca="1">OFFSET('Zip Code Lines_1'!$Z$3,MATCH('Zip Code Lines_1'!C1291,'Zip Code Lines_1'!$Q$4:$Q$26,0),0)</f>
        <v>86.4</v>
      </c>
      <c r="G1291" s="342">
        <f ca="1">OFFSET('Zip Code Lines_1'!$AC$3,MATCH('Zip Code Lines_1'!C1291,'Zip Code Lines_1'!$Q$4:$Q$26,0),0)</f>
        <v>12</v>
      </c>
      <c r="H1291" s="342">
        <v>13089</v>
      </c>
    </row>
    <row r="1292" spans="2:8" x14ac:dyDescent="0.25">
      <c r="B1292" s="342">
        <v>13090</v>
      </c>
      <c r="C1292" s="343" t="s">
        <v>568</v>
      </c>
      <c r="D1292" s="343" t="str">
        <f ca="1">OFFSET('Zip Code Lines_1'!$U$3,MATCH('Zip Code Lines_1'!C1292,'Zip Code Lines_1'!$Q$4:$Q$26,0),0)</f>
        <v>Syracuse</v>
      </c>
      <c r="E1292" s="344">
        <f ca="1">OFFSET('Zip Code Lines_1'!$W$3,MATCH('Zip Code Lines_1'!C1292,'Zip Code Lines_1'!$Q$4:$Q$26,0),0)</f>
        <v>4.9000000000000004</v>
      </c>
      <c r="F1292" s="344">
        <f ca="1">OFFSET('Zip Code Lines_1'!$Z$3,MATCH('Zip Code Lines_1'!C1292,'Zip Code Lines_1'!$Q$4:$Q$26,0),0)</f>
        <v>86.4</v>
      </c>
      <c r="G1292" s="342">
        <f ca="1">OFFSET('Zip Code Lines_1'!$AC$3,MATCH('Zip Code Lines_1'!C1292,'Zip Code Lines_1'!$Q$4:$Q$26,0),0)</f>
        <v>12</v>
      </c>
      <c r="H1292" s="342">
        <v>13090</v>
      </c>
    </row>
    <row r="1293" spans="2:8" x14ac:dyDescent="0.25">
      <c r="B1293" s="342">
        <v>13092</v>
      </c>
      <c r="C1293" s="343" t="s">
        <v>532</v>
      </c>
      <c r="D1293" s="343" t="str">
        <f ca="1">OFFSET('Zip Code Lines_1'!$U$3,MATCH('Zip Code Lines_1'!C1293,'Zip Code Lines_1'!$Q$4:$Q$26,0),0)</f>
        <v>Binghamton</v>
      </c>
      <c r="E1293" s="344">
        <f ca="1">OFFSET('Zip Code Lines_1'!$W$3,MATCH('Zip Code Lines_1'!C1293,'Zip Code Lines_1'!$Q$4:$Q$26,0),0)</f>
        <v>4.5</v>
      </c>
      <c r="F1293" s="344">
        <f ca="1">OFFSET('Zip Code Lines_1'!$Z$3,MATCH('Zip Code Lines_1'!C1293,'Zip Code Lines_1'!$Q$4:$Q$26,0),0)</f>
        <v>82.3</v>
      </c>
      <c r="G1293" s="342">
        <f ca="1">OFFSET('Zip Code Lines_1'!$AC$3,MATCH('Zip Code Lines_1'!C1293,'Zip Code Lines_1'!$Q$4:$Q$26,0),0)</f>
        <v>12</v>
      </c>
      <c r="H1293" s="342">
        <v>13092</v>
      </c>
    </row>
    <row r="1294" spans="2:8" x14ac:dyDescent="0.25">
      <c r="B1294" s="342">
        <v>13093</v>
      </c>
      <c r="C1294" s="343" t="s">
        <v>568</v>
      </c>
      <c r="D1294" s="343" t="str">
        <f ca="1">OFFSET('Zip Code Lines_1'!$U$3,MATCH('Zip Code Lines_1'!C1294,'Zip Code Lines_1'!$Q$4:$Q$26,0),0)</f>
        <v>Syracuse</v>
      </c>
      <c r="E1294" s="344">
        <f ca="1">OFFSET('Zip Code Lines_1'!$W$3,MATCH('Zip Code Lines_1'!C1294,'Zip Code Lines_1'!$Q$4:$Q$26,0),0)</f>
        <v>4.9000000000000004</v>
      </c>
      <c r="F1294" s="344">
        <f ca="1">OFFSET('Zip Code Lines_1'!$Z$3,MATCH('Zip Code Lines_1'!C1294,'Zip Code Lines_1'!$Q$4:$Q$26,0),0)</f>
        <v>86.4</v>
      </c>
      <c r="G1294" s="342">
        <f ca="1">OFFSET('Zip Code Lines_1'!$AC$3,MATCH('Zip Code Lines_1'!C1294,'Zip Code Lines_1'!$Q$4:$Q$26,0),0)</f>
        <v>12</v>
      </c>
      <c r="H1294" s="342">
        <v>13093</v>
      </c>
    </row>
    <row r="1295" spans="2:8" x14ac:dyDescent="0.25">
      <c r="B1295" s="342">
        <v>13101</v>
      </c>
      <c r="C1295" s="343" t="s">
        <v>569</v>
      </c>
      <c r="D1295" s="343" t="str">
        <f ca="1">OFFSET('Zip Code Lines_1'!$U$3,MATCH('Zip Code Lines_1'!C1295,'Zip Code Lines_1'!$Q$4:$Q$26,0),0)</f>
        <v>Utica</v>
      </c>
      <c r="E1295" s="344">
        <f ca="1">OFFSET('Zip Code Lines_1'!$W$3,MATCH('Zip Code Lines_1'!C1295,'Zip Code Lines_1'!$Q$4:$Q$26,0),0)</f>
        <v>1.2</v>
      </c>
      <c r="F1295" s="344">
        <f ca="1">OFFSET('Zip Code Lines_1'!$Z$3,MATCH('Zip Code Lines_1'!C1295,'Zip Code Lines_1'!$Q$4:$Q$26,0),0)</f>
        <v>84.2</v>
      </c>
      <c r="G1295" s="342">
        <f ca="1">OFFSET('Zip Code Lines_1'!$AC$3,MATCH('Zip Code Lines_1'!C1295,'Zip Code Lines_1'!$Q$4:$Q$26,0),0)</f>
        <v>18</v>
      </c>
      <c r="H1295" s="342">
        <v>13101</v>
      </c>
    </row>
    <row r="1296" spans="2:8" x14ac:dyDescent="0.25">
      <c r="B1296" s="342">
        <v>13102</v>
      </c>
      <c r="C1296" s="343" t="s">
        <v>532</v>
      </c>
      <c r="D1296" s="343" t="str">
        <f ca="1">OFFSET('Zip Code Lines_1'!$U$3,MATCH('Zip Code Lines_1'!C1296,'Zip Code Lines_1'!$Q$4:$Q$26,0),0)</f>
        <v>Binghamton</v>
      </c>
      <c r="E1296" s="344">
        <f ca="1">OFFSET('Zip Code Lines_1'!$W$3,MATCH('Zip Code Lines_1'!C1296,'Zip Code Lines_1'!$Q$4:$Q$26,0),0)</f>
        <v>4.5</v>
      </c>
      <c r="F1296" s="344">
        <f ca="1">OFFSET('Zip Code Lines_1'!$Z$3,MATCH('Zip Code Lines_1'!C1296,'Zip Code Lines_1'!$Q$4:$Q$26,0),0)</f>
        <v>82.3</v>
      </c>
      <c r="G1296" s="342">
        <f ca="1">OFFSET('Zip Code Lines_1'!$AC$3,MATCH('Zip Code Lines_1'!C1296,'Zip Code Lines_1'!$Q$4:$Q$26,0),0)</f>
        <v>12</v>
      </c>
      <c r="H1296" s="342">
        <v>13102</v>
      </c>
    </row>
    <row r="1297" spans="2:8" x14ac:dyDescent="0.25">
      <c r="B1297" s="342">
        <v>13103</v>
      </c>
      <c r="C1297" s="343" t="s">
        <v>568</v>
      </c>
      <c r="D1297" s="343" t="str">
        <f ca="1">OFFSET('Zip Code Lines_1'!$U$3,MATCH('Zip Code Lines_1'!C1297,'Zip Code Lines_1'!$Q$4:$Q$26,0),0)</f>
        <v>Syracuse</v>
      </c>
      <c r="E1297" s="344">
        <f ca="1">OFFSET('Zip Code Lines_1'!$W$3,MATCH('Zip Code Lines_1'!C1297,'Zip Code Lines_1'!$Q$4:$Q$26,0),0)</f>
        <v>4.9000000000000004</v>
      </c>
      <c r="F1297" s="344">
        <f ca="1">OFFSET('Zip Code Lines_1'!$Z$3,MATCH('Zip Code Lines_1'!C1297,'Zip Code Lines_1'!$Q$4:$Q$26,0),0)</f>
        <v>86.4</v>
      </c>
      <c r="G1297" s="342">
        <f ca="1">OFFSET('Zip Code Lines_1'!$AC$3,MATCH('Zip Code Lines_1'!C1297,'Zip Code Lines_1'!$Q$4:$Q$26,0),0)</f>
        <v>12</v>
      </c>
      <c r="H1297" s="342">
        <v>13103</v>
      </c>
    </row>
    <row r="1298" spans="2:8" x14ac:dyDescent="0.25">
      <c r="B1298" s="342">
        <v>13104</v>
      </c>
      <c r="C1298" s="343" t="s">
        <v>568</v>
      </c>
      <c r="D1298" s="343" t="str">
        <f ca="1">OFFSET('Zip Code Lines_1'!$U$3,MATCH('Zip Code Lines_1'!C1298,'Zip Code Lines_1'!$Q$4:$Q$26,0),0)</f>
        <v>Syracuse</v>
      </c>
      <c r="E1298" s="344">
        <f ca="1">OFFSET('Zip Code Lines_1'!$W$3,MATCH('Zip Code Lines_1'!C1298,'Zip Code Lines_1'!$Q$4:$Q$26,0),0)</f>
        <v>4.9000000000000004</v>
      </c>
      <c r="F1298" s="344">
        <f ca="1">OFFSET('Zip Code Lines_1'!$Z$3,MATCH('Zip Code Lines_1'!C1298,'Zip Code Lines_1'!$Q$4:$Q$26,0),0)</f>
        <v>86.4</v>
      </c>
      <c r="G1298" s="342">
        <f ca="1">OFFSET('Zip Code Lines_1'!$AC$3,MATCH('Zip Code Lines_1'!C1298,'Zip Code Lines_1'!$Q$4:$Q$26,0),0)</f>
        <v>12</v>
      </c>
      <c r="H1298" s="342">
        <v>13104</v>
      </c>
    </row>
    <row r="1299" spans="2:8" x14ac:dyDescent="0.25">
      <c r="B1299" s="342">
        <v>13107</v>
      </c>
      <c r="C1299" s="343" t="s">
        <v>568</v>
      </c>
      <c r="D1299" s="343" t="str">
        <f ca="1">OFFSET('Zip Code Lines_1'!$U$3,MATCH('Zip Code Lines_1'!C1299,'Zip Code Lines_1'!$Q$4:$Q$26,0),0)</f>
        <v>Syracuse</v>
      </c>
      <c r="E1299" s="344">
        <f ca="1">OFFSET('Zip Code Lines_1'!$W$3,MATCH('Zip Code Lines_1'!C1299,'Zip Code Lines_1'!$Q$4:$Q$26,0),0)</f>
        <v>4.9000000000000004</v>
      </c>
      <c r="F1299" s="344">
        <f ca="1">OFFSET('Zip Code Lines_1'!$Z$3,MATCH('Zip Code Lines_1'!C1299,'Zip Code Lines_1'!$Q$4:$Q$26,0),0)</f>
        <v>86.4</v>
      </c>
      <c r="G1299" s="342">
        <f ca="1">OFFSET('Zip Code Lines_1'!$AC$3,MATCH('Zip Code Lines_1'!C1299,'Zip Code Lines_1'!$Q$4:$Q$26,0),0)</f>
        <v>12</v>
      </c>
      <c r="H1299" s="342">
        <v>13107</v>
      </c>
    </row>
    <row r="1300" spans="2:8" x14ac:dyDescent="0.25">
      <c r="B1300" s="342">
        <v>13108</v>
      </c>
      <c r="C1300" s="343" t="s">
        <v>568</v>
      </c>
      <c r="D1300" s="343" t="str">
        <f ca="1">OFFSET('Zip Code Lines_1'!$U$3,MATCH('Zip Code Lines_1'!C1300,'Zip Code Lines_1'!$Q$4:$Q$26,0),0)</f>
        <v>Syracuse</v>
      </c>
      <c r="E1300" s="344">
        <f ca="1">OFFSET('Zip Code Lines_1'!$W$3,MATCH('Zip Code Lines_1'!C1300,'Zip Code Lines_1'!$Q$4:$Q$26,0),0)</f>
        <v>4.9000000000000004</v>
      </c>
      <c r="F1300" s="344">
        <f ca="1">OFFSET('Zip Code Lines_1'!$Z$3,MATCH('Zip Code Lines_1'!C1300,'Zip Code Lines_1'!$Q$4:$Q$26,0),0)</f>
        <v>86.4</v>
      </c>
      <c r="G1300" s="342">
        <f ca="1">OFFSET('Zip Code Lines_1'!$AC$3,MATCH('Zip Code Lines_1'!C1300,'Zip Code Lines_1'!$Q$4:$Q$26,0),0)</f>
        <v>12</v>
      </c>
      <c r="H1300" s="342">
        <v>13108</v>
      </c>
    </row>
    <row r="1301" spans="2:8" x14ac:dyDescent="0.25">
      <c r="B1301" s="342">
        <v>13110</v>
      </c>
      <c r="C1301" s="343" t="s">
        <v>568</v>
      </c>
      <c r="D1301" s="343" t="str">
        <f ca="1">OFFSET('Zip Code Lines_1'!$U$3,MATCH('Zip Code Lines_1'!C1301,'Zip Code Lines_1'!$Q$4:$Q$26,0),0)</f>
        <v>Syracuse</v>
      </c>
      <c r="E1301" s="344">
        <f ca="1">OFFSET('Zip Code Lines_1'!$W$3,MATCH('Zip Code Lines_1'!C1301,'Zip Code Lines_1'!$Q$4:$Q$26,0),0)</f>
        <v>4.9000000000000004</v>
      </c>
      <c r="F1301" s="344">
        <f ca="1">OFFSET('Zip Code Lines_1'!$Z$3,MATCH('Zip Code Lines_1'!C1301,'Zip Code Lines_1'!$Q$4:$Q$26,0),0)</f>
        <v>86.4</v>
      </c>
      <c r="G1301" s="342">
        <f ca="1">OFFSET('Zip Code Lines_1'!$AC$3,MATCH('Zip Code Lines_1'!C1301,'Zip Code Lines_1'!$Q$4:$Q$26,0),0)</f>
        <v>12</v>
      </c>
      <c r="H1301" s="342">
        <v>13110</v>
      </c>
    </row>
    <row r="1302" spans="2:8" x14ac:dyDescent="0.25">
      <c r="B1302" s="342">
        <v>13111</v>
      </c>
      <c r="C1302" s="343" t="s">
        <v>568</v>
      </c>
      <c r="D1302" s="343" t="str">
        <f ca="1">OFFSET('Zip Code Lines_1'!$U$3,MATCH('Zip Code Lines_1'!C1302,'Zip Code Lines_1'!$Q$4:$Q$26,0),0)</f>
        <v>Syracuse</v>
      </c>
      <c r="E1302" s="344">
        <f ca="1">OFFSET('Zip Code Lines_1'!$W$3,MATCH('Zip Code Lines_1'!C1302,'Zip Code Lines_1'!$Q$4:$Q$26,0),0)</f>
        <v>4.9000000000000004</v>
      </c>
      <c r="F1302" s="344">
        <f ca="1">OFFSET('Zip Code Lines_1'!$Z$3,MATCH('Zip Code Lines_1'!C1302,'Zip Code Lines_1'!$Q$4:$Q$26,0),0)</f>
        <v>86.4</v>
      </c>
      <c r="G1302" s="342">
        <f ca="1">OFFSET('Zip Code Lines_1'!$AC$3,MATCH('Zip Code Lines_1'!C1302,'Zip Code Lines_1'!$Q$4:$Q$26,0),0)</f>
        <v>12</v>
      </c>
      <c r="H1302" s="342">
        <v>13111</v>
      </c>
    </row>
    <row r="1303" spans="2:8" x14ac:dyDescent="0.25">
      <c r="B1303" s="342">
        <v>13112</v>
      </c>
      <c r="C1303" s="343" t="s">
        <v>568</v>
      </c>
      <c r="D1303" s="343" t="str">
        <f ca="1">OFFSET('Zip Code Lines_1'!$U$3,MATCH('Zip Code Lines_1'!C1303,'Zip Code Lines_1'!$Q$4:$Q$26,0),0)</f>
        <v>Syracuse</v>
      </c>
      <c r="E1303" s="344">
        <f ca="1">OFFSET('Zip Code Lines_1'!$W$3,MATCH('Zip Code Lines_1'!C1303,'Zip Code Lines_1'!$Q$4:$Q$26,0),0)</f>
        <v>4.9000000000000004</v>
      </c>
      <c r="F1303" s="344">
        <f ca="1">OFFSET('Zip Code Lines_1'!$Z$3,MATCH('Zip Code Lines_1'!C1303,'Zip Code Lines_1'!$Q$4:$Q$26,0),0)</f>
        <v>86.4</v>
      </c>
      <c r="G1303" s="342">
        <f ca="1">OFFSET('Zip Code Lines_1'!$AC$3,MATCH('Zip Code Lines_1'!C1303,'Zip Code Lines_1'!$Q$4:$Q$26,0),0)</f>
        <v>12</v>
      </c>
      <c r="H1303" s="342">
        <v>13112</v>
      </c>
    </row>
    <row r="1304" spans="2:8" x14ac:dyDescent="0.25">
      <c r="B1304" s="342">
        <v>13113</v>
      </c>
      <c r="C1304" s="343" t="s">
        <v>568</v>
      </c>
      <c r="D1304" s="343" t="str">
        <f ca="1">OFFSET('Zip Code Lines_1'!$U$3,MATCH('Zip Code Lines_1'!C1304,'Zip Code Lines_1'!$Q$4:$Q$26,0),0)</f>
        <v>Syracuse</v>
      </c>
      <c r="E1304" s="344">
        <f ca="1">OFFSET('Zip Code Lines_1'!$W$3,MATCH('Zip Code Lines_1'!C1304,'Zip Code Lines_1'!$Q$4:$Q$26,0),0)</f>
        <v>4.9000000000000004</v>
      </c>
      <c r="F1304" s="344">
        <f ca="1">OFFSET('Zip Code Lines_1'!$Z$3,MATCH('Zip Code Lines_1'!C1304,'Zip Code Lines_1'!$Q$4:$Q$26,0),0)</f>
        <v>86.4</v>
      </c>
      <c r="G1304" s="342">
        <f ca="1">OFFSET('Zip Code Lines_1'!$AC$3,MATCH('Zip Code Lines_1'!C1304,'Zip Code Lines_1'!$Q$4:$Q$26,0),0)</f>
        <v>12</v>
      </c>
      <c r="H1304" s="342">
        <v>13113</v>
      </c>
    </row>
    <row r="1305" spans="2:8" x14ac:dyDescent="0.25">
      <c r="B1305" s="342">
        <v>13114</v>
      </c>
      <c r="C1305" s="343" t="s">
        <v>568</v>
      </c>
      <c r="D1305" s="343" t="str">
        <f ca="1">OFFSET('Zip Code Lines_1'!$U$3,MATCH('Zip Code Lines_1'!C1305,'Zip Code Lines_1'!$Q$4:$Q$26,0),0)</f>
        <v>Syracuse</v>
      </c>
      <c r="E1305" s="344">
        <f ca="1">OFFSET('Zip Code Lines_1'!$W$3,MATCH('Zip Code Lines_1'!C1305,'Zip Code Lines_1'!$Q$4:$Q$26,0),0)</f>
        <v>4.9000000000000004</v>
      </c>
      <c r="F1305" s="344">
        <f ca="1">OFFSET('Zip Code Lines_1'!$Z$3,MATCH('Zip Code Lines_1'!C1305,'Zip Code Lines_1'!$Q$4:$Q$26,0),0)</f>
        <v>86.4</v>
      </c>
      <c r="G1305" s="342">
        <f ca="1">OFFSET('Zip Code Lines_1'!$AC$3,MATCH('Zip Code Lines_1'!C1305,'Zip Code Lines_1'!$Q$4:$Q$26,0),0)</f>
        <v>12</v>
      </c>
      <c r="H1305" s="342">
        <v>13114</v>
      </c>
    </row>
    <row r="1306" spans="2:8" x14ac:dyDescent="0.25">
      <c r="B1306" s="342">
        <v>13115</v>
      </c>
      <c r="C1306" s="343" t="s">
        <v>568</v>
      </c>
      <c r="D1306" s="343" t="str">
        <f ca="1">OFFSET('Zip Code Lines_1'!$U$3,MATCH('Zip Code Lines_1'!C1306,'Zip Code Lines_1'!$Q$4:$Q$26,0),0)</f>
        <v>Syracuse</v>
      </c>
      <c r="E1306" s="344">
        <f ca="1">OFFSET('Zip Code Lines_1'!$W$3,MATCH('Zip Code Lines_1'!C1306,'Zip Code Lines_1'!$Q$4:$Q$26,0),0)</f>
        <v>4.9000000000000004</v>
      </c>
      <c r="F1306" s="344">
        <f ca="1">OFFSET('Zip Code Lines_1'!$Z$3,MATCH('Zip Code Lines_1'!C1306,'Zip Code Lines_1'!$Q$4:$Q$26,0),0)</f>
        <v>86.4</v>
      </c>
      <c r="G1306" s="342">
        <f ca="1">OFFSET('Zip Code Lines_1'!$AC$3,MATCH('Zip Code Lines_1'!C1306,'Zip Code Lines_1'!$Q$4:$Q$26,0),0)</f>
        <v>12</v>
      </c>
      <c r="H1306" s="342">
        <v>13115</v>
      </c>
    </row>
    <row r="1307" spans="2:8" x14ac:dyDescent="0.25">
      <c r="B1307" s="342">
        <v>13116</v>
      </c>
      <c r="C1307" s="343" t="s">
        <v>568</v>
      </c>
      <c r="D1307" s="343" t="str">
        <f ca="1">OFFSET('Zip Code Lines_1'!$U$3,MATCH('Zip Code Lines_1'!C1307,'Zip Code Lines_1'!$Q$4:$Q$26,0),0)</f>
        <v>Syracuse</v>
      </c>
      <c r="E1307" s="344">
        <f ca="1">OFFSET('Zip Code Lines_1'!$W$3,MATCH('Zip Code Lines_1'!C1307,'Zip Code Lines_1'!$Q$4:$Q$26,0),0)</f>
        <v>4.9000000000000004</v>
      </c>
      <c r="F1307" s="344">
        <f ca="1">OFFSET('Zip Code Lines_1'!$Z$3,MATCH('Zip Code Lines_1'!C1307,'Zip Code Lines_1'!$Q$4:$Q$26,0),0)</f>
        <v>86.4</v>
      </c>
      <c r="G1307" s="342">
        <f ca="1">OFFSET('Zip Code Lines_1'!$AC$3,MATCH('Zip Code Lines_1'!C1307,'Zip Code Lines_1'!$Q$4:$Q$26,0),0)</f>
        <v>12</v>
      </c>
      <c r="H1307" s="342">
        <v>13116</v>
      </c>
    </row>
    <row r="1308" spans="2:8" x14ac:dyDescent="0.25">
      <c r="B1308" s="342">
        <v>13117</v>
      </c>
      <c r="C1308" s="343" t="s">
        <v>568</v>
      </c>
      <c r="D1308" s="343" t="str">
        <f ca="1">OFFSET('Zip Code Lines_1'!$U$3,MATCH('Zip Code Lines_1'!C1308,'Zip Code Lines_1'!$Q$4:$Q$26,0),0)</f>
        <v>Syracuse</v>
      </c>
      <c r="E1308" s="344">
        <f ca="1">OFFSET('Zip Code Lines_1'!$W$3,MATCH('Zip Code Lines_1'!C1308,'Zip Code Lines_1'!$Q$4:$Q$26,0),0)</f>
        <v>4.9000000000000004</v>
      </c>
      <c r="F1308" s="344">
        <f ca="1">OFFSET('Zip Code Lines_1'!$Z$3,MATCH('Zip Code Lines_1'!C1308,'Zip Code Lines_1'!$Q$4:$Q$26,0),0)</f>
        <v>86.4</v>
      </c>
      <c r="G1308" s="342">
        <f ca="1">OFFSET('Zip Code Lines_1'!$AC$3,MATCH('Zip Code Lines_1'!C1308,'Zip Code Lines_1'!$Q$4:$Q$26,0),0)</f>
        <v>12</v>
      </c>
      <c r="H1308" s="342">
        <v>13117</v>
      </c>
    </row>
    <row r="1309" spans="2:8" x14ac:dyDescent="0.25">
      <c r="B1309" s="342">
        <v>13118</v>
      </c>
      <c r="C1309" s="343" t="s">
        <v>569</v>
      </c>
      <c r="D1309" s="343" t="str">
        <f ca="1">OFFSET('Zip Code Lines_1'!$U$3,MATCH('Zip Code Lines_1'!C1309,'Zip Code Lines_1'!$Q$4:$Q$26,0),0)</f>
        <v>Utica</v>
      </c>
      <c r="E1309" s="344">
        <f ca="1">OFFSET('Zip Code Lines_1'!$W$3,MATCH('Zip Code Lines_1'!C1309,'Zip Code Lines_1'!$Q$4:$Q$26,0),0)</f>
        <v>1.2</v>
      </c>
      <c r="F1309" s="344">
        <f ca="1">OFFSET('Zip Code Lines_1'!$Z$3,MATCH('Zip Code Lines_1'!C1309,'Zip Code Lines_1'!$Q$4:$Q$26,0),0)</f>
        <v>84.2</v>
      </c>
      <c r="G1309" s="342">
        <f ca="1">OFFSET('Zip Code Lines_1'!$AC$3,MATCH('Zip Code Lines_1'!C1309,'Zip Code Lines_1'!$Q$4:$Q$26,0),0)</f>
        <v>18</v>
      </c>
      <c r="H1309" s="342">
        <v>13118</v>
      </c>
    </row>
    <row r="1310" spans="2:8" x14ac:dyDescent="0.25">
      <c r="B1310" s="342">
        <v>13119</v>
      </c>
      <c r="C1310" s="343" t="s">
        <v>568</v>
      </c>
      <c r="D1310" s="343" t="str">
        <f ca="1">OFFSET('Zip Code Lines_1'!$U$3,MATCH('Zip Code Lines_1'!C1310,'Zip Code Lines_1'!$Q$4:$Q$26,0),0)</f>
        <v>Syracuse</v>
      </c>
      <c r="E1310" s="344">
        <f ca="1">OFFSET('Zip Code Lines_1'!$W$3,MATCH('Zip Code Lines_1'!C1310,'Zip Code Lines_1'!$Q$4:$Q$26,0),0)</f>
        <v>4.9000000000000004</v>
      </c>
      <c r="F1310" s="344">
        <f ca="1">OFFSET('Zip Code Lines_1'!$Z$3,MATCH('Zip Code Lines_1'!C1310,'Zip Code Lines_1'!$Q$4:$Q$26,0),0)</f>
        <v>86.4</v>
      </c>
      <c r="G1310" s="342">
        <f ca="1">OFFSET('Zip Code Lines_1'!$AC$3,MATCH('Zip Code Lines_1'!C1310,'Zip Code Lines_1'!$Q$4:$Q$26,0),0)</f>
        <v>12</v>
      </c>
      <c r="H1310" s="342">
        <v>13119</v>
      </c>
    </row>
    <row r="1311" spans="2:8" x14ac:dyDescent="0.25">
      <c r="B1311" s="342">
        <v>13120</v>
      </c>
      <c r="C1311" s="343" t="s">
        <v>568</v>
      </c>
      <c r="D1311" s="343" t="str">
        <f ca="1">OFFSET('Zip Code Lines_1'!$U$3,MATCH('Zip Code Lines_1'!C1311,'Zip Code Lines_1'!$Q$4:$Q$26,0),0)</f>
        <v>Syracuse</v>
      </c>
      <c r="E1311" s="344">
        <f ca="1">OFFSET('Zip Code Lines_1'!$W$3,MATCH('Zip Code Lines_1'!C1311,'Zip Code Lines_1'!$Q$4:$Q$26,0),0)</f>
        <v>4.9000000000000004</v>
      </c>
      <c r="F1311" s="344">
        <f ca="1">OFFSET('Zip Code Lines_1'!$Z$3,MATCH('Zip Code Lines_1'!C1311,'Zip Code Lines_1'!$Q$4:$Q$26,0),0)</f>
        <v>86.4</v>
      </c>
      <c r="G1311" s="342">
        <f ca="1">OFFSET('Zip Code Lines_1'!$AC$3,MATCH('Zip Code Lines_1'!C1311,'Zip Code Lines_1'!$Q$4:$Q$26,0),0)</f>
        <v>12</v>
      </c>
      <c r="H1311" s="342">
        <v>13120</v>
      </c>
    </row>
    <row r="1312" spans="2:8" x14ac:dyDescent="0.25">
      <c r="B1312" s="342">
        <v>13121</v>
      </c>
      <c r="C1312" s="343" t="s">
        <v>568</v>
      </c>
      <c r="D1312" s="343" t="str">
        <f ca="1">OFFSET('Zip Code Lines_1'!$U$3,MATCH('Zip Code Lines_1'!C1312,'Zip Code Lines_1'!$Q$4:$Q$26,0),0)</f>
        <v>Syracuse</v>
      </c>
      <c r="E1312" s="344">
        <f ca="1">OFFSET('Zip Code Lines_1'!$W$3,MATCH('Zip Code Lines_1'!C1312,'Zip Code Lines_1'!$Q$4:$Q$26,0),0)</f>
        <v>4.9000000000000004</v>
      </c>
      <c r="F1312" s="344">
        <f ca="1">OFFSET('Zip Code Lines_1'!$Z$3,MATCH('Zip Code Lines_1'!C1312,'Zip Code Lines_1'!$Q$4:$Q$26,0),0)</f>
        <v>86.4</v>
      </c>
      <c r="G1312" s="342">
        <f ca="1">OFFSET('Zip Code Lines_1'!$AC$3,MATCH('Zip Code Lines_1'!C1312,'Zip Code Lines_1'!$Q$4:$Q$26,0),0)</f>
        <v>12</v>
      </c>
      <c r="H1312" s="342">
        <v>13121</v>
      </c>
    </row>
    <row r="1313" spans="2:8" x14ac:dyDescent="0.25">
      <c r="B1313" s="342">
        <v>13122</v>
      </c>
      <c r="C1313" s="343" t="s">
        <v>569</v>
      </c>
      <c r="D1313" s="343" t="str">
        <f ca="1">OFFSET('Zip Code Lines_1'!$U$3,MATCH('Zip Code Lines_1'!C1313,'Zip Code Lines_1'!$Q$4:$Q$26,0),0)</f>
        <v>Utica</v>
      </c>
      <c r="E1313" s="344">
        <f ca="1">OFFSET('Zip Code Lines_1'!$W$3,MATCH('Zip Code Lines_1'!C1313,'Zip Code Lines_1'!$Q$4:$Q$26,0),0)</f>
        <v>1.2</v>
      </c>
      <c r="F1313" s="344">
        <f ca="1">OFFSET('Zip Code Lines_1'!$Z$3,MATCH('Zip Code Lines_1'!C1313,'Zip Code Lines_1'!$Q$4:$Q$26,0),0)</f>
        <v>84.2</v>
      </c>
      <c r="G1313" s="342">
        <f ca="1">OFFSET('Zip Code Lines_1'!$AC$3,MATCH('Zip Code Lines_1'!C1313,'Zip Code Lines_1'!$Q$4:$Q$26,0),0)</f>
        <v>18</v>
      </c>
      <c r="H1313" s="342">
        <v>13122</v>
      </c>
    </row>
    <row r="1314" spans="2:8" x14ac:dyDescent="0.25">
      <c r="B1314" s="342">
        <v>13123</v>
      </c>
      <c r="C1314" s="343" t="s">
        <v>569</v>
      </c>
      <c r="D1314" s="343" t="str">
        <f ca="1">OFFSET('Zip Code Lines_1'!$U$3,MATCH('Zip Code Lines_1'!C1314,'Zip Code Lines_1'!$Q$4:$Q$26,0),0)</f>
        <v>Utica</v>
      </c>
      <c r="E1314" s="344">
        <f ca="1">OFFSET('Zip Code Lines_1'!$W$3,MATCH('Zip Code Lines_1'!C1314,'Zip Code Lines_1'!$Q$4:$Q$26,0),0)</f>
        <v>1.2</v>
      </c>
      <c r="F1314" s="344">
        <f ca="1">OFFSET('Zip Code Lines_1'!$Z$3,MATCH('Zip Code Lines_1'!C1314,'Zip Code Lines_1'!$Q$4:$Q$26,0),0)</f>
        <v>84.2</v>
      </c>
      <c r="G1314" s="342">
        <f ca="1">OFFSET('Zip Code Lines_1'!$AC$3,MATCH('Zip Code Lines_1'!C1314,'Zip Code Lines_1'!$Q$4:$Q$26,0),0)</f>
        <v>18</v>
      </c>
      <c r="H1314" s="342">
        <v>13123</v>
      </c>
    </row>
    <row r="1315" spans="2:8" x14ac:dyDescent="0.25">
      <c r="B1315" s="342">
        <v>13124</v>
      </c>
      <c r="C1315" s="343" t="s">
        <v>569</v>
      </c>
      <c r="D1315" s="343" t="str">
        <f ca="1">OFFSET('Zip Code Lines_1'!$U$3,MATCH('Zip Code Lines_1'!C1315,'Zip Code Lines_1'!$Q$4:$Q$26,0),0)</f>
        <v>Utica</v>
      </c>
      <c r="E1315" s="344">
        <f ca="1">OFFSET('Zip Code Lines_1'!$W$3,MATCH('Zip Code Lines_1'!C1315,'Zip Code Lines_1'!$Q$4:$Q$26,0),0)</f>
        <v>1.2</v>
      </c>
      <c r="F1315" s="344">
        <f ca="1">OFFSET('Zip Code Lines_1'!$Z$3,MATCH('Zip Code Lines_1'!C1315,'Zip Code Lines_1'!$Q$4:$Q$26,0),0)</f>
        <v>84.2</v>
      </c>
      <c r="G1315" s="342">
        <f ca="1">OFFSET('Zip Code Lines_1'!$AC$3,MATCH('Zip Code Lines_1'!C1315,'Zip Code Lines_1'!$Q$4:$Q$26,0),0)</f>
        <v>18</v>
      </c>
      <c r="H1315" s="342">
        <v>13124</v>
      </c>
    </row>
    <row r="1316" spans="2:8" x14ac:dyDescent="0.25">
      <c r="B1316" s="342">
        <v>13126</v>
      </c>
      <c r="C1316" s="343" t="s">
        <v>568</v>
      </c>
      <c r="D1316" s="343" t="str">
        <f ca="1">OFFSET('Zip Code Lines_1'!$U$3,MATCH('Zip Code Lines_1'!C1316,'Zip Code Lines_1'!$Q$4:$Q$26,0),0)</f>
        <v>Syracuse</v>
      </c>
      <c r="E1316" s="344">
        <f ca="1">OFFSET('Zip Code Lines_1'!$W$3,MATCH('Zip Code Lines_1'!C1316,'Zip Code Lines_1'!$Q$4:$Q$26,0),0)</f>
        <v>4.9000000000000004</v>
      </c>
      <c r="F1316" s="344">
        <f ca="1">OFFSET('Zip Code Lines_1'!$Z$3,MATCH('Zip Code Lines_1'!C1316,'Zip Code Lines_1'!$Q$4:$Q$26,0),0)</f>
        <v>86.4</v>
      </c>
      <c r="G1316" s="342">
        <f ca="1">OFFSET('Zip Code Lines_1'!$AC$3,MATCH('Zip Code Lines_1'!C1316,'Zip Code Lines_1'!$Q$4:$Q$26,0),0)</f>
        <v>12</v>
      </c>
      <c r="H1316" s="342">
        <v>13126</v>
      </c>
    </row>
    <row r="1317" spans="2:8" x14ac:dyDescent="0.25">
      <c r="B1317" s="342">
        <v>13131</v>
      </c>
      <c r="C1317" s="343" t="s">
        <v>568</v>
      </c>
      <c r="D1317" s="343" t="str">
        <f ca="1">OFFSET('Zip Code Lines_1'!$U$3,MATCH('Zip Code Lines_1'!C1317,'Zip Code Lines_1'!$Q$4:$Q$26,0),0)</f>
        <v>Syracuse</v>
      </c>
      <c r="E1317" s="344">
        <f ca="1">OFFSET('Zip Code Lines_1'!$W$3,MATCH('Zip Code Lines_1'!C1317,'Zip Code Lines_1'!$Q$4:$Q$26,0),0)</f>
        <v>4.9000000000000004</v>
      </c>
      <c r="F1317" s="344">
        <f ca="1">OFFSET('Zip Code Lines_1'!$Z$3,MATCH('Zip Code Lines_1'!C1317,'Zip Code Lines_1'!$Q$4:$Q$26,0),0)</f>
        <v>86.4</v>
      </c>
      <c r="G1317" s="342">
        <f ca="1">OFFSET('Zip Code Lines_1'!$AC$3,MATCH('Zip Code Lines_1'!C1317,'Zip Code Lines_1'!$Q$4:$Q$26,0),0)</f>
        <v>12</v>
      </c>
      <c r="H1317" s="342">
        <v>13131</v>
      </c>
    </row>
    <row r="1318" spans="2:8" x14ac:dyDescent="0.25">
      <c r="B1318" s="342">
        <v>13132</v>
      </c>
      <c r="C1318" s="343" t="s">
        <v>568</v>
      </c>
      <c r="D1318" s="343" t="str">
        <f ca="1">OFFSET('Zip Code Lines_1'!$U$3,MATCH('Zip Code Lines_1'!C1318,'Zip Code Lines_1'!$Q$4:$Q$26,0),0)</f>
        <v>Syracuse</v>
      </c>
      <c r="E1318" s="344">
        <f ca="1">OFFSET('Zip Code Lines_1'!$W$3,MATCH('Zip Code Lines_1'!C1318,'Zip Code Lines_1'!$Q$4:$Q$26,0),0)</f>
        <v>4.9000000000000004</v>
      </c>
      <c r="F1318" s="344">
        <f ca="1">OFFSET('Zip Code Lines_1'!$Z$3,MATCH('Zip Code Lines_1'!C1318,'Zip Code Lines_1'!$Q$4:$Q$26,0),0)</f>
        <v>86.4</v>
      </c>
      <c r="G1318" s="342">
        <f ca="1">OFFSET('Zip Code Lines_1'!$AC$3,MATCH('Zip Code Lines_1'!C1318,'Zip Code Lines_1'!$Q$4:$Q$26,0),0)</f>
        <v>12</v>
      </c>
      <c r="H1318" s="342">
        <v>13132</v>
      </c>
    </row>
    <row r="1319" spans="2:8" x14ac:dyDescent="0.25">
      <c r="B1319" s="342">
        <v>13134</v>
      </c>
      <c r="C1319" s="343" t="s">
        <v>569</v>
      </c>
      <c r="D1319" s="343" t="str">
        <f ca="1">OFFSET('Zip Code Lines_1'!$U$3,MATCH('Zip Code Lines_1'!C1319,'Zip Code Lines_1'!$Q$4:$Q$26,0),0)</f>
        <v>Utica</v>
      </c>
      <c r="E1319" s="344">
        <f ca="1">OFFSET('Zip Code Lines_1'!$W$3,MATCH('Zip Code Lines_1'!C1319,'Zip Code Lines_1'!$Q$4:$Q$26,0),0)</f>
        <v>1.2</v>
      </c>
      <c r="F1319" s="344">
        <f ca="1">OFFSET('Zip Code Lines_1'!$Z$3,MATCH('Zip Code Lines_1'!C1319,'Zip Code Lines_1'!$Q$4:$Q$26,0),0)</f>
        <v>84.2</v>
      </c>
      <c r="G1319" s="342">
        <f ca="1">OFFSET('Zip Code Lines_1'!$AC$3,MATCH('Zip Code Lines_1'!C1319,'Zip Code Lines_1'!$Q$4:$Q$26,0),0)</f>
        <v>18</v>
      </c>
      <c r="H1319" s="342">
        <v>13134</v>
      </c>
    </row>
    <row r="1320" spans="2:8" x14ac:dyDescent="0.25">
      <c r="B1320" s="342">
        <v>13135</v>
      </c>
      <c r="C1320" s="343" t="s">
        <v>568</v>
      </c>
      <c r="D1320" s="343" t="str">
        <f ca="1">OFFSET('Zip Code Lines_1'!$U$3,MATCH('Zip Code Lines_1'!C1320,'Zip Code Lines_1'!$Q$4:$Q$26,0),0)</f>
        <v>Syracuse</v>
      </c>
      <c r="E1320" s="344">
        <f ca="1">OFFSET('Zip Code Lines_1'!$W$3,MATCH('Zip Code Lines_1'!C1320,'Zip Code Lines_1'!$Q$4:$Q$26,0),0)</f>
        <v>4.9000000000000004</v>
      </c>
      <c r="F1320" s="344">
        <f ca="1">OFFSET('Zip Code Lines_1'!$Z$3,MATCH('Zip Code Lines_1'!C1320,'Zip Code Lines_1'!$Q$4:$Q$26,0),0)</f>
        <v>86.4</v>
      </c>
      <c r="G1320" s="342">
        <f ca="1">OFFSET('Zip Code Lines_1'!$AC$3,MATCH('Zip Code Lines_1'!C1320,'Zip Code Lines_1'!$Q$4:$Q$26,0),0)</f>
        <v>12</v>
      </c>
      <c r="H1320" s="342">
        <v>13135</v>
      </c>
    </row>
    <row r="1321" spans="2:8" x14ac:dyDescent="0.25">
      <c r="B1321" s="342">
        <v>13136</v>
      </c>
      <c r="C1321" s="343" t="s">
        <v>569</v>
      </c>
      <c r="D1321" s="343" t="str">
        <f ca="1">OFFSET('Zip Code Lines_1'!$U$3,MATCH('Zip Code Lines_1'!C1321,'Zip Code Lines_1'!$Q$4:$Q$26,0),0)</f>
        <v>Utica</v>
      </c>
      <c r="E1321" s="344">
        <f ca="1">OFFSET('Zip Code Lines_1'!$W$3,MATCH('Zip Code Lines_1'!C1321,'Zip Code Lines_1'!$Q$4:$Q$26,0),0)</f>
        <v>1.2</v>
      </c>
      <c r="F1321" s="344">
        <f ca="1">OFFSET('Zip Code Lines_1'!$Z$3,MATCH('Zip Code Lines_1'!C1321,'Zip Code Lines_1'!$Q$4:$Q$26,0),0)</f>
        <v>84.2</v>
      </c>
      <c r="G1321" s="342">
        <f ca="1">OFFSET('Zip Code Lines_1'!$AC$3,MATCH('Zip Code Lines_1'!C1321,'Zip Code Lines_1'!$Q$4:$Q$26,0),0)</f>
        <v>18</v>
      </c>
      <c r="H1321" s="342">
        <v>13136</v>
      </c>
    </row>
    <row r="1322" spans="2:8" x14ac:dyDescent="0.25">
      <c r="B1322" s="342">
        <v>13137</v>
      </c>
      <c r="C1322" s="343" t="s">
        <v>568</v>
      </c>
      <c r="D1322" s="343" t="str">
        <f ca="1">OFFSET('Zip Code Lines_1'!$U$3,MATCH('Zip Code Lines_1'!C1322,'Zip Code Lines_1'!$Q$4:$Q$26,0),0)</f>
        <v>Syracuse</v>
      </c>
      <c r="E1322" s="344">
        <f ca="1">OFFSET('Zip Code Lines_1'!$W$3,MATCH('Zip Code Lines_1'!C1322,'Zip Code Lines_1'!$Q$4:$Q$26,0),0)</f>
        <v>4.9000000000000004</v>
      </c>
      <c r="F1322" s="344">
        <f ca="1">OFFSET('Zip Code Lines_1'!$Z$3,MATCH('Zip Code Lines_1'!C1322,'Zip Code Lines_1'!$Q$4:$Q$26,0),0)</f>
        <v>86.4</v>
      </c>
      <c r="G1322" s="342">
        <f ca="1">OFFSET('Zip Code Lines_1'!$AC$3,MATCH('Zip Code Lines_1'!C1322,'Zip Code Lines_1'!$Q$4:$Q$26,0),0)</f>
        <v>12</v>
      </c>
      <c r="H1322" s="342">
        <v>13137</v>
      </c>
    </row>
    <row r="1323" spans="2:8" x14ac:dyDescent="0.25">
      <c r="B1323" s="342">
        <v>13138</v>
      </c>
      <c r="C1323" s="343" t="s">
        <v>569</v>
      </c>
      <c r="D1323" s="343" t="str">
        <f ca="1">OFFSET('Zip Code Lines_1'!$U$3,MATCH('Zip Code Lines_1'!C1323,'Zip Code Lines_1'!$Q$4:$Q$26,0),0)</f>
        <v>Utica</v>
      </c>
      <c r="E1323" s="344">
        <f ca="1">OFFSET('Zip Code Lines_1'!$W$3,MATCH('Zip Code Lines_1'!C1323,'Zip Code Lines_1'!$Q$4:$Q$26,0),0)</f>
        <v>1.2</v>
      </c>
      <c r="F1323" s="344">
        <f ca="1">OFFSET('Zip Code Lines_1'!$Z$3,MATCH('Zip Code Lines_1'!C1323,'Zip Code Lines_1'!$Q$4:$Q$26,0),0)</f>
        <v>84.2</v>
      </c>
      <c r="G1323" s="342">
        <f ca="1">OFFSET('Zip Code Lines_1'!$AC$3,MATCH('Zip Code Lines_1'!C1323,'Zip Code Lines_1'!$Q$4:$Q$26,0),0)</f>
        <v>18</v>
      </c>
      <c r="H1323" s="342">
        <v>13138</v>
      </c>
    </row>
    <row r="1324" spans="2:8" x14ac:dyDescent="0.25">
      <c r="B1324" s="342">
        <v>13139</v>
      </c>
      <c r="C1324" s="343" t="s">
        <v>532</v>
      </c>
      <c r="D1324" s="343" t="str">
        <f ca="1">OFFSET('Zip Code Lines_1'!$U$3,MATCH('Zip Code Lines_1'!C1324,'Zip Code Lines_1'!$Q$4:$Q$26,0),0)</f>
        <v>Binghamton</v>
      </c>
      <c r="E1324" s="344">
        <f ca="1">OFFSET('Zip Code Lines_1'!$W$3,MATCH('Zip Code Lines_1'!C1324,'Zip Code Lines_1'!$Q$4:$Q$26,0),0)</f>
        <v>4.5</v>
      </c>
      <c r="F1324" s="344">
        <f ca="1">OFFSET('Zip Code Lines_1'!$Z$3,MATCH('Zip Code Lines_1'!C1324,'Zip Code Lines_1'!$Q$4:$Q$26,0),0)</f>
        <v>82.3</v>
      </c>
      <c r="G1324" s="342">
        <f ca="1">OFFSET('Zip Code Lines_1'!$AC$3,MATCH('Zip Code Lines_1'!C1324,'Zip Code Lines_1'!$Q$4:$Q$26,0),0)</f>
        <v>12</v>
      </c>
      <c r="H1324" s="342">
        <v>13139</v>
      </c>
    </row>
    <row r="1325" spans="2:8" x14ac:dyDescent="0.25">
      <c r="B1325" s="342">
        <v>13140</v>
      </c>
      <c r="C1325" s="343" t="s">
        <v>568</v>
      </c>
      <c r="D1325" s="343" t="str">
        <f ca="1">OFFSET('Zip Code Lines_1'!$U$3,MATCH('Zip Code Lines_1'!C1325,'Zip Code Lines_1'!$Q$4:$Q$26,0),0)</f>
        <v>Syracuse</v>
      </c>
      <c r="E1325" s="344">
        <f ca="1">OFFSET('Zip Code Lines_1'!$W$3,MATCH('Zip Code Lines_1'!C1325,'Zip Code Lines_1'!$Q$4:$Q$26,0),0)</f>
        <v>4.9000000000000004</v>
      </c>
      <c r="F1325" s="344">
        <f ca="1">OFFSET('Zip Code Lines_1'!$Z$3,MATCH('Zip Code Lines_1'!C1325,'Zip Code Lines_1'!$Q$4:$Q$26,0),0)</f>
        <v>86.4</v>
      </c>
      <c r="G1325" s="342">
        <f ca="1">OFFSET('Zip Code Lines_1'!$AC$3,MATCH('Zip Code Lines_1'!C1325,'Zip Code Lines_1'!$Q$4:$Q$26,0),0)</f>
        <v>12</v>
      </c>
      <c r="H1325" s="342">
        <v>13140</v>
      </c>
    </row>
    <row r="1326" spans="2:8" x14ac:dyDescent="0.25">
      <c r="B1326" s="342">
        <v>13141</v>
      </c>
      <c r="C1326" s="343" t="s">
        <v>569</v>
      </c>
      <c r="D1326" s="343" t="str">
        <f ca="1">OFFSET('Zip Code Lines_1'!$U$3,MATCH('Zip Code Lines_1'!C1326,'Zip Code Lines_1'!$Q$4:$Q$26,0),0)</f>
        <v>Utica</v>
      </c>
      <c r="E1326" s="344">
        <f ca="1">OFFSET('Zip Code Lines_1'!$W$3,MATCH('Zip Code Lines_1'!C1326,'Zip Code Lines_1'!$Q$4:$Q$26,0),0)</f>
        <v>1.2</v>
      </c>
      <c r="F1326" s="344">
        <f ca="1">OFFSET('Zip Code Lines_1'!$Z$3,MATCH('Zip Code Lines_1'!C1326,'Zip Code Lines_1'!$Q$4:$Q$26,0),0)</f>
        <v>84.2</v>
      </c>
      <c r="G1326" s="342">
        <f ca="1">OFFSET('Zip Code Lines_1'!$AC$3,MATCH('Zip Code Lines_1'!C1326,'Zip Code Lines_1'!$Q$4:$Q$26,0),0)</f>
        <v>18</v>
      </c>
      <c r="H1326" s="342">
        <v>13141</v>
      </c>
    </row>
    <row r="1327" spans="2:8" x14ac:dyDescent="0.25">
      <c r="B1327" s="342">
        <v>13142</v>
      </c>
      <c r="C1327" s="343" t="s">
        <v>541</v>
      </c>
      <c r="D1327" s="343" t="str">
        <f ca="1">OFFSET('Zip Code Lines_1'!$U$3,MATCH('Zip Code Lines_1'!C1327,'Zip Code Lines_1'!$Q$4:$Q$26,0),0)</f>
        <v>Fort Drum</v>
      </c>
      <c r="E1327" s="344">
        <f ca="1">OFFSET('Zip Code Lines_1'!$W$3,MATCH('Zip Code Lines_1'!C1327,'Zip Code Lines_1'!$Q$4:$Q$26,0),0)</f>
        <v>-4.4000000000000004</v>
      </c>
      <c r="F1327" s="344">
        <f ca="1">OFFSET('Zip Code Lines_1'!$Z$3,MATCH('Zip Code Lines_1'!C1327,'Zip Code Lines_1'!$Q$4:$Q$26,0),0)</f>
        <v>83.6</v>
      </c>
      <c r="G1327" s="342">
        <f ca="1">OFFSET('Zip Code Lines_1'!$AC$3,MATCH('Zip Code Lines_1'!C1327,'Zip Code Lines_1'!$Q$4:$Q$26,0),0)</f>
        <v>18</v>
      </c>
      <c r="H1327" s="342">
        <v>13142</v>
      </c>
    </row>
    <row r="1328" spans="2:8" x14ac:dyDescent="0.25">
      <c r="B1328" s="342">
        <v>13143</v>
      </c>
      <c r="C1328" s="343" t="s">
        <v>568</v>
      </c>
      <c r="D1328" s="343" t="str">
        <f ca="1">OFFSET('Zip Code Lines_1'!$U$3,MATCH('Zip Code Lines_1'!C1328,'Zip Code Lines_1'!$Q$4:$Q$26,0),0)</f>
        <v>Syracuse</v>
      </c>
      <c r="E1328" s="344">
        <f ca="1">OFFSET('Zip Code Lines_1'!$W$3,MATCH('Zip Code Lines_1'!C1328,'Zip Code Lines_1'!$Q$4:$Q$26,0),0)</f>
        <v>4.9000000000000004</v>
      </c>
      <c r="F1328" s="344">
        <f ca="1">OFFSET('Zip Code Lines_1'!$Z$3,MATCH('Zip Code Lines_1'!C1328,'Zip Code Lines_1'!$Q$4:$Q$26,0),0)</f>
        <v>86.4</v>
      </c>
      <c r="G1328" s="342">
        <f ca="1">OFFSET('Zip Code Lines_1'!$AC$3,MATCH('Zip Code Lines_1'!C1328,'Zip Code Lines_1'!$Q$4:$Q$26,0),0)</f>
        <v>12</v>
      </c>
      <c r="H1328" s="342">
        <v>13143</v>
      </c>
    </row>
    <row r="1329" spans="2:8" x14ac:dyDescent="0.25">
      <c r="B1329" s="342">
        <v>13144</v>
      </c>
      <c r="C1329" s="343" t="s">
        <v>541</v>
      </c>
      <c r="D1329" s="343" t="str">
        <f ca="1">OFFSET('Zip Code Lines_1'!$U$3,MATCH('Zip Code Lines_1'!C1329,'Zip Code Lines_1'!$Q$4:$Q$26,0),0)</f>
        <v>Fort Drum</v>
      </c>
      <c r="E1329" s="344">
        <f ca="1">OFFSET('Zip Code Lines_1'!$W$3,MATCH('Zip Code Lines_1'!C1329,'Zip Code Lines_1'!$Q$4:$Q$26,0),0)</f>
        <v>-4.4000000000000004</v>
      </c>
      <c r="F1329" s="344">
        <f ca="1">OFFSET('Zip Code Lines_1'!$Z$3,MATCH('Zip Code Lines_1'!C1329,'Zip Code Lines_1'!$Q$4:$Q$26,0),0)</f>
        <v>83.6</v>
      </c>
      <c r="G1329" s="342">
        <f ca="1">OFFSET('Zip Code Lines_1'!$AC$3,MATCH('Zip Code Lines_1'!C1329,'Zip Code Lines_1'!$Q$4:$Q$26,0),0)</f>
        <v>18</v>
      </c>
      <c r="H1329" s="342">
        <v>13144</v>
      </c>
    </row>
    <row r="1330" spans="2:8" x14ac:dyDescent="0.25">
      <c r="B1330" s="342">
        <v>13145</v>
      </c>
      <c r="C1330" s="343" t="s">
        <v>541</v>
      </c>
      <c r="D1330" s="343" t="str">
        <f ca="1">OFFSET('Zip Code Lines_1'!$U$3,MATCH('Zip Code Lines_1'!C1330,'Zip Code Lines_1'!$Q$4:$Q$26,0),0)</f>
        <v>Fort Drum</v>
      </c>
      <c r="E1330" s="344">
        <f ca="1">OFFSET('Zip Code Lines_1'!$W$3,MATCH('Zip Code Lines_1'!C1330,'Zip Code Lines_1'!$Q$4:$Q$26,0),0)</f>
        <v>-4.4000000000000004</v>
      </c>
      <c r="F1330" s="344">
        <f ca="1">OFFSET('Zip Code Lines_1'!$Z$3,MATCH('Zip Code Lines_1'!C1330,'Zip Code Lines_1'!$Q$4:$Q$26,0),0)</f>
        <v>83.6</v>
      </c>
      <c r="G1330" s="342">
        <f ca="1">OFFSET('Zip Code Lines_1'!$AC$3,MATCH('Zip Code Lines_1'!C1330,'Zip Code Lines_1'!$Q$4:$Q$26,0),0)</f>
        <v>18</v>
      </c>
      <c r="H1330" s="342">
        <v>13145</v>
      </c>
    </row>
    <row r="1331" spans="2:8" x14ac:dyDescent="0.25">
      <c r="B1331" s="342">
        <v>13146</v>
      </c>
      <c r="C1331" s="343" t="s">
        <v>568</v>
      </c>
      <c r="D1331" s="343" t="str">
        <f ca="1">OFFSET('Zip Code Lines_1'!$U$3,MATCH('Zip Code Lines_1'!C1331,'Zip Code Lines_1'!$Q$4:$Q$26,0),0)</f>
        <v>Syracuse</v>
      </c>
      <c r="E1331" s="344">
        <f ca="1">OFFSET('Zip Code Lines_1'!$W$3,MATCH('Zip Code Lines_1'!C1331,'Zip Code Lines_1'!$Q$4:$Q$26,0),0)</f>
        <v>4.9000000000000004</v>
      </c>
      <c r="F1331" s="344">
        <f ca="1">OFFSET('Zip Code Lines_1'!$Z$3,MATCH('Zip Code Lines_1'!C1331,'Zip Code Lines_1'!$Q$4:$Q$26,0),0)</f>
        <v>86.4</v>
      </c>
      <c r="G1331" s="342">
        <f ca="1">OFFSET('Zip Code Lines_1'!$AC$3,MATCH('Zip Code Lines_1'!C1331,'Zip Code Lines_1'!$Q$4:$Q$26,0),0)</f>
        <v>12</v>
      </c>
      <c r="H1331" s="342">
        <v>13146</v>
      </c>
    </row>
    <row r="1332" spans="2:8" x14ac:dyDescent="0.25">
      <c r="B1332" s="342">
        <v>13147</v>
      </c>
      <c r="C1332" s="343" t="s">
        <v>569</v>
      </c>
      <c r="D1332" s="343" t="str">
        <f ca="1">OFFSET('Zip Code Lines_1'!$U$3,MATCH('Zip Code Lines_1'!C1332,'Zip Code Lines_1'!$Q$4:$Q$26,0),0)</f>
        <v>Utica</v>
      </c>
      <c r="E1332" s="344">
        <f ca="1">OFFSET('Zip Code Lines_1'!$W$3,MATCH('Zip Code Lines_1'!C1332,'Zip Code Lines_1'!$Q$4:$Q$26,0),0)</f>
        <v>1.2</v>
      </c>
      <c r="F1332" s="344">
        <f ca="1">OFFSET('Zip Code Lines_1'!$Z$3,MATCH('Zip Code Lines_1'!C1332,'Zip Code Lines_1'!$Q$4:$Q$26,0),0)</f>
        <v>84.2</v>
      </c>
      <c r="G1332" s="342">
        <f ca="1">OFFSET('Zip Code Lines_1'!$AC$3,MATCH('Zip Code Lines_1'!C1332,'Zip Code Lines_1'!$Q$4:$Q$26,0),0)</f>
        <v>18</v>
      </c>
      <c r="H1332" s="342">
        <v>13147</v>
      </c>
    </row>
    <row r="1333" spans="2:8" x14ac:dyDescent="0.25">
      <c r="B1333" s="342">
        <v>13148</v>
      </c>
      <c r="C1333" s="343" t="s">
        <v>568</v>
      </c>
      <c r="D1333" s="343" t="str">
        <f ca="1">OFFSET('Zip Code Lines_1'!$U$3,MATCH('Zip Code Lines_1'!C1333,'Zip Code Lines_1'!$Q$4:$Q$26,0),0)</f>
        <v>Syracuse</v>
      </c>
      <c r="E1333" s="344">
        <f ca="1">OFFSET('Zip Code Lines_1'!$W$3,MATCH('Zip Code Lines_1'!C1333,'Zip Code Lines_1'!$Q$4:$Q$26,0),0)</f>
        <v>4.9000000000000004</v>
      </c>
      <c r="F1333" s="344">
        <f ca="1">OFFSET('Zip Code Lines_1'!$Z$3,MATCH('Zip Code Lines_1'!C1333,'Zip Code Lines_1'!$Q$4:$Q$26,0),0)</f>
        <v>86.4</v>
      </c>
      <c r="G1333" s="342">
        <f ca="1">OFFSET('Zip Code Lines_1'!$AC$3,MATCH('Zip Code Lines_1'!C1333,'Zip Code Lines_1'!$Q$4:$Q$26,0),0)</f>
        <v>12</v>
      </c>
      <c r="H1333" s="342">
        <v>13148</v>
      </c>
    </row>
    <row r="1334" spans="2:8" x14ac:dyDescent="0.25">
      <c r="B1334" s="342">
        <v>13152</v>
      </c>
      <c r="C1334" s="343" t="s">
        <v>568</v>
      </c>
      <c r="D1334" s="343" t="str">
        <f ca="1">OFFSET('Zip Code Lines_1'!$U$3,MATCH('Zip Code Lines_1'!C1334,'Zip Code Lines_1'!$Q$4:$Q$26,0),0)</f>
        <v>Syracuse</v>
      </c>
      <c r="E1334" s="344">
        <f ca="1">OFFSET('Zip Code Lines_1'!$W$3,MATCH('Zip Code Lines_1'!C1334,'Zip Code Lines_1'!$Q$4:$Q$26,0),0)</f>
        <v>4.9000000000000004</v>
      </c>
      <c r="F1334" s="344">
        <f ca="1">OFFSET('Zip Code Lines_1'!$Z$3,MATCH('Zip Code Lines_1'!C1334,'Zip Code Lines_1'!$Q$4:$Q$26,0),0)</f>
        <v>86.4</v>
      </c>
      <c r="G1334" s="342">
        <f ca="1">OFFSET('Zip Code Lines_1'!$AC$3,MATCH('Zip Code Lines_1'!C1334,'Zip Code Lines_1'!$Q$4:$Q$26,0),0)</f>
        <v>12</v>
      </c>
      <c r="H1334" s="342">
        <v>13152</v>
      </c>
    </row>
    <row r="1335" spans="2:8" x14ac:dyDescent="0.25">
      <c r="B1335" s="342">
        <v>13153</v>
      </c>
      <c r="C1335" s="343" t="s">
        <v>568</v>
      </c>
      <c r="D1335" s="343" t="str">
        <f ca="1">OFFSET('Zip Code Lines_1'!$U$3,MATCH('Zip Code Lines_1'!C1335,'Zip Code Lines_1'!$Q$4:$Q$26,0),0)</f>
        <v>Syracuse</v>
      </c>
      <c r="E1335" s="344">
        <f ca="1">OFFSET('Zip Code Lines_1'!$W$3,MATCH('Zip Code Lines_1'!C1335,'Zip Code Lines_1'!$Q$4:$Q$26,0),0)</f>
        <v>4.9000000000000004</v>
      </c>
      <c r="F1335" s="344">
        <f ca="1">OFFSET('Zip Code Lines_1'!$Z$3,MATCH('Zip Code Lines_1'!C1335,'Zip Code Lines_1'!$Q$4:$Q$26,0),0)</f>
        <v>86.4</v>
      </c>
      <c r="G1335" s="342">
        <f ca="1">OFFSET('Zip Code Lines_1'!$AC$3,MATCH('Zip Code Lines_1'!C1335,'Zip Code Lines_1'!$Q$4:$Q$26,0),0)</f>
        <v>12</v>
      </c>
      <c r="H1335" s="342">
        <v>13153</v>
      </c>
    </row>
    <row r="1336" spans="2:8" x14ac:dyDescent="0.25">
      <c r="B1336" s="342">
        <v>13154</v>
      </c>
      <c r="C1336" s="343" t="s">
        <v>568</v>
      </c>
      <c r="D1336" s="343" t="str">
        <f ca="1">OFFSET('Zip Code Lines_1'!$U$3,MATCH('Zip Code Lines_1'!C1336,'Zip Code Lines_1'!$Q$4:$Q$26,0),0)</f>
        <v>Syracuse</v>
      </c>
      <c r="E1336" s="344">
        <f ca="1">OFFSET('Zip Code Lines_1'!$W$3,MATCH('Zip Code Lines_1'!C1336,'Zip Code Lines_1'!$Q$4:$Q$26,0),0)</f>
        <v>4.9000000000000004</v>
      </c>
      <c r="F1336" s="344">
        <f ca="1">OFFSET('Zip Code Lines_1'!$Z$3,MATCH('Zip Code Lines_1'!C1336,'Zip Code Lines_1'!$Q$4:$Q$26,0),0)</f>
        <v>86.4</v>
      </c>
      <c r="G1336" s="342">
        <f ca="1">OFFSET('Zip Code Lines_1'!$AC$3,MATCH('Zip Code Lines_1'!C1336,'Zip Code Lines_1'!$Q$4:$Q$26,0),0)</f>
        <v>12</v>
      </c>
      <c r="H1336" s="342">
        <v>13154</v>
      </c>
    </row>
    <row r="1337" spans="2:8" x14ac:dyDescent="0.25">
      <c r="B1337" s="342">
        <v>13155</v>
      </c>
      <c r="C1337" s="343" t="s">
        <v>569</v>
      </c>
      <c r="D1337" s="343" t="str">
        <f ca="1">OFFSET('Zip Code Lines_1'!$U$3,MATCH('Zip Code Lines_1'!C1337,'Zip Code Lines_1'!$Q$4:$Q$26,0),0)</f>
        <v>Utica</v>
      </c>
      <c r="E1337" s="344">
        <f ca="1">OFFSET('Zip Code Lines_1'!$W$3,MATCH('Zip Code Lines_1'!C1337,'Zip Code Lines_1'!$Q$4:$Q$26,0),0)</f>
        <v>1.2</v>
      </c>
      <c r="F1337" s="344">
        <f ca="1">OFFSET('Zip Code Lines_1'!$Z$3,MATCH('Zip Code Lines_1'!C1337,'Zip Code Lines_1'!$Q$4:$Q$26,0),0)</f>
        <v>84.2</v>
      </c>
      <c r="G1337" s="342">
        <f ca="1">OFFSET('Zip Code Lines_1'!$AC$3,MATCH('Zip Code Lines_1'!C1337,'Zip Code Lines_1'!$Q$4:$Q$26,0),0)</f>
        <v>18</v>
      </c>
      <c r="H1337" s="342">
        <v>13155</v>
      </c>
    </row>
    <row r="1338" spans="2:8" x14ac:dyDescent="0.25">
      <c r="B1338" s="342">
        <v>13156</v>
      </c>
      <c r="C1338" s="343" t="s">
        <v>568</v>
      </c>
      <c r="D1338" s="343" t="str">
        <f ca="1">OFFSET('Zip Code Lines_1'!$U$3,MATCH('Zip Code Lines_1'!C1338,'Zip Code Lines_1'!$Q$4:$Q$26,0),0)</f>
        <v>Syracuse</v>
      </c>
      <c r="E1338" s="344">
        <f ca="1">OFFSET('Zip Code Lines_1'!$W$3,MATCH('Zip Code Lines_1'!C1338,'Zip Code Lines_1'!$Q$4:$Q$26,0),0)</f>
        <v>4.9000000000000004</v>
      </c>
      <c r="F1338" s="344">
        <f ca="1">OFFSET('Zip Code Lines_1'!$Z$3,MATCH('Zip Code Lines_1'!C1338,'Zip Code Lines_1'!$Q$4:$Q$26,0),0)</f>
        <v>86.4</v>
      </c>
      <c r="G1338" s="342">
        <f ca="1">OFFSET('Zip Code Lines_1'!$AC$3,MATCH('Zip Code Lines_1'!C1338,'Zip Code Lines_1'!$Q$4:$Q$26,0),0)</f>
        <v>12</v>
      </c>
      <c r="H1338" s="342">
        <v>13156</v>
      </c>
    </row>
    <row r="1339" spans="2:8" x14ac:dyDescent="0.25">
      <c r="B1339" s="342">
        <v>13157</v>
      </c>
      <c r="C1339" s="343" t="s">
        <v>569</v>
      </c>
      <c r="D1339" s="343" t="str">
        <f ca="1">OFFSET('Zip Code Lines_1'!$U$3,MATCH('Zip Code Lines_1'!C1339,'Zip Code Lines_1'!$Q$4:$Q$26,0),0)</f>
        <v>Utica</v>
      </c>
      <c r="E1339" s="344">
        <f ca="1">OFFSET('Zip Code Lines_1'!$W$3,MATCH('Zip Code Lines_1'!C1339,'Zip Code Lines_1'!$Q$4:$Q$26,0),0)</f>
        <v>1.2</v>
      </c>
      <c r="F1339" s="344">
        <f ca="1">OFFSET('Zip Code Lines_1'!$Z$3,MATCH('Zip Code Lines_1'!C1339,'Zip Code Lines_1'!$Q$4:$Q$26,0),0)</f>
        <v>84.2</v>
      </c>
      <c r="G1339" s="342">
        <f ca="1">OFFSET('Zip Code Lines_1'!$AC$3,MATCH('Zip Code Lines_1'!C1339,'Zip Code Lines_1'!$Q$4:$Q$26,0),0)</f>
        <v>18</v>
      </c>
      <c r="H1339" s="342">
        <v>13157</v>
      </c>
    </row>
    <row r="1340" spans="2:8" x14ac:dyDescent="0.25">
      <c r="B1340" s="342">
        <v>13158</v>
      </c>
      <c r="C1340" s="343" t="s">
        <v>569</v>
      </c>
      <c r="D1340" s="343" t="str">
        <f ca="1">OFFSET('Zip Code Lines_1'!$U$3,MATCH('Zip Code Lines_1'!C1340,'Zip Code Lines_1'!$Q$4:$Q$26,0),0)</f>
        <v>Utica</v>
      </c>
      <c r="E1340" s="344">
        <f ca="1">OFFSET('Zip Code Lines_1'!$W$3,MATCH('Zip Code Lines_1'!C1340,'Zip Code Lines_1'!$Q$4:$Q$26,0),0)</f>
        <v>1.2</v>
      </c>
      <c r="F1340" s="344">
        <f ca="1">OFFSET('Zip Code Lines_1'!$Z$3,MATCH('Zip Code Lines_1'!C1340,'Zip Code Lines_1'!$Q$4:$Q$26,0),0)</f>
        <v>84.2</v>
      </c>
      <c r="G1340" s="342">
        <f ca="1">OFFSET('Zip Code Lines_1'!$AC$3,MATCH('Zip Code Lines_1'!C1340,'Zip Code Lines_1'!$Q$4:$Q$26,0),0)</f>
        <v>18</v>
      </c>
      <c r="H1340" s="342">
        <v>13158</v>
      </c>
    </row>
    <row r="1341" spans="2:8" x14ac:dyDescent="0.25">
      <c r="B1341" s="342">
        <v>13159</v>
      </c>
      <c r="C1341" s="343" t="s">
        <v>569</v>
      </c>
      <c r="D1341" s="343" t="str">
        <f ca="1">OFFSET('Zip Code Lines_1'!$U$3,MATCH('Zip Code Lines_1'!C1341,'Zip Code Lines_1'!$Q$4:$Q$26,0),0)</f>
        <v>Utica</v>
      </c>
      <c r="E1341" s="344">
        <f ca="1">OFFSET('Zip Code Lines_1'!$W$3,MATCH('Zip Code Lines_1'!C1341,'Zip Code Lines_1'!$Q$4:$Q$26,0),0)</f>
        <v>1.2</v>
      </c>
      <c r="F1341" s="344">
        <f ca="1">OFFSET('Zip Code Lines_1'!$Z$3,MATCH('Zip Code Lines_1'!C1341,'Zip Code Lines_1'!$Q$4:$Q$26,0),0)</f>
        <v>84.2</v>
      </c>
      <c r="G1341" s="342">
        <f ca="1">OFFSET('Zip Code Lines_1'!$AC$3,MATCH('Zip Code Lines_1'!C1341,'Zip Code Lines_1'!$Q$4:$Q$26,0),0)</f>
        <v>18</v>
      </c>
      <c r="H1341" s="342">
        <v>13159</v>
      </c>
    </row>
    <row r="1342" spans="2:8" x14ac:dyDescent="0.25">
      <c r="B1342" s="342">
        <v>13160</v>
      </c>
      <c r="C1342" s="343" t="s">
        <v>532</v>
      </c>
      <c r="D1342" s="343" t="str">
        <f ca="1">OFFSET('Zip Code Lines_1'!$U$3,MATCH('Zip Code Lines_1'!C1342,'Zip Code Lines_1'!$Q$4:$Q$26,0),0)</f>
        <v>Binghamton</v>
      </c>
      <c r="E1342" s="344">
        <f ca="1">OFFSET('Zip Code Lines_1'!$W$3,MATCH('Zip Code Lines_1'!C1342,'Zip Code Lines_1'!$Q$4:$Q$26,0),0)</f>
        <v>4.5</v>
      </c>
      <c r="F1342" s="344">
        <f ca="1">OFFSET('Zip Code Lines_1'!$Z$3,MATCH('Zip Code Lines_1'!C1342,'Zip Code Lines_1'!$Q$4:$Q$26,0),0)</f>
        <v>82.3</v>
      </c>
      <c r="G1342" s="342">
        <f ca="1">OFFSET('Zip Code Lines_1'!$AC$3,MATCH('Zip Code Lines_1'!C1342,'Zip Code Lines_1'!$Q$4:$Q$26,0),0)</f>
        <v>12</v>
      </c>
      <c r="H1342" s="342">
        <v>13160</v>
      </c>
    </row>
    <row r="1343" spans="2:8" x14ac:dyDescent="0.25">
      <c r="B1343" s="342">
        <v>13162</v>
      </c>
      <c r="C1343" s="343" t="s">
        <v>569</v>
      </c>
      <c r="D1343" s="343" t="str">
        <f ca="1">OFFSET('Zip Code Lines_1'!$U$3,MATCH('Zip Code Lines_1'!C1343,'Zip Code Lines_1'!$Q$4:$Q$26,0),0)</f>
        <v>Utica</v>
      </c>
      <c r="E1343" s="344">
        <f ca="1">OFFSET('Zip Code Lines_1'!$W$3,MATCH('Zip Code Lines_1'!C1343,'Zip Code Lines_1'!$Q$4:$Q$26,0),0)</f>
        <v>1.2</v>
      </c>
      <c r="F1343" s="344">
        <f ca="1">OFFSET('Zip Code Lines_1'!$Z$3,MATCH('Zip Code Lines_1'!C1343,'Zip Code Lines_1'!$Q$4:$Q$26,0),0)</f>
        <v>84.2</v>
      </c>
      <c r="G1343" s="342">
        <f ca="1">OFFSET('Zip Code Lines_1'!$AC$3,MATCH('Zip Code Lines_1'!C1343,'Zip Code Lines_1'!$Q$4:$Q$26,0),0)</f>
        <v>18</v>
      </c>
      <c r="H1343" s="342">
        <v>13162</v>
      </c>
    </row>
    <row r="1344" spans="2:8" x14ac:dyDescent="0.25">
      <c r="B1344" s="342">
        <v>13163</v>
      </c>
      <c r="C1344" s="343" t="s">
        <v>569</v>
      </c>
      <c r="D1344" s="343" t="str">
        <f ca="1">OFFSET('Zip Code Lines_1'!$U$3,MATCH('Zip Code Lines_1'!C1344,'Zip Code Lines_1'!$Q$4:$Q$26,0),0)</f>
        <v>Utica</v>
      </c>
      <c r="E1344" s="344">
        <f ca="1">OFFSET('Zip Code Lines_1'!$W$3,MATCH('Zip Code Lines_1'!C1344,'Zip Code Lines_1'!$Q$4:$Q$26,0),0)</f>
        <v>1.2</v>
      </c>
      <c r="F1344" s="344">
        <f ca="1">OFFSET('Zip Code Lines_1'!$Z$3,MATCH('Zip Code Lines_1'!C1344,'Zip Code Lines_1'!$Q$4:$Q$26,0),0)</f>
        <v>84.2</v>
      </c>
      <c r="G1344" s="342">
        <f ca="1">OFFSET('Zip Code Lines_1'!$AC$3,MATCH('Zip Code Lines_1'!C1344,'Zip Code Lines_1'!$Q$4:$Q$26,0),0)</f>
        <v>18</v>
      </c>
      <c r="H1344" s="342">
        <v>13163</v>
      </c>
    </row>
    <row r="1345" spans="2:8" x14ac:dyDescent="0.25">
      <c r="B1345" s="342">
        <v>13164</v>
      </c>
      <c r="C1345" s="343" t="s">
        <v>568</v>
      </c>
      <c r="D1345" s="343" t="str">
        <f ca="1">OFFSET('Zip Code Lines_1'!$U$3,MATCH('Zip Code Lines_1'!C1345,'Zip Code Lines_1'!$Q$4:$Q$26,0),0)</f>
        <v>Syracuse</v>
      </c>
      <c r="E1345" s="344">
        <f ca="1">OFFSET('Zip Code Lines_1'!$W$3,MATCH('Zip Code Lines_1'!C1345,'Zip Code Lines_1'!$Q$4:$Q$26,0),0)</f>
        <v>4.9000000000000004</v>
      </c>
      <c r="F1345" s="344">
        <f ca="1">OFFSET('Zip Code Lines_1'!$Z$3,MATCH('Zip Code Lines_1'!C1345,'Zip Code Lines_1'!$Q$4:$Q$26,0),0)</f>
        <v>86.4</v>
      </c>
      <c r="G1345" s="342">
        <f ca="1">OFFSET('Zip Code Lines_1'!$AC$3,MATCH('Zip Code Lines_1'!C1345,'Zip Code Lines_1'!$Q$4:$Q$26,0),0)</f>
        <v>12</v>
      </c>
      <c r="H1345" s="342">
        <v>13164</v>
      </c>
    </row>
    <row r="1346" spans="2:8" x14ac:dyDescent="0.25">
      <c r="B1346" s="342">
        <v>13165</v>
      </c>
      <c r="C1346" s="343" t="s">
        <v>568</v>
      </c>
      <c r="D1346" s="343" t="str">
        <f ca="1">OFFSET('Zip Code Lines_1'!$U$3,MATCH('Zip Code Lines_1'!C1346,'Zip Code Lines_1'!$Q$4:$Q$26,0),0)</f>
        <v>Syracuse</v>
      </c>
      <c r="E1346" s="344">
        <f ca="1">OFFSET('Zip Code Lines_1'!$W$3,MATCH('Zip Code Lines_1'!C1346,'Zip Code Lines_1'!$Q$4:$Q$26,0),0)</f>
        <v>4.9000000000000004</v>
      </c>
      <c r="F1346" s="344">
        <f ca="1">OFFSET('Zip Code Lines_1'!$Z$3,MATCH('Zip Code Lines_1'!C1346,'Zip Code Lines_1'!$Q$4:$Q$26,0),0)</f>
        <v>86.4</v>
      </c>
      <c r="G1346" s="342">
        <f ca="1">OFFSET('Zip Code Lines_1'!$AC$3,MATCH('Zip Code Lines_1'!C1346,'Zip Code Lines_1'!$Q$4:$Q$26,0),0)</f>
        <v>12</v>
      </c>
      <c r="H1346" s="342">
        <v>13165</v>
      </c>
    </row>
    <row r="1347" spans="2:8" x14ac:dyDescent="0.25">
      <c r="B1347" s="342">
        <v>13166</v>
      </c>
      <c r="C1347" s="343" t="s">
        <v>568</v>
      </c>
      <c r="D1347" s="343" t="str">
        <f ca="1">OFFSET('Zip Code Lines_1'!$U$3,MATCH('Zip Code Lines_1'!C1347,'Zip Code Lines_1'!$Q$4:$Q$26,0),0)</f>
        <v>Syracuse</v>
      </c>
      <c r="E1347" s="344">
        <f ca="1">OFFSET('Zip Code Lines_1'!$W$3,MATCH('Zip Code Lines_1'!C1347,'Zip Code Lines_1'!$Q$4:$Q$26,0),0)</f>
        <v>4.9000000000000004</v>
      </c>
      <c r="F1347" s="344">
        <f ca="1">OFFSET('Zip Code Lines_1'!$Z$3,MATCH('Zip Code Lines_1'!C1347,'Zip Code Lines_1'!$Q$4:$Q$26,0),0)</f>
        <v>86.4</v>
      </c>
      <c r="G1347" s="342">
        <f ca="1">OFFSET('Zip Code Lines_1'!$AC$3,MATCH('Zip Code Lines_1'!C1347,'Zip Code Lines_1'!$Q$4:$Q$26,0),0)</f>
        <v>12</v>
      </c>
      <c r="H1347" s="342">
        <v>13166</v>
      </c>
    </row>
    <row r="1348" spans="2:8" x14ac:dyDescent="0.25">
      <c r="B1348" s="342">
        <v>13167</v>
      </c>
      <c r="C1348" s="343" t="s">
        <v>568</v>
      </c>
      <c r="D1348" s="343" t="str">
        <f ca="1">OFFSET('Zip Code Lines_1'!$U$3,MATCH('Zip Code Lines_1'!C1348,'Zip Code Lines_1'!$Q$4:$Q$26,0),0)</f>
        <v>Syracuse</v>
      </c>
      <c r="E1348" s="344">
        <f ca="1">OFFSET('Zip Code Lines_1'!$W$3,MATCH('Zip Code Lines_1'!C1348,'Zip Code Lines_1'!$Q$4:$Q$26,0),0)</f>
        <v>4.9000000000000004</v>
      </c>
      <c r="F1348" s="344">
        <f ca="1">OFFSET('Zip Code Lines_1'!$Z$3,MATCH('Zip Code Lines_1'!C1348,'Zip Code Lines_1'!$Q$4:$Q$26,0),0)</f>
        <v>86.4</v>
      </c>
      <c r="G1348" s="342">
        <f ca="1">OFFSET('Zip Code Lines_1'!$AC$3,MATCH('Zip Code Lines_1'!C1348,'Zip Code Lines_1'!$Q$4:$Q$26,0),0)</f>
        <v>12</v>
      </c>
      <c r="H1348" s="342">
        <v>13167</v>
      </c>
    </row>
    <row r="1349" spans="2:8" x14ac:dyDescent="0.25">
      <c r="B1349" s="342">
        <v>13201</v>
      </c>
      <c r="C1349" s="343" t="s">
        <v>568</v>
      </c>
      <c r="D1349" s="343" t="str">
        <f ca="1">OFFSET('Zip Code Lines_1'!$U$3,MATCH('Zip Code Lines_1'!C1349,'Zip Code Lines_1'!$Q$4:$Q$26,0),0)</f>
        <v>Syracuse</v>
      </c>
      <c r="E1349" s="344">
        <f ca="1">OFFSET('Zip Code Lines_1'!$W$3,MATCH('Zip Code Lines_1'!C1349,'Zip Code Lines_1'!$Q$4:$Q$26,0),0)</f>
        <v>4.9000000000000004</v>
      </c>
      <c r="F1349" s="344">
        <f ca="1">OFFSET('Zip Code Lines_1'!$Z$3,MATCH('Zip Code Lines_1'!C1349,'Zip Code Lines_1'!$Q$4:$Q$26,0),0)</f>
        <v>86.4</v>
      </c>
      <c r="G1349" s="342">
        <f ca="1">OFFSET('Zip Code Lines_1'!$AC$3,MATCH('Zip Code Lines_1'!C1349,'Zip Code Lines_1'!$Q$4:$Q$26,0),0)</f>
        <v>12</v>
      </c>
      <c r="H1349" s="342">
        <v>13201</v>
      </c>
    </row>
    <row r="1350" spans="2:8" x14ac:dyDescent="0.25">
      <c r="B1350" s="342">
        <v>13202</v>
      </c>
      <c r="C1350" s="343" t="s">
        <v>568</v>
      </c>
      <c r="D1350" s="343" t="str">
        <f ca="1">OFFSET('Zip Code Lines_1'!$U$3,MATCH('Zip Code Lines_1'!C1350,'Zip Code Lines_1'!$Q$4:$Q$26,0),0)</f>
        <v>Syracuse</v>
      </c>
      <c r="E1350" s="344">
        <f ca="1">OFFSET('Zip Code Lines_1'!$W$3,MATCH('Zip Code Lines_1'!C1350,'Zip Code Lines_1'!$Q$4:$Q$26,0),0)</f>
        <v>4.9000000000000004</v>
      </c>
      <c r="F1350" s="344">
        <f ca="1">OFFSET('Zip Code Lines_1'!$Z$3,MATCH('Zip Code Lines_1'!C1350,'Zip Code Lines_1'!$Q$4:$Q$26,0),0)</f>
        <v>86.4</v>
      </c>
      <c r="G1350" s="342">
        <f ca="1">OFFSET('Zip Code Lines_1'!$AC$3,MATCH('Zip Code Lines_1'!C1350,'Zip Code Lines_1'!$Q$4:$Q$26,0),0)</f>
        <v>12</v>
      </c>
      <c r="H1350" s="342">
        <v>13202</v>
      </c>
    </row>
    <row r="1351" spans="2:8" x14ac:dyDescent="0.25">
      <c r="B1351" s="342">
        <v>13203</v>
      </c>
      <c r="C1351" s="343" t="s">
        <v>568</v>
      </c>
      <c r="D1351" s="343" t="str">
        <f ca="1">OFFSET('Zip Code Lines_1'!$U$3,MATCH('Zip Code Lines_1'!C1351,'Zip Code Lines_1'!$Q$4:$Q$26,0),0)</f>
        <v>Syracuse</v>
      </c>
      <c r="E1351" s="344">
        <f ca="1">OFFSET('Zip Code Lines_1'!$W$3,MATCH('Zip Code Lines_1'!C1351,'Zip Code Lines_1'!$Q$4:$Q$26,0),0)</f>
        <v>4.9000000000000004</v>
      </c>
      <c r="F1351" s="344">
        <f ca="1">OFFSET('Zip Code Lines_1'!$Z$3,MATCH('Zip Code Lines_1'!C1351,'Zip Code Lines_1'!$Q$4:$Q$26,0),0)</f>
        <v>86.4</v>
      </c>
      <c r="G1351" s="342">
        <f ca="1">OFFSET('Zip Code Lines_1'!$AC$3,MATCH('Zip Code Lines_1'!C1351,'Zip Code Lines_1'!$Q$4:$Q$26,0),0)</f>
        <v>12</v>
      </c>
      <c r="H1351" s="342">
        <v>13203</v>
      </c>
    </row>
    <row r="1352" spans="2:8" x14ac:dyDescent="0.25">
      <c r="B1352" s="342">
        <v>13204</v>
      </c>
      <c r="C1352" s="343" t="s">
        <v>568</v>
      </c>
      <c r="D1352" s="343" t="str">
        <f ca="1">OFFSET('Zip Code Lines_1'!$U$3,MATCH('Zip Code Lines_1'!C1352,'Zip Code Lines_1'!$Q$4:$Q$26,0),0)</f>
        <v>Syracuse</v>
      </c>
      <c r="E1352" s="344">
        <f ca="1">OFFSET('Zip Code Lines_1'!$W$3,MATCH('Zip Code Lines_1'!C1352,'Zip Code Lines_1'!$Q$4:$Q$26,0),0)</f>
        <v>4.9000000000000004</v>
      </c>
      <c r="F1352" s="344">
        <f ca="1">OFFSET('Zip Code Lines_1'!$Z$3,MATCH('Zip Code Lines_1'!C1352,'Zip Code Lines_1'!$Q$4:$Q$26,0),0)</f>
        <v>86.4</v>
      </c>
      <c r="G1352" s="342">
        <f ca="1">OFFSET('Zip Code Lines_1'!$AC$3,MATCH('Zip Code Lines_1'!C1352,'Zip Code Lines_1'!$Q$4:$Q$26,0),0)</f>
        <v>12</v>
      </c>
      <c r="H1352" s="342">
        <v>13204</v>
      </c>
    </row>
    <row r="1353" spans="2:8" x14ac:dyDescent="0.25">
      <c r="B1353" s="342">
        <v>13205</v>
      </c>
      <c r="C1353" s="343" t="s">
        <v>568</v>
      </c>
      <c r="D1353" s="343" t="str">
        <f ca="1">OFFSET('Zip Code Lines_1'!$U$3,MATCH('Zip Code Lines_1'!C1353,'Zip Code Lines_1'!$Q$4:$Q$26,0),0)</f>
        <v>Syracuse</v>
      </c>
      <c r="E1353" s="344">
        <f ca="1">OFFSET('Zip Code Lines_1'!$W$3,MATCH('Zip Code Lines_1'!C1353,'Zip Code Lines_1'!$Q$4:$Q$26,0),0)</f>
        <v>4.9000000000000004</v>
      </c>
      <c r="F1353" s="344">
        <f ca="1">OFFSET('Zip Code Lines_1'!$Z$3,MATCH('Zip Code Lines_1'!C1353,'Zip Code Lines_1'!$Q$4:$Q$26,0),0)</f>
        <v>86.4</v>
      </c>
      <c r="G1353" s="342">
        <f ca="1">OFFSET('Zip Code Lines_1'!$AC$3,MATCH('Zip Code Lines_1'!C1353,'Zip Code Lines_1'!$Q$4:$Q$26,0),0)</f>
        <v>12</v>
      </c>
      <c r="H1353" s="342">
        <v>13205</v>
      </c>
    </row>
    <row r="1354" spans="2:8" x14ac:dyDescent="0.25">
      <c r="B1354" s="342">
        <v>13206</v>
      </c>
      <c r="C1354" s="343" t="s">
        <v>568</v>
      </c>
      <c r="D1354" s="343" t="str">
        <f ca="1">OFFSET('Zip Code Lines_1'!$U$3,MATCH('Zip Code Lines_1'!C1354,'Zip Code Lines_1'!$Q$4:$Q$26,0),0)</f>
        <v>Syracuse</v>
      </c>
      <c r="E1354" s="344">
        <f ca="1">OFFSET('Zip Code Lines_1'!$W$3,MATCH('Zip Code Lines_1'!C1354,'Zip Code Lines_1'!$Q$4:$Q$26,0),0)</f>
        <v>4.9000000000000004</v>
      </c>
      <c r="F1354" s="344">
        <f ca="1">OFFSET('Zip Code Lines_1'!$Z$3,MATCH('Zip Code Lines_1'!C1354,'Zip Code Lines_1'!$Q$4:$Q$26,0),0)</f>
        <v>86.4</v>
      </c>
      <c r="G1354" s="342">
        <f ca="1">OFFSET('Zip Code Lines_1'!$AC$3,MATCH('Zip Code Lines_1'!C1354,'Zip Code Lines_1'!$Q$4:$Q$26,0),0)</f>
        <v>12</v>
      </c>
      <c r="H1354" s="342">
        <v>13206</v>
      </c>
    </row>
    <row r="1355" spans="2:8" x14ac:dyDescent="0.25">
      <c r="B1355" s="342">
        <v>13207</v>
      </c>
      <c r="C1355" s="343" t="s">
        <v>568</v>
      </c>
      <c r="D1355" s="343" t="str">
        <f ca="1">OFFSET('Zip Code Lines_1'!$U$3,MATCH('Zip Code Lines_1'!C1355,'Zip Code Lines_1'!$Q$4:$Q$26,0),0)</f>
        <v>Syracuse</v>
      </c>
      <c r="E1355" s="344">
        <f ca="1">OFFSET('Zip Code Lines_1'!$W$3,MATCH('Zip Code Lines_1'!C1355,'Zip Code Lines_1'!$Q$4:$Q$26,0),0)</f>
        <v>4.9000000000000004</v>
      </c>
      <c r="F1355" s="344">
        <f ca="1">OFFSET('Zip Code Lines_1'!$Z$3,MATCH('Zip Code Lines_1'!C1355,'Zip Code Lines_1'!$Q$4:$Q$26,0),0)</f>
        <v>86.4</v>
      </c>
      <c r="G1355" s="342">
        <f ca="1">OFFSET('Zip Code Lines_1'!$AC$3,MATCH('Zip Code Lines_1'!C1355,'Zip Code Lines_1'!$Q$4:$Q$26,0),0)</f>
        <v>12</v>
      </c>
      <c r="H1355" s="342">
        <v>13207</v>
      </c>
    </row>
    <row r="1356" spans="2:8" x14ac:dyDescent="0.25">
      <c r="B1356" s="342">
        <v>13208</v>
      </c>
      <c r="C1356" s="343" t="s">
        <v>568</v>
      </c>
      <c r="D1356" s="343" t="str">
        <f ca="1">OFFSET('Zip Code Lines_1'!$U$3,MATCH('Zip Code Lines_1'!C1356,'Zip Code Lines_1'!$Q$4:$Q$26,0),0)</f>
        <v>Syracuse</v>
      </c>
      <c r="E1356" s="344">
        <f ca="1">OFFSET('Zip Code Lines_1'!$W$3,MATCH('Zip Code Lines_1'!C1356,'Zip Code Lines_1'!$Q$4:$Q$26,0),0)</f>
        <v>4.9000000000000004</v>
      </c>
      <c r="F1356" s="344">
        <f ca="1">OFFSET('Zip Code Lines_1'!$Z$3,MATCH('Zip Code Lines_1'!C1356,'Zip Code Lines_1'!$Q$4:$Q$26,0),0)</f>
        <v>86.4</v>
      </c>
      <c r="G1356" s="342">
        <f ca="1">OFFSET('Zip Code Lines_1'!$AC$3,MATCH('Zip Code Lines_1'!C1356,'Zip Code Lines_1'!$Q$4:$Q$26,0),0)</f>
        <v>12</v>
      </c>
      <c r="H1356" s="342">
        <v>13208</v>
      </c>
    </row>
    <row r="1357" spans="2:8" x14ac:dyDescent="0.25">
      <c r="B1357" s="342">
        <v>13209</v>
      </c>
      <c r="C1357" s="343" t="s">
        <v>568</v>
      </c>
      <c r="D1357" s="343" t="str">
        <f ca="1">OFFSET('Zip Code Lines_1'!$U$3,MATCH('Zip Code Lines_1'!C1357,'Zip Code Lines_1'!$Q$4:$Q$26,0),0)</f>
        <v>Syracuse</v>
      </c>
      <c r="E1357" s="344">
        <f ca="1">OFFSET('Zip Code Lines_1'!$W$3,MATCH('Zip Code Lines_1'!C1357,'Zip Code Lines_1'!$Q$4:$Q$26,0),0)</f>
        <v>4.9000000000000004</v>
      </c>
      <c r="F1357" s="344">
        <f ca="1">OFFSET('Zip Code Lines_1'!$Z$3,MATCH('Zip Code Lines_1'!C1357,'Zip Code Lines_1'!$Q$4:$Q$26,0),0)</f>
        <v>86.4</v>
      </c>
      <c r="G1357" s="342">
        <f ca="1">OFFSET('Zip Code Lines_1'!$AC$3,MATCH('Zip Code Lines_1'!C1357,'Zip Code Lines_1'!$Q$4:$Q$26,0),0)</f>
        <v>12</v>
      </c>
      <c r="H1357" s="342">
        <v>13209</v>
      </c>
    </row>
    <row r="1358" spans="2:8" x14ac:dyDescent="0.25">
      <c r="B1358" s="342">
        <v>13210</v>
      </c>
      <c r="C1358" s="343" t="s">
        <v>568</v>
      </c>
      <c r="D1358" s="343" t="str">
        <f ca="1">OFFSET('Zip Code Lines_1'!$U$3,MATCH('Zip Code Lines_1'!C1358,'Zip Code Lines_1'!$Q$4:$Q$26,0),0)</f>
        <v>Syracuse</v>
      </c>
      <c r="E1358" s="344">
        <f ca="1">OFFSET('Zip Code Lines_1'!$W$3,MATCH('Zip Code Lines_1'!C1358,'Zip Code Lines_1'!$Q$4:$Q$26,0),0)</f>
        <v>4.9000000000000004</v>
      </c>
      <c r="F1358" s="344">
        <f ca="1">OFFSET('Zip Code Lines_1'!$Z$3,MATCH('Zip Code Lines_1'!C1358,'Zip Code Lines_1'!$Q$4:$Q$26,0),0)</f>
        <v>86.4</v>
      </c>
      <c r="G1358" s="342">
        <f ca="1">OFFSET('Zip Code Lines_1'!$AC$3,MATCH('Zip Code Lines_1'!C1358,'Zip Code Lines_1'!$Q$4:$Q$26,0),0)</f>
        <v>12</v>
      </c>
      <c r="H1358" s="342">
        <v>13210</v>
      </c>
    </row>
    <row r="1359" spans="2:8" x14ac:dyDescent="0.25">
      <c r="B1359" s="342">
        <v>13211</v>
      </c>
      <c r="C1359" s="343" t="s">
        <v>568</v>
      </c>
      <c r="D1359" s="343" t="str">
        <f ca="1">OFFSET('Zip Code Lines_1'!$U$3,MATCH('Zip Code Lines_1'!C1359,'Zip Code Lines_1'!$Q$4:$Q$26,0),0)</f>
        <v>Syracuse</v>
      </c>
      <c r="E1359" s="344">
        <f ca="1">OFFSET('Zip Code Lines_1'!$W$3,MATCH('Zip Code Lines_1'!C1359,'Zip Code Lines_1'!$Q$4:$Q$26,0),0)</f>
        <v>4.9000000000000004</v>
      </c>
      <c r="F1359" s="344">
        <f ca="1">OFFSET('Zip Code Lines_1'!$Z$3,MATCH('Zip Code Lines_1'!C1359,'Zip Code Lines_1'!$Q$4:$Q$26,0),0)</f>
        <v>86.4</v>
      </c>
      <c r="G1359" s="342">
        <f ca="1">OFFSET('Zip Code Lines_1'!$AC$3,MATCH('Zip Code Lines_1'!C1359,'Zip Code Lines_1'!$Q$4:$Q$26,0),0)</f>
        <v>12</v>
      </c>
      <c r="H1359" s="342">
        <v>13211</v>
      </c>
    </row>
    <row r="1360" spans="2:8" x14ac:dyDescent="0.25">
      <c r="B1360" s="342">
        <v>13212</v>
      </c>
      <c r="C1360" s="343" t="s">
        <v>568</v>
      </c>
      <c r="D1360" s="343" t="str">
        <f ca="1">OFFSET('Zip Code Lines_1'!$U$3,MATCH('Zip Code Lines_1'!C1360,'Zip Code Lines_1'!$Q$4:$Q$26,0),0)</f>
        <v>Syracuse</v>
      </c>
      <c r="E1360" s="344">
        <f ca="1">OFFSET('Zip Code Lines_1'!$W$3,MATCH('Zip Code Lines_1'!C1360,'Zip Code Lines_1'!$Q$4:$Q$26,0),0)</f>
        <v>4.9000000000000004</v>
      </c>
      <c r="F1360" s="344">
        <f ca="1">OFFSET('Zip Code Lines_1'!$Z$3,MATCH('Zip Code Lines_1'!C1360,'Zip Code Lines_1'!$Q$4:$Q$26,0),0)</f>
        <v>86.4</v>
      </c>
      <c r="G1360" s="342">
        <f ca="1">OFFSET('Zip Code Lines_1'!$AC$3,MATCH('Zip Code Lines_1'!C1360,'Zip Code Lines_1'!$Q$4:$Q$26,0),0)</f>
        <v>12</v>
      </c>
      <c r="H1360" s="342">
        <v>13212</v>
      </c>
    </row>
    <row r="1361" spans="2:8" x14ac:dyDescent="0.25">
      <c r="B1361" s="342">
        <v>13214</v>
      </c>
      <c r="C1361" s="343" t="s">
        <v>568</v>
      </c>
      <c r="D1361" s="343" t="str">
        <f ca="1">OFFSET('Zip Code Lines_1'!$U$3,MATCH('Zip Code Lines_1'!C1361,'Zip Code Lines_1'!$Q$4:$Q$26,0),0)</f>
        <v>Syracuse</v>
      </c>
      <c r="E1361" s="344">
        <f ca="1">OFFSET('Zip Code Lines_1'!$W$3,MATCH('Zip Code Lines_1'!C1361,'Zip Code Lines_1'!$Q$4:$Q$26,0),0)</f>
        <v>4.9000000000000004</v>
      </c>
      <c r="F1361" s="344">
        <f ca="1">OFFSET('Zip Code Lines_1'!$Z$3,MATCH('Zip Code Lines_1'!C1361,'Zip Code Lines_1'!$Q$4:$Q$26,0),0)</f>
        <v>86.4</v>
      </c>
      <c r="G1361" s="342">
        <f ca="1">OFFSET('Zip Code Lines_1'!$AC$3,MATCH('Zip Code Lines_1'!C1361,'Zip Code Lines_1'!$Q$4:$Q$26,0),0)</f>
        <v>12</v>
      </c>
      <c r="H1361" s="342">
        <v>13214</v>
      </c>
    </row>
    <row r="1362" spans="2:8" x14ac:dyDescent="0.25">
      <c r="B1362" s="342">
        <v>13215</v>
      </c>
      <c r="C1362" s="343" t="s">
        <v>568</v>
      </c>
      <c r="D1362" s="343" t="str">
        <f ca="1">OFFSET('Zip Code Lines_1'!$U$3,MATCH('Zip Code Lines_1'!C1362,'Zip Code Lines_1'!$Q$4:$Q$26,0),0)</f>
        <v>Syracuse</v>
      </c>
      <c r="E1362" s="344">
        <f ca="1">OFFSET('Zip Code Lines_1'!$W$3,MATCH('Zip Code Lines_1'!C1362,'Zip Code Lines_1'!$Q$4:$Q$26,0),0)</f>
        <v>4.9000000000000004</v>
      </c>
      <c r="F1362" s="344">
        <f ca="1">OFFSET('Zip Code Lines_1'!$Z$3,MATCH('Zip Code Lines_1'!C1362,'Zip Code Lines_1'!$Q$4:$Q$26,0),0)</f>
        <v>86.4</v>
      </c>
      <c r="G1362" s="342">
        <f ca="1">OFFSET('Zip Code Lines_1'!$AC$3,MATCH('Zip Code Lines_1'!C1362,'Zip Code Lines_1'!$Q$4:$Q$26,0),0)</f>
        <v>12</v>
      </c>
      <c r="H1362" s="342">
        <v>13215</v>
      </c>
    </row>
    <row r="1363" spans="2:8" x14ac:dyDescent="0.25">
      <c r="B1363" s="342">
        <v>13217</v>
      </c>
      <c r="C1363" s="343" t="s">
        <v>568</v>
      </c>
      <c r="D1363" s="343" t="str">
        <f ca="1">OFFSET('Zip Code Lines_1'!$U$3,MATCH('Zip Code Lines_1'!C1363,'Zip Code Lines_1'!$Q$4:$Q$26,0),0)</f>
        <v>Syracuse</v>
      </c>
      <c r="E1363" s="344">
        <f ca="1">OFFSET('Zip Code Lines_1'!$W$3,MATCH('Zip Code Lines_1'!C1363,'Zip Code Lines_1'!$Q$4:$Q$26,0),0)</f>
        <v>4.9000000000000004</v>
      </c>
      <c r="F1363" s="344">
        <f ca="1">OFFSET('Zip Code Lines_1'!$Z$3,MATCH('Zip Code Lines_1'!C1363,'Zip Code Lines_1'!$Q$4:$Q$26,0),0)</f>
        <v>86.4</v>
      </c>
      <c r="G1363" s="342">
        <f ca="1">OFFSET('Zip Code Lines_1'!$AC$3,MATCH('Zip Code Lines_1'!C1363,'Zip Code Lines_1'!$Q$4:$Q$26,0),0)</f>
        <v>12</v>
      </c>
      <c r="H1363" s="342">
        <v>13217</v>
      </c>
    </row>
    <row r="1364" spans="2:8" x14ac:dyDescent="0.25">
      <c r="B1364" s="342">
        <v>13218</v>
      </c>
      <c r="C1364" s="343" t="s">
        <v>568</v>
      </c>
      <c r="D1364" s="343" t="str">
        <f ca="1">OFFSET('Zip Code Lines_1'!$U$3,MATCH('Zip Code Lines_1'!C1364,'Zip Code Lines_1'!$Q$4:$Q$26,0),0)</f>
        <v>Syracuse</v>
      </c>
      <c r="E1364" s="344">
        <f ca="1">OFFSET('Zip Code Lines_1'!$W$3,MATCH('Zip Code Lines_1'!C1364,'Zip Code Lines_1'!$Q$4:$Q$26,0),0)</f>
        <v>4.9000000000000004</v>
      </c>
      <c r="F1364" s="344">
        <f ca="1">OFFSET('Zip Code Lines_1'!$Z$3,MATCH('Zip Code Lines_1'!C1364,'Zip Code Lines_1'!$Q$4:$Q$26,0),0)</f>
        <v>86.4</v>
      </c>
      <c r="G1364" s="342">
        <f ca="1">OFFSET('Zip Code Lines_1'!$AC$3,MATCH('Zip Code Lines_1'!C1364,'Zip Code Lines_1'!$Q$4:$Q$26,0),0)</f>
        <v>12</v>
      </c>
      <c r="H1364" s="342">
        <v>13218</v>
      </c>
    </row>
    <row r="1365" spans="2:8" x14ac:dyDescent="0.25">
      <c r="B1365" s="342">
        <v>13219</v>
      </c>
      <c r="C1365" s="343" t="s">
        <v>568</v>
      </c>
      <c r="D1365" s="343" t="str">
        <f ca="1">OFFSET('Zip Code Lines_1'!$U$3,MATCH('Zip Code Lines_1'!C1365,'Zip Code Lines_1'!$Q$4:$Q$26,0),0)</f>
        <v>Syracuse</v>
      </c>
      <c r="E1365" s="344">
        <f ca="1">OFFSET('Zip Code Lines_1'!$W$3,MATCH('Zip Code Lines_1'!C1365,'Zip Code Lines_1'!$Q$4:$Q$26,0),0)</f>
        <v>4.9000000000000004</v>
      </c>
      <c r="F1365" s="344">
        <f ca="1">OFFSET('Zip Code Lines_1'!$Z$3,MATCH('Zip Code Lines_1'!C1365,'Zip Code Lines_1'!$Q$4:$Q$26,0),0)</f>
        <v>86.4</v>
      </c>
      <c r="G1365" s="342">
        <f ca="1">OFFSET('Zip Code Lines_1'!$AC$3,MATCH('Zip Code Lines_1'!C1365,'Zip Code Lines_1'!$Q$4:$Q$26,0),0)</f>
        <v>12</v>
      </c>
      <c r="H1365" s="342">
        <v>13219</v>
      </c>
    </row>
    <row r="1366" spans="2:8" x14ac:dyDescent="0.25">
      <c r="B1366" s="342">
        <v>13220</v>
      </c>
      <c r="C1366" s="343" t="s">
        <v>568</v>
      </c>
      <c r="D1366" s="343" t="str">
        <f ca="1">OFFSET('Zip Code Lines_1'!$U$3,MATCH('Zip Code Lines_1'!C1366,'Zip Code Lines_1'!$Q$4:$Q$26,0),0)</f>
        <v>Syracuse</v>
      </c>
      <c r="E1366" s="344">
        <f ca="1">OFFSET('Zip Code Lines_1'!$W$3,MATCH('Zip Code Lines_1'!C1366,'Zip Code Lines_1'!$Q$4:$Q$26,0),0)</f>
        <v>4.9000000000000004</v>
      </c>
      <c r="F1366" s="344">
        <f ca="1">OFFSET('Zip Code Lines_1'!$Z$3,MATCH('Zip Code Lines_1'!C1366,'Zip Code Lines_1'!$Q$4:$Q$26,0),0)</f>
        <v>86.4</v>
      </c>
      <c r="G1366" s="342">
        <f ca="1">OFFSET('Zip Code Lines_1'!$AC$3,MATCH('Zip Code Lines_1'!C1366,'Zip Code Lines_1'!$Q$4:$Q$26,0),0)</f>
        <v>12</v>
      </c>
      <c r="H1366" s="342">
        <v>13220</v>
      </c>
    </row>
    <row r="1367" spans="2:8" x14ac:dyDescent="0.25">
      <c r="B1367" s="342">
        <v>13221</v>
      </c>
      <c r="C1367" s="343" t="s">
        <v>568</v>
      </c>
      <c r="D1367" s="343" t="str">
        <f ca="1">OFFSET('Zip Code Lines_1'!$U$3,MATCH('Zip Code Lines_1'!C1367,'Zip Code Lines_1'!$Q$4:$Q$26,0),0)</f>
        <v>Syracuse</v>
      </c>
      <c r="E1367" s="344">
        <f ca="1">OFFSET('Zip Code Lines_1'!$W$3,MATCH('Zip Code Lines_1'!C1367,'Zip Code Lines_1'!$Q$4:$Q$26,0),0)</f>
        <v>4.9000000000000004</v>
      </c>
      <c r="F1367" s="344">
        <f ca="1">OFFSET('Zip Code Lines_1'!$Z$3,MATCH('Zip Code Lines_1'!C1367,'Zip Code Lines_1'!$Q$4:$Q$26,0),0)</f>
        <v>86.4</v>
      </c>
      <c r="G1367" s="342">
        <f ca="1">OFFSET('Zip Code Lines_1'!$AC$3,MATCH('Zip Code Lines_1'!C1367,'Zip Code Lines_1'!$Q$4:$Q$26,0),0)</f>
        <v>12</v>
      </c>
      <c r="H1367" s="342">
        <v>13221</v>
      </c>
    </row>
    <row r="1368" spans="2:8" x14ac:dyDescent="0.25">
      <c r="B1368" s="342">
        <v>13224</v>
      </c>
      <c r="C1368" s="343" t="s">
        <v>568</v>
      </c>
      <c r="D1368" s="343" t="str">
        <f ca="1">OFFSET('Zip Code Lines_1'!$U$3,MATCH('Zip Code Lines_1'!C1368,'Zip Code Lines_1'!$Q$4:$Q$26,0),0)</f>
        <v>Syracuse</v>
      </c>
      <c r="E1368" s="344">
        <f ca="1">OFFSET('Zip Code Lines_1'!$W$3,MATCH('Zip Code Lines_1'!C1368,'Zip Code Lines_1'!$Q$4:$Q$26,0),0)</f>
        <v>4.9000000000000004</v>
      </c>
      <c r="F1368" s="344">
        <f ca="1">OFFSET('Zip Code Lines_1'!$Z$3,MATCH('Zip Code Lines_1'!C1368,'Zip Code Lines_1'!$Q$4:$Q$26,0),0)</f>
        <v>86.4</v>
      </c>
      <c r="G1368" s="342">
        <f ca="1">OFFSET('Zip Code Lines_1'!$AC$3,MATCH('Zip Code Lines_1'!C1368,'Zip Code Lines_1'!$Q$4:$Q$26,0),0)</f>
        <v>12</v>
      </c>
      <c r="H1368" s="342">
        <v>13224</v>
      </c>
    </row>
    <row r="1369" spans="2:8" x14ac:dyDescent="0.25">
      <c r="B1369" s="342">
        <v>13225</v>
      </c>
      <c r="C1369" s="343" t="s">
        <v>568</v>
      </c>
      <c r="D1369" s="343" t="str">
        <f ca="1">OFFSET('Zip Code Lines_1'!$U$3,MATCH('Zip Code Lines_1'!C1369,'Zip Code Lines_1'!$Q$4:$Q$26,0),0)</f>
        <v>Syracuse</v>
      </c>
      <c r="E1369" s="344">
        <f ca="1">OFFSET('Zip Code Lines_1'!$W$3,MATCH('Zip Code Lines_1'!C1369,'Zip Code Lines_1'!$Q$4:$Q$26,0),0)</f>
        <v>4.9000000000000004</v>
      </c>
      <c r="F1369" s="344">
        <f ca="1">OFFSET('Zip Code Lines_1'!$Z$3,MATCH('Zip Code Lines_1'!C1369,'Zip Code Lines_1'!$Q$4:$Q$26,0),0)</f>
        <v>86.4</v>
      </c>
      <c r="G1369" s="342">
        <f ca="1">OFFSET('Zip Code Lines_1'!$AC$3,MATCH('Zip Code Lines_1'!C1369,'Zip Code Lines_1'!$Q$4:$Q$26,0),0)</f>
        <v>12</v>
      </c>
      <c r="H1369" s="342">
        <v>13225</v>
      </c>
    </row>
    <row r="1370" spans="2:8" x14ac:dyDescent="0.25">
      <c r="B1370" s="342">
        <v>13235</v>
      </c>
      <c r="C1370" s="343" t="s">
        <v>568</v>
      </c>
      <c r="D1370" s="343" t="str">
        <f ca="1">OFFSET('Zip Code Lines_1'!$U$3,MATCH('Zip Code Lines_1'!C1370,'Zip Code Lines_1'!$Q$4:$Q$26,0),0)</f>
        <v>Syracuse</v>
      </c>
      <c r="E1370" s="344">
        <f ca="1">OFFSET('Zip Code Lines_1'!$W$3,MATCH('Zip Code Lines_1'!C1370,'Zip Code Lines_1'!$Q$4:$Q$26,0),0)</f>
        <v>4.9000000000000004</v>
      </c>
      <c r="F1370" s="344">
        <f ca="1">OFFSET('Zip Code Lines_1'!$Z$3,MATCH('Zip Code Lines_1'!C1370,'Zip Code Lines_1'!$Q$4:$Q$26,0),0)</f>
        <v>86.4</v>
      </c>
      <c r="G1370" s="342">
        <f ca="1">OFFSET('Zip Code Lines_1'!$AC$3,MATCH('Zip Code Lines_1'!C1370,'Zip Code Lines_1'!$Q$4:$Q$26,0),0)</f>
        <v>12</v>
      </c>
      <c r="H1370" s="342">
        <v>13235</v>
      </c>
    </row>
    <row r="1371" spans="2:8" x14ac:dyDescent="0.25">
      <c r="B1371" s="342">
        <v>13244</v>
      </c>
      <c r="C1371" s="343" t="s">
        <v>568</v>
      </c>
      <c r="D1371" s="343" t="str">
        <f ca="1">OFFSET('Zip Code Lines_1'!$U$3,MATCH('Zip Code Lines_1'!C1371,'Zip Code Lines_1'!$Q$4:$Q$26,0),0)</f>
        <v>Syracuse</v>
      </c>
      <c r="E1371" s="344">
        <f ca="1">OFFSET('Zip Code Lines_1'!$W$3,MATCH('Zip Code Lines_1'!C1371,'Zip Code Lines_1'!$Q$4:$Q$26,0),0)</f>
        <v>4.9000000000000004</v>
      </c>
      <c r="F1371" s="344">
        <f ca="1">OFFSET('Zip Code Lines_1'!$Z$3,MATCH('Zip Code Lines_1'!C1371,'Zip Code Lines_1'!$Q$4:$Q$26,0),0)</f>
        <v>86.4</v>
      </c>
      <c r="G1371" s="342">
        <f ca="1">OFFSET('Zip Code Lines_1'!$AC$3,MATCH('Zip Code Lines_1'!C1371,'Zip Code Lines_1'!$Q$4:$Q$26,0),0)</f>
        <v>12</v>
      </c>
      <c r="H1371" s="342">
        <v>13244</v>
      </c>
    </row>
    <row r="1372" spans="2:8" x14ac:dyDescent="0.25">
      <c r="B1372" s="342">
        <v>13250</v>
      </c>
      <c r="C1372" s="343" t="s">
        <v>568</v>
      </c>
      <c r="D1372" s="343" t="str">
        <f ca="1">OFFSET('Zip Code Lines_1'!$U$3,MATCH('Zip Code Lines_1'!C1372,'Zip Code Lines_1'!$Q$4:$Q$26,0),0)</f>
        <v>Syracuse</v>
      </c>
      <c r="E1372" s="344">
        <f ca="1">OFFSET('Zip Code Lines_1'!$W$3,MATCH('Zip Code Lines_1'!C1372,'Zip Code Lines_1'!$Q$4:$Q$26,0),0)</f>
        <v>4.9000000000000004</v>
      </c>
      <c r="F1372" s="344">
        <f ca="1">OFFSET('Zip Code Lines_1'!$Z$3,MATCH('Zip Code Lines_1'!C1372,'Zip Code Lines_1'!$Q$4:$Q$26,0),0)</f>
        <v>86.4</v>
      </c>
      <c r="G1372" s="342">
        <f ca="1">OFFSET('Zip Code Lines_1'!$AC$3,MATCH('Zip Code Lines_1'!C1372,'Zip Code Lines_1'!$Q$4:$Q$26,0),0)</f>
        <v>12</v>
      </c>
      <c r="H1372" s="342">
        <v>13250</v>
      </c>
    </row>
    <row r="1373" spans="2:8" x14ac:dyDescent="0.25">
      <c r="B1373" s="342">
        <v>13251</v>
      </c>
      <c r="C1373" s="343" t="s">
        <v>568</v>
      </c>
      <c r="D1373" s="343" t="str">
        <f ca="1">OFFSET('Zip Code Lines_1'!$U$3,MATCH('Zip Code Lines_1'!C1373,'Zip Code Lines_1'!$Q$4:$Q$26,0),0)</f>
        <v>Syracuse</v>
      </c>
      <c r="E1373" s="344">
        <f ca="1">OFFSET('Zip Code Lines_1'!$W$3,MATCH('Zip Code Lines_1'!C1373,'Zip Code Lines_1'!$Q$4:$Q$26,0),0)</f>
        <v>4.9000000000000004</v>
      </c>
      <c r="F1373" s="344">
        <f ca="1">OFFSET('Zip Code Lines_1'!$Z$3,MATCH('Zip Code Lines_1'!C1373,'Zip Code Lines_1'!$Q$4:$Q$26,0),0)</f>
        <v>86.4</v>
      </c>
      <c r="G1373" s="342">
        <f ca="1">OFFSET('Zip Code Lines_1'!$AC$3,MATCH('Zip Code Lines_1'!C1373,'Zip Code Lines_1'!$Q$4:$Q$26,0),0)</f>
        <v>12</v>
      </c>
      <c r="H1373" s="342">
        <v>13251</v>
      </c>
    </row>
    <row r="1374" spans="2:8" x14ac:dyDescent="0.25">
      <c r="B1374" s="342">
        <v>13252</v>
      </c>
      <c r="C1374" s="343" t="s">
        <v>568</v>
      </c>
      <c r="D1374" s="343" t="str">
        <f ca="1">OFFSET('Zip Code Lines_1'!$U$3,MATCH('Zip Code Lines_1'!C1374,'Zip Code Lines_1'!$Q$4:$Q$26,0),0)</f>
        <v>Syracuse</v>
      </c>
      <c r="E1374" s="344">
        <f ca="1">OFFSET('Zip Code Lines_1'!$W$3,MATCH('Zip Code Lines_1'!C1374,'Zip Code Lines_1'!$Q$4:$Q$26,0),0)</f>
        <v>4.9000000000000004</v>
      </c>
      <c r="F1374" s="344">
        <f ca="1">OFFSET('Zip Code Lines_1'!$Z$3,MATCH('Zip Code Lines_1'!C1374,'Zip Code Lines_1'!$Q$4:$Q$26,0),0)</f>
        <v>86.4</v>
      </c>
      <c r="G1374" s="342">
        <f ca="1">OFFSET('Zip Code Lines_1'!$AC$3,MATCH('Zip Code Lines_1'!C1374,'Zip Code Lines_1'!$Q$4:$Q$26,0),0)</f>
        <v>12</v>
      </c>
      <c r="H1374" s="342">
        <v>13252</v>
      </c>
    </row>
    <row r="1375" spans="2:8" x14ac:dyDescent="0.25">
      <c r="B1375" s="342">
        <v>13261</v>
      </c>
      <c r="C1375" s="343" t="s">
        <v>568</v>
      </c>
      <c r="D1375" s="343" t="str">
        <f ca="1">OFFSET('Zip Code Lines_1'!$U$3,MATCH('Zip Code Lines_1'!C1375,'Zip Code Lines_1'!$Q$4:$Q$26,0),0)</f>
        <v>Syracuse</v>
      </c>
      <c r="E1375" s="344">
        <f ca="1">OFFSET('Zip Code Lines_1'!$W$3,MATCH('Zip Code Lines_1'!C1375,'Zip Code Lines_1'!$Q$4:$Q$26,0),0)</f>
        <v>4.9000000000000004</v>
      </c>
      <c r="F1375" s="344">
        <f ca="1">OFFSET('Zip Code Lines_1'!$Z$3,MATCH('Zip Code Lines_1'!C1375,'Zip Code Lines_1'!$Q$4:$Q$26,0),0)</f>
        <v>86.4</v>
      </c>
      <c r="G1375" s="342">
        <f ca="1">OFFSET('Zip Code Lines_1'!$AC$3,MATCH('Zip Code Lines_1'!C1375,'Zip Code Lines_1'!$Q$4:$Q$26,0),0)</f>
        <v>12</v>
      </c>
      <c r="H1375" s="342">
        <v>13261</v>
      </c>
    </row>
    <row r="1376" spans="2:8" x14ac:dyDescent="0.25">
      <c r="B1376" s="342">
        <v>13290</v>
      </c>
      <c r="C1376" s="343" t="s">
        <v>568</v>
      </c>
      <c r="D1376" s="343" t="str">
        <f ca="1">OFFSET('Zip Code Lines_1'!$U$3,MATCH('Zip Code Lines_1'!C1376,'Zip Code Lines_1'!$Q$4:$Q$26,0),0)</f>
        <v>Syracuse</v>
      </c>
      <c r="E1376" s="344">
        <f ca="1">OFFSET('Zip Code Lines_1'!$W$3,MATCH('Zip Code Lines_1'!C1376,'Zip Code Lines_1'!$Q$4:$Q$26,0),0)</f>
        <v>4.9000000000000004</v>
      </c>
      <c r="F1376" s="344">
        <f ca="1">OFFSET('Zip Code Lines_1'!$Z$3,MATCH('Zip Code Lines_1'!C1376,'Zip Code Lines_1'!$Q$4:$Q$26,0),0)</f>
        <v>86.4</v>
      </c>
      <c r="G1376" s="342">
        <f ca="1">OFFSET('Zip Code Lines_1'!$AC$3,MATCH('Zip Code Lines_1'!C1376,'Zip Code Lines_1'!$Q$4:$Q$26,0),0)</f>
        <v>12</v>
      </c>
      <c r="H1376" s="342">
        <v>13290</v>
      </c>
    </row>
    <row r="1377" spans="2:8" x14ac:dyDescent="0.25">
      <c r="B1377" s="342">
        <v>13301</v>
      </c>
      <c r="C1377" s="343" t="s">
        <v>571</v>
      </c>
      <c r="D1377" s="343" t="str">
        <f ca="1">OFFSET('Zip Code Lines_1'!$U$3,MATCH('Zip Code Lines_1'!C1377,'Zip Code Lines_1'!$Q$4:$Q$26,0),0)</f>
        <v>Watertown</v>
      </c>
      <c r="E1377" s="344">
        <f ca="1">OFFSET('Zip Code Lines_1'!$W$3,MATCH('Zip Code Lines_1'!C1377,'Zip Code Lines_1'!$Q$4:$Q$26,0),0)</f>
        <v>-5</v>
      </c>
      <c r="F1377" s="344">
        <f ca="1">OFFSET('Zip Code Lines_1'!$Z$3,MATCH('Zip Code Lines_1'!C1377,'Zip Code Lines_1'!$Q$4:$Q$26,0),0)</f>
        <v>83.1</v>
      </c>
      <c r="G1377" s="342">
        <f ca="1">OFFSET('Zip Code Lines_1'!$AC$3,MATCH('Zip Code Lines_1'!C1377,'Zip Code Lines_1'!$Q$4:$Q$26,0),0)</f>
        <v>24</v>
      </c>
      <c r="H1377" s="342">
        <v>13301</v>
      </c>
    </row>
    <row r="1378" spans="2:8" x14ac:dyDescent="0.25">
      <c r="B1378" s="342">
        <v>13302</v>
      </c>
      <c r="C1378" s="343" t="s">
        <v>541</v>
      </c>
      <c r="D1378" s="343" t="str">
        <f ca="1">OFFSET('Zip Code Lines_1'!$U$3,MATCH('Zip Code Lines_1'!C1378,'Zip Code Lines_1'!$Q$4:$Q$26,0),0)</f>
        <v>Fort Drum</v>
      </c>
      <c r="E1378" s="344">
        <f ca="1">OFFSET('Zip Code Lines_1'!$W$3,MATCH('Zip Code Lines_1'!C1378,'Zip Code Lines_1'!$Q$4:$Q$26,0),0)</f>
        <v>-4.4000000000000004</v>
      </c>
      <c r="F1378" s="344">
        <f ca="1">OFFSET('Zip Code Lines_1'!$Z$3,MATCH('Zip Code Lines_1'!C1378,'Zip Code Lines_1'!$Q$4:$Q$26,0),0)</f>
        <v>83.6</v>
      </c>
      <c r="G1378" s="342">
        <f ca="1">OFFSET('Zip Code Lines_1'!$AC$3,MATCH('Zip Code Lines_1'!C1378,'Zip Code Lines_1'!$Q$4:$Q$26,0),0)</f>
        <v>18</v>
      </c>
      <c r="H1378" s="342">
        <v>13302</v>
      </c>
    </row>
    <row r="1379" spans="2:8" x14ac:dyDescent="0.25">
      <c r="B1379" s="342">
        <v>13303</v>
      </c>
      <c r="C1379" s="343" t="s">
        <v>569</v>
      </c>
      <c r="D1379" s="343" t="str">
        <f ca="1">OFFSET('Zip Code Lines_1'!$U$3,MATCH('Zip Code Lines_1'!C1379,'Zip Code Lines_1'!$Q$4:$Q$26,0),0)</f>
        <v>Utica</v>
      </c>
      <c r="E1379" s="344">
        <f ca="1">OFFSET('Zip Code Lines_1'!$W$3,MATCH('Zip Code Lines_1'!C1379,'Zip Code Lines_1'!$Q$4:$Q$26,0),0)</f>
        <v>1.2</v>
      </c>
      <c r="F1379" s="344">
        <f ca="1">OFFSET('Zip Code Lines_1'!$Z$3,MATCH('Zip Code Lines_1'!C1379,'Zip Code Lines_1'!$Q$4:$Q$26,0),0)</f>
        <v>84.2</v>
      </c>
      <c r="G1379" s="342">
        <f ca="1">OFFSET('Zip Code Lines_1'!$AC$3,MATCH('Zip Code Lines_1'!C1379,'Zip Code Lines_1'!$Q$4:$Q$26,0),0)</f>
        <v>18</v>
      </c>
      <c r="H1379" s="342">
        <v>13303</v>
      </c>
    </row>
    <row r="1380" spans="2:8" x14ac:dyDescent="0.25">
      <c r="B1380" s="342">
        <v>13304</v>
      </c>
      <c r="C1380" s="343" t="s">
        <v>569</v>
      </c>
      <c r="D1380" s="343" t="str">
        <f ca="1">OFFSET('Zip Code Lines_1'!$U$3,MATCH('Zip Code Lines_1'!C1380,'Zip Code Lines_1'!$Q$4:$Q$26,0),0)</f>
        <v>Utica</v>
      </c>
      <c r="E1380" s="344">
        <f ca="1">OFFSET('Zip Code Lines_1'!$W$3,MATCH('Zip Code Lines_1'!C1380,'Zip Code Lines_1'!$Q$4:$Q$26,0),0)</f>
        <v>1.2</v>
      </c>
      <c r="F1380" s="344">
        <f ca="1">OFFSET('Zip Code Lines_1'!$Z$3,MATCH('Zip Code Lines_1'!C1380,'Zip Code Lines_1'!$Q$4:$Q$26,0),0)</f>
        <v>84.2</v>
      </c>
      <c r="G1380" s="342">
        <f ca="1">OFFSET('Zip Code Lines_1'!$AC$3,MATCH('Zip Code Lines_1'!C1380,'Zip Code Lines_1'!$Q$4:$Q$26,0),0)</f>
        <v>18</v>
      </c>
      <c r="H1380" s="342">
        <v>13304</v>
      </c>
    </row>
    <row r="1381" spans="2:8" x14ac:dyDescent="0.25">
      <c r="B1381" s="342">
        <v>13305</v>
      </c>
      <c r="C1381" s="343" t="s">
        <v>571</v>
      </c>
      <c r="D1381" s="343" t="str">
        <f ca="1">OFFSET('Zip Code Lines_1'!$U$3,MATCH('Zip Code Lines_1'!C1381,'Zip Code Lines_1'!$Q$4:$Q$26,0),0)</f>
        <v>Watertown</v>
      </c>
      <c r="E1381" s="344">
        <f ca="1">OFFSET('Zip Code Lines_1'!$W$3,MATCH('Zip Code Lines_1'!C1381,'Zip Code Lines_1'!$Q$4:$Q$26,0),0)</f>
        <v>-5</v>
      </c>
      <c r="F1381" s="344">
        <f ca="1">OFFSET('Zip Code Lines_1'!$Z$3,MATCH('Zip Code Lines_1'!C1381,'Zip Code Lines_1'!$Q$4:$Q$26,0),0)</f>
        <v>83.1</v>
      </c>
      <c r="G1381" s="342">
        <f ca="1">OFFSET('Zip Code Lines_1'!$AC$3,MATCH('Zip Code Lines_1'!C1381,'Zip Code Lines_1'!$Q$4:$Q$26,0),0)</f>
        <v>24</v>
      </c>
      <c r="H1381" s="342">
        <v>13305</v>
      </c>
    </row>
    <row r="1382" spans="2:8" x14ac:dyDescent="0.25">
      <c r="B1382" s="342">
        <v>13308</v>
      </c>
      <c r="C1382" s="343" t="s">
        <v>569</v>
      </c>
      <c r="D1382" s="343" t="str">
        <f ca="1">OFFSET('Zip Code Lines_1'!$U$3,MATCH('Zip Code Lines_1'!C1382,'Zip Code Lines_1'!$Q$4:$Q$26,0),0)</f>
        <v>Utica</v>
      </c>
      <c r="E1382" s="344">
        <f ca="1">OFFSET('Zip Code Lines_1'!$W$3,MATCH('Zip Code Lines_1'!C1382,'Zip Code Lines_1'!$Q$4:$Q$26,0),0)</f>
        <v>1.2</v>
      </c>
      <c r="F1382" s="344">
        <f ca="1">OFFSET('Zip Code Lines_1'!$Z$3,MATCH('Zip Code Lines_1'!C1382,'Zip Code Lines_1'!$Q$4:$Q$26,0),0)</f>
        <v>84.2</v>
      </c>
      <c r="G1382" s="342">
        <f ca="1">OFFSET('Zip Code Lines_1'!$AC$3,MATCH('Zip Code Lines_1'!C1382,'Zip Code Lines_1'!$Q$4:$Q$26,0),0)</f>
        <v>18</v>
      </c>
      <c r="H1382" s="342">
        <v>13308</v>
      </c>
    </row>
    <row r="1383" spans="2:8" x14ac:dyDescent="0.25">
      <c r="B1383" s="342">
        <v>13309</v>
      </c>
      <c r="C1383" s="343" t="s">
        <v>571</v>
      </c>
      <c r="D1383" s="343" t="str">
        <f ca="1">OFFSET('Zip Code Lines_1'!$U$3,MATCH('Zip Code Lines_1'!C1383,'Zip Code Lines_1'!$Q$4:$Q$26,0),0)</f>
        <v>Watertown</v>
      </c>
      <c r="E1383" s="344">
        <f ca="1">OFFSET('Zip Code Lines_1'!$W$3,MATCH('Zip Code Lines_1'!C1383,'Zip Code Lines_1'!$Q$4:$Q$26,0),0)</f>
        <v>-5</v>
      </c>
      <c r="F1383" s="344">
        <f ca="1">OFFSET('Zip Code Lines_1'!$Z$3,MATCH('Zip Code Lines_1'!C1383,'Zip Code Lines_1'!$Q$4:$Q$26,0),0)</f>
        <v>83.1</v>
      </c>
      <c r="G1383" s="342">
        <f ca="1">OFFSET('Zip Code Lines_1'!$AC$3,MATCH('Zip Code Lines_1'!C1383,'Zip Code Lines_1'!$Q$4:$Q$26,0),0)</f>
        <v>24</v>
      </c>
      <c r="H1383" s="342">
        <v>13309</v>
      </c>
    </row>
    <row r="1384" spans="2:8" x14ac:dyDescent="0.25">
      <c r="B1384" s="342">
        <v>13310</v>
      </c>
      <c r="C1384" s="343" t="s">
        <v>569</v>
      </c>
      <c r="D1384" s="343" t="str">
        <f ca="1">OFFSET('Zip Code Lines_1'!$U$3,MATCH('Zip Code Lines_1'!C1384,'Zip Code Lines_1'!$Q$4:$Q$26,0),0)</f>
        <v>Utica</v>
      </c>
      <c r="E1384" s="344">
        <f ca="1">OFFSET('Zip Code Lines_1'!$W$3,MATCH('Zip Code Lines_1'!C1384,'Zip Code Lines_1'!$Q$4:$Q$26,0),0)</f>
        <v>1.2</v>
      </c>
      <c r="F1384" s="344">
        <f ca="1">OFFSET('Zip Code Lines_1'!$Z$3,MATCH('Zip Code Lines_1'!C1384,'Zip Code Lines_1'!$Q$4:$Q$26,0),0)</f>
        <v>84.2</v>
      </c>
      <c r="G1384" s="342">
        <f ca="1">OFFSET('Zip Code Lines_1'!$AC$3,MATCH('Zip Code Lines_1'!C1384,'Zip Code Lines_1'!$Q$4:$Q$26,0),0)</f>
        <v>18</v>
      </c>
      <c r="H1384" s="342">
        <v>13310</v>
      </c>
    </row>
    <row r="1385" spans="2:8" x14ac:dyDescent="0.25">
      <c r="B1385" s="342">
        <v>13312</v>
      </c>
      <c r="C1385" s="343" t="s">
        <v>571</v>
      </c>
      <c r="D1385" s="343" t="str">
        <f ca="1">OFFSET('Zip Code Lines_1'!$U$3,MATCH('Zip Code Lines_1'!C1385,'Zip Code Lines_1'!$Q$4:$Q$26,0),0)</f>
        <v>Watertown</v>
      </c>
      <c r="E1385" s="344">
        <f ca="1">OFFSET('Zip Code Lines_1'!$W$3,MATCH('Zip Code Lines_1'!C1385,'Zip Code Lines_1'!$Q$4:$Q$26,0),0)</f>
        <v>-5</v>
      </c>
      <c r="F1385" s="344">
        <f ca="1">OFFSET('Zip Code Lines_1'!$Z$3,MATCH('Zip Code Lines_1'!C1385,'Zip Code Lines_1'!$Q$4:$Q$26,0),0)</f>
        <v>83.1</v>
      </c>
      <c r="G1385" s="342">
        <f ca="1">OFFSET('Zip Code Lines_1'!$AC$3,MATCH('Zip Code Lines_1'!C1385,'Zip Code Lines_1'!$Q$4:$Q$26,0),0)</f>
        <v>24</v>
      </c>
      <c r="H1385" s="342">
        <v>13312</v>
      </c>
    </row>
    <row r="1386" spans="2:8" x14ac:dyDescent="0.25">
      <c r="B1386" s="342">
        <v>13313</v>
      </c>
      <c r="C1386" s="343" t="s">
        <v>569</v>
      </c>
      <c r="D1386" s="343" t="str">
        <f ca="1">OFFSET('Zip Code Lines_1'!$U$3,MATCH('Zip Code Lines_1'!C1386,'Zip Code Lines_1'!$Q$4:$Q$26,0),0)</f>
        <v>Utica</v>
      </c>
      <c r="E1386" s="344">
        <f ca="1">OFFSET('Zip Code Lines_1'!$W$3,MATCH('Zip Code Lines_1'!C1386,'Zip Code Lines_1'!$Q$4:$Q$26,0),0)</f>
        <v>1.2</v>
      </c>
      <c r="F1386" s="344">
        <f ca="1">OFFSET('Zip Code Lines_1'!$Z$3,MATCH('Zip Code Lines_1'!C1386,'Zip Code Lines_1'!$Q$4:$Q$26,0),0)</f>
        <v>84.2</v>
      </c>
      <c r="G1386" s="342">
        <f ca="1">OFFSET('Zip Code Lines_1'!$AC$3,MATCH('Zip Code Lines_1'!C1386,'Zip Code Lines_1'!$Q$4:$Q$26,0),0)</f>
        <v>18</v>
      </c>
      <c r="H1386" s="342">
        <v>13313</v>
      </c>
    </row>
    <row r="1387" spans="2:8" x14ac:dyDescent="0.25">
      <c r="B1387" s="342">
        <v>13314</v>
      </c>
      <c r="C1387" s="343" t="s">
        <v>569</v>
      </c>
      <c r="D1387" s="343" t="str">
        <f ca="1">OFFSET('Zip Code Lines_1'!$U$3,MATCH('Zip Code Lines_1'!C1387,'Zip Code Lines_1'!$Q$4:$Q$26,0),0)</f>
        <v>Utica</v>
      </c>
      <c r="E1387" s="344">
        <f ca="1">OFFSET('Zip Code Lines_1'!$W$3,MATCH('Zip Code Lines_1'!C1387,'Zip Code Lines_1'!$Q$4:$Q$26,0),0)</f>
        <v>1.2</v>
      </c>
      <c r="F1387" s="344">
        <f ca="1">OFFSET('Zip Code Lines_1'!$Z$3,MATCH('Zip Code Lines_1'!C1387,'Zip Code Lines_1'!$Q$4:$Q$26,0),0)</f>
        <v>84.2</v>
      </c>
      <c r="G1387" s="342">
        <f ca="1">OFFSET('Zip Code Lines_1'!$AC$3,MATCH('Zip Code Lines_1'!C1387,'Zip Code Lines_1'!$Q$4:$Q$26,0),0)</f>
        <v>18</v>
      </c>
      <c r="H1387" s="342">
        <v>13314</v>
      </c>
    </row>
    <row r="1388" spans="2:8" x14ac:dyDescent="0.25">
      <c r="B1388" s="342">
        <v>13315</v>
      </c>
      <c r="C1388" s="343" t="s">
        <v>569</v>
      </c>
      <c r="D1388" s="343" t="str">
        <f ca="1">OFFSET('Zip Code Lines_1'!$U$3,MATCH('Zip Code Lines_1'!C1388,'Zip Code Lines_1'!$Q$4:$Q$26,0),0)</f>
        <v>Utica</v>
      </c>
      <c r="E1388" s="344">
        <f ca="1">OFFSET('Zip Code Lines_1'!$W$3,MATCH('Zip Code Lines_1'!C1388,'Zip Code Lines_1'!$Q$4:$Q$26,0),0)</f>
        <v>1.2</v>
      </c>
      <c r="F1388" s="344">
        <f ca="1">OFFSET('Zip Code Lines_1'!$Z$3,MATCH('Zip Code Lines_1'!C1388,'Zip Code Lines_1'!$Q$4:$Q$26,0),0)</f>
        <v>84.2</v>
      </c>
      <c r="G1388" s="342">
        <f ca="1">OFFSET('Zip Code Lines_1'!$AC$3,MATCH('Zip Code Lines_1'!C1388,'Zip Code Lines_1'!$Q$4:$Q$26,0),0)</f>
        <v>18</v>
      </c>
      <c r="H1388" s="342">
        <v>13315</v>
      </c>
    </row>
    <row r="1389" spans="2:8" x14ac:dyDescent="0.25">
      <c r="B1389" s="342">
        <v>13316</v>
      </c>
      <c r="C1389" s="343" t="s">
        <v>569</v>
      </c>
      <c r="D1389" s="343" t="str">
        <f ca="1">OFFSET('Zip Code Lines_1'!$U$3,MATCH('Zip Code Lines_1'!C1389,'Zip Code Lines_1'!$Q$4:$Q$26,0),0)</f>
        <v>Utica</v>
      </c>
      <c r="E1389" s="344">
        <f ca="1">OFFSET('Zip Code Lines_1'!$W$3,MATCH('Zip Code Lines_1'!C1389,'Zip Code Lines_1'!$Q$4:$Q$26,0),0)</f>
        <v>1.2</v>
      </c>
      <c r="F1389" s="344">
        <f ca="1">OFFSET('Zip Code Lines_1'!$Z$3,MATCH('Zip Code Lines_1'!C1389,'Zip Code Lines_1'!$Q$4:$Q$26,0),0)</f>
        <v>84.2</v>
      </c>
      <c r="G1389" s="342">
        <f ca="1">OFFSET('Zip Code Lines_1'!$AC$3,MATCH('Zip Code Lines_1'!C1389,'Zip Code Lines_1'!$Q$4:$Q$26,0),0)</f>
        <v>18</v>
      </c>
      <c r="H1389" s="342">
        <v>13316</v>
      </c>
    </row>
    <row r="1390" spans="2:8" x14ac:dyDescent="0.25">
      <c r="B1390" s="342">
        <v>13317</v>
      </c>
      <c r="C1390" s="343" t="s">
        <v>569</v>
      </c>
      <c r="D1390" s="343" t="str">
        <f ca="1">OFFSET('Zip Code Lines_1'!$U$3,MATCH('Zip Code Lines_1'!C1390,'Zip Code Lines_1'!$Q$4:$Q$26,0),0)</f>
        <v>Utica</v>
      </c>
      <c r="E1390" s="344">
        <f ca="1">OFFSET('Zip Code Lines_1'!$W$3,MATCH('Zip Code Lines_1'!C1390,'Zip Code Lines_1'!$Q$4:$Q$26,0),0)</f>
        <v>1.2</v>
      </c>
      <c r="F1390" s="344">
        <f ca="1">OFFSET('Zip Code Lines_1'!$Z$3,MATCH('Zip Code Lines_1'!C1390,'Zip Code Lines_1'!$Q$4:$Q$26,0),0)</f>
        <v>84.2</v>
      </c>
      <c r="G1390" s="342">
        <f ca="1">OFFSET('Zip Code Lines_1'!$AC$3,MATCH('Zip Code Lines_1'!C1390,'Zip Code Lines_1'!$Q$4:$Q$26,0),0)</f>
        <v>18</v>
      </c>
      <c r="H1390" s="342">
        <v>13317</v>
      </c>
    </row>
    <row r="1391" spans="2:8" x14ac:dyDescent="0.25">
      <c r="B1391" s="342">
        <v>13318</v>
      </c>
      <c r="C1391" s="343" t="s">
        <v>569</v>
      </c>
      <c r="D1391" s="343" t="str">
        <f ca="1">OFFSET('Zip Code Lines_1'!$U$3,MATCH('Zip Code Lines_1'!C1391,'Zip Code Lines_1'!$Q$4:$Q$26,0),0)</f>
        <v>Utica</v>
      </c>
      <c r="E1391" s="344">
        <f ca="1">OFFSET('Zip Code Lines_1'!$W$3,MATCH('Zip Code Lines_1'!C1391,'Zip Code Lines_1'!$Q$4:$Q$26,0),0)</f>
        <v>1.2</v>
      </c>
      <c r="F1391" s="344">
        <f ca="1">OFFSET('Zip Code Lines_1'!$Z$3,MATCH('Zip Code Lines_1'!C1391,'Zip Code Lines_1'!$Q$4:$Q$26,0),0)</f>
        <v>84.2</v>
      </c>
      <c r="G1391" s="342">
        <f ca="1">OFFSET('Zip Code Lines_1'!$AC$3,MATCH('Zip Code Lines_1'!C1391,'Zip Code Lines_1'!$Q$4:$Q$26,0),0)</f>
        <v>18</v>
      </c>
      <c r="H1391" s="342">
        <v>13318</v>
      </c>
    </row>
    <row r="1392" spans="2:8" x14ac:dyDescent="0.25">
      <c r="B1392" s="342">
        <v>13319</v>
      </c>
      <c r="C1392" s="343" t="s">
        <v>569</v>
      </c>
      <c r="D1392" s="343" t="str">
        <f ca="1">OFFSET('Zip Code Lines_1'!$U$3,MATCH('Zip Code Lines_1'!C1392,'Zip Code Lines_1'!$Q$4:$Q$26,0),0)</f>
        <v>Utica</v>
      </c>
      <c r="E1392" s="344">
        <f ca="1">OFFSET('Zip Code Lines_1'!$W$3,MATCH('Zip Code Lines_1'!C1392,'Zip Code Lines_1'!$Q$4:$Q$26,0),0)</f>
        <v>1.2</v>
      </c>
      <c r="F1392" s="344">
        <f ca="1">OFFSET('Zip Code Lines_1'!$Z$3,MATCH('Zip Code Lines_1'!C1392,'Zip Code Lines_1'!$Q$4:$Q$26,0),0)</f>
        <v>84.2</v>
      </c>
      <c r="G1392" s="342">
        <f ca="1">OFFSET('Zip Code Lines_1'!$AC$3,MATCH('Zip Code Lines_1'!C1392,'Zip Code Lines_1'!$Q$4:$Q$26,0),0)</f>
        <v>18</v>
      </c>
      <c r="H1392" s="342">
        <v>13319</v>
      </c>
    </row>
    <row r="1393" spans="2:8" x14ac:dyDescent="0.25">
      <c r="B1393" s="342">
        <v>13320</v>
      </c>
      <c r="C1393" s="343" t="s">
        <v>543</v>
      </c>
      <c r="D1393" s="343" t="str">
        <f ca="1">OFFSET('Zip Code Lines_1'!$U$3,MATCH('Zip Code Lines_1'!C1393,'Zip Code Lines_1'!$Q$4:$Q$26,0),0)</f>
        <v xml:space="preserve">Glens Falls </v>
      </c>
      <c r="E1393" s="344">
        <f ca="1">OFFSET('Zip Code Lines_1'!$W$3,MATCH('Zip Code Lines_1'!C1393,'Zip Code Lines_1'!$Q$4:$Q$26,0),0)</f>
        <v>-1.8</v>
      </c>
      <c r="F1393" s="344">
        <f ca="1">OFFSET('Zip Code Lines_1'!$Z$3,MATCH('Zip Code Lines_1'!C1393,'Zip Code Lines_1'!$Q$4:$Q$26,0),0)</f>
        <v>84.7</v>
      </c>
      <c r="G1393" s="342">
        <f ca="1">OFFSET('Zip Code Lines_1'!$AC$3,MATCH('Zip Code Lines_1'!C1393,'Zip Code Lines_1'!$Q$4:$Q$26,0),0)</f>
        <v>12</v>
      </c>
      <c r="H1393" s="342">
        <v>13320</v>
      </c>
    </row>
    <row r="1394" spans="2:8" x14ac:dyDescent="0.25">
      <c r="B1394" s="342">
        <v>13321</v>
      </c>
      <c r="C1394" s="343" t="s">
        <v>569</v>
      </c>
      <c r="D1394" s="343" t="str">
        <f ca="1">OFFSET('Zip Code Lines_1'!$U$3,MATCH('Zip Code Lines_1'!C1394,'Zip Code Lines_1'!$Q$4:$Q$26,0),0)</f>
        <v>Utica</v>
      </c>
      <c r="E1394" s="344">
        <f ca="1">OFFSET('Zip Code Lines_1'!$W$3,MATCH('Zip Code Lines_1'!C1394,'Zip Code Lines_1'!$Q$4:$Q$26,0),0)</f>
        <v>1.2</v>
      </c>
      <c r="F1394" s="344">
        <f ca="1">OFFSET('Zip Code Lines_1'!$Z$3,MATCH('Zip Code Lines_1'!C1394,'Zip Code Lines_1'!$Q$4:$Q$26,0),0)</f>
        <v>84.2</v>
      </c>
      <c r="G1394" s="342">
        <f ca="1">OFFSET('Zip Code Lines_1'!$AC$3,MATCH('Zip Code Lines_1'!C1394,'Zip Code Lines_1'!$Q$4:$Q$26,0),0)</f>
        <v>18</v>
      </c>
      <c r="H1394" s="342">
        <v>13321</v>
      </c>
    </row>
    <row r="1395" spans="2:8" x14ac:dyDescent="0.25">
      <c r="B1395" s="342">
        <v>13322</v>
      </c>
      <c r="C1395" s="343" t="s">
        <v>569</v>
      </c>
      <c r="D1395" s="343" t="str">
        <f ca="1">OFFSET('Zip Code Lines_1'!$U$3,MATCH('Zip Code Lines_1'!C1395,'Zip Code Lines_1'!$Q$4:$Q$26,0),0)</f>
        <v>Utica</v>
      </c>
      <c r="E1395" s="344">
        <f ca="1">OFFSET('Zip Code Lines_1'!$W$3,MATCH('Zip Code Lines_1'!C1395,'Zip Code Lines_1'!$Q$4:$Q$26,0),0)</f>
        <v>1.2</v>
      </c>
      <c r="F1395" s="344">
        <f ca="1">OFFSET('Zip Code Lines_1'!$Z$3,MATCH('Zip Code Lines_1'!C1395,'Zip Code Lines_1'!$Q$4:$Q$26,0),0)</f>
        <v>84.2</v>
      </c>
      <c r="G1395" s="342">
        <f ca="1">OFFSET('Zip Code Lines_1'!$AC$3,MATCH('Zip Code Lines_1'!C1395,'Zip Code Lines_1'!$Q$4:$Q$26,0),0)</f>
        <v>18</v>
      </c>
      <c r="H1395" s="342">
        <v>13322</v>
      </c>
    </row>
    <row r="1396" spans="2:8" x14ac:dyDescent="0.25">
      <c r="B1396" s="342">
        <v>13323</v>
      </c>
      <c r="C1396" s="343" t="s">
        <v>569</v>
      </c>
      <c r="D1396" s="343" t="str">
        <f ca="1">OFFSET('Zip Code Lines_1'!$U$3,MATCH('Zip Code Lines_1'!C1396,'Zip Code Lines_1'!$Q$4:$Q$26,0),0)</f>
        <v>Utica</v>
      </c>
      <c r="E1396" s="344">
        <f ca="1">OFFSET('Zip Code Lines_1'!$W$3,MATCH('Zip Code Lines_1'!C1396,'Zip Code Lines_1'!$Q$4:$Q$26,0),0)</f>
        <v>1.2</v>
      </c>
      <c r="F1396" s="344">
        <f ca="1">OFFSET('Zip Code Lines_1'!$Z$3,MATCH('Zip Code Lines_1'!C1396,'Zip Code Lines_1'!$Q$4:$Q$26,0),0)</f>
        <v>84.2</v>
      </c>
      <c r="G1396" s="342">
        <f ca="1">OFFSET('Zip Code Lines_1'!$AC$3,MATCH('Zip Code Lines_1'!C1396,'Zip Code Lines_1'!$Q$4:$Q$26,0),0)</f>
        <v>18</v>
      </c>
      <c r="H1396" s="342">
        <v>13323</v>
      </c>
    </row>
    <row r="1397" spans="2:8" x14ac:dyDescent="0.25">
      <c r="B1397" s="342">
        <v>13324</v>
      </c>
      <c r="C1397" s="343" t="s">
        <v>566</v>
      </c>
      <c r="D1397" s="343" t="str">
        <f ca="1">OFFSET('Zip Code Lines_1'!$U$3,MATCH('Zip Code Lines_1'!C1397,'Zip Code Lines_1'!$Q$4:$Q$26,0),0)</f>
        <v>Saranac Lake</v>
      </c>
      <c r="E1397" s="344">
        <f ca="1">OFFSET('Zip Code Lines_1'!$W$3,MATCH('Zip Code Lines_1'!C1397,'Zip Code Lines_1'!$Q$4:$Q$26,0),0)</f>
        <v>-11.5</v>
      </c>
      <c r="F1397" s="344">
        <f ca="1">OFFSET('Zip Code Lines_1'!$Z$3,MATCH('Zip Code Lines_1'!C1397,'Zip Code Lines_1'!$Q$4:$Q$26,0),0)</f>
        <v>81</v>
      </c>
      <c r="G1397" s="342">
        <f ca="1">OFFSET('Zip Code Lines_1'!$AC$3,MATCH('Zip Code Lines_1'!C1397,'Zip Code Lines_1'!$Q$4:$Q$26,0),0)</f>
        <v>24</v>
      </c>
      <c r="H1397" s="342">
        <v>13324</v>
      </c>
    </row>
    <row r="1398" spans="2:8" x14ac:dyDescent="0.25">
      <c r="B1398" s="342">
        <v>13325</v>
      </c>
      <c r="C1398" s="343" t="s">
        <v>571</v>
      </c>
      <c r="D1398" s="343" t="str">
        <f ca="1">OFFSET('Zip Code Lines_1'!$U$3,MATCH('Zip Code Lines_1'!C1398,'Zip Code Lines_1'!$Q$4:$Q$26,0),0)</f>
        <v>Watertown</v>
      </c>
      <c r="E1398" s="344">
        <f ca="1">OFFSET('Zip Code Lines_1'!$W$3,MATCH('Zip Code Lines_1'!C1398,'Zip Code Lines_1'!$Q$4:$Q$26,0),0)</f>
        <v>-5</v>
      </c>
      <c r="F1398" s="344">
        <f ca="1">OFFSET('Zip Code Lines_1'!$Z$3,MATCH('Zip Code Lines_1'!C1398,'Zip Code Lines_1'!$Q$4:$Q$26,0),0)</f>
        <v>83.1</v>
      </c>
      <c r="G1398" s="342">
        <f ca="1">OFFSET('Zip Code Lines_1'!$AC$3,MATCH('Zip Code Lines_1'!C1398,'Zip Code Lines_1'!$Q$4:$Q$26,0),0)</f>
        <v>24</v>
      </c>
      <c r="H1398" s="342">
        <v>13325</v>
      </c>
    </row>
    <row r="1399" spans="2:8" x14ac:dyDescent="0.25">
      <c r="B1399" s="342">
        <v>13326</v>
      </c>
      <c r="C1399" s="343" t="s">
        <v>569</v>
      </c>
      <c r="D1399" s="343" t="str">
        <f ca="1">OFFSET('Zip Code Lines_1'!$U$3,MATCH('Zip Code Lines_1'!C1399,'Zip Code Lines_1'!$Q$4:$Q$26,0),0)</f>
        <v>Utica</v>
      </c>
      <c r="E1399" s="344">
        <f ca="1">OFFSET('Zip Code Lines_1'!$W$3,MATCH('Zip Code Lines_1'!C1399,'Zip Code Lines_1'!$Q$4:$Q$26,0),0)</f>
        <v>1.2</v>
      </c>
      <c r="F1399" s="344">
        <f ca="1">OFFSET('Zip Code Lines_1'!$Z$3,MATCH('Zip Code Lines_1'!C1399,'Zip Code Lines_1'!$Q$4:$Q$26,0),0)</f>
        <v>84.2</v>
      </c>
      <c r="G1399" s="342">
        <f ca="1">OFFSET('Zip Code Lines_1'!$AC$3,MATCH('Zip Code Lines_1'!C1399,'Zip Code Lines_1'!$Q$4:$Q$26,0),0)</f>
        <v>18</v>
      </c>
      <c r="H1399" s="342">
        <v>13326</v>
      </c>
    </row>
    <row r="1400" spans="2:8" x14ac:dyDescent="0.25">
      <c r="B1400" s="342">
        <v>13327</v>
      </c>
      <c r="C1400" s="343" t="s">
        <v>571</v>
      </c>
      <c r="D1400" s="343" t="str">
        <f ca="1">OFFSET('Zip Code Lines_1'!$U$3,MATCH('Zip Code Lines_1'!C1400,'Zip Code Lines_1'!$Q$4:$Q$26,0),0)</f>
        <v>Watertown</v>
      </c>
      <c r="E1400" s="344">
        <f ca="1">OFFSET('Zip Code Lines_1'!$W$3,MATCH('Zip Code Lines_1'!C1400,'Zip Code Lines_1'!$Q$4:$Q$26,0),0)</f>
        <v>-5</v>
      </c>
      <c r="F1400" s="344">
        <f ca="1">OFFSET('Zip Code Lines_1'!$Z$3,MATCH('Zip Code Lines_1'!C1400,'Zip Code Lines_1'!$Q$4:$Q$26,0),0)</f>
        <v>83.1</v>
      </c>
      <c r="G1400" s="342">
        <f ca="1">OFFSET('Zip Code Lines_1'!$AC$3,MATCH('Zip Code Lines_1'!C1400,'Zip Code Lines_1'!$Q$4:$Q$26,0),0)</f>
        <v>24</v>
      </c>
      <c r="H1400" s="342">
        <v>13327</v>
      </c>
    </row>
    <row r="1401" spans="2:8" x14ac:dyDescent="0.25">
      <c r="B1401" s="342">
        <v>13328</v>
      </c>
      <c r="C1401" s="343" t="s">
        <v>569</v>
      </c>
      <c r="D1401" s="343" t="str">
        <f ca="1">OFFSET('Zip Code Lines_1'!$U$3,MATCH('Zip Code Lines_1'!C1401,'Zip Code Lines_1'!$Q$4:$Q$26,0),0)</f>
        <v>Utica</v>
      </c>
      <c r="E1401" s="344">
        <f ca="1">OFFSET('Zip Code Lines_1'!$W$3,MATCH('Zip Code Lines_1'!C1401,'Zip Code Lines_1'!$Q$4:$Q$26,0),0)</f>
        <v>1.2</v>
      </c>
      <c r="F1401" s="344">
        <f ca="1">OFFSET('Zip Code Lines_1'!$Z$3,MATCH('Zip Code Lines_1'!C1401,'Zip Code Lines_1'!$Q$4:$Q$26,0),0)</f>
        <v>84.2</v>
      </c>
      <c r="G1401" s="342">
        <f ca="1">OFFSET('Zip Code Lines_1'!$AC$3,MATCH('Zip Code Lines_1'!C1401,'Zip Code Lines_1'!$Q$4:$Q$26,0),0)</f>
        <v>18</v>
      </c>
      <c r="H1401" s="342">
        <v>13328</v>
      </c>
    </row>
    <row r="1402" spans="2:8" x14ac:dyDescent="0.25">
      <c r="B1402" s="342">
        <v>13329</v>
      </c>
      <c r="C1402" s="343" t="s">
        <v>543</v>
      </c>
      <c r="D1402" s="343" t="str">
        <f ca="1">OFFSET('Zip Code Lines_1'!$U$3,MATCH('Zip Code Lines_1'!C1402,'Zip Code Lines_1'!$Q$4:$Q$26,0),0)</f>
        <v xml:space="preserve">Glens Falls </v>
      </c>
      <c r="E1402" s="344">
        <f ca="1">OFFSET('Zip Code Lines_1'!$W$3,MATCH('Zip Code Lines_1'!C1402,'Zip Code Lines_1'!$Q$4:$Q$26,0),0)</f>
        <v>-1.8</v>
      </c>
      <c r="F1402" s="344">
        <f ca="1">OFFSET('Zip Code Lines_1'!$Z$3,MATCH('Zip Code Lines_1'!C1402,'Zip Code Lines_1'!$Q$4:$Q$26,0),0)</f>
        <v>84.7</v>
      </c>
      <c r="G1402" s="342">
        <f ca="1">OFFSET('Zip Code Lines_1'!$AC$3,MATCH('Zip Code Lines_1'!C1402,'Zip Code Lines_1'!$Q$4:$Q$26,0),0)</f>
        <v>12</v>
      </c>
      <c r="H1402" s="342">
        <v>13329</v>
      </c>
    </row>
    <row r="1403" spans="2:8" x14ac:dyDescent="0.25">
      <c r="B1403" s="342">
        <v>13331</v>
      </c>
      <c r="C1403" s="343" t="s">
        <v>566</v>
      </c>
      <c r="D1403" s="343" t="str">
        <f ca="1">OFFSET('Zip Code Lines_1'!$U$3,MATCH('Zip Code Lines_1'!C1403,'Zip Code Lines_1'!$Q$4:$Q$26,0),0)</f>
        <v>Saranac Lake</v>
      </c>
      <c r="E1403" s="344">
        <f ca="1">OFFSET('Zip Code Lines_1'!$W$3,MATCH('Zip Code Lines_1'!C1403,'Zip Code Lines_1'!$Q$4:$Q$26,0),0)</f>
        <v>-11.5</v>
      </c>
      <c r="F1403" s="344">
        <f ca="1">OFFSET('Zip Code Lines_1'!$Z$3,MATCH('Zip Code Lines_1'!C1403,'Zip Code Lines_1'!$Q$4:$Q$26,0),0)</f>
        <v>81</v>
      </c>
      <c r="G1403" s="342">
        <f ca="1">OFFSET('Zip Code Lines_1'!$AC$3,MATCH('Zip Code Lines_1'!C1403,'Zip Code Lines_1'!$Q$4:$Q$26,0),0)</f>
        <v>24</v>
      </c>
      <c r="H1403" s="342">
        <v>13331</v>
      </c>
    </row>
    <row r="1404" spans="2:8" x14ac:dyDescent="0.25">
      <c r="B1404" s="342">
        <v>13332</v>
      </c>
      <c r="C1404" s="343" t="s">
        <v>569</v>
      </c>
      <c r="D1404" s="343" t="str">
        <f ca="1">OFFSET('Zip Code Lines_1'!$U$3,MATCH('Zip Code Lines_1'!C1404,'Zip Code Lines_1'!$Q$4:$Q$26,0),0)</f>
        <v>Utica</v>
      </c>
      <c r="E1404" s="344">
        <f ca="1">OFFSET('Zip Code Lines_1'!$W$3,MATCH('Zip Code Lines_1'!C1404,'Zip Code Lines_1'!$Q$4:$Q$26,0),0)</f>
        <v>1.2</v>
      </c>
      <c r="F1404" s="344">
        <f ca="1">OFFSET('Zip Code Lines_1'!$Z$3,MATCH('Zip Code Lines_1'!C1404,'Zip Code Lines_1'!$Q$4:$Q$26,0),0)</f>
        <v>84.2</v>
      </c>
      <c r="G1404" s="342">
        <f ca="1">OFFSET('Zip Code Lines_1'!$AC$3,MATCH('Zip Code Lines_1'!C1404,'Zip Code Lines_1'!$Q$4:$Q$26,0),0)</f>
        <v>18</v>
      </c>
      <c r="H1404" s="342">
        <v>13332</v>
      </c>
    </row>
    <row r="1405" spans="2:8" x14ac:dyDescent="0.25">
      <c r="B1405" s="342">
        <v>13333</v>
      </c>
      <c r="C1405" s="343" t="s">
        <v>543</v>
      </c>
      <c r="D1405" s="343" t="str">
        <f ca="1">OFFSET('Zip Code Lines_1'!$U$3,MATCH('Zip Code Lines_1'!C1405,'Zip Code Lines_1'!$Q$4:$Q$26,0),0)</f>
        <v xml:space="preserve">Glens Falls </v>
      </c>
      <c r="E1405" s="344">
        <f ca="1">OFFSET('Zip Code Lines_1'!$W$3,MATCH('Zip Code Lines_1'!C1405,'Zip Code Lines_1'!$Q$4:$Q$26,0),0)</f>
        <v>-1.8</v>
      </c>
      <c r="F1405" s="344">
        <f ca="1">OFFSET('Zip Code Lines_1'!$Z$3,MATCH('Zip Code Lines_1'!C1405,'Zip Code Lines_1'!$Q$4:$Q$26,0),0)</f>
        <v>84.7</v>
      </c>
      <c r="G1405" s="342">
        <f ca="1">OFFSET('Zip Code Lines_1'!$AC$3,MATCH('Zip Code Lines_1'!C1405,'Zip Code Lines_1'!$Q$4:$Q$26,0),0)</f>
        <v>12</v>
      </c>
      <c r="H1405" s="342">
        <v>13333</v>
      </c>
    </row>
    <row r="1406" spans="2:8" x14ac:dyDescent="0.25">
      <c r="B1406" s="342">
        <v>13334</v>
      </c>
      <c r="C1406" s="343" t="s">
        <v>569</v>
      </c>
      <c r="D1406" s="343" t="str">
        <f ca="1">OFFSET('Zip Code Lines_1'!$U$3,MATCH('Zip Code Lines_1'!C1406,'Zip Code Lines_1'!$Q$4:$Q$26,0),0)</f>
        <v>Utica</v>
      </c>
      <c r="E1406" s="344">
        <f ca="1">OFFSET('Zip Code Lines_1'!$W$3,MATCH('Zip Code Lines_1'!C1406,'Zip Code Lines_1'!$Q$4:$Q$26,0),0)</f>
        <v>1.2</v>
      </c>
      <c r="F1406" s="344">
        <f ca="1">OFFSET('Zip Code Lines_1'!$Z$3,MATCH('Zip Code Lines_1'!C1406,'Zip Code Lines_1'!$Q$4:$Q$26,0),0)</f>
        <v>84.2</v>
      </c>
      <c r="G1406" s="342">
        <f ca="1">OFFSET('Zip Code Lines_1'!$AC$3,MATCH('Zip Code Lines_1'!C1406,'Zip Code Lines_1'!$Q$4:$Q$26,0),0)</f>
        <v>18</v>
      </c>
      <c r="H1406" s="342">
        <v>13334</v>
      </c>
    </row>
    <row r="1407" spans="2:8" x14ac:dyDescent="0.25">
      <c r="B1407" s="342">
        <v>13335</v>
      </c>
      <c r="C1407" s="343" t="s">
        <v>569</v>
      </c>
      <c r="D1407" s="343" t="str">
        <f ca="1">OFFSET('Zip Code Lines_1'!$U$3,MATCH('Zip Code Lines_1'!C1407,'Zip Code Lines_1'!$Q$4:$Q$26,0),0)</f>
        <v>Utica</v>
      </c>
      <c r="E1407" s="344">
        <f ca="1">OFFSET('Zip Code Lines_1'!$W$3,MATCH('Zip Code Lines_1'!C1407,'Zip Code Lines_1'!$Q$4:$Q$26,0),0)</f>
        <v>1.2</v>
      </c>
      <c r="F1407" s="344">
        <f ca="1">OFFSET('Zip Code Lines_1'!$Z$3,MATCH('Zip Code Lines_1'!C1407,'Zip Code Lines_1'!$Q$4:$Q$26,0),0)</f>
        <v>84.2</v>
      </c>
      <c r="G1407" s="342">
        <f ca="1">OFFSET('Zip Code Lines_1'!$AC$3,MATCH('Zip Code Lines_1'!C1407,'Zip Code Lines_1'!$Q$4:$Q$26,0),0)</f>
        <v>18</v>
      </c>
      <c r="H1407" s="342">
        <v>13335</v>
      </c>
    </row>
    <row r="1408" spans="2:8" x14ac:dyDescent="0.25">
      <c r="B1408" s="342">
        <v>13337</v>
      </c>
      <c r="C1408" s="343" t="s">
        <v>569</v>
      </c>
      <c r="D1408" s="343" t="str">
        <f ca="1">OFFSET('Zip Code Lines_1'!$U$3,MATCH('Zip Code Lines_1'!C1408,'Zip Code Lines_1'!$Q$4:$Q$26,0),0)</f>
        <v>Utica</v>
      </c>
      <c r="E1408" s="344">
        <f ca="1">OFFSET('Zip Code Lines_1'!$W$3,MATCH('Zip Code Lines_1'!C1408,'Zip Code Lines_1'!$Q$4:$Q$26,0),0)</f>
        <v>1.2</v>
      </c>
      <c r="F1408" s="344">
        <f ca="1">OFFSET('Zip Code Lines_1'!$Z$3,MATCH('Zip Code Lines_1'!C1408,'Zip Code Lines_1'!$Q$4:$Q$26,0),0)</f>
        <v>84.2</v>
      </c>
      <c r="G1408" s="342">
        <f ca="1">OFFSET('Zip Code Lines_1'!$AC$3,MATCH('Zip Code Lines_1'!C1408,'Zip Code Lines_1'!$Q$4:$Q$26,0),0)</f>
        <v>18</v>
      </c>
      <c r="H1408" s="342">
        <v>13337</v>
      </c>
    </row>
    <row r="1409" spans="2:8" x14ac:dyDescent="0.25">
      <c r="B1409" s="342">
        <v>13338</v>
      </c>
      <c r="C1409" s="343" t="s">
        <v>571</v>
      </c>
      <c r="D1409" s="343" t="str">
        <f ca="1">OFFSET('Zip Code Lines_1'!$U$3,MATCH('Zip Code Lines_1'!C1409,'Zip Code Lines_1'!$Q$4:$Q$26,0),0)</f>
        <v>Watertown</v>
      </c>
      <c r="E1409" s="344">
        <f ca="1">OFFSET('Zip Code Lines_1'!$W$3,MATCH('Zip Code Lines_1'!C1409,'Zip Code Lines_1'!$Q$4:$Q$26,0),0)</f>
        <v>-5</v>
      </c>
      <c r="F1409" s="344">
        <f ca="1">OFFSET('Zip Code Lines_1'!$Z$3,MATCH('Zip Code Lines_1'!C1409,'Zip Code Lines_1'!$Q$4:$Q$26,0),0)</f>
        <v>83.1</v>
      </c>
      <c r="G1409" s="342">
        <f ca="1">OFFSET('Zip Code Lines_1'!$AC$3,MATCH('Zip Code Lines_1'!C1409,'Zip Code Lines_1'!$Q$4:$Q$26,0),0)</f>
        <v>24</v>
      </c>
      <c r="H1409" s="342">
        <v>13338</v>
      </c>
    </row>
    <row r="1410" spans="2:8" x14ac:dyDescent="0.25">
      <c r="B1410" s="342">
        <v>13339</v>
      </c>
      <c r="C1410" s="343" t="s">
        <v>569</v>
      </c>
      <c r="D1410" s="343" t="str">
        <f ca="1">OFFSET('Zip Code Lines_1'!$U$3,MATCH('Zip Code Lines_1'!C1410,'Zip Code Lines_1'!$Q$4:$Q$26,0),0)</f>
        <v>Utica</v>
      </c>
      <c r="E1410" s="344">
        <f ca="1">OFFSET('Zip Code Lines_1'!$W$3,MATCH('Zip Code Lines_1'!C1410,'Zip Code Lines_1'!$Q$4:$Q$26,0),0)</f>
        <v>1.2</v>
      </c>
      <c r="F1410" s="344">
        <f ca="1">OFFSET('Zip Code Lines_1'!$Z$3,MATCH('Zip Code Lines_1'!C1410,'Zip Code Lines_1'!$Q$4:$Q$26,0),0)</f>
        <v>84.2</v>
      </c>
      <c r="G1410" s="342">
        <f ca="1">OFFSET('Zip Code Lines_1'!$AC$3,MATCH('Zip Code Lines_1'!C1410,'Zip Code Lines_1'!$Q$4:$Q$26,0),0)</f>
        <v>18</v>
      </c>
      <c r="H1410" s="342">
        <v>13339</v>
      </c>
    </row>
    <row r="1411" spans="2:8" x14ac:dyDescent="0.25">
      <c r="B1411" s="342">
        <v>13340</v>
      </c>
      <c r="C1411" s="343" t="s">
        <v>569</v>
      </c>
      <c r="D1411" s="343" t="str">
        <f ca="1">OFFSET('Zip Code Lines_1'!$U$3,MATCH('Zip Code Lines_1'!C1411,'Zip Code Lines_1'!$Q$4:$Q$26,0),0)</f>
        <v>Utica</v>
      </c>
      <c r="E1411" s="344">
        <f ca="1">OFFSET('Zip Code Lines_1'!$W$3,MATCH('Zip Code Lines_1'!C1411,'Zip Code Lines_1'!$Q$4:$Q$26,0),0)</f>
        <v>1.2</v>
      </c>
      <c r="F1411" s="344">
        <f ca="1">OFFSET('Zip Code Lines_1'!$Z$3,MATCH('Zip Code Lines_1'!C1411,'Zip Code Lines_1'!$Q$4:$Q$26,0),0)</f>
        <v>84.2</v>
      </c>
      <c r="G1411" s="342">
        <f ca="1">OFFSET('Zip Code Lines_1'!$AC$3,MATCH('Zip Code Lines_1'!C1411,'Zip Code Lines_1'!$Q$4:$Q$26,0),0)</f>
        <v>18</v>
      </c>
      <c r="H1411" s="342">
        <v>13340</v>
      </c>
    </row>
    <row r="1412" spans="2:8" x14ac:dyDescent="0.25">
      <c r="B1412" s="342">
        <v>13341</v>
      </c>
      <c r="C1412" s="343" t="s">
        <v>569</v>
      </c>
      <c r="D1412" s="343" t="str">
        <f ca="1">OFFSET('Zip Code Lines_1'!$U$3,MATCH('Zip Code Lines_1'!C1412,'Zip Code Lines_1'!$Q$4:$Q$26,0),0)</f>
        <v>Utica</v>
      </c>
      <c r="E1412" s="344">
        <f ca="1">OFFSET('Zip Code Lines_1'!$W$3,MATCH('Zip Code Lines_1'!C1412,'Zip Code Lines_1'!$Q$4:$Q$26,0),0)</f>
        <v>1.2</v>
      </c>
      <c r="F1412" s="344">
        <f ca="1">OFFSET('Zip Code Lines_1'!$Z$3,MATCH('Zip Code Lines_1'!C1412,'Zip Code Lines_1'!$Q$4:$Q$26,0),0)</f>
        <v>84.2</v>
      </c>
      <c r="G1412" s="342">
        <f ca="1">OFFSET('Zip Code Lines_1'!$AC$3,MATCH('Zip Code Lines_1'!C1412,'Zip Code Lines_1'!$Q$4:$Q$26,0),0)</f>
        <v>18</v>
      </c>
      <c r="H1412" s="342">
        <v>13341</v>
      </c>
    </row>
    <row r="1413" spans="2:8" x14ac:dyDescent="0.25">
      <c r="B1413" s="342">
        <v>13342</v>
      </c>
      <c r="C1413" s="343" t="s">
        <v>569</v>
      </c>
      <c r="D1413" s="343" t="str">
        <f ca="1">OFFSET('Zip Code Lines_1'!$U$3,MATCH('Zip Code Lines_1'!C1413,'Zip Code Lines_1'!$Q$4:$Q$26,0),0)</f>
        <v>Utica</v>
      </c>
      <c r="E1413" s="344">
        <f ca="1">OFFSET('Zip Code Lines_1'!$W$3,MATCH('Zip Code Lines_1'!C1413,'Zip Code Lines_1'!$Q$4:$Q$26,0),0)</f>
        <v>1.2</v>
      </c>
      <c r="F1413" s="344">
        <f ca="1">OFFSET('Zip Code Lines_1'!$Z$3,MATCH('Zip Code Lines_1'!C1413,'Zip Code Lines_1'!$Q$4:$Q$26,0),0)</f>
        <v>84.2</v>
      </c>
      <c r="G1413" s="342">
        <f ca="1">OFFSET('Zip Code Lines_1'!$AC$3,MATCH('Zip Code Lines_1'!C1413,'Zip Code Lines_1'!$Q$4:$Q$26,0),0)</f>
        <v>18</v>
      </c>
      <c r="H1413" s="342">
        <v>13342</v>
      </c>
    </row>
    <row r="1414" spans="2:8" x14ac:dyDescent="0.25">
      <c r="B1414" s="342">
        <v>13343</v>
      </c>
      <c r="C1414" s="343" t="s">
        <v>571</v>
      </c>
      <c r="D1414" s="343" t="str">
        <f ca="1">OFFSET('Zip Code Lines_1'!$U$3,MATCH('Zip Code Lines_1'!C1414,'Zip Code Lines_1'!$Q$4:$Q$26,0),0)</f>
        <v>Watertown</v>
      </c>
      <c r="E1414" s="344">
        <f ca="1">OFFSET('Zip Code Lines_1'!$W$3,MATCH('Zip Code Lines_1'!C1414,'Zip Code Lines_1'!$Q$4:$Q$26,0),0)</f>
        <v>-5</v>
      </c>
      <c r="F1414" s="344">
        <f ca="1">OFFSET('Zip Code Lines_1'!$Z$3,MATCH('Zip Code Lines_1'!C1414,'Zip Code Lines_1'!$Q$4:$Q$26,0),0)</f>
        <v>83.1</v>
      </c>
      <c r="G1414" s="342">
        <f ca="1">OFFSET('Zip Code Lines_1'!$AC$3,MATCH('Zip Code Lines_1'!C1414,'Zip Code Lines_1'!$Q$4:$Q$26,0),0)</f>
        <v>24</v>
      </c>
      <c r="H1414" s="342">
        <v>13343</v>
      </c>
    </row>
    <row r="1415" spans="2:8" x14ac:dyDescent="0.25">
      <c r="B1415" s="342">
        <v>13345</v>
      </c>
      <c r="C1415" s="343" t="s">
        <v>571</v>
      </c>
      <c r="D1415" s="343" t="str">
        <f ca="1">OFFSET('Zip Code Lines_1'!$U$3,MATCH('Zip Code Lines_1'!C1415,'Zip Code Lines_1'!$Q$4:$Q$26,0),0)</f>
        <v>Watertown</v>
      </c>
      <c r="E1415" s="344">
        <f ca="1">OFFSET('Zip Code Lines_1'!$W$3,MATCH('Zip Code Lines_1'!C1415,'Zip Code Lines_1'!$Q$4:$Q$26,0),0)</f>
        <v>-5</v>
      </c>
      <c r="F1415" s="344">
        <f ca="1">OFFSET('Zip Code Lines_1'!$Z$3,MATCH('Zip Code Lines_1'!C1415,'Zip Code Lines_1'!$Q$4:$Q$26,0),0)</f>
        <v>83.1</v>
      </c>
      <c r="G1415" s="342">
        <f ca="1">OFFSET('Zip Code Lines_1'!$AC$3,MATCH('Zip Code Lines_1'!C1415,'Zip Code Lines_1'!$Q$4:$Q$26,0),0)</f>
        <v>24</v>
      </c>
      <c r="H1415" s="342">
        <v>13345</v>
      </c>
    </row>
    <row r="1416" spans="2:8" x14ac:dyDescent="0.25">
      <c r="B1416" s="342">
        <v>13346</v>
      </c>
      <c r="C1416" s="343" t="s">
        <v>569</v>
      </c>
      <c r="D1416" s="343" t="str">
        <f ca="1">OFFSET('Zip Code Lines_1'!$U$3,MATCH('Zip Code Lines_1'!C1416,'Zip Code Lines_1'!$Q$4:$Q$26,0),0)</f>
        <v>Utica</v>
      </c>
      <c r="E1416" s="344">
        <f ca="1">OFFSET('Zip Code Lines_1'!$W$3,MATCH('Zip Code Lines_1'!C1416,'Zip Code Lines_1'!$Q$4:$Q$26,0),0)</f>
        <v>1.2</v>
      </c>
      <c r="F1416" s="344">
        <f ca="1">OFFSET('Zip Code Lines_1'!$Z$3,MATCH('Zip Code Lines_1'!C1416,'Zip Code Lines_1'!$Q$4:$Q$26,0),0)</f>
        <v>84.2</v>
      </c>
      <c r="G1416" s="342">
        <f ca="1">OFFSET('Zip Code Lines_1'!$AC$3,MATCH('Zip Code Lines_1'!C1416,'Zip Code Lines_1'!$Q$4:$Q$26,0),0)</f>
        <v>18</v>
      </c>
      <c r="H1416" s="342">
        <v>13346</v>
      </c>
    </row>
    <row r="1417" spans="2:8" x14ac:dyDescent="0.25">
      <c r="B1417" s="342">
        <v>13348</v>
      </c>
      <c r="C1417" s="343" t="s">
        <v>569</v>
      </c>
      <c r="D1417" s="343" t="str">
        <f ca="1">OFFSET('Zip Code Lines_1'!$U$3,MATCH('Zip Code Lines_1'!C1417,'Zip Code Lines_1'!$Q$4:$Q$26,0),0)</f>
        <v>Utica</v>
      </c>
      <c r="E1417" s="344">
        <f ca="1">OFFSET('Zip Code Lines_1'!$W$3,MATCH('Zip Code Lines_1'!C1417,'Zip Code Lines_1'!$Q$4:$Q$26,0),0)</f>
        <v>1.2</v>
      </c>
      <c r="F1417" s="344">
        <f ca="1">OFFSET('Zip Code Lines_1'!$Z$3,MATCH('Zip Code Lines_1'!C1417,'Zip Code Lines_1'!$Q$4:$Q$26,0),0)</f>
        <v>84.2</v>
      </c>
      <c r="G1417" s="342">
        <f ca="1">OFFSET('Zip Code Lines_1'!$AC$3,MATCH('Zip Code Lines_1'!C1417,'Zip Code Lines_1'!$Q$4:$Q$26,0),0)</f>
        <v>18</v>
      </c>
      <c r="H1417" s="342">
        <v>13348</v>
      </c>
    </row>
    <row r="1418" spans="2:8" x14ac:dyDescent="0.25">
      <c r="B1418" s="342">
        <v>13350</v>
      </c>
      <c r="C1418" s="343" t="s">
        <v>569</v>
      </c>
      <c r="D1418" s="343" t="str">
        <f ca="1">OFFSET('Zip Code Lines_1'!$U$3,MATCH('Zip Code Lines_1'!C1418,'Zip Code Lines_1'!$Q$4:$Q$26,0),0)</f>
        <v>Utica</v>
      </c>
      <c r="E1418" s="344">
        <f ca="1">OFFSET('Zip Code Lines_1'!$W$3,MATCH('Zip Code Lines_1'!C1418,'Zip Code Lines_1'!$Q$4:$Q$26,0),0)</f>
        <v>1.2</v>
      </c>
      <c r="F1418" s="344">
        <f ca="1">OFFSET('Zip Code Lines_1'!$Z$3,MATCH('Zip Code Lines_1'!C1418,'Zip Code Lines_1'!$Q$4:$Q$26,0),0)</f>
        <v>84.2</v>
      </c>
      <c r="G1418" s="342">
        <f ca="1">OFFSET('Zip Code Lines_1'!$AC$3,MATCH('Zip Code Lines_1'!C1418,'Zip Code Lines_1'!$Q$4:$Q$26,0),0)</f>
        <v>18</v>
      </c>
      <c r="H1418" s="342">
        <v>13350</v>
      </c>
    </row>
    <row r="1419" spans="2:8" x14ac:dyDescent="0.25">
      <c r="B1419" s="342">
        <v>13352</v>
      </c>
      <c r="C1419" s="343" t="s">
        <v>569</v>
      </c>
      <c r="D1419" s="343" t="str">
        <f ca="1">OFFSET('Zip Code Lines_1'!$U$3,MATCH('Zip Code Lines_1'!C1419,'Zip Code Lines_1'!$Q$4:$Q$26,0),0)</f>
        <v>Utica</v>
      </c>
      <c r="E1419" s="344">
        <f ca="1">OFFSET('Zip Code Lines_1'!$W$3,MATCH('Zip Code Lines_1'!C1419,'Zip Code Lines_1'!$Q$4:$Q$26,0),0)</f>
        <v>1.2</v>
      </c>
      <c r="F1419" s="344">
        <f ca="1">OFFSET('Zip Code Lines_1'!$Z$3,MATCH('Zip Code Lines_1'!C1419,'Zip Code Lines_1'!$Q$4:$Q$26,0),0)</f>
        <v>84.2</v>
      </c>
      <c r="G1419" s="342">
        <f ca="1">OFFSET('Zip Code Lines_1'!$AC$3,MATCH('Zip Code Lines_1'!C1419,'Zip Code Lines_1'!$Q$4:$Q$26,0),0)</f>
        <v>18</v>
      </c>
      <c r="H1419" s="342">
        <v>13352</v>
      </c>
    </row>
    <row r="1420" spans="2:8" x14ac:dyDescent="0.25">
      <c r="B1420" s="342">
        <v>13353</v>
      </c>
      <c r="C1420" s="343" t="s">
        <v>566</v>
      </c>
      <c r="D1420" s="343" t="str">
        <f ca="1">OFFSET('Zip Code Lines_1'!$U$3,MATCH('Zip Code Lines_1'!C1420,'Zip Code Lines_1'!$Q$4:$Q$26,0),0)</f>
        <v>Saranac Lake</v>
      </c>
      <c r="E1420" s="344">
        <f ca="1">OFFSET('Zip Code Lines_1'!$W$3,MATCH('Zip Code Lines_1'!C1420,'Zip Code Lines_1'!$Q$4:$Q$26,0),0)</f>
        <v>-11.5</v>
      </c>
      <c r="F1420" s="344">
        <f ca="1">OFFSET('Zip Code Lines_1'!$Z$3,MATCH('Zip Code Lines_1'!C1420,'Zip Code Lines_1'!$Q$4:$Q$26,0),0)</f>
        <v>81</v>
      </c>
      <c r="G1420" s="342">
        <f ca="1">OFFSET('Zip Code Lines_1'!$AC$3,MATCH('Zip Code Lines_1'!C1420,'Zip Code Lines_1'!$Q$4:$Q$26,0),0)</f>
        <v>24</v>
      </c>
      <c r="H1420" s="342">
        <v>13353</v>
      </c>
    </row>
    <row r="1421" spans="2:8" x14ac:dyDescent="0.25">
      <c r="B1421" s="342">
        <v>13354</v>
      </c>
      <c r="C1421" s="343" t="s">
        <v>569</v>
      </c>
      <c r="D1421" s="343" t="str">
        <f ca="1">OFFSET('Zip Code Lines_1'!$U$3,MATCH('Zip Code Lines_1'!C1421,'Zip Code Lines_1'!$Q$4:$Q$26,0),0)</f>
        <v>Utica</v>
      </c>
      <c r="E1421" s="344">
        <f ca="1">OFFSET('Zip Code Lines_1'!$W$3,MATCH('Zip Code Lines_1'!C1421,'Zip Code Lines_1'!$Q$4:$Q$26,0),0)</f>
        <v>1.2</v>
      </c>
      <c r="F1421" s="344">
        <f ca="1">OFFSET('Zip Code Lines_1'!$Z$3,MATCH('Zip Code Lines_1'!C1421,'Zip Code Lines_1'!$Q$4:$Q$26,0),0)</f>
        <v>84.2</v>
      </c>
      <c r="G1421" s="342">
        <f ca="1">OFFSET('Zip Code Lines_1'!$AC$3,MATCH('Zip Code Lines_1'!C1421,'Zip Code Lines_1'!$Q$4:$Q$26,0),0)</f>
        <v>18</v>
      </c>
      <c r="H1421" s="342">
        <v>13354</v>
      </c>
    </row>
    <row r="1422" spans="2:8" x14ac:dyDescent="0.25">
      <c r="B1422" s="342">
        <v>13355</v>
      </c>
      <c r="C1422" s="343" t="s">
        <v>569</v>
      </c>
      <c r="D1422" s="343" t="str">
        <f ca="1">OFFSET('Zip Code Lines_1'!$U$3,MATCH('Zip Code Lines_1'!C1422,'Zip Code Lines_1'!$Q$4:$Q$26,0),0)</f>
        <v>Utica</v>
      </c>
      <c r="E1422" s="344">
        <f ca="1">OFFSET('Zip Code Lines_1'!$W$3,MATCH('Zip Code Lines_1'!C1422,'Zip Code Lines_1'!$Q$4:$Q$26,0),0)</f>
        <v>1.2</v>
      </c>
      <c r="F1422" s="344">
        <f ca="1">OFFSET('Zip Code Lines_1'!$Z$3,MATCH('Zip Code Lines_1'!C1422,'Zip Code Lines_1'!$Q$4:$Q$26,0),0)</f>
        <v>84.2</v>
      </c>
      <c r="G1422" s="342">
        <f ca="1">OFFSET('Zip Code Lines_1'!$AC$3,MATCH('Zip Code Lines_1'!C1422,'Zip Code Lines_1'!$Q$4:$Q$26,0),0)</f>
        <v>18</v>
      </c>
      <c r="H1422" s="342">
        <v>13355</v>
      </c>
    </row>
    <row r="1423" spans="2:8" x14ac:dyDescent="0.25">
      <c r="B1423" s="342">
        <v>13357</v>
      </c>
      <c r="C1423" s="343" t="s">
        <v>569</v>
      </c>
      <c r="D1423" s="343" t="str">
        <f ca="1">OFFSET('Zip Code Lines_1'!$U$3,MATCH('Zip Code Lines_1'!C1423,'Zip Code Lines_1'!$Q$4:$Q$26,0),0)</f>
        <v>Utica</v>
      </c>
      <c r="E1423" s="344">
        <f ca="1">OFFSET('Zip Code Lines_1'!$W$3,MATCH('Zip Code Lines_1'!C1423,'Zip Code Lines_1'!$Q$4:$Q$26,0),0)</f>
        <v>1.2</v>
      </c>
      <c r="F1423" s="344">
        <f ca="1">OFFSET('Zip Code Lines_1'!$Z$3,MATCH('Zip Code Lines_1'!C1423,'Zip Code Lines_1'!$Q$4:$Q$26,0),0)</f>
        <v>84.2</v>
      </c>
      <c r="G1423" s="342">
        <f ca="1">OFFSET('Zip Code Lines_1'!$AC$3,MATCH('Zip Code Lines_1'!C1423,'Zip Code Lines_1'!$Q$4:$Q$26,0),0)</f>
        <v>18</v>
      </c>
      <c r="H1423" s="342">
        <v>13357</v>
      </c>
    </row>
    <row r="1424" spans="2:8" x14ac:dyDescent="0.25">
      <c r="B1424" s="342">
        <v>13360</v>
      </c>
      <c r="C1424" s="343" t="s">
        <v>566</v>
      </c>
      <c r="D1424" s="343" t="str">
        <f ca="1">OFFSET('Zip Code Lines_1'!$U$3,MATCH('Zip Code Lines_1'!C1424,'Zip Code Lines_1'!$Q$4:$Q$26,0),0)</f>
        <v>Saranac Lake</v>
      </c>
      <c r="E1424" s="344">
        <f ca="1">OFFSET('Zip Code Lines_1'!$W$3,MATCH('Zip Code Lines_1'!C1424,'Zip Code Lines_1'!$Q$4:$Q$26,0),0)</f>
        <v>-11.5</v>
      </c>
      <c r="F1424" s="344">
        <f ca="1">OFFSET('Zip Code Lines_1'!$Z$3,MATCH('Zip Code Lines_1'!C1424,'Zip Code Lines_1'!$Q$4:$Q$26,0),0)</f>
        <v>81</v>
      </c>
      <c r="G1424" s="342">
        <f ca="1">OFFSET('Zip Code Lines_1'!$AC$3,MATCH('Zip Code Lines_1'!C1424,'Zip Code Lines_1'!$Q$4:$Q$26,0),0)</f>
        <v>24</v>
      </c>
      <c r="H1424" s="342">
        <v>13360</v>
      </c>
    </row>
    <row r="1425" spans="2:8" x14ac:dyDescent="0.25">
      <c r="B1425" s="342">
        <v>13361</v>
      </c>
      <c r="C1425" s="343" t="s">
        <v>543</v>
      </c>
      <c r="D1425" s="343" t="str">
        <f ca="1">OFFSET('Zip Code Lines_1'!$U$3,MATCH('Zip Code Lines_1'!C1425,'Zip Code Lines_1'!$Q$4:$Q$26,0),0)</f>
        <v xml:space="preserve">Glens Falls </v>
      </c>
      <c r="E1425" s="344">
        <f ca="1">OFFSET('Zip Code Lines_1'!$W$3,MATCH('Zip Code Lines_1'!C1425,'Zip Code Lines_1'!$Q$4:$Q$26,0),0)</f>
        <v>-1.8</v>
      </c>
      <c r="F1425" s="344">
        <f ca="1">OFFSET('Zip Code Lines_1'!$Z$3,MATCH('Zip Code Lines_1'!C1425,'Zip Code Lines_1'!$Q$4:$Q$26,0),0)</f>
        <v>84.7</v>
      </c>
      <c r="G1425" s="342">
        <f ca="1">OFFSET('Zip Code Lines_1'!$AC$3,MATCH('Zip Code Lines_1'!C1425,'Zip Code Lines_1'!$Q$4:$Q$26,0),0)</f>
        <v>12</v>
      </c>
      <c r="H1425" s="342">
        <v>13361</v>
      </c>
    </row>
    <row r="1426" spans="2:8" x14ac:dyDescent="0.25">
      <c r="B1426" s="342">
        <v>13362</v>
      </c>
      <c r="C1426" s="343" t="s">
        <v>569</v>
      </c>
      <c r="D1426" s="343" t="str">
        <f ca="1">OFFSET('Zip Code Lines_1'!$U$3,MATCH('Zip Code Lines_1'!C1426,'Zip Code Lines_1'!$Q$4:$Q$26,0),0)</f>
        <v>Utica</v>
      </c>
      <c r="E1426" s="344">
        <f ca="1">OFFSET('Zip Code Lines_1'!$W$3,MATCH('Zip Code Lines_1'!C1426,'Zip Code Lines_1'!$Q$4:$Q$26,0),0)</f>
        <v>1.2</v>
      </c>
      <c r="F1426" s="344">
        <f ca="1">OFFSET('Zip Code Lines_1'!$Z$3,MATCH('Zip Code Lines_1'!C1426,'Zip Code Lines_1'!$Q$4:$Q$26,0),0)</f>
        <v>84.2</v>
      </c>
      <c r="G1426" s="342">
        <f ca="1">OFFSET('Zip Code Lines_1'!$AC$3,MATCH('Zip Code Lines_1'!C1426,'Zip Code Lines_1'!$Q$4:$Q$26,0),0)</f>
        <v>18</v>
      </c>
      <c r="H1426" s="342">
        <v>13362</v>
      </c>
    </row>
    <row r="1427" spans="2:8" x14ac:dyDescent="0.25">
      <c r="B1427" s="342">
        <v>13363</v>
      </c>
      <c r="C1427" s="343" t="s">
        <v>569</v>
      </c>
      <c r="D1427" s="343" t="str">
        <f ca="1">OFFSET('Zip Code Lines_1'!$U$3,MATCH('Zip Code Lines_1'!C1427,'Zip Code Lines_1'!$Q$4:$Q$26,0),0)</f>
        <v>Utica</v>
      </c>
      <c r="E1427" s="344">
        <f ca="1">OFFSET('Zip Code Lines_1'!$W$3,MATCH('Zip Code Lines_1'!C1427,'Zip Code Lines_1'!$Q$4:$Q$26,0),0)</f>
        <v>1.2</v>
      </c>
      <c r="F1427" s="344">
        <f ca="1">OFFSET('Zip Code Lines_1'!$Z$3,MATCH('Zip Code Lines_1'!C1427,'Zip Code Lines_1'!$Q$4:$Q$26,0),0)</f>
        <v>84.2</v>
      </c>
      <c r="G1427" s="342">
        <f ca="1">OFFSET('Zip Code Lines_1'!$AC$3,MATCH('Zip Code Lines_1'!C1427,'Zip Code Lines_1'!$Q$4:$Q$26,0),0)</f>
        <v>18</v>
      </c>
      <c r="H1427" s="342">
        <v>13363</v>
      </c>
    </row>
    <row r="1428" spans="2:8" x14ac:dyDescent="0.25">
      <c r="B1428" s="342">
        <v>13364</v>
      </c>
      <c r="C1428" s="343" t="s">
        <v>569</v>
      </c>
      <c r="D1428" s="343" t="str">
        <f ca="1">OFFSET('Zip Code Lines_1'!$U$3,MATCH('Zip Code Lines_1'!C1428,'Zip Code Lines_1'!$Q$4:$Q$26,0),0)</f>
        <v>Utica</v>
      </c>
      <c r="E1428" s="344">
        <f ca="1">OFFSET('Zip Code Lines_1'!$W$3,MATCH('Zip Code Lines_1'!C1428,'Zip Code Lines_1'!$Q$4:$Q$26,0),0)</f>
        <v>1.2</v>
      </c>
      <c r="F1428" s="344">
        <f ca="1">OFFSET('Zip Code Lines_1'!$Z$3,MATCH('Zip Code Lines_1'!C1428,'Zip Code Lines_1'!$Q$4:$Q$26,0),0)</f>
        <v>84.2</v>
      </c>
      <c r="G1428" s="342">
        <f ca="1">OFFSET('Zip Code Lines_1'!$AC$3,MATCH('Zip Code Lines_1'!C1428,'Zip Code Lines_1'!$Q$4:$Q$26,0),0)</f>
        <v>18</v>
      </c>
      <c r="H1428" s="342">
        <v>13364</v>
      </c>
    </row>
    <row r="1429" spans="2:8" x14ac:dyDescent="0.25">
      <c r="B1429" s="342">
        <v>13365</v>
      </c>
      <c r="C1429" s="343" t="s">
        <v>569</v>
      </c>
      <c r="D1429" s="343" t="str">
        <f ca="1">OFFSET('Zip Code Lines_1'!$U$3,MATCH('Zip Code Lines_1'!C1429,'Zip Code Lines_1'!$Q$4:$Q$26,0),0)</f>
        <v>Utica</v>
      </c>
      <c r="E1429" s="344">
        <f ca="1">OFFSET('Zip Code Lines_1'!$W$3,MATCH('Zip Code Lines_1'!C1429,'Zip Code Lines_1'!$Q$4:$Q$26,0),0)</f>
        <v>1.2</v>
      </c>
      <c r="F1429" s="344">
        <f ca="1">OFFSET('Zip Code Lines_1'!$Z$3,MATCH('Zip Code Lines_1'!C1429,'Zip Code Lines_1'!$Q$4:$Q$26,0),0)</f>
        <v>84.2</v>
      </c>
      <c r="G1429" s="342">
        <f ca="1">OFFSET('Zip Code Lines_1'!$AC$3,MATCH('Zip Code Lines_1'!C1429,'Zip Code Lines_1'!$Q$4:$Q$26,0),0)</f>
        <v>18</v>
      </c>
      <c r="H1429" s="342">
        <v>13365</v>
      </c>
    </row>
    <row r="1430" spans="2:8" x14ac:dyDescent="0.25">
      <c r="B1430" s="342">
        <v>13367</v>
      </c>
      <c r="C1430" s="343" t="s">
        <v>571</v>
      </c>
      <c r="D1430" s="343" t="str">
        <f ca="1">OFFSET('Zip Code Lines_1'!$U$3,MATCH('Zip Code Lines_1'!C1430,'Zip Code Lines_1'!$Q$4:$Q$26,0),0)</f>
        <v>Watertown</v>
      </c>
      <c r="E1430" s="344">
        <f ca="1">OFFSET('Zip Code Lines_1'!$W$3,MATCH('Zip Code Lines_1'!C1430,'Zip Code Lines_1'!$Q$4:$Q$26,0),0)</f>
        <v>-5</v>
      </c>
      <c r="F1430" s="344">
        <f ca="1">OFFSET('Zip Code Lines_1'!$Z$3,MATCH('Zip Code Lines_1'!C1430,'Zip Code Lines_1'!$Q$4:$Q$26,0),0)</f>
        <v>83.1</v>
      </c>
      <c r="G1430" s="342">
        <f ca="1">OFFSET('Zip Code Lines_1'!$AC$3,MATCH('Zip Code Lines_1'!C1430,'Zip Code Lines_1'!$Q$4:$Q$26,0),0)</f>
        <v>24</v>
      </c>
      <c r="H1430" s="342">
        <v>13367</v>
      </c>
    </row>
    <row r="1431" spans="2:8" x14ac:dyDescent="0.25">
      <c r="B1431" s="342">
        <v>13368</v>
      </c>
      <c r="C1431" s="343" t="s">
        <v>571</v>
      </c>
      <c r="D1431" s="343" t="str">
        <f ca="1">OFFSET('Zip Code Lines_1'!$U$3,MATCH('Zip Code Lines_1'!C1431,'Zip Code Lines_1'!$Q$4:$Q$26,0),0)</f>
        <v>Watertown</v>
      </c>
      <c r="E1431" s="344">
        <f ca="1">OFFSET('Zip Code Lines_1'!$W$3,MATCH('Zip Code Lines_1'!C1431,'Zip Code Lines_1'!$Q$4:$Q$26,0),0)</f>
        <v>-5</v>
      </c>
      <c r="F1431" s="344">
        <f ca="1">OFFSET('Zip Code Lines_1'!$Z$3,MATCH('Zip Code Lines_1'!C1431,'Zip Code Lines_1'!$Q$4:$Q$26,0),0)</f>
        <v>83.1</v>
      </c>
      <c r="G1431" s="342">
        <f ca="1">OFFSET('Zip Code Lines_1'!$AC$3,MATCH('Zip Code Lines_1'!C1431,'Zip Code Lines_1'!$Q$4:$Q$26,0),0)</f>
        <v>24</v>
      </c>
      <c r="H1431" s="342">
        <v>13368</v>
      </c>
    </row>
    <row r="1432" spans="2:8" x14ac:dyDescent="0.25">
      <c r="B1432" s="342">
        <v>13401</v>
      </c>
      <c r="C1432" s="343" t="s">
        <v>569</v>
      </c>
      <c r="D1432" s="343" t="str">
        <f ca="1">OFFSET('Zip Code Lines_1'!$U$3,MATCH('Zip Code Lines_1'!C1432,'Zip Code Lines_1'!$Q$4:$Q$26,0),0)</f>
        <v>Utica</v>
      </c>
      <c r="E1432" s="344">
        <f ca="1">OFFSET('Zip Code Lines_1'!$W$3,MATCH('Zip Code Lines_1'!C1432,'Zip Code Lines_1'!$Q$4:$Q$26,0),0)</f>
        <v>1.2</v>
      </c>
      <c r="F1432" s="344">
        <f ca="1">OFFSET('Zip Code Lines_1'!$Z$3,MATCH('Zip Code Lines_1'!C1432,'Zip Code Lines_1'!$Q$4:$Q$26,0),0)</f>
        <v>84.2</v>
      </c>
      <c r="G1432" s="342">
        <f ca="1">OFFSET('Zip Code Lines_1'!$AC$3,MATCH('Zip Code Lines_1'!C1432,'Zip Code Lines_1'!$Q$4:$Q$26,0),0)</f>
        <v>18</v>
      </c>
      <c r="H1432" s="342">
        <v>13401</v>
      </c>
    </row>
    <row r="1433" spans="2:8" x14ac:dyDescent="0.25">
      <c r="B1433" s="342">
        <v>13402</v>
      </c>
      <c r="C1433" s="343" t="s">
        <v>569</v>
      </c>
      <c r="D1433" s="343" t="str">
        <f ca="1">OFFSET('Zip Code Lines_1'!$U$3,MATCH('Zip Code Lines_1'!C1433,'Zip Code Lines_1'!$Q$4:$Q$26,0),0)</f>
        <v>Utica</v>
      </c>
      <c r="E1433" s="344">
        <f ca="1">OFFSET('Zip Code Lines_1'!$W$3,MATCH('Zip Code Lines_1'!C1433,'Zip Code Lines_1'!$Q$4:$Q$26,0),0)</f>
        <v>1.2</v>
      </c>
      <c r="F1433" s="344">
        <f ca="1">OFFSET('Zip Code Lines_1'!$Z$3,MATCH('Zip Code Lines_1'!C1433,'Zip Code Lines_1'!$Q$4:$Q$26,0),0)</f>
        <v>84.2</v>
      </c>
      <c r="G1433" s="342">
        <f ca="1">OFFSET('Zip Code Lines_1'!$AC$3,MATCH('Zip Code Lines_1'!C1433,'Zip Code Lines_1'!$Q$4:$Q$26,0),0)</f>
        <v>18</v>
      </c>
      <c r="H1433" s="342">
        <v>13402</v>
      </c>
    </row>
    <row r="1434" spans="2:8" x14ac:dyDescent="0.25">
      <c r="B1434" s="342">
        <v>13403</v>
      </c>
      <c r="C1434" s="343" t="s">
        <v>569</v>
      </c>
      <c r="D1434" s="343" t="str">
        <f ca="1">OFFSET('Zip Code Lines_1'!$U$3,MATCH('Zip Code Lines_1'!C1434,'Zip Code Lines_1'!$Q$4:$Q$26,0),0)</f>
        <v>Utica</v>
      </c>
      <c r="E1434" s="344">
        <f ca="1">OFFSET('Zip Code Lines_1'!$W$3,MATCH('Zip Code Lines_1'!C1434,'Zip Code Lines_1'!$Q$4:$Q$26,0),0)</f>
        <v>1.2</v>
      </c>
      <c r="F1434" s="344">
        <f ca="1">OFFSET('Zip Code Lines_1'!$Z$3,MATCH('Zip Code Lines_1'!C1434,'Zip Code Lines_1'!$Q$4:$Q$26,0),0)</f>
        <v>84.2</v>
      </c>
      <c r="G1434" s="342">
        <f ca="1">OFFSET('Zip Code Lines_1'!$AC$3,MATCH('Zip Code Lines_1'!C1434,'Zip Code Lines_1'!$Q$4:$Q$26,0),0)</f>
        <v>18</v>
      </c>
      <c r="H1434" s="342">
        <v>13403</v>
      </c>
    </row>
    <row r="1435" spans="2:8" x14ac:dyDescent="0.25">
      <c r="B1435" s="342">
        <v>13404</v>
      </c>
      <c r="C1435" s="343" t="s">
        <v>571</v>
      </c>
      <c r="D1435" s="343" t="str">
        <f ca="1">OFFSET('Zip Code Lines_1'!$U$3,MATCH('Zip Code Lines_1'!C1435,'Zip Code Lines_1'!$Q$4:$Q$26,0),0)</f>
        <v>Watertown</v>
      </c>
      <c r="E1435" s="344">
        <f ca="1">OFFSET('Zip Code Lines_1'!$W$3,MATCH('Zip Code Lines_1'!C1435,'Zip Code Lines_1'!$Q$4:$Q$26,0),0)</f>
        <v>-5</v>
      </c>
      <c r="F1435" s="344">
        <f ca="1">OFFSET('Zip Code Lines_1'!$Z$3,MATCH('Zip Code Lines_1'!C1435,'Zip Code Lines_1'!$Q$4:$Q$26,0),0)</f>
        <v>83.1</v>
      </c>
      <c r="G1435" s="342">
        <f ca="1">OFFSET('Zip Code Lines_1'!$AC$3,MATCH('Zip Code Lines_1'!C1435,'Zip Code Lines_1'!$Q$4:$Q$26,0),0)</f>
        <v>24</v>
      </c>
      <c r="H1435" s="342">
        <v>13404</v>
      </c>
    </row>
    <row r="1436" spans="2:8" x14ac:dyDescent="0.25">
      <c r="B1436" s="342">
        <v>13406</v>
      </c>
      <c r="C1436" s="343" t="s">
        <v>569</v>
      </c>
      <c r="D1436" s="343" t="str">
        <f ca="1">OFFSET('Zip Code Lines_1'!$U$3,MATCH('Zip Code Lines_1'!C1436,'Zip Code Lines_1'!$Q$4:$Q$26,0),0)</f>
        <v>Utica</v>
      </c>
      <c r="E1436" s="344">
        <f ca="1">OFFSET('Zip Code Lines_1'!$W$3,MATCH('Zip Code Lines_1'!C1436,'Zip Code Lines_1'!$Q$4:$Q$26,0),0)</f>
        <v>1.2</v>
      </c>
      <c r="F1436" s="344">
        <f ca="1">OFFSET('Zip Code Lines_1'!$Z$3,MATCH('Zip Code Lines_1'!C1436,'Zip Code Lines_1'!$Q$4:$Q$26,0),0)</f>
        <v>84.2</v>
      </c>
      <c r="G1436" s="342">
        <f ca="1">OFFSET('Zip Code Lines_1'!$AC$3,MATCH('Zip Code Lines_1'!C1436,'Zip Code Lines_1'!$Q$4:$Q$26,0),0)</f>
        <v>18</v>
      </c>
      <c r="H1436" s="342">
        <v>13406</v>
      </c>
    </row>
    <row r="1437" spans="2:8" x14ac:dyDescent="0.25">
      <c r="B1437" s="342">
        <v>13407</v>
      </c>
      <c r="C1437" s="343" t="s">
        <v>569</v>
      </c>
      <c r="D1437" s="343" t="str">
        <f ca="1">OFFSET('Zip Code Lines_1'!$U$3,MATCH('Zip Code Lines_1'!C1437,'Zip Code Lines_1'!$Q$4:$Q$26,0),0)</f>
        <v>Utica</v>
      </c>
      <c r="E1437" s="344">
        <f ca="1">OFFSET('Zip Code Lines_1'!$W$3,MATCH('Zip Code Lines_1'!C1437,'Zip Code Lines_1'!$Q$4:$Q$26,0),0)</f>
        <v>1.2</v>
      </c>
      <c r="F1437" s="344">
        <f ca="1">OFFSET('Zip Code Lines_1'!$Z$3,MATCH('Zip Code Lines_1'!C1437,'Zip Code Lines_1'!$Q$4:$Q$26,0),0)</f>
        <v>84.2</v>
      </c>
      <c r="G1437" s="342">
        <f ca="1">OFFSET('Zip Code Lines_1'!$AC$3,MATCH('Zip Code Lines_1'!C1437,'Zip Code Lines_1'!$Q$4:$Q$26,0),0)</f>
        <v>18</v>
      </c>
      <c r="H1437" s="342">
        <v>13407</v>
      </c>
    </row>
    <row r="1438" spans="2:8" x14ac:dyDescent="0.25">
      <c r="B1438" s="342">
        <v>13408</v>
      </c>
      <c r="C1438" s="343" t="s">
        <v>569</v>
      </c>
      <c r="D1438" s="343" t="str">
        <f ca="1">OFFSET('Zip Code Lines_1'!$U$3,MATCH('Zip Code Lines_1'!C1438,'Zip Code Lines_1'!$Q$4:$Q$26,0),0)</f>
        <v>Utica</v>
      </c>
      <c r="E1438" s="344">
        <f ca="1">OFFSET('Zip Code Lines_1'!$W$3,MATCH('Zip Code Lines_1'!C1438,'Zip Code Lines_1'!$Q$4:$Q$26,0),0)</f>
        <v>1.2</v>
      </c>
      <c r="F1438" s="344">
        <f ca="1">OFFSET('Zip Code Lines_1'!$Z$3,MATCH('Zip Code Lines_1'!C1438,'Zip Code Lines_1'!$Q$4:$Q$26,0),0)</f>
        <v>84.2</v>
      </c>
      <c r="G1438" s="342">
        <f ca="1">OFFSET('Zip Code Lines_1'!$AC$3,MATCH('Zip Code Lines_1'!C1438,'Zip Code Lines_1'!$Q$4:$Q$26,0),0)</f>
        <v>18</v>
      </c>
      <c r="H1438" s="342">
        <v>13408</v>
      </c>
    </row>
    <row r="1439" spans="2:8" x14ac:dyDescent="0.25">
      <c r="B1439" s="342">
        <v>13409</v>
      </c>
      <c r="C1439" s="343" t="s">
        <v>569</v>
      </c>
      <c r="D1439" s="343" t="str">
        <f ca="1">OFFSET('Zip Code Lines_1'!$U$3,MATCH('Zip Code Lines_1'!C1439,'Zip Code Lines_1'!$Q$4:$Q$26,0),0)</f>
        <v>Utica</v>
      </c>
      <c r="E1439" s="344">
        <f ca="1">OFFSET('Zip Code Lines_1'!$W$3,MATCH('Zip Code Lines_1'!C1439,'Zip Code Lines_1'!$Q$4:$Q$26,0),0)</f>
        <v>1.2</v>
      </c>
      <c r="F1439" s="344">
        <f ca="1">OFFSET('Zip Code Lines_1'!$Z$3,MATCH('Zip Code Lines_1'!C1439,'Zip Code Lines_1'!$Q$4:$Q$26,0),0)</f>
        <v>84.2</v>
      </c>
      <c r="G1439" s="342">
        <f ca="1">OFFSET('Zip Code Lines_1'!$AC$3,MATCH('Zip Code Lines_1'!C1439,'Zip Code Lines_1'!$Q$4:$Q$26,0),0)</f>
        <v>18</v>
      </c>
      <c r="H1439" s="342">
        <v>13409</v>
      </c>
    </row>
    <row r="1440" spans="2:8" x14ac:dyDescent="0.25">
      <c r="B1440" s="342">
        <v>13410</v>
      </c>
      <c r="C1440" s="343" t="s">
        <v>569</v>
      </c>
      <c r="D1440" s="343" t="str">
        <f ca="1">OFFSET('Zip Code Lines_1'!$U$3,MATCH('Zip Code Lines_1'!C1440,'Zip Code Lines_1'!$Q$4:$Q$26,0),0)</f>
        <v>Utica</v>
      </c>
      <c r="E1440" s="344">
        <f ca="1">OFFSET('Zip Code Lines_1'!$W$3,MATCH('Zip Code Lines_1'!C1440,'Zip Code Lines_1'!$Q$4:$Q$26,0),0)</f>
        <v>1.2</v>
      </c>
      <c r="F1440" s="344">
        <f ca="1">OFFSET('Zip Code Lines_1'!$Z$3,MATCH('Zip Code Lines_1'!C1440,'Zip Code Lines_1'!$Q$4:$Q$26,0),0)</f>
        <v>84.2</v>
      </c>
      <c r="G1440" s="342">
        <f ca="1">OFFSET('Zip Code Lines_1'!$AC$3,MATCH('Zip Code Lines_1'!C1440,'Zip Code Lines_1'!$Q$4:$Q$26,0),0)</f>
        <v>18</v>
      </c>
      <c r="H1440" s="342">
        <v>13410</v>
      </c>
    </row>
    <row r="1441" spans="2:8" x14ac:dyDescent="0.25">
      <c r="B1441" s="342">
        <v>13411</v>
      </c>
      <c r="C1441" s="343" t="s">
        <v>569</v>
      </c>
      <c r="D1441" s="343" t="str">
        <f ca="1">OFFSET('Zip Code Lines_1'!$U$3,MATCH('Zip Code Lines_1'!C1441,'Zip Code Lines_1'!$Q$4:$Q$26,0),0)</f>
        <v>Utica</v>
      </c>
      <c r="E1441" s="344">
        <f ca="1">OFFSET('Zip Code Lines_1'!$W$3,MATCH('Zip Code Lines_1'!C1441,'Zip Code Lines_1'!$Q$4:$Q$26,0),0)</f>
        <v>1.2</v>
      </c>
      <c r="F1441" s="344">
        <f ca="1">OFFSET('Zip Code Lines_1'!$Z$3,MATCH('Zip Code Lines_1'!C1441,'Zip Code Lines_1'!$Q$4:$Q$26,0),0)</f>
        <v>84.2</v>
      </c>
      <c r="G1441" s="342">
        <f ca="1">OFFSET('Zip Code Lines_1'!$AC$3,MATCH('Zip Code Lines_1'!C1441,'Zip Code Lines_1'!$Q$4:$Q$26,0),0)</f>
        <v>18</v>
      </c>
      <c r="H1441" s="342">
        <v>13411</v>
      </c>
    </row>
    <row r="1442" spans="2:8" x14ac:dyDescent="0.25">
      <c r="B1442" s="342">
        <v>13413</v>
      </c>
      <c r="C1442" s="343" t="s">
        <v>569</v>
      </c>
      <c r="D1442" s="343" t="str">
        <f ca="1">OFFSET('Zip Code Lines_1'!$U$3,MATCH('Zip Code Lines_1'!C1442,'Zip Code Lines_1'!$Q$4:$Q$26,0),0)</f>
        <v>Utica</v>
      </c>
      <c r="E1442" s="344">
        <f ca="1">OFFSET('Zip Code Lines_1'!$W$3,MATCH('Zip Code Lines_1'!C1442,'Zip Code Lines_1'!$Q$4:$Q$26,0),0)</f>
        <v>1.2</v>
      </c>
      <c r="F1442" s="344">
        <f ca="1">OFFSET('Zip Code Lines_1'!$Z$3,MATCH('Zip Code Lines_1'!C1442,'Zip Code Lines_1'!$Q$4:$Q$26,0),0)</f>
        <v>84.2</v>
      </c>
      <c r="G1442" s="342">
        <f ca="1">OFFSET('Zip Code Lines_1'!$AC$3,MATCH('Zip Code Lines_1'!C1442,'Zip Code Lines_1'!$Q$4:$Q$26,0),0)</f>
        <v>18</v>
      </c>
      <c r="H1442" s="342">
        <v>13413</v>
      </c>
    </row>
    <row r="1443" spans="2:8" x14ac:dyDescent="0.25">
      <c r="B1443" s="342">
        <v>13415</v>
      </c>
      <c r="C1443" s="343" t="s">
        <v>569</v>
      </c>
      <c r="D1443" s="343" t="str">
        <f ca="1">OFFSET('Zip Code Lines_1'!$U$3,MATCH('Zip Code Lines_1'!C1443,'Zip Code Lines_1'!$Q$4:$Q$26,0),0)</f>
        <v>Utica</v>
      </c>
      <c r="E1443" s="344">
        <f ca="1">OFFSET('Zip Code Lines_1'!$W$3,MATCH('Zip Code Lines_1'!C1443,'Zip Code Lines_1'!$Q$4:$Q$26,0),0)</f>
        <v>1.2</v>
      </c>
      <c r="F1443" s="344">
        <f ca="1">OFFSET('Zip Code Lines_1'!$Z$3,MATCH('Zip Code Lines_1'!C1443,'Zip Code Lines_1'!$Q$4:$Q$26,0),0)</f>
        <v>84.2</v>
      </c>
      <c r="G1443" s="342">
        <f ca="1">OFFSET('Zip Code Lines_1'!$AC$3,MATCH('Zip Code Lines_1'!C1443,'Zip Code Lines_1'!$Q$4:$Q$26,0),0)</f>
        <v>18</v>
      </c>
      <c r="H1443" s="342">
        <v>13415</v>
      </c>
    </row>
    <row r="1444" spans="2:8" x14ac:dyDescent="0.25">
      <c r="B1444" s="342">
        <v>13416</v>
      </c>
      <c r="C1444" s="343" t="s">
        <v>569</v>
      </c>
      <c r="D1444" s="343" t="str">
        <f ca="1">OFFSET('Zip Code Lines_1'!$U$3,MATCH('Zip Code Lines_1'!C1444,'Zip Code Lines_1'!$Q$4:$Q$26,0),0)</f>
        <v>Utica</v>
      </c>
      <c r="E1444" s="344">
        <f ca="1">OFFSET('Zip Code Lines_1'!$W$3,MATCH('Zip Code Lines_1'!C1444,'Zip Code Lines_1'!$Q$4:$Q$26,0),0)</f>
        <v>1.2</v>
      </c>
      <c r="F1444" s="344">
        <f ca="1">OFFSET('Zip Code Lines_1'!$Z$3,MATCH('Zip Code Lines_1'!C1444,'Zip Code Lines_1'!$Q$4:$Q$26,0),0)</f>
        <v>84.2</v>
      </c>
      <c r="G1444" s="342">
        <f ca="1">OFFSET('Zip Code Lines_1'!$AC$3,MATCH('Zip Code Lines_1'!C1444,'Zip Code Lines_1'!$Q$4:$Q$26,0),0)</f>
        <v>18</v>
      </c>
      <c r="H1444" s="342">
        <v>13416</v>
      </c>
    </row>
    <row r="1445" spans="2:8" x14ac:dyDescent="0.25">
      <c r="B1445" s="342">
        <v>13417</v>
      </c>
      <c r="C1445" s="343" t="s">
        <v>569</v>
      </c>
      <c r="D1445" s="343" t="str">
        <f ca="1">OFFSET('Zip Code Lines_1'!$U$3,MATCH('Zip Code Lines_1'!C1445,'Zip Code Lines_1'!$Q$4:$Q$26,0),0)</f>
        <v>Utica</v>
      </c>
      <c r="E1445" s="344">
        <f ca="1">OFFSET('Zip Code Lines_1'!$W$3,MATCH('Zip Code Lines_1'!C1445,'Zip Code Lines_1'!$Q$4:$Q$26,0),0)</f>
        <v>1.2</v>
      </c>
      <c r="F1445" s="344">
        <f ca="1">OFFSET('Zip Code Lines_1'!$Z$3,MATCH('Zip Code Lines_1'!C1445,'Zip Code Lines_1'!$Q$4:$Q$26,0),0)</f>
        <v>84.2</v>
      </c>
      <c r="G1445" s="342">
        <f ca="1">OFFSET('Zip Code Lines_1'!$AC$3,MATCH('Zip Code Lines_1'!C1445,'Zip Code Lines_1'!$Q$4:$Q$26,0),0)</f>
        <v>18</v>
      </c>
      <c r="H1445" s="342">
        <v>13417</v>
      </c>
    </row>
    <row r="1446" spans="2:8" x14ac:dyDescent="0.25">
      <c r="B1446" s="342">
        <v>13418</v>
      </c>
      <c r="C1446" s="343" t="s">
        <v>569</v>
      </c>
      <c r="D1446" s="343" t="str">
        <f ca="1">OFFSET('Zip Code Lines_1'!$U$3,MATCH('Zip Code Lines_1'!C1446,'Zip Code Lines_1'!$Q$4:$Q$26,0),0)</f>
        <v>Utica</v>
      </c>
      <c r="E1446" s="344">
        <f ca="1">OFFSET('Zip Code Lines_1'!$W$3,MATCH('Zip Code Lines_1'!C1446,'Zip Code Lines_1'!$Q$4:$Q$26,0),0)</f>
        <v>1.2</v>
      </c>
      <c r="F1446" s="344">
        <f ca="1">OFFSET('Zip Code Lines_1'!$Z$3,MATCH('Zip Code Lines_1'!C1446,'Zip Code Lines_1'!$Q$4:$Q$26,0),0)</f>
        <v>84.2</v>
      </c>
      <c r="G1446" s="342">
        <f ca="1">OFFSET('Zip Code Lines_1'!$AC$3,MATCH('Zip Code Lines_1'!C1446,'Zip Code Lines_1'!$Q$4:$Q$26,0),0)</f>
        <v>18</v>
      </c>
      <c r="H1446" s="342">
        <v>13418</v>
      </c>
    </row>
    <row r="1447" spans="2:8" x14ac:dyDescent="0.25">
      <c r="B1447" s="342">
        <v>13420</v>
      </c>
      <c r="C1447" s="343" t="s">
        <v>566</v>
      </c>
      <c r="D1447" s="343" t="str">
        <f ca="1">OFFSET('Zip Code Lines_1'!$U$3,MATCH('Zip Code Lines_1'!C1447,'Zip Code Lines_1'!$Q$4:$Q$26,0),0)</f>
        <v>Saranac Lake</v>
      </c>
      <c r="E1447" s="344">
        <f ca="1">OFFSET('Zip Code Lines_1'!$W$3,MATCH('Zip Code Lines_1'!C1447,'Zip Code Lines_1'!$Q$4:$Q$26,0),0)</f>
        <v>-11.5</v>
      </c>
      <c r="F1447" s="344">
        <f ca="1">OFFSET('Zip Code Lines_1'!$Z$3,MATCH('Zip Code Lines_1'!C1447,'Zip Code Lines_1'!$Q$4:$Q$26,0),0)</f>
        <v>81</v>
      </c>
      <c r="G1447" s="342">
        <f ca="1">OFFSET('Zip Code Lines_1'!$AC$3,MATCH('Zip Code Lines_1'!C1447,'Zip Code Lines_1'!$Q$4:$Q$26,0),0)</f>
        <v>24</v>
      </c>
      <c r="H1447" s="342">
        <v>13420</v>
      </c>
    </row>
    <row r="1448" spans="2:8" x14ac:dyDescent="0.25">
      <c r="B1448" s="342">
        <v>13421</v>
      </c>
      <c r="C1448" s="343" t="s">
        <v>569</v>
      </c>
      <c r="D1448" s="343" t="str">
        <f ca="1">OFFSET('Zip Code Lines_1'!$U$3,MATCH('Zip Code Lines_1'!C1448,'Zip Code Lines_1'!$Q$4:$Q$26,0),0)</f>
        <v>Utica</v>
      </c>
      <c r="E1448" s="344">
        <f ca="1">OFFSET('Zip Code Lines_1'!$W$3,MATCH('Zip Code Lines_1'!C1448,'Zip Code Lines_1'!$Q$4:$Q$26,0),0)</f>
        <v>1.2</v>
      </c>
      <c r="F1448" s="344">
        <f ca="1">OFFSET('Zip Code Lines_1'!$Z$3,MATCH('Zip Code Lines_1'!C1448,'Zip Code Lines_1'!$Q$4:$Q$26,0),0)</f>
        <v>84.2</v>
      </c>
      <c r="G1448" s="342">
        <f ca="1">OFFSET('Zip Code Lines_1'!$AC$3,MATCH('Zip Code Lines_1'!C1448,'Zip Code Lines_1'!$Q$4:$Q$26,0),0)</f>
        <v>18</v>
      </c>
      <c r="H1448" s="342">
        <v>13421</v>
      </c>
    </row>
    <row r="1449" spans="2:8" x14ac:dyDescent="0.25">
      <c r="B1449" s="342">
        <v>13424</v>
      </c>
      <c r="C1449" s="343" t="s">
        <v>569</v>
      </c>
      <c r="D1449" s="343" t="str">
        <f ca="1">OFFSET('Zip Code Lines_1'!$U$3,MATCH('Zip Code Lines_1'!C1449,'Zip Code Lines_1'!$Q$4:$Q$26,0),0)</f>
        <v>Utica</v>
      </c>
      <c r="E1449" s="344">
        <f ca="1">OFFSET('Zip Code Lines_1'!$W$3,MATCH('Zip Code Lines_1'!C1449,'Zip Code Lines_1'!$Q$4:$Q$26,0),0)</f>
        <v>1.2</v>
      </c>
      <c r="F1449" s="344">
        <f ca="1">OFFSET('Zip Code Lines_1'!$Z$3,MATCH('Zip Code Lines_1'!C1449,'Zip Code Lines_1'!$Q$4:$Q$26,0),0)</f>
        <v>84.2</v>
      </c>
      <c r="G1449" s="342">
        <f ca="1">OFFSET('Zip Code Lines_1'!$AC$3,MATCH('Zip Code Lines_1'!C1449,'Zip Code Lines_1'!$Q$4:$Q$26,0),0)</f>
        <v>18</v>
      </c>
      <c r="H1449" s="342">
        <v>13424</v>
      </c>
    </row>
    <row r="1450" spans="2:8" x14ac:dyDescent="0.25">
      <c r="B1450" s="342">
        <v>13425</v>
      </c>
      <c r="C1450" s="343" t="s">
        <v>569</v>
      </c>
      <c r="D1450" s="343" t="str">
        <f ca="1">OFFSET('Zip Code Lines_1'!$U$3,MATCH('Zip Code Lines_1'!C1450,'Zip Code Lines_1'!$Q$4:$Q$26,0),0)</f>
        <v>Utica</v>
      </c>
      <c r="E1450" s="344">
        <f ca="1">OFFSET('Zip Code Lines_1'!$W$3,MATCH('Zip Code Lines_1'!C1450,'Zip Code Lines_1'!$Q$4:$Q$26,0),0)</f>
        <v>1.2</v>
      </c>
      <c r="F1450" s="344">
        <f ca="1">OFFSET('Zip Code Lines_1'!$Z$3,MATCH('Zip Code Lines_1'!C1450,'Zip Code Lines_1'!$Q$4:$Q$26,0),0)</f>
        <v>84.2</v>
      </c>
      <c r="G1450" s="342">
        <f ca="1">OFFSET('Zip Code Lines_1'!$AC$3,MATCH('Zip Code Lines_1'!C1450,'Zip Code Lines_1'!$Q$4:$Q$26,0),0)</f>
        <v>18</v>
      </c>
      <c r="H1450" s="342">
        <v>13425</v>
      </c>
    </row>
    <row r="1451" spans="2:8" x14ac:dyDescent="0.25">
      <c r="B1451" s="342">
        <v>13426</v>
      </c>
      <c r="C1451" s="343" t="s">
        <v>541</v>
      </c>
      <c r="D1451" s="343" t="str">
        <f ca="1">OFFSET('Zip Code Lines_1'!$U$3,MATCH('Zip Code Lines_1'!C1451,'Zip Code Lines_1'!$Q$4:$Q$26,0),0)</f>
        <v>Fort Drum</v>
      </c>
      <c r="E1451" s="344">
        <f ca="1">OFFSET('Zip Code Lines_1'!$W$3,MATCH('Zip Code Lines_1'!C1451,'Zip Code Lines_1'!$Q$4:$Q$26,0),0)</f>
        <v>-4.4000000000000004</v>
      </c>
      <c r="F1451" s="344">
        <f ca="1">OFFSET('Zip Code Lines_1'!$Z$3,MATCH('Zip Code Lines_1'!C1451,'Zip Code Lines_1'!$Q$4:$Q$26,0),0)</f>
        <v>83.6</v>
      </c>
      <c r="G1451" s="342">
        <f ca="1">OFFSET('Zip Code Lines_1'!$AC$3,MATCH('Zip Code Lines_1'!C1451,'Zip Code Lines_1'!$Q$4:$Q$26,0),0)</f>
        <v>18</v>
      </c>
      <c r="H1451" s="342">
        <v>13426</v>
      </c>
    </row>
    <row r="1452" spans="2:8" x14ac:dyDescent="0.25">
      <c r="B1452" s="342">
        <v>13428</v>
      </c>
      <c r="C1452" s="343" t="s">
        <v>569</v>
      </c>
      <c r="D1452" s="343" t="str">
        <f ca="1">OFFSET('Zip Code Lines_1'!$U$3,MATCH('Zip Code Lines_1'!C1452,'Zip Code Lines_1'!$Q$4:$Q$26,0),0)</f>
        <v>Utica</v>
      </c>
      <c r="E1452" s="344">
        <f ca="1">OFFSET('Zip Code Lines_1'!$W$3,MATCH('Zip Code Lines_1'!C1452,'Zip Code Lines_1'!$Q$4:$Q$26,0),0)</f>
        <v>1.2</v>
      </c>
      <c r="F1452" s="344">
        <f ca="1">OFFSET('Zip Code Lines_1'!$Z$3,MATCH('Zip Code Lines_1'!C1452,'Zip Code Lines_1'!$Q$4:$Q$26,0),0)</f>
        <v>84.2</v>
      </c>
      <c r="G1452" s="342">
        <f ca="1">OFFSET('Zip Code Lines_1'!$AC$3,MATCH('Zip Code Lines_1'!C1452,'Zip Code Lines_1'!$Q$4:$Q$26,0),0)</f>
        <v>18</v>
      </c>
      <c r="H1452" s="342">
        <v>13428</v>
      </c>
    </row>
    <row r="1453" spans="2:8" x14ac:dyDescent="0.25">
      <c r="B1453" s="342">
        <v>13431</v>
      </c>
      <c r="C1453" s="343" t="s">
        <v>569</v>
      </c>
      <c r="D1453" s="343" t="str">
        <f ca="1">OFFSET('Zip Code Lines_1'!$U$3,MATCH('Zip Code Lines_1'!C1453,'Zip Code Lines_1'!$Q$4:$Q$26,0),0)</f>
        <v>Utica</v>
      </c>
      <c r="E1453" s="344">
        <f ca="1">OFFSET('Zip Code Lines_1'!$W$3,MATCH('Zip Code Lines_1'!C1453,'Zip Code Lines_1'!$Q$4:$Q$26,0),0)</f>
        <v>1.2</v>
      </c>
      <c r="F1453" s="344">
        <f ca="1">OFFSET('Zip Code Lines_1'!$Z$3,MATCH('Zip Code Lines_1'!C1453,'Zip Code Lines_1'!$Q$4:$Q$26,0),0)</f>
        <v>84.2</v>
      </c>
      <c r="G1453" s="342">
        <f ca="1">OFFSET('Zip Code Lines_1'!$AC$3,MATCH('Zip Code Lines_1'!C1453,'Zip Code Lines_1'!$Q$4:$Q$26,0),0)</f>
        <v>18</v>
      </c>
      <c r="H1453" s="342">
        <v>13431</v>
      </c>
    </row>
    <row r="1454" spans="2:8" x14ac:dyDescent="0.25">
      <c r="B1454" s="342">
        <v>13433</v>
      </c>
      <c r="C1454" s="343" t="s">
        <v>571</v>
      </c>
      <c r="D1454" s="343" t="str">
        <f ca="1">OFFSET('Zip Code Lines_1'!$U$3,MATCH('Zip Code Lines_1'!C1454,'Zip Code Lines_1'!$Q$4:$Q$26,0),0)</f>
        <v>Watertown</v>
      </c>
      <c r="E1454" s="344">
        <f ca="1">OFFSET('Zip Code Lines_1'!$W$3,MATCH('Zip Code Lines_1'!C1454,'Zip Code Lines_1'!$Q$4:$Q$26,0),0)</f>
        <v>-5</v>
      </c>
      <c r="F1454" s="344">
        <f ca="1">OFFSET('Zip Code Lines_1'!$Z$3,MATCH('Zip Code Lines_1'!C1454,'Zip Code Lines_1'!$Q$4:$Q$26,0),0)</f>
        <v>83.1</v>
      </c>
      <c r="G1454" s="342">
        <f ca="1">OFFSET('Zip Code Lines_1'!$AC$3,MATCH('Zip Code Lines_1'!C1454,'Zip Code Lines_1'!$Q$4:$Q$26,0),0)</f>
        <v>24</v>
      </c>
      <c r="H1454" s="342">
        <v>13433</v>
      </c>
    </row>
    <row r="1455" spans="2:8" x14ac:dyDescent="0.25">
      <c r="B1455" s="342">
        <v>13435</v>
      </c>
      <c r="C1455" s="343" t="s">
        <v>569</v>
      </c>
      <c r="D1455" s="343" t="str">
        <f ca="1">OFFSET('Zip Code Lines_1'!$U$3,MATCH('Zip Code Lines_1'!C1455,'Zip Code Lines_1'!$Q$4:$Q$26,0),0)</f>
        <v>Utica</v>
      </c>
      <c r="E1455" s="344">
        <f ca="1">OFFSET('Zip Code Lines_1'!$W$3,MATCH('Zip Code Lines_1'!C1455,'Zip Code Lines_1'!$Q$4:$Q$26,0),0)</f>
        <v>1.2</v>
      </c>
      <c r="F1455" s="344">
        <f ca="1">OFFSET('Zip Code Lines_1'!$Z$3,MATCH('Zip Code Lines_1'!C1455,'Zip Code Lines_1'!$Q$4:$Q$26,0),0)</f>
        <v>84.2</v>
      </c>
      <c r="G1455" s="342">
        <f ca="1">OFFSET('Zip Code Lines_1'!$AC$3,MATCH('Zip Code Lines_1'!C1455,'Zip Code Lines_1'!$Q$4:$Q$26,0),0)</f>
        <v>18</v>
      </c>
      <c r="H1455" s="342">
        <v>13435</v>
      </c>
    </row>
    <row r="1456" spans="2:8" x14ac:dyDescent="0.25">
      <c r="B1456" s="342">
        <v>13436</v>
      </c>
      <c r="C1456" s="343" t="s">
        <v>566</v>
      </c>
      <c r="D1456" s="343" t="str">
        <f ca="1">OFFSET('Zip Code Lines_1'!$U$3,MATCH('Zip Code Lines_1'!C1456,'Zip Code Lines_1'!$Q$4:$Q$26,0),0)</f>
        <v>Saranac Lake</v>
      </c>
      <c r="E1456" s="344">
        <f ca="1">OFFSET('Zip Code Lines_1'!$W$3,MATCH('Zip Code Lines_1'!C1456,'Zip Code Lines_1'!$Q$4:$Q$26,0),0)</f>
        <v>-11.5</v>
      </c>
      <c r="F1456" s="344">
        <f ca="1">OFFSET('Zip Code Lines_1'!$Z$3,MATCH('Zip Code Lines_1'!C1456,'Zip Code Lines_1'!$Q$4:$Q$26,0),0)</f>
        <v>81</v>
      </c>
      <c r="G1456" s="342">
        <f ca="1">OFFSET('Zip Code Lines_1'!$AC$3,MATCH('Zip Code Lines_1'!C1456,'Zip Code Lines_1'!$Q$4:$Q$26,0),0)</f>
        <v>24</v>
      </c>
      <c r="H1456" s="342">
        <v>13436</v>
      </c>
    </row>
    <row r="1457" spans="2:8" x14ac:dyDescent="0.25">
      <c r="B1457" s="342">
        <v>13437</v>
      </c>
      <c r="C1457" s="343" t="s">
        <v>571</v>
      </c>
      <c r="D1457" s="343" t="str">
        <f ca="1">OFFSET('Zip Code Lines_1'!$U$3,MATCH('Zip Code Lines_1'!C1457,'Zip Code Lines_1'!$Q$4:$Q$26,0),0)</f>
        <v>Watertown</v>
      </c>
      <c r="E1457" s="344">
        <f ca="1">OFFSET('Zip Code Lines_1'!$W$3,MATCH('Zip Code Lines_1'!C1457,'Zip Code Lines_1'!$Q$4:$Q$26,0),0)</f>
        <v>-5</v>
      </c>
      <c r="F1457" s="344">
        <f ca="1">OFFSET('Zip Code Lines_1'!$Z$3,MATCH('Zip Code Lines_1'!C1457,'Zip Code Lines_1'!$Q$4:$Q$26,0),0)</f>
        <v>83.1</v>
      </c>
      <c r="G1457" s="342">
        <f ca="1">OFFSET('Zip Code Lines_1'!$AC$3,MATCH('Zip Code Lines_1'!C1457,'Zip Code Lines_1'!$Q$4:$Q$26,0),0)</f>
        <v>24</v>
      </c>
      <c r="H1457" s="342">
        <v>13437</v>
      </c>
    </row>
    <row r="1458" spans="2:8" x14ac:dyDescent="0.25">
      <c r="B1458" s="342">
        <v>13438</v>
      </c>
      <c r="C1458" s="343" t="s">
        <v>569</v>
      </c>
      <c r="D1458" s="343" t="str">
        <f ca="1">OFFSET('Zip Code Lines_1'!$U$3,MATCH('Zip Code Lines_1'!C1458,'Zip Code Lines_1'!$Q$4:$Q$26,0),0)</f>
        <v>Utica</v>
      </c>
      <c r="E1458" s="344">
        <f ca="1">OFFSET('Zip Code Lines_1'!$W$3,MATCH('Zip Code Lines_1'!C1458,'Zip Code Lines_1'!$Q$4:$Q$26,0),0)</f>
        <v>1.2</v>
      </c>
      <c r="F1458" s="344">
        <f ca="1">OFFSET('Zip Code Lines_1'!$Z$3,MATCH('Zip Code Lines_1'!C1458,'Zip Code Lines_1'!$Q$4:$Q$26,0),0)</f>
        <v>84.2</v>
      </c>
      <c r="G1458" s="342">
        <f ca="1">OFFSET('Zip Code Lines_1'!$AC$3,MATCH('Zip Code Lines_1'!C1458,'Zip Code Lines_1'!$Q$4:$Q$26,0),0)</f>
        <v>18</v>
      </c>
      <c r="H1458" s="342">
        <v>13438</v>
      </c>
    </row>
    <row r="1459" spans="2:8" x14ac:dyDescent="0.25">
      <c r="B1459" s="342">
        <v>13439</v>
      </c>
      <c r="C1459" s="343" t="s">
        <v>569</v>
      </c>
      <c r="D1459" s="343" t="str">
        <f ca="1">OFFSET('Zip Code Lines_1'!$U$3,MATCH('Zip Code Lines_1'!C1459,'Zip Code Lines_1'!$Q$4:$Q$26,0),0)</f>
        <v>Utica</v>
      </c>
      <c r="E1459" s="344">
        <f ca="1">OFFSET('Zip Code Lines_1'!$W$3,MATCH('Zip Code Lines_1'!C1459,'Zip Code Lines_1'!$Q$4:$Q$26,0),0)</f>
        <v>1.2</v>
      </c>
      <c r="F1459" s="344">
        <f ca="1">OFFSET('Zip Code Lines_1'!$Z$3,MATCH('Zip Code Lines_1'!C1459,'Zip Code Lines_1'!$Q$4:$Q$26,0),0)</f>
        <v>84.2</v>
      </c>
      <c r="G1459" s="342">
        <f ca="1">OFFSET('Zip Code Lines_1'!$AC$3,MATCH('Zip Code Lines_1'!C1459,'Zip Code Lines_1'!$Q$4:$Q$26,0),0)</f>
        <v>18</v>
      </c>
      <c r="H1459" s="342">
        <v>13439</v>
      </c>
    </row>
    <row r="1460" spans="2:8" x14ac:dyDescent="0.25">
      <c r="B1460" s="342">
        <v>13440</v>
      </c>
      <c r="C1460" s="343" t="s">
        <v>569</v>
      </c>
      <c r="D1460" s="343" t="str">
        <f ca="1">OFFSET('Zip Code Lines_1'!$U$3,MATCH('Zip Code Lines_1'!C1460,'Zip Code Lines_1'!$Q$4:$Q$26,0),0)</f>
        <v>Utica</v>
      </c>
      <c r="E1460" s="344">
        <f ca="1">OFFSET('Zip Code Lines_1'!$W$3,MATCH('Zip Code Lines_1'!C1460,'Zip Code Lines_1'!$Q$4:$Q$26,0),0)</f>
        <v>1.2</v>
      </c>
      <c r="F1460" s="344">
        <f ca="1">OFFSET('Zip Code Lines_1'!$Z$3,MATCH('Zip Code Lines_1'!C1460,'Zip Code Lines_1'!$Q$4:$Q$26,0),0)</f>
        <v>84.2</v>
      </c>
      <c r="G1460" s="342">
        <f ca="1">OFFSET('Zip Code Lines_1'!$AC$3,MATCH('Zip Code Lines_1'!C1460,'Zip Code Lines_1'!$Q$4:$Q$26,0),0)</f>
        <v>18</v>
      </c>
      <c r="H1460" s="342">
        <v>13440</v>
      </c>
    </row>
    <row r="1461" spans="2:8" x14ac:dyDescent="0.25">
      <c r="B1461" s="342">
        <v>13441</v>
      </c>
      <c r="C1461" s="343" t="s">
        <v>569</v>
      </c>
      <c r="D1461" s="343" t="str">
        <f ca="1">OFFSET('Zip Code Lines_1'!$U$3,MATCH('Zip Code Lines_1'!C1461,'Zip Code Lines_1'!$Q$4:$Q$26,0),0)</f>
        <v>Utica</v>
      </c>
      <c r="E1461" s="344">
        <f ca="1">OFFSET('Zip Code Lines_1'!$W$3,MATCH('Zip Code Lines_1'!C1461,'Zip Code Lines_1'!$Q$4:$Q$26,0),0)</f>
        <v>1.2</v>
      </c>
      <c r="F1461" s="344">
        <f ca="1">OFFSET('Zip Code Lines_1'!$Z$3,MATCH('Zip Code Lines_1'!C1461,'Zip Code Lines_1'!$Q$4:$Q$26,0),0)</f>
        <v>84.2</v>
      </c>
      <c r="G1461" s="342">
        <f ca="1">OFFSET('Zip Code Lines_1'!$AC$3,MATCH('Zip Code Lines_1'!C1461,'Zip Code Lines_1'!$Q$4:$Q$26,0),0)</f>
        <v>18</v>
      </c>
      <c r="H1461" s="342">
        <v>13441</v>
      </c>
    </row>
    <row r="1462" spans="2:8" x14ac:dyDescent="0.25">
      <c r="B1462" s="342">
        <v>13442</v>
      </c>
      <c r="C1462" s="343" t="s">
        <v>569</v>
      </c>
      <c r="D1462" s="343" t="str">
        <f ca="1">OFFSET('Zip Code Lines_1'!$U$3,MATCH('Zip Code Lines_1'!C1462,'Zip Code Lines_1'!$Q$4:$Q$26,0),0)</f>
        <v>Utica</v>
      </c>
      <c r="E1462" s="344">
        <f ca="1">OFFSET('Zip Code Lines_1'!$W$3,MATCH('Zip Code Lines_1'!C1462,'Zip Code Lines_1'!$Q$4:$Q$26,0),0)</f>
        <v>1.2</v>
      </c>
      <c r="F1462" s="344">
        <f ca="1">OFFSET('Zip Code Lines_1'!$Z$3,MATCH('Zip Code Lines_1'!C1462,'Zip Code Lines_1'!$Q$4:$Q$26,0),0)</f>
        <v>84.2</v>
      </c>
      <c r="G1462" s="342">
        <f ca="1">OFFSET('Zip Code Lines_1'!$AC$3,MATCH('Zip Code Lines_1'!C1462,'Zip Code Lines_1'!$Q$4:$Q$26,0),0)</f>
        <v>18</v>
      </c>
      <c r="H1462" s="342">
        <v>13442</v>
      </c>
    </row>
    <row r="1463" spans="2:8" x14ac:dyDescent="0.25">
      <c r="B1463" s="342">
        <v>13449</v>
      </c>
      <c r="C1463" s="343" t="s">
        <v>569</v>
      </c>
      <c r="D1463" s="343" t="str">
        <f ca="1">OFFSET('Zip Code Lines_1'!$U$3,MATCH('Zip Code Lines_1'!C1463,'Zip Code Lines_1'!$Q$4:$Q$26,0),0)</f>
        <v>Utica</v>
      </c>
      <c r="E1463" s="344">
        <f ca="1">OFFSET('Zip Code Lines_1'!$W$3,MATCH('Zip Code Lines_1'!C1463,'Zip Code Lines_1'!$Q$4:$Q$26,0),0)</f>
        <v>1.2</v>
      </c>
      <c r="F1463" s="344">
        <f ca="1">OFFSET('Zip Code Lines_1'!$Z$3,MATCH('Zip Code Lines_1'!C1463,'Zip Code Lines_1'!$Q$4:$Q$26,0),0)</f>
        <v>84.2</v>
      </c>
      <c r="G1463" s="342">
        <f ca="1">OFFSET('Zip Code Lines_1'!$AC$3,MATCH('Zip Code Lines_1'!C1463,'Zip Code Lines_1'!$Q$4:$Q$26,0),0)</f>
        <v>18</v>
      </c>
      <c r="H1463" s="342">
        <v>13449</v>
      </c>
    </row>
    <row r="1464" spans="2:8" x14ac:dyDescent="0.25">
      <c r="B1464" s="342">
        <v>13450</v>
      </c>
      <c r="C1464" s="343" t="s">
        <v>569</v>
      </c>
      <c r="D1464" s="343" t="str">
        <f ca="1">OFFSET('Zip Code Lines_1'!$U$3,MATCH('Zip Code Lines_1'!C1464,'Zip Code Lines_1'!$Q$4:$Q$26,0),0)</f>
        <v>Utica</v>
      </c>
      <c r="E1464" s="344">
        <f ca="1">OFFSET('Zip Code Lines_1'!$W$3,MATCH('Zip Code Lines_1'!C1464,'Zip Code Lines_1'!$Q$4:$Q$26,0),0)</f>
        <v>1.2</v>
      </c>
      <c r="F1464" s="344">
        <f ca="1">OFFSET('Zip Code Lines_1'!$Z$3,MATCH('Zip Code Lines_1'!C1464,'Zip Code Lines_1'!$Q$4:$Q$26,0),0)</f>
        <v>84.2</v>
      </c>
      <c r="G1464" s="342">
        <f ca="1">OFFSET('Zip Code Lines_1'!$AC$3,MATCH('Zip Code Lines_1'!C1464,'Zip Code Lines_1'!$Q$4:$Q$26,0),0)</f>
        <v>18</v>
      </c>
      <c r="H1464" s="342">
        <v>13450</v>
      </c>
    </row>
    <row r="1465" spans="2:8" x14ac:dyDescent="0.25">
      <c r="B1465" s="342">
        <v>13452</v>
      </c>
      <c r="C1465" s="343" t="s">
        <v>543</v>
      </c>
      <c r="D1465" s="343" t="str">
        <f ca="1">OFFSET('Zip Code Lines_1'!$U$3,MATCH('Zip Code Lines_1'!C1465,'Zip Code Lines_1'!$Q$4:$Q$26,0),0)</f>
        <v xml:space="preserve">Glens Falls </v>
      </c>
      <c r="E1465" s="344">
        <f ca="1">OFFSET('Zip Code Lines_1'!$W$3,MATCH('Zip Code Lines_1'!C1465,'Zip Code Lines_1'!$Q$4:$Q$26,0),0)</f>
        <v>-1.8</v>
      </c>
      <c r="F1465" s="344">
        <f ca="1">OFFSET('Zip Code Lines_1'!$Z$3,MATCH('Zip Code Lines_1'!C1465,'Zip Code Lines_1'!$Q$4:$Q$26,0),0)</f>
        <v>84.7</v>
      </c>
      <c r="G1465" s="342">
        <f ca="1">OFFSET('Zip Code Lines_1'!$AC$3,MATCH('Zip Code Lines_1'!C1465,'Zip Code Lines_1'!$Q$4:$Q$26,0),0)</f>
        <v>12</v>
      </c>
      <c r="H1465" s="342">
        <v>13452</v>
      </c>
    </row>
    <row r="1466" spans="2:8" x14ac:dyDescent="0.25">
      <c r="B1466" s="342">
        <v>13454</v>
      </c>
      <c r="C1466" s="343" t="s">
        <v>571</v>
      </c>
      <c r="D1466" s="343" t="str">
        <f ca="1">OFFSET('Zip Code Lines_1'!$U$3,MATCH('Zip Code Lines_1'!C1466,'Zip Code Lines_1'!$Q$4:$Q$26,0),0)</f>
        <v>Watertown</v>
      </c>
      <c r="E1466" s="344">
        <f ca="1">OFFSET('Zip Code Lines_1'!$W$3,MATCH('Zip Code Lines_1'!C1466,'Zip Code Lines_1'!$Q$4:$Q$26,0),0)</f>
        <v>-5</v>
      </c>
      <c r="F1466" s="344">
        <f ca="1">OFFSET('Zip Code Lines_1'!$Z$3,MATCH('Zip Code Lines_1'!C1466,'Zip Code Lines_1'!$Q$4:$Q$26,0),0)</f>
        <v>83.1</v>
      </c>
      <c r="G1466" s="342">
        <f ca="1">OFFSET('Zip Code Lines_1'!$AC$3,MATCH('Zip Code Lines_1'!C1466,'Zip Code Lines_1'!$Q$4:$Q$26,0),0)</f>
        <v>24</v>
      </c>
      <c r="H1466" s="342">
        <v>13454</v>
      </c>
    </row>
    <row r="1467" spans="2:8" x14ac:dyDescent="0.25">
      <c r="B1467" s="342">
        <v>13455</v>
      </c>
      <c r="C1467" s="343" t="s">
        <v>569</v>
      </c>
      <c r="D1467" s="343" t="str">
        <f ca="1">OFFSET('Zip Code Lines_1'!$U$3,MATCH('Zip Code Lines_1'!C1467,'Zip Code Lines_1'!$Q$4:$Q$26,0),0)</f>
        <v>Utica</v>
      </c>
      <c r="E1467" s="344">
        <f ca="1">OFFSET('Zip Code Lines_1'!$W$3,MATCH('Zip Code Lines_1'!C1467,'Zip Code Lines_1'!$Q$4:$Q$26,0),0)</f>
        <v>1.2</v>
      </c>
      <c r="F1467" s="344">
        <f ca="1">OFFSET('Zip Code Lines_1'!$Z$3,MATCH('Zip Code Lines_1'!C1467,'Zip Code Lines_1'!$Q$4:$Q$26,0),0)</f>
        <v>84.2</v>
      </c>
      <c r="G1467" s="342">
        <f ca="1">OFFSET('Zip Code Lines_1'!$AC$3,MATCH('Zip Code Lines_1'!C1467,'Zip Code Lines_1'!$Q$4:$Q$26,0),0)</f>
        <v>18</v>
      </c>
      <c r="H1467" s="342">
        <v>13455</v>
      </c>
    </row>
    <row r="1468" spans="2:8" x14ac:dyDescent="0.25">
      <c r="B1468" s="342">
        <v>13456</v>
      </c>
      <c r="C1468" s="343" t="s">
        <v>569</v>
      </c>
      <c r="D1468" s="343" t="str">
        <f ca="1">OFFSET('Zip Code Lines_1'!$U$3,MATCH('Zip Code Lines_1'!C1468,'Zip Code Lines_1'!$Q$4:$Q$26,0),0)</f>
        <v>Utica</v>
      </c>
      <c r="E1468" s="344">
        <f ca="1">OFFSET('Zip Code Lines_1'!$W$3,MATCH('Zip Code Lines_1'!C1468,'Zip Code Lines_1'!$Q$4:$Q$26,0),0)</f>
        <v>1.2</v>
      </c>
      <c r="F1468" s="344">
        <f ca="1">OFFSET('Zip Code Lines_1'!$Z$3,MATCH('Zip Code Lines_1'!C1468,'Zip Code Lines_1'!$Q$4:$Q$26,0),0)</f>
        <v>84.2</v>
      </c>
      <c r="G1468" s="342">
        <f ca="1">OFFSET('Zip Code Lines_1'!$AC$3,MATCH('Zip Code Lines_1'!C1468,'Zip Code Lines_1'!$Q$4:$Q$26,0),0)</f>
        <v>18</v>
      </c>
      <c r="H1468" s="342">
        <v>13456</v>
      </c>
    </row>
    <row r="1469" spans="2:8" x14ac:dyDescent="0.25">
      <c r="B1469" s="342">
        <v>13457</v>
      </c>
      <c r="C1469" s="343" t="s">
        <v>569</v>
      </c>
      <c r="D1469" s="343" t="str">
        <f ca="1">OFFSET('Zip Code Lines_1'!$U$3,MATCH('Zip Code Lines_1'!C1469,'Zip Code Lines_1'!$Q$4:$Q$26,0),0)</f>
        <v>Utica</v>
      </c>
      <c r="E1469" s="344">
        <f ca="1">OFFSET('Zip Code Lines_1'!$W$3,MATCH('Zip Code Lines_1'!C1469,'Zip Code Lines_1'!$Q$4:$Q$26,0),0)</f>
        <v>1.2</v>
      </c>
      <c r="F1469" s="344">
        <f ca="1">OFFSET('Zip Code Lines_1'!$Z$3,MATCH('Zip Code Lines_1'!C1469,'Zip Code Lines_1'!$Q$4:$Q$26,0),0)</f>
        <v>84.2</v>
      </c>
      <c r="G1469" s="342">
        <f ca="1">OFFSET('Zip Code Lines_1'!$AC$3,MATCH('Zip Code Lines_1'!C1469,'Zip Code Lines_1'!$Q$4:$Q$26,0),0)</f>
        <v>18</v>
      </c>
      <c r="H1469" s="342">
        <v>13457</v>
      </c>
    </row>
    <row r="1470" spans="2:8" x14ac:dyDescent="0.25">
      <c r="B1470" s="342">
        <v>13459</v>
      </c>
      <c r="C1470" s="343" t="s">
        <v>543</v>
      </c>
      <c r="D1470" s="343" t="str">
        <f ca="1">OFFSET('Zip Code Lines_1'!$U$3,MATCH('Zip Code Lines_1'!C1470,'Zip Code Lines_1'!$Q$4:$Q$26,0),0)</f>
        <v xml:space="preserve">Glens Falls </v>
      </c>
      <c r="E1470" s="344">
        <f ca="1">OFFSET('Zip Code Lines_1'!$W$3,MATCH('Zip Code Lines_1'!C1470,'Zip Code Lines_1'!$Q$4:$Q$26,0),0)</f>
        <v>-1.8</v>
      </c>
      <c r="F1470" s="344">
        <f ca="1">OFFSET('Zip Code Lines_1'!$Z$3,MATCH('Zip Code Lines_1'!C1470,'Zip Code Lines_1'!$Q$4:$Q$26,0),0)</f>
        <v>84.7</v>
      </c>
      <c r="G1470" s="342">
        <f ca="1">OFFSET('Zip Code Lines_1'!$AC$3,MATCH('Zip Code Lines_1'!C1470,'Zip Code Lines_1'!$Q$4:$Q$26,0),0)</f>
        <v>12</v>
      </c>
      <c r="H1470" s="342">
        <v>13459</v>
      </c>
    </row>
    <row r="1471" spans="2:8" x14ac:dyDescent="0.25">
      <c r="B1471" s="342">
        <v>13460</v>
      </c>
      <c r="C1471" s="343" t="s">
        <v>569</v>
      </c>
      <c r="D1471" s="343" t="str">
        <f ca="1">OFFSET('Zip Code Lines_1'!$U$3,MATCH('Zip Code Lines_1'!C1471,'Zip Code Lines_1'!$Q$4:$Q$26,0),0)</f>
        <v>Utica</v>
      </c>
      <c r="E1471" s="344">
        <f ca="1">OFFSET('Zip Code Lines_1'!$W$3,MATCH('Zip Code Lines_1'!C1471,'Zip Code Lines_1'!$Q$4:$Q$26,0),0)</f>
        <v>1.2</v>
      </c>
      <c r="F1471" s="344">
        <f ca="1">OFFSET('Zip Code Lines_1'!$Z$3,MATCH('Zip Code Lines_1'!C1471,'Zip Code Lines_1'!$Q$4:$Q$26,0),0)</f>
        <v>84.2</v>
      </c>
      <c r="G1471" s="342">
        <f ca="1">OFFSET('Zip Code Lines_1'!$AC$3,MATCH('Zip Code Lines_1'!C1471,'Zip Code Lines_1'!$Q$4:$Q$26,0),0)</f>
        <v>18</v>
      </c>
      <c r="H1471" s="342">
        <v>13460</v>
      </c>
    </row>
    <row r="1472" spans="2:8" x14ac:dyDescent="0.25">
      <c r="B1472" s="342">
        <v>13461</v>
      </c>
      <c r="C1472" s="343" t="s">
        <v>569</v>
      </c>
      <c r="D1472" s="343" t="str">
        <f ca="1">OFFSET('Zip Code Lines_1'!$U$3,MATCH('Zip Code Lines_1'!C1472,'Zip Code Lines_1'!$Q$4:$Q$26,0),0)</f>
        <v>Utica</v>
      </c>
      <c r="E1472" s="344">
        <f ca="1">OFFSET('Zip Code Lines_1'!$W$3,MATCH('Zip Code Lines_1'!C1472,'Zip Code Lines_1'!$Q$4:$Q$26,0),0)</f>
        <v>1.2</v>
      </c>
      <c r="F1472" s="344">
        <f ca="1">OFFSET('Zip Code Lines_1'!$Z$3,MATCH('Zip Code Lines_1'!C1472,'Zip Code Lines_1'!$Q$4:$Q$26,0),0)</f>
        <v>84.2</v>
      </c>
      <c r="G1472" s="342">
        <f ca="1">OFFSET('Zip Code Lines_1'!$AC$3,MATCH('Zip Code Lines_1'!C1472,'Zip Code Lines_1'!$Q$4:$Q$26,0),0)</f>
        <v>18</v>
      </c>
      <c r="H1472" s="342">
        <v>13461</v>
      </c>
    </row>
    <row r="1473" spans="2:8" x14ac:dyDescent="0.25">
      <c r="B1473" s="342">
        <v>13464</v>
      </c>
      <c r="C1473" s="343" t="s">
        <v>569</v>
      </c>
      <c r="D1473" s="343" t="str">
        <f ca="1">OFFSET('Zip Code Lines_1'!$U$3,MATCH('Zip Code Lines_1'!C1473,'Zip Code Lines_1'!$Q$4:$Q$26,0),0)</f>
        <v>Utica</v>
      </c>
      <c r="E1473" s="344">
        <f ca="1">OFFSET('Zip Code Lines_1'!$W$3,MATCH('Zip Code Lines_1'!C1473,'Zip Code Lines_1'!$Q$4:$Q$26,0),0)</f>
        <v>1.2</v>
      </c>
      <c r="F1473" s="344">
        <f ca="1">OFFSET('Zip Code Lines_1'!$Z$3,MATCH('Zip Code Lines_1'!C1473,'Zip Code Lines_1'!$Q$4:$Q$26,0),0)</f>
        <v>84.2</v>
      </c>
      <c r="G1473" s="342">
        <f ca="1">OFFSET('Zip Code Lines_1'!$AC$3,MATCH('Zip Code Lines_1'!C1473,'Zip Code Lines_1'!$Q$4:$Q$26,0),0)</f>
        <v>18</v>
      </c>
      <c r="H1473" s="342">
        <v>13464</v>
      </c>
    </row>
    <row r="1474" spans="2:8" x14ac:dyDescent="0.25">
      <c r="B1474" s="342">
        <v>13465</v>
      </c>
      <c r="C1474" s="343" t="s">
        <v>569</v>
      </c>
      <c r="D1474" s="343" t="str">
        <f ca="1">OFFSET('Zip Code Lines_1'!$U$3,MATCH('Zip Code Lines_1'!C1474,'Zip Code Lines_1'!$Q$4:$Q$26,0),0)</f>
        <v>Utica</v>
      </c>
      <c r="E1474" s="344">
        <f ca="1">OFFSET('Zip Code Lines_1'!$W$3,MATCH('Zip Code Lines_1'!C1474,'Zip Code Lines_1'!$Q$4:$Q$26,0),0)</f>
        <v>1.2</v>
      </c>
      <c r="F1474" s="344">
        <f ca="1">OFFSET('Zip Code Lines_1'!$Z$3,MATCH('Zip Code Lines_1'!C1474,'Zip Code Lines_1'!$Q$4:$Q$26,0),0)</f>
        <v>84.2</v>
      </c>
      <c r="G1474" s="342">
        <f ca="1">OFFSET('Zip Code Lines_1'!$AC$3,MATCH('Zip Code Lines_1'!C1474,'Zip Code Lines_1'!$Q$4:$Q$26,0),0)</f>
        <v>18</v>
      </c>
      <c r="H1474" s="342">
        <v>13465</v>
      </c>
    </row>
    <row r="1475" spans="2:8" x14ac:dyDescent="0.25">
      <c r="B1475" s="342">
        <v>13468</v>
      </c>
      <c r="C1475" s="343" t="s">
        <v>543</v>
      </c>
      <c r="D1475" s="343" t="str">
        <f ca="1">OFFSET('Zip Code Lines_1'!$U$3,MATCH('Zip Code Lines_1'!C1475,'Zip Code Lines_1'!$Q$4:$Q$26,0),0)</f>
        <v xml:space="preserve">Glens Falls </v>
      </c>
      <c r="E1475" s="344">
        <f ca="1">OFFSET('Zip Code Lines_1'!$W$3,MATCH('Zip Code Lines_1'!C1475,'Zip Code Lines_1'!$Q$4:$Q$26,0),0)</f>
        <v>-1.8</v>
      </c>
      <c r="F1475" s="344">
        <f ca="1">OFFSET('Zip Code Lines_1'!$Z$3,MATCH('Zip Code Lines_1'!C1475,'Zip Code Lines_1'!$Q$4:$Q$26,0),0)</f>
        <v>84.7</v>
      </c>
      <c r="G1475" s="342">
        <f ca="1">OFFSET('Zip Code Lines_1'!$AC$3,MATCH('Zip Code Lines_1'!C1475,'Zip Code Lines_1'!$Q$4:$Q$26,0),0)</f>
        <v>12</v>
      </c>
      <c r="H1475" s="342">
        <v>13468</v>
      </c>
    </row>
    <row r="1476" spans="2:8" x14ac:dyDescent="0.25">
      <c r="B1476" s="342">
        <v>13469</v>
      </c>
      <c r="C1476" s="343" t="s">
        <v>569</v>
      </c>
      <c r="D1476" s="343" t="str">
        <f ca="1">OFFSET('Zip Code Lines_1'!$U$3,MATCH('Zip Code Lines_1'!C1476,'Zip Code Lines_1'!$Q$4:$Q$26,0),0)</f>
        <v>Utica</v>
      </c>
      <c r="E1476" s="344">
        <f ca="1">OFFSET('Zip Code Lines_1'!$W$3,MATCH('Zip Code Lines_1'!C1476,'Zip Code Lines_1'!$Q$4:$Q$26,0),0)</f>
        <v>1.2</v>
      </c>
      <c r="F1476" s="344">
        <f ca="1">OFFSET('Zip Code Lines_1'!$Z$3,MATCH('Zip Code Lines_1'!C1476,'Zip Code Lines_1'!$Q$4:$Q$26,0),0)</f>
        <v>84.2</v>
      </c>
      <c r="G1476" s="342">
        <f ca="1">OFFSET('Zip Code Lines_1'!$AC$3,MATCH('Zip Code Lines_1'!C1476,'Zip Code Lines_1'!$Q$4:$Q$26,0),0)</f>
        <v>18</v>
      </c>
      <c r="H1476" s="342">
        <v>13469</v>
      </c>
    </row>
    <row r="1477" spans="2:8" x14ac:dyDescent="0.25">
      <c r="B1477" s="342">
        <v>13470</v>
      </c>
      <c r="C1477" s="343" t="s">
        <v>571</v>
      </c>
      <c r="D1477" s="343" t="str">
        <f ca="1">OFFSET('Zip Code Lines_1'!$U$3,MATCH('Zip Code Lines_1'!C1477,'Zip Code Lines_1'!$Q$4:$Q$26,0),0)</f>
        <v>Watertown</v>
      </c>
      <c r="E1477" s="344">
        <f ca="1">OFFSET('Zip Code Lines_1'!$W$3,MATCH('Zip Code Lines_1'!C1477,'Zip Code Lines_1'!$Q$4:$Q$26,0),0)</f>
        <v>-5</v>
      </c>
      <c r="F1477" s="344">
        <f ca="1">OFFSET('Zip Code Lines_1'!$Z$3,MATCH('Zip Code Lines_1'!C1477,'Zip Code Lines_1'!$Q$4:$Q$26,0),0)</f>
        <v>83.1</v>
      </c>
      <c r="G1477" s="342">
        <f ca="1">OFFSET('Zip Code Lines_1'!$AC$3,MATCH('Zip Code Lines_1'!C1477,'Zip Code Lines_1'!$Q$4:$Q$26,0),0)</f>
        <v>24</v>
      </c>
      <c r="H1477" s="342">
        <v>13470</v>
      </c>
    </row>
    <row r="1478" spans="2:8" x14ac:dyDescent="0.25">
      <c r="B1478" s="342">
        <v>13471</v>
      </c>
      <c r="C1478" s="343" t="s">
        <v>569</v>
      </c>
      <c r="D1478" s="343" t="str">
        <f ca="1">OFFSET('Zip Code Lines_1'!$U$3,MATCH('Zip Code Lines_1'!C1478,'Zip Code Lines_1'!$Q$4:$Q$26,0),0)</f>
        <v>Utica</v>
      </c>
      <c r="E1478" s="344">
        <f ca="1">OFFSET('Zip Code Lines_1'!$W$3,MATCH('Zip Code Lines_1'!C1478,'Zip Code Lines_1'!$Q$4:$Q$26,0),0)</f>
        <v>1.2</v>
      </c>
      <c r="F1478" s="344">
        <f ca="1">OFFSET('Zip Code Lines_1'!$Z$3,MATCH('Zip Code Lines_1'!C1478,'Zip Code Lines_1'!$Q$4:$Q$26,0),0)</f>
        <v>84.2</v>
      </c>
      <c r="G1478" s="342">
        <f ca="1">OFFSET('Zip Code Lines_1'!$AC$3,MATCH('Zip Code Lines_1'!C1478,'Zip Code Lines_1'!$Q$4:$Q$26,0),0)</f>
        <v>18</v>
      </c>
      <c r="H1478" s="342">
        <v>13471</v>
      </c>
    </row>
    <row r="1479" spans="2:8" x14ac:dyDescent="0.25">
      <c r="B1479" s="342">
        <v>13472</v>
      </c>
      <c r="C1479" s="343" t="s">
        <v>566</v>
      </c>
      <c r="D1479" s="343" t="str">
        <f ca="1">OFFSET('Zip Code Lines_1'!$U$3,MATCH('Zip Code Lines_1'!C1479,'Zip Code Lines_1'!$Q$4:$Q$26,0),0)</f>
        <v>Saranac Lake</v>
      </c>
      <c r="E1479" s="344">
        <f ca="1">OFFSET('Zip Code Lines_1'!$W$3,MATCH('Zip Code Lines_1'!C1479,'Zip Code Lines_1'!$Q$4:$Q$26,0),0)</f>
        <v>-11.5</v>
      </c>
      <c r="F1479" s="344">
        <f ca="1">OFFSET('Zip Code Lines_1'!$Z$3,MATCH('Zip Code Lines_1'!C1479,'Zip Code Lines_1'!$Q$4:$Q$26,0),0)</f>
        <v>81</v>
      </c>
      <c r="G1479" s="342">
        <f ca="1">OFFSET('Zip Code Lines_1'!$AC$3,MATCH('Zip Code Lines_1'!C1479,'Zip Code Lines_1'!$Q$4:$Q$26,0),0)</f>
        <v>24</v>
      </c>
      <c r="H1479" s="342">
        <v>13472</v>
      </c>
    </row>
    <row r="1480" spans="2:8" x14ac:dyDescent="0.25">
      <c r="B1480" s="342">
        <v>13473</v>
      </c>
      <c r="C1480" s="343" t="s">
        <v>571</v>
      </c>
      <c r="D1480" s="343" t="str">
        <f ca="1">OFFSET('Zip Code Lines_1'!$U$3,MATCH('Zip Code Lines_1'!C1480,'Zip Code Lines_1'!$Q$4:$Q$26,0),0)</f>
        <v>Watertown</v>
      </c>
      <c r="E1480" s="344">
        <f ca="1">OFFSET('Zip Code Lines_1'!$W$3,MATCH('Zip Code Lines_1'!C1480,'Zip Code Lines_1'!$Q$4:$Q$26,0),0)</f>
        <v>-5</v>
      </c>
      <c r="F1480" s="344">
        <f ca="1">OFFSET('Zip Code Lines_1'!$Z$3,MATCH('Zip Code Lines_1'!C1480,'Zip Code Lines_1'!$Q$4:$Q$26,0),0)</f>
        <v>83.1</v>
      </c>
      <c r="G1480" s="342">
        <f ca="1">OFFSET('Zip Code Lines_1'!$AC$3,MATCH('Zip Code Lines_1'!C1480,'Zip Code Lines_1'!$Q$4:$Q$26,0),0)</f>
        <v>24</v>
      </c>
      <c r="H1480" s="342">
        <v>13473</v>
      </c>
    </row>
    <row r="1481" spans="2:8" x14ac:dyDescent="0.25">
      <c r="B1481" s="342">
        <v>13475</v>
      </c>
      <c r="C1481" s="343" t="s">
        <v>543</v>
      </c>
      <c r="D1481" s="343" t="str">
        <f ca="1">OFFSET('Zip Code Lines_1'!$U$3,MATCH('Zip Code Lines_1'!C1481,'Zip Code Lines_1'!$Q$4:$Q$26,0),0)</f>
        <v xml:space="preserve">Glens Falls </v>
      </c>
      <c r="E1481" s="344">
        <f ca="1">OFFSET('Zip Code Lines_1'!$W$3,MATCH('Zip Code Lines_1'!C1481,'Zip Code Lines_1'!$Q$4:$Q$26,0),0)</f>
        <v>-1.8</v>
      </c>
      <c r="F1481" s="344">
        <f ca="1">OFFSET('Zip Code Lines_1'!$Z$3,MATCH('Zip Code Lines_1'!C1481,'Zip Code Lines_1'!$Q$4:$Q$26,0),0)</f>
        <v>84.7</v>
      </c>
      <c r="G1481" s="342">
        <f ca="1">OFFSET('Zip Code Lines_1'!$AC$3,MATCH('Zip Code Lines_1'!C1481,'Zip Code Lines_1'!$Q$4:$Q$26,0),0)</f>
        <v>12</v>
      </c>
      <c r="H1481" s="342">
        <v>13475</v>
      </c>
    </row>
    <row r="1482" spans="2:8" x14ac:dyDescent="0.25">
      <c r="B1482" s="342">
        <v>13476</v>
      </c>
      <c r="C1482" s="343" t="s">
        <v>569</v>
      </c>
      <c r="D1482" s="343" t="str">
        <f ca="1">OFFSET('Zip Code Lines_1'!$U$3,MATCH('Zip Code Lines_1'!C1482,'Zip Code Lines_1'!$Q$4:$Q$26,0),0)</f>
        <v>Utica</v>
      </c>
      <c r="E1482" s="344">
        <f ca="1">OFFSET('Zip Code Lines_1'!$W$3,MATCH('Zip Code Lines_1'!C1482,'Zip Code Lines_1'!$Q$4:$Q$26,0),0)</f>
        <v>1.2</v>
      </c>
      <c r="F1482" s="344">
        <f ca="1">OFFSET('Zip Code Lines_1'!$Z$3,MATCH('Zip Code Lines_1'!C1482,'Zip Code Lines_1'!$Q$4:$Q$26,0),0)</f>
        <v>84.2</v>
      </c>
      <c r="G1482" s="342">
        <f ca="1">OFFSET('Zip Code Lines_1'!$AC$3,MATCH('Zip Code Lines_1'!C1482,'Zip Code Lines_1'!$Q$4:$Q$26,0),0)</f>
        <v>18</v>
      </c>
      <c r="H1482" s="342">
        <v>13476</v>
      </c>
    </row>
    <row r="1483" spans="2:8" x14ac:dyDescent="0.25">
      <c r="B1483" s="342">
        <v>13477</v>
      </c>
      <c r="C1483" s="343" t="s">
        <v>569</v>
      </c>
      <c r="D1483" s="343" t="str">
        <f ca="1">OFFSET('Zip Code Lines_1'!$U$3,MATCH('Zip Code Lines_1'!C1483,'Zip Code Lines_1'!$Q$4:$Q$26,0),0)</f>
        <v>Utica</v>
      </c>
      <c r="E1483" s="344">
        <f ca="1">OFFSET('Zip Code Lines_1'!$W$3,MATCH('Zip Code Lines_1'!C1483,'Zip Code Lines_1'!$Q$4:$Q$26,0),0)</f>
        <v>1.2</v>
      </c>
      <c r="F1483" s="344">
        <f ca="1">OFFSET('Zip Code Lines_1'!$Z$3,MATCH('Zip Code Lines_1'!C1483,'Zip Code Lines_1'!$Q$4:$Q$26,0),0)</f>
        <v>84.2</v>
      </c>
      <c r="G1483" s="342">
        <f ca="1">OFFSET('Zip Code Lines_1'!$AC$3,MATCH('Zip Code Lines_1'!C1483,'Zip Code Lines_1'!$Q$4:$Q$26,0),0)</f>
        <v>18</v>
      </c>
      <c r="H1483" s="342">
        <v>13477</v>
      </c>
    </row>
    <row r="1484" spans="2:8" x14ac:dyDescent="0.25">
      <c r="B1484" s="342">
        <v>13478</v>
      </c>
      <c r="C1484" s="343" t="s">
        <v>569</v>
      </c>
      <c r="D1484" s="343" t="str">
        <f ca="1">OFFSET('Zip Code Lines_1'!$U$3,MATCH('Zip Code Lines_1'!C1484,'Zip Code Lines_1'!$Q$4:$Q$26,0),0)</f>
        <v>Utica</v>
      </c>
      <c r="E1484" s="344">
        <f ca="1">OFFSET('Zip Code Lines_1'!$W$3,MATCH('Zip Code Lines_1'!C1484,'Zip Code Lines_1'!$Q$4:$Q$26,0),0)</f>
        <v>1.2</v>
      </c>
      <c r="F1484" s="344">
        <f ca="1">OFFSET('Zip Code Lines_1'!$Z$3,MATCH('Zip Code Lines_1'!C1484,'Zip Code Lines_1'!$Q$4:$Q$26,0),0)</f>
        <v>84.2</v>
      </c>
      <c r="G1484" s="342">
        <f ca="1">OFFSET('Zip Code Lines_1'!$AC$3,MATCH('Zip Code Lines_1'!C1484,'Zip Code Lines_1'!$Q$4:$Q$26,0),0)</f>
        <v>18</v>
      </c>
      <c r="H1484" s="342">
        <v>13478</v>
      </c>
    </row>
    <row r="1485" spans="2:8" x14ac:dyDescent="0.25">
      <c r="B1485" s="342">
        <v>13479</v>
      </c>
      <c r="C1485" s="343" t="s">
        <v>569</v>
      </c>
      <c r="D1485" s="343" t="str">
        <f ca="1">OFFSET('Zip Code Lines_1'!$U$3,MATCH('Zip Code Lines_1'!C1485,'Zip Code Lines_1'!$Q$4:$Q$26,0),0)</f>
        <v>Utica</v>
      </c>
      <c r="E1485" s="344">
        <f ca="1">OFFSET('Zip Code Lines_1'!$W$3,MATCH('Zip Code Lines_1'!C1485,'Zip Code Lines_1'!$Q$4:$Q$26,0),0)</f>
        <v>1.2</v>
      </c>
      <c r="F1485" s="344">
        <f ca="1">OFFSET('Zip Code Lines_1'!$Z$3,MATCH('Zip Code Lines_1'!C1485,'Zip Code Lines_1'!$Q$4:$Q$26,0),0)</f>
        <v>84.2</v>
      </c>
      <c r="G1485" s="342">
        <f ca="1">OFFSET('Zip Code Lines_1'!$AC$3,MATCH('Zip Code Lines_1'!C1485,'Zip Code Lines_1'!$Q$4:$Q$26,0),0)</f>
        <v>18</v>
      </c>
      <c r="H1485" s="342">
        <v>13479</v>
      </c>
    </row>
    <row r="1486" spans="2:8" x14ac:dyDescent="0.25">
      <c r="B1486" s="342">
        <v>13480</v>
      </c>
      <c r="C1486" s="343" t="s">
        <v>569</v>
      </c>
      <c r="D1486" s="343" t="str">
        <f ca="1">OFFSET('Zip Code Lines_1'!$U$3,MATCH('Zip Code Lines_1'!C1486,'Zip Code Lines_1'!$Q$4:$Q$26,0),0)</f>
        <v>Utica</v>
      </c>
      <c r="E1486" s="344">
        <f ca="1">OFFSET('Zip Code Lines_1'!$W$3,MATCH('Zip Code Lines_1'!C1486,'Zip Code Lines_1'!$Q$4:$Q$26,0),0)</f>
        <v>1.2</v>
      </c>
      <c r="F1486" s="344">
        <f ca="1">OFFSET('Zip Code Lines_1'!$Z$3,MATCH('Zip Code Lines_1'!C1486,'Zip Code Lines_1'!$Q$4:$Q$26,0),0)</f>
        <v>84.2</v>
      </c>
      <c r="G1486" s="342">
        <f ca="1">OFFSET('Zip Code Lines_1'!$AC$3,MATCH('Zip Code Lines_1'!C1486,'Zip Code Lines_1'!$Q$4:$Q$26,0),0)</f>
        <v>18</v>
      </c>
      <c r="H1486" s="342">
        <v>13480</v>
      </c>
    </row>
    <row r="1487" spans="2:8" x14ac:dyDescent="0.25">
      <c r="B1487" s="342">
        <v>13482</v>
      </c>
      <c r="C1487" s="343" t="s">
        <v>569</v>
      </c>
      <c r="D1487" s="343" t="str">
        <f ca="1">OFFSET('Zip Code Lines_1'!$U$3,MATCH('Zip Code Lines_1'!C1487,'Zip Code Lines_1'!$Q$4:$Q$26,0),0)</f>
        <v>Utica</v>
      </c>
      <c r="E1487" s="344">
        <f ca="1">OFFSET('Zip Code Lines_1'!$W$3,MATCH('Zip Code Lines_1'!C1487,'Zip Code Lines_1'!$Q$4:$Q$26,0),0)</f>
        <v>1.2</v>
      </c>
      <c r="F1487" s="344">
        <f ca="1">OFFSET('Zip Code Lines_1'!$Z$3,MATCH('Zip Code Lines_1'!C1487,'Zip Code Lines_1'!$Q$4:$Q$26,0),0)</f>
        <v>84.2</v>
      </c>
      <c r="G1487" s="342">
        <f ca="1">OFFSET('Zip Code Lines_1'!$AC$3,MATCH('Zip Code Lines_1'!C1487,'Zip Code Lines_1'!$Q$4:$Q$26,0),0)</f>
        <v>18</v>
      </c>
      <c r="H1487" s="342">
        <v>13482</v>
      </c>
    </row>
    <row r="1488" spans="2:8" x14ac:dyDescent="0.25">
      <c r="B1488" s="342">
        <v>13483</v>
      </c>
      <c r="C1488" s="343" t="s">
        <v>569</v>
      </c>
      <c r="D1488" s="343" t="str">
        <f ca="1">OFFSET('Zip Code Lines_1'!$U$3,MATCH('Zip Code Lines_1'!C1488,'Zip Code Lines_1'!$Q$4:$Q$26,0),0)</f>
        <v>Utica</v>
      </c>
      <c r="E1488" s="344">
        <f ca="1">OFFSET('Zip Code Lines_1'!$W$3,MATCH('Zip Code Lines_1'!C1488,'Zip Code Lines_1'!$Q$4:$Q$26,0),0)</f>
        <v>1.2</v>
      </c>
      <c r="F1488" s="344">
        <f ca="1">OFFSET('Zip Code Lines_1'!$Z$3,MATCH('Zip Code Lines_1'!C1488,'Zip Code Lines_1'!$Q$4:$Q$26,0),0)</f>
        <v>84.2</v>
      </c>
      <c r="G1488" s="342">
        <f ca="1">OFFSET('Zip Code Lines_1'!$AC$3,MATCH('Zip Code Lines_1'!C1488,'Zip Code Lines_1'!$Q$4:$Q$26,0),0)</f>
        <v>18</v>
      </c>
      <c r="H1488" s="342">
        <v>13483</v>
      </c>
    </row>
    <row r="1489" spans="2:8" x14ac:dyDescent="0.25">
      <c r="B1489" s="342">
        <v>13484</v>
      </c>
      <c r="C1489" s="343" t="s">
        <v>569</v>
      </c>
      <c r="D1489" s="343" t="str">
        <f ca="1">OFFSET('Zip Code Lines_1'!$U$3,MATCH('Zip Code Lines_1'!C1489,'Zip Code Lines_1'!$Q$4:$Q$26,0),0)</f>
        <v>Utica</v>
      </c>
      <c r="E1489" s="344">
        <f ca="1">OFFSET('Zip Code Lines_1'!$W$3,MATCH('Zip Code Lines_1'!C1489,'Zip Code Lines_1'!$Q$4:$Q$26,0),0)</f>
        <v>1.2</v>
      </c>
      <c r="F1489" s="344">
        <f ca="1">OFFSET('Zip Code Lines_1'!$Z$3,MATCH('Zip Code Lines_1'!C1489,'Zip Code Lines_1'!$Q$4:$Q$26,0),0)</f>
        <v>84.2</v>
      </c>
      <c r="G1489" s="342">
        <f ca="1">OFFSET('Zip Code Lines_1'!$AC$3,MATCH('Zip Code Lines_1'!C1489,'Zip Code Lines_1'!$Q$4:$Q$26,0),0)</f>
        <v>18</v>
      </c>
      <c r="H1489" s="342">
        <v>13484</v>
      </c>
    </row>
    <row r="1490" spans="2:8" x14ac:dyDescent="0.25">
      <c r="B1490" s="342">
        <v>13485</v>
      </c>
      <c r="C1490" s="343" t="s">
        <v>569</v>
      </c>
      <c r="D1490" s="343" t="str">
        <f ca="1">OFFSET('Zip Code Lines_1'!$U$3,MATCH('Zip Code Lines_1'!C1490,'Zip Code Lines_1'!$Q$4:$Q$26,0),0)</f>
        <v>Utica</v>
      </c>
      <c r="E1490" s="344">
        <f ca="1">OFFSET('Zip Code Lines_1'!$W$3,MATCH('Zip Code Lines_1'!C1490,'Zip Code Lines_1'!$Q$4:$Q$26,0),0)</f>
        <v>1.2</v>
      </c>
      <c r="F1490" s="344">
        <f ca="1">OFFSET('Zip Code Lines_1'!$Z$3,MATCH('Zip Code Lines_1'!C1490,'Zip Code Lines_1'!$Q$4:$Q$26,0),0)</f>
        <v>84.2</v>
      </c>
      <c r="G1490" s="342">
        <f ca="1">OFFSET('Zip Code Lines_1'!$AC$3,MATCH('Zip Code Lines_1'!C1490,'Zip Code Lines_1'!$Q$4:$Q$26,0),0)</f>
        <v>18</v>
      </c>
      <c r="H1490" s="342">
        <v>13485</v>
      </c>
    </row>
    <row r="1491" spans="2:8" x14ac:dyDescent="0.25">
      <c r="B1491" s="342">
        <v>13486</v>
      </c>
      <c r="C1491" s="343" t="s">
        <v>569</v>
      </c>
      <c r="D1491" s="343" t="str">
        <f ca="1">OFFSET('Zip Code Lines_1'!$U$3,MATCH('Zip Code Lines_1'!C1491,'Zip Code Lines_1'!$Q$4:$Q$26,0),0)</f>
        <v>Utica</v>
      </c>
      <c r="E1491" s="344">
        <f ca="1">OFFSET('Zip Code Lines_1'!$W$3,MATCH('Zip Code Lines_1'!C1491,'Zip Code Lines_1'!$Q$4:$Q$26,0),0)</f>
        <v>1.2</v>
      </c>
      <c r="F1491" s="344">
        <f ca="1">OFFSET('Zip Code Lines_1'!$Z$3,MATCH('Zip Code Lines_1'!C1491,'Zip Code Lines_1'!$Q$4:$Q$26,0),0)</f>
        <v>84.2</v>
      </c>
      <c r="G1491" s="342">
        <f ca="1">OFFSET('Zip Code Lines_1'!$AC$3,MATCH('Zip Code Lines_1'!C1491,'Zip Code Lines_1'!$Q$4:$Q$26,0),0)</f>
        <v>18</v>
      </c>
      <c r="H1491" s="342">
        <v>13486</v>
      </c>
    </row>
    <row r="1492" spans="2:8" x14ac:dyDescent="0.25">
      <c r="B1492" s="342">
        <v>13488</v>
      </c>
      <c r="C1492" s="343" t="s">
        <v>543</v>
      </c>
      <c r="D1492" s="343" t="str">
        <f ca="1">OFFSET('Zip Code Lines_1'!$U$3,MATCH('Zip Code Lines_1'!C1492,'Zip Code Lines_1'!$Q$4:$Q$26,0),0)</f>
        <v xml:space="preserve">Glens Falls </v>
      </c>
      <c r="E1492" s="344">
        <f ca="1">OFFSET('Zip Code Lines_1'!$W$3,MATCH('Zip Code Lines_1'!C1492,'Zip Code Lines_1'!$Q$4:$Q$26,0),0)</f>
        <v>-1.8</v>
      </c>
      <c r="F1492" s="344">
        <f ca="1">OFFSET('Zip Code Lines_1'!$Z$3,MATCH('Zip Code Lines_1'!C1492,'Zip Code Lines_1'!$Q$4:$Q$26,0),0)</f>
        <v>84.7</v>
      </c>
      <c r="G1492" s="342">
        <f ca="1">OFFSET('Zip Code Lines_1'!$AC$3,MATCH('Zip Code Lines_1'!C1492,'Zip Code Lines_1'!$Q$4:$Q$26,0),0)</f>
        <v>12</v>
      </c>
      <c r="H1492" s="342">
        <v>13488</v>
      </c>
    </row>
    <row r="1493" spans="2:8" x14ac:dyDescent="0.25">
      <c r="B1493" s="342">
        <v>13489</v>
      </c>
      <c r="C1493" s="343" t="s">
        <v>571</v>
      </c>
      <c r="D1493" s="343" t="str">
        <f ca="1">OFFSET('Zip Code Lines_1'!$U$3,MATCH('Zip Code Lines_1'!C1493,'Zip Code Lines_1'!$Q$4:$Q$26,0),0)</f>
        <v>Watertown</v>
      </c>
      <c r="E1493" s="344">
        <f ca="1">OFFSET('Zip Code Lines_1'!$W$3,MATCH('Zip Code Lines_1'!C1493,'Zip Code Lines_1'!$Q$4:$Q$26,0),0)</f>
        <v>-5</v>
      </c>
      <c r="F1493" s="344">
        <f ca="1">OFFSET('Zip Code Lines_1'!$Z$3,MATCH('Zip Code Lines_1'!C1493,'Zip Code Lines_1'!$Q$4:$Q$26,0),0)</f>
        <v>83.1</v>
      </c>
      <c r="G1493" s="342">
        <f ca="1">OFFSET('Zip Code Lines_1'!$AC$3,MATCH('Zip Code Lines_1'!C1493,'Zip Code Lines_1'!$Q$4:$Q$26,0),0)</f>
        <v>24</v>
      </c>
      <c r="H1493" s="342">
        <v>13489</v>
      </c>
    </row>
    <row r="1494" spans="2:8" x14ac:dyDescent="0.25">
      <c r="B1494" s="342">
        <v>13490</v>
      </c>
      <c r="C1494" s="343" t="s">
        <v>569</v>
      </c>
      <c r="D1494" s="343" t="str">
        <f ca="1">OFFSET('Zip Code Lines_1'!$U$3,MATCH('Zip Code Lines_1'!C1494,'Zip Code Lines_1'!$Q$4:$Q$26,0),0)</f>
        <v>Utica</v>
      </c>
      <c r="E1494" s="344">
        <f ca="1">OFFSET('Zip Code Lines_1'!$W$3,MATCH('Zip Code Lines_1'!C1494,'Zip Code Lines_1'!$Q$4:$Q$26,0),0)</f>
        <v>1.2</v>
      </c>
      <c r="F1494" s="344">
        <f ca="1">OFFSET('Zip Code Lines_1'!$Z$3,MATCH('Zip Code Lines_1'!C1494,'Zip Code Lines_1'!$Q$4:$Q$26,0),0)</f>
        <v>84.2</v>
      </c>
      <c r="G1494" s="342">
        <f ca="1">OFFSET('Zip Code Lines_1'!$AC$3,MATCH('Zip Code Lines_1'!C1494,'Zip Code Lines_1'!$Q$4:$Q$26,0),0)</f>
        <v>18</v>
      </c>
      <c r="H1494" s="342">
        <v>13490</v>
      </c>
    </row>
    <row r="1495" spans="2:8" x14ac:dyDescent="0.25">
      <c r="B1495" s="342">
        <v>13491</v>
      </c>
      <c r="C1495" s="343" t="s">
        <v>569</v>
      </c>
      <c r="D1495" s="343" t="str">
        <f ca="1">OFFSET('Zip Code Lines_1'!$U$3,MATCH('Zip Code Lines_1'!C1495,'Zip Code Lines_1'!$Q$4:$Q$26,0),0)</f>
        <v>Utica</v>
      </c>
      <c r="E1495" s="344">
        <f ca="1">OFFSET('Zip Code Lines_1'!$W$3,MATCH('Zip Code Lines_1'!C1495,'Zip Code Lines_1'!$Q$4:$Q$26,0),0)</f>
        <v>1.2</v>
      </c>
      <c r="F1495" s="344">
        <f ca="1">OFFSET('Zip Code Lines_1'!$Z$3,MATCH('Zip Code Lines_1'!C1495,'Zip Code Lines_1'!$Q$4:$Q$26,0),0)</f>
        <v>84.2</v>
      </c>
      <c r="G1495" s="342">
        <f ca="1">OFFSET('Zip Code Lines_1'!$AC$3,MATCH('Zip Code Lines_1'!C1495,'Zip Code Lines_1'!$Q$4:$Q$26,0),0)</f>
        <v>18</v>
      </c>
      <c r="H1495" s="342">
        <v>13491</v>
      </c>
    </row>
    <row r="1496" spans="2:8" x14ac:dyDescent="0.25">
      <c r="B1496" s="342">
        <v>13492</v>
      </c>
      <c r="C1496" s="343" t="s">
        <v>569</v>
      </c>
      <c r="D1496" s="343" t="str">
        <f ca="1">OFFSET('Zip Code Lines_1'!$U$3,MATCH('Zip Code Lines_1'!C1496,'Zip Code Lines_1'!$Q$4:$Q$26,0),0)</f>
        <v>Utica</v>
      </c>
      <c r="E1496" s="344">
        <f ca="1">OFFSET('Zip Code Lines_1'!$W$3,MATCH('Zip Code Lines_1'!C1496,'Zip Code Lines_1'!$Q$4:$Q$26,0),0)</f>
        <v>1.2</v>
      </c>
      <c r="F1496" s="344">
        <f ca="1">OFFSET('Zip Code Lines_1'!$Z$3,MATCH('Zip Code Lines_1'!C1496,'Zip Code Lines_1'!$Q$4:$Q$26,0),0)</f>
        <v>84.2</v>
      </c>
      <c r="G1496" s="342">
        <f ca="1">OFFSET('Zip Code Lines_1'!$AC$3,MATCH('Zip Code Lines_1'!C1496,'Zip Code Lines_1'!$Q$4:$Q$26,0),0)</f>
        <v>18</v>
      </c>
      <c r="H1496" s="342">
        <v>13492</v>
      </c>
    </row>
    <row r="1497" spans="2:8" x14ac:dyDescent="0.25">
      <c r="B1497" s="342">
        <v>13493</v>
      </c>
      <c r="C1497" s="343" t="s">
        <v>569</v>
      </c>
      <c r="D1497" s="343" t="str">
        <f ca="1">OFFSET('Zip Code Lines_1'!$U$3,MATCH('Zip Code Lines_1'!C1497,'Zip Code Lines_1'!$Q$4:$Q$26,0),0)</f>
        <v>Utica</v>
      </c>
      <c r="E1497" s="344">
        <f ca="1">OFFSET('Zip Code Lines_1'!$W$3,MATCH('Zip Code Lines_1'!C1497,'Zip Code Lines_1'!$Q$4:$Q$26,0),0)</f>
        <v>1.2</v>
      </c>
      <c r="F1497" s="344">
        <f ca="1">OFFSET('Zip Code Lines_1'!$Z$3,MATCH('Zip Code Lines_1'!C1497,'Zip Code Lines_1'!$Q$4:$Q$26,0),0)</f>
        <v>84.2</v>
      </c>
      <c r="G1497" s="342">
        <f ca="1">OFFSET('Zip Code Lines_1'!$AC$3,MATCH('Zip Code Lines_1'!C1497,'Zip Code Lines_1'!$Q$4:$Q$26,0),0)</f>
        <v>18</v>
      </c>
      <c r="H1497" s="342">
        <v>13493</v>
      </c>
    </row>
    <row r="1498" spans="2:8" x14ac:dyDescent="0.25">
      <c r="B1498" s="342">
        <v>13494</v>
      </c>
      <c r="C1498" s="343" t="s">
        <v>571</v>
      </c>
      <c r="D1498" s="343" t="str">
        <f ca="1">OFFSET('Zip Code Lines_1'!$U$3,MATCH('Zip Code Lines_1'!C1498,'Zip Code Lines_1'!$Q$4:$Q$26,0),0)</f>
        <v>Watertown</v>
      </c>
      <c r="E1498" s="344">
        <f ca="1">OFFSET('Zip Code Lines_1'!$W$3,MATCH('Zip Code Lines_1'!C1498,'Zip Code Lines_1'!$Q$4:$Q$26,0),0)</f>
        <v>-5</v>
      </c>
      <c r="F1498" s="344">
        <f ca="1">OFFSET('Zip Code Lines_1'!$Z$3,MATCH('Zip Code Lines_1'!C1498,'Zip Code Lines_1'!$Q$4:$Q$26,0),0)</f>
        <v>83.1</v>
      </c>
      <c r="G1498" s="342">
        <f ca="1">OFFSET('Zip Code Lines_1'!$AC$3,MATCH('Zip Code Lines_1'!C1498,'Zip Code Lines_1'!$Q$4:$Q$26,0),0)</f>
        <v>24</v>
      </c>
      <c r="H1498" s="342">
        <v>13494</v>
      </c>
    </row>
    <row r="1499" spans="2:8" x14ac:dyDescent="0.25">
      <c r="B1499" s="342">
        <v>13495</v>
      </c>
      <c r="C1499" s="343" t="s">
        <v>569</v>
      </c>
      <c r="D1499" s="343" t="str">
        <f ca="1">OFFSET('Zip Code Lines_1'!$U$3,MATCH('Zip Code Lines_1'!C1499,'Zip Code Lines_1'!$Q$4:$Q$26,0),0)</f>
        <v>Utica</v>
      </c>
      <c r="E1499" s="344">
        <f ca="1">OFFSET('Zip Code Lines_1'!$W$3,MATCH('Zip Code Lines_1'!C1499,'Zip Code Lines_1'!$Q$4:$Q$26,0),0)</f>
        <v>1.2</v>
      </c>
      <c r="F1499" s="344">
        <f ca="1">OFFSET('Zip Code Lines_1'!$Z$3,MATCH('Zip Code Lines_1'!C1499,'Zip Code Lines_1'!$Q$4:$Q$26,0),0)</f>
        <v>84.2</v>
      </c>
      <c r="G1499" s="342">
        <f ca="1">OFFSET('Zip Code Lines_1'!$AC$3,MATCH('Zip Code Lines_1'!C1499,'Zip Code Lines_1'!$Q$4:$Q$26,0),0)</f>
        <v>18</v>
      </c>
      <c r="H1499" s="342">
        <v>13495</v>
      </c>
    </row>
    <row r="1500" spans="2:8" x14ac:dyDescent="0.25">
      <c r="B1500" s="342">
        <v>13501</v>
      </c>
      <c r="C1500" s="343" t="s">
        <v>569</v>
      </c>
      <c r="D1500" s="343" t="str">
        <f ca="1">OFFSET('Zip Code Lines_1'!$U$3,MATCH('Zip Code Lines_1'!C1500,'Zip Code Lines_1'!$Q$4:$Q$26,0),0)</f>
        <v>Utica</v>
      </c>
      <c r="E1500" s="344">
        <f ca="1">OFFSET('Zip Code Lines_1'!$W$3,MATCH('Zip Code Lines_1'!C1500,'Zip Code Lines_1'!$Q$4:$Q$26,0),0)</f>
        <v>1.2</v>
      </c>
      <c r="F1500" s="344">
        <f ca="1">OFFSET('Zip Code Lines_1'!$Z$3,MATCH('Zip Code Lines_1'!C1500,'Zip Code Lines_1'!$Q$4:$Q$26,0),0)</f>
        <v>84.2</v>
      </c>
      <c r="G1500" s="342">
        <f ca="1">OFFSET('Zip Code Lines_1'!$AC$3,MATCH('Zip Code Lines_1'!C1500,'Zip Code Lines_1'!$Q$4:$Q$26,0),0)</f>
        <v>18</v>
      </c>
      <c r="H1500" s="342">
        <v>13501</v>
      </c>
    </row>
    <row r="1501" spans="2:8" x14ac:dyDescent="0.25">
      <c r="B1501" s="342">
        <v>13502</v>
      </c>
      <c r="C1501" s="343" t="s">
        <v>569</v>
      </c>
      <c r="D1501" s="343" t="str">
        <f ca="1">OFFSET('Zip Code Lines_1'!$U$3,MATCH('Zip Code Lines_1'!C1501,'Zip Code Lines_1'!$Q$4:$Q$26,0),0)</f>
        <v>Utica</v>
      </c>
      <c r="E1501" s="344">
        <f ca="1">OFFSET('Zip Code Lines_1'!$W$3,MATCH('Zip Code Lines_1'!C1501,'Zip Code Lines_1'!$Q$4:$Q$26,0),0)</f>
        <v>1.2</v>
      </c>
      <c r="F1501" s="344">
        <f ca="1">OFFSET('Zip Code Lines_1'!$Z$3,MATCH('Zip Code Lines_1'!C1501,'Zip Code Lines_1'!$Q$4:$Q$26,0),0)</f>
        <v>84.2</v>
      </c>
      <c r="G1501" s="342">
        <f ca="1">OFFSET('Zip Code Lines_1'!$AC$3,MATCH('Zip Code Lines_1'!C1501,'Zip Code Lines_1'!$Q$4:$Q$26,0),0)</f>
        <v>18</v>
      </c>
      <c r="H1501" s="342">
        <v>13502</v>
      </c>
    </row>
    <row r="1502" spans="2:8" x14ac:dyDescent="0.25">
      <c r="B1502" s="342">
        <v>13503</v>
      </c>
      <c r="C1502" s="343" t="s">
        <v>569</v>
      </c>
      <c r="D1502" s="343" t="str">
        <f ca="1">OFFSET('Zip Code Lines_1'!$U$3,MATCH('Zip Code Lines_1'!C1502,'Zip Code Lines_1'!$Q$4:$Q$26,0),0)</f>
        <v>Utica</v>
      </c>
      <c r="E1502" s="344">
        <f ca="1">OFFSET('Zip Code Lines_1'!$W$3,MATCH('Zip Code Lines_1'!C1502,'Zip Code Lines_1'!$Q$4:$Q$26,0),0)</f>
        <v>1.2</v>
      </c>
      <c r="F1502" s="344">
        <f ca="1">OFFSET('Zip Code Lines_1'!$Z$3,MATCH('Zip Code Lines_1'!C1502,'Zip Code Lines_1'!$Q$4:$Q$26,0),0)</f>
        <v>84.2</v>
      </c>
      <c r="G1502" s="342">
        <f ca="1">OFFSET('Zip Code Lines_1'!$AC$3,MATCH('Zip Code Lines_1'!C1502,'Zip Code Lines_1'!$Q$4:$Q$26,0),0)</f>
        <v>18</v>
      </c>
      <c r="H1502" s="342">
        <v>13503</v>
      </c>
    </row>
    <row r="1503" spans="2:8" x14ac:dyDescent="0.25">
      <c r="B1503" s="342">
        <v>13504</v>
      </c>
      <c r="C1503" s="343" t="s">
        <v>569</v>
      </c>
      <c r="D1503" s="343" t="str">
        <f ca="1">OFFSET('Zip Code Lines_1'!$U$3,MATCH('Zip Code Lines_1'!C1503,'Zip Code Lines_1'!$Q$4:$Q$26,0),0)</f>
        <v>Utica</v>
      </c>
      <c r="E1503" s="344">
        <f ca="1">OFFSET('Zip Code Lines_1'!$W$3,MATCH('Zip Code Lines_1'!C1503,'Zip Code Lines_1'!$Q$4:$Q$26,0),0)</f>
        <v>1.2</v>
      </c>
      <c r="F1503" s="344">
        <f ca="1">OFFSET('Zip Code Lines_1'!$Z$3,MATCH('Zip Code Lines_1'!C1503,'Zip Code Lines_1'!$Q$4:$Q$26,0),0)</f>
        <v>84.2</v>
      </c>
      <c r="G1503" s="342">
        <f ca="1">OFFSET('Zip Code Lines_1'!$AC$3,MATCH('Zip Code Lines_1'!C1503,'Zip Code Lines_1'!$Q$4:$Q$26,0),0)</f>
        <v>18</v>
      </c>
      <c r="H1503" s="342">
        <v>13504</v>
      </c>
    </row>
    <row r="1504" spans="2:8" x14ac:dyDescent="0.25">
      <c r="B1504" s="342">
        <v>13505</v>
      </c>
      <c r="C1504" s="343" t="s">
        <v>569</v>
      </c>
      <c r="D1504" s="343" t="str">
        <f ca="1">OFFSET('Zip Code Lines_1'!$U$3,MATCH('Zip Code Lines_1'!C1504,'Zip Code Lines_1'!$Q$4:$Q$26,0),0)</f>
        <v>Utica</v>
      </c>
      <c r="E1504" s="344">
        <f ca="1">OFFSET('Zip Code Lines_1'!$W$3,MATCH('Zip Code Lines_1'!C1504,'Zip Code Lines_1'!$Q$4:$Q$26,0),0)</f>
        <v>1.2</v>
      </c>
      <c r="F1504" s="344">
        <f ca="1">OFFSET('Zip Code Lines_1'!$Z$3,MATCH('Zip Code Lines_1'!C1504,'Zip Code Lines_1'!$Q$4:$Q$26,0),0)</f>
        <v>84.2</v>
      </c>
      <c r="G1504" s="342">
        <f ca="1">OFFSET('Zip Code Lines_1'!$AC$3,MATCH('Zip Code Lines_1'!C1504,'Zip Code Lines_1'!$Q$4:$Q$26,0),0)</f>
        <v>18</v>
      </c>
      <c r="H1504" s="342">
        <v>13505</v>
      </c>
    </row>
    <row r="1505" spans="2:8" x14ac:dyDescent="0.25">
      <c r="B1505" s="342">
        <v>13599</v>
      </c>
      <c r="C1505" s="343" t="s">
        <v>569</v>
      </c>
      <c r="D1505" s="343" t="str">
        <f ca="1">OFFSET('Zip Code Lines_1'!$U$3,MATCH('Zip Code Lines_1'!C1505,'Zip Code Lines_1'!$Q$4:$Q$26,0),0)</f>
        <v>Utica</v>
      </c>
      <c r="E1505" s="344">
        <f ca="1">OFFSET('Zip Code Lines_1'!$W$3,MATCH('Zip Code Lines_1'!C1505,'Zip Code Lines_1'!$Q$4:$Q$26,0),0)</f>
        <v>1.2</v>
      </c>
      <c r="F1505" s="344">
        <f ca="1">OFFSET('Zip Code Lines_1'!$Z$3,MATCH('Zip Code Lines_1'!C1505,'Zip Code Lines_1'!$Q$4:$Q$26,0),0)</f>
        <v>84.2</v>
      </c>
      <c r="G1505" s="342">
        <f ca="1">OFFSET('Zip Code Lines_1'!$AC$3,MATCH('Zip Code Lines_1'!C1505,'Zip Code Lines_1'!$Q$4:$Q$26,0),0)</f>
        <v>18</v>
      </c>
      <c r="H1505" s="342">
        <v>13599</v>
      </c>
    </row>
    <row r="1506" spans="2:8" x14ac:dyDescent="0.25">
      <c r="B1506" s="342">
        <v>13601</v>
      </c>
      <c r="C1506" s="343" t="s">
        <v>571</v>
      </c>
      <c r="D1506" s="343" t="str">
        <f ca="1">OFFSET('Zip Code Lines_1'!$U$3,MATCH('Zip Code Lines_1'!C1506,'Zip Code Lines_1'!$Q$4:$Q$26,0),0)</f>
        <v>Watertown</v>
      </c>
      <c r="E1506" s="344">
        <f ca="1">OFFSET('Zip Code Lines_1'!$W$3,MATCH('Zip Code Lines_1'!C1506,'Zip Code Lines_1'!$Q$4:$Q$26,0),0)</f>
        <v>-5</v>
      </c>
      <c r="F1506" s="344">
        <f ca="1">OFFSET('Zip Code Lines_1'!$Z$3,MATCH('Zip Code Lines_1'!C1506,'Zip Code Lines_1'!$Q$4:$Q$26,0),0)</f>
        <v>83.1</v>
      </c>
      <c r="G1506" s="342">
        <f ca="1">OFFSET('Zip Code Lines_1'!$AC$3,MATCH('Zip Code Lines_1'!C1506,'Zip Code Lines_1'!$Q$4:$Q$26,0),0)</f>
        <v>24</v>
      </c>
      <c r="H1506" s="342">
        <v>13601</v>
      </c>
    </row>
    <row r="1507" spans="2:8" x14ac:dyDescent="0.25">
      <c r="B1507" s="342">
        <v>13602</v>
      </c>
      <c r="C1507" s="343" t="s">
        <v>541</v>
      </c>
      <c r="D1507" s="343" t="str">
        <f ca="1">OFFSET('Zip Code Lines_1'!$U$3,MATCH('Zip Code Lines_1'!C1507,'Zip Code Lines_1'!$Q$4:$Q$26,0),0)</f>
        <v>Fort Drum</v>
      </c>
      <c r="E1507" s="344">
        <f ca="1">OFFSET('Zip Code Lines_1'!$W$3,MATCH('Zip Code Lines_1'!C1507,'Zip Code Lines_1'!$Q$4:$Q$26,0),0)</f>
        <v>-4.4000000000000004</v>
      </c>
      <c r="F1507" s="344">
        <f ca="1">OFFSET('Zip Code Lines_1'!$Z$3,MATCH('Zip Code Lines_1'!C1507,'Zip Code Lines_1'!$Q$4:$Q$26,0),0)</f>
        <v>83.6</v>
      </c>
      <c r="G1507" s="342">
        <f ca="1">OFFSET('Zip Code Lines_1'!$AC$3,MATCH('Zip Code Lines_1'!C1507,'Zip Code Lines_1'!$Q$4:$Q$26,0),0)</f>
        <v>18</v>
      </c>
      <c r="H1507" s="342">
        <v>13602</v>
      </c>
    </row>
    <row r="1508" spans="2:8" x14ac:dyDescent="0.25">
      <c r="B1508" s="342">
        <v>13603</v>
      </c>
      <c r="C1508" s="343" t="s">
        <v>541</v>
      </c>
      <c r="D1508" s="343" t="str">
        <f ca="1">OFFSET('Zip Code Lines_1'!$U$3,MATCH('Zip Code Lines_1'!C1508,'Zip Code Lines_1'!$Q$4:$Q$26,0),0)</f>
        <v>Fort Drum</v>
      </c>
      <c r="E1508" s="344">
        <f ca="1">OFFSET('Zip Code Lines_1'!$W$3,MATCH('Zip Code Lines_1'!C1508,'Zip Code Lines_1'!$Q$4:$Q$26,0),0)</f>
        <v>-4.4000000000000004</v>
      </c>
      <c r="F1508" s="344">
        <f ca="1">OFFSET('Zip Code Lines_1'!$Z$3,MATCH('Zip Code Lines_1'!C1508,'Zip Code Lines_1'!$Q$4:$Q$26,0),0)</f>
        <v>83.6</v>
      </c>
      <c r="G1508" s="342">
        <f ca="1">OFFSET('Zip Code Lines_1'!$AC$3,MATCH('Zip Code Lines_1'!C1508,'Zip Code Lines_1'!$Q$4:$Q$26,0),0)</f>
        <v>18</v>
      </c>
      <c r="H1508" s="342">
        <v>13603</v>
      </c>
    </row>
    <row r="1509" spans="2:8" x14ac:dyDescent="0.25">
      <c r="B1509" s="342">
        <v>13605</v>
      </c>
      <c r="C1509" s="343" t="s">
        <v>541</v>
      </c>
      <c r="D1509" s="343" t="str">
        <f ca="1">OFFSET('Zip Code Lines_1'!$U$3,MATCH('Zip Code Lines_1'!C1509,'Zip Code Lines_1'!$Q$4:$Q$26,0),0)</f>
        <v>Fort Drum</v>
      </c>
      <c r="E1509" s="344">
        <f ca="1">OFFSET('Zip Code Lines_1'!$W$3,MATCH('Zip Code Lines_1'!C1509,'Zip Code Lines_1'!$Q$4:$Q$26,0),0)</f>
        <v>-4.4000000000000004</v>
      </c>
      <c r="F1509" s="344">
        <f ca="1">OFFSET('Zip Code Lines_1'!$Z$3,MATCH('Zip Code Lines_1'!C1509,'Zip Code Lines_1'!$Q$4:$Q$26,0),0)</f>
        <v>83.6</v>
      </c>
      <c r="G1509" s="342">
        <f ca="1">OFFSET('Zip Code Lines_1'!$AC$3,MATCH('Zip Code Lines_1'!C1509,'Zip Code Lines_1'!$Q$4:$Q$26,0),0)</f>
        <v>18</v>
      </c>
      <c r="H1509" s="342">
        <v>13605</v>
      </c>
    </row>
    <row r="1510" spans="2:8" x14ac:dyDescent="0.25">
      <c r="B1510" s="342">
        <v>13606</v>
      </c>
      <c r="C1510" s="343" t="s">
        <v>541</v>
      </c>
      <c r="D1510" s="343" t="str">
        <f ca="1">OFFSET('Zip Code Lines_1'!$U$3,MATCH('Zip Code Lines_1'!C1510,'Zip Code Lines_1'!$Q$4:$Q$26,0),0)</f>
        <v>Fort Drum</v>
      </c>
      <c r="E1510" s="344">
        <f ca="1">OFFSET('Zip Code Lines_1'!$W$3,MATCH('Zip Code Lines_1'!C1510,'Zip Code Lines_1'!$Q$4:$Q$26,0),0)</f>
        <v>-4.4000000000000004</v>
      </c>
      <c r="F1510" s="344">
        <f ca="1">OFFSET('Zip Code Lines_1'!$Z$3,MATCH('Zip Code Lines_1'!C1510,'Zip Code Lines_1'!$Q$4:$Q$26,0),0)</f>
        <v>83.6</v>
      </c>
      <c r="G1510" s="342">
        <f ca="1">OFFSET('Zip Code Lines_1'!$AC$3,MATCH('Zip Code Lines_1'!C1510,'Zip Code Lines_1'!$Q$4:$Q$26,0),0)</f>
        <v>18</v>
      </c>
      <c r="H1510" s="342">
        <v>13606</v>
      </c>
    </row>
    <row r="1511" spans="2:8" x14ac:dyDescent="0.25">
      <c r="B1511" s="342">
        <v>13607</v>
      </c>
      <c r="C1511" s="343" t="s">
        <v>541</v>
      </c>
      <c r="D1511" s="343" t="str">
        <f ca="1">OFFSET('Zip Code Lines_1'!$U$3,MATCH('Zip Code Lines_1'!C1511,'Zip Code Lines_1'!$Q$4:$Q$26,0),0)</f>
        <v>Fort Drum</v>
      </c>
      <c r="E1511" s="344">
        <f ca="1">OFFSET('Zip Code Lines_1'!$W$3,MATCH('Zip Code Lines_1'!C1511,'Zip Code Lines_1'!$Q$4:$Q$26,0),0)</f>
        <v>-4.4000000000000004</v>
      </c>
      <c r="F1511" s="344">
        <f ca="1">OFFSET('Zip Code Lines_1'!$Z$3,MATCH('Zip Code Lines_1'!C1511,'Zip Code Lines_1'!$Q$4:$Q$26,0),0)</f>
        <v>83.6</v>
      </c>
      <c r="G1511" s="342">
        <f ca="1">OFFSET('Zip Code Lines_1'!$AC$3,MATCH('Zip Code Lines_1'!C1511,'Zip Code Lines_1'!$Q$4:$Q$26,0),0)</f>
        <v>18</v>
      </c>
      <c r="H1511" s="342">
        <v>13607</v>
      </c>
    </row>
    <row r="1512" spans="2:8" x14ac:dyDescent="0.25">
      <c r="B1512" s="342">
        <v>13608</v>
      </c>
      <c r="C1512" s="343" t="s">
        <v>541</v>
      </c>
      <c r="D1512" s="343" t="str">
        <f ca="1">OFFSET('Zip Code Lines_1'!$U$3,MATCH('Zip Code Lines_1'!C1512,'Zip Code Lines_1'!$Q$4:$Q$26,0),0)</f>
        <v>Fort Drum</v>
      </c>
      <c r="E1512" s="344">
        <f ca="1">OFFSET('Zip Code Lines_1'!$W$3,MATCH('Zip Code Lines_1'!C1512,'Zip Code Lines_1'!$Q$4:$Q$26,0),0)</f>
        <v>-4.4000000000000004</v>
      </c>
      <c r="F1512" s="344">
        <f ca="1">OFFSET('Zip Code Lines_1'!$Z$3,MATCH('Zip Code Lines_1'!C1512,'Zip Code Lines_1'!$Q$4:$Q$26,0),0)</f>
        <v>83.6</v>
      </c>
      <c r="G1512" s="342">
        <f ca="1">OFFSET('Zip Code Lines_1'!$AC$3,MATCH('Zip Code Lines_1'!C1512,'Zip Code Lines_1'!$Q$4:$Q$26,0),0)</f>
        <v>18</v>
      </c>
      <c r="H1512" s="342">
        <v>13608</v>
      </c>
    </row>
    <row r="1513" spans="2:8" x14ac:dyDescent="0.25">
      <c r="B1513" s="342">
        <v>13611</v>
      </c>
      <c r="C1513" s="343" t="s">
        <v>541</v>
      </c>
      <c r="D1513" s="343" t="str">
        <f ca="1">OFFSET('Zip Code Lines_1'!$U$3,MATCH('Zip Code Lines_1'!C1513,'Zip Code Lines_1'!$Q$4:$Q$26,0),0)</f>
        <v>Fort Drum</v>
      </c>
      <c r="E1513" s="344">
        <f ca="1">OFFSET('Zip Code Lines_1'!$W$3,MATCH('Zip Code Lines_1'!C1513,'Zip Code Lines_1'!$Q$4:$Q$26,0),0)</f>
        <v>-4.4000000000000004</v>
      </c>
      <c r="F1513" s="344">
        <f ca="1">OFFSET('Zip Code Lines_1'!$Z$3,MATCH('Zip Code Lines_1'!C1513,'Zip Code Lines_1'!$Q$4:$Q$26,0),0)</f>
        <v>83.6</v>
      </c>
      <c r="G1513" s="342">
        <f ca="1">OFFSET('Zip Code Lines_1'!$AC$3,MATCH('Zip Code Lines_1'!C1513,'Zip Code Lines_1'!$Q$4:$Q$26,0),0)</f>
        <v>18</v>
      </c>
      <c r="H1513" s="342">
        <v>13611</v>
      </c>
    </row>
    <row r="1514" spans="2:8" x14ac:dyDescent="0.25">
      <c r="B1514" s="342">
        <v>13612</v>
      </c>
      <c r="C1514" s="343" t="s">
        <v>541</v>
      </c>
      <c r="D1514" s="343" t="str">
        <f ca="1">OFFSET('Zip Code Lines_1'!$U$3,MATCH('Zip Code Lines_1'!C1514,'Zip Code Lines_1'!$Q$4:$Q$26,0),0)</f>
        <v>Fort Drum</v>
      </c>
      <c r="E1514" s="344">
        <f ca="1">OFFSET('Zip Code Lines_1'!$W$3,MATCH('Zip Code Lines_1'!C1514,'Zip Code Lines_1'!$Q$4:$Q$26,0),0)</f>
        <v>-4.4000000000000004</v>
      </c>
      <c r="F1514" s="344">
        <f ca="1">OFFSET('Zip Code Lines_1'!$Z$3,MATCH('Zip Code Lines_1'!C1514,'Zip Code Lines_1'!$Q$4:$Q$26,0),0)</f>
        <v>83.6</v>
      </c>
      <c r="G1514" s="342">
        <f ca="1">OFFSET('Zip Code Lines_1'!$AC$3,MATCH('Zip Code Lines_1'!C1514,'Zip Code Lines_1'!$Q$4:$Q$26,0),0)</f>
        <v>18</v>
      </c>
      <c r="H1514" s="342">
        <v>13612</v>
      </c>
    </row>
    <row r="1515" spans="2:8" x14ac:dyDescent="0.25">
      <c r="B1515" s="342">
        <v>13613</v>
      </c>
      <c r="C1515" s="343" t="s">
        <v>548</v>
      </c>
      <c r="D1515" s="343" t="str">
        <f ca="1">OFFSET('Zip Code Lines_1'!$U$3,MATCH('Zip Code Lines_1'!C1515,'Zip Code Lines_1'!$Q$4:$Q$26,0),0)</f>
        <v>Massena</v>
      </c>
      <c r="E1515" s="344">
        <f ca="1">OFFSET('Zip Code Lines_1'!$W$3,MATCH('Zip Code Lines_1'!C1515,'Zip Code Lines_1'!$Q$4:$Q$26,0),0)</f>
        <v>-7.8</v>
      </c>
      <c r="F1515" s="344">
        <f ca="1">OFFSET('Zip Code Lines_1'!$Z$3,MATCH('Zip Code Lines_1'!C1515,'Zip Code Lines_1'!$Q$4:$Q$26,0),0)</f>
        <v>84.4</v>
      </c>
      <c r="G1515" s="342">
        <f ca="1">OFFSET('Zip Code Lines_1'!$AC$3,MATCH('Zip Code Lines_1'!C1515,'Zip Code Lines_1'!$Q$4:$Q$26,0),0)</f>
        <v>12</v>
      </c>
      <c r="H1515" s="342">
        <v>13613</v>
      </c>
    </row>
    <row r="1516" spans="2:8" x14ac:dyDescent="0.25">
      <c r="B1516" s="342">
        <v>13614</v>
      </c>
      <c r="C1516" s="343" t="s">
        <v>541</v>
      </c>
      <c r="D1516" s="343" t="str">
        <f ca="1">OFFSET('Zip Code Lines_1'!$U$3,MATCH('Zip Code Lines_1'!C1516,'Zip Code Lines_1'!$Q$4:$Q$26,0),0)</f>
        <v>Fort Drum</v>
      </c>
      <c r="E1516" s="344">
        <f ca="1">OFFSET('Zip Code Lines_1'!$W$3,MATCH('Zip Code Lines_1'!C1516,'Zip Code Lines_1'!$Q$4:$Q$26,0),0)</f>
        <v>-4.4000000000000004</v>
      </c>
      <c r="F1516" s="344">
        <f ca="1">OFFSET('Zip Code Lines_1'!$Z$3,MATCH('Zip Code Lines_1'!C1516,'Zip Code Lines_1'!$Q$4:$Q$26,0),0)</f>
        <v>83.6</v>
      </c>
      <c r="G1516" s="342">
        <f ca="1">OFFSET('Zip Code Lines_1'!$AC$3,MATCH('Zip Code Lines_1'!C1516,'Zip Code Lines_1'!$Q$4:$Q$26,0),0)</f>
        <v>18</v>
      </c>
      <c r="H1516" s="342">
        <v>13614</v>
      </c>
    </row>
    <row r="1517" spans="2:8" x14ac:dyDescent="0.25">
      <c r="B1517" s="342">
        <v>13615</v>
      </c>
      <c r="C1517" s="343" t="s">
        <v>571</v>
      </c>
      <c r="D1517" s="343" t="str">
        <f ca="1">OFFSET('Zip Code Lines_1'!$U$3,MATCH('Zip Code Lines_1'!C1517,'Zip Code Lines_1'!$Q$4:$Q$26,0),0)</f>
        <v>Watertown</v>
      </c>
      <c r="E1517" s="344">
        <f ca="1">OFFSET('Zip Code Lines_1'!$W$3,MATCH('Zip Code Lines_1'!C1517,'Zip Code Lines_1'!$Q$4:$Q$26,0),0)</f>
        <v>-5</v>
      </c>
      <c r="F1517" s="344">
        <f ca="1">OFFSET('Zip Code Lines_1'!$Z$3,MATCH('Zip Code Lines_1'!C1517,'Zip Code Lines_1'!$Q$4:$Q$26,0),0)</f>
        <v>83.1</v>
      </c>
      <c r="G1517" s="342">
        <f ca="1">OFFSET('Zip Code Lines_1'!$AC$3,MATCH('Zip Code Lines_1'!C1517,'Zip Code Lines_1'!$Q$4:$Q$26,0),0)</f>
        <v>24</v>
      </c>
      <c r="H1517" s="342">
        <v>13615</v>
      </c>
    </row>
    <row r="1518" spans="2:8" x14ac:dyDescent="0.25">
      <c r="B1518" s="342">
        <v>13616</v>
      </c>
      <c r="C1518" s="343" t="s">
        <v>541</v>
      </c>
      <c r="D1518" s="343" t="str">
        <f ca="1">OFFSET('Zip Code Lines_1'!$U$3,MATCH('Zip Code Lines_1'!C1518,'Zip Code Lines_1'!$Q$4:$Q$26,0),0)</f>
        <v>Fort Drum</v>
      </c>
      <c r="E1518" s="344">
        <f ca="1">OFFSET('Zip Code Lines_1'!$W$3,MATCH('Zip Code Lines_1'!C1518,'Zip Code Lines_1'!$Q$4:$Q$26,0),0)</f>
        <v>-4.4000000000000004</v>
      </c>
      <c r="F1518" s="344">
        <f ca="1">OFFSET('Zip Code Lines_1'!$Z$3,MATCH('Zip Code Lines_1'!C1518,'Zip Code Lines_1'!$Q$4:$Q$26,0),0)</f>
        <v>83.6</v>
      </c>
      <c r="G1518" s="342">
        <f ca="1">OFFSET('Zip Code Lines_1'!$AC$3,MATCH('Zip Code Lines_1'!C1518,'Zip Code Lines_1'!$Q$4:$Q$26,0),0)</f>
        <v>18</v>
      </c>
      <c r="H1518" s="342">
        <v>13616</v>
      </c>
    </row>
    <row r="1519" spans="2:8" x14ac:dyDescent="0.25">
      <c r="B1519" s="342">
        <v>13617</v>
      </c>
      <c r="C1519" s="343" t="s">
        <v>548</v>
      </c>
      <c r="D1519" s="343" t="str">
        <f ca="1">OFFSET('Zip Code Lines_1'!$U$3,MATCH('Zip Code Lines_1'!C1519,'Zip Code Lines_1'!$Q$4:$Q$26,0),0)</f>
        <v>Massena</v>
      </c>
      <c r="E1519" s="344">
        <f ca="1">OFFSET('Zip Code Lines_1'!$W$3,MATCH('Zip Code Lines_1'!C1519,'Zip Code Lines_1'!$Q$4:$Q$26,0),0)</f>
        <v>-7.8</v>
      </c>
      <c r="F1519" s="344">
        <f ca="1">OFFSET('Zip Code Lines_1'!$Z$3,MATCH('Zip Code Lines_1'!C1519,'Zip Code Lines_1'!$Q$4:$Q$26,0),0)</f>
        <v>84.4</v>
      </c>
      <c r="G1519" s="342">
        <f ca="1">OFFSET('Zip Code Lines_1'!$AC$3,MATCH('Zip Code Lines_1'!C1519,'Zip Code Lines_1'!$Q$4:$Q$26,0),0)</f>
        <v>12</v>
      </c>
      <c r="H1519" s="342">
        <v>13617</v>
      </c>
    </row>
    <row r="1520" spans="2:8" x14ac:dyDescent="0.25">
      <c r="B1520" s="342">
        <v>13618</v>
      </c>
      <c r="C1520" s="343" t="s">
        <v>541</v>
      </c>
      <c r="D1520" s="343" t="str">
        <f ca="1">OFFSET('Zip Code Lines_1'!$U$3,MATCH('Zip Code Lines_1'!C1520,'Zip Code Lines_1'!$Q$4:$Q$26,0),0)</f>
        <v>Fort Drum</v>
      </c>
      <c r="E1520" s="344">
        <f ca="1">OFFSET('Zip Code Lines_1'!$W$3,MATCH('Zip Code Lines_1'!C1520,'Zip Code Lines_1'!$Q$4:$Q$26,0),0)</f>
        <v>-4.4000000000000004</v>
      </c>
      <c r="F1520" s="344">
        <f ca="1">OFFSET('Zip Code Lines_1'!$Z$3,MATCH('Zip Code Lines_1'!C1520,'Zip Code Lines_1'!$Q$4:$Q$26,0),0)</f>
        <v>83.6</v>
      </c>
      <c r="G1520" s="342">
        <f ca="1">OFFSET('Zip Code Lines_1'!$AC$3,MATCH('Zip Code Lines_1'!C1520,'Zip Code Lines_1'!$Q$4:$Q$26,0),0)</f>
        <v>18</v>
      </c>
      <c r="H1520" s="342">
        <v>13618</v>
      </c>
    </row>
    <row r="1521" spans="2:8" x14ac:dyDescent="0.25">
      <c r="B1521" s="342">
        <v>13619</v>
      </c>
      <c r="C1521" s="343" t="s">
        <v>541</v>
      </c>
      <c r="D1521" s="343" t="str">
        <f ca="1">OFFSET('Zip Code Lines_1'!$U$3,MATCH('Zip Code Lines_1'!C1521,'Zip Code Lines_1'!$Q$4:$Q$26,0),0)</f>
        <v>Fort Drum</v>
      </c>
      <c r="E1521" s="344">
        <f ca="1">OFFSET('Zip Code Lines_1'!$W$3,MATCH('Zip Code Lines_1'!C1521,'Zip Code Lines_1'!$Q$4:$Q$26,0),0)</f>
        <v>-4.4000000000000004</v>
      </c>
      <c r="F1521" s="344">
        <f ca="1">OFFSET('Zip Code Lines_1'!$Z$3,MATCH('Zip Code Lines_1'!C1521,'Zip Code Lines_1'!$Q$4:$Q$26,0),0)</f>
        <v>83.6</v>
      </c>
      <c r="G1521" s="342">
        <f ca="1">OFFSET('Zip Code Lines_1'!$AC$3,MATCH('Zip Code Lines_1'!C1521,'Zip Code Lines_1'!$Q$4:$Q$26,0),0)</f>
        <v>18</v>
      </c>
      <c r="H1521" s="342">
        <v>13619</v>
      </c>
    </row>
    <row r="1522" spans="2:8" x14ac:dyDescent="0.25">
      <c r="B1522" s="342">
        <v>13620</v>
      </c>
      <c r="C1522" s="343" t="s">
        <v>571</v>
      </c>
      <c r="D1522" s="343" t="str">
        <f ca="1">OFFSET('Zip Code Lines_1'!$U$3,MATCH('Zip Code Lines_1'!C1522,'Zip Code Lines_1'!$Q$4:$Q$26,0),0)</f>
        <v>Watertown</v>
      </c>
      <c r="E1522" s="344">
        <f ca="1">OFFSET('Zip Code Lines_1'!$W$3,MATCH('Zip Code Lines_1'!C1522,'Zip Code Lines_1'!$Q$4:$Q$26,0),0)</f>
        <v>-5</v>
      </c>
      <c r="F1522" s="344">
        <f ca="1">OFFSET('Zip Code Lines_1'!$Z$3,MATCH('Zip Code Lines_1'!C1522,'Zip Code Lines_1'!$Q$4:$Q$26,0),0)</f>
        <v>83.1</v>
      </c>
      <c r="G1522" s="342">
        <f ca="1">OFFSET('Zip Code Lines_1'!$AC$3,MATCH('Zip Code Lines_1'!C1522,'Zip Code Lines_1'!$Q$4:$Q$26,0),0)</f>
        <v>24</v>
      </c>
      <c r="H1522" s="342">
        <v>13620</v>
      </c>
    </row>
    <row r="1523" spans="2:8" x14ac:dyDescent="0.25">
      <c r="B1523" s="342">
        <v>13621</v>
      </c>
      <c r="C1523" s="343" t="s">
        <v>548</v>
      </c>
      <c r="D1523" s="343" t="str">
        <f ca="1">OFFSET('Zip Code Lines_1'!$U$3,MATCH('Zip Code Lines_1'!C1523,'Zip Code Lines_1'!$Q$4:$Q$26,0),0)</f>
        <v>Massena</v>
      </c>
      <c r="E1523" s="344">
        <f ca="1">OFFSET('Zip Code Lines_1'!$W$3,MATCH('Zip Code Lines_1'!C1523,'Zip Code Lines_1'!$Q$4:$Q$26,0),0)</f>
        <v>-7.8</v>
      </c>
      <c r="F1523" s="344">
        <f ca="1">OFFSET('Zip Code Lines_1'!$Z$3,MATCH('Zip Code Lines_1'!C1523,'Zip Code Lines_1'!$Q$4:$Q$26,0),0)</f>
        <v>84.4</v>
      </c>
      <c r="G1523" s="342">
        <f ca="1">OFFSET('Zip Code Lines_1'!$AC$3,MATCH('Zip Code Lines_1'!C1523,'Zip Code Lines_1'!$Q$4:$Q$26,0),0)</f>
        <v>12</v>
      </c>
      <c r="H1523" s="342">
        <v>13621</v>
      </c>
    </row>
    <row r="1524" spans="2:8" x14ac:dyDescent="0.25">
      <c r="B1524" s="342">
        <v>13622</v>
      </c>
      <c r="C1524" s="343" t="s">
        <v>541</v>
      </c>
      <c r="D1524" s="343" t="str">
        <f ca="1">OFFSET('Zip Code Lines_1'!$U$3,MATCH('Zip Code Lines_1'!C1524,'Zip Code Lines_1'!$Q$4:$Q$26,0),0)</f>
        <v>Fort Drum</v>
      </c>
      <c r="E1524" s="344">
        <f ca="1">OFFSET('Zip Code Lines_1'!$W$3,MATCH('Zip Code Lines_1'!C1524,'Zip Code Lines_1'!$Q$4:$Q$26,0),0)</f>
        <v>-4.4000000000000004</v>
      </c>
      <c r="F1524" s="344">
        <f ca="1">OFFSET('Zip Code Lines_1'!$Z$3,MATCH('Zip Code Lines_1'!C1524,'Zip Code Lines_1'!$Q$4:$Q$26,0),0)</f>
        <v>83.6</v>
      </c>
      <c r="G1524" s="342">
        <f ca="1">OFFSET('Zip Code Lines_1'!$AC$3,MATCH('Zip Code Lines_1'!C1524,'Zip Code Lines_1'!$Q$4:$Q$26,0),0)</f>
        <v>18</v>
      </c>
      <c r="H1524" s="342">
        <v>13622</v>
      </c>
    </row>
    <row r="1525" spans="2:8" x14ac:dyDescent="0.25">
      <c r="B1525" s="342">
        <v>13623</v>
      </c>
      <c r="C1525" s="343" t="s">
        <v>541</v>
      </c>
      <c r="D1525" s="343" t="str">
        <f ca="1">OFFSET('Zip Code Lines_1'!$U$3,MATCH('Zip Code Lines_1'!C1525,'Zip Code Lines_1'!$Q$4:$Q$26,0),0)</f>
        <v>Fort Drum</v>
      </c>
      <c r="E1525" s="344">
        <f ca="1">OFFSET('Zip Code Lines_1'!$W$3,MATCH('Zip Code Lines_1'!C1525,'Zip Code Lines_1'!$Q$4:$Q$26,0),0)</f>
        <v>-4.4000000000000004</v>
      </c>
      <c r="F1525" s="344">
        <f ca="1">OFFSET('Zip Code Lines_1'!$Z$3,MATCH('Zip Code Lines_1'!C1525,'Zip Code Lines_1'!$Q$4:$Q$26,0),0)</f>
        <v>83.6</v>
      </c>
      <c r="G1525" s="342">
        <f ca="1">OFFSET('Zip Code Lines_1'!$AC$3,MATCH('Zip Code Lines_1'!C1525,'Zip Code Lines_1'!$Q$4:$Q$26,0),0)</f>
        <v>18</v>
      </c>
      <c r="H1525" s="342">
        <v>13623</v>
      </c>
    </row>
    <row r="1526" spans="2:8" x14ac:dyDescent="0.25">
      <c r="B1526" s="342">
        <v>13624</v>
      </c>
      <c r="C1526" s="343" t="s">
        <v>541</v>
      </c>
      <c r="D1526" s="343" t="str">
        <f ca="1">OFFSET('Zip Code Lines_1'!$U$3,MATCH('Zip Code Lines_1'!C1526,'Zip Code Lines_1'!$Q$4:$Q$26,0),0)</f>
        <v>Fort Drum</v>
      </c>
      <c r="E1526" s="344">
        <f ca="1">OFFSET('Zip Code Lines_1'!$W$3,MATCH('Zip Code Lines_1'!C1526,'Zip Code Lines_1'!$Q$4:$Q$26,0),0)</f>
        <v>-4.4000000000000004</v>
      </c>
      <c r="F1526" s="344">
        <f ca="1">OFFSET('Zip Code Lines_1'!$Z$3,MATCH('Zip Code Lines_1'!C1526,'Zip Code Lines_1'!$Q$4:$Q$26,0),0)</f>
        <v>83.6</v>
      </c>
      <c r="G1526" s="342">
        <f ca="1">OFFSET('Zip Code Lines_1'!$AC$3,MATCH('Zip Code Lines_1'!C1526,'Zip Code Lines_1'!$Q$4:$Q$26,0),0)</f>
        <v>18</v>
      </c>
      <c r="H1526" s="342">
        <v>13624</v>
      </c>
    </row>
    <row r="1527" spans="2:8" x14ac:dyDescent="0.25">
      <c r="B1527" s="342">
        <v>13625</v>
      </c>
      <c r="C1527" s="343" t="s">
        <v>566</v>
      </c>
      <c r="D1527" s="343" t="str">
        <f ca="1">OFFSET('Zip Code Lines_1'!$U$3,MATCH('Zip Code Lines_1'!C1527,'Zip Code Lines_1'!$Q$4:$Q$26,0),0)</f>
        <v>Saranac Lake</v>
      </c>
      <c r="E1527" s="344">
        <f ca="1">OFFSET('Zip Code Lines_1'!$W$3,MATCH('Zip Code Lines_1'!C1527,'Zip Code Lines_1'!$Q$4:$Q$26,0),0)</f>
        <v>-11.5</v>
      </c>
      <c r="F1527" s="344">
        <f ca="1">OFFSET('Zip Code Lines_1'!$Z$3,MATCH('Zip Code Lines_1'!C1527,'Zip Code Lines_1'!$Q$4:$Q$26,0),0)</f>
        <v>81</v>
      </c>
      <c r="G1527" s="342">
        <f ca="1">OFFSET('Zip Code Lines_1'!$AC$3,MATCH('Zip Code Lines_1'!C1527,'Zip Code Lines_1'!$Q$4:$Q$26,0),0)</f>
        <v>24</v>
      </c>
      <c r="H1527" s="342">
        <v>13625</v>
      </c>
    </row>
    <row r="1528" spans="2:8" x14ac:dyDescent="0.25">
      <c r="B1528" s="342">
        <v>13626</v>
      </c>
      <c r="C1528" s="343" t="s">
        <v>571</v>
      </c>
      <c r="D1528" s="343" t="str">
        <f ca="1">OFFSET('Zip Code Lines_1'!$U$3,MATCH('Zip Code Lines_1'!C1528,'Zip Code Lines_1'!$Q$4:$Q$26,0),0)</f>
        <v>Watertown</v>
      </c>
      <c r="E1528" s="344">
        <f ca="1">OFFSET('Zip Code Lines_1'!$W$3,MATCH('Zip Code Lines_1'!C1528,'Zip Code Lines_1'!$Q$4:$Q$26,0),0)</f>
        <v>-5</v>
      </c>
      <c r="F1528" s="344">
        <f ca="1">OFFSET('Zip Code Lines_1'!$Z$3,MATCH('Zip Code Lines_1'!C1528,'Zip Code Lines_1'!$Q$4:$Q$26,0),0)</f>
        <v>83.1</v>
      </c>
      <c r="G1528" s="342">
        <f ca="1">OFFSET('Zip Code Lines_1'!$AC$3,MATCH('Zip Code Lines_1'!C1528,'Zip Code Lines_1'!$Q$4:$Q$26,0),0)</f>
        <v>24</v>
      </c>
      <c r="H1528" s="342">
        <v>13626</v>
      </c>
    </row>
    <row r="1529" spans="2:8" x14ac:dyDescent="0.25">
      <c r="B1529" s="342">
        <v>13627</v>
      </c>
      <c r="C1529" s="343" t="s">
        <v>541</v>
      </c>
      <c r="D1529" s="343" t="str">
        <f ca="1">OFFSET('Zip Code Lines_1'!$U$3,MATCH('Zip Code Lines_1'!C1529,'Zip Code Lines_1'!$Q$4:$Q$26,0),0)</f>
        <v>Fort Drum</v>
      </c>
      <c r="E1529" s="344">
        <f ca="1">OFFSET('Zip Code Lines_1'!$W$3,MATCH('Zip Code Lines_1'!C1529,'Zip Code Lines_1'!$Q$4:$Q$26,0),0)</f>
        <v>-4.4000000000000004</v>
      </c>
      <c r="F1529" s="344">
        <f ca="1">OFFSET('Zip Code Lines_1'!$Z$3,MATCH('Zip Code Lines_1'!C1529,'Zip Code Lines_1'!$Q$4:$Q$26,0),0)</f>
        <v>83.6</v>
      </c>
      <c r="G1529" s="342">
        <f ca="1">OFFSET('Zip Code Lines_1'!$AC$3,MATCH('Zip Code Lines_1'!C1529,'Zip Code Lines_1'!$Q$4:$Q$26,0),0)</f>
        <v>18</v>
      </c>
      <c r="H1529" s="342">
        <v>13627</v>
      </c>
    </row>
    <row r="1530" spans="2:8" x14ac:dyDescent="0.25">
      <c r="B1530" s="342">
        <v>13628</v>
      </c>
      <c r="C1530" s="343" t="s">
        <v>541</v>
      </c>
      <c r="D1530" s="343" t="str">
        <f ca="1">OFFSET('Zip Code Lines_1'!$U$3,MATCH('Zip Code Lines_1'!C1530,'Zip Code Lines_1'!$Q$4:$Q$26,0),0)</f>
        <v>Fort Drum</v>
      </c>
      <c r="E1530" s="344">
        <f ca="1">OFFSET('Zip Code Lines_1'!$W$3,MATCH('Zip Code Lines_1'!C1530,'Zip Code Lines_1'!$Q$4:$Q$26,0),0)</f>
        <v>-4.4000000000000004</v>
      </c>
      <c r="F1530" s="344">
        <f ca="1">OFFSET('Zip Code Lines_1'!$Z$3,MATCH('Zip Code Lines_1'!C1530,'Zip Code Lines_1'!$Q$4:$Q$26,0),0)</f>
        <v>83.6</v>
      </c>
      <c r="G1530" s="342">
        <f ca="1">OFFSET('Zip Code Lines_1'!$AC$3,MATCH('Zip Code Lines_1'!C1530,'Zip Code Lines_1'!$Q$4:$Q$26,0),0)</f>
        <v>18</v>
      </c>
      <c r="H1530" s="342">
        <v>13628</v>
      </c>
    </row>
    <row r="1531" spans="2:8" x14ac:dyDescent="0.25">
      <c r="B1531" s="342">
        <v>13630</v>
      </c>
      <c r="C1531" s="343" t="s">
        <v>548</v>
      </c>
      <c r="D1531" s="343" t="str">
        <f ca="1">OFFSET('Zip Code Lines_1'!$U$3,MATCH('Zip Code Lines_1'!C1531,'Zip Code Lines_1'!$Q$4:$Q$26,0),0)</f>
        <v>Massena</v>
      </c>
      <c r="E1531" s="344">
        <f ca="1">OFFSET('Zip Code Lines_1'!$W$3,MATCH('Zip Code Lines_1'!C1531,'Zip Code Lines_1'!$Q$4:$Q$26,0),0)</f>
        <v>-7.8</v>
      </c>
      <c r="F1531" s="344">
        <f ca="1">OFFSET('Zip Code Lines_1'!$Z$3,MATCH('Zip Code Lines_1'!C1531,'Zip Code Lines_1'!$Q$4:$Q$26,0),0)</f>
        <v>84.4</v>
      </c>
      <c r="G1531" s="342">
        <f ca="1">OFFSET('Zip Code Lines_1'!$AC$3,MATCH('Zip Code Lines_1'!C1531,'Zip Code Lines_1'!$Q$4:$Q$26,0),0)</f>
        <v>12</v>
      </c>
      <c r="H1531" s="342">
        <v>13630</v>
      </c>
    </row>
    <row r="1532" spans="2:8" x14ac:dyDescent="0.25">
      <c r="B1532" s="342">
        <v>13631</v>
      </c>
      <c r="C1532" s="343" t="s">
        <v>571</v>
      </c>
      <c r="D1532" s="343" t="str">
        <f ca="1">OFFSET('Zip Code Lines_1'!$U$3,MATCH('Zip Code Lines_1'!C1532,'Zip Code Lines_1'!$Q$4:$Q$26,0),0)</f>
        <v>Watertown</v>
      </c>
      <c r="E1532" s="344">
        <f ca="1">OFFSET('Zip Code Lines_1'!$W$3,MATCH('Zip Code Lines_1'!C1532,'Zip Code Lines_1'!$Q$4:$Q$26,0),0)</f>
        <v>-5</v>
      </c>
      <c r="F1532" s="344">
        <f ca="1">OFFSET('Zip Code Lines_1'!$Z$3,MATCH('Zip Code Lines_1'!C1532,'Zip Code Lines_1'!$Q$4:$Q$26,0),0)</f>
        <v>83.1</v>
      </c>
      <c r="G1532" s="342">
        <f ca="1">OFFSET('Zip Code Lines_1'!$AC$3,MATCH('Zip Code Lines_1'!C1532,'Zip Code Lines_1'!$Q$4:$Q$26,0),0)</f>
        <v>24</v>
      </c>
      <c r="H1532" s="342">
        <v>13631</v>
      </c>
    </row>
    <row r="1533" spans="2:8" x14ac:dyDescent="0.25">
      <c r="B1533" s="342">
        <v>13632</v>
      </c>
      <c r="C1533" s="343" t="s">
        <v>541</v>
      </c>
      <c r="D1533" s="343" t="str">
        <f ca="1">OFFSET('Zip Code Lines_1'!$U$3,MATCH('Zip Code Lines_1'!C1533,'Zip Code Lines_1'!$Q$4:$Q$26,0),0)</f>
        <v>Fort Drum</v>
      </c>
      <c r="E1533" s="344">
        <f ca="1">OFFSET('Zip Code Lines_1'!$W$3,MATCH('Zip Code Lines_1'!C1533,'Zip Code Lines_1'!$Q$4:$Q$26,0),0)</f>
        <v>-4.4000000000000004</v>
      </c>
      <c r="F1533" s="344">
        <f ca="1">OFFSET('Zip Code Lines_1'!$Z$3,MATCH('Zip Code Lines_1'!C1533,'Zip Code Lines_1'!$Q$4:$Q$26,0),0)</f>
        <v>83.6</v>
      </c>
      <c r="G1533" s="342">
        <f ca="1">OFFSET('Zip Code Lines_1'!$AC$3,MATCH('Zip Code Lines_1'!C1533,'Zip Code Lines_1'!$Q$4:$Q$26,0),0)</f>
        <v>18</v>
      </c>
      <c r="H1533" s="342">
        <v>13632</v>
      </c>
    </row>
    <row r="1534" spans="2:8" x14ac:dyDescent="0.25">
      <c r="B1534" s="342">
        <v>13633</v>
      </c>
      <c r="C1534" s="343" t="s">
        <v>541</v>
      </c>
      <c r="D1534" s="343" t="str">
        <f ca="1">OFFSET('Zip Code Lines_1'!$U$3,MATCH('Zip Code Lines_1'!C1534,'Zip Code Lines_1'!$Q$4:$Q$26,0),0)</f>
        <v>Fort Drum</v>
      </c>
      <c r="E1534" s="344">
        <f ca="1">OFFSET('Zip Code Lines_1'!$W$3,MATCH('Zip Code Lines_1'!C1534,'Zip Code Lines_1'!$Q$4:$Q$26,0),0)</f>
        <v>-4.4000000000000004</v>
      </c>
      <c r="F1534" s="344">
        <f ca="1">OFFSET('Zip Code Lines_1'!$Z$3,MATCH('Zip Code Lines_1'!C1534,'Zip Code Lines_1'!$Q$4:$Q$26,0),0)</f>
        <v>83.6</v>
      </c>
      <c r="G1534" s="342">
        <f ca="1">OFFSET('Zip Code Lines_1'!$AC$3,MATCH('Zip Code Lines_1'!C1534,'Zip Code Lines_1'!$Q$4:$Q$26,0),0)</f>
        <v>18</v>
      </c>
      <c r="H1534" s="342">
        <v>13633</v>
      </c>
    </row>
    <row r="1535" spans="2:8" x14ac:dyDescent="0.25">
      <c r="B1535" s="342">
        <v>13634</v>
      </c>
      <c r="C1535" s="343" t="s">
        <v>571</v>
      </c>
      <c r="D1535" s="343" t="str">
        <f ca="1">OFFSET('Zip Code Lines_1'!$U$3,MATCH('Zip Code Lines_1'!C1535,'Zip Code Lines_1'!$Q$4:$Q$26,0),0)</f>
        <v>Watertown</v>
      </c>
      <c r="E1535" s="344">
        <f ca="1">OFFSET('Zip Code Lines_1'!$W$3,MATCH('Zip Code Lines_1'!C1535,'Zip Code Lines_1'!$Q$4:$Q$26,0),0)</f>
        <v>-5</v>
      </c>
      <c r="F1535" s="344">
        <f ca="1">OFFSET('Zip Code Lines_1'!$Z$3,MATCH('Zip Code Lines_1'!C1535,'Zip Code Lines_1'!$Q$4:$Q$26,0),0)</f>
        <v>83.1</v>
      </c>
      <c r="G1535" s="342">
        <f ca="1">OFFSET('Zip Code Lines_1'!$AC$3,MATCH('Zip Code Lines_1'!C1535,'Zip Code Lines_1'!$Q$4:$Q$26,0),0)</f>
        <v>24</v>
      </c>
      <c r="H1535" s="342">
        <v>13634</v>
      </c>
    </row>
    <row r="1536" spans="2:8" x14ac:dyDescent="0.25">
      <c r="B1536" s="342">
        <v>13635</v>
      </c>
      <c r="C1536" s="343" t="s">
        <v>571</v>
      </c>
      <c r="D1536" s="343" t="str">
        <f ca="1">OFFSET('Zip Code Lines_1'!$U$3,MATCH('Zip Code Lines_1'!C1536,'Zip Code Lines_1'!$Q$4:$Q$26,0),0)</f>
        <v>Watertown</v>
      </c>
      <c r="E1536" s="344">
        <f ca="1">OFFSET('Zip Code Lines_1'!$W$3,MATCH('Zip Code Lines_1'!C1536,'Zip Code Lines_1'!$Q$4:$Q$26,0),0)</f>
        <v>-5</v>
      </c>
      <c r="F1536" s="344">
        <f ca="1">OFFSET('Zip Code Lines_1'!$Z$3,MATCH('Zip Code Lines_1'!C1536,'Zip Code Lines_1'!$Q$4:$Q$26,0),0)</f>
        <v>83.1</v>
      </c>
      <c r="G1536" s="342">
        <f ca="1">OFFSET('Zip Code Lines_1'!$AC$3,MATCH('Zip Code Lines_1'!C1536,'Zip Code Lines_1'!$Q$4:$Q$26,0),0)</f>
        <v>24</v>
      </c>
      <c r="H1536" s="342">
        <v>13635</v>
      </c>
    </row>
    <row r="1537" spans="2:8" x14ac:dyDescent="0.25">
      <c r="B1537" s="342">
        <v>13636</v>
      </c>
      <c r="C1537" s="343" t="s">
        <v>541</v>
      </c>
      <c r="D1537" s="343" t="str">
        <f ca="1">OFFSET('Zip Code Lines_1'!$U$3,MATCH('Zip Code Lines_1'!C1537,'Zip Code Lines_1'!$Q$4:$Q$26,0),0)</f>
        <v>Fort Drum</v>
      </c>
      <c r="E1537" s="344">
        <f ca="1">OFFSET('Zip Code Lines_1'!$W$3,MATCH('Zip Code Lines_1'!C1537,'Zip Code Lines_1'!$Q$4:$Q$26,0),0)</f>
        <v>-4.4000000000000004</v>
      </c>
      <c r="F1537" s="344">
        <f ca="1">OFFSET('Zip Code Lines_1'!$Z$3,MATCH('Zip Code Lines_1'!C1537,'Zip Code Lines_1'!$Q$4:$Q$26,0),0)</f>
        <v>83.6</v>
      </c>
      <c r="G1537" s="342">
        <f ca="1">OFFSET('Zip Code Lines_1'!$AC$3,MATCH('Zip Code Lines_1'!C1537,'Zip Code Lines_1'!$Q$4:$Q$26,0),0)</f>
        <v>18</v>
      </c>
      <c r="H1537" s="342">
        <v>13636</v>
      </c>
    </row>
    <row r="1538" spans="2:8" x14ac:dyDescent="0.25">
      <c r="B1538" s="342">
        <v>13637</v>
      </c>
      <c r="C1538" s="343" t="s">
        <v>541</v>
      </c>
      <c r="D1538" s="343" t="str">
        <f ca="1">OFFSET('Zip Code Lines_1'!$U$3,MATCH('Zip Code Lines_1'!C1538,'Zip Code Lines_1'!$Q$4:$Q$26,0),0)</f>
        <v>Fort Drum</v>
      </c>
      <c r="E1538" s="344">
        <f ca="1">OFFSET('Zip Code Lines_1'!$W$3,MATCH('Zip Code Lines_1'!C1538,'Zip Code Lines_1'!$Q$4:$Q$26,0),0)</f>
        <v>-4.4000000000000004</v>
      </c>
      <c r="F1538" s="344">
        <f ca="1">OFFSET('Zip Code Lines_1'!$Z$3,MATCH('Zip Code Lines_1'!C1538,'Zip Code Lines_1'!$Q$4:$Q$26,0),0)</f>
        <v>83.6</v>
      </c>
      <c r="G1538" s="342">
        <f ca="1">OFFSET('Zip Code Lines_1'!$AC$3,MATCH('Zip Code Lines_1'!C1538,'Zip Code Lines_1'!$Q$4:$Q$26,0),0)</f>
        <v>18</v>
      </c>
      <c r="H1538" s="342">
        <v>13637</v>
      </c>
    </row>
    <row r="1539" spans="2:8" x14ac:dyDescent="0.25">
      <c r="B1539" s="342">
        <v>13638</v>
      </c>
      <c r="C1539" s="343" t="s">
        <v>541</v>
      </c>
      <c r="D1539" s="343" t="str">
        <f ca="1">OFFSET('Zip Code Lines_1'!$U$3,MATCH('Zip Code Lines_1'!C1539,'Zip Code Lines_1'!$Q$4:$Q$26,0),0)</f>
        <v>Fort Drum</v>
      </c>
      <c r="E1539" s="344">
        <f ca="1">OFFSET('Zip Code Lines_1'!$W$3,MATCH('Zip Code Lines_1'!C1539,'Zip Code Lines_1'!$Q$4:$Q$26,0),0)</f>
        <v>-4.4000000000000004</v>
      </c>
      <c r="F1539" s="344">
        <f ca="1">OFFSET('Zip Code Lines_1'!$Z$3,MATCH('Zip Code Lines_1'!C1539,'Zip Code Lines_1'!$Q$4:$Q$26,0),0)</f>
        <v>83.6</v>
      </c>
      <c r="G1539" s="342">
        <f ca="1">OFFSET('Zip Code Lines_1'!$AC$3,MATCH('Zip Code Lines_1'!C1539,'Zip Code Lines_1'!$Q$4:$Q$26,0),0)</f>
        <v>18</v>
      </c>
      <c r="H1539" s="342">
        <v>13638</v>
      </c>
    </row>
    <row r="1540" spans="2:8" x14ac:dyDescent="0.25">
      <c r="B1540" s="342">
        <v>13639</v>
      </c>
      <c r="C1540" s="343" t="s">
        <v>548</v>
      </c>
      <c r="D1540" s="343" t="str">
        <f ca="1">OFFSET('Zip Code Lines_1'!$U$3,MATCH('Zip Code Lines_1'!C1540,'Zip Code Lines_1'!$Q$4:$Q$26,0),0)</f>
        <v>Massena</v>
      </c>
      <c r="E1540" s="344">
        <f ca="1">OFFSET('Zip Code Lines_1'!$W$3,MATCH('Zip Code Lines_1'!C1540,'Zip Code Lines_1'!$Q$4:$Q$26,0),0)</f>
        <v>-7.8</v>
      </c>
      <c r="F1540" s="344">
        <f ca="1">OFFSET('Zip Code Lines_1'!$Z$3,MATCH('Zip Code Lines_1'!C1540,'Zip Code Lines_1'!$Q$4:$Q$26,0),0)</f>
        <v>84.4</v>
      </c>
      <c r="G1540" s="342">
        <f ca="1">OFFSET('Zip Code Lines_1'!$AC$3,MATCH('Zip Code Lines_1'!C1540,'Zip Code Lines_1'!$Q$4:$Q$26,0),0)</f>
        <v>12</v>
      </c>
      <c r="H1540" s="342">
        <v>13639</v>
      </c>
    </row>
    <row r="1541" spans="2:8" x14ac:dyDescent="0.25">
      <c r="B1541" s="342">
        <v>13640</v>
      </c>
      <c r="C1541" s="343" t="s">
        <v>541</v>
      </c>
      <c r="D1541" s="343" t="str">
        <f ca="1">OFFSET('Zip Code Lines_1'!$U$3,MATCH('Zip Code Lines_1'!C1541,'Zip Code Lines_1'!$Q$4:$Q$26,0),0)</f>
        <v>Fort Drum</v>
      </c>
      <c r="E1541" s="344">
        <f ca="1">OFFSET('Zip Code Lines_1'!$W$3,MATCH('Zip Code Lines_1'!C1541,'Zip Code Lines_1'!$Q$4:$Q$26,0),0)</f>
        <v>-4.4000000000000004</v>
      </c>
      <c r="F1541" s="344">
        <f ca="1">OFFSET('Zip Code Lines_1'!$Z$3,MATCH('Zip Code Lines_1'!C1541,'Zip Code Lines_1'!$Q$4:$Q$26,0),0)</f>
        <v>83.6</v>
      </c>
      <c r="G1541" s="342">
        <f ca="1">OFFSET('Zip Code Lines_1'!$AC$3,MATCH('Zip Code Lines_1'!C1541,'Zip Code Lines_1'!$Q$4:$Q$26,0),0)</f>
        <v>18</v>
      </c>
      <c r="H1541" s="342">
        <v>13640</v>
      </c>
    </row>
    <row r="1542" spans="2:8" x14ac:dyDescent="0.25">
      <c r="B1542" s="342">
        <v>13641</v>
      </c>
      <c r="C1542" s="343" t="s">
        <v>541</v>
      </c>
      <c r="D1542" s="343" t="str">
        <f ca="1">OFFSET('Zip Code Lines_1'!$U$3,MATCH('Zip Code Lines_1'!C1542,'Zip Code Lines_1'!$Q$4:$Q$26,0),0)</f>
        <v>Fort Drum</v>
      </c>
      <c r="E1542" s="344">
        <f ca="1">OFFSET('Zip Code Lines_1'!$W$3,MATCH('Zip Code Lines_1'!C1542,'Zip Code Lines_1'!$Q$4:$Q$26,0),0)</f>
        <v>-4.4000000000000004</v>
      </c>
      <c r="F1542" s="344">
        <f ca="1">OFFSET('Zip Code Lines_1'!$Z$3,MATCH('Zip Code Lines_1'!C1542,'Zip Code Lines_1'!$Q$4:$Q$26,0),0)</f>
        <v>83.6</v>
      </c>
      <c r="G1542" s="342">
        <f ca="1">OFFSET('Zip Code Lines_1'!$AC$3,MATCH('Zip Code Lines_1'!C1542,'Zip Code Lines_1'!$Q$4:$Q$26,0),0)</f>
        <v>18</v>
      </c>
      <c r="H1542" s="342">
        <v>13641</v>
      </c>
    </row>
    <row r="1543" spans="2:8" x14ac:dyDescent="0.25">
      <c r="B1543" s="342">
        <v>13642</v>
      </c>
      <c r="C1543" s="343" t="s">
        <v>541</v>
      </c>
      <c r="D1543" s="343" t="str">
        <f ca="1">OFFSET('Zip Code Lines_1'!$U$3,MATCH('Zip Code Lines_1'!C1543,'Zip Code Lines_1'!$Q$4:$Q$26,0),0)</f>
        <v>Fort Drum</v>
      </c>
      <c r="E1543" s="344">
        <f ca="1">OFFSET('Zip Code Lines_1'!$W$3,MATCH('Zip Code Lines_1'!C1543,'Zip Code Lines_1'!$Q$4:$Q$26,0),0)</f>
        <v>-4.4000000000000004</v>
      </c>
      <c r="F1543" s="344">
        <f ca="1">OFFSET('Zip Code Lines_1'!$Z$3,MATCH('Zip Code Lines_1'!C1543,'Zip Code Lines_1'!$Q$4:$Q$26,0),0)</f>
        <v>83.6</v>
      </c>
      <c r="G1543" s="342">
        <f ca="1">OFFSET('Zip Code Lines_1'!$AC$3,MATCH('Zip Code Lines_1'!C1543,'Zip Code Lines_1'!$Q$4:$Q$26,0),0)</f>
        <v>18</v>
      </c>
      <c r="H1543" s="342">
        <v>13642</v>
      </c>
    </row>
    <row r="1544" spans="2:8" x14ac:dyDescent="0.25">
      <c r="B1544" s="342">
        <v>13643</v>
      </c>
      <c r="C1544" s="343" t="s">
        <v>541</v>
      </c>
      <c r="D1544" s="343" t="str">
        <f ca="1">OFFSET('Zip Code Lines_1'!$U$3,MATCH('Zip Code Lines_1'!C1544,'Zip Code Lines_1'!$Q$4:$Q$26,0),0)</f>
        <v>Fort Drum</v>
      </c>
      <c r="E1544" s="344">
        <f ca="1">OFFSET('Zip Code Lines_1'!$W$3,MATCH('Zip Code Lines_1'!C1544,'Zip Code Lines_1'!$Q$4:$Q$26,0),0)</f>
        <v>-4.4000000000000004</v>
      </c>
      <c r="F1544" s="344">
        <f ca="1">OFFSET('Zip Code Lines_1'!$Z$3,MATCH('Zip Code Lines_1'!C1544,'Zip Code Lines_1'!$Q$4:$Q$26,0),0)</f>
        <v>83.6</v>
      </c>
      <c r="G1544" s="342">
        <f ca="1">OFFSET('Zip Code Lines_1'!$AC$3,MATCH('Zip Code Lines_1'!C1544,'Zip Code Lines_1'!$Q$4:$Q$26,0),0)</f>
        <v>18</v>
      </c>
      <c r="H1544" s="342">
        <v>13643</v>
      </c>
    </row>
    <row r="1545" spans="2:8" x14ac:dyDescent="0.25">
      <c r="B1545" s="342">
        <v>13645</v>
      </c>
      <c r="C1545" s="343" t="s">
        <v>541</v>
      </c>
      <c r="D1545" s="343" t="str">
        <f ca="1">OFFSET('Zip Code Lines_1'!$U$3,MATCH('Zip Code Lines_1'!C1545,'Zip Code Lines_1'!$Q$4:$Q$26,0),0)</f>
        <v>Fort Drum</v>
      </c>
      <c r="E1545" s="344">
        <f ca="1">OFFSET('Zip Code Lines_1'!$W$3,MATCH('Zip Code Lines_1'!C1545,'Zip Code Lines_1'!$Q$4:$Q$26,0),0)</f>
        <v>-4.4000000000000004</v>
      </c>
      <c r="F1545" s="344">
        <f ca="1">OFFSET('Zip Code Lines_1'!$Z$3,MATCH('Zip Code Lines_1'!C1545,'Zip Code Lines_1'!$Q$4:$Q$26,0),0)</f>
        <v>83.6</v>
      </c>
      <c r="G1545" s="342">
        <f ca="1">OFFSET('Zip Code Lines_1'!$AC$3,MATCH('Zip Code Lines_1'!C1545,'Zip Code Lines_1'!$Q$4:$Q$26,0),0)</f>
        <v>18</v>
      </c>
      <c r="H1545" s="342">
        <v>13645</v>
      </c>
    </row>
    <row r="1546" spans="2:8" x14ac:dyDescent="0.25">
      <c r="B1546" s="342">
        <v>13646</v>
      </c>
      <c r="C1546" s="343" t="s">
        <v>541</v>
      </c>
      <c r="D1546" s="343" t="str">
        <f ca="1">OFFSET('Zip Code Lines_1'!$U$3,MATCH('Zip Code Lines_1'!C1546,'Zip Code Lines_1'!$Q$4:$Q$26,0),0)</f>
        <v>Fort Drum</v>
      </c>
      <c r="E1546" s="344">
        <f ca="1">OFFSET('Zip Code Lines_1'!$W$3,MATCH('Zip Code Lines_1'!C1546,'Zip Code Lines_1'!$Q$4:$Q$26,0),0)</f>
        <v>-4.4000000000000004</v>
      </c>
      <c r="F1546" s="344">
        <f ca="1">OFFSET('Zip Code Lines_1'!$Z$3,MATCH('Zip Code Lines_1'!C1546,'Zip Code Lines_1'!$Q$4:$Q$26,0),0)</f>
        <v>83.6</v>
      </c>
      <c r="G1546" s="342">
        <f ca="1">OFFSET('Zip Code Lines_1'!$AC$3,MATCH('Zip Code Lines_1'!C1546,'Zip Code Lines_1'!$Q$4:$Q$26,0),0)</f>
        <v>18</v>
      </c>
      <c r="H1546" s="342">
        <v>13646</v>
      </c>
    </row>
    <row r="1547" spans="2:8" x14ac:dyDescent="0.25">
      <c r="B1547" s="342">
        <v>13647</v>
      </c>
      <c r="C1547" s="343" t="s">
        <v>548</v>
      </c>
      <c r="D1547" s="343" t="str">
        <f ca="1">OFFSET('Zip Code Lines_1'!$U$3,MATCH('Zip Code Lines_1'!C1547,'Zip Code Lines_1'!$Q$4:$Q$26,0),0)</f>
        <v>Massena</v>
      </c>
      <c r="E1547" s="344">
        <f ca="1">OFFSET('Zip Code Lines_1'!$W$3,MATCH('Zip Code Lines_1'!C1547,'Zip Code Lines_1'!$Q$4:$Q$26,0),0)</f>
        <v>-7.8</v>
      </c>
      <c r="F1547" s="344">
        <f ca="1">OFFSET('Zip Code Lines_1'!$Z$3,MATCH('Zip Code Lines_1'!C1547,'Zip Code Lines_1'!$Q$4:$Q$26,0),0)</f>
        <v>84.4</v>
      </c>
      <c r="G1547" s="342">
        <f ca="1">OFFSET('Zip Code Lines_1'!$AC$3,MATCH('Zip Code Lines_1'!C1547,'Zip Code Lines_1'!$Q$4:$Q$26,0),0)</f>
        <v>12</v>
      </c>
      <c r="H1547" s="342">
        <v>13647</v>
      </c>
    </row>
    <row r="1548" spans="2:8" x14ac:dyDescent="0.25">
      <c r="B1548" s="342">
        <v>13648</v>
      </c>
      <c r="C1548" s="343" t="s">
        <v>571</v>
      </c>
      <c r="D1548" s="343" t="str">
        <f ca="1">OFFSET('Zip Code Lines_1'!$U$3,MATCH('Zip Code Lines_1'!C1548,'Zip Code Lines_1'!$Q$4:$Q$26,0),0)</f>
        <v>Watertown</v>
      </c>
      <c r="E1548" s="344">
        <f ca="1">OFFSET('Zip Code Lines_1'!$W$3,MATCH('Zip Code Lines_1'!C1548,'Zip Code Lines_1'!$Q$4:$Q$26,0),0)</f>
        <v>-5</v>
      </c>
      <c r="F1548" s="344">
        <f ca="1">OFFSET('Zip Code Lines_1'!$Z$3,MATCH('Zip Code Lines_1'!C1548,'Zip Code Lines_1'!$Q$4:$Q$26,0),0)</f>
        <v>83.1</v>
      </c>
      <c r="G1548" s="342">
        <f ca="1">OFFSET('Zip Code Lines_1'!$AC$3,MATCH('Zip Code Lines_1'!C1548,'Zip Code Lines_1'!$Q$4:$Q$26,0),0)</f>
        <v>24</v>
      </c>
      <c r="H1548" s="342">
        <v>13648</v>
      </c>
    </row>
    <row r="1549" spans="2:8" x14ac:dyDescent="0.25">
      <c r="B1549" s="342">
        <v>13649</v>
      </c>
      <c r="C1549" s="343" t="s">
        <v>548</v>
      </c>
      <c r="D1549" s="343" t="str">
        <f ca="1">OFFSET('Zip Code Lines_1'!$U$3,MATCH('Zip Code Lines_1'!C1549,'Zip Code Lines_1'!$Q$4:$Q$26,0),0)</f>
        <v>Massena</v>
      </c>
      <c r="E1549" s="344">
        <f ca="1">OFFSET('Zip Code Lines_1'!$W$3,MATCH('Zip Code Lines_1'!C1549,'Zip Code Lines_1'!$Q$4:$Q$26,0),0)</f>
        <v>-7.8</v>
      </c>
      <c r="F1549" s="344">
        <f ca="1">OFFSET('Zip Code Lines_1'!$Z$3,MATCH('Zip Code Lines_1'!C1549,'Zip Code Lines_1'!$Q$4:$Q$26,0),0)</f>
        <v>84.4</v>
      </c>
      <c r="G1549" s="342">
        <f ca="1">OFFSET('Zip Code Lines_1'!$AC$3,MATCH('Zip Code Lines_1'!C1549,'Zip Code Lines_1'!$Q$4:$Q$26,0),0)</f>
        <v>12</v>
      </c>
      <c r="H1549" s="342">
        <v>13649</v>
      </c>
    </row>
    <row r="1550" spans="2:8" x14ac:dyDescent="0.25">
      <c r="B1550" s="342">
        <v>13650</v>
      </c>
      <c r="C1550" s="343" t="s">
        <v>541</v>
      </c>
      <c r="D1550" s="343" t="str">
        <f ca="1">OFFSET('Zip Code Lines_1'!$U$3,MATCH('Zip Code Lines_1'!C1550,'Zip Code Lines_1'!$Q$4:$Q$26,0),0)</f>
        <v>Fort Drum</v>
      </c>
      <c r="E1550" s="344">
        <f ca="1">OFFSET('Zip Code Lines_1'!$W$3,MATCH('Zip Code Lines_1'!C1550,'Zip Code Lines_1'!$Q$4:$Q$26,0),0)</f>
        <v>-4.4000000000000004</v>
      </c>
      <c r="F1550" s="344">
        <f ca="1">OFFSET('Zip Code Lines_1'!$Z$3,MATCH('Zip Code Lines_1'!C1550,'Zip Code Lines_1'!$Q$4:$Q$26,0),0)</f>
        <v>83.6</v>
      </c>
      <c r="G1550" s="342">
        <f ca="1">OFFSET('Zip Code Lines_1'!$AC$3,MATCH('Zip Code Lines_1'!C1550,'Zip Code Lines_1'!$Q$4:$Q$26,0),0)</f>
        <v>18</v>
      </c>
      <c r="H1550" s="342">
        <v>13650</v>
      </c>
    </row>
    <row r="1551" spans="2:8" x14ac:dyDescent="0.25">
      <c r="B1551" s="342">
        <v>13651</v>
      </c>
      <c r="C1551" s="343" t="s">
        <v>541</v>
      </c>
      <c r="D1551" s="343" t="str">
        <f ca="1">OFFSET('Zip Code Lines_1'!$U$3,MATCH('Zip Code Lines_1'!C1551,'Zip Code Lines_1'!$Q$4:$Q$26,0),0)</f>
        <v>Fort Drum</v>
      </c>
      <c r="E1551" s="344">
        <f ca="1">OFFSET('Zip Code Lines_1'!$W$3,MATCH('Zip Code Lines_1'!C1551,'Zip Code Lines_1'!$Q$4:$Q$26,0),0)</f>
        <v>-4.4000000000000004</v>
      </c>
      <c r="F1551" s="344">
        <f ca="1">OFFSET('Zip Code Lines_1'!$Z$3,MATCH('Zip Code Lines_1'!C1551,'Zip Code Lines_1'!$Q$4:$Q$26,0),0)</f>
        <v>83.6</v>
      </c>
      <c r="G1551" s="342">
        <f ca="1">OFFSET('Zip Code Lines_1'!$AC$3,MATCH('Zip Code Lines_1'!C1551,'Zip Code Lines_1'!$Q$4:$Q$26,0),0)</f>
        <v>18</v>
      </c>
      <c r="H1551" s="342">
        <v>13651</v>
      </c>
    </row>
    <row r="1552" spans="2:8" x14ac:dyDescent="0.25">
      <c r="B1552" s="342">
        <v>13652</v>
      </c>
      <c r="C1552" s="343" t="s">
        <v>548</v>
      </c>
      <c r="D1552" s="343" t="str">
        <f ca="1">OFFSET('Zip Code Lines_1'!$U$3,MATCH('Zip Code Lines_1'!C1552,'Zip Code Lines_1'!$Q$4:$Q$26,0),0)</f>
        <v>Massena</v>
      </c>
      <c r="E1552" s="344">
        <f ca="1">OFFSET('Zip Code Lines_1'!$W$3,MATCH('Zip Code Lines_1'!C1552,'Zip Code Lines_1'!$Q$4:$Q$26,0),0)</f>
        <v>-7.8</v>
      </c>
      <c r="F1552" s="344">
        <f ca="1">OFFSET('Zip Code Lines_1'!$Z$3,MATCH('Zip Code Lines_1'!C1552,'Zip Code Lines_1'!$Q$4:$Q$26,0),0)</f>
        <v>84.4</v>
      </c>
      <c r="G1552" s="342">
        <f ca="1">OFFSET('Zip Code Lines_1'!$AC$3,MATCH('Zip Code Lines_1'!C1552,'Zip Code Lines_1'!$Q$4:$Q$26,0),0)</f>
        <v>12</v>
      </c>
      <c r="H1552" s="342">
        <v>13652</v>
      </c>
    </row>
    <row r="1553" spans="2:8" x14ac:dyDescent="0.25">
      <c r="B1553" s="342">
        <v>13654</v>
      </c>
      <c r="C1553" s="343" t="s">
        <v>548</v>
      </c>
      <c r="D1553" s="343" t="str">
        <f ca="1">OFFSET('Zip Code Lines_1'!$U$3,MATCH('Zip Code Lines_1'!C1553,'Zip Code Lines_1'!$Q$4:$Q$26,0),0)</f>
        <v>Massena</v>
      </c>
      <c r="E1553" s="344">
        <f ca="1">OFFSET('Zip Code Lines_1'!$W$3,MATCH('Zip Code Lines_1'!C1553,'Zip Code Lines_1'!$Q$4:$Q$26,0),0)</f>
        <v>-7.8</v>
      </c>
      <c r="F1553" s="344">
        <f ca="1">OFFSET('Zip Code Lines_1'!$Z$3,MATCH('Zip Code Lines_1'!C1553,'Zip Code Lines_1'!$Q$4:$Q$26,0),0)</f>
        <v>84.4</v>
      </c>
      <c r="G1553" s="342">
        <f ca="1">OFFSET('Zip Code Lines_1'!$AC$3,MATCH('Zip Code Lines_1'!C1553,'Zip Code Lines_1'!$Q$4:$Q$26,0),0)</f>
        <v>12</v>
      </c>
      <c r="H1553" s="342">
        <v>13654</v>
      </c>
    </row>
    <row r="1554" spans="2:8" x14ac:dyDescent="0.25">
      <c r="B1554" s="342">
        <v>13655</v>
      </c>
      <c r="C1554" s="343" t="s">
        <v>548</v>
      </c>
      <c r="D1554" s="343" t="str">
        <f ca="1">OFFSET('Zip Code Lines_1'!$U$3,MATCH('Zip Code Lines_1'!C1554,'Zip Code Lines_1'!$Q$4:$Q$26,0),0)</f>
        <v>Massena</v>
      </c>
      <c r="E1554" s="344">
        <f ca="1">OFFSET('Zip Code Lines_1'!$W$3,MATCH('Zip Code Lines_1'!C1554,'Zip Code Lines_1'!$Q$4:$Q$26,0),0)</f>
        <v>-7.8</v>
      </c>
      <c r="F1554" s="344">
        <f ca="1">OFFSET('Zip Code Lines_1'!$Z$3,MATCH('Zip Code Lines_1'!C1554,'Zip Code Lines_1'!$Q$4:$Q$26,0),0)</f>
        <v>84.4</v>
      </c>
      <c r="G1554" s="342">
        <f ca="1">OFFSET('Zip Code Lines_1'!$AC$3,MATCH('Zip Code Lines_1'!C1554,'Zip Code Lines_1'!$Q$4:$Q$26,0),0)</f>
        <v>12</v>
      </c>
      <c r="H1554" s="342">
        <v>13655</v>
      </c>
    </row>
    <row r="1555" spans="2:8" x14ac:dyDescent="0.25">
      <c r="B1555" s="342">
        <v>13656</v>
      </c>
      <c r="C1555" s="343" t="s">
        <v>541</v>
      </c>
      <c r="D1555" s="343" t="str">
        <f ca="1">OFFSET('Zip Code Lines_1'!$U$3,MATCH('Zip Code Lines_1'!C1555,'Zip Code Lines_1'!$Q$4:$Q$26,0),0)</f>
        <v>Fort Drum</v>
      </c>
      <c r="E1555" s="344">
        <f ca="1">OFFSET('Zip Code Lines_1'!$W$3,MATCH('Zip Code Lines_1'!C1555,'Zip Code Lines_1'!$Q$4:$Q$26,0),0)</f>
        <v>-4.4000000000000004</v>
      </c>
      <c r="F1555" s="344">
        <f ca="1">OFFSET('Zip Code Lines_1'!$Z$3,MATCH('Zip Code Lines_1'!C1555,'Zip Code Lines_1'!$Q$4:$Q$26,0),0)</f>
        <v>83.6</v>
      </c>
      <c r="G1555" s="342">
        <f ca="1">OFFSET('Zip Code Lines_1'!$AC$3,MATCH('Zip Code Lines_1'!C1555,'Zip Code Lines_1'!$Q$4:$Q$26,0),0)</f>
        <v>18</v>
      </c>
      <c r="H1555" s="342">
        <v>13656</v>
      </c>
    </row>
    <row r="1556" spans="2:8" x14ac:dyDescent="0.25">
      <c r="B1556" s="342">
        <v>13657</v>
      </c>
      <c r="C1556" s="343" t="s">
        <v>571</v>
      </c>
      <c r="D1556" s="343" t="str">
        <f ca="1">OFFSET('Zip Code Lines_1'!$U$3,MATCH('Zip Code Lines_1'!C1556,'Zip Code Lines_1'!$Q$4:$Q$26,0),0)</f>
        <v>Watertown</v>
      </c>
      <c r="E1556" s="344">
        <f ca="1">OFFSET('Zip Code Lines_1'!$W$3,MATCH('Zip Code Lines_1'!C1556,'Zip Code Lines_1'!$Q$4:$Q$26,0),0)</f>
        <v>-5</v>
      </c>
      <c r="F1556" s="344">
        <f ca="1">OFFSET('Zip Code Lines_1'!$Z$3,MATCH('Zip Code Lines_1'!C1556,'Zip Code Lines_1'!$Q$4:$Q$26,0),0)</f>
        <v>83.1</v>
      </c>
      <c r="G1556" s="342">
        <f ca="1">OFFSET('Zip Code Lines_1'!$AC$3,MATCH('Zip Code Lines_1'!C1556,'Zip Code Lines_1'!$Q$4:$Q$26,0),0)</f>
        <v>24</v>
      </c>
      <c r="H1556" s="342">
        <v>13657</v>
      </c>
    </row>
    <row r="1557" spans="2:8" x14ac:dyDescent="0.25">
      <c r="B1557" s="342">
        <v>13658</v>
      </c>
      <c r="C1557" s="343" t="s">
        <v>548</v>
      </c>
      <c r="D1557" s="343" t="str">
        <f ca="1">OFFSET('Zip Code Lines_1'!$U$3,MATCH('Zip Code Lines_1'!C1557,'Zip Code Lines_1'!$Q$4:$Q$26,0),0)</f>
        <v>Massena</v>
      </c>
      <c r="E1557" s="344">
        <f ca="1">OFFSET('Zip Code Lines_1'!$W$3,MATCH('Zip Code Lines_1'!C1557,'Zip Code Lines_1'!$Q$4:$Q$26,0),0)</f>
        <v>-7.8</v>
      </c>
      <c r="F1557" s="344">
        <f ca="1">OFFSET('Zip Code Lines_1'!$Z$3,MATCH('Zip Code Lines_1'!C1557,'Zip Code Lines_1'!$Q$4:$Q$26,0),0)</f>
        <v>84.4</v>
      </c>
      <c r="G1557" s="342">
        <f ca="1">OFFSET('Zip Code Lines_1'!$AC$3,MATCH('Zip Code Lines_1'!C1557,'Zip Code Lines_1'!$Q$4:$Q$26,0),0)</f>
        <v>12</v>
      </c>
      <c r="H1557" s="342">
        <v>13658</v>
      </c>
    </row>
    <row r="1558" spans="2:8" x14ac:dyDescent="0.25">
      <c r="B1558" s="342">
        <v>13659</v>
      </c>
      <c r="C1558" s="343" t="s">
        <v>571</v>
      </c>
      <c r="D1558" s="343" t="str">
        <f ca="1">OFFSET('Zip Code Lines_1'!$U$3,MATCH('Zip Code Lines_1'!C1558,'Zip Code Lines_1'!$Q$4:$Q$26,0),0)</f>
        <v>Watertown</v>
      </c>
      <c r="E1558" s="344">
        <f ca="1">OFFSET('Zip Code Lines_1'!$W$3,MATCH('Zip Code Lines_1'!C1558,'Zip Code Lines_1'!$Q$4:$Q$26,0),0)</f>
        <v>-5</v>
      </c>
      <c r="F1558" s="344">
        <f ca="1">OFFSET('Zip Code Lines_1'!$Z$3,MATCH('Zip Code Lines_1'!C1558,'Zip Code Lines_1'!$Q$4:$Q$26,0),0)</f>
        <v>83.1</v>
      </c>
      <c r="G1558" s="342">
        <f ca="1">OFFSET('Zip Code Lines_1'!$AC$3,MATCH('Zip Code Lines_1'!C1558,'Zip Code Lines_1'!$Q$4:$Q$26,0),0)</f>
        <v>24</v>
      </c>
      <c r="H1558" s="342">
        <v>13659</v>
      </c>
    </row>
    <row r="1559" spans="2:8" x14ac:dyDescent="0.25">
      <c r="B1559" s="342">
        <v>13660</v>
      </c>
      <c r="C1559" s="343" t="s">
        <v>548</v>
      </c>
      <c r="D1559" s="343" t="str">
        <f ca="1">OFFSET('Zip Code Lines_1'!$U$3,MATCH('Zip Code Lines_1'!C1559,'Zip Code Lines_1'!$Q$4:$Q$26,0),0)</f>
        <v>Massena</v>
      </c>
      <c r="E1559" s="344">
        <f ca="1">OFFSET('Zip Code Lines_1'!$W$3,MATCH('Zip Code Lines_1'!C1559,'Zip Code Lines_1'!$Q$4:$Q$26,0),0)</f>
        <v>-7.8</v>
      </c>
      <c r="F1559" s="344">
        <f ca="1">OFFSET('Zip Code Lines_1'!$Z$3,MATCH('Zip Code Lines_1'!C1559,'Zip Code Lines_1'!$Q$4:$Q$26,0),0)</f>
        <v>84.4</v>
      </c>
      <c r="G1559" s="342">
        <f ca="1">OFFSET('Zip Code Lines_1'!$AC$3,MATCH('Zip Code Lines_1'!C1559,'Zip Code Lines_1'!$Q$4:$Q$26,0),0)</f>
        <v>12</v>
      </c>
      <c r="H1559" s="342">
        <v>13660</v>
      </c>
    </row>
    <row r="1560" spans="2:8" x14ac:dyDescent="0.25">
      <c r="B1560" s="342">
        <v>13661</v>
      </c>
      <c r="C1560" s="343" t="s">
        <v>541</v>
      </c>
      <c r="D1560" s="343" t="str">
        <f ca="1">OFFSET('Zip Code Lines_1'!$U$3,MATCH('Zip Code Lines_1'!C1560,'Zip Code Lines_1'!$Q$4:$Q$26,0),0)</f>
        <v>Fort Drum</v>
      </c>
      <c r="E1560" s="344">
        <f ca="1">OFFSET('Zip Code Lines_1'!$W$3,MATCH('Zip Code Lines_1'!C1560,'Zip Code Lines_1'!$Q$4:$Q$26,0),0)</f>
        <v>-4.4000000000000004</v>
      </c>
      <c r="F1560" s="344">
        <f ca="1">OFFSET('Zip Code Lines_1'!$Z$3,MATCH('Zip Code Lines_1'!C1560,'Zip Code Lines_1'!$Q$4:$Q$26,0),0)</f>
        <v>83.6</v>
      </c>
      <c r="G1560" s="342">
        <f ca="1">OFFSET('Zip Code Lines_1'!$AC$3,MATCH('Zip Code Lines_1'!C1560,'Zip Code Lines_1'!$Q$4:$Q$26,0),0)</f>
        <v>18</v>
      </c>
      <c r="H1560" s="342">
        <v>13661</v>
      </c>
    </row>
    <row r="1561" spans="2:8" x14ac:dyDescent="0.25">
      <c r="B1561" s="342">
        <v>13662</v>
      </c>
      <c r="C1561" s="343" t="s">
        <v>548</v>
      </c>
      <c r="D1561" s="343" t="str">
        <f ca="1">OFFSET('Zip Code Lines_1'!$U$3,MATCH('Zip Code Lines_1'!C1561,'Zip Code Lines_1'!$Q$4:$Q$26,0),0)</f>
        <v>Massena</v>
      </c>
      <c r="E1561" s="344">
        <f ca="1">OFFSET('Zip Code Lines_1'!$W$3,MATCH('Zip Code Lines_1'!C1561,'Zip Code Lines_1'!$Q$4:$Q$26,0),0)</f>
        <v>-7.8</v>
      </c>
      <c r="F1561" s="344">
        <f ca="1">OFFSET('Zip Code Lines_1'!$Z$3,MATCH('Zip Code Lines_1'!C1561,'Zip Code Lines_1'!$Q$4:$Q$26,0),0)</f>
        <v>84.4</v>
      </c>
      <c r="G1561" s="342">
        <f ca="1">OFFSET('Zip Code Lines_1'!$AC$3,MATCH('Zip Code Lines_1'!C1561,'Zip Code Lines_1'!$Q$4:$Q$26,0),0)</f>
        <v>12</v>
      </c>
      <c r="H1561" s="342">
        <v>13662</v>
      </c>
    </row>
    <row r="1562" spans="2:8" x14ac:dyDescent="0.25">
      <c r="B1562" s="342">
        <v>13664</v>
      </c>
      <c r="C1562" s="343" t="s">
        <v>541</v>
      </c>
      <c r="D1562" s="343" t="str">
        <f ca="1">OFFSET('Zip Code Lines_1'!$U$3,MATCH('Zip Code Lines_1'!C1562,'Zip Code Lines_1'!$Q$4:$Q$26,0),0)</f>
        <v>Fort Drum</v>
      </c>
      <c r="E1562" s="344">
        <f ca="1">OFFSET('Zip Code Lines_1'!$W$3,MATCH('Zip Code Lines_1'!C1562,'Zip Code Lines_1'!$Q$4:$Q$26,0),0)</f>
        <v>-4.4000000000000004</v>
      </c>
      <c r="F1562" s="344">
        <f ca="1">OFFSET('Zip Code Lines_1'!$Z$3,MATCH('Zip Code Lines_1'!C1562,'Zip Code Lines_1'!$Q$4:$Q$26,0),0)</f>
        <v>83.6</v>
      </c>
      <c r="G1562" s="342">
        <f ca="1">OFFSET('Zip Code Lines_1'!$AC$3,MATCH('Zip Code Lines_1'!C1562,'Zip Code Lines_1'!$Q$4:$Q$26,0),0)</f>
        <v>18</v>
      </c>
      <c r="H1562" s="342">
        <v>13664</v>
      </c>
    </row>
    <row r="1563" spans="2:8" x14ac:dyDescent="0.25">
      <c r="B1563" s="342">
        <v>13665</v>
      </c>
      <c r="C1563" s="343" t="s">
        <v>541</v>
      </c>
      <c r="D1563" s="343" t="str">
        <f ca="1">OFFSET('Zip Code Lines_1'!$U$3,MATCH('Zip Code Lines_1'!C1563,'Zip Code Lines_1'!$Q$4:$Q$26,0),0)</f>
        <v>Fort Drum</v>
      </c>
      <c r="E1563" s="344">
        <f ca="1">OFFSET('Zip Code Lines_1'!$W$3,MATCH('Zip Code Lines_1'!C1563,'Zip Code Lines_1'!$Q$4:$Q$26,0),0)</f>
        <v>-4.4000000000000004</v>
      </c>
      <c r="F1563" s="344">
        <f ca="1">OFFSET('Zip Code Lines_1'!$Z$3,MATCH('Zip Code Lines_1'!C1563,'Zip Code Lines_1'!$Q$4:$Q$26,0),0)</f>
        <v>83.6</v>
      </c>
      <c r="G1563" s="342">
        <f ca="1">OFFSET('Zip Code Lines_1'!$AC$3,MATCH('Zip Code Lines_1'!C1563,'Zip Code Lines_1'!$Q$4:$Q$26,0),0)</f>
        <v>18</v>
      </c>
      <c r="H1563" s="342">
        <v>13665</v>
      </c>
    </row>
    <row r="1564" spans="2:8" x14ac:dyDescent="0.25">
      <c r="B1564" s="342">
        <v>13666</v>
      </c>
      <c r="C1564" s="343" t="s">
        <v>566</v>
      </c>
      <c r="D1564" s="343" t="str">
        <f ca="1">OFFSET('Zip Code Lines_1'!$U$3,MATCH('Zip Code Lines_1'!C1564,'Zip Code Lines_1'!$Q$4:$Q$26,0),0)</f>
        <v>Saranac Lake</v>
      </c>
      <c r="E1564" s="344">
        <f ca="1">OFFSET('Zip Code Lines_1'!$W$3,MATCH('Zip Code Lines_1'!C1564,'Zip Code Lines_1'!$Q$4:$Q$26,0),0)</f>
        <v>-11.5</v>
      </c>
      <c r="F1564" s="344">
        <f ca="1">OFFSET('Zip Code Lines_1'!$Z$3,MATCH('Zip Code Lines_1'!C1564,'Zip Code Lines_1'!$Q$4:$Q$26,0),0)</f>
        <v>81</v>
      </c>
      <c r="G1564" s="342">
        <f ca="1">OFFSET('Zip Code Lines_1'!$AC$3,MATCH('Zip Code Lines_1'!C1564,'Zip Code Lines_1'!$Q$4:$Q$26,0),0)</f>
        <v>24</v>
      </c>
      <c r="H1564" s="342">
        <v>13666</v>
      </c>
    </row>
    <row r="1565" spans="2:8" x14ac:dyDescent="0.25">
      <c r="B1565" s="342">
        <v>13667</v>
      </c>
      <c r="C1565" s="343" t="s">
        <v>548</v>
      </c>
      <c r="D1565" s="343" t="str">
        <f ca="1">OFFSET('Zip Code Lines_1'!$U$3,MATCH('Zip Code Lines_1'!C1565,'Zip Code Lines_1'!$Q$4:$Q$26,0),0)</f>
        <v>Massena</v>
      </c>
      <c r="E1565" s="344">
        <f ca="1">OFFSET('Zip Code Lines_1'!$W$3,MATCH('Zip Code Lines_1'!C1565,'Zip Code Lines_1'!$Q$4:$Q$26,0),0)</f>
        <v>-7.8</v>
      </c>
      <c r="F1565" s="344">
        <f ca="1">OFFSET('Zip Code Lines_1'!$Z$3,MATCH('Zip Code Lines_1'!C1565,'Zip Code Lines_1'!$Q$4:$Q$26,0),0)</f>
        <v>84.4</v>
      </c>
      <c r="G1565" s="342">
        <f ca="1">OFFSET('Zip Code Lines_1'!$AC$3,MATCH('Zip Code Lines_1'!C1565,'Zip Code Lines_1'!$Q$4:$Q$26,0),0)</f>
        <v>12</v>
      </c>
      <c r="H1565" s="342">
        <v>13667</v>
      </c>
    </row>
    <row r="1566" spans="2:8" x14ac:dyDescent="0.25">
      <c r="B1566" s="342">
        <v>13668</v>
      </c>
      <c r="C1566" s="343" t="s">
        <v>548</v>
      </c>
      <c r="D1566" s="343" t="str">
        <f ca="1">OFFSET('Zip Code Lines_1'!$U$3,MATCH('Zip Code Lines_1'!C1566,'Zip Code Lines_1'!$Q$4:$Q$26,0),0)</f>
        <v>Massena</v>
      </c>
      <c r="E1566" s="344">
        <f ca="1">OFFSET('Zip Code Lines_1'!$W$3,MATCH('Zip Code Lines_1'!C1566,'Zip Code Lines_1'!$Q$4:$Q$26,0),0)</f>
        <v>-7.8</v>
      </c>
      <c r="F1566" s="344">
        <f ca="1">OFFSET('Zip Code Lines_1'!$Z$3,MATCH('Zip Code Lines_1'!C1566,'Zip Code Lines_1'!$Q$4:$Q$26,0),0)</f>
        <v>84.4</v>
      </c>
      <c r="G1566" s="342">
        <f ca="1">OFFSET('Zip Code Lines_1'!$AC$3,MATCH('Zip Code Lines_1'!C1566,'Zip Code Lines_1'!$Q$4:$Q$26,0),0)</f>
        <v>12</v>
      </c>
      <c r="H1566" s="342">
        <v>13668</v>
      </c>
    </row>
    <row r="1567" spans="2:8" x14ac:dyDescent="0.25">
      <c r="B1567" s="342">
        <v>13669</v>
      </c>
      <c r="C1567" s="343" t="s">
        <v>548</v>
      </c>
      <c r="D1567" s="343" t="str">
        <f ca="1">OFFSET('Zip Code Lines_1'!$U$3,MATCH('Zip Code Lines_1'!C1567,'Zip Code Lines_1'!$Q$4:$Q$26,0),0)</f>
        <v>Massena</v>
      </c>
      <c r="E1567" s="344">
        <f ca="1">OFFSET('Zip Code Lines_1'!$W$3,MATCH('Zip Code Lines_1'!C1567,'Zip Code Lines_1'!$Q$4:$Q$26,0),0)</f>
        <v>-7.8</v>
      </c>
      <c r="F1567" s="344">
        <f ca="1">OFFSET('Zip Code Lines_1'!$Z$3,MATCH('Zip Code Lines_1'!C1567,'Zip Code Lines_1'!$Q$4:$Q$26,0),0)</f>
        <v>84.4</v>
      </c>
      <c r="G1567" s="342">
        <f ca="1">OFFSET('Zip Code Lines_1'!$AC$3,MATCH('Zip Code Lines_1'!C1567,'Zip Code Lines_1'!$Q$4:$Q$26,0),0)</f>
        <v>12</v>
      </c>
      <c r="H1567" s="342">
        <v>13669</v>
      </c>
    </row>
    <row r="1568" spans="2:8" x14ac:dyDescent="0.25">
      <c r="B1568" s="342">
        <v>13670</v>
      </c>
      <c r="C1568" s="343" t="s">
        <v>566</v>
      </c>
      <c r="D1568" s="343" t="str">
        <f ca="1">OFFSET('Zip Code Lines_1'!$U$3,MATCH('Zip Code Lines_1'!C1568,'Zip Code Lines_1'!$Q$4:$Q$26,0),0)</f>
        <v>Saranac Lake</v>
      </c>
      <c r="E1568" s="344">
        <f ca="1">OFFSET('Zip Code Lines_1'!$W$3,MATCH('Zip Code Lines_1'!C1568,'Zip Code Lines_1'!$Q$4:$Q$26,0),0)</f>
        <v>-11.5</v>
      </c>
      <c r="F1568" s="344">
        <f ca="1">OFFSET('Zip Code Lines_1'!$Z$3,MATCH('Zip Code Lines_1'!C1568,'Zip Code Lines_1'!$Q$4:$Q$26,0),0)</f>
        <v>81</v>
      </c>
      <c r="G1568" s="342">
        <f ca="1">OFFSET('Zip Code Lines_1'!$AC$3,MATCH('Zip Code Lines_1'!C1568,'Zip Code Lines_1'!$Q$4:$Q$26,0),0)</f>
        <v>24</v>
      </c>
      <c r="H1568" s="342">
        <v>13670</v>
      </c>
    </row>
    <row r="1569" spans="2:8" x14ac:dyDescent="0.25">
      <c r="B1569" s="342">
        <v>13671</v>
      </c>
      <c r="C1569" s="343" t="s">
        <v>541</v>
      </c>
      <c r="D1569" s="343" t="str">
        <f ca="1">OFFSET('Zip Code Lines_1'!$U$3,MATCH('Zip Code Lines_1'!C1569,'Zip Code Lines_1'!$Q$4:$Q$26,0),0)</f>
        <v>Fort Drum</v>
      </c>
      <c r="E1569" s="344">
        <f ca="1">OFFSET('Zip Code Lines_1'!$W$3,MATCH('Zip Code Lines_1'!C1569,'Zip Code Lines_1'!$Q$4:$Q$26,0),0)</f>
        <v>-4.4000000000000004</v>
      </c>
      <c r="F1569" s="344">
        <f ca="1">OFFSET('Zip Code Lines_1'!$Z$3,MATCH('Zip Code Lines_1'!C1569,'Zip Code Lines_1'!$Q$4:$Q$26,0),0)</f>
        <v>83.6</v>
      </c>
      <c r="G1569" s="342">
        <f ca="1">OFFSET('Zip Code Lines_1'!$AC$3,MATCH('Zip Code Lines_1'!C1569,'Zip Code Lines_1'!$Q$4:$Q$26,0),0)</f>
        <v>18</v>
      </c>
      <c r="H1569" s="342">
        <v>13671</v>
      </c>
    </row>
    <row r="1570" spans="2:8" x14ac:dyDescent="0.25">
      <c r="B1570" s="342">
        <v>13672</v>
      </c>
      <c r="C1570" s="343" t="s">
        <v>566</v>
      </c>
      <c r="D1570" s="343" t="str">
        <f ca="1">OFFSET('Zip Code Lines_1'!$U$3,MATCH('Zip Code Lines_1'!C1570,'Zip Code Lines_1'!$Q$4:$Q$26,0),0)</f>
        <v>Saranac Lake</v>
      </c>
      <c r="E1570" s="344">
        <f ca="1">OFFSET('Zip Code Lines_1'!$W$3,MATCH('Zip Code Lines_1'!C1570,'Zip Code Lines_1'!$Q$4:$Q$26,0),0)</f>
        <v>-11.5</v>
      </c>
      <c r="F1570" s="344">
        <f ca="1">OFFSET('Zip Code Lines_1'!$Z$3,MATCH('Zip Code Lines_1'!C1570,'Zip Code Lines_1'!$Q$4:$Q$26,0),0)</f>
        <v>81</v>
      </c>
      <c r="G1570" s="342">
        <f ca="1">OFFSET('Zip Code Lines_1'!$AC$3,MATCH('Zip Code Lines_1'!C1570,'Zip Code Lines_1'!$Q$4:$Q$26,0),0)</f>
        <v>24</v>
      </c>
      <c r="H1570" s="342">
        <v>13672</v>
      </c>
    </row>
    <row r="1571" spans="2:8" x14ac:dyDescent="0.25">
      <c r="B1571" s="342">
        <v>13673</v>
      </c>
      <c r="C1571" s="343" t="s">
        <v>541</v>
      </c>
      <c r="D1571" s="343" t="str">
        <f ca="1">OFFSET('Zip Code Lines_1'!$U$3,MATCH('Zip Code Lines_1'!C1571,'Zip Code Lines_1'!$Q$4:$Q$26,0),0)</f>
        <v>Fort Drum</v>
      </c>
      <c r="E1571" s="344">
        <f ca="1">OFFSET('Zip Code Lines_1'!$W$3,MATCH('Zip Code Lines_1'!C1571,'Zip Code Lines_1'!$Q$4:$Q$26,0),0)</f>
        <v>-4.4000000000000004</v>
      </c>
      <c r="F1571" s="344">
        <f ca="1">OFFSET('Zip Code Lines_1'!$Z$3,MATCH('Zip Code Lines_1'!C1571,'Zip Code Lines_1'!$Q$4:$Q$26,0),0)</f>
        <v>83.6</v>
      </c>
      <c r="G1571" s="342">
        <f ca="1">OFFSET('Zip Code Lines_1'!$AC$3,MATCH('Zip Code Lines_1'!C1571,'Zip Code Lines_1'!$Q$4:$Q$26,0),0)</f>
        <v>18</v>
      </c>
      <c r="H1571" s="342">
        <v>13673</v>
      </c>
    </row>
    <row r="1572" spans="2:8" x14ac:dyDescent="0.25">
      <c r="B1572" s="342">
        <v>13674</v>
      </c>
      <c r="C1572" s="343" t="s">
        <v>541</v>
      </c>
      <c r="D1572" s="343" t="str">
        <f ca="1">OFFSET('Zip Code Lines_1'!$U$3,MATCH('Zip Code Lines_1'!C1572,'Zip Code Lines_1'!$Q$4:$Q$26,0),0)</f>
        <v>Fort Drum</v>
      </c>
      <c r="E1572" s="344">
        <f ca="1">OFFSET('Zip Code Lines_1'!$W$3,MATCH('Zip Code Lines_1'!C1572,'Zip Code Lines_1'!$Q$4:$Q$26,0),0)</f>
        <v>-4.4000000000000004</v>
      </c>
      <c r="F1572" s="344">
        <f ca="1">OFFSET('Zip Code Lines_1'!$Z$3,MATCH('Zip Code Lines_1'!C1572,'Zip Code Lines_1'!$Q$4:$Q$26,0),0)</f>
        <v>83.6</v>
      </c>
      <c r="G1572" s="342">
        <f ca="1">OFFSET('Zip Code Lines_1'!$AC$3,MATCH('Zip Code Lines_1'!C1572,'Zip Code Lines_1'!$Q$4:$Q$26,0),0)</f>
        <v>18</v>
      </c>
      <c r="H1572" s="342">
        <v>13674</v>
      </c>
    </row>
    <row r="1573" spans="2:8" x14ac:dyDescent="0.25">
      <c r="B1573" s="342">
        <v>13675</v>
      </c>
      <c r="C1573" s="343" t="s">
        <v>541</v>
      </c>
      <c r="D1573" s="343" t="str">
        <f ca="1">OFFSET('Zip Code Lines_1'!$U$3,MATCH('Zip Code Lines_1'!C1573,'Zip Code Lines_1'!$Q$4:$Q$26,0),0)</f>
        <v>Fort Drum</v>
      </c>
      <c r="E1573" s="344">
        <f ca="1">OFFSET('Zip Code Lines_1'!$W$3,MATCH('Zip Code Lines_1'!C1573,'Zip Code Lines_1'!$Q$4:$Q$26,0),0)</f>
        <v>-4.4000000000000004</v>
      </c>
      <c r="F1573" s="344">
        <f ca="1">OFFSET('Zip Code Lines_1'!$Z$3,MATCH('Zip Code Lines_1'!C1573,'Zip Code Lines_1'!$Q$4:$Q$26,0),0)</f>
        <v>83.6</v>
      </c>
      <c r="G1573" s="342">
        <f ca="1">OFFSET('Zip Code Lines_1'!$AC$3,MATCH('Zip Code Lines_1'!C1573,'Zip Code Lines_1'!$Q$4:$Q$26,0),0)</f>
        <v>18</v>
      </c>
      <c r="H1573" s="342">
        <v>13675</v>
      </c>
    </row>
    <row r="1574" spans="2:8" x14ac:dyDescent="0.25">
      <c r="B1574" s="342">
        <v>13676</v>
      </c>
      <c r="C1574" s="343" t="s">
        <v>548</v>
      </c>
      <c r="D1574" s="343" t="str">
        <f ca="1">OFFSET('Zip Code Lines_1'!$U$3,MATCH('Zip Code Lines_1'!C1574,'Zip Code Lines_1'!$Q$4:$Q$26,0),0)</f>
        <v>Massena</v>
      </c>
      <c r="E1574" s="344">
        <f ca="1">OFFSET('Zip Code Lines_1'!$W$3,MATCH('Zip Code Lines_1'!C1574,'Zip Code Lines_1'!$Q$4:$Q$26,0),0)</f>
        <v>-7.8</v>
      </c>
      <c r="F1574" s="344">
        <f ca="1">OFFSET('Zip Code Lines_1'!$Z$3,MATCH('Zip Code Lines_1'!C1574,'Zip Code Lines_1'!$Q$4:$Q$26,0),0)</f>
        <v>84.4</v>
      </c>
      <c r="G1574" s="342">
        <f ca="1">OFFSET('Zip Code Lines_1'!$AC$3,MATCH('Zip Code Lines_1'!C1574,'Zip Code Lines_1'!$Q$4:$Q$26,0),0)</f>
        <v>12</v>
      </c>
      <c r="H1574" s="342">
        <v>13676</v>
      </c>
    </row>
    <row r="1575" spans="2:8" x14ac:dyDescent="0.25">
      <c r="B1575" s="342">
        <v>13677</v>
      </c>
      <c r="C1575" s="343" t="s">
        <v>548</v>
      </c>
      <c r="D1575" s="343" t="str">
        <f ca="1">OFFSET('Zip Code Lines_1'!$U$3,MATCH('Zip Code Lines_1'!C1575,'Zip Code Lines_1'!$Q$4:$Q$26,0),0)</f>
        <v>Massena</v>
      </c>
      <c r="E1575" s="344">
        <f ca="1">OFFSET('Zip Code Lines_1'!$W$3,MATCH('Zip Code Lines_1'!C1575,'Zip Code Lines_1'!$Q$4:$Q$26,0),0)</f>
        <v>-7.8</v>
      </c>
      <c r="F1575" s="344">
        <f ca="1">OFFSET('Zip Code Lines_1'!$Z$3,MATCH('Zip Code Lines_1'!C1575,'Zip Code Lines_1'!$Q$4:$Q$26,0),0)</f>
        <v>84.4</v>
      </c>
      <c r="G1575" s="342">
        <f ca="1">OFFSET('Zip Code Lines_1'!$AC$3,MATCH('Zip Code Lines_1'!C1575,'Zip Code Lines_1'!$Q$4:$Q$26,0),0)</f>
        <v>12</v>
      </c>
      <c r="H1575" s="342">
        <v>13677</v>
      </c>
    </row>
    <row r="1576" spans="2:8" x14ac:dyDescent="0.25">
      <c r="B1576" s="342">
        <v>13678</v>
      </c>
      <c r="C1576" s="343" t="s">
        <v>548</v>
      </c>
      <c r="D1576" s="343" t="str">
        <f ca="1">OFFSET('Zip Code Lines_1'!$U$3,MATCH('Zip Code Lines_1'!C1576,'Zip Code Lines_1'!$Q$4:$Q$26,0),0)</f>
        <v>Massena</v>
      </c>
      <c r="E1576" s="344">
        <f ca="1">OFFSET('Zip Code Lines_1'!$W$3,MATCH('Zip Code Lines_1'!C1576,'Zip Code Lines_1'!$Q$4:$Q$26,0),0)</f>
        <v>-7.8</v>
      </c>
      <c r="F1576" s="344">
        <f ca="1">OFFSET('Zip Code Lines_1'!$Z$3,MATCH('Zip Code Lines_1'!C1576,'Zip Code Lines_1'!$Q$4:$Q$26,0),0)</f>
        <v>84.4</v>
      </c>
      <c r="G1576" s="342">
        <f ca="1">OFFSET('Zip Code Lines_1'!$AC$3,MATCH('Zip Code Lines_1'!C1576,'Zip Code Lines_1'!$Q$4:$Q$26,0),0)</f>
        <v>12</v>
      </c>
      <c r="H1576" s="342">
        <v>13678</v>
      </c>
    </row>
    <row r="1577" spans="2:8" x14ac:dyDescent="0.25">
      <c r="B1577" s="342">
        <v>13679</v>
      </c>
      <c r="C1577" s="343" t="s">
        <v>541</v>
      </c>
      <c r="D1577" s="343" t="str">
        <f ca="1">OFFSET('Zip Code Lines_1'!$U$3,MATCH('Zip Code Lines_1'!C1577,'Zip Code Lines_1'!$Q$4:$Q$26,0),0)</f>
        <v>Fort Drum</v>
      </c>
      <c r="E1577" s="344">
        <f ca="1">OFFSET('Zip Code Lines_1'!$W$3,MATCH('Zip Code Lines_1'!C1577,'Zip Code Lines_1'!$Q$4:$Q$26,0),0)</f>
        <v>-4.4000000000000004</v>
      </c>
      <c r="F1577" s="344">
        <f ca="1">OFFSET('Zip Code Lines_1'!$Z$3,MATCH('Zip Code Lines_1'!C1577,'Zip Code Lines_1'!$Q$4:$Q$26,0),0)</f>
        <v>83.6</v>
      </c>
      <c r="G1577" s="342">
        <f ca="1">OFFSET('Zip Code Lines_1'!$AC$3,MATCH('Zip Code Lines_1'!C1577,'Zip Code Lines_1'!$Q$4:$Q$26,0),0)</f>
        <v>18</v>
      </c>
      <c r="H1577" s="342">
        <v>13679</v>
      </c>
    </row>
    <row r="1578" spans="2:8" x14ac:dyDescent="0.25">
      <c r="B1578" s="342">
        <v>13680</v>
      </c>
      <c r="C1578" s="343" t="s">
        <v>548</v>
      </c>
      <c r="D1578" s="343" t="str">
        <f ca="1">OFFSET('Zip Code Lines_1'!$U$3,MATCH('Zip Code Lines_1'!C1578,'Zip Code Lines_1'!$Q$4:$Q$26,0),0)</f>
        <v>Massena</v>
      </c>
      <c r="E1578" s="344">
        <f ca="1">OFFSET('Zip Code Lines_1'!$W$3,MATCH('Zip Code Lines_1'!C1578,'Zip Code Lines_1'!$Q$4:$Q$26,0),0)</f>
        <v>-7.8</v>
      </c>
      <c r="F1578" s="344">
        <f ca="1">OFFSET('Zip Code Lines_1'!$Z$3,MATCH('Zip Code Lines_1'!C1578,'Zip Code Lines_1'!$Q$4:$Q$26,0),0)</f>
        <v>84.4</v>
      </c>
      <c r="G1578" s="342">
        <f ca="1">OFFSET('Zip Code Lines_1'!$AC$3,MATCH('Zip Code Lines_1'!C1578,'Zip Code Lines_1'!$Q$4:$Q$26,0),0)</f>
        <v>12</v>
      </c>
      <c r="H1578" s="342">
        <v>13680</v>
      </c>
    </row>
    <row r="1579" spans="2:8" x14ac:dyDescent="0.25">
      <c r="B1579" s="342">
        <v>13681</v>
      </c>
      <c r="C1579" s="343" t="s">
        <v>541</v>
      </c>
      <c r="D1579" s="343" t="str">
        <f ca="1">OFFSET('Zip Code Lines_1'!$U$3,MATCH('Zip Code Lines_1'!C1579,'Zip Code Lines_1'!$Q$4:$Q$26,0),0)</f>
        <v>Fort Drum</v>
      </c>
      <c r="E1579" s="344">
        <f ca="1">OFFSET('Zip Code Lines_1'!$W$3,MATCH('Zip Code Lines_1'!C1579,'Zip Code Lines_1'!$Q$4:$Q$26,0),0)</f>
        <v>-4.4000000000000004</v>
      </c>
      <c r="F1579" s="344">
        <f ca="1">OFFSET('Zip Code Lines_1'!$Z$3,MATCH('Zip Code Lines_1'!C1579,'Zip Code Lines_1'!$Q$4:$Q$26,0),0)</f>
        <v>83.6</v>
      </c>
      <c r="G1579" s="342">
        <f ca="1">OFFSET('Zip Code Lines_1'!$AC$3,MATCH('Zip Code Lines_1'!C1579,'Zip Code Lines_1'!$Q$4:$Q$26,0),0)</f>
        <v>18</v>
      </c>
      <c r="H1579" s="342">
        <v>13681</v>
      </c>
    </row>
    <row r="1580" spans="2:8" x14ac:dyDescent="0.25">
      <c r="B1580" s="342">
        <v>13682</v>
      </c>
      <c r="C1580" s="343" t="s">
        <v>571</v>
      </c>
      <c r="D1580" s="343" t="str">
        <f ca="1">OFFSET('Zip Code Lines_1'!$U$3,MATCH('Zip Code Lines_1'!C1580,'Zip Code Lines_1'!$Q$4:$Q$26,0),0)</f>
        <v>Watertown</v>
      </c>
      <c r="E1580" s="344">
        <f ca="1">OFFSET('Zip Code Lines_1'!$W$3,MATCH('Zip Code Lines_1'!C1580,'Zip Code Lines_1'!$Q$4:$Q$26,0),0)</f>
        <v>-5</v>
      </c>
      <c r="F1580" s="344">
        <f ca="1">OFFSET('Zip Code Lines_1'!$Z$3,MATCH('Zip Code Lines_1'!C1580,'Zip Code Lines_1'!$Q$4:$Q$26,0),0)</f>
        <v>83.1</v>
      </c>
      <c r="G1580" s="342">
        <f ca="1">OFFSET('Zip Code Lines_1'!$AC$3,MATCH('Zip Code Lines_1'!C1580,'Zip Code Lines_1'!$Q$4:$Q$26,0),0)</f>
        <v>24</v>
      </c>
      <c r="H1580" s="342">
        <v>13682</v>
      </c>
    </row>
    <row r="1581" spans="2:8" x14ac:dyDescent="0.25">
      <c r="B1581" s="342">
        <v>13683</v>
      </c>
      <c r="C1581" s="343" t="s">
        <v>548</v>
      </c>
      <c r="D1581" s="343" t="str">
        <f ca="1">OFFSET('Zip Code Lines_1'!$U$3,MATCH('Zip Code Lines_1'!C1581,'Zip Code Lines_1'!$Q$4:$Q$26,0),0)</f>
        <v>Massena</v>
      </c>
      <c r="E1581" s="344">
        <f ca="1">OFFSET('Zip Code Lines_1'!$W$3,MATCH('Zip Code Lines_1'!C1581,'Zip Code Lines_1'!$Q$4:$Q$26,0),0)</f>
        <v>-7.8</v>
      </c>
      <c r="F1581" s="344">
        <f ca="1">OFFSET('Zip Code Lines_1'!$Z$3,MATCH('Zip Code Lines_1'!C1581,'Zip Code Lines_1'!$Q$4:$Q$26,0),0)</f>
        <v>84.4</v>
      </c>
      <c r="G1581" s="342">
        <f ca="1">OFFSET('Zip Code Lines_1'!$AC$3,MATCH('Zip Code Lines_1'!C1581,'Zip Code Lines_1'!$Q$4:$Q$26,0),0)</f>
        <v>12</v>
      </c>
      <c r="H1581" s="342">
        <v>13683</v>
      </c>
    </row>
    <row r="1582" spans="2:8" x14ac:dyDescent="0.25">
      <c r="B1582" s="342">
        <v>13684</v>
      </c>
      <c r="C1582" s="343" t="s">
        <v>548</v>
      </c>
      <c r="D1582" s="343" t="str">
        <f ca="1">OFFSET('Zip Code Lines_1'!$U$3,MATCH('Zip Code Lines_1'!C1582,'Zip Code Lines_1'!$Q$4:$Q$26,0),0)</f>
        <v>Massena</v>
      </c>
      <c r="E1582" s="344">
        <f ca="1">OFFSET('Zip Code Lines_1'!$W$3,MATCH('Zip Code Lines_1'!C1582,'Zip Code Lines_1'!$Q$4:$Q$26,0),0)</f>
        <v>-7.8</v>
      </c>
      <c r="F1582" s="344">
        <f ca="1">OFFSET('Zip Code Lines_1'!$Z$3,MATCH('Zip Code Lines_1'!C1582,'Zip Code Lines_1'!$Q$4:$Q$26,0),0)</f>
        <v>84.4</v>
      </c>
      <c r="G1582" s="342">
        <f ca="1">OFFSET('Zip Code Lines_1'!$AC$3,MATCH('Zip Code Lines_1'!C1582,'Zip Code Lines_1'!$Q$4:$Q$26,0),0)</f>
        <v>12</v>
      </c>
      <c r="H1582" s="342">
        <v>13684</v>
      </c>
    </row>
    <row r="1583" spans="2:8" x14ac:dyDescent="0.25">
      <c r="B1583" s="342">
        <v>13685</v>
      </c>
      <c r="C1583" s="343" t="s">
        <v>571</v>
      </c>
      <c r="D1583" s="343" t="str">
        <f ca="1">OFFSET('Zip Code Lines_1'!$U$3,MATCH('Zip Code Lines_1'!C1583,'Zip Code Lines_1'!$Q$4:$Q$26,0),0)</f>
        <v>Watertown</v>
      </c>
      <c r="E1583" s="344">
        <f ca="1">OFFSET('Zip Code Lines_1'!$W$3,MATCH('Zip Code Lines_1'!C1583,'Zip Code Lines_1'!$Q$4:$Q$26,0),0)</f>
        <v>-5</v>
      </c>
      <c r="F1583" s="344">
        <f ca="1">OFFSET('Zip Code Lines_1'!$Z$3,MATCH('Zip Code Lines_1'!C1583,'Zip Code Lines_1'!$Q$4:$Q$26,0),0)</f>
        <v>83.1</v>
      </c>
      <c r="G1583" s="342">
        <f ca="1">OFFSET('Zip Code Lines_1'!$AC$3,MATCH('Zip Code Lines_1'!C1583,'Zip Code Lines_1'!$Q$4:$Q$26,0),0)</f>
        <v>24</v>
      </c>
      <c r="H1583" s="342">
        <v>13685</v>
      </c>
    </row>
    <row r="1584" spans="2:8" x14ac:dyDescent="0.25">
      <c r="B1584" s="342">
        <v>13687</v>
      </c>
      <c r="C1584" s="343" t="s">
        <v>566</v>
      </c>
      <c r="D1584" s="343" t="str">
        <f ca="1">OFFSET('Zip Code Lines_1'!$U$3,MATCH('Zip Code Lines_1'!C1584,'Zip Code Lines_1'!$Q$4:$Q$26,0),0)</f>
        <v>Saranac Lake</v>
      </c>
      <c r="E1584" s="344">
        <f ca="1">OFFSET('Zip Code Lines_1'!$W$3,MATCH('Zip Code Lines_1'!C1584,'Zip Code Lines_1'!$Q$4:$Q$26,0),0)</f>
        <v>-11.5</v>
      </c>
      <c r="F1584" s="344">
        <f ca="1">OFFSET('Zip Code Lines_1'!$Z$3,MATCH('Zip Code Lines_1'!C1584,'Zip Code Lines_1'!$Q$4:$Q$26,0),0)</f>
        <v>81</v>
      </c>
      <c r="G1584" s="342">
        <f ca="1">OFFSET('Zip Code Lines_1'!$AC$3,MATCH('Zip Code Lines_1'!C1584,'Zip Code Lines_1'!$Q$4:$Q$26,0),0)</f>
        <v>24</v>
      </c>
      <c r="H1584" s="342">
        <v>13687</v>
      </c>
    </row>
    <row r="1585" spans="2:8" x14ac:dyDescent="0.25">
      <c r="B1585" s="342">
        <v>13690</v>
      </c>
      <c r="C1585" s="343" t="s">
        <v>566</v>
      </c>
      <c r="D1585" s="343" t="str">
        <f ca="1">OFFSET('Zip Code Lines_1'!$U$3,MATCH('Zip Code Lines_1'!C1585,'Zip Code Lines_1'!$Q$4:$Q$26,0),0)</f>
        <v>Saranac Lake</v>
      </c>
      <c r="E1585" s="344">
        <f ca="1">OFFSET('Zip Code Lines_1'!$W$3,MATCH('Zip Code Lines_1'!C1585,'Zip Code Lines_1'!$Q$4:$Q$26,0),0)</f>
        <v>-11.5</v>
      </c>
      <c r="F1585" s="344">
        <f ca="1">OFFSET('Zip Code Lines_1'!$Z$3,MATCH('Zip Code Lines_1'!C1585,'Zip Code Lines_1'!$Q$4:$Q$26,0),0)</f>
        <v>81</v>
      </c>
      <c r="G1585" s="342">
        <f ca="1">OFFSET('Zip Code Lines_1'!$AC$3,MATCH('Zip Code Lines_1'!C1585,'Zip Code Lines_1'!$Q$4:$Q$26,0),0)</f>
        <v>24</v>
      </c>
      <c r="H1585" s="342">
        <v>13690</v>
      </c>
    </row>
    <row r="1586" spans="2:8" x14ac:dyDescent="0.25">
      <c r="B1586" s="342">
        <v>13691</v>
      </c>
      <c r="C1586" s="343" t="s">
        <v>541</v>
      </c>
      <c r="D1586" s="343" t="str">
        <f ca="1">OFFSET('Zip Code Lines_1'!$U$3,MATCH('Zip Code Lines_1'!C1586,'Zip Code Lines_1'!$Q$4:$Q$26,0),0)</f>
        <v>Fort Drum</v>
      </c>
      <c r="E1586" s="344">
        <f ca="1">OFFSET('Zip Code Lines_1'!$W$3,MATCH('Zip Code Lines_1'!C1586,'Zip Code Lines_1'!$Q$4:$Q$26,0),0)</f>
        <v>-4.4000000000000004</v>
      </c>
      <c r="F1586" s="344">
        <f ca="1">OFFSET('Zip Code Lines_1'!$Z$3,MATCH('Zip Code Lines_1'!C1586,'Zip Code Lines_1'!$Q$4:$Q$26,0),0)</f>
        <v>83.6</v>
      </c>
      <c r="G1586" s="342">
        <f ca="1">OFFSET('Zip Code Lines_1'!$AC$3,MATCH('Zip Code Lines_1'!C1586,'Zip Code Lines_1'!$Q$4:$Q$26,0),0)</f>
        <v>18</v>
      </c>
      <c r="H1586" s="342">
        <v>13691</v>
      </c>
    </row>
    <row r="1587" spans="2:8" x14ac:dyDescent="0.25">
      <c r="B1587" s="342">
        <v>13692</v>
      </c>
      <c r="C1587" s="343" t="s">
        <v>541</v>
      </c>
      <c r="D1587" s="343" t="str">
        <f ca="1">OFFSET('Zip Code Lines_1'!$U$3,MATCH('Zip Code Lines_1'!C1587,'Zip Code Lines_1'!$Q$4:$Q$26,0),0)</f>
        <v>Fort Drum</v>
      </c>
      <c r="E1587" s="344">
        <f ca="1">OFFSET('Zip Code Lines_1'!$W$3,MATCH('Zip Code Lines_1'!C1587,'Zip Code Lines_1'!$Q$4:$Q$26,0),0)</f>
        <v>-4.4000000000000004</v>
      </c>
      <c r="F1587" s="344">
        <f ca="1">OFFSET('Zip Code Lines_1'!$Z$3,MATCH('Zip Code Lines_1'!C1587,'Zip Code Lines_1'!$Q$4:$Q$26,0),0)</f>
        <v>83.6</v>
      </c>
      <c r="G1587" s="342">
        <f ca="1">OFFSET('Zip Code Lines_1'!$AC$3,MATCH('Zip Code Lines_1'!C1587,'Zip Code Lines_1'!$Q$4:$Q$26,0),0)</f>
        <v>18</v>
      </c>
      <c r="H1587" s="342">
        <v>13692</v>
      </c>
    </row>
    <row r="1588" spans="2:8" x14ac:dyDescent="0.25">
      <c r="B1588" s="342">
        <v>13693</v>
      </c>
      <c r="C1588" s="343" t="s">
        <v>541</v>
      </c>
      <c r="D1588" s="343" t="str">
        <f ca="1">OFFSET('Zip Code Lines_1'!$U$3,MATCH('Zip Code Lines_1'!C1588,'Zip Code Lines_1'!$Q$4:$Q$26,0),0)</f>
        <v>Fort Drum</v>
      </c>
      <c r="E1588" s="344">
        <f ca="1">OFFSET('Zip Code Lines_1'!$W$3,MATCH('Zip Code Lines_1'!C1588,'Zip Code Lines_1'!$Q$4:$Q$26,0),0)</f>
        <v>-4.4000000000000004</v>
      </c>
      <c r="F1588" s="344">
        <f ca="1">OFFSET('Zip Code Lines_1'!$Z$3,MATCH('Zip Code Lines_1'!C1588,'Zip Code Lines_1'!$Q$4:$Q$26,0),0)</f>
        <v>83.6</v>
      </c>
      <c r="G1588" s="342">
        <f ca="1">OFFSET('Zip Code Lines_1'!$AC$3,MATCH('Zip Code Lines_1'!C1588,'Zip Code Lines_1'!$Q$4:$Q$26,0),0)</f>
        <v>18</v>
      </c>
      <c r="H1588" s="342">
        <v>13693</v>
      </c>
    </row>
    <row r="1589" spans="2:8" x14ac:dyDescent="0.25">
      <c r="B1589" s="342">
        <v>13694</v>
      </c>
      <c r="C1589" s="343" t="s">
        <v>548</v>
      </c>
      <c r="D1589" s="343" t="str">
        <f ca="1">OFFSET('Zip Code Lines_1'!$U$3,MATCH('Zip Code Lines_1'!C1589,'Zip Code Lines_1'!$Q$4:$Q$26,0),0)</f>
        <v>Massena</v>
      </c>
      <c r="E1589" s="344">
        <f ca="1">OFFSET('Zip Code Lines_1'!$W$3,MATCH('Zip Code Lines_1'!C1589,'Zip Code Lines_1'!$Q$4:$Q$26,0),0)</f>
        <v>-7.8</v>
      </c>
      <c r="F1589" s="344">
        <f ca="1">OFFSET('Zip Code Lines_1'!$Z$3,MATCH('Zip Code Lines_1'!C1589,'Zip Code Lines_1'!$Q$4:$Q$26,0),0)</f>
        <v>84.4</v>
      </c>
      <c r="G1589" s="342">
        <f ca="1">OFFSET('Zip Code Lines_1'!$AC$3,MATCH('Zip Code Lines_1'!C1589,'Zip Code Lines_1'!$Q$4:$Q$26,0),0)</f>
        <v>12</v>
      </c>
      <c r="H1589" s="342">
        <v>13694</v>
      </c>
    </row>
    <row r="1590" spans="2:8" x14ac:dyDescent="0.25">
      <c r="B1590" s="342">
        <v>13695</v>
      </c>
      <c r="C1590" s="343" t="s">
        <v>566</v>
      </c>
      <c r="D1590" s="343" t="str">
        <f ca="1">OFFSET('Zip Code Lines_1'!$U$3,MATCH('Zip Code Lines_1'!C1590,'Zip Code Lines_1'!$Q$4:$Q$26,0),0)</f>
        <v>Saranac Lake</v>
      </c>
      <c r="E1590" s="344">
        <f ca="1">OFFSET('Zip Code Lines_1'!$W$3,MATCH('Zip Code Lines_1'!C1590,'Zip Code Lines_1'!$Q$4:$Q$26,0),0)</f>
        <v>-11.5</v>
      </c>
      <c r="F1590" s="344">
        <f ca="1">OFFSET('Zip Code Lines_1'!$Z$3,MATCH('Zip Code Lines_1'!C1590,'Zip Code Lines_1'!$Q$4:$Q$26,0),0)</f>
        <v>81</v>
      </c>
      <c r="G1590" s="342">
        <f ca="1">OFFSET('Zip Code Lines_1'!$AC$3,MATCH('Zip Code Lines_1'!C1590,'Zip Code Lines_1'!$Q$4:$Q$26,0),0)</f>
        <v>24</v>
      </c>
      <c r="H1590" s="342">
        <v>13695</v>
      </c>
    </row>
    <row r="1591" spans="2:8" x14ac:dyDescent="0.25">
      <c r="B1591" s="342">
        <v>13696</v>
      </c>
      <c r="C1591" s="343" t="s">
        <v>548</v>
      </c>
      <c r="D1591" s="343" t="str">
        <f ca="1">OFFSET('Zip Code Lines_1'!$U$3,MATCH('Zip Code Lines_1'!C1591,'Zip Code Lines_1'!$Q$4:$Q$26,0),0)</f>
        <v>Massena</v>
      </c>
      <c r="E1591" s="344">
        <f ca="1">OFFSET('Zip Code Lines_1'!$W$3,MATCH('Zip Code Lines_1'!C1591,'Zip Code Lines_1'!$Q$4:$Q$26,0),0)</f>
        <v>-7.8</v>
      </c>
      <c r="F1591" s="344">
        <f ca="1">OFFSET('Zip Code Lines_1'!$Z$3,MATCH('Zip Code Lines_1'!C1591,'Zip Code Lines_1'!$Q$4:$Q$26,0),0)</f>
        <v>84.4</v>
      </c>
      <c r="G1591" s="342">
        <f ca="1">OFFSET('Zip Code Lines_1'!$AC$3,MATCH('Zip Code Lines_1'!C1591,'Zip Code Lines_1'!$Q$4:$Q$26,0),0)</f>
        <v>12</v>
      </c>
      <c r="H1591" s="342">
        <v>13696</v>
      </c>
    </row>
    <row r="1592" spans="2:8" x14ac:dyDescent="0.25">
      <c r="B1592" s="342">
        <v>13697</v>
      </c>
      <c r="C1592" s="343" t="s">
        <v>548</v>
      </c>
      <c r="D1592" s="343" t="str">
        <f ca="1">OFFSET('Zip Code Lines_1'!$U$3,MATCH('Zip Code Lines_1'!C1592,'Zip Code Lines_1'!$Q$4:$Q$26,0),0)</f>
        <v>Massena</v>
      </c>
      <c r="E1592" s="344">
        <f ca="1">OFFSET('Zip Code Lines_1'!$W$3,MATCH('Zip Code Lines_1'!C1592,'Zip Code Lines_1'!$Q$4:$Q$26,0),0)</f>
        <v>-7.8</v>
      </c>
      <c r="F1592" s="344">
        <f ca="1">OFFSET('Zip Code Lines_1'!$Z$3,MATCH('Zip Code Lines_1'!C1592,'Zip Code Lines_1'!$Q$4:$Q$26,0),0)</f>
        <v>84.4</v>
      </c>
      <c r="G1592" s="342">
        <f ca="1">OFFSET('Zip Code Lines_1'!$AC$3,MATCH('Zip Code Lines_1'!C1592,'Zip Code Lines_1'!$Q$4:$Q$26,0),0)</f>
        <v>12</v>
      </c>
      <c r="H1592" s="342">
        <v>13697</v>
      </c>
    </row>
    <row r="1593" spans="2:8" x14ac:dyDescent="0.25">
      <c r="B1593" s="342">
        <v>13699</v>
      </c>
      <c r="C1593" s="343" t="s">
        <v>548</v>
      </c>
      <c r="D1593" s="343" t="str">
        <f ca="1">OFFSET('Zip Code Lines_1'!$U$3,MATCH('Zip Code Lines_1'!C1593,'Zip Code Lines_1'!$Q$4:$Q$26,0),0)</f>
        <v>Massena</v>
      </c>
      <c r="E1593" s="344">
        <f ca="1">OFFSET('Zip Code Lines_1'!$W$3,MATCH('Zip Code Lines_1'!C1593,'Zip Code Lines_1'!$Q$4:$Q$26,0),0)</f>
        <v>-7.8</v>
      </c>
      <c r="F1593" s="344">
        <f ca="1">OFFSET('Zip Code Lines_1'!$Z$3,MATCH('Zip Code Lines_1'!C1593,'Zip Code Lines_1'!$Q$4:$Q$26,0),0)</f>
        <v>84.4</v>
      </c>
      <c r="G1593" s="342">
        <f ca="1">OFFSET('Zip Code Lines_1'!$AC$3,MATCH('Zip Code Lines_1'!C1593,'Zip Code Lines_1'!$Q$4:$Q$26,0),0)</f>
        <v>12</v>
      </c>
      <c r="H1593" s="342">
        <v>13699</v>
      </c>
    </row>
    <row r="1594" spans="2:8" x14ac:dyDescent="0.25">
      <c r="B1594" s="342">
        <v>13730</v>
      </c>
      <c r="C1594" s="343" t="s">
        <v>532</v>
      </c>
      <c r="D1594" s="343" t="str">
        <f ca="1">OFFSET('Zip Code Lines_1'!$U$3,MATCH('Zip Code Lines_1'!C1594,'Zip Code Lines_1'!$Q$4:$Q$26,0),0)</f>
        <v>Binghamton</v>
      </c>
      <c r="E1594" s="344">
        <f ca="1">OFFSET('Zip Code Lines_1'!$W$3,MATCH('Zip Code Lines_1'!C1594,'Zip Code Lines_1'!$Q$4:$Q$26,0),0)</f>
        <v>4.5</v>
      </c>
      <c r="F1594" s="344">
        <f ca="1">OFFSET('Zip Code Lines_1'!$Z$3,MATCH('Zip Code Lines_1'!C1594,'Zip Code Lines_1'!$Q$4:$Q$26,0),0)</f>
        <v>82.3</v>
      </c>
      <c r="G1594" s="342">
        <f ca="1">OFFSET('Zip Code Lines_1'!$AC$3,MATCH('Zip Code Lines_1'!C1594,'Zip Code Lines_1'!$Q$4:$Q$26,0),0)</f>
        <v>12</v>
      </c>
      <c r="H1594" s="342">
        <v>13730</v>
      </c>
    </row>
    <row r="1595" spans="2:8" x14ac:dyDescent="0.25">
      <c r="B1595" s="342">
        <v>13731</v>
      </c>
      <c r="C1595" s="343" t="s">
        <v>532</v>
      </c>
      <c r="D1595" s="343" t="str">
        <f ca="1">OFFSET('Zip Code Lines_1'!$U$3,MATCH('Zip Code Lines_1'!C1595,'Zip Code Lines_1'!$Q$4:$Q$26,0),0)</f>
        <v>Binghamton</v>
      </c>
      <c r="E1595" s="344">
        <f ca="1">OFFSET('Zip Code Lines_1'!$W$3,MATCH('Zip Code Lines_1'!C1595,'Zip Code Lines_1'!$Q$4:$Q$26,0),0)</f>
        <v>4.5</v>
      </c>
      <c r="F1595" s="344">
        <f ca="1">OFFSET('Zip Code Lines_1'!$Z$3,MATCH('Zip Code Lines_1'!C1595,'Zip Code Lines_1'!$Q$4:$Q$26,0),0)</f>
        <v>82.3</v>
      </c>
      <c r="G1595" s="342">
        <f ca="1">OFFSET('Zip Code Lines_1'!$AC$3,MATCH('Zip Code Lines_1'!C1595,'Zip Code Lines_1'!$Q$4:$Q$26,0),0)</f>
        <v>12</v>
      </c>
      <c r="H1595" s="342">
        <v>13731</v>
      </c>
    </row>
    <row r="1596" spans="2:8" x14ac:dyDescent="0.25">
      <c r="B1596" s="342">
        <v>13732</v>
      </c>
      <c r="C1596" s="343" t="s">
        <v>532</v>
      </c>
      <c r="D1596" s="343" t="str">
        <f ca="1">OFFSET('Zip Code Lines_1'!$U$3,MATCH('Zip Code Lines_1'!C1596,'Zip Code Lines_1'!$Q$4:$Q$26,0),0)</f>
        <v>Binghamton</v>
      </c>
      <c r="E1596" s="344">
        <f ca="1">OFFSET('Zip Code Lines_1'!$W$3,MATCH('Zip Code Lines_1'!C1596,'Zip Code Lines_1'!$Q$4:$Q$26,0),0)</f>
        <v>4.5</v>
      </c>
      <c r="F1596" s="344">
        <f ca="1">OFFSET('Zip Code Lines_1'!$Z$3,MATCH('Zip Code Lines_1'!C1596,'Zip Code Lines_1'!$Q$4:$Q$26,0),0)</f>
        <v>82.3</v>
      </c>
      <c r="G1596" s="342">
        <f ca="1">OFFSET('Zip Code Lines_1'!$AC$3,MATCH('Zip Code Lines_1'!C1596,'Zip Code Lines_1'!$Q$4:$Q$26,0),0)</f>
        <v>12</v>
      </c>
      <c r="H1596" s="342">
        <v>13732</v>
      </c>
    </row>
    <row r="1597" spans="2:8" x14ac:dyDescent="0.25">
      <c r="B1597" s="342">
        <v>13733</v>
      </c>
      <c r="C1597" s="343" t="s">
        <v>569</v>
      </c>
      <c r="D1597" s="343" t="str">
        <f ca="1">OFFSET('Zip Code Lines_1'!$U$3,MATCH('Zip Code Lines_1'!C1597,'Zip Code Lines_1'!$Q$4:$Q$26,0),0)</f>
        <v>Utica</v>
      </c>
      <c r="E1597" s="344">
        <f ca="1">OFFSET('Zip Code Lines_1'!$W$3,MATCH('Zip Code Lines_1'!C1597,'Zip Code Lines_1'!$Q$4:$Q$26,0),0)</f>
        <v>1.2</v>
      </c>
      <c r="F1597" s="344">
        <f ca="1">OFFSET('Zip Code Lines_1'!$Z$3,MATCH('Zip Code Lines_1'!C1597,'Zip Code Lines_1'!$Q$4:$Q$26,0),0)</f>
        <v>84.2</v>
      </c>
      <c r="G1597" s="342">
        <f ca="1">OFFSET('Zip Code Lines_1'!$AC$3,MATCH('Zip Code Lines_1'!C1597,'Zip Code Lines_1'!$Q$4:$Q$26,0),0)</f>
        <v>18</v>
      </c>
      <c r="H1597" s="342">
        <v>13733</v>
      </c>
    </row>
    <row r="1598" spans="2:8" x14ac:dyDescent="0.25">
      <c r="B1598" s="342">
        <v>13734</v>
      </c>
      <c r="C1598" s="343" t="s">
        <v>532</v>
      </c>
      <c r="D1598" s="343" t="str">
        <f ca="1">OFFSET('Zip Code Lines_1'!$U$3,MATCH('Zip Code Lines_1'!C1598,'Zip Code Lines_1'!$Q$4:$Q$26,0),0)</f>
        <v>Binghamton</v>
      </c>
      <c r="E1598" s="344">
        <f ca="1">OFFSET('Zip Code Lines_1'!$W$3,MATCH('Zip Code Lines_1'!C1598,'Zip Code Lines_1'!$Q$4:$Q$26,0),0)</f>
        <v>4.5</v>
      </c>
      <c r="F1598" s="344">
        <f ca="1">OFFSET('Zip Code Lines_1'!$Z$3,MATCH('Zip Code Lines_1'!C1598,'Zip Code Lines_1'!$Q$4:$Q$26,0),0)</f>
        <v>82.3</v>
      </c>
      <c r="G1598" s="342">
        <f ca="1">OFFSET('Zip Code Lines_1'!$AC$3,MATCH('Zip Code Lines_1'!C1598,'Zip Code Lines_1'!$Q$4:$Q$26,0),0)</f>
        <v>12</v>
      </c>
      <c r="H1598" s="342">
        <v>13734</v>
      </c>
    </row>
    <row r="1599" spans="2:8" x14ac:dyDescent="0.25">
      <c r="B1599" s="342">
        <v>13736</v>
      </c>
      <c r="C1599" s="343" t="s">
        <v>532</v>
      </c>
      <c r="D1599" s="343" t="str">
        <f ca="1">OFFSET('Zip Code Lines_1'!$U$3,MATCH('Zip Code Lines_1'!C1599,'Zip Code Lines_1'!$Q$4:$Q$26,0),0)</f>
        <v>Binghamton</v>
      </c>
      <c r="E1599" s="344">
        <f ca="1">OFFSET('Zip Code Lines_1'!$W$3,MATCH('Zip Code Lines_1'!C1599,'Zip Code Lines_1'!$Q$4:$Q$26,0),0)</f>
        <v>4.5</v>
      </c>
      <c r="F1599" s="344">
        <f ca="1">OFFSET('Zip Code Lines_1'!$Z$3,MATCH('Zip Code Lines_1'!C1599,'Zip Code Lines_1'!$Q$4:$Q$26,0),0)</f>
        <v>82.3</v>
      </c>
      <c r="G1599" s="342">
        <f ca="1">OFFSET('Zip Code Lines_1'!$AC$3,MATCH('Zip Code Lines_1'!C1599,'Zip Code Lines_1'!$Q$4:$Q$26,0),0)</f>
        <v>12</v>
      </c>
      <c r="H1599" s="342">
        <v>13736</v>
      </c>
    </row>
    <row r="1600" spans="2:8" x14ac:dyDescent="0.25">
      <c r="B1600" s="342">
        <v>13737</v>
      </c>
      <c r="C1600" s="343" t="s">
        <v>532</v>
      </c>
      <c r="D1600" s="343" t="str">
        <f ca="1">OFFSET('Zip Code Lines_1'!$U$3,MATCH('Zip Code Lines_1'!C1600,'Zip Code Lines_1'!$Q$4:$Q$26,0),0)</f>
        <v>Binghamton</v>
      </c>
      <c r="E1600" s="344">
        <f ca="1">OFFSET('Zip Code Lines_1'!$W$3,MATCH('Zip Code Lines_1'!C1600,'Zip Code Lines_1'!$Q$4:$Q$26,0),0)</f>
        <v>4.5</v>
      </c>
      <c r="F1600" s="344">
        <f ca="1">OFFSET('Zip Code Lines_1'!$Z$3,MATCH('Zip Code Lines_1'!C1600,'Zip Code Lines_1'!$Q$4:$Q$26,0),0)</f>
        <v>82.3</v>
      </c>
      <c r="G1600" s="342">
        <f ca="1">OFFSET('Zip Code Lines_1'!$AC$3,MATCH('Zip Code Lines_1'!C1600,'Zip Code Lines_1'!$Q$4:$Q$26,0),0)</f>
        <v>12</v>
      </c>
      <c r="H1600" s="342">
        <v>13737</v>
      </c>
    </row>
    <row r="1601" spans="2:8" x14ac:dyDescent="0.25">
      <c r="B1601" s="342">
        <v>13738</v>
      </c>
      <c r="C1601" s="343" t="s">
        <v>532</v>
      </c>
      <c r="D1601" s="343" t="str">
        <f ca="1">OFFSET('Zip Code Lines_1'!$U$3,MATCH('Zip Code Lines_1'!C1601,'Zip Code Lines_1'!$Q$4:$Q$26,0),0)</f>
        <v>Binghamton</v>
      </c>
      <c r="E1601" s="344">
        <f ca="1">OFFSET('Zip Code Lines_1'!$W$3,MATCH('Zip Code Lines_1'!C1601,'Zip Code Lines_1'!$Q$4:$Q$26,0),0)</f>
        <v>4.5</v>
      </c>
      <c r="F1601" s="344">
        <f ca="1">OFFSET('Zip Code Lines_1'!$Z$3,MATCH('Zip Code Lines_1'!C1601,'Zip Code Lines_1'!$Q$4:$Q$26,0),0)</f>
        <v>82.3</v>
      </c>
      <c r="G1601" s="342">
        <f ca="1">OFFSET('Zip Code Lines_1'!$AC$3,MATCH('Zip Code Lines_1'!C1601,'Zip Code Lines_1'!$Q$4:$Q$26,0),0)</f>
        <v>12</v>
      </c>
      <c r="H1601" s="342">
        <v>13738</v>
      </c>
    </row>
    <row r="1602" spans="2:8" x14ac:dyDescent="0.25">
      <c r="B1602" s="342">
        <v>13739</v>
      </c>
      <c r="C1602" s="343" t="s">
        <v>543</v>
      </c>
      <c r="D1602" s="343" t="str">
        <f ca="1">OFFSET('Zip Code Lines_1'!$U$3,MATCH('Zip Code Lines_1'!C1602,'Zip Code Lines_1'!$Q$4:$Q$26,0),0)</f>
        <v xml:space="preserve">Glens Falls </v>
      </c>
      <c r="E1602" s="344">
        <f ca="1">OFFSET('Zip Code Lines_1'!$W$3,MATCH('Zip Code Lines_1'!C1602,'Zip Code Lines_1'!$Q$4:$Q$26,0),0)</f>
        <v>-1.8</v>
      </c>
      <c r="F1602" s="344">
        <f ca="1">OFFSET('Zip Code Lines_1'!$Z$3,MATCH('Zip Code Lines_1'!C1602,'Zip Code Lines_1'!$Q$4:$Q$26,0),0)</f>
        <v>84.7</v>
      </c>
      <c r="G1602" s="342">
        <f ca="1">OFFSET('Zip Code Lines_1'!$AC$3,MATCH('Zip Code Lines_1'!C1602,'Zip Code Lines_1'!$Q$4:$Q$26,0),0)</f>
        <v>12</v>
      </c>
      <c r="H1602" s="342">
        <v>13739</v>
      </c>
    </row>
    <row r="1603" spans="2:8" x14ac:dyDescent="0.25">
      <c r="B1603" s="342">
        <v>13740</v>
      </c>
      <c r="C1603" s="343" t="s">
        <v>532</v>
      </c>
      <c r="D1603" s="343" t="str">
        <f ca="1">OFFSET('Zip Code Lines_1'!$U$3,MATCH('Zip Code Lines_1'!C1603,'Zip Code Lines_1'!$Q$4:$Q$26,0),0)</f>
        <v>Binghamton</v>
      </c>
      <c r="E1603" s="344">
        <f ca="1">OFFSET('Zip Code Lines_1'!$W$3,MATCH('Zip Code Lines_1'!C1603,'Zip Code Lines_1'!$Q$4:$Q$26,0),0)</f>
        <v>4.5</v>
      </c>
      <c r="F1603" s="344">
        <f ca="1">OFFSET('Zip Code Lines_1'!$Z$3,MATCH('Zip Code Lines_1'!C1603,'Zip Code Lines_1'!$Q$4:$Q$26,0),0)</f>
        <v>82.3</v>
      </c>
      <c r="G1603" s="342">
        <f ca="1">OFFSET('Zip Code Lines_1'!$AC$3,MATCH('Zip Code Lines_1'!C1603,'Zip Code Lines_1'!$Q$4:$Q$26,0),0)</f>
        <v>12</v>
      </c>
      <c r="H1603" s="342">
        <v>13740</v>
      </c>
    </row>
    <row r="1604" spans="2:8" x14ac:dyDescent="0.25">
      <c r="B1604" s="342">
        <v>13743</v>
      </c>
      <c r="C1604" s="343" t="s">
        <v>532</v>
      </c>
      <c r="D1604" s="343" t="str">
        <f ca="1">OFFSET('Zip Code Lines_1'!$U$3,MATCH('Zip Code Lines_1'!C1604,'Zip Code Lines_1'!$Q$4:$Q$26,0),0)</f>
        <v>Binghamton</v>
      </c>
      <c r="E1604" s="344">
        <f ca="1">OFFSET('Zip Code Lines_1'!$W$3,MATCH('Zip Code Lines_1'!C1604,'Zip Code Lines_1'!$Q$4:$Q$26,0),0)</f>
        <v>4.5</v>
      </c>
      <c r="F1604" s="344">
        <f ca="1">OFFSET('Zip Code Lines_1'!$Z$3,MATCH('Zip Code Lines_1'!C1604,'Zip Code Lines_1'!$Q$4:$Q$26,0),0)</f>
        <v>82.3</v>
      </c>
      <c r="G1604" s="342">
        <f ca="1">OFFSET('Zip Code Lines_1'!$AC$3,MATCH('Zip Code Lines_1'!C1604,'Zip Code Lines_1'!$Q$4:$Q$26,0),0)</f>
        <v>12</v>
      </c>
      <c r="H1604" s="342">
        <v>13743</v>
      </c>
    </row>
    <row r="1605" spans="2:8" x14ac:dyDescent="0.25">
      <c r="B1605" s="342">
        <v>13744</v>
      </c>
      <c r="C1605" s="343" t="s">
        <v>532</v>
      </c>
      <c r="D1605" s="343" t="str">
        <f ca="1">OFFSET('Zip Code Lines_1'!$U$3,MATCH('Zip Code Lines_1'!C1605,'Zip Code Lines_1'!$Q$4:$Q$26,0),0)</f>
        <v>Binghamton</v>
      </c>
      <c r="E1605" s="344">
        <f ca="1">OFFSET('Zip Code Lines_1'!$W$3,MATCH('Zip Code Lines_1'!C1605,'Zip Code Lines_1'!$Q$4:$Q$26,0),0)</f>
        <v>4.5</v>
      </c>
      <c r="F1605" s="344">
        <f ca="1">OFFSET('Zip Code Lines_1'!$Z$3,MATCH('Zip Code Lines_1'!C1605,'Zip Code Lines_1'!$Q$4:$Q$26,0),0)</f>
        <v>82.3</v>
      </c>
      <c r="G1605" s="342">
        <f ca="1">OFFSET('Zip Code Lines_1'!$AC$3,MATCH('Zip Code Lines_1'!C1605,'Zip Code Lines_1'!$Q$4:$Q$26,0),0)</f>
        <v>12</v>
      </c>
      <c r="H1605" s="342">
        <v>13744</v>
      </c>
    </row>
    <row r="1606" spans="2:8" x14ac:dyDescent="0.25">
      <c r="B1606" s="342">
        <v>13745</v>
      </c>
      <c r="C1606" s="343" t="s">
        <v>532</v>
      </c>
      <c r="D1606" s="343" t="str">
        <f ca="1">OFFSET('Zip Code Lines_1'!$U$3,MATCH('Zip Code Lines_1'!C1606,'Zip Code Lines_1'!$Q$4:$Q$26,0),0)</f>
        <v>Binghamton</v>
      </c>
      <c r="E1606" s="344">
        <f ca="1">OFFSET('Zip Code Lines_1'!$W$3,MATCH('Zip Code Lines_1'!C1606,'Zip Code Lines_1'!$Q$4:$Q$26,0),0)</f>
        <v>4.5</v>
      </c>
      <c r="F1606" s="344">
        <f ca="1">OFFSET('Zip Code Lines_1'!$Z$3,MATCH('Zip Code Lines_1'!C1606,'Zip Code Lines_1'!$Q$4:$Q$26,0),0)</f>
        <v>82.3</v>
      </c>
      <c r="G1606" s="342">
        <f ca="1">OFFSET('Zip Code Lines_1'!$AC$3,MATCH('Zip Code Lines_1'!C1606,'Zip Code Lines_1'!$Q$4:$Q$26,0),0)</f>
        <v>12</v>
      </c>
      <c r="H1606" s="342">
        <v>13745</v>
      </c>
    </row>
    <row r="1607" spans="2:8" x14ac:dyDescent="0.25">
      <c r="B1607" s="342">
        <v>13746</v>
      </c>
      <c r="C1607" s="343" t="s">
        <v>532</v>
      </c>
      <c r="D1607" s="343" t="str">
        <f ca="1">OFFSET('Zip Code Lines_1'!$U$3,MATCH('Zip Code Lines_1'!C1607,'Zip Code Lines_1'!$Q$4:$Q$26,0),0)</f>
        <v>Binghamton</v>
      </c>
      <c r="E1607" s="344">
        <f ca="1">OFFSET('Zip Code Lines_1'!$W$3,MATCH('Zip Code Lines_1'!C1607,'Zip Code Lines_1'!$Q$4:$Q$26,0),0)</f>
        <v>4.5</v>
      </c>
      <c r="F1607" s="344">
        <f ca="1">OFFSET('Zip Code Lines_1'!$Z$3,MATCH('Zip Code Lines_1'!C1607,'Zip Code Lines_1'!$Q$4:$Q$26,0),0)</f>
        <v>82.3</v>
      </c>
      <c r="G1607" s="342">
        <f ca="1">OFFSET('Zip Code Lines_1'!$AC$3,MATCH('Zip Code Lines_1'!C1607,'Zip Code Lines_1'!$Q$4:$Q$26,0),0)</f>
        <v>12</v>
      </c>
      <c r="H1607" s="342">
        <v>13746</v>
      </c>
    </row>
    <row r="1608" spans="2:8" x14ac:dyDescent="0.25">
      <c r="B1608" s="342">
        <v>13747</v>
      </c>
      <c r="C1608" s="343" t="s">
        <v>569</v>
      </c>
      <c r="D1608" s="343" t="str">
        <f ca="1">OFFSET('Zip Code Lines_1'!$U$3,MATCH('Zip Code Lines_1'!C1608,'Zip Code Lines_1'!$Q$4:$Q$26,0),0)</f>
        <v>Utica</v>
      </c>
      <c r="E1608" s="344">
        <f ca="1">OFFSET('Zip Code Lines_1'!$W$3,MATCH('Zip Code Lines_1'!C1608,'Zip Code Lines_1'!$Q$4:$Q$26,0),0)</f>
        <v>1.2</v>
      </c>
      <c r="F1608" s="344">
        <f ca="1">OFFSET('Zip Code Lines_1'!$Z$3,MATCH('Zip Code Lines_1'!C1608,'Zip Code Lines_1'!$Q$4:$Q$26,0),0)</f>
        <v>84.2</v>
      </c>
      <c r="G1608" s="342">
        <f ca="1">OFFSET('Zip Code Lines_1'!$AC$3,MATCH('Zip Code Lines_1'!C1608,'Zip Code Lines_1'!$Q$4:$Q$26,0),0)</f>
        <v>18</v>
      </c>
      <c r="H1608" s="342">
        <v>13747</v>
      </c>
    </row>
    <row r="1609" spans="2:8" x14ac:dyDescent="0.25">
      <c r="B1609" s="342">
        <v>13748</v>
      </c>
      <c r="C1609" s="343" t="s">
        <v>532</v>
      </c>
      <c r="D1609" s="343" t="str">
        <f ca="1">OFFSET('Zip Code Lines_1'!$U$3,MATCH('Zip Code Lines_1'!C1609,'Zip Code Lines_1'!$Q$4:$Q$26,0),0)</f>
        <v>Binghamton</v>
      </c>
      <c r="E1609" s="344">
        <f ca="1">OFFSET('Zip Code Lines_1'!$W$3,MATCH('Zip Code Lines_1'!C1609,'Zip Code Lines_1'!$Q$4:$Q$26,0),0)</f>
        <v>4.5</v>
      </c>
      <c r="F1609" s="344">
        <f ca="1">OFFSET('Zip Code Lines_1'!$Z$3,MATCH('Zip Code Lines_1'!C1609,'Zip Code Lines_1'!$Q$4:$Q$26,0),0)</f>
        <v>82.3</v>
      </c>
      <c r="G1609" s="342">
        <f ca="1">OFFSET('Zip Code Lines_1'!$AC$3,MATCH('Zip Code Lines_1'!C1609,'Zip Code Lines_1'!$Q$4:$Q$26,0),0)</f>
        <v>12</v>
      </c>
      <c r="H1609" s="342">
        <v>13748</v>
      </c>
    </row>
    <row r="1610" spans="2:8" x14ac:dyDescent="0.25">
      <c r="B1610" s="342">
        <v>13749</v>
      </c>
      <c r="C1610" s="343" t="s">
        <v>532</v>
      </c>
      <c r="D1610" s="343" t="str">
        <f ca="1">OFFSET('Zip Code Lines_1'!$U$3,MATCH('Zip Code Lines_1'!C1610,'Zip Code Lines_1'!$Q$4:$Q$26,0),0)</f>
        <v>Binghamton</v>
      </c>
      <c r="E1610" s="344">
        <f ca="1">OFFSET('Zip Code Lines_1'!$W$3,MATCH('Zip Code Lines_1'!C1610,'Zip Code Lines_1'!$Q$4:$Q$26,0),0)</f>
        <v>4.5</v>
      </c>
      <c r="F1610" s="344">
        <f ca="1">OFFSET('Zip Code Lines_1'!$Z$3,MATCH('Zip Code Lines_1'!C1610,'Zip Code Lines_1'!$Q$4:$Q$26,0),0)</f>
        <v>82.3</v>
      </c>
      <c r="G1610" s="342">
        <f ca="1">OFFSET('Zip Code Lines_1'!$AC$3,MATCH('Zip Code Lines_1'!C1610,'Zip Code Lines_1'!$Q$4:$Q$26,0),0)</f>
        <v>12</v>
      </c>
      <c r="H1610" s="342">
        <v>13749</v>
      </c>
    </row>
    <row r="1611" spans="2:8" x14ac:dyDescent="0.25">
      <c r="B1611" s="342">
        <v>13750</v>
      </c>
      <c r="C1611" s="343" t="s">
        <v>569</v>
      </c>
      <c r="D1611" s="343" t="str">
        <f ca="1">OFFSET('Zip Code Lines_1'!$U$3,MATCH('Zip Code Lines_1'!C1611,'Zip Code Lines_1'!$Q$4:$Q$26,0),0)</f>
        <v>Utica</v>
      </c>
      <c r="E1611" s="344">
        <f ca="1">OFFSET('Zip Code Lines_1'!$W$3,MATCH('Zip Code Lines_1'!C1611,'Zip Code Lines_1'!$Q$4:$Q$26,0),0)</f>
        <v>1.2</v>
      </c>
      <c r="F1611" s="344">
        <f ca="1">OFFSET('Zip Code Lines_1'!$Z$3,MATCH('Zip Code Lines_1'!C1611,'Zip Code Lines_1'!$Q$4:$Q$26,0),0)</f>
        <v>84.2</v>
      </c>
      <c r="G1611" s="342">
        <f ca="1">OFFSET('Zip Code Lines_1'!$AC$3,MATCH('Zip Code Lines_1'!C1611,'Zip Code Lines_1'!$Q$4:$Q$26,0),0)</f>
        <v>18</v>
      </c>
      <c r="H1611" s="342">
        <v>13750</v>
      </c>
    </row>
    <row r="1612" spans="2:8" x14ac:dyDescent="0.25">
      <c r="B1612" s="342">
        <v>13751</v>
      </c>
      <c r="C1612" s="343" t="s">
        <v>569</v>
      </c>
      <c r="D1612" s="343" t="str">
        <f ca="1">OFFSET('Zip Code Lines_1'!$U$3,MATCH('Zip Code Lines_1'!C1612,'Zip Code Lines_1'!$Q$4:$Q$26,0),0)</f>
        <v>Utica</v>
      </c>
      <c r="E1612" s="344">
        <f ca="1">OFFSET('Zip Code Lines_1'!$W$3,MATCH('Zip Code Lines_1'!C1612,'Zip Code Lines_1'!$Q$4:$Q$26,0),0)</f>
        <v>1.2</v>
      </c>
      <c r="F1612" s="344">
        <f ca="1">OFFSET('Zip Code Lines_1'!$Z$3,MATCH('Zip Code Lines_1'!C1612,'Zip Code Lines_1'!$Q$4:$Q$26,0),0)</f>
        <v>84.2</v>
      </c>
      <c r="G1612" s="342">
        <f ca="1">OFFSET('Zip Code Lines_1'!$AC$3,MATCH('Zip Code Lines_1'!C1612,'Zip Code Lines_1'!$Q$4:$Q$26,0),0)</f>
        <v>18</v>
      </c>
      <c r="H1612" s="342">
        <v>13751</v>
      </c>
    </row>
    <row r="1613" spans="2:8" x14ac:dyDescent="0.25">
      <c r="B1613" s="342">
        <v>13752</v>
      </c>
      <c r="C1613" s="343" t="s">
        <v>569</v>
      </c>
      <c r="D1613" s="343" t="str">
        <f ca="1">OFFSET('Zip Code Lines_1'!$U$3,MATCH('Zip Code Lines_1'!C1613,'Zip Code Lines_1'!$Q$4:$Q$26,0),0)</f>
        <v>Utica</v>
      </c>
      <c r="E1613" s="344">
        <f ca="1">OFFSET('Zip Code Lines_1'!$W$3,MATCH('Zip Code Lines_1'!C1613,'Zip Code Lines_1'!$Q$4:$Q$26,0),0)</f>
        <v>1.2</v>
      </c>
      <c r="F1613" s="344">
        <f ca="1">OFFSET('Zip Code Lines_1'!$Z$3,MATCH('Zip Code Lines_1'!C1613,'Zip Code Lines_1'!$Q$4:$Q$26,0),0)</f>
        <v>84.2</v>
      </c>
      <c r="G1613" s="342">
        <f ca="1">OFFSET('Zip Code Lines_1'!$AC$3,MATCH('Zip Code Lines_1'!C1613,'Zip Code Lines_1'!$Q$4:$Q$26,0),0)</f>
        <v>18</v>
      </c>
      <c r="H1613" s="342">
        <v>13752</v>
      </c>
    </row>
    <row r="1614" spans="2:8" x14ac:dyDescent="0.25">
      <c r="B1614" s="342">
        <v>13753</v>
      </c>
      <c r="C1614" s="343" t="s">
        <v>569</v>
      </c>
      <c r="D1614" s="343" t="str">
        <f ca="1">OFFSET('Zip Code Lines_1'!$U$3,MATCH('Zip Code Lines_1'!C1614,'Zip Code Lines_1'!$Q$4:$Q$26,0),0)</f>
        <v>Utica</v>
      </c>
      <c r="E1614" s="344">
        <f ca="1">OFFSET('Zip Code Lines_1'!$W$3,MATCH('Zip Code Lines_1'!C1614,'Zip Code Lines_1'!$Q$4:$Q$26,0),0)</f>
        <v>1.2</v>
      </c>
      <c r="F1614" s="344">
        <f ca="1">OFFSET('Zip Code Lines_1'!$Z$3,MATCH('Zip Code Lines_1'!C1614,'Zip Code Lines_1'!$Q$4:$Q$26,0),0)</f>
        <v>84.2</v>
      </c>
      <c r="G1614" s="342">
        <f ca="1">OFFSET('Zip Code Lines_1'!$AC$3,MATCH('Zip Code Lines_1'!C1614,'Zip Code Lines_1'!$Q$4:$Q$26,0),0)</f>
        <v>18</v>
      </c>
      <c r="H1614" s="342">
        <v>13753</v>
      </c>
    </row>
    <row r="1615" spans="2:8" x14ac:dyDescent="0.25">
      <c r="B1615" s="342">
        <v>13754</v>
      </c>
      <c r="C1615" s="343" t="s">
        <v>532</v>
      </c>
      <c r="D1615" s="343" t="str">
        <f ca="1">OFFSET('Zip Code Lines_1'!$U$3,MATCH('Zip Code Lines_1'!C1615,'Zip Code Lines_1'!$Q$4:$Q$26,0),0)</f>
        <v>Binghamton</v>
      </c>
      <c r="E1615" s="344">
        <f ca="1">OFFSET('Zip Code Lines_1'!$W$3,MATCH('Zip Code Lines_1'!C1615,'Zip Code Lines_1'!$Q$4:$Q$26,0),0)</f>
        <v>4.5</v>
      </c>
      <c r="F1615" s="344">
        <f ca="1">OFFSET('Zip Code Lines_1'!$Z$3,MATCH('Zip Code Lines_1'!C1615,'Zip Code Lines_1'!$Q$4:$Q$26,0),0)</f>
        <v>82.3</v>
      </c>
      <c r="G1615" s="342">
        <f ca="1">OFFSET('Zip Code Lines_1'!$AC$3,MATCH('Zip Code Lines_1'!C1615,'Zip Code Lines_1'!$Q$4:$Q$26,0),0)</f>
        <v>12</v>
      </c>
      <c r="H1615" s="342">
        <v>13754</v>
      </c>
    </row>
    <row r="1616" spans="2:8" x14ac:dyDescent="0.25">
      <c r="B1616" s="342">
        <v>13755</v>
      </c>
      <c r="C1616" s="343" t="s">
        <v>532</v>
      </c>
      <c r="D1616" s="343" t="str">
        <f ca="1">OFFSET('Zip Code Lines_1'!$U$3,MATCH('Zip Code Lines_1'!C1616,'Zip Code Lines_1'!$Q$4:$Q$26,0),0)</f>
        <v>Binghamton</v>
      </c>
      <c r="E1616" s="344">
        <f ca="1">OFFSET('Zip Code Lines_1'!$W$3,MATCH('Zip Code Lines_1'!C1616,'Zip Code Lines_1'!$Q$4:$Q$26,0),0)</f>
        <v>4.5</v>
      </c>
      <c r="F1616" s="344">
        <f ca="1">OFFSET('Zip Code Lines_1'!$Z$3,MATCH('Zip Code Lines_1'!C1616,'Zip Code Lines_1'!$Q$4:$Q$26,0),0)</f>
        <v>82.3</v>
      </c>
      <c r="G1616" s="342">
        <f ca="1">OFFSET('Zip Code Lines_1'!$AC$3,MATCH('Zip Code Lines_1'!C1616,'Zip Code Lines_1'!$Q$4:$Q$26,0),0)</f>
        <v>12</v>
      </c>
      <c r="H1616" s="342">
        <v>13755</v>
      </c>
    </row>
    <row r="1617" spans="2:8" x14ac:dyDescent="0.25">
      <c r="B1617" s="342">
        <v>13756</v>
      </c>
      <c r="C1617" s="343" t="s">
        <v>549</v>
      </c>
      <c r="D1617" s="343" t="str">
        <f ca="1">OFFSET('Zip Code Lines_1'!$U$3,MATCH('Zip Code Lines_1'!C1617,'Zip Code Lines_1'!$Q$4:$Q$26,0),0)</f>
        <v>Monticello</v>
      </c>
      <c r="E1617" s="344">
        <f ca="1">OFFSET('Zip Code Lines_1'!$W$3,MATCH('Zip Code Lines_1'!C1617,'Zip Code Lines_1'!$Q$4:$Q$26,0),0)</f>
        <v>4.7</v>
      </c>
      <c r="F1617" s="344">
        <f ca="1">OFFSET('Zip Code Lines_1'!$Z$3,MATCH('Zip Code Lines_1'!C1617,'Zip Code Lines_1'!$Q$4:$Q$26,0),0)</f>
        <v>82.5</v>
      </c>
      <c r="G1617" s="342">
        <f ca="1">OFFSET('Zip Code Lines_1'!$AC$3,MATCH('Zip Code Lines_1'!C1617,'Zip Code Lines_1'!$Q$4:$Q$26,0),0)</f>
        <v>12</v>
      </c>
      <c r="H1617" s="342">
        <v>13756</v>
      </c>
    </row>
    <row r="1618" spans="2:8" x14ac:dyDescent="0.25">
      <c r="B1618" s="342">
        <v>13757</v>
      </c>
      <c r="C1618" s="343" t="s">
        <v>569</v>
      </c>
      <c r="D1618" s="343" t="str">
        <f ca="1">OFFSET('Zip Code Lines_1'!$U$3,MATCH('Zip Code Lines_1'!C1618,'Zip Code Lines_1'!$Q$4:$Q$26,0),0)</f>
        <v>Utica</v>
      </c>
      <c r="E1618" s="344">
        <f ca="1">OFFSET('Zip Code Lines_1'!$W$3,MATCH('Zip Code Lines_1'!C1618,'Zip Code Lines_1'!$Q$4:$Q$26,0),0)</f>
        <v>1.2</v>
      </c>
      <c r="F1618" s="344">
        <f ca="1">OFFSET('Zip Code Lines_1'!$Z$3,MATCH('Zip Code Lines_1'!C1618,'Zip Code Lines_1'!$Q$4:$Q$26,0),0)</f>
        <v>84.2</v>
      </c>
      <c r="G1618" s="342">
        <f ca="1">OFFSET('Zip Code Lines_1'!$AC$3,MATCH('Zip Code Lines_1'!C1618,'Zip Code Lines_1'!$Q$4:$Q$26,0),0)</f>
        <v>18</v>
      </c>
      <c r="H1618" s="342">
        <v>13757</v>
      </c>
    </row>
    <row r="1619" spans="2:8" x14ac:dyDescent="0.25">
      <c r="B1619" s="342">
        <v>13758</v>
      </c>
      <c r="C1619" s="343" t="s">
        <v>569</v>
      </c>
      <c r="D1619" s="343" t="str">
        <f ca="1">OFFSET('Zip Code Lines_1'!$U$3,MATCH('Zip Code Lines_1'!C1619,'Zip Code Lines_1'!$Q$4:$Q$26,0),0)</f>
        <v>Utica</v>
      </c>
      <c r="E1619" s="344">
        <f ca="1">OFFSET('Zip Code Lines_1'!$W$3,MATCH('Zip Code Lines_1'!C1619,'Zip Code Lines_1'!$Q$4:$Q$26,0),0)</f>
        <v>1.2</v>
      </c>
      <c r="F1619" s="344">
        <f ca="1">OFFSET('Zip Code Lines_1'!$Z$3,MATCH('Zip Code Lines_1'!C1619,'Zip Code Lines_1'!$Q$4:$Q$26,0),0)</f>
        <v>84.2</v>
      </c>
      <c r="G1619" s="342">
        <f ca="1">OFFSET('Zip Code Lines_1'!$AC$3,MATCH('Zip Code Lines_1'!C1619,'Zip Code Lines_1'!$Q$4:$Q$26,0),0)</f>
        <v>18</v>
      </c>
      <c r="H1619" s="342">
        <v>13758</v>
      </c>
    </row>
    <row r="1620" spans="2:8" x14ac:dyDescent="0.25">
      <c r="B1620" s="342">
        <v>13760</v>
      </c>
      <c r="C1620" s="343" t="s">
        <v>532</v>
      </c>
      <c r="D1620" s="343" t="str">
        <f ca="1">OFFSET('Zip Code Lines_1'!$U$3,MATCH('Zip Code Lines_1'!C1620,'Zip Code Lines_1'!$Q$4:$Q$26,0),0)</f>
        <v>Binghamton</v>
      </c>
      <c r="E1620" s="344">
        <f ca="1">OFFSET('Zip Code Lines_1'!$W$3,MATCH('Zip Code Lines_1'!C1620,'Zip Code Lines_1'!$Q$4:$Q$26,0),0)</f>
        <v>4.5</v>
      </c>
      <c r="F1620" s="344">
        <f ca="1">OFFSET('Zip Code Lines_1'!$Z$3,MATCH('Zip Code Lines_1'!C1620,'Zip Code Lines_1'!$Q$4:$Q$26,0),0)</f>
        <v>82.3</v>
      </c>
      <c r="G1620" s="342">
        <f ca="1">OFFSET('Zip Code Lines_1'!$AC$3,MATCH('Zip Code Lines_1'!C1620,'Zip Code Lines_1'!$Q$4:$Q$26,0),0)</f>
        <v>12</v>
      </c>
      <c r="H1620" s="342">
        <v>13760</v>
      </c>
    </row>
    <row r="1621" spans="2:8" x14ac:dyDescent="0.25">
      <c r="B1621" s="342">
        <v>13761</v>
      </c>
      <c r="C1621" s="343" t="s">
        <v>532</v>
      </c>
      <c r="D1621" s="343" t="str">
        <f ca="1">OFFSET('Zip Code Lines_1'!$U$3,MATCH('Zip Code Lines_1'!C1621,'Zip Code Lines_1'!$Q$4:$Q$26,0),0)</f>
        <v>Binghamton</v>
      </c>
      <c r="E1621" s="344">
        <f ca="1">OFFSET('Zip Code Lines_1'!$W$3,MATCH('Zip Code Lines_1'!C1621,'Zip Code Lines_1'!$Q$4:$Q$26,0),0)</f>
        <v>4.5</v>
      </c>
      <c r="F1621" s="344">
        <f ca="1">OFFSET('Zip Code Lines_1'!$Z$3,MATCH('Zip Code Lines_1'!C1621,'Zip Code Lines_1'!$Q$4:$Q$26,0),0)</f>
        <v>82.3</v>
      </c>
      <c r="G1621" s="342">
        <f ca="1">OFFSET('Zip Code Lines_1'!$AC$3,MATCH('Zip Code Lines_1'!C1621,'Zip Code Lines_1'!$Q$4:$Q$26,0),0)</f>
        <v>12</v>
      </c>
      <c r="H1621" s="342">
        <v>13761</v>
      </c>
    </row>
    <row r="1622" spans="2:8" x14ac:dyDescent="0.25">
      <c r="B1622" s="342">
        <v>13762</v>
      </c>
      <c r="C1622" s="343" t="s">
        <v>532</v>
      </c>
      <c r="D1622" s="343" t="str">
        <f ca="1">OFFSET('Zip Code Lines_1'!$U$3,MATCH('Zip Code Lines_1'!C1622,'Zip Code Lines_1'!$Q$4:$Q$26,0),0)</f>
        <v>Binghamton</v>
      </c>
      <c r="E1622" s="344">
        <f ca="1">OFFSET('Zip Code Lines_1'!$W$3,MATCH('Zip Code Lines_1'!C1622,'Zip Code Lines_1'!$Q$4:$Q$26,0),0)</f>
        <v>4.5</v>
      </c>
      <c r="F1622" s="344">
        <f ca="1">OFFSET('Zip Code Lines_1'!$Z$3,MATCH('Zip Code Lines_1'!C1622,'Zip Code Lines_1'!$Q$4:$Q$26,0),0)</f>
        <v>82.3</v>
      </c>
      <c r="G1622" s="342">
        <f ca="1">OFFSET('Zip Code Lines_1'!$AC$3,MATCH('Zip Code Lines_1'!C1622,'Zip Code Lines_1'!$Q$4:$Q$26,0),0)</f>
        <v>12</v>
      </c>
      <c r="H1622" s="342">
        <v>13762</v>
      </c>
    </row>
    <row r="1623" spans="2:8" x14ac:dyDescent="0.25">
      <c r="B1623" s="342">
        <v>13763</v>
      </c>
      <c r="C1623" s="343" t="s">
        <v>532</v>
      </c>
      <c r="D1623" s="343" t="str">
        <f ca="1">OFFSET('Zip Code Lines_1'!$U$3,MATCH('Zip Code Lines_1'!C1623,'Zip Code Lines_1'!$Q$4:$Q$26,0),0)</f>
        <v>Binghamton</v>
      </c>
      <c r="E1623" s="344">
        <f ca="1">OFFSET('Zip Code Lines_1'!$W$3,MATCH('Zip Code Lines_1'!C1623,'Zip Code Lines_1'!$Q$4:$Q$26,0),0)</f>
        <v>4.5</v>
      </c>
      <c r="F1623" s="344">
        <f ca="1">OFFSET('Zip Code Lines_1'!$Z$3,MATCH('Zip Code Lines_1'!C1623,'Zip Code Lines_1'!$Q$4:$Q$26,0),0)</f>
        <v>82.3</v>
      </c>
      <c r="G1623" s="342">
        <f ca="1">OFFSET('Zip Code Lines_1'!$AC$3,MATCH('Zip Code Lines_1'!C1623,'Zip Code Lines_1'!$Q$4:$Q$26,0),0)</f>
        <v>12</v>
      </c>
      <c r="H1623" s="342">
        <v>13763</v>
      </c>
    </row>
    <row r="1624" spans="2:8" x14ac:dyDescent="0.25">
      <c r="B1624" s="342">
        <v>13774</v>
      </c>
      <c r="C1624" s="343" t="s">
        <v>549</v>
      </c>
      <c r="D1624" s="343" t="str">
        <f ca="1">OFFSET('Zip Code Lines_1'!$U$3,MATCH('Zip Code Lines_1'!C1624,'Zip Code Lines_1'!$Q$4:$Q$26,0),0)</f>
        <v>Monticello</v>
      </c>
      <c r="E1624" s="344">
        <f ca="1">OFFSET('Zip Code Lines_1'!$W$3,MATCH('Zip Code Lines_1'!C1624,'Zip Code Lines_1'!$Q$4:$Q$26,0),0)</f>
        <v>4.7</v>
      </c>
      <c r="F1624" s="344">
        <f ca="1">OFFSET('Zip Code Lines_1'!$Z$3,MATCH('Zip Code Lines_1'!C1624,'Zip Code Lines_1'!$Q$4:$Q$26,0),0)</f>
        <v>82.5</v>
      </c>
      <c r="G1624" s="342">
        <f ca="1">OFFSET('Zip Code Lines_1'!$AC$3,MATCH('Zip Code Lines_1'!C1624,'Zip Code Lines_1'!$Q$4:$Q$26,0),0)</f>
        <v>12</v>
      </c>
      <c r="H1624" s="342">
        <v>13774</v>
      </c>
    </row>
    <row r="1625" spans="2:8" x14ac:dyDescent="0.25">
      <c r="B1625" s="342">
        <v>13775</v>
      </c>
      <c r="C1625" s="343" t="s">
        <v>569</v>
      </c>
      <c r="D1625" s="343" t="str">
        <f ca="1">OFFSET('Zip Code Lines_1'!$U$3,MATCH('Zip Code Lines_1'!C1625,'Zip Code Lines_1'!$Q$4:$Q$26,0),0)</f>
        <v>Utica</v>
      </c>
      <c r="E1625" s="344">
        <f ca="1">OFFSET('Zip Code Lines_1'!$W$3,MATCH('Zip Code Lines_1'!C1625,'Zip Code Lines_1'!$Q$4:$Q$26,0),0)</f>
        <v>1.2</v>
      </c>
      <c r="F1625" s="344">
        <f ca="1">OFFSET('Zip Code Lines_1'!$Z$3,MATCH('Zip Code Lines_1'!C1625,'Zip Code Lines_1'!$Q$4:$Q$26,0),0)</f>
        <v>84.2</v>
      </c>
      <c r="G1625" s="342">
        <f ca="1">OFFSET('Zip Code Lines_1'!$AC$3,MATCH('Zip Code Lines_1'!C1625,'Zip Code Lines_1'!$Q$4:$Q$26,0),0)</f>
        <v>18</v>
      </c>
      <c r="H1625" s="342">
        <v>13775</v>
      </c>
    </row>
    <row r="1626" spans="2:8" x14ac:dyDescent="0.25">
      <c r="B1626" s="342">
        <v>13776</v>
      </c>
      <c r="C1626" s="343" t="s">
        <v>569</v>
      </c>
      <c r="D1626" s="343" t="str">
        <f ca="1">OFFSET('Zip Code Lines_1'!$U$3,MATCH('Zip Code Lines_1'!C1626,'Zip Code Lines_1'!$Q$4:$Q$26,0),0)</f>
        <v>Utica</v>
      </c>
      <c r="E1626" s="344">
        <f ca="1">OFFSET('Zip Code Lines_1'!$W$3,MATCH('Zip Code Lines_1'!C1626,'Zip Code Lines_1'!$Q$4:$Q$26,0),0)</f>
        <v>1.2</v>
      </c>
      <c r="F1626" s="344">
        <f ca="1">OFFSET('Zip Code Lines_1'!$Z$3,MATCH('Zip Code Lines_1'!C1626,'Zip Code Lines_1'!$Q$4:$Q$26,0),0)</f>
        <v>84.2</v>
      </c>
      <c r="G1626" s="342">
        <f ca="1">OFFSET('Zip Code Lines_1'!$AC$3,MATCH('Zip Code Lines_1'!C1626,'Zip Code Lines_1'!$Q$4:$Q$26,0),0)</f>
        <v>18</v>
      </c>
      <c r="H1626" s="342">
        <v>13776</v>
      </c>
    </row>
    <row r="1627" spans="2:8" x14ac:dyDescent="0.25">
      <c r="B1627" s="342">
        <v>13777</v>
      </c>
      <c r="C1627" s="343" t="s">
        <v>532</v>
      </c>
      <c r="D1627" s="343" t="str">
        <f ca="1">OFFSET('Zip Code Lines_1'!$U$3,MATCH('Zip Code Lines_1'!C1627,'Zip Code Lines_1'!$Q$4:$Q$26,0),0)</f>
        <v>Binghamton</v>
      </c>
      <c r="E1627" s="344">
        <f ca="1">OFFSET('Zip Code Lines_1'!$W$3,MATCH('Zip Code Lines_1'!C1627,'Zip Code Lines_1'!$Q$4:$Q$26,0),0)</f>
        <v>4.5</v>
      </c>
      <c r="F1627" s="344">
        <f ca="1">OFFSET('Zip Code Lines_1'!$Z$3,MATCH('Zip Code Lines_1'!C1627,'Zip Code Lines_1'!$Q$4:$Q$26,0),0)</f>
        <v>82.3</v>
      </c>
      <c r="G1627" s="342">
        <f ca="1">OFFSET('Zip Code Lines_1'!$AC$3,MATCH('Zip Code Lines_1'!C1627,'Zip Code Lines_1'!$Q$4:$Q$26,0),0)</f>
        <v>12</v>
      </c>
      <c r="H1627" s="342">
        <v>13777</v>
      </c>
    </row>
    <row r="1628" spans="2:8" x14ac:dyDescent="0.25">
      <c r="B1628" s="342">
        <v>13778</v>
      </c>
      <c r="C1628" s="343" t="s">
        <v>532</v>
      </c>
      <c r="D1628" s="343" t="str">
        <f ca="1">OFFSET('Zip Code Lines_1'!$U$3,MATCH('Zip Code Lines_1'!C1628,'Zip Code Lines_1'!$Q$4:$Q$26,0),0)</f>
        <v>Binghamton</v>
      </c>
      <c r="E1628" s="344">
        <f ca="1">OFFSET('Zip Code Lines_1'!$W$3,MATCH('Zip Code Lines_1'!C1628,'Zip Code Lines_1'!$Q$4:$Q$26,0),0)</f>
        <v>4.5</v>
      </c>
      <c r="F1628" s="344">
        <f ca="1">OFFSET('Zip Code Lines_1'!$Z$3,MATCH('Zip Code Lines_1'!C1628,'Zip Code Lines_1'!$Q$4:$Q$26,0),0)</f>
        <v>82.3</v>
      </c>
      <c r="G1628" s="342">
        <f ca="1">OFFSET('Zip Code Lines_1'!$AC$3,MATCH('Zip Code Lines_1'!C1628,'Zip Code Lines_1'!$Q$4:$Q$26,0),0)</f>
        <v>12</v>
      </c>
      <c r="H1628" s="342">
        <v>13778</v>
      </c>
    </row>
    <row r="1629" spans="2:8" x14ac:dyDescent="0.25">
      <c r="B1629" s="342">
        <v>13780</v>
      </c>
      <c r="C1629" s="343" t="s">
        <v>569</v>
      </c>
      <c r="D1629" s="343" t="str">
        <f ca="1">OFFSET('Zip Code Lines_1'!$U$3,MATCH('Zip Code Lines_1'!C1629,'Zip Code Lines_1'!$Q$4:$Q$26,0),0)</f>
        <v>Utica</v>
      </c>
      <c r="E1629" s="344">
        <f ca="1">OFFSET('Zip Code Lines_1'!$W$3,MATCH('Zip Code Lines_1'!C1629,'Zip Code Lines_1'!$Q$4:$Q$26,0),0)</f>
        <v>1.2</v>
      </c>
      <c r="F1629" s="344">
        <f ca="1">OFFSET('Zip Code Lines_1'!$Z$3,MATCH('Zip Code Lines_1'!C1629,'Zip Code Lines_1'!$Q$4:$Q$26,0),0)</f>
        <v>84.2</v>
      </c>
      <c r="G1629" s="342">
        <f ca="1">OFFSET('Zip Code Lines_1'!$AC$3,MATCH('Zip Code Lines_1'!C1629,'Zip Code Lines_1'!$Q$4:$Q$26,0),0)</f>
        <v>18</v>
      </c>
      <c r="H1629" s="342">
        <v>13780</v>
      </c>
    </row>
    <row r="1630" spans="2:8" x14ac:dyDescent="0.25">
      <c r="B1630" s="342">
        <v>13782</v>
      </c>
      <c r="C1630" s="343" t="s">
        <v>569</v>
      </c>
      <c r="D1630" s="343" t="str">
        <f ca="1">OFFSET('Zip Code Lines_1'!$U$3,MATCH('Zip Code Lines_1'!C1630,'Zip Code Lines_1'!$Q$4:$Q$26,0),0)</f>
        <v>Utica</v>
      </c>
      <c r="E1630" s="344">
        <f ca="1">OFFSET('Zip Code Lines_1'!$W$3,MATCH('Zip Code Lines_1'!C1630,'Zip Code Lines_1'!$Q$4:$Q$26,0),0)</f>
        <v>1.2</v>
      </c>
      <c r="F1630" s="344">
        <f ca="1">OFFSET('Zip Code Lines_1'!$Z$3,MATCH('Zip Code Lines_1'!C1630,'Zip Code Lines_1'!$Q$4:$Q$26,0),0)</f>
        <v>84.2</v>
      </c>
      <c r="G1630" s="342">
        <f ca="1">OFFSET('Zip Code Lines_1'!$AC$3,MATCH('Zip Code Lines_1'!C1630,'Zip Code Lines_1'!$Q$4:$Q$26,0),0)</f>
        <v>18</v>
      </c>
      <c r="H1630" s="342">
        <v>13782</v>
      </c>
    </row>
    <row r="1631" spans="2:8" x14ac:dyDescent="0.25">
      <c r="B1631" s="342">
        <v>13783</v>
      </c>
      <c r="C1631" s="343" t="s">
        <v>549</v>
      </c>
      <c r="D1631" s="343" t="str">
        <f ca="1">OFFSET('Zip Code Lines_1'!$U$3,MATCH('Zip Code Lines_1'!C1631,'Zip Code Lines_1'!$Q$4:$Q$26,0),0)</f>
        <v>Monticello</v>
      </c>
      <c r="E1631" s="344">
        <f ca="1">OFFSET('Zip Code Lines_1'!$W$3,MATCH('Zip Code Lines_1'!C1631,'Zip Code Lines_1'!$Q$4:$Q$26,0),0)</f>
        <v>4.7</v>
      </c>
      <c r="F1631" s="344">
        <f ca="1">OFFSET('Zip Code Lines_1'!$Z$3,MATCH('Zip Code Lines_1'!C1631,'Zip Code Lines_1'!$Q$4:$Q$26,0),0)</f>
        <v>82.5</v>
      </c>
      <c r="G1631" s="342">
        <f ca="1">OFFSET('Zip Code Lines_1'!$AC$3,MATCH('Zip Code Lines_1'!C1631,'Zip Code Lines_1'!$Q$4:$Q$26,0),0)</f>
        <v>12</v>
      </c>
      <c r="H1631" s="342">
        <v>13783</v>
      </c>
    </row>
    <row r="1632" spans="2:8" x14ac:dyDescent="0.25">
      <c r="B1632" s="342">
        <v>13784</v>
      </c>
      <c r="C1632" s="343" t="s">
        <v>532</v>
      </c>
      <c r="D1632" s="343" t="str">
        <f ca="1">OFFSET('Zip Code Lines_1'!$U$3,MATCH('Zip Code Lines_1'!C1632,'Zip Code Lines_1'!$Q$4:$Q$26,0),0)</f>
        <v>Binghamton</v>
      </c>
      <c r="E1632" s="344">
        <f ca="1">OFFSET('Zip Code Lines_1'!$W$3,MATCH('Zip Code Lines_1'!C1632,'Zip Code Lines_1'!$Q$4:$Q$26,0),0)</f>
        <v>4.5</v>
      </c>
      <c r="F1632" s="344">
        <f ca="1">OFFSET('Zip Code Lines_1'!$Z$3,MATCH('Zip Code Lines_1'!C1632,'Zip Code Lines_1'!$Q$4:$Q$26,0),0)</f>
        <v>82.3</v>
      </c>
      <c r="G1632" s="342">
        <f ca="1">OFFSET('Zip Code Lines_1'!$AC$3,MATCH('Zip Code Lines_1'!C1632,'Zip Code Lines_1'!$Q$4:$Q$26,0),0)</f>
        <v>12</v>
      </c>
      <c r="H1632" s="342">
        <v>13784</v>
      </c>
    </row>
    <row r="1633" spans="2:8" x14ac:dyDescent="0.25">
      <c r="B1633" s="342">
        <v>13786</v>
      </c>
      <c r="C1633" s="343" t="s">
        <v>543</v>
      </c>
      <c r="D1633" s="343" t="str">
        <f ca="1">OFFSET('Zip Code Lines_1'!$U$3,MATCH('Zip Code Lines_1'!C1633,'Zip Code Lines_1'!$Q$4:$Q$26,0),0)</f>
        <v xml:space="preserve">Glens Falls </v>
      </c>
      <c r="E1633" s="344">
        <f ca="1">OFFSET('Zip Code Lines_1'!$W$3,MATCH('Zip Code Lines_1'!C1633,'Zip Code Lines_1'!$Q$4:$Q$26,0),0)</f>
        <v>-1.8</v>
      </c>
      <c r="F1633" s="344">
        <f ca="1">OFFSET('Zip Code Lines_1'!$Z$3,MATCH('Zip Code Lines_1'!C1633,'Zip Code Lines_1'!$Q$4:$Q$26,0),0)</f>
        <v>84.7</v>
      </c>
      <c r="G1633" s="342">
        <f ca="1">OFFSET('Zip Code Lines_1'!$AC$3,MATCH('Zip Code Lines_1'!C1633,'Zip Code Lines_1'!$Q$4:$Q$26,0),0)</f>
        <v>12</v>
      </c>
      <c r="H1633" s="342">
        <v>13786</v>
      </c>
    </row>
    <row r="1634" spans="2:8" x14ac:dyDescent="0.25">
      <c r="B1634" s="342">
        <v>13787</v>
      </c>
      <c r="C1634" s="343" t="s">
        <v>532</v>
      </c>
      <c r="D1634" s="343" t="str">
        <f ca="1">OFFSET('Zip Code Lines_1'!$U$3,MATCH('Zip Code Lines_1'!C1634,'Zip Code Lines_1'!$Q$4:$Q$26,0),0)</f>
        <v>Binghamton</v>
      </c>
      <c r="E1634" s="344">
        <f ca="1">OFFSET('Zip Code Lines_1'!$W$3,MATCH('Zip Code Lines_1'!C1634,'Zip Code Lines_1'!$Q$4:$Q$26,0),0)</f>
        <v>4.5</v>
      </c>
      <c r="F1634" s="344">
        <f ca="1">OFFSET('Zip Code Lines_1'!$Z$3,MATCH('Zip Code Lines_1'!C1634,'Zip Code Lines_1'!$Q$4:$Q$26,0),0)</f>
        <v>82.3</v>
      </c>
      <c r="G1634" s="342">
        <f ca="1">OFFSET('Zip Code Lines_1'!$AC$3,MATCH('Zip Code Lines_1'!C1634,'Zip Code Lines_1'!$Q$4:$Q$26,0),0)</f>
        <v>12</v>
      </c>
      <c r="H1634" s="342">
        <v>13787</v>
      </c>
    </row>
    <row r="1635" spans="2:8" x14ac:dyDescent="0.25">
      <c r="B1635" s="342">
        <v>13788</v>
      </c>
      <c r="C1635" s="343" t="s">
        <v>543</v>
      </c>
      <c r="D1635" s="343" t="str">
        <f ca="1">OFFSET('Zip Code Lines_1'!$U$3,MATCH('Zip Code Lines_1'!C1635,'Zip Code Lines_1'!$Q$4:$Q$26,0),0)</f>
        <v xml:space="preserve">Glens Falls </v>
      </c>
      <c r="E1635" s="344">
        <f ca="1">OFFSET('Zip Code Lines_1'!$W$3,MATCH('Zip Code Lines_1'!C1635,'Zip Code Lines_1'!$Q$4:$Q$26,0),0)</f>
        <v>-1.8</v>
      </c>
      <c r="F1635" s="344">
        <f ca="1">OFFSET('Zip Code Lines_1'!$Z$3,MATCH('Zip Code Lines_1'!C1635,'Zip Code Lines_1'!$Q$4:$Q$26,0),0)</f>
        <v>84.7</v>
      </c>
      <c r="G1635" s="342">
        <f ca="1">OFFSET('Zip Code Lines_1'!$AC$3,MATCH('Zip Code Lines_1'!C1635,'Zip Code Lines_1'!$Q$4:$Q$26,0),0)</f>
        <v>12</v>
      </c>
      <c r="H1635" s="342">
        <v>13788</v>
      </c>
    </row>
    <row r="1636" spans="2:8" x14ac:dyDescent="0.25">
      <c r="B1636" s="342">
        <v>13790</v>
      </c>
      <c r="C1636" s="343" t="s">
        <v>532</v>
      </c>
      <c r="D1636" s="343" t="str">
        <f ca="1">OFFSET('Zip Code Lines_1'!$U$3,MATCH('Zip Code Lines_1'!C1636,'Zip Code Lines_1'!$Q$4:$Q$26,0),0)</f>
        <v>Binghamton</v>
      </c>
      <c r="E1636" s="344">
        <f ca="1">OFFSET('Zip Code Lines_1'!$W$3,MATCH('Zip Code Lines_1'!C1636,'Zip Code Lines_1'!$Q$4:$Q$26,0),0)</f>
        <v>4.5</v>
      </c>
      <c r="F1636" s="344">
        <f ca="1">OFFSET('Zip Code Lines_1'!$Z$3,MATCH('Zip Code Lines_1'!C1636,'Zip Code Lines_1'!$Q$4:$Q$26,0),0)</f>
        <v>82.3</v>
      </c>
      <c r="G1636" s="342">
        <f ca="1">OFFSET('Zip Code Lines_1'!$AC$3,MATCH('Zip Code Lines_1'!C1636,'Zip Code Lines_1'!$Q$4:$Q$26,0),0)</f>
        <v>12</v>
      </c>
      <c r="H1636" s="342">
        <v>13790</v>
      </c>
    </row>
    <row r="1637" spans="2:8" x14ac:dyDescent="0.25">
      <c r="B1637" s="342">
        <v>13794</v>
      </c>
      <c r="C1637" s="343" t="s">
        <v>532</v>
      </c>
      <c r="D1637" s="343" t="str">
        <f ca="1">OFFSET('Zip Code Lines_1'!$U$3,MATCH('Zip Code Lines_1'!C1637,'Zip Code Lines_1'!$Q$4:$Q$26,0),0)</f>
        <v>Binghamton</v>
      </c>
      <c r="E1637" s="344">
        <f ca="1">OFFSET('Zip Code Lines_1'!$W$3,MATCH('Zip Code Lines_1'!C1637,'Zip Code Lines_1'!$Q$4:$Q$26,0),0)</f>
        <v>4.5</v>
      </c>
      <c r="F1637" s="344">
        <f ca="1">OFFSET('Zip Code Lines_1'!$Z$3,MATCH('Zip Code Lines_1'!C1637,'Zip Code Lines_1'!$Q$4:$Q$26,0),0)</f>
        <v>82.3</v>
      </c>
      <c r="G1637" s="342">
        <f ca="1">OFFSET('Zip Code Lines_1'!$AC$3,MATCH('Zip Code Lines_1'!C1637,'Zip Code Lines_1'!$Q$4:$Q$26,0),0)</f>
        <v>12</v>
      </c>
      <c r="H1637" s="342">
        <v>13794</v>
      </c>
    </row>
    <row r="1638" spans="2:8" x14ac:dyDescent="0.25">
      <c r="B1638" s="342">
        <v>13795</v>
      </c>
      <c r="C1638" s="343" t="s">
        <v>532</v>
      </c>
      <c r="D1638" s="343" t="str">
        <f ca="1">OFFSET('Zip Code Lines_1'!$U$3,MATCH('Zip Code Lines_1'!C1638,'Zip Code Lines_1'!$Q$4:$Q$26,0),0)</f>
        <v>Binghamton</v>
      </c>
      <c r="E1638" s="344">
        <f ca="1">OFFSET('Zip Code Lines_1'!$W$3,MATCH('Zip Code Lines_1'!C1638,'Zip Code Lines_1'!$Q$4:$Q$26,0),0)</f>
        <v>4.5</v>
      </c>
      <c r="F1638" s="344">
        <f ca="1">OFFSET('Zip Code Lines_1'!$Z$3,MATCH('Zip Code Lines_1'!C1638,'Zip Code Lines_1'!$Q$4:$Q$26,0),0)</f>
        <v>82.3</v>
      </c>
      <c r="G1638" s="342">
        <f ca="1">OFFSET('Zip Code Lines_1'!$AC$3,MATCH('Zip Code Lines_1'!C1638,'Zip Code Lines_1'!$Q$4:$Q$26,0),0)</f>
        <v>12</v>
      </c>
      <c r="H1638" s="342">
        <v>13795</v>
      </c>
    </row>
    <row r="1639" spans="2:8" x14ac:dyDescent="0.25">
      <c r="B1639" s="342">
        <v>13796</v>
      </c>
      <c r="C1639" s="343" t="s">
        <v>569</v>
      </c>
      <c r="D1639" s="343" t="str">
        <f ca="1">OFFSET('Zip Code Lines_1'!$U$3,MATCH('Zip Code Lines_1'!C1639,'Zip Code Lines_1'!$Q$4:$Q$26,0),0)</f>
        <v>Utica</v>
      </c>
      <c r="E1639" s="344">
        <f ca="1">OFFSET('Zip Code Lines_1'!$W$3,MATCH('Zip Code Lines_1'!C1639,'Zip Code Lines_1'!$Q$4:$Q$26,0),0)</f>
        <v>1.2</v>
      </c>
      <c r="F1639" s="344">
        <f ca="1">OFFSET('Zip Code Lines_1'!$Z$3,MATCH('Zip Code Lines_1'!C1639,'Zip Code Lines_1'!$Q$4:$Q$26,0),0)</f>
        <v>84.2</v>
      </c>
      <c r="G1639" s="342">
        <f ca="1">OFFSET('Zip Code Lines_1'!$AC$3,MATCH('Zip Code Lines_1'!C1639,'Zip Code Lines_1'!$Q$4:$Q$26,0),0)</f>
        <v>18</v>
      </c>
      <c r="H1639" s="342">
        <v>13796</v>
      </c>
    </row>
    <row r="1640" spans="2:8" x14ac:dyDescent="0.25">
      <c r="B1640" s="342">
        <v>13797</v>
      </c>
      <c r="C1640" s="343" t="s">
        <v>532</v>
      </c>
      <c r="D1640" s="343" t="str">
        <f ca="1">OFFSET('Zip Code Lines_1'!$U$3,MATCH('Zip Code Lines_1'!C1640,'Zip Code Lines_1'!$Q$4:$Q$26,0),0)</f>
        <v>Binghamton</v>
      </c>
      <c r="E1640" s="344">
        <f ca="1">OFFSET('Zip Code Lines_1'!$W$3,MATCH('Zip Code Lines_1'!C1640,'Zip Code Lines_1'!$Q$4:$Q$26,0),0)</f>
        <v>4.5</v>
      </c>
      <c r="F1640" s="344">
        <f ca="1">OFFSET('Zip Code Lines_1'!$Z$3,MATCH('Zip Code Lines_1'!C1640,'Zip Code Lines_1'!$Q$4:$Q$26,0),0)</f>
        <v>82.3</v>
      </c>
      <c r="G1640" s="342">
        <f ca="1">OFFSET('Zip Code Lines_1'!$AC$3,MATCH('Zip Code Lines_1'!C1640,'Zip Code Lines_1'!$Q$4:$Q$26,0),0)</f>
        <v>12</v>
      </c>
      <c r="H1640" s="342">
        <v>13797</v>
      </c>
    </row>
    <row r="1641" spans="2:8" x14ac:dyDescent="0.25">
      <c r="B1641" s="342">
        <v>13801</v>
      </c>
      <c r="C1641" s="343" t="s">
        <v>569</v>
      </c>
      <c r="D1641" s="343" t="str">
        <f ca="1">OFFSET('Zip Code Lines_1'!$U$3,MATCH('Zip Code Lines_1'!C1641,'Zip Code Lines_1'!$Q$4:$Q$26,0),0)</f>
        <v>Utica</v>
      </c>
      <c r="E1641" s="344">
        <f ca="1">OFFSET('Zip Code Lines_1'!$W$3,MATCH('Zip Code Lines_1'!C1641,'Zip Code Lines_1'!$Q$4:$Q$26,0),0)</f>
        <v>1.2</v>
      </c>
      <c r="F1641" s="344">
        <f ca="1">OFFSET('Zip Code Lines_1'!$Z$3,MATCH('Zip Code Lines_1'!C1641,'Zip Code Lines_1'!$Q$4:$Q$26,0),0)</f>
        <v>84.2</v>
      </c>
      <c r="G1641" s="342">
        <f ca="1">OFFSET('Zip Code Lines_1'!$AC$3,MATCH('Zip Code Lines_1'!C1641,'Zip Code Lines_1'!$Q$4:$Q$26,0),0)</f>
        <v>18</v>
      </c>
      <c r="H1641" s="342">
        <v>13801</v>
      </c>
    </row>
    <row r="1642" spans="2:8" x14ac:dyDescent="0.25">
      <c r="B1642" s="342">
        <v>13802</v>
      </c>
      <c r="C1642" s="343" t="s">
        <v>532</v>
      </c>
      <c r="D1642" s="343" t="str">
        <f ca="1">OFFSET('Zip Code Lines_1'!$U$3,MATCH('Zip Code Lines_1'!C1642,'Zip Code Lines_1'!$Q$4:$Q$26,0),0)</f>
        <v>Binghamton</v>
      </c>
      <c r="E1642" s="344">
        <f ca="1">OFFSET('Zip Code Lines_1'!$W$3,MATCH('Zip Code Lines_1'!C1642,'Zip Code Lines_1'!$Q$4:$Q$26,0),0)</f>
        <v>4.5</v>
      </c>
      <c r="F1642" s="344">
        <f ca="1">OFFSET('Zip Code Lines_1'!$Z$3,MATCH('Zip Code Lines_1'!C1642,'Zip Code Lines_1'!$Q$4:$Q$26,0),0)</f>
        <v>82.3</v>
      </c>
      <c r="G1642" s="342">
        <f ca="1">OFFSET('Zip Code Lines_1'!$AC$3,MATCH('Zip Code Lines_1'!C1642,'Zip Code Lines_1'!$Q$4:$Q$26,0),0)</f>
        <v>12</v>
      </c>
      <c r="H1642" s="342">
        <v>13802</v>
      </c>
    </row>
    <row r="1643" spans="2:8" x14ac:dyDescent="0.25">
      <c r="B1643" s="342">
        <v>13803</v>
      </c>
      <c r="C1643" s="343" t="s">
        <v>532</v>
      </c>
      <c r="D1643" s="343" t="str">
        <f ca="1">OFFSET('Zip Code Lines_1'!$U$3,MATCH('Zip Code Lines_1'!C1643,'Zip Code Lines_1'!$Q$4:$Q$26,0),0)</f>
        <v>Binghamton</v>
      </c>
      <c r="E1643" s="344">
        <f ca="1">OFFSET('Zip Code Lines_1'!$W$3,MATCH('Zip Code Lines_1'!C1643,'Zip Code Lines_1'!$Q$4:$Q$26,0),0)</f>
        <v>4.5</v>
      </c>
      <c r="F1643" s="344">
        <f ca="1">OFFSET('Zip Code Lines_1'!$Z$3,MATCH('Zip Code Lines_1'!C1643,'Zip Code Lines_1'!$Q$4:$Q$26,0),0)</f>
        <v>82.3</v>
      </c>
      <c r="G1643" s="342">
        <f ca="1">OFFSET('Zip Code Lines_1'!$AC$3,MATCH('Zip Code Lines_1'!C1643,'Zip Code Lines_1'!$Q$4:$Q$26,0),0)</f>
        <v>12</v>
      </c>
      <c r="H1643" s="342">
        <v>13803</v>
      </c>
    </row>
    <row r="1644" spans="2:8" x14ac:dyDescent="0.25">
      <c r="B1644" s="342">
        <v>13804</v>
      </c>
      <c r="C1644" s="343" t="s">
        <v>569</v>
      </c>
      <c r="D1644" s="343" t="str">
        <f ca="1">OFFSET('Zip Code Lines_1'!$U$3,MATCH('Zip Code Lines_1'!C1644,'Zip Code Lines_1'!$Q$4:$Q$26,0),0)</f>
        <v>Utica</v>
      </c>
      <c r="E1644" s="344">
        <f ca="1">OFFSET('Zip Code Lines_1'!$W$3,MATCH('Zip Code Lines_1'!C1644,'Zip Code Lines_1'!$Q$4:$Q$26,0),0)</f>
        <v>1.2</v>
      </c>
      <c r="F1644" s="344">
        <f ca="1">OFFSET('Zip Code Lines_1'!$Z$3,MATCH('Zip Code Lines_1'!C1644,'Zip Code Lines_1'!$Q$4:$Q$26,0),0)</f>
        <v>84.2</v>
      </c>
      <c r="G1644" s="342">
        <f ca="1">OFFSET('Zip Code Lines_1'!$AC$3,MATCH('Zip Code Lines_1'!C1644,'Zip Code Lines_1'!$Q$4:$Q$26,0),0)</f>
        <v>18</v>
      </c>
      <c r="H1644" s="342">
        <v>13804</v>
      </c>
    </row>
    <row r="1645" spans="2:8" x14ac:dyDescent="0.25">
      <c r="B1645" s="342">
        <v>13806</v>
      </c>
      <c r="C1645" s="343" t="s">
        <v>569</v>
      </c>
      <c r="D1645" s="343" t="str">
        <f ca="1">OFFSET('Zip Code Lines_1'!$U$3,MATCH('Zip Code Lines_1'!C1645,'Zip Code Lines_1'!$Q$4:$Q$26,0),0)</f>
        <v>Utica</v>
      </c>
      <c r="E1645" s="344">
        <f ca="1">OFFSET('Zip Code Lines_1'!$W$3,MATCH('Zip Code Lines_1'!C1645,'Zip Code Lines_1'!$Q$4:$Q$26,0),0)</f>
        <v>1.2</v>
      </c>
      <c r="F1645" s="344">
        <f ca="1">OFFSET('Zip Code Lines_1'!$Z$3,MATCH('Zip Code Lines_1'!C1645,'Zip Code Lines_1'!$Q$4:$Q$26,0),0)</f>
        <v>84.2</v>
      </c>
      <c r="G1645" s="342">
        <f ca="1">OFFSET('Zip Code Lines_1'!$AC$3,MATCH('Zip Code Lines_1'!C1645,'Zip Code Lines_1'!$Q$4:$Q$26,0),0)</f>
        <v>18</v>
      </c>
      <c r="H1645" s="342">
        <v>13806</v>
      </c>
    </row>
    <row r="1646" spans="2:8" x14ac:dyDescent="0.25">
      <c r="B1646" s="342">
        <v>13807</v>
      </c>
      <c r="C1646" s="343" t="s">
        <v>543</v>
      </c>
      <c r="D1646" s="343" t="str">
        <f ca="1">OFFSET('Zip Code Lines_1'!$U$3,MATCH('Zip Code Lines_1'!C1646,'Zip Code Lines_1'!$Q$4:$Q$26,0),0)</f>
        <v xml:space="preserve">Glens Falls </v>
      </c>
      <c r="E1646" s="344">
        <f ca="1">OFFSET('Zip Code Lines_1'!$W$3,MATCH('Zip Code Lines_1'!C1646,'Zip Code Lines_1'!$Q$4:$Q$26,0),0)</f>
        <v>-1.8</v>
      </c>
      <c r="F1646" s="344">
        <f ca="1">OFFSET('Zip Code Lines_1'!$Z$3,MATCH('Zip Code Lines_1'!C1646,'Zip Code Lines_1'!$Q$4:$Q$26,0),0)</f>
        <v>84.7</v>
      </c>
      <c r="G1646" s="342">
        <f ca="1">OFFSET('Zip Code Lines_1'!$AC$3,MATCH('Zip Code Lines_1'!C1646,'Zip Code Lines_1'!$Q$4:$Q$26,0),0)</f>
        <v>12</v>
      </c>
      <c r="H1646" s="342">
        <v>13807</v>
      </c>
    </row>
    <row r="1647" spans="2:8" x14ac:dyDescent="0.25">
      <c r="B1647" s="342">
        <v>13808</v>
      </c>
      <c r="C1647" s="343" t="s">
        <v>569</v>
      </c>
      <c r="D1647" s="343" t="str">
        <f ca="1">OFFSET('Zip Code Lines_1'!$U$3,MATCH('Zip Code Lines_1'!C1647,'Zip Code Lines_1'!$Q$4:$Q$26,0),0)</f>
        <v>Utica</v>
      </c>
      <c r="E1647" s="344">
        <f ca="1">OFFSET('Zip Code Lines_1'!$W$3,MATCH('Zip Code Lines_1'!C1647,'Zip Code Lines_1'!$Q$4:$Q$26,0),0)</f>
        <v>1.2</v>
      </c>
      <c r="F1647" s="344">
        <f ca="1">OFFSET('Zip Code Lines_1'!$Z$3,MATCH('Zip Code Lines_1'!C1647,'Zip Code Lines_1'!$Q$4:$Q$26,0),0)</f>
        <v>84.2</v>
      </c>
      <c r="G1647" s="342">
        <f ca="1">OFFSET('Zip Code Lines_1'!$AC$3,MATCH('Zip Code Lines_1'!C1647,'Zip Code Lines_1'!$Q$4:$Q$26,0),0)</f>
        <v>18</v>
      </c>
      <c r="H1647" s="342">
        <v>13808</v>
      </c>
    </row>
    <row r="1648" spans="2:8" x14ac:dyDescent="0.25">
      <c r="B1648" s="342">
        <v>13809</v>
      </c>
      <c r="C1648" s="343" t="s">
        <v>569</v>
      </c>
      <c r="D1648" s="343" t="str">
        <f ca="1">OFFSET('Zip Code Lines_1'!$U$3,MATCH('Zip Code Lines_1'!C1648,'Zip Code Lines_1'!$Q$4:$Q$26,0),0)</f>
        <v>Utica</v>
      </c>
      <c r="E1648" s="344">
        <f ca="1">OFFSET('Zip Code Lines_1'!$W$3,MATCH('Zip Code Lines_1'!C1648,'Zip Code Lines_1'!$Q$4:$Q$26,0),0)</f>
        <v>1.2</v>
      </c>
      <c r="F1648" s="344">
        <f ca="1">OFFSET('Zip Code Lines_1'!$Z$3,MATCH('Zip Code Lines_1'!C1648,'Zip Code Lines_1'!$Q$4:$Q$26,0),0)</f>
        <v>84.2</v>
      </c>
      <c r="G1648" s="342">
        <f ca="1">OFFSET('Zip Code Lines_1'!$AC$3,MATCH('Zip Code Lines_1'!C1648,'Zip Code Lines_1'!$Q$4:$Q$26,0),0)</f>
        <v>18</v>
      </c>
      <c r="H1648" s="342">
        <v>13809</v>
      </c>
    </row>
    <row r="1649" spans="2:8" x14ac:dyDescent="0.25">
      <c r="B1649" s="342">
        <v>13810</v>
      </c>
      <c r="C1649" s="343" t="s">
        <v>569</v>
      </c>
      <c r="D1649" s="343" t="str">
        <f ca="1">OFFSET('Zip Code Lines_1'!$U$3,MATCH('Zip Code Lines_1'!C1649,'Zip Code Lines_1'!$Q$4:$Q$26,0),0)</f>
        <v>Utica</v>
      </c>
      <c r="E1649" s="344">
        <f ca="1">OFFSET('Zip Code Lines_1'!$W$3,MATCH('Zip Code Lines_1'!C1649,'Zip Code Lines_1'!$Q$4:$Q$26,0),0)</f>
        <v>1.2</v>
      </c>
      <c r="F1649" s="344">
        <f ca="1">OFFSET('Zip Code Lines_1'!$Z$3,MATCH('Zip Code Lines_1'!C1649,'Zip Code Lines_1'!$Q$4:$Q$26,0),0)</f>
        <v>84.2</v>
      </c>
      <c r="G1649" s="342">
        <f ca="1">OFFSET('Zip Code Lines_1'!$AC$3,MATCH('Zip Code Lines_1'!C1649,'Zip Code Lines_1'!$Q$4:$Q$26,0),0)</f>
        <v>18</v>
      </c>
      <c r="H1649" s="342">
        <v>13810</v>
      </c>
    </row>
    <row r="1650" spans="2:8" x14ac:dyDescent="0.25">
      <c r="B1650" s="342">
        <v>13811</v>
      </c>
      <c r="C1650" s="343" t="s">
        <v>532</v>
      </c>
      <c r="D1650" s="343" t="str">
        <f ca="1">OFFSET('Zip Code Lines_1'!$U$3,MATCH('Zip Code Lines_1'!C1650,'Zip Code Lines_1'!$Q$4:$Q$26,0),0)</f>
        <v>Binghamton</v>
      </c>
      <c r="E1650" s="344">
        <f ca="1">OFFSET('Zip Code Lines_1'!$W$3,MATCH('Zip Code Lines_1'!C1650,'Zip Code Lines_1'!$Q$4:$Q$26,0),0)</f>
        <v>4.5</v>
      </c>
      <c r="F1650" s="344">
        <f ca="1">OFFSET('Zip Code Lines_1'!$Z$3,MATCH('Zip Code Lines_1'!C1650,'Zip Code Lines_1'!$Q$4:$Q$26,0),0)</f>
        <v>82.3</v>
      </c>
      <c r="G1650" s="342">
        <f ca="1">OFFSET('Zip Code Lines_1'!$AC$3,MATCH('Zip Code Lines_1'!C1650,'Zip Code Lines_1'!$Q$4:$Q$26,0),0)</f>
        <v>12</v>
      </c>
      <c r="H1650" s="342">
        <v>13811</v>
      </c>
    </row>
    <row r="1651" spans="2:8" x14ac:dyDescent="0.25">
      <c r="B1651" s="342">
        <v>13812</v>
      </c>
      <c r="C1651" s="343" t="s">
        <v>532</v>
      </c>
      <c r="D1651" s="343" t="str">
        <f ca="1">OFFSET('Zip Code Lines_1'!$U$3,MATCH('Zip Code Lines_1'!C1651,'Zip Code Lines_1'!$Q$4:$Q$26,0),0)</f>
        <v>Binghamton</v>
      </c>
      <c r="E1651" s="344">
        <f ca="1">OFFSET('Zip Code Lines_1'!$W$3,MATCH('Zip Code Lines_1'!C1651,'Zip Code Lines_1'!$Q$4:$Q$26,0),0)</f>
        <v>4.5</v>
      </c>
      <c r="F1651" s="344">
        <f ca="1">OFFSET('Zip Code Lines_1'!$Z$3,MATCH('Zip Code Lines_1'!C1651,'Zip Code Lines_1'!$Q$4:$Q$26,0),0)</f>
        <v>82.3</v>
      </c>
      <c r="G1651" s="342">
        <f ca="1">OFFSET('Zip Code Lines_1'!$AC$3,MATCH('Zip Code Lines_1'!C1651,'Zip Code Lines_1'!$Q$4:$Q$26,0),0)</f>
        <v>12</v>
      </c>
      <c r="H1651" s="342">
        <v>13812</v>
      </c>
    </row>
    <row r="1652" spans="2:8" x14ac:dyDescent="0.25">
      <c r="B1652" s="342">
        <v>13813</v>
      </c>
      <c r="C1652" s="343" t="s">
        <v>532</v>
      </c>
      <c r="D1652" s="343" t="str">
        <f ca="1">OFFSET('Zip Code Lines_1'!$U$3,MATCH('Zip Code Lines_1'!C1652,'Zip Code Lines_1'!$Q$4:$Q$26,0),0)</f>
        <v>Binghamton</v>
      </c>
      <c r="E1652" s="344">
        <f ca="1">OFFSET('Zip Code Lines_1'!$W$3,MATCH('Zip Code Lines_1'!C1652,'Zip Code Lines_1'!$Q$4:$Q$26,0),0)</f>
        <v>4.5</v>
      </c>
      <c r="F1652" s="344">
        <f ca="1">OFFSET('Zip Code Lines_1'!$Z$3,MATCH('Zip Code Lines_1'!C1652,'Zip Code Lines_1'!$Q$4:$Q$26,0),0)</f>
        <v>82.3</v>
      </c>
      <c r="G1652" s="342">
        <f ca="1">OFFSET('Zip Code Lines_1'!$AC$3,MATCH('Zip Code Lines_1'!C1652,'Zip Code Lines_1'!$Q$4:$Q$26,0),0)</f>
        <v>12</v>
      </c>
      <c r="H1652" s="342">
        <v>13813</v>
      </c>
    </row>
    <row r="1653" spans="2:8" x14ac:dyDescent="0.25">
      <c r="B1653" s="342">
        <v>13814</v>
      </c>
      <c r="C1653" s="343" t="s">
        <v>569</v>
      </c>
      <c r="D1653" s="343" t="str">
        <f ca="1">OFFSET('Zip Code Lines_1'!$U$3,MATCH('Zip Code Lines_1'!C1653,'Zip Code Lines_1'!$Q$4:$Q$26,0),0)</f>
        <v>Utica</v>
      </c>
      <c r="E1653" s="344">
        <f ca="1">OFFSET('Zip Code Lines_1'!$W$3,MATCH('Zip Code Lines_1'!C1653,'Zip Code Lines_1'!$Q$4:$Q$26,0),0)</f>
        <v>1.2</v>
      </c>
      <c r="F1653" s="344">
        <f ca="1">OFFSET('Zip Code Lines_1'!$Z$3,MATCH('Zip Code Lines_1'!C1653,'Zip Code Lines_1'!$Q$4:$Q$26,0),0)</f>
        <v>84.2</v>
      </c>
      <c r="G1653" s="342">
        <f ca="1">OFFSET('Zip Code Lines_1'!$AC$3,MATCH('Zip Code Lines_1'!C1653,'Zip Code Lines_1'!$Q$4:$Q$26,0),0)</f>
        <v>18</v>
      </c>
      <c r="H1653" s="342">
        <v>13814</v>
      </c>
    </row>
    <row r="1654" spans="2:8" x14ac:dyDescent="0.25">
      <c r="B1654" s="342">
        <v>13815</v>
      </c>
      <c r="C1654" s="343" t="s">
        <v>569</v>
      </c>
      <c r="D1654" s="343" t="str">
        <f ca="1">OFFSET('Zip Code Lines_1'!$U$3,MATCH('Zip Code Lines_1'!C1654,'Zip Code Lines_1'!$Q$4:$Q$26,0),0)</f>
        <v>Utica</v>
      </c>
      <c r="E1654" s="344">
        <f ca="1">OFFSET('Zip Code Lines_1'!$W$3,MATCH('Zip Code Lines_1'!C1654,'Zip Code Lines_1'!$Q$4:$Q$26,0),0)</f>
        <v>1.2</v>
      </c>
      <c r="F1654" s="344">
        <f ca="1">OFFSET('Zip Code Lines_1'!$Z$3,MATCH('Zip Code Lines_1'!C1654,'Zip Code Lines_1'!$Q$4:$Q$26,0),0)</f>
        <v>84.2</v>
      </c>
      <c r="G1654" s="342">
        <f ca="1">OFFSET('Zip Code Lines_1'!$AC$3,MATCH('Zip Code Lines_1'!C1654,'Zip Code Lines_1'!$Q$4:$Q$26,0),0)</f>
        <v>18</v>
      </c>
      <c r="H1654" s="342">
        <v>13815</v>
      </c>
    </row>
    <row r="1655" spans="2:8" x14ac:dyDescent="0.25">
      <c r="B1655" s="342">
        <v>13820</v>
      </c>
      <c r="C1655" s="343" t="s">
        <v>569</v>
      </c>
      <c r="D1655" s="343" t="str">
        <f ca="1">OFFSET('Zip Code Lines_1'!$U$3,MATCH('Zip Code Lines_1'!C1655,'Zip Code Lines_1'!$Q$4:$Q$26,0),0)</f>
        <v>Utica</v>
      </c>
      <c r="E1655" s="344">
        <f ca="1">OFFSET('Zip Code Lines_1'!$W$3,MATCH('Zip Code Lines_1'!C1655,'Zip Code Lines_1'!$Q$4:$Q$26,0),0)</f>
        <v>1.2</v>
      </c>
      <c r="F1655" s="344">
        <f ca="1">OFFSET('Zip Code Lines_1'!$Z$3,MATCH('Zip Code Lines_1'!C1655,'Zip Code Lines_1'!$Q$4:$Q$26,0),0)</f>
        <v>84.2</v>
      </c>
      <c r="G1655" s="342">
        <f ca="1">OFFSET('Zip Code Lines_1'!$AC$3,MATCH('Zip Code Lines_1'!C1655,'Zip Code Lines_1'!$Q$4:$Q$26,0),0)</f>
        <v>18</v>
      </c>
      <c r="H1655" s="342">
        <v>13820</v>
      </c>
    </row>
    <row r="1656" spans="2:8" x14ac:dyDescent="0.25">
      <c r="B1656" s="342">
        <v>13825</v>
      </c>
      <c r="C1656" s="343" t="s">
        <v>569</v>
      </c>
      <c r="D1656" s="343" t="str">
        <f ca="1">OFFSET('Zip Code Lines_1'!$U$3,MATCH('Zip Code Lines_1'!C1656,'Zip Code Lines_1'!$Q$4:$Q$26,0),0)</f>
        <v>Utica</v>
      </c>
      <c r="E1656" s="344">
        <f ca="1">OFFSET('Zip Code Lines_1'!$W$3,MATCH('Zip Code Lines_1'!C1656,'Zip Code Lines_1'!$Q$4:$Q$26,0),0)</f>
        <v>1.2</v>
      </c>
      <c r="F1656" s="344">
        <f ca="1">OFFSET('Zip Code Lines_1'!$Z$3,MATCH('Zip Code Lines_1'!C1656,'Zip Code Lines_1'!$Q$4:$Q$26,0),0)</f>
        <v>84.2</v>
      </c>
      <c r="G1656" s="342">
        <f ca="1">OFFSET('Zip Code Lines_1'!$AC$3,MATCH('Zip Code Lines_1'!C1656,'Zip Code Lines_1'!$Q$4:$Q$26,0),0)</f>
        <v>18</v>
      </c>
      <c r="H1656" s="342">
        <v>13825</v>
      </c>
    </row>
    <row r="1657" spans="2:8" x14ac:dyDescent="0.25">
      <c r="B1657" s="342">
        <v>13826</v>
      </c>
      <c r="C1657" s="343" t="s">
        <v>532</v>
      </c>
      <c r="D1657" s="343" t="str">
        <f ca="1">OFFSET('Zip Code Lines_1'!$U$3,MATCH('Zip Code Lines_1'!C1657,'Zip Code Lines_1'!$Q$4:$Q$26,0),0)</f>
        <v>Binghamton</v>
      </c>
      <c r="E1657" s="344">
        <f ca="1">OFFSET('Zip Code Lines_1'!$W$3,MATCH('Zip Code Lines_1'!C1657,'Zip Code Lines_1'!$Q$4:$Q$26,0),0)</f>
        <v>4.5</v>
      </c>
      <c r="F1657" s="344">
        <f ca="1">OFFSET('Zip Code Lines_1'!$Z$3,MATCH('Zip Code Lines_1'!C1657,'Zip Code Lines_1'!$Q$4:$Q$26,0),0)</f>
        <v>82.3</v>
      </c>
      <c r="G1657" s="342">
        <f ca="1">OFFSET('Zip Code Lines_1'!$AC$3,MATCH('Zip Code Lines_1'!C1657,'Zip Code Lines_1'!$Q$4:$Q$26,0),0)</f>
        <v>12</v>
      </c>
      <c r="H1657" s="342">
        <v>13826</v>
      </c>
    </row>
    <row r="1658" spans="2:8" x14ac:dyDescent="0.25">
      <c r="B1658" s="342">
        <v>13827</v>
      </c>
      <c r="C1658" s="343" t="s">
        <v>532</v>
      </c>
      <c r="D1658" s="343" t="str">
        <f ca="1">OFFSET('Zip Code Lines_1'!$U$3,MATCH('Zip Code Lines_1'!C1658,'Zip Code Lines_1'!$Q$4:$Q$26,0),0)</f>
        <v>Binghamton</v>
      </c>
      <c r="E1658" s="344">
        <f ca="1">OFFSET('Zip Code Lines_1'!$W$3,MATCH('Zip Code Lines_1'!C1658,'Zip Code Lines_1'!$Q$4:$Q$26,0),0)</f>
        <v>4.5</v>
      </c>
      <c r="F1658" s="344">
        <f ca="1">OFFSET('Zip Code Lines_1'!$Z$3,MATCH('Zip Code Lines_1'!C1658,'Zip Code Lines_1'!$Q$4:$Q$26,0),0)</f>
        <v>82.3</v>
      </c>
      <c r="G1658" s="342">
        <f ca="1">OFFSET('Zip Code Lines_1'!$AC$3,MATCH('Zip Code Lines_1'!C1658,'Zip Code Lines_1'!$Q$4:$Q$26,0),0)</f>
        <v>12</v>
      </c>
      <c r="H1658" s="342">
        <v>13827</v>
      </c>
    </row>
    <row r="1659" spans="2:8" x14ac:dyDescent="0.25">
      <c r="B1659" s="342">
        <v>13830</v>
      </c>
      <c r="C1659" s="343" t="s">
        <v>569</v>
      </c>
      <c r="D1659" s="343" t="str">
        <f ca="1">OFFSET('Zip Code Lines_1'!$U$3,MATCH('Zip Code Lines_1'!C1659,'Zip Code Lines_1'!$Q$4:$Q$26,0),0)</f>
        <v>Utica</v>
      </c>
      <c r="E1659" s="344">
        <f ca="1">OFFSET('Zip Code Lines_1'!$W$3,MATCH('Zip Code Lines_1'!C1659,'Zip Code Lines_1'!$Q$4:$Q$26,0),0)</f>
        <v>1.2</v>
      </c>
      <c r="F1659" s="344">
        <f ca="1">OFFSET('Zip Code Lines_1'!$Z$3,MATCH('Zip Code Lines_1'!C1659,'Zip Code Lines_1'!$Q$4:$Q$26,0),0)</f>
        <v>84.2</v>
      </c>
      <c r="G1659" s="342">
        <f ca="1">OFFSET('Zip Code Lines_1'!$AC$3,MATCH('Zip Code Lines_1'!C1659,'Zip Code Lines_1'!$Q$4:$Q$26,0),0)</f>
        <v>18</v>
      </c>
      <c r="H1659" s="342">
        <v>13830</v>
      </c>
    </row>
    <row r="1660" spans="2:8" x14ac:dyDescent="0.25">
      <c r="B1660" s="342">
        <v>13832</v>
      </c>
      <c r="C1660" s="343" t="s">
        <v>569</v>
      </c>
      <c r="D1660" s="343" t="str">
        <f ca="1">OFFSET('Zip Code Lines_1'!$U$3,MATCH('Zip Code Lines_1'!C1660,'Zip Code Lines_1'!$Q$4:$Q$26,0),0)</f>
        <v>Utica</v>
      </c>
      <c r="E1660" s="344">
        <f ca="1">OFFSET('Zip Code Lines_1'!$W$3,MATCH('Zip Code Lines_1'!C1660,'Zip Code Lines_1'!$Q$4:$Q$26,0),0)</f>
        <v>1.2</v>
      </c>
      <c r="F1660" s="344">
        <f ca="1">OFFSET('Zip Code Lines_1'!$Z$3,MATCH('Zip Code Lines_1'!C1660,'Zip Code Lines_1'!$Q$4:$Q$26,0),0)</f>
        <v>84.2</v>
      </c>
      <c r="G1660" s="342">
        <f ca="1">OFFSET('Zip Code Lines_1'!$AC$3,MATCH('Zip Code Lines_1'!C1660,'Zip Code Lines_1'!$Q$4:$Q$26,0),0)</f>
        <v>18</v>
      </c>
      <c r="H1660" s="342">
        <v>13832</v>
      </c>
    </row>
    <row r="1661" spans="2:8" x14ac:dyDescent="0.25">
      <c r="B1661" s="342">
        <v>13833</v>
      </c>
      <c r="C1661" s="343" t="s">
        <v>532</v>
      </c>
      <c r="D1661" s="343" t="str">
        <f ca="1">OFFSET('Zip Code Lines_1'!$U$3,MATCH('Zip Code Lines_1'!C1661,'Zip Code Lines_1'!$Q$4:$Q$26,0),0)</f>
        <v>Binghamton</v>
      </c>
      <c r="E1661" s="344">
        <f ca="1">OFFSET('Zip Code Lines_1'!$W$3,MATCH('Zip Code Lines_1'!C1661,'Zip Code Lines_1'!$Q$4:$Q$26,0),0)</f>
        <v>4.5</v>
      </c>
      <c r="F1661" s="344">
        <f ca="1">OFFSET('Zip Code Lines_1'!$Z$3,MATCH('Zip Code Lines_1'!C1661,'Zip Code Lines_1'!$Q$4:$Q$26,0),0)</f>
        <v>82.3</v>
      </c>
      <c r="G1661" s="342">
        <f ca="1">OFFSET('Zip Code Lines_1'!$AC$3,MATCH('Zip Code Lines_1'!C1661,'Zip Code Lines_1'!$Q$4:$Q$26,0),0)</f>
        <v>12</v>
      </c>
      <c r="H1661" s="342">
        <v>13833</v>
      </c>
    </row>
    <row r="1662" spans="2:8" x14ac:dyDescent="0.25">
      <c r="B1662" s="342">
        <v>13834</v>
      </c>
      <c r="C1662" s="343" t="s">
        <v>569</v>
      </c>
      <c r="D1662" s="343" t="str">
        <f ca="1">OFFSET('Zip Code Lines_1'!$U$3,MATCH('Zip Code Lines_1'!C1662,'Zip Code Lines_1'!$Q$4:$Q$26,0),0)</f>
        <v>Utica</v>
      </c>
      <c r="E1662" s="344">
        <f ca="1">OFFSET('Zip Code Lines_1'!$W$3,MATCH('Zip Code Lines_1'!C1662,'Zip Code Lines_1'!$Q$4:$Q$26,0),0)</f>
        <v>1.2</v>
      </c>
      <c r="F1662" s="344">
        <f ca="1">OFFSET('Zip Code Lines_1'!$Z$3,MATCH('Zip Code Lines_1'!C1662,'Zip Code Lines_1'!$Q$4:$Q$26,0),0)</f>
        <v>84.2</v>
      </c>
      <c r="G1662" s="342">
        <f ca="1">OFFSET('Zip Code Lines_1'!$AC$3,MATCH('Zip Code Lines_1'!C1662,'Zip Code Lines_1'!$Q$4:$Q$26,0),0)</f>
        <v>18</v>
      </c>
      <c r="H1662" s="342">
        <v>13834</v>
      </c>
    </row>
    <row r="1663" spans="2:8" x14ac:dyDescent="0.25">
      <c r="B1663" s="342">
        <v>13835</v>
      </c>
      <c r="C1663" s="343" t="s">
        <v>532</v>
      </c>
      <c r="D1663" s="343" t="str">
        <f ca="1">OFFSET('Zip Code Lines_1'!$U$3,MATCH('Zip Code Lines_1'!C1663,'Zip Code Lines_1'!$Q$4:$Q$26,0),0)</f>
        <v>Binghamton</v>
      </c>
      <c r="E1663" s="344">
        <f ca="1">OFFSET('Zip Code Lines_1'!$W$3,MATCH('Zip Code Lines_1'!C1663,'Zip Code Lines_1'!$Q$4:$Q$26,0),0)</f>
        <v>4.5</v>
      </c>
      <c r="F1663" s="344">
        <f ca="1">OFFSET('Zip Code Lines_1'!$Z$3,MATCH('Zip Code Lines_1'!C1663,'Zip Code Lines_1'!$Q$4:$Q$26,0),0)</f>
        <v>82.3</v>
      </c>
      <c r="G1663" s="342">
        <f ca="1">OFFSET('Zip Code Lines_1'!$AC$3,MATCH('Zip Code Lines_1'!C1663,'Zip Code Lines_1'!$Q$4:$Q$26,0),0)</f>
        <v>12</v>
      </c>
      <c r="H1663" s="342">
        <v>13835</v>
      </c>
    </row>
    <row r="1664" spans="2:8" x14ac:dyDescent="0.25">
      <c r="B1664" s="342">
        <v>13838</v>
      </c>
      <c r="C1664" s="343" t="s">
        <v>569</v>
      </c>
      <c r="D1664" s="343" t="str">
        <f ca="1">OFFSET('Zip Code Lines_1'!$U$3,MATCH('Zip Code Lines_1'!C1664,'Zip Code Lines_1'!$Q$4:$Q$26,0),0)</f>
        <v>Utica</v>
      </c>
      <c r="E1664" s="344">
        <f ca="1">OFFSET('Zip Code Lines_1'!$W$3,MATCH('Zip Code Lines_1'!C1664,'Zip Code Lines_1'!$Q$4:$Q$26,0),0)</f>
        <v>1.2</v>
      </c>
      <c r="F1664" s="344">
        <f ca="1">OFFSET('Zip Code Lines_1'!$Z$3,MATCH('Zip Code Lines_1'!C1664,'Zip Code Lines_1'!$Q$4:$Q$26,0),0)</f>
        <v>84.2</v>
      </c>
      <c r="G1664" s="342">
        <f ca="1">OFFSET('Zip Code Lines_1'!$AC$3,MATCH('Zip Code Lines_1'!C1664,'Zip Code Lines_1'!$Q$4:$Q$26,0),0)</f>
        <v>18</v>
      </c>
      <c r="H1664" s="342">
        <v>13838</v>
      </c>
    </row>
    <row r="1665" spans="2:8" x14ac:dyDescent="0.25">
      <c r="B1665" s="342">
        <v>13839</v>
      </c>
      <c r="C1665" s="343" t="s">
        <v>569</v>
      </c>
      <c r="D1665" s="343" t="str">
        <f ca="1">OFFSET('Zip Code Lines_1'!$U$3,MATCH('Zip Code Lines_1'!C1665,'Zip Code Lines_1'!$Q$4:$Q$26,0),0)</f>
        <v>Utica</v>
      </c>
      <c r="E1665" s="344">
        <f ca="1">OFFSET('Zip Code Lines_1'!$W$3,MATCH('Zip Code Lines_1'!C1665,'Zip Code Lines_1'!$Q$4:$Q$26,0),0)</f>
        <v>1.2</v>
      </c>
      <c r="F1665" s="344">
        <f ca="1">OFFSET('Zip Code Lines_1'!$Z$3,MATCH('Zip Code Lines_1'!C1665,'Zip Code Lines_1'!$Q$4:$Q$26,0),0)</f>
        <v>84.2</v>
      </c>
      <c r="G1665" s="342">
        <f ca="1">OFFSET('Zip Code Lines_1'!$AC$3,MATCH('Zip Code Lines_1'!C1665,'Zip Code Lines_1'!$Q$4:$Q$26,0),0)</f>
        <v>18</v>
      </c>
      <c r="H1665" s="342">
        <v>13839</v>
      </c>
    </row>
    <row r="1666" spans="2:8" x14ac:dyDescent="0.25">
      <c r="B1666" s="342">
        <v>13840</v>
      </c>
      <c r="C1666" s="343" t="s">
        <v>532</v>
      </c>
      <c r="D1666" s="343" t="str">
        <f ca="1">OFFSET('Zip Code Lines_1'!$U$3,MATCH('Zip Code Lines_1'!C1666,'Zip Code Lines_1'!$Q$4:$Q$26,0),0)</f>
        <v>Binghamton</v>
      </c>
      <c r="E1666" s="344">
        <f ca="1">OFFSET('Zip Code Lines_1'!$W$3,MATCH('Zip Code Lines_1'!C1666,'Zip Code Lines_1'!$Q$4:$Q$26,0),0)</f>
        <v>4.5</v>
      </c>
      <c r="F1666" s="344">
        <f ca="1">OFFSET('Zip Code Lines_1'!$Z$3,MATCH('Zip Code Lines_1'!C1666,'Zip Code Lines_1'!$Q$4:$Q$26,0),0)</f>
        <v>82.3</v>
      </c>
      <c r="G1666" s="342">
        <f ca="1">OFFSET('Zip Code Lines_1'!$AC$3,MATCH('Zip Code Lines_1'!C1666,'Zip Code Lines_1'!$Q$4:$Q$26,0),0)</f>
        <v>12</v>
      </c>
      <c r="H1666" s="342">
        <v>13840</v>
      </c>
    </row>
    <row r="1667" spans="2:8" x14ac:dyDescent="0.25">
      <c r="B1667" s="342">
        <v>13841</v>
      </c>
      <c r="C1667" s="343" t="s">
        <v>532</v>
      </c>
      <c r="D1667" s="343" t="str">
        <f ca="1">OFFSET('Zip Code Lines_1'!$U$3,MATCH('Zip Code Lines_1'!C1667,'Zip Code Lines_1'!$Q$4:$Q$26,0),0)</f>
        <v>Binghamton</v>
      </c>
      <c r="E1667" s="344">
        <f ca="1">OFFSET('Zip Code Lines_1'!$W$3,MATCH('Zip Code Lines_1'!C1667,'Zip Code Lines_1'!$Q$4:$Q$26,0),0)</f>
        <v>4.5</v>
      </c>
      <c r="F1667" s="344">
        <f ca="1">OFFSET('Zip Code Lines_1'!$Z$3,MATCH('Zip Code Lines_1'!C1667,'Zip Code Lines_1'!$Q$4:$Q$26,0),0)</f>
        <v>82.3</v>
      </c>
      <c r="G1667" s="342">
        <f ca="1">OFFSET('Zip Code Lines_1'!$AC$3,MATCH('Zip Code Lines_1'!C1667,'Zip Code Lines_1'!$Q$4:$Q$26,0),0)</f>
        <v>12</v>
      </c>
      <c r="H1667" s="342">
        <v>13841</v>
      </c>
    </row>
    <row r="1668" spans="2:8" x14ac:dyDescent="0.25">
      <c r="B1668" s="342">
        <v>13842</v>
      </c>
      <c r="C1668" s="343" t="s">
        <v>543</v>
      </c>
      <c r="D1668" s="343" t="str">
        <f ca="1">OFFSET('Zip Code Lines_1'!$U$3,MATCH('Zip Code Lines_1'!C1668,'Zip Code Lines_1'!$Q$4:$Q$26,0),0)</f>
        <v xml:space="preserve">Glens Falls </v>
      </c>
      <c r="E1668" s="344">
        <f ca="1">OFFSET('Zip Code Lines_1'!$W$3,MATCH('Zip Code Lines_1'!C1668,'Zip Code Lines_1'!$Q$4:$Q$26,0),0)</f>
        <v>-1.8</v>
      </c>
      <c r="F1668" s="344">
        <f ca="1">OFFSET('Zip Code Lines_1'!$Z$3,MATCH('Zip Code Lines_1'!C1668,'Zip Code Lines_1'!$Q$4:$Q$26,0),0)</f>
        <v>84.7</v>
      </c>
      <c r="G1668" s="342">
        <f ca="1">OFFSET('Zip Code Lines_1'!$AC$3,MATCH('Zip Code Lines_1'!C1668,'Zip Code Lines_1'!$Q$4:$Q$26,0),0)</f>
        <v>12</v>
      </c>
      <c r="H1668" s="342">
        <v>13842</v>
      </c>
    </row>
    <row r="1669" spans="2:8" x14ac:dyDescent="0.25">
      <c r="B1669" s="342">
        <v>13843</v>
      </c>
      <c r="C1669" s="343" t="s">
        <v>569</v>
      </c>
      <c r="D1669" s="343" t="str">
        <f ca="1">OFFSET('Zip Code Lines_1'!$U$3,MATCH('Zip Code Lines_1'!C1669,'Zip Code Lines_1'!$Q$4:$Q$26,0),0)</f>
        <v>Utica</v>
      </c>
      <c r="E1669" s="344">
        <f ca="1">OFFSET('Zip Code Lines_1'!$W$3,MATCH('Zip Code Lines_1'!C1669,'Zip Code Lines_1'!$Q$4:$Q$26,0),0)</f>
        <v>1.2</v>
      </c>
      <c r="F1669" s="344">
        <f ca="1">OFFSET('Zip Code Lines_1'!$Z$3,MATCH('Zip Code Lines_1'!C1669,'Zip Code Lines_1'!$Q$4:$Q$26,0),0)</f>
        <v>84.2</v>
      </c>
      <c r="G1669" s="342">
        <f ca="1">OFFSET('Zip Code Lines_1'!$AC$3,MATCH('Zip Code Lines_1'!C1669,'Zip Code Lines_1'!$Q$4:$Q$26,0),0)</f>
        <v>18</v>
      </c>
      <c r="H1669" s="342">
        <v>13843</v>
      </c>
    </row>
    <row r="1670" spans="2:8" x14ac:dyDescent="0.25">
      <c r="B1670" s="342">
        <v>13844</v>
      </c>
      <c r="C1670" s="343" t="s">
        <v>569</v>
      </c>
      <c r="D1670" s="343" t="str">
        <f ca="1">OFFSET('Zip Code Lines_1'!$U$3,MATCH('Zip Code Lines_1'!C1670,'Zip Code Lines_1'!$Q$4:$Q$26,0),0)</f>
        <v>Utica</v>
      </c>
      <c r="E1670" s="344">
        <f ca="1">OFFSET('Zip Code Lines_1'!$W$3,MATCH('Zip Code Lines_1'!C1670,'Zip Code Lines_1'!$Q$4:$Q$26,0),0)</f>
        <v>1.2</v>
      </c>
      <c r="F1670" s="344">
        <f ca="1">OFFSET('Zip Code Lines_1'!$Z$3,MATCH('Zip Code Lines_1'!C1670,'Zip Code Lines_1'!$Q$4:$Q$26,0),0)</f>
        <v>84.2</v>
      </c>
      <c r="G1670" s="342">
        <f ca="1">OFFSET('Zip Code Lines_1'!$AC$3,MATCH('Zip Code Lines_1'!C1670,'Zip Code Lines_1'!$Q$4:$Q$26,0),0)</f>
        <v>18</v>
      </c>
      <c r="H1670" s="342">
        <v>13844</v>
      </c>
    </row>
    <row r="1671" spans="2:8" x14ac:dyDescent="0.25">
      <c r="B1671" s="342">
        <v>13845</v>
      </c>
      <c r="C1671" s="343" t="s">
        <v>532</v>
      </c>
      <c r="D1671" s="343" t="str">
        <f ca="1">OFFSET('Zip Code Lines_1'!$U$3,MATCH('Zip Code Lines_1'!C1671,'Zip Code Lines_1'!$Q$4:$Q$26,0),0)</f>
        <v>Binghamton</v>
      </c>
      <c r="E1671" s="344">
        <f ca="1">OFFSET('Zip Code Lines_1'!$W$3,MATCH('Zip Code Lines_1'!C1671,'Zip Code Lines_1'!$Q$4:$Q$26,0),0)</f>
        <v>4.5</v>
      </c>
      <c r="F1671" s="344">
        <f ca="1">OFFSET('Zip Code Lines_1'!$Z$3,MATCH('Zip Code Lines_1'!C1671,'Zip Code Lines_1'!$Q$4:$Q$26,0),0)</f>
        <v>82.3</v>
      </c>
      <c r="G1671" s="342">
        <f ca="1">OFFSET('Zip Code Lines_1'!$AC$3,MATCH('Zip Code Lines_1'!C1671,'Zip Code Lines_1'!$Q$4:$Q$26,0),0)</f>
        <v>12</v>
      </c>
      <c r="H1671" s="342">
        <v>13845</v>
      </c>
    </row>
    <row r="1672" spans="2:8" x14ac:dyDescent="0.25">
      <c r="B1672" s="342">
        <v>13846</v>
      </c>
      <c r="C1672" s="343" t="s">
        <v>569</v>
      </c>
      <c r="D1672" s="343" t="str">
        <f ca="1">OFFSET('Zip Code Lines_1'!$U$3,MATCH('Zip Code Lines_1'!C1672,'Zip Code Lines_1'!$Q$4:$Q$26,0),0)</f>
        <v>Utica</v>
      </c>
      <c r="E1672" s="344">
        <f ca="1">OFFSET('Zip Code Lines_1'!$W$3,MATCH('Zip Code Lines_1'!C1672,'Zip Code Lines_1'!$Q$4:$Q$26,0),0)</f>
        <v>1.2</v>
      </c>
      <c r="F1672" s="344">
        <f ca="1">OFFSET('Zip Code Lines_1'!$Z$3,MATCH('Zip Code Lines_1'!C1672,'Zip Code Lines_1'!$Q$4:$Q$26,0),0)</f>
        <v>84.2</v>
      </c>
      <c r="G1672" s="342">
        <f ca="1">OFFSET('Zip Code Lines_1'!$AC$3,MATCH('Zip Code Lines_1'!C1672,'Zip Code Lines_1'!$Q$4:$Q$26,0),0)</f>
        <v>18</v>
      </c>
      <c r="H1672" s="342">
        <v>13846</v>
      </c>
    </row>
    <row r="1673" spans="2:8" x14ac:dyDescent="0.25">
      <c r="B1673" s="342">
        <v>13847</v>
      </c>
      <c r="C1673" s="343" t="s">
        <v>532</v>
      </c>
      <c r="D1673" s="343" t="str">
        <f ca="1">OFFSET('Zip Code Lines_1'!$U$3,MATCH('Zip Code Lines_1'!C1673,'Zip Code Lines_1'!$Q$4:$Q$26,0),0)</f>
        <v>Binghamton</v>
      </c>
      <c r="E1673" s="344">
        <f ca="1">OFFSET('Zip Code Lines_1'!$W$3,MATCH('Zip Code Lines_1'!C1673,'Zip Code Lines_1'!$Q$4:$Q$26,0),0)</f>
        <v>4.5</v>
      </c>
      <c r="F1673" s="344">
        <f ca="1">OFFSET('Zip Code Lines_1'!$Z$3,MATCH('Zip Code Lines_1'!C1673,'Zip Code Lines_1'!$Q$4:$Q$26,0),0)</f>
        <v>82.3</v>
      </c>
      <c r="G1673" s="342">
        <f ca="1">OFFSET('Zip Code Lines_1'!$AC$3,MATCH('Zip Code Lines_1'!C1673,'Zip Code Lines_1'!$Q$4:$Q$26,0),0)</f>
        <v>12</v>
      </c>
      <c r="H1673" s="342">
        <v>13847</v>
      </c>
    </row>
    <row r="1674" spans="2:8" x14ac:dyDescent="0.25">
      <c r="B1674" s="342">
        <v>13848</v>
      </c>
      <c r="C1674" s="343" t="s">
        <v>532</v>
      </c>
      <c r="D1674" s="343" t="str">
        <f ca="1">OFFSET('Zip Code Lines_1'!$U$3,MATCH('Zip Code Lines_1'!C1674,'Zip Code Lines_1'!$Q$4:$Q$26,0),0)</f>
        <v>Binghamton</v>
      </c>
      <c r="E1674" s="344">
        <f ca="1">OFFSET('Zip Code Lines_1'!$W$3,MATCH('Zip Code Lines_1'!C1674,'Zip Code Lines_1'!$Q$4:$Q$26,0),0)</f>
        <v>4.5</v>
      </c>
      <c r="F1674" s="344">
        <f ca="1">OFFSET('Zip Code Lines_1'!$Z$3,MATCH('Zip Code Lines_1'!C1674,'Zip Code Lines_1'!$Q$4:$Q$26,0),0)</f>
        <v>82.3</v>
      </c>
      <c r="G1674" s="342">
        <f ca="1">OFFSET('Zip Code Lines_1'!$AC$3,MATCH('Zip Code Lines_1'!C1674,'Zip Code Lines_1'!$Q$4:$Q$26,0),0)</f>
        <v>12</v>
      </c>
      <c r="H1674" s="342">
        <v>13848</v>
      </c>
    </row>
    <row r="1675" spans="2:8" x14ac:dyDescent="0.25">
      <c r="B1675" s="342">
        <v>13849</v>
      </c>
      <c r="C1675" s="343" t="s">
        <v>569</v>
      </c>
      <c r="D1675" s="343" t="str">
        <f ca="1">OFFSET('Zip Code Lines_1'!$U$3,MATCH('Zip Code Lines_1'!C1675,'Zip Code Lines_1'!$Q$4:$Q$26,0),0)</f>
        <v>Utica</v>
      </c>
      <c r="E1675" s="344">
        <f ca="1">OFFSET('Zip Code Lines_1'!$W$3,MATCH('Zip Code Lines_1'!C1675,'Zip Code Lines_1'!$Q$4:$Q$26,0),0)</f>
        <v>1.2</v>
      </c>
      <c r="F1675" s="344">
        <f ca="1">OFFSET('Zip Code Lines_1'!$Z$3,MATCH('Zip Code Lines_1'!C1675,'Zip Code Lines_1'!$Q$4:$Q$26,0),0)</f>
        <v>84.2</v>
      </c>
      <c r="G1675" s="342">
        <f ca="1">OFFSET('Zip Code Lines_1'!$AC$3,MATCH('Zip Code Lines_1'!C1675,'Zip Code Lines_1'!$Q$4:$Q$26,0),0)</f>
        <v>18</v>
      </c>
      <c r="H1675" s="342">
        <v>13849</v>
      </c>
    </row>
    <row r="1676" spans="2:8" x14ac:dyDescent="0.25">
      <c r="B1676" s="342">
        <v>13850</v>
      </c>
      <c r="C1676" s="343" t="s">
        <v>532</v>
      </c>
      <c r="D1676" s="343" t="str">
        <f ca="1">OFFSET('Zip Code Lines_1'!$U$3,MATCH('Zip Code Lines_1'!C1676,'Zip Code Lines_1'!$Q$4:$Q$26,0),0)</f>
        <v>Binghamton</v>
      </c>
      <c r="E1676" s="344">
        <f ca="1">OFFSET('Zip Code Lines_1'!$W$3,MATCH('Zip Code Lines_1'!C1676,'Zip Code Lines_1'!$Q$4:$Q$26,0),0)</f>
        <v>4.5</v>
      </c>
      <c r="F1676" s="344">
        <f ca="1">OFFSET('Zip Code Lines_1'!$Z$3,MATCH('Zip Code Lines_1'!C1676,'Zip Code Lines_1'!$Q$4:$Q$26,0),0)</f>
        <v>82.3</v>
      </c>
      <c r="G1676" s="342">
        <f ca="1">OFFSET('Zip Code Lines_1'!$AC$3,MATCH('Zip Code Lines_1'!C1676,'Zip Code Lines_1'!$Q$4:$Q$26,0),0)</f>
        <v>12</v>
      </c>
      <c r="H1676" s="342">
        <v>13850</v>
      </c>
    </row>
    <row r="1677" spans="2:8" x14ac:dyDescent="0.25">
      <c r="B1677" s="342">
        <v>13851</v>
      </c>
      <c r="C1677" s="343" t="s">
        <v>532</v>
      </c>
      <c r="D1677" s="343" t="str">
        <f ca="1">OFFSET('Zip Code Lines_1'!$U$3,MATCH('Zip Code Lines_1'!C1677,'Zip Code Lines_1'!$Q$4:$Q$26,0),0)</f>
        <v>Binghamton</v>
      </c>
      <c r="E1677" s="344">
        <f ca="1">OFFSET('Zip Code Lines_1'!$W$3,MATCH('Zip Code Lines_1'!C1677,'Zip Code Lines_1'!$Q$4:$Q$26,0),0)</f>
        <v>4.5</v>
      </c>
      <c r="F1677" s="344">
        <f ca="1">OFFSET('Zip Code Lines_1'!$Z$3,MATCH('Zip Code Lines_1'!C1677,'Zip Code Lines_1'!$Q$4:$Q$26,0),0)</f>
        <v>82.3</v>
      </c>
      <c r="G1677" s="342">
        <f ca="1">OFFSET('Zip Code Lines_1'!$AC$3,MATCH('Zip Code Lines_1'!C1677,'Zip Code Lines_1'!$Q$4:$Q$26,0),0)</f>
        <v>12</v>
      </c>
      <c r="H1677" s="342">
        <v>13851</v>
      </c>
    </row>
    <row r="1678" spans="2:8" x14ac:dyDescent="0.25">
      <c r="B1678" s="342">
        <v>13856</v>
      </c>
      <c r="C1678" s="343" t="s">
        <v>532</v>
      </c>
      <c r="D1678" s="343" t="str">
        <f ca="1">OFFSET('Zip Code Lines_1'!$U$3,MATCH('Zip Code Lines_1'!C1678,'Zip Code Lines_1'!$Q$4:$Q$26,0),0)</f>
        <v>Binghamton</v>
      </c>
      <c r="E1678" s="344">
        <f ca="1">OFFSET('Zip Code Lines_1'!$W$3,MATCH('Zip Code Lines_1'!C1678,'Zip Code Lines_1'!$Q$4:$Q$26,0),0)</f>
        <v>4.5</v>
      </c>
      <c r="F1678" s="344">
        <f ca="1">OFFSET('Zip Code Lines_1'!$Z$3,MATCH('Zip Code Lines_1'!C1678,'Zip Code Lines_1'!$Q$4:$Q$26,0),0)</f>
        <v>82.3</v>
      </c>
      <c r="G1678" s="342">
        <f ca="1">OFFSET('Zip Code Lines_1'!$AC$3,MATCH('Zip Code Lines_1'!C1678,'Zip Code Lines_1'!$Q$4:$Q$26,0),0)</f>
        <v>12</v>
      </c>
      <c r="H1678" s="342">
        <v>13856</v>
      </c>
    </row>
    <row r="1679" spans="2:8" x14ac:dyDescent="0.25">
      <c r="B1679" s="342">
        <v>13859</v>
      </c>
      <c r="C1679" s="343" t="s">
        <v>569</v>
      </c>
      <c r="D1679" s="343" t="str">
        <f ca="1">OFFSET('Zip Code Lines_1'!$U$3,MATCH('Zip Code Lines_1'!C1679,'Zip Code Lines_1'!$Q$4:$Q$26,0),0)</f>
        <v>Utica</v>
      </c>
      <c r="E1679" s="344">
        <f ca="1">OFFSET('Zip Code Lines_1'!$W$3,MATCH('Zip Code Lines_1'!C1679,'Zip Code Lines_1'!$Q$4:$Q$26,0),0)</f>
        <v>1.2</v>
      </c>
      <c r="F1679" s="344">
        <f ca="1">OFFSET('Zip Code Lines_1'!$Z$3,MATCH('Zip Code Lines_1'!C1679,'Zip Code Lines_1'!$Q$4:$Q$26,0),0)</f>
        <v>84.2</v>
      </c>
      <c r="G1679" s="342">
        <f ca="1">OFFSET('Zip Code Lines_1'!$AC$3,MATCH('Zip Code Lines_1'!C1679,'Zip Code Lines_1'!$Q$4:$Q$26,0),0)</f>
        <v>18</v>
      </c>
      <c r="H1679" s="342">
        <v>13859</v>
      </c>
    </row>
    <row r="1680" spans="2:8" x14ac:dyDescent="0.25">
      <c r="B1680" s="342">
        <v>13860</v>
      </c>
      <c r="C1680" s="343" t="s">
        <v>569</v>
      </c>
      <c r="D1680" s="343" t="str">
        <f ca="1">OFFSET('Zip Code Lines_1'!$U$3,MATCH('Zip Code Lines_1'!C1680,'Zip Code Lines_1'!$Q$4:$Q$26,0),0)</f>
        <v>Utica</v>
      </c>
      <c r="E1680" s="344">
        <f ca="1">OFFSET('Zip Code Lines_1'!$W$3,MATCH('Zip Code Lines_1'!C1680,'Zip Code Lines_1'!$Q$4:$Q$26,0),0)</f>
        <v>1.2</v>
      </c>
      <c r="F1680" s="344">
        <f ca="1">OFFSET('Zip Code Lines_1'!$Z$3,MATCH('Zip Code Lines_1'!C1680,'Zip Code Lines_1'!$Q$4:$Q$26,0),0)</f>
        <v>84.2</v>
      </c>
      <c r="G1680" s="342">
        <f ca="1">OFFSET('Zip Code Lines_1'!$AC$3,MATCH('Zip Code Lines_1'!C1680,'Zip Code Lines_1'!$Q$4:$Q$26,0),0)</f>
        <v>18</v>
      </c>
      <c r="H1680" s="342">
        <v>13860</v>
      </c>
    </row>
    <row r="1681" spans="2:8" x14ac:dyDescent="0.25">
      <c r="B1681" s="342">
        <v>13861</v>
      </c>
      <c r="C1681" s="343" t="s">
        <v>569</v>
      </c>
      <c r="D1681" s="343" t="str">
        <f ca="1">OFFSET('Zip Code Lines_1'!$U$3,MATCH('Zip Code Lines_1'!C1681,'Zip Code Lines_1'!$Q$4:$Q$26,0),0)</f>
        <v>Utica</v>
      </c>
      <c r="E1681" s="344">
        <f ca="1">OFFSET('Zip Code Lines_1'!$W$3,MATCH('Zip Code Lines_1'!C1681,'Zip Code Lines_1'!$Q$4:$Q$26,0),0)</f>
        <v>1.2</v>
      </c>
      <c r="F1681" s="344">
        <f ca="1">OFFSET('Zip Code Lines_1'!$Z$3,MATCH('Zip Code Lines_1'!C1681,'Zip Code Lines_1'!$Q$4:$Q$26,0),0)</f>
        <v>84.2</v>
      </c>
      <c r="G1681" s="342">
        <f ca="1">OFFSET('Zip Code Lines_1'!$AC$3,MATCH('Zip Code Lines_1'!C1681,'Zip Code Lines_1'!$Q$4:$Q$26,0),0)</f>
        <v>18</v>
      </c>
      <c r="H1681" s="342">
        <v>13861</v>
      </c>
    </row>
    <row r="1682" spans="2:8" x14ac:dyDescent="0.25">
      <c r="B1682" s="342">
        <v>13862</v>
      </c>
      <c r="C1682" s="343" t="s">
        <v>532</v>
      </c>
      <c r="D1682" s="343" t="str">
        <f ca="1">OFFSET('Zip Code Lines_1'!$U$3,MATCH('Zip Code Lines_1'!C1682,'Zip Code Lines_1'!$Q$4:$Q$26,0),0)</f>
        <v>Binghamton</v>
      </c>
      <c r="E1682" s="344">
        <f ca="1">OFFSET('Zip Code Lines_1'!$W$3,MATCH('Zip Code Lines_1'!C1682,'Zip Code Lines_1'!$Q$4:$Q$26,0),0)</f>
        <v>4.5</v>
      </c>
      <c r="F1682" s="344">
        <f ca="1">OFFSET('Zip Code Lines_1'!$Z$3,MATCH('Zip Code Lines_1'!C1682,'Zip Code Lines_1'!$Q$4:$Q$26,0),0)</f>
        <v>82.3</v>
      </c>
      <c r="G1682" s="342">
        <f ca="1">OFFSET('Zip Code Lines_1'!$AC$3,MATCH('Zip Code Lines_1'!C1682,'Zip Code Lines_1'!$Q$4:$Q$26,0),0)</f>
        <v>12</v>
      </c>
      <c r="H1682" s="342">
        <v>13862</v>
      </c>
    </row>
    <row r="1683" spans="2:8" x14ac:dyDescent="0.25">
      <c r="B1683" s="342">
        <v>13863</v>
      </c>
      <c r="C1683" s="343" t="s">
        <v>532</v>
      </c>
      <c r="D1683" s="343" t="str">
        <f ca="1">OFFSET('Zip Code Lines_1'!$U$3,MATCH('Zip Code Lines_1'!C1683,'Zip Code Lines_1'!$Q$4:$Q$26,0),0)</f>
        <v>Binghamton</v>
      </c>
      <c r="E1683" s="344">
        <f ca="1">OFFSET('Zip Code Lines_1'!$W$3,MATCH('Zip Code Lines_1'!C1683,'Zip Code Lines_1'!$Q$4:$Q$26,0),0)</f>
        <v>4.5</v>
      </c>
      <c r="F1683" s="344">
        <f ca="1">OFFSET('Zip Code Lines_1'!$Z$3,MATCH('Zip Code Lines_1'!C1683,'Zip Code Lines_1'!$Q$4:$Q$26,0),0)</f>
        <v>82.3</v>
      </c>
      <c r="G1683" s="342">
        <f ca="1">OFFSET('Zip Code Lines_1'!$AC$3,MATCH('Zip Code Lines_1'!C1683,'Zip Code Lines_1'!$Q$4:$Q$26,0),0)</f>
        <v>12</v>
      </c>
      <c r="H1683" s="342">
        <v>13863</v>
      </c>
    </row>
    <row r="1684" spans="2:8" x14ac:dyDescent="0.25">
      <c r="B1684" s="342">
        <v>13864</v>
      </c>
      <c r="C1684" s="343" t="s">
        <v>532</v>
      </c>
      <c r="D1684" s="343" t="str">
        <f ca="1">OFFSET('Zip Code Lines_1'!$U$3,MATCH('Zip Code Lines_1'!C1684,'Zip Code Lines_1'!$Q$4:$Q$26,0),0)</f>
        <v>Binghamton</v>
      </c>
      <c r="E1684" s="344">
        <f ca="1">OFFSET('Zip Code Lines_1'!$W$3,MATCH('Zip Code Lines_1'!C1684,'Zip Code Lines_1'!$Q$4:$Q$26,0),0)</f>
        <v>4.5</v>
      </c>
      <c r="F1684" s="344">
        <f ca="1">OFFSET('Zip Code Lines_1'!$Z$3,MATCH('Zip Code Lines_1'!C1684,'Zip Code Lines_1'!$Q$4:$Q$26,0),0)</f>
        <v>82.3</v>
      </c>
      <c r="G1684" s="342">
        <f ca="1">OFFSET('Zip Code Lines_1'!$AC$3,MATCH('Zip Code Lines_1'!C1684,'Zip Code Lines_1'!$Q$4:$Q$26,0),0)</f>
        <v>12</v>
      </c>
      <c r="H1684" s="342">
        <v>13864</v>
      </c>
    </row>
    <row r="1685" spans="2:8" x14ac:dyDescent="0.25">
      <c r="B1685" s="342">
        <v>13865</v>
      </c>
      <c r="C1685" s="343" t="s">
        <v>532</v>
      </c>
      <c r="D1685" s="343" t="str">
        <f ca="1">OFFSET('Zip Code Lines_1'!$U$3,MATCH('Zip Code Lines_1'!C1685,'Zip Code Lines_1'!$Q$4:$Q$26,0),0)</f>
        <v>Binghamton</v>
      </c>
      <c r="E1685" s="344">
        <f ca="1">OFFSET('Zip Code Lines_1'!$W$3,MATCH('Zip Code Lines_1'!C1685,'Zip Code Lines_1'!$Q$4:$Q$26,0),0)</f>
        <v>4.5</v>
      </c>
      <c r="F1685" s="344">
        <f ca="1">OFFSET('Zip Code Lines_1'!$Z$3,MATCH('Zip Code Lines_1'!C1685,'Zip Code Lines_1'!$Q$4:$Q$26,0),0)</f>
        <v>82.3</v>
      </c>
      <c r="G1685" s="342">
        <f ca="1">OFFSET('Zip Code Lines_1'!$AC$3,MATCH('Zip Code Lines_1'!C1685,'Zip Code Lines_1'!$Q$4:$Q$26,0),0)</f>
        <v>12</v>
      </c>
      <c r="H1685" s="342">
        <v>13865</v>
      </c>
    </row>
    <row r="1686" spans="2:8" x14ac:dyDescent="0.25">
      <c r="B1686" s="342">
        <v>13901</v>
      </c>
      <c r="C1686" s="343" t="s">
        <v>532</v>
      </c>
      <c r="D1686" s="343" t="str">
        <f ca="1">OFFSET('Zip Code Lines_1'!$U$3,MATCH('Zip Code Lines_1'!C1686,'Zip Code Lines_1'!$Q$4:$Q$26,0),0)</f>
        <v>Binghamton</v>
      </c>
      <c r="E1686" s="344">
        <f ca="1">OFFSET('Zip Code Lines_1'!$W$3,MATCH('Zip Code Lines_1'!C1686,'Zip Code Lines_1'!$Q$4:$Q$26,0),0)</f>
        <v>4.5</v>
      </c>
      <c r="F1686" s="344">
        <f ca="1">OFFSET('Zip Code Lines_1'!$Z$3,MATCH('Zip Code Lines_1'!C1686,'Zip Code Lines_1'!$Q$4:$Q$26,0),0)</f>
        <v>82.3</v>
      </c>
      <c r="G1686" s="342">
        <f ca="1">OFFSET('Zip Code Lines_1'!$AC$3,MATCH('Zip Code Lines_1'!C1686,'Zip Code Lines_1'!$Q$4:$Q$26,0),0)</f>
        <v>12</v>
      </c>
      <c r="H1686" s="342">
        <v>13901</v>
      </c>
    </row>
    <row r="1687" spans="2:8" x14ac:dyDescent="0.25">
      <c r="B1687" s="342">
        <v>13902</v>
      </c>
      <c r="C1687" s="343" t="s">
        <v>532</v>
      </c>
      <c r="D1687" s="343" t="str">
        <f ca="1">OFFSET('Zip Code Lines_1'!$U$3,MATCH('Zip Code Lines_1'!C1687,'Zip Code Lines_1'!$Q$4:$Q$26,0),0)</f>
        <v>Binghamton</v>
      </c>
      <c r="E1687" s="344">
        <f ca="1">OFFSET('Zip Code Lines_1'!$W$3,MATCH('Zip Code Lines_1'!C1687,'Zip Code Lines_1'!$Q$4:$Q$26,0),0)</f>
        <v>4.5</v>
      </c>
      <c r="F1687" s="344">
        <f ca="1">OFFSET('Zip Code Lines_1'!$Z$3,MATCH('Zip Code Lines_1'!C1687,'Zip Code Lines_1'!$Q$4:$Q$26,0),0)</f>
        <v>82.3</v>
      </c>
      <c r="G1687" s="342">
        <f ca="1">OFFSET('Zip Code Lines_1'!$AC$3,MATCH('Zip Code Lines_1'!C1687,'Zip Code Lines_1'!$Q$4:$Q$26,0),0)</f>
        <v>12</v>
      </c>
      <c r="H1687" s="342">
        <v>13902</v>
      </c>
    </row>
    <row r="1688" spans="2:8" x14ac:dyDescent="0.25">
      <c r="B1688" s="342">
        <v>13903</v>
      </c>
      <c r="C1688" s="343" t="s">
        <v>532</v>
      </c>
      <c r="D1688" s="343" t="str">
        <f ca="1">OFFSET('Zip Code Lines_1'!$U$3,MATCH('Zip Code Lines_1'!C1688,'Zip Code Lines_1'!$Q$4:$Q$26,0),0)</f>
        <v>Binghamton</v>
      </c>
      <c r="E1688" s="344">
        <f ca="1">OFFSET('Zip Code Lines_1'!$W$3,MATCH('Zip Code Lines_1'!C1688,'Zip Code Lines_1'!$Q$4:$Q$26,0),0)</f>
        <v>4.5</v>
      </c>
      <c r="F1688" s="344">
        <f ca="1">OFFSET('Zip Code Lines_1'!$Z$3,MATCH('Zip Code Lines_1'!C1688,'Zip Code Lines_1'!$Q$4:$Q$26,0),0)</f>
        <v>82.3</v>
      </c>
      <c r="G1688" s="342">
        <f ca="1">OFFSET('Zip Code Lines_1'!$AC$3,MATCH('Zip Code Lines_1'!C1688,'Zip Code Lines_1'!$Q$4:$Q$26,0),0)</f>
        <v>12</v>
      </c>
      <c r="H1688" s="342">
        <v>13903</v>
      </c>
    </row>
    <row r="1689" spans="2:8" x14ac:dyDescent="0.25">
      <c r="B1689" s="342">
        <v>13904</v>
      </c>
      <c r="C1689" s="343" t="s">
        <v>532</v>
      </c>
      <c r="D1689" s="343" t="str">
        <f ca="1">OFFSET('Zip Code Lines_1'!$U$3,MATCH('Zip Code Lines_1'!C1689,'Zip Code Lines_1'!$Q$4:$Q$26,0),0)</f>
        <v>Binghamton</v>
      </c>
      <c r="E1689" s="344">
        <f ca="1">OFFSET('Zip Code Lines_1'!$W$3,MATCH('Zip Code Lines_1'!C1689,'Zip Code Lines_1'!$Q$4:$Q$26,0),0)</f>
        <v>4.5</v>
      </c>
      <c r="F1689" s="344">
        <f ca="1">OFFSET('Zip Code Lines_1'!$Z$3,MATCH('Zip Code Lines_1'!C1689,'Zip Code Lines_1'!$Q$4:$Q$26,0),0)</f>
        <v>82.3</v>
      </c>
      <c r="G1689" s="342">
        <f ca="1">OFFSET('Zip Code Lines_1'!$AC$3,MATCH('Zip Code Lines_1'!C1689,'Zip Code Lines_1'!$Q$4:$Q$26,0),0)</f>
        <v>12</v>
      </c>
      <c r="H1689" s="342">
        <v>13904</v>
      </c>
    </row>
    <row r="1690" spans="2:8" x14ac:dyDescent="0.25">
      <c r="B1690" s="342">
        <v>13905</v>
      </c>
      <c r="C1690" s="343" t="s">
        <v>532</v>
      </c>
      <c r="D1690" s="343" t="str">
        <f ca="1">OFFSET('Zip Code Lines_1'!$U$3,MATCH('Zip Code Lines_1'!C1690,'Zip Code Lines_1'!$Q$4:$Q$26,0),0)</f>
        <v>Binghamton</v>
      </c>
      <c r="E1690" s="344">
        <f ca="1">OFFSET('Zip Code Lines_1'!$W$3,MATCH('Zip Code Lines_1'!C1690,'Zip Code Lines_1'!$Q$4:$Q$26,0),0)</f>
        <v>4.5</v>
      </c>
      <c r="F1690" s="344">
        <f ca="1">OFFSET('Zip Code Lines_1'!$Z$3,MATCH('Zip Code Lines_1'!C1690,'Zip Code Lines_1'!$Q$4:$Q$26,0),0)</f>
        <v>82.3</v>
      </c>
      <c r="G1690" s="342">
        <f ca="1">OFFSET('Zip Code Lines_1'!$AC$3,MATCH('Zip Code Lines_1'!C1690,'Zip Code Lines_1'!$Q$4:$Q$26,0),0)</f>
        <v>12</v>
      </c>
      <c r="H1690" s="342">
        <v>13905</v>
      </c>
    </row>
    <row r="1691" spans="2:8" x14ac:dyDescent="0.25">
      <c r="B1691" s="342">
        <v>14001</v>
      </c>
      <c r="C1691" s="343" t="s">
        <v>561</v>
      </c>
      <c r="D1691" s="343" t="str">
        <f ca="1">OFFSET('Zip Code Lines_1'!$U$3,MATCH('Zip Code Lines_1'!C1691,'Zip Code Lines_1'!$Q$4:$Q$26,0),0)</f>
        <v>Niagara Falls</v>
      </c>
      <c r="E1691" s="344">
        <f ca="1">OFFSET('Zip Code Lines_1'!$W$3,MATCH('Zip Code Lines_1'!C1691,'Zip Code Lines_1'!$Q$4:$Q$26,0),0)</f>
        <v>6.9</v>
      </c>
      <c r="F1691" s="344">
        <f ca="1">OFFSET('Zip Code Lines_1'!$Z$3,MATCH('Zip Code Lines_1'!C1691,'Zip Code Lines_1'!$Q$4:$Q$26,0),0)</f>
        <v>85.2</v>
      </c>
      <c r="G1691" s="342">
        <f ca="1">OFFSET('Zip Code Lines_1'!$AC$3,MATCH('Zip Code Lines_1'!C1691,'Zip Code Lines_1'!$Q$4:$Q$26,0),0)</f>
        <v>18</v>
      </c>
      <c r="H1691" s="342">
        <v>14001</v>
      </c>
    </row>
    <row r="1692" spans="2:8" x14ac:dyDescent="0.25">
      <c r="B1692" s="342">
        <v>14004</v>
      </c>
      <c r="C1692" s="343" t="s">
        <v>561</v>
      </c>
      <c r="D1692" s="343" t="str">
        <f ca="1">OFFSET('Zip Code Lines_1'!$U$3,MATCH('Zip Code Lines_1'!C1692,'Zip Code Lines_1'!$Q$4:$Q$26,0),0)</f>
        <v>Niagara Falls</v>
      </c>
      <c r="E1692" s="344">
        <f ca="1">OFFSET('Zip Code Lines_1'!$W$3,MATCH('Zip Code Lines_1'!C1692,'Zip Code Lines_1'!$Q$4:$Q$26,0),0)</f>
        <v>6.9</v>
      </c>
      <c r="F1692" s="344">
        <f ca="1">OFFSET('Zip Code Lines_1'!$Z$3,MATCH('Zip Code Lines_1'!C1692,'Zip Code Lines_1'!$Q$4:$Q$26,0),0)</f>
        <v>85.2</v>
      </c>
      <c r="G1692" s="342">
        <f ca="1">OFFSET('Zip Code Lines_1'!$AC$3,MATCH('Zip Code Lines_1'!C1692,'Zip Code Lines_1'!$Q$4:$Q$26,0),0)</f>
        <v>18</v>
      </c>
      <c r="H1692" s="342">
        <v>14004</v>
      </c>
    </row>
    <row r="1693" spans="2:8" x14ac:dyDescent="0.25">
      <c r="B1693" s="342">
        <v>14005</v>
      </c>
      <c r="C1693" s="343" t="s">
        <v>534</v>
      </c>
      <c r="D1693" s="343" t="str">
        <f ca="1">OFFSET('Zip Code Lines_1'!$U$3,MATCH('Zip Code Lines_1'!C1693,'Zip Code Lines_1'!$Q$4:$Q$26,0),0)</f>
        <v>Buffalo</v>
      </c>
      <c r="E1693" s="344">
        <f ca="1">OFFSET('Zip Code Lines_1'!$W$3,MATCH('Zip Code Lines_1'!C1693,'Zip Code Lines_1'!$Q$4:$Q$26,0),0)</f>
        <v>7.4</v>
      </c>
      <c r="F1693" s="344">
        <f ca="1">OFFSET('Zip Code Lines_1'!$Z$3,MATCH('Zip Code Lines_1'!C1693,'Zip Code Lines_1'!$Q$4:$Q$26,0),0)</f>
        <v>83.9</v>
      </c>
      <c r="G1693" s="342">
        <f ca="1">OFFSET('Zip Code Lines_1'!$AC$3,MATCH('Zip Code Lines_1'!C1693,'Zip Code Lines_1'!$Q$4:$Q$26,0),0)</f>
        <v>18</v>
      </c>
      <c r="H1693" s="342">
        <v>14005</v>
      </c>
    </row>
    <row r="1694" spans="2:8" x14ac:dyDescent="0.25">
      <c r="B1694" s="342">
        <v>14006</v>
      </c>
      <c r="C1694" s="343" t="s">
        <v>561</v>
      </c>
      <c r="D1694" s="343" t="str">
        <f ca="1">OFFSET('Zip Code Lines_1'!$U$3,MATCH('Zip Code Lines_1'!C1694,'Zip Code Lines_1'!$Q$4:$Q$26,0),0)</f>
        <v>Niagara Falls</v>
      </c>
      <c r="E1694" s="344">
        <f ca="1">OFFSET('Zip Code Lines_1'!$W$3,MATCH('Zip Code Lines_1'!C1694,'Zip Code Lines_1'!$Q$4:$Q$26,0),0)</f>
        <v>6.9</v>
      </c>
      <c r="F1694" s="344">
        <f ca="1">OFFSET('Zip Code Lines_1'!$Z$3,MATCH('Zip Code Lines_1'!C1694,'Zip Code Lines_1'!$Q$4:$Q$26,0),0)</f>
        <v>85.2</v>
      </c>
      <c r="G1694" s="342">
        <f ca="1">OFFSET('Zip Code Lines_1'!$AC$3,MATCH('Zip Code Lines_1'!C1694,'Zip Code Lines_1'!$Q$4:$Q$26,0),0)</f>
        <v>18</v>
      </c>
      <c r="H1694" s="342">
        <v>14006</v>
      </c>
    </row>
    <row r="1695" spans="2:8" x14ac:dyDescent="0.25">
      <c r="B1695" s="342">
        <v>14008</v>
      </c>
      <c r="C1695" s="343" t="s">
        <v>561</v>
      </c>
      <c r="D1695" s="343" t="str">
        <f ca="1">OFFSET('Zip Code Lines_1'!$U$3,MATCH('Zip Code Lines_1'!C1695,'Zip Code Lines_1'!$Q$4:$Q$26,0),0)</f>
        <v>Niagara Falls</v>
      </c>
      <c r="E1695" s="344">
        <f ca="1">OFFSET('Zip Code Lines_1'!$W$3,MATCH('Zip Code Lines_1'!C1695,'Zip Code Lines_1'!$Q$4:$Q$26,0),0)</f>
        <v>6.9</v>
      </c>
      <c r="F1695" s="344">
        <f ca="1">OFFSET('Zip Code Lines_1'!$Z$3,MATCH('Zip Code Lines_1'!C1695,'Zip Code Lines_1'!$Q$4:$Q$26,0),0)</f>
        <v>85.2</v>
      </c>
      <c r="G1695" s="342">
        <f ca="1">OFFSET('Zip Code Lines_1'!$AC$3,MATCH('Zip Code Lines_1'!C1695,'Zip Code Lines_1'!$Q$4:$Q$26,0),0)</f>
        <v>18</v>
      </c>
      <c r="H1695" s="342">
        <v>14008</v>
      </c>
    </row>
    <row r="1696" spans="2:8" x14ac:dyDescent="0.25">
      <c r="B1696" s="342">
        <v>14009</v>
      </c>
      <c r="C1696" s="343" t="s">
        <v>546</v>
      </c>
      <c r="D1696" s="343" t="str">
        <f ca="1">OFFSET('Zip Code Lines_1'!$U$3,MATCH('Zip Code Lines_1'!C1696,'Zip Code Lines_1'!$Q$4:$Q$26,0),0)</f>
        <v>Jamestown</v>
      </c>
      <c r="E1696" s="344">
        <f ca="1">OFFSET('Zip Code Lines_1'!$W$3,MATCH('Zip Code Lines_1'!C1696,'Zip Code Lines_1'!$Q$4:$Q$26,0),0)</f>
        <v>4.8</v>
      </c>
      <c r="F1696" s="344">
        <f ca="1">OFFSET('Zip Code Lines_1'!$Z$3,MATCH('Zip Code Lines_1'!C1696,'Zip Code Lines_1'!$Q$4:$Q$26,0),0)</f>
        <v>81.099999999999994</v>
      </c>
      <c r="G1696" s="342">
        <f ca="1">OFFSET('Zip Code Lines_1'!$AC$3,MATCH('Zip Code Lines_1'!C1696,'Zip Code Lines_1'!$Q$4:$Q$26,0),0)</f>
        <v>12</v>
      </c>
      <c r="H1696" s="342">
        <v>14009</v>
      </c>
    </row>
    <row r="1697" spans="2:8" x14ac:dyDescent="0.25">
      <c r="B1697" s="342">
        <v>14010</v>
      </c>
      <c r="C1697" s="343" t="s">
        <v>561</v>
      </c>
      <c r="D1697" s="343" t="str">
        <f ca="1">OFFSET('Zip Code Lines_1'!$U$3,MATCH('Zip Code Lines_1'!C1697,'Zip Code Lines_1'!$Q$4:$Q$26,0),0)</f>
        <v>Niagara Falls</v>
      </c>
      <c r="E1697" s="344">
        <f ca="1">OFFSET('Zip Code Lines_1'!$W$3,MATCH('Zip Code Lines_1'!C1697,'Zip Code Lines_1'!$Q$4:$Q$26,0),0)</f>
        <v>6.9</v>
      </c>
      <c r="F1697" s="344">
        <f ca="1">OFFSET('Zip Code Lines_1'!$Z$3,MATCH('Zip Code Lines_1'!C1697,'Zip Code Lines_1'!$Q$4:$Q$26,0),0)</f>
        <v>85.2</v>
      </c>
      <c r="G1697" s="342">
        <f ca="1">OFFSET('Zip Code Lines_1'!$AC$3,MATCH('Zip Code Lines_1'!C1697,'Zip Code Lines_1'!$Q$4:$Q$26,0),0)</f>
        <v>18</v>
      </c>
      <c r="H1697" s="342">
        <v>14010</v>
      </c>
    </row>
    <row r="1698" spans="2:8" x14ac:dyDescent="0.25">
      <c r="B1698" s="342">
        <v>14011</v>
      </c>
      <c r="C1698" s="343" t="s">
        <v>534</v>
      </c>
      <c r="D1698" s="343" t="str">
        <f ca="1">OFFSET('Zip Code Lines_1'!$U$3,MATCH('Zip Code Lines_1'!C1698,'Zip Code Lines_1'!$Q$4:$Q$26,0),0)</f>
        <v>Buffalo</v>
      </c>
      <c r="E1698" s="344">
        <f ca="1">OFFSET('Zip Code Lines_1'!$W$3,MATCH('Zip Code Lines_1'!C1698,'Zip Code Lines_1'!$Q$4:$Q$26,0),0)</f>
        <v>7.4</v>
      </c>
      <c r="F1698" s="344">
        <f ca="1">OFFSET('Zip Code Lines_1'!$Z$3,MATCH('Zip Code Lines_1'!C1698,'Zip Code Lines_1'!$Q$4:$Q$26,0),0)</f>
        <v>83.9</v>
      </c>
      <c r="G1698" s="342">
        <f ca="1">OFFSET('Zip Code Lines_1'!$AC$3,MATCH('Zip Code Lines_1'!C1698,'Zip Code Lines_1'!$Q$4:$Q$26,0),0)</f>
        <v>18</v>
      </c>
      <c r="H1698" s="342">
        <v>14011</v>
      </c>
    </row>
    <row r="1699" spans="2:8" x14ac:dyDescent="0.25">
      <c r="B1699" s="342">
        <v>14012</v>
      </c>
      <c r="C1699" s="343" t="s">
        <v>561</v>
      </c>
      <c r="D1699" s="343" t="str">
        <f ca="1">OFFSET('Zip Code Lines_1'!$U$3,MATCH('Zip Code Lines_1'!C1699,'Zip Code Lines_1'!$Q$4:$Q$26,0),0)</f>
        <v>Niagara Falls</v>
      </c>
      <c r="E1699" s="344">
        <f ca="1">OFFSET('Zip Code Lines_1'!$W$3,MATCH('Zip Code Lines_1'!C1699,'Zip Code Lines_1'!$Q$4:$Q$26,0),0)</f>
        <v>6.9</v>
      </c>
      <c r="F1699" s="344">
        <f ca="1">OFFSET('Zip Code Lines_1'!$Z$3,MATCH('Zip Code Lines_1'!C1699,'Zip Code Lines_1'!$Q$4:$Q$26,0),0)</f>
        <v>85.2</v>
      </c>
      <c r="G1699" s="342">
        <f ca="1">OFFSET('Zip Code Lines_1'!$AC$3,MATCH('Zip Code Lines_1'!C1699,'Zip Code Lines_1'!$Q$4:$Q$26,0),0)</f>
        <v>18</v>
      </c>
      <c r="H1699" s="342">
        <v>14012</v>
      </c>
    </row>
    <row r="1700" spans="2:8" x14ac:dyDescent="0.25">
      <c r="B1700" s="342">
        <v>14013</v>
      </c>
      <c r="C1700" s="343" t="s">
        <v>561</v>
      </c>
      <c r="D1700" s="343" t="str">
        <f ca="1">OFFSET('Zip Code Lines_1'!$U$3,MATCH('Zip Code Lines_1'!C1700,'Zip Code Lines_1'!$Q$4:$Q$26,0),0)</f>
        <v>Niagara Falls</v>
      </c>
      <c r="E1700" s="344">
        <f ca="1">OFFSET('Zip Code Lines_1'!$W$3,MATCH('Zip Code Lines_1'!C1700,'Zip Code Lines_1'!$Q$4:$Q$26,0),0)</f>
        <v>6.9</v>
      </c>
      <c r="F1700" s="344">
        <f ca="1">OFFSET('Zip Code Lines_1'!$Z$3,MATCH('Zip Code Lines_1'!C1700,'Zip Code Lines_1'!$Q$4:$Q$26,0),0)</f>
        <v>85.2</v>
      </c>
      <c r="G1700" s="342">
        <f ca="1">OFFSET('Zip Code Lines_1'!$AC$3,MATCH('Zip Code Lines_1'!C1700,'Zip Code Lines_1'!$Q$4:$Q$26,0),0)</f>
        <v>18</v>
      </c>
      <c r="H1700" s="342">
        <v>14013</v>
      </c>
    </row>
    <row r="1701" spans="2:8" x14ac:dyDescent="0.25">
      <c r="B1701" s="342">
        <v>14020</v>
      </c>
      <c r="C1701" s="343" t="s">
        <v>534</v>
      </c>
      <c r="D1701" s="343" t="str">
        <f ca="1">OFFSET('Zip Code Lines_1'!$U$3,MATCH('Zip Code Lines_1'!C1701,'Zip Code Lines_1'!$Q$4:$Q$26,0),0)</f>
        <v>Buffalo</v>
      </c>
      <c r="E1701" s="344">
        <f ca="1">OFFSET('Zip Code Lines_1'!$W$3,MATCH('Zip Code Lines_1'!C1701,'Zip Code Lines_1'!$Q$4:$Q$26,0),0)</f>
        <v>7.4</v>
      </c>
      <c r="F1701" s="344">
        <f ca="1">OFFSET('Zip Code Lines_1'!$Z$3,MATCH('Zip Code Lines_1'!C1701,'Zip Code Lines_1'!$Q$4:$Q$26,0),0)</f>
        <v>83.9</v>
      </c>
      <c r="G1701" s="342">
        <f ca="1">OFFSET('Zip Code Lines_1'!$AC$3,MATCH('Zip Code Lines_1'!C1701,'Zip Code Lines_1'!$Q$4:$Q$26,0),0)</f>
        <v>18</v>
      </c>
      <c r="H1701" s="342">
        <v>14020</v>
      </c>
    </row>
    <row r="1702" spans="2:8" x14ac:dyDescent="0.25">
      <c r="B1702" s="342">
        <v>14021</v>
      </c>
      <c r="C1702" s="343" t="s">
        <v>534</v>
      </c>
      <c r="D1702" s="343" t="str">
        <f ca="1">OFFSET('Zip Code Lines_1'!$U$3,MATCH('Zip Code Lines_1'!C1702,'Zip Code Lines_1'!$Q$4:$Q$26,0),0)</f>
        <v>Buffalo</v>
      </c>
      <c r="E1702" s="344">
        <f ca="1">OFFSET('Zip Code Lines_1'!$W$3,MATCH('Zip Code Lines_1'!C1702,'Zip Code Lines_1'!$Q$4:$Q$26,0),0)</f>
        <v>7.4</v>
      </c>
      <c r="F1702" s="344">
        <f ca="1">OFFSET('Zip Code Lines_1'!$Z$3,MATCH('Zip Code Lines_1'!C1702,'Zip Code Lines_1'!$Q$4:$Q$26,0),0)</f>
        <v>83.9</v>
      </c>
      <c r="G1702" s="342">
        <f ca="1">OFFSET('Zip Code Lines_1'!$AC$3,MATCH('Zip Code Lines_1'!C1702,'Zip Code Lines_1'!$Q$4:$Q$26,0),0)</f>
        <v>18</v>
      </c>
      <c r="H1702" s="342">
        <v>14021</v>
      </c>
    </row>
    <row r="1703" spans="2:8" x14ac:dyDescent="0.25">
      <c r="B1703" s="342">
        <v>14024</v>
      </c>
      <c r="C1703" s="343" t="s">
        <v>546</v>
      </c>
      <c r="D1703" s="343" t="str">
        <f ca="1">OFFSET('Zip Code Lines_1'!$U$3,MATCH('Zip Code Lines_1'!C1703,'Zip Code Lines_1'!$Q$4:$Q$26,0),0)</f>
        <v>Jamestown</v>
      </c>
      <c r="E1703" s="344">
        <f ca="1">OFFSET('Zip Code Lines_1'!$W$3,MATCH('Zip Code Lines_1'!C1703,'Zip Code Lines_1'!$Q$4:$Q$26,0),0)</f>
        <v>4.8</v>
      </c>
      <c r="F1703" s="344">
        <f ca="1">OFFSET('Zip Code Lines_1'!$Z$3,MATCH('Zip Code Lines_1'!C1703,'Zip Code Lines_1'!$Q$4:$Q$26,0),0)</f>
        <v>81.099999999999994</v>
      </c>
      <c r="G1703" s="342">
        <f ca="1">OFFSET('Zip Code Lines_1'!$AC$3,MATCH('Zip Code Lines_1'!C1703,'Zip Code Lines_1'!$Q$4:$Q$26,0),0)</f>
        <v>12</v>
      </c>
      <c r="H1703" s="342">
        <v>14024</v>
      </c>
    </row>
    <row r="1704" spans="2:8" x14ac:dyDescent="0.25">
      <c r="B1704" s="342">
        <v>14025</v>
      </c>
      <c r="C1704" s="343" t="s">
        <v>534</v>
      </c>
      <c r="D1704" s="343" t="str">
        <f ca="1">OFFSET('Zip Code Lines_1'!$U$3,MATCH('Zip Code Lines_1'!C1704,'Zip Code Lines_1'!$Q$4:$Q$26,0),0)</f>
        <v>Buffalo</v>
      </c>
      <c r="E1704" s="344">
        <f ca="1">OFFSET('Zip Code Lines_1'!$W$3,MATCH('Zip Code Lines_1'!C1704,'Zip Code Lines_1'!$Q$4:$Q$26,0),0)</f>
        <v>7.4</v>
      </c>
      <c r="F1704" s="344">
        <f ca="1">OFFSET('Zip Code Lines_1'!$Z$3,MATCH('Zip Code Lines_1'!C1704,'Zip Code Lines_1'!$Q$4:$Q$26,0),0)</f>
        <v>83.9</v>
      </c>
      <c r="G1704" s="342">
        <f ca="1">OFFSET('Zip Code Lines_1'!$AC$3,MATCH('Zip Code Lines_1'!C1704,'Zip Code Lines_1'!$Q$4:$Q$26,0),0)</f>
        <v>18</v>
      </c>
      <c r="H1704" s="342">
        <v>14025</v>
      </c>
    </row>
    <row r="1705" spans="2:8" x14ac:dyDescent="0.25">
      <c r="B1705" s="342">
        <v>14026</v>
      </c>
      <c r="C1705" s="343" t="s">
        <v>534</v>
      </c>
      <c r="D1705" s="343" t="str">
        <f ca="1">OFFSET('Zip Code Lines_1'!$U$3,MATCH('Zip Code Lines_1'!C1705,'Zip Code Lines_1'!$Q$4:$Q$26,0),0)</f>
        <v>Buffalo</v>
      </c>
      <c r="E1705" s="344">
        <f ca="1">OFFSET('Zip Code Lines_1'!$W$3,MATCH('Zip Code Lines_1'!C1705,'Zip Code Lines_1'!$Q$4:$Q$26,0),0)</f>
        <v>7.4</v>
      </c>
      <c r="F1705" s="344">
        <f ca="1">OFFSET('Zip Code Lines_1'!$Z$3,MATCH('Zip Code Lines_1'!C1705,'Zip Code Lines_1'!$Q$4:$Q$26,0),0)</f>
        <v>83.9</v>
      </c>
      <c r="G1705" s="342">
        <f ca="1">OFFSET('Zip Code Lines_1'!$AC$3,MATCH('Zip Code Lines_1'!C1705,'Zip Code Lines_1'!$Q$4:$Q$26,0),0)</f>
        <v>18</v>
      </c>
      <c r="H1705" s="342">
        <v>14026</v>
      </c>
    </row>
    <row r="1706" spans="2:8" x14ac:dyDescent="0.25">
      <c r="B1706" s="342">
        <v>14027</v>
      </c>
      <c r="C1706" s="343" t="s">
        <v>561</v>
      </c>
      <c r="D1706" s="343" t="str">
        <f ca="1">OFFSET('Zip Code Lines_1'!$U$3,MATCH('Zip Code Lines_1'!C1706,'Zip Code Lines_1'!$Q$4:$Q$26,0),0)</f>
        <v>Niagara Falls</v>
      </c>
      <c r="E1706" s="344">
        <f ca="1">OFFSET('Zip Code Lines_1'!$W$3,MATCH('Zip Code Lines_1'!C1706,'Zip Code Lines_1'!$Q$4:$Q$26,0),0)</f>
        <v>6.9</v>
      </c>
      <c r="F1706" s="344">
        <f ca="1">OFFSET('Zip Code Lines_1'!$Z$3,MATCH('Zip Code Lines_1'!C1706,'Zip Code Lines_1'!$Q$4:$Q$26,0),0)</f>
        <v>85.2</v>
      </c>
      <c r="G1706" s="342">
        <f ca="1">OFFSET('Zip Code Lines_1'!$AC$3,MATCH('Zip Code Lines_1'!C1706,'Zip Code Lines_1'!$Q$4:$Q$26,0),0)</f>
        <v>18</v>
      </c>
      <c r="H1706" s="342">
        <v>14027</v>
      </c>
    </row>
    <row r="1707" spans="2:8" x14ac:dyDescent="0.25">
      <c r="B1707" s="342">
        <v>14028</v>
      </c>
      <c r="C1707" s="343" t="s">
        <v>561</v>
      </c>
      <c r="D1707" s="343" t="str">
        <f ca="1">OFFSET('Zip Code Lines_1'!$U$3,MATCH('Zip Code Lines_1'!C1707,'Zip Code Lines_1'!$Q$4:$Q$26,0),0)</f>
        <v>Niagara Falls</v>
      </c>
      <c r="E1707" s="344">
        <f ca="1">OFFSET('Zip Code Lines_1'!$W$3,MATCH('Zip Code Lines_1'!C1707,'Zip Code Lines_1'!$Q$4:$Q$26,0),0)</f>
        <v>6.9</v>
      </c>
      <c r="F1707" s="344">
        <f ca="1">OFFSET('Zip Code Lines_1'!$Z$3,MATCH('Zip Code Lines_1'!C1707,'Zip Code Lines_1'!$Q$4:$Q$26,0),0)</f>
        <v>85.2</v>
      </c>
      <c r="G1707" s="342">
        <f ca="1">OFFSET('Zip Code Lines_1'!$AC$3,MATCH('Zip Code Lines_1'!C1707,'Zip Code Lines_1'!$Q$4:$Q$26,0),0)</f>
        <v>18</v>
      </c>
      <c r="H1707" s="342">
        <v>14028</v>
      </c>
    </row>
    <row r="1708" spans="2:8" x14ac:dyDescent="0.25">
      <c r="B1708" s="342">
        <v>14029</v>
      </c>
      <c r="C1708" s="343" t="s">
        <v>546</v>
      </c>
      <c r="D1708" s="343" t="str">
        <f ca="1">OFFSET('Zip Code Lines_1'!$U$3,MATCH('Zip Code Lines_1'!C1708,'Zip Code Lines_1'!$Q$4:$Q$26,0),0)</f>
        <v>Jamestown</v>
      </c>
      <c r="E1708" s="344">
        <f ca="1">OFFSET('Zip Code Lines_1'!$W$3,MATCH('Zip Code Lines_1'!C1708,'Zip Code Lines_1'!$Q$4:$Q$26,0),0)</f>
        <v>4.8</v>
      </c>
      <c r="F1708" s="344">
        <f ca="1">OFFSET('Zip Code Lines_1'!$Z$3,MATCH('Zip Code Lines_1'!C1708,'Zip Code Lines_1'!$Q$4:$Q$26,0),0)</f>
        <v>81.099999999999994</v>
      </c>
      <c r="G1708" s="342">
        <f ca="1">OFFSET('Zip Code Lines_1'!$AC$3,MATCH('Zip Code Lines_1'!C1708,'Zip Code Lines_1'!$Q$4:$Q$26,0),0)</f>
        <v>12</v>
      </c>
      <c r="H1708" s="342">
        <v>14029</v>
      </c>
    </row>
    <row r="1709" spans="2:8" x14ac:dyDescent="0.25">
      <c r="B1709" s="342">
        <v>14030</v>
      </c>
      <c r="C1709" s="343" t="s">
        <v>546</v>
      </c>
      <c r="D1709" s="343" t="str">
        <f ca="1">OFFSET('Zip Code Lines_1'!$U$3,MATCH('Zip Code Lines_1'!C1709,'Zip Code Lines_1'!$Q$4:$Q$26,0),0)</f>
        <v>Jamestown</v>
      </c>
      <c r="E1709" s="344">
        <f ca="1">OFFSET('Zip Code Lines_1'!$W$3,MATCH('Zip Code Lines_1'!C1709,'Zip Code Lines_1'!$Q$4:$Q$26,0),0)</f>
        <v>4.8</v>
      </c>
      <c r="F1709" s="344">
        <f ca="1">OFFSET('Zip Code Lines_1'!$Z$3,MATCH('Zip Code Lines_1'!C1709,'Zip Code Lines_1'!$Q$4:$Q$26,0),0)</f>
        <v>81.099999999999994</v>
      </c>
      <c r="G1709" s="342">
        <f ca="1">OFFSET('Zip Code Lines_1'!$AC$3,MATCH('Zip Code Lines_1'!C1709,'Zip Code Lines_1'!$Q$4:$Q$26,0),0)</f>
        <v>12</v>
      </c>
      <c r="H1709" s="342">
        <v>14030</v>
      </c>
    </row>
    <row r="1710" spans="2:8" x14ac:dyDescent="0.25">
      <c r="B1710" s="342">
        <v>14031</v>
      </c>
      <c r="C1710" s="343" t="s">
        <v>561</v>
      </c>
      <c r="D1710" s="343" t="str">
        <f ca="1">OFFSET('Zip Code Lines_1'!$U$3,MATCH('Zip Code Lines_1'!C1710,'Zip Code Lines_1'!$Q$4:$Q$26,0),0)</f>
        <v>Niagara Falls</v>
      </c>
      <c r="E1710" s="344">
        <f ca="1">OFFSET('Zip Code Lines_1'!$W$3,MATCH('Zip Code Lines_1'!C1710,'Zip Code Lines_1'!$Q$4:$Q$26,0),0)</f>
        <v>6.9</v>
      </c>
      <c r="F1710" s="344">
        <f ca="1">OFFSET('Zip Code Lines_1'!$Z$3,MATCH('Zip Code Lines_1'!C1710,'Zip Code Lines_1'!$Q$4:$Q$26,0),0)</f>
        <v>85.2</v>
      </c>
      <c r="G1710" s="342">
        <f ca="1">OFFSET('Zip Code Lines_1'!$AC$3,MATCH('Zip Code Lines_1'!C1710,'Zip Code Lines_1'!$Q$4:$Q$26,0),0)</f>
        <v>18</v>
      </c>
      <c r="H1710" s="342">
        <v>14031</v>
      </c>
    </row>
    <row r="1711" spans="2:8" x14ac:dyDescent="0.25">
      <c r="B1711" s="342">
        <v>14032</v>
      </c>
      <c r="C1711" s="343" t="s">
        <v>561</v>
      </c>
      <c r="D1711" s="343" t="str">
        <f ca="1">OFFSET('Zip Code Lines_1'!$U$3,MATCH('Zip Code Lines_1'!C1711,'Zip Code Lines_1'!$Q$4:$Q$26,0),0)</f>
        <v>Niagara Falls</v>
      </c>
      <c r="E1711" s="344">
        <f ca="1">OFFSET('Zip Code Lines_1'!$W$3,MATCH('Zip Code Lines_1'!C1711,'Zip Code Lines_1'!$Q$4:$Q$26,0),0)</f>
        <v>6.9</v>
      </c>
      <c r="F1711" s="344">
        <f ca="1">OFFSET('Zip Code Lines_1'!$Z$3,MATCH('Zip Code Lines_1'!C1711,'Zip Code Lines_1'!$Q$4:$Q$26,0),0)</f>
        <v>85.2</v>
      </c>
      <c r="G1711" s="342">
        <f ca="1">OFFSET('Zip Code Lines_1'!$AC$3,MATCH('Zip Code Lines_1'!C1711,'Zip Code Lines_1'!$Q$4:$Q$26,0),0)</f>
        <v>18</v>
      </c>
      <c r="H1711" s="342">
        <v>14032</v>
      </c>
    </row>
    <row r="1712" spans="2:8" x14ac:dyDescent="0.25">
      <c r="B1712" s="342">
        <v>14033</v>
      </c>
      <c r="C1712" s="343" t="s">
        <v>534</v>
      </c>
      <c r="D1712" s="343" t="str">
        <f ca="1">OFFSET('Zip Code Lines_1'!$U$3,MATCH('Zip Code Lines_1'!C1712,'Zip Code Lines_1'!$Q$4:$Q$26,0),0)</f>
        <v>Buffalo</v>
      </c>
      <c r="E1712" s="344">
        <f ca="1">OFFSET('Zip Code Lines_1'!$W$3,MATCH('Zip Code Lines_1'!C1712,'Zip Code Lines_1'!$Q$4:$Q$26,0),0)</f>
        <v>7.4</v>
      </c>
      <c r="F1712" s="344">
        <f ca="1">OFFSET('Zip Code Lines_1'!$Z$3,MATCH('Zip Code Lines_1'!C1712,'Zip Code Lines_1'!$Q$4:$Q$26,0),0)</f>
        <v>83.9</v>
      </c>
      <c r="G1712" s="342">
        <f ca="1">OFFSET('Zip Code Lines_1'!$AC$3,MATCH('Zip Code Lines_1'!C1712,'Zip Code Lines_1'!$Q$4:$Q$26,0),0)</f>
        <v>18</v>
      </c>
      <c r="H1712" s="342">
        <v>14033</v>
      </c>
    </row>
    <row r="1713" spans="2:8" x14ac:dyDescent="0.25">
      <c r="B1713" s="342">
        <v>14034</v>
      </c>
      <c r="C1713" s="343" t="s">
        <v>534</v>
      </c>
      <c r="D1713" s="343" t="str">
        <f ca="1">OFFSET('Zip Code Lines_1'!$U$3,MATCH('Zip Code Lines_1'!C1713,'Zip Code Lines_1'!$Q$4:$Q$26,0),0)</f>
        <v>Buffalo</v>
      </c>
      <c r="E1713" s="344">
        <f ca="1">OFFSET('Zip Code Lines_1'!$W$3,MATCH('Zip Code Lines_1'!C1713,'Zip Code Lines_1'!$Q$4:$Q$26,0),0)</f>
        <v>7.4</v>
      </c>
      <c r="F1713" s="344">
        <f ca="1">OFFSET('Zip Code Lines_1'!$Z$3,MATCH('Zip Code Lines_1'!C1713,'Zip Code Lines_1'!$Q$4:$Q$26,0),0)</f>
        <v>83.9</v>
      </c>
      <c r="G1713" s="342">
        <f ca="1">OFFSET('Zip Code Lines_1'!$AC$3,MATCH('Zip Code Lines_1'!C1713,'Zip Code Lines_1'!$Q$4:$Q$26,0),0)</f>
        <v>18</v>
      </c>
      <c r="H1713" s="342">
        <v>14034</v>
      </c>
    </row>
    <row r="1714" spans="2:8" x14ac:dyDescent="0.25">
      <c r="B1714" s="342">
        <v>14035</v>
      </c>
      <c r="C1714" s="343" t="s">
        <v>534</v>
      </c>
      <c r="D1714" s="343" t="str">
        <f ca="1">OFFSET('Zip Code Lines_1'!$U$3,MATCH('Zip Code Lines_1'!C1714,'Zip Code Lines_1'!$Q$4:$Q$26,0),0)</f>
        <v>Buffalo</v>
      </c>
      <c r="E1714" s="344">
        <f ca="1">OFFSET('Zip Code Lines_1'!$W$3,MATCH('Zip Code Lines_1'!C1714,'Zip Code Lines_1'!$Q$4:$Q$26,0),0)</f>
        <v>7.4</v>
      </c>
      <c r="F1714" s="344">
        <f ca="1">OFFSET('Zip Code Lines_1'!$Z$3,MATCH('Zip Code Lines_1'!C1714,'Zip Code Lines_1'!$Q$4:$Q$26,0),0)</f>
        <v>83.9</v>
      </c>
      <c r="G1714" s="342">
        <f ca="1">OFFSET('Zip Code Lines_1'!$AC$3,MATCH('Zip Code Lines_1'!C1714,'Zip Code Lines_1'!$Q$4:$Q$26,0),0)</f>
        <v>18</v>
      </c>
      <c r="H1714" s="342">
        <v>14035</v>
      </c>
    </row>
    <row r="1715" spans="2:8" x14ac:dyDescent="0.25">
      <c r="B1715" s="342">
        <v>14036</v>
      </c>
      <c r="C1715" s="343" t="s">
        <v>534</v>
      </c>
      <c r="D1715" s="343" t="str">
        <f ca="1">OFFSET('Zip Code Lines_1'!$U$3,MATCH('Zip Code Lines_1'!C1715,'Zip Code Lines_1'!$Q$4:$Q$26,0),0)</f>
        <v>Buffalo</v>
      </c>
      <c r="E1715" s="344">
        <f ca="1">OFFSET('Zip Code Lines_1'!$W$3,MATCH('Zip Code Lines_1'!C1715,'Zip Code Lines_1'!$Q$4:$Q$26,0),0)</f>
        <v>7.4</v>
      </c>
      <c r="F1715" s="344">
        <f ca="1">OFFSET('Zip Code Lines_1'!$Z$3,MATCH('Zip Code Lines_1'!C1715,'Zip Code Lines_1'!$Q$4:$Q$26,0),0)</f>
        <v>83.9</v>
      </c>
      <c r="G1715" s="342">
        <f ca="1">OFFSET('Zip Code Lines_1'!$AC$3,MATCH('Zip Code Lines_1'!C1715,'Zip Code Lines_1'!$Q$4:$Q$26,0),0)</f>
        <v>18</v>
      </c>
      <c r="H1715" s="342">
        <v>14036</v>
      </c>
    </row>
    <row r="1716" spans="2:8" x14ac:dyDescent="0.25">
      <c r="B1716" s="342">
        <v>14037</v>
      </c>
      <c r="C1716" s="343" t="s">
        <v>534</v>
      </c>
      <c r="D1716" s="343" t="str">
        <f ca="1">OFFSET('Zip Code Lines_1'!$U$3,MATCH('Zip Code Lines_1'!C1716,'Zip Code Lines_1'!$Q$4:$Q$26,0),0)</f>
        <v>Buffalo</v>
      </c>
      <c r="E1716" s="344">
        <f ca="1">OFFSET('Zip Code Lines_1'!$W$3,MATCH('Zip Code Lines_1'!C1716,'Zip Code Lines_1'!$Q$4:$Q$26,0),0)</f>
        <v>7.4</v>
      </c>
      <c r="F1716" s="344">
        <f ca="1">OFFSET('Zip Code Lines_1'!$Z$3,MATCH('Zip Code Lines_1'!C1716,'Zip Code Lines_1'!$Q$4:$Q$26,0),0)</f>
        <v>83.9</v>
      </c>
      <c r="G1716" s="342">
        <f ca="1">OFFSET('Zip Code Lines_1'!$AC$3,MATCH('Zip Code Lines_1'!C1716,'Zip Code Lines_1'!$Q$4:$Q$26,0),0)</f>
        <v>18</v>
      </c>
      <c r="H1716" s="342">
        <v>14037</v>
      </c>
    </row>
    <row r="1717" spans="2:8" x14ac:dyDescent="0.25">
      <c r="B1717" s="342">
        <v>14038</v>
      </c>
      <c r="C1717" s="343" t="s">
        <v>561</v>
      </c>
      <c r="D1717" s="343" t="str">
        <f ca="1">OFFSET('Zip Code Lines_1'!$U$3,MATCH('Zip Code Lines_1'!C1717,'Zip Code Lines_1'!$Q$4:$Q$26,0),0)</f>
        <v>Niagara Falls</v>
      </c>
      <c r="E1717" s="344">
        <f ca="1">OFFSET('Zip Code Lines_1'!$W$3,MATCH('Zip Code Lines_1'!C1717,'Zip Code Lines_1'!$Q$4:$Q$26,0),0)</f>
        <v>6.9</v>
      </c>
      <c r="F1717" s="344">
        <f ca="1">OFFSET('Zip Code Lines_1'!$Z$3,MATCH('Zip Code Lines_1'!C1717,'Zip Code Lines_1'!$Q$4:$Q$26,0),0)</f>
        <v>85.2</v>
      </c>
      <c r="G1717" s="342">
        <f ca="1">OFFSET('Zip Code Lines_1'!$AC$3,MATCH('Zip Code Lines_1'!C1717,'Zip Code Lines_1'!$Q$4:$Q$26,0),0)</f>
        <v>18</v>
      </c>
      <c r="H1717" s="342">
        <v>14038</v>
      </c>
    </row>
    <row r="1718" spans="2:8" x14ac:dyDescent="0.25">
      <c r="B1718" s="342">
        <v>14039</v>
      </c>
      <c r="C1718" s="343" t="s">
        <v>546</v>
      </c>
      <c r="D1718" s="343" t="str">
        <f ca="1">OFFSET('Zip Code Lines_1'!$U$3,MATCH('Zip Code Lines_1'!C1718,'Zip Code Lines_1'!$Q$4:$Q$26,0),0)</f>
        <v>Jamestown</v>
      </c>
      <c r="E1718" s="344">
        <f ca="1">OFFSET('Zip Code Lines_1'!$W$3,MATCH('Zip Code Lines_1'!C1718,'Zip Code Lines_1'!$Q$4:$Q$26,0),0)</f>
        <v>4.8</v>
      </c>
      <c r="F1718" s="344">
        <f ca="1">OFFSET('Zip Code Lines_1'!$Z$3,MATCH('Zip Code Lines_1'!C1718,'Zip Code Lines_1'!$Q$4:$Q$26,0),0)</f>
        <v>81.099999999999994</v>
      </c>
      <c r="G1718" s="342">
        <f ca="1">OFFSET('Zip Code Lines_1'!$AC$3,MATCH('Zip Code Lines_1'!C1718,'Zip Code Lines_1'!$Q$4:$Q$26,0),0)</f>
        <v>12</v>
      </c>
      <c r="H1718" s="342">
        <v>14039</v>
      </c>
    </row>
    <row r="1719" spans="2:8" x14ac:dyDescent="0.25">
      <c r="B1719" s="342">
        <v>14040</v>
      </c>
      <c r="C1719" s="343" t="s">
        <v>534</v>
      </c>
      <c r="D1719" s="343" t="str">
        <f ca="1">OFFSET('Zip Code Lines_1'!$U$3,MATCH('Zip Code Lines_1'!C1719,'Zip Code Lines_1'!$Q$4:$Q$26,0),0)</f>
        <v>Buffalo</v>
      </c>
      <c r="E1719" s="344">
        <f ca="1">OFFSET('Zip Code Lines_1'!$W$3,MATCH('Zip Code Lines_1'!C1719,'Zip Code Lines_1'!$Q$4:$Q$26,0),0)</f>
        <v>7.4</v>
      </c>
      <c r="F1719" s="344">
        <f ca="1">OFFSET('Zip Code Lines_1'!$Z$3,MATCH('Zip Code Lines_1'!C1719,'Zip Code Lines_1'!$Q$4:$Q$26,0),0)</f>
        <v>83.9</v>
      </c>
      <c r="G1719" s="342">
        <f ca="1">OFFSET('Zip Code Lines_1'!$AC$3,MATCH('Zip Code Lines_1'!C1719,'Zip Code Lines_1'!$Q$4:$Q$26,0),0)</f>
        <v>18</v>
      </c>
      <c r="H1719" s="342">
        <v>14040</v>
      </c>
    </row>
    <row r="1720" spans="2:8" x14ac:dyDescent="0.25">
      <c r="B1720" s="342">
        <v>14041</v>
      </c>
      <c r="C1720" s="343" t="s">
        <v>534</v>
      </c>
      <c r="D1720" s="343" t="str">
        <f ca="1">OFFSET('Zip Code Lines_1'!$U$3,MATCH('Zip Code Lines_1'!C1720,'Zip Code Lines_1'!$Q$4:$Q$26,0),0)</f>
        <v>Buffalo</v>
      </c>
      <c r="E1720" s="344">
        <f ca="1">OFFSET('Zip Code Lines_1'!$W$3,MATCH('Zip Code Lines_1'!C1720,'Zip Code Lines_1'!$Q$4:$Q$26,0),0)</f>
        <v>7.4</v>
      </c>
      <c r="F1720" s="344">
        <f ca="1">OFFSET('Zip Code Lines_1'!$Z$3,MATCH('Zip Code Lines_1'!C1720,'Zip Code Lines_1'!$Q$4:$Q$26,0),0)</f>
        <v>83.9</v>
      </c>
      <c r="G1720" s="342">
        <f ca="1">OFFSET('Zip Code Lines_1'!$AC$3,MATCH('Zip Code Lines_1'!C1720,'Zip Code Lines_1'!$Q$4:$Q$26,0),0)</f>
        <v>18</v>
      </c>
      <c r="H1720" s="342">
        <v>14041</v>
      </c>
    </row>
    <row r="1721" spans="2:8" x14ac:dyDescent="0.25">
      <c r="B1721" s="342">
        <v>14042</v>
      </c>
      <c r="C1721" s="343" t="s">
        <v>546</v>
      </c>
      <c r="D1721" s="343" t="str">
        <f ca="1">OFFSET('Zip Code Lines_1'!$U$3,MATCH('Zip Code Lines_1'!C1721,'Zip Code Lines_1'!$Q$4:$Q$26,0),0)</f>
        <v>Jamestown</v>
      </c>
      <c r="E1721" s="344">
        <f ca="1">OFFSET('Zip Code Lines_1'!$W$3,MATCH('Zip Code Lines_1'!C1721,'Zip Code Lines_1'!$Q$4:$Q$26,0),0)</f>
        <v>4.8</v>
      </c>
      <c r="F1721" s="344">
        <f ca="1">OFFSET('Zip Code Lines_1'!$Z$3,MATCH('Zip Code Lines_1'!C1721,'Zip Code Lines_1'!$Q$4:$Q$26,0),0)</f>
        <v>81.099999999999994</v>
      </c>
      <c r="G1721" s="342">
        <f ca="1">OFFSET('Zip Code Lines_1'!$AC$3,MATCH('Zip Code Lines_1'!C1721,'Zip Code Lines_1'!$Q$4:$Q$26,0),0)</f>
        <v>12</v>
      </c>
      <c r="H1721" s="342">
        <v>14042</v>
      </c>
    </row>
    <row r="1722" spans="2:8" x14ac:dyDescent="0.25">
      <c r="B1722" s="342">
        <v>14043</v>
      </c>
      <c r="C1722" s="343" t="s">
        <v>534</v>
      </c>
      <c r="D1722" s="343" t="str">
        <f ca="1">OFFSET('Zip Code Lines_1'!$U$3,MATCH('Zip Code Lines_1'!C1722,'Zip Code Lines_1'!$Q$4:$Q$26,0),0)</f>
        <v>Buffalo</v>
      </c>
      <c r="E1722" s="344">
        <f ca="1">OFFSET('Zip Code Lines_1'!$W$3,MATCH('Zip Code Lines_1'!C1722,'Zip Code Lines_1'!$Q$4:$Q$26,0),0)</f>
        <v>7.4</v>
      </c>
      <c r="F1722" s="344">
        <f ca="1">OFFSET('Zip Code Lines_1'!$Z$3,MATCH('Zip Code Lines_1'!C1722,'Zip Code Lines_1'!$Q$4:$Q$26,0),0)</f>
        <v>83.9</v>
      </c>
      <c r="G1722" s="342">
        <f ca="1">OFFSET('Zip Code Lines_1'!$AC$3,MATCH('Zip Code Lines_1'!C1722,'Zip Code Lines_1'!$Q$4:$Q$26,0),0)</f>
        <v>18</v>
      </c>
      <c r="H1722" s="342">
        <v>14043</v>
      </c>
    </row>
    <row r="1723" spans="2:8" x14ac:dyDescent="0.25">
      <c r="B1723" s="342">
        <v>14047</v>
      </c>
      <c r="C1723" s="343" t="s">
        <v>561</v>
      </c>
      <c r="D1723" s="343" t="str">
        <f ca="1">OFFSET('Zip Code Lines_1'!$U$3,MATCH('Zip Code Lines_1'!C1723,'Zip Code Lines_1'!$Q$4:$Q$26,0),0)</f>
        <v>Niagara Falls</v>
      </c>
      <c r="E1723" s="344">
        <f ca="1">OFFSET('Zip Code Lines_1'!$W$3,MATCH('Zip Code Lines_1'!C1723,'Zip Code Lines_1'!$Q$4:$Q$26,0),0)</f>
        <v>6.9</v>
      </c>
      <c r="F1723" s="344">
        <f ca="1">OFFSET('Zip Code Lines_1'!$Z$3,MATCH('Zip Code Lines_1'!C1723,'Zip Code Lines_1'!$Q$4:$Q$26,0),0)</f>
        <v>85.2</v>
      </c>
      <c r="G1723" s="342">
        <f ca="1">OFFSET('Zip Code Lines_1'!$AC$3,MATCH('Zip Code Lines_1'!C1723,'Zip Code Lines_1'!$Q$4:$Q$26,0),0)</f>
        <v>18</v>
      </c>
      <c r="H1723" s="342">
        <v>14047</v>
      </c>
    </row>
    <row r="1724" spans="2:8" x14ac:dyDescent="0.25">
      <c r="B1724" s="342">
        <v>14048</v>
      </c>
      <c r="C1724" s="343" t="s">
        <v>561</v>
      </c>
      <c r="D1724" s="343" t="str">
        <f ca="1">OFFSET('Zip Code Lines_1'!$U$3,MATCH('Zip Code Lines_1'!C1724,'Zip Code Lines_1'!$Q$4:$Q$26,0),0)</f>
        <v>Niagara Falls</v>
      </c>
      <c r="E1724" s="344">
        <f ca="1">OFFSET('Zip Code Lines_1'!$W$3,MATCH('Zip Code Lines_1'!C1724,'Zip Code Lines_1'!$Q$4:$Q$26,0),0)</f>
        <v>6.9</v>
      </c>
      <c r="F1724" s="344">
        <f ca="1">OFFSET('Zip Code Lines_1'!$Z$3,MATCH('Zip Code Lines_1'!C1724,'Zip Code Lines_1'!$Q$4:$Q$26,0),0)</f>
        <v>85.2</v>
      </c>
      <c r="G1724" s="342">
        <f ca="1">OFFSET('Zip Code Lines_1'!$AC$3,MATCH('Zip Code Lines_1'!C1724,'Zip Code Lines_1'!$Q$4:$Q$26,0),0)</f>
        <v>18</v>
      </c>
      <c r="H1724" s="342">
        <v>14048</v>
      </c>
    </row>
    <row r="1725" spans="2:8" x14ac:dyDescent="0.25">
      <c r="B1725" s="342">
        <v>14051</v>
      </c>
      <c r="C1725" s="343" t="s">
        <v>561</v>
      </c>
      <c r="D1725" s="343" t="str">
        <f ca="1">OFFSET('Zip Code Lines_1'!$U$3,MATCH('Zip Code Lines_1'!C1725,'Zip Code Lines_1'!$Q$4:$Q$26,0),0)</f>
        <v>Niagara Falls</v>
      </c>
      <c r="E1725" s="344">
        <f ca="1">OFFSET('Zip Code Lines_1'!$W$3,MATCH('Zip Code Lines_1'!C1725,'Zip Code Lines_1'!$Q$4:$Q$26,0),0)</f>
        <v>6.9</v>
      </c>
      <c r="F1725" s="344">
        <f ca="1">OFFSET('Zip Code Lines_1'!$Z$3,MATCH('Zip Code Lines_1'!C1725,'Zip Code Lines_1'!$Q$4:$Q$26,0),0)</f>
        <v>85.2</v>
      </c>
      <c r="G1725" s="342">
        <f ca="1">OFFSET('Zip Code Lines_1'!$AC$3,MATCH('Zip Code Lines_1'!C1725,'Zip Code Lines_1'!$Q$4:$Q$26,0),0)</f>
        <v>18</v>
      </c>
      <c r="H1725" s="342">
        <v>14051</v>
      </c>
    </row>
    <row r="1726" spans="2:8" x14ac:dyDescent="0.25">
      <c r="B1726" s="342">
        <v>14052</v>
      </c>
      <c r="C1726" s="343" t="s">
        <v>534</v>
      </c>
      <c r="D1726" s="343" t="str">
        <f ca="1">OFFSET('Zip Code Lines_1'!$U$3,MATCH('Zip Code Lines_1'!C1726,'Zip Code Lines_1'!$Q$4:$Q$26,0),0)</f>
        <v>Buffalo</v>
      </c>
      <c r="E1726" s="344">
        <f ca="1">OFFSET('Zip Code Lines_1'!$W$3,MATCH('Zip Code Lines_1'!C1726,'Zip Code Lines_1'!$Q$4:$Q$26,0),0)</f>
        <v>7.4</v>
      </c>
      <c r="F1726" s="344">
        <f ca="1">OFFSET('Zip Code Lines_1'!$Z$3,MATCH('Zip Code Lines_1'!C1726,'Zip Code Lines_1'!$Q$4:$Q$26,0),0)</f>
        <v>83.9</v>
      </c>
      <c r="G1726" s="342">
        <f ca="1">OFFSET('Zip Code Lines_1'!$AC$3,MATCH('Zip Code Lines_1'!C1726,'Zip Code Lines_1'!$Q$4:$Q$26,0),0)</f>
        <v>18</v>
      </c>
      <c r="H1726" s="342">
        <v>14052</v>
      </c>
    </row>
    <row r="1727" spans="2:8" x14ac:dyDescent="0.25">
      <c r="B1727" s="342">
        <v>14054</v>
      </c>
      <c r="C1727" s="343" t="s">
        <v>534</v>
      </c>
      <c r="D1727" s="343" t="str">
        <f ca="1">OFFSET('Zip Code Lines_1'!$U$3,MATCH('Zip Code Lines_1'!C1727,'Zip Code Lines_1'!$Q$4:$Q$26,0),0)</f>
        <v>Buffalo</v>
      </c>
      <c r="E1727" s="344">
        <f ca="1">OFFSET('Zip Code Lines_1'!$W$3,MATCH('Zip Code Lines_1'!C1727,'Zip Code Lines_1'!$Q$4:$Q$26,0),0)</f>
        <v>7.4</v>
      </c>
      <c r="F1727" s="344">
        <f ca="1">OFFSET('Zip Code Lines_1'!$Z$3,MATCH('Zip Code Lines_1'!C1727,'Zip Code Lines_1'!$Q$4:$Q$26,0),0)</f>
        <v>83.9</v>
      </c>
      <c r="G1727" s="342">
        <f ca="1">OFFSET('Zip Code Lines_1'!$AC$3,MATCH('Zip Code Lines_1'!C1727,'Zip Code Lines_1'!$Q$4:$Q$26,0),0)</f>
        <v>18</v>
      </c>
      <c r="H1727" s="342">
        <v>14054</v>
      </c>
    </row>
    <row r="1728" spans="2:8" x14ac:dyDescent="0.25">
      <c r="B1728" s="342">
        <v>14055</v>
      </c>
      <c r="C1728" s="343" t="s">
        <v>546</v>
      </c>
      <c r="D1728" s="343" t="str">
        <f ca="1">OFFSET('Zip Code Lines_1'!$U$3,MATCH('Zip Code Lines_1'!C1728,'Zip Code Lines_1'!$Q$4:$Q$26,0),0)</f>
        <v>Jamestown</v>
      </c>
      <c r="E1728" s="344">
        <f ca="1">OFFSET('Zip Code Lines_1'!$W$3,MATCH('Zip Code Lines_1'!C1728,'Zip Code Lines_1'!$Q$4:$Q$26,0),0)</f>
        <v>4.8</v>
      </c>
      <c r="F1728" s="344">
        <f ca="1">OFFSET('Zip Code Lines_1'!$Z$3,MATCH('Zip Code Lines_1'!C1728,'Zip Code Lines_1'!$Q$4:$Q$26,0),0)</f>
        <v>81.099999999999994</v>
      </c>
      <c r="G1728" s="342">
        <f ca="1">OFFSET('Zip Code Lines_1'!$AC$3,MATCH('Zip Code Lines_1'!C1728,'Zip Code Lines_1'!$Q$4:$Q$26,0),0)</f>
        <v>12</v>
      </c>
      <c r="H1728" s="342">
        <v>14055</v>
      </c>
    </row>
    <row r="1729" spans="2:8" x14ac:dyDescent="0.25">
      <c r="B1729" s="342">
        <v>14056</v>
      </c>
      <c r="C1729" s="343" t="s">
        <v>534</v>
      </c>
      <c r="D1729" s="343" t="str">
        <f ca="1">OFFSET('Zip Code Lines_1'!$U$3,MATCH('Zip Code Lines_1'!C1729,'Zip Code Lines_1'!$Q$4:$Q$26,0),0)</f>
        <v>Buffalo</v>
      </c>
      <c r="E1729" s="344">
        <f ca="1">OFFSET('Zip Code Lines_1'!$W$3,MATCH('Zip Code Lines_1'!C1729,'Zip Code Lines_1'!$Q$4:$Q$26,0),0)</f>
        <v>7.4</v>
      </c>
      <c r="F1729" s="344">
        <f ca="1">OFFSET('Zip Code Lines_1'!$Z$3,MATCH('Zip Code Lines_1'!C1729,'Zip Code Lines_1'!$Q$4:$Q$26,0),0)</f>
        <v>83.9</v>
      </c>
      <c r="G1729" s="342">
        <f ca="1">OFFSET('Zip Code Lines_1'!$AC$3,MATCH('Zip Code Lines_1'!C1729,'Zip Code Lines_1'!$Q$4:$Q$26,0),0)</f>
        <v>18</v>
      </c>
      <c r="H1729" s="342">
        <v>14056</v>
      </c>
    </row>
    <row r="1730" spans="2:8" x14ac:dyDescent="0.25">
      <c r="B1730" s="342">
        <v>14057</v>
      </c>
      <c r="C1730" s="343" t="s">
        <v>534</v>
      </c>
      <c r="D1730" s="343" t="str">
        <f ca="1">OFFSET('Zip Code Lines_1'!$U$3,MATCH('Zip Code Lines_1'!C1730,'Zip Code Lines_1'!$Q$4:$Q$26,0),0)</f>
        <v>Buffalo</v>
      </c>
      <c r="E1730" s="344">
        <f ca="1">OFFSET('Zip Code Lines_1'!$W$3,MATCH('Zip Code Lines_1'!C1730,'Zip Code Lines_1'!$Q$4:$Q$26,0),0)</f>
        <v>7.4</v>
      </c>
      <c r="F1730" s="344">
        <f ca="1">OFFSET('Zip Code Lines_1'!$Z$3,MATCH('Zip Code Lines_1'!C1730,'Zip Code Lines_1'!$Q$4:$Q$26,0),0)</f>
        <v>83.9</v>
      </c>
      <c r="G1730" s="342">
        <f ca="1">OFFSET('Zip Code Lines_1'!$AC$3,MATCH('Zip Code Lines_1'!C1730,'Zip Code Lines_1'!$Q$4:$Q$26,0),0)</f>
        <v>18</v>
      </c>
      <c r="H1730" s="342">
        <v>14057</v>
      </c>
    </row>
    <row r="1731" spans="2:8" x14ac:dyDescent="0.25">
      <c r="B1731" s="342">
        <v>14058</v>
      </c>
      <c r="C1731" s="343" t="s">
        <v>561</v>
      </c>
      <c r="D1731" s="343" t="str">
        <f ca="1">OFFSET('Zip Code Lines_1'!$U$3,MATCH('Zip Code Lines_1'!C1731,'Zip Code Lines_1'!$Q$4:$Q$26,0),0)</f>
        <v>Niagara Falls</v>
      </c>
      <c r="E1731" s="344">
        <f ca="1">OFFSET('Zip Code Lines_1'!$W$3,MATCH('Zip Code Lines_1'!C1731,'Zip Code Lines_1'!$Q$4:$Q$26,0),0)</f>
        <v>6.9</v>
      </c>
      <c r="F1731" s="344">
        <f ca="1">OFFSET('Zip Code Lines_1'!$Z$3,MATCH('Zip Code Lines_1'!C1731,'Zip Code Lines_1'!$Q$4:$Q$26,0),0)</f>
        <v>85.2</v>
      </c>
      <c r="G1731" s="342">
        <f ca="1">OFFSET('Zip Code Lines_1'!$AC$3,MATCH('Zip Code Lines_1'!C1731,'Zip Code Lines_1'!$Q$4:$Q$26,0),0)</f>
        <v>18</v>
      </c>
      <c r="H1731" s="342">
        <v>14058</v>
      </c>
    </row>
    <row r="1732" spans="2:8" x14ac:dyDescent="0.25">
      <c r="B1732" s="342">
        <v>14059</v>
      </c>
      <c r="C1732" s="343" t="s">
        <v>534</v>
      </c>
      <c r="D1732" s="343" t="str">
        <f ca="1">OFFSET('Zip Code Lines_1'!$U$3,MATCH('Zip Code Lines_1'!C1732,'Zip Code Lines_1'!$Q$4:$Q$26,0),0)</f>
        <v>Buffalo</v>
      </c>
      <c r="E1732" s="344">
        <f ca="1">OFFSET('Zip Code Lines_1'!$W$3,MATCH('Zip Code Lines_1'!C1732,'Zip Code Lines_1'!$Q$4:$Q$26,0),0)</f>
        <v>7.4</v>
      </c>
      <c r="F1732" s="344">
        <f ca="1">OFFSET('Zip Code Lines_1'!$Z$3,MATCH('Zip Code Lines_1'!C1732,'Zip Code Lines_1'!$Q$4:$Q$26,0),0)</f>
        <v>83.9</v>
      </c>
      <c r="G1732" s="342">
        <f ca="1">OFFSET('Zip Code Lines_1'!$AC$3,MATCH('Zip Code Lines_1'!C1732,'Zip Code Lines_1'!$Q$4:$Q$26,0),0)</f>
        <v>18</v>
      </c>
      <c r="H1732" s="342">
        <v>14059</v>
      </c>
    </row>
    <row r="1733" spans="2:8" x14ac:dyDescent="0.25">
      <c r="B1733" s="342">
        <v>14060</v>
      </c>
      <c r="C1733" s="343" t="s">
        <v>546</v>
      </c>
      <c r="D1733" s="343" t="str">
        <f ca="1">OFFSET('Zip Code Lines_1'!$U$3,MATCH('Zip Code Lines_1'!C1733,'Zip Code Lines_1'!$Q$4:$Q$26,0),0)</f>
        <v>Jamestown</v>
      </c>
      <c r="E1733" s="344">
        <f ca="1">OFFSET('Zip Code Lines_1'!$W$3,MATCH('Zip Code Lines_1'!C1733,'Zip Code Lines_1'!$Q$4:$Q$26,0),0)</f>
        <v>4.8</v>
      </c>
      <c r="F1733" s="344">
        <f ca="1">OFFSET('Zip Code Lines_1'!$Z$3,MATCH('Zip Code Lines_1'!C1733,'Zip Code Lines_1'!$Q$4:$Q$26,0),0)</f>
        <v>81.099999999999994</v>
      </c>
      <c r="G1733" s="342">
        <f ca="1">OFFSET('Zip Code Lines_1'!$AC$3,MATCH('Zip Code Lines_1'!C1733,'Zip Code Lines_1'!$Q$4:$Q$26,0),0)</f>
        <v>12</v>
      </c>
      <c r="H1733" s="342">
        <v>14060</v>
      </c>
    </row>
    <row r="1734" spans="2:8" x14ac:dyDescent="0.25">
      <c r="B1734" s="342">
        <v>14061</v>
      </c>
      <c r="C1734" s="343" t="s">
        <v>561</v>
      </c>
      <c r="D1734" s="343" t="str">
        <f ca="1">OFFSET('Zip Code Lines_1'!$U$3,MATCH('Zip Code Lines_1'!C1734,'Zip Code Lines_1'!$Q$4:$Q$26,0),0)</f>
        <v>Niagara Falls</v>
      </c>
      <c r="E1734" s="344">
        <f ca="1">OFFSET('Zip Code Lines_1'!$W$3,MATCH('Zip Code Lines_1'!C1734,'Zip Code Lines_1'!$Q$4:$Q$26,0),0)</f>
        <v>6.9</v>
      </c>
      <c r="F1734" s="344">
        <f ca="1">OFFSET('Zip Code Lines_1'!$Z$3,MATCH('Zip Code Lines_1'!C1734,'Zip Code Lines_1'!$Q$4:$Q$26,0),0)</f>
        <v>85.2</v>
      </c>
      <c r="G1734" s="342">
        <f ca="1">OFFSET('Zip Code Lines_1'!$AC$3,MATCH('Zip Code Lines_1'!C1734,'Zip Code Lines_1'!$Q$4:$Q$26,0),0)</f>
        <v>18</v>
      </c>
      <c r="H1734" s="342">
        <v>14061</v>
      </c>
    </row>
    <row r="1735" spans="2:8" x14ac:dyDescent="0.25">
      <c r="B1735" s="342">
        <v>14062</v>
      </c>
      <c r="C1735" s="343" t="s">
        <v>534</v>
      </c>
      <c r="D1735" s="343" t="str">
        <f ca="1">OFFSET('Zip Code Lines_1'!$U$3,MATCH('Zip Code Lines_1'!C1735,'Zip Code Lines_1'!$Q$4:$Q$26,0),0)</f>
        <v>Buffalo</v>
      </c>
      <c r="E1735" s="344">
        <f ca="1">OFFSET('Zip Code Lines_1'!$W$3,MATCH('Zip Code Lines_1'!C1735,'Zip Code Lines_1'!$Q$4:$Q$26,0),0)</f>
        <v>7.4</v>
      </c>
      <c r="F1735" s="344">
        <f ca="1">OFFSET('Zip Code Lines_1'!$Z$3,MATCH('Zip Code Lines_1'!C1735,'Zip Code Lines_1'!$Q$4:$Q$26,0),0)</f>
        <v>83.9</v>
      </c>
      <c r="G1735" s="342">
        <f ca="1">OFFSET('Zip Code Lines_1'!$AC$3,MATCH('Zip Code Lines_1'!C1735,'Zip Code Lines_1'!$Q$4:$Q$26,0),0)</f>
        <v>18</v>
      </c>
      <c r="H1735" s="342">
        <v>14062</v>
      </c>
    </row>
    <row r="1736" spans="2:8" x14ac:dyDescent="0.25">
      <c r="B1736" s="342">
        <v>14063</v>
      </c>
      <c r="C1736" s="343" t="s">
        <v>546</v>
      </c>
      <c r="D1736" s="343" t="str">
        <f ca="1">OFFSET('Zip Code Lines_1'!$U$3,MATCH('Zip Code Lines_1'!C1736,'Zip Code Lines_1'!$Q$4:$Q$26,0),0)</f>
        <v>Jamestown</v>
      </c>
      <c r="E1736" s="344">
        <f ca="1">OFFSET('Zip Code Lines_1'!$W$3,MATCH('Zip Code Lines_1'!C1736,'Zip Code Lines_1'!$Q$4:$Q$26,0),0)</f>
        <v>4.8</v>
      </c>
      <c r="F1736" s="344">
        <f ca="1">OFFSET('Zip Code Lines_1'!$Z$3,MATCH('Zip Code Lines_1'!C1736,'Zip Code Lines_1'!$Q$4:$Q$26,0),0)</f>
        <v>81.099999999999994</v>
      </c>
      <c r="G1736" s="342">
        <f ca="1">OFFSET('Zip Code Lines_1'!$AC$3,MATCH('Zip Code Lines_1'!C1736,'Zip Code Lines_1'!$Q$4:$Q$26,0),0)</f>
        <v>12</v>
      </c>
      <c r="H1736" s="342">
        <v>14063</v>
      </c>
    </row>
    <row r="1737" spans="2:8" x14ac:dyDescent="0.25">
      <c r="B1737" s="342">
        <v>14065</v>
      </c>
      <c r="C1737" s="343" t="s">
        <v>546</v>
      </c>
      <c r="D1737" s="343" t="str">
        <f ca="1">OFFSET('Zip Code Lines_1'!$U$3,MATCH('Zip Code Lines_1'!C1737,'Zip Code Lines_1'!$Q$4:$Q$26,0),0)</f>
        <v>Jamestown</v>
      </c>
      <c r="E1737" s="344">
        <f ca="1">OFFSET('Zip Code Lines_1'!$W$3,MATCH('Zip Code Lines_1'!C1737,'Zip Code Lines_1'!$Q$4:$Q$26,0),0)</f>
        <v>4.8</v>
      </c>
      <c r="F1737" s="344">
        <f ca="1">OFFSET('Zip Code Lines_1'!$Z$3,MATCH('Zip Code Lines_1'!C1737,'Zip Code Lines_1'!$Q$4:$Q$26,0),0)</f>
        <v>81.099999999999994</v>
      </c>
      <c r="G1737" s="342">
        <f ca="1">OFFSET('Zip Code Lines_1'!$AC$3,MATCH('Zip Code Lines_1'!C1737,'Zip Code Lines_1'!$Q$4:$Q$26,0),0)</f>
        <v>12</v>
      </c>
      <c r="H1737" s="342">
        <v>14065</v>
      </c>
    </row>
    <row r="1738" spans="2:8" x14ac:dyDescent="0.25">
      <c r="B1738" s="342">
        <v>14066</v>
      </c>
      <c r="C1738" s="343" t="s">
        <v>546</v>
      </c>
      <c r="D1738" s="343" t="str">
        <f ca="1">OFFSET('Zip Code Lines_1'!$U$3,MATCH('Zip Code Lines_1'!C1738,'Zip Code Lines_1'!$Q$4:$Q$26,0),0)</f>
        <v>Jamestown</v>
      </c>
      <c r="E1738" s="344">
        <f ca="1">OFFSET('Zip Code Lines_1'!$W$3,MATCH('Zip Code Lines_1'!C1738,'Zip Code Lines_1'!$Q$4:$Q$26,0),0)</f>
        <v>4.8</v>
      </c>
      <c r="F1738" s="344">
        <f ca="1">OFFSET('Zip Code Lines_1'!$Z$3,MATCH('Zip Code Lines_1'!C1738,'Zip Code Lines_1'!$Q$4:$Q$26,0),0)</f>
        <v>81.099999999999994</v>
      </c>
      <c r="G1738" s="342">
        <f ca="1">OFFSET('Zip Code Lines_1'!$AC$3,MATCH('Zip Code Lines_1'!C1738,'Zip Code Lines_1'!$Q$4:$Q$26,0),0)</f>
        <v>12</v>
      </c>
      <c r="H1738" s="342">
        <v>14066</v>
      </c>
    </row>
    <row r="1739" spans="2:8" x14ac:dyDescent="0.25">
      <c r="B1739" s="342">
        <v>14067</v>
      </c>
      <c r="C1739" s="343" t="s">
        <v>561</v>
      </c>
      <c r="D1739" s="343" t="str">
        <f ca="1">OFFSET('Zip Code Lines_1'!$U$3,MATCH('Zip Code Lines_1'!C1739,'Zip Code Lines_1'!$Q$4:$Q$26,0),0)</f>
        <v>Niagara Falls</v>
      </c>
      <c r="E1739" s="344">
        <f ca="1">OFFSET('Zip Code Lines_1'!$W$3,MATCH('Zip Code Lines_1'!C1739,'Zip Code Lines_1'!$Q$4:$Q$26,0),0)</f>
        <v>6.9</v>
      </c>
      <c r="F1739" s="344">
        <f ca="1">OFFSET('Zip Code Lines_1'!$Z$3,MATCH('Zip Code Lines_1'!C1739,'Zip Code Lines_1'!$Q$4:$Q$26,0),0)</f>
        <v>85.2</v>
      </c>
      <c r="G1739" s="342">
        <f ca="1">OFFSET('Zip Code Lines_1'!$AC$3,MATCH('Zip Code Lines_1'!C1739,'Zip Code Lines_1'!$Q$4:$Q$26,0),0)</f>
        <v>18</v>
      </c>
      <c r="H1739" s="342">
        <v>14067</v>
      </c>
    </row>
    <row r="1740" spans="2:8" x14ac:dyDescent="0.25">
      <c r="B1740" s="342">
        <v>14068</v>
      </c>
      <c r="C1740" s="343" t="s">
        <v>561</v>
      </c>
      <c r="D1740" s="343" t="str">
        <f ca="1">OFFSET('Zip Code Lines_1'!$U$3,MATCH('Zip Code Lines_1'!C1740,'Zip Code Lines_1'!$Q$4:$Q$26,0),0)</f>
        <v>Niagara Falls</v>
      </c>
      <c r="E1740" s="344">
        <f ca="1">OFFSET('Zip Code Lines_1'!$W$3,MATCH('Zip Code Lines_1'!C1740,'Zip Code Lines_1'!$Q$4:$Q$26,0),0)</f>
        <v>6.9</v>
      </c>
      <c r="F1740" s="344">
        <f ca="1">OFFSET('Zip Code Lines_1'!$Z$3,MATCH('Zip Code Lines_1'!C1740,'Zip Code Lines_1'!$Q$4:$Q$26,0),0)</f>
        <v>85.2</v>
      </c>
      <c r="G1740" s="342">
        <f ca="1">OFFSET('Zip Code Lines_1'!$AC$3,MATCH('Zip Code Lines_1'!C1740,'Zip Code Lines_1'!$Q$4:$Q$26,0),0)</f>
        <v>18</v>
      </c>
      <c r="H1740" s="342">
        <v>14068</v>
      </c>
    </row>
    <row r="1741" spans="2:8" x14ac:dyDescent="0.25">
      <c r="B1741" s="342">
        <v>14069</v>
      </c>
      <c r="C1741" s="343" t="s">
        <v>546</v>
      </c>
      <c r="D1741" s="343" t="str">
        <f ca="1">OFFSET('Zip Code Lines_1'!$U$3,MATCH('Zip Code Lines_1'!C1741,'Zip Code Lines_1'!$Q$4:$Q$26,0),0)</f>
        <v>Jamestown</v>
      </c>
      <c r="E1741" s="344">
        <f ca="1">OFFSET('Zip Code Lines_1'!$W$3,MATCH('Zip Code Lines_1'!C1741,'Zip Code Lines_1'!$Q$4:$Q$26,0),0)</f>
        <v>4.8</v>
      </c>
      <c r="F1741" s="344">
        <f ca="1">OFFSET('Zip Code Lines_1'!$Z$3,MATCH('Zip Code Lines_1'!C1741,'Zip Code Lines_1'!$Q$4:$Q$26,0),0)</f>
        <v>81.099999999999994</v>
      </c>
      <c r="G1741" s="342">
        <f ca="1">OFFSET('Zip Code Lines_1'!$AC$3,MATCH('Zip Code Lines_1'!C1741,'Zip Code Lines_1'!$Q$4:$Q$26,0),0)</f>
        <v>12</v>
      </c>
      <c r="H1741" s="342">
        <v>14069</v>
      </c>
    </row>
    <row r="1742" spans="2:8" x14ac:dyDescent="0.25">
      <c r="B1742" s="342">
        <v>14070</v>
      </c>
      <c r="C1742" s="343" t="s">
        <v>534</v>
      </c>
      <c r="D1742" s="343" t="str">
        <f ca="1">OFFSET('Zip Code Lines_1'!$U$3,MATCH('Zip Code Lines_1'!C1742,'Zip Code Lines_1'!$Q$4:$Q$26,0),0)</f>
        <v>Buffalo</v>
      </c>
      <c r="E1742" s="344">
        <f ca="1">OFFSET('Zip Code Lines_1'!$W$3,MATCH('Zip Code Lines_1'!C1742,'Zip Code Lines_1'!$Q$4:$Q$26,0),0)</f>
        <v>7.4</v>
      </c>
      <c r="F1742" s="344">
        <f ca="1">OFFSET('Zip Code Lines_1'!$Z$3,MATCH('Zip Code Lines_1'!C1742,'Zip Code Lines_1'!$Q$4:$Q$26,0),0)</f>
        <v>83.9</v>
      </c>
      <c r="G1742" s="342">
        <f ca="1">OFFSET('Zip Code Lines_1'!$AC$3,MATCH('Zip Code Lines_1'!C1742,'Zip Code Lines_1'!$Q$4:$Q$26,0),0)</f>
        <v>18</v>
      </c>
      <c r="H1742" s="342">
        <v>14070</v>
      </c>
    </row>
    <row r="1743" spans="2:8" x14ac:dyDescent="0.25">
      <c r="B1743" s="342">
        <v>14072</v>
      </c>
      <c r="C1743" s="343" t="s">
        <v>561</v>
      </c>
      <c r="D1743" s="343" t="str">
        <f ca="1">OFFSET('Zip Code Lines_1'!$U$3,MATCH('Zip Code Lines_1'!C1743,'Zip Code Lines_1'!$Q$4:$Q$26,0),0)</f>
        <v>Niagara Falls</v>
      </c>
      <c r="E1743" s="344">
        <f ca="1">OFFSET('Zip Code Lines_1'!$W$3,MATCH('Zip Code Lines_1'!C1743,'Zip Code Lines_1'!$Q$4:$Q$26,0),0)</f>
        <v>6.9</v>
      </c>
      <c r="F1743" s="344">
        <f ca="1">OFFSET('Zip Code Lines_1'!$Z$3,MATCH('Zip Code Lines_1'!C1743,'Zip Code Lines_1'!$Q$4:$Q$26,0),0)</f>
        <v>85.2</v>
      </c>
      <c r="G1743" s="342">
        <f ca="1">OFFSET('Zip Code Lines_1'!$AC$3,MATCH('Zip Code Lines_1'!C1743,'Zip Code Lines_1'!$Q$4:$Q$26,0),0)</f>
        <v>18</v>
      </c>
      <c r="H1743" s="342">
        <v>14072</v>
      </c>
    </row>
    <row r="1744" spans="2:8" x14ac:dyDescent="0.25">
      <c r="B1744" s="342">
        <v>14075</v>
      </c>
      <c r="C1744" s="343" t="s">
        <v>534</v>
      </c>
      <c r="D1744" s="343" t="str">
        <f ca="1">OFFSET('Zip Code Lines_1'!$U$3,MATCH('Zip Code Lines_1'!C1744,'Zip Code Lines_1'!$Q$4:$Q$26,0),0)</f>
        <v>Buffalo</v>
      </c>
      <c r="E1744" s="344">
        <f ca="1">OFFSET('Zip Code Lines_1'!$W$3,MATCH('Zip Code Lines_1'!C1744,'Zip Code Lines_1'!$Q$4:$Q$26,0),0)</f>
        <v>7.4</v>
      </c>
      <c r="F1744" s="344">
        <f ca="1">OFFSET('Zip Code Lines_1'!$Z$3,MATCH('Zip Code Lines_1'!C1744,'Zip Code Lines_1'!$Q$4:$Q$26,0),0)</f>
        <v>83.9</v>
      </c>
      <c r="G1744" s="342">
        <f ca="1">OFFSET('Zip Code Lines_1'!$AC$3,MATCH('Zip Code Lines_1'!C1744,'Zip Code Lines_1'!$Q$4:$Q$26,0),0)</f>
        <v>18</v>
      </c>
      <c r="H1744" s="342">
        <v>14075</v>
      </c>
    </row>
    <row r="1745" spans="2:8" x14ac:dyDescent="0.25">
      <c r="B1745" s="342">
        <v>14080</v>
      </c>
      <c r="C1745" s="343" t="s">
        <v>534</v>
      </c>
      <c r="D1745" s="343" t="str">
        <f ca="1">OFFSET('Zip Code Lines_1'!$U$3,MATCH('Zip Code Lines_1'!C1745,'Zip Code Lines_1'!$Q$4:$Q$26,0),0)</f>
        <v>Buffalo</v>
      </c>
      <c r="E1745" s="344">
        <f ca="1">OFFSET('Zip Code Lines_1'!$W$3,MATCH('Zip Code Lines_1'!C1745,'Zip Code Lines_1'!$Q$4:$Q$26,0),0)</f>
        <v>7.4</v>
      </c>
      <c r="F1745" s="344">
        <f ca="1">OFFSET('Zip Code Lines_1'!$Z$3,MATCH('Zip Code Lines_1'!C1745,'Zip Code Lines_1'!$Q$4:$Q$26,0),0)</f>
        <v>83.9</v>
      </c>
      <c r="G1745" s="342">
        <f ca="1">OFFSET('Zip Code Lines_1'!$AC$3,MATCH('Zip Code Lines_1'!C1745,'Zip Code Lines_1'!$Q$4:$Q$26,0),0)</f>
        <v>18</v>
      </c>
      <c r="H1745" s="342">
        <v>14080</v>
      </c>
    </row>
    <row r="1746" spans="2:8" x14ac:dyDescent="0.25">
      <c r="B1746" s="342">
        <v>14081</v>
      </c>
      <c r="C1746" s="343" t="s">
        <v>561</v>
      </c>
      <c r="D1746" s="343" t="str">
        <f ca="1">OFFSET('Zip Code Lines_1'!$U$3,MATCH('Zip Code Lines_1'!C1746,'Zip Code Lines_1'!$Q$4:$Q$26,0),0)</f>
        <v>Niagara Falls</v>
      </c>
      <c r="E1746" s="344">
        <f ca="1">OFFSET('Zip Code Lines_1'!$W$3,MATCH('Zip Code Lines_1'!C1746,'Zip Code Lines_1'!$Q$4:$Q$26,0),0)</f>
        <v>6.9</v>
      </c>
      <c r="F1746" s="344">
        <f ca="1">OFFSET('Zip Code Lines_1'!$Z$3,MATCH('Zip Code Lines_1'!C1746,'Zip Code Lines_1'!$Q$4:$Q$26,0),0)</f>
        <v>85.2</v>
      </c>
      <c r="G1746" s="342">
        <f ca="1">OFFSET('Zip Code Lines_1'!$AC$3,MATCH('Zip Code Lines_1'!C1746,'Zip Code Lines_1'!$Q$4:$Q$26,0),0)</f>
        <v>18</v>
      </c>
      <c r="H1746" s="342">
        <v>14081</v>
      </c>
    </row>
    <row r="1747" spans="2:8" x14ac:dyDescent="0.25">
      <c r="B1747" s="342">
        <v>14082</v>
      </c>
      <c r="C1747" s="343" t="s">
        <v>546</v>
      </c>
      <c r="D1747" s="343" t="str">
        <f ca="1">OFFSET('Zip Code Lines_1'!$U$3,MATCH('Zip Code Lines_1'!C1747,'Zip Code Lines_1'!$Q$4:$Q$26,0),0)</f>
        <v>Jamestown</v>
      </c>
      <c r="E1747" s="344">
        <f ca="1">OFFSET('Zip Code Lines_1'!$W$3,MATCH('Zip Code Lines_1'!C1747,'Zip Code Lines_1'!$Q$4:$Q$26,0),0)</f>
        <v>4.8</v>
      </c>
      <c r="F1747" s="344">
        <f ca="1">OFFSET('Zip Code Lines_1'!$Z$3,MATCH('Zip Code Lines_1'!C1747,'Zip Code Lines_1'!$Q$4:$Q$26,0),0)</f>
        <v>81.099999999999994</v>
      </c>
      <c r="G1747" s="342">
        <f ca="1">OFFSET('Zip Code Lines_1'!$AC$3,MATCH('Zip Code Lines_1'!C1747,'Zip Code Lines_1'!$Q$4:$Q$26,0),0)</f>
        <v>12</v>
      </c>
      <c r="H1747" s="342">
        <v>14082</v>
      </c>
    </row>
    <row r="1748" spans="2:8" x14ac:dyDescent="0.25">
      <c r="B1748" s="342">
        <v>14083</v>
      </c>
      <c r="C1748" s="343" t="s">
        <v>546</v>
      </c>
      <c r="D1748" s="343" t="str">
        <f ca="1">OFFSET('Zip Code Lines_1'!$U$3,MATCH('Zip Code Lines_1'!C1748,'Zip Code Lines_1'!$Q$4:$Q$26,0),0)</f>
        <v>Jamestown</v>
      </c>
      <c r="E1748" s="344">
        <f ca="1">OFFSET('Zip Code Lines_1'!$W$3,MATCH('Zip Code Lines_1'!C1748,'Zip Code Lines_1'!$Q$4:$Q$26,0),0)</f>
        <v>4.8</v>
      </c>
      <c r="F1748" s="344">
        <f ca="1">OFFSET('Zip Code Lines_1'!$Z$3,MATCH('Zip Code Lines_1'!C1748,'Zip Code Lines_1'!$Q$4:$Q$26,0),0)</f>
        <v>81.099999999999994</v>
      </c>
      <c r="G1748" s="342">
        <f ca="1">OFFSET('Zip Code Lines_1'!$AC$3,MATCH('Zip Code Lines_1'!C1748,'Zip Code Lines_1'!$Q$4:$Q$26,0),0)</f>
        <v>12</v>
      </c>
      <c r="H1748" s="342">
        <v>14083</v>
      </c>
    </row>
    <row r="1749" spans="2:8" x14ac:dyDescent="0.25">
      <c r="B1749" s="342">
        <v>14085</v>
      </c>
      <c r="C1749" s="343" t="s">
        <v>561</v>
      </c>
      <c r="D1749" s="343" t="str">
        <f ca="1">OFFSET('Zip Code Lines_1'!$U$3,MATCH('Zip Code Lines_1'!C1749,'Zip Code Lines_1'!$Q$4:$Q$26,0),0)</f>
        <v>Niagara Falls</v>
      </c>
      <c r="E1749" s="344">
        <f ca="1">OFFSET('Zip Code Lines_1'!$W$3,MATCH('Zip Code Lines_1'!C1749,'Zip Code Lines_1'!$Q$4:$Q$26,0),0)</f>
        <v>6.9</v>
      </c>
      <c r="F1749" s="344">
        <f ca="1">OFFSET('Zip Code Lines_1'!$Z$3,MATCH('Zip Code Lines_1'!C1749,'Zip Code Lines_1'!$Q$4:$Q$26,0),0)</f>
        <v>85.2</v>
      </c>
      <c r="G1749" s="342">
        <f ca="1">OFFSET('Zip Code Lines_1'!$AC$3,MATCH('Zip Code Lines_1'!C1749,'Zip Code Lines_1'!$Q$4:$Q$26,0),0)</f>
        <v>18</v>
      </c>
      <c r="H1749" s="342">
        <v>14085</v>
      </c>
    </row>
    <row r="1750" spans="2:8" x14ac:dyDescent="0.25">
      <c r="B1750" s="342">
        <v>14086</v>
      </c>
      <c r="C1750" s="343" t="s">
        <v>534</v>
      </c>
      <c r="D1750" s="343" t="str">
        <f ca="1">OFFSET('Zip Code Lines_1'!$U$3,MATCH('Zip Code Lines_1'!C1750,'Zip Code Lines_1'!$Q$4:$Q$26,0),0)</f>
        <v>Buffalo</v>
      </c>
      <c r="E1750" s="344">
        <f ca="1">OFFSET('Zip Code Lines_1'!$W$3,MATCH('Zip Code Lines_1'!C1750,'Zip Code Lines_1'!$Q$4:$Q$26,0),0)</f>
        <v>7.4</v>
      </c>
      <c r="F1750" s="344">
        <f ca="1">OFFSET('Zip Code Lines_1'!$Z$3,MATCH('Zip Code Lines_1'!C1750,'Zip Code Lines_1'!$Q$4:$Q$26,0),0)</f>
        <v>83.9</v>
      </c>
      <c r="G1750" s="342">
        <f ca="1">OFFSET('Zip Code Lines_1'!$AC$3,MATCH('Zip Code Lines_1'!C1750,'Zip Code Lines_1'!$Q$4:$Q$26,0),0)</f>
        <v>18</v>
      </c>
      <c r="H1750" s="342">
        <v>14086</v>
      </c>
    </row>
    <row r="1751" spans="2:8" x14ac:dyDescent="0.25">
      <c r="B1751" s="342">
        <v>14091</v>
      </c>
      <c r="C1751" s="343" t="s">
        <v>534</v>
      </c>
      <c r="D1751" s="343" t="str">
        <f ca="1">OFFSET('Zip Code Lines_1'!$U$3,MATCH('Zip Code Lines_1'!C1751,'Zip Code Lines_1'!$Q$4:$Q$26,0),0)</f>
        <v>Buffalo</v>
      </c>
      <c r="E1751" s="344">
        <f ca="1">OFFSET('Zip Code Lines_1'!$W$3,MATCH('Zip Code Lines_1'!C1751,'Zip Code Lines_1'!$Q$4:$Q$26,0),0)</f>
        <v>7.4</v>
      </c>
      <c r="F1751" s="344">
        <f ca="1">OFFSET('Zip Code Lines_1'!$Z$3,MATCH('Zip Code Lines_1'!C1751,'Zip Code Lines_1'!$Q$4:$Q$26,0),0)</f>
        <v>83.9</v>
      </c>
      <c r="G1751" s="342">
        <f ca="1">OFFSET('Zip Code Lines_1'!$AC$3,MATCH('Zip Code Lines_1'!C1751,'Zip Code Lines_1'!$Q$4:$Q$26,0),0)</f>
        <v>18</v>
      </c>
      <c r="H1751" s="342">
        <v>14091</v>
      </c>
    </row>
    <row r="1752" spans="2:8" x14ac:dyDescent="0.25">
      <c r="B1752" s="342">
        <v>14092</v>
      </c>
      <c r="C1752" s="343" t="s">
        <v>561</v>
      </c>
      <c r="D1752" s="343" t="str">
        <f ca="1">OFFSET('Zip Code Lines_1'!$U$3,MATCH('Zip Code Lines_1'!C1752,'Zip Code Lines_1'!$Q$4:$Q$26,0),0)</f>
        <v>Niagara Falls</v>
      </c>
      <c r="E1752" s="344">
        <f ca="1">OFFSET('Zip Code Lines_1'!$W$3,MATCH('Zip Code Lines_1'!C1752,'Zip Code Lines_1'!$Q$4:$Q$26,0),0)</f>
        <v>6.9</v>
      </c>
      <c r="F1752" s="344">
        <f ca="1">OFFSET('Zip Code Lines_1'!$Z$3,MATCH('Zip Code Lines_1'!C1752,'Zip Code Lines_1'!$Q$4:$Q$26,0),0)</f>
        <v>85.2</v>
      </c>
      <c r="G1752" s="342">
        <f ca="1">OFFSET('Zip Code Lines_1'!$AC$3,MATCH('Zip Code Lines_1'!C1752,'Zip Code Lines_1'!$Q$4:$Q$26,0),0)</f>
        <v>18</v>
      </c>
      <c r="H1752" s="342">
        <v>14092</v>
      </c>
    </row>
    <row r="1753" spans="2:8" x14ac:dyDescent="0.25">
      <c r="B1753" s="342">
        <v>14094</v>
      </c>
      <c r="C1753" s="343" t="s">
        <v>561</v>
      </c>
      <c r="D1753" s="343" t="str">
        <f ca="1">OFFSET('Zip Code Lines_1'!$U$3,MATCH('Zip Code Lines_1'!C1753,'Zip Code Lines_1'!$Q$4:$Q$26,0),0)</f>
        <v>Niagara Falls</v>
      </c>
      <c r="E1753" s="344">
        <f ca="1">OFFSET('Zip Code Lines_1'!$W$3,MATCH('Zip Code Lines_1'!C1753,'Zip Code Lines_1'!$Q$4:$Q$26,0),0)</f>
        <v>6.9</v>
      </c>
      <c r="F1753" s="344">
        <f ca="1">OFFSET('Zip Code Lines_1'!$Z$3,MATCH('Zip Code Lines_1'!C1753,'Zip Code Lines_1'!$Q$4:$Q$26,0),0)</f>
        <v>85.2</v>
      </c>
      <c r="G1753" s="342">
        <f ca="1">OFFSET('Zip Code Lines_1'!$AC$3,MATCH('Zip Code Lines_1'!C1753,'Zip Code Lines_1'!$Q$4:$Q$26,0),0)</f>
        <v>18</v>
      </c>
      <c r="H1753" s="342">
        <v>14094</v>
      </c>
    </row>
    <row r="1754" spans="2:8" x14ac:dyDescent="0.25">
      <c r="B1754" s="342">
        <v>14095</v>
      </c>
      <c r="C1754" s="343" t="s">
        <v>561</v>
      </c>
      <c r="D1754" s="343" t="str">
        <f ca="1">OFFSET('Zip Code Lines_1'!$U$3,MATCH('Zip Code Lines_1'!C1754,'Zip Code Lines_1'!$Q$4:$Q$26,0),0)</f>
        <v>Niagara Falls</v>
      </c>
      <c r="E1754" s="344">
        <f ca="1">OFFSET('Zip Code Lines_1'!$W$3,MATCH('Zip Code Lines_1'!C1754,'Zip Code Lines_1'!$Q$4:$Q$26,0),0)</f>
        <v>6.9</v>
      </c>
      <c r="F1754" s="344">
        <f ca="1">OFFSET('Zip Code Lines_1'!$Z$3,MATCH('Zip Code Lines_1'!C1754,'Zip Code Lines_1'!$Q$4:$Q$26,0),0)</f>
        <v>85.2</v>
      </c>
      <c r="G1754" s="342">
        <f ca="1">OFFSET('Zip Code Lines_1'!$AC$3,MATCH('Zip Code Lines_1'!C1754,'Zip Code Lines_1'!$Q$4:$Q$26,0),0)</f>
        <v>18</v>
      </c>
      <c r="H1754" s="342">
        <v>14095</v>
      </c>
    </row>
    <row r="1755" spans="2:8" x14ac:dyDescent="0.25">
      <c r="B1755" s="342">
        <v>14098</v>
      </c>
      <c r="C1755" s="343" t="s">
        <v>561</v>
      </c>
      <c r="D1755" s="343" t="str">
        <f ca="1">OFFSET('Zip Code Lines_1'!$U$3,MATCH('Zip Code Lines_1'!C1755,'Zip Code Lines_1'!$Q$4:$Q$26,0),0)</f>
        <v>Niagara Falls</v>
      </c>
      <c r="E1755" s="344">
        <f ca="1">OFFSET('Zip Code Lines_1'!$W$3,MATCH('Zip Code Lines_1'!C1755,'Zip Code Lines_1'!$Q$4:$Q$26,0),0)</f>
        <v>6.9</v>
      </c>
      <c r="F1755" s="344">
        <f ca="1">OFFSET('Zip Code Lines_1'!$Z$3,MATCH('Zip Code Lines_1'!C1755,'Zip Code Lines_1'!$Q$4:$Q$26,0),0)</f>
        <v>85.2</v>
      </c>
      <c r="G1755" s="342">
        <f ca="1">OFFSET('Zip Code Lines_1'!$AC$3,MATCH('Zip Code Lines_1'!C1755,'Zip Code Lines_1'!$Q$4:$Q$26,0),0)</f>
        <v>18</v>
      </c>
      <c r="H1755" s="342">
        <v>14098</v>
      </c>
    </row>
    <row r="1756" spans="2:8" x14ac:dyDescent="0.25">
      <c r="B1756" s="342">
        <v>14101</v>
      </c>
      <c r="C1756" s="343" t="s">
        <v>546</v>
      </c>
      <c r="D1756" s="343" t="str">
        <f ca="1">OFFSET('Zip Code Lines_1'!$U$3,MATCH('Zip Code Lines_1'!C1756,'Zip Code Lines_1'!$Q$4:$Q$26,0),0)</f>
        <v>Jamestown</v>
      </c>
      <c r="E1756" s="344">
        <f ca="1">OFFSET('Zip Code Lines_1'!$W$3,MATCH('Zip Code Lines_1'!C1756,'Zip Code Lines_1'!$Q$4:$Q$26,0),0)</f>
        <v>4.8</v>
      </c>
      <c r="F1756" s="344">
        <f ca="1">OFFSET('Zip Code Lines_1'!$Z$3,MATCH('Zip Code Lines_1'!C1756,'Zip Code Lines_1'!$Q$4:$Q$26,0),0)</f>
        <v>81.099999999999994</v>
      </c>
      <c r="G1756" s="342">
        <f ca="1">OFFSET('Zip Code Lines_1'!$AC$3,MATCH('Zip Code Lines_1'!C1756,'Zip Code Lines_1'!$Q$4:$Q$26,0),0)</f>
        <v>12</v>
      </c>
      <c r="H1756" s="342">
        <v>14101</v>
      </c>
    </row>
    <row r="1757" spans="2:8" x14ac:dyDescent="0.25">
      <c r="B1757" s="342">
        <v>14102</v>
      </c>
      <c r="C1757" s="343" t="s">
        <v>561</v>
      </c>
      <c r="D1757" s="343" t="str">
        <f ca="1">OFFSET('Zip Code Lines_1'!$U$3,MATCH('Zip Code Lines_1'!C1757,'Zip Code Lines_1'!$Q$4:$Q$26,0),0)</f>
        <v>Niagara Falls</v>
      </c>
      <c r="E1757" s="344">
        <f ca="1">OFFSET('Zip Code Lines_1'!$W$3,MATCH('Zip Code Lines_1'!C1757,'Zip Code Lines_1'!$Q$4:$Q$26,0),0)</f>
        <v>6.9</v>
      </c>
      <c r="F1757" s="344">
        <f ca="1">OFFSET('Zip Code Lines_1'!$Z$3,MATCH('Zip Code Lines_1'!C1757,'Zip Code Lines_1'!$Q$4:$Q$26,0),0)</f>
        <v>85.2</v>
      </c>
      <c r="G1757" s="342">
        <f ca="1">OFFSET('Zip Code Lines_1'!$AC$3,MATCH('Zip Code Lines_1'!C1757,'Zip Code Lines_1'!$Q$4:$Q$26,0),0)</f>
        <v>18</v>
      </c>
      <c r="H1757" s="342">
        <v>14102</v>
      </c>
    </row>
    <row r="1758" spans="2:8" x14ac:dyDescent="0.25">
      <c r="B1758" s="342">
        <v>14103</v>
      </c>
      <c r="C1758" s="343" t="s">
        <v>561</v>
      </c>
      <c r="D1758" s="343" t="str">
        <f ca="1">OFFSET('Zip Code Lines_1'!$U$3,MATCH('Zip Code Lines_1'!C1758,'Zip Code Lines_1'!$Q$4:$Q$26,0),0)</f>
        <v>Niagara Falls</v>
      </c>
      <c r="E1758" s="344">
        <f ca="1">OFFSET('Zip Code Lines_1'!$W$3,MATCH('Zip Code Lines_1'!C1758,'Zip Code Lines_1'!$Q$4:$Q$26,0),0)</f>
        <v>6.9</v>
      </c>
      <c r="F1758" s="344">
        <f ca="1">OFFSET('Zip Code Lines_1'!$Z$3,MATCH('Zip Code Lines_1'!C1758,'Zip Code Lines_1'!$Q$4:$Q$26,0),0)</f>
        <v>85.2</v>
      </c>
      <c r="G1758" s="342">
        <f ca="1">OFFSET('Zip Code Lines_1'!$AC$3,MATCH('Zip Code Lines_1'!C1758,'Zip Code Lines_1'!$Q$4:$Q$26,0),0)</f>
        <v>18</v>
      </c>
      <c r="H1758" s="342">
        <v>14103</v>
      </c>
    </row>
    <row r="1759" spans="2:8" x14ac:dyDescent="0.25">
      <c r="B1759" s="342">
        <v>14105</v>
      </c>
      <c r="C1759" s="343" t="s">
        <v>561</v>
      </c>
      <c r="D1759" s="343" t="str">
        <f ca="1">OFFSET('Zip Code Lines_1'!$U$3,MATCH('Zip Code Lines_1'!C1759,'Zip Code Lines_1'!$Q$4:$Q$26,0),0)</f>
        <v>Niagara Falls</v>
      </c>
      <c r="E1759" s="344">
        <f ca="1">OFFSET('Zip Code Lines_1'!$W$3,MATCH('Zip Code Lines_1'!C1759,'Zip Code Lines_1'!$Q$4:$Q$26,0),0)</f>
        <v>6.9</v>
      </c>
      <c r="F1759" s="344">
        <f ca="1">OFFSET('Zip Code Lines_1'!$Z$3,MATCH('Zip Code Lines_1'!C1759,'Zip Code Lines_1'!$Q$4:$Q$26,0),0)</f>
        <v>85.2</v>
      </c>
      <c r="G1759" s="342">
        <f ca="1">OFFSET('Zip Code Lines_1'!$AC$3,MATCH('Zip Code Lines_1'!C1759,'Zip Code Lines_1'!$Q$4:$Q$26,0),0)</f>
        <v>18</v>
      </c>
      <c r="H1759" s="342">
        <v>14105</v>
      </c>
    </row>
    <row r="1760" spans="2:8" x14ac:dyDescent="0.25">
      <c r="B1760" s="342">
        <v>14107</v>
      </c>
      <c r="C1760" s="343" t="s">
        <v>561</v>
      </c>
      <c r="D1760" s="343" t="str">
        <f ca="1">OFFSET('Zip Code Lines_1'!$U$3,MATCH('Zip Code Lines_1'!C1760,'Zip Code Lines_1'!$Q$4:$Q$26,0),0)</f>
        <v>Niagara Falls</v>
      </c>
      <c r="E1760" s="344">
        <f ca="1">OFFSET('Zip Code Lines_1'!$W$3,MATCH('Zip Code Lines_1'!C1760,'Zip Code Lines_1'!$Q$4:$Q$26,0),0)</f>
        <v>6.9</v>
      </c>
      <c r="F1760" s="344">
        <f ca="1">OFFSET('Zip Code Lines_1'!$Z$3,MATCH('Zip Code Lines_1'!C1760,'Zip Code Lines_1'!$Q$4:$Q$26,0),0)</f>
        <v>85.2</v>
      </c>
      <c r="G1760" s="342">
        <f ca="1">OFFSET('Zip Code Lines_1'!$AC$3,MATCH('Zip Code Lines_1'!C1760,'Zip Code Lines_1'!$Q$4:$Q$26,0),0)</f>
        <v>18</v>
      </c>
      <c r="H1760" s="342">
        <v>14107</v>
      </c>
    </row>
    <row r="1761" spans="2:8" x14ac:dyDescent="0.25">
      <c r="B1761" s="342">
        <v>14108</v>
      </c>
      <c r="C1761" s="343" t="s">
        <v>561</v>
      </c>
      <c r="D1761" s="343" t="str">
        <f ca="1">OFFSET('Zip Code Lines_1'!$U$3,MATCH('Zip Code Lines_1'!C1761,'Zip Code Lines_1'!$Q$4:$Q$26,0),0)</f>
        <v>Niagara Falls</v>
      </c>
      <c r="E1761" s="344">
        <f ca="1">OFFSET('Zip Code Lines_1'!$W$3,MATCH('Zip Code Lines_1'!C1761,'Zip Code Lines_1'!$Q$4:$Q$26,0),0)</f>
        <v>6.9</v>
      </c>
      <c r="F1761" s="344">
        <f ca="1">OFFSET('Zip Code Lines_1'!$Z$3,MATCH('Zip Code Lines_1'!C1761,'Zip Code Lines_1'!$Q$4:$Q$26,0),0)</f>
        <v>85.2</v>
      </c>
      <c r="G1761" s="342">
        <f ca="1">OFFSET('Zip Code Lines_1'!$AC$3,MATCH('Zip Code Lines_1'!C1761,'Zip Code Lines_1'!$Q$4:$Q$26,0),0)</f>
        <v>18</v>
      </c>
      <c r="H1761" s="342">
        <v>14108</v>
      </c>
    </row>
    <row r="1762" spans="2:8" x14ac:dyDescent="0.25">
      <c r="B1762" s="342">
        <v>14109</v>
      </c>
      <c r="C1762" s="343" t="s">
        <v>561</v>
      </c>
      <c r="D1762" s="343" t="str">
        <f ca="1">OFFSET('Zip Code Lines_1'!$U$3,MATCH('Zip Code Lines_1'!C1762,'Zip Code Lines_1'!$Q$4:$Q$26,0),0)</f>
        <v>Niagara Falls</v>
      </c>
      <c r="E1762" s="344">
        <f ca="1">OFFSET('Zip Code Lines_1'!$W$3,MATCH('Zip Code Lines_1'!C1762,'Zip Code Lines_1'!$Q$4:$Q$26,0),0)</f>
        <v>6.9</v>
      </c>
      <c r="F1762" s="344">
        <f ca="1">OFFSET('Zip Code Lines_1'!$Z$3,MATCH('Zip Code Lines_1'!C1762,'Zip Code Lines_1'!$Q$4:$Q$26,0),0)</f>
        <v>85.2</v>
      </c>
      <c r="G1762" s="342">
        <f ca="1">OFFSET('Zip Code Lines_1'!$AC$3,MATCH('Zip Code Lines_1'!C1762,'Zip Code Lines_1'!$Q$4:$Q$26,0),0)</f>
        <v>18</v>
      </c>
      <c r="H1762" s="342">
        <v>14109</v>
      </c>
    </row>
    <row r="1763" spans="2:8" x14ac:dyDescent="0.25">
      <c r="B1763" s="342">
        <v>14110</v>
      </c>
      <c r="C1763" s="343" t="s">
        <v>534</v>
      </c>
      <c r="D1763" s="343" t="str">
        <f ca="1">OFFSET('Zip Code Lines_1'!$U$3,MATCH('Zip Code Lines_1'!C1763,'Zip Code Lines_1'!$Q$4:$Q$26,0),0)</f>
        <v>Buffalo</v>
      </c>
      <c r="E1763" s="344">
        <f ca="1">OFFSET('Zip Code Lines_1'!$W$3,MATCH('Zip Code Lines_1'!C1763,'Zip Code Lines_1'!$Q$4:$Q$26,0),0)</f>
        <v>7.4</v>
      </c>
      <c r="F1763" s="344">
        <f ca="1">OFFSET('Zip Code Lines_1'!$Z$3,MATCH('Zip Code Lines_1'!C1763,'Zip Code Lines_1'!$Q$4:$Q$26,0),0)</f>
        <v>83.9</v>
      </c>
      <c r="G1763" s="342">
        <f ca="1">OFFSET('Zip Code Lines_1'!$AC$3,MATCH('Zip Code Lines_1'!C1763,'Zip Code Lines_1'!$Q$4:$Q$26,0),0)</f>
        <v>18</v>
      </c>
      <c r="H1763" s="342">
        <v>14110</v>
      </c>
    </row>
    <row r="1764" spans="2:8" x14ac:dyDescent="0.25">
      <c r="B1764" s="342">
        <v>14111</v>
      </c>
      <c r="C1764" s="343" t="s">
        <v>534</v>
      </c>
      <c r="D1764" s="343" t="str">
        <f ca="1">OFFSET('Zip Code Lines_1'!$U$3,MATCH('Zip Code Lines_1'!C1764,'Zip Code Lines_1'!$Q$4:$Q$26,0),0)</f>
        <v>Buffalo</v>
      </c>
      <c r="E1764" s="344">
        <f ca="1">OFFSET('Zip Code Lines_1'!$W$3,MATCH('Zip Code Lines_1'!C1764,'Zip Code Lines_1'!$Q$4:$Q$26,0),0)</f>
        <v>7.4</v>
      </c>
      <c r="F1764" s="344">
        <f ca="1">OFFSET('Zip Code Lines_1'!$Z$3,MATCH('Zip Code Lines_1'!C1764,'Zip Code Lines_1'!$Q$4:$Q$26,0),0)</f>
        <v>83.9</v>
      </c>
      <c r="G1764" s="342">
        <f ca="1">OFFSET('Zip Code Lines_1'!$AC$3,MATCH('Zip Code Lines_1'!C1764,'Zip Code Lines_1'!$Q$4:$Q$26,0),0)</f>
        <v>18</v>
      </c>
      <c r="H1764" s="342">
        <v>14111</v>
      </c>
    </row>
    <row r="1765" spans="2:8" x14ac:dyDescent="0.25">
      <c r="B1765" s="342">
        <v>14112</v>
      </c>
      <c r="C1765" s="343" t="s">
        <v>561</v>
      </c>
      <c r="D1765" s="343" t="str">
        <f ca="1">OFFSET('Zip Code Lines_1'!$U$3,MATCH('Zip Code Lines_1'!C1765,'Zip Code Lines_1'!$Q$4:$Q$26,0),0)</f>
        <v>Niagara Falls</v>
      </c>
      <c r="E1765" s="344">
        <f ca="1">OFFSET('Zip Code Lines_1'!$W$3,MATCH('Zip Code Lines_1'!C1765,'Zip Code Lines_1'!$Q$4:$Q$26,0),0)</f>
        <v>6.9</v>
      </c>
      <c r="F1765" s="344">
        <f ca="1">OFFSET('Zip Code Lines_1'!$Z$3,MATCH('Zip Code Lines_1'!C1765,'Zip Code Lines_1'!$Q$4:$Q$26,0),0)</f>
        <v>85.2</v>
      </c>
      <c r="G1765" s="342">
        <f ca="1">OFFSET('Zip Code Lines_1'!$AC$3,MATCH('Zip Code Lines_1'!C1765,'Zip Code Lines_1'!$Q$4:$Q$26,0),0)</f>
        <v>18</v>
      </c>
      <c r="H1765" s="342">
        <v>14112</v>
      </c>
    </row>
    <row r="1766" spans="2:8" x14ac:dyDescent="0.25">
      <c r="B1766" s="342">
        <v>14113</v>
      </c>
      <c r="C1766" s="343" t="s">
        <v>546</v>
      </c>
      <c r="D1766" s="343" t="str">
        <f ca="1">OFFSET('Zip Code Lines_1'!$U$3,MATCH('Zip Code Lines_1'!C1766,'Zip Code Lines_1'!$Q$4:$Q$26,0),0)</f>
        <v>Jamestown</v>
      </c>
      <c r="E1766" s="344">
        <f ca="1">OFFSET('Zip Code Lines_1'!$W$3,MATCH('Zip Code Lines_1'!C1766,'Zip Code Lines_1'!$Q$4:$Q$26,0),0)</f>
        <v>4.8</v>
      </c>
      <c r="F1766" s="344">
        <f ca="1">OFFSET('Zip Code Lines_1'!$Z$3,MATCH('Zip Code Lines_1'!C1766,'Zip Code Lines_1'!$Q$4:$Q$26,0),0)</f>
        <v>81.099999999999994</v>
      </c>
      <c r="G1766" s="342">
        <f ca="1">OFFSET('Zip Code Lines_1'!$AC$3,MATCH('Zip Code Lines_1'!C1766,'Zip Code Lines_1'!$Q$4:$Q$26,0),0)</f>
        <v>12</v>
      </c>
      <c r="H1766" s="342">
        <v>14113</v>
      </c>
    </row>
    <row r="1767" spans="2:8" x14ac:dyDescent="0.25">
      <c r="B1767" s="342">
        <v>14120</v>
      </c>
      <c r="C1767" s="343" t="s">
        <v>561</v>
      </c>
      <c r="D1767" s="343" t="str">
        <f ca="1">OFFSET('Zip Code Lines_1'!$U$3,MATCH('Zip Code Lines_1'!C1767,'Zip Code Lines_1'!$Q$4:$Q$26,0),0)</f>
        <v>Niagara Falls</v>
      </c>
      <c r="E1767" s="344">
        <f ca="1">OFFSET('Zip Code Lines_1'!$W$3,MATCH('Zip Code Lines_1'!C1767,'Zip Code Lines_1'!$Q$4:$Q$26,0),0)</f>
        <v>6.9</v>
      </c>
      <c r="F1767" s="344">
        <f ca="1">OFFSET('Zip Code Lines_1'!$Z$3,MATCH('Zip Code Lines_1'!C1767,'Zip Code Lines_1'!$Q$4:$Q$26,0),0)</f>
        <v>85.2</v>
      </c>
      <c r="G1767" s="342">
        <f ca="1">OFFSET('Zip Code Lines_1'!$AC$3,MATCH('Zip Code Lines_1'!C1767,'Zip Code Lines_1'!$Q$4:$Q$26,0),0)</f>
        <v>18</v>
      </c>
      <c r="H1767" s="342">
        <v>14120</v>
      </c>
    </row>
    <row r="1768" spans="2:8" x14ac:dyDescent="0.25">
      <c r="B1768" s="342">
        <v>14125</v>
      </c>
      <c r="C1768" s="343" t="s">
        <v>561</v>
      </c>
      <c r="D1768" s="343" t="str">
        <f ca="1">OFFSET('Zip Code Lines_1'!$U$3,MATCH('Zip Code Lines_1'!C1768,'Zip Code Lines_1'!$Q$4:$Q$26,0),0)</f>
        <v>Niagara Falls</v>
      </c>
      <c r="E1768" s="344">
        <f ca="1">OFFSET('Zip Code Lines_1'!$W$3,MATCH('Zip Code Lines_1'!C1768,'Zip Code Lines_1'!$Q$4:$Q$26,0),0)</f>
        <v>6.9</v>
      </c>
      <c r="F1768" s="344">
        <f ca="1">OFFSET('Zip Code Lines_1'!$Z$3,MATCH('Zip Code Lines_1'!C1768,'Zip Code Lines_1'!$Q$4:$Q$26,0),0)</f>
        <v>85.2</v>
      </c>
      <c r="G1768" s="342">
        <f ca="1">OFFSET('Zip Code Lines_1'!$AC$3,MATCH('Zip Code Lines_1'!C1768,'Zip Code Lines_1'!$Q$4:$Q$26,0),0)</f>
        <v>18</v>
      </c>
      <c r="H1768" s="342">
        <v>14125</v>
      </c>
    </row>
    <row r="1769" spans="2:8" x14ac:dyDescent="0.25">
      <c r="B1769" s="342">
        <v>14126</v>
      </c>
      <c r="C1769" s="343" t="s">
        <v>561</v>
      </c>
      <c r="D1769" s="343" t="str">
        <f ca="1">OFFSET('Zip Code Lines_1'!$U$3,MATCH('Zip Code Lines_1'!C1769,'Zip Code Lines_1'!$Q$4:$Q$26,0),0)</f>
        <v>Niagara Falls</v>
      </c>
      <c r="E1769" s="344">
        <f ca="1">OFFSET('Zip Code Lines_1'!$W$3,MATCH('Zip Code Lines_1'!C1769,'Zip Code Lines_1'!$Q$4:$Q$26,0),0)</f>
        <v>6.9</v>
      </c>
      <c r="F1769" s="344">
        <f ca="1">OFFSET('Zip Code Lines_1'!$Z$3,MATCH('Zip Code Lines_1'!C1769,'Zip Code Lines_1'!$Q$4:$Q$26,0),0)</f>
        <v>85.2</v>
      </c>
      <c r="G1769" s="342">
        <f ca="1">OFFSET('Zip Code Lines_1'!$AC$3,MATCH('Zip Code Lines_1'!C1769,'Zip Code Lines_1'!$Q$4:$Q$26,0),0)</f>
        <v>18</v>
      </c>
      <c r="H1769" s="342">
        <v>14126</v>
      </c>
    </row>
    <row r="1770" spans="2:8" x14ac:dyDescent="0.25">
      <c r="B1770" s="342">
        <v>14127</v>
      </c>
      <c r="C1770" s="343" t="s">
        <v>534</v>
      </c>
      <c r="D1770" s="343" t="str">
        <f ca="1">OFFSET('Zip Code Lines_1'!$U$3,MATCH('Zip Code Lines_1'!C1770,'Zip Code Lines_1'!$Q$4:$Q$26,0),0)</f>
        <v>Buffalo</v>
      </c>
      <c r="E1770" s="344">
        <f ca="1">OFFSET('Zip Code Lines_1'!$W$3,MATCH('Zip Code Lines_1'!C1770,'Zip Code Lines_1'!$Q$4:$Q$26,0),0)</f>
        <v>7.4</v>
      </c>
      <c r="F1770" s="344">
        <f ca="1">OFFSET('Zip Code Lines_1'!$Z$3,MATCH('Zip Code Lines_1'!C1770,'Zip Code Lines_1'!$Q$4:$Q$26,0),0)</f>
        <v>83.9</v>
      </c>
      <c r="G1770" s="342">
        <f ca="1">OFFSET('Zip Code Lines_1'!$AC$3,MATCH('Zip Code Lines_1'!C1770,'Zip Code Lines_1'!$Q$4:$Q$26,0),0)</f>
        <v>18</v>
      </c>
      <c r="H1770" s="342">
        <v>14127</v>
      </c>
    </row>
    <row r="1771" spans="2:8" x14ac:dyDescent="0.25">
      <c r="B1771" s="342">
        <v>14129</v>
      </c>
      <c r="C1771" s="343" t="s">
        <v>534</v>
      </c>
      <c r="D1771" s="343" t="str">
        <f ca="1">OFFSET('Zip Code Lines_1'!$U$3,MATCH('Zip Code Lines_1'!C1771,'Zip Code Lines_1'!$Q$4:$Q$26,0),0)</f>
        <v>Buffalo</v>
      </c>
      <c r="E1771" s="344">
        <f ca="1">OFFSET('Zip Code Lines_1'!$W$3,MATCH('Zip Code Lines_1'!C1771,'Zip Code Lines_1'!$Q$4:$Q$26,0),0)</f>
        <v>7.4</v>
      </c>
      <c r="F1771" s="344">
        <f ca="1">OFFSET('Zip Code Lines_1'!$Z$3,MATCH('Zip Code Lines_1'!C1771,'Zip Code Lines_1'!$Q$4:$Q$26,0),0)</f>
        <v>83.9</v>
      </c>
      <c r="G1771" s="342">
        <f ca="1">OFFSET('Zip Code Lines_1'!$AC$3,MATCH('Zip Code Lines_1'!C1771,'Zip Code Lines_1'!$Q$4:$Q$26,0),0)</f>
        <v>18</v>
      </c>
      <c r="H1771" s="342">
        <v>14129</v>
      </c>
    </row>
    <row r="1772" spans="2:8" x14ac:dyDescent="0.25">
      <c r="B1772" s="342">
        <v>14130</v>
      </c>
      <c r="C1772" s="343" t="s">
        <v>546</v>
      </c>
      <c r="D1772" s="343" t="str">
        <f ca="1">OFFSET('Zip Code Lines_1'!$U$3,MATCH('Zip Code Lines_1'!C1772,'Zip Code Lines_1'!$Q$4:$Q$26,0),0)</f>
        <v>Jamestown</v>
      </c>
      <c r="E1772" s="344">
        <f ca="1">OFFSET('Zip Code Lines_1'!$W$3,MATCH('Zip Code Lines_1'!C1772,'Zip Code Lines_1'!$Q$4:$Q$26,0),0)</f>
        <v>4.8</v>
      </c>
      <c r="F1772" s="344">
        <f ca="1">OFFSET('Zip Code Lines_1'!$Z$3,MATCH('Zip Code Lines_1'!C1772,'Zip Code Lines_1'!$Q$4:$Q$26,0),0)</f>
        <v>81.099999999999994</v>
      </c>
      <c r="G1772" s="342">
        <f ca="1">OFFSET('Zip Code Lines_1'!$AC$3,MATCH('Zip Code Lines_1'!C1772,'Zip Code Lines_1'!$Q$4:$Q$26,0),0)</f>
        <v>12</v>
      </c>
      <c r="H1772" s="342">
        <v>14130</v>
      </c>
    </row>
    <row r="1773" spans="2:8" x14ac:dyDescent="0.25">
      <c r="B1773" s="342">
        <v>14131</v>
      </c>
      <c r="C1773" s="343" t="s">
        <v>561</v>
      </c>
      <c r="D1773" s="343" t="str">
        <f ca="1">OFFSET('Zip Code Lines_1'!$U$3,MATCH('Zip Code Lines_1'!C1773,'Zip Code Lines_1'!$Q$4:$Q$26,0),0)</f>
        <v>Niagara Falls</v>
      </c>
      <c r="E1773" s="344">
        <f ca="1">OFFSET('Zip Code Lines_1'!$W$3,MATCH('Zip Code Lines_1'!C1773,'Zip Code Lines_1'!$Q$4:$Q$26,0),0)</f>
        <v>6.9</v>
      </c>
      <c r="F1773" s="344">
        <f ca="1">OFFSET('Zip Code Lines_1'!$Z$3,MATCH('Zip Code Lines_1'!C1773,'Zip Code Lines_1'!$Q$4:$Q$26,0),0)</f>
        <v>85.2</v>
      </c>
      <c r="G1773" s="342">
        <f ca="1">OFFSET('Zip Code Lines_1'!$AC$3,MATCH('Zip Code Lines_1'!C1773,'Zip Code Lines_1'!$Q$4:$Q$26,0),0)</f>
        <v>18</v>
      </c>
      <c r="H1773" s="342">
        <v>14131</v>
      </c>
    </row>
    <row r="1774" spans="2:8" x14ac:dyDescent="0.25">
      <c r="B1774" s="342">
        <v>14132</v>
      </c>
      <c r="C1774" s="343" t="s">
        <v>561</v>
      </c>
      <c r="D1774" s="343" t="str">
        <f ca="1">OFFSET('Zip Code Lines_1'!$U$3,MATCH('Zip Code Lines_1'!C1774,'Zip Code Lines_1'!$Q$4:$Q$26,0),0)</f>
        <v>Niagara Falls</v>
      </c>
      <c r="E1774" s="344">
        <f ca="1">OFFSET('Zip Code Lines_1'!$W$3,MATCH('Zip Code Lines_1'!C1774,'Zip Code Lines_1'!$Q$4:$Q$26,0),0)</f>
        <v>6.9</v>
      </c>
      <c r="F1774" s="344">
        <f ca="1">OFFSET('Zip Code Lines_1'!$Z$3,MATCH('Zip Code Lines_1'!C1774,'Zip Code Lines_1'!$Q$4:$Q$26,0),0)</f>
        <v>85.2</v>
      </c>
      <c r="G1774" s="342">
        <f ca="1">OFFSET('Zip Code Lines_1'!$AC$3,MATCH('Zip Code Lines_1'!C1774,'Zip Code Lines_1'!$Q$4:$Q$26,0),0)</f>
        <v>18</v>
      </c>
      <c r="H1774" s="342">
        <v>14132</v>
      </c>
    </row>
    <row r="1775" spans="2:8" x14ac:dyDescent="0.25">
      <c r="B1775" s="342">
        <v>14133</v>
      </c>
      <c r="C1775" s="343" t="s">
        <v>546</v>
      </c>
      <c r="D1775" s="343" t="str">
        <f ca="1">OFFSET('Zip Code Lines_1'!$U$3,MATCH('Zip Code Lines_1'!C1775,'Zip Code Lines_1'!$Q$4:$Q$26,0),0)</f>
        <v>Jamestown</v>
      </c>
      <c r="E1775" s="344">
        <f ca="1">OFFSET('Zip Code Lines_1'!$W$3,MATCH('Zip Code Lines_1'!C1775,'Zip Code Lines_1'!$Q$4:$Q$26,0),0)</f>
        <v>4.8</v>
      </c>
      <c r="F1775" s="344">
        <f ca="1">OFFSET('Zip Code Lines_1'!$Z$3,MATCH('Zip Code Lines_1'!C1775,'Zip Code Lines_1'!$Q$4:$Q$26,0),0)</f>
        <v>81.099999999999994</v>
      </c>
      <c r="G1775" s="342">
        <f ca="1">OFFSET('Zip Code Lines_1'!$AC$3,MATCH('Zip Code Lines_1'!C1775,'Zip Code Lines_1'!$Q$4:$Q$26,0),0)</f>
        <v>12</v>
      </c>
      <c r="H1775" s="342">
        <v>14133</v>
      </c>
    </row>
    <row r="1776" spans="2:8" x14ac:dyDescent="0.25">
      <c r="B1776" s="342">
        <v>14134</v>
      </c>
      <c r="C1776" s="343" t="s">
        <v>546</v>
      </c>
      <c r="D1776" s="343" t="str">
        <f ca="1">OFFSET('Zip Code Lines_1'!$U$3,MATCH('Zip Code Lines_1'!C1776,'Zip Code Lines_1'!$Q$4:$Q$26,0),0)</f>
        <v>Jamestown</v>
      </c>
      <c r="E1776" s="344">
        <f ca="1">OFFSET('Zip Code Lines_1'!$W$3,MATCH('Zip Code Lines_1'!C1776,'Zip Code Lines_1'!$Q$4:$Q$26,0),0)</f>
        <v>4.8</v>
      </c>
      <c r="F1776" s="344">
        <f ca="1">OFFSET('Zip Code Lines_1'!$Z$3,MATCH('Zip Code Lines_1'!C1776,'Zip Code Lines_1'!$Q$4:$Q$26,0),0)</f>
        <v>81.099999999999994</v>
      </c>
      <c r="G1776" s="342">
        <f ca="1">OFFSET('Zip Code Lines_1'!$AC$3,MATCH('Zip Code Lines_1'!C1776,'Zip Code Lines_1'!$Q$4:$Q$26,0),0)</f>
        <v>12</v>
      </c>
      <c r="H1776" s="342">
        <v>14134</v>
      </c>
    </row>
    <row r="1777" spans="2:8" x14ac:dyDescent="0.25">
      <c r="B1777" s="342">
        <v>14135</v>
      </c>
      <c r="C1777" s="343" t="s">
        <v>561</v>
      </c>
      <c r="D1777" s="343" t="str">
        <f ca="1">OFFSET('Zip Code Lines_1'!$U$3,MATCH('Zip Code Lines_1'!C1777,'Zip Code Lines_1'!$Q$4:$Q$26,0),0)</f>
        <v>Niagara Falls</v>
      </c>
      <c r="E1777" s="344">
        <f ca="1">OFFSET('Zip Code Lines_1'!$W$3,MATCH('Zip Code Lines_1'!C1777,'Zip Code Lines_1'!$Q$4:$Q$26,0),0)</f>
        <v>6.9</v>
      </c>
      <c r="F1777" s="344">
        <f ca="1">OFFSET('Zip Code Lines_1'!$Z$3,MATCH('Zip Code Lines_1'!C1777,'Zip Code Lines_1'!$Q$4:$Q$26,0),0)</f>
        <v>85.2</v>
      </c>
      <c r="G1777" s="342">
        <f ca="1">OFFSET('Zip Code Lines_1'!$AC$3,MATCH('Zip Code Lines_1'!C1777,'Zip Code Lines_1'!$Q$4:$Q$26,0),0)</f>
        <v>18</v>
      </c>
      <c r="H1777" s="342">
        <v>14135</v>
      </c>
    </row>
    <row r="1778" spans="2:8" x14ac:dyDescent="0.25">
      <c r="B1778" s="342">
        <v>14136</v>
      </c>
      <c r="C1778" s="343" t="s">
        <v>561</v>
      </c>
      <c r="D1778" s="343" t="str">
        <f ca="1">OFFSET('Zip Code Lines_1'!$U$3,MATCH('Zip Code Lines_1'!C1778,'Zip Code Lines_1'!$Q$4:$Q$26,0),0)</f>
        <v>Niagara Falls</v>
      </c>
      <c r="E1778" s="344">
        <f ca="1">OFFSET('Zip Code Lines_1'!$W$3,MATCH('Zip Code Lines_1'!C1778,'Zip Code Lines_1'!$Q$4:$Q$26,0),0)</f>
        <v>6.9</v>
      </c>
      <c r="F1778" s="344">
        <f ca="1">OFFSET('Zip Code Lines_1'!$Z$3,MATCH('Zip Code Lines_1'!C1778,'Zip Code Lines_1'!$Q$4:$Q$26,0),0)</f>
        <v>85.2</v>
      </c>
      <c r="G1778" s="342">
        <f ca="1">OFFSET('Zip Code Lines_1'!$AC$3,MATCH('Zip Code Lines_1'!C1778,'Zip Code Lines_1'!$Q$4:$Q$26,0),0)</f>
        <v>18</v>
      </c>
      <c r="H1778" s="342">
        <v>14136</v>
      </c>
    </row>
    <row r="1779" spans="2:8" x14ac:dyDescent="0.25">
      <c r="B1779" s="342">
        <v>14138</v>
      </c>
      <c r="C1779" s="343" t="s">
        <v>534</v>
      </c>
      <c r="D1779" s="343" t="str">
        <f ca="1">OFFSET('Zip Code Lines_1'!$U$3,MATCH('Zip Code Lines_1'!C1779,'Zip Code Lines_1'!$Q$4:$Q$26,0),0)</f>
        <v>Buffalo</v>
      </c>
      <c r="E1779" s="344">
        <f ca="1">OFFSET('Zip Code Lines_1'!$W$3,MATCH('Zip Code Lines_1'!C1779,'Zip Code Lines_1'!$Q$4:$Q$26,0),0)</f>
        <v>7.4</v>
      </c>
      <c r="F1779" s="344">
        <f ca="1">OFFSET('Zip Code Lines_1'!$Z$3,MATCH('Zip Code Lines_1'!C1779,'Zip Code Lines_1'!$Q$4:$Q$26,0),0)</f>
        <v>83.9</v>
      </c>
      <c r="G1779" s="342">
        <f ca="1">OFFSET('Zip Code Lines_1'!$AC$3,MATCH('Zip Code Lines_1'!C1779,'Zip Code Lines_1'!$Q$4:$Q$26,0),0)</f>
        <v>18</v>
      </c>
      <c r="H1779" s="342">
        <v>14138</v>
      </c>
    </row>
    <row r="1780" spans="2:8" x14ac:dyDescent="0.25">
      <c r="B1780" s="342">
        <v>14139</v>
      </c>
      <c r="C1780" s="343" t="s">
        <v>534</v>
      </c>
      <c r="D1780" s="343" t="str">
        <f ca="1">OFFSET('Zip Code Lines_1'!$U$3,MATCH('Zip Code Lines_1'!C1780,'Zip Code Lines_1'!$Q$4:$Q$26,0),0)</f>
        <v>Buffalo</v>
      </c>
      <c r="E1780" s="344">
        <f ca="1">OFFSET('Zip Code Lines_1'!$W$3,MATCH('Zip Code Lines_1'!C1780,'Zip Code Lines_1'!$Q$4:$Q$26,0),0)</f>
        <v>7.4</v>
      </c>
      <c r="F1780" s="344">
        <f ca="1">OFFSET('Zip Code Lines_1'!$Z$3,MATCH('Zip Code Lines_1'!C1780,'Zip Code Lines_1'!$Q$4:$Q$26,0),0)</f>
        <v>83.9</v>
      </c>
      <c r="G1780" s="342">
        <f ca="1">OFFSET('Zip Code Lines_1'!$AC$3,MATCH('Zip Code Lines_1'!C1780,'Zip Code Lines_1'!$Q$4:$Q$26,0),0)</f>
        <v>18</v>
      </c>
      <c r="H1780" s="342">
        <v>14139</v>
      </c>
    </row>
    <row r="1781" spans="2:8" x14ac:dyDescent="0.25">
      <c r="B1781" s="342">
        <v>14140</v>
      </c>
      <c r="C1781" s="343" t="s">
        <v>534</v>
      </c>
      <c r="D1781" s="343" t="str">
        <f ca="1">OFFSET('Zip Code Lines_1'!$U$3,MATCH('Zip Code Lines_1'!C1781,'Zip Code Lines_1'!$Q$4:$Q$26,0),0)</f>
        <v>Buffalo</v>
      </c>
      <c r="E1781" s="344">
        <f ca="1">OFFSET('Zip Code Lines_1'!$W$3,MATCH('Zip Code Lines_1'!C1781,'Zip Code Lines_1'!$Q$4:$Q$26,0),0)</f>
        <v>7.4</v>
      </c>
      <c r="F1781" s="344">
        <f ca="1">OFFSET('Zip Code Lines_1'!$Z$3,MATCH('Zip Code Lines_1'!C1781,'Zip Code Lines_1'!$Q$4:$Q$26,0),0)</f>
        <v>83.9</v>
      </c>
      <c r="G1781" s="342">
        <f ca="1">OFFSET('Zip Code Lines_1'!$AC$3,MATCH('Zip Code Lines_1'!C1781,'Zip Code Lines_1'!$Q$4:$Q$26,0),0)</f>
        <v>18</v>
      </c>
      <c r="H1781" s="342">
        <v>14140</v>
      </c>
    </row>
    <row r="1782" spans="2:8" x14ac:dyDescent="0.25">
      <c r="B1782" s="342">
        <v>14141</v>
      </c>
      <c r="C1782" s="343" t="s">
        <v>546</v>
      </c>
      <c r="D1782" s="343" t="str">
        <f ca="1">OFFSET('Zip Code Lines_1'!$U$3,MATCH('Zip Code Lines_1'!C1782,'Zip Code Lines_1'!$Q$4:$Q$26,0),0)</f>
        <v>Jamestown</v>
      </c>
      <c r="E1782" s="344">
        <f ca="1">OFFSET('Zip Code Lines_1'!$W$3,MATCH('Zip Code Lines_1'!C1782,'Zip Code Lines_1'!$Q$4:$Q$26,0),0)</f>
        <v>4.8</v>
      </c>
      <c r="F1782" s="344">
        <f ca="1">OFFSET('Zip Code Lines_1'!$Z$3,MATCH('Zip Code Lines_1'!C1782,'Zip Code Lines_1'!$Q$4:$Q$26,0),0)</f>
        <v>81.099999999999994</v>
      </c>
      <c r="G1782" s="342">
        <f ca="1">OFFSET('Zip Code Lines_1'!$AC$3,MATCH('Zip Code Lines_1'!C1782,'Zip Code Lines_1'!$Q$4:$Q$26,0),0)</f>
        <v>12</v>
      </c>
      <c r="H1782" s="342">
        <v>14141</v>
      </c>
    </row>
    <row r="1783" spans="2:8" x14ac:dyDescent="0.25">
      <c r="B1783" s="342">
        <v>14143</v>
      </c>
      <c r="C1783" s="343" t="s">
        <v>534</v>
      </c>
      <c r="D1783" s="343" t="str">
        <f ca="1">OFFSET('Zip Code Lines_1'!$U$3,MATCH('Zip Code Lines_1'!C1783,'Zip Code Lines_1'!$Q$4:$Q$26,0),0)</f>
        <v>Buffalo</v>
      </c>
      <c r="E1783" s="344">
        <f ca="1">OFFSET('Zip Code Lines_1'!$W$3,MATCH('Zip Code Lines_1'!C1783,'Zip Code Lines_1'!$Q$4:$Q$26,0),0)</f>
        <v>7.4</v>
      </c>
      <c r="F1783" s="344">
        <f ca="1">OFFSET('Zip Code Lines_1'!$Z$3,MATCH('Zip Code Lines_1'!C1783,'Zip Code Lines_1'!$Q$4:$Q$26,0),0)</f>
        <v>83.9</v>
      </c>
      <c r="G1783" s="342">
        <f ca="1">OFFSET('Zip Code Lines_1'!$AC$3,MATCH('Zip Code Lines_1'!C1783,'Zip Code Lines_1'!$Q$4:$Q$26,0),0)</f>
        <v>18</v>
      </c>
      <c r="H1783" s="342">
        <v>14143</v>
      </c>
    </row>
    <row r="1784" spans="2:8" x14ac:dyDescent="0.25">
      <c r="B1784" s="342">
        <v>14144</v>
      </c>
      <c r="C1784" s="343" t="s">
        <v>561</v>
      </c>
      <c r="D1784" s="343" t="str">
        <f ca="1">OFFSET('Zip Code Lines_1'!$U$3,MATCH('Zip Code Lines_1'!C1784,'Zip Code Lines_1'!$Q$4:$Q$26,0),0)</f>
        <v>Niagara Falls</v>
      </c>
      <c r="E1784" s="344">
        <f ca="1">OFFSET('Zip Code Lines_1'!$W$3,MATCH('Zip Code Lines_1'!C1784,'Zip Code Lines_1'!$Q$4:$Q$26,0),0)</f>
        <v>6.9</v>
      </c>
      <c r="F1784" s="344">
        <f ca="1">OFFSET('Zip Code Lines_1'!$Z$3,MATCH('Zip Code Lines_1'!C1784,'Zip Code Lines_1'!$Q$4:$Q$26,0),0)</f>
        <v>85.2</v>
      </c>
      <c r="G1784" s="342">
        <f ca="1">OFFSET('Zip Code Lines_1'!$AC$3,MATCH('Zip Code Lines_1'!C1784,'Zip Code Lines_1'!$Q$4:$Q$26,0),0)</f>
        <v>18</v>
      </c>
      <c r="H1784" s="342">
        <v>14144</v>
      </c>
    </row>
    <row r="1785" spans="2:8" x14ac:dyDescent="0.25">
      <c r="B1785" s="342">
        <v>14145</v>
      </c>
      <c r="C1785" s="343" t="s">
        <v>534</v>
      </c>
      <c r="D1785" s="343" t="str">
        <f ca="1">OFFSET('Zip Code Lines_1'!$U$3,MATCH('Zip Code Lines_1'!C1785,'Zip Code Lines_1'!$Q$4:$Q$26,0),0)</f>
        <v>Buffalo</v>
      </c>
      <c r="E1785" s="344">
        <f ca="1">OFFSET('Zip Code Lines_1'!$W$3,MATCH('Zip Code Lines_1'!C1785,'Zip Code Lines_1'!$Q$4:$Q$26,0),0)</f>
        <v>7.4</v>
      </c>
      <c r="F1785" s="344">
        <f ca="1">OFFSET('Zip Code Lines_1'!$Z$3,MATCH('Zip Code Lines_1'!C1785,'Zip Code Lines_1'!$Q$4:$Q$26,0),0)</f>
        <v>83.9</v>
      </c>
      <c r="G1785" s="342">
        <f ca="1">OFFSET('Zip Code Lines_1'!$AC$3,MATCH('Zip Code Lines_1'!C1785,'Zip Code Lines_1'!$Q$4:$Q$26,0),0)</f>
        <v>18</v>
      </c>
      <c r="H1785" s="342">
        <v>14145</v>
      </c>
    </row>
    <row r="1786" spans="2:8" x14ac:dyDescent="0.25">
      <c r="B1786" s="342">
        <v>14150</v>
      </c>
      <c r="C1786" s="343" t="s">
        <v>561</v>
      </c>
      <c r="D1786" s="343" t="str">
        <f ca="1">OFFSET('Zip Code Lines_1'!$U$3,MATCH('Zip Code Lines_1'!C1786,'Zip Code Lines_1'!$Q$4:$Q$26,0),0)</f>
        <v>Niagara Falls</v>
      </c>
      <c r="E1786" s="344">
        <f ca="1">OFFSET('Zip Code Lines_1'!$W$3,MATCH('Zip Code Lines_1'!C1786,'Zip Code Lines_1'!$Q$4:$Q$26,0),0)</f>
        <v>6.9</v>
      </c>
      <c r="F1786" s="344">
        <f ca="1">OFFSET('Zip Code Lines_1'!$Z$3,MATCH('Zip Code Lines_1'!C1786,'Zip Code Lines_1'!$Q$4:$Q$26,0),0)</f>
        <v>85.2</v>
      </c>
      <c r="G1786" s="342">
        <f ca="1">OFFSET('Zip Code Lines_1'!$AC$3,MATCH('Zip Code Lines_1'!C1786,'Zip Code Lines_1'!$Q$4:$Q$26,0),0)</f>
        <v>18</v>
      </c>
      <c r="H1786" s="342">
        <v>14150</v>
      </c>
    </row>
    <row r="1787" spans="2:8" x14ac:dyDescent="0.25">
      <c r="B1787" s="342">
        <v>14151</v>
      </c>
      <c r="C1787" s="343" t="s">
        <v>561</v>
      </c>
      <c r="D1787" s="343" t="str">
        <f ca="1">OFFSET('Zip Code Lines_1'!$U$3,MATCH('Zip Code Lines_1'!C1787,'Zip Code Lines_1'!$Q$4:$Q$26,0),0)</f>
        <v>Niagara Falls</v>
      </c>
      <c r="E1787" s="344">
        <f ca="1">OFFSET('Zip Code Lines_1'!$W$3,MATCH('Zip Code Lines_1'!C1787,'Zip Code Lines_1'!$Q$4:$Q$26,0),0)</f>
        <v>6.9</v>
      </c>
      <c r="F1787" s="344">
        <f ca="1">OFFSET('Zip Code Lines_1'!$Z$3,MATCH('Zip Code Lines_1'!C1787,'Zip Code Lines_1'!$Q$4:$Q$26,0),0)</f>
        <v>85.2</v>
      </c>
      <c r="G1787" s="342">
        <f ca="1">OFFSET('Zip Code Lines_1'!$AC$3,MATCH('Zip Code Lines_1'!C1787,'Zip Code Lines_1'!$Q$4:$Q$26,0),0)</f>
        <v>18</v>
      </c>
      <c r="H1787" s="342">
        <v>14151</v>
      </c>
    </row>
    <row r="1788" spans="2:8" x14ac:dyDescent="0.25">
      <c r="B1788" s="342">
        <v>14166</v>
      </c>
      <c r="C1788" s="343" t="s">
        <v>561</v>
      </c>
      <c r="D1788" s="343" t="str">
        <f ca="1">OFFSET('Zip Code Lines_1'!$U$3,MATCH('Zip Code Lines_1'!C1788,'Zip Code Lines_1'!$Q$4:$Q$26,0),0)</f>
        <v>Niagara Falls</v>
      </c>
      <c r="E1788" s="344">
        <f ca="1">OFFSET('Zip Code Lines_1'!$W$3,MATCH('Zip Code Lines_1'!C1788,'Zip Code Lines_1'!$Q$4:$Q$26,0),0)</f>
        <v>6.9</v>
      </c>
      <c r="F1788" s="344">
        <f ca="1">OFFSET('Zip Code Lines_1'!$Z$3,MATCH('Zip Code Lines_1'!C1788,'Zip Code Lines_1'!$Q$4:$Q$26,0),0)</f>
        <v>85.2</v>
      </c>
      <c r="G1788" s="342">
        <f ca="1">OFFSET('Zip Code Lines_1'!$AC$3,MATCH('Zip Code Lines_1'!C1788,'Zip Code Lines_1'!$Q$4:$Q$26,0),0)</f>
        <v>18</v>
      </c>
      <c r="H1788" s="342">
        <v>14166</v>
      </c>
    </row>
    <row r="1789" spans="2:8" x14ac:dyDescent="0.25">
      <c r="B1789" s="342">
        <v>14167</v>
      </c>
      <c r="C1789" s="343" t="s">
        <v>546</v>
      </c>
      <c r="D1789" s="343" t="str">
        <f ca="1">OFFSET('Zip Code Lines_1'!$U$3,MATCH('Zip Code Lines_1'!C1789,'Zip Code Lines_1'!$Q$4:$Q$26,0),0)</f>
        <v>Jamestown</v>
      </c>
      <c r="E1789" s="344">
        <f ca="1">OFFSET('Zip Code Lines_1'!$W$3,MATCH('Zip Code Lines_1'!C1789,'Zip Code Lines_1'!$Q$4:$Q$26,0),0)</f>
        <v>4.8</v>
      </c>
      <c r="F1789" s="344">
        <f ca="1">OFFSET('Zip Code Lines_1'!$Z$3,MATCH('Zip Code Lines_1'!C1789,'Zip Code Lines_1'!$Q$4:$Q$26,0),0)</f>
        <v>81.099999999999994</v>
      </c>
      <c r="G1789" s="342">
        <f ca="1">OFFSET('Zip Code Lines_1'!$AC$3,MATCH('Zip Code Lines_1'!C1789,'Zip Code Lines_1'!$Q$4:$Q$26,0),0)</f>
        <v>12</v>
      </c>
      <c r="H1789" s="342">
        <v>14167</v>
      </c>
    </row>
    <row r="1790" spans="2:8" x14ac:dyDescent="0.25">
      <c r="B1790" s="342">
        <v>14168</v>
      </c>
      <c r="C1790" s="343" t="s">
        <v>561</v>
      </c>
      <c r="D1790" s="343" t="str">
        <f ca="1">OFFSET('Zip Code Lines_1'!$U$3,MATCH('Zip Code Lines_1'!C1790,'Zip Code Lines_1'!$Q$4:$Q$26,0),0)</f>
        <v>Niagara Falls</v>
      </c>
      <c r="E1790" s="344">
        <f ca="1">OFFSET('Zip Code Lines_1'!$W$3,MATCH('Zip Code Lines_1'!C1790,'Zip Code Lines_1'!$Q$4:$Q$26,0),0)</f>
        <v>6.9</v>
      </c>
      <c r="F1790" s="344">
        <f ca="1">OFFSET('Zip Code Lines_1'!$Z$3,MATCH('Zip Code Lines_1'!C1790,'Zip Code Lines_1'!$Q$4:$Q$26,0),0)</f>
        <v>85.2</v>
      </c>
      <c r="G1790" s="342">
        <f ca="1">OFFSET('Zip Code Lines_1'!$AC$3,MATCH('Zip Code Lines_1'!C1790,'Zip Code Lines_1'!$Q$4:$Q$26,0),0)</f>
        <v>18</v>
      </c>
      <c r="H1790" s="342">
        <v>14168</v>
      </c>
    </row>
    <row r="1791" spans="2:8" x14ac:dyDescent="0.25">
      <c r="B1791" s="342">
        <v>14169</v>
      </c>
      <c r="C1791" s="343" t="s">
        <v>561</v>
      </c>
      <c r="D1791" s="343" t="str">
        <f ca="1">OFFSET('Zip Code Lines_1'!$U$3,MATCH('Zip Code Lines_1'!C1791,'Zip Code Lines_1'!$Q$4:$Q$26,0),0)</f>
        <v>Niagara Falls</v>
      </c>
      <c r="E1791" s="344">
        <f ca="1">OFFSET('Zip Code Lines_1'!$W$3,MATCH('Zip Code Lines_1'!C1791,'Zip Code Lines_1'!$Q$4:$Q$26,0),0)</f>
        <v>6.9</v>
      </c>
      <c r="F1791" s="344">
        <f ca="1">OFFSET('Zip Code Lines_1'!$Z$3,MATCH('Zip Code Lines_1'!C1791,'Zip Code Lines_1'!$Q$4:$Q$26,0),0)</f>
        <v>85.2</v>
      </c>
      <c r="G1791" s="342">
        <f ca="1">OFFSET('Zip Code Lines_1'!$AC$3,MATCH('Zip Code Lines_1'!C1791,'Zip Code Lines_1'!$Q$4:$Q$26,0),0)</f>
        <v>18</v>
      </c>
      <c r="H1791" s="342">
        <v>14169</v>
      </c>
    </row>
    <row r="1792" spans="2:8" x14ac:dyDescent="0.25">
      <c r="B1792" s="342">
        <v>14170</v>
      </c>
      <c r="C1792" s="343" t="s">
        <v>534</v>
      </c>
      <c r="D1792" s="343" t="str">
        <f ca="1">OFFSET('Zip Code Lines_1'!$U$3,MATCH('Zip Code Lines_1'!C1792,'Zip Code Lines_1'!$Q$4:$Q$26,0),0)</f>
        <v>Buffalo</v>
      </c>
      <c r="E1792" s="344">
        <f ca="1">OFFSET('Zip Code Lines_1'!$W$3,MATCH('Zip Code Lines_1'!C1792,'Zip Code Lines_1'!$Q$4:$Q$26,0),0)</f>
        <v>7.4</v>
      </c>
      <c r="F1792" s="344">
        <f ca="1">OFFSET('Zip Code Lines_1'!$Z$3,MATCH('Zip Code Lines_1'!C1792,'Zip Code Lines_1'!$Q$4:$Q$26,0),0)</f>
        <v>83.9</v>
      </c>
      <c r="G1792" s="342">
        <f ca="1">OFFSET('Zip Code Lines_1'!$AC$3,MATCH('Zip Code Lines_1'!C1792,'Zip Code Lines_1'!$Q$4:$Q$26,0),0)</f>
        <v>18</v>
      </c>
      <c r="H1792" s="342">
        <v>14170</v>
      </c>
    </row>
    <row r="1793" spans="2:8" x14ac:dyDescent="0.25">
      <c r="B1793" s="342">
        <v>14171</v>
      </c>
      <c r="C1793" s="343" t="s">
        <v>546</v>
      </c>
      <c r="D1793" s="343" t="str">
        <f ca="1">OFFSET('Zip Code Lines_1'!$U$3,MATCH('Zip Code Lines_1'!C1793,'Zip Code Lines_1'!$Q$4:$Q$26,0),0)</f>
        <v>Jamestown</v>
      </c>
      <c r="E1793" s="344">
        <f ca="1">OFFSET('Zip Code Lines_1'!$W$3,MATCH('Zip Code Lines_1'!C1793,'Zip Code Lines_1'!$Q$4:$Q$26,0),0)</f>
        <v>4.8</v>
      </c>
      <c r="F1793" s="344">
        <f ca="1">OFFSET('Zip Code Lines_1'!$Z$3,MATCH('Zip Code Lines_1'!C1793,'Zip Code Lines_1'!$Q$4:$Q$26,0),0)</f>
        <v>81.099999999999994</v>
      </c>
      <c r="G1793" s="342">
        <f ca="1">OFFSET('Zip Code Lines_1'!$AC$3,MATCH('Zip Code Lines_1'!C1793,'Zip Code Lines_1'!$Q$4:$Q$26,0),0)</f>
        <v>12</v>
      </c>
      <c r="H1793" s="342">
        <v>14171</v>
      </c>
    </row>
    <row r="1794" spans="2:8" x14ac:dyDescent="0.25">
      <c r="B1794" s="342">
        <v>14172</v>
      </c>
      <c r="C1794" s="343" t="s">
        <v>561</v>
      </c>
      <c r="D1794" s="343" t="str">
        <f ca="1">OFFSET('Zip Code Lines_1'!$U$3,MATCH('Zip Code Lines_1'!C1794,'Zip Code Lines_1'!$Q$4:$Q$26,0),0)</f>
        <v>Niagara Falls</v>
      </c>
      <c r="E1794" s="344">
        <f ca="1">OFFSET('Zip Code Lines_1'!$W$3,MATCH('Zip Code Lines_1'!C1794,'Zip Code Lines_1'!$Q$4:$Q$26,0),0)</f>
        <v>6.9</v>
      </c>
      <c r="F1794" s="344">
        <f ca="1">OFFSET('Zip Code Lines_1'!$Z$3,MATCH('Zip Code Lines_1'!C1794,'Zip Code Lines_1'!$Q$4:$Q$26,0),0)</f>
        <v>85.2</v>
      </c>
      <c r="G1794" s="342">
        <f ca="1">OFFSET('Zip Code Lines_1'!$AC$3,MATCH('Zip Code Lines_1'!C1794,'Zip Code Lines_1'!$Q$4:$Q$26,0),0)</f>
        <v>18</v>
      </c>
      <c r="H1794" s="342">
        <v>14172</v>
      </c>
    </row>
    <row r="1795" spans="2:8" x14ac:dyDescent="0.25">
      <c r="B1795" s="342">
        <v>14173</v>
      </c>
      <c r="C1795" s="343" t="s">
        <v>546</v>
      </c>
      <c r="D1795" s="343" t="str">
        <f ca="1">OFFSET('Zip Code Lines_1'!$U$3,MATCH('Zip Code Lines_1'!C1795,'Zip Code Lines_1'!$Q$4:$Q$26,0),0)</f>
        <v>Jamestown</v>
      </c>
      <c r="E1795" s="344">
        <f ca="1">OFFSET('Zip Code Lines_1'!$W$3,MATCH('Zip Code Lines_1'!C1795,'Zip Code Lines_1'!$Q$4:$Q$26,0),0)</f>
        <v>4.8</v>
      </c>
      <c r="F1795" s="344">
        <f ca="1">OFFSET('Zip Code Lines_1'!$Z$3,MATCH('Zip Code Lines_1'!C1795,'Zip Code Lines_1'!$Q$4:$Q$26,0),0)</f>
        <v>81.099999999999994</v>
      </c>
      <c r="G1795" s="342">
        <f ca="1">OFFSET('Zip Code Lines_1'!$AC$3,MATCH('Zip Code Lines_1'!C1795,'Zip Code Lines_1'!$Q$4:$Q$26,0),0)</f>
        <v>12</v>
      </c>
      <c r="H1795" s="342">
        <v>14173</v>
      </c>
    </row>
    <row r="1796" spans="2:8" x14ac:dyDescent="0.25">
      <c r="B1796" s="342">
        <v>14174</v>
      </c>
      <c r="C1796" s="343" t="s">
        <v>561</v>
      </c>
      <c r="D1796" s="343" t="str">
        <f ca="1">OFFSET('Zip Code Lines_1'!$U$3,MATCH('Zip Code Lines_1'!C1796,'Zip Code Lines_1'!$Q$4:$Q$26,0),0)</f>
        <v>Niagara Falls</v>
      </c>
      <c r="E1796" s="344">
        <f ca="1">OFFSET('Zip Code Lines_1'!$W$3,MATCH('Zip Code Lines_1'!C1796,'Zip Code Lines_1'!$Q$4:$Q$26,0),0)</f>
        <v>6.9</v>
      </c>
      <c r="F1796" s="344">
        <f ca="1">OFFSET('Zip Code Lines_1'!$Z$3,MATCH('Zip Code Lines_1'!C1796,'Zip Code Lines_1'!$Q$4:$Q$26,0),0)</f>
        <v>85.2</v>
      </c>
      <c r="G1796" s="342">
        <f ca="1">OFFSET('Zip Code Lines_1'!$AC$3,MATCH('Zip Code Lines_1'!C1796,'Zip Code Lines_1'!$Q$4:$Q$26,0),0)</f>
        <v>18</v>
      </c>
      <c r="H1796" s="342">
        <v>14174</v>
      </c>
    </row>
    <row r="1797" spans="2:8" x14ac:dyDescent="0.25">
      <c r="B1797" s="342">
        <v>14201</v>
      </c>
      <c r="C1797" s="343" t="s">
        <v>561</v>
      </c>
      <c r="D1797" s="343" t="str">
        <f ca="1">OFFSET('Zip Code Lines_1'!$U$3,MATCH('Zip Code Lines_1'!C1797,'Zip Code Lines_1'!$Q$4:$Q$26,0),0)</f>
        <v>Niagara Falls</v>
      </c>
      <c r="E1797" s="344">
        <f ca="1">OFFSET('Zip Code Lines_1'!$W$3,MATCH('Zip Code Lines_1'!C1797,'Zip Code Lines_1'!$Q$4:$Q$26,0),0)</f>
        <v>6.9</v>
      </c>
      <c r="F1797" s="344">
        <f ca="1">OFFSET('Zip Code Lines_1'!$Z$3,MATCH('Zip Code Lines_1'!C1797,'Zip Code Lines_1'!$Q$4:$Q$26,0),0)</f>
        <v>85.2</v>
      </c>
      <c r="G1797" s="342">
        <f ca="1">OFFSET('Zip Code Lines_1'!$AC$3,MATCH('Zip Code Lines_1'!C1797,'Zip Code Lines_1'!$Q$4:$Q$26,0),0)</f>
        <v>18</v>
      </c>
      <c r="H1797" s="342">
        <v>14201</v>
      </c>
    </row>
    <row r="1798" spans="2:8" x14ac:dyDescent="0.25">
      <c r="B1798" s="342">
        <v>14202</v>
      </c>
      <c r="C1798" s="343" t="s">
        <v>561</v>
      </c>
      <c r="D1798" s="343" t="str">
        <f ca="1">OFFSET('Zip Code Lines_1'!$U$3,MATCH('Zip Code Lines_1'!C1798,'Zip Code Lines_1'!$Q$4:$Q$26,0),0)</f>
        <v>Niagara Falls</v>
      </c>
      <c r="E1798" s="344">
        <f ca="1">OFFSET('Zip Code Lines_1'!$W$3,MATCH('Zip Code Lines_1'!C1798,'Zip Code Lines_1'!$Q$4:$Q$26,0),0)</f>
        <v>6.9</v>
      </c>
      <c r="F1798" s="344">
        <f ca="1">OFFSET('Zip Code Lines_1'!$Z$3,MATCH('Zip Code Lines_1'!C1798,'Zip Code Lines_1'!$Q$4:$Q$26,0),0)</f>
        <v>85.2</v>
      </c>
      <c r="G1798" s="342">
        <f ca="1">OFFSET('Zip Code Lines_1'!$AC$3,MATCH('Zip Code Lines_1'!C1798,'Zip Code Lines_1'!$Q$4:$Q$26,0),0)</f>
        <v>18</v>
      </c>
      <c r="H1798" s="342">
        <v>14202</v>
      </c>
    </row>
    <row r="1799" spans="2:8" x14ac:dyDescent="0.25">
      <c r="B1799" s="342">
        <v>14203</v>
      </c>
      <c r="C1799" s="343" t="s">
        <v>561</v>
      </c>
      <c r="D1799" s="343" t="str">
        <f ca="1">OFFSET('Zip Code Lines_1'!$U$3,MATCH('Zip Code Lines_1'!C1799,'Zip Code Lines_1'!$Q$4:$Q$26,0),0)</f>
        <v>Niagara Falls</v>
      </c>
      <c r="E1799" s="344">
        <f ca="1">OFFSET('Zip Code Lines_1'!$W$3,MATCH('Zip Code Lines_1'!C1799,'Zip Code Lines_1'!$Q$4:$Q$26,0),0)</f>
        <v>6.9</v>
      </c>
      <c r="F1799" s="344">
        <f ca="1">OFFSET('Zip Code Lines_1'!$Z$3,MATCH('Zip Code Lines_1'!C1799,'Zip Code Lines_1'!$Q$4:$Q$26,0),0)</f>
        <v>85.2</v>
      </c>
      <c r="G1799" s="342">
        <f ca="1">OFFSET('Zip Code Lines_1'!$AC$3,MATCH('Zip Code Lines_1'!C1799,'Zip Code Lines_1'!$Q$4:$Q$26,0),0)</f>
        <v>18</v>
      </c>
      <c r="H1799" s="342">
        <v>14203</v>
      </c>
    </row>
    <row r="1800" spans="2:8" x14ac:dyDescent="0.25">
      <c r="B1800" s="342">
        <v>14204</v>
      </c>
      <c r="C1800" s="343" t="s">
        <v>561</v>
      </c>
      <c r="D1800" s="343" t="str">
        <f ca="1">OFFSET('Zip Code Lines_1'!$U$3,MATCH('Zip Code Lines_1'!C1800,'Zip Code Lines_1'!$Q$4:$Q$26,0),0)</f>
        <v>Niagara Falls</v>
      </c>
      <c r="E1800" s="344">
        <f ca="1">OFFSET('Zip Code Lines_1'!$W$3,MATCH('Zip Code Lines_1'!C1800,'Zip Code Lines_1'!$Q$4:$Q$26,0),0)</f>
        <v>6.9</v>
      </c>
      <c r="F1800" s="344">
        <f ca="1">OFFSET('Zip Code Lines_1'!$Z$3,MATCH('Zip Code Lines_1'!C1800,'Zip Code Lines_1'!$Q$4:$Q$26,0),0)</f>
        <v>85.2</v>
      </c>
      <c r="G1800" s="342">
        <f ca="1">OFFSET('Zip Code Lines_1'!$AC$3,MATCH('Zip Code Lines_1'!C1800,'Zip Code Lines_1'!$Q$4:$Q$26,0),0)</f>
        <v>18</v>
      </c>
      <c r="H1800" s="342">
        <v>14204</v>
      </c>
    </row>
    <row r="1801" spans="2:8" x14ac:dyDescent="0.25">
      <c r="B1801" s="342">
        <v>14205</v>
      </c>
      <c r="C1801" s="343" t="s">
        <v>561</v>
      </c>
      <c r="D1801" s="343" t="str">
        <f ca="1">OFFSET('Zip Code Lines_1'!$U$3,MATCH('Zip Code Lines_1'!C1801,'Zip Code Lines_1'!$Q$4:$Q$26,0),0)</f>
        <v>Niagara Falls</v>
      </c>
      <c r="E1801" s="344">
        <f ca="1">OFFSET('Zip Code Lines_1'!$W$3,MATCH('Zip Code Lines_1'!C1801,'Zip Code Lines_1'!$Q$4:$Q$26,0),0)</f>
        <v>6.9</v>
      </c>
      <c r="F1801" s="344">
        <f ca="1">OFFSET('Zip Code Lines_1'!$Z$3,MATCH('Zip Code Lines_1'!C1801,'Zip Code Lines_1'!$Q$4:$Q$26,0),0)</f>
        <v>85.2</v>
      </c>
      <c r="G1801" s="342">
        <f ca="1">OFFSET('Zip Code Lines_1'!$AC$3,MATCH('Zip Code Lines_1'!C1801,'Zip Code Lines_1'!$Q$4:$Q$26,0),0)</f>
        <v>18</v>
      </c>
      <c r="H1801" s="342">
        <v>14205</v>
      </c>
    </row>
    <row r="1802" spans="2:8" x14ac:dyDescent="0.25">
      <c r="B1802" s="342">
        <v>14206</v>
      </c>
      <c r="C1802" s="343" t="s">
        <v>534</v>
      </c>
      <c r="D1802" s="343" t="str">
        <f ca="1">OFFSET('Zip Code Lines_1'!$U$3,MATCH('Zip Code Lines_1'!C1802,'Zip Code Lines_1'!$Q$4:$Q$26,0),0)</f>
        <v>Buffalo</v>
      </c>
      <c r="E1802" s="344">
        <f ca="1">OFFSET('Zip Code Lines_1'!$W$3,MATCH('Zip Code Lines_1'!C1802,'Zip Code Lines_1'!$Q$4:$Q$26,0),0)</f>
        <v>7.4</v>
      </c>
      <c r="F1802" s="344">
        <f ca="1">OFFSET('Zip Code Lines_1'!$Z$3,MATCH('Zip Code Lines_1'!C1802,'Zip Code Lines_1'!$Q$4:$Q$26,0),0)</f>
        <v>83.9</v>
      </c>
      <c r="G1802" s="342">
        <f ca="1">OFFSET('Zip Code Lines_1'!$AC$3,MATCH('Zip Code Lines_1'!C1802,'Zip Code Lines_1'!$Q$4:$Q$26,0),0)</f>
        <v>18</v>
      </c>
      <c r="H1802" s="342">
        <v>14206</v>
      </c>
    </row>
    <row r="1803" spans="2:8" x14ac:dyDescent="0.25">
      <c r="B1803" s="342">
        <v>14207</v>
      </c>
      <c r="C1803" s="343" t="s">
        <v>561</v>
      </c>
      <c r="D1803" s="343" t="str">
        <f ca="1">OFFSET('Zip Code Lines_1'!$U$3,MATCH('Zip Code Lines_1'!C1803,'Zip Code Lines_1'!$Q$4:$Q$26,0),0)</f>
        <v>Niagara Falls</v>
      </c>
      <c r="E1803" s="344">
        <f ca="1">OFFSET('Zip Code Lines_1'!$W$3,MATCH('Zip Code Lines_1'!C1803,'Zip Code Lines_1'!$Q$4:$Q$26,0),0)</f>
        <v>6.9</v>
      </c>
      <c r="F1803" s="344">
        <f ca="1">OFFSET('Zip Code Lines_1'!$Z$3,MATCH('Zip Code Lines_1'!C1803,'Zip Code Lines_1'!$Q$4:$Q$26,0),0)</f>
        <v>85.2</v>
      </c>
      <c r="G1803" s="342">
        <f ca="1">OFFSET('Zip Code Lines_1'!$AC$3,MATCH('Zip Code Lines_1'!C1803,'Zip Code Lines_1'!$Q$4:$Q$26,0),0)</f>
        <v>18</v>
      </c>
      <c r="H1803" s="342">
        <v>14207</v>
      </c>
    </row>
    <row r="1804" spans="2:8" x14ac:dyDescent="0.25">
      <c r="B1804" s="342">
        <v>14208</v>
      </c>
      <c r="C1804" s="343" t="s">
        <v>561</v>
      </c>
      <c r="D1804" s="343" t="str">
        <f ca="1">OFFSET('Zip Code Lines_1'!$U$3,MATCH('Zip Code Lines_1'!C1804,'Zip Code Lines_1'!$Q$4:$Q$26,0),0)</f>
        <v>Niagara Falls</v>
      </c>
      <c r="E1804" s="344">
        <f ca="1">OFFSET('Zip Code Lines_1'!$W$3,MATCH('Zip Code Lines_1'!C1804,'Zip Code Lines_1'!$Q$4:$Q$26,0),0)</f>
        <v>6.9</v>
      </c>
      <c r="F1804" s="344">
        <f ca="1">OFFSET('Zip Code Lines_1'!$Z$3,MATCH('Zip Code Lines_1'!C1804,'Zip Code Lines_1'!$Q$4:$Q$26,0),0)</f>
        <v>85.2</v>
      </c>
      <c r="G1804" s="342">
        <f ca="1">OFFSET('Zip Code Lines_1'!$AC$3,MATCH('Zip Code Lines_1'!C1804,'Zip Code Lines_1'!$Q$4:$Q$26,0),0)</f>
        <v>18</v>
      </c>
      <c r="H1804" s="342">
        <v>14208</v>
      </c>
    </row>
    <row r="1805" spans="2:8" x14ac:dyDescent="0.25">
      <c r="B1805" s="342">
        <v>14209</v>
      </c>
      <c r="C1805" s="343" t="s">
        <v>561</v>
      </c>
      <c r="D1805" s="343" t="str">
        <f ca="1">OFFSET('Zip Code Lines_1'!$U$3,MATCH('Zip Code Lines_1'!C1805,'Zip Code Lines_1'!$Q$4:$Q$26,0),0)</f>
        <v>Niagara Falls</v>
      </c>
      <c r="E1805" s="344">
        <f ca="1">OFFSET('Zip Code Lines_1'!$W$3,MATCH('Zip Code Lines_1'!C1805,'Zip Code Lines_1'!$Q$4:$Q$26,0),0)</f>
        <v>6.9</v>
      </c>
      <c r="F1805" s="344">
        <f ca="1">OFFSET('Zip Code Lines_1'!$Z$3,MATCH('Zip Code Lines_1'!C1805,'Zip Code Lines_1'!$Q$4:$Q$26,0),0)</f>
        <v>85.2</v>
      </c>
      <c r="G1805" s="342">
        <f ca="1">OFFSET('Zip Code Lines_1'!$AC$3,MATCH('Zip Code Lines_1'!C1805,'Zip Code Lines_1'!$Q$4:$Q$26,0),0)</f>
        <v>18</v>
      </c>
      <c r="H1805" s="342">
        <v>14209</v>
      </c>
    </row>
    <row r="1806" spans="2:8" x14ac:dyDescent="0.25">
      <c r="B1806" s="342">
        <v>14210</v>
      </c>
      <c r="C1806" s="343" t="s">
        <v>561</v>
      </c>
      <c r="D1806" s="343" t="str">
        <f ca="1">OFFSET('Zip Code Lines_1'!$U$3,MATCH('Zip Code Lines_1'!C1806,'Zip Code Lines_1'!$Q$4:$Q$26,0),0)</f>
        <v>Niagara Falls</v>
      </c>
      <c r="E1806" s="344">
        <f ca="1">OFFSET('Zip Code Lines_1'!$W$3,MATCH('Zip Code Lines_1'!C1806,'Zip Code Lines_1'!$Q$4:$Q$26,0),0)</f>
        <v>6.9</v>
      </c>
      <c r="F1806" s="344">
        <f ca="1">OFFSET('Zip Code Lines_1'!$Z$3,MATCH('Zip Code Lines_1'!C1806,'Zip Code Lines_1'!$Q$4:$Q$26,0),0)</f>
        <v>85.2</v>
      </c>
      <c r="G1806" s="342">
        <f ca="1">OFFSET('Zip Code Lines_1'!$AC$3,MATCH('Zip Code Lines_1'!C1806,'Zip Code Lines_1'!$Q$4:$Q$26,0),0)</f>
        <v>18</v>
      </c>
      <c r="H1806" s="342">
        <v>14210</v>
      </c>
    </row>
    <row r="1807" spans="2:8" x14ac:dyDescent="0.25">
      <c r="B1807" s="342">
        <v>14211</v>
      </c>
      <c r="C1807" s="343" t="s">
        <v>534</v>
      </c>
      <c r="D1807" s="343" t="str">
        <f ca="1">OFFSET('Zip Code Lines_1'!$U$3,MATCH('Zip Code Lines_1'!C1807,'Zip Code Lines_1'!$Q$4:$Q$26,0),0)</f>
        <v>Buffalo</v>
      </c>
      <c r="E1807" s="344">
        <f ca="1">OFFSET('Zip Code Lines_1'!$W$3,MATCH('Zip Code Lines_1'!C1807,'Zip Code Lines_1'!$Q$4:$Q$26,0),0)</f>
        <v>7.4</v>
      </c>
      <c r="F1807" s="344">
        <f ca="1">OFFSET('Zip Code Lines_1'!$Z$3,MATCH('Zip Code Lines_1'!C1807,'Zip Code Lines_1'!$Q$4:$Q$26,0),0)</f>
        <v>83.9</v>
      </c>
      <c r="G1807" s="342">
        <f ca="1">OFFSET('Zip Code Lines_1'!$AC$3,MATCH('Zip Code Lines_1'!C1807,'Zip Code Lines_1'!$Q$4:$Q$26,0),0)</f>
        <v>18</v>
      </c>
      <c r="H1807" s="342">
        <v>14211</v>
      </c>
    </row>
    <row r="1808" spans="2:8" x14ac:dyDescent="0.25">
      <c r="B1808" s="342">
        <v>14212</v>
      </c>
      <c r="C1808" s="343" t="s">
        <v>534</v>
      </c>
      <c r="D1808" s="343" t="str">
        <f ca="1">OFFSET('Zip Code Lines_1'!$U$3,MATCH('Zip Code Lines_1'!C1808,'Zip Code Lines_1'!$Q$4:$Q$26,0),0)</f>
        <v>Buffalo</v>
      </c>
      <c r="E1808" s="344">
        <f ca="1">OFFSET('Zip Code Lines_1'!$W$3,MATCH('Zip Code Lines_1'!C1808,'Zip Code Lines_1'!$Q$4:$Q$26,0),0)</f>
        <v>7.4</v>
      </c>
      <c r="F1808" s="344">
        <f ca="1">OFFSET('Zip Code Lines_1'!$Z$3,MATCH('Zip Code Lines_1'!C1808,'Zip Code Lines_1'!$Q$4:$Q$26,0),0)</f>
        <v>83.9</v>
      </c>
      <c r="G1808" s="342">
        <f ca="1">OFFSET('Zip Code Lines_1'!$AC$3,MATCH('Zip Code Lines_1'!C1808,'Zip Code Lines_1'!$Q$4:$Q$26,0),0)</f>
        <v>18</v>
      </c>
      <c r="H1808" s="342">
        <v>14212</v>
      </c>
    </row>
    <row r="1809" spans="2:8" x14ac:dyDescent="0.25">
      <c r="B1809" s="342">
        <v>14213</v>
      </c>
      <c r="C1809" s="343" t="s">
        <v>561</v>
      </c>
      <c r="D1809" s="343" t="str">
        <f ca="1">OFFSET('Zip Code Lines_1'!$U$3,MATCH('Zip Code Lines_1'!C1809,'Zip Code Lines_1'!$Q$4:$Q$26,0),0)</f>
        <v>Niagara Falls</v>
      </c>
      <c r="E1809" s="344">
        <f ca="1">OFFSET('Zip Code Lines_1'!$W$3,MATCH('Zip Code Lines_1'!C1809,'Zip Code Lines_1'!$Q$4:$Q$26,0),0)</f>
        <v>6.9</v>
      </c>
      <c r="F1809" s="344">
        <f ca="1">OFFSET('Zip Code Lines_1'!$Z$3,MATCH('Zip Code Lines_1'!C1809,'Zip Code Lines_1'!$Q$4:$Q$26,0),0)</f>
        <v>85.2</v>
      </c>
      <c r="G1809" s="342">
        <f ca="1">OFFSET('Zip Code Lines_1'!$AC$3,MATCH('Zip Code Lines_1'!C1809,'Zip Code Lines_1'!$Q$4:$Q$26,0),0)</f>
        <v>18</v>
      </c>
      <c r="H1809" s="342">
        <v>14213</v>
      </c>
    </row>
    <row r="1810" spans="2:8" x14ac:dyDescent="0.25">
      <c r="B1810" s="342">
        <v>14214</v>
      </c>
      <c r="C1810" s="343" t="s">
        <v>561</v>
      </c>
      <c r="D1810" s="343" t="str">
        <f ca="1">OFFSET('Zip Code Lines_1'!$U$3,MATCH('Zip Code Lines_1'!C1810,'Zip Code Lines_1'!$Q$4:$Q$26,0),0)</f>
        <v>Niagara Falls</v>
      </c>
      <c r="E1810" s="344">
        <f ca="1">OFFSET('Zip Code Lines_1'!$W$3,MATCH('Zip Code Lines_1'!C1810,'Zip Code Lines_1'!$Q$4:$Q$26,0),0)</f>
        <v>6.9</v>
      </c>
      <c r="F1810" s="344">
        <f ca="1">OFFSET('Zip Code Lines_1'!$Z$3,MATCH('Zip Code Lines_1'!C1810,'Zip Code Lines_1'!$Q$4:$Q$26,0),0)</f>
        <v>85.2</v>
      </c>
      <c r="G1810" s="342">
        <f ca="1">OFFSET('Zip Code Lines_1'!$AC$3,MATCH('Zip Code Lines_1'!C1810,'Zip Code Lines_1'!$Q$4:$Q$26,0),0)</f>
        <v>18</v>
      </c>
      <c r="H1810" s="342">
        <v>14214</v>
      </c>
    </row>
    <row r="1811" spans="2:8" x14ac:dyDescent="0.25">
      <c r="B1811" s="342">
        <v>14215</v>
      </c>
      <c r="C1811" s="343" t="s">
        <v>534</v>
      </c>
      <c r="D1811" s="343" t="str">
        <f ca="1">OFFSET('Zip Code Lines_1'!$U$3,MATCH('Zip Code Lines_1'!C1811,'Zip Code Lines_1'!$Q$4:$Q$26,0),0)</f>
        <v>Buffalo</v>
      </c>
      <c r="E1811" s="344">
        <f ca="1">OFFSET('Zip Code Lines_1'!$W$3,MATCH('Zip Code Lines_1'!C1811,'Zip Code Lines_1'!$Q$4:$Q$26,0),0)</f>
        <v>7.4</v>
      </c>
      <c r="F1811" s="344">
        <f ca="1">OFFSET('Zip Code Lines_1'!$Z$3,MATCH('Zip Code Lines_1'!C1811,'Zip Code Lines_1'!$Q$4:$Q$26,0),0)</f>
        <v>83.9</v>
      </c>
      <c r="G1811" s="342">
        <f ca="1">OFFSET('Zip Code Lines_1'!$AC$3,MATCH('Zip Code Lines_1'!C1811,'Zip Code Lines_1'!$Q$4:$Q$26,0),0)</f>
        <v>18</v>
      </c>
      <c r="H1811" s="342">
        <v>14215</v>
      </c>
    </row>
    <row r="1812" spans="2:8" x14ac:dyDescent="0.25">
      <c r="B1812" s="342">
        <v>14216</v>
      </c>
      <c r="C1812" s="343" t="s">
        <v>561</v>
      </c>
      <c r="D1812" s="343" t="str">
        <f ca="1">OFFSET('Zip Code Lines_1'!$U$3,MATCH('Zip Code Lines_1'!C1812,'Zip Code Lines_1'!$Q$4:$Q$26,0),0)</f>
        <v>Niagara Falls</v>
      </c>
      <c r="E1812" s="344">
        <f ca="1">OFFSET('Zip Code Lines_1'!$W$3,MATCH('Zip Code Lines_1'!C1812,'Zip Code Lines_1'!$Q$4:$Q$26,0),0)</f>
        <v>6.9</v>
      </c>
      <c r="F1812" s="344">
        <f ca="1">OFFSET('Zip Code Lines_1'!$Z$3,MATCH('Zip Code Lines_1'!C1812,'Zip Code Lines_1'!$Q$4:$Q$26,0),0)</f>
        <v>85.2</v>
      </c>
      <c r="G1812" s="342">
        <f ca="1">OFFSET('Zip Code Lines_1'!$AC$3,MATCH('Zip Code Lines_1'!C1812,'Zip Code Lines_1'!$Q$4:$Q$26,0),0)</f>
        <v>18</v>
      </c>
      <c r="H1812" s="342">
        <v>14216</v>
      </c>
    </row>
    <row r="1813" spans="2:8" x14ac:dyDescent="0.25">
      <c r="B1813" s="342">
        <v>14217</v>
      </c>
      <c r="C1813" s="343" t="s">
        <v>561</v>
      </c>
      <c r="D1813" s="343" t="str">
        <f ca="1">OFFSET('Zip Code Lines_1'!$U$3,MATCH('Zip Code Lines_1'!C1813,'Zip Code Lines_1'!$Q$4:$Q$26,0),0)</f>
        <v>Niagara Falls</v>
      </c>
      <c r="E1813" s="344">
        <f ca="1">OFFSET('Zip Code Lines_1'!$W$3,MATCH('Zip Code Lines_1'!C1813,'Zip Code Lines_1'!$Q$4:$Q$26,0),0)</f>
        <v>6.9</v>
      </c>
      <c r="F1813" s="344">
        <f ca="1">OFFSET('Zip Code Lines_1'!$Z$3,MATCH('Zip Code Lines_1'!C1813,'Zip Code Lines_1'!$Q$4:$Q$26,0),0)</f>
        <v>85.2</v>
      </c>
      <c r="G1813" s="342">
        <f ca="1">OFFSET('Zip Code Lines_1'!$AC$3,MATCH('Zip Code Lines_1'!C1813,'Zip Code Lines_1'!$Q$4:$Q$26,0),0)</f>
        <v>18</v>
      </c>
      <c r="H1813" s="342">
        <v>14217</v>
      </c>
    </row>
    <row r="1814" spans="2:8" x14ac:dyDescent="0.25">
      <c r="B1814" s="342">
        <v>14218</v>
      </c>
      <c r="C1814" s="343" t="s">
        <v>561</v>
      </c>
      <c r="D1814" s="343" t="str">
        <f ca="1">OFFSET('Zip Code Lines_1'!$U$3,MATCH('Zip Code Lines_1'!C1814,'Zip Code Lines_1'!$Q$4:$Q$26,0),0)</f>
        <v>Niagara Falls</v>
      </c>
      <c r="E1814" s="344">
        <f ca="1">OFFSET('Zip Code Lines_1'!$W$3,MATCH('Zip Code Lines_1'!C1814,'Zip Code Lines_1'!$Q$4:$Q$26,0),0)</f>
        <v>6.9</v>
      </c>
      <c r="F1814" s="344">
        <f ca="1">OFFSET('Zip Code Lines_1'!$Z$3,MATCH('Zip Code Lines_1'!C1814,'Zip Code Lines_1'!$Q$4:$Q$26,0),0)</f>
        <v>85.2</v>
      </c>
      <c r="G1814" s="342">
        <f ca="1">OFFSET('Zip Code Lines_1'!$AC$3,MATCH('Zip Code Lines_1'!C1814,'Zip Code Lines_1'!$Q$4:$Q$26,0),0)</f>
        <v>18</v>
      </c>
      <c r="H1814" s="342">
        <v>14218</v>
      </c>
    </row>
    <row r="1815" spans="2:8" x14ac:dyDescent="0.25">
      <c r="B1815" s="342">
        <v>14219</v>
      </c>
      <c r="C1815" s="343" t="s">
        <v>561</v>
      </c>
      <c r="D1815" s="343" t="str">
        <f ca="1">OFFSET('Zip Code Lines_1'!$U$3,MATCH('Zip Code Lines_1'!C1815,'Zip Code Lines_1'!$Q$4:$Q$26,0),0)</f>
        <v>Niagara Falls</v>
      </c>
      <c r="E1815" s="344">
        <f ca="1">OFFSET('Zip Code Lines_1'!$W$3,MATCH('Zip Code Lines_1'!C1815,'Zip Code Lines_1'!$Q$4:$Q$26,0),0)</f>
        <v>6.9</v>
      </c>
      <c r="F1815" s="344">
        <f ca="1">OFFSET('Zip Code Lines_1'!$Z$3,MATCH('Zip Code Lines_1'!C1815,'Zip Code Lines_1'!$Q$4:$Q$26,0),0)</f>
        <v>85.2</v>
      </c>
      <c r="G1815" s="342">
        <f ca="1">OFFSET('Zip Code Lines_1'!$AC$3,MATCH('Zip Code Lines_1'!C1815,'Zip Code Lines_1'!$Q$4:$Q$26,0),0)</f>
        <v>18</v>
      </c>
      <c r="H1815" s="342">
        <v>14219</v>
      </c>
    </row>
    <row r="1816" spans="2:8" x14ac:dyDescent="0.25">
      <c r="B1816" s="342">
        <v>14220</v>
      </c>
      <c r="C1816" s="343" t="s">
        <v>561</v>
      </c>
      <c r="D1816" s="343" t="str">
        <f ca="1">OFFSET('Zip Code Lines_1'!$U$3,MATCH('Zip Code Lines_1'!C1816,'Zip Code Lines_1'!$Q$4:$Q$26,0),0)</f>
        <v>Niagara Falls</v>
      </c>
      <c r="E1816" s="344">
        <f ca="1">OFFSET('Zip Code Lines_1'!$W$3,MATCH('Zip Code Lines_1'!C1816,'Zip Code Lines_1'!$Q$4:$Q$26,0),0)</f>
        <v>6.9</v>
      </c>
      <c r="F1816" s="344">
        <f ca="1">OFFSET('Zip Code Lines_1'!$Z$3,MATCH('Zip Code Lines_1'!C1816,'Zip Code Lines_1'!$Q$4:$Q$26,0),0)</f>
        <v>85.2</v>
      </c>
      <c r="G1816" s="342">
        <f ca="1">OFFSET('Zip Code Lines_1'!$AC$3,MATCH('Zip Code Lines_1'!C1816,'Zip Code Lines_1'!$Q$4:$Q$26,0),0)</f>
        <v>18</v>
      </c>
      <c r="H1816" s="342">
        <v>14220</v>
      </c>
    </row>
    <row r="1817" spans="2:8" x14ac:dyDescent="0.25">
      <c r="B1817" s="342">
        <v>14221</v>
      </c>
      <c r="C1817" s="343" t="s">
        <v>534</v>
      </c>
      <c r="D1817" s="343" t="str">
        <f ca="1">OFFSET('Zip Code Lines_1'!$U$3,MATCH('Zip Code Lines_1'!C1817,'Zip Code Lines_1'!$Q$4:$Q$26,0),0)</f>
        <v>Buffalo</v>
      </c>
      <c r="E1817" s="344">
        <f ca="1">OFFSET('Zip Code Lines_1'!$W$3,MATCH('Zip Code Lines_1'!C1817,'Zip Code Lines_1'!$Q$4:$Q$26,0),0)</f>
        <v>7.4</v>
      </c>
      <c r="F1817" s="344">
        <f ca="1">OFFSET('Zip Code Lines_1'!$Z$3,MATCH('Zip Code Lines_1'!C1817,'Zip Code Lines_1'!$Q$4:$Q$26,0),0)</f>
        <v>83.9</v>
      </c>
      <c r="G1817" s="342">
        <f ca="1">OFFSET('Zip Code Lines_1'!$AC$3,MATCH('Zip Code Lines_1'!C1817,'Zip Code Lines_1'!$Q$4:$Q$26,0),0)</f>
        <v>18</v>
      </c>
      <c r="H1817" s="342">
        <v>14221</v>
      </c>
    </row>
    <row r="1818" spans="2:8" x14ac:dyDescent="0.25">
      <c r="B1818" s="342">
        <v>14222</v>
      </c>
      <c r="C1818" s="343" t="s">
        <v>561</v>
      </c>
      <c r="D1818" s="343" t="str">
        <f ca="1">OFFSET('Zip Code Lines_1'!$U$3,MATCH('Zip Code Lines_1'!C1818,'Zip Code Lines_1'!$Q$4:$Q$26,0),0)</f>
        <v>Niagara Falls</v>
      </c>
      <c r="E1818" s="344">
        <f ca="1">OFFSET('Zip Code Lines_1'!$W$3,MATCH('Zip Code Lines_1'!C1818,'Zip Code Lines_1'!$Q$4:$Q$26,0),0)</f>
        <v>6.9</v>
      </c>
      <c r="F1818" s="344">
        <f ca="1">OFFSET('Zip Code Lines_1'!$Z$3,MATCH('Zip Code Lines_1'!C1818,'Zip Code Lines_1'!$Q$4:$Q$26,0),0)</f>
        <v>85.2</v>
      </c>
      <c r="G1818" s="342">
        <f ca="1">OFFSET('Zip Code Lines_1'!$AC$3,MATCH('Zip Code Lines_1'!C1818,'Zip Code Lines_1'!$Q$4:$Q$26,0),0)</f>
        <v>18</v>
      </c>
      <c r="H1818" s="342">
        <v>14222</v>
      </c>
    </row>
    <row r="1819" spans="2:8" x14ac:dyDescent="0.25">
      <c r="B1819" s="342">
        <v>14223</v>
      </c>
      <c r="C1819" s="343" t="s">
        <v>561</v>
      </c>
      <c r="D1819" s="343" t="str">
        <f ca="1">OFFSET('Zip Code Lines_1'!$U$3,MATCH('Zip Code Lines_1'!C1819,'Zip Code Lines_1'!$Q$4:$Q$26,0),0)</f>
        <v>Niagara Falls</v>
      </c>
      <c r="E1819" s="344">
        <f ca="1">OFFSET('Zip Code Lines_1'!$W$3,MATCH('Zip Code Lines_1'!C1819,'Zip Code Lines_1'!$Q$4:$Q$26,0),0)</f>
        <v>6.9</v>
      </c>
      <c r="F1819" s="344">
        <f ca="1">OFFSET('Zip Code Lines_1'!$Z$3,MATCH('Zip Code Lines_1'!C1819,'Zip Code Lines_1'!$Q$4:$Q$26,0),0)</f>
        <v>85.2</v>
      </c>
      <c r="G1819" s="342">
        <f ca="1">OFFSET('Zip Code Lines_1'!$AC$3,MATCH('Zip Code Lines_1'!C1819,'Zip Code Lines_1'!$Q$4:$Q$26,0),0)</f>
        <v>18</v>
      </c>
      <c r="H1819" s="342">
        <v>14223</v>
      </c>
    </row>
    <row r="1820" spans="2:8" x14ac:dyDescent="0.25">
      <c r="B1820" s="342">
        <v>14224</v>
      </c>
      <c r="C1820" s="343" t="s">
        <v>534</v>
      </c>
      <c r="D1820" s="343" t="str">
        <f ca="1">OFFSET('Zip Code Lines_1'!$U$3,MATCH('Zip Code Lines_1'!C1820,'Zip Code Lines_1'!$Q$4:$Q$26,0),0)</f>
        <v>Buffalo</v>
      </c>
      <c r="E1820" s="344">
        <f ca="1">OFFSET('Zip Code Lines_1'!$W$3,MATCH('Zip Code Lines_1'!C1820,'Zip Code Lines_1'!$Q$4:$Q$26,0),0)</f>
        <v>7.4</v>
      </c>
      <c r="F1820" s="344">
        <f ca="1">OFFSET('Zip Code Lines_1'!$Z$3,MATCH('Zip Code Lines_1'!C1820,'Zip Code Lines_1'!$Q$4:$Q$26,0),0)</f>
        <v>83.9</v>
      </c>
      <c r="G1820" s="342">
        <f ca="1">OFFSET('Zip Code Lines_1'!$AC$3,MATCH('Zip Code Lines_1'!C1820,'Zip Code Lines_1'!$Q$4:$Q$26,0),0)</f>
        <v>18</v>
      </c>
      <c r="H1820" s="342">
        <v>14224</v>
      </c>
    </row>
    <row r="1821" spans="2:8" x14ac:dyDescent="0.25">
      <c r="B1821" s="342">
        <v>14225</v>
      </c>
      <c r="C1821" s="343" t="s">
        <v>534</v>
      </c>
      <c r="D1821" s="343" t="str">
        <f ca="1">OFFSET('Zip Code Lines_1'!$U$3,MATCH('Zip Code Lines_1'!C1821,'Zip Code Lines_1'!$Q$4:$Q$26,0),0)</f>
        <v>Buffalo</v>
      </c>
      <c r="E1821" s="344">
        <f ca="1">OFFSET('Zip Code Lines_1'!$W$3,MATCH('Zip Code Lines_1'!C1821,'Zip Code Lines_1'!$Q$4:$Q$26,0),0)</f>
        <v>7.4</v>
      </c>
      <c r="F1821" s="344">
        <f ca="1">OFFSET('Zip Code Lines_1'!$Z$3,MATCH('Zip Code Lines_1'!C1821,'Zip Code Lines_1'!$Q$4:$Q$26,0),0)</f>
        <v>83.9</v>
      </c>
      <c r="G1821" s="342">
        <f ca="1">OFFSET('Zip Code Lines_1'!$AC$3,MATCH('Zip Code Lines_1'!C1821,'Zip Code Lines_1'!$Q$4:$Q$26,0),0)</f>
        <v>18</v>
      </c>
      <c r="H1821" s="342">
        <v>14225</v>
      </c>
    </row>
    <row r="1822" spans="2:8" x14ac:dyDescent="0.25">
      <c r="B1822" s="342">
        <v>14226</v>
      </c>
      <c r="C1822" s="343" t="s">
        <v>534</v>
      </c>
      <c r="D1822" s="343" t="str">
        <f ca="1">OFFSET('Zip Code Lines_1'!$U$3,MATCH('Zip Code Lines_1'!C1822,'Zip Code Lines_1'!$Q$4:$Q$26,0),0)</f>
        <v>Buffalo</v>
      </c>
      <c r="E1822" s="344">
        <f ca="1">OFFSET('Zip Code Lines_1'!$W$3,MATCH('Zip Code Lines_1'!C1822,'Zip Code Lines_1'!$Q$4:$Q$26,0),0)</f>
        <v>7.4</v>
      </c>
      <c r="F1822" s="344">
        <f ca="1">OFFSET('Zip Code Lines_1'!$Z$3,MATCH('Zip Code Lines_1'!C1822,'Zip Code Lines_1'!$Q$4:$Q$26,0),0)</f>
        <v>83.9</v>
      </c>
      <c r="G1822" s="342">
        <f ca="1">OFFSET('Zip Code Lines_1'!$AC$3,MATCH('Zip Code Lines_1'!C1822,'Zip Code Lines_1'!$Q$4:$Q$26,0),0)</f>
        <v>18</v>
      </c>
      <c r="H1822" s="342">
        <v>14226</v>
      </c>
    </row>
    <row r="1823" spans="2:8" x14ac:dyDescent="0.25">
      <c r="B1823" s="342">
        <v>14227</v>
      </c>
      <c r="C1823" s="343" t="s">
        <v>534</v>
      </c>
      <c r="D1823" s="343" t="str">
        <f ca="1">OFFSET('Zip Code Lines_1'!$U$3,MATCH('Zip Code Lines_1'!C1823,'Zip Code Lines_1'!$Q$4:$Q$26,0),0)</f>
        <v>Buffalo</v>
      </c>
      <c r="E1823" s="344">
        <f ca="1">OFFSET('Zip Code Lines_1'!$W$3,MATCH('Zip Code Lines_1'!C1823,'Zip Code Lines_1'!$Q$4:$Q$26,0),0)</f>
        <v>7.4</v>
      </c>
      <c r="F1823" s="344">
        <f ca="1">OFFSET('Zip Code Lines_1'!$Z$3,MATCH('Zip Code Lines_1'!C1823,'Zip Code Lines_1'!$Q$4:$Q$26,0),0)</f>
        <v>83.9</v>
      </c>
      <c r="G1823" s="342">
        <f ca="1">OFFSET('Zip Code Lines_1'!$AC$3,MATCH('Zip Code Lines_1'!C1823,'Zip Code Lines_1'!$Q$4:$Q$26,0),0)</f>
        <v>18</v>
      </c>
      <c r="H1823" s="342">
        <v>14227</v>
      </c>
    </row>
    <row r="1824" spans="2:8" x14ac:dyDescent="0.25">
      <c r="B1824" s="342">
        <v>14228</v>
      </c>
      <c r="C1824" s="343" t="s">
        <v>561</v>
      </c>
      <c r="D1824" s="343" t="str">
        <f ca="1">OFFSET('Zip Code Lines_1'!$U$3,MATCH('Zip Code Lines_1'!C1824,'Zip Code Lines_1'!$Q$4:$Q$26,0),0)</f>
        <v>Niagara Falls</v>
      </c>
      <c r="E1824" s="344">
        <f ca="1">OFFSET('Zip Code Lines_1'!$W$3,MATCH('Zip Code Lines_1'!C1824,'Zip Code Lines_1'!$Q$4:$Q$26,0),0)</f>
        <v>6.9</v>
      </c>
      <c r="F1824" s="344">
        <f ca="1">OFFSET('Zip Code Lines_1'!$Z$3,MATCH('Zip Code Lines_1'!C1824,'Zip Code Lines_1'!$Q$4:$Q$26,0),0)</f>
        <v>85.2</v>
      </c>
      <c r="G1824" s="342">
        <f ca="1">OFFSET('Zip Code Lines_1'!$AC$3,MATCH('Zip Code Lines_1'!C1824,'Zip Code Lines_1'!$Q$4:$Q$26,0),0)</f>
        <v>18</v>
      </c>
      <c r="H1824" s="342">
        <v>14228</v>
      </c>
    </row>
    <row r="1825" spans="2:8" x14ac:dyDescent="0.25">
      <c r="B1825" s="342">
        <v>14231</v>
      </c>
      <c r="C1825" s="343" t="s">
        <v>534</v>
      </c>
      <c r="D1825" s="343" t="str">
        <f ca="1">OFFSET('Zip Code Lines_1'!$U$3,MATCH('Zip Code Lines_1'!C1825,'Zip Code Lines_1'!$Q$4:$Q$26,0),0)</f>
        <v>Buffalo</v>
      </c>
      <c r="E1825" s="344">
        <f ca="1">OFFSET('Zip Code Lines_1'!$W$3,MATCH('Zip Code Lines_1'!C1825,'Zip Code Lines_1'!$Q$4:$Q$26,0),0)</f>
        <v>7.4</v>
      </c>
      <c r="F1825" s="344">
        <f ca="1">OFFSET('Zip Code Lines_1'!$Z$3,MATCH('Zip Code Lines_1'!C1825,'Zip Code Lines_1'!$Q$4:$Q$26,0),0)</f>
        <v>83.9</v>
      </c>
      <c r="G1825" s="342">
        <f ca="1">OFFSET('Zip Code Lines_1'!$AC$3,MATCH('Zip Code Lines_1'!C1825,'Zip Code Lines_1'!$Q$4:$Q$26,0),0)</f>
        <v>18</v>
      </c>
      <c r="H1825" s="342">
        <v>14231</v>
      </c>
    </row>
    <row r="1826" spans="2:8" x14ac:dyDescent="0.25">
      <c r="B1826" s="342">
        <v>14233</v>
      </c>
      <c r="C1826" s="343" t="s">
        <v>561</v>
      </c>
      <c r="D1826" s="343" t="str">
        <f ca="1">OFFSET('Zip Code Lines_1'!$U$3,MATCH('Zip Code Lines_1'!C1826,'Zip Code Lines_1'!$Q$4:$Q$26,0),0)</f>
        <v>Niagara Falls</v>
      </c>
      <c r="E1826" s="344">
        <f ca="1">OFFSET('Zip Code Lines_1'!$W$3,MATCH('Zip Code Lines_1'!C1826,'Zip Code Lines_1'!$Q$4:$Q$26,0),0)</f>
        <v>6.9</v>
      </c>
      <c r="F1826" s="344">
        <f ca="1">OFFSET('Zip Code Lines_1'!$Z$3,MATCH('Zip Code Lines_1'!C1826,'Zip Code Lines_1'!$Q$4:$Q$26,0),0)</f>
        <v>85.2</v>
      </c>
      <c r="G1826" s="342">
        <f ca="1">OFFSET('Zip Code Lines_1'!$AC$3,MATCH('Zip Code Lines_1'!C1826,'Zip Code Lines_1'!$Q$4:$Q$26,0),0)</f>
        <v>18</v>
      </c>
      <c r="H1826" s="342">
        <v>14233</v>
      </c>
    </row>
    <row r="1827" spans="2:8" x14ac:dyDescent="0.25">
      <c r="B1827" s="342">
        <v>14240</v>
      </c>
      <c r="C1827" s="343" t="s">
        <v>534</v>
      </c>
      <c r="D1827" s="343" t="str">
        <f ca="1">OFFSET('Zip Code Lines_1'!$U$3,MATCH('Zip Code Lines_1'!C1827,'Zip Code Lines_1'!$Q$4:$Q$26,0),0)</f>
        <v>Buffalo</v>
      </c>
      <c r="E1827" s="344">
        <f ca="1">OFFSET('Zip Code Lines_1'!$W$3,MATCH('Zip Code Lines_1'!C1827,'Zip Code Lines_1'!$Q$4:$Q$26,0),0)</f>
        <v>7.4</v>
      </c>
      <c r="F1827" s="344">
        <f ca="1">OFFSET('Zip Code Lines_1'!$Z$3,MATCH('Zip Code Lines_1'!C1827,'Zip Code Lines_1'!$Q$4:$Q$26,0),0)</f>
        <v>83.9</v>
      </c>
      <c r="G1827" s="342">
        <f ca="1">OFFSET('Zip Code Lines_1'!$AC$3,MATCH('Zip Code Lines_1'!C1827,'Zip Code Lines_1'!$Q$4:$Q$26,0),0)</f>
        <v>18</v>
      </c>
      <c r="H1827" s="342">
        <v>14240</v>
      </c>
    </row>
    <row r="1828" spans="2:8" x14ac:dyDescent="0.25">
      <c r="B1828" s="342">
        <v>14241</v>
      </c>
      <c r="C1828" s="343" t="s">
        <v>561</v>
      </c>
      <c r="D1828" s="343" t="str">
        <f ca="1">OFFSET('Zip Code Lines_1'!$U$3,MATCH('Zip Code Lines_1'!C1828,'Zip Code Lines_1'!$Q$4:$Q$26,0),0)</f>
        <v>Niagara Falls</v>
      </c>
      <c r="E1828" s="344">
        <f ca="1">OFFSET('Zip Code Lines_1'!$W$3,MATCH('Zip Code Lines_1'!C1828,'Zip Code Lines_1'!$Q$4:$Q$26,0),0)</f>
        <v>6.9</v>
      </c>
      <c r="F1828" s="344">
        <f ca="1">OFFSET('Zip Code Lines_1'!$Z$3,MATCH('Zip Code Lines_1'!C1828,'Zip Code Lines_1'!$Q$4:$Q$26,0),0)</f>
        <v>85.2</v>
      </c>
      <c r="G1828" s="342">
        <f ca="1">OFFSET('Zip Code Lines_1'!$AC$3,MATCH('Zip Code Lines_1'!C1828,'Zip Code Lines_1'!$Q$4:$Q$26,0),0)</f>
        <v>18</v>
      </c>
      <c r="H1828" s="342">
        <v>14241</v>
      </c>
    </row>
    <row r="1829" spans="2:8" x14ac:dyDescent="0.25">
      <c r="B1829" s="342">
        <v>14260</v>
      </c>
      <c r="C1829" s="343" t="s">
        <v>561</v>
      </c>
      <c r="D1829" s="343" t="str">
        <f ca="1">OFFSET('Zip Code Lines_1'!$U$3,MATCH('Zip Code Lines_1'!C1829,'Zip Code Lines_1'!$Q$4:$Q$26,0),0)</f>
        <v>Niagara Falls</v>
      </c>
      <c r="E1829" s="344">
        <f ca="1">OFFSET('Zip Code Lines_1'!$W$3,MATCH('Zip Code Lines_1'!C1829,'Zip Code Lines_1'!$Q$4:$Q$26,0),0)</f>
        <v>6.9</v>
      </c>
      <c r="F1829" s="344">
        <f ca="1">OFFSET('Zip Code Lines_1'!$Z$3,MATCH('Zip Code Lines_1'!C1829,'Zip Code Lines_1'!$Q$4:$Q$26,0),0)</f>
        <v>85.2</v>
      </c>
      <c r="G1829" s="342">
        <f ca="1">OFFSET('Zip Code Lines_1'!$AC$3,MATCH('Zip Code Lines_1'!C1829,'Zip Code Lines_1'!$Q$4:$Q$26,0),0)</f>
        <v>18</v>
      </c>
      <c r="H1829" s="342">
        <v>14260</v>
      </c>
    </row>
    <row r="1830" spans="2:8" x14ac:dyDescent="0.25">
      <c r="B1830" s="342">
        <v>14261</v>
      </c>
      <c r="C1830" s="343" t="s">
        <v>561</v>
      </c>
      <c r="D1830" s="343" t="str">
        <f ca="1">OFFSET('Zip Code Lines_1'!$U$3,MATCH('Zip Code Lines_1'!C1830,'Zip Code Lines_1'!$Q$4:$Q$26,0),0)</f>
        <v>Niagara Falls</v>
      </c>
      <c r="E1830" s="344">
        <f ca="1">OFFSET('Zip Code Lines_1'!$W$3,MATCH('Zip Code Lines_1'!C1830,'Zip Code Lines_1'!$Q$4:$Q$26,0),0)</f>
        <v>6.9</v>
      </c>
      <c r="F1830" s="344">
        <f ca="1">OFFSET('Zip Code Lines_1'!$Z$3,MATCH('Zip Code Lines_1'!C1830,'Zip Code Lines_1'!$Q$4:$Q$26,0),0)</f>
        <v>85.2</v>
      </c>
      <c r="G1830" s="342">
        <f ca="1">OFFSET('Zip Code Lines_1'!$AC$3,MATCH('Zip Code Lines_1'!C1830,'Zip Code Lines_1'!$Q$4:$Q$26,0),0)</f>
        <v>18</v>
      </c>
      <c r="H1830" s="342">
        <v>14261</v>
      </c>
    </row>
    <row r="1831" spans="2:8" x14ac:dyDescent="0.25">
      <c r="B1831" s="342">
        <v>14263</v>
      </c>
      <c r="C1831" s="343" t="s">
        <v>561</v>
      </c>
      <c r="D1831" s="343" t="str">
        <f ca="1">OFFSET('Zip Code Lines_1'!$U$3,MATCH('Zip Code Lines_1'!C1831,'Zip Code Lines_1'!$Q$4:$Q$26,0),0)</f>
        <v>Niagara Falls</v>
      </c>
      <c r="E1831" s="344">
        <f ca="1">OFFSET('Zip Code Lines_1'!$W$3,MATCH('Zip Code Lines_1'!C1831,'Zip Code Lines_1'!$Q$4:$Q$26,0),0)</f>
        <v>6.9</v>
      </c>
      <c r="F1831" s="344">
        <f ca="1">OFFSET('Zip Code Lines_1'!$Z$3,MATCH('Zip Code Lines_1'!C1831,'Zip Code Lines_1'!$Q$4:$Q$26,0),0)</f>
        <v>85.2</v>
      </c>
      <c r="G1831" s="342">
        <f ca="1">OFFSET('Zip Code Lines_1'!$AC$3,MATCH('Zip Code Lines_1'!C1831,'Zip Code Lines_1'!$Q$4:$Q$26,0),0)</f>
        <v>18</v>
      </c>
      <c r="H1831" s="342">
        <v>14263</v>
      </c>
    </row>
    <row r="1832" spans="2:8" x14ac:dyDescent="0.25">
      <c r="B1832" s="342">
        <v>14264</v>
      </c>
      <c r="C1832" s="343" t="s">
        <v>561</v>
      </c>
      <c r="D1832" s="343" t="str">
        <f ca="1">OFFSET('Zip Code Lines_1'!$U$3,MATCH('Zip Code Lines_1'!C1832,'Zip Code Lines_1'!$Q$4:$Q$26,0),0)</f>
        <v>Niagara Falls</v>
      </c>
      <c r="E1832" s="344">
        <f ca="1">OFFSET('Zip Code Lines_1'!$W$3,MATCH('Zip Code Lines_1'!C1832,'Zip Code Lines_1'!$Q$4:$Q$26,0),0)</f>
        <v>6.9</v>
      </c>
      <c r="F1832" s="344">
        <f ca="1">OFFSET('Zip Code Lines_1'!$Z$3,MATCH('Zip Code Lines_1'!C1832,'Zip Code Lines_1'!$Q$4:$Q$26,0),0)</f>
        <v>85.2</v>
      </c>
      <c r="G1832" s="342">
        <f ca="1">OFFSET('Zip Code Lines_1'!$AC$3,MATCH('Zip Code Lines_1'!C1832,'Zip Code Lines_1'!$Q$4:$Q$26,0),0)</f>
        <v>18</v>
      </c>
      <c r="H1832" s="342">
        <v>14264</v>
      </c>
    </row>
    <row r="1833" spans="2:8" x14ac:dyDescent="0.25">
      <c r="B1833" s="342">
        <v>14265</v>
      </c>
      <c r="C1833" s="343" t="s">
        <v>561</v>
      </c>
      <c r="D1833" s="343" t="str">
        <f ca="1">OFFSET('Zip Code Lines_1'!$U$3,MATCH('Zip Code Lines_1'!C1833,'Zip Code Lines_1'!$Q$4:$Q$26,0),0)</f>
        <v>Niagara Falls</v>
      </c>
      <c r="E1833" s="344">
        <f ca="1">OFFSET('Zip Code Lines_1'!$W$3,MATCH('Zip Code Lines_1'!C1833,'Zip Code Lines_1'!$Q$4:$Q$26,0),0)</f>
        <v>6.9</v>
      </c>
      <c r="F1833" s="344">
        <f ca="1">OFFSET('Zip Code Lines_1'!$Z$3,MATCH('Zip Code Lines_1'!C1833,'Zip Code Lines_1'!$Q$4:$Q$26,0),0)</f>
        <v>85.2</v>
      </c>
      <c r="G1833" s="342">
        <f ca="1">OFFSET('Zip Code Lines_1'!$AC$3,MATCH('Zip Code Lines_1'!C1833,'Zip Code Lines_1'!$Q$4:$Q$26,0),0)</f>
        <v>18</v>
      </c>
      <c r="H1833" s="342">
        <v>14265</v>
      </c>
    </row>
    <row r="1834" spans="2:8" x14ac:dyDescent="0.25">
      <c r="B1834" s="342">
        <v>14267</v>
      </c>
      <c r="C1834" s="343" t="s">
        <v>561</v>
      </c>
      <c r="D1834" s="343" t="str">
        <f ca="1">OFFSET('Zip Code Lines_1'!$U$3,MATCH('Zip Code Lines_1'!C1834,'Zip Code Lines_1'!$Q$4:$Q$26,0),0)</f>
        <v>Niagara Falls</v>
      </c>
      <c r="E1834" s="344">
        <f ca="1">OFFSET('Zip Code Lines_1'!$W$3,MATCH('Zip Code Lines_1'!C1834,'Zip Code Lines_1'!$Q$4:$Q$26,0),0)</f>
        <v>6.9</v>
      </c>
      <c r="F1834" s="344">
        <f ca="1">OFFSET('Zip Code Lines_1'!$Z$3,MATCH('Zip Code Lines_1'!C1834,'Zip Code Lines_1'!$Q$4:$Q$26,0),0)</f>
        <v>85.2</v>
      </c>
      <c r="G1834" s="342">
        <f ca="1">OFFSET('Zip Code Lines_1'!$AC$3,MATCH('Zip Code Lines_1'!C1834,'Zip Code Lines_1'!$Q$4:$Q$26,0),0)</f>
        <v>18</v>
      </c>
      <c r="H1834" s="342">
        <v>14267</v>
      </c>
    </row>
    <row r="1835" spans="2:8" x14ac:dyDescent="0.25">
      <c r="B1835" s="342">
        <v>14269</v>
      </c>
      <c r="C1835" s="343" t="s">
        <v>561</v>
      </c>
      <c r="D1835" s="343" t="str">
        <f ca="1">OFFSET('Zip Code Lines_1'!$U$3,MATCH('Zip Code Lines_1'!C1835,'Zip Code Lines_1'!$Q$4:$Q$26,0),0)</f>
        <v>Niagara Falls</v>
      </c>
      <c r="E1835" s="344">
        <f ca="1">OFFSET('Zip Code Lines_1'!$W$3,MATCH('Zip Code Lines_1'!C1835,'Zip Code Lines_1'!$Q$4:$Q$26,0),0)</f>
        <v>6.9</v>
      </c>
      <c r="F1835" s="344">
        <f ca="1">OFFSET('Zip Code Lines_1'!$Z$3,MATCH('Zip Code Lines_1'!C1835,'Zip Code Lines_1'!$Q$4:$Q$26,0),0)</f>
        <v>85.2</v>
      </c>
      <c r="G1835" s="342">
        <f ca="1">OFFSET('Zip Code Lines_1'!$AC$3,MATCH('Zip Code Lines_1'!C1835,'Zip Code Lines_1'!$Q$4:$Q$26,0),0)</f>
        <v>18</v>
      </c>
      <c r="H1835" s="342">
        <v>14269</v>
      </c>
    </row>
    <row r="1836" spans="2:8" x14ac:dyDescent="0.25">
      <c r="B1836" s="342">
        <v>14270</v>
      </c>
      <c r="C1836" s="343" t="s">
        <v>561</v>
      </c>
      <c r="D1836" s="343" t="str">
        <f ca="1">OFFSET('Zip Code Lines_1'!$U$3,MATCH('Zip Code Lines_1'!C1836,'Zip Code Lines_1'!$Q$4:$Q$26,0),0)</f>
        <v>Niagara Falls</v>
      </c>
      <c r="E1836" s="344">
        <f ca="1">OFFSET('Zip Code Lines_1'!$W$3,MATCH('Zip Code Lines_1'!C1836,'Zip Code Lines_1'!$Q$4:$Q$26,0),0)</f>
        <v>6.9</v>
      </c>
      <c r="F1836" s="344">
        <f ca="1">OFFSET('Zip Code Lines_1'!$Z$3,MATCH('Zip Code Lines_1'!C1836,'Zip Code Lines_1'!$Q$4:$Q$26,0),0)</f>
        <v>85.2</v>
      </c>
      <c r="G1836" s="342">
        <f ca="1">OFFSET('Zip Code Lines_1'!$AC$3,MATCH('Zip Code Lines_1'!C1836,'Zip Code Lines_1'!$Q$4:$Q$26,0),0)</f>
        <v>18</v>
      </c>
      <c r="H1836" s="342">
        <v>14270</v>
      </c>
    </row>
    <row r="1837" spans="2:8" x14ac:dyDescent="0.25">
      <c r="B1837" s="342">
        <v>14272</v>
      </c>
      <c r="C1837" s="343" t="s">
        <v>561</v>
      </c>
      <c r="D1837" s="343" t="str">
        <f ca="1">OFFSET('Zip Code Lines_1'!$U$3,MATCH('Zip Code Lines_1'!C1837,'Zip Code Lines_1'!$Q$4:$Q$26,0),0)</f>
        <v>Niagara Falls</v>
      </c>
      <c r="E1837" s="344">
        <f ca="1">OFFSET('Zip Code Lines_1'!$W$3,MATCH('Zip Code Lines_1'!C1837,'Zip Code Lines_1'!$Q$4:$Q$26,0),0)</f>
        <v>6.9</v>
      </c>
      <c r="F1837" s="344">
        <f ca="1">OFFSET('Zip Code Lines_1'!$Z$3,MATCH('Zip Code Lines_1'!C1837,'Zip Code Lines_1'!$Q$4:$Q$26,0),0)</f>
        <v>85.2</v>
      </c>
      <c r="G1837" s="342">
        <f ca="1">OFFSET('Zip Code Lines_1'!$AC$3,MATCH('Zip Code Lines_1'!C1837,'Zip Code Lines_1'!$Q$4:$Q$26,0),0)</f>
        <v>18</v>
      </c>
      <c r="H1837" s="342">
        <v>14272</v>
      </c>
    </row>
    <row r="1838" spans="2:8" x14ac:dyDescent="0.25">
      <c r="B1838" s="342">
        <v>14273</v>
      </c>
      <c r="C1838" s="343" t="s">
        <v>561</v>
      </c>
      <c r="D1838" s="343" t="str">
        <f ca="1">OFFSET('Zip Code Lines_1'!$U$3,MATCH('Zip Code Lines_1'!C1838,'Zip Code Lines_1'!$Q$4:$Q$26,0),0)</f>
        <v>Niagara Falls</v>
      </c>
      <c r="E1838" s="344">
        <f ca="1">OFFSET('Zip Code Lines_1'!$W$3,MATCH('Zip Code Lines_1'!C1838,'Zip Code Lines_1'!$Q$4:$Q$26,0),0)</f>
        <v>6.9</v>
      </c>
      <c r="F1838" s="344">
        <f ca="1">OFFSET('Zip Code Lines_1'!$Z$3,MATCH('Zip Code Lines_1'!C1838,'Zip Code Lines_1'!$Q$4:$Q$26,0),0)</f>
        <v>85.2</v>
      </c>
      <c r="G1838" s="342">
        <f ca="1">OFFSET('Zip Code Lines_1'!$AC$3,MATCH('Zip Code Lines_1'!C1838,'Zip Code Lines_1'!$Q$4:$Q$26,0),0)</f>
        <v>18</v>
      </c>
      <c r="H1838" s="342">
        <v>14273</v>
      </c>
    </row>
    <row r="1839" spans="2:8" x14ac:dyDescent="0.25">
      <c r="B1839" s="342">
        <v>14276</v>
      </c>
      <c r="C1839" s="343" t="s">
        <v>561</v>
      </c>
      <c r="D1839" s="343" t="str">
        <f ca="1">OFFSET('Zip Code Lines_1'!$U$3,MATCH('Zip Code Lines_1'!C1839,'Zip Code Lines_1'!$Q$4:$Q$26,0),0)</f>
        <v>Niagara Falls</v>
      </c>
      <c r="E1839" s="344">
        <f ca="1">OFFSET('Zip Code Lines_1'!$W$3,MATCH('Zip Code Lines_1'!C1839,'Zip Code Lines_1'!$Q$4:$Q$26,0),0)</f>
        <v>6.9</v>
      </c>
      <c r="F1839" s="344">
        <f ca="1">OFFSET('Zip Code Lines_1'!$Z$3,MATCH('Zip Code Lines_1'!C1839,'Zip Code Lines_1'!$Q$4:$Q$26,0),0)</f>
        <v>85.2</v>
      </c>
      <c r="G1839" s="342">
        <f ca="1">OFFSET('Zip Code Lines_1'!$AC$3,MATCH('Zip Code Lines_1'!C1839,'Zip Code Lines_1'!$Q$4:$Q$26,0),0)</f>
        <v>18</v>
      </c>
      <c r="H1839" s="342">
        <v>14276</v>
      </c>
    </row>
    <row r="1840" spans="2:8" x14ac:dyDescent="0.25">
      <c r="B1840" s="342">
        <v>14280</v>
      </c>
      <c r="C1840" s="343" t="s">
        <v>561</v>
      </c>
      <c r="D1840" s="343" t="str">
        <f ca="1">OFFSET('Zip Code Lines_1'!$U$3,MATCH('Zip Code Lines_1'!C1840,'Zip Code Lines_1'!$Q$4:$Q$26,0),0)</f>
        <v>Niagara Falls</v>
      </c>
      <c r="E1840" s="344">
        <f ca="1">OFFSET('Zip Code Lines_1'!$W$3,MATCH('Zip Code Lines_1'!C1840,'Zip Code Lines_1'!$Q$4:$Q$26,0),0)</f>
        <v>6.9</v>
      </c>
      <c r="F1840" s="344">
        <f ca="1">OFFSET('Zip Code Lines_1'!$Z$3,MATCH('Zip Code Lines_1'!C1840,'Zip Code Lines_1'!$Q$4:$Q$26,0),0)</f>
        <v>85.2</v>
      </c>
      <c r="G1840" s="342">
        <f ca="1">OFFSET('Zip Code Lines_1'!$AC$3,MATCH('Zip Code Lines_1'!C1840,'Zip Code Lines_1'!$Q$4:$Q$26,0),0)</f>
        <v>18</v>
      </c>
      <c r="H1840" s="342">
        <v>14280</v>
      </c>
    </row>
    <row r="1841" spans="2:8" x14ac:dyDescent="0.25">
      <c r="B1841" s="342">
        <v>14301</v>
      </c>
      <c r="C1841" s="343" t="s">
        <v>561</v>
      </c>
      <c r="D1841" s="343" t="str">
        <f ca="1">OFFSET('Zip Code Lines_1'!$U$3,MATCH('Zip Code Lines_1'!C1841,'Zip Code Lines_1'!$Q$4:$Q$26,0),0)</f>
        <v>Niagara Falls</v>
      </c>
      <c r="E1841" s="344">
        <f ca="1">OFFSET('Zip Code Lines_1'!$W$3,MATCH('Zip Code Lines_1'!C1841,'Zip Code Lines_1'!$Q$4:$Q$26,0),0)</f>
        <v>6.9</v>
      </c>
      <c r="F1841" s="344">
        <f ca="1">OFFSET('Zip Code Lines_1'!$Z$3,MATCH('Zip Code Lines_1'!C1841,'Zip Code Lines_1'!$Q$4:$Q$26,0),0)</f>
        <v>85.2</v>
      </c>
      <c r="G1841" s="342">
        <f ca="1">OFFSET('Zip Code Lines_1'!$AC$3,MATCH('Zip Code Lines_1'!C1841,'Zip Code Lines_1'!$Q$4:$Q$26,0),0)</f>
        <v>18</v>
      </c>
      <c r="H1841" s="342">
        <v>14301</v>
      </c>
    </row>
    <row r="1842" spans="2:8" x14ac:dyDescent="0.25">
      <c r="B1842" s="342">
        <v>14302</v>
      </c>
      <c r="C1842" s="343" t="s">
        <v>561</v>
      </c>
      <c r="D1842" s="343" t="str">
        <f ca="1">OFFSET('Zip Code Lines_1'!$U$3,MATCH('Zip Code Lines_1'!C1842,'Zip Code Lines_1'!$Q$4:$Q$26,0),0)</f>
        <v>Niagara Falls</v>
      </c>
      <c r="E1842" s="344">
        <f ca="1">OFFSET('Zip Code Lines_1'!$W$3,MATCH('Zip Code Lines_1'!C1842,'Zip Code Lines_1'!$Q$4:$Q$26,0),0)</f>
        <v>6.9</v>
      </c>
      <c r="F1842" s="344">
        <f ca="1">OFFSET('Zip Code Lines_1'!$Z$3,MATCH('Zip Code Lines_1'!C1842,'Zip Code Lines_1'!$Q$4:$Q$26,0),0)</f>
        <v>85.2</v>
      </c>
      <c r="G1842" s="342">
        <f ca="1">OFFSET('Zip Code Lines_1'!$AC$3,MATCH('Zip Code Lines_1'!C1842,'Zip Code Lines_1'!$Q$4:$Q$26,0),0)</f>
        <v>18</v>
      </c>
      <c r="H1842" s="342">
        <v>14302</v>
      </c>
    </row>
    <row r="1843" spans="2:8" x14ac:dyDescent="0.25">
      <c r="B1843" s="342">
        <v>14303</v>
      </c>
      <c r="C1843" s="343" t="s">
        <v>561</v>
      </c>
      <c r="D1843" s="343" t="str">
        <f ca="1">OFFSET('Zip Code Lines_1'!$U$3,MATCH('Zip Code Lines_1'!C1843,'Zip Code Lines_1'!$Q$4:$Q$26,0),0)</f>
        <v>Niagara Falls</v>
      </c>
      <c r="E1843" s="344">
        <f ca="1">OFFSET('Zip Code Lines_1'!$W$3,MATCH('Zip Code Lines_1'!C1843,'Zip Code Lines_1'!$Q$4:$Q$26,0),0)</f>
        <v>6.9</v>
      </c>
      <c r="F1843" s="344">
        <f ca="1">OFFSET('Zip Code Lines_1'!$Z$3,MATCH('Zip Code Lines_1'!C1843,'Zip Code Lines_1'!$Q$4:$Q$26,0),0)</f>
        <v>85.2</v>
      </c>
      <c r="G1843" s="342">
        <f ca="1">OFFSET('Zip Code Lines_1'!$AC$3,MATCH('Zip Code Lines_1'!C1843,'Zip Code Lines_1'!$Q$4:$Q$26,0),0)</f>
        <v>18</v>
      </c>
      <c r="H1843" s="342">
        <v>14303</v>
      </c>
    </row>
    <row r="1844" spans="2:8" x14ac:dyDescent="0.25">
      <c r="B1844" s="342">
        <v>14304</v>
      </c>
      <c r="C1844" s="343" t="s">
        <v>561</v>
      </c>
      <c r="D1844" s="343" t="str">
        <f ca="1">OFFSET('Zip Code Lines_1'!$U$3,MATCH('Zip Code Lines_1'!C1844,'Zip Code Lines_1'!$Q$4:$Q$26,0),0)</f>
        <v>Niagara Falls</v>
      </c>
      <c r="E1844" s="344">
        <f ca="1">OFFSET('Zip Code Lines_1'!$W$3,MATCH('Zip Code Lines_1'!C1844,'Zip Code Lines_1'!$Q$4:$Q$26,0),0)</f>
        <v>6.9</v>
      </c>
      <c r="F1844" s="344">
        <f ca="1">OFFSET('Zip Code Lines_1'!$Z$3,MATCH('Zip Code Lines_1'!C1844,'Zip Code Lines_1'!$Q$4:$Q$26,0),0)</f>
        <v>85.2</v>
      </c>
      <c r="G1844" s="342">
        <f ca="1">OFFSET('Zip Code Lines_1'!$AC$3,MATCH('Zip Code Lines_1'!C1844,'Zip Code Lines_1'!$Q$4:$Q$26,0),0)</f>
        <v>18</v>
      </c>
      <c r="H1844" s="342">
        <v>14304</v>
      </c>
    </row>
    <row r="1845" spans="2:8" x14ac:dyDescent="0.25">
      <c r="B1845" s="342">
        <v>14305</v>
      </c>
      <c r="C1845" s="343" t="s">
        <v>561</v>
      </c>
      <c r="D1845" s="343" t="str">
        <f ca="1">OFFSET('Zip Code Lines_1'!$U$3,MATCH('Zip Code Lines_1'!C1845,'Zip Code Lines_1'!$Q$4:$Q$26,0),0)</f>
        <v>Niagara Falls</v>
      </c>
      <c r="E1845" s="344">
        <f ca="1">OFFSET('Zip Code Lines_1'!$W$3,MATCH('Zip Code Lines_1'!C1845,'Zip Code Lines_1'!$Q$4:$Q$26,0),0)</f>
        <v>6.9</v>
      </c>
      <c r="F1845" s="344">
        <f ca="1">OFFSET('Zip Code Lines_1'!$Z$3,MATCH('Zip Code Lines_1'!C1845,'Zip Code Lines_1'!$Q$4:$Q$26,0),0)</f>
        <v>85.2</v>
      </c>
      <c r="G1845" s="342">
        <f ca="1">OFFSET('Zip Code Lines_1'!$AC$3,MATCH('Zip Code Lines_1'!C1845,'Zip Code Lines_1'!$Q$4:$Q$26,0),0)</f>
        <v>18</v>
      </c>
      <c r="H1845" s="342">
        <v>14305</v>
      </c>
    </row>
    <row r="1846" spans="2:8" x14ac:dyDescent="0.25">
      <c r="B1846" s="342">
        <v>14410</v>
      </c>
      <c r="C1846" s="343" t="s">
        <v>564</v>
      </c>
      <c r="D1846" s="343" t="str">
        <f ca="1">OFFSET('Zip Code Lines_1'!$U$3,MATCH('Zip Code Lines_1'!C1846,'Zip Code Lines_1'!$Q$4:$Q$26,0),0)</f>
        <v>Rochester</v>
      </c>
      <c r="E1846" s="344">
        <f ca="1">OFFSET('Zip Code Lines_1'!$W$3,MATCH('Zip Code Lines_1'!C1846,'Zip Code Lines_1'!$Q$4:$Q$26,0),0)</f>
        <v>7.1</v>
      </c>
      <c r="F1846" s="344">
        <f ca="1">OFFSET('Zip Code Lines_1'!$Z$3,MATCH('Zip Code Lines_1'!C1846,'Zip Code Lines_1'!$Q$4:$Q$26,0),0)</f>
        <v>85.6</v>
      </c>
      <c r="G1846" s="342">
        <f ca="1">OFFSET('Zip Code Lines_1'!$AC$3,MATCH('Zip Code Lines_1'!C1846,'Zip Code Lines_1'!$Q$4:$Q$26,0),0)</f>
        <v>12</v>
      </c>
      <c r="H1846" s="342">
        <v>14410</v>
      </c>
    </row>
    <row r="1847" spans="2:8" x14ac:dyDescent="0.25">
      <c r="B1847" s="342">
        <v>14411</v>
      </c>
      <c r="C1847" s="343" t="s">
        <v>561</v>
      </c>
      <c r="D1847" s="343" t="str">
        <f ca="1">OFFSET('Zip Code Lines_1'!$U$3,MATCH('Zip Code Lines_1'!C1847,'Zip Code Lines_1'!$Q$4:$Q$26,0),0)</f>
        <v>Niagara Falls</v>
      </c>
      <c r="E1847" s="344">
        <f ca="1">OFFSET('Zip Code Lines_1'!$W$3,MATCH('Zip Code Lines_1'!C1847,'Zip Code Lines_1'!$Q$4:$Q$26,0),0)</f>
        <v>6.9</v>
      </c>
      <c r="F1847" s="344">
        <f ca="1">OFFSET('Zip Code Lines_1'!$Z$3,MATCH('Zip Code Lines_1'!C1847,'Zip Code Lines_1'!$Q$4:$Q$26,0),0)</f>
        <v>85.2</v>
      </c>
      <c r="G1847" s="342">
        <f ca="1">OFFSET('Zip Code Lines_1'!$AC$3,MATCH('Zip Code Lines_1'!C1847,'Zip Code Lines_1'!$Q$4:$Q$26,0),0)</f>
        <v>18</v>
      </c>
      <c r="H1847" s="342">
        <v>14411</v>
      </c>
    </row>
    <row r="1848" spans="2:8" x14ac:dyDescent="0.25">
      <c r="B1848" s="342">
        <v>14413</v>
      </c>
      <c r="C1848" s="343" t="s">
        <v>568</v>
      </c>
      <c r="D1848" s="343" t="str">
        <f ca="1">OFFSET('Zip Code Lines_1'!$U$3,MATCH('Zip Code Lines_1'!C1848,'Zip Code Lines_1'!$Q$4:$Q$26,0),0)</f>
        <v>Syracuse</v>
      </c>
      <c r="E1848" s="344">
        <f ca="1">OFFSET('Zip Code Lines_1'!$W$3,MATCH('Zip Code Lines_1'!C1848,'Zip Code Lines_1'!$Q$4:$Q$26,0),0)</f>
        <v>4.9000000000000004</v>
      </c>
      <c r="F1848" s="344">
        <f ca="1">OFFSET('Zip Code Lines_1'!$Z$3,MATCH('Zip Code Lines_1'!C1848,'Zip Code Lines_1'!$Q$4:$Q$26,0),0)</f>
        <v>86.4</v>
      </c>
      <c r="G1848" s="342">
        <f ca="1">OFFSET('Zip Code Lines_1'!$AC$3,MATCH('Zip Code Lines_1'!C1848,'Zip Code Lines_1'!$Q$4:$Q$26,0),0)</f>
        <v>12</v>
      </c>
      <c r="H1848" s="342">
        <v>14413</v>
      </c>
    </row>
    <row r="1849" spans="2:8" x14ac:dyDescent="0.25">
      <c r="B1849" s="342">
        <v>14414</v>
      </c>
      <c r="C1849" s="343" t="s">
        <v>564</v>
      </c>
      <c r="D1849" s="343" t="str">
        <f ca="1">OFFSET('Zip Code Lines_1'!$U$3,MATCH('Zip Code Lines_1'!C1849,'Zip Code Lines_1'!$Q$4:$Q$26,0),0)</f>
        <v>Rochester</v>
      </c>
      <c r="E1849" s="344">
        <f ca="1">OFFSET('Zip Code Lines_1'!$W$3,MATCH('Zip Code Lines_1'!C1849,'Zip Code Lines_1'!$Q$4:$Q$26,0),0)</f>
        <v>7.1</v>
      </c>
      <c r="F1849" s="344">
        <f ca="1">OFFSET('Zip Code Lines_1'!$Z$3,MATCH('Zip Code Lines_1'!C1849,'Zip Code Lines_1'!$Q$4:$Q$26,0),0)</f>
        <v>85.6</v>
      </c>
      <c r="G1849" s="342">
        <f ca="1">OFFSET('Zip Code Lines_1'!$AC$3,MATCH('Zip Code Lines_1'!C1849,'Zip Code Lines_1'!$Q$4:$Q$26,0),0)</f>
        <v>12</v>
      </c>
      <c r="H1849" s="342">
        <v>14414</v>
      </c>
    </row>
    <row r="1850" spans="2:8" x14ac:dyDescent="0.25">
      <c r="B1850" s="342">
        <v>14415</v>
      </c>
      <c r="C1850" s="343" t="s">
        <v>532</v>
      </c>
      <c r="D1850" s="343" t="str">
        <f ca="1">OFFSET('Zip Code Lines_1'!$U$3,MATCH('Zip Code Lines_1'!C1850,'Zip Code Lines_1'!$Q$4:$Q$26,0),0)</f>
        <v>Binghamton</v>
      </c>
      <c r="E1850" s="344">
        <f ca="1">OFFSET('Zip Code Lines_1'!$W$3,MATCH('Zip Code Lines_1'!C1850,'Zip Code Lines_1'!$Q$4:$Q$26,0),0)</f>
        <v>4.5</v>
      </c>
      <c r="F1850" s="344">
        <f ca="1">OFFSET('Zip Code Lines_1'!$Z$3,MATCH('Zip Code Lines_1'!C1850,'Zip Code Lines_1'!$Q$4:$Q$26,0),0)</f>
        <v>82.3</v>
      </c>
      <c r="G1850" s="342">
        <f ca="1">OFFSET('Zip Code Lines_1'!$AC$3,MATCH('Zip Code Lines_1'!C1850,'Zip Code Lines_1'!$Q$4:$Q$26,0),0)</f>
        <v>12</v>
      </c>
      <c r="H1850" s="342">
        <v>14415</v>
      </c>
    </row>
    <row r="1851" spans="2:8" x14ac:dyDescent="0.25">
      <c r="B1851" s="342">
        <v>14416</v>
      </c>
      <c r="C1851" s="343" t="s">
        <v>561</v>
      </c>
      <c r="D1851" s="343" t="str">
        <f ca="1">OFFSET('Zip Code Lines_1'!$U$3,MATCH('Zip Code Lines_1'!C1851,'Zip Code Lines_1'!$Q$4:$Q$26,0),0)</f>
        <v>Niagara Falls</v>
      </c>
      <c r="E1851" s="344">
        <f ca="1">OFFSET('Zip Code Lines_1'!$W$3,MATCH('Zip Code Lines_1'!C1851,'Zip Code Lines_1'!$Q$4:$Q$26,0),0)</f>
        <v>6.9</v>
      </c>
      <c r="F1851" s="344">
        <f ca="1">OFFSET('Zip Code Lines_1'!$Z$3,MATCH('Zip Code Lines_1'!C1851,'Zip Code Lines_1'!$Q$4:$Q$26,0),0)</f>
        <v>85.2</v>
      </c>
      <c r="G1851" s="342">
        <f ca="1">OFFSET('Zip Code Lines_1'!$AC$3,MATCH('Zip Code Lines_1'!C1851,'Zip Code Lines_1'!$Q$4:$Q$26,0),0)</f>
        <v>18</v>
      </c>
      <c r="H1851" s="342">
        <v>14416</v>
      </c>
    </row>
    <row r="1852" spans="2:8" x14ac:dyDescent="0.25">
      <c r="B1852" s="342">
        <v>14418</v>
      </c>
      <c r="C1852" s="343" t="s">
        <v>532</v>
      </c>
      <c r="D1852" s="343" t="str">
        <f ca="1">OFFSET('Zip Code Lines_1'!$U$3,MATCH('Zip Code Lines_1'!C1852,'Zip Code Lines_1'!$Q$4:$Q$26,0),0)</f>
        <v>Binghamton</v>
      </c>
      <c r="E1852" s="344">
        <f ca="1">OFFSET('Zip Code Lines_1'!$W$3,MATCH('Zip Code Lines_1'!C1852,'Zip Code Lines_1'!$Q$4:$Q$26,0),0)</f>
        <v>4.5</v>
      </c>
      <c r="F1852" s="344">
        <f ca="1">OFFSET('Zip Code Lines_1'!$Z$3,MATCH('Zip Code Lines_1'!C1852,'Zip Code Lines_1'!$Q$4:$Q$26,0),0)</f>
        <v>82.3</v>
      </c>
      <c r="G1852" s="342">
        <f ca="1">OFFSET('Zip Code Lines_1'!$AC$3,MATCH('Zip Code Lines_1'!C1852,'Zip Code Lines_1'!$Q$4:$Q$26,0),0)</f>
        <v>12</v>
      </c>
      <c r="H1852" s="342">
        <v>14418</v>
      </c>
    </row>
    <row r="1853" spans="2:8" x14ac:dyDescent="0.25">
      <c r="B1853" s="342">
        <v>14420</v>
      </c>
      <c r="C1853" s="343" t="s">
        <v>564</v>
      </c>
      <c r="D1853" s="343" t="str">
        <f ca="1">OFFSET('Zip Code Lines_1'!$U$3,MATCH('Zip Code Lines_1'!C1853,'Zip Code Lines_1'!$Q$4:$Q$26,0),0)</f>
        <v>Rochester</v>
      </c>
      <c r="E1853" s="344">
        <f ca="1">OFFSET('Zip Code Lines_1'!$W$3,MATCH('Zip Code Lines_1'!C1853,'Zip Code Lines_1'!$Q$4:$Q$26,0),0)</f>
        <v>7.1</v>
      </c>
      <c r="F1853" s="344">
        <f ca="1">OFFSET('Zip Code Lines_1'!$Z$3,MATCH('Zip Code Lines_1'!C1853,'Zip Code Lines_1'!$Q$4:$Q$26,0),0)</f>
        <v>85.6</v>
      </c>
      <c r="G1853" s="342">
        <f ca="1">OFFSET('Zip Code Lines_1'!$AC$3,MATCH('Zip Code Lines_1'!C1853,'Zip Code Lines_1'!$Q$4:$Q$26,0),0)</f>
        <v>12</v>
      </c>
      <c r="H1853" s="342">
        <v>14420</v>
      </c>
    </row>
    <row r="1854" spans="2:8" x14ac:dyDescent="0.25">
      <c r="B1854" s="342">
        <v>14422</v>
      </c>
      <c r="C1854" s="343" t="s">
        <v>561</v>
      </c>
      <c r="D1854" s="343" t="str">
        <f ca="1">OFFSET('Zip Code Lines_1'!$U$3,MATCH('Zip Code Lines_1'!C1854,'Zip Code Lines_1'!$Q$4:$Q$26,0),0)</f>
        <v>Niagara Falls</v>
      </c>
      <c r="E1854" s="344">
        <f ca="1">OFFSET('Zip Code Lines_1'!$W$3,MATCH('Zip Code Lines_1'!C1854,'Zip Code Lines_1'!$Q$4:$Q$26,0),0)</f>
        <v>6.9</v>
      </c>
      <c r="F1854" s="344">
        <f ca="1">OFFSET('Zip Code Lines_1'!$Z$3,MATCH('Zip Code Lines_1'!C1854,'Zip Code Lines_1'!$Q$4:$Q$26,0),0)</f>
        <v>85.2</v>
      </c>
      <c r="G1854" s="342">
        <f ca="1">OFFSET('Zip Code Lines_1'!$AC$3,MATCH('Zip Code Lines_1'!C1854,'Zip Code Lines_1'!$Q$4:$Q$26,0),0)</f>
        <v>18</v>
      </c>
      <c r="H1854" s="342">
        <v>14422</v>
      </c>
    </row>
    <row r="1855" spans="2:8" x14ac:dyDescent="0.25">
      <c r="B1855" s="342">
        <v>14423</v>
      </c>
      <c r="C1855" s="343" t="s">
        <v>564</v>
      </c>
      <c r="D1855" s="343" t="str">
        <f ca="1">OFFSET('Zip Code Lines_1'!$U$3,MATCH('Zip Code Lines_1'!C1855,'Zip Code Lines_1'!$Q$4:$Q$26,0),0)</f>
        <v>Rochester</v>
      </c>
      <c r="E1855" s="344">
        <f ca="1">OFFSET('Zip Code Lines_1'!$W$3,MATCH('Zip Code Lines_1'!C1855,'Zip Code Lines_1'!$Q$4:$Q$26,0),0)</f>
        <v>7.1</v>
      </c>
      <c r="F1855" s="344">
        <f ca="1">OFFSET('Zip Code Lines_1'!$Z$3,MATCH('Zip Code Lines_1'!C1855,'Zip Code Lines_1'!$Q$4:$Q$26,0),0)</f>
        <v>85.6</v>
      </c>
      <c r="G1855" s="342">
        <f ca="1">OFFSET('Zip Code Lines_1'!$AC$3,MATCH('Zip Code Lines_1'!C1855,'Zip Code Lines_1'!$Q$4:$Q$26,0),0)</f>
        <v>12</v>
      </c>
      <c r="H1855" s="342">
        <v>14423</v>
      </c>
    </row>
    <row r="1856" spans="2:8" x14ac:dyDescent="0.25">
      <c r="B1856" s="342">
        <v>14424</v>
      </c>
      <c r="C1856" s="343" t="s">
        <v>568</v>
      </c>
      <c r="D1856" s="343" t="str">
        <f ca="1">OFFSET('Zip Code Lines_1'!$U$3,MATCH('Zip Code Lines_1'!C1856,'Zip Code Lines_1'!$Q$4:$Q$26,0),0)</f>
        <v>Syracuse</v>
      </c>
      <c r="E1856" s="344">
        <f ca="1">OFFSET('Zip Code Lines_1'!$W$3,MATCH('Zip Code Lines_1'!C1856,'Zip Code Lines_1'!$Q$4:$Q$26,0),0)</f>
        <v>4.9000000000000004</v>
      </c>
      <c r="F1856" s="344">
        <f ca="1">OFFSET('Zip Code Lines_1'!$Z$3,MATCH('Zip Code Lines_1'!C1856,'Zip Code Lines_1'!$Q$4:$Q$26,0),0)</f>
        <v>86.4</v>
      </c>
      <c r="G1856" s="342">
        <f ca="1">OFFSET('Zip Code Lines_1'!$AC$3,MATCH('Zip Code Lines_1'!C1856,'Zip Code Lines_1'!$Q$4:$Q$26,0),0)</f>
        <v>12</v>
      </c>
      <c r="H1856" s="342">
        <v>14424</v>
      </c>
    </row>
    <row r="1857" spans="2:8" x14ac:dyDescent="0.25">
      <c r="B1857" s="342">
        <v>14425</v>
      </c>
      <c r="C1857" s="343" t="s">
        <v>564</v>
      </c>
      <c r="D1857" s="343" t="str">
        <f ca="1">OFFSET('Zip Code Lines_1'!$U$3,MATCH('Zip Code Lines_1'!C1857,'Zip Code Lines_1'!$Q$4:$Q$26,0),0)</f>
        <v>Rochester</v>
      </c>
      <c r="E1857" s="344">
        <f ca="1">OFFSET('Zip Code Lines_1'!$W$3,MATCH('Zip Code Lines_1'!C1857,'Zip Code Lines_1'!$Q$4:$Q$26,0),0)</f>
        <v>7.1</v>
      </c>
      <c r="F1857" s="344">
        <f ca="1">OFFSET('Zip Code Lines_1'!$Z$3,MATCH('Zip Code Lines_1'!C1857,'Zip Code Lines_1'!$Q$4:$Q$26,0),0)</f>
        <v>85.6</v>
      </c>
      <c r="G1857" s="342">
        <f ca="1">OFFSET('Zip Code Lines_1'!$AC$3,MATCH('Zip Code Lines_1'!C1857,'Zip Code Lines_1'!$Q$4:$Q$26,0),0)</f>
        <v>12</v>
      </c>
      <c r="H1857" s="342">
        <v>14425</v>
      </c>
    </row>
    <row r="1858" spans="2:8" x14ac:dyDescent="0.25">
      <c r="B1858" s="342">
        <v>14427</v>
      </c>
      <c r="C1858" s="343" t="s">
        <v>546</v>
      </c>
      <c r="D1858" s="343" t="str">
        <f ca="1">OFFSET('Zip Code Lines_1'!$U$3,MATCH('Zip Code Lines_1'!C1858,'Zip Code Lines_1'!$Q$4:$Q$26,0),0)</f>
        <v>Jamestown</v>
      </c>
      <c r="E1858" s="344">
        <f ca="1">OFFSET('Zip Code Lines_1'!$W$3,MATCH('Zip Code Lines_1'!C1858,'Zip Code Lines_1'!$Q$4:$Q$26,0),0)</f>
        <v>4.8</v>
      </c>
      <c r="F1858" s="344">
        <f ca="1">OFFSET('Zip Code Lines_1'!$Z$3,MATCH('Zip Code Lines_1'!C1858,'Zip Code Lines_1'!$Q$4:$Q$26,0),0)</f>
        <v>81.099999999999994</v>
      </c>
      <c r="G1858" s="342">
        <f ca="1">OFFSET('Zip Code Lines_1'!$AC$3,MATCH('Zip Code Lines_1'!C1858,'Zip Code Lines_1'!$Q$4:$Q$26,0),0)</f>
        <v>12</v>
      </c>
      <c r="H1858" s="342">
        <v>14427</v>
      </c>
    </row>
    <row r="1859" spans="2:8" x14ac:dyDescent="0.25">
      <c r="B1859" s="342">
        <v>14428</v>
      </c>
      <c r="C1859" s="343" t="s">
        <v>564</v>
      </c>
      <c r="D1859" s="343" t="str">
        <f ca="1">OFFSET('Zip Code Lines_1'!$U$3,MATCH('Zip Code Lines_1'!C1859,'Zip Code Lines_1'!$Q$4:$Q$26,0),0)</f>
        <v>Rochester</v>
      </c>
      <c r="E1859" s="344">
        <f ca="1">OFFSET('Zip Code Lines_1'!$W$3,MATCH('Zip Code Lines_1'!C1859,'Zip Code Lines_1'!$Q$4:$Q$26,0),0)</f>
        <v>7.1</v>
      </c>
      <c r="F1859" s="344">
        <f ca="1">OFFSET('Zip Code Lines_1'!$Z$3,MATCH('Zip Code Lines_1'!C1859,'Zip Code Lines_1'!$Q$4:$Q$26,0),0)</f>
        <v>85.6</v>
      </c>
      <c r="G1859" s="342">
        <f ca="1">OFFSET('Zip Code Lines_1'!$AC$3,MATCH('Zip Code Lines_1'!C1859,'Zip Code Lines_1'!$Q$4:$Q$26,0),0)</f>
        <v>12</v>
      </c>
      <c r="H1859" s="342">
        <v>14428</v>
      </c>
    </row>
    <row r="1860" spans="2:8" x14ac:dyDescent="0.25">
      <c r="B1860" s="342">
        <v>14429</v>
      </c>
      <c r="C1860" s="343" t="s">
        <v>561</v>
      </c>
      <c r="D1860" s="343" t="str">
        <f ca="1">OFFSET('Zip Code Lines_1'!$U$3,MATCH('Zip Code Lines_1'!C1860,'Zip Code Lines_1'!$Q$4:$Q$26,0),0)</f>
        <v>Niagara Falls</v>
      </c>
      <c r="E1860" s="344">
        <f ca="1">OFFSET('Zip Code Lines_1'!$W$3,MATCH('Zip Code Lines_1'!C1860,'Zip Code Lines_1'!$Q$4:$Q$26,0),0)</f>
        <v>6.9</v>
      </c>
      <c r="F1860" s="344">
        <f ca="1">OFFSET('Zip Code Lines_1'!$Z$3,MATCH('Zip Code Lines_1'!C1860,'Zip Code Lines_1'!$Q$4:$Q$26,0),0)</f>
        <v>85.2</v>
      </c>
      <c r="G1860" s="342">
        <f ca="1">OFFSET('Zip Code Lines_1'!$AC$3,MATCH('Zip Code Lines_1'!C1860,'Zip Code Lines_1'!$Q$4:$Q$26,0),0)</f>
        <v>18</v>
      </c>
      <c r="H1860" s="342">
        <v>14429</v>
      </c>
    </row>
    <row r="1861" spans="2:8" x14ac:dyDescent="0.25">
      <c r="B1861" s="342">
        <v>14430</v>
      </c>
      <c r="C1861" s="343" t="s">
        <v>564</v>
      </c>
      <c r="D1861" s="343" t="str">
        <f ca="1">OFFSET('Zip Code Lines_1'!$U$3,MATCH('Zip Code Lines_1'!C1861,'Zip Code Lines_1'!$Q$4:$Q$26,0),0)</f>
        <v>Rochester</v>
      </c>
      <c r="E1861" s="344">
        <f ca="1">OFFSET('Zip Code Lines_1'!$W$3,MATCH('Zip Code Lines_1'!C1861,'Zip Code Lines_1'!$Q$4:$Q$26,0),0)</f>
        <v>7.1</v>
      </c>
      <c r="F1861" s="344">
        <f ca="1">OFFSET('Zip Code Lines_1'!$Z$3,MATCH('Zip Code Lines_1'!C1861,'Zip Code Lines_1'!$Q$4:$Q$26,0),0)</f>
        <v>85.6</v>
      </c>
      <c r="G1861" s="342">
        <f ca="1">OFFSET('Zip Code Lines_1'!$AC$3,MATCH('Zip Code Lines_1'!C1861,'Zip Code Lines_1'!$Q$4:$Q$26,0),0)</f>
        <v>12</v>
      </c>
      <c r="H1861" s="342">
        <v>14430</v>
      </c>
    </row>
    <row r="1862" spans="2:8" x14ac:dyDescent="0.25">
      <c r="B1862" s="342">
        <v>14432</v>
      </c>
      <c r="C1862" s="343" t="s">
        <v>568</v>
      </c>
      <c r="D1862" s="343" t="str">
        <f ca="1">OFFSET('Zip Code Lines_1'!$U$3,MATCH('Zip Code Lines_1'!C1862,'Zip Code Lines_1'!$Q$4:$Q$26,0),0)</f>
        <v>Syracuse</v>
      </c>
      <c r="E1862" s="344">
        <f ca="1">OFFSET('Zip Code Lines_1'!$W$3,MATCH('Zip Code Lines_1'!C1862,'Zip Code Lines_1'!$Q$4:$Q$26,0),0)</f>
        <v>4.9000000000000004</v>
      </c>
      <c r="F1862" s="344">
        <f ca="1">OFFSET('Zip Code Lines_1'!$Z$3,MATCH('Zip Code Lines_1'!C1862,'Zip Code Lines_1'!$Q$4:$Q$26,0),0)</f>
        <v>86.4</v>
      </c>
      <c r="G1862" s="342">
        <f ca="1">OFFSET('Zip Code Lines_1'!$AC$3,MATCH('Zip Code Lines_1'!C1862,'Zip Code Lines_1'!$Q$4:$Q$26,0),0)</f>
        <v>12</v>
      </c>
      <c r="H1862" s="342">
        <v>14432</v>
      </c>
    </row>
    <row r="1863" spans="2:8" x14ac:dyDescent="0.25">
      <c r="B1863" s="342">
        <v>14433</v>
      </c>
      <c r="C1863" s="343" t="s">
        <v>568</v>
      </c>
      <c r="D1863" s="343" t="str">
        <f ca="1">OFFSET('Zip Code Lines_1'!$U$3,MATCH('Zip Code Lines_1'!C1863,'Zip Code Lines_1'!$Q$4:$Q$26,0),0)</f>
        <v>Syracuse</v>
      </c>
      <c r="E1863" s="344">
        <f ca="1">OFFSET('Zip Code Lines_1'!$W$3,MATCH('Zip Code Lines_1'!C1863,'Zip Code Lines_1'!$Q$4:$Q$26,0),0)</f>
        <v>4.9000000000000004</v>
      </c>
      <c r="F1863" s="344">
        <f ca="1">OFFSET('Zip Code Lines_1'!$Z$3,MATCH('Zip Code Lines_1'!C1863,'Zip Code Lines_1'!$Q$4:$Q$26,0),0)</f>
        <v>86.4</v>
      </c>
      <c r="G1863" s="342">
        <f ca="1">OFFSET('Zip Code Lines_1'!$AC$3,MATCH('Zip Code Lines_1'!C1863,'Zip Code Lines_1'!$Q$4:$Q$26,0),0)</f>
        <v>12</v>
      </c>
      <c r="H1863" s="342">
        <v>14433</v>
      </c>
    </row>
    <row r="1864" spans="2:8" x14ac:dyDescent="0.25">
      <c r="B1864" s="342">
        <v>14435</v>
      </c>
      <c r="C1864" s="343" t="s">
        <v>534</v>
      </c>
      <c r="D1864" s="343" t="str">
        <f ca="1">OFFSET('Zip Code Lines_1'!$U$3,MATCH('Zip Code Lines_1'!C1864,'Zip Code Lines_1'!$Q$4:$Q$26,0),0)</f>
        <v>Buffalo</v>
      </c>
      <c r="E1864" s="344">
        <f ca="1">OFFSET('Zip Code Lines_1'!$W$3,MATCH('Zip Code Lines_1'!C1864,'Zip Code Lines_1'!$Q$4:$Q$26,0),0)</f>
        <v>7.4</v>
      </c>
      <c r="F1864" s="344">
        <f ca="1">OFFSET('Zip Code Lines_1'!$Z$3,MATCH('Zip Code Lines_1'!C1864,'Zip Code Lines_1'!$Q$4:$Q$26,0),0)</f>
        <v>83.9</v>
      </c>
      <c r="G1864" s="342">
        <f ca="1">OFFSET('Zip Code Lines_1'!$AC$3,MATCH('Zip Code Lines_1'!C1864,'Zip Code Lines_1'!$Q$4:$Q$26,0),0)</f>
        <v>18</v>
      </c>
      <c r="H1864" s="342">
        <v>14435</v>
      </c>
    </row>
    <row r="1865" spans="2:8" x14ac:dyDescent="0.25">
      <c r="B1865" s="342">
        <v>14437</v>
      </c>
      <c r="C1865" s="343" t="s">
        <v>534</v>
      </c>
      <c r="D1865" s="343" t="str">
        <f ca="1">OFFSET('Zip Code Lines_1'!$U$3,MATCH('Zip Code Lines_1'!C1865,'Zip Code Lines_1'!$Q$4:$Q$26,0),0)</f>
        <v>Buffalo</v>
      </c>
      <c r="E1865" s="344">
        <f ca="1">OFFSET('Zip Code Lines_1'!$W$3,MATCH('Zip Code Lines_1'!C1865,'Zip Code Lines_1'!$Q$4:$Q$26,0),0)</f>
        <v>7.4</v>
      </c>
      <c r="F1865" s="344">
        <f ca="1">OFFSET('Zip Code Lines_1'!$Z$3,MATCH('Zip Code Lines_1'!C1865,'Zip Code Lines_1'!$Q$4:$Q$26,0),0)</f>
        <v>83.9</v>
      </c>
      <c r="G1865" s="342">
        <f ca="1">OFFSET('Zip Code Lines_1'!$AC$3,MATCH('Zip Code Lines_1'!C1865,'Zip Code Lines_1'!$Q$4:$Q$26,0),0)</f>
        <v>18</v>
      </c>
      <c r="H1865" s="342">
        <v>14437</v>
      </c>
    </row>
    <row r="1866" spans="2:8" x14ac:dyDescent="0.25">
      <c r="B1866" s="342">
        <v>14441</v>
      </c>
      <c r="C1866" s="343" t="s">
        <v>568</v>
      </c>
      <c r="D1866" s="343" t="str">
        <f ca="1">OFFSET('Zip Code Lines_1'!$U$3,MATCH('Zip Code Lines_1'!C1866,'Zip Code Lines_1'!$Q$4:$Q$26,0),0)</f>
        <v>Syracuse</v>
      </c>
      <c r="E1866" s="344">
        <f ca="1">OFFSET('Zip Code Lines_1'!$W$3,MATCH('Zip Code Lines_1'!C1866,'Zip Code Lines_1'!$Q$4:$Q$26,0),0)</f>
        <v>4.9000000000000004</v>
      </c>
      <c r="F1866" s="344">
        <f ca="1">OFFSET('Zip Code Lines_1'!$Z$3,MATCH('Zip Code Lines_1'!C1866,'Zip Code Lines_1'!$Q$4:$Q$26,0),0)</f>
        <v>86.4</v>
      </c>
      <c r="G1866" s="342">
        <f ca="1">OFFSET('Zip Code Lines_1'!$AC$3,MATCH('Zip Code Lines_1'!C1866,'Zip Code Lines_1'!$Q$4:$Q$26,0),0)</f>
        <v>12</v>
      </c>
      <c r="H1866" s="342">
        <v>14441</v>
      </c>
    </row>
    <row r="1867" spans="2:8" x14ac:dyDescent="0.25">
      <c r="B1867" s="342">
        <v>14443</v>
      </c>
      <c r="C1867" s="343" t="s">
        <v>564</v>
      </c>
      <c r="D1867" s="343" t="str">
        <f ca="1">OFFSET('Zip Code Lines_1'!$U$3,MATCH('Zip Code Lines_1'!C1867,'Zip Code Lines_1'!$Q$4:$Q$26,0),0)</f>
        <v>Rochester</v>
      </c>
      <c r="E1867" s="344">
        <f ca="1">OFFSET('Zip Code Lines_1'!$W$3,MATCH('Zip Code Lines_1'!C1867,'Zip Code Lines_1'!$Q$4:$Q$26,0),0)</f>
        <v>7.1</v>
      </c>
      <c r="F1867" s="344">
        <f ca="1">OFFSET('Zip Code Lines_1'!$Z$3,MATCH('Zip Code Lines_1'!C1867,'Zip Code Lines_1'!$Q$4:$Q$26,0),0)</f>
        <v>85.6</v>
      </c>
      <c r="G1867" s="342">
        <f ca="1">OFFSET('Zip Code Lines_1'!$AC$3,MATCH('Zip Code Lines_1'!C1867,'Zip Code Lines_1'!$Q$4:$Q$26,0),0)</f>
        <v>12</v>
      </c>
      <c r="H1867" s="342">
        <v>14443</v>
      </c>
    </row>
    <row r="1868" spans="2:8" x14ac:dyDescent="0.25">
      <c r="B1868" s="342">
        <v>14445</v>
      </c>
      <c r="C1868" s="343" t="s">
        <v>564</v>
      </c>
      <c r="D1868" s="343" t="str">
        <f ca="1">OFFSET('Zip Code Lines_1'!$U$3,MATCH('Zip Code Lines_1'!C1868,'Zip Code Lines_1'!$Q$4:$Q$26,0),0)</f>
        <v>Rochester</v>
      </c>
      <c r="E1868" s="344">
        <f ca="1">OFFSET('Zip Code Lines_1'!$W$3,MATCH('Zip Code Lines_1'!C1868,'Zip Code Lines_1'!$Q$4:$Q$26,0),0)</f>
        <v>7.1</v>
      </c>
      <c r="F1868" s="344">
        <f ca="1">OFFSET('Zip Code Lines_1'!$Z$3,MATCH('Zip Code Lines_1'!C1868,'Zip Code Lines_1'!$Q$4:$Q$26,0),0)</f>
        <v>85.6</v>
      </c>
      <c r="G1868" s="342">
        <f ca="1">OFFSET('Zip Code Lines_1'!$AC$3,MATCH('Zip Code Lines_1'!C1868,'Zip Code Lines_1'!$Q$4:$Q$26,0),0)</f>
        <v>12</v>
      </c>
      <c r="H1868" s="342">
        <v>14445</v>
      </c>
    </row>
    <row r="1869" spans="2:8" x14ac:dyDescent="0.25">
      <c r="B1869" s="342">
        <v>14449</v>
      </c>
      <c r="C1869" s="343" t="s">
        <v>568</v>
      </c>
      <c r="D1869" s="343" t="str">
        <f ca="1">OFFSET('Zip Code Lines_1'!$U$3,MATCH('Zip Code Lines_1'!C1869,'Zip Code Lines_1'!$Q$4:$Q$26,0),0)</f>
        <v>Syracuse</v>
      </c>
      <c r="E1869" s="344">
        <f ca="1">OFFSET('Zip Code Lines_1'!$W$3,MATCH('Zip Code Lines_1'!C1869,'Zip Code Lines_1'!$Q$4:$Q$26,0),0)</f>
        <v>4.9000000000000004</v>
      </c>
      <c r="F1869" s="344">
        <f ca="1">OFFSET('Zip Code Lines_1'!$Z$3,MATCH('Zip Code Lines_1'!C1869,'Zip Code Lines_1'!$Q$4:$Q$26,0),0)</f>
        <v>86.4</v>
      </c>
      <c r="G1869" s="342">
        <f ca="1">OFFSET('Zip Code Lines_1'!$AC$3,MATCH('Zip Code Lines_1'!C1869,'Zip Code Lines_1'!$Q$4:$Q$26,0),0)</f>
        <v>12</v>
      </c>
      <c r="H1869" s="342">
        <v>14449</v>
      </c>
    </row>
    <row r="1870" spans="2:8" x14ac:dyDescent="0.25">
      <c r="B1870" s="342">
        <v>14450</v>
      </c>
      <c r="C1870" s="343" t="s">
        <v>564</v>
      </c>
      <c r="D1870" s="343" t="str">
        <f ca="1">OFFSET('Zip Code Lines_1'!$U$3,MATCH('Zip Code Lines_1'!C1870,'Zip Code Lines_1'!$Q$4:$Q$26,0),0)</f>
        <v>Rochester</v>
      </c>
      <c r="E1870" s="344">
        <f ca="1">OFFSET('Zip Code Lines_1'!$W$3,MATCH('Zip Code Lines_1'!C1870,'Zip Code Lines_1'!$Q$4:$Q$26,0),0)</f>
        <v>7.1</v>
      </c>
      <c r="F1870" s="344">
        <f ca="1">OFFSET('Zip Code Lines_1'!$Z$3,MATCH('Zip Code Lines_1'!C1870,'Zip Code Lines_1'!$Q$4:$Q$26,0),0)</f>
        <v>85.6</v>
      </c>
      <c r="G1870" s="342">
        <f ca="1">OFFSET('Zip Code Lines_1'!$AC$3,MATCH('Zip Code Lines_1'!C1870,'Zip Code Lines_1'!$Q$4:$Q$26,0),0)</f>
        <v>12</v>
      </c>
      <c r="H1870" s="342">
        <v>14450</v>
      </c>
    </row>
    <row r="1871" spans="2:8" x14ac:dyDescent="0.25">
      <c r="B1871" s="342">
        <v>14452</v>
      </c>
      <c r="C1871" s="343" t="s">
        <v>561</v>
      </c>
      <c r="D1871" s="343" t="str">
        <f ca="1">OFFSET('Zip Code Lines_1'!$U$3,MATCH('Zip Code Lines_1'!C1871,'Zip Code Lines_1'!$Q$4:$Q$26,0),0)</f>
        <v>Niagara Falls</v>
      </c>
      <c r="E1871" s="344">
        <f ca="1">OFFSET('Zip Code Lines_1'!$W$3,MATCH('Zip Code Lines_1'!C1871,'Zip Code Lines_1'!$Q$4:$Q$26,0),0)</f>
        <v>6.9</v>
      </c>
      <c r="F1871" s="344">
        <f ca="1">OFFSET('Zip Code Lines_1'!$Z$3,MATCH('Zip Code Lines_1'!C1871,'Zip Code Lines_1'!$Q$4:$Q$26,0),0)</f>
        <v>85.2</v>
      </c>
      <c r="G1871" s="342">
        <f ca="1">OFFSET('Zip Code Lines_1'!$AC$3,MATCH('Zip Code Lines_1'!C1871,'Zip Code Lines_1'!$Q$4:$Q$26,0),0)</f>
        <v>18</v>
      </c>
      <c r="H1871" s="342">
        <v>14452</v>
      </c>
    </row>
    <row r="1872" spans="2:8" x14ac:dyDescent="0.25">
      <c r="B1872" s="342">
        <v>14453</v>
      </c>
      <c r="C1872" s="343" t="s">
        <v>564</v>
      </c>
      <c r="D1872" s="343" t="str">
        <f ca="1">OFFSET('Zip Code Lines_1'!$U$3,MATCH('Zip Code Lines_1'!C1872,'Zip Code Lines_1'!$Q$4:$Q$26,0),0)</f>
        <v>Rochester</v>
      </c>
      <c r="E1872" s="344">
        <f ca="1">OFFSET('Zip Code Lines_1'!$W$3,MATCH('Zip Code Lines_1'!C1872,'Zip Code Lines_1'!$Q$4:$Q$26,0),0)</f>
        <v>7.1</v>
      </c>
      <c r="F1872" s="344">
        <f ca="1">OFFSET('Zip Code Lines_1'!$Z$3,MATCH('Zip Code Lines_1'!C1872,'Zip Code Lines_1'!$Q$4:$Q$26,0),0)</f>
        <v>85.6</v>
      </c>
      <c r="G1872" s="342">
        <f ca="1">OFFSET('Zip Code Lines_1'!$AC$3,MATCH('Zip Code Lines_1'!C1872,'Zip Code Lines_1'!$Q$4:$Q$26,0),0)</f>
        <v>12</v>
      </c>
      <c r="H1872" s="342">
        <v>14453</v>
      </c>
    </row>
    <row r="1873" spans="2:8" x14ac:dyDescent="0.25">
      <c r="B1873" s="342">
        <v>14454</v>
      </c>
      <c r="C1873" s="343" t="s">
        <v>534</v>
      </c>
      <c r="D1873" s="343" t="str">
        <f ca="1">OFFSET('Zip Code Lines_1'!$U$3,MATCH('Zip Code Lines_1'!C1873,'Zip Code Lines_1'!$Q$4:$Q$26,0),0)</f>
        <v>Buffalo</v>
      </c>
      <c r="E1873" s="344">
        <f ca="1">OFFSET('Zip Code Lines_1'!$W$3,MATCH('Zip Code Lines_1'!C1873,'Zip Code Lines_1'!$Q$4:$Q$26,0),0)</f>
        <v>7.4</v>
      </c>
      <c r="F1873" s="344">
        <f ca="1">OFFSET('Zip Code Lines_1'!$Z$3,MATCH('Zip Code Lines_1'!C1873,'Zip Code Lines_1'!$Q$4:$Q$26,0),0)</f>
        <v>83.9</v>
      </c>
      <c r="G1873" s="342">
        <f ca="1">OFFSET('Zip Code Lines_1'!$AC$3,MATCH('Zip Code Lines_1'!C1873,'Zip Code Lines_1'!$Q$4:$Q$26,0),0)</f>
        <v>18</v>
      </c>
      <c r="H1873" s="342">
        <v>14454</v>
      </c>
    </row>
    <row r="1874" spans="2:8" x14ac:dyDescent="0.25">
      <c r="B1874" s="342">
        <v>14456</v>
      </c>
      <c r="C1874" s="343" t="s">
        <v>568</v>
      </c>
      <c r="D1874" s="343" t="str">
        <f ca="1">OFFSET('Zip Code Lines_1'!$U$3,MATCH('Zip Code Lines_1'!C1874,'Zip Code Lines_1'!$Q$4:$Q$26,0),0)</f>
        <v>Syracuse</v>
      </c>
      <c r="E1874" s="344">
        <f ca="1">OFFSET('Zip Code Lines_1'!$W$3,MATCH('Zip Code Lines_1'!C1874,'Zip Code Lines_1'!$Q$4:$Q$26,0),0)</f>
        <v>4.9000000000000004</v>
      </c>
      <c r="F1874" s="344">
        <f ca="1">OFFSET('Zip Code Lines_1'!$Z$3,MATCH('Zip Code Lines_1'!C1874,'Zip Code Lines_1'!$Q$4:$Q$26,0),0)</f>
        <v>86.4</v>
      </c>
      <c r="G1874" s="342">
        <f ca="1">OFFSET('Zip Code Lines_1'!$AC$3,MATCH('Zip Code Lines_1'!C1874,'Zip Code Lines_1'!$Q$4:$Q$26,0),0)</f>
        <v>12</v>
      </c>
      <c r="H1874" s="342">
        <v>14456</v>
      </c>
    </row>
    <row r="1875" spans="2:8" x14ac:dyDescent="0.25">
      <c r="B1875" s="342">
        <v>14461</v>
      </c>
      <c r="C1875" s="343" t="s">
        <v>532</v>
      </c>
      <c r="D1875" s="343" t="str">
        <f ca="1">OFFSET('Zip Code Lines_1'!$U$3,MATCH('Zip Code Lines_1'!C1875,'Zip Code Lines_1'!$Q$4:$Q$26,0),0)</f>
        <v>Binghamton</v>
      </c>
      <c r="E1875" s="344">
        <f ca="1">OFFSET('Zip Code Lines_1'!$W$3,MATCH('Zip Code Lines_1'!C1875,'Zip Code Lines_1'!$Q$4:$Q$26,0),0)</f>
        <v>4.5</v>
      </c>
      <c r="F1875" s="344">
        <f ca="1">OFFSET('Zip Code Lines_1'!$Z$3,MATCH('Zip Code Lines_1'!C1875,'Zip Code Lines_1'!$Q$4:$Q$26,0),0)</f>
        <v>82.3</v>
      </c>
      <c r="G1875" s="342">
        <f ca="1">OFFSET('Zip Code Lines_1'!$AC$3,MATCH('Zip Code Lines_1'!C1875,'Zip Code Lines_1'!$Q$4:$Q$26,0),0)</f>
        <v>12</v>
      </c>
      <c r="H1875" s="342">
        <v>14461</v>
      </c>
    </row>
    <row r="1876" spans="2:8" x14ac:dyDescent="0.25">
      <c r="B1876" s="342">
        <v>14462</v>
      </c>
      <c r="C1876" s="343" t="s">
        <v>534</v>
      </c>
      <c r="D1876" s="343" t="str">
        <f ca="1">OFFSET('Zip Code Lines_1'!$U$3,MATCH('Zip Code Lines_1'!C1876,'Zip Code Lines_1'!$Q$4:$Q$26,0),0)</f>
        <v>Buffalo</v>
      </c>
      <c r="E1876" s="344">
        <f ca="1">OFFSET('Zip Code Lines_1'!$W$3,MATCH('Zip Code Lines_1'!C1876,'Zip Code Lines_1'!$Q$4:$Q$26,0),0)</f>
        <v>7.4</v>
      </c>
      <c r="F1876" s="344">
        <f ca="1">OFFSET('Zip Code Lines_1'!$Z$3,MATCH('Zip Code Lines_1'!C1876,'Zip Code Lines_1'!$Q$4:$Q$26,0),0)</f>
        <v>83.9</v>
      </c>
      <c r="G1876" s="342">
        <f ca="1">OFFSET('Zip Code Lines_1'!$AC$3,MATCH('Zip Code Lines_1'!C1876,'Zip Code Lines_1'!$Q$4:$Q$26,0),0)</f>
        <v>18</v>
      </c>
      <c r="H1876" s="342">
        <v>14462</v>
      </c>
    </row>
    <row r="1877" spans="2:8" x14ac:dyDescent="0.25">
      <c r="B1877" s="342">
        <v>14463</v>
      </c>
      <c r="C1877" s="343" t="s">
        <v>532</v>
      </c>
      <c r="D1877" s="343" t="str">
        <f ca="1">OFFSET('Zip Code Lines_1'!$U$3,MATCH('Zip Code Lines_1'!C1877,'Zip Code Lines_1'!$Q$4:$Q$26,0),0)</f>
        <v>Binghamton</v>
      </c>
      <c r="E1877" s="344">
        <f ca="1">OFFSET('Zip Code Lines_1'!$W$3,MATCH('Zip Code Lines_1'!C1877,'Zip Code Lines_1'!$Q$4:$Q$26,0),0)</f>
        <v>4.5</v>
      </c>
      <c r="F1877" s="344">
        <f ca="1">OFFSET('Zip Code Lines_1'!$Z$3,MATCH('Zip Code Lines_1'!C1877,'Zip Code Lines_1'!$Q$4:$Q$26,0),0)</f>
        <v>82.3</v>
      </c>
      <c r="G1877" s="342">
        <f ca="1">OFFSET('Zip Code Lines_1'!$AC$3,MATCH('Zip Code Lines_1'!C1877,'Zip Code Lines_1'!$Q$4:$Q$26,0),0)</f>
        <v>12</v>
      </c>
      <c r="H1877" s="342">
        <v>14463</v>
      </c>
    </row>
    <row r="1878" spans="2:8" x14ac:dyDescent="0.25">
      <c r="B1878" s="342">
        <v>14464</v>
      </c>
      <c r="C1878" s="343" t="s">
        <v>564</v>
      </c>
      <c r="D1878" s="343" t="str">
        <f ca="1">OFFSET('Zip Code Lines_1'!$U$3,MATCH('Zip Code Lines_1'!C1878,'Zip Code Lines_1'!$Q$4:$Q$26,0),0)</f>
        <v>Rochester</v>
      </c>
      <c r="E1878" s="344">
        <f ca="1">OFFSET('Zip Code Lines_1'!$W$3,MATCH('Zip Code Lines_1'!C1878,'Zip Code Lines_1'!$Q$4:$Q$26,0),0)</f>
        <v>7.1</v>
      </c>
      <c r="F1878" s="344">
        <f ca="1">OFFSET('Zip Code Lines_1'!$Z$3,MATCH('Zip Code Lines_1'!C1878,'Zip Code Lines_1'!$Q$4:$Q$26,0),0)</f>
        <v>85.6</v>
      </c>
      <c r="G1878" s="342">
        <f ca="1">OFFSET('Zip Code Lines_1'!$AC$3,MATCH('Zip Code Lines_1'!C1878,'Zip Code Lines_1'!$Q$4:$Q$26,0),0)</f>
        <v>12</v>
      </c>
      <c r="H1878" s="342">
        <v>14464</v>
      </c>
    </row>
    <row r="1879" spans="2:8" x14ac:dyDescent="0.25">
      <c r="B1879" s="342">
        <v>14466</v>
      </c>
      <c r="C1879" s="343" t="s">
        <v>534</v>
      </c>
      <c r="D1879" s="343" t="str">
        <f ca="1">OFFSET('Zip Code Lines_1'!$U$3,MATCH('Zip Code Lines_1'!C1879,'Zip Code Lines_1'!$Q$4:$Q$26,0),0)</f>
        <v>Buffalo</v>
      </c>
      <c r="E1879" s="344">
        <f ca="1">OFFSET('Zip Code Lines_1'!$W$3,MATCH('Zip Code Lines_1'!C1879,'Zip Code Lines_1'!$Q$4:$Q$26,0),0)</f>
        <v>7.4</v>
      </c>
      <c r="F1879" s="344">
        <f ca="1">OFFSET('Zip Code Lines_1'!$Z$3,MATCH('Zip Code Lines_1'!C1879,'Zip Code Lines_1'!$Q$4:$Q$26,0),0)</f>
        <v>83.9</v>
      </c>
      <c r="G1879" s="342">
        <f ca="1">OFFSET('Zip Code Lines_1'!$AC$3,MATCH('Zip Code Lines_1'!C1879,'Zip Code Lines_1'!$Q$4:$Q$26,0),0)</f>
        <v>18</v>
      </c>
      <c r="H1879" s="342">
        <v>14466</v>
      </c>
    </row>
    <row r="1880" spans="2:8" x14ac:dyDescent="0.25">
      <c r="B1880" s="342">
        <v>14467</v>
      </c>
      <c r="C1880" s="343" t="s">
        <v>564</v>
      </c>
      <c r="D1880" s="343" t="str">
        <f ca="1">OFFSET('Zip Code Lines_1'!$U$3,MATCH('Zip Code Lines_1'!C1880,'Zip Code Lines_1'!$Q$4:$Q$26,0),0)</f>
        <v>Rochester</v>
      </c>
      <c r="E1880" s="344">
        <f ca="1">OFFSET('Zip Code Lines_1'!$W$3,MATCH('Zip Code Lines_1'!C1880,'Zip Code Lines_1'!$Q$4:$Q$26,0),0)</f>
        <v>7.1</v>
      </c>
      <c r="F1880" s="344">
        <f ca="1">OFFSET('Zip Code Lines_1'!$Z$3,MATCH('Zip Code Lines_1'!C1880,'Zip Code Lines_1'!$Q$4:$Q$26,0),0)</f>
        <v>85.6</v>
      </c>
      <c r="G1880" s="342">
        <f ca="1">OFFSET('Zip Code Lines_1'!$AC$3,MATCH('Zip Code Lines_1'!C1880,'Zip Code Lines_1'!$Q$4:$Q$26,0),0)</f>
        <v>12</v>
      </c>
      <c r="H1880" s="342">
        <v>14467</v>
      </c>
    </row>
    <row r="1881" spans="2:8" x14ac:dyDescent="0.25">
      <c r="B1881" s="342">
        <v>14468</v>
      </c>
      <c r="C1881" s="343" t="s">
        <v>564</v>
      </c>
      <c r="D1881" s="343" t="str">
        <f ca="1">OFFSET('Zip Code Lines_1'!$U$3,MATCH('Zip Code Lines_1'!C1881,'Zip Code Lines_1'!$Q$4:$Q$26,0),0)</f>
        <v>Rochester</v>
      </c>
      <c r="E1881" s="344">
        <f ca="1">OFFSET('Zip Code Lines_1'!$W$3,MATCH('Zip Code Lines_1'!C1881,'Zip Code Lines_1'!$Q$4:$Q$26,0),0)</f>
        <v>7.1</v>
      </c>
      <c r="F1881" s="344">
        <f ca="1">OFFSET('Zip Code Lines_1'!$Z$3,MATCH('Zip Code Lines_1'!C1881,'Zip Code Lines_1'!$Q$4:$Q$26,0),0)</f>
        <v>85.6</v>
      </c>
      <c r="G1881" s="342">
        <f ca="1">OFFSET('Zip Code Lines_1'!$AC$3,MATCH('Zip Code Lines_1'!C1881,'Zip Code Lines_1'!$Q$4:$Q$26,0),0)</f>
        <v>12</v>
      </c>
      <c r="H1881" s="342">
        <v>14468</v>
      </c>
    </row>
    <row r="1882" spans="2:8" x14ac:dyDescent="0.25">
      <c r="B1882" s="342">
        <v>14469</v>
      </c>
      <c r="C1882" s="343" t="s">
        <v>564</v>
      </c>
      <c r="D1882" s="343" t="str">
        <f ca="1">OFFSET('Zip Code Lines_1'!$U$3,MATCH('Zip Code Lines_1'!C1882,'Zip Code Lines_1'!$Q$4:$Q$26,0),0)</f>
        <v>Rochester</v>
      </c>
      <c r="E1882" s="344">
        <f ca="1">OFFSET('Zip Code Lines_1'!$W$3,MATCH('Zip Code Lines_1'!C1882,'Zip Code Lines_1'!$Q$4:$Q$26,0),0)</f>
        <v>7.1</v>
      </c>
      <c r="F1882" s="344">
        <f ca="1">OFFSET('Zip Code Lines_1'!$Z$3,MATCH('Zip Code Lines_1'!C1882,'Zip Code Lines_1'!$Q$4:$Q$26,0),0)</f>
        <v>85.6</v>
      </c>
      <c r="G1882" s="342">
        <f ca="1">OFFSET('Zip Code Lines_1'!$AC$3,MATCH('Zip Code Lines_1'!C1882,'Zip Code Lines_1'!$Q$4:$Q$26,0),0)</f>
        <v>12</v>
      </c>
      <c r="H1882" s="342">
        <v>14469</v>
      </c>
    </row>
    <row r="1883" spans="2:8" x14ac:dyDescent="0.25">
      <c r="B1883" s="342">
        <v>14470</v>
      </c>
      <c r="C1883" s="343" t="s">
        <v>561</v>
      </c>
      <c r="D1883" s="343" t="str">
        <f ca="1">OFFSET('Zip Code Lines_1'!$U$3,MATCH('Zip Code Lines_1'!C1883,'Zip Code Lines_1'!$Q$4:$Q$26,0),0)</f>
        <v>Niagara Falls</v>
      </c>
      <c r="E1883" s="344">
        <f ca="1">OFFSET('Zip Code Lines_1'!$W$3,MATCH('Zip Code Lines_1'!C1883,'Zip Code Lines_1'!$Q$4:$Q$26,0),0)</f>
        <v>6.9</v>
      </c>
      <c r="F1883" s="344">
        <f ca="1">OFFSET('Zip Code Lines_1'!$Z$3,MATCH('Zip Code Lines_1'!C1883,'Zip Code Lines_1'!$Q$4:$Q$26,0),0)</f>
        <v>85.2</v>
      </c>
      <c r="G1883" s="342">
        <f ca="1">OFFSET('Zip Code Lines_1'!$AC$3,MATCH('Zip Code Lines_1'!C1883,'Zip Code Lines_1'!$Q$4:$Q$26,0),0)</f>
        <v>18</v>
      </c>
      <c r="H1883" s="342">
        <v>14470</v>
      </c>
    </row>
    <row r="1884" spans="2:8" x14ac:dyDescent="0.25">
      <c r="B1884" s="342">
        <v>14471</v>
      </c>
      <c r="C1884" s="343" t="s">
        <v>534</v>
      </c>
      <c r="D1884" s="343" t="str">
        <f ca="1">OFFSET('Zip Code Lines_1'!$U$3,MATCH('Zip Code Lines_1'!C1884,'Zip Code Lines_1'!$Q$4:$Q$26,0),0)</f>
        <v>Buffalo</v>
      </c>
      <c r="E1884" s="344">
        <f ca="1">OFFSET('Zip Code Lines_1'!$W$3,MATCH('Zip Code Lines_1'!C1884,'Zip Code Lines_1'!$Q$4:$Q$26,0),0)</f>
        <v>7.4</v>
      </c>
      <c r="F1884" s="344">
        <f ca="1">OFFSET('Zip Code Lines_1'!$Z$3,MATCH('Zip Code Lines_1'!C1884,'Zip Code Lines_1'!$Q$4:$Q$26,0),0)</f>
        <v>83.9</v>
      </c>
      <c r="G1884" s="342">
        <f ca="1">OFFSET('Zip Code Lines_1'!$AC$3,MATCH('Zip Code Lines_1'!C1884,'Zip Code Lines_1'!$Q$4:$Q$26,0),0)</f>
        <v>18</v>
      </c>
      <c r="H1884" s="342">
        <v>14471</v>
      </c>
    </row>
    <row r="1885" spans="2:8" x14ac:dyDescent="0.25">
      <c r="B1885" s="342">
        <v>14472</v>
      </c>
      <c r="C1885" s="343" t="s">
        <v>564</v>
      </c>
      <c r="D1885" s="343" t="str">
        <f ca="1">OFFSET('Zip Code Lines_1'!$U$3,MATCH('Zip Code Lines_1'!C1885,'Zip Code Lines_1'!$Q$4:$Q$26,0),0)</f>
        <v>Rochester</v>
      </c>
      <c r="E1885" s="344">
        <f ca="1">OFFSET('Zip Code Lines_1'!$W$3,MATCH('Zip Code Lines_1'!C1885,'Zip Code Lines_1'!$Q$4:$Q$26,0),0)</f>
        <v>7.1</v>
      </c>
      <c r="F1885" s="344">
        <f ca="1">OFFSET('Zip Code Lines_1'!$Z$3,MATCH('Zip Code Lines_1'!C1885,'Zip Code Lines_1'!$Q$4:$Q$26,0),0)</f>
        <v>85.6</v>
      </c>
      <c r="G1885" s="342">
        <f ca="1">OFFSET('Zip Code Lines_1'!$AC$3,MATCH('Zip Code Lines_1'!C1885,'Zip Code Lines_1'!$Q$4:$Q$26,0),0)</f>
        <v>12</v>
      </c>
      <c r="H1885" s="342">
        <v>14472</v>
      </c>
    </row>
    <row r="1886" spans="2:8" x14ac:dyDescent="0.25">
      <c r="B1886" s="342">
        <v>14475</v>
      </c>
      <c r="C1886" s="343" t="s">
        <v>564</v>
      </c>
      <c r="D1886" s="343" t="str">
        <f ca="1">OFFSET('Zip Code Lines_1'!$U$3,MATCH('Zip Code Lines_1'!C1886,'Zip Code Lines_1'!$Q$4:$Q$26,0),0)</f>
        <v>Rochester</v>
      </c>
      <c r="E1886" s="344">
        <f ca="1">OFFSET('Zip Code Lines_1'!$W$3,MATCH('Zip Code Lines_1'!C1886,'Zip Code Lines_1'!$Q$4:$Q$26,0),0)</f>
        <v>7.1</v>
      </c>
      <c r="F1886" s="344">
        <f ca="1">OFFSET('Zip Code Lines_1'!$Z$3,MATCH('Zip Code Lines_1'!C1886,'Zip Code Lines_1'!$Q$4:$Q$26,0),0)</f>
        <v>85.6</v>
      </c>
      <c r="G1886" s="342">
        <f ca="1">OFFSET('Zip Code Lines_1'!$AC$3,MATCH('Zip Code Lines_1'!C1886,'Zip Code Lines_1'!$Q$4:$Q$26,0),0)</f>
        <v>12</v>
      </c>
      <c r="H1886" s="342">
        <v>14475</v>
      </c>
    </row>
    <row r="1887" spans="2:8" x14ac:dyDescent="0.25">
      <c r="B1887" s="342">
        <v>14476</v>
      </c>
      <c r="C1887" s="343" t="s">
        <v>561</v>
      </c>
      <c r="D1887" s="343" t="str">
        <f ca="1">OFFSET('Zip Code Lines_1'!$U$3,MATCH('Zip Code Lines_1'!C1887,'Zip Code Lines_1'!$Q$4:$Q$26,0),0)</f>
        <v>Niagara Falls</v>
      </c>
      <c r="E1887" s="344">
        <f ca="1">OFFSET('Zip Code Lines_1'!$W$3,MATCH('Zip Code Lines_1'!C1887,'Zip Code Lines_1'!$Q$4:$Q$26,0),0)</f>
        <v>6.9</v>
      </c>
      <c r="F1887" s="344">
        <f ca="1">OFFSET('Zip Code Lines_1'!$Z$3,MATCH('Zip Code Lines_1'!C1887,'Zip Code Lines_1'!$Q$4:$Q$26,0),0)</f>
        <v>85.2</v>
      </c>
      <c r="G1887" s="342">
        <f ca="1">OFFSET('Zip Code Lines_1'!$AC$3,MATCH('Zip Code Lines_1'!C1887,'Zip Code Lines_1'!$Q$4:$Q$26,0),0)</f>
        <v>18</v>
      </c>
      <c r="H1887" s="342">
        <v>14476</v>
      </c>
    </row>
    <row r="1888" spans="2:8" x14ac:dyDescent="0.25">
      <c r="B1888" s="342">
        <v>14477</v>
      </c>
      <c r="C1888" s="343" t="s">
        <v>561</v>
      </c>
      <c r="D1888" s="343" t="str">
        <f ca="1">OFFSET('Zip Code Lines_1'!$U$3,MATCH('Zip Code Lines_1'!C1888,'Zip Code Lines_1'!$Q$4:$Q$26,0),0)</f>
        <v>Niagara Falls</v>
      </c>
      <c r="E1888" s="344">
        <f ca="1">OFFSET('Zip Code Lines_1'!$W$3,MATCH('Zip Code Lines_1'!C1888,'Zip Code Lines_1'!$Q$4:$Q$26,0),0)</f>
        <v>6.9</v>
      </c>
      <c r="F1888" s="344">
        <f ca="1">OFFSET('Zip Code Lines_1'!$Z$3,MATCH('Zip Code Lines_1'!C1888,'Zip Code Lines_1'!$Q$4:$Q$26,0),0)</f>
        <v>85.2</v>
      </c>
      <c r="G1888" s="342">
        <f ca="1">OFFSET('Zip Code Lines_1'!$AC$3,MATCH('Zip Code Lines_1'!C1888,'Zip Code Lines_1'!$Q$4:$Q$26,0),0)</f>
        <v>18</v>
      </c>
      <c r="H1888" s="342">
        <v>14477</v>
      </c>
    </row>
    <row r="1889" spans="2:8" x14ac:dyDescent="0.25">
      <c r="B1889" s="342">
        <v>14478</v>
      </c>
      <c r="C1889" s="343" t="s">
        <v>532</v>
      </c>
      <c r="D1889" s="343" t="str">
        <f ca="1">OFFSET('Zip Code Lines_1'!$U$3,MATCH('Zip Code Lines_1'!C1889,'Zip Code Lines_1'!$Q$4:$Q$26,0),0)</f>
        <v>Binghamton</v>
      </c>
      <c r="E1889" s="344">
        <f ca="1">OFFSET('Zip Code Lines_1'!$W$3,MATCH('Zip Code Lines_1'!C1889,'Zip Code Lines_1'!$Q$4:$Q$26,0),0)</f>
        <v>4.5</v>
      </c>
      <c r="F1889" s="344">
        <f ca="1">OFFSET('Zip Code Lines_1'!$Z$3,MATCH('Zip Code Lines_1'!C1889,'Zip Code Lines_1'!$Q$4:$Q$26,0),0)</f>
        <v>82.3</v>
      </c>
      <c r="G1889" s="342">
        <f ca="1">OFFSET('Zip Code Lines_1'!$AC$3,MATCH('Zip Code Lines_1'!C1889,'Zip Code Lines_1'!$Q$4:$Q$26,0),0)</f>
        <v>12</v>
      </c>
      <c r="H1889" s="342">
        <v>14478</v>
      </c>
    </row>
    <row r="1890" spans="2:8" x14ac:dyDescent="0.25">
      <c r="B1890" s="342">
        <v>14479</v>
      </c>
      <c r="C1890" s="343" t="s">
        <v>561</v>
      </c>
      <c r="D1890" s="343" t="str">
        <f ca="1">OFFSET('Zip Code Lines_1'!$U$3,MATCH('Zip Code Lines_1'!C1890,'Zip Code Lines_1'!$Q$4:$Q$26,0),0)</f>
        <v>Niagara Falls</v>
      </c>
      <c r="E1890" s="344">
        <f ca="1">OFFSET('Zip Code Lines_1'!$W$3,MATCH('Zip Code Lines_1'!C1890,'Zip Code Lines_1'!$Q$4:$Q$26,0),0)</f>
        <v>6.9</v>
      </c>
      <c r="F1890" s="344">
        <f ca="1">OFFSET('Zip Code Lines_1'!$Z$3,MATCH('Zip Code Lines_1'!C1890,'Zip Code Lines_1'!$Q$4:$Q$26,0),0)</f>
        <v>85.2</v>
      </c>
      <c r="G1890" s="342">
        <f ca="1">OFFSET('Zip Code Lines_1'!$AC$3,MATCH('Zip Code Lines_1'!C1890,'Zip Code Lines_1'!$Q$4:$Q$26,0),0)</f>
        <v>18</v>
      </c>
      <c r="H1890" s="342">
        <v>14479</v>
      </c>
    </row>
    <row r="1891" spans="2:8" x14ac:dyDescent="0.25">
      <c r="B1891" s="342">
        <v>14480</v>
      </c>
      <c r="C1891" s="343" t="s">
        <v>564</v>
      </c>
      <c r="D1891" s="343" t="str">
        <f ca="1">OFFSET('Zip Code Lines_1'!$U$3,MATCH('Zip Code Lines_1'!C1891,'Zip Code Lines_1'!$Q$4:$Q$26,0),0)</f>
        <v>Rochester</v>
      </c>
      <c r="E1891" s="344">
        <f ca="1">OFFSET('Zip Code Lines_1'!$W$3,MATCH('Zip Code Lines_1'!C1891,'Zip Code Lines_1'!$Q$4:$Q$26,0),0)</f>
        <v>7.1</v>
      </c>
      <c r="F1891" s="344">
        <f ca="1">OFFSET('Zip Code Lines_1'!$Z$3,MATCH('Zip Code Lines_1'!C1891,'Zip Code Lines_1'!$Q$4:$Q$26,0),0)</f>
        <v>85.6</v>
      </c>
      <c r="G1891" s="342">
        <f ca="1">OFFSET('Zip Code Lines_1'!$AC$3,MATCH('Zip Code Lines_1'!C1891,'Zip Code Lines_1'!$Q$4:$Q$26,0),0)</f>
        <v>12</v>
      </c>
      <c r="H1891" s="342">
        <v>14480</v>
      </c>
    </row>
    <row r="1892" spans="2:8" x14ac:dyDescent="0.25">
      <c r="B1892" s="342">
        <v>14481</v>
      </c>
      <c r="C1892" s="343" t="s">
        <v>534</v>
      </c>
      <c r="D1892" s="343" t="str">
        <f ca="1">OFFSET('Zip Code Lines_1'!$U$3,MATCH('Zip Code Lines_1'!C1892,'Zip Code Lines_1'!$Q$4:$Q$26,0),0)</f>
        <v>Buffalo</v>
      </c>
      <c r="E1892" s="344">
        <f ca="1">OFFSET('Zip Code Lines_1'!$W$3,MATCH('Zip Code Lines_1'!C1892,'Zip Code Lines_1'!$Q$4:$Q$26,0),0)</f>
        <v>7.4</v>
      </c>
      <c r="F1892" s="344">
        <f ca="1">OFFSET('Zip Code Lines_1'!$Z$3,MATCH('Zip Code Lines_1'!C1892,'Zip Code Lines_1'!$Q$4:$Q$26,0),0)</f>
        <v>83.9</v>
      </c>
      <c r="G1892" s="342">
        <f ca="1">OFFSET('Zip Code Lines_1'!$AC$3,MATCH('Zip Code Lines_1'!C1892,'Zip Code Lines_1'!$Q$4:$Q$26,0),0)</f>
        <v>18</v>
      </c>
      <c r="H1892" s="342">
        <v>14481</v>
      </c>
    </row>
    <row r="1893" spans="2:8" x14ac:dyDescent="0.25">
      <c r="B1893" s="342">
        <v>14482</v>
      </c>
      <c r="C1893" s="343" t="s">
        <v>534</v>
      </c>
      <c r="D1893" s="343" t="str">
        <f ca="1">OFFSET('Zip Code Lines_1'!$U$3,MATCH('Zip Code Lines_1'!C1893,'Zip Code Lines_1'!$Q$4:$Q$26,0),0)</f>
        <v>Buffalo</v>
      </c>
      <c r="E1893" s="344">
        <f ca="1">OFFSET('Zip Code Lines_1'!$W$3,MATCH('Zip Code Lines_1'!C1893,'Zip Code Lines_1'!$Q$4:$Q$26,0),0)</f>
        <v>7.4</v>
      </c>
      <c r="F1893" s="344">
        <f ca="1">OFFSET('Zip Code Lines_1'!$Z$3,MATCH('Zip Code Lines_1'!C1893,'Zip Code Lines_1'!$Q$4:$Q$26,0),0)</f>
        <v>83.9</v>
      </c>
      <c r="G1893" s="342">
        <f ca="1">OFFSET('Zip Code Lines_1'!$AC$3,MATCH('Zip Code Lines_1'!C1893,'Zip Code Lines_1'!$Q$4:$Q$26,0),0)</f>
        <v>18</v>
      </c>
      <c r="H1893" s="342">
        <v>14482</v>
      </c>
    </row>
    <row r="1894" spans="2:8" x14ac:dyDescent="0.25">
      <c r="B1894" s="342">
        <v>14485</v>
      </c>
      <c r="C1894" s="343" t="s">
        <v>564</v>
      </c>
      <c r="D1894" s="343" t="str">
        <f ca="1">OFFSET('Zip Code Lines_1'!$U$3,MATCH('Zip Code Lines_1'!C1894,'Zip Code Lines_1'!$Q$4:$Q$26,0),0)</f>
        <v>Rochester</v>
      </c>
      <c r="E1894" s="344">
        <f ca="1">OFFSET('Zip Code Lines_1'!$W$3,MATCH('Zip Code Lines_1'!C1894,'Zip Code Lines_1'!$Q$4:$Q$26,0),0)</f>
        <v>7.1</v>
      </c>
      <c r="F1894" s="344">
        <f ca="1">OFFSET('Zip Code Lines_1'!$Z$3,MATCH('Zip Code Lines_1'!C1894,'Zip Code Lines_1'!$Q$4:$Q$26,0),0)</f>
        <v>85.6</v>
      </c>
      <c r="G1894" s="342">
        <f ca="1">OFFSET('Zip Code Lines_1'!$AC$3,MATCH('Zip Code Lines_1'!C1894,'Zip Code Lines_1'!$Q$4:$Q$26,0),0)</f>
        <v>12</v>
      </c>
      <c r="H1894" s="342">
        <v>14485</v>
      </c>
    </row>
    <row r="1895" spans="2:8" x14ac:dyDescent="0.25">
      <c r="B1895" s="342">
        <v>14486</v>
      </c>
      <c r="C1895" s="343" t="s">
        <v>534</v>
      </c>
      <c r="D1895" s="343" t="str">
        <f ca="1">OFFSET('Zip Code Lines_1'!$U$3,MATCH('Zip Code Lines_1'!C1895,'Zip Code Lines_1'!$Q$4:$Q$26,0),0)</f>
        <v>Buffalo</v>
      </c>
      <c r="E1895" s="344">
        <f ca="1">OFFSET('Zip Code Lines_1'!$W$3,MATCH('Zip Code Lines_1'!C1895,'Zip Code Lines_1'!$Q$4:$Q$26,0),0)</f>
        <v>7.4</v>
      </c>
      <c r="F1895" s="344">
        <f ca="1">OFFSET('Zip Code Lines_1'!$Z$3,MATCH('Zip Code Lines_1'!C1895,'Zip Code Lines_1'!$Q$4:$Q$26,0),0)</f>
        <v>83.9</v>
      </c>
      <c r="G1895" s="342">
        <f ca="1">OFFSET('Zip Code Lines_1'!$AC$3,MATCH('Zip Code Lines_1'!C1895,'Zip Code Lines_1'!$Q$4:$Q$26,0),0)</f>
        <v>18</v>
      </c>
      <c r="H1895" s="342">
        <v>14486</v>
      </c>
    </row>
    <row r="1896" spans="2:8" x14ac:dyDescent="0.25">
      <c r="B1896" s="342">
        <v>14487</v>
      </c>
      <c r="C1896" s="343" t="s">
        <v>564</v>
      </c>
      <c r="D1896" s="343" t="str">
        <f ca="1">OFFSET('Zip Code Lines_1'!$U$3,MATCH('Zip Code Lines_1'!C1896,'Zip Code Lines_1'!$Q$4:$Q$26,0),0)</f>
        <v>Rochester</v>
      </c>
      <c r="E1896" s="344">
        <f ca="1">OFFSET('Zip Code Lines_1'!$W$3,MATCH('Zip Code Lines_1'!C1896,'Zip Code Lines_1'!$Q$4:$Q$26,0),0)</f>
        <v>7.1</v>
      </c>
      <c r="F1896" s="344">
        <f ca="1">OFFSET('Zip Code Lines_1'!$Z$3,MATCH('Zip Code Lines_1'!C1896,'Zip Code Lines_1'!$Q$4:$Q$26,0),0)</f>
        <v>85.6</v>
      </c>
      <c r="G1896" s="342">
        <f ca="1">OFFSET('Zip Code Lines_1'!$AC$3,MATCH('Zip Code Lines_1'!C1896,'Zip Code Lines_1'!$Q$4:$Q$26,0),0)</f>
        <v>12</v>
      </c>
      <c r="H1896" s="342">
        <v>14487</v>
      </c>
    </row>
    <row r="1897" spans="2:8" x14ac:dyDescent="0.25">
      <c r="B1897" s="342">
        <v>14488</v>
      </c>
      <c r="C1897" s="343" t="s">
        <v>564</v>
      </c>
      <c r="D1897" s="343" t="str">
        <f ca="1">OFFSET('Zip Code Lines_1'!$U$3,MATCH('Zip Code Lines_1'!C1897,'Zip Code Lines_1'!$Q$4:$Q$26,0),0)</f>
        <v>Rochester</v>
      </c>
      <c r="E1897" s="344">
        <f ca="1">OFFSET('Zip Code Lines_1'!$W$3,MATCH('Zip Code Lines_1'!C1897,'Zip Code Lines_1'!$Q$4:$Q$26,0),0)</f>
        <v>7.1</v>
      </c>
      <c r="F1897" s="344">
        <f ca="1">OFFSET('Zip Code Lines_1'!$Z$3,MATCH('Zip Code Lines_1'!C1897,'Zip Code Lines_1'!$Q$4:$Q$26,0),0)</f>
        <v>85.6</v>
      </c>
      <c r="G1897" s="342">
        <f ca="1">OFFSET('Zip Code Lines_1'!$AC$3,MATCH('Zip Code Lines_1'!C1897,'Zip Code Lines_1'!$Q$4:$Q$26,0),0)</f>
        <v>12</v>
      </c>
      <c r="H1897" s="342">
        <v>14488</v>
      </c>
    </row>
    <row r="1898" spans="2:8" x14ac:dyDescent="0.25">
      <c r="B1898" s="342">
        <v>14489</v>
      </c>
      <c r="C1898" s="343" t="s">
        <v>568</v>
      </c>
      <c r="D1898" s="343" t="str">
        <f ca="1">OFFSET('Zip Code Lines_1'!$U$3,MATCH('Zip Code Lines_1'!C1898,'Zip Code Lines_1'!$Q$4:$Q$26,0),0)</f>
        <v>Syracuse</v>
      </c>
      <c r="E1898" s="344">
        <f ca="1">OFFSET('Zip Code Lines_1'!$W$3,MATCH('Zip Code Lines_1'!C1898,'Zip Code Lines_1'!$Q$4:$Q$26,0),0)</f>
        <v>4.9000000000000004</v>
      </c>
      <c r="F1898" s="344">
        <f ca="1">OFFSET('Zip Code Lines_1'!$Z$3,MATCH('Zip Code Lines_1'!C1898,'Zip Code Lines_1'!$Q$4:$Q$26,0),0)</f>
        <v>86.4</v>
      </c>
      <c r="G1898" s="342">
        <f ca="1">OFFSET('Zip Code Lines_1'!$AC$3,MATCH('Zip Code Lines_1'!C1898,'Zip Code Lines_1'!$Q$4:$Q$26,0),0)</f>
        <v>12</v>
      </c>
      <c r="H1898" s="342">
        <v>14489</v>
      </c>
    </row>
    <row r="1899" spans="2:8" x14ac:dyDescent="0.25">
      <c r="B1899" s="342">
        <v>14502</v>
      </c>
      <c r="C1899" s="343" t="s">
        <v>564</v>
      </c>
      <c r="D1899" s="343" t="str">
        <f ca="1">OFFSET('Zip Code Lines_1'!$U$3,MATCH('Zip Code Lines_1'!C1899,'Zip Code Lines_1'!$Q$4:$Q$26,0),0)</f>
        <v>Rochester</v>
      </c>
      <c r="E1899" s="344">
        <f ca="1">OFFSET('Zip Code Lines_1'!$W$3,MATCH('Zip Code Lines_1'!C1899,'Zip Code Lines_1'!$Q$4:$Q$26,0),0)</f>
        <v>7.1</v>
      </c>
      <c r="F1899" s="344">
        <f ca="1">OFFSET('Zip Code Lines_1'!$Z$3,MATCH('Zip Code Lines_1'!C1899,'Zip Code Lines_1'!$Q$4:$Q$26,0),0)</f>
        <v>85.6</v>
      </c>
      <c r="G1899" s="342">
        <f ca="1">OFFSET('Zip Code Lines_1'!$AC$3,MATCH('Zip Code Lines_1'!C1899,'Zip Code Lines_1'!$Q$4:$Q$26,0),0)</f>
        <v>12</v>
      </c>
      <c r="H1899" s="342">
        <v>14502</v>
      </c>
    </row>
    <row r="1900" spans="2:8" x14ac:dyDescent="0.25">
      <c r="B1900" s="342">
        <v>14504</v>
      </c>
      <c r="C1900" s="343" t="s">
        <v>568</v>
      </c>
      <c r="D1900" s="343" t="str">
        <f ca="1">OFFSET('Zip Code Lines_1'!$U$3,MATCH('Zip Code Lines_1'!C1900,'Zip Code Lines_1'!$Q$4:$Q$26,0),0)</f>
        <v>Syracuse</v>
      </c>
      <c r="E1900" s="344">
        <f ca="1">OFFSET('Zip Code Lines_1'!$W$3,MATCH('Zip Code Lines_1'!C1900,'Zip Code Lines_1'!$Q$4:$Q$26,0),0)</f>
        <v>4.9000000000000004</v>
      </c>
      <c r="F1900" s="344">
        <f ca="1">OFFSET('Zip Code Lines_1'!$Z$3,MATCH('Zip Code Lines_1'!C1900,'Zip Code Lines_1'!$Q$4:$Q$26,0),0)</f>
        <v>86.4</v>
      </c>
      <c r="G1900" s="342">
        <f ca="1">OFFSET('Zip Code Lines_1'!$AC$3,MATCH('Zip Code Lines_1'!C1900,'Zip Code Lines_1'!$Q$4:$Q$26,0),0)</f>
        <v>12</v>
      </c>
      <c r="H1900" s="342">
        <v>14504</v>
      </c>
    </row>
    <row r="1901" spans="2:8" x14ac:dyDescent="0.25">
      <c r="B1901" s="342">
        <v>14505</v>
      </c>
      <c r="C1901" s="343" t="s">
        <v>568</v>
      </c>
      <c r="D1901" s="343" t="str">
        <f ca="1">OFFSET('Zip Code Lines_1'!$U$3,MATCH('Zip Code Lines_1'!C1901,'Zip Code Lines_1'!$Q$4:$Q$26,0),0)</f>
        <v>Syracuse</v>
      </c>
      <c r="E1901" s="344">
        <f ca="1">OFFSET('Zip Code Lines_1'!$W$3,MATCH('Zip Code Lines_1'!C1901,'Zip Code Lines_1'!$Q$4:$Q$26,0),0)</f>
        <v>4.9000000000000004</v>
      </c>
      <c r="F1901" s="344">
        <f ca="1">OFFSET('Zip Code Lines_1'!$Z$3,MATCH('Zip Code Lines_1'!C1901,'Zip Code Lines_1'!$Q$4:$Q$26,0),0)</f>
        <v>86.4</v>
      </c>
      <c r="G1901" s="342">
        <f ca="1">OFFSET('Zip Code Lines_1'!$AC$3,MATCH('Zip Code Lines_1'!C1901,'Zip Code Lines_1'!$Q$4:$Q$26,0),0)</f>
        <v>12</v>
      </c>
      <c r="H1901" s="342">
        <v>14505</v>
      </c>
    </row>
    <row r="1902" spans="2:8" x14ac:dyDescent="0.25">
      <c r="B1902" s="342">
        <v>14506</v>
      </c>
      <c r="C1902" s="343" t="s">
        <v>564</v>
      </c>
      <c r="D1902" s="343" t="str">
        <f ca="1">OFFSET('Zip Code Lines_1'!$U$3,MATCH('Zip Code Lines_1'!C1902,'Zip Code Lines_1'!$Q$4:$Q$26,0),0)</f>
        <v>Rochester</v>
      </c>
      <c r="E1902" s="344">
        <f ca="1">OFFSET('Zip Code Lines_1'!$W$3,MATCH('Zip Code Lines_1'!C1902,'Zip Code Lines_1'!$Q$4:$Q$26,0),0)</f>
        <v>7.1</v>
      </c>
      <c r="F1902" s="344">
        <f ca="1">OFFSET('Zip Code Lines_1'!$Z$3,MATCH('Zip Code Lines_1'!C1902,'Zip Code Lines_1'!$Q$4:$Q$26,0),0)</f>
        <v>85.6</v>
      </c>
      <c r="G1902" s="342">
        <f ca="1">OFFSET('Zip Code Lines_1'!$AC$3,MATCH('Zip Code Lines_1'!C1902,'Zip Code Lines_1'!$Q$4:$Q$26,0),0)</f>
        <v>12</v>
      </c>
      <c r="H1902" s="342">
        <v>14506</v>
      </c>
    </row>
    <row r="1903" spans="2:8" x14ac:dyDescent="0.25">
      <c r="B1903" s="342">
        <v>14507</v>
      </c>
      <c r="C1903" s="343" t="s">
        <v>532</v>
      </c>
      <c r="D1903" s="343" t="str">
        <f ca="1">OFFSET('Zip Code Lines_1'!$U$3,MATCH('Zip Code Lines_1'!C1903,'Zip Code Lines_1'!$Q$4:$Q$26,0),0)</f>
        <v>Binghamton</v>
      </c>
      <c r="E1903" s="344">
        <f ca="1">OFFSET('Zip Code Lines_1'!$W$3,MATCH('Zip Code Lines_1'!C1903,'Zip Code Lines_1'!$Q$4:$Q$26,0),0)</f>
        <v>4.5</v>
      </c>
      <c r="F1903" s="344">
        <f ca="1">OFFSET('Zip Code Lines_1'!$Z$3,MATCH('Zip Code Lines_1'!C1903,'Zip Code Lines_1'!$Q$4:$Q$26,0),0)</f>
        <v>82.3</v>
      </c>
      <c r="G1903" s="342">
        <f ca="1">OFFSET('Zip Code Lines_1'!$AC$3,MATCH('Zip Code Lines_1'!C1903,'Zip Code Lines_1'!$Q$4:$Q$26,0),0)</f>
        <v>12</v>
      </c>
      <c r="H1903" s="342">
        <v>14507</v>
      </c>
    </row>
    <row r="1904" spans="2:8" x14ac:dyDescent="0.25">
      <c r="B1904" s="342">
        <v>14508</v>
      </c>
      <c r="C1904" s="343" t="s">
        <v>561</v>
      </c>
      <c r="D1904" s="343" t="str">
        <f ca="1">OFFSET('Zip Code Lines_1'!$U$3,MATCH('Zip Code Lines_1'!C1904,'Zip Code Lines_1'!$Q$4:$Q$26,0),0)</f>
        <v>Niagara Falls</v>
      </c>
      <c r="E1904" s="344">
        <f ca="1">OFFSET('Zip Code Lines_1'!$W$3,MATCH('Zip Code Lines_1'!C1904,'Zip Code Lines_1'!$Q$4:$Q$26,0),0)</f>
        <v>6.9</v>
      </c>
      <c r="F1904" s="344">
        <f ca="1">OFFSET('Zip Code Lines_1'!$Z$3,MATCH('Zip Code Lines_1'!C1904,'Zip Code Lines_1'!$Q$4:$Q$26,0),0)</f>
        <v>85.2</v>
      </c>
      <c r="G1904" s="342">
        <f ca="1">OFFSET('Zip Code Lines_1'!$AC$3,MATCH('Zip Code Lines_1'!C1904,'Zip Code Lines_1'!$Q$4:$Q$26,0),0)</f>
        <v>18</v>
      </c>
      <c r="H1904" s="342">
        <v>14508</v>
      </c>
    </row>
    <row r="1905" spans="2:8" x14ac:dyDescent="0.25">
      <c r="B1905" s="342">
        <v>14510</v>
      </c>
      <c r="C1905" s="343" t="s">
        <v>534</v>
      </c>
      <c r="D1905" s="343" t="str">
        <f ca="1">OFFSET('Zip Code Lines_1'!$U$3,MATCH('Zip Code Lines_1'!C1905,'Zip Code Lines_1'!$Q$4:$Q$26,0),0)</f>
        <v>Buffalo</v>
      </c>
      <c r="E1905" s="344">
        <f ca="1">OFFSET('Zip Code Lines_1'!$W$3,MATCH('Zip Code Lines_1'!C1905,'Zip Code Lines_1'!$Q$4:$Q$26,0),0)</f>
        <v>7.4</v>
      </c>
      <c r="F1905" s="344">
        <f ca="1">OFFSET('Zip Code Lines_1'!$Z$3,MATCH('Zip Code Lines_1'!C1905,'Zip Code Lines_1'!$Q$4:$Q$26,0),0)</f>
        <v>83.9</v>
      </c>
      <c r="G1905" s="342">
        <f ca="1">OFFSET('Zip Code Lines_1'!$AC$3,MATCH('Zip Code Lines_1'!C1905,'Zip Code Lines_1'!$Q$4:$Q$26,0),0)</f>
        <v>18</v>
      </c>
      <c r="H1905" s="342">
        <v>14510</v>
      </c>
    </row>
    <row r="1906" spans="2:8" x14ac:dyDescent="0.25">
      <c r="B1906" s="342">
        <v>14511</v>
      </c>
      <c r="C1906" s="343" t="s">
        <v>564</v>
      </c>
      <c r="D1906" s="343" t="str">
        <f ca="1">OFFSET('Zip Code Lines_1'!$U$3,MATCH('Zip Code Lines_1'!C1906,'Zip Code Lines_1'!$Q$4:$Q$26,0),0)</f>
        <v>Rochester</v>
      </c>
      <c r="E1906" s="344">
        <f ca="1">OFFSET('Zip Code Lines_1'!$W$3,MATCH('Zip Code Lines_1'!C1906,'Zip Code Lines_1'!$Q$4:$Q$26,0),0)</f>
        <v>7.1</v>
      </c>
      <c r="F1906" s="344">
        <f ca="1">OFFSET('Zip Code Lines_1'!$Z$3,MATCH('Zip Code Lines_1'!C1906,'Zip Code Lines_1'!$Q$4:$Q$26,0),0)</f>
        <v>85.6</v>
      </c>
      <c r="G1906" s="342">
        <f ca="1">OFFSET('Zip Code Lines_1'!$AC$3,MATCH('Zip Code Lines_1'!C1906,'Zip Code Lines_1'!$Q$4:$Q$26,0),0)</f>
        <v>12</v>
      </c>
      <c r="H1906" s="342">
        <v>14511</v>
      </c>
    </row>
    <row r="1907" spans="2:8" x14ac:dyDescent="0.25">
      <c r="B1907" s="342">
        <v>14512</v>
      </c>
      <c r="C1907" s="343" t="s">
        <v>532</v>
      </c>
      <c r="D1907" s="343" t="str">
        <f ca="1">OFFSET('Zip Code Lines_1'!$U$3,MATCH('Zip Code Lines_1'!C1907,'Zip Code Lines_1'!$Q$4:$Q$26,0),0)</f>
        <v>Binghamton</v>
      </c>
      <c r="E1907" s="344">
        <f ca="1">OFFSET('Zip Code Lines_1'!$W$3,MATCH('Zip Code Lines_1'!C1907,'Zip Code Lines_1'!$Q$4:$Q$26,0),0)</f>
        <v>4.5</v>
      </c>
      <c r="F1907" s="344">
        <f ca="1">OFFSET('Zip Code Lines_1'!$Z$3,MATCH('Zip Code Lines_1'!C1907,'Zip Code Lines_1'!$Q$4:$Q$26,0),0)</f>
        <v>82.3</v>
      </c>
      <c r="G1907" s="342">
        <f ca="1">OFFSET('Zip Code Lines_1'!$AC$3,MATCH('Zip Code Lines_1'!C1907,'Zip Code Lines_1'!$Q$4:$Q$26,0),0)</f>
        <v>12</v>
      </c>
      <c r="H1907" s="342">
        <v>14512</v>
      </c>
    </row>
    <row r="1908" spans="2:8" x14ac:dyDescent="0.25">
      <c r="B1908" s="342">
        <v>14513</v>
      </c>
      <c r="C1908" s="343" t="s">
        <v>568</v>
      </c>
      <c r="D1908" s="343" t="str">
        <f ca="1">OFFSET('Zip Code Lines_1'!$U$3,MATCH('Zip Code Lines_1'!C1908,'Zip Code Lines_1'!$Q$4:$Q$26,0),0)</f>
        <v>Syracuse</v>
      </c>
      <c r="E1908" s="344">
        <f ca="1">OFFSET('Zip Code Lines_1'!$W$3,MATCH('Zip Code Lines_1'!C1908,'Zip Code Lines_1'!$Q$4:$Q$26,0),0)</f>
        <v>4.9000000000000004</v>
      </c>
      <c r="F1908" s="344">
        <f ca="1">OFFSET('Zip Code Lines_1'!$Z$3,MATCH('Zip Code Lines_1'!C1908,'Zip Code Lines_1'!$Q$4:$Q$26,0),0)</f>
        <v>86.4</v>
      </c>
      <c r="G1908" s="342">
        <f ca="1">OFFSET('Zip Code Lines_1'!$AC$3,MATCH('Zip Code Lines_1'!C1908,'Zip Code Lines_1'!$Q$4:$Q$26,0),0)</f>
        <v>12</v>
      </c>
      <c r="H1908" s="342">
        <v>14513</v>
      </c>
    </row>
    <row r="1909" spans="2:8" x14ac:dyDescent="0.25">
      <c r="B1909" s="342">
        <v>14514</v>
      </c>
      <c r="C1909" s="343" t="s">
        <v>564</v>
      </c>
      <c r="D1909" s="343" t="str">
        <f ca="1">OFFSET('Zip Code Lines_1'!$U$3,MATCH('Zip Code Lines_1'!C1909,'Zip Code Lines_1'!$Q$4:$Q$26,0),0)</f>
        <v>Rochester</v>
      </c>
      <c r="E1909" s="344">
        <f ca="1">OFFSET('Zip Code Lines_1'!$W$3,MATCH('Zip Code Lines_1'!C1909,'Zip Code Lines_1'!$Q$4:$Q$26,0),0)</f>
        <v>7.1</v>
      </c>
      <c r="F1909" s="344">
        <f ca="1">OFFSET('Zip Code Lines_1'!$Z$3,MATCH('Zip Code Lines_1'!C1909,'Zip Code Lines_1'!$Q$4:$Q$26,0),0)</f>
        <v>85.6</v>
      </c>
      <c r="G1909" s="342">
        <f ca="1">OFFSET('Zip Code Lines_1'!$AC$3,MATCH('Zip Code Lines_1'!C1909,'Zip Code Lines_1'!$Q$4:$Q$26,0),0)</f>
        <v>12</v>
      </c>
      <c r="H1909" s="342">
        <v>14514</v>
      </c>
    </row>
    <row r="1910" spans="2:8" x14ac:dyDescent="0.25">
      <c r="B1910" s="342">
        <v>14515</v>
      </c>
      <c r="C1910" s="343" t="s">
        <v>564</v>
      </c>
      <c r="D1910" s="343" t="str">
        <f ca="1">OFFSET('Zip Code Lines_1'!$U$3,MATCH('Zip Code Lines_1'!C1910,'Zip Code Lines_1'!$Q$4:$Q$26,0),0)</f>
        <v>Rochester</v>
      </c>
      <c r="E1910" s="344">
        <f ca="1">OFFSET('Zip Code Lines_1'!$W$3,MATCH('Zip Code Lines_1'!C1910,'Zip Code Lines_1'!$Q$4:$Q$26,0),0)</f>
        <v>7.1</v>
      </c>
      <c r="F1910" s="344">
        <f ca="1">OFFSET('Zip Code Lines_1'!$Z$3,MATCH('Zip Code Lines_1'!C1910,'Zip Code Lines_1'!$Q$4:$Q$26,0),0)</f>
        <v>85.6</v>
      </c>
      <c r="G1910" s="342">
        <f ca="1">OFFSET('Zip Code Lines_1'!$AC$3,MATCH('Zip Code Lines_1'!C1910,'Zip Code Lines_1'!$Q$4:$Q$26,0),0)</f>
        <v>12</v>
      </c>
      <c r="H1910" s="342">
        <v>14515</v>
      </c>
    </row>
    <row r="1911" spans="2:8" x14ac:dyDescent="0.25">
      <c r="B1911" s="342">
        <v>14516</v>
      </c>
      <c r="C1911" s="343" t="s">
        <v>568</v>
      </c>
      <c r="D1911" s="343" t="str">
        <f ca="1">OFFSET('Zip Code Lines_1'!$U$3,MATCH('Zip Code Lines_1'!C1911,'Zip Code Lines_1'!$Q$4:$Q$26,0),0)</f>
        <v>Syracuse</v>
      </c>
      <c r="E1911" s="344">
        <f ca="1">OFFSET('Zip Code Lines_1'!$W$3,MATCH('Zip Code Lines_1'!C1911,'Zip Code Lines_1'!$Q$4:$Q$26,0),0)</f>
        <v>4.9000000000000004</v>
      </c>
      <c r="F1911" s="344">
        <f ca="1">OFFSET('Zip Code Lines_1'!$Z$3,MATCH('Zip Code Lines_1'!C1911,'Zip Code Lines_1'!$Q$4:$Q$26,0),0)</f>
        <v>86.4</v>
      </c>
      <c r="G1911" s="342">
        <f ca="1">OFFSET('Zip Code Lines_1'!$AC$3,MATCH('Zip Code Lines_1'!C1911,'Zip Code Lines_1'!$Q$4:$Q$26,0),0)</f>
        <v>12</v>
      </c>
      <c r="H1911" s="342">
        <v>14516</v>
      </c>
    </row>
    <row r="1912" spans="2:8" x14ac:dyDescent="0.25">
      <c r="B1912" s="342">
        <v>14517</v>
      </c>
      <c r="C1912" s="343" t="s">
        <v>546</v>
      </c>
      <c r="D1912" s="343" t="str">
        <f ca="1">OFFSET('Zip Code Lines_1'!$U$3,MATCH('Zip Code Lines_1'!C1912,'Zip Code Lines_1'!$Q$4:$Q$26,0),0)</f>
        <v>Jamestown</v>
      </c>
      <c r="E1912" s="344">
        <f ca="1">OFFSET('Zip Code Lines_1'!$W$3,MATCH('Zip Code Lines_1'!C1912,'Zip Code Lines_1'!$Q$4:$Q$26,0),0)</f>
        <v>4.8</v>
      </c>
      <c r="F1912" s="344">
        <f ca="1">OFFSET('Zip Code Lines_1'!$Z$3,MATCH('Zip Code Lines_1'!C1912,'Zip Code Lines_1'!$Q$4:$Q$26,0),0)</f>
        <v>81.099999999999994</v>
      </c>
      <c r="G1912" s="342">
        <f ca="1">OFFSET('Zip Code Lines_1'!$AC$3,MATCH('Zip Code Lines_1'!C1912,'Zip Code Lines_1'!$Q$4:$Q$26,0),0)</f>
        <v>12</v>
      </c>
      <c r="H1912" s="342">
        <v>14517</v>
      </c>
    </row>
    <row r="1913" spans="2:8" x14ac:dyDescent="0.25">
      <c r="B1913" s="342">
        <v>14518</v>
      </c>
      <c r="C1913" s="343" t="s">
        <v>568</v>
      </c>
      <c r="D1913" s="343" t="str">
        <f ca="1">OFFSET('Zip Code Lines_1'!$U$3,MATCH('Zip Code Lines_1'!C1913,'Zip Code Lines_1'!$Q$4:$Q$26,0),0)</f>
        <v>Syracuse</v>
      </c>
      <c r="E1913" s="344">
        <f ca="1">OFFSET('Zip Code Lines_1'!$W$3,MATCH('Zip Code Lines_1'!C1913,'Zip Code Lines_1'!$Q$4:$Q$26,0),0)</f>
        <v>4.9000000000000004</v>
      </c>
      <c r="F1913" s="344">
        <f ca="1">OFFSET('Zip Code Lines_1'!$Z$3,MATCH('Zip Code Lines_1'!C1913,'Zip Code Lines_1'!$Q$4:$Q$26,0),0)</f>
        <v>86.4</v>
      </c>
      <c r="G1913" s="342">
        <f ca="1">OFFSET('Zip Code Lines_1'!$AC$3,MATCH('Zip Code Lines_1'!C1913,'Zip Code Lines_1'!$Q$4:$Q$26,0),0)</f>
        <v>12</v>
      </c>
      <c r="H1913" s="342">
        <v>14518</v>
      </c>
    </row>
    <row r="1914" spans="2:8" x14ac:dyDescent="0.25">
      <c r="B1914" s="342">
        <v>14519</v>
      </c>
      <c r="C1914" s="343" t="s">
        <v>564</v>
      </c>
      <c r="D1914" s="343" t="str">
        <f ca="1">OFFSET('Zip Code Lines_1'!$U$3,MATCH('Zip Code Lines_1'!C1914,'Zip Code Lines_1'!$Q$4:$Q$26,0),0)</f>
        <v>Rochester</v>
      </c>
      <c r="E1914" s="344">
        <f ca="1">OFFSET('Zip Code Lines_1'!$W$3,MATCH('Zip Code Lines_1'!C1914,'Zip Code Lines_1'!$Q$4:$Q$26,0),0)</f>
        <v>7.1</v>
      </c>
      <c r="F1914" s="344">
        <f ca="1">OFFSET('Zip Code Lines_1'!$Z$3,MATCH('Zip Code Lines_1'!C1914,'Zip Code Lines_1'!$Q$4:$Q$26,0),0)</f>
        <v>85.6</v>
      </c>
      <c r="G1914" s="342">
        <f ca="1">OFFSET('Zip Code Lines_1'!$AC$3,MATCH('Zip Code Lines_1'!C1914,'Zip Code Lines_1'!$Q$4:$Q$26,0),0)</f>
        <v>12</v>
      </c>
      <c r="H1914" s="342">
        <v>14519</v>
      </c>
    </row>
    <row r="1915" spans="2:8" x14ac:dyDescent="0.25">
      <c r="B1915" s="342">
        <v>14520</v>
      </c>
      <c r="C1915" s="343" t="s">
        <v>564</v>
      </c>
      <c r="D1915" s="343" t="str">
        <f ca="1">OFFSET('Zip Code Lines_1'!$U$3,MATCH('Zip Code Lines_1'!C1915,'Zip Code Lines_1'!$Q$4:$Q$26,0),0)</f>
        <v>Rochester</v>
      </c>
      <c r="E1915" s="344">
        <f ca="1">OFFSET('Zip Code Lines_1'!$W$3,MATCH('Zip Code Lines_1'!C1915,'Zip Code Lines_1'!$Q$4:$Q$26,0),0)</f>
        <v>7.1</v>
      </c>
      <c r="F1915" s="344">
        <f ca="1">OFFSET('Zip Code Lines_1'!$Z$3,MATCH('Zip Code Lines_1'!C1915,'Zip Code Lines_1'!$Q$4:$Q$26,0),0)</f>
        <v>85.6</v>
      </c>
      <c r="G1915" s="342">
        <f ca="1">OFFSET('Zip Code Lines_1'!$AC$3,MATCH('Zip Code Lines_1'!C1915,'Zip Code Lines_1'!$Q$4:$Q$26,0),0)</f>
        <v>12</v>
      </c>
      <c r="H1915" s="342">
        <v>14520</v>
      </c>
    </row>
    <row r="1916" spans="2:8" x14ac:dyDescent="0.25">
      <c r="B1916" s="342">
        <v>14521</v>
      </c>
      <c r="C1916" s="343" t="s">
        <v>568</v>
      </c>
      <c r="D1916" s="343" t="str">
        <f ca="1">OFFSET('Zip Code Lines_1'!$U$3,MATCH('Zip Code Lines_1'!C1916,'Zip Code Lines_1'!$Q$4:$Q$26,0),0)</f>
        <v>Syracuse</v>
      </c>
      <c r="E1916" s="344">
        <f ca="1">OFFSET('Zip Code Lines_1'!$W$3,MATCH('Zip Code Lines_1'!C1916,'Zip Code Lines_1'!$Q$4:$Q$26,0),0)</f>
        <v>4.9000000000000004</v>
      </c>
      <c r="F1916" s="344">
        <f ca="1">OFFSET('Zip Code Lines_1'!$Z$3,MATCH('Zip Code Lines_1'!C1916,'Zip Code Lines_1'!$Q$4:$Q$26,0),0)</f>
        <v>86.4</v>
      </c>
      <c r="G1916" s="342">
        <f ca="1">OFFSET('Zip Code Lines_1'!$AC$3,MATCH('Zip Code Lines_1'!C1916,'Zip Code Lines_1'!$Q$4:$Q$26,0),0)</f>
        <v>12</v>
      </c>
      <c r="H1916" s="342">
        <v>14521</v>
      </c>
    </row>
    <row r="1917" spans="2:8" x14ac:dyDescent="0.25">
      <c r="B1917" s="342">
        <v>14522</v>
      </c>
      <c r="C1917" s="343" t="s">
        <v>568</v>
      </c>
      <c r="D1917" s="343" t="str">
        <f ca="1">OFFSET('Zip Code Lines_1'!$U$3,MATCH('Zip Code Lines_1'!C1917,'Zip Code Lines_1'!$Q$4:$Q$26,0),0)</f>
        <v>Syracuse</v>
      </c>
      <c r="E1917" s="344">
        <f ca="1">OFFSET('Zip Code Lines_1'!$W$3,MATCH('Zip Code Lines_1'!C1917,'Zip Code Lines_1'!$Q$4:$Q$26,0),0)</f>
        <v>4.9000000000000004</v>
      </c>
      <c r="F1917" s="344">
        <f ca="1">OFFSET('Zip Code Lines_1'!$Z$3,MATCH('Zip Code Lines_1'!C1917,'Zip Code Lines_1'!$Q$4:$Q$26,0),0)</f>
        <v>86.4</v>
      </c>
      <c r="G1917" s="342">
        <f ca="1">OFFSET('Zip Code Lines_1'!$AC$3,MATCH('Zip Code Lines_1'!C1917,'Zip Code Lines_1'!$Q$4:$Q$26,0),0)</f>
        <v>12</v>
      </c>
      <c r="H1917" s="342">
        <v>14522</v>
      </c>
    </row>
    <row r="1918" spans="2:8" x14ac:dyDescent="0.25">
      <c r="B1918" s="342">
        <v>14525</v>
      </c>
      <c r="C1918" s="343" t="s">
        <v>534</v>
      </c>
      <c r="D1918" s="343" t="str">
        <f ca="1">OFFSET('Zip Code Lines_1'!$U$3,MATCH('Zip Code Lines_1'!C1918,'Zip Code Lines_1'!$Q$4:$Q$26,0),0)</f>
        <v>Buffalo</v>
      </c>
      <c r="E1918" s="344">
        <f ca="1">OFFSET('Zip Code Lines_1'!$W$3,MATCH('Zip Code Lines_1'!C1918,'Zip Code Lines_1'!$Q$4:$Q$26,0),0)</f>
        <v>7.4</v>
      </c>
      <c r="F1918" s="344">
        <f ca="1">OFFSET('Zip Code Lines_1'!$Z$3,MATCH('Zip Code Lines_1'!C1918,'Zip Code Lines_1'!$Q$4:$Q$26,0),0)</f>
        <v>83.9</v>
      </c>
      <c r="G1918" s="342">
        <f ca="1">OFFSET('Zip Code Lines_1'!$AC$3,MATCH('Zip Code Lines_1'!C1918,'Zip Code Lines_1'!$Q$4:$Q$26,0),0)</f>
        <v>18</v>
      </c>
      <c r="H1918" s="342">
        <v>14525</v>
      </c>
    </row>
    <row r="1919" spans="2:8" x14ac:dyDescent="0.25">
      <c r="B1919" s="342">
        <v>14526</v>
      </c>
      <c r="C1919" s="343" t="s">
        <v>564</v>
      </c>
      <c r="D1919" s="343" t="str">
        <f ca="1">OFFSET('Zip Code Lines_1'!$U$3,MATCH('Zip Code Lines_1'!C1919,'Zip Code Lines_1'!$Q$4:$Q$26,0),0)</f>
        <v>Rochester</v>
      </c>
      <c r="E1919" s="344">
        <f ca="1">OFFSET('Zip Code Lines_1'!$W$3,MATCH('Zip Code Lines_1'!C1919,'Zip Code Lines_1'!$Q$4:$Q$26,0),0)</f>
        <v>7.1</v>
      </c>
      <c r="F1919" s="344">
        <f ca="1">OFFSET('Zip Code Lines_1'!$Z$3,MATCH('Zip Code Lines_1'!C1919,'Zip Code Lines_1'!$Q$4:$Q$26,0),0)</f>
        <v>85.6</v>
      </c>
      <c r="G1919" s="342">
        <f ca="1">OFFSET('Zip Code Lines_1'!$AC$3,MATCH('Zip Code Lines_1'!C1919,'Zip Code Lines_1'!$Q$4:$Q$26,0),0)</f>
        <v>12</v>
      </c>
      <c r="H1919" s="342">
        <v>14526</v>
      </c>
    </row>
    <row r="1920" spans="2:8" x14ac:dyDescent="0.25">
      <c r="B1920" s="342">
        <v>14527</v>
      </c>
      <c r="C1920" s="343" t="s">
        <v>532</v>
      </c>
      <c r="D1920" s="343" t="str">
        <f ca="1">OFFSET('Zip Code Lines_1'!$U$3,MATCH('Zip Code Lines_1'!C1920,'Zip Code Lines_1'!$Q$4:$Q$26,0),0)</f>
        <v>Binghamton</v>
      </c>
      <c r="E1920" s="344">
        <f ca="1">OFFSET('Zip Code Lines_1'!$W$3,MATCH('Zip Code Lines_1'!C1920,'Zip Code Lines_1'!$Q$4:$Q$26,0),0)</f>
        <v>4.5</v>
      </c>
      <c r="F1920" s="344">
        <f ca="1">OFFSET('Zip Code Lines_1'!$Z$3,MATCH('Zip Code Lines_1'!C1920,'Zip Code Lines_1'!$Q$4:$Q$26,0),0)</f>
        <v>82.3</v>
      </c>
      <c r="G1920" s="342">
        <f ca="1">OFFSET('Zip Code Lines_1'!$AC$3,MATCH('Zip Code Lines_1'!C1920,'Zip Code Lines_1'!$Q$4:$Q$26,0),0)</f>
        <v>12</v>
      </c>
      <c r="H1920" s="342">
        <v>14527</v>
      </c>
    </row>
    <row r="1921" spans="2:8" x14ac:dyDescent="0.25">
      <c r="B1921" s="342">
        <v>14529</v>
      </c>
      <c r="C1921" s="343" t="s">
        <v>532</v>
      </c>
      <c r="D1921" s="343" t="str">
        <f ca="1">OFFSET('Zip Code Lines_1'!$U$3,MATCH('Zip Code Lines_1'!C1921,'Zip Code Lines_1'!$Q$4:$Q$26,0),0)</f>
        <v>Binghamton</v>
      </c>
      <c r="E1921" s="344">
        <f ca="1">OFFSET('Zip Code Lines_1'!$W$3,MATCH('Zip Code Lines_1'!C1921,'Zip Code Lines_1'!$Q$4:$Q$26,0),0)</f>
        <v>4.5</v>
      </c>
      <c r="F1921" s="344">
        <f ca="1">OFFSET('Zip Code Lines_1'!$Z$3,MATCH('Zip Code Lines_1'!C1921,'Zip Code Lines_1'!$Q$4:$Q$26,0),0)</f>
        <v>82.3</v>
      </c>
      <c r="G1921" s="342">
        <f ca="1">OFFSET('Zip Code Lines_1'!$AC$3,MATCH('Zip Code Lines_1'!C1921,'Zip Code Lines_1'!$Q$4:$Q$26,0),0)</f>
        <v>12</v>
      </c>
      <c r="H1921" s="342">
        <v>14529</v>
      </c>
    </row>
    <row r="1922" spans="2:8" x14ac:dyDescent="0.25">
      <c r="B1922" s="342">
        <v>14530</v>
      </c>
      <c r="C1922" s="343" t="s">
        <v>546</v>
      </c>
      <c r="D1922" s="343" t="str">
        <f ca="1">OFFSET('Zip Code Lines_1'!$U$3,MATCH('Zip Code Lines_1'!C1922,'Zip Code Lines_1'!$Q$4:$Q$26,0),0)</f>
        <v>Jamestown</v>
      </c>
      <c r="E1922" s="344">
        <f ca="1">OFFSET('Zip Code Lines_1'!$W$3,MATCH('Zip Code Lines_1'!C1922,'Zip Code Lines_1'!$Q$4:$Q$26,0),0)</f>
        <v>4.8</v>
      </c>
      <c r="F1922" s="344">
        <f ca="1">OFFSET('Zip Code Lines_1'!$Z$3,MATCH('Zip Code Lines_1'!C1922,'Zip Code Lines_1'!$Q$4:$Q$26,0),0)</f>
        <v>81.099999999999994</v>
      </c>
      <c r="G1922" s="342">
        <f ca="1">OFFSET('Zip Code Lines_1'!$AC$3,MATCH('Zip Code Lines_1'!C1922,'Zip Code Lines_1'!$Q$4:$Q$26,0),0)</f>
        <v>12</v>
      </c>
      <c r="H1922" s="342">
        <v>14530</v>
      </c>
    </row>
    <row r="1923" spans="2:8" x14ac:dyDescent="0.25">
      <c r="B1923" s="342">
        <v>14532</v>
      </c>
      <c r="C1923" s="343" t="s">
        <v>568</v>
      </c>
      <c r="D1923" s="343" t="str">
        <f ca="1">OFFSET('Zip Code Lines_1'!$U$3,MATCH('Zip Code Lines_1'!C1923,'Zip Code Lines_1'!$Q$4:$Q$26,0),0)</f>
        <v>Syracuse</v>
      </c>
      <c r="E1923" s="344">
        <f ca="1">OFFSET('Zip Code Lines_1'!$W$3,MATCH('Zip Code Lines_1'!C1923,'Zip Code Lines_1'!$Q$4:$Q$26,0),0)</f>
        <v>4.9000000000000004</v>
      </c>
      <c r="F1923" s="344">
        <f ca="1">OFFSET('Zip Code Lines_1'!$Z$3,MATCH('Zip Code Lines_1'!C1923,'Zip Code Lines_1'!$Q$4:$Q$26,0),0)</f>
        <v>86.4</v>
      </c>
      <c r="G1923" s="342">
        <f ca="1">OFFSET('Zip Code Lines_1'!$AC$3,MATCH('Zip Code Lines_1'!C1923,'Zip Code Lines_1'!$Q$4:$Q$26,0),0)</f>
        <v>12</v>
      </c>
      <c r="H1923" s="342">
        <v>14532</v>
      </c>
    </row>
    <row r="1924" spans="2:8" x14ac:dyDescent="0.25">
      <c r="B1924" s="342">
        <v>14533</v>
      </c>
      <c r="C1924" s="343" t="s">
        <v>534</v>
      </c>
      <c r="D1924" s="343" t="str">
        <f ca="1">OFFSET('Zip Code Lines_1'!$U$3,MATCH('Zip Code Lines_1'!C1924,'Zip Code Lines_1'!$Q$4:$Q$26,0),0)</f>
        <v>Buffalo</v>
      </c>
      <c r="E1924" s="344">
        <f ca="1">OFFSET('Zip Code Lines_1'!$W$3,MATCH('Zip Code Lines_1'!C1924,'Zip Code Lines_1'!$Q$4:$Q$26,0),0)</f>
        <v>7.4</v>
      </c>
      <c r="F1924" s="344">
        <f ca="1">OFFSET('Zip Code Lines_1'!$Z$3,MATCH('Zip Code Lines_1'!C1924,'Zip Code Lines_1'!$Q$4:$Q$26,0),0)</f>
        <v>83.9</v>
      </c>
      <c r="G1924" s="342">
        <f ca="1">OFFSET('Zip Code Lines_1'!$AC$3,MATCH('Zip Code Lines_1'!C1924,'Zip Code Lines_1'!$Q$4:$Q$26,0),0)</f>
        <v>18</v>
      </c>
      <c r="H1924" s="342">
        <v>14533</v>
      </c>
    </row>
    <row r="1925" spans="2:8" x14ac:dyDescent="0.25">
      <c r="B1925" s="342">
        <v>14534</v>
      </c>
      <c r="C1925" s="343" t="s">
        <v>564</v>
      </c>
      <c r="D1925" s="343" t="str">
        <f ca="1">OFFSET('Zip Code Lines_1'!$U$3,MATCH('Zip Code Lines_1'!C1925,'Zip Code Lines_1'!$Q$4:$Q$26,0),0)</f>
        <v>Rochester</v>
      </c>
      <c r="E1925" s="344">
        <f ca="1">OFFSET('Zip Code Lines_1'!$W$3,MATCH('Zip Code Lines_1'!C1925,'Zip Code Lines_1'!$Q$4:$Q$26,0),0)</f>
        <v>7.1</v>
      </c>
      <c r="F1925" s="344">
        <f ca="1">OFFSET('Zip Code Lines_1'!$Z$3,MATCH('Zip Code Lines_1'!C1925,'Zip Code Lines_1'!$Q$4:$Q$26,0),0)</f>
        <v>85.6</v>
      </c>
      <c r="G1925" s="342">
        <f ca="1">OFFSET('Zip Code Lines_1'!$AC$3,MATCH('Zip Code Lines_1'!C1925,'Zip Code Lines_1'!$Q$4:$Q$26,0),0)</f>
        <v>12</v>
      </c>
      <c r="H1925" s="342">
        <v>14534</v>
      </c>
    </row>
    <row r="1926" spans="2:8" x14ac:dyDescent="0.25">
      <c r="B1926" s="342">
        <v>14536</v>
      </c>
      <c r="C1926" s="343" t="s">
        <v>546</v>
      </c>
      <c r="D1926" s="343" t="str">
        <f ca="1">OFFSET('Zip Code Lines_1'!$U$3,MATCH('Zip Code Lines_1'!C1926,'Zip Code Lines_1'!$Q$4:$Q$26,0),0)</f>
        <v>Jamestown</v>
      </c>
      <c r="E1926" s="344">
        <f ca="1">OFFSET('Zip Code Lines_1'!$W$3,MATCH('Zip Code Lines_1'!C1926,'Zip Code Lines_1'!$Q$4:$Q$26,0),0)</f>
        <v>4.8</v>
      </c>
      <c r="F1926" s="344">
        <f ca="1">OFFSET('Zip Code Lines_1'!$Z$3,MATCH('Zip Code Lines_1'!C1926,'Zip Code Lines_1'!$Q$4:$Q$26,0),0)</f>
        <v>81.099999999999994</v>
      </c>
      <c r="G1926" s="342">
        <f ca="1">OFFSET('Zip Code Lines_1'!$AC$3,MATCH('Zip Code Lines_1'!C1926,'Zip Code Lines_1'!$Q$4:$Q$26,0),0)</f>
        <v>12</v>
      </c>
      <c r="H1926" s="342">
        <v>14536</v>
      </c>
    </row>
    <row r="1927" spans="2:8" x14ac:dyDescent="0.25">
      <c r="B1927" s="342">
        <v>14537</v>
      </c>
      <c r="C1927" s="343" t="s">
        <v>568</v>
      </c>
      <c r="D1927" s="343" t="str">
        <f ca="1">OFFSET('Zip Code Lines_1'!$U$3,MATCH('Zip Code Lines_1'!C1927,'Zip Code Lines_1'!$Q$4:$Q$26,0),0)</f>
        <v>Syracuse</v>
      </c>
      <c r="E1927" s="344">
        <f ca="1">OFFSET('Zip Code Lines_1'!$W$3,MATCH('Zip Code Lines_1'!C1927,'Zip Code Lines_1'!$Q$4:$Q$26,0),0)</f>
        <v>4.9000000000000004</v>
      </c>
      <c r="F1927" s="344">
        <f ca="1">OFFSET('Zip Code Lines_1'!$Z$3,MATCH('Zip Code Lines_1'!C1927,'Zip Code Lines_1'!$Q$4:$Q$26,0),0)</f>
        <v>86.4</v>
      </c>
      <c r="G1927" s="342">
        <f ca="1">OFFSET('Zip Code Lines_1'!$AC$3,MATCH('Zip Code Lines_1'!C1927,'Zip Code Lines_1'!$Q$4:$Q$26,0),0)</f>
        <v>12</v>
      </c>
      <c r="H1927" s="342">
        <v>14537</v>
      </c>
    </row>
    <row r="1928" spans="2:8" x14ac:dyDescent="0.25">
      <c r="B1928" s="342">
        <v>14538</v>
      </c>
      <c r="C1928" s="343" t="s">
        <v>568</v>
      </c>
      <c r="D1928" s="343" t="str">
        <f ca="1">OFFSET('Zip Code Lines_1'!$U$3,MATCH('Zip Code Lines_1'!C1928,'Zip Code Lines_1'!$Q$4:$Q$26,0),0)</f>
        <v>Syracuse</v>
      </c>
      <c r="E1928" s="344">
        <f ca="1">OFFSET('Zip Code Lines_1'!$W$3,MATCH('Zip Code Lines_1'!C1928,'Zip Code Lines_1'!$Q$4:$Q$26,0),0)</f>
        <v>4.9000000000000004</v>
      </c>
      <c r="F1928" s="344">
        <f ca="1">OFFSET('Zip Code Lines_1'!$Z$3,MATCH('Zip Code Lines_1'!C1928,'Zip Code Lines_1'!$Q$4:$Q$26,0),0)</f>
        <v>86.4</v>
      </c>
      <c r="G1928" s="342">
        <f ca="1">OFFSET('Zip Code Lines_1'!$AC$3,MATCH('Zip Code Lines_1'!C1928,'Zip Code Lines_1'!$Q$4:$Q$26,0),0)</f>
        <v>12</v>
      </c>
      <c r="H1928" s="342">
        <v>14538</v>
      </c>
    </row>
    <row r="1929" spans="2:8" x14ac:dyDescent="0.25">
      <c r="B1929" s="342">
        <v>14539</v>
      </c>
      <c r="C1929" s="343" t="s">
        <v>534</v>
      </c>
      <c r="D1929" s="343" t="str">
        <f ca="1">OFFSET('Zip Code Lines_1'!$U$3,MATCH('Zip Code Lines_1'!C1929,'Zip Code Lines_1'!$Q$4:$Q$26,0),0)</f>
        <v>Buffalo</v>
      </c>
      <c r="E1929" s="344">
        <f ca="1">OFFSET('Zip Code Lines_1'!$W$3,MATCH('Zip Code Lines_1'!C1929,'Zip Code Lines_1'!$Q$4:$Q$26,0),0)</f>
        <v>7.4</v>
      </c>
      <c r="F1929" s="344">
        <f ca="1">OFFSET('Zip Code Lines_1'!$Z$3,MATCH('Zip Code Lines_1'!C1929,'Zip Code Lines_1'!$Q$4:$Q$26,0),0)</f>
        <v>83.9</v>
      </c>
      <c r="G1929" s="342">
        <f ca="1">OFFSET('Zip Code Lines_1'!$AC$3,MATCH('Zip Code Lines_1'!C1929,'Zip Code Lines_1'!$Q$4:$Q$26,0),0)</f>
        <v>18</v>
      </c>
      <c r="H1929" s="342">
        <v>14539</v>
      </c>
    </row>
    <row r="1930" spans="2:8" x14ac:dyDescent="0.25">
      <c r="B1930" s="342">
        <v>14541</v>
      </c>
      <c r="C1930" s="343" t="s">
        <v>568</v>
      </c>
      <c r="D1930" s="343" t="str">
        <f ca="1">OFFSET('Zip Code Lines_1'!$U$3,MATCH('Zip Code Lines_1'!C1930,'Zip Code Lines_1'!$Q$4:$Q$26,0),0)</f>
        <v>Syracuse</v>
      </c>
      <c r="E1930" s="344">
        <f ca="1">OFFSET('Zip Code Lines_1'!$W$3,MATCH('Zip Code Lines_1'!C1930,'Zip Code Lines_1'!$Q$4:$Q$26,0),0)</f>
        <v>4.9000000000000004</v>
      </c>
      <c r="F1930" s="344">
        <f ca="1">OFFSET('Zip Code Lines_1'!$Z$3,MATCH('Zip Code Lines_1'!C1930,'Zip Code Lines_1'!$Q$4:$Q$26,0),0)</f>
        <v>86.4</v>
      </c>
      <c r="G1930" s="342">
        <f ca="1">OFFSET('Zip Code Lines_1'!$AC$3,MATCH('Zip Code Lines_1'!C1930,'Zip Code Lines_1'!$Q$4:$Q$26,0),0)</f>
        <v>12</v>
      </c>
      <c r="H1930" s="342">
        <v>14541</v>
      </c>
    </row>
    <row r="1931" spans="2:8" x14ac:dyDescent="0.25">
      <c r="B1931" s="342">
        <v>14542</v>
      </c>
      <c r="C1931" s="343" t="s">
        <v>568</v>
      </c>
      <c r="D1931" s="343" t="str">
        <f ca="1">OFFSET('Zip Code Lines_1'!$U$3,MATCH('Zip Code Lines_1'!C1931,'Zip Code Lines_1'!$Q$4:$Q$26,0),0)</f>
        <v>Syracuse</v>
      </c>
      <c r="E1931" s="344">
        <f ca="1">OFFSET('Zip Code Lines_1'!$W$3,MATCH('Zip Code Lines_1'!C1931,'Zip Code Lines_1'!$Q$4:$Q$26,0),0)</f>
        <v>4.9000000000000004</v>
      </c>
      <c r="F1931" s="344">
        <f ca="1">OFFSET('Zip Code Lines_1'!$Z$3,MATCH('Zip Code Lines_1'!C1931,'Zip Code Lines_1'!$Q$4:$Q$26,0),0)</f>
        <v>86.4</v>
      </c>
      <c r="G1931" s="342">
        <f ca="1">OFFSET('Zip Code Lines_1'!$AC$3,MATCH('Zip Code Lines_1'!C1931,'Zip Code Lines_1'!$Q$4:$Q$26,0),0)</f>
        <v>12</v>
      </c>
      <c r="H1931" s="342">
        <v>14542</v>
      </c>
    </row>
    <row r="1932" spans="2:8" x14ac:dyDescent="0.25">
      <c r="B1932" s="342">
        <v>14543</v>
      </c>
      <c r="C1932" s="343" t="s">
        <v>564</v>
      </c>
      <c r="D1932" s="343" t="str">
        <f ca="1">OFFSET('Zip Code Lines_1'!$U$3,MATCH('Zip Code Lines_1'!C1932,'Zip Code Lines_1'!$Q$4:$Q$26,0),0)</f>
        <v>Rochester</v>
      </c>
      <c r="E1932" s="344">
        <f ca="1">OFFSET('Zip Code Lines_1'!$W$3,MATCH('Zip Code Lines_1'!C1932,'Zip Code Lines_1'!$Q$4:$Q$26,0),0)</f>
        <v>7.1</v>
      </c>
      <c r="F1932" s="344">
        <f ca="1">OFFSET('Zip Code Lines_1'!$Z$3,MATCH('Zip Code Lines_1'!C1932,'Zip Code Lines_1'!$Q$4:$Q$26,0),0)</f>
        <v>85.6</v>
      </c>
      <c r="G1932" s="342">
        <f ca="1">OFFSET('Zip Code Lines_1'!$AC$3,MATCH('Zip Code Lines_1'!C1932,'Zip Code Lines_1'!$Q$4:$Q$26,0),0)</f>
        <v>12</v>
      </c>
      <c r="H1932" s="342">
        <v>14543</v>
      </c>
    </row>
    <row r="1933" spans="2:8" x14ac:dyDescent="0.25">
      <c r="B1933" s="342">
        <v>14544</v>
      </c>
      <c r="C1933" s="343" t="s">
        <v>532</v>
      </c>
      <c r="D1933" s="343" t="str">
        <f ca="1">OFFSET('Zip Code Lines_1'!$U$3,MATCH('Zip Code Lines_1'!C1933,'Zip Code Lines_1'!$Q$4:$Q$26,0),0)</f>
        <v>Binghamton</v>
      </c>
      <c r="E1933" s="344">
        <f ca="1">OFFSET('Zip Code Lines_1'!$W$3,MATCH('Zip Code Lines_1'!C1933,'Zip Code Lines_1'!$Q$4:$Q$26,0),0)</f>
        <v>4.5</v>
      </c>
      <c r="F1933" s="344">
        <f ca="1">OFFSET('Zip Code Lines_1'!$Z$3,MATCH('Zip Code Lines_1'!C1933,'Zip Code Lines_1'!$Q$4:$Q$26,0),0)</f>
        <v>82.3</v>
      </c>
      <c r="G1933" s="342">
        <f ca="1">OFFSET('Zip Code Lines_1'!$AC$3,MATCH('Zip Code Lines_1'!C1933,'Zip Code Lines_1'!$Q$4:$Q$26,0),0)</f>
        <v>12</v>
      </c>
      <c r="H1933" s="342">
        <v>14544</v>
      </c>
    </row>
    <row r="1934" spans="2:8" x14ac:dyDescent="0.25">
      <c r="B1934" s="342">
        <v>14545</v>
      </c>
      <c r="C1934" s="343" t="s">
        <v>534</v>
      </c>
      <c r="D1934" s="343" t="str">
        <f ca="1">OFFSET('Zip Code Lines_1'!$U$3,MATCH('Zip Code Lines_1'!C1934,'Zip Code Lines_1'!$Q$4:$Q$26,0),0)</f>
        <v>Buffalo</v>
      </c>
      <c r="E1934" s="344">
        <f ca="1">OFFSET('Zip Code Lines_1'!$W$3,MATCH('Zip Code Lines_1'!C1934,'Zip Code Lines_1'!$Q$4:$Q$26,0),0)</f>
        <v>7.4</v>
      </c>
      <c r="F1934" s="344">
        <f ca="1">OFFSET('Zip Code Lines_1'!$Z$3,MATCH('Zip Code Lines_1'!C1934,'Zip Code Lines_1'!$Q$4:$Q$26,0),0)</f>
        <v>83.9</v>
      </c>
      <c r="G1934" s="342">
        <f ca="1">OFFSET('Zip Code Lines_1'!$AC$3,MATCH('Zip Code Lines_1'!C1934,'Zip Code Lines_1'!$Q$4:$Q$26,0),0)</f>
        <v>18</v>
      </c>
      <c r="H1934" s="342">
        <v>14545</v>
      </c>
    </row>
    <row r="1935" spans="2:8" x14ac:dyDescent="0.25">
      <c r="B1935" s="342">
        <v>14546</v>
      </c>
      <c r="C1935" s="343" t="s">
        <v>564</v>
      </c>
      <c r="D1935" s="343" t="str">
        <f ca="1">OFFSET('Zip Code Lines_1'!$U$3,MATCH('Zip Code Lines_1'!C1935,'Zip Code Lines_1'!$Q$4:$Q$26,0),0)</f>
        <v>Rochester</v>
      </c>
      <c r="E1935" s="344">
        <f ca="1">OFFSET('Zip Code Lines_1'!$W$3,MATCH('Zip Code Lines_1'!C1935,'Zip Code Lines_1'!$Q$4:$Q$26,0),0)</f>
        <v>7.1</v>
      </c>
      <c r="F1935" s="344">
        <f ca="1">OFFSET('Zip Code Lines_1'!$Z$3,MATCH('Zip Code Lines_1'!C1935,'Zip Code Lines_1'!$Q$4:$Q$26,0),0)</f>
        <v>85.6</v>
      </c>
      <c r="G1935" s="342">
        <f ca="1">OFFSET('Zip Code Lines_1'!$AC$3,MATCH('Zip Code Lines_1'!C1935,'Zip Code Lines_1'!$Q$4:$Q$26,0),0)</f>
        <v>12</v>
      </c>
      <c r="H1935" s="342">
        <v>14546</v>
      </c>
    </row>
    <row r="1936" spans="2:8" x14ac:dyDescent="0.25">
      <c r="B1936" s="342">
        <v>14547</v>
      </c>
      <c r="C1936" s="343" t="s">
        <v>532</v>
      </c>
      <c r="D1936" s="343" t="str">
        <f ca="1">OFFSET('Zip Code Lines_1'!$U$3,MATCH('Zip Code Lines_1'!C1936,'Zip Code Lines_1'!$Q$4:$Q$26,0),0)</f>
        <v>Binghamton</v>
      </c>
      <c r="E1936" s="344">
        <f ca="1">OFFSET('Zip Code Lines_1'!$W$3,MATCH('Zip Code Lines_1'!C1936,'Zip Code Lines_1'!$Q$4:$Q$26,0),0)</f>
        <v>4.5</v>
      </c>
      <c r="F1936" s="344">
        <f ca="1">OFFSET('Zip Code Lines_1'!$Z$3,MATCH('Zip Code Lines_1'!C1936,'Zip Code Lines_1'!$Q$4:$Q$26,0),0)</f>
        <v>82.3</v>
      </c>
      <c r="G1936" s="342">
        <f ca="1">OFFSET('Zip Code Lines_1'!$AC$3,MATCH('Zip Code Lines_1'!C1936,'Zip Code Lines_1'!$Q$4:$Q$26,0),0)</f>
        <v>12</v>
      </c>
      <c r="H1936" s="342">
        <v>14547</v>
      </c>
    </row>
    <row r="1937" spans="2:8" x14ac:dyDescent="0.25">
      <c r="B1937" s="342">
        <v>14548</v>
      </c>
      <c r="C1937" s="343" t="s">
        <v>568</v>
      </c>
      <c r="D1937" s="343" t="str">
        <f ca="1">OFFSET('Zip Code Lines_1'!$U$3,MATCH('Zip Code Lines_1'!C1937,'Zip Code Lines_1'!$Q$4:$Q$26,0),0)</f>
        <v>Syracuse</v>
      </c>
      <c r="E1937" s="344">
        <f ca="1">OFFSET('Zip Code Lines_1'!$W$3,MATCH('Zip Code Lines_1'!C1937,'Zip Code Lines_1'!$Q$4:$Q$26,0),0)</f>
        <v>4.9000000000000004</v>
      </c>
      <c r="F1937" s="344">
        <f ca="1">OFFSET('Zip Code Lines_1'!$Z$3,MATCH('Zip Code Lines_1'!C1937,'Zip Code Lines_1'!$Q$4:$Q$26,0),0)</f>
        <v>86.4</v>
      </c>
      <c r="G1937" s="342">
        <f ca="1">OFFSET('Zip Code Lines_1'!$AC$3,MATCH('Zip Code Lines_1'!C1937,'Zip Code Lines_1'!$Q$4:$Q$26,0),0)</f>
        <v>12</v>
      </c>
      <c r="H1937" s="342">
        <v>14548</v>
      </c>
    </row>
    <row r="1938" spans="2:8" x14ac:dyDescent="0.25">
      <c r="B1938" s="342">
        <v>14549</v>
      </c>
      <c r="C1938" s="343" t="s">
        <v>546</v>
      </c>
      <c r="D1938" s="343" t="str">
        <f ca="1">OFFSET('Zip Code Lines_1'!$U$3,MATCH('Zip Code Lines_1'!C1938,'Zip Code Lines_1'!$Q$4:$Q$26,0),0)</f>
        <v>Jamestown</v>
      </c>
      <c r="E1938" s="344">
        <f ca="1">OFFSET('Zip Code Lines_1'!$W$3,MATCH('Zip Code Lines_1'!C1938,'Zip Code Lines_1'!$Q$4:$Q$26,0),0)</f>
        <v>4.8</v>
      </c>
      <c r="F1938" s="344">
        <f ca="1">OFFSET('Zip Code Lines_1'!$Z$3,MATCH('Zip Code Lines_1'!C1938,'Zip Code Lines_1'!$Q$4:$Q$26,0),0)</f>
        <v>81.099999999999994</v>
      </c>
      <c r="G1938" s="342">
        <f ca="1">OFFSET('Zip Code Lines_1'!$AC$3,MATCH('Zip Code Lines_1'!C1938,'Zip Code Lines_1'!$Q$4:$Q$26,0),0)</f>
        <v>12</v>
      </c>
      <c r="H1938" s="342">
        <v>14549</v>
      </c>
    </row>
    <row r="1939" spans="2:8" x14ac:dyDescent="0.25">
      <c r="B1939" s="342">
        <v>14550</v>
      </c>
      <c r="C1939" s="343" t="s">
        <v>546</v>
      </c>
      <c r="D1939" s="343" t="str">
        <f ca="1">OFFSET('Zip Code Lines_1'!$U$3,MATCH('Zip Code Lines_1'!C1939,'Zip Code Lines_1'!$Q$4:$Q$26,0),0)</f>
        <v>Jamestown</v>
      </c>
      <c r="E1939" s="344">
        <f ca="1">OFFSET('Zip Code Lines_1'!$W$3,MATCH('Zip Code Lines_1'!C1939,'Zip Code Lines_1'!$Q$4:$Q$26,0),0)</f>
        <v>4.8</v>
      </c>
      <c r="F1939" s="344">
        <f ca="1">OFFSET('Zip Code Lines_1'!$Z$3,MATCH('Zip Code Lines_1'!C1939,'Zip Code Lines_1'!$Q$4:$Q$26,0),0)</f>
        <v>81.099999999999994</v>
      </c>
      <c r="G1939" s="342">
        <f ca="1">OFFSET('Zip Code Lines_1'!$AC$3,MATCH('Zip Code Lines_1'!C1939,'Zip Code Lines_1'!$Q$4:$Q$26,0),0)</f>
        <v>12</v>
      </c>
      <c r="H1939" s="342">
        <v>14550</v>
      </c>
    </row>
    <row r="1940" spans="2:8" x14ac:dyDescent="0.25">
      <c r="B1940" s="342">
        <v>14551</v>
      </c>
      <c r="C1940" s="343" t="s">
        <v>568</v>
      </c>
      <c r="D1940" s="343" t="str">
        <f ca="1">OFFSET('Zip Code Lines_1'!$U$3,MATCH('Zip Code Lines_1'!C1940,'Zip Code Lines_1'!$Q$4:$Q$26,0),0)</f>
        <v>Syracuse</v>
      </c>
      <c r="E1940" s="344">
        <f ca="1">OFFSET('Zip Code Lines_1'!$W$3,MATCH('Zip Code Lines_1'!C1940,'Zip Code Lines_1'!$Q$4:$Q$26,0),0)</f>
        <v>4.9000000000000004</v>
      </c>
      <c r="F1940" s="344">
        <f ca="1">OFFSET('Zip Code Lines_1'!$Z$3,MATCH('Zip Code Lines_1'!C1940,'Zip Code Lines_1'!$Q$4:$Q$26,0),0)</f>
        <v>86.4</v>
      </c>
      <c r="G1940" s="342">
        <f ca="1">OFFSET('Zip Code Lines_1'!$AC$3,MATCH('Zip Code Lines_1'!C1940,'Zip Code Lines_1'!$Q$4:$Q$26,0),0)</f>
        <v>12</v>
      </c>
      <c r="H1940" s="342">
        <v>14551</v>
      </c>
    </row>
    <row r="1941" spans="2:8" x14ac:dyDescent="0.25">
      <c r="B1941" s="342">
        <v>14555</v>
      </c>
      <c r="C1941" s="343" t="s">
        <v>568</v>
      </c>
      <c r="D1941" s="343" t="str">
        <f ca="1">OFFSET('Zip Code Lines_1'!$U$3,MATCH('Zip Code Lines_1'!C1941,'Zip Code Lines_1'!$Q$4:$Q$26,0),0)</f>
        <v>Syracuse</v>
      </c>
      <c r="E1941" s="344">
        <f ca="1">OFFSET('Zip Code Lines_1'!$W$3,MATCH('Zip Code Lines_1'!C1941,'Zip Code Lines_1'!$Q$4:$Q$26,0),0)</f>
        <v>4.9000000000000004</v>
      </c>
      <c r="F1941" s="344">
        <f ca="1">OFFSET('Zip Code Lines_1'!$Z$3,MATCH('Zip Code Lines_1'!C1941,'Zip Code Lines_1'!$Q$4:$Q$26,0),0)</f>
        <v>86.4</v>
      </c>
      <c r="G1941" s="342">
        <f ca="1">OFFSET('Zip Code Lines_1'!$AC$3,MATCH('Zip Code Lines_1'!C1941,'Zip Code Lines_1'!$Q$4:$Q$26,0),0)</f>
        <v>12</v>
      </c>
      <c r="H1941" s="342">
        <v>14555</v>
      </c>
    </row>
    <row r="1942" spans="2:8" x14ac:dyDescent="0.25">
      <c r="B1942" s="342">
        <v>14556</v>
      </c>
      <c r="C1942" s="343" t="s">
        <v>534</v>
      </c>
      <c r="D1942" s="343" t="str">
        <f ca="1">OFFSET('Zip Code Lines_1'!$U$3,MATCH('Zip Code Lines_1'!C1942,'Zip Code Lines_1'!$Q$4:$Q$26,0),0)</f>
        <v>Buffalo</v>
      </c>
      <c r="E1942" s="344">
        <f ca="1">OFFSET('Zip Code Lines_1'!$W$3,MATCH('Zip Code Lines_1'!C1942,'Zip Code Lines_1'!$Q$4:$Q$26,0),0)</f>
        <v>7.4</v>
      </c>
      <c r="F1942" s="344">
        <f ca="1">OFFSET('Zip Code Lines_1'!$Z$3,MATCH('Zip Code Lines_1'!C1942,'Zip Code Lines_1'!$Q$4:$Q$26,0),0)</f>
        <v>83.9</v>
      </c>
      <c r="G1942" s="342">
        <f ca="1">OFFSET('Zip Code Lines_1'!$AC$3,MATCH('Zip Code Lines_1'!C1942,'Zip Code Lines_1'!$Q$4:$Q$26,0),0)</f>
        <v>18</v>
      </c>
      <c r="H1942" s="342">
        <v>14556</v>
      </c>
    </row>
    <row r="1943" spans="2:8" x14ac:dyDescent="0.25">
      <c r="B1943" s="342">
        <v>14557</v>
      </c>
      <c r="C1943" s="343" t="s">
        <v>561</v>
      </c>
      <c r="D1943" s="343" t="str">
        <f ca="1">OFFSET('Zip Code Lines_1'!$U$3,MATCH('Zip Code Lines_1'!C1943,'Zip Code Lines_1'!$Q$4:$Q$26,0),0)</f>
        <v>Niagara Falls</v>
      </c>
      <c r="E1943" s="344">
        <f ca="1">OFFSET('Zip Code Lines_1'!$W$3,MATCH('Zip Code Lines_1'!C1943,'Zip Code Lines_1'!$Q$4:$Q$26,0),0)</f>
        <v>6.9</v>
      </c>
      <c r="F1943" s="344">
        <f ca="1">OFFSET('Zip Code Lines_1'!$Z$3,MATCH('Zip Code Lines_1'!C1943,'Zip Code Lines_1'!$Q$4:$Q$26,0),0)</f>
        <v>85.2</v>
      </c>
      <c r="G1943" s="342">
        <f ca="1">OFFSET('Zip Code Lines_1'!$AC$3,MATCH('Zip Code Lines_1'!C1943,'Zip Code Lines_1'!$Q$4:$Q$26,0),0)</f>
        <v>18</v>
      </c>
      <c r="H1943" s="342">
        <v>14557</v>
      </c>
    </row>
    <row r="1944" spans="2:8" x14ac:dyDescent="0.25">
      <c r="B1944" s="342">
        <v>14558</v>
      </c>
      <c r="C1944" s="343" t="s">
        <v>564</v>
      </c>
      <c r="D1944" s="343" t="str">
        <f ca="1">OFFSET('Zip Code Lines_1'!$U$3,MATCH('Zip Code Lines_1'!C1944,'Zip Code Lines_1'!$Q$4:$Q$26,0),0)</f>
        <v>Rochester</v>
      </c>
      <c r="E1944" s="344">
        <f ca="1">OFFSET('Zip Code Lines_1'!$W$3,MATCH('Zip Code Lines_1'!C1944,'Zip Code Lines_1'!$Q$4:$Q$26,0),0)</f>
        <v>7.1</v>
      </c>
      <c r="F1944" s="344">
        <f ca="1">OFFSET('Zip Code Lines_1'!$Z$3,MATCH('Zip Code Lines_1'!C1944,'Zip Code Lines_1'!$Q$4:$Q$26,0),0)</f>
        <v>85.6</v>
      </c>
      <c r="G1944" s="342">
        <f ca="1">OFFSET('Zip Code Lines_1'!$AC$3,MATCH('Zip Code Lines_1'!C1944,'Zip Code Lines_1'!$Q$4:$Q$26,0),0)</f>
        <v>12</v>
      </c>
      <c r="H1944" s="342">
        <v>14558</v>
      </c>
    </row>
    <row r="1945" spans="2:8" x14ac:dyDescent="0.25">
      <c r="B1945" s="342">
        <v>14559</v>
      </c>
      <c r="C1945" s="343" t="s">
        <v>564</v>
      </c>
      <c r="D1945" s="343" t="str">
        <f ca="1">OFFSET('Zip Code Lines_1'!$U$3,MATCH('Zip Code Lines_1'!C1945,'Zip Code Lines_1'!$Q$4:$Q$26,0),0)</f>
        <v>Rochester</v>
      </c>
      <c r="E1945" s="344">
        <f ca="1">OFFSET('Zip Code Lines_1'!$W$3,MATCH('Zip Code Lines_1'!C1945,'Zip Code Lines_1'!$Q$4:$Q$26,0),0)</f>
        <v>7.1</v>
      </c>
      <c r="F1945" s="344">
        <f ca="1">OFFSET('Zip Code Lines_1'!$Z$3,MATCH('Zip Code Lines_1'!C1945,'Zip Code Lines_1'!$Q$4:$Q$26,0),0)</f>
        <v>85.6</v>
      </c>
      <c r="G1945" s="342">
        <f ca="1">OFFSET('Zip Code Lines_1'!$AC$3,MATCH('Zip Code Lines_1'!C1945,'Zip Code Lines_1'!$Q$4:$Q$26,0),0)</f>
        <v>12</v>
      </c>
      <c r="H1945" s="342">
        <v>14559</v>
      </c>
    </row>
    <row r="1946" spans="2:8" x14ac:dyDescent="0.25">
      <c r="B1946" s="342">
        <v>14560</v>
      </c>
      <c r="C1946" s="343" t="s">
        <v>534</v>
      </c>
      <c r="D1946" s="343" t="str">
        <f ca="1">OFFSET('Zip Code Lines_1'!$U$3,MATCH('Zip Code Lines_1'!C1946,'Zip Code Lines_1'!$Q$4:$Q$26,0),0)</f>
        <v>Buffalo</v>
      </c>
      <c r="E1946" s="344">
        <f ca="1">OFFSET('Zip Code Lines_1'!$W$3,MATCH('Zip Code Lines_1'!C1946,'Zip Code Lines_1'!$Q$4:$Q$26,0),0)</f>
        <v>7.4</v>
      </c>
      <c r="F1946" s="344">
        <f ca="1">OFFSET('Zip Code Lines_1'!$Z$3,MATCH('Zip Code Lines_1'!C1946,'Zip Code Lines_1'!$Q$4:$Q$26,0),0)</f>
        <v>83.9</v>
      </c>
      <c r="G1946" s="342">
        <f ca="1">OFFSET('Zip Code Lines_1'!$AC$3,MATCH('Zip Code Lines_1'!C1946,'Zip Code Lines_1'!$Q$4:$Q$26,0),0)</f>
        <v>18</v>
      </c>
      <c r="H1946" s="342">
        <v>14560</v>
      </c>
    </row>
    <row r="1947" spans="2:8" x14ac:dyDescent="0.25">
      <c r="B1947" s="342">
        <v>14561</v>
      </c>
      <c r="C1947" s="343" t="s">
        <v>532</v>
      </c>
      <c r="D1947" s="343" t="str">
        <f ca="1">OFFSET('Zip Code Lines_1'!$U$3,MATCH('Zip Code Lines_1'!C1947,'Zip Code Lines_1'!$Q$4:$Q$26,0),0)</f>
        <v>Binghamton</v>
      </c>
      <c r="E1947" s="344">
        <f ca="1">OFFSET('Zip Code Lines_1'!$W$3,MATCH('Zip Code Lines_1'!C1947,'Zip Code Lines_1'!$Q$4:$Q$26,0),0)</f>
        <v>4.5</v>
      </c>
      <c r="F1947" s="344">
        <f ca="1">OFFSET('Zip Code Lines_1'!$Z$3,MATCH('Zip Code Lines_1'!C1947,'Zip Code Lines_1'!$Q$4:$Q$26,0),0)</f>
        <v>82.3</v>
      </c>
      <c r="G1947" s="342">
        <f ca="1">OFFSET('Zip Code Lines_1'!$AC$3,MATCH('Zip Code Lines_1'!C1947,'Zip Code Lines_1'!$Q$4:$Q$26,0),0)</f>
        <v>12</v>
      </c>
      <c r="H1947" s="342">
        <v>14561</v>
      </c>
    </row>
    <row r="1948" spans="2:8" x14ac:dyDescent="0.25">
      <c r="B1948" s="342">
        <v>14563</v>
      </c>
      <c r="C1948" s="343" t="s">
        <v>564</v>
      </c>
      <c r="D1948" s="343" t="str">
        <f ca="1">OFFSET('Zip Code Lines_1'!$U$3,MATCH('Zip Code Lines_1'!C1948,'Zip Code Lines_1'!$Q$4:$Q$26,0),0)</f>
        <v>Rochester</v>
      </c>
      <c r="E1948" s="344">
        <f ca="1">OFFSET('Zip Code Lines_1'!$W$3,MATCH('Zip Code Lines_1'!C1948,'Zip Code Lines_1'!$Q$4:$Q$26,0),0)</f>
        <v>7.1</v>
      </c>
      <c r="F1948" s="344">
        <f ca="1">OFFSET('Zip Code Lines_1'!$Z$3,MATCH('Zip Code Lines_1'!C1948,'Zip Code Lines_1'!$Q$4:$Q$26,0),0)</f>
        <v>85.6</v>
      </c>
      <c r="G1948" s="342">
        <f ca="1">OFFSET('Zip Code Lines_1'!$AC$3,MATCH('Zip Code Lines_1'!C1948,'Zip Code Lines_1'!$Q$4:$Q$26,0),0)</f>
        <v>12</v>
      </c>
      <c r="H1948" s="342">
        <v>14563</v>
      </c>
    </row>
    <row r="1949" spans="2:8" x14ac:dyDescent="0.25">
      <c r="B1949" s="342">
        <v>14564</v>
      </c>
      <c r="C1949" s="343" t="s">
        <v>564</v>
      </c>
      <c r="D1949" s="343" t="str">
        <f ca="1">OFFSET('Zip Code Lines_1'!$U$3,MATCH('Zip Code Lines_1'!C1949,'Zip Code Lines_1'!$Q$4:$Q$26,0),0)</f>
        <v>Rochester</v>
      </c>
      <c r="E1949" s="344">
        <f ca="1">OFFSET('Zip Code Lines_1'!$W$3,MATCH('Zip Code Lines_1'!C1949,'Zip Code Lines_1'!$Q$4:$Q$26,0),0)</f>
        <v>7.1</v>
      </c>
      <c r="F1949" s="344">
        <f ca="1">OFFSET('Zip Code Lines_1'!$Z$3,MATCH('Zip Code Lines_1'!C1949,'Zip Code Lines_1'!$Q$4:$Q$26,0),0)</f>
        <v>85.6</v>
      </c>
      <c r="G1949" s="342">
        <f ca="1">OFFSET('Zip Code Lines_1'!$AC$3,MATCH('Zip Code Lines_1'!C1949,'Zip Code Lines_1'!$Q$4:$Q$26,0),0)</f>
        <v>12</v>
      </c>
      <c r="H1949" s="342">
        <v>14564</v>
      </c>
    </row>
    <row r="1950" spans="2:8" x14ac:dyDescent="0.25">
      <c r="B1950" s="342">
        <v>14568</v>
      </c>
      <c r="C1950" s="343" t="s">
        <v>564</v>
      </c>
      <c r="D1950" s="343" t="str">
        <f ca="1">OFFSET('Zip Code Lines_1'!$U$3,MATCH('Zip Code Lines_1'!C1950,'Zip Code Lines_1'!$Q$4:$Q$26,0),0)</f>
        <v>Rochester</v>
      </c>
      <c r="E1950" s="344">
        <f ca="1">OFFSET('Zip Code Lines_1'!$W$3,MATCH('Zip Code Lines_1'!C1950,'Zip Code Lines_1'!$Q$4:$Q$26,0),0)</f>
        <v>7.1</v>
      </c>
      <c r="F1950" s="344">
        <f ca="1">OFFSET('Zip Code Lines_1'!$Z$3,MATCH('Zip Code Lines_1'!C1950,'Zip Code Lines_1'!$Q$4:$Q$26,0),0)</f>
        <v>85.6</v>
      </c>
      <c r="G1950" s="342">
        <f ca="1">OFFSET('Zip Code Lines_1'!$AC$3,MATCH('Zip Code Lines_1'!C1950,'Zip Code Lines_1'!$Q$4:$Q$26,0),0)</f>
        <v>12</v>
      </c>
      <c r="H1950" s="342">
        <v>14568</v>
      </c>
    </row>
    <row r="1951" spans="2:8" x14ac:dyDescent="0.25">
      <c r="B1951" s="342">
        <v>14569</v>
      </c>
      <c r="C1951" s="343" t="s">
        <v>546</v>
      </c>
      <c r="D1951" s="343" t="str">
        <f ca="1">OFFSET('Zip Code Lines_1'!$U$3,MATCH('Zip Code Lines_1'!C1951,'Zip Code Lines_1'!$Q$4:$Q$26,0),0)</f>
        <v>Jamestown</v>
      </c>
      <c r="E1951" s="344">
        <f ca="1">OFFSET('Zip Code Lines_1'!$W$3,MATCH('Zip Code Lines_1'!C1951,'Zip Code Lines_1'!$Q$4:$Q$26,0),0)</f>
        <v>4.8</v>
      </c>
      <c r="F1951" s="344">
        <f ca="1">OFFSET('Zip Code Lines_1'!$Z$3,MATCH('Zip Code Lines_1'!C1951,'Zip Code Lines_1'!$Q$4:$Q$26,0),0)</f>
        <v>81.099999999999994</v>
      </c>
      <c r="G1951" s="342">
        <f ca="1">OFFSET('Zip Code Lines_1'!$AC$3,MATCH('Zip Code Lines_1'!C1951,'Zip Code Lines_1'!$Q$4:$Q$26,0),0)</f>
        <v>12</v>
      </c>
      <c r="H1951" s="342">
        <v>14569</v>
      </c>
    </row>
    <row r="1952" spans="2:8" x14ac:dyDescent="0.25">
      <c r="B1952" s="342">
        <v>14571</v>
      </c>
      <c r="C1952" s="343" t="s">
        <v>561</v>
      </c>
      <c r="D1952" s="343" t="str">
        <f ca="1">OFFSET('Zip Code Lines_1'!$U$3,MATCH('Zip Code Lines_1'!C1952,'Zip Code Lines_1'!$Q$4:$Q$26,0),0)</f>
        <v>Niagara Falls</v>
      </c>
      <c r="E1952" s="344">
        <f ca="1">OFFSET('Zip Code Lines_1'!$W$3,MATCH('Zip Code Lines_1'!C1952,'Zip Code Lines_1'!$Q$4:$Q$26,0),0)</f>
        <v>6.9</v>
      </c>
      <c r="F1952" s="344">
        <f ca="1">OFFSET('Zip Code Lines_1'!$Z$3,MATCH('Zip Code Lines_1'!C1952,'Zip Code Lines_1'!$Q$4:$Q$26,0),0)</f>
        <v>85.2</v>
      </c>
      <c r="G1952" s="342">
        <f ca="1">OFFSET('Zip Code Lines_1'!$AC$3,MATCH('Zip Code Lines_1'!C1952,'Zip Code Lines_1'!$Q$4:$Q$26,0),0)</f>
        <v>18</v>
      </c>
      <c r="H1952" s="342">
        <v>14571</v>
      </c>
    </row>
    <row r="1953" spans="2:8" x14ac:dyDescent="0.25">
      <c r="B1953" s="342">
        <v>14572</v>
      </c>
      <c r="C1953" s="343" t="s">
        <v>532</v>
      </c>
      <c r="D1953" s="343" t="str">
        <f ca="1">OFFSET('Zip Code Lines_1'!$U$3,MATCH('Zip Code Lines_1'!C1953,'Zip Code Lines_1'!$Q$4:$Q$26,0),0)</f>
        <v>Binghamton</v>
      </c>
      <c r="E1953" s="344">
        <f ca="1">OFFSET('Zip Code Lines_1'!$W$3,MATCH('Zip Code Lines_1'!C1953,'Zip Code Lines_1'!$Q$4:$Q$26,0),0)</f>
        <v>4.5</v>
      </c>
      <c r="F1953" s="344">
        <f ca="1">OFFSET('Zip Code Lines_1'!$Z$3,MATCH('Zip Code Lines_1'!C1953,'Zip Code Lines_1'!$Q$4:$Q$26,0),0)</f>
        <v>82.3</v>
      </c>
      <c r="G1953" s="342">
        <f ca="1">OFFSET('Zip Code Lines_1'!$AC$3,MATCH('Zip Code Lines_1'!C1953,'Zip Code Lines_1'!$Q$4:$Q$26,0),0)</f>
        <v>12</v>
      </c>
      <c r="H1953" s="342">
        <v>14572</v>
      </c>
    </row>
    <row r="1954" spans="2:8" x14ac:dyDescent="0.25">
      <c r="B1954" s="342">
        <v>14580</v>
      </c>
      <c r="C1954" s="343" t="s">
        <v>564</v>
      </c>
      <c r="D1954" s="343" t="str">
        <f ca="1">OFFSET('Zip Code Lines_1'!$U$3,MATCH('Zip Code Lines_1'!C1954,'Zip Code Lines_1'!$Q$4:$Q$26,0),0)</f>
        <v>Rochester</v>
      </c>
      <c r="E1954" s="344">
        <f ca="1">OFFSET('Zip Code Lines_1'!$W$3,MATCH('Zip Code Lines_1'!C1954,'Zip Code Lines_1'!$Q$4:$Q$26,0),0)</f>
        <v>7.1</v>
      </c>
      <c r="F1954" s="344">
        <f ca="1">OFFSET('Zip Code Lines_1'!$Z$3,MATCH('Zip Code Lines_1'!C1954,'Zip Code Lines_1'!$Q$4:$Q$26,0),0)</f>
        <v>85.6</v>
      </c>
      <c r="G1954" s="342">
        <f ca="1">OFFSET('Zip Code Lines_1'!$AC$3,MATCH('Zip Code Lines_1'!C1954,'Zip Code Lines_1'!$Q$4:$Q$26,0),0)</f>
        <v>12</v>
      </c>
      <c r="H1954" s="342">
        <v>14580</v>
      </c>
    </row>
    <row r="1955" spans="2:8" x14ac:dyDescent="0.25">
      <c r="B1955" s="342">
        <v>14585</v>
      </c>
      <c r="C1955" s="343" t="s">
        <v>564</v>
      </c>
      <c r="D1955" s="343" t="str">
        <f ca="1">OFFSET('Zip Code Lines_1'!$U$3,MATCH('Zip Code Lines_1'!C1955,'Zip Code Lines_1'!$Q$4:$Q$26,0),0)</f>
        <v>Rochester</v>
      </c>
      <c r="E1955" s="344">
        <f ca="1">OFFSET('Zip Code Lines_1'!$W$3,MATCH('Zip Code Lines_1'!C1955,'Zip Code Lines_1'!$Q$4:$Q$26,0),0)</f>
        <v>7.1</v>
      </c>
      <c r="F1955" s="344">
        <f ca="1">OFFSET('Zip Code Lines_1'!$Z$3,MATCH('Zip Code Lines_1'!C1955,'Zip Code Lines_1'!$Q$4:$Q$26,0),0)</f>
        <v>85.6</v>
      </c>
      <c r="G1955" s="342">
        <f ca="1">OFFSET('Zip Code Lines_1'!$AC$3,MATCH('Zip Code Lines_1'!C1955,'Zip Code Lines_1'!$Q$4:$Q$26,0),0)</f>
        <v>12</v>
      </c>
      <c r="H1955" s="342">
        <v>14585</v>
      </c>
    </row>
    <row r="1956" spans="2:8" x14ac:dyDescent="0.25">
      <c r="B1956" s="342">
        <v>14586</v>
      </c>
      <c r="C1956" s="343" t="s">
        <v>564</v>
      </c>
      <c r="D1956" s="343" t="str">
        <f ca="1">OFFSET('Zip Code Lines_1'!$U$3,MATCH('Zip Code Lines_1'!C1956,'Zip Code Lines_1'!$Q$4:$Q$26,0),0)</f>
        <v>Rochester</v>
      </c>
      <c r="E1956" s="344">
        <f ca="1">OFFSET('Zip Code Lines_1'!$W$3,MATCH('Zip Code Lines_1'!C1956,'Zip Code Lines_1'!$Q$4:$Q$26,0),0)</f>
        <v>7.1</v>
      </c>
      <c r="F1956" s="344">
        <f ca="1">OFFSET('Zip Code Lines_1'!$Z$3,MATCH('Zip Code Lines_1'!C1956,'Zip Code Lines_1'!$Q$4:$Q$26,0),0)</f>
        <v>85.6</v>
      </c>
      <c r="G1956" s="342">
        <f ca="1">OFFSET('Zip Code Lines_1'!$AC$3,MATCH('Zip Code Lines_1'!C1956,'Zip Code Lines_1'!$Q$4:$Q$26,0),0)</f>
        <v>12</v>
      </c>
      <c r="H1956" s="342">
        <v>14586</v>
      </c>
    </row>
    <row r="1957" spans="2:8" x14ac:dyDescent="0.25">
      <c r="B1957" s="342">
        <v>14588</v>
      </c>
      <c r="C1957" s="343" t="s">
        <v>568</v>
      </c>
      <c r="D1957" s="343" t="str">
        <f ca="1">OFFSET('Zip Code Lines_1'!$U$3,MATCH('Zip Code Lines_1'!C1957,'Zip Code Lines_1'!$Q$4:$Q$26,0),0)</f>
        <v>Syracuse</v>
      </c>
      <c r="E1957" s="344">
        <f ca="1">OFFSET('Zip Code Lines_1'!$W$3,MATCH('Zip Code Lines_1'!C1957,'Zip Code Lines_1'!$Q$4:$Q$26,0),0)</f>
        <v>4.9000000000000004</v>
      </c>
      <c r="F1957" s="344">
        <f ca="1">OFFSET('Zip Code Lines_1'!$Z$3,MATCH('Zip Code Lines_1'!C1957,'Zip Code Lines_1'!$Q$4:$Q$26,0),0)</f>
        <v>86.4</v>
      </c>
      <c r="G1957" s="342">
        <f ca="1">OFFSET('Zip Code Lines_1'!$AC$3,MATCH('Zip Code Lines_1'!C1957,'Zip Code Lines_1'!$Q$4:$Q$26,0),0)</f>
        <v>12</v>
      </c>
      <c r="H1957" s="342">
        <v>14588</v>
      </c>
    </row>
    <row r="1958" spans="2:8" x14ac:dyDescent="0.25">
      <c r="B1958" s="342">
        <v>14589</v>
      </c>
      <c r="C1958" s="343" t="s">
        <v>568</v>
      </c>
      <c r="D1958" s="343" t="str">
        <f ca="1">OFFSET('Zip Code Lines_1'!$U$3,MATCH('Zip Code Lines_1'!C1958,'Zip Code Lines_1'!$Q$4:$Q$26,0),0)</f>
        <v>Syracuse</v>
      </c>
      <c r="E1958" s="344">
        <f ca="1">OFFSET('Zip Code Lines_1'!$W$3,MATCH('Zip Code Lines_1'!C1958,'Zip Code Lines_1'!$Q$4:$Q$26,0),0)</f>
        <v>4.9000000000000004</v>
      </c>
      <c r="F1958" s="344">
        <f ca="1">OFFSET('Zip Code Lines_1'!$Z$3,MATCH('Zip Code Lines_1'!C1958,'Zip Code Lines_1'!$Q$4:$Q$26,0),0)</f>
        <v>86.4</v>
      </c>
      <c r="G1958" s="342">
        <f ca="1">OFFSET('Zip Code Lines_1'!$AC$3,MATCH('Zip Code Lines_1'!C1958,'Zip Code Lines_1'!$Q$4:$Q$26,0),0)</f>
        <v>12</v>
      </c>
      <c r="H1958" s="342">
        <v>14589</v>
      </c>
    </row>
    <row r="1959" spans="2:8" x14ac:dyDescent="0.25">
      <c r="B1959" s="342">
        <v>14590</v>
      </c>
      <c r="C1959" s="343" t="s">
        <v>568</v>
      </c>
      <c r="D1959" s="343" t="str">
        <f ca="1">OFFSET('Zip Code Lines_1'!$U$3,MATCH('Zip Code Lines_1'!C1959,'Zip Code Lines_1'!$Q$4:$Q$26,0),0)</f>
        <v>Syracuse</v>
      </c>
      <c r="E1959" s="344">
        <f ca="1">OFFSET('Zip Code Lines_1'!$W$3,MATCH('Zip Code Lines_1'!C1959,'Zip Code Lines_1'!$Q$4:$Q$26,0),0)</f>
        <v>4.9000000000000004</v>
      </c>
      <c r="F1959" s="344">
        <f ca="1">OFFSET('Zip Code Lines_1'!$Z$3,MATCH('Zip Code Lines_1'!C1959,'Zip Code Lines_1'!$Q$4:$Q$26,0),0)</f>
        <v>86.4</v>
      </c>
      <c r="G1959" s="342">
        <f ca="1">OFFSET('Zip Code Lines_1'!$AC$3,MATCH('Zip Code Lines_1'!C1959,'Zip Code Lines_1'!$Q$4:$Q$26,0),0)</f>
        <v>12</v>
      </c>
      <c r="H1959" s="342">
        <v>14590</v>
      </c>
    </row>
    <row r="1960" spans="2:8" x14ac:dyDescent="0.25">
      <c r="B1960" s="342">
        <v>14591</v>
      </c>
      <c r="C1960" s="343" t="s">
        <v>534</v>
      </c>
      <c r="D1960" s="343" t="str">
        <f ca="1">OFFSET('Zip Code Lines_1'!$U$3,MATCH('Zip Code Lines_1'!C1960,'Zip Code Lines_1'!$Q$4:$Q$26,0),0)</f>
        <v>Buffalo</v>
      </c>
      <c r="E1960" s="344">
        <f ca="1">OFFSET('Zip Code Lines_1'!$W$3,MATCH('Zip Code Lines_1'!C1960,'Zip Code Lines_1'!$Q$4:$Q$26,0),0)</f>
        <v>7.4</v>
      </c>
      <c r="F1960" s="344">
        <f ca="1">OFFSET('Zip Code Lines_1'!$Z$3,MATCH('Zip Code Lines_1'!C1960,'Zip Code Lines_1'!$Q$4:$Q$26,0),0)</f>
        <v>83.9</v>
      </c>
      <c r="G1960" s="342">
        <f ca="1">OFFSET('Zip Code Lines_1'!$AC$3,MATCH('Zip Code Lines_1'!C1960,'Zip Code Lines_1'!$Q$4:$Q$26,0),0)</f>
        <v>18</v>
      </c>
      <c r="H1960" s="342">
        <v>14591</v>
      </c>
    </row>
    <row r="1961" spans="2:8" x14ac:dyDescent="0.25">
      <c r="B1961" s="342">
        <v>14592</v>
      </c>
      <c r="C1961" s="343" t="s">
        <v>534</v>
      </c>
      <c r="D1961" s="343" t="str">
        <f ca="1">OFFSET('Zip Code Lines_1'!$U$3,MATCH('Zip Code Lines_1'!C1961,'Zip Code Lines_1'!$Q$4:$Q$26,0),0)</f>
        <v>Buffalo</v>
      </c>
      <c r="E1961" s="344">
        <f ca="1">OFFSET('Zip Code Lines_1'!$W$3,MATCH('Zip Code Lines_1'!C1961,'Zip Code Lines_1'!$Q$4:$Q$26,0),0)</f>
        <v>7.4</v>
      </c>
      <c r="F1961" s="344">
        <f ca="1">OFFSET('Zip Code Lines_1'!$Z$3,MATCH('Zip Code Lines_1'!C1961,'Zip Code Lines_1'!$Q$4:$Q$26,0),0)</f>
        <v>83.9</v>
      </c>
      <c r="G1961" s="342">
        <f ca="1">OFFSET('Zip Code Lines_1'!$AC$3,MATCH('Zip Code Lines_1'!C1961,'Zip Code Lines_1'!$Q$4:$Q$26,0),0)</f>
        <v>18</v>
      </c>
      <c r="H1961" s="342">
        <v>14592</v>
      </c>
    </row>
    <row r="1962" spans="2:8" x14ac:dyDescent="0.25">
      <c r="B1962" s="342">
        <v>14602</v>
      </c>
      <c r="C1962" s="343" t="s">
        <v>564</v>
      </c>
      <c r="D1962" s="343" t="str">
        <f ca="1">OFFSET('Zip Code Lines_1'!$U$3,MATCH('Zip Code Lines_1'!C1962,'Zip Code Lines_1'!$Q$4:$Q$26,0),0)</f>
        <v>Rochester</v>
      </c>
      <c r="E1962" s="344">
        <f ca="1">OFFSET('Zip Code Lines_1'!$W$3,MATCH('Zip Code Lines_1'!C1962,'Zip Code Lines_1'!$Q$4:$Q$26,0),0)</f>
        <v>7.1</v>
      </c>
      <c r="F1962" s="344">
        <f ca="1">OFFSET('Zip Code Lines_1'!$Z$3,MATCH('Zip Code Lines_1'!C1962,'Zip Code Lines_1'!$Q$4:$Q$26,0),0)</f>
        <v>85.6</v>
      </c>
      <c r="G1962" s="342">
        <f ca="1">OFFSET('Zip Code Lines_1'!$AC$3,MATCH('Zip Code Lines_1'!C1962,'Zip Code Lines_1'!$Q$4:$Q$26,0),0)</f>
        <v>12</v>
      </c>
      <c r="H1962" s="342">
        <v>14602</v>
      </c>
    </row>
    <row r="1963" spans="2:8" x14ac:dyDescent="0.25">
      <c r="B1963" s="342">
        <v>14603</v>
      </c>
      <c r="C1963" s="343" t="s">
        <v>564</v>
      </c>
      <c r="D1963" s="343" t="str">
        <f ca="1">OFFSET('Zip Code Lines_1'!$U$3,MATCH('Zip Code Lines_1'!C1963,'Zip Code Lines_1'!$Q$4:$Q$26,0),0)</f>
        <v>Rochester</v>
      </c>
      <c r="E1963" s="344">
        <f ca="1">OFFSET('Zip Code Lines_1'!$W$3,MATCH('Zip Code Lines_1'!C1963,'Zip Code Lines_1'!$Q$4:$Q$26,0),0)</f>
        <v>7.1</v>
      </c>
      <c r="F1963" s="344">
        <f ca="1">OFFSET('Zip Code Lines_1'!$Z$3,MATCH('Zip Code Lines_1'!C1963,'Zip Code Lines_1'!$Q$4:$Q$26,0),0)</f>
        <v>85.6</v>
      </c>
      <c r="G1963" s="342">
        <f ca="1">OFFSET('Zip Code Lines_1'!$AC$3,MATCH('Zip Code Lines_1'!C1963,'Zip Code Lines_1'!$Q$4:$Q$26,0),0)</f>
        <v>12</v>
      </c>
      <c r="H1963" s="342">
        <v>14603</v>
      </c>
    </row>
    <row r="1964" spans="2:8" x14ac:dyDescent="0.25">
      <c r="B1964" s="342">
        <v>14604</v>
      </c>
      <c r="C1964" s="343" t="s">
        <v>564</v>
      </c>
      <c r="D1964" s="343" t="str">
        <f ca="1">OFFSET('Zip Code Lines_1'!$U$3,MATCH('Zip Code Lines_1'!C1964,'Zip Code Lines_1'!$Q$4:$Q$26,0),0)</f>
        <v>Rochester</v>
      </c>
      <c r="E1964" s="344">
        <f ca="1">OFFSET('Zip Code Lines_1'!$W$3,MATCH('Zip Code Lines_1'!C1964,'Zip Code Lines_1'!$Q$4:$Q$26,0),0)</f>
        <v>7.1</v>
      </c>
      <c r="F1964" s="344">
        <f ca="1">OFFSET('Zip Code Lines_1'!$Z$3,MATCH('Zip Code Lines_1'!C1964,'Zip Code Lines_1'!$Q$4:$Q$26,0),0)</f>
        <v>85.6</v>
      </c>
      <c r="G1964" s="342">
        <f ca="1">OFFSET('Zip Code Lines_1'!$AC$3,MATCH('Zip Code Lines_1'!C1964,'Zip Code Lines_1'!$Q$4:$Q$26,0),0)</f>
        <v>12</v>
      </c>
      <c r="H1964" s="342">
        <v>14604</v>
      </c>
    </row>
    <row r="1965" spans="2:8" x14ac:dyDescent="0.25">
      <c r="B1965" s="342">
        <v>14605</v>
      </c>
      <c r="C1965" s="343" t="s">
        <v>564</v>
      </c>
      <c r="D1965" s="343" t="str">
        <f ca="1">OFFSET('Zip Code Lines_1'!$U$3,MATCH('Zip Code Lines_1'!C1965,'Zip Code Lines_1'!$Q$4:$Q$26,0),0)</f>
        <v>Rochester</v>
      </c>
      <c r="E1965" s="344">
        <f ca="1">OFFSET('Zip Code Lines_1'!$W$3,MATCH('Zip Code Lines_1'!C1965,'Zip Code Lines_1'!$Q$4:$Q$26,0),0)</f>
        <v>7.1</v>
      </c>
      <c r="F1965" s="344">
        <f ca="1">OFFSET('Zip Code Lines_1'!$Z$3,MATCH('Zip Code Lines_1'!C1965,'Zip Code Lines_1'!$Q$4:$Q$26,0),0)</f>
        <v>85.6</v>
      </c>
      <c r="G1965" s="342">
        <f ca="1">OFFSET('Zip Code Lines_1'!$AC$3,MATCH('Zip Code Lines_1'!C1965,'Zip Code Lines_1'!$Q$4:$Q$26,0),0)</f>
        <v>12</v>
      </c>
      <c r="H1965" s="342">
        <v>14605</v>
      </c>
    </row>
    <row r="1966" spans="2:8" x14ac:dyDescent="0.25">
      <c r="B1966" s="342">
        <v>14606</v>
      </c>
      <c r="C1966" s="343" t="s">
        <v>564</v>
      </c>
      <c r="D1966" s="343" t="str">
        <f ca="1">OFFSET('Zip Code Lines_1'!$U$3,MATCH('Zip Code Lines_1'!C1966,'Zip Code Lines_1'!$Q$4:$Q$26,0),0)</f>
        <v>Rochester</v>
      </c>
      <c r="E1966" s="344">
        <f ca="1">OFFSET('Zip Code Lines_1'!$W$3,MATCH('Zip Code Lines_1'!C1966,'Zip Code Lines_1'!$Q$4:$Q$26,0),0)</f>
        <v>7.1</v>
      </c>
      <c r="F1966" s="344">
        <f ca="1">OFFSET('Zip Code Lines_1'!$Z$3,MATCH('Zip Code Lines_1'!C1966,'Zip Code Lines_1'!$Q$4:$Q$26,0),0)</f>
        <v>85.6</v>
      </c>
      <c r="G1966" s="342">
        <f ca="1">OFFSET('Zip Code Lines_1'!$AC$3,MATCH('Zip Code Lines_1'!C1966,'Zip Code Lines_1'!$Q$4:$Q$26,0),0)</f>
        <v>12</v>
      </c>
      <c r="H1966" s="342">
        <v>14606</v>
      </c>
    </row>
    <row r="1967" spans="2:8" x14ac:dyDescent="0.25">
      <c r="B1967" s="342">
        <v>14607</v>
      </c>
      <c r="C1967" s="343" t="s">
        <v>564</v>
      </c>
      <c r="D1967" s="343" t="str">
        <f ca="1">OFFSET('Zip Code Lines_1'!$U$3,MATCH('Zip Code Lines_1'!C1967,'Zip Code Lines_1'!$Q$4:$Q$26,0),0)</f>
        <v>Rochester</v>
      </c>
      <c r="E1967" s="344">
        <f ca="1">OFFSET('Zip Code Lines_1'!$W$3,MATCH('Zip Code Lines_1'!C1967,'Zip Code Lines_1'!$Q$4:$Q$26,0),0)</f>
        <v>7.1</v>
      </c>
      <c r="F1967" s="344">
        <f ca="1">OFFSET('Zip Code Lines_1'!$Z$3,MATCH('Zip Code Lines_1'!C1967,'Zip Code Lines_1'!$Q$4:$Q$26,0),0)</f>
        <v>85.6</v>
      </c>
      <c r="G1967" s="342">
        <f ca="1">OFFSET('Zip Code Lines_1'!$AC$3,MATCH('Zip Code Lines_1'!C1967,'Zip Code Lines_1'!$Q$4:$Q$26,0),0)</f>
        <v>12</v>
      </c>
      <c r="H1967" s="342">
        <v>14607</v>
      </c>
    </row>
    <row r="1968" spans="2:8" x14ac:dyDescent="0.25">
      <c r="B1968" s="342">
        <v>14608</v>
      </c>
      <c r="C1968" s="343" t="s">
        <v>564</v>
      </c>
      <c r="D1968" s="343" t="str">
        <f ca="1">OFFSET('Zip Code Lines_1'!$U$3,MATCH('Zip Code Lines_1'!C1968,'Zip Code Lines_1'!$Q$4:$Q$26,0),0)</f>
        <v>Rochester</v>
      </c>
      <c r="E1968" s="344">
        <f ca="1">OFFSET('Zip Code Lines_1'!$W$3,MATCH('Zip Code Lines_1'!C1968,'Zip Code Lines_1'!$Q$4:$Q$26,0),0)</f>
        <v>7.1</v>
      </c>
      <c r="F1968" s="344">
        <f ca="1">OFFSET('Zip Code Lines_1'!$Z$3,MATCH('Zip Code Lines_1'!C1968,'Zip Code Lines_1'!$Q$4:$Q$26,0),0)</f>
        <v>85.6</v>
      </c>
      <c r="G1968" s="342">
        <f ca="1">OFFSET('Zip Code Lines_1'!$AC$3,MATCH('Zip Code Lines_1'!C1968,'Zip Code Lines_1'!$Q$4:$Q$26,0),0)</f>
        <v>12</v>
      </c>
      <c r="H1968" s="342">
        <v>14608</v>
      </c>
    </row>
    <row r="1969" spans="2:8" x14ac:dyDescent="0.25">
      <c r="B1969" s="342">
        <v>14609</v>
      </c>
      <c r="C1969" s="343" t="s">
        <v>564</v>
      </c>
      <c r="D1969" s="343" t="str">
        <f ca="1">OFFSET('Zip Code Lines_1'!$U$3,MATCH('Zip Code Lines_1'!C1969,'Zip Code Lines_1'!$Q$4:$Q$26,0),0)</f>
        <v>Rochester</v>
      </c>
      <c r="E1969" s="344">
        <f ca="1">OFFSET('Zip Code Lines_1'!$W$3,MATCH('Zip Code Lines_1'!C1969,'Zip Code Lines_1'!$Q$4:$Q$26,0),0)</f>
        <v>7.1</v>
      </c>
      <c r="F1969" s="344">
        <f ca="1">OFFSET('Zip Code Lines_1'!$Z$3,MATCH('Zip Code Lines_1'!C1969,'Zip Code Lines_1'!$Q$4:$Q$26,0),0)</f>
        <v>85.6</v>
      </c>
      <c r="G1969" s="342">
        <f ca="1">OFFSET('Zip Code Lines_1'!$AC$3,MATCH('Zip Code Lines_1'!C1969,'Zip Code Lines_1'!$Q$4:$Q$26,0),0)</f>
        <v>12</v>
      </c>
      <c r="H1969" s="342">
        <v>14609</v>
      </c>
    </row>
    <row r="1970" spans="2:8" x14ac:dyDescent="0.25">
      <c r="B1970" s="342">
        <v>14610</v>
      </c>
      <c r="C1970" s="343" t="s">
        <v>564</v>
      </c>
      <c r="D1970" s="343" t="str">
        <f ca="1">OFFSET('Zip Code Lines_1'!$U$3,MATCH('Zip Code Lines_1'!C1970,'Zip Code Lines_1'!$Q$4:$Q$26,0),0)</f>
        <v>Rochester</v>
      </c>
      <c r="E1970" s="344">
        <f ca="1">OFFSET('Zip Code Lines_1'!$W$3,MATCH('Zip Code Lines_1'!C1970,'Zip Code Lines_1'!$Q$4:$Q$26,0),0)</f>
        <v>7.1</v>
      </c>
      <c r="F1970" s="344">
        <f ca="1">OFFSET('Zip Code Lines_1'!$Z$3,MATCH('Zip Code Lines_1'!C1970,'Zip Code Lines_1'!$Q$4:$Q$26,0),0)</f>
        <v>85.6</v>
      </c>
      <c r="G1970" s="342">
        <f ca="1">OFFSET('Zip Code Lines_1'!$AC$3,MATCH('Zip Code Lines_1'!C1970,'Zip Code Lines_1'!$Q$4:$Q$26,0),0)</f>
        <v>12</v>
      </c>
      <c r="H1970" s="342">
        <v>14610</v>
      </c>
    </row>
    <row r="1971" spans="2:8" x14ac:dyDescent="0.25">
      <c r="B1971" s="342">
        <v>14611</v>
      </c>
      <c r="C1971" s="343" t="s">
        <v>564</v>
      </c>
      <c r="D1971" s="343" t="str">
        <f ca="1">OFFSET('Zip Code Lines_1'!$U$3,MATCH('Zip Code Lines_1'!C1971,'Zip Code Lines_1'!$Q$4:$Q$26,0),0)</f>
        <v>Rochester</v>
      </c>
      <c r="E1971" s="344">
        <f ca="1">OFFSET('Zip Code Lines_1'!$W$3,MATCH('Zip Code Lines_1'!C1971,'Zip Code Lines_1'!$Q$4:$Q$26,0),0)</f>
        <v>7.1</v>
      </c>
      <c r="F1971" s="344">
        <f ca="1">OFFSET('Zip Code Lines_1'!$Z$3,MATCH('Zip Code Lines_1'!C1971,'Zip Code Lines_1'!$Q$4:$Q$26,0),0)</f>
        <v>85.6</v>
      </c>
      <c r="G1971" s="342">
        <f ca="1">OFFSET('Zip Code Lines_1'!$AC$3,MATCH('Zip Code Lines_1'!C1971,'Zip Code Lines_1'!$Q$4:$Q$26,0),0)</f>
        <v>12</v>
      </c>
      <c r="H1971" s="342">
        <v>14611</v>
      </c>
    </row>
    <row r="1972" spans="2:8" x14ac:dyDescent="0.25">
      <c r="B1972" s="342">
        <v>14612</v>
      </c>
      <c r="C1972" s="343" t="s">
        <v>564</v>
      </c>
      <c r="D1972" s="343" t="str">
        <f ca="1">OFFSET('Zip Code Lines_1'!$U$3,MATCH('Zip Code Lines_1'!C1972,'Zip Code Lines_1'!$Q$4:$Q$26,0),0)</f>
        <v>Rochester</v>
      </c>
      <c r="E1972" s="344">
        <f ca="1">OFFSET('Zip Code Lines_1'!$W$3,MATCH('Zip Code Lines_1'!C1972,'Zip Code Lines_1'!$Q$4:$Q$26,0),0)</f>
        <v>7.1</v>
      </c>
      <c r="F1972" s="344">
        <f ca="1">OFFSET('Zip Code Lines_1'!$Z$3,MATCH('Zip Code Lines_1'!C1972,'Zip Code Lines_1'!$Q$4:$Q$26,0),0)</f>
        <v>85.6</v>
      </c>
      <c r="G1972" s="342">
        <f ca="1">OFFSET('Zip Code Lines_1'!$AC$3,MATCH('Zip Code Lines_1'!C1972,'Zip Code Lines_1'!$Q$4:$Q$26,0),0)</f>
        <v>12</v>
      </c>
      <c r="H1972" s="342">
        <v>14612</v>
      </c>
    </row>
    <row r="1973" spans="2:8" x14ac:dyDescent="0.25">
      <c r="B1973" s="342">
        <v>14613</v>
      </c>
      <c r="C1973" s="343" t="s">
        <v>564</v>
      </c>
      <c r="D1973" s="343" t="str">
        <f ca="1">OFFSET('Zip Code Lines_1'!$U$3,MATCH('Zip Code Lines_1'!C1973,'Zip Code Lines_1'!$Q$4:$Q$26,0),0)</f>
        <v>Rochester</v>
      </c>
      <c r="E1973" s="344">
        <f ca="1">OFFSET('Zip Code Lines_1'!$W$3,MATCH('Zip Code Lines_1'!C1973,'Zip Code Lines_1'!$Q$4:$Q$26,0),0)</f>
        <v>7.1</v>
      </c>
      <c r="F1973" s="344">
        <f ca="1">OFFSET('Zip Code Lines_1'!$Z$3,MATCH('Zip Code Lines_1'!C1973,'Zip Code Lines_1'!$Q$4:$Q$26,0),0)</f>
        <v>85.6</v>
      </c>
      <c r="G1973" s="342">
        <f ca="1">OFFSET('Zip Code Lines_1'!$AC$3,MATCH('Zip Code Lines_1'!C1973,'Zip Code Lines_1'!$Q$4:$Q$26,0),0)</f>
        <v>12</v>
      </c>
      <c r="H1973" s="342">
        <v>14613</v>
      </c>
    </row>
    <row r="1974" spans="2:8" x14ac:dyDescent="0.25">
      <c r="B1974" s="342">
        <v>14614</v>
      </c>
      <c r="C1974" s="343" t="s">
        <v>564</v>
      </c>
      <c r="D1974" s="343" t="str">
        <f ca="1">OFFSET('Zip Code Lines_1'!$U$3,MATCH('Zip Code Lines_1'!C1974,'Zip Code Lines_1'!$Q$4:$Q$26,0),0)</f>
        <v>Rochester</v>
      </c>
      <c r="E1974" s="344">
        <f ca="1">OFFSET('Zip Code Lines_1'!$W$3,MATCH('Zip Code Lines_1'!C1974,'Zip Code Lines_1'!$Q$4:$Q$26,0),0)</f>
        <v>7.1</v>
      </c>
      <c r="F1974" s="344">
        <f ca="1">OFFSET('Zip Code Lines_1'!$Z$3,MATCH('Zip Code Lines_1'!C1974,'Zip Code Lines_1'!$Q$4:$Q$26,0),0)</f>
        <v>85.6</v>
      </c>
      <c r="G1974" s="342">
        <f ca="1">OFFSET('Zip Code Lines_1'!$AC$3,MATCH('Zip Code Lines_1'!C1974,'Zip Code Lines_1'!$Q$4:$Q$26,0),0)</f>
        <v>12</v>
      </c>
      <c r="H1974" s="342">
        <v>14614</v>
      </c>
    </row>
    <row r="1975" spans="2:8" x14ac:dyDescent="0.25">
      <c r="B1975" s="342">
        <v>14615</v>
      </c>
      <c r="C1975" s="343" t="s">
        <v>564</v>
      </c>
      <c r="D1975" s="343" t="str">
        <f ca="1">OFFSET('Zip Code Lines_1'!$U$3,MATCH('Zip Code Lines_1'!C1975,'Zip Code Lines_1'!$Q$4:$Q$26,0),0)</f>
        <v>Rochester</v>
      </c>
      <c r="E1975" s="344">
        <f ca="1">OFFSET('Zip Code Lines_1'!$W$3,MATCH('Zip Code Lines_1'!C1975,'Zip Code Lines_1'!$Q$4:$Q$26,0),0)</f>
        <v>7.1</v>
      </c>
      <c r="F1975" s="344">
        <f ca="1">OFFSET('Zip Code Lines_1'!$Z$3,MATCH('Zip Code Lines_1'!C1975,'Zip Code Lines_1'!$Q$4:$Q$26,0),0)</f>
        <v>85.6</v>
      </c>
      <c r="G1975" s="342">
        <f ca="1">OFFSET('Zip Code Lines_1'!$AC$3,MATCH('Zip Code Lines_1'!C1975,'Zip Code Lines_1'!$Q$4:$Q$26,0),0)</f>
        <v>12</v>
      </c>
      <c r="H1975" s="342">
        <v>14615</v>
      </c>
    </row>
    <row r="1976" spans="2:8" x14ac:dyDescent="0.25">
      <c r="B1976" s="342">
        <v>14616</v>
      </c>
      <c r="C1976" s="343" t="s">
        <v>564</v>
      </c>
      <c r="D1976" s="343" t="str">
        <f ca="1">OFFSET('Zip Code Lines_1'!$U$3,MATCH('Zip Code Lines_1'!C1976,'Zip Code Lines_1'!$Q$4:$Q$26,0),0)</f>
        <v>Rochester</v>
      </c>
      <c r="E1976" s="344">
        <f ca="1">OFFSET('Zip Code Lines_1'!$W$3,MATCH('Zip Code Lines_1'!C1976,'Zip Code Lines_1'!$Q$4:$Q$26,0),0)</f>
        <v>7.1</v>
      </c>
      <c r="F1976" s="344">
        <f ca="1">OFFSET('Zip Code Lines_1'!$Z$3,MATCH('Zip Code Lines_1'!C1976,'Zip Code Lines_1'!$Q$4:$Q$26,0),0)</f>
        <v>85.6</v>
      </c>
      <c r="G1976" s="342">
        <f ca="1">OFFSET('Zip Code Lines_1'!$AC$3,MATCH('Zip Code Lines_1'!C1976,'Zip Code Lines_1'!$Q$4:$Q$26,0),0)</f>
        <v>12</v>
      </c>
      <c r="H1976" s="342">
        <v>14616</v>
      </c>
    </row>
    <row r="1977" spans="2:8" x14ac:dyDescent="0.25">
      <c r="B1977" s="342">
        <v>14617</v>
      </c>
      <c r="C1977" s="343" t="s">
        <v>564</v>
      </c>
      <c r="D1977" s="343" t="str">
        <f ca="1">OFFSET('Zip Code Lines_1'!$U$3,MATCH('Zip Code Lines_1'!C1977,'Zip Code Lines_1'!$Q$4:$Q$26,0),0)</f>
        <v>Rochester</v>
      </c>
      <c r="E1977" s="344">
        <f ca="1">OFFSET('Zip Code Lines_1'!$W$3,MATCH('Zip Code Lines_1'!C1977,'Zip Code Lines_1'!$Q$4:$Q$26,0),0)</f>
        <v>7.1</v>
      </c>
      <c r="F1977" s="344">
        <f ca="1">OFFSET('Zip Code Lines_1'!$Z$3,MATCH('Zip Code Lines_1'!C1977,'Zip Code Lines_1'!$Q$4:$Q$26,0),0)</f>
        <v>85.6</v>
      </c>
      <c r="G1977" s="342">
        <f ca="1">OFFSET('Zip Code Lines_1'!$AC$3,MATCH('Zip Code Lines_1'!C1977,'Zip Code Lines_1'!$Q$4:$Q$26,0),0)</f>
        <v>12</v>
      </c>
      <c r="H1977" s="342">
        <v>14617</v>
      </c>
    </row>
    <row r="1978" spans="2:8" x14ac:dyDescent="0.25">
      <c r="B1978" s="342">
        <v>14618</v>
      </c>
      <c r="C1978" s="343" t="s">
        <v>564</v>
      </c>
      <c r="D1978" s="343" t="str">
        <f ca="1">OFFSET('Zip Code Lines_1'!$U$3,MATCH('Zip Code Lines_1'!C1978,'Zip Code Lines_1'!$Q$4:$Q$26,0),0)</f>
        <v>Rochester</v>
      </c>
      <c r="E1978" s="344">
        <f ca="1">OFFSET('Zip Code Lines_1'!$W$3,MATCH('Zip Code Lines_1'!C1978,'Zip Code Lines_1'!$Q$4:$Q$26,0),0)</f>
        <v>7.1</v>
      </c>
      <c r="F1978" s="344">
        <f ca="1">OFFSET('Zip Code Lines_1'!$Z$3,MATCH('Zip Code Lines_1'!C1978,'Zip Code Lines_1'!$Q$4:$Q$26,0),0)</f>
        <v>85.6</v>
      </c>
      <c r="G1978" s="342">
        <f ca="1">OFFSET('Zip Code Lines_1'!$AC$3,MATCH('Zip Code Lines_1'!C1978,'Zip Code Lines_1'!$Q$4:$Q$26,0),0)</f>
        <v>12</v>
      </c>
      <c r="H1978" s="342">
        <v>14618</v>
      </c>
    </row>
    <row r="1979" spans="2:8" x14ac:dyDescent="0.25">
      <c r="B1979" s="342">
        <v>14619</v>
      </c>
      <c r="C1979" s="343" t="s">
        <v>564</v>
      </c>
      <c r="D1979" s="343" t="str">
        <f ca="1">OFFSET('Zip Code Lines_1'!$U$3,MATCH('Zip Code Lines_1'!C1979,'Zip Code Lines_1'!$Q$4:$Q$26,0),0)</f>
        <v>Rochester</v>
      </c>
      <c r="E1979" s="344">
        <f ca="1">OFFSET('Zip Code Lines_1'!$W$3,MATCH('Zip Code Lines_1'!C1979,'Zip Code Lines_1'!$Q$4:$Q$26,0),0)</f>
        <v>7.1</v>
      </c>
      <c r="F1979" s="344">
        <f ca="1">OFFSET('Zip Code Lines_1'!$Z$3,MATCH('Zip Code Lines_1'!C1979,'Zip Code Lines_1'!$Q$4:$Q$26,0),0)</f>
        <v>85.6</v>
      </c>
      <c r="G1979" s="342">
        <f ca="1">OFFSET('Zip Code Lines_1'!$AC$3,MATCH('Zip Code Lines_1'!C1979,'Zip Code Lines_1'!$Q$4:$Q$26,0),0)</f>
        <v>12</v>
      </c>
      <c r="H1979" s="342">
        <v>14619</v>
      </c>
    </row>
    <row r="1980" spans="2:8" x14ac:dyDescent="0.25">
      <c r="B1980" s="342">
        <v>14620</v>
      </c>
      <c r="C1980" s="343" t="s">
        <v>564</v>
      </c>
      <c r="D1980" s="343" t="str">
        <f ca="1">OFFSET('Zip Code Lines_1'!$U$3,MATCH('Zip Code Lines_1'!C1980,'Zip Code Lines_1'!$Q$4:$Q$26,0),0)</f>
        <v>Rochester</v>
      </c>
      <c r="E1980" s="344">
        <f ca="1">OFFSET('Zip Code Lines_1'!$W$3,MATCH('Zip Code Lines_1'!C1980,'Zip Code Lines_1'!$Q$4:$Q$26,0),0)</f>
        <v>7.1</v>
      </c>
      <c r="F1980" s="344">
        <f ca="1">OFFSET('Zip Code Lines_1'!$Z$3,MATCH('Zip Code Lines_1'!C1980,'Zip Code Lines_1'!$Q$4:$Q$26,0),0)</f>
        <v>85.6</v>
      </c>
      <c r="G1980" s="342">
        <f ca="1">OFFSET('Zip Code Lines_1'!$AC$3,MATCH('Zip Code Lines_1'!C1980,'Zip Code Lines_1'!$Q$4:$Q$26,0),0)</f>
        <v>12</v>
      </c>
      <c r="H1980" s="342">
        <v>14620</v>
      </c>
    </row>
    <row r="1981" spans="2:8" x14ac:dyDescent="0.25">
      <c r="B1981" s="342">
        <v>14621</v>
      </c>
      <c r="C1981" s="343" t="s">
        <v>564</v>
      </c>
      <c r="D1981" s="343" t="str">
        <f ca="1">OFFSET('Zip Code Lines_1'!$U$3,MATCH('Zip Code Lines_1'!C1981,'Zip Code Lines_1'!$Q$4:$Q$26,0),0)</f>
        <v>Rochester</v>
      </c>
      <c r="E1981" s="344">
        <f ca="1">OFFSET('Zip Code Lines_1'!$W$3,MATCH('Zip Code Lines_1'!C1981,'Zip Code Lines_1'!$Q$4:$Q$26,0),0)</f>
        <v>7.1</v>
      </c>
      <c r="F1981" s="344">
        <f ca="1">OFFSET('Zip Code Lines_1'!$Z$3,MATCH('Zip Code Lines_1'!C1981,'Zip Code Lines_1'!$Q$4:$Q$26,0),0)</f>
        <v>85.6</v>
      </c>
      <c r="G1981" s="342">
        <f ca="1">OFFSET('Zip Code Lines_1'!$AC$3,MATCH('Zip Code Lines_1'!C1981,'Zip Code Lines_1'!$Q$4:$Q$26,0),0)</f>
        <v>12</v>
      </c>
      <c r="H1981" s="342">
        <v>14621</v>
      </c>
    </row>
    <row r="1982" spans="2:8" x14ac:dyDescent="0.25">
      <c r="B1982" s="342">
        <v>14622</v>
      </c>
      <c r="C1982" s="343" t="s">
        <v>564</v>
      </c>
      <c r="D1982" s="343" t="str">
        <f ca="1">OFFSET('Zip Code Lines_1'!$U$3,MATCH('Zip Code Lines_1'!C1982,'Zip Code Lines_1'!$Q$4:$Q$26,0),0)</f>
        <v>Rochester</v>
      </c>
      <c r="E1982" s="344">
        <f ca="1">OFFSET('Zip Code Lines_1'!$W$3,MATCH('Zip Code Lines_1'!C1982,'Zip Code Lines_1'!$Q$4:$Q$26,0),0)</f>
        <v>7.1</v>
      </c>
      <c r="F1982" s="344">
        <f ca="1">OFFSET('Zip Code Lines_1'!$Z$3,MATCH('Zip Code Lines_1'!C1982,'Zip Code Lines_1'!$Q$4:$Q$26,0),0)</f>
        <v>85.6</v>
      </c>
      <c r="G1982" s="342">
        <f ca="1">OFFSET('Zip Code Lines_1'!$AC$3,MATCH('Zip Code Lines_1'!C1982,'Zip Code Lines_1'!$Q$4:$Q$26,0),0)</f>
        <v>12</v>
      </c>
      <c r="H1982" s="342">
        <v>14622</v>
      </c>
    </row>
    <row r="1983" spans="2:8" x14ac:dyDescent="0.25">
      <c r="B1983" s="342">
        <v>14623</v>
      </c>
      <c r="C1983" s="343" t="s">
        <v>564</v>
      </c>
      <c r="D1983" s="343" t="str">
        <f ca="1">OFFSET('Zip Code Lines_1'!$U$3,MATCH('Zip Code Lines_1'!C1983,'Zip Code Lines_1'!$Q$4:$Q$26,0),0)</f>
        <v>Rochester</v>
      </c>
      <c r="E1983" s="344">
        <f ca="1">OFFSET('Zip Code Lines_1'!$W$3,MATCH('Zip Code Lines_1'!C1983,'Zip Code Lines_1'!$Q$4:$Q$26,0),0)</f>
        <v>7.1</v>
      </c>
      <c r="F1983" s="344">
        <f ca="1">OFFSET('Zip Code Lines_1'!$Z$3,MATCH('Zip Code Lines_1'!C1983,'Zip Code Lines_1'!$Q$4:$Q$26,0),0)</f>
        <v>85.6</v>
      </c>
      <c r="G1983" s="342">
        <f ca="1">OFFSET('Zip Code Lines_1'!$AC$3,MATCH('Zip Code Lines_1'!C1983,'Zip Code Lines_1'!$Q$4:$Q$26,0),0)</f>
        <v>12</v>
      </c>
      <c r="H1983" s="342">
        <v>14623</v>
      </c>
    </row>
    <row r="1984" spans="2:8" x14ac:dyDescent="0.25">
      <c r="B1984" s="342">
        <v>14624</v>
      </c>
      <c r="C1984" s="343" t="s">
        <v>564</v>
      </c>
      <c r="D1984" s="343" t="str">
        <f ca="1">OFFSET('Zip Code Lines_1'!$U$3,MATCH('Zip Code Lines_1'!C1984,'Zip Code Lines_1'!$Q$4:$Q$26,0),0)</f>
        <v>Rochester</v>
      </c>
      <c r="E1984" s="344">
        <f ca="1">OFFSET('Zip Code Lines_1'!$W$3,MATCH('Zip Code Lines_1'!C1984,'Zip Code Lines_1'!$Q$4:$Q$26,0),0)</f>
        <v>7.1</v>
      </c>
      <c r="F1984" s="344">
        <f ca="1">OFFSET('Zip Code Lines_1'!$Z$3,MATCH('Zip Code Lines_1'!C1984,'Zip Code Lines_1'!$Q$4:$Q$26,0),0)</f>
        <v>85.6</v>
      </c>
      <c r="G1984" s="342">
        <f ca="1">OFFSET('Zip Code Lines_1'!$AC$3,MATCH('Zip Code Lines_1'!C1984,'Zip Code Lines_1'!$Q$4:$Q$26,0),0)</f>
        <v>12</v>
      </c>
      <c r="H1984" s="342">
        <v>14624</v>
      </c>
    </row>
    <row r="1985" spans="2:8" x14ac:dyDescent="0.25">
      <c r="B1985" s="342">
        <v>14625</v>
      </c>
      <c r="C1985" s="343" t="s">
        <v>564</v>
      </c>
      <c r="D1985" s="343" t="str">
        <f ca="1">OFFSET('Zip Code Lines_1'!$U$3,MATCH('Zip Code Lines_1'!C1985,'Zip Code Lines_1'!$Q$4:$Q$26,0),0)</f>
        <v>Rochester</v>
      </c>
      <c r="E1985" s="344">
        <f ca="1">OFFSET('Zip Code Lines_1'!$W$3,MATCH('Zip Code Lines_1'!C1985,'Zip Code Lines_1'!$Q$4:$Q$26,0),0)</f>
        <v>7.1</v>
      </c>
      <c r="F1985" s="344">
        <f ca="1">OFFSET('Zip Code Lines_1'!$Z$3,MATCH('Zip Code Lines_1'!C1985,'Zip Code Lines_1'!$Q$4:$Q$26,0),0)</f>
        <v>85.6</v>
      </c>
      <c r="G1985" s="342">
        <f ca="1">OFFSET('Zip Code Lines_1'!$AC$3,MATCH('Zip Code Lines_1'!C1985,'Zip Code Lines_1'!$Q$4:$Q$26,0),0)</f>
        <v>12</v>
      </c>
      <c r="H1985" s="342">
        <v>14625</v>
      </c>
    </row>
    <row r="1986" spans="2:8" x14ac:dyDescent="0.25">
      <c r="B1986" s="342">
        <v>14626</v>
      </c>
      <c r="C1986" s="343" t="s">
        <v>564</v>
      </c>
      <c r="D1986" s="343" t="str">
        <f ca="1">OFFSET('Zip Code Lines_1'!$U$3,MATCH('Zip Code Lines_1'!C1986,'Zip Code Lines_1'!$Q$4:$Q$26,0),0)</f>
        <v>Rochester</v>
      </c>
      <c r="E1986" s="344">
        <f ca="1">OFFSET('Zip Code Lines_1'!$W$3,MATCH('Zip Code Lines_1'!C1986,'Zip Code Lines_1'!$Q$4:$Q$26,0),0)</f>
        <v>7.1</v>
      </c>
      <c r="F1986" s="344">
        <f ca="1">OFFSET('Zip Code Lines_1'!$Z$3,MATCH('Zip Code Lines_1'!C1986,'Zip Code Lines_1'!$Q$4:$Q$26,0),0)</f>
        <v>85.6</v>
      </c>
      <c r="G1986" s="342">
        <f ca="1">OFFSET('Zip Code Lines_1'!$AC$3,MATCH('Zip Code Lines_1'!C1986,'Zip Code Lines_1'!$Q$4:$Q$26,0),0)</f>
        <v>12</v>
      </c>
      <c r="H1986" s="342">
        <v>14626</v>
      </c>
    </row>
    <row r="1987" spans="2:8" x14ac:dyDescent="0.25">
      <c r="B1987" s="342">
        <v>14627</v>
      </c>
      <c r="C1987" s="343" t="s">
        <v>564</v>
      </c>
      <c r="D1987" s="343" t="str">
        <f ca="1">OFFSET('Zip Code Lines_1'!$U$3,MATCH('Zip Code Lines_1'!C1987,'Zip Code Lines_1'!$Q$4:$Q$26,0),0)</f>
        <v>Rochester</v>
      </c>
      <c r="E1987" s="344">
        <f ca="1">OFFSET('Zip Code Lines_1'!$W$3,MATCH('Zip Code Lines_1'!C1987,'Zip Code Lines_1'!$Q$4:$Q$26,0),0)</f>
        <v>7.1</v>
      </c>
      <c r="F1987" s="344">
        <f ca="1">OFFSET('Zip Code Lines_1'!$Z$3,MATCH('Zip Code Lines_1'!C1987,'Zip Code Lines_1'!$Q$4:$Q$26,0),0)</f>
        <v>85.6</v>
      </c>
      <c r="G1987" s="342">
        <f ca="1">OFFSET('Zip Code Lines_1'!$AC$3,MATCH('Zip Code Lines_1'!C1987,'Zip Code Lines_1'!$Q$4:$Q$26,0),0)</f>
        <v>12</v>
      </c>
      <c r="H1987" s="342">
        <v>14627</v>
      </c>
    </row>
    <row r="1988" spans="2:8" x14ac:dyDescent="0.25">
      <c r="B1988" s="342">
        <v>14638</v>
      </c>
      <c r="C1988" s="343" t="s">
        <v>564</v>
      </c>
      <c r="D1988" s="343" t="str">
        <f ca="1">OFFSET('Zip Code Lines_1'!$U$3,MATCH('Zip Code Lines_1'!C1988,'Zip Code Lines_1'!$Q$4:$Q$26,0),0)</f>
        <v>Rochester</v>
      </c>
      <c r="E1988" s="344">
        <f ca="1">OFFSET('Zip Code Lines_1'!$W$3,MATCH('Zip Code Lines_1'!C1988,'Zip Code Lines_1'!$Q$4:$Q$26,0),0)</f>
        <v>7.1</v>
      </c>
      <c r="F1988" s="344">
        <f ca="1">OFFSET('Zip Code Lines_1'!$Z$3,MATCH('Zip Code Lines_1'!C1988,'Zip Code Lines_1'!$Q$4:$Q$26,0),0)</f>
        <v>85.6</v>
      </c>
      <c r="G1988" s="342">
        <f ca="1">OFFSET('Zip Code Lines_1'!$AC$3,MATCH('Zip Code Lines_1'!C1988,'Zip Code Lines_1'!$Q$4:$Q$26,0),0)</f>
        <v>12</v>
      </c>
      <c r="H1988" s="342">
        <v>14638</v>
      </c>
    </row>
    <row r="1989" spans="2:8" x14ac:dyDescent="0.25">
      <c r="B1989" s="342">
        <v>14639</v>
      </c>
      <c r="C1989" s="343" t="s">
        <v>564</v>
      </c>
      <c r="D1989" s="343" t="str">
        <f ca="1">OFFSET('Zip Code Lines_1'!$U$3,MATCH('Zip Code Lines_1'!C1989,'Zip Code Lines_1'!$Q$4:$Q$26,0),0)</f>
        <v>Rochester</v>
      </c>
      <c r="E1989" s="344">
        <f ca="1">OFFSET('Zip Code Lines_1'!$W$3,MATCH('Zip Code Lines_1'!C1989,'Zip Code Lines_1'!$Q$4:$Q$26,0),0)</f>
        <v>7.1</v>
      </c>
      <c r="F1989" s="344">
        <f ca="1">OFFSET('Zip Code Lines_1'!$Z$3,MATCH('Zip Code Lines_1'!C1989,'Zip Code Lines_1'!$Q$4:$Q$26,0),0)</f>
        <v>85.6</v>
      </c>
      <c r="G1989" s="342">
        <f ca="1">OFFSET('Zip Code Lines_1'!$AC$3,MATCH('Zip Code Lines_1'!C1989,'Zip Code Lines_1'!$Q$4:$Q$26,0),0)</f>
        <v>12</v>
      </c>
      <c r="H1989" s="342">
        <v>14639</v>
      </c>
    </row>
    <row r="1990" spans="2:8" x14ac:dyDescent="0.25">
      <c r="B1990" s="342">
        <v>14642</v>
      </c>
      <c r="C1990" s="343" t="s">
        <v>564</v>
      </c>
      <c r="D1990" s="343" t="str">
        <f ca="1">OFFSET('Zip Code Lines_1'!$U$3,MATCH('Zip Code Lines_1'!C1990,'Zip Code Lines_1'!$Q$4:$Q$26,0),0)</f>
        <v>Rochester</v>
      </c>
      <c r="E1990" s="344">
        <f ca="1">OFFSET('Zip Code Lines_1'!$W$3,MATCH('Zip Code Lines_1'!C1990,'Zip Code Lines_1'!$Q$4:$Q$26,0),0)</f>
        <v>7.1</v>
      </c>
      <c r="F1990" s="344">
        <f ca="1">OFFSET('Zip Code Lines_1'!$Z$3,MATCH('Zip Code Lines_1'!C1990,'Zip Code Lines_1'!$Q$4:$Q$26,0),0)</f>
        <v>85.6</v>
      </c>
      <c r="G1990" s="342">
        <f ca="1">OFFSET('Zip Code Lines_1'!$AC$3,MATCH('Zip Code Lines_1'!C1990,'Zip Code Lines_1'!$Q$4:$Q$26,0),0)</f>
        <v>12</v>
      </c>
      <c r="H1990" s="342">
        <v>14642</v>
      </c>
    </row>
    <row r="1991" spans="2:8" x14ac:dyDescent="0.25">
      <c r="B1991" s="342">
        <v>14643</v>
      </c>
      <c r="C1991" s="343" t="s">
        <v>564</v>
      </c>
      <c r="D1991" s="343" t="str">
        <f ca="1">OFFSET('Zip Code Lines_1'!$U$3,MATCH('Zip Code Lines_1'!C1991,'Zip Code Lines_1'!$Q$4:$Q$26,0),0)</f>
        <v>Rochester</v>
      </c>
      <c r="E1991" s="344">
        <f ca="1">OFFSET('Zip Code Lines_1'!$W$3,MATCH('Zip Code Lines_1'!C1991,'Zip Code Lines_1'!$Q$4:$Q$26,0),0)</f>
        <v>7.1</v>
      </c>
      <c r="F1991" s="344">
        <f ca="1">OFFSET('Zip Code Lines_1'!$Z$3,MATCH('Zip Code Lines_1'!C1991,'Zip Code Lines_1'!$Q$4:$Q$26,0),0)</f>
        <v>85.6</v>
      </c>
      <c r="G1991" s="342">
        <f ca="1">OFFSET('Zip Code Lines_1'!$AC$3,MATCH('Zip Code Lines_1'!C1991,'Zip Code Lines_1'!$Q$4:$Q$26,0),0)</f>
        <v>12</v>
      </c>
      <c r="H1991" s="342">
        <v>14643</v>
      </c>
    </row>
    <row r="1992" spans="2:8" x14ac:dyDescent="0.25">
      <c r="B1992" s="342">
        <v>14644</v>
      </c>
      <c r="C1992" s="343" t="s">
        <v>564</v>
      </c>
      <c r="D1992" s="343" t="str">
        <f ca="1">OFFSET('Zip Code Lines_1'!$U$3,MATCH('Zip Code Lines_1'!C1992,'Zip Code Lines_1'!$Q$4:$Q$26,0),0)</f>
        <v>Rochester</v>
      </c>
      <c r="E1992" s="344">
        <f ca="1">OFFSET('Zip Code Lines_1'!$W$3,MATCH('Zip Code Lines_1'!C1992,'Zip Code Lines_1'!$Q$4:$Q$26,0),0)</f>
        <v>7.1</v>
      </c>
      <c r="F1992" s="344">
        <f ca="1">OFFSET('Zip Code Lines_1'!$Z$3,MATCH('Zip Code Lines_1'!C1992,'Zip Code Lines_1'!$Q$4:$Q$26,0),0)</f>
        <v>85.6</v>
      </c>
      <c r="G1992" s="342">
        <f ca="1">OFFSET('Zip Code Lines_1'!$AC$3,MATCH('Zip Code Lines_1'!C1992,'Zip Code Lines_1'!$Q$4:$Q$26,0),0)</f>
        <v>12</v>
      </c>
      <c r="H1992" s="342">
        <v>14644</v>
      </c>
    </row>
    <row r="1993" spans="2:8" x14ac:dyDescent="0.25">
      <c r="B1993" s="342">
        <v>14646</v>
      </c>
      <c r="C1993" s="343" t="s">
        <v>564</v>
      </c>
      <c r="D1993" s="343" t="str">
        <f ca="1">OFFSET('Zip Code Lines_1'!$U$3,MATCH('Zip Code Lines_1'!C1993,'Zip Code Lines_1'!$Q$4:$Q$26,0),0)</f>
        <v>Rochester</v>
      </c>
      <c r="E1993" s="344">
        <f ca="1">OFFSET('Zip Code Lines_1'!$W$3,MATCH('Zip Code Lines_1'!C1993,'Zip Code Lines_1'!$Q$4:$Q$26,0),0)</f>
        <v>7.1</v>
      </c>
      <c r="F1993" s="344">
        <f ca="1">OFFSET('Zip Code Lines_1'!$Z$3,MATCH('Zip Code Lines_1'!C1993,'Zip Code Lines_1'!$Q$4:$Q$26,0),0)</f>
        <v>85.6</v>
      </c>
      <c r="G1993" s="342">
        <f ca="1">OFFSET('Zip Code Lines_1'!$AC$3,MATCH('Zip Code Lines_1'!C1993,'Zip Code Lines_1'!$Q$4:$Q$26,0),0)</f>
        <v>12</v>
      </c>
      <c r="H1993" s="342">
        <v>14646</v>
      </c>
    </row>
    <row r="1994" spans="2:8" x14ac:dyDescent="0.25">
      <c r="B1994" s="342">
        <v>14647</v>
      </c>
      <c r="C1994" s="343" t="s">
        <v>564</v>
      </c>
      <c r="D1994" s="343" t="str">
        <f ca="1">OFFSET('Zip Code Lines_1'!$U$3,MATCH('Zip Code Lines_1'!C1994,'Zip Code Lines_1'!$Q$4:$Q$26,0),0)</f>
        <v>Rochester</v>
      </c>
      <c r="E1994" s="344">
        <f ca="1">OFFSET('Zip Code Lines_1'!$W$3,MATCH('Zip Code Lines_1'!C1994,'Zip Code Lines_1'!$Q$4:$Q$26,0),0)</f>
        <v>7.1</v>
      </c>
      <c r="F1994" s="344">
        <f ca="1">OFFSET('Zip Code Lines_1'!$Z$3,MATCH('Zip Code Lines_1'!C1994,'Zip Code Lines_1'!$Q$4:$Q$26,0),0)</f>
        <v>85.6</v>
      </c>
      <c r="G1994" s="342">
        <f ca="1">OFFSET('Zip Code Lines_1'!$AC$3,MATCH('Zip Code Lines_1'!C1994,'Zip Code Lines_1'!$Q$4:$Q$26,0),0)</f>
        <v>12</v>
      </c>
      <c r="H1994" s="342">
        <v>14647</v>
      </c>
    </row>
    <row r="1995" spans="2:8" x14ac:dyDescent="0.25">
      <c r="B1995" s="342">
        <v>14649</v>
      </c>
      <c r="C1995" s="343" t="s">
        <v>564</v>
      </c>
      <c r="D1995" s="343" t="str">
        <f ca="1">OFFSET('Zip Code Lines_1'!$U$3,MATCH('Zip Code Lines_1'!C1995,'Zip Code Lines_1'!$Q$4:$Q$26,0),0)</f>
        <v>Rochester</v>
      </c>
      <c r="E1995" s="344">
        <f ca="1">OFFSET('Zip Code Lines_1'!$W$3,MATCH('Zip Code Lines_1'!C1995,'Zip Code Lines_1'!$Q$4:$Q$26,0),0)</f>
        <v>7.1</v>
      </c>
      <c r="F1995" s="344">
        <f ca="1">OFFSET('Zip Code Lines_1'!$Z$3,MATCH('Zip Code Lines_1'!C1995,'Zip Code Lines_1'!$Q$4:$Q$26,0),0)</f>
        <v>85.6</v>
      </c>
      <c r="G1995" s="342">
        <f ca="1">OFFSET('Zip Code Lines_1'!$AC$3,MATCH('Zip Code Lines_1'!C1995,'Zip Code Lines_1'!$Q$4:$Q$26,0),0)</f>
        <v>12</v>
      </c>
      <c r="H1995" s="342">
        <v>14649</v>
      </c>
    </row>
    <row r="1996" spans="2:8" x14ac:dyDescent="0.25">
      <c r="B1996" s="342">
        <v>14650</v>
      </c>
      <c r="C1996" s="343" t="s">
        <v>564</v>
      </c>
      <c r="D1996" s="343" t="str">
        <f ca="1">OFFSET('Zip Code Lines_1'!$U$3,MATCH('Zip Code Lines_1'!C1996,'Zip Code Lines_1'!$Q$4:$Q$26,0),0)</f>
        <v>Rochester</v>
      </c>
      <c r="E1996" s="344">
        <f ca="1">OFFSET('Zip Code Lines_1'!$W$3,MATCH('Zip Code Lines_1'!C1996,'Zip Code Lines_1'!$Q$4:$Q$26,0),0)</f>
        <v>7.1</v>
      </c>
      <c r="F1996" s="344">
        <f ca="1">OFFSET('Zip Code Lines_1'!$Z$3,MATCH('Zip Code Lines_1'!C1996,'Zip Code Lines_1'!$Q$4:$Q$26,0),0)</f>
        <v>85.6</v>
      </c>
      <c r="G1996" s="342">
        <f ca="1">OFFSET('Zip Code Lines_1'!$AC$3,MATCH('Zip Code Lines_1'!C1996,'Zip Code Lines_1'!$Q$4:$Q$26,0),0)</f>
        <v>12</v>
      </c>
      <c r="H1996" s="342">
        <v>14650</v>
      </c>
    </row>
    <row r="1997" spans="2:8" x14ac:dyDescent="0.25">
      <c r="B1997" s="342">
        <v>14651</v>
      </c>
      <c r="C1997" s="343" t="s">
        <v>564</v>
      </c>
      <c r="D1997" s="343" t="str">
        <f ca="1">OFFSET('Zip Code Lines_1'!$U$3,MATCH('Zip Code Lines_1'!C1997,'Zip Code Lines_1'!$Q$4:$Q$26,0),0)</f>
        <v>Rochester</v>
      </c>
      <c r="E1997" s="344">
        <f ca="1">OFFSET('Zip Code Lines_1'!$W$3,MATCH('Zip Code Lines_1'!C1997,'Zip Code Lines_1'!$Q$4:$Q$26,0),0)</f>
        <v>7.1</v>
      </c>
      <c r="F1997" s="344">
        <f ca="1">OFFSET('Zip Code Lines_1'!$Z$3,MATCH('Zip Code Lines_1'!C1997,'Zip Code Lines_1'!$Q$4:$Q$26,0),0)</f>
        <v>85.6</v>
      </c>
      <c r="G1997" s="342">
        <f ca="1">OFFSET('Zip Code Lines_1'!$AC$3,MATCH('Zip Code Lines_1'!C1997,'Zip Code Lines_1'!$Q$4:$Q$26,0),0)</f>
        <v>12</v>
      </c>
      <c r="H1997" s="342">
        <v>14651</v>
      </c>
    </row>
    <row r="1998" spans="2:8" x14ac:dyDescent="0.25">
      <c r="B1998" s="342">
        <v>14652</v>
      </c>
      <c r="C1998" s="343" t="s">
        <v>564</v>
      </c>
      <c r="D1998" s="343" t="str">
        <f ca="1">OFFSET('Zip Code Lines_1'!$U$3,MATCH('Zip Code Lines_1'!C1998,'Zip Code Lines_1'!$Q$4:$Q$26,0),0)</f>
        <v>Rochester</v>
      </c>
      <c r="E1998" s="344">
        <f ca="1">OFFSET('Zip Code Lines_1'!$W$3,MATCH('Zip Code Lines_1'!C1998,'Zip Code Lines_1'!$Q$4:$Q$26,0),0)</f>
        <v>7.1</v>
      </c>
      <c r="F1998" s="344">
        <f ca="1">OFFSET('Zip Code Lines_1'!$Z$3,MATCH('Zip Code Lines_1'!C1998,'Zip Code Lines_1'!$Q$4:$Q$26,0),0)</f>
        <v>85.6</v>
      </c>
      <c r="G1998" s="342">
        <f ca="1">OFFSET('Zip Code Lines_1'!$AC$3,MATCH('Zip Code Lines_1'!C1998,'Zip Code Lines_1'!$Q$4:$Q$26,0),0)</f>
        <v>12</v>
      </c>
      <c r="H1998" s="342">
        <v>14652</v>
      </c>
    </row>
    <row r="1999" spans="2:8" x14ac:dyDescent="0.25">
      <c r="B1999" s="342">
        <v>14653</v>
      </c>
      <c r="C1999" s="343" t="s">
        <v>564</v>
      </c>
      <c r="D1999" s="343" t="str">
        <f ca="1">OFFSET('Zip Code Lines_1'!$U$3,MATCH('Zip Code Lines_1'!C1999,'Zip Code Lines_1'!$Q$4:$Q$26,0),0)</f>
        <v>Rochester</v>
      </c>
      <c r="E1999" s="344">
        <f ca="1">OFFSET('Zip Code Lines_1'!$W$3,MATCH('Zip Code Lines_1'!C1999,'Zip Code Lines_1'!$Q$4:$Q$26,0),0)</f>
        <v>7.1</v>
      </c>
      <c r="F1999" s="344">
        <f ca="1">OFFSET('Zip Code Lines_1'!$Z$3,MATCH('Zip Code Lines_1'!C1999,'Zip Code Lines_1'!$Q$4:$Q$26,0),0)</f>
        <v>85.6</v>
      </c>
      <c r="G1999" s="342">
        <f ca="1">OFFSET('Zip Code Lines_1'!$AC$3,MATCH('Zip Code Lines_1'!C1999,'Zip Code Lines_1'!$Q$4:$Q$26,0),0)</f>
        <v>12</v>
      </c>
      <c r="H1999" s="342">
        <v>14653</v>
      </c>
    </row>
    <row r="2000" spans="2:8" x14ac:dyDescent="0.25">
      <c r="B2000" s="342">
        <v>14692</v>
      </c>
      <c r="C2000" s="343" t="s">
        <v>564</v>
      </c>
      <c r="D2000" s="343" t="str">
        <f ca="1">OFFSET('Zip Code Lines_1'!$U$3,MATCH('Zip Code Lines_1'!C2000,'Zip Code Lines_1'!$Q$4:$Q$26,0),0)</f>
        <v>Rochester</v>
      </c>
      <c r="E2000" s="344">
        <f ca="1">OFFSET('Zip Code Lines_1'!$W$3,MATCH('Zip Code Lines_1'!C2000,'Zip Code Lines_1'!$Q$4:$Q$26,0),0)</f>
        <v>7.1</v>
      </c>
      <c r="F2000" s="344">
        <f ca="1">OFFSET('Zip Code Lines_1'!$Z$3,MATCH('Zip Code Lines_1'!C2000,'Zip Code Lines_1'!$Q$4:$Q$26,0),0)</f>
        <v>85.6</v>
      </c>
      <c r="G2000" s="342">
        <f ca="1">OFFSET('Zip Code Lines_1'!$AC$3,MATCH('Zip Code Lines_1'!C2000,'Zip Code Lines_1'!$Q$4:$Q$26,0),0)</f>
        <v>12</v>
      </c>
      <c r="H2000" s="342">
        <v>14692</v>
      </c>
    </row>
    <row r="2001" spans="2:8" x14ac:dyDescent="0.25">
      <c r="B2001" s="342">
        <v>14694</v>
      </c>
      <c r="C2001" s="343" t="s">
        <v>564</v>
      </c>
      <c r="D2001" s="343" t="str">
        <f ca="1">OFFSET('Zip Code Lines_1'!$U$3,MATCH('Zip Code Lines_1'!C2001,'Zip Code Lines_1'!$Q$4:$Q$26,0),0)</f>
        <v>Rochester</v>
      </c>
      <c r="E2001" s="344">
        <f ca="1">OFFSET('Zip Code Lines_1'!$W$3,MATCH('Zip Code Lines_1'!C2001,'Zip Code Lines_1'!$Q$4:$Q$26,0),0)</f>
        <v>7.1</v>
      </c>
      <c r="F2001" s="344">
        <f ca="1">OFFSET('Zip Code Lines_1'!$Z$3,MATCH('Zip Code Lines_1'!C2001,'Zip Code Lines_1'!$Q$4:$Q$26,0),0)</f>
        <v>85.6</v>
      </c>
      <c r="G2001" s="342">
        <f ca="1">OFFSET('Zip Code Lines_1'!$AC$3,MATCH('Zip Code Lines_1'!C2001,'Zip Code Lines_1'!$Q$4:$Q$26,0),0)</f>
        <v>12</v>
      </c>
      <c r="H2001" s="342">
        <v>14694</v>
      </c>
    </row>
    <row r="2002" spans="2:8" x14ac:dyDescent="0.25">
      <c r="B2002" s="342">
        <v>14701</v>
      </c>
      <c r="C2002" s="343" t="s">
        <v>546</v>
      </c>
      <c r="D2002" s="343" t="str">
        <f ca="1">OFFSET('Zip Code Lines_1'!$U$3,MATCH('Zip Code Lines_1'!C2002,'Zip Code Lines_1'!$Q$4:$Q$26,0),0)</f>
        <v>Jamestown</v>
      </c>
      <c r="E2002" s="344">
        <f ca="1">OFFSET('Zip Code Lines_1'!$W$3,MATCH('Zip Code Lines_1'!C2002,'Zip Code Lines_1'!$Q$4:$Q$26,0),0)</f>
        <v>4.8</v>
      </c>
      <c r="F2002" s="344">
        <f ca="1">OFFSET('Zip Code Lines_1'!$Z$3,MATCH('Zip Code Lines_1'!C2002,'Zip Code Lines_1'!$Q$4:$Q$26,0),0)</f>
        <v>81.099999999999994</v>
      </c>
      <c r="G2002" s="342">
        <f ca="1">OFFSET('Zip Code Lines_1'!$AC$3,MATCH('Zip Code Lines_1'!C2002,'Zip Code Lines_1'!$Q$4:$Q$26,0),0)</f>
        <v>12</v>
      </c>
      <c r="H2002" s="342">
        <v>14701</v>
      </c>
    </row>
    <row r="2003" spans="2:8" x14ac:dyDescent="0.25">
      <c r="B2003" s="342">
        <v>14702</v>
      </c>
      <c r="C2003" s="343" t="s">
        <v>546</v>
      </c>
      <c r="D2003" s="343" t="str">
        <f ca="1">OFFSET('Zip Code Lines_1'!$U$3,MATCH('Zip Code Lines_1'!C2003,'Zip Code Lines_1'!$Q$4:$Q$26,0),0)</f>
        <v>Jamestown</v>
      </c>
      <c r="E2003" s="344">
        <f ca="1">OFFSET('Zip Code Lines_1'!$W$3,MATCH('Zip Code Lines_1'!C2003,'Zip Code Lines_1'!$Q$4:$Q$26,0),0)</f>
        <v>4.8</v>
      </c>
      <c r="F2003" s="344">
        <f ca="1">OFFSET('Zip Code Lines_1'!$Z$3,MATCH('Zip Code Lines_1'!C2003,'Zip Code Lines_1'!$Q$4:$Q$26,0),0)</f>
        <v>81.099999999999994</v>
      </c>
      <c r="G2003" s="342">
        <f ca="1">OFFSET('Zip Code Lines_1'!$AC$3,MATCH('Zip Code Lines_1'!C2003,'Zip Code Lines_1'!$Q$4:$Q$26,0),0)</f>
        <v>12</v>
      </c>
      <c r="H2003" s="342">
        <v>14702</v>
      </c>
    </row>
    <row r="2004" spans="2:8" x14ac:dyDescent="0.25">
      <c r="B2004" s="342">
        <v>14706</v>
      </c>
      <c r="C2004" s="343" t="s">
        <v>534</v>
      </c>
      <c r="D2004" s="343" t="str">
        <f ca="1">OFFSET('Zip Code Lines_1'!$U$3,MATCH('Zip Code Lines_1'!C2004,'Zip Code Lines_1'!$Q$4:$Q$26,0),0)</f>
        <v>Buffalo</v>
      </c>
      <c r="E2004" s="344">
        <f ca="1">OFFSET('Zip Code Lines_1'!$W$3,MATCH('Zip Code Lines_1'!C2004,'Zip Code Lines_1'!$Q$4:$Q$26,0),0)</f>
        <v>7.4</v>
      </c>
      <c r="F2004" s="344">
        <f ca="1">OFFSET('Zip Code Lines_1'!$Z$3,MATCH('Zip Code Lines_1'!C2004,'Zip Code Lines_1'!$Q$4:$Q$26,0),0)</f>
        <v>83.9</v>
      </c>
      <c r="G2004" s="342">
        <f ca="1">OFFSET('Zip Code Lines_1'!$AC$3,MATCH('Zip Code Lines_1'!C2004,'Zip Code Lines_1'!$Q$4:$Q$26,0),0)</f>
        <v>18</v>
      </c>
      <c r="H2004" s="342">
        <v>14706</v>
      </c>
    </row>
    <row r="2005" spans="2:8" x14ac:dyDescent="0.25">
      <c r="B2005" s="342">
        <v>14707</v>
      </c>
      <c r="C2005" s="343" t="s">
        <v>546</v>
      </c>
      <c r="D2005" s="343" t="str">
        <f ca="1">OFFSET('Zip Code Lines_1'!$U$3,MATCH('Zip Code Lines_1'!C2005,'Zip Code Lines_1'!$Q$4:$Q$26,0),0)</f>
        <v>Jamestown</v>
      </c>
      <c r="E2005" s="344">
        <f ca="1">OFFSET('Zip Code Lines_1'!$W$3,MATCH('Zip Code Lines_1'!C2005,'Zip Code Lines_1'!$Q$4:$Q$26,0),0)</f>
        <v>4.8</v>
      </c>
      <c r="F2005" s="344">
        <f ca="1">OFFSET('Zip Code Lines_1'!$Z$3,MATCH('Zip Code Lines_1'!C2005,'Zip Code Lines_1'!$Q$4:$Q$26,0),0)</f>
        <v>81.099999999999994</v>
      </c>
      <c r="G2005" s="342">
        <f ca="1">OFFSET('Zip Code Lines_1'!$AC$3,MATCH('Zip Code Lines_1'!C2005,'Zip Code Lines_1'!$Q$4:$Q$26,0),0)</f>
        <v>12</v>
      </c>
      <c r="H2005" s="342">
        <v>14707</v>
      </c>
    </row>
    <row r="2006" spans="2:8" x14ac:dyDescent="0.25">
      <c r="B2006" s="342">
        <v>14708</v>
      </c>
      <c r="C2006" s="343" t="s">
        <v>546</v>
      </c>
      <c r="D2006" s="343" t="str">
        <f ca="1">OFFSET('Zip Code Lines_1'!$U$3,MATCH('Zip Code Lines_1'!C2006,'Zip Code Lines_1'!$Q$4:$Q$26,0),0)</f>
        <v>Jamestown</v>
      </c>
      <c r="E2006" s="344">
        <f ca="1">OFFSET('Zip Code Lines_1'!$W$3,MATCH('Zip Code Lines_1'!C2006,'Zip Code Lines_1'!$Q$4:$Q$26,0),0)</f>
        <v>4.8</v>
      </c>
      <c r="F2006" s="344">
        <f ca="1">OFFSET('Zip Code Lines_1'!$Z$3,MATCH('Zip Code Lines_1'!C2006,'Zip Code Lines_1'!$Q$4:$Q$26,0),0)</f>
        <v>81.099999999999994</v>
      </c>
      <c r="G2006" s="342">
        <f ca="1">OFFSET('Zip Code Lines_1'!$AC$3,MATCH('Zip Code Lines_1'!C2006,'Zip Code Lines_1'!$Q$4:$Q$26,0),0)</f>
        <v>12</v>
      </c>
      <c r="H2006" s="342">
        <v>14708</v>
      </c>
    </row>
    <row r="2007" spans="2:8" x14ac:dyDescent="0.25">
      <c r="B2007" s="342">
        <v>14709</v>
      </c>
      <c r="C2007" s="343" t="s">
        <v>546</v>
      </c>
      <c r="D2007" s="343" t="str">
        <f ca="1">OFFSET('Zip Code Lines_1'!$U$3,MATCH('Zip Code Lines_1'!C2007,'Zip Code Lines_1'!$Q$4:$Q$26,0),0)</f>
        <v>Jamestown</v>
      </c>
      <c r="E2007" s="344">
        <f ca="1">OFFSET('Zip Code Lines_1'!$W$3,MATCH('Zip Code Lines_1'!C2007,'Zip Code Lines_1'!$Q$4:$Q$26,0),0)</f>
        <v>4.8</v>
      </c>
      <c r="F2007" s="344">
        <f ca="1">OFFSET('Zip Code Lines_1'!$Z$3,MATCH('Zip Code Lines_1'!C2007,'Zip Code Lines_1'!$Q$4:$Q$26,0),0)</f>
        <v>81.099999999999994</v>
      </c>
      <c r="G2007" s="342">
        <f ca="1">OFFSET('Zip Code Lines_1'!$AC$3,MATCH('Zip Code Lines_1'!C2007,'Zip Code Lines_1'!$Q$4:$Q$26,0),0)</f>
        <v>12</v>
      </c>
      <c r="H2007" s="342">
        <v>14709</v>
      </c>
    </row>
    <row r="2008" spans="2:8" x14ac:dyDescent="0.25">
      <c r="B2008" s="342">
        <v>14710</v>
      </c>
      <c r="C2008" s="343" t="s">
        <v>546</v>
      </c>
      <c r="D2008" s="343" t="str">
        <f ca="1">OFFSET('Zip Code Lines_1'!$U$3,MATCH('Zip Code Lines_1'!C2008,'Zip Code Lines_1'!$Q$4:$Q$26,0),0)</f>
        <v>Jamestown</v>
      </c>
      <c r="E2008" s="344">
        <f ca="1">OFFSET('Zip Code Lines_1'!$W$3,MATCH('Zip Code Lines_1'!C2008,'Zip Code Lines_1'!$Q$4:$Q$26,0),0)</f>
        <v>4.8</v>
      </c>
      <c r="F2008" s="344">
        <f ca="1">OFFSET('Zip Code Lines_1'!$Z$3,MATCH('Zip Code Lines_1'!C2008,'Zip Code Lines_1'!$Q$4:$Q$26,0),0)</f>
        <v>81.099999999999994</v>
      </c>
      <c r="G2008" s="342">
        <f ca="1">OFFSET('Zip Code Lines_1'!$AC$3,MATCH('Zip Code Lines_1'!C2008,'Zip Code Lines_1'!$Q$4:$Q$26,0),0)</f>
        <v>12</v>
      </c>
      <c r="H2008" s="342">
        <v>14710</v>
      </c>
    </row>
    <row r="2009" spans="2:8" x14ac:dyDescent="0.25">
      <c r="B2009" s="342">
        <v>14711</v>
      </c>
      <c r="C2009" s="343" t="s">
        <v>534</v>
      </c>
      <c r="D2009" s="343" t="str">
        <f ca="1">OFFSET('Zip Code Lines_1'!$U$3,MATCH('Zip Code Lines_1'!C2009,'Zip Code Lines_1'!$Q$4:$Q$26,0),0)</f>
        <v>Buffalo</v>
      </c>
      <c r="E2009" s="344">
        <f ca="1">OFFSET('Zip Code Lines_1'!$W$3,MATCH('Zip Code Lines_1'!C2009,'Zip Code Lines_1'!$Q$4:$Q$26,0),0)</f>
        <v>7.4</v>
      </c>
      <c r="F2009" s="344">
        <f ca="1">OFFSET('Zip Code Lines_1'!$Z$3,MATCH('Zip Code Lines_1'!C2009,'Zip Code Lines_1'!$Q$4:$Q$26,0),0)</f>
        <v>83.9</v>
      </c>
      <c r="G2009" s="342">
        <f ca="1">OFFSET('Zip Code Lines_1'!$AC$3,MATCH('Zip Code Lines_1'!C2009,'Zip Code Lines_1'!$Q$4:$Q$26,0),0)</f>
        <v>18</v>
      </c>
      <c r="H2009" s="342">
        <v>14711</v>
      </c>
    </row>
    <row r="2010" spans="2:8" x14ac:dyDescent="0.25">
      <c r="B2010" s="342">
        <v>14712</v>
      </c>
      <c r="C2010" s="343" t="s">
        <v>546</v>
      </c>
      <c r="D2010" s="343" t="str">
        <f ca="1">OFFSET('Zip Code Lines_1'!$U$3,MATCH('Zip Code Lines_1'!C2010,'Zip Code Lines_1'!$Q$4:$Q$26,0),0)</f>
        <v>Jamestown</v>
      </c>
      <c r="E2010" s="344">
        <f ca="1">OFFSET('Zip Code Lines_1'!$W$3,MATCH('Zip Code Lines_1'!C2010,'Zip Code Lines_1'!$Q$4:$Q$26,0),0)</f>
        <v>4.8</v>
      </c>
      <c r="F2010" s="344">
        <f ca="1">OFFSET('Zip Code Lines_1'!$Z$3,MATCH('Zip Code Lines_1'!C2010,'Zip Code Lines_1'!$Q$4:$Q$26,0),0)</f>
        <v>81.099999999999994</v>
      </c>
      <c r="G2010" s="342">
        <f ca="1">OFFSET('Zip Code Lines_1'!$AC$3,MATCH('Zip Code Lines_1'!C2010,'Zip Code Lines_1'!$Q$4:$Q$26,0),0)</f>
        <v>12</v>
      </c>
      <c r="H2010" s="342">
        <v>14712</v>
      </c>
    </row>
    <row r="2011" spans="2:8" x14ac:dyDescent="0.25">
      <c r="B2011" s="342">
        <v>14714</v>
      </c>
      <c r="C2011" s="343" t="s">
        <v>546</v>
      </c>
      <c r="D2011" s="343" t="str">
        <f ca="1">OFFSET('Zip Code Lines_1'!$U$3,MATCH('Zip Code Lines_1'!C2011,'Zip Code Lines_1'!$Q$4:$Q$26,0),0)</f>
        <v>Jamestown</v>
      </c>
      <c r="E2011" s="344">
        <f ca="1">OFFSET('Zip Code Lines_1'!$W$3,MATCH('Zip Code Lines_1'!C2011,'Zip Code Lines_1'!$Q$4:$Q$26,0),0)</f>
        <v>4.8</v>
      </c>
      <c r="F2011" s="344">
        <f ca="1">OFFSET('Zip Code Lines_1'!$Z$3,MATCH('Zip Code Lines_1'!C2011,'Zip Code Lines_1'!$Q$4:$Q$26,0),0)</f>
        <v>81.099999999999994</v>
      </c>
      <c r="G2011" s="342">
        <f ca="1">OFFSET('Zip Code Lines_1'!$AC$3,MATCH('Zip Code Lines_1'!C2011,'Zip Code Lines_1'!$Q$4:$Q$26,0),0)</f>
        <v>12</v>
      </c>
      <c r="H2011" s="342">
        <v>14714</v>
      </c>
    </row>
    <row r="2012" spans="2:8" x14ac:dyDescent="0.25">
      <c r="B2012" s="342">
        <v>14715</v>
      </c>
      <c r="C2012" s="343" t="s">
        <v>546</v>
      </c>
      <c r="D2012" s="343" t="str">
        <f ca="1">OFFSET('Zip Code Lines_1'!$U$3,MATCH('Zip Code Lines_1'!C2012,'Zip Code Lines_1'!$Q$4:$Q$26,0),0)</f>
        <v>Jamestown</v>
      </c>
      <c r="E2012" s="344">
        <f ca="1">OFFSET('Zip Code Lines_1'!$W$3,MATCH('Zip Code Lines_1'!C2012,'Zip Code Lines_1'!$Q$4:$Q$26,0),0)</f>
        <v>4.8</v>
      </c>
      <c r="F2012" s="344">
        <f ca="1">OFFSET('Zip Code Lines_1'!$Z$3,MATCH('Zip Code Lines_1'!C2012,'Zip Code Lines_1'!$Q$4:$Q$26,0),0)</f>
        <v>81.099999999999994</v>
      </c>
      <c r="G2012" s="342">
        <f ca="1">OFFSET('Zip Code Lines_1'!$AC$3,MATCH('Zip Code Lines_1'!C2012,'Zip Code Lines_1'!$Q$4:$Q$26,0),0)</f>
        <v>12</v>
      </c>
      <c r="H2012" s="342">
        <v>14715</v>
      </c>
    </row>
    <row r="2013" spans="2:8" x14ac:dyDescent="0.25">
      <c r="B2013" s="342">
        <v>14716</v>
      </c>
      <c r="C2013" s="343" t="s">
        <v>546</v>
      </c>
      <c r="D2013" s="343" t="str">
        <f ca="1">OFFSET('Zip Code Lines_1'!$U$3,MATCH('Zip Code Lines_1'!C2013,'Zip Code Lines_1'!$Q$4:$Q$26,0),0)</f>
        <v>Jamestown</v>
      </c>
      <c r="E2013" s="344">
        <f ca="1">OFFSET('Zip Code Lines_1'!$W$3,MATCH('Zip Code Lines_1'!C2013,'Zip Code Lines_1'!$Q$4:$Q$26,0),0)</f>
        <v>4.8</v>
      </c>
      <c r="F2013" s="344">
        <f ca="1">OFFSET('Zip Code Lines_1'!$Z$3,MATCH('Zip Code Lines_1'!C2013,'Zip Code Lines_1'!$Q$4:$Q$26,0),0)</f>
        <v>81.099999999999994</v>
      </c>
      <c r="G2013" s="342">
        <f ca="1">OFFSET('Zip Code Lines_1'!$AC$3,MATCH('Zip Code Lines_1'!C2013,'Zip Code Lines_1'!$Q$4:$Q$26,0),0)</f>
        <v>12</v>
      </c>
      <c r="H2013" s="342">
        <v>14716</v>
      </c>
    </row>
    <row r="2014" spans="2:8" x14ac:dyDescent="0.25">
      <c r="B2014" s="342">
        <v>14717</v>
      </c>
      <c r="C2014" s="343" t="s">
        <v>546</v>
      </c>
      <c r="D2014" s="343" t="str">
        <f ca="1">OFFSET('Zip Code Lines_1'!$U$3,MATCH('Zip Code Lines_1'!C2014,'Zip Code Lines_1'!$Q$4:$Q$26,0),0)</f>
        <v>Jamestown</v>
      </c>
      <c r="E2014" s="344">
        <f ca="1">OFFSET('Zip Code Lines_1'!$W$3,MATCH('Zip Code Lines_1'!C2014,'Zip Code Lines_1'!$Q$4:$Q$26,0),0)</f>
        <v>4.8</v>
      </c>
      <c r="F2014" s="344">
        <f ca="1">OFFSET('Zip Code Lines_1'!$Z$3,MATCH('Zip Code Lines_1'!C2014,'Zip Code Lines_1'!$Q$4:$Q$26,0),0)</f>
        <v>81.099999999999994</v>
      </c>
      <c r="G2014" s="342">
        <f ca="1">OFFSET('Zip Code Lines_1'!$AC$3,MATCH('Zip Code Lines_1'!C2014,'Zip Code Lines_1'!$Q$4:$Q$26,0),0)</f>
        <v>12</v>
      </c>
      <c r="H2014" s="342">
        <v>14717</v>
      </c>
    </row>
    <row r="2015" spans="2:8" x14ac:dyDescent="0.25">
      <c r="B2015" s="342">
        <v>14718</v>
      </c>
      <c r="C2015" s="343" t="s">
        <v>546</v>
      </c>
      <c r="D2015" s="343" t="str">
        <f ca="1">OFFSET('Zip Code Lines_1'!$U$3,MATCH('Zip Code Lines_1'!C2015,'Zip Code Lines_1'!$Q$4:$Q$26,0),0)</f>
        <v>Jamestown</v>
      </c>
      <c r="E2015" s="344">
        <f ca="1">OFFSET('Zip Code Lines_1'!$W$3,MATCH('Zip Code Lines_1'!C2015,'Zip Code Lines_1'!$Q$4:$Q$26,0),0)</f>
        <v>4.8</v>
      </c>
      <c r="F2015" s="344">
        <f ca="1">OFFSET('Zip Code Lines_1'!$Z$3,MATCH('Zip Code Lines_1'!C2015,'Zip Code Lines_1'!$Q$4:$Q$26,0),0)</f>
        <v>81.099999999999994</v>
      </c>
      <c r="G2015" s="342">
        <f ca="1">OFFSET('Zip Code Lines_1'!$AC$3,MATCH('Zip Code Lines_1'!C2015,'Zip Code Lines_1'!$Q$4:$Q$26,0),0)</f>
        <v>12</v>
      </c>
      <c r="H2015" s="342">
        <v>14718</v>
      </c>
    </row>
    <row r="2016" spans="2:8" x14ac:dyDescent="0.25">
      <c r="B2016" s="342">
        <v>14719</v>
      </c>
      <c r="C2016" s="343" t="s">
        <v>534</v>
      </c>
      <c r="D2016" s="343" t="str">
        <f ca="1">OFFSET('Zip Code Lines_1'!$U$3,MATCH('Zip Code Lines_1'!C2016,'Zip Code Lines_1'!$Q$4:$Q$26,0),0)</f>
        <v>Buffalo</v>
      </c>
      <c r="E2016" s="344">
        <f ca="1">OFFSET('Zip Code Lines_1'!$W$3,MATCH('Zip Code Lines_1'!C2016,'Zip Code Lines_1'!$Q$4:$Q$26,0),0)</f>
        <v>7.4</v>
      </c>
      <c r="F2016" s="344">
        <f ca="1">OFFSET('Zip Code Lines_1'!$Z$3,MATCH('Zip Code Lines_1'!C2016,'Zip Code Lines_1'!$Q$4:$Q$26,0),0)</f>
        <v>83.9</v>
      </c>
      <c r="G2016" s="342">
        <f ca="1">OFFSET('Zip Code Lines_1'!$AC$3,MATCH('Zip Code Lines_1'!C2016,'Zip Code Lines_1'!$Q$4:$Q$26,0),0)</f>
        <v>18</v>
      </c>
      <c r="H2016" s="342">
        <v>14719</v>
      </c>
    </row>
    <row r="2017" spans="2:8" x14ac:dyDescent="0.25">
      <c r="B2017" s="342">
        <v>14720</v>
      </c>
      <c r="C2017" s="343" t="s">
        <v>546</v>
      </c>
      <c r="D2017" s="343" t="str">
        <f ca="1">OFFSET('Zip Code Lines_1'!$U$3,MATCH('Zip Code Lines_1'!C2017,'Zip Code Lines_1'!$Q$4:$Q$26,0),0)</f>
        <v>Jamestown</v>
      </c>
      <c r="E2017" s="344">
        <f ca="1">OFFSET('Zip Code Lines_1'!$W$3,MATCH('Zip Code Lines_1'!C2017,'Zip Code Lines_1'!$Q$4:$Q$26,0),0)</f>
        <v>4.8</v>
      </c>
      <c r="F2017" s="344">
        <f ca="1">OFFSET('Zip Code Lines_1'!$Z$3,MATCH('Zip Code Lines_1'!C2017,'Zip Code Lines_1'!$Q$4:$Q$26,0),0)</f>
        <v>81.099999999999994</v>
      </c>
      <c r="G2017" s="342">
        <f ca="1">OFFSET('Zip Code Lines_1'!$AC$3,MATCH('Zip Code Lines_1'!C2017,'Zip Code Lines_1'!$Q$4:$Q$26,0),0)</f>
        <v>12</v>
      </c>
      <c r="H2017" s="342">
        <v>14720</v>
      </c>
    </row>
    <row r="2018" spans="2:8" x14ac:dyDescent="0.25">
      <c r="B2018" s="342">
        <v>14721</v>
      </c>
      <c r="C2018" s="343" t="s">
        <v>534</v>
      </c>
      <c r="D2018" s="343" t="str">
        <f ca="1">OFFSET('Zip Code Lines_1'!$U$3,MATCH('Zip Code Lines_1'!C2018,'Zip Code Lines_1'!$Q$4:$Q$26,0),0)</f>
        <v>Buffalo</v>
      </c>
      <c r="E2018" s="344">
        <f ca="1">OFFSET('Zip Code Lines_1'!$W$3,MATCH('Zip Code Lines_1'!C2018,'Zip Code Lines_1'!$Q$4:$Q$26,0),0)</f>
        <v>7.4</v>
      </c>
      <c r="F2018" s="344">
        <f ca="1">OFFSET('Zip Code Lines_1'!$Z$3,MATCH('Zip Code Lines_1'!C2018,'Zip Code Lines_1'!$Q$4:$Q$26,0),0)</f>
        <v>83.9</v>
      </c>
      <c r="G2018" s="342">
        <f ca="1">OFFSET('Zip Code Lines_1'!$AC$3,MATCH('Zip Code Lines_1'!C2018,'Zip Code Lines_1'!$Q$4:$Q$26,0),0)</f>
        <v>18</v>
      </c>
      <c r="H2018" s="342">
        <v>14721</v>
      </c>
    </row>
    <row r="2019" spans="2:8" x14ac:dyDescent="0.25">
      <c r="B2019" s="342">
        <v>14722</v>
      </c>
      <c r="C2019" s="343" t="s">
        <v>546</v>
      </c>
      <c r="D2019" s="343" t="str">
        <f ca="1">OFFSET('Zip Code Lines_1'!$U$3,MATCH('Zip Code Lines_1'!C2019,'Zip Code Lines_1'!$Q$4:$Q$26,0),0)</f>
        <v>Jamestown</v>
      </c>
      <c r="E2019" s="344">
        <f ca="1">OFFSET('Zip Code Lines_1'!$W$3,MATCH('Zip Code Lines_1'!C2019,'Zip Code Lines_1'!$Q$4:$Q$26,0),0)</f>
        <v>4.8</v>
      </c>
      <c r="F2019" s="344">
        <f ca="1">OFFSET('Zip Code Lines_1'!$Z$3,MATCH('Zip Code Lines_1'!C2019,'Zip Code Lines_1'!$Q$4:$Q$26,0),0)</f>
        <v>81.099999999999994</v>
      </c>
      <c r="G2019" s="342">
        <f ca="1">OFFSET('Zip Code Lines_1'!$AC$3,MATCH('Zip Code Lines_1'!C2019,'Zip Code Lines_1'!$Q$4:$Q$26,0),0)</f>
        <v>12</v>
      </c>
      <c r="H2019" s="342">
        <v>14722</v>
      </c>
    </row>
    <row r="2020" spans="2:8" x14ac:dyDescent="0.25">
      <c r="B2020" s="342">
        <v>14723</v>
      </c>
      <c r="C2020" s="343" t="s">
        <v>546</v>
      </c>
      <c r="D2020" s="343" t="str">
        <f ca="1">OFFSET('Zip Code Lines_1'!$U$3,MATCH('Zip Code Lines_1'!C2020,'Zip Code Lines_1'!$Q$4:$Q$26,0),0)</f>
        <v>Jamestown</v>
      </c>
      <c r="E2020" s="344">
        <f ca="1">OFFSET('Zip Code Lines_1'!$W$3,MATCH('Zip Code Lines_1'!C2020,'Zip Code Lines_1'!$Q$4:$Q$26,0),0)</f>
        <v>4.8</v>
      </c>
      <c r="F2020" s="344">
        <f ca="1">OFFSET('Zip Code Lines_1'!$Z$3,MATCH('Zip Code Lines_1'!C2020,'Zip Code Lines_1'!$Q$4:$Q$26,0),0)</f>
        <v>81.099999999999994</v>
      </c>
      <c r="G2020" s="342">
        <f ca="1">OFFSET('Zip Code Lines_1'!$AC$3,MATCH('Zip Code Lines_1'!C2020,'Zip Code Lines_1'!$Q$4:$Q$26,0),0)</f>
        <v>12</v>
      </c>
      <c r="H2020" s="342">
        <v>14723</v>
      </c>
    </row>
    <row r="2021" spans="2:8" x14ac:dyDescent="0.25">
      <c r="B2021" s="342">
        <v>14724</v>
      </c>
      <c r="C2021" s="343" t="s">
        <v>546</v>
      </c>
      <c r="D2021" s="343" t="str">
        <f ca="1">OFFSET('Zip Code Lines_1'!$U$3,MATCH('Zip Code Lines_1'!C2021,'Zip Code Lines_1'!$Q$4:$Q$26,0),0)</f>
        <v>Jamestown</v>
      </c>
      <c r="E2021" s="344">
        <f ca="1">OFFSET('Zip Code Lines_1'!$W$3,MATCH('Zip Code Lines_1'!C2021,'Zip Code Lines_1'!$Q$4:$Q$26,0),0)</f>
        <v>4.8</v>
      </c>
      <c r="F2021" s="344">
        <f ca="1">OFFSET('Zip Code Lines_1'!$Z$3,MATCH('Zip Code Lines_1'!C2021,'Zip Code Lines_1'!$Q$4:$Q$26,0),0)</f>
        <v>81.099999999999994</v>
      </c>
      <c r="G2021" s="342">
        <f ca="1">OFFSET('Zip Code Lines_1'!$AC$3,MATCH('Zip Code Lines_1'!C2021,'Zip Code Lines_1'!$Q$4:$Q$26,0),0)</f>
        <v>12</v>
      </c>
      <c r="H2021" s="342">
        <v>14724</v>
      </c>
    </row>
    <row r="2022" spans="2:8" x14ac:dyDescent="0.25">
      <c r="B2022" s="342">
        <v>14726</v>
      </c>
      <c r="C2022" s="343" t="s">
        <v>546</v>
      </c>
      <c r="D2022" s="343" t="str">
        <f ca="1">OFFSET('Zip Code Lines_1'!$U$3,MATCH('Zip Code Lines_1'!C2022,'Zip Code Lines_1'!$Q$4:$Q$26,0),0)</f>
        <v>Jamestown</v>
      </c>
      <c r="E2022" s="344">
        <f ca="1">OFFSET('Zip Code Lines_1'!$W$3,MATCH('Zip Code Lines_1'!C2022,'Zip Code Lines_1'!$Q$4:$Q$26,0),0)</f>
        <v>4.8</v>
      </c>
      <c r="F2022" s="344">
        <f ca="1">OFFSET('Zip Code Lines_1'!$Z$3,MATCH('Zip Code Lines_1'!C2022,'Zip Code Lines_1'!$Q$4:$Q$26,0),0)</f>
        <v>81.099999999999994</v>
      </c>
      <c r="G2022" s="342">
        <f ca="1">OFFSET('Zip Code Lines_1'!$AC$3,MATCH('Zip Code Lines_1'!C2022,'Zip Code Lines_1'!$Q$4:$Q$26,0),0)</f>
        <v>12</v>
      </c>
      <c r="H2022" s="342">
        <v>14726</v>
      </c>
    </row>
    <row r="2023" spans="2:8" x14ac:dyDescent="0.25">
      <c r="B2023" s="342">
        <v>14727</v>
      </c>
      <c r="C2023" s="343" t="s">
        <v>546</v>
      </c>
      <c r="D2023" s="343" t="str">
        <f ca="1">OFFSET('Zip Code Lines_1'!$U$3,MATCH('Zip Code Lines_1'!C2023,'Zip Code Lines_1'!$Q$4:$Q$26,0),0)</f>
        <v>Jamestown</v>
      </c>
      <c r="E2023" s="344">
        <f ca="1">OFFSET('Zip Code Lines_1'!$W$3,MATCH('Zip Code Lines_1'!C2023,'Zip Code Lines_1'!$Q$4:$Q$26,0),0)</f>
        <v>4.8</v>
      </c>
      <c r="F2023" s="344">
        <f ca="1">OFFSET('Zip Code Lines_1'!$Z$3,MATCH('Zip Code Lines_1'!C2023,'Zip Code Lines_1'!$Q$4:$Q$26,0),0)</f>
        <v>81.099999999999994</v>
      </c>
      <c r="G2023" s="342">
        <f ca="1">OFFSET('Zip Code Lines_1'!$AC$3,MATCH('Zip Code Lines_1'!C2023,'Zip Code Lines_1'!$Q$4:$Q$26,0),0)</f>
        <v>12</v>
      </c>
      <c r="H2023" s="342">
        <v>14727</v>
      </c>
    </row>
    <row r="2024" spans="2:8" x14ac:dyDescent="0.25">
      <c r="B2024" s="342">
        <v>14728</v>
      </c>
      <c r="C2024" s="343" t="s">
        <v>546</v>
      </c>
      <c r="D2024" s="343" t="str">
        <f ca="1">OFFSET('Zip Code Lines_1'!$U$3,MATCH('Zip Code Lines_1'!C2024,'Zip Code Lines_1'!$Q$4:$Q$26,0),0)</f>
        <v>Jamestown</v>
      </c>
      <c r="E2024" s="344">
        <f ca="1">OFFSET('Zip Code Lines_1'!$W$3,MATCH('Zip Code Lines_1'!C2024,'Zip Code Lines_1'!$Q$4:$Q$26,0),0)</f>
        <v>4.8</v>
      </c>
      <c r="F2024" s="344">
        <f ca="1">OFFSET('Zip Code Lines_1'!$Z$3,MATCH('Zip Code Lines_1'!C2024,'Zip Code Lines_1'!$Q$4:$Q$26,0),0)</f>
        <v>81.099999999999994</v>
      </c>
      <c r="G2024" s="342">
        <f ca="1">OFFSET('Zip Code Lines_1'!$AC$3,MATCH('Zip Code Lines_1'!C2024,'Zip Code Lines_1'!$Q$4:$Q$26,0),0)</f>
        <v>12</v>
      </c>
      <c r="H2024" s="342">
        <v>14728</v>
      </c>
    </row>
    <row r="2025" spans="2:8" x14ac:dyDescent="0.25">
      <c r="B2025" s="342">
        <v>14729</v>
      </c>
      <c r="C2025" s="343" t="s">
        <v>546</v>
      </c>
      <c r="D2025" s="343" t="str">
        <f ca="1">OFFSET('Zip Code Lines_1'!$U$3,MATCH('Zip Code Lines_1'!C2025,'Zip Code Lines_1'!$Q$4:$Q$26,0),0)</f>
        <v>Jamestown</v>
      </c>
      <c r="E2025" s="344">
        <f ca="1">OFFSET('Zip Code Lines_1'!$W$3,MATCH('Zip Code Lines_1'!C2025,'Zip Code Lines_1'!$Q$4:$Q$26,0),0)</f>
        <v>4.8</v>
      </c>
      <c r="F2025" s="344">
        <f ca="1">OFFSET('Zip Code Lines_1'!$Z$3,MATCH('Zip Code Lines_1'!C2025,'Zip Code Lines_1'!$Q$4:$Q$26,0),0)</f>
        <v>81.099999999999994</v>
      </c>
      <c r="G2025" s="342">
        <f ca="1">OFFSET('Zip Code Lines_1'!$AC$3,MATCH('Zip Code Lines_1'!C2025,'Zip Code Lines_1'!$Q$4:$Q$26,0),0)</f>
        <v>12</v>
      </c>
      <c r="H2025" s="342">
        <v>14729</v>
      </c>
    </row>
    <row r="2026" spans="2:8" x14ac:dyDescent="0.25">
      <c r="B2026" s="342">
        <v>14730</v>
      </c>
      <c r="C2026" s="343" t="s">
        <v>546</v>
      </c>
      <c r="D2026" s="343" t="str">
        <f ca="1">OFFSET('Zip Code Lines_1'!$U$3,MATCH('Zip Code Lines_1'!C2026,'Zip Code Lines_1'!$Q$4:$Q$26,0),0)</f>
        <v>Jamestown</v>
      </c>
      <c r="E2026" s="344">
        <f ca="1">OFFSET('Zip Code Lines_1'!$W$3,MATCH('Zip Code Lines_1'!C2026,'Zip Code Lines_1'!$Q$4:$Q$26,0),0)</f>
        <v>4.8</v>
      </c>
      <c r="F2026" s="344">
        <f ca="1">OFFSET('Zip Code Lines_1'!$Z$3,MATCH('Zip Code Lines_1'!C2026,'Zip Code Lines_1'!$Q$4:$Q$26,0),0)</f>
        <v>81.099999999999994</v>
      </c>
      <c r="G2026" s="342">
        <f ca="1">OFFSET('Zip Code Lines_1'!$AC$3,MATCH('Zip Code Lines_1'!C2026,'Zip Code Lines_1'!$Q$4:$Q$26,0),0)</f>
        <v>12</v>
      </c>
      <c r="H2026" s="342">
        <v>14730</v>
      </c>
    </row>
    <row r="2027" spans="2:8" x14ac:dyDescent="0.25">
      <c r="B2027" s="342">
        <v>14731</v>
      </c>
      <c r="C2027" s="343" t="s">
        <v>546</v>
      </c>
      <c r="D2027" s="343" t="str">
        <f ca="1">OFFSET('Zip Code Lines_1'!$U$3,MATCH('Zip Code Lines_1'!C2027,'Zip Code Lines_1'!$Q$4:$Q$26,0),0)</f>
        <v>Jamestown</v>
      </c>
      <c r="E2027" s="344">
        <f ca="1">OFFSET('Zip Code Lines_1'!$W$3,MATCH('Zip Code Lines_1'!C2027,'Zip Code Lines_1'!$Q$4:$Q$26,0),0)</f>
        <v>4.8</v>
      </c>
      <c r="F2027" s="344">
        <f ca="1">OFFSET('Zip Code Lines_1'!$Z$3,MATCH('Zip Code Lines_1'!C2027,'Zip Code Lines_1'!$Q$4:$Q$26,0),0)</f>
        <v>81.099999999999994</v>
      </c>
      <c r="G2027" s="342">
        <f ca="1">OFFSET('Zip Code Lines_1'!$AC$3,MATCH('Zip Code Lines_1'!C2027,'Zip Code Lines_1'!$Q$4:$Q$26,0),0)</f>
        <v>12</v>
      </c>
      <c r="H2027" s="342">
        <v>14731</v>
      </c>
    </row>
    <row r="2028" spans="2:8" x14ac:dyDescent="0.25">
      <c r="B2028" s="342">
        <v>14732</v>
      </c>
      <c r="C2028" s="343" t="s">
        <v>546</v>
      </c>
      <c r="D2028" s="343" t="str">
        <f ca="1">OFFSET('Zip Code Lines_1'!$U$3,MATCH('Zip Code Lines_1'!C2028,'Zip Code Lines_1'!$Q$4:$Q$26,0),0)</f>
        <v>Jamestown</v>
      </c>
      <c r="E2028" s="344">
        <f ca="1">OFFSET('Zip Code Lines_1'!$W$3,MATCH('Zip Code Lines_1'!C2028,'Zip Code Lines_1'!$Q$4:$Q$26,0),0)</f>
        <v>4.8</v>
      </c>
      <c r="F2028" s="344">
        <f ca="1">OFFSET('Zip Code Lines_1'!$Z$3,MATCH('Zip Code Lines_1'!C2028,'Zip Code Lines_1'!$Q$4:$Q$26,0),0)</f>
        <v>81.099999999999994</v>
      </c>
      <c r="G2028" s="342">
        <f ca="1">OFFSET('Zip Code Lines_1'!$AC$3,MATCH('Zip Code Lines_1'!C2028,'Zip Code Lines_1'!$Q$4:$Q$26,0),0)</f>
        <v>12</v>
      </c>
      <c r="H2028" s="342">
        <v>14732</v>
      </c>
    </row>
    <row r="2029" spans="2:8" x14ac:dyDescent="0.25">
      <c r="B2029" s="342">
        <v>14733</v>
      </c>
      <c r="C2029" s="343" t="s">
        <v>546</v>
      </c>
      <c r="D2029" s="343" t="str">
        <f ca="1">OFFSET('Zip Code Lines_1'!$U$3,MATCH('Zip Code Lines_1'!C2029,'Zip Code Lines_1'!$Q$4:$Q$26,0),0)</f>
        <v>Jamestown</v>
      </c>
      <c r="E2029" s="344">
        <f ca="1">OFFSET('Zip Code Lines_1'!$W$3,MATCH('Zip Code Lines_1'!C2029,'Zip Code Lines_1'!$Q$4:$Q$26,0),0)</f>
        <v>4.8</v>
      </c>
      <c r="F2029" s="344">
        <f ca="1">OFFSET('Zip Code Lines_1'!$Z$3,MATCH('Zip Code Lines_1'!C2029,'Zip Code Lines_1'!$Q$4:$Q$26,0),0)</f>
        <v>81.099999999999994</v>
      </c>
      <c r="G2029" s="342">
        <f ca="1">OFFSET('Zip Code Lines_1'!$AC$3,MATCH('Zip Code Lines_1'!C2029,'Zip Code Lines_1'!$Q$4:$Q$26,0),0)</f>
        <v>12</v>
      </c>
      <c r="H2029" s="342">
        <v>14733</v>
      </c>
    </row>
    <row r="2030" spans="2:8" x14ac:dyDescent="0.25">
      <c r="B2030" s="342">
        <v>14735</v>
      </c>
      <c r="C2030" s="343" t="s">
        <v>534</v>
      </c>
      <c r="D2030" s="343" t="str">
        <f ca="1">OFFSET('Zip Code Lines_1'!$U$3,MATCH('Zip Code Lines_1'!C2030,'Zip Code Lines_1'!$Q$4:$Q$26,0),0)</f>
        <v>Buffalo</v>
      </c>
      <c r="E2030" s="344">
        <f ca="1">OFFSET('Zip Code Lines_1'!$W$3,MATCH('Zip Code Lines_1'!C2030,'Zip Code Lines_1'!$Q$4:$Q$26,0),0)</f>
        <v>7.4</v>
      </c>
      <c r="F2030" s="344">
        <f ca="1">OFFSET('Zip Code Lines_1'!$Z$3,MATCH('Zip Code Lines_1'!C2030,'Zip Code Lines_1'!$Q$4:$Q$26,0),0)</f>
        <v>83.9</v>
      </c>
      <c r="G2030" s="342">
        <f ca="1">OFFSET('Zip Code Lines_1'!$AC$3,MATCH('Zip Code Lines_1'!C2030,'Zip Code Lines_1'!$Q$4:$Q$26,0),0)</f>
        <v>18</v>
      </c>
      <c r="H2030" s="342">
        <v>14735</v>
      </c>
    </row>
    <row r="2031" spans="2:8" x14ac:dyDescent="0.25">
      <c r="B2031" s="342">
        <v>14736</v>
      </c>
      <c r="C2031" s="343" t="s">
        <v>546</v>
      </c>
      <c r="D2031" s="343" t="str">
        <f ca="1">OFFSET('Zip Code Lines_1'!$U$3,MATCH('Zip Code Lines_1'!C2031,'Zip Code Lines_1'!$Q$4:$Q$26,0),0)</f>
        <v>Jamestown</v>
      </c>
      <c r="E2031" s="344">
        <f ca="1">OFFSET('Zip Code Lines_1'!$W$3,MATCH('Zip Code Lines_1'!C2031,'Zip Code Lines_1'!$Q$4:$Q$26,0),0)</f>
        <v>4.8</v>
      </c>
      <c r="F2031" s="344">
        <f ca="1">OFFSET('Zip Code Lines_1'!$Z$3,MATCH('Zip Code Lines_1'!C2031,'Zip Code Lines_1'!$Q$4:$Q$26,0),0)</f>
        <v>81.099999999999994</v>
      </c>
      <c r="G2031" s="342">
        <f ca="1">OFFSET('Zip Code Lines_1'!$AC$3,MATCH('Zip Code Lines_1'!C2031,'Zip Code Lines_1'!$Q$4:$Q$26,0),0)</f>
        <v>12</v>
      </c>
      <c r="H2031" s="342">
        <v>14736</v>
      </c>
    </row>
    <row r="2032" spans="2:8" x14ac:dyDescent="0.25">
      <c r="B2032" s="342">
        <v>14737</v>
      </c>
      <c r="C2032" s="343" t="s">
        <v>546</v>
      </c>
      <c r="D2032" s="343" t="str">
        <f ca="1">OFFSET('Zip Code Lines_1'!$U$3,MATCH('Zip Code Lines_1'!C2032,'Zip Code Lines_1'!$Q$4:$Q$26,0),0)</f>
        <v>Jamestown</v>
      </c>
      <c r="E2032" s="344">
        <f ca="1">OFFSET('Zip Code Lines_1'!$W$3,MATCH('Zip Code Lines_1'!C2032,'Zip Code Lines_1'!$Q$4:$Q$26,0),0)</f>
        <v>4.8</v>
      </c>
      <c r="F2032" s="344">
        <f ca="1">OFFSET('Zip Code Lines_1'!$Z$3,MATCH('Zip Code Lines_1'!C2032,'Zip Code Lines_1'!$Q$4:$Q$26,0),0)</f>
        <v>81.099999999999994</v>
      </c>
      <c r="G2032" s="342">
        <f ca="1">OFFSET('Zip Code Lines_1'!$AC$3,MATCH('Zip Code Lines_1'!C2032,'Zip Code Lines_1'!$Q$4:$Q$26,0),0)</f>
        <v>12</v>
      </c>
      <c r="H2032" s="342">
        <v>14737</v>
      </c>
    </row>
    <row r="2033" spans="2:8" x14ac:dyDescent="0.25">
      <c r="B2033" s="342">
        <v>14738</v>
      </c>
      <c r="C2033" s="343" t="s">
        <v>546</v>
      </c>
      <c r="D2033" s="343" t="str">
        <f ca="1">OFFSET('Zip Code Lines_1'!$U$3,MATCH('Zip Code Lines_1'!C2033,'Zip Code Lines_1'!$Q$4:$Q$26,0),0)</f>
        <v>Jamestown</v>
      </c>
      <c r="E2033" s="344">
        <f ca="1">OFFSET('Zip Code Lines_1'!$W$3,MATCH('Zip Code Lines_1'!C2033,'Zip Code Lines_1'!$Q$4:$Q$26,0),0)</f>
        <v>4.8</v>
      </c>
      <c r="F2033" s="344">
        <f ca="1">OFFSET('Zip Code Lines_1'!$Z$3,MATCH('Zip Code Lines_1'!C2033,'Zip Code Lines_1'!$Q$4:$Q$26,0),0)</f>
        <v>81.099999999999994</v>
      </c>
      <c r="G2033" s="342">
        <f ca="1">OFFSET('Zip Code Lines_1'!$AC$3,MATCH('Zip Code Lines_1'!C2033,'Zip Code Lines_1'!$Q$4:$Q$26,0),0)</f>
        <v>12</v>
      </c>
      <c r="H2033" s="342">
        <v>14738</v>
      </c>
    </row>
    <row r="2034" spans="2:8" x14ac:dyDescent="0.25">
      <c r="B2034" s="342">
        <v>14739</v>
      </c>
      <c r="C2034" s="343" t="s">
        <v>534</v>
      </c>
      <c r="D2034" s="343" t="str">
        <f ca="1">OFFSET('Zip Code Lines_1'!$U$3,MATCH('Zip Code Lines_1'!C2034,'Zip Code Lines_1'!$Q$4:$Q$26,0),0)</f>
        <v>Buffalo</v>
      </c>
      <c r="E2034" s="344">
        <f ca="1">OFFSET('Zip Code Lines_1'!$W$3,MATCH('Zip Code Lines_1'!C2034,'Zip Code Lines_1'!$Q$4:$Q$26,0),0)</f>
        <v>7.4</v>
      </c>
      <c r="F2034" s="344">
        <f ca="1">OFFSET('Zip Code Lines_1'!$Z$3,MATCH('Zip Code Lines_1'!C2034,'Zip Code Lines_1'!$Q$4:$Q$26,0),0)</f>
        <v>83.9</v>
      </c>
      <c r="G2034" s="342">
        <f ca="1">OFFSET('Zip Code Lines_1'!$AC$3,MATCH('Zip Code Lines_1'!C2034,'Zip Code Lines_1'!$Q$4:$Q$26,0),0)</f>
        <v>18</v>
      </c>
      <c r="H2034" s="342">
        <v>14739</v>
      </c>
    </row>
    <row r="2035" spans="2:8" x14ac:dyDescent="0.25">
      <c r="B2035" s="342">
        <v>14740</v>
      </c>
      <c r="C2035" s="343" t="s">
        <v>546</v>
      </c>
      <c r="D2035" s="343" t="str">
        <f ca="1">OFFSET('Zip Code Lines_1'!$U$3,MATCH('Zip Code Lines_1'!C2035,'Zip Code Lines_1'!$Q$4:$Q$26,0),0)</f>
        <v>Jamestown</v>
      </c>
      <c r="E2035" s="344">
        <f ca="1">OFFSET('Zip Code Lines_1'!$W$3,MATCH('Zip Code Lines_1'!C2035,'Zip Code Lines_1'!$Q$4:$Q$26,0),0)</f>
        <v>4.8</v>
      </c>
      <c r="F2035" s="344">
        <f ca="1">OFFSET('Zip Code Lines_1'!$Z$3,MATCH('Zip Code Lines_1'!C2035,'Zip Code Lines_1'!$Q$4:$Q$26,0),0)</f>
        <v>81.099999999999994</v>
      </c>
      <c r="G2035" s="342">
        <f ca="1">OFFSET('Zip Code Lines_1'!$AC$3,MATCH('Zip Code Lines_1'!C2035,'Zip Code Lines_1'!$Q$4:$Q$26,0),0)</f>
        <v>12</v>
      </c>
      <c r="H2035" s="342">
        <v>14740</v>
      </c>
    </row>
    <row r="2036" spans="2:8" x14ac:dyDescent="0.25">
      <c r="B2036" s="342">
        <v>14741</v>
      </c>
      <c r="C2036" s="343" t="s">
        <v>546</v>
      </c>
      <c r="D2036" s="343" t="str">
        <f ca="1">OFFSET('Zip Code Lines_1'!$U$3,MATCH('Zip Code Lines_1'!C2036,'Zip Code Lines_1'!$Q$4:$Q$26,0),0)</f>
        <v>Jamestown</v>
      </c>
      <c r="E2036" s="344">
        <f ca="1">OFFSET('Zip Code Lines_1'!$W$3,MATCH('Zip Code Lines_1'!C2036,'Zip Code Lines_1'!$Q$4:$Q$26,0),0)</f>
        <v>4.8</v>
      </c>
      <c r="F2036" s="344">
        <f ca="1">OFFSET('Zip Code Lines_1'!$Z$3,MATCH('Zip Code Lines_1'!C2036,'Zip Code Lines_1'!$Q$4:$Q$26,0),0)</f>
        <v>81.099999999999994</v>
      </c>
      <c r="G2036" s="342">
        <f ca="1">OFFSET('Zip Code Lines_1'!$AC$3,MATCH('Zip Code Lines_1'!C2036,'Zip Code Lines_1'!$Q$4:$Q$26,0),0)</f>
        <v>12</v>
      </c>
      <c r="H2036" s="342">
        <v>14741</v>
      </c>
    </row>
    <row r="2037" spans="2:8" x14ac:dyDescent="0.25">
      <c r="B2037" s="342">
        <v>14742</v>
      </c>
      <c r="C2037" s="343" t="s">
        <v>546</v>
      </c>
      <c r="D2037" s="343" t="str">
        <f ca="1">OFFSET('Zip Code Lines_1'!$U$3,MATCH('Zip Code Lines_1'!C2037,'Zip Code Lines_1'!$Q$4:$Q$26,0),0)</f>
        <v>Jamestown</v>
      </c>
      <c r="E2037" s="344">
        <f ca="1">OFFSET('Zip Code Lines_1'!$W$3,MATCH('Zip Code Lines_1'!C2037,'Zip Code Lines_1'!$Q$4:$Q$26,0),0)</f>
        <v>4.8</v>
      </c>
      <c r="F2037" s="344">
        <f ca="1">OFFSET('Zip Code Lines_1'!$Z$3,MATCH('Zip Code Lines_1'!C2037,'Zip Code Lines_1'!$Q$4:$Q$26,0),0)</f>
        <v>81.099999999999994</v>
      </c>
      <c r="G2037" s="342">
        <f ca="1">OFFSET('Zip Code Lines_1'!$AC$3,MATCH('Zip Code Lines_1'!C2037,'Zip Code Lines_1'!$Q$4:$Q$26,0),0)</f>
        <v>12</v>
      </c>
      <c r="H2037" s="342">
        <v>14742</v>
      </c>
    </row>
    <row r="2038" spans="2:8" x14ac:dyDescent="0.25">
      <c r="B2038" s="342">
        <v>14743</v>
      </c>
      <c r="C2038" s="343" t="s">
        <v>546</v>
      </c>
      <c r="D2038" s="343" t="str">
        <f ca="1">OFFSET('Zip Code Lines_1'!$U$3,MATCH('Zip Code Lines_1'!C2038,'Zip Code Lines_1'!$Q$4:$Q$26,0),0)</f>
        <v>Jamestown</v>
      </c>
      <c r="E2038" s="344">
        <f ca="1">OFFSET('Zip Code Lines_1'!$W$3,MATCH('Zip Code Lines_1'!C2038,'Zip Code Lines_1'!$Q$4:$Q$26,0),0)</f>
        <v>4.8</v>
      </c>
      <c r="F2038" s="344">
        <f ca="1">OFFSET('Zip Code Lines_1'!$Z$3,MATCH('Zip Code Lines_1'!C2038,'Zip Code Lines_1'!$Q$4:$Q$26,0),0)</f>
        <v>81.099999999999994</v>
      </c>
      <c r="G2038" s="342">
        <f ca="1">OFFSET('Zip Code Lines_1'!$AC$3,MATCH('Zip Code Lines_1'!C2038,'Zip Code Lines_1'!$Q$4:$Q$26,0),0)</f>
        <v>12</v>
      </c>
      <c r="H2038" s="342">
        <v>14743</v>
      </c>
    </row>
    <row r="2039" spans="2:8" x14ac:dyDescent="0.25">
      <c r="B2039" s="342">
        <v>14744</v>
      </c>
      <c r="C2039" s="343" t="s">
        <v>546</v>
      </c>
      <c r="D2039" s="343" t="str">
        <f ca="1">OFFSET('Zip Code Lines_1'!$U$3,MATCH('Zip Code Lines_1'!C2039,'Zip Code Lines_1'!$Q$4:$Q$26,0),0)</f>
        <v>Jamestown</v>
      </c>
      <c r="E2039" s="344">
        <f ca="1">OFFSET('Zip Code Lines_1'!$W$3,MATCH('Zip Code Lines_1'!C2039,'Zip Code Lines_1'!$Q$4:$Q$26,0),0)</f>
        <v>4.8</v>
      </c>
      <c r="F2039" s="344">
        <f ca="1">OFFSET('Zip Code Lines_1'!$Z$3,MATCH('Zip Code Lines_1'!C2039,'Zip Code Lines_1'!$Q$4:$Q$26,0),0)</f>
        <v>81.099999999999994</v>
      </c>
      <c r="G2039" s="342">
        <f ca="1">OFFSET('Zip Code Lines_1'!$AC$3,MATCH('Zip Code Lines_1'!C2039,'Zip Code Lines_1'!$Q$4:$Q$26,0),0)</f>
        <v>12</v>
      </c>
      <c r="H2039" s="342">
        <v>14744</v>
      </c>
    </row>
    <row r="2040" spans="2:8" x14ac:dyDescent="0.25">
      <c r="B2040" s="342">
        <v>14745</v>
      </c>
      <c r="C2040" s="343" t="s">
        <v>534</v>
      </c>
      <c r="D2040" s="343" t="str">
        <f ca="1">OFFSET('Zip Code Lines_1'!$U$3,MATCH('Zip Code Lines_1'!C2040,'Zip Code Lines_1'!$Q$4:$Q$26,0),0)</f>
        <v>Buffalo</v>
      </c>
      <c r="E2040" s="344">
        <f ca="1">OFFSET('Zip Code Lines_1'!$W$3,MATCH('Zip Code Lines_1'!C2040,'Zip Code Lines_1'!$Q$4:$Q$26,0),0)</f>
        <v>7.4</v>
      </c>
      <c r="F2040" s="344">
        <f ca="1">OFFSET('Zip Code Lines_1'!$Z$3,MATCH('Zip Code Lines_1'!C2040,'Zip Code Lines_1'!$Q$4:$Q$26,0),0)</f>
        <v>83.9</v>
      </c>
      <c r="G2040" s="342">
        <f ca="1">OFFSET('Zip Code Lines_1'!$AC$3,MATCH('Zip Code Lines_1'!C2040,'Zip Code Lines_1'!$Q$4:$Q$26,0),0)</f>
        <v>18</v>
      </c>
      <c r="H2040" s="342">
        <v>14745</v>
      </c>
    </row>
    <row r="2041" spans="2:8" x14ac:dyDescent="0.25">
      <c r="B2041" s="342">
        <v>14747</v>
      </c>
      <c r="C2041" s="343" t="s">
        <v>546</v>
      </c>
      <c r="D2041" s="343" t="str">
        <f ca="1">OFFSET('Zip Code Lines_1'!$U$3,MATCH('Zip Code Lines_1'!C2041,'Zip Code Lines_1'!$Q$4:$Q$26,0),0)</f>
        <v>Jamestown</v>
      </c>
      <c r="E2041" s="344">
        <f ca="1">OFFSET('Zip Code Lines_1'!$W$3,MATCH('Zip Code Lines_1'!C2041,'Zip Code Lines_1'!$Q$4:$Q$26,0),0)</f>
        <v>4.8</v>
      </c>
      <c r="F2041" s="344">
        <f ca="1">OFFSET('Zip Code Lines_1'!$Z$3,MATCH('Zip Code Lines_1'!C2041,'Zip Code Lines_1'!$Q$4:$Q$26,0),0)</f>
        <v>81.099999999999994</v>
      </c>
      <c r="G2041" s="342">
        <f ca="1">OFFSET('Zip Code Lines_1'!$AC$3,MATCH('Zip Code Lines_1'!C2041,'Zip Code Lines_1'!$Q$4:$Q$26,0),0)</f>
        <v>12</v>
      </c>
      <c r="H2041" s="342">
        <v>14747</v>
      </c>
    </row>
    <row r="2042" spans="2:8" x14ac:dyDescent="0.25">
      <c r="B2042" s="342">
        <v>14748</v>
      </c>
      <c r="C2042" s="343" t="s">
        <v>546</v>
      </c>
      <c r="D2042" s="343" t="str">
        <f ca="1">OFFSET('Zip Code Lines_1'!$U$3,MATCH('Zip Code Lines_1'!C2042,'Zip Code Lines_1'!$Q$4:$Q$26,0),0)</f>
        <v>Jamestown</v>
      </c>
      <c r="E2042" s="344">
        <f ca="1">OFFSET('Zip Code Lines_1'!$W$3,MATCH('Zip Code Lines_1'!C2042,'Zip Code Lines_1'!$Q$4:$Q$26,0),0)</f>
        <v>4.8</v>
      </c>
      <c r="F2042" s="344">
        <f ca="1">OFFSET('Zip Code Lines_1'!$Z$3,MATCH('Zip Code Lines_1'!C2042,'Zip Code Lines_1'!$Q$4:$Q$26,0),0)</f>
        <v>81.099999999999994</v>
      </c>
      <c r="G2042" s="342">
        <f ca="1">OFFSET('Zip Code Lines_1'!$AC$3,MATCH('Zip Code Lines_1'!C2042,'Zip Code Lines_1'!$Q$4:$Q$26,0),0)</f>
        <v>12</v>
      </c>
      <c r="H2042" s="342">
        <v>14748</v>
      </c>
    </row>
    <row r="2043" spans="2:8" x14ac:dyDescent="0.25">
      <c r="B2043" s="342">
        <v>14750</v>
      </c>
      <c r="C2043" s="343" t="s">
        <v>546</v>
      </c>
      <c r="D2043" s="343" t="str">
        <f ca="1">OFFSET('Zip Code Lines_1'!$U$3,MATCH('Zip Code Lines_1'!C2043,'Zip Code Lines_1'!$Q$4:$Q$26,0),0)</f>
        <v>Jamestown</v>
      </c>
      <c r="E2043" s="344">
        <f ca="1">OFFSET('Zip Code Lines_1'!$W$3,MATCH('Zip Code Lines_1'!C2043,'Zip Code Lines_1'!$Q$4:$Q$26,0),0)</f>
        <v>4.8</v>
      </c>
      <c r="F2043" s="344">
        <f ca="1">OFFSET('Zip Code Lines_1'!$Z$3,MATCH('Zip Code Lines_1'!C2043,'Zip Code Lines_1'!$Q$4:$Q$26,0),0)</f>
        <v>81.099999999999994</v>
      </c>
      <c r="G2043" s="342">
        <f ca="1">OFFSET('Zip Code Lines_1'!$AC$3,MATCH('Zip Code Lines_1'!C2043,'Zip Code Lines_1'!$Q$4:$Q$26,0),0)</f>
        <v>12</v>
      </c>
      <c r="H2043" s="342">
        <v>14750</v>
      </c>
    </row>
    <row r="2044" spans="2:8" x14ac:dyDescent="0.25">
      <c r="B2044" s="342">
        <v>14751</v>
      </c>
      <c r="C2044" s="343" t="s">
        <v>546</v>
      </c>
      <c r="D2044" s="343" t="str">
        <f ca="1">OFFSET('Zip Code Lines_1'!$U$3,MATCH('Zip Code Lines_1'!C2044,'Zip Code Lines_1'!$Q$4:$Q$26,0),0)</f>
        <v>Jamestown</v>
      </c>
      <c r="E2044" s="344">
        <f ca="1">OFFSET('Zip Code Lines_1'!$W$3,MATCH('Zip Code Lines_1'!C2044,'Zip Code Lines_1'!$Q$4:$Q$26,0),0)</f>
        <v>4.8</v>
      </c>
      <c r="F2044" s="344">
        <f ca="1">OFFSET('Zip Code Lines_1'!$Z$3,MATCH('Zip Code Lines_1'!C2044,'Zip Code Lines_1'!$Q$4:$Q$26,0),0)</f>
        <v>81.099999999999994</v>
      </c>
      <c r="G2044" s="342">
        <f ca="1">OFFSET('Zip Code Lines_1'!$AC$3,MATCH('Zip Code Lines_1'!C2044,'Zip Code Lines_1'!$Q$4:$Q$26,0),0)</f>
        <v>12</v>
      </c>
      <c r="H2044" s="342">
        <v>14751</v>
      </c>
    </row>
    <row r="2045" spans="2:8" x14ac:dyDescent="0.25">
      <c r="B2045" s="342">
        <v>14752</v>
      </c>
      <c r="C2045" s="343" t="s">
        <v>546</v>
      </c>
      <c r="D2045" s="343" t="str">
        <f ca="1">OFFSET('Zip Code Lines_1'!$U$3,MATCH('Zip Code Lines_1'!C2045,'Zip Code Lines_1'!$Q$4:$Q$26,0),0)</f>
        <v>Jamestown</v>
      </c>
      <c r="E2045" s="344">
        <f ca="1">OFFSET('Zip Code Lines_1'!$W$3,MATCH('Zip Code Lines_1'!C2045,'Zip Code Lines_1'!$Q$4:$Q$26,0),0)</f>
        <v>4.8</v>
      </c>
      <c r="F2045" s="344">
        <f ca="1">OFFSET('Zip Code Lines_1'!$Z$3,MATCH('Zip Code Lines_1'!C2045,'Zip Code Lines_1'!$Q$4:$Q$26,0),0)</f>
        <v>81.099999999999994</v>
      </c>
      <c r="G2045" s="342">
        <f ca="1">OFFSET('Zip Code Lines_1'!$AC$3,MATCH('Zip Code Lines_1'!C2045,'Zip Code Lines_1'!$Q$4:$Q$26,0),0)</f>
        <v>12</v>
      </c>
      <c r="H2045" s="342">
        <v>14752</v>
      </c>
    </row>
    <row r="2046" spans="2:8" x14ac:dyDescent="0.25">
      <c r="B2046" s="342">
        <v>14753</v>
      </c>
      <c r="C2046" s="343" t="s">
        <v>534</v>
      </c>
      <c r="D2046" s="343" t="str">
        <f ca="1">OFFSET('Zip Code Lines_1'!$U$3,MATCH('Zip Code Lines_1'!C2046,'Zip Code Lines_1'!$Q$4:$Q$26,0),0)</f>
        <v>Buffalo</v>
      </c>
      <c r="E2046" s="344">
        <f ca="1">OFFSET('Zip Code Lines_1'!$W$3,MATCH('Zip Code Lines_1'!C2046,'Zip Code Lines_1'!$Q$4:$Q$26,0),0)</f>
        <v>7.4</v>
      </c>
      <c r="F2046" s="344">
        <f ca="1">OFFSET('Zip Code Lines_1'!$Z$3,MATCH('Zip Code Lines_1'!C2046,'Zip Code Lines_1'!$Q$4:$Q$26,0),0)</f>
        <v>83.9</v>
      </c>
      <c r="G2046" s="342">
        <f ca="1">OFFSET('Zip Code Lines_1'!$AC$3,MATCH('Zip Code Lines_1'!C2046,'Zip Code Lines_1'!$Q$4:$Q$26,0),0)</f>
        <v>18</v>
      </c>
      <c r="H2046" s="342">
        <v>14753</v>
      </c>
    </row>
    <row r="2047" spans="2:8" x14ac:dyDescent="0.25">
      <c r="B2047" s="342">
        <v>14754</v>
      </c>
      <c r="C2047" s="343" t="s">
        <v>534</v>
      </c>
      <c r="D2047" s="343" t="str">
        <f ca="1">OFFSET('Zip Code Lines_1'!$U$3,MATCH('Zip Code Lines_1'!C2047,'Zip Code Lines_1'!$Q$4:$Q$26,0),0)</f>
        <v>Buffalo</v>
      </c>
      <c r="E2047" s="344">
        <f ca="1">OFFSET('Zip Code Lines_1'!$W$3,MATCH('Zip Code Lines_1'!C2047,'Zip Code Lines_1'!$Q$4:$Q$26,0),0)</f>
        <v>7.4</v>
      </c>
      <c r="F2047" s="344">
        <f ca="1">OFFSET('Zip Code Lines_1'!$Z$3,MATCH('Zip Code Lines_1'!C2047,'Zip Code Lines_1'!$Q$4:$Q$26,0),0)</f>
        <v>83.9</v>
      </c>
      <c r="G2047" s="342">
        <f ca="1">OFFSET('Zip Code Lines_1'!$AC$3,MATCH('Zip Code Lines_1'!C2047,'Zip Code Lines_1'!$Q$4:$Q$26,0),0)</f>
        <v>18</v>
      </c>
      <c r="H2047" s="342">
        <v>14754</v>
      </c>
    </row>
    <row r="2048" spans="2:8" x14ac:dyDescent="0.25">
      <c r="B2048" s="342">
        <v>14755</v>
      </c>
      <c r="C2048" s="343" t="s">
        <v>534</v>
      </c>
      <c r="D2048" s="343" t="str">
        <f ca="1">OFFSET('Zip Code Lines_1'!$U$3,MATCH('Zip Code Lines_1'!C2048,'Zip Code Lines_1'!$Q$4:$Q$26,0),0)</f>
        <v>Buffalo</v>
      </c>
      <c r="E2048" s="344">
        <f ca="1">OFFSET('Zip Code Lines_1'!$W$3,MATCH('Zip Code Lines_1'!C2048,'Zip Code Lines_1'!$Q$4:$Q$26,0),0)</f>
        <v>7.4</v>
      </c>
      <c r="F2048" s="344">
        <f ca="1">OFFSET('Zip Code Lines_1'!$Z$3,MATCH('Zip Code Lines_1'!C2048,'Zip Code Lines_1'!$Q$4:$Q$26,0),0)</f>
        <v>83.9</v>
      </c>
      <c r="G2048" s="342">
        <f ca="1">OFFSET('Zip Code Lines_1'!$AC$3,MATCH('Zip Code Lines_1'!C2048,'Zip Code Lines_1'!$Q$4:$Q$26,0),0)</f>
        <v>18</v>
      </c>
      <c r="H2048" s="342">
        <v>14755</v>
      </c>
    </row>
    <row r="2049" spans="2:8" x14ac:dyDescent="0.25">
      <c r="B2049" s="342">
        <v>14756</v>
      </c>
      <c r="C2049" s="343" t="s">
        <v>546</v>
      </c>
      <c r="D2049" s="343" t="str">
        <f ca="1">OFFSET('Zip Code Lines_1'!$U$3,MATCH('Zip Code Lines_1'!C2049,'Zip Code Lines_1'!$Q$4:$Q$26,0),0)</f>
        <v>Jamestown</v>
      </c>
      <c r="E2049" s="344">
        <f ca="1">OFFSET('Zip Code Lines_1'!$W$3,MATCH('Zip Code Lines_1'!C2049,'Zip Code Lines_1'!$Q$4:$Q$26,0),0)</f>
        <v>4.8</v>
      </c>
      <c r="F2049" s="344">
        <f ca="1">OFFSET('Zip Code Lines_1'!$Z$3,MATCH('Zip Code Lines_1'!C2049,'Zip Code Lines_1'!$Q$4:$Q$26,0),0)</f>
        <v>81.099999999999994</v>
      </c>
      <c r="G2049" s="342">
        <f ca="1">OFFSET('Zip Code Lines_1'!$AC$3,MATCH('Zip Code Lines_1'!C2049,'Zip Code Lines_1'!$Q$4:$Q$26,0),0)</f>
        <v>12</v>
      </c>
      <c r="H2049" s="342">
        <v>14756</v>
      </c>
    </row>
    <row r="2050" spans="2:8" x14ac:dyDescent="0.25">
      <c r="B2050" s="342">
        <v>14757</v>
      </c>
      <c r="C2050" s="343" t="s">
        <v>546</v>
      </c>
      <c r="D2050" s="343" t="str">
        <f ca="1">OFFSET('Zip Code Lines_1'!$U$3,MATCH('Zip Code Lines_1'!C2050,'Zip Code Lines_1'!$Q$4:$Q$26,0),0)</f>
        <v>Jamestown</v>
      </c>
      <c r="E2050" s="344">
        <f ca="1">OFFSET('Zip Code Lines_1'!$W$3,MATCH('Zip Code Lines_1'!C2050,'Zip Code Lines_1'!$Q$4:$Q$26,0),0)</f>
        <v>4.8</v>
      </c>
      <c r="F2050" s="344">
        <f ca="1">OFFSET('Zip Code Lines_1'!$Z$3,MATCH('Zip Code Lines_1'!C2050,'Zip Code Lines_1'!$Q$4:$Q$26,0),0)</f>
        <v>81.099999999999994</v>
      </c>
      <c r="G2050" s="342">
        <f ca="1">OFFSET('Zip Code Lines_1'!$AC$3,MATCH('Zip Code Lines_1'!C2050,'Zip Code Lines_1'!$Q$4:$Q$26,0),0)</f>
        <v>12</v>
      </c>
      <c r="H2050" s="342">
        <v>14757</v>
      </c>
    </row>
    <row r="2051" spans="2:8" x14ac:dyDescent="0.25">
      <c r="B2051" s="342">
        <v>14758</v>
      </c>
      <c r="C2051" s="343" t="s">
        <v>546</v>
      </c>
      <c r="D2051" s="343" t="str">
        <f ca="1">OFFSET('Zip Code Lines_1'!$U$3,MATCH('Zip Code Lines_1'!C2051,'Zip Code Lines_1'!$Q$4:$Q$26,0),0)</f>
        <v>Jamestown</v>
      </c>
      <c r="E2051" s="344">
        <f ca="1">OFFSET('Zip Code Lines_1'!$W$3,MATCH('Zip Code Lines_1'!C2051,'Zip Code Lines_1'!$Q$4:$Q$26,0),0)</f>
        <v>4.8</v>
      </c>
      <c r="F2051" s="344">
        <f ca="1">OFFSET('Zip Code Lines_1'!$Z$3,MATCH('Zip Code Lines_1'!C2051,'Zip Code Lines_1'!$Q$4:$Q$26,0),0)</f>
        <v>81.099999999999994</v>
      </c>
      <c r="G2051" s="342">
        <f ca="1">OFFSET('Zip Code Lines_1'!$AC$3,MATCH('Zip Code Lines_1'!C2051,'Zip Code Lines_1'!$Q$4:$Q$26,0),0)</f>
        <v>12</v>
      </c>
      <c r="H2051" s="342">
        <v>14758</v>
      </c>
    </row>
    <row r="2052" spans="2:8" x14ac:dyDescent="0.25">
      <c r="B2052" s="342">
        <v>14760</v>
      </c>
      <c r="C2052" s="343" t="s">
        <v>534</v>
      </c>
      <c r="D2052" s="343" t="str">
        <f ca="1">OFFSET('Zip Code Lines_1'!$U$3,MATCH('Zip Code Lines_1'!C2052,'Zip Code Lines_1'!$Q$4:$Q$26,0),0)</f>
        <v>Buffalo</v>
      </c>
      <c r="E2052" s="344">
        <f ca="1">OFFSET('Zip Code Lines_1'!$W$3,MATCH('Zip Code Lines_1'!C2052,'Zip Code Lines_1'!$Q$4:$Q$26,0),0)</f>
        <v>7.4</v>
      </c>
      <c r="F2052" s="344">
        <f ca="1">OFFSET('Zip Code Lines_1'!$Z$3,MATCH('Zip Code Lines_1'!C2052,'Zip Code Lines_1'!$Q$4:$Q$26,0),0)</f>
        <v>83.9</v>
      </c>
      <c r="G2052" s="342">
        <f ca="1">OFFSET('Zip Code Lines_1'!$AC$3,MATCH('Zip Code Lines_1'!C2052,'Zip Code Lines_1'!$Q$4:$Q$26,0),0)</f>
        <v>18</v>
      </c>
      <c r="H2052" s="342">
        <v>14760</v>
      </c>
    </row>
    <row r="2053" spans="2:8" x14ac:dyDescent="0.25">
      <c r="B2053" s="342">
        <v>14766</v>
      </c>
      <c r="C2053" s="343" t="s">
        <v>534</v>
      </c>
      <c r="D2053" s="343" t="str">
        <f ca="1">OFFSET('Zip Code Lines_1'!$U$3,MATCH('Zip Code Lines_1'!C2053,'Zip Code Lines_1'!$Q$4:$Q$26,0),0)</f>
        <v>Buffalo</v>
      </c>
      <c r="E2053" s="344">
        <f ca="1">OFFSET('Zip Code Lines_1'!$W$3,MATCH('Zip Code Lines_1'!C2053,'Zip Code Lines_1'!$Q$4:$Q$26,0),0)</f>
        <v>7.4</v>
      </c>
      <c r="F2053" s="344">
        <f ca="1">OFFSET('Zip Code Lines_1'!$Z$3,MATCH('Zip Code Lines_1'!C2053,'Zip Code Lines_1'!$Q$4:$Q$26,0),0)</f>
        <v>83.9</v>
      </c>
      <c r="G2053" s="342">
        <f ca="1">OFFSET('Zip Code Lines_1'!$AC$3,MATCH('Zip Code Lines_1'!C2053,'Zip Code Lines_1'!$Q$4:$Q$26,0),0)</f>
        <v>18</v>
      </c>
      <c r="H2053" s="342">
        <v>14766</v>
      </c>
    </row>
    <row r="2054" spans="2:8" x14ac:dyDescent="0.25">
      <c r="B2054" s="342">
        <v>14767</v>
      </c>
      <c r="C2054" s="343" t="s">
        <v>546</v>
      </c>
      <c r="D2054" s="343" t="str">
        <f ca="1">OFFSET('Zip Code Lines_1'!$U$3,MATCH('Zip Code Lines_1'!C2054,'Zip Code Lines_1'!$Q$4:$Q$26,0),0)</f>
        <v>Jamestown</v>
      </c>
      <c r="E2054" s="344">
        <f ca="1">OFFSET('Zip Code Lines_1'!$W$3,MATCH('Zip Code Lines_1'!C2054,'Zip Code Lines_1'!$Q$4:$Q$26,0),0)</f>
        <v>4.8</v>
      </c>
      <c r="F2054" s="344">
        <f ca="1">OFFSET('Zip Code Lines_1'!$Z$3,MATCH('Zip Code Lines_1'!C2054,'Zip Code Lines_1'!$Q$4:$Q$26,0),0)</f>
        <v>81.099999999999994</v>
      </c>
      <c r="G2054" s="342">
        <f ca="1">OFFSET('Zip Code Lines_1'!$AC$3,MATCH('Zip Code Lines_1'!C2054,'Zip Code Lines_1'!$Q$4:$Q$26,0),0)</f>
        <v>12</v>
      </c>
      <c r="H2054" s="342">
        <v>14767</v>
      </c>
    </row>
    <row r="2055" spans="2:8" x14ac:dyDescent="0.25">
      <c r="B2055" s="342">
        <v>14769</v>
      </c>
      <c r="C2055" s="343" t="s">
        <v>546</v>
      </c>
      <c r="D2055" s="343" t="str">
        <f ca="1">OFFSET('Zip Code Lines_1'!$U$3,MATCH('Zip Code Lines_1'!C2055,'Zip Code Lines_1'!$Q$4:$Q$26,0),0)</f>
        <v>Jamestown</v>
      </c>
      <c r="E2055" s="344">
        <f ca="1">OFFSET('Zip Code Lines_1'!$W$3,MATCH('Zip Code Lines_1'!C2055,'Zip Code Lines_1'!$Q$4:$Q$26,0),0)</f>
        <v>4.8</v>
      </c>
      <c r="F2055" s="344">
        <f ca="1">OFFSET('Zip Code Lines_1'!$Z$3,MATCH('Zip Code Lines_1'!C2055,'Zip Code Lines_1'!$Q$4:$Q$26,0),0)</f>
        <v>81.099999999999994</v>
      </c>
      <c r="G2055" s="342">
        <f ca="1">OFFSET('Zip Code Lines_1'!$AC$3,MATCH('Zip Code Lines_1'!C2055,'Zip Code Lines_1'!$Q$4:$Q$26,0),0)</f>
        <v>12</v>
      </c>
      <c r="H2055" s="342">
        <v>14769</v>
      </c>
    </row>
    <row r="2056" spans="2:8" x14ac:dyDescent="0.25">
      <c r="B2056" s="342">
        <v>14770</v>
      </c>
      <c r="C2056" s="343" t="s">
        <v>534</v>
      </c>
      <c r="D2056" s="343" t="str">
        <f ca="1">OFFSET('Zip Code Lines_1'!$U$3,MATCH('Zip Code Lines_1'!C2056,'Zip Code Lines_1'!$Q$4:$Q$26,0),0)</f>
        <v>Buffalo</v>
      </c>
      <c r="E2056" s="344">
        <f ca="1">OFFSET('Zip Code Lines_1'!$W$3,MATCH('Zip Code Lines_1'!C2056,'Zip Code Lines_1'!$Q$4:$Q$26,0),0)</f>
        <v>7.4</v>
      </c>
      <c r="F2056" s="344">
        <f ca="1">OFFSET('Zip Code Lines_1'!$Z$3,MATCH('Zip Code Lines_1'!C2056,'Zip Code Lines_1'!$Q$4:$Q$26,0),0)</f>
        <v>83.9</v>
      </c>
      <c r="G2056" s="342">
        <f ca="1">OFFSET('Zip Code Lines_1'!$AC$3,MATCH('Zip Code Lines_1'!C2056,'Zip Code Lines_1'!$Q$4:$Q$26,0),0)</f>
        <v>18</v>
      </c>
      <c r="H2056" s="342">
        <v>14770</v>
      </c>
    </row>
    <row r="2057" spans="2:8" x14ac:dyDescent="0.25">
      <c r="B2057" s="342">
        <v>14772</v>
      </c>
      <c r="C2057" s="343" t="s">
        <v>546</v>
      </c>
      <c r="D2057" s="343" t="str">
        <f ca="1">OFFSET('Zip Code Lines_1'!$U$3,MATCH('Zip Code Lines_1'!C2057,'Zip Code Lines_1'!$Q$4:$Q$26,0),0)</f>
        <v>Jamestown</v>
      </c>
      <c r="E2057" s="344">
        <f ca="1">OFFSET('Zip Code Lines_1'!$W$3,MATCH('Zip Code Lines_1'!C2057,'Zip Code Lines_1'!$Q$4:$Q$26,0),0)</f>
        <v>4.8</v>
      </c>
      <c r="F2057" s="344">
        <f ca="1">OFFSET('Zip Code Lines_1'!$Z$3,MATCH('Zip Code Lines_1'!C2057,'Zip Code Lines_1'!$Q$4:$Q$26,0),0)</f>
        <v>81.099999999999994</v>
      </c>
      <c r="G2057" s="342">
        <f ca="1">OFFSET('Zip Code Lines_1'!$AC$3,MATCH('Zip Code Lines_1'!C2057,'Zip Code Lines_1'!$Q$4:$Q$26,0),0)</f>
        <v>12</v>
      </c>
      <c r="H2057" s="342">
        <v>14772</v>
      </c>
    </row>
    <row r="2058" spans="2:8" x14ac:dyDescent="0.25">
      <c r="B2058" s="342">
        <v>14774</v>
      </c>
      <c r="C2058" s="343" t="s">
        <v>546</v>
      </c>
      <c r="D2058" s="343" t="str">
        <f ca="1">OFFSET('Zip Code Lines_1'!$U$3,MATCH('Zip Code Lines_1'!C2058,'Zip Code Lines_1'!$Q$4:$Q$26,0),0)</f>
        <v>Jamestown</v>
      </c>
      <c r="E2058" s="344">
        <f ca="1">OFFSET('Zip Code Lines_1'!$W$3,MATCH('Zip Code Lines_1'!C2058,'Zip Code Lines_1'!$Q$4:$Q$26,0),0)</f>
        <v>4.8</v>
      </c>
      <c r="F2058" s="344">
        <f ca="1">OFFSET('Zip Code Lines_1'!$Z$3,MATCH('Zip Code Lines_1'!C2058,'Zip Code Lines_1'!$Q$4:$Q$26,0),0)</f>
        <v>81.099999999999994</v>
      </c>
      <c r="G2058" s="342">
        <f ca="1">OFFSET('Zip Code Lines_1'!$AC$3,MATCH('Zip Code Lines_1'!C2058,'Zip Code Lines_1'!$Q$4:$Q$26,0),0)</f>
        <v>12</v>
      </c>
      <c r="H2058" s="342">
        <v>14774</v>
      </c>
    </row>
    <row r="2059" spans="2:8" x14ac:dyDescent="0.25">
      <c r="B2059" s="342">
        <v>14775</v>
      </c>
      <c r="C2059" s="343" t="s">
        <v>546</v>
      </c>
      <c r="D2059" s="343" t="str">
        <f ca="1">OFFSET('Zip Code Lines_1'!$U$3,MATCH('Zip Code Lines_1'!C2059,'Zip Code Lines_1'!$Q$4:$Q$26,0),0)</f>
        <v>Jamestown</v>
      </c>
      <c r="E2059" s="344">
        <f ca="1">OFFSET('Zip Code Lines_1'!$W$3,MATCH('Zip Code Lines_1'!C2059,'Zip Code Lines_1'!$Q$4:$Q$26,0),0)</f>
        <v>4.8</v>
      </c>
      <c r="F2059" s="344">
        <f ca="1">OFFSET('Zip Code Lines_1'!$Z$3,MATCH('Zip Code Lines_1'!C2059,'Zip Code Lines_1'!$Q$4:$Q$26,0),0)</f>
        <v>81.099999999999994</v>
      </c>
      <c r="G2059" s="342">
        <f ca="1">OFFSET('Zip Code Lines_1'!$AC$3,MATCH('Zip Code Lines_1'!C2059,'Zip Code Lines_1'!$Q$4:$Q$26,0),0)</f>
        <v>12</v>
      </c>
      <c r="H2059" s="342">
        <v>14775</v>
      </c>
    </row>
    <row r="2060" spans="2:8" x14ac:dyDescent="0.25">
      <c r="B2060" s="342">
        <v>14777</v>
      </c>
      <c r="C2060" s="343" t="s">
        <v>546</v>
      </c>
      <c r="D2060" s="343" t="str">
        <f ca="1">OFFSET('Zip Code Lines_1'!$U$3,MATCH('Zip Code Lines_1'!C2060,'Zip Code Lines_1'!$Q$4:$Q$26,0),0)</f>
        <v>Jamestown</v>
      </c>
      <c r="E2060" s="344">
        <f ca="1">OFFSET('Zip Code Lines_1'!$W$3,MATCH('Zip Code Lines_1'!C2060,'Zip Code Lines_1'!$Q$4:$Q$26,0),0)</f>
        <v>4.8</v>
      </c>
      <c r="F2060" s="344">
        <f ca="1">OFFSET('Zip Code Lines_1'!$Z$3,MATCH('Zip Code Lines_1'!C2060,'Zip Code Lines_1'!$Q$4:$Q$26,0),0)</f>
        <v>81.099999999999994</v>
      </c>
      <c r="G2060" s="342">
        <f ca="1">OFFSET('Zip Code Lines_1'!$AC$3,MATCH('Zip Code Lines_1'!C2060,'Zip Code Lines_1'!$Q$4:$Q$26,0),0)</f>
        <v>12</v>
      </c>
      <c r="H2060" s="342">
        <v>14777</v>
      </c>
    </row>
    <row r="2061" spans="2:8" x14ac:dyDescent="0.25">
      <c r="B2061" s="342">
        <v>14778</v>
      </c>
      <c r="C2061" s="343" t="s">
        <v>534</v>
      </c>
      <c r="D2061" s="343" t="str">
        <f ca="1">OFFSET('Zip Code Lines_1'!$U$3,MATCH('Zip Code Lines_1'!C2061,'Zip Code Lines_1'!$Q$4:$Q$26,0),0)</f>
        <v>Buffalo</v>
      </c>
      <c r="E2061" s="344">
        <f ca="1">OFFSET('Zip Code Lines_1'!$W$3,MATCH('Zip Code Lines_1'!C2061,'Zip Code Lines_1'!$Q$4:$Q$26,0),0)</f>
        <v>7.4</v>
      </c>
      <c r="F2061" s="344">
        <f ca="1">OFFSET('Zip Code Lines_1'!$Z$3,MATCH('Zip Code Lines_1'!C2061,'Zip Code Lines_1'!$Q$4:$Q$26,0),0)</f>
        <v>83.9</v>
      </c>
      <c r="G2061" s="342">
        <f ca="1">OFFSET('Zip Code Lines_1'!$AC$3,MATCH('Zip Code Lines_1'!C2061,'Zip Code Lines_1'!$Q$4:$Q$26,0),0)</f>
        <v>18</v>
      </c>
      <c r="H2061" s="342">
        <v>14778</v>
      </c>
    </row>
    <row r="2062" spans="2:8" x14ac:dyDescent="0.25">
      <c r="B2062" s="342">
        <v>14779</v>
      </c>
      <c r="C2062" s="343" t="s">
        <v>546</v>
      </c>
      <c r="D2062" s="343" t="str">
        <f ca="1">OFFSET('Zip Code Lines_1'!$U$3,MATCH('Zip Code Lines_1'!C2062,'Zip Code Lines_1'!$Q$4:$Q$26,0),0)</f>
        <v>Jamestown</v>
      </c>
      <c r="E2062" s="344">
        <f ca="1">OFFSET('Zip Code Lines_1'!$W$3,MATCH('Zip Code Lines_1'!C2062,'Zip Code Lines_1'!$Q$4:$Q$26,0),0)</f>
        <v>4.8</v>
      </c>
      <c r="F2062" s="344">
        <f ca="1">OFFSET('Zip Code Lines_1'!$Z$3,MATCH('Zip Code Lines_1'!C2062,'Zip Code Lines_1'!$Q$4:$Q$26,0),0)</f>
        <v>81.099999999999994</v>
      </c>
      <c r="G2062" s="342">
        <f ca="1">OFFSET('Zip Code Lines_1'!$AC$3,MATCH('Zip Code Lines_1'!C2062,'Zip Code Lines_1'!$Q$4:$Q$26,0),0)</f>
        <v>12</v>
      </c>
      <c r="H2062" s="342">
        <v>14779</v>
      </c>
    </row>
    <row r="2063" spans="2:8" x14ac:dyDescent="0.25">
      <c r="B2063" s="342">
        <v>14781</v>
      </c>
      <c r="C2063" s="343" t="s">
        <v>546</v>
      </c>
      <c r="D2063" s="343" t="str">
        <f ca="1">OFFSET('Zip Code Lines_1'!$U$3,MATCH('Zip Code Lines_1'!C2063,'Zip Code Lines_1'!$Q$4:$Q$26,0),0)</f>
        <v>Jamestown</v>
      </c>
      <c r="E2063" s="344">
        <f ca="1">OFFSET('Zip Code Lines_1'!$W$3,MATCH('Zip Code Lines_1'!C2063,'Zip Code Lines_1'!$Q$4:$Q$26,0),0)</f>
        <v>4.8</v>
      </c>
      <c r="F2063" s="344">
        <f ca="1">OFFSET('Zip Code Lines_1'!$Z$3,MATCH('Zip Code Lines_1'!C2063,'Zip Code Lines_1'!$Q$4:$Q$26,0),0)</f>
        <v>81.099999999999994</v>
      </c>
      <c r="G2063" s="342">
        <f ca="1">OFFSET('Zip Code Lines_1'!$AC$3,MATCH('Zip Code Lines_1'!C2063,'Zip Code Lines_1'!$Q$4:$Q$26,0),0)</f>
        <v>12</v>
      </c>
      <c r="H2063" s="342">
        <v>14781</v>
      </c>
    </row>
    <row r="2064" spans="2:8" x14ac:dyDescent="0.25">
      <c r="B2064" s="342">
        <v>14782</v>
      </c>
      <c r="C2064" s="343" t="s">
        <v>546</v>
      </c>
      <c r="D2064" s="343" t="str">
        <f ca="1">OFFSET('Zip Code Lines_1'!$U$3,MATCH('Zip Code Lines_1'!C2064,'Zip Code Lines_1'!$Q$4:$Q$26,0),0)</f>
        <v>Jamestown</v>
      </c>
      <c r="E2064" s="344">
        <f ca="1">OFFSET('Zip Code Lines_1'!$W$3,MATCH('Zip Code Lines_1'!C2064,'Zip Code Lines_1'!$Q$4:$Q$26,0),0)</f>
        <v>4.8</v>
      </c>
      <c r="F2064" s="344">
        <f ca="1">OFFSET('Zip Code Lines_1'!$Z$3,MATCH('Zip Code Lines_1'!C2064,'Zip Code Lines_1'!$Q$4:$Q$26,0),0)</f>
        <v>81.099999999999994</v>
      </c>
      <c r="G2064" s="342">
        <f ca="1">OFFSET('Zip Code Lines_1'!$AC$3,MATCH('Zip Code Lines_1'!C2064,'Zip Code Lines_1'!$Q$4:$Q$26,0),0)</f>
        <v>12</v>
      </c>
      <c r="H2064" s="342">
        <v>14782</v>
      </c>
    </row>
    <row r="2065" spans="2:8" x14ac:dyDescent="0.25">
      <c r="B2065" s="342">
        <v>14783</v>
      </c>
      <c r="C2065" s="343" t="s">
        <v>546</v>
      </c>
      <c r="D2065" s="343" t="str">
        <f ca="1">OFFSET('Zip Code Lines_1'!$U$3,MATCH('Zip Code Lines_1'!C2065,'Zip Code Lines_1'!$Q$4:$Q$26,0),0)</f>
        <v>Jamestown</v>
      </c>
      <c r="E2065" s="344">
        <f ca="1">OFFSET('Zip Code Lines_1'!$W$3,MATCH('Zip Code Lines_1'!C2065,'Zip Code Lines_1'!$Q$4:$Q$26,0),0)</f>
        <v>4.8</v>
      </c>
      <c r="F2065" s="344">
        <f ca="1">OFFSET('Zip Code Lines_1'!$Z$3,MATCH('Zip Code Lines_1'!C2065,'Zip Code Lines_1'!$Q$4:$Q$26,0),0)</f>
        <v>81.099999999999994</v>
      </c>
      <c r="G2065" s="342">
        <f ca="1">OFFSET('Zip Code Lines_1'!$AC$3,MATCH('Zip Code Lines_1'!C2065,'Zip Code Lines_1'!$Q$4:$Q$26,0),0)</f>
        <v>12</v>
      </c>
      <c r="H2065" s="342">
        <v>14783</v>
      </c>
    </row>
    <row r="2066" spans="2:8" x14ac:dyDescent="0.25">
      <c r="B2066" s="342">
        <v>14784</v>
      </c>
      <c r="C2066" s="343" t="s">
        <v>546</v>
      </c>
      <c r="D2066" s="343" t="str">
        <f ca="1">OFFSET('Zip Code Lines_1'!$U$3,MATCH('Zip Code Lines_1'!C2066,'Zip Code Lines_1'!$Q$4:$Q$26,0),0)</f>
        <v>Jamestown</v>
      </c>
      <c r="E2066" s="344">
        <f ca="1">OFFSET('Zip Code Lines_1'!$W$3,MATCH('Zip Code Lines_1'!C2066,'Zip Code Lines_1'!$Q$4:$Q$26,0),0)</f>
        <v>4.8</v>
      </c>
      <c r="F2066" s="344">
        <f ca="1">OFFSET('Zip Code Lines_1'!$Z$3,MATCH('Zip Code Lines_1'!C2066,'Zip Code Lines_1'!$Q$4:$Q$26,0),0)</f>
        <v>81.099999999999994</v>
      </c>
      <c r="G2066" s="342">
        <f ca="1">OFFSET('Zip Code Lines_1'!$AC$3,MATCH('Zip Code Lines_1'!C2066,'Zip Code Lines_1'!$Q$4:$Q$26,0),0)</f>
        <v>12</v>
      </c>
      <c r="H2066" s="342">
        <v>14784</v>
      </c>
    </row>
    <row r="2067" spans="2:8" x14ac:dyDescent="0.25">
      <c r="B2067" s="342">
        <v>14785</v>
      </c>
      <c r="C2067" s="343" t="s">
        <v>546</v>
      </c>
      <c r="D2067" s="343" t="str">
        <f ca="1">OFFSET('Zip Code Lines_1'!$U$3,MATCH('Zip Code Lines_1'!C2067,'Zip Code Lines_1'!$Q$4:$Q$26,0),0)</f>
        <v>Jamestown</v>
      </c>
      <c r="E2067" s="344">
        <f ca="1">OFFSET('Zip Code Lines_1'!$W$3,MATCH('Zip Code Lines_1'!C2067,'Zip Code Lines_1'!$Q$4:$Q$26,0),0)</f>
        <v>4.8</v>
      </c>
      <c r="F2067" s="344">
        <f ca="1">OFFSET('Zip Code Lines_1'!$Z$3,MATCH('Zip Code Lines_1'!C2067,'Zip Code Lines_1'!$Q$4:$Q$26,0),0)</f>
        <v>81.099999999999994</v>
      </c>
      <c r="G2067" s="342">
        <f ca="1">OFFSET('Zip Code Lines_1'!$AC$3,MATCH('Zip Code Lines_1'!C2067,'Zip Code Lines_1'!$Q$4:$Q$26,0),0)</f>
        <v>12</v>
      </c>
      <c r="H2067" s="342">
        <v>14785</v>
      </c>
    </row>
    <row r="2068" spans="2:8" x14ac:dyDescent="0.25">
      <c r="B2068" s="342">
        <v>14786</v>
      </c>
      <c r="C2068" s="343" t="s">
        <v>534</v>
      </c>
      <c r="D2068" s="343" t="str">
        <f ca="1">OFFSET('Zip Code Lines_1'!$U$3,MATCH('Zip Code Lines_1'!C2068,'Zip Code Lines_1'!$Q$4:$Q$26,0),0)</f>
        <v>Buffalo</v>
      </c>
      <c r="E2068" s="344">
        <f ca="1">OFFSET('Zip Code Lines_1'!$W$3,MATCH('Zip Code Lines_1'!C2068,'Zip Code Lines_1'!$Q$4:$Q$26,0),0)</f>
        <v>7.4</v>
      </c>
      <c r="F2068" s="344">
        <f ca="1">OFFSET('Zip Code Lines_1'!$Z$3,MATCH('Zip Code Lines_1'!C2068,'Zip Code Lines_1'!$Q$4:$Q$26,0),0)</f>
        <v>83.9</v>
      </c>
      <c r="G2068" s="342">
        <f ca="1">OFFSET('Zip Code Lines_1'!$AC$3,MATCH('Zip Code Lines_1'!C2068,'Zip Code Lines_1'!$Q$4:$Q$26,0),0)</f>
        <v>18</v>
      </c>
      <c r="H2068" s="342">
        <v>14786</v>
      </c>
    </row>
    <row r="2069" spans="2:8" x14ac:dyDescent="0.25">
      <c r="B2069" s="342">
        <v>14787</v>
      </c>
      <c r="C2069" s="343" t="s">
        <v>546</v>
      </c>
      <c r="D2069" s="343" t="str">
        <f ca="1">OFFSET('Zip Code Lines_1'!$U$3,MATCH('Zip Code Lines_1'!C2069,'Zip Code Lines_1'!$Q$4:$Q$26,0),0)</f>
        <v>Jamestown</v>
      </c>
      <c r="E2069" s="344">
        <f ca="1">OFFSET('Zip Code Lines_1'!$W$3,MATCH('Zip Code Lines_1'!C2069,'Zip Code Lines_1'!$Q$4:$Q$26,0),0)</f>
        <v>4.8</v>
      </c>
      <c r="F2069" s="344">
        <f ca="1">OFFSET('Zip Code Lines_1'!$Z$3,MATCH('Zip Code Lines_1'!C2069,'Zip Code Lines_1'!$Q$4:$Q$26,0),0)</f>
        <v>81.099999999999994</v>
      </c>
      <c r="G2069" s="342">
        <f ca="1">OFFSET('Zip Code Lines_1'!$AC$3,MATCH('Zip Code Lines_1'!C2069,'Zip Code Lines_1'!$Q$4:$Q$26,0),0)</f>
        <v>12</v>
      </c>
      <c r="H2069" s="342">
        <v>14787</v>
      </c>
    </row>
    <row r="2070" spans="2:8" x14ac:dyDescent="0.25">
      <c r="B2070" s="342">
        <v>14788</v>
      </c>
      <c r="C2070" s="343" t="s">
        <v>534</v>
      </c>
      <c r="D2070" s="343" t="str">
        <f ca="1">OFFSET('Zip Code Lines_1'!$U$3,MATCH('Zip Code Lines_1'!C2070,'Zip Code Lines_1'!$Q$4:$Q$26,0),0)</f>
        <v>Buffalo</v>
      </c>
      <c r="E2070" s="344">
        <f ca="1">OFFSET('Zip Code Lines_1'!$W$3,MATCH('Zip Code Lines_1'!C2070,'Zip Code Lines_1'!$Q$4:$Q$26,0),0)</f>
        <v>7.4</v>
      </c>
      <c r="F2070" s="344">
        <f ca="1">OFFSET('Zip Code Lines_1'!$Z$3,MATCH('Zip Code Lines_1'!C2070,'Zip Code Lines_1'!$Q$4:$Q$26,0),0)</f>
        <v>83.9</v>
      </c>
      <c r="G2070" s="342">
        <f ca="1">OFFSET('Zip Code Lines_1'!$AC$3,MATCH('Zip Code Lines_1'!C2070,'Zip Code Lines_1'!$Q$4:$Q$26,0),0)</f>
        <v>18</v>
      </c>
      <c r="H2070" s="342">
        <v>14788</v>
      </c>
    </row>
    <row r="2071" spans="2:8" x14ac:dyDescent="0.25">
      <c r="B2071" s="342">
        <v>14801</v>
      </c>
      <c r="C2071" s="343" t="s">
        <v>538</v>
      </c>
      <c r="D2071" s="343" t="str">
        <f ca="1">OFFSET('Zip Code Lines_1'!$U$3,MATCH('Zip Code Lines_1'!C2071,'Zip Code Lines_1'!$Q$4:$Q$26,0),0)</f>
        <v>Elmira</v>
      </c>
      <c r="E2071" s="344">
        <f ca="1">OFFSET('Zip Code Lines_1'!$W$3,MATCH('Zip Code Lines_1'!C2071,'Zip Code Lines_1'!$Q$4:$Q$26,0),0)</f>
        <v>4.8</v>
      </c>
      <c r="F2071" s="344">
        <f ca="1">OFFSET('Zip Code Lines_1'!$Z$3,MATCH('Zip Code Lines_1'!C2071,'Zip Code Lines_1'!$Q$4:$Q$26,0),0)</f>
        <v>86.4</v>
      </c>
      <c r="G2071" s="342">
        <f ca="1">OFFSET('Zip Code Lines_1'!$AC$3,MATCH('Zip Code Lines_1'!C2071,'Zip Code Lines_1'!$Q$4:$Q$26,0),0)</f>
        <v>6</v>
      </c>
      <c r="H2071" s="342">
        <v>14801</v>
      </c>
    </row>
    <row r="2072" spans="2:8" x14ac:dyDescent="0.25">
      <c r="B2072" s="342">
        <v>14802</v>
      </c>
      <c r="C2072" s="343" t="s">
        <v>546</v>
      </c>
      <c r="D2072" s="343" t="str">
        <f ca="1">OFFSET('Zip Code Lines_1'!$U$3,MATCH('Zip Code Lines_1'!C2072,'Zip Code Lines_1'!$Q$4:$Q$26,0),0)</f>
        <v>Jamestown</v>
      </c>
      <c r="E2072" s="344">
        <f ca="1">OFFSET('Zip Code Lines_1'!$W$3,MATCH('Zip Code Lines_1'!C2072,'Zip Code Lines_1'!$Q$4:$Q$26,0),0)</f>
        <v>4.8</v>
      </c>
      <c r="F2072" s="344">
        <f ca="1">OFFSET('Zip Code Lines_1'!$Z$3,MATCH('Zip Code Lines_1'!C2072,'Zip Code Lines_1'!$Q$4:$Q$26,0),0)</f>
        <v>81.099999999999994</v>
      </c>
      <c r="G2072" s="342">
        <f ca="1">OFFSET('Zip Code Lines_1'!$AC$3,MATCH('Zip Code Lines_1'!C2072,'Zip Code Lines_1'!$Q$4:$Q$26,0),0)</f>
        <v>12</v>
      </c>
      <c r="H2072" s="342">
        <v>14802</v>
      </c>
    </row>
    <row r="2073" spans="2:8" x14ac:dyDescent="0.25">
      <c r="B2073" s="342">
        <v>14803</v>
      </c>
      <c r="C2073" s="343" t="s">
        <v>546</v>
      </c>
      <c r="D2073" s="343" t="str">
        <f ca="1">OFFSET('Zip Code Lines_1'!$U$3,MATCH('Zip Code Lines_1'!C2073,'Zip Code Lines_1'!$Q$4:$Q$26,0),0)</f>
        <v>Jamestown</v>
      </c>
      <c r="E2073" s="344">
        <f ca="1">OFFSET('Zip Code Lines_1'!$W$3,MATCH('Zip Code Lines_1'!C2073,'Zip Code Lines_1'!$Q$4:$Q$26,0),0)</f>
        <v>4.8</v>
      </c>
      <c r="F2073" s="344">
        <f ca="1">OFFSET('Zip Code Lines_1'!$Z$3,MATCH('Zip Code Lines_1'!C2073,'Zip Code Lines_1'!$Q$4:$Q$26,0),0)</f>
        <v>81.099999999999994</v>
      </c>
      <c r="G2073" s="342">
        <f ca="1">OFFSET('Zip Code Lines_1'!$AC$3,MATCH('Zip Code Lines_1'!C2073,'Zip Code Lines_1'!$Q$4:$Q$26,0),0)</f>
        <v>12</v>
      </c>
      <c r="H2073" s="342">
        <v>14803</v>
      </c>
    </row>
    <row r="2074" spans="2:8" x14ac:dyDescent="0.25">
      <c r="B2074" s="342">
        <v>14804</v>
      </c>
      <c r="C2074" s="343" t="s">
        <v>546</v>
      </c>
      <c r="D2074" s="343" t="str">
        <f ca="1">OFFSET('Zip Code Lines_1'!$U$3,MATCH('Zip Code Lines_1'!C2074,'Zip Code Lines_1'!$Q$4:$Q$26,0),0)</f>
        <v>Jamestown</v>
      </c>
      <c r="E2074" s="344">
        <f ca="1">OFFSET('Zip Code Lines_1'!$W$3,MATCH('Zip Code Lines_1'!C2074,'Zip Code Lines_1'!$Q$4:$Q$26,0),0)</f>
        <v>4.8</v>
      </c>
      <c r="F2074" s="344">
        <f ca="1">OFFSET('Zip Code Lines_1'!$Z$3,MATCH('Zip Code Lines_1'!C2074,'Zip Code Lines_1'!$Q$4:$Q$26,0),0)</f>
        <v>81.099999999999994</v>
      </c>
      <c r="G2074" s="342">
        <f ca="1">OFFSET('Zip Code Lines_1'!$AC$3,MATCH('Zip Code Lines_1'!C2074,'Zip Code Lines_1'!$Q$4:$Q$26,0),0)</f>
        <v>12</v>
      </c>
      <c r="H2074" s="342">
        <v>14804</v>
      </c>
    </row>
    <row r="2075" spans="2:8" x14ac:dyDescent="0.25">
      <c r="B2075" s="342">
        <v>14805</v>
      </c>
      <c r="C2075" s="343" t="s">
        <v>538</v>
      </c>
      <c r="D2075" s="343" t="str">
        <f ca="1">OFFSET('Zip Code Lines_1'!$U$3,MATCH('Zip Code Lines_1'!C2075,'Zip Code Lines_1'!$Q$4:$Q$26,0),0)</f>
        <v>Elmira</v>
      </c>
      <c r="E2075" s="344">
        <f ca="1">OFFSET('Zip Code Lines_1'!$W$3,MATCH('Zip Code Lines_1'!C2075,'Zip Code Lines_1'!$Q$4:$Q$26,0),0)</f>
        <v>4.8</v>
      </c>
      <c r="F2075" s="344">
        <f ca="1">OFFSET('Zip Code Lines_1'!$Z$3,MATCH('Zip Code Lines_1'!C2075,'Zip Code Lines_1'!$Q$4:$Q$26,0),0)</f>
        <v>86.4</v>
      </c>
      <c r="G2075" s="342">
        <f ca="1">OFFSET('Zip Code Lines_1'!$AC$3,MATCH('Zip Code Lines_1'!C2075,'Zip Code Lines_1'!$Q$4:$Q$26,0),0)</f>
        <v>6</v>
      </c>
      <c r="H2075" s="342">
        <v>14805</v>
      </c>
    </row>
    <row r="2076" spans="2:8" x14ac:dyDescent="0.25">
      <c r="B2076" s="342">
        <v>14806</v>
      </c>
      <c r="C2076" s="343" t="s">
        <v>546</v>
      </c>
      <c r="D2076" s="343" t="str">
        <f ca="1">OFFSET('Zip Code Lines_1'!$U$3,MATCH('Zip Code Lines_1'!C2076,'Zip Code Lines_1'!$Q$4:$Q$26,0),0)</f>
        <v>Jamestown</v>
      </c>
      <c r="E2076" s="344">
        <f ca="1">OFFSET('Zip Code Lines_1'!$W$3,MATCH('Zip Code Lines_1'!C2076,'Zip Code Lines_1'!$Q$4:$Q$26,0),0)</f>
        <v>4.8</v>
      </c>
      <c r="F2076" s="344">
        <f ca="1">OFFSET('Zip Code Lines_1'!$Z$3,MATCH('Zip Code Lines_1'!C2076,'Zip Code Lines_1'!$Q$4:$Q$26,0),0)</f>
        <v>81.099999999999994</v>
      </c>
      <c r="G2076" s="342">
        <f ca="1">OFFSET('Zip Code Lines_1'!$AC$3,MATCH('Zip Code Lines_1'!C2076,'Zip Code Lines_1'!$Q$4:$Q$26,0),0)</f>
        <v>12</v>
      </c>
      <c r="H2076" s="342">
        <v>14806</v>
      </c>
    </row>
    <row r="2077" spans="2:8" x14ac:dyDescent="0.25">
      <c r="B2077" s="342">
        <v>14807</v>
      </c>
      <c r="C2077" s="343" t="s">
        <v>534</v>
      </c>
      <c r="D2077" s="343" t="str">
        <f ca="1">OFFSET('Zip Code Lines_1'!$U$3,MATCH('Zip Code Lines_1'!C2077,'Zip Code Lines_1'!$Q$4:$Q$26,0),0)</f>
        <v>Buffalo</v>
      </c>
      <c r="E2077" s="344">
        <f ca="1">OFFSET('Zip Code Lines_1'!$W$3,MATCH('Zip Code Lines_1'!C2077,'Zip Code Lines_1'!$Q$4:$Q$26,0),0)</f>
        <v>7.4</v>
      </c>
      <c r="F2077" s="344">
        <f ca="1">OFFSET('Zip Code Lines_1'!$Z$3,MATCH('Zip Code Lines_1'!C2077,'Zip Code Lines_1'!$Q$4:$Q$26,0),0)</f>
        <v>83.9</v>
      </c>
      <c r="G2077" s="342">
        <f ca="1">OFFSET('Zip Code Lines_1'!$AC$3,MATCH('Zip Code Lines_1'!C2077,'Zip Code Lines_1'!$Q$4:$Q$26,0),0)</f>
        <v>18</v>
      </c>
      <c r="H2077" s="342">
        <v>14807</v>
      </c>
    </row>
    <row r="2078" spans="2:8" x14ac:dyDescent="0.25">
      <c r="B2078" s="342">
        <v>14808</v>
      </c>
      <c r="C2078" s="343" t="s">
        <v>532</v>
      </c>
      <c r="D2078" s="343" t="str">
        <f ca="1">OFFSET('Zip Code Lines_1'!$U$3,MATCH('Zip Code Lines_1'!C2078,'Zip Code Lines_1'!$Q$4:$Q$26,0),0)</f>
        <v>Binghamton</v>
      </c>
      <c r="E2078" s="344">
        <f ca="1">OFFSET('Zip Code Lines_1'!$W$3,MATCH('Zip Code Lines_1'!C2078,'Zip Code Lines_1'!$Q$4:$Q$26,0),0)</f>
        <v>4.5</v>
      </c>
      <c r="F2078" s="344">
        <f ca="1">OFFSET('Zip Code Lines_1'!$Z$3,MATCH('Zip Code Lines_1'!C2078,'Zip Code Lines_1'!$Q$4:$Q$26,0),0)</f>
        <v>82.3</v>
      </c>
      <c r="G2078" s="342">
        <f ca="1">OFFSET('Zip Code Lines_1'!$AC$3,MATCH('Zip Code Lines_1'!C2078,'Zip Code Lines_1'!$Q$4:$Q$26,0),0)</f>
        <v>12</v>
      </c>
      <c r="H2078" s="342">
        <v>14808</v>
      </c>
    </row>
    <row r="2079" spans="2:8" x14ac:dyDescent="0.25">
      <c r="B2079" s="342">
        <v>14809</v>
      </c>
      <c r="C2079" s="343" t="s">
        <v>532</v>
      </c>
      <c r="D2079" s="343" t="str">
        <f ca="1">OFFSET('Zip Code Lines_1'!$U$3,MATCH('Zip Code Lines_1'!C2079,'Zip Code Lines_1'!$Q$4:$Q$26,0),0)</f>
        <v>Binghamton</v>
      </c>
      <c r="E2079" s="344">
        <f ca="1">OFFSET('Zip Code Lines_1'!$W$3,MATCH('Zip Code Lines_1'!C2079,'Zip Code Lines_1'!$Q$4:$Q$26,0),0)</f>
        <v>4.5</v>
      </c>
      <c r="F2079" s="344">
        <f ca="1">OFFSET('Zip Code Lines_1'!$Z$3,MATCH('Zip Code Lines_1'!C2079,'Zip Code Lines_1'!$Q$4:$Q$26,0),0)</f>
        <v>82.3</v>
      </c>
      <c r="G2079" s="342">
        <f ca="1">OFFSET('Zip Code Lines_1'!$AC$3,MATCH('Zip Code Lines_1'!C2079,'Zip Code Lines_1'!$Q$4:$Q$26,0),0)</f>
        <v>12</v>
      </c>
      <c r="H2079" s="342">
        <v>14809</v>
      </c>
    </row>
    <row r="2080" spans="2:8" x14ac:dyDescent="0.25">
      <c r="B2080" s="342">
        <v>14810</v>
      </c>
      <c r="C2080" s="343" t="s">
        <v>538</v>
      </c>
      <c r="D2080" s="343" t="str">
        <f ca="1">OFFSET('Zip Code Lines_1'!$U$3,MATCH('Zip Code Lines_1'!C2080,'Zip Code Lines_1'!$Q$4:$Q$26,0),0)</f>
        <v>Elmira</v>
      </c>
      <c r="E2080" s="344">
        <f ca="1">OFFSET('Zip Code Lines_1'!$W$3,MATCH('Zip Code Lines_1'!C2080,'Zip Code Lines_1'!$Q$4:$Q$26,0),0)</f>
        <v>4.8</v>
      </c>
      <c r="F2080" s="344">
        <f ca="1">OFFSET('Zip Code Lines_1'!$Z$3,MATCH('Zip Code Lines_1'!C2080,'Zip Code Lines_1'!$Q$4:$Q$26,0),0)</f>
        <v>86.4</v>
      </c>
      <c r="G2080" s="342">
        <f ca="1">OFFSET('Zip Code Lines_1'!$AC$3,MATCH('Zip Code Lines_1'!C2080,'Zip Code Lines_1'!$Q$4:$Q$26,0),0)</f>
        <v>6</v>
      </c>
      <c r="H2080" s="342">
        <v>14810</v>
      </c>
    </row>
    <row r="2081" spans="2:8" x14ac:dyDescent="0.25">
      <c r="B2081" s="342">
        <v>14812</v>
      </c>
      <c r="C2081" s="343" t="s">
        <v>538</v>
      </c>
      <c r="D2081" s="343" t="str">
        <f ca="1">OFFSET('Zip Code Lines_1'!$U$3,MATCH('Zip Code Lines_1'!C2081,'Zip Code Lines_1'!$Q$4:$Q$26,0),0)</f>
        <v>Elmira</v>
      </c>
      <c r="E2081" s="344">
        <f ca="1">OFFSET('Zip Code Lines_1'!$W$3,MATCH('Zip Code Lines_1'!C2081,'Zip Code Lines_1'!$Q$4:$Q$26,0),0)</f>
        <v>4.8</v>
      </c>
      <c r="F2081" s="344">
        <f ca="1">OFFSET('Zip Code Lines_1'!$Z$3,MATCH('Zip Code Lines_1'!C2081,'Zip Code Lines_1'!$Q$4:$Q$26,0),0)</f>
        <v>86.4</v>
      </c>
      <c r="G2081" s="342">
        <f ca="1">OFFSET('Zip Code Lines_1'!$AC$3,MATCH('Zip Code Lines_1'!C2081,'Zip Code Lines_1'!$Q$4:$Q$26,0),0)</f>
        <v>6</v>
      </c>
      <c r="H2081" s="342">
        <v>14812</v>
      </c>
    </row>
    <row r="2082" spans="2:8" x14ac:dyDescent="0.25">
      <c r="B2082" s="342">
        <v>14813</v>
      </c>
      <c r="C2082" s="343" t="s">
        <v>546</v>
      </c>
      <c r="D2082" s="343" t="str">
        <f ca="1">OFFSET('Zip Code Lines_1'!$U$3,MATCH('Zip Code Lines_1'!C2082,'Zip Code Lines_1'!$Q$4:$Q$26,0),0)</f>
        <v>Jamestown</v>
      </c>
      <c r="E2082" s="344">
        <f ca="1">OFFSET('Zip Code Lines_1'!$W$3,MATCH('Zip Code Lines_1'!C2082,'Zip Code Lines_1'!$Q$4:$Q$26,0),0)</f>
        <v>4.8</v>
      </c>
      <c r="F2082" s="344">
        <f ca="1">OFFSET('Zip Code Lines_1'!$Z$3,MATCH('Zip Code Lines_1'!C2082,'Zip Code Lines_1'!$Q$4:$Q$26,0),0)</f>
        <v>81.099999999999994</v>
      </c>
      <c r="G2082" s="342">
        <f ca="1">OFFSET('Zip Code Lines_1'!$AC$3,MATCH('Zip Code Lines_1'!C2082,'Zip Code Lines_1'!$Q$4:$Q$26,0),0)</f>
        <v>12</v>
      </c>
      <c r="H2082" s="342">
        <v>14813</v>
      </c>
    </row>
    <row r="2083" spans="2:8" x14ac:dyDescent="0.25">
      <c r="B2083" s="342">
        <v>14814</v>
      </c>
      <c r="C2083" s="343" t="s">
        <v>538</v>
      </c>
      <c r="D2083" s="343" t="str">
        <f ca="1">OFFSET('Zip Code Lines_1'!$U$3,MATCH('Zip Code Lines_1'!C2083,'Zip Code Lines_1'!$Q$4:$Q$26,0),0)</f>
        <v>Elmira</v>
      </c>
      <c r="E2083" s="344">
        <f ca="1">OFFSET('Zip Code Lines_1'!$W$3,MATCH('Zip Code Lines_1'!C2083,'Zip Code Lines_1'!$Q$4:$Q$26,0),0)</f>
        <v>4.8</v>
      </c>
      <c r="F2083" s="344">
        <f ca="1">OFFSET('Zip Code Lines_1'!$Z$3,MATCH('Zip Code Lines_1'!C2083,'Zip Code Lines_1'!$Q$4:$Q$26,0),0)</f>
        <v>86.4</v>
      </c>
      <c r="G2083" s="342">
        <f ca="1">OFFSET('Zip Code Lines_1'!$AC$3,MATCH('Zip Code Lines_1'!C2083,'Zip Code Lines_1'!$Q$4:$Q$26,0),0)</f>
        <v>6</v>
      </c>
      <c r="H2083" s="342">
        <v>14814</v>
      </c>
    </row>
    <row r="2084" spans="2:8" x14ac:dyDescent="0.25">
      <c r="B2084" s="342">
        <v>14815</v>
      </c>
      <c r="C2084" s="343" t="s">
        <v>538</v>
      </c>
      <c r="D2084" s="343" t="str">
        <f ca="1">OFFSET('Zip Code Lines_1'!$U$3,MATCH('Zip Code Lines_1'!C2084,'Zip Code Lines_1'!$Q$4:$Q$26,0),0)</f>
        <v>Elmira</v>
      </c>
      <c r="E2084" s="344">
        <f ca="1">OFFSET('Zip Code Lines_1'!$W$3,MATCH('Zip Code Lines_1'!C2084,'Zip Code Lines_1'!$Q$4:$Q$26,0),0)</f>
        <v>4.8</v>
      </c>
      <c r="F2084" s="344">
        <f ca="1">OFFSET('Zip Code Lines_1'!$Z$3,MATCH('Zip Code Lines_1'!C2084,'Zip Code Lines_1'!$Q$4:$Q$26,0),0)</f>
        <v>86.4</v>
      </c>
      <c r="G2084" s="342">
        <f ca="1">OFFSET('Zip Code Lines_1'!$AC$3,MATCH('Zip Code Lines_1'!C2084,'Zip Code Lines_1'!$Q$4:$Q$26,0),0)</f>
        <v>6</v>
      </c>
      <c r="H2084" s="342">
        <v>14815</v>
      </c>
    </row>
    <row r="2085" spans="2:8" x14ac:dyDescent="0.25">
      <c r="B2085" s="342">
        <v>14816</v>
      </c>
      <c r="C2085" s="343" t="s">
        <v>538</v>
      </c>
      <c r="D2085" s="343" t="str">
        <f ca="1">OFFSET('Zip Code Lines_1'!$U$3,MATCH('Zip Code Lines_1'!C2085,'Zip Code Lines_1'!$Q$4:$Q$26,0),0)</f>
        <v>Elmira</v>
      </c>
      <c r="E2085" s="344">
        <f ca="1">OFFSET('Zip Code Lines_1'!$W$3,MATCH('Zip Code Lines_1'!C2085,'Zip Code Lines_1'!$Q$4:$Q$26,0),0)</f>
        <v>4.8</v>
      </c>
      <c r="F2085" s="344">
        <f ca="1">OFFSET('Zip Code Lines_1'!$Z$3,MATCH('Zip Code Lines_1'!C2085,'Zip Code Lines_1'!$Q$4:$Q$26,0),0)</f>
        <v>86.4</v>
      </c>
      <c r="G2085" s="342">
        <f ca="1">OFFSET('Zip Code Lines_1'!$AC$3,MATCH('Zip Code Lines_1'!C2085,'Zip Code Lines_1'!$Q$4:$Q$26,0),0)</f>
        <v>6</v>
      </c>
      <c r="H2085" s="342">
        <v>14816</v>
      </c>
    </row>
    <row r="2086" spans="2:8" x14ac:dyDescent="0.25">
      <c r="B2086" s="342">
        <v>14817</v>
      </c>
      <c r="C2086" s="343" t="s">
        <v>532</v>
      </c>
      <c r="D2086" s="343" t="str">
        <f ca="1">OFFSET('Zip Code Lines_1'!$U$3,MATCH('Zip Code Lines_1'!C2086,'Zip Code Lines_1'!$Q$4:$Q$26,0),0)</f>
        <v>Binghamton</v>
      </c>
      <c r="E2086" s="344">
        <f ca="1">OFFSET('Zip Code Lines_1'!$W$3,MATCH('Zip Code Lines_1'!C2086,'Zip Code Lines_1'!$Q$4:$Q$26,0),0)</f>
        <v>4.5</v>
      </c>
      <c r="F2086" s="344">
        <f ca="1">OFFSET('Zip Code Lines_1'!$Z$3,MATCH('Zip Code Lines_1'!C2086,'Zip Code Lines_1'!$Q$4:$Q$26,0),0)</f>
        <v>82.3</v>
      </c>
      <c r="G2086" s="342">
        <f ca="1">OFFSET('Zip Code Lines_1'!$AC$3,MATCH('Zip Code Lines_1'!C2086,'Zip Code Lines_1'!$Q$4:$Q$26,0),0)</f>
        <v>12</v>
      </c>
      <c r="H2086" s="342">
        <v>14817</v>
      </c>
    </row>
    <row r="2087" spans="2:8" x14ac:dyDescent="0.25">
      <c r="B2087" s="342">
        <v>14818</v>
      </c>
      <c r="C2087" s="343" t="s">
        <v>532</v>
      </c>
      <c r="D2087" s="343" t="str">
        <f ca="1">OFFSET('Zip Code Lines_1'!$U$3,MATCH('Zip Code Lines_1'!C2087,'Zip Code Lines_1'!$Q$4:$Q$26,0),0)</f>
        <v>Binghamton</v>
      </c>
      <c r="E2087" s="344">
        <f ca="1">OFFSET('Zip Code Lines_1'!$W$3,MATCH('Zip Code Lines_1'!C2087,'Zip Code Lines_1'!$Q$4:$Q$26,0),0)</f>
        <v>4.5</v>
      </c>
      <c r="F2087" s="344">
        <f ca="1">OFFSET('Zip Code Lines_1'!$Z$3,MATCH('Zip Code Lines_1'!C2087,'Zip Code Lines_1'!$Q$4:$Q$26,0),0)</f>
        <v>82.3</v>
      </c>
      <c r="G2087" s="342">
        <f ca="1">OFFSET('Zip Code Lines_1'!$AC$3,MATCH('Zip Code Lines_1'!C2087,'Zip Code Lines_1'!$Q$4:$Q$26,0),0)</f>
        <v>12</v>
      </c>
      <c r="H2087" s="342">
        <v>14818</v>
      </c>
    </row>
    <row r="2088" spans="2:8" x14ac:dyDescent="0.25">
      <c r="B2088" s="342">
        <v>14819</v>
      </c>
      <c r="C2088" s="343" t="s">
        <v>538</v>
      </c>
      <c r="D2088" s="343" t="str">
        <f ca="1">OFFSET('Zip Code Lines_1'!$U$3,MATCH('Zip Code Lines_1'!C2088,'Zip Code Lines_1'!$Q$4:$Q$26,0),0)</f>
        <v>Elmira</v>
      </c>
      <c r="E2088" s="344">
        <f ca="1">OFFSET('Zip Code Lines_1'!$W$3,MATCH('Zip Code Lines_1'!C2088,'Zip Code Lines_1'!$Q$4:$Q$26,0),0)</f>
        <v>4.8</v>
      </c>
      <c r="F2088" s="344">
        <f ca="1">OFFSET('Zip Code Lines_1'!$Z$3,MATCH('Zip Code Lines_1'!C2088,'Zip Code Lines_1'!$Q$4:$Q$26,0),0)</f>
        <v>86.4</v>
      </c>
      <c r="G2088" s="342">
        <f ca="1">OFFSET('Zip Code Lines_1'!$AC$3,MATCH('Zip Code Lines_1'!C2088,'Zip Code Lines_1'!$Q$4:$Q$26,0),0)</f>
        <v>6</v>
      </c>
      <c r="H2088" s="342">
        <v>14819</v>
      </c>
    </row>
    <row r="2089" spans="2:8" x14ac:dyDescent="0.25">
      <c r="B2089" s="342">
        <v>14820</v>
      </c>
      <c r="C2089" s="343" t="s">
        <v>538</v>
      </c>
      <c r="D2089" s="343" t="str">
        <f ca="1">OFFSET('Zip Code Lines_1'!$U$3,MATCH('Zip Code Lines_1'!C2089,'Zip Code Lines_1'!$Q$4:$Q$26,0),0)</f>
        <v>Elmira</v>
      </c>
      <c r="E2089" s="344">
        <f ca="1">OFFSET('Zip Code Lines_1'!$W$3,MATCH('Zip Code Lines_1'!C2089,'Zip Code Lines_1'!$Q$4:$Q$26,0),0)</f>
        <v>4.8</v>
      </c>
      <c r="F2089" s="344">
        <f ca="1">OFFSET('Zip Code Lines_1'!$Z$3,MATCH('Zip Code Lines_1'!C2089,'Zip Code Lines_1'!$Q$4:$Q$26,0),0)</f>
        <v>86.4</v>
      </c>
      <c r="G2089" s="342">
        <f ca="1">OFFSET('Zip Code Lines_1'!$AC$3,MATCH('Zip Code Lines_1'!C2089,'Zip Code Lines_1'!$Q$4:$Q$26,0),0)</f>
        <v>6</v>
      </c>
      <c r="H2089" s="342">
        <v>14820</v>
      </c>
    </row>
    <row r="2090" spans="2:8" x14ac:dyDescent="0.25">
      <c r="B2090" s="342">
        <v>14821</v>
      </c>
      <c r="C2090" s="343" t="s">
        <v>538</v>
      </c>
      <c r="D2090" s="343" t="str">
        <f ca="1">OFFSET('Zip Code Lines_1'!$U$3,MATCH('Zip Code Lines_1'!C2090,'Zip Code Lines_1'!$Q$4:$Q$26,0),0)</f>
        <v>Elmira</v>
      </c>
      <c r="E2090" s="344">
        <f ca="1">OFFSET('Zip Code Lines_1'!$W$3,MATCH('Zip Code Lines_1'!C2090,'Zip Code Lines_1'!$Q$4:$Q$26,0),0)</f>
        <v>4.8</v>
      </c>
      <c r="F2090" s="344">
        <f ca="1">OFFSET('Zip Code Lines_1'!$Z$3,MATCH('Zip Code Lines_1'!C2090,'Zip Code Lines_1'!$Q$4:$Q$26,0),0)</f>
        <v>86.4</v>
      </c>
      <c r="G2090" s="342">
        <f ca="1">OFFSET('Zip Code Lines_1'!$AC$3,MATCH('Zip Code Lines_1'!C2090,'Zip Code Lines_1'!$Q$4:$Q$26,0),0)</f>
        <v>6</v>
      </c>
      <c r="H2090" s="342">
        <v>14821</v>
      </c>
    </row>
    <row r="2091" spans="2:8" x14ac:dyDescent="0.25">
      <c r="B2091" s="342">
        <v>14822</v>
      </c>
      <c r="C2091" s="343" t="s">
        <v>546</v>
      </c>
      <c r="D2091" s="343" t="str">
        <f ca="1">OFFSET('Zip Code Lines_1'!$U$3,MATCH('Zip Code Lines_1'!C2091,'Zip Code Lines_1'!$Q$4:$Q$26,0),0)</f>
        <v>Jamestown</v>
      </c>
      <c r="E2091" s="344">
        <f ca="1">OFFSET('Zip Code Lines_1'!$W$3,MATCH('Zip Code Lines_1'!C2091,'Zip Code Lines_1'!$Q$4:$Q$26,0),0)</f>
        <v>4.8</v>
      </c>
      <c r="F2091" s="344">
        <f ca="1">OFFSET('Zip Code Lines_1'!$Z$3,MATCH('Zip Code Lines_1'!C2091,'Zip Code Lines_1'!$Q$4:$Q$26,0),0)</f>
        <v>81.099999999999994</v>
      </c>
      <c r="G2091" s="342">
        <f ca="1">OFFSET('Zip Code Lines_1'!$AC$3,MATCH('Zip Code Lines_1'!C2091,'Zip Code Lines_1'!$Q$4:$Q$26,0),0)</f>
        <v>12</v>
      </c>
      <c r="H2091" s="342">
        <v>14822</v>
      </c>
    </row>
    <row r="2092" spans="2:8" x14ac:dyDescent="0.25">
      <c r="B2092" s="342">
        <v>14823</v>
      </c>
      <c r="C2092" s="343" t="s">
        <v>534</v>
      </c>
      <c r="D2092" s="343" t="str">
        <f ca="1">OFFSET('Zip Code Lines_1'!$U$3,MATCH('Zip Code Lines_1'!C2092,'Zip Code Lines_1'!$Q$4:$Q$26,0),0)</f>
        <v>Buffalo</v>
      </c>
      <c r="E2092" s="344">
        <f ca="1">OFFSET('Zip Code Lines_1'!$W$3,MATCH('Zip Code Lines_1'!C2092,'Zip Code Lines_1'!$Q$4:$Q$26,0),0)</f>
        <v>7.4</v>
      </c>
      <c r="F2092" s="344">
        <f ca="1">OFFSET('Zip Code Lines_1'!$Z$3,MATCH('Zip Code Lines_1'!C2092,'Zip Code Lines_1'!$Q$4:$Q$26,0),0)</f>
        <v>83.9</v>
      </c>
      <c r="G2092" s="342">
        <f ca="1">OFFSET('Zip Code Lines_1'!$AC$3,MATCH('Zip Code Lines_1'!C2092,'Zip Code Lines_1'!$Q$4:$Q$26,0),0)</f>
        <v>18</v>
      </c>
      <c r="H2092" s="342">
        <v>14823</v>
      </c>
    </row>
    <row r="2093" spans="2:8" x14ac:dyDescent="0.25">
      <c r="B2093" s="342">
        <v>14824</v>
      </c>
      <c r="C2093" s="343" t="s">
        <v>538</v>
      </c>
      <c r="D2093" s="343" t="str">
        <f ca="1">OFFSET('Zip Code Lines_1'!$U$3,MATCH('Zip Code Lines_1'!C2093,'Zip Code Lines_1'!$Q$4:$Q$26,0),0)</f>
        <v>Elmira</v>
      </c>
      <c r="E2093" s="344">
        <f ca="1">OFFSET('Zip Code Lines_1'!$W$3,MATCH('Zip Code Lines_1'!C2093,'Zip Code Lines_1'!$Q$4:$Q$26,0),0)</f>
        <v>4.8</v>
      </c>
      <c r="F2093" s="344">
        <f ca="1">OFFSET('Zip Code Lines_1'!$Z$3,MATCH('Zip Code Lines_1'!C2093,'Zip Code Lines_1'!$Q$4:$Q$26,0),0)</f>
        <v>86.4</v>
      </c>
      <c r="G2093" s="342">
        <f ca="1">OFFSET('Zip Code Lines_1'!$AC$3,MATCH('Zip Code Lines_1'!C2093,'Zip Code Lines_1'!$Q$4:$Q$26,0),0)</f>
        <v>6</v>
      </c>
      <c r="H2093" s="342">
        <v>14824</v>
      </c>
    </row>
    <row r="2094" spans="2:8" x14ac:dyDescent="0.25">
      <c r="B2094" s="342">
        <v>14825</v>
      </c>
      <c r="C2094" s="343" t="s">
        <v>538</v>
      </c>
      <c r="D2094" s="343" t="str">
        <f ca="1">OFFSET('Zip Code Lines_1'!$U$3,MATCH('Zip Code Lines_1'!C2094,'Zip Code Lines_1'!$Q$4:$Q$26,0),0)</f>
        <v>Elmira</v>
      </c>
      <c r="E2094" s="344">
        <f ca="1">OFFSET('Zip Code Lines_1'!$W$3,MATCH('Zip Code Lines_1'!C2094,'Zip Code Lines_1'!$Q$4:$Q$26,0),0)</f>
        <v>4.8</v>
      </c>
      <c r="F2094" s="344">
        <f ca="1">OFFSET('Zip Code Lines_1'!$Z$3,MATCH('Zip Code Lines_1'!C2094,'Zip Code Lines_1'!$Q$4:$Q$26,0),0)</f>
        <v>86.4</v>
      </c>
      <c r="G2094" s="342">
        <f ca="1">OFFSET('Zip Code Lines_1'!$AC$3,MATCH('Zip Code Lines_1'!C2094,'Zip Code Lines_1'!$Q$4:$Q$26,0),0)</f>
        <v>6</v>
      </c>
      <c r="H2094" s="342">
        <v>14825</v>
      </c>
    </row>
    <row r="2095" spans="2:8" x14ac:dyDescent="0.25">
      <c r="B2095" s="342">
        <v>14826</v>
      </c>
      <c r="C2095" s="343" t="s">
        <v>532</v>
      </c>
      <c r="D2095" s="343" t="str">
        <f ca="1">OFFSET('Zip Code Lines_1'!$U$3,MATCH('Zip Code Lines_1'!C2095,'Zip Code Lines_1'!$Q$4:$Q$26,0),0)</f>
        <v>Binghamton</v>
      </c>
      <c r="E2095" s="344">
        <f ca="1">OFFSET('Zip Code Lines_1'!$W$3,MATCH('Zip Code Lines_1'!C2095,'Zip Code Lines_1'!$Q$4:$Q$26,0),0)</f>
        <v>4.5</v>
      </c>
      <c r="F2095" s="344">
        <f ca="1">OFFSET('Zip Code Lines_1'!$Z$3,MATCH('Zip Code Lines_1'!C2095,'Zip Code Lines_1'!$Q$4:$Q$26,0),0)</f>
        <v>82.3</v>
      </c>
      <c r="G2095" s="342">
        <f ca="1">OFFSET('Zip Code Lines_1'!$AC$3,MATCH('Zip Code Lines_1'!C2095,'Zip Code Lines_1'!$Q$4:$Q$26,0),0)</f>
        <v>12</v>
      </c>
      <c r="H2095" s="342">
        <v>14826</v>
      </c>
    </row>
    <row r="2096" spans="2:8" x14ac:dyDescent="0.25">
      <c r="B2096" s="342">
        <v>14827</v>
      </c>
      <c r="C2096" s="343" t="s">
        <v>538</v>
      </c>
      <c r="D2096" s="343" t="str">
        <f ca="1">OFFSET('Zip Code Lines_1'!$U$3,MATCH('Zip Code Lines_1'!C2096,'Zip Code Lines_1'!$Q$4:$Q$26,0),0)</f>
        <v>Elmira</v>
      </c>
      <c r="E2096" s="344">
        <f ca="1">OFFSET('Zip Code Lines_1'!$W$3,MATCH('Zip Code Lines_1'!C2096,'Zip Code Lines_1'!$Q$4:$Q$26,0),0)</f>
        <v>4.8</v>
      </c>
      <c r="F2096" s="344">
        <f ca="1">OFFSET('Zip Code Lines_1'!$Z$3,MATCH('Zip Code Lines_1'!C2096,'Zip Code Lines_1'!$Q$4:$Q$26,0),0)</f>
        <v>86.4</v>
      </c>
      <c r="G2096" s="342">
        <f ca="1">OFFSET('Zip Code Lines_1'!$AC$3,MATCH('Zip Code Lines_1'!C2096,'Zip Code Lines_1'!$Q$4:$Q$26,0),0)</f>
        <v>6</v>
      </c>
      <c r="H2096" s="342">
        <v>14827</v>
      </c>
    </row>
    <row r="2097" spans="2:8" x14ac:dyDescent="0.25">
      <c r="B2097" s="342">
        <v>14830</v>
      </c>
      <c r="C2097" s="343" t="s">
        <v>538</v>
      </c>
      <c r="D2097" s="343" t="str">
        <f ca="1">OFFSET('Zip Code Lines_1'!$U$3,MATCH('Zip Code Lines_1'!C2097,'Zip Code Lines_1'!$Q$4:$Q$26,0),0)</f>
        <v>Elmira</v>
      </c>
      <c r="E2097" s="344">
        <f ca="1">OFFSET('Zip Code Lines_1'!$W$3,MATCH('Zip Code Lines_1'!C2097,'Zip Code Lines_1'!$Q$4:$Q$26,0),0)</f>
        <v>4.8</v>
      </c>
      <c r="F2097" s="344">
        <f ca="1">OFFSET('Zip Code Lines_1'!$Z$3,MATCH('Zip Code Lines_1'!C2097,'Zip Code Lines_1'!$Q$4:$Q$26,0),0)</f>
        <v>86.4</v>
      </c>
      <c r="G2097" s="342">
        <f ca="1">OFFSET('Zip Code Lines_1'!$AC$3,MATCH('Zip Code Lines_1'!C2097,'Zip Code Lines_1'!$Q$4:$Q$26,0),0)</f>
        <v>6</v>
      </c>
      <c r="H2097" s="342">
        <v>14830</v>
      </c>
    </row>
    <row r="2098" spans="2:8" x14ac:dyDescent="0.25">
      <c r="B2098" s="342">
        <v>14831</v>
      </c>
      <c r="C2098" s="343" t="s">
        <v>538</v>
      </c>
      <c r="D2098" s="343" t="str">
        <f ca="1">OFFSET('Zip Code Lines_1'!$U$3,MATCH('Zip Code Lines_1'!C2098,'Zip Code Lines_1'!$Q$4:$Q$26,0),0)</f>
        <v>Elmira</v>
      </c>
      <c r="E2098" s="344">
        <f ca="1">OFFSET('Zip Code Lines_1'!$W$3,MATCH('Zip Code Lines_1'!C2098,'Zip Code Lines_1'!$Q$4:$Q$26,0),0)</f>
        <v>4.8</v>
      </c>
      <c r="F2098" s="344">
        <f ca="1">OFFSET('Zip Code Lines_1'!$Z$3,MATCH('Zip Code Lines_1'!C2098,'Zip Code Lines_1'!$Q$4:$Q$26,0),0)</f>
        <v>86.4</v>
      </c>
      <c r="G2098" s="342">
        <f ca="1">OFFSET('Zip Code Lines_1'!$AC$3,MATCH('Zip Code Lines_1'!C2098,'Zip Code Lines_1'!$Q$4:$Q$26,0),0)</f>
        <v>6</v>
      </c>
      <c r="H2098" s="342">
        <v>14831</v>
      </c>
    </row>
    <row r="2099" spans="2:8" x14ac:dyDescent="0.25">
      <c r="B2099" s="342">
        <v>14836</v>
      </c>
      <c r="C2099" s="343" t="s">
        <v>546</v>
      </c>
      <c r="D2099" s="343" t="str">
        <f ca="1">OFFSET('Zip Code Lines_1'!$U$3,MATCH('Zip Code Lines_1'!C2099,'Zip Code Lines_1'!$Q$4:$Q$26,0),0)</f>
        <v>Jamestown</v>
      </c>
      <c r="E2099" s="344">
        <f ca="1">OFFSET('Zip Code Lines_1'!$W$3,MATCH('Zip Code Lines_1'!C2099,'Zip Code Lines_1'!$Q$4:$Q$26,0),0)</f>
        <v>4.8</v>
      </c>
      <c r="F2099" s="344">
        <f ca="1">OFFSET('Zip Code Lines_1'!$Z$3,MATCH('Zip Code Lines_1'!C2099,'Zip Code Lines_1'!$Q$4:$Q$26,0),0)</f>
        <v>81.099999999999994</v>
      </c>
      <c r="G2099" s="342">
        <f ca="1">OFFSET('Zip Code Lines_1'!$AC$3,MATCH('Zip Code Lines_1'!C2099,'Zip Code Lines_1'!$Q$4:$Q$26,0),0)</f>
        <v>12</v>
      </c>
      <c r="H2099" s="342">
        <v>14836</v>
      </c>
    </row>
    <row r="2100" spans="2:8" x14ac:dyDescent="0.25">
      <c r="B2100" s="342">
        <v>14837</v>
      </c>
      <c r="C2100" s="343" t="s">
        <v>532</v>
      </c>
      <c r="D2100" s="343" t="str">
        <f ca="1">OFFSET('Zip Code Lines_1'!$U$3,MATCH('Zip Code Lines_1'!C2100,'Zip Code Lines_1'!$Q$4:$Q$26,0),0)</f>
        <v>Binghamton</v>
      </c>
      <c r="E2100" s="344">
        <f ca="1">OFFSET('Zip Code Lines_1'!$W$3,MATCH('Zip Code Lines_1'!C2100,'Zip Code Lines_1'!$Q$4:$Q$26,0),0)</f>
        <v>4.5</v>
      </c>
      <c r="F2100" s="344">
        <f ca="1">OFFSET('Zip Code Lines_1'!$Z$3,MATCH('Zip Code Lines_1'!C2100,'Zip Code Lines_1'!$Q$4:$Q$26,0),0)</f>
        <v>82.3</v>
      </c>
      <c r="G2100" s="342">
        <f ca="1">OFFSET('Zip Code Lines_1'!$AC$3,MATCH('Zip Code Lines_1'!C2100,'Zip Code Lines_1'!$Q$4:$Q$26,0),0)</f>
        <v>12</v>
      </c>
      <c r="H2100" s="342">
        <v>14837</v>
      </c>
    </row>
    <row r="2101" spans="2:8" x14ac:dyDescent="0.25">
      <c r="B2101" s="342">
        <v>14838</v>
      </c>
      <c r="C2101" s="343" t="s">
        <v>538</v>
      </c>
      <c r="D2101" s="343" t="str">
        <f ca="1">OFFSET('Zip Code Lines_1'!$U$3,MATCH('Zip Code Lines_1'!C2101,'Zip Code Lines_1'!$Q$4:$Q$26,0),0)</f>
        <v>Elmira</v>
      </c>
      <c r="E2101" s="344">
        <f ca="1">OFFSET('Zip Code Lines_1'!$W$3,MATCH('Zip Code Lines_1'!C2101,'Zip Code Lines_1'!$Q$4:$Q$26,0),0)</f>
        <v>4.8</v>
      </c>
      <c r="F2101" s="344">
        <f ca="1">OFFSET('Zip Code Lines_1'!$Z$3,MATCH('Zip Code Lines_1'!C2101,'Zip Code Lines_1'!$Q$4:$Q$26,0),0)</f>
        <v>86.4</v>
      </c>
      <c r="G2101" s="342">
        <f ca="1">OFFSET('Zip Code Lines_1'!$AC$3,MATCH('Zip Code Lines_1'!C2101,'Zip Code Lines_1'!$Q$4:$Q$26,0),0)</f>
        <v>6</v>
      </c>
      <c r="H2101" s="342">
        <v>14838</v>
      </c>
    </row>
    <row r="2102" spans="2:8" x14ac:dyDescent="0.25">
      <c r="B2102" s="342">
        <v>14839</v>
      </c>
      <c r="C2102" s="343" t="s">
        <v>532</v>
      </c>
      <c r="D2102" s="343" t="str">
        <f ca="1">OFFSET('Zip Code Lines_1'!$U$3,MATCH('Zip Code Lines_1'!C2102,'Zip Code Lines_1'!$Q$4:$Q$26,0),0)</f>
        <v>Binghamton</v>
      </c>
      <c r="E2102" s="344">
        <f ca="1">OFFSET('Zip Code Lines_1'!$W$3,MATCH('Zip Code Lines_1'!C2102,'Zip Code Lines_1'!$Q$4:$Q$26,0),0)</f>
        <v>4.5</v>
      </c>
      <c r="F2102" s="344">
        <f ca="1">OFFSET('Zip Code Lines_1'!$Z$3,MATCH('Zip Code Lines_1'!C2102,'Zip Code Lines_1'!$Q$4:$Q$26,0),0)</f>
        <v>82.3</v>
      </c>
      <c r="G2102" s="342">
        <f ca="1">OFFSET('Zip Code Lines_1'!$AC$3,MATCH('Zip Code Lines_1'!C2102,'Zip Code Lines_1'!$Q$4:$Q$26,0),0)</f>
        <v>12</v>
      </c>
      <c r="H2102" s="342">
        <v>14839</v>
      </c>
    </row>
    <row r="2103" spans="2:8" x14ac:dyDescent="0.25">
      <c r="B2103" s="342">
        <v>14840</v>
      </c>
      <c r="C2103" s="343" t="s">
        <v>538</v>
      </c>
      <c r="D2103" s="343" t="str">
        <f ca="1">OFFSET('Zip Code Lines_1'!$U$3,MATCH('Zip Code Lines_1'!C2103,'Zip Code Lines_1'!$Q$4:$Q$26,0),0)</f>
        <v>Elmira</v>
      </c>
      <c r="E2103" s="344">
        <f ca="1">OFFSET('Zip Code Lines_1'!$W$3,MATCH('Zip Code Lines_1'!C2103,'Zip Code Lines_1'!$Q$4:$Q$26,0),0)</f>
        <v>4.8</v>
      </c>
      <c r="F2103" s="344">
        <f ca="1">OFFSET('Zip Code Lines_1'!$Z$3,MATCH('Zip Code Lines_1'!C2103,'Zip Code Lines_1'!$Q$4:$Q$26,0),0)</f>
        <v>86.4</v>
      </c>
      <c r="G2103" s="342">
        <f ca="1">OFFSET('Zip Code Lines_1'!$AC$3,MATCH('Zip Code Lines_1'!C2103,'Zip Code Lines_1'!$Q$4:$Q$26,0),0)</f>
        <v>6</v>
      </c>
      <c r="H2103" s="342">
        <v>14840</v>
      </c>
    </row>
    <row r="2104" spans="2:8" x14ac:dyDescent="0.25">
      <c r="B2104" s="342">
        <v>14841</v>
      </c>
      <c r="C2104" s="343" t="s">
        <v>532</v>
      </c>
      <c r="D2104" s="343" t="str">
        <f ca="1">OFFSET('Zip Code Lines_1'!$U$3,MATCH('Zip Code Lines_1'!C2104,'Zip Code Lines_1'!$Q$4:$Q$26,0),0)</f>
        <v>Binghamton</v>
      </c>
      <c r="E2104" s="344">
        <f ca="1">OFFSET('Zip Code Lines_1'!$W$3,MATCH('Zip Code Lines_1'!C2104,'Zip Code Lines_1'!$Q$4:$Q$26,0),0)</f>
        <v>4.5</v>
      </c>
      <c r="F2104" s="344">
        <f ca="1">OFFSET('Zip Code Lines_1'!$Z$3,MATCH('Zip Code Lines_1'!C2104,'Zip Code Lines_1'!$Q$4:$Q$26,0),0)</f>
        <v>82.3</v>
      </c>
      <c r="G2104" s="342">
        <f ca="1">OFFSET('Zip Code Lines_1'!$AC$3,MATCH('Zip Code Lines_1'!C2104,'Zip Code Lines_1'!$Q$4:$Q$26,0),0)</f>
        <v>12</v>
      </c>
      <c r="H2104" s="342">
        <v>14841</v>
      </c>
    </row>
    <row r="2105" spans="2:8" x14ac:dyDescent="0.25">
      <c r="B2105" s="342">
        <v>14842</v>
      </c>
      <c r="C2105" s="343" t="s">
        <v>538</v>
      </c>
      <c r="D2105" s="343" t="str">
        <f ca="1">OFFSET('Zip Code Lines_1'!$U$3,MATCH('Zip Code Lines_1'!C2105,'Zip Code Lines_1'!$Q$4:$Q$26,0),0)</f>
        <v>Elmira</v>
      </c>
      <c r="E2105" s="344">
        <f ca="1">OFFSET('Zip Code Lines_1'!$W$3,MATCH('Zip Code Lines_1'!C2105,'Zip Code Lines_1'!$Q$4:$Q$26,0),0)</f>
        <v>4.8</v>
      </c>
      <c r="F2105" s="344">
        <f ca="1">OFFSET('Zip Code Lines_1'!$Z$3,MATCH('Zip Code Lines_1'!C2105,'Zip Code Lines_1'!$Q$4:$Q$26,0),0)</f>
        <v>86.4</v>
      </c>
      <c r="G2105" s="342">
        <f ca="1">OFFSET('Zip Code Lines_1'!$AC$3,MATCH('Zip Code Lines_1'!C2105,'Zip Code Lines_1'!$Q$4:$Q$26,0),0)</f>
        <v>6</v>
      </c>
      <c r="H2105" s="342">
        <v>14842</v>
      </c>
    </row>
    <row r="2106" spans="2:8" x14ac:dyDescent="0.25">
      <c r="B2106" s="342">
        <v>14843</v>
      </c>
      <c r="C2106" s="343" t="s">
        <v>534</v>
      </c>
      <c r="D2106" s="343" t="str">
        <f ca="1">OFFSET('Zip Code Lines_1'!$U$3,MATCH('Zip Code Lines_1'!C2106,'Zip Code Lines_1'!$Q$4:$Q$26,0),0)</f>
        <v>Buffalo</v>
      </c>
      <c r="E2106" s="344">
        <f ca="1">OFFSET('Zip Code Lines_1'!$W$3,MATCH('Zip Code Lines_1'!C2106,'Zip Code Lines_1'!$Q$4:$Q$26,0),0)</f>
        <v>7.4</v>
      </c>
      <c r="F2106" s="344">
        <f ca="1">OFFSET('Zip Code Lines_1'!$Z$3,MATCH('Zip Code Lines_1'!C2106,'Zip Code Lines_1'!$Q$4:$Q$26,0),0)</f>
        <v>83.9</v>
      </c>
      <c r="G2106" s="342">
        <f ca="1">OFFSET('Zip Code Lines_1'!$AC$3,MATCH('Zip Code Lines_1'!C2106,'Zip Code Lines_1'!$Q$4:$Q$26,0),0)</f>
        <v>18</v>
      </c>
      <c r="H2106" s="342">
        <v>14843</v>
      </c>
    </row>
    <row r="2107" spans="2:8" x14ac:dyDescent="0.25">
      <c r="B2107" s="342">
        <v>14845</v>
      </c>
      <c r="C2107" s="343" t="s">
        <v>538</v>
      </c>
      <c r="D2107" s="343" t="str">
        <f ca="1">OFFSET('Zip Code Lines_1'!$U$3,MATCH('Zip Code Lines_1'!C2107,'Zip Code Lines_1'!$Q$4:$Q$26,0),0)</f>
        <v>Elmira</v>
      </c>
      <c r="E2107" s="344">
        <f ca="1">OFFSET('Zip Code Lines_1'!$W$3,MATCH('Zip Code Lines_1'!C2107,'Zip Code Lines_1'!$Q$4:$Q$26,0),0)</f>
        <v>4.8</v>
      </c>
      <c r="F2107" s="344">
        <f ca="1">OFFSET('Zip Code Lines_1'!$Z$3,MATCH('Zip Code Lines_1'!C2107,'Zip Code Lines_1'!$Q$4:$Q$26,0),0)</f>
        <v>86.4</v>
      </c>
      <c r="G2107" s="342">
        <f ca="1">OFFSET('Zip Code Lines_1'!$AC$3,MATCH('Zip Code Lines_1'!C2107,'Zip Code Lines_1'!$Q$4:$Q$26,0),0)</f>
        <v>6</v>
      </c>
      <c r="H2107" s="342">
        <v>14845</v>
      </c>
    </row>
    <row r="2108" spans="2:8" x14ac:dyDescent="0.25">
      <c r="B2108" s="342">
        <v>14846</v>
      </c>
      <c r="C2108" s="343" t="s">
        <v>546</v>
      </c>
      <c r="D2108" s="343" t="str">
        <f ca="1">OFFSET('Zip Code Lines_1'!$U$3,MATCH('Zip Code Lines_1'!C2108,'Zip Code Lines_1'!$Q$4:$Q$26,0),0)</f>
        <v>Jamestown</v>
      </c>
      <c r="E2108" s="344">
        <f ca="1">OFFSET('Zip Code Lines_1'!$W$3,MATCH('Zip Code Lines_1'!C2108,'Zip Code Lines_1'!$Q$4:$Q$26,0),0)</f>
        <v>4.8</v>
      </c>
      <c r="F2108" s="344">
        <f ca="1">OFFSET('Zip Code Lines_1'!$Z$3,MATCH('Zip Code Lines_1'!C2108,'Zip Code Lines_1'!$Q$4:$Q$26,0),0)</f>
        <v>81.099999999999994</v>
      </c>
      <c r="G2108" s="342">
        <f ca="1">OFFSET('Zip Code Lines_1'!$AC$3,MATCH('Zip Code Lines_1'!C2108,'Zip Code Lines_1'!$Q$4:$Q$26,0),0)</f>
        <v>12</v>
      </c>
      <c r="H2108" s="342">
        <v>14846</v>
      </c>
    </row>
    <row r="2109" spans="2:8" x14ac:dyDescent="0.25">
      <c r="B2109" s="342">
        <v>14847</v>
      </c>
      <c r="C2109" s="343" t="s">
        <v>532</v>
      </c>
      <c r="D2109" s="343" t="str">
        <f ca="1">OFFSET('Zip Code Lines_1'!$U$3,MATCH('Zip Code Lines_1'!C2109,'Zip Code Lines_1'!$Q$4:$Q$26,0),0)</f>
        <v>Binghamton</v>
      </c>
      <c r="E2109" s="344">
        <f ca="1">OFFSET('Zip Code Lines_1'!$W$3,MATCH('Zip Code Lines_1'!C2109,'Zip Code Lines_1'!$Q$4:$Q$26,0),0)</f>
        <v>4.5</v>
      </c>
      <c r="F2109" s="344">
        <f ca="1">OFFSET('Zip Code Lines_1'!$Z$3,MATCH('Zip Code Lines_1'!C2109,'Zip Code Lines_1'!$Q$4:$Q$26,0),0)</f>
        <v>82.3</v>
      </c>
      <c r="G2109" s="342">
        <f ca="1">OFFSET('Zip Code Lines_1'!$AC$3,MATCH('Zip Code Lines_1'!C2109,'Zip Code Lines_1'!$Q$4:$Q$26,0),0)</f>
        <v>12</v>
      </c>
      <c r="H2109" s="342">
        <v>14847</v>
      </c>
    </row>
    <row r="2110" spans="2:8" x14ac:dyDescent="0.25">
      <c r="B2110" s="342">
        <v>14850</v>
      </c>
      <c r="C2110" s="343" t="s">
        <v>532</v>
      </c>
      <c r="D2110" s="343" t="str">
        <f ca="1">OFFSET('Zip Code Lines_1'!$U$3,MATCH('Zip Code Lines_1'!C2110,'Zip Code Lines_1'!$Q$4:$Q$26,0),0)</f>
        <v>Binghamton</v>
      </c>
      <c r="E2110" s="344">
        <f ca="1">OFFSET('Zip Code Lines_1'!$W$3,MATCH('Zip Code Lines_1'!C2110,'Zip Code Lines_1'!$Q$4:$Q$26,0),0)</f>
        <v>4.5</v>
      </c>
      <c r="F2110" s="344">
        <f ca="1">OFFSET('Zip Code Lines_1'!$Z$3,MATCH('Zip Code Lines_1'!C2110,'Zip Code Lines_1'!$Q$4:$Q$26,0),0)</f>
        <v>82.3</v>
      </c>
      <c r="G2110" s="342">
        <f ca="1">OFFSET('Zip Code Lines_1'!$AC$3,MATCH('Zip Code Lines_1'!C2110,'Zip Code Lines_1'!$Q$4:$Q$26,0),0)</f>
        <v>12</v>
      </c>
      <c r="H2110" s="342">
        <v>14850</v>
      </c>
    </row>
    <row r="2111" spans="2:8" x14ac:dyDescent="0.25">
      <c r="B2111" s="342">
        <v>14851</v>
      </c>
      <c r="C2111" s="343" t="s">
        <v>538</v>
      </c>
      <c r="D2111" s="343" t="str">
        <f ca="1">OFFSET('Zip Code Lines_1'!$U$3,MATCH('Zip Code Lines_1'!C2111,'Zip Code Lines_1'!$Q$4:$Q$26,0),0)</f>
        <v>Elmira</v>
      </c>
      <c r="E2111" s="344">
        <f ca="1">OFFSET('Zip Code Lines_1'!$W$3,MATCH('Zip Code Lines_1'!C2111,'Zip Code Lines_1'!$Q$4:$Q$26,0),0)</f>
        <v>4.8</v>
      </c>
      <c r="F2111" s="344">
        <f ca="1">OFFSET('Zip Code Lines_1'!$Z$3,MATCH('Zip Code Lines_1'!C2111,'Zip Code Lines_1'!$Q$4:$Q$26,0),0)</f>
        <v>86.4</v>
      </c>
      <c r="G2111" s="342">
        <f ca="1">OFFSET('Zip Code Lines_1'!$AC$3,MATCH('Zip Code Lines_1'!C2111,'Zip Code Lines_1'!$Q$4:$Q$26,0),0)</f>
        <v>6</v>
      </c>
      <c r="H2111" s="342">
        <v>14851</v>
      </c>
    </row>
    <row r="2112" spans="2:8" x14ac:dyDescent="0.25">
      <c r="B2112" s="342">
        <v>14852</v>
      </c>
      <c r="C2112" s="343" t="s">
        <v>538</v>
      </c>
      <c r="D2112" s="343" t="str">
        <f ca="1">OFFSET('Zip Code Lines_1'!$U$3,MATCH('Zip Code Lines_1'!C2112,'Zip Code Lines_1'!$Q$4:$Q$26,0),0)</f>
        <v>Elmira</v>
      </c>
      <c r="E2112" s="344">
        <f ca="1">OFFSET('Zip Code Lines_1'!$W$3,MATCH('Zip Code Lines_1'!C2112,'Zip Code Lines_1'!$Q$4:$Q$26,0),0)</f>
        <v>4.8</v>
      </c>
      <c r="F2112" s="344">
        <f ca="1">OFFSET('Zip Code Lines_1'!$Z$3,MATCH('Zip Code Lines_1'!C2112,'Zip Code Lines_1'!$Q$4:$Q$26,0),0)</f>
        <v>86.4</v>
      </c>
      <c r="G2112" s="342">
        <f ca="1">OFFSET('Zip Code Lines_1'!$AC$3,MATCH('Zip Code Lines_1'!C2112,'Zip Code Lines_1'!$Q$4:$Q$26,0),0)</f>
        <v>6</v>
      </c>
      <c r="H2112" s="342">
        <v>14852</v>
      </c>
    </row>
    <row r="2113" spans="2:8" x14ac:dyDescent="0.25">
      <c r="B2113" s="342">
        <v>14853</v>
      </c>
      <c r="C2113" s="343" t="s">
        <v>538</v>
      </c>
      <c r="D2113" s="343" t="str">
        <f ca="1">OFFSET('Zip Code Lines_1'!$U$3,MATCH('Zip Code Lines_1'!C2113,'Zip Code Lines_1'!$Q$4:$Q$26,0),0)</f>
        <v>Elmira</v>
      </c>
      <c r="E2113" s="344">
        <f ca="1">OFFSET('Zip Code Lines_1'!$W$3,MATCH('Zip Code Lines_1'!C2113,'Zip Code Lines_1'!$Q$4:$Q$26,0),0)</f>
        <v>4.8</v>
      </c>
      <c r="F2113" s="344">
        <f ca="1">OFFSET('Zip Code Lines_1'!$Z$3,MATCH('Zip Code Lines_1'!C2113,'Zip Code Lines_1'!$Q$4:$Q$26,0),0)</f>
        <v>86.4</v>
      </c>
      <c r="G2113" s="342">
        <f ca="1">OFFSET('Zip Code Lines_1'!$AC$3,MATCH('Zip Code Lines_1'!C2113,'Zip Code Lines_1'!$Q$4:$Q$26,0),0)</f>
        <v>6</v>
      </c>
      <c r="H2113" s="342">
        <v>14853</v>
      </c>
    </row>
    <row r="2114" spans="2:8" x14ac:dyDescent="0.25">
      <c r="B2114" s="342">
        <v>14854</v>
      </c>
      <c r="C2114" s="343" t="s">
        <v>532</v>
      </c>
      <c r="D2114" s="343" t="str">
        <f ca="1">OFFSET('Zip Code Lines_1'!$U$3,MATCH('Zip Code Lines_1'!C2114,'Zip Code Lines_1'!$Q$4:$Q$26,0),0)</f>
        <v>Binghamton</v>
      </c>
      <c r="E2114" s="344">
        <f ca="1">OFFSET('Zip Code Lines_1'!$W$3,MATCH('Zip Code Lines_1'!C2114,'Zip Code Lines_1'!$Q$4:$Q$26,0),0)</f>
        <v>4.5</v>
      </c>
      <c r="F2114" s="344">
        <f ca="1">OFFSET('Zip Code Lines_1'!$Z$3,MATCH('Zip Code Lines_1'!C2114,'Zip Code Lines_1'!$Q$4:$Q$26,0),0)</f>
        <v>82.3</v>
      </c>
      <c r="G2114" s="342">
        <f ca="1">OFFSET('Zip Code Lines_1'!$AC$3,MATCH('Zip Code Lines_1'!C2114,'Zip Code Lines_1'!$Q$4:$Q$26,0),0)</f>
        <v>12</v>
      </c>
      <c r="H2114" s="342">
        <v>14854</v>
      </c>
    </row>
    <row r="2115" spans="2:8" x14ac:dyDescent="0.25">
      <c r="B2115" s="342">
        <v>14855</v>
      </c>
      <c r="C2115" s="343" t="s">
        <v>532</v>
      </c>
      <c r="D2115" s="343" t="str">
        <f ca="1">OFFSET('Zip Code Lines_1'!$U$3,MATCH('Zip Code Lines_1'!C2115,'Zip Code Lines_1'!$Q$4:$Q$26,0),0)</f>
        <v>Binghamton</v>
      </c>
      <c r="E2115" s="344">
        <f ca="1">OFFSET('Zip Code Lines_1'!$W$3,MATCH('Zip Code Lines_1'!C2115,'Zip Code Lines_1'!$Q$4:$Q$26,0),0)</f>
        <v>4.5</v>
      </c>
      <c r="F2115" s="344">
        <f ca="1">OFFSET('Zip Code Lines_1'!$Z$3,MATCH('Zip Code Lines_1'!C2115,'Zip Code Lines_1'!$Q$4:$Q$26,0),0)</f>
        <v>82.3</v>
      </c>
      <c r="G2115" s="342">
        <f ca="1">OFFSET('Zip Code Lines_1'!$AC$3,MATCH('Zip Code Lines_1'!C2115,'Zip Code Lines_1'!$Q$4:$Q$26,0),0)</f>
        <v>12</v>
      </c>
      <c r="H2115" s="342">
        <v>14855</v>
      </c>
    </row>
    <row r="2116" spans="2:8" x14ac:dyDescent="0.25">
      <c r="B2116" s="342">
        <v>14856</v>
      </c>
      <c r="C2116" s="343" t="s">
        <v>538</v>
      </c>
      <c r="D2116" s="343" t="str">
        <f ca="1">OFFSET('Zip Code Lines_1'!$U$3,MATCH('Zip Code Lines_1'!C2116,'Zip Code Lines_1'!$Q$4:$Q$26,0),0)</f>
        <v>Elmira</v>
      </c>
      <c r="E2116" s="344">
        <f ca="1">OFFSET('Zip Code Lines_1'!$W$3,MATCH('Zip Code Lines_1'!C2116,'Zip Code Lines_1'!$Q$4:$Q$26,0),0)</f>
        <v>4.8</v>
      </c>
      <c r="F2116" s="344">
        <f ca="1">OFFSET('Zip Code Lines_1'!$Z$3,MATCH('Zip Code Lines_1'!C2116,'Zip Code Lines_1'!$Q$4:$Q$26,0),0)</f>
        <v>86.4</v>
      </c>
      <c r="G2116" s="342">
        <f ca="1">OFFSET('Zip Code Lines_1'!$AC$3,MATCH('Zip Code Lines_1'!C2116,'Zip Code Lines_1'!$Q$4:$Q$26,0),0)</f>
        <v>6</v>
      </c>
      <c r="H2116" s="342">
        <v>14856</v>
      </c>
    </row>
    <row r="2117" spans="2:8" x14ac:dyDescent="0.25">
      <c r="B2117" s="342">
        <v>14857</v>
      </c>
      <c r="C2117" s="343" t="s">
        <v>538</v>
      </c>
      <c r="D2117" s="343" t="str">
        <f ca="1">OFFSET('Zip Code Lines_1'!$U$3,MATCH('Zip Code Lines_1'!C2117,'Zip Code Lines_1'!$Q$4:$Q$26,0),0)</f>
        <v>Elmira</v>
      </c>
      <c r="E2117" s="344">
        <f ca="1">OFFSET('Zip Code Lines_1'!$W$3,MATCH('Zip Code Lines_1'!C2117,'Zip Code Lines_1'!$Q$4:$Q$26,0),0)</f>
        <v>4.8</v>
      </c>
      <c r="F2117" s="344">
        <f ca="1">OFFSET('Zip Code Lines_1'!$Z$3,MATCH('Zip Code Lines_1'!C2117,'Zip Code Lines_1'!$Q$4:$Q$26,0),0)</f>
        <v>86.4</v>
      </c>
      <c r="G2117" s="342">
        <f ca="1">OFFSET('Zip Code Lines_1'!$AC$3,MATCH('Zip Code Lines_1'!C2117,'Zip Code Lines_1'!$Q$4:$Q$26,0),0)</f>
        <v>6</v>
      </c>
      <c r="H2117" s="342">
        <v>14857</v>
      </c>
    </row>
    <row r="2118" spans="2:8" x14ac:dyDescent="0.25">
      <c r="B2118" s="342">
        <v>14858</v>
      </c>
      <c r="C2118" s="343" t="s">
        <v>538</v>
      </c>
      <c r="D2118" s="343" t="str">
        <f ca="1">OFFSET('Zip Code Lines_1'!$U$3,MATCH('Zip Code Lines_1'!C2118,'Zip Code Lines_1'!$Q$4:$Q$26,0),0)</f>
        <v>Elmira</v>
      </c>
      <c r="E2118" s="344">
        <f ca="1">OFFSET('Zip Code Lines_1'!$W$3,MATCH('Zip Code Lines_1'!C2118,'Zip Code Lines_1'!$Q$4:$Q$26,0),0)</f>
        <v>4.8</v>
      </c>
      <c r="F2118" s="344">
        <f ca="1">OFFSET('Zip Code Lines_1'!$Z$3,MATCH('Zip Code Lines_1'!C2118,'Zip Code Lines_1'!$Q$4:$Q$26,0),0)</f>
        <v>86.4</v>
      </c>
      <c r="G2118" s="342">
        <f ca="1">OFFSET('Zip Code Lines_1'!$AC$3,MATCH('Zip Code Lines_1'!C2118,'Zip Code Lines_1'!$Q$4:$Q$26,0),0)</f>
        <v>6</v>
      </c>
      <c r="H2118" s="342">
        <v>14858</v>
      </c>
    </row>
    <row r="2119" spans="2:8" x14ac:dyDescent="0.25">
      <c r="B2119" s="342">
        <v>14859</v>
      </c>
      <c r="C2119" s="343" t="s">
        <v>532</v>
      </c>
      <c r="D2119" s="343" t="str">
        <f ca="1">OFFSET('Zip Code Lines_1'!$U$3,MATCH('Zip Code Lines_1'!C2119,'Zip Code Lines_1'!$Q$4:$Q$26,0),0)</f>
        <v>Binghamton</v>
      </c>
      <c r="E2119" s="344">
        <f ca="1">OFFSET('Zip Code Lines_1'!$W$3,MATCH('Zip Code Lines_1'!C2119,'Zip Code Lines_1'!$Q$4:$Q$26,0),0)</f>
        <v>4.5</v>
      </c>
      <c r="F2119" s="344">
        <f ca="1">OFFSET('Zip Code Lines_1'!$Z$3,MATCH('Zip Code Lines_1'!C2119,'Zip Code Lines_1'!$Q$4:$Q$26,0),0)</f>
        <v>82.3</v>
      </c>
      <c r="G2119" s="342">
        <f ca="1">OFFSET('Zip Code Lines_1'!$AC$3,MATCH('Zip Code Lines_1'!C2119,'Zip Code Lines_1'!$Q$4:$Q$26,0),0)</f>
        <v>12</v>
      </c>
      <c r="H2119" s="342">
        <v>14859</v>
      </c>
    </row>
    <row r="2120" spans="2:8" x14ac:dyDescent="0.25">
      <c r="B2120" s="342">
        <v>14860</v>
      </c>
      <c r="C2120" s="343" t="s">
        <v>532</v>
      </c>
      <c r="D2120" s="343" t="str">
        <f ca="1">OFFSET('Zip Code Lines_1'!$U$3,MATCH('Zip Code Lines_1'!C2120,'Zip Code Lines_1'!$Q$4:$Q$26,0),0)</f>
        <v>Binghamton</v>
      </c>
      <c r="E2120" s="344">
        <f ca="1">OFFSET('Zip Code Lines_1'!$W$3,MATCH('Zip Code Lines_1'!C2120,'Zip Code Lines_1'!$Q$4:$Q$26,0),0)</f>
        <v>4.5</v>
      </c>
      <c r="F2120" s="344">
        <f ca="1">OFFSET('Zip Code Lines_1'!$Z$3,MATCH('Zip Code Lines_1'!C2120,'Zip Code Lines_1'!$Q$4:$Q$26,0),0)</f>
        <v>82.3</v>
      </c>
      <c r="G2120" s="342">
        <f ca="1">OFFSET('Zip Code Lines_1'!$AC$3,MATCH('Zip Code Lines_1'!C2120,'Zip Code Lines_1'!$Q$4:$Q$26,0),0)</f>
        <v>12</v>
      </c>
      <c r="H2120" s="342">
        <v>14860</v>
      </c>
    </row>
    <row r="2121" spans="2:8" x14ac:dyDescent="0.25">
      <c r="B2121" s="342">
        <v>14861</v>
      </c>
      <c r="C2121" s="343" t="s">
        <v>538</v>
      </c>
      <c r="D2121" s="343" t="str">
        <f ca="1">OFFSET('Zip Code Lines_1'!$U$3,MATCH('Zip Code Lines_1'!C2121,'Zip Code Lines_1'!$Q$4:$Q$26,0),0)</f>
        <v>Elmira</v>
      </c>
      <c r="E2121" s="344">
        <f ca="1">OFFSET('Zip Code Lines_1'!$W$3,MATCH('Zip Code Lines_1'!C2121,'Zip Code Lines_1'!$Q$4:$Q$26,0),0)</f>
        <v>4.8</v>
      </c>
      <c r="F2121" s="344">
        <f ca="1">OFFSET('Zip Code Lines_1'!$Z$3,MATCH('Zip Code Lines_1'!C2121,'Zip Code Lines_1'!$Q$4:$Q$26,0),0)</f>
        <v>86.4</v>
      </c>
      <c r="G2121" s="342">
        <f ca="1">OFFSET('Zip Code Lines_1'!$AC$3,MATCH('Zip Code Lines_1'!C2121,'Zip Code Lines_1'!$Q$4:$Q$26,0),0)</f>
        <v>6</v>
      </c>
      <c r="H2121" s="342">
        <v>14861</v>
      </c>
    </row>
    <row r="2122" spans="2:8" x14ac:dyDescent="0.25">
      <c r="B2122" s="342">
        <v>14863</v>
      </c>
      <c r="C2122" s="343" t="s">
        <v>532</v>
      </c>
      <c r="D2122" s="343" t="str">
        <f ca="1">OFFSET('Zip Code Lines_1'!$U$3,MATCH('Zip Code Lines_1'!C2122,'Zip Code Lines_1'!$Q$4:$Q$26,0),0)</f>
        <v>Binghamton</v>
      </c>
      <c r="E2122" s="344">
        <f ca="1">OFFSET('Zip Code Lines_1'!$W$3,MATCH('Zip Code Lines_1'!C2122,'Zip Code Lines_1'!$Q$4:$Q$26,0),0)</f>
        <v>4.5</v>
      </c>
      <c r="F2122" s="344">
        <f ca="1">OFFSET('Zip Code Lines_1'!$Z$3,MATCH('Zip Code Lines_1'!C2122,'Zip Code Lines_1'!$Q$4:$Q$26,0),0)</f>
        <v>82.3</v>
      </c>
      <c r="G2122" s="342">
        <f ca="1">OFFSET('Zip Code Lines_1'!$AC$3,MATCH('Zip Code Lines_1'!C2122,'Zip Code Lines_1'!$Q$4:$Q$26,0),0)</f>
        <v>12</v>
      </c>
      <c r="H2122" s="342">
        <v>14863</v>
      </c>
    </row>
    <row r="2123" spans="2:8" x14ac:dyDescent="0.25">
      <c r="B2123" s="342">
        <v>14864</v>
      </c>
      <c r="C2123" s="343" t="s">
        <v>538</v>
      </c>
      <c r="D2123" s="343" t="str">
        <f ca="1">OFFSET('Zip Code Lines_1'!$U$3,MATCH('Zip Code Lines_1'!C2123,'Zip Code Lines_1'!$Q$4:$Q$26,0),0)</f>
        <v>Elmira</v>
      </c>
      <c r="E2123" s="344">
        <f ca="1">OFFSET('Zip Code Lines_1'!$W$3,MATCH('Zip Code Lines_1'!C2123,'Zip Code Lines_1'!$Q$4:$Q$26,0),0)</f>
        <v>4.8</v>
      </c>
      <c r="F2123" s="344">
        <f ca="1">OFFSET('Zip Code Lines_1'!$Z$3,MATCH('Zip Code Lines_1'!C2123,'Zip Code Lines_1'!$Q$4:$Q$26,0),0)</f>
        <v>86.4</v>
      </c>
      <c r="G2123" s="342">
        <f ca="1">OFFSET('Zip Code Lines_1'!$AC$3,MATCH('Zip Code Lines_1'!C2123,'Zip Code Lines_1'!$Q$4:$Q$26,0),0)</f>
        <v>6</v>
      </c>
      <c r="H2123" s="342">
        <v>14864</v>
      </c>
    </row>
    <row r="2124" spans="2:8" x14ac:dyDescent="0.25">
      <c r="B2124" s="342">
        <v>14865</v>
      </c>
      <c r="C2124" s="343" t="s">
        <v>538</v>
      </c>
      <c r="D2124" s="343" t="str">
        <f ca="1">OFFSET('Zip Code Lines_1'!$U$3,MATCH('Zip Code Lines_1'!C2124,'Zip Code Lines_1'!$Q$4:$Q$26,0),0)</f>
        <v>Elmira</v>
      </c>
      <c r="E2124" s="344">
        <f ca="1">OFFSET('Zip Code Lines_1'!$W$3,MATCH('Zip Code Lines_1'!C2124,'Zip Code Lines_1'!$Q$4:$Q$26,0),0)</f>
        <v>4.8</v>
      </c>
      <c r="F2124" s="344">
        <f ca="1">OFFSET('Zip Code Lines_1'!$Z$3,MATCH('Zip Code Lines_1'!C2124,'Zip Code Lines_1'!$Q$4:$Q$26,0),0)</f>
        <v>86.4</v>
      </c>
      <c r="G2124" s="342">
        <f ca="1">OFFSET('Zip Code Lines_1'!$AC$3,MATCH('Zip Code Lines_1'!C2124,'Zip Code Lines_1'!$Q$4:$Q$26,0),0)</f>
        <v>6</v>
      </c>
      <c r="H2124" s="342">
        <v>14865</v>
      </c>
    </row>
    <row r="2125" spans="2:8" x14ac:dyDescent="0.25">
      <c r="B2125" s="342">
        <v>14867</v>
      </c>
      <c r="C2125" s="343" t="s">
        <v>532</v>
      </c>
      <c r="D2125" s="343" t="str">
        <f ca="1">OFFSET('Zip Code Lines_1'!$U$3,MATCH('Zip Code Lines_1'!C2125,'Zip Code Lines_1'!$Q$4:$Q$26,0),0)</f>
        <v>Binghamton</v>
      </c>
      <c r="E2125" s="344">
        <f ca="1">OFFSET('Zip Code Lines_1'!$W$3,MATCH('Zip Code Lines_1'!C2125,'Zip Code Lines_1'!$Q$4:$Q$26,0),0)</f>
        <v>4.5</v>
      </c>
      <c r="F2125" s="344">
        <f ca="1">OFFSET('Zip Code Lines_1'!$Z$3,MATCH('Zip Code Lines_1'!C2125,'Zip Code Lines_1'!$Q$4:$Q$26,0),0)</f>
        <v>82.3</v>
      </c>
      <c r="G2125" s="342">
        <f ca="1">OFFSET('Zip Code Lines_1'!$AC$3,MATCH('Zip Code Lines_1'!C2125,'Zip Code Lines_1'!$Q$4:$Q$26,0),0)</f>
        <v>12</v>
      </c>
      <c r="H2125" s="342">
        <v>14867</v>
      </c>
    </row>
    <row r="2126" spans="2:8" x14ac:dyDescent="0.25">
      <c r="B2126" s="342">
        <v>14869</v>
      </c>
      <c r="C2126" s="343" t="s">
        <v>538</v>
      </c>
      <c r="D2126" s="343" t="str">
        <f ca="1">OFFSET('Zip Code Lines_1'!$U$3,MATCH('Zip Code Lines_1'!C2126,'Zip Code Lines_1'!$Q$4:$Q$26,0),0)</f>
        <v>Elmira</v>
      </c>
      <c r="E2126" s="344">
        <f ca="1">OFFSET('Zip Code Lines_1'!$W$3,MATCH('Zip Code Lines_1'!C2126,'Zip Code Lines_1'!$Q$4:$Q$26,0),0)</f>
        <v>4.8</v>
      </c>
      <c r="F2126" s="344">
        <f ca="1">OFFSET('Zip Code Lines_1'!$Z$3,MATCH('Zip Code Lines_1'!C2126,'Zip Code Lines_1'!$Q$4:$Q$26,0),0)</f>
        <v>86.4</v>
      </c>
      <c r="G2126" s="342">
        <f ca="1">OFFSET('Zip Code Lines_1'!$AC$3,MATCH('Zip Code Lines_1'!C2126,'Zip Code Lines_1'!$Q$4:$Q$26,0),0)</f>
        <v>6</v>
      </c>
      <c r="H2126" s="342">
        <v>14869</v>
      </c>
    </row>
    <row r="2127" spans="2:8" x14ac:dyDescent="0.25">
      <c r="B2127" s="342">
        <v>14870</v>
      </c>
      <c r="C2127" s="343" t="s">
        <v>538</v>
      </c>
      <c r="D2127" s="343" t="str">
        <f ca="1">OFFSET('Zip Code Lines_1'!$U$3,MATCH('Zip Code Lines_1'!C2127,'Zip Code Lines_1'!$Q$4:$Q$26,0),0)</f>
        <v>Elmira</v>
      </c>
      <c r="E2127" s="344">
        <f ca="1">OFFSET('Zip Code Lines_1'!$W$3,MATCH('Zip Code Lines_1'!C2127,'Zip Code Lines_1'!$Q$4:$Q$26,0),0)</f>
        <v>4.8</v>
      </c>
      <c r="F2127" s="344">
        <f ca="1">OFFSET('Zip Code Lines_1'!$Z$3,MATCH('Zip Code Lines_1'!C2127,'Zip Code Lines_1'!$Q$4:$Q$26,0),0)</f>
        <v>86.4</v>
      </c>
      <c r="G2127" s="342">
        <f ca="1">OFFSET('Zip Code Lines_1'!$AC$3,MATCH('Zip Code Lines_1'!C2127,'Zip Code Lines_1'!$Q$4:$Q$26,0),0)</f>
        <v>6</v>
      </c>
      <c r="H2127" s="342">
        <v>14870</v>
      </c>
    </row>
    <row r="2128" spans="2:8" x14ac:dyDescent="0.25">
      <c r="B2128" s="342">
        <v>14871</v>
      </c>
      <c r="C2128" s="343" t="s">
        <v>538</v>
      </c>
      <c r="D2128" s="343" t="str">
        <f ca="1">OFFSET('Zip Code Lines_1'!$U$3,MATCH('Zip Code Lines_1'!C2128,'Zip Code Lines_1'!$Q$4:$Q$26,0),0)</f>
        <v>Elmira</v>
      </c>
      <c r="E2128" s="344">
        <f ca="1">OFFSET('Zip Code Lines_1'!$W$3,MATCH('Zip Code Lines_1'!C2128,'Zip Code Lines_1'!$Q$4:$Q$26,0),0)</f>
        <v>4.8</v>
      </c>
      <c r="F2128" s="344">
        <f ca="1">OFFSET('Zip Code Lines_1'!$Z$3,MATCH('Zip Code Lines_1'!C2128,'Zip Code Lines_1'!$Q$4:$Q$26,0),0)</f>
        <v>86.4</v>
      </c>
      <c r="G2128" s="342">
        <f ca="1">OFFSET('Zip Code Lines_1'!$AC$3,MATCH('Zip Code Lines_1'!C2128,'Zip Code Lines_1'!$Q$4:$Q$26,0),0)</f>
        <v>6</v>
      </c>
      <c r="H2128" s="342">
        <v>14871</v>
      </c>
    </row>
    <row r="2129" spans="2:8" x14ac:dyDescent="0.25">
      <c r="B2129" s="342">
        <v>14872</v>
      </c>
      <c r="C2129" s="343" t="s">
        <v>538</v>
      </c>
      <c r="D2129" s="343" t="str">
        <f ca="1">OFFSET('Zip Code Lines_1'!$U$3,MATCH('Zip Code Lines_1'!C2129,'Zip Code Lines_1'!$Q$4:$Q$26,0),0)</f>
        <v>Elmira</v>
      </c>
      <c r="E2129" s="344">
        <f ca="1">OFFSET('Zip Code Lines_1'!$W$3,MATCH('Zip Code Lines_1'!C2129,'Zip Code Lines_1'!$Q$4:$Q$26,0),0)</f>
        <v>4.8</v>
      </c>
      <c r="F2129" s="344">
        <f ca="1">OFFSET('Zip Code Lines_1'!$Z$3,MATCH('Zip Code Lines_1'!C2129,'Zip Code Lines_1'!$Q$4:$Q$26,0),0)</f>
        <v>86.4</v>
      </c>
      <c r="G2129" s="342">
        <f ca="1">OFFSET('Zip Code Lines_1'!$AC$3,MATCH('Zip Code Lines_1'!C2129,'Zip Code Lines_1'!$Q$4:$Q$26,0),0)</f>
        <v>6</v>
      </c>
      <c r="H2129" s="342">
        <v>14872</v>
      </c>
    </row>
    <row r="2130" spans="2:8" x14ac:dyDescent="0.25">
      <c r="B2130" s="342">
        <v>14873</v>
      </c>
      <c r="C2130" s="343" t="s">
        <v>532</v>
      </c>
      <c r="D2130" s="343" t="str">
        <f ca="1">OFFSET('Zip Code Lines_1'!$U$3,MATCH('Zip Code Lines_1'!C2130,'Zip Code Lines_1'!$Q$4:$Q$26,0),0)</f>
        <v>Binghamton</v>
      </c>
      <c r="E2130" s="344">
        <f ca="1">OFFSET('Zip Code Lines_1'!$W$3,MATCH('Zip Code Lines_1'!C2130,'Zip Code Lines_1'!$Q$4:$Q$26,0),0)</f>
        <v>4.5</v>
      </c>
      <c r="F2130" s="344">
        <f ca="1">OFFSET('Zip Code Lines_1'!$Z$3,MATCH('Zip Code Lines_1'!C2130,'Zip Code Lines_1'!$Q$4:$Q$26,0),0)</f>
        <v>82.3</v>
      </c>
      <c r="G2130" s="342">
        <f ca="1">OFFSET('Zip Code Lines_1'!$AC$3,MATCH('Zip Code Lines_1'!C2130,'Zip Code Lines_1'!$Q$4:$Q$26,0),0)</f>
        <v>12</v>
      </c>
      <c r="H2130" s="342">
        <v>14873</v>
      </c>
    </row>
    <row r="2131" spans="2:8" x14ac:dyDescent="0.25">
      <c r="B2131" s="342">
        <v>14874</v>
      </c>
      <c r="C2131" s="343" t="s">
        <v>532</v>
      </c>
      <c r="D2131" s="343" t="str">
        <f ca="1">OFFSET('Zip Code Lines_1'!$U$3,MATCH('Zip Code Lines_1'!C2131,'Zip Code Lines_1'!$Q$4:$Q$26,0),0)</f>
        <v>Binghamton</v>
      </c>
      <c r="E2131" s="344">
        <f ca="1">OFFSET('Zip Code Lines_1'!$W$3,MATCH('Zip Code Lines_1'!C2131,'Zip Code Lines_1'!$Q$4:$Q$26,0),0)</f>
        <v>4.5</v>
      </c>
      <c r="F2131" s="344">
        <f ca="1">OFFSET('Zip Code Lines_1'!$Z$3,MATCH('Zip Code Lines_1'!C2131,'Zip Code Lines_1'!$Q$4:$Q$26,0),0)</f>
        <v>82.3</v>
      </c>
      <c r="G2131" s="342">
        <f ca="1">OFFSET('Zip Code Lines_1'!$AC$3,MATCH('Zip Code Lines_1'!C2131,'Zip Code Lines_1'!$Q$4:$Q$26,0),0)</f>
        <v>12</v>
      </c>
      <c r="H2131" s="342">
        <v>14874</v>
      </c>
    </row>
    <row r="2132" spans="2:8" x14ac:dyDescent="0.25">
      <c r="B2132" s="342">
        <v>14876</v>
      </c>
      <c r="C2132" s="343" t="s">
        <v>538</v>
      </c>
      <c r="D2132" s="343" t="str">
        <f ca="1">OFFSET('Zip Code Lines_1'!$U$3,MATCH('Zip Code Lines_1'!C2132,'Zip Code Lines_1'!$Q$4:$Q$26,0),0)</f>
        <v>Elmira</v>
      </c>
      <c r="E2132" s="344">
        <f ca="1">OFFSET('Zip Code Lines_1'!$W$3,MATCH('Zip Code Lines_1'!C2132,'Zip Code Lines_1'!$Q$4:$Q$26,0),0)</f>
        <v>4.8</v>
      </c>
      <c r="F2132" s="344">
        <f ca="1">OFFSET('Zip Code Lines_1'!$Z$3,MATCH('Zip Code Lines_1'!C2132,'Zip Code Lines_1'!$Q$4:$Q$26,0),0)</f>
        <v>86.4</v>
      </c>
      <c r="G2132" s="342">
        <f ca="1">OFFSET('Zip Code Lines_1'!$AC$3,MATCH('Zip Code Lines_1'!C2132,'Zip Code Lines_1'!$Q$4:$Q$26,0),0)</f>
        <v>6</v>
      </c>
      <c r="H2132" s="342">
        <v>14876</v>
      </c>
    </row>
    <row r="2133" spans="2:8" x14ac:dyDescent="0.25">
      <c r="B2133" s="342">
        <v>14877</v>
      </c>
      <c r="C2133" s="343" t="s">
        <v>532</v>
      </c>
      <c r="D2133" s="343" t="str">
        <f ca="1">OFFSET('Zip Code Lines_1'!$U$3,MATCH('Zip Code Lines_1'!C2133,'Zip Code Lines_1'!$Q$4:$Q$26,0),0)</f>
        <v>Binghamton</v>
      </c>
      <c r="E2133" s="344">
        <f ca="1">OFFSET('Zip Code Lines_1'!$W$3,MATCH('Zip Code Lines_1'!C2133,'Zip Code Lines_1'!$Q$4:$Q$26,0),0)</f>
        <v>4.5</v>
      </c>
      <c r="F2133" s="344">
        <f ca="1">OFFSET('Zip Code Lines_1'!$Z$3,MATCH('Zip Code Lines_1'!C2133,'Zip Code Lines_1'!$Q$4:$Q$26,0),0)</f>
        <v>82.3</v>
      </c>
      <c r="G2133" s="342">
        <f ca="1">OFFSET('Zip Code Lines_1'!$AC$3,MATCH('Zip Code Lines_1'!C2133,'Zip Code Lines_1'!$Q$4:$Q$26,0),0)</f>
        <v>12</v>
      </c>
      <c r="H2133" s="342">
        <v>14877</v>
      </c>
    </row>
    <row r="2134" spans="2:8" x14ac:dyDescent="0.25">
      <c r="B2134" s="342">
        <v>14878</v>
      </c>
      <c r="C2134" s="343" t="s">
        <v>538</v>
      </c>
      <c r="D2134" s="343" t="str">
        <f ca="1">OFFSET('Zip Code Lines_1'!$U$3,MATCH('Zip Code Lines_1'!C2134,'Zip Code Lines_1'!$Q$4:$Q$26,0),0)</f>
        <v>Elmira</v>
      </c>
      <c r="E2134" s="344">
        <f ca="1">OFFSET('Zip Code Lines_1'!$W$3,MATCH('Zip Code Lines_1'!C2134,'Zip Code Lines_1'!$Q$4:$Q$26,0),0)</f>
        <v>4.8</v>
      </c>
      <c r="F2134" s="344">
        <f ca="1">OFFSET('Zip Code Lines_1'!$Z$3,MATCH('Zip Code Lines_1'!C2134,'Zip Code Lines_1'!$Q$4:$Q$26,0),0)</f>
        <v>86.4</v>
      </c>
      <c r="G2134" s="342">
        <f ca="1">OFFSET('Zip Code Lines_1'!$AC$3,MATCH('Zip Code Lines_1'!C2134,'Zip Code Lines_1'!$Q$4:$Q$26,0),0)</f>
        <v>6</v>
      </c>
      <c r="H2134" s="342">
        <v>14878</v>
      </c>
    </row>
    <row r="2135" spans="2:8" x14ac:dyDescent="0.25">
      <c r="B2135" s="342">
        <v>14879</v>
      </c>
      <c r="C2135" s="343" t="s">
        <v>538</v>
      </c>
      <c r="D2135" s="343" t="str">
        <f ca="1">OFFSET('Zip Code Lines_1'!$U$3,MATCH('Zip Code Lines_1'!C2135,'Zip Code Lines_1'!$Q$4:$Q$26,0),0)</f>
        <v>Elmira</v>
      </c>
      <c r="E2135" s="344">
        <f ca="1">OFFSET('Zip Code Lines_1'!$W$3,MATCH('Zip Code Lines_1'!C2135,'Zip Code Lines_1'!$Q$4:$Q$26,0),0)</f>
        <v>4.8</v>
      </c>
      <c r="F2135" s="344">
        <f ca="1">OFFSET('Zip Code Lines_1'!$Z$3,MATCH('Zip Code Lines_1'!C2135,'Zip Code Lines_1'!$Q$4:$Q$26,0),0)</f>
        <v>86.4</v>
      </c>
      <c r="G2135" s="342">
        <f ca="1">OFFSET('Zip Code Lines_1'!$AC$3,MATCH('Zip Code Lines_1'!C2135,'Zip Code Lines_1'!$Q$4:$Q$26,0),0)</f>
        <v>6</v>
      </c>
      <c r="H2135" s="342">
        <v>14879</v>
      </c>
    </row>
    <row r="2136" spans="2:8" x14ac:dyDescent="0.25">
      <c r="B2136" s="342">
        <v>14880</v>
      </c>
      <c r="C2136" s="343" t="s">
        <v>534</v>
      </c>
      <c r="D2136" s="343" t="str">
        <f ca="1">OFFSET('Zip Code Lines_1'!$U$3,MATCH('Zip Code Lines_1'!C2136,'Zip Code Lines_1'!$Q$4:$Q$26,0),0)</f>
        <v>Buffalo</v>
      </c>
      <c r="E2136" s="344">
        <f ca="1">OFFSET('Zip Code Lines_1'!$W$3,MATCH('Zip Code Lines_1'!C2136,'Zip Code Lines_1'!$Q$4:$Q$26,0),0)</f>
        <v>7.4</v>
      </c>
      <c r="F2136" s="344">
        <f ca="1">OFFSET('Zip Code Lines_1'!$Z$3,MATCH('Zip Code Lines_1'!C2136,'Zip Code Lines_1'!$Q$4:$Q$26,0),0)</f>
        <v>83.9</v>
      </c>
      <c r="G2136" s="342">
        <f ca="1">OFFSET('Zip Code Lines_1'!$AC$3,MATCH('Zip Code Lines_1'!C2136,'Zip Code Lines_1'!$Q$4:$Q$26,0),0)</f>
        <v>18</v>
      </c>
      <c r="H2136" s="342">
        <v>14880</v>
      </c>
    </row>
    <row r="2137" spans="2:8" x14ac:dyDescent="0.25">
      <c r="B2137" s="342">
        <v>14881</v>
      </c>
      <c r="C2137" s="343" t="s">
        <v>532</v>
      </c>
      <c r="D2137" s="343" t="str">
        <f ca="1">OFFSET('Zip Code Lines_1'!$U$3,MATCH('Zip Code Lines_1'!C2137,'Zip Code Lines_1'!$Q$4:$Q$26,0),0)</f>
        <v>Binghamton</v>
      </c>
      <c r="E2137" s="344">
        <f ca="1">OFFSET('Zip Code Lines_1'!$W$3,MATCH('Zip Code Lines_1'!C2137,'Zip Code Lines_1'!$Q$4:$Q$26,0),0)</f>
        <v>4.5</v>
      </c>
      <c r="F2137" s="344">
        <f ca="1">OFFSET('Zip Code Lines_1'!$Z$3,MATCH('Zip Code Lines_1'!C2137,'Zip Code Lines_1'!$Q$4:$Q$26,0),0)</f>
        <v>82.3</v>
      </c>
      <c r="G2137" s="342">
        <f ca="1">OFFSET('Zip Code Lines_1'!$AC$3,MATCH('Zip Code Lines_1'!C2137,'Zip Code Lines_1'!$Q$4:$Q$26,0),0)</f>
        <v>12</v>
      </c>
      <c r="H2137" s="342">
        <v>14881</v>
      </c>
    </row>
    <row r="2138" spans="2:8" x14ac:dyDescent="0.25">
      <c r="B2138" s="342">
        <v>14882</v>
      </c>
      <c r="C2138" s="343" t="s">
        <v>532</v>
      </c>
      <c r="D2138" s="343" t="str">
        <f ca="1">OFFSET('Zip Code Lines_1'!$U$3,MATCH('Zip Code Lines_1'!C2138,'Zip Code Lines_1'!$Q$4:$Q$26,0),0)</f>
        <v>Binghamton</v>
      </c>
      <c r="E2138" s="344">
        <f ca="1">OFFSET('Zip Code Lines_1'!$W$3,MATCH('Zip Code Lines_1'!C2138,'Zip Code Lines_1'!$Q$4:$Q$26,0),0)</f>
        <v>4.5</v>
      </c>
      <c r="F2138" s="344">
        <f ca="1">OFFSET('Zip Code Lines_1'!$Z$3,MATCH('Zip Code Lines_1'!C2138,'Zip Code Lines_1'!$Q$4:$Q$26,0),0)</f>
        <v>82.3</v>
      </c>
      <c r="G2138" s="342">
        <f ca="1">OFFSET('Zip Code Lines_1'!$AC$3,MATCH('Zip Code Lines_1'!C2138,'Zip Code Lines_1'!$Q$4:$Q$26,0),0)</f>
        <v>12</v>
      </c>
      <c r="H2138" s="342">
        <v>14882</v>
      </c>
    </row>
    <row r="2139" spans="2:8" x14ac:dyDescent="0.25">
      <c r="B2139" s="342">
        <v>14883</v>
      </c>
      <c r="C2139" s="343" t="s">
        <v>532</v>
      </c>
      <c r="D2139" s="343" t="str">
        <f ca="1">OFFSET('Zip Code Lines_1'!$U$3,MATCH('Zip Code Lines_1'!C2139,'Zip Code Lines_1'!$Q$4:$Q$26,0),0)</f>
        <v>Binghamton</v>
      </c>
      <c r="E2139" s="344">
        <f ca="1">OFFSET('Zip Code Lines_1'!$W$3,MATCH('Zip Code Lines_1'!C2139,'Zip Code Lines_1'!$Q$4:$Q$26,0),0)</f>
        <v>4.5</v>
      </c>
      <c r="F2139" s="344">
        <f ca="1">OFFSET('Zip Code Lines_1'!$Z$3,MATCH('Zip Code Lines_1'!C2139,'Zip Code Lines_1'!$Q$4:$Q$26,0),0)</f>
        <v>82.3</v>
      </c>
      <c r="G2139" s="342">
        <f ca="1">OFFSET('Zip Code Lines_1'!$AC$3,MATCH('Zip Code Lines_1'!C2139,'Zip Code Lines_1'!$Q$4:$Q$26,0),0)</f>
        <v>12</v>
      </c>
      <c r="H2139" s="342">
        <v>14883</v>
      </c>
    </row>
    <row r="2140" spans="2:8" x14ac:dyDescent="0.25">
      <c r="B2140" s="342">
        <v>14884</v>
      </c>
      <c r="C2140" s="343" t="s">
        <v>546</v>
      </c>
      <c r="D2140" s="343" t="str">
        <f ca="1">OFFSET('Zip Code Lines_1'!$U$3,MATCH('Zip Code Lines_1'!C2140,'Zip Code Lines_1'!$Q$4:$Q$26,0),0)</f>
        <v>Jamestown</v>
      </c>
      <c r="E2140" s="344">
        <f ca="1">OFFSET('Zip Code Lines_1'!$W$3,MATCH('Zip Code Lines_1'!C2140,'Zip Code Lines_1'!$Q$4:$Q$26,0),0)</f>
        <v>4.8</v>
      </c>
      <c r="F2140" s="344">
        <f ca="1">OFFSET('Zip Code Lines_1'!$Z$3,MATCH('Zip Code Lines_1'!C2140,'Zip Code Lines_1'!$Q$4:$Q$26,0),0)</f>
        <v>81.099999999999994</v>
      </c>
      <c r="G2140" s="342">
        <f ca="1">OFFSET('Zip Code Lines_1'!$AC$3,MATCH('Zip Code Lines_1'!C2140,'Zip Code Lines_1'!$Q$4:$Q$26,0),0)</f>
        <v>12</v>
      </c>
      <c r="H2140" s="342">
        <v>14884</v>
      </c>
    </row>
    <row r="2141" spans="2:8" x14ac:dyDescent="0.25">
      <c r="B2141" s="342">
        <v>14885</v>
      </c>
      <c r="C2141" s="343" t="s">
        <v>532</v>
      </c>
      <c r="D2141" s="343" t="str">
        <f ca="1">OFFSET('Zip Code Lines_1'!$U$3,MATCH('Zip Code Lines_1'!C2141,'Zip Code Lines_1'!$Q$4:$Q$26,0),0)</f>
        <v>Binghamton</v>
      </c>
      <c r="E2141" s="344">
        <f ca="1">OFFSET('Zip Code Lines_1'!$W$3,MATCH('Zip Code Lines_1'!C2141,'Zip Code Lines_1'!$Q$4:$Q$26,0),0)</f>
        <v>4.5</v>
      </c>
      <c r="F2141" s="344">
        <f ca="1">OFFSET('Zip Code Lines_1'!$Z$3,MATCH('Zip Code Lines_1'!C2141,'Zip Code Lines_1'!$Q$4:$Q$26,0),0)</f>
        <v>82.3</v>
      </c>
      <c r="G2141" s="342">
        <f ca="1">OFFSET('Zip Code Lines_1'!$AC$3,MATCH('Zip Code Lines_1'!C2141,'Zip Code Lines_1'!$Q$4:$Q$26,0),0)</f>
        <v>12</v>
      </c>
      <c r="H2141" s="342">
        <v>14885</v>
      </c>
    </row>
    <row r="2142" spans="2:8" x14ac:dyDescent="0.25">
      <c r="B2142" s="342">
        <v>14886</v>
      </c>
      <c r="C2142" s="343" t="s">
        <v>532</v>
      </c>
      <c r="D2142" s="343" t="str">
        <f ca="1">OFFSET('Zip Code Lines_1'!$U$3,MATCH('Zip Code Lines_1'!C2142,'Zip Code Lines_1'!$Q$4:$Q$26,0),0)</f>
        <v>Binghamton</v>
      </c>
      <c r="E2142" s="344">
        <f ca="1">OFFSET('Zip Code Lines_1'!$W$3,MATCH('Zip Code Lines_1'!C2142,'Zip Code Lines_1'!$Q$4:$Q$26,0),0)</f>
        <v>4.5</v>
      </c>
      <c r="F2142" s="344">
        <f ca="1">OFFSET('Zip Code Lines_1'!$Z$3,MATCH('Zip Code Lines_1'!C2142,'Zip Code Lines_1'!$Q$4:$Q$26,0),0)</f>
        <v>82.3</v>
      </c>
      <c r="G2142" s="342">
        <f ca="1">OFFSET('Zip Code Lines_1'!$AC$3,MATCH('Zip Code Lines_1'!C2142,'Zip Code Lines_1'!$Q$4:$Q$26,0),0)</f>
        <v>12</v>
      </c>
      <c r="H2142" s="342">
        <v>14886</v>
      </c>
    </row>
    <row r="2143" spans="2:8" x14ac:dyDescent="0.25">
      <c r="B2143" s="342">
        <v>14887</v>
      </c>
      <c r="C2143" s="343" t="s">
        <v>538</v>
      </c>
      <c r="D2143" s="343" t="str">
        <f ca="1">OFFSET('Zip Code Lines_1'!$U$3,MATCH('Zip Code Lines_1'!C2143,'Zip Code Lines_1'!$Q$4:$Q$26,0),0)</f>
        <v>Elmira</v>
      </c>
      <c r="E2143" s="344">
        <f ca="1">OFFSET('Zip Code Lines_1'!$W$3,MATCH('Zip Code Lines_1'!C2143,'Zip Code Lines_1'!$Q$4:$Q$26,0),0)</f>
        <v>4.8</v>
      </c>
      <c r="F2143" s="344">
        <f ca="1">OFFSET('Zip Code Lines_1'!$Z$3,MATCH('Zip Code Lines_1'!C2143,'Zip Code Lines_1'!$Q$4:$Q$26,0),0)</f>
        <v>86.4</v>
      </c>
      <c r="G2143" s="342">
        <f ca="1">OFFSET('Zip Code Lines_1'!$AC$3,MATCH('Zip Code Lines_1'!C2143,'Zip Code Lines_1'!$Q$4:$Q$26,0),0)</f>
        <v>6</v>
      </c>
      <c r="H2143" s="342">
        <v>14887</v>
      </c>
    </row>
    <row r="2144" spans="2:8" x14ac:dyDescent="0.25">
      <c r="B2144" s="342">
        <v>14889</v>
      </c>
      <c r="C2144" s="343" t="s">
        <v>532</v>
      </c>
      <c r="D2144" s="343" t="str">
        <f ca="1">OFFSET('Zip Code Lines_1'!$U$3,MATCH('Zip Code Lines_1'!C2144,'Zip Code Lines_1'!$Q$4:$Q$26,0),0)</f>
        <v>Binghamton</v>
      </c>
      <c r="E2144" s="344">
        <f ca="1">OFFSET('Zip Code Lines_1'!$W$3,MATCH('Zip Code Lines_1'!C2144,'Zip Code Lines_1'!$Q$4:$Q$26,0),0)</f>
        <v>4.5</v>
      </c>
      <c r="F2144" s="344">
        <f ca="1">OFFSET('Zip Code Lines_1'!$Z$3,MATCH('Zip Code Lines_1'!C2144,'Zip Code Lines_1'!$Q$4:$Q$26,0),0)</f>
        <v>82.3</v>
      </c>
      <c r="G2144" s="342">
        <f ca="1">OFFSET('Zip Code Lines_1'!$AC$3,MATCH('Zip Code Lines_1'!C2144,'Zip Code Lines_1'!$Q$4:$Q$26,0),0)</f>
        <v>12</v>
      </c>
      <c r="H2144" s="342">
        <v>14889</v>
      </c>
    </row>
    <row r="2145" spans="2:8" x14ac:dyDescent="0.25">
      <c r="B2145" s="342">
        <v>14891</v>
      </c>
      <c r="C2145" s="343" t="s">
        <v>538</v>
      </c>
      <c r="D2145" s="343" t="str">
        <f ca="1">OFFSET('Zip Code Lines_1'!$U$3,MATCH('Zip Code Lines_1'!C2145,'Zip Code Lines_1'!$Q$4:$Q$26,0),0)</f>
        <v>Elmira</v>
      </c>
      <c r="E2145" s="344">
        <f ca="1">OFFSET('Zip Code Lines_1'!$W$3,MATCH('Zip Code Lines_1'!C2145,'Zip Code Lines_1'!$Q$4:$Q$26,0),0)</f>
        <v>4.8</v>
      </c>
      <c r="F2145" s="344">
        <f ca="1">OFFSET('Zip Code Lines_1'!$Z$3,MATCH('Zip Code Lines_1'!C2145,'Zip Code Lines_1'!$Q$4:$Q$26,0),0)</f>
        <v>86.4</v>
      </c>
      <c r="G2145" s="342">
        <f ca="1">OFFSET('Zip Code Lines_1'!$AC$3,MATCH('Zip Code Lines_1'!C2145,'Zip Code Lines_1'!$Q$4:$Q$26,0),0)</f>
        <v>6</v>
      </c>
      <c r="H2145" s="342">
        <v>14891</v>
      </c>
    </row>
    <row r="2146" spans="2:8" x14ac:dyDescent="0.25">
      <c r="B2146" s="342">
        <v>14892</v>
      </c>
      <c r="C2146" s="343" t="s">
        <v>538</v>
      </c>
      <c r="D2146" s="343" t="str">
        <f ca="1">OFFSET('Zip Code Lines_1'!$U$3,MATCH('Zip Code Lines_1'!C2146,'Zip Code Lines_1'!$Q$4:$Q$26,0),0)</f>
        <v>Elmira</v>
      </c>
      <c r="E2146" s="344">
        <f ca="1">OFFSET('Zip Code Lines_1'!$W$3,MATCH('Zip Code Lines_1'!C2146,'Zip Code Lines_1'!$Q$4:$Q$26,0),0)</f>
        <v>4.8</v>
      </c>
      <c r="F2146" s="344">
        <f ca="1">OFFSET('Zip Code Lines_1'!$Z$3,MATCH('Zip Code Lines_1'!C2146,'Zip Code Lines_1'!$Q$4:$Q$26,0),0)</f>
        <v>86.4</v>
      </c>
      <c r="G2146" s="342">
        <f ca="1">OFFSET('Zip Code Lines_1'!$AC$3,MATCH('Zip Code Lines_1'!C2146,'Zip Code Lines_1'!$Q$4:$Q$26,0),0)</f>
        <v>6</v>
      </c>
      <c r="H2146" s="342">
        <v>14892</v>
      </c>
    </row>
    <row r="2147" spans="2:8" x14ac:dyDescent="0.25">
      <c r="B2147" s="342">
        <v>14893</v>
      </c>
      <c r="C2147" s="343" t="s">
        <v>532</v>
      </c>
      <c r="D2147" s="343" t="str">
        <f ca="1">OFFSET('Zip Code Lines_1'!$U$3,MATCH('Zip Code Lines_1'!C2147,'Zip Code Lines_1'!$Q$4:$Q$26,0),0)</f>
        <v>Binghamton</v>
      </c>
      <c r="E2147" s="344">
        <f ca="1">OFFSET('Zip Code Lines_1'!$W$3,MATCH('Zip Code Lines_1'!C2147,'Zip Code Lines_1'!$Q$4:$Q$26,0),0)</f>
        <v>4.5</v>
      </c>
      <c r="F2147" s="344">
        <f ca="1">OFFSET('Zip Code Lines_1'!$Z$3,MATCH('Zip Code Lines_1'!C2147,'Zip Code Lines_1'!$Q$4:$Q$26,0),0)</f>
        <v>82.3</v>
      </c>
      <c r="G2147" s="342">
        <f ca="1">OFFSET('Zip Code Lines_1'!$AC$3,MATCH('Zip Code Lines_1'!C2147,'Zip Code Lines_1'!$Q$4:$Q$26,0),0)</f>
        <v>12</v>
      </c>
      <c r="H2147" s="342">
        <v>14893</v>
      </c>
    </row>
    <row r="2148" spans="2:8" x14ac:dyDescent="0.25">
      <c r="B2148" s="342">
        <v>14894</v>
      </c>
      <c r="C2148" s="343" t="s">
        <v>538</v>
      </c>
      <c r="D2148" s="343" t="str">
        <f ca="1">OFFSET('Zip Code Lines_1'!$U$3,MATCH('Zip Code Lines_1'!C2148,'Zip Code Lines_1'!$Q$4:$Q$26,0),0)</f>
        <v>Elmira</v>
      </c>
      <c r="E2148" s="344">
        <f ca="1">OFFSET('Zip Code Lines_1'!$W$3,MATCH('Zip Code Lines_1'!C2148,'Zip Code Lines_1'!$Q$4:$Q$26,0),0)</f>
        <v>4.8</v>
      </c>
      <c r="F2148" s="344">
        <f ca="1">OFFSET('Zip Code Lines_1'!$Z$3,MATCH('Zip Code Lines_1'!C2148,'Zip Code Lines_1'!$Q$4:$Q$26,0),0)</f>
        <v>86.4</v>
      </c>
      <c r="G2148" s="342">
        <f ca="1">OFFSET('Zip Code Lines_1'!$AC$3,MATCH('Zip Code Lines_1'!C2148,'Zip Code Lines_1'!$Q$4:$Q$26,0),0)</f>
        <v>6</v>
      </c>
      <c r="H2148" s="342">
        <v>14894</v>
      </c>
    </row>
    <row r="2149" spans="2:8" x14ac:dyDescent="0.25">
      <c r="B2149" s="342">
        <v>14895</v>
      </c>
      <c r="C2149" s="343" t="s">
        <v>534</v>
      </c>
      <c r="D2149" s="343" t="str">
        <f ca="1">OFFSET('Zip Code Lines_1'!$U$3,MATCH('Zip Code Lines_1'!C2149,'Zip Code Lines_1'!$Q$4:$Q$26,0),0)</f>
        <v>Buffalo</v>
      </c>
      <c r="E2149" s="344">
        <f ca="1">OFFSET('Zip Code Lines_1'!$W$3,MATCH('Zip Code Lines_1'!C2149,'Zip Code Lines_1'!$Q$4:$Q$26,0),0)</f>
        <v>7.4</v>
      </c>
      <c r="F2149" s="344">
        <f ca="1">OFFSET('Zip Code Lines_1'!$Z$3,MATCH('Zip Code Lines_1'!C2149,'Zip Code Lines_1'!$Q$4:$Q$26,0),0)</f>
        <v>83.9</v>
      </c>
      <c r="G2149" s="342">
        <f ca="1">OFFSET('Zip Code Lines_1'!$AC$3,MATCH('Zip Code Lines_1'!C2149,'Zip Code Lines_1'!$Q$4:$Q$26,0),0)</f>
        <v>18</v>
      </c>
      <c r="H2149" s="342">
        <v>14895</v>
      </c>
    </row>
    <row r="2150" spans="2:8" x14ac:dyDescent="0.25">
      <c r="B2150" s="342">
        <v>14897</v>
      </c>
      <c r="C2150" s="343" t="s">
        <v>546</v>
      </c>
      <c r="D2150" s="343" t="str">
        <f ca="1">OFFSET('Zip Code Lines_1'!$U$3,MATCH('Zip Code Lines_1'!C2150,'Zip Code Lines_1'!$Q$4:$Q$26,0),0)</f>
        <v>Jamestown</v>
      </c>
      <c r="E2150" s="344">
        <f ca="1">OFFSET('Zip Code Lines_1'!$W$3,MATCH('Zip Code Lines_1'!C2150,'Zip Code Lines_1'!$Q$4:$Q$26,0),0)</f>
        <v>4.8</v>
      </c>
      <c r="F2150" s="344">
        <f ca="1">OFFSET('Zip Code Lines_1'!$Z$3,MATCH('Zip Code Lines_1'!C2150,'Zip Code Lines_1'!$Q$4:$Q$26,0),0)</f>
        <v>81.099999999999994</v>
      </c>
      <c r="G2150" s="342">
        <f ca="1">OFFSET('Zip Code Lines_1'!$AC$3,MATCH('Zip Code Lines_1'!C2150,'Zip Code Lines_1'!$Q$4:$Q$26,0),0)</f>
        <v>12</v>
      </c>
      <c r="H2150" s="342">
        <v>14897</v>
      </c>
    </row>
    <row r="2151" spans="2:8" x14ac:dyDescent="0.25">
      <c r="B2151" s="342">
        <v>14898</v>
      </c>
      <c r="C2151" s="343" t="s">
        <v>538</v>
      </c>
      <c r="D2151" s="343" t="str">
        <f ca="1">OFFSET('Zip Code Lines_1'!$U$3,MATCH('Zip Code Lines_1'!C2151,'Zip Code Lines_1'!$Q$4:$Q$26,0),0)</f>
        <v>Elmira</v>
      </c>
      <c r="E2151" s="344">
        <f ca="1">OFFSET('Zip Code Lines_1'!$W$3,MATCH('Zip Code Lines_1'!C2151,'Zip Code Lines_1'!$Q$4:$Q$26,0),0)</f>
        <v>4.8</v>
      </c>
      <c r="F2151" s="344">
        <f ca="1">OFFSET('Zip Code Lines_1'!$Z$3,MATCH('Zip Code Lines_1'!C2151,'Zip Code Lines_1'!$Q$4:$Q$26,0),0)</f>
        <v>86.4</v>
      </c>
      <c r="G2151" s="342">
        <f ca="1">OFFSET('Zip Code Lines_1'!$AC$3,MATCH('Zip Code Lines_1'!C2151,'Zip Code Lines_1'!$Q$4:$Q$26,0),0)</f>
        <v>6</v>
      </c>
      <c r="H2151" s="342">
        <v>14898</v>
      </c>
    </row>
    <row r="2152" spans="2:8" x14ac:dyDescent="0.25">
      <c r="B2152" s="342">
        <v>14901</v>
      </c>
      <c r="C2152" s="343" t="s">
        <v>538</v>
      </c>
      <c r="D2152" s="343" t="str">
        <f ca="1">OFFSET('Zip Code Lines_1'!$U$3,MATCH('Zip Code Lines_1'!C2152,'Zip Code Lines_1'!$Q$4:$Q$26,0),0)</f>
        <v>Elmira</v>
      </c>
      <c r="E2152" s="344">
        <f ca="1">OFFSET('Zip Code Lines_1'!$W$3,MATCH('Zip Code Lines_1'!C2152,'Zip Code Lines_1'!$Q$4:$Q$26,0),0)</f>
        <v>4.8</v>
      </c>
      <c r="F2152" s="344">
        <f ca="1">OFFSET('Zip Code Lines_1'!$Z$3,MATCH('Zip Code Lines_1'!C2152,'Zip Code Lines_1'!$Q$4:$Q$26,0),0)</f>
        <v>86.4</v>
      </c>
      <c r="G2152" s="342">
        <f ca="1">OFFSET('Zip Code Lines_1'!$AC$3,MATCH('Zip Code Lines_1'!C2152,'Zip Code Lines_1'!$Q$4:$Q$26,0),0)</f>
        <v>6</v>
      </c>
      <c r="H2152" s="342">
        <v>14901</v>
      </c>
    </row>
    <row r="2153" spans="2:8" x14ac:dyDescent="0.25">
      <c r="B2153" s="342">
        <v>14902</v>
      </c>
      <c r="C2153" s="343" t="s">
        <v>538</v>
      </c>
      <c r="D2153" s="343" t="str">
        <f ca="1">OFFSET('Zip Code Lines_1'!$U$3,MATCH('Zip Code Lines_1'!C2153,'Zip Code Lines_1'!$Q$4:$Q$26,0),0)</f>
        <v>Elmira</v>
      </c>
      <c r="E2153" s="344">
        <f ca="1">OFFSET('Zip Code Lines_1'!$W$3,MATCH('Zip Code Lines_1'!C2153,'Zip Code Lines_1'!$Q$4:$Q$26,0),0)</f>
        <v>4.8</v>
      </c>
      <c r="F2153" s="344">
        <f ca="1">OFFSET('Zip Code Lines_1'!$Z$3,MATCH('Zip Code Lines_1'!C2153,'Zip Code Lines_1'!$Q$4:$Q$26,0),0)</f>
        <v>86.4</v>
      </c>
      <c r="G2153" s="342">
        <f ca="1">OFFSET('Zip Code Lines_1'!$AC$3,MATCH('Zip Code Lines_1'!C2153,'Zip Code Lines_1'!$Q$4:$Q$26,0),0)</f>
        <v>6</v>
      </c>
      <c r="H2153" s="342">
        <v>14902</v>
      </c>
    </row>
    <row r="2154" spans="2:8" x14ac:dyDescent="0.25">
      <c r="B2154" s="342">
        <v>14903</v>
      </c>
      <c r="C2154" s="343" t="s">
        <v>538</v>
      </c>
      <c r="D2154" s="343" t="str">
        <f ca="1">OFFSET('Zip Code Lines_1'!$U$3,MATCH('Zip Code Lines_1'!C2154,'Zip Code Lines_1'!$Q$4:$Q$26,0),0)</f>
        <v>Elmira</v>
      </c>
      <c r="E2154" s="344">
        <f ca="1">OFFSET('Zip Code Lines_1'!$W$3,MATCH('Zip Code Lines_1'!C2154,'Zip Code Lines_1'!$Q$4:$Q$26,0),0)</f>
        <v>4.8</v>
      </c>
      <c r="F2154" s="344">
        <f ca="1">OFFSET('Zip Code Lines_1'!$Z$3,MATCH('Zip Code Lines_1'!C2154,'Zip Code Lines_1'!$Q$4:$Q$26,0),0)</f>
        <v>86.4</v>
      </c>
      <c r="G2154" s="342">
        <f ca="1">OFFSET('Zip Code Lines_1'!$AC$3,MATCH('Zip Code Lines_1'!C2154,'Zip Code Lines_1'!$Q$4:$Q$26,0),0)</f>
        <v>6</v>
      </c>
      <c r="H2154" s="342">
        <v>14903</v>
      </c>
    </row>
    <row r="2155" spans="2:8" x14ac:dyDescent="0.25">
      <c r="B2155" s="342">
        <v>14904</v>
      </c>
      <c r="C2155" s="343" t="s">
        <v>538</v>
      </c>
      <c r="D2155" s="343" t="str">
        <f ca="1">OFFSET('Zip Code Lines_1'!$U$3,MATCH('Zip Code Lines_1'!C2155,'Zip Code Lines_1'!$Q$4:$Q$26,0),0)</f>
        <v>Elmira</v>
      </c>
      <c r="E2155" s="344">
        <f ca="1">OFFSET('Zip Code Lines_1'!$W$3,MATCH('Zip Code Lines_1'!C2155,'Zip Code Lines_1'!$Q$4:$Q$26,0),0)</f>
        <v>4.8</v>
      </c>
      <c r="F2155" s="344">
        <f ca="1">OFFSET('Zip Code Lines_1'!$Z$3,MATCH('Zip Code Lines_1'!C2155,'Zip Code Lines_1'!$Q$4:$Q$26,0),0)</f>
        <v>86.4</v>
      </c>
      <c r="G2155" s="342">
        <f ca="1">OFFSET('Zip Code Lines_1'!$AC$3,MATCH('Zip Code Lines_1'!C2155,'Zip Code Lines_1'!$Q$4:$Q$26,0),0)</f>
        <v>6</v>
      </c>
      <c r="H2155" s="342">
        <v>14904</v>
      </c>
    </row>
    <row r="2156" spans="2:8" x14ac:dyDescent="0.25">
      <c r="B2156" s="342">
        <v>14905</v>
      </c>
      <c r="C2156" s="343" t="s">
        <v>538</v>
      </c>
      <c r="D2156" s="343" t="str">
        <f ca="1">OFFSET('Zip Code Lines_1'!$U$3,MATCH('Zip Code Lines_1'!C2156,'Zip Code Lines_1'!$Q$4:$Q$26,0),0)</f>
        <v>Elmira</v>
      </c>
      <c r="E2156" s="344">
        <f ca="1">OFFSET('Zip Code Lines_1'!$W$3,MATCH('Zip Code Lines_1'!C2156,'Zip Code Lines_1'!$Q$4:$Q$26,0),0)</f>
        <v>4.8</v>
      </c>
      <c r="F2156" s="344">
        <f ca="1">OFFSET('Zip Code Lines_1'!$Z$3,MATCH('Zip Code Lines_1'!C2156,'Zip Code Lines_1'!$Q$4:$Q$26,0),0)</f>
        <v>86.4</v>
      </c>
      <c r="G2156" s="342">
        <f ca="1">OFFSET('Zip Code Lines_1'!$AC$3,MATCH('Zip Code Lines_1'!C2156,'Zip Code Lines_1'!$Q$4:$Q$26,0),0)</f>
        <v>6</v>
      </c>
      <c r="H2156" s="342">
        <v>14905</v>
      </c>
    </row>
  </sheetData>
  <autoFilter ref="B1:G2156" xr:uid="{E590BA71-903A-4FF7-91E6-008AEEFCA9A0}"/>
  <pageMargins left="0.75" right="0.75" top="0.75" bottom="0.5" header="0.5" footer="0.75"/>
  <pageSetup orientation="portrait" horizontalDpi="1200" verticalDpi="1200" r:id="rId1"/>
  <headerFooter>
    <oddFooter>&amp;C_x000D_&amp;1#&amp;"Calibri"&amp;22&amp;K0073CF INTERNAL</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955FF-1B4B-4783-96BC-DBD09D421286}">
  <sheetPr codeName="Sheet6"/>
  <dimension ref="A1:R39"/>
  <sheetViews>
    <sheetView workbookViewId="0">
      <selection activeCell="D18" sqref="D18"/>
    </sheetView>
  </sheetViews>
  <sheetFormatPr defaultColWidth="8.7109375" defaultRowHeight="15" x14ac:dyDescent="0.25"/>
  <cols>
    <col min="1" max="1" width="27.5703125" customWidth="1"/>
    <col min="16" max="16" width="11.140625" bestFit="1" customWidth="1"/>
  </cols>
  <sheetData>
    <row r="1" spans="1:18" x14ac:dyDescent="0.25">
      <c r="C1" s="373" t="s">
        <v>721</v>
      </c>
      <c r="D1" s="19"/>
      <c r="M1" s="373" t="s">
        <v>722</v>
      </c>
      <c r="N1" s="19"/>
      <c r="R1" s="943" t="s">
        <v>723</v>
      </c>
    </row>
    <row r="2" spans="1:18" ht="15.75" thickBot="1" x14ac:dyDescent="0.3">
      <c r="B2" t="s">
        <v>724</v>
      </c>
      <c r="C2" s="374">
        <v>2004</v>
      </c>
      <c r="D2" s="375">
        <v>2004</v>
      </c>
      <c r="E2">
        <v>2007</v>
      </c>
      <c r="F2">
        <v>2007</v>
      </c>
      <c r="G2">
        <v>2010</v>
      </c>
      <c r="H2">
        <v>2010</v>
      </c>
      <c r="I2">
        <v>2013</v>
      </c>
      <c r="J2">
        <v>2013</v>
      </c>
      <c r="K2">
        <v>2016</v>
      </c>
      <c r="L2">
        <v>2016</v>
      </c>
      <c r="M2" s="374">
        <v>2019</v>
      </c>
      <c r="N2" s="375">
        <v>2019</v>
      </c>
      <c r="O2" s="367" t="s">
        <v>725</v>
      </c>
      <c r="P2" t="s">
        <v>726</v>
      </c>
      <c r="R2" s="943"/>
    </row>
    <row r="3" spans="1:18" ht="15.75" thickBot="1" x14ac:dyDescent="0.3">
      <c r="A3" s="936" t="s">
        <v>404</v>
      </c>
      <c r="B3" s="944"/>
      <c r="C3" s="374" t="s">
        <v>327</v>
      </c>
      <c r="D3" s="375" t="s">
        <v>329</v>
      </c>
      <c r="E3" t="s">
        <v>327</v>
      </c>
      <c r="F3" t="s">
        <v>329</v>
      </c>
      <c r="G3" t="s">
        <v>327</v>
      </c>
      <c r="H3" t="s">
        <v>329</v>
      </c>
      <c r="I3" t="s">
        <v>327</v>
      </c>
      <c r="J3" t="s">
        <v>329</v>
      </c>
      <c r="K3" t="s">
        <v>327</v>
      </c>
      <c r="L3" t="s">
        <v>329</v>
      </c>
      <c r="M3" s="374" t="s">
        <v>327</v>
      </c>
      <c r="N3" s="375" t="s">
        <v>329</v>
      </c>
      <c r="O3" s="367" t="s">
        <v>727</v>
      </c>
      <c r="P3" t="s">
        <v>728</v>
      </c>
      <c r="R3" s="943"/>
    </row>
    <row r="4" spans="1:18" x14ac:dyDescent="0.25">
      <c r="A4" s="376"/>
      <c r="B4" s="14"/>
      <c r="C4" s="374"/>
      <c r="D4" s="375"/>
      <c r="M4" s="374"/>
      <c r="N4" s="375"/>
      <c r="R4" s="943"/>
    </row>
    <row r="5" spans="1:18" x14ac:dyDescent="0.25">
      <c r="A5" s="377" t="s">
        <v>406</v>
      </c>
      <c r="B5">
        <v>1</v>
      </c>
      <c r="C5" s="378">
        <v>20.805672323715143</v>
      </c>
      <c r="D5" s="379">
        <v>16.594198096781948</v>
      </c>
      <c r="E5" s="380">
        <v>26.011549842893999</v>
      </c>
      <c r="F5" s="380">
        <v>14.736547384292908</v>
      </c>
      <c r="G5" s="380">
        <v>21.807041260659648</v>
      </c>
      <c r="H5" s="380">
        <v>11.939831009839969</v>
      </c>
      <c r="I5" s="380">
        <v>20.342035456056191</v>
      </c>
      <c r="J5" s="380">
        <v>14.097768018632713</v>
      </c>
      <c r="K5" s="380">
        <v>17.359287250648013</v>
      </c>
      <c r="L5" s="380">
        <v>11.07880530835982</v>
      </c>
      <c r="M5" s="378">
        <v>15.408155154332878</v>
      </c>
      <c r="N5" s="379">
        <v>11.154320379771567</v>
      </c>
      <c r="R5" s="943"/>
    </row>
    <row r="6" spans="1:18" x14ac:dyDescent="0.25">
      <c r="A6" s="10" t="s">
        <v>407</v>
      </c>
      <c r="B6">
        <v>2</v>
      </c>
      <c r="C6" s="374"/>
      <c r="D6" s="375"/>
      <c r="M6" s="374"/>
      <c r="N6" s="375"/>
      <c r="R6" s="943"/>
    </row>
    <row r="7" spans="1:18" x14ac:dyDescent="0.25">
      <c r="A7" s="377" t="s">
        <v>408</v>
      </c>
      <c r="B7">
        <v>3</v>
      </c>
      <c r="C7" s="381">
        <f t="shared" ref="C7:N7" si="0">C29</f>
        <v>27.342287247943357</v>
      </c>
      <c r="D7" s="382">
        <f t="shared" si="0"/>
        <v>9.7596963326789936</v>
      </c>
      <c r="E7" s="383">
        <f t="shared" si="0"/>
        <v>28.713316392693272</v>
      </c>
      <c r="F7" s="383">
        <f t="shared" si="0"/>
        <v>11.378223928591185</v>
      </c>
      <c r="G7" s="383">
        <f t="shared" si="0"/>
        <v>28.947508747612737</v>
      </c>
      <c r="H7" s="383">
        <f t="shared" si="0"/>
        <v>5.3581629289601764</v>
      </c>
      <c r="I7" s="383">
        <f t="shared" si="0"/>
        <v>28.73046045209335</v>
      </c>
      <c r="J7" s="383">
        <f t="shared" si="0"/>
        <v>5.0269126694141919</v>
      </c>
      <c r="K7" s="383">
        <f t="shared" si="0"/>
        <v>27.816035752408453</v>
      </c>
      <c r="L7" s="383">
        <f t="shared" si="0"/>
        <v>7.9914831778599984</v>
      </c>
      <c r="M7" s="381">
        <f t="shared" si="0"/>
        <v>27.704997090460509</v>
      </c>
      <c r="N7" s="382">
        <f t="shared" si="0"/>
        <v>7.8109013941737286</v>
      </c>
      <c r="R7" s="943"/>
    </row>
    <row r="8" spans="1:18" x14ac:dyDescent="0.25">
      <c r="A8" s="10" t="s">
        <v>409</v>
      </c>
      <c r="B8">
        <v>4</v>
      </c>
      <c r="C8" s="374"/>
      <c r="D8" s="375"/>
      <c r="M8" s="374"/>
      <c r="N8" s="375"/>
      <c r="R8" s="943"/>
    </row>
    <row r="9" spans="1:18" x14ac:dyDescent="0.25">
      <c r="A9" s="10" t="s">
        <v>410</v>
      </c>
      <c r="B9">
        <v>5</v>
      </c>
      <c r="C9" s="381">
        <f t="shared" ref="C9:N9" si="1">AVERAGE(C30:C31)</f>
        <v>78.84489786877181</v>
      </c>
      <c r="D9" s="382">
        <f t="shared" si="1"/>
        <v>77.466041793697329</v>
      </c>
      <c r="E9" s="383">
        <f t="shared" si="1"/>
        <v>78.84489786877181</v>
      </c>
      <c r="F9" s="383">
        <f t="shared" si="1"/>
        <v>77.466041793697329</v>
      </c>
      <c r="G9" s="383">
        <f t="shared" si="1"/>
        <v>78.84489786877181</v>
      </c>
      <c r="H9" s="383">
        <f t="shared" si="1"/>
        <v>77.466041793697329</v>
      </c>
      <c r="I9" s="383">
        <f t="shared" si="1"/>
        <v>78.84489786877181</v>
      </c>
      <c r="J9" s="383">
        <f t="shared" si="1"/>
        <v>77.466041793697329</v>
      </c>
      <c r="K9" s="383">
        <f t="shared" si="1"/>
        <v>78.84489786877181</v>
      </c>
      <c r="L9" s="383">
        <f t="shared" si="1"/>
        <v>77.466041793697329</v>
      </c>
      <c r="M9" s="384">
        <f t="shared" si="1"/>
        <v>78.84489786877181</v>
      </c>
      <c r="N9" s="385">
        <f t="shared" si="1"/>
        <v>77.466041793697329</v>
      </c>
      <c r="R9" s="943"/>
    </row>
    <row r="10" spans="1:18" x14ac:dyDescent="0.25">
      <c r="A10" s="10" t="s">
        <v>411</v>
      </c>
      <c r="B10">
        <v>6</v>
      </c>
      <c r="C10" s="381">
        <f t="shared" ref="C10:N10" si="2">C33</f>
        <v>20.813752770075876</v>
      </c>
      <c r="D10" s="382">
        <f t="shared" si="2"/>
        <v>24.485005882645151</v>
      </c>
      <c r="E10" s="383">
        <f t="shared" si="2"/>
        <v>20.813752770075876</v>
      </c>
      <c r="F10" s="383">
        <f t="shared" si="2"/>
        <v>24.485005882645151</v>
      </c>
      <c r="G10" s="383">
        <f t="shared" si="2"/>
        <v>20.813752770075876</v>
      </c>
      <c r="H10" s="383">
        <f t="shared" si="2"/>
        <v>24.485005882645151</v>
      </c>
      <c r="I10" s="383">
        <f t="shared" si="2"/>
        <v>20.813752770075876</v>
      </c>
      <c r="J10" s="383">
        <f t="shared" si="2"/>
        <v>24.485005882645151</v>
      </c>
      <c r="K10" s="383">
        <f t="shared" si="2"/>
        <v>20.813752770075876</v>
      </c>
      <c r="L10" s="383">
        <f t="shared" si="2"/>
        <v>24.485005882645151</v>
      </c>
      <c r="M10" s="384">
        <f t="shared" si="2"/>
        <v>20.813752770075876</v>
      </c>
      <c r="N10" s="385">
        <f t="shared" si="2"/>
        <v>24.485005882645151</v>
      </c>
      <c r="R10" s="943"/>
    </row>
    <row r="11" spans="1:18" x14ac:dyDescent="0.25">
      <c r="A11" s="10" t="s">
        <v>412</v>
      </c>
      <c r="B11">
        <v>7</v>
      </c>
      <c r="C11" s="381">
        <f t="shared" ref="C11:N11" si="3">C32</f>
        <v>14.053498029845874</v>
      </c>
      <c r="D11" s="382">
        <f t="shared" si="3"/>
        <v>13.650624294687139</v>
      </c>
      <c r="E11" s="383">
        <f t="shared" si="3"/>
        <v>14.053498029845874</v>
      </c>
      <c r="F11" s="383">
        <f t="shared" si="3"/>
        <v>13.650624294687139</v>
      </c>
      <c r="G11" s="383">
        <f t="shared" si="3"/>
        <v>14.053498029845874</v>
      </c>
      <c r="H11" s="383">
        <f t="shared" si="3"/>
        <v>13.650624294687139</v>
      </c>
      <c r="I11" s="383">
        <f t="shared" si="3"/>
        <v>14.053498029845874</v>
      </c>
      <c r="J11" s="383">
        <f t="shared" si="3"/>
        <v>13.650624294687139</v>
      </c>
      <c r="K11" s="383">
        <f t="shared" si="3"/>
        <v>14.053498029845874</v>
      </c>
      <c r="L11" s="383">
        <f t="shared" si="3"/>
        <v>13.650624294687139</v>
      </c>
      <c r="M11" s="384">
        <f t="shared" si="3"/>
        <v>14.053498029845874</v>
      </c>
      <c r="N11" s="385">
        <f t="shared" si="3"/>
        <v>13.650624294687139</v>
      </c>
      <c r="R11" s="943"/>
    </row>
    <row r="12" spans="1:18" x14ac:dyDescent="0.25">
      <c r="A12" s="10" t="s">
        <v>413</v>
      </c>
      <c r="B12">
        <v>8</v>
      </c>
      <c r="C12" s="381">
        <f t="shared" ref="C12:N12" si="4">C36</f>
        <v>2.9971557815137593</v>
      </c>
      <c r="D12" s="382">
        <f t="shared" si="4"/>
        <v>14.460247765481913</v>
      </c>
      <c r="E12" s="383">
        <f t="shared" si="4"/>
        <v>2.9971557815137593</v>
      </c>
      <c r="F12" s="383">
        <f t="shared" si="4"/>
        <v>14.460247765481913</v>
      </c>
      <c r="G12" s="383">
        <f t="shared" si="4"/>
        <v>2.9971557815137593</v>
      </c>
      <c r="H12" s="383">
        <f t="shared" si="4"/>
        <v>14.460247765481913</v>
      </c>
      <c r="I12" s="383">
        <f t="shared" si="4"/>
        <v>2.9971557815137593</v>
      </c>
      <c r="J12" s="383">
        <f t="shared" si="4"/>
        <v>14.460247765481913</v>
      </c>
      <c r="K12" s="383">
        <f t="shared" si="4"/>
        <v>2.9971557815137593</v>
      </c>
      <c r="L12" s="383">
        <f t="shared" si="4"/>
        <v>14.460247765481913</v>
      </c>
      <c r="M12" s="384">
        <f t="shared" si="4"/>
        <v>2.9971557815137593</v>
      </c>
      <c r="N12" s="385">
        <f t="shared" si="4"/>
        <v>14.460247765481913</v>
      </c>
      <c r="R12" s="943"/>
    </row>
    <row r="13" spans="1:18" x14ac:dyDescent="0.25">
      <c r="A13" s="10" t="s">
        <v>414</v>
      </c>
      <c r="B13">
        <v>9</v>
      </c>
      <c r="C13" s="374"/>
      <c r="D13" s="375"/>
      <c r="M13" s="386"/>
      <c r="N13" s="387"/>
      <c r="R13" s="943"/>
    </row>
    <row r="14" spans="1:18" x14ac:dyDescent="0.25">
      <c r="A14" s="10" t="s">
        <v>225</v>
      </c>
      <c r="B14">
        <v>10</v>
      </c>
      <c r="C14" s="381">
        <f t="shared" ref="C14:N14" si="5">AVERAGE(C34:C35)</f>
        <v>13.188514361447959</v>
      </c>
      <c r="D14" s="382">
        <f t="shared" si="5"/>
        <v>4.5329626323978953</v>
      </c>
      <c r="E14" s="383">
        <f t="shared" si="5"/>
        <v>13.188514361447959</v>
      </c>
      <c r="F14" s="383">
        <f t="shared" si="5"/>
        <v>4.5329626323978953</v>
      </c>
      <c r="G14" s="383">
        <f t="shared" si="5"/>
        <v>13.188514361447959</v>
      </c>
      <c r="H14" s="383">
        <f t="shared" si="5"/>
        <v>4.5329626323978953</v>
      </c>
      <c r="I14" s="383">
        <f t="shared" si="5"/>
        <v>13.188514361447959</v>
      </c>
      <c r="J14" s="383">
        <f t="shared" si="5"/>
        <v>4.5329626323978953</v>
      </c>
      <c r="K14" s="383">
        <f t="shared" si="5"/>
        <v>13.188514361447959</v>
      </c>
      <c r="L14" s="383">
        <f t="shared" si="5"/>
        <v>4.5329626323978953</v>
      </c>
      <c r="M14" s="384">
        <f t="shared" si="5"/>
        <v>13.188514361447959</v>
      </c>
      <c r="N14" s="385">
        <f t="shared" si="5"/>
        <v>4.5329626323978953</v>
      </c>
      <c r="R14" s="943"/>
    </row>
    <row r="15" spans="1:18" x14ac:dyDescent="0.25">
      <c r="A15" s="10" t="s">
        <v>415</v>
      </c>
      <c r="B15">
        <v>11</v>
      </c>
      <c r="C15" s="381">
        <f t="shared" ref="C15:N15" si="6">AVERAGE(C37:C38)</f>
        <v>7.5611004226952403</v>
      </c>
      <c r="D15" s="382">
        <f t="shared" si="6"/>
        <v>7.833145407711438</v>
      </c>
      <c r="E15" s="383">
        <f t="shared" si="6"/>
        <v>7.5611004226952403</v>
      </c>
      <c r="F15" s="383">
        <f t="shared" si="6"/>
        <v>7.833145407711438</v>
      </c>
      <c r="G15" s="383">
        <f t="shared" si="6"/>
        <v>7.5611004226952403</v>
      </c>
      <c r="H15" s="383">
        <f t="shared" si="6"/>
        <v>7.833145407711438</v>
      </c>
      <c r="I15" s="383">
        <f t="shared" si="6"/>
        <v>7.5611004226952403</v>
      </c>
      <c r="J15" s="383">
        <f t="shared" si="6"/>
        <v>7.833145407711438</v>
      </c>
      <c r="K15" s="383">
        <f t="shared" si="6"/>
        <v>7.5611004226952403</v>
      </c>
      <c r="L15" s="383">
        <f t="shared" si="6"/>
        <v>7.833145407711438</v>
      </c>
      <c r="M15" s="384">
        <f t="shared" si="6"/>
        <v>7.5611004226952403</v>
      </c>
      <c r="N15" s="385">
        <f t="shared" si="6"/>
        <v>7.833145407711438</v>
      </c>
      <c r="R15" s="943"/>
    </row>
    <row r="16" spans="1:18" x14ac:dyDescent="0.25">
      <c r="A16" s="377" t="s">
        <v>424</v>
      </c>
      <c r="B16">
        <v>12</v>
      </c>
      <c r="C16" s="381">
        <f t="shared" ref="C16:N16" si="7">C28</f>
        <v>11.173378835048027</v>
      </c>
      <c r="D16" s="382">
        <f t="shared" si="7"/>
        <v>12.956025771831419</v>
      </c>
      <c r="E16" s="383">
        <f t="shared" si="7"/>
        <v>11.173378835048027</v>
      </c>
      <c r="F16" s="383">
        <f t="shared" si="7"/>
        <v>12.956025771831419</v>
      </c>
      <c r="G16" s="383">
        <f t="shared" si="7"/>
        <v>11.173378835048027</v>
      </c>
      <c r="H16" s="383">
        <f t="shared" si="7"/>
        <v>12.956025771831419</v>
      </c>
      <c r="I16" s="383">
        <f t="shared" si="7"/>
        <v>11.173378835048027</v>
      </c>
      <c r="J16" s="383">
        <f t="shared" si="7"/>
        <v>12.956025771831419</v>
      </c>
      <c r="K16" s="383">
        <f t="shared" si="7"/>
        <v>11.173378835048027</v>
      </c>
      <c r="L16" s="383">
        <f t="shared" si="7"/>
        <v>12.956025771831419</v>
      </c>
      <c r="M16" s="384">
        <f t="shared" si="7"/>
        <v>11.173378835048027</v>
      </c>
      <c r="N16" s="385">
        <f t="shared" si="7"/>
        <v>12.956025771831419</v>
      </c>
      <c r="R16" s="943"/>
    </row>
    <row r="17" spans="1:18" ht="15.75" thickBot="1" x14ac:dyDescent="0.3">
      <c r="A17" s="21" t="s">
        <v>417</v>
      </c>
      <c r="B17" s="388">
        <v>13</v>
      </c>
      <c r="C17" s="389"/>
      <c r="D17" s="390"/>
      <c r="M17" s="389"/>
      <c r="N17" s="390"/>
      <c r="R17" s="943"/>
    </row>
    <row r="18" spans="1:18" x14ac:dyDescent="0.25">
      <c r="A18" s="10" t="s">
        <v>729</v>
      </c>
      <c r="C18" s="380">
        <v>11.842479187734424</v>
      </c>
      <c r="D18" s="380">
        <v>10.731991809343729</v>
      </c>
      <c r="E18" s="380">
        <v>12.265014011913918</v>
      </c>
      <c r="F18" s="380">
        <v>10.000973586207627</v>
      </c>
      <c r="G18" s="380">
        <v>10.979184187211265</v>
      </c>
      <c r="H18" s="380">
        <v>8.5223784799155915</v>
      </c>
      <c r="I18" s="380">
        <v>13.148063848051311</v>
      </c>
      <c r="J18" s="380">
        <v>7.9030985692464268</v>
      </c>
      <c r="K18" s="380">
        <v>12.856562779451856</v>
      </c>
      <c r="L18" s="380">
        <v>7.5848277080082109</v>
      </c>
      <c r="M18" s="380">
        <v>12.438737053466935</v>
      </c>
      <c r="N18" s="380">
        <v>7.425366911435483</v>
      </c>
      <c r="P18" s="340">
        <v>498587.93828199996</v>
      </c>
    </row>
    <row r="19" spans="1:18" x14ac:dyDescent="0.25">
      <c r="A19" s="10" t="s">
        <v>730</v>
      </c>
      <c r="C19" s="380">
        <v>11.121788259543125</v>
      </c>
      <c r="D19" s="380">
        <v>11.674033908885644</v>
      </c>
      <c r="E19" s="380">
        <v>10.484403888293</v>
      </c>
      <c r="F19" s="380">
        <v>10.80255877157267</v>
      </c>
      <c r="G19" s="380">
        <v>11.337230912233045</v>
      </c>
      <c r="H19" s="380">
        <v>8.3878545902341042</v>
      </c>
      <c r="I19" s="380">
        <v>12.738680850696589</v>
      </c>
      <c r="J19" s="380">
        <v>8.1499769401454714</v>
      </c>
      <c r="K19" s="380">
        <v>12.249745259948408</v>
      </c>
      <c r="L19" s="380">
        <v>8.0145016731129015</v>
      </c>
      <c r="M19" s="380">
        <v>12.04985479024341</v>
      </c>
      <c r="N19" s="380">
        <v>6.5029508810435726</v>
      </c>
      <c r="P19" s="340">
        <v>53627.794940999993</v>
      </c>
    </row>
    <row r="20" spans="1:18" x14ac:dyDescent="0.25">
      <c r="A20" s="10" t="s">
        <v>731</v>
      </c>
      <c r="C20" s="380">
        <v>16.547881035438948</v>
      </c>
      <c r="D20" s="380">
        <v>26.800335945394838</v>
      </c>
      <c r="E20" s="380">
        <v>16.046828669219021</v>
      </c>
      <c r="F20" s="380">
        <v>26.498711077940563</v>
      </c>
      <c r="G20" s="380">
        <v>15.05511110865741</v>
      </c>
      <c r="H20" s="380">
        <v>24.828286404909505</v>
      </c>
      <c r="I20" s="380">
        <v>14.971858701215362</v>
      </c>
      <c r="J20" s="380">
        <v>22.838743006592217</v>
      </c>
      <c r="K20" s="380">
        <v>22.200381530086869</v>
      </c>
      <c r="L20" s="380">
        <v>14.352789458568649</v>
      </c>
      <c r="M20" s="380">
        <v>13.728387100808332</v>
      </c>
      <c r="N20" s="380">
        <v>21.092681118397611</v>
      </c>
      <c r="P20" s="340">
        <v>5502.075124</v>
      </c>
    </row>
    <row r="21" spans="1:18" x14ac:dyDescent="0.25">
      <c r="A21" s="10" t="s">
        <v>732</v>
      </c>
      <c r="C21" s="380">
        <v>7.5567798733510365</v>
      </c>
      <c r="D21" s="380">
        <v>9.5914710765471902</v>
      </c>
      <c r="E21" s="380">
        <v>7.163011666902471</v>
      </c>
      <c r="F21" s="380">
        <v>8.9974179541203263</v>
      </c>
      <c r="G21" s="380">
        <v>6.7496769050041712</v>
      </c>
      <c r="H21" s="380">
        <v>7.1583518556712784</v>
      </c>
      <c r="I21" s="380">
        <v>9.095981860605157</v>
      </c>
      <c r="J21" s="380">
        <v>7.5841481743842527</v>
      </c>
      <c r="K21" s="380">
        <v>8.7545849570759415</v>
      </c>
      <c r="L21" s="380">
        <v>7.5283356089606182</v>
      </c>
      <c r="M21" s="380">
        <v>8.5882201904309703</v>
      </c>
      <c r="N21" s="380">
        <v>7.8055175226911997</v>
      </c>
      <c r="P21" s="340">
        <v>33740.628578999997</v>
      </c>
    </row>
    <row r="22" spans="1:18" x14ac:dyDescent="0.25">
      <c r="A22" s="10" t="s">
        <v>733</v>
      </c>
      <c r="C22" s="380">
        <v>8.189962001995065</v>
      </c>
      <c r="D22" s="380">
        <v>12.738493432125589</v>
      </c>
      <c r="E22" s="380">
        <v>8.2357150340113101</v>
      </c>
      <c r="F22" s="380">
        <v>11.926456473690532</v>
      </c>
      <c r="G22" s="380">
        <v>7.9441583824389381</v>
      </c>
      <c r="H22" s="380">
        <v>7.8714737367349139</v>
      </c>
      <c r="I22" s="380">
        <v>10.249474790648678</v>
      </c>
      <c r="J22" s="380">
        <v>7.0925196224821576</v>
      </c>
      <c r="K22" s="380">
        <v>9.5740957240556224</v>
      </c>
      <c r="L22" s="380">
        <v>7.1340853278128593</v>
      </c>
      <c r="M22" s="380">
        <v>9.2298953153283598</v>
      </c>
      <c r="N22" s="380">
        <v>8.4981530176083968</v>
      </c>
      <c r="P22" s="340">
        <v>75991.949970999995</v>
      </c>
    </row>
    <row r="23" spans="1:18" x14ac:dyDescent="0.25">
      <c r="A23" s="10" t="s">
        <v>226</v>
      </c>
      <c r="C23" s="380">
        <v>12.00426162192813</v>
      </c>
      <c r="D23" s="380">
        <v>4.0584980023036312</v>
      </c>
      <c r="E23" s="380">
        <v>11.75031189268174</v>
      </c>
      <c r="F23" s="380">
        <v>4.0260451152403745</v>
      </c>
      <c r="G23" s="380">
        <v>10.838198014990175</v>
      </c>
      <c r="H23" s="380">
        <v>4.1081410960911109</v>
      </c>
      <c r="I23" s="380">
        <v>10.599779404119312</v>
      </c>
      <c r="J23" s="380">
        <v>3.9021259231715186</v>
      </c>
      <c r="K23" s="380">
        <v>10.668234776787308</v>
      </c>
      <c r="L23" s="380">
        <v>3.8233351209658815</v>
      </c>
      <c r="M23" s="380">
        <v>10.180540790584439</v>
      </c>
      <c r="N23" s="380">
        <v>3.7122676118188327</v>
      </c>
      <c r="P23" s="340">
        <v>241500.79790199999</v>
      </c>
    </row>
    <row r="24" spans="1:18" x14ac:dyDescent="0.25">
      <c r="C24" s="374" t="s">
        <v>327</v>
      </c>
      <c r="D24" s="375" t="s">
        <v>329</v>
      </c>
      <c r="E24" t="s">
        <v>327</v>
      </c>
      <c r="F24" t="s">
        <v>329</v>
      </c>
      <c r="G24" t="s">
        <v>327</v>
      </c>
      <c r="H24" t="s">
        <v>329</v>
      </c>
      <c r="I24" t="s">
        <v>327</v>
      </c>
      <c r="J24" t="s">
        <v>329</v>
      </c>
      <c r="K24" t="s">
        <v>327</v>
      </c>
      <c r="L24" t="s">
        <v>329</v>
      </c>
      <c r="M24" s="374" t="s">
        <v>327</v>
      </c>
      <c r="N24" s="375" t="s">
        <v>329</v>
      </c>
      <c r="P24" s="340"/>
    </row>
    <row r="25" spans="1:18" x14ac:dyDescent="0.25">
      <c r="A25" t="s">
        <v>734</v>
      </c>
      <c r="C25" s="380">
        <v>20.805672323715143</v>
      </c>
      <c r="D25" s="380">
        <v>16.594198096781948</v>
      </c>
      <c r="E25" s="380">
        <v>26.011549842893999</v>
      </c>
      <c r="F25" s="380">
        <v>14.736547384292908</v>
      </c>
      <c r="G25" s="380">
        <v>21.807041260659648</v>
      </c>
      <c r="H25" s="380">
        <v>11.939831009839969</v>
      </c>
      <c r="I25" s="380">
        <v>20.342035456056191</v>
      </c>
      <c r="J25" s="380">
        <v>14.097768018632713</v>
      </c>
      <c r="K25" s="380">
        <v>17.359287250648013</v>
      </c>
      <c r="L25" s="380">
        <v>11.07880530835982</v>
      </c>
      <c r="M25" s="380">
        <v>15.408155154332878</v>
      </c>
      <c r="N25" s="380">
        <v>11.154320379771567</v>
      </c>
      <c r="P25" s="340">
        <v>498587.93828199996</v>
      </c>
    </row>
    <row r="26" spans="1:18" x14ac:dyDescent="0.25">
      <c r="A26" t="s">
        <v>735</v>
      </c>
      <c r="C26" s="380">
        <v>14.171198129209696</v>
      </c>
      <c r="D26" s="380">
        <v>29.095405384872027</v>
      </c>
      <c r="E26" s="380">
        <v>14.171198129209696</v>
      </c>
      <c r="F26" s="380">
        <v>29.095405384872027</v>
      </c>
      <c r="G26" s="380">
        <v>14.171198129209696</v>
      </c>
      <c r="H26" s="380">
        <v>29.095405384872027</v>
      </c>
      <c r="I26" s="380">
        <v>14.171198129209696</v>
      </c>
      <c r="J26" s="380">
        <v>29.095405384872027</v>
      </c>
      <c r="K26" s="380">
        <v>14.171198129209696</v>
      </c>
      <c r="L26" s="380">
        <v>29.095405384872027</v>
      </c>
      <c r="M26" s="380">
        <v>14.171198129209696</v>
      </c>
      <c r="N26" s="380">
        <v>29.095405384872027</v>
      </c>
      <c r="P26" s="340">
        <v>5502.075124</v>
      </c>
    </row>
    <row r="27" spans="1:18" x14ac:dyDescent="0.25">
      <c r="A27" t="s">
        <v>736</v>
      </c>
      <c r="C27" s="380">
        <v>11.289278035999841</v>
      </c>
      <c r="D27" s="380">
        <v>13.634147581675704</v>
      </c>
      <c r="E27" s="380">
        <v>10.651746129018811</v>
      </c>
      <c r="F27" s="380">
        <v>12.814516104948313</v>
      </c>
      <c r="G27" s="380">
        <v>9.5742920582287656</v>
      </c>
      <c r="H27" s="380">
        <v>10.450408188158615</v>
      </c>
      <c r="I27" s="380">
        <v>8.4005742932918359</v>
      </c>
      <c r="J27" s="380">
        <v>5.5034429874348731</v>
      </c>
      <c r="K27" s="380">
        <v>8.4942068995296633</v>
      </c>
      <c r="L27" s="380">
        <v>5.5034304156837717</v>
      </c>
      <c r="M27" s="380">
        <v>8.5774857707533734</v>
      </c>
      <c r="N27" s="380">
        <v>5.883485766051205</v>
      </c>
      <c r="P27" s="340">
        <v>30397.038322</v>
      </c>
    </row>
    <row r="28" spans="1:18" x14ac:dyDescent="0.25">
      <c r="A28" t="s">
        <v>737</v>
      </c>
      <c r="C28" s="380">
        <v>11.173378835048027</v>
      </c>
      <c r="D28" s="380">
        <v>12.956025771831419</v>
      </c>
      <c r="E28" s="380">
        <v>11.173378835048027</v>
      </c>
      <c r="F28" s="380">
        <v>12.956025771831419</v>
      </c>
      <c r="G28" s="380">
        <v>11.173378835048027</v>
      </c>
      <c r="H28" s="380">
        <v>12.956025771831419</v>
      </c>
      <c r="I28" s="380">
        <v>11.173378835048027</v>
      </c>
      <c r="J28" s="380">
        <v>12.956025771831419</v>
      </c>
      <c r="K28" s="380">
        <v>11.173378835048027</v>
      </c>
      <c r="L28" s="380">
        <v>12.956025771831419</v>
      </c>
      <c r="M28" s="380">
        <v>11.173378835048027</v>
      </c>
      <c r="N28" s="380">
        <v>12.956025771831419</v>
      </c>
      <c r="P28" s="340">
        <v>75991.949970999995</v>
      </c>
    </row>
    <row r="29" spans="1:18" x14ac:dyDescent="0.25">
      <c r="A29" t="s">
        <v>738</v>
      </c>
      <c r="C29" s="380">
        <v>27.342287247943357</v>
      </c>
      <c r="D29" s="380">
        <v>9.7596963326789936</v>
      </c>
      <c r="E29" s="380">
        <v>28.713316392693272</v>
      </c>
      <c r="F29" s="380">
        <v>11.378223928591185</v>
      </c>
      <c r="G29" s="380">
        <v>28.947508747612737</v>
      </c>
      <c r="H29" s="380">
        <v>5.3581629289601764</v>
      </c>
      <c r="I29" s="380">
        <v>28.73046045209335</v>
      </c>
      <c r="J29" s="380">
        <v>5.0269126694141919</v>
      </c>
      <c r="K29" s="380">
        <v>27.816035752408453</v>
      </c>
      <c r="L29" s="380">
        <v>7.9914831778599984</v>
      </c>
      <c r="M29" s="380">
        <v>27.704997090460509</v>
      </c>
      <c r="N29" s="380">
        <v>7.8109013941737286</v>
      </c>
      <c r="P29" s="340">
        <v>241500.79790199999</v>
      </c>
    </row>
    <row r="30" spans="1:18" x14ac:dyDescent="0.25">
      <c r="A30" t="s">
        <v>739</v>
      </c>
      <c r="C30" s="380">
        <v>89.856067806307024</v>
      </c>
      <c r="D30" s="380">
        <v>78.051830073500966</v>
      </c>
      <c r="E30" s="380">
        <v>89.856067806307024</v>
      </c>
      <c r="F30" s="380">
        <v>78.051830073500966</v>
      </c>
      <c r="G30" s="380">
        <v>89.856067806307024</v>
      </c>
      <c r="H30" s="380">
        <v>78.051830073500966</v>
      </c>
      <c r="I30" s="380">
        <v>89.856067806307024</v>
      </c>
      <c r="J30" s="380">
        <v>78.051830073500966</v>
      </c>
      <c r="K30" s="380">
        <v>89.856067806307024</v>
      </c>
      <c r="L30" s="380">
        <v>78.051830073500966</v>
      </c>
      <c r="M30" s="380">
        <v>89.856067806307024</v>
      </c>
      <c r="N30" s="380">
        <v>78.051830073500966</v>
      </c>
      <c r="P30" s="340">
        <v>2500.8845259999998</v>
      </c>
    </row>
    <row r="31" spans="1:18" x14ac:dyDescent="0.25">
      <c r="A31" s="391" t="s">
        <v>740</v>
      </c>
      <c r="C31" s="380">
        <v>67.833727931236595</v>
      </c>
      <c r="D31" s="380">
        <v>76.880253513893692</v>
      </c>
      <c r="E31" s="380">
        <v>67.833727931236595</v>
      </c>
      <c r="F31" s="380">
        <v>76.880253513893692</v>
      </c>
      <c r="G31" s="380">
        <v>67.833727931236595</v>
      </c>
      <c r="H31" s="380">
        <v>76.880253513893692</v>
      </c>
      <c r="I31" s="380">
        <v>67.833727931236595</v>
      </c>
      <c r="J31" s="380">
        <v>76.880253513893692</v>
      </c>
      <c r="K31" s="380">
        <v>67.833727931236595</v>
      </c>
      <c r="L31" s="380">
        <v>76.880253513893692</v>
      </c>
      <c r="M31" s="380">
        <v>67.833727931236595</v>
      </c>
      <c r="N31" s="380">
        <v>76.880253513893692</v>
      </c>
      <c r="P31" s="340">
        <v>5501.9674849999992</v>
      </c>
    </row>
    <row r="32" spans="1:18" x14ac:dyDescent="0.25">
      <c r="A32" t="s">
        <v>741</v>
      </c>
      <c r="C32" s="380">
        <v>14.053498029845874</v>
      </c>
      <c r="D32" s="380">
        <v>13.650624294687139</v>
      </c>
      <c r="E32" s="380">
        <v>14.053498029845874</v>
      </c>
      <c r="F32" s="380">
        <v>13.650624294687139</v>
      </c>
      <c r="G32" s="380">
        <v>14.053498029845874</v>
      </c>
      <c r="H32" s="380">
        <v>13.650624294687139</v>
      </c>
      <c r="I32" s="380">
        <v>14.053498029845874</v>
      </c>
      <c r="J32" s="380">
        <v>13.650624294687139</v>
      </c>
      <c r="K32" s="380">
        <v>14.053498029845874</v>
      </c>
      <c r="L32" s="380">
        <v>13.650624294687139</v>
      </c>
      <c r="M32" s="380">
        <v>14.053498029845874</v>
      </c>
      <c r="N32" s="380">
        <v>13.650624294687139</v>
      </c>
      <c r="P32" s="340">
        <v>73958.756899999993</v>
      </c>
    </row>
    <row r="33" spans="1:16" x14ac:dyDescent="0.25">
      <c r="A33" t="s">
        <v>742</v>
      </c>
      <c r="C33" s="380">
        <v>20.813752770075876</v>
      </c>
      <c r="D33" s="380">
        <v>24.485005882645151</v>
      </c>
      <c r="E33" s="380">
        <v>20.813752770075876</v>
      </c>
      <c r="F33" s="380">
        <v>24.485005882645151</v>
      </c>
      <c r="G33" s="380">
        <v>20.813752770075876</v>
      </c>
      <c r="H33" s="380">
        <v>24.485005882645151</v>
      </c>
      <c r="I33" s="380">
        <v>20.813752770075876</v>
      </c>
      <c r="J33" s="380">
        <v>24.485005882645151</v>
      </c>
      <c r="K33" s="380">
        <v>20.813752770075876</v>
      </c>
      <c r="L33" s="380">
        <v>24.485005882645151</v>
      </c>
      <c r="M33" s="380">
        <v>20.813752770075876</v>
      </c>
      <c r="N33" s="380">
        <v>24.485005882645151</v>
      </c>
      <c r="P33" s="340">
        <v>24692.278960999996</v>
      </c>
    </row>
    <row r="34" spans="1:16" x14ac:dyDescent="0.25">
      <c r="A34" t="s">
        <v>743</v>
      </c>
      <c r="C34" s="380">
        <v>12.342446302890057</v>
      </c>
      <c r="D34" s="380">
        <v>5.8538454536347713</v>
      </c>
      <c r="E34" s="380">
        <v>12.342446302890057</v>
      </c>
      <c r="F34" s="380">
        <v>5.8538454536347713</v>
      </c>
      <c r="G34" s="380">
        <v>12.342446302890057</v>
      </c>
      <c r="H34" s="380">
        <v>5.8538454536347713</v>
      </c>
      <c r="I34" s="380">
        <v>12.342446302890057</v>
      </c>
      <c r="J34" s="380">
        <v>5.8538454536347713</v>
      </c>
      <c r="K34" s="380">
        <v>12.342446302890057</v>
      </c>
      <c r="L34" s="380">
        <v>5.8538454536347713</v>
      </c>
      <c r="M34" s="380">
        <v>12.342446302890057</v>
      </c>
      <c r="N34" s="380">
        <v>5.8538454536347713</v>
      </c>
      <c r="P34" s="340">
        <v>40096.496250999997</v>
      </c>
    </row>
    <row r="35" spans="1:16" x14ac:dyDescent="0.25">
      <c r="A35" t="s">
        <v>744</v>
      </c>
      <c r="C35" s="380">
        <v>14.034582420005862</v>
      </c>
      <c r="D35" s="380">
        <v>3.2120798111610203</v>
      </c>
      <c r="E35" s="380">
        <v>14.034582420005862</v>
      </c>
      <c r="F35" s="380">
        <v>3.2120798111610203</v>
      </c>
      <c r="G35" s="380">
        <v>14.034582420005862</v>
      </c>
      <c r="H35" s="380">
        <v>3.2120798111610203</v>
      </c>
      <c r="I35" s="380">
        <v>14.034582420005862</v>
      </c>
      <c r="J35" s="380">
        <v>3.2120798111610203</v>
      </c>
      <c r="K35" s="380">
        <v>14.034582420005862</v>
      </c>
      <c r="L35" s="380">
        <v>3.2120798111610203</v>
      </c>
      <c r="M35" s="380">
        <v>14.034582420005862</v>
      </c>
      <c r="N35" s="380">
        <v>3.2120798111610203</v>
      </c>
      <c r="P35" s="340">
        <v>122119.567031</v>
      </c>
    </row>
    <row r="36" spans="1:16" x14ac:dyDescent="0.25">
      <c r="A36" t="s">
        <v>745</v>
      </c>
      <c r="C36" s="380">
        <v>2.9971557815137593</v>
      </c>
      <c r="D36" s="380">
        <v>14.460247765481913</v>
      </c>
      <c r="E36" s="380">
        <v>2.9971557815137593</v>
      </c>
      <c r="F36" s="380">
        <v>14.460247765481913</v>
      </c>
      <c r="G36" s="380">
        <v>2.9971557815137593</v>
      </c>
      <c r="H36" s="380">
        <v>14.460247765481913</v>
      </c>
      <c r="I36" s="380">
        <v>2.9971557815137593</v>
      </c>
      <c r="J36" s="380">
        <v>14.460247765481913</v>
      </c>
      <c r="K36" s="380">
        <v>2.9971557815137593</v>
      </c>
      <c r="L36" s="380">
        <v>14.460247765481913</v>
      </c>
      <c r="M36" s="380">
        <v>2.9971557815137593</v>
      </c>
      <c r="N36" s="380">
        <v>14.460247765481913</v>
      </c>
      <c r="P36" s="340">
        <v>52044.855807</v>
      </c>
    </row>
    <row r="37" spans="1:16" x14ac:dyDescent="0.25">
      <c r="A37" t="s">
        <v>746</v>
      </c>
      <c r="C37" s="380">
        <v>6.170784181388127</v>
      </c>
      <c r="D37" s="380">
        <v>5.2200798861392963</v>
      </c>
      <c r="E37" s="380">
        <v>6.170784181388127</v>
      </c>
      <c r="F37" s="380">
        <v>5.2200798861392963</v>
      </c>
      <c r="G37" s="380">
        <v>6.170784181388127</v>
      </c>
      <c r="H37" s="380">
        <v>5.2200798861392963</v>
      </c>
      <c r="I37" s="380">
        <v>6.170784181388127</v>
      </c>
      <c r="J37" s="380">
        <v>5.2200798861392963</v>
      </c>
      <c r="K37" s="380">
        <v>6.170784181388127</v>
      </c>
      <c r="L37" s="380">
        <v>5.2200798861392963</v>
      </c>
      <c r="M37" s="380">
        <v>6.170784181388127</v>
      </c>
      <c r="N37" s="380">
        <v>5.2200798861392963</v>
      </c>
      <c r="P37" s="340">
        <v>29404.35</v>
      </c>
    </row>
    <row r="38" spans="1:16" x14ac:dyDescent="0.25">
      <c r="A38" t="s">
        <v>747</v>
      </c>
      <c r="C38" s="380">
        <v>8.9514166640023536</v>
      </c>
      <c r="D38" s="380">
        <v>10.446210929283581</v>
      </c>
      <c r="E38" s="380">
        <v>8.9514166640023536</v>
      </c>
      <c r="F38" s="380">
        <v>10.446210929283581</v>
      </c>
      <c r="G38" s="380">
        <v>8.9514166640023536</v>
      </c>
      <c r="H38" s="380">
        <v>10.446210929283581</v>
      </c>
      <c r="I38" s="380">
        <v>8.9514166640023536</v>
      </c>
      <c r="J38" s="380">
        <v>10.446210929283581</v>
      </c>
      <c r="K38" s="380">
        <v>8.9514166640023536</v>
      </c>
      <c r="L38" s="380">
        <v>10.446210929283581</v>
      </c>
      <c r="M38" s="380">
        <v>8.9514166640023536</v>
      </c>
      <c r="N38" s="380">
        <v>10.446210929283581</v>
      </c>
      <c r="P38" s="340">
        <v>2377.1</v>
      </c>
    </row>
    <row r="39" spans="1:16" x14ac:dyDescent="0.25">
      <c r="A39" t="s">
        <v>748</v>
      </c>
      <c r="C39" s="380">
        <v>41.857515512280017</v>
      </c>
      <c r="D39" s="380">
        <v>9.5798846377288722</v>
      </c>
      <c r="E39" s="380">
        <v>41.857515512280017</v>
      </c>
      <c r="F39" s="380">
        <v>9.5798846377288722</v>
      </c>
      <c r="G39" s="380">
        <v>41.857515512280017</v>
      </c>
      <c r="H39" s="380">
        <v>9.5798846377288722</v>
      </c>
      <c r="I39" s="380">
        <v>41.857515512280017</v>
      </c>
      <c r="J39" s="380">
        <v>9.5798846377288722</v>
      </c>
      <c r="K39" s="380">
        <v>41.857515512280017</v>
      </c>
      <c r="L39" s="380">
        <v>9.5798846377288722</v>
      </c>
      <c r="M39" s="380">
        <v>30.091426769560005</v>
      </c>
      <c r="N39" s="380">
        <v>12.720653105682278</v>
      </c>
      <c r="P39" s="340">
        <v>40945.983239000001</v>
      </c>
    </row>
  </sheetData>
  <mergeCells count="2">
    <mergeCell ref="R1:R17"/>
    <mergeCell ref="A3:B3"/>
  </mergeCells>
  <pageMargins left="0.7" right="0.7" top="0.75" bottom="0.75" header="0.3" footer="0.3"/>
  <headerFooter>
    <oddFooter>&amp;C_x000D_&amp;1#&amp;"Calibri"&amp;22&amp;K0073CF 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5D779-990B-4642-AE84-6C66876E2F06}">
  <sheetPr codeName="Sheet4">
    <tabColor theme="7" tint="0.59999389629810485"/>
  </sheetPr>
  <dimension ref="A1:X136"/>
  <sheetViews>
    <sheetView tabSelected="1" zoomScale="55" zoomScaleNormal="55" workbookViewId="0">
      <selection activeCell="G40" sqref="G40"/>
    </sheetView>
  </sheetViews>
  <sheetFormatPr defaultColWidth="8.7109375" defaultRowHeight="14.25" x14ac:dyDescent="0.25"/>
  <cols>
    <col min="1" max="1" width="22.42578125" style="395" customWidth="1"/>
    <col min="2" max="2" width="69.5703125" style="395" bestFit="1" customWidth="1"/>
    <col min="3" max="3" width="35.42578125" style="396" customWidth="1"/>
    <col min="4" max="4" width="21" style="396" customWidth="1"/>
    <col min="5" max="5" width="27" style="396" hidden="1" customWidth="1"/>
    <col min="6" max="6" width="16.140625" style="395" customWidth="1"/>
    <col min="7" max="7" width="13.5703125" style="395" customWidth="1"/>
    <col min="8" max="8" width="13" style="395" customWidth="1"/>
    <col min="9" max="9" width="10.140625" style="395" bestFit="1" customWidth="1"/>
    <col min="10" max="10" width="11.42578125" style="395" bestFit="1" customWidth="1"/>
    <col min="11" max="20" width="9.85546875" style="395" customWidth="1"/>
    <col min="21" max="16384" width="8.7109375" style="395"/>
  </cols>
  <sheetData>
    <row r="1" spans="1:24" ht="16.5" thickBot="1" x14ac:dyDescent="0.3">
      <c r="A1" s="843" t="s">
        <v>48</v>
      </c>
      <c r="B1" s="844"/>
      <c r="C1" s="845"/>
      <c r="D1" s="392"/>
      <c r="E1" s="846" t="s">
        <v>49</v>
      </c>
      <c r="F1" s="393"/>
      <c r="G1" s="393"/>
      <c r="H1" s="393"/>
      <c r="I1" s="393"/>
      <c r="J1" s="393"/>
      <c r="K1" s="393"/>
      <c r="L1" s="393"/>
      <c r="M1" s="393"/>
      <c r="N1" s="393"/>
      <c r="O1" s="393"/>
      <c r="P1" s="393"/>
      <c r="Q1" s="393"/>
    </row>
    <row r="2" spans="1:24" ht="15" x14ac:dyDescent="0.25">
      <c r="A2" s="848" t="s">
        <v>50</v>
      </c>
      <c r="B2" s="563" t="s">
        <v>51</v>
      </c>
      <c r="C2" s="564"/>
      <c r="D2" s="392"/>
      <c r="E2" s="847"/>
      <c r="F2" s="393"/>
      <c r="G2" s="393"/>
      <c r="H2" s="393"/>
      <c r="I2" s="393"/>
      <c r="J2" s="393"/>
      <c r="K2" s="393"/>
      <c r="L2" s="393"/>
      <c r="M2" s="393"/>
      <c r="N2" s="393"/>
      <c r="O2" s="393"/>
      <c r="P2" s="393"/>
      <c r="Q2" s="393"/>
    </row>
    <row r="3" spans="1:24" ht="18" hidden="1" x14ac:dyDescent="0.25">
      <c r="A3" s="849"/>
      <c r="B3" s="413"/>
      <c r="C3" s="414"/>
      <c r="D3" s="392"/>
      <c r="E3" s="397"/>
      <c r="F3" s="393"/>
      <c r="G3" s="393"/>
      <c r="H3" s="393"/>
      <c r="I3" s="393"/>
      <c r="J3" s="393"/>
      <c r="K3" s="393"/>
      <c r="L3" s="393"/>
      <c r="M3" s="393"/>
      <c r="N3" s="393"/>
      <c r="O3" s="393"/>
      <c r="P3" s="393"/>
      <c r="Q3" s="393"/>
    </row>
    <row r="4" spans="1:24" ht="18" hidden="1" customHeight="1" x14ac:dyDescent="0.25">
      <c r="A4" s="849"/>
      <c r="B4" s="562" t="s">
        <v>52</v>
      </c>
      <c r="C4" s="565" t="s">
        <v>53</v>
      </c>
      <c r="D4" s="392"/>
      <c r="E4" s="851" t="s">
        <v>54</v>
      </c>
      <c r="F4" s="393"/>
      <c r="G4" s="393"/>
      <c r="H4" s="393"/>
      <c r="I4" s="393"/>
      <c r="J4" s="393"/>
      <c r="K4" s="393"/>
      <c r="L4" s="393"/>
      <c r="M4" s="393"/>
      <c r="N4" s="393"/>
      <c r="O4" s="393"/>
      <c r="P4" s="393"/>
      <c r="Q4" s="393"/>
    </row>
    <row r="5" spans="1:24" ht="18" hidden="1" customHeight="1" x14ac:dyDescent="0.25">
      <c r="A5" s="849"/>
      <c r="B5" s="562" t="s">
        <v>55</v>
      </c>
      <c r="C5" s="409" t="str">
        <f>IFERROR('Zip Code Lines_1'!M11,"")</f>
        <v/>
      </c>
      <c r="D5" s="392"/>
      <c r="E5" s="852"/>
      <c r="F5" s="393"/>
      <c r="G5" s="393"/>
      <c r="H5" s="393"/>
      <c r="I5" s="393"/>
      <c r="J5" s="393"/>
      <c r="K5" s="393"/>
      <c r="L5" s="393"/>
      <c r="M5" s="393"/>
      <c r="N5" s="393"/>
      <c r="O5" s="393"/>
      <c r="P5" s="393"/>
      <c r="Q5" s="393"/>
    </row>
    <row r="6" spans="1:24" ht="18" hidden="1" customHeight="1" x14ac:dyDescent="0.25">
      <c r="A6" s="849"/>
      <c r="B6" s="562" t="s">
        <v>56</v>
      </c>
      <c r="C6" s="409" t="str">
        <f>IFERROR(VLOOKUP(C5,Picklists!$B$49:$E$72,4,FALSE),"")</f>
        <v/>
      </c>
      <c r="D6" s="392"/>
      <c r="E6" s="852"/>
      <c r="F6" s="393"/>
      <c r="G6" s="393"/>
      <c r="H6" s="393"/>
      <c r="I6" s="393"/>
      <c r="J6" s="393"/>
      <c r="K6" s="393"/>
      <c r="L6" s="393"/>
      <c r="M6" s="393"/>
      <c r="N6" s="393"/>
      <c r="O6" s="393"/>
      <c r="P6" s="393"/>
      <c r="Q6" s="393"/>
    </row>
    <row r="7" spans="1:24" ht="18" hidden="1" customHeight="1" x14ac:dyDescent="0.25">
      <c r="A7" s="849"/>
      <c r="B7" s="562" t="s">
        <v>57</v>
      </c>
      <c r="C7" s="566" t="s">
        <v>58</v>
      </c>
      <c r="D7" s="392"/>
      <c r="E7" s="852"/>
      <c r="F7" s="393"/>
      <c r="G7" s="393"/>
      <c r="H7" s="393"/>
      <c r="I7" s="393"/>
      <c r="J7" s="393"/>
      <c r="K7" s="393"/>
      <c r="L7" s="393"/>
      <c r="M7" s="393"/>
      <c r="N7" s="393"/>
      <c r="O7" s="393"/>
      <c r="P7" s="393"/>
      <c r="Q7" s="393"/>
    </row>
    <row r="8" spans="1:24" ht="18" customHeight="1" x14ac:dyDescent="0.25">
      <c r="A8" s="849"/>
      <c r="B8" s="562" t="s">
        <v>59</v>
      </c>
      <c r="C8" s="567"/>
      <c r="D8" s="392"/>
      <c r="E8" s="853"/>
      <c r="F8" s="393"/>
      <c r="G8" s="393"/>
      <c r="H8" s="393"/>
      <c r="I8" s="393"/>
      <c r="J8" s="393"/>
      <c r="K8" s="393"/>
      <c r="L8" s="393"/>
      <c r="M8" s="393"/>
      <c r="N8" s="393"/>
      <c r="O8" s="393"/>
      <c r="P8" s="393"/>
      <c r="Q8" s="393"/>
    </row>
    <row r="9" spans="1:24" ht="18" hidden="1" customHeight="1" x14ac:dyDescent="0.25">
      <c r="A9" s="849"/>
      <c r="B9" s="562"/>
      <c r="C9" s="567"/>
      <c r="D9" s="392"/>
      <c r="E9" s="854" t="s">
        <v>60</v>
      </c>
      <c r="F9" s="393"/>
      <c r="G9" s="393"/>
      <c r="H9" s="393"/>
      <c r="I9" s="393"/>
      <c r="J9" s="393"/>
      <c r="K9" s="393"/>
      <c r="L9" s="393"/>
      <c r="M9" s="393"/>
      <c r="N9" s="393"/>
      <c r="O9" s="393"/>
      <c r="P9" s="393"/>
      <c r="Q9" s="393"/>
    </row>
    <row r="10" spans="1:24" ht="18" hidden="1" customHeight="1" x14ac:dyDescent="0.25">
      <c r="A10" s="849"/>
      <c r="B10" s="562"/>
      <c r="C10" s="567"/>
      <c r="D10" s="392"/>
      <c r="E10" s="855"/>
      <c r="F10" s="393"/>
      <c r="G10" s="393"/>
      <c r="H10" s="393"/>
      <c r="I10" s="393"/>
      <c r="J10" s="393"/>
      <c r="K10" s="393"/>
      <c r="L10" s="393"/>
      <c r="M10" s="393"/>
      <c r="N10" s="393"/>
      <c r="O10" s="393"/>
      <c r="P10" s="393"/>
      <c r="Q10" s="393"/>
    </row>
    <row r="11" spans="1:24" ht="18" customHeight="1" x14ac:dyDescent="0.25">
      <c r="A11" s="849"/>
      <c r="B11" s="562" t="s">
        <v>61</v>
      </c>
      <c r="C11" s="567"/>
      <c r="D11" s="398"/>
      <c r="E11" s="855"/>
      <c r="F11" s="393"/>
      <c r="G11" s="393"/>
      <c r="H11" s="393"/>
      <c r="I11" s="393"/>
      <c r="J11" s="393"/>
      <c r="K11" s="393"/>
      <c r="L11" s="393"/>
      <c r="M11" s="393"/>
      <c r="N11" s="393"/>
      <c r="O11" s="393"/>
      <c r="P11" s="393"/>
      <c r="Q11" s="393"/>
    </row>
    <row r="12" spans="1:24" ht="15" x14ac:dyDescent="0.25">
      <c r="A12" s="849"/>
      <c r="B12" s="562" t="str">
        <f>IF(C11="New Construction","","Year of construction/renovation*")</f>
        <v>Year of construction/renovation*</v>
      </c>
      <c r="C12" s="567"/>
      <c r="D12" s="398"/>
      <c r="E12" s="855"/>
      <c r="F12" s="393"/>
      <c r="G12" s="393"/>
      <c r="H12" s="393"/>
      <c r="I12" s="393"/>
      <c r="J12" s="393"/>
      <c r="K12" s="393"/>
      <c r="L12" s="393"/>
      <c r="M12" s="393"/>
      <c r="N12" s="393"/>
      <c r="O12" s="393"/>
      <c r="P12" s="393"/>
      <c r="Q12" s="393"/>
      <c r="U12" s="403"/>
      <c r="V12" s="403"/>
      <c r="W12" s="403"/>
      <c r="X12" s="403"/>
    </row>
    <row r="13" spans="1:24" ht="15" x14ac:dyDescent="0.25">
      <c r="A13" s="849"/>
      <c r="B13" s="562"/>
      <c r="C13" s="643"/>
      <c r="D13" s="398"/>
      <c r="E13" s="855"/>
      <c r="F13" s="393"/>
      <c r="G13" s="393"/>
      <c r="H13" s="393"/>
      <c r="I13" s="393"/>
      <c r="J13" s="393"/>
      <c r="K13" s="393"/>
      <c r="L13" s="393"/>
      <c r="M13" s="393"/>
      <c r="N13" s="393"/>
      <c r="O13" s="393"/>
      <c r="P13" s="393"/>
      <c r="Q13" s="393"/>
      <c r="U13" s="403"/>
      <c r="V13" s="403"/>
      <c r="W13" s="403"/>
      <c r="X13" s="403"/>
    </row>
    <row r="14" spans="1:24" ht="15" x14ac:dyDescent="0.25">
      <c r="A14" s="849"/>
      <c r="B14" s="562" t="s">
        <v>62</v>
      </c>
      <c r="C14" s="568"/>
      <c r="D14" s="398"/>
      <c r="E14" s="855"/>
      <c r="F14" s="393"/>
      <c r="G14" s="393"/>
      <c r="H14" s="393"/>
      <c r="I14" s="393"/>
      <c r="J14" s="393"/>
      <c r="K14" s="393"/>
      <c r="L14" s="393"/>
      <c r="M14" s="393"/>
      <c r="N14" s="393"/>
      <c r="O14" s="393"/>
      <c r="P14" s="393"/>
      <c r="Q14" s="393"/>
      <c r="U14" s="403"/>
      <c r="V14" s="403"/>
      <c r="W14" s="403"/>
      <c r="X14" s="403"/>
    </row>
    <row r="15" spans="1:24" ht="15" x14ac:dyDescent="0.25">
      <c r="A15" s="849"/>
      <c r="B15" s="562" t="s">
        <v>63</v>
      </c>
      <c r="C15" s="568"/>
      <c r="D15" s="636">
        <f>IFERROR($C$15*3.412/$C$14,0)</f>
        <v>0</v>
      </c>
      <c r="E15" s="855"/>
      <c r="F15" s="393"/>
      <c r="G15" s="393"/>
      <c r="H15" s="393"/>
      <c r="I15" s="393"/>
      <c r="J15" s="393"/>
      <c r="K15" s="393"/>
      <c r="L15" s="393"/>
      <c r="M15" s="393"/>
      <c r="N15" s="393"/>
      <c r="O15" s="393"/>
      <c r="P15" s="393"/>
      <c r="Q15" s="393"/>
      <c r="U15" s="403"/>
      <c r="V15" s="403"/>
      <c r="W15" s="403"/>
      <c r="X15" s="403"/>
    </row>
    <row r="16" spans="1:24" ht="15" x14ac:dyDescent="0.25">
      <c r="A16" s="849"/>
      <c r="B16" s="562" t="s">
        <v>64</v>
      </c>
      <c r="C16" s="568"/>
      <c r="D16" s="636">
        <f>IFERROR($C$16*1000/$C$14,0)</f>
        <v>0</v>
      </c>
      <c r="E16" s="855"/>
      <c r="F16" s="393"/>
      <c r="G16" s="393"/>
      <c r="H16" s="393"/>
      <c r="I16" s="393"/>
      <c r="J16" s="393"/>
      <c r="K16" s="393"/>
      <c r="L16" s="393"/>
      <c r="M16" s="393"/>
      <c r="N16" s="393"/>
      <c r="O16" s="393"/>
      <c r="P16" s="393"/>
      <c r="Q16" s="393"/>
      <c r="U16" s="403"/>
      <c r="V16" s="403"/>
      <c r="W16" s="403"/>
      <c r="X16" s="403"/>
    </row>
    <row r="17" spans="1:24" ht="15" hidden="1" x14ac:dyDescent="0.25">
      <c r="A17" s="849"/>
      <c r="B17" s="562"/>
      <c r="C17" s="568"/>
      <c r="D17" s="398"/>
      <c r="E17" s="855"/>
      <c r="F17" s="393"/>
      <c r="G17" s="393"/>
      <c r="H17" s="393"/>
      <c r="I17" s="393"/>
      <c r="J17" s="393"/>
      <c r="K17" s="393"/>
      <c r="L17" s="393"/>
      <c r="M17" s="393"/>
      <c r="N17" s="393"/>
      <c r="O17" s="393"/>
      <c r="P17" s="393"/>
      <c r="Q17" s="393"/>
      <c r="U17" s="403"/>
      <c r="V17" s="403"/>
      <c r="W17" s="403"/>
      <c r="X17" s="403"/>
    </row>
    <row r="18" spans="1:24" ht="15" x14ac:dyDescent="0.25">
      <c r="A18" s="849"/>
      <c r="B18" s="562" t="s">
        <v>65</v>
      </c>
      <c r="C18" s="568"/>
      <c r="D18" s="398"/>
      <c r="E18" s="855"/>
      <c r="F18" s="393"/>
      <c r="G18" s="393"/>
      <c r="H18" s="393"/>
      <c r="I18" s="393"/>
      <c r="J18" s="393"/>
      <c r="K18" s="393"/>
      <c r="L18" s="393"/>
      <c r="M18" s="393"/>
      <c r="N18" s="393"/>
      <c r="O18" s="393"/>
      <c r="P18" s="393"/>
      <c r="Q18" s="393"/>
      <c r="U18" s="403"/>
      <c r="V18" s="403"/>
      <c r="W18" s="403"/>
      <c r="X18" s="403"/>
    </row>
    <row r="19" spans="1:24" ht="15" hidden="1" customHeight="1" x14ac:dyDescent="0.25">
      <c r="A19" s="849"/>
      <c r="B19" s="562" t="s">
        <v>66</v>
      </c>
      <c r="C19" s="409" t="str">
        <f>IF(C20="Bundle Set","4A","Other than 4A")</f>
        <v>4A</v>
      </c>
      <c r="D19" s="398"/>
      <c r="E19" s="855"/>
      <c r="F19" s="393"/>
      <c r="G19" s="393"/>
      <c r="H19" s="393"/>
      <c r="I19" s="393"/>
      <c r="J19" s="393"/>
      <c r="K19" s="393"/>
      <c r="L19" s="393"/>
      <c r="M19" s="393"/>
      <c r="N19" s="393"/>
      <c r="O19" s="393"/>
      <c r="P19" s="393"/>
      <c r="Q19" s="393"/>
      <c r="U19" s="403"/>
      <c r="V19" s="403"/>
      <c r="W19" s="403"/>
      <c r="X19" s="403"/>
    </row>
    <row r="20" spans="1:24" ht="44.25" hidden="1" thickBot="1" x14ac:dyDescent="0.3">
      <c r="A20" s="850"/>
      <c r="B20" s="569" t="s">
        <v>67</v>
      </c>
      <c r="C20" s="570" t="s">
        <v>68</v>
      </c>
      <c r="D20" s="398"/>
      <c r="E20" s="855"/>
      <c r="F20" s="393"/>
      <c r="G20" s="393"/>
      <c r="H20" s="393"/>
      <c r="I20" s="393"/>
      <c r="J20" s="393"/>
      <c r="K20" s="393"/>
      <c r="L20" s="393"/>
      <c r="M20" s="393"/>
      <c r="N20" s="393"/>
      <c r="O20" s="393"/>
      <c r="P20" s="393"/>
      <c r="Q20" s="393"/>
      <c r="U20" s="403"/>
      <c r="V20" s="403"/>
      <c r="W20" s="403"/>
      <c r="X20" s="403"/>
    </row>
    <row r="21" spans="1:24" ht="28.5" hidden="1" x14ac:dyDescent="0.25">
      <c r="A21" s="404"/>
      <c r="B21" s="405"/>
      <c r="C21" s="406" t="s">
        <v>69</v>
      </c>
      <c r="D21" s="407" t="s">
        <v>70</v>
      </c>
      <c r="E21" s="392"/>
      <c r="F21" s="393"/>
      <c r="G21" s="393"/>
      <c r="H21" s="393"/>
      <c r="I21" s="393"/>
      <c r="J21" s="393"/>
      <c r="K21" s="393"/>
      <c r="L21" s="393"/>
      <c r="M21" s="393"/>
      <c r="N21" s="393"/>
      <c r="O21" s="393"/>
      <c r="P21" s="393"/>
      <c r="Q21" s="393"/>
      <c r="U21" s="403"/>
      <c r="V21" s="403"/>
      <c r="W21" s="403"/>
      <c r="X21" s="403"/>
    </row>
    <row r="22" spans="1:24" ht="15" hidden="1" customHeight="1" x14ac:dyDescent="0.25">
      <c r="A22" s="404"/>
      <c r="B22" s="408" t="s">
        <v>71</v>
      </c>
      <c r="C22" s="409" t="str">
        <f>IF(ISBLANK(C8),"",VLOOKUP(C8,'Building Profiles'!E32:L46,3,FALSE))</f>
        <v/>
      </c>
      <c r="D22" s="410" t="str">
        <f>C22</f>
        <v/>
      </c>
      <c r="E22" s="392"/>
      <c r="F22" s="393"/>
      <c r="G22" s="393"/>
      <c r="H22" s="393"/>
      <c r="I22" s="393"/>
      <c r="J22" s="393"/>
      <c r="K22" s="393"/>
      <c r="L22" s="393"/>
      <c r="M22" s="393"/>
      <c r="N22" s="393"/>
      <c r="O22" s="393"/>
      <c r="P22" s="393"/>
      <c r="Q22" s="393"/>
    </row>
    <row r="23" spans="1:24" ht="15" hidden="1" customHeight="1" x14ac:dyDescent="0.25">
      <c r="A23" s="404"/>
      <c r="B23" s="408" t="s">
        <v>72</v>
      </c>
      <c r="C23" s="409" t="str">
        <f>IF(ISBLANK(C8),"",VLOOKUP(C8,'Building Profiles'!E32:L46,5,FALSE))</f>
        <v/>
      </c>
      <c r="D23" s="410" t="str">
        <f>C23</f>
        <v/>
      </c>
      <c r="E23" s="392"/>
      <c r="F23" s="393"/>
      <c r="G23" s="393"/>
      <c r="H23" s="393"/>
      <c r="I23" s="393"/>
      <c r="J23" s="393"/>
      <c r="K23" s="393"/>
      <c r="L23" s="393"/>
      <c r="M23" s="393"/>
      <c r="N23" s="393"/>
      <c r="O23" s="393"/>
      <c r="P23" s="393"/>
      <c r="Q23" s="393"/>
      <c r="U23" s="411"/>
      <c r="V23" s="411"/>
      <c r="W23" s="411"/>
      <c r="X23" s="411"/>
    </row>
    <row r="24" spans="1:24" ht="15" hidden="1" customHeight="1" x14ac:dyDescent="0.25">
      <c r="A24" s="404"/>
      <c r="B24" s="408" t="s">
        <v>73</v>
      </c>
      <c r="C24" s="412" t="str">
        <f>IF(ISBLANK(C8),"",IF(C11="Existing Building - Retrofit",VLOOKUP(C8,'Building Profiles'!E32:R46,7,FALSE),VLOOKUP(C8,'Building Profiles'!E31:R46,11,FALSE)))</f>
        <v/>
      </c>
      <c r="D24" s="410" t="e">
        <f>C24-3*IF(OR(C$64="Rough Estimate: Tier 1A",C$64="Rough Estimate: Tier 2",C$64="Rough Estimate: Tier 1B"),'Envelope Calcs'!D4,(1-C$65/C$36))/0.6</f>
        <v>#VALUE!</v>
      </c>
      <c r="E24" s="392"/>
      <c r="F24" s="393"/>
      <c r="G24" s="393"/>
      <c r="H24" s="393"/>
      <c r="I24" s="393"/>
      <c r="J24" s="393"/>
      <c r="K24" s="393"/>
      <c r="L24" s="393"/>
      <c r="M24" s="393"/>
      <c r="N24" s="393"/>
      <c r="O24" s="393"/>
      <c r="P24" s="393"/>
      <c r="Q24" s="393"/>
    </row>
    <row r="25" spans="1:24" ht="15" hidden="1" x14ac:dyDescent="0.25">
      <c r="A25" s="404"/>
      <c r="B25" s="408" t="s">
        <v>74</v>
      </c>
      <c r="C25" s="412" t="str">
        <f>IF(ISBLANK(C8),"",IF(C11="Existing Building - Retrofit",VLOOKUP(C8,'Building Profiles'!E32:R46,9,FALSE),VLOOKUP(C8,'Building Profiles'!E31:R46,13,FALSE)))</f>
        <v/>
      </c>
      <c r="D25" s="410" t="e">
        <f>C25-3*IF(OR(C$64="Rough Estimate: Tier 1A",C$64="Rough Estimate: Tier 2",C$64="Rough Estimate: Tier 1B"),'Envelope Calcs'!D4,(1-C$65/C$36))/0.6</f>
        <v>#VALUE!</v>
      </c>
      <c r="E25" s="392"/>
      <c r="F25" s="393"/>
      <c r="G25" s="393"/>
      <c r="H25" s="393"/>
      <c r="I25" s="393"/>
      <c r="J25" s="393"/>
      <c r="K25" s="393"/>
      <c r="L25" s="393"/>
      <c r="M25" s="393"/>
      <c r="N25" s="393"/>
      <c r="O25" s="393"/>
      <c r="P25" s="393"/>
      <c r="Q25" s="393"/>
    </row>
    <row r="26" spans="1:24" ht="15" hidden="1" customHeight="1" x14ac:dyDescent="0.25">
      <c r="A26" s="404"/>
      <c r="B26" s="413"/>
      <c r="C26" s="414"/>
      <c r="D26" s="410"/>
      <c r="E26" s="392"/>
      <c r="F26" s="393"/>
      <c r="G26" s="393"/>
      <c r="H26" s="393"/>
      <c r="I26" s="393"/>
      <c r="J26" s="393"/>
      <c r="K26" s="393"/>
      <c r="L26" s="393"/>
      <c r="M26" s="393"/>
      <c r="N26" s="393"/>
      <c r="O26" s="393"/>
      <c r="P26" s="393"/>
      <c r="Q26" s="393"/>
    </row>
    <row r="27" spans="1:24" ht="15" hidden="1" customHeight="1" x14ac:dyDescent="0.25">
      <c r="A27" s="404"/>
      <c r="B27" s="415" t="s">
        <v>75</v>
      </c>
      <c r="C27" s="409" t="str">
        <f>IF(ISBLANK(C8),"",VLOOKUP(C8,'Building Profiles'!E32:L46,4,FALSE))</f>
        <v/>
      </c>
      <c r="D27" s="410" t="str">
        <f>C27</f>
        <v/>
      </c>
      <c r="E27" s="392"/>
      <c r="F27" s="393"/>
      <c r="G27" s="393"/>
      <c r="H27" s="393"/>
      <c r="I27" s="393"/>
      <c r="J27" s="393"/>
      <c r="K27" s="393"/>
      <c r="L27" s="393"/>
      <c r="M27" s="393"/>
      <c r="N27" s="393"/>
      <c r="O27" s="393"/>
      <c r="P27" s="393"/>
      <c r="Q27" s="393"/>
      <c r="U27" s="411"/>
      <c r="V27" s="411"/>
      <c r="W27" s="411"/>
      <c r="X27" s="411"/>
    </row>
    <row r="28" spans="1:24" ht="15" hidden="1" customHeight="1" x14ac:dyDescent="0.25">
      <c r="A28" s="404"/>
      <c r="B28" s="415" t="s">
        <v>76</v>
      </c>
      <c r="C28" s="409" t="str">
        <f>IF(ISBLANK(C8),"",VLOOKUP(C8,'Building Profiles'!E32:L46,6,FALSE))</f>
        <v/>
      </c>
      <c r="D28" s="410" t="str">
        <f>C28</f>
        <v/>
      </c>
      <c r="E28" s="392"/>
      <c r="F28" s="393"/>
      <c r="G28" s="393"/>
      <c r="H28" s="393"/>
      <c r="I28" s="393"/>
      <c r="J28" s="393"/>
      <c r="K28" s="393"/>
      <c r="L28" s="393"/>
      <c r="M28" s="393"/>
      <c r="N28" s="393"/>
      <c r="O28" s="393"/>
      <c r="P28" s="393"/>
      <c r="Q28" s="393"/>
      <c r="U28" s="411"/>
      <c r="V28" s="411"/>
      <c r="W28" s="411"/>
      <c r="X28" s="411"/>
    </row>
    <row r="29" spans="1:24" ht="15" hidden="1" customHeight="1" x14ac:dyDescent="0.25">
      <c r="A29" s="404"/>
      <c r="B29" s="415" t="s">
        <v>77</v>
      </c>
      <c r="C29" s="412" t="str">
        <f>IF(OR(ISBLANK(C8),ISBLANK(C11)),"",IF(C11="Existing Building - Retrofit",VLOOKUP(C8,'Building Profiles'!E32:R46,8,FALSE),VLOOKUP(C8,'Building Profiles'!E31:R46,12,FALSE)))</f>
        <v/>
      </c>
      <c r="D29" s="410" t="e">
        <f>C29-2*IF(OR(C$64="Rough Estimate: Tier 1A",C$64="Rough Estimate: Tier 2",C$64="Rough Estimate: Tier 1B"),'Envelope Calcs'!D5,(1-C$66/C$37))/0.6</f>
        <v>#VALUE!</v>
      </c>
      <c r="E29" s="392"/>
      <c r="F29" s="393"/>
      <c r="G29" s="393"/>
      <c r="H29" s="393"/>
      <c r="I29" s="393"/>
      <c r="J29" s="393"/>
      <c r="K29" s="393"/>
      <c r="L29" s="393"/>
      <c r="M29" s="393"/>
      <c r="N29" s="393"/>
      <c r="O29" s="393"/>
      <c r="P29" s="393"/>
      <c r="Q29" s="393"/>
      <c r="U29" s="416"/>
      <c r="V29" s="416"/>
      <c r="W29" s="416"/>
      <c r="X29" s="416"/>
    </row>
    <row r="30" spans="1:24" ht="15" hidden="1" customHeight="1" thickBot="1" x14ac:dyDescent="0.3">
      <c r="A30" s="417"/>
      <c r="B30" s="418" t="s">
        <v>78</v>
      </c>
      <c r="C30" s="419" t="str">
        <f>IF(OR(ISBLANK(C8),ISBLANK(C11)),"",IF(C11="Existing Building - Retrofit",VLOOKUP(C8,'Building Profiles'!E32:R46,10,FALSE),VLOOKUP(C8,'Building Profiles'!E31:R46,14,FALSE)))</f>
        <v/>
      </c>
      <c r="D30" s="410" t="e">
        <f>C30-2*IF(OR(C$64="Rough Estimate: Tier 1A",C$64="Rough Estimate: Tier 2",C$64="Rough Estimate: Tier 1B"),'Envelope Calcs'!D5,(1-C$66/C$37))/0.6</f>
        <v>#VALUE!</v>
      </c>
      <c r="E30" s="392"/>
      <c r="F30" s="393"/>
      <c r="G30" s="393"/>
      <c r="H30" s="393"/>
      <c r="I30" s="393"/>
      <c r="J30" s="393"/>
      <c r="K30" s="393"/>
      <c r="L30" s="393"/>
      <c r="M30" s="393"/>
      <c r="N30" s="393"/>
      <c r="O30" s="393"/>
      <c r="P30" s="393"/>
      <c r="Q30" s="393"/>
      <c r="U30" s="416"/>
      <c r="V30" s="416"/>
      <c r="W30" s="416"/>
      <c r="X30" s="416"/>
    </row>
    <row r="31" spans="1:24" ht="15.6" customHeight="1" thickBot="1" x14ac:dyDescent="0.3">
      <c r="A31" s="396"/>
      <c r="B31" s="396"/>
      <c r="D31" s="392"/>
      <c r="E31" s="392"/>
      <c r="F31" s="393"/>
      <c r="G31" s="393"/>
      <c r="H31" s="393"/>
      <c r="I31" s="393"/>
      <c r="J31" s="393"/>
      <c r="K31" s="393"/>
      <c r="L31" s="393"/>
      <c r="M31" s="393"/>
      <c r="N31" s="393"/>
      <c r="O31" s="393"/>
      <c r="P31" s="393"/>
      <c r="Q31" s="393"/>
      <c r="U31" s="411"/>
      <c r="V31" s="411"/>
      <c r="W31" s="411"/>
      <c r="X31" s="411"/>
    </row>
    <row r="32" spans="1:24" ht="15.75" thickBot="1" x14ac:dyDescent="0.3">
      <c r="A32" s="842" t="s">
        <v>79</v>
      </c>
      <c r="B32" s="420" t="s">
        <v>80</v>
      </c>
      <c r="C32" s="421"/>
      <c r="D32" s="631">
        <f>IFERROR(VLOOKUP(C5,Picklists!$B$49:$D$72,3,FALSE),0)</f>
        <v>0</v>
      </c>
      <c r="E32" s="392"/>
      <c r="F32" s="393"/>
      <c r="G32" s="393"/>
      <c r="H32" s="393"/>
      <c r="I32" s="393"/>
      <c r="J32" s="393"/>
      <c r="K32" s="393"/>
      <c r="L32" s="393"/>
      <c r="M32" s="393"/>
      <c r="N32" s="393"/>
      <c r="O32" s="393"/>
      <c r="P32" s="393"/>
      <c r="Q32" s="393"/>
      <c r="U32" s="411"/>
      <c r="V32" s="411"/>
      <c r="W32" s="411"/>
      <c r="X32" s="411"/>
    </row>
    <row r="33" spans="1:24" ht="15.75" thickBot="1" x14ac:dyDescent="0.3">
      <c r="A33" s="820"/>
      <c r="B33" s="422" t="s">
        <v>81</v>
      </c>
      <c r="C33" s="423"/>
      <c r="D33" s="631">
        <f>IFERROR(VLOOKUP(C5,Picklists!$B$49:$D$72,2,FALSE),0)</f>
        <v>0</v>
      </c>
      <c r="E33" s="424"/>
      <c r="F33" s="393"/>
      <c r="G33" s="393"/>
      <c r="H33" s="393"/>
      <c r="I33" s="393"/>
      <c r="J33" s="393"/>
      <c r="K33" s="393"/>
      <c r="L33" s="393"/>
      <c r="M33" s="393"/>
      <c r="N33" s="393"/>
      <c r="O33" s="393"/>
      <c r="P33" s="393"/>
      <c r="Q33" s="393"/>
      <c r="U33" s="416"/>
      <c r="V33" s="416"/>
      <c r="W33" s="416"/>
      <c r="X33" s="416"/>
    </row>
    <row r="34" spans="1:24" ht="15" thickBot="1" x14ac:dyDescent="0.3">
      <c r="A34" s="392"/>
      <c r="B34" s="392"/>
      <c r="C34" s="392"/>
      <c r="D34" s="392"/>
      <c r="E34" s="392"/>
      <c r="F34" s="393"/>
      <c r="G34" s="393"/>
      <c r="H34" s="393"/>
      <c r="I34" s="393"/>
      <c r="J34" s="393"/>
      <c r="K34" s="393"/>
      <c r="L34" s="393"/>
      <c r="M34" s="393"/>
      <c r="N34" s="393"/>
      <c r="O34" s="393"/>
      <c r="P34" s="393"/>
      <c r="Q34" s="393"/>
    </row>
    <row r="35" spans="1:24" ht="30.75" thickBot="1" x14ac:dyDescent="0.3">
      <c r="A35" s="839" t="str">
        <f>IF(C11="New Construction",IF(AND(C11="New Construction",C19="Other than 4A"),"Proposed Building Envelope","Minimum Code Compliant Building Envelope"),"Existing Building Envelope")</f>
        <v>Existing Building Envelope</v>
      </c>
      <c r="B35" s="425" t="s">
        <v>82</v>
      </c>
      <c r="C35" s="426" t="str">
        <f>IF(E4="Project Application Submission","Manual N or ACCA 183 calculations","Rough Estimate")</f>
        <v>Manual N or ACCA 183 calculations</v>
      </c>
      <c r="D35" s="427" t="str">
        <f>IF(C35="Rough estimate",C35,"")</f>
        <v/>
      </c>
      <c r="E35" s="428" t="s">
        <v>83</v>
      </c>
      <c r="F35" s="393"/>
      <c r="G35" s="393"/>
      <c r="H35" s="393"/>
      <c r="I35" s="393"/>
      <c r="J35" s="393"/>
      <c r="K35" s="393"/>
      <c r="L35" s="393"/>
      <c r="M35" s="393"/>
      <c r="N35" s="393"/>
      <c r="O35" s="393"/>
      <c r="P35" s="393"/>
      <c r="Q35" s="393"/>
    </row>
    <row r="36" spans="1:24" ht="15" x14ac:dyDescent="0.25">
      <c r="A36" s="840"/>
      <c r="B36" s="429" t="s">
        <v>84</v>
      </c>
      <c r="C36" s="430"/>
      <c r="D36" s="544">
        <f>IFERROR('Envelope Calcs'!C4/C14,0)</f>
        <v>0</v>
      </c>
      <c r="E36" s="431" t="s">
        <v>85</v>
      </c>
      <c r="F36" s="393"/>
      <c r="G36" s="393"/>
      <c r="H36" s="393"/>
      <c r="I36" s="393"/>
      <c r="J36" s="393"/>
      <c r="K36" s="393"/>
      <c r="L36" s="393"/>
      <c r="M36" s="393"/>
      <c r="N36" s="393"/>
      <c r="O36" s="393"/>
      <c r="P36" s="393"/>
      <c r="Q36" s="393"/>
    </row>
    <row r="37" spans="1:24" ht="15.75" thickBot="1" x14ac:dyDescent="0.3">
      <c r="A37" s="841"/>
      <c r="B37" s="432" t="s">
        <v>86</v>
      </c>
      <c r="C37" s="433"/>
      <c r="D37" s="544">
        <f>IFERROR('Envelope Calcs'!C5/C14,0)</f>
        <v>0</v>
      </c>
      <c r="E37" s="431" t="s">
        <v>85</v>
      </c>
      <c r="F37" s="434"/>
      <c r="G37" s="393"/>
      <c r="H37" s="393"/>
      <c r="I37" s="393"/>
      <c r="J37" s="393"/>
      <c r="K37" s="393"/>
      <c r="L37" s="393"/>
      <c r="M37" s="393"/>
      <c r="N37" s="393"/>
      <c r="O37" s="393"/>
      <c r="P37" s="393"/>
      <c r="Q37" s="393"/>
    </row>
    <row r="38" spans="1:24" ht="15" thickBot="1" x14ac:dyDescent="0.3">
      <c r="A38" s="435"/>
      <c r="B38" s="435"/>
      <c r="C38" s="435"/>
      <c r="D38" s="435"/>
      <c r="E38" s="435"/>
      <c r="F38" s="393"/>
      <c r="G38" s="393"/>
      <c r="H38" s="393"/>
      <c r="I38" s="393"/>
      <c r="J38" s="393"/>
      <c r="K38" s="393"/>
      <c r="L38" s="393"/>
      <c r="M38" s="393"/>
      <c r="N38" s="393"/>
      <c r="O38" s="393"/>
      <c r="P38" s="393"/>
      <c r="Q38" s="393"/>
    </row>
    <row r="39" spans="1:24" ht="27.75" customHeight="1" thickBot="1" x14ac:dyDescent="0.3">
      <c r="A39" s="573" t="str">
        <f>IF(C11="New Construction","Minimum Code Compliant HVAC System","Existing HVAC System")</f>
        <v>Existing HVAC System</v>
      </c>
      <c r="B39" s="574" t="s">
        <v>87</v>
      </c>
      <c r="C39" s="575"/>
      <c r="D39" s="435"/>
      <c r="E39" s="435"/>
      <c r="F39" s="393"/>
      <c r="G39" s="393"/>
      <c r="H39" s="393"/>
      <c r="I39" s="393"/>
      <c r="J39" s="393"/>
      <c r="K39" s="393"/>
      <c r="L39" s="393"/>
      <c r="M39" s="393"/>
      <c r="N39" s="393"/>
      <c r="O39" s="393"/>
      <c r="P39" s="393"/>
      <c r="Q39" s="393"/>
    </row>
    <row r="40" spans="1:24" s="393" customFormat="1" ht="15" x14ac:dyDescent="0.25">
      <c r="A40" s="571"/>
      <c r="B40" s="501"/>
      <c r="C40" s="572"/>
      <c r="D40" s="435"/>
      <c r="E40" s="435"/>
    </row>
    <row r="41" spans="1:24" ht="15" thickBot="1" x14ac:dyDescent="0.3">
      <c r="A41" s="435"/>
      <c r="B41" s="435"/>
      <c r="C41" s="435"/>
      <c r="D41" s="435"/>
      <c r="E41" s="435"/>
      <c r="F41" s="393"/>
      <c r="G41" s="393"/>
      <c r="H41" s="393"/>
      <c r="I41" s="393"/>
      <c r="J41" s="393"/>
      <c r="K41" s="393"/>
      <c r="L41" s="393"/>
      <c r="M41" s="393"/>
      <c r="N41" s="393"/>
      <c r="O41" s="393"/>
      <c r="P41" s="393"/>
      <c r="Q41" s="393"/>
    </row>
    <row r="42" spans="1:24" ht="15" x14ac:dyDescent="0.25">
      <c r="A42" s="839" t="str">
        <f>IF(NOT(C11="Existing Building - Retrofit"),"Permits","Baseline")</f>
        <v>Permits</v>
      </c>
      <c r="B42" s="436" t="str">
        <f>IF(C11="Existing Building - Retrofit","","Energy Code Compliance Method*")</f>
        <v>Energy Code Compliance Method*</v>
      </c>
      <c r="C42" s="437"/>
      <c r="D42" s="435"/>
      <c r="E42" s="435"/>
      <c r="F42" s="393"/>
      <c r="G42" s="393"/>
      <c r="H42" s="393"/>
      <c r="I42" s="393"/>
      <c r="J42" s="393"/>
      <c r="K42" s="393"/>
      <c r="L42" s="393"/>
      <c r="M42" s="393"/>
      <c r="N42" s="393"/>
      <c r="O42" s="393"/>
      <c r="P42" s="393"/>
      <c r="Q42" s="393"/>
    </row>
    <row r="43" spans="1:24" ht="15" x14ac:dyDescent="0.25">
      <c r="A43" s="840"/>
      <c r="B43" s="438" t="str">
        <f>IF(C11="Existing Building - Retrofit","","Section C406 Additional Efficiency Package Compliance*")</f>
        <v>Section C406 Additional Efficiency Package Compliance*</v>
      </c>
      <c r="C43" s="439"/>
      <c r="D43" s="435"/>
      <c r="E43" s="435"/>
      <c r="F43" s="393"/>
      <c r="G43" s="393"/>
      <c r="H43" s="393"/>
      <c r="I43" s="393"/>
      <c r="J43" s="393"/>
      <c r="K43" s="393"/>
      <c r="L43" s="393"/>
      <c r="M43" s="393"/>
      <c r="N43" s="393"/>
      <c r="O43" s="393"/>
      <c r="P43" s="393"/>
      <c r="Q43" s="393"/>
    </row>
    <row r="44" spans="1:24" ht="15.75" thickBot="1" x14ac:dyDescent="0.3">
      <c r="A44" s="841"/>
      <c r="B44" s="440" t="s">
        <v>88</v>
      </c>
      <c r="C44" s="441" t="str">
        <f>IFERROR(IF(C11="Existing Building - Retrofit","Existing Conditions",IF(C11="Gut Renovation","Minimum Code Efficiency",IF(C43="","",IF(AND(C11="Gut Renovation",C42&lt;&gt;"Total Building Performance - Energy Modeling",C43="C406.2 More Efficient HVAC equipment"),"Minimum Code Efficiency + 10%","Minimum Code Efficiency")))),"")</f>
        <v/>
      </c>
      <c r="D44" s="435"/>
      <c r="E44" s="435"/>
      <c r="F44" s="393"/>
      <c r="G44" s="393"/>
      <c r="H44" s="393"/>
      <c r="I44" s="393"/>
      <c r="J44" s="393"/>
      <c r="K44" s="393"/>
      <c r="L44" s="393"/>
      <c r="M44" s="393"/>
      <c r="N44" s="393"/>
      <c r="O44" s="393"/>
      <c r="P44" s="393"/>
      <c r="Q44" s="393"/>
    </row>
    <row r="45" spans="1:24" ht="27.75" hidden="1" customHeight="1" thickBot="1" x14ac:dyDescent="0.3">
      <c r="A45" s="435"/>
      <c r="B45" s="435"/>
      <c r="C45" s="435"/>
      <c r="D45" s="435"/>
      <c r="E45" s="435"/>
      <c r="F45" s="393"/>
      <c r="G45" s="393"/>
      <c r="H45" s="393"/>
      <c r="I45" s="393"/>
      <c r="J45" s="393"/>
      <c r="K45" s="393"/>
      <c r="L45" s="393"/>
      <c r="M45" s="393"/>
      <c r="N45" s="393"/>
      <c r="O45" s="393"/>
      <c r="P45" s="393"/>
      <c r="Q45" s="393"/>
    </row>
    <row r="46" spans="1:24" ht="27" hidden="1" customHeight="1" x14ac:dyDescent="0.25">
      <c r="A46" s="837" t="s">
        <v>89</v>
      </c>
      <c r="B46" s="442" t="s">
        <v>90</v>
      </c>
      <c r="C46" s="443" t="s">
        <v>91</v>
      </c>
      <c r="D46" s="392"/>
      <c r="E46" s="392"/>
      <c r="F46" s="393"/>
      <c r="G46" s="393"/>
      <c r="H46" s="393"/>
      <c r="I46" s="393"/>
      <c r="J46" s="393"/>
      <c r="K46" s="393"/>
      <c r="L46" s="393"/>
      <c r="M46" s="393"/>
      <c r="N46" s="393"/>
      <c r="O46" s="393"/>
      <c r="P46" s="393"/>
      <c r="Q46" s="393"/>
    </row>
    <row r="47" spans="1:24" ht="27" hidden="1" customHeight="1" x14ac:dyDescent="0.25">
      <c r="A47" s="838"/>
      <c r="B47" s="442" t="s">
        <v>92</v>
      </c>
      <c r="C47" s="443"/>
      <c r="D47" s="392"/>
      <c r="E47" s="392"/>
      <c r="F47" s="393"/>
      <c r="G47" s="393"/>
      <c r="H47" s="393"/>
      <c r="I47" s="393"/>
      <c r="J47" s="393"/>
      <c r="K47" s="393"/>
      <c r="L47" s="393"/>
      <c r="M47" s="393"/>
      <c r="N47" s="393"/>
      <c r="O47" s="393"/>
      <c r="P47" s="393"/>
      <c r="Q47" s="393"/>
    </row>
    <row r="48" spans="1:24" ht="26.25" hidden="1" customHeight="1" x14ac:dyDescent="0.25">
      <c r="A48" s="392"/>
      <c r="B48" s="393"/>
      <c r="C48" s="392"/>
      <c r="D48" s="392"/>
      <c r="E48" s="392"/>
      <c r="F48" s="393"/>
      <c r="G48" s="393"/>
      <c r="H48" s="393"/>
      <c r="I48" s="393"/>
      <c r="J48" s="393"/>
      <c r="K48" s="393"/>
      <c r="L48" s="393"/>
      <c r="M48" s="393"/>
      <c r="N48" s="393"/>
      <c r="O48" s="393"/>
      <c r="P48" s="393"/>
      <c r="Q48" s="393"/>
    </row>
    <row r="49" spans="1:17" ht="27" hidden="1" customHeight="1" x14ac:dyDescent="0.25">
      <c r="A49" s="445" t="s">
        <v>93</v>
      </c>
      <c r="B49" s="446"/>
      <c r="C49" s="447"/>
      <c r="D49" s="392"/>
      <c r="E49" s="392"/>
      <c r="F49" s="393"/>
      <c r="G49" s="393"/>
      <c r="H49" s="393"/>
      <c r="I49" s="393"/>
      <c r="J49" s="393"/>
      <c r="K49" s="393"/>
      <c r="L49" s="393"/>
      <c r="M49" s="393"/>
      <c r="N49" s="393"/>
      <c r="O49" s="393"/>
      <c r="P49" s="393"/>
      <c r="Q49" s="393"/>
    </row>
    <row r="50" spans="1:17" ht="17.100000000000001" hidden="1" customHeight="1" x14ac:dyDescent="0.25">
      <c r="A50" s="828" t="s">
        <v>94</v>
      </c>
      <c r="B50" s="448" t="s">
        <v>95</v>
      </c>
      <c r="C50" s="449"/>
      <c r="D50" s="392"/>
      <c r="E50" s="392"/>
      <c r="F50" s="393"/>
      <c r="G50" s="393"/>
      <c r="H50" s="393"/>
      <c r="I50" s="393"/>
      <c r="J50" s="393"/>
      <c r="K50" s="393"/>
      <c r="L50" s="393"/>
      <c r="M50" s="393"/>
      <c r="N50" s="393"/>
      <c r="O50" s="393"/>
      <c r="P50" s="393"/>
      <c r="Q50" s="393"/>
    </row>
    <row r="51" spans="1:17" ht="17.100000000000001" hidden="1" customHeight="1" x14ac:dyDescent="0.25">
      <c r="A51" s="829"/>
      <c r="B51" s="452" t="s">
        <v>96</v>
      </c>
      <c r="C51" s="453"/>
      <c r="D51" s="392"/>
      <c r="E51" s="392"/>
      <c r="F51" s="393"/>
      <c r="G51" s="393"/>
      <c r="H51" s="393"/>
      <c r="I51" s="393"/>
      <c r="J51" s="393"/>
      <c r="K51" s="393"/>
      <c r="L51" s="393"/>
      <c r="M51" s="393"/>
      <c r="N51" s="393"/>
      <c r="O51" s="393"/>
      <c r="P51" s="393"/>
      <c r="Q51" s="393"/>
    </row>
    <row r="52" spans="1:17" ht="17.100000000000001" hidden="1" customHeight="1" x14ac:dyDescent="0.25">
      <c r="A52" s="829"/>
      <c r="B52" s="452" t="s">
        <v>97</v>
      </c>
      <c r="C52" s="453"/>
      <c r="D52" s="392"/>
      <c r="E52" s="392"/>
      <c r="F52" s="393"/>
      <c r="G52" s="393"/>
      <c r="H52" s="393"/>
      <c r="I52" s="393"/>
      <c r="J52" s="393"/>
      <c r="K52" s="393"/>
      <c r="L52" s="393"/>
      <c r="M52" s="393"/>
      <c r="N52" s="393"/>
      <c r="O52" s="393"/>
      <c r="P52" s="393"/>
      <c r="Q52" s="393"/>
    </row>
    <row r="53" spans="1:17" ht="17.100000000000001" hidden="1" customHeight="1" x14ac:dyDescent="0.25">
      <c r="A53" s="829"/>
      <c r="B53" s="452" t="s">
        <v>98</v>
      </c>
      <c r="C53" s="456">
        <f>IFERROR(IF(AND(C52&lt;0.25,C52&gt;0),67.5/100,90/100),"")</f>
        <v>0.9</v>
      </c>
      <c r="D53" s="392"/>
      <c r="E53" s="392"/>
      <c r="F53" s="393"/>
      <c r="G53" s="393"/>
      <c r="H53" s="393"/>
      <c r="I53" s="393"/>
      <c r="J53" s="393"/>
      <c r="K53" s="393"/>
      <c r="L53" s="393"/>
      <c r="M53" s="393"/>
      <c r="N53" s="393"/>
      <c r="O53" s="393"/>
      <c r="P53" s="393"/>
      <c r="Q53" s="393"/>
    </row>
    <row r="54" spans="1:17" ht="20.45" hidden="1" customHeight="1" x14ac:dyDescent="0.25">
      <c r="A54" s="829"/>
      <c r="B54" s="452" t="s">
        <v>99</v>
      </c>
      <c r="C54" s="457">
        <f>IFERROR(C51*C52*0.746*1/C53,"")</f>
        <v>0</v>
      </c>
      <c r="D54" s="392"/>
      <c r="E54" s="392"/>
      <c r="F54" s="393"/>
      <c r="G54" s="393"/>
      <c r="H54" s="393"/>
      <c r="I54" s="393"/>
      <c r="J54" s="393"/>
      <c r="K54" s="393"/>
      <c r="L54" s="393"/>
      <c r="M54" s="393"/>
      <c r="N54" s="393"/>
      <c r="O54" s="393"/>
      <c r="P54" s="393"/>
      <c r="Q54" s="393"/>
    </row>
    <row r="55" spans="1:17" ht="20.45" hidden="1" customHeight="1" x14ac:dyDescent="0.25">
      <c r="A55" s="829"/>
      <c r="B55" s="452" t="s">
        <v>100</v>
      </c>
      <c r="C55" s="458" t="str">
        <f>IF(C53="","","Closed Loop")</f>
        <v>Closed Loop</v>
      </c>
      <c r="D55" s="392"/>
      <c r="E55" s="392"/>
      <c r="F55" s="393"/>
      <c r="G55" s="393"/>
      <c r="H55" s="393"/>
      <c r="I55" s="393"/>
      <c r="J55" s="393"/>
      <c r="K55" s="393"/>
      <c r="L55" s="393"/>
      <c r="M55" s="393"/>
      <c r="N55" s="393"/>
      <c r="O55" s="393"/>
      <c r="P55" s="393"/>
      <c r="Q55" s="393"/>
    </row>
    <row r="56" spans="1:17" ht="17.100000000000001" hidden="1" customHeight="1" x14ac:dyDescent="0.25">
      <c r="A56" s="829"/>
      <c r="B56" s="459"/>
      <c r="C56" s="460"/>
      <c r="D56" s="392"/>
      <c r="E56" s="392"/>
      <c r="F56" s="393"/>
      <c r="G56" s="393"/>
      <c r="H56" s="393"/>
      <c r="I56" s="393"/>
      <c r="J56" s="393"/>
      <c r="K56" s="393"/>
      <c r="L56" s="393"/>
      <c r="M56" s="393"/>
      <c r="N56" s="393"/>
      <c r="O56" s="393"/>
      <c r="P56" s="393"/>
      <c r="Q56" s="393"/>
    </row>
    <row r="57" spans="1:17" ht="17.100000000000001" hidden="1" customHeight="1" x14ac:dyDescent="0.25">
      <c r="A57" s="829"/>
      <c r="B57" s="452" t="s">
        <v>101</v>
      </c>
      <c r="C57" s="461"/>
      <c r="D57" s="392"/>
      <c r="E57" s="392"/>
      <c r="F57" s="393"/>
      <c r="G57" s="393"/>
      <c r="H57" s="393"/>
      <c r="I57" s="393"/>
      <c r="J57" s="393"/>
      <c r="K57" s="393"/>
      <c r="L57" s="393"/>
      <c r="M57" s="393"/>
      <c r="N57" s="393"/>
      <c r="O57" s="393"/>
      <c r="P57" s="393"/>
      <c r="Q57" s="393"/>
    </row>
    <row r="58" spans="1:17" ht="17.100000000000001" hidden="1" customHeight="1" x14ac:dyDescent="0.25">
      <c r="A58" s="829"/>
      <c r="B58" s="452" t="s">
        <v>102</v>
      </c>
      <c r="C58" s="461"/>
      <c r="D58" s="392"/>
      <c r="E58" s="392"/>
      <c r="F58" s="393"/>
      <c r="G58" s="393"/>
      <c r="H58" s="393"/>
      <c r="I58" s="393"/>
      <c r="J58" s="393"/>
      <c r="K58" s="393"/>
      <c r="L58" s="393"/>
      <c r="M58" s="393"/>
      <c r="N58" s="393"/>
      <c r="O58" s="393"/>
      <c r="P58" s="393"/>
      <c r="Q58" s="393"/>
    </row>
    <row r="59" spans="1:17" ht="17.100000000000001" hidden="1" customHeight="1" x14ac:dyDescent="0.25">
      <c r="A59" s="830"/>
      <c r="B59" s="462" t="s">
        <v>103</v>
      </c>
      <c r="C59" s="463"/>
      <c r="D59" s="392"/>
      <c r="E59" s="392"/>
      <c r="F59" s="393"/>
      <c r="G59" s="393"/>
      <c r="H59" s="393"/>
      <c r="I59" s="393"/>
      <c r="J59" s="393"/>
      <c r="K59" s="393"/>
      <c r="L59" s="393"/>
      <c r="M59" s="393"/>
      <c r="N59" s="393"/>
      <c r="O59" s="393"/>
      <c r="P59" s="393"/>
      <c r="Q59" s="393"/>
    </row>
    <row r="60" spans="1:17" x14ac:dyDescent="0.25">
      <c r="A60" s="392"/>
      <c r="B60" s="392"/>
      <c r="C60" s="392"/>
      <c r="D60" s="392"/>
      <c r="E60" s="392"/>
      <c r="F60" s="393"/>
      <c r="G60" s="393"/>
      <c r="H60" s="393"/>
      <c r="I60" s="393"/>
      <c r="J60" s="393"/>
      <c r="K60" s="393"/>
      <c r="L60" s="393"/>
      <c r="M60" s="393"/>
      <c r="N60" s="393"/>
      <c r="O60" s="393"/>
      <c r="P60" s="393"/>
      <c r="Q60" s="393"/>
    </row>
    <row r="61" spans="1:17" ht="18" hidden="1" x14ac:dyDescent="0.25">
      <c r="A61" s="831"/>
      <c r="B61" s="832"/>
      <c r="C61" s="833"/>
      <c r="D61" s="392"/>
      <c r="E61" s="392"/>
      <c r="F61" s="394"/>
      <c r="G61" s="393"/>
      <c r="H61" s="393"/>
      <c r="I61" s="393"/>
      <c r="J61" s="393"/>
      <c r="K61" s="393"/>
      <c r="L61" s="393"/>
      <c r="M61" s="393"/>
      <c r="N61" s="393"/>
      <c r="O61" s="393"/>
      <c r="P61" s="393"/>
      <c r="Q61" s="393"/>
    </row>
    <row r="62" spans="1:17" hidden="1" x14ac:dyDescent="0.25">
      <c r="A62" s="464"/>
      <c r="B62" s="465"/>
      <c r="C62" s="466"/>
      <c r="D62" s="467"/>
      <c r="E62" s="394"/>
      <c r="F62" s="394"/>
      <c r="G62" s="393"/>
      <c r="H62" s="393"/>
      <c r="I62" s="393"/>
      <c r="J62" s="393"/>
      <c r="K62" s="393"/>
      <c r="L62" s="393"/>
      <c r="M62" s="393"/>
      <c r="N62" s="393"/>
      <c r="O62" s="393"/>
      <c r="P62" s="393"/>
      <c r="Q62" s="393"/>
    </row>
    <row r="63" spans="1:17" ht="30" hidden="1" x14ac:dyDescent="0.25">
      <c r="A63" s="834" t="s">
        <v>104</v>
      </c>
      <c r="B63" s="538" t="s">
        <v>82</v>
      </c>
      <c r="C63" s="426" t="str">
        <f>IF(E4="Project Application Submission","Manual N or ACCA 183 calculations","Rough Estimate")</f>
        <v>Manual N or ACCA 183 calculations</v>
      </c>
      <c r="D63" s="467"/>
      <c r="E63" s="394"/>
      <c r="F63" s="394"/>
      <c r="G63" s="393"/>
      <c r="H63" s="393"/>
      <c r="I63" s="393"/>
      <c r="J63" s="393"/>
      <c r="K63" s="393"/>
      <c r="L63" s="393"/>
      <c r="M63" s="393"/>
      <c r="N63" s="393"/>
      <c r="O63" s="393"/>
      <c r="P63" s="393"/>
      <c r="Q63" s="393"/>
    </row>
    <row r="64" spans="1:17" ht="75" hidden="1" x14ac:dyDescent="0.25">
      <c r="A64" s="835"/>
      <c r="B64" s="539" t="str">
        <f>IF(C35="Manual J or ACCA 183 Calculations","Insert Building Loads from Manual J or ACCA 183",IF(C11="New Construction","Choose Building Envelope upgrade level:
         - Tier 1A: 3%
         - Tier 1B: 5% 
         - Tier 2:   10% reduction in BHL or BCL","Choose Building Envelope upgrade level, % reduction in BHL or BCL:
         - Tier 1A: 15%
         - Tier 1B: 25% 
         - Tier 2:   35% reduction in BHL or BCL"))</f>
        <v>Choose Building Envelope upgrade level, % reduction in BHL or BCL:
         - Tier 1A: 15%
         - Tier 1B: 25% 
         - Tier 2:   35% reduction in BHL or BCL</v>
      </c>
      <c r="C64" s="543" t="s">
        <v>105</v>
      </c>
      <c r="D64" s="428" t="str">
        <f>IF(C64="Data per  Manual N or ACCA 183 load calculations","Per Provided Load Calculations",C64)</f>
        <v>Data per Manual N or ACCA 183 load calculations</v>
      </c>
      <c r="E64" s="428" t="s">
        <v>83</v>
      </c>
      <c r="F64" s="469"/>
      <c r="G64" s="393"/>
      <c r="H64" s="393"/>
      <c r="I64" s="393"/>
      <c r="J64" s="393"/>
      <c r="K64" s="393"/>
      <c r="L64" s="393"/>
      <c r="M64" s="393"/>
      <c r="N64" s="393"/>
      <c r="O64" s="393"/>
      <c r="P64" s="393"/>
      <c r="Q64" s="393"/>
    </row>
    <row r="65" spans="1:19" ht="30" hidden="1" x14ac:dyDescent="0.25">
      <c r="A65" s="835"/>
      <c r="B65" s="540" t="s">
        <v>106</v>
      </c>
      <c r="C65" s="470">
        <f>C36-'Measure Inputs'!R13</f>
        <v>0</v>
      </c>
      <c r="D65" s="471">
        <f>IFERROR(IF(D64="Provided Load Calculations",C65,'Envelope Calcs'!E4)/C14,0)</f>
        <v>0</v>
      </c>
      <c r="E65" s="428" t="s">
        <v>85</v>
      </c>
      <c r="F65" s="469"/>
      <c r="G65" s="393"/>
      <c r="H65" s="393"/>
      <c r="I65" s="393"/>
      <c r="J65" s="393"/>
      <c r="K65" s="393"/>
      <c r="L65" s="393"/>
      <c r="M65" s="393"/>
      <c r="N65" s="393"/>
      <c r="O65" s="393"/>
      <c r="P65" s="393"/>
      <c r="Q65" s="393"/>
    </row>
    <row r="66" spans="1:19" ht="30.75" hidden="1" thickBot="1" x14ac:dyDescent="0.3">
      <c r="A66" s="836"/>
      <c r="B66" s="540" t="s">
        <v>107</v>
      </c>
      <c r="C66" s="472">
        <f>C37-'Measure Inputs'!Q13</f>
        <v>0</v>
      </c>
      <c r="D66" s="471">
        <f>IFERROR(IF(D64="Provided Load Calculations",C66,'Envelope Calcs'!E5)/C14,0)</f>
        <v>0</v>
      </c>
      <c r="E66" s="428" t="s">
        <v>85</v>
      </c>
      <c r="F66" s="469"/>
      <c r="G66" s="393"/>
      <c r="H66" s="393"/>
      <c r="I66" s="393"/>
      <c r="J66" s="393"/>
      <c r="K66" s="393"/>
      <c r="L66" s="393"/>
      <c r="M66" s="393"/>
      <c r="N66" s="393"/>
      <c r="O66" s="393"/>
      <c r="P66" s="393"/>
      <c r="Q66" s="393"/>
    </row>
    <row r="67" spans="1:19" ht="45.6" hidden="1" customHeight="1" thickBot="1" x14ac:dyDescent="0.3">
      <c r="A67" s="819" t="str">
        <f>IF(NOT(C8=""),"ERV"," ERV method limited to building types listed in TRM")</f>
        <v xml:space="preserve"> ERV method limited to building types listed in TRM</v>
      </c>
      <c r="B67" s="473" t="s">
        <v>108</v>
      </c>
      <c r="C67" s="474" t="s">
        <v>109</v>
      </c>
      <c r="D67" s="431" t="str">
        <f>IF(C67="Yes", "Please fill out the ERV tab.", "Please skip the ERV tab.")</f>
        <v>Please skip the ERV tab.</v>
      </c>
      <c r="E67" s="428"/>
      <c r="F67" s="469"/>
      <c r="G67" s="393"/>
      <c r="H67" s="393"/>
      <c r="I67" s="393"/>
      <c r="J67" s="393"/>
      <c r="K67" s="393"/>
      <c r="L67" s="393"/>
      <c r="M67" s="393"/>
      <c r="N67" s="393"/>
      <c r="O67" s="393"/>
      <c r="P67" s="393"/>
      <c r="Q67" s="393"/>
    </row>
    <row r="68" spans="1:19" ht="45.6" hidden="1" customHeight="1" thickBot="1" x14ac:dyDescent="0.3">
      <c r="A68" s="820"/>
      <c r="B68" s="475" t="s">
        <v>110</v>
      </c>
      <c r="C68" s="474"/>
      <c r="D68" s="431" t="str">
        <f>IF(C67="Yes", "Please fill out cell C67.", "Please leave cell C67 blank.")</f>
        <v>Please leave cell C67 blank.</v>
      </c>
      <c r="E68" s="428"/>
      <c r="F68" s="469"/>
      <c r="G68" s="393"/>
      <c r="H68" s="393"/>
      <c r="I68" s="393"/>
      <c r="J68" s="393"/>
      <c r="K68" s="393"/>
      <c r="L68" s="393"/>
      <c r="M68" s="393"/>
      <c r="N68" s="393"/>
      <c r="O68" s="393"/>
      <c r="P68" s="393"/>
      <c r="Q68" s="393"/>
    </row>
    <row r="69" spans="1:19" ht="38.1" hidden="1" customHeight="1" thickBot="1" x14ac:dyDescent="0.3">
      <c r="A69" s="821" t="s">
        <v>111</v>
      </c>
      <c r="B69" s="476" t="s">
        <v>112</v>
      </c>
      <c r="C69" s="477">
        <v>0</v>
      </c>
      <c r="D69" s="431"/>
      <c r="E69" s="428"/>
      <c r="F69" s="469"/>
      <c r="G69" s="393"/>
      <c r="H69" s="393"/>
      <c r="I69" s="393"/>
      <c r="J69" s="393"/>
      <c r="K69" s="393"/>
      <c r="L69" s="393"/>
      <c r="M69" s="393"/>
      <c r="N69" s="393"/>
      <c r="O69" s="393"/>
      <c r="P69" s="393"/>
      <c r="Q69" s="393"/>
    </row>
    <row r="70" spans="1:19" ht="38.1" hidden="1" customHeight="1" thickBot="1" x14ac:dyDescent="0.3">
      <c r="A70" s="820"/>
      <c r="B70" s="478" t="s">
        <v>113</v>
      </c>
      <c r="C70" s="479">
        <v>0</v>
      </c>
      <c r="D70" s="431"/>
      <c r="E70" s="428"/>
      <c r="F70" s="394"/>
      <c r="G70" s="393"/>
      <c r="H70" s="393"/>
      <c r="I70" s="393"/>
      <c r="J70" s="393"/>
      <c r="K70" s="393"/>
      <c r="L70" s="393"/>
      <c r="M70" s="393"/>
      <c r="N70" s="393"/>
      <c r="O70" s="393"/>
      <c r="P70" s="393"/>
      <c r="Q70" s="393"/>
    </row>
    <row r="71" spans="1:19" ht="15" hidden="1" customHeight="1" thickBot="1" x14ac:dyDescent="0.3">
      <c r="A71" s="480"/>
      <c r="B71" s="396"/>
      <c r="C71" s="481" t="s">
        <v>114</v>
      </c>
      <c r="D71" s="482">
        <f>IFERROR(IF(D64="","",'Results Summary'!E4*0.4)/C14,0)</f>
        <v>0</v>
      </c>
      <c r="E71" s="428" t="s">
        <v>115</v>
      </c>
      <c r="F71" s="394"/>
      <c r="G71" s="393"/>
      <c r="H71" s="393"/>
      <c r="I71" s="393"/>
      <c r="J71" s="393"/>
      <c r="K71" s="393"/>
      <c r="L71" s="393"/>
      <c r="M71" s="393"/>
      <c r="N71" s="393"/>
      <c r="O71" s="393"/>
      <c r="P71" s="393"/>
      <c r="Q71" s="393"/>
    </row>
    <row r="72" spans="1:19" hidden="1" x14ac:dyDescent="0.25">
      <c r="A72" s="480"/>
      <c r="B72" s="396"/>
      <c r="C72" s="481" t="s">
        <v>116</v>
      </c>
      <c r="D72" s="482">
        <f>IFERROR(IF(D64="","",'Results Summary'!E4*0.6)/C14,0)</f>
        <v>0</v>
      </c>
      <c r="E72" s="428" t="s">
        <v>115</v>
      </c>
      <c r="F72" s="394"/>
      <c r="G72" s="393"/>
      <c r="H72" s="393"/>
      <c r="I72" s="393"/>
      <c r="J72" s="393"/>
      <c r="K72" s="393"/>
      <c r="L72" s="393"/>
      <c r="M72" s="393"/>
      <c r="N72" s="393"/>
      <c r="O72" s="393"/>
      <c r="P72" s="393"/>
      <c r="Q72" s="393"/>
    </row>
    <row r="73" spans="1:19" ht="15" thickBot="1" x14ac:dyDescent="0.3">
      <c r="A73" s="483"/>
      <c r="B73" s="393"/>
      <c r="C73" s="484"/>
      <c r="D73" s="485"/>
      <c r="E73" s="485"/>
      <c r="F73" s="393"/>
      <c r="G73" s="393"/>
      <c r="H73" s="393"/>
      <c r="I73" s="393"/>
      <c r="J73" s="393"/>
      <c r="K73" s="393"/>
      <c r="L73" s="393"/>
      <c r="M73" s="393"/>
      <c r="N73" s="393"/>
      <c r="O73" s="393"/>
      <c r="P73" s="393"/>
      <c r="Q73" s="393"/>
    </row>
    <row r="74" spans="1:19" ht="29.25" thickBot="1" x14ac:dyDescent="0.3">
      <c r="A74" s="822" t="s">
        <v>117</v>
      </c>
      <c r="B74" s="823"/>
      <c r="C74" s="824"/>
      <c r="D74" s="486" t="s">
        <v>118</v>
      </c>
      <c r="E74" s="486" t="s">
        <v>83</v>
      </c>
      <c r="F74" s="393"/>
      <c r="G74" s="393"/>
      <c r="H74" s="393"/>
      <c r="I74" s="393"/>
      <c r="J74" s="393"/>
      <c r="K74" s="393"/>
      <c r="L74" s="393"/>
      <c r="M74" s="393"/>
      <c r="N74" s="393"/>
      <c r="O74" s="393"/>
      <c r="P74" s="577"/>
      <c r="Q74" s="577"/>
      <c r="R74" s="416"/>
      <c r="S74" s="416"/>
    </row>
    <row r="75" spans="1:19" ht="15" x14ac:dyDescent="0.25">
      <c r="A75" s="825" t="s">
        <v>119</v>
      </c>
      <c r="B75" s="487" t="s">
        <v>120</v>
      </c>
      <c r="C75" s="468" t="s">
        <v>121</v>
      </c>
      <c r="D75" s="394">
        <f>D98</f>
        <v>0</v>
      </c>
      <c r="E75" s="394" t="s">
        <v>122</v>
      </c>
      <c r="F75" s="393"/>
      <c r="G75" s="393"/>
      <c r="H75" s="393"/>
      <c r="I75" s="393"/>
      <c r="J75" s="393"/>
      <c r="K75" s="393"/>
      <c r="L75" s="393"/>
      <c r="M75" s="393"/>
      <c r="N75" s="393"/>
      <c r="O75" s="393"/>
      <c r="P75" s="577"/>
      <c r="Q75" s="577"/>
      <c r="R75" s="416"/>
      <c r="S75" s="416"/>
    </row>
    <row r="76" spans="1:19" ht="15.75" thickBot="1" x14ac:dyDescent="0.3">
      <c r="A76" s="826"/>
      <c r="B76" s="488" t="s">
        <v>123</v>
      </c>
      <c r="C76" s="489" t="s">
        <v>121</v>
      </c>
      <c r="D76" s="490">
        <f>IF(OR($C$39="District Steam",$C$39="Electric"),1,F98)</f>
        <v>0</v>
      </c>
      <c r="E76" s="394" t="s">
        <v>124</v>
      </c>
      <c r="F76" s="394"/>
      <c r="G76" s="393"/>
      <c r="H76" s="393"/>
      <c r="I76" s="393"/>
      <c r="J76" s="393"/>
      <c r="K76" s="393"/>
      <c r="L76" s="393"/>
      <c r="M76" s="393"/>
      <c r="N76" s="393"/>
      <c r="O76" s="393"/>
      <c r="P76" s="393"/>
      <c r="Q76" s="393"/>
    </row>
    <row r="77" spans="1:19" x14ac:dyDescent="0.25">
      <c r="A77" s="485"/>
      <c r="B77" s="485"/>
      <c r="C77" s="541"/>
      <c r="D77" s="485"/>
      <c r="E77" s="394"/>
      <c r="F77" s="393"/>
      <c r="G77" s="393"/>
      <c r="H77" s="393"/>
      <c r="I77" s="393"/>
      <c r="J77" s="393"/>
      <c r="K77" s="393"/>
      <c r="L77" s="393"/>
      <c r="M77" s="393"/>
      <c r="N77" s="393"/>
      <c r="O77" s="393"/>
      <c r="P77" s="393"/>
      <c r="Q77" s="393"/>
    </row>
    <row r="78" spans="1:19" x14ac:dyDescent="0.25">
      <c r="A78" s="491"/>
      <c r="B78" s="491"/>
      <c r="C78" s="395"/>
      <c r="D78" s="392"/>
      <c r="E78" s="392"/>
      <c r="F78" s="393"/>
      <c r="G78" s="393"/>
      <c r="H78" s="393"/>
      <c r="I78" s="393"/>
      <c r="J78" s="393"/>
      <c r="K78" s="393"/>
      <c r="L78" s="393"/>
      <c r="M78" s="393"/>
      <c r="N78" s="393"/>
      <c r="O78" s="393"/>
      <c r="P78" s="393"/>
      <c r="Q78" s="393"/>
    </row>
    <row r="79" spans="1:19" ht="15" x14ac:dyDescent="0.25">
      <c r="A79" s="827" t="s">
        <v>125</v>
      </c>
      <c r="B79" s="827"/>
      <c r="C79" s="827"/>
      <c r="D79" s="827"/>
      <c r="E79" s="827"/>
      <c r="F79" s="827"/>
      <c r="G79" s="393"/>
      <c r="H79" s="393"/>
      <c r="I79" s="393"/>
      <c r="J79" s="393"/>
      <c r="K79" s="393"/>
      <c r="L79" s="393"/>
      <c r="M79" s="393"/>
      <c r="N79" s="393"/>
      <c r="O79" s="393"/>
      <c r="P79" s="393"/>
      <c r="Q79" s="393"/>
    </row>
    <row r="80" spans="1:19" ht="45" x14ac:dyDescent="0.25">
      <c r="A80" s="545" t="s">
        <v>126</v>
      </c>
      <c r="B80" s="546" t="s">
        <v>127</v>
      </c>
      <c r="C80" s="546" t="s">
        <v>128</v>
      </c>
      <c r="D80" s="546" t="s">
        <v>129</v>
      </c>
      <c r="E80" s="546" t="s">
        <v>130</v>
      </c>
      <c r="F80" s="546" t="s">
        <v>131</v>
      </c>
      <c r="G80" s="393"/>
      <c r="H80" s="393"/>
      <c r="I80" s="393"/>
      <c r="J80" s="393"/>
      <c r="K80" s="393"/>
      <c r="L80" s="393"/>
      <c r="M80" s="393"/>
      <c r="N80" s="393"/>
      <c r="O80" s="393"/>
      <c r="P80" s="393"/>
      <c r="Q80" s="393"/>
    </row>
    <row r="81" spans="1:17" x14ac:dyDescent="0.25">
      <c r="A81" s="547">
        <v>1</v>
      </c>
      <c r="B81" s="548">
        <v>100</v>
      </c>
      <c r="C81" s="548">
        <v>100</v>
      </c>
      <c r="D81" s="548"/>
      <c r="E81" s="548"/>
      <c r="F81" s="548"/>
      <c r="G81" s="393"/>
      <c r="H81" s="393"/>
      <c r="I81" s="393"/>
      <c r="J81" s="393"/>
      <c r="K81" s="393"/>
      <c r="L81" s="393"/>
      <c r="M81" s="393"/>
      <c r="N81" s="393"/>
      <c r="O81" s="393"/>
      <c r="P81" s="393"/>
      <c r="Q81" s="393"/>
    </row>
    <row r="82" spans="1:17" x14ac:dyDescent="0.25">
      <c r="A82" s="547">
        <v>2</v>
      </c>
      <c r="B82" s="548"/>
      <c r="C82" s="548"/>
      <c r="D82" s="548"/>
      <c r="E82" s="548"/>
      <c r="F82" s="548"/>
      <c r="G82" s="393"/>
      <c r="H82" s="393"/>
      <c r="I82" s="393"/>
      <c r="J82" s="393"/>
      <c r="K82" s="393"/>
      <c r="L82" s="393"/>
      <c r="M82" s="393"/>
      <c r="N82" s="393"/>
      <c r="O82" s="393"/>
      <c r="P82" s="393"/>
      <c r="Q82" s="393"/>
    </row>
    <row r="83" spans="1:17" x14ac:dyDescent="0.25">
      <c r="A83" s="547">
        <v>3</v>
      </c>
      <c r="B83" s="548"/>
      <c r="C83" s="548"/>
      <c r="D83" s="548"/>
      <c r="E83" s="548"/>
      <c r="F83" s="548"/>
      <c r="G83" s="393"/>
      <c r="H83" s="393"/>
      <c r="I83" s="393"/>
      <c r="J83" s="393"/>
      <c r="K83" s="393"/>
      <c r="L83" s="393"/>
      <c r="M83" s="393"/>
      <c r="N83" s="393"/>
      <c r="O83" s="393"/>
      <c r="P83" s="393"/>
      <c r="Q83" s="393"/>
    </row>
    <row r="84" spans="1:17" x14ac:dyDescent="0.25">
      <c r="A84" s="547">
        <v>4</v>
      </c>
      <c r="B84" s="548"/>
      <c r="C84" s="548"/>
      <c r="D84" s="548"/>
      <c r="E84" s="548"/>
      <c r="F84" s="548"/>
      <c r="G84" s="393"/>
      <c r="H84" s="393"/>
      <c r="I84" s="393"/>
      <c r="J84" s="393"/>
      <c r="K84" s="393"/>
      <c r="L84" s="393"/>
      <c r="M84" s="393"/>
      <c r="N84" s="393"/>
      <c r="O84" s="393"/>
      <c r="P84" s="393"/>
      <c r="Q84" s="393"/>
    </row>
    <row r="85" spans="1:17" x14ac:dyDescent="0.25">
      <c r="A85" s="547">
        <v>5</v>
      </c>
      <c r="B85" s="548"/>
      <c r="C85" s="548"/>
      <c r="D85" s="548"/>
      <c r="E85" s="548"/>
      <c r="F85" s="548"/>
      <c r="G85" s="393"/>
      <c r="H85" s="393"/>
      <c r="I85" s="393"/>
      <c r="J85" s="393"/>
      <c r="K85" s="393"/>
      <c r="L85" s="393"/>
      <c r="M85" s="393"/>
      <c r="N85" s="393"/>
      <c r="O85" s="393"/>
      <c r="P85" s="393"/>
      <c r="Q85" s="393"/>
    </row>
    <row r="86" spans="1:17" x14ac:dyDescent="0.25">
      <c r="A86" s="547">
        <v>6</v>
      </c>
      <c r="B86" s="548"/>
      <c r="C86" s="548"/>
      <c r="D86" s="548"/>
      <c r="E86" s="548"/>
      <c r="F86" s="548"/>
      <c r="G86" s="393"/>
      <c r="H86" s="393"/>
      <c r="I86" s="393"/>
      <c r="J86" s="393"/>
      <c r="K86" s="393"/>
      <c r="L86" s="393"/>
      <c r="M86" s="393"/>
      <c r="N86" s="393"/>
      <c r="O86" s="393"/>
      <c r="P86" s="393"/>
      <c r="Q86" s="393"/>
    </row>
    <row r="87" spans="1:17" x14ac:dyDescent="0.25">
      <c r="A87" s="547">
        <v>7</v>
      </c>
      <c r="B87" s="548"/>
      <c r="C87" s="548"/>
      <c r="D87" s="548"/>
      <c r="E87" s="548"/>
      <c r="F87" s="548"/>
      <c r="G87" s="393"/>
      <c r="H87" s="393"/>
      <c r="I87" s="393"/>
      <c r="J87" s="393"/>
      <c r="K87" s="393"/>
      <c r="L87" s="393"/>
      <c r="M87" s="393"/>
      <c r="N87" s="393"/>
      <c r="O87" s="393"/>
      <c r="P87" s="393"/>
      <c r="Q87" s="393"/>
    </row>
    <row r="88" spans="1:17" x14ac:dyDescent="0.25">
      <c r="A88" s="547">
        <v>8</v>
      </c>
      <c r="B88" s="548"/>
      <c r="C88" s="548"/>
      <c r="D88" s="548"/>
      <c r="E88" s="548"/>
      <c r="F88" s="548"/>
      <c r="G88" s="393"/>
      <c r="H88" s="393"/>
      <c r="I88" s="393"/>
      <c r="J88" s="393"/>
      <c r="K88" s="393"/>
      <c r="L88" s="393"/>
      <c r="M88" s="393"/>
      <c r="N88" s="393"/>
      <c r="O88" s="393"/>
      <c r="P88" s="393"/>
      <c r="Q88" s="393"/>
    </row>
    <row r="89" spans="1:17" x14ac:dyDescent="0.25">
      <c r="A89" s="547">
        <v>9</v>
      </c>
      <c r="B89" s="548"/>
      <c r="C89" s="548"/>
      <c r="D89" s="548"/>
      <c r="E89" s="548"/>
      <c r="F89" s="548"/>
      <c r="G89" s="393"/>
      <c r="H89" s="393"/>
      <c r="I89" s="393"/>
      <c r="J89" s="393"/>
      <c r="K89" s="393"/>
      <c r="L89" s="393"/>
      <c r="M89" s="393"/>
      <c r="N89" s="393"/>
      <c r="O89" s="393"/>
      <c r="P89" s="393"/>
      <c r="Q89" s="393"/>
    </row>
    <row r="90" spans="1:17" x14ac:dyDescent="0.25">
      <c r="A90" s="547">
        <v>10</v>
      </c>
      <c r="B90" s="548"/>
      <c r="C90" s="548"/>
      <c r="D90" s="548"/>
      <c r="E90" s="548"/>
      <c r="F90" s="548"/>
      <c r="G90" s="393"/>
      <c r="H90" s="393"/>
      <c r="I90" s="393"/>
      <c r="J90" s="393"/>
      <c r="K90" s="393"/>
      <c r="L90" s="393"/>
      <c r="M90" s="393"/>
      <c r="N90" s="393"/>
      <c r="O90" s="393"/>
      <c r="P90" s="393"/>
      <c r="Q90" s="393"/>
    </row>
    <row r="91" spans="1:17" x14ac:dyDescent="0.25">
      <c r="A91" s="547">
        <v>11</v>
      </c>
      <c r="B91" s="548"/>
      <c r="C91" s="548"/>
      <c r="D91" s="548"/>
      <c r="E91" s="548"/>
      <c r="F91" s="548"/>
      <c r="G91" s="393"/>
      <c r="H91" s="393"/>
      <c r="I91" s="393"/>
      <c r="J91" s="393"/>
      <c r="K91" s="393"/>
      <c r="L91" s="393"/>
      <c r="M91" s="393"/>
      <c r="N91" s="393"/>
      <c r="O91" s="393"/>
      <c r="P91" s="393"/>
      <c r="Q91" s="393"/>
    </row>
    <row r="92" spans="1:17" x14ac:dyDescent="0.25">
      <c r="A92" s="547">
        <v>12</v>
      </c>
      <c r="B92" s="548"/>
      <c r="C92" s="548"/>
      <c r="D92" s="548"/>
      <c r="E92" s="548"/>
      <c r="F92" s="548"/>
      <c r="G92" s="393"/>
      <c r="H92" s="393"/>
      <c r="I92" s="393"/>
      <c r="J92" s="393"/>
      <c r="K92" s="393"/>
      <c r="L92" s="393"/>
      <c r="M92" s="393"/>
      <c r="N92" s="393"/>
      <c r="O92" s="393"/>
      <c r="P92" s="393"/>
      <c r="Q92" s="393"/>
    </row>
    <row r="93" spans="1:17" x14ac:dyDescent="0.25">
      <c r="A93" s="547">
        <v>13</v>
      </c>
      <c r="B93" s="548"/>
      <c r="C93" s="548"/>
      <c r="D93" s="548"/>
      <c r="E93" s="548"/>
      <c r="F93" s="548"/>
      <c r="G93" s="393"/>
      <c r="H93" s="393"/>
      <c r="I93" s="393"/>
      <c r="J93" s="393"/>
      <c r="K93" s="393"/>
      <c r="L93" s="393"/>
      <c r="M93" s="393"/>
      <c r="N93" s="393"/>
      <c r="O93" s="393"/>
      <c r="P93" s="393"/>
      <c r="Q93" s="393"/>
    </row>
    <row r="94" spans="1:17" x14ac:dyDescent="0.25">
      <c r="A94" s="547">
        <v>14</v>
      </c>
      <c r="B94" s="548"/>
      <c r="C94" s="548"/>
      <c r="D94" s="548"/>
      <c r="E94" s="548"/>
      <c r="F94" s="548"/>
      <c r="G94" s="393"/>
      <c r="H94" s="393"/>
      <c r="I94" s="393"/>
      <c r="J94" s="393"/>
      <c r="K94" s="393"/>
      <c r="L94" s="393"/>
      <c r="M94" s="393"/>
      <c r="N94" s="393"/>
      <c r="O94" s="393"/>
      <c r="P94" s="393"/>
      <c r="Q94" s="393"/>
    </row>
    <row r="95" spans="1:17" x14ac:dyDescent="0.25">
      <c r="A95" s="547">
        <v>15</v>
      </c>
      <c r="B95" s="548"/>
      <c r="C95" s="548"/>
      <c r="D95" s="548"/>
      <c r="E95" s="548"/>
      <c r="F95" s="548"/>
      <c r="G95" s="393"/>
      <c r="H95" s="393"/>
      <c r="I95" s="393"/>
      <c r="J95" s="393"/>
      <c r="K95" s="393"/>
      <c r="L95" s="393"/>
      <c r="M95" s="393"/>
      <c r="N95" s="393"/>
      <c r="O95" s="393"/>
      <c r="P95" s="393"/>
      <c r="Q95" s="393"/>
    </row>
    <row r="96" spans="1:17" x14ac:dyDescent="0.25">
      <c r="A96" s="547"/>
      <c r="B96" s="549"/>
      <c r="C96" s="549"/>
      <c r="D96" s="549"/>
      <c r="E96" s="549"/>
      <c r="F96" s="549"/>
      <c r="G96" s="393"/>
      <c r="H96" s="393"/>
      <c r="I96" s="393"/>
      <c r="J96" s="393"/>
      <c r="K96" s="393"/>
      <c r="L96" s="393"/>
      <c r="M96" s="393"/>
      <c r="N96" s="393"/>
      <c r="O96" s="393"/>
      <c r="P96" s="393"/>
      <c r="Q96" s="393"/>
    </row>
    <row r="97" spans="1:17" ht="15" x14ac:dyDescent="0.25">
      <c r="A97" s="550" t="s">
        <v>132</v>
      </c>
      <c r="B97" s="551">
        <f>IFERROR(IF(SUM(B81:B95)&gt;0,SUM(B81:B95),""),"")</f>
        <v>100</v>
      </c>
      <c r="C97" s="551">
        <f>IFERROR(IF(SUM(C81:C95)&gt;0,SUM(C81:C95),""),"")</f>
        <v>100</v>
      </c>
      <c r="D97" s="551"/>
      <c r="E97" s="551"/>
      <c r="F97" s="551"/>
      <c r="G97" s="393"/>
      <c r="H97" s="393"/>
      <c r="I97" s="393"/>
      <c r="J97" s="393"/>
      <c r="K97" s="393"/>
      <c r="L97" s="393"/>
      <c r="M97" s="393"/>
      <c r="N97" s="393"/>
      <c r="O97" s="393"/>
      <c r="P97" s="393"/>
      <c r="Q97" s="393"/>
    </row>
    <row r="98" spans="1:17" ht="15" x14ac:dyDescent="0.25">
      <c r="A98" s="550"/>
      <c r="B98" s="551"/>
      <c r="C98" s="552" t="s">
        <v>133</v>
      </c>
      <c r="D98" s="551">
        <f>IFERROR(IF(C75="Existing Equipment",SUMPRODUCT(D81:D95,B81:B95)/SUM(B81:B95),0),"")</f>
        <v>0</v>
      </c>
      <c r="E98" s="551">
        <f>IFERROR(IF(C75="Existing Equipment",SUMPRODUCT(E81:E95,B81:B95)/SUM(B81:B95),0),"")</f>
        <v>0</v>
      </c>
      <c r="F98" s="553">
        <f>IFERROR(IF(C76="Existing Equipment",SUMPRODUCT(F81:F95,C81:C95)/SUM(C81:C95),0),"")</f>
        <v>0</v>
      </c>
      <c r="G98" s="393"/>
      <c r="H98" s="393"/>
      <c r="I98" s="393"/>
      <c r="J98" s="393"/>
      <c r="K98" s="393"/>
      <c r="L98" s="393"/>
      <c r="M98" s="393"/>
      <c r="N98" s="393"/>
      <c r="O98" s="393"/>
      <c r="P98" s="393"/>
      <c r="Q98" s="393"/>
    </row>
    <row r="99" spans="1:17" x14ac:dyDescent="0.25">
      <c r="A99" s="393"/>
      <c r="B99" s="393"/>
      <c r="C99" s="392"/>
      <c r="D99" s="392"/>
      <c r="E99" s="393"/>
      <c r="F99" s="393"/>
      <c r="G99" s="393"/>
      <c r="H99" s="393"/>
      <c r="I99" s="393"/>
      <c r="J99" s="393"/>
      <c r="K99" s="393"/>
      <c r="L99" s="393"/>
      <c r="M99" s="393"/>
      <c r="N99" s="393"/>
      <c r="O99" s="393"/>
      <c r="P99" s="393"/>
      <c r="Q99" s="393"/>
    </row>
    <row r="100" spans="1:17" x14ac:dyDescent="0.25">
      <c r="A100" s="393"/>
      <c r="B100" s="393"/>
      <c r="C100" s="392"/>
      <c r="D100" s="392"/>
      <c r="E100" s="492"/>
      <c r="F100" s="393"/>
      <c r="G100" s="393"/>
      <c r="H100" s="393"/>
      <c r="I100" s="393"/>
      <c r="J100" s="393"/>
      <c r="K100" s="393"/>
      <c r="L100" s="393"/>
      <c r="M100" s="393"/>
      <c r="N100" s="393"/>
      <c r="O100" s="393"/>
      <c r="P100" s="393"/>
      <c r="Q100" s="393"/>
    </row>
    <row r="101" spans="1:17" ht="15.75" thickBot="1" x14ac:dyDescent="0.3">
      <c r="A101" s="858" t="s">
        <v>134</v>
      </c>
      <c r="B101" s="859"/>
      <c r="C101" s="859"/>
      <c r="D101" s="860"/>
      <c r="E101" s="393"/>
      <c r="F101" s="393"/>
      <c r="G101" s="393"/>
      <c r="H101" s="393"/>
      <c r="I101" s="393"/>
      <c r="J101" s="393"/>
      <c r="K101" s="393"/>
      <c r="L101" s="393"/>
      <c r="M101" s="393"/>
      <c r="N101" s="393"/>
      <c r="O101" s="393"/>
      <c r="P101" s="393"/>
      <c r="Q101" s="393"/>
    </row>
    <row r="102" spans="1:17" ht="15.75" thickBot="1" x14ac:dyDescent="0.3">
      <c r="A102" s="861" t="s">
        <v>135</v>
      </c>
      <c r="B102" s="863" t="s">
        <v>136</v>
      </c>
      <c r="C102" s="863"/>
      <c r="D102" s="863"/>
      <c r="E102" s="393"/>
      <c r="F102" s="393"/>
      <c r="G102" s="393"/>
      <c r="H102" s="393"/>
      <c r="I102" s="393"/>
      <c r="J102" s="393"/>
      <c r="K102" s="393"/>
      <c r="L102" s="393"/>
      <c r="M102" s="393"/>
      <c r="N102" s="393"/>
      <c r="O102" s="393"/>
      <c r="P102" s="393"/>
      <c r="Q102" s="393"/>
    </row>
    <row r="103" spans="1:17" x14ac:dyDescent="0.25">
      <c r="A103" s="862"/>
      <c r="B103" s="861" t="s">
        <v>137</v>
      </c>
      <c r="C103" s="864" t="s">
        <v>138</v>
      </c>
      <c r="D103" s="866" t="s">
        <v>139</v>
      </c>
      <c r="E103" s="393"/>
      <c r="F103" s="393"/>
      <c r="G103" s="393"/>
      <c r="H103" s="393"/>
      <c r="I103" s="393"/>
      <c r="J103" s="393"/>
      <c r="K103" s="393"/>
      <c r="L103" s="393"/>
      <c r="M103" s="393"/>
      <c r="N103" s="393"/>
      <c r="O103" s="393"/>
      <c r="P103" s="393"/>
      <c r="Q103" s="393"/>
    </row>
    <row r="104" spans="1:17" x14ac:dyDescent="0.25">
      <c r="A104" s="862"/>
      <c r="B104" s="862"/>
      <c r="C104" s="865"/>
      <c r="D104" s="867"/>
      <c r="E104" s="393"/>
      <c r="F104" s="393"/>
      <c r="G104" s="393"/>
      <c r="H104" s="393"/>
      <c r="I104" s="393"/>
      <c r="J104" s="393"/>
      <c r="K104" s="393"/>
      <c r="L104" s="393"/>
      <c r="M104" s="393"/>
      <c r="N104" s="393"/>
      <c r="O104" s="393"/>
      <c r="P104" s="393"/>
      <c r="Q104" s="393"/>
    </row>
    <row r="105" spans="1:17" ht="15" thickBot="1" x14ac:dyDescent="0.3">
      <c r="A105" s="862"/>
      <c r="B105" s="862"/>
      <c r="C105" s="865"/>
      <c r="D105" s="868"/>
      <c r="E105" s="393"/>
      <c r="F105" s="393"/>
      <c r="G105" s="393"/>
      <c r="H105" s="393"/>
      <c r="I105" s="393"/>
      <c r="J105" s="393"/>
      <c r="K105" s="393"/>
      <c r="L105" s="393"/>
      <c r="M105" s="393"/>
      <c r="N105" s="393"/>
      <c r="O105" s="393"/>
      <c r="P105" s="393"/>
      <c r="Q105" s="393"/>
    </row>
    <row r="106" spans="1:17" ht="15" thickBot="1" x14ac:dyDescent="0.3">
      <c r="A106" s="399" t="s">
        <v>140</v>
      </c>
      <c r="B106" s="400"/>
      <c r="C106" s="400"/>
      <c r="D106" s="400"/>
      <c r="E106" s="393"/>
      <c r="F106" s="393"/>
      <c r="G106" s="393"/>
      <c r="H106" s="393"/>
      <c r="I106" s="393"/>
      <c r="J106" s="393"/>
      <c r="K106" s="393"/>
      <c r="L106" s="393"/>
      <c r="M106" s="393"/>
      <c r="N106" s="393"/>
      <c r="O106" s="393"/>
      <c r="P106" s="393"/>
      <c r="Q106" s="393"/>
    </row>
    <row r="107" spans="1:17" ht="15" thickBot="1" x14ac:dyDescent="0.3">
      <c r="A107" s="401" t="s">
        <v>141</v>
      </c>
      <c r="B107" s="402"/>
      <c r="C107" s="402"/>
      <c r="D107" s="402"/>
      <c r="E107" s="393"/>
      <c r="F107" s="393"/>
      <c r="G107" s="393"/>
      <c r="H107" s="393"/>
      <c r="I107" s="393"/>
      <c r="J107" s="393"/>
      <c r="K107" s="393"/>
      <c r="L107" s="393"/>
      <c r="M107" s="393"/>
      <c r="N107" s="393"/>
      <c r="O107" s="393"/>
      <c r="P107" s="393"/>
      <c r="Q107" s="393"/>
    </row>
    <row r="108" spans="1:17" ht="15" thickBot="1" x14ac:dyDescent="0.3">
      <c r="A108" s="401" t="s">
        <v>142</v>
      </c>
      <c r="B108" s="402"/>
      <c r="C108" s="402"/>
      <c r="D108" s="402"/>
      <c r="E108" s="393"/>
      <c r="F108" s="393"/>
      <c r="G108" s="393"/>
      <c r="H108" s="393"/>
      <c r="I108" s="393"/>
      <c r="J108" s="393"/>
      <c r="K108" s="393"/>
      <c r="L108" s="393"/>
      <c r="M108" s="393"/>
      <c r="N108" s="393"/>
      <c r="O108" s="393"/>
      <c r="P108" s="393"/>
      <c r="Q108" s="393"/>
    </row>
    <row r="109" spans="1:17" ht="15" thickBot="1" x14ac:dyDescent="0.3">
      <c r="A109" s="401" t="s">
        <v>143</v>
      </c>
      <c r="B109" s="402"/>
      <c r="C109" s="402"/>
      <c r="D109" s="402"/>
      <c r="E109" s="393"/>
      <c r="F109" s="393"/>
      <c r="G109" s="393"/>
      <c r="H109" s="393"/>
      <c r="I109" s="393"/>
      <c r="J109" s="393"/>
      <c r="K109" s="393"/>
      <c r="L109" s="393"/>
      <c r="M109" s="393"/>
      <c r="N109" s="393"/>
      <c r="O109" s="393"/>
      <c r="P109" s="393"/>
      <c r="Q109" s="393"/>
    </row>
    <row r="110" spans="1:17" ht="15" thickBot="1" x14ac:dyDescent="0.3">
      <c r="A110" s="401" t="s">
        <v>144</v>
      </c>
      <c r="B110" s="402"/>
      <c r="C110" s="402"/>
      <c r="D110" s="402"/>
      <c r="E110" s="393"/>
      <c r="F110" s="393"/>
      <c r="G110" s="393"/>
      <c r="H110" s="393"/>
      <c r="I110" s="393"/>
      <c r="J110" s="393"/>
      <c r="K110" s="393"/>
      <c r="L110" s="393"/>
      <c r="M110" s="393"/>
      <c r="N110" s="393"/>
      <c r="O110" s="393"/>
      <c r="P110" s="393"/>
      <c r="Q110" s="393"/>
    </row>
    <row r="111" spans="1:17" ht="15" thickBot="1" x14ac:dyDescent="0.3">
      <c r="A111" s="401" t="s">
        <v>145</v>
      </c>
      <c r="B111" s="402"/>
      <c r="C111" s="402"/>
      <c r="D111" s="402"/>
      <c r="E111" s="393"/>
      <c r="F111" s="393"/>
      <c r="G111" s="393"/>
      <c r="H111" s="393"/>
      <c r="I111" s="393"/>
      <c r="J111" s="393"/>
      <c r="K111" s="393"/>
      <c r="L111" s="393"/>
      <c r="M111" s="393"/>
      <c r="N111" s="393"/>
      <c r="O111" s="393"/>
      <c r="P111" s="393"/>
      <c r="Q111" s="393"/>
    </row>
    <row r="112" spans="1:17" ht="15" thickBot="1" x14ac:dyDescent="0.3">
      <c r="A112" s="401" t="s">
        <v>146</v>
      </c>
      <c r="B112" s="402"/>
      <c r="C112" s="402"/>
      <c r="D112" s="402"/>
      <c r="E112" s="393"/>
      <c r="F112" s="393"/>
      <c r="G112" s="393"/>
      <c r="H112" s="393"/>
      <c r="I112" s="393"/>
      <c r="J112" s="393"/>
      <c r="K112" s="393"/>
      <c r="L112" s="393"/>
      <c r="M112" s="393"/>
      <c r="N112" s="393"/>
      <c r="O112" s="393"/>
      <c r="P112" s="393"/>
      <c r="Q112" s="393"/>
    </row>
    <row r="113" spans="1:17" ht="15" thickBot="1" x14ac:dyDescent="0.3">
      <c r="A113" s="401" t="s">
        <v>147</v>
      </c>
      <c r="B113" s="402"/>
      <c r="C113" s="402"/>
      <c r="D113" s="402"/>
      <c r="E113" s="393"/>
      <c r="F113" s="393"/>
      <c r="G113" s="393"/>
      <c r="H113" s="393"/>
      <c r="I113" s="393"/>
      <c r="J113" s="393"/>
      <c r="K113" s="393"/>
      <c r="L113" s="393"/>
      <c r="M113" s="393"/>
      <c r="N113" s="393"/>
      <c r="O113" s="393"/>
      <c r="P113" s="393"/>
      <c r="Q113" s="393"/>
    </row>
    <row r="114" spans="1:17" ht="15" thickBot="1" x14ac:dyDescent="0.3">
      <c r="A114" s="401" t="s">
        <v>148</v>
      </c>
      <c r="B114" s="402"/>
      <c r="C114" s="402"/>
      <c r="D114" s="402"/>
      <c r="E114" s="395"/>
    </row>
    <row r="115" spans="1:17" ht="15" thickBot="1" x14ac:dyDescent="0.3">
      <c r="A115" s="401" t="s">
        <v>149</v>
      </c>
      <c r="B115" s="402"/>
      <c r="C115" s="402"/>
      <c r="D115" s="402"/>
    </row>
    <row r="116" spans="1:17" ht="15" thickBot="1" x14ac:dyDescent="0.3">
      <c r="A116" s="401" t="s">
        <v>150</v>
      </c>
      <c r="B116" s="402"/>
      <c r="C116" s="402"/>
      <c r="D116" s="402"/>
    </row>
    <row r="117" spans="1:17" ht="15" thickBot="1" x14ac:dyDescent="0.3">
      <c r="A117" s="401" t="s">
        <v>151</v>
      </c>
      <c r="B117" s="402"/>
      <c r="C117" s="402"/>
      <c r="D117" s="402"/>
    </row>
    <row r="118" spans="1:17" ht="15" thickBot="1" x14ac:dyDescent="0.3">
      <c r="A118" s="401" t="s">
        <v>152</v>
      </c>
      <c r="B118" s="402"/>
      <c r="C118" s="402"/>
      <c r="D118" s="402"/>
    </row>
    <row r="119" spans="1:17" ht="15" thickBot="1" x14ac:dyDescent="0.3">
      <c r="A119" s="401" t="s">
        <v>153</v>
      </c>
      <c r="B119" s="402"/>
      <c r="C119" s="402"/>
      <c r="D119" s="402"/>
    </row>
    <row r="120" spans="1:17" ht="15" thickBot="1" x14ac:dyDescent="0.3">
      <c r="A120" s="401" t="s">
        <v>154</v>
      </c>
      <c r="B120" s="402"/>
      <c r="C120" s="402"/>
      <c r="D120" s="402"/>
    </row>
    <row r="121" spans="1:17" ht="15" thickBot="1" x14ac:dyDescent="0.3">
      <c r="A121" s="401" t="s">
        <v>155</v>
      </c>
      <c r="B121" s="402"/>
      <c r="C121" s="402"/>
      <c r="D121" s="402"/>
    </row>
    <row r="122" spans="1:17" ht="15" thickBot="1" x14ac:dyDescent="0.3">
      <c r="A122" s="401" t="s">
        <v>156</v>
      </c>
      <c r="B122" s="402"/>
      <c r="C122" s="402"/>
      <c r="D122" s="402"/>
    </row>
    <row r="123" spans="1:17" ht="15" thickBot="1" x14ac:dyDescent="0.3">
      <c r="A123" s="401" t="s">
        <v>157</v>
      </c>
      <c r="B123" s="402"/>
      <c r="C123" s="402"/>
      <c r="D123" s="402"/>
    </row>
    <row r="124" spans="1:17" ht="15" thickBot="1" x14ac:dyDescent="0.3">
      <c r="A124" s="401" t="s">
        <v>158</v>
      </c>
      <c r="B124" s="402"/>
      <c r="C124" s="402"/>
      <c r="D124" s="402"/>
    </row>
    <row r="125" spans="1:17" ht="15" thickBot="1" x14ac:dyDescent="0.3">
      <c r="A125" s="401" t="s">
        <v>159</v>
      </c>
      <c r="B125" s="402"/>
      <c r="C125" s="402"/>
      <c r="D125" s="402"/>
    </row>
    <row r="126" spans="1:17" ht="15" thickBot="1" x14ac:dyDescent="0.3">
      <c r="A126" s="401" t="s">
        <v>160</v>
      </c>
      <c r="B126" s="402"/>
      <c r="C126" s="402"/>
      <c r="D126" s="402"/>
    </row>
    <row r="127" spans="1:17" ht="15" thickBot="1" x14ac:dyDescent="0.3">
      <c r="A127" s="401" t="s">
        <v>161</v>
      </c>
      <c r="B127" s="402"/>
      <c r="C127" s="402"/>
      <c r="D127" s="402"/>
    </row>
    <row r="128" spans="1:17" ht="15" thickBot="1" x14ac:dyDescent="0.3">
      <c r="A128" s="401" t="s">
        <v>162</v>
      </c>
      <c r="B128" s="402"/>
      <c r="C128" s="402"/>
      <c r="D128" s="402"/>
    </row>
    <row r="129" spans="1:4" ht="15" thickBot="1" x14ac:dyDescent="0.3">
      <c r="A129" s="401" t="s">
        <v>163</v>
      </c>
      <c r="B129" s="402"/>
      <c r="C129" s="402"/>
      <c r="D129" s="402"/>
    </row>
    <row r="130" spans="1:4" ht="15.75" thickBot="1" x14ac:dyDescent="0.3">
      <c r="A130" s="856" t="s">
        <v>164</v>
      </c>
      <c r="B130" s="857"/>
      <c r="C130" s="856" t="s">
        <v>165</v>
      </c>
      <c r="D130" s="857"/>
    </row>
    <row r="131" spans="1:4" ht="15" thickBot="1" x14ac:dyDescent="0.3">
      <c r="A131" s="444" t="s">
        <v>166</v>
      </c>
      <c r="B131" s="444" t="s">
        <v>167</v>
      </c>
      <c r="C131" s="444" t="s">
        <v>166</v>
      </c>
      <c r="D131" s="444" t="s">
        <v>167</v>
      </c>
    </row>
    <row r="132" spans="1:4" ht="15" thickBot="1" x14ac:dyDescent="0.3">
      <c r="A132" s="402"/>
      <c r="B132" s="402"/>
      <c r="C132" s="402"/>
      <c r="D132" s="402"/>
    </row>
    <row r="133" spans="1:4" ht="15" thickBot="1" x14ac:dyDescent="0.3">
      <c r="A133" s="450"/>
      <c r="B133" s="451"/>
      <c r="C133" s="451"/>
      <c r="D133" s="451"/>
    </row>
    <row r="134" spans="1:4" ht="15.75" thickBot="1" x14ac:dyDescent="0.3">
      <c r="A134" s="450"/>
      <c r="B134" s="454" t="s">
        <v>164</v>
      </c>
      <c r="C134" s="454" t="s">
        <v>165</v>
      </c>
      <c r="D134" s="451"/>
    </row>
    <row r="135" spans="1:4" ht="23.25" thickBot="1" x14ac:dyDescent="0.3">
      <c r="A135" s="455" t="s">
        <v>168</v>
      </c>
      <c r="B135" s="402"/>
      <c r="C135" s="402"/>
      <c r="D135" s="451"/>
    </row>
    <row r="136" spans="1:4" ht="23.25" thickBot="1" x14ac:dyDescent="0.3">
      <c r="A136" s="455" t="s">
        <v>169</v>
      </c>
      <c r="B136" s="402"/>
      <c r="C136" s="402"/>
      <c r="D136" s="451"/>
    </row>
  </sheetData>
  <sheetProtection algorithmName="SHA-512" hashValue="n4kBOmqzhdAK9m2GC+zVt0zstB8S3LM0i401gqZOmQ3ALJ6SZlB+bV9eJQLQuZhFhqVvswR6Ts53IYoIi08LWQ==" saltValue="83wU0UocYe5XfQdhUrBzpA==" spinCount="100000" sheet="1" objects="1" scenarios="1"/>
  <mergeCells count="25">
    <mergeCell ref="A130:B130"/>
    <mergeCell ref="C130:D130"/>
    <mergeCell ref="A101:D101"/>
    <mergeCell ref="A102:A105"/>
    <mergeCell ref="B102:D102"/>
    <mergeCell ref="B103:B105"/>
    <mergeCell ref="C103:C105"/>
    <mergeCell ref="D103:D105"/>
    <mergeCell ref="A32:A33"/>
    <mergeCell ref="A35:A37"/>
    <mergeCell ref="A1:C1"/>
    <mergeCell ref="E1:E2"/>
    <mergeCell ref="A2:A20"/>
    <mergeCell ref="E4:E8"/>
    <mergeCell ref="E9:E20"/>
    <mergeCell ref="A50:A59"/>
    <mergeCell ref="A61:C61"/>
    <mergeCell ref="A63:A66"/>
    <mergeCell ref="A46:A47"/>
    <mergeCell ref="A42:A44"/>
    <mergeCell ref="A67:A68"/>
    <mergeCell ref="A69:A70"/>
    <mergeCell ref="A74:C74"/>
    <mergeCell ref="A75:A76"/>
    <mergeCell ref="A79:F79"/>
  </mergeCells>
  <conditionalFormatting sqref="C36:C37 B47:C47">
    <cfRule type="expression" dxfId="167" priority="46">
      <formula>$C$35="Rough estimate"</formula>
    </cfRule>
    <cfRule type="expression" dxfId="166" priority="47">
      <formula>$C$35="Rough estimate"</formula>
    </cfRule>
  </conditionalFormatting>
  <conditionalFormatting sqref="C65:C70">
    <cfRule type="expression" dxfId="165" priority="64">
      <formula>$C$64="Rough Estimate: Tier 2"</formula>
    </cfRule>
    <cfRule type="expression" dxfId="164" priority="65">
      <formula>$C$64="Rough Estimate: Tier 1A"</formula>
    </cfRule>
    <cfRule type="expression" dxfId="163" priority="69">
      <formula>OR($C$64="Rough Estimate: Tier 1B",$C$63="Rough Estimate")</formula>
    </cfRule>
  </conditionalFormatting>
  <conditionalFormatting sqref="C71:E72 D64:E70">
    <cfRule type="expression" dxfId="162" priority="62">
      <formula>($C$19="4A")</formula>
    </cfRule>
  </conditionalFormatting>
  <conditionalFormatting sqref="C12:C13">
    <cfRule type="expression" dxfId="161" priority="55">
      <formula>$C$11="New Construction"</formula>
    </cfRule>
  </conditionalFormatting>
  <conditionalFormatting sqref="C39">
    <cfRule type="expression" dxfId="160" priority="54">
      <formula>OR($C$8="New Construction",$C$8="Gut Rennovation")</formula>
    </cfRule>
  </conditionalFormatting>
  <conditionalFormatting sqref="C40">
    <cfRule type="expression" dxfId="159" priority="53">
      <formula>$C$11="New Construction"</formula>
    </cfRule>
  </conditionalFormatting>
  <conditionalFormatting sqref="C43">
    <cfRule type="expression" dxfId="158" priority="52">
      <formula>$C$11="Existing Building - Retrofit"</formula>
    </cfRule>
  </conditionalFormatting>
  <conditionalFormatting sqref="C33">
    <cfRule type="expression" dxfId="157" priority="51">
      <formula>ABS($D$33-$C$33)&gt;5</formula>
    </cfRule>
  </conditionalFormatting>
  <conditionalFormatting sqref="C32">
    <cfRule type="expression" dxfId="156" priority="50">
      <formula>ABS($C$32-$D$32)&gt;5</formula>
    </cfRule>
  </conditionalFormatting>
  <conditionalFormatting sqref="B42">
    <cfRule type="expression" dxfId="155" priority="48">
      <formula>OR(($C$11="Existing Building - Retrofit"),$C$35="Rough Estimate")</formula>
    </cfRule>
  </conditionalFormatting>
  <conditionalFormatting sqref="C42">
    <cfRule type="expression" dxfId="154" priority="49">
      <formula>OR(($C$11="Existing Building - Retrofit"),$C$35="Rough Estimate")</formula>
    </cfRule>
  </conditionalFormatting>
  <conditionalFormatting sqref="B46:C46">
    <cfRule type="expression" dxfId="153" priority="66">
      <formula>$C$35="Manual J or ACCA 183 calculations"</formula>
    </cfRule>
  </conditionalFormatting>
  <conditionalFormatting sqref="D75:E75">
    <cfRule type="expression" dxfId="152" priority="67">
      <formula>AND(NOT(OR(AND($C$8="Multifamily",$C$17="non-LMI",$C$19="Other than 4A"),$C$11="New Construction")),$C$75="Custom")</formula>
    </cfRule>
  </conditionalFormatting>
  <conditionalFormatting sqref="D76:E76">
    <cfRule type="expression" dxfId="151" priority="68">
      <formula>AND(NOT(OR(AND($C$8="Multifamily",$C$17="non-LMI",$C$19="Other than 4A"),$C$11="New Construction")),$C$76="Custom")</formula>
    </cfRule>
  </conditionalFormatting>
  <conditionalFormatting sqref="A61:E72">
    <cfRule type="expression" dxfId="150" priority="63">
      <formula>$C$19="Other than 4A"</formula>
    </cfRule>
  </conditionalFormatting>
  <conditionalFormatting sqref="D74:E74">
    <cfRule type="expression" dxfId="149" priority="70">
      <formula>AND(NOT(OR(AND($C$8="Multifamily",$C$17="non-LMI",$C$19="Other than 4A"),$C$11="New Construction")),OR($C$75="Custom",$C$76="Custom"))</formula>
    </cfRule>
  </conditionalFormatting>
  <conditionalFormatting sqref="C64">
    <cfRule type="expression" dxfId="148" priority="71">
      <formula>AND(NOT(OR(AND($C$63="Manual N or ACCA 183 calculations",$C$64="Data per Manual N or ACCA 183 load calculations"),(AND($C$63="Rough Estimate",$C$64="Rough Estimate: Tier 1A")),(AND($C$63="Rough Estimate",$C$64="Rough Estimate: Tier 1B")),(AND($C$63="Rough Estimate",$C$64="Rough Estimate: Tier 2")))),$C$19&lt;&gt;"Other than 4A")</formula>
    </cfRule>
  </conditionalFormatting>
  <conditionalFormatting sqref="C75">
    <cfRule type="expression" dxfId="147" priority="72">
      <formula>AND(NOT(OR(AND($C$17="non-LMI",$C$19="Other than 4A"),AND($C$17="",$C$19="Other than 4A"),$C$11="New Construction",C35="Rough Estimate")),C75="")</formula>
    </cfRule>
  </conditionalFormatting>
  <conditionalFormatting sqref="C76">
    <cfRule type="expression" dxfId="146" priority="73">
      <formula>AND(NOT(OR(AND($C$17="non-LMI",$C$19="Other than 4A"),AND($C$17="",$C$19="Other than 4A"),$C$11="New Construction",C35="Rough Estimate")),C76="")</formula>
    </cfRule>
  </conditionalFormatting>
  <conditionalFormatting sqref="A69:C70">
    <cfRule type="expression" dxfId="145" priority="74">
      <formula>$C$19="Other than 4A"</formula>
    </cfRule>
  </conditionalFormatting>
  <conditionalFormatting sqref="B17:C17">
    <cfRule type="expression" dxfId="144" priority="75">
      <formula>NOT(AND($C$8="Multifamily",$C$4="Con Edison"))</formula>
    </cfRule>
  </conditionalFormatting>
  <conditionalFormatting sqref="C7">
    <cfRule type="expression" dxfId="143" priority="76">
      <formula>NOT($C$4="Con Edison")</formula>
    </cfRule>
  </conditionalFormatting>
  <conditionalFormatting sqref="B7">
    <cfRule type="expression" dxfId="142" priority="77">
      <formula>NOT($C$4="Con Edison")</formula>
    </cfRule>
  </conditionalFormatting>
  <conditionalFormatting sqref="C17">
    <cfRule type="expression" dxfId="141" priority="28">
      <formula>NOT(AND($C$7="Multifamily",$C$4="Con Edison"))</formula>
    </cfRule>
    <cfRule type="expression" dxfId="140" priority="78">
      <formula>NOT(AND($C$8="Multifamily",$C$4="Con Edison"))</formula>
    </cfRule>
  </conditionalFormatting>
  <conditionalFormatting sqref="B67:C68">
    <cfRule type="expression" dxfId="139" priority="45">
      <formula>$C$8=""</formula>
    </cfRule>
  </conditionalFormatting>
  <conditionalFormatting sqref="C65">
    <cfRule type="expression" dxfId="138" priority="43">
      <formula>AND(NOT($C$63="Rough Estimate"),$C$20="Bundle Set",$C$65&gt;$C$36)</formula>
    </cfRule>
  </conditionalFormatting>
  <conditionalFormatting sqref="C66">
    <cfRule type="expression" dxfId="137" priority="44">
      <formula>AND(NOT($C$63="Rough Estimate"),$C$20="Bundle Set",$C$66&gt;$C$37)</formula>
    </cfRule>
  </conditionalFormatting>
  <conditionalFormatting sqref="B9:C10">
    <cfRule type="expression" dxfId="136" priority="42">
      <formula>NOT(OR($C$8="Multifamily",$C$8="Residential"))</formula>
    </cfRule>
  </conditionalFormatting>
  <conditionalFormatting sqref="C9:C10">
    <cfRule type="expression" dxfId="135" priority="41">
      <formula>NOT(OR($C$8="Multifamily",$C$8="Residential"))</formula>
    </cfRule>
  </conditionalFormatting>
  <conditionalFormatting sqref="A49:C59">
    <cfRule type="expression" dxfId="134" priority="27">
      <formula>C46&lt;&gt;"Ground Source"</formula>
    </cfRule>
  </conditionalFormatting>
  <conditionalFormatting sqref="E75">
    <cfRule type="expression" dxfId="133" priority="83">
      <formula>ISBLANK(#REF!)=FALSE</formula>
    </cfRule>
  </conditionalFormatting>
  <conditionalFormatting sqref="E76">
    <cfRule type="expression" dxfId="132" priority="84">
      <formula>ISBLANK(#REF!)=FALSE</formula>
    </cfRule>
  </conditionalFormatting>
  <conditionalFormatting sqref="F81:F95">
    <cfRule type="expression" dxfId="131" priority="85">
      <formula>OR((AND(OR($C$39="Electric",$C$39="District Steam"),#REF!&lt;1,OR($C$20="Bundle Set",$C$17="LMI"),(XEU17="Existing Building - Retrofit"))),(AND(OR($C$39="Natural Gas"),OR(#REF!&lt;0.6,0.95&lt;#REF!),OR($C$20="Bundle Set",$C$17="LMI"),(XEU17="Existing Building - Retrofit"))))</formula>
    </cfRule>
  </conditionalFormatting>
  <conditionalFormatting sqref="A79 A80:D92">
    <cfRule type="expression" dxfId="130" priority="89">
      <formula>OR(AND($C$17="LMI",NOT($C$11="New Construction")),AND($C$19="4A",NOT($C$11="New Construction"),NOT($C$63="Rough Estimate")),AND($C$75="Existing Equipment",XEU25="Bundle Set",NOT($C$63="Rough Estimate")),AND(XEO80="Existing Equipment",XEU22="LMI",NOT($C$63="Rough Estimate")))</formula>
    </cfRule>
  </conditionalFormatting>
  <conditionalFormatting sqref="A131:D131 A134:C134 A135:A136 A130 C130 A101:D102">
    <cfRule type="expression" dxfId="129" priority="19">
      <formula>$C$8="Custom"</formula>
    </cfRule>
  </conditionalFormatting>
  <conditionalFormatting sqref="A132:D132 B135:C136 B106:D129">
    <cfRule type="expression" dxfId="128" priority="17">
      <formula>$C$8="Custom"</formula>
    </cfRule>
  </conditionalFormatting>
  <conditionalFormatting sqref="B103">
    <cfRule type="expression" dxfId="127" priority="15">
      <formula>$C$8="Custom"</formula>
    </cfRule>
    <cfRule type="expression" dxfId="126" priority="16">
      <formula>$C$8="Custom"</formula>
    </cfRule>
  </conditionalFormatting>
  <conditionalFormatting sqref="B103">
    <cfRule type="expression" dxfId="125" priority="14">
      <formula>$C$8="Custom"</formula>
    </cfRule>
  </conditionalFormatting>
  <conditionalFormatting sqref="B103">
    <cfRule type="expression" dxfId="124" priority="13">
      <formula>$C$8="Custom"</formula>
    </cfRule>
  </conditionalFormatting>
  <conditionalFormatting sqref="C103">
    <cfRule type="expression" dxfId="123" priority="11">
      <formula>$C$8="Custom"</formula>
    </cfRule>
    <cfRule type="expression" dxfId="122" priority="12">
      <formula>$C$8="Custom"</formula>
    </cfRule>
  </conditionalFormatting>
  <conditionalFormatting sqref="C103">
    <cfRule type="expression" dxfId="121" priority="10">
      <formula>$C$8="Custom"</formula>
    </cfRule>
  </conditionalFormatting>
  <conditionalFormatting sqref="C103">
    <cfRule type="expression" dxfId="120" priority="9">
      <formula>$C$8="Custom"</formula>
    </cfRule>
  </conditionalFormatting>
  <conditionalFormatting sqref="D103">
    <cfRule type="expression" dxfId="119" priority="7">
      <formula>$C$8="Custom"</formula>
    </cfRule>
    <cfRule type="expression" dxfId="118" priority="8">
      <formula>$C$8="Custom"</formula>
    </cfRule>
  </conditionalFormatting>
  <conditionalFormatting sqref="D103">
    <cfRule type="expression" dxfId="117" priority="6">
      <formula>$C$8="Custom"</formula>
    </cfRule>
  </conditionalFormatting>
  <conditionalFormatting sqref="D103">
    <cfRule type="expression" dxfId="116" priority="5">
      <formula>$C$8="Custom"</formula>
    </cfRule>
  </conditionalFormatting>
  <conditionalFormatting sqref="A131:D136 A130 C130 A101:D129">
    <cfRule type="expression" dxfId="115" priority="18">
      <formula>$C$8="Custom"</formula>
    </cfRule>
    <cfRule type="expression" dxfId="114" priority="21">
      <formula>$C$8="Custom"</formula>
    </cfRule>
  </conditionalFormatting>
  <conditionalFormatting sqref="A131:D136 A130 C130 A101:D129">
    <cfRule type="expression" dxfId="113" priority="20">
      <formula>$C$8="Custom"</formula>
    </cfRule>
  </conditionalFormatting>
  <conditionalFormatting sqref="B95:E95">
    <cfRule type="expression" dxfId="112" priority="90">
      <formula>OR(AND($C$17="LMI",NOT($C$11="New Construction")),AND($C$19="4A",NOT($C$11="New Construction"),NOT($C$63="Rough Estimate")),AND($C$75="Existing Equipment",XEU39="Bundle Set",NOT($C$63="Rough Estimate")),AND(XEU94="Existing Equipment",XEU36="LMI",NOT($C$63="Rough Estimate")))</formula>
    </cfRule>
  </conditionalFormatting>
  <conditionalFormatting sqref="A74:F98">
    <cfRule type="expression" dxfId="111" priority="4">
      <formula>$C$11="Gut Renovation"</formula>
    </cfRule>
  </conditionalFormatting>
  <conditionalFormatting sqref="F81:F98">
    <cfRule type="expression" dxfId="110" priority="3">
      <formula>OR($C$39="District Steam",$C$39="Electric")</formula>
    </cfRule>
  </conditionalFormatting>
  <conditionalFormatting sqref="A73:C76">
    <cfRule type="expression" dxfId="109" priority="96">
      <formula>OR(AND($C$17="non-LMI",$C$19="Other than 4A"),AND($C$17="",$C$19="Other than 4A"),$C$11="New Construction",C35="Rough Estimate")</formula>
    </cfRule>
  </conditionalFormatting>
  <conditionalFormatting sqref="F81:F95">
    <cfRule type="expression" dxfId="108" priority="97">
      <formula>OR(AND($C$17="LMI",NOT($C$11="New Construction")),AND($C$19="4A",NOT($C$11="New Construction"),NOT($C$63="Rough Estimate")),AND($C$75="Existing Equipment",A25="Bundle Set",NOT($C$63="Rough Estimate")),AND(A80="Existing Equipment",A22="LMI",NOT($C$63="Rough Estimate")))</formula>
    </cfRule>
  </conditionalFormatting>
  <conditionalFormatting sqref="E80:F98">
    <cfRule type="expression" dxfId="107" priority="98">
      <formula>OR(AND($C$17="LMI",NOT($C$11="New Construction")),AND($C$19="4A",NOT($C$11="New Construction"),NOT($C$63="Rough Estimate")),AND($C$75="Existing Equipment",A26="Bundle Set",NOT($C$63="Rough Estimate")),AND(A81="Existing Equipment",A23="LMI",NOT($C$63="Rough Estimate")))</formula>
    </cfRule>
  </conditionalFormatting>
  <conditionalFormatting sqref="A93:D98">
    <cfRule type="expression" dxfId="106" priority="100">
      <formula>OR(AND($C$17="LMI",NOT($C$11="New Construction")),AND($C$19="4A",NOT($C$11="New Construction"),NOT($C$63="Rough Estimate")),AND($C$75="Existing Equipment",XEU39="Bundle Set",NOT($C$63="Rough Estimate")),AND(XEU94="Existing Equipment",XEU36="LMI",NOT($C$63="Rough Estimate")))</formula>
    </cfRule>
  </conditionalFormatting>
  <conditionalFormatting sqref="B81:E94">
    <cfRule type="expression" dxfId="105" priority="101">
      <formula>OR(AND($C$17="LMI",NOT($C$11="New Construction")),AND($C$19="4A",NOT($C$11="New Construction"),NOT($C$63="Rough Estimate")),AND($C$75="Existing Equipment",XEU25="Bundle Set",NOT($C$63="Rough Estimate")),AND(XEO80="Existing Equipment",XEU22="LMI",NOT($C$63="Rough Estimate")))</formula>
    </cfRule>
  </conditionalFormatting>
  <dataValidations xWindow="1004" yWindow="374" count="19">
    <dataValidation type="list" allowBlank="1" showInputMessage="1" showErrorMessage="1" sqref="C39" xr:uid="{EC9324FB-4BD8-48EC-9788-ECAE6991163C}">
      <formula1>"Natural Gas, Electric, District Steam,Heat Pump"</formula1>
    </dataValidation>
    <dataValidation type="list" allowBlank="1" showInputMessage="1" showErrorMessage="1" sqref="C40" xr:uid="{983931BC-38B7-435B-B5C1-AD8DD8B28667}">
      <formula1>"Decommissioned, Removed, Active - Left in Place"</formula1>
    </dataValidation>
    <dataValidation type="list" allowBlank="1" showInputMessage="1" showErrorMessage="1" sqref="C50" xr:uid="{2A195578-B5C2-4E14-ACE4-55DC091E0F68}">
      <formula1>"Constant Volume, Traditional Variable Speed, Two-Stage Speed, Sensorless Variable Speed"</formula1>
    </dataValidation>
    <dataValidation type="list" allowBlank="1" showInputMessage="1" showErrorMessage="1" sqref="C67" xr:uid="{825DB96A-6348-4842-B786-B2A471A7C1B8}">
      <formula1>"Yes, No"</formula1>
    </dataValidation>
    <dataValidation type="list" allowBlank="1" showInputMessage="1" showErrorMessage="1" sqref="C130" xr:uid="{5E43FA82-A0EF-4035-A5EA-828DB4296A5C}">
      <formula1>#REF!</formula1>
    </dataValidation>
    <dataValidation type="list" allowBlank="1" showInputMessage="1" showErrorMessage="1" sqref="C4" xr:uid="{3469AF57-B698-4083-B854-C78DEC5BCB88}">
      <formula1>"Con Edison"</formula1>
    </dataValidation>
    <dataValidation type="list" allowBlank="1" showInputMessage="1" showErrorMessage="1" sqref="C20" xr:uid="{A3575348-1F1E-4A14-ABE0-CA2DD66E833B}">
      <formula1>"Bundle Set, Heat Pump"</formula1>
    </dataValidation>
    <dataValidation type="list" allowBlank="1" showInputMessage="1" showErrorMessage="1" sqref="C46" xr:uid="{77185FDA-A443-478A-85C0-73BE96192132}">
      <formula1>"Air Source, Ground Source, Mini-spit ASHP"</formula1>
    </dataValidation>
    <dataValidation type="list" allowBlank="1" showInputMessage="1" showErrorMessage="1" sqref="C47" xr:uid="{4FBA22A7-6637-49A4-A509-51AA2F7D7947}">
      <formula1>"Separate Control, Integrated Control"</formula1>
    </dataValidation>
    <dataValidation type="list" allowBlank="1" showInputMessage="1" showErrorMessage="1" sqref="E4:E8" xr:uid="{00110FF3-2D6B-46D0-84F8-469C6ABC3CA3}">
      <formula1>"Project Application Submission, Demo Mode (Rough Estimate)"</formula1>
    </dataValidation>
    <dataValidation type="list" allowBlank="1" showInputMessage="1" showErrorMessage="1" sqref="C7" xr:uid="{7F2DB3C7-F429-4086-BDF7-E372D5C150D9}">
      <formula1>"Commercial/Industrial"</formula1>
    </dataValidation>
    <dataValidation allowBlank="1" showInputMessage="1" showErrorMessage="1" promptTitle="Required" prompt="Please enter Manual N or ACCA 183 load calculations. Do not add any additional sizing factors._x000a_If not available, select Demo Mode in cell E8 and multiply the values shown in cells D35 and D36 by building area. Change cell E8 back to Project Application." sqref="C37" xr:uid="{5CAB29DA-0A44-44E4-959A-856CCC78BB8E}"/>
    <dataValidation type="list" allowBlank="1" showInputMessage="1" showErrorMessage="1" sqref="B106:D129" xr:uid="{38E5029C-FA43-48E8-B773-A91B500F76D6}">
      <formula1>"On,Off"</formula1>
    </dataValidation>
    <dataValidation allowBlank="1" showInputMessage="1" showErrorMessage="1" promptTitle="Required" prompt="Please enter Manual N or ACCA 183 load calculations. Do not add any additional sizing factors._x000a_If not available, multiply the values shown in cells D35 and D36 by building area. " sqref="C36" xr:uid="{77DA5018-93EC-48B7-870D-94D719BCA17F}"/>
    <dataValidation type="list" allowBlank="1" showInputMessage="1" showErrorMessage="1" promptTitle="Required" prompt="Gut Renovation – Projects that remove construction materials down to load bearing beams qualify as gut renovation_x000a__x000a_All other projects should use existing Building – Retrofit option" sqref="C11" xr:uid="{B79B1A58-6173-4C94-8493-DC715B673754}">
      <formula1>"Existing Building - Retrofit, Gut Renovation"</formula1>
    </dataValidation>
    <dataValidation allowBlank="1" showInputMessage="1" showErrorMessage="1" promptTitle="Required" prompt="Please enter the project zip code" sqref="C2" xr:uid="{AF22BBD0-B775-4F54-9A46-B17694E9360B}"/>
    <dataValidation allowBlank="1" showInputMessage="1" showErrorMessage="1" prompt="Provide annual energy usage associated with scope of work" sqref="C15 C16" xr:uid="{46B53811-1B80-437C-97EC-A09468F66FC2}"/>
    <dataValidation type="whole" allowBlank="1" showInputMessage="1" showErrorMessage="1" sqref="C13" xr:uid="{575E9C82-E622-431C-A493-284CA45BFDAD}">
      <formula1>1999</formula1>
      <formula2>2023</formula2>
    </dataValidation>
    <dataValidation allowBlank="1" showInputMessage="1" showErrorMessage="1" promptTitle="Required" prompt="In case these values are not available, please use the design temperatures in cells D32 and D33." sqref="C32:C33" xr:uid="{DF4375D4-F13C-46CA-BD2C-CCF6BD2E1372}"/>
  </dataValidations>
  <pageMargins left="0.7" right="0.7" top="0.75" bottom="0.75" header="0.3" footer="0.3"/>
  <pageSetup orientation="portrait" r:id="rId1"/>
  <headerFooter>
    <oddFooter>&amp;C_x000D_&amp;1#&amp;"Calibri"&amp;22&amp;K0073CF INTERNAL</oddFooter>
  </headerFooter>
  <ignoredErrors>
    <ignoredError sqref="C65:C66" unlockedFormula="1"/>
  </ignoredErrors>
  <extLst>
    <ext xmlns:x14="http://schemas.microsoft.com/office/spreadsheetml/2009/9/main" uri="{CCE6A557-97BC-4b89-ADB6-D9C93CAAB3DF}">
      <x14:dataValidations xmlns:xm="http://schemas.microsoft.com/office/excel/2006/main" xWindow="1004" yWindow="374" count="7">
        <x14:dataValidation type="list" allowBlank="1" showInputMessage="1" showErrorMessage="1" xr:uid="{9A4A1549-1435-4089-BB11-FEEFDB78D229}">
          <x14:formula1>
            <xm:f>Picklists!$H$2:$H$5</xm:f>
          </x14:formula1>
          <xm:sqref>C12</xm:sqref>
        </x14:dataValidation>
        <x14:dataValidation type="list" allowBlank="1" showInputMessage="1" showErrorMessage="1" xr:uid="{E0B7F937-6204-45C9-A776-1B467272561A}">
          <x14:formula1>
            <xm:f>Picklists!$N$2:$N$4</xm:f>
          </x14:formula1>
          <xm:sqref>C42</xm:sqref>
        </x14:dataValidation>
        <x14:dataValidation type="list" allowBlank="1" showInputMessage="1" showErrorMessage="1" xr:uid="{B95F1E1C-CA00-45B7-8B93-9AB6D5317182}">
          <x14:formula1>
            <xm:f>Picklists!$R$2:$R$5</xm:f>
          </x14:formula1>
          <xm:sqref>C64</xm:sqref>
        </x14:dataValidation>
        <x14:dataValidation type="list" allowBlank="1" showInputMessage="1" showErrorMessage="1" xr:uid="{C1FD2A3C-B876-467F-AA72-5D333688E36E}">
          <x14:formula1>
            <xm:f>'Envelope Calcs'!$B$62:$B$66</xm:f>
          </x14:formula1>
          <xm:sqref>C75</xm:sqref>
        </x14:dataValidation>
        <x14:dataValidation type="list" allowBlank="1" showInputMessage="1" showErrorMessage="1" xr:uid="{6788239C-8560-433C-9F88-180CF4A3A27A}">
          <x14:formula1>
            <xm:f>'Envelope Calcs'!$B$71:$B$77</xm:f>
          </x14:formula1>
          <xm:sqref>C76</xm:sqref>
        </x14:dataValidation>
        <x14:dataValidation type="list" allowBlank="1" showInputMessage="1" showErrorMessage="1" xr:uid="{671A15F5-913F-4F21-A032-A640712B376D}">
          <x14:formula1>
            <xm:f>Picklists!$P$2:$P$9</xm:f>
          </x14:formula1>
          <xm:sqref>C43</xm:sqref>
        </x14:dataValidation>
        <x14:dataValidation type="list" allowBlank="1" showInputMessage="1" showErrorMessage="1" promptTitle="Required" prompt="Select the most appropriate building type" xr:uid="{D46377B6-AEF3-400B-B941-59F6776A02AF}">
          <x14:formula1>
            <xm:f>Picklists!$A$91:$A$101</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F5BC-D616-459E-AD91-13F9F7420155}">
  <sheetPr codeName="Sheet27">
    <tabColor theme="7" tint="0.59999389629810485"/>
  </sheetPr>
  <dimension ref="A1:Y16"/>
  <sheetViews>
    <sheetView zoomScale="55" zoomScaleNormal="55" workbookViewId="0">
      <selection activeCell="A3" sqref="A3"/>
    </sheetView>
  </sheetViews>
  <sheetFormatPr defaultColWidth="15.5703125" defaultRowHeight="14.25" customHeight="1" x14ac:dyDescent="0.2"/>
  <cols>
    <col min="1" max="1" width="25.85546875" style="3" bestFit="1" customWidth="1"/>
    <col min="2" max="2" width="13.85546875" style="3" customWidth="1"/>
    <col min="3" max="3" width="14.140625" style="3" customWidth="1"/>
    <col min="4" max="4" width="17.140625" style="3" customWidth="1"/>
    <col min="5" max="5" width="13" style="3" customWidth="1"/>
    <col min="6" max="6" width="11" style="3" customWidth="1"/>
    <col min="7" max="8" width="14.42578125" style="3" customWidth="1"/>
    <col min="9" max="9" width="14.28515625" style="3" customWidth="1"/>
    <col min="10" max="10" width="11.7109375" style="3" customWidth="1"/>
    <col min="11" max="11" width="12.7109375" style="3" customWidth="1"/>
    <col min="12" max="12" width="11.42578125" style="3" customWidth="1"/>
    <col min="13" max="13" width="15.42578125" style="3" customWidth="1"/>
    <col min="14" max="14" width="13.42578125" style="3" customWidth="1"/>
    <col min="15" max="15" width="14.7109375" style="3" customWidth="1"/>
    <col min="16" max="16" width="16" style="3" customWidth="1"/>
    <col min="17" max="25" width="15.5703125" style="3" hidden="1" customWidth="1"/>
    <col min="26" max="16384" width="15.5703125" style="3"/>
  </cols>
  <sheetData>
    <row r="1" spans="1:25" x14ac:dyDescent="0.2">
      <c r="A1" s="2"/>
      <c r="B1" s="2"/>
      <c r="C1" s="2"/>
      <c r="F1" s="2"/>
      <c r="G1" s="2"/>
      <c r="H1" s="2"/>
      <c r="I1" s="2"/>
      <c r="J1" s="2"/>
    </row>
    <row r="2" spans="1:25" s="334" customFormat="1" ht="45" x14ac:dyDescent="0.25">
      <c r="A2" s="332" t="s">
        <v>170</v>
      </c>
      <c r="B2" s="332" t="s">
        <v>171</v>
      </c>
      <c r="C2" s="332" t="s">
        <v>172</v>
      </c>
      <c r="D2" s="332" t="s">
        <v>173</v>
      </c>
      <c r="E2" s="332" t="s">
        <v>174</v>
      </c>
      <c r="F2" s="332" t="s">
        <v>175</v>
      </c>
      <c r="G2" s="332" t="s">
        <v>176</v>
      </c>
      <c r="H2" s="332" t="s">
        <v>177</v>
      </c>
      <c r="I2" s="332" t="s">
        <v>178</v>
      </c>
      <c r="J2" s="332" t="s">
        <v>179</v>
      </c>
      <c r="K2" s="332" t="s">
        <v>180</v>
      </c>
      <c r="L2" s="332" t="s">
        <v>181</v>
      </c>
      <c r="M2" s="332" t="s">
        <v>182</v>
      </c>
      <c r="N2" s="332" t="s">
        <v>183</v>
      </c>
      <c r="O2" s="332" t="s">
        <v>184</v>
      </c>
      <c r="P2" s="332" t="s">
        <v>185</v>
      </c>
      <c r="Q2" s="333" t="s">
        <v>186</v>
      </c>
      <c r="R2" s="333" t="s">
        <v>187</v>
      </c>
      <c r="S2" s="333" t="s">
        <v>188</v>
      </c>
      <c r="T2" s="333" t="s">
        <v>189</v>
      </c>
      <c r="U2" s="333" t="s">
        <v>190</v>
      </c>
      <c r="V2" s="493" t="s">
        <v>191</v>
      </c>
      <c r="W2" s="493" t="s">
        <v>192</v>
      </c>
      <c r="X2" s="493" t="s">
        <v>193</v>
      </c>
      <c r="Y2" s="493" t="s">
        <v>194</v>
      </c>
    </row>
    <row r="3" spans="1:25" s="4" customFormat="1" ht="14.1" customHeight="1" x14ac:dyDescent="0.2">
      <c r="A3" s="625"/>
      <c r="B3" s="626"/>
      <c r="C3" s="627"/>
      <c r="D3" s="628"/>
      <c r="E3" s="628"/>
      <c r="F3" s="628"/>
      <c r="G3"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3" s="532" t="str">
        <f>IFERROR(IF(OR(ISBLANK(T_ECM[[#This Row],[Quantity*]]),T_ECM[[#This Row],[Measure Name*]]=Picklists!$A$5,T_ECM[[#This Row],[Measure Name*]]=Picklists!$A$6),"",IF(ISBLANK(T_ECM[[#This Row],[Proposed U-Value*]]),0,MIN(T_ECM[[#This Row],[Proposed U-Value*]],VLOOKUP(Inputs!$C$8,T_MinUvalues[],3,FALSE)))),"")</f>
        <v/>
      </c>
      <c r="I3" s="628"/>
      <c r="J3" s="628"/>
      <c r="K3" s="628"/>
      <c r="L3" s="628"/>
      <c r="M3" s="335" t="str" cm="1">
        <f t="array" ref="M3">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3" s="335" t="str" cm="1">
        <f t="array" ref="N3">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3" s="630"/>
      <c r="P3" s="630"/>
      <c r="Q3" s="338" cm="1">
        <f t="array" ref="Q3">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3" s="338" cm="1">
        <f t="array" ref="R3">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3" s="336">
        <f>IFERROR(IF(T_ECM[[#This Row],[Proposed U-Value*]]&gt;T_ECM[[#This Row],[Effective Proposed U-value]],0,'Envelope Calcs'!$AN$36*T_ECM[[#This Row],[∆ BCL]]/$R$13),0)</f>
        <v>0</v>
      </c>
      <c r="T3" s="336">
        <f>IFERROR(IF(T_ECM[[#This Row],[Proposed U-Value*]]&gt;T_ECM[[#This Row],[Effective Proposed U-value]],0,'Envelope Calcs'!$AP$36*T_ECM[[#This Row],[∆ BCL]]/$R$13),0)</f>
        <v>0</v>
      </c>
      <c r="U3" s="336">
        <f>IFERROR(IF(T_ECM[[#This Row],[Proposed U-Value*]]&gt;T_ECM[[#This Row],[Effective Proposed U-value]],0,'Envelope Calcs'!$AQ$36*0.1*T_ECM[[#This Row],[∆ BHL]]/$Q$13),0)</f>
        <v>0</v>
      </c>
      <c r="V3" s="494">
        <f>IF(T_ECM[[#This Row],[Measure Name*]]=Picklists!$A$5,"WallIns",IF(T_ECM[[#This Row],[Measure Name*]]=Picklists!$A$6,"FloorIns",0))</f>
        <v>0</v>
      </c>
      <c r="W3" s="494">
        <f>IF(OR(T_ECM[[#This Row],[Measure Name*]]=Picklists!$A$2,T_ECM[[#This Row],[Measure Name*]]=Picklists!$A$3),"WindowType",0)</f>
        <v>0</v>
      </c>
      <c r="X3" s="494">
        <f>IFERROR(VLOOKUP(T_ECM[[#This Row],[Measure Name*]],Picklists!$A$2:$B$6,2,FALSE),0)</f>
        <v>0</v>
      </c>
      <c r="Y3" s="494" t="str">
        <f>IFERROR(VLOOKUP(T_ECM[[#This Row],[Measure Name*]],Picklists!$A$1:$C$8,3,FALSE),"")</f>
        <v/>
      </c>
    </row>
    <row r="4" spans="1:25" x14ac:dyDescent="0.2">
      <c r="A4" s="625"/>
      <c r="B4" s="626"/>
      <c r="C4" s="627"/>
      <c r="D4" s="628"/>
      <c r="E4" s="628"/>
      <c r="F4" s="628"/>
      <c r="G4"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4" s="532" t="str">
        <f>IFERROR(IF(OR(ISBLANK(T_ECM[[#This Row],[Quantity*]]),T_ECM[[#This Row],[Measure Name*]]=Picklists!$A$5,T_ECM[[#This Row],[Measure Name*]]=Picklists!$A$6),"",IF(ISBLANK(T_ECM[[#This Row],[Proposed U-Value*]]),0,MIN(T_ECM[[#This Row],[Proposed U-Value*]],VLOOKUP(Inputs!$C$8,T_MinUvalues[],3,FALSE)))),"")</f>
        <v/>
      </c>
      <c r="I4" s="628"/>
      <c r="J4" s="628"/>
      <c r="K4" s="628"/>
      <c r="L4" s="628"/>
      <c r="M4" s="335" t="str" cm="1">
        <f t="array" ref="M4">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4" s="335" t="str" cm="1">
        <f t="array" ref="N4">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4" s="630"/>
      <c r="P4" s="630"/>
      <c r="Q4" s="339" cm="1">
        <f t="array" ref="Q4">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4" s="339" cm="1">
        <f t="array" ref="R4">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4" s="337">
        <f>IFERROR(IF(T_ECM[[#This Row],[Proposed U-Value*]]&gt;T_ECM[[#This Row],[Effective Proposed U-value]],0,'Envelope Calcs'!$AN$36*T_ECM[[#This Row],[∆ BCL]]/$R$13),0)</f>
        <v>0</v>
      </c>
      <c r="T4" s="336">
        <f>IFERROR(IF(T_ECM[[#This Row],[Proposed U-Value*]]&gt;T_ECM[[#This Row],[Effective Proposed U-value]],0,'Envelope Calcs'!$AP$36*T_ECM[[#This Row],[∆ BCL]]/$R$13),0)</f>
        <v>0</v>
      </c>
      <c r="U4" s="337">
        <f>IFERROR(IF(T_ECM[[#This Row],[Proposed U-Value*]]&gt;T_ECM[[#This Row],[Effective Proposed U-value]],0,'Envelope Calcs'!$AQ$36*0.1*T_ECM[[#This Row],[∆ BHL]]/$Q$13),0)</f>
        <v>0</v>
      </c>
      <c r="V4" s="495">
        <f>IF(T_ECM[[#This Row],[Measure Name*]]=Picklists!$A$5,"WallIns",IF(T_ECM[[#This Row],[Measure Name*]]=Picklists!$A$6,"FloorIns",0))</f>
        <v>0</v>
      </c>
      <c r="W4" s="495">
        <f>IF(OR(T_ECM[[#This Row],[Measure Name*]]=Picklists!$A$2,T_ECM[[#This Row],[Measure Name*]]=Picklists!$A$3),"WindowType",0)</f>
        <v>0</v>
      </c>
      <c r="X4" s="495">
        <f>IFERROR(VLOOKUP(T_ECM[[#This Row],[Measure Name*]],Picklists!$A$2:$B$6,2,FALSE),0)</f>
        <v>0</v>
      </c>
      <c r="Y4" s="495" t="str">
        <f>IFERROR(VLOOKUP(T_ECM[[#This Row],[Measure Name*]],Picklists!$A$1:$C$8,3,FALSE),"")</f>
        <v/>
      </c>
    </row>
    <row r="5" spans="1:25" x14ac:dyDescent="0.2">
      <c r="A5" s="625"/>
      <c r="B5" s="626"/>
      <c r="C5" s="629"/>
      <c r="D5" s="628"/>
      <c r="E5" s="628"/>
      <c r="F5" s="628"/>
      <c r="G5"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5" s="532" t="str">
        <f>IFERROR(IF(OR(ISBLANK(T_ECM[[#This Row],[Quantity*]]),T_ECM[[#This Row],[Measure Name*]]=Picklists!$A$5,T_ECM[[#This Row],[Measure Name*]]=Picklists!$A$6),"",IF(ISBLANK(T_ECM[[#This Row],[Proposed U-Value*]]),0,MIN(T_ECM[[#This Row],[Proposed U-Value*]],VLOOKUP(Inputs!$C$8,T_MinUvalues[],3,FALSE)))),"")</f>
        <v/>
      </c>
      <c r="I5" s="628"/>
      <c r="J5" s="628"/>
      <c r="K5" s="628"/>
      <c r="L5" s="628"/>
      <c r="M5" s="335" t="str" cm="1">
        <f t="array" ref="M5">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5" s="335" t="str" cm="1">
        <f t="array" ref="N5">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5" s="630"/>
      <c r="P5" s="630"/>
      <c r="Q5" s="339" cm="1">
        <f t="array" ref="Q5">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5" s="339" cm="1">
        <f t="array" ref="R5">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5" s="337">
        <f>IFERROR(IF(T_ECM[[#This Row],[Proposed U-Value*]]&gt;T_ECM[[#This Row],[Effective Proposed U-value]],0,'Envelope Calcs'!$AN$36*T_ECM[[#This Row],[∆ BCL]]/$R$13),0)</f>
        <v>0</v>
      </c>
      <c r="T5" s="336">
        <f>IFERROR(IF(T_ECM[[#This Row],[Proposed U-Value*]]&gt;T_ECM[[#This Row],[Effective Proposed U-value]],0,'Envelope Calcs'!$AP$36*T_ECM[[#This Row],[∆ BCL]]/$R$13),0)</f>
        <v>0</v>
      </c>
      <c r="U5" s="337">
        <f>IFERROR(IF(T_ECM[[#This Row],[Proposed U-Value*]]&gt;T_ECM[[#This Row],[Effective Proposed U-value]],0,'Envelope Calcs'!$AQ$36*0.1*T_ECM[[#This Row],[∆ BHL]]/$Q$13),0)</f>
        <v>0</v>
      </c>
      <c r="V5" s="495">
        <f>IF(T_ECM[[#This Row],[Measure Name*]]=Picklists!$A$5,"WallIns",IF(T_ECM[[#This Row],[Measure Name*]]=Picklists!$A$6,"FloorIns",0))</f>
        <v>0</v>
      </c>
      <c r="W5" s="495">
        <f>IF(OR(T_ECM[[#This Row],[Measure Name*]]=Picklists!$A$2,T_ECM[[#This Row],[Measure Name*]]=Picklists!$A$3),"WindowType",0)</f>
        <v>0</v>
      </c>
      <c r="X5" s="495">
        <f>IFERROR(VLOOKUP(T_ECM[[#This Row],[Measure Name*]],Picklists!$A$2:$B$6,2,FALSE),0)</f>
        <v>0</v>
      </c>
      <c r="Y5" s="495" t="str">
        <f>IFERROR(VLOOKUP(T_ECM[[#This Row],[Measure Name*]],Picklists!$A$1:$C$8,3,FALSE),"")</f>
        <v/>
      </c>
    </row>
    <row r="6" spans="1:25" x14ac:dyDescent="0.2">
      <c r="A6" s="625"/>
      <c r="B6" s="626"/>
      <c r="C6" s="629"/>
      <c r="D6" s="628"/>
      <c r="E6" s="628"/>
      <c r="F6" s="628"/>
      <c r="G6"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6" s="532" t="str">
        <f>IFERROR(IF(OR(ISBLANK(T_ECM[[#This Row],[Quantity*]]),T_ECM[[#This Row],[Measure Name*]]=Picklists!$A$5,T_ECM[[#This Row],[Measure Name*]]=Picklists!$A$6),"",IF(ISBLANK(T_ECM[[#This Row],[Proposed U-Value*]]),0,MIN(T_ECM[[#This Row],[Proposed U-Value*]],VLOOKUP(Inputs!$C$8,T_MinUvalues[],3,FALSE)))),"")</f>
        <v/>
      </c>
      <c r="I6" s="628"/>
      <c r="J6" s="628"/>
      <c r="K6" s="628"/>
      <c r="L6" s="628"/>
      <c r="M6" s="335" t="str" cm="1">
        <f t="array" ref="M6">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6" s="335" t="str" cm="1">
        <f t="array" ref="N6">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6" s="630"/>
      <c r="P6" s="630"/>
      <c r="Q6" s="339" cm="1">
        <f t="array" ref="Q6">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6" s="339" cm="1">
        <f t="array" ref="R6">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6" s="337">
        <f>IFERROR(IF(T_ECM[[#This Row],[Proposed U-Value*]]&gt;T_ECM[[#This Row],[Effective Proposed U-value]],0,'Envelope Calcs'!$AN$36*T_ECM[[#This Row],[∆ BCL]]/$R$13),0)</f>
        <v>0</v>
      </c>
      <c r="T6" s="336">
        <f>IFERROR(IF(T_ECM[[#This Row],[Proposed U-Value*]]&gt;T_ECM[[#This Row],[Effective Proposed U-value]],0,'Envelope Calcs'!$AP$36*T_ECM[[#This Row],[∆ BCL]]/$R$13),0)</f>
        <v>0</v>
      </c>
      <c r="U6" s="337">
        <f>IFERROR(IF(T_ECM[[#This Row],[Proposed U-Value*]]&gt;T_ECM[[#This Row],[Effective Proposed U-value]],0,'Envelope Calcs'!$AQ$36*0.1*T_ECM[[#This Row],[∆ BHL]]/$Q$13),0)</f>
        <v>0</v>
      </c>
      <c r="V6" s="495">
        <f>IF(T_ECM[[#This Row],[Measure Name*]]=Picklists!$A$5,"WallIns",IF(T_ECM[[#This Row],[Measure Name*]]=Picklists!$A$6,"FloorIns",0))</f>
        <v>0</v>
      </c>
      <c r="W6" s="495">
        <f>IF(OR(T_ECM[[#This Row],[Measure Name*]]=Picklists!$A$2,T_ECM[[#This Row],[Measure Name*]]=Picklists!$A$3),"WindowType",0)</f>
        <v>0</v>
      </c>
      <c r="X6" s="495">
        <f>IFERROR(VLOOKUP(T_ECM[[#This Row],[Measure Name*]],Picklists!$A$2:$B$6,2,FALSE),0)</f>
        <v>0</v>
      </c>
      <c r="Y6" s="495" t="str">
        <f>IFERROR(VLOOKUP(T_ECM[[#This Row],[Measure Name*]],Picklists!$A$1:$C$8,3,FALSE),"")</f>
        <v/>
      </c>
    </row>
    <row r="7" spans="1:25" x14ac:dyDescent="0.2">
      <c r="A7" s="625"/>
      <c r="B7" s="626"/>
      <c r="C7" s="629"/>
      <c r="D7" s="628"/>
      <c r="E7" s="628"/>
      <c r="F7" s="628"/>
      <c r="G7"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7" s="532" t="str">
        <f>IFERROR(IF(OR(ISBLANK(T_ECM[[#This Row],[Quantity*]]),T_ECM[[#This Row],[Measure Name*]]=Picklists!$A$5,T_ECM[[#This Row],[Measure Name*]]=Picklists!$A$6),"",IF(ISBLANK(T_ECM[[#This Row],[Proposed U-Value*]]),0,MIN(T_ECM[[#This Row],[Proposed U-Value*]],VLOOKUP(Inputs!$C$8,T_MinUvalues[],3,FALSE)))),"")</f>
        <v/>
      </c>
      <c r="I7" s="628"/>
      <c r="J7" s="628"/>
      <c r="K7" s="628"/>
      <c r="L7" s="628"/>
      <c r="M7" s="335" t="str" cm="1">
        <f t="array" ref="M7">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7" s="335" t="str" cm="1">
        <f t="array" ref="N7">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7" s="630"/>
      <c r="P7" s="630"/>
      <c r="Q7" s="339" cm="1">
        <f t="array" ref="Q7">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7" s="339" cm="1">
        <f t="array" ref="R7">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7" s="337">
        <f>IFERROR(IF(T_ECM[[#This Row],[Proposed U-Value*]]&gt;T_ECM[[#This Row],[Effective Proposed U-value]],0,'Envelope Calcs'!$AN$36*T_ECM[[#This Row],[∆ BCL]]/$R$13),0)</f>
        <v>0</v>
      </c>
      <c r="T7" s="336">
        <f>IFERROR(IF(T_ECM[[#This Row],[Proposed U-Value*]]&gt;T_ECM[[#This Row],[Effective Proposed U-value]],0,'Envelope Calcs'!$AP$36*T_ECM[[#This Row],[∆ BCL]]/$R$13),0)</f>
        <v>0</v>
      </c>
      <c r="U7" s="337">
        <f>IFERROR(IF(T_ECM[[#This Row],[Proposed U-Value*]]&gt;T_ECM[[#This Row],[Effective Proposed U-value]],0,'Envelope Calcs'!$AQ$36*0.1*T_ECM[[#This Row],[∆ BHL]]/$Q$13),0)</f>
        <v>0</v>
      </c>
      <c r="V7" s="495">
        <f>IF(T_ECM[[#This Row],[Measure Name*]]=Picklists!$A$5,"WallIns",IF(T_ECM[[#This Row],[Measure Name*]]=Picklists!$A$6,"FloorIns",0))</f>
        <v>0</v>
      </c>
      <c r="W7" s="495">
        <f>IF(OR(T_ECM[[#This Row],[Measure Name*]]=Picklists!$A$2,T_ECM[[#This Row],[Measure Name*]]=Picklists!$A$3),"WindowType",0)</f>
        <v>0</v>
      </c>
      <c r="X7" s="495">
        <f>IFERROR(VLOOKUP(T_ECM[[#This Row],[Measure Name*]],Picklists!$A$2:$B$6,2,FALSE),0)</f>
        <v>0</v>
      </c>
      <c r="Y7" s="495" t="str">
        <f>IFERROR(VLOOKUP(T_ECM[[#This Row],[Measure Name*]],Picklists!$A$1:$C$8,3,FALSE),"")</f>
        <v/>
      </c>
    </row>
    <row r="8" spans="1:25" x14ac:dyDescent="0.2">
      <c r="A8" s="625"/>
      <c r="B8" s="626"/>
      <c r="C8" s="629"/>
      <c r="D8" s="628"/>
      <c r="E8" s="628"/>
      <c r="F8" s="628"/>
      <c r="G8"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8" s="532" t="str">
        <f>IFERROR(IF(OR(ISBLANK(T_ECM[[#This Row],[Quantity*]]),T_ECM[[#This Row],[Measure Name*]]=Picklists!$A$5,T_ECM[[#This Row],[Measure Name*]]=Picklists!$A$6),"",IF(ISBLANK(T_ECM[[#This Row],[Proposed U-Value*]]),0,MIN(T_ECM[[#This Row],[Proposed U-Value*]],VLOOKUP(Inputs!$C$8,T_MinUvalues[],3,FALSE)))),"")</f>
        <v/>
      </c>
      <c r="I8" s="628"/>
      <c r="J8" s="628"/>
      <c r="K8" s="628"/>
      <c r="L8" s="628"/>
      <c r="M8" s="335" t="str" cm="1">
        <f t="array" ref="M8">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8" s="335" t="str" cm="1">
        <f t="array" ref="N8">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8" s="630"/>
      <c r="P8" s="630"/>
      <c r="Q8" s="339" cm="1">
        <f t="array" ref="Q8">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8" s="339" cm="1">
        <f t="array" ref="R8">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8" s="337">
        <f>IFERROR(IF(T_ECM[[#This Row],[Proposed U-Value*]]&gt;T_ECM[[#This Row],[Effective Proposed U-value]],0,'Envelope Calcs'!$AN$36*T_ECM[[#This Row],[∆ BCL]]/$R$13),0)</f>
        <v>0</v>
      </c>
      <c r="T8" s="336">
        <f>IFERROR(IF(T_ECM[[#This Row],[Proposed U-Value*]]&gt;T_ECM[[#This Row],[Effective Proposed U-value]],0,'Envelope Calcs'!$AP$36*T_ECM[[#This Row],[∆ BCL]]/$R$13),0)</f>
        <v>0</v>
      </c>
      <c r="U8" s="337">
        <f>IFERROR(IF(T_ECM[[#This Row],[Proposed U-Value*]]&gt;T_ECM[[#This Row],[Effective Proposed U-value]],0,'Envelope Calcs'!$AQ$36*0.1*T_ECM[[#This Row],[∆ BHL]]/$Q$13),0)</f>
        <v>0</v>
      </c>
      <c r="V8" s="495">
        <f>IF(T_ECM[[#This Row],[Measure Name*]]=Picklists!$A$5,"WallIns",IF(T_ECM[[#This Row],[Measure Name*]]=Picklists!$A$6,"FloorIns",0))</f>
        <v>0</v>
      </c>
      <c r="W8" s="495">
        <f>IF(OR(T_ECM[[#This Row],[Measure Name*]]=Picklists!$A$2,T_ECM[[#This Row],[Measure Name*]]=Picklists!$A$3),"WindowType",0)</f>
        <v>0</v>
      </c>
      <c r="X8" s="495">
        <f>IFERROR(VLOOKUP(T_ECM[[#This Row],[Measure Name*]],Picklists!$A$2:$B$6,2,FALSE),0)</f>
        <v>0</v>
      </c>
      <c r="Y8" s="495" t="str">
        <f>IFERROR(VLOOKUP(T_ECM[[#This Row],[Measure Name*]],Picklists!$A$1:$C$8,3,FALSE),"")</f>
        <v/>
      </c>
    </row>
    <row r="9" spans="1:25" x14ac:dyDescent="0.2">
      <c r="A9" s="625"/>
      <c r="B9" s="626"/>
      <c r="C9" s="629"/>
      <c r="D9" s="628"/>
      <c r="E9" s="628"/>
      <c r="F9" s="628"/>
      <c r="G9"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9" s="532" t="str">
        <f>IFERROR(IF(OR(ISBLANK(T_ECM[[#This Row],[Quantity*]]),T_ECM[[#This Row],[Measure Name*]]=Picklists!$A$5,T_ECM[[#This Row],[Measure Name*]]=Picklists!$A$6),"",IF(ISBLANK(T_ECM[[#This Row],[Proposed U-Value*]]),0,MIN(T_ECM[[#This Row],[Proposed U-Value*]],VLOOKUP(Inputs!$C$8,T_MinUvalues[],3,FALSE)))),"")</f>
        <v/>
      </c>
      <c r="I9" s="628"/>
      <c r="J9" s="628"/>
      <c r="K9" s="628"/>
      <c r="L9" s="628"/>
      <c r="M9" s="335" t="str" cm="1">
        <f t="array" ref="M9">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9" s="335" t="str" cm="1">
        <f t="array" ref="N9">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9" s="630"/>
      <c r="P9" s="630"/>
      <c r="Q9" s="339" cm="1">
        <f t="array" ref="Q9">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9" s="339" cm="1">
        <f t="array" ref="R9">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9" s="337">
        <f>IFERROR(IF(T_ECM[[#This Row],[Proposed U-Value*]]&gt;T_ECM[[#This Row],[Effective Proposed U-value]],0,'Envelope Calcs'!$AN$36*T_ECM[[#This Row],[∆ BCL]]/$R$13),0)</f>
        <v>0</v>
      </c>
      <c r="T9" s="336">
        <f>IFERROR(IF(T_ECM[[#This Row],[Proposed U-Value*]]&gt;T_ECM[[#This Row],[Effective Proposed U-value]],0,'Envelope Calcs'!$AP$36*T_ECM[[#This Row],[∆ BCL]]/$R$13),0)</f>
        <v>0</v>
      </c>
      <c r="U9" s="337">
        <f>IFERROR(IF(T_ECM[[#This Row],[Proposed U-Value*]]&gt;T_ECM[[#This Row],[Effective Proposed U-value]],0,'Envelope Calcs'!$AQ$36*0.1*T_ECM[[#This Row],[∆ BHL]]/$Q$13),0)</f>
        <v>0</v>
      </c>
      <c r="V9" s="495">
        <f>IF(T_ECM[[#This Row],[Measure Name*]]=Picklists!$A$5,"WallIns",IF(T_ECM[[#This Row],[Measure Name*]]=Picklists!$A$6,"FloorIns",0))</f>
        <v>0</v>
      </c>
      <c r="W9" s="495">
        <f>IF(OR(T_ECM[[#This Row],[Measure Name*]]=Picklists!$A$2,T_ECM[[#This Row],[Measure Name*]]=Picklists!$A$3),"WindowType",0)</f>
        <v>0</v>
      </c>
      <c r="X9" s="495">
        <f>IFERROR(VLOOKUP(T_ECM[[#This Row],[Measure Name*]],Picklists!$A$2:$B$6,2,FALSE),0)</f>
        <v>0</v>
      </c>
      <c r="Y9" s="495" t="str">
        <f>IFERROR(VLOOKUP(T_ECM[[#This Row],[Measure Name*]],Picklists!$A$1:$C$8,3,FALSE),"")</f>
        <v/>
      </c>
    </row>
    <row r="10" spans="1:25" x14ac:dyDescent="0.2">
      <c r="A10" s="625"/>
      <c r="B10" s="626"/>
      <c r="C10" s="629"/>
      <c r="D10" s="628"/>
      <c r="E10" s="628"/>
      <c r="F10" s="628"/>
      <c r="G10"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10" s="532" t="str">
        <f>IFERROR(IF(OR(ISBLANK(T_ECM[[#This Row],[Quantity*]]),T_ECM[[#This Row],[Measure Name*]]=Picklists!$A$5,T_ECM[[#This Row],[Measure Name*]]=Picklists!$A$6),"",IF(ISBLANK(T_ECM[[#This Row],[Proposed U-Value*]]),0,MIN(T_ECM[[#This Row],[Proposed U-Value*]],VLOOKUP(Inputs!$C$8,T_MinUvalues[],3,FALSE)))),"")</f>
        <v/>
      </c>
      <c r="I10" s="628"/>
      <c r="J10" s="628"/>
      <c r="K10" s="628"/>
      <c r="L10" s="628"/>
      <c r="M10" s="335" t="str" cm="1">
        <f t="array" ref="M10">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10" s="335" t="str" cm="1">
        <f t="array" ref="N10">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10" s="630"/>
      <c r="P10" s="630"/>
      <c r="Q10" s="339" cm="1">
        <f t="array" ref="Q10">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10" s="339" cm="1">
        <f t="array" ref="R10">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10" s="337">
        <f>IFERROR(IF(T_ECM[[#This Row],[Proposed U-Value*]]&gt;T_ECM[[#This Row],[Effective Proposed U-value]],0,'Envelope Calcs'!$AN$36*T_ECM[[#This Row],[∆ BCL]]/$R$13),0)</f>
        <v>0</v>
      </c>
      <c r="T10" s="336">
        <f>IFERROR(IF(T_ECM[[#This Row],[Proposed U-Value*]]&gt;T_ECM[[#This Row],[Effective Proposed U-value]],0,'Envelope Calcs'!$AP$36*T_ECM[[#This Row],[∆ BCL]]/$R$13),0)</f>
        <v>0</v>
      </c>
      <c r="U10" s="337">
        <f>IFERROR(IF(T_ECM[[#This Row],[Proposed U-Value*]]&gt;T_ECM[[#This Row],[Effective Proposed U-value]],0,'Envelope Calcs'!$AQ$36*0.1*T_ECM[[#This Row],[∆ BHL]]/$Q$13),0)</f>
        <v>0</v>
      </c>
      <c r="V10" s="495">
        <f>IF(T_ECM[[#This Row],[Measure Name*]]=Picklists!$A$5,"WallIns",IF(T_ECM[[#This Row],[Measure Name*]]=Picklists!$A$6,"FloorIns",0))</f>
        <v>0</v>
      </c>
      <c r="W10" s="495">
        <f>IF(OR(T_ECM[[#This Row],[Measure Name*]]=Picklists!$A$2,T_ECM[[#This Row],[Measure Name*]]=Picklists!$A$3),"WindowType",0)</f>
        <v>0</v>
      </c>
      <c r="X10" s="495">
        <f>IFERROR(VLOOKUP(T_ECM[[#This Row],[Measure Name*]],Picklists!$A$2:$B$6,2,FALSE),0)</f>
        <v>0</v>
      </c>
      <c r="Y10" s="495" t="str">
        <f>IFERROR(VLOOKUP(T_ECM[[#This Row],[Measure Name*]],Picklists!$A$1:$C$8,3,FALSE),"")</f>
        <v/>
      </c>
    </row>
    <row r="11" spans="1:25" ht="14.25" customHeight="1" x14ac:dyDescent="0.2">
      <c r="A11" s="625"/>
      <c r="B11" s="626"/>
      <c r="C11" s="629"/>
      <c r="D11" s="628"/>
      <c r="E11" s="628"/>
      <c r="F11" s="628"/>
      <c r="G11"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11" s="532" t="str">
        <f>IFERROR(IF(OR(ISBLANK(T_ECM[[#This Row],[Quantity*]]),T_ECM[[#This Row],[Measure Name*]]=Picklists!$A$5,T_ECM[[#This Row],[Measure Name*]]=Picklists!$A$6),"",IF(ISBLANK(T_ECM[[#This Row],[Proposed U-Value*]]),0,MIN(T_ECM[[#This Row],[Proposed U-Value*]],VLOOKUP(Inputs!$C$8,T_MinUvalues[],3,FALSE)))),"")</f>
        <v/>
      </c>
      <c r="I11" s="628"/>
      <c r="J11" s="628"/>
      <c r="K11" s="628"/>
      <c r="L11" s="628"/>
      <c r="M11" s="335" t="str" cm="1">
        <f t="array" ref="M11">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11" s="335" t="str" cm="1">
        <f t="array" ref="N11">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11" s="630"/>
      <c r="P11" s="630"/>
      <c r="Q11" s="339" cm="1">
        <f t="array" ref="Q11">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11" s="339" cm="1">
        <f t="array" ref="R11">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11" s="337">
        <f>IFERROR(IF(T_ECM[[#This Row],[Proposed U-Value*]]&gt;T_ECM[[#This Row],[Effective Proposed U-value]],0,'Envelope Calcs'!$AN$36*T_ECM[[#This Row],[∆ BCL]]/$R$13),0)</f>
        <v>0</v>
      </c>
      <c r="T11" s="336">
        <f>IFERROR(IF(T_ECM[[#This Row],[Proposed U-Value*]]&gt;T_ECM[[#This Row],[Effective Proposed U-value]],0,'Envelope Calcs'!$AP$36*T_ECM[[#This Row],[∆ BCL]]/$R$13),0)</f>
        <v>0</v>
      </c>
      <c r="U11" s="337">
        <f>IFERROR(IF(T_ECM[[#This Row],[Proposed U-Value*]]&gt;T_ECM[[#This Row],[Effective Proposed U-value]],0,'Envelope Calcs'!$AQ$36*0.1*T_ECM[[#This Row],[∆ BHL]]/$Q$13),0)</f>
        <v>0</v>
      </c>
      <c r="V11" s="495">
        <f>IF(T_ECM[[#This Row],[Measure Name*]]=Picklists!$A$5,"WallIns",IF(T_ECM[[#This Row],[Measure Name*]]=Picklists!$A$6,"FloorIns",0))</f>
        <v>0</v>
      </c>
      <c r="W11" s="495">
        <f>IF(OR(T_ECM[[#This Row],[Measure Name*]]=Picklists!$A$2,T_ECM[[#This Row],[Measure Name*]]=Picklists!$A$3),"WindowType",0)</f>
        <v>0</v>
      </c>
      <c r="X11" s="495">
        <f>IFERROR(VLOOKUP(T_ECM[[#This Row],[Measure Name*]],Picklists!$A$2:$B$6,2,FALSE),0)</f>
        <v>0</v>
      </c>
      <c r="Y11" s="495" t="str">
        <f>IFERROR(VLOOKUP(T_ECM[[#This Row],[Measure Name*]],Picklists!$A$1:$C$8,3,FALSE),"")</f>
        <v/>
      </c>
    </row>
    <row r="12" spans="1:25" ht="14.25" customHeight="1" x14ac:dyDescent="0.2">
      <c r="A12" s="625"/>
      <c r="B12" s="626"/>
      <c r="C12" s="629"/>
      <c r="D12" s="628"/>
      <c r="E12" s="628"/>
      <c r="F12" s="628"/>
      <c r="G12" s="532" t="str">
        <f>IFERROR(IF(OR(ISBLANK(T_ECM[[#This Row],[Quantity*]]),T_ECM[[#This Row],[Measure Name*]]=Picklists!$A$5,T_ECM[[#This Row],[Measure Name*]]=Picklists!$A$6),"",IF(Inputs!$C$11="Existing Building - Retrofit",IF(ISBLANK(T_ECM[[#This Row],[Baseline U-value]]),VLOOKUP(Inputs!$C$8,T_MinUvalues[],2,FALSE),T_ECM[[#This Row],[Baseline U-value]]),MIN(T_ECM[[#This Row],[Baseline U-value]],VLOOKUP(Inputs!$C$8,T_MinUvalues[],3,FALSE)))),"")</f>
        <v/>
      </c>
      <c r="H12" s="532" t="str">
        <f>IFERROR(IF(OR(ISBLANK(T_ECM[[#This Row],[Quantity*]]),T_ECM[[#This Row],[Measure Name*]]=Picklists!$A$5,T_ECM[[#This Row],[Measure Name*]]=Picklists!$A$6),"",IF(ISBLANK(T_ECM[[#This Row],[Proposed U-Value*]]),0,MIN(T_ECM[[#This Row],[Proposed U-Value*]],VLOOKUP(Inputs!$C$8,T_MinUvalues[],3,FALSE)))),"")</f>
        <v/>
      </c>
      <c r="I12" s="628"/>
      <c r="J12" s="628"/>
      <c r="K12" s="628"/>
      <c r="L12" s="628"/>
      <c r="M12" s="335" t="str" cm="1">
        <f t="array" ref="M12">IF(OR(ISBLANK(T_ECM[[#This Row],[Measure Name*]]),ISBLANK(T_ECM[[#This Row],[Baseline R- Value*]])),"",IF(T_ECM[[#This Row],[Measure Name*]]=Picklists!$A$5,INDEX(T_Wall_Ins[],MATCH(T_ECM[[#This Row],[Baseline R- Value*]],T_Wall_Ins[WallIns],0),COLUMN(IF(T_ECM[[#This Row],[Baseline Insulation Style*]]="Continuous",T_Wall_Ins[Continuous],T_Wall_Ins[Between Studs]))),IF(T_ECM[[#This Row],[Measure Name*]]=Picklists!$A$6,INDEX(T_Floor_Ins[],MATCH(T_ECM[[#This Row],[Baseline R- Value*]],T_Floor_Ins[FloorIns],0),COLUMN(IF(T_ECM[[#This Row],[Baseline Insulation Style*]]="Continuous",T_Floor_Ins[Continuous],T_Floor_Ins[Between Studs]))),0)))</f>
        <v/>
      </c>
      <c r="N12" s="335" t="str" cm="1">
        <f t="array" ref="N12">IF(OR(ISBLANK(T_ECM[[#This Row],[Measure Name*]]),ISBLANK(T_ECM[[#This Row],[Proposed R- Value*]])),"",IF(T_ECM[[#This Row],[Measure Name*]]=Picklists!$A$5,INDEX(T_Wall_Ins[],MATCH(T_ECM[[#This Row],[Proposed R- Value*]],T_Wall_Ins[WallIns],0),COLUMN(IF(T_ECM[[#This Row],[Proposed Insulation Style*]]="Continuous",T_Wall_Ins[Continuous],T_Wall_Ins[Between Studs]))),IF(T_ECM[[#This Row],[Measure Name*]]=Picklists!$A$6,INDEX(T_Floor_Ins[],MATCH(T_ECM[[#This Row],[Proposed R- Value*]],T_Floor_Ins[FloorIns],0),COLUMN(IF(T_ECM[[#This Row],[Proposed Insulation Style*]]="Continuous",T_Floor_Ins[Continuous],T_Floor_Ins[Between Studs]))),0)))</f>
        <v/>
      </c>
      <c r="O12" s="630"/>
      <c r="P12" s="630"/>
      <c r="Q12" s="339" cm="1">
        <f t="array" ref="Q12">IFERROR(_xlfn.IFS(T_ECM[[#This Row],[Measure Name*]]=Picklists!$A$3,(T_ECM[[#This Row],[Effective Baseline U-value]]-T_ECM[[#This Row],[Effective Proposed U-value]])*T_ECM[[#This Row],[Square Feet*]]*(HeatingBalance-HeatingDesign),
T_ECM[[#This Row],[Measure Name*]]=Picklists!$A$4,(MIN(0.4,T_ECM[[#This Row],[Baseline Air Leakage Rate (in CFM/SQFT)]])-MIN(0.25,T_ECM[[#This Row],[Proposed Air Leakage Rate (in CFM/SQFT)*]]))*1.08*(HeatingBalance-HeatingDesign)*IF(ISBLANK(T_ECM[[#This Row],[Proposed Air Leakage Rate (in CFM/SQFT)*]]),0,T_ECM[[#This Row],[Square Feet*]]),
T_ECM[[#This Row],[Measure Name*]]=Picklists!$A$2,(T_ECM[[#This Row],[Effective Baseline U-value]]-T_ECM[[#This Row],[Effective Proposed U-value]])*T_ECM[[#This Row],[Square Feet*]]*(HeatingBalance-HeatingDesign)+((MIN(0.4,T_ECM[[#This Row],[Baseline Air Leakage Rate (in CFM/SQFT)]])-MIN(0.3,T_ECM[[#This Row],[Proposed Air Leakage Rate (in CFM/SQFT)*]]))*1.08*(HeatingBalance-HeatingDesign)*IF(ISBLANK(T_ECM[[#This Row],[Proposed Air Leakage Rate (in CFM/SQFT)*]]),0,T_ECM[[#This Row],[Square Feet*]])),
OR(T_ECM[[#This Row],[Measure Name*]]=Picklists!$A$5,T_ECM[[#This Row],[Measure Name*]]=Picklists!$A$6),(1/T_ECM[[#This Row],[Effective Baseline R- Value]]-1/T_ECM[[#This Row],[Effective Proposed R- Value]])*T_ECM[[#This Row],[Square Feet*]]*(HeatingBalance-HeatingDesign)),0)*T_ECM[[#This Row],[Quantity*]]</f>
        <v>0</v>
      </c>
      <c r="R12" s="339" cm="1">
        <f t="array" ref="R12">IFERROR(_xlfn.IFS(T_ECM[[#This Row],[Measure Name*]]=Picklists!$A$3,(T_ECM[[#This Row],[Effective Baseline U-value]]-T_ECM[[#This Row],[Effective Proposed U-value]])*T_ECM[[#This Row],[Square Feet*]]*(CoolingDesign-CoolingBalance),
T_ECM[[#This Row],[Measure Name*]]=Picklists!$A$4,(MIN(0.4,T_ECM[[#This Row],[Baseline Air Leakage Rate (in CFM/SQFT)]])-MIN(0.25,T_ECM[[#This Row],[Proposed Air Leakage Rate (in CFM/SQFT)*]]))*1.08*(CoolingDesign-CoolingBalance)*IF(ISBLANK(T_ECM[[#This Row],[Proposed Air Leakage Rate (in CFM/SQFT)*]]),0,T_ECM[[#This Row],[Square Feet*]]),
T_ECM[[#This Row],[Measure Name*]]=Picklists!$A$2,(T_ECM[[#This Row],[Effective Baseline U-value]]-T_ECM[[#This Row],[Effective Proposed U-value]])*T_ECM[[#This Row],[Square Feet*]]*(CoolingDesign-CoolingBalance)+((MIN(0.4,T_ECM[[#This Row],[Baseline Air Leakage Rate (in CFM/SQFT)]])-MIN(0.3,T_ECM[[#This Row],[Proposed Air Leakage Rate (in CFM/SQFT)*]]))*1.08*(CoolingDesign-CoolingBalance)*IF(ISBLANK(T_ECM[[#This Row],[Proposed Air Leakage Rate (in CFM/SQFT)*]]),0,T_ECM[[#This Row],[Square Feet*]])),
OR(T_ECM[[#This Row],[Measure Name*]]=Picklists!$A$5,T_ECM[[#This Row],[Measure Name*]]=Picklists!$A$6),(1/T_ECM[[#This Row],[Effective Baseline R- Value]]-1/T_ECM[[#This Row],[Effective Proposed R- Value]])*T_ECM[[#This Row],[Square Feet*]]*(CoolingDesign-CoolingBalance)),0)*T_ECM[[#This Row],[Quantity*]]</f>
        <v>0</v>
      </c>
      <c r="S12" s="337">
        <f>IFERROR(IF(T_ECM[[#This Row],[Proposed U-Value*]]&gt;T_ECM[[#This Row],[Effective Proposed U-value]],0,'Envelope Calcs'!$AN$36*T_ECM[[#This Row],[∆ BCL]]/$R$13),0)</f>
        <v>0</v>
      </c>
      <c r="T12" s="336">
        <f>IFERROR(IF(T_ECM[[#This Row],[Proposed U-Value*]]&gt;T_ECM[[#This Row],[Effective Proposed U-value]],0,'Envelope Calcs'!$AP$36*T_ECM[[#This Row],[∆ BCL]]/$R$13),0)</f>
        <v>0</v>
      </c>
      <c r="U12" s="337">
        <f>IFERROR(IF(T_ECM[[#This Row],[Proposed U-Value*]]&gt;T_ECM[[#This Row],[Effective Proposed U-value]],0,'Envelope Calcs'!$AQ$36*0.1*T_ECM[[#This Row],[∆ BHL]]/$Q$13),0)</f>
        <v>0</v>
      </c>
      <c r="V12" s="495">
        <f>IF(T_ECM[[#This Row],[Measure Name*]]=Picklists!$A$5,"WallIns",IF(T_ECM[[#This Row],[Measure Name*]]=Picklists!$A$6,"FloorIns",0))</f>
        <v>0</v>
      </c>
      <c r="W12" s="495">
        <f>IF(OR(T_ECM[[#This Row],[Measure Name*]]=Picklists!$A$2,T_ECM[[#This Row],[Measure Name*]]=Picklists!$A$3),"WindowType",0)</f>
        <v>0</v>
      </c>
      <c r="X12" s="495">
        <f>IFERROR(VLOOKUP(T_ECM[[#This Row],[Measure Name*]],Picklists!$A$2:$B$6,2,FALSE),0)</f>
        <v>0</v>
      </c>
      <c r="Y12" s="495" t="str">
        <f>IFERROR(VLOOKUP(T_ECM[[#This Row],[Measure Name*]],Picklists!$A$1:$C$8,3,FALSE),"")</f>
        <v/>
      </c>
    </row>
    <row r="13" spans="1:25" ht="14.25" customHeight="1" x14ac:dyDescent="0.2">
      <c r="Q13" s="372">
        <f>SUBTOTAL(109,T_ECM[∆ BHL])</f>
        <v>0</v>
      </c>
      <c r="R13" s="372">
        <f>SUBTOTAL(109,T_ECM[∆ BCL])</f>
        <v>0</v>
      </c>
      <c r="S13" s="372">
        <f>SUBTOTAL(109,T_ECM[Cooling Savings kWh])</f>
        <v>0</v>
      </c>
      <c r="T13" s="634">
        <f>SUBTOTAL(109,T_ECM[Cooling Savings kW])</f>
        <v>0</v>
      </c>
      <c r="U13" s="635">
        <f>SUBTOTAL(109,T_ECM[Heating Savings MMBTU])</f>
        <v>0</v>
      </c>
      <c r="V13" s="495"/>
      <c r="W13" s="495"/>
      <c r="X13" s="496">
        <f>IFERROR(SUMPRODUCT(T_ECM[∆ BHL],T_ECM[EUL])/SUM(T_ECM[∆ BHL]),0)</f>
        <v>0</v>
      </c>
      <c r="Y13" s="495"/>
    </row>
    <row r="15" spans="1:25" ht="14.25" hidden="1" customHeight="1" x14ac:dyDescent="0.2">
      <c r="A15" s="638" t="s">
        <v>195</v>
      </c>
      <c r="B15" s="644">
        <v>1</v>
      </c>
    </row>
    <row r="16" spans="1:25" ht="14.25" hidden="1" customHeight="1" x14ac:dyDescent="0.2">
      <c r="A16" s="638" t="s">
        <v>196</v>
      </c>
      <c r="B16" s="644">
        <v>1</v>
      </c>
    </row>
  </sheetData>
  <sheetProtection insertRows="0"/>
  <conditionalFormatting sqref="D3:H12">
    <cfRule type="expression" dxfId="104" priority="11">
      <formula>OR($Y3="AS",$Y3="OW",$Y3="OC")</formula>
    </cfRule>
  </conditionalFormatting>
  <conditionalFormatting sqref="I3:N12">
    <cfRule type="expression" dxfId="103" priority="10">
      <formula>OR($Y3="AS",$Y3="WR",$Y3="WI")</formula>
    </cfRule>
  </conditionalFormatting>
  <conditionalFormatting sqref="O3:P12">
    <cfRule type="expression" dxfId="102" priority="9">
      <formula>OR($Y3="WI",$Y3="OW",$Y3="OC")</formula>
    </cfRule>
  </conditionalFormatting>
  <conditionalFormatting sqref="F3:F12">
    <cfRule type="expression" dxfId="101" priority="2">
      <formula>($F3&gt;$H3)</formula>
    </cfRule>
  </conditionalFormatting>
  <conditionalFormatting sqref="E3:E12">
    <cfRule type="expression" dxfId="100" priority="1">
      <formula>($F3&gt;$H3)</formula>
    </cfRule>
  </conditionalFormatting>
  <dataValidations count="9">
    <dataValidation type="list" allowBlank="1" showInputMessage="1" showErrorMessage="1" sqref="K3:L12" xr:uid="{69587588-FFC2-4569-B792-FCD4BF4E773F}">
      <formula1>INDIRECT($V3)</formula1>
    </dataValidation>
    <dataValidation type="list" allowBlank="1" showInputMessage="1" showErrorMessage="1" sqref="D3:D12" xr:uid="{6D63410F-A1CD-4350-999C-F79239E2E169}">
      <formula1>INDIRECT($W3)</formula1>
    </dataValidation>
    <dataValidation allowBlank="1" showInputMessage="1" showErrorMessage="1" promptTitle="Measure Dependent" prompt="For Window Projects, enter square foot per window. For all other measures, enter the measure square feet, with quantity as 1." sqref="C2" xr:uid="{78258590-CFE2-4484-A410-E945D8F89735}"/>
    <dataValidation allowBlank="1" showInputMessage="1" showErrorMessage="1" promptTitle="Optional, but preferred input" prompt="This value should be from existing conditions.  Applicable default code baseline is populated if this field is left empty." sqref="E2 O2" xr:uid="{5A8E62A7-A59A-4ECC-A47D-D8F1B3E7AF8C}"/>
    <dataValidation allowBlank="1" showInputMessage="1" showErrorMessage="1" prompt="Pull value from product cutsheet" sqref="F2" xr:uid="{CE7002A9-7194-4051-B162-1428F0022604}"/>
    <dataValidation allowBlank="1" showInputMessage="1" showErrorMessage="1" prompt="This will either be Continuous or Between Studs." sqref="I2" xr:uid="{F35E5A1F-6524-43A1-BD5E-46A02BB8A569}"/>
    <dataValidation allowBlank="1" showInputMessage="1" showErrorMessage="1" prompt="This will be either Continuous or Between Studs." sqref="J2" xr:uid="{4D0DB1E9-D121-4146-8E91-38C900B0E17D}"/>
    <dataValidation allowBlank="1" showInputMessage="1" showErrorMessage="1" prompt="Select closest value from picklist." sqref="K2:L2" xr:uid="{D7C411E5-1A78-4DC5-A9E3-CDECE91AF46C}"/>
    <dataValidation allowBlank="1" showInputMessage="1" showErrorMessage="1" prompt="This information is to be obtained from new sealant cutsheets." sqref="P2" xr:uid="{1CBA4516-9DEF-48F8-9581-C3D13212331E}"/>
  </dataValidations>
  <pageMargins left="0.7" right="0.7" top="0.75" bottom="0.75" header="0.3" footer="0.3"/>
  <pageSetup orientation="portrait" r:id="rId1"/>
  <headerFooter>
    <oddFooter>&amp;C_x000D_&amp;1#&amp;"Calibri"&amp;22&amp;K0073CF INTERNAL</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962C5CE3-BA49-4A03-BB67-39304DD1B490}">
          <x14:formula1>
            <xm:f>Picklists!$A$2:$A$6</xm:f>
          </x14:formula1>
          <xm:sqref>A3:A12</xm:sqref>
        </x14:dataValidation>
        <x14:dataValidation type="list" allowBlank="1" showInputMessage="1" showErrorMessage="1" xr:uid="{C2E604E7-934C-417C-A8C7-734155AD9593}">
          <x14:formula1>
            <xm:f>Picklists!$F$2:$F$3</xm:f>
          </x14:formula1>
          <xm:sqref>I3:J12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5CD4-59F4-402D-A760-5DBCFEE6576F}">
  <sheetPr codeName="Sheet13">
    <tabColor theme="8" tint="0.39997558519241921"/>
  </sheetPr>
  <dimension ref="A1:X9"/>
  <sheetViews>
    <sheetView topLeftCell="C1" zoomScale="55" zoomScaleNormal="55" workbookViewId="0">
      <selection activeCell="C16" sqref="C16"/>
    </sheetView>
  </sheetViews>
  <sheetFormatPr defaultColWidth="8.5703125" defaultRowHeight="14.25" x14ac:dyDescent="0.2"/>
  <cols>
    <col min="1" max="1" width="2.5703125" style="3" customWidth="1"/>
    <col min="2" max="2" width="24" style="3" customWidth="1"/>
    <col min="3" max="3" width="17.7109375" style="334" customWidth="1"/>
    <col min="4" max="4" width="19.7109375" style="334" customWidth="1"/>
    <col min="5" max="5" width="16.28515625" style="334" customWidth="1"/>
    <col min="6" max="6" width="13.85546875" style="536" customWidth="1"/>
    <col min="7" max="7" width="17.7109375" style="536" bestFit="1" customWidth="1"/>
    <col min="8" max="8" width="16" style="536" customWidth="1"/>
    <col min="9" max="10" width="15.5703125" style="536" customWidth="1"/>
    <col min="11" max="11" width="17.7109375" style="536" customWidth="1"/>
    <col min="12" max="12" width="18.28515625" style="334" customWidth="1"/>
    <col min="13" max="13" width="15.42578125" style="536" customWidth="1"/>
    <col min="14" max="14" width="18.28515625" style="536" customWidth="1"/>
    <col min="15" max="15" width="9.42578125" style="3" customWidth="1"/>
    <col min="16" max="16" width="14" style="3" hidden="1" customWidth="1"/>
    <col min="17" max="17" width="13.28515625" style="3" hidden="1" customWidth="1"/>
    <col min="18" max="18" width="15.5703125" style="3" hidden="1" customWidth="1"/>
    <col min="19" max="19" width="17.28515625" style="3" hidden="1" customWidth="1"/>
    <col min="20" max="20" width="21.28515625" style="3" hidden="1" customWidth="1"/>
    <col min="21" max="21" width="17.28515625" style="3" hidden="1" customWidth="1"/>
    <col min="22" max="22" width="4.7109375" style="3" hidden="1" customWidth="1"/>
    <col min="23" max="24" width="17.28515625" style="3" hidden="1" customWidth="1"/>
    <col min="25" max="28" width="8.5703125" style="3" customWidth="1"/>
    <col min="29" max="16384" width="8.5703125" style="3"/>
  </cols>
  <sheetData>
    <row r="1" spans="1:24" ht="15" thickBot="1" x14ac:dyDescent="0.25">
      <c r="A1" s="520"/>
      <c r="B1" s="43"/>
      <c r="C1" s="44"/>
      <c r="D1" s="44"/>
      <c r="E1" s="44"/>
      <c r="F1" s="45"/>
      <c r="G1" s="45"/>
      <c r="H1" s="45"/>
      <c r="I1" s="45"/>
      <c r="J1" s="45"/>
      <c r="K1" s="45"/>
      <c r="L1" s="44"/>
      <c r="M1" s="45"/>
      <c r="N1" s="45"/>
      <c r="O1" s="520"/>
      <c r="P1" s="520"/>
      <c r="Q1" s="520"/>
      <c r="R1" s="520"/>
      <c r="S1" s="520"/>
      <c r="T1" s="520"/>
      <c r="U1" s="520"/>
      <c r="V1" s="520"/>
      <c r="W1" s="520"/>
      <c r="X1" s="520"/>
    </row>
    <row r="2" spans="1:24" ht="18" customHeight="1" thickBot="1" x14ac:dyDescent="0.3">
      <c r="A2" s="520"/>
      <c r="B2" s="869" t="s">
        <v>197</v>
      </c>
      <c r="C2" s="870"/>
      <c r="D2" s="870"/>
      <c r="E2" s="870"/>
      <c r="F2" s="870"/>
      <c r="G2" s="870"/>
      <c r="H2" s="870"/>
      <c r="I2" s="870"/>
      <c r="J2" s="870"/>
      <c r="K2" s="870"/>
      <c r="L2" s="870"/>
      <c r="M2" s="870"/>
      <c r="N2" s="871"/>
      <c r="O2" s="520"/>
      <c r="P2" s="520"/>
      <c r="Q2" s="520"/>
      <c r="R2" s="520"/>
      <c r="S2" s="520"/>
      <c r="T2" s="520"/>
      <c r="U2" s="520"/>
      <c r="V2" s="520"/>
      <c r="W2" s="520"/>
      <c r="X2" s="520"/>
    </row>
    <row r="3" spans="1:24" ht="57.6" customHeight="1" x14ac:dyDescent="0.2">
      <c r="A3" s="520"/>
      <c r="B3" s="580" t="s">
        <v>198</v>
      </c>
      <c r="C3" s="581" t="s">
        <v>199</v>
      </c>
      <c r="D3" s="581" t="s">
        <v>200</v>
      </c>
      <c r="E3" s="582" t="s">
        <v>201</v>
      </c>
      <c r="F3" s="582" t="s">
        <v>202</v>
      </c>
      <c r="G3" s="582" t="s">
        <v>203</v>
      </c>
      <c r="H3" s="582" t="s">
        <v>204</v>
      </c>
      <c r="I3" s="582" t="s">
        <v>205</v>
      </c>
      <c r="J3" s="582" t="s">
        <v>206</v>
      </c>
      <c r="K3" s="582" t="s">
        <v>207</v>
      </c>
      <c r="L3" s="582" t="s">
        <v>208</v>
      </c>
      <c r="M3" s="582" t="s">
        <v>209</v>
      </c>
      <c r="N3" s="583" t="s">
        <v>210</v>
      </c>
      <c r="O3" s="520"/>
      <c r="P3" s="533" t="s">
        <v>211</v>
      </c>
      <c r="Q3" s="533" t="s">
        <v>212</v>
      </c>
      <c r="R3" s="533" t="s">
        <v>213</v>
      </c>
      <c r="S3" s="533" t="s">
        <v>214</v>
      </c>
      <c r="T3" s="533" t="s">
        <v>215</v>
      </c>
      <c r="U3" s="533" t="s">
        <v>216</v>
      </c>
      <c r="V3" s="520"/>
      <c r="W3" s="533" t="s">
        <v>217</v>
      </c>
      <c r="X3" s="533" t="s">
        <v>218</v>
      </c>
    </row>
    <row r="4" spans="1:24" s="395" customFormat="1" ht="33.75" customHeight="1" x14ac:dyDescent="0.25">
      <c r="A4" s="393"/>
      <c r="B4" s="588" t="s">
        <v>219</v>
      </c>
      <c r="C4" s="645"/>
      <c r="D4" s="645"/>
      <c r="E4" s="584">
        <f>C4+D4</f>
        <v>0</v>
      </c>
      <c r="F4" s="585">
        <f>(G4*3412.13/10^6)+(I4*0.1)+(J4*1.19)</f>
        <v>0</v>
      </c>
      <c r="G4" s="586">
        <f>IFERROR(SUMIF(T_ECM[Measure Name*],Picklists!$A2,T_ECM[Cooling Savings kWh]),0)</f>
        <v>0</v>
      </c>
      <c r="H4" s="646">
        <f>IFERROR(SUMIF(T_ECM[Measure Name*],Picklists!$A2,T_ECM[Cooling Savings kW]),0)</f>
        <v>0</v>
      </c>
      <c r="I4" s="586">
        <f>IFERROR(IF(Inputs!$C$39="Natural Gas",SUMIF(T_ECM[Measure Name*],Picklists!$A2,T_ECM[Heating Savings MMBTU])*10,0),0)</f>
        <v>0</v>
      </c>
      <c r="J4" s="586">
        <f>IFERROR(IF(Inputs!$C$39="District Steam",SUMIF(T_ECM[Measure Name*],Picklists!$A2,T_ECM[Heating Savings MMBTU])/1.19,0),0)</f>
        <v>0</v>
      </c>
      <c r="K4" s="586">
        <f>IFERROR((G4*3412/10^3*0.08469+(I4)*100*0.05311)/1000,"")</f>
        <v>0</v>
      </c>
      <c r="L4" s="586">
        <f>IFERROR(VLOOKUP(B4,Picklists!$A$2:$B$6,2,FALSE),0)</f>
        <v>20</v>
      </c>
      <c r="M4" s="587">
        <f>IFERROR(F4*L4,"")</f>
        <v>0</v>
      </c>
      <c r="N4" s="589">
        <f>MIN((G4*0.68)+(I4*20)+(J4*120),0.5*E4)</f>
        <v>0</v>
      </c>
      <c r="O4" s="542"/>
      <c r="P4" s="534" t="e">
        <f>'Envelope Calcs'!I14</f>
        <v>#VALUE!</v>
      </c>
      <c r="Q4" s="534" t="e">
        <f>+'Envelope Calcs'!I15</f>
        <v>#N/A</v>
      </c>
      <c r="R4" s="534" t="e">
        <f>P4*341.2/10^6+Q4</f>
        <v>#VALUE!</v>
      </c>
      <c r="S4" s="535" t="str">
        <f>IFERROR('Envelope Calcs'!G20/'Envelope Calcs'!D20,"")</f>
        <v/>
      </c>
      <c r="T4" s="535">
        <f>IFERROR('Envelope Calcs'!K19,"")</f>
        <v>0</v>
      </c>
      <c r="U4" s="535">
        <f>IFERROR('Envelope Calcs'!L19,"")</f>
        <v>0</v>
      </c>
      <c r="V4" s="393"/>
      <c r="W4" s="535">
        <f>'Envelope Calcs'!G14</f>
        <v>0</v>
      </c>
      <c r="X4" s="535">
        <f>'Envelope Calcs'!G15</f>
        <v>0</v>
      </c>
    </row>
    <row r="5" spans="1:24" s="395" customFormat="1" ht="33.75" customHeight="1" x14ac:dyDescent="0.25">
      <c r="A5" s="393"/>
      <c r="B5" s="588" t="s">
        <v>220</v>
      </c>
      <c r="C5" s="645"/>
      <c r="D5" s="645"/>
      <c r="E5" s="584">
        <f t="shared" ref="E5:E8" si="0">C5+D5</f>
        <v>0</v>
      </c>
      <c r="F5" s="647">
        <f t="shared" ref="F5:F8" si="1">(G5*3412.13/10^6)+(I5*0.1)+(J5*1.19)</f>
        <v>0</v>
      </c>
      <c r="G5" s="586">
        <f>IFERROR(SUMIF(T_ECM[Measure Name*],Picklists!$A3,T_ECM[Cooling Savings kWh]),0)</f>
        <v>0</v>
      </c>
      <c r="H5" s="646">
        <f>IFERROR(SUMIF(T_ECM[Measure Name*],Picklists!$A3,T_ECM[Cooling Savings kW]),0)</f>
        <v>0</v>
      </c>
      <c r="I5" s="586">
        <f>IFERROR(IF(Inputs!$C$39="Natural Gas",SUMIF(T_ECM[Measure Name*],Picklists!$A3,T_ECM[Heating Savings MMBTU])*10,0),0)</f>
        <v>0</v>
      </c>
      <c r="J5" s="586">
        <f>IFERROR(IF(Inputs!$C$39="District Steam",SUMIF(T_ECM[Measure Name*],Picklists!$A3,T_ECM[Heating Savings MMBTU])/1.19,0),0)</f>
        <v>0</v>
      </c>
      <c r="K5" s="586">
        <f t="shared" ref="K5:K8" si="2">IFERROR((G5*3412/10^3*0.08469+(I5)*100*0.05311)/1000,"")</f>
        <v>0</v>
      </c>
      <c r="L5" s="586">
        <f>IFERROR(VLOOKUP(B5,Picklists!$A$2:$B$6,2,FALSE),0)</f>
        <v>20</v>
      </c>
      <c r="M5" s="587">
        <f t="shared" ref="M5:M8" si="3">IFERROR(F5*L5,"")</f>
        <v>0</v>
      </c>
      <c r="N5" s="589">
        <f t="shared" ref="N5:N8" si="4">MIN((G5*0.68)+(I5*20)+(J5*120),0.5*E5)</f>
        <v>0</v>
      </c>
      <c r="O5" s="542"/>
      <c r="P5" s="578"/>
      <c r="Q5" s="578"/>
      <c r="R5" s="578"/>
      <c r="S5" s="579"/>
      <c r="T5" s="579"/>
      <c r="U5" s="579"/>
      <c r="V5" s="393"/>
      <c r="W5" s="579"/>
      <c r="X5" s="579"/>
    </row>
    <row r="6" spans="1:24" s="395" customFormat="1" ht="33.75" customHeight="1" x14ac:dyDescent="0.25">
      <c r="A6" s="393"/>
      <c r="B6" s="588" t="s">
        <v>221</v>
      </c>
      <c r="C6" s="645"/>
      <c r="D6" s="645"/>
      <c r="E6" s="584">
        <f t="shared" si="0"/>
        <v>0</v>
      </c>
      <c r="F6" s="585">
        <f t="shared" si="1"/>
        <v>0</v>
      </c>
      <c r="G6" s="586">
        <f>IFERROR(SUMIF(T_ECM[Measure Name*],Picklists!$A4,T_ECM[Cooling Savings kWh]),0)</f>
        <v>0</v>
      </c>
      <c r="H6" s="646">
        <f>IFERROR(SUMIF(T_ECM[Measure Name*],Picklists!$A4,T_ECM[Cooling Savings kW]),0)</f>
        <v>0</v>
      </c>
      <c r="I6" s="586">
        <f>IFERROR(IF(Inputs!$C$39="Natural Gas",SUMIF(T_ECM[Measure Name*],Picklists!$A4,T_ECM[Heating Savings MMBTU])*10,0),0)</f>
        <v>0</v>
      </c>
      <c r="J6" s="586">
        <f>IFERROR(IF(Inputs!$C$39="District Steam",SUMIF(T_ECM[Measure Name*],Picklists!$A4,T_ECM[Heating Savings MMBTU])/1.19,0),0)</f>
        <v>0</v>
      </c>
      <c r="K6" s="586">
        <f t="shared" si="2"/>
        <v>0</v>
      </c>
      <c r="L6" s="586">
        <f>IFERROR(VLOOKUP(B6,Picklists!$A$2:$B$6,2,FALSE),0)</f>
        <v>5</v>
      </c>
      <c r="M6" s="587">
        <f t="shared" si="3"/>
        <v>0</v>
      </c>
      <c r="N6" s="589">
        <f t="shared" si="4"/>
        <v>0</v>
      </c>
      <c r="O6" s="542"/>
      <c r="P6" s="578"/>
      <c r="Q6" s="578"/>
      <c r="R6" s="578"/>
      <c r="S6" s="579"/>
      <c r="T6" s="579"/>
      <c r="U6" s="579"/>
      <c r="V6" s="393"/>
      <c r="W6" s="579"/>
      <c r="X6" s="579"/>
    </row>
    <row r="7" spans="1:24" s="395" customFormat="1" ht="33.75" customHeight="1" x14ac:dyDescent="0.25">
      <c r="A7" s="393"/>
      <c r="B7" s="588" t="s">
        <v>222</v>
      </c>
      <c r="C7" s="645"/>
      <c r="D7" s="645"/>
      <c r="E7" s="584">
        <f t="shared" si="0"/>
        <v>0</v>
      </c>
      <c r="F7" s="585">
        <f t="shared" si="1"/>
        <v>0</v>
      </c>
      <c r="G7" s="586">
        <f>IFERROR(SUMIF(T_ECM[Measure Name*],Picklists!$A5,T_ECM[Cooling Savings kWh]),0)</f>
        <v>0</v>
      </c>
      <c r="H7" s="646">
        <f>IFERROR(SUMIF(T_ECM[Measure Name*],Picklists!$A5,T_ECM[Cooling Savings kW]),0)</f>
        <v>0</v>
      </c>
      <c r="I7" s="586">
        <f>IFERROR(IF(Inputs!$C$39="Natural Gas",SUMIF(T_ECM[Measure Name*],Picklists!$A5,T_ECM[Heating Savings MMBTU])*10,0),0)</f>
        <v>0</v>
      </c>
      <c r="J7" s="586">
        <f>IFERROR(IF(Inputs!$C$39="District Steam",SUMIF(T_ECM[Measure Name*],Picklists!$A5,T_ECM[Heating Savings MMBTU])/1.19,0),0)</f>
        <v>0</v>
      </c>
      <c r="K7" s="586">
        <f t="shared" si="2"/>
        <v>0</v>
      </c>
      <c r="L7" s="586">
        <f>IFERROR(VLOOKUP(B7,Picklists!$A$2:$B$6,2,FALSE),0)</f>
        <v>30</v>
      </c>
      <c r="M7" s="587">
        <f t="shared" si="3"/>
        <v>0</v>
      </c>
      <c r="N7" s="589">
        <f t="shared" si="4"/>
        <v>0</v>
      </c>
      <c r="O7" s="542"/>
      <c r="P7" s="578"/>
      <c r="Q7" s="578"/>
      <c r="R7" s="578"/>
      <c r="S7" s="579"/>
      <c r="T7" s="579"/>
      <c r="U7" s="579"/>
      <c r="V7" s="393"/>
      <c r="W7" s="579"/>
      <c r="X7" s="579"/>
    </row>
    <row r="8" spans="1:24" s="395" customFormat="1" ht="33.75" customHeight="1" x14ac:dyDescent="0.25">
      <c r="A8" s="393"/>
      <c r="B8" s="588" t="s">
        <v>223</v>
      </c>
      <c r="C8" s="645"/>
      <c r="D8" s="645"/>
      <c r="E8" s="584">
        <f t="shared" si="0"/>
        <v>0</v>
      </c>
      <c r="F8" s="585">
        <f t="shared" si="1"/>
        <v>0</v>
      </c>
      <c r="G8" s="586">
        <f>IFERROR(SUMIF(T_ECM[Measure Name*],Picklists!$A6,T_ECM[Cooling Savings kWh]),0)</f>
        <v>0</v>
      </c>
      <c r="H8" s="646">
        <f>IFERROR(SUMIF(T_ECM[Measure Name*],Picklists!$A6,T_ECM[Cooling Savings kW]),0)</f>
        <v>0</v>
      </c>
      <c r="I8" s="586">
        <f>IFERROR(IF(Inputs!$C$39="Natural Gas",SUMIF(T_ECM[Measure Name*],Picklists!$A6,T_ECM[Heating Savings MMBTU])*10,0),0)</f>
        <v>0</v>
      </c>
      <c r="J8" s="586">
        <f>IFERROR(IF(Inputs!$C$39="District Steam",SUMIF(T_ECM[Measure Name*],Picklists!$A6,T_ECM[Heating Savings MMBTU])/1.19,0),0)</f>
        <v>0</v>
      </c>
      <c r="K8" s="586">
        <f t="shared" si="2"/>
        <v>0</v>
      </c>
      <c r="L8" s="586">
        <f>IFERROR(VLOOKUP(B8,Picklists!$A$2:$B$6,2,FALSE),0)</f>
        <v>30</v>
      </c>
      <c r="M8" s="587">
        <f t="shared" si="3"/>
        <v>0</v>
      </c>
      <c r="N8" s="589">
        <f t="shared" si="4"/>
        <v>0</v>
      </c>
      <c r="O8" s="542"/>
      <c r="P8" s="578"/>
      <c r="Q8" s="578"/>
      <c r="R8" s="578"/>
      <c r="S8" s="579"/>
      <c r="T8" s="579"/>
      <c r="U8" s="579"/>
      <c r="V8" s="393"/>
      <c r="W8" s="579"/>
      <c r="X8" s="579"/>
    </row>
    <row r="9" spans="1:24" s="395" customFormat="1" ht="33.75" customHeight="1" thickBot="1" x14ac:dyDescent="0.3">
      <c r="A9" s="393"/>
      <c r="B9" s="590" t="s">
        <v>132</v>
      </c>
      <c r="C9" s="592">
        <f>SUM(C4:C8)</f>
        <v>0</v>
      </c>
      <c r="D9" s="592">
        <f>SUM(D4:D8)</f>
        <v>0</v>
      </c>
      <c r="E9" s="592">
        <f t="shared" ref="E9:N9" si="5">SUM(E4:E8)</f>
        <v>0</v>
      </c>
      <c r="F9" s="632">
        <f t="shared" si="5"/>
        <v>0</v>
      </c>
      <c r="G9" s="591">
        <f t="shared" si="5"/>
        <v>0</v>
      </c>
      <c r="H9" s="632">
        <f t="shared" si="5"/>
        <v>0</v>
      </c>
      <c r="I9" s="632">
        <f t="shared" si="5"/>
        <v>0</v>
      </c>
      <c r="J9" s="632">
        <f t="shared" si="5"/>
        <v>0</v>
      </c>
      <c r="K9" s="632">
        <f t="shared" si="5"/>
        <v>0</v>
      </c>
      <c r="L9" s="591">
        <f>'Measure Inputs'!X13</f>
        <v>0</v>
      </c>
      <c r="M9" s="632">
        <f t="shared" si="5"/>
        <v>0</v>
      </c>
      <c r="N9" s="633">
        <f t="shared" si="5"/>
        <v>0</v>
      </c>
      <c r="O9" s="542"/>
      <c r="P9" s="578"/>
      <c r="Q9" s="578"/>
      <c r="R9" s="578"/>
      <c r="S9" s="579"/>
      <c r="T9" s="579"/>
      <c r="U9" s="579"/>
      <c r="V9" s="393"/>
      <c r="W9" s="579"/>
      <c r="X9" s="579"/>
    </row>
  </sheetData>
  <sheetProtection algorithmName="SHA-512" hashValue="oTHd4Wtat/UpEgRXMfraFVdbDIvbADmDaDPZfrh+7VxMo9sW1r5MJ824kcAxoowcd9L+Es49blU1leHvHqrVHg==" saltValue="vI2Gt2UadTDtS7WDOxxydg==" spinCount="100000" sheet="1" objects="1" scenarios="1"/>
  <mergeCells count="1">
    <mergeCell ref="B2:N2"/>
  </mergeCells>
  <pageMargins left="0.7" right="0.7" top="0.75" bottom="0.75" header="0.3" footer="0.3"/>
  <pageSetup orientation="portrait" r:id="rId1"/>
  <headerFooter>
    <oddFooter>&amp;C_x000D_&amp;1#&amp;"Calibri"&amp;22&amp;K0073CF INTERNAL</oddFooter>
  </headerFooter>
  <ignoredErrors>
    <ignoredError sqref="L9" formula="1"/>
  </ignoredErrors>
  <extLst>
    <ext xmlns:x14="http://schemas.microsoft.com/office/spreadsheetml/2009/9/main" uri="{78C0D931-6437-407d-A8EE-F0AAD7539E65}">
      <x14:conditionalFormattings>
        <x14:conditionalFormatting xmlns:xm="http://schemas.microsoft.com/office/excel/2006/main">
          <x14:cfRule type="expression" priority="5" id="{E6658FB0-BE41-4119-AD41-1FC918C8FB66}">
            <xm:f>COUNTIF('Measure Inputs'!$A$3:$A$12,Picklists!$A$3)=0</xm:f>
            <x14:dxf>
              <font>
                <color theme="0"/>
              </font>
              <fill>
                <patternFill patternType="solid">
                  <bgColor theme="0"/>
                </patternFill>
              </fill>
            </x14:dxf>
          </x14:cfRule>
          <xm:sqref>B5:N5</xm:sqref>
        </x14:conditionalFormatting>
        <x14:conditionalFormatting xmlns:xm="http://schemas.microsoft.com/office/excel/2006/main">
          <x14:cfRule type="expression" priority="4" id="{D2C91B40-83B7-45D9-A09E-112B3C7E199D}">
            <xm:f>COUNTIF('Measure Inputs'!$A$3:$A$12,Picklists!$A$4)=0</xm:f>
            <x14:dxf>
              <font>
                <color theme="0"/>
              </font>
              <fill>
                <patternFill patternType="solid">
                  <bgColor theme="0"/>
                </patternFill>
              </fill>
            </x14:dxf>
          </x14:cfRule>
          <xm:sqref>B6:N6</xm:sqref>
        </x14:conditionalFormatting>
        <x14:conditionalFormatting xmlns:xm="http://schemas.microsoft.com/office/excel/2006/main">
          <x14:cfRule type="expression" priority="3" id="{EB30D89C-371D-4A13-B161-FC776BDE594D}">
            <xm:f>COUNTIF('Measure Inputs'!$A$3:$A$12,Picklists!$A$5)=0</xm:f>
            <x14:dxf>
              <font>
                <color theme="0"/>
              </font>
              <fill>
                <patternFill>
                  <bgColor theme="0"/>
                </patternFill>
              </fill>
            </x14:dxf>
          </x14:cfRule>
          <xm:sqref>B7:N7</xm:sqref>
        </x14:conditionalFormatting>
        <x14:conditionalFormatting xmlns:xm="http://schemas.microsoft.com/office/excel/2006/main">
          <x14:cfRule type="expression" priority="2" id="{E8E1FD77-9F36-4FEE-82A8-F8C521F26A60}">
            <xm:f>COUNTIF('Measure Inputs'!$A$3:$A$12,Picklists!$A$6)=0</xm:f>
            <x14:dxf>
              <font>
                <color theme="0"/>
              </font>
              <fill>
                <patternFill>
                  <bgColor theme="0"/>
                </patternFill>
              </fill>
            </x14:dxf>
          </x14:cfRule>
          <xm:sqref>B8:N8</xm:sqref>
        </x14:conditionalFormatting>
        <x14:conditionalFormatting xmlns:xm="http://schemas.microsoft.com/office/excel/2006/main">
          <x14:cfRule type="expression" priority="1" id="{87B1E279-9147-46F0-B97A-D373B433843E}">
            <xm:f>COUNTIF('Measure Inputs'!$A$3:$A$12,Picklists!$A$2)=0</xm:f>
            <x14:dxf>
              <font>
                <color theme="0"/>
              </font>
              <fill>
                <patternFill patternType="solid">
                  <bgColor theme="0"/>
                </patternFill>
              </fill>
            </x14:dxf>
          </x14:cfRule>
          <xm:sqref>B4:N4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4CB02-9B15-4A67-AC2D-9ECA4992E566}">
  <sheetPr codeName="Sheet7"/>
  <dimension ref="A1:Y34"/>
  <sheetViews>
    <sheetView workbookViewId="0">
      <selection activeCell="Q5" sqref="Q5"/>
    </sheetView>
  </sheetViews>
  <sheetFormatPr defaultColWidth="9.140625" defaultRowHeight="14.25" x14ac:dyDescent="0.2"/>
  <cols>
    <col min="1" max="1" width="10.42578125" style="3" bestFit="1" customWidth="1"/>
    <col min="2" max="2" width="12.7109375" style="3" hidden="1" customWidth="1"/>
    <col min="3" max="3" width="11.5703125" style="3" bestFit="1" customWidth="1"/>
    <col min="4" max="4" width="11.85546875" style="3" bestFit="1" customWidth="1"/>
    <col min="5" max="5" width="11.5703125" style="3" customWidth="1"/>
    <col min="6" max="6" width="12.7109375" style="3" hidden="1" customWidth="1"/>
    <col min="7" max="7" width="11.5703125" style="3" bestFit="1" customWidth="1"/>
    <col min="8" max="8" width="11.7109375" style="3" bestFit="1" customWidth="1"/>
    <col min="9" max="9" width="10.5703125" style="3" bestFit="1" customWidth="1"/>
    <col min="10" max="10" width="13" style="3" hidden="1" customWidth="1"/>
    <col min="11" max="11" width="12" style="3" customWidth="1"/>
    <col min="12" max="12" width="11.42578125" style="3" customWidth="1"/>
    <col min="13" max="13" width="10.42578125" style="3" customWidth="1"/>
    <col min="14" max="14" width="13" style="3" hidden="1" customWidth="1"/>
    <col min="15" max="15" width="10.42578125" style="3" bestFit="1" customWidth="1"/>
    <col min="16" max="16" width="11.7109375" style="3" bestFit="1" customWidth="1"/>
    <col min="17" max="17" width="10.5703125" style="3" bestFit="1" customWidth="1"/>
    <col min="18" max="18" width="13" style="3" hidden="1" customWidth="1"/>
    <col min="19" max="19" width="11.5703125" style="3" bestFit="1" customWidth="1"/>
    <col min="20" max="20" width="10.5703125" style="3" bestFit="1" customWidth="1"/>
    <col min="21" max="21" width="9.5703125" style="3" bestFit="1" customWidth="1"/>
    <col min="22" max="22" width="13" style="3" hidden="1" customWidth="1"/>
    <col min="23" max="23" width="11.5703125" style="3" bestFit="1" customWidth="1"/>
    <col min="24" max="25" width="10.42578125" style="3" bestFit="1" customWidth="1"/>
    <col min="26" max="16384" width="9.140625" style="3"/>
  </cols>
  <sheetData>
    <row r="1" spans="1:25" ht="15.75" thickBot="1" x14ac:dyDescent="0.3">
      <c r="A1" s="593">
        <v>2004</v>
      </c>
      <c r="B1" s="875" t="s">
        <v>224</v>
      </c>
      <c r="C1" s="876"/>
      <c r="D1" s="876"/>
      <c r="E1" s="877"/>
      <c r="F1" s="878" t="s">
        <v>225</v>
      </c>
      <c r="G1" s="876"/>
      <c r="H1" s="876"/>
      <c r="I1" s="877"/>
      <c r="J1" s="873" t="s">
        <v>226</v>
      </c>
      <c r="K1" s="873"/>
      <c r="L1" s="873"/>
      <c r="M1" s="874"/>
      <c r="N1" s="878" t="s">
        <v>227</v>
      </c>
      <c r="O1" s="876"/>
      <c r="P1" s="876"/>
      <c r="Q1" s="877"/>
      <c r="R1" s="878" t="s">
        <v>228</v>
      </c>
      <c r="S1" s="876"/>
      <c r="T1" s="876"/>
      <c r="U1" s="879"/>
      <c r="V1" s="872" t="s">
        <v>229</v>
      </c>
      <c r="W1" s="873"/>
      <c r="X1" s="873"/>
      <c r="Y1" s="874"/>
    </row>
    <row r="2" spans="1:25" ht="15" thickBot="1" x14ac:dyDescent="0.25">
      <c r="A2" s="593" t="s">
        <v>230</v>
      </c>
      <c r="B2" s="594" t="s">
        <v>231</v>
      </c>
      <c r="C2" s="595" t="s">
        <v>232</v>
      </c>
      <c r="D2" s="595" t="s">
        <v>233</v>
      </c>
      <c r="E2" s="596" t="s">
        <v>234</v>
      </c>
      <c r="F2" s="597" t="s">
        <v>231</v>
      </c>
      <c r="G2" s="595" t="s">
        <v>232</v>
      </c>
      <c r="H2" s="595" t="s">
        <v>233</v>
      </c>
      <c r="I2" s="596" t="s">
        <v>234</v>
      </c>
      <c r="J2" s="597" t="s">
        <v>231</v>
      </c>
      <c r="K2" s="595" t="s">
        <v>232</v>
      </c>
      <c r="L2" s="595" t="s">
        <v>233</v>
      </c>
      <c r="M2" s="596" t="s">
        <v>234</v>
      </c>
      <c r="N2" s="597" t="s">
        <v>231</v>
      </c>
      <c r="O2" s="595" t="s">
        <v>232</v>
      </c>
      <c r="P2" s="595" t="s">
        <v>233</v>
      </c>
      <c r="Q2" s="596" t="s">
        <v>234</v>
      </c>
      <c r="R2" s="597" t="s">
        <v>231</v>
      </c>
      <c r="S2" s="595" t="s">
        <v>232</v>
      </c>
      <c r="T2" s="595" t="s">
        <v>233</v>
      </c>
      <c r="U2" s="598" t="s">
        <v>234</v>
      </c>
      <c r="V2" s="599" t="s">
        <v>231</v>
      </c>
      <c r="W2" s="600" t="s">
        <v>232</v>
      </c>
      <c r="X2" s="600" t="s">
        <v>233</v>
      </c>
      <c r="Y2" s="601" t="s">
        <v>234</v>
      </c>
    </row>
    <row r="3" spans="1:25" hidden="1" x14ac:dyDescent="0.2">
      <c r="A3" s="593"/>
      <c r="B3" s="602">
        <v>148.01</v>
      </c>
      <c r="C3" s="603">
        <v>316.82</v>
      </c>
      <c r="D3" s="603">
        <v>1757.11</v>
      </c>
      <c r="E3" s="604">
        <f>D3+C3</f>
        <v>2073.9299999999998</v>
      </c>
      <c r="F3" s="605">
        <v>67.69</v>
      </c>
      <c r="G3" s="603">
        <v>186.21</v>
      </c>
      <c r="H3" s="603">
        <v>712.36</v>
      </c>
      <c r="I3" s="604">
        <f>H3+G3</f>
        <v>898.57</v>
      </c>
      <c r="J3" s="605">
        <v>15.49</v>
      </c>
      <c r="K3" s="603">
        <v>33.549999999999997</v>
      </c>
      <c r="L3" s="603">
        <v>328.74</v>
      </c>
      <c r="M3" s="604">
        <f>L3+K3</f>
        <v>362.29</v>
      </c>
      <c r="N3" s="605">
        <v>7.55</v>
      </c>
      <c r="O3" s="603">
        <v>16.059999999999999</v>
      </c>
      <c r="P3" s="603">
        <v>100.83</v>
      </c>
      <c r="Q3" s="604">
        <f>P3+O3</f>
        <v>116.89</v>
      </c>
      <c r="R3" s="605">
        <v>28.34</v>
      </c>
      <c r="S3" s="603">
        <v>79.989999999999995</v>
      </c>
      <c r="T3" s="603">
        <v>495.71</v>
      </c>
      <c r="U3" s="606">
        <f>T3+S3</f>
        <v>575.69999999999993</v>
      </c>
      <c r="V3" s="607">
        <v>108.63</v>
      </c>
      <c r="W3" s="608">
        <v>356.72</v>
      </c>
      <c r="X3" s="608">
        <v>875.56</v>
      </c>
      <c r="Y3" s="609">
        <f>X3+W3</f>
        <v>1232.28</v>
      </c>
    </row>
    <row r="4" spans="1:25" x14ac:dyDescent="0.2">
      <c r="A4" s="593" t="s">
        <v>235</v>
      </c>
      <c r="B4" s="610">
        <f>B3*277.78</f>
        <v>41114.217799999991</v>
      </c>
      <c r="C4" s="611">
        <f>C3*277.78</f>
        <v>88006.25959999999</v>
      </c>
      <c r="D4" s="611">
        <f>D3*277.78*3412.13/10^5</f>
        <v>16654.265856116537</v>
      </c>
      <c r="E4" s="612">
        <f>E3*277.78*3412.13/10^6</f>
        <v>1965.7153841806019</v>
      </c>
      <c r="F4" s="613">
        <f>F3*277.78</f>
        <v>18802.928199999998</v>
      </c>
      <c r="G4" s="611">
        <f>G3*277.78</f>
        <v>51725.413799999995</v>
      </c>
      <c r="H4" s="611">
        <f>H3*277.78*3412.13/10^5</f>
        <v>6751.9010336650399</v>
      </c>
      <c r="I4" s="612">
        <f>I3*277.78*3412.13/10^6</f>
        <v>851.68393955589795</v>
      </c>
      <c r="J4" s="613">
        <f>J3*277.78</f>
        <v>4302.8121999999994</v>
      </c>
      <c r="K4" s="611">
        <f>K3*277.78</f>
        <v>9319.5189999999984</v>
      </c>
      <c r="L4" s="611">
        <f>L3*277.78*3412.13/10^5</f>
        <v>3115.8683050803597</v>
      </c>
      <c r="M4" s="612">
        <f>M3*277.78*3412.13/10^6</f>
        <v>343.38624087350598</v>
      </c>
      <c r="N4" s="613">
        <f>N3*277.78</f>
        <v>2097.2389999999996</v>
      </c>
      <c r="O4" s="611">
        <f>O3*277.78</f>
        <v>4461.1467999999995</v>
      </c>
      <c r="P4" s="611">
        <f>P3*277.78*3412.13/10^5</f>
        <v>955.68838961261997</v>
      </c>
      <c r="Q4" s="612">
        <f>Q3*277.78*3412.13/10^6</f>
        <v>110.790851791946</v>
      </c>
      <c r="R4" s="613">
        <f>R3*277.78</f>
        <v>7872.2851999999993</v>
      </c>
      <c r="S4" s="611">
        <f>S3*277.78</f>
        <v>22219.622199999998</v>
      </c>
      <c r="T4" s="611">
        <f>T3*277.78*3412.13/10^5</f>
        <v>4698.4458158769403</v>
      </c>
      <c r="U4" s="614">
        <f>U3*277.78*3412.13/10^6</f>
        <v>545.66082108497994</v>
      </c>
      <c r="V4" s="610">
        <f>V3*277.78</f>
        <v>30175.241399999995</v>
      </c>
      <c r="W4" s="611">
        <f>W3*277.78</f>
        <v>99089.681599999996</v>
      </c>
      <c r="X4" s="611">
        <f>X3*277.78*3412.13/10^5</f>
        <v>8298.7456749898392</v>
      </c>
      <c r="Y4" s="612">
        <f>Y3*277.78*3412.13/10^6</f>
        <v>1167.9814427767919</v>
      </c>
    </row>
    <row r="5" spans="1:25" ht="15.75" customHeight="1" thickBot="1" x14ac:dyDescent="0.25">
      <c r="A5" s="593" t="s">
        <v>236</v>
      </c>
      <c r="B5" s="615">
        <v>73399.7</v>
      </c>
      <c r="C5" s="615">
        <v>73399.7</v>
      </c>
      <c r="D5" s="616">
        <v>23827.3</v>
      </c>
      <c r="E5" s="617">
        <v>2633.2</v>
      </c>
      <c r="F5" s="618">
        <v>13795</v>
      </c>
      <c r="G5" s="618">
        <v>13796</v>
      </c>
      <c r="H5" s="616">
        <v>5299.3</v>
      </c>
      <c r="I5" s="617">
        <v>429.4</v>
      </c>
      <c r="J5" s="618">
        <v>5771.1</v>
      </c>
      <c r="K5" s="618">
        <v>5772.1</v>
      </c>
      <c r="L5" s="619">
        <v>3513</v>
      </c>
      <c r="M5" s="617">
        <v>371</v>
      </c>
      <c r="N5" s="618">
        <v>2040.2</v>
      </c>
      <c r="O5" s="618">
        <v>2041.2</v>
      </c>
      <c r="P5" s="616">
        <v>1403</v>
      </c>
      <c r="Q5" s="617">
        <v>147.30000000000001</v>
      </c>
      <c r="R5" s="618">
        <v>7846.3</v>
      </c>
      <c r="S5" s="618">
        <v>7847.3</v>
      </c>
      <c r="T5" s="616">
        <v>5198.8</v>
      </c>
      <c r="U5" s="619">
        <v>546.70000000000005</v>
      </c>
      <c r="V5" s="620">
        <v>12472.2</v>
      </c>
      <c r="W5" s="621">
        <v>12472.2</v>
      </c>
      <c r="X5" s="621">
        <v>8547.7000000000007</v>
      </c>
      <c r="Y5" s="622">
        <v>897.3</v>
      </c>
    </row>
    <row r="6" spans="1:25" x14ac:dyDescent="0.2">
      <c r="B6" s="623">
        <f>IFERROR(B4/B5,0)</f>
        <v>0.56014149649112999</v>
      </c>
      <c r="C6" s="623">
        <f t="shared" ref="C6:Y6" si="0">IFERROR(C4/C5,0)</f>
        <v>1.1990002629438539</v>
      </c>
      <c r="D6" s="623">
        <f t="shared" si="0"/>
        <v>0.69895732441848379</v>
      </c>
      <c r="E6" s="623">
        <f t="shared" si="0"/>
        <v>0.74651199459995521</v>
      </c>
      <c r="F6" s="623">
        <f t="shared" si="0"/>
        <v>1.3630248785791952</v>
      </c>
      <c r="G6" s="623">
        <f t="shared" si="0"/>
        <v>3.7493051464192515</v>
      </c>
      <c r="H6" s="623">
        <f t="shared" si="0"/>
        <v>1.2741118701838055</v>
      </c>
      <c r="I6" s="623">
        <f t="shared" si="0"/>
        <v>1.9834278983602656</v>
      </c>
      <c r="J6" s="623">
        <f t="shared" si="0"/>
        <v>0.74557921366810476</v>
      </c>
      <c r="K6" s="623">
        <f t="shared" si="0"/>
        <v>1.6145803087264596</v>
      </c>
      <c r="L6" s="623">
        <f t="shared" si="0"/>
        <v>0.88695368775415873</v>
      </c>
      <c r="M6" s="623">
        <f t="shared" si="0"/>
        <v>0.92556938240837194</v>
      </c>
      <c r="N6" s="623">
        <f t="shared" si="0"/>
        <v>1.0279575531810605</v>
      </c>
      <c r="O6" s="623">
        <f t="shared" si="0"/>
        <v>2.1855510484029002</v>
      </c>
      <c r="P6" s="623">
        <f t="shared" si="0"/>
        <v>0.681174903501511</v>
      </c>
      <c r="Q6" s="623">
        <f t="shared" si="0"/>
        <v>0.75214427557329255</v>
      </c>
      <c r="R6" s="623">
        <f t="shared" si="0"/>
        <v>1.0033117775257125</v>
      </c>
      <c r="S6" s="623">
        <f t="shared" si="0"/>
        <v>2.8314990123991688</v>
      </c>
      <c r="T6" s="623">
        <f t="shared" si="0"/>
        <v>0.90375583132202431</v>
      </c>
      <c r="U6" s="623">
        <f t="shared" si="0"/>
        <v>0.99809917886405686</v>
      </c>
      <c r="V6" s="623">
        <f t="shared" si="0"/>
        <v>2.4194000577283874</v>
      </c>
      <c r="W6" s="623">
        <f t="shared" si="0"/>
        <v>7.9448438607462988</v>
      </c>
      <c r="X6" s="623">
        <f t="shared" si="0"/>
        <v>0.9708747002105641</v>
      </c>
      <c r="Y6" s="623">
        <f t="shared" si="0"/>
        <v>1.3016621450761083</v>
      </c>
    </row>
    <row r="7" spans="1:25" ht="15" thickBot="1" x14ac:dyDescent="0.25">
      <c r="B7" s="623"/>
      <c r="C7" s="623"/>
      <c r="D7" s="623"/>
      <c r="E7" s="623"/>
      <c r="F7" s="623"/>
      <c r="G7" s="623"/>
      <c r="H7" s="623"/>
      <c r="I7" s="623"/>
      <c r="J7" s="623"/>
      <c r="K7" s="623"/>
      <c r="L7" s="623"/>
      <c r="M7" s="623"/>
      <c r="N7" s="623"/>
      <c r="O7" s="623"/>
      <c r="P7" s="623"/>
      <c r="Q7" s="623"/>
      <c r="R7" s="623"/>
      <c r="S7" s="623"/>
      <c r="T7" s="623"/>
      <c r="U7" s="623"/>
      <c r="V7" s="623"/>
      <c r="W7" s="623"/>
      <c r="X7" s="623"/>
      <c r="Y7" s="623"/>
    </row>
    <row r="8" spans="1:25" ht="15.75" thickBot="1" x14ac:dyDescent="0.3">
      <c r="A8" s="593">
        <v>2007</v>
      </c>
      <c r="B8" s="872" t="s">
        <v>224</v>
      </c>
      <c r="C8" s="873"/>
      <c r="D8" s="873"/>
      <c r="E8" s="874"/>
      <c r="F8" s="872" t="s">
        <v>225</v>
      </c>
      <c r="G8" s="873"/>
      <c r="H8" s="873"/>
      <c r="I8" s="874"/>
      <c r="J8" s="872" t="s">
        <v>226</v>
      </c>
      <c r="K8" s="873"/>
      <c r="L8" s="873"/>
      <c r="M8" s="874"/>
      <c r="N8" s="872" t="s">
        <v>227</v>
      </c>
      <c r="O8" s="873"/>
      <c r="P8" s="873"/>
      <c r="Q8" s="874"/>
      <c r="R8" s="872" t="s">
        <v>228</v>
      </c>
      <c r="S8" s="873"/>
      <c r="T8" s="873"/>
      <c r="U8" s="874"/>
      <c r="V8" s="872" t="s">
        <v>229</v>
      </c>
      <c r="W8" s="873"/>
      <c r="X8" s="873"/>
      <c r="Y8" s="874"/>
    </row>
    <row r="9" spans="1:25" ht="15" thickBot="1" x14ac:dyDescent="0.25">
      <c r="A9" s="593" t="s">
        <v>237</v>
      </c>
      <c r="B9" s="594" t="s">
        <v>231</v>
      </c>
      <c r="C9" s="595" t="s">
        <v>232</v>
      </c>
      <c r="D9" s="595" t="s">
        <v>233</v>
      </c>
      <c r="E9" s="596" t="s">
        <v>234</v>
      </c>
      <c r="F9" s="597" t="s">
        <v>231</v>
      </c>
      <c r="G9" s="595" t="s">
        <v>232</v>
      </c>
      <c r="H9" s="595" t="s">
        <v>233</v>
      </c>
      <c r="I9" s="596" t="s">
        <v>234</v>
      </c>
      <c r="J9" s="597" t="s">
        <v>231</v>
      </c>
      <c r="K9" s="595" t="s">
        <v>232</v>
      </c>
      <c r="L9" s="595" t="s">
        <v>233</v>
      </c>
      <c r="M9" s="596" t="s">
        <v>234</v>
      </c>
      <c r="N9" s="597" t="s">
        <v>231</v>
      </c>
      <c r="O9" s="595" t="s">
        <v>232</v>
      </c>
      <c r="P9" s="595" t="s">
        <v>233</v>
      </c>
      <c r="Q9" s="596" t="s">
        <v>234</v>
      </c>
      <c r="R9" s="597" t="s">
        <v>231</v>
      </c>
      <c r="S9" s="595" t="s">
        <v>232</v>
      </c>
      <c r="T9" s="595" t="s">
        <v>233</v>
      </c>
      <c r="U9" s="598" t="s">
        <v>234</v>
      </c>
      <c r="V9" s="599" t="s">
        <v>231</v>
      </c>
      <c r="W9" s="600" t="s">
        <v>232</v>
      </c>
      <c r="X9" s="600" t="s">
        <v>233</v>
      </c>
      <c r="Y9" s="601" t="s">
        <v>234</v>
      </c>
    </row>
    <row r="10" spans="1:25" hidden="1" x14ac:dyDescent="0.2">
      <c r="A10" s="593"/>
      <c r="B10" s="602">
        <v>130.51</v>
      </c>
      <c r="C10" s="603">
        <v>282.58999999999997</v>
      </c>
      <c r="D10" s="603">
        <v>1996.55</v>
      </c>
      <c r="E10" s="604">
        <f>D10+C10</f>
        <v>2279.14</v>
      </c>
      <c r="F10" s="605">
        <v>30.47</v>
      </c>
      <c r="G10" s="603">
        <v>83.39</v>
      </c>
      <c r="H10" s="603">
        <v>463.23</v>
      </c>
      <c r="I10" s="604">
        <f>H10+G10</f>
        <v>546.62</v>
      </c>
      <c r="J10" s="605">
        <v>16.71</v>
      </c>
      <c r="K10" s="603">
        <v>33.950000000000003</v>
      </c>
      <c r="L10" s="603">
        <v>400.68</v>
      </c>
      <c r="M10" s="604">
        <f>L10+K10</f>
        <v>434.63</v>
      </c>
      <c r="N10" s="605">
        <v>4.45</v>
      </c>
      <c r="O10" s="603">
        <v>13</v>
      </c>
      <c r="P10" s="603">
        <v>128.72</v>
      </c>
      <c r="Q10" s="604">
        <f>P10+O10</f>
        <v>141.72</v>
      </c>
      <c r="R10" s="605">
        <v>25.11</v>
      </c>
      <c r="S10" s="603">
        <v>82.97</v>
      </c>
      <c r="T10" s="603">
        <v>619.25</v>
      </c>
      <c r="U10" s="604">
        <f>T10+S10</f>
        <v>702.22</v>
      </c>
      <c r="V10" s="607">
        <v>85.99</v>
      </c>
      <c r="W10" s="608">
        <v>328.21</v>
      </c>
      <c r="X10" s="608">
        <v>972.27</v>
      </c>
      <c r="Y10" s="609">
        <f>X10+W10</f>
        <v>1300.48</v>
      </c>
    </row>
    <row r="11" spans="1:25" x14ac:dyDescent="0.2">
      <c r="A11" s="593" t="s">
        <v>235</v>
      </c>
      <c r="B11" s="610">
        <f>B10*277.78</f>
        <v>36253.067799999997</v>
      </c>
      <c r="C11" s="611">
        <f>C10*277.78</f>
        <v>78497.850199999986</v>
      </c>
      <c r="D11" s="611">
        <f>D10*277.78*3412.13/10^5</f>
        <v>18923.729587236699</v>
      </c>
      <c r="E11" s="612">
        <f>E10*277.78*3412.13/10^6</f>
        <v>2160.2178283265957</v>
      </c>
      <c r="F11" s="613">
        <f>F10*277.78</f>
        <v>8463.9565999999995</v>
      </c>
      <c r="G11" s="611">
        <f>G10*277.78</f>
        <v>23164.074199999999</v>
      </c>
      <c r="H11" s="611">
        <f>H10*277.78*3412.13/10^5</f>
        <v>4390.59340196622</v>
      </c>
      <c r="I11" s="612">
        <f>I10*277.78*3412.13/10^6</f>
        <v>518.09817269666792</v>
      </c>
      <c r="J11" s="613">
        <f>J10*277.78</f>
        <v>4641.7038000000002</v>
      </c>
      <c r="K11" s="611">
        <f>K10*277.78</f>
        <v>9430.6309999999994</v>
      </c>
      <c r="L11" s="611">
        <f>L10*277.78*3412.13/10^5</f>
        <v>3797.7310716055194</v>
      </c>
      <c r="M11" s="612">
        <f>M10*277.78*3412.13/10^6</f>
        <v>411.95164611458193</v>
      </c>
      <c r="N11" s="613">
        <f>N10*277.78</f>
        <v>1236.1209999999999</v>
      </c>
      <c r="O11" s="611">
        <f>O10*277.78</f>
        <v>3611.1399999999994</v>
      </c>
      <c r="P11" s="611">
        <f>P10*277.78*3412.13/10^5</f>
        <v>1220.0357979860801</v>
      </c>
      <c r="Q11" s="612">
        <f>Q10*277.78*3412.13/10^6</f>
        <v>134.325258926808</v>
      </c>
      <c r="R11" s="613">
        <f>R10*277.78</f>
        <v>6975.0557999999992</v>
      </c>
      <c r="S11" s="611">
        <f>S10*277.78</f>
        <v>23047.406599999998</v>
      </c>
      <c r="T11" s="611">
        <f>T10*277.78*3412.13/10^5</f>
        <v>5869.3844616444994</v>
      </c>
      <c r="U11" s="614">
        <f>U10*277.78*3412.13/10^6</f>
        <v>665.57919364650797</v>
      </c>
      <c r="V11" s="610">
        <f>V10*277.78</f>
        <v>23886.302199999995</v>
      </c>
      <c r="W11" s="611">
        <f>W10*277.78</f>
        <v>91170.17379999999</v>
      </c>
      <c r="X11" s="611">
        <f>X10*277.78*3412.13/10^5</f>
        <v>9215.3838199807778</v>
      </c>
      <c r="Y11" s="612">
        <f>Y10*277.78*3412.13/10^6</f>
        <v>1232.622867126272</v>
      </c>
    </row>
    <row r="12" spans="1:25" ht="15" thickBot="1" x14ac:dyDescent="0.25">
      <c r="A12" s="593" t="s">
        <v>236</v>
      </c>
      <c r="B12" s="615">
        <v>81720.5</v>
      </c>
      <c r="C12" s="615">
        <v>81720.5</v>
      </c>
      <c r="D12" s="616">
        <v>26263.3</v>
      </c>
      <c r="E12" s="617">
        <v>2905.2</v>
      </c>
      <c r="F12" s="618">
        <v>15336.5</v>
      </c>
      <c r="G12" s="618">
        <v>15336.5</v>
      </c>
      <c r="H12" s="616">
        <v>5808.9</v>
      </c>
      <c r="I12" s="617">
        <v>633.20000000000005</v>
      </c>
      <c r="J12" s="618">
        <v>6404.2</v>
      </c>
      <c r="K12" s="618">
        <v>6404.2</v>
      </c>
      <c r="L12" s="619">
        <v>3887.4</v>
      </c>
      <c r="M12" s="617">
        <v>410.6</v>
      </c>
      <c r="N12" s="618">
        <v>2273.6</v>
      </c>
      <c r="O12" s="618">
        <v>2273.6</v>
      </c>
      <c r="P12" s="616">
        <v>1550.3</v>
      </c>
      <c r="Q12" s="617">
        <v>162.80000000000001</v>
      </c>
      <c r="R12" s="618">
        <v>8763.7999999999993</v>
      </c>
      <c r="S12" s="618">
        <v>8763.7999999999993</v>
      </c>
      <c r="T12" s="616">
        <v>5738.3</v>
      </c>
      <c r="U12" s="619">
        <v>603.70000000000005</v>
      </c>
      <c r="V12" s="621">
        <v>13869.9</v>
      </c>
      <c r="W12" s="621">
        <v>13869.9</v>
      </c>
      <c r="X12" s="621">
        <v>9445.7000000000007</v>
      </c>
      <c r="Y12" s="622">
        <v>991.9</v>
      </c>
    </row>
    <row r="13" spans="1:25" x14ac:dyDescent="0.2">
      <c r="B13" s="623">
        <f>IFERROR(B11/B12,0)</f>
        <v>0.44362268708585967</v>
      </c>
      <c r="C13" s="623">
        <f t="shared" ref="C13:Y13" si="1">IFERROR(C11/C12,0)</f>
        <v>0.96056497696416432</v>
      </c>
      <c r="D13" s="623">
        <f t="shared" si="1"/>
        <v>0.7205389112273286</v>
      </c>
      <c r="E13" s="623">
        <f t="shared" si="1"/>
        <v>0.74356940256319559</v>
      </c>
      <c r="F13" s="623">
        <f t="shared" si="1"/>
        <v>0.55188319368826</v>
      </c>
      <c r="G13" s="623">
        <f t="shared" si="1"/>
        <v>1.5103885632315064</v>
      </c>
      <c r="H13" s="623">
        <f t="shared" si="1"/>
        <v>0.75583904043213346</v>
      </c>
      <c r="I13" s="623">
        <f t="shared" si="1"/>
        <v>0.81822200362708131</v>
      </c>
      <c r="J13" s="623">
        <f t="shared" si="1"/>
        <v>0.72479057493519883</v>
      </c>
      <c r="K13" s="623">
        <f t="shared" si="1"/>
        <v>1.4725697198713343</v>
      </c>
      <c r="L13" s="623">
        <f t="shared" si="1"/>
        <v>0.97693344436011709</v>
      </c>
      <c r="M13" s="623">
        <f t="shared" si="1"/>
        <v>1.0032918804544129</v>
      </c>
      <c r="N13" s="623">
        <f t="shared" si="1"/>
        <v>0.5436844651653765</v>
      </c>
      <c r="O13" s="623">
        <f t="shared" si="1"/>
        <v>1.5882916959887401</v>
      </c>
      <c r="P13" s="623">
        <f t="shared" si="1"/>
        <v>0.7869675533677869</v>
      </c>
      <c r="Q13" s="623">
        <f t="shared" si="1"/>
        <v>0.82509372805164616</v>
      </c>
      <c r="R13" s="623">
        <f t="shared" si="1"/>
        <v>0.79589399575526598</v>
      </c>
      <c r="S13" s="623">
        <f t="shared" si="1"/>
        <v>2.6298416896779937</v>
      </c>
      <c r="T13" s="623">
        <f t="shared" si="1"/>
        <v>1.0228437798031647</v>
      </c>
      <c r="U13" s="623">
        <f t="shared" si="1"/>
        <v>1.102499906653152</v>
      </c>
      <c r="V13" s="623">
        <f t="shared" si="1"/>
        <v>1.722168306909206</v>
      </c>
      <c r="W13" s="623">
        <f t="shared" si="1"/>
        <v>6.5732394465713515</v>
      </c>
      <c r="X13" s="623">
        <f t="shared" si="1"/>
        <v>0.97561682246744841</v>
      </c>
      <c r="Y13" s="623">
        <f t="shared" si="1"/>
        <v>1.2426886451520032</v>
      </c>
    </row>
    <row r="14" spans="1:25" ht="15" thickBot="1" x14ac:dyDescent="0.25">
      <c r="B14" s="623"/>
      <c r="C14" s="623"/>
      <c r="D14" s="623"/>
      <c r="E14" s="623"/>
      <c r="F14" s="623"/>
      <c r="G14" s="623"/>
      <c r="H14" s="623"/>
      <c r="I14" s="623"/>
      <c r="J14" s="623"/>
      <c r="K14" s="623"/>
      <c r="L14" s="623"/>
      <c r="M14" s="623"/>
      <c r="N14" s="623"/>
      <c r="O14" s="623"/>
      <c r="P14" s="623"/>
      <c r="Q14" s="623"/>
      <c r="R14" s="623"/>
      <c r="S14" s="623"/>
      <c r="T14" s="623"/>
      <c r="U14" s="623"/>
      <c r="V14" s="623"/>
      <c r="W14" s="623"/>
      <c r="X14" s="623"/>
      <c r="Y14" s="623"/>
    </row>
    <row r="15" spans="1:25" ht="15.75" thickBot="1" x14ac:dyDescent="0.3">
      <c r="A15" s="593">
        <v>2010</v>
      </c>
      <c r="B15" s="875" t="s">
        <v>224</v>
      </c>
      <c r="C15" s="876"/>
      <c r="D15" s="876"/>
      <c r="E15" s="877"/>
      <c r="F15" s="878" t="s">
        <v>225</v>
      </c>
      <c r="G15" s="876"/>
      <c r="H15" s="876"/>
      <c r="I15" s="877"/>
      <c r="J15" s="873" t="s">
        <v>226</v>
      </c>
      <c r="K15" s="873"/>
      <c r="L15" s="873"/>
      <c r="M15" s="874"/>
      <c r="N15" s="878" t="s">
        <v>227</v>
      </c>
      <c r="O15" s="876"/>
      <c r="P15" s="876"/>
      <c r="Q15" s="877"/>
      <c r="R15" s="878" t="s">
        <v>228</v>
      </c>
      <c r="S15" s="876"/>
      <c r="T15" s="876"/>
      <c r="U15" s="879"/>
      <c r="V15" s="872" t="s">
        <v>229</v>
      </c>
      <c r="W15" s="873"/>
      <c r="X15" s="873"/>
      <c r="Y15" s="874"/>
    </row>
    <row r="16" spans="1:25" ht="15" thickBot="1" x14ac:dyDescent="0.25">
      <c r="A16" s="593" t="s">
        <v>237</v>
      </c>
      <c r="B16" s="594" t="s">
        <v>231</v>
      </c>
      <c r="C16" s="595" t="s">
        <v>232</v>
      </c>
      <c r="D16" s="595" t="s">
        <v>233</v>
      </c>
      <c r="E16" s="596" t="s">
        <v>234</v>
      </c>
      <c r="F16" s="597" t="s">
        <v>231</v>
      </c>
      <c r="G16" s="595" t="s">
        <v>232</v>
      </c>
      <c r="H16" s="595" t="s">
        <v>233</v>
      </c>
      <c r="I16" s="596" t="s">
        <v>234</v>
      </c>
      <c r="J16" s="597" t="s">
        <v>231</v>
      </c>
      <c r="K16" s="595" t="s">
        <v>232</v>
      </c>
      <c r="L16" s="595" t="s">
        <v>233</v>
      </c>
      <c r="M16" s="596" t="s">
        <v>234</v>
      </c>
      <c r="N16" s="597" t="s">
        <v>231</v>
      </c>
      <c r="O16" s="595" t="s">
        <v>232</v>
      </c>
      <c r="P16" s="595" t="s">
        <v>233</v>
      </c>
      <c r="Q16" s="596" t="s">
        <v>234</v>
      </c>
      <c r="R16" s="597" t="s">
        <v>231</v>
      </c>
      <c r="S16" s="595" t="s">
        <v>232</v>
      </c>
      <c r="T16" s="595" t="s">
        <v>233</v>
      </c>
      <c r="U16" s="598" t="s">
        <v>234</v>
      </c>
      <c r="V16" s="599" t="s">
        <v>231</v>
      </c>
      <c r="W16" s="600" t="s">
        <v>232</v>
      </c>
      <c r="X16" s="600" t="s">
        <v>233</v>
      </c>
      <c r="Y16" s="601" t="s">
        <v>234</v>
      </c>
    </row>
    <row r="17" spans="1:25" hidden="1" x14ac:dyDescent="0.2">
      <c r="A17" s="593"/>
      <c r="B17" s="602">
        <v>60.49</v>
      </c>
      <c r="C17" s="603">
        <v>149.07</v>
      </c>
      <c r="D17" s="603">
        <v>1592.66</v>
      </c>
      <c r="E17" s="604">
        <f>D17+C17</f>
        <v>1741.73</v>
      </c>
      <c r="F17" s="605">
        <v>8.32</v>
      </c>
      <c r="G17" s="603">
        <v>56.03</v>
      </c>
      <c r="H17" s="603">
        <v>456.2</v>
      </c>
      <c r="I17" s="604">
        <f>H17+G17</f>
        <v>512.23</v>
      </c>
      <c r="J17" s="605"/>
      <c r="K17" s="603">
        <v>40.590000000000003</v>
      </c>
      <c r="L17" s="603">
        <v>412.4</v>
      </c>
      <c r="M17" s="604">
        <f>L17+K17</f>
        <v>452.99</v>
      </c>
      <c r="N17" s="605"/>
      <c r="O17" s="603">
        <v>11.51</v>
      </c>
      <c r="P17" s="603">
        <v>124.6</v>
      </c>
      <c r="Q17" s="604">
        <f>P17+O17</f>
        <v>136.10999999999999</v>
      </c>
      <c r="R17" s="605"/>
      <c r="S17" s="603">
        <v>72.56</v>
      </c>
      <c r="T17" s="603">
        <v>580.26</v>
      </c>
      <c r="U17" s="604">
        <f>T17+S17</f>
        <v>652.81999999999994</v>
      </c>
      <c r="V17" s="607"/>
      <c r="W17" s="608">
        <v>213.55</v>
      </c>
      <c r="X17" s="608">
        <v>582.85</v>
      </c>
      <c r="Y17" s="609">
        <f>X17+W17</f>
        <v>796.40000000000009</v>
      </c>
    </row>
    <row r="18" spans="1:25" x14ac:dyDescent="0.2">
      <c r="A18" s="593" t="s">
        <v>235</v>
      </c>
      <c r="B18" s="610">
        <f>B17*277.78</f>
        <v>16802.912199999999</v>
      </c>
      <c r="C18" s="611">
        <f>C17*277.78</f>
        <v>41408.664599999996</v>
      </c>
      <c r="D18" s="611">
        <f>D17*277.78*3412.13/10^5</f>
        <v>15095.573446399238</v>
      </c>
      <c r="E18" s="612">
        <f>E17*277.78*3412.13/10^6</f>
        <v>1650.8490913815219</v>
      </c>
      <c r="F18" s="613">
        <f>F17*277.78</f>
        <v>2311.1295999999998</v>
      </c>
      <c r="G18" s="611">
        <f>G17*277.78</f>
        <v>15564.013399999998</v>
      </c>
      <c r="H18" s="611">
        <f>H17*277.78*3412.13/10^5</f>
        <v>4323.9615525268</v>
      </c>
      <c r="I18" s="612">
        <f>I17*277.78*3412.13/10^6</f>
        <v>485.50259229522203</v>
      </c>
      <c r="J18" s="613">
        <f>J17*277.78</f>
        <v>0</v>
      </c>
      <c r="K18" s="611">
        <f>K17*277.78</f>
        <v>11275.090200000001</v>
      </c>
      <c r="L18" s="611">
        <f>L17*277.78*3412.13/10^5</f>
        <v>3908.8157480535997</v>
      </c>
      <c r="M18" s="612">
        <f>M17*277.78*3412.13/10^6</f>
        <v>429.35364832948596</v>
      </c>
      <c r="N18" s="613">
        <f>N17*277.78</f>
        <v>0</v>
      </c>
      <c r="O18" s="611">
        <f>O17*277.78</f>
        <v>3197.2477999999996</v>
      </c>
      <c r="P18" s="611">
        <f>P17*277.78*3412.13/10^5</f>
        <v>1180.9855533643997</v>
      </c>
      <c r="Q18" s="612">
        <f>Q17*277.78*3412.13/10^6</f>
        <v>129.00798047225396</v>
      </c>
      <c r="R18" s="613">
        <f>R17*277.78</f>
        <v>0</v>
      </c>
      <c r="S18" s="611">
        <f>S17*277.78</f>
        <v>20155.716799999998</v>
      </c>
      <c r="T18" s="611">
        <f>T17*277.78*3412.13/10^5</f>
        <v>5499.8288699456398</v>
      </c>
      <c r="U18" s="614">
        <f>U17*277.78*3412.13/10^6</f>
        <v>618.75681295934794</v>
      </c>
      <c r="V18" s="610">
        <f>V17*277.78</f>
        <v>0</v>
      </c>
      <c r="W18" s="611">
        <f>W17*277.78</f>
        <v>59319.918999999994</v>
      </c>
      <c r="X18" s="611">
        <f>X17*277.78*3412.13/10^5</f>
        <v>5524.3774460549012</v>
      </c>
      <c r="Y18" s="612">
        <f>Y17*277.78*3412.13/10^6</f>
        <v>754.84501982296001</v>
      </c>
    </row>
    <row r="19" spans="1:25" ht="15" thickBot="1" x14ac:dyDescent="0.25">
      <c r="A19" s="593" t="s">
        <v>236</v>
      </c>
      <c r="B19" s="615">
        <v>81720.5</v>
      </c>
      <c r="C19" s="615">
        <v>81720.5</v>
      </c>
      <c r="D19" s="616">
        <v>26263.3</v>
      </c>
      <c r="E19" s="617">
        <v>2905.2</v>
      </c>
      <c r="F19" s="618">
        <v>15336.5</v>
      </c>
      <c r="G19" s="618">
        <v>15336.5</v>
      </c>
      <c r="H19" s="616">
        <v>5808.9</v>
      </c>
      <c r="I19" s="617">
        <v>633.20000000000005</v>
      </c>
      <c r="J19" s="618"/>
      <c r="K19" s="618">
        <v>6404.2</v>
      </c>
      <c r="L19" s="619">
        <v>3887.4</v>
      </c>
      <c r="M19" s="617">
        <v>410.6</v>
      </c>
      <c r="N19" s="618"/>
      <c r="O19" s="618">
        <v>2273.6999999999998</v>
      </c>
      <c r="P19" s="616">
        <v>1550.3</v>
      </c>
      <c r="Q19" s="617">
        <v>162.80000000000001</v>
      </c>
      <c r="R19" s="618"/>
      <c r="S19" s="618">
        <v>8763.7999999999993</v>
      </c>
      <c r="T19" s="616">
        <v>5738.3</v>
      </c>
      <c r="U19" s="619">
        <v>603.70000000000005</v>
      </c>
      <c r="V19" s="620"/>
      <c r="W19" s="621">
        <v>13869.9</v>
      </c>
      <c r="X19" s="621">
        <v>9445.7000000000007</v>
      </c>
      <c r="Y19" s="622">
        <v>991.9</v>
      </c>
    </row>
    <row r="20" spans="1:25" x14ac:dyDescent="0.2">
      <c r="B20" s="623">
        <f>IFERROR(B18/B19,0)</f>
        <v>0.2056144076455724</v>
      </c>
      <c r="C20" s="623">
        <f t="shared" ref="C20:Y20" si="2">IFERROR(C18/C19,0)</f>
        <v>0.50671085712887209</v>
      </c>
      <c r="D20" s="623">
        <f t="shared" si="2"/>
        <v>0.57477824364795127</v>
      </c>
      <c r="E20" s="623">
        <f t="shared" si="2"/>
        <v>0.56823939535368373</v>
      </c>
      <c r="F20" s="623">
        <f t="shared" si="2"/>
        <v>0.15069472174224888</v>
      </c>
      <c r="G20" s="623">
        <f t="shared" si="2"/>
        <v>1.0148347667329571</v>
      </c>
      <c r="H20" s="623">
        <f t="shared" si="2"/>
        <v>0.7443683920409716</v>
      </c>
      <c r="I20" s="623">
        <f t="shared" si="2"/>
        <v>0.76674446035252997</v>
      </c>
      <c r="J20" s="623">
        <f t="shared" si="2"/>
        <v>0</v>
      </c>
      <c r="K20" s="623">
        <f t="shared" si="2"/>
        <v>1.7605774647887324</v>
      </c>
      <c r="L20" s="623">
        <f t="shared" si="2"/>
        <v>1.0055090158084066</v>
      </c>
      <c r="M20" s="623">
        <f t="shared" si="2"/>
        <v>1.0456737660240769</v>
      </c>
      <c r="N20" s="623">
        <f t="shared" si="2"/>
        <v>0</v>
      </c>
      <c r="O20" s="623">
        <f t="shared" si="2"/>
        <v>1.4061871838852971</v>
      </c>
      <c r="P20" s="623">
        <f t="shared" si="2"/>
        <v>0.76177872241785449</v>
      </c>
      <c r="Q20" s="623">
        <f t="shared" si="2"/>
        <v>0.7924323124831324</v>
      </c>
      <c r="R20" s="623">
        <f t="shared" si="2"/>
        <v>0</v>
      </c>
      <c r="S20" s="623">
        <f t="shared" si="2"/>
        <v>2.2998832469933133</v>
      </c>
      <c r="T20" s="623">
        <f t="shared" si="2"/>
        <v>0.95844219889961135</v>
      </c>
      <c r="U20" s="623">
        <f t="shared" si="2"/>
        <v>1.0249408861344176</v>
      </c>
      <c r="V20" s="623">
        <f t="shared" si="2"/>
        <v>0</v>
      </c>
      <c r="W20" s="623">
        <f t="shared" si="2"/>
        <v>4.2768815204147108</v>
      </c>
      <c r="X20" s="623">
        <f t="shared" si="2"/>
        <v>0.5848563310347461</v>
      </c>
      <c r="Y20" s="623">
        <f t="shared" si="2"/>
        <v>0.76100919429676384</v>
      </c>
    </row>
    <row r="21" spans="1:25" ht="15" thickBot="1" x14ac:dyDescent="0.25">
      <c r="C21" s="623"/>
      <c r="D21" s="623"/>
      <c r="E21" s="623"/>
      <c r="F21" s="623"/>
      <c r="G21" s="623"/>
      <c r="H21" s="623"/>
      <c r="I21" s="623"/>
      <c r="J21" s="623"/>
      <c r="K21" s="623"/>
      <c r="L21" s="623"/>
      <c r="M21" s="623"/>
      <c r="N21" s="623"/>
      <c r="O21" s="623"/>
      <c r="P21" s="623"/>
      <c r="Q21" s="623"/>
      <c r="R21" s="623"/>
      <c r="S21" s="623"/>
      <c r="T21" s="623"/>
      <c r="U21" s="623"/>
      <c r="V21" s="623"/>
      <c r="W21" s="623"/>
      <c r="X21" s="623"/>
      <c r="Y21" s="623"/>
    </row>
    <row r="22" spans="1:25" ht="15.75" thickBot="1" x14ac:dyDescent="0.3">
      <c r="A22" s="593">
        <v>2013</v>
      </c>
      <c r="B22" s="875" t="s">
        <v>224</v>
      </c>
      <c r="C22" s="876"/>
      <c r="D22" s="876"/>
      <c r="E22" s="877"/>
      <c r="F22" s="878" t="s">
        <v>225</v>
      </c>
      <c r="G22" s="876"/>
      <c r="H22" s="876"/>
      <c r="I22" s="877"/>
      <c r="J22" s="873" t="s">
        <v>226</v>
      </c>
      <c r="K22" s="873"/>
      <c r="L22" s="873"/>
      <c r="M22" s="874"/>
      <c r="N22" s="878" t="s">
        <v>227</v>
      </c>
      <c r="O22" s="876"/>
      <c r="P22" s="876"/>
      <c r="Q22" s="877"/>
      <c r="R22" s="878" t="s">
        <v>228</v>
      </c>
      <c r="S22" s="876"/>
      <c r="T22" s="876"/>
      <c r="U22" s="879"/>
      <c r="V22" s="872" t="s">
        <v>229</v>
      </c>
      <c r="W22" s="873"/>
      <c r="X22" s="873"/>
      <c r="Y22" s="874"/>
    </row>
    <row r="23" spans="1:25" ht="15" thickBot="1" x14ac:dyDescent="0.25">
      <c r="A23" s="593" t="s">
        <v>238</v>
      </c>
      <c r="B23" s="594" t="s">
        <v>231</v>
      </c>
      <c r="C23" s="595" t="s">
        <v>232</v>
      </c>
      <c r="D23" s="595" t="s">
        <v>233</v>
      </c>
      <c r="E23" s="596" t="s">
        <v>234</v>
      </c>
      <c r="F23" s="597" t="s">
        <v>231</v>
      </c>
      <c r="G23" s="595" t="s">
        <v>232</v>
      </c>
      <c r="H23" s="595" t="s">
        <v>233</v>
      </c>
      <c r="I23" s="596" t="s">
        <v>234</v>
      </c>
      <c r="J23" s="597" t="s">
        <v>231</v>
      </c>
      <c r="K23" s="595" t="s">
        <v>232</v>
      </c>
      <c r="L23" s="595" t="s">
        <v>233</v>
      </c>
      <c r="M23" s="596" t="s">
        <v>234</v>
      </c>
      <c r="N23" s="597" t="s">
        <v>231</v>
      </c>
      <c r="O23" s="595" t="s">
        <v>232</v>
      </c>
      <c r="P23" s="595" t="s">
        <v>233</v>
      </c>
      <c r="Q23" s="596" t="s">
        <v>234</v>
      </c>
      <c r="R23" s="597" t="s">
        <v>231</v>
      </c>
      <c r="S23" s="595" t="s">
        <v>232</v>
      </c>
      <c r="T23" s="595" t="s">
        <v>233</v>
      </c>
      <c r="U23" s="598" t="s">
        <v>234</v>
      </c>
      <c r="V23" s="599" t="s">
        <v>231</v>
      </c>
      <c r="W23" s="600" t="s">
        <v>232</v>
      </c>
      <c r="X23" s="600" t="s">
        <v>233</v>
      </c>
      <c r="Y23" s="601" t="s">
        <v>234</v>
      </c>
    </row>
    <row r="24" spans="1:25" hidden="1" x14ac:dyDescent="0.2">
      <c r="A24" s="593"/>
      <c r="B24" s="602">
        <v>14.53</v>
      </c>
      <c r="C24" s="603">
        <v>78.53</v>
      </c>
      <c r="D24" s="603">
        <v>1692.49</v>
      </c>
      <c r="E24" s="604">
        <f>D24+C24</f>
        <v>1771.02</v>
      </c>
      <c r="F24" s="605">
        <v>10.06</v>
      </c>
      <c r="G24" s="603">
        <v>39.799999999999997</v>
      </c>
      <c r="H24" s="603">
        <v>564.67999999999995</v>
      </c>
      <c r="I24" s="604">
        <f>H24+G24</f>
        <v>604.4799999999999</v>
      </c>
      <c r="J24" s="605">
        <v>22.68</v>
      </c>
      <c r="K24" s="603">
        <v>36.07</v>
      </c>
      <c r="L24" s="603">
        <v>471.37</v>
      </c>
      <c r="M24" s="604">
        <f>L24+K24</f>
        <v>507.44</v>
      </c>
      <c r="N24" s="605"/>
      <c r="O24" s="603">
        <v>2.2200000000000002</v>
      </c>
      <c r="P24" s="603">
        <v>125.7</v>
      </c>
      <c r="Q24" s="604">
        <f>P24+O24</f>
        <v>127.92</v>
      </c>
      <c r="R24" s="605"/>
      <c r="S24" s="603">
        <v>35.659999999999997</v>
      </c>
      <c r="T24" s="603">
        <v>659.53</v>
      </c>
      <c r="U24" s="604">
        <f>T24+S24</f>
        <v>695.18999999999994</v>
      </c>
      <c r="V24" s="607"/>
      <c r="W24" s="608">
        <v>174.68</v>
      </c>
      <c r="X24" s="608">
        <v>610.69000000000005</v>
      </c>
      <c r="Y24" s="609">
        <f>X24+W24</f>
        <v>785.37000000000012</v>
      </c>
    </row>
    <row r="25" spans="1:25" x14ac:dyDescent="0.2">
      <c r="A25" s="593" t="s">
        <v>235</v>
      </c>
      <c r="B25" s="610">
        <f>B24*277.78</f>
        <v>4036.1433999999995</v>
      </c>
      <c r="C25" s="611">
        <f>C24*277.78</f>
        <v>21814.063399999999</v>
      </c>
      <c r="D25" s="611">
        <f>D24*277.78*3412.13/10^5</f>
        <v>16041.78362129786</v>
      </c>
      <c r="E25" s="612">
        <f>E24*277.78*3412.13/10^6</f>
        <v>1678.6107822788279</v>
      </c>
      <c r="F25" s="613">
        <f>F24*277.78</f>
        <v>2794.4667999999997</v>
      </c>
      <c r="G25" s="611">
        <f>G24*277.78</f>
        <v>11055.643999999998</v>
      </c>
      <c r="H25" s="611">
        <f>H24*277.78*3412.13/10^5</f>
        <v>5352.1582847015188</v>
      </c>
      <c r="I25" s="612">
        <f>I24*277.78*3412.13/10^6</f>
        <v>572.93912303187187</v>
      </c>
      <c r="J25" s="613">
        <f>J24*277.78</f>
        <v>6300.0503999999992</v>
      </c>
      <c r="K25" s="611">
        <f>K24*277.78</f>
        <v>10019.524599999999</v>
      </c>
      <c r="L25" s="611">
        <f>L24*277.78*3412.13/10^5</f>
        <v>4467.7460697381803</v>
      </c>
      <c r="M25" s="612">
        <f>M24*277.78*3412.13/10^6</f>
        <v>480.96252744721602</v>
      </c>
      <c r="N25" s="613">
        <f>N24*277.78</f>
        <v>0</v>
      </c>
      <c r="O25" s="611">
        <f>O24*277.78</f>
        <v>616.67160000000001</v>
      </c>
      <c r="P25" s="611">
        <f>P24*277.78*3412.13/10^5</f>
        <v>1191.4115895497998</v>
      </c>
      <c r="Q25" s="612">
        <f>Q24*277.78*3412.13/10^6</f>
        <v>121.24532262148799</v>
      </c>
      <c r="R25" s="613">
        <f>R24*277.78</f>
        <v>0</v>
      </c>
      <c r="S25" s="611">
        <f>S24*277.78</f>
        <v>9905.634799999998</v>
      </c>
      <c r="T25" s="611">
        <f>T24*277.78*3412.13/10^5</f>
        <v>6251.1669503244193</v>
      </c>
      <c r="U25" s="614">
        <f>U24*277.78*3412.13/10^6</f>
        <v>658.91600870256593</v>
      </c>
      <c r="V25" s="610">
        <f>V24*277.78</f>
        <v>0</v>
      </c>
      <c r="W25" s="611">
        <f>W24*277.78</f>
        <v>48522.610399999998</v>
      </c>
      <c r="X25" s="611">
        <f>X24*277.78*3412.13/10^5</f>
        <v>5788.2509436926603</v>
      </c>
      <c r="Y25" s="612">
        <f>Y24*277.78*3412.13/10^6</f>
        <v>744.39054899341807</v>
      </c>
    </row>
    <row r="26" spans="1:25" ht="15" thickBot="1" x14ac:dyDescent="0.25">
      <c r="A26" s="593" t="s">
        <v>236</v>
      </c>
      <c r="B26" s="615">
        <v>92457.2</v>
      </c>
      <c r="C26" s="615">
        <v>92457.2</v>
      </c>
      <c r="D26" s="616">
        <v>29362.400000000001</v>
      </c>
      <c r="E26" s="617">
        <v>3251.7</v>
      </c>
      <c r="F26" s="618">
        <v>17332.8</v>
      </c>
      <c r="G26" s="618">
        <v>17332.8</v>
      </c>
      <c r="H26" s="616">
        <v>6462.5</v>
      </c>
      <c r="I26" s="617">
        <v>705.4</v>
      </c>
      <c r="J26" s="618">
        <v>7221.5</v>
      </c>
      <c r="K26" s="618">
        <v>7221.5</v>
      </c>
      <c r="L26" s="619">
        <v>4368.2</v>
      </c>
      <c r="M26" s="617">
        <v>461.5</v>
      </c>
      <c r="N26" s="618"/>
      <c r="O26" s="618">
        <v>2576.5</v>
      </c>
      <c r="P26" s="616">
        <v>1738.7</v>
      </c>
      <c r="Q26" s="617">
        <v>182.7</v>
      </c>
      <c r="R26" s="618"/>
      <c r="S26" s="618">
        <v>2461.5</v>
      </c>
      <c r="T26" s="616">
        <v>1763.5</v>
      </c>
      <c r="U26" s="619">
        <v>184.7</v>
      </c>
      <c r="V26" s="620"/>
      <c r="W26" s="621">
        <v>15683.1</v>
      </c>
      <c r="X26" s="621">
        <v>10595.8</v>
      </c>
      <c r="Y26" s="622">
        <v>1113.0999999999999</v>
      </c>
    </row>
    <row r="27" spans="1:25" x14ac:dyDescent="0.2">
      <c r="B27" s="624">
        <f>IFERROR(B25/B26,0)</f>
        <v>4.3654181610518157E-2</v>
      </c>
      <c r="C27" s="623">
        <f t="shared" ref="C27:Y27" si="3">IFERROR(C25/C26,0)</f>
        <v>0.23593688106496843</v>
      </c>
      <c r="D27" s="623">
        <f t="shared" si="3"/>
        <v>0.54633761617912224</v>
      </c>
      <c r="E27" s="623">
        <f t="shared" si="3"/>
        <v>0.51622559961830061</v>
      </c>
      <c r="F27" s="623">
        <f t="shared" si="3"/>
        <v>0.1612241992061294</v>
      </c>
      <c r="G27" s="623">
        <f t="shared" si="3"/>
        <v>0.63784524139204279</v>
      </c>
      <c r="H27" s="623">
        <f t="shared" si="3"/>
        <v>0.8281869686191905</v>
      </c>
      <c r="I27" s="623">
        <f t="shared" si="3"/>
        <v>0.81221877379057539</v>
      </c>
      <c r="J27" s="623">
        <f t="shared" si="3"/>
        <v>0.87240191096032671</v>
      </c>
      <c r="K27" s="623">
        <f t="shared" si="3"/>
        <v>1.387457536522883</v>
      </c>
      <c r="L27" s="623">
        <f t="shared" si="3"/>
        <v>1.0227888076869605</v>
      </c>
      <c r="M27" s="623">
        <f t="shared" si="3"/>
        <v>1.042172323829287</v>
      </c>
      <c r="N27" s="623">
        <f t="shared" si="3"/>
        <v>0</v>
      </c>
      <c r="O27" s="623">
        <f t="shared" si="3"/>
        <v>0.23934469241218709</v>
      </c>
      <c r="P27" s="623">
        <f t="shared" si="3"/>
        <v>0.68523125872766999</v>
      </c>
      <c r="Q27" s="623">
        <f t="shared" si="3"/>
        <v>0.66363066568958951</v>
      </c>
      <c r="R27" s="623">
        <f t="shared" si="3"/>
        <v>0</v>
      </c>
      <c r="S27" s="623">
        <f t="shared" si="3"/>
        <v>4.0242270160471252</v>
      </c>
      <c r="T27" s="623">
        <f t="shared" si="3"/>
        <v>3.5447501844765634</v>
      </c>
      <c r="U27" s="623">
        <f t="shared" si="3"/>
        <v>3.5674932793858471</v>
      </c>
      <c r="V27" s="623">
        <f t="shared" si="3"/>
        <v>0</v>
      </c>
      <c r="W27" s="623">
        <f t="shared" si="3"/>
        <v>3.0939425496234798</v>
      </c>
      <c r="X27" s="623">
        <f t="shared" si="3"/>
        <v>0.54627785950024166</v>
      </c>
      <c r="Y27" s="623">
        <f t="shared" si="3"/>
        <v>0.66875442367569682</v>
      </c>
    </row>
    <row r="28" spans="1:25" ht="15" thickBot="1" x14ac:dyDescent="0.25">
      <c r="C28" s="623"/>
    </row>
    <row r="29" spans="1:25" ht="15.75" thickBot="1" x14ac:dyDescent="0.3">
      <c r="A29" s="593">
        <v>2016</v>
      </c>
      <c r="B29" s="875" t="s">
        <v>224</v>
      </c>
      <c r="C29" s="876"/>
      <c r="D29" s="876"/>
      <c r="E29" s="877"/>
      <c r="F29" s="878" t="s">
        <v>225</v>
      </c>
      <c r="G29" s="876"/>
      <c r="H29" s="876"/>
      <c r="I29" s="877"/>
      <c r="J29" s="873" t="s">
        <v>226</v>
      </c>
      <c r="K29" s="873"/>
      <c r="L29" s="873"/>
      <c r="M29" s="874"/>
      <c r="N29" s="878" t="s">
        <v>227</v>
      </c>
      <c r="O29" s="876"/>
      <c r="P29" s="876"/>
      <c r="Q29" s="877"/>
      <c r="R29" s="878" t="s">
        <v>228</v>
      </c>
      <c r="S29" s="876"/>
      <c r="T29" s="876"/>
      <c r="U29" s="879"/>
      <c r="V29" s="872" t="s">
        <v>229</v>
      </c>
      <c r="W29" s="873"/>
      <c r="X29" s="873"/>
      <c r="Y29" s="874"/>
    </row>
    <row r="30" spans="1:25" ht="15" thickBot="1" x14ac:dyDescent="0.25">
      <c r="A30" s="593" t="s">
        <v>239</v>
      </c>
      <c r="B30" s="594" t="s">
        <v>231</v>
      </c>
      <c r="C30" s="595" t="s">
        <v>232</v>
      </c>
      <c r="D30" s="595" t="s">
        <v>233</v>
      </c>
      <c r="E30" s="596" t="s">
        <v>234</v>
      </c>
      <c r="F30" s="597" t="s">
        <v>231</v>
      </c>
      <c r="G30" s="595" t="s">
        <v>232</v>
      </c>
      <c r="H30" s="595" t="s">
        <v>233</v>
      </c>
      <c r="I30" s="596" t="s">
        <v>234</v>
      </c>
      <c r="J30" s="597" t="s">
        <v>231</v>
      </c>
      <c r="K30" s="595" t="s">
        <v>232</v>
      </c>
      <c r="L30" s="595" t="s">
        <v>233</v>
      </c>
      <c r="M30" s="596" t="s">
        <v>234</v>
      </c>
      <c r="N30" s="597" t="s">
        <v>231</v>
      </c>
      <c r="O30" s="595" t="s">
        <v>232</v>
      </c>
      <c r="P30" s="595" t="s">
        <v>233</v>
      </c>
      <c r="Q30" s="596" t="s">
        <v>234</v>
      </c>
      <c r="R30" s="597" t="s">
        <v>231</v>
      </c>
      <c r="S30" s="595" t="s">
        <v>232</v>
      </c>
      <c r="T30" s="595" t="s">
        <v>233</v>
      </c>
      <c r="U30" s="598" t="s">
        <v>234</v>
      </c>
      <c r="V30" s="599" t="s">
        <v>231</v>
      </c>
      <c r="W30" s="600" t="s">
        <v>232</v>
      </c>
      <c r="X30" s="600" t="s">
        <v>233</v>
      </c>
      <c r="Y30" s="601" t="s">
        <v>234</v>
      </c>
    </row>
    <row r="31" spans="1:25" hidden="1" x14ac:dyDescent="0.2">
      <c r="A31" s="593"/>
      <c r="B31" s="602"/>
      <c r="C31" s="603">
        <v>140.61000000000001</v>
      </c>
      <c r="D31" s="603">
        <v>1933.97</v>
      </c>
      <c r="E31" s="604">
        <f>D31+C31</f>
        <v>2074.58</v>
      </c>
      <c r="F31" s="605"/>
      <c r="G31" s="603">
        <v>12.46</v>
      </c>
      <c r="H31" s="603">
        <v>586.41999999999996</v>
      </c>
      <c r="I31" s="604">
        <f>H31+G31</f>
        <v>598.88</v>
      </c>
      <c r="J31" s="605"/>
      <c r="K31" s="603">
        <v>23.71</v>
      </c>
      <c r="L31" s="603">
        <v>490.58</v>
      </c>
      <c r="M31" s="604">
        <f>L31+K31</f>
        <v>514.29</v>
      </c>
      <c r="N31" s="605"/>
      <c r="O31" s="603">
        <v>2.63</v>
      </c>
      <c r="P31" s="603">
        <v>141.35</v>
      </c>
      <c r="Q31" s="604">
        <f>P31+O31</f>
        <v>143.97999999999999</v>
      </c>
      <c r="R31" s="605"/>
      <c r="S31" s="603">
        <v>43.04</v>
      </c>
      <c r="T31" s="603">
        <v>724.15</v>
      </c>
      <c r="U31" s="604">
        <f>T31+S31</f>
        <v>767.18999999999994</v>
      </c>
      <c r="V31" s="607"/>
      <c r="W31" s="608">
        <v>197.35</v>
      </c>
      <c r="X31" s="608">
        <v>772.43</v>
      </c>
      <c r="Y31" s="609">
        <f>X31+W31</f>
        <v>969.78</v>
      </c>
    </row>
    <row r="32" spans="1:25" x14ac:dyDescent="0.2">
      <c r="A32" s="593" t="s">
        <v>235</v>
      </c>
      <c r="B32" s="610">
        <f>B31*277.78</f>
        <v>0</v>
      </c>
      <c r="C32" s="611">
        <f>C31*277.78</f>
        <v>39058.645799999998</v>
      </c>
      <c r="D32" s="611">
        <f>D31*277.78*3412.13/10^5</f>
        <v>18330.582910434576</v>
      </c>
      <c r="E32" s="612">
        <f>E31*277.78*3412.13/10^6</f>
        <v>1966.3314681370121</v>
      </c>
      <c r="F32" s="613">
        <f>F31*277.78</f>
        <v>0</v>
      </c>
      <c r="G32" s="611">
        <f>G31*277.78</f>
        <v>3461.1387999999997</v>
      </c>
      <c r="H32" s="611">
        <f>H31*277.78*3412.13/10^5</f>
        <v>5558.2146725838793</v>
      </c>
      <c r="I32" s="612">
        <f>I31*277.78*3412.13/10^6</f>
        <v>567.63132279203205</v>
      </c>
      <c r="J32" s="613">
        <f>J31*277.78</f>
        <v>0</v>
      </c>
      <c r="K32" s="611">
        <f>K31*277.78</f>
        <v>6586.1637999999994</v>
      </c>
      <c r="L32" s="611">
        <f>L31*277.78*3412.13/10^5</f>
        <v>4649.8225743941202</v>
      </c>
      <c r="M32" s="612">
        <f>M31*277.78*3412.13/10^6</f>
        <v>487.45510452630589</v>
      </c>
      <c r="N32" s="613">
        <f>N31*277.78</f>
        <v>0</v>
      </c>
      <c r="O32" s="611">
        <f>O31*277.78</f>
        <v>730.56139999999994</v>
      </c>
      <c r="P32" s="611">
        <f>P31*277.78*3412.13/10^5</f>
        <v>1339.7456498238998</v>
      </c>
      <c r="Q32" s="612">
        <f>Q31*277.78*3412.13/10^6</f>
        <v>136.46733545217199</v>
      </c>
      <c r="R32" s="613">
        <f>R31*277.78</f>
        <v>0</v>
      </c>
      <c r="S32" s="611">
        <f>S31*277.78</f>
        <v>11955.651199999998</v>
      </c>
      <c r="T32" s="611">
        <f>T31*277.78*3412.13/10^5</f>
        <v>6863.6491851431001</v>
      </c>
      <c r="U32" s="614">
        <f>U31*277.78*3412.13/10^6</f>
        <v>727.15915464336581</v>
      </c>
      <c r="V32" s="610">
        <f>V31*277.78</f>
        <v>0</v>
      </c>
      <c r="W32" s="611">
        <f>W31*277.78</f>
        <v>54819.882999999994</v>
      </c>
      <c r="X32" s="611">
        <f>X31*277.78*3412.13/10^5</f>
        <v>7321.2573915350185</v>
      </c>
      <c r="Y32" s="612">
        <f>Y31*277.78*3412.13/10^6</f>
        <v>919.17830653429201</v>
      </c>
    </row>
    <row r="33" spans="1:25" ht="15" thickBot="1" x14ac:dyDescent="0.25">
      <c r="A33" s="593" t="s">
        <v>236</v>
      </c>
      <c r="B33" s="615"/>
      <c r="C33" s="615">
        <v>97275.199999999997</v>
      </c>
      <c r="D33" s="616">
        <v>30730.6</v>
      </c>
      <c r="E33" s="617">
        <v>3405</v>
      </c>
      <c r="F33" s="618"/>
      <c r="G33" s="618">
        <v>34659.1</v>
      </c>
      <c r="H33" s="616">
        <v>11794.6</v>
      </c>
      <c r="I33" s="617">
        <v>1297.7</v>
      </c>
      <c r="J33" s="618"/>
      <c r="K33" s="618">
        <v>20699.5</v>
      </c>
      <c r="L33" s="619">
        <v>11870.7</v>
      </c>
      <c r="M33" s="617">
        <v>1257.7</v>
      </c>
      <c r="N33" s="618"/>
      <c r="O33" s="618">
        <v>2712.3</v>
      </c>
      <c r="P33" s="616">
        <v>1822.1</v>
      </c>
      <c r="Q33" s="617">
        <v>191.5</v>
      </c>
      <c r="R33" s="618"/>
      <c r="S33" s="618">
        <v>2586.6999999999998</v>
      </c>
      <c r="T33" s="616">
        <v>1849.4</v>
      </c>
      <c r="U33" s="619">
        <v>193.8</v>
      </c>
      <c r="V33" s="620"/>
      <c r="W33" s="621">
        <v>16387</v>
      </c>
      <c r="X33" s="621">
        <v>11137.9</v>
      </c>
      <c r="Y33" s="622">
        <v>1169.7</v>
      </c>
    </row>
    <row r="34" spans="1:25" x14ac:dyDescent="0.2">
      <c r="B34" s="623">
        <f>IFERROR(B32/B33,0)</f>
        <v>0</v>
      </c>
      <c r="C34" s="623">
        <f t="shared" ref="C34:Y34" si="4">IFERROR(C32/C33,0)</f>
        <v>0.40152727313847725</v>
      </c>
      <c r="D34" s="623">
        <f t="shared" si="4"/>
        <v>0.59649284135144043</v>
      </c>
      <c r="E34" s="623">
        <f t="shared" si="4"/>
        <v>0.57748354423994486</v>
      </c>
      <c r="F34" s="623">
        <f t="shared" si="4"/>
        <v>0</v>
      </c>
      <c r="G34" s="623">
        <f t="shared" si="4"/>
        <v>9.986233918364873E-2</v>
      </c>
      <c r="H34" s="623">
        <f t="shared" si="4"/>
        <v>0.4712507988896511</v>
      </c>
      <c r="I34" s="623">
        <f t="shared" si="4"/>
        <v>0.43741336425370425</v>
      </c>
      <c r="J34" s="623">
        <f t="shared" si="4"/>
        <v>0</v>
      </c>
      <c r="K34" s="623">
        <f t="shared" si="4"/>
        <v>0.31817984975482494</v>
      </c>
      <c r="L34" s="623">
        <f t="shared" si="4"/>
        <v>0.39170584501285688</v>
      </c>
      <c r="M34" s="623">
        <f t="shared" si="4"/>
        <v>0.38757661169301572</v>
      </c>
      <c r="N34" s="623">
        <f t="shared" si="4"/>
        <v>0</v>
      </c>
      <c r="O34" s="623">
        <f t="shared" si="4"/>
        <v>0.26935125170519481</v>
      </c>
      <c r="P34" s="623">
        <f t="shared" si="4"/>
        <v>0.73527558850990615</v>
      </c>
      <c r="Q34" s="623">
        <f t="shared" si="4"/>
        <v>0.71262316163014094</v>
      </c>
      <c r="R34" s="623">
        <f t="shared" si="4"/>
        <v>0</v>
      </c>
      <c r="S34" s="623">
        <f t="shared" si="4"/>
        <v>4.6219705416167312</v>
      </c>
      <c r="T34" s="623">
        <f t="shared" si="4"/>
        <v>3.7112843003909917</v>
      </c>
      <c r="U34" s="623">
        <f t="shared" si="4"/>
        <v>3.7521112210699989</v>
      </c>
      <c r="V34" s="623">
        <f t="shared" si="4"/>
        <v>0</v>
      </c>
      <c r="W34" s="623">
        <f t="shared" si="4"/>
        <v>3.3453275767376573</v>
      </c>
      <c r="X34" s="623">
        <f t="shared" si="4"/>
        <v>0.65732834659451234</v>
      </c>
      <c r="Y34" s="623">
        <f t="shared" si="4"/>
        <v>0.78582397754491917</v>
      </c>
    </row>
  </sheetData>
  <mergeCells count="30">
    <mergeCell ref="V29:Y29"/>
    <mergeCell ref="B22:E22"/>
    <mergeCell ref="F22:I22"/>
    <mergeCell ref="J22:M22"/>
    <mergeCell ref="N22:Q22"/>
    <mergeCell ref="R22:U22"/>
    <mergeCell ref="V22:Y22"/>
    <mergeCell ref="B29:E29"/>
    <mergeCell ref="F29:I29"/>
    <mergeCell ref="J29:M29"/>
    <mergeCell ref="N29:Q29"/>
    <mergeCell ref="R29:U29"/>
    <mergeCell ref="V15:Y15"/>
    <mergeCell ref="B8:E8"/>
    <mergeCell ref="F8:I8"/>
    <mergeCell ref="J8:M8"/>
    <mergeCell ref="N8:Q8"/>
    <mergeCell ref="R8:U8"/>
    <mergeCell ref="V8:Y8"/>
    <mergeCell ref="B15:E15"/>
    <mergeCell ref="F15:I15"/>
    <mergeCell ref="J15:M15"/>
    <mergeCell ref="N15:Q15"/>
    <mergeCell ref="R15:U15"/>
    <mergeCell ref="V1:Y1"/>
    <mergeCell ref="B1:E1"/>
    <mergeCell ref="F1:I1"/>
    <mergeCell ref="J1:M1"/>
    <mergeCell ref="N1:Q1"/>
    <mergeCell ref="R1:U1"/>
  </mergeCells>
  <pageMargins left="0.7" right="0.7" top="0.75" bottom="0.75" header="0.3" footer="0.3"/>
  <pageSetup orientation="portrait" r:id="rId1"/>
  <headerFooter>
    <oddFooter>&amp;C_x000D_&amp;1#&amp;"Calibri"&amp;22&amp;K0073CF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DB01-13B7-495F-8D59-EC035916AE72}">
  <sheetPr codeName="Sheet14">
    <tabColor theme="9" tint="0.59999389629810485"/>
    <pageSetUpPr fitToPage="1"/>
  </sheetPr>
  <dimension ref="B1:AR288"/>
  <sheetViews>
    <sheetView topLeftCell="A31" zoomScale="70" zoomScaleNormal="70" workbookViewId="0">
      <selection activeCell="Q5" sqref="Q5"/>
    </sheetView>
  </sheetViews>
  <sheetFormatPr defaultColWidth="9.28515625" defaultRowHeight="12.75" x14ac:dyDescent="0.2"/>
  <cols>
    <col min="1" max="1" width="3.28515625" style="91" customWidth="1"/>
    <col min="2" max="2" width="58.7109375" style="91" customWidth="1"/>
    <col min="3" max="4" width="15.28515625" style="91" customWidth="1"/>
    <col min="5" max="5" width="12.42578125" style="91" customWidth="1"/>
    <col min="6" max="6" width="36.28515625" style="91" bestFit="1" customWidth="1"/>
    <col min="7" max="7" width="13.5703125" style="91" customWidth="1"/>
    <col min="8" max="9" width="32.7109375" style="91" customWidth="1"/>
    <col min="10" max="10" width="17.140625" style="91" customWidth="1"/>
    <col min="11" max="11" width="16" style="91" customWidth="1"/>
    <col min="12" max="12" width="21.5703125" style="91" bestFit="1" customWidth="1"/>
    <col min="13" max="13" width="14.28515625" style="91" customWidth="1"/>
    <col min="14" max="14" width="13.5703125" style="91" customWidth="1"/>
    <col min="15" max="15" width="17.7109375" style="91" customWidth="1"/>
    <col min="16" max="16" width="15.42578125" style="91" customWidth="1"/>
    <col min="17" max="19" width="16.42578125" style="91" customWidth="1"/>
    <col min="20" max="24" width="19.5703125" style="91" customWidth="1"/>
    <col min="25" max="25" width="24.7109375" style="91" customWidth="1"/>
    <col min="26" max="32" width="19.5703125" style="91" customWidth="1"/>
    <col min="33" max="38" width="19.28515625" style="91" customWidth="1"/>
    <col min="39" max="39" width="19" style="91" customWidth="1"/>
    <col min="40" max="40" width="18.7109375" style="91" customWidth="1"/>
    <col min="41" max="41" width="17.5703125" style="91" customWidth="1"/>
    <col min="42" max="42" width="19.5703125" style="91" customWidth="1"/>
    <col min="43" max="43" width="20.7109375" style="91" bestFit="1" customWidth="1"/>
    <col min="44" max="44" width="9.28515625" style="91" bestFit="1" customWidth="1"/>
    <col min="45" max="45" width="16.42578125" style="91" customWidth="1"/>
    <col min="46" max="46" width="20.42578125" style="91" bestFit="1" customWidth="1"/>
    <col min="47" max="47" width="13.85546875" style="91" customWidth="1"/>
    <col min="48" max="48" width="9.28515625" style="91" customWidth="1"/>
    <col min="49" max="49" width="18.28515625" style="91" bestFit="1" customWidth="1"/>
    <col min="50" max="16384" width="9.28515625" style="91"/>
  </cols>
  <sheetData>
    <row r="1" spans="2:29" ht="13.5" thickBot="1" x14ac:dyDescent="0.25">
      <c r="B1" s="648"/>
      <c r="C1" s="648"/>
      <c r="D1" s="648"/>
      <c r="E1" s="648"/>
      <c r="F1" s="648"/>
      <c r="G1" s="648"/>
      <c r="H1" s="648"/>
      <c r="I1" s="649" t="s">
        <v>240</v>
      </c>
      <c r="J1" s="649"/>
      <c r="K1" s="649"/>
      <c r="L1" s="649"/>
      <c r="M1" s="649"/>
      <c r="N1" s="649"/>
      <c r="O1" s="648"/>
      <c r="P1" s="648"/>
      <c r="Q1" s="648"/>
      <c r="R1" s="648"/>
      <c r="S1" s="648"/>
      <c r="T1" s="648"/>
      <c r="U1" s="92" t="s">
        <v>241</v>
      </c>
      <c r="V1" s="648"/>
      <c r="W1" s="648"/>
      <c r="X1" s="648"/>
      <c r="Y1" s="648"/>
      <c r="Z1" s="648"/>
      <c r="AA1" s="648"/>
      <c r="AB1" s="648"/>
      <c r="AC1" s="648"/>
    </row>
    <row r="2" spans="2:29" ht="13.5" thickBot="1" x14ac:dyDescent="0.25">
      <c r="B2" s="650"/>
      <c r="C2" s="651"/>
      <c r="D2" s="651"/>
      <c r="E2" s="651"/>
      <c r="F2" s="652" t="s">
        <v>242</v>
      </c>
      <c r="G2" s="653"/>
      <c r="H2" s="654"/>
      <c r="I2" s="655"/>
      <c r="J2" s="655"/>
      <c r="K2" s="655" t="s">
        <v>243</v>
      </c>
      <c r="L2" s="655" t="s">
        <v>243</v>
      </c>
      <c r="M2" s="655" t="s">
        <v>244</v>
      </c>
      <c r="N2" s="656" t="s">
        <v>245</v>
      </c>
      <c r="O2" s="648"/>
      <c r="P2" s="648"/>
      <c r="Q2" s="648"/>
      <c r="R2" s="648"/>
      <c r="S2" s="648"/>
      <c r="T2" s="648"/>
      <c r="U2" s="93" t="s">
        <v>246</v>
      </c>
      <c r="V2" s="657"/>
      <c r="W2" s="657"/>
      <c r="X2" s="657"/>
      <c r="Y2" s="94"/>
      <c r="Z2" s="94"/>
      <c r="AA2" s="94"/>
      <c r="AB2" s="94"/>
      <c r="AC2" s="94"/>
    </row>
    <row r="3" spans="2:29" ht="51.75" thickBot="1" x14ac:dyDescent="0.25">
      <c r="B3" s="658"/>
      <c r="C3" s="638" t="s">
        <v>243</v>
      </c>
      <c r="D3" s="638" t="s">
        <v>247</v>
      </c>
      <c r="E3" s="638" t="s">
        <v>244</v>
      </c>
      <c r="F3" s="659" t="s">
        <v>248</v>
      </c>
      <c r="G3" s="660" t="s">
        <v>249</v>
      </c>
      <c r="H3" s="661" t="s">
        <v>250</v>
      </c>
      <c r="I3" s="662" t="s">
        <v>251</v>
      </c>
      <c r="J3" s="663" t="s">
        <v>252</v>
      </c>
      <c r="K3" s="663" t="s">
        <v>253</v>
      </c>
      <c r="L3" s="663" t="s">
        <v>254</v>
      </c>
      <c r="M3" s="664" t="s">
        <v>254</v>
      </c>
      <c r="N3" s="665" t="s">
        <v>255</v>
      </c>
      <c r="O3" s="648"/>
      <c r="P3" s="666" t="s">
        <v>256</v>
      </c>
      <c r="Q3" s="667" t="s">
        <v>257</v>
      </c>
      <c r="R3" s="668" t="s">
        <v>258</v>
      </c>
      <c r="S3" s="648"/>
      <c r="T3" s="648"/>
      <c r="U3" s="669" t="s">
        <v>259</v>
      </c>
      <c r="V3" s="670" t="e">
        <f>IF(Inputs!C20="Bundle Set",C4,0)</f>
        <v>#N/A</v>
      </c>
      <c r="W3" s="669" t="s">
        <v>260</v>
      </c>
      <c r="X3" s="671">
        <f>Inputs!C32</f>
        <v>0</v>
      </c>
      <c r="Y3" s="672" t="s">
        <v>261</v>
      </c>
      <c r="Z3" s="673"/>
      <c r="AA3" s="670" t="e">
        <f>V3*1.1</f>
        <v>#N/A</v>
      </c>
      <c r="AB3" s="669" t="s">
        <v>262</v>
      </c>
      <c r="AC3" s="669"/>
    </row>
    <row r="4" spans="2:29" ht="15" x14ac:dyDescent="0.2">
      <c r="B4" s="95" t="s">
        <v>263</v>
      </c>
      <c r="C4" s="674" t="e">
        <f>IF(ISBLANK(Inputs!C36),IF(Inputs!C$11="Existing Building - Retrofit",R4*Inputs!C$14*Inputs!C$18,VLOOKUP(Inputs!C$8,'DOE prototypical models'!$A$5:$N$17,13,FALSE)*Inputs!C$14),Inputs!C36)</f>
        <v>#N/A</v>
      </c>
      <c r="D4" s="675">
        <f>(IF(AND(Inputs!C64="Rough Estimate: Tier 1A",Bldg_Type="Residential"),0.15,0)+IF(Inputs!C64="Rough Estimate: Tier 1A",IF(Bldg_Type="Residential",0,0.15),0)+IF(Inputs!C64="Rough Estimate: Tier 1B",0.25,0)+IF(AND(Inputs!C64="Rough Estimate: Tier 2",Bldg_Type="Residential"),0.35,0)+IF(Inputs!C64="Rough Estimate: Tier 2",IF(Bldg_Type="Residential",0,0.35),0))</f>
        <v>0</v>
      </c>
      <c r="E4" s="659">
        <f>IF(Inputs!C19="4A",IF(D4&gt;0,(1-D4)*C4,IF(OR(Inputs!C64="Data per Manual N or ACCA 183 load calculations",Inputs!C64="Calculated"),Inputs!C65,"Please provide Proposed Envelope Upgrade")),C4)</f>
        <v>0</v>
      </c>
      <c r="F4" s="659" t="e">
        <f>+C4-E4</f>
        <v>#N/A</v>
      </c>
      <c r="G4" s="659">
        <f>+D14</f>
        <v>0</v>
      </c>
      <c r="H4" s="676" t="e">
        <f>F4/C4</f>
        <v>#N/A</v>
      </c>
      <c r="I4" s="677" t="s">
        <v>264</v>
      </c>
      <c r="J4" s="678">
        <f>HLOOKUP("Air Conditioning",Peak_Consump_LF!AB4:AD106,103,FALSE)</f>
        <v>0</v>
      </c>
      <c r="K4" s="678">
        <f>+J4*Inputs!C14*Inputs!C18</f>
        <v>0</v>
      </c>
      <c r="L4" s="679">
        <f>IF(S37&gt;0,J4*Inputs!C14*Inputs!C18*0.5/S37,0)</f>
        <v>0</v>
      </c>
      <c r="M4" s="680">
        <f>(1-D4)*L4</f>
        <v>0</v>
      </c>
      <c r="N4" s="681">
        <f>IFERROR((+L4-M4),0)</f>
        <v>0</v>
      </c>
      <c r="O4" s="648"/>
      <c r="P4" s="682" t="s">
        <v>264</v>
      </c>
      <c r="Q4" s="683">
        <f>HLOOKUP("Air Conditioning",Peak_Consump_LF!W4:Y106,103,FALSE)</f>
        <v>0</v>
      </c>
      <c r="R4" s="676">
        <f>Q4/1</f>
        <v>0</v>
      </c>
      <c r="S4" s="648"/>
      <c r="T4" s="648"/>
      <c r="U4" s="669" t="s">
        <v>265</v>
      </c>
      <c r="V4" s="670">
        <f>IF(Inputs!C20="Bundle Set",E4,0)</f>
        <v>0</v>
      </c>
      <c r="W4" s="672"/>
      <c r="X4" s="669" t="s">
        <v>266</v>
      </c>
      <c r="Y4" s="684"/>
      <c r="Z4" s="673" t="s">
        <v>267</v>
      </c>
      <c r="AA4" s="669"/>
      <c r="AB4" s="669"/>
      <c r="AC4" s="669"/>
    </row>
    <row r="5" spans="2:29" ht="15.75" thickBot="1" x14ac:dyDescent="0.25">
      <c r="B5" s="96" t="s">
        <v>268</v>
      </c>
      <c r="C5" s="674" t="e">
        <f>IF(ISBLANK(Inputs!C37),IF(Inputs!C$11="Existing Building - Retrofit",R5*Inputs!C$14*Inputs!C$18,VLOOKUP(Inputs!C$8,'DOE prototypical models'!$A$5:$N$17,14,FALSE)*Inputs!C$14),Inputs!C37)</f>
        <v>#N/A</v>
      </c>
      <c r="D5" s="675">
        <f>(IF(AND(Inputs!C64="Rough Estimate: Tier 1A",Bldg_Type="Residential"),0.15,0)+IF(Inputs!C64="Rough Estimate: Tier 1A",IF(Bldg_Type="Residential",0,0.15),0)+IF(Inputs!C64="Rough Estimate: Tier 1B",0.25,0)+IF(AND(Inputs!C64="Rough Estimate: Tier 2",Bldg_Type="Residential"),0.35,0)+IF(Inputs!C64="Rough Estimate: Tier 2",IF(Bldg_Type="Residential",0,0.35),0))</f>
        <v>0</v>
      </c>
      <c r="E5" s="659">
        <f>IF(Inputs!C19="4A",IF(D5&gt;0,(1-D5)*C5,IF(OR(Inputs!C64="Data per Manual N or ACCA 183 load calculations",Inputs!C64="Calculated"),Inputs!C66,"Please provide Proposed Envelope Upgrade")),C5)</f>
        <v>0</v>
      </c>
      <c r="F5" s="659" t="e">
        <f>+C5-E5</f>
        <v>#N/A</v>
      </c>
      <c r="G5" s="659">
        <f>+D15</f>
        <v>0</v>
      </c>
      <c r="H5" s="676" t="e">
        <f>F5/C5</f>
        <v>#N/A</v>
      </c>
      <c r="I5" s="677" t="s">
        <v>269</v>
      </c>
      <c r="J5" s="678">
        <f>HLOOKUP("heating",Peak_Consump_LF!AB4:AD106,103,FALSE)</f>
        <v>0</v>
      </c>
      <c r="K5" s="678">
        <f>+J5*Inputs!C14*Inputs!C18</f>
        <v>0</v>
      </c>
      <c r="L5" s="679" t="e">
        <f>J5*Inputs!C14*Inputs!C18/S39</f>
        <v>#DIV/0!</v>
      </c>
      <c r="M5" s="680" t="e">
        <f>(1-D5)*L5</f>
        <v>#DIV/0!</v>
      </c>
      <c r="N5" s="681">
        <f>IFERROR((L5-M5),0)</f>
        <v>0</v>
      </c>
      <c r="O5" s="648"/>
      <c r="P5" s="685" t="s">
        <v>269</v>
      </c>
      <c r="Q5" s="686">
        <f>HLOOKUP("heating",Peak_Consump_LF!W4:Y106,103,FALSE)</f>
        <v>0</v>
      </c>
      <c r="R5" s="687">
        <f>Q5/1</f>
        <v>0</v>
      </c>
      <c r="S5" s="648"/>
      <c r="T5" s="648"/>
      <c r="U5" s="673" t="s">
        <v>270</v>
      </c>
      <c r="V5" s="688" t="e" cm="1">
        <f t="array" ref="V5">-(SUMPRODUCT(--($U$47:$U$109="No"),$T$47:$T$109,$G$47:$G$109) +SUMPRODUCT(--($U$120:$U$182="No"),$T$120:$T$182,$G$120:$G$182) - SUMPRODUCT(--($U$47:$U$109="No"),$I$47:$I$109,$G$47:$G$109) -SUMPRODUCT(--($U$120:$U$182="No"),$I$120:$I$182,$G$120:$G$182) )/1000000</f>
        <v>#VALUE!</v>
      </c>
      <c r="W5" s="689" t="s">
        <v>271</v>
      </c>
      <c r="X5" s="669" t="s">
        <v>266</v>
      </c>
      <c r="Y5" s="684"/>
      <c r="Z5" s="97" t="s">
        <v>272</v>
      </c>
      <c r="AA5" s="669"/>
      <c r="AB5" s="669"/>
      <c r="AC5" s="669"/>
    </row>
    <row r="6" spans="2:29" ht="39" thickBot="1" x14ac:dyDescent="0.25">
      <c r="B6" s="690"/>
      <c r="C6" s="691"/>
      <c r="D6" s="691"/>
      <c r="E6" s="691" t="s">
        <v>273</v>
      </c>
      <c r="F6" s="692" t="e">
        <f>SUM(F4:F5)</f>
        <v>#N/A</v>
      </c>
      <c r="G6" s="692">
        <f>SUM(G4:G5)</f>
        <v>0</v>
      </c>
      <c r="H6" s="693" t="e">
        <f>IF(C4&gt;C5,F4/C4,F5/C5)</f>
        <v>#N/A</v>
      </c>
      <c r="I6" s="694"/>
      <c r="J6" s="694"/>
      <c r="K6" s="694"/>
      <c r="L6" s="694"/>
      <c r="M6" s="694"/>
      <c r="N6" s="695">
        <f>SUM(N4:N5)</f>
        <v>0</v>
      </c>
      <c r="O6" s="648"/>
      <c r="P6" s="648"/>
      <c r="Q6" s="648"/>
      <c r="R6" s="648"/>
      <c r="S6" s="648"/>
      <c r="T6" s="648"/>
      <c r="U6" s="669"/>
      <c r="V6" s="98" t="s">
        <v>274</v>
      </c>
      <c r="W6" s="98" t="s">
        <v>275</v>
      </c>
      <c r="X6" s="98" t="s">
        <v>276</v>
      </c>
      <c r="Y6" s="98" t="s">
        <v>277</v>
      </c>
      <c r="Z6" s="98" t="s">
        <v>278</v>
      </c>
      <c r="AA6" s="98" t="s">
        <v>279</v>
      </c>
      <c r="AB6" s="98" t="s">
        <v>280</v>
      </c>
      <c r="AC6" s="669"/>
    </row>
    <row r="7" spans="2:29" x14ac:dyDescent="0.2">
      <c r="B7" s="648"/>
      <c r="C7" s="648"/>
      <c r="D7" s="648"/>
      <c r="E7" s="648"/>
      <c r="F7" s="648"/>
      <c r="G7" s="648"/>
      <c r="H7" s="648"/>
      <c r="I7" s="648"/>
      <c r="J7" s="648"/>
      <c r="K7" s="648"/>
      <c r="L7" s="648"/>
      <c r="M7" s="648"/>
      <c r="N7" s="648"/>
      <c r="O7" s="648"/>
      <c r="P7" s="648"/>
      <c r="Q7" s="648"/>
      <c r="R7" s="648"/>
      <c r="S7" s="648"/>
      <c r="T7" s="648"/>
      <c r="U7" s="696" t="s">
        <v>281</v>
      </c>
      <c r="V7" s="697" t="e">
        <f>(SUMPRODUCT(V47:V109,$G$47:$G$109)+SUMPRODUCT(V120:V182,G120:G182))/1000000</f>
        <v>#N/A</v>
      </c>
      <c r="W7" s="697" t="e">
        <f>SUM($AE$47:$AE$109,$AE$120:$AE$182)/3412</f>
        <v>#VALUE!</v>
      </c>
      <c r="X7" s="697">
        <f>Q37</f>
        <v>0</v>
      </c>
      <c r="Y7" s="697">
        <f>IFERROR(V7*1000/W7,0)</f>
        <v>0</v>
      </c>
      <c r="Z7" s="697">
        <f>AC50</f>
        <v>0</v>
      </c>
      <c r="AA7" s="697" t="e">
        <f>T50/AC50/1000</f>
        <v>#N/A</v>
      </c>
      <c r="AB7" s="697" t="e">
        <f>V3/X7/1000*$C$57</f>
        <v>#N/A</v>
      </c>
      <c r="AC7" s="669"/>
    </row>
    <row r="8" spans="2:29" ht="15" x14ac:dyDescent="0.25">
      <c r="B8" s="884" t="s">
        <v>282</v>
      </c>
      <c r="C8" s="885"/>
      <c r="D8" s="885"/>
      <c r="E8" s="886"/>
      <c r="F8" s="648"/>
      <c r="G8" s="648"/>
      <c r="H8" s="648"/>
      <c r="I8" s="648"/>
      <c r="J8" s="648"/>
      <c r="K8" s="648"/>
      <c r="L8" s="648"/>
      <c r="M8" s="648"/>
      <c r="N8" s="648"/>
      <c r="O8" s="648"/>
      <c r="P8" s="648"/>
      <c r="Q8" s="648"/>
      <c r="R8" s="648"/>
      <c r="S8" s="648"/>
      <c r="T8" s="648"/>
      <c r="U8" s="696" t="s">
        <v>244</v>
      </c>
      <c r="V8" s="697" t="e">
        <f>(SUMPRODUCT(X47:X109,$G$47:$G$109)+SUMPRODUCT(X120:X182,G120:G182))/1000000</f>
        <v>#VALUE!</v>
      </c>
      <c r="W8" s="697" t="e">
        <f>SUM($AF$47:$AF$109,$AF$120:$AF$182)/3412</f>
        <v>#VALUE!</v>
      </c>
      <c r="X8" s="697">
        <f>Q37</f>
        <v>0</v>
      </c>
      <c r="Y8" s="697">
        <f>IFERROR(V7*1000/W8,0)</f>
        <v>0</v>
      </c>
      <c r="Z8" s="697">
        <f>AD50</f>
        <v>0</v>
      </c>
      <c r="AA8" s="697" t="e">
        <f>U50/AD50/1000</f>
        <v>#VALUE!</v>
      </c>
      <c r="AB8" s="697" t="e">
        <f>V4/X8/1000*$C$57</f>
        <v>#DIV/0!</v>
      </c>
      <c r="AC8" s="669"/>
    </row>
    <row r="9" spans="2:29" x14ac:dyDescent="0.2">
      <c r="B9" s="648"/>
      <c r="C9" s="648"/>
      <c r="D9" s="648"/>
      <c r="E9" s="648"/>
      <c r="F9" s="648"/>
      <c r="G9" s="648"/>
      <c r="H9" s="648"/>
      <c r="I9" s="648"/>
      <c r="J9" s="648"/>
      <c r="K9" s="648"/>
      <c r="L9" s="648"/>
      <c r="M9" s="648"/>
      <c r="N9" s="648"/>
      <c r="O9" s="648"/>
      <c r="P9" s="648"/>
      <c r="Q9" s="648"/>
      <c r="R9" s="648"/>
      <c r="S9" s="648"/>
      <c r="T9" s="648"/>
      <c r="U9" s="696" t="s">
        <v>283</v>
      </c>
      <c r="V9" s="696"/>
      <c r="W9" s="697" t="e">
        <f t="shared" ref="W9:AB9" si="0">W7-W8</f>
        <v>#VALUE!</v>
      </c>
      <c r="X9" s="697">
        <f t="shared" si="0"/>
        <v>0</v>
      </c>
      <c r="Y9" s="697">
        <f t="shared" si="0"/>
        <v>0</v>
      </c>
      <c r="Z9" s="697">
        <f t="shared" si="0"/>
        <v>0</v>
      </c>
      <c r="AA9" s="697" t="e">
        <f t="shared" si="0"/>
        <v>#N/A</v>
      </c>
      <c r="AB9" s="697" t="e">
        <f t="shared" si="0"/>
        <v>#N/A</v>
      </c>
      <c r="AC9" s="669"/>
    </row>
    <row r="10" spans="2:29" ht="45.75" customHeight="1" x14ac:dyDescent="0.2">
      <c r="B10" s="99" t="s">
        <v>284</v>
      </c>
      <c r="C10" s="99" t="str">
        <f>IF(Inputs!C37="Electric","Heating Electrification Savings (kWh)","Therms savings  ("&amp;Inputs!C39&amp;")")</f>
        <v>Therms savings  ()</v>
      </c>
      <c r="D10" s="99" t="s">
        <v>285</v>
      </c>
      <c r="E10" s="648"/>
      <c r="F10" s="648"/>
      <c r="G10" s="648"/>
      <c r="H10" s="648"/>
      <c r="I10" s="648"/>
      <c r="J10" s="648"/>
      <c r="K10" s="648"/>
      <c r="L10" s="648"/>
      <c r="M10" s="648"/>
      <c r="N10" s="648"/>
      <c r="O10" s="648"/>
      <c r="P10" s="648"/>
      <c r="Q10" s="648"/>
      <c r="R10" s="648"/>
      <c r="S10" s="648"/>
      <c r="T10" s="648"/>
      <c r="U10" s="669"/>
      <c r="V10" s="669"/>
      <c r="W10" s="669"/>
      <c r="X10" s="669"/>
      <c r="Y10" s="669"/>
      <c r="Z10" s="669"/>
      <c r="AA10" s="669"/>
      <c r="AB10" s="669"/>
      <c r="AC10" s="669"/>
    </row>
    <row r="11" spans="2:29" x14ac:dyDescent="0.2">
      <c r="B11" s="698">
        <f>+SUM(D14:D15)</f>
        <v>0</v>
      </c>
      <c r="C11" s="698">
        <f>IF(Inputs!C39="Electric",H19,F19*10)</f>
        <v>0</v>
      </c>
      <c r="D11" s="698" t="e">
        <f>H18</f>
        <v>#VALUE!</v>
      </c>
      <c r="E11" s="648"/>
      <c r="F11" s="648"/>
      <c r="G11" s="648"/>
      <c r="H11" s="648"/>
      <c r="I11" s="648"/>
      <c r="J11" s="648"/>
      <c r="K11" s="648"/>
      <c r="L11" s="648"/>
      <c r="M11" s="648"/>
      <c r="N11" s="648"/>
      <c r="O11" s="648"/>
      <c r="P11" s="648"/>
      <c r="Q11" s="648"/>
      <c r="R11" s="648"/>
      <c r="S11" s="648"/>
      <c r="T11" s="648"/>
      <c r="U11" s="669"/>
      <c r="V11" s="100" t="e">
        <f>" Safety Factor = "&amp;'Results Summary'!#REF!</f>
        <v>#REF!</v>
      </c>
      <c r="W11" s="101" t="e">
        <f>'Results Summary'!#REF!</f>
        <v>#REF!</v>
      </c>
      <c r="X11" s="97" t="s">
        <v>286</v>
      </c>
      <c r="Y11" s="669"/>
      <c r="Z11" s="669"/>
      <c r="AA11" s="669"/>
      <c r="AB11" s="669"/>
      <c r="AC11" s="669"/>
    </row>
    <row r="12" spans="2:29" ht="15" x14ac:dyDescent="0.25">
      <c r="B12" s="884" t="s">
        <v>287</v>
      </c>
      <c r="C12" s="885"/>
      <c r="D12" s="885"/>
      <c r="E12" s="886"/>
      <c r="F12" s="648"/>
      <c r="G12" s="648"/>
      <c r="H12" s="648"/>
      <c r="I12" s="648"/>
      <c r="J12" s="648"/>
      <c r="K12" s="648"/>
      <c r="L12" s="648"/>
      <c r="M12" s="648"/>
      <c r="N12" s="648"/>
      <c r="O12" s="648" t="s">
        <v>288</v>
      </c>
      <c r="P12" s="648"/>
      <c r="Q12" s="648"/>
      <c r="R12" s="648"/>
      <c r="S12" s="648"/>
      <c r="T12" s="648"/>
      <c r="U12" s="669"/>
      <c r="V12" s="669"/>
      <c r="W12" s="699"/>
      <c r="X12" s="669"/>
      <c r="Y12" s="669"/>
      <c r="Z12" s="669"/>
      <c r="AA12" s="669"/>
      <c r="AB12" s="669"/>
      <c r="AC12" s="669"/>
    </row>
    <row r="13" spans="2:29" ht="25.5" x14ac:dyDescent="0.2">
      <c r="B13" s="102"/>
      <c r="C13" s="102"/>
      <c r="D13" s="103" t="s">
        <v>249</v>
      </c>
      <c r="E13" s="103" t="s">
        <v>289</v>
      </c>
      <c r="F13" s="700"/>
      <c r="G13" s="638" t="s">
        <v>290</v>
      </c>
      <c r="H13" s="648"/>
      <c r="I13" s="648"/>
      <c r="J13" s="648"/>
      <c r="K13" s="648"/>
      <c r="L13" s="648"/>
      <c r="M13" s="648"/>
      <c r="N13" s="648"/>
      <c r="O13" s="648"/>
      <c r="P13" s="648"/>
      <c r="Q13" s="648"/>
      <c r="R13" s="648"/>
      <c r="S13" s="648"/>
      <c r="T13" s="648"/>
      <c r="U13" s="669"/>
      <c r="V13" s="669"/>
      <c r="W13" s="669"/>
      <c r="X13" s="669"/>
      <c r="Y13" s="669"/>
      <c r="Z13" s="669"/>
      <c r="AA13" s="669"/>
      <c r="AB13" s="669"/>
      <c r="AC13" s="669"/>
    </row>
    <row r="14" spans="2:29" x14ac:dyDescent="0.2">
      <c r="B14" s="102" t="s">
        <v>203</v>
      </c>
      <c r="C14" s="102"/>
      <c r="D14" s="701">
        <f>IFERROR(E14*3412.14/10^6,0)</f>
        <v>0</v>
      </c>
      <c r="E14" s="701">
        <f>IFERROR(SUM(AI47:AI109,AI120:AI182),0)</f>
        <v>0</v>
      </c>
      <c r="F14" s="102" t="s">
        <v>203</v>
      </c>
      <c r="G14" s="702">
        <f>IFERROR(-D14/(D18),0)</f>
        <v>0</v>
      </c>
      <c r="H14" s="638" t="s">
        <v>291</v>
      </c>
      <c r="I14" s="659" t="e">
        <f>+SUM(AE47:AE109,AE120:AE182)/3412</f>
        <v>#VALUE!</v>
      </c>
      <c r="J14" s="648"/>
      <c r="K14" s="648"/>
      <c r="L14" s="648"/>
      <c r="M14" s="648"/>
      <c r="N14" s="648"/>
      <c r="O14" s="648"/>
      <c r="P14" s="648"/>
      <c r="Q14" s="648"/>
      <c r="R14" s="648"/>
      <c r="S14" s="648"/>
      <c r="T14" s="648"/>
      <c r="U14" s="104" t="s">
        <v>292</v>
      </c>
      <c r="V14" s="703"/>
      <c r="W14" s="703"/>
      <c r="X14" s="703"/>
      <c r="Y14" s="703"/>
      <c r="Z14" s="703"/>
      <c r="AA14" s="703"/>
      <c r="AB14" s="703"/>
      <c r="AC14" s="703"/>
    </row>
    <row r="15" spans="2:29" x14ac:dyDescent="0.2">
      <c r="B15" s="638" t="s">
        <v>293</v>
      </c>
      <c r="C15" s="638"/>
      <c r="D15" s="701">
        <f>IFERROR(E15/10,0)</f>
        <v>0</v>
      </c>
      <c r="E15" s="701">
        <f>IFERROR(IF(OR((Inputs!C39="Electric"),Q$39&gt;=1.01),0,(SUM(Q47:Q109,Q120:Q182)/100000)),0)</f>
        <v>0</v>
      </c>
      <c r="F15" s="638" t="s">
        <v>293</v>
      </c>
      <c r="G15" s="702">
        <f>IFERROR(-D15/(D19),0)</f>
        <v>0</v>
      </c>
      <c r="H15" s="638" t="s">
        <v>294</v>
      </c>
      <c r="I15" s="659" t="e">
        <f>+SUM(O47:O109,O120:O182)/10^6</f>
        <v>#N/A</v>
      </c>
      <c r="J15" s="648"/>
      <c r="K15" s="648"/>
      <c r="L15" s="648"/>
      <c r="M15" s="648"/>
      <c r="N15" s="648"/>
      <c r="O15" s="648"/>
      <c r="P15" s="648"/>
      <c r="Q15" s="648"/>
      <c r="R15" s="648"/>
      <c r="S15" s="648"/>
      <c r="T15" s="648"/>
      <c r="U15" s="669" t="s">
        <v>295</v>
      </c>
      <c r="V15" s="670" t="e">
        <f>IF(Inputs!C20="Bundle Set",C5,0)</f>
        <v>#N/A</v>
      </c>
      <c r="W15" s="669" t="s">
        <v>260</v>
      </c>
      <c r="X15" s="671"/>
      <c r="Y15" s="672" t="s">
        <v>296</v>
      </c>
      <c r="Z15" s="669"/>
      <c r="AA15" s="669"/>
      <c r="AB15" s="669"/>
      <c r="AC15" s="669"/>
    </row>
    <row r="16" spans="2:29" ht="51" x14ac:dyDescent="0.2">
      <c r="B16" s="648"/>
      <c r="C16" s="648"/>
      <c r="D16" s="648"/>
      <c r="E16" s="648"/>
      <c r="F16" s="648"/>
      <c r="G16" s="648"/>
      <c r="H16" s="648"/>
      <c r="I16" s="648"/>
      <c r="J16" s="660" t="s">
        <v>214</v>
      </c>
      <c r="K16" s="660" t="s">
        <v>297</v>
      </c>
      <c r="L16" s="660" t="s">
        <v>298</v>
      </c>
      <c r="M16" s="648"/>
      <c r="N16" s="648"/>
      <c r="O16" s="648"/>
      <c r="P16" s="648"/>
      <c r="Q16" s="648"/>
      <c r="R16" s="648"/>
      <c r="S16" s="648"/>
      <c r="T16" s="648"/>
      <c r="U16" s="669" t="s">
        <v>299</v>
      </c>
      <c r="V16" s="670">
        <f>IF(Inputs!C20="Bundle Set",E5,0)</f>
        <v>0</v>
      </c>
      <c r="W16" s="672"/>
      <c r="X16" s="669"/>
      <c r="Y16" s="669"/>
      <c r="Z16" s="669"/>
      <c r="AA16" s="669"/>
      <c r="AB16" s="669"/>
      <c r="AC16" s="669"/>
    </row>
    <row r="17" spans="2:40" ht="63.75" x14ac:dyDescent="0.2">
      <c r="B17" s="638" t="s">
        <v>300</v>
      </c>
      <c r="C17" s="704" t="s">
        <v>301</v>
      </c>
      <c r="D17" s="638" t="s">
        <v>302</v>
      </c>
      <c r="E17" s="638" t="s">
        <v>303</v>
      </c>
      <c r="F17" s="638" t="s">
        <v>304</v>
      </c>
      <c r="G17" s="660" t="s">
        <v>305</v>
      </c>
      <c r="H17" s="638" t="s">
        <v>306</v>
      </c>
      <c r="I17" s="648"/>
      <c r="J17" s="648"/>
      <c r="K17" s="648"/>
      <c r="L17" s="648"/>
      <c r="M17" s="648"/>
      <c r="N17" s="648"/>
      <c r="O17" s="648"/>
      <c r="P17" s="648"/>
      <c r="Q17" s="648"/>
      <c r="R17" s="648"/>
      <c r="S17" s="648"/>
      <c r="T17" s="648"/>
      <c r="U17" s="669"/>
      <c r="V17" s="705"/>
      <c r="W17" s="672"/>
      <c r="X17" s="669" t="s">
        <v>307</v>
      </c>
      <c r="Y17" s="684"/>
      <c r="Z17" s="97" t="s">
        <v>308</v>
      </c>
      <c r="AA17" s="669"/>
      <c r="AB17" s="669"/>
      <c r="AC17" s="669"/>
      <c r="AD17" s="648"/>
      <c r="AE17" s="648"/>
      <c r="AF17" s="648"/>
      <c r="AG17" s="648"/>
      <c r="AH17" s="648"/>
      <c r="AI17" s="648"/>
      <c r="AJ17" s="648"/>
      <c r="AK17" s="648"/>
      <c r="AL17" s="648"/>
      <c r="AM17" s="648"/>
      <c r="AN17" s="648"/>
    </row>
    <row r="18" spans="2:40" x14ac:dyDescent="0.2">
      <c r="B18" s="638" t="s">
        <v>264</v>
      </c>
      <c r="C18" s="659">
        <f>IFERROR(Inputs!C15*0.003412,0)</f>
        <v>0</v>
      </c>
      <c r="D18" s="659">
        <f>IFERROR((SUM(AE47:AE109)+SUM(AE120:AE182))/10^6,0)</f>
        <v>0</v>
      </c>
      <c r="E18" s="659">
        <f>IFERROR((SUM(AF47:AF109)+SUM(AF120:AF182))/10^6,0)</f>
        <v>0</v>
      </c>
      <c r="F18" s="659">
        <f>(D18-E18)</f>
        <v>0</v>
      </c>
      <c r="G18" s="659">
        <f>+D18-E18</f>
        <v>0</v>
      </c>
      <c r="H18" s="706" t="e">
        <f>+SUM(AH47:AH109,AH120:AH182)</f>
        <v>#VALUE!</v>
      </c>
      <c r="I18" s="648"/>
      <c r="J18" s="648"/>
      <c r="K18" s="648"/>
      <c r="L18" s="648"/>
      <c r="M18" s="648"/>
      <c r="N18" s="648"/>
      <c r="O18" s="648"/>
      <c r="P18" s="648"/>
      <c r="Q18" s="648"/>
      <c r="R18" s="648"/>
      <c r="S18" s="648"/>
      <c r="T18" s="648"/>
      <c r="U18" s="673" t="s">
        <v>309</v>
      </c>
      <c r="V18" s="688" t="e" cm="1">
        <f t="array" ref="V18">-(SUMPRODUCT(--($N$47:$N$109="No"),$M$47:$M$109,$G$47:$G$109) +SUMPRODUCT(--($N$120:$N$182="No"),$M$120:$M$182,$G$120:$G$182) - SUMPRODUCT(--($N$47:$N$109="No"),$I$47:$I$109,$G$47:$G$109) -SUMPRODUCT(--($N$120:$N$182="No"),$I$120:$I$182,$G$120:$G$182) )/1000000</f>
        <v>#VALUE!</v>
      </c>
      <c r="W18" s="689" t="s">
        <v>271</v>
      </c>
      <c r="X18" s="669" t="s">
        <v>307</v>
      </c>
      <c r="Y18" s="684"/>
      <c r="Z18" s="97" t="s">
        <v>272</v>
      </c>
      <c r="AA18" s="97"/>
      <c r="AB18" s="97"/>
      <c r="AC18" s="97"/>
      <c r="AD18" s="648"/>
      <c r="AE18" s="648"/>
      <c r="AF18" s="648"/>
      <c r="AG18" s="648"/>
      <c r="AH18" s="648"/>
      <c r="AI18" s="648"/>
      <c r="AJ18" s="648"/>
      <c r="AK18" s="648"/>
      <c r="AL18" s="648"/>
      <c r="AM18" s="648"/>
      <c r="AN18" s="648"/>
    </row>
    <row r="19" spans="2:40" ht="51" x14ac:dyDescent="0.2">
      <c r="B19" s="638" t="s">
        <v>269</v>
      </c>
      <c r="C19" s="674">
        <f>+Inputs!C16</f>
        <v>0</v>
      </c>
      <c r="D19" s="659">
        <f>IFERROR((SUM(O47:O109)+SUM(O120:O182))/10^6,0)</f>
        <v>0</v>
      </c>
      <c r="E19" s="659">
        <f>IFERROR((SUM(P47:P109)+SUM(P120:P182))/10^6,0)</f>
        <v>0</v>
      </c>
      <c r="F19" s="659">
        <f>(D19-E19)</f>
        <v>0</v>
      </c>
      <c r="G19" s="659" t="e">
        <f>(SUM(Q47:Q109,Q120:Q182))/10^6</f>
        <v>#N/A</v>
      </c>
      <c r="H19" s="706">
        <f>IF(Inputs!C37="Electric",F19*10^6/3412,0)</f>
        <v>0</v>
      </c>
      <c r="I19" s="648"/>
      <c r="J19" s="702">
        <f>IFERROR(+G20/D20,0)</f>
        <v>0</v>
      </c>
      <c r="K19" s="702">
        <f>IFERROR(+G19/D19,0)</f>
        <v>0</v>
      </c>
      <c r="L19" s="702">
        <f>IFERROR(+G18/D18,0)</f>
        <v>0</v>
      </c>
      <c r="M19" s="648"/>
      <c r="N19" s="648"/>
      <c r="O19" s="648"/>
      <c r="P19" s="648"/>
      <c r="Q19" s="648"/>
      <c r="R19" s="648"/>
      <c r="S19" s="648"/>
      <c r="T19" s="648"/>
      <c r="U19" s="669"/>
      <c r="V19" s="105" t="s">
        <v>310</v>
      </c>
      <c r="W19" s="105" t="s">
        <v>311</v>
      </c>
      <c r="X19" s="105" t="s">
        <v>312</v>
      </c>
      <c r="Y19" s="105" t="s">
        <v>313</v>
      </c>
      <c r="Z19" s="105" t="s">
        <v>314</v>
      </c>
      <c r="AA19" s="105" t="s">
        <v>315</v>
      </c>
      <c r="AB19" s="669"/>
      <c r="AC19" s="669"/>
      <c r="AD19" s="648"/>
      <c r="AE19" s="648"/>
      <c r="AF19" s="648"/>
      <c r="AG19" s="648"/>
      <c r="AH19" s="648"/>
      <c r="AI19" s="648"/>
      <c r="AJ19" s="648"/>
      <c r="AK19" s="648"/>
      <c r="AL19" s="648"/>
      <c r="AM19" s="648"/>
      <c r="AN19" s="648"/>
    </row>
    <row r="20" spans="2:40" x14ac:dyDescent="0.2">
      <c r="B20" s="638" t="s">
        <v>132</v>
      </c>
      <c r="C20" s="698">
        <f>+SUM(C18:C19)</f>
        <v>0</v>
      </c>
      <c r="D20" s="659">
        <f>SUM(D18:D19)</f>
        <v>0</v>
      </c>
      <c r="E20" s="659">
        <f>SUM(E18:E19)</f>
        <v>0</v>
      </c>
      <c r="F20" s="659">
        <f>(D20-E20)</f>
        <v>0</v>
      </c>
      <c r="G20" s="659" t="e">
        <f>+SUM(G18:G19)</f>
        <v>#N/A</v>
      </c>
      <c r="H20" s="701" t="e">
        <f>+SUM(H18:H19)</f>
        <v>#VALUE!</v>
      </c>
      <c r="I20" s="648"/>
      <c r="J20" s="648"/>
      <c r="K20" s="648"/>
      <c r="L20" s="648"/>
      <c r="M20" s="648"/>
      <c r="N20" s="648"/>
      <c r="O20" s="648"/>
      <c r="P20" s="648"/>
      <c r="Q20" s="648"/>
      <c r="R20" s="648"/>
      <c r="S20" s="648"/>
      <c r="T20" s="648"/>
      <c r="U20" s="696" t="s">
        <v>281</v>
      </c>
      <c r="V20" s="697" t="e">
        <f>(SUMPRODUCT(M47:M109,$G$47:$G$109)+SUMPRODUCT(M120:M182,G120:G182))/1000000</f>
        <v>#VALUE!</v>
      </c>
      <c r="W20" s="688"/>
      <c r="X20" s="697" t="e">
        <f>SUM(O47:O109,O120:O182)/1000000</f>
        <v>#N/A</v>
      </c>
      <c r="Y20" s="707">
        <f>IFERROR(V20/X20,0)</f>
        <v>0</v>
      </c>
      <c r="Z20" s="707">
        <f>IFERROR(M95*G95/O95,0)</f>
        <v>0</v>
      </c>
      <c r="AA20" s="697"/>
      <c r="AB20" s="669"/>
      <c r="AC20" s="669"/>
      <c r="AD20" s="648"/>
      <c r="AE20" s="648"/>
      <c r="AF20" s="648"/>
      <c r="AG20" s="648"/>
      <c r="AH20" s="648"/>
      <c r="AI20" s="648"/>
      <c r="AJ20" s="648"/>
      <c r="AK20" s="648"/>
      <c r="AL20" s="648"/>
      <c r="AM20" s="648"/>
      <c r="AN20" s="648"/>
    </row>
    <row r="21" spans="2:40" x14ac:dyDescent="0.2">
      <c r="B21" s="638" t="s">
        <v>316</v>
      </c>
      <c r="C21" s="638"/>
      <c r="D21" s="708" t="e">
        <f>+D20/Inputs!$C$14/1000</f>
        <v>#DIV/0!</v>
      </c>
      <c r="E21" s="708" t="e">
        <f>+E20/Inputs!$C$14/1000</f>
        <v>#DIV/0!</v>
      </c>
      <c r="F21" s="708" t="e">
        <f>+F20/Inputs!$C$14/1000</f>
        <v>#DIV/0!</v>
      </c>
      <c r="G21" s="708" t="e">
        <f>+G20/Inputs!$C$14/1000</f>
        <v>#N/A</v>
      </c>
      <c r="H21" s="706" t="e">
        <f>+H20/Inputs!$C$14</f>
        <v>#VALUE!</v>
      </c>
      <c r="I21" s="648"/>
      <c r="J21" s="648"/>
      <c r="K21" s="648"/>
      <c r="L21" s="648"/>
      <c r="M21" s="648"/>
      <c r="N21" s="648"/>
      <c r="O21" s="648"/>
      <c r="P21" s="648"/>
      <c r="Q21" s="648"/>
      <c r="R21" s="648"/>
      <c r="S21" s="648"/>
      <c r="T21" s="648"/>
      <c r="U21" s="696" t="s">
        <v>244</v>
      </c>
      <c r="V21" s="697" t="e">
        <f>(SUMPRODUCT(N47:N109,$G$47:$G$109)+SUMPRODUCT(N120:N182,G120:G182))/1000000</f>
        <v>#VALUE!</v>
      </c>
      <c r="W21" s="697"/>
      <c r="X21" s="697" t="e">
        <f>SUM(P47:P109,P120:P182)/1000000</f>
        <v>#N/A</v>
      </c>
      <c r="Y21" s="707">
        <f>IFERROR(V21/X21,0)</f>
        <v>0</v>
      </c>
      <c r="Z21" s="707">
        <f>IFERROR(N95*G95/P95,0)</f>
        <v>0</v>
      </c>
      <c r="AA21" s="697"/>
      <c r="AB21" s="669"/>
      <c r="AC21" s="669"/>
      <c r="AD21" s="648"/>
      <c r="AE21" s="648"/>
      <c r="AF21" s="648"/>
      <c r="AG21" s="648"/>
      <c r="AH21" s="648"/>
      <c r="AI21" s="648"/>
      <c r="AJ21" s="648"/>
      <c r="AK21" s="648"/>
      <c r="AL21" s="648"/>
      <c r="AM21" s="648"/>
      <c r="AN21" s="648"/>
    </row>
    <row r="22" spans="2:40" x14ac:dyDescent="0.2">
      <c r="B22" s="648"/>
      <c r="C22" s="648"/>
      <c r="D22" s="648"/>
      <c r="E22" s="648"/>
      <c r="F22" s="648"/>
      <c r="G22" s="648"/>
      <c r="H22" s="648"/>
      <c r="I22" s="648"/>
      <c r="J22" s="648"/>
      <c r="K22" s="648"/>
      <c r="L22" s="648"/>
      <c r="M22" s="648"/>
      <c r="N22" s="648"/>
      <c r="O22" s="648"/>
      <c r="P22" s="648"/>
      <c r="Q22" s="648"/>
      <c r="R22" s="648"/>
      <c r="S22" s="648"/>
      <c r="T22" s="648"/>
      <c r="U22" s="696" t="s">
        <v>283</v>
      </c>
      <c r="V22" s="697"/>
      <c r="W22" s="697">
        <f>W20-W21</f>
        <v>0</v>
      </c>
      <c r="X22" s="697" t="e">
        <f>X20-X21</f>
        <v>#N/A</v>
      </c>
      <c r="Y22" s="697"/>
      <c r="Z22" s="709">
        <f>Z20-Z21</f>
        <v>0</v>
      </c>
      <c r="AA22" s="697">
        <f>AA20-AA21</f>
        <v>0</v>
      </c>
      <c r="AB22" s="669"/>
      <c r="AC22" s="669"/>
      <c r="AD22" s="648"/>
      <c r="AE22" s="648"/>
      <c r="AF22" s="648"/>
      <c r="AG22" s="648"/>
      <c r="AH22" s="648"/>
      <c r="AI22" s="648"/>
      <c r="AJ22" s="648"/>
      <c r="AK22" s="648"/>
      <c r="AL22" s="648"/>
      <c r="AM22" s="648"/>
      <c r="AN22" s="648"/>
    </row>
    <row r="23" spans="2:40" ht="25.5" x14ac:dyDescent="0.2">
      <c r="B23" s="638" t="s">
        <v>300</v>
      </c>
      <c r="C23" s="704" t="s">
        <v>301</v>
      </c>
      <c r="D23" s="648"/>
      <c r="E23" s="648"/>
      <c r="F23" s="660" t="s">
        <v>317</v>
      </c>
      <c r="G23" s="648"/>
      <c r="H23" s="648"/>
      <c r="I23" s="648"/>
      <c r="J23" s="710"/>
      <c r="K23" s="648"/>
      <c r="L23" s="648"/>
      <c r="M23" s="648"/>
      <c r="N23" s="648"/>
      <c r="O23" s="648"/>
      <c r="P23" s="648"/>
      <c r="Q23" s="648"/>
      <c r="R23" s="648"/>
      <c r="S23" s="648"/>
      <c r="T23" s="648"/>
      <c r="U23" s="669"/>
      <c r="V23" s="100" t="e">
        <f>" Safety Factor = "&amp;'Results Summary'!#REF!</f>
        <v>#REF!</v>
      </c>
      <c r="W23" s="101"/>
      <c r="X23" s="688">
        <f>'Results Summary'!I4/10</f>
        <v>0</v>
      </c>
      <c r="Y23" s="97" t="s">
        <v>318</v>
      </c>
      <c r="Z23" s="669"/>
      <c r="AA23" s="669"/>
      <c r="AB23" s="669"/>
      <c r="AC23" s="669"/>
      <c r="AD23" s="648"/>
      <c r="AE23" s="648"/>
      <c r="AF23" s="648"/>
      <c r="AG23" s="648"/>
      <c r="AH23" s="648"/>
      <c r="AI23" s="648"/>
      <c r="AJ23" s="648"/>
      <c r="AK23" s="648"/>
      <c r="AL23" s="648"/>
      <c r="AM23" s="648"/>
      <c r="AN23" s="648"/>
    </row>
    <row r="24" spans="2:40" x14ac:dyDescent="0.2">
      <c r="B24" s="638" t="s">
        <v>264</v>
      </c>
      <c r="C24" s="659">
        <f>+C18</f>
        <v>0</v>
      </c>
      <c r="D24" s="648"/>
      <c r="E24" s="648"/>
      <c r="F24" s="711">
        <f>IFERROR(+L19*C24,0)</f>
        <v>0</v>
      </c>
      <c r="G24" s="648"/>
      <c r="H24" s="712"/>
      <c r="I24" s="713"/>
      <c r="J24" s="648"/>
      <c r="K24" s="648"/>
      <c r="L24" s="648"/>
      <c r="M24" s="648"/>
      <c r="N24" s="648"/>
      <c r="O24" s="648"/>
      <c r="P24" s="648"/>
      <c r="Q24" s="648"/>
      <c r="R24" s="648"/>
      <c r="S24" s="648"/>
      <c r="T24" s="648"/>
      <c r="U24" s="669"/>
      <c r="V24" s="669"/>
      <c r="W24" s="669"/>
      <c r="X24" s="669"/>
      <c r="Y24" s="669"/>
      <c r="Z24" s="669"/>
      <c r="AA24" s="669"/>
      <c r="AB24" s="669"/>
      <c r="AC24" s="669"/>
      <c r="AD24" s="648"/>
      <c r="AE24" s="648"/>
      <c r="AF24" s="648"/>
      <c r="AG24" s="648"/>
      <c r="AH24" s="648"/>
      <c r="AI24" s="648"/>
      <c r="AJ24" s="648"/>
      <c r="AK24" s="648"/>
      <c r="AL24" s="648"/>
      <c r="AM24" s="648"/>
      <c r="AN24" s="648"/>
    </row>
    <row r="25" spans="2:40" x14ac:dyDescent="0.2">
      <c r="B25" s="638" t="s">
        <v>269</v>
      </c>
      <c r="C25" s="659">
        <f t="shared" ref="C25:C27" si="1">+C19</f>
        <v>0</v>
      </c>
      <c r="D25" s="648"/>
      <c r="E25" s="648"/>
      <c r="F25" s="711">
        <f>IFERROR(+K19*C25,0)</f>
        <v>0</v>
      </c>
      <c r="G25" s="648"/>
      <c r="H25" s="712"/>
      <c r="I25" s="713"/>
      <c r="J25" s="648"/>
      <c r="K25" s="648"/>
      <c r="L25" s="648"/>
      <c r="M25" s="648"/>
      <c r="N25" s="648"/>
      <c r="O25" s="648"/>
      <c r="P25" s="648"/>
      <c r="Q25" s="648"/>
      <c r="R25" s="648"/>
      <c r="S25" s="648"/>
      <c r="T25" s="648"/>
      <c r="U25" s="669"/>
      <c r="V25" s="669"/>
      <c r="W25" s="106" t="s">
        <v>319</v>
      </c>
      <c r="X25" s="106" t="s">
        <v>320</v>
      </c>
      <c r="Y25" s="106" t="s">
        <v>321</v>
      </c>
      <c r="Z25" s="669"/>
      <c r="AA25" s="669"/>
      <c r="AB25" s="669"/>
      <c r="AC25" s="669"/>
      <c r="AD25" s="648"/>
      <c r="AE25" s="648"/>
      <c r="AF25" s="648"/>
      <c r="AG25" s="648"/>
      <c r="AH25" s="648"/>
      <c r="AI25" s="648"/>
      <c r="AJ25" s="648"/>
      <c r="AK25" s="648"/>
      <c r="AL25" s="648"/>
      <c r="AM25" s="648"/>
      <c r="AN25" s="648"/>
    </row>
    <row r="26" spans="2:40" x14ac:dyDescent="0.2">
      <c r="B26" s="638" t="s">
        <v>132</v>
      </c>
      <c r="C26" s="659">
        <f t="shared" si="1"/>
        <v>0</v>
      </c>
      <c r="D26" s="648"/>
      <c r="E26" s="648"/>
      <c r="F26" s="711">
        <f>IFERROR(+J19*C26,0)</f>
        <v>0</v>
      </c>
      <c r="G26" s="714"/>
      <c r="H26" s="713"/>
      <c r="I26" s="713"/>
      <c r="J26" s="713"/>
      <c r="K26" s="648"/>
      <c r="L26" s="648"/>
      <c r="M26" s="648"/>
      <c r="N26" s="648"/>
      <c r="O26" s="648"/>
      <c r="P26" s="648"/>
      <c r="Q26" s="648"/>
      <c r="R26" s="648"/>
      <c r="S26" s="648"/>
      <c r="T26" s="648"/>
      <c r="U26" s="715" t="s">
        <v>287</v>
      </c>
      <c r="V26" s="716"/>
      <c r="W26" s="697" t="e">
        <f>W9+W22</f>
        <v>#VALUE!</v>
      </c>
      <c r="X26" s="697" t="e">
        <f>X22</f>
        <v>#N/A</v>
      </c>
      <c r="Y26" s="697" t="e">
        <f>W26*3412/1000000+X26</f>
        <v>#VALUE!</v>
      </c>
      <c r="Z26" s="669"/>
      <c r="AA26" s="669"/>
      <c r="AB26" s="669"/>
      <c r="AC26" s="669"/>
      <c r="AD26" s="648"/>
      <c r="AE26" s="648"/>
      <c r="AF26" s="648"/>
      <c r="AG26" s="648"/>
      <c r="AH26" s="648"/>
      <c r="AI26" s="648"/>
      <c r="AJ26" s="648"/>
      <c r="AK26" s="648"/>
      <c r="AL26" s="648"/>
      <c r="AM26" s="648"/>
      <c r="AN26" s="648"/>
    </row>
    <row r="27" spans="2:40" x14ac:dyDescent="0.2">
      <c r="B27" s="638" t="s">
        <v>316</v>
      </c>
      <c r="C27" s="659">
        <f t="shared" si="1"/>
        <v>0</v>
      </c>
      <c r="D27" s="648"/>
      <c r="E27" s="648"/>
      <c r="F27" s="648"/>
      <c r="G27" s="648"/>
      <c r="H27" s="648"/>
      <c r="I27" s="648"/>
      <c r="J27" s="648"/>
      <c r="K27" s="648"/>
      <c r="L27" s="648"/>
      <c r="M27" s="648"/>
      <c r="N27" s="648"/>
      <c r="O27" s="648"/>
      <c r="P27" s="648"/>
      <c r="Q27" s="648"/>
      <c r="R27" s="648"/>
      <c r="S27" s="648"/>
      <c r="T27" s="648"/>
      <c r="U27" s="669"/>
      <c r="V27" s="669"/>
      <c r="W27" s="699"/>
      <c r="X27" s="669"/>
      <c r="Y27" s="669"/>
      <c r="Z27" s="669"/>
      <c r="AA27" s="669"/>
      <c r="AB27" s="669"/>
      <c r="AC27" s="669"/>
      <c r="AD27" s="648"/>
      <c r="AE27" s="648"/>
      <c r="AF27" s="648"/>
      <c r="AG27" s="648"/>
      <c r="AH27" s="648"/>
      <c r="AI27" s="648"/>
      <c r="AJ27" s="648"/>
      <c r="AK27" s="648"/>
      <c r="AL27" s="648"/>
      <c r="AM27" s="648"/>
      <c r="AN27" s="648"/>
    </row>
    <row r="28" spans="2:40" x14ac:dyDescent="0.2">
      <c r="B28" s="648"/>
      <c r="C28" s="648"/>
      <c r="D28" s="713"/>
      <c r="E28" s="648"/>
      <c r="F28" s="648"/>
      <c r="G28" s="648"/>
      <c r="H28" s="648"/>
      <c r="I28" s="648"/>
      <c r="J28" s="648"/>
      <c r="K28" s="648"/>
      <c r="L28" s="648"/>
      <c r="M28" s="648"/>
      <c r="N28" s="648"/>
      <c r="O28" s="648"/>
      <c r="P28" s="648"/>
      <c r="Q28" s="648"/>
      <c r="R28" s="648"/>
      <c r="S28" s="648"/>
      <c r="T28" s="648"/>
      <c r="U28" s="669"/>
      <c r="V28" s="669"/>
      <c r="W28" s="699"/>
      <c r="X28" s="669"/>
      <c r="Y28" s="669"/>
      <c r="Z28" s="669"/>
      <c r="AA28" s="669"/>
      <c r="AB28" s="669"/>
      <c r="AC28" s="669"/>
      <c r="AD28" s="648"/>
      <c r="AE28" s="648"/>
      <c r="AF28" s="648"/>
      <c r="AG28" s="648"/>
      <c r="AH28" s="648"/>
      <c r="AI28" s="648"/>
      <c r="AJ28" s="648"/>
      <c r="AK28" s="648"/>
      <c r="AL28" s="648"/>
      <c r="AM28" s="648"/>
      <c r="AN28" s="648"/>
    </row>
    <row r="29" spans="2:40" x14ac:dyDescent="0.2">
      <c r="B29" s="648"/>
      <c r="C29" s="648"/>
      <c r="D29" s="713"/>
      <c r="E29" s="648"/>
      <c r="F29" s="648"/>
      <c r="G29" s="648"/>
      <c r="H29" s="648"/>
      <c r="I29" s="648"/>
      <c r="J29" s="648"/>
      <c r="K29" s="648"/>
      <c r="L29" s="648"/>
      <c r="M29" s="648"/>
      <c r="N29" s="648"/>
      <c r="O29" s="648"/>
      <c r="P29" s="648"/>
      <c r="Q29" s="648"/>
      <c r="R29" s="648"/>
      <c r="S29" s="648"/>
      <c r="T29" s="648"/>
      <c r="U29" s="669"/>
      <c r="V29" s="100" t="e">
        <f>" Safety Factor = "&amp;'Results Summary'!#REF!</f>
        <v>#REF!</v>
      </c>
      <c r="W29" s="101" t="e">
        <f>W11+W23</f>
        <v>#REF!</v>
      </c>
      <c r="X29" s="107">
        <f>'Results Summary'!I4/10</f>
        <v>0</v>
      </c>
      <c r="Y29" s="108" t="e">
        <f>W29*3412/1000000+X29</f>
        <v>#REF!</v>
      </c>
      <c r="Z29" s="97" t="s">
        <v>322</v>
      </c>
      <c r="AA29" s="669"/>
      <c r="AB29" s="669"/>
      <c r="AC29" s="669"/>
      <c r="AD29" s="648"/>
      <c r="AE29" s="648"/>
      <c r="AF29" s="648"/>
      <c r="AG29" s="648"/>
      <c r="AH29" s="648"/>
      <c r="AI29" s="648"/>
      <c r="AJ29" s="648"/>
      <c r="AK29" s="648"/>
      <c r="AL29" s="648"/>
      <c r="AM29" s="648"/>
      <c r="AN29" s="648"/>
    </row>
    <row r="30" spans="2:40" x14ac:dyDescent="0.2">
      <c r="B30" s="648"/>
      <c r="C30" s="648"/>
      <c r="D30" s="648"/>
      <c r="E30" s="648"/>
      <c r="F30" s="648"/>
      <c r="G30" s="648"/>
      <c r="H30" s="648"/>
      <c r="I30" s="648"/>
      <c r="J30" s="648"/>
      <c r="K30" s="648"/>
      <c r="L30" s="648"/>
      <c r="M30" s="648"/>
      <c r="N30" s="648"/>
      <c r="O30" s="648"/>
      <c r="P30" s="648"/>
      <c r="Q30" s="648"/>
      <c r="R30" s="648"/>
      <c r="S30" s="648"/>
      <c r="T30" s="648"/>
      <c r="U30" s="669"/>
      <c r="V30" s="669"/>
      <c r="W30" s="109" t="e">
        <f>AJ49</f>
        <v>#VALUE!</v>
      </c>
      <c r="X30" s="108">
        <f>D15</f>
        <v>0</v>
      </c>
      <c r="Y30" s="108">
        <f>SUM(D14:D15)</f>
        <v>0</v>
      </c>
      <c r="Z30" s="97" t="s">
        <v>323</v>
      </c>
      <c r="AA30" s="669"/>
      <c r="AB30" s="669"/>
      <c r="AC30" s="669"/>
      <c r="AD30" s="648"/>
      <c r="AE30" s="648"/>
      <c r="AF30" s="648"/>
      <c r="AG30" s="648"/>
      <c r="AH30" s="648"/>
      <c r="AI30" s="648"/>
      <c r="AJ30" s="648"/>
      <c r="AK30" s="648"/>
      <c r="AL30" s="648"/>
      <c r="AM30" s="648"/>
      <c r="AN30" s="648"/>
    </row>
    <row r="31" spans="2:40" x14ac:dyDescent="0.2">
      <c r="B31" s="648"/>
      <c r="C31" s="648"/>
      <c r="D31" s="648"/>
      <c r="E31" s="648"/>
      <c r="F31" s="648"/>
      <c r="G31" s="648"/>
      <c r="H31" s="648"/>
      <c r="I31" s="648"/>
      <c r="J31" s="648"/>
      <c r="K31" s="648"/>
      <c r="L31" s="648"/>
      <c r="M31" s="648"/>
      <c r="N31" s="648"/>
      <c r="O31" s="648"/>
      <c r="P31" s="648"/>
      <c r="Q31" s="648"/>
      <c r="R31" s="648"/>
      <c r="S31" s="648"/>
      <c r="T31" s="648"/>
      <c r="U31" s="669"/>
      <c r="V31" s="669"/>
      <c r="W31" s="97"/>
      <c r="X31" s="97"/>
      <c r="Y31" s="97"/>
      <c r="Z31" s="97"/>
      <c r="AA31" s="669"/>
      <c r="AB31" s="669"/>
      <c r="AC31" s="669"/>
      <c r="AD31" s="648"/>
      <c r="AE31" s="648"/>
      <c r="AF31" s="648"/>
      <c r="AG31" s="648"/>
      <c r="AH31" s="648"/>
      <c r="AI31" s="648"/>
      <c r="AJ31" s="648"/>
      <c r="AK31" s="648"/>
      <c r="AL31" s="638"/>
      <c r="AM31" s="638" t="s">
        <v>324</v>
      </c>
      <c r="AN31" s="638" t="s">
        <v>325</v>
      </c>
    </row>
    <row r="32" spans="2:40" x14ac:dyDescent="0.2">
      <c r="B32" s="648"/>
      <c r="C32" s="648"/>
      <c r="D32" s="648"/>
      <c r="E32" s="648"/>
      <c r="F32" s="648"/>
      <c r="G32" s="648"/>
      <c r="H32" s="648"/>
      <c r="I32" s="648"/>
      <c r="J32" s="648"/>
      <c r="K32" s="648"/>
      <c r="L32" s="648"/>
      <c r="M32" s="648"/>
      <c r="N32" s="648"/>
      <c r="O32" s="648"/>
      <c r="P32" s="648"/>
      <c r="Q32" s="648"/>
      <c r="R32" s="648"/>
      <c r="S32" s="648"/>
      <c r="T32" s="648"/>
      <c r="U32" s="669"/>
      <c r="V32" s="669"/>
      <c r="W32" s="97"/>
      <c r="X32" s="108" t="e">
        <f>SUM($Q$47:$Q$109,$Q$120:$Q$182)/1000000</f>
        <v>#N/A</v>
      </c>
      <c r="Y32" s="97"/>
      <c r="Z32" s="97" t="s">
        <v>326</v>
      </c>
      <c r="AA32" s="669"/>
      <c r="AB32" s="669"/>
      <c r="AC32" s="669"/>
      <c r="AD32" s="648"/>
      <c r="AE32" s="648"/>
      <c r="AF32" s="648"/>
      <c r="AG32" s="648"/>
      <c r="AH32" s="648"/>
      <c r="AI32" s="648"/>
      <c r="AJ32" s="648"/>
      <c r="AK32" s="648"/>
      <c r="AL32" s="638" t="s">
        <v>327</v>
      </c>
      <c r="AM32" s="674" t="e">
        <f>V3</f>
        <v>#N/A</v>
      </c>
      <c r="AN32" s="702" t="e">
        <f>+AM32/C4</f>
        <v>#N/A</v>
      </c>
    </row>
    <row r="33" spans="2:43" x14ac:dyDescent="0.2">
      <c r="B33" s="648"/>
      <c r="C33" s="648"/>
      <c r="D33" s="648"/>
      <c r="E33" s="648"/>
      <c r="F33" s="648"/>
      <c r="G33" s="648"/>
      <c r="H33" s="648"/>
      <c r="I33" s="648"/>
      <c r="J33" s="648"/>
      <c r="K33" s="648"/>
      <c r="L33" s="648"/>
      <c r="M33" s="648"/>
      <c r="N33" s="648"/>
      <c r="O33" s="648"/>
      <c r="P33" s="648"/>
      <c r="Q33" s="648"/>
      <c r="R33" s="648"/>
      <c r="S33" s="648"/>
      <c r="T33" s="648"/>
      <c r="U33" s="669"/>
      <c r="V33" s="669"/>
      <c r="W33" s="97"/>
      <c r="X33" s="97"/>
      <c r="Y33" s="108" t="e">
        <f>SUM($AJ$47:$AJ$109,$AJ$120:$AJ$182)</f>
        <v>#VALUE!</v>
      </c>
      <c r="Z33" s="97" t="s">
        <v>328</v>
      </c>
      <c r="AA33" s="669"/>
      <c r="AB33" s="669"/>
      <c r="AC33" s="669"/>
      <c r="AD33" s="648"/>
      <c r="AE33" s="648"/>
      <c r="AF33" s="648"/>
      <c r="AG33" s="648"/>
      <c r="AH33" s="648"/>
      <c r="AI33" s="648"/>
      <c r="AJ33" s="648"/>
      <c r="AK33" s="648"/>
      <c r="AL33" s="638" t="s">
        <v>329</v>
      </c>
      <c r="AM33" s="674" t="e">
        <f>V15</f>
        <v>#N/A</v>
      </c>
      <c r="AN33" s="702" t="e">
        <f>AM33/C5</f>
        <v>#N/A</v>
      </c>
      <c r="AO33" s="648"/>
      <c r="AP33" s="648"/>
      <c r="AQ33" s="648"/>
    </row>
    <row r="34" spans="2:43" x14ac:dyDescent="0.2">
      <c r="B34" s="648"/>
      <c r="C34" s="648"/>
      <c r="D34" s="648"/>
      <c r="E34" s="648"/>
      <c r="F34" s="110" t="s">
        <v>330</v>
      </c>
      <c r="G34" s="698" t="e" cm="1">
        <f t="array" ref="G34">(SUMPRODUCT(--($H$47:$H$109="Cooling"),--($J$47:$J$109&gt;0),$J$47:$J$109,$G$47:$G$109)+SUMPRODUCT(--($H$120:$H$182="Cooling"),--($J$120:$J$182&gt;0),$J$120:$J$182,$G$120:$G$182))/C4</f>
        <v>#VALUE!</v>
      </c>
      <c r="H34" s="648"/>
      <c r="I34" s="648"/>
      <c r="J34" s="648"/>
      <c r="K34" s="648"/>
      <c r="L34" s="648"/>
      <c r="M34" s="648"/>
      <c r="N34" s="648"/>
      <c r="O34" s="648"/>
      <c r="P34" s="648"/>
      <c r="Q34" s="648"/>
      <c r="R34" s="648"/>
      <c r="S34" s="648"/>
      <c r="T34" s="648"/>
      <c r="U34" s="648"/>
      <c r="V34" s="648"/>
      <c r="W34" s="648"/>
      <c r="X34" s="648"/>
      <c r="Y34" s="648"/>
      <c r="Z34" s="648"/>
      <c r="AA34" s="648"/>
      <c r="AB34" s="648"/>
      <c r="AC34" s="648"/>
      <c r="AD34" s="648"/>
      <c r="AE34" s="648"/>
      <c r="AF34" s="648"/>
      <c r="AG34" s="648"/>
      <c r="AH34" s="648"/>
      <c r="AI34" s="717"/>
      <c r="AJ34" s="717"/>
      <c r="AK34" s="648"/>
      <c r="AL34" s="648"/>
      <c r="AM34" s="648"/>
      <c r="AN34" s="648"/>
      <c r="AO34" s="648"/>
      <c r="AP34" s="648"/>
      <c r="AQ34" s="648"/>
    </row>
    <row r="35" spans="2:43" ht="38.25" x14ac:dyDescent="0.25">
      <c r="B35" s="648"/>
      <c r="C35" s="648"/>
      <c r="D35" s="648"/>
      <c r="E35" s="648"/>
      <c r="F35" s="111" t="s">
        <v>331</v>
      </c>
      <c r="G35" s="698" t="e" cm="1">
        <f t="array" ref="G35">(SUMPRODUCT(--($H$47:$H$109="Heating"),--($J$47:$J$109&gt;0),$J$47:$J$109,$G$47:$G$109)+SUMPRODUCT(--($H$120:$H$182="Heating"),--($J$120:$J$182&gt;0),$J$120:$J$182,G120:G182))/C5</f>
        <v>#VALUE!</v>
      </c>
      <c r="H35" s="648"/>
      <c r="I35" s="648"/>
      <c r="J35" s="648"/>
      <c r="K35" s="648"/>
      <c r="L35" s="648"/>
      <c r="M35" s="648"/>
      <c r="N35" s="648"/>
      <c r="O35" s="648"/>
      <c r="P35" s="884" t="s">
        <v>332</v>
      </c>
      <c r="Q35" s="885"/>
      <c r="R35" s="885"/>
      <c r="S35" s="886"/>
      <c r="T35" s="648"/>
      <c r="U35" s="648"/>
      <c r="V35" s="648"/>
      <c r="W35" s="648"/>
      <c r="X35" s="648"/>
      <c r="Y35" s="648"/>
      <c r="Z35" s="648"/>
      <c r="AA35" s="648"/>
      <c r="AB35" s="648"/>
      <c r="AC35" s="648"/>
      <c r="AD35" s="648"/>
      <c r="AE35" s="648"/>
      <c r="AF35" s="648"/>
      <c r="AG35" s="648"/>
      <c r="AH35" s="648"/>
      <c r="AI35" s="718"/>
      <c r="AJ35" s="718"/>
      <c r="AK35" s="638"/>
      <c r="AL35" s="112" t="s">
        <v>333</v>
      </c>
      <c r="AM35" s="112" t="s">
        <v>334</v>
      </c>
      <c r="AN35" s="112" t="s">
        <v>285</v>
      </c>
      <c r="AO35" s="112" t="s">
        <v>335</v>
      </c>
      <c r="AP35" s="112" t="s">
        <v>204</v>
      </c>
      <c r="AQ35" s="112" t="str">
        <f>IF(NOT(Inputs!C39="Electric"),"Therms savings  ("&amp;Inputs!C39&amp;")","Electric Heating Baseline")</f>
        <v>Therms savings  ()</v>
      </c>
    </row>
    <row r="36" spans="2:43" ht="14.65" customHeight="1" x14ac:dyDescent="0.2">
      <c r="B36" s="648"/>
      <c r="C36" s="648"/>
      <c r="D36" s="648"/>
      <c r="E36" s="648"/>
      <c r="F36" s="719"/>
      <c r="G36" s="648"/>
      <c r="H36" s="648"/>
      <c r="I36" s="648"/>
      <c r="J36" s="648"/>
      <c r="K36" s="648"/>
      <c r="L36" s="648"/>
      <c r="M36" s="648"/>
      <c r="N36" s="648"/>
      <c r="O36" s="648"/>
      <c r="P36" s="6"/>
      <c r="Q36" s="887" t="str">
        <f>IF(AND(Inputs!C11="Existing Baseline",OR(Inputs!C19="4a",Inputs!C17="LMI")),"EXISTING HVAC PERF.","CODE HVAC PERF.")</f>
        <v>CODE HVAC PERF.</v>
      </c>
      <c r="R36" s="887"/>
      <c r="S36" s="720" t="s">
        <v>124</v>
      </c>
      <c r="T36" s="648"/>
      <c r="U36" s="648"/>
      <c r="V36" s="648"/>
      <c r="W36" s="648"/>
      <c r="X36" s="648"/>
      <c r="Y36" s="648"/>
      <c r="Z36" s="648"/>
      <c r="AA36" s="648"/>
      <c r="AB36" s="648"/>
      <c r="AC36" s="648"/>
      <c r="AD36" s="648"/>
      <c r="AE36" s="648"/>
      <c r="AF36" s="648"/>
      <c r="AG36" s="717"/>
      <c r="AH36" s="717"/>
      <c r="AI36" s="648"/>
      <c r="AJ36" s="648"/>
      <c r="AK36" s="102" t="s">
        <v>336</v>
      </c>
      <c r="AL36" s="721">
        <f>IFERROR(-(AO55),0)</f>
        <v>0</v>
      </c>
      <c r="AM36" s="721" t="e">
        <f>(SUM($AI$47:$AI$109,$AI$120:$AI$182))-AN36</f>
        <v>#VALUE!</v>
      </c>
      <c r="AN36" s="721" t="e">
        <f>+SUM($AH$47:$AH$109,$AH$120:$AH$182)</f>
        <v>#VALUE!</v>
      </c>
      <c r="AO36" s="698" t="e">
        <f>SUM(AM36:AN36)</f>
        <v>#VALUE!</v>
      </c>
      <c r="AP36" s="722" cm="1">
        <f t="array" ref="AP36">IFERROR(INDEX($AI$47:$AI$109,MATCH(TRUE,INDEX($AI$47:$AI$109&lt;&gt;0,),0))/INDEX($G$47:$G$109,MATCH(TRUE,INDEX($AI$47:$AI$109&lt;&gt;0,),0)),0)</f>
        <v>0</v>
      </c>
      <c r="AQ36" s="721">
        <f>AN50</f>
        <v>0</v>
      </c>
    </row>
    <row r="37" spans="2:43" ht="13.15" customHeight="1" x14ac:dyDescent="0.2">
      <c r="B37" s="648"/>
      <c r="C37" s="648"/>
      <c r="D37" s="648"/>
      <c r="E37" s="648"/>
      <c r="F37" s="719"/>
      <c r="G37" s="648"/>
      <c r="H37" s="648"/>
      <c r="I37" s="648"/>
      <c r="J37" s="648"/>
      <c r="K37" s="648"/>
      <c r="L37" s="648"/>
      <c r="M37" s="648"/>
      <c r="N37" s="648"/>
      <c r="O37" s="648"/>
      <c r="P37" s="888" t="s">
        <v>337</v>
      </c>
      <c r="Q37" s="113">
        <f>IF(Inputs!C11="Gut Renovation",12.1,Inputs!D75)</f>
        <v>0</v>
      </c>
      <c r="R37" s="114" t="s">
        <v>122</v>
      </c>
      <c r="S37" s="720">
        <f>IFERROR(Q37/3.412,"")</f>
        <v>0</v>
      </c>
      <c r="T37" s="648"/>
      <c r="U37" s="648"/>
      <c r="V37" s="648"/>
      <c r="W37" s="648"/>
      <c r="X37" s="648"/>
      <c r="Y37" s="648"/>
      <c r="Z37" s="648"/>
      <c r="AA37" s="648"/>
      <c r="AB37" s="648"/>
      <c r="AC37" s="648"/>
      <c r="AD37" s="648"/>
      <c r="AE37" s="648"/>
      <c r="AF37" s="648"/>
      <c r="AG37" s="717"/>
      <c r="AH37" s="717"/>
      <c r="AI37" s="648"/>
      <c r="AJ37" s="648"/>
      <c r="AK37" s="638" t="s">
        <v>338</v>
      </c>
      <c r="AL37" s="698">
        <f>IFERROR(+AL36,0)</f>
        <v>0</v>
      </c>
      <c r="AM37" s="708" t="e">
        <f>+AM36*3412/10^6</f>
        <v>#VALUE!</v>
      </c>
      <c r="AN37" s="708" t="e">
        <f>+AN36*3412/10^6</f>
        <v>#VALUE!</v>
      </c>
      <c r="AO37" s="698" t="e">
        <f>SUM(AM37:AN37)</f>
        <v>#VALUE!</v>
      </c>
      <c r="AP37" s="708">
        <f>+AP36*3412/10^6</f>
        <v>0</v>
      </c>
      <c r="AQ37" s="708">
        <f>+AQ36/10</f>
        <v>0</v>
      </c>
    </row>
    <row r="38" spans="2:43" x14ac:dyDescent="0.2">
      <c r="B38" s="719"/>
      <c r="C38" s="648"/>
      <c r="D38" s="648"/>
      <c r="E38" s="648"/>
      <c r="F38" s="648"/>
      <c r="G38" s="648"/>
      <c r="H38" s="648"/>
      <c r="I38" s="648"/>
      <c r="J38" s="648"/>
      <c r="K38" s="648"/>
      <c r="L38" s="648"/>
      <c r="M38" s="648"/>
      <c r="N38" s="648"/>
      <c r="O38" s="648"/>
      <c r="P38" s="889"/>
      <c r="Q38" s="711"/>
      <c r="R38" s="711" t="s">
        <v>339</v>
      </c>
      <c r="S38" s="638"/>
      <c r="T38" s="648"/>
      <c r="U38" s="648"/>
      <c r="V38" s="648"/>
      <c r="W38" s="648"/>
      <c r="X38" s="648"/>
      <c r="Y38" s="648"/>
      <c r="Z38" s="648"/>
      <c r="AA38" s="648"/>
      <c r="AB38" s="648"/>
      <c r="AC38" s="648"/>
      <c r="AD38" s="648"/>
      <c r="AE38" s="648"/>
      <c r="AF38" s="648"/>
      <c r="AG38" s="717"/>
      <c r="AH38" s="717"/>
      <c r="AI38" s="648"/>
      <c r="AJ38" s="648"/>
      <c r="AK38" s="102" t="s">
        <v>340</v>
      </c>
      <c r="AL38" s="698">
        <f>IFERROR(-AQ61,0)</f>
        <v>0</v>
      </c>
      <c r="AM38" s="708">
        <f>IFERROR(+AM37/$AL$37*$AL$38,0)</f>
        <v>0</v>
      </c>
      <c r="AN38" s="708">
        <f>IFERROR(+AN37/$AL$37*$AL$38,0)</f>
        <v>0</v>
      </c>
      <c r="AO38" s="708">
        <f>IFERROR(+AO37/$AL$37*$AL$38,0)</f>
        <v>0</v>
      </c>
      <c r="AP38" s="708">
        <f>IFERROR(+AP37/$AL$37*$AL$38,0)</f>
        <v>0</v>
      </c>
      <c r="AQ38" s="708">
        <f>IFERROR(+AQ37/$AL$37*$AL$38,0)</f>
        <v>0</v>
      </c>
    </row>
    <row r="39" spans="2:43" ht="25.5" x14ac:dyDescent="0.2">
      <c r="B39" s="719"/>
      <c r="C39" s="648"/>
      <c r="D39" s="648"/>
      <c r="E39" s="648"/>
      <c r="F39" s="648"/>
      <c r="G39" s="648"/>
      <c r="H39" s="648"/>
      <c r="I39" s="648"/>
      <c r="J39" s="648"/>
      <c r="K39" s="648"/>
      <c r="L39" s="648"/>
      <c r="M39" s="717"/>
      <c r="N39" s="717"/>
      <c r="O39" s="723"/>
      <c r="P39" s="115" t="s">
        <v>341</v>
      </c>
      <c r="Q39" s="116">
        <f>IF(Inputs!C11="Gut Renovation",0.8,Inputs!D76)</f>
        <v>0</v>
      </c>
      <c r="R39" s="114" t="s">
        <v>124</v>
      </c>
      <c r="S39" s="720">
        <f>+Q39</f>
        <v>0</v>
      </c>
      <c r="T39" s="648"/>
      <c r="U39" s="648"/>
      <c r="V39" s="648"/>
      <c r="W39" s="648"/>
      <c r="X39" s="648"/>
      <c r="Y39" s="648"/>
      <c r="Z39" s="648"/>
      <c r="AA39" s="648"/>
      <c r="AB39" s="648"/>
      <c r="AC39" s="724"/>
      <c r="AD39" s="648"/>
      <c r="AE39" s="648"/>
      <c r="AF39" s="717"/>
      <c r="AG39" s="717"/>
      <c r="AH39" s="717"/>
      <c r="AI39" s="648"/>
      <c r="AJ39" s="648"/>
      <c r="AK39" s="102" t="s">
        <v>342</v>
      </c>
      <c r="AL39" s="698">
        <f>+AL38</f>
        <v>0</v>
      </c>
      <c r="AM39" s="659">
        <f>+AM38/3412*10^6</f>
        <v>0</v>
      </c>
      <c r="AN39" s="659">
        <f>+AN38/3412*10^6</f>
        <v>0</v>
      </c>
      <c r="AO39" s="659">
        <f>+AO38/3412*10^6</f>
        <v>0</v>
      </c>
      <c r="AP39" s="659">
        <f>+AP38/3412*10^6</f>
        <v>0</v>
      </c>
      <c r="AQ39" s="659">
        <f>+AQ38*10</f>
        <v>0</v>
      </c>
    </row>
    <row r="40" spans="2:43" x14ac:dyDescent="0.2">
      <c r="B40" s="719"/>
      <c r="C40" s="648"/>
      <c r="D40" s="648"/>
      <c r="E40" s="648"/>
      <c r="F40" s="648"/>
      <c r="G40" s="648"/>
      <c r="H40" s="648"/>
      <c r="I40" s="648"/>
      <c r="J40" s="648"/>
      <c r="K40" s="648"/>
      <c r="L40" s="648"/>
      <c r="M40" s="717"/>
      <c r="N40" s="717"/>
      <c r="O40" s="723"/>
      <c r="P40" s="648"/>
      <c r="Q40" s="648"/>
      <c r="R40" s="648"/>
      <c r="S40" s="648"/>
      <c r="T40" s="648"/>
      <c r="U40" s="648"/>
      <c r="V40" s="648"/>
      <c r="W40" s="648"/>
      <c r="X40" s="648"/>
      <c r="Y40" s="648"/>
      <c r="Z40" s="648"/>
      <c r="AA40" s="648"/>
      <c r="AB40" s="648"/>
      <c r="AC40" s="648"/>
      <c r="AD40" s="648"/>
      <c r="AE40" s="648"/>
      <c r="AF40" s="717"/>
      <c r="AG40" s="717"/>
      <c r="AH40" s="717"/>
      <c r="AI40" s="648"/>
      <c r="AJ40" s="648"/>
      <c r="AK40" s="638"/>
      <c r="AL40" s="638"/>
      <c r="AM40" s="638"/>
      <c r="AN40" s="638"/>
      <c r="AO40" s="638"/>
      <c r="AP40" s="638"/>
      <c r="AQ40" s="638"/>
    </row>
    <row r="41" spans="2:43" ht="15" x14ac:dyDescent="0.25">
      <c r="B41" s="719"/>
      <c r="C41" s="648"/>
      <c r="D41" s="648"/>
      <c r="E41" s="648"/>
      <c r="F41" s="648"/>
      <c r="G41" s="648"/>
      <c r="H41" s="648"/>
      <c r="I41" s="648"/>
      <c r="J41" s="648"/>
      <c r="K41" s="648"/>
      <c r="L41" s="648"/>
      <c r="M41" s="717"/>
      <c r="N41" s="717"/>
      <c r="O41" s="723"/>
      <c r="P41" s="648"/>
      <c r="Q41" s="648"/>
      <c r="R41" s="648"/>
      <c r="S41" s="648"/>
      <c r="T41" s="648"/>
      <c r="U41" s="648"/>
      <c r="V41" s="648"/>
      <c r="W41" s="648"/>
      <c r="X41" s="648"/>
      <c r="Y41" s="648"/>
      <c r="Z41" s="648"/>
      <c r="AA41" s="648"/>
      <c r="AB41" s="648"/>
      <c r="AC41" s="648"/>
      <c r="AD41" s="648"/>
      <c r="AE41" s="648"/>
      <c r="AF41" s="717"/>
      <c r="AG41" s="717"/>
      <c r="AH41" s="717"/>
      <c r="AI41" s="648"/>
      <c r="AJ41" s="648"/>
      <c r="AK41" s="117" t="s">
        <v>343</v>
      </c>
      <c r="AL41" s="118">
        <f>+IF(NOT(Inputs!$C$16=0),AL39,AL36)</f>
        <v>0</v>
      </c>
      <c r="AM41" s="118" t="e">
        <f>+IF(NOT(Inputs!$C$16=0),AM39,AM36)</f>
        <v>#VALUE!</v>
      </c>
      <c r="AN41" s="118" t="e">
        <f>+IF(NOT(Inputs!$C$16=0),AN39,AN36)</f>
        <v>#VALUE!</v>
      </c>
      <c r="AO41" s="118" t="e">
        <f>+IF(NOT(Inputs!$C$16=0),AO39,AO36)</f>
        <v>#VALUE!</v>
      </c>
      <c r="AP41" s="118">
        <f>+IF(NOT(Inputs!$C$16=0),AP39,AP36)</f>
        <v>0</v>
      </c>
      <c r="AQ41" s="118">
        <f>+IF(NOT(Inputs!$C$16=0),AQ39,AQ36)</f>
        <v>0</v>
      </c>
    </row>
    <row r="42" spans="2:43" x14ac:dyDescent="0.2">
      <c r="B42" s="719"/>
      <c r="C42" s="648"/>
      <c r="D42" s="648"/>
      <c r="E42" s="648"/>
      <c r="F42" s="648"/>
      <c r="G42" s="648"/>
      <c r="H42" s="648"/>
      <c r="I42" s="648"/>
      <c r="J42" s="648"/>
      <c r="K42" s="648"/>
      <c r="L42" s="648"/>
      <c r="M42" s="717"/>
      <c r="N42" s="717"/>
      <c r="O42" s="723"/>
      <c r="P42" s="648"/>
      <c r="Q42" s="648"/>
      <c r="R42" s="648"/>
      <c r="S42" s="648"/>
      <c r="T42" s="648"/>
      <c r="U42" s="648"/>
      <c r="V42" s="648"/>
      <c r="W42" s="648"/>
      <c r="X42" s="648"/>
      <c r="Y42" s="648"/>
      <c r="Z42" s="648"/>
      <c r="AA42" s="648"/>
      <c r="AB42" s="648"/>
      <c r="AC42" s="648"/>
      <c r="AD42" s="648"/>
      <c r="AE42" s="648"/>
      <c r="AF42" s="717"/>
      <c r="AG42" s="717"/>
      <c r="AH42" s="717"/>
      <c r="AI42" s="648"/>
      <c r="AJ42" s="648"/>
      <c r="AK42" s="648"/>
      <c r="AL42" s="648"/>
      <c r="AM42" s="648"/>
      <c r="AN42" s="648"/>
      <c r="AO42" s="648"/>
      <c r="AP42" s="648"/>
      <c r="AQ42" s="648"/>
    </row>
    <row r="43" spans="2:43" x14ac:dyDescent="0.2">
      <c r="B43" s="719"/>
      <c r="C43" s="648"/>
      <c r="D43" s="648" t="s">
        <v>344</v>
      </c>
      <c r="E43" s="648"/>
      <c r="F43" s="648"/>
      <c r="G43" s="648"/>
      <c r="H43" s="648"/>
      <c r="I43" s="648"/>
      <c r="J43" s="648"/>
      <c r="K43" s="648"/>
      <c r="L43" s="648"/>
      <c r="M43" s="717"/>
      <c r="N43" s="717"/>
      <c r="O43" s="723"/>
      <c r="P43" s="648"/>
      <c r="Q43" s="648"/>
      <c r="R43" s="648"/>
      <c r="S43" s="648"/>
      <c r="T43" s="648"/>
      <c r="U43" s="648"/>
      <c r="V43" s="648"/>
      <c r="W43" s="648"/>
      <c r="X43" s="648"/>
      <c r="Y43" s="648"/>
      <c r="Z43" s="648"/>
      <c r="AA43" s="648"/>
      <c r="AB43" s="725"/>
      <c r="AC43" s="648"/>
      <c r="AD43" s="648"/>
      <c r="AE43" s="648"/>
      <c r="AF43" s="717"/>
      <c r="AG43" s="717"/>
      <c r="AH43" s="717"/>
      <c r="AI43" s="648"/>
      <c r="AJ43" s="648"/>
      <c r="AK43" s="648"/>
      <c r="AL43" s="648"/>
      <c r="AM43" s="648"/>
      <c r="AN43" s="648"/>
      <c r="AO43" s="713"/>
      <c r="AP43" s="648"/>
      <c r="AQ43" s="648"/>
    </row>
    <row r="44" spans="2:43" ht="32.1" customHeight="1" x14ac:dyDescent="0.25">
      <c r="B44" s="648"/>
      <c r="C44" s="119"/>
      <c r="D44" s="648"/>
      <c r="E44" s="648"/>
      <c r="F44" s="120" t="s">
        <v>345</v>
      </c>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637"/>
      <c r="AK44" s="648"/>
      <c r="AL44" s="648"/>
      <c r="AM44" s="648"/>
      <c r="AN44" s="648"/>
      <c r="AO44" s="648"/>
      <c r="AP44" s="648"/>
      <c r="AQ44" s="648"/>
    </row>
    <row r="45" spans="2:43" ht="15" customHeight="1" x14ac:dyDescent="0.25">
      <c r="B45" s="121" t="s">
        <v>346</v>
      </c>
      <c r="C45" s="119"/>
      <c r="D45" s="648"/>
      <c r="E45" s="648"/>
      <c r="F45" s="648"/>
      <c r="G45" s="648"/>
      <c r="H45" s="122" t="s">
        <v>243</v>
      </c>
      <c r="I45" s="122" t="s">
        <v>244</v>
      </c>
      <c r="J45" s="713"/>
      <c r="K45" s="648"/>
      <c r="L45" s="648"/>
      <c r="M45" s="881" t="s">
        <v>347</v>
      </c>
      <c r="N45" s="882"/>
      <c r="O45" s="882"/>
      <c r="P45" s="882"/>
      <c r="Q45" s="883"/>
      <c r="R45" s="123" t="s">
        <v>348</v>
      </c>
      <c r="S45" s="124"/>
      <c r="T45" s="124"/>
      <c r="U45" s="125"/>
      <c r="V45" s="125"/>
      <c r="W45" s="125"/>
      <c r="X45" s="125"/>
      <c r="Y45" s="124"/>
      <c r="Z45" s="124"/>
      <c r="AA45" s="124"/>
      <c r="AB45" s="124"/>
      <c r="AC45" s="124"/>
      <c r="AD45" s="124"/>
      <c r="AE45" s="124"/>
      <c r="AF45" s="124"/>
      <c r="AG45" s="125"/>
      <c r="AH45" s="126"/>
      <c r="AI45" s="880" t="s">
        <v>245</v>
      </c>
      <c r="AJ45" s="880"/>
      <c r="AK45" s="648"/>
      <c r="AL45" s="648"/>
      <c r="AM45" s="648"/>
      <c r="AN45" s="648"/>
      <c r="AO45" s="648"/>
      <c r="AP45" s="648"/>
      <c r="AQ45" s="648"/>
    </row>
    <row r="46" spans="2:43" ht="63.75" x14ac:dyDescent="0.2">
      <c r="B46" s="127" t="str">
        <f>Inputs!C6</f>
        <v/>
      </c>
      <c r="C46" s="648"/>
      <c r="D46" s="648"/>
      <c r="E46" s="727" t="s">
        <v>349</v>
      </c>
      <c r="F46" s="128" t="s">
        <v>350</v>
      </c>
      <c r="G46" s="129" t="s">
        <v>351</v>
      </c>
      <c r="H46" s="122" t="s">
        <v>352</v>
      </c>
      <c r="I46" s="122" t="s">
        <v>352</v>
      </c>
      <c r="J46" s="112" t="s">
        <v>353</v>
      </c>
      <c r="K46" s="112" t="s">
        <v>354</v>
      </c>
      <c r="L46" s="130"/>
      <c r="M46" s="130" t="s">
        <v>355</v>
      </c>
      <c r="N46" s="130" t="s">
        <v>356</v>
      </c>
      <c r="O46" s="130" t="s">
        <v>357</v>
      </c>
      <c r="P46" s="130" t="s">
        <v>358</v>
      </c>
      <c r="Q46" s="130" t="s">
        <v>359</v>
      </c>
      <c r="R46" s="131" t="s">
        <v>360</v>
      </c>
      <c r="S46" s="131" t="s">
        <v>361</v>
      </c>
      <c r="T46" s="130" t="s">
        <v>362</v>
      </c>
      <c r="U46" s="130" t="s">
        <v>363</v>
      </c>
      <c r="V46" s="130" t="s">
        <v>364</v>
      </c>
      <c r="W46" s="130" t="s">
        <v>365</v>
      </c>
      <c r="X46" s="130" t="s">
        <v>366</v>
      </c>
      <c r="Y46" s="130" t="s">
        <v>367</v>
      </c>
      <c r="Z46" s="131" t="s">
        <v>368</v>
      </c>
      <c r="AA46" s="130" t="s">
        <v>369</v>
      </c>
      <c r="AB46" s="131" t="s">
        <v>370</v>
      </c>
      <c r="AC46" s="130" t="s">
        <v>371</v>
      </c>
      <c r="AD46" s="130" t="s">
        <v>372</v>
      </c>
      <c r="AE46" s="130" t="s">
        <v>373</v>
      </c>
      <c r="AF46" s="130" t="s">
        <v>374</v>
      </c>
      <c r="AG46" s="114" t="s">
        <v>375</v>
      </c>
      <c r="AH46" s="114" t="s">
        <v>376</v>
      </c>
      <c r="AI46" s="114" t="s">
        <v>377</v>
      </c>
      <c r="AJ46" s="114" t="s">
        <v>378</v>
      </c>
      <c r="AK46" s="648"/>
      <c r="AL46" s="648"/>
      <c r="AM46" s="648"/>
      <c r="AN46" s="648"/>
      <c r="AO46" s="648"/>
      <c r="AP46" s="648"/>
      <c r="AQ46" s="648"/>
    </row>
    <row r="47" spans="2:43" x14ac:dyDescent="0.2">
      <c r="B47" s="132" t="s">
        <v>379</v>
      </c>
      <c r="C47" s="648"/>
      <c r="D47" s="648"/>
      <c r="E47" s="719">
        <v>2</v>
      </c>
      <c r="F47" s="728">
        <v>101</v>
      </c>
      <c r="G47" s="729" t="e">
        <f>HLOOKUP($B$48, 'Weather Data'!$CC$17:$CZ$80,E47,FALSE)</f>
        <v>#N/A</v>
      </c>
      <c r="H47" s="728" t="str">
        <f>IF(F47&gt;=Inputs!$C$24,"Cooling",IF(F47&lt;=Inputs!$C$29,"Heating","Neither"))</f>
        <v>Heating</v>
      </c>
      <c r="I47" s="728" t="e">
        <f>IF(F47&gt;=Inputs!$D$24,"Cooling",IF(F47&lt;=Inputs!$D$29,"Heating","Neither"))</f>
        <v>#VALUE!</v>
      </c>
      <c r="J47" s="659" t="e">
        <f>IF(H47="Cooling",(F47-Inputs!$C$24)*($V$3)/(Inputs!$C$32-Inputs!$C$24),IF(H47="Heating",(Inputs!$C$29-F47)*($V$15)/(Inputs!$C$29-Inputs!$C$33)/$C$53,0))</f>
        <v>#VALUE!</v>
      </c>
      <c r="K47" s="659" t="e">
        <f>IF(I47="Cooling",(F47-Inputs!$D$24)*($V$4)/(Inputs!$C$32-Inputs!$D$24),IF(I47="Heating",(Inputs!$D$29-F47)*($V$16)/(Inputs!$D$29-Inputs!$C$33)/$C$53,0))</f>
        <v>#VALUE!</v>
      </c>
      <c r="L47" s="659"/>
      <c r="M47" s="659" t="e">
        <f t="shared" ref="M47:M109" si="2">IF(AND(H47="Heating",J47&gt;0,G47&gt;0),J47,0)</f>
        <v>#VALUE!</v>
      </c>
      <c r="N47" s="659" t="e">
        <f t="shared" ref="N47:N109" si="3">IF(AND(I47="Heating",K47&gt;0,G47&gt;0),K47,0)</f>
        <v>#VALUE!</v>
      </c>
      <c r="O47" s="659" t="e">
        <f t="shared" ref="O47:P78" si="4">$G47*M47/$Q$39</f>
        <v>#N/A</v>
      </c>
      <c r="P47" s="659" t="e">
        <f t="shared" si="4"/>
        <v>#N/A</v>
      </c>
      <c r="Q47" s="659" t="e">
        <f t="shared" ref="Q47:Q109" si="5">(O47)-P47</f>
        <v>#N/A</v>
      </c>
      <c r="R47" s="730">
        <f>IF(H47="Cooling",0.87403+-0.001142*67+0.000171*67^2+-0.002957*F47+0.00001018*F47^2+-0.00005917*67*F47,0)</f>
        <v>0</v>
      </c>
      <c r="S47" s="730" t="e">
        <f>IF(I47="Cooling",0.87403+-0.001142*67+0.000171*67^2+-0.002957*F47+0.00001018*F47^2+-0.00005917*67*F47,0)</f>
        <v>#VALUE!</v>
      </c>
      <c r="T47" s="701" t="e">
        <f>R47*($C$4)</f>
        <v>#N/A</v>
      </c>
      <c r="U47" s="701" t="e">
        <f>S47*($E$4)</f>
        <v>#VALUE!</v>
      </c>
      <c r="V47" s="701" t="e">
        <f t="shared" ref="V47:V109" si="6">MIN(T47,J47)</f>
        <v>#N/A</v>
      </c>
      <c r="W47" s="701" t="e">
        <f t="shared" ref="W47:W109" si="7">IF(AND(H47="Cooling",J47&gt;0),IF(V47&gt;=J47,"Yes","No"),"")</f>
        <v>#VALUE!</v>
      </c>
      <c r="X47" s="701" t="e">
        <f t="shared" ref="X47:X109" si="8">MIN(U47,K47)</f>
        <v>#VALUE!</v>
      </c>
      <c r="Y47" s="731">
        <f>IF(H47="Cooling",-1.063931+0.0306584*67+-0.0001269*67^2+0.0154213*F47+0.0000497*F47^2+-0.0002096*67*F47,0)</f>
        <v>0</v>
      </c>
      <c r="Z47" s="731" t="e">
        <f>IF(I47="Cooling",-1.063931+0.0306584*67+-0.0001269*67^2+0.0154213*F47+0.0000497*F47^2+-0.0002096*67*F47,0)</f>
        <v>#VALUE!</v>
      </c>
      <c r="AA47" s="732" t="e">
        <f t="shared" ref="AA47:AA109" si="9">IF(AND(H47="Cooling",J47&gt;0),MAX(1,1/(1-(1-V47/T47)*$C$51)),0)</f>
        <v>#VALUE!</v>
      </c>
      <c r="AB47" s="732" t="e">
        <f>IF(AND(H47="Cooling",K47&gt;0),MAX(1,1/(1-(1-X47/U47)*$C$51)),0)</f>
        <v>#VALUE!</v>
      </c>
      <c r="AC47" s="730">
        <f t="shared" ref="AC47:AD78" si="10">IFERROR($Q$37/Y47/AA47,0)</f>
        <v>0</v>
      </c>
      <c r="AD47" s="730">
        <f t="shared" si="10"/>
        <v>0</v>
      </c>
      <c r="AE47" s="701" t="e">
        <f t="shared" ref="AE47:AE109" si="11">IF(AA47&gt;0,$G47*V47/($AC47/3.412),0)</f>
        <v>#VALUE!</v>
      </c>
      <c r="AF47" s="701" t="e">
        <f t="shared" ref="AF47:AF109" si="12">IF(AB47&gt;0,$G47*X47/($AD47/3.412),0)</f>
        <v>#VALUE!</v>
      </c>
      <c r="AG47" s="701" t="e">
        <f t="shared" ref="AG47:AG109" si="13">AE47-AF47</f>
        <v>#VALUE!</v>
      </c>
      <c r="AH47" s="701" t="e">
        <f t="shared" ref="AH47:AH109" si="14">AG47/3412</f>
        <v>#VALUE!</v>
      </c>
      <c r="AI47" s="730" t="e">
        <f>AH47+IF(Inputs!C$39="Electric",Q47/3412,0)</f>
        <v>#VALUE!</v>
      </c>
      <c r="AJ47" s="730" t="e">
        <f>AH47/293.083+Q47/10^6</f>
        <v>#VALUE!</v>
      </c>
      <c r="AK47" s="133"/>
      <c r="AL47" s="648"/>
      <c r="AM47" s="648"/>
      <c r="AN47" s="648"/>
      <c r="AO47" s="648"/>
      <c r="AP47" s="648"/>
      <c r="AQ47" s="648"/>
    </row>
    <row r="48" spans="2:43" x14ac:dyDescent="0.2">
      <c r="B48" s="638" t="str">
        <f>B46&amp; " Occupied"</f>
        <v xml:space="preserve"> Occupied</v>
      </c>
      <c r="C48" s="648"/>
      <c r="D48" s="648"/>
      <c r="E48" s="719">
        <v>3</v>
      </c>
      <c r="F48" s="728">
        <v>99</v>
      </c>
      <c r="G48" s="729" t="e">
        <f>HLOOKUP($B$48, 'Weather Data'!$CC$17:$CZ$80,E48,FALSE)</f>
        <v>#N/A</v>
      </c>
      <c r="H48" s="728" t="str">
        <f>IF(F48&gt;=Inputs!$C$24,"Cooling",IF(F48&lt;=Inputs!$C$29,"Heating","Neither"))</f>
        <v>Heating</v>
      </c>
      <c r="I48" s="728" t="e">
        <f>IF(F48&gt;=Inputs!$D$24,"Cooling",IF(F48&lt;=Inputs!$D$29,"Heating","Neither"))</f>
        <v>#VALUE!</v>
      </c>
      <c r="J48" s="659" t="e">
        <f>IF(H48="Cooling",(F48-Inputs!$C$24)*($V$3)/(Inputs!$C$32-Inputs!$C$24),IF(H48="Heating",(Inputs!$C$29-F48)*($V$15)/(Inputs!$C$29-Inputs!$C$33)/$C$53,0))</f>
        <v>#VALUE!</v>
      </c>
      <c r="K48" s="659" t="e">
        <f>IF(I48="Cooling",(F48-Inputs!$D$24)*($V$4)/(Inputs!$C$32-Inputs!$D$24),IF(I48="Heating",(Inputs!$D$29-F48)*($V$16)/(Inputs!$D$29-Inputs!$C$33)/$C$53,0))</f>
        <v>#VALUE!</v>
      </c>
      <c r="L48" s="659"/>
      <c r="M48" s="659" t="e">
        <f t="shared" si="2"/>
        <v>#VALUE!</v>
      </c>
      <c r="N48" s="659" t="e">
        <f t="shared" si="3"/>
        <v>#VALUE!</v>
      </c>
      <c r="O48" s="659" t="e">
        <f t="shared" si="4"/>
        <v>#N/A</v>
      </c>
      <c r="P48" s="659" t="e">
        <f t="shared" si="4"/>
        <v>#N/A</v>
      </c>
      <c r="Q48" s="659" t="e">
        <f t="shared" si="5"/>
        <v>#N/A</v>
      </c>
      <c r="R48" s="730">
        <f t="shared" ref="R48:R109" si="15">IF(H48="Cooling",0.87403+-0.001142*67+0.000171*67^2+-0.002957*F48+0.00001018*F48^2+-0.00005917*67*F48,0)</f>
        <v>0</v>
      </c>
      <c r="S48" s="730" t="e">
        <f t="shared" ref="S48:S109" si="16">IF(I48="Cooling",0.87403+-0.001142*67+0.000171*67^2+-0.002957*F48+0.00001018*F48^2+-0.00005917*67*F48,0)</f>
        <v>#VALUE!</v>
      </c>
      <c r="T48" s="701" t="e">
        <f t="shared" ref="T48:T109" si="17">R48*($C$4)</f>
        <v>#N/A</v>
      </c>
      <c r="U48" s="701" t="e">
        <f t="shared" ref="U48:U111" si="18">S48*($E$4)</f>
        <v>#VALUE!</v>
      </c>
      <c r="V48" s="701" t="e">
        <f t="shared" si="6"/>
        <v>#N/A</v>
      </c>
      <c r="W48" s="701" t="e">
        <f t="shared" si="7"/>
        <v>#VALUE!</v>
      </c>
      <c r="X48" s="701" t="e">
        <f t="shared" si="8"/>
        <v>#VALUE!</v>
      </c>
      <c r="Y48" s="731">
        <f t="shared" ref="Y48:Y109" si="19">IF(H48="Cooling",-1.063931+0.0306584*67+-0.0001269*67^2+0.0154213*F48+0.0000497*F48^2+-0.0002096*67*F48,0)</f>
        <v>0</v>
      </c>
      <c r="Z48" s="731" t="e">
        <f t="shared" ref="Z48:Z109" si="20">IF(I48="Cooling",-1.063931+0.0306584*67+-0.0001269*67^2+0.0154213*F48+0.0000497*F48^2+-0.0002096*67*F48,0)</f>
        <v>#VALUE!</v>
      </c>
      <c r="AA48" s="732" t="e">
        <f t="shared" si="9"/>
        <v>#VALUE!</v>
      </c>
      <c r="AB48" s="732" t="e">
        <f t="shared" ref="AB48:AB109" si="21">IF(AND(H48="Cooling",K48&gt;0),MAX(1,1/(1-(1-X48/U48)*$C$51)),0)</f>
        <v>#VALUE!</v>
      </c>
      <c r="AC48" s="730">
        <f t="shared" si="10"/>
        <v>0</v>
      </c>
      <c r="AD48" s="730">
        <f t="shared" si="10"/>
        <v>0</v>
      </c>
      <c r="AE48" s="701" t="e">
        <f t="shared" si="11"/>
        <v>#VALUE!</v>
      </c>
      <c r="AF48" s="701" t="e">
        <f t="shared" si="12"/>
        <v>#VALUE!</v>
      </c>
      <c r="AG48" s="701" t="e">
        <f t="shared" si="13"/>
        <v>#VALUE!</v>
      </c>
      <c r="AH48" s="701" t="e">
        <f t="shared" si="14"/>
        <v>#VALUE!</v>
      </c>
      <c r="AI48" s="730" t="e">
        <f>AH48+IF(Inputs!C$39="Electric",Q48/3412,0)</f>
        <v>#VALUE!</v>
      </c>
      <c r="AJ48" s="730" t="e">
        <f t="shared" ref="AJ48:AJ109" si="22">AH48/293.083+Q48/10^6</f>
        <v>#VALUE!</v>
      </c>
      <c r="AK48" s="133"/>
      <c r="AL48" s="102"/>
      <c r="AM48" s="6" t="s">
        <v>249</v>
      </c>
      <c r="AN48" s="6" t="s">
        <v>289</v>
      </c>
      <c r="AO48" s="648"/>
      <c r="AP48" s="638"/>
      <c r="AQ48" s="638" t="s">
        <v>290</v>
      </c>
    </row>
    <row r="49" spans="2:44" x14ac:dyDescent="0.2">
      <c r="B49" s="641" t="str">
        <f>B46&amp;" Unoccupied"</f>
        <v xml:space="preserve"> Unoccupied</v>
      </c>
      <c r="C49" s="648"/>
      <c r="D49" s="648"/>
      <c r="E49" s="719">
        <v>4</v>
      </c>
      <c r="F49" s="728">
        <v>97</v>
      </c>
      <c r="G49" s="729" t="e">
        <f>HLOOKUP($B$48, 'Weather Data'!$CC$17:$CZ$80,E49,FALSE)</f>
        <v>#N/A</v>
      </c>
      <c r="H49" s="728" t="str">
        <f>IF(F49&gt;=Inputs!$C$24,"Cooling",IF(F49&lt;=Inputs!$C$29,"Heating","Neither"))</f>
        <v>Heating</v>
      </c>
      <c r="I49" s="728" t="e">
        <f>IF(F49&gt;=Inputs!$D$24,"Cooling",IF(F49&lt;=Inputs!$D$29,"Heating","Neither"))</f>
        <v>#VALUE!</v>
      </c>
      <c r="J49" s="659" t="e">
        <f>IF(H49="Cooling",(F49-Inputs!$C$24)*($V$3)/(Inputs!$C$32-Inputs!$C$24),IF(H49="Heating",(Inputs!$C$29-F49)*($V$15)/(Inputs!$C$29-Inputs!$C$33)/$C$53,0))</f>
        <v>#VALUE!</v>
      </c>
      <c r="K49" s="659" t="e">
        <f>IF(I49="Cooling",(F49-Inputs!$D$24)*($V$4)/(Inputs!$C$32-Inputs!$D$24),IF(I49="Heating",(Inputs!$D$29-F49)*($V$16)/(Inputs!$D$29-Inputs!$C$33)/$C$53,0))</f>
        <v>#VALUE!</v>
      </c>
      <c r="L49" s="659"/>
      <c r="M49" s="659" t="e">
        <f t="shared" si="2"/>
        <v>#VALUE!</v>
      </c>
      <c r="N49" s="659" t="e">
        <f t="shared" si="3"/>
        <v>#VALUE!</v>
      </c>
      <c r="O49" s="659" t="e">
        <f t="shared" si="4"/>
        <v>#N/A</v>
      </c>
      <c r="P49" s="659" t="e">
        <f t="shared" si="4"/>
        <v>#N/A</v>
      </c>
      <c r="Q49" s="659" t="e">
        <f t="shared" si="5"/>
        <v>#N/A</v>
      </c>
      <c r="R49" s="730">
        <f t="shared" si="15"/>
        <v>0</v>
      </c>
      <c r="S49" s="730" t="e">
        <f t="shared" si="16"/>
        <v>#VALUE!</v>
      </c>
      <c r="T49" s="701" t="e">
        <f t="shared" si="17"/>
        <v>#N/A</v>
      </c>
      <c r="U49" s="701" t="e">
        <f t="shared" si="18"/>
        <v>#VALUE!</v>
      </c>
      <c r="V49" s="701" t="e">
        <f t="shared" si="6"/>
        <v>#N/A</v>
      </c>
      <c r="W49" s="701" t="e">
        <f t="shared" si="7"/>
        <v>#VALUE!</v>
      </c>
      <c r="X49" s="701" t="e">
        <f t="shared" si="8"/>
        <v>#VALUE!</v>
      </c>
      <c r="Y49" s="731">
        <f t="shared" si="19"/>
        <v>0</v>
      </c>
      <c r="Z49" s="731" t="e">
        <f t="shared" si="20"/>
        <v>#VALUE!</v>
      </c>
      <c r="AA49" s="732" t="e">
        <f t="shared" si="9"/>
        <v>#VALUE!</v>
      </c>
      <c r="AB49" s="732" t="e">
        <f t="shared" si="21"/>
        <v>#VALUE!</v>
      </c>
      <c r="AC49" s="730">
        <f t="shared" si="10"/>
        <v>0</v>
      </c>
      <c r="AD49" s="730">
        <f t="shared" si="10"/>
        <v>0</v>
      </c>
      <c r="AE49" s="701" t="e">
        <f t="shared" si="11"/>
        <v>#VALUE!</v>
      </c>
      <c r="AF49" s="701" t="e">
        <f t="shared" si="12"/>
        <v>#VALUE!</v>
      </c>
      <c r="AG49" s="701" t="e">
        <f t="shared" si="13"/>
        <v>#VALUE!</v>
      </c>
      <c r="AH49" s="701" t="e">
        <f t="shared" si="14"/>
        <v>#VALUE!</v>
      </c>
      <c r="AI49" s="730" t="e">
        <f>AH49+IF(Inputs!C$39="Electric",Q49/3412,0)</f>
        <v>#VALUE!</v>
      </c>
      <c r="AJ49" s="730" t="e">
        <f t="shared" si="22"/>
        <v>#VALUE!</v>
      </c>
      <c r="AK49" s="133"/>
      <c r="AL49" s="102" t="s">
        <v>203</v>
      </c>
      <c r="AM49" s="701">
        <f>IFERROR(AN49*0.003412,0)</f>
        <v>0</v>
      </c>
      <c r="AN49" s="701">
        <f>IFERROR(SUM(AI47:AI109,AI120:AI182),0)</f>
        <v>0</v>
      </c>
      <c r="AO49" s="134" t="s">
        <v>203</v>
      </c>
      <c r="AP49" s="638" t="s">
        <v>380</v>
      </c>
      <c r="AQ49" s="702">
        <f>IFERROR(-AM49/(AM53),0)</f>
        <v>0</v>
      </c>
      <c r="AR49" s="648"/>
    </row>
    <row r="50" spans="2:44" x14ac:dyDescent="0.2">
      <c r="B50" s="639" t="s">
        <v>381</v>
      </c>
      <c r="C50" s="638" t="str">
        <f>IF(Bldg_Type=0,"",Bldg_Type)</f>
        <v>Office</v>
      </c>
      <c r="D50" s="648"/>
      <c r="E50" s="719">
        <v>5</v>
      </c>
      <c r="F50" s="728">
        <v>95</v>
      </c>
      <c r="G50" s="729" t="e">
        <f>HLOOKUP($B$48, 'Weather Data'!$CC$17:$CZ$80,E50,FALSE)</f>
        <v>#N/A</v>
      </c>
      <c r="H50" s="728" t="str">
        <f>IF(F50&gt;=Inputs!$C$24,"Cooling",IF(F50&lt;=Inputs!$C$29,"Heating","Neither"))</f>
        <v>Heating</v>
      </c>
      <c r="I50" s="728" t="e">
        <f>IF(F50&gt;=Inputs!$D$24,"Cooling",IF(F50&lt;=Inputs!$D$29,"Heating","Neither"))</f>
        <v>#VALUE!</v>
      </c>
      <c r="J50" s="659" t="e">
        <f>IF(H50="Cooling",(F50-Inputs!$C$24)*($V$3)/(Inputs!$C$32-Inputs!$C$24),IF(H50="Heating",(Inputs!$C$29-F50)*($V$15)/(Inputs!$C$29-Inputs!$C$33)/$C$53,0))</f>
        <v>#VALUE!</v>
      </c>
      <c r="K50" s="659" t="e">
        <f>IF(I50="Cooling",(F50-Inputs!$D$24)*($V$4)/(Inputs!$C$32-Inputs!$D$24),IF(I50="Heating",(Inputs!$D$29-F50)*($V$16)/(Inputs!$D$29-Inputs!$C$33)/$C$53,0))</f>
        <v>#VALUE!</v>
      </c>
      <c r="L50" s="659"/>
      <c r="M50" s="659" t="e">
        <f t="shared" si="2"/>
        <v>#VALUE!</v>
      </c>
      <c r="N50" s="659" t="e">
        <f t="shared" si="3"/>
        <v>#VALUE!</v>
      </c>
      <c r="O50" s="659" t="e">
        <f t="shared" si="4"/>
        <v>#N/A</v>
      </c>
      <c r="P50" s="659" t="e">
        <f t="shared" si="4"/>
        <v>#N/A</v>
      </c>
      <c r="Q50" s="659" t="e">
        <f t="shared" si="5"/>
        <v>#N/A</v>
      </c>
      <c r="R50" s="730">
        <f t="shared" si="15"/>
        <v>0</v>
      </c>
      <c r="S50" s="730" t="e">
        <f t="shared" si="16"/>
        <v>#VALUE!</v>
      </c>
      <c r="T50" s="701" t="e">
        <f t="shared" si="17"/>
        <v>#N/A</v>
      </c>
      <c r="U50" s="701" t="e">
        <f t="shared" si="18"/>
        <v>#VALUE!</v>
      </c>
      <c r="V50" s="701" t="e">
        <f t="shared" si="6"/>
        <v>#N/A</v>
      </c>
      <c r="W50" s="701" t="e">
        <f t="shared" si="7"/>
        <v>#VALUE!</v>
      </c>
      <c r="X50" s="701" t="e">
        <f t="shared" si="8"/>
        <v>#VALUE!</v>
      </c>
      <c r="Y50" s="731">
        <f t="shared" si="19"/>
        <v>0</v>
      </c>
      <c r="Z50" s="731" t="e">
        <f t="shared" si="20"/>
        <v>#VALUE!</v>
      </c>
      <c r="AA50" s="732" t="e">
        <f t="shared" si="9"/>
        <v>#VALUE!</v>
      </c>
      <c r="AB50" s="732" t="e">
        <f t="shared" si="21"/>
        <v>#VALUE!</v>
      </c>
      <c r="AC50" s="730">
        <f t="shared" si="10"/>
        <v>0</v>
      </c>
      <c r="AD50" s="730">
        <f t="shared" si="10"/>
        <v>0</v>
      </c>
      <c r="AE50" s="701" t="e">
        <f t="shared" si="11"/>
        <v>#VALUE!</v>
      </c>
      <c r="AF50" s="701" t="e">
        <f t="shared" si="12"/>
        <v>#VALUE!</v>
      </c>
      <c r="AG50" s="701" t="e">
        <f t="shared" si="13"/>
        <v>#VALUE!</v>
      </c>
      <c r="AH50" s="701" t="e">
        <f t="shared" si="14"/>
        <v>#VALUE!</v>
      </c>
      <c r="AI50" s="730" t="e">
        <f>AH50+IF(Inputs!C$39="Electric",Q50/3412,0)</f>
        <v>#VALUE!</v>
      </c>
      <c r="AJ50" s="730" t="e">
        <f t="shared" si="22"/>
        <v>#VALUE!</v>
      </c>
      <c r="AK50" s="133"/>
      <c r="AL50" s="638" t="s">
        <v>293</v>
      </c>
      <c r="AM50" s="701">
        <f>IFERROR(AN50/10,0)</f>
        <v>0</v>
      </c>
      <c r="AN50" s="701">
        <f>IFERROR(IF(OR((Inputs!C39="Electric"),Q$39&gt;=1.01),0,(SUM(Q47:Q109,Q120:Q182)/100000)),0)</f>
        <v>0</v>
      </c>
      <c r="AO50" s="639" t="s">
        <v>293</v>
      </c>
      <c r="AP50" s="638" t="s">
        <v>382</v>
      </c>
      <c r="AQ50" s="702">
        <f>IFERROR(-AM50/(AM54),0)</f>
        <v>0</v>
      </c>
      <c r="AR50" s="648"/>
    </row>
    <row r="51" spans="2:44" x14ac:dyDescent="0.2">
      <c r="B51" s="638" t="s">
        <v>383</v>
      </c>
      <c r="C51" s="638">
        <v>0.2</v>
      </c>
      <c r="D51" s="648"/>
      <c r="E51" s="719">
        <v>6</v>
      </c>
      <c r="F51" s="728">
        <v>93</v>
      </c>
      <c r="G51" s="729" t="e">
        <f>HLOOKUP($B$48, 'Weather Data'!$CC$17:$CZ$80,E51,FALSE)</f>
        <v>#N/A</v>
      </c>
      <c r="H51" s="728" t="str">
        <f>IF(F51&gt;=Inputs!$C$24,"Cooling",IF(F51&lt;=Inputs!$C$29,"Heating","Neither"))</f>
        <v>Heating</v>
      </c>
      <c r="I51" s="728" t="e">
        <f>IF(F51&gt;=Inputs!$D$24,"Cooling",IF(F51&lt;=Inputs!$D$29,"Heating","Neither"))</f>
        <v>#VALUE!</v>
      </c>
      <c r="J51" s="659" t="e">
        <f>IF(H51="Cooling",(F51-Inputs!$C$24)*($V$3)/(Inputs!$C$32-Inputs!$C$24),IF(H51="Heating",(Inputs!$C$29-F51)*($V$15)/(Inputs!$C$29-Inputs!$C$33)/$C$53,0))</f>
        <v>#VALUE!</v>
      </c>
      <c r="K51" s="659" t="e">
        <f>IF(I51="Cooling",(F51-Inputs!$D$24)*($V$4)/(Inputs!$C$32-Inputs!$D$24),IF(I51="Heating",(Inputs!$D$29-F51)*($V$16)/(Inputs!$D$29-Inputs!$C$33)/$C$53,0))</f>
        <v>#VALUE!</v>
      </c>
      <c r="L51" s="659"/>
      <c r="M51" s="659" t="e">
        <f t="shared" si="2"/>
        <v>#VALUE!</v>
      </c>
      <c r="N51" s="659" t="e">
        <f t="shared" si="3"/>
        <v>#VALUE!</v>
      </c>
      <c r="O51" s="659" t="e">
        <f t="shared" si="4"/>
        <v>#N/A</v>
      </c>
      <c r="P51" s="659" t="e">
        <f t="shared" si="4"/>
        <v>#N/A</v>
      </c>
      <c r="Q51" s="659" t="e">
        <f t="shared" si="5"/>
        <v>#N/A</v>
      </c>
      <c r="R51" s="730">
        <f t="shared" si="15"/>
        <v>0</v>
      </c>
      <c r="S51" s="730" t="e">
        <f t="shared" si="16"/>
        <v>#VALUE!</v>
      </c>
      <c r="T51" s="701" t="e">
        <f t="shared" si="17"/>
        <v>#N/A</v>
      </c>
      <c r="U51" s="701" t="e">
        <f t="shared" si="18"/>
        <v>#VALUE!</v>
      </c>
      <c r="V51" s="701" t="e">
        <f t="shared" si="6"/>
        <v>#N/A</v>
      </c>
      <c r="W51" s="701" t="e">
        <f t="shared" si="7"/>
        <v>#VALUE!</v>
      </c>
      <c r="X51" s="701" t="e">
        <f t="shared" si="8"/>
        <v>#VALUE!</v>
      </c>
      <c r="Y51" s="731">
        <f t="shared" si="19"/>
        <v>0</v>
      </c>
      <c r="Z51" s="731" t="e">
        <f t="shared" si="20"/>
        <v>#VALUE!</v>
      </c>
      <c r="AA51" s="732" t="e">
        <f t="shared" si="9"/>
        <v>#VALUE!</v>
      </c>
      <c r="AB51" s="732" t="e">
        <f t="shared" si="21"/>
        <v>#VALUE!</v>
      </c>
      <c r="AC51" s="730">
        <f t="shared" si="10"/>
        <v>0</v>
      </c>
      <c r="AD51" s="730">
        <f t="shared" si="10"/>
        <v>0</v>
      </c>
      <c r="AE51" s="701" t="e">
        <f t="shared" si="11"/>
        <v>#VALUE!</v>
      </c>
      <c r="AF51" s="701" t="e">
        <f t="shared" si="12"/>
        <v>#VALUE!</v>
      </c>
      <c r="AG51" s="701" t="e">
        <f t="shared" si="13"/>
        <v>#VALUE!</v>
      </c>
      <c r="AH51" s="701" t="e">
        <f t="shared" si="14"/>
        <v>#VALUE!</v>
      </c>
      <c r="AI51" s="730" t="e">
        <f>AH51+IF(Inputs!C$39="Electric",Q51/3412,0)</f>
        <v>#VALUE!</v>
      </c>
      <c r="AJ51" s="730" t="e">
        <f t="shared" si="22"/>
        <v>#VALUE!</v>
      </c>
      <c r="AK51" s="133"/>
      <c r="AL51" s="648"/>
      <c r="AM51" s="648"/>
      <c r="AN51" s="648"/>
      <c r="AO51" s="648"/>
      <c r="AP51" s="648"/>
      <c r="AQ51" s="648"/>
      <c r="AR51" s="648"/>
    </row>
    <row r="52" spans="2:44" x14ac:dyDescent="0.2">
      <c r="B52" s="638" t="s">
        <v>384</v>
      </c>
      <c r="C52" s="638">
        <v>0.2</v>
      </c>
      <c r="D52" s="648"/>
      <c r="E52" s="719">
        <v>7</v>
      </c>
      <c r="F52" s="728">
        <v>91</v>
      </c>
      <c r="G52" s="729" t="e">
        <f>HLOOKUP($B$48, 'Weather Data'!$CC$17:$CZ$80,E52,FALSE)</f>
        <v>#N/A</v>
      </c>
      <c r="H52" s="728" t="str">
        <f>IF(F52&gt;=Inputs!$C$24,"Cooling",IF(F52&lt;=Inputs!$C$29,"Heating","Neither"))</f>
        <v>Heating</v>
      </c>
      <c r="I52" s="728" t="e">
        <f>IF(F52&gt;=Inputs!$D$24,"Cooling",IF(F52&lt;=Inputs!$D$29,"Heating","Neither"))</f>
        <v>#VALUE!</v>
      </c>
      <c r="J52" s="659" t="e">
        <f>IF(H52="Cooling",(F52-Inputs!$C$24)*($V$3)/(Inputs!$C$32-Inputs!$C$24),IF(H52="Heating",(Inputs!$C$29-F52)*($V$15)/(Inputs!$C$29-Inputs!$C$33)/$C$53,0))</f>
        <v>#VALUE!</v>
      </c>
      <c r="K52" s="659" t="e">
        <f>IF(I52="Cooling",(F52-Inputs!$D$24)*($V$4)/(Inputs!$C$32-Inputs!$D$24),IF(I52="Heating",(Inputs!$D$29-F52)*($V$16)/(Inputs!$D$29-Inputs!$C$33)/$C$53,0))</f>
        <v>#VALUE!</v>
      </c>
      <c r="L52" s="659"/>
      <c r="M52" s="659" t="e">
        <f t="shared" si="2"/>
        <v>#VALUE!</v>
      </c>
      <c r="N52" s="659" t="e">
        <f t="shared" si="3"/>
        <v>#VALUE!</v>
      </c>
      <c r="O52" s="659" t="e">
        <f t="shared" si="4"/>
        <v>#N/A</v>
      </c>
      <c r="P52" s="659" t="e">
        <f t="shared" si="4"/>
        <v>#N/A</v>
      </c>
      <c r="Q52" s="659" t="e">
        <f t="shared" si="5"/>
        <v>#N/A</v>
      </c>
      <c r="R52" s="730">
        <f t="shared" si="15"/>
        <v>0</v>
      </c>
      <c r="S52" s="730" t="e">
        <f t="shared" si="16"/>
        <v>#VALUE!</v>
      </c>
      <c r="T52" s="701" t="e">
        <f t="shared" si="17"/>
        <v>#N/A</v>
      </c>
      <c r="U52" s="701" t="e">
        <f t="shared" si="18"/>
        <v>#VALUE!</v>
      </c>
      <c r="V52" s="701" t="e">
        <f t="shared" si="6"/>
        <v>#N/A</v>
      </c>
      <c r="W52" s="701" t="e">
        <f t="shared" si="7"/>
        <v>#VALUE!</v>
      </c>
      <c r="X52" s="701" t="e">
        <f t="shared" si="8"/>
        <v>#VALUE!</v>
      </c>
      <c r="Y52" s="731">
        <f t="shared" si="19"/>
        <v>0</v>
      </c>
      <c r="Z52" s="731" t="e">
        <f t="shared" si="20"/>
        <v>#VALUE!</v>
      </c>
      <c r="AA52" s="732" t="e">
        <f t="shared" si="9"/>
        <v>#VALUE!</v>
      </c>
      <c r="AB52" s="732" t="e">
        <f t="shared" si="21"/>
        <v>#VALUE!</v>
      </c>
      <c r="AC52" s="730">
        <f t="shared" si="10"/>
        <v>0</v>
      </c>
      <c r="AD52" s="730">
        <f t="shared" si="10"/>
        <v>0</v>
      </c>
      <c r="AE52" s="701" t="e">
        <f t="shared" si="11"/>
        <v>#VALUE!</v>
      </c>
      <c r="AF52" s="701" t="e">
        <f t="shared" si="12"/>
        <v>#VALUE!</v>
      </c>
      <c r="AG52" s="701" t="e">
        <f t="shared" si="13"/>
        <v>#VALUE!</v>
      </c>
      <c r="AH52" s="701" t="e">
        <f t="shared" si="14"/>
        <v>#VALUE!</v>
      </c>
      <c r="AI52" s="730" t="e">
        <f>AH52+IF(Inputs!C$39="Electric",Q52/3412,0)</f>
        <v>#VALUE!</v>
      </c>
      <c r="AJ52" s="730" t="e">
        <f t="shared" si="22"/>
        <v>#VALUE!</v>
      </c>
      <c r="AK52" s="133"/>
      <c r="AL52" s="638" t="s">
        <v>300</v>
      </c>
      <c r="AM52" s="638" t="s">
        <v>302</v>
      </c>
      <c r="AN52" s="638" t="s">
        <v>303</v>
      </c>
      <c r="AO52" s="638" t="s">
        <v>385</v>
      </c>
      <c r="AP52" s="728" t="s">
        <v>290</v>
      </c>
      <c r="AQ52" s="648"/>
      <c r="AR52" s="648"/>
    </row>
    <row r="53" spans="2:44" x14ac:dyDescent="0.2">
      <c r="B53" s="638" t="s">
        <v>386</v>
      </c>
      <c r="C53" s="638">
        <f>IF(OR(C50="Residential",C50="Multifamily"),1.1,1)</f>
        <v>1</v>
      </c>
      <c r="D53" s="648"/>
      <c r="E53" s="719">
        <v>8</v>
      </c>
      <c r="F53" s="728">
        <v>89</v>
      </c>
      <c r="G53" s="729" t="e">
        <f>HLOOKUP($B$48, 'Weather Data'!$CC$17:$CZ$80,E53,FALSE)</f>
        <v>#N/A</v>
      </c>
      <c r="H53" s="728" t="str">
        <f>IF(F53&gt;=Inputs!$C$24,"Cooling",IF(F53&lt;=Inputs!$C$29,"Heating","Neither"))</f>
        <v>Heating</v>
      </c>
      <c r="I53" s="728" t="e">
        <f>IF(F53&gt;=Inputs!$D$24,"Cooling",IF(F53&lt;=Inputs!$D$29,"Heating","Neither"))</f>
        <v>#VALUE!</v>
      </c>
      <c r="J53" s="659" t="e">
        <f>IF(H53="Cooling",(F53-Inputs!$C$24)*($V$3)/(Inputs!$C$32-Inputs!$C$24),IF(H53="Heating",(Inputs!$C$29-F53)*($V$15)/(Inputs!$C$29-Inputs!$C$33)/$C$53,0))</f>
        <v>#VALUE!</v>
      </c>
      <c r="K53" s="659" t="e">
        <f>IF(I53="Cooling",(F53-Inputs!$D$24)*($V$4)/(Inputs!$C$32-Inputs!$D$24),IF(I53="Heating",(Inputs!$D$29-F53)*($V$16)/(Inputs!$D$29-Inputs!$C$33)/$C$53,0))</f>
        <v>#VALUE!</v>
      </c>
      <c r="L53" s="659"/>
      <c r="M53" s="659" t="e">
        <f t="shared" si="2"/>
        <v>#VALUE!</v>
      </c>
      <c r="N53" s="659" t="e">
        <f t="shared" si="3"/>
        <v>#VALUE!</v>
      </c>
      <c r="O53" s="659" t="e">
        <f t="shared" si="4"/>
        <v>#N/A</v>
      </c>
      <c r="P53" s="659" t="e">
        <f t="shared" si="4"/>
        <v>#N/A</v>
      </c>
      <c r="Q53" s="659" t="e">
        <f t="shared" si="5"/>
        <v>#N/A</v>
      </c>
      <c r="R53" s="730">
        <f t="shared" si="15"/>
        <v>0</v>
      </c>
      <c r="S53" s="730" t="e">
        <f t="shared" si="16"/>
        <v>#VALUE!</v>
      </c>
      <c r="T53" s="701" t="e">
        <f t="shared" si="17"/>
        <v>#N/A</v>
      </c>
      <c r="U53" s="701" t="e">
        <f t="shared" si="18"/>
        <v>#VALUE!</v>
      </c>
      <c r="V53" s="701" t="e">
        <f t="shared" si="6"/>
        <v>#N/A</v>
      </c>
      <c r="W53" s="701" t="e">
        <f t="shared" si="7"/>
        <v>#VALUE!</v>
      </c>
      <c r="X53" s="701" t="e">
        <f t="shared" si="8"/>
        <v>#VALUE!</v>
      </c>
      <c r="Y53" s="731">
        <f t="shared" si="19"/>
        <v>0</v>
      </c>
      <c r="Z53" s="731" t="e">
        <f t="shared" si="20"/>
        <v>#VALUE!</v>
      </c>
      <c r="AA53" s="732" t="e">
        <f t="shared" si="9"/>
        <v>#VALUE!</v>
      </c>
      <c r="AB53" s="732" t="e">
        <f t="shared" si="21"/>
        <v>#VALUE!</v>
      </c>
      <c r="AC53" s="730">
        <f t="shared" si="10"/>
        <v>0</v>
      </c>
      <c r="AD53" s="730">
        <f t="shared" si="10"/>
        <v>0</v>
      </c>
      <c r="AE53" s="701" t="e">
        <f t="shared" si="11"/>
        <v>#VALUE!</v>
      </c>
      <c r="AF53" s="701" t="e">
        <f t="shared" si="12"/>
        <v>#VALUE!</v>
      </c>
      <c r="AG53" s="701" t="e">
        <f t="shared" si="13"/>
        <v>#VALUE!</v>
      </c>
      <c r="AH53" s="701" t="e">
        <f t="shared" si="14"/>
        <v>#VALUE!</v>
      </c>
      <c r="AI53" s="730" t="e">
        <f>AH53+IF(Inputs!C$39="Electric",Q53/3412,0)</f>
        <v>#VALUE!</v>
      </c>
      <c r="AJ53" s="730" t="e">
        <f t="shared" si="22"/>
        <v>#VALUE!</v>
      </c>
      <c r="AK53" s="133"/>
      <c r="AL53" s="638" t="s">
        <v>264</v>
      </c>
      <c r="AM53" s="659">
        <f>IFERROR((SUM(AE47:AE109)+SUM(AE120:AE182))/10^6,0)</f>
        <v>0</v>
      </c>
      <c r="AN53" s="659">
        <f>IFERROR((SUM(AF47:AF109)+SUM(AF120:AF182))/10^6,0)</f>
        <v>0</v>
      </c>
      <c r="AO53" s="659">
        <f>-(AM53-AN53)</f>
        <v>0</v>
      </c>
      <c r="AP53" s="702">
        <f>IFERROR(+AO53/(AM53),0)</f>
        <v>0</v>
      </c>
      <c r="AQ53" s="648"/>
      <c r="AR53" s="648"/>
    </row>
    <row r="54" spans="2:44" x14ac:dyDescent="0.2">
      <c r="B54" s="733" t="s">
        <v>387</v>
      </c>
      <c r="C54" s="733">
        <v>1</v>
      </c>
      <c r="D54" s="648"/>
      <c r="E54" s="719">
        <v>9</v>
      </c>
      <c r="F54" s="728">
        <v>87</v>
      </c>
      <c r="G54" s="729" t="e">
        <f>HLOOKUP($B$48, 'Weather Data'!$CC$17:$CZ$80,E54,FALSE)</f>
        <v>#N/A</v>
      </c>
      <c r="H54" s="728" t="str">
        <f>IF(F54&gt;=Inputs!$C$24,"Cooling",IF(F54&lt;=Inputs!$C$29,"Heating","Neither"))</f>
        <v>Heating</v>
      </c>
      <c r="I54" s="728" t="e">
        <f>IF(F54&gt;=Inputs!$D$24,"Cooling",IF(F54&lt;=Inputs!$D$29,"Heating","Neither"))</f>
        <v>#VALUE!</v>
      </c>
      <c r="J54" s="659" t="e">
        <f>IF(H54="Cooling",(F54-Inputs!$C$24)*($V$3)/(Inputs!$C$32-Inputs!$C$24),IF(H54="Heating",(Inputs!$C$29-F54)*($V$15)/(Inputs!$C$29-Inputs!$C$33)/$C$53,0))</f>
        <v>#VALUE!</v>
      </c>
      <c r="K54" s="659" t="e">
        <f>IF(I54="Cooling",(F54-Inputs!$D$24)*($V$4)/(Inputs!$C$32-Inputs!$D$24),IF(I54="Heating",(Inputs!$D$29-F54)*($V$16)/(Inputs!$D$29-Inputs!$C$33)/$C$53,0))</f>
        <v>#VALUE!</v>
      </c>
      <c r="L54" s="659"/>
      <c r="M54" s="659" t="e">
        <f t="shared" si="2"/>
        <v>#VALUE!</v>
      </c>
      <c r="N54" s="659" t="e">
        <f t="shared" si="3"/>
        <v>#VALUE!</v>
      </c>
      <c r="O54" s="659" t="e">
        <f t="shared" si="4"/>
        <v>#N/A</v>
      </c>
      <c r="P54" s="659" t="e">
        <f t="shared" si="4"/>
        <v>#N/A</v>
      </c>
      <c r="Q54" s="659" t="e">
        <f t="shared" si="5"/>
        <v>#N/A</v>
      </c>
      <c r="R54" s="730">
        <f t="shared" si="15"/>
        <v>0</v>
      </c>
      <c r="S54" s="730" t="e">
        <f t="shared" si="16"/>
        <v>#VALUE!</v>
      </c>
      <c r="T54" s="701" t="e">
        <f t="shared" si="17"/>
        <v>#N/A</v>
      </c>
      <c r="U54" s="701" t="e">
        <f t="shared" si="18"/>
        <v>#VALUE!</v>
      </c>
      <c r="V54" s="701" t="e">
        <f t="shared" si="6"/>
        <v>#N/A</v>
      </c>
      <c r="W54" s="701" t="e">
        <f t="shared" si="7"/>
        <v>#VALUE!</v>
      </c>
      <c r="X54" s="701" t="e">
        <f t="shared" si="8"/>
        <v>#VALUE!</v>
      </c>
      <c r="Y54" s="731">
        <f t="shared" si="19"/>
        <v>0</v>
      </c>
      <c r="Z54" s="731" t="e">
        <f t="shared" si="20"/>
        <v>#VALUE!</v>
      </c>
      <c r="AA54" s="732" t="e">
        <f t="shared" si="9"/>
        <v>#VALUE!</v>
      </c>
      <c r="AB54" s="732" t="e">
        <f t="shared" si="21"/>
        <v>#VALUE!</v>
      </c>
      <c r="AC54" s="730">
        <f t="shared" si="10"/>
        <v>0</v>
      </c>
      <c r="AD54" s="730">
        <f t="shared" si="10"/>
        <v>0</v>
      </c>
      <c r="AE54" s="701" t="e">
        <f t="shared" si="11"/>
        <v>#VALUE!</v>
      </c>
      <c r="AF54" s="701" t="e">
        <f t="shared" si="12"/>
        <v>#VALUE!</v>
      </c>
      <c r="AG54" s="701" t="e">
        <f t="shared" si="13"/>
        <v>#VALUE!</v>
      </c>
      <c r="AH54" s="701" t="e">
        <f t="shared" si="14"/>
        <v>#VALUE!</v>
      </c>
      <c r="AI54" s="730" t="e">
        <f>AH54+IF(Inputs!C$39="Electric",Q54/3412,0)</f>
        <v>#VALUE!</v>
      </c>
      <c r="AJ54" s="730" t="e">
        <f t="shared" si="22"/>
        <v>#VALUE!</v>
      </c>
      <c r="AK54" s="133"/>
      <c r="AL54" s="638" t="s">
        <v>269</v>
      </c>
      <c r="AM54" s="659">
        <f>IFERROR((SUM(O47:O109)+SUM(O120:O182))/10^6,0)</f>
        <v>0</v>
      </c>
      <c r="AN54" s="659">
        <f>IFERROR((SUM(P47:P109)+SUM(P120:P182))/10^6,0)</f>
        <v>0</v>
      </c>
      <c r="AO54" s="659">
        <f>-(AM54-AN54)</f>
        <v>0</v>
      </c>
      <c r="AP54" s="702">
        <f>IFERROR(+AO54/(AM54),0)</f>
        <v>0</v>
      </c>
      <c r="AQ54" s="648"/>
      <c r="AR54" s="648"/>
    </row>
    <row r="55" spans="2:44" x14ac:dyDescent="0.2">
      <c r="B55" s="733" t="s">
        <v>388</v>
      </c>
      <c r="C55" s="733">
        <v>0.5</v>
      </c>
      <c r="D55" s="648"/>
      <c r="E55" s="719">
        <v>10</v>
      </c>
      <c r="F55" s="728">
        <v>85</v>
      </c>
      <c r="G55" s="729" t="e">
        <f>HLOOKUP($B$48, 'Weather Data'!$CC$17:$CZ$80,E55,FALSE)</f>
        <v>#N/A</v>
      </c>
      <c r="H55" s="728" t="str">
        <f>IF(F55&gt;=Inputs!$C$24,"Cooling",IF(F55&lt;=Inputs!$C$29,"Heating","Neither"))</f>
        <v>Heating</v>
      </c>
      <c r="I55" s="728" t="e">
        <f>IF(F55&gt;=Inputs!$D$24,"Cooling",IF(F55&lt;=Inputs!$D$29,"Heating","Neither"))</f>
        <v>#VALUE!</v>
      </c>
      <c r="J55" s="659" t="e">
        <f>IF(H55="Cooling",(F55-Inputs!$C$24)*($V$3)/(Inputs!$C$32-Inputs!$C$24),IF(H55="Heating",(Inputs!$C$29-F55)*($V$15)/(Inputs!$C$29-Inputs!$C$33)/$C$53,0))</f>
        <v>#VALUE!</v>
      </c>
      <c r="K55" s="659" t="e">
        <f>IF(I55="Cooling",(F55-Inputs!$D$24)*($V$4)/(Inputs!$C$32-Inputs!$D$24),IF(I55="Heating",(Inputs!$D$29-F55)*($V$16)/(Inputs!$D$29-Inputs!$C$33)/$C$53,0))</f>
        <v>#VALUE!</v>
      </c>
      <c r="L55" s="659"/>
      <c r="M55" s="659" t="e">
        <f t="shared" si="2"/>
        <v>#VALUE!</v>
      </c>
      <c r="N55" s="659" t="e">
        <f t="shared" si="3"/>
        <v>#VALUE!</v>
      </c>
      <c r="O55" s="659" t="e">
        <f t="shared" si="4"/>
        <v>#N/A</v>
      </c>
      <c r="P55" s="659" t="e">
        <f t="shared" si="4"/>
        <v>#N/A</v>
      </c>
      <c r="Q55" s="659" t="e">
        <f t="shared" si="5"/>
        <v>#N/A</v>
      </c>
      <c r="R55" s="730">
        <f t="shared" si="15"/>
        <v>0</v>
      </c>
      <c r="S55" s="730" t="e">
        <f t="shared" si="16"/>
        <v>#VALUE!</v>
      </c>
      <c r="T55" s="701" t="e">
        <f t="shared" si="17"/>
        <v>#N/A</v>
      </c>
      <c r="U55" s="701" t="e">
        <f t="shared" si="18"/>
        <v>#VALUE!</v>
      </c>
      <c r="V55" s="701" t="e">
        <f t="shared" si="6"/>
        <v>#N/A</v>
      </c>
      <c r="W55" s="701" t="e">
        <f t="shared" si="7"/>
        <v>#VALUE!</v>
      </c>
      <c r="X55" s="701" t="e">
        <f t="shared" si="8"/>
        <v>#VALUE!</v>
      </c>
      <c r="Y55" s="731">
        <f t="shared" si="19"/>
        <v>0</v>
      </c>
      <c r="Z55" s="731" t="e">
        <f t="shared" si="20"/>
        <v>#VALUE!</v>
      </c>
      <c r="AA55" s="732" t="e">
        <f t="shared" si="9"/>
        <v>#VALUE!</v>
      </c>
      <c r="AB55" s="732" t="e">
        <f t="shared" si="21"/>
        <v>#VALUE!</v>
      </c>
      <c r="AC55" s="730">
        <f t="shared" si="10"/>
        <v>0</v>
      </c>
      <c r="AD55" s="730">
        <f t="shared" si="10"/>
        <v>0</v>
      </c>
      <c r="AE55" s="701" t="e">
        <f t="shared" si="11"/>
        <v>#VALUE!</v>
      </c>
      <c r="AF55" s="701" t="e">
        <f t="shared" si="12"/>
        <v>#VALUE!</v>
      </c>
      <c r="AG55" s="701" t="e">
        <f t="shared" si="13"/>
        <v>#VALUE!</v>
      </c>
      <c r="AH55" s="701" t="e">
        <f t="shared" si="14"/>
        <v>#VALUE!</v>
      </c>
      <c r="AI55" s="730" t="e">
        <f>AH55+IF(Inputs!C$39="Electric",Q55/3412,0)</f>
        <v>#VALUE!</v>
      </c>
      <c r="AJ55" s="730" t="e">
        <f t="shared" si="22"/>
        <v>#VALUE!</v>
      </c>
      <c r="AK55" s="133"/>
      <c r="AL55" s="638" t="s">
        <v>132</v>
      </c>
      <c r="AM55" s="659">
        <f>SUM(AM53:AM54)</f>
        <v>0</v>
      </c>
      <c r="AN55" s="659">
        <f>SUM(AN53:AN54)</f>
        <v>0</v>
      </c>
      <c r="AO55" s="659">
        <f>-(AM55-AN55)</f>
        <v>0</v>
      </c>
      <c r="AP55" s="702">
        <f>IFERROR(+AO55/(AM55),0)</f>
        <v>0</v>
      </c>
      <c r="AQ55" s="648"/>
      <c r="AR55" s="648"/>
    </row>
    <row r="56" spans="2:44" x14ac:dyDescent="0.2">
      <c r="B56" s="733" t="s">
        <v>389</v>
      </c>
      <c r="C56" s="733">
        <v>0</v>
      </c>
      <c r="D56" s="648"/>
      <c r="E56" s="719">
        <v>11</v>
      </c>
      <c r="F56" s="728">
        <v>83</v>
      </c>
      <c r="G56" s="729" t="e">
        <f>HLOOKUP($B$48, 'Weather Data'!$CC$17:$CZ$80,E56,FALSE)</f>
        <v>#N/A</v>
      </c>
      <c r="H56" s="728" t="str">
        <f>IF(F56&gt;=Inputs!$C$24,"Cooling",IF(F56&lt;=Inputs!$C$29,"Heating","Neither"))</f>
        <v>Heating</v>
      </c>
      <c r="I56" s="728" t="e">
        <f>IF(F56&gt;=Inputs!$D$24,"Cooling",IF(F56&lt;=Inputs!$D$29,"Heating","Neither"))</f>
        <v>#VALUE!</v>
      </c>
      <c r="J56" s="659" t="e">
        <f>IF(H56="Cooling",(F56-Inputs!$C$24)*($V$3)/(Inputs!$C$32-Inputs!$C$24),IF(H56="Heating",(Inputs!$C$29-F56)*($V$15)/(Inputs!$C$29-Inputs!$C$33)/$C$53,0))</f>
        <v>#VALUE!</v>
      </c>
      <c r="K56" s="659" t="e">
        <f>IF(I56="Cooling",(F56-Inputs!$D$24)*($V$4)/(Inputs!$C$32-Inputs!$D$24),IF(I56="Heating",(Inputs!$D$29-F56)*($V$16)/(Inputs!$D$29-Inputs!$C$33)/$C$53,0))</f>
        <v>#VALUE!</v>
      </c>
      <c r="L56" s="659"/>
      <c r="M56" s="659" t="e">
        <f t="shared" si="2"/>
        <v>#VALUE!</v>
      </c>
      <c r="N56" s="659" t="e">
        <f t="shared" si="3"/>
        <v>#VALUE!</v>
      </c>
      <c r="O56" s="659" t="e">
        <f t="shared" si="4"/>
        <v>#N/A</v>
      </c>
      <c r="P56" s="659" t="e">
        <f t="shared" si="4"/>
        <v>#N/A</v>
      </c>
      <c r="Q56" s="659" t="e">
        <f t="shared" si="5"/>
        <v>#N/A</v>
      </c>
      <c r="R56" s="730">
        <f t="shared" si="15"/>
        <v>0</v>
      </c>
      <c r="S56" s="730" t="e">
        <f t="shared" si="16"/>
        <v>#VALUE!</v>
      </c>
      <c r="T56" s="701" t="e">
        <f t="shared" si="17"/>
        <v>#N/A</v>
      </c>
      <c r="U56" s="701" t="e">
        <f t="shared" si="18"/>
        <v>#VALUE!</v>
      </c>
      <c r="V56" s="701" t="e">
        <f t="shared" si="6"/>
        <v>#N/A</v>
      </c>
      <c r="W56" s="701" t="e">
        <f t="shared" si="7"/>
        <v>#VALUE!</v>
      </c>
      <c r="X56" s="701" t="e">
        <f t="shared" si="8"/>
        <v>#VALUE!</v>
      </c>
      <c r="Y56" s="731">
        <f t="shared" si="19"/>
        <v>0</v>
      </c>
      <c r="Z56" s="731" t="e">
        <f t="shared" si="20"/>
        <v>#VALUE!</v>
      </c>
      <c r="AA56" s="732" t="e">
        <f t="shared" si="9"/>
        <v>#VALUE!</v>
      </c>
      <c r="AB56" s="732" t="e">
        <f t="shared" si="21"/>
        <v>#VALUE!</v>
      </c>
      <c r="AC56" s="730">
        <f t="shared" si="10"/>
        <v>0</v>
      </c>
      <c r="AD56" s="730">
        <f t="shared" si="10"/>
        <v>0</v>
      </c>
      <c r="AE56" s="701" t="e">
        <f t="shared" si="11"/>
        <v>#VALUE!</v>
      </c>
      <c r="AF56" s="701" t="e">
        <f t="shared" si="12"/>
        <v>#VALUE!</v>
      </c>
      <c r="AG56" s="701" t="e">
        <f t="shared" si="13"/>
        <v>#VALUE!</v>
      </c>
      <c r="AH56" s="701" t="e">
        <f t="shared" si="14"/>
        <v>#VALUE!</v>
      </c>
      <c r="AI56" s="730" t="e">
        <f>AH56+IF(Inputs!C$39="Electric",Q56/3412,0)</f>
        <v>#VALUE!</v>
      </c>
      <c r="AJ56" s="730" t="e">
        <f t="shared" si="22"/>
        <v>#VALUE!</v>
      </c>
      <c r="AK56" s="133"/>
      <c r="AL56" s="638" t="s">
        <v>316</v>
      </c>
      <c r="AM56" s="683" t="e">
        <f>+AM55/Inputs!$C$14*1000</f>
        <v>#DIV/0!</v>
      </c>
      <c r="AN56" s="683" t="e">
        <f>+AN55/Inputs!$C$14*1000</f>
        <v>#DIV/0!</v>
      </c>
      <c r="AO56" s="708"/>
      <c r="AP56" s="638"/>
      <c r="AQ56" s="648"/>
      <c r="AR56" s="648"/>
    </row>
    <row r="57" spans="2:44" x14ac:dyDescent="0.2">
      <c r="B57" s="733" t="s">
        <v>390</v>
      </c>
      <c r="C57" s="733">
        <v>0.8</v>
      </c>
      <c r="D57" s="648"/>
      <c r="E57" s="719">
        <v>12</v>
      </c>
      <c r="F57" s="728">
        <v>81</v>
      </c>
      <c r="G57" s="729" t="e">
        <f>HLOOKUP($B$48, 'Weather Data'!$CC$17:$CZ$80,E57,FALSE)</f>
        <v>#N/A</v>
      </c>
      <c r="H57" s="728" t="str">
        <f>IF(F57&gt;=Inputs!$C$24,"Cooling",IF(F57&lt;=Inputs!$C$29,"Heating","Neither"))</f>
        <v>Heating</v>
      </c>
      <c r="I57" s="728" t="e">
        <f>IF(F57&gt;=Inputs!$D$24,"Cooling",IF(F57&lt;=Inputs!$D$29,"Heating","Neither"))</f>
        <v>#VALUE!</v>
      </c>
      <c r="J57" s="659" t="e">
        <f>IF(H57="Cooling",(F57-Inputs!$C$24)*($V$3)/(Inputs!$C$32-Inputs!$C$24),IF(H57="Heating",(Inputs!$C$29-F57)*($V$15)/(Inputs!$C$29-Inputs!$C$33)/$C$53,0))</f>
        <v>#VALUE!</v>
      </c>
      <c r="K57" s="659" t="e">
        <f>IF(I57="Cooling",(F57-Inputs!$D$24)*($V$4)/(Inputs!$C$32-Inputs!$D$24),IF(I57="Heating",(Inputs!$D$29-F57)*($V$16)/(Inputs!$D$29-Inputs!$C$33)/$C$53,0))</f>
        <v>#VALUE!</v>
      </c>
      <c r="L57" s="659"/>
      <c r="M57" s="659" t="e">
        <f t="shared" si="2"/>
        <v>#VALUE!</v>
      </c>
      <c r="N57" s="659" t="e">
        <f t="shared" si="3"/>
        <v>#VALUE!</v>
      </c>
      <c r="O57" s="659" t="e">
        <f t="shared" si="4"/>
        <v>#N/A</v>
      </c>
      <c r="P57" s="659" t="e">
        <f t="shared" si="4"/>
        <v>#N/A</v>
      </c>
      <c r="Q57" s="659" t="e">
        <f t="shared" si="5"/>
        <v>#N/A</v>
      </c>
      <c r="R57" s="730">
        <f t="shared" si="15"/>
        <v>0</v>
      </c>
      <c r="S57" s="730" t="e">
        <f t="shared" si="16"/>
        <v>#VALUE!</v>
      </c>
      <c r="T57" s="701" t="e">
        <f t="shared" si="17"/>
        <v>#N/A</v>
      </c>
      <c r="U57" s="701" t="e">
        <f t="shared" si="18"/>
        <v>#VALUE!</v>
      </c>
      <c r="V57" s="701" t="e">
        <f t="shared" si="6"/>
        <v>#N/A</v>
      </c>
      <c r="W57" s="701" t="e">
        <f t="shared" si="7"/>
        <v>#VALUE!</v>
      </c>
      <c r="X57" s="701" t="e">
        <f t="shared" si="8"/>
        <v>#VALUE!</v>
      </c>
      <c r="Y57" s="731">
        <f t="shared" si="19"/>
        <v>0</v>
      </c>
      <c r="Z57" s="731" t="e">
        <f t="shared" si="20"/>
        <v>#VALUE!</v>
      </c>
      <c r="AA57" s="732" t="e">
        <f t="shared" si="9"/>
        <v>#VALUE!</v>
      </c>
      <c r="AB57" s="732" t="e">
        <f t="shared" si="21"/>
        <v>#VALUE!</v>
      </c>
      <c r="AC57" s="730">
        <f t="shared" si="10"/>
        <v>0</v>
      </c>
      <c r="AD57" s="730">
        <f t="shared" si="10"/>
        <v>0</v>
      </c>
      <c r="AE57" s="701" t="e">
        <f t="shared" si="11"/>
        <v>#VALUE!</v>
      </c>
      <c r="AF57" s="701" t="e">
        <f t="shared" si="12"/>
        <v>#VALUE!</v>
      </c>
      <c r="AG57" s="701" t="e">
        <f t="shared" si="13"/>
        <v>#VALUE!</v>
      </c>
      <c r="AH57" s="701" t="e">
        <f t="shared" si="14"/>
        <v>#VALUE!</v>
      </c>
      <c r="AI57" s="730" t="e">
        <f>AH57+IF(Inputs!C$39="Electric",Q57/3412,0)</f>
        <v>#VALUE!</v>
      </c>
      <c r="AJ57" s="730" t="e">
        <f t="shared" si="22"/>
        <v>#VALUE!</v>
      </c>
      <c r="AK57" s="133"/>
      <c r="AL57" s="648"/>
      <c r="AM57" s="648"/>
      <c r="AN57" s="648"/>
      <c r="AO57" s="648"/>
      <c r="AP57" s="648"/>
      <c r="AQ57" s="648"/>
      <c r="AR57" s="648"/>
    </row>
    <row r="58" spans="2:44" ht="25.5" x14ac:dyDescent="0.2">
      <c r="B58" s="648"/>
      <c r="C58" s="648"/>
      <c r="D58" s="648"/>
      <c r="E58" s="719">
        <v>13</v>
      </c>
      <c r="F58" s="728">
        <v>79</v>
      </c>
      <c r="G58" s="729" t="e">
        <f>HLOOKUP($B$48, 'Weather Data'!$CC$17:$CZ$80,E58,FALSE)</f>
        <v>#N/A</v>
      </c>
      <c r="H58" s="728" t="str">
        <f>IF(F58&gt;=Inputs!$C$24,"Cooling",IF(F58&lt;=Inputs!$C$29,"Heating","Neither"))</f>
        <v>Heating</v>
      </c>
      <c r="I58" s="728" t="e">
        <f>IF(F58&gt;=Inputs!$D$24,"Cooling",IF(F58&lt;=Inputs!$D$29,"Heating","Neither"))</f>
        <v>#VALUE!</v>
      </c>
      <c r="J58" s="659" t="e">
        <f>IF(H58="Cooling",(F58-Inputs!$C$24)*($V$3)/(Inputs!$C$32-Inputs!$C$24),IF(H58="Heating",(Inputs!$C$29-F58)*($V$15)/(Inputs!$C$29-Inputs!$C$33)/$C$53,0))</f>
        <v>#VALUE!</v>
      </c>
      <c r="K58" s="659" t="e">
        <f>IF(I58="Cooling",(F58-Inputs!$D$24)*($V$4)/(Inputs!$C$32-Inputs!$D$24),IF(I58="Heating",(Inputs!$D$29-F58)*($V$16)/(Inputs!$D$29-Inputs!$C$33)/$C$53,0))</f>
        <v>#VALUE!</v>
      </c>
      <c r="L58" s="659"/>
      <c r="M58" s="659" t="e">
        <f t="shared" si="2"/>
        <v>#VALUE!</v>
      </c>
      <c r="N58" s="659" t="e">
        <f t="shared" si="3"/>
        <v>#VALUE!</v>
      </c>
      <c r="O58" s="659" t="e">
        <f t="shared" si="4"/>
        <v>#N/A</v>
      </c>
      <c r="P58" s="659" t="e">
        <f t="shared" si="4"/>
        <v>#N/A</v>
      </c>
      <c r="Q58" s="659" t="e">
        <f t="shared" si="5"/>
        <v>#N/A</v>
      </c>
      <c r="R58" s="730">
        <f t="shared" si="15"/>
        <v>0</v>
      </c>
      <c r="S58" s="730" t="e">
        <f t="shared" si="16"/>
        <v>#VALUE!</v>
      </c>
      <c r="T58" s="701" t="e">
        <f t="shared" si="17"/>
        <v>#N/A</v>
      </c>
      <c r="U58" s="701" t="e">
        <f t="shared" si="18"/>
        <v>#VALUE!</v>
      </c>
      <c r="V58" s="701" t="e">
        <f t="shared" si="6"/>
        <v>#N/A</v>
      </c>
      <c r="W58" s="701" t="e">
        <f t="shared" si="7"/>
        <v>#VALUE!</v>
      </c>
      <c r="X58" s="701" t="e">
        <f t="shared" si="8"/>
        <v>#VALUE!</v>
      </c>
      <c r="Y58" s="731">
        <f t="shared" si="19"/>
        <v>0</v>
      </c>
      <c r="Z58" s="731" t="e">
        <f t="shared" si="20"/>
        <v>#VALUE!</v>
      </c>
      <c r="AA58" s="732" t="e">
        <f t="shared" si="9"/>
        <v>#VALUE!</v>
      </c>
      <c r="AB58" s="732" t="e">
        <f t="shared" si="21"/>
        <v>#VALUE!</v>
      </c>
      <c r="AC58" s="730">
        <f t="shared" si="10"/>
        <v>0</v>
      </c>
      <c r="AD58" s="730">
        <f t="shared" si="10"/>
        <v>0</v>
      </c>
      <c r="AE58" s="701" t="e">
        <f t="shared" si="11"/>
        <v>#VALUE!</v>
      </c>
      <c r="AF58" s="701" t="e">
        <f t="shared" si="12"/>
        <v>#VALUE!</v>
      </c>
      <c r="AG58" s="701" t="e">
        <f t="shared" si="13"/>
        <v>#VALUE!</v>
      </c>
      <c r="AH58" s="701" t="e">
        <f t="shared" si="14"/>
        <v>#VALUE!</v>
      </c>
      <c r="AI58" s="730" t="e">
        <f>AH58+IF(Inputs!C$39="Electric",Q58/3412,0)</f>
        <v>#VALUE!</v>
      </c>
      <c r="AJ58" s="730" t="e">
        <f t="shared" si="22"/>
        <v>#VALUE!</v>
      </c>
      <c r="AK58" s="133"/>
      <c r="AL58" s="734" t="s">
        <v>391</v>
      </c>
      <c r="AM58" s="735" t="s">
        <v>392</v>
      </c>
      <c r="AN58" s="734" t="s">
        <v>393</v>
      </c>
      <c r="AO58" s="735" t="s">
        <v>394</v>
      </c>
      <c r="AP58" s="734" t="s">
        <v>303</v>
      </c>
      <c r="AQ58" s="736" t="s">
        <v>395</v>
      </c>
      <c r="AR58" s="737" t="s">
        <v>290</v>
      </c>
    </row>
    <row r="59" spans="2:44" x14ac:dyDescent="0.2">
      <c r="B59" s="648"/>
      <c r="C59" s="648"/>
      <c r="D59" s="648"/>
      <c r="E59" s="719">
        <v>14</v>
      </c>
      <c r="F59" s="728">
        <v>77</v>
      </c>
      <c r="G59" s="729" t="e">
        <f>HLOOKUP($B$48, 'Weather Data'!$CC$17:$CZ$80,E59,FALSE)</f>
        <v>#N/A</v>
      </c>
      <c r="H59" s="728" t="str">
        <f>IF(F59&gt;=Inputs!$C$24,"Cooling",IF(F59&lt;=Inputs!$C$29,"Heating","Neither"))</f>
        <v>Heating</v>
      </c>
      <c r="I59" s="728" t="e">
        <f>IF(F59&gt;=Inputs!$D$24,"Cooling",IF(F59&lt;=Inputs!$D$29,"Heating","Neither"))</f>
        <v>#VALUE!</v>
      </c>
      <c r="J59" s="659" t="e">
        <f>IF(H59="Cooling",(F59-Inputs!$C$24)*($V$3)/(Inputs!$C$32-Inputs!$C$24),IF(H59="Heating",(Inputs!$C$29-F59)*($V$15)/(Inputs!$C$29-Inputs!$C$33)/$C$53,0))</f>
        <v>#VALUE!</v>
      </c>
      <c r="K59" s="659" t="e">
        <f>IF(I59="Cooling",(F59-Inputs!$D$24)*($V$4)/(Inputs!$C$32-Inputs!$D$24),IF(I59="Heating",(Inputs!$D$29-F59)*($V$16)/(Inputs!$D$29-Inputs!$C$33)/$C$53,0))</f>
        <v>#VALUE!</v>
      </c>
      <c r="L59" s="659"/>
      <c r="M59" s="659" t="e">
        <f t="shared" si="2"/>
        <v>#VALUE!</v>
      </c>
      <c r="N59" s="659" t="e">
        <f t="shared" si="3"/>
        <v>#VALUE!</v>
      </c>
      <c r="O59" s="659" t="e">
        <f t="shared" si="4"/>
        <v>#N/A</v>
      </c>
      <c r="P59" s="659" t="e">
        <f t="shared" si="4"/>
        <v>#N/A</v>
      </c>
      <c r="Q59" s="659" t="e">
        <f t="shared" si="5"/>
        <v>#N/A</v>
      </c>
      <c r="R59" s="730">
        <f t="shared" si="15"/>
        <v>0</v>
      </c>
      <c r="S59" s="730" t="e">
        <f t="shared" si="16"/>
        <v>#VALUE!</v>
      </c>
      <c r="T59" s="701" t="e">
        <f t="shared" si="17"/>
        <v>#N/A</v>
      </c>
      <c r="U59" s="701" t="e">
        <f t="shared" si="18"/>
        <v>#VALUE!</v>
      </c>
      <c r="V59" s="701" t="e">
        <f t="shared" si="6"/>
        <v>#N/A</v>
      </c>
      <c r="W59" s="701" t="e">
        <f t="shared" si="7"/>
        <v>#VALUE!</v>
      </c>
      <c r="X59" s="701" t="e">
        <f t="shared" si="8"/>
        <v>#VALUE!</v>
      </c>
      <c r="Y59" s="731">
        <f t="shared" si="19"/>
        <v>0</v>
      </c>
      <c r="Z59" s="731" t="e">
        <f t="shared" si="20"/>
        <v>#VALUE!</v>
      </c>
      <c r="AA59" s="732" t="e">
        <f t="shared" si="9"/>
        <v>#VALUE!</v>
      </c>
      <c r="AB59" s="732" t="e">
        <f t="shared" si="21"/>
        <v>#VALUE!</v>
      </c>
      <c r="AC59" s="730">
        <f t="shared" si="10"/>
        <v>0</v>
      </c>
      <c r="AD59" s="730">
        <f t="shared" si="10"/>
        <v>0</v>
      </c>
      <c r="AE59" s="701" t="e">
        <f t="shared" si="11"/>
        <v>#VALUE!</v>
      </c>
      <c r="AF59" s="701" t="e">
        <f t="shared" si="12"/>
        <v>#VALUE!</v>
      </c>
      <c r="AG59" s="701" t="e">
        <f t="shared" si="13"/>
        <v>#VALUE!</v>
      </c>
      <c r="AH59" s="701" t="e">
        <f t="shared" si="14"/>
        <v>#VALUE!</v>
      </c>
      <c r="AI59" s="730" t="e">
        <f>AH59+IF(Inputs!C$39="Electric",Q59/3412,0)</f>
        <v>#VALUE!</v>
      </c>
      <c r="AJ59" s="730" t="e">
        <f t="shared" si="22"/>
        <v>#VALUE!</v>
      </c>
      <c r="AK59" s="133"/>
      <c r="AL59" s="734" t="s">
        <v>264</v>
      </c>
      <c r="AM59" s="738" t="e">
        <f>+AN32*Inputs!$C$15*3412/10^6</f>
        <v>#N/A</v>
      </c>
      <c r="AN59" s="735">
        <f>IFERROR(+AM59/AM53,0)</f>
        <v>0</v>
      </c>
      <c r="AO59" s="738" t="e">
        <f>IF(AN59&lt;1,AM59,AM53)</f>
        <v>#N/A</v>
      </c>
      <c r="AP59" s="738" t="e">
        <f t="shared" ref="AP59:AP60" si="23">+AO59*(1-AP53)</f>
        <v>#N/A</v>
      </c>
      <c r="AQ59" s="739" t="e">
        <f t="shared" ref="AQ59:AQ60" si="24">+AO59-AP59</f>
        <v>#N/A</v>
      </c>
      <c r="AR59" s="740" t="str">
        <f>IFERROR(+AQ59/AO59,"")</f>
        <v/>
      </c>
    </row>
    <row r="60" spans="2:44" x14ac:dyDescent="0.2">
      <c r="B60" s="648"/>
      <c r="C60" s="648"/>
      <c r="D60" s="648"/>
      <c r="E60" s="719">
        <v>15</v>
      </c>
      <c r="F60" s="728">
        <v>75</v>
      </c>
      <c r="G60" s="729" t="e">
        <f>HLOOKUP($B$48, 'Weather Data'!$CC$17:$CZ$80,E60,FALSE)</f>
        <v>#N/A</v>
      </c>
      <c r="H60" s="728" t="str">
        <f>IF(F60&gt;=Inputs!$C$24,"Cooling",IF(F60&lt;=Inputs!$C$29,"Heating","Neither"))</f>
        <v>Heating</v>
      </c>
      <c r="I60" s="728" t="e">
        <f>IF(F60&gt;=Inputs!$D$24,"Cooling",IF(F60&lt;=Inputs!$D$29,"Heating","Neither"))</f>
        <v>#VALUE!</v>
      </c>
      <c r="J60" s="659" t="e">
        <f>IF(H60="Cooling",(F60-Inputs!$C$24)*($V$3)/(Inputs!$C$32-Inputs!$C$24),IF(H60="Heating",(Inputs!$C$29-F60)*($V$15)/(Inputs!$C$29-Inputs!$C$33)/$C$53,0))</f>
        <v>#VALUE!</v>
      </c>
      <c r="K60" s="659" t="e">
        <f>IF(I60="Cooling",(F60-Inputs!$D$24)*($V$4)/(Inputs!$C$32-Inputs!$D$24),IF(I60="Heating",(Inputs!$D$29-F60)*($V$16)/(Inputs!$D$29-Inputs!$C$33)/$C$53,0))</f>
        <v>#VALUE!</v>
      </c>
      <c r="L60" s="659"/>
      <c r="M60" s="659" t="e">
        <f t="shared" si="2"/>
        <v>#VALUE!</v>
      </c>
      <c r="N60" s="659" t="e">
        <f t="shared" si="3"/>
        <v>#VALUE!</v>
      </c>
      <c r="O60" s="659" t="e">
        <f t="shared" si="4"/>
        <v>#N/A</v>
      </c>
      <c r="P60" s="659" t="e">
        <f t="shared" si="4"/>
        <v>#N/A</v>
      </c>
      <c r="Q60" s="659" t="e">
        <f t="shared" si="5"/>
        <v>#N/A</v>
      </c>
      <c r="R60" s="730">
        <f t="shared" si="15"/>
        <v>0</v>
      </c>
      <c r="S60" s="730" t="e">
        <f t="shared" si="16"/>
        <v>#VALUE!</v>
      </c>
      <c r="T60" s="701" t="e">
        <f t="shared" si="17"/>
        <v>#N/A</v>
      </c>
      <c r="U60" s="701" t="e">
        <f t="shared" si="18"/>
        <v>#VALUE!</v>
      </c>
      <c r="V60" s="701" t="e">
        <f t="shared" si="6"/>
        <v>#N/A</v>
      </c>
      <c r="W60" s="701" t="e">
        <f t="shared" si="7"/>
        <v>#VALUE!</v>
      </c>
      <c r="X60" s="701" t="e">
        <f t="shared" si="8"/>
        <v>#VALUE!</v>
      </c>
      <c r="Y60" s="731">
        <f t="shared" si="19"/>
        <v>0</v>
      </c>
      <c r="Z60" s="731" t="e">
        <f t="shared" si="20"/>
        <v>#VALUE!</v>
      </c>
      <c r="AA60" s="732" t="e">
        <f t="shared" si="9"/>
        <v>#VALUE!</v>
      </c>
      <c r="AB60" s="732" t="e">
        <f t="shared" si="21"/>
        <v>#VALUE!</v>
      </c>
      <c r="AC60" s="730">
        <f t="shared" si="10"/>
        <v>0</v>
      </c>
      <c r="AD60" s="730">
        <f t="shared" si="10"/>
        <v>0</v>
      </c>
      <c r="AE60" s="701" t="e">
        <f t="shared" si="11"/>
        <v>#VALUE!</v>
      </c>
      <c r="AF60" s="701" t="e">
        <f t="shared" si="12"/>
        <v>#VALUE!</v>
      </c>
      <c r="AG60" s="701" t="e">
        <f t="shared" si="13"/>
        <v>#VALUE!</v>
      </c>
      <c r="AH60" s="701" t="e">
        <f t="shared" si="14"/>
        <v>#VALUE!</v>
      </c>
      <c r="AI60" s="730" t="e">
        <f>AH60+IF(Inputs!C$39="Electric",Q60/3412,0)</f>
        <v>#VALUE!</v>
      </c>
      <c r="AJ60" s="730" t="e">
        <f t="shared" si="22"/>
        <v>#VALUE!</v>
      </c>
      <c r="AK60" s="133"/>
      <c r="AL60" s="734" t="s">
        <v>269</v>
      </c>
      <c r="AM60" s="738" t="e">
        <f>+AN33*Inputs!$C$16</f>
        <v>#N/A</v>
      </c>
      <c r="AN60" s="735">
        <f>IFERROR(+AM60/AM54,0)</f>
        <v>0</v>
      </c>
      <c r="AO60" s="738" t="e">
        <f>IF(AN60&lt;1,AM60,AM54)</f>
        <v>#N/A</v>
      </c>
      <c r="AP60" s="738" t="e">
        <f t="shared" si="23"/>
        <v>#N/A</v>
      </c>
      <c r="AQ60" s="739" t="e">
        <f t="shared" si="24"/>
        <v>#N/A</v>
      </c>
      <c r="AR60" s="740" t="str">
        <f>IFERROR(+AQ60/AO60,"")</f>
        <v/>
      </c>
    </row>
    <row r="61" spans="2:44" ht="15" x14ac:dyDescent="0.25">
      <c r="B61" s="135" t="s">
        <v>396</v>
      </c>
      <c r="C61" s="638" t="s">
        <v>122</v>
      </c>
      <c r="D61" s="638" t="s">
        <v>124</v>
      </c>
      <c r="E61" s="719">
        <v>16</v>
      </c>
      <c r="F61" s="728">
        <v>73</v>
      </c>
      <c r="G61" s="729" t="e">
        <f>HLOOKUP($B$48, 'Weather Data'!$CC$17:$CZ$80,E61,FALSE)</f>
        <v>#N/A</v>
      </c>
      <c r="H61" s="728" t="str">
        <f>IF(F61&gt;=Inputs!$C$24,"Cooling",IF(F61&lt;=Inputs!$C$29,"Heating","Neither"))</f>
        <v>Heating</v>
      </c>
      <c r="I61" s="728" t="e">
        <f>IF(F61&gt;=Inputs!$D$24,"Cooling",IF(F61&lt;=Inputs!$D$29,"Heating","Neither"))</f>
        <v>#VALUE!</v>
      </c>
      <c r="J61" s="659" t="e">
        <f>IF(H61="Cooling",(F61-Inputs!$C$24)*($V$3)/(Inputs!$C$32-Inputs!$C$24),IF(H61="Heating",(Inputs!$C$29-F61)*($V$15)/(Inputs!$C$29-Inputs!$C$33)/$C$53,0))</f>
        <v>#VALUE!</v>
      </c>
      <c r="K61" s="659" t="e">
        <f>IF(I61="Cooling",(F61-Inputs!$D$24)*($V$4)/(Inputs!$C$32-Inputs!$D$24),IF(I61="Heating",(Inputs!$D$29-F61)*($V$16)/(Inputs!$D$29-Inputs!$C$33)/$C$53,0))</f>
        <v>#VALUE!</v>
      </c>
      <c r="L61" s="659"/>
      <c r="M61" s="659" t="e">
        <f t="shared" si="2"/>
        <v>#VALUE!</v>
      </c>
      <c r="N61" s="659" t="e">
        <f t="shared" si="3"/>
        <v>#VALUE!</v>
      </c>
      <c r="O61" s="659" t="e">
        <f t="shared" si="4"/>
        <v>#N/A</v>
      </c>
      <c r="P61" s="659" t="e">
        <f t="shared" si="4"/>
        <v>#N/A</v>
      </c>
      <c r="Q61" s="659" t="e">
        <f t="shared" si="5"/>
        <v>#N/A</v>
      </c>
      <c r="R61" s="730">
        <f t="shared" si="15"/>
        <v>0</v>
      </c>
      <c r="S61" s="730" t="e">
        <f t="shared" si="16"/>
        <v>#VALUE!</v>
      </c>
      <c r="T61" s="701" t="e">
        <f t="shared" si="17"/>
        <v>#N/A</v>
      </c>
      <c r="U61" s="701" t="e">
        <f t="shared" si="18"/>
        <v>#VALUE!</v>
      </c>
      <c r="V61" s="701" t="e">
        <f t="shared" si="6"/>
        <v>#N/A</v>
      </c>
      <c r="W61" s="701" t="e">
        <f t="shared" si="7"/>
        <v>#VALUE!</v>
      </c>
      <c r="X61" s="701" t="e">
        <f t="shared" si="8"/>
        <v>#VALUE!</v>
      </c>
      <c r="Y61" s="731">
        <f t="shared" si="19"/>
        <v>0</v>
      </c>
      <c r="Z61" s="731" t="e">
        <f t="shared" si="20"/>
        <v>#VALUE!</v>
      </c>
      <c r="AA61" s="732" t="e">
        <f t="shared" si="9"/>
        <v>#VALUE!</v>
      </c>
      <c r="AB61" s="732" t="e">
        <f t="shared" si="21"/>
        <v>#VALUE!</v>
      </c>
      <c r="AC61" s="730">
        <f t="shared" si="10"/>
        <v>0</v>
      </c>
      <c r="AD61" s="730">
        <f t="shared" si="10"/>
        <v>0</v>
      </c>
      <c r="AE61" s="701" t="e">
        <f t="shared" si="11"/>
        <v>#VALUE!</v>
      </c>
      <c r="AF61" s="701" t="e">
        <f t="shared" si="12"/>
        <v>#VALUE!</v>
      </c>
      <c r="AG61" s="701" t="e">
        <f t="shared" si="13"/>
        <v>#VALUE!</v>
      </c>
      <c r="AH61" s="701" t="e">
        <f t="shared" si="14"/>
        <v>#VALUE!</v>
      </c>
      <c r="AI61" s="730" t="e">
        <f>AH61+IF(Inputs!C$39="Electric",Q61/3412,0)</f>
        <v>#VALUE!</v>
      </c>
      <c r="AJ61" s="730" t="e">
        <f t="shared" si="22"/>
        <v>#VALUE!</v>
      </c>
      <c r="AK61" s="133"/>
      <c r="AL61" s="734" t="s">
        <v>132</v>
      </c>
      <c r="AM61" s="739" t="e">
        <f>+SUM(AM59:AM60)</f>
        <v>#N/A</v>
      </c>
      <c r="AN61" s="739"/>
      <c r="AO61" s="739" t="e">
        <f t="shared" ref="AO61" si="25">+SUM(AO59:AO60)</f>
        <v>#N/A</v>
      </c>
      <c r="AP61" s="738" t="e">
        <f>+AO61*(1-AP55)</f>
        <v>#N/A</v>
      </c>
      <c r="AQ61" s="739" t="e">
        <f>+AO61-AP61</f>
        <v>#N/A</v>
      </c>
      <c r="AR61" s="740" t="str">
        <f>IFERROR(+AQ61/AO61,"")</f>
        <v/>
      </c>
    </row>
    <row r="62" spans="2:44" x14ac:dyDescent="0.2">
      <c r="B62" s="638" t="str">
        <f>IF(Inputs!E$4="Project Application Submission","","No Cooling")</f>
        <v/>
      </c>
      <c r="C62" s="638">
        <v>0</v>
      </c>
      <c r="D62" s="683">
        <f>C62/3.412</f>
        <v>0</v>
      </c>
      <c r="E62" s="719">
        <v>17</v>
      </c>
      <c r="F62" s="728">
        <v>71</v>
      </c>
      <c r="G62" s="729" t="e">
        <f>HLOOKUP($B$48, 'Weather Data'!$CC$17:$CZ$80,E62,FALSE)</f>
        <v>#N/A</v>
      </c>
      <c r="H62" s="728" t="str">
        <f>IF(F62&gt;=Inputs!$C$24,"Cooling",IF(F62&lt;=Inputs!$C$29,"Heating","Neither"))</f>
        <v>Heating</v>
      </c>
      <c r="I62" s="728" t="e">
        <f>IF(F62&gt;=Inputs!$D$24,"Cooling",IF(F62&lt;=Inputs!$D$29,"Heating","Neither"))</f>
        <v>#VALUE!</v>
      </c>
      <c r="J62" s="659" t="e">
        <f>IF(H62="Cooling",(F62-Inputs!$C$24)*($V$3)/(Inputs!$C$32-Inputs!$C$24),IF(H62="Heating",(Inputs!$C$29-F62)*($V$15)/(Inputs!$C$29-Inputs!$C$33)/$C$53,0))</f>
        <v>#VALUE!</v>
      </c>
      <c r="K62" s="659" t="e">
        <f>IF(I62="Cooling",(F62-Inputs!$D$24)*($V$4)/(Inputs!$C$32-Inputs!$D$24),IF(I62="Heating",(Inputs!$D$29-F62)*($V$16)/(Inputs!$D$29-Inputs!$C$33)/$C$53,0))</f>
        <v>#VALUE!</v>
      </c>
      <c r="L62" s="659"/>
      <c r="M62" s="659" t="e">
        <f t="shared" si="2"/>
        <v>#VALUE!</v>
      </c>
      <c r="N62" s="659" t="e">
        <f t="shared" si="3"/>
        <v>#VALUE!</v>
      </c>
      <c r="O62" s="659" t="e">
        <f t="shared" si="4"/>
        <v>#N/A</v>
      </c>
      <c r="P62" s="659" t="e">
        <f t="shared" si="4"/>
        <v>#N/A</v>
      </c>
      <c r="Q62" s="659" t="e">
        <f t="shared" si="5"/>
        <v>#N/A</v>
      </c>
      <c r="R62" s="730">
        <f t="shared" si="15"/>
        <v>0</v>
      </c>
      <c r="S62" s="730" t="e">
        <f t="shared" si="16"/>
        <v>#VALUE!</v>
      </c>
      <c r="T62" s="701" t="e">
        <f t="shared" si="17"/>
        <v>#N/A</v>
      </c>
      <c r="U62" s="701" t="e">
        <f t="shared" si="18"/>
        <v>#VALUE!</v>
      </c>
      <c r="V62" s="701" t="e">
        <f t="shared" si="6"/>
        <v>#N/A</v>
      </c>
      <c r="W62" s="701" t="e">
        <f t="shared" si="7"/>
        <v>#VALUE!</v>
      </c>
      <c r="X62" s="701" t="e">
        <f t="shared" si="8"/>
        <v>#VALUE!</v>
      </c>
      <c r="Y62" s="731">
        <f t="shared" si="19"/>
        <v>0</v>
      </c>
      <c r="Z62" s="731" t="e">
        <f t="shared" si="20"/>
        <v>#VALUE!</v>
      </c>
      <c r="AA62" s="732" t="e">
        <f t="shared" si="9"/>
        <v>#VALUE!</v>
      </c>
      <c r="AB62" s="732" t="e">
        <f t="shared" si="21"/>
        <v>#VALUE!</v>
      </c>
      <c r="AC62" s="730">
        <f t="shared" si="10"/>
        <v>0</v>
      </c>
      <c r="AD62" s="730">
        <f t="shared" si="10"/>
        <v>0</v>
      </c>
      <c r="AE62" s="701" t="e">
        <f t="shared" si="11"/>
        <v>#VALUE!</v>
      </c>
      <c r="AF62" s="701" t="e">
        <f t="shared" si="12"/>
        <v>#VALUE!</v>
      </c>
      <c r="AG62" s="701" t="e">
        <f t="shared" si="13"/>
        <v>#VALUE!</v>
      </c>
      <c r="AH62" s="701" t="e">
        <f t="shared" si="14"/>
        <v>#VALUE!</v>
      </c>
      <c r="AI62" s="730" t="e">
        <f>AH62+IF(Inputs!C$39="Electric",Q62/3412,0)</f>
        <v>#VALUE!</v>
      </c>
      <c r="AJ62" s="730" t="e">
        <f t="shared" si="22"/>
        <v>#VALUE!</v>
      </c>
      <c r="AK62" s="133"/>
      <c r="AL62" s="648"/>
      <c r="AM62" s="648"/>
      <c r="AN62" s="648"/>
      <c r="AO62" s="648"/>
      <c r="AP62" s="648"/>
      <c r="AQ62" s="648"/>
      <c r="AR62" s="648"/>
    </row>
    <row r="63" spans="2:44" x14ac:dyDescent="0.2">
      <c r="B63" s="638" t="str">
        <f>IF(Inputs!E$4="Project Application Submission","","Central Cooling System Efficiency,Eff. &gt;12EER")</f>
        <v/>
      </c>
      <c r="C63" s="638">
        <v>12</v>
      </c>
      <c r="D63" s="683">
        <f>C63/3.412</f>
        <v>3.5169988276670576</v>
      </c>
      <c r="E63" s="719">
        <v>18</v>
      </c>
      <c r="F63" s="728">
        <v>69</v>
      </c>
      <c r="G63" s="729" t="e">
        <f>HLOOKUP($B$48, 'Weather Data'!$CC$17:$CZ$80,E63,FALSE)</f>
        <v>#N/A</v>
      </c>
      <c r="H63" s="728" t="str">
        <f>IF(F63&gt;=Inputs!$C$24,"Cooling",IF(F63&lt;=Inputs!$C$29,"Heating","Neither"))</f>
        <v>Heating</v>
      </c>
      <c r="I63" s="728" t="e">
        <f>IF(F63&gt;=Inputs!$D$24,"Cooling",IF(F63&lt;=Inputs!$D$29,"Heating","Neither"))</f>
        <v>#VALUE!</v>
      </c>
      <c r="J63" s="659" t="e">
        <f>IF(H63="Cooling",(F63-Inputs!$C$24)*($V$3)/(Inputs!$C$32-Inputs!$C$24),IF(H63="Heating",(Inputs!$C$29-F63)*($V$15)/(Inputs!$C$29-Inputs!$C$33)/$C$53,0))</f>
        <v>#VALUE!</v>
      </c>
      <c r="K63" s="659" t="e">
        <f>IF(I63="Cooling",(F63-Inputs!$D$24)*($V$4)/(Inputs!$C$32-Inputs!$D$24),IF(I63="Heating",(Inputs!$D$29-F63)*($V$16)/(Inputs!$D$29-Inputs!$C$33)/$C$53,0))</f>
        <v>#VALUE!</v>
      </c>
      <c r="L63" s="659"/>
      <c r="M63" s="659" t="e">
        <f t="shared" si="2"/>
        <v>#VALUE!</v>
      </c>
      <c r="N63" s="659" t="e">
        <f t="shared" si="3"/>
        <v>#VALUE!</v>
      </c>
      <c r="O63" s="659" t="e">
        <f t="shared" si="4"/>
        <v>#N/A</v>
      </c>
      <c r="P63" s="659" t="e">
        <f t="shared" si="4"/>
        <v>#N/A</v>
      </c>
      <c r="Q63" s="659" t="e">
        <f t="shared" si="5"/>
        <v>#N/A</v>
      </c>
      <c r="R63" s="730">
        <f t="shared" si="15"/>
        <v>0</v>
      </c>
      <c r="S63" s="730" t="e">
        <f t="shared" si="16"/>
        <v>#VALUE!</v>
      </c>
      <c r="T63" s="701" t="e">
        <f t="shared" si="17"/>
        <v>#N/A</v>
      </c>
      <c r="U63" s="701" t="e">
        <f t="shared" si="18"/>
        <v>#VALUE!</v>
      </c>
      <c r="V63" s="701" t="e">
        <f t="shared" si="6"/>
        <v>#N/A</v>
      </c>
      <c r="W63" s="701" t="e">
        <f t="shared" si="7"/>
        <v>#VALUE!</v>
      </c>
      <c r="X63" s="701" t="e">
        <f t="shared" si="8"/>
        <v>#VALUE!</v>
      </c>
      <c r="Y63" s="731">
        <f t="shared" si="19"/>
        <v>0</v>
      </c>
      <c r="Z63" s="731" t="e">
        <f t="shared" si="20"/>
        <v>#VALUE!</v>
      </c>
      <c r="AA63" s="732" t="e">
        <f t="shared" si="9"/>
        <v>#VALUE!</v>
      </c>
      <c r="AB63" s="732" t="e">
        <f t="shared" si="21"/>
        <v>#VALUE!</v>
      </c>
      <c r="AC63" s="730">
        <f t="shared" si="10"/>
        <v>0</v>
      </c>
      <c r="AD63" s="730">
        <f t="shared" si="10"/>
        <v>0</v>
      </c>
      <c r="AE63" s="701" t="e">
        <f t="shared" si="11"/>
        <v>#VALUE!</v>
      </c>
      <c r="AF63" s="701" t="e">
        <f t="shared" si="12"/>
        <v>#VALUE!</v>
      </c>
      <c r="AG63" s="701" t="e">
        <f t="shared" si="13"/>
        <v>#VALUE!</v>
      </c>
      <c r="AH63" s="701" t="e">
        <f t="shared" si="14"/>
        <v>#VALUE!</v>
      </c>
      <c r="AI63" s="730" t="e">
        <f>AH63+IF(Inputs!C$39="Electric",Q63/3412,0)</f>
        <v>#VALUE!</v>
      </c>
      <c r="AJ63" s="730" t="e">
        <f t="shared" si="22"/>
        <v>#VALUE!</v>
      </c>
      <c r="AK63" s="133"/>
      <c r="AL63" s="648"/>
      <c r="AM63" s="648"/>
      <c r="AN63" s="648"/>
      <c r="AO63" s="648"/>
      <c r="AP63" s="648"/>
      <c r="AQ63" s="648"/>
      <c r="AR63" s="648"/>
    </row>
    <row r="64" spans="2:44" x14ac:dyDescent="0.2">
      <c r="B64" s="638" t="str">
        <f>IF(Inputs!E$4="Project Application Submission","","Central Cooling System Efficiency, Eff. &lt;12EER")</f>
        <v/>
      </c>
      <c r="C64" s="638">
        <v>9</v>
      </c>
      <c r="D64" s="683">
        <f>C64/3.412</f>
        <v>2.6377491207502932</v>
      </c>
      <c r="E64" s="719">
        <v>19</v>
      </c>
      <c r="F64" s="728">
        <v>67</v>
      </c>
      <c r="G64" s="729" t="e">
        <f>HLOOKUP($B$48, 'Weather Data'!$CC$17:$CZ$80,E64,FALSE)</f>
        <v>#N/A</v>
      </c>
      <c r="H64" s="728" t="str">
        <f>IF(F64&gt;=Inputs!$C$24,"Cooling",IF(F64&lt;=Inputs!$C$29,"Heating","Neither"))</f>
        <v>Heating</v>
      </c>
      <c r="I64" s="728" t="e">
        <f>IF(F64&gt;=Inputs!$D$24,"Cooling",IF(F64&lt;=Inputs!$D$29,"Heating","Neither"))</f>
        <v>#VALUE!</v>
      </c>
      <c r="J64" s="659" t="e">
        <f>IF(H64="Cooling",(F64-Inputs!$C$24)*($V$3)/(Inputs!$C$32-Inputs!$C$24),IF(H64="Heating",(Inputs!$C$29-F64)*($V$15)/(Inputs!$C$29-Inputs!$C$33)/$C$53,0))</f>
        <v>#VALUE!</v>
      </c>
      <c r="K64" s="659" t="e">
        <f>IF(I64="Cooling",(F64-Inputs!$D$24)*($V$4)/(Inputs!$C$32-Inputs!$D$24),IF(I64="Heating",(Inputs!$D$29-F64)*($V$16)/(Inputs!$D$29-Inputs!$C$33)/$C$53,0))</f>
        <v>#VALUE!</v>
      </c>
      <c r="L64" s="659"/>
      <c r="M64" s="659" t="e">
        <f t="shared" si="2"/>
        <v>#VALUE!</v>
      </c>
      <c r="N64" s="659" t="e">
        <f t="shared" si="3"/>
        <v>#VALUE!</v>
      </c>
      <c r="O64" s="659" t="e">
        <f t="shared" si="4"/>
        <v>#N/A</v>
      </c>
      <c r="P64" s="659" t="e">
        <f t="shared" si="4"/>
        <v>#N/A</v>
      </c>
      <c r="Q64" s="659" t="e">
        <f t="shared" si="5"/>
        <v>#N/A</v>
      </c>
      <c r="R64" s="730">
        <f t="shared" si="15"/>
        <v>0</v>
      </c>
      <c r="S64" s="730" t="e">
        <f t="shared" si="16"/>
        <v>#VALUE!</v>
      </c>
      <c r="T64" s="701" t="e">
        <f t="shared" si="17"/>
        <v>#N/A</v>
      </c>
      <c r="U64" s="701" t="e">
        <f t="shared" si="18"/>
        <v>#VALUE!</v>
      </c>
      <c r="V64" s="701" t="e">
        <f t="shared" si="6"/>
        <v>#N/A</v>
      </c>
      <c r="W64" s="701" t="e">
        <f t="shared" si="7"/>
        <v>#VALUE!</v>
      </c>
      <c r="X64" s="701" t="e">
        <f t="shared" si="8"/>
        <v>#VALUE!</v>
      </c>
      <c r="Y64" s="731">
        <f t="shared" si="19"/>
        <v>0</v>
      </c>
      <c r="Z64" s="731" t="e">
        <f t="shared" si="20"/>
        <v>#VALUE!</v>
      </c>
      <c r="AA64" s="732" t="e">
        <f t="shared" si="9"/>
        <v>#VALUE!</v>
      </c>
      <c r="AB64" s="732" t="e">
        <f t="shared" si="21"/>
        <v>#VALUE!</v>
      </c>
      <c r="AC64" s="730">
        <f t="shared" si="10"/>
        <v>0</v>
      </c>
      <c r="AD64" s="730">
        <f t="shared" si="10"/>
        <v>0</v>
      </c>
      <c r="AE64" s="701" t="e">
        <f t="shared" si="11"/>
        <v>#VALUE!</v>
      </c>
      <c r="AF64" s="701" t="e">
        <f t="shared" si="12"/>
        <v>#VALUE!</v>
      </c>
      <c r="AG64" s="701" t="e">
        <f t="shared" si="13"/>
        <v>#VALUE!</v>
      </c>
      <c r="AH64" s="701" t="e">
        <f t="shared" si="14"/>
        <v>#VALUE!</v>
      </c>
      <c r="AI64" s="730" t="e">
        <f>AH64+IF(Inputs!C$39="Electric",Q64/3412,0)</f>
        <v>#VALUE!</v>
      </c>
      <c r="AJ64" s="730" t="e">
        <f t="shared" si="22"/>
        <v>#VALUE!</v>
      </c>
      <c r="AK64" s="133"/>
      <c r="AL64" s="648"/>
      <c r="AM64" s="648"/>
      <c r="AN64" s="648"/>
      <c r="AO64" s="648"/>
      <c r="AP64" s="648"/>
      <c r="AQ64" s="648"/>
      <c r="AR64" s="648"/>
    </row>
    <row r="65" spans="2:37" x14ac:dyDescent="0.2">
      <c r="B65" s="638" t="str">
        <f>IF(Inputs!E$4="Project Application Submission","","Window AC units")</f>
        <v/>
      </c>
      <c r="C65" s="638">
        <v>8</v>
      </c>
      <c r="D65" s="683">
        <f>C65/3.412</f>
        <v>2.3446658851113718</v>
      </c>
      <c r="E65" s="719">
        <v>20</v>
      </c>
      <c r="F65" s="728">
        <v>65</v>
      </c>
      <c r="G65" s="729" t="e">
        <f>HLOOKUP($B$48, 'Weather Data'!$CC$17:$CZ$80,E65,FALSE)</f>
        <v>#N/A</v>
      </c>
      <c r="H65" s="728" t="str">
        <f>IF(F65&gt;=Inputs!$C$24,"Cooling",IF(F65&lt;=Inputs!$C$29,"Heating","Neither"))</f>
        <v>Heating</v>
      </c>
      <c r="I65" s="728" t="e">
        <f>IF(F65&gt;=Inputs!$D$24,"Cooling",IF(F65&lt;=Inputs!$D$29,"Heating","Neither"))</f>
        <v>#VALUE!</v>
      </c>
      <c r="J65" s="659" t="e">
        <f>IF(H65="Cooling",(F65-Inputs!$C$24)*($V$3)/(Inputs!$C$32-Inputs!$C$24),IF(H65="Heating",(Inputs!$C$29-F65)*($V$15)/(Inputs!$C$29-Inputs!$C$33)/$C$53,0))</f>
        <v>#VALUE!</v>
      </c>
      <c r="K65" s="659" t="e">
        <f>IF(I65="Cooling",(F65-Inputs!$D$24)*($V$4)/(Inputs!$C$32-Inputs!$D$24),IF(I65="Heating",(Inputs!$D$29-F65)*($V$16)/(Inputs!$D$29-Inputs!$C$33)/$C$53,0))</f>
        <v>#VALUE!</v>
      </c>
      <c r="L65" s="659"/>
      <c r="M65" s="659" t="e">
        <f t="shared" si="2"/>
        <v>#VALUE!</v>
      </c>
      <c r="N65" s="659" t="e">
        <f t="shared" si="3"/>
        <v>#VALUE!</v>
      </c>
      <c r="O65" s="659" t="e">
        <f t="shared" si="4"/>
        <v>#N/A</v>
      </c>
      <c r="P65" s="659" t="e">
        <f t="shared" si="4"/>
        <v>#N/A</v>
      </c>
      <c r="Q65" s="659" t="e">
        <f t="shared" si="5"/>
        <v>#N/A</v>
      </c>
      <c r="R65" s="730">
        <f t="shared" si="15"/>
        <v>0</v>
      </c>
      <c r="S65" s="730" t="e">
        <f t="shared" si="16"/>
        <v>#VALUE!</v>
      </c>
      <c r="T65" s="701" t="e">
        <f t="shared" si="17"/>
        <v>#N/A</v>
      </c>
      <c r="U65" s="701" t="e">
        <f t="shared" si="18"/>
        <v>#VALUE!</v>
      </c>
      <c r="V65" s="701" t="e">
        <f t="shared" si="6"/>
        <v>#N/A</v>
      </c>
      <c r="W65" s="701" t="e">
        <f t="shared" si="7"/>
        <v>#VALUE!</v>
      </c>
      <c r="X65" s="701" t="e">
        <f t="shared" si="8"/>
        <v>#VALUE!</v>
      </c>
      <c r="Y65" s="731">
        <f t="shared" si="19"/>
        <v>0</v>
      </c>
      <c r="Z65" s="731" t="e">
        <f t="shared" si="20"/>
        <v>#VALUE!</v>
      </c>
      <c r="AA65" s="732" t="e">
        <f t="shared" si="9"/>
        <v>#VALUE!</v>
      </c>
      <c r="AB65" s="732" t="e">
        <f t="shared" si="21"/>
        <v>#VALUE!</v>
      </c>
      <c r="AC65" s="730">
        <f t="shared" si="10"/>
        <v>0</v>
      </c>
      <c r="AD65" s="730">
        <f t="shared" si="10"/>
        <v>0</v>
      </c>
      <c r="AE65" s="701" t="e">
        <f t="shared" si="11"/>
        <v>#VALUE!</v>
      </c>
      <c r="AF65" s="701" t="e">
        <f t="shared" si="12"/>
        <v>#VALUE!</v>
      </c>
      <c r="AG65" s="701" t="e">
        <f t="shared" si="13"/>
        <v>#VALUE!</v>
      </c>
      <c r="AH65" s="701" t="e">
        <f t="shared" si="14"/>
        <v>#VALUE!</v>
      </c>
      <c r="AI65" s="730" t="e">
        <f>AH65+IF(Inputs!C$39="Electric",Q65/3412,0)</f>
        <v>#VALUE!</v>
      </c>
      <c r="AJ65" s="730" t="e">
        <f t="shared" si="22"/>
        <v>#VALUE!</v>
      </c>
      <c r="AK65" s="133"/>
    </row>
    <row r="66" spans="2:37" x14ac:dyDescent="0.2">
      <c r="B66" s="638" t="str">
        <f>IF(NOT(Inputs!C11="New Construction"),"Existing Equipment","")</f>
        <v>Existing Equipment</v>
      </c>
      <c r="C66" s="741">
        <f>Inputs!D75</f>
        <v>0</v>
      </c>
      <c r="D66" s="683">
        <f>IFERROR(C66/3.412,0)</f>
        <v>0</v>
      </c>
      <c r="E66" s="719">
        <v>21</v>
      </c>
      <c r="F66" s="728">
        <v>63</v>
      </c>
      <c r="G66" s="729" t="e">
        <f>HLOOKUP($B$48, 'Weather Data'!$CC$17:$CZ$80,E66,FALSE)</f>
        <v>#N/A</v>
      </c>
      <c r="H66" s="728" t="str">
        <f>IF(F66&gt;=Inputs!$C$24,"Cooling",IF(F66&lt;=Inputs!$C$29,"Heating","Neither"))</f>
        <v>Heating</v>
      </c>
      <c r="I66" s="728" t="e">
        <f>IF(F66&gt;=Inputs!$D$24,"Cooling",IF(F66&lt;=Inputs!$D$29,"Heating","Neither"))</f>
        <v>#VALUE!</v>
      </c>
      <c r="J66" s="659" t="e">
        <f>IF(H66="Cooling",(F66-Inputs!$C$24)*($V$3)/(Inputs!$C$32-Inputs!$C$24),IF(H66="Heating",(Inputs!$C$29-F66)*($V$15)/(Inputs!$C$29-Inputs!$C$33)/$C$53,0))</f>
        <v>#VALUE!</v>
      </c>
      <c r="K66" s="659" t="e">
        <f>IF(I66="Cooling",(F66-Inputs!$D$24)*($V$4)/(Inputs!$C$32-Inputs!$D$24),IF(I66="Heating",(Inputs!$D$29-F66)*($V$16)/(Inputs!$D$29-Inputs!$C$33)/$C$53,0))</f>
        <v>#VALUE!</v>
      </c>
      <c r="L66" s="659"/>
      <c r="M66" s="659" t="e">
        <f t="shared" si="2"/>
        <v>#VALUE!</v>
      </c>
      <c r="N66" s="659" t="e">
        <f t="shared" si="3"/>
        <v>#VALUE!</v>
      </c>
      <c r="O66" s="659" t="e">
        <f t="shared" si="4"/>
        <v>#N/A</v>
      </c>
      <c r="P66" s="659" t="e">
        <f t="shared" si="4"/>
        <v>#N/A</v>
      </c>
      <c r="Q66" s="659" t="e">
        <f t="shared" si="5"/>
        <v>#N/A</v>
      </c>
      <c r="R66" s="730">
        <f t="shared" si="15"/>
        <v>0</v>
      </c>
      <c r="S66" s="730" t="e">
        <f t="shared" si="16"/>
        <v>#VALUE!</v>
      </c>
      <c r="T66" s="701" t="e">
        <f t="shared" si="17"/>
        <v>#N/A</v>
      </c>
      <c r="U66" s="701" t="e">
        <f t="shared" si="18"/>
        <v>#VALUE!</v>
      </c>
      <c r="V66" s="701" t="e">
        <f t="shared" si="6"/>
        <v>#N/A</v>
      </c>
      <c r="W66" s="701" t="e">
        <f t="shared" si="7"/>
        <v>#VALUE!</v>
      </c>
      <c r="X66" s="701" t="e">
        <f t="shared" si="8"/>
        <v>#VALUE!</v>
      </c>
      <c r="Y66" s="731">
        <f t="shared" si="19"/>
        <v>0</v>
      </c>
      <c r="Z66" s="731" t="e">
        <f t="shared" si="20"/>
        <v>#VALUE!</v>
      </c>
      <c r="AA66" s="732" t="e">
        <f t="shared" si="9"/>
        <v>#VALUE!</v>
      </c>
      <c r="AB66" s="732" t="e">
        <f t="shared" si="21"/>
        <v>#VALUE!</v>
      </c>
      <c r="AC66" s="730">
        <f t="shared" si="10"/>
        <v>0</v>
      </c>
      <c r="AD66" s="730">
        <f t="shared" si="10"/>
        <v>0</v>
      </c>
      <c r="AE66" s="701" t="e">
        <f t="shared" si="11"/>
        <v>#VALUE!</v>
      </c>
      <c r="AF66" s="701" t="e">
        <f t="shared" si="12"/>
        <v>#VALUE!</v>
      </c>
      <c r="AG66" s="701" t="e">
        <f t="shared" si="13"/>
        <v>#VALUE!</v>
      </c>
      <c r="AH66" s="701" t="e">
        <f t="shared" si="14"/>
        <v>#VALUE!</v>
      </c>
      <c r="AI66" s="730" t="e">
        <f>AH66+IF(Inputs!C$39="Electric",Q66/3412,0)</f>
        <v>#VALUE!</v>
      </c>
      <c r="AJ66" s="730" t="e">
        <f t="shared" si="22"/>
        <v>#VALUE!</v>
      </c>
      <c r="AK66" s="133"/>
    </row>
    <row r="67" spans="2:37" x14ac:dyDescent="0.2">
      <c r="B67" s="638"/>
      <c r="C67" s="638"/>
      <c r="D67" s="648"/>
      <c r="E67" s="719">
        <v>22</v>
      </c>
      <c r="F67" s="728">
        <v>61</v>
      </c>
      <c r="G67" s="729" t="e">
        <f>HLOOKUP($B$48, 'Weather Data'!$CC$17:$CZ$80,E67,FALSE)</f>
        <v>#N/A</v>
      </c>
      <c r="H67" s="728" t="str">
        <f>IF(F67&gt;=Inputs!$C$24,"Cooling",IF(F67&lt;=Inputs!$C$29,"Heating","Neither"))</f>
        <v>Heating</v>
      </c>
      <c r="I67" s="728" t="e">
        <f>IF(F67&gt;=Inputs!$D$24,"Cooling",IF(F67&lt;=Inputs!$D$29,"Heating","Neither"))</f>
        <v>#VALUE!</v>
      </c>
      <c r="J67" s="659" t="e">
        <f>IF(H67="Cooling",(F67-Inputs!$C$24)*($V$3)/(Inputs!$C$32-Inputs!$C$24),IF(H67="Heating",(Inputs!$C$29-F67)*($V$15)/(Inputs!$C$29-Inputs!$C$33)/$C$53,0))</f>
        <v>#VALUE!</v>
      </c>
      <c r="K67" s="659" t="e">
        <f>IF(I67="Cooling",(F67-Inputs!$D$24)*($V$4)/(Inputs!$C$32-Inputs!$D$24),IF(I67="Heating",(Inputs!$D$29-F67)*($V$16)/(Inputs!$D$29-Inputs!$C$33)/$C$53,0))</f>
        <v>#VALUE!</v>
      </c>
      <c r="L67" s="659"/>
      <c r="M67" s="659" t="e">
        <f t="shared" si="2"/>
        <v>#VALUE!</v>
      </c>
      <c r="N67" s="659" t="e">
        <f t="shared" si="3"/>
        <v>#VALUE!</v>
      </c>
      <c r="O67" s="659" t="e">
        <f t="shared" si="4"/>
        <v>#N/A</v>
      </c>
      <c r="P67" s="659" t="e">
        <f t="shared" si="4"/>
        <v>#N/A</v>
      </c>
      <c r="Q67" s="659" t="e">
        <f t="shared" si="5"/>
        <v>#N/A</v>
      </c>
      <c r="R67" s="730">
        <f t="shared" si="15"/>
        <v>0</v>
      </c>
      <c r="S67" s="730" t="e">
        <f t="shared" si="16"/>
        <v>#VALUE!</v>
      </c>
      <c r="T67" s="701" t="e">
        <f t="shared" si="17"/>
        <v>#N/A</v>
      </c>
      <c r="U67" s="701" t="e">
        <f t="shared" si="18"/>
        <v>#VALUE!</v>
      </c>
      <c r="V67" s="701" t="e">
        <f t="shared" si="6"/>
        <v>#N/A</v>
      </c>
      <c r="W67" s="701" t="e">
        <f t="shared" si="7"/>
        <v>#VALUE!</v>
      </c>
      <c r="X67" s="701" t="e">
        <f t="shared" si="8"/>
        <v>#VALUE!</v>
      </c>
      <c r="Y67" s="731">
        <f t="shared" si="19"/>
        <v>0</v>
      </c>
      <c r="Z67" s="731" t="e">
        <f t="shared" si="20"/>
        <v>#VALUE!</v>
      </c>
      <c r="AA67" s="732" t="e">
        <f t="shared" si="9"/>
        <v>#VALUE!</v>
      </c>
      <c r="AB67" s="732" t="e">
        <f t="shared" si="21"/>
        <v>#VALUE!</v>
      </c>
      <c r="AC67" s="730">
        <f t="shared" si="10"/>
        <v>0</v>
      </c>
      <c r="AD67" s="730">
        <f t="shared" si="10"/>
        <v>0</v>
      </c>
      <c r="AE67" s="701" t="e">
        <f t="shared" si="11"/>
        <v>#VALUE!</v>
      </c>
      <c r="AF67" s="701" t="e">
        <f t="shared" si="12"/>
        <v>#VALUE!</v>
      </c>
      <c r="AG67" s="701" t="e">
        <f t="shared" si="13"/>
        <v>#VALUE!</v>
      </c>
      <c r="AH67" s="701" t="e">
        <f t="shared" si="14"/>
        <v>#VALUE!</v>
      </c>
      <c r="AI67" s="730" t="e">
        <f>AH67+IF(Inputs!C$39="Electric",Q67/3412,0)</f>
        <v>#VALUE!</v>
      </c>
      <c r="AJ67" s="730" t="e">
        <f t="shared" si="22"/>
        <v>#VALUE!</v>
      </c>
      <c r="AK67" s="133"/>
    </row>
    <row r="68" spans="2:37" x14ac:dyDescent="0.2">
      <c r="B68" s="638"/>
      <c r="C68" s="638"/>
      <c r="D68" s="648"/>
      <c r="E68" s="719">
        <v>23</v>
      </c>
      <c r="F68" s="728">
        <v>59</v>
      </c>
      <c r="G68" s="729" t="e">
        <f>HLOOKUP($B$48, 'Weather Data'!$CC$17:$CZ$80,E68,FALSE)</f>
        <v>#N/A</v>
      </c>
      <c r="H68" s="728" t="str">
        <f>IF(F68&gt;=Inputs!$C$24,"Cooling",IF(F68&lt;=Inputs!$C$29,"Heating","Neither"))</f>
        <v>Heating</v>
      </c>
      <c r="I68" s="728" t="e">
        <f>IF(F68&gt;=Inputs!$D$24,"Cooling",IF(F68&lt;=Inputs!$D$29,"Heating","Neither"))</f>
        <v>#VALUE!</v>
      </c>
      <c r="J68" s="659" t="e">
        <f>IF(H68="Cooling",(F68-Inputs!$C$24)*($V$3)/(Inputs!$C$32-Inputs!$C$24),IF(H68="Heating",(Inputs!$C$29-F68)*($V$15)/(Inputs!$C$29-Inputs!$C$33)/$C$53,0))</f>
        <v>#VALUE!</v>
      </c>
      <c r="K68" s="659" t="e">
        <f>IF(I68="Cooling",(F68-Inputs!$D$24)*($V$4)/(Inputs!$C$32-Inputs!$D$24),IF(I68="Heating",(Inputs!$D$29-F68)*($V$16)/(Inputs!$D$29-Inputs!$C$33)/$C$53,0))</f>
        <v>#VALUE!</v>
      </c>
      <c r="L68" s="659"/>
      <c r="M68" s="659" t="e">
        <f t="shared" si="2"/>
        <v>#VALUE!</v>
      </c>
      <c r="N68" s="659" t="e">
        <f t="shared" si="3"/>
        <v>#VALUE!</v>
      </c>
      <c r="O68" s="659" t="e">
        <f t="shared" si="4"/>
        <v>#N/A</v>
      </c>
      <c r="P68" s="659" t="e">
        <f t="shared" si="4"/>
        <v>#N/A</v>
      </c>
      <c r="Q68" s="659" t="e">
        <f t="shared" si="5"/>
        <v>#N/A</v>
      </c>
      <c r="R68" s="730">
        <f t="shared" si="15"/>
        <v>0</v>
      </c>
      <c r="S68" s="730" t="e">
        <f t="shared" si="16"/>
        <v>#VALUE!</v>
      </c>
      <c r="T68" s="701" t="e">
        <f t="shared" si="17"/>
        <v>#N/A</v>
      </c>
      <c r="U68" s="701" t="e">
        <f t="shared" si="18"/>
        <v>#VALUE!</v>
      </c>
      <c r="V68" s="701" t="e">
        <f t="shared" si="6"/>
        <v>#N/A</v>
      </c>
      <c r="W68" s="701" t="e">
        <f t="shared" si="7"/>
        <v>#VALUE!</v>
      </c>
      <c r="X68" s="701" t="e">
        <f t="shared" si="8"/>
        <v>#VALUE!</v>
      </c>
      <c r="Y68" s="731">
        <f t="shared" si="19"/>
        <v>0</v>
      </c>
      <c r="Z68" s="731" t="e">
        <f t="shared" si="20"/>
        <v>#VALUE!</v>
      </c>
      <c r="AA68" s="732" t="e">
        <f t="shared" si="9"/>
        <v>#VALUE!</v>
      </c>
      <c r="AB68" s="732" t="e">
        <f t="shared" si="21"/>
        <v>#VALUE!</v>
      </c>
      <c r="AC68" s="730">
        <f t="shared" si="10"/>
        <v>0</v>
      </c>
      <c r="AD68" s="730">
        <f t="shared" si="10"/>
        <v>0</v>
      </c>
      <c r="AE68" s="701" t="e">
        <f t="shared" si="11"/>
        <v>#VALUE!</v>
      </c>
      <c r="AF68" s="701" t="e">
        <f t="shared" si="12"/>
        <v>#VALUE!</v>
      </c>
      <c r="AG68" s="701" t="e">
        <f t="shared" si="13"/>
        <v>#VALUE!</v>
      </c>
      <c r="AH68" s="701" t="e">
        <f t="shared" si="14"/>
        <v>#VALUE!</v>
      </c>
      <c r="AI68" s="730" t="e">
        <f>AH68+IF(Inputs!C$39="Electric",Q68/3412,0)</f>
        <v>#VALUE!</v>
      </c>
      <c r="AJ68" s="730" t="e">
        <f t="shared" si="22"/>
        <v>#VALUE!</v>
      </c>
      <c r="AK68" s="133"/>
    </row>
    <row r="69" spans="2:37" x14ac:dyDescent="0.2">
      <c r="B69" s="638"/>
      <c r="C69" s="638"/>
      <c r="D69" s="648"/>
      <c r="E69" s="719">
        <v>24</v>
      </c>
      <c r="F69" s="728">
        <v>57</v>
      </c>
      <c r="G69" s="729" t="e">
        <f>HLOOKUP($B$48, 'Weather Data'!$CC$17:$CZ$80,E69,FALSE)</f>
        <v>#N/A</v>
      </c>
      <c r="H69" s="728" t="str">
        <f>IF(F69&gt;=Inputs!$C$24,"Cooling",IF(F69&lt;=Inputs!$C$29,"Heating","Neither"))</f>
        <v>Heating</v>
      </c>
      <c r="I69" s="728" t="e">
        <f>IF(F69&gt;=Inputs!$D$24,"Cooling",IF(F69&lt;=Inputs!$D$29,"Heating","Neither"))</f>
        <v>#VALUE!</v>
      </c>
      <c r="J69" s="659" t="e">
        <f>IF(H69="Cooling",(F69-Inputs!$C$24)*($V$3)/(Inputs!$C$32-Inputs!$C$24),IF(H69="Heating",(Inputs!$C$29-F69)*($V$15)/(Inputs!$C$29-Inputs!$C$33)/$C$53,0))</f>
        <v>#VALUE!</v>
      </c>
      <c r="K69" s="659" t="e">
        <f>IF(I69="Cooling",(F69-Inputs!$D$24)*($V$4)/(Inputs!$C$32-Inputs!$D$24),IF(I69="Heating",(Inputs!$D$29-F69)*($V$16)/(Inputs!$D$29-Inputs!$C$33)/$C$53,0))</f>
        <v>#VALUE!</v>
      </c>
      <c r="L69" s="659"/>
      <c r="M69" s="659" t="e">
        <f t="shared" si="2"/>
        <v>#VALUE!</v>
      </c>
      <c r="N69" s="659" t="e">
        <f t="shared" si="3"/>
        <v>#VALUE!</v>
      </c>
      <c r="O69" s="659" t="e">
        <f t="shared" si="4"/>
        <v>#N/A</v>
      </c>
      <c r="P69" s="659" t="e">
        <f t="shared" si="4"/>
        <v>#N/A</v>
      </c>
      <c r="Q69" s="659" t="e">
        <f t="shared" si="5"/>
        <v>#N/A</v>
      </c>
      <c r="R69" s="730">
        <f t="shared" si="15"/>
        <v>0</v>
      </c>
      <c r="S69" s="730" t="e">
        <f t="shared" si="16"/>
        <v>#VALUE!</v>
      </c>
      <c r="T69" s="701" t="e">
        <f t="shared" si="17"/>
        <v>#N/A</v>
      </c>
      <c r="U69" s="701" t="e">
        <f t="shared" si="18"/>
        <v>#VALUE!</v>
      </c>
      <c r="V69" s="701" t="e">
        <f t="shared" si="6"/>
        <v>#N/A</v>
      </c>
      <c r="W69" s="701" t="e">
        <f t="shared" si="7"/>
        <v>#VALUE!</v>
      </c>
      <c r="X69" s="701" t="e">
        <f t="shared" si="8"/>
        <v>#VALUE!</v>
      </c>
      <c r="Y69" s="731">
        <f t="shared" si="19"/>
        <v>0</v>
      </c>
      <c r="Z69" s="731" t="e">
        <f t="shared" si="20"/>
        <v>#VALUE!</v>
      </c>
      <c r="AA69" s="732" t="e">
        <f t="shared" si="9"/>
        <v>#VALUE!</v>
      </c>
      <c r="AB69" s="732" t="e">
        <f t="shared" si="21"/>
        <v>#VALUE!</v>
      </c>
      <c r="AC69" s="730">
        <f t="shared" si="10"/>
        <v>0</v>
      </c>
      <c r="AD69" s="730">
        <f t="shared" si="10"/>
        <v>0</v>
      </c>
      <c r="AE69" s="701" t="e">
        <f t="shared" si="11"/>
        <v>#VALUE!</v>
      </c>
      <c r="AF69" s="701" t="e">
        <f t="shared" si="12"/>
        <v>#VALUE!</v>
      </c>
      <c r="AG69" s="701" t="e">
        <f t="shared" si="13"/>
        <v>#VALUE!</v>
      </c>
      <c r="AH69" s="701" t="e">
        <f t="shared" si="14"/>
        <v>#VALUE!</v>
      </c>
      <c r="AI69" s="730" t="e">
        <f>AH69+IF(Inputs!C$39="Electric",Q69/3412,0)</f>
        <v>#VALUE!</v>
      </c>
      <c r="AJ69" s="730" t="e">
        <f t="shared" si="22"/>
        <v>#VALUE!</v>
      </c>
      <c r="AK69" s="133"/>
    </row>
    <row r="70" spans="2:37" ht="15" x14ac:dyDescent="0.25">
      <c r="B70" s="136" t="s">
        <v>397</v>
      </c>
      <c r="C70" s="638" t="s">
        <v>398</v>
      </c>
      <c r="D70" s="648"/>
      <c r="E70" s="719">
        <v>25</v>
      </c>
      <c r="F70" s="728">
        <v>55</v>
      </c>
      <c r="G70" s="729" t="e">
        <f>HLOOKUP($B$48, 'Weather Data'!$CC$17:$CZ$80,E70,FALSE)</f>
        <v>#N/A</v>
      </c>
      <c r="H70" s="728" t="str">
        <f>IF(F70&gt;=Inputs!$C$24,"Cooling",IF(F70&lt;=Inputs!$C$29,"Heating","Neither"))</f>
        <v>Heating</v>
      </c>
      <c r="I70" s="728" t="e">
        <f>IF(F70&gt;=Inputs!$D$24,"Cooling",IF(F70&lt;=Inputs!$D$29,"Heating","Neither"))</f>
        <v>#VALUE!</v>
      </c>
      <c r="J70" s="659" t="e">
        <f>IF(H70="Cooling",(F70-Inputs!$C$24)*($V$3)/(Inputs!$C$32-Inputs!$C$24),IF(H70="Heating",(Inputs!$C$29-F70)*($V$15)/(Inputs!$C$29-Inputs!$C$33)/$C$53,0))</f>
        <v>#VALUE!</v>
      </c>
      <c r="K70" s="659" t="e">
        <f>IF(I70="Cooling",(F70-Inputs!$D$24)*($V$4)/(Inputs!$C$32-Inputs!$D$24),IF(I70="Heating",(Inputs!$D$29-F70)*($V$16)/(Inputs!$D$29-Inputs!$C$33)/$C$53,0))</f>
        <v>#VALUE!</v>
      </c>
      <c r="L70" s="659"/>
      <c r="M70" s="659" t="e">
        <f t="shared" si="2"/>
        <v>#VALUE!</v>
      </c>
      <c r="N70" s="659" t="e">
        <f t="shared" si="3"/>
        <v>#VALUE!</v>
      </c>
      <c r="O70" s="659" t="e">
        <f t="shared" si="4"/>
        <v>#N/A</v>
      </c>
      <c r="P70" s="659" t="e">
        <f t="shared" si="4"/>
        <v>#N/A</v>
      </c>
      <c r="Q70" s="659" t="e">
        <f t="shared" si="5"/>
        <v>#N/A</v>
      </c>
      <c r="R70" s="730">
        <f t="shared" si="15"/>
        <v>0</v>
      </c>
      <c r="S70" s="730" t="e">
        <f t="shared" si="16"/>
        <v>#VALUE!</v>
      </c>
      <c r="T70" s="701" t="e">
        <f t="shared" si="17"/>
        <v>#N/A</v>
      </c>
      <c r="U70" s="701" t="e">
        <f t="shared" si="18"/>
        <v>#VALUE!</v>
      </c>
      <c r="V70" s="701" t="e">
        <f t="shared" si="6"/>
        <v>#N/A</v>
      </c>
      <c r="W70" s="701" t="e">
        <f t="shared" si="7"/>
        <v>#VALUE!</v>
      </c>
      <c r="X70" s="701" t="e">
        <f t="shared" si="8"/>
        <v>#VALUE!</v>
      </c>
      <c r="Y70" s="731">
        <f t="shared" si="19"/>
        <v>0</v>
      </c>
      <c r="Z70" s="731" t="e">
        <f t="shared" si="20"/>
        <v>#VALUE!</v>
      </c>
      <c r="AA70" s="732" t="e">
        <f t="shared" si="9"/>
        <v>#VALUE!</v>
      </c>
      <c r="AB70" s="732" t="e">
        <f t="shared" si="21"/>
        <v>#VALUE!</v>
      </c>
      <c r="AC70" s="730">
        <f t="shared" si="10"/>
        <v>0</v>
      </c>
      <c r="AD70" s="730">
        <f t="shared" si="10"/>
        <v>0</v>
      </c>
      <c r="AE70" s="701" t="e">
        <f t="shared" si="11"/>
        <v>#VALUE!</v>
      </c>
      <c r="AF70" s="701" t="e">
        <f t="shared" si="12"/>
        <v>#VALUE!</v>
      </c>
      <c r="AG70" s="701" t="e">
        <f t="shared" si="13"/>
        <v>#VALUE!</v>
      </c>
      <c r="AH70" s="701" t="e">
        <f t="shared" si="14"/>
        <v>#VALUE!</v>
      </c>
      <c r="AI70" s="730" t="e">
        <f>AH70+IF(Inputs!C$39="Electric",Q70/3412,0)</f>
        <v>#VALUE!</v>
      </c>
      <c r="AJ70" s="730" t="e">
        <f t="shared" si="22"/>
        <v>#VALUE!</v>
      </c>
      <c r="AK70" s="133"/>
    </row>
    <row r="71" spans="2:37" x14ac:dyDescent="0.2">
      <c r="B71" s="638" t="str">
        <f>IF(OR(Inputs!E$4="Project Application Submission",Inputs!C39="Electric",Inputs!C39="District Steam"),"","Gas/Oil equipment (unknown efficiency)")</f>
        <v/>
      </c>
      <c r="C71" s="742">
        <f>IF(B71="",0,75%)</f>
        <v>0</v>
      </c>
      <c r="D71" s="648"/>
      <c r="E71" s="719">
        <v>26</v>
      </c>
      <c r="F71" s="728">
        <v>53</v>
      </c>
      <c r="G71" s="729" t="e">
        <f>HLOOKUP($B$48, 'Weather Data'!$CC$17:$CZ$80,E71,FALSE)</f>
        <v>#N/A</v>
      </c>
      <c r="H71" s="728" t="str">
        <f>IF(F71&gt;=Inputs!$C$24,"Cooling",IF(F71&lt;=Inputs!$C$29,"Heating","Neither"))</f>
        <v>Heating</v>
      </c>
      <c r="I71" s="728" t="e">
        <f>IF(F71&gt;=Inputs!$D$24,"Cooling",IF(F71&lt;=Inputs!$D$29,"Heating","Neither"))</f>
        <v>#VALUE!</v>
      </c>
      <c r="J71" s="659" t="e">
        <f>IF(H71="Cooling",(F71-Inputs!$C$24)*($V$3)/(Inputs!$C$32-Inputs!$C$24),IF(H71="Heating",(Inputs!$C$29-F71)*($V$15)/(Inputs!$C$29-Inputs!$C$33)/$C$53,0))</f>
        <v>#VALUE!</v>
      </c>
      <c r="K71" s="659" t="e">
        <f>IF(I71="Cooling",(F71-Inputs!$D$24)*($V$4)/(Inputs!$C$32-Inputs!$D$24),IF(I71="Heating",(Inputs!$D$29-F71)*($V$16)/(Inputs!$D$29-Inputs!$C$33)/$C$53,0))</f>
        <v>#VALUE!</v>
      </c>
      <c r="L71" s="659"/>
      <c r="M71" s="659" t="e">
        <f t="shared" si="2"/>
        <v>#VALUE!</v>
      </c>
      <c r="N71" s="659" t="e">
        <f t="shared" si="3"/>
        <v>#VALUE!</v>
      </c>
      <c r="O71" s="659" t="e">
        <f t="shared" si="4"/>
        <v>#N/A</v>
      </c>
      <c r="P71" s="659" t="e">
        <f t="shared" si="4"/>
        <v>#N/A</v>
      </c>
      <c r="Q71" s="659" t="e">
        <f t="shared" si="5"/>
        <v>#N/A</v>
      </c>
      <c r="R71" s="730">
        <f t="shared" si="15"/>
        <v>0</v>
      </c>
      <c r="S71" s="730" t="e">
        <f t="shared" si="16"/>
        <v>#VALUE!</v>
      </c>
      <c r="T71" s="701" t="e">
        <f t="shared" si="17"/>
        <v>#N/A</v>
      </c>
      <c r="U71" s="701" t="e">
        <f t="shared" si="18"/>
        <v>#VALUE!</v>
      </c>
      <c r="V71" s="701" t="e">
        <f t="shared" si="6"/>
        <v>#N/A</v>
      </c>
      <c r="W71" s="701" t="e">
        <f t="shared" si="7"/>
        <v>#VALUE!</v>
      </c>
      <c r="X71" s="701" t="e">
        <f t="shared" si="8"/>
        <v>#VALUE!</v>
      </c>
      <c r="Y71" s="731">
        <f t="shared" si="19"/>
        <v>0</v>
      </c>
      <c r="Z71" s="731" t="e">
        <f t="shared" si="20"/>
        <v>#VALUE!</v>
      </c>
      <c r="AA71" s="732" t="e">
        <f t="shared" si="9"/>
        <v>#VALUE!</v>
      </c>
      <c r="AB71" s="732" t="e">
        <f t="shared" si="21"/>
        <v>#VALUE!</v>
      </c>
      <c r="AC71" s="730">
        <f t="shared" si="10"/>
        <v>0</v>
      </c>
      <c r="AD71" s="730">
        <f t="shared" si="10"/>
        <v>0</v>
      </c>
      <c r="AE71" s="701" t="e">
        <f t="shared" si="11"/>
        <v>#VALUE!</v>
      </c>
      <c r="AF71" s="701" t="e">
        <f t="shared" si="12"/>
        <v>#VALUE!</v>
      </c>
      <c r="AG71" s="701" t="e">
        <f t="shared" si="13"/>
        <v>#VALUE!</v>
      </c>
      <c r="AH71" s="701" t="e">
        <f t="shared" si="14"/>
        <v>#VALUE!</v>
      </c>
      <c r="AI71" s="730" t="e">
        <f>AH71+IF(Inputs!C$39="Electric",Q71/3412,0)</f>
        <v>#VALUE!</v>
      </c>
      <c r="AJ71" s="730" t="e">
        <f t="shared" si="22"/>
        <v>#VALUE!</v>
      </c>
      <c r="AK71" s="133"/>
    </row>
    <row r="72" spans="2:37" x14ac:dyDescent="0.2">
      <c r="B72" s="638" t="str">
        <f>IF(OR(Inputs!E$4="Project Application Submission",Inputs!C39="Electric",Inputs!C39="District Steam"),"","Gas/Oil Equipment Efficiency, Eff. &gt;80%")</f>
        <v/>
      </c>
      <c r="C72" s="742">
        <f>IF(B72="",0,80%)</f>
        <v>0</v>
      </c>
      <c r="D72" s="713"/>
      <c r="E72" s="719">
        <v>27</v>
      </c>
      <c r="F72" s="728">
        <v>51</v>
      </c>
      <c r="G72" s="729" t="e">
        <f>HLOOKUP($B$48, 'Weather Data'!$CC$17:$CZ$80,E72,FALSE)</f>
        <v>#N/A</v>
      </c>
      <c r="H72" s="728" t="str">
        <f>IF(F72&gt;=Inputs!$C$24,"Cooling",IF(F72&lt;=Inputs!$C$29,"Heating","Neither"))</f>
        <v>Heating</v>
      </c>
      <c r="I72" s="728" t="e">
        <f>IF(F72&gt;=Inputs!$D$24,"Cooling",IF(F72&lt;=Inputs!$D$29,"Heating","Neither"))</f>
        <v>#VALUE!</v>
      </c>
      <c r="J72" s="659" t="e">
        <f>IF(H72="Cooling",(F72-Inputs!$C$24)*($V$3)/(Inputs!$C$32-Inputs!$C$24),IF(H72="Heating",(Inputs!$C$29-F72)*($V$15)/(Inputs!$C$29-Inputs!$C$33)/$C$53,0))</f>
        <v>#VALUE!</v>
      </c>
      <c r="K72" s="659" t="e">
        <f>IF(I72="Cooling",(F72-Inputs!$D$24)*($V$4)/(Inputs!$C$32-Inputs!$D$24),IF(I72="Heating",(Inputs!$D$29-F72)*($V$16)/(Inputs!$D$29-Inputs!$C$33)/$C$53,0))</f>
        <v>#VALUE!</v>
      </c>
      <c r="L72" s="659"/>
      <c r="M72" s="659" t="e">
        <f t="shared" si="2"/>
        <v>#VALUE!</v>
      </c>
      <c r="N72" s="659" t="e">
        <f t="shared" si="3"/>
        <v>#VALUE!</v>
      </c>
      <c r="O72" s="659" t="e">
        <f t="shared" si="4"/>
        <v>#N/A</v>
      </c>
      <c r="P72" s="659" t="e">
        <f t="shared" si="4"/>
        <v>#N/A</v>
      </c>
      <c r="Q72" s="659" t="e">
        <f t="shared" si="5"/>
        <v>#N/A</v>
      </c>
      <c r="R72" s="730">
        <f t="shared" si="15"/>
        <v>0</v>
      </c>
      <c r="S72" s="730" t="e">
        <f t="shared" si="16"/>
        <v>#VALUE!</v>
      </c>
      <c r="T72" s="701" t="e">
        <f t="shared" si="17"/>
        <v>#N/A</v>
      </c>
      <c r="U72" s="701" t="e">
        <f t="shared" si="18"/>
        <v>#VALUE!</v>
      </c>
      <c r="V72" s="701" t="e">
        <f t="shared" si="6"/>
        <v>#N/A</v>
      </c>
      <c r="W72" s="701" t="e">
        <f t="shared" si="7"/>
        <v>#VALUE!</v>
      </c>
      <c r="X72" s="701" t="e">
        <f t="shared" si="8"/>
        <v>#VALUE!</v>
      </c>
      <c r="Y72" s="731">
        <f t="shared" si="19"/>
        <v>0</v>
      </c>
      <c r="Z72" s="731" t="e">
        <f t="shared" si="20"/>
        <v>#VALUE!</v>
      </c>
      <c r="AA72" s="732" t="e">
        <f t="shared" si="9"/>
        <v>#VALUE!</v>
      </c>
      <c r="AB72" s="732" t="e">
        <f t="shared" si="21"/>
        <v>#VALUE!</v>
      </c>
      <c r="AC72" s="730">
        <f t="shared" si="10"/>
        <v>0</v>
      </c>
      <c r="AD72" s="730">
        <f t="shared" si="10"/>
        <v>0</v>
      </c>
      <c r="AE72" s="701" t="e">
        <f t="shared" si="11"/>
        <v>#VALUE!</v>
      </c>
      <c r="AF72" s="701" t="e">
        <f t="shared" si="12"/>
        <v>#VALUE!</v>
      </c>
      <c r="AG72" s="701" t="e">
        <f t="shared" si="13"/>
        <v>#VALUE!</v>
      </c>
      <c r="AH72" s="701" t="e">
        <f t="shared" si="14"/>
        <v>#VALUE!</v>
      </c>
      <c r="AI72" s="730" t="e">
        <f>AH72+IF(Inputs!C$39="Electric",Q72/3412,0)</f>
        <v>#VALUE!</v>
      </c>
      <c r="AJ72" s="730" t="e">
        <f t="shared" si="22"/>
        <v>#VALUE!</v>
      </c>
      <c r="AK72" s="133"/>
    </row>
    <row r="73" spans="2:37" x14ac:dyDescent="0.2">
      <c r="B73" s="638" t="str">
        <f>IF(OR(Inputs!E$4="Project Application Submission",Inputs!C39="Electric",Inputs!C39="District Steam"),"","Gas/Oil Equipment Efficiency, Eff. = 70%-80%")</f>
        <v/>
      </c>
      <c r="C73" s="742">
        <f>IF(B73="",0,70%)</f>
        <v>0</v>
      </c>
      <c r="D73" s="713"/>
      <c r="E73" s="719">
        <v>28</v>
      </c>
      <c r="F73" s="728">
        <v>49</v>
      </c>
      <c r="G73" s="729" t="e">
        <f>HLOOKUP($B$48, 'Weather Data'!$CC$17:$CZ$80,E73,FALSE)</f>
        <v>#N/A</v>
      </c>
      <c r="H73" s="728" t="str">
        <f>IF(F73&gt;=Inputs!$C$24,"Cooling",IF(F73&lt;=Inputs!$C$29,"Heating","Neither"))</f>
        <v>Heating</v>
      </c>
      <c r="I73" s="728" t="e">
        <f>IF(F73&gt;=Inputs!$D$24,"Cooling",IF(F73&lt;=Inputs!$D$29,"Heating","Neither"))</f>
        <v>#VALUE!</v>
      </c>
      <c r="J73" s="659" t="e">
        <f>IF(H73="Cooling",(F73-Inputs!$C$24)*($V$3)/(Inputs!$C$32-Inputs!$C$24),IF(H73="Heating",(Inputs!$C$29-F73)*($V$15)/(Inputs!$C$29-Inputs!$C$33)/$C$53,0))</f>
        <v>#VALUE!</v>
      </c>
      <c r="K73" s="659" t="e">
        <f>IF(I73="Cooling",(F73-Inputs!$D$24)*($V$4)/(Inputs!$C$32-Inputs!$D$24),IF(I73="Heating",(Inputs!$D$29-F73)*($V$16)/(Inputs!$D$29-Inputs!$C$33)/$C$53,0))</f>
        <v>#VALUE!</v>
      </c>
      <c r="L73" s="659"/>
      <c r="M73" s="659" t="e">
        <f t="shared" si="2"/>
        <v>#VALUE!</v>
      </c>
      <c r="N73" s="659" t="e">
        <f t="shared" si="3"/>
        <v>#VALUE!</v>
      </c>
      <c r="O73" s="659" t="e">
        <f t="shared" si="4"/>
        <v>#N/A</v>
      </c>
      <c r="P73" s="659" t="e">
        <f t="shared" si="4"/>
        <v>#N/A</v>
      </c>
      <c r="Q73" s="659" t="e">
        <f t="shared" si="5"/>
        <v>#N/A</v>
      </c>
      <c r="R73" s="730">
        <f t="shared" si="15"/>
        <v>0</v>
      </c>
      <c r="S73" s="730" t="e">
        <f t="shared" si="16"/>
        <v>#VALUE!</v>
      </c>
      <c r="T73" s="701" t="e">
        <f t="shared" si="17"/>
        <v>#N/A</v>
      </c>
      <c r="U73" s="701" t="e">
        <f t="shared" si="18"/>
        <v>#VALUE!</v>
      </c>
      <c r="V73" s="701" t="e">
        <f t="shared" si="6"/>
        <v>#N/A</v>
      </c>
      <c r="W73" s="701" t="e">
        <f t="shared" si="7"/>
        <v>#VALUE!</v>
      </c>
      <c r="X73" s="701" t="e">
        <f t="shared" si="8"/>
        <v>#VALUE!</v>
      </c>
      <c r="Y73" s="731">
        <f t="shared" si="19"/>
        <v>0</v>
      </c>
      <c r="Z73" s="731" t="e">
        <f t="shared" si="20"/>
        <v>#VALUE!</v>
      </c>
      <c r="AA73" s="732" t="e">
        <f t="shared" si="9"/>
        <v>#VALUE!</v>
      </c>
      <c r="AB73" s="732" t="e">
        <f t="shared" si="21"/>
        <v>#VALUE!</v>
      </c>
      <c r="AC73" s="730">
        <f t="shared" si="10"/>
        <v>0</v>
      </c>
      <c r="AD73" s="730">
        <f t="shared" si="10"/>
        <v>0</v>
      </c>
      <c r="AE73" s="701" t="e">
        <f t="shared" si="11"/>
        <v>#VALUE!</v>
      </c>
      <c r="AF73" s="701" t="e">
        <f t="shared" si="12"/>
        <v>#VALUE!</v>
      </c>
      <c r="AG73" s="701" t="e">
        <f t="shared" si="13"/>
        <v>#VALUE!</v>
      </c>
      <c r="AH73" s="701" t="e">
        <f t="shared" si="14"/>
        <v>#VALUE!</v>
      </c>
      <c r="AI73" s="730" t="e">
        <f>AH73+IF(Inputs!C$39="Electric",Q73/3412,0)</f>
        <v>#VALUE!</v>
      </c>
      <c r="AJ73" s="730" t="e">
        <f t="shared" si="22"/>
        <v>#VALUE!</v>
      </c>
      <c r="AK73" s="133"/>
    </row>
    <row r="74" spans="2:37" x14ac:dyDescent="0.2">
      <c r="B74" s="638" t="str">
        <f>IF(OR(Inputs!E$4="Project Application Submission",Inputs!C39="Electric",Inputs!C39="District Steam"),"","Gas/Oil Equipment Efficiency , Eff. &lt;70%")</f>
        <v/>
      </c>
      <c r="C74" s="742">
        <f>IF(B74="",0,65%)</f>
        <v>0</v>
      </c>
      <c r="D74" s="713"/>
      <c r="E74" s="719">
        <v>29</v>
      </c>
      <c r="F74" s="728">
        <v>47</v>
      </c>
      <c r="G74" s="729" t="e">
        <f>HLOOKUP($B$48, 'Weather Data'!$CC$17:$CZ$80,E74,FALSE)</f>
        <v>#N/A</v>
      </c>
      <c r="H74" s="728" t="str">
        <f>IF(F74&gt;=Inputs!$C$24,"Cooling",IF(F74&lt;=Inputs!$C$29,"Heating","Neither"))</f>
        <v>Heating</v>
      </c>
      <c r="I74" s="728" t="e">
        <f>IF(F74&gt;=Inputs!$D$24,"Cooling",IF(F74&lt;=Inputs!$D$29,"Heating","Neither"))</f>
        <v>#VALUE!</v>
      </c>
      <c r="J74" s="659" t="e">
        <f>IF(H74="Cooling",(F74-Inputs!$C$24)*($V$3)/(Inputs!$C$32-Inputs!$C$24),IF(H74="Heating",(Inputs!$C$29-F74)*($V$15)/(Inputs!$C$29-Inputs!$C$33)/$C$53,0))</f>
        <v>#VALUE!</v>
      </c>
      <c r="K74" s="659" t="e">
        <f>IF(I74="Cooling",(F74-Inputs!$D$24)*($V$4)/(Inputs!$C$32-Inputs!$D$24),IF(I74="Heating",(Inputs!$D$29-F74)*($V$16)/(Inputs!$D$29-Inputs!$C$33)/$C$53,0))</f>
        <v>#VALUE!</v>
      </c>
      <c r="L74" s="659"/>
      <c r="M74" s="659" t="e">
        <f t="shared" si="2"/>
        <v>#VALUE!</v>
      </c>
      <c r="N74" s="659" t="e">
        <f t="shared" si="3"/>
        <v>#VALUE!</v>
      </c>
      <c r="O74" s="659" t="e">
        <f t="shared" si="4"/>
        <v>#N/A</v>
      </c>
      <c r="P74" s="659" t="e">
        <f t="shared" si="4"/>
        <v>#N/A</v>
      </c>
      <c r="Q74" s="659" t="e">
        <f t="shared" si="5"/>
        <v>#N/A</v>
      </c>
      <c r="R74" s="730">
        <f t="shared" si="15"/>
        <v>0</v>
      </c>
      <c r="S74" s="730" t="e">
        <f t="shared" si="16"/>
        <v>#VALUE!</v>
      </c>
      <c r="T74" s="701" t="e">
        <f t="shared" si="17"/>
        <v>#N/A</v>
      </c>
      <c r="U74" s="701" t="e">
        <f t="shared" si="18"/>
        <v>#VALUE!</v>
      </c>
      <c r="V74" s="701" t="e">
        <f t="shared" si="6"/>
        <v>#N/A</v>
      </c>
      <c r="W74" s="701" t="e">
        <f t="shared" si="7"/>
        <v>#VALUE!</v>
      </c>
      <c r="X74" s="701" t="e">
        <f t="shared" si="8"/>
        <v>#VALUE!</v>
      </c>
      <c r="Y74" s="731">
        <f t="shared" si="19"/>
        <v>0</v>
      </c>
      <c r="Z74" s="731" t="e">
        <f t="shared" si="20"/>
        <v>#VALUE!</v>
      </c>
      <c r="AA74" s="732" t="e">
        <f t="shared" si="9"/>
        <v>#VALUE!</v>
      </c>
      <c r="AB74" s="732" t="e">
        <f t="shared" si="21"/>
        <v>#VALUE!</v>
      </c>
      <c r="AC74" s="730">
        <f t="shared" si="10"/>
        <v>0</v>
      </c>
      <c r="AD74" s="730">
        <f t="shared" si="10"/>
        <v>0</v>
      </c>
      <c r="AE74" s="701" t="e">
        <f t="shared" si="11"/>
        <v>#VALUE!</v>
      </c>
      <c r="AF74" s="701" t="e">
        <f t="shared" si="12"/>
        <v>#VALUE!</v>
      </c>
      <c r="AG74" s="701" t="e">
        <f t="shared" si="13"/>
        <v>#VALUE!</v>
      </c>
      <c r="AH74" s="701" t="e">
        <f t="shared" si="14"/>
        <v>#VALUE!</v>
      </c>
      <c r="AI74" s="730" t="e">
        <f>AH74+IF(Inputs!C$39="Electric",Q74/3412,0)</f>
        <v>#VALUE!</v>
      </c>
      <c r="AJ74" s="730" t="e">
        <f t="shared" si="22"/>
        <v>#VALUE!</v>
      </c>
      <c r="AK74" s="133"/>
    </row>
    <row r="75" spans="2:37" x14ac:dyDescent="0.2">
      <c r="B75" s="638" t="str">
        <f>IF(OR(Inputs!E$4="Project Application Submission",Inputs!C39="Natural Gas",Inputs!C39="District Steam",Inputs!C39="Oil"),"","Electric Resistance or Electric Furnace")</f>
        <v/>
      </c>
      <c r="C75" s="742">
        <f>IF(B75="",0,100%)</f>
        <v>0</v>
      </c>
      <c r="D75" s="713"/>
      <c r="E75" s="719">
        <v>30</v>
      </c>
      <c r="F75" s="728">
        <v>45</v>
      </c>
      <c r="G75" s="729" t="e">
        <f>HLOOKUP($B$48, 'Weather Data'!$CC$17:$CZ$80,E75,FALSE)</f>
        <v>#N/A</v>
      </c>
      <c r="H75" s="728" t="str">
        <f>IF(F75&gt;=Inputs!$C$24,"Cooling",IF(F75&lt;=Inputs!$C$29,"Heating","Neither"))</f>
        <v>Heating</v>
      </c>
      <c r="I75" s="728" t="e">
        <f>IF(F75&gt;=Inputs!$D$24,"Cooling",IF(F75&lt;=Inputs!$D$29,"Heating","Neither"))</f>
        <v>#VALUE!</v>
      </c>
      <c r="J75" s="659" t="e">
        <f>IF(H75="Cooling",(F75-Inputs!$C$24)*($V$3)/(Inputs!$C$32-Inputs!$C$24),IF(H75="Heating",(Inputs!$C$29-F75)*($V$15)/(Inputs!$C$29-Inputs!$C$33)/$C$53,0))</f>
        <v>#VALUE!</v>
      </c>
      <c r="K75" s="659" t="e">
        <f>IF(I75="Cooling",(F75-Inputs!$D$24)*($V$4)/(Inputs!$C$32-Inputs!$D$24),IF(I75="Heating",(Inputs!$D$29-F75)*($V$16)/(Inputs!$D$29-Inputs!$C$33)/$C$53,0))</f>
        <v>#VALUE!</v>
      </c>
      <c r="L75" s="659"/>
      <c r="M75" s="659" t="e">
        <f t="shared" si="2"/>
        <v>#VALUE!</v>
      </c>
      <c r="N75" s="659" t="e">
        <f t="shared" si="3"/>
        <v>#VALUE!</v>
      </c>
      <c r="O75" s="659" t="e">
        <f t="shared" si="4"/>
        <v>#N/A</v>
      </c>
      <c r="P75" s="659" t="e">
        <f t="shared" si="4"/>
        <v>#N/A</v>
      </c>
      <c r="Q75" s="659" t="e">
        <f t="shared" si="5"/>
        <v>#N/A</v>
      </c>
      <c r="R75" s="730">
        <f t="shared" si="15"/>
        <v>0</v>
      </c>
      <c r="S75" s="730" t="e">
        <f t="shared" si="16"/>
        <v>#VALUE!</v>
      </c>
      <c r="T75" s="701" t="e">
        <f t="shared" si="17"/>
        <v>#N/A</v>
      </c>
      <c r="U75" s="701" t="e">
        <f t="shared" si="18"/>
        <v>#VALUE!</v>
      </c>
      <c r="V75" s="701" t="e">
        <f t="shared" si="6"/>
        <v>#N/A</v>
      </c>
      <c r="W75" s="701" t="e">
        <f t="shared" si="7"/>
        <v>#VALUE!</v>
      </c>
      <c r="X75" s="701" t="e">
        <f t="shared" si="8"/>
        <v>#VALUE!</v>
      </c>
      <c r="Y75" s="731">
        <f t="shared" si="19"/>
        <v>0</v>
      </c>
      <c r="Z75" s="731" t="e">
        <f t="shared" si="20"/>
        <v>#VALUE!</v>
      </c>
      <c r="AA75" s="732" t="e">
        <f t="shared" si="9"/>
        <v>#VALUE!</v>
      </c>
      <c r="AB75" s="732" t="e">
        <f t="shared" si="21"/>
        <v>#VALUE!</v>
      </c>
      <c r="AC75" s="730">
        <f t="shared" si="10"/>
        <v>0</v>
      </c>
      <c r="AD75" s="730">
        <f t="shared" si="10"/>
        <v>0</v>
      </c>
      <c r="AE75" s="701" t="e">
        <f t="shared" si="11"/>
        <v>#VALUE!</v>
      </c>
      <c r="AF75" s="701" t="e">
        <f t="shared" si="12"/>
        <v>#VALUE!</v>
      </c>
      <c r="AG75" s="701" t="e">
        <f t="shared" si="13"/>
        <v>#VALUE!</v>
      </c>
      <c r="AH75" s="701" t="e">
        <f t="shared" si="14"/>
        <v>#VALUE!</v>
      </c>
      <c r="AI75" s="730" t="e">
        <f>AH75+IF(Inputs!C$39="Electric",Q75/3412,0)</f>
        <v>#VALUE!</v>
      </c>
      <c r="AJ75" s="730" t="e">
        <f t="shared" si="22"/>
        <v>#VALUE!</v>
      </c>
      <c r="AK75" s="133"/>
    </row>
    <row r="76" spans="2:37" x14ac:dyDescent="0.2">
      <c r="B76" s="638" t="str">
        <f>IF(OR(Inputs!E$4="Project Application Submission",Inputs!C39="Natural Gas",Inputs!C39="Electric",Inputs!C39="Oil"),"","District Steam")</f>
        <v/>
      </c>
      <c r="C76" s="742">
        <f>IF(B76="",0,100%)</f>
        <v>0</v>
      </c>
      <c r="D76" s="713"/>
      <c r="E76" s="719">
        <v>31</v>
      </c>
      <c r="F76" s="728">
        <v>43</v>
      </c>
      <c r="G76" s="729" t="e">
        <f>HLOOKUP($B$48, 'Weather Data'!$CC$17:$CZ$80,E76,FALSE)</f>
        <v>#N/A</v>
      </c>
      <c r="H76" s="728" t="str">
        <f>IF(F76&gt;=Inputs!$C$24,"Cooling",IF(F76&lt;=Inputs!$C$29,"Heating","Neither"))</f>
        <v>Heating</v>
      </c>
      <c r="I76" s="728" t="e">
        <f>IF(F76&gt;=Inputs!$D$24,"Cooling",IF(F76&lt;=Inputs!$D$29,"Heating","Neither"))</f>
        <v>#VALUE!</v>
      </c>
      <c r="J76" s="659" t="e">
        <f>IF(H76="Cooling",(F76-Inputs!$C$24)*($V$3)/(Inputs!$C$32-Inputs!$C$24),IF(H76="Heating",(Inputs!$C$29-F76)*($V$15)/(Inputs!$C$29-Inputs!$C$33)/$C$53,0))</f>
        <v>#VALUE!</v>
      </c>
      <c r="K76" s="659" t="e">
        <f>IF(I76="Cooling",(F76-Inputs!$D$24)*($V$4)/(Inputs!$C$32-Inputs!$D$24),IF(I76="Heating",(Inputs!$D$29-F76)*($V$16)/(Inputs!$D$29-Inputs!$C$33)/$C$53,0))</f>
        <v>#VALUE!</v>
      </c>
      <c r="L76" s="659"/>
      <c r="M76" s="659" t="e">
        <f t="shared" si="2"/>
        <v>#VALUE!</v>
      </c>
      <c r="N76" s="659" t="e">
        <f t="shared" si="3"/>
        <v>#VALUE!</v>
      </c>
      <c r="O76" s="659" t="e">
        <f t="shared" si="4"/>
        <v>#N/A</v>
      </c>
      <c r="P76" s="659" t="e">
        <f t="shared" si="4"/>
        <v>#N/A</v>
      </c>
      <c r="Q76" s="659" t="e">
        <f t="shared" si="5"/>
        <v>#N/A</v>
      </c>
      <c r="R76" s="730">
        <f t="shared" si="15"/>
        <v>0</v>
      </c>
      <c r="S76" s="730" t="e">
        <f t="shared" si="16"/>
        <v>#VALUE!</v>
      </c>
      <c r="T76" s="701" t="e">
        <f t="shared" si="17"/>
        <v>#N/A</v>
      </c>
      <c r="U76" s="701" t="e">
        <f t="shared" si="18"/>
        <v>#VALUE!</v>
      </c>
      <c r="V76" s="701" t="e">
        <f t="shared" si="6"/>
        <v>#N/A</v>
      </c>
      <c r="W76" s="701" t="e">
        <f t="shared" si="7"/>
        <v>#VALUE!</v>
      </c>
      <c r="X76" s="701" t="e">
        <f t="shared" si="8"/>
        <v>#VALUE!</v>
      </c>
      <c r="Y76" s="731">
        <f t="shared" si="19"/>
        <v>0</v>
      </c>
      <c r="Z76" s="731" t="e">
        <f t="shared" si="20"/>
        <v>#VALUE!</v>
      </c>
      <c r="AA76" s="732" t="e">
        <f t="shared" si="9"/>
        <v>#VALUE!</v>
      </c>
      <c r="AB76" s="732" t="e">
        <f t="shared" si="21"/>
        <v>#VALUE!</v>
      </c>
      <c r="AC76" s="730">
        <f t="shared" si="10"/>
        <v>0</v>
      </c>
      <c r="AD76" s="730">
        <f t="shared" si="10"/>
        <v>0</v>
      </c>
      <c r="AE76" s="701" t="e">
        <f t="shared" si="11"/>
        <v>#VALUE!</v>
      </c>
      <c r="AF76" s="701" t="e">
        <f t="shared" si="12"/>
        <v>#VALUE!</v>
      </c>
      <c r="AG76" s="701" t="e">
        <f t="shared" si="13"/>
        <v>#VALUE!</v>
      </c>
      <c r="AH76" s="701" t="e">
        <f t="shared" si="14"/>
        <v>#VALUE!</v>
      </c>
      <c r="AI76" s="730" t="e">
        <f>AH76+IF(Inputs!C$39="Electric",Q76/3412,0)</f>
        <v>#VALUE!</v>
      </c>
      <c r="AJ76" s="730" t="e">
        <f t="shared" si="22"/>
        <v>#VALUE!</v>
      </c>
      <c r="AK76" s="133"/>
    </row>
    <row r="77" spans="2:37" x14ac:dyDescent="0.2">
      <c r="B77" s="638" t="str">
        <f>IF(NOT(Inputs!C11="New Construction"),"Existing Equipment","")</f>
        <v>Existing Equipment</v>
      </c>
      <c r="C77" s="741">
        <f>Inputs!D76</f>
        <v>0</v>
      </c>
      <c r="D77" s="713"/>
      <c r="E77" s="719">
        <v>32</v>
      </c>
      <c r="F77" s="728">
        <v>41</v>
      </c>
      <c r="G77" s="729" t="e">
        <f>HLOOKUP($B$48, 'Weather Data'!$CC$17:$CZ$80,E77,FALSE)</f>
        <v>#N/A</v>
      </c>
      <c r="H77" s="728" t="str">
        <f>IF(F77&gt;=Inputs!$C$24,"Cooling",IF(F77&lt;=Inputs!$C$29,"Heating","Neither"))</f>
        <v>Heating</v>
      </c>
      <c r="I77" s="728" t="e">
        <f>IF(F77&gt;=Inputs!$D$24,"Cooling",IF(F77&lt;=Inputs!$D$29,"Heating","Neither"))</f>
        <v>#VALUE!</v>
      </c>
      <c r="J77" s="659" t="e">
        <f>IF(H77="Cooling",(F77-Inputs!$C$24)*($V$3)/(Inputs!$C$32-Inputs!$C$24),IF(H77="Heating",(Inputs!$C$29-F77)*($V$15)/(Inputs!$C$29-Inputs!$C$33)/$C$53,0))</f>
        <v>#VALUE!</v>
      </c>
      <c r="K77" s="659" t="e">
        <f>IF(I77="Cooling",(F77-Inputs!$D$24)*($V$4)/(Inputs!$C$32-Inputs!$D$24),IF(I77="Heating",(Inputs!$D$29-F77)*($V$16)/(Inputs!$D$29-Inputs!$C$33)/$C$53,0))</f>
        <v>#VALUE!</v>
      </c>
      <c r="L77" s="659"/>
      <c r="M77" s="659" t="e">
        <f t="shared" si="2"/>
        <v>#VALUE!</v>
      </c>
      <c r="N77" s="659" t="e">
        <f t="shared" si="3"/>
        <v>#VALUE!</v>
      </c>
      <c r="O77" s="659" t="e">
        <f t="shared" si="4"/>
        <v>#N/A</v>
      </c>
      <c r="P77" s="659" t="e">
        <f t="shared" si="4"/>
        <v>#N/A</v>
      </c>
      <c r="Q77" s="659" t="e">
        <f t="shared" si="5"/>
        <v>#N/A</v>
      </c>
      <c r="R77" s="730">
        <f t="shared" si="15"/>
        <v>0</v>
      </c>
      <c r="S77" s="730" t="e">
        <f t="shared" si="16"/>
        <v>#VALUE!</v>
      </c>
      <c r="T77" s="701" t="e">
        <f t="shared" si="17"/>
        <v>#N/A</v>
      </c>
      <c r="U77" s="701" t="e">
        <f t="shared" si="18"/>
        <v>#VALUE!</v>
      </c>
      <c r="V77" s="701" t="e">
        <f t="shared" si="6"/>
        <v>#N/A</v>
      </c>
      <c r="W77" s="701" t="e">
        <f t="shared" si="7"/>
        <v>#VALUE!</v>
      </c>
      <c r="X77" s="701" t="e">
        <f t="shared" si="8"/>
        <v>#VALUE!</v>
      </c>
      <c r="Y77" s="731">
        <f t="shared" si="19"/>
        <v>0</v>
      </c>
      <c r="Z77" s="731" t="e">
        <f t="shared" si="20"/>
        <v>#VALUE!</v>
      </c>
      <c r="AA77" s="732" t="e">
        <f t="shared" si="9"/>
        <v>#VALUE!</v>
      </c>
      <c r="AB77" s="732" t="e">
        <f t="shared" si="21"/>
        <v>#VALUE!</v>
      </c>
      <c r="AC77" s="730">
        <f t="shared" si="10"/>
        <v>0</v>
      </c>
      <c r="AD77" s="730">
        <f t="shared" si="10"/>
        <v>0</v>
      </c>
      <c r="AE77" s="701" t="e">
        <f t="shared" si="11"/>
        <v>#VALUE!</v>
      </c>
      <c r="AF77" s="701" t="e">
        <f t="shared" si="12"/>
        <v>#VALUE!</v>
      </c>
      <c r="AG77" s="701" t="e">
        <f t="shared" si="13"/>
        <v>#VALUE!</v>
      </c>
      <c r="AH77" s="701" t="e">
        <f t="shared" si="14"/>
        <v>#VALUE!</v>
      </c>
      <c r="AI77" s="730" t="e">
        <f>AH77+IF(Inputs!C$39="Electric",Q77/3412,0)</f>
        <v>#VALUE!</v>
      </c>
      <c r="AJ77" s="730" t="e">
        <f t="shared" si="22"/>
        <v>#VALUE!</v>
      </c>
      <c r="AK77" s="133"/>
    </row>
    <row r="78" spans="2:37" x14ac:dyDescent="0.2">
      <c r="B78" s="638"/>
      <c r="C78" s="638"/>
      <c r="D78" s="713"/>
      <c r="E78" s="719">
        <v>33</v>
      </c>
      <c r="F78" s="728">
        <v>39</v>
      </c>
      <c r="G78" s="729" t="e">
        <f>HLOOKUP($B$48, 'Weather Data'!$CC$17:$CZ$80,E78,FALSE)</f>
        <v>#N/A</v>
      </c>
      <c r="H78" s="728" t="str">
        <f>IF(F78&gt;=Inputs!$C$24,"Cooling",IF(F78&lt;=Inputs!$C$29,"Heating","Neither"))</f>
        <v>Heating</v>
      </c>
      <c r="I78" s="728" t="e">
        <f>IF(F78&gt;=Inputs!$D$24,"Cooling",IF(F78&lt;=Inputs!$D$29,"Heating","Neither"))</f>
        <v>#VALUE!</v>
      </c>
      <c r="J78" s="659" t="e">
        <f>IF(H78="Cooling",(F78-Inputs!$C$24)*($V$3)/(Inputs!$C$32-Inputs!$C$24),IF(H78="Heating",(Inputs!$C$29-F78)*($V$15)/(Inputs!$C$29-Inputs!$C$33)/$C$53,0))</f>
        <v>#VALUE!</v>
      </c>
      <c r="K78" s="659" t="e">
        <f>IF(I78="Cooling",(F78-Inputs!$D$24)*($V$4)/(Inputs!$C$32-Inputs!$D$24),IF(I78="Heating",(Inputs!$D$29-F78)*($V$16)/(Inputs!$D$29-Inputs!$C$33)/$C$53,0))</f>
        <v>#VALUE!</v>
      </c>
      <c r="L78" s="659"/>
      <c r="M78" s="659" t="e">
        <f t="shared" si="2"/>
        <v>#VALUE!</v>
      </c>
      <c r="N78" s="659" t="e">
        <f t="shared" si="3"/>
        <v>#VALUE!</v>
      </c>
      <c r="O78" s="659" t="e">
        <f t="shared" si="4"/>
        <v>#N/A</v>
      </c>
      <c r="P78" s="659" t="e">
        <f t="shared" si="4"/>
        <v>#N/A</v>
      </c>
      <c r="Q78" s="659" t="e">
        <f t="shared" si="5"/>
        <v>#N/A</v>
      </c>
      <c r="R78" s="730">
        <f t="shared" si="15"/>
        <v>0</v>
      </c>
      <c r="S78" s="730" t="e">
        <f t="shared" si="16"/>
        <v>#VALUE!</v>
      </c>
      <c r="T78" s="701" t="e">
        <f t="shared" si="17"/>
        <v>#N/A</v>
      </c>
      <c r="U78" s="701" t="e">
        <f t="shared" si="18"/>
        <v>#VALUE!</v>
      </c>
      <c r="V78" s="701" t="e">
        <f t="shared" si="6"/>
        <v>#N/A</v>
      </c>
      <c r="W78" s="701" t="e">
        <f t="shared" si="7"/>
        <v>#VALUE!</v>
      </c>
      <c r="X78" s="701" t="e">
        <f t="shared" si="8"/>
        <v>#VALUE!</v>
      </c>
      <c r="Y78" s="731">
        <f t="shared" si="19"/>
        <v>0</v>
      </c>
      <c r="Z78" s="731" t="e">
        <f t="shared" si="20"/>
        <v>#VALUE!</v>
      </c>
      <c r="AA78" s="732" t="e">
        <f t="shared" si="9"/>
        <v>#VALUE!</v>
      </c>
      <c r="AB78" s="732" t="e">
        <f t="shared" si="21"/>
        <v>#VALUE!</v>
      </c>
      <c r="AC78" s="730">
        <f t="shared" si="10"/>
        <v>0</v>
      </c>
      <c r="AD78" s="730">
        <f t="shared" si="10"/>
        <v>0</v>
      </c>
      <c r="AE78" s="701" t="e">
        <f t="shared" si="11"/>
        <v>#VALUE!</v>
      </c>
      <c r="AF78" s="701" t="e">
        <f t="shared" si="12"/>
        <v>#VALUE!</v>
      </c>
      <c r="AG78" s="701" t="e">
        <f t="shared" si="13"/>
        <v>#VALUE!</v>
      </c>
      <c r="AH78" s="701" t="e">
        <f t="shared" si="14"/>
        <v>#VALUE!</v>
      </c>
      <c r="AI78" s="730" t="e">
        <f>AH78+IF(Inputs!C$39="Electric",Q78/3412,0)</f>
        <v>#VALUE!</v>
      </c>
      <c r="AJ78" s="730" t="e">
        <f t="shared" si="22"/>
        <v>#VALUE!</v>
      </c>
      <c r="AK78" s="133"/>
    </row>
    <row r="79" spans="2:37" x14ac:dyDescent="0.2">
      <c r="B79" s="638"/>
      <c r="C79" s="638"/>
      <c r="D79" s="713"/>
      <c r="E79" s="719">
        <v>34</v>
      </c>
      <c r="F79" s="728">
        <v>37</v>
      </c>
      <c r="G79" s="729" t="e">
        <f>HLOOKUP($B$48, 'Weather Data'!$CC$17:$CZ$80,E79,FALSE)</f>
        <v>#N/A</v>
      </c>
      <c r="H79" s="728" t="str">
        <f>IF(F79&gt;=Inputs!$C$24,"Cooling",IF(F79&lt;=Inputs!$C$29,"Heating","Neither"))</f>
        <v>Heating</v>
      </c>
      <c r="I79" s="728" t="e">
        <f>IF(F79&gt;=Inputs!$D$24,"Cooling",IF(F79&lt;=Inputs!$D$29,"Heating","Neither"))</f>
        <v>#VALUE!</v>
      </c>
      <c r="J79" s="659" t="e">
        <f>IF(H79="Cooling",(F79-Inputs!$C$24)*($V$3)/(Inputs!$C$32-Inputs!$C$24),IF(H79="Heating",(Inputs!$C$29-F79)*($V$15)/(Inputs!$C$29-Inputs!$C$33)/$C$53,0))</f>
        <v>#VALUE!</v>
      </c>
      <c r="K79" s="659" t="e">
        <f>IF(I79="Cooling",(F79-Inputs!$D$24)*($V$4)/(Inputs!$C$32-Inputs!$D$24),IF(I79="Heating",(Inputs!$D$29-F79)*($V$16)/(Inputs!$D$29-Inputs!$C$33)/$C$53,0))</f>
        <v>#VALUE!</v>
      </c>
      <c r="L79" s="659"/>
      <c r="M79" s="659" t="e">
        <f t="shared" si="2"/>
        <v>#VALUE!</v>
      </c>
      <c r="N79" s="659" t="e">
        <f t="shared" si="3"/>
        <v>#VALUE!</v>
      </c>
      <c r="O79" s="659" t="e">
        <f t="shared" ref="O79:P109" si="26">$G79*M79/$Q$39</f>
        <v>#N/A</v>
      </c>
      <c r="P79" s="659" t="e">
        <f t="shared" si="26"/>
        <v>#N/A</v>
      </c>
      <c r="Q79" s="659" t="e">
        <f t="shared" si="5"/>
        <v>#N/A</v>
      </c>
      <c r="R79" s="730">
        <f t="shared" si="15"/>
        <v>0</v>
      </c>
      <c r="S79" s="730" t="e">
        <f t="shared" si="16"/>
        <v>#VALUE!</v>
      </c>
      <c r="T79" s="701" t="e">
        <f t="shared" si="17"/>
        <v>#N/A</v>
      </c>
      <c r="U79" s="701" t="e">
        <f t="shared" si="18"/>
        <v>#VALUE!</v>
      </c>
      <c r="V79" s="701" t="e">
        <f t="shared" si="6"/>
        <v>#N/A</v>
      </c>
      <c r="W79" s="701" t="e">
        <f t="shared" si="7"/>
        <v>#VALUE!</v>
      </c>
      <c r="X79" s="701" t="e">
        <f t="shared" si="8"/>
        <v>#VALUE!</v>
      </c>
      <c r="Y79" s="731">
        <f t="shared" si="19"/>
        <v>0</v>
      </c>
      <c r="Z79" s="731" t="e">
        <f t="shared" si="20"/>
        <v>#VALUE!</v>
      </c>
      <c r="AA79" s="732" t="e">
        <f t="shared" si="9"/>
        <v>#VALUE!</v>
      </c>
      <c r="AB79" s="732" t="e">
        <f t="shared" si="21"/>
        <v>#VALUE!</v>
      </c>
      <c r="AC79" s="730">
        <f t="shared" ref="AC79:AD109" si="27">IFERROR($Q$37/Y79/AA79,0)</f>
        <v>0</v>
      </c>
      <c r="AD79" s="730">
        <f t="shared" si="27"/>
        <v>0</v>
      </c>
      <c r="AE79" s="701" t="e">
        <f t="shared" si="11"/>
        <v>#VALUE!</v>
      </c>
      <c r="AF79" s="701" t="e">
        <f t="shared" si="12"/>
        <v>#VALUE!</v>
      </c>
      <c r="AG79" s="701" t="e">
        <f t="shared" si="13"/>
        <v>#VALUE!</v>
      </c>
      <c r="AH79" s="701" t="e">
        <f t="shared" si="14"/>
        <v>#VALUE!</v>
      </c>
      <c r="AI79" s="730" t="e">
        <f>AH79+IF(Inputs!C$39="Electric",Q79/3412,0)</f>
        <v>#VALUE!</v>
      </c>
      <c r="AJ79" s="730" t="e">
        <f t="shared" si="22"/>
        <v>#VALUE!</v>
      </c>
      <c r="AK79" s="133"/>
    </row>
    <row r="80" spans="2:37" x14ac:dyDescent="0.2">
      <c r="B80" s="648"/>
      <c r="C80" s="648"/>
      <c r="D80" s="713"/>
      <c r="E80" s="719">
        <v>35</v>
      </c>
      <c r="F80" s="728">
        <v>35</v>
      </c>
      <c r="G80" s="729" t="e">
        <f>HLOOKUP($B$48, 'Weather Data'!$CC$17:$CZ$80,E80,FALSE)</f>
        <v>#N/A</v>
      </c>
      <c r="H80" s="728" t="str">
        <f>IF(F80&gt;=Inputs!$C$24,"Cooling",IF(F80&lt;=Inputs!$C$29,"Heating","Neither"))</f>
        <v>Heating</v>
      </c>
      <c r="I80" s="728" t="e">
        <f>IF(F80&gt;=Inputs!$D$24,"Cooling",IF(F80&lt;=Inputs!$D$29,"Heating","Neither"))</f>
        <v>#VALUE!</v>
      </c>
      <c r="J80" s="659" t="e">
        <f>IF(H80="Cooling",(F80-Inputs!$C$24)*($V$3)/(Inputs!$C$32-Inputs!$C$24),IF(H80="Heating",(Inputs!$C$29-F80)*($V$15)/(Inputs!$C$29-Inputs!$C$33)/$C$53,0))</f>
        <v>#VALUE!</v>
      </c>
      <c r="K80" s="659" t="e">
        <f>IF(I80="Cooling",(F80-Inputs!$D$24)*($V$4)/(Inputs!$C$32-Inputs!$D$24),IF(I80="Heating",(Inputs!$D$29-F80)*($V$16)/(Inputs!$D$29-Inputs!$C$33)/$C$53,0))</f>
        <v>#VALUE!</v>
      </c>
      <c r="L80" s="659"/>
      <c r="M80" s="659" t="e">
        <f t="shared" si="2"/>
        <v>#VALUE!</v>
      </c>
      <c r="N80" s="659" t="e">
        <f t="shared" si="3"/>
        <v>#VALUE!</v>
      </c>
      <c r="O80" s="659" t="e">
        <f t="shared" si="26"/>
        <v>#N/A</v>
      </c>
      <c r="P80" s="659" t="e">
        <f t="shared" si="26"/>
        <v>#N/A</v>
      </c>
      <c r="Q80" s="659" t="e">
        <f t="shared" si="5"/>
        <v>#N/A</v>
      </c>
      <c r="R80" s="730">
        <f t="shared" si="15"/>
        <v>0</v>
      </c>
      <c r="S80" s="730" t="e">
        <f t="shared" si="16"/>
        <v>#VALUE!</v>
      </c>
      <c r="T80" s="701" t="e">
        <f t="shared" si="17"/>
        <v>#N/A</v>
      </c>
      <c r="U80" s="701" t="e">
        <f t="shared" si="18"/>
        <v>#VALUE!</v>
      </c>
      <c r="V80" s="701" t="e">
        <f t="shared" si="6"/>
        <v>#N/A</v>
      </c>
      <c r="W80" s="701" t="e">
        <f t="shared" si="7"/>
        <v>#VALUE!</v>
      </c>
      <c r="X80" s="701" t="e">
        <f t="shared" si="8"/>
        <v>#VALUE!</v>
      </c>
      <c r="Y80" s="731">
        <f t="shared" si="19"/>
        <v>0</v>
      </c>
      <c r="Z80" s="731" t="e">
        <f t="shared" si="20"/>
        <v>#VALUE!</v>
      </c>
      <c r="AA80" s="732" t="e">
        <f t="shared" si="9"/>
        <v>#VALUE!</v>
      </c>
      <c r="AB80" s="732" t="e">
        <f t="shared" si="21"/>
        <v>#VALUE!</v>
      </c>
      <c r="AC80" s="730">
        <f t="shared" si="27"/>
        <v>0</v>
      </c>
      <c r="AD80" s="730">
        <f t="shared" si="27"/>
        <v>0</v>
      </c>
      <c r="AE80" s="701" t="e">
        <f t="shared" si="11"/>
        <v>#VALUE!</v>
      </c>
      <c r="AF80" s="701" t="e">
        <f t="shared" si="12"/>
        <v>#VALUE!</v>
      </c>
      <c r="AG80" s="701" t="e">
        <f t="shared" si="13"/>
        <v>#VALUE!</v>
      </c>
      <c r="AH80" s="701" t="e">
        <f t="shared" si="14"/>
        <v>#VALUE!</v>
      </c>
      <c r="AI80" s="730" t="e">
        <f>AH80+IF(Inputs!C$39="Electric",Q80/3412,0)</f>
        <v>#VALUE!</v>
      </c>
      <c r="AJ80" s="730" t="e">
        <f t="shared" si="22"/>
        <v>#VALUE!</v>
      </c>
      <c r="AK80" s="133"/>
    </row>
    <row r="81" spans="4:37" x14ac:dyDescent="0.2">
      <c r="D81" s="713"/>
      <c r="E81" s="719">
        <v>36</v>
      </c>
      <c r="F81" s="728">
        <v>33</v>
      </c>
      <c r="G81" s="729" t="e">
        <f>HLOOKUP($B$48, 'Weather Data'!$CC$17:$CZ$80,E81,FALSE)</f>
        <v>#N/A</v>
      </c>
      <c r="H81" s="728" t="str">
        <f>IF(F81&gt;=Inputs!$C$24,"Cooling",IF(F81&lt;=Inputs!$C$29,"Heating","Neither"))</f>
        <v>Heating</v>
      </c>
      <c r="I81" s="728" t="e">
        <f>IF(F81&gt;=Inputs!$D$24,"Cooling",IF(F81&lt;=Inputs!$D$29,"Heating","Neither"))</f>
        <v>#VALUE!</v>
      </c>
      <c r="J81" s="659" t="e">
        <f>IF(H81="Cooling",(F81-Inputs!$C$24)*($V$3)/(Inputs!$C$32-Inputs!$C$24),IF(H81="Heating",(Inputs!$C$29-F81)*($V$15)/(Inputs!$C$29-Inputs!$C$33)/$C$53,0))</f>
        <v>#VALUE!</v>
      </c>
      <c r="K81" s="659" t="e">
        <f>IF(I81="Cooling",(F81-Inputs!$D$24)*($V$4)/(Inputs!$C$32-Inputs!$D$24),IF(I81="Heating",(Inputs!$D$29-F81)*($V$16)/(Inputs!$D$29-Inputs!$C$33)/$C$53,0))</f>
        <v>#VALUE!</v>
      </c>
      <c r="L81" s="659"/>
      <c r="M81" s="659" t="e">
        <f t="shared" si="2"/>
        <v>#VALUE!</v>
      </c>
      <c r="N81" s="659" t="e">
        <f t="shared" si="3"/>
        <v>#VALUE!</v>
      </c>
      <c r="O81" s="659" t="e">
        <f t="shared" si="26"/>
        <v>#N/A</v>
      </c>
      <c r="P81" s="659" t="e">
        <f t="shared" si="26"/>
        <v>#N/A</v>
      </c>
      <c r="Q81" s="659" t="e">
        <f t="shared" si="5"/>
        <v>#N/A</v>
      </c>
      <c r="R81" s="730">
        <f t="shared" si="15"/>
        <v>0</v>
      </c>
      <c r="S81" s="730" t="e">
        <f t="shared" si="16"/>
        <v>#VALUE!</v>
      </c>
      <c r="T81" s="701" t="e">
        <f t="shared" si="17"/>
        <v>#N/A</v>
      </c>
      <c r="U81" s="701" t="e">
        <f t="shared" si="18"/>
        <v>#VALUE!</v>
      </c>
      <c r="V81" s="701" t="e">
        <f t="shared" si="6"/>
        <v>#N/A</v>
      </c>
      <c r="W81" s="701" t="e">
        <f t="shared" si="7"/>
        <v>#VALUE!</v>
      </c>
      <c r="X81" s="701" t="e">
        <f t="shared" si="8"/>
        <v>#VALUE!</v>
      </c>
      <c r="Y81" s="731">
        <f t="shared" si="19"/>
        <v>0</v>
      </c>
      <c r="Z81" s="731" t="e">
        <f t="shared" si="20"/>
        <v>#VALUE!</v>
      </c>
      <c r="AA81" s="732" t="e">
        <f t="shared" si="9"/>
        <v>#VALUE!</v>
      </c>
      <c r="AB81" s="732" t="e">
        <f t="shared" si="21"/>
        <v>#VALUE!</v>
      </c>
      <c r="AC81" s="730">
        <f t="shared" si="27"/>
        <v>0</v>
      </c>
      <c r="AD81" s="730">
        <f t="shared" si="27"/>
        <v>0</v>
      </c>
      <c r="AE81" s="701" t="e">
        <f t="shared" si="11"/>
        <v>#VALUE!</v>
      </c>
      <c r="AF81" s="701" t="e">
        <f t="shared" si="12"/>
        <v>#VALUE!</v>
      </c>
      <c r="AG81" s="701" t="e">
        <f t="shared" si="13"/>
        <v>#VALUE!</v>
      </c>
      <c r="AH81" s="701" t="e">
        <f t="shared" si="14"/>
        <v>#VALUE!</v>
      </c>
      <c r="AI81" s="730" t="e">
        <f>AH81+IF(Inputs!C$39="Electric",Q81/3412,0)</f>
        <v>#VALUE!</v>
      </c>
      <c r="AJ81" s="730" t="e">
        <f t="shared" si="22"/>
        <v>#VALUE!</v>
      </c>
      <c r="AK81" s="133"/>
    </row>
    <row r="82" spans="4:37" x14ac:dyDescent="0.2">
      <c r="D82" s="713"/>
      <c r="E82" s="719">
        <v>37</v>
      </c>
      <c r="F82" s="728">
        <v>31</v>
      </c>
      <c r="G82" s="729" t="e">
        <f>HLOOKUP($B$48, 'Weather Data'!$CC$17:$CZ$80,E82,FALSE)</f>
        <v>#N/A</v>
      </c>
      <c r="H82" s="728" t="str">
        <f>IF(F82&gt;=Inputs!$C$24,"Cooling",IF(F82&lt;=Inputs!$C$29,"Heating","Neither"))</f>
        <v>Heating</v>
      </c>
      <c r="I82" s="728" t="e">
        <f>IF(F82&gt;=Inputs!$D$24,"Cooling",IF(F82&lt;=Inputs!$D$29,"Heating","Neither"))</f>
        <v>#VALUE!</v>
      </c>
      <c r="J82" s="659" t="e">
        <f>IF(H82="Cooling",(F82-Inputs!$C$24)*($V$3)/(Inputs!$C$32-Inputs!$C$24),IF(H82="Heating",(Inputs!$C$29-F82)*($V$15)/(Inputs!$C$29-Inputs!$C$33)/$C$53,0))</f>
        <v>#VALUE!</v>
      </c>
      <c r="K82" s="659" t="e">
        <f>IF(I82="Cooling",(F82-Inputs!$D$24)*($V$4)/(Inputs!$C$32-Inputs!$D$24),IF(I82="Heating",(Inputs!$D$29-F82)*($V$16)/(Inputs!$D$29-Inputs!$C$33)/$C$53,0))</f>
        <v>#VALUE!</v>
      </c>
      <c r="L82" s="659"/>
      <c r="M82" s="659" t="e">
        <f t="shared" si="2"/>
        <v>#VALUE!</v>
      </c>
      <c r="N82" s="659" t="e">
        <f t="shared" si="3"/>
        <v>#VALUE!</v>
      </c>
      <c r="O82" s="659" t="e">
        <f t="shared" si="26"/>
        <v>#N/A</v>
      </c>
      <c r="P82" s="659" t="e">
        <f t="shared" si="26"/>
        <v>#N/A</v>
      </c>
      <c r="Q82" s="659" t="e">
        <f t="shared" si="5"/>
        <v>#N/A</v>
      </c>
      <c r="R82" s="730">
        <f t="shared" si="15"/>
        <v>0</v>
      </c>
      <c r="S82" s="730" t="e">
        <f t="shared" si="16"/>
        <v>#VALUE!</v>
      </c>
      <c r="T82" s="701" t="e">
        <f t="shared" si="17"/>
        <v>#N/A</v>
      </c>
      <c r="U82" s="701" t="e">
        <f t="shared" si="18"/>
        <v>#VALUE!</v>
      </c>
      <c r="V82" s="701" t="e">
        <f t="shared" si="6"/>
        <v>#N/A</v>
      </c>
      <c r="W82" s="701" t="e">
        <f t="shared" si="7"/>
        <v>#VALUE!</v>
      </c>
      <c r="X82" s="701" t="e">
        <f t="shared" si="8"/>
        <v>#VALUE!</v>
      </c>
      <c r="Y82" s="731">
        <f t="shared" si="19"/>
        <v>0</v>
      </c>
      <c r="Z82" s="731" t="e">
        <f t="shared" si="20"/>
        <v>#VALUE!</v>
      </c>
      <c r="AA82" s="732" t="e">
        <f t="shared" si="9"/>
        <v>#VALUE!</v>
      </c>
      <c r="AB82" s="732" t="e">
        <f t="shared" si="21"/>
        <v>#VALUE!</v>
      </c>
      <c r="AC82" s="730">
        <f t="shared" si="27"/>
        <v>0</v>
      </c>
      <c r="AD82" s="730">
        <f t="shared" si="27"/>
        <v>0</v>
      </c>
      <c r="AE82" s="701" t="e">
        <f t="shared" si="11"/>
        <v>#VALUE!</v>
      </c>
      <c r="AF82" s="701" t="e">
        <f t="shared" si="12"/>
        <v>#VALUE!</v>
      </c>
      <c r="AG82" s="701" t="e">
        <f t="shared" si="13"/>
        <v>#VALUE!</v>
      </c>
      <c r="AH82" s="701" t="e">
        <f t="shared" si="14"/>
        <v>#VALUE!</v>
      </c>
      <c r="AI82" s="730" t="e">
        <f>AH82+IF(Inputs!C$39="Electric",Q82/3412,0)</f>
        <v>#VALUE!</v>
      </c>
      <c r="AJ82" s="730" t="e">
        <f t="shared" si="22"/>
        <v>#VALUE!</v>
      </c>
      <c r="AK82" s="133"/>
    </row>
    <row r="83" spans="4:37" x14ac:dyDescent="0.2">
      <c r="D83" s="713"/>
      <c r="E83" s="719">
        <v>38</v>
      </c>
      <c r="F83" s="728">
        <v>29</v>
      </c>
      <c r="G83" s="729" t="e">
        <f>HLOOKUP($B$48, 'Weather Data'!$CC$17:$CZ$80,E83,FALSE)</f>
        <v>#N/A</v>
      </c>
      <c r="H83" s="728" t="str">
        <f>IF(F83&gt;=Inputs!$C$24,"Cooling",IF(F83&lt;=Inputs!$C$29,"Heating","Neither"))</f>
        <v>Heating</v>
      </c>
      <c r="I83" s="728" t="e">
        <f>IF(F83&gt;=Inputs!$D$24,"Cooling",IF(F83&lt;=Inputs!$D$29,"Heating","Neither"))</f>
        <v>#VALUE!</v>
      </c>
      <c r="J83" s="659" t="e">
        <f>IF(H83="Cooling",(F83-Inputs!$C$24)*($V$3)/(Inputs!$C$32-Inputs!$C$24),IF(H83="Heating",(Inputs!$C$29-F83)*($V$15)/(Inputs!$C$29-Inputs!$C$33)/$C$53,0))</f>
        <v>#VALUE!</v>
      </c>
      <c r="K83" s="659" t="e">
        <f>IF(I83="Cooling",(F83-Inputs!$D$24)*($V$4)/(Inputs!$C$32-Inputs!$D$24),IF(I83="Heating",(Inputs!$D$29-F83)*($V$16)/(Inputs!$D$29-Inputs!$C$33)/$C$53,0))</f>
        <v>#VALUE!</v>
      </c>
      <c r="L83" s="659"/>
      <c r="M83" s="659" t="e">
        <f t="shared" si="2"/>
        <v>#VALUE!</v>
      </c>
      <c r="N83" s="659" t="e">
        <f t="shared" si="3"/>
        <v>#VALUE!</v>
      </c>
      <c r="O83" s="659" t="e">
        <f t="shared" si="26"/>
        <v>#N/A</v>
      </c>
      <c r="P83" s="659" t="e">
        <f t="shared" si="26"/>
        <v>#N/A</v>
      </c>
      <c r="Q83" s="659" t="e">
        <f t="shared" si="5"/>
        <v>#N/A</v>
      </c>
      <c r="R83" s="730">
        <f t="shared" si="15"/>
        <v>0</v>
      </c>
      <c r="S83" s="730" t="e">
        <f t="shared" si="16"/>
        <v>#VALUE!</v>
      </c>
      <c r="T83" s="701" t="e">
        <f t="shared" si="17"/>
        <v>#N/A</v>
      </c>
      <c r="U83" s="701" t="e">
        <f t="shared" si="18"/>
        <v>#VALUE!</v>
      </c>
      <c r="V83" s="701" t="e">
        <f t="shared" si="6"/>
        <v>#N/A</v>
      </c>
      <c r="W83" s="701" t="e">
        <f t="shared" si="7"/>
        <v>#VALUE!</v>
      </c>
      <c r="X83" s="701" t="e">
        <f t="shared" si="8"/>
        <v>#VALUE!</v>
      </c>
      <c r="Y83" s="731">
        <f t="shared" si="19"/>
        <v>0</v>
      </c>
      <c r="Z83" s="731" t="e">
        <f t="shared" si="20"/>
        <v>#VALUE!</v>
      </c>
      <c r="AA83" s="732" t="e">
        <f t="shared" si="9"/>
        <v>#VALUE!</v>
      </c>
      <c r="AB83" s="732" t="e">
        <f t="shared" si="21"/>
        <v>#VALUE!</v>
      </c>
      <c r="AC83" s="730">
        <f t="shared" si="27"/>
        <v>0</v>
      </c>
      <c r="AD83" s="730">
        <f t="shared" si="27"/>
        <v>0</v>
      </c>
      <c r="AE83" s="701" t="e">
        <f t="shared" si="11"/>
        <v>#VALUE!</v>
      </c>
      <c r="AF83" s="701" t="e">
        <f t="shared" si="12"/>
        <v>#VALUE!</v>
      </c>
      <c r="AG83" s="701" t="e">
        <f t="shared" si="13"/>
        <v>#VALUE!</v>
      </c>
      <c r="AH83" s="701" t="e">
        <f t="shared" si="14"/>
        <v>#VALUE!</v>
      </c>
      <c r="AI83" s="730" t="e">
        <f>AH83+IF(Inputs!C$39="Electric",Q83/3412,0)</f>
        <v>#VALUE!</v>
      </c>
      <c r="AJ83" s="730" t="e">
        <f t="shared" si="22"/>
        <v>#VALUE!</v>
      </c>
      <c r="AK83" s="133"/>
    </row>
    <row r="84" spans="4:37" x14ac:dyDescent="0.2">
      <c r="D84" s="713"/>
      <c r="E84" s="719">
        <v>39</v>
      </c>
      <c r="F84" s="728">
        <v>27</v>
      </c>
      <c r="G84" s="729" t="e">
        <f>HLOOKUP($B$48, 'Weather Data'!$CC$17:$CZ$80,E84,FALSE)</f>
        <v>#N/A</v>
      </c>
      <c r="H84" s="728" t="str">
        <f>IF(F84&gt;=Inputs!$C$24,"Cooling",IF(F84&lt;=Inputs!$C$29,"Heating","Neither"))</f>
        <v>Heating</v>
      </c>
      <c r="I84" s="728" t="e">
        <f>IF(F84&gt;=Inputs!$D$24,"Cooling",IF(F84&lt;=Inputs!$D$29,"Heating","Neither"))</f>
        <v>#VALUE!</v>
      </c>
      <c r="J84" s="659" t="e">
        <f>IF(H84="Cooling",(F84-Inputs!$C$24)*($V$3)/(Inputs!$C$32-Inputs!$C$24),IF(H84="Heating",(Inputs!$C$29-F84)*($V$15)/(Inputs!$C$29-Inputs!$C$33)/$C$53,0))</f>
        <v>#VALUE!</v>
      </c>
      <c r="K84" s="659" t="e">
        <f>IF(I84="Cooling",(F84-Inputs!$D$24)*($V$4)/(Inputs!$C$32-Inputs!$D$24),IF(I84="Heating",(Inputs!$D$29-F84)*($V$16)/(Inputs!$D$29-Inputs!$C$33)/$C$53,0))</f>
        <v>#VALUE!</v>
      </c>
      <c r="L84" s="659"/>
      <c r="M84" s="659" t="e">
        <f t="shared" si="2"/>
        <v>#VALUE!</v>
      </c>
      <c r="N84" s="659" t="e">
        <f t="shared" si="3"/>
        <v>#VALUE!</v>
      </c>
      <c r="O84" s="659" t="e">
        <f t="shared" si="26"/>
        <v>#N/A</v>
      </c>
      <c r="P84" s="659" t="e">
        <f t="shared" si="26"/>
        <v>#N/A</v>
      </c>
      <c r="Q84" s="659" t="e">
        <f t="shared" si="5"/>
        <v>#N/A</v>
      </c>
      <c r="R84" s="730">
        <f t="shared" si="15"/>
        <v>0</v>
      </c>
      <c r="S84" s="730" t="e">
        <f t="shared" si="16"/>
        <v>#VALUE!</v>
      </c>
      <c r="T84" s="701" t="e">
        <f t="shared" si="17"/>
        <v>#N/A</v>
      </c>
      <c r="U84" s="701" t="e">
        <f t="shared" si="18"/>
        <v>#VALUE!</v>
      </c>
      <c r="V84" s="701" t="e">
        <f t="shared" si="6"/>
        <v>#N/A</v>
      </c>
      <c r="W84" s="701" t="e">
        <f t="shared" si="7"/>
        <v>#VALUE!</v>
      </c>
      <c r="X84" s="701" t="e">
        <f t="shared" si="8"/>
        <v>#VALUE!</v>
      </c>
      <c r="Y84" s="731">
        <f t="shared" si="19"/>
        <v>0</v>
      </c>
      <c r="Z84" s="731" t="e">
        <f t="shared" si="20"/>
        <v>#VALUE!</v>
      </c>
      <c r="AA84" s="732" t="e">
        <f t="shared" si="9"/>
        <v>#VALUE!</v>
      </c>
      <c r="AB84" s="732" t="e">
        <f t="shared" si="21"/>
        <v>#VALUE!</v>
      </c>
      <c r="AC84" s="730">
        <f t="shared" si="27"/>
        <v>0</v>
      </c>
      <c r="AD84" s="730">
        <f t="shared" si="27"/>
        <v>0</v>
      </c>
      <c r="AE84" s="701" t="e">
        <f t="shared" si="11"/>
        <v>#VALUE!</v>
      </c>
      <c r="AF84" s="701" t="e">
        <f t="shared" si="12"/>
        <v>#VALUE!</v>
      </c>
      <c r="AG84" s="701" t="e">
        <f t="shared" si="13"/>
        <v>#VALUE!</v>
      </c>
      <c r="AH84" s="701" t="e">
        <f t="shared" si="14"/>
        <v>#VALUE!</v>
      </c>
      <c r="AI84" s="730" t="e">
        <f>AH84+IF(Inputs!C$39="Electric",Q84/3412,0)</f>
        <v>#VALUE!</v>
      </c>
      <c r="AJ84" s="730" t="e">
        <f t="shared" si="22"/>
        <v>#VALUE!</v>
      </c>
      <c r="AK84" s="133"/>
    </row>
    <row r="85" spans="4:37" x14ac:dyDescent="0.2">
      <c r="D85" s="713"/>
      <c r="E85" s="719">
        <v>40</v>
      </c>
      <c r="F85" s="728">
        <v>25</v>
      </c>
      <c r="G85" s="729" t="e">
        <f>HLOOKUP($B$48, 'Weather Data'!$CC$17:$CZ$80,E85,FALSE)</f>
        <v>#N/A</v>
      </c>
      <c r="H85" s="728" t="str">
        <f>IF(F85&gt;=Inputs!$C$24,"Cooling",IF(F85&lt;=Inputs!$C$29,"Heating","Neither"))</f>
        <v>Heating</v>
      </c>
      <c r="I85" s="728" t="e">
        <f>IF(F85&gt;=Inputs!$D$24,"Cooling",IF(F85&lt;=Inputs!$D$29,"Heating","Neither"))</f>
        <v>#VALUE!</v>
      </c>
      <c r="J85" s="659" t="e">
        <f>IF(H85="Cooling",(F85-Inputs!$C$24)*($V$3)/(Inputs!$C$32-Inputs!$C$24),IF(H85="Heating",(Inputs!$C$29-F85)*($V$15)/(Inputs!$C$29-Inputs!$C$33)/$C$53,0))</f>
        <v>#VALUE!</v>
      </c>
      <c r="K85" s="659" t="e">
        <f>IF(I85="Cooling",(F85-Inputs!$D$24)*($V$4)/(Inputs!$C$32-Inputs!$D$24),IF(I85="Heating",(Inputs!$D$29-F85)*($V$16)/(Inputs!$D$29-Inputs!$C$33)/$C$53,0))</f>
        <v>#VALUE!</v>
      </c>
      <c r="L85" s="659"/>
      <c r="M85" s="659" t="e">
        <f t="shared" si="2"/>
        <v>#VALUE!</v>
      </c>
      <c r="N85" s="659" t="e">
        <f t="shared" si="3"/>
        <v>#VALUE!</v>
      </c>
      <c r="O85" s="659" t="e">
        <f t="shared" si="26"/>
        <v>#N/A</v>
      </c>
      <c r="P85" s="659" t="e">
        <f t="shared" si="26"/>
        <v>#N/A</v>
      </c>
      <c r="Q85" s="659" t="e">
        <f t="shared" si="5"/>
        <v>#N/A</v>
      </c>
      <c r="R85" s="730">
        <f t="shared" si="15"/>
        <v>0</v>
      </c>
      <c r="S85" s="730" t="e">
        <f t="shared" si="16"/>
        <v>#VALUE!</v>
      </c>
      <c r="T85" s="701" t="e">
        <f t="shared" si="17"/>
        <v>#N/A</v>
      </c>
      <c r="U85" s="701" t="e">
        <f t="shared" si="18"/>
        <v>#VALUE!</v>
      </c>
      <c r="V85" s="701" t="e">
        <f t="shared" si="6"/>
        <v>#N/A</v>
      </c>
      <c r="W85" s="701" t="e">
        <f t="shared" si="7"/>
        <v>#VALUE!</v>
      </c>
      <c r="X85" s="701" t="e">
        <f t="shared" si="8"/>
        <v>#VALUE!</v>
      </c>
      <c r="Y85" s="731">
        <f t="shared" si="19"/>
        <v>0</v>
      </c>
      <c r="Z85" s="731" t="e">
        <f t="shared" si="20"/>
        <v>#VALUE!</v>
      </c>
      <c r="AA85" s="732" t="e">
        <f t="shared" si="9"/>
        <v>#VALUE!</v>
      </c>
      <c r="AB85" s="732" t="e">
        <f t="shared" si="21"/>
        <v>#VALUE!</v>
      </c>
      <c r="AC85" s="730">
        <f t="shared" si="27"/>
        <v>0</v>
      </c>
      <c r="AD85" s="730">
        <f t="shared" si="27"/>
        <v>0</v>
      </c>
      <c r="AE85" s="701" t="e">
        <f t="shared" si="11"/>
        <v>#VALUE!</v>
      </c>
      <c r="AF85" s="701" t="e">
        <f t="shared" si="12"/>
        <v>#VALUE!</v>
      </c>
      <c r="AG85" s="701" t="e">
        <f t="shared" si="13"/>
        <v>#VALUE!</v>
      </c>
      <c r="AH85" s="701" t="e">
        <f t="shared" si="14"/>
        <v>#VALUE!</v>
      </c>
      <c r="AI85" s="730" t="e">
        <f>AH85+IF(Inputs!C$39="Electric",Q85/3412,0)</f>
        <v>#VALUE!</v>
      </c>
      <c r="AJ85" s="730" t="e">
        <f t="shared" si="22"/>
        <v>#VALUE!</v>
      </c>
      <c r="AK85" s="133"/>
    </row>
    <row r="86" spans="4:37" x14ac:dyDescent="0.2">
      <c r="D86" s="713"/>
      <c r="E86" s="719">
        <v>41</v>
      </c>
      <c r="F86" s="728">
        <v>23</v>
      </c>
      <c r="G86" s="729" t="e">
        <f>HLOOKUP($B$48, 'Weather Data'!$CC$17:$CZ$80,E86,FALSE)</f>
        <v>#N/A</v>
      </c>
      <c r="H86" s="728" t="str">
        <f>IF(F86&gt;=Inputs!$C$24,"Cooling",IF(F86&lt;=Inputs!$C$29,"Heating","Neither"))</f>
        <v>Heating</v>
      </c>
      <c r="I86" s="728" t="e">
        <f>IF(F86&gt;=Inputs!$D$24,"Cooling",IF(F86&lt;=Inputs!$D$29,"Heating","Neither"))</f>
        <v>#VALUE!</v>
      </c>
      <c r="J86" s="659" t="e">
        <f>IF(H86="Cooling",(F86-Inputs!$C$24)*($V$3)/(Inputs!$C$32-Inputs!$C$24),IF(H86="Heating",(Inputs!$C$29-F86)*($V$15)/(Inputs!$C$29-Inputs!$C$33)/$C$53,0))</f>
        <v>#VALUE!</v>
      </c>
      <c r="K86" s="659" t="e">
        <f>IF(I86="Cooling",(F86-Inputs!$D$24)*($V$4)/(Inputs!$C$32-Inputs!$D$24),IF(I86="Heating",(Inputs!$D$29-F86)*($V$16)/(Inputs!$D$29-Inputs!$C$33)/$C$53,0))</f>
        <v>#VALUE!</v>
      </c>
      <c r="L86" s="659"/>
      <c r="M86" s="659" t="e">
        <f t="shared" si="2"/>
        <v>#VALUE!</v>
      </c>
      <c r="N86" s="659" t="e">
        <f t="shared" si="3"/>
        <v>#VALUE!</v>
      </c>
      <c r="O86" s="659" t="e">
        <f t="shared" si="26"/>
        <v>#N/A</v>
      </c>
      <c r="P86" s="659" t="e">
        <f t="shared" si="26"/>
        <v>#N/A</v>
      </c>
      <c r="Q86" s="659" t="e">
        <f t="shared" si="5"/>
        <v>#N/A</v>
      </c>
      <c r="R86" s="730">
        <f t="shared" si="15"/>
        <v>0</v>
      </c>
      <c r="S86" s="730" t="e">
        <f t="shared" si="16"/>
        <v>#VALUE!</v>
      </c>
      <c r="T86" s="701" t="e">
        <f t="shared" si="17"/>
        <v>#N/A</v>
      </c>
      <c r="U86" s="701" t="e">
        <f t="shared" si="18"/>
        <v>#VALUE!</v>
      </c>
      <c r="V86" s="701" t="e">
        <f t="shared" si="6"/>
        <v>#N/A</v>
      </c>
      <c r="W86" s="701" t="e">
        <f t="shared" si="7"/>
        <v>#VALUE!</v>
      </c>
      <c r="X86" s="701" t="e">
        <f t="shared" si="8"/>
        <v>#VALUE!</v>
      </c>
      <c r="Y86" s="731">
        <f t="shared" si="19"/>
        <v>0</v>
      </c>
      <c r="Z86" s="731" t="e">
        <f t="shared" si="20"/>
        <v>#VALUE!</v>
      </c>
      <c r="AA86" s="732" t="e">
        <f t="shared" si="9"/>
        <v>#VALUE!</v>
      </c>
      <c r="AB86" s="732" t="e">
        <f t="shared" si="21"/>
        <v>#VALUE!</v>
      </c>
      <c r="AC86" s="730">
        <f t="shared" si="27"/>
        <v>0</v>
      </c>
      <c r="AD86" s="730">
        <f t="shared" si="27"/>
        <v>0</v>
      </c>
      <c r="AE86" s="701" t="e">
        <f t="shared" si="11"/>
        <v>#VALUE!</v>
      </c>
      <c r="AF86" s="701" t="e">
        <f t="shared" si="12"/>
        <v>#VALUE!</v>
      </c>
      <c r="AG86" s="701" t="e">
        <f t="shared" si="13"/>
        <v>#VALUE!</v>
      </c>
      <c r="AH86" s="701" t="e">
        <f t="shared" si="14"/>
        <v>#VALUE!</v>
      </c>
      <c r="AI86" s="730" t="e">
        <f>AH86+IF(Inputs!C$39="Electric",Q86/3412,0)</f>
        <v>#VALUE!</v>
      </c>
      <c r="AJ86" s="730" t="e">
        <f t="shared" si="22"/>
        <v>#VALUE!</v>
      </c>
      <c r="AK86" s="133"/>
    </row>
    <row r="87" spans="4:37" x14ac:dyDescent="0.2">
      <c r="D87" s="713"/>
      <c r="E87" s="719">
        <v>42</v>
      </c>
      <c r="F87" s="728">
        <v>21</v>
      </c>
      <c r="G87" s="729" t="e">
        <f>HLOOKUP($B$48, 'Weather Data'!$CC$17:$CZ$80,E87,FALSE)</f>
        <v>#N/A</v>
      </c>
      <c r="H87" s="728" t="str">
        <f>IF(F87&gt;=Inputs!$C$24,"Cooling",IF(F87&lt;=Inputs!$C$29,"Heating","Neither"))</f>
        <v>Heating</v>
      </c>
      <c r="I87" s="728" t="e">
        <f>IF(F87&gt;=Inputs!$D$24,"Cooling",IF(F87&lt;=Inputs!$D$29,"Heating","Neither"))</f>
        <v>#VALUE!</v>
      </c>
      <c r="J87" s="659" t="e">
        <f>IF(H87="Cooling",(F87-Inputs!$C$24)*($V$3)/(Inputs!$C$32-Inputs!$C$24),IF(H87="Heating",(Inputs!$C$29-F87)*($V$15)/(Inputs!$C$29-Inputs!$C$33)/$C$53,0))</f>
        <v>#VALUE!</v>
      </c>
      <c r="K87" s="659" t="e">
        <f>IF(I87="Cooling",(F87-Inputs!$D$24)*($V$4)/(Inputs!$C$32-Inputs!$D$24),IF(I87="Heating",(Inputs!$D$29-F87)*($V$16)/(Inputs!$D$29-Inputs!$C$33)/$C$53,0))</f>
        <v>#VALUE!</v>
      </c>
      <c r="L87" s="659"/>
      <c r="M87" s="659" t="e">
        <f t="shared" si="2"/>
        <v>#VALUE!</v>
      </c>
      <c r="N87" s="659" t="e">
        <f t="shared" si="3"/>
        <v>#VALUE!</v>
      </c>
      <c r="O87" s="659" t="e">
        <f t="shared" si="26"/>
        <v>#N/A</v>
      </c>
      <c r="P87" s="659" t="e">
        <f t="shared" si="26"/>
        <v>#N/A</v>
      </c>
      <c r="Q87" s="659" t="e">
        <f t="shared" si="5"/>
        <v>#N/A</v>
      </c>
      <c r="R87" s="730">
        <f t="shared" si="15"/>
        <v>0</v>
      </c>
      <c r="S87" s="730" t="e">
        <f t="shared" si="16"/>
        <v>#VALUE!</v>
      </c>
      <c r="T87" s="701" t="e">
        <f t="shared" si="17"/>
        <v>#N/A</v>
      </c>
      <c r="U87" s="701" t="e">
        <f t="shared" si="18"/>
        <v>#VALUE!</v>
      </c>
      <c r="V87" s="701" t="e">
        <f t="shared" si="6"/>
        <v>#N/A</v>
      </c>
      <c r="W87" s="701" t="e">
        <f t="shared" si="7"/>
        <v>#VALUE!</v>
      </c>
      <c r="X87" s="701" t="e">
        <f t="shared" si="8"/>
        <v>#VALUE!</v>
      </c>
      <c r="Y87" s="731">
        <f t="shared" si="19"/>
        <v>0</v>
      </c>
      <c r="Z87" s="731" t="e">
        <f t="shared" si="20"/>
        <v>#VALUE!</v>
      </c>
      <c r="AA87" s="732" t="e">
        <f t="shared" si="9"/>
        <v>#VALUE!</v>
      </c>
      <c r="AB87" s="732" t="e">
        <f t="shared" si="21"/>
        <v>#VALUE!</v>
      </c>
      <c r="AC87" s="730">
        <f t="shared" si="27"/>
        <v>0</v>
      </c>
      <c r="AD87" s="730">
        <f t="shared" si="27"/>
        <v>0</v>
      </c>
      <c r="AE87" s="701" t="e">
        <f t="shared" si="11"/>
        <v>#VALUE!</v>
      </c>
      <c r="AF87" s="701" t="e">
        <f t="shared" si="12"/>
        <v>#VALUE!</v>
      </c>
      <c r="AG87" s="701" t="e">
        <f t="shared" si="13"/>
        <v>#VALUE!</v>
      </c>
      <c r="AH87" s="701" t="e">
        <f t="shared" si="14"/>
        <v>#VALUE!</v>
      </c>
      <c r="AI87" s="730" t="e">
        <f>AH87+IF(Inputs!C$39="Electric",Q87/3412,0)</f>
        <v>#VALUE!</v>
      </c>
      <c r="AJ87" s="730" t="e">
        <f t="shared" si="22"/>
        <v>#VALUE!</v>
      </c>
      <c r="AK87" s="133"/>
    </row>
    <row r="88" spans="4:37" x14ac:dyDescent="0.2">
      <c r="D88" s="713"/>
      <c r="E88" s="719">
        <v>43</v>
      </c>
      <c r="F88" s="728">
        <v>19</v>
      </c>
      <c r="G88" s="729" t="e">
        <f>HLOOKUP($B$48, 'Weather Data'!$CC$17:$CZ$80,E88,FALSE)</f>
        <v>#N/A</v>
      </c>
      <c r="H88" s="728" t="str">
        <f>IF(F88&gt;=Inputs!$C$24,"Cooling",IF(F88&lt;=Inputs!$C$29,"Heating","Neither"))</f>
        <v>Heating</v>
      </c>
      <c r="I88" s="728" t="e">
        <f>IF(F88&gt;=Inputs!$D$24,"Cooling",IF(F88&lt;=Inputs!$D$29,"Heating","Neither"))</f>
        <v>#VALUE!</v>
      </c>
      <c r="J88" s="659" t="e">
        <f>IF(H88="Cooling",(F88-Inputs!$C$24)*($V$3)/(Inputs!$C$32-Inputs!$C$24),IF(H88="Heating",(Inputs!$C$29-F88)*($V$15)/(Inputs!$C$29-Inputs!$C$33)/$C$53,0))</f>
        <v>#VALUE!</v>
      </c>
      <c r="K88" s="659" t="e">
        <f>IF(I88="Cooling",(F88-Inputs!$D$24)*($V$4)/(Inputs!$C$32-Inputs!$D$24),IF(I88="Heating",(Inputs!$D$29-F88)*($V$16)/(Inputs!$D$29-Inputs!$C$33)/$C$53,0))</f>
        <v>#VALUE!</v>
      </c>
      <c r="L88" s="659"/>
      <c r="M88" s="659" t="e">
        <f t="shared" si="2"/>
        <v>#VALUE!</v>
      </c>
      <c r="N88" s="659" t="e">
        <f t="shared" si="3"/>
        <v>#VALUE!</v>
      </c>
      <c r="O88" s="659" t="e">
        <f t="shared" si="26"/>
        <v>#N/A</v>
      </c>
      <c r="P88" s="659" t="e">
        <f t="shared" si="26"/>
        <v>#N/A</v>
      </c>
      <c r="Q88" s="659" t="e">
        <f t="shared" si="5"/>
        <v>#N/A</v>
      </c>
      <c r="R88" s="730">
        <f t="shared" si="15"/>
        <v>0</v>
      </c>
      <c r="S88" s="730" t="e">
        <f t="shared" si="16"/>
        <v>#VALUE!</v>
      </c>
      <c r="T88" s="701" t="e">
        <f t="shared" si="17"/>
        <v>#N/A</v>
      </c>
      <c r="U88" s="701" t="e">
        <f t="shared" si="18"/>
        <v>#VALUE!</v>
      </c>
      <c r="V88" s="701" t="e">
        <f t="shared" si="6"/>
        <v>#N/A</v>
      </c>
      <c r="W88" s="701" t="e">
        <f t="shared" si="7"/>
        <v>#VALUE!</v>
      </c>
      <c r="X88" s="701" t="e">
        <f t="shared" si="8"/>
        <v>#VALUE!</v>
      </c>
      <c r="Y88" s="731">
        <f t="shared" si="19"/>
        <v>0</v>
      </c>
      <c r="Z88" s="731" t="e">
        <f t="shared" si="20"/>
        <v>#VALUE!</v>
      </c>
      <c r="AA88" s="732" t="e">
        <f t="shared" si="9"/>
        <v>#VALUE!</v>
      </c>
      <c r="AB88" s="732" t="e">
        <f t="shared" si="21"/>
        <v>#VALUE!</v>
      </c>
      <c r="AC88" s="730">
        <f t="shared" si="27"/>
        <v>0</v>
      </c>
      <c r="AD88" s="730">
        <f t="shared" si="27"/>
        <v>0</v>
      </c>
      <c r="AE88" s="701" t="e">
        <f t="shared" si="11"/>
        <v>#VALUE!</v>
      </c>
      <c r="AF88" s="701" t="e">
        <f t="shared" si="12"/>
        <v>#VALUE!</v>
      </c>
      <c r="AG88" s="701" t="e">
        <f t="shared" si="13"/>
        <v>#VALUE!</v>
      </c>
      <c r="AH88" s="701" t="e">
        <f t="shared" si="14"/>
        <v>#VALUE!</v>
      </c>
      <c r="AI88" s="730" t="e">
        <f>AH88+IF(Inputs!C$39="Electric",Q88/3412,0)</f>
        <v>#VALUE!</v>
      </c>
      <c r="AJ88" s="730" t="e">
        <f t="shared" si="22"/>
        <v>#VALUE!</v>
      </c>
      <c r="AK88" s="133"/>
    </row>
    <row r="89" spans="4:37" x14ac:dyDescent="0.2">
      <c r="D89" s="713"/>
      <c r="E89" s="719">
        <v>44</v>
      </c>
      <c r="F89" s="728">
        <v>17</v>
      </c>
      <c r="G89" s="729" t="e">
        <f>HLOOKUP($B$48, 'Weather Data'!$CC$17:$CZ$80,E89,FALSE)</f>
        <v>#N/A</v>
      </c>
      <c r="H89" s="728" t="str">
        <f>IF(F89&gt;=Inputs!$C$24,"Cooling",IF(F89&lt;=Inputs!$C$29,"Heating","Neither"))</f>
        <v>Heating</v>
      </c>
      <c r="I89" s="728" t="e">
        <f>IF(F89&gt;=Inputs!$D$24,"Cooling",IF(F89&lt;=Inputs!$D$29,"Heating","Neither"))</f>
        <v>#VALUE!</v>
      </c>
      <c r="J89" s="659" t="e">
        <f>IF(H89="Cooling",(F89-Inputs!$C$24)*($V$3)/(Inputs!$C$32-Inputs!$C$24),IF(H89="Heating",(Inputs!$C$29-F89)*($V$15)/(Inputs!$C$29-Inputs!$C$33)/$C$53,0))</f>
        <v>#VALUE!</v>
      </c>
      <c r="K89" s="659" t="e">
        <f>IF(I89="Cooling",(F89-Inputs!$D$24)*($V$4)/(Inputs!$C$32-Inputs!$D$24),IF(I89="Heating",(Inputs!$D$29-F89)*($V$16)/(Inputs!$D$29-Inputs!$C$33)/$C$53,0))</f>
        <v>#VALUE!</v>
      </c>
      <c r="L89" s="659"/>
      <c r="M89" s="659" t="e">
        <f t="shared" si="2"/>
        <v>#VALUE!</v>
      </c>
      <c r="N89" s="659" t="e">
        <f t="shared" si="3"/>
        <v>#VALUE!</v>
      </c>
      <c r="O89" s="659" t="e">
        <f t="shared" si="26"/>
        <v>#N/A</v>
      </c>
      <c r="P89" s="659" t="e">
        <f t="shared" si="26"/>
        <v>#N/A</v>
      </c>
      <c r="Q89" s="659" t="e">
        <f t="shared" si="5"/>
        <v>#N/A</v>
      </c>
      <c r="R89" s="730">
        <f t="shared" si="15"/>
        <v>0</v>
      </c>
      <c r="S89" s="730" t="e">
        <f t="shared" si="16"/>
        <v>#VALUE!</v>
      </c>
      <c r="T89" s="701" t="e">
        <f t="shared" si="17"/>
        <v>#N/A</v>
      </c>
      <c r="U89" s="701" t="e">
        <f t="shared" si="18"/>
        <v>#VALUE!</v>
      </c>
      <c r="V89" s="701" t="e">
        <f t="shared" si="6"/>
        <v>#N/A</v>
      </c>
      <c r="W89" s="701" t="e">
        <f t="shared" si="7"/>
        <v>#VALUE!</v>
      </c>
      <c r="X89" s="701" t="e">
        <f t="shared" si="8"/>
        <v>#VALUE!</v>
      </c>
      <c r="Y89" s="731">
        <f t="shared" si="19"/>
        <v>0</v>
      </c>
      <c r="Z89" s="731" t="e">
        <f t="shared" si="20"/>
        <v>#VALUE!</v>
      </c>
      <c r="AA89" s="732" t="e">
        <f t="shared" si="9"/>
        <v>#VALUE!</v>
      </c>
      <c r="AB89" s="732" t="e">
        <f t="shared" si="21"/>
        <v>#VALUE!</v>
      </c>
      <c r="AC89" s="730">
        <f t="shared" si="27"/>
        <v>0</v>
      </c>
      <c r="AD89" s="730">
        <f t="shared" si="27"/>
        <v>0</v>
      </c>
      <c r="AE89" s="701" t="e">
        <f t="shared" si="11"/>
        <v>#VALUE!</v>
      </c>
      <c r="AF89" s="701" t="e">
        <f t="shared" si="12"/>
        <v>#VALUE!</v>
      </c>
      <c r="AG89" s="701" t="e">
        <f t="shared" si="13"/>
        <v>#VALUE!</v>
      </c>
      <c r="AH89" s="701" t="e">
        <f t="shared" si="14"/>
        <v>#VALUE!</v>
      </c>
      <c r="AI89" s="730" t="e">
        <f>AH89+IF(Inputs!C$39="Electric",Q89/3412,0)</f>
        <v>#VALUE!</v>
      </c>
      <c r="AJ89" s="730" t="e">
        <f t="shared" si="22"/>
        <v>#VALUE!</v>
      </c>
      <c r="AK89" s="133"/>
    </row>
    <row r="90" spans="4:37" x14ac:dyDescent="0.2">
      <c r="D90" s="713"/>
      <c r="E90" s="719">
        <v>45</v>
      </c>
      <c r="F90" s="728">
        <v>15</v>
      </c>
      <c r="G90" s="729" t="e">
        <f>HLOOKUP($B$48, 'Weather Data'!$CC$17:$CZ$80,E90,FALSE)</f>
        <v>#N/A</v>
      </c>
      <c r="H90" s="728" t="str">
        <f>IF(F90&gt;=Inputs!$C$24,"Cooling",IF(F90&lt;=Inputs!$C$29,"Heating","Neither"))</f>
        <v>Heating</v>
      </c>
      <c r="I90" s="728" t="e">
        <f>IF(F90&gt;=Inputs!$D$24,"Cooling",IF(F90&lt;=Inputs!$D$29,"Heating","Neither"))</f>
        <v>#VALUE!</v>
      </c>
      <c r="J90" s="659" t="e">
        <f>IF(H90="Cooling",(F90-Inputs!$C$24)*($V$3)/(Inputs!$C$32-Inputs!$C$24),IF(H90="Heating",(Inputs!$C$29-F90)*($V$15)/(Inputs!$C$29-Inputs!$C$33)/$C$53,0))</f>
        <v>#VALUE!</v>
      </c>
      <c r="K90" s="659" t="e">
        <f>IF(I90="Cooling",(F90-Inputs!$D$24)*($V$4)/(Inputs!$C$32-Inputs!$D$24),IF(I90="Heating",(Inputs!$D$29-F90)*($V$16)/(Inputs!$D$29-Inputs!$C$33)/$C$53,0))</f>
        <v>#VALUE!</v>
      </c>
      <c r="L90" s="659"/>
      <c r="M90" s="659" t="e">
        <f t="shared" si="2"/>
        <v>#VALUE!</v>
      </c>
      <c r="N90" s="659" t="e">
        <f t="shared" si="3"/>
        <v>#VALUE!</v>
      </c>
      <c r="O90" s="659" t="e">
        <f t="shared" si="26"/>
        <v>#N/A</v>
      </c>
      <c r="P90" s="659" t="e">
        <f t="shared" si="26"/>
        <v>#N/A</v>
      </c>
      <c r="Q90" s="659" t="e">
        <f t="shared" si="5"/>
        <v>#N/A</v>
      </c>
      <c r="R90" s="730">
        <f t="shared" si="15"/>
        <v>0</v>
      </c>
      <c r="S90" s="730" t="e">
        <f t="shared" si="16"/>
        <v>#VALUE!</v>
      </c>
      <c r="T90" s="701" t="e">
        <f t="shared" si="17"/>
        <v>#N/A</v>
      </c>
      <c r="U90" s="701" t="e">
        <f t="shared" si="18"/>
        <v>#VALUE!</v>
      </c>
      <c r="V90" s="701" t="e">
        <f t="shared" si="6"/>
        <v>#N/A</v>
      </c>
      <c r="W90" s="701" t="e">
        <f t="shared" si="7"/>
        <v>#VALUE!</v>
      </c>
      <c r="X90" s="701" t="e">
        <f t="shared" si="8"/>
        <v>#VALUE!</v>
      </c>
      <c r="Y90" s="731">
        <f t="shared" si="19"/>
        <v>0</v>
      </c>
      <c r="Z90" s="731" t="e">
        <f t="shared" si="20"/>
        <v>#VALUE!</v>
      </c>
      <c r="AA90" s="732" t="e">
        <f t="shared" si="9"/>
        <v>#VALUE!</v>
      </c>
      <c r="AB90" s="732" t="e">
        <f t="shared" si="21"/>
        <v>#VALUE!</v>
      </c>
      <c r="AC90" s="730">
        <f t="shared" si="27"/>
        <v>0</v>
      </c>
      <c r="AD90" s="730">
        <f t="shared" si="27"/>
        <v>0</v>
      </c>
      <c r="AE90" s="701" t="e">
        <f t="shared" si="11"/>
        <v>#VALUE!</v>
      </c>
      <c r="AF90" s="701" t="e">
        <f t="shared" si="12"/>
        <v>#VALUE!</v>
      </c>
      <c r="AG90" s="701" t="e">
        <f t="shared" si="13"/>
        <v>#VALUE!</v>
      </c>
      <c r="AH90" s="701" t="e">
        <f t="shared" si="14"/>
        <v>#VALUE!</v>
      </c>
      <c r="AI90" s="730" t="e">
        <f>AH90+IF(Inputs!C$39="Electric",Q90/3412,0)</f>
        <v>#VALUE!</v>
      </c>
      <c r="AJ90" s="730" t="e">
        <f t="shared" si="22"/>
        <v>#VALUE!</v>
      </c>
      <c r="AK90" s="133"/>
    </row>
    <row r="91" spans="4:37" x14ac:dyDescent="0.2">
      <c r="D91" s="713"/>
      <c r="E91" s="719">
        <v>46</v>
      </c>
      <c r="F91" s="728">
        <v>13</v>
      </c>
      <c r="G91" s="729" t="e">
        <f>HLOOKUP($B$48, 'Weather Data'!$CC$17:$CZ$80,E91,FALSE)</f>
        <v>#N/A</v>
      </c>
      <c r="H91" s="728" t="str">
        <f>IF(F91&gt;=Inputs!$C$24,"Cooling",IF(F91&lt;=Inputs!$C$29,"Heating","Neither"))</f>
        <v>Heating</v>
      </c>
      <c r="I91" s="728" t="e">
        <f>IF(F91&gt;=Inputs!$D$24,"Cooling",IF(F91&lt;=Inputs!$D$29,"Heating","Neither"))</f>
        <v>#VALUE!</v>
      </c>
      <c r="J91" s="659" t="e">
        <f>IF(H91="Cooling",(F91-Inputs!$C$24)*($V$3)/(Inputs!$C$32-Inputs!$C$24),IF(H91="Heating",(Inputs!$C$29-F91)*($V$15)/(Inputs!$C$29-Inputs!$C$33)/$C$53,0))</f>
        <v>#VALUE!</v>
      </c>
      <c r="K91" s="659" t="e">
        <f>IF(I91="Cooling",(F91-Inputs!$D$24)*($V$4)/(Inputs!$C$32-Inputs!$D$24),IF(I91="Heating",(Inputs!$D$29-F91)*($V$16)/(Inputs!$D$29-Inputs!$C$33)/$C$53,0))</f>
        <v>#VALUE!</v>
      </c>
      <c r="L91" s="659"/>
      <c r="M91" s="659" t="e">
        <f t="shared" si="2"/>
        <v>#VALUE!</v>
      </c>
      <c r="N91" s="659" t="e">
        <f t="shared" si="3"/>
        <v>#VALUE!</v>
      </c>
      <c r="O91" s="659" t="e">
        <f t="shared" si="26"/>
        <v>#N/A</v>
      </c>
      <c r="P91" s="659" t="e">
        <f t="shared" si="26"/>
        <v>#N/A</v>
      </c>
      <c r="Q91" s="659" t="e">
        <f t="shared" si="5"/>
        <v>#N/A</v>
      </c>
      <c r="R91" s="730">
        <f t="shared" si="15"/>
        <v>0</v>
      </c>
      <c r="S91" s="730" t="e">
        <f t="shared" si="16"/>
        <v>#VALUE!</v>
      </c>
      <c r="T91" s="701" t="e">
        <f t="shared" si="17"/>
        <v>#N/A</v>
      </c>
      <c r="U91" s="701" t="e">
        <f t="shared" si="18"/>
        <v>#VALUE!</v>
      </c>
      <c r="V91" s="701" t="e">
        <f t="shared" si="6"/>
        <v>#N/A</v>
      </c>
      <c r="W91" s="701" t="e">
        <f t="shared" si="7"/>
        <v>#VALUE!</v>
      </c>
      <c r="X91" s="701" t="e">
        <f t="shared" si="8"/>
        <v>#VALUE!</v>
      </c>
      <c r="Y91" s="731">
        <f t="shared" si="19"/>
        <v>0</v>
      </c>
      <c r="Z91" s="731" t="e">
        <f t="shared" si="20"/>
        <v>#VALUE!</v>
      </c>
      <c r="AA91" s="732" t="e">
        <f t="shared" si="9"/>
        <v>#VALUE!</v>
      </c>
      <c r="AB91" s="732" t="e">
        <f t="shared" si="21"/>
        <v>#VALUE!</v>
      </c>
      <c r="AC91" s="730">
        <f t="shared" si="27"/>
        <v>0</v>
      </c>
      <c r="AD91" s="730">
        <f t="shared" si="27"/>
        <v>0</v>
      </c>
      <c r="AE91" s="701" t="e">
        <f t="shared" si="11"/>
        <v>#VALUE!</v>
      </c>
      <c r="AF91" s="701" t="e">
        <f t="shared" si="12"/>
        <v>#VALUE!</v>
      </c>
      <c r="AG91" s="701" t="e">
        <f t="shared" si="13"/>
        <v>#VALUE!</v>
      </c>
      <c r="AH91" s="701" t="e">
        <f t="shared" si="14"/>
        <v>#VALUE!</v>
      </c>
      <c r="AI91" s="730" t="e">
        <f>AH91+IF(Inputs!C$39="Electric",Q91/3412,0)</f>
        <v>#VALUE!</v>
      </c>
      <c r="AJ91" s="730" t="e">
        <f t="shared" si="22"/>
        <v>#VALUE!</v>
      </c>
      <c r="AK91" s="133"/>
    </row>
    <row r="92" spans="4:37" x14ac:dyDescent="0.2">
      <c r="D92" s="648"/>
      <c r="E92" s="719">
        <v>47</v>
      </c>
      <c r="F92" s="728">
        <v>11</v>
      </c>
      <c r="G92" s="729" t="e">
        <f>HLOOKUP($B$48, 'Weather Data'!$CC$17:$CZ$80,E92,FALSE)</f>
        <v>#N/A</v>
      </c>
      <c r="H92" s="728" t="str">
        <f>IF(F92&gt;=Inputs!$C$24,"Cooling",IF(F92&lt;=Inputs!$C$29,"Heating","Neither"))</f>
        <v>Heating</v>
      </c>
      <c r="I92" s="728" t="e">
        <f>IF(F92&gt;=Inputs!$D$24,"Cooling",IF(F92&lt;=Inputs!$D$29,"Heating","Neither"))</f>
        <v>#VALUE!</v>
      </c>
      <c r="J92" s="659" t="e">
        <f>IF(H92="Cooling",(F92-Inputs!$C$24)*($V$3)/(Inputs!$C$32-Inputs!$C$24),IF(H92="Heating",(Inputs!$C$29-F92)*($V$15)/(Inputs!$C$29-Inputs!$C$33)/$C$53,0))</f>
        <v>#VALUE!</v>
      </c>
      <c r="K92" s="659" t="e">
        <f>IF(I92="Cooling",(F92-Inputs!$D$24)*($V$4)/(Inputs!$C$32-Inputs!$D$24),IF(I92="Heating",(Inputs!$D$29-F92)*($V$16)/(Inputs!$D$29-Inputs!$C$33)/$C$53,0))</f>
        <v>#VALUE!</v>
      </c>
      <c r="L92" s="659"/>
      <c r="M92" s="659" t="e">
        <f t="shared" si="2"/>
        <v>#VALUE!</v>
      </c>
      <c r="N92" s="659" t="e">
        <f t="shared" si="3"/>
        <v>#VALUE!</v>
      </c>
      <c r="O92" s="659" t="e">
        <f t="shared" si="26"/>
        <v>#N/A</v>
      </c>
      <c r="P92" s="659" t="e">
        <f t="shared" si="26"/>
        <v>#N/A</v>
      </c>
      <c r="Q92" s="659" t="e">
        <f t="shared" si="5"/>
        <v>#N/A</v>
      </c>
      <c r="R92" s="730">
        <f t="shared" si="15"/>
        <v>0</v>
      </c>
      <c r="S92" s="730" t="e">
        <f t="shared" si="16"/>
        <v>#VALUE!</v>
      </c>
      <c r="T92" s="701" t="e">
        <f t="shared" si="17"/>
        <v>#N/A</v>
      </c>
      <c r="U92" s="701" t="e">
        <f t="shared" si="18"/>
        <v>#VALUE!</v>
      </c>
      <c r="V92" s="701" t="e">
        <f t="shared" si="6"/>
        <v>#N/A</v>
      </c>
      <c r="W92" s="701" t="e">
        <f t="shared" si="7"/>
        <v>#VALUE!</v>
      </c>
      <c r="X92" s="701" t="e">
        <f t="shared" si="8"/>
        <v>#VALUE!</v>
      </c>
      <c r="Y92" s="731">
        <f t="shared" si="19"/>
        <v>0</v>
      </c>
      <c r="Z92" s="731" t="e">
        <f t="shared" si="20"/>
        <v>#VALUE!</v>
      </c>
      <c r="AA92" s="732" t="e">
        <f t="shared" si="9"/>
        <v>#VALUE!</v>
      </c>
      <c r="AB92" s="732" t="e">
        <f t="shared" si="21"/>
        <v>#VALUE!</v>
      </c>
      <c r="AC92" s="730">
        <f t="shared" si="27"/>
        <v>0</v>
      </c>
      <c r="AD92" s="730">
        <f t="shared" si="27"/>
        <v>0</v>
      </c>
      <c r="AE92" s="701" t="e">
        <f t="shared" si="11"/>
        <v>#VALUE!</v>
      </c>
      <c r="AF92" s="701" t="e">
        <f t="shared" si="12"/>
        <v>#VALUE!</v>
      </c>
      <c r="AG92" s="701" t="e">
        <f t="shared" si="13"/>
        <v>#VALUE!</v>
      </c>
      <c r="AH92" s="701" t="e">
        <f t="shared" si="14"/>
        <v>#VALUE!</v>
      </c>
      <c r="AI92" s="730" t="e">
        <f>AH92+IF(Inputs!C$39="Electric",Q92/3412,0)</f>
        <v>#VALUE!</v>
      </c>
      <c r="AJ92" s="730" t="e">
        <f t="shared" si="22"/>
        <v>#VALUE!</v>
      </c>
      <c r="AK92" s="133"/>
    </row>
    <row r="93" spans="4:37" x14ac:dyDescent="0.2">
      <c r="D93" s="648"/>
      <c r="E93" s="719">
        <v>48</v>
      </c>
      <c r="F93" s="743">
        <v>9</v>
      </c>
      <c r="G93" s="729" t="e">
        <f>HLOOKUP($B$48, 'Weather Data'!$CC$17:$CZ$80,E93,FALSE)</f>
        <v>#N/A</v>
      </c>
      <c r="H93" s="728" t="str">
        <f>IF(F93&gt;=Inputs!$C$24,"Cooling",IF(F93&lt;=Inputs!$C$29,"Heating","Neither"))</f>
        <v>Heating</v>
      </c>
      <c r="I93" s="728" t="e">
        <f>IF(F93&gt;=Inputs!$D$24,"Cooling",IF(F93&lt;=Inputs!$D$29,"Heating","Neither"))</f>
        <v>#VALUE!</v>
      </c>
      <c r="J93" s="659" t="e">
        <f>IF(H93="Cooling",(F93-Inputs!$C$24)*($V$3)/(Inputs!$C$32-Inputs!$C$24),IF(H93="Heating",(Inputs!$C$29-F93)*($V$15)/(Inputs!$C$29-Inputs!$C$33)/$C$53,0))</f>
        <v>#VALUE!</v>
      </c>
      <c r="K93" s="659" t="e">
        <f>IF(I93="Cooling",(F93-Inputs!$D$24)*($V$4)/(Inputs!$C$32-Inputs!$D$24),IF(I93="Heating",(Inputs!$D$29-F93)*($V$16)/(Inputs!$D$29-Inputs!$C$33)/$C$53,0))</f>
        <v>#VALUE!</v>
      </c>
      <c r="L93" s="659"/>
      <c r="M93" s="659" t="e">
        <f t="shared" si="2"/>
        <v>#VALUE!</v>
      </c>
      <c r="N93" s="659" t="e">
        <f t="shared" si="3"/>
        <v>#VALUE!</v>
      </c>
      <c r="O93" s="659" t="e">
        <f t="shared" si="26"/>
        <v>#N/A</v>
      </c>
      <c r="P93" s="659" t="e">
        <f t="shared" si="26"/>
        <v>#N/A</v>
      </c>
      <c r="Q93" s="659" t="e">
        <f t="shared" si="5"/>
        <v>#N/A</v>
      </c>
      <c r="R93" s="730">
        <f t="shared" si="15"/>
        <v>0</v>
      </c>
      <c r="S93" s="730" t="e">
        <f t="shared" si="16"/>
        <v>#VALUE!</v>
      </c>
      <c r="T93" s="701" t="e">
        <f t="shared" si="17"/>
        <v>#N/A</v>
      </c>
      <c r="U93" s="701" t="e">
        <f t="shared" si="18"/>
        <v>#VALUE!</v>
      </c>
      <c r="V93" s="701" t="e">
        <f t="shared" si="6"/>
        <v>#N/A</v>
      </c>
      <c r="W93" s="701" t="e">
        <f t="shared" si="7"/>
        <v>#VALUE!</v>
      </c>
      <c r="X93" s="701" t="e">
        <f t="shared" si="8"/>
        <v>#VALUE!</v>
      </c>
      <c r="Y93" s="731">
        <f t="shared" si="19"/>
        <v>0</v>
      </c>
      <c r="Z93" s="731" t="e">
        <f t="shared" si="20"/>
        <v>#VALUE!</v>
      </c>
      <c r="AA93" s="732" t="e">
        <f t="shared" si="9"/>
        <v>#VALUE!</v>
      </c>
      <c r="AB93" s="732" t="e">
        <f t="shared" si="21"/>
        <v>#VALUE!</v>
      </c>
      <c r="AC93" s="730">
        <f t="shared" si="27"/>
        <v>0</v>
      </c>
      <c r="AD93" s="730">
        <f t="shared" si="27"/>
        <v>0</v>
      </c>
      <c r="AE93" s="701" t="e">
        <f t="shared" si="11"/>
        <v>#VALUE!</v>
      </c>
      <c r="AF93" s="701" t="e">
        <f t="shared" si="12"/>
        <v>#VALUE!</v>
      </c>
      <c r="AG93" s="701" t="e">
        <f t="shared" si="13"/>
        <v>#VALUE!</v>
      </c>
      <c r="AH93" s="701" t="e">
        <f t="shared" si="14"/>
        <v>#VALUE!</v>
      </c>
      <c r="AI93" s="730" t="e">
        <f>AH93+IF(Inputs!C$39="Electric",Q93/3412,0)</f>
        <v>#VALUE!</v>
      </c>
      <c r="AJ93" s="730" t="e">
        <f t="shared" si="22"/>
        <v>#VALUE!</v>
      </c>
      <c r="AK93" s="133"/>
    </row>
    <row r="94" spans="4:37" x14ac:dyDescent="0.2">
      <c r="D94" s="648"/>
      <c r="E94" s="719">
        <v>49</v>
      </c>
      <c r="F94" s="743">
        <v>7</v>
      </c>
      <c r="G94" s="729" t="e">
        <f>HLOOKUP($B$48, 'Weather Data'!$CC$17:$CZ$80,E94,FALSE)</f>
        <v>#N/A</v>
      </c>
      <c r="H94" s="728" t="str">
        <f>IF(F94&gt;=Inputs!$C$24,"Cooling",IF(F94&lt;=Inputs!$C$29,"Heating","Neither"))</f>
        <v>Heating</v>
      </c>
      <c r="I94" s="728" t="e">
        <f>IF(F94&gt;=Inputs!$D$24,"Cooling",IF(F94&lt;=Inputs!$D$29,"Heating","Neither"))</f>
        <v>#VALUE!</v>
      </c>
      <c r="J94" s="659" t="e">
        <f>IF(H94="Cooling",(F94-Inputs!$C$24)*($V$3)/(Inputs!$C$32-Inputs!$C$24),IF(H94="Heating",(Inputs!$C$29-F94)*($V$15)/(Inputs!$C$29-Inputs!$C$33)/$C$53,0))</f>
        <v>#VALUE!</v>
      </c>
      <c r="K94" s="659" t="e">
        <f>IF(I94="Cooling",(F94-Inputs!$D$24)*($V$4)/(Inputs!$C$32-Inputs!$D$24),IF(I94="Heating",(Inputs!$D$29-F94)*($V$16)/(Inputs!$D$29-Inputs!$C$33)/$C$53,0))</f>
        <v>#VALUE!</v>
      </c>
      <c r="L94" s="659"/>
      <c r="M94" s="659" t="e">
        <f t="shared" si="2"/>
        <v>#VALUE!</v>
      </c>
      <c r="N94" s="659" t="e">
        <f t="shared" si="3"/>
        <v>#VALUE!</v>
      </c>
      <c r="O94" s="659" t="e">
        <f t="shared" si="26"/>
        <v>#N/A</v>
      </c>
      <c r="P94" s="659" t="e">
        <f t="shared" si="26"/>
        <v>#N/A</v>
      </c>
      <c r="Q94" s="659" t="e">
        <f t="shared" si="5"/>
        <v>#N/A</v>
      </c>
      <c r="R94" s="730">
        <f t="shared" si="15"/>
        <v>0</v>
      </c>
      <c r="S94" s="730" t="e">
        <f t="shared" si="16"/>
        <v>#VALUE!</v>
      </c>
      <c r="T94" s="701" t="e">
        <f t="shared" si="17"/>
        <v>#N/A</v>
      </c>
      <c r="U94" s="701" t="e">
        <f t="shared" si="18"/>
        <v>#VALUE!</v>
      </c>
      <c r="V94" s="701" t="e">
        <f t="shared" si="6"/>
        <v>#N/A</v>
      </c>
      <c r="W94" s="701" t="e">
        <f t="shared" si="7"/>
        <v>#VALUE!</v>
      </c>
      <c r="X94" s="701" t="e">
        <f t="shared" si="8"/>
        <v>#VALUE!</v>
      </c>
      <c r="Y94" s="731">
        <f t="shared" si="19"/>
        <v>0</v>
      </c>
      <c r="Z94" s="731" t="e">
        <f t="shared" si="20"/>
        <v>#VALUE!</v>
      </c>
      <c r="AA94" s="732" t="e">
        <f t="shared" si="9"/>
        <v>#VALUE!</v>
      </c>
      <c r="AB94" s="732" t="e">
        <f t="shared" si="21"/>
        <v>#VALUE!</v>
      </c>
      <c r="AC94" s="730">
        <f t="shared" si="27"/>
        <v>0</v>
      </c>
      <c r="AD94" s="730">
        <f t="shared" si="27"/>
        <v>0</v>
      </c>
      <c r="AE94" s="701" t="e">
        <f t="shared" si="11"/>
        <v>#VALUE!</v>
      </c>
      <c r="AF94" s="701" t="e">
        <f t="shared" si="12"/>
        <v>#VALUE!</v>
      </c>
      <c r="AG94" s="701" t="e">
        <f t="shared" si="13"/>
        <v>#VALUE!</v>
      </c>
      <c r="AH94" s="701" t="e">
        <f t="shared" si="14"/>
        <v>#VALUE!</v>
      </c>
      <c r="AI94" s="730" t="e">
        <f>AH94+IF(Inputs!C$39="Electric",Q94/3412,0)</f>
        <v>#VALUE!</v>
      </c>
      <c r="AJ94" s="730" t="e">
        <f t="shared" si="22"/>
        <v>#VALUE!</v>
      </c>
      <c r="AK94" s="133"/>
    </row>
    <row r="95" spans="4:37" x14ac:dyDescent="0.2">
      <c r="D95" s="648"/>
      <c r="E95" s="719">
        <v>50</v>
      </c>
      <c r="F95" s="743">
        <v>5</v>
      </c>
      <c r="G95" s="729" t="e">
        <f>HLOOKUP($B$48, 'Weather Data'!$CC$17:$CZ$80,E95,FALSE)</f>
        <v>#N/A</v>
      </c>
      <c r="H95" s="728" t="str">
        <f>IF(F95&gt;=Inputs!$C$24,"Cooling",IF(F95&lt;=Inputs!$C$29,"Heating","Neither"))</f>
        <v>Heating</v>
      </c>
      <c r="I95" s="728" t="e">
        <f>IF(F95&gt;=Inputs!$D$24,"Cooling",IF(F95&lt;=Inputs!$D$29,"Heating","Neither"))</f>
        <v>#VALUE!</v>
      </c>
      <c r="J95" s="659" t="e">
        <f>IF(H95="Cooling",(F95-Inputs!$C$24)*($V$3)/(Inputs!$C$32-Inputs!$C$24),IF(H95="Heating",(Inputs!$C$29-F95)*($V$15)/(Inputs!$C$29-Inputs!$C$33)/$C$53,0))</f>
        <v>#VALUE!</v>
      </c>
      <c r="K95" s="659" t="e">
        <f>IF(I95="Cooling",(F95-Inputs!$D$24)*($V$4)/(Inputs!$C$32-Inputs!$D$24),IF(I95="Heating",(Inputs!$D$29-F95)*($V$16)/(Inputs!$D$29-Inputs!$C$33)/$C$53,0))</f>
        <v>#VALUE!</v>
      </c>
      <c r="L95" s="659"/>
      <c r="M95" s="659" t="e">
        <f t="shared" si="2"/>
        <v>#VALUE!</v>
      </c>
      <c r="N95" s="659" t="e">
        <f t="shared" si="3"/>
        <v>#VALUE!</v>
      </c>
      <c r="O95" s="659" t="e">
        <f t="shared" si="26"/>
        <v>#N/A</v>
      </c>
      <c r="P95" s="659" t="e">
        <f t="shared" si="26"/>
        <v>#N/A</v>
      </c>
      <c r="Q95" s="659" t="e">
        <f t="shared" si="5"/>
        <v>#N/A</v>
      </c>
      <c r="R95" s="730">
        <f t="shared" si="15"/>
        <v>0</v>
      </c>
      <c r="S95" s="730" t="e">
        <f t="shared" si="16"/>
        <v>#VALUE!</v>
      </c>
      <c r="T95" s="701" t="e">
        <f t="shared" si="17"/>
        <v>#N/A</v>
      </c>
      <c r="U95" s="701" t="e">
        <f t="shared" si="18"/>
        <v>#VALUE!</v>
      </c>
      <c r="V95" s="701" t="e">
        <f t="shared" si="6"/>
        <v>#N/A</v>
      </c>
      <c r="W95" s="701" t="e">
        <f t="shared" si="7"/>
        <v>#VALUE!</v>
      </c>
      <c r="X95" s="701" t="e">
        <f t="shared" si="8"/>
        <v>#VALUE!</v>
      </c>
      <c r="Y95" s="731">
        <f t="shared" si="19"/>
        <v>0</v>
      </c>
      <c r="Z95" s="731" t="e">
        <f t="shared" si="20"/>
        <v>#VALUE!</v>
      </c>
      <c r="AA95" s="732" t="e">
        <f t="shared" si="9"/>
        <v>#VALUE!</v>
      </c>
      <c r="AB95" s="732" t="e">
        <f t="shared" si="21"/>
        <v>#VALUE!</v>
      </c>
      <c r="AC95" s="730">
        <f t="shared" si="27"/>
        <v>0</v>
      </c>
      <c r="AD95" s="730">
        <f t="shared" si="27"/>
        <v>0</v>
      </c>
      <c r="AE95" s="701" t="e">
        <f t="shared" si="11"/>
        <v>#VALUE!</v>
      </c>
      <c r="AF95" s="701" t="e">
        <f t="shared" si="12"/>
        <v>#VALUE!</v>
      </c>
      <c r="AG95" s="701" t="e">
        <f t="shared" si="13"/>
        <v>#VALUE!</v>
      </c>
      <c r="AH95" s="701" t="e">
        <f t="shared" si="14"/>
        <v>#VALUE!</v>
      </c>
      <c r="AI95" s="730" t="e">
        <f>AH95+IF(Inputs!C$39="Electric",Q95/3412,0)</f>
        <v>#VALUE!</v>
      </c>
      <c r="AJ95" s="730" t="e">
        <f t="shared" si="22"/>
        <v>#VALUE!</v>
      </c>
      <c r="AK95" s="133"/>
    </row>
    <row r="96" spans="4:37" x14ac:dyDescent="0.2">
      <c r="D96" s="648"/>
      <c r="E96" s="719">
        <v>51</v>
      </c>
      <c r="F96" s="743">
        <v>3</v>
      </c>
      <c r="G96" s="729" t="e">
        <f>HLOOKUP($B$48, 'Weather Data'!$CC$17:$CZ$80,E96,FALSE)</f>
        <v>#N/A</v>
      </c>
      <c r="H96" s="728" t="str">
        <f>IF(F96&gt;=Inputs!$C$24,"Cooling",IF(F96&lt;=Inputs!$C$29,"Heating","Neither"))</f>
        <v>Heating</v>
      </c>
      <c r="I96" s="728" t="e">
        <f>IF(F96&gt;=Inputs!$D$24,"Cooling",IF(F96&lt;=Inputs!$D$29,"Heating","Neither"))</f>
        <v>#VALUE!</v>
      </c>
      <c r="J96" s="659" t="e">
        <f>IF(H96="Cooling",(F96-Inputs!$C$24)*($V$3)/(Inputs!$C$32-Inputs!$C$24),IF(H96="Heating",(Inputs!$C$29-F96)*($V$15)/(Inputs!$C$29-Inputs!$C$33)/$C$53,0))</f>
        <v>#VALUE!</v>
      </c>
      <c r="K96" s="659" t="e">
        <f>IF(I96="Cooling",(F96-Inputs!$D$24)*($V$4)/(Inputs!$C$32-Inputs!$D$24),IF(I96="Heating",(Inputs!$D$29-F96)*($V$16)/(Inputs!$D$29-Inputs!$C$33)/$C$53,0))</f>
        <v>#VALUE!</v>
      </c>
      <c r="L96" s="659"/>
      <c r="M96" s="659" t="e">
        <f t="shared" si="2"/>
        <v>#VALUE!</v>
      </c>
      <c r="N96" s="659" t="e">
        <f t="shared" si="3"/>
        <v>#VALUE!</v>
      </c>
      <c r="O96" s="659" t="e">
        <f t="shared" si="26"/>
        <v>#N/A</v>
      </c>
      <c r="P96" s="659" t="e">
        <f t="shared" si="26"/>
        <v>#N/A</v>
      </c>
      <c r="Q96" s="659" t="e">
        <f t="shared" si="5"/>
        <v>#N/A</v>
      </c>
      <c r="R96" s="730">
        <f t="shared" si="15"/>
        <v>0</v>
      </c>
      <c r="S96" s="730" t="e">
        <f t="shared" si="16"/>
        <v>#VALUE!</v>
      </c>
      <c r="T96" s="701" t="e">
        <f t="shared" si="17"/>
        <v>#N/A</v>
      </c>
      <c r="U96" s="701" t="e">
        <f t="shared" si="18"/>
        <v>#VALUE!</v>
      </c>
      <c r="V96" s="701" t="e">
        <f t="shared" si="6"/>
        <v>#N/A</v>
      </c>
      <c r="W96" s="701" t="e">
        <f t="shared" si="7"/>
        <v>#VALUE!</v>
      </c>
      <c r="X96" s="701" t="e">
        <f t="shared" si="8"/>
        <v>#VALUE!</v>
      </c>
      <c r="Y96" s="731">
        <f t="shared" si="19"/>
        <v>0</v>
      </c>
      <c r="Z96" s="731" t="e">
        <f t="shared" si="20"/>
        <v>#VALUE!</v>
      </c>
      <c r="AA96" s="732" t="e">
        <f t="shared" si="9"/>
        <v>#VALUE!</v>
      </c>
      <c r="AB96" s="732" t="e">
        <f t="shared" si="21"/>
        <v>#VALUE!</v>
      </c>
      <c r="AC96" s="730">
        <f t="shared" si="27"/>
        <v>0</v>
      </c>
      <c r="AD96" s="730">
        <f t="shared" si="27"/>
        <v>0</v>
      </c>
      <c r="AE96" s="701" t="e">
        <f t="shared" si="11"/>
        <v>#VALUE!</v>
      </c>
      <c r="AF96" s="701" t="e">
        <f t="shared" si="12"/>
        <v>#VALUE!</v>
      </c>
      <c r="AG96" s="701" t="e">
        <f t="shared" si="13"/>
        <v>#VALUE!</v>
      </c>
      <c r="AH96" s="701" t="e">
        <f t="shared" si="14"/>
        <v>#VALUE!</v>
      </c>
      <c r="AI96" s="730" t="e">
        <f>AH96+IF(Inputs!C$39="Electric",Q96/3412,0)</f>
        <v>#VALUE!</v>
      </c>
      <c r="AJ96" s="730" t="e">
        <f t="shared" si="22"/>
        <v>#VALUE!</v>
      </c>
      <c r="AK96" s="133"/>
    </row>
    <row r="97" spans="5:37" x14ac:dyDescent="0.2">
      <c r="E97" s="719">
        <v>52</v>
      </c>
      <c r="F97" s="743">
        <v>1</v>
      </c>
      <c r="G97" s="729" t="e">
        <f>HLOOKUP($B$48, 'Weather Data'!$CC$17:$CZ$80,E97,FALSE)</f>
        <v>#N/A</v>
      </c>
      <c r="H97" s="728" t="str">
        <f>IF(F97&gt;=Inputs!$C$24,"Cooling",IF(F97&lt;=Inputs!$C$29,"Heating","Neither"))</f>
        <v>Heating</v>
      </c>
      <c r="I97" s="728" t="e">
        <f>IF(F97&gt;=Inputs!$D$24,"Cooling",IF(F97&lt;=Inputs!$D$29,"Heating","Neither"))</f>
        <v>#VALUE!</v>
      </c>
      <c r="J97" s="659" t="e">
        <f>IF(H97="Cooling",(F97-Inputs!$C$24)*($V$3)/(Inputs!$C$32-Inputs!$C$24),IF(H97="Heating",(Inputs!$C$29-F97)*($V$15)/(Inputs!$C$29-Inputs!$C$33)/$C$53,0))</f>
        <v>#VALUE!</v>
      </c>
      <c r="K97" s="659" t="e">
        <f>IF(I97="Cooling",(F97-Inputs!$D$24)*($V$4)/(Inputs!$C$32-Inputs!$D$24),IF(I97="Heating",(Inputs!$D$29-F97)*($V$16)/(Inputs!$D$29-Inputs!$C$33)/$C$53,0))</f>
        <v>#VALUE!</v>
      </c>
      <c r="L97" s="659"/>
      <c r="M97" s="659" t="e">
        <f t="shared" si="2"/>
        <v>#VALUE!</v>
      </c>
      <c r="N97" s="659" t="e">
        <f t="shared" si="3"/>
        <v>#VALUE!</v>
      </c>
      <c r="O97" s="659" t="e">
        <f t="shared" si="26"/>
        <v>#N/A</v>
      </c>
      <c r="P97" s="659" t="e">
        <f t="shared" si="26"/>
        <v>#N/A</v>
      </c>
      <c r="Q97" s="659" t="e">
        <f t="shared" si="5"/>
        <v>#N/A</v>
      </c>
      <c r="R97" s="730">
        <f t="shared" si="15"/>
        <v>0</v>
      </c>
      <c r="S97" s="730" t="e">
        <f t="shared" si="16"/>
        <v>#VALUE!</v>
      </c>
      <c r="T97" s="701" t="e">
        <f t="shared" si="17"/>
        <v>#N/A</v>
      </c>
      <c r="U97" s="701" t="e">
        <f t="shared" si="18"/>
        <v>#VALUE!</v>
      </c>
      <c r="V97" s="701" t="e">
        <f t="shared" si="6"/>
        <v>#N/A</v>
      </c>
      <c r="W97" s="701" t="e">
        <f t="shared" si="7"/>
        <v>#VALUE!</v>
      </c>
      <c r="X97" s="701" t="e">
        <f t="shared" si="8"/>
        <v>#VALUE!</v>
      </c>
      <c r="Y97" s="731">
        <f t="shared" si="19"/>
        <v>0</v>
      </c>
      <c r="Z97" s="731" t="e">
        <f t="shared" si="20"/>
        <v>#VALUE!</v>
      </c>
      <c r="AA97" s="732" t="e">
        <f t="shared" si="9"/>
        <v>#VALUE!</v>
      </c>
      <c r="AB97" s="732" t="e">
        <f t="shared" si="21"/>
        <v>#VALUE!</v>
      </c>
      <c r="AC97" s="730">
        <f t="shared" si="27"/>
        <v>0</v>
      </c>
      <c r="AD97" s="730">
        <f t="shared" si="27"/>
        <v>0</v>
      </c>
      <c r="AE97" s="701" t="e">
        <f t="shared" si="11"/>
        <v>#VALUE!</v>
      </c>
      <c r="AF97" s="701" t="e">
        <f t="shared" si="12"/>
        <v>#VALUE!</v>
      </c>
      <c r="AG97" s="701" t="e">
        <f t="shared" si="13"/>
        <v>#VALUE!</v>
      </c>
      <c r="AH97" s="701" t="e">
        <f t="shared" si="14"/>
        <v>#VALUE!</v>
      </c>
      <c r="AI97" s="730" t="e">
        <f>AH97+IF(Inputs!C$39="Electric",Q97/3412,0)</f>
        <v>#VALUE!</v>
      </c>
      <c r="AJ97" s="730" t="e">
        <f t="shared" si="22"/>
        <v>#VALUE!</v>
      </c>
      <c r="AK97" s="133"/>
    </row>
    <row r="98" spans="5:37" x14ac:dyDescent="0.2">
      <c r="E98" s="719">
        <v>53</v>
      </c>
      <c r="F98" s="728">
        <v>-1</v>
      </c>
      <c r="G98" s="729" t="e">
        <f>HLOOKUP($B$48, 'Weather Data'!$CC$17:$CZ$80,E98,FALSE)</f>
        <v>#N/A</v>
      </c>
      <c r="H98" s="728" t="str">
        <f>IF(F98&gt;=Inputs!$C$24,"Cooling",IF(F98&lt;=Inputs!$C$29,"Heating","Neither"))</f>
        <v>Heating</v>
      </c>
      <c r="I98" s="728" t="e">
        <f>IF(F98&gt;=Inputs!$D$24,"Cooling",IF(F98&lt;=Inputs!$D$29,"Heating","Neither"))</f>
        <v>#VALUE!</v>
      </c>
      <c r="J98" s="659" t="e">
        <f>IF(H98="Cooling",(F98-Inputs!$C$24)*($V$3)/(Inputs!$C$32-Inputs!$C$24),IF(H98="Heating",(Inputs!$C$29-F98)*($V$15)/(Inputs!$C$29-Inputs!$C$33)/$C$53,0))</f>
        <v>#VALUE!</v>
      </c>
      <c r="K98" s="659" t="e">
        <f>IF(I98="Cooling",(F98-Inputs!$D$24)*($V$4)/(Inputs!$C$32-Inputs!$D$24),IF(I98="Heating",(Inputs!$D$29-F98)*($V$16)/(Inputs!$D$29-Inputs!$C$33)/$C$53,0))</f>
        <v>#VALUE!</v>
      </c>
      <c r="L98" s="659"/>
      <c r="M98" s="659" t="e">
        <f t="shared" si="2"/>
        <v>#VALUE!</v>
      </c>
      <c r="N98" s="659" t="e">
        <f t="shared" si="3"/>
        <v>#VALUE!</v>
      </c>
      <c r="O98" s="659" t="e">
        <f t="shared" si="26"/>
        <v>#N/A</v>
      </c>
      <c r="P98" s="659" t="e">
        <f t="shared" si="26"/>
        <v>#N/A</v>
      </c>
      <c r="Q98" s="659" t="e">
        <f t="shared" si="5"/>
        <v>#N/A</v>
      </c>
      <c r="R98" s="730">
        <f t="shared" si="15"/>
        <v>0</v>
      </c>
      <c r="S98" s="730" t="e">
        <f t="shared" si="16"/>
        <v>#VALUE!</v>
      </c>
      <c r="T98" s="701" t="e">
        <f t="shared" si="17"/>
        <v>#N/A</v>
      </c>
      <c r="U98" s="701" t="e">
        <f t="shared" si="18"/>
        <v>#VALUE!</v>
      </c>
      <c r="V98" s="701" t="e">
        <f t="shared" si="6"/>
        <v>#N/A</v>
      </c>
      <c r="W98" s="701" t="e">
        <f t="shared" si="7"/>
        <v>#VALUE!</v>
      </c>
      <c r="X98" s="701" t="e">
        <f t="shared" si="8"/>
        <v>#VALUE!</v>
      </c>
      <c r="Y98" s="731">
        <f t="shared" si="19"/>
        <v>0</v>
      </c>
      <c r="Z98" s="731" t="e">
        <f t="shared" si="20"/>
        <v>#VALUE!</v>
      </c>
      <c r="AA98" s="732" t="e">
        <f t="shared" si="9"/>
        <v>#VALUE!</v>
      </c>
      <c r="AB98" s="732" t="e">
        <f t="shared" si="21"/>
        <v>#VALUE!</v>
      </c>
      <c r="AC98" s="730">
        <f t="shared" si="27"/>
        <v>0</v>
      </c>
      <c r="AD98" s="730">
        <f t="shared" si="27"/>
        <v>0</v>
      </c>
      <c r="AE98" s="701" t="e">
        <f t="shared" si="11"/>
        <v>#VALUE!</v>
      </c>
      <c r="AF98" s="701" t="e">
        <f t="shared" si="12"/>
        <v>#VALUE!</v>
      </c>
      <c r="AG98" s="701" t="e">
        <f t="shared" si="13"/>
        <v>#VALUE!</v>
      </c>
      <c r="AH98" s="701" t="e">
        <f t="shared" si="14"/>
        <v>#VALUE!</v>
      </c>
      <c r="AI98" s="730" t="e">
        <f>AH98+IF(Inputs!C$39="Electric",Q98/3412,0)</f>
        <v>#VALUE!</v>
      </c>
      <c r="AJ98" s="730" t="e">
        <f t="shared" si="22"/>
        <v>#VALUE!</v>
      </c>
      <c r="AK98" s="133"/>
    </row>
    <row r="99" spans="5:37" x14ac:dyDescent="0.2">
      <c r="E99" s="719">
        <v>54</v>
      </c>
      <c r="F99" s="728">
        <v>-3</v>
      </c>
      <c r="G99" s="729" t="e">
        <f>HLOOKUP($B$48, 'Weather Data'!$CC$17:$CZ$80,E99,FALSE)</f>
        <v>#N/A</v>
      </c>
      <c r="H99" s="728" t="str">
        <f>IF(F99&gt;=Inputs!$C$24,"Cooling",IF(F99&lt;=Inputs!$C$29,"Heating","Neither"))</f>
        <v>Heating</v>
      </c>
      <c r="I99" s="728" t="e">
        <f>IF(F99&gt;=Inputs!$D$24,"Cooling",IF(F99&lt;=Inputs!$D$29,"Heating","Neither"))</f>
        <v>#VALUE!</v>
      </c>
      <c r="J99" s="659" t="e">
        <f>IF(H99="Cooling",(F99-Inputs!$C$24)*($V$3)/(Inputs!$C$32-Inputs!$C$24),IF(H99="Heating",(Inputs!$C$29-F99)*($V$15)/(Inputs!$C$29-Inputs!$C$33)/$C$53,0))</f>
        <v>#VALUE!</v>
      </c>
      <c r="K99" s="659" t="e">
        <f>IF(I99="Cooling",(F99-Inputs!$D$24)*($V$4)/(Inputs!$C$32-Inputs!$D$24),IF(I99="Heating",(Inputs!$D$29-F99)*($V$16)/(Inputs!$D$29-Inputs!$C$33)/$C$53,0))</f>
        <v>#VALUE!</v>
      </c>
      <c r="L99" s="659"/>
      <c r="M99" s="659" t="e">
        <f t="shared" si="2"/>
        <v>#VALUE!</v>
      </c>
      <c r="N99" s="659" t="e">
        <f t="shared" si="3"/>
        <v>#VALUE!</v>
      </c>
      <c r="O99" s="659" t="e">
        <f t="shared" si="26"/>
        <v>#N/A</v>
      </c>
      <c r="P99" s="659" t="e">
        <f t="shared" si="26"/>
        <v>#N/A</v>
      </c>
      <c r="Q99" s="659" t="e">
        <f t="shared" si="5"/>
        <v>#N/A</v>
      </c>
      <c r="R99" s="730">
        <f t="shared" si="15"/>
        <v>0</v>
      </c>
      <c r="S99" s="730" t="e">
        <f t="shared" si="16"/>
        <v>#VALUE!</v>
      </c>
      <c r="T99" s="701" t="e">
        <f t="shared" si="17"/>
        <v>#N/A</v>
      </c>
      <c r="U99" s="701" t="e">
        <f t="shared" si="18"/>
        <v>#VALUE!</v>
      </c>
      <c r="V99" s="701" t="e">
        <f t="shared" si="6"/>
        <v>#N/A</v>
      </c>
      <c r="W99" s="701" t="e">
        <f t="shared" si="7"/>
        <v>#VALUE!</v>
      </c>
      <c r="X99" s="701" t="e">
        <f t="shared" si="8"/>
        <v>#VALUE!</v>
      </c>
      <c r="Y99" s="731">
        <f t="shared" si="19"/>
        <v>0</v>
      </c>
      <c r="Z99" s="731" t="e">
        <f t="shared" si="20"/>
        <v>#VALUE!</v>
      </c>
      <c r="AA99" s="732" t="e">
        <f t="shared" si="9"/>
        <v>#VALUE!</v>
      </c>
      <c r="AB99" s="732" t="e">
        <f t="shared" si="21"/>
        <v>#VALUE!</v>
      </c>
      <c r="AC99" s="730">
        <f t="shared" si="27"/>
        <v>0</v>
      </c>
      <c r="AD99" s="730">
        <f t="shared" si="27"/>
        <v>0</v>
      </c>
      <c r="AE99" s="701" t="e">
        <f t="shared" si="11"/>
        <v>#VALUE!</v>
      </c>
      <c r="AF99" s="701" t="e">
        <f t="shared" si="12"/>
        <v>#VALUE!</v>
      </c>
      <c r="AG99" s="701" t="e">
        <f t="shared" si="13"/>
        <v>#VALUE!</v>
      </c>
      <c r="AH99" s="701" t="e">
        <f t="shared" si="14"/>
        <v>#VALUE!</v>
      </c>
      <c r="AI99" s="730" t="e">
        <f>AH99+IF(Inputs!C$39="Electric",Q99/3412,0)</f>
        <v>#VALUE!</v>
      </c>
      <c r="AJ99" s="730" t="e">
        <f t="shared" si="22"/>
        <v>#VALUE!</v>
      </c>
      <c r="AK99" s="133"/>
    </row>
    <row r="100" spans="5:37" x14ac:dyDescent="0.2">
      <c r="E100" s="719">
        <v>55</v>
      </c>
      <c r="F100" s="728">
        <v>-5</v>
      </c>
      <c r="G100" s="729" t="e">
        <f>HLOOKUP($B$48, 'Weather Data'!$CC$17:$CZ$80,E100,FALSE)</f>
        <v>#N/A</v>
      </c>
      <c r="H100" s="728" t="str">
        <f>IF(F100&gt;=Inputs!$C$24,"Cooling",IF(F100&lt;=Inputs!$C$29,"Heating","Neither"))</f>
        <v>Heating</v>
      </c>
      <c r="I100" s="728" t="e">
        <f>IF(F100&gt;=Inputs!$D$24,"Cooling",IF(F100&lt;=Inputs!$D$29,"Heating","Neither"))</f>
        <v>#VALUE!</v>
      </c>
      <c r="J100" s="659" t="e">
        <f>IF(H100="Cooling",(F100-Inputs!$C$24)*($V$3)/(Inputs!$C$32-Inputs!$C$24),IF(H100="Heating",(Inputs!$C$29-F100)*($V$15)/(Inputs!$C$29-Inputs!$C$33)/$C$53,0))</f>
        <v>#VALUE!</v>
      </c>
      <c r="K100" s="659" t="e">
        <f>IF(I100="Cooling",(F100-Inputs!$D$24)*($V$4)/(Inputs!$C$32-Inputs!$D$24),IF(I100="Heating",(Inputs!$D$29-F100)*($V$16)/(Inputs!$D$29-Inputs!$C$33)/$C$53,0))</f>
        <v>#VALUE!</v>
      </c>
      <c r="L100" s="659"/>
      <c r="M100" s="659" t="e">
        <f t="shared" si="2"/>
        <v>#VALUE!</v>
      </c>
      <c r="N100" s="659" t="e">
        <f t="shared" si="3"/>
        <v>#VALUE!</v>
      </c>
      <c r="O100" s="659" t="e">
        <f t="shared" si="26"/>
        <v>#N/A</v>
      </c>
      <c r="P100" s="659" t="e">
        <f t="shared" si="26"/>
        <v>#N/A</v>
      </c>
      <c r="Q100" s="659" t="e">
        <f t="shared" si="5"/>
        <v>#N/A</v>
      </c>
      <c r="R100" s="730">
        <f t="shared" si="15"/>
        <v>0</v>
      </c>
      <c r="S100" s="730" t="e">
        <f t="shared" si="16"/>
        <v>#VALUE!</v>
      </c>
      <c r="T100" s="701" t="e">
        <f t="shared" si="17"/>
        <v>#N/A</v>
      </c>
      <c r="U100" s="701" t="e">
        <f t="shared" si="18"/>
        <v>#VALUE!</v>
      </c>
      <c r="V100" s="701" t="e">
        <f t="shared" si="6"/>
        <v>#N/A</v>
      </c>
      <c r="W100" s="701" t="e">
        <f t="shared" si="7"/>
        <v>#VALUE!</v>
      </c>
      <c r="X100" s="701" t="e">
        <f t="shared" si="8"/>
        <v>#VALUE!</v>
      </c>
      <c r="Y100" s="731">
        <f t="shared" si="19"/>
        <v>0</v>
      </c>
      <c r="Z100" s="731" t="e">
        <f t="shared" si="20"/>
        <v>#VALUE!</v>
      </c>
      <c r="AA100" s="732" t="e">
        <f t="shared" si="9"/>
        <v>#VALUE!</v>
      </c>
      <c r="AB100" s="732" t="e">
        <f t="shared" si="21"/>
        <v>#VALUE!</v>
      </c>
      <c r="AC100" s="730">
        <f t="shared" si="27"/>
        <v>0</v>
      </c>
      <c r="AD100" s="730">
        <f t="shared" si="27"/>
        <v>0</v>
      </c>
      <c r="AE100" s="701" t="e">
        <f t="shared" si="11"/>
        <v>#VALUE!</v>
      </c>
      <c r="AF100" s="701" t="e">
        <f t="shared" si="12"/>
        <v>#VALUE!</v>
      </c>
      <c r="AG100" s="701" t="e">
        <f t="shared" si="13"/>
        <v>#VALUE!</v>
      </c>
      <c r="AH100" s="701" t="e">
        <f t="shared" si="14"/>
        <v>#VALUE!</v>
      </c>
      <c r="AI100" s="730" t="e">
        <f>AH100+IF(Inputs!C$39="Electric",Q100/3412,0)</f>
        <v>#VALUE!</v>
      </c>
      <c r="AJ100" s="730" t="e">
        <f t="shared" si="22"/>
        <v>#VALUE!</v>
      </c>
      <c r="AK100" s="133"/>
    </row>
    <row r="101" spans="5:37" x14ac:dyDescent="0.2">
      <c r="E101" s="719">
        <v>56</v>
      </c>
      <c r="F101" s="728">
        <v>-7</v>
      </c>
      <c r="G101" s="729" t="e">
        <f>HLOOKUP($B$48, 'Weather Data'!$CC$17:$CZ$80,E101,FALSE)</f>
        <v>#N/A</v>
      </c>
      <c r="H101" s="728" t="str">
        <f>IF(F101&gt;=Inputs!$C$24,"Cooling",IF(F101&lt;=Inputs!$C$29,"Heating","Neither"))</f>
        <v>Heating</v>
      </c>
      <c r="I101" s="728" t="e">
        <f>IF(F101&gt;=Inputs!$D$24,"Cooling",IF(F101&lt;=Inputs!$D$29,"Heating","Neither"))</f>
        <v>#VALUE!</v>
      </c>
      <c r="J101" s="659" t="e">
        <f>IF(H101="Cooling",(F101-Inputs!$C$24)*($V$3)/(Inputs!$C$32-Inputs!$C$24),IF(H101="Heating",(Inputs!$C$29-F101)*($V$15)/(Inputs!$C$29-Inputs!$C$33)/$C$53,0))</f>
        <v>#VALUE!</v>
      </c>
      <c r="K101" s="659" t="e">
        <f>IF(I101="Cooling",(F101-Inputs!$D$24)*($V$4)/(Inputs!$C$32-Inputs!$D$24),IF(I101="Heating",(Inputs!$D$29-F101)*($V$16)/(Inputs!$D$29-Inputs!$C$33)/$C$53,0))</f>
        <v>#VALUE!</v>
      </c>
      <c r="L101" s="659"/>
      <c r="M101" s="659" t="e">
        <f t="shared" si="2"/>
        <v>#VALUE!</v>
      </c>
      <c r="N101" s="659" t="e">
        <f t="shared" si="3"/>
        <v>#VALUE!</v>
      </c>
      <c r="O101" s="659" t="e">
        <f t="shared" si="26"/>
        <v>#N/A</v>
      </c>
      <c r="P101" s="659" t="e">
        <f t="shared" si="26"/>
        <v>#N/A</v>
      </c>
      <c r="Q101" s="659" t="e">
        <f t="shared" si="5"/>
        <v>#N/A</v>
      </c>
      <c r="R101" s="730">
        <f t="shared" si="15"/>
        <v>0</v>
      </c>
      <c r="S101" s="730" t="e">
        <f t="shared" si="16"/>
        <v>#VALUE!</v>
      </c>
      <c r="T101" s="701" t="e">
        <f t="shared" si="17"/>
        <v>#N/A</v>
      </c>
      <c r="U101" s="701" t="e">
        <f t="shared" si="18"/>
        <v>#VALUE!</v>
      </c>
      <c r="V101" s="701" t="e">
        <f t="shared" si="6"/>
        <v>#N/A</v>
      </c>
      <c r="W101" s="701" t="e">
        <f t="shared" si="7"/>
        <v>#VALUE!</v>
      </c>
      <c r="X101" s="701" t="e">
        <f t="shared" si="8"/>
        <v>#VALUE!</v>
      </c>
      <c r="Y101" s="731">
        <f t="shared" si="19"/>
        <v>0</v>
      </c>
      <c r="Z101" s="731" t="e">
        <f t="shared" si="20"/>
        <v>#VALUE!</v>
      </c>
      <c r="AA101" s="732" t="e">
        <f t="shared" si="9"/>
        <v>#VALUE!</v>
      </c>
      <c r="AB101" s="732" t="e">
        <f t="shared" si="21"/>
        <v>#VALUE!</v>
      </c>
      <c r="AC101" s="730">
        <f t="shared" si="27"/>
        <v>0</v>
      </c>
      <c r="AD101" s="730">
        <f t="shared" si="27"/>
        <v>0</v>
      </c>
      <c r="AE101" s="701" t="e">
        <f t="shared" si="11"/>
        <v>#VALUE!</v>
      </c>
      <c r="AF101" s="701" t="e">
        <f t="shared" si="12"/>
        <v>#VALUE!</v>
      </c>
      <c r="AG101" s="701" t="e">
        <f t="shared" si="13"/>
        <v>#VALUE!</v>
      </c>
      <c r="AH101" s="701" t="e">
        <f t="shared" si="14"/>
        <v>#VALUE!</v>
      </c>
      <c r="AI101" s="730" t="e">
        <f>AH101+IF(Inputs!C$39="Electric",Q101/3412,0)</f>
        <v>#VALUE!</v>
      </c>
      <c r="AJ101" s="730" t="e">
        <f t="shared" si="22"/>
        <v>#VALUE!</v>
      </c>
      <c r="AK101" s="133"/>
    </row>
    <row r="102" spans="5:37" x14ac:dyDescent="0.2">
      <c r="E102" s="719">
        <v>57</v>
      </c>
      <c r="F102" s="728">
        <v>-9</v>
      </c>
      <c r="G102" s="729" t="e">
        <f>HLOOKUP($B$48, 'Weather Data'!$CC$17:$CZ$80,E102,FALSE)</f>
        <v>#N/A</v>
      </c>
      <c r="H102" s="728" t="str">
        <f>IF(F102&gt;=Inputs!$C$24,"Cooling",IF(F102&lt;=Inputs!$C$29,"Heating","Neither"))</f>
        <v>Heating</v>
      </c>
      <c r="I102" s="728" t="e">
        <f>IF(F102&gt;=Inputs!$D$24,"Cooling",IF(F102&lt;=Inputs!$D$29,"Heating","Neither"))</f>
        <v>#VALUE!</v>
      </c>
      <c r="J102" s="659" t="e">
        <f>IF(H102="Cooling",(F102-Inputs!$C$24)*($V$3)/(Inputs!$C$32-Inputs!$C$24),IF(H102="Heating",(Inputs!$C$29-F102)*($V$15)/(Inputs!$C$29-Inputs!$C$33)/$C$53,0))</f>
        <v>#VALUE!</v>
      </c>
      <c r="K102" s="659" t="e">
        <f>IF(I102="Cooling",(F102-Inputs!$D$24)*($V$4)/(Inputs!$C$32-Inputs!$D$24),IF(I102="Heating",(Inputs!$D$29-F102)*($V$16)/(Inputs!$D$29-Inputs!$C$33)/$C$53,0))</f>
        <v>#VALUE!</v>
      </c>
      <c r="L102" s="659"/>
      <c r="M102" s="659" t="e">
        <f t="shared" si="2"/>
        <v>#VALUE!</v>
      </c>
      <c r="N102" s="659" t="e">
        <f t="shared" si="3"/>
        <v>#VALUE!</v>
      </c>
      <c r="O102" s="659" t="e">
        <f t="shared" si="26"/>
        <v>#N/A</v>
      </c>
      <c r="P102" s="659" t="e">
        <f t="shared" si="26"/>
        <v>#N/A</v>
      </c>
      <c r="Q102" s="659" t="e">
        <f t="shared" si="5"/>
        <v>#N/A</v>
      </c>
      <c r="R102" s="730">
        <f t="shared" si="15"/>
        <v>0</v>
      </c>
      <c r="S102" s="730" t="e">
        <f t="shared" si="16"/>
        <v>#VALUE!</v>
      </c>
      <c r="T102" s="701" t="e">
        <f t="shared" si="17"/>
        <v>#N/A</v>
      </c>
      <c r="U102" s="701" t="e">
        <f t="shared" si="18"/>
        <v>#VALUE!</v>
      </c>
      <c r="V102" s="701" t="e">
        <f t="shared" si="6"/>
        <v>#N/A</v>
      </c>
      <c r="W102" s="701" t="e">
        <f t="shared" si="7"/>
        <v>#VALUE!</v>
      </c>
      <c r="X102" s="701" t="e">
        <f t="shared" si="8"/>
        <v>#VALUE!</v>
      </c>
      <c r="Y102" s="731">
        <f t="shared" si="19"/>
        <v>0</v>
      </c>
      <c r="Z102" s="731" t="e">
        <f t="shared" si="20"/>
        <v>#VALUE!</v>
      </c>
      <c r="AA102" s="732" t="e">
        <f t="shared" si="9"/>
        <v>#VALUE!</v>
      </c>
      <c r="AB102" s="732" t="e">
        <f t="shared" si="21"/>
        <v>#VALUE!</v>
      </c>
      <c r="AC102" s="730">
        <f t="shared" si="27"/>
        <v>0</v>
      </c>
      <c r="AD102" s="730">
        <f t="shared" si="27"/>
        <v>0</v>
      </c>
      <c r="AE102" s="701" t="e">
        <f t="shared" si="11"/>
        <v>#VALUE!</v>
      </c>
      <c r="AF102" s="701" t="e">
        <f t="shared" si="12"/>
        <v>#VALUE!</v>
      </c>
      <c r="AG102" s="701" t="e">
        <f t="shared" si="13"/>
        <v>#VALUE!</v>
      </c>
      <c r="AH102" s="701" t="e">
        <f t="shared" si="14"/>
        <v>#VALUE!</v>
      </c>
      <c r="AI102" s="730" t="e">
        <f>AH102+IF(Inputs!C$39="Electric",Q102/3412,0)</f>
        <v>#VALUE!</v>
      </c>
      <c r="AJ102" s="730" t="e">
        <f t="shared" si="22"/>
        <v>#VALUE!</v>
      </c>
      <c r="AK102" s="133"/>
    </row>
    <row r="103" spans="5:37" x14ac:dyDescent="0.2">
      <c r="E103" s="719">
        <v>58</v>
      </c>
      <c r="F103" s="728">
        <v>-11</v>
      </c>
      <c r="G103" s="729" t="e">
        <f>HLOOKUP($B$48, 'Weather Data'!$CC$17:$CZ$80,E103,FALSE)</f>
        <v>#N/A</v>
      </c>
      <c r="H103" s="728" t="str">
        <f>IF(F103&gt;=Inputs!$C$24,"Cooling",IF(F103&lt;=Inputs!$C$29,"Heating","Neither"))</f>
        <v>Heating</v>
      </c>
      <c r="I103" s="728" t="e">
        <f>IF(F103&gt;=Inputs!$D$24,"Cooling",IF(F103&lt;=Inputs!$D$29,"Heating","Neither"))</f>
        <v>#VALUE!</v>
      </c>
      <c r="J103" s="659" t="e">
        <f>IF(H103="Cooling",(F103-Inputs!$C$24)*($V$3)/(Inputs!$C$32-Inputs!$C$24),IF(H103="Heating",(Inputs!$C$29-F103)*($V$15)/(Inputs!$C$29-Inputs!$C$33)/$C$53,0))</f>
        <v>#VALUE!</v>
      </c>
      <c r="K103" s="659" t="e">
        <f>IF(I103="Cooling",(F103-Inputs!$D$24)*($V$4)/(Inputs!$C$32-Inputs!$D$24),IF(I103="Heating",(Inputs!$D$29-F103)*($V$16)/(Inputs!$D$29-Inputs!$C$33)/$C$53,0))</f>
        <v>#VALUE!</v>
      </c>
      <c r="L103" s="659"/>
      <c r="M103" s="659" t="e">
        <f t="shared" si="2"/>
        <v>#VALUE!</v>
      </c>
      <c r="N103" s="659" t="e">
        <f t="shared" si="3"/>
        <v>#VALUE!</v>
      </c>
      <c r="O103" s="659" t="e">
        <f t="shared" si="26"/>
        <v>#N/A</v>
      </c>
      <c r="P103" s="659" t="e">
        <f t="shared" si="26"/>
        <v>#N/A</v>
      </c>
      <c r="Q103" s="659" t="e">
        <f t="shared" si="5"/>
        <v>#N/A</v>
      </c>
      <c r="R103" s="730">
        <f t="shared" si="15"/>
        <v>0</v>
      </c>
      <c r="S103" s="730" t="e">
        <f t="shared" si="16"/>
        <v>#VALUE!</v>
      </c>
      <c r="T103" s="701" t="e">
        <f t="shared" si="17"/>
        <v>#N/A</v>
      </c>
      <c r="U103" s="701" t="e">
        <f t="shared" si="18"/>
        <v>#VALUE!</v>
      </c>
      <c r="V103" s="701" t="e">
        <f t="shared" si="6"/>
        <v>#N/A</v>
      </c>
      <c r="W103" s="701" t="e">
        <f t="shared" si="7"/>
        <v>#VALUE!</v>
      </c>
      <c r="X103" s="701" t="e">
        <f t="shared" si="8"/>
        <v>#VALUE!</v>
      </c>
      <c r="Y103" s="731">
        <f t="shared" si="19"/>
        <v>0</v>
      </c>
      <c r="Z103" s="731" t="e">
        <f t="shared" si="20"/>
        <v>#VALUE!</v>
      </c>
      <c r="AA103" s="732" t="e">
        <f t="shared" si="9"/>
        <v>#VALUE!</v>
      </c>
      <c r="AB103" s="732" t="e">
        <f t="shared" si="21"/>
        <v>#VALUE!</v>
      </c>
      <c r="AC103" s="730">
        <f t="shared" si="27"/>
        <v>0</v>
      </c>
      <c r="AD103" s="730">
        <f t="shared" si="27"/>
        <v>0</v>
      </c>
      <c r="AE103" s="701" t="e">
        <f t="shared" si="11"/>
        <v>#VALUE!</v>
      </c>
      <c r="AF103" s="701" t="e">
        <f t="shared" si="12"/>
        <v>#VALUE!</v>
      </c>
      <c r="AG103" s="701" t="e">
        <f t="shared" si="13"/>
        <v>#VALUE!</v>
      </c>
      <c r="AH103" s="701" t="e">
        <f t="shared" si="14"/>
        <v>#VALUE!</v>
      </c>
      <c r="AI103" s="730" t="e">
        <f>AH103+IF(Inputs!C$39="Electric",Q103/3412,0)</f>
        <v>#VALUE!</v>
      </c>
      <c r="AJ103" s="730" t="e">
        <f t="shared" si="22"/>
        <v>#VALUE!</v>
      </c>
      <c r="AK103" s="133"/>
    </row>
    <row r="104" spans="5:37" x14ac:dyDescent="0.2">
      <c r="E104" s="719">
        <v>59</v>
      </c>
      <c r="F104" s="728">
        <v>-13</v>
      </c>
      <c r="G104" s="729" t="e">
        <f>HLOOKUP($B$48, 'Weather Data'!$CC$17:$CZ$80,E104,FALSE)</f>
        <v>#N/A</v>
      </c>
      <c r="H104" s="728" t="str">
        <f>IF(F104&gt;=Inputs!$C$24,"Cooling",IF(F104&lt;=Inputs!$C$29,"Heating","Neither"))</f>
        <v>Heating</v>
      </c>
      <c r="I104" s="728" t="e">
        <f>IF(F104&gt;=Inputs!$D$24,"Cooling",IF(F104&lt;=Inputs!$D$29,"Heating","Neither"))</f>
        <v>#VALUE!</v>
      </c>
      <c r="J104" s="659" t="e">
        <f>IF(H104="Cooling",(F104-Inputs!$C$24)*($V$3)/(Inputs!$C$32-Inputs!$C$24),IF(H104="Heating",(Inputs!$C$29-F104)*($V$15)/(Inputs!$C$29-Inputs!$C$33)/$C$53,0))</f>
        <v>#VALUE!</v>
      </c>
      <c r="K104" s="659" t="e">
        <f>IF(I104="Cooling",(F104-Inputs!$D$24)*($V$4)/(Inputs!$C$32-Inputs!$D$24),IF(I104="Heating",(Inputs!$D$29-F104)*($V$16)/(Inputs!$D$29-Inputs!$C$33)/$C$53,0))</f>
        <v>#VALUE!</v>
      </c>
      <c r="L104" s="659"/>
      <c r="M104" s="659" t="e">
        <f t="shared" si="2"/>
        <v>#VALUE!</v>
      </c>
      <c r="N104" s="659" t="e">
        <f t="shared" si="3"/>
        <v>#VALUE!</v>
      </c>
      <c r="O104" s="659" t="e">
        <f t="shared" si="26"/>
        <v>#N/A</v>
      </c>
      <c r="P104" s="659" t="e">
        <f t="shared" si="26"/>
        <v>#N/A</v>
      </c>
      <c r="Q104" s="659" t="e">
        <f t="shared" si="5"/>
        <v>#N/A</v>
      </c>
      <c r="R104" s="730">
        <f t="shared" si="15"/>
        <v>0</v>
      </c>
      <c r="S104" s="730" t="e">
        <f t="shared" si="16"/>
        <v>#VALUE!</v>
      </c>
      <c r="T104" s="701" t="e">
        <f t="shared" si="17"/>
        <v>#N/A</v>
      </c>
      <c r="U104" s="701" t="e">
        <f t="shared" si="18"/>
        <v>#VALUE!</v>
      </c>
      <c r="V104" s="701" t="e">
        <f t="shared" si="6"/>
        <v>#N/A</v>
      </c>
      <c r="W104" s="701" t="e">
        <f t="shared" si="7"/>
        <v>#VALUE!</v>
      </c>
      <c r="X104" s="701" t="e">
        <f t="shared" si="8"/>
        <v>#VALUE!</v>
      </c>
      <c r="Y104" s="731">
        <f t="shared" si="19"/>
        <v>0</v>
      </c>
      <c r="Z104" s="731" t="e">
        <f t="shared" si="20"/>
        <v>#VALUE!</v>
      </c>
      <c r="AA104" s="732" t="e">
        <f t="shared" si="9"/>
        <v>#VALUE!</v>
      </c>
      <c r="AB104" s="732" t="e">
        <f t="shared" si="21"/>
        <v>#VALUE!</v>
      </c>
      <c r="AC104" s="730">
        <f t="shared" si="27"/>
        <v>0</v>
      </c>
      <c r="AD104" s="730">
        <f t="shared" si="27"/>
        <v>0</v>
      </c>
      <c r="AE104" s="701" t="e">
        <f t="shared" si="11"/>
        <v>#VALUE!</v>
      </c>
      <c r="AF104" s="701" t="e">
        <f t="shared" si="12"/>
        <v>#VALUE!</v>
      </c>
      <c r="AG104" s="701" t="e">
        <f t="shared" si="13"/>
        <v>#VALUE!</v>
      </c>
      <c r="AH104" s="701" t="e">
        <f t="shared" si="14"/>
        <v>#VALUE!</v>
      </c>
      <c r="AI104" s="730" t="e">
        <f>AH104+IF(Inputs!C$39="Electric",Q104/3412,0)</f>
        <v>#VALUE!</v>
      </c>
      <c r="AJ104" s="730" t="e">
        <f t="shared" si="22"/>
        <v>#VALUE!</v>
      </c>
      <c r="AK104" s="133"/>
    </row>
    <row r="105" spans="5:37" x14ac:dyDescent="0.2">
      <c r="E105" s="719">
        <v>60</v>
      </c>
      <c r="F105" s="728">
        <v>-15</v>
      </c>
      <c r="G105" s="729" t="e">
        <f>HLOOKUP($B$48, 'Weather Data'!$CC$17:$CZ$80,E105,FALSE)</f>
        <v>#N/A</v>
      </c>
      <c r="H105" s="728" t="str">
        <f>IF(F105&gt;=Inputs!$C$24,"Cooling",IF(F105&lt;=Inputs!$C$29,"Heating","Neither"))</f>
        <v>Heating</v>
      </c>
      <c r="I105" s="728" t="e">
        <f>IF(F105&gt;=Inputs!$D$24,"Cooling",IF(F105&lt;=Inputs!$D$29,"Heating","Neither"))</f>
        <v>#VALUE!</v>
      </c>
      <c r="J105" s="659" t="e">
        <f>IF(H105="Cooling",(F105-Inputs!$C$24)*($V$3)/(Inputs!$C$32-Inputs!$C$24),IF(H105="Heating",(Inputs!$C$29-F105)*($V$15)/(Inputs!$C$29-Inputs!$C$33)/$C$53,0))</f>
        <v>#VALUE!</v>
      </c>
      <c r="K105" s="659" t="e">
        <f>IF(I105="Cooling",(F105-Inputs!$D$24)*($V$4)/(Inputs!$C$32-Inputs!$D$24),IF(I105="Heating",(Inputs!$D$29-F105)*($V$16)/(Inputs!$D$29-Inputs!$C$33)/$C$53,0))</f>
        <v>#VALUE!</v>
      </c>
      <c r="L105" s="659"/>
      <c r="M105" s="659" t="e">
        <f t="shared" si="2"/>
        <v>#VALUE!</v>
      </c>
      <c r="N105" s="659" t="e">
        <f t="shared" si="3"/>
        <v>#VALUE!</v>
      </c>
      <c r="O105" s="659" t="e">
        <f t="shared" si="26"/>
        <v>#N/A</v>
      </c>
      <c r="P105" s="659" t="e">
        <f t="shared" si="26"/>
        <v>#N/A</v>
      </c>
      <c r="Q105" s="659" t="e">
        <f t="shared" si="5"/>
        <v>#N/A</v>
      </c>
      <c r="R105" s="730">
        <f t="shared" si="15"/>
        <v>0</v>
      </c>
      <c r="S105" s="730" t="e">
        <f t="shared" si="16"/>
        <v>#VALUE!</v>
      </c>
      <c r="T105" s="701" t="e">
        <f t="shared" si="17"/>
        <v>#N/A</v>
      </c>
      <c r="U105" s="701" t="e">
        <f t="shared" si="18"/>
        <v>#VALUE!</v>
      </c>
      <c r="V105" s="701" t="e">
        <f t="shared" si="6"/>
        <v>#N/A</v>
      </c>
      <c r="W105" s="701" t="e">
        <f t="shared" si="7"/>
        <v>#VALUE!</v>
      </c>
      <c r="X105" s="701" t="e">
        <f t="shared" si="8"/>
        <v>#VALUE!</v>
      </c>
      <c r="Y105" s="731">
        <f t="shared" si="19"/>
        <v>0</v>
      </c>
      <c r="Z105" s="731" t="e">
        <f t="shared" si="20"/>
        <v>#VALUE!</v>
      </c>
      <c r="AA105" s="732" t="e">
        <f t="shared" si="9"/>
        <v>#VALUE!</v>
      </c>
      <c r="AB105" s="732" t="e">
        <f t="shared" si="21"/>
        <v>#VALUE!</v>
      </c>
      <c r="AC105" s="730">
        <f t="shared" si="27"/>
        <v>0</v>
      </c>
      <c r="AD105" s="730">
        <f t="shared" si="27"/>
        <v>0</v>
      </c>
      <c r="AE105" s="701" t="e">
        <f t="shared" si="11"/>
        <v>#VALUE!</v>
      </c>
      <c r="AF105" s="701" t="e">
        <f t="shared" si="12"/>
        <v>#VALUE!</v>
      </c>
      <c r="AG105" s="701" t="e">
        <f t="shared" si="13"/>
        <v>#VALUE!</v>
      </c>
      <c r="AH105" s="701" t="e">
        <f t="shared" si="14"/>
        <v>#VALUE!</v>
      </c>
      <c r="AI105" s="730" t="e">
        <f>AH105+IF(Inputs!C$39="Electric",Q105/3412,0)</f>
        <v>#VALUE!</v>
      </c>
      <c r="AJ105" s="730" t="e">
        <f t="shared" si="22"/>
        <v>#VALUE!</v>
      </c>
      <c r="AK105" s="133"/>
    </row>
    <row r="106" spans="5:37" x14ac:dyDescent="0.2">
      <c r="E106" s="719">
        <v>61</v>
      </c>
      <c r="F106" s="728">
        <v>-17</v>
      </c>
      <c r="G106" s="729" t="e">
        <f>HLOOKUP($B$48, 'Weather Data'!$CC$17:$CZ$80,E106,FALSE)</f>
        <v>#N/A</v>
      </c>
      <c r="H106" s="728" t="str">
        <f>IF(F106&gt;=Inputs!$C$24,"Cooling",IF(F106&lt;=Inputs!$C$29,"Heating","Neither"))</f>
        <v>Heating</v>
      </c>
      <c r="I106" s="728" t="e">
        <f>IF(F106&gt;=Inputs!$D$24,"Cooling",IF(F106&lt;=Inputs!$D$29,"Heating","Neither"))</f>
        <v>#VALUE!</v>
      </c>
      <c r="J106" s="659" t="e">
        <f>IF(H106="Cooling",(F106-Inputs!$C$24)*($V$3)/(Inputs!$C$32-Inputs!$C$24),IF(H106="Heating",(Inputs!$C$29-F106)*($V$15)/(Inputs!$C$29-Inputs!$C$33)/$C$53,0))</f>
        <v>#VALUE!</v>
      </c>
      <c r="K106" s="659" t="e">
        <f>IF(I106="Cooling",(F106-Inputs!$D$24)*($V$4)/(Inputs!$C$32-Inputs!$D$24),IF(I106="Heating",(Inputs!$D$29-F106)*($V$16)/(Inputs!$D$29-Inputs!$C$33)/$C$53,0))</f>
        <v>#VALUE!</v>
      </c>
      <c r="L106" s="659"/>
      <c r="M106" s="659" t="e">
        <f t="shared" si="2"/>
        <v>#VALUE!</v>
      </c>
      <c r="N106" s="659" t="e">
        <f t="shared" si="3"/>
        <v>#VALUE!</v>
      </c>
      <c r="O106" s="659" t="e">
        <f t="shared" si="26"/>
        <v>#N/A</v>
      </c>
      <c r="P106" s="659" t="e">
        <f t="shared" si="26"/>
        <v>#N/A</v>
      </c>
      <c r="Q106" s="659" t="e">
        <f t="shared" si="5"/>
        <v>#N/A</v>
      </c>
      <c r="R106" s="730">
        <f t="shared" si="15"/>
        <v>0</v>
      </c>
      <c r="S106" s="730" t="e">
        <f t="shared" si="16"/>
        <v>#VALUE!</v>
      </c>
      <c r="T106" s="701" t="e">
        <f t="shared" si="17"/>
        <v>#N/A</v>
      </c>
      <c r="U106" s="701" t="e">
        <f t="shared" si="18"/>
        <v>#VALUE!</v>
      </c>
      <c r="V106" s="701" t="e">
        <f t="shared" si="6"/>
        <v>#N/A</v>
      </c>
      <c r="W106" s="701" t="e">
        <f t="shared" si="7"/>
        <v>#VALUE!</v>
      </c>
      <c r="X106" s="701" t="e">
        <f t="shared" si="8"/>
        <v>#VALUE!</v>
      </c>
      <c r="Y106" s="731">
        <f t="shared" si="19"/>
        <v>0</v>
      </c>
      <c r="Z106" s="731" t="e">
        <f t="shared" si="20"/>
        <v>#VALUE!</v>
      </c>
      <c r="AA106" s="732" t="e">
        <f t="shared" si="9"/>
        <v>#VALUE!</v>
      </c>
      <c r="AB106" s="732" t="e">
        <f t="shared" si="21"/>
        <v>#VALUE!</v>
      </c>
      <c r="AC106" s="730">
        <f t="shared" si="27"/>
        <v>0</v>
      </c>
      <c r="AD106" s="730">
        <f t="shared" si="27"/>
        <v>0</v>
      </c>
      <c r="AE106" s="701" t="e">
        <f t="shared" si="11"/>
        <v>#VALUE!</v>
      </c>
      <c r="AF106" s="701" t="e">
        <f t="shared" si="12"/>
        <v>#VALUE!</v>
      </c>
      <c r="AG106" s="701" t="e">
        <f t="shared" si="13"/>
        <v>#VALUE!</v>
      </c>
      <c r="AH106" s="701" t="e">
        <f t="shared" si="14"/>
        <v>#VALUE!</v>
      </c>
      <c r="AI106" s="730" t="e">
        <f>AH106+IF(Inputs!C$39="Electric",Q106/3412,0)</f>
        <v>#VALUE!</v>
      </c>
      <c r="AJ106" s="730" t="e">
        <f t="shared" si="22"/>
        <v>#VALUE!</v>
      </c>
      <c r="AK106" s="133"/>
    </row>
    <row r="107" spans="5:37" x14ac:dyDescent="0.2">
      <c r="E107" s="719">
        <v>62</v>
      </c>
      <c r="F107" s="728">
        <v>-19</v>
      </c>
      <c r="G107" s="729" t="e">
        <f>HLOOKUP($B$48, 'Weather Data'!$CC$17:$CZ$80,E107,FALSE)</f>
        <v>#N/A</v>
      </c>
      <c r="H107" s="728" t="str">
        <f>IF(F107&gt;=Inputs!$C$24,"Cooling",IF(F107&lt;=Inputs!$C$29,"Heating","Neither"))</f>
        <v>Heating</v>
      </c>
      <c r="I107" s="728" t="e">
        <f>IF(F107&gt;=Inputs!$D$24,"Cooling",IF(F107&lt;=Inputs!$D$29,"Heating","Neither"))</f>
        <v>#VALUE!</v>
      </c>
      <c r="J107" s="659" t="e">
        <f>IF(H107="Cooling",(F107-Inputs!$C$24)*($V$3)/(Inputs!$C$32-Inputs!$C$24),IF(H107="Heating",(Inputs!$C$29-F107)*($V$15)/(Inputs!$C$29-Inputs!$C$33)/$C$53,0))</f>
        <v>#VALUE!</v>
      </c>
      <c r="K107" s="659" t="e">
        <f>IF(I107="Cooling",(F107-Inputs!$D$24)*($V$4)/(Inputs!$C$32-Inputs!$D$24),IF(I107="Heating",(Inputs!$D$29-F107)*($V$16)/(Inputs!$D$29-Inputs!$C$33)/$C$53,0))</f>
        <v>#VALUE!</v>
      </c>
      <c r="L107" s="659"/>
      <c r="M107" s="659" t="e">
        <f t="shared" si="2"/>
        <v>#VALUE!</v>
      </c>
      <c r="N107" s="659" t="e">
        <f t="shared" si="3"/>
        <v>#VALUE!</v>
      </c>
      <c r="O107" s="659" t="e">
        <f t="shared" si="26"/>
        <v>#N/A</v>
      </c>
      <c r="P107" s="659" t="e">
        <f t="shared" si="26"/>
        <v>#N/A</v>
      </c>
      <c r="Q107" s="659" t="e">
        <f t="shared" si="5"/>
        <v>#N/A</v>
      </c>
      <c r="R107" s="730">
        <f t="shared" si="15"/>
        <v>0</v>
      </c>
      <c r="S107" s="730" t="e">
        <f t="shared" si="16"/>
        <v>#VALUE!</v>
      </c>
      <c r="T107" s="701" t="e">
        <f t="shared" si="17"/>
        <v>#N/A</v>
      </c>
      <c r="U107" s="701" t="e">
        <f t="shared" si="18"/>
        <v>#VALUE!</v>
      </c>
      <c r="V107" s="701" t="e">
        <f t="shared" si="6"/>
        <v>#N/A</v>
      </c>
      <c r="W107" s="701" t="e">
        <f t="shared" si="7"/>
        <v>#VALUE!</v>
      </c>
      <c r="X107" s="701" t="e">
        <f t="shared" si="8"/>
        <v>#VALUE!</v>
      </c>
      <c r="Y107" s="731">
        <f t="shared" si="19"/>
        <v>0</v>
      </c>
      <c r="Z107" s="731" t="e">
        <f t="shared" si="20"/>
        <v>#VALUE!</v>
      </c>
      <c r="AA107" s="732" t="e">
        <f t="shared" si="9"/>
        <v>#VALUE!</v>
      </c>
      <c r="AB107" s="732" t="e">
        <f t="shared" si="21"/>
        <v>#VALUE!</v>
      </c>
      <c r="AC107" s="730">
        <f t="shared" si="27"/>
        <v>0</v>
      </c>
      <c r="AD107" s="730">
        <f t="shared" si="27"/>
        <v>0</v>
      </c>
      <c r="AE107" s="701" t="e">
        <f t="shared" si="11"/>
        <v>#VALUE!</v>
      </c>
      <c r="AF107" s="701" t="e">
        <f t="shared" si="12"/>
        <v>#VALUE!</v>
      </c>
      <c r="AG107" s="701" t="e">
        <f t="shared" si="13"/>
        <v>#VALUE!</v>
      </c>
      <c r="AH107" s="701" t="e">
        <f t="shared" si="14"/>
        <v>#VALUE!</v>
      </c>
      <c r="AI107" s="730" t="e">
        <f>AH107+IF(Inputs!C$39="Electric",Q107/3412,0)</f>
        <v>#VALUE!</v>
      </c>
      <c r="AJ107" s="730" t="e">
        <f t="shared" si="22"/>
        <v>#VALUE!</v>
      </c>
      <c r="AK107" s="133"/>
    </row>
    <row r="108" spans="5:37" x14ac:dyDescent="0.2">
      <c r="E108" s="719">
        <v>63</v>
      </c>
      <c r="F108" s="728">
        <v>-21</v>
      </c>
      <c r="G108" s="729" t="e">
        <f>HLOOKUP($B$48, 'Weather Data'!$CC$17:$CZ$80,E108,FALSE)</f>
        <v>#N/A</v>
      </c>
      <c r="H108" s="728" t="str">
        <f>IF(F108&gt;=Inputs!$C$24,"Cooling",IF(F108&lt;=Inputs!$C$29,"Heating","Neither"))</f>
        <v>Heating</v>
      </c>
      <c r="I108" s="728" t="e">
        <f>IF(F108&gt;=Inputs!$D$24,"Cooling",IF(F108&lt;=Inputs!$D$29,"Heating","Neither"))</f>
        <v>#VALUE!</v>
      </c>
      <c r="J108" s="659" t="e">
        <f>IF(H108="Cooling",(F108-Inputs!$C$24)*($V$3)/(Inputs!$C$32-Inputs!$C$24),IF(H108="Heating",(Inputs!$C$29-F108)*($V$15)/(Inputs!$C$29-Inputs!$C$33)/$C$53,0))</f>
        <v>#VALUE!</v>
      </c>
      <c r="K108" s="659" t="e">
        <f>IF(I108="Cooling",(F108-Inputs!$D$24)*($V$4)/(Inputs!$C$32-Inputs!$D$24),IF(I108="Heating",(Inputs!$D$29-F108)*($V$16)/(Inputs!$D$29-Inputs!$C$33)/$C$53,0))</f>
        <v>#VALUE!</v>
      </c>
      <c r="L108" s="659"/>
      <c r="M108" s="659" t="e">
        <f t="shared" si="2"/>
        <v>#VALUE!</v>
      </c>
      <c r="N108" s="659" t="e">
        <f t="shared" si="3"/>
        <v>#VALUE!</v>
      </c>
      <c r="O108" s="659" t="e">
        <f t="shared" si="26"/>
        <v>#N/A</v>
      </c>
      <c r="P108" s="659" t="e">
        <f t="shared" si="26"/>
        <v>#N/A</v>
      </c>
      <c r="Q108" s="659" t="e">
        <f t="shared" si="5"/>
        <v>#N/A</v>
      </c>
      <c r="R108" s="730">
        <f t="shared" si="15"/>
        <v>0</v>
      </c>
      <c r="S108" s="730" t="e">
        <f t="shared" si="16"/>
        <v>#VALUE!</v>
      </c>
      <c r="T108" s="701" t="e">
        <f t="shared" si="17"/>
        <v>#N/A</v>
      </c>
      <c r="U108" s="701" t="e">
        <f t="shared" si="18"/>
        <v>#VALUE!</v>
      </c>
      <c r="V108" s="701" t="e">
        <f t="shared" si="6"/>
        <v>#N/A</v>
      </c>
      <c r="W108" s="701" t="e">
        <f t="shared" si="7"/>
        <v>#VALUE!</v>
      </c>
      <c r="X108" s="701" t="e">
        <f t="shared" si="8"/>
        <v>#VALUE!</v>
      </c>
      <c r="Y108" s="731">
        <f t="shared" si="19"/>
        <v>0</v>
      </c>
      <c r="Z108" s="731" t="e">
        <f t="shared" si="20"/>
        <v>#VALUE!</v>
      </c>
      <c r="AA108" s="732" t="e">
        <f t="shared" si="9"/>
        <v>#VALUE!</v>
      </c>
      <c r="AB108" s="732" t="e">
        <f t="shared" si="21"/>
        <v>#VALUE!</v>
      </c>
      <c r="AC108" s="730">
        <f t="shared" si="27"/>
        <v>0</v>
      </c>
      <c r="AD108" s="730">
        <f t="shared" si="27"/>
        <v>0</v>
      </c>
      <c r="AE108" s="701" t="e">
        <f t="shared" si="11"/>
        <v>#VALUE!</v>
      </c>
      <c r="AF108" s="701" t="e">
        <f t="shared" si="12"/>
        <v>#VALUE!</v>
      </c>
      <c r="AG108" s="701" t="e">
        <f t="shared" si="13"/>
        <v>#VALUE!</v>
      </c>
      <c r="AH108" s="701" t="e">
        <f t="shared" si="14"/>
        <v>#VALUE!</v>
      </c>
      <c r="AI108" s="730" t="e">
        <f>AH108+IF(Inputs!C$39="Electric",Q108/3412,0)</f>
        <v>#VALUE!</v>
      </c>
      <c r="AJ108" s="730" t="e">
        <f t="shared" si="22"/>
        <v>#VALUE!</v>
      </c>
      <c r="AK108" s="133"/>
    </row>
    <row r="109" spans="5:37" x14ac:dyDescent="0.2">
      <c r="E109" s="719">
        <v>64</v>
      </c>
      <c r="F109" s="728">
        <v>-23</v>
      </c>
      <c r="G109" s="729" t="e">
        <f>HLOOKUP($B$48, 'Weather Data'!$CC$17:$CZ$80,E109,FALSE)</f>
        <v>#N/A</v>
      </c>
      <c r="H109" s="728" t="str">
        <f>IF(F109&gt;=Inputs!$C$24,"Cooling",IF(F109&lt;=Inputs!$C$29,"Heating","Neither"))</f>
        <v>Heating</v>
      </c>
      <c r="I109" s="728" t="e">
        <f>IF(F109&gt;=Inputs!$D$24,"Cooling",IF(F109&lt;=Inputs!$D$29,"Heating","Neither"))</f>
        <v>#VALUE!</v>
      </c>
      <c r="J109" s="659" t="e">
        <f>IF(H109="Cooling",(F109-Inputs!$C$24)*($V$3)/(Inputs!$C$32-Inputs!$C$24),IF(H109="Heating",(Inputs!$C$29-F109)*($V$15)/(Inputs!$C$29-Inputs!$C$33)/$C$53,0))</f>
        <v>#VALUE!</v>
      </c>
      <c r="K109" s="659" t="e">
        <f>IF(I109="Cooling",(F109-Inputs!$D$24)*($V$4)/(Inputs!$C$32-Inputs!$D$24),IF(I109="Heating",(Inputs!$D$29-F109)*($V$16)/(Inputs!$D$29-Inputs!$C$33)/$C$53,0))</f>
        <v>#VALUE!</v>
      </c>
      <c r="L109" s="683"/>
      <c r="M109" s="659" t="e">
        <f t="shared" si="2"/>
        <v>#VALUE!</v>
      </c>
      <c r="N109" s="659" t="e">
        <f t="shared" si="3"/>
        <v>#VALUE!</v>
      </c>
      <c r="O109" s="683" t="e">
        <f t="shared" si="26"/>
        <v>#N/A</v>
      </c>
      <c r="P109" s="683" t="e">
        <f t="shared" si="26"/>
        <v>#N/A</v>
      </c>
      <c r="Q109" s="683" t="e">
        <f t="shared" si="5"/>
        <v>#N/A</v>
      </c>
      <c r="R109" s="730">
        <f t="shared" si="15"/>
        <v>0</v>
      </c>
      <c r="S109" s="730" t="e">
        <f t="shared" si="16"/>
        <v>#VALUE!</v>
      </c>
      <c r="T109" s="701" t="e">
        <f t="shared" si="17"/>
        <v>#N/A</v>
      </c>
      <c r="U109" s="701" t="e">
        <f t="shared" si="18"/>
        <v>#VALUE!</v>
      </c>
      <c r="V109" s="701" t="e">
        <f t="shared" si="6"/>
        <v>#N/A</v>
      </c>
      <c r="W109" s="701" t="e">
        <f t="shared" si="7"/>
        <v>#VALUE!</v>
      </c>
      <c r="X109" s="701" t="e">
        <f t="shared" si="8"/>
        <v>#VALUE!</v>
      </c>
      <c r="Y109" s="731">
        <f t="shared" si="19"/>
        <v>0</v>
      </c>
      <c r="Z109" s="731" t="e">
        <f t="shared" si="20"/>
        <v>#VALUE!</v>
      </c>
      <c r="AA109" s="732" t="e">
        <f t="shared" si="9"/>
        <v>#VALUE!</v>
      </c>
      <c r="AB109" s="732" t="e">
        <f t="shared" si="21"/>
        <v>#VALUE!</v>
      </c>
      <c r="AC109" s="730">
        <f t="shared" si="27"/>
        <v>0</v>
      </c>
      <c r="AD109" s="730">
        <f t="shared" si="27"/>
        <v>0</v>
      </c>
      <c r="AE109" s="701" t="e">
        <f t="shared" si="11"/>
        <v>#VALUE!</v>
      </c>
      <c r="AF109" s="701" t="e">
        <f t="shared" si="12"/>
        <v>#VALUE!</v>
      </c>
      <c r="AG109" s="701" t="e">
        <f t="shared" si="13"/>
        <v>#VALUE!</v>
      </c>
      <c r="AH109" s="701" t="e">
        <f t="shared" si="14"/>
        <v>#VALUE!</v>
      </c>
      <c r="AI109" s="730" t="e">
        <f>AH109+IF(Inputs!C$39="Electric",Q109/3412,0)</f>
        <v>#VALUE!</v>
      </c>
      <c r="AJ109" s="730" t="e">
        <f t="shared" si="22"/>
        <v>#VALUE!</v>
      </c>
      <c r="AK109" s="133"/>
    </row>
    <row r="110" spans="5:37" ht="14.85" customHeight="1" x14ac:dyDescent="0.2">
      <c r="E110" s="648"/>
      <c r="F110" s="137" t="s">
        <v>399</v>
      </c>
      <c r="G110" s="138" t="e">
        <f>SUM($G$47:$G$109)</f>
        <v>#N/A</v>
      </c>
      <c r="H110" s="139"/>
      <c r="I110" s="139"/>
      <c r="J110" s="659" t="e">
        <f>SUM(J47:J109)</f>
        <v>#VALUE!</v>
      </c>
      <c r="K110" s="659">
        <f>IF(I110="Cooling",(F110-Inputs!$D$24)*($E$4)/(Inputs!$C$32-Inputs!$D$24),IF(I110="Heating",(Inputs!$D$29-F110)*($E$5)/(Inputs!$D$29-Inputs!$C$33)/$C$53,0))</f>
        <v>0</v>
      </c>
      <c r="L110" s="717"/>
      <c r="M110" s="717"/>
      <c r="N110" s="717"/>
      <c r="O110" s="744"/>
      <c r="P110" s="744"/>
      <c r="Q110" s="745" t="e">
        <f>SUM(Q47:Q109)</f>
        <v>#N/A</v>
      </c>
      <c r="R110" s="746"/>
      <c r="S110" s="746"/>
      <c r="T110" s="719"/>
      <c r="U110" s="701">
        <f t="shared" si="18"/>
        <v>0</v>
      </c>
      <c r="V110" s="719"/>
      <c r="W110" s="719"/>
      <c r="X110" s="719"/>
      <c r="Y110" s="747"/>
      <c r="Z110" s="748"/>
      <c r="AA110" s="719"/>
      <c r="AB110" s="719"/>
      <c r="AC110" s="719"/>
      <c r="AD110" s="746"/>
      <c r="AE110" s="749" t="e">
        <f>SUM(AE47:AE109)</f>
        <v>#VALUE!</v>
      </c>
      <c r="AF110" s="750"/>
      <c r="AG110" s="746" t="s">
        <v>400</v>
      </c>
      <c r="AH110" s="719" t="s">
        <v>401</v>
      </c>
      <c r="AI110" s="730" t="e">
        <f>SUM(AI47:AI109)</f>
        <v>#VALUE!</v>
      </c>
      <c r="AJ110" s="749" t="e">
        <f>SUM(AJ47:AJ109)</f>
        <v>#VALUE!</v>
      </c>
      <c r="AK110" s="648"/>
    </row>
    <row r="111" spans="5:37" x14ac:dyDescent="0.2">
      <c r="E111" s="648"/>
      <c r="F111" s="648"/>
      <c r="G111" s="648"/>
      <c r="H111" s="648"/>
      <c r="I111" s="648"/>
      <c r="J111" s="648"/>
      <c r="K111" s="717"/>
      <c r="L111" s="717"/>
      <c r="M111" s="717"/>
      <c r="N111" s="717"/>
      <c r="O111" s="744"/>
      <c r="P111" s="744"/>
      <c r="Q111" s="648"/>
      <c r="R111" s="717"/>
      <c r="S111" s="717"/>
      <c r="T111" s="648"/>
      <c r="U111" s="659">
        <f t="shared" si="18"/>
        <v>0</v>
      </c>
      <c r="V111" s="648"/>
      <c r="W111" s="648"/>
      <c r="X111" s="648"/>
      <c r="Y111" s="751"/>
      <c r="Z111" s="752"/>
      <c r="AA111" s="648"/>
      <c r="AB111" s="648"/>
      <c r="AC111" s="648"/>
      <c r="AD111" s="648"/>
      <c r="AE111" s="744"/>
      <c r="AF111" s="744"/>
      <c r="AG111" s="648"/>
      <c r="AH111" s="719"/>
      <c r="AI111" s="730" t="str">
        <f>AI46</f>
        <v>▲kWh Total</v>
      </c>
      <c r="AJ111" s="683" t="str">
        <f>AJ46</f>
        <v>▲MMbtu Total</v>
      </c>
      <c r="AK111" s="648"/>
    </row>
    <row r="112" spans="5:37" x14ac:dyDescent="0.2">
      <c r="E112" s="648"/>
      <c r="F112" s="719"/>
      <c r="G112" s="753"/>
      <c r="H112" s="753"/>
      <c r="I112" s="753"/>
      <c r="J112" s="753"/>
      <c r="K112" s="753"/>
      <c r="L112" s="753"/>
      <c r="M112" s="753"/>
      <c r="N112" s="753"/>
      <c r="O112" s="648"/>
      <c r="P112" s="648"/>
      <c r="Q112" s="648"/>
      <c r="R112" s="753"/>
      <c r="S112" s="753"/>
      <c r="T112" s="648"/>
      <c r="U112" s="648"/>
      <c r="V112" s="648"/>
      <c r="W112" s="648"/>
      <c r="X112" s="648"/>
      <c r="Y112" s="648"/>
      <c r="Z112" s="648"/>
      <c r="AA112" s="648"/>
      <c r="AB112" s="648"/>
      <c r="AC112" s="648"/>
      <c r="AD112" s="648"/>
      <c r="AE112" s="648"/>
      <c r="AF112" s="648"/>
      <c r="AG112" s="648"/>
      <c r="AH112" s="648"/>
      <c r="AI112" s="712"/>
      <c r="AJ112" s="754"/>
      <c r="AK112" s="648"/>
    </row>
    <row r="113" spans="5:36" x14ac:dyDescent="0.2">
      <c r="E113" s="648"/>
      <c r="F113" s="648"/>
      <c r="G113" s="755"/>
      <c r="H113" s="755"/>
      <c r="I113" s="755"/>
      <c r="J113" s="755"/>
      <c r="K113" s="755"/>
      <c r="L113" s="755"/>
      <c r="M113" s="755"/>
      <c r="N113" s="755"/>
      <c r="O113" s="756"/>
      <c r="P113" s="756"/>
      <c r="Q113" s="648"/>
      <c r="R113" s="755"/>
      <c r="S113" s="755"/>
      <c r="T113" s="648"/>
      <c r="U113" s="648"/>
      <c r="V113" s="648"/>
      <c r="W113" s="648"/>
      <c r="X113" s="648"/>
      <c r="Y113" s="648"/>
      <c r="Z113" s="648"/>
      <c r="AA113" s="648"/>
      <c r="AB113" s="648"/>
      <c r="AC113" s="648"/>
      <c r="AD113" s="648"/>
      <c r="AE113" s="648"/>
      <c r="AF113" s="648"/>
      <c r="AG113" s="648"/>
      <c r="AH113" s="648"/>
      <c r="AI113" s="712"/>
      <c r="AJ113" s="712"/>
    </row>
    <row r="114" spans="5:36" x14ac:dyDescent="0.2">
      <c r="E114" s="648"/>
      <c r="F114" s="719"/>
      <c r="G114" s="719"/>
      <c r="H114" s="719"/>
      <c r="I114" s="719"/>
      <c r="J114" s="719"/>
      <c r="K114" s="719"/>
      <c r="L114" s="719"/>
      <c r="M114" s="719"/>
      <c r="N114" s="719"/>
      <c r="O114" s="755"/>
      <c r="P114" s="755"/>
      <c r="Q114" s="757"/>
      <c r="R114" s="719"/>
      <c r="S114" s="719"/>
      <c r="T114" s="757"/>
      <c r="U114" s="757"/>
      <c r="V114" s="757"/>
      <c r="W114" s="757"/>
      <c r="X114" s="757"/>
      <c r="Y114" s="757"/>
      <c r="Z114" s="757"/>
      <c r="AA114" s="757"/>
      <c r="AB114" s="757"/>
      <c r="AC114" s="757"/>
      <c r="AD114" s="757"/>
      <c r="AE114" s="757"/>
      <c r="AF114" s="757"/>
      <c r="AG114" s="648"/>
      <c r="AH114" s="648"/>
      <c r="AI114" s="712"/>
      <c r="AJ114" s="712"/>
    </row>
    <row r="115" spans="5:36" x14ac:dyDescent="0.2">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712"/>
      <c r="AJ115" s="712"/>
    </row>
    <row r="116" spans="5:36" x14ac:dyDescent="0.2">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712"/>
      <c r="AJ116" s="712"/>
    </row>
    <row r="117" spans="5:36" x14ac:dyDescent="0.2">
      <c r="E117" s="648"/>
      <c r="F117" s="140" t="s">
        <v>402</v>
      </c>
      <c r="G117" s="141"/>
      <c r="H117" s="141"/>
      <c r="I117" s="141"/>
      <c r="J117" s="141"/>
      <c r="K117" s="141"/>
      <c r="L117" s="141"/>
      <c r="M117" s="141"/>
      <c r="N117" s="141"/>
      <c r="O117" s="141"/>
      <c r="P117" s="141"/>
      <c r="Q117" s="141"/>
      <c r="R117" s="142"/>
      <c r="S117" s="142"/>
      <c r="T117" s="142"/>
      <c r="U117" s="142"/>
      <c r="V117" s="142"/>
      <c r="W117" s="142"/>
      <c r="X117" s="142"/>
      <c r="Y117" s="142"/>
      <c r="Z117" s="142"/>
      <c r="AA117" s="142"/>
      <c r="AB117" s="142"/>
      <c r="AC117" s="142"/>
      <c r="AD117" s="142"/>
      <c r="AE117" s="142"/>
      <c r="AF117" s="142"/>
      <c r="AG117" s="142"/>
      <c r="AH117" s="142"/>
      <c r="AI117" s="143"/>
      <c r="AJ117" s="144"/>
    </row>
    <row r="118" spans="5:36" ht="15" x14ac:dyDescent="0.25">
      <c r="E118" s="648"/>
      <c r="F118" s="648"/>
      <c r="G118" s="648"/>
      <c r="H118" s="648"/>
      <c r="I118" s="648"/>
      <c r="J118" s="648"/>
      <c r="K118" s="648"/>
      <c r="L118" s="648"/>
      <c r="M118" s="881" t="s">
        <v>347</v>
      </c>
      <c r="N118" s="882"/>
      <c r="O118" s="882"/>
      <c r="P118" s="882"/>
      <c r="Q118" s="883"/>
      <c r="R118" s="123" t="s">
        <v>348</v>
      </c>
      <c r="S118" s="123"/>
      <c r="T118" s="123"/>
      <c r="U118" s="123"/>
      <c r="V118" s="123"/>
      <c r="W118" s="123"/>
      <c r="X118" s="123"/>
      <c r="Y118" s="123"/>
      <c r="Z118" s="123"/>
      <c r="AA118" s="123"/>
      <c r="AB118" s="123"/>
      <c r="AC118" s="123"/>
      <c r="AD118" s="123"/>
      <c r="AE118" s="123"/>
      <c r="AF118" s="123"/>
      <c r="AG118" s="123"/>
      <c r="AH118" s="145"/>
      <c r="AI118" s="146" t="s">
        <v>245</v>
      </c>
      <c r="AJ118" s="146"/>
    </row>
    <row r="119" spans="5:36" ht="63.75" x14ac:dyDescent="0.2">
      <c r="E119" s="727" t="s">
        <v>349</v>
      </c>
      <c r="F119" s="147" t="s">
        <v>350</v>
      </c>
      <c r="G119" s="129" t="s">
        <v>403</v>
      </c>
      <c r="H119" s="122" t="s">
        <v>352</v>
      </c>
      <c r="I119" s="122" t="s">
        <v>352</v>
      </c>
      <c r="J119" s="112" t="s">
        <v>353</v>
      </c>
      <c r="K119" s="112" t="s">
        <v>354</v>
      </c>
      <c r="L119" s="130"/>
      <c r="M119" s="130" t="s">
        <v>355</v>
      </c>
      <c r="N119" s="130" t="s">
        <v>356</v>
      </c>
      <c r="O119" s="130" t="s">
        <v>357</v>
      </c>
      <c r="P119" s="130" t="s">
        <v>358</v>
      </c>
      <c r="Q119" s="130" t="s">
        <v>359</v>
      </c>
      <c r="R119" s="131" t="s">
        <v>360</v>
      </c>
      <c r="S119" s="131" t="s">
        <v>361</v>
      </c>
      <c r="T119" s="130" t="s">
        <v>362</v>
      </c>
      <c r="U119" s="130" t="s">
        <v>363</v>
      </c>
      <c r="V119" s="130" t="s">
        <v>364</v>
      </c>
      <c r="W119" s="130" t="s">
        <v>365</v>
      </c>
      <c r="X119" s="130" t="s">
        <v>366</v>
      </c>
      <c r="Y119" s="130" t="s">
        <v>367</v>
      </c>
      <c r="Z119" s="131" t="s">
        <v>368</v>
      </c>
      <c r="AA119" s="130" t="s">
        <v>369</v>
      </c>
      <c r="AB119" s="131" t="s">
        <v>370</v>
      </c>
      <c r="AC119" s="130" t="s">
        <v>371</v>
      </c>
      <c r="AD119" s="130" t="s">
        <v>372</v>
      </c>
      <c r="AE119" s="130" t="s">
        <v>373</v>
      </c>
      <c r="AF119" s="130" t="s">
        <v>374</v>
      </c>
      <c r="AG119" s="114" t="s">
        <v>375</v>
      </c>
      <c r="AH119" s="114" t="s">
        <v>376</v>
      </c>
      <c r="AI119" s="148" t="s">
        <v>377</v>
      </c>
      <c r="AJ119" s="148" t="s">
        <v>378</v>
      </c>
    </row>
    <row r="120" spans="5:36" x14ac:dyDescent="0.2">
      <c r="E120" s="719">
        <v>2</v>
      </c>
      <c r="F120" s="728">
        <v>101</v>
      </c>
      <c r="G120" s="729" t="e">
        <f>HLOOKUP($B$49, 'Weather Data'!$CC$17:$CZ$80,E120,FALSE)</f>
        <v>#N/A</v>
      </c>
      <c r="H120" s="728" t="str">
        <f>IF(F120&gt;=Inputs!$C$25,"Cooling",IF(F120&lt;=Inputs!$C$30,"Heating","Neither"))</f>
        <v>Heating</v>
      </c>
      <c r="I120" s="728" t="e">
        <f>IF(F120&gt;=Inputs!$D$25,"Cooling",IF(F120&lt;=Inputs!$D$30,"Heating","Neither"))</f>
        <v>#VALUE!</v>
      </c>
      <c r="J120" s="659" t="e">
        <f>IF(H120="Cooling",(F120-Inputs!$C$25)*($V$3)/(Inputs!$C$32-Inputs!$C$25),IF(H120="Heating",(Inputs!$C$30-F120)*($V$15)/(Inputs!$C$30-Inputs!$C$33)/$C$53,0))</f>
        <v>#VALUE!</v>
      </c>
      <c r="K120" s="659" t="e">
        <f>IF(I120="Cooling",(F120-Inputs!$D$25)*($V$4)/(Inputs!$C$32-Inputs!$D$25),IF(I120="Heating",(Inputs!$D$30-F120)*($V$16)/(Inputs!$D$30-Inputs!$C$33)/$C$53,0))</f>
        <v>#VALUE!</v>
      </c>
      <c r="L120" s="659"/>
      <c r="M120" s="701" t="e">
        <f t="shared" ref="M120:M182" si="28">IF(AND(H120="Heating",J120&gt;0,G120&gt;0),J120,0)</f>
        <v>#VALUE!</v>
      </c>
      <c r="N120" s="701" t="e">
        <f t="shared" ref="N120:N182" si="29">IF(AND(I120="Heating",K120&gt;0,G120&gt;0),K120,0)</f>
        <v>#VALUE!</v>
      </c>
      <c r="O120" s="701" t="e">
        <f t="shared" ref="O120:P151" si="30">$G120*M120/$Q$39</f>
        <v>#N/A</v>
      </c>
      <c r="P120" s="701" t="e">
        <f t="shared" si="30"/>
        <v>#N/A</v>
      </c>
      <c r="Q120" s="701" t="e">
        <f t="shared" ref="Q120:Q182" si="31">(O120)-P120</f>
        <v>#N/A</v>
      </c>
      <c r="R120" s="730">
        <f>IF(H120="Cooling",0.87403+-0.001142*67+0.000171*67^2+-0.002957*F120+0.00001018*F120^2+-0.00005917*67*F120,0)</f>
        <v>0</v>
      </c>
      <c r="S120" s="730" t="e">
        <f>IF(I120="Cooling",0.87403+-0.001142*67+0.000171*67^2+-0.002957*F120+0.00001018*F120^2+-0.00005917*67*F120,0)</f>
        <v>#VALUE!</v>
      </c>
      <c r="T120" s="701" t="e">
        <f>R120*($C$4)</f>
        <v>#N/A</v>
      </c>
      <c r="U120" s="701" t="e">
        <f>S120*($E$4)</f>
        <v>#VALUE!</v>
      </c>
      <c r="V120" s="701" t="e">
        <f t="shared" ref="V120:V182" si="32">MIN(T120,J120)</f>
        <v>#N/A</v>
      </c>
      <c r="W120" s="701" t="e">
        <f t="shared" ref="W120:W182" si="33">IF(AND(H120="Cooling",J120&gt;0),IF(V120&gt;=J120,"Yes","No"),"")</f>
        <v>#VALUE!</v>
      </c>
      <c r="X120" s="701" t="e">
        <f t="shared" ref="X120:X182" si="34">MIN(U120,K120)</f>
        <v>#VALUE!</v>
      </c>
      <c r="Y120" s="731">
        <f>IF(H120="Cooling",-1.063931+0.0306584*67+-0.0001269*67^2+0.0154213*F120+0.0000497*F120^2+-0.0002096*67*F120,0)</f>
        <v>0</v>
      </c>
      <c r="Z120" s="731" t="e">
        <f>IF(I120="Cooling",-1.063931+0.0306584*67+-0.0001269*67^2+0.0154213*F120+0.0000497*F120^2+-0.0002096*67*F120,0)</f>
        <v>#VALUE!</v>
      </c>
      <c r="AA120" s="732" t="e">
        <f t="shared" ref="AA120:AA182" si="35">IF(AND(H120="Cooling",J120&gt;0),MIN(1,1/(1-(1-R120/T120)*$C$51)),0)</f>
        <v>#VALUE!</v>
      </c>
      <c r="AB120" s="732" t="e">
        <f>IF(AND(I120="Cooling",K120&gt;0),MIN(1,1/(1-(1-X120/U120)*$C$52)),0)</f>
        <v>#VALUE!</v>
      </c>
      <c r="AC120" s="730">
        <f t="shared" ref="AC120:AD151" si="36">IFERROR($Q$37/Y120/AA120,0)</f>
        <v>0</v>
      </c>
      <c r="AD120" s="730">
        <f>IFERROR($Q$37/Z120/AB120,0)</f>
        <v>0</v>
      </c>
      <c r="AE120" s="701" t="e">
        <f t="shared" ref="AE120:AE182" si="37">IF(AA120&gt;0,$G120*V120/($AC120/3.412),0)</f>
        <v>#VALUE!</v>
      </c>
      <c r="AF120" s="701" t="e">
        <f t="shared" ref="AF120:AF182" si="38">IF(AB120&gt;0,$G120*X120/($AD120/3.412),0)</f>
        <v>#VALUE!</v>
      </c>
      <c r="AG120" s="701" t="e">
        <f t="shared" ref="AG120:AG182" si="39">AE120-AF120</f>
        <v>#VALUE!</v>
      </c>
      <c r="AH120" s="701" t="e">
        <f t="shared" ref="AH120:AH182" si="40">AG120/3412</f>
        <v>#VALUE!</v>
      </c>
      <c r="AI120" s="730" t="e">
        <f>AH120+IF(Inputs!C$39="Electric",Q120/3412,0)</f>
        <v>#VALUE!</v>
      </c>
      <c r="AJ120" s="730" t="e">
        <f>AH120/293.083+Q120/10^6</f>
        <v>#VALUE!</v>
      </c>
    </row>
    <row r="121" spans="5:36" x14ac:dyDescent="0.2">
      <c r="E121" s="719">
        <v>3</v>
      </c>
      <c r="F121" s="728">
        <v>99</v>
      </c>
      <c r="G121" s="729" t="e">
        <f>HLOOKUP($B$49, 'Weather Data'!$CC$17:$CZ$80,E121,FALSE)</f>
        <v>#N/A</v>
      </c>
      <c r="H121" s="728" t="str">
        <f>IF(F121&gt;=Inputs!$C$25,"Cooling",IF(F121&lt;=Inputs!$C$30,"Heating","Neither"))</f>
        <v>Heating</v>
      </c>
      <c r="I121" s="728" t="e">
        <f>IF(F121&gt;=Inputs!$D$25,"Cooling",IF(F121&lt;=Inputs!$D$30,"Heating","Neither"))</f>
        <v>#VALUE!</v>
      </c>
      <c r="J121" s="659" t="e">
        <f>IF(H121="Cooling",(F121-Inputs!$C$25)*($V$3)/(Inputs!$C$32-Inputs!$C$25),IF(H121="Heating",(Inputs!$C$30-F121)*($V$15)/(Inputs!$C$30-Inputs!$C$33)/$C$53,0))</f>
        <v>#VALUE!</v>
      </c>
      <c r="K121" s="659" t="e">
        <f>IF(I121="Cooling",(F121-Inputs!$D$25)*($V$4)/(Inputs!$C$32-Inputs!$D$25),IF(I121="Heating",(Inputs!$D$30-F121)*($V$16)/(Inputs!$D$30-Inputs!$C$33)/$C$53,0))</f>
        <v>#VALUE!</v>
      </c>
      <c r="L121" s="659"/>
      <c r="M121" s="701" t="e">
        <f t="shared" si="28"/>
        <v>#VALUE!</v>
      </c>
      <c r="N121" s="701" t="e">
        <f t="shared" si="29"/>
        <v>#VALUE!</v>
      </c>
      <c r="O121" s="701" t="e">
        <f t="shared" si="30"/>
        <v>#N/A</v>
      </c>
      <c r="P121" s="701" t="e">
        <f t="shared" si="30"/>
        <v>#N/A</v>
      </c>
      <c r="Q121" s="701" t="e">
        <f t="shared" si="31"/>
        <v>#N/A</v>
      </c>
      <c r="R121" s="730">
        <f t="shared" ref="R121:R182" si="41">IF(H121="Cooling",0.87403+-0.001142*67+0.000171*67^2+-0.002957*F121+0.00001018*F121^2+-0.00005917*67*F121,0)</f>
        <v>0</v>
      </c>
      <c r="S121" s="730" t="e">
        <f t="shared" ref="S121:S182" si="42">IF(I121="Cooling",0.87403+-0.001142*67+0.000171*67^2+-0.002957*F121+0.00001018*F121^2+-0.00005917*67*F121,0)</f>
        <v>#VALUE!</v>
      </c>
      <c r="T121" s="701" t="e">
        <f t="shared" ref="T121:T182" si="43">R121*($C$4)</f>
        <v>#N/A</v>
      </c>
      <c r="U121" s="701" t="e">
        <f t="shared" ref="U121:U182" si="44">S121*($E$4)</f>
        <v>#VALUE!</v>
      </c>
      <c r="V121" s="701" t="e">
        <f t="shared" si="32"/>
        <v>#N/A</v>
      </c>
      <c r="W121" s="701" t="e">
        <f t="shared" si="33"/>
        <v>#VALUE!</v>
      </c>
      <c r="X121" s="701" t="e">
        <f t="shared" si="34"/>
        <v>#VALUE!</v>
      </c>
      <c r="Y121" s="731">
        <f t="shared" ref="Y121:Y182" si="45">IF(H121="Cooling",-1.063931+0.0306584*67+-0.0001269*67^2+0.0154213*F121+0.0000497*F121^2+-0.0002096*67*F121,0)</f>
        <v>0</v>
      </c>
      <c r="Z121" s="731" t="e">
        <f t="shared" ref="Z121:Z182" si="46">IF(I121="Cooling",-1.063931+0.0306584*67+-0.0001269*67^2+0.0154213*F121+0.0000497*F121^2+-0.0002096*67*F121,0)</f>
        <v>#VALUE!</v>
      </c>
      <c r="AA121" s="732" t="e">
        <f t="shared" si="35"/>
        <v>#VALUE!</v>
      </c>
      <c r="AB121" s="732" t="e">
        <f t="shared" ref="AB121:AB182" si="47">IF(AND(I121="Cooling",K121&gt;0),MIN(1,1/(1-(1-X121/U121)*$C$52)),0)</f>
        <v>#VALUE!</v>
      </c>
      <c r="AC121" s="730">
        <f t="shared" si="36"/>
        <v>0</v>
      </c>
      <c r="AD121" s="730">
        <f t="shared" si="36"/>
        <v>0</v>
      </c>
      <c r="AE121" s="701" t="e">
        <f t="shared" si="37"/>
        <v>#VALUE!</v>
      </c>
      <c r="AF121" s="701" t="e">
        <f t="shared" si="38"/>
        <v>#VALUE!</v>
      </c>
      <c r="AG121" s="701" t="e">
        <f t="shared" si="39"/>
        <v>#VALUE!</v>
      </c>
      <c r="AH121" s="701" t="e">
        <f t="shared" si="40"/>
        <v>#VALUE!</v>
      </c>
      <c r="AI121" s="730" t="e">
        <f>AH121+IF(Inputs!C$39="Electric",Q121/3412,0)</f>
        <v>#VALUE!</v>
      </c>
      <c r="AJ121" s="730" t="e">
        <f t="shared" ref="AJ121:AJ182" si="48">AH121/293.083+Q121/10^6</f>
        <v>#VALUE!</v>
      </c>
    </row>
    <row r="122" spans="5:36" x14ac:dyDescent="0.2">
      <c r="E122" s="719">
        <v>4</v>
      </c>
      <c r="F122" s="728">
        <v>97</v>
      </c>
      <c r="G122" s="729" t="e">
        <f>HLOOKUP($B$49, 'Weather Data'!$CC$17:$CZ$80,E122,FALSE)</f>
        <v>#N/A</v>
      </c>
      <c r="H122" s="728" t="str">
        <f>IF(F122&gt;=Inputs!$C$25,"Cooling",IF(F122&lt;=Inputs!$C$30,"Heating","Neither"))</f>
        <v>Heating</v>
      </c>
      <c r="I122" s="728" t="e">
        <f>IF(F122&gt;=Inputs!$D$25,"Cooling",IF(F122&lt;=Inputs!$D$30,"Heating","Neither"))</f>
        <v>#VALUE!</v>
      </c>
      <c r="J122" s="659" t="e">
        <f>IF(H122="Cooling",(F122-Inputs!$C$25)*($V$3)/(Inputs!$C$32-Inputs!$C$25),IF(H122="Heating",(Inputs!$C$30-F122)*($V$15)/(Inputs!$C$30-Inputs!$C$33)/$C$53,0))</f>
        <v>#VALUE!</v>
      </c>
      <c r="K122" s="659" t="e">
        <f>IF(I122="Cooling",(F122-Inputs!$D$25)*($V$4)/(Inputs!$C$32-Inputs!$D$25),IF(I122="Heating",(Inputs!$D$30-F122)*($V$16)/(Inputs!$D$30-Inputs!$C$33)/$C$53,0))</f>
        <v>#VALUE!</v>
      </c>
      <c r="L122" s="659"/>
      <c r="M122" s="701" t="e">
        <f t="shared" si="28"/>
        <v>#VALUE!</v>
      </c>
      <c r="N122" s="701" t="e">
        <f t="shared" si="29"/>
        <v>#VALUE!</v>
      </c>
      <c r="O122" s="701" t="e">
        <f t="shared" si="30"/>
        <v>#N/A</v>
      </c>
      <c r="P122" s="701" t="e">
        <f t="shared" si="30"/>
        <v>#N/A</v>
      </c>
      <c r="Q122" s="701" t="e">
        <f t="shared" si="31"/>
        <v>#N/A</v>
      </c>
      <c r="R122" s="730">
        <f t="shared" si="41"/>
        <v>0</v>
      </c>
      <c r="S122" s="730" t="e">
        <f t="shared" si="42"/>
        <v>#VALUE!</v>
      </c>
      <c r="T122" s="701" t="e">
        <f t="shared" si="43"/>
        <v>#N/A</v>
      </c>
      <c r="U122" s="701" t="e">
        <f t="shared" si="44"/>
        <v>#VALUE!</v>
      </c>
      <c r="V122" s="701" t="e">
        <f t="shared" si="32"/>
        <v>#N/A</v>
      </c>
      <c r="W122" s="701" t="e">
        <f t="shared" si="33"/>
        <v>#VALUE!</v>
      </c>
      <c r="X122" s="701" t="e">
        <f t="shared" si="34"/>
        <v>#VALUE!</v>
      </c>
      <c r="Y122" s="731">
        <f t="shared" si="45"/>
        <v>0</v>
      </c>
      <c r="Z122" s="731" t="e">
        <f t="shared" si="46"/>
        <v>#VALUE!</v>
      </c>
      <c r="AA122" s="732" t="e">
        <f t="shared" si="35"/>
        <v>#VALUE!</v>
      </c>
      <c r="AB122" s="732" t="e">
        <f t="shared" si="47"/>
        <v>#VALUE!</v>
      </c>
      <c r="AC122" s="730">
        <f t="shared" si="36"/>
        <v>0</v>
      </c>
      <c r="AD122" s="730">
        <f t="shared" si="36"/>
        <v>0</v>
      </c>
      <c r="AE122" s="701" t="e">
        <f t="shared" si="37"/>
        <v>#VALUE!</v>
      </c>
      <c r="AF122" s="701" t="e">
        <f t="shared" si="38"/>
        <v>#VALUE!</v>
      </c>
      <c r="AG122" s="701" t="e">
        <f t="shared" si="39"/>
        <v>#VALUE!</v>
      </c>
      <c r="AH122" s="701" t="e">
        <f t="shared" si="40"/>
        <v>#VALUE!</v>
      </c>
      <c r="AI122" s="730" t="e">
        <f>AH122+IF(Inputs!C$39="Electric",Q122/3412,0)</f>
        <v>#VALUE!</v>
      </c>
      <c r="AJ122" s="730" t="e">
        <f t="shared" si="48"/>
        <v>#VALUE!</v>
      </c>
    </row>
    <row r="123" spans="5:36" x14ac:dyDescent="0.2">
      <c r="E123" s="719">
        <v>5</v>
      </c>
      <c r="F123" s="728">
        <v>95</v>
      </c>
      <c r="G123" s="729" t="e">
        <f>HLOOKUP($B$49, 'Weather Data'!$CC$17:$CZ$80,E123,FALSE)</f>
        <v>#N/A</v>
      </c>
      <c r="H123" s="728" t="str">
        <f>IF(F123&gt;=Inputs!$C$25,"Cooling",IF(F123&lt;=Inputs!$C$30,"Heating","Neither"))</f>
        <v>Heating</v>
      </c>
      <c r="I123" s="728" t="e">
        <f>IF(F123&gt;=Inputs!$D$25,"Cooling",IF(F123&lt;=Inputs!$D$30,"Heating","Neither"))</f>
        <v>#VALUE!</v>
      </c>
      <c r="J123" s="659" t="e">
        <f>IF(H123="Cooling",(F123-Inputs!$C$25)*($V$3)/(Inputs!$C$32-Inputs!$C$25),IF(H123="Heating",(Inputs!$C$30-F123)*($V$15)/(Inputs!$C$30-Inputs!$C$33)/$C$53,0))</f>
        <v>#VALUE!</v>
      </c>
      <c r="K123" s="659" t="e">
        <f>IF(I123="Cooling",(F123-Inputs!$D$25)*($V$4)/(Inputs!$C$32-Inputs!$D$25),IF(I123="Heating",(Inputs!$D$30-F123)*($V$16)/(Inputs!$D$30-Inputs!$C$33)/$C$53,0))</f>
        <v>#VALUE!</v>
      </c>
      <c r="L123" s="659"/>
      <c r="M123" s="701" t="e">
        <f t="shared" si="28"/>
        <v>#VALUE!</v>
      </c>
      <c r="N123" s="701" t="e">
        <f t="shared" si="29"/>
        <v>#VALUE!</v>
      </c>
      <c r="O123" s="701" t="e">
        <f t="shared" si="30"/>
        <v>#N/A</v>
      </c>
      <c r="P123" s="701" t="e">
        <f t="shared" si="30"/>
        <v>#N/A</v>
      </c>
      <c r="Q123" s="701" t="e">
        <f t="shared" si="31"/>
        <v>#N/A</v>
      </c>
      <c r="R123" s="730">
        <f t="shared" si="41"/>
        <v>0</v>
      </c>
      <c r="S123" s="730" t="e">
        <f t="shared" si="42"/>
        <v>#VALUE!</v>
      </c>
      <c r="T123" s="701" t="e">
        <f t="shared" si="43"/>
        <v>#N/A</v>
      </c>
      <c r="U123" s="701" t="e">
        <f t="shared" si="44"/>
        <v>#VALUE!</v>
      </c>
      <c r="V123" s="701" t="e">
        <f t="shared" si="32"/>
        <v>#N/A</v>
      </c>
      <c r="W123" s="701" t="e">
        <f t="shared" si="33"/>
        <v>#VALUE!</v>
      </c>
      <c r="X123" s="701" t="e">
        <f t="shared" si="34"/>
        <v>#VALUE!</v>
      </c>
      <c r="Y123" s="731">
        <f t="shared" si="45"/>
        <v>0</v>
      </c>
      <c r="Z123" s="731" t="e">
        <f t="shared" si="46"/>
        <v>#VALUE!</v>
      </c>
      <c r="AA123" s="732" t="e">
        <f t="shared" si="35"/>
        <v>#VALUE!</v>
      </c>
      <c r="AB123" s="732" t="e">
        <f t="shared" si="47"/>
        <v>#VALUE!</v>
      </c>
      <c r="AC123" s="730">
        <f t="shared" si="36"/>
        <v>0</v>
      </c>
      <c r="AD123" s="730">
        <f t="shared" si="36"/>
        <v>0</v>
      </c>
      <c r="AE123" s="701" t="e">
        <f t="shared" si="37"/>
        <v>#VALUE!</v>
      </c>
      <c r="AF123" s="701" t="e">
        <f t="shared" si="38"/>
        <v>#VALUE!</v>
      </c>
      <c r="AG123" s="701" t="e">
        <f t="shared" si="39"/>
        <v>#VALUE!</v>
      </c>
      <c r="AH123" s="701" t="e">
        <f t="shared" si="40"/>
        <v>#VALUE!</v>
      </c>
      <c r="AI123" s="730" t="e">
        <f>AH123+IF(Inputs!C$39="Electric",Q123/3412,0)</f>
        <v>#VALUE!</v>
      </c>
      <c r="AJ123" s="730" t="e">
        <f t="shared" si="48"/>
        <v>#VALUE!</v>
      </c>
    </row>
    <row r="124" spans="5:36" x14ac:dyDescent="0.2">
      <c r="E124" s="719">
        <v>6</v>
      </c>
      <c r="F124" s="728">
        <v>93</v>
      </c>
      <c r="G124" s="729" t="e">
        <f>HLOOKUP($B$49, 'Weather Data'!$CC$17:$CZ$80,E124,FALSE)</f>
        <v>#N/A</v>
      </c>
      <c r="H124" s="728" t="str">
        <f>IF(F124&gt;=Inputs!$C$25,"Cooling",IF(F124&lt;=Inputs!$C$30,"Heating","Neither"))</f>
        <v>Heating</v>
      </c>
      <c r="I124" s="728" t="e">
        <f>IF(F124&gt;=Inputs!$D$25,"Cooling",IF(F124&lt;=Inputs!$D$30,"Heating","Neither"))</f>
        <v>#VALUE!</v>
      </c>
      <c r="J124" s="659" t="e">
        <f>IF(H124="Cooling",(F124-Inputs!$C$25)*($V$3)/(Inputs!$C$32-Inputs!$C$25),IF(H124="Heating",(Inputs!$C$30-F124)*($V$15)/(Inputs!$C$30-Inputs!$C$33)/$C$53,0))</f>
        <v>#VALUE!</v>
      </c>
      <c r="K124" s="659" t="e">
        <f>IF(I124="Cooling",(F124-Inputs!$D$25)*($V$4)/(Inputs!$C$32-Inputs!$D$25),IF(I124="Heating",(Inputs!$D$30-F124)*($V$16)/(Inputs!$D$30-Inputs!$C$33)/$C$53,0))</f>
        <v>#VALUE!</v>
      </c>
      <c r="L124" s="659"/>
      <c r="M124" s="701" t="e">
        <f t="shared" si="28"/>
        <v>#VALUE!</v>
      </c>
      <c r="N124" s="701" t="e">
        <f t="shared" si="29"/>
        <v>#VALUE!</v>
      </c>
      <c r="O124" s="701" t="e">
        <f t="shared" si="30"/>
        <v>#N/A</v>
      </c>
      <c r="P124" s="701" t="e">
        <f t="shared" si="30"/>
        <v>#N/A</v>
      </c>
      <c r="Q124" s="701" t="e">
        <f t="shared" si="31"/>
        <v>#N/A</v>
      </c>
      <c r="R124" s="730">
        <f t="shared" si="41"/>
        <v>0</v>
      </c>
      <c r="S124" s="730" t="e">
        <f t="shared" si="42"/>
        <v>#VALUE!</v>
      </c>
      <c r="T124" s="701" t="e">
        <f t="shared" si="43"/>
        <v>#N/A</v>
      </c>
      <c r="U124" s="701" t="e">
        <f t="shared" si="44"/>
        <v>#VALUE!</v>
      </c>
      <c r="V124" s="701" t="e">
        <f t="shared" si="32"/>
        <v>#N/A</v>
      </c>
      <c r="W124" s="701" t="e">
        <f t="shared" si="33"/>
        <v>#VALUE!</v>
      </c>
      <c r="X124" s="701" t="e">
        <f t="shared" si="34"/>
        <v>#VALUE!</v>
      </c>
      <c r="Y124" s="731">
        <f t="shared" si="45"/>
        <v>0</v>
      </c>
      <c r="Z124" s="731" t="e">
        <f t="shared" si="46"/>
        <v>#VALUE!</v>
      </c>
      <c r="AA124" s="732" t="e">
        <f t="shared" si="35"/>
        <v>#VALUE!</v>
      </c>
      <c r="AB124" s="732" t="e">
        <f t="shared" si="47"/>
        <v>#VALUE!</v>
      </c>
      <c r="AC124" s="730">
        <f t="shared" si="36"/>
        <v>0</v>
      </c>
      <c r="AD124" s="730">
        <f t="shared" si="36"/>
        <v>0</v>
      </c>
      <c r="AE124" s="701" t="e">
        <f t="shared" si="37"/>
        <v>#VALUE!</v>
      </c>
      <c r="AF124" s="701" t="e">
        <f t="shared" si="38"/>
        <v>#VALUE!</v>
      </c>
      <c r="AG124" s="701" t="e">
        <f t="shared" si="39"/>
        <v>#VALUE!</v>
      </c>
      <c r="AH124" s="701" t="e">
        <f t="shared" si="40"/>
        <v>#VALUE!</v>
      </c>
      <c r="AI124" s="730" t="e">
        <f>AH124+IF(Inputs!C$39="Electric",Q124/3412,0)</f>
        <v>#VALUE!</v>
      </c>
      <c r="AJ124" s="730" t="e">
        <f t="shared" si="48"/>
        <v>#VALUE!</v>
      </c>
    </row>
    <row r="125" spans="5:36" x14ac:dyDescent="0.2">
      <c r="E125" s="719">
        <v>7</v>
      </c>
      <c r="F125" s="728">
        <v>91</v>
      </c>
      <c r="G125" s="729" t="e">
        <f>HLOOKUP($B$49, 'Weather Data'!$CC$17:$CZ$80,E125,FALSE)</f>
        <v>#N/A</v>
      </c>
      <c r="H125" s="728" t="str">
        <f>IF(F125&gt;=Inputs!$C$25,"Cooling",IF(F125&lt;=Inputs!$C$30,"Heating","Neither"))</f>
        <v>Heating</v>
      </c>
      <c r="I125" s="728" t="e">
        <f>IF(F125&gt;=Inputs!$D$25,"Cooling",IF(F125&lt;=Inputs!$D$30,"Heating","Neither"))</f>
        <v>#VALUE!</v>
      </c>
      <c r="J125" s="659" t="e">
        <f>IF(H125="Cooling",(F125-Inputs!$C$25)*($V$3)/(Inputs!$C$32-Inputs!$C$25),IF(H125="Heating",(Inputs!$C$30-F125)*($V$15)/(Inputs!$C$30-Inputs!$C$33)/$C$53,0))</f>
        <v>#VALUE!</v>
      </c>
      <c r="K125" s="659" t="e">
        <f>IF(I125="Cooling",(F125-Inputs!$D$25)*($V$4)/(Inputs!$C$32-Inputs!$D$25),IF(I125="Heating",(Inputs!$D$30-F125)*($V$16)/(Inputs!$D$30-Inputs!$C$33)/$C$53,0))</f>
        <v>#VALUE!</v>
      </c>
      <c r="L125" s="659"/>
      <c r="M125" s="701" t="e">
        <f t="shared" si="28"/>
        <v>#VALUE!</v>
      </c>
      <c r="N125" s="701" t="e">
        <f t="shared" si="29"/>
        <v>#VALUE!</v>
      </c>
      <c r="O125" s="701" t="e">
        <f t="shared" si="30"/>
        <v>#N/A</v>
      </c>
      <c r="P125" s="701" t="e">
        <f t="shared" si="30"/>
        <v>#N/A</v>
      </c>
      <c r="Q125" s="701" t="e">
        <f t="shared" si="31"/>
        <v>#N/A</v>
      </c>
      <c r="R125" s="730">
        <f t="shared" si="41"/>
        <v>0</v>
      </c>
      <c r="S125" s="730" t="e">
        <f t="shared" si="42"/>
        <v>#VALUE!</v>
      </c>
      <c r="T125" s="701" t="e">
        <f t="shared" si="43"/>
        <v>#N/A</v>
      </c>
      <c r="U125" s="701" t="e">
        <f t="shared" si="44"/>
        <v>#VALUE!</v>
      </c>
      <c r="V125" s="701" t="e">
        <f t="shared" si="32"/>
        <v>#N/A</v>
      </c>
      <c r="W125" s="701" t="e">
        <f t="shared" si="33"/>
        <v>#VALUE!</v>
      </c>
      <c r="X125" s="701" t="e">
        <f t="shared" si="34"/>
        <v>#VALUE!</v>
      </c>
      <c r="Y125" s="731">
        <f t="shared" si="45"/>
        <v>0</v>
      </c>
      <c r="Z125" s="731" t="e">
        <f t="shared" si="46"/>
        <v>#VALUE!</v>
      </c>
      <c r="AA125" s="732" t="e">
        <f t="shared" si="35"/>
        <v>#VALUE!</v>
      </c>
      <c r="AB125" s="732" t="e">
        <f t="shared" si="47"/>
        <v>#VALUE!</v>
      </c>
      <c r="AC125" s="730">
        <f t="shared" si="36"/>
        <v>0</v>
      </c>
      <c r="AD125" s="730">
        <f t="shared" si="36"/>
        <v>0</v>
      </c>
      <c r="AE125" s="701" t="e">
        <f t="shared" si="37"/>
        <v>#VALUE!</v>
      </c>
      <c r="AF125" s="701" t="e">
        <f t="shared" si="38"/>
        <v>#VALUE!</v>
      </c>
      <c r="AG125" s="701" t="e">
        <f t="shared" si="39"/>
        <v>#VALUE!</v>
      </c>
      <c r="AH125" s="701" t="e">
        <f t="shared" si="40"/>
        <v>#VALUE!</v>
      </c>
      <c r="AI125" s="730" t="e">
        <f>AH125+IF(Inputs!C$39="Electric",Q125/3412,0)</f>
        <v>#VALUE!</v>
      </c>
      <c r="AJ125" s="730" t="e">
        <f t="shared" si="48"/>
        <v>#VALUE!</v>
      </c>
    </row>
    <row r="126" spans="5:36" x14ac:dyDescent="0.2">
      <c r="E126" s="719">
        <v>8</v>
      </c>
      <c r="F126" s="728">
        <v>89</v>
      </c>
      <c r="G126" s="729" t="e">
        <f>HLOOKUP($B$49, 'Weather Data'!$CC$17:$CZ$80,E126,FALSE)</f>
        <v>#N/A</v>
      </c>
      <c r="H126" s="728" t="str">
        <f>IF(F126&gt;=Inputs!$C$25,"Cooling",IF(F126&lt;=Inputs!$C$30,"Heating","Neither"))</f>
        <v>Heating</v>
      </c>
      <c r="I126" s="728" t="e">
        <f>IF(F126&gt;=Inputs!$D$25,"Cooling",IF(F126&lt;=Inputs!$D$30,"Heating","Neither"))</f>
        <v>#VALUE!</v>
      </c>
      <c r="J126" s="659" t="e">
        <f>IF(H126="Cooling",(F126-Inputs!$C$25)*($V$3)/(Inputs!$C$32-Inputs!$C$25),IF(H126="Heating",(Inputs!$C$30-F126)*($V$15)/(Inputs!$C$30-Inputs!$C$33)/$C$53,0))</f>
        <v>#VALUE!</v>
      </c>
      <c r="K126" s="659" t="e">
        <f>IF(I126="Cooling",(F126-Inputs!$D$25)*($V$4)/(Inputs!$C$32-Inputs!$D$25),IF(I126="Heating",(Inputs!$D$30-F126)*($V$16)/(Inputs!$D$30-Inputs!$C$33)/$C$53,0))</f>
        <v>#VALUE!</v>
      </c>
      <c r="L126" s="659"/>
      <c r="M126" s="701" t="e">
        <f t="shared" si="28"/>
        <v>#VALUE!</v>
      </c>
      <c r="N126" s="701" t="e">
        <f t="shared" si="29"/>
        <v>#VALUE!</v>
      </c>
      <c r="O126" s="701" t="e">
        <f t="shared" si="30"/>
        <v>#N/A</v>
      </c>
      <c r="P126" s="701" t="e">
        <f t="shared" si="30"/>
        <v>#N/A</v>
      </c>
      <c r="Q126" s="701" t="e">
        <f t="shared" si="31"/>
        <v>#N/A</v>
      </c>
      <c r="R126" s="730">
        <f t="shared" si="41"/>
        <v>0</v>
      </c>
      <c r="S126" s="730" t="e">
        <f t="shared" si="42"/>
        <v>#VALUE!</v>
      </c>
      <c r="T126" s="701" t="e">
        <f t="shared" si="43"/>
        <v>#N/A</v>
      </c>
      <c r="U126" s="701" t="e">
        <f t="shared" si="44"/>
        <v>#VALUE!</v>
      </c>
      <c r="V126" s="701" t="e">
        <f t="shared" si="32"/>
        <v>#N/A</v>
      </c>
      <c r="W126" s="701" t="e">
        <f t="shared" si="33"/>
        <v>#VALUE!</v>
      </c>
      <c r="X126" s="701" t="e">
        <f t="shared" si="34"/>
        <v>#VALUE!</v>
      </c>
      <c r="Y126" s="731">
        <f t="shared" si="45"/>
        <v>0</v>
      </c>
      <c r="Z126" s="731" t="e">
        <f t="shared" si="46"/>
        <v>#VALUE!</v>
      </c>
      <c r="AA126" s="732" t="e">
        <f t="shared" si="35"/>
        <v>#VALUE!</v>
      </c>
      <c r="AB126" s="732" t="e">
        <f t="shared" si="47"/>
        <v>#VALUE!</v>
      </c>
      <c r="AC126" s="730">
        <f t="shared" si="36"/>
        <v>0</v>
      </c>
      <c r="AD126" s="730">
        <f t="shared" si="36"/>
        <v>0</v>
      </c>
      <c r="AE126" s="701" t="e">
        <f t="shared" si="37"/>
        <v>#VALUE!</v>
      </c>
      <c r="AF126" s="701" t="e">
        <f t="shared" si="38"/>
        <v>#VALUE!</v>
      </c>
      <c r="AG126" s="701" t="e">
        <f t="shared" si="39"/>
        <v>#VALUE!</v>
      </c>
      <c r="AH126" s="701" t="e">
        <f t="shared" si="40"/>
        <v>#VALUE!</v>
      </c>
      <c r="AI126" s="730" t="e">
        <f>AH126+IF(Inputs!C$39="Electric",Q126/3412,0)</f>
        <v>#VALUE!</v>
      </c>
      <c r="AJ126" s="730" t="e">
        <f t="shared" si="48"/>
        <v>#VALUE!</v>
      </c>
    </row>
    <row r="127" spans="5:36" x14ac:dyDescent="0.2">
      <c r="E127" s="719">
        <v>9</v>
      </c>
      <c r="F127" s="728">
        <v>87</v>
      </c>
      <c r="G127" s="729" t="e">
        <f>HLOOKUP($B$49, 'Weather Data'!$CC$17:$CZ$80,E127,FALSE)</f>
        <v>#N/A</v>
      </c>
      <c r="H127" s="728" t="str">
        <f>IF(F127&gt;=Inputs!$C$25,"Cooling",IF(F127&lt;=Inputs!$C$30,"Heating","Neither"))</f>
        <v>Heating</v>
      </c>
      <c r="I127" s="728" t="e">
        <f>IF(F127&gt;=Inputs!$D$25,"Cooling",IF(F127&lt;=Inputs!$D$30,"Heating","Neither"))</f>
        <v>#VALUE!</v>
      </c>
      <c r="J127" s="659" t="e">
        <f>IF(H127="Cooling",(F127-Inputs!$C$25)*($V$3)/(Inputs!$C$32-Inputs!$C$25),IF(H127="Heating",(Inputs!$C$30-F127)*($V$15)/(Inputs!$C$30-Inputs!$C$33)/$C$53,0))</f>
        <v>#VALUE!</v>
      </c>
      <c r="K127" s="659" t="e">
        <f>IF(I127="Cooling",(F127-Inputs!$D$25)*($V$4)/(Inputs!$C$32-Inputs!$D$25),IF(I127="Heating",(Inputs!$D$30-F127)*($V$16)/(Inputs!$D$30-Inputs!$C$33)/$C$53,0))</f>
        <v>#VALUE!</v>
      </c>
      <c r="L127" s="659"/>
      <c r="M127" s="701" t="e">
        <f t="shared" si="28"/>
        <v>#VALUE!</v>
      </c>
      <c r="N127" s="701" t="e">
        <f t="shared" si="29"/>
        <v>#VALUE!</v>
      </c>
      <c r="O127" s="701" t="e">
        <f t="shared" si="30"/>
        <v>#N/A</v>
      </c>
      <c r="P127" s="701" t="e">
        <f t="shared" si="30"/>
        <v>#N/A</v>
      </c>
      <c r="Q127" s="701" t="e">
        <f t="shared" si="31"/>
        <v>#N/A</v>
      </c>
      <c r="R127" s="730">
        <f t="shared" si="41"/>
        <v>0</v>
      </c>
      <c r="S127" s="730" t="e">
        <f t="shared" si="42"/>
        <v>#VALUE!</v>
      </c>
      <c r="T127" s="701" t="e">
        <f t="shared" si="43"/>
        <v>#N/A</v>
      </c>
      <c r="U127" s="701" t="e">
        <f t="shared" si="44"/>
        <v>#VALUE!</v>
      </c>
      <c r="V127" s="701" t="e">
        <f t="shared" si="32"/>
        <v>#N/A</v>
      </c>
      <c r="W127" s="701" t="e">
        <f t="shared" si="33"/>
        <v>#VALUE!</v>
      </c>
      <c r="X127" s="701" t="e">
        <f t="shared" si="34"/>
        <v>#VALUE!</v>
      </c>
      <c r="Y127" s="731">
        <f t="shared" si="45"/>
        <v>0</v>
      </c>
      <c r="Z127" s="731" t="e">
        <f t="shared" si="46"/>
        <v>#VALUE!</v>
      </c>
      <c r="AA127" s="732" t="e">
        <f t="shared" si="35"/>
        <v>#VALUE!</v>
      </c>
      <c r="AB127" s="732" t="e">
        <f t="shared" si="47"/>
        <v>#VALUE!</v>
      </c>
      <c r="AC127" s="730">
        <f t="shared" si="36"/>
        <v>0</v>
      </c>
      <c r="AD127" s="730">
        <f t="shared" si="36"/>
        <v>0</v>
      </c>
      <c r="AE127" s="701" t="e">
        <f t="shared" si="37"/>
        <v>#VALUE!</v>
      </c>
      <c r="AF127" s="701" t="e">
        <f t="shared" si="38"/>
        <v>#VALUE!</v>
      </c>
      <c r="AG127" s="701" t="e">
        <f t="shared" si="39"/>
        <v>#VALUE!</v>
      </c>
      <c r="AH127" s="701" t="e">
        <f t="shared" si="40"/>
        <v>#VALUE!</v>
      </c>
      <c r="AI127" s="730" t="e">
        <f>AH127+IF(Inputs!C$39="Electric",Q127/3412,0)</f>
        <v>#VALUE!</v>
      </c>
      <c r="AJ127" s="730" t="e">
        <f t="shared" si="48"/>
        <v>#VALUE!</v>
      </c>
    </row>
    <row r="128" spans="5:36" x14ac:dyDescent="0.2">
      <c r="E128" s="719">
        <v>10</v>
      </c>
      <c r="F128" s="728">
        <v>85</v>
      </c>
      <c r="G128" s="729" t="e">
        <f>HLOOKUP($B$49, 'Weather Data'!$CC$17:$CZ$80,E128,FALSE)</f>
        <v>#N/A</v>
      </c>
      <c r="H128" s="728" t="str">
        <f>IF(F128&gt;=Inputs!$C$25,"Cooling",IF(F128&lt;=Inputs!$C$30,"Heating","Neither"))</f>
        <v>Heating</v>
      </c>
      <c r="I128" s="728" t="e">
        <f>IF(F128&gt;=Inputs!$D$25,"Cooling",IF(F128&lt;=Inputs!$D$30,"Heating","Neither"))</f>
        <v>#VALUE!</v>
      </c>
      <c r="J128" s="659" t="e">
        <f>IF(H128="Cooling",(F128-Inputs!$C$25)*($V$3)/(Inputs!$C$32-Inputs!$C$25),IF(H128="Heating",(Inputs!$C$30-F128)*($V$15)/(Inputs!$C$30-Inputs!$C$33)/$C$53,0))</f>
        <v>#VALUE!</v>
      </c>
      <c r="K128" s="659" t="e">
        <f>IF(I128="Cooling",(F128-Inputs!$D$25)*($V$4)/(Inputs!$C$32-Inputs!$D$25),IF(I128="Heating",(Inputs!$D$30-F128)*($V$16)/(Inputs!$D$30-Inputs!$C$33)/$C$53,0))</f>
        <v>#VALUE!</v>
      </c>
      <c r="L128" s="659"/>
      <c r="M128" s="701" t="e">
        <f t="shared" si="28"/>
        <v>#VALUE!</v>
      </c>
      <c r="N128" s="701" t="e">
        <f t="shared" si="29"/>
        <v>#VALUE!</v>
      </c>
      <c r="O128" s="701" t="e">
        <f t="shared" si="30"/>
        <v>#N/A</v>
      </c>
      <c r="P128" s="701" t="e">
        <f t="shared" si="30"/>
        <v>#N/A</v>
      </c>
      <c r="Q128" s="701" t="e">
        <f t="shared" si="31"/>
        <v>#N/A</v>
      </c>
      <c r="R128" s="730">
        <f t="shared" si="41"/>
        <v>0</v>
      </c>
      <c r="S128" s="730" t="e">
        <f t="shared" si="42"/>
        <v>#VALUE!</v>
      </c>
      <c r="T128" s="701" t="e">
        <f t="shared" si="43"/>
        <v>#N/A</v>
      </c>
      <c r="U128" s="701" t="e">
        <f t="shared" si="44"/>
        <v>#VALUE!</v>
      </c>
      <c r="V128" s="701" t="e">
        <f t="shared" si="32"/>
        <v>#N/A</v>
      </c>
      <c r="W128" s="701" t="e">
        <f t="shared" si="33"/>
        <v>#VALUE!</v>
      </c>
      <c r="X128" s="701" t="e">
        <f t="shared" si="34"/>
        <v>#VALUE!</v>
      </c>
      <c r="Y128" s="731">
        <f t="shared" si="45"/>
        <v>0</v>
      </c>
      <c r="Z128" s="731" t="e">
        <f t="shared" si="46"/>
        <v>#VALUE!</v>
      </c>
      <c r="AA128" s="732" t="e">
        <f t="shared" si="35"/>
        <v>#VALUE!</v>
      </c>
      <c r="AB128" s="732" t="e">
        <f t="shared" si="47"/>
        <v>#VALUE!</v>
      </c>
      <c r="AC128" s="730">
        <f t="shared" si="36"/>
        <v>0</v>
      </c>
      <c r="AD128" s="730">
        <f t="shared" si="36"/>
        <v>0</v>
      </c>
      <c r="AE128" s="701" t="e">
        <f t="shared" si="37"/>
        <v>#VALUE!</v>
      </c>
      <c r="AF128" s="701" t="e">
        <f t="shared" si="38"/>
        <v>#VALUE!</v>
      </c>
      <c r="AG128" s="701" t="e">
        <f t="shared" si="39"/>
        <v>#VALUE!</v>
      </c>
      <c r="AH128" s="701" t="e">
        <f t="shared" si="40"/>
        <v>#VALUE!</v>
      </c>
      <c r="AI128" s="730" t="e">
        <f>AH128+IF(Inputs!C$39="Electric",Q128/3412,0)</f>
        <v>#VALUE!</v>
      </c>
      <c r="AJ128" s="730" t="e">
        <f t="shared" si="48"/>
        <v>#VALUE!</v>
      </c>
    </row>
    <row r="129" spans="5:36" x14ac:dyDescent="0.2">
      <c r="E129" s="719">
        <v>11</v>
      </c>
      <c r="F129" s="728">
        <v>83</v>
      </c>
      <c r="G129" s="729" t="e">
        <f>HLOOKUP($B$49, 'Weather Data'!$CC$17:$CZ$80,E129,FALSE)</f>
        <v>#N/A</v>
      </c>
      <c r="H129" s="728" t="str">
        <f>IF(F129&gt;=Inputs!$C$25,"Cooling",IF(F129&lt;=Inputs!$C$30,"Heating","Neither"))</f>
        <v>Heating</v>
      </c>
      <c r="I129" s="728" t="e">
        <f>IF(F129&gt;=Inputs!$D$25,"Cooling",IF(F129&lt;=Inputs!$D$30,"Heating","Neither"))</f>
        <v>#VALUE!</v>
      </c>
      <c r="J129" s="659" t="e">
        <f>IF(H129="Cooling",(F129-Inputs!$C$25)*($V$3)/(Inputs!$C$32-Inputs!$C$25),IF(H129="Heating",(Inputs!$C$30-F129)*($V$15)/(Inputs!$C$30-Inputs!$C$33)/$C$53,0))</f>
        <v>#VALUE!</v>
      </c>
      <c r="K129" s="659" t="e">
        <f>IF(I129="Cooling",(F129-Inputs!$D$25)*($V$4)/(Inputs!$C$32-Inputs!$D$25),IF(I129="Heating",(Inputs!$D$30-F129)*($V$16)/(Inputs!$D$30-Inputs!$C$33)/$C$53,0))</f>
        <v>#VALUE!</v>
      </c>
      <c r="L129" s="659"/>
      <c r="M129" s="701" t="e">
        <f t="shared" si="28"/>
        <v>#VALUE!</v>
      </c>
      <c r="N129" s="701" t="e">
        <f t="shared" si="29"/>
        <v>#VALUE!</v>
      </c>
      <c r="O129" s="701" t="e">
        <f t="shared" si="30"/>
        <v>#N/A</v>
      </c>
      <c r="P129" s="701" t="e">
        <f t="shared" si="30"/>
        <v>#N/A</v>
      </c>
      <c r="Q129" s="701" t="e">
        <f t="shared" si="31"/>
        <v>#N/A</v>
      </c>
      <c r="R129" s="730">
        <f t="shared" si="41"/>
        <v>0</v>
      </c>
      <c r="S129" s="730" t="e">
        <f t="shared" si="42"/>
        <v>#VALUE!</v>
      </c>
      <c r="T129" s="701" t="e">
        <f t="shared" si="43"/>
        <v>#N/A</v>
      </c>
      <c r="U129" s="701" t="e">
        <f t="shared" si="44"/>
        <v>#VALUE!</v>
      </c>
      <c r="V129" s="701" t="e">
        <f t="shared" si="32"/>
        <v>#N/A</v>
      </c>
      <c r="W129" s="701" t="e">
        <f t="shared" si="33"/>
        <v>#VALUE!</v>
      </c>
      <c r="X129" s="701" t="e">
        <f t="shared" si="34"/>
        <v>#VALUE!</v>
      </c>
      <c r="Y129" s="731">
        <f t="shared" si="45"/>
        <v>0</v>
      </c>
      <c r="Z129" s="731" t="e">
        <f t="shared" si="46"/>
        <v>#VALUE!</v>
      </c>
      <c r="AA129" s="732" t="e">
        <f t="shared" si="35"/>
        <v>#VALUE!</v>
      </c>
      <c r="AB129" s="732" t="e">
        <f t="shared" si="47"/>
        <v>#VALUE!</v>
      </c>
      <c r="AC129" s="730">
        <f t="shared" si="36"/>
        <v>0</v>
      </c>
      <c r="AD129" s="730">
        <f t="shared" si="36"/>
        <v>0</v>
      </c>
      <c r="AE129" s="701" t="e">
        <f t="shared" si="37"/>
        <v>#VALUE!</v>
      </c>
      <c r="AF129" s="701" t="e">
        <f t="shared" si="38"/>
        <v>#VALUE!</v>
      </c>
      <c r="AG129" s="701" t="e">
        <f t="shared" si="39"/>
        <v>#VALUE!</v>
      </c>
      <c r="AH129" s="701" t="e">
        <f t="shared" si="40"/>
        <v>#VALUE!</v>
      </c>
      <c r="AI129" s="730" t="e">
        <f>AH129+IF(Inputs!C$39="Electric",Q129/3412,0)</f>
        <v>#VALUE!</v>
      </c>
      <c r="AJ129" s="730" t="e">
        <f t="shared" si="48"/>
        <v>#VALUE!</v>
      </c>
    </row>
    <row r="130" spans="5:36" x14ac:dyDescent="0.2">
      <c r="E130" s="719">
        <v>12</v>
      </c>
      <c r="F130" s="728">
        <v>81</v>
      </c>
      <c r="G130" s="729" t="e">
        <f>HLOOKUP($B$49, 'Weather Data'!$CC$17:$CZ$80,E130,FALSE)</f>
        <v>#N/A</v>
      </c>
      <c r="H130" s="728" t="str">
        <f>IF(F130&gt;=Inputs!$C$25,"Cooling",IF(F130&lt;=Inputs!$C$30,"Heating","Neither"))</f>
        <v>Heating</v>
      </c>
      <c r="I130" s="728" t="e">
        <f>IF(F130&gt;=Inputs!$D$25,"Cooling",IF(F130&lt;=Inputs!$D$30,"Heating","Neither"))</f>
        <v>#VALUE!</v>
      </c>
      <c r="J130" s="659" t="e">
        <f>IF(H130="Cooling",(F130-Inputs!$C$25)*($V$3)/(Inputs!$C$32-Inputs!$C$25),IF(H130="Heating",(Inputs!$C$30-F130)*($V$15)/(Inputs!$C$30-Inputs!$C$33)/$C$53,0))</f>
        <v>#VALUE!</v>
      </c>
      <c r="K130" s="659" t="e">
        <f>IF(I130="Cooling",(F130-Inputs!$D$25)*($V$4)/(Inputs!$C$32-Inputs!$D$25),IF(I130="Heating",(Inputs!$D$30-F130)*($V$16)/(Inputs!$D$30-Inputs!$C$33)/$C$53,0))</f>
        <v>#VALUE!</v>
      </c>
      <c r="L130" s="659"/>
      <c r="M130" s="701" t="e">
        <f t="shared" si="28"/>
        <v>#VALUE!</v>
      </c>
      <c r="N130" s="701" t="e">
        <f t="shared" si="29"/>
        <v>#VALUE!</v>
      </c>
      <c r="O130" s="701" t="e">
        <f t="shared" si="30"/>
        <v>#N/A</v>
      </c>
      <c r="P130" s="701" t="e">
        <f t="shared" si="30"/>
        <v>#N/A</v>
      </c>
      <c r="Q130" s="701" t="e">
        <f t="shared" si="31"/>
        <v>#N/A</v>
      </c>
      <c r="R130" s="730">
        <f t="shared" si="41"/>
        <v>0</v>
      </c>
      <c r="S130" s="730" t="e">
        <f t="shared" si="42"/>
        <v>#VALUE!</v>
      </c>
      <c r="T130" s="701" t="e">
        <f t="shared" si="43"/>
        <v>#N/A</v>
      </c>
      <c r="U130" s="701" t="e">
        <f t="shared" si="44"/>
        <v>#VALUE!</v>
      </c>
      <c r="V130" s="701" t="e">
        <f t="shared" si="32"/>
        <v>#N/A</v>
      </c>
      <c r="W130" s="701" t="e">
        <f t="shared" si="33"/>
        <v>#VALUE!</v>
      </c>
      <c r="X130" s="701" t="e">
        <f t="shared" si="34"/>
        <v>#VALUE!</v>
      </c>
      <c r="Y130" s="731">
        <f t="shared" si="45"/>
        <v>0</v>
      </c>
      <c r="Z130" s="731" t="e">
        <f t="shared" si="46"/>
        <v>#VALUE!</v>
      </c>
      <c r="AA130" s="732" t="e">
        <f t="shared" si="35"/>
        <v>#VALUE!</v>
      </c>
      <c r="AB130" s="732" t="e">
        <f t="shared" si="47"/>
        <v>#VALUE!</v>
      </c>
      <c r="AC130" s="730">
        <f t="shared" si="36"/>
        <v>0</v>
      </c>
      <c r="AD130" s="730">
        <f t="shared" si="36"/>
        <v>0</v>
      </c>
      <c r="AE130" s="701" t="e">
        <f t="shared" si="37"/>
        <v>#VALUE!</v>
      </c>
      <c r="AF130" s="701" t="e">
        <f t="shared" si="38"/>
        <v>#VALUE!</v>
      </c>
      <c r="AG130" s="701" t="e">
        <f t="shared" si="39"/>
        <v>#VALUE!</v>
      </c>
      <c r="AH130" s="701" t="e">
        <f t="shared" si="40"/>
        <v>#VALUE!</v>
      </c>
      <c r="AI130" s="730" t="e">
        <f>AH130+IF(Inputs!C$39="Electric",Q130/3412,0)</f>
        <v>#VALUE!</v>
      </c>
      <c r="AJ130" s="730" t="e">
        <f t="shared" si="48"/>
        <v>#VALUE!</v>
      </c>
    </row>
    <row r="131" spans="5:36" x14ac:dyDescent="0.2">
      <c r="E131" s="719">
        <v>13</v>
      </c>
      <c r="F131" s="728">
        <v>79</v>
      </c>
      <c r="G131" s="729" t="e">
        <f>HLOOKUP($B$49, 'Weather Data'!$CC$17:$CZ$80,E131,FALSE)</f>
        <v>#N/A</v>
      </c>
      <c r="H131" s="728" t="str">
        <f>IF(F131&gt;=Inputs!$C$25,"Cooling",IF(F131&lt;=Inputs!$C$30,"Heating","Neither"))</f>
        <v>Heating</v>
      </c>
      <c r="I131" s="728" t="e">
        <f>IF(F131&gt;=Inputs!$D$25,"Cooling",IF(F131&lt;=Inputs!$D$30,"Heating","Neither"))</f>
        <v>#VALUE!</v>
      </c>
      <c r="J131" s="659" t="e">
        <f>IF(H131="Cooling",(F131-Inputs!$C$25)*($V$3)/(Inputs!$C$32-Inputs!$C$25),IF(H131="Heating",(Inputs!$C$30-F131)*($V$15)/(Inputs!$C$30-Inputs!$C$33)/$C$53,0))</f>
        <v>#VALUE!</v>
      </c>
      <c r="K131" s="659" t="e">
        <f>IF(I131="Cooling",(F131-Inputs!$D$25)*($V$4)/(Inputs!$C$32-Inputs!$D$25),IF(I131="Heating",(Inputs!$D$30-F131)*($V$16)/(Inputs!$D$30-Inputs!$C$33)/$C$53,0))</f>
        <v>#VALUE!</v>
      </c>
      <c r="L131" s="659"/>
      <c r="M131" s="701" t="e">
        <f t="shared" si="28"/>
        <v>#VALUE!</v>
      </c>
      <c r="N131" s="701" t="e">
        <f t="shared" si="29"/>
        <v>#VALUE!</v>
      </c>
      <c r="O131" s="701" t="e">
        <f t="shared" si="30"/>
        <v>#N/A</v>
      </c>
      <c r="P131" s="701" t="e">
        <f t="shared" si="30"/>
        <v>#N/A</v>
      </c>
      <c r="Q131" s="701" t="e">
        <f t="shared" si="31"/>
        <v>#N/A</v>
      </c>
      <c r="R131" s="730">
        <f t="shared" si="41"/>
        <v>0</v>
      </c>
      <c r="S131" s="730" t="e">
        <f t="shared" si="42"/>
        <v>#VALUE!</v>
      </c>
      <c r="T131" s="701" t="e">
        <f t="shared" si="43"/>
        <v>#N/A</v>
      </c>
      <c r="U131" s="701" t="e">
        <f t="shared" si="44"/>
        <v>#VALUE!</v>
      </c>
      <c r="V131" s="701" t="e">
        <f t="shared" si="32"/>
        <v>#N/A</v>
      </c>
      <c r="W131" s="701" t="e">
        <f t="shared" si="33"/>
        <v>#VALUE!</v>
      </c>
      <c r="X131" s="701" t="e">
        <f t="shared" si="34"/>
        <v>#VALUE!</v>
      </c>
      <c r="Y131" s="731">
        <f t="shared" si="45"/>
        <v>0</v>
      </c>
      <c r="Z131" s="731" t="e">
        <f t="shared" si="46"/>
        <v>#VALUE!</v>
      </c>
      <c r="AA131" s="732" t="e">
        <f t="shared" si="35"/>
        <v>#VALUE!</v>
      </c>
      <c r="AB131" s="732" t="e">
        <f t="shared" si="47"/>
        <v>#VALUE!</v>
      </c>
      <c r="AC131" s="730">
        <f t="shared" si="36"/>
        <v>0</v>
      </c>
      <c r="AD131" s="730">
        <f t="shared" si="36"/>
        <v>0</v>
      </c>
      <c r="AE131" s="701" t="e">
        <f t="shared" si="37"/>
        <v>#VALUE!</v>
      </c>
      <c r="AF131" s="701" t="e">
        <f t="shared" si="38"/>
        <v>#VALUE!</v>
      </c>
      <c r="AG131" s="701" t="e">
        <f t="shared" si="39"/>
        <v>#VALUE!</v>
      </c>
      <c r="AH131" s="701" t="e">
        <f t="shared" si="40"/>
        <v>#VALUE!</v>
      </c>
      <c r="AI131" s="730" t="e">
        <f>AH131+IF(Inputs!C$39="Electric",Q131/3412,0)</f>
        <v>#VALUE!</v>
      </c>
      <c r="AJ131" s="730" t="e">
        <f t="shared" si="48"/>
        <v>#VALUE!</v>
      </c>
    </row>
    <row r="132" spans="5:36" x14ac:dyDescent="0.2">
      <c r="E132" s="719">
        <v>14</v>
      </c>
      <c r="F132" s="728">
        <v>77</v>
      </c>
      <c r="G132" s="729" t="e">
        <f>HLOOKUP($B$49, 'Weather Data'!$CC$17:$CZ$80,E132,FALSE)</f>
        <v>#N/A</v>
      </c>
      <c r="H132" s="728" t="str">
        <f>IF(F132&gt;=Inputs!$C$25,"Cooling",IF(F132&lt;=Inputs!$C$30,"Heating","Neither"))</f>
        <v>Heating</v>
      </c>
      <c r="I132" s="728" t="e">
        <f>IF(F132&gt;=Inputs!$D$25,"Cooling",IF(F132&lt;=Inputs!$D$30,"Heating","Neither"))</f>
        <v>#VALUE!</v>
      </c>
      <c r="J132" s="659" t="e">
        <f>IF(H132="Cooling",(F132-Inputs!$C$25)*($V$3)/(Inputs!$C$32-Inputs!$C$25),IF(H132="Heating",(Inputs!$C$30-F132)*($V$15)/(Inputs!$C$30-Inputs!$C$33)/$C$53,0))</f>
        <v>#VALUE!</v>
      </c>
      <c r="K132" s="659" t="e">
        <f>IF(I132="Cooling",(F132-Inputs!$D$25)*($V$4)/(Inputs!$C$32-Inputs!$D$25),IF(I132="Heating",(Inputs!$D$30-F132)*($V$16)/(Inputs!$D$30-Inputs!$C$33)/$C$53,0))</f>
        <v>#VALUE!</v>
      </c>
      <c r="L132" s="659"/>
      <c r="M132" s="701" t="e">
        <f t="shared" si="28"/>
        <v>#VALUE!</v>
      </c>
      <c r="N132" s="701" t="e">
        <f t="shared" si="29"/>
        <v>#VALUE!</v>
      </c>
      <c r="O132" s="701" t="e">
        <f t="shared" si="30"/>
        <v>#N/A</v>
      </c>
      <c r="P132" s="701" t="e">
        <f t="shared" si="30"/>
        <v>#N/A</v>
      </c>
      <c r="Q132" s="701" t="e">
        <f t="shared" si="31"/>
        <v>#N/A</v>
      </c>
      <c r="R132" s="730">
        <f t="shared" si="41"/>
        <v>0</v>
      </c>
      <c r="S132" s="730" t="e">
        <f t="shared" si="42"/>
        <v>#VALUE!</v>
      </c>
      <c r="T132" s="701" t="e">
        <f t="shared" si="43"/>
        <v>#N/A</v>
      </c>
      <c r="U132" s="701" t="e">
        <f t="shared" si="44"/>
        <v>#VALUE!</v>
      </c>
      <c r="V132" s="701" t="e">
        <f t="shared" si="32"/>
        <v>#N/A</v>
      </c>
      <c r="W132" s="701" t="e">
        <f t="shared" si="33"/>
        <v>#VALUE!</v>
      </c>
      <c r="X132" s="701" t="e">
        <f t="shared" si="34"/>
        <v>#VALUE!</v>
      </c>
      <c r="Y132" s="731">
        <f t="shared" si="45"/>
        <v>0</v>
      </c>
      <c r="Z132" s="731" t="e">
        <f t="shared" si="46"/>
        <v>#VALUE!</v>
      </c>
      <c r="AA132" s="732" t="e">
        <f t="shared" si="35"/>
        <v>#VALUE!</v>
      </c>
      <c r="AB132" s="732" t="e">
        <f t="shared" si="47"/>
        <v>#VALUE!</v>
      </c>
      <c r="AC132" s="730">
        <f t="shared" si="36"/>
        <v>0</v>
      </c>
      <c r="AD132" s="730">
        <f t="shared" si="36"/>
        <v>0</v>
      </c>
      <c r="AE132" s="701" t="e">
        <f t="shared" si="37"/>
        <v>#VALUE!</v>
      </c>
      <c r="AF132" s="701" t="e">
        <f t="shared" si="38"/>
        <v>#VALUE!</v>
      </c>
      <c r="AG132" s="701" t="e">
        <f t="shared" si="39"/>
        <v>#VALUE!</v>
      </c>
      <c r="AH132" s="701" t="e">
        <f t="shared" si="40"/>
        <v>#VALUE!</v>
      </c>
      <c r="AI132" s="730" t="e">
        <f>AH132+IF(Inputs!C$39="Electric",Q132/3412,0)</f>
        <v>#VALUE!</v>
      </c>
      <c r="AJ132" s="730" t="e">
        <f t="shared" si="48"/>
        <v>#VALUE!</v>
      </c>
    </row>
    <row r="133" spans="5:36" x14ac:dyDescent="0.2">
      <c r="E133" s="719">
        <v>15</v>
      </c>
      <c r="F133" s="728">
        <v>75</v>
      </c>
      <c r="G133" s="729" t="e">
        <f>HLOOKUP($B$49, 'Weather Data'!$CC$17:$CZ$80,E133,FALSE)</f>
        <v>#N/A</v>
      </c>
      <c r="H133" s="728" t="str">
        <f>IF(F133&gt;=Inputs!$C$25,"Cooling",IF(F133&lt;=Inputs!$C$30,"Heating","Neither"))</f>
        <v>Heating</v>
      </c>
      <c r="I133" s="728" t="e">
        <f>IF(F133&gt;=Inputs!$D$25,"Cooling",IF(F133&lt;=Inputs!$D$30,"Heating","Neither"))</f>
        <v>#VALUE!</v>
      </c>
      <c r="J133" s="659" t="e">
        <f>IF(H133="Cooling",(F133-Inputs!$C$25)*($V$3)/(Inputs!$C$32-Inputs!$C$25),IF(H133="Heating",(Inputs!$C$30-F133)*($V$15)/(Inputs!$C$30-Inputs!$C$33)/$C$53,0))</f>
        <v>#VALUE!</v>
      </c>
      <c r="K133" s="659" t="e">
        <f>IF(I133="Cooling",(F133-Inputs!$D$25)*($V$4)/(Inputs!$C$32-Inputs!$D$25),IF(I133="Heating",(Inputs!$D$30-F133)*($V$16)/(Inputs!$D$30-Inputs!$C$33)/$C$53,0))</f>
        <v>#VALUE!</v>
      </c>
      <c r="L133" s="659"/>
      <c r="M133" s="701" t="e">
        <f t="shared" si="28"/>
        <v>#VALUE!</v>
      </c>
      <c r="N133" s="701" t="e">
        <f t="shared" si="29"/>
        <v>#VALUE!</v>
      </c>
      <c r="O133" s="701" t="e">
        <f t="shared" si="30"/>
        <v>#N/A</v>
      </c>
      <c r="P133" s="701" t="e">
        <f t="shared" si="30"/>
        <v>#N/A</v>
      </c>
      <c r="Q133" s="701" t="e">
        <f t="shared" si="31"/>
        <v>#N/A</v>
      </c>
      <c r="R133" s="730">
        <f t="shared" si="41"/>
        <v>0</v>
      </c>
      <c r="S133" s="730" t="e">
        <f t="shared" si="42"/>
        <v>#VALUE!</v>
      </c>
      <c r="T133" s="701" t="e">
        <f t="shared" si="43"/>
        <v>#N/A</v>
      </c>
      <c r="U133" s="701" t="e">
        <f t="shared" si="44"/>
        <v>#VALUE!</v>
      </c>
      <c r="V133" s="701" t="e">
        <f t="shared" si="32"/>
        <v>#N/A</v>
      </c>
      <c r="W133" s="701" t="e">
        <f t="shared" si="33"/>
        <v>#VALUE!</v>
      </c>
      <c r="X133" s="701" t="e">
        <f t="shared" si="34"/>
        <v>#VALUE!</v>
      </c>
      <c r="Y133" s="731">
        <f t="shared" si="45"/>
        <v>0</v>
      </c>
      <c r="Z133" s="731" t="e">
        <f t="shared" si="46"/>
        <v>#VALUE!</v>
      </c>
      <c r="AA133" s="732" t="e">
        <f t="shared" si="35"/>
        <v>#VALUE!</v>
      </c>
      <c r="AB133" s="732" t="e">
        <f t="shared" si="47"/>
        <v>#VALUE!</v>
      </c>
      <c r="AC133" s="730">
        <f t="shared" si="36"/>
        <v>0</v>
      </c>
      <c r="AD133" s="730">
        <f t="shared" si="36"/>
        <v>0</v>
      </c>
      <c r="AE133" s="701" t="e">
        <f t="shared" si="37"/>
        <v>#VALUE!</v>
      </c>
      <c r="AF133" s="701" t="e">
        <f t="shared" si="38"/>
        <v>#VALUE!</v>
      </c>
      <c r="AG133" s="701" t="e">
        <f t="shared" si="39"/>
        <v>#VALUE!</v>
      </c>
      <c r="AH133" s="701" t="e">
        <f t="shared" si="40"/>
        <v>#VALUE!</v>
      </c>
      <c r="AI133" s="730" t="e">
        <f>AH133+IF(Inputs!C$39="Electric",Q133/3412,0)</f>
        <v>#VALUE!</v>
      </c>
      <c r="AJ133" s="730" t="e">
        <f t="shared" si="48"/>
        <v>#VALUE!</v>
      </c>
    </row>
    <row r="134" spans="5:36" x14ac:dyDescent="0.2">
      <c r="E134" s="719">
        <v>16</v>
      </c>
      <c r="F134" s="728">
        <v>73</v>
      </c>
      <c r="G134" s="729" t="e">
        <f>HLOOKUP($B$49, 'Weather Data'!$CC$17:$CZ$80,E134,FALSE)</f>
        <v>#N/A</v>
      </c>
      <c r="H134" s="728" t="str">
        <f>IF(F134&gt;=Inputs!$C$25,"Cooling",IF(F134&lt;=Inputs!$C$30,"Heating","Neither"))</f>
        <v>Heating</v>
      </c>
      <c r="I134" s="728" t="e">
        <f>IF(F134&gt;=Inputs!$D$25,"Cooling",IF(F134&lt;=Inputs!$D$30,"Heating","Neither"))</f>
        <v>#VALUE!</v>
      </c>
      <c r="J134" s="659" t="e">
        <f>IF(H134="Cooling",(F134-Inputs!$C$25)*($V$3)/(Inputs!$C$32-Inputs!$C$25),IF(H134="Heating",(Inputs!$C$30-F134)*($V$15)/(Inputs!$C$30-Inputs!$C$33)/$C$53,0))</f>
        <v>#VALUE!</v>
      </c>
      <c r="K134" s="659" t="e">
        <f>IF(I134="Cooling",(F134-Inputs!$D$25)*($V$4)/(Inputs!$C$32-Inputs!$D$25),IF(I134="Heating",(Inputs!$D$30-F134)*($V$16)/(Inputs!$D$30-Inputs!$C$33)/$C$53,0))</f>
        <v>#VALUE!</v>
      </c>
      <c r="L134" s="659"/>
      <c r="M134" s="701" t="e">
        <f t="shared" si="28"/>
        <v>#VALUE!</v>
      </c>
      <c r="N134" s="701" t="e">
        <f t="shared" si="29"/>
        <v>#VALUE!</v>
      </c>
      <c r="O134" s="701" t="e">
        <f t="shared" si="30"/>
        <v>#N/A</v>
      </c>
      <c r="P134" s="701" t="e">
        <f t="shared" si="30"/>
        <v>#N/A</v>
      </c>
      <c r="Q134" s="701" t="e">
        <f t="shared" si="31"/>
        <v>#N/A</v>
      </c>
      <c r="R134" s="730">
        <f t="shared" si="41"/>
        <v>0</v>
      </c>
      <c r="S134" s="730" t="e">
        <f t="shared" si="42"/>
        <v>#VALUE!</v>
      </c>
      <c r="T134" s="701" t="e">
        <f t="shared" si="43"/>
        <v>#N/A</v>
      </c>
      <c r="U134" s="701" t="e">
        <f t="shared" si="44"/>
        <v>#VALUE!</v>
      </c>
      <c r="V134" s="701" t="e">
        <f t="shared" si="32"/>
        <v>#N/A</v>
      </c>
      <c r="W134" s="701" t="e">
        <f t="shared" si="33"/>
        <v>#VALUE!</v>
      </c>
      <c r="X134" s="701" t="e">
        <f t="shared" si="34"/>
        <v>#VALUE!</v>
      </c>
      <c r="Y134" s="731">
        <f t="shared" si="45"/>
        <v>0</v>
      </c>
      <c r="Z134" s="731" t="e">
        <f t="shared" si="46"/>
        <v>#VALUE!</v>
      </c>
      <c r="AA134" s="732" t="e">
        <f t="shared" si="35"/>
        <v>#VALUE!</v>
      </c>
      <c r="AB134" s="732" t="e">
        <f t="shared" si="47"/>
        <v>#VALUE!</v>
      </c>
      <c r="AC134" s="730">
        <f t="shared" si="36"/>
        <v>0</v>
      </c>
      <c r="AD134" s="730">
        <f t="shared" si="36"/>
        <v>0</v>
      </c>
      <c r="AE134" s="701" t="e">
        <f t="shared" si="37"/>
        <v>#VALUE!</v>
      </c>
      <c r="AF134" s="701" t="e">
        <f t="shared" si="38"/>
        <v>#VALUE!</v>
      </c>
      <c r="AG134" s="701" t="e">
        <f t="shared" si="39"/>
        <v>#VALUE!</v>
      </c>
      <c r="AH134" s="701" t="e">
        <f t="shared" si="40"/>
        <v>#VALUE!</v>
      </c>
      <c r="AI134" s="730" t="e">
        <f>AH134+IF(Inputs!C$39="Electric",Q134/3412,0)</f>
        <v>#VALUE!</v>
      </c>
      <c r="AJ134" s="730" t="e">
        <f t="shared" si="48"/>
        <v>#VALUE!</v>
      </c>
    </row>
    <row r="135" spans="5:36" x14ac:dyDescent="0.2">
      <c r="E135" s="719">
        <v>17</v>
      </c>
      <c r="F135" s="728">
        <v>71</v>
      </c>
      <c r="G135" s="729" t="e">
        <f>HLOOKUP($B$49, 'Weather Data'!$CC$17:$CZ$80,E135,FALSE)</f>
        <v>#N/A</v>
      </c>
      <c r="H135" s="728" t="str">
        <f>IF(F135&gt;=Inputs!$C$25,"Cooling",IF(F135&lt;=Inputs!$C$30,"Heating","Neither"))</f>
        <v>Heating</v>
      </c>
      <c r="I135" s="728" t="e">
        <f>IF(F135&gt;=Inputs!$D$25,"Cooling",IF(F135&lt;=Inputs!$D$30,"Heating","Neither"))</f>
        <v>#VALUE!</v>
      </c>
      <c r="J135" s="659" t="e">
        <f>IF(H135="Cooling",(F135-Inputs!$C$25)*($V$3)/(Inputs!$C$32-Inputs!$C$25),IF(H135="Heating",(Inputs!$C$30-F135)*($V$15)/(Inputs!$C$30-Inputs!$C$33)/$C$53,0))</f>
        <v>#VALUE!</v>
      </c>
      <c r="K135" s="659" t="e">
        <f>IF(I135="Cooling",(F135-Inputs!$D$25)*($V$4)/(Inputs!$C$32-Inputs!$D$25),IF(I135="Heating",(Inputs!$D$30-F135)*($V$16)/(Inputs!$D$30-Inputs!$C$33)/$C$53,0))</f>
        <v>#VALUE!</v>
      </c>
      <c r="L135" s="659"/>
      <c r="M135" s="701" t="e">
        <f t="shared" si="28"/>
        <v>#VALUE!</v>
      </c>
      <c r="N135" s="701" t="e">
        <f t="shared" si="29"/>
        <v>#VALUE!</v>
      </c>
      <c r="O135" s="701" t="e">
        <f t="shared" si="30"/>
        <v>#N/A</v>
      </c>
      <c r="P135" s="701" t="e">
        <f t="shared" si="30"/>
        <v>#N/A</v>
      </c>
      <c r="Q135" s="701" t="e">
        <f t="shared" si="31"/>
        <v>#N/A</v>
      </c>
      <c r="R135" s="730">
        <f t="shared" si="41"/>
        <v>0</v>
      </c>
      <c r="S135" s="730" t="e">
        <f t="shared" si="42"/>
        <v>#VALUE!</v>
      </c>
      <c r="T135" s="701" t="e">
        <f t="shared" si="43"/>
        <v>#N/A</v>
      </c>
      <c r="U135" s="701" t="e">
        <f t="shared" si="44"/>
        <v>#VALUE!</v>
      </c>
      <c r="V135" s="701" t="e">
        <f t="shared" si="32"/>
        <v>#N/A</v>
      </c>
      <c r="W135" s="701" t="e">
        <f t="shared" si="33"/>
        <v>#VALUE!</v>
      </c>
      <c r="X135" s="701" t="e">
        <f t="shared" si="34"/>
        <v>#VALUE!</v>
      </c>
      <c r="Y135" s="731">
        <f t="shared" si="45"/>
        <v>0</v>
      </c>
      <c r="Z135" s="731" t="e">
        <f t="shared" si="46"/>
        <v>#VALUE!</v>
      </c>
      <c r="AA135" s="732" t="e">
        <f t="shared" si="35"/>
        <v>#VALUE!</v>
      </c>
      <c r="AB135" s="732" t="e">
        <f t="shared" si="47"/>
        <v>#VALUE!</v>
      </c>
      <c r="AC135" s="730">
        <f t="shared" si="36"/>
        <v>0</v>
      </c>
      <c r="AD135" s="730">
        <f t="shared" si="36"/>
        <v>0</v>
      </c>
      <c r="AE135" s="701" t="e">
        <f t="shared" si="37"/>
        <v>#VALUE!</v>
      </c>
      <c r="AF135" s="701" t="e">
        <f t="shared" si="38"/>
        <v>#VALUE!</v>
      </c>
      <c r="AG135" s="701" t="e">
        <f t="shared" si="39"/>
        <v>#VALUE!</v>
      </c>
      <c r="AH135" s="701" t="e">
        <f t="shared" si="40"/>
        <v>#VALUE!</v>
      </c>
      <c r="AI135" s="730" t="e">
        <f>AH135+IF(Inputs!C$39="Electric",Q135/3412,0)</f>
        <v>#VALUE!</v>
      </c>
      <c r="AJ135" s="730" t="e">
        <f t="shared" si="48"/>
        <v>#VALUE!</v>
      </c>
    </row>
    <row r="136" spans="5:36" x14ac:dyDescent="0.2">
      <c r="E136" s="719">
        <v>18</v>
      </c>
      <c r="F136" s="728">
        <v>69</v>
      </c>
      <c r="G136" s="729" t="e">
        <f>HLOOKUP($B$49, 'Weather Data'!$CC$17:$CZ$80,E136,FALSE)</f>
        <v>#N/A</v>
      </c>
      <c r="H136" s="728" t="str">
        <f>IF(F136&gt;=Inputs!$C$25,"Cooling",IF(F136&lt;=Inputs!$C$30,"Heating","Neither"))</f>
        <v>Heating</v>
      </c>
      <c r="I136" s="728" t="e">
        <f>IF(F136&gt;=Inputs!$D$25,"Cooling",IF(F136&lt;=Inputs!$D$30,"Heating","Neither"))</f>
        <v>#VALUE!</v>
      </c>
      <c r="J136" s="659" t="e">
        <f>IF(H136="Cooling",(F136-Inputs!$C$25)*($V$3)/(Inputs!$C$32-Inputs!$C$25),IF(H136="Heating",(Inputs!$C$30-F136)*($V$15)/(Inputs!$C$30-Inputs!$C$33)/$C$53,0))</f>
        <v>#VALUE!</v>
      </c>
      <c r="K136" s="659" t="e">
        <f>IF(I136="Cooling",(F136-Inputs!$D$25)*($V$4)/(Inputs!$C$32-Inputs!$D$25),IF(I136="Heating",(Inputs!$D$30-F136)*($V$16)/(Inputs!$D$30-Inputs!$C$33)/$C$53,0))</f>
        <v>#VALUE!</v>
      </c>
      <c r="L136" s="659"/>
      <c r="M136" s="701" t="e">
        <f t="shared" si="28"/>
        <v>#VALUE!</v>
      </c>
      <c r="N136" s="701" t="e">
        <f t="shared" si="29"/>
        <v>#VALUE!</v>
      </c>
      <c r="O136" s="701" t="e">
        <f t="shared" si="30"/>
        <v>#N/A</v>
      </c>
      <c r="P136" s="701" t="e">
        <f t="shared" si="30"/>
        <v>#N/A</v>
      </c>
      <c r="Q136" s="701" t="e">
        <f t="shared" si="31"/>
        <v>#N/A</v>
      </c>
      <c r="R136" s="730">
        <f t="shared" si="41"/>
        <v>0</v>
      </c>
      <c r="S136" s="730" t="e">
        <f t="shared" si="42"/>
        <v>#VALUE!</v>
      </c>
      <c r="T136" s="701" t="e">
        <f t="shared" si="43"/>
        <v>#N/A</v>
      </c>
      <c r="U136" s="701" t="e">
        <f t="shared" si="44"/>
        <v>#VALUE!</v>
      </c>
      <c r="V136" s="701" t="e">
        <f t="shared" si="32"/>
        <v>#N/A</v>
      </c>
      <c r="W136" s="701" t="e">
        <f t="shared" si="33"/>
        <v>#VALUE!</v>
      </c>
      <c r="X136" s="701" t="e">
        <f t="shared" si="34"/>
        <v>#VALUE!</v>
      </c>
      <c r="Y136" s="731">
        <f t="shared" si="45"/>
        <v>0</v>
      </c>
      <c r="Z136" s="731" t="e">
        <f t="shared" si="46"/>
        <v>#VALUE!</v>
      </c>
      <c r="AA136" s="732" t="e">
        <f t="shared" si="35"/>
        <v>#VALUE!</v>
      </c>
      <c r="AB136" s="732" t="e">
        <f t="shared" si="47"/>
        <v>#VALUE!</v>
      </c>
      <c r="AC136" s="730">
        <f t="shared" si="36"/>
        <v>0</v>
      </c>
      <c r="AD136" s="730">
        <f t="shared" si="36"/>
        <v>0</v>
      </c>
      <c r="AE136" s="701" t="e">
        <f t="shared" si="37"/>
        <v>#VALUE!</v>
      </c>
      <c r="AF136" s="701" t="e">
        <f t="shared" si="38"/>
        <v>#VALUE!</v>
      </c>
      <c r="AG136" s="701" t="e">
        <f t="shared" si="39"/>
        <v>#VALUE!</v>
      </c>
      <c r="AH136" s="701" t="e">
        <f t="shared" si="40"/>
        <v>#VALUE!</v>
      </c>
      <c r="AI136" s="730" t="e">
        <f>AH136+IF(Inputs!C$39="Electric",Q136/3412,0)</f>
        <v>#VALUE!</v>
      </c>
      <c r="AJ136" s="730" t="e">
        <f t="shared" si="48"/>
        <v>#VALUE!</v>
      </c>
    </row>
    <row r="137" spans="5:36" x14ac:dyDescent="0.2">
      <c r="E137" s="719">
        <v>19</v>
      </c>
      <c r="F137" s="728">
        <v>67</v>
      </c>
      <c r="G137" s="729" t="e">
        <f>HLOOKUP($B$49, 'Weather Data'!$CC$17:$CZ$80,E137,FALSE)</f>
        <v>#N/A</v>
      </c>
      <c r="H137" s="728" t="str">
        <f>IF(F137&gt;=Inputs!$C$25,"Cooling",IF(F137&lt;=Inputs!$C$30,"Heating","Neither"))</f>
        <v>Heating</v>
      </c>
      <c r="I137" s="728" t="e">
        <f>IF(F137&gt;=Inputs!$D$25,"Cooling",IF(F137&lt;=Inputs!$D$30,"Heating","Neither"))</f>
        <v>#VALUE!</v>
      </c>
      <c r="J137" s="659" t="e">
        <f>IF(H137="Cooling",(F137-Inputs!$C$25)*($V$3)/(Inputs!$C$32-Inputs!$C$25),IF(H137="Heating",(Inputs!$C$30-F137)*($V$15)/(Inputs!$C$30-Inputs!$C$33)/$C$53,0))</f>
        <v>#VALUE!</v>
      </c>
      <c r="K137" s="659" t="e">
        <f>IF(I137="Cooling",(F137-Inputs!$D$25)*($V$4)/(Inputs!$C$32-Inputs!$D$25),IF(I137="Heating",(Inputs!$D$30-F137)*($V$16)/(Inputs!$D$30-Inputs!$C$33)/$C$53,0))</f>
        <v>#VALUE!</v>
      </c>
      <c r="L137" s="659"/>
      <c r="M137" s="701" t="e">
        <f t="shared" si="28"/>
        <v>#VALUE!</v>
      </c>
      <c r="N137" s="701" t="e">
        <f t="shared" si="29"/>
        <v>#VALUE!</v>
      </c>
      <c r="O137" s="701" t="e">
        <f t="shared" si="30"/>
        <v>#N/A</v>
      </c>
      <c r="P137" s="701" t="e">
        <f t="shared" si="30"/>
        <v>#N/A</v>
      </c>
      <c r="Q137" s="701" t="e">
        <f t="shared" si="31"/>
        <v>#N/A</v>
      </c>
      <c r="R137" s="730">
        <f t="shared" si="41"/>
        <v>0</v>
      </c>
      <c r="S137" s="730" t="e">
        <f t="shared" si="42"/>
        <v>#VALUE!</v>
      </c>
      <c r="T137" s="701" t="e">
        <f t="shared" si="43"/>
        <v>#N/A</v>
      </c>
      <c r="U137" s="701" t="e">
        <f t="shared" si="44"/>
        <v>#VALUE!</v>
      </c>
      <c r="V137" s="701" t="e">
        <f t="shared" si="32"/>
        <v>#N/A</v>
      </c>
      <c r="W137" s="701" t="e">
        <f t="shared" si="33"/>
        <v>#VALUE!</v>
      </c>
      <c r="X137" s="701" t="e">
        <f t="shared" si="34"/>
        <v>#VALUE!</v>
      </c>
      <c r="Y137" s="731">
        <f t="shared" si="45"/>
        <v>0</v>
      </c>
      <c r="Z137" s="731" t="e">
        <f t="shared" si="46"/>
        <v>#VALUE!</v>
      </c>
      <c r="AA137" s="732" t="e">
        <f t="shared" si="35"/>
        <v>#VALUE!</v>
      </c>
      <c r="AB137" s="732" t="e">
        <f t="shared" si="47"/>
        <v>#VALUE!</v>
      </c>
      <c r="AC137" s="730">
        <f t="shared" si="36"/>
        <v>0</v>
      </c>
      <c r="AD137" s="730">
        <f t="shared" si="36"/>
        <v>0</v>
      </c>
      <c r="AE137" s="701" t="e">
        <f t="shared" si="37"/>
        <v>#VALUE!</v>
      </c>
      <c r="AF137" s="701" t="e">
        <f t="shared" si="38"/>
        <v>#VALUE!</v>
      </c>
      <c r="AG137" s="701" t="e">
        <f t="shared" si="39"/>
        <v>#VALUE!</v>
      </c>
      <c r="AH137" s="701" t="e">
        <f t="shared" si="40"/>
        <v>#VALUE!</v>
      </c>
      <c r="AI137" s="730" t="e">
        <f>AH137+IF(Inputs!C$39="Electric",Q137/3412,0)</f>
        <v>#VALUE!</v>
      </c>
      <c r="AJ137" s="730" t="e">
        <f t="shared" si="48"/>
        <v>#VALUE!</v>
      </c>
    </row>
    <row r="138" spans="5:36" x14ac:dyDescent="0.2">
      <c r="E138" s="719">
        <v>20</v>
      </c>
      <c r="F138" s="728">
        <v>65</v>
      </c>
      <c r="G138" s="729" t="e">
        <f>HLOOKUP($B$49, 'Weather Data'!$CC$17:$CZ$80,E138,FALSE)</f>
        <v>#N/A</v>
      </c>
      <c r="H138" s="728" t="str">
        <f>IF(F138&gt;=Inputs!$C$25,"Cooling",IF(F138&lt;=Inputs!$C$30,"Heating","Neither"))</f>
        <v>Heating</v>
      </c>
      <c r="I138" s="728" t="e">
        <f>IF(F138&gt;=Inputs!$D$25,"Cooling",IF(F138&lt;=Inputs!$D$30,"Heating","Neither"))</f>
        <v>#VALUE!</v>
      </c>
      <c r="J138" s="659" t="e">
        <f>IF(H138="Cooling",(F138-Inputs!$C$25)*($V$3)/(Inputs!$C$32-Inputs!$C$25),IF(H138="Heating",(Inputs!$C$30-F138)*($V$15)/(Inputs!$C$30-Inputs!$C$33)/$C$53,0))</f>
        <v>#VALUE!</v>
      </c>
      <c r="K138" s="659" t="e">
        <f>IF(I138="Cooling",(F138-Inputs!$D$25)*($V$4)/(Inputs!$C$32-Inputs!$D$25),IF(I138="Heating",(Inputs!$D$30-F138)*($V$16)/(Inputs!$D$30-Inputs!$C$33)/$C$53,0))</f>
        <v>#VALUE!</v>
      </c>
      <c r="L138" s="659"/>
      <c r="M138" s="701" t="e">
        <f t="shared" si="28"/>
        <v>#VALUE!</v>
      </c>
      <c r="N138" s="701" t="e">
        <f t="shared" si="29"/>
        <v>#VALUE!</v>
      </c>
      <c r="O138" s="701" t="e">
        <f t="shared" si="30"/>
        <v>#N/A</v>
      </c>
      <c r="P138" s="701" t="e">
        <f t="shared" si="30"/>
        <v>#N/A</v>
      </c>
      <c r="Q138" s="701" t="e">
        <f t="shared" si="31"/>
        <v>#N/A</v>
      </c>
      <c r="R138" s="730">
        <f t="shared" si="41"/>
        <v>0</v>
      </c>
      <c r="S138" s="730" t="e">
        <f t="shared" si="42"/>
        <v>#VALUE!</v>
      </c>
      <c r="T138" s="701" t="e">
        <f t="shared" si="43"/>
        <v>#N/A</v>
      </c>
      <c r="U138" s="701" t="e">
        <f t="shared" si="44"/>
        <v>#VALUE!</v>
      </c>
      <c r="V138" s="701" t="e">
        <f t="shared" si="32"/>
        <v>#N/A</v>
      </c>
      <c r="W138" s="701" t="e">
        <f t="shared" si="33"/>
        <v>#VALUE!</v>
      </c>
      <c r="X138" s="701" t="e">
        <f t="shared" si="34"/>
        <v>#VALUE!</v>
      </c>
      <c r="Y138" s="731">
        <f t="shared" si="45"/>
        <v>0</v>
      </c>
      <c r="Z138" s="731" t="e">
        <f t="shared" si="46"/>
        <v>#VALUE!</v>
      </c>
      <c r="AA138" s="732" t="e">
        <f t="shared" si="35"/>
        <v>#VALUE!</v>
      </c>
      <c r="AB138" s="732" t="e">
        <f t="shared" si="47"/>
        <v>#VALUE!</v>
      </c>
      <c r="AC138" s="730">
        <f t="shared" si="36"/>
        <v>0</v>
      </c>
      <c r="AD138" s="730">
        <f t="shared" si="36"/>
        <v>0</v>
      </c>
      <c r="AE138" s="701" t="e">
        <f t="shared" si="37"/>
        <v>#VALUE!</v>
      </c>
      <c r="AF138" s="701" t="e">
        <f t="shared" si="38"/>
        <v>#VALUE!</v>
      </c>
      <c r="AG138" s="701" t="e">
        <f t="shared" si="39"/>
        <v>#VALUE!</v>
      </c>
      <c r="AH138" s="701" t="e">
        <f t="shared" si="40"/>
        <v>#VALUE!</v>
      </c>
      <c r="AI138" s="730" t="e">
        <f>AH138+IF(Inputs!C$39="Electric",Q138/3412,0)</f>
        <v>#VALUE!</v>
      </c>
      <c r="AJ138" s="730" t="e">
        <f t="shared" si="48"/>
        <v>#VALUE!</v>
      </c>
    </row>
    <row r="139" spans="5:36" x14ac:dyDescent="0.2">
      <c r="E139" s="719">
        <v>21</v>
      </c>
      <c r="F139" s="728">
        <v>63</v>
      </c>
      <c r="G139" s="729" t="e">
        <f>HLOOKUP($B$49, 'Weather Data'!$CC$17:$CZ$80,E139,FALSE)</f>
        <v>#N/A</v>
      </c>
      <c r="H139" s="728" t="str">
        <f>IF(F139&gt;=Inputs!$C$25,"Cooling",IF(F139&lt;=Inputs!$C$30,"Heating","Neither"))</f>
        <v>Heating</v>
      </c>
      <c r="I139" s="728" t="e">
        <f>IF(F139&gt;=Inputs!$D$25,"Cooling",IF(F139&lt;=Inputs!$D$30,"Heating","Neither"))</f>
        <v>#VALUE!</v>
      </c>
      <c r="J139" s="659" t="e">
        <f>IF(H139="Cooling",(F139-Inputs!$C$25)*($V$3)/(Inputs!$C$32-Inputs!$C$25),IF(H139="Heating",(Inputs!$C$30-F139)*($V$15)/(Inputs!$C$30-Inputs!$C$33)/$C$53,0))</f>
        <v>#VALUE!</v>
      </c>
      <c r="K139" s="659" t="e">
        <f>IF(I139="Cooling",(F139-Inputs!$D$25)*($V$4)/(Inputs!$C$32-Inputs!$D$25),IF(I139="Heating",(Inputs!$D$30-F139)*($V$16)/(Inputs!$D$30-Inputs!$C$33)/$C$53,0))</f>
        <v>#VALUE!</v>
      </c>
      <c r="L139" s="659"/>
      <c r="M139" s="701" t="e">
        <f t="shared" si="28"/>
        <v>#VALUE!</v>
      </c>
      <c r="N139" s="701" t="e">
        <f t="shared" si="29"/>
        <v>#VALUE!</v>
      </c>
      <c r="O139" s="701" t="e">
        <f t="shared" si="30"/>
        <v>#N/A</v>
      </c>
      <c r="P139" s="701" t="e">
        <f t="shared" si="30"/>
        <v>#N/A</v>
      </c>
      <c r="Q139" s="701" t="e">
        <f t="shared" si="31"/>
        <v>#N/A</v>
      </c>
      <c r="R139" s="730">
        <f t="shared" si="41"/>
        <v>0</v>
      </c>
      <c r="S139" s="730" t="e">
        <f t="shared" si="42"/>
        <v>#VALUE!</v>
      </c>
      <c r="T139" s="701" t="e">
        <f t="shared" si="43"/>
        <v>#N/A</v>
      </c>
      <c r="U139" s="701" t="e">
        <f t="shared" si="44"/>
        <v>#VALUE!</v>
      </c>
      <c r="V139" s="701" t="e">
        <f t="shared" si="32"/>
        <v>#N/A</v>
      </c>
      <c r="W139" s="701" t="e">
        <f t="shared" si="33"/>
        <v>#VALUE!</v>
      </c>
      <c r="X139" s="701" t="e">
        <f t="shared" si="34"/>
        <v>#VALUE!</v>
      </c>
      <c r="Y139" s="731">
        <f t="shared" si="45"/>
        <v>0</v>
      </c>
      <c r="Z139" s="731" t="e">
        <f t="shared" si="46"/>
        <v>#VALUE!</v>
      </c>
      <c r="AA139" s="732" t="e">
        <f t="shared" si="35"/>
        <v>#VALUE!</v>
      </c>
      <c r="AB139" s="732" t="e">
        <f t="shared" si="47"/>
        <v>#VALUE!</v>
      </c>
      <c r="AC139" s="730">
        <f t="shared" si="36"/>
        <v>0</v>
      </c>
      <c r="AD139" s="730">
        <f t="shared" si="36"/>
        <v>0</v>
      </c>
      <c r="AE139" s="701" t="e">
        <f t="shared" si="37"/>
        <v>#VALUE!</v>
      </c>
      <c r="AF139" s="701" t="e">
        <f t="shared" si="38"/>
        <v>#VALUE!</v>
      </c>
      <c r="AG139" s="701" t="e">
        <f t="shared" si="39"/>
        <v>#VALUE!</v>
      </c>
      <c r="AH139" s="701" t="e">
        <f t="shared" si="40"/>
        <v>#VALUE!</v>
      </c>
      <c r="AI139" s="730" t="e">
        <f>AH139+IF(Inputs!C$39="Electric",Q139/3412,0)</f>
        <v>#VALUE!</v>
      </c>
      <c r="AJ139" s="730" t="e">
        <f t="shared" si="48"/>
        <v>#VALUE!</v>
      </c>
    </row>
    <row r="140" spans="5:36" x14ac:dyDescent="0.2">
      <c r="E140" s="719">
        <v>22</v>
      </c>
      <c r="F140" s="728">
        <v>61</v>
      </c>
      <c r="G140" s="729" t="e">
        <f>HLOOKUP($B$49, 'Weather Data'!$CC$17:$CZ$80,E140,FALSE)</f>
        <v>#N/A</v>
      </c>
      <c r="H140" s="728" t="str">
        <f>IF(F140&gt;=Inputs!$C$25,"Cooling",IF(F140&lt;=Inputs!$C$30,"Heating","Neither"))</f>
        <v>Heating</v>
      </c>
      <c r="I140" s="728" t="e">
        <f>IF(F140&gt;=Inputs!$D$25,"Cooling",IF(F140&lt;=Inputs!$D$30,"Heating","Neither"))</f>
        <v>#VALUE!</v>
      </c>
      <c r="J140" s="659" t="e">
        <f>IF(H140="Cooling",(F140-Inputs!$C$25)*($V$3)/(Inputs!$C$32-Inputs!$C$25),IF(H140="Heating",(Inputs!$C$30-F140)*($V$15)/(Inputs!$C$30-Inputs!$C$33)/$C$53,0))</f>
        <v>#VALUE!</v>
      </c>
      <c r="K140" s="659" t="e">
        <f>IF(I140="Cooling",(F140-Inputs!$D$25)*($V$4)/(Inputs!$C$32-Inputs!$D$25),IF(I140="Heating",(Inputs!$D$30-F140)*($V$16)/(Inputs!$D$30-Inputs!$C$33)/$C$53,0))</f>
        <v>#VALUE!</v>
      </c>
      <c r="L140" s="659"/>
      <c r="M140" s="701" t="e">
        <f t="shared" si="28"/>
        <v>#VALUE!</v>
      </c>
      <c r="N140" s="701" t="e">
        <f t="shared" si="29"/>
        <v>#VALUE!</v>
      </c>
      <c r="O140" s="701" t="e">
        <f t="shared" si="30"/>
        <v>#N/A</v>
      </c>
      <c r="P140" s="701" t="e">
        <f t="shared" si="30"/>
        <v>#N/A</v>
      </c>
      <c r="Q140" s="701" t="e">
        <f t="shared" si="31"/>
        <v>#N/A</v>
      </c>
      <c r="R140" s="730">
        <f t="shared" si="41"/>
        <v>0</v>
      </c>
      <c r="S140" s="730" t="e">
        <f t="shared" si="42"/>
        <v>#VALUE!</v>
      </c>
      <c r="T140" s="701" t="e">
        <f t="shared" si="43"/>
        <v>#N/A</v>
      </c>
      <c r="U140" s="701" t="e">
        <f t="shared" si="44"/>
        <v>#VALUE!</v>
      </c>
      <c r="V140" s="701" t="e">
        <f t="shared" si="32"/>
        <v>#N/A</v>
      </c>
      <c r="W140" s="701" t="e">
        <f t="shared" si="33"/>
        <v>#VALUE!</v>
      </c>
      <c r="X140" s="701" t="e">
        <f t="shared" si="34"/>
        <v>#VALUE!</v>
      </c>
      <c r="Y140" s="731">
        <f t="shared" si="45"/>
        <v>0</v>
      </c>
      <c r="Z140" s="731" t="e">
        <f t="shared" si="46"/>
        <v>#VALUE!</v>
      </c>
      <c r="AA140" s="732" t="e">
        <f t="shared" si="35"/>
        <v>#VALUE!</v>
      </c>
      <c r="AB140" s="732" t="e">
        <f t="shared" si="47"/>
        <v>#VALUE!</v>
      </c>
      <c r="AC140" s="730">
        <f t="shared" si="36"/>
        <v>0</v>
      </c>
      <c r="AD140" s="730">
        <f t="shared" si="36"/>
        <v>0</v>
      </c>
      <c r="AE140" s="701" t="e">
        <f t="shared" si="37"/>
        <v>#VALUE!</v>
      </c>
      <c r="AF140" s="701" t="e">
        <f t="shared" si="38"/>
        <v>#VALUE!</v>
      </c>
      <c r="AG140" s="701" t="e">
        <f t="shared" si="39"/>
        <v>#VALUE!</v>
      </c>
      <c r="AH140" s="701" t="e">
        <f t="shared" si="40"/>
        <v>#VALUE!</v>
      </c>
      <c r="AI140" s="730" t="e">
        <f>AH140+IF(Inputs!C$39="Electric",Q140/3412,0)</f>
        <v>#VALUE!</v>
      </c>
      <c r="AJ140" s="730" t="e">
        <f t="shared" si="48"/>
        <v>#VALUE!</v>
      </c>
    </row>
    <row r="141" spans="5:36" x14ac:dyDescent="0.2">
      <c r="E141" s="719">
        <v>23</v>
      </c>
      <c r="F141" s="728">
        <v>59</v>
      </c>
      <c r="G141" s="729" t="e">
        <f>HLOOKUP($B$49, 'Weather Data'!$CC$17:$CZ$80,E141,FALSE)</f>
        <v>#N/A</v>
      </c>
      <c r="H141" s="728" t="str">
        <f>IF(F141&gt;=Inputs!$C$25,"Cooling",IF(F141&lt;=Inputs!$C$30,"Heating","Neither"))</f>
        <v>Heating</v>
      </c>
      <c r="I141" s="728" t="e">
        <f>IF(F141&gt;=Inputs!$D$25,"Cooling",IF(F141&lt;=Inputs!$D$30,"Heating","Neither"))</f>
        <v>#VALUE!</v>
      </c>
      <c r="J141" s="659" t="e">
        <f>IF(H141="Cooling",(F141-Inputs!$C$25)*($V$3)/(Inputs!$C$32-Inputs!$C$25),IF(H141="Heating",(Inputs!$C$30-F141)*($V$15)/(Inputs!$C$30-Inputs!$C$33)/$C$53,0))</f>
        <v>#VALUE!</v>
      </c>
      <c r="K141" s="659" t="e">
        <f>IF(I141="Cooling",(F141-Inputs!$D$25)*($V$4)/(Inputs!$C$32-Inputs!$D$25),IF(I141="Heating",(Inputs!$D$30-F141)*($V$16)/(Inputs!$D$30-Inputs!$C$33)/$C$53,0))</f>
        <v>#VALUE!</v>
      </c>
      <c r="L141" s="659"/>
      <c r="M141" s="701" t="e">
        <f>IF(AND(H141="Heating",J141&gt;0,G141&gt;0),J141,0)</f>
        <v>#VALUE!</v>
      </c>
      <c r="N141" s="701" t="e">
        <f t="shared" si="29"/>
        <v>#VALUE!</v>
      </c>
      <c r="O141" s="701" t="e">
        <f t="shared" si="30"/>
        <v>#N/A</v>
      </c>
      <c r="P141" s="701" t="e">
        <f t="shared" si="30"/>
        <v>#N/A</v>
      </c>
      <c r="Q141" s="701" t="e">
        <f t="shared" si="31"/>
        <v>#N/A</v>
      </c>
      <c r="R141" s="730">
        <f t="shared" si="41"/>
        <v>0</v>
      </c>
      <c r="S141" s="730" t="e">
        <f t="shared" si="42"/>
        <v>#VALUE!</v>
      </c>
      <c r="T141" s="701" t="e">
        <f t="shared" si="43"/>
        <v>#N/A</v>
      </c>
      <c r="U141" s="701" t="e">
        <f>S141*($E$4)</f>
        <v>#VALUE!</v>
      </c>
      <c r="V141" s="701" t="e">
        <f t="shared" si="32"/>
        <v>#N/A</v>
      </c>
      <c r="W141" s="701" t="e">
        <f t="shared" si="33"/>
        <v>#VALUE!</v>
      </c>
      <c r="X141" s="701" t="e">
        <f t="shared" si="34"/>
        <v>#VALUE!</v>
      </c>
      <c r="Y141" s="731">
        <f t="shared" si="45"/>
        <v>0</v>
      </c>
      <c r="Z141" s="731" t="e">
        <f t="shared" si="46"/>
        <v>#VALUE!</v>
      </c>
      <c r="AA141" s="732" t="e">
        <f>IF(AND(H141="Cooling",J141&gt;0),MIN(1,1/(1-(1-R141/T141)*$C$51)),0)</f>
        <v>#VALUE!</v>
      </c>
      <c r="AB141" s="732" t="e">
        <f t="shared" si="47"/>
        <v>#VALUE!</v>
      </c>
      <c r="AC141" s="730">
        <f t="shared" si="36"/>
        <v>0</v>
      </c>
      <c r="AD141" s="730">
        <f>IFERROR($Q$37/Z141/AB141,0)</f>
        <v>0</v>
      </c>
      <c r="AE141" s="701" t="e">
        <f t="shared" si="37"/>
        <v>#VALUE!</v>
      </c>
      <c r="AF141" s="701" t="e">
        <f>IF(AB141&gt;0,$G141*X141/($AD141/3.412),0)</f>
        <v>#VALUE!</v>
      </c>
      <c r="AG141" s="701" t="e">
        <f t="shared" si="39"/>
        <v>#VALUE!</v>
      </c>
      <c r="AH141" s="701" t="e">
        <f t="shared" si="40"/>
        <v>#VALUE!</v>
      </c>
      <c r="AI141" s="730" t="e">
        <f>AH141+IF(Inputs!C$39="Electric",Q141/3412,0)</f>
        <v>#VALUE!</v>
      </c>
      <c r="AJ141" s="730" t="e">
        <f t="shared" si="48"/>
        <v>#VALUE!</v>
      </c>
    </row>
    <row r="142" spans="5:36" x14ac:dyDescent="0.2">
      <c r="E142" s="719">
        <v>24</v>
      </c>
      <c r="F142" s="728">
        <v>57</v>
      </c>
      <c r="G142" s="729" t="e">
        <f>HLOOKUP($B$49, 'Weather Data'!$CC$17:$CZ$80,E142,FALSE)</f>
        <v>#N/A</v>
      </c>
      <c r="H142" s="728" t="str">
        <f>IF(F142&gt;=Inputs!$C$25,"Cooling",IF(F142&lt;=Inputs!$C$30,"Heating","Neither"))</f>
        <v>Heating</v>
      </c>
      <c r="I142" s="728" t="e">
        <f>IF(F142&gt;=Inputs!$D$25,"Cooling",IF(F142&lt;=Inputs!$D$30,"Heating","Neither"))</f>
        <v>#VALUE!</v>
      </c>
      <c r="J142" s="659" t="e">
        <f>IF(H142="Cooling",(F142-Inputs!$C$25)*($V$3)/(Inputs!$C$32-Inputs!$C$25),IF(H142="Heating",(Inputs!$C$30-F142)*($V$15)/(Inputs!$C$30-Inputs!$C$33)/$C$53,0))</f>
        <v>#VALUE!</v>
      </c>
      <c r="K142" s="659" t="e">
        <f>IF(I142="Cooling",(F142-Inputs!$D$25)*($V$4)/(Inputs!$C$32-Inputs!$D$25),IF(I142="Heating",(Inputs!$D$30-F142)*($V$16)/(Inputs!$D$30-Inputs!$C$33)/$C$53,0))</f>
        <v>#VALUE!</v>
      </c>
      <c r="L142" s="659"/>
      <c r="M142" s="701" t="e">
        <f t="shared" si="28"/>
        <v>#VALUE!</v>
      </c>
      <c r="N142" s="701" t="e">
        <f t="shared" si="29"/>
        <v>#VALUE!</v>
      </c>
      <c r="O142" s="701" t="e">
        <f t="shared" si="30"/>
        <v>#N/A</v>
      </c>
      <c r="P142" s="701" t="e">
        <f t="shared" si="30"/>
        <v>#N/A</v>
      </c>
      <c r="Q142" s="701" t="e">
        <f t="shared" si="31"/>
        <v>#N/A</v>
      </c>
      <c r="R142" s="730">
        <f t="shared" si="41"/>
        <v>0</v>
      </c>
      <c r="S142" s="730" t="e">
        <f t="shared" si="42"/>
        <v>#VALUE!</v>
      </c>
      <c r="T142" s="701" t="e">
        <f t="shared" si="43"/>
        <v>#N/A</v>
      </c>
      <c r="U142" s="701" t="e">
        <f t="shared" si="44"/>
        <v>#VALUE!</v>
      </c>
      <c r="V142" s="701" t="e">
        <f t="shared" si="32"/>
        <v>#N/A</v>
      </c>
      <c r="W142" s="701" t="e">
        <f t="shared" si="33"/>
        <v>#VALUE!</v>
      </c>
      <c r="X142" s="701" t="e">
        <f t="shared" si="34"/>
        <v>#VALUE!</v>
      </c>
      <c r="Y142" s="731">
        <f t="shared" si="45"/>
        <v>0</v>
      </c>
      <c r="Z142" s="731" t="e">
        <f t="shared" si="46"/>
        <v>#VALUE!</v>
      </c>
      <c r="AA142" s="732" t="e">
        <f t="shared" si="35"/>
        <v>#VALUE!</v>
      </c>
      <c r="AB142" s="732" t="e">
        <f t="shared" si="47"/>
        <v>#VALUE!</v>
      </c>
      <c r="AC142" s="730">
        <f t="shared" si="36"/>
        <v>0</v>
      </c>
      <c r="AD142" s="730">
        <f t="shared" si="36"/>
        <v>0</v>
      </c>
      <c r="AE142" s="701" t="e">
        <f t="shared" si="37"/>
        <v>#VALUE!</v>
      </c>
      <c r="AF142" s="701" t="e">
        <f t="shared" si="38"/>
        <v>#VALUE!</v>
      </c>
      <c r="AG142" s="701" t="e">
        <f t="shared" si="39"/>
        <v>#VALUE!</v>
      </c>
      <c r="AH142" s="701" t="e">
        <f t="shared" si="40"/>
        <v>#VALUE!</v>
      </c>
      <c r="AI142" s="730" t="e">
        <f>AH142+IF(Inputs!C$39="Electric",Q142/3412,0)</f>
        <v>#VALUE!</v>
      </c>
      <c r="AJ142" s="730" t="e">
        <f t="shared" si="48"/>
        <v>#VALUE!</v>
      </c>
    </row>
    <row r="143" spans="5:36" x14ac:dyDescent="0.2">
      <c r="E143" s="719">
        <v>25</v>
      </c>
      <c r="F143" s="728">
        <v>55</v>
      </c>
      <c r="G143" s="729" t="e">
        <f>HLOOKUP($B$49, 'Weather Data'!$CC$17:$CZ$80,E143,FALSE)</f>
        <v>#N/A</v>
      </c>
      <c r="H143" s="728" t="str">
        <f>IF(F143&gt;=Inputs!$C$25,"Cooling",IF(F143&lt;=Inputs!$C$30,"Heating","Neither"))</f>
        <v>Heating</v>
      </c>
      <c r="I143" s="728" t="e">
        <f>IF(F143&gt;=Inputs!$D$25,"Cooling",IF(F143&lt;=Inputs!$D$30,"Heating","Neither"))</f>
        <v>#VALUE!</v>
      </c>
      <c r="J143" s="659" t="e">
        <f>IF(H143="Cooling",(F143-Inputs!$C$25)*($V$3)/(Inputs!$C$32-Inputs!$C$25),IF(H143="Heating",(Inputs!$C$30-F143)*($V$15)/(Inputs!$C$30-Inputs!$C$33)/$C$53,0))</f>
        <v>#VALUE!</v>
      </c>
      <c r="K143" s="659" t="e">
        <f>IF(I143="Cooling",(F143-Inputs!$D$25)*($V$4)/(Inputs!$C$32-Inputs!$D$25),IF(I143="Heating",(Inputs!$D$30-F143)*($V$16)/(Inputs!$D$30-Inputs!$C$33)/$C$53,0))</f>
        <v>#VALUE!</v>
      </c>
      <c r="L143" s="659"/>
      <c r="M143" s="701" t="e">
        <f t="shared" si="28"/>
        <v>#VALUE!</v>
      </c>
      <c r="N143" s="701" t="e">
        <f t="shared" si="29"/>
        <v>#VALUE!</v>
      </c>
      <c r="O143" s="701" t="e">
        <f t="shared" si="30"/>
        <v>#N/A</v>
      </c>
      <c r="P143" s="701" t="e">
        <f t="shared" si="30"/>
        <v>#N/A</v>
      </c>
      <c r="Q143" s="701" t="e">
        <f t="shared" si="31"/>
        <v>#N/A</v>
      </c>
      <c r="R143" s="730">
        <f t="shared" si="41"/>
        <v>0</v>
      </c>
      <c r="S143" s="730" t="e">
        <f t="shared" si="42"/>
        <v>#VALUE!</v>
      </c>
      <c r="T143" s="701" t="e">
        <f t="shared" si="43"/>
        <v>#N/A</v>
      </c>
      <c r="U143" s="701" t="e">
        <f t="shared" si="44"/>
        <v>#VALUE!</v>
      </c>
      <c r="V143" s="701" t="e">
        <f t="shared" si="32"/>
        <v>#N/A</v>
      </c>
      <c r="W143" s="701" t="e">
        <f t="shared" si="33"/>
        <v>#VALUE!</v>
      </c>
      <c r="X143" s="701" t="e">
        <f t="shared" si="34"/>
        <v>#VALUE!</v>
      </c>
      <c r="Y143" s="731">
        <f t="shared" si="45"/>
        <v>0</v>
      </c>
      <c r="Z143" s="731" t="e">
        <f t="shared" si="46"/>
        <v>#VALUE!</v>
      </c>
      <c r="AA143" s="732" t="e">
        <f t="shared" si="35"/>
        <v>#VALUE!</v>
      </c>
      <c r="AB143" s="732" t="e">
        <f t="shared" si="47"/>
        <v>#VALUE!</v>
      </c>
      <c r="AC143" s="730">
        <f t="shared" si="36"/>
        <v>0</v>
      </c>
      <c r="AD143" s="730">
        <f t="shared" si="36"/>
        <v>0</v>
      </c>
      <c r="AE143" s="701" t="e">
        <f t="shared" si="37"/>
        <v>#VALUE!</v>
      </c>
      <c r="AF143" s="701" t="e">
        <f t="shared" si="38"/>
        <v>#VALUE!</v>
      </c>
      <c r="AG143" s="701" t="e">
        <f t="shared" si="39"/>
        <v>#VALUE!</v>
      </c>
      <c r="AH143" s="701" t="e">
        <f t="shared" si="40"/>
        <v>#VALUE!</v>
      </c>
      <c r="AI143" s="730" t="e">
        <f>AH143+IF(Inputs!C$39="Electric",Q143/3412,0)</f>
        <v>#VALUE!</v>
      </c>
      <c r="AJ143" s="730" t="e">
        <f t="shared" si="48"/>
        <v>#VALUE!</v>
      </c>
    </row>
    <row r="144" spans="5:36" x14ac:dyDescent="0.2">
      <c r="E144" s="719">
        <v>26</v>
      </c>
      <c r="F144" s="728">
        <v>53</v>
      </c>
      <c r="G144" s="729" t="e">
        <f>HLOOKUP($B$49, 'Weather Data'!$CC$17:$CZ$80,E144,FALSE)</f>
        <v>#N/A</v>
      </c>
      <c r="H144" s="728" t="str">
        <f>IF(F144&gt;=Inputs!$C$25,"Cooling",IF(F144&lt;=Inputs!$C$30,"Heating","Neither"))</f>
        <v>Heating</v>
      </c>
      <c r="I144" s="728" t="e">
        <f>IF(F144&gt;=Inputs!$D$25,"Cooling",IF(F144&lt;=Inputs!$D$30,"Heating","Neither"))</f>
        <v>#VALUE!</v>
      </c>
      <c r="J144" s="659" t="e">
        <f>IF(H144="Cooling",(F144-Inputs!$C$25)*($V$3)/(Inputs!$C$32-Inputs!$C$25),IF(H144="Heating",(Inputs!$C$30-F144)*($V$15)/(Inputs!$C$30-Inputs!$C$33)/$C$53,0))</f>
        <v>#VALUE!</v>
      </c>
      <c r="K144" s="659" t="e">
        <f>IF(I144="Cooling",(F144-Inputs!$D$25)*($V$4)/(Inputs!$C$32-Inputs!$D$25),IF(I144="Heating",(Inputs!$D$30-F144)*($V$16)/(Inputs!$D$30-Inputs!$C$33)/$C$53,0))</f>
        <v>#VALUE!</v>
      </c>
      <c r="L144" s="659"/>
      <c r="M144" s="701" t="e">
        <f t="shared" si="28"/>
        <v>#VALUE!</v>
      </c>
      <c r="N144" s="701" t="e">
        <f t="shared" si="29"/>
        <v>#VALUE!</v>
      </c>
      <c r="O144" s="701" t="e">
        <f t="shared" si="30"/>
        <v>#N/A</v>
      </c>
      <c r="P144" s="701" t="e">
        <f t="shared" si="30"/>
        <v>#N/A</v>
      </c>
      <c r="Q144" s="701" t="e">
        <f t="shared" si="31"/>
        <v>#N/A</v>
      </c>
      <c r="R144" s="730">
        <f t="shared" si="41"/>
        <v>0</v>
      </c>
      <c r="S144" s="730" t="e">
        <f t="shared" si="42"/>
        <v>#VALUE!</v>
      </c>
      <c r="T144" s="701" t="e">
        <f t="shared" si="43"/>
        <v>#N/A</v>
      </c>
      <c r="U144" s="701" t="e">
        <f t="shared" si="44"/>
        <v>#VALUE!</v>
      </c>
      <c r="V144" s="701" t="e">
        <f t="shared" si="32"/>
        <v>#N/A</v>
      </c>
      <c r="W144" s="701" t="e">
        <f t="shared" si="33"/>
        <v>#VALUE!</v>
      </c>
      <c r="X144" s="701" t="e">
        <f t="shared" si="34"/>
        <v>#VALUE!</v>
      </c>
      <c r="Y144" s="731">
        <f t="shared" si="45"/>
        <v>0</v>
      </c>
      <c r="Z144" s="731" t="e">
        <f t="shared" si="46"/>
        <v>#VALUE!</v>
      </c>
      <c r="AA144" s="732" t="e">
        <f t="shared" si="35"/>
        <v>#VALUE!</v>
      </c>
      <c r="AB144" s="732" t="e">
        <f t="shared" si="47"/>
        <v>#VALUE!</v>
      </c>
      <c r="AC144" s="730">
        <f t="shared" si="36"/>
        <v>0</v>
      </c>
      <c r="AD144" s="730">
        <f t="shared" si="36"/>
        <v>0</v>
      </c>
      <c r="AE144" s="701" t="e">
        <f t="shared" si="37"/>
        <v>#VALUE!</v>
      </c>
      <c r="AF144" s="701" t="e">
        <f t="shared" si="38"/>
        <v>#VALUE!</v>
      </c>
      <c r="AG144" s="701" t="e">
        <f t="shared" si="39"/>
        <v>#VALUE!</v>
      </c>
      <c r="AH144" s="701" t="e">
        <f t="shared" si="40"/>
        <v>#VALUE!</v>
      </c>
      <c r="AI144" s="730" t="e">
        <f>AH144+IF(Inputs!C$39="Electric",Q144/3412,0)</f>
        <v>#VALUE!</v>
      </c>
      <c r="AJ144" s="730" t="e">
        <f t="shared" si="48"/>
        <v>#VALUE!</v>
      </c>
    </row>
    <row r="145" spans="5:36" x14ac:dyDescent="0.2">
      <c r="E145" s="719">
        <v>27</v>
      </c>
      <c r="F145" s="728">
        <v>51</v>
      </c>
      <c r="G145" s="729" t="e">
        <f>HLOOKUP($B$49, 'Weather Data'!$CC$17:$CZ$80,E145,FALSE)</f>
        <v>#N/A</v>
      </c>
      <c r="H145" s="728" t="str">
        <f>IF(F145&gt;=Inputs!$C$25,"Cooling",IF(F145&lt;=Inputs!$C$30,"Heating","Neither"))</f>
        <v>Heating</v>
      </c>
      <c r="I145" s="728" t="e">
        <f>IF(F145&gt;=Inputs!$D$25,"Cooling",IF(F145&lt;=Inputs!$D$30,"Heating","Neither"))</f>
        <v>#VALUE!</v>
      </c>
      <c r="J145" s="659" t="e">
        <f>IF(H145="Cooling",(F145-Inputs!$C$25)*($V$3)/(Inputs!$C$32-Inputs!$C$25),IF(H145="Heating",(Inputs!$C$30-F145)*($V$15)/(Inputs!$C$30-Inputs!$C$33)/$C$53,0))</f>
        <v>#VALUE!</v>
      </c>
      <c r="K145" s="659" t="e">
        <f>IF(I145="Cooling",(F145-Inputs!$D$25)*($V$4)/(Inputs!$C$32-Inputs!$D$25),IF(I145="Heating",(Inputs!$D$30-F145)*($V$16)/(Inputs!$D$30-Inputs!$C$33)/$C$53,0))</f>
        <v>#VALUE!</v>
      </c>
      <c r="L145" s="659"/>
      <c r="M145" s="701" t="e">
        <f t="shared" si="28"/>
        <v>#VALUE!</v>
      </c>
      <c r="N145" s="701" t="e">
        <f t="shared" si="29"/>
        <v>#VALUE!</v>
      </c>
      <c r="O145" s="701" t="e">
        <f t="shared" si="30"/>
        <v>#N/A</v>
      </c>
      <c r="P145" s="701" t="e">
        <f t="shared" si="30"/>
        <v>#N/A</v>
      </c>
      <c r="Q145" s="701" t="e">
        <f t="shared" si="31"/>
        <v>#N/A</v>
      </c>
      <c r="R145" s="730">
        <f t="shared" si="41"/>
        <v>0</v>
      </c>
      <c r="S145" s="730" t="e">
        <f t="shared" si="42"/>
        <v>#VALUE!</v>
      </c>
      <c r="T145" s="701" t="e">
        <f t="shared" si="43"/>
        <v>#N/A</v>
      </c>
      <c r="U145" s="701" t="e">
        <f t="shared" si="44"/>
        <v>#VALUE!</v>
      </c>
      <c r="V145" s="701" t="e">
        <f t="shared" si="32"/>
        <v>#N/A</v>
      </c>
      <c r="W145" s="701" t="e">
        <f t="shared" si="33"/>
        <v>#VALUE!</v>
      </c>
      <c r="X145" s="701" t="e">
        <f t="shared" si="34"/>
        <v>#VALUE!</v>
      </c>
      <c r="Y145" s="731">
        <f t="shared" si="45"/>
        <v>0</v>
      </c>
      <c r="Z145" s="731" t="e">
        <f t="shared" si="46"/>
        <v>#VALUE!</v>
      </c>
      <c r="AA145" s="732" t="e">
        <f t="shared" si="35"/>
        <v>#VALUE!</v>
      </c>
      <c r="AB145" s="732" t="e">
        <f t="shared" si="47"/>
        <v>#VALUE!</v>
      </c>
      <c r="AC145" s="730">
        <f t="shared" si="36"/>
        <v>0</v>
      </c>
      <c r="AD145" s="730">
        <f t="shared" si="36"/>
        <v>0</v>
      </c>
      <c r="AE145" s="701" t="e">
        <f t="shared" si="37"/>
        <v>#VALUE!</v>
      </c>
      <c r="AF145" s="701" t="e">
        <f t="shared" si="38"/>
        <v>#VALUE!</v>
      </c>
      <c r="AG145" s="701" t="e">
        <f t="shared" si="39"/>
        <v>#VALUE!</v>
      </c>
      <c r="AH145" s="701" t="e">
        <f t="shared" si="40"/>
        <v>#VALUE!</v>
      </c>
      <c r="AI145" s="730" t="e">
        <f>AH145+IF(Inputs!C$39="Electric",Q145/3412,0)</f>
        <v>#VALUE!</v>
      </c>
      <c r="AJ145" s="730" t="e">
        <f t="shared" si="48"/>
        <v>#VALUE!</v>
      </c>
    </row>
    <row r="146" spans="5:36" x14ac:dyDescent="0.2">
      <c r="E146" s="719">
        <v>28</v>
      </c>
      <c r="F146" s="728">
        <v>49</v>
      </c>
      <c r="G146" s="729" t="e">
        <f>HLOOKUP($B$49, 'Weather Data'!$CC$17:$CZ$80,E146,FALSE)</f>
        <v>#N/A</v>
      </c>
      <c r="H146" s="728" t="str">
        <f>IF(F146&gt;=Inputs!$C$25,"Cooling",IF(F146&lt;=Inputs!$C$30,"Heating","Neither"))</f>
        <v>Heating</v>
      </c>
      <c r="I146" s="728" t="e">
        <f>IF(F146&gt;=Inputs!$D$25,"Cooling",IF(F146&lt;=Inputs!$D$30,"Heating","Neither"))</f>
        <v>#VALUE!</v>
      </c>
      <c r="J146" s="659" t="e">
        <f>IF(H146="Cooling",(F146-Inputs!$C$25)*($V$3)/(Inputs!$C$32-Inputs!$C$25),IF(H146="Heating",(Inputs!$C$30-F146)*($V$15)/(Inputs!$C$30-Inputs!$C$33)/$C$53,0))</f>
        <v>#VALUE!</v>
      </c>
      <c r="K146" s="659" t="e">
        <f>IF(I146="Cooling",(F146-Inputs!$D$25)*($V$4)/(Inputs!$C$32-Inputs!$D$25),IF(I146="Heating",(Inputs!$D$30-F146)*($V$16)/(Inputs!$D$30-Inputs!$C$33)/$C$53,0))</f>
        <v>#VALUE!</v>
      </c>
      <c r="L146" s="659"/>
      <c r="M146" s="701" t="e">
        <f t="shared" si="28"/>
        <v>#VALUE!</v>
      </c>
      <c r="N146" s="701" t="e">
        <f t="shared" si="29"/>
        <v>#VALUE!</v>
      </c>
      <c r="O146" s="701" t="e">
        <f t="shared" si="30"/>
        <v>#N/A</v>
      </c>
      <c r="P146" s="701" t="e">
        <f t="shared" si="30"/>
        <v>#N/A</v>
      </c>
      <c r="Q146" s="701" t="e">
        <f t="shared" si="31"/>
        <v>#N/A</v>
      </c>
      <c r="R146" s="730">
        <f t="shared" si="41"/>
        <v>0</v>
      </c>
      <c r="S146" s="730" t="e">
        <f t="shared" si="42"/>
        <v>#VALUE!</v>
      </c>
      <c r="T146" s="701" t="e">
        <f t="shared" si="43"/>
        <v>#N/A</v>
      </c>
      <c r="U146" s="701" t="e">
        <f t="shared" si="44"/>
        <v>#VALUE!</v>
      </c>
      <c r="V146" s="701" t="e">
        <f t="shared" si="32"/>
        <v>#N/A</v>
      </c>
      <c r="W146" s="701" t="e">
        <f t="shared" si="33"/>
        <v>#VALUE!</v>
      </c>
      <c r="X146" s="701" t="e">
        <f t="shared" si="34"/>
        <v>#VALUE!</v>
      </c>
      <c r="Y146" s="731">
        <f t="shared" si="45"/>
        <v>0</v>
      </c>
      <c r="Z146" s="731" t="e">
        <f t="shared" si="46"/>
        <v>#VALUE!</v>
      </c>
      <c r="AA146" s="732" t="e">
        <f t="shared" si="35"/>
        <v>#VALUE!</v>
      </c>
      <c r="AB146" s="732" t="e">
        <f t="shared" si="47"/>
        <v>#VALUE!</v>
      </c>
      <c r="AC146" s="730">
        <f t="shared" si="36"/>
        <v>0</v>
      </c>
      <c r="AD146" s="730">
        <f t="shared" si="36"/>
        <v>0</v>
      </c>
      <c r="AE146" s="701" t="e">
        <f t="shared" si="37"/>
        <v>#VALUE!</v>
      </c>
      <c r="AF146" s="701" t="e">
        <f t="shared" si="38"/>
        <v>#VALUE!</v>
      </c>
      <c r="AG146" s="701" t="e">
        <f t="shared" si="39"/>
        <v>#VALUE!</v>
      </c>
      <c r="AH146" s="701" t="e">
        <f t="shared" si="40"/>
        <v>#VALUE!</v>
      </c>
      <c r="AI146" s="730" t="e">
        <f>AH146+IF(Inputs!C$39="Electric",Q146/3412,0)</f>
        <v>#VALUE!</v>
      </c>
      <c r="AJ146" s="730" t="e">
        <f t="shared" si="48"/>
        <v>#VALUE!</v>
      </c>
    </row>
    <row r="147" spans="5:36" x14ac:dyDescent="0.2">
      <c r="E147" s="719">
        <v>29</v>
      </c>
      <c r="F147" s="728">
        <v>47</v>
      </c>
      <c r="G147" s="729" t="e">
        <f>HLOOKUP($B$49, 'Weather Data'!$CC$17:$CZ$80,E147,FALSE)</f>
        <v>#N/A</v>
      </c>
      <c r="H147" s="728" t="str">
        <f>IF(F147&gt;=Inputs!$C$25,"Cooling",IF(F147&lt;=Inputs!$C$30,"Heating","Neither"))</f>
        <v>Heating</v>
      </c>
      <c r="I147" s="728" t="e">
        <f>IF(F147&gt;=Inputs!$D$25,"Cooling",IF(F147&lt;=Inputs!$D$30,"Heating","Neither"))</f>
        <v>#VALUE!</v>
      </c>
      <c r="J147" s="659" t="e">
        <f>IF(H147="Cooling",(F147-Inputs!$C$25)*($V$3)/(Inputs!$C$32-Inputs!$C$25),IF(H147="Heating",(Inputs!$C$30-F147)*($V$15)/(Inputs!$C$30-Inputs!$C$33)/$C$53,0))</f>
        <v>#VALUE!</v>
      </c>
      <c r="K147" s="659" t="e">
        <f>IF(I147="Cooling",(F147-Inputs!$D$25)*($V$4)/(Inputs!$C$32-Inputs!$D$25),IF(I147="Heating",(Inputs!$D$30-F147)*($V$16)/(Inputs!$D$30-Inputs!$C$33)/$C$53,0))</f>
        <v>#VALUE!</v>
      </c>
      <c r="L147" s="659"/>
      <c r="M147" s="701" t="e">
        <f t="shared" si="28"/>
        <v>#VALUE!</v>
      </c>
      <c r="N147" s="701" t="e">
        <f t="shared" si="29"/>
        <v>#VALUE!</v>
      </c>
      <c r="O147" s="701" t="e">
        <f t="shared" si="30"/>
        <v>#N/A</v>
      </c>
      <c r="P147" s="701" t="e">
        <f t="shared" si="30"/>
        <v>#N/A</v>
      </c>
      <c r="Q147" s="701" t="e">
        <f t="shared" si="31"/>
        <v>#N/A</v>
      </c>
      <c r="R147" s="730">
        <f t="shared" si="41"/>
        <v>0</v>
      </c>
      <c r="S147" s="730" t="e">
        <f t="shared" si="42"/>
        <v>#VALUE!</v>
      </c>
      <c r="T147" s="701" t="e">
        <f t="shared" si="43"/>
        <v>#N/A</v>
      </c>
      <c r="U147" s="701" t="e">
        <f t="shared" si="44"/>
        <v>#VALUE!</v>
      </c>
      <c r="V147" s="701" t="e">
        <f t="shared" si="32"/>
        <v>#N/A</v>
      </c>
      <c r="W147" s="701" t="e">
        <f t="shared" si="33"/>
        <v>#VALUE!</v>
      </c>
      <c r="X147" s="701" t="e">
        <f t="shared" si="34"/>
        <v>#VALUE!</v>
      </c>
      <c r="Y147" s="731">
        <f t="shared" si="45"/>
        <v>0</v>
      </c>
      <c r="Z147" s="731" t="e">
        <f t="shared" si="46"/>
        <v>#VALUE!</v>
      </c>
      <c r="AA147" s="732" t="e">
        <f t="shared" si="35"/>
        <v>#VALUE!</v>
      </c>
      <c r="AB147" s="732" t="e">
        <f t="shared" si="47"/>
        <v>#VALUE!</v>
      </c>
      <c r="AC147" s="730">
        <f t="shared" si="36"/>
        <v>0</v>
      </c>
      <c r="AD147" s="730">
        <f t="shared" si="36"/>
        <v>0</v>
      </c>
      <c r="AE147" s="701" t="e">
        <f t="shared" si="37"/>
        <v>#VALUE!</v>
      </c>
      <c r="AF147" s="701" t="e">
        <f t="shared" si="38"/>
        <v>#VALUE!</v>
      </c>
      <c r="AG147" s="701" t="e">
        <f t="shared" si="39"/>
        <v>#VALUE!</v>
      </c>
      <c r="AH147" s="701" t="e">
        <f t="shared" si="40"/>
        <v>#VALUE!</v>
      </c>
      <c r="AI147" s="730" t="e">
        <f>AH147+IF(Inputs!C$39="Electric",Q147/3412,0)</f>
        <v>#VALUE!</v>
      </c>
      <c r="AJ147" s="730" t="e">
        <f t="shared" si="48"/>
        <v>#VALUE!</v>
      </c>
    </row>
    <row r="148" spans="5:36" x14ac:dyDescent="0.2">
      <c r="E148" s="719">
        <v>30</v>
      </c>
      <c r="F148" s="728">
        <v>45</v>
      </c>
      <c r="G148" s="729" t="e">
        <f>HLOOKUP($B$49, 'Weather Data'!$CC$17:$CZ$80,E148,FALSE)</f>
        <v>#N/A</v>
      </c>
      <c r="H148" s="728" t="str">
        <f>IF(F148&gt;=Inputs!$C$25,"Cooling",IF(F148&lt;=Inputs!$C$30,"Heating","Neither"))</f>
        <v>Heating</v>
      </c>
      <c r="I148" s="728" t="e">
        <f>IF(F148&gt;=Inputs!$D$25,"Cooling",IF(F148&lt;=Inputs!$D$30,"Heating","Neither"))</f>
        <v>#VALUE!</v>
      </c>
      <c r="J148" s="659" t="e">
        <f>IF(H148="Cooling",(F148-Inputs!$C$25)*($V$3)/(Inputs!$C$32-Inputs!$C$25),IF(H148="Heating",(Inputs!$C$30-F148)*($V$15)/(Inputs!$C$30-Inputs!$C$33)/$C$53,0))</f>
        <v>#VALUE!</v>
      </c>
      <c r="K148" s="659" t="e">
        <f>IF(I148="Cooling",(F148-Inputs!$D$25)*($V$4)/(Inputs!$C$32-Inputs!$D$25),IF(I148="Heating",(Inputs!$D$30-F148)*($V$16)/(Inputs!$D$30-Inputs!$C$33)/$C$53,0))</f>
        <v>#VALUE!</v>
      </c>
      <c r="L148" s="659"/>
      <c r="M148" s="701" t="e">
        <f t="shared" si="28"/>
        <v>#VALUE!</v>
      </c>
      <c r="N148" s="701" t="e">
        <f t="shared" si="29"/>
        <v>#VALUE!</v>
      </c>
      <c r="O148" s="701" t="e">
        <f t="shared" si="30"/>
        <v>#N/A</v>
      </c>
      <c r="P148" s="701" t="e">
        <f t="shared" si="30"/>
        <v>#N/A</v>
      </c>
      <c r="Q148" s="701" t="e">
        <f t="shared" si="31"/>
        <v>#N/A</v>
      </c>
      <c r="R148" s="730">
        <f t="shared" si="41"/>
        <v>0</v>
      </c>
      <c r="S148" s="730" t="e">
        <f t="shared" si="42"/>
        <v>#VALUE!</v>
      </c>
      <c r="T148" s="701" t="e">
        <f t="shared" si="43"/>
        <v>#N/A</v>
      </c>
      <c r="U148" s="701" t="e">
        <f t="shared" si="44"/>
        <v>#VALUE!</v>
      </c>
      <c r="V148" s="701" t="e">
        <f t="shared" si="32"/>
        <v>#N/A</v>
      </c>
      <c r="W148" s="701" t="e">
        <f t="shared" si="33"/>
        <v>#VALUE!</v>
      </c>
      <c r="X148" s="701" t="e">
        <f t="shared" si="34"/>
        <v>#VALUE!</v>
      </c>
      <c r="Y148" s="731">
        <f t="shared" si="45"/>
        <v>0</v>
      </c>
      <c r="Z148" s="731" t="e">
        <f t="shared" si="46"/>
        <v>#VALUE!</v>
      </c>
      <c r="AA148" s="732" t="e">
        <f t="shared" si="35"/>
        <v>#VALUE!</v>
      </c>
      <c r="AB148" s="732" t="e">
        <f t="shared" si="47"/>
        <v>#VALUE!</v>
      </c>
      <c r="AC148" s="730">
        <f t="shared" si="36"/>
        <v>0</v>
      </c>
      <c r="AD148" s="730">
        <f t="shared" si="36"/>
        <v>0</v>
      </c>
      <c r="AE148" s="701" t="e">
        <f t="shared" si="37"/>
        <v>#VALUE!</v>
      </c>
      <c r="AF148" s="701" t="e">
        <f t="shared" si="38"/>
        <v>#VALUE!</v>
      </c>
      <c r="AG148" s="701" t="e">
        <f t="shared" si="39"/>
        <v>#VALUE!</v>
      </c>
      <c r="AH148" s="701" t="e">
        <f t="shared" si="40"/>
        <v>#VALUE!</v>
      </c>
      <c r="AI148" s="730" t="e">
        <f>AH148+IF(Inputs!C$39="Electric",Q148/3412,0)</f>
        <v>#VALUE!</v>
      </c>
      <c r="AJ148" s="730" t="e">
        <f t="shared" si="48"/>
        <v>#VALUE!</v>
      </c>
    </row>
    <row r="149" spans="5:36" x14ac:dyDescent="0.2">
      <c r="E149" s="719">
        <v>31</v>
      </c>
      <c r="F149" s="728">
        <v>43</v>
      </c>
      <c r="G149" s="729" t="e">
        <f>HLOOKUP($B$49, 'Weather Data'!$CC$17:$CZ$80,E149,FALSE)</f>
        <v>#N/A</v>
      </c>
      <c r="H149" s="728" t="str">
        <f>IF(F149&gt;=Inputs!$C$25,"Cooling",IF(F149&lt;=Inputs!$C$30,"Heating","Neither"))</f>
        <v>Heating</v>
      </c>
      <c r="I149" s="728" t="e">
        <f>IF(F149&gt;=Inputs!$D$25,"Cooling",IF(F149&lt;=Inputs!$D$30,"Heating","Neither"))</f>
        <v>#VALUE!</v>
      </c>
      <c r="J149" s="659" t="e">
        <f>IF(H149="Cooling",(F149-Inputs!$C$25)*($V$3)/(Inputs!$C$32-Inputs!$C$25),IF(H149="Heating",(Inputs!$C$30-F149)*($V$15)/(Inputs!$C$30-Inputs!$C$33)/$C$53,0))</f>
        <v>#VALUE!</v>
      </c>
      <c r="K149" s="659" t="e">
        <f>IF(I149="Cooling",(F149-Inputs!$D$25)*($V$4)/(Inputs!$C$32-Inputs!$D$25),IF(I149="Heating",(Inputs!$D$30-F149)*($V$16)/(Inputs!$D$30-Inputs!$C$33)/$C$53,0))</f>
        <v>#VALUE!</v>
      </c>
      <c r="L149" s="659"/>
      <c r="M149" s="701" t="e">
        <f t="shared" si="28"/>
        <v>#VALUE!</v>
      </c>
      <c r="N149" s="701" t="e">
        <f t="shared" si="29"/>
        <v>#VALUE!</v>
      </c>
      <c r="O149" s="701" t="e">
        <f t="shared" si="30"/>
        <v>#N/A</v>
      </c>
      <c r="P149" s="701" t="e">
        <f t="shared" si="30"/>
        <v>#N/A</v>
      </c>
      <c r="Q149" s="701" t="e">
        <f t="shared" si="31"/>
        <v>#N/A</v>
      </c>
      <c r="R149" s="730">
        <f t="shared" si="41"/>
        <v>0</v>
      </c>
      <c r="S149" s="730" t="e">
        <f t="shared" si="42"/>
        <v>#VALUE!</v>
      </c>
      <c r="T149" s="701" t="e">
        <f t="shared" si="43"/>
        <v>#N/A</v>
      </c>
      <c r="U149" s="701" t="e">
        <f t="shared" si="44"/>
        <v>#VALUE!</v>
      </c>
      <c r="V149" s="701" t="e">
        <f t="shared" si="32"/>
        <v>#N/A</v>
      </c>
      <c r="W149" s="701" t="e">
        <f t="shared" si="33"/>
        <v>#VALUE!</v>
      </c>
      <c r="X149" s="701" t="e">
        <f t="shared" si="34"/>
        <v>#VALUE!</v>
      </c>
      <c r="Y149" s="731">
        <f t="shared" si="45"/>
        <v>0</v>
      </c>
      <c r="Z149" s="731" t="e">
        <f t="shared" si="46"/>
        <v>#VALUE!</v>
      </c>
      <c r="AA149" s="732" t="e">
        <f t="shared" si="35"/>
        <v>#VALUE!</v>
      </c>
      <c r="AB149" s="732" t="e">
        <f t="shared" si="47"/>
        <v>#VALUE!</v>
      </c>
      <c r="AC149" s="730">
        <f t="shared" si="36"/>
        <v>0</v>
      </c>
      <c r="AD149" s="730">
        <f t="shared" si="36"/>
        <v>0</v>
      </c>
      <c r="AE149" s="701" t="e">
        <f t="shared" si="37"/>
        <v>#VALUE!</v>
      </c>
      <c r="AF149" s="701" t="e">
        <f t="shared" si="38"/>
        <v>#VALUE!</v>
      </c>
      <c r="AG149" s="701" t="e">
        <f t="shared" si="39"/>
        <v>#VALUE!</v>
      </c>
      <c r="AH149" s="701" t="e">
        <f t="shared" si="40"/>
        <v>#VALUE!</v>
      </c>
      <c r="AI149" s="730" t="e">
        <f>AH149+IF(Inputs!C$39="Electric",Q149/3412,0)</f>
        <v>#VALUE!</v>
      </c>
      <c r="AJ149" s="730" t="e">
        <f t="shared" si="48"/>
        <v>#VALUE!</v>
      </c>
    </row>
    <row r="150" spans="5:36" x14ac:dyDescent="0.2">
      <c r="E150" s="719">
        <v>32</v>
      </c>
      <c r="F150" s="728">
        <v>41</v>
      </c>
      <c r="G150" s="729" t="e">
        <f>HLOOKUP($B$49, 'Weather Data'!$CC$17:$CZ$80,E150,FALSE)</f>
        <v>#N/A</v>
      </c>
      <c r="H150" s="728" t="str">
        <f>IF(F150&gt;=Inputs!$C$25,"Cooling",IF(F150&lt;=Inputs!$C$30,"Heating","Neither"))</f>
        <v>Heating</v>
      </c>
      <c r="I150" s="728" t="e">
        <f>IF(F150&gt;=Inputs!$D$25,"Cooling",IF(F150&lt;=Inputs!$D$30,"Heating","Neither"))</f>
        <v>#VALUE!</v>
      </c>
      <c r="J150" s="659" t="e">
        <f>IF(H150="Cooling",(F150-Inputs!$C$25)*($V$3)/(Inputs!$C$32-Inputs!$C$25),IF(H150="Heating",(Inputs!$C$30-F150)*($V$15)/(Inputs!$C$30-Inputs!$C$33)/$C$53,0))</f>
        <v>#VALUE!</v>
      </c>
      <c r="K150" s="659" t="e">
        <f>IF(I150="Cooling",(F150-Inputs!$D$25)*($V$4)/(Inputs!$C$32-Inputs!$D$25),IF(I150="Heating",(Inputs!$D$30-F150)*($V$16)/(Inputs!$D$30-Inputs!$C$33)/$C$53,0))</f>
        <v>#VALUE!</v>
      </c>
      <c r="L150" s="659"/>
      <c r="M150" s="701" t="e">
        <f t="shared" si="28"/>
        <v>#VALUE!</v>
      </c>
      <c r="N150" s="701" t="e">
        <f t="shared" si="29"/>
        <v>#VALUE!</v>
      </c>
      <c r="O150" s="701" t="e">
        <f t="shared" si="30"/>
        <v>#N/A</v>
      </c>
      <c r="P150" s="701" t="e">
        <f t="shared" si="30"/>
        <v>#N/A</v>
      </c>
      <c r="Q150" s="701" t="e">
        <f t="shared" si="31"/>
        <v>#N/A</v>
      </c>
      <c r="R150" s="730">
        <f t="shared" si="41"/>
        <v>0</v>
      </c>
      <c r="S150" s="730" t="e">
        <f t="shared" si="42"/>
        <v>#VALUE!</v>
      </c>
      <c r="T150" s="701" t="e">
        <f t="shared" si="43"/>
        <v>#N/A</v>
      </c>
      <c r="U150" s="701" t="e">
        <f t="shared" si="44"/>
        <v>#VALUE!</v>
      </c>
      <c r="V150" s="701" t="e">
        <f t="shared" si="32"/>
        <v>#N/A</v>
      </c>
      <c r="W150" s="701" t="e">
        <f t="shared" si="33"/>
        <v>#VALUE!</v>
      </c>
      <c r="X150" s="701" t="e">
        <f t="shared" si="34"/>
        <v>#VALUE!</v>
      </c>
      <c r="Y150" s="731">
        <f t="shared" si="45"/>
        <v>0</v>
      </c>
      <c r="Z150" s="731" t="e">
        <f t="shared" si="46"/>
        <v>#VALUE!</v>
      </c>
      <c r="AA150" s="732" t="e">
        <f t="shared" si="35"/>
        <v>#VALUE!</v>
      </c>
      <c r="AB150" s="732" t="e">
        <f t="shared" si="47"/>
        <v>#VALUE!</v>
      </c>
      <c r="AC150" s="730">
        <f t="shared" si="36"/>
        <v>0</v>
      </c>
      <c r="AD150" s="730">
        <f t="shared" si="36"/>
        <v>0</v>
      </c>
      <c r="AE150" s="701" t="e">
        <f t="shared" si="37"/>
        <v>#VALUE!</v>
      </c>
      <c r="AF150" s="701" t="e">
        <f t="shared" si="38"/>
        <v>#VALUE!</v>
      </c>
      <c r="AG150" s="701" t="e">
        <f t="shared" si="39"/>
        <v>#VALUE!</v>
      </c>
      <c r="AH150" s="701" t="e">
        <f t="shared" si="40"/>
        <v>#VALUE!</v>
      </c>
      <c r="AI150" s="730" t="e">
        <f>AH150+IF(Inputs!C$39="Electric",Q150/3412,0)</f>
        <v>#VALUE!</v>
      </c>
      <c r="AJ150" s="730" t="e">
        <f t="shared" si="48"/>
        <v>#VALUE!</v>
      </c>
    </row>
    <row r="151" spans="5:36" x14ac:dyDescent="0.2">
      <c r="E151" s="719">
        <v>33</v>
      </c>
      <c r="F151" s="728">
        <v>39</v>
      </c>
      <c r="G151" s="729" t="e">
        <f>HLOOKUP($B$49, 'Weather Data'!$CC$17:$CZ$80,E151,FALSE)</f>
        <v>#N/A</v>
      </c>
      <c r="H151" s="728" t="str">
        <f>IF(F151&gt;=Inputs!$C$25,"Cooling",IF(F151&lt;=Inputs!$C$30,"Heating","Neither"))</f>
        <v>Heating</v>
      </c>
      <c r="I151" s="728" t="e">
        <f>IF(F151&gt;=Inputs!$D$25,"Cooling",IF(F151&lt;=Inputs!$D$30,"Heating","Neither"))</f>
        <v>#VALUE!</v>
      </c>
      <c r="J151" s="659" t="e">
        <f>IF(H151="Cooling",(F151-Inputs!$C$25)*($V$3)/(Inputs!$C$32-Inputs!$C$25),IF(H151="Heating",(Inputs!$C$30-F151)*($V$15)/(Inputs!$C$30-Inputs!$C$33)/$C$53,0))</f>
        <v>#VALUE!</v>
      </c>
      <c r="K151" s="659" t="e">
        <f>IF(I151="Cooling",(F151-Inputs!$D$25)*($V$4)/(Inputs!$C$32-Inputs!$D$25),IF(I151="Heating",(Inputs!$D$30-F151)*($V$16)/(Inputs!$D$30-Inputs!$C$33)/$C$53,0))</f>
        <v>#VALUE!</v>
      </c>
      <c r="L151" s="659"/>
      <c r="M151" s="701" t="e">
        <f t="shared" si="28"/>
        <v>#VALUE!</v>
      </c>
      <c r="N151" s="701" t="e">
        <f t="shared" si="29"/>
        <v>#VALUE!</v>
      </c>
      <c r="O151" s="701" t="e">
        <f t="shared" si="30"/>
        <v>#N/A</v>
      </c>
      <c r="P151" s="701" t="e">
        <f t="shared" si="30"/>
        <v>#N/A</v>
      </c>
      <c r="Q151" s="701" t="e">
        <f t="shared" si="31"/>
        <v>#N/A</v>
      </c>
      <c r="R151" s="730">
        <f t="shared" si="41"/>
        <v>0</v>
      </c>
      <c r="S151" s="730" t="e">
        <f t="shared" si="42"/>
        <v>#VALUE!</v>
      </c>
      <c r="T151" s="701" t="e">
        <f t="shared" si="43"/>
        <v>#N/A</v>
      </c>
      <c r="U151" s="701" t="e">
        <f t="shared" si="44"/>
        <v>#VALUE!</v>
      </c>
      <c r="V151" s="701" t="e">
        <f t="shared" si="32"/>
        <v>#N/A</v>
      </c>
      <c r="W151" s="701" t="e">
        <f t="shared" si="33"/>
        <v>#VALUE!</v>
      </c>
      <c r="X151" s="701" t="e">
        <f t="shared" si="34"/>
        <v>#VALUE!</v>
      </c>
      <c r="Y151" s="731">
        <f t="shared" si="45"/>
        <v>0</v>
      </c>
      <c r="Z151" s="731" t="e">
        <f t="shared" si="46"/>
        <v>#VALUE!</v>
      </c>
      <c r="AA151" s="732" t="e">
        <f t="shared" si="35"/>
        <v>#VALUE!</v>
      </c>
      <c r="AB151" s="732" t="e">
        <f t="shared" si="47"/>
        <v>#VALUE!</v>
      </c>
      <c r="AC151" s="730">
        <f t="shared" si="36"/>
        <v>0</v>
      </c>
      <c r="AD151" s="730">
        <f t="shared" si="36"/>
        <v>0</v>
      </c>
      <c r="AE151" s="701" t="e">
        <f t="shared" si="37"/>
        <v>#VALUE!</v>
      </c>
      <c r="AF151" s="701" t="e">
        <f t="shared" si="38"/>
        <v>#VALUE!</v>
      </c>
      <c r="AG151" s="701" t="e">
        <f t="shared" si="39"/>
        <v>#VALUE!</v>
      </c>
      <c r="AH151" s="701" t="e">
        <f t="shared" si="40"/>
        <v>#VALUE!</v>
      </c>
      <c r="AI151" s="730" t="e">
        <f>AH151+IF(Inputs!C$39="Electric",Q151/3412,0)</f>
        <v>#VALUE!</v>
      </c>
      <c r="AJ151" s="730" t="e">
        <f t="shared" si="48"/>
        <v>#VALUE!</v>
      </c>
    </row>
    <row r="152" spans="5:36" x14ac:dyDescent="0.2">
      <c r="E152" s="719">
        <v>34</v>
      </c>
      <c r="F152" s="728">
        <v>37</v>
      </c>
      <c r="G152" s="729" t="e">
        <f>HLOOKUP($B$49, 'Weather Data'!$CC$17:$CZ$80,E152,FALSE)</f>
        <v>#N/A</v>
      </c>
      <c r="H152" s="728" t="str">
        <f>IF(F152&gt;=Inputs!$C$25,"Cooling",IF(F152&lt;=Inputs!$C$30,"Heating","Neither"))</f>
        <v>Heating</v>
      </c>
      <c r="I152" s="728" t="e">
        <f>IF(F152&gt;=Inputs!$D$25,"Cooling",IF(F152&lt;=Inputs!$D$30,"Heating","Neither"))</f>
        <v>#VALUE!</v>
      </c>
      <c r="J152" s="659" t="e">
        <f>IF(H152="Cooling",(F152-Inputs!$C$25)*($V$3)/(Inputs!$C$32-Inputs!$C$25),IF(H152="Heating",(Inputs!$C$30-F152)*($V$15)/(Inputs!$C$30-Inputs!$C$33)/$C$53,0))</f>
        <v>#VALUE!</v>
      </c>
      <c r="K152" s="659" t="e">
        <f>IF(I152="Cooling",(F152-Inputs!$D$25)*($V$4)/(Inputs!$C$32-Inputs!$D$25),IF(I152="Heating",(Inputs!$D$30-F152)*($V$16)/(Inputs!$D$30-Inputs!$C$33)/$C$53,0))</f>
        <v>#VALUE!</v>
      </c>
      <c r="L152" s="659"/>
      <c r="M152" s="701" t="e">
        <f t="shared" si="28"/>
        <v>#VALUE!</v>
      </c>
      <c r="N152" s="701" t="e">
        <f t="shared" si="29"/>
        <v>#VALUE!</v>
      </c>
      <c r="O152" s="701" t="e">
        <f t="shared" ref="O152:P182" si="49">$G152*M152/$Q$39</f>
        <v>#N/A</v>
      </c>
      <c r="P152" s="701" t="e">
        <f t="shared" si="49"/>
        <v>#N/A</v>
      </c>
      <c r="Q152" s="701" t="e">
        <f t="shared" si="31"/>
        <v>#N/A</v>
      </c>
      <c r="R152" s="730">
        <f t="shared" si="41"/>
        <v>0</v>
      </c>
      <c r="S152" s="730" t="e">
        <f t="shared" si="42"/>
        <v>#VALUE!</v>
      </c>
      <c r="T152" s="701" t="e">
        <f t="shared" si="43"/>
        <v>#N/A</v>
      </c>
      <c r="U152" s="701" t="e">
        <f t="shared" si="44"/>
        <v>#VALUE!</v>
      </c>
      <c r="V152" s="701" t="e">
        <f t="shared" si="32"/>
        <v>#N/A</v>
      </c>
      <c r="W152" s="701" t="e">
        <f t="shared" si="33"/>
        <v>#VALUE!</v>
      </c>
      <c r="X152" s="701" t="e">
        <f t="shared" si="34"/>
        <v>#VALUE!</v>
      </c>
      <c r="Y152" s="731">
        <f t="shared" si="45"/>
        <v>0</v>
      </c>
      <c r="Z152" s="731" t="e">
        <f t="shared" si="46"/>
        <v>#VALUE!</v>
      </c>
      <c r="AA152" s="732" t="e">
        <f t="shared" si="35"/>
        <v>#VALUE!</v>
      </c>
      <c r="AB152" s="732" t="e">
        <f t="shared" si="47"/>
        <v>#VALUE!</v>
      </c>
      <c r="AC152" s="730">
        <f t="shared" ref="AC152:AD182" si="50">IFERROR($Q$37/Y152/AA152,0)</f>
        <v>0</v>
      </c>
      <c r="AD152" s="730">
        <f t="shared" si="50"/>
        <v>0</v>
      </c>
      <c r="AE152" s="701" t="e">
        <f t="shared" si="37"/>
        <v>#VALUE!</v>
      </c>
      <c r="AF152" s="701" t="e">
        <f t="shared" si="38"/>
        <v>#VALUE!</v>
      </c>
      <c r="AG152" s="701" t="e">
        <f t="shared" si="39"/>
        <v>#VALUE!</v>
      </c>
      <c r="AH152" s="701" t="e">
        <f t="shared" si="40"/>
        <v>#VALUE!</v>
      </c>
      <c r="AI152" s="730" t="e">
        <f>AH152+IF(Inputs!C$39="Electric",Q152/3412,0)</f>
        <v>#VALUE!</v>
      </c>
      <c r="AJ152" s="730" t="e">
        <f t="shared" si="48"/>
        <v>#VALUE!</v>
      </c>
    </row>
    <row r="153" spans="5:36" x14ac:dyDescent="0.2">
      <c r="E153" s="719">
        <v>35</v>
      </c>
      <c r="F153" s="728">
        <v>35</v>
      </c>
      <c r="G153" s="729" t="e">
        <f>HLOOKUP($B$49, 'Weather Data'!$CC$17:$CZ$80,E153,FALSE)</f>
        <v>#N/A</v>
      </c>
      <c r="H153" s="728" t="str">
        <f>IF(F153&gt;=Inputs!$C$25,"Cooling",IF(F153&lt;=Inputs!$C$30,"Heating","Neither"))</f>
        <v>Heating</v>
      </c>
      <c r="I153" s="728" t="e">
        <f>IF(F153&gt;=Inputs!$D$25,"Cooling",IF(F153&lt;=Inputs!$D$30,"Heating","Neither"))</f>
        <v>#VALUE!</v>
      </c>
      <c r="J153" s="659" t="e">
        <f>IF(H153="Cooling",(F153-Inputs!$C$25)*($V$3)/(Inputs!$C$32-Inputs!$C$25),IF(H153="Heating",(Inputs!$C$30-F153)*($V$15)/(Inputs!$C$30-Inputs!$C$33)/$C$53,0))</f>
        <v>#VALUE!</v>
      </c>
      <c r="K153" s="659" t="e">
        <f>IF(I153="Cooling",(F153-Inputs!$D$25)*($V$4)/(Inputs!$C$32-Inputs!$D$25),IF(I153="Heating",(Inputs!$D$30-F153)*($V$16)/(Inputs!$D$30-Inputs!$C$33)/$C$53,0))</f>
        <v>#VALUE!</v>
      </c>
      <c r="L153" s="659"/>
      <c r="M153" s="701" t="e">
        <f t="shared" si="28"/>
        <v>#VALUE!</v>
      </c>
      <c r="N153" s="701" t="e">
        <f t="shared" si="29"/>
        <v>#VALUE!</v>
      </c>
      <c r="O153" s="701" t="e">
        <f t="shared" si="49"/>
        <v>#N/A</v>
      </c>
      <c r="P153" s="701" t="e">
        <f t="shared" si="49"/>
        <v>#N/A</v>
      </c>
      <c r="Q153" s="701" t="e">
        <f t="shared" si="31"/>
        <v>#N/A</v>
      </c>
      <c r="R153" s="730">
        <f t="shared" si="41"/>
        <v>0</v>
      </c>
      <c r="S153" s="730" t="e">
        <f t="shared" si="42"/>
        <v>#VALUE!</v>
      </c>
      <c r="T153" s="701" t="e">
        <f t="shared" si="43"/>
        <v>#N/A</v>
      </c>
      <c r="U153" s="701" t="e">
        <f t="shared" si="44"/>
        <v>#VALUE!</v>
      </c>
      <c r="V153" s="701" t="e">
        <f t="shared" si="32"/>
        <v>#N/A</v>
      </c>
      <c r="W153" s="701" t="e">
        <f t="shared" si="33"/>
        <v>#VALUE!</v>
      </c>
      <c r="X153" s="701" t="e">
        <f t="shared" si="34"/>
        <v>#VALUE!</v>
      </c>
      <c r="Y153" s="731">
        <f t="shared" si="45"/>
        <v>0</v>
      </c>
      <c r="Z153" s="731" t="e">
        <f t="shared" si="46"/>
        <v>#VALUE!</v>
      </c>
      <c r="AA153" s="732" t="e">
        <f t="shared" si="35"/>
        <v>#VALUE!</v>
      </c>
      <c r="AB153" s="732" t="e">
        <f t="shared" si="47"/>
        <v>#VALUE!</v>
      </c>
      <c r="AC153" s="730">
        <f t="shared" si="50"/>
        <v>0</v>
      </c>
      <c r="AD153" s="730">
        <f t="shared" si="50"/>
        <v>0</v>
      </c>
      <c r="AE153" s="701" t="e">
        <f t="shared" si="37"/>
        <v>#VALUE!</v>
      </c>
      <c r="AF153" s="701" t="e">
        <f t="shared" si="38"/>
        <v>#VALUE!</v>
      </c>
      <c r="AG153" s="701" t="e">
        <f t="shared" si="39"/>
        <v>#VALUE!</v>
      </c>
      <c r="AH153" s="701" t="e">
        <f t="shared" si="40"/>
        <v>#VALUE!</v>
      </c>
      <c r="AI153" s="730" t="e">
        <f>AH153+IF(Inputs!C$39="Electric",Q153/3412,0)</f>
        <v>#VALUE!</v>
      </c>
      <c r="AJ153" s="730" t="e">
        <f t="shared" si="48"/>
        <v>#VALUE!</v>
      </c>
    </row>
    <row r="154" spans="5:36" x14ac:dyDescent="0.2">
      <c r="E154" s="719">
        <v>36</v>
      </c>
      <c r="F154" s="728">
        <v>33</v>
      </c>
      <c r="G154" s="729" t="e">
        <f>HLOOKUP($B$49, 'Weather Data'!$CC$17:$CZ$80,E154,FALSE)</f>
        <v>#N/A</v>
      </c>
      <c r="H154" s="728" t="str">
        <f>IF(F154&gt;=Inputs!$C$25,"Cooling",IF(F154&lt;=Inputs!$C$30,"Heating","Neither"))</f>
        <v>Heating</v>
      </c>
      <c r="I154" s="728" t="e">
        <f>IF(F154&gt;=Inputs!$D$25,"Cooling",IF(F154&lt;=Inputs!$D$30,"Heating","Neither"))</f>
        <v>#VALUE!</v>
      </c>
      <c r="J154" s="659" t="e">
        <f>IF(H154="Cooling",(F154-Inputs!$C$25)*($V$3)/(Inputs!$C$32-Inputs!$C$25),IF(H154="Heating",(Inputs!$C$30-F154)*($V$15)/(Inputs!$C$30-Inputs!$C$33)/$C$53,0))</f>
        <v>#VALUE!</v>
      </c>
      <c r="K154" s="659" t="e">
        <f>IF(I154="Cooling",(F154-Inputs!$D$25)*($V$4)/(Inputs!$C$32-Inputs!$D$25),IF(I154="Heating",(Inputs!$D$30-F154)*($V$16)/(Inputs!$D$30-Inputs!$C$33)/$C$53,0))</f>
        <v>#VALUE!</v>
      </c>
      <c r="L154" s="659"/>
      <c r="M154" s="701" t="e">
        <f t="shared" si="28"/>
        <v>#VALUE!</v>
      </c>
      <c r="N154" s="701" t="e">
        <f t="shared" si="29"/>
        <v>#VALUE!</v>
      </c>
      <c r="O154" s="701" t="e">
        <f t="shared" si="49"/>
        <v>#N/A</v>
      </c>
      <c r="P154" s="701" t="e">
        <f t="shared" si="49"/>
        <v>#N/A</v>
      </c>
      <c r="Q154" s="701" t="e">
        <f t="shared" si="31"/>
        <v>#N/A</v>
      </c>
      <c r="R154" s="730">
        <f t="shared" si="41"/>
        <v>0</v>
      </c>
      <c r="S154" s="730" t="e">
        <f t="shared" si="42"/>
        <v>#VALUE!</v>
      </c>
      <c r="T154" s="701" t="e">
        <f t="shared" si="43"/>
        <v>#N/A</v>
      </c>
      <c r="U154" s="701" t="e">
        <f t="shared" si="44"/>
        <v>#VALUE!</v>
      </c>
      <c r="V154" s="701" t="e">
        <f t="shared" si="32"/>
        <v>#N/A</v>
      </c>
      <c r="W154" s="701" t="e">
        <f t="shared" si="33"/>
        <v>#VALUE!</v>
      </c>
      <c r="X154" s="701" t="e">
        <f t="shared" si="34"/>
        <v>#VALUE!</v>
      </c>
      <c r="Y154" s="731">
        <f t="shared" si="45"/>
        <v>0</v>
      </c>
      <c r="Z154" s="731" t="e">
        <f t="shared" si="46"/>
        <v>#VALUE!</v>
      </c>
      <c r="AA154" s="732" t="e">
        <f t="shared" si="35"/>
        <v>#VALUE!</v>
      </c>
      <c r="AB154" s="732" t="e">
        <f t="shared" si="47"/>
        <v>#VALUE!</v>
      </c>
      <c r="AC154" s="730">
        <f t="shared" si="50"/>
        <v>0</v>
      </c>
      <c r="AD154" s="730">
        <f t="shared" si="50"/>
        <v>0</v>
      </c>
      <c r="AE154" s="701" t="e">
        <f t="shared" si="37"/>
        <v>#VALUE!</v>
      </c>
      <c r="AF154" s="701" t="e">
        <f t="shared" si="38"/>
        <v>#VALUE!</v>
      </c>
      <c r="AG154" s="701" t="e">
        <f t="shared" si="39"/>
        <v>#VALUE!</v>
      </c>
      <c r="AH154" s="701" t="e">
        <f t="shared" si="40"/>
        <v>#VALUE!</v>
      </c>
      <c r="AI154" s="730" t="e">
        <f>AH154+IF(Inputs!C$39="Electric",Q154/3412,0)</f>
        <v>#VALUE!</v>
      </c>
      <c r="AJ154" s="730" t="e">
        <f t="shared" si="48"/>
        <v>#VALUE!</v>
      </c>
    </row>
    <row r="155" spans="5:36" x14ac:dyDescent="0.2">
      <c r="E155" s="719">
        <v>37</v>
      </c>
      <c r="F155" s="728">
        <v>31</v>
      </c>
      <c r="G155" s="729" t="e">
        <f>HLOOKUP($B$49, 'Weather Data'!$CC$17:$CZ$80,E155,FALSE)</f>
        <v>#N/A</v>
      </c>
      <c r="H155" s="728" t="str">
        <f>IF(F155&gt;=Inputs!$C$25,"Cooling",IF(F155&lt;=Inputs!$C$30,"Heating","Neither"))</f>
        <v>Heating</v>
      </c>
      <c r="I155" s="728" t="e">
        <f>IF(F155&gt;=Inputs!$D$25,"Cooling",IF(F155&lt;=Inputs!$D$30,"Heating","Neither"))</f>
        <v>#VALUE!</v>
      </c>
      <c r="J155" s="659" t="e">
        <f>IF(H155="Cooling",(F155-Inputs!$C$25)*($V$3)/(Inputs!$C$32-Inputs!$C$25),IF(H155="Heating",(Inputs!$C$30-F155)*($V$15)/(Inputs!$C$30-Inputs!$C$33)/$C$53,0))</f>
        <v>#VALUE!</v>
      </c>
      <c r="K155" s="659" t="e">
        <f>IF(I155="Cooling",(F155-Inputs!$D$25)*($V$4)/(Inputs!$C$32-Inputs!$D$25),IF(I155="Heating",(Inputs!$D$30-F155)*($V$16)/(Inputs!$D$30-Inputs!$C$33)/$C$53,0))</f>
        <v>#VALUE!</v>
      </c>
      <c r="L155" s="659"/>
      <c r="M155" s="701" t="e">
        <f t="shared" si="28"/>
        <v>#VALUE!</v>
      </c>
      <c r="N155" s="701" t="e">
        <f t="shared" si="29"/>
        <v>#VALUE!</v>
      </c>
      <c r="O155" s="701" t="e">
        <f t="shared" si="49"/>
        <v>#N/A</v>
      </c>
      <c r="P155" s="701" t="e">
        <f t="shared" si="49"/>
        <v>#N/A</v>
      </c>
      <c r="Q155" s="701" t="e">
        <f t="shared" si="31"/>
        <v>#N/A</v>
      </c>
      <c r="R155" s="730">
        <f t="shared" si="41"/>
        <v>0</v>
      </c>
      <c r="S155" s="730" t="e">
        <f t="shared" si="42"/>
        <v>#VALUE!</v>
      </c>
      <c r="T155" s="701" t="e">
        <f t="shared" si="43"/>
        <v>#N/A</v>
      </c>
      <c r="U155" s="701" t="e">
        <f t="shared" si="44"/>
        <v>#VALUE!</v>
      </c>
      <c r="V155" s="701" t="e">
        <f t="shared" si="32"/>
        <v>#N/A</v>
      </c>
      <c r="W155" s="701" t="e">
        <f t="shared" si="33"/>
        <v>#VALUE!</v>
      </c>
      <c r="X155" s="701" t="e">
        <f t="shared" si="34"/>
        <v>#VALUE!</v>
      </c>
      <c r="Y155" s="731">
        <f t="shared" si="45"/>
        <v>0</v>
      </c>
      <c r="Z155" s="731" t="e">
        <f t="shared" si="46"/>
        <v>#VALUE!</v>
      </c>
      <c r="AA155" s="732" t="e">
        <f t="shared" si="35"/>
        <v>#VALUE!</v>
      </c>
      <c r="AB155" s="732" t="e">
        <f t="shared" si="47"/>
        <v>#VALUE!</v>
      </c>
      <c r="AC155" s="730">
        <f t="shared" si="50"/>
        <v>0</v>
      </c>
      <c r="AD155" s="730">
        <f t="shared" si="50"/>
        <v>0</v>
      </c>
      <c r="AE155" s="701" t="e">
        <f t="shared" si="37"/>
        <v>#VALUE!</v>
      </c>
      <c r="AF155" s="701" t="e">
        <f t="shared" si="38"/>
        <v>#VALUE!</v>
      </c>
      <c r="AG155" s="701" t="e">
        <f t="shared" si="39"/>
        <v>#VALUE!</v>
      </c>
      <c r="AH155" s="701" t="e">
        <f t="shared" si="40"/>
        <v>#VALUE!</v>
      </c>
      <c r="AI155" s="730" t="e">
        <f>AH155+IF(Inputs!C$39="Electric",Q155/3412,0)</f>
        <v>#VALUE!</v>
      </c>
      <c r="AJ155" s="730" t="e">
        <f t="shared" si="48"/>
        <v>#VALUE!</v>
      </c>
    </row>
    <row r="156" spans="5:36" x14ac:dyDescent="0.2">
      <c r="E156" s="719">
        <v>38</v>
      </c>
      <c r="F156" s="728">
        <v>29</v>
      </c>
      <c r="G156" s="729" t="e">
        <f>HLOOKUP($B$49, 'Weather Data'!$CC$17:$CZ$80,E156,FALSE)</f>
        <v>#N/A</v>
      </c>
      <c r="H156" s="728" t="str">
        <f>IF(F156&gt;=Inputs!$C$25,"Cooling",IF(F156&lt;=Inputs!$C$30,"Heating","Neither"))</f>
        <v>Heating</v>
      </c>
      <c r="I156" s="728" t="e">
        <f>IF(F156&gt;=Inputs!$D$25,"Cooling",IF(F156&lt;=Inputs!$D$30,"Heating","Neither"))</f>
        <v>#VALUE!</v>
      </c>
      <c r="J156" s="659" t="e">
        <f>IF(H156="Cooling",(F156-Inputs!$C$25)*($V$3)/(Inputs!$C$32-Inputs!$C$25),IF(H156="Heating",(Inputs!$C$30-F156)*($V$15)/(Inputs!$C$30-Inputs!$C$33)/$C$53,0))</f>
        <v>#VALUE!</v>
      </c>
      <c r="K156" s="659" t="e">
        <f>IF(I156="Cooling",(F156-Inputs!$D$25)*($V$4)/(Inputs!$C$32-Inputs!$D$25),IF(I156="Heating",(Inputs!$D$30-F156)*($V$16)/(Inputs!$D$30-Inputs!$C$33)/$C$53,0))</f>
        <v>#VALUE!</v>
      </c>
      <c r="L156" s="659"/>
      <c r="M156" s="701" t="e">
        <f t="shared" si="28"/>
        <v>#VALUE!</v>
      </c>
      <c r="N156" s="701" t="e">
        <f t="shared" si="29"/>
        <v>#VALUE!</v>
      </c>
      <c r="O156" s="701" t="e">
        <f t="shared" si="49"/>
        <v>#N/A</v>
      </c>
      <c r="P156" s="701" t="e">
        <f t="shared" si="49"/>
        <v>#N/A</v>
      </c>
      <c r="Q156" s="701" t="e">
        <f t="shared" si="31"/>
        <v>#N/A</v>
      </c>
      <c r="R156" s="730">
        <f t="shared" si="41"/>
        <v>0</v>
      </c>
      <c r="S156" s="730" t="e">
        <f t="shared" si="42"/>
        <v>#VALUE!</v>
      </c>
      <c r="T156" s="701" t="e">
        <f t="shared" si="43"/>
        <v>#N/A</v>
      </c>
      <c r="U156" s="701" t="e">
        <f t="shared" si="44"/>
        <v>#VALUE!</v>
      </c>
      <c r="V156" s="701" t="e">
        <f t="shared" si="32"/>
        <v>#N/A</v>
      </c>
      <c r="W156" s="701" t="e">
        <f t="shared" si="33"/>
        <v>#VALUE!</v>
      </c>
      <c r="X156" s="701" t="e">
        <f t="shared" si="34"/>
        <v>#VALUE!</v>
      </c>
      <c r="Y156" s="731">
        <f t="shared" si="45"/>
        <v>0</v>
      </c>
      <c r="Z156" s="731" t="e">
        <f t="shared" si="46"/>
        <v>#VALUE!</v>
      </c>
      <c r="AA156" s="732" t="e">
        <f t="shared" si="35"/>
        <v>#VALUE!</v>
      </c>
      <c r="AB156" s="732" t="e">
        <f t="shared" si="47"/>
        <v>#VALUE!</v>
      </c>
      <c r="AC156" s="730">
        <f t="shared" si="50"/>
        <v>0</v>
      </c>
      <c r="AD156" s="730">
        <f t="shared" si="50"/>
        <v>0</v>
      </c>
      <c r="AE156" s="701" t="e">
        <f t="shared" si="37"/>
        <v>#VALUE!</v>
      </c>
      <c r="AF156" s="701" t="e">
        <f t="shared" si="38"/>
        <v>#VALUE!</v>
      </c>
      <c r="AG156" s="701" t="e">
        <f t="shared" si="39"/>
        <v>#VALUE!</v>
      </c>
      <c r="AH156" s="701" t="e">
        <f t="shared" si="40"/>
        <v>#VALUE!</v>
      </c>
      <c r="AI156" s="730" t="e">
        <f>AH156+IF(Inputs!C$39="Electric",Q156/3412,0)</f>
        <v>#VALUE!</v>
      </c>
      <c r="AJ156" s="730" t="e">
        <f t="shared" si="48"/>
        <v>#VALUE!</v>
      </c>
    </row>
    <row r="157" spans="5:36" x14ac:dyDescent="0.2">
      <c r="E157" s="719">
        <v>39</v>
      </c>
      <c r="F157" s="728">
        <v>27</v>
      </c>
      <c r="G157" s="729" t="e">
        <f>HLOOKUP($B$49, 'Weather Data'!$CC$17:$CZ$80,E157,FALSE)</f>
        <v>#N/A</v>
      </c>
      <c r="H157" s="728" t="str">
        <f>IF(F157&gt;=Inputs!$C$25,"Cooling",IF(F157&lt;=Inputs!$C$30,"Heating","Neither"))</f>
        <v>Heating</v>
      </c>
      <c r="I157" s="728" t="e">
        <f>IF(F157&gt;=Inputs!$D$25,"Cooling",IF(F157&lt;=Inputs!$D$30,"Heating","Neither"))</f>
        <v>#VALUE!</v>
      </c>
      <c r="J157" s="659" t="e">
        <f>IF(H157="Cooling",(F157-Inputs!$C$25)*($V$3)/(Inputs!$C$32-Inputs!$C$25),IF(H157="Heating",(Inputs!$C$30-F157)*($V$15)/(Inputs!$C$30-Inputs!$C$33)/$C$53,0))</f>
        <v>#VALUE!</v>
      </c>
      <c r="K157" s="659" t="e">
        <f>IF(I157="Cooling",(F157-Inputs!$D$25)*($V$4)/(Inputs!$C$32-Inputs!$D$25),IF(I157="Heating",(Inputs!$D$30-F157)*($V$16)/(Inputs!$D$30-Inputs!$C$33)/$C$53,0))</f>
        <v>#VALUE!</v>
      </c>
      <c r="L157" s="659"/>
      <c r="M157" s="701" t="e">
        <f t="shared" si="28"/>
        <v>#VALUE!</v>
      </c>
      <c r="N157" s="701" t="e">
        <f t="shared" si="29"/>
        <v>#VALUE!</v>
      </c>
      <c r="O157" s="701" t="e">
        <f t="shared" si="49"/>
        <v>#N/A</v>
      </c>
      <c r="P157" s="701" t="e">
        <f t="shared" si="49"/>
        <v>#N/A</v>
      </c>
      <c r="Q157" s="701" t="e">
        <f t="shared" si="31"/>
        <v>#N/A</v>
      </c>
      <c r="R157" s="730">
        <f t="shared" si="41"/>
        <v>0</v>
      </c>
      <c r="S157" s="730" t="e">
        <f t="shared" si="42"/>
        <v>#VALUE!</v>
      </c>
      <c r="T157" s="701" t="e">
        <f t="shared" si="43"/>
        <v>#N/A</v>
      </c>
      <c r="U157" s="701" t="e">
        <f t="shared" si="44"/>
        <v>#VALUE!</v>
      </c>
      <c r="V157" s="701" t="e">
        <f t="shared" si="32"/>
        <v>#N/A</v>
      </c>
      <c r="W157" s="701" t="e">
        <f t="shared" si="33"/>
        <v>#VALUE!</v>
      </c>
      <c r="X157" s="701" t="e">
        <f t="shared" si="34"/>
        <v>#VALUE!</v>
      </c>
      <c r="Y157" s="731">
        <f t="shared" si="45"/>
        <v>0</v>
      </c>
      <c r="Z157" s="731" t="e">
        <f t="shared" si="46"/>
        <v>#VALUE!</v>
      </c>
      <c r="AA157" s="732" t="e">
        <f t="shared" si="35"/>
        <v>#VALUE!</v>
      </c>
      <c r="AB157" s="732" t="e">
        <f t="shared" si="47"/>
        <v>#VALUE!</v>
      </c>
      <c r="AC157" s="730">
        <f t="shared" si="50"/>
        <v>0</v>
      </c>
      <c r="AD157" s="730">
        <f t="shared" si="50"/>
        <v>0</v>
      </c>
      <c r="AE157" s="701" t="e">
        <f t="shared" si="37"/>
        <v>#VALUE!</v>
      </c>
      <c r="AF157" s="701" t="e">
        <f t="shared" si="38"/>
        <v>#VALUE!</v>
      </c>
      <c r="AG157" s="701" t="e">
        <f t="shared" si="39"/>
        <v>#VALUE!</v>
      </c>
      <c r="AH157" s="701" t="e">
        <f t="shared" si="40"/>
        <v>#VALUE!</v>
      </c>
      <c r="AI157" s="730" t="e">
        <f>AH157+IF(Inputs!C$39="Electric",Q157/3412,0)</f>
        <v>#VALUE!</v>
      </c>
      <c r="AJ157" s="730" t="e">
        <f t="shared" si="48"/>
        <v>#VALUE!</v>
      </c>
    </row>
    <row r="158" spans="5:36" x14ac:dyDescent="0.2">
      <c r="E158" s="719">
        <v>40</v>
      </c>
      <c r="F158" s="728">
        <v>25</v>
      </c>
      <c r="G158" s="729" t="e">
        <f>HLOOKUP($B$49, 'Weather Data'!$CC$17:$CZ$80,E158,FALSE)</f>
        <v>#N/A</v>
      </c>
      <c r="H158" s="728" t="str">
        <f>IF(F158&gt;=Inputs!$C$25,"Cooling",IF(F158&lt;=Inputs!$C$30,"Heating","Neither"))</f>
        <v>Heating</v>
      </c>
      <c r="I158" s="728" t="e">
        <f>IF(F158&gt;=Inputs!$D$25,"Cooling",IF(F158&lt;=Inputs!$D$30,"Heating","Neither"))</f>
        <v>#VALUE!</v>
      </c>
      <c r="J158" s="659" t="e">
        <f>IF(H158="Cooling",(F158-Inputs!$C$25)*($V$3)/(Inputs!$C$32-Inputs!$C$25),IF(H158="Heating",(Inputs!$C$30-F158)*($V$15)/(Inputs!$C$30-Inputs!$C$33)/$C$53,0))</f>
        <v>#VALUE!</v>
      </c>
      <c r="K158" s="659" t="e">
        <f>IF(I158="Cooling",(F158-Inputs!$D$25)*($V$4)/(Inputs!$C$32-Inputs!$D$25),IF(I158="Heating",(Inputs!$D$30-F158)*($V$16)/(Inputs!$D$30-Inputs!$C$33)/$C$53,0))</f>
        <v>#VALUE!</v>
      </c>
      <c r="L158" s="659"/>
      <c r="M158" s="701" t="e">
        <f t="shared" si="28"/>
        <v>#VALUE!</v>
      </c>
      <c r="N158" s="701" t="e">
        <f t="shared" si="29"/>
        <v>#VALUE!</v>
      </c>
      <c r="O158" s="701" t="e">
        <f t="shared" si="49"/>
        <v>#N/A</v>
      </c>
      <c r="P158" s="701" t="e">
        <f t="shared" si="49"/>
        <v>#N/A</v>
      </c>
      <c r="Q158" s="701" t="e">
        <f t="shared" si="31"/>
        <v>#N/A</v>
      </c>
      <c r="R158" s="730">
        <f t="shared" si="41"/>
        <v>0</v>
      </c>
      <c r="S158" s="730" t="e">
        <f t="shared" si="42"/>
        <v>#VALUE!</v>
      </c>
      <c r="T158" s="701" t="e">
        <f t="shared" si="43"/>
        <v>#N/A</v>
      </c>
      <c r="U158" s="701" t="e">
        <f t="shared" si="44"/>
        <v>#VALUE!</v>
      </c>
      <c r="V158" s="701" t="e">
        <f t="shared" si="32"/>
        <v>#N/A</v>
      </c>
      <c r="W158" s="701" t="e">
        <f t="shared" si="33"/>
        <v>#VALUE!</v>
      </c>
      <c r="X158" s="701" t="e">
        <f t="shared" si="34"/>
        <v>#VALUE!</v>
      </c>
      <c r="Y158" s="731">
        <f t="shared" si="45"/>
        <v>0</v>
      </c>
      <c r="Z158" s="731" t="e">
        <f t="shared" si="46"/>
        <v>#VALUE!</v>
      </c>
      <c r="AA158" s="732" t="e">
        <f t="shared" si="35"/>
        <v>#VALUE!</v>
      </c>
      <c r="AB158" s="732" t="e">
        <f t="shared" si="47"/>
        <v>#VALUE!</v>
      </c>
      <c r="AC158" s="730">
        <f t="shared" si="50"/>
        <v>0</v>
      </c>
      <c r="AD158" s="730">
        <f t="shared" si="50"/>
        <v>0</v>
      </c>
      <c r="AE158" s="701" t="e">
        <f t="shared" si="37"/>
        <v>#VALUE!</v>
      </c>
      <c r="AF158" s="701" t="e">
        <f t="shared" si="38"/>
        <v>#VALUE!</v>
      </c>
      <c r="AG158" s="701" t="e">
        <f t="shared" si="39"/>
        <v>#VALUE!</v>
      </c>
      <c r="AH158" s="701" t="e">
        <f t="shared" si="40"/>
        <v>#VALUE!</v>
      </c>
      <c r="AI158" s="730" t="e">
        <f>AH158+IF(Inputs!C$39="Electric",Q158/3412,0)</f>
        <v>#VALUE!</v>
      </c>
      <c r="AJ158" s="730" t="e">
        <f t="shared" si="48"/>
        <v>#VALUE!</v>
      </c>
    </row>
    <row r="159" spans="5:36" x14ac:dyDescent="0.2">
      <c r="E159" s="719">
        <v>41</v>
      </c>
      <c r="F159" s="728">
        <v>23</v>
      </c>
      <c r="G159" s="729" t="e">
        <f>HLOOKUP($B$49, 'Weather Data'!$CC$17:$CZ$80,E159,FALSE)</f>
        <v>#N/A</v>
      </c>
      <c r="H159" s="728" t="str">
        <f>IF(F159&gt;=Inputs!$C$25,"Cooling",IF(F159&lt;=Inputs!$C$30,"Heating","Neither"))</f>
        <v>Heating</v>
      </c>
      <c r="I159" s="728" t="e">
        <f>IF(F159&gt;=Inputs!$D$25,"Cooling",IF(F159&lt;=Inputs!$D$30,"Heating","Neither"))</f>
        <v>#VALUE!</v>
      </c>
      <c r="J159" s="659" t="e">
        <f>IF(H159="Cooling",(F159-Inputs!$C$25)*($V$3)/(Inputs!$C$32-Inputs!$C$25),IF(H159="Heating",(Inputs!$C$30-F159)*($V$15)/(Inputs!$C$30-Inputs!$C$33)/$C$53,0))</f>
        <v>#VALUE!</v>
      </c>
      <c r="K159" s="659" t="e">
        <f>IF(I159="Cooling",(F159-Inputs!$D$25)*($V$4)/(Inputs!$C$32-Inputs!$D$25),IF(I159="Heating",(Inputs!$D$30-F159)*($V$16)/(Inputs!$D$30-Inputs!$C$33)/$C$53,0))</f>
        <v>#VALUE!</v>
      </c>
      <c r="L159" s="659"/>
      <c r="M159" s="701" t="e">
        <f t="shared" si="28"/>
        <v>#VALUE!</v>
      </c>
      <c r="N159" s="701" t="e">
        <f t="shared" si="29"/>
        <v>#VALUE!</v>
      </c>
      <c r="O159" s="701" t="e">
        <f t="shared" si="49"/>
        <v>#N/A</v>
      </c>
      <c r="P159" s="701" t="e">
        <f t="shared" si="49"/>
        <v>#N/A</v>
      </c>
      <c r="Q159" s="701" t="e">
        <f t="shared" si="31"/>
        <v>#N/A</v>
      </c>
      <c r="R159" s="730">
        <f t="shared" si="41"/>
        <v>0</v>
      </c>
      <c r="S159" s="730" t="e">
        <f t="shared" si="42"/>
        <v>#VALUE!</v>
      </c>
      <c r="T159" s="701" t="e">
        <f t="shared" si="43"/>
        <v>#N/A</v>
      </c>
      <c r="U159" s="701" t="e">
        <f t="shared" si="44"/>
        <v>#VALUE!</v>
      </c>
      <c r="V159" s="701" t="e">
        <f t="shared" si="32"/>
        <v>#N/A</v>
      </c>
      <c r="W159" s="701" t="e">
        <f t="shared" si="33"/>
        <v>#VALUE!</v>
      </c>
      <c r="X159" s="701" t="e">
        <f t="shared" si="34"/>
        <v>#VALUE!</v>
      </c>
      <c r="Y159" s="731">
        <f t="shared" si="45"/>
        <v>0</v>
      </c>
      <c r="Z159" s="731" t="e">
        <f t="shared" si="46"/>
        <v>#VALUE!</v>
      </c>
      <c r="AA159" s="732" t="e">
        <f t="shared" si="35"/>
        <v>#VALUE!</v>
      </c>
      <c r="AB159" s="732" t="e">
        <f t="shared" si="47"/>
        <v>#VALUE!</v>
      </c>
      <c r="AC159" s="730">
        <f t="shared" si="50"/>
        <v>0</v>
      </c>
      <c r="AD159" s="730">
        <f t="shared" si="50"/>
        <v>0</v>
      </c>
      <c r="AE159" s="701" t="e">
        <f t="shared" si="37"/>
        <v>#VALUE!</v>
      </c>
      <c r="AF159" s="701" t="e">
        <f t="shared" si="38"/>
        <v>#VALUE!</v>
      </c>
      <c r="AG159" s="701" t="e">
        <f t="shared" si="39"/>
        <v>#VALUE!</v>
      </c>
      <c r="AH159" s="701" t="e">
        <f t="shared" si="40"/>
        <v>#VALUE!</v>
      </c>
      <c r="AI159" s="730" t="e">
        <f>AH159+IF(Inputs!C$39="Electric",Q159/3412,0)</f>
        <v>#VALUE!</v>
      </c>
      <c r="AJ159" s="730" t="e">
        <f t="shared" si="48"/>
        <v>#VALUE!</v>
      </c>
    </row>
    <row r="160" spans="5:36" x14ac:dyDescent="0.2">
      <c r="E160" s="719">
        <v>42</v>
      </c>
      <c r="F160" s="728">
        <v>21</v>
      </c>
      <c r="G160" s="729" t="e">
        <f>HLOOKUP($B$49, 'Weather Data'!$CC$17:$CZ$80,E160,FALSE)</f>
        <v>#N/A</v>
      </c>
      <c r="H160" s="728" t="str">
        <f>IF(F160&gt;=Inputs!$C$25,"Cooling",IF(F160&lt;=Inputs!$C$30,"Heating","Neither"))</f>
        <v>Heating</v>
      </c>
      <c r="I160" s="728" t="e">
        <f>IF(F160&gt;=Inputs!$D$25,"Cooling",IF(F160&lt;=Inputs!$D$30,"Heating","Neither"))</f>
        <v>#VALUE!</v>
      </c>
      <c r="J160" s="659" t="e">
        <f>IF(H160="Cooling",(F160-Inputs!$C$25)*($V$3)/(Inputs!$C$32-Inputs!$C$25),IF(H160="Heating",(Inputs!$C$30-F160)*($V$15)/(Inputs!$C$30-Inputs!$C$33)/$C$53,0))</f>
        <v>#VALUE!</v>
      </c>
      <c r="K160" s="659" t="e">
        <f>IF(I160="Cooling",(F160-Inputs!$D$25)*($V$4)/(Inputs!$C$32-Inputs!$D$25),IF(I160="Heating",(Inputs!$D$30-F160)*($V$16)/(Inputs!$D$30-Inputs!$C$33)/$C$53,0))</f>
        <v>#VALUE!</v>
      </c>
      <c r="L160" s="659"/>
      <c r="M160" s="701" t="e">
        <f t="shared" si="28"/>
        <v>#VALUE!</v>
      </c>
      <c r="N160" s="701" t="e">
        <f t="shared" si="29"/>
        <v>#VALUE!</v>
      </c>
      <c r="O160" s="701" t="e">
        <f t="shared" si="49"/>
        <v>#N/A</v>
      </c>
      <c r="P160" s="701" t="e">
        <f t="shared" si="49"/>
        <v>#N/A</v>
      </c>
      <c r="Q160" s="701" t="e">
        <f t="shared" si="31"/>
        <v>#N/A</v>
      </c>
      <c r="R160" s="730">
        <f t="shared" si="41"/>
        <v>0</v>
      </c>
      <c r="S160" s="730" t="e">
        <f t="shared" si="42"/>
        <v>#VALUE!</v>
      </c>
      <c r="T160" s="701" t="e">
        <f t="shared" si="43"/>
        <v>#N/A</v>
      </c>
      <c r="U160" s="701" t="e">
        <f t="shared" si="44"/>
        <v>#VALUE!</v>
      </c>
      <c r="V160" s="701" t="e">
        <f t="shared" si="32"/>
        <v>#N/A</v>
      </c>
      <c r="W160" s="701" t="e">
        <f t="shared" si="33"/>
        <v>#VALUE!</v>
      </c>
      <c r="X160" s="701" t="e">
        <f t="shared" si="34"/>
        <v>#VALUE!</v>
      </c>
      <c r="Y160" s="731">
        <f t="shared" si="45"/>
        <v>0</v>
      </c>
      <c r="Z160" s="731" t="e">
        <f t="shared" si="46"/>
        <v>#VALUE!</v>
      </c>
      <c r="AA160" s="732" t="e">
        <f t="shared" si="35"/>
        <v>#VALUE!</v>
      </c>
      <c r="AB160" s="732" t="e">
        <f t="shared" si="47"/>
        <v>#VALUE!</v>
      </c>
      <c r="AC160" s="730">
        <f t="shared" si="50"/>
        <v>0</v>
      </c>
      <c r="AD160" s="730">
        <f t="shared" si="50"/>
        <v>0</v>
      </c>
      <c r="AE160" s="701" t="e">
        <f t="shared" si="37"/>
        <v>#VALUE!</v>
      </c>
      <c r="AF160" s="701" t="e">
        <f t="shared" si="38"/>
        <v>#VALUE!</v>
      </c>
      <c r="AG160" s="701" t="e">
        <f t="shared" si="39"/>
        <v>#VALUE!</v>
      </c>
      <c r="AH160" s="701" t="e">
        <f t="shared" si="40"/>
        <v>#VALUE!</v>
      </c>
      <c r="AI160" s="730" t="e">
        <f>AH160+IF(Inputs!C$39="Electric",Q160/3412,0)</f>
        <v>#VALUE!</v>
      </c>
      <c r="AJ160" s="730" t="e">
        <f t="shared" si="48"/>
        <v>#VALUE!</v>
      </c>
    </row>
    <row r="161" spans="5:36" x14ac:dyDescent="0.2">
      <c r="E161" s="719">
        <v>43</v>
      </c>
      <c r="F161" s="728">
        <v>19</v>
      </c>
      <c r="G161" s="729" t="e">
        <f>HLOOKUP($B$49, 'Weather Data'!$CC$17:$CZ$80,E161,FALSE)</f>
        <v>#N/A</v>
      </c>
      <c r="H161" s="728" t="str">
        <f>IF(F161&gt;=Inputs!$C$25,"Cooling",IF(F161&lt;=Inputs!$C$30,"Heating","Neither"))</f>
        <v>Heating</v>
      </c>
      <c r="I161" s="728" t="e">
        <f>IF(F161&gt;=Inputs!$D$25,"Cooling",IF(F161&lt;=Inputs!$D$30,"Heating","Neither"))</f>
        <v>#VALUE!</v>
      </c>
      <c r="J161" s="659" t="e">
        <f>IF(H161="Cooling",(F161-Inputs!$C$25)*($V$3)/(Inputs!$C$32-Inputs!$C$25),IF(H161="Heating",(Inputs!$C$30-F161)*($V$15)/(Inputs!$C$30-Inputs!$C$33)/$C$53,0))</f>
        <v>#VALUE!</v>
      </c>
      <c r="K161" s="659" t="e">
        <f>IF(I161="Cooling",(F161-Inputs!$D$25)*($V$4)/(Inputs!$C$32-Inputs!$D$25),IF(I161="Heating",(Inputs!$D$30-F161)*($V$16)/(Inputs!$D$30-Inputs!$C$33)/$C$53,0))</f>
        <v>#VALUE!</v>
      </c>
      <c r="L161" s="659"/>
      <c r="M161" s="701" t="e">
        <f t="shared" si="28"/>
        <v>#VALUE!</v>
      </c>
      <c r="N161" s="701" t="e">
        <f t="shared" si="29"/>
        <v>#VALUE!</v>
      </c>
      <c r="O161" s="701" t="e">
        <f t="shared" si="49"/>
        <v>#N/A</v>
      </c>
      <c r="P161" s="701" t="e">
        <f t="shared" si="49"/>
        <v>#N/A</v>
      </c>
      <c r="Q161" s="701" t="e">
        <f t="shared" si="31"/>
        <v>#N/A</v>
      </c>
      <c r="R161" s="730">
        <f t="shared" si="41"/>
        <v>0</v>
      </c>
      <c r="S161" s="730" t="e">
        <f t="shared" si="42"/>
        <v>#VALUE!</v>
      </c>
      <c r="T161" s="701" t="e">
        <f t="shared" si="43"/>
        <v>#N/A</v>
      </c>
      <c r="U161" s="701" t="e">
        <f t="shared" si="44"/>
        <v>#VALUE!</v>
      </c>
      <c r="V161" s="701" t="e">
        <f t="shared" si="32"/>
        <v>#N/A</v>
      </c>
      <c r="W161" s="701" t="e">
        <f t="shared" si="33"/>
        <v>#VALUE!</v>
      </c>
      <c r="X161" s="701" t="e">
        <f t="shared" si="34"/>
        <v>#VALUE!</v>
      </c>
      <c r="Y161" s="731">
        <f t="shared" si="45"/>
        <v>0</v>
      </c>
      <c r="Z161" s="731" t="e">
        <f t="shared" si="46"/>
        <v>#VALUE!</v>
      </c>
      <c r="AA161" s="732" t="e">
        <f t="shared" si="35"/>
        <v>#VALUE!</v>
      </c>
      <c r="AB161" s="732" t="e">
        <f t="shared" si="47"/>
        <v>#VALUE!</v>
      </c>
      <c r="AC161" s="730">
        <f t="shared" si="50"/>
        <v>0</v>
      </c>
      <c r="AD161" s="730">
        <f t="shared" si="50"/>
        <v>0</v>
      </c>
      <c r="AE161" s="701" t="e">
        <f t="shared" si="37"/>
        <v>#VALUE!</v>
      </c>
      <c r="AF161" s="701" t="e">
        <f t="shared" si="38"/>
        <v>#VALUE!</v>
      </c>
      <c r="AG161" s="701" t="e">
        <f t="shared" si="39"/>
        <v>#VALUE!</v>
      </c>
      <c r="AH161" s="701" t="e">
        <f t="shared" si="40"/>
        <v>#VALUE!</v>
      </c>
      <c r="AI161" s="730" t="e">
        <f>AH161+IF(Inputs!C$39="Electric",Q161/3412,0)</f>
        <v>#VALUE!</v>
      </c>
      <c r="AJ161" s="730" t="e">
        <f t="shared" si="48"/>
        <v>#VALUE!</v>
      </c>
    </row>
    <row r="162" spans="5:36" x14ac:dyDescent="0.2">
      <c r="E162" s="719">
        <v>44</v>
      </c>
      <c r="F162" s="728">
        <v>17</v>
      </c>
      <c r="G162" s="729" t="e">
        <f>HLOOKUP($B$49, 'Weather Data'!$CC$17:$CZ$80,E162,FALSE)</f>
        <v>#N/A</v>
      </c>
      <c r="H162" s="728" t="str">
        <f>IF(F162&gt;=Inputs!$C$25,"Cooling",IF(F162&lt;=Inputs!$C$30,"Heating","Neither"))</f>
        <v>Heating</v>
      </c>
      <c r="I162" s="728" t="e">
        <f>IF(F162&gt;=Inputs!$D$25,"Cooling",IF(F162&lt;=Inputs!$D$30,"Heating","Neither"))</f>
        <v>#VALUE!</v>
      </c>
      <c r="J162" s="659" t="e">
        <f>IF(H162="Cooling",(F162-Inputs!$C$25)*($V$3)/(Inputs!$C$32-Inputs!$C$25),IF(H162="Heating",(Inputs!$C$30-F162)*($V$15)/(Inputs!$C$30-Inputs!$C$33)/$C$53,0))</f>
        <v>#VALUE!</v>
      </c>
      <c r="K162" s="659" t="e">
        <f>IF(I162="Cooling",(F162-Inputs!$D$25)*($V$4)/(Inputs!$C$32-Inputs!$D$25),IF(I162="Heating",(Inputs!$D$30-F162)*($V$16)/(Inputs!$D$30-Inputs!$C$33)/$C$53,0))</f>
        <v>#VALUE!</v>
      </c>
      <c r="L162" s="659"/>
      <c r="M162" s="701" t="e">
        <f t="shared" si="28"/>
        <v>#VALUE!</v>
      </c>
      <c r="N162" s="701" t="e">
        <f t="shared" si="29"/>
        <v>#VALUE!</v>
      </c>
      <c r="O162" s="701" t="e">
        <f t="shared" si="49"/>
        <v>#N/A</v>
      </c>
      <c r="P162" s="701" t="e">
        <f t="shared" si="49"/>
        <v>#N/A</v>
      </c>
      <c r="Q162" s="701" t="e">
        <f t="shared" si="31"/>
        <v>#N/A</v>
      </c>
      <c r="R162" s="730">
        <f t="shared" si="41"/>
        <v>0</v>
      </c>
      <c r="S162" s="730" t="e">
        <f t="shared" si="42"/>
        <v>#VALUE!</v>
      </c>
      <c r="T162" s="701" t="e">
        <f t="shared" si="43"/>
        <v>#N/A</v>
      </c>
      <c r="U162" s="701" t="e">
        <f t="shared" si="44"/>
        <v>#VALUE!</v>
      </c>
      <c r="V162" s="701" t="e">
        <f t="shared" si="32"/>
        <v>#N/A</v>
      </c>
      <c r="W162" s="701" t="e">
        <f t="shared" si="33"/>
        <v>#VALUE!</v>
      </c>
      <c r="X162" s="701" t="e">
        <f t="shared" si="34"/>
        <v>#VALUE!</v>
      </c>
      <c r="Y162" s="731">
        <f t="shared" si="45"/>
        <v>0</v>
      </c>
      <c r="Z162" s="731" t="e">
        <f t="shared" si="46"/>
        <v>#VALUE!</v>
      </c>
      <c r="AA162" s="732" t="e">
        <f t="shared" si="35"/>
        <v>#VALUE!</v>
      </c>
      <c r="AB162" s="732" t="e">
        <f t="shared" si="47"/>
        <v>#VALUE!</v>
      </c>
      <c r="AC162" s="730">
        <f t="shared" si="50"/>
        <v>0</v>
      </c>
      <c r="AD162" s="730">
        <f t="shared" si="50"/>
        <v>0</v>
      </c>
      <c r="AE162" s="701" t="e">
        <f t="shared" si="37"/>
        <v>#VALUE!</v>
      </c>
      <c r="AF162" s="701" t="e">
        <f t="shared" si="38"/>
        <v>#VALUE!</v>
      </c>
      <c r="AG162" s="701" t="e">
        <f t="shared" si="39"/>
        <v>#VALUE!</v>
      </c>
      <c r="AH162" s="701" t="e">
        <f t="shared" si="40"/>
        <v>#VALUE!</v>
      </c>
      <c r="AI162" s="730" t="e">
        <f>AH162+IF(Inputs!C$39="Electric",Q162/3412,0)</f>
        <v>#VALUE!</v>
      </c>
      <c r="AJ162" s="730" t="e">
        <f t="shared" si="48"/>
        <v>#VALUE!</v>
      </c>
    </row>
    <row r="163" spans="5:36" x14ac:dyDescent="0.2">
      <c r="E163" s="719">
        <v>45</v>
      </c>
      <c r="F163" s="728">
        <v>15</v>
      </c>
      <c r="G163" s="729" t="e">
        <f>HLOOKUP($B$49, 'Weather Data'!$CC$17:$CZ$80,E163,FALSE)</f>
        <v>#N/A</v>
      </c>
      <c r="H163" s="728" t="str">
        <f>IF(F163&gt;=Inputs!$C$25,"Cooling",IF(F163&lt;=Inputs!$C$30,"Heating","Neither"))</f>
        <v>Heating</v>
      </c>
      <c r="I163" s="728" t="e">
        <f>IF(F163&gt;=Inputs!$D$25,"Cooling",IF(F163&lt;=Inputs!$D$30,"Heating","Neither"))</f>
        <v>#VALUE!</v>
      </c>
      <c r="J163" s="659" t="e">
        <f>IF(H163="Cooling",(F163-Inputs!$C$25)*($V$3)/(Inputs!$C$32-Inputs!$C$25),IF(H163="Heating",(Inputs!$C$30-F163)*($V$15)/(Inputs!$C$30-Inputs!$C$33)/$C$53,0))</f>
        <v>#VALUE!</v>
      </c>
      <c r="K163" s="659" t="e">
        <f>IF(I163="Cooling",(F163-Inputs!$D$25)*($V$4)/(Inputs!$C$32-Inputs!$D$25),IF(I163="Heating",(Inputs!$D$30-F163)*($V$16)/(Inputs!$D$30-Inputs!$C$33)/$C$53,0))</f>
        <v>#VALUE!</v>
      </c>
      <c r="L163" s="659"/>
      <c r="M163" s="701" t="e">
        <f t="shared" si="28"/>
        <v>#VALUE!</v>
      </c>
      <c r="N163" s="701" t="e">
        <f t="shared" si="29"/>
        <v>#VALUE!</v>
      </c>
      <c r="O163" s="701" t="e">
        <f t="shared" si="49"/>
        <v>#N/A</v>
      </c>
      <c r="P163" s="701" t="e">
        <f t="shared" si="49"/>
        <v>#N/A</v>
      </c>
      <c r="Q163" s="701" t="e">
        <f t="shared" si="31"/>
        <v>#N/A</v>
      </c>
      <c r="R163" s="730">
        <f t="shared" si="41"/>
        <v>0</v>
      </c>
      <c r="S163" s="730" t="e">
        <f t="shared" si="42"/>
        <v>#VALUE!</v>
      </c>
      <c r="T163" s="701" t="e">
        <f t="shared" si="43"/>
        <v>#N/A</v>
      </c>
      <c r="U163" s="701" t="e">
        <f t="shared" si="44"/>
        <v>#VALUE!</v>
      </c>
      <c r="V163" s="701" t="e">
        <f t="shared" si="32"/>
        <v>#N/A</v>
      </c>
      <c r="W163" s="701" t="e">
        <f t="shared" si="33"/>
        <v>#VALUE!</v>
      </c>
      <c r="X163" s="701" t="e">
        <f t="shared" si="34"/>
        <v>#VALUE!</v>
      </c>
      <c r="Y163" s="731">
        <f t="shared" si="45"/>
        <v>0</v>
      </c>
      <c r="Z163" s="731" t="e">
        <f t="shared" si="46"/>
        <v>#VALUE!</v>
      </c>
      <c r="AA163" s="732" t="e">
        <f t="shared" si="35"/>
        <v>#VALUE!</v>
      </c>
      <c r="AB163" s="732" t="e">
        <f t="shared" si="47"/>
        <v>#VALUE!</v>
      </c>
      <c r="AC163" s="730">
        <f t="shared" si="50"/>
        <v>0</v>
      </c>
      <c r="AD163" s="730">
        <f t="shared" si="50"/>
        <v>0</v>
      </c>
      <c r="AE163" s="701" t="e">
        <f t="shared" si="37"/>
        <v>#VALUE!</v>
      </c>
      <c r="AF163" s="701" t="e">
        <f t="shared" si="38"/>
        <v>#VALUE!</v>
      </c>
      <c r="AG163" s="701" t="e">
        <f t="shared" si="39"/>
        <v>#VALUE!</v>
      </c>
      <c r="AH163" s="701" t="e">
        <f t="shared" si="40"/>
        <v>#VALUE!</v>
      </c>
      <c r="AI163" s="730" t="e">
        <f>AH163+IF(Inputs!C$39="Electric",Q163/3412,0)</f>
        <v>#VALUE!</v>
      </c>
      <c r="AJ163" s="730" t="e">
        <f t="shared" si="48"/>
        <v>#VALUE!</v>
      </c>
    </row>
    <row r="164" spans="5:36" x14ac:dyDescent="0.2">
      <c r="E164" s="719">
        <v>46</v>
      </c>
      <c r="F164" s="728">
        <v>13</v>
      </c>
      <c r="G164" s="729" t="e">
        <f>HLOOKUP($B$49, 'Weather Data'!$CC$17:$CZ$80,E164,FALSE)</f>
        <v>#N/A</v>
      </c>
      <c r="H164" s="728" t="str">
        <f>IF(F164&gt;=Inputs!$C$25,"Cooling",IF(F164&lt;=Inputs!$C$30,"Heating","Neither"))</f>
        <v>Heating</v>
      </c>
      <c r="I164" s="728" t="e">
        <f>IF(F164&gt;=Inputs!$D$25,"Cooling",IF(F164&lt;=Inputs!$D$30,"Heating","Neither"))</f>
        <v>#VALUE!</v>
      </c>
      <c r="J164" s="659" t="e">
        <f>IF(H164="Cooling",(F164-Inputs!$C$25)*($V$3)/(Inputs!$C$32-Inputs!$C$25),IF(H164="Heating",(Inputs!$C$30-F164)*($V$15)/(Inputs!$C$30-Inputs!$C$33)/$C$53,0))</f>
        <v>#VALUE!</v>
      </c>
      <c r="K164" s="659" t="e">
        <f>IF(I164="Cooling",(F164-Inputs!$D$25)*($V$4)/(Inputs!$C$32-Inputs!$D$25),IF(I164="Heating",(Inputs!$D$30-F164)*($V$16)/(Inputs!$D$30-Inputs!$C$33)/$C$53,0))</f>
        <v>#VALUE!</v>
      </c>
      <c r="L164" s="659"/>
      <c r="M164" s="701" t="e">
        <f t="shared" si="28"/>
        <v>#VALUE!</v>
      </c>
      <c r="N164" s="701" t="e">
        <f t="shared" si="29"/>
        <v>#VALUE!</v>
      </c>
      <c r="O164" s="701" t="e">
        <f t="shared" si="49"/>
        <v>#N/A</v>
      </c>
      <c r="P164" s="701" t="e">
        <f t="shared" si="49"/>
        <v>#N/A</v>
      </c>
      <c r="Q164" s="701" t="e">
        <f t="shared" si="31"/>
        <v>#N/A</v>
      </c>
      <c r="R164" s="730">
        <f t="shared" si="41"/>
        <v>0</v>
      </c>
      <c r="S164" s="730" t="e">
        <f t="shared" si="42"/>
        <v>#VALUE!</v>
      </c>
      <c r="T164" s="701" t="e">
        <f t="shared" si="43"/>
        <v>#N/A</v>
      </c>
      <c r="U164" s="701" t="e">
        <f t="shared" si="44"/>
        <v>#VALUE!</v>
      </c>
      <c r="V164" s="701" t="e">
        <f t="shared" si="32"/>
        <v>#N/A</v>
      </c>
      <c r="W164" s="701" t="e">
        <f t="shared" si="33"/>
        <v>#VALUE!</v>
      </c>
      <c r="X164" s="701" t="e">
        <f t="shared" si="34"/>
        <v>#VALUE!</v>
      </c>
      <c r="Y164" s="731">
        <f t="shared" si="45"/>
        <v>0</v>
      </c>
      <c r="Z164" s="731" t="e">
        <f t="shared" si="46"/>
        <v>#VALUE!</v>
      </c>
      <c r="AA164" s="732" t="e">
        <f t="shared" si="35"/>
        <v>#VALUE!</v>
      </c>
      <c r="AB164" s="732" t="e">
        <f t="shared" si="47"/>
        <v>#VALUE!</v>
      </c>
      <c r="AC164" s="730">
        <f t="shared" si="50"/>
        <v>0</v>
      </c>
      <c r="AD164" s="730">
        <f t="shared" si="50"/>
        <v>0</v>
      </c>
      <c r="AE164" s="701" t="e">
        <f t="shared" si="37"/>
        <v>#VALUE!</v>
      </c>
      <c r="AF164" s="701" t="e">
        <f t="shared" si="38"/>
        <v>#VALUE!</v>
      </c>
      <c r="AG164" s="701" t="e">
        <f t="shared" si="39"/>
        <v>#VALUE!</v>
      </c>
      <c r="AH164" s="701" t="e">
        <f t="shared" si="40"/>
        <v>#VALUE!</v>
      </c>
      <c r="AI164" s="730" t="e">
        <f>AH164+IF(Inputs!C$39="Electric",Q164/3412,0)</f>
        <v>#VALUE!</v>
      </c>
      <c r="AJ164" s="730" t="e">
        <f t="shared" si="48"/>
        <v>#VALUE!</v>
      </c>
    </row>
    <row r="165" spans="5:36" x14ac:dyDescent="0.2">
      <c r="E165" s="719">
        <v>47</v>
      </c>
      <c r="F165" s="728">
        <v>11</v>
      </c>
      <c r="G165" s="729" t="e">
        <f>HLOOKUP($B$49, 'Weather Data'!$CC$17:$CZ$80,E165,FALSE)</f>
        <v>#N/A</v>
      </c>
      <c r="H165" s="728" t="str">
        <f>IF(F165&gt;=Inputs!$C$25,"Cooling",IF(F165&lt;=Inputs!$C$30,"Heating","Neither"))</f>
        <v>Heating</v>
      </c>
      <c r="I165" s="728" t="e">
        <f>IF(F165&gt;=Inputs!$D$25,"Cooling",IF(F165&lt;=Inputs!$D$30,"Heating","Neither"))</f>
        <v>#VALUE!</v>
      </c>
      <c r="J165" s="659" t="e">
        <f>IF(H165="Cooling",(F165-Inputs!$C$25)*($V$3)/(Inputs!$C$32-Inputs!$C$25),IF(H165="Heating",(Inputs!$C$30-F165)*($V$15)/(Inputs!$C$30-Inputs!$C$33)/$C$53,0))</f>
        <v>#VALUE!</v>
      </c>
      <c r="K165" s="659" t="e">
        <f>IF(I165="Cooling",(F165-Inputs!$D$25)*($V$4)/(Inputs!$C$32-Inputs!$D$25),IF(I165="Heating",(Inputs!$D$30-F165)*($V$16)/(Inputs!$D$30-Inputs!$C$33)/$C$53,0))</f>
        <v>#VALUE!</v>
      </c>
      <c r="L165" s="659"/>
      <c r="M165" s="701" t="e">
        <f t="shared" si="28"/>
        <v>#VALUE!</v>
      </c>
      <c r="N165" s="701" t="e">
        <f t="shared" si="29"/>
        <v>#VALUE!</v>
      </c>
      <c r="O165" s="701" t="e">
        <f t="shared" si="49"/>
        <v>#N/A</v>
      </c>
      <c r="P165" s="701" t="e">
        <f t="shared" si="49"/>
        <v>#N/A</v>
      </c>
      <c r="Q165" s="701" t="e">
        <f t="shared" si="31"/>
        <v>#N/A</v>
      </c>
      <c r="R165" s="730">
        <f t="shared" si="41"/>
        <v>0</v>
      </c>
      <c r="S165" s="730" t="e">
        <f t="shared" si="42"/>
        <v>#VALUE!</v>
      </c>
      <c r="T165" s="701" t="e">
        <f t="shared" si="43"/>
        <v>#N/A</v>
      </c>
      <c r="U165" s="701" t="e">
        <f t="shared" si="44"/>
        <v>#VALUE!</v>
      </c>
      <c r="V165" s="701" t="e">
        <f t="shared" si="32"/>
        <v>#N/A</v>
      </c>
      <c r="W165" s="701" t="e">
        <f t="shared" si="33"/>
        <v>#VALUE!</v>
      </c>
      <c r="X165" s="701" t="e">
        <f t="shared" si="34"/>
        <v>#VALUE!</v>
      </c>
      <c r="Y165" s="731">
        <f t="shared" si="45"/>
        <v>0</v>
      </c>
      <c r="Z165" s="731" t="e">
        <f t="shared" si="46"/>
        <v>#VALUE!</v>
      </c>
      <c r="AA165" s="732" t="e">
        <f t="shared" si="35"/>
        <v>#VALUE!</v>
      </c>
      <c r="AB165" s="732" t="e">
        <f t="shared" si="47"/>
        <v>#VALUE!</v>
      </c>
      <c r="AC165" s="730">
        <f t="shared" si="50"/>
        <v>0</v>
      </c>
      <c r="AD165" s="730">
        <f t="shared" si="50"/>
        <v>0</v>
      </c>
      <c r="AE165" s="701" t="e">
        <f t="shared" si="37"/>
        <v>#VALUE!</v>
      </c>
      <c r="AF165" s="701" t="e">
        <f t="shared" si="38"/>
        <v>#VALUE!</v>
      </c>
      <c r="AG165" s="701" t="e">
        <f t="shared" si="39"/>
        <v>#VALUE!</v>
      </c>
      <c r="AH165" s="701" t="e">
        <f t="shared" si="40"/>
        <v>#VALUE!</v>
      </c>
      <c r="AI165" s="730" t="e">
        <f>AH165+IF(Inputs!C$39="Electric",Q165/3412,0)</f>
        <v>#VALUE!</v>
      </c>
      <c r="AJ165" s="730" t="e">
        <f t="shared" si="48"/>
        <v>#VALUE!</v>
      </c>
    </row>
    <row r="166" spans="5:36" x14ac:dyDescent="0.2">
      <c r="E166" s="719">
        <v>48</v>
      </c>
      <c r="F166" s="728">
        <v>9</v>
      </c>
      <c r="G166" s="729" t="e">
        <f>HLOOKUP($B$49, 'Weather Data'!$CC$17:$CZ$80,E166,FALSE)</f>
        <v>#N/A</v>
      </c>
      <c r="H166" s="728" t="str">
        <f>IF(F166&gt;=Inputs!$C$25,"Cooling",IF(F166&lt;=Inputs!$C$30,"Heating","Neither"))</f>
        <v>Heating</v>
      </c>
      <c r="I166" s="728" t="e">
        <f>IF(F166&gt;=Inputs!$D$25,"Cooling",IF(F166&lt;=Inputs!$D$30,"Heating","Neither"))</f>
        <v>#VALUE!</v>
      </c>
      <c r="J166" s="659" t="e">
        <f>IF(H166="Cooling",(F166-Inputs!$C$25)*($V$3)/(Inputs!$C$32-Inputs!$C$25),IF(H166="Heating",(Inputs!$C$30-F166)*($V$15)/(Inputs!$C$30-Inputs!$C$33)/$C$53,0))</f>
        <v>#VALUE!</v>
      </c>
      <c r="K166" s="659" t="e">
        <f>IF(I166="Cooling",(F166-Inputs!$D$25)*($V$4)/(Inputs!$C$32-Inputs!$D$25),IF(I166="Heating",(Inputs!$D$30-F166)*($V$16)/(Inputs!$D$30-Inputs!$C$33)/$C$53,0))</f>
        <v>#VALUE!</v>
      </c>
      <c r="L166" s="659"/>
      <c r="M166" s="701" t="e">
        <f t="shared" si="28"/>
        <v>#VALUE!</v>
      </c>
      <c r="N166" s="701" t="e">
        <f t="shared" si="29"/>
        <v>#VALUE!</v>
      </c>
      <c r="O166" s="701" t="e">
        <f t="shared" si="49"/>
        <v>#N/A</v>
      </c>
      <c r="P166" s="701" t="e">
        <f t="shared" si="49"/>
        <v>#N/A</v>
      </c>
      <c r="Q166" s="701" t="e">
        <f t="shared" si="31"/>
        <v>#N/A</v>
      </c>
      <c r="R166" s="730">
        <f t="shared" si="41"/>
        <v>0</v>
      </c>
      <c r="S166" s="730" t="e">
        <f t="shared" si="42"/>
        <v>#VALUE!</v>
      </c>
      <c r="T166" s="701" t="e">
        <f t="shared" si="43"/>
        <v>#N/A</v>
      </c>
      <c r="U166" s="701" t="e">
        <f t="shared" si="44"/>
        <v>#VALUE!</v>
      </c>
      <c r="V166" s="701" t="e">
        <f t="shared" si="32"/>
        <v>#N/A</v>
      </c>
      <c r="W166" s="701" t="e">
        <f t="shared" si="33"/>
        <v>#VALUE!</v>
      </c>
      <c r="X166" s="701" t="e">
        <f t="shared" si="34"/>
        <v>#VALUE!</v>
      </c>
      <c r="Y166" s="731">
        <f t="shared" si="45"/>
        <v>0</v>
      </c>
      <c r="Z166" s="731" t="e">
        <f t="shared" si="46"/>
        <v>#VALUE!</v>
      </c>
      <c r="AA166" s="732" t="e">
        <f t="shared" si="35"/>
        <v>#VALUE!</v>
      </c>
      <c r="AB166" s="732" t="e">
        <f t="shared" si="47"/>
        <v>#VALUE!</v>
      </c>
      <c r="AC166" s="730">
        <f t="shared" si="50"/>
        <v>0</v>
      </c>
      <c r="AD166" s="730">
        <f t="shared" si="50"/>
        <v>0</v>
      </c>
      <c r="AE166" s="701" t="e">
        <f t="shared" si="37"/>
        <v>#VALUE!</v>
      </c>
      <c r="AF166" s="701" t="e">
        <f t="shared" si="38"/>
        <v>#VALUE!</v>
      </c>
      <c r="AG166" s="701" t="e">
        <f t="shared" si="39"/>
        <v>#VALUE!</v>
      </c>
      <c r="AH166" s="701" t="e">
        <f t="shared" si="40"/>
        <v>#VALUE!</v>
      </c>
      <c r="AI166" s="730" t="e">
        <f>AH166+IF(Inputs!C$39="Electric",Q166/3412,0)</f>
        <v>#VALUE!</v>
      </c>
      <c r="AJ166" s="730" t="e">
        <f t="shared" si="48"/>
        <v>#VALUE!</v>
      </c>
    </row>
    <row r="167" spans="5:36" x14ac:dyDescent="0.2">
      <c r="E167" s="719">
        <v>49</v>
      </c>
      <c r="F167" s="728">
        <v>7</v>
      </c>
      <c r="G167" s="729" t="e">
        <f>HLOOKUP($B$49, 'Weather Data'!$CC$17:$CZ$80,E167,FALSE)</f>
        <v>#N/A</v>
      </c>
      <c r="H167" s="728" t="str">
        <f>IF(F167&gt;=Inputs!$C$25,"Cooling",IF(F167&lt;=Inputs!$C$30,"Heating","Neither"))</f>
        <v>Heating</v>
      </c>
      <c r="I167" s="728" t="e">
        <f>IF(F167&gt;=Inputs!$D$25,"Cooling",IF(F167&lt;=Inputs!$D$30,"Heating","Neither"))</f>
        <v>#VALUE!</v>
      </c>
      <c r="J167" s="659" t="e">
        <f>IF(H167="Cooling",(F167-Inputs!$C$25)*($V$3)/(Inputs!$C$32-Inputs!$C$25),IF(H167="Heating",(Inputs!$C$30-F167)*($V$15)/(Inputs!$C$30-Inputs!$C$33)/$C$53,0))</f>
        <v>#VALUE!</v>
      </c>
      <c r="K167" s="659" t="e">
        <f>IF(I167="Cooling",(F167-Inputs!$D$25)*($V$4)/(Inputs!$C$32-Inputs!$D$25),IF(I167="Heating",(Inputs!$D$30-F167)*($V$16)/(Inputs!$D$30-Inputs!$C$33)/$C$53,0))</f>
        <v>#VALUE!</v>
      </c>
      <c r="L167" s="659"/>
      <c r="M167" s="701" t="e">
        <f t="shared" si="28"/>
        <v>#VALUE!</v>
      </c>
      <c r="N167" s="701" t="e">
        <f t="shared" si="29"/>
        <v>#VALUE!</v>
      </c>
      <c r="O167" s="701" t="e">
        <f t="shared" si="49"/>
        <v>#N/A</v>
      </c>
      <c r="P167" s="701" t="e">
        <f t="shared" si="49"/>
        <v>#N/A</v>
      </c>
      <c r="Q167" s="701" t="e">
        <f t="shared" si="31"/>
        <v>#N/A</v>
      </c>
      <c r="R167" s="730">
        <f t="shared" si="41"/>
        <v>0</v>
      </c>
      <c r="S167" s="730" t="e">
        <f t="shared" si="42"/>
        <v>#VALUE!</v>
      </c>
      <c r="T167" s="701" t="e">
        <f t="shared" si="43"/>
        <v>#N/A</v>
      </c>
      <c r="U167" s="701" t="e">
        <f t="shared" si="44"/>
        <v>#VALUE!</v>
      </c>
      <c r="V167" s="701" t="e">
        <f t="shared" si="32"/>
        <v>#N/A</v>
      </c>
      <c r="W167" s="701" t="e">
        <f t="shared" si="33"/>
        <v>#VALUE!</v>
      </c>
      <c r="X167" s="701" t="e">
        <f t="shared" si="34"/>
        <v>#VALUE!</v>
      </c>
      <c r="Y167" s="731">
        <f t="shared" si="45"/>
        <v>0</v>
      </c>
      <c r="Z167" s="731" t="e">
        <f t="shared" si="46"/>
        <v>#VALUE!</v>
      </c>
      <c r="AA167" s="732" t="e">
        <f t="shared" si="35"/>
        <v>#VALUE!</v>
      </c>
      <c r="AB167" s="732" t="e">
        <f t="shared" si="47"/>
        <v>#VALUE!</v>
      </c>
      <c r="AC167" s="730">
        <f t="shared" si="50"/>
        <v>0</v>
      </c>
      <c r="AD167" s="730">
        <f t="shared" si="50"/>
        <v>0</v>
      </c>
      <c r="AE167" s="701" t="e">
        <f t="shared" si="37"/>
        <v>#VALUE!</v>
      </c>
      <c r="AF167" s="701" t="e">
        <f t="shared" si="38"/>
        <v>#VALUE!</v>
      </c>
      <c r="AG167" s="701" t="e">
        <f t="shared" si="39"/>
        <v>#VALUE!</v>
      </c>
      <c r="AH167" s="701" t="e">
        <f t="shared" si="40"/>
        <v>#VALUE!</v>
      </c>
      <c r="AI167" s="730" t="e">
        <f>AH167+IF(Inputs!C$39="Electric",Q167/3412,0)</f>
        <v>#VALUE!</v>
      </c>
      <c r="AJ167" s="730" t="e">
        <f t="shared" si="48"/>
        <v>#VALUE!</v>
      </c>
    </row>
    <row r="168" spans="5:36" x14ac:dyDescent="0.2">
      <c r="E168" s="719">
        <v>50</v>
      </c>
      <c r="F168" s="728">
        <v>5</v>
      </c>
      <c r="G168" s="729" t="e">
        <f>HLOOKUP($B$49, 'Weather Data'!$CC$17:$CZ$80,E168,FALSE)</f>
        <v>#N/A</v>
      </c>
      <c r="H168" s="728" t="str">
        <f>IF(F168&gt;=Inputs!$C$25,"Cooling",IF(F168&lt;=Inputs!$C$30,"Heating","Neither"))</f>
        <v>Heating</v>
      </c>
      <c r="I168" s="728" t="e">
        <f>IF(F168&gt;=Inputs!$D$25,"Cooling",IF(F168&lt;=Inputs!$D$30,"Heating","Neither"))</f>
        <v>#VALUE!</v>
      </c>
      <c r="J168" s="659" t="e">
        <f>IF(H168="Cooling",(F168-Inputs!$C$25)*($V$3)/(Inputs!$C$32-Inputs!$C$25),IF(H168="Heating",(Inputs!$C$30-F168)*($V$15)/(Inputs!$C$30-Inputs!$C$33)/$C$53,0))</f>
        <v>#VALUE!</v>
      </c>
      <c r="K168" s="659" t="e">
        <f>IF(I168="Cooling",(F168-Inputs!$D$25)*($V$4)/(Inputs!$C$32-Inputs!$D$25),IF(I168="Heating",(Inputs!$D$30-F168)*($V$16)/(Inputs!$D$30-Inputs!$C$33)/$C$53,0))</f>
        <v>#VALUE!</v>
      </c>
      <c r="L168" s="659"/>
      <c r="M168" s="701" t="e">
        <f t="shared" si="28"/>
        <v>#VALUE!</v>
      </c>
      <c r="N168" s="701" t="e">
        <f t="shared" si="29"/>
        <v>#VALUE!</v>
      </c>
      <c r="O168" s="701" t="e">
        <f t="shared" si="49"/>
        <v>#N/A</v>
      </c>
      <c r="P168" s="701" t="e">
        <f t="shared" si="49"/>
        <v>#N/A</v>
      </c>
      <c r="Q168" s="701" t="e">
        <f t="shared" si="31"/>
        <v>#N/A</v>
      </c>
      <c r="R168" s="730">
        <f t="shared" si="41"/>
        <v>0</v>
      </c>
      <c r="S168" s="730" t="e">
        <f t="shared" si="42"/>
        <v>#VALUE!</v>
      </c>
      <c r="T168" s="701" t="e">
        <f t="shared" si="43"/>
        <v>#N/A</v>
      </c>
      <c r="U168" s="701" t="e">
        <f t="shared" si="44"/>
        <v>#VALUE!</v>
      </c>
      <c r="V168" s="701" t="e">
        <f t="shared" si="32"/>
        <v>#N/A</v>
      </c>
      <c r="W168" s="701" t="e">
        <f t="shared" si="33"/>
        <v>#VALUE!</v>
      </c>
      <c r="X168" s="701" t="e">
        <f t="shared" si="34"/>
        <v>#VALUE!</v>
      </c>
      <c r="Y168" s="731">
        <f t="shared" si="45"/>
        <v>0</v>
      </c>
      <c r="Z168" s="731" t="e">
        <f t="shared" si="46"/>
        <v>#VALUE!</v>
      </c>
      <c r="AA168" s="732" t="e">
        <f t="shared" si="35"/>
        <v>#VALUE!</v>
      </c>
      <c r="AB168" s="732" t="e">
        <f t="shared" si="47"/>
        <v>#VALUE!</v>
      </c>
      <c r="AC168" s="730">
        <f t="shared" si="50"/>
        <v>0</v>
      </c>
      <c r="AD168" s="730">
        <f t="shared" si="50"/>
        <v>0</v>
      </c>
      <c r="AE168" s="701" t="e">
        <f t="shared" si="37"/>
        <v>#VALUE!</v>
      </c>
      <c r="AF168" s="701" t="e">
        <f t="shared" si="38"/>
        <v>#VALUE!</v>
      </c>
      <c r="AG168" s="701" t="e">
        <f t="shared" si="39"/>
        <v>#VALUE!</v>
      </c>
      <c r="AH168" s="701" t="e">
        <f t="shared" si="40"/>
        <v>#VALUE!</v>
      </c>
      <c r="AI168" s="730" t="e">
        <f>AH168+IF(Inputs!C$39="Electric",Q168/3412,0)</f>
        <v>#VALUE!</v>
      </c>
      <c r="AJ168" s="730" t="e">
        <f t="shared" si="48"/>
        <v>#VALUE!</v>
      </c>
    </row>
    <row r="169" spans="5:36" x14ac:dyDescent="0.2">
      <c r="E169" s="719">
        <v>51</v>
      </c>
      <c r="F169" s="728">
        <v>3</v>
      </c>
      <c r="G169" s="729" t="e">
        <f>HLOOKUP($B$49, 'Weather Data'!$CC$17:$CZ$80,E169,FALSE)</f>
        <v>#N/A</v>
      </c>
      <c r="H169" s="728" t="str">
        <f>IF(F169&gt;=Inputs!$C$25,"Cooling",IF(F169&lt;=Inputs!$C$30,"Heating","Neither"))</f>
        <v>Heating</v>
      </c>
      <c r="I169" s="728" t="e">
        <f>IF(F169&gt;=Inputs!$D$25,"Cooling",IF(F169&lt;=Inputs!$D$30,"Heating","Neither"))</f>
        <v>#VALUE!</v>
      </c>
      <c r="J169" s="659" t="e">
        <f>IF(H169="Cooling",(F169-Inputs!$C$25)*($V$3)/(Inputs!$C$32-Inputs!$C$25),IF(H169="Heating",(Inputs!$C$30-F169)*($V$15)/(Inputs!$C$30-Inputs!$C$33)/$C$53,0))</f>
        <v>#VALUE!</v>
      </c>
      <c r="K169" s="659" t="e">
        <f>IF(I169="Cooling",(F169-Inputs!$D$25)*($V$4)/(Inputs!$C$32-Inputs!$D$25),IF(I169="Heating",(Inputs!$D$30-F169)*($V$16)/(Inputs!$D$30-Inputs!$C$33)/$C$53,0))</f>
        <v>#VALUE!</v>
      </c>
      <c r="L169" s="659"/>
      <c r="M169" s="701" t="e">
        <f t="shared" si="28"/>
        <v>#VALUE!</v>
      </c>
      <c r="N169" s="701" t="e">
        <f t="shared" si="29"/>
        <v>#VALUE!</v>
      </c>
      <c r="O169" s="701" t="e">
        <f t="shared" si="49"/>
        <v>#N/A</v>
      </c>
      <c r="P169" s="701" t="e">
        <f t="shared" si="49"/>
        <v>#N/A</v>
      </c>
      <c r="Q169" s="701" t="e">
        <f t="shared" si="31"/>
        <v>#N/A</v>
      </c>
      <c r="R169" s="730">
        <f t="shared" si="41"/>
        <v>0</v>
      </c>
      <c r="S169" s="730" t="e">
        <f t="shared" si="42"/>
        <v>#VALUE!</v>
      </c>
      <c r="T169" s="701" t="e">
        <f t="shared" si="43"/>
        <v>#N/A</v>
      </c>
      <c r="U169" s="701" t="e">
        <f t="shared" si="44"/>
        <v>#VALUE!</v>
      </c>
      <c r="V169" s="701" t="e">
        <f t="shared" si="32"/>
        <v>#N/A</v>
      </c>
      <c r="W169" s="701" t="e">
        <f t="shared" si="33"/>
        <v>#VALUE!</v>
      </c>
      <c r="X169" s="701" t="e">
        <f t="shared" si="34"/>
        <v>#VALUE!</v>
      </c>
      <c r="Y169" s="731">
        <f t="shared" si="45"/>
        <v>0</v>
      </c>
      <c r="Z169" s="731" t="e">
        <f t="shared" si="46"/>
        <v>#VALUE!</v>
      </c>
      <c r="AA169" s="732" t="e">
        <f t="shared" si="35"/>
        <v>#VALUE!</v>
      </c>
      <c r="AB169" s="732" t="e">
        <f t="shared" si="47"/>
        <v>#VALUE!</v>
      </c>
      <c r="AC169" s="730">
        <f t="shared" si="50"/>
        <v>0</v>
      </c>
      <c r="AD169" s="730">
        <f t="shared" si="50"/>
        <v>0</v>
      </c>
      <c r="AE169" s="701" t="e">
        <f t="shared" si="37"/>
        <v>#VALUE!</v>
      </c>
      <c r="AF169" s="701" t="e">
        <f t="shared" si="38"/>
        <v>#VALUE!</v>
      </c>
      <c r="AG169" s="701" t="e">
        <f t="shared" si="39"/>
        <v>#VALUE!</v>
      </c>
      <c r="AH169" s="701" t="e">
        <f t="shared" si="40"/>
        <v>#VALUE!</v>
      </c>
      <c r="AI169" s="730" t="e">
        <f>AH169+IF(Inputs!C$39="Electric",Q169/3412,0)</f>
        <v>#VALUE!</v>
      </c>
      <c r="AJ169" s="730" t="e">
        <f t="shared" si="48"/>
        <v>#VALUE!</v>
      </c>
    </row>
    <row r="170" spans="5:36" x14ac:dyDescent="0.2">
      <c r="E170" s="719">
        <v>52</v>
      </c>
      <c r="F170" s="728">
        <v>1</v>
      </c>
      <c r="G170" s="729" t="e">
        <f>HLOOKUP($B$49, 'Weather Data'!$CC$17:$CZ$80,E170,FALSE)</f>
        <v>#N/A</v>
      </c>
      <c r="H170" s="728" t="str">
        <f>IF(F170&gt;=Inputs!$C$25,"Cooling",IF(F170&lt;=Inputs!$C$30,"Heating","Neither"))</f>
        <v>Heating</v>
      </c>
      <c r="I170" s="728" t="e">
        <f>IF(F170&gt;=Inputs!$D$25,"Cooling",IF(F170&lt;=Inputs!$D$30,"Heating","Neither"))</f>
        <v>#VALUE!</v>
      </c>
      <c r="J170" s="659" t="e">
        <f>IF(H170="Cooling",(F170-Inputs!$C$25)*($V$3)/(Inputs!$C$32-Inputs!$C$25),IF(H170="Heating",(Inputs!$C$30-F170)*($V$15)/(Inputs!$C$30-Inputs!$C$33)/$C$53,0))</f>
        <v>#VALUE!</v>
      </c>
      <c r="K170" s="659" t="e">
        <f>IF(I170="Cooling",(F170-Inputs!$D$25)*($V$4)/(Inputs!$C$32-Inputs!$D$25),IF(I170="Heating",(Inputs!$D$30-F170)*($V$16)/(Inputs!$D$30-Inputs!$C$33)/$C$53,0))</f>
        <v>#VALUE!</v>
      </c>
      <c r="L170" s="659"/>
      <c r="M170" s="701" t="e">
        <f t="shared" si="28"/>
        <v>#VALUE!</v>
      </c>
      <c r="N170" s="701" t="e">
        <f t="shared" si="29"/>
        <v>#VALUE!</v>
      </c>
      <c r="O170" s="701" t="e">
        <f t="shared" si="49"/>
        <v>#N/A</v>
      </c>
      <c r="P170" s="701" t="e">
        <f t="shared" si="49"/>
        <v>#N/A</v>
      </c>
      <c r="Q170" s="701" t="e">
        <f t="shared" si="31"/>
        <v>#N/A</v>
      </c>
      <c r="R170" s="730">
        <f t="shared" si="41"/>
        <v>0</v>
      </c>
      <c r="S170" s="730" t="e">
        <f t="shared" si="42"/>
        <v>#VALUE!</v>
      </c>
      <c r="T170" s="701" t="e">
        <f t="shared" si="43"/>
        <v>#N/A</v>
      </c>
      <c r="U170" s="701" t="e">
        <f t="shared" si="44"/>
        <v>#VALUE!</v>
      </c>
      <c r="V170" s="701" t="e">
        <f t="shared" si="32"/>
        <v>#N/A</v>
      </c>
      <c r="W170" s="701" t="e">
        <f t="shared" si="33"/>
        <v>#VALUE!</v>
      </c>
      <c r="X170" s="701" t="e">
        <f t="shared" si="34"/>
        <v>#VALUE!</v>
      </c>
      <c r="Y170" s="731">
        <f t="shared" si="45"/>
        <v>0</v>
      </c>
      <c r="Z170" s="731" t="e">
        <f t="shared" si="46"/>
        <v>#VALUE!</v>
      </c>
      <c r="AA170" s="732" t="e">
        <f t="shared" si="35"/>
        <v>#VALUE!</v>
      </c>
      <c r="AB170" s="732" t="e">
        <f t="shared" si="47"/>
        <v>#VALUE!</v>
      </c>
      <c r="AC170" s="730">
        <f t="shared" si="50"/>
        <v>0</v>
      </c>
      <c r="AD170" s="730">
        <f t="shared" si="50"/>
        <v>0</v>
      </c>
      <c r="AE170" s="701" t="e">
        <f t="shared" si="37"/>
        <v>#VALUE!</v>
      </c>
      <c r="AF170" s="701" t="e">
        <f t="shared" si="38"/>
        <v>#VALUE!</v>
      </c>
      <c r="AG170" s="701" t="e">
        <f t="shared" si="39"/>
        <v>#VALUE!</v>
      </c>
      <c r="AH170" s="701" t="e">
        <f t="shared" si="40"/>
        <v>#VALUE!</v>
      </c>
      <c r="AI170" s="730" t="e">
        <f>AH170+IF(Inputs!C$39="Electric",Q170/3412,0)</f>
        <v>#VALUE!</v>
      </c>
      <c r="AJ170" s="730" t="e">
        <f t="shared" si="48"/>
        <v>#VALUE!</v>
      </c>
    </row>
    <row r="171" spans="5:36" x14ac:dyDescent="0.2">
      <c r="E171" s="719">
        <v>53</v>
      </c>
      <c r="F171" s="728">
        <v>-1</v>
      </c>
      <c r="G171" s="729" t="e">
        <f>HLOOKUP($B$49, 'Weather Data'!$CC$17:$CZ$80,E171,FALSE)</f>
        <v>#N/A</v>
      </c>
      <c r="H171" s="728" t="str">
        <f>IF(F171&gt;=Inputs!$C$25,"Cooling",IF(F171&lt;=Inputs!$C$30,"Heating","Neither"))</f>
        <v>Heating</v>
      </c>
      <c r="I171" s="728" t="e">
        <f>IF(F171&gt;=Inputs!$D$25,"Cooling",IF(F171&lt;=Inputs!$D$30,"Heating","Neither"))</f>
        <v>#VALUE!</v>
      </c>
      <c r="J171" s="659" t="e">
        <f>IF(H171="Cooling",(F171-Inputs!$C$25)*($V$3)/(Inputs!$C$32-Inputs!$C$25),IF(H171="Heating",(Inputs!$C$30-F171)*($V$15)/(Inputs!$C$30-Inputs!$C$33)/$C$53,0))</f>
        <v>#VALUE!</v>
      </c>
      <c r="K171" s="659" t="e">
        <f>IF(I171="Cooling",(F171-Inputs!$D$25)*($V$4)/(Inputs!$C$32-Inputs!$D$25),IF(I171="Heating",(Inputs!$D$30-F171)*($V$16)/(Inputs!$D$30-Inputs!$C$33)/$C$53,0))</f>
        <v>#VALUE!</v>
      </c>
      <c r="L171" s="659"/>
      <c r="M171" s="701" t="e">
        <f t="shared" si="28"/>
        <v>#VALUE!</v>
      </c>
      <c r="N171" s="701" t="e">
        <f t="shared" si="29"/>
        <v>#VALUE!</v>
      </c>
      <c r="O171" s="701" t="e">
        <f t="shared" si="49"/>
        <v>#N/A</v>
      </c>
      <c r="P171" s="701" t="e">
        <f t="shared" si="49"/>
        <v>#N/A</v>
      </c>
      <c r="Q171" s="701" t="e">
        <f t="shared" si="31"/>
        <v>#N/A</v>
      </c>
      <c r="R171" s="730">
        <f t="shared" si="41"/>
        <v>0</v>
      </c>
      <c r="S171" s="730" t="e">
        <f t="shared" si="42"/>
        <v>#VALUE!</v>
      </c>
      <c r="T171" s="701" t="e">
        <f t="shared" si="43"/>
        <v>#N/A</v>
      </c>
      <c r="U171" s="701" t="e">
        <f t="shared" si="44"/>
        <v>#VALUE!</v>
      </c>
      <c r="V171" s="701" t="e">
        <f t="shared" si="32"/>
        <v>#N/A</v>
      </c>
      <c r="W171" s="701" t="e">
        <f t="shared" si="33"/>
        <v>#VALUE!</v>
      </c>
      <c r="X171" s="701" t="e">
        <f t="shared" si="34"/>
        <v>#VALUE!</v>
      </c>
      <c r="Y171" s="731">
        <f t="shared" si="45"/>
        <v>0</v>
      </c>
      <c r="Z171" s="731" t="e">
        <f t="shared" si="46"/>
        <v>#VALUE!</v>
      </c>
      <c r="AA171" s="732" t="e">
        <f t="shared" si="35"/>
        <v>#VALUE!</v>
      </c>
      <c r="AB171" s="732" t="e">
        <f t="shared" si="47"/>
        <v>#VALUE!</v>
      </c>
      <c r="AC171" s="730">
        <f t="shared" si="50"/>
        <v>0</v>
      </c>
      <c r="AD171" s="730">
        <f t="shared" si="50"/>
        <v>0</v>
      </c>
      <c r="AE171" s="701" t="e">
        <f t="shared" si="37"/>
        <v>#VALUE!</v>
      </c>
      <c r="AF171" s="701" t="e">
        <f t="shared" si="38"/>
        <v>#VALUE!</v>
      </c>
      <c r="AG171" s="701" t="e">
        <f t="shared" si="39"/>
        <v>#VALUE!</v>
      </c>
      <c r="AH171" s="701" t="e">
        <f t="shared" si="40"/>
        <v>#VALUE!</v>
      </c>
      <c r="AI171" s="730" t="e">
        <f>AH171+IF(Inputs!C$39="Electric",Q171/3412,0)</f>
        <v>#VALUE!</v>
      </c>
      <c r="AJ171" s="730" t="e">
        <f t="shared" si="48"/>
        <v>#VALUE!</v>
      </c>
    </row>
    <row r="172" spans="5:36" x14ac:dyDescent="0.2">
      <c r="E172" s="719">
        <v>54</v>
      </c>
      <c r="F172" s="728">
        <v>-3</v>
      </c>
      <c r="G172" s="729" t="e">
        <f>HLOOKUP($B$49, 'Weather Data'!$CC$17:$CZ$80,E172,FALSE)</f>
        <v>#N/A</v>
      </c>
      <c r="H172" s="728" t="str">
        <f>IF(F172&gt;=Inputs!$C$25,"Cooling",IF(F172&lt;=Inputs!$C$30,"Heating","Neither"))</f>
        <v>Heating</v>
      </c>
      <c r="I172" s="728" t="e">
        <f>IF(F172&gt;=Inputs!$D$25,"Cooling",IF(F172&lt;=Inputs!$D$30,"Heating","Neither"))</f>
        <v>#VALUE!</v>
      </c>
      <c r="J172" s="659" t="e">
        <f>IF(H172="Cooling",(F172-Inputs!$C$25)*($V$3)/(Inputs!$C$32-Inputs!$C$25),IF(H172="Heating",(Inputs!$C$30-F172)*($V$15)/(Inputs!$C$30-Inputs!$C$33)/$C$53,0))</f>
        <v>#VALUE!</v>
      </c>
      <c r="K172" s="659" t="e">
        <f>IF(I172="Cooling",(F172-Inputs!$D$25)*($V$4)/(Inputs!$C$32-Inputs!$D$25),IF(I172="Heating",(Inputs!$D$30-F172)*($V$16)/(Inputs!$D$30-Inputs!$C$33)/$C$53,0))</f>
        <v>#VALUE!</v>
      </c>
      <c r="L172" s="659"/>
      <c r="M172" s="701" t="e">
        <f t="shared" si="28"/>
        <v>#VALUE!</v>
      </c>
      <c r="N172" s="701" t="e">
        <f t="shared" si="29"/>
        <v>#VALUE!</v>
      </c>
      <c r="O172" s="701" t="e">
        <f t="shared" si="49"/>
        <v>#N/A</v>
      </c>
      <c r="P172" s="701" t="e">
        <f t="shared" si="49"/>
        <v>#N/A</v>
      </c>
      <c r="Q172" s="701" t="e">
        <f t="shared" si="31"/>
        <v>#N/A</v>
      </c>
      <c r="R172" s="730">
        <f t="shared" si="41"/>
        <v>0</v>
      </c>
      <c r="S172" s="730" t="e">
        <f t="shared" si="42"/>
        <v>#VALUE!</v>
      </c>
      <c r="T172" s="701" t="e">
        <f t="shared" si="43"/>
        <v>#N/A</v>
      </c>
      <c r="U172" s="701" t="e">
        <f t="shared" si="44"/>
        <v>#VALUE!</v>
      </c>
      <c r="V172" s="701" t="e">
        <f t="shared" si="32"/>
        <v>#N/A</v>
      </c>
      <c r="W172" s="701" t="e">
        <f t="shared" si="33"/>
        <v>#VALUE!</v>
      </c>
      <c r="X172" s="701" t="e">
        <f t="shared" si="34"/>
        <v>#VALUE!</v>
      </c>
      <c r="Y172" s="731">
        <f t="shared" si="45"/>
        <v>0</v>
      </c>
      <c r="Z172" s="731" t="e">
        <f t="shared" si="46"/>
        <v>#VALUE!</v>
      </c>
      <c r="AA172" s="732" t="e">
        <f t="shared" si="35"/>
        <v>#VALUE!</v>
      </c>
      <c r="AB172" s="732" t="e">
        <f t="shared" si="47"/>
        <v>#VALUE!</v>
      </c>
      <c r="AC172" s="730">
        <f t="shared" si="50"/>
        <v>0</v>
      </c>
      <c r="AD172" s="730">
        <f t="shared" si="50"/>
        <v>0</v>
      </c>
      <c r="AE172" s="701" t="e">
        <f t="shared" si="37"/>
        <v>#VALUE!</v>
      </c>
      <c r="AF172" s="701" t="e">
        <f t="shared" si="38"/>
        <v>#VALUE!</v>
      </c>
      <c r="AG172" s="701" t="e">
        <f t="shared" si="39"/>
        <v>#VALUE!</v>
      </c>
      <c r="AH172" s="701" t="e">
        <f t="shared" si="40"/>
        <v>#VALUE!</v>
      </c>
      <c r="AI172" s="730" t="e">
        <f>AH172+IF(Inputs!C$39="Electric",Q172/3412,0)</f>
        <v>#VALUE!</v>
      </c>
      <c r="AJ172" s="730" t="e">
        <f t="shared" si="48"/>
        <v>#VALUE!</v>
      </c>
    </row>
    <row r="173" spans="5:36" x14ac:dyDescent="0.2">
      <c r="E173" s="719">
        <v>55</v>
      </c>
      <c r="F173" s="728">
        <v>-5</v>
      </c>
      <c r="G173" s="729" t="e">
        <f>HLOOKUP($B$49, 'Weather Data'!$CC$17:$CZ$80,E173,FALSE)</f>
        <v>#N/A</v>
      </c>
      <c r="H173" s="728" t="str">
        <f>IF(F173&gt;=Inputs!$C$25,"Cooling",IF(F173&lt;=Inputs!$C$30,"Heating","Neither"))</f>
        <v>Heating</v>
      </c>
      <c r="I173" s="728" t="e">
        <f>IF(F173&gt;=Inputs!$D$25,"Cooling",IF(F173&lt;=Inputs!$D$30,"Heating","Neither"))</f>
        <v>#VALUE!</v>
      </c>
      <c r="J173" s="659" t="e">
        <f>IF(H173="Cooling",(F173-Inputs!$C$25)*($V$3)/(Inputs!$C$32-Inputs!$C$25),IF(H173="Heating",(Inputs!$C$30-F173)*($V$15)/(Inputs!$C$30-Inputs!$C$33)/$C$53,0))</f>
        <v>#VALUE!</v>
      </c>
      <c r="K173" s="659" t="e">
        <f>IF(I173="Cooling",(F173-Inputs!$D$25)*($V$4)/(Inputs!$C$32-Inputs!$D$25),IF(I173="Heating",(Inputs!$D$30-F173)*($V$16)/(Inputs!$D$30-Inputs!$C$33)/$C$53,0))</f>
        <v>#VALUE!</v>
      </c>
      <c r="L173" s="659"/>
      <c r="M173" s="701" t="e">
        <f t="shared" si="28"/>
        <v>#VALUE!</v>
      </c>
      <c r="N173" s="701" t="e">
        <f t="shared" si="29"/>
        <v>#VALUE!</v>
      </c>
      <c r="O173" s="701" t="e">
        <f t="shared" si="49"/>
        <v>#N/A</v>
      </c>
      <c r="P173" s="701" t="e">
        <f t="shared" si="49"/>
        <v>#N/A</v>
      </c>
      <c r="Q173" s="701" t="e">
        <f t="shared" si="31"/>
        <v>#N/A</v>
      </c>
      <c r="R173" s="730">
        <f t="shared" si="41"/>
        <v>0</v>
      </c>
      <c r="S173" s="730" t="e">
        <f t="shared" si="42"/>
        <v>#VALUE!</v>
      </c>
      <c r="T173" s="701" t="e">
        <f t="shared" si="43"/>
        <v>#N/A</v>
      </c>
      <c r="U173" s="701" t="e">
        <f t="shared" si="44"/>
        <v>#VALUE!</v>
      </c>
      <c r="V173" s="701" t="e">
        <f t="shared" si="32"/>
        <v>#N/A</v>
      </c>
      <c r="W173" s="701" t="e">
        <f t="shared" si="33"/>
        <v>#VALUE!</v>
      </c>
      <c r="X173" s="701" t="e">
        <f t="shared" si="34"/>
        <v>#VALUE!</v>
      </c>
      <c r="Y173" s="731">
        <f t="shared" si="45"/>
        <v>0</v>
      </c>
      <c r="Z173" s="731" t="e">
        <f t="shared" si="46"/>
        <v>#VALUE!</v>
      </c>
      <c r="AA173" s="732" t="e">
        <f t="shared" si="35"/>
        <v>#VALUE!</v>
      </c>
      <c r="AB173" s="732" t="e">
        <f t="shared" si="47"/>
        <v>#VALUE!</v>
      </c>
      <c r="AC173" s="730">
        <f t="shared" si="50"/>
        <v>0</v>
      </c>
      <c r="AD173" s="730">
        <f t="shared" si="50"/>
        <v>0</v>
      </c>
      <c r="AE173" s="701" t="e">
        <f t="shared" si="37"/>
        <v>#VALUE!</v>
      </c>
      <c r="AF173" s="701" t="e">
        <f t="shared" si="38"/>
        <v>#VALUE!</v>
      </c>
      <c r="AG173" s="701" t="e">
        <f t="shared" si="39"/>
        <v>#VALUE!</v>
      </c>
      <c r="AH173" s="701" t="e">
        <f t="shared" si="40"/>
        <v>#VALUE!</v>
      </c>
      <c r="AI173" s="730" t="e">
        <f>AH173+IF(Inputs!C$39="Electric",Q173/3412,0)</f>
        <v>#VALUE!</v>
      </c>
      <c r="AJ173" s="730" t="e">
        <f t="shared" si="48"/>
        <v>#VALUE!</v>
      </c>
    </row>
    <row r="174" spans="5:36" x14ac:dyDescent="0.2">
      <c r="E174" s="719">
        <v>56</v>
      </c>
      <c r="F174" s="728">
        <v>-7</v>
      </c>
      <c r="G174" s="729" t="e">
        <f>HLOOKUP($B$49, 'Weather Data'!$CC$17:$CZ$80,E174,FALSE)</f>
        <v>#N/A</v>
      </c>
      <c r="H174" s="728" t="str">
        <f>IF(F174&gt;=Inputs!$C$25,"Cooling",IF(F174&lt;=Inputs!$C$30,"Heating","Neither"))</f>
        <v>Heating</v>
      </c>
      <c r="I174" s="728" t="e">
        <f>IF(F174&gt;=Inputs!$D$25,"Cooling",IF(F174&lt;=Inputs!$D$30,"Heating","Neither"))</f>
        <v>#VALUE!</v>
      </c>
      <c r="J174" s="659" t="e">
        <f>IF(H174="Cooling",(F174-Inputs!$C$25)*($V$3)/(Inputs!$C$32-Inputs!$C$25),IF(H174="Heating",(Inputs!$C$30-F174)*($V$15)/(Inputs!$C$30-Inputs!$C$33)/$C$53,0))</f>
        <v>#VALUE!</v>
      </c>
      <c r="K174" s="659" t="e">
        <f>IF(I174="Cooling",(F174-Inputs!$D$25)*($V$4)/(Inputs!$C$32-Inputs!$D$25),IF(I174="Heating",(Inputs!$D$30-F174)*($V$16)/(Inputs!$D$30-Inputs!$C$33)/$C$53,0))</f>
        <v>#VALUE!</v>
      </c>
      <c r="L174" s="659"/>
      <c r="M174" s="701" t="e">
        <f t="shared" si="28"/>
        <v>#VALUE!</v>
      </c>
      <c r="N174" s="701" t="e">
        <f t="shared" si="29"/>
        <v>#VALUE!</v>
      </c>
      <c r="O174" s="701" t="e">
        <f t="shared" si="49"/>
        <v>#N/A</v>
      </c>
      <c r="P174" s="701" t="e">
        <f t="shared" si="49"/>
        <v>#N/A</v>
      </c>
      <c r="Q174" s="701" t="e">
        <f t="shared" si="31"/>
        <v>#N/A</v>
      </c>
      <c r="R174" s="730">
        <f t="shared" si="41"/>
        <v>0</v>
      </c>
      <c r="S174" s="730" t="e">
        <f t="shared" si="42"/>
        <v>#VALUE!</v>
      </c>
      <c r="T174" s="701" t="e">
        <f t="shared" si="43"/>
        <v>#N/A</v>
      </c>
      <c r="U174" s="701" t="e">
        <f t="shared" si="44"/>
        <v>#VALUE!</v>
      </c>
      <c r="V174" s="701" t="e">
        <f t="shared" si="32"/>
        <v>#N/A</v>
      </c>
      <c r="W174" s="701" t="e">
        <f t="shared" si="33"/>
        <v>#VALUE!</v>
      </c>
      <c r="X174" s="701" t="e">
        <f t="shared" si="34"/>
        <v>#VALUE!</v>
      </c>
      <c r="Y174" s="731">
        <f t="shared" si="45"/>
        <v>0</v>
      </c>
      <c r="Z174" s="731" t="e">
        <f t="shared" si="46"/>
        <v>#VALUE!</v>
      </c>
      <c r="AA174" s="732" t="e">
        <f t="shared" si="35"/>
        <v>#VALUE!</v>
      </c>
      <c r="AB174" s="732" t="e">
        <f t="shared" si="47"/>
        <v>#VALUE!</v>
      </c>
      <c r="AC174" s="730">
        <f t="shared" si="50"/>
        <v>0</v>
      </c>
      <c r="AD174" s="730">
        <f t="shared" si="50"/>
        <v>0</v>
      </c>
      <c r="AE174" s="701" t="e">
        <f t="shared" si="37"/>
        <v>#VALUE!</v>
      </c>
      <c r="AF174" s="701" t="e">
        <f t="shared" si="38"/>
        <v>#VALUE!</v>
      </c>
      <c r="AG174" s="701" t="e">
        <f t="shared" si="39"/>
        <v>#VALUE!</v>
      </c>
      <c r="AH174" s="701" t="e">
        <f t="shared" si="40"/>
        <v>#VALUE!</v>
      </c>
      <c r="AI174" s="730" t="e">
        <f>AH174+IF(Inputs!C$39="Electric",Q174/3412,0)</f>
        <v>#VALUE!</v>
      </c>
      <c r="AJ174" s="730" t="e">
        <f t="shared" si="48"/>
        <v>#VALUE!</v>
      </c>
    </row>
    <row r="175" spans="5:36" x14ac:dyDescent="0.2">
      <c r="E175" s="719">
        <v>57</v>
      </c>
      <c r="F175" s="728">
        <v>-9</v>
      </c>
      <c r="G175" s="729" t="e">
        <f>HLOOKUP($B$49, 'Weather Data'!$CC$17:$CZ$80,E175,FALSE)</f>
        <v>#N/A</v>
      </c>
      <c r="H175" s="728" t="str">
        <f>IF(F175&gt;=Inputs!$C$25,"Cooling",IF(F175&lt;=Inputs!$C$30,"Heating","Neither"))</f>
        <v>Heating</v>
      </c>
      <c r="I175" s="728" t="e">
        <f>IF(F175&gt;=Inputs!$D$25,"Cooling",IF(F175&lt;=Inputs!$D$30,"Heating","Neither"))</f>
        <v>#VALUE!</v>
      </c>
      <c r="J175" s="659" t="e">
        <f>IF(H175="Cooling",(F175-Inputs!$C$25)*($V$3)/(Inputs!$C$32-Inputs!$C$25),IF(H175="Heating",(Inputs!$C$30-F175)*($V$15)/(Inputs!$C$30-Inputs!$C$33)/$C$53,0))</f>
        <v>#VALUE!</v>
      </c>
      <c r="K175" s="659" t="e">
        <f>IF(I175="Cooling",(F175-Inputs!$D$25)*($V$4)/(Inputs!$C$32-Inputs!$D$25),IF(I175="Heating",(Inputs!$D$30-F175)*($V$16)/(Inputs!$D$30-Inputs!$C$33)/$C$53,0))</f>
        <v>#VALUE!</v>
      </c>
      <c r="L175" s="659"/>
      <c r="M175" s="701" t="e">
        <f t="shared" si="28"/>
        <v>#VALUE!</v>
      </c>
      <c r="N175" s="701" t="e">
        <f t="shared" si="29"/>
        <v>#VALUE!</v>
      </c>
      <c r="O175" s="701" t="e">
        <f t="shared" si="49"/>
        <v>#N/A</v>
      </c>
      <c r="P175" s="701" t="e">
        <f t="shared" si="49"/>
        <v>#N/A</v>
      </c>
      <c r="Q175" s="701" t="e">
        <f t="shared" si="31"/>
        <v>#N/A</v>
      </c>
      <c r="R175" s="730">
        <f t="shared" si="41"/>
        <v>0</v>
      </c>
      <c r="S175" s="730" t="e">
        <f t="shared" si="42"/>
        <v>#VALUE!</v>
      </c>
      <c r="T175" s="701" t="e">
        <f t="shared" si="43"/>
        <v>#N/A</v>
      </c>
      <c r="U175" s="701" t="e">
        <f t="shared" si="44"/>
        <v>#VALUE!</v>
      </c>
      <c r="V175" s="701" t="e">
        <f t="shared" si="32"/>
        <v>#N/A</v>
      </c>
      <c r="W175" s="701" t="e">
        <f t="shared" si="33"/>
        <v>#VALUE!</v>
      </c>
      <c r="X175" s="701" t="e">
        <f t="shared" si="34"/>
        <v>#VALUE!</v>
      </c>
      <c r="Y175" s="731">
        <f t="shared" si="45"/>
        <v>0</v>
      </c>
      <c r="Z175" s="731" t="e">
        <f t="shared" si="46"/>
        <v>#VALUE!</v>
      </c>
      <c r="AA175" s="732" t="e">
        <f t="shared" si="35"/>
        <v>#VALUE!</v>
      </c>
      <c r="AB175" s="732" t="e">
        <f t="shared" si="47"/>
        <v>#VALUE!</v>
      </c>
      <c r="AC175" s="730">
        <f t="shared" si="50"/>
        <v>0</v>
      </c>
      <c r="AD175" s="730">
        <f t="shared" si="50"/>
        <v>0</v>
      </c>
      <c r="AE175" s="701" t="e">
        <f t="shared" si="37"/>
        <v>#VALUE!</v>
      </c>
      <c r="AF175" s="701" t="e">
        <f t="shared" si="38"/>
        <v>#VALUE!</v>
      </c>
      <c r="AG175" s="701" t="e">
        <f t="shared" si="39"/>
        <v>#VALUE!</v>
      </c>
      <c r="AH175" s="701" t="e">
        <f t="shared" si="40"/>
        <v>#VALUE!</v>
      </c>
      <c r="AI175" s="730" t="e">
        <f>AH175+IF(Inputs!C$39="Electric",Q175/3412,0)</f>
        <v>#VALUE!</v>
      </c>
      <c r="AJ175" s="730" t="e">
        <f t="shared" si="48"/>
        <v>#VALUE!</v>
      </c>
    </row>
    <row r="176" spans="5:36" x14ac:dyDescent="0.2">
      <c r="E176" s="719">
        <v>58</v>
      </c>
      <c r="F176" s="728">
        <v>-11</v>
      </c>
      <c r="G176" s="729" t="e">
        <f>HLOOKUP($B$49, 'Weather Data'!$CC$17:$CZ$80,E176,FALSE)</f>
        <v>#N/A</v>
      </c>
      <c r="H176" s="728" t="str">
        <f>IF(F176&gt;=Inputs!$C$25,"Cooling",IF(F176&lt;=Inputs!$C$30,"Heating","Neither"))</f>
        <v>Heating</v>
      </c>
      <c r="I176" s="728" t="e">
        <f>IF(F176&gt;=Inputs!$D$25,"Cooling",IF(F176&lt;=Inputs!$D$30,"Heating","Neither"))</f>
        <v>#VALUE!</v>
      </c>
      <c r="J176" s="659" t="e">
        <f>IF(H176="Cooling",(F176-Inputs!$C$25)*($V$3)/(Inputs!$C$32-Inputs!$C$25),IF(H176="Heating",(Inputs!$C$30-F176)*($V$15)/(Inputs!$C$30-Inputs!$C$33)/$C$53,0))</f>
        <v>#VALUE!</v>
      </c>
      <c r="K176" s="659" t="e">
        <f>IF(I176="Cooling",(F176-Inputs!$D$25)*($V$4)/(Inputs!$C$32-Inputs!$D$25),IF(I176="Heating",(Inputs!$D$30-F176)*($V$16)/(Inputs!$D$30-Inputs!$C$33)/$C$53,0))</f>
        <v>#VALUE!</v>
      </c>
      <c r="L176" s="659"/>
      <c r="M176" s="701" t="e">
        <f t="shared" si="28"/>
        <v>#VALUE!</v>
      </c>
      <c r="N176" s="701" t="e">
        <f t="shared" si="29"/>
        <v>#VALUE!</v>
      </c>
      <c r="O176" s="701" t="e">
        <f t="shared" si="49"/>
        <v>#N/A</v>
      </c>
      <c r="P176" s="701" t="e">
        <f t="shared" si="49"/>
        <v>#N/A</v>
      </c>
      <c r="Q176" s="701" t="e">
        <f t="shared" si="31"/>
        <v>#N/A</v>
      </c>
      <c r="R176" s="730">
        <f t="shared" si="41"/>
        <v>0</v>
      </c>
      <c r="S176" s="730" t="e">
        <f t="shared" si="42"/>
        <v>#VALUE!</v>
      </c>
      <c r="T176" s="701" t="e">
        <f t="shared" si="43"/>
        <v>#N/A</v>
      </c>
      <c r="U176" s="701" t="e">
        <f t="shared" si="44"/>
        <v>#VALUE!</v>
      </c>
      <c r="V176" s="701" t="e">
        <f t="shared" si="32"/>
        <v>#N/A</v>
      </c>
      <c r="W176" s="701" t="e">
        <f t="shared" si="33"/>
        <v>#VALUE!</v>
      </c>
      <c r="X176" s="701" t="e">
        <f t="shared" si="34"/>
        <v>#VALUE!</v>
      </c>
      <c r="Y176" s="731">
        <f t="shared" si="45"/>
        <v>0</v>
      </c>
      <c r="Z176" s="731" t="e">
        <f t="shared" si="46"/>
        <v>#VALUE!</v>
      </c>
      <c r="AA176" s="732" t="e">
        <f t="shared" si="35"/>
        <v>#VALUE!</v>
      </c>
      <c r="AB176" s="732" t="e">
        <f t="shared" si="47"/>
        <v>#VALUE!</v>
      </c>
      <c r="AC176" s="730">
        <f t="shared" si="50"/>
        <v>0</v>
      </c>
      <c r="AD176" s="730">
        <f t="shared" si="50"/>
        <v>0</v>
      </c>
      <c r="AE176" s="701" t="e">
        <f t="shared" si="37"/>
        <v>#VALUE!</v>
      </c>
      <c r="AF176" s="701" t="e">
        <f t="shared" si="38"/>
        <v>#VALUE!</v>
      </c>
      <c r="AG176" s="701" t="e">
        <f t="shared" si="39"/>
        <v>#VALUE!</v>
      </c>
      <c r="AH176" s="701" t="e">
        <f t="shared" si="40"/>
        <v>#VALUE!</v>
      </c>
      <c r="AI176" s="730" t="e">
        <f>AH176+IF(Inputs!C$39="Electric",Q176/3412,0)</f>
        <v>#VALUE!</v>
      </c>
      <c r="AJ176" s="730" t="e">
        <f t="shared" si="48"/>
        <v>#VALUE!</v>
      </c>
    </row>
    <row r="177" spans="5:36" x14ac:dyDescent="0.2">
      <c r="E177" s="719">
        <v>59</v>
      </c>
      <c r="F177" s="728">
        <v>-13</v>
      </c>
      <c r="G177" s="729" t="e">
        <f>HLOOKUP($B$49, 'Weather Data'!$CC$17:$CZ$80,E177,FALSE)</f>
        <v>#N/A</v>
      </c>
      <c r="H177" s="728" t="str">
        <f>IF(F177&gt;=Inputs!$C$25,"Cooling",IF(F177&lt;=Inputs!$C$30,"Heating","Neither"))</f>
        <v>Heating</v>
      </c>
      <c r="I177" s="728" t="e">
        <f>IF(F177&gt;=Inputs!$D$25,"Cooling",IF(F177&lt;=Inputs!$D$30,"Heating","Neither"))</f>
        <v>#VALUE!</v>
      </c>
      <c r="J177" s="659" t="e">
        <f>IF(H177="Cooling",(F177-Inputs!$C$25)*($V$3)/(Inputs!$C$32-Inputs!$C$25),IF(H177="Heating",(Inputs!$C$30-F177)*($V$15)/(Inputs!$C$30-Inputs!$C$33)/$C$53,0))</f>
        <v>#VALUE!</v>
      </c>
      <c r="K177" s="659" t="e">
        <f>IF(I177="Cooling",(F177-Inputs!$D$25)*($V$4)/(Inputs!$C$32-Inputs!$D$25),IF(I177="Heating",(Inputs!$D$30-F177)*($V$16)/(Inputs!$D$30-Inputs!$C$33)/$C$53,0))</f>
        <v>#VALUE!</v>
      </c>
      <c r="L177" s="659"/>
      <c r="M177" s="701" t="e">
        <f t="shared" si="28"/>
        <v>#VALUE!</v>
      </c>
      <c r="N177" s="701" t="e">
        <f t="shared" si="29"/>
        <v>#VALUE!</v>
      </c>
      <c r="O177" s="701" t="e">
        <f t="shared" si="49"/>
        <v>#N/A</v>
      </c>
      <c r="P177" s="701" t="e">
        <f t="shared" si="49"/>
        <v>#N/A</v>
      </c>
      <c r="Q177" s="701" t="e">
        <f t="shared" si="31"/>
        <v>#N/A</v>
      </c>
      <c r="R177" s="730">
        <f t="shared" si="41"/>
        <v>0</v>
      </c>
      <c r="S177" s="730" t="e">
        <f t="shared" si="42"/>
        <v>#VALUE!</v>
      </c>
      <c r="T177" s="701" t="e">
        <f t="shared" si="43"/>
        <v>#N/A</v>
      </c>
      <c r="U177" s="701" t="e">
        <f t="shared" si="44"/>
        <v>#VALUE!</v>
      </c>
      <c r="V177" s="701" t="e">
        <f t="shared" si="32"/>
        <v>#N/A</v>
      </c>
      <c r="W177" s="701" t="e">
        <f t="shared" si="33"/>
        <v>#VALUE!</v>
      </c>
      <c r="X177" s="701" t="e">
        <f t="shared" si="34"/>
        <v>#VALUE!</v>
      </c>
      <c r="Y177" s="731">
        <f t="shared" si="45"/>
        <v>0</v>
      </c>
      <c r="Z177" s="731" t="e">
        <f t="shared" si="46"/>
        <v>#VALUE!</v>
      </c>
      <c r="AA177" s="732" t="e">
        <f t="shared" si="35"/>
        <v>#VALUE!</v>
      </c>
      <c r="AB177" s="732" t="e">
        <f t="shared" si="47"/>
        <v>#VALUE!</v>
      </c>
      <c r="AC177" s="730">
        <f t="shared" si="50"/>
        <v>0</v>
      </c>
      <c r="AD177" s="730">
        <f t="shared" si="50"/>
        <v>0</v>
      </c>
      <c r="AE177" s="701" t="e">
        <f t="shared" si="37"/>
        <v>#VALUE!</v>
      </c>
      <c r="AF177" s="701" t="e">
        <f t="shared" si="38"/>
        <v>#VALUE!</v>
      </c>
      <c r="AG177" s="701" t="e">
        <f t="shared" si="39"/>
        <v>#VALUE!</v>
      </c>
      <c r="AH177" s="701" t="e">
        <f t="shared" si="40"/>
        <v>#VALUE!</v>
      </c>
      <c r="AI177" s="730" t="e">
        <f>AH177+IF(Inputs!C$39="Electric",Q177/3412,0)</f>
        <v>#VALUE!</v>
      </c>
      <c r="AJ177" s="730" t="e">
        <f t="shared" si="48"/>
        <v>#VALUE!</v>
      </c>
    </row>
    <row r="178" spans="5:36" x14ac:dyDescent="0.2">
      <c r="E178" s="719">
        <v>60</v>
      </c>
      <c r="F178" s="728">
        <v>-15</v>
      </c>
      <c r="G178" s="729" t="e">
        <f>HLOOKUP($B$49, 'Weather Data'!$CC$17:$CZ$80,E178,FALSE)</f>
        <v>#N/A</v>
      </c>
      <c r="H178" s="728" t="str">
        <f>IF(F178&gt;=Inputs!$C$25,"Cooling",IF(F178&lt;=Inputs!$C$30,"Heating","Neither"))</f>
        <v>Heating</v>
      </c>
      <c r="I178" s="728" t="e">
        <f>IF(F178&gt;=Inputs!$D$25,"Cooling",IF(F178&lt;=Inputs!$D$30,"Heating","Neither"))</f>
        <v>#VALUE!</v>
      </c>
      <c r="J178" s="659" t="e">
        <f>IF(H178="Cooling",(F178-Inputs!$C$25)*($V$3)/(Inputs!$C$32-Inputs!$C$25),IF(H178="Heating",(Inputs!$C$30-F178)*($V$15)/(Inputs!$C$30-Inputs!$C$33)/$C$53,0))</f>
        <v>#VALUE!</v>
      </c>
      <c r="K178" s="659" t="e">
        <f>IF(I178="Cooling",(F178-Inputs!$D$25)*($V$4)/(Inputs!$C$32-Inputs!$D$25),IF(I178="Heating",(Inputs!$D$30-F178)*($V$16)/(Inputs!$D$30-Inputs!$C$33)/$C$53,0))</f>
        <v>#VALUE!</v>
      </c>
      <c r="L178" s="659"/>
      <c r="M178" s="701" t="e">
        <f t="shared" si="28"/>
        <v>#VALUE!</v>
      </c>
      <c r="N178" s="701" t="e">
        <f t="shared" si="29"/>
        <v>#VALUE!</v>
      </c>
      <c r="O178" s="701" t="e">
        <f t="shared" si="49"/>
        <v>#N/A</v>
      </c>
      <c r="P178" s="701" t="e">
        <f t="shared" si="49"/>
        <v>#N/A</v>
      </c>
      <c r="Q178" s="701" t="e">
        <f t="shared" si="31"/>
        <v>#N/A</v>
      </c>
      <c r="R178" s="730">
        <f t="shared" si="41"/>
        <v>0</v>
      </c>
      <c r="S178" s="730" t="e">
        <f t="shared" si="42"/>
        <v>#VALUE!</v>
      </c>
      <c r="T178" s="701" t="e">
        <f t="shared" si="43"/>
        <v>#N/A</v>
      </c>
      <c r="U178" s="701" t="e">
        <f t="shared" si="44"/>
        <v>#VALUE!</v>
      </c>
      <c r="V178" s="701" t="e">
        <f t="shared" si="32"/>
        <v>#N/A</v>
      </c>
      <c r="W178" s="701" t="e">
        <f t="shared" si="33"/>
        <v>#VALUE!</v>
      </c>
      <c r="X178" s="701" t="e">
        <f t="shared" si="34"/>
        <v>#VALUE!</v>
      </c>
      <c r="Y178" s="731">
        <f t="shared" si="45"/>
        <v>0</v>
      </c>
      <c r="Z178" s="731" t="e">
        <f t="shared" si="46"/>
        <v>#VALUE!</v>
      </c>
      <c r="AA178" s="732" t="e">
        <f t="shared" si="35"/>
        <v>#VALUE!</v>
      </c>
      <c r="AB178" s="732" t="e">
        <f t="shared" si="47"/>
        <v>#VALUE!</v>
      </c>
      <c r="AC178" s="730">
        <f t="shared" si="50"/>
        <v>0</v>
      </c>
      <c r="AD178" s="730">
        <f t="shared" si="50"/>
        <v>0</v>
      </c>
      <c r="AE178" s="701" t="e">
        <f t="shared" si="37"/>
        <v>#VALUE!</v>
      </c>
      <c r="AF178" s="701" t="e">
        <f t="shared" si="38"/>
        <v>#VALUE!</v>
      </c>
      <c r="AG178" s="701" t="e">
        <f t="shared" si="39"/>
        <v>#VALUE!</v>
      </c>
      <c r="AH178" s="701" t="e">
        <f t="shared" si="40"/>
        <v>#VALUE!</v>
      </c>
      <c r="AI178" s="730" t="e">
        <f>AH178+IF(Inputs!C$39="Electric",Q178/3412,0)</f>
        <v>#VALUE!</v>
      </c>
      <c r="AJ178" s="730" t="e">
        <f t="shared" si="48"/>
        <v>#VALUE!</v>
      </c>
    </row>
    <row r="179" spans="5:36" x14ac:dyDescent="0.2">
      <c r="E179" s="719">
        <v>61</v>
      </c>
      <c r="F179" s="728">
        <v>-17</v>
      </c>
      <c r="G179" s="729" t="e">
        <f>HLOOKUP($B$49, 'Weather Data'!$CC$17:$CZ$80,E179,FALSE)</f>
        <v>#N/A</v>
      </c>
      <c r="H179" s="728" t="str">
        <f>IF(F179&gt;=Inputs!$C$25,"Cooling",IF(F179&lt;=Inputs!$C$30,"Heating","Neither"))</f>
        <v>Heating</v>
      </c>
      <c r="I179" s="728" t="e">
        <f>IF(F179&gt;=Inputs!$D$25,"Cooling",IF(F179&lt;=Inputs!$D$30,"Heating","Neither"))</f>
        <v>#VALUE!</v>
      </c>
      <c r="J179" s="659" t="e">
        <f>IF(H179="Cooling",(F179-Inputs!$C$25)*($V$3)/(Inputs!$C$32-Inputs!$C$25),IF(H179="Heating",(Inputs!$C$30-F179)*($V$15)/(Inputs!$C$30-Inputs!$C$33)/$C$53,0))</f>
        <v>#VALUE!</v>
      </c>
      <c r="K179" s="659" t="e">
        <f>IF(I179="Cooling",(F179-Inputs!$D$25)*($V$4)/(Inputs!$C$32-Inputs!$D$25),IF(I179="Heating",(Inputs!$D$30-F179)*($V$16)/(Inputs!$D$30-Inputs!$C$33)/$C$53,0))</f>
        <v>#VALUE!</v>
      </c>
      <c r="L179" s="659"/>
      <c r="M179" s="701" t="e">
        <f t="shared" si="28"/>
        <v>#VALUE!</v>
      </c>
      <c r="N179" s="701" t="e">
        <f t="shared" si="29"/>
        <v>#VALUE!</v>
      </c>
      <c r="O179" s="701" t="e">
        <f t="shared" si="49"/>
        <v>#N/A</v>
      </c>
      <c r="P179" s="701" t="e">
        <f t="shared" si="49"/>
        <v>#N/A</v>
      </c>
      <c r="Q179" s="701" t="e">
        <f t="shared" si="31"/>
        <v>#N/A</v>
      </c>
      <c r="R179" s="730">
        <f t="shared" si="41"/>
        <v>0</v>
      </c>
      <c r="S179" s="730" t="e">
        <f t="shared" si="42"/>
        <v>#VALUE!</v>
      </c>
      <c r="T179" s="701" t="e">
        <f t="shared" si="43"/>
        <v>#N/A</v>
      </c>
      <c r="U179" s="701" t="e">
        <f t="shared" si="44"/>
        <v>#VALUE!</v>
      </c>
      <c r="V179" s="701" t="e">
        <f t="shared" si="32"/>
        <v>#N/A</v>
      </c>
      <c r="W179" s="701" t="e">
        <f t="shared" si="33"/>
        <v>#VALUE!</v>
      </c>
      <c r="X179" s="701" t="e">
        <f t="shared" si="34"/>
        <v>#VALUE!</v>
      </c>
      <c r="Y179" s="731">
        <f t="shared" si="45"/>
        <v>0</v>
      </c>
      <c r="Z179" s="731" t="e">
        <f t="shared" si="46"/>
        <v>#VALUE!</v>
      </c>
      <c r="AA179" s="732" t="e">
        <f t="shared" si="35"/>
        <v>#VALUE!</v>
      </c>
      <c r="AB179" s="732" t="e">
        <f t="shared" si="47"/>
        <v>#VALUE!</v>
      </c>
      <c r="AC179" s="730">
        <f t="shared" si="50"/>
        <v>0</v>
      </c>
      <c r="AD179" s="730">
        <f t="shared" si="50"/>
        <v>0</v>
      </c>
      <c r="AE179" s="701" t="e">
        <f t="shared" si="37"/>
        <v>#VALUE!</v>
      </c>
      <c r="AF179" s="701" t="e">
        <f t="shared" si="38"/>
        <v>#VALUE!</v>
      </c>
      <c r="AG179" s="701" t="e">
        <f t="shared" si="39"/>
        <v>#VALUE!</v>
      </c>
      <c r="AH179" s="701" t="e">
        <f t="shared" si="40"/>
        <v>#VALUE!</v>
      </c>
      <c r="AI179" s="730" t="e">
        <f>AH179+IF(Inputs!C$39="Electric",Q179/3412,0)</f>
        <v>#VALUE!</v>
      </c>
      <c r="AJ179" s="730" t="e">
        <f t="shared" si="48"/>
        <v>#VALUE!</v>
      </c>
    </row>
    <row r="180" spans="5:36" x14ac:dyDescent="0.2">
      <c r="E180" s="719">
        <v>62</v>
      </c>
      <c r="F180" s="728">
        <v>-19</v>
      </c>
      <c r="G180" s="729" t="e">
        <f>HLOOKUP($B$49, 'Weather Data'!$CC$17:$CZ$80,E180,FALSE)</f>
        <v>#N/A</v>
      </c>
      <c r="H180" s="728" t="str">
        <f>IF(F180&gt;=Inputs!$C$25,"Cooling",IF(F180&lt;=Inputs!$C$30,"Heating","Neither"))</f>
        <v>Heating</v>
      </c>
      <c r="I180" s="728" t="e">
        <f>IF(F180&gt;=Inputs!$D$25,"Cooling",IF(F180&lt;=Inputs!$D$30,"Heating","Neither"))</f>
        <v>#VALUE!</v>
      </c>
      <c r="J180" s="659" t="e">
        <f>IF(H180="Cooling",(F180-Inputs!$C$25)*($V$3)/(Inputs!$C$32-Inputs!$C$25),IF(H180="Heating",(Inputs!$C$30-F180)*($V$15)/(Inputs!$C$30-Inputs!$C$33)/$C$53,0))</f>
        <v>#VALUE!</v>
      </c>
      <c r="K180" s="659" t="e">
        <f>IF(I180="Cooling",(F180-Inputs!$D$25)*($V$4)/(Inputs!$C$32-Inputs!$D$25),IF(I180="Heating",(Inputs!$D$30-F180)*($V$16)/(Inputs!$D$30-Inputs!$C$33)/$C$53,0))</f>
        <v>#VALUE!</v>
      </c>
      <c r="L180" s="659"/>
      <c r="M180" s="701" t="e">
        <f t="shared" si="28"/>
        <v>#VALUE!</v>
      </c>
      <c r="N180" s="701" t="e">
        <f t="shared" si="29"/>
        <v>#VALUE!</v>
      </c>
      <c r="O180" s="701" t="e">
        <f t="shared" si="49"/>
        <v>#N/A</v>
      </c>
      <c r="P180" s="701" t="e">
        <f t="shared" si="49"/>
        <v>#N/A</v>
      </c>
      <c r="Q180" s="701" t="e">
        <f t="shared" si="31"/>
        <v>#N/A</v>
      </c>
      <c r="R180" s="730">
        <f t="shared" si="41"/>
        <v>0</v>
      </c>
      <c r="S180" s="730" t="e">
        <f t="shared" si="42"/>
        <v>#VALUE!</v>
      </c>
      <c r="T180" s="701" t="e">
        <f t="shared" si="43"/>
        <v>#N/A</v>
      </c>
      <c r="U180" s="701" t="e">
        <f t="shared" si="44"/>
        <v>#VALUE!</v>
      </c>
      <c r="V180" s="701" t="e">
        <f t="shared" si="32"/>
        <v>#N/A</v>
      </c>
      <c r="W180" s="701" t="e">
        <f t="shared" si="33"/>
        <v>#VALUE!</v>
      </c>
      <c r="X180" s="701" t="e">
        <f t="shared" si="34"/>
        <v>#VALUE!</v>
      </c>
      <c r="Y180" s="731">
        <f t="shared" si="45"/>
        <v>0</v>
      </c>
      <c r="Z180" s="731" t="e">
        <f t="shared" si="46"/>
        <v>#VALUE!</v>
      </c>
      <c r="AA180" s="732" t="e">
        <f t="shared" si="35"/>
        <v>#VALUE!</v>
      </c>
      <c r="AB180" s="732" t="e">
        <f t="shared" si="47"/>
        <v>#VALUE!</v>
      </c>
      <c r="AC180" s="730">
        <f t="shared" si="50"/>
        <v>0</v>
      </c>
      <c r="AD180" s="730">
        <f t="shared" si="50"/>
        <v>0</v>
      </c>
      <c r="AE180" s="701" t="e">
        <f t="shared" si="37"/>
        <v>#VALUE!</v>
      </c>
      <c r="AF180" s="701" t="e">
        <f t="shared" si="38"/>
        <v>#VALUE!</v>
      </c>
      <c r="AG180" s="701" t="e">
        <f t="shared" si="39"/>
        <v>#VALUE!</v>
      </c>
      <c r="AH180" s="701" t="e">
        <f t="shared" si="40"/>
        <v>#VALUE!</v>
      </c>
      <c r="AI180" s="730" t="e">
        <f>AH180+IF(Inputs!C$39="Electric",Q180/3412,0)</f>
        <v>#VALUE!</v>
      </c>
      <c r="AJ180" s="730" t="e">
        <f t="shared" si="48"/>
        <v>#VALUE!</v>
      </c>
    </row>
    <row r="181" spans="5:36" x14ac:dyDescent="0.2">
      <c r="E181" s="719">
        <v>63</v>
      </c>
      <c r="F181" s="728">
        <v>-21</v>
      </c>
      <c r="G181" s="729" t="e">
        <f>HLOOKUP($B$49, 'Weather Data'!$CC$17:$CZ$80,E181,FALSE)</f>
        <v>#N/A</v>
      </c>
      <c r="H181" s="728" t="str">
        <f>IF(F181&gt;=Inputs!$C$25,"Cooling",IF(F181&lt;=Inputs!$C$30,"Heating","Neither"))</f>
        <v>Heating</v>
      </c>
      <c r="I181" s="728" t="e">
        <f>IF(F181&gt;=Inputs!$D$25,"Cooling",IF(F181&lt;=Inputs!$D$30,"Heating","Neither"))</f>
        <v>#VALUE!</v>
      </c>
      <c r="J181" s="659" t="e">
        <f>IF(H181="Cooling",(F181-Inputs!$C$25)*($V$3)/(Inputs!$C$32-Inputs!$C$25),IF(H181="Heating",(Inputs!$C$30-F181)*($V$15)/(Inputs!$C$30-Inputs!$C$33)/$C$53,0))</f>
        <v>#VALUE!</v>
      </c>
      <c r="K181" s="659" t="e">
        <f>IF(I181="Cooling",(F181-Inputs!$D$25)*($V$4)/(Inputs!$C$32-Inputs!$D$25),IF(I181="Heating",(Inputs!$D$30-F181)*($V$16)/(Inputs!$D$30-Inputs!$C$33)/$C$53,0))</f>
        <v>#VALUE!</v>
      </c>
      <c r="L181" s="659"/>
      <c r="M181" s="701" t="e">
        <f t="shared" si="28"/>
        <v>#VALUE!</v>
      </c>
      <c r="N181" s="701" t="e">
        <f t="shared" si="29"/>
        <v>#VALUE!</v>
      </c>
      <c r="O181" s="701" t="e">
        <f t="shared" si="49"/>
        <v>#N/A</v>
      </c>
      <c r="P181" s="701" t="e">
        <f t="shared" si="49"/>
        <v>#N/A</v>
      </c>
      <c r="Q181" s="701" t="e">
        <f t="shared" si="31"/>
        <v>#N/A</v>
      </c>
      <c r="R181" s="730">
        <f t="shared" si="41"/>
        <v>0</v>
      </c>
      <c r="S181" s="730" t="e">
        <f t="shared" si="42"/>
        <v>#VALUE!</v>
      </c>
      <c r="T181" s="701" t="e">
        <f t="shared" si="43"/>
        <v>#N/A</v>
      </c>
      <c r="U181" s="701" t="e">
        <f t="shared" si="44"/>
        <v>#VALUE!</v>
      </c>
      <c r="V181" s="701" t="e">
        <f t="shared" si="32"/>
        <v>#N/A</v>
      </c>
      <c r="W181" s="701" t="e">
        <f t="shared" si="33"/>
        <v>#VALUE!</v>
      </c>
      <c r="X181" s="701" t="e">
        <f t="shared" si="34"/>
        <v>#VALUE!</v>
      </c>
      <c r="Y181" s="731">
        <f t="shared" si="45"/>
        <v>0</v>
      </c>
      <c r="Z181" s="731" t="e">
        <f t="shared" si="46"/>
        <v>#VALUE!</v>
      </c>
      <c r="AA181" s="732" t="e">
        <f t="shared" si="35"/>
        <v>#VALUE!</v>
      </c>
      <c r="AB181" s="732" t="e">
        <f t="shared" si="47"/>
        <v>#VALUE!</v>
      </c>
      <c r="AC181" s="730">
        <f t="shared" si="50"/>
        <v>0</v>
      </c>
      <c r="AD181" s="730">
        <f t="shared" si="50"/>
        <v>0</v>
      </c>
      <c r="AE181" s="701" t="e">
        <f t="shared" si="37"/>
        <v>#VALUE!</v>
      </c>
      <c r="AF181" s="701" t="e">
        <f t="shared" si="38"/>
        <v>#VALUE!</v>
      </c>
      <c r="AG181" s="701" t="e">
        <f t="shared" si="39"/>
        <v>#VALUE!</v>
      </c>
      <c r="AH181" s="701" t="e">
        <f t="shared" si="40"/>
        <v>#VALUE!</v>
      </c>
      <c r="AI181" s="730" t="e">
        <f>AH181+IF(Inputs!C$39="Electric",Q181/3412,0)</f>
        <v>#VALUE!</v>
      </c>
      <c r="AJ181" s="730" t="e">
        <f t="shared" si="48"/>
        <v>#VALUE!</v>
      </c>
    </row>
    <row r="182" spans="5:36" x14ac:dyDescent="0.2">
      <c r="E182" s="719">
        <v>64</v>
      </c>
      <c r="F182" s="728">
        <v>-23</v>
      </c>
      <c r="G182" s="729" t="e">
        <f>HLOOKUP($B$49, 'Weather Data'!$CC$17:$CZ$80,E182,FALSE)</f>
        <v>#N/A</v>
      </c>
      <c r="H182" s="728" t="str">
        <f>IF(F182&gt;=Inputs!$C$25,"Cooling",IF(F182&lt;=Inputs!$C$30,"Heating","Neither"))</f>
        <v>Heating</v>
      </c>
      <c r="I182" s="728" t="e">
        <f>IF(F182&gt;=Inputs!$D$25,"Cooling",IF(F182&lt;=Inputs!$D$30,"Heating","Neither"))</f>
        <v>#VALUE!</v>
      </c>
      <c r="J182" s="659" t="e">
        <f>IF(H182="Cooling",(F182-Inputs!$C$25)*($V$3)/(Inputs!$C$32-Inputs!$C$25),IF(H182="Heating",(Inputs!$C$30-F182)*($V$15)/(Inputs!$C$30-Inputs!$C$33)/$C$53,0))</f>
        <v>#VALUE!</v>
      </c>
      <c r="K182" s="659" t="e">
        <f>IF(I182="Cooling",(F182-Inputs!$D$25)*($V$4)/(Inputs!$C$32-Inputs!$D$25),IF(I182="Heating",(Inputs!$D$30-F182)*($V$16)/(Inputs!$D$30-Inputs!$C$33)/$C$53,0))</f>
        <v>#VALUE!</v>
      </c>
      <c r="L182" s="659"/>
      <c r="M182" s="701" t="e">
        <f t="shared" si="28"/>
        <v>#VALUE!</v>
      </c>
      <c r="N182" s="701" t="e">
        <f t="shared" si="29"/>
        <v>#VALUE!</v>
      </c>
      <c r="O182" s="701" t="e">
        <f t="shared" si="49"/>
        <v>#N/A</v>
      </c>
      <c r="P182" s="701" t="e">
        <f t="shared" si="49"/>
        <v>#N/A</v>
      </c>
      <c r="Q182" s="701" t="e">
        <f t="shared" si="31"/>
        <v>#N/A</v>
      </c>
      <c r="R182" s="730">
        <f t="shared" si="41"/>
        <v>0</v>
      </c>
      <c r="S182" s="730" t="e">
        <f t="shared" si="42"/>
        <v>#VALUE!</v>
      </c>
      <c r="T182" s="701" t="e">
        <f t="shared" si="43"/>
        <v>#N/A</v>
      </c>
      <c r="U182" s="701" t="e">
        <f t="shared" si="44"/>
        <v>#VALUE!</v>
      </c>
      <c r="V182" s="701" t="e">
        <f t="shared" si="32"/>
        <v>#N/A</v>
      </c>
      <c r="W182" s="701" t="e">
        <f t="shared" si="33"/>
        <v>#VALUE!</v>
      </c>
      <c r="X182" s="701" t="e">
        <f t="shared" si="34"/>
        <v>#VALUE!</v>
      </c>
      <c r="Y182" s="731">
        <f t="shared" si="45"/>
        <v>0</v>
      </c>
      <c r="Z182" s="731" t="e">
        <f t="shared" si="46"/>
        <v>#VALUE!</v>
      </c>
      <c r="AA182" s="732" t="e">
        <f t="shared" si="35"/>
        <v>#VALUE!</v>
      </c>
      <c r="AB182" s="732" t="e">
        <f t="shared" si="47"/>
        <v>#VALUE!</v>
      </c>
      <c r="AC182" s="730">
        <f t="shared" si="50"/>
        <v>0</v>
      </c>
      <c r="AD182" s="730">
        <f t="shared" si="50"/>
        <v>0</v>
      </c>
      <c r="AE182" s="701" t="e">
        <f t="shared" si="37"/>
        <v>#VALUE!</v>
      </c>
      <c r="AF182" s="701" t="e">
        <f t="shared" si="38"/>
        <v>#VALUE!</v>
      </c>
      <c r="AG182" s="701" t="e">
        <f t="shared" si="39"/>
        <v>#VALUE!</v>
      </c>
      <c r="AH182" s="701" t="e">
        <f t="shared" si="40"/>
        <v>#VALUE!</v>
      </c>
      <c r="AI182" s="730" t="e">
        <f>AH182+IF(Inputs!C$39="Electric",Q182/3412,0)</f>
        <v>#VALUE!</v>
      </c>
      <c r="AJ182" s="730" t="e">
        <f t="shared" si="48"/>
        <v>#VALUE!</v>
      </c>
    </row>
    <row r="183" spans="5:36" x14ac:dyDescent="0.2">
      <c r="E183" s="648"/>
      <c r="F183" s="137" t="s">
        <v>399</v>
      </c>
      <c r="G183" s="138" t="e">
        <f>SUM(G120:G182)</f>
        <v>#N/A</v>
      </c>
      <c r="H183" s="139"/>
      <c r="I183" s="139"/>
      <c r="J183" s="139" t="e">
        <f>SUMPRODUCT(J120:J182,$G$47:$G$109)</f>
        <v>#VALUE!</v>
      </c>
      <c r="K183" s="139" t="e">
        <f>SUMPRODUCT(K120:K182,$G$47:$G$109)</f>
        <v>#VALUE!</v>
      </c>
      <c r="L183" s="139"/>
      <c r="M183" s="139"/>
      <c r="N183" s="139"/>
      <c r="O183" s="744"/>
      <c r="P183" s="744"/>
      <c r="Q183" s="745" t="e">
        <f>SUM(Q120:Q182)</f>
        <v>#N/A</v>
      </c>
      <c r="R183" s="717"/>
      <c r="S183" s="754"/>
      <c r="T183" s="719"/>
      <c r="U183" s="719"/>
      <c r="V183" s="719"/>
      <c r="W183" s="719"/>
      <c r="X183" s="719"/>
      <c r="Y183" s="751"/>
      <c r="Z183" s="752"/>
      <c r="AA183" s="719"/>
      <c r="AB183" s="719"/>
      <c r="AC183" s="719"/>
      <c r="AD183" s="719"/>
      <c r="AE183" s="749" t="e">
        <f>SUM(AE120:AE182)</f>
        <v>#VALUE!</v>
      </c>
      <c r="AF183" s="744"/>
      <c r="AG183" s="717" t="s">
        <v>400</v>
      </c>
      <c r="AH183" s="719" t="s">
        <v>401</v>
      </c>
      <c r="AI183" s="758" t="e">
        <f>SUM(AI120:AI182)</f>
        <v>#VALUE!</v>
      </c>
      <c r="AJ183" s="758" t="e">
        <f>SUM(AJ120:AJ182)</f>
        <v>#VALUE!</v>
      </c>
    </row>
    <row r="184" spans="5:36" x14ac:dyDescent="0.2">
      <c r="E184" s="648"/>
      <c r="F184" s="648"/>
      <c r="G184" s="648"/>
      <c r="H184" s="648"/>
      <c r="I184" s="648"/>
      <c r="J184" s="648"/>
      <c r="K184" s="648"/>
      <c r="L184" s="648"/>
      <c r="M184" s="648"/>
      <c r="N184" s="648"/>
      <c r="O184" s="744"/>
      <c r="P184" s="744"/>
      <c r="Q184" s="648"/>
      <c r="R184" s="717"/>
      <c r="S184" s="754"/>
      <c r="T184" s="648"/>
      <c r="U184" s="648"/>
      <c r="V184" s="648"/>
      <c r="W184" s="648"/>
      <c r="X184" s="648"/>
      <c r="Y184" s="751"/>
      <c r="Z184" s="752"/>
      <c r="AA184" s="648"/>
      <c r="AB184" s="648"/>
      <c r="AC184" s="648"/>
      <c r="AD184" s="648"/>
      <c r="AE184" s="744"/>
      <c r="AF184" s="744"/>
      <c r="AG184" s="648"/>
      <c r="AH184" s="719"/>
      <c r="AI184" s="683" t="str">
        <f>AI119</f>
        <v>▲kWh Total</v>
      </c>
      <c r="AJ184" s="683" t="str">
        <f>AJ119</f>
        <v>▲MMbtu Total</v>
      </c>
    </row>
    <row r="185" spans="5:36" x14ac:dyDescent="0.2">
      <c r="E185" s="648"/>
      <c r="F185" s="648"/>
      <c r="G185" s="755"/>
      <c r="H185" s="755"/>
      <c r="I185" s="755"/>
      <c r="J185" s="755"/>
      <c r="K185" s="755"/>
      <c r="L185" s="755"/>
      <c r="M185" s="755"/>
      <c r="N185" s="755"/>
      <c r="O185" s="648"/>
      <c r="P185" s="648"/>
      <c r="Q185" s="648"/>
      <c r="R185" s="755"/>
      <c r="S185" s="648"/>
      <c r="T185" s="648"/>
      <c r="U185" s="648"/>
      <c r="V185" s="648"/>
      <c r="W185" s="648"/>
      <c r="X185" s="648"/>
      <c r="Y185" s="648"/>
      <c r="Z185" s="648"/>
      <c r="AA185" s="648"/>
      <c r="AB185" s="648"/>
      <c r="AC185" s="648"/>
      <c r="AD185" s="648"/>
      <c r="AE185" s="648"/>
      <c r="AF185" s="648"/>
      <c r="AG185" s="648"/>
      <c r="AH185" s="648"/>
      <c r="AI185" s="712"/>
      <c r="AJ185" s="712"/>
    </row>
    <row r="186" spans="5:36" x14ac:dyDescent="0.2">
      <c r="E186" s="648"/>
      <c r="F186" s="648"/>
      <c r="G186" s="755"/>
      <c r="H186" s="755"/>
      <c r="I186" s="755"/>
      <c r="J186" s="755"/>
      <c r="K186" s="755"/>
      <c r="L186" s="755"/>
      <c r="M186" s="755"/>
      <c r="N186" s="755"/>
      <c r="O186" s="648"/>
      <c r="P186" s="648"/>
      <c r="Q186" s="648"/>
      <c r="R186" s="648"/>
      <c r="S186" s="648"/>
      <c r="T186" s="648"/>
      <c r="U186" s="648"/>
      <c r="V186" s="648"/>
      <c r="W186" s="648"/>
      <c r="X186" s="648"/>
      <c r="Y186" s="648"/>
      <c r="Z186" s="648"/>
      <c r="AA186" s="648"/>
      <c r="AB186" s="648"/>
      <c r="AC186" s="648"/>
      <c r="AD186" s="648"/>
      <c r="AE186" s="648"/>
      <c r="AF186" s="648"/>
      <c r="AG186" s="648"/>
      <c r="AH186" s="648"/>
      <c r="AI186" s="712"/>
      <c r="AJ186" s="712"/>
    </row>
    <row r="187" spans="5:36" x14ac:dyDescent="0.2">
      <c r="E187" s="648"/>
      <c r="F187" s="648"/>
      <c r="G187" s="755"/>
      <c r="H187" s="755"/>
      <c r="I187" s="755"/>
      <c r="J187" s="755"/>
      <c r="K187" s="755"/>
      <c r="L187" s="755"/>
      <c r="M187" s="755"/>
      <c r="N187" s="755"/>
      <c r="O187" s="648"/>
      <c r="P187" s="648"/>
      <c r="Q187" s="648"/>
      <c r="R187" s="648"/>
      <c r="S187" s="648"/>
      <c r="T187" s="648"/>
      <c r="U187" s="648"/>
      <c r="V187" s="648"/>
      <c r="W187" s="648"/>
      <c r="X187" s="648"/>
      <c r="Y187" s="648"/>
      <c r="Z187" s="648"/>
      <c r="AA187" s="648"/>
      <c r="AB187" s="648"/>
      <c r="AC187" s="648"/>
      <c r="AD187" s="648"/>
      <c r="AE187" s="648"/>
      <c r="AF187" s="648"/>
      <c r="AG187" s="648"/>
      <c r="AH187" s="648"/>
      <c r="AI187" s="712"/>
      <c r="AJ187" s="712"/>
    </row>
    <row r="188" spans="5:36" x14ac:dyDescent="0.2">
      <c r="E188" s="648"/>
      <c r="F188" s="648"/>
      <c r="G188" s="755"/>
      <c r="H188" s="755"/>
      <c r="I188" s="755"/>
      <c r="J188" s="755"/>
      <c r="K188" s="755"/>
      <c r="L188" s="755"/>
      <c r="M188" s="755"/>
      <c r="N188" s="755"/>
      <c r="O188" s="648"/>
      <c r="P188" s="648"/>
      <c r="Q188" s="648"/>
      <c r="R188" s="648"/>
      <c r="S188" s="648"/>
      <c r="T188" s="648"/>
      <c r="U188" s="648"/>
      <c r="V188" s="648"/>
      <c r="W188" s="648"/>
      <c r="X188" s="648"/>
      <c r="Y188" s="648"/>
      <c r="Z188" s="648"/>
      <c r="AA188" s="648"/>
      <c r="AB188" s="648"/>
      <c r="AC188" s="648"/>
      <c r="AD188" s="648"/>
      <c r="AE188" s="648"/>
      <c r="AF188" s="648"/>
      <c r="AG188" s="648"/>
      <c r="AH188" s="648"/>
      <c r="AI188" s="712"/>
      <c r="AJ188" s="712"/>
    </row>
    <row r="189" spans="5:36" x14ac:dyDescent="0.2">
      <c r="E189" s="648"/>
      <c r="F189" s="648"/>
      <c r="G189" s="755"/>
      <c r="H189" s="755"/>
      <c r="I189" s="755"/>
      <c r="J189" s="755"/>
      <c r="K189" s="755"/>
      <c r="L189" s="755"/>
      <c r="M189" s="755"/>
      <c r="N189" s="755"/>
      <c r="O189" s="648"/>
      <c r="P189" s="648"/>
      <c r="Q189" s="648"/>
      <c r="R189" s="648"/>
      <c r="S189" s="648"/>
      <c r="T189" s="648"/>
      <c r="U189" s="648"/>
      <c r="V189" s="648"/>
      <c r="W189" s="648"/>
      <c r="X189" s="648"/>
      <c r="Y189" s="648"/>
      <c r="Z189" s="648"/>
      <c r="AA189" s="648"/>
      <c r="AB189" s="648"/>
      <c r="AC189" s="648"/>
      <c r="AD189" s="648"/>
      <c r="AE189" s="648"/>
      <c r="AF189" s="648"/>
      <c r="AG189" s="648"/>
      <c r="AH189" s="648"/>
      <c r="AI189" s="712"/>
      <c r="AJ189" s="712"/>
    </row>
    <row r="190" spans="5:36" x14ac:dyDescent="0.2">
      <c r="E190" s="648"/>
      <c r="F190" s="648"/>
      <c r="G190" s="755"/>
      <c r="H190" s="755"/>
      <c r="I190" s="755"/>
      <c r="J190" s="755"/>
      <c r="K190" s="755"/>
      <c r="L190" s="755"/>
      <c r="M190" s="755"/>
      <c r="N190" s="755"/>
      <c r="O190" s="648"/>
      <c r="P190" s="648"/>
      <c r="Q190" s="648"/>
      <c r="R190" s="648"/>
      <c r="S190" s="648"/>
      <c r="T190" s="648"/>
      <c r="U190" s="648"/>
      <c r="V190" s="648"/>
      <c r="W190" s="648"/>
      <c r="X190" s="648"/>
      <c r="Y190" s="648"/>
      <c r="Z190" s="648"/>
      <c r="AA190" s="648"/>
      <c r="AB190" s="648"/>
      <c r="AC190" s="648"/>
      <c r="AD190" s="648"/>
      <c r="AE190" s="648"/>
      <c r="AF190" s="648"/>
      <c r="AG190" s="648"/>
      <c r="AH190" s="648"/>
      <c r="AI190" s="712"/>
      <c r="AJ190" s="712"/>
    </row>
    <row r="191" spans="5:36" x14ac:dyDescent="0.2">
      <c r="E191" s="648"/>
      <c r="F191" s="648"/>
      <c r="G191" s="755"/>
      <c r="H191" s="755"/>
      <c r="I191" s="755"/>
      <c r="J191" s="755"/>
      <c r="K191" s="755"/>
      <c r="L191" s="755"/>
      <c r="M191" s="755"/>
      <c r="N191" s="755"/>
      <c r="O191" s="648"/>
      <c r="P191" s="648"/>
      <c r="Q191" s="648"/>
      <c r="R191" s="648"/>
      <c r="S191" s="648"/>
      <c r="T191" s="648"/>
      <c r="U191" s="648"/>
      <c r="V191" s="648"/>
      <c r="W191" s="648"/>
      <c r="X191" s="648"/>
      <c r="Y191" s="648"/>
      <c r="Z191" s="648"/>
      <c r="AA191" s="648"/>
      <c r="AB191" s="648"/>
      <c r="AC191" s="648"/>
      <c r="AD191" s="648"/>
      <c r="AE191" s="648"/>
      <c r="AF191" s="648"/>
      <c r="AG191" s="648"/>
      <c r="AH191" s="648"/>
      <c r="AI191" s="712"/>
      <c r="AJ191" s="712"/>
    </row>
    <row r="192" spans="5:36" x14ac:dyDescent="0.2">
      <c r="E192" s="648"/>
      <c r="F192" s="648"/>
      <c r="G192" s="755"/>
      <c r="H192" s="755"/>
      <c r="I192" s="755"/>
      <c r="J192" s="755"/>
      <c r="K192" s="755"/>
      <c r="L192" s="755"/>
      <c r="M192" s="755"/>
      <c r="N192" s="755"/>
      <c r="O192" s="648"/>
      <c r="P192" s="648"/>
      <c r="Q192" s="648"/>
      <c r="R192" s="648"/>
      <c r="S192" s="648"/>
      <c r="T192" s="648"/>
      <c r="U192" s="648"/>
      <c r="V192" s="648"/>
      <c r="W192" s="648"/>
      <c r="X192" s="648"/>
      <c r="Y192" s="648"/>
      <c r="Z192" s="648"/>
      <c r="AA192" s="648"/>
      <c r="AB192" s="648"/>
      <c r="AC192" s="648"/>
      <c r="AD192" s="648"/>
      <c r="AE192" s="648"/>
      <c r="AF192" s="648"/>
      <c r="AG192" s="648"/>
      <c r="AH192" s="648"/>
      <c r="AI192" s="712"/>
      <c r="AJ192" s="712"/>
    </row>
    <row r="193" spans="7:40" x14ac:dyDescent="0.2">
      <c r="G193" s="755"/>
      <c r="H193" s="755"/>
      <c r="I193" s="755"/>
      <c r="J193" s="755"/>
      <c r="K193" s="755"/>
      <c r="L193" s="755"/>
      <c r="M193" s="755"/>
      <c r="N193" s="755"/>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c r="AJ193" s="648"/>
      <c r="AK193" s="712"/>
      <c r="AL193" s="712"/>
      <c r="AM193" s="648"/>
      <c r="AN193" s="648"/>
    </row>
    <row r="194" spans="7:40" x14ac:dyDescent="0.2">
      <c r="G194" s="755"/>
      <c r="H194" s="755"/>
      <c r="I194" s="755"/>
      <c r="J194" s="755"/>
      <c r="K194" s="755"/>
      <c r="L194" s="755"/>
      <c r="M194" s="755"/>
      <c r="N194" s="755"/>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712"/>
      <c r="AL194" s="712"/>
      <c r="AM194" s="648"/>
      <c r="AN194" s="648"/>
    </row>
    <row r="195" spans="7:40" x14ac:dyDescent="0.2">
      <c r="G195" s="755"/>
      <c r="H195" s="755"/>
      <c r="I195" s="755"/>
      <c r="J195" s="755"/>
      <c r="K195" s="755"/>
      <c r="L195" s="755"/>
      <c r="M195" s="755"/>
      <c r="N195" s="755"/>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712"/>
      <c r="AL195" s="712"/>
      <c r="AM195" s="648"/>
      <c r="AN195" s="648"/>
    </row>
    <row r="196" spans="7:40" x14ac:dyDescent="0.2">
      <c r="G196" s="755"/>
      <c r="H196" s="755"/>
      <c r="I196" s="755"/>
      <c r="J196" s="755"/>
      <c r="K196" s="755"/>
      <c r="L196" s="755"/>
      <c r="M196" s="755"/>
      <c r="N196" s="755"/>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712"/>
      <c r="AL196" s="712"/>
      <c r="AM196" s="648"/>
      <c r="AN196" s="648"/>
    </row>
    <row r="197" spans="7:40" x14ac:dyDescent="0.2">
      <c r="G197" s="755"/>
      <c r="H197" s="755"/>
      <c r="I197" s="755"/>
      <c r="J197" s="755"/>
      <c r="K197" s="755"/>
      <c r="L197" s="755"/>
      <c r="M197" s="755"/>
      <c r="N197" s="755"/>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c r="AJ197" s="648"/>
      <c r="AK197" s="712"/>
      <c r="AL197" s="712"/>
      <c r="AM197" s="648"/>
      <c r="AN197" s="648"/>
    </row>
    <row r="198" spans="7:40" x14ac:dyDescent="0.2">
      <c r="G198" s="755"/>
      <c r="H198" s="755"/>
      <c r="I198" s="755"/>
      <c r="J198" s="755"/>
      <c r="K198" s="755"/>
      <c r="L198" s="755"/>
      <c r="M198" s="755"/>
      <c r="N198" s="755"/>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712"/>
      <c r="AL198" s="712"/>
      <c r="AM198" s="648"/>
      <c r="AN198" s="648"/>
    </row>
    <row r="199" spans="7:40" x14ac:dyDescent="0.2">
      <c r="G199" s="755"/>
      <c r="H199" s="755"/>
      <c r="I199" s="755"/>
      <c r="J199" s="755"/>
      <c r="K199" s="755"/>
      <c r="L199" s="755"/>
      <c r="M199" s="755"/>
      <c r="N199" s="755"/>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c r="AJ199" s="648"/>
      <c r="AK199" s="712"/>
      <c r="AL199" s="712"/>
      <c r="AM199" s="648"/>
      <c r="AN199" s="648"/>
    </row>
    <row r="200" spans="7:40" x14ac:dyDescent="0.2">
      <c r="G200" s="755"/>
      <c r="H200" s="755"/>
      <c r="I200" s="755"/>
      <c r="J200" s="755"/>
      <c r="K200" s="755"/>
      <c r="L200" s="755"/>
      <c r="M200" s="755"/>
      <c r="N200" s="755"/>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712"/>
      <c r="AL200" s="712"/>
      <c r="AM200" s="648"/>
      <c r="AN200" s="648"/>
    </row>
    <row r="201" spans="7:40" x14ac:dyDescent="0.2">
      <c r="G201" s="755"/>
      <c r="H201" s="755"/>
      <c r="I201" s="755"/>
      <c r="J201" s="755"/>
      <c r="K201" s="755"/>
      <c r="L201" s="755"/>
      <c r="M201" s="755"/>
      <c r="N201" s="755"/>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712"/>
      <c r="AL201" s="712"/>
      <c r="AM201" s="648"/>
      <c r="AN201" s="648"/>
    </row>
    <row r="202" spans="7:40" x14ac:dyDescent="0.2">
      <c r="G202" s="755"/>
      <c r="H202" s="755"/>
      <c r="I202" s="755"/>
      <c r="J202" s="755"/>
      <c r="K202" s="755"/>
      <c r="L202" s="755"/>
      <c r="M202" s="755"/>
      <c r="N202" s="755"/>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712"/>
      <c r="AL202" s="712"/>
      <c r="AM202" s="648"/>
      <c r="AN202" s="648"/>
    </row>
    <row r="203" spans="7:40" x14ac:dyDescent="0.2">
      <c r="G203" s="755"/>
      <c r="H203" s="755"/>
      <c r="I203" s="755"/>
      <c r="J203" s="755"/>
      <c r="K203" s="755"/>
      <c r="L203" s="755"/>
      <c r="M203" s="755"/>
      <c r="N203" s="755"/>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c r="AJ203" s="648"/>
      <c r="AK203" s="712"/>
      <c r="AL203" s="712"/>
      <c r="AM203" s="648"/>
      <c r="AN203" s="648"/>
    </row>
    <row r="204" spans="7:40" x14ac:dyDescent="0.2">
      <c r="G204" s="755"/>
      <c r="H204" s="755"/>
      <c r="I204" s="755"/>
      <c r="J204" s="755"/>
      <c r="K204" s="755"/>
      <c r="L204" s="755"/>
      <c r="M204" s="755"/>
      <c r="N204" s="755"/>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c r="AJ204" s="648"/>
      <c r="AK204" s="712"/>
      <c r="AL204" s="712"/>
      <c r="AM204" s="648"/>
      <c r="AN204" s="648"/>
    </row>
    <row r="205" spans="7:40" x14ac:dyDescent="0.2">
      <c r="G205" s="755"/>
      <c r="H205" s="755"/>
      <c r="I205" s="755"/>
      <c r="J205" s="755"/>
      <c r="K205" s="755"/>
      <c r="L205" s="755"/>
      <c r="M205" s="755"/>
      <c r="N205" s="755"/>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c r="AJ205" s="648"/>
      <c r="AK205" s="648"/>
      <c r="AL205" s="648"/>
      <c r="AM205" s="712"/>
      <c r="AN205" s="712"/>
    </row>
    <row r="206" spans="7:40" x14ac:dyDescent="0.2">
      <c r="G206" s="755"/>
      <c r="H206" s="755"/>
      <c r="I206" s="755"/>
      <c r="J206" s="755"/>
      <c r="K206" s="755"/>
      <c r="L206" s="755"/>
      <c r="M206" s="755"/>
      <c r="N206" s="755"/>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c r="AJ206" s="648"/>
      <c r="AK206" s="648"/>
      <c r="AL206" s="648"/>
      <c r="AM206" s="712"/>
      <c r="AN206" s="712"/>
    </row>
    <row r="207" spans="7:40" x14ac:dyDescent="0.2">
      <c r="G207" s="755"/>
      <c r="H207" s="755"/>
      <c r="I207" s="755"/>
      <c r="J207" s="755"/>
      <c r="K207" s="755"/>
      <c r="L207" s="755"/>
      <c r="M207" s="755"/>
      <c r="N207" s="755"/>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712"/>
      <c r="AN207" s="712"/>
    </row>
    <row r="208" spans="7:40" x14ac:dyDescent="0.2">
      <c r="G208" s="755"/>
      <c r="H208" s="755"/>
      <c r="I208" s="755"/>
      <c r="J208" s="755"/>
      <c r="K208" s="755"/>
      <c r="L208" s="755"/>
      <c r="M208" s="755"/>
      <c r="N208" s="755"/>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712"/>
      <c r="AN208" s="712"/>
    </row>
    <row r="209" spans="7:40" x14ac:dyDescent="0.2">
      <c r="G209" s="755"/>
      <c r="H209" s="755"/>
      <c r="I209" s="755"/>
      <c r="J209" s="755"/>
      <c r="K209" s="755"/>
      <c r="L209" s="755"/>
      <c r="M209" s="755"/>
      <c r="N209" s="755"/>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712"/>
      <c r="AN209" s="712"/>
    </row>
    <row r="210" spans="7:40" x14ac:dyDescent="0.2">
      <c r="G210" s="755"/>
      <c r="H210" s="755"/>
      <c r="I210" s="755"/>
      <c r="J210" s="755"/>
      <c r="K210" s="755"/>
      <c r="L210" s="755"/>
      <c r="M210" s="755"/>
      <c r="N210" s="755"/>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712"/>
      <c r="AN210" s="712"/>
    </row>
    <row r="211" spans="7:40" x14ac:dyDescent="0.2">
      <c r="G211" s="755"/>
      <c r="H211" s="755"/>
      <c r="I211" s="755"/>
      <c r="J211" s="755"/>
      <c r="K211" s="755"/>
      <c r="L211" s="755"/>
      <c r="M211" s="755"/>
      <c r="N211" s="755"/>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712"/>
      <c r="AN211" s="712"/>
    </row>
    <row r="212" spans="7:40" x14ac:dyDescent="0.2">
      <c r="G212" s="755"/>
      <c r="H212" s="755"/>
      <c r="I212" s="755"/>
      <c r="J212" s="755"/>
      <c r="K212" s="755"/>
      <c r="L212" s="755"/>
      <c r="M212" s="755"/>
      <c r="N212" s="755"/>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712"/>
      <c r="AN212" s="712"/>
    </row>
    <row r="213" spans="7:40" x14ac:dyDescent="0.2">
      <c r="G213" s="755"/>
      <c r="H213" s="755"/>
      <c r="I213" s="755"/>
      <c r="J213" s="755"/>
      <c r="K213" s="755"/>
      <c r="L213" s="755"/>
      <c r="M213" s="755"/>
      <c r="N213" s="755"/>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712"/>
      <c r="AN213" s="712"/>
    </row>
    <row r="214" spans="7:40" x14ac:dyDescent="0.2">
      <c r="G214" s="755"/>
      <c r="H214" s="755"/>
      <c r="I214" s="755"/>
      <c r="J214" s="755"/>
      <c r="K214" s="755"/>
      <c r="L214" s="755"/>
      <c r="M214" s="755"/>
      <c r="N214" s="755"/>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712"/>
      <c r="AN214" s="712"/>
    </row>
    <row r="215" spans="7:40" x14ac:dyDescent="0.2">
      <c r="G215" s="755"/>
      <c r="H215" s="755"/>
      <c r="I215" s="755"/>
      <c r="J215" s="755"/>
      <c r="K215" s="755"/>
      <c r="L215" s="755"/>
      <c r="M215" s="755"/>
      <c r="N215" s="755"/>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712"/>
      <c r="AN215" s="712"/>
    </row>
    <row r="216" spans="7:40" x14ac:dyDescent="0.2">
      <c r="G216" s="755"/>
      <c r="H216" s="755"/>
      <c r="I216" s="755"/>
      <c r="J216" s="755"/>
      <c r="K216" s="755"/>
      <c r="L216" s="755"/>
      <c r="M216" s="755"/>
      <c r="N216" s="755"/>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712"/>
      <c r="AN216" s="712"/>
    </row>
    <row r="217" spans="7:40" x14ac:dyDescent="0.2">
      <c r="G217" s="755"/>
      <c r="H217" s="755"/>
      <c r="I217" s="755"/>
      <c r="J217" s="755"/>
      <c r="K217" s="755"/>
      <c r="L217" s="755"/>
      <c r="M217" s="755"/>
      <c r="N217" s="755"/>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712"/>
      <c r="AN217" s="712"/>
    </row>
    <row r="218" spans="7:40" x14ac:dyDescent="0.2">
      <c r="G218" s="755"/>
      <c r="H218" s="755"/>
      <c r="I218" s="755"/>
      <c r="J218" s="755"/>
      <c r="K218" s="755"/>
      <c r="L218" s="755"/>
      <c r="M218" s="755"/>
      <c r="N218" s="755"/>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712"/>
      <c r="AN218" s="712"/>
    </row>
    <row r="219" spans="7:40" x14ac:dyDescent="0.2">
      <c r="G219" s="755"/>
      <c r="H219" s="755"/>
      <c r="I219" s="755"/>
      <c r="J219" s="755"/>
      <c r="K219" s="755"/>
      <c r="L219" s="755"/>
      <c r="M219" s="755"/>
      <c r="N219" s="755"/>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712"/>
      <c r="AN219" s="712"/>
    </row>
    <row r="220" spans="7:40" x14ac:dyDescent="0.2">
      <c r="G220" s="755"/>
      <c r="H220" s="755"/>
      <c r="I220" s="755"/>
      <c r="J220" s="755"/>
      <c r="K220" s="755"/>
      <c r="L220" s="755"/>
      <c r="M220" s="755"/>
      <c r="N220" s="755"/>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712"/>
      <c r="AN220" s="712"/>
    </row>
    <row r="221" spans="7:40" x14ac:dyDescent="0.2">
      <c r="G221" s="755"/>
      <c r="H221" s="755"/>
      <c r="I221" s="755"/>
      <c r="J221" s="755"/>
      <c r="K221" s="755"/>
      <c r="L221" s="755"/>
      <c r="M221" s="755"/>
      <c r="N221" s="755"/>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712"/>
      <c r="AN221" s="712"/>
    </row>
    <row r="222" spans="7:40" x14ac:dyDescent="0.2">
      <c r="G222" s="755"/>
      <c r="H222" s="755"/>
      <c r="I222" s="755"/>
      <c r="J222" s="755"/>
      <c r="K222" s="755"/>
      <c r="L222" s="755"/>
      <c r="M222" s="755"/>
      <c r="N222" s="755"/>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712"/>
      <c r="AN222" s="712"/>
    </row>
    <row r="223" spans="7:40" x14ac:dyDescent="0.2">
      <c r="G223" s="755"/>
      <c r="H223" s="755"/>
      <c r="I223" s="755"/>
      <c r="J223" s="755"/>
      <c r="K223" s="755"/>
      <c r="L223" s="755"/>
      <c r="M223" s="755"/>
      <c r="N223" s="755"/>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712"/>
      <c r="AN223" s="712"/>
    </row>
    <row r="224" spans="7:40" x14ac:dyDescent="0.2">
      <c r="G224" s="755"/>
      <c r="H224" s="755"/>
      <c r="I224" s="755"/>
      <c r="J224" s="755"/>
      <c r="K224" s="755"/>
      <c r="L224" s="755"/>
      <c r="M224" s="755"/>
      <c r="N224" s="755"/>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712"/>
      <c r="AN224" s="712"/>
    </row>
    <row r="225" spans="7:40" x14ac:dyDescent="0.2">
      <c r="G225" s="755"/>
      <c r="H225" s="755"/>
      <c r="I225" s="755"/>
      <c r="J225" s="755"/>
      <c r="K225" s="755"/>
      <c r="L225" s="755"/>
      <c r="M225" s="755"/>
      <c r="N225" s="755"/>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c r="AJ225" s="648"/>
      <c r="AK225" s="648"/>
      <c r="AL225" s="648"/>
      <c r="AM225" s="712"/>
      <c r="AN225" s="712"/>
    </row>
    <row r="226" spans="7:40" x14ac:dyDescent="0.2">
      <c r="G226" s="755"/>
      <c r="H226" s="755"/>
      <c r="I226" s="755"/>
      <c r="J226" s="755"/>
      <c r="K226" s="755"/>
      <c r="L226" s="755"/>
      <c r="M226" s="755"/>
      <c r="N226" s="755"/>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c r="AJ226" s="648"/>
      <c r="AK226" s="648"/>
      <c r="AL226" s="648"/>
      <c r="AM226" s="712"/>
      <c r="AN226" s="712"/>
    </row>
    <row r="227" spans="7:40" x14ac:dyDescent="0.2">
      <c r="G227" s="755"/>
      <c r="H227" s="755"/>
      <c r="I227" s="755"/>
      <c r="J227" s="755"/>
      <c r="K227" s="755"/>
      <c r="L227" s="755"/>
      <c r="M227" s="755"/>
      <c r="N227" s="755"/>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c r="AJ227" s="648"/>
      <c r="AK227" s="648"/>
      <c r="AL227" s="648"/>
      <c r="AM227" s="648"/>
      <c r="AN227" s="648"/>
    </row>
    <row r="228" spans="7:40" x14ac:dyDescent="0.2">
      <c r="G228" s="755"/>
      <c r="H228" s="755"/>
      <c r="I228" s="755"/>
      <c r="J228" s="755"/>
      <c r="K228" s="755"/>
      <c r="L228" s="755"/>
      <c r="M228" s="755"/>
      <c r="N228" s="755"/>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c r="AJ228" s="648"/>
      <c r="AK228" s="648"/>
      <c r="AL228" s="648"/>
      <c r="AM228" s="648"/>
      <c r="AN228" s="648"/>
    </row>
    <row r="229" spans="7:40" x14ac:dyDescent="0.2">
      <c r="G229" s="755"/>
      <c r="H229" s="755"/>
      <c r="I229" s="755"/>
      <c r="J229" s="755"/>
      <c r="K229" s="755"/>
      <c r="L229" s="755"/>
      <c r="M229" s="755"/>
      <c r="N229" s="755"/>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row>
    <row r="230" spans="7:40" x14ac:dyDescent="0.2">
      <c r="G230" s="755"/>
      <c r="H230" s="755"/>
      <c r="I230" s="755"/>
      <c r="J230" s="755"/>
      <c r="K230" s="755"/>
      <c r="L230" s="755"/>
      <c r="M230" s="755"/>
      <c r="N230" s="755"/>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row>
    <row r="231" spans="7:40" x14ac:dyDescent="0.2">
      <c r="G231" s="755"/>
      <c r="H231" s="755"/>
      <c r="I231" s="755"/>
      <c r="J231" s="755"/>
      <c r="K231" s="755"/>
      <c r="L231" s="755"/>
      <c r="M231" s="755"/>
      <c r="N231" s="755"/>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c r="AJ231" s="648"/>
      <c r="AK231" s="648"/>
      <c r="AL231" s="648"/>
      <c r="AM231" s="648"/>
      <c r="AN231" s="648"/>
    </row>
    <row r="232" spans="7:40" x14ac:dyDescent="0.2">
      <c r="G232" s="755"/>
      <c r="H232" s="755"/>
      <c r="I232" s="755"/>
      <c r="J232" s="755"/>
      <c r="K232" s="755"/>
      <c r="L232" s="755"/>
      <c r="M232" s="755"/>
      <c r="N232" s="755"/>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row>
    <row r="233" spans="7:40" x14ac:dyDescent="0.2">
      <c r="G233" s="755"/>
      <c r="H233" s="755"/>
      <c r="I233" s="755"/>
      <c r="J233" s="755"/>
      <c r="K233" s="755"/>
      <c r="L233" s="755"/>
      <c r="M233" s="755"/>
      <c r="N233" s="755"/>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row>
    <row r="234" spans="7:40" x14ac:dyDescent="0.2">
      <c r="G234" s="755"/>
      <c r="H234" s="755"/>
      <c r="I234" s="755"/>
      <c r="J234" s="755"/>
      <c r="K234" s="755"/>
      <c r="L234" s="755"/>
      <c r="M234" s="755"/>
      <c r="N234" s="755"/>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row>
    <row r="235" spans="7:40" x14ac:dyDescent="0.2">
      <c r="G235" s="755"/>
      <c r="H235" s="755"/>
      <c r="I235" s="755"/>
      <c r="J235" s="755"/>
      <c r="K235" s="755"/>
      <c r="L235" s="755"/>
      <c r="M235" s="755"/>
      <c r="N235" s="755"/>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row>
    <row r="236" spans="7:40" x14ac:dyDescent="0.2">
      <c r="G236" s="755"/>
      <c r="H236" s="755"/>
      <c r="I236" s="755"/>
      <c r="J236" s="755"/>
      <c r="K236" s="755"/>
      <c r="L236" s="755"/>
      <c r="M236" s="755"/>
      <c r="N236" s="755"/>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c r="AJ236" s="648"/>
      <c r="AK236" s="648"/>
      <c r="AL236" s="648"/>
      <c r="AM236" s="648"/>
      <c r="AN236" s="648"/>
    </row>
    <row r="237" spans="7:40" x14ac:dyDescent="0.2">
      <c r="G237" s="755"/>
      <c r="H237" s="755"/>
      <c r="I237" s="755"/>
      <c r="J237" s="755"/>
      <c r="K237" s="755"/>
      <c r="L237" s="755"/>
      <c r="M237" s="755"/>
      <c r="N237" s="755"/>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row>
    <row r="238" spans="7:40" x14ac:dyDescent="0.2">
      <c r="G238" s="755"/>
      <c r="H238" s="755"/>
      <c r="I238" s="755"/>
      <c r="J238" s="755"/>
      <c r="K238" s="755"/>
      <c r="L238" s="755"/>
      <c r="M238" s="755"/>
      <c r="N238" s="755"/>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row>
    <row r="239" spans="7:40" x14ac:dyDescent="0.2">
      <c r="G239" s="755"/>
      <c r="H239" s="755"/>
      <c r="I239" s="755"/>
      <c r="J239" s="755"/>
      <c r="K239" s="755"/>
      <c r="L239" s="755"/>
      <c r="M239" s="755"/>
      <c r="N239" s="755"/>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row>
    <row r="240" spans="7:40" x14ac:dyDescent="0.2">
      <c r="G240" s="755"/>
      <c r="H240" s="755"/>
      <c r="I240" s="755"/>
      <c r="J240" s="755"/>
      <c r="K240" s="755"/>
      <c r="L240" s="755"/>
      <c r="M240" s="755"/>
      <c r="N240" s="755"/>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row>
    <row r="241" spans="7:14" x14ac:dyDescent="0.2">
      <c r="G241" s="755"/>
      <c r="H241" s="755"/>
      <c r="I241" s="755"/>
      <c r="J241" s="755"/>
      <c r="K241" s="755"/>
      <c r="L241" s="755"/>
      <c r="M241" s="755"/>
      <c r="N241" s="755"/>
    </row>
    <row r="242" spans="7:14" x14ac:dyDescent="0.2">
      <c r="G242" s="755"/>
      <c r="H242" s="755"/>
      <c r="I242" s="755"/>
      <c r="J242" s="755"/>
      <c r="K242" s="755"/>
      <c r="L242" s="755"/>
      <c r="M242" s="755"/>
      <c r="N242" s="755"/>
    </row>
    <row r="243" spans="7:14" x14ac:dyDescent="0.2">
      <c r="G243" s="755"/>
      <c r="H243" s="755"/>
      <c r="I243" s="755"/>
      <c r="J243" s="755"/>
      <c r="K243" s="755"/>
      <c r="L243" s="755"/>
      <c r="M243" s="755"/>
      <c r="N243" s="755"/>
    </row>
    <row r="244" spans="7:14" x14ac:dyDescent="0.2">
      <c r="G244" s="755"/>
      <c r="H244" s="755"/>
      <c r="I244" s="755"/>
      <c r="J244" s="755"/>
      <c r="K244" s="755"/>
      <c r="L244" s="755"/>
      <c r="M244" s="755"/>
      <c r="N244" s="755"/>
    </row>
    <row r="245" spans="7:14" x14ac:dyDescent="0.2">
      <c r="G245" s="755"/>
      <c r="H245" s="755"/>
      <c r="I245" s="755"/>
      <c r="J245" s="755"/>
      <c r="K245" s="755"/>
      <c r="L245" s="755"/>
      <c r="M245" s="755"/>
      <c r="N245" s="755"/>
    </row>
    <row r="246" spans="7:14" x14ac:dyDescent="0.2">
      <c r="G246" s="755"/>
      <c r="H246" s="755"/>
      <c r="I246" s="755"/>
      <c r="J246" s="755"/>
      <c r="K246" s="755"/>
      <c r="L246" s="755"/>
      <c r="M246" s="755"/>
      <c r="N246" s="755"/>
    </row>
    <row r="247" spans="7:14" x14ac:dyDescent="0.2">
      <c r="G247" s="755"/>
      <c r="H247" s="755"/>
      <c r="I247" s="755"/>
      <c r="J247" s="755"/>
      <c r="K247" s="755"/>
      <c r="L247" s="755"/>
      <c r="M247" s="755"/>
      <c r="N247" s="755"/>
    </row>
    <row r="248" spans="7:14" x14ac:dyDescent="0.2">
      <c r="G248" s="755"/>
      <c r="H248" s="755"/>
      <c r="I248" s="755"/>
      <c r="J248" s="755"/>
      <c r="K248" s="755"/>
      <c r="L248" s="755"/>
      <c r="M248" s="755"/>
      <c r="N248" s="755"/>
    </row>
    <row r="249" spans="7:14" x14ac:dyDescent="0.2">
      <c r="G249" s="755"/>
      <c r="H249" s="755"/>
      <c r="I249" s="755"/>
      <c r="J249" s="755"/>
      <c r="K249" s="755"/>
      <c r="L249" s="755"/>
      <c r="M249" s="755"/>
      <c r="N249" s="755"/>
    </row>
    <row r="250" spans="7:14" x14ac:dyDescent="0.2">
      <c r="G250" s="755"/>
      <c r="H250" s="755"/>
      <c r="I250" s="755"/>
      <c r="J250" s="755"/>
      <c r="K250" s="755"/>
      <c r="L250" s="755"/>
      <c r="M250" s="755"/>
      <c r="N250" s="755"/>
    </row>
    <row r="251" spans="7:14" x14ac:dyDescent="0.2">
      <c r="G251" s="755"/>
      <c r="H251" s="755"/>
      <c r="I251" s="755"/>
      <c r="J251" s="755"/>
      <c r="K251" s="755"/>
      <c r="L251" s="755"/>
      <c r="M251" s="755"/>
      <c r="N251" s="755"/>
    </row>
    <row r="252" spans="7:14" x14ac:dyDescent="0.2">
      <c r="G252" s="755"/>
      <c r="H252" s="755"/>
      <c r="I252" s="755"/>
      <c r="J252" s="755"/>
      <c r="K252" s="755"/>
      <c r="L252" s="755"/>
      <c r="M252" s="755"/>
      <c r="N252" s="755"/>
    </row>
    <row r="253" spans="7:14" x14ac:dyDescent="0.2">
      <c r="G253" s="755"/>
      <c r="H253" s="755"/>
      <c r="I253" s="755"/>
      <c r="J253" s="755"/>
      <c r="K253" s="755"/>
      <c r="L253" s="755"/>
      <c r="M253" s="755"/>
      <c r="N253" s="755"/>
    </row>
    <row r="254" spans="7:14" x14ac:dyDescent="0.2">
      <c r="G254" s="755"/>
      <c r="H254" s="755"/>
      <c r="I254" s="755"/>
      <c r="J254" s="755"/>
      <c r="K254" s="755"/>
      <c r="L254" s="755"/>
      <c r="M254" s="755"/>
      <c r="N254" s="755"/>
    </row>
    <row r="255" spans="7:14" x14ac:dyDescent="0.2">
      <c r="G255" s="755"/>
      <c r="H255" s="755"/>
      <c r="I255" s="755"/>
      <c r="J255" s="755"/>
      <c r="K255" s="755"/>
      <c r="L255" s="755"/>
      <c r="M255" s="755"/>
      <c r="N255" s="755"/>
    </row>
    <row r="256" spans="7:14" x14ac:dyDescent="0.2">
      <c r="G256" s="755"/>
      <c r="H256" s="755"/>
      <c r="I256" s="755"/>
      <c r="J256" s="755"/>
      <c r="K256" s="755"/>
      <c r="L256" s="755"/>
      <c r="M256" s="755"/>
      <c r="N256" s="755"/>
    </row>
    <row r="257" spans="7:14" x14ac:dyDescent="0.2">
      <c r="G257" s="755"/>
      <c r="H257" s="755"/>
      <c r="I257" s="755"/>
      <c r="J257" s="755"/>
      <c r="K257" s="755"/>
      <c r="L257" s="755"/>
      <c r="M257" s="755"/>
      <c r="N257" s="755"/>
    </row>
    <row r="258" spans="7:14" x14ac:dyDescent="0.2">
      <c r="G258" s="755"/>
      <c r="H258" s="755"/>
      <c r="I258" s="755"/>
      <c r="J258" s="755"/>
      <c r="K258" s="755"/>
      <c r="L258" s="755"/>
      <c r="M258" s="755"/>
      <c r="N258" s="755"/>
    </row>
    <row r="259" spans="7:14" x14ac:dyDescent="0.2">
      <c r="G259" s="755"/>
      <c r="H259" s="755"/>
      <c r="I259" s="755"/>
      <c r="J259" s="755"/>
      <c r="K259" s="755"/>
      <c r="L259" s="755"/>
      <c r="M259" s="755"/>
      <c r="N259" s="755"/>
    </row>
    <row r="260" spans="7:14" x14ac:dyDescent="0.2">
      <c r="G260" s="755"/>
      <c r="H260" s="755"/>
      <c r="I260" s="755"/>
      <c r="J260" s="755"/>
      <c r="K260" s="755"/>
      <c r="L260" s="755"/>
      <c r="M260" s="755"/>
      <c r="N260" s="755"/>
    </row>
    <row r="261" spans="7:14" x14ac:dyDescent="0.2">
      <c r="G261" s="755"/>
      <c r="H261" s="755"/>
      <c r="I261" s="755"/>
      <c r="J261" s="755"/>
      <c r="K261" s="755"/>
      <c r="L261" s="755"/>
      <c r="M261" s="755"/>
      <c r="N261" s="755"/>
    </row>
    <row r="262" spans="7:14" x14ac:dyDescent="0.2">
      <c r="G262" s="755"/>
      <c r="H262" s="755"/>
      <c r="I262" s="755"/>
      <c r="J262" s="755"/>
      <c r="K262" s="755"/>
      <c r="L262" s="755"/>
      <c r="M262" s="755"/>
      <c r="N262" s="755"/>
    </row>
    <row r="263" spans="7:14" x14ac:dyDescent="0.2">
      <c r="G263" s="755"/>
      <c r="H263" s="755"/>
      <c r="I263" s="755"/>
      <c r="J263" s="755"/>
      <c r="K263" s="755"/>
      <c r="L263" s="755"/>
      <c r="M263" s="755"/>
      <c r="N263" s="755"/>
    </row>
    <row r="264" spans="7:14" x14ac:dyDescent="0.2">
      <c r="G264" s="755"/>
      <c r="H264" s="755"/>
      <c r="I264" s="755"/>
      <c r="J264" s="755"/>
      <c r="K264" s="755"/>
      <c r="L264" s="755"/>
      <c r="M264" s="755"/>
      <c r="N264" s="755"/>
    </row>
    <row r="265" spans="7:14" x14ac:dyDescent="0.2">
      <c r="G265" s="755"/>
      <c r="H265" s="755"/>
      <c r="I265" s="755"/>
      <c r="J265" s="755"/>
      <c r="K265" s="755"/>
      <c r="L265" s="755"/>
      <c r="M265" s="755"/>
      <c r="N265" s="755"/>
    </row>
    <row r="266" spans="7:14" x14ac:dyDescent="0.2">
      <c r="G266" s="755"/>
      <c r="H266" s="755"/>
      <c r="I266" s="755"/>
      <c r="J266" s="755"/>
      <c r="K266" s="755"/>
      <c r="L266" s="755"/>
      <c r="M266" s="755"/>
      <c r="N266" s="755"/>
    </row>
    <row r="267" spans="7:14" x14ac:dyDescent="0.2">
      <c r="G267" s="755"/>
      <c r="H267" s="755"/>
      <c r="I267" s="755"/>
      <c r="J267" s="755"/>
      <c r="K267" s="755"/>
      <c r="L267" s="755"/>
      <c r="M267" s="755"/>
      <c r="N267" s="755"/>
    </row>
    <row r="268" spans="7:14" x14ac:dyDescent="0.2">
      <c r="G268" s="755"/>
      <c r="H268" s="755"/>
      <c r="I268" s="755"/>
      <c r="J268" s="755"/>
      <c r="K268" s="755"/>
      <c r="L268" s="755"/>
      <c r="M268" s="755"/>
      <c r="N268" s="755"/>
    </row>
    <row r="269" spans="7:14" x14ac:dyDescent="0.2">
      <c r="G269" s="755"/>
      <c r="H269" s="755"/>
      <c r="I269" s="755"/>
      <c r="J269" s="755"/>
      <c r="K269" s="755"/>
      <c r="L269" s="755"/>
      <c r="M269" s="755"/>
      <c r="N269" s="755"/>
    </row>
    <row r="270" spans="7:14" x14ac:dyDescent="0.2">
      <c r="G270" s="755"/>
      <c r="H270" s="755"/>
      <c r="I270" s="755"/>
      <c r="J270" s="755"/>
      <c r="K270" s="755"/>
      <c r="L270" s="755"/>
      <c r="M270" s="755"/>
      <c r="N270" s="755"/>
    </row>
    <row r="271" spans="7:14" x14ac:dyDescent="0.2">
      <c r="G271" s="755"/>
      <c r="H271" s="755"/>
      <c r="I271" s="755"/>
      <c r="J271" s="755"/>
      <c r="K271" s="755"/>
      <c r="L271" s="755"/>
      <c r="M271" s="755"/>
      <c r="N271" s="755"/>
    </row>
    <row r="272" spans="7:14" x14ac:dyDescent="0.2">
      <c r="G272" s="755"/>
      <c r="H272" s="755"/>
      <c r="I272" s="755"/>
      <c r="J272" s="755"/>
      <c r="K272" s="755"/>
      <c r="L272" s="755"/>
      <c r="M272" s="755"/>
      <c r="N272" s="755"/>
    </row>
    <row r="273" spans="7:14" x14ac:dyDescent="0.2">
      <c r="G273" s="755"/>
      <c r="H273" s="755"/>
      <c r="I273" s="755"/>
      <c r="J273" s="755"/>
      <c r="K273" s="755"/>
      <c r="L273" s="755"/>
      <c r="M273" s="755"/>
      <c r="N273" s="755"/>
    </row>
    <row r="274" spans="7:14" x14ac:dyDescent="0.2">
      <c r="G274" s="755"/>
      <c r="H274" s="755"/>
      <c r="I274" s="755"/>
      <c r="J274" s="755"/>
      <c r="K274" s="755"/>
      <c r="L274" s="755"/>
      <c r="M274" s="755"/>
      <c r="N274" s="755"/>
    </row>
    <row r="275" spans="7:14" x14ac:dyDescent="0.2">
      <c r="G275" s="755"/>
      <c r="H275" s="755"/>
      <c r="I275" s="755"/>
      <c r="J275" s="755"/>
      <c r="K275" s="755"/>
      <c r="L275" s="755"/>
      <c r="M275" s="755"/>
      <c r="N275" s="755"/>
    </row>
    <row r="276" spans="7:14" x14ac:dyDescent="0.2">
      <c r="G276" s="755"/>
      <c r="H276" s="755"/>
      <c r="I276" s="755"/>
      <c r="J276" s="755"/>
      <c r="K276" s="755"/>
      <c r="L276" s="755"/>
      <c r="M276" s="755"/>
      <c r="N276" s="755"/>
    </row>
    <row r="277" spans="7:14" x14ac:dyDescent="0.2">
      <c r="G277" s="755"/>
      <c r="H277" s="755"/>
      <c r="I277" s="755"/>
      <c r="J277" s="755"/>
      <c r="K277" s="755"/>
      <c r="L277" s="755"/>
      <c r="M277" s="755"/>
      <c r="N277" s="755"/>
    </row>
    <row r="278" spans="7:14" x14ac:dyDescent="0.2">
      <c r="G278" s="755"/>
      <c r="H278" s="755"/>
      <c r="I278" s="755"/>
      <c r="J278" s="755"/>
      <c r="K278" s="755"/>
      <c r="L278" s="755"/>
      <c r="M278" s="755"/>
      <c r="N278" s="755"/>
    </row>
    <row r="279" spans="7:14" x14ac:dyDescent="0.2">
      <c r="G279" s="755"/>
      <c r="H279" s="755"/>
      <c r="I279" s="755"/>
      <c r="J279" s="755"/>
      <c r="K279" s="755"/>
      <c r="L279" s="755"/>
      <c r="M279" s="755"/>
      <c r="N279" s="755"/>
    </row>
    <row r="280" spans="7:14" x14ac:dyDescent="0.2">
      <c r="G280" s="755"/>
      <c r="H280" s="755"/>
      <c r="I280" s="755"/>
      <c r="J280" s="755"/>
      <c r="K280" s="755"/>
      <c r="L280" s="755"/>
      <c r="M280" s="755"/>
      <c r="N280" s="755"/>
    </row>
    <row r="281" spans="7:14" x14ac:dyDescent="0.2">
      <c r="G281" s="755"/>
      <c r="H281" s="755"/>
      <c r="I281" s="755"/>
      <c r="J281" s="755"/>
      <c r="K281" s="755"/>
      <c r="L281" s="755"/>
      <c r="M281" s="755"/>
      <c r="N281" s="755"/>
    </row>
    <row r="282" spans="7:14" x14ac:dyDescent="0.2">
      <c r="G282" s="755"/>
      <c r="H282" s="755"/>
      <c r="I282" s="755"/>
      <c r="J282" s="755"/>
      <c r="K282" s="755"/>
      <c r="L282" s="755"/>
      <c r="M282" s="755"/>
      <c r="N282" s="755"/>
    </row>
    <row r="283" spans="7:14" x14ac:dyDescent="0.2">
      <c r="G283" s="755"/>
      <c r="H283" s="755"/>
      <c r="I283" s="755"/>
      <c r="J283" s="755"/>
      <c r="K283" s="755"/>
      <c r="L283" s="755"/>
      <c r="M283" s="755"/>
      <c r="N283" s="755"/>
    </row>
    <row r="284" spans="7:14" x14ac:dyDescent="0.2">
      <c r="G284" s="755"/>
      <c r="H284" s="755"/>
      <c r="I284" s="755"/>
      <c r="J284" s="755"/>
      <c r="K284" s="755"/>
      <c r="L284" s="755"/>
      <c r="M284" s="755"/>
      <c r="N284" s="755"/>
    </row>
    <row r="285" spans="7:14" x14ac:dyDescent="0.2">
      <c r="G285" s="755"/>
      <c r="H285" s="755"/>
      <c r="I285" s="755"/>
      <c r="J285" s="755"/>
      <c r="K285" s="755"/>
      <c r="L285" s="755"/>
      <c r="M285" s="755"/>
      <c r="N285" s="755"/>
    </row>
    <row r="286" spans="7:14" x14ac:dyDescent="0.2">
      <c r="G286" s="755"/>
      <c r="H286" s="755"/>
      <c r="I286" s="755"/>
      <c r="J286" s="755"/>
      <c r="K286" s="755"/>
      <c r="L286" s="755"/>
      <c r="M286" s="755"/>
      <c r="N286" s="755"/>
    </row>
    <row r="287" spans="7:14" x14ac:dyDescent="0.2">
      <c r="G287" s="755"/>
      <c r="H287" s="755"/>
      <c r="I287" s="755"/>
      <c r="J287" s="755"/>
      <c r="K287" s="755"/>
      <c r="L287" s="755"/>
      <c r="M287" s="755"/>
      <c r="N287" s="755"/>
    </row>
    <row r="288" spans="7:14" x14ac:dyDescent="0.2">
      <c r="G288" s="755"/>
      <c r="H288" s="755"/>
      <c r="I288" s="755"/>
      <c r="J288" s="755"/>
      <c r="K288" s="755"/>
      <c r="L288" s="755"/>
      <c r="M288" s="755"/>
      <c r="N288" s="755"/>
    </row>
  </sheetData>
  <mergeCells count="8">
    <mergeCell ref="AI45:AJ45"/>
    <mergeCell ref="M118:Q118"/>
    <mergeCell ref="B8:E8"/>
    <mergeCell ref="B12:E12"/>
    <mergeCell ref="P35:S35"/>
    <mergeCell ref="Q36:R36"/>
    <mergeCell ref="P37:P38"/>
    <mergeCell ref="M45:Q45"/>
  </mergeCells>
  <conditionalFormatting sqref="H47:H109">
    <cfRule type="cellIs" dxfId="43" priority="7" operator="equal">
      <formula>"Cooling"</formula>
    </cfRule>
    <cfRule type="cellIs" dxfId="42" priority="8" operator="equal">
      <formula>"Heating"</formula>
    </cfRule>
  </conditionalFormatting>
  <conditionalFormatting sqref="H120:H182">
    <cfRule type="cellIs" dxfId="41" priority="5" operator="equal">
      <formula>"Cooling"</formula>
    </cfRule>
    <cfRule type="cellIs" dxfId="40" priority="6" operator="equal">
      <formula>"Heating"</formula>
    </cfRule>
  </conditionalFormatting>
  <conditionalFormatting sqref="I47:I109">
    <cfRule type="cellIs" dxfId="39" priority="3" operator="equal">
      <formula>"Cooling"</formula>
    </cfRule>
    <cfRule type="cellIs" dxfId="38" priority="4" operator="equal">
      <formula>"Heating"</formula>
    </cfRule>
  </conditionalFormatting>
  <conditionalFormatting sqref="I120:I182">
    <cfRule type="cellIs" dxfId="37" priority="1" operator="equal">
      <formula>"Cooling"</formula>
    </cfRule>
    <cfRule type="cellIs" dxfId="36" priority="2" operator="equal">
      <formula>"Heating"</formula>
    </cfRule>
  </conditionalFormatting>
  <pageMargins left="0.25" right="0.25" top="0.75" bottom="0.75" header="0.3" footer="0.3"/>
  <pageSetup scale="15" orientation="landscape" r:id="rId1"/>
  <headerFooter>
    <oddFooter>&amp;C_x000D_&amp;1#&amp;"Calibri"&amp;22&amp;K0073CF INTERNAL</oddFooter>
  </headerFooter>
  <ignoredErrors>
    <ignoredError sqref="AO3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6ECE-209F-44A5-923F-CCE570FAD35F}">
  <sheetPr codeName="Sheet2"/>
  <dimension ref="A1:AS98"/>
  <sheetViews>
    <sheetView zoomScaleNormal="100" workbookViewId="0">
      <selection activeCell="B50" sqref="B50"/>
    </sheetView>
  </sheetViews>
  <sheetFormatPr defaultColWidth="9.140625" defaultRowHeight="12.75" x14ac:dyDescent="0.2"/>
  <cols>
    <col min="1" max="1" width="19.7109375" style="7" bestFit="1" customWidth="1"/>
    <col min="2" max="4" width="9.140625" style="7"/>
    <col min="5" max="5" width="16.5703125" style="7" bestFit="1" customWidth="1"/>
    <col min="6" max="6" width="15" style="7" bestFit="1" customWidth="1"/>
    <col min="7" max="43" width="9.140625" style="7"/>
    <col min="44" max="44" width="10.42578125" style="7" bestFit="1" customWidth="1"/>
    <col min="45" max="16384" width="9.140625" style="7"/>
  </cols>
  <sheetData>
    <row r="1" spans="1:45" ht="13.5" thickBot="1" x14ac:dyDescent="0.25">
      <c r="A1" s="892" t="s">
        <v>404</v>
      </c>
      <c r="B1" s="891"/>
      <c r="C1" s="648"/>
      <c r="D1" s="759" t="s">
        <v>405</v>
      </c>
      <c r="E1" s="28"/>
      <c r="F1" s="892" t="s">
        <v>406</v>
      </c>
      <c r="G1" s="890"/>
      <c r="H1" s="891"/>
      <c r="I1" s="890" t="s">
        <v>407</v>
      </c>
      <c r="J1" s="890"/>
      <c r="K1" s="891"/>
      <c r="L1" s="890" t="s">
        <v>408</v>
      </c>
      <c r="M1" s="890"/>
      <c r="N1" s="891"/>
      <c r="O1" s="890" t="s">
        <v>409</v>
      </c>
      <c r="P1" s="890"/>
      <c r="Q1" s="891"/>
      <c r="R1" s="890" t="s">
        <v>410</v>
      </c>
      <c r="S1" s="890"/>
      <c r="T1" s="891"/>
      <c r="U1" s="890" t="s">
        <v>411</v>
      </c>
      <c r="V1" s="890"/>
      <c r="W1" s="891"/>
      <c r="X1" s="890" t="s">
        <v>412</v>
      </c>
      <c r="Y1" s="890"/>
      <c r="Z1" s="891"/>
      <c r="AA1" s="892" t="s">
        <v>413</v>
      </c>
      <c r="AB1" s="890"/>
      <c r="AC1" s="891"/>
      <c r="AD1" s="892" t="s">
        <v>414</v>
      </c>
      <c r="AE1" s="890"/>
      <c r="AF1" s="891"/>
      <c r="AG1" s="892" t="s">
        <v>225</v>
      </c>
      <c r="AH1" s="890"/>
      <c r="AI1" s="891"/>
      <c r="AJ1" s="890" t="s">
        <v>415</v>
      </c>
      <c r="AK1" s="890"/>
      <c r="AL1" s="891"/>
      <c r="AM1" s="892" t="s">
        <v>416</v>
      </c>
      <c r="AN1" s="890"/>
      <c r="AO1" s="891"/>
      <c r="AP1" s="892" t="s">
        <v>417</v>
      </c>
      <c r="AQ1" s="890"/>
      <c r="AR1" s="891"/>
      <c r="AS1" s="648"/>
    </row>
    <row r="2" spans="1:45" x14ac:dyDescent="0.2">
      <c r="A2" s="658" t="s">
        <v>406</v>
      </c>
      <c r="B2" s="760">
        <v>1</v>
      </c>
      <c r="C2" s="648"/>
      <c r="D2" s="648"/>
      <c r="E2" s="896" t="s">
        <v>418</v>
      </c>
      <c r="F2" s="894" t="s">
        <v>419</v>
      </c>
      <c r="G2" s="894"/>
      <c r="H2" s="895"/>
      <c r="I2" s="894" t="s">
        <v>419</v>
      </c>
      <c r="J2" s="894"/>
      <c r="K2" s="895"/>
      <c r="L2" s="894" t="s">
        <v>419</v>
      </c>
      <c r="M2" s="894"/>
      <c r="N2" s="895"/>
      <c r="O2" s="894" t="s">
        <v>419</v>
      </c>
      <c r="P2" s="894"/>
      <c r="Q2" s="895"/>
      <c r="R2" s="894" t="s">
        <v>419</v>
      </c>
      <c r="S2" s="894"/>
      <c r="T2" s="895"/>
      <c r="U2" s="894" t="s">
        <v>419</v>
      </c>
      <c r="V2" s="894"/>
      <c r="W2" s="895"/>
      <c r="X2" s="894" t="s">
        <v>419</v>
      </c>
      <c r="Y2" s="894"/>
      <c r="Z2" s="895"/>
      <c r="AA2" s="893" t="s">
        <v>419</v>
      </c>
      <c r="AB2" s="894"/>
      <c r="AC2" s="895"/>
      <c r="AD2" s="893" t="s">
        <v>419</v>
      </c>
      <c r="AE2" s="894"/>
      <c r="AF2" s="895"/>
      <c r="AG2" s="893" t="s">
        <v>419</v>
      </c>
      <c r="AH2" s="894"/>
      <c r="AI2" s="895"/>
      <c r="AJ2" s="894" t="s">
        <v>419</v>
      </c>
      <c r="AK2" s="894"/>
      <c r="AL2" s="895"/>
      <c r="AM2" s="894" t="s">
        <v>419</v>
      </c>
      <c r="AN2" s="894"/>
      <c r="AO2" s="895"/>
      <c r="AP2" s="893" t="s">
        <v>419</v>
      </c>
      <c r="AQ2" s="894"/>
      <c r="AR2" s="895"/>
      <c r="AS2" s="648"/>
    </row>
    <row r="3" spans="1:45" ht="13.5" thickBot="1" x14ac:dyDescent="0.25">
      <c r="A3" s="658" t="s">
        <v>407</v>
      </c>
      <c r="B3" s="760">
        <v>2</v>
      </c>
      <c r="C3" s="648"/>
      <c r="D3" s="648"/>
      <c r="E3" s="897"/>
      <c r="F3" s="29" t="s">
        <v>137</v>
      </c>
      <c r="G3" s="29" t="s">
        <v>420</v>
      </c>
      <c r="H3" s="30" t="s">
        <v>139</v>
      </c>
      <c r="I3" s="29" t="s">
        <v>137</v>
      </c>
      <c r="J3" s="29" t="s">
        <v>420</v>
      </c>
      <c r="K3" s="30" t="s">
        <v>139</v>
      </c>
      <c r="L3" s="29" t="s">
        <v>137</v>
      </c>
      <c r="M3" s="29" t="s">
        <v>420</v>
      </c>
      <c r="N3" s="30" t="s">
        <v>139</v>
      </c>
      <c r="O3" s="29" t="s">
        <v>137</v>
      </c>
      <c r="P3" s="29" t="s">
        <v>420</v>
      </c>
      <c r="Q3" s="30" t="s">
        <v>139</v>
      </c>
      <c r="R3" s="29" t="s">
        <v>137</v>
      </c>
      <c r="S3" s="29" t="s">
        <v>420</v>
      </c>
      <c r="T3" s="30" t="s">
        <v>139</v>
      </c>
      <c r="U3" s="29" t="s">
        <v>137</v>
      </c>
      <c r="V3" s="29" t="s">
        <v>420</v>
      </c>
      <c r="W3" s="30" t="s">
        <v>139</v>
      </c>
      <c r="X3" s="29" t="s">
        <v>137</v>
      </c>
      <c r="Y3" s="29" t="s">
        <v>420</v>
      </c>
      <c r="Z3" s="30" t="s">
        <v>139</v>
      </c>
      <c r="AA3" s="29" t="s">
        <v>137</v>
      </c>
      <c r="AB3" s="29" t="s">
        <v>420</v>
      </c>
      <c r="AC3" s="30" t="s">
        <v>139</v>
      </c>
      <c r="AD3" s="29" t="s">
        <v>137</v>
      </c>
      <c r="AE3" s="29" t="s">
        <v>420</v>
      </c>
      <c r="AF3" s="30" t="s">
        <v>139</v>
      </c>
      <c r="AG3" s="31" t="s">
        <v>137</v>
      </c>
      <c r="AH3" s="32" t="s">
        <v>420</v>
      </c>
      <c r="AI3" s="33" t="s">
        <v>139</v>
      </c>
      <c r="AJ3" s="29" t="s">
        <v>137</v>
      </c>
      <c r="AK3" s="29" t="s">
        <v>420</v>
      </c>
      <c r="AL3" s="30" t="s">
        <v>421</v>
      </c>
      <c r="AM3" s="29" t="s">
        <v>137</v>
      </c>
      <c r="AN3" s="29" t="s">
        <v>420</v>
      </c>
      <c r="AO3" s="30" t="s">
        <v>421</v>
      </c>
      <c r="AP3" s="34" t="s">
        <v>137</v>
      </c>
      <c r="AQ3" s="29" t="s">
        <v>420</v>
      </c>
      <c r="AR3" s="30" t="s">
        <v>139</v>
      </c>
      <c r="AS3" s="648"/>
    </row>
    <row r="4" spans="1:45" x14ac:dyDescent="0.2">
      <c r="A4" s="658" t="s">
        <v>408</v>
      </c>
      <c r="B4" s="760">
        <v>3</v>
      </c>
      <c r="C4" s="648"/>
      <c r="D4" s="648"/>
      <c r="E4" s="761">
        <v>4.1666666666666664E-2</v>
      </c>
      <c r="F4" s="762" t="s">
        <v>422</v>
      </c>
      <c r="G4" s="763" t="s">
        <v>422</v>
      </c>
      <c r="H4" s="764" t="s">
        <v>422</v>
      </c>
      <c r="I4" s="763" t="s">
        <v>422</v>
      </c>
      <c r="J4" s="763" t="s">
        <v>422</v>
      </c>
      <c r="K4" s="764" t="s">
        <v>422</v>
      </c>
      <c r="L4" s="638" t="s">
        <v>423</v>
      </c>
      <c r="M4" s="763" t="s">
        <v>423</v>
      </c>
      <c r="N4" s="764" t="s">
        <v>423</v>
      </c>
      <c r="O4" s="638" t="s">
        <v>422</v>
      </c>
      <c r="P4" s="763" t="s">
        <v>422</v>
      </c>
      <c r="Q4" s="764" t="s">
        <v>422</v>
      </c>
      <c r="R4" s="765" t="s">
        <v>423</v>
      </c>
      <c r="S4" s="763" t="s">
        <v>423</v>
      </c>
      <c r="T4" s="766" t="s">
        <v>423</v>
      </c>
      <c r="U4" s="765" t="s">
        <v>422</v>
      </c>
      <c r="V4" s="763" t="s">
        <v>422</v>
      </c>
      <c r="W4" s="766" t="s">
        <v>422</v>
      </c>
      <c r="X4" s="765" t="s">
        <v>422</v>
      </c>
      <c r="Y4" s="763" t="s">
        <v>422</v>
      </c>
      <c r="Z4" s="766" t="s">
        <v>422</v>
      </c>
      <c r="AA4" s="765" t="s">
        <v>422</v>
      </c>
      <c r="AB4" s="763" t="s">
        <v>422</v>
      </c>
      <c r="AC4" s="766" t="s">
        <v>422</v>
      </c>
      <c r="AD4" s="765" t="s">
        <v>423</v>
      </c>
      <c r="AE4" s="763" t="s">
        <v>423</v>
      </c>
      <c r="AF4" s="767" t="s">
        <v>423</v>
      </c>
      <c r="AG4" s="765" t="s">
        <v>423</v>
      </c>
      <c r="AH4" s="763" t="s">
        <v>423</v>
      </c>
      <c r="AI4" s="766" t="s">
        <v>423</v>
      </c>
      <c r="AJ4" s="762" t="s">
        <v>423</v>
      </c>
      <c r="AK4" s="763" t="s">
        <v>423</v>
      </c>
      <c r="AL4" s="766" t="s">
        <v>423</v>
      </c>
      <c r="AM4" s="762" t="s">
        <v>423</v>
      </c>
      <c r="AN4" s="763" t="s">
        <v>423</v>
      </c>
      <c r="AO4" s="766" t="s">
        <v>423</v>
      </c>
      <c r="AP4" s="765">
        <v>0</v>
      </c>
      <c r="AQ4" s="763">
        <v>0</v>
      </c>
      <c r="AR4" s="766">
        <v>0</v>
      </c>
      <c r="AS4" s="768"/>
    </row>
    <row r="5" spans="1:45" x14ac:dyDescent="0.2">
      <c r="A5" s="658" t="s">
        <v>409</v>
      </c>
      <c r="B5" s="760">
        <v>4</v>
      </c>
      <c r="C5" s="648"/>
      <c r="D5" s="648"/>
      <c r="E5" s="769">
        <v>8.3333333333333301E-2</v>
      </c>
      <c r="F5" s="637" t="s">
        <v>422</v>
      </c>
      <c r="G5" s="638" t="s">
        <v>422</v>
      </c>
      <c r="H5" s="770" t="s">
        <v>422</v>
      </c>
      <c r="I5" s="638" t="s">
        <v>422</v>
      </c>
      <c r="J5" s="638" t="s">
        <v>422</v>
      </c>
      <c r="K5" s="770" t="s">
        <v>422</v>
      </c>
      <c r="L5" s="638" t="s">
        <v>423</v>
      </c>
      <c r="M5" s="638" t="s">
        <v>423</v>
      </c>
      <c r="N5" s="770" t="s">
        <v>423</v>
      </c>
      <c r="O5" s="638" t="s">
        <v>422</v>
      </c>
      <c r="P5" s="638" t="s">
        <v>422</v>
      </c>
      <c r="Q5" s="770" t="s">
        <v>422</v>
      </c>
      <c r="R5" s="682" t="s">
        <v>423</v>
      </c>
      <c r="S5" s="638" t="s">
        <v>423</v>
      </c>
      <c r="T5" s="770" t="s">
        <v>423</v>
      </c>
      <c r="U5" s="682" t="s">
        <v>422</v>
      </c>
      <c r="V5" s="638" t="s">
        <v>422</v>
      </c>
      <c r="W5" s="770" t="s">
        <v>422</v>
      </c>
      <c r="X5" s="682" t="s">
        <v>422</v>
      </c>
      <c r="Y5" s="638" t="s">
        <v>422</v>
      </c>
      <c r="Z5" s="770" t="s">
        <v>422</v>
      </c>
      <c r="AA5" s="682" t="s">
        <v>422</v>
      </c>
      <c r="AB5" s="638" t="s">
        <v>422</v>
      </c>
      <c r="AC5" s="770" t="s">
        <v>422</v>
      </c>
      <c r="AD5" s="682" t="s">
        <v>423</v>
      </c>
      <c r="AE5" s="638" t="s">
        <v>423</v>
      </c>
      <c r="AF5" s="639" t="s">
        <v>423</v>
      </c>
      <c r="AG5" s="682" t="s">
        <v>423</v>
      </c>
      <c r="AH5" s="638" t="s">
        <v>423</v>
      </c>
      <c r="AI5" s="770" t="s">
        <v>423</v>
      </c>
      <c r="AJ5" s="637" t="s">
        <v>423</v>
      </c>
      <c r="AK5" s="638" t="s">
        <v>423</v>
      </c>
      <c r="AL5" s="770" t="s">
        <v>423</v>
      </c>
      <c r="AM5" s="637" t="s">
        <v>423</v>
      </c>
      <c r="AN5" s="638" t="s">
        <v>423</v>
      </c>
      <c r="AO5" s="770" t="s">
        <v>423</v>
      </c>
      <c r="AP5" s="682">
        <v>0</v>
      </c>
      <c r="AQ5" s="638">
        <v>0</v>
      </c>
      <c r="AR5" s="770">
        <v>0</v>
      </c>
      <c r="AS5" s="768"/>
    </row>
    <row r="6" spans="1:45" x14ac:dyDescent="0.2">
      <c r="A6" s="658" t="s">
        <v>410</v>
      </c>
      <c r="B6" s="760">
        <v>5</v>
      </c>
      <c r="C6" s="648"/>
      <c r="D6" s="648"/>
      <c r="E6" s="769">
        <v>0.125</v>
      </c>
      <c r="F6" s="637" t="s">
        <v>422</v>
      </c>
      <c r="G6" s="638" t="s">
        <v>422</v>
      </c>
      <c r="H6" s="770" t="s">
        <v>422</v>
      </c>
      <c r="I6" s="638" t="s">
        <v>422</v>
      </c>
      <c r="J6" s="638" t="s">
        <v>422</v>
      </c>
      <c r="K6" s="770" t="s">
        <v>422</v>
      </c>
      <c r="L6" s="638" t="s">
        <v>423</v>
      </c>
      <c r="M6" s="638" t="s">
        <v>423</v>
      </c>
      <c r="N6" s="770" t="s">
        <v>423</v>
      </c>
      <c r="O6" s="638" t="s">
        <v>422</v>
      </c>
      <c r="P6" s="638" t="s">
        <v>422</v>
      </c>
      <c r="Q6" s="770" t="s">
        <v>422</v>
      </c>
      <c r="R6" s="682" t="s">
        <v>423</v>
      </c>
      <c r="S6" s="638" t="s">
        <v>423</v>
      </c>
      <c r="T6" s="770" t="s">
        <v>423</v>
      </c>
      <c r="U6" s="682" t="s">
        <v>422</v>
      </c>
      <c r="V6" s="638" t="s">
        <v>422</v>
      </c>
      <c r="W6" s="770" t="s">
        <v>422</v>
      </c>
      <c r="X6" s="682" t="s">
        <v>422</v>
      </c>
      <c r="Y6" s="638" t="s">
        <v>422</v>
      </c>
      <c r="Z6" s="770" t="s">
        <v>422</v>
      </c>
      <c r="AA6" s="682" t="s">
        <v>422</v>
      </c>
      <c r="AB6" s="638" t="s">
        <v>422</v>
      </c>
      <c r="AC6" s="770" t="s">
        <v>422</v>
      </c>
      <c r="AD6" s="682" t="s">
        <v>423</v>
      </c>
      <c r="AE6" s="638" t="s">
        <v>423</v>
      </c>
      <c r="AF6" s="639" t="s">
        <v>423</v>
      </c>
      <c r="AG6" s="682" t="s">
        <v>423</v>
      </c>
      <c r="AH6" s="638" t="s">
        <v>423</v>
      </c>
      <c r="AI6" s="770" t="s">
        <v>423</v>
      </c>
      <c r="AJ6" s="637" t="s">
        <v>423</v>
      </c>
      <c r="AK6" s="638" t="s">
        <v>423</v>
      </c>
      <c r="AL6" s="770" t="s">
        <v>423</v>
      </c>
      <c r="AM6" s="637" t="s">
        <v>423</v>
      </c>
      <c r="AN6" s="638" t="s">
        <v>423</v>
      </c>
      <c r="AO6" s="770" t="s">
        <v>423</v>
      </c>
      <c r="AP6" s="682">
        <v>0</v>
      </c>
      <c r="AQ6" s="638">
        <v>0</v>
      </c>
      <c r="AR6" s="770">
        <v>0</v>
      </c>
      <c r="AS6" s="768"/>
    </row>
    <row r="7" spans="1:45" x14ac:dyDescent="0.2">
      <c r="A7" s="658" t="s">
        <v>411</v>
      </c>
      <c r="B7" s="760">
        <v>6</v>
      </c>
      <c r="C7" s="648"/>
      <c r="D7" s="648"/>
      <c r="E7" s="769">
        <v>0.16666666666666699</v>
      </c>
      <c r="F7" s="637" t="s">
        <v>422</v>
      </c>
      <c r="G7" s="638" t="s">
        <v>422</v>
      </c>
      <c r="H7" s="770" t="s">
        <v>422</v>
      </c>
      <c r="I7" s="638" t="s">
        <v>422</v>
      </c>
      <c r="J7" s="638" t="s">
        <v>422</v>
      </c>
      <c r="K7" s="770" t="s">
        <v>422</v>
      </c>
      <c r="L7" s="638" t="s">
        <v>423</v>
      </c>
      <c r="M7" s="638" t="s">
        <v>423</v>
      </c>
      <c r="N7" s="770" t="s">
        <v>423</v>
      </c>
      <c r="O7" s="638" t="s">
        <v>422</v>
      </c>
      <c r="P7" s="638" t="s">
        <v>422</v>
      </c>
      <c r="Q7" s="770" t="s">
        <v>422</v>
      </c>
      <c r="R7" s="682" t="s">
        <v>422</v>
      </c>
      <c r="S7" s="638" t="s">
        <v>422</v>
      </c>
      <c r="T7" s="770" t="s">
        <v>422</v>
      </c>
      <c r="U7" s="682" t="s">
        <v>422</v>
      </c>
      <c r="V7" s="638" t="s">
        <v>422</v>
      </c>
      <c r="W7" s="770" t="s">
        <v>422</v>
      </c>
      <c r="X7" s="682" t="s">
        <v>422</v>
      </c>
      <c r="Y7" s="638" t="s">
        <v>422</v>
      </c>
      <c r="Z7" s="770" t="s">
        <v>422</v>
      </c>
      <c r="AA7" s="682" t="s">
        <v>422</v>
      </c>
      <c r="AB7" s="638" t="s">
        <v>422</v>
      </c>
      <c r="AC7" s="770" t="s">
        <v>422</v>
      </c>
      <c r="AD7" s="682" t="s">
        <v>423</v>
      </c>
      <c r="AE7" s="638" t="s">
        <v>423</v>
      </c>
      <c r="AF7" s="639" t="s">
        <v>423</v>
      </c>
      <c r="AG7" s="682" t="s">
        <v>423</v>
      </c>
      <c r="AH7" s="638" t="s">
        <v>423</v>
      </c>
      <c r="AI7" s="770" t="s">
        <v>423</v>
      </c>
      <c r="AJ7" s="637" t="s">
        <v>423</v>
      </c>
      <c r="AK7" s="638" t="s">
        <v>423</v>
      </c>
      <c r="AL7" s="770" t="s">
        <v>423</v>
      </c>
      <c r="AM7" s="637" t="s">
        <v>423</v>
      </c>
      <c r="AN7" s="638" t="s">
        <v>423</v>
      </c>
      <c r="AO7" s="770" t="s">
        <v>423</v>
      </c>
      <c r="AP7" s="682">
        <v>0</v>
      </c>
      <c r="AQ7" s="638">
        <v>0</v>
      </c>
      <c r="AR7" s="770">
        <v>0</v>
      </c>
      <c r="AS7" s="768"/>
    </row>
    <row r="8" spans="1:45" x14ac:dyDescent="0.2">
      <c r="A8" s="658" t="s">
        <v>412</v>
      </c>
      <c r="B8" s="760">
        <v>7</v>
      </c>
      <c r="C8" s="648"/>
      <c r="D8" s="648"/>
      <c r="E8" s="769">
        <v>0.20833333333333401</v>
      </c>
      <c r="F8" s="637" t="s">
        <v>422</v>
      </c>
      <c r="G8" s="638" t="s">
        <v>422</v>
      </c>
      <c r="H8" s="770" t="s">
        <v>422</v>
      </c>
      <c r="I8" s="638" t="s">
        <v>422</v>
      </c>
      <c r="J8" s="638" t="s">
        <v>422</v>
      </c>
      <c r="K8" s="770" t="s">
        <v>422</v>
      </c>
      <c r="L8" s="638" t="s">
        <v>423</v>
      </c>
      <c r="M8" s="638" t="s">
        <v>423</v>
      </c>
      <c r="N8" s="770" t="s">
        <v>423</v>
      </c>
      <c r="O8" s="638" t="s">
        <v>422</v>
      </c>
      <c r="P8" s="638" t="s">
        <v>422</v>
      </c>
      <c r="Q8" s="770" t="s">
        <v>422</v>
      </c>
      <c r="R8" s="682" t="s">
        <v>422</v>
      </c>
      <c r="S8" s="638" t="s">
        <v>422</v>
      </c>
      <c r="T8" s="770" t="s">
        <v>422</v>
      </c>
      <c r="U8" s="682" t="s">
        <v>422</v>
      </c>
      <c r="V8" s="638" t="s">
        <v>422</v>
      </c>
      <c r="W8" s="770" t="s">
        <v>422</v>
      </c>
      <c r="X8" s="682" t="s">
        <v>422</v>
      </c>
      <c r="Y8" s="638" t="s">
        <v>422</v>
      </c>
      <c r="Z8" s="770" t="s">
        <v>422</v>
      </c>
      <c r="AA8" s="682" t="s">
        <v>422</v>
      </c>
      <c r="AB8" s="638" t="s">
        <v>422</v>
      </c>
      <c r="AC8" s="770" t="s">
        <v>422</v>
      </c>
      <c r="AD8" s="682" t="s">
        <v>423</v>
      </c>
      <c r="AE8" s="638" t="s">
        <v>423</v>
      </c>
      <c r="AF8" s="639" t="s">
        <v>423</v>
      </c>
      <c r="AG8" s="682" t="s">
        <v>423</v>
      </c>
      <c r="AH8" s="638" t="s">
        <v>423</v>
      </c>
      <c r="AI8" s="770" t="s">
        <v>423</v>
      </c>
      <c r="AJ8" s="637" t="s">
        <v>423</v>
      </c>
      <c r="AK8" s="638" t="s">
        <v>423</v>
      </c>
      <c r="AL8" s="770" t="s">
        <v>423</v>
      </c>
      <c r="AM8" s="637" t="s">
        <v>423</v>
      </c>
      <c r="AN8" s="638" t="s">
        <v>423</v>
      </c>
      <c r="AO8" s="770" t="s">
        <v>423</v>
      </c>
      <c r="AP8" s="682">
        <v>0</v>
      </c>
      <c r="AQ8" s="638">
        <v>0</v>
      </c>
      <c r="AR8" s="770">
        <v>0</v>
      </c>
      <c r="AS8" s="768"/>
    </row>
    <row r="9" spans="1:45" x14ac:dyDescent="0.2">
      <c r="A9" s="658" t="s">
        <v>413</v>
      </c>
      <c r="B9" s="760">
        <v>8</v>
      </c>
      <c r="C9" s="648"/>
      <c r="D9" s="648"/>
      <c r="E9" s="769">
        <v>0.25</v>
      </c>
      <c r="F9" s="637" t="s">
        <v>423</v>
      </c>
      <c r="G9" s="638" t="s">
        <v>423</v>
      </c>
      <c r="H9" s="770" t="s">
        <v>422</v>
      </c>
      <c r="I9" s="638" t="s">
        <v>423</v>
      </c>
      <c r="J9" s="638" t="s">
        <v>422</v>
      </c>
      <c r="K9" s="770" t="s">
        <v>422</v>
      </c>
      <c r="L9" s="638" t="s">
        <v>423</v>
      </c>
      <c r="M9" s="638" t="s">
        <v>423</v>
      </c>
      <c r="N9" s="770" t="s">
        <v>423</v>
      </c>
      <c r="O9" s="638" t="s">
        <v>422</v>
      </c>
      <c r="P9" s="638" t="s">
        <v>422</v>
      </c>
      <c r="Q9" s="770" t="s">
        <v>422</v>
      </c>
      <c r="R9" s="682" t="s">
        <v>422</v>
      </c>
      <c r="S9" s="638" t="s">
        <v>422</v>
      </c>
      <c r="T9" s="770" t="s">
        <v>422</v>
      </c>
      <c r="U9" s="682" t="s">
        <v>422</v>
      </c>
      <c r="V9" s="638" t="s">
        <v>422</v>
      </c>
      <c r="W9" s="770" t="s">
        <v>422</v>
      </c>
      <c r="X9" s="682" t="s">
        <v>422</v>
      </c>
      <c r="Y9" s="638" t="s">
        <v>422</v>
      </c>
      <c r="Z9" s="770" t="s">
        <v>422</v>
      </c>
      <c r="AA9" s="682" t="s">
        <v>422</v>
      </c>
      <c r="AB9" s="638" t="s">
        <v>422</v>
      </c>
      <c r="AC9" s="770" t="s">
        <v>422</v>
      </c>
      <c r="AD9" s="682" t="s">
        <v>423</v>
      </c>
      <c r="AE9" s="638" t="s">
        <v>423</v>
      </c>
      <c r="AF9" s="639" t="s">
        <v>423</v>
      </c>
      <c r="AG9" s="682" t="s">
        <v>423</v>
      </c>
      <c r="AH9" s="638" t="s">
        <v>423</v>
      </c>
      <c r="AI9" s="770" t="s">
        <v>423</v>
      </c>
      <c r="AJ9" s="637" t="s">
        <v>423</v>
      </c>
      <c r="AK9" s="638" t="s">
        <v>423</v>
      </c>
      <c r="AL9" s="770" t="s">
        <v>423</v>
      </c>
      <c r="AM9" s="637" t="s">
        <v>423</v>
      </c>
      <c r="AN9" s="638" t="s">
        <v>423</v>
      </c>
      <c r="AO9" s="770" t="s">
        <v>423</v>
      </c>
      <c r="AP9" s="682">
        <v>0</v>
      </c>
      <c r="AQ9" s="638">
        <v>0</v>
      </c>
      <c r="AR9" s="770">
        <v>0</v>
      </c>
      <c r="AS9" s="768"/>
    </row>
    <row r="10" spans="1:45" x14ac:dyDescent="0.2">
      <c r="A10" s="658" t="s">
        <v>414</v>
      </c>
      <c r="B10" s="760">
        <v>9</v>
      </c>
      <c r="C10" s="648"/>
      <c r="D10" s="648"/>
      <c r="E10" s="769">
        <v>0.29166666666666702</v>
      </c>
      <c r="F10" s="637" t="s">
        <v>423</v>
      </c>
      <c r="G10" s="638" t="s">
        <v>423</v>
      </c>
      <c r="H10" s="770" t="s">
        <v>422</v>
      </c>
      <c r="I10" s="638" t="s">
        <v>423</v>
      </c>
      <c r="J10" s="638" t="s">
        <v>423</v>
      </c>
      <c r="K10" s="770" t="s">
        <v>423</v>
      </c>
      <c r="L10" s="638" t="s">
        <v>423</v>
      </c>
      <c r="M10" s="638" t="s">
        <v>423</v>
      </c>
      <c r="N10" s="770" t="s">
        <v>423</v>
      </c>
      <c r="O10" s="638" t="s">
        <v>423</v>
      </c>
      <c r="P10" s="638" t="s">
        <v>423</v>
      </c>
      <c r="Q10" s="770" t="s">
        <v>422</v>
      </c>
      <c r="R10" s="682" t="s">
        <v>422</v>
      </c>
      <c r="S10" s="638" t="s">
        <v>422</v>
      </c>
      <c r="T10" s="770" t="s">
        <v>422</v>
      </c>
      <c r="U10" s="682" t="s">
        <v>423</v>
      </c>
      <c r="V10" s="638" t="s">
        <v>423</v>
      </c>
      <c r="W10" s="770" t="s">
        <v>422</v>
      </c>
      <c r="X10" s="682" t="s">
        <v>422</v>
      </c>
      <c r="Y10" s="638" t="s">
        <v>422</v>
      </c>
      <c r="Z10" s="770" t="s">
        <v>422</v>
      </c>
      <c r="AA10" s="682" t="s">
        <v>422</v>
      </c>
      <c r="AB10" s="638" t="s">
        <v>422</v>
      </c>
      <c r="AC10" s="770" t="s">
        <v>422</v>
      </c>
      <c r="AD10" s="682" t="s">
        <v>423</v>
      </c>
      <c r="AE10" s="638" t="s">
        <v>423</v>
      </c>
      <c r="AF10" s="639" t="s">
        <v>423</v>
      </c>
      <c r="AG10" s="682" t="s">
        <v>423</v>
      </c>
      <c r="AH10" s="638" t="s">
        <v>423</v>
      </c>
      <c r="AI10" s="770" t="s">
        <v>423</v>
      </c>
      <c r="AJ10" s="637" t="s">
        <v>423</v>
      </c>
      <c r="AK10" s="638" t="s">
        <v>423</v>
      </c>
      <c r="AL10" s="770" t="s">
        <v>423</v>
      </c>
      <c r="AM10" s="637" t="s">
        <v>423</v>
      </c>
      <c r="AN10" s="638" t="s">
        <v>423</v>
      </c>
      <c r="AO10" s="770" t="s">
        <v>423</v>
      </c>
      <c r="AP10" s="682">
        <v>0</v>
      </c>
      <c r="AQ10" s="638">
        <v>0</v>
      </c>
      <c r="AR10" s="770">
        <v>0</v>
      </c>
      <c r="AS10" s="768"/>
    </row>
    <row r="11" spans="1:45" x14ac:dyDescent="0.2">
      <c r="A11" s="658" t="s">
        <v>225</v>
      </c>
      <c r="B11" s="760">
        <v>10</v>
      </c>
      <c r="C11" s="648"/>
      <c r="D11" s="648"/>
      <c r="E11" s="769">
        <v>0.33333333333333298</v>
      </c>
      <c r="F11" s="637" t="s">
        <v>423</v>
      </c>
      <c r="G11" s="638" t="s">
        <v>423</v>
      </c>
      <c r="H11" s="770" t="s">
        <v>422</v>
      </c>
      <c r="I11" s="638" t="s">
        <v>423</v>
      </c>
      <c r="J11" s="638" t="s">
        <v>423</v>
      </c>
      <c r="K11" s="770" t="s">
        <v>423</v>
      </c>
      <c r="L11" s="638" t="s">
        <v>423</v>
      </c>
      <c r="M11" s="638" t="s">
        <v>423</v>
      </c>
      <c r="N11" s="770" t="s">
        <v>423</v>
      </c>
      <c r="O11" s="638" t="s">
        <v>423</v>
      </c>
      <c r="P11" s="638" t="s">
        <v>423</v>
      </c>
      <c r="Q11" s="770" t="s">
        <v>422</v>
      </c>
      <c r="R11" s="682" t="s">
        <v>423</v>
      </c>
      <c r="S11" s="638" t="s">
        <v>422</v>
      </c>
      <c r="T11" s="770" t="s">
        <v>422</v>
      </c>
      <c r="U11" s="682" t="s">
        <v>423</v>
      </c>
      <c r="V11" s="638" t="s">
        <v>423</v>
      </c>
      <c r="W11" s="770" t="s">
        <v>422</v>
      </c>
      <c r="X11" s="682" t="s">
        <v>423</v>
      </c>
      <c r="Y11" s="638" t="s">
        <v>422</v>
      </c>
      <c r="Z11" s="770" t="s">
        <v>422</v>
      </c>
      <c r="AA11" s="682" t="s">
        <v>423</v>
      </c>
      <c r="AB11" s="638" t="s">
        <v>422</v>
      </c>
      <c r="AC11" s="770" t="s">
        <v>422</v>
      </c>
      <c r="AD11" s="682" t="s">
        <v>423</v>
      </c>
      <c r="AE11" s="638" t="s">
        <v>423</v>
      </c>
      <c r="AF11" s="639" t="s">
        <v>423</v>
      </c>
      <c r="AG11" s="682" t="s">
        <v>423</v>
      </c>
      <c r="AH11" s="638" t="s">
        <v>423</v>
      </c>
      <c r="AI11" s="770" t="s">
        <v>423</v>
      </c>
      <c r="AJ11" s="637" t="s">
        <v>423</v>
      </c>
      <c r="AK11" s="638" t="s">
        <v>423</v>
      </c>
      <c r="AL11" s="770" t="s">
        <v>423</v>
      </c>
      <c r="AM11" s="637" t="s">
        <v>423</v>
      </c>
      <c r="AN11" s="638" t="s">
        <v>423</v>
      </c>
      <c r="AO11" s="770" t="s">
        <v>423</v>
      </c>
      <c r="AP11" s="682">
        <v>0</v>
      </c>
      <c r="AQ11" s="638">
        <v>0</v>
      </c>
      <c r="AR11" s="770">
        <v>0</v>
      </c>
      <c r="AS11" s="768"/>
    </row>
    <row r="12" spans="1:45" x14ac:dyDescent="0.2">
      <c r="A12" s="658" t="s">
        <v>415</v>
      </c>
      <c r="B12" s="760">
        <v>11</v>
      </c>
      <c r="C12" s="648"/>
      <c r="D12" s="648"/>
      <c r="E12" s="769">
        <v>0.375</v>
      </c>
      <c r="F12" s="637" t="s">
        <v>423</v>
      </c>
      <c r="G12" s="638" t="s">
        <v>423</v>
      </c>
      <c r="H12" s="770" t="s">
        <v>422</v>
      </c>
      <c r="I12" s="638" t="s">
        <v>423</v>
      </c>
      <c r="J12" s="638" t="s">
        <v>423</v>
      </c>
      <c r="K12" s="770" t="s">
        <v>423</v>
      </c>
      <c r="L12" s="638" t="s">
        <v>423</v>
      </c>
      <c r="M12" s="638" t="s">
        <v>423</v>
      </c>
      <c r="N12" s="770" t="s">
        <v>423</v>
      </c>
      <c r="O12" s="638" t="s">
        <v>423</v>
      </c>
      <c r="P12" s="638" t="s">
        <v>423</v>
      </c>
      <c r="Q12" s="770" t="s">
        <v>422</v>
      </c>
      <c r="R12" s="682" t="s">
        <v>423</v>
      </c>
      <c r="S12" s="638" t="s">
        <v>422</v>
      </c>
      <c r="T12" s="770" t="s">
        <v>422</v>
      </c>
      <c r="U12" s="682" t="s">
        <v>423</v>
      </c>
      <c r="V12" s="638" t="s">
        <v>423</v>
      </c>
      <c r="W12" s="770" t="s">
        <v>423</v>
      </c>
      <c r="X12" s="682" t="s">
        <v>423</v>
      </c>
      <c r="Y12" s="638" t="s">
        <v>423</v>
      </c>
      <c r="Z12" s="770" t="s">
        <v>422</v>
      </c>
      <c r="AA12" s="682" t="s">
        <v>423</v>
      </c>
      <c r="AB12" s="638" t="s">
        <v>423</v>
      </c>
      <c r="AC12" s="770" t="s">
        <v>422</v>
      </c>
      <c r="AD12" s="682" t="s">
        <v>423</v>
      </c>
      <c r="AE12" s="638" t="s">
        <v>423</v>
      </c>
      <c r="AF12" s="639" t="s">
        <v>423</v>
      </c>
      <c r="AG12" s="682" t="s">
        <v>423</v>
      </c>
      <c r="AH12" s="638" t="s">
        <v>423</v>
      </c>
      <c r="AI12" s="770" t="s">
        <v>423</v>
      </c>
      <c r="AJ12" s="637" t="s">
        <v>422</v>
      </c>
      <c r="AK12" s="638" t="s">
        <v>423</v>
      </c>
      <c r="AL12" s="770" t="s">
        <v>423</v>
      </c>
      <c r="AM12" s="637" t="s">
        <v>422</v>
      </c>
      <c r="AN12" s="638" t="s">
        <v>423</v>
      </c>
      <c r="AO12" s="770" t="s">
        <v>423</v>
      </c>
      <c r="AP12" s="682">
        <v>0</v>
      </c>
      <c r="AQ12" s="638">
        <v>0</v>
      </c>
      <c r="AR12" s="770">
        <v>0</v>
      </c>
      <c r="AS12" s="768"/>
    </row>
    <row r="13" spans="1:45" x14ac:dyDescent="0.2">
      <c r="A13" s="658" t="s">
        <v>424</v>
      </c>
      <c r="B13" s="760">
        <v>12</v>
      </c>
      <c r="C13" s="648"/>
      <c r="D13" s="648"/>
      <c r="E13" s="769">
        <v>0.41666666666666702</v>
      </c>
      <c r="F13" s="637" t="s">
        <v>423</v>
      </c>
      <c r="G13" s="638" t="s">
        <v>423</v>
      </c>
      <c r="H13" s="770" t="s">
        <v>422</v>
      </c>
      <c r="I13" s="638" t="s">
        <v>423</v>
      </c>
      <c r="J13" s="638" t="s">
        <v>423</v>
      </c>
      <c r="K13" s="770" t="s">
        <v>423</v>
      </c>
      <c r="L13" s="638" t="s">
        <v>423</v>
      </c>
      <c r="M13" s="638" t="s">
        <v>423</v>
      </c>
      <c r="N13" s="770" t="s">
        <v>423</v>
      </c>
      <c r="O13" s="638" t="s">
        <v>423</v>
      </c>
      <c r="P13" s="638" t="s">
        <v>423</v>
      </c>
      <c r="Q13" s="770" t="s">
        <v>422</v>
      </c>
      <c r="R13" s="682" t="s">
        <v>423</v>
      </c>
      <c r="S13" s="638" t="s">
        <v>423</v>
      </c>
      <c r="T13" s="770" t="s">
        <v>422</v>
      </c>
      <c r="U13" s="682" t="s">
        <v>423</v>
      </c>
      <c r="V13" s="638" t="s">
        <v>423</v>
      </c>
      <c r="W13" s="770" t="s">
        <v>423</v>
      </c>
      <c r="X13" s="682" t="s">
        <v>423</v>
      </c>
      <c r="Y13" s="638" t="s">
        <v>423</v>
      </c>
      <c r="Z13" s="770" t="s">
        <v>422</v>
      </c>
      <c r="AA13" s="682" t="s">
        <v>423</v>
      </c>
      <c r="AB13" s="638" t="s">
        <v>423</v>
      </c>
      <c r="AC13" s="770" t="s">
        <v>422</v>
      </c>
      <c r="AD13" s="682" t="s">
        <v>423</v>
      </c>
      <c r="AE13" s="638" t="s">
        <v>423</v>
      </c>
      <c r="AF13" s="639" t="s">
        <v>423</v>
      </c>
      <c r="AG13" s="682" t="s">
        <v>423</v>
      </c>
      <c r="AH13" s="638" t="s">
        <v>423</v>
      </c>
      <c r="AI13" s="770" t="s">
        <v>423</v>
      </c>
      <c r="AJ13" s="637" t="s">
        <v>422</v>
      </c>
      <c r="AK13" s="638" t="s">
        <v>423</v>
      </c>
      <c r="AL13" s="770" t="s">
        <v>423</v>
      </c>
      <c r="AM13" s="637" t="s">
        <v>422</v>
      </c>
      <c r="AN13" s="638" t="s">
        <v>423</v>
      </c>
      <c r="AO13" s="770" t="s">
        <v>423</v>
      </c>
      <c r="AP13" s="682">
        <v>0</v>
      </c>
      <c r="AQ13" s="638">
        <v>0</v>
      </c>
      <c r="AR13" s="770">
        <v>0</v>
      </c>
      <c r="AS13" s="768"/>
    </row>
    <row r="14" spans="1:45" ht="13.5" thickBot="1" x14ac:dyDescent="0.25">
      <c r="A14" s="690" t="s">
        <v>417</v>
      </c>
      <c r="B14" s="771">
        <v>13</v>
      </c>
      <c r="C14" s="648"/>
      <c r="D14" s="648"/>
      <c r="E14" s="769">
        <v>0.45833333333333298</v>
      </c>
      <c r="F14" s="637" t="s">
        <v>423</v>
      </c>
      <c r="G14" s="638" t="s">
        <v>423</v>
      </c>
      <c r="H14" s="770" t="s">
        <v>422</v>
      </c>
      <c r="I14" s="638" t="s">
        <v>423</v>
      </c>
      <c r="J14" s="638" t="s">
        <v>423</v>
      </c>
      <c r="K14" s="770" t="s">
        <v>423</v>
      </c>
      <c r="L14" s="638" t="s">
        <v>423</v>
      </c>
      <c r="M14" s="638" t="s">
        <v>423</v>
      </c>
      <c r="N14" s="770" t="s">
        <v>423</v>
      </c>
      <c r="O14" s="638" t="s">
        <v>423</v>
      </c>
      <c r="P14" s="638" t="s">
        <v>423</v>
      </c>
      <c r="Q14" s="770" t="s">
        <v>422</v>
      </c>
      <c r="R14" s="682" t="s">
        <v>423</v>
      </c>
      <c r="S14" s="638" t="s">
        <v>423</v>
      </c>
      <c r="T14" s="770" t="s">
        <v>423</v>
      </c>
      <c r="U14" s="682" t="s">
        <v>423</v>
      </c>
      <c r="V14" s="638" t="s">
        <v>423</v>
      </c>
      <c r="W14" s="770" t="s">
        <v>423</v>
      </c>
      <c r="X14" s="682" t="s">
        <v>423</v>
      </c>
      <c r="Y14" s="638" t="s">
        <v>423</v>
      </c>
      <c r="Z14" s="770" t="s">
        <v>422</v>
      </c>
      <c r="AA14" s="682" t="s">
        <v>423</v>
      </c>
      <c r="AB14" s="638" t="s">
        <v>423</v>
      </c>
      <c r="AC14" s="770" t="s">
        <v>422</v>
      </c>
      <c r="AD14" s="682" t="s">
        <v>423</v>
      </c>
      <c r="AE14" s="638" t="s">
        <v>423</v>
      </c>
      <c r="AF14" s="639" t="s">
        <v>423</v>
      </c>
      <c r="AG14" s="682" t="s">
        <v>423</v>
      </c>
      <c r="AH14" s="638" t="s">
        <v>423</v>
      </c>
      <c r="AI14" s="770" t="s">
        <v>423</v>
      </c>
      <c r="AJ14" s="637" t="s">
        <v>422</v>
      </c>
      <c r="AK14" s="638" t="s">
        <v>423</v>
      </c>
      <c r="AL14" s="770" t="s">
        <v>423</v>
      </c>
      <c r="AM14" s="637" t="s">
        <v>422</v>
      </c>
      <c r="AN14" s="638" t="s">
        <v>423</v>
      </c>
      <c r="AO14" s="770" t="s">
        <v>423</v>
      </c>
      <c r="AP14" s="682">
        <v>0</v>
      </c>
      <c r="AQ14" s="638">
        <v>0</v>
      </c>
      <c r="AR14" s="770">
        <v>0</v>
      </c>
      <c r="AS14" s="768"/>
    </row>
    <row r="15" spans="1:45" x14ac:dyDescent="0.2">
      <c r="A15" s="648"/>
      <c r="B15" s="648"/>
      <c r="C15" s="648"/>
      <c r="D15" s="648"/>
      <c r="E15" s="769">
        <v>0.5</v>
      </c>
      <c r="F15" s="637" t="s">
        <v>423</v>
      </c>
      <c r="G15" s="638" t="s">
        <v>423</v>
      </c>
      <c r="H15" s="770" t="s">
        <v>422</v>
      </c>
      <c r="I15" s="638" t="s">
        <v>423</v>
      </c>
      <c r="J15" s="638" t="s">
        <v>423</v>
      </c>
      <c r="K15" s="770" t="s">
        <v>423</v>
      </c>
      <c r="L15" s="638" t="s">
        <v>423</v>
      </c>
      <c r="M15" s="638" t="s">
        <v>423</v>
      </c>
      <c r="N15" s="770" t="s">
        <v>423</v>
      </c>
      <c r="O15" s="638" t="s">
        <v>423</v>
      </c>
      <c r="P15" s="638" t="s">
        <v>423</v>
      </c>
      <c r="Q15" s="770" t="s">
        <v>422</v>
      </c>
      <c r="R15" s="682" t="s">
        <v>423</v>
      </c>
      <c r="S15" s="638" t="s">
        <v>423</v>
      </c>
      <c r="T15" s="770" t="s">
        <v>423</v>
      </c>
      <c r="U15" s="682" t="s">
        <v>423</v>
      </c>
      <c r="V15" s="638" t="s">
        <v>423</v>
      </c>
      <c r="W15" s="770" t="s">
        <v>423</v>
      </c>
      <c r="X15" s="682" t="s">
        <v>423</v>
      </c>
      <c r="Y15" s="638" t="s">
        <v>423</v>
      </c>
      <c r="Z15" s="770" t="s">
        <v>422</v>
      </c>
      <c r="AA15" s="682" t="s">
        <v>423</v>
      </c>
      <c r="AB15" s="638" t="s">
        <v>423</v>
      </c>
      <c r="AC15" s="770" t="s">
        <v>422</v>
      </c>
      <c r="AD15" s="682" t="s">
        <v>423</v>
      </c>
      <c r="AE15" s="638" t="s">
        <v>423</v>
      </c>
      <c r="AF15" s="639" t="s">
        <v>423</v>
      </c>
      <c r="AG15" s="682" t="s">
        <v>423</v>
      </c>
      <c r="AH15" s="638" t="s">
        <v>423</v>
      </c>
      <c r="AI15" s="770" t="s">
        <v>423</v>
      </c>
      <c r="AJ15" s="637" t="s">
        <v>422</v>
      </c>
      <c r="AK15" s="638" t="s">
        <v>423</v>
      </c>
      <c r="AL15" s="770" t="s">
        <v>423</v>
      </c>
      <c r="AM15" s="637" t="s">
        <v>422</v>
      </c>
      <c r="AN15" s="638" t="s">
        <v>423</v>
      </c>
      <c r="AO15" s="770" t="s">
        <v>423</v>
      </c>
      <c r="AP15" s="682">
        <v>0</v>
      </c>
      <c r="AQ15" s="638">
        <v>0</v>
      </c>
      <c r="AR15" s="770">
        <v>0</v>
      </c>
      <c r="AS15" s="768"/>
    </row>
    <row r="16" spans="1:45" x14ac:dyDescent="0.2">
      <c r="A16" s="648"/>
      <c r="B16" s="648"/>
      <c r="C16" s="648"/>
      <c r="D16" s="648"/>
      <c r="E16" s="769">
        <v>0.54166666666666696</v>
      </c>
      <c r="F16" s="637" t="s">
        <v>423</v>
      </c>
      <c r="G16" s="638" t="s">
        <v>423</v>
      </c>
      <c r="H16" s="770" t="s">
        <v>422</v>
      </c>
      <c r="I16" s="638" t="s">
        <v>423</v>
      </c>
      <c r="J16" s="638" t="s">
        <v>423</v>
      </c>
      <c r="K16" s="770" t="s">
        <v>423</v>
      </c>
      <c r="L16" s="638" t="s">
        <v>423</v>
      </c>
      <c r="M16" s="638" t="s">
        <v>423</v>
      </c>
      <c r="N16" s="770" t="s">
        <v>423</v>
      </c>
      <c r="O16" s="638" t="s">
        <v>423</v>
      </c>
      <c r="P16" s="638" t="s">
        <v>423</v>
      </c>
      <c r="Q16" s="770" t="s">
        <v>422</v>
      </c>
      <c r="R16" s="682" t="s">
        <v>423</v>
      </c>
      <c r="S16" s="638" t="s">
        <v>423</v>
      </c>
      <c r="T16" s="770" t="s">
        <v>423</v>
      </c>
      <c r="U16" s="682" t="s">
        <v>423</v>
      </c>
      <c r="V16" s="638" t="s">
        <v>423</v>
      </c>
      <c r="W16" s="770" t="s">
        <v>423</v>
      </c>
      <c r="X16" s="682" t="s">
        <v>423</v>
      </c>
      <c r="Y16" s="638" t="s">
        <v>423</v>
      </c>
      <c r="Z16" s="770" t="s">
        <v>422</v>
      </c>
      <c r="AA16" s="682" t="s">
        <v>423</v>
      </c>
      <c r="AB16" s="638" t="s">
        <v>423</v>
      </c>
      <c r="AC16" s="770" t="s">
        <v>422</v>
      </c>
      <c r="AD16" s="682" t="s">
        <v>423</v>
      </c>
      <c r="AE16" s="638" t="s">
        <v>423</v>
      </c>
      <c r="AF16" s="639" t="s">
        <v>423</v>
      </c>
      <c r="AG16" s="682" t="s">
        <v>423</v>
      </c>
      <c r="AH16" s="638" t="s">
        <v>423</v>
      </c>
      <c r="AI16" s="770" t="s">
        <v>423</v>
      </c>
      <c r="AJ16" s="637" t="s">
        <v>422</v>
      </c>
      <c r="AK16" s="638" t="s">
        <v>423</v>
      </c>
      <c r="AL16" s="770" t="s">
        <v>423</v>
      </c>
      <c r="AM16" s="637" t="s">
        <v>422</v>
      </c>
      <c r="AN16" s="638" t="s">
        <v>423</v>
      </c>
      <c r="AO16" s="770" t="s">
        <v>423</v>
      </c>
      <c r="AP16" s="682">
        <v>0</v>
      </c>
      <c r="AQ16" s="638">
        <v>0</v>
      </c>
      <c r="AR16" s="770">
        <v>0</v>
      </c>
      <c r="AS16" s="768"/>
    </row>
    <row r="17" spans="1:45" x14ac:dyDescent="0.2">
      <c r="A17" s="638" t="s">
        <v>425</v>
      </c>
      <c r="B17" s="772" t="b">
        <f>VLOOKUP(Bldg_Type,E34:N46,8,FALSE)</f>
        <v>0</v>
      </c>
      <c r="C17" s="648"/>
      <c r="D17" s="648"/>
      <c r="E17" s="769">
        <v>0.58333333333333304</v>
      </c>
      <c r="F17" s="637" t="s">
        <v>423</v>
      </c>
      <c r="G17" s="638" t="s">
        <v>423</v>
      </c>
      <c r="H17" s="770" t="s">
        <v>422</v>
      </c>
      <c r="I17" s="638" t="s">
        <v>423</v>
      </c>
      <c r="J17" s="638" t="s">
        <v>423</v>
      </c>
      <c r="K17" s="770" t="s">
        <v>423</v>
      </c>
      <c r="L17" s="638" t="s">
        <v>423</v>
      </c>
      <c r="M17" s="638" t="s">
        <v>423</v>
      </c>
      <c r="N17" s="770" t="s">
        <v>423</v>
      </c>
      <c r="O17" s="638" t="s">
        <v>423</v>
      </c>
      <c r="P17" s="638" t="s">
        <v>423</v>
      </c>
      <c r="Q17" s="770" t="s">
        <v>422</v>
      </c>
      <c r="R17" s="682" t="s">
        <v>423</v>
      </c>
      <c r="S17" s="638" t="s">
        <v>423</v>
      </c>
      <c r="T17" s="770" t="s">
        <v>423</v>
      </c>
      <c r="U17" s="682" t="s">
        <v>423</v>
      </c>
      <c r="V17" s="638" t="s">
        <v>423</v>
      </c>
      <c r="W17" s="770" t="s">
        <v>423</v>
      </c>
      <c r="X17" s="682" t="s">
        <v>423</v>
      </c>
      <c r="Y17" s="638" t="s">
        <v>422</v>
      </c>
      <c r="Z17" s="770" t="s">
        <v>422</v>
      </c>
      <c r="AA17" s="682" t="s">
        <v>423</v>
      </c>
      <c r="AB17" s="638" t="s">
        <v>423</v>
      </c>
      <c r="AC17" s="770" t="s">
        <v>422</v>
      </c>
      <c r="AD17" s="682" t="s">
        <v>423</v>
      </c>
      <c r="AE17" s="638" t="s">
        <v>423</v>
      </c>
      <c r="AF17" s="639" t="s">
        <v>423</v>
      </c>
      <c r="AG17" s="682" t="s">
        <v>423</v>
      </c>
      <c r="AH17" s="638" t="s">
        <v>423</v>
      </c>
      <c r="AI17" s="770" t="s">
        <v>423</v>
      </c>
      <c r="AJ17" s="637" t="s">
        <v>422</v>
      </c>
      <c r="AK17" s="638" t="s">
        <v>423</v>
      </c>
      <c r="AL17" s="770" t="s">
        <v>423</v>
      </c>
      <c r="AM17" s="637" t="s">
        <v>422</v>
      </c>
      <c r="AN17" s="638" t="s">
        <v>423</v>
      </c>
      <c r="AO17" s="770" t="s">
        <v>423</v>
      </c>
      <c r="AP17" s="682">
        <v>0</v>
      </c>
      <c r="AQ17" s="638">
        <v>0</v>
      </c>
      <c r="AR17" s="770">
        <v>0</v>
      </c>
      <c r="AS17" s="768"/>
    </row>
    <row r="18" spans="1:45" x14ac:dyDescent="0.2">
      <c r="A18" s="638" t="s">
        <v>426</v>
      </c>
      <c r="B18" s="772" t="b">
        <f>VLOOKUP(Bldg_Type,E34:N46,7,FALSE)</f>
        <v>0</v>
      </c>
      <c r="C18" s="648"/>
      <c r="D18" s="648"/>
      <c r="E18" s="769">
        <v>0.625</v>
      </c>
      <c r="F18" s="637" t="s">
        <v>423</v>
      </c>
      <c r="G18" s="638" t="s">
        <v>423</v>
      </c>
      <c r="H18" s="770" t="s">
        <v>422</v>
      </c>
      <c r="I18" s="638" t="s">
        <v>423</v>
      </c>
      <c r="J18" s="638" t="s">
        <v>423</v>
      </c>
      <c r="K18" s="770" t="s">
        <v>423</v>
      </c>
      <c r="L18" s="638" t="s">
        <v>423</v>
      </c>
      <c r="M18" s="638" t="s">
        <v>423</v>
      </c>
      <c r="N18" s="770" t="s">
        <v>423</v>
      </c>
      <c r="O18" s="638" t="s">
        <v>423</v>
      </c>
      <c r="P18" s="638" t="s">
        <v>423</v>
      </c>
      <c r="Q18" s="770" t="s">
        <v>422</v>
      </c>
      <c r="R18" s="682" t="s">
        <v>423</v>
      </c>
      <c r="S18" s="638" t="s">
        <v>423</v>
      </c>
      <c r="T18" s="770" t="s">
        <v>423</v>
      </c>
      <c r="U18" s="682" t="s">
        <v>423</v>
      </c>
      <c r="V18" s="638" t="s">
        <v>423</v>
      </c>
      <c r="W18" s="770" t="s">
        <v>423</v>
      </c>
      <c r="X18" s="682" t="s">
        <v>423</v>
      </c>
      <c r="Y18" s="638" t="s">
        <v>422</v>
      </c>
      <c r="Z18" s="770" t="s">
        <v>422</v>
      </c>
      <c r="AA18" s="682" t="s">
        <v>423</v>
      </c>
      <c r="AB18" s="638" t="s">
        <v>423</v>
      </c>
      <c r="AC18" s="770" t="s">
        <v>422</v>
      </c>
      <c r="AD18" s="682" t="s">
        <v>423</v>
      </c>
      <c r="AE18" s="638" t="s">
        <v>423</v>
      </c>
      <c r="AF18" s="639" t="s">
        <v>423</v>
      </c>
      <c r="AG18" s="682" t="s">
        <v>423</v>
      </c>
      <c r="AH18" s="638" t="s">
        <v>423</v>
      </c>
      <c r="AI18" s="770" t="s">
        <v>423</v>
      </c>
      <c r="AJ18" s="637" t="s">
        <v>422</v>
      </c>
      <c r="AK18" s="638" t="s">
        <v>423</v>
      </c>
      <c r="AL18" s="770" t="s">
        <v>423</v>
      </c>
      <c r="AM18" s="637" t="s">
        <v>422</v>
      </c>
      <c r="AN18" s="638" t="s">
        <v>423</v>
      </c>
      <c r="AO18" s="770" t="s">
        <v>423</v>
      </c>
      <c r="AP18" s="682">
        <v>0</v>
      </c>
      <c r="AQ18" s="638">
        <v>0</v>
      </c>
      <c r="AR18" s="770">
        <v>0</v>
      </c>
      <c r="AS18" s="768"/>
    </row>
    <row r="19" spans="1:45" x14ac:dyDescent="0.2">
      <c r="A19" s="638" t="s">
        <v>427</v>
      </c>
      <c r="B19" s="638">
        <f>IF(Inputs!C33&lt;&gt;0,Inputs!C33,15)</f>
        <v>15</v>
      </c>
      <c r="C19" s="648"/>
      <c r="D19" s="648"/>
      <c r="E19" s="769">
        <v>0.66666666666666696</v>
      </c>
      <c r="F19" s="637" t="s">
        <v>423</v>
      </c>
      <c r="G19" s="638" t="s">
        <v>423</v>
      </c>
      <c r="H19" s="770" t="s">
        <v>422</v>
      </c>
      <c r="I19" s="638" t="s">
        <v>423</v>
      </c>
      <c r="J19" s="638" t="s">
        <v>423</v>
      </c>
      <c r="K19" s="770" t="s">
        <v>423</v>
      </c>
      <c r="L19" s="638" t="s">
        <v>423</v>
      </c>
      <c r="M19" s="638" t="s">
        <v>423</v>
      </c>
      <c r="N19" s="770" t="s">
        <v>423</v>
      </c>
      <c r="O19" s="638" t="s">
        <v>423</v>
      </c>
      <c r="P19" s="638" t="s">
        <v>423</v>
      </c>
      <c r="Q19" s="770" t="s">
        <v>422</v>
      </c>
      <c r="R19" s="682" t="s">
        <v>423</v>
      </c>
      <c r="S19" s="638" t="s">
        <v>423</v>
      </c>
      <c r="T19" s="770" t="s">
        <v>423</v>
      </c>
      <c r="U19" s="682" t="s">
        <v>423</v>
      </c>
      <c r="V19" s="638" t="s">
        <v>423</v>
      </c>
      <c r="W19" s="770" t="s">
        <v>423</v>
      </c>
      <c r="X19" s="682" t="s">
        <v>423</v>
      </c>
      <c r="Y19" s="638" t="s">
        <v>422</v>
      </c>
      <c r="Z19" s="770" t="s">
        <v>422</v>
      </c>
      <c r="AA19" s="682" t="s">
        <v>423</v>
      </c>
      <c r="AB19" s="638" t="s">
        <v>423</v>
      </c>
      <c r="AC19" s="770" t="s">
        <v>422</v>
      </c>
      <c r="AD19" s="682" t="s">
        <v>423</v>
      </c>
      <c r="AE19" s="638" t="s">
        <v>423</v>
      </c>
      <c r="AF19" s="639" t="s">
        <v>423</v>
      </c>
      <c r="AG19" s="682" t="s">
        <v>423</v>
      </c>
      <c r="AH19" s="638" t="s">
        <v>423</v>
      </c>
      <c r="AI19" s="770" t="s">
        <v>423</v>
      </c>
      <c r="AJ19" s="637" t="s">
        <v>423</v>
      </c>
      <c r="AK19" s="638" t="s">
        <v>423</v>
      </c>
      <c r="AL19" s="770" t="s">
        <v>423</v>
      </c>
      <c r="AM19" s="637" t="s">
        <v>423</v>
      </c>
      <c r="AN19" s="638" t="s">
        <v>423</v>
      </c>
      <c r="AO19" s="770" t="s">
        <v>423</v>
      </c>
      <c r="AP19" s="682">
        <v>0</v>
      </c>
      <c r="AQ19" s="638">
        <v>0</v>
      </c>
      <c r="AR19" s="770">
        <v>0</v>
      </c>
      <c r="AS19" s="768"/>
    </row>
    <row r="20" spans="1:45" x14ac:dyDescent="0.2">
      <c r="A20" s="638" t="s">
        <v>428</v>
      </c>
      <c r="B20" s="638">
        <f>IF(Inputs!C32&lt;&gt;0,Inputs!C32,87)</f>
        <v>87</v>
      </c>
      <c r="C20" s="648"/>
      <c r="D20" s="648"/>
      <c r="E20" s="769">
        <v>0.70833333333333304</v>
      </c>
      <c r="F20" s="637" t="s">
        <v>423</v>
      </c>
      <c r="G20" s="638" t="s">
        <v>423</v>
      </c>
      <c r="H20" s="770" t="s">
        <v>422</v>
      </c>
      <c r="I20" s="638" t="s">
        <v>423</v>
      </c>
      <c r="J20" s="638" t="s">
        <v>423</v>
      </c>
      <c r="K20" s="770" t="s">
        <v>423</v>
      </c>
      <c r="L20" s="638" t="s">
        <v>423</v>
      </c>
      <c r="M20" s="638" t="s">
        <v>423</v>
      </c>
      <c r="N20" s="770" t="s">
        <v>423</v>
      </c>
      <c r="O20" s="638" t="s">
        <v>423</v>
      </c>
      <c r="P20" s="638" t="s">
        <v>423</v>
      </c>
      <c r="Q20" s="770" t="s">
        <v>422</v>
      </c>
      <c r="R20" s="682" t="s">
        <v>423</v>
      </c>
      <c r="S20" s="638" t="s">
        <v>423</v>
      </c>
      <c r="T20" s="770" t="s">
        <v>423</v>
      </c>
      <c r="U20" s="682" t="s">
        <v>423</v>
      </c>
      <c r="V20" s="638" t="s">
        <v>423</v>
      </c>
      <c r="W20" s="770" t="s">
        <v>423</v>
      </c>
      <c r="X20" s="682" t="s">
        <v>423</v>
      </c>
      <c r="Y20" s="638" t="s">
        <v>422</v>
      </c>
      <c r="Z20" s="770" t="s">
        <v>422</v>
      </c>
      <c r="AA20" s="682" t="s">
        <v>423</v>
      </c>
      <c r="AB20" s="638" t="s">
        <v>422</v>
      </c>
      <c r="AC20" s="770" t="s">
        <v>422</v>
      </c>
      <c r="AD20" s="682" t="s">
        <v>423</v>
      </c>
      <c r="AE20" s="638" t="s">
        <v>423</v>
      </c>
      <c r="AF20" s="639" t="s">
        <v>423</v>
      </c>
      <c r="AG20" s="682" t="s">
        <v>423</v>
      </c>
      <c r="AH20" s="638" t="s">
        <v>423</v>
      </c>
      <c r="AI20" s="770" t="s">
        <v>423</v>
      </c>
      <c r="AJ20" s="637" t="s">
        <v>423</v>
      </c>
      <c r="AK20" s="638" t="s">
        <v>423</v>
      </c>
      <c r="AL20" s="770" t="s">
        <v>423</v>
      </c>
      <c r="AM20" s="637" t="s">
        <v>423</v>
      </c>
      <c r="AN20" s="638" t="s">
        <v>423</v>
      </c>
      <c r="AO20" s="770" t="s">
        <v>423</v>
      </c>
      <c r="AP20" s="682">
        <v>0</v>
      </c>
      <c r="AQ20" s="638">
        <v>0</v>
      </c>
      <c r="AR20" s="770">
        <v>0</v>
      </c>
      <c r="AS20" s="768"/>
    </row>
    <row r="21" spans="1:45" x14ac:dyDescent="0.2">
      <c r="A21" s="648"/>
      <c r="B21" s="648"/>
      <c r="C21" s="648"/>
      <c r="D21" s="648"/>
      <c r="E21" s="769">
        <v>0.75</v>
      </c>
      <c r="F21" s="637" t="s">
        <v>423</v>
      </c>
      <c r="G21" s="638" t="s">
        <v>422</v>
      </c>
      <c r="H21" s="770" t="s">
        <v>422</v>
      </c>
      <c r="I21" s="638" t="s">
        <v>423</v>
      </c>
      <c r="J21" s="638" t="s">
        <v>423</v>
      </c>
      <c r="K21" s="770" t="s">
        <v>423</v>
      </c>
      <c r="L21" s="638" t="s">
        <v>423</v>
      </c>
      <c r="M21" s="638" t="s">
        <v>423</v>
      </c>
      <c r="N21" s="770" t="s">
        <v>423</v>
      </c>
      <c r="O21" s="638" t="s">
        <v>423</v>
      </c>
      <c r="P21" s="638" t="s">
        <v>423</v>
      </c>
      <c r="Q21" s="770" t="s">
        <v>422</v>
      </c>
      <c r="R21" s="682" t="s">
        <v>423</v>
      </c>
      <c r="S21" s="638" t="s">
        <v>423</v>
      </c>
      <c r="T21" s="770" t="s">
        <v>423</v>
      </c>
      <c r="U21" s="682" t="s">
        <v>423</v>
      </c>
      <c r="V21" s="638" t="s">
        <v>423</v>
      </c>
      <c r="W21" s="770" t="s">
        <v>422</v>
      </c>
      <c r="X21" s="682" t="s">
        <v>423</v>
      </c>
      <c r="Y21" s="638" t="s">
        <v>422</v>
      </c>
      <c r="Z21" s="770" t="s">
        <v>422</v>
      </c>
      <c r="AA21" s="682" t="s">
        <v>422</v>
      </c>
      <c r="AB21" s="638" t="s">
        <v>422</v>
      </c>
      <c r="AC21" s="770" t="s">
        <v>422</v>
      </c>
      <c r="AD21" s="682" t="s">
        <v>423</v>
      </c>
      <c r="AE21" s="638" t="s">
        <v>423</v>
      </c>
      <c r="AF21" s="639" t="s">
        <v>423</v>
      </c>
      <c r="AG21" s="682" t="s">
        <v>423</v>
      </c>
      <c r="AH21" s="638" t="s">
        <v>423</v>
      </c>
      <c r="AI21" s="770" t="s">
        <v>423</v>
      </c>
      <c r="AJ21" s="637" t="s">
        <v>423</v>
      </c>
      <c r="AK21" s="638" t="s">
        <v>423</v>
      </c>
      <c r="AL21" s="770" t="s">
        <v>423</v>
      </c>
      <c r="AM21" s="637" t="s">
        <v>423</v>
      </c>
      <c r="AN21" s="638" t="s">
        <v>423</v>
      </c>
      <c r="AO21" s="770" t="s">
        <v>423</v>
      </c>
      <c r="AP21" s="682">
        <v>0</v>
      </c>
      <c r="AQ21" s="638">
        <v>0</v>
      </c>
      <c r="AR21" s="770">
        <v>0</v>
      </c>
      <c r="AS21" s="768"/>
    </row>
    <row r="22" spans="1:45" x14ac:dyDescent="0.2">
      <c r="A22" s="648"/>
      <c r="B22" s="648"/>
      <c r="C22" s="648"/>
      <c r="D22" s="648"/>
      <c r="E22" s="769">
        <v>0.79166666666666596</v>
      </c>
      <c r="F22" s="637" t="s">
        <v>423</v>
      </c>
      <c r="G22" s="638" t="s">
        <v>422</v>
      </c>
      <c r="H22" s="770" t="s">
        <v>422</v>
      </c>
      <c r="I22" s="638" t="s">
        <v>423</v>
      </c>
      <c r="J22" s="638" t="s">
        <v>423</v>
      </c>
      <c r="K22" s="770" t="s">
        <v>423</v>
      </c>
      <c r="L22" s="638" t="s">
        <v>423</v>
      </c>
      <c r="M22" s="638" t="s">
        <v>423</v>
      </c>
      <c r="N22" s="770" t="s">
        <v>423</v>
      </c>
      <c r="O22" s="638" t="s">
        <v>423</v>
      </c>
      <c r="P22" s="638" t="s">
        <v>422</v>
      </c>
      <c r="Q22" s="770" t="s">
        <v>422</v>
      </c>
      <c r="R22" s="682" t="s">
        <v>423</v>
      </c>
      <c r="S22" s="638" t="s">
        <v>423</v>
      </c>
      <c r="T22" s="770" t="s">
        <v>423</v>
      </c>
      <c r="U22" s="682" t="s">
        <v>423</v>
      </c>
      <c r="V22" s="638" t="s">
        <v>423</v>
      </c>
      <c r="W22" s="770" t="s">
        <v>422</v>
      </c>
      <c r="X22" s="682" t="s">
        <v>423</v>
      </c>
      <c r="Y22" s="638" t="s">
        <v>422</v>
      </c>
      <c r="Z22" s="770" t="s">
        <v>422</v>
      </c>
      <c r="AA22" s="682" t="s">
        <v>422</v>
      </c>
      <c r="AB22" s="638" t="s">
        <v>422</v>
      </c>
      <c r="AC22" s="770" t="s">
        <v>422</v>
      </c>
      <c r="AD22" s="682" t="s">
        <v>423</v>
      </c>
      <c r="AE22" s="638" t="s">
        <v>423</v>
      </c>
      <c r="AF22" s="639" t="s">
        <v>423</v>
      </c>
      <c r="AG22" s="682" t="s">
        <v>423</v>
      </c>
      <c r="AH22" s="638" t="s">
        <v>423</v>
      </c>
      <c r="AI22" s="770" t="s">
        <v>423</v>
      </c>
      <c r="AJ22" s="637" t="s">
        <v>423</v>
      </c>
      <c r="AK22" s="638" t="s">
        <v>423</v>
      </c>
      <c r="AL22" s="770" t="s">
        <v>423</v>
      </c>
      <c r="AM22" s="637" t="s">
        <v>423</v>
      </c>
      <c r="AN22" s="638" t="s">
        <v>423</v>
      </c>
      <c r="AO22" s="770" t="s">
        <v>423</v>
      </c>
      <c r="AP22" s="682">
        <v>0</v>
      </c>
      <c r="AQ22" s="638">
        <v>0</v>
      </c>
      <c r="AR22" s="770">
        <v>0</v>
      </c>
      <c r="AS22" s="768"/>
    </row>
    <row r="23" spans="1:45" x14ac:dyDescent="0.2">
      <c r="A23" s="648"/>
      <c r="B23" s="648"/>
      <c r="C23" s="648"/>
      <c r="D23" s="648"/>
      <c r="E23" s="769">
        <v>0.83333333333333304</v>
      </c>
      <c r="F23" s="637" t="s">
        <v>423</v>
      </c>
      <c r="G23" s="638" t="s">
        <v>422</v>
      </c>
      <c r="H23" s="770" t="s">
        <v>422</v>
      </c>
      <c r="I23" s="638" t="s">
        <v>423</v>
      </c>
      <c r="J23" s="638" t="s">
        <v>423</v>
      </c>
      <c r="K23" s="770" t="s">
        <v>423</v>
      </c>
      <c r="L23" s="638" t="s">
        <v>423</v>
      </c>
      <c r="M23" s="638" t="s">
        <v>423</v>
      </c>
      <c r="N23" s="770" t="s">
        <v>423</v>
      </c>
      <c r="O23" s="638" t="s">
        <v>423</v>
      </c>
      <c r="P23" s="638" t="s">
        <v>422</v>
      </c>
      <c r="Q23" s="770" t="s">
        <v>422</v>
      </c>
      <c r="R23" s="682" t="s">
        <v>423</v>
      </c>
      <c r="S23" s="638" t="s">
        <v>423</v>
      </c>
      <c r="T23" s="770" t="s">
        <v>423</v>
      </c>
      <c r="U23" s="682" t="s">
        <v>423</v>
      </c>
      <c r="V23" s="638" t="s">
        <v>423</v>
      </c>
      <c r="W23" s="770" t="s">
        <v>422</v>
      </c>
      <c r="X23" s="682" t="s">
        <v>423</v>
      </c>
      <c r="Y23" s="638" t="s">
        <v>422</v>
      </c>
      <c r="Z23" s="770" t="s">
        <v>422</v>
      </c>
      <c r="AA23" s="682" t="s">
        <v>422</v>
      </c>
      <c r="AB23" s="638" t="s">
        <v>422</v>
      </c>
      <c r="AC23" s="770" t="s">
        <v>422</v>
      </c>
      <c r="AD23" s="682" t="s">
        <v>423</v>
      </c>
      <c r="AE23" s="638" t="s">
        <v>423</v>
      </c>
      <c r="AF23" s="639" t="s">
        <v>423</v>
      </c>
      <c r="AG23" s="682" t="s">
        <v>423</v>
      </c>
      <c r="AH23" s="638" t="s">
        <v>423</v>
      </c>
      <c r="AI23" s="770" t="s">
        <v>423</v>
      </c>
      <c r="AJ23" s="637" t="s">
        <v>423</v>
      </c>
      <c r="AK23" s="638" t="s">
        <v>423</v>
      </c>
      <c r="AL23" s="770" t="s">
        <v>423</v>
      </c>
      <c r="AM23" s="637" t="s">
        <v>423</v>
      </c>
      <c r="AN23" s="638" t="s">
        <v>423</v>
      </c>
      <c r="AO23" s="770" t="s">
        <v>423</v>
      </c>
      <c r="AP23" s="682">
        <v>0</v>
      </c>
      <c r="AQ23" s="638">
        <v>0</v>
      </c>
      <c r="AR23" s="770">
        <v>0</v>
      </c>
      <c r="AS23" s="768"/>
    </row>
    <row r="24" spans="1:45" x14ac:dyDescent="0.2">
      <c r="A24" s="648"/>
      <c r="B24" s="648"/>
      <c r="C24" s="648"/>
      <c r="D24" s="648"/>
      <c r="E24" s="769">
        <v>0.875</v>
      </c>
      <c r="F24" s="637" t="s">
        <v>423</v>
      </c>
      <c r="G24" s="638" t="s">
        <v>422</v>
      </c>
      <c r="H24" s="770" t="s">
        <v>422</v>
      </c>
      <c r="I24" s="638" t="s">
        <v>423</v>
      </c>
      <c r="J24" s="638" t="s">
        <v>423</v>
      </c>
      <c r="K24" s="770" t="s">
        <v>423</v>
      </c>
      <c r="L24" s="638" t="s">
        <v>423</v>
      </c>
      <c r="M24" s="638" t="s">
        <v>423</v>
      </c>
      <c r="N24" s="770" t="s">
        <v>423</v>
      </c>
      <c r="O24" s="638" t="s">
        <v>423</v>
      </c>
      <c r="P24" s="638" t="s">
        <v>422</v>
      </c>
      <c r="Q24" s="770" t="s">
        <v>422</v>
      </c>
      <c r="R24" s="682" t="s">
        <v>423</v>
      </c>
      <c r="S24" s="638" t="s">
        <v>423</v>
      </c>
      <c r="T24" s="770" t="s">
        <v>423</v>
      </c>
      <c r="U24" s="682" t="s">
        <v>423</v>
      </c>
      <c r="V24" s="638" t="s">
        <v>423</v>
      </c>
      <c r="W24" s="770" t="s">
        <v>422</v>
      </c>
      <c r="X24" s="682" t="s">
        <v>423</v>
      </c>
      <c r="Y24" s="638" t="s">
        <v>422</v>
      </c>
      <c r="Z24" s="770" t="s">
        <v>422</v>
      </c>
      <c r="AA24" s="682" t="s">
        <v>422</v>
      </c>
      <c r="AB24" s="638" t="s">
        <v>422</v>
      </c>
      <c r="AC24" s="770" t="s">
        <v>422</v>
      </c>
      <c r="AD24" s="682" t="s">
        <v>423</v>
      </c>
      <c r="AE24" s="638" t="s">
        <v>423</v>
      </c>
      <c r="AF24" s="639" t="s">
        <v>423</v>
      </c>
      <c r="AG24" s="682" t="s">
        <v>423</v>
      </c>
      <c r="AH24" s="638" t="s">
        <v>423</v>
      </c>
      <c r="AI24" s="770" t="s">
        <v>423</v>
      </c>
      <c r="AJ24" s="637" t="s">
        <v>423</v>
      </c>
      <c r="AK24" s="638" t="s">
        <v>423</v>
      </c>
      <c r="AL24" s="770" t="s">
        <v>423</v>
      </c>
      <c r="AM24" s="637" t="s">
        <v>423</v>
      </c>
      <c r="AN24" s="638" t="s">
        <v>423</v>
      </c>
      <c r="AO24" s="770" t="s">
        <v>423</v>
      </c>
      <c r="AP24" s="682">
        <v>0</v>
      </c>
      <c r="AQ24" s="638">
        <v>0</v>
      </c>
      <c r="AR24" s="770">
        <v>0</v>
      </c>
      <c r="AS24" s="768"/>
    </row>
    <row r="25" spans="1:45" x14ac:dyDescent="0.2">
      <c r="A25" s="648"/>
      <c r="B25" s="648"/>
      <c r="C25" s="648"/>
      <c r="D25" s="648"/>
      <c r="E25" s="769">
        <v>0.91666666666666596</v>
      </c>
      <c r="F25" s="637" t="s">
        <v>422</v>
      </c>
      <c r="G25" s="638" t="s">
        <v>422</v>
      </c>
      <c r="H25" s="770" t="s">
        <v>422</v>
      </c>
      <c r="I25" s="638" t="s">
        <v>423</v>
      </c>
      <c r="J25" s="638" t="s">
        <v>423</v>
      </c>
      <c r="K25" s="770" t="s">
        <v>423</v>
      </c>
      <c r="L25" s="638" t="s">
        <v>423</v>
      </c>
      <c r="M25" s="638" t="s">
        <v>423</v>
      </c>
      <c r="N25" s="770" t="s">
        <v>423</v>
      </c>
      <c r="O25" s="638" t="s">
        <v>423</v>
      </c>
      <c r="P25" s="638" t="s">
        <v>422</v>
      </c>
      <c r="Q25" s="770" t="s">
        <v>422</v>
      </c>
      <c r="R25" s="682" t="s">
        <v>423</v>
      </c>
      <c r="S25" s="638" t="s">
        <v>423</v>
      </c>
      <c r="T25" s="770" t="s">
        <v>423</v>
      </c>
      <c r="U25" s="682" t="s">
        <v>422</v>
      </c>
      <c r="V25" s="638" t="s">
        <v>423</v>
      </c>
      <c r="W25" s="770" t="s">
        <v>422</v>
      </c>
      <c r="X25" s="682" t="s">
        <v>423</v>
      </c>
      <c r="Y25" s="638" t="s">
        <v>422</v>
      </c>
      <c r="Z25" s="770" t="s">
        <v>422</v>
      </c>
      <c r="AA25" s="682" t="s">
        <v>422</v>
      </c>
      <c r="AB25" s="638" t="s">
        <v>422</v>
      </c>
      <c r="AC25" s="770" t="s">
        <v>422</v>
      </c>
      <c r="AD25" s="682" t="s">
        <v>423</v>
      </c>
      <c r="AE25" s="638" t="s">
        <v>423</v>
      </c>
      <c r="AF25" s="639" t="s">
        <v>423</v>
      </c>
      <c r="AG25" s="682" t="s">
        <v>423</v>
      </c>
      <c r="AH25" s="638" t="s">
        <v>423</v>
      </c>
      <c r="AI25" s="770" t="s">
        <v>423</v>
      </c>
      <c r="AJ25" s="637" t="s">
        <v>423</v>
      </c>
      <c r="AK25" s="638" t="s">
        <v>423</v>
      </c>
      <c r="AL25" s="770" t="s">
        <v>423</v>
      </c>
      <c r="AM25" s="637" t="s">
        <v>423</v>
      </c>
      <c r="AN25" s="638" t="s">
        <v>423</v>
      </c>
      <c r="AO25" s="770" t="s">
        <v>423</v>
      </c>
      <c r="AP25" s="682">
        <v>0</v>
      </c>
      <c r="AQ25" s="638">
        <v>0</v>
      </c>
      <c r="AR25" s="770">
        <v>0</v>
      </c>
      <c r="AS25" s="768"/>
    </row>
    <row r="26" spans="1:45" x14ac:dyDescent="0.2">
      <c r="A26" s="648"/>
      <c r="B26" s="648"/>
      <c r="C26" s="648"/>
      <c r="D26" s="648"/>
      <c r="E26" s="769">
        <v>0.95833333333333304</v>
      </c>
      <c r="F26" s="637" t="s">
        <v>422</v>
      </c>
      <c r="G26" s="638" t="s">
        <v>422</v>
      </c>
      <c r="H26" s="770" t="s">
        <v>422</v>
      </c>
      <c r="I26" s="638" t="s">
        <v>423</v>
      </c>
      <c r="J26" s="638" t="s">
        <v>423</v>
      </c>
      <c r="K26" s="770" t="s">
        <v>423</v>
      </c>
      <c r="L26" s="638" t="s">
        <v>423</v>
      </c>
      <c r="M26" s="638" t="s">
        <v>423</v>
      </c>
      <c r="N26" s="770" t="s">
        <v>423</v>
      </c>
      <c r="O26" s="638" t="s">
        <v>422</v>
      </c>
      <c r="P26" s="638" t="s">
        <v>422</v>
      </c>
      <c r="Q26" s="770" t="s">
        <v>422</v>
      </c>
      <c r="R26" s="682" t="s">
        <v>423</v>
      </c>
      <c r="S26" s="638" t="s">
        <v>423</v>
      </c>
      <c r="T26" s="770" t="s">
        <v>423</v>
      </c>
      <c r="U26" s="682" t="s">
        <v>422</v>
      </c>
      <c r="V26" s="638" t="s">
        <v>422</v>
      </c>
      <c r="W26" s="770" t="s">
        <v>422</v>
      </c>
      <c r="X26" s="682" t="s">
        <v>422</v>
      </c>
      <c r="Y26" s="638" t="s">
        <v>422</v>
      </c>
      <c r="Z26" s="770" t="s">
        <v>422</v>
      </c>
      <c r="AA26" s="682" t="s">
        <v>422</v>
      </c>
      <c r="AB26" s="638" t="s">
        <v>422</v>
      </c>
      <c r="AC26" s="770" t="s">
        <v>422</v>
      </c>
      <c r="AD26" s="682" t="s">
        <v>423</v>
      </c>
      <c r="AE26" s="638" t="s">
        <v>423</v>
      </c>
      <c r="AF26" s="639" t="s">
        <v>423</v>
      </c>
      <c r="AG26" s="682" t="s">
        <v>423</v>
      </c>
      <c r="AH26" s="638" t="s">
        <v>423</v>
      </c>
      <c r="AI26" s="770" t="s">
        <v>423</v>
      </c>
      <c r="AJ26" s="637" t="s">
        <v>423</v>
      </c>
      <c r="AK26" s="638" t="s">
        <v>423</v>
      </c>
      <c r="AL26" s="770" t="s">
        <v>423</v>
      </c>
      <c r="AM26" s="637" t="s">
        <v>423</v>
      </c>
      <c r="AN26" s="638" t="s">
        <v>423</v>
      </c>
      <c r="AO26" s="770" t="s">
        <v>423</v>
      </c>
      <c r="AP26" s="682">
        <v>0</v>
      </c>
      <c r="AQ26" s="638">
        <v>0</v>
      </c>
      <c r="AR26" s="770">
        <v>0</v>
      </c>
      <c r="AS26" s="768"/>
    </row>
    <row r="27" spans="1:45" ht="13.5" thickBot="1" x14ac:dyDescent="0.25">
      <c r="A27" s="648"/>
      <c r="B27" s="648"/>
      <c r="C27" s="648"/>
      <c r="D27" s="648"/>
      <c r="E27" s="773">
        <v>0</v>
      </c>
      <c r="F27" s="774" t="s">
        <v>422</v>
      </c>
      <c r="G27" s="775" t="s">
        <v>422</v>
      </c>
      <c r="H27" s="771" t="s">
        <v>422</v>
      </c>
      <c r="I27" s="775" t="s">
        <v>422</v>
      </c>
      <c r="J27" s="775" t="s">
        <v>422</v>
      </c>
      <c r="K27" s="771" t="s">
        <v>422</v>
      </c>
      <c r="L27" s="775" t="s">
        <v>423</v>
      </c>
      <c r="M27" s="775" t="s">
        <v>423</v>
      </c>
      <c r="N27" s="771" t="s">
        <v>423</v>
      </c>
      <c r="O27" s="775" t="s">
        <v>422</v>
      </c>
      <c r="P27" s="775" t="s">
        <v>422</v>
      </c>
      <c r="Q27" s="771" t="s">
        <v>422</v>
      </c>
      <c r="R27" s="685" t="s">
        <v>423</v>
      </c>
      <c r="S27" s="775" t="s">
        <v>423</v>
      </c>
      <c r="T27" s="776" t="s">
        <v>423</v>
      </c>
      <c r="U27" s="685" t="s">
        <v>422</v>
      </c>
      <c r="V27" s="775" t="s">
        <v>422</v>
      </c>
      <c r="W27" s="776" t="s">
        <v>422</v>
      </c>
      <c r="X27" s="685" t="s">
        <v>422</v>
      </c>
      <c r="Y27" s="775" t="s">
        <v>422</v>
      </c>
      <c r="Z27" s="776" t="s">
        <v>422</v>
      </c>
      <c r="AA27" s="685" t="s">
        <v>422</v>
      </c>
      <c r="AB27" s="775" t="s">
        <v>422</v>
      </c>
      <c r="AC27" s="776" t="s">
        <v>422</v>
      </c>
      <c r="AD27" s="685" t="s">
        <v>423</v>
      </c>
      <c r="AE27" s="775" t="s">
        <v>423</v>
      </c>
      <c r="AF27" s="777" t="s">
        <v>423</v>
      </c>
      <c r="AG27" s="685" t="s">
        <v>423</v>
      </c>
      <c r="AH27" s="775" t="s">
        <v>423</v>
      </c>
      <c r="AI27" s="776" t="s">
        <v>423</v>
      </c>
      <c r="AJ27" s="774" t="s">
        <v>423</v>
      </c>
      <c r="AK27" s="775" t="s">
        <v>423</v>
      </c>
      <c r="AL27" s="776" t="s">
        <v>423</v>
      </c>
      <c r="AM27" s="774" t="s">
        <v>423</v>
      </c>
      <c r="AN27" s="775" t="s">
        <v>423</v>
      </c>
      <c r="AO27" s="776" t="s">
        <v>423</v>
      </c>
      <c r="AP27" s="685">
        <v>0</v>
      </c>
      <c r="AQ27" s="775">
        <v>0</v>
      </c>
      <c r="AR27" s="776">
        <v>0</v>
      </c>
      <c r="AS27" s="648"/>
    </row>
    <row r="28" spans="1:45" x14ac:dyDescent="0.2">
      <c r="A28" s="648"/>
      <c r="B28" s="648"/>
      <c r="C28" s="648"/>
      <c r="D28" s="648"/>
      <c r="E28" s="778"/>
      <c r="F28" s="648"/>
      <c r="G28" s="648"/>
      <c r="H28" s="778"/>
      <c r="I28" s="648"/>
      <c r="J28" s="648"/>
      <c r="K28" s="778"/>
      <c r="L28" s="648"/>
      <c r="M28" s="648"/>
      <c r="N28" s="778"/>
      <c r="O28" s="648"/>
      <c r="P28" s="648"/>
      <c r="Q28" s="778"/>
      <c r="R28" s="648"/>
      <c r="S28" s="648"/>
      <c r="T28" s="778"/>
      <c r="U28" s="648"/>
      <c r="V28" s="648"/>
      <c r="W28" s="778"/>
      <c r="X28" s="648"/>
      <c r="Y28" s="648"/>
      <c r="Z28" s="778"/>
      <c r="AA28" s="648"/>
      <c r="AB28" s="648"/>
      <c r="AC28" s="648"/>
      <c r="AD28" s="648"/>
      <c r="AE28" s="648"/>
      <c r="AF28" s="648"/>
      <c r="AG28" s="648"/>
      <c r="AH28" s="648"/>
      <c r="AI28" s="648"/>
      <c r="AJ28" s="648"/>
      <c r="AK28" s="648"/>
      <c r="AL28" s="648"/>
      <c r="AM28" s="648"/>
      <c r="AN28" s="648"/>
      <c r="AO28" s="648"/>
      <c r="AP28" s="648"/>
      <c r="AQ28" s="648"/>
      <c r="AR28" s="648"/>
      <c r="AS28" s="648"/>
    </row>
    <row r="29" spans="1:45" ht="13.5" thickBot="1" x14ac:dyDescent="0.25">
      <c r="A29" s="648"/>
      <c r="B29" s="648"/>
      <c r="C29" s="648"/>
      <c r="D29" s="648"/>
      <c r="E29" s="648"/>
      <c r="F29" s="648"/>
      <c r="G29" s="648"/>
      <c r="H29" s="648"/>
      <c r="I29" s="648"/>
      <c r="J29" s="648"/>
      <c r="K29" s="648"/>
      <c r="L29" s="648"/>
      <c r="M29" s="648"/>
      <c r="N29" s="648"/>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row>
    <row r="30" spans="1:45" ht="13.5" thickBot="1" x14ac:dyDescent="0.25">
      <c r="A30" s="648"/>
      <c r="B30" s="648"/>
      <c r="C30" s="648"/>
      <c r="D30" s="648"/>
      <c r="E30" s="648"/>
      <c r="F30" s="648"/>
      <c r="G30" s="648"/>
      <c r="H30" s="648"/>
      <c r="I30" s="648"/>
      <c r="J30" s="648"/>
      <c r="K30" s="901" t="s">
        <v>429</v>
      </c>
      <c r="L30" s="902"/>
      <c r="M30" s="902"/>
      <c r="N30" s="902"/>
      <c r="O30" s="902"/>
      <c r="P30" s="902"/>
      <c r="Q30" s="902"/>
      <c r="R30" s="903"/>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row>
    <row r="31" spans="1:45" ht="13.5" thickBot="1" x14ac:dyDescent="0.25">
      <c r="A31" s="648"/>
      <c r="B31" s="648"/>
      <c r="C31" s="648"/>
      <c r="D31" s="648"/>
      <c r="E31" s="904" t="s">
        <v>430</v>
      </c>
      <c r="F31" s="905"/>
      <c r="G31" s="901" t="s">
        <v>431</v>
      </c>
      <c r="H31" s="902"/>
      <c r="I31" s="902"/>
      <c r="J31" s="903"/>
      <c r="K31" s="908" t="s">
        <v>432</v>
      </c>
      <c r="L31" s="909"/>
      <c r="M31" s="909"/>
      <c r="N31" s="910"/>
      <c r="O31" s="908" t="s">
        <v>433</v>
      </c>
      <c r="P31" s="909"/>
      <c r="Q31" s="909"/>
      <c r="R31" s="910"/>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row>
    <row r="32" spans="1:45" ht="13.5" thickBot="1" x14ac:dyDescent="0.25">
      <c r="A32" s="648"/>
      <c r="B32" s="648"/>
      <c r="C32" s="648"/>
      <c r="D32" s="648"/>
      <c r="E32" s="906"/>
      <c r="F32" s="907"/>
      <c r="G32" s="911" t="s">
        <v>164</v>
      </c>
      <c r="H32" s="912"/>
      <c r="I32" s="912" t="s">
        <v>165</v>
      </c>
      <c r="J32" s="913"/>
      <c r="K32" s="914" t="s">
        <v>164</v>
      </c>
      <c r="L32" s="915"/>
      <c r="M32" s="916" t="s">
        <v>165</v>
      </c>
      <c r="N32" s="917"/>
      <c r="O32" s="914" t="s">
        <v>164</v>
      </c>
      <c r="P32" s="915"/>
      <c r="Q32" s="916" t="s">
        <v>165</v>
      </c>
      <c r="R32" s="917"/>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row>
    <row r="33" spans="5:18" ht="13.5" thickBot="1" x14ac:dyDescent="0.25">
      <c r="E33" s="779" t="s">
        <v>404</v>
      </c>
      <c r="F33" s="780"/>
      <c r="G33" s="685" t="s">
        <v>264</v>
      </c>
      <c r="H33" s="775" t="s">
        <v>269</v>
      </c>
      <c r="I33" s="775" t="s">
        <v>264</v>
      </c>
      <c r="J33" s="776" t="s">
        <v>269</v>
      </c>
      <c r="K33" s="685" t="s">
        <v>264</v>
      </c>
      <c r="L33" s="775" t="s">
        <v>269</v>
      </c>
      <c r="M33" s="775" t="s">
        <v>264</v>
      </c>
      <c r="N33" s="776" t="s">
        <v>269</v>
      </c>
      <c r="O33" s="685" t="s">
        <v>264</v>
      </c>
      <c r="P33" s="775" t="s">
        <v>269</v>
      </c>
      <c r="Q33" s="775" t="s">
        <v>264</v>
      </c>
      <c r="R33" s="776" t="s">
        <v>269</v>
      </c>
    </row>
    <row r="34" spans="5:18" x14ac:dyDescent="0.2">
      <c r="E34" s="682" t="str">
        <f t="shared" ref="E34:F42" si="0">A2</f>
        <v>Office</v>
      </c>
      <c r="F34" s="781">
        <f t="shared" si="0"/>
        <v>1</v>
      </c>
      <c r="G34" s="782">
        <v>75</v>
      </c>
      <c r="H34" s="783">
        <v>70</v>
      </c>
      <c r="I34" s="784">
        <v>78</v>
      </c>
      <c r="J34" s="785">
        <v>67</v>
      </c>
      <c r="K34" s="786" t="b">
        <f>IF(OR(Inputs!C12=Picklists!H2,Inputs!C12=Picklists!H3),AVERAGE(I61,I64),IF(OR(Inputs!C12=Picklists!H4,Inputs!C12=Picklists!H5),AVERAGE(J61,J64)))</f>
        <v>0</v>
      </c>
      <c r="L34" s="787" t="b">
        <f>IF(OR(Inputs!C12=Picklists!H2,Inputs!C12=Picklists!H3),M64,IF(OR(Inputs!C12=Picklists!H4,Inputs!C12=Picklists!H5),N64))</f>
        <v>0</v>
      </c>
      <c r="M34" s="788">
        <f t="shared" ref="M34:M45" si="1">K34+3</f>
        <v>3</v>
      </c>
      <c r="N34" s="789">
        <f t="shared" ref="N34:N45" si="2">L34-3</f>
        <v>-3</v>
      </c>
      <c r="O34" s="786">
        <f>ROUND(AVERAGE(K61:K66),0)</f>
        <v>54</v>
      </c>
      <c r="P34" s="787">
        <f>ROUND(AVERAGE(O61:O66),0)</f>
        <v>51</v>
      </c>
      <c r="Q34" s="788">
        <f t="shared" ref="Q34:Q45" si="3">O34+3</f>
        <v>57</v>
      </c>
      <c r="R34" s="789">
        <f t="shared" ref="R34:R45" si="4">P34-3</f>
        <v>48</v>
      </c>
    </row>
    <row r="35" spans="5:18" x14ac:dyDescent="0.2">
      <c r="E35" s="682" t="str">
        <f t="shared" si="0"/>
        <v>Assembly</v>
      </c>
      <c r="F35" s="781">
        <f t="shared" si="0"/>
        <v>2</v>
      </c>
      <c r="G35" s="790">
        <v>76</v>
      </c>
      <c r="H35" s="734">
        <v>72</v>
      </c>
      <c r="I35" s="791">
        <v>79</v>
      </c>
      <c r="J35" s="792">
        <v>69</v>
      </c>
      <c r="K35" s="793" t="b">
        <f>IF(OR(Inputs!C12=Picklists!H2,Inputs!C12=Picklists!H3),I95,IF(OR(Inputs!C12=Picklists!H4,Inputs!C12=Picklists!H5),J95))</f>
        <v>0</v>
      </c>
      <c r="L35" s="794" t="b">
        <f>IF(OR(Inputs!C12=Picklists!H2,Inputs!C12=Picklists!H3),M95,IF(OR(Inputs!C12=Picklists!H4,Inputs!C12=Picklists!H5),N95))</f>
        <v>0</v>
      </c>
      <c r="M35" s="788">
        <f t="shared" si="1"/>
        <v>3</v>
      </c>
      <c r="N35" s="789">
        <f t="shared" si="2"/>
        <v>-3</v>
      </c>
      <c r="O35" s="793">
        <f>$K$95</f>
        <v>55</v>
      </c>
      <c r="P35" s="794">
        <f>$O$95</f>
        <v>53</v>
      </c>
      <c r="Q35" s="788">
        <f t="shared" si="3"/>
        <v>58</v>
      </c>
      <c r="R35" s="789">
        <f t="shared" si="4"/>
        <v>50</v>
      </c>
    </row>
    <row r="36" spans="5:18" x14ac:dyDescent="0.2">
      <c r="E36" s="682" t="str">
        <f t="shared" si="0"/>
        <v>Health</v>
      </c>
      <c r="F36" s="781">
        <f t="shared" si="0"/>
        <v>3</v>
      </c>
      <c r="G36" s="790">
        <v>76</v>
      </c>
      <c r="H36" s="734">
        <v>72</v>
      </c>
      <c r="I36" s="791">
        <v>79</v>
      </c>
      <c r="J36" s="792">
        <v>69</v>
      </c>
      <c r="K36" s="793" t="b">
        <f>IF(OR(Inputs!C12=Picklists!H2,Inputs!C12=Picklists!H3),I95,IF(OR(Inputs!C12=Picklists!H4,Inputs!C12=Picklists!H5),J95))</f>
        <v>0</v>
      </c>
      <c r="L36" s="794" t="b">
        <f>IF(OR(Inputs!C12=Picklists!H2,Inputs!C12=Picklists!H3),M95,IF(OR(Inputs!C12=Picklists!H4,Inputs!C12=Picklists!H5),N95))</f>
        <v>0</v>
      </c>
      <c r="M36" s="788">
        <f t="shared" si="1"/>
        <v>3</v>
      </c>
      <c r="N36" s="789">
        <f t="shared" si="2"/>
        <v>-3</v>
      </c>
      <c r="O36" s="793">
        <f>$K$95</f>
        <v>55</v>
      </c>
      <c r="P36" s="794">
        <f>$O$95</f>
        <v>53</v>
      </c>
      <c r="Q36" s="788">
        <f t="shared" si="3"/>
        <v>58</v>
      </c>
      <c r="R36" s="789">
        <f t="shared" si="4"/>
        <v>50</v>
      </c>
    </row>
    <row r="37" spans="5:18" x14ac:dyDescent="0.2">
      <c r="E37" s="682" t="str">
        <f t="shared" si="0"/>
        <v>Light Manufacturing</v>
      </c>
      <c r="F37" s="781">
        <f t="shared" si="0"/>
        <v>4</v>
      </c>
      <c r="G37" s="790">
        <v>78</v>
      </c>
      <c r="H37" s="734">
        <v>70</v>
      </c>
      <c r="I37" s="791">
        <v>81</v>
      </c>
      <c r="J37" s="792">
        <v>67</v>
      </c>
      <c r="K37" s="793" t="b">
        <f>IF(OR(Inputs!C12=Picklists!H2,Inputs!C12=Picklists!H3),I95,IF(OR(Inputs!C12=Picklists!H4,Inputs!C12=Picklists!H5),J95))</f>
        <v>0</v>
      </c>
      <c r="L37" s="794" t="b">
        <f>IF(OR(Inputs!C12=Picklists!H2,Inputs!C12=Picklists!H3),M95,IF(OR(Inputs!C12=Picklists!H4,Inputs!C12=Picklists!H5),N95))</f>
        <v>0</v>
      </c>
      <c r="M37" s="788">
        <f t="shared" si="1"/>
        <v>3</v>
      </c>
      <c r="N37" s="789">
        <f t="shared" si="2"/>
        <v>-3</v>
      </c>
      <c r="O37" s="793">
        <f>$K$95</f>
        <v>55</v>
      </c>
      <c r="P37" s="794">
        <f>$O$95</f>
        <v>53</v>
      </c>
      <c r="Q37" s="788">
        <f t="shared" si="3"/>
        <v>58</v>
      </c>
      <c r="R37" s="789">
        <f t="shared" si="4"/>
        <v>50</v>
      </c>
    </row>
    <row r="38" spans="5:18" x14ac:dyDescent="0.2">
      <c r="E38" s="682" t="str">
        <f t="shared" si="0"/>
        <v>Restaurant</v>
      </c>
      <c r="F38" s="781">
        <f t="shared" si="0"/>
        <v>5</v>
      </c>
      <c r="G38" s="790">
        <v>77</v>
      </c>
      <c r="H38" s="734">
        <v>72</v>
      </c>
      <c r="I38" s="791">
        <v>80</v>
      </c>
      <c r="J38" s="792">
        <v>69</v>
      </c>
      <c r="K38" s="793" t="b">
        <f>IF(OR(Inputs!C12=Picklists!H2,Inputs!C12=Picklists!H3),I82,IF(OR(Inputs!C12=Picklists!H4,Inputs!C12=Picklists!H5),J82))</f>
        <v>0</v>
      </c>
      <c r="L38" s="794" t="b">
        <f>IF(OR(Inputs!C12=Picklists!H2,Inputs!C12=Picklists!H3),M82,IF(OR(Inputs!C12=Picklists!H4,Inputs!C12=Picklists!H5),N82))</f>
        <v>0</v>
      </c>
      <c r="M38" s="788">
        <f t="shared" si="1"/>
        <v>3</v>
      </c>
      <c r="N38" s="789">
        <f t="shared" si="2"/>
        <v>-3</v>
      </c>
      <c r="O38" s="793">
        <f>ROUND(AVERAGE(K82:K84),0)</f>
        <v>59</v>
      </c>
      <c r="P38" s="794">
        <f>ROUND(AVERAGE(O82:O84),0)</f>
        <v>52</v>
      </c>
      <c r="Q38" s="788">
        <f t="shared" si="3"/>
        <v>62</v>
      </c>
      <c r="R38" s="789">
        <f t="shared" si="4"/>
        <v>49</v>
      </c>
    </row>
    <row r="39" spans="5:18" x14ac:dyDescent="0.2">
      <c r="E39" s="682" t="str">
        <f t="shared" si="0"/>
        <v>Retail</v>
      </c>
      <c r="F39" s="781">
        <f t="shared" si="0"/>
        <v>6</v>
      </c>
      <c r="G39" s="790">
        <v>76</v>
      </c>
      <c r="H39" s="734">
        <v>72</v>
      </c>
      <c r="I39" s="791">
        <v>79</v>
      </c>
      <c r="J39" s="792">
        <v>69</v>
      </c>
      <c r="K39" s="793" t="b">
        <f>IF(OR(Inputs!C12=Picklists!H2,Inputs!C12=Picklists!H3),I85,IF(OR(Inputs!C12=Picklists!H4,Inputs!C12=Picklists!H5),J85))</f>
        <v>0</v>
      </c>
      <c r="L39" s="794" t="b">
        <f>IF(OR(Inputs!C12=Picklists!H2,Inputs!C12=Picklists!H3),M85,IF(OR(Inputs!C12=Picklists!H4,Inputs!C12=Picklists!H5),N85))</f>
        <v>0</v>
      </c>
      <c r="M39" s="788">
        <f t="shared" si="1"/>
        <v>3</v>
      </c>
      <c r="N39" s="789">
        <f t="shared" si="2"/>
        <v>-3</v>
      </c>
      <c r="O39" s="793">
        <f>ROUND(AVERAGE(K82:K84),0)</f>
        <v>59</v>
      </c>
      <c r="P39" s="794">
        <f>ROUND(AVERAGE(O82:O84),0)</f>
        <v>52</v>
      </c>
      <c r="Q39" s="788">
        <f t="shared" si="3"/>
        <v>62</v>
      </c>
      <c r="R39" s="789">
        <f t="shared" si="4"/>
        <v>49</v>
      </c>
    </row>
    <row r="40" spans="5:18" x14ac:dyDescent="0.2">
      <c r="E40" s="682" t="str">
        <f t="shared" si="0"/>
        <v>School</v>
      </c>
      <c r="F40" s="781">
        <f t="shared" si="0"/>
        <v>7</v>
      </c>
      <c r="G40" s="790">
        <v>76</v>
      </c>
      <c r="H40" s="734">
        <v>72</v>
      </c>
      <c r="I40" s="791">
        <v>81</v>
      </c>
      <c r="J40" s="792">
        <v>67</v>
      </c>
      <c r="K40" s="793" t="b">
        <f>IF(OR(Inputs!C12=Picklists!H2,Inputs!C12=Picklists!H3),I88,IF(OR(Inputs!C12=Picklists!H4,Inputs!C12=Picklists!H5),J88))</f>
        <v>0</v>
      </c>
      <c r="L40" s="794" t="b">
        <f>IF(OR(Inputs!C12=Picklists!H2,Inputs!C12=Picklists!H3),M88,IF(OR(Inputs!C12=Picklists!H4,Inputs!C12=Picklists!H5),N88))</f>
        <v>0</v>
      </c>
      <c r="M40" s="788">
        <f t="shared" si="1"/>
        <v>3</v>
      </c>
      <c r="N40" s="789">
        <f t="shared" si="2"/>
        <v>-3</v>
      </c>
      <c r="O40" s="793">
        <f>ROUND(AVERAGE(K88:K90,K58:K60),0)</f>
        <v>49</v>
      </c>
      <c r="P40" s="794">
        <f>ROUND(AVERAGE(O88:O90),0)</f>
        <v>48</v>
      </c>
      <c r="Q40" s="788">
        <f t="shared" si="3"/>
        <v>52</v>
      </c>
      <c r="R40" s="789">
        <f t="shared" si="4"/>
        <v>45</v>
      </c>
    </row>
    <row r="41" spans="5:18" x14ac:dyDescent="0.2">
      <c r="E41" s="682" t="str">
        <f t="shared" si="0"/>
        <v>Warehouse</v>
      </c>
      <c r="F41" s="781">
        <f t="shared" si="0"/>
        <v>8</v>
      </c>
      <c r="G41" s="790">
        <v>80</v>
      </c>
      <c r="H41" s="734">
        <v>68</v>
      </c>
      <c r="I41" s="791">
        <v>85</v>
      </c>
      <c r="J41" s="792">
        <v>63</v>
      </c>
      <c r="K41" s="793" t="b">
        <f>IF(OR(Inputs!C12=Picklists!H2,Inputs!C12=Picklists!H3),I91,IF(OR(Inputs!C12=Picklists!H4,Inputs!C12=Picklists!H5),J91))</f>
        <v>0</v>
      </c>
      <c r="L41" s="794" t="b">
        <f>IF(OR(Inputs!C12=Picklists!H2,Inputs!C12=Picklists!H3),M91,IF(OR(Inputs!C12=Picklists!H4,Inputs!C12=Picklists!H5),N91))</f>
        <v>0</v>
      </c>
      <c r="M41" s="788">
        <f t="shared" si="1"/>
        <v>3</v>
      </c>
      <c r="N41" s="789">
        <f t="shared" si="2"/>
        <v>-3</v>
      </c>
      <c r="O41" s="793">
        <f>ROUND(AVERAGE(K91:K93),0)</f>
        <v>62</v>
      </c>
      <c r="P41" s="794">
        <f>ROUND(AVERAGE(O91:O93),0)</f>
        <v>49</v>
      </c>
      <c r="Q41" s="788">
        <f t="shared" si="3"/>
        <v>65</v>
      </c>
      <c r="R41" s="789">
        <f t="shared" si="4"/>
        <v>46</v>
      </c>
    </row>
    <row r="42" spans="5:18" x14ac:dyDescent="0.2">
      <c r="E42" s="682" t="str">
        <f t="shared" si="0"/>
        <v>Laboratory</v>
      </c>
      <c r="F42" s="781">
        <f t="shared" si="0"/>
        <v>9</v>
      </c>
      <c r="G42" s="790">
        <v>76</v>
      </c>
      <c r="H42" s="734">
        <v>72</v>
      </c>
      <c r="I42" s="791">
        <v>79</v>
      </c>
      <c r="J42" s="792">
        <v>69</v>
      </c>
      <c r="K42" s="793" t="b">
        <f>IF(OR(Inputs!C12=Picklists!H2,Inputs!C12=Picklists!H3),I95,IF(OR(Inputs!C12=Picklists!H4,Inputs!C12=Picklists!H5),J95))</f>
        <v>0</v>
      </c>
      <c r="L42" s="794" t="b">
        <f>IF(OR(Inputs!C12=Picklists!H2,Inputs!C12=Picklists!H3),M95,IF(OR(Inputs!C12=Picklists!H4,Inputs!C12=Picklists!H5),N95))</f>
        <v>0</v>
      </c>
      <c r="M42" s="788">
        <f t="shared" si="1"/>
        <v>3</v>
      </c>
      <c r="N42" s="789">
        <f t="shared" si="2"/>
        <v>-3</v>
      </c>
      <c r="O42" s="793">
        <f>$K$95</f>
        <v>55</v>
      </c>
      <c r="P42" s="794">
        <f>$O$95</f>
        <v>53</v>
      </c>
      <c r="Q42" s="788">
        <f t="shared" si="3"/>
        <v>58</v>
      </c>
      <c r="R42" s="789">
        <f t="shared" si="4"/>
        <v>50</v>
      </c>
    </row>
    <row r="43" spans="5:18" x14ac:dyDescent="0.2">
      <c r="E43" s="682" t="s">
        <v>225</v>
      </c>
      <c r="F43" s="781">
        <v>10</v>
      </c>
      <c r="G43" s="790">
        <v>76</v>
      </c>
      <c r="H43" s="734">
        <v>72</v>
      </c>
      <c r="I43" s="791">
        <v>81</v>
      </c>
      <c r="J43" s="792">
        <v>67</v>
      </c>
      <c r="K43" s="795" t="b">
        <f>IF(OR(Inputs!C12=Picklists!H2,Inputs!C12=Picklists!H3),AVERAGE(I73,I76),IF(OR(Inputs!C12=Picklists!H4,Inputs!C12=Picklists!H5),AVERAGE(J73,J76)))</f>
        <v>0</v>
      </c>
      <c r="L43" s="794" t="b">
        <f>IF(OR(Inputs!C12=Picklists!H2,Inputs!C12=Picklists!H3),AVERAGE(M73,M76),IF(OR(Inputs!C12=Picklists!H4,Inputs!C12=Picklists!H5),AVERAGE(N73,N76)))</f>
        <v>0</v>
      </c>
      <c r="M43" s="788">
        <f t="shared" si="1"/>
        <v>3</v>
      </c>
      <c r="N43" s="789">
        <f t="shared" si="2"/>
        <v>-3</v>
      </c>
      <c r="O43" s="793">
        <f>ROUND(AVERAGE(K73:K78),0)</f>
        <v>52</v>
      </c>
      <c r="P43" s="794">
        <f>ROUND(AVERAGE(O73:O78),0)</f>
        <v>50</v>
      </c>
      <c r="Q43" s="788">
        <f t="shared" si="3"/>
        <v>55</v>
      </c>
      <c r="R43" s="789">
        <f t="shared" si="4"/>
        <v>47</v>
      </c>
    </row>
    <row r="44" spans="5:18" x14ac:dyDescent="0.2">
      <c r="E44" s="682" t="s">
        <v>415</v>
      </c>
      <c r="F44" s="770">
        <v>11</v>
      </c>
      <c r="G44" s="790">
        <v>75</v>
      </c>
      <c r="H44" s="734">
        <v>73</v>
      </c>
      <c r="I44" s="791">
        <v>78</v>
      </c>
      <c r="J44" s="792">
        <v>70</v>
      </c>
      <c r="K44" s="793" t="b">
        <f>IF(OR(Inputs!C12=Picklists!H2,Inputs!C12=Picklists!H3),I95,IF(OR(Inputs!C12=Picklists!H4,Inputs!C12=Picklists!H5),J95))</f>
        <v>0</v>
      </c>
      <c r="L44" s="794">
        <v>60</v>
      </c>
      <c r="M44" s="788">
        <f t="shared" si="1"/>
        <v>3</v>
      </c>
      <c r="N44" s="789">
        <f t="shared" si="2"/>
        <v>57</v>
      </c>
      <c r="O44" s="795">
        <f>K44+5</f>
        <v>5</v>
      </c>
      <c r="P44" s="794">
        <v>55</v>
      </c>
      <c r="Q44" s="788">
        <f t="shared" si="3"/>
        <v>8</v>
      </c>
      <c r="R44" s="789">
        <f t="shared" si="4"/>
        <v>52</v>
      </c>
    </row>
    <row r="45" spans="5:18" x14ac:dyDescent="0.2">
      <c r="E45" s="682" t="s">
        <v>424</v>
      </c>
      <c r="F45" s="770">
        <v>12</v>
      </c>
      <c r="G45" s="790">
        <v>75</v>
      </c>
      <c r="H45" s="734">
        <v>70</v>
      </c>
      <c r="I45" s="791">
        <v>78</v>
      </c>
      <c r="J45" s="792">
        <v>67</v>
      </c>
      <c r="K45" s="795" t="b">
        <f>IF(OR(Inputs!C12=Picklists!H2,Inputs!C12=Picklists!H3),I95,IF(OR(Inputs!C12=Picklists!H4,Inputs!C12=Picklists!H5),J95))</f>
        <v>0</v>
      </c>
      <c r="L45" s="794">
        <f>L44</f>
        <v>60</v>
      </c>
      <c r="M45" s="788">
        <f t="shared" si="1"/>
        <v>3</v>
      </c>
      <c r="N45" s="789">
        <f t="shared" si="2"/>
        <v>57</v>
      </c>
      <c r="O45" s="796">
        <f>O44</f>
        <v>5</v>
      </c>
      <c r="P45" s="794">
        <f>P44</f>
        <v>55</v>
      </c>
      <c r="Q45" s="788">
        <f t="shared" si="3"/>
        <v>8</v>
      </c>
      <c r="R45" s="789">
        <f t="shared" si="4"/>
        <v>52</v>
      </c>
    </row>
    <row r="46" spans="5:18" ht="13.5" thickBot="1" x14ac:dyDescent="0.25">
      <c r="E46" s="685" t="str">
        <f>A14</f>
        <v>Custom</v>
      </c>
      <c r="F46" s="797">
        <v>13</v>
      </c>
      <c r="G46" s="798">
        <f>Inputs!A132</f>
        <v>0</v>
      </c>
      <c r="H46" s="799">
        <f>Inputs!B132</f>
        <v>0</v>
      </c>
      <c r="I46" s="800">
        <f>Inputs!C132</f>
        <v>0</v>
      </c>
      <c r="J46" s="801">
        <f>Inputs!D132</f>
        <v>0</v>
      </c>
      <c r="K46" s="798">
        <f>Inputs!B135</f>
        <v>0</v>
      </c>
      <c r="L46" s="799">
        <f>Inputs!B136</f>
        <v>0</v>
      </c>
      <c r="M46" s="800">
        <f>Inputs!C135</f>
        <v>0</v>
      </c>
      <c r="N46" s="801">
        <f>Inputs!C136</f>
        <v>0</v>
      </c>
      <c r="O46" s="798">
        <v>0</v>
      </c>
      <c r="P46" s="799">
        <v>0</v>
      </c>
      <c r="Q46" s="800">
        <v>0</v>
      </c>
      <c r="R46" s="801">
        <v>0</v>
      </c>
    </row>
    <row r="49" spans="5:15" x14ac:dyDescent="0.2">
      <c r="E49" s="759" t="s">
        <v>434</v>
      </c>
      <c r="F49" s="759"/>
      <c r="G49" s="759"/>
      <c r="H49" s="759"/>
      <c r="I49" s="759"/>
      <c r="J49" s="759"/>
      <c r="K49" s="759"/>
      <c r="L49" s="759"/>
      <c r="M49" s="648"/>
      <c r="N49" s="648"/>
      <c r="O49" s="648"/>
    </row>
    <row r="50" spans="5:15" x14ac:dyDescent="0.2">
      <c r="E50" s="759" t="s">
        <v>435</v>
      </c>
      <c r="F50" s="759"/>
      <c r="G50" s="759"/>
      <c r="H50" s="759"/>
      <c r="I50" s="759"/>
      <c r="J50" s="759"/>
      <c r="K50" s="759"/>
      <c r="L50" s="759"/>
      <c r="M50" s="648"/>
      <c r="N50" s="648"/>
      <c r="O50" s="648"/>
    </row>
    <row r="51" spans="5:15" x14ac:dyDescent="0.2">
      <c r="E51" s="759" t="s">
        <v>436</v>
      </c>
      <c r="F51" s="759"/>
      <c r="G51" s="759"/>
      <c r="H51" s="759"/>
      <c r="I51" s="759"/>
      <c r="J51" s="759"/>
      <c r="K51" s="759"/>
      <c r="L51" s="759"/>
      <c r="M51" s="648"/>
      <c r="N51" s="648"/>
      <c r="O51" s="648"/>
    </row>
    <row r="54" spans="5:15" x14ac:dyDescent="0.2">
      <c r="E54" s="35" t="s">
        <v>437</v>
      </c>
      <c r="F54" s="648"/>
      <c r="G54" s="648"/>
      <c r="H54" s="648"/>
      <c r="I54" s="648"/>
      <c r="J54" s="648"/>
      <c r="K54" s="648"/>
      <c r="L54" s="648"/>
      <c r="M54" s="648"/>
      <c r="N54" s="648"/>
      <c r="O54" s="648"/>
    </row>
    <row r="56" spans="5:15" x14ac:dyDescent="0.2">
      <c r="E56" s="648"/>
      <c r="F56" s="648"/>
      <c r="G56" s="648"/>
      <c r="H56" s="648"/>
      <c r="I56" s="918" t="s">
        <v>438</v>
      </c>
      <c r="J56" s="919"/>
      <c r="K56" s="920"/>
      <c r="L56" s="648"/>
      <c r="M56" s="918" t="s">
        <v>439</v>
      </c>
      <c r="N56" s="919"/>
      <c r="O56" s="920"/>
    </row>
    <row r="57" spans="5:15" x14ac:dyDescent="0.2">
      <c r="E57" s="648"/>
      <c r="F57" s="648"/>
      <c r="G57" s="648"/>
      <c r="H57" s="648"/>
      <c r="I57" s="27" t="s">
        <v>440</v>
      </c>
      <c r="J57" s="27" t="s">
        <v>441</v>
      </c>
      <c r="K57" s="27" t="s">
        <v>442</v>
      </c>
      <c r="L57" s="648"/>
      <c r="M57" s="27" t="s">
        <v>440</v>
      </c>
      <c r="N57" s="27" t="s">
        <v>441</v>
      </c>
      <c r="O57" s="27" t="s">
        <v>442</v>
      </c>
    </row>
    <row r="58" spans="5:15" x14ac:dyDescent="0.2">
      <c r="E58" s="639" t="s">
        <v>443</v>
      </c>
      <c r="F58" s="648" t="s">
        <v>444</v>
      </c>
      <c r="G58" s="898" t="str">
        <f>F58</f>
        <v>Academic</v>
      </c>
      <c r="H58" s="638" t="s">
        <v>445</v>
      </c>
      <c r="I58" s="772">
        <v>56.76</v>
      </c>
      <c r="J58" s="772">
        <v>56.9</v>
      </c>
      <c r="K58" s="772">
        <v>50.53</v>
      </c>
      <c r="L58" s="648"/>
      <c r="M58" s="772">
        <v>53.84</v>
      </c>
      <c r="N58" s="772">
        <v>53.16</v>
      </c>
      <c r="O58" s="772">
        <v>52.55</v>
      </c>
    </row>
    <row r="59" spans="5:15" x14ac:dyDescent="0.2">
      <c r="E59" s="639" t="s">
        <v>446</v>
      </c>
      <c r="F59" s="648" t="s">
        <v>444</v>
      </c>
      <c r="G59" s="899"/>
      <c r="H59" s="638" t="s">
        <v>447</v>
      </c>
      <c r="I59" s="772">
        <v>57.35</v>
      </c>
      <c r="J59" s="772">
        <v>57.37</v>
      </c>
      <c r="K59" s="772">
        <v>53.28</v>
      </c>
      <c r="L59" s="648"/>
      <c r="M59" s="772">
        <v>52.63</v>
      </c>
      <c r="N59" s="772">
        <v>52.5</v>
      </c>
      <c r="O59" s="772">
        <v>51.41</v>
      </c>
    </row>
    <row r="60" spans="5:15" x14ac:dyDescent="0.2">
      <c r="E60" s="639" t="s">
        <v>448</v>
      </c>
      <c r="F60" s="648" t="s">
        <v>444</v>
      </c>
      <c r="G60" s="900"/>
      <c r="H60" s="638" t="s">
        <v>449</v>
      </c>
      <c r="I60" s="772">
        <v>58.45</v>
      </c>
      <c r="J60" s="772">
        <v>58.46</v>
      </c>
      <c r="K60" s="772">
        <v>53.17</v>
      </c>
      <c r="L60" s="648"/>
      <c r="M60" s="772">
        <v>54.43</v>
      </c>
      <c r="N60" s="772">
        <v>54.19</v>
      </c>
      <c r="O60" s="772">
        <v>54.9</v>
      </c>
    </row>
    <row r="61" spans="5:15" x14ac:dyDescent="0.2">
      <c r="E61" s="639" t="s">
        <v>443</v>
      </c>
      <c r="F61" s="648" t="s">
        <v>450</v>
      </c>
      <c r="G61" s="898" t="str">
        <f>F61</f>
        <v>Office-Low-Rise</v>
      </c>
      <c r="H61" s="638" t="s">
        <v>445</v>
      </c>
      <c r="I61" s="772">
        <v>55.31</v>
      </c>
      <c r="J61" s="772">
        <v>54.34</v>
      </c>
      <c r="K61" s="772">
        <v>55.56</v>
      </c>
      <c r="L61" s="648"/>
      <c r="M61" s="772">
        <v>49.98</v>
      </c>
      <c r="N61" s="772">
        <v>53.89</v>
      </c>
      <c r="O61" s="772">
        <v>51.37</v>
      </c>
    </row>
    <row r="62" spans="5:15" x14ac:dyDescent="0.2">
      <c r="E62" s="639" t="s">
        <v>446</v>
      </c>
      <c r="F62" s="648" t="s">
        <v>450</v>
      </c>
      <c r="G62" s="899"/>
      <c r="H62" s="638" t="s">
        <v>447</v>
      </c>
      <c r="I62" s="772">
        <v>56.85</v>
      </c>
      <c r="J62" s="772">
        <v>55.09</v>
      </c>
      <c r="K62" s="772">
        <v>55.09</v>
      </c>
      <c r="L62" s="648"/>
      <c r="M62" s="772">
        <v>48.56</v>
      </c>
      <c r="N62" s="772">
        <v>52.62</v>
      </c>
      <c r="O62" s="772">
        <v>49.93</v>
      </c>
    </row>
    <row r="63" spans="5:15" x14ac:dyDescent="0.2">
      <c r="E63" s="639" t="s">
        <v>448</v>
      </c>
      <c r="F63" s="648" t="s">
        <v>450</v>
      </c>
      <c r="G63" s="900"/>
      <c r="H63" s="638" t="s">
        <v>449</v>
      </c>
      <c r="I63" s="772">
        <v>57.78</v>
      </c>
      <c r="J63" s="772">
        <v>56.23</v>
      </c>
      <c r="K63" s="772">
        <v>55.38</v>
      </c>
      <c r="L63" s="648"/>
      <c r="M63" s="772">
        <v>48.07</v>
      </c>
      <c r="N63" s="772">
        <v>52.03</v>
      </c>
      <c r="O63" s="772">
        <v>51.48</v>
      </c>
    </row>
    <row r="64" spans="5:15" x14ac:dyDescent="0.2">
      <c r="E64" s="639" t="s">
        <v>443</v>
      </c>
      <c r="F64" s="648" t="s">
        <v>451</v>
      </c>
      <c r="G64" s="898" t="str">
        <f>F64</f>
        <v>Office-Mid-Rise</v>
      </c>
      <c r="H64" s="638" t="s">
        <v>445</v>
      </c>
      <c r="I64" s="772">
        <v>55.66</v>
      </c>
      <c r="J64" s="772">
        <v>56.04</v>
      </c>
      <c r="K64" s="772">
        <v>51.56</v>
      </c>
      <c r="L64" s="648"/>
      <c r="M64" s="772">
        <v>55.83</v>
      </c>
      <c r="N64" s="772">
        <v>52.61</v>
      </c>
      <c r="O64" s="772">
        <v>50.69</v>
      </c>
    </row>
    <row r="65" spans="5:18" x14ac:dyDescent="0.2">
      <c r="E65" s="639" t="s">
        <v>446</v>
      </c>
      <c r="F65" s="648" t="s">
        <v>451</v>
      </c>
      <c r="G65" s="899"/>
      <c r="H65" s="638" t="s">
        <v>447</v>
      </c>
      <c r="I65" s="772">
        <v>56.84</v>
      </c>
      <c r="J65" s="772">
        <v>56.79</v>
      </c>
      <c r="K65" s="772">
        <v>54.15</v>
      </c>
      <c r="L65" s="648"/>
      <c r="M65" s="772">
        <v>51.86</v>
      </c>
      <c r="N65" s="772">
        <v>51.28</v>
      </c>
      <c r="O65" s="772">
        <v>49.67</v>
      </c>
      <c r="P65" s="648"/>
      <c r="Q65" s="802"/>
      <c r="R65" s="802"/>
    </row>
    <row r="66" spans="5:18" x14ac:dyDescent="0.2">
      <c r="E66" s="639" t="s">
        <v>448</v>
      </c>
      <c r="F66" s="648" t="s">
        <v>451</v>
      </c>
      <c r="G66" s="900"/>
      <c r="H66" s="638" t="s">
        <v>449</v>
      </c>
      <c r="I66" s="772">
        <v>57.68</v>
      </c>
      <c r="J66" s="772">
        <v>57.65</v>
      </c>
      <c r="K66" s="772">
        <v>53.72</v>
      </c>
      <c r="L66" s="648"/>
      <c r="M66" s="772">
        <v>51.93</v>
      </c>
      <c r="N66" s="772">
        <v>50.67</v>
      </c>
      <c r="O66" s="772">
        <v>50.99</v>
      </c>
      <c r="P66" s="648"/>
      <c r="Q66" s="648"/>
      <c r="R66" s="648"/>
    </row>
    <row r="67" spans="5:18" x14ac:dyDescent="0.2">
      <c r="E67" s="639" t="s">
        <v>443</v>
      </c>
      <c r="F67" s="648" t="s">
        <v>452</v>
      </c>
      <c r="G67" s="898" t="str">
        <f>F67</f>
        <v>Grocery</v>
      </c>
      <c r="H67" s="638" t="s">
        <v>445</v>
      </c>
      <c r="I67" s="772">
        <v>62.31</v>
      </c>
      <c r="J67" s="772">
        <v>62.37</v>
      </c>
      <c r="K67" s="772">
        <v>60.48</v>
      </c>
      <c r="L67" s="648"/>
      <c r="M67" s="772">
        <v>60.25</v>
      </c>
      <c r="N67" s="772">
        <v>61.11</v>
      </c>
      <c r="O67" s="772">
        <v>69.17</v>
      </c>
      <c r="P67" s="648"/>
      <c r="Q67" s="648"/>
      <c r="R67" s="648"/>
    </row>
    <row r="68" spans="5:18" x14ac:dyDescent="0.2">
      <c r="E68" s="639" t="s">
        <v>446</v>
      </c>
      <c r="F68" s="648" t="s">
        <v>452</v>
      </c>
      <c r="G68" s="899"/>
      <c r="H68" s="638" t="s">
        <v>447</v>
      </c>
      <c r="I68" s="772">
        <v>61.88</v>
      </c>
      <c r="J68" s="772">
        <v>61.98</v>
      </c>
      <c r="K68" s="772">
        <v>58.76</v>
      </c>
      <c r="L68" s="648"/>
      <c r="M68" s="772">
        <v>59.13</v>
      </c>
      <c r="N68" s="772">
        <v>59.57</v>
      </c>
      <c r="O68" s="772">
        <v>68.23</v>
      </c>
      <c r="P68" s="648"/>
      <c r="Q68" s="648"/>
      <c r="R68" s="648"/>
    </row>
    <row r="69" spans="5:18" x14ac:dyDescent="0.2">
      <c r="E69" s="639" t="s">
        <v>448</v>
      </c>
      <c r="F69" s="648" t="s">
        <v>452</v>
      </c>
      <c r="G69" s="900"/>
      <c r="H69" s="638" t="s">
        <v>449</v>
      </c>
      <c r="I69" s="772">
        <v>61.84</v>
      </c>
      <c r="J69" s="772">
        <v>61.94</v>
      </c>
      <c r="K69" s="772">
        <v>59.51</v>
      </c>
      <c r="L69" s="648"/>
      <c r="M69" s="772">
        <v>57.84</v>
      </c>
      <c r="N69" s="772">
        <v>58.18</v>
      </c>
      <c r="O69" s="772">
        <v>66.599999999999994</v>
      </c>
      <c r="P69" s="648"/>
      <c r="Q69" s="648"/>
      <c r="R69" s="648"/>
    </row>
    <row r="70" spans="5:18" x14ac:dyDescent="0.2">
      <c r="E70" s="639" t="s">
        <v>443</v>
      </c>
      <c r="F70" s="648" t="s">
        <v>226</v>
      </c>
      <c r="G70" s="921" t="str">
        <f>F70</f>
        <v>Hospital</v>
      </c>
      <c r="H70" s="36" t="s">
        <v>445</v>
      </c>
      <c r="I70" s="37">
        <v>32.590000000000003</v>
      </c>
      <c r="J70" s="37">
        <v>32.380000000000003</v>
      </c>
      <c r="K70" s="37">
        <v>48.53</v>
      </c>
      <c r="L70" s="26"/>
      <c r="M70" s="37">
        <v>110.8</v>
      </c>
      <c r="N70" s="37">
        <v>107.7</v>
      </c>
      <c r="O70" s="37">
        <v>59.06</v>
      </c>
      <c r="P70" s="648"/>
      <c r="Q70" s="648"/>
      <c r="R70" s="648"/>
    </row>
    <row r="71" spans="5:18" x14ac:dyDescent="0.2">
      <c r="E71" s="639" t="s">
        <v>446</v>
      </c>
      <c r="F71" s="648" t="s">
        <v>226</v>
      </c>
      <c r="G71" s="922"/>
      <c r="H71" s="36" t="s">
        <v>447</v>
      </c>
      <c r="I71" s="37">
        <v>35.69</v>
      </c>
      <c r="J71" s="37">
        <v>35.69</v>
      </c>
      <c r="K71" s="37">
        <v>50.58</v>
      </c>
      <c r="L71" s="26"/>
      <c r="M71" s="37">
        <v>91.37</v>
      </c>
      <c r="N71" s="37">
        <v>93.24</v>
      </c>
      <c r="O71" s="37">
        <v>58.02</v>
      </c>
      <c r="P71" s="648"/>
      <c r="Q71" s="648"/>
      <c r="R71" s="648"/>
    </row>
    <row r="72" spans="5:18" x14ac:dyDescent="0.2">
      <c r="E72" s="639" t="s">
        <v>448</v>
      </c>
      <c r="F72" s="648" t="s">
        <v>226</v>
      </c>
      <c r="G72" s="923"/>
      <c r="H72" s="36" t="s">
        <v>449</v>
      </c>
      <c r="I72" s="37">
        <v>36.89</v>
      </c>
      <c r="J72" s="37">
        <v>36.83</v>
      </c>
      <c r="K72" s="37">
        <v>51.21</v>
      </c>
      <c r="L72" s="26"/>
      <c r="M72" s="37">
        <v>78.599999999999994</v>
      </c>
      <c r="N72" s="37">
        <v>79.06</v>
      </c>
      <c r="O72" s="37">
        <v>57.1</v>
      </c>
      <c r="P72" s="648"/>
      <c r="Q72" s="648"/>
      <c r="R72" s="648"/>
    </row>
    <row r="73" spans="5:18" x14ac:dyDescent="0.2">
      <c r="E73" s="639" t="s">
        <v>443</v>
      </c>
      <c r="F73" s="648" t="s">
        <v>453</v>
      </c>
      <c r="G73" s="898" t="str">
        <f>F73</f>
        <v>Hotel-Large</v>
      </c>
      <c r="H73" s="638" t="s">
        <v>445</v>
      </c>
      <c r="I73" s="772">
        <v>54.77</v>
      </c>
      <c r="J73" s="772">
        <v>55.8</v>
      </c>
      <c r="K73" s="772">
        <v>56.63</v>
      </c>
      <c r="L73" s="648"/>
      <c r="M73" s="772">
        <v>56.39</v>
      </c>
      <c r="N73" s="772">
        <v>58.09</v>
      </c>
      <c r="O73" s="772">
        <v>51.98</v>
      </c>
      <c r="P73" s="648"/>
      <c r="Q73" s="648"/>
      <c r="R73" s="648"/>
    </row>
    <row r="74" spans="5:18" x14ac:dyDescent="0.2">
      <c r="E74" s="639" t="s">
        <v>446</v>
      </c>
      <c r="F74" s="648" t="s">
        <v>453</v>
      </c>
      <c r="G74" s="899"/>
      <c r="H74" s="638" t="s">
        <v>447</v>
      </c>
      <c r="I74" s="772">
        <v>54.12</v>
      </c>
      <c r="J74" s="772">
        <v>54.86</v>
      </c>
      <c r="K74" s="772">
        <v>56.52</v>
      </c>
      <c r="L74" s="648"/>
      <c r="M74" s="772">
        <v>56.04</v>
      </c>
      <c r="N74" s="772">
        <v>57.88</v>
      </c>
      <c r="O74" s="772">
        <v>49.34</v>
      </c>
      <c r="P74" s="648"/>
      <c r="Q74" s="648"/>
      <c r="R74" s="648"/>
    </row>
    <row r="75" spans="5:18" x14ac:dyDescent="0.2">
      <c r="E75" s="639" t="s">
        <v>448</v>
      </c>
      <c r="F75" s="648" t="s">
        <v>453</v>
      </c>
      <c r="G75" s="900"/>
      <c r="H75" s="638" t="s">
        <v>449</v>
      </c>
      <c r="I75" s="772">
        <v>54.61</v>
      </c>
      <c r="J75" s="772">
        <v>55.2</v>
      </c>
      <c r="K75" s="772">
        <v>55.99</v>
      </c>
      <c r="L75" s="648"/>
      <c r="M75" s="772">
        <v>56.03</v>
      </c>
      <c r="N75" s="772">
        <v>58.19</v>
      </c>
      <c r="O75" s="772">
        <v>46.39</v>
      </c>
      <c r="P75" s="648"/>
      <c r="Q75" s="648"/>
      <c r="R75" s="648"/>
    </row>
    <row r="76" spans="5:18" x14ac:dyDescent="0.2">
      <c r="E76" s="639" t="s">
        <v>443</v>
      </c>
      <c r="F76" s="648" t="s">
        <v>454</v>
      </c>
      <c r="G76" s="898" t="str">
        <f>F76</f>
        <v>Hotel-Small</v>
      </c>
      <c r="H76" s="638" t="s">
        <v>445</v>
      </c>
      <c r="I76" s="772">
        <v>51.22</v>
      </c>
      <c r="J76" s="772">
        <v>51.3</v>
      </c>
      <c r="K76" s="772">
        <v>49.87</v>
      </c>
      <c r="L76" s="648"/>
      <c r="M76" s="772">
        <v>48.14</v>
      </c>
      <c r="N76" s="772">
        <v>54.16</v>
      </c>
      <c r="O76" s="772">
        <v>50.7</v>
      </c>
      <c r="P76" s="648"/>
      <c r="Q76" s="648"/>
      <c r="R76" s="648"/>
    </row>
    <row r="77" spans="5:18" x14ac:dyDescent="0.2">
      <c r="E77" s="639" t="s">
        <v>446</v>
      </c>
      <c r="F77" s="648" t="s">
        <v>454</v>
      </c>
      <c r="G77" s="899"/>
      <c r="H77" s="638" t="s">
        <v>447</v>
      </c>
      <c r="I77" s="772">
        <v>48.86</v>
      </c>
      <c r="J77" s="772">
        <v>49.49</v>
      </c>
      <c r="K77" s="772">
        <v>48.11</v>
      </c>
      <c r="L77" s="648"/>
      <c r="M77" s="772">
        <v>46.74</v>
      </c>
      <c r="N77" s="772">
        <v>52.67</v>
      </c>
      <c r="O77" s="772">
        <v>49.79</v>
      </c>
      <c r="P77" s="648"/>
      <c r="Q77" s="648"/>
      <c r="R77" s="648"/>
    </row>
    <row r="78" spans="5:18" x14ac:dyDescent="0.2">
      <c r="E78" s="639" t="s">
        <v>448</v>
      </c>
      <c r="F78" s="648" t="s">
        <v>454</v>
      </c>
      <c r="G78" s="900"/>
      <c r="H78" s="638" t="s">
        <v>449</v>
      </c>
      <c r="I78" s="772">
        <v>48.54</v>
      </c>
      <c r="J78" s="772">
        <v>48.65</v>
      </c>
      <c r="K78" s="772">
        <v>47.3</v>
      </c>
      <c r="L78" s="648"/>
      <c r="M78" s="772">
        <v>44.78</v>
      </c>
      <c r="N78" s="772">
        <v>51.42</v>
      </c>
      <c r="O78" s="772">
        <v>49.03</v>
      </c>
      <c r="P78" s="648"/>
      <c r="Q78" s="648"/>
      <c r="R78" s="648"/>
    </row>
    <row r="79" spans="5:18" x14ac:dyDescent="0.2">
      <c r="E79" s="639" t="s">
        <v>443</v>
      </c>
      <c r="F79" s="648" t="s">
        <v>455</v>
      </c>
      <c r="G79" s="898" t="str">
        <f>F79</f>
        <v>Outpatient</v>
      </c>
      <c r="H79" s="36" t="s">
        <v>445</v>
      </c>
      <c r="I79" s="37">
        <v>45.4</v>
      </c>
      <c r="J79" s="37">
        <v>45.93</v>
      </c>
      <c r="K79" s="37">
        <v>49.46</v>
      </c>
      <c r="L79" s="26"/>
      <c r="M79" s="37">
        <v>130.30000000000001</v>
      </c>
      <c r="N79" s="37">
        <v>141.9</v>
      </c>
      <c r="O79" s="37">
        <v>57.43</v>
      </c>
      <c r="P79" s="648"/>
      <c r="Q79" s="648"/>
      <c r="R79" s="648"/>
    </row>
    <row r="80" spans="5:18" x14ac:dyDescent="0.2">
      <c r="E80" s="639" t="s">
        <v>446</v>
      </c>
      <c r="F80" s="648" t="s">
        <v>455</v>
      </c>
      <c r="G80" s="899"/>
      <c r="H80" s="36" t="s">
        <v>447</v>
      </c>
      <c r="I80" s="37">
        <v>45.77</v>
      </c>
      <c r="J80" s="37">
        <v>46.37</v>
      </c>
      <c r="K80" s="37">
        <v>49.62</v>
      </c>
      <c r="L80" s="26"/>
      <c r="M80" s="37">
        <v>119.5</v>
      </c>
      <c r="N80" s="37">
        <v>122.6</v>
      </c>
      <c r="O80" s="37">
        <v>55.79</v>
      </c>
      <c r="P80" s="648"/>
      <c r="Q80" s="648"/>
      <c r="R80" s="648"/>
    </row>
    <row r="81" spans="5:17" x14ac:dyDescent="0.2">
      <c r="E81" s="639" t="s">
        <v>448</v>
      </c>
      <c r="F81" s="648" t="s">
        <v>455</v>
      </c>
      <c r="G81" s="900"/>
      <c r="H81" s="36" t="s">
        <v>449</v>
      </c>
      <c r="I81" s="37">
        <v>46.67</v>
      </c>
      <c r="J81" s="37">
        <v>46.88</v>
      </c>
      <c r="K81" s="37">
        <v>51.12</v>
      </c>
      <c r="L81" s="26"/>
      <c r="M81" s="37">
        <v>114</v>
      </c>
      <c r="N81" s="37">
        <v>114.4</v>
      </c>
      <c r="O81" s="37">
        <v>54.55</v>
      </c>
      <c r="P81" s="648"/>
      <c r="Q81" s="648"/>
    </row>
    <row r="82" spans="5:17" x14ac:dyDescent="0.2">
      <c r="E82" s="639" t="s">
        <v>443</v>
      </c>
      <c r="F82" s="648" t="s">
        <v>410</v>
      </c>
      <c r="G82" s="898" t="str">
        <f>F82</f>
        <v>Restaurant</v>
      </c>
      <c r="H82" s="638" t="s">
        <v>445</v>
      </c>
      <c r="I82" s="772">
        <v>61.84</v>
      </c>
      <c r="J82" s="772">
        <v>62.24</v>
      </c>
      <c r="K82" s="772">
        <v>59.51</v>
      </c>
      <c r="L82" s="648"/>
      <c r="M82" s="772">
        <v>57.28</v>
      </c>
      <c r="N82" s="772">
        <v>59.27</v>
      </c>
      <c r="O82" s="772">
        <v>52.41</v>
      </c>
      <c r="P82" s="648"/>
      <c r="Q82" s="648"/>
    </row>
    <row r="83" spans="5:17" x14ac:dyDescent="0.2">
      <c r="E83" s="639" t="s">
        <v>446</v>
      </c>
      <c r="F83" s="648" t="s">
        <v>410</v>
      </c>
      <c r="G83" s="899"/>
      <c r="H83" s="638" t="s">
        <v>447</v>
      </c>
      <c r="I83" s="772">
        <v>60.52</v>
      </c>
      <c r="J83" s="772">
        <v>60.48</v>
      </c>
      <c r="K83" s="772">
        <v>58.46</v>
      </c>
      <c r="L83" s="648"/>
      <c r="M83" s="772">
        <v>57.28</v>
      </c>
      <c r="N83" s="772">
        <v>59.12</v>
      </c>
      <c r="O83" s="772">
        <v>52.02</v>
      </c>
      <c r="P83" s="648"/>
      <c r="Q83" s="648"/>
    </row>
    <row r="84" spans="5:17" x14ac:dyDescent="0.2">
      <c r="E84" s="639" t="s">
        <v>448</v>
      </c>
      <c r="F84" s="648" t="s">
        <v>410</v>
      </c>
      <c r="G84" s="900"/>
      <c r="H84" s="638" t="s">
        <v>449</v>
      </c>
      <c r="I84" s="772">
        <v>60.76</v>
      </c>
      <c r="J84" s="772">
        <v>60.49</v>
      </c>
      <c r="K84" s="772">
        <v>58.22</v>
      </c>
      <c r="L84" s="648"/>
      <c r="M84" s="772">
        <v>58.24</v>
      </c>
      <c r="N84" s="772">
        <v>58.63</v>
      </c>
      <c r="O84" s="772">
        <v>51.39</v>
      </c>
      <c r="P84" s="648"/>
      <c r="Q84" s="648"/>
    </row>
    <row r="85" spans="5:17" x14ac:dyDescent="0.2">
      <c r="E85" s="639" t="s">
        <v>443</v>
      </c>
      <c r="F85" s="648" t="s">
        <v>411</v>
      </c>
      <c r="G85" s="898" t="str">
        <f>F85</f>
        <v>Retail</v>
      </c>
      <c r="H85" s="638" t="s">
        <v>445</v>
      </c>
      <c r="I85" s="772">
        <v>60.93</v>
      </c>
      <c r="J85" s="772">
        <v>61.9</v>
      </c>
      <c r="K85" s="772">
        <v>59.82</v>
      </c>
      <c r="L85" s="648"/>
      <c r="M85" s="772">
        <v>55.06</v>
      </c>
      <c r="N85" s="772">
        <v>55.1</v>
      </c>
      <c r="O85" s="772">
        <v>52.06</v>
      </c>
      <c r="P85" s="648"/>
      <c r="Q85" s="648"/>
    </row>
    <row r="86" spans="5:17" x14ac:dyDescent="0.2">
      <c r="E86" s="639" t="s">
        <v>446</v>
      </c>
      <c r="F86" s="648" t="s">
        <v>411</v>
      </c>
      <c r="G86" s="899"/>
      <c r="H86" s="638" t="s">
        <v>447</v>
      </c>
      <c r="I86" s="772">
        <v>60.54</v>
      </c>
      <c r="J86" s="772">
        <v>61.11</v>
      </c>
      <c r="K86" s="772">
        <v>58.59</v>
      </c>
      <c r="L86" s="648"/>
      <c r="M86" s="772">
        <v>54.26</v>
      </c>
      <c r="N86" s="772">
        <v>54.38</v>
      </c>
      <c r="O86" s="772">
        <v>51.81</v>
      </c>
      <c r="P86" s="648"/>
      <c r="Q86" s="648"/>
    </row>
    <row r="87" spans="5:17" x14ac:dyDescent="0.2">
      <c r="E87" s="639" t="s">
        <v>448</v>
      </c>
      <c r="F87" s="648" t="s">
        <v>411</v>
      </c>
      <c r="G87" s="900"/>
      <c r="H87" s="638" t="s">
        <v>449</v>
      </c>
      <c r="I87" s="772">
        <v>60.97</v>
      </c>
      <c r="J87" s="772">
        <v>61.17</v>
      </c>
      <c r="K87" s="772">
        <v>57.94</v>
      </c>
      <c r="L87" s="648"/>
      <c r="M87" s="772">
        <v>53.45</v>
      </c>
      <c r="N87" s="772">
        <v>53.17</v>
      </c>
      <c r="O87" s="772">
        <v>51.43</v>
      </c>
      <c r="P87" s="648"/>
      <c r="Q87" s="648"/>
    </row>
    <row r="88" spans="5:17" x14ac:dyDescent="0.2">
      <c r="E88" s="639" t="s">
        <v>443</v>
      </c>
      <c r="F88" s="648" t="s">
        <v>412</v>
      </c>
      <c r="G88" s="898" t="str">
        <f>F88</f>
        <v>School</v>
      </c>
      <c r="H88" s="638" t="s">
        <v>445</v>
      </c>
      <c r="I88" s="772">
        <v>58.76</v>
      </c>
      <c r="J88" s="772">
        <v>59.75</v>
      </c>
      <c r="K88" s="772">
        <v>44.1</v>
      </c>
      <c r="L88" s="648"/>
      <c r="M88" s="772">
        <v>55.54</v>
      </c>
      <c r="N88" s="772">
        <v>56.09</v>
      </c>
      <c r="O88" s="772">
        <v>48.93</v>
      </c>
      <c r="P88" s="648"/>
      <c r="Q88" s="648"/>
    </row>
    <row r="89" spans="5:17" x14ac:dyDescent="0.2">
      <c r="E89" s="639" t="s">
        <v>446</v>
      </c>
      <c r="F89" s="648" t="s">
        <v>412</v>
      </c>
      <c r="G89" s="899"/>
      <c r="H89" s="638" t="s">
        <v>447</v>
      </c>
      <c r="I89" s="772">
        <v>56.77</v>
      </c>
      <c r="J89" s="772">
        <v>58.1</v>
      </c>
      <c r="K89" s="772">
        <v>43.94</v>
      </c>
      <c r="L89" s="648"/>
      <c r="M89" s="772">
        <v>54.29</v>
      </c>
      <c r="N89" s="772">
        <v>54.81</v>
      </c>
      <c r="O89" s="772">
        <v>47.09</v>
      </c>
      <c r="P89" s="648"/>
      <c r="Q89" s="648"/>
    </row>
    <row r="90" spans="5:17" x14ac:dyDescent="0.2">
      <c r="E90" s="639" t="s">
        <v>448</v>
      </c>
      <c r="F90" s="648" t="s">
        <v>412</v>
      </c>
      <c r="G90" s="900"/>
      <c r="H90" s="638" t="s">
        <v>449</v>
      </c>
      <c r="I90" s="772">
        <v>59.14</v>
      </c>
      <c r="J90" s="772">
        <v>59.68</v>
      </c>
      <c r="K90" s="772">
        <v>50.31</v>
      </c>
      <c r="L90" s="648"/>
      <c r="M90" s="772">
        <v>59.53</v>
      </c>
      <c r="N90" s="772">
        <v>60.69</v>
      </c>
      <c r="O90" s="772">
        <v>48.69</v>
      </c>
      <c r="P90" s="648"/>
      <c r="Q90" s="648"/>
    </row>
    <row r="91" spans="5:17" x14ac:dyDescent="0.2">
      <c r="E91" s="639" t="s">
        <v>443</v>
      </c>
      <c r="F91" s="648" t="s">
        <v>413</v>
      </c>
      <c r="G91" s="898" t="str">
        <f>F91</f>
        <v>Warehouse</v>
      </c>
      <c r="H91" s="638" t="s">
        <v>445</v>
      </c>
      <c r="I91" s="772">
        <v>65.67</v>
      </c>
      <c r="J91" s="772">
        <v>65.87</v>
      </c>
      <c r="K91" s="772">
        <v>64.069999999999993</v>
      </c>
      <c r="L91" s="648"/>
      <c r="M91" s="772">
        <v>52.64</v>
      </c>
      <c r="N91" s="772">
        <v>52.72</v>
      </c>
      <c r="O91" s="772">
        <v>49.18</v>
      </c>
      <c r="P91" s="648"/>
      <c r="Q91" s="648"/>
    </row>
    <row r="92" spans="5:17" x14ac:dyDescent="0.2">
      <c r="E92" s="639" t="s">
        <v>446</v>
      </c>
      <c r="F92" s="648" t="s">
        <v>413</v>
      </c>
      <c r="G92" s="899"/>
      <c r="H92" s="638" t="s">
        <v>447</v>
      </c>
      <c r="I92" s="772">
        <v>64.150000000000006</v>
      </c>
      <c r="J92" s="772">
        <v>64.19</v>
      </c>
      <c r="K92" s="772">
        <v>61.68</v>
      </c>
      <c r="L92" s="648"/>
      <c r="M92" s="772">
        <v>50.86</v>
      </c>
      <c r="N92" s="772">
        <v>50.82</v>
      </c>
      <c r="O92" s="772">
        <v>48.79</v>
      </c>
      <c r="P92" s="648"/>
      <c r="Q92" s="648"/>
    </row>
    <row r="93" spans="5:17" x14ac:dyDescent="0.2">
      <c r="E93" s="639" t="s">
        <v>448</v>
      </c>
      <c r="F93" s="648" t="s">
        <v>413</v>
      </c>
      <c r="G93" s="900"/>
      <c r="H93" s="638" t="s">
        <v>449</v>
      </c>
      <c r="I93" s="772">
        <v>63.92</v>
      </c>
      <c r="J93" s="772">
        <v>63.98</v>
      </c>
      <c r="K93" s="772">
        <v>61.12</v>
      </c>
      <c r="L93" s="648"/>
      <c r="M93" s="772">
        <v>49.24</v>
      </c>
      <c r="N93" s="772">
        <v>49.1</v>
      </c>
      <c r="O93" s="772">
        <v>48.7</v>
      </c>
      <c r="P93" s="648"/>
      <c r="Q93" s="648"/>
    </row>
    <row r="95" spans="5:17" x14ac:dyDescent="0.2">
      <c r="E95" s="648"/>
      <c r="F95" s="648"/>
      <c r="G95" s="648"/>
      <c r="H95" s="648" t="s">
        <v>456</v>
      </c>
      <c r="I95" s="778">
        <f>ROUND(AVERAGE(I58,I61,I64,I67,I73,I76,I82,I85,I88,I91),0)</f>
        <v>58</v>
      </c>
      <c r="J95" s="778">
        <f>ROUND(AVERAGE(J58,J61,J64,J67,J73,J76,J82,J85,J88,J91),0)</f>
        <v>59</v>
      </c>
      <c r="K95" s="778">
        <f>ROUND(AVERAGE(K58,K61,K64,K67,K73,K76,K82,K85,K88,K91),0)</f>
        <v>55</v>
      </c>
      <c r="L95" s="648"/>
      <c r="M95" s="778">
        <f>ROUND(AVERAGE(M58,M61,M64,M67,M73,M76,M82,M85,M88,M91),0)</f>
        <v>54</v>
      </c>
      <c r="N95" s="778">
        <f>ROUND(AVERAGE(N58,N61,N64,N67,N73,N76,N82,N85,N88,N91),0)</f>
        <v>56</v>
      </c>
      <c r="O95" s="778">
        <f>ROUND(AVERAGE(O58,O61,O64,O67,O73,O76,O82,O85,O88,O91),0)</f>
        <v>53</v>
      </c>
      <c r="P95" s="648"/>
      <c r="Q95" s="648" t="s">
        <v>457</v>
      </c>
    </row>
    <row r="96" spans="5:17" x14ac:dyDescent="0.2">
      <c r="E96" s="648"/>
      <c r="F96" s="648"/>
      <c r="G96" s="648"/>
      <c r="H96" s="648"/>
      <c r="I96" s="648"/>
      <c r="J96" s="648"/>
      <c r="K96" s="802">
        <f>I95-K95</f>
        <v>3</v>
      </c>
      <c r="L96" s="648"/>
      <c r="M96" s="648"/>
      <c r="N96" s="648"/>
      <c r="O96" s="648"/>
      <c r="P96" s="648"/>
      <c r="Q96" s="648"/>
    </row>
    <row r="98" spans="5:5" x14ac:dyDescent="0.2">
      <c r="E98" s="38" t="s">
        <v>458</v>
      </c>
    </row>
  </sheetData>
  <mergeCells count="53">
    <mergeCell ref="G85:G87"/>
    <mergeCell ref="G88:G90"/>
    <mergeCell ref="G91:G93"/>
    <mergeCell ref="G67:G69"/>
    <mergeCell ref="G70:G72"/>
    <mergeCell ref="G73:G75"/>
    <mergeCell ref="G76:G78"/>
    <mergeCell ref="G79:G81"/>
    <mergeCell ref="G82:G84"/>
    <mergeCell ref="G64:G66"/>
    <mergeCell ref="K30:R30"/>
    <mergeCell ref="E31:F32"/>
    <mergeCell ref="G31:J31"/>
    <mergeCell ref="K31:N31"/>
    <mergeCell ref="O31:R31"/>
    <mergeCell ref="G32:H32"/>
    <mergeCell ref="I32:J32"/>
    <mergeCell ref="K32:L32"/>
    <mergeCell ref="M32:N32"/>
    <mergeCell ref="O32:P32"/>
    <mergeCell ref="Q32:R32"/>
    <mergeCell ref="I56:K56"/>
    <mergeCell ref="M56:O56"/>
    <mergeCell ref="G58:G60"/>
    <mergeCell ref="G61:G63"/>
    <mergeCell ref="AA2:AC2"/>
    <mergeCell ref="AD2:AF2"/>
    <mergeCell ref="AG2:AI2"/>
    <mergeCell ref="AJ2:AL2"/>
    <mergeCell ref="AM2:AO2"/>
    <mergeCell ref="AP2:AR2"/>
    <mergeCell ref="AM1:AO1"/>
    <mergeCell ref="AP1:AR1"/>
    <mergeCell ref="E2:E3"/>
    <mergeCell ref="F2:H2"/>
    <mergeCell ref="I2:K2"/>
    <mergeCell ref="L2:N2"/>
    <mergeCell ref="O2:Q2"/>
    <mergeCell ref="R2:T2"/>
    <mergeCell ref="U2:W2"/>
    <mergeCell ref="X2:Z2"/>
    <mergeCell ref="U1:W1"/>
    <mergeCell ref="X1:Z1"/>
    <mergeCell ref="AA1:AC1"/>
    <mergeCell ref="AD1:AF1"/>
    <mergeCell ref="AG1:AI1"/>
    <mergeCell ref="AJ1:AL1"/>
    <mergeCell ref="A1:B1"/>
    <mergeCell ref="F1:H1"/>
    <mergeCell ref="I1:K1"/>
    <mergeCell ref="L1:N1"/>
    <mergeCell ref="O1:Q1"/>
    <mergeCell ref="R1:T1"/>
  </mergeCells>
  <pageMargins left="0.7" right="0.7" top="0.75" bottom="0.75" header="0.3" footer="0.3"/>
  <pageSetup orientation="portrait" r:id="rId1"/>
  <headerFooter>
    <oddFooter>&amp;C_x000D_&amp;1#&amp;"Calibri"&amp;22&amp;K0073CF INTERNAL</oddFooter>
  </headerFooter>
  <ignoredErrors>
    <ignoredError sqref="O34:P34 O38:P39 P40:P41 O41 O43:P43"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FFF4E-7102-4E2E-AE99-A78CF3B2E94F}">
  <sheetPr codeName="Sheet1"/>
  <dimension ref="A1:R103"/>
  <sheetViews>
    <sheetView topLeftCell="A73" workbookViewId="0">
      <selection activeCell="B50" sqref="B50"/>
    </sheetView>
  </sheetViews>
  <sheetFormatPr defaultColWidth="9.140625" defaultRowHeight="12.75" x14ac:dyDescent="0.2"/>
  <cols>
    <col min="1" max="1" width="28.7109375" style="368" bestFit="1" customWidth="1"/>
    <col min="2" max="2" width="31.42578125" style="368" customWidth="1"/>
    <col min="3" max="3" width="28.5703125" style="368" customWidth="1"/>
    <col min="4" max="4" width="31.42578125" style="368" customWidth="1"/>
    <col min="5" max="5" width="28.5703125" style="368" customWidth="1"/>
    <col min="6" max="6" width="31.42578125" style="368" customWidth="1"/>
    <col min="7" max="7" width="28.5703125" style="368" customWidth="1"/>
    <col min="8" max="8" width="31.42578125" style="368" customWidth="1"/>
    <col min="9" max="9" width="28.5703125" style="368" customWidth="1"/>
    <col min="10" max="10" width="26.85546875" style="368" customWidth="1"/>
    <col min="11" max="11" width="24" style="368" customWidth="1"/>
    <col min="12" max="12" width="9.140625" style="368"/>
    <col min="13" max="14" width="38" style="368" bestFit="1" customWidth="1"/>
    <col min="15" max="15" width="43.85546875" style="368" bestFit="1" customWidth="1"/>
    <col min="16" max="16" width="47" style="368" bestFit="1" customWidth="1"/>
    <col min="17" max="17" width="21.5703125" style="368" customWidth="1"/>
    <col min="18" max="18" width="45.85546875" style="368" customWidth="1"/>
    <col min="19" max="16384" width="9.140625" style="368"/>
  </cols>
  <sheetData>
    <row r="1" spans="1:18" x14ac:dyDescent="0.2">
      <c r="A1" s="6" t="s">
        <v>459</v>
      </c>
      <c r="B1" s="92" t="s">
        <v>193</v>
      </c>
      <c r="C1" s="92" t="s">
        <v>194</v>
      </c>
      <c r="D1" s="6" t="s">
        <v>460</v>
      </c>
      <c r="E1" s="648"/>
      <c r="F1" s="6" t="s">
        <v>461</v>
      </c>
      <c r="G1" s="648"/>
      <c r="H1" s="6" t="s">
        <v>462</v>
      </c>
      <c r="I1" s="648"/>
      <c r="J1" s="648" t="s">
        <v>463</v>
      </c>
      <c r="K1" s="648"/>
      <c r="L1" s="638" t="s">
        <v>424</v>
      </c>
      <c r="M1" s="648"/>
      <c r="N1" s="92" t="s">
        <v>464</v>
      </c>
      <c r="O1" s="648"/>
      <c r="P1" s="6" t="s">
        <v>465</v>
      </c>
      <c r="Q1" s="648"/>
      <c r="R1" s="92" t="s">
        <v>466</v>
      </c>
    </row>
    <row r="2" spans="1:18" x14ac:dyDescent="0.2">
      <c r="A2" s="5" t="s">
        <v>219</v>
      </c>
      <c r="B2" s="648">
        <v>20</v>
      </c>
      <c r="C2" s="648" t="s">
        <v>467</v>
      </c>
      <c r="D2" s="638" t="s">
        <v>468</v>
      </c>
      <c r="E2" s="648"/>
      <c r="F2" s="638" t="s">
        <v>469</v>
      </c>
      <c r="G2" s="648"/>
      <c r="H2" s="638" t="s">
        <v>470</v>
      </c>
      <c r="I2" s="648"/>
      <c r="J2" s="648" t="str">
        <f>IF(Inputs!$C$4="Con Edison","Residential","")</f>
        <v>Residential</v>
      </c>
      <c r="K2" s="648"/>
      <c r="L2" s="638" t="str">
        <f>IF(Inputs!C7="Multifamily","LMI","")</f>
        <v/>
      </c>
      <c r="M2" s="648"/>
      <c r="N2" s="648" t="s">
        <v>471</v>
      </c>
      <c r="O2" s="648"/>
      <c r="P2" s="102" t="s">
        <v>472</v>
      </c>
      <c r="Q2" s="648"/>
      <c r="R2" s="700" t="str">
        <f>IF(Inputs!M64="Rough Estimate","","Data per Manual N or ACCA 183 load calculations")</f>
        <v>Data per Manual N or ACCA 183 load calculations</v>
      </c>
    </row>
    <row r="3" spans="1:18" x14ac:dyDescent="0.2">
      <c r="A3" s="5" t="s">
        <v>220</v>
      </c>
      <c r="B3" s="648">
        <v>20</v>
      </c>
      <c r="C3" s="648" t="s">
        <v>473</v>
      </c>
      <c r="D3" s="638" t="s">
        <v>474</v>
      </c>
      <c r="E3" s="648"/>
      <c r="F3" s="638" t="s">
        <v>475</v>
      </c>
      <c r="G3" s="648"/>
      <c r="H3" s="638" t="s">
        <v>476</v>
      </c>
      <c r="I3" s="648"/>
      <c r="J3" s="648" t="str">
        <f>IF(Inputs!$C$4="Con Edison","Multifamily","")</f>
        <v>Multifamily</v>
      </c>
      <c r="K3" s="648"/>
      <c r="L3" s="638" t="str">
        <f>IF(Inputs!C7="Multifamily","non-LMI","")</f>
        <v/>
      </c>
      <c r="M3" s="648"/>
      <c r="N3" s="648" t="s">
        <v>477</v>
      </c>
      <c r="O3" s="648"/>
      <c r="P3" s="102" t="s">
        <v>478</v>
      </c>
      <c r="Q3" s="648"/>
      <c r="R3" s="700" t="str">
        <f>IF(Inputs!M$63="Manual J or ACCA 183 calculations","","Rough Estimate: Tier 1A")</f>
        <v>Rough Estimate: Tier 1A</v>
      </c>
    </row>
    <row r="4" spans="1:18" x14ac:dyDescent="0.2">
      <c r="A4" s="5" t="s">
        <v>221</v>
      </c>
      <c r="B4" s="648">
        <v>5</v>
      </c>
      <c r="C4" s="648" t="s">
        <v>479</v>
      </c>
      <c r="D4" s="638" t="s">
        <v>480</v>
      </c>
      <c r="E4" s="648"/>
      <c r="F4" s="648"/>
      <c r="G4" s="648"/>
      <c r="H4" s="638" t="s">
        <v>481</v>
      </c>
      <c r="I4" s="648"/>
      <c r="J4" s="648" t="str">
        <f>IF(Inputs!$C$4="Con Edison","Commercial/Industrial","")</f>
        <v>Commercial/Industrial</v>
      </c>
      <c r="K4" s="648"/>
      <c r="L4" s="648"/>
      <c r="M4" s="648"/>
      <c r="N4" s="648" t="s">
        <v>482</v>
      </c>
      <c r="O4" s="648"/>
      <c r="P4" s="102" t="s">
        <v>483</v>
      </c>
      <c r="Q4" s="648"/>
      <c r="R4" s="700" t="str">
        <f>IF(Inputs!M$63="Manual J or ACCA 183 calculations","","Rough Estimate: Tier 1B")</f>
        <v>Rough Estimate: Tier 1B</v>
      </c>
    </row>
    <row r="5" spans="1:18" x14ac:dyDescent="0.2">
      <c r="A5" s="5" t="s">
        <v>222</v>
      </c>
      <c r="B5" s="648">
        <v>30</v>
      </c>
      <c r="C5" s="648" t="s">
        <v>484</v>
      </c>
      <c r="D5" s="638" t="s">
        <v>485</v>
      </c>
      <c r="E5" s="648"/>
      <c r="F5" s="648"/>
      <c r="G5" s="648"/>
      <c r="H5" s="638" t="s">
        <v>486</v>
      </c>
      <c r="I5" s="648"/>
      <c r="J5" s="648" t="s">
        <v>487</v>
      </c>
      <c r="K5" s="648"/>
      <c r="L5" s="648"/>
      <c r="M5" s="648"/>
      <c r="N5" s="648"/>
      <c r="O5" s="648"/>
      <c r="P5" s="102" t="s">
        <v>488</v>
      </c>
      <c r="Q5" s="648"/>
      <c r="R5" s="700" t="str">
        <f>IF(Inputs!M$63="Manual J or ACCA 183 calculations","","Rough Estimate: Tier 2")</f>
        <v>Rough Estimate: Tier 2</v>
      </c>
    </row>
    <row r="6" spans="1:18" x14ac:dyDescent="0.2">
      <c r="A6" s="5" t="s">
        <v>223</v>
      </c>
      <c r="B6" s="648">
        <v>30</v>
      </c>
      <c r="C6" s="648" t="s">
        <v>489</v>
      </c>
      <c r="D6" s="638" t="s">
        <v>490</v>
      </c>
      <c r="E6" s="648"/>
      <c r="F6" s="648"/>
      <c r="G6" s="648"/>
      <c r="H6" s="648"/>
      <c r="I6" s="648"/>
      <c r="J6" s="648"/>
      <c r="K6" s="648"/>
      <c r="L6" s="648"/>
      <c r="M6" s="648"/>
      <c r="N6" s="648"/>
      <c r="O6" s="648"/>
      <c r="P6" s="102" t="s">
        <v>491</v>
      </c>
      <c r="Q6" s="648"/>
      <c r="R6" s="648"/>
    </row>
    <row r="7" spans="1:18" x14ac:dyDescent="0.2">
      <c r="A7" s="5" t="s">
        <v>492</v>
      </c>
      <c r="B7" s="648"/>
      <c r="C7" s="648" t="s">
        <v>493</v>
      </c>
      <c r="D7" s="648"/>
      <c r="E7" s="648"/>
      <c r="F7" s="648"/>
      <c r="G7" s="648"/>
      <c r="H7" s="648"/>
      <c r="I7" s="648"/>
      <c r="J7" s="648"/>
      <c r="K7" s="648"/>
      <c r="L7" s="648"/>
      <c r="M7" s="648"/>
      <c r="N7" s="648"/>
      <c r="O7" s="648"/>
      <c r="P7" s="102" t="s">
        <v>494</v>
      </c>
      <c r="Q7" s="648"/>
      <c r="R7" s="648"/>
    </row>
    <row r="8" spans="1:18" x14ac:dyDescent="0.2">
      <c r="A8" s="5" t="s">
        <v>495</v>
      </c>
      <c r="B8" s="648"/>
      <c r="C8" s="648" t="s">
        <v>496</v>
      </c>
      <c r="D8" s="648"/>
      <c r="E8" s="648"/>
      <c r="F8" s="648"/>
      <c r="G8" s="648"/>
      <c r="H8" s="648"/>
      <c r="I8" s="648"/>
      <c r="J8" s="648"/>
      <c r="K8" s="648"/>
      <c r="L8" s="648"/>
      <c r="M8" s="648"/>
      <c r="N8" s="648"/>
      <c r="O8" s="648"/>
      <c r="P8" s="102" t="s">
        <v>497</v>
      </c>
      <c r="Q8" s="648"/>
      <c r="R8" s="648"/>
    </row>
    <row r="9" spans="1:18" x14ac:dyDescent="0.2">
      <c r="A9" s="8"/>
      <c r="B9" s="648"/>
      <c r="C9" s="648"/>
      <c r="D9" s="648"/>
      <c r="E9" s="648"/>
      <c r="F9" s="648"/>
      <c r="G9" s="648"/>
      <c r="H9" s="648"/>
      <c r="I9" s="648"/>
      <c r="J9" s="648"/>
      <c r="K9" s="648"/>
      <c r="L9" s="648"/>
      <c r="M9" s="648"/>
      <c r="N9" s="648"/>
      <c r="O9" s="648"/>
      <c r="P9" s="102" t="s">
        <v>498</v>
      </c>
      <c r="Q9" s="648"/>
      <c r="R9" s="648"/>
    </row>
    <row r="10" spans="1:18" x14ac:dyDescent="0.2">
      <c r="A10" s="327" t="s">
        <v>499</v>
      </c>
      <c r="B10" s="328" t="s">
        <v>475</v>
      </c>
      <c r="C10" s="329" t="s">
        <v>469</v>
      </c>
      <c r="D10" s="648"/>
      <c r="E10" s="648"/>
      <c r="F10" s="648"/>
      <c r="G10" s="648"/>
      <c r="H10" s="648"/>
      <c r="I10" s="648"/>
      <c r="J10" s="648"/>
      <c r="K10" s="648"/>
      <c r="L10" s="648"/>
      <c r="M10" s="648"/>
      <c r="N10" s="648"/>
      <c r="O10" s="648"/>
      <c r="P10" s="648"/>
      <c r="Q10" s="648"/>
      <c r="R10" s="648"/>
    </row>
    <row r="11" spans="1:18" x14ac:dyDescent="0.2">
      <c r="A11" s="326" t="s">
        <v>500</v>
      </c>
      <c r="B11" s="638">
        <v>0.79</v>
      </c>
      <c r="C11" s="639">
        <v>0.79</v>
      </c>
      <c r="D11" s="648"/>
      <c r="E11" s="648"/>
      <c r="F11" s="648"/>
      <c r="G11" s="648"/>
      <c r="H11" s="648"/>
      <c r="I11" s="648"/>
      <c r="J11" s="648"/>
      <c r="K11" s="648"/>
      <c r="L11" s="648"/>
      <c r="M11" s="648"/>
      <c r="N11" s="648"/>
      <c r="O11" s="648"/>
      <c r="P11" s="648"/>
      <c r="Q11" s="648"/>
      <c r="R11" s="648"/>
    </row>
    <row r="12" spans="1:18" x14ac:dyDescent="0.2">
      <c r="A12" s="326" t="s">
        <v>501</v>
      </c>
      <c r="B12" s="638">
        <v>4</v>
      </c>
      <c r="C12" s="639">
        <v>2</v>
      </c>
      <c r="D12" s="648"/>
      <c r="E12" s="648"/>
      <c r="F12" s="648"/>
      <c r="G12" s="648"/>
      <c r="H12" s="648"/>
      <c r="I12" s="648"/>
      <c r="J12" s="648"/>
      <c r="K12" s="648"/>
      <c r="L12" s="648"/>
      <c r="M12" s="648"/>
      <c r="N12" s="648"/>
      <c r="O12" s="648"/>
      <c r="P12" s="648"/>
      <c r="Q12" s="648"/>
      <c r="R12" s="648"/>
    </row>
    <row r="13" spans="1:18" x14ac:dyDescent="0.2">
      <c r="A13" s="326" t="s">
        <v>502</v>
      </c>
      <c r="B13" s="638">
        <v>8</v>
      </c>
      <c r="C13" s="639">
        <v>4</v>
      </c>
      <c r="D13" s="648"/>
      <c r="E13" s="648"/>
      <c r="F13" s="648"/>
      <c r="G13" s="648"/>
      <c r="H13" s="648"/>
      <c r="I13" s="648"/>
      <c r="J13" s="648"/>
      <c r="K13" s="648"/>
      <c r="L13" s="648"/>
      <c r="M13" s="648"/>
      <c r="N13" s="648"/>
      <c r="O13" s="648"/>
      <c r="P13" s="648"/>
      <c r="Q13" s="648"/>
      <c r="R13" s="648"/>
    </row>
    <row r="14" spans="1:18" x14ac:dyDescent="0.2">
      <c r="A14" s="326" t="s">
        <v>503</v>
      </c>
      <c r="B14" s="638">
        <v>11</v>
      </c>
      <c r="C14" s="639">
        <v>5.5</v>
      </c>
      <c r="D14" s="648"/>
      <c r="E14" s="648"/>
      <c r="F14" s="648"/>
      <c r="G14" s="648"/>
      <c r="H14" s="648"/>
      <c r="I14" s="648"/>
      <c r="J14" s="648"/>
      <c r="K14" s="648"/>
      <c r="L14" s="648"/>
      <c r="M14" s="648"/>
      <c r="N14" s="648"/>
      <c r="O14" s="648"/>
      <c r="P14" s="648"/>
      <c r="Q14" s="648"/>
      <c r="R14" s="648"/>
    </row>
    <row r="15" spans="1:18" x14ac:dyDescent="0.2">
      <c r="A15" s="326" t="s">
        <v>504</v>
      </c>
      <c r="B15" s="638">
        <v>13</v>
      </c>
      <c r="C15" s="639">
        <v>6</v>
      </c>
      <c r="D15" s="648"/>
      <c r="E15" s="648"/>
      <c r="F15" s="648"/>
      <c r="G15" s="648"/>
      <c r="H15" s="648"/>
      <c r="I15" s="648"/>
      <c r="J15" s="648"/>
      <c r="K15" s="648"/>
      <c r="L15" s="648"/>
      <c r="M15" s="648"/>
      <c r="N15" s="648"/>
      <c r="O15" s="648"/>
      <c r="P15" s="648"/>
      <c r="Q15" s="648"/>
      <c r="R15" s="648"/>
    </row>
    <row r="16" spans="1:18" x14ac:dyDescent="0.2">
      <c r="A16" s="326" t="s">
        <v>505</v>
      </c>
      <c r="B16" s="638">
        <v>15</v>
      </c>
      <c r="C16" s="639">
        <v>6.4</v>
      </c>
      <c r="D16" s="648"/>
      <c r="E16" s="648"/>
      <c r="F16" s="648"/>
      <c r="G16" s="648"/>
      <c r="H16" s="648"/>
      <c r="I16" s="648"/>
      <c r="J16" s="648"/>
      <c r="K16" s="648"/>
      <c r="L16" s="648"/>
      <c r="M16" s="648"/>
      <c r="N16" s="648"/>
      <c r="O16" s="648"/>
      <c r="P16" s="648"/>
      <c r="Q16" s="648"/>
      <c r="R16" s="648"/>
    </row>
    <row r="17" spans="1:3" x14ac:dyDescent="0.2">
      <c r="A17" s="326" t="s">
        <v>506</v>
      </c>
      <c r="B17" s="638">
        <v>19</v>
      </c>
      <c r="C17" s="639">
        <v>7.1</v>
      </c>
    </row>
    <row r="18" spans="1:3" x14ac:dyDescent="0.2">
      <c r="A18" s="326" t="s">
        <v>507</v>
      </c>
      <c r="B18" s="638">
        <v>21</v>
      </c>
      <c r="C18" s="639">
        <v>7.4</v>
      </c>
    </row>
    <row r="19" spans="1:3" x14ac:dyDescent="0.2">
      <c r="A19" s="330" t="s">
        <v>508</v>
      </c>
      <c r="B19" s="641">
        <v>25</v>
      </c>
      <c r="C19" s="642">
        <v>7.8</v>
      </c>
    </row>
    <row r="20" spans="1:3" x14ac:dyDescent="0.2">
      <c r="A20" s="8"/>
      <c r="B20" s="648"/>
      <c r="C20" s="648"/>
    </row>
    <row r="22" spans="1:3" x14ac:dyDescent="0.2">
      <c r="A22" s="331" t="s">
        <v>509</v>
      </c>
      <c r="B22" s="328" t="s">
        <v>475</v>
      </c>
      <c r="C22" s="329" t="s">
        <v>469</v>
      </c>
    </row>
    <row r="23" spans="1:3" x14ac:dyDescent="0.2">
      <c r="A23" s="637" t="s">
        <v>500</v>
      </c>
      <c r="B23" s="638">
        <v>0.79</v>
      </c>
      <c r="C23" s="639">
        <v>0.79</v>
      </c>
    </row>
    <row r="24" spans="1:3" x14ac:dyDescent="0.2">
      <c r="A24" s="637" t="s">
        <v>501</v>
      </c>
      <c r="B24" s="638">
        <v>4</v>
      </c>
      <c r="C24" s="639">
        <v>3.88</v>
      </c>
    </row>
    <row r="25" spans="1:3" x14ac:dyDescent="0.2">
      <c r="A25" s="637" t="s">
        <v>510</v>
      </c>
      <c r="B25" s="638">
        <v>5</v>
      </c>
      <c r="C25" s="639">
        <v>4.8</v>
      </c>
    </row>
    <row r="26" spans="1:3" x14ac:dyDescent="0.2">
      <c r="A26" s="637" t="s">
        <v>502</v>
      </c>
      <c r="B26" s="638">
        <v>8</v>
      </c>
      <c r="C26" s="639">
        <v>7.52</v>
      </c>
    </row>
    <row r="27" spans="1:3" x14ac:dyDescent="0.2">
      <c r="A27" s="637" t="s">
        <v>511</v>
      </c>
      <c r="B27" s="638">
        <v>10</v>
      </c>
      <c r="C27" s="639">
        <v>9.1999999999999993</v>
      </c>
    </row>
    <row r="28" spans="1:3" x14ac:dyDescent="0.2">
      <c r="A28" s="637" t="s">
        <v>503</v>
      </c>
      <c r="B28" s="638">
        <v>11</v>
      </c>
      <c r="C28" s="639">
        <v>10.01</v>
      </c>
    </row>
    <row r="29" spans="1:3" x14ac:dyDescent="0.2">
      <c r="A29" s="637" t="s">
        <v>512</v>
      </c>
      <c r="B29" s="638">
        <v>12</v>
      </c>
      <c r="C29" s="639">
        <v>10.8</v>
      </c>
    </row>
    <row r="30" spans="1:3" x14ac:dyDescent="0.2">
      <c r="A30" s="637" t="s">
        <v>504</v>
      </c>
      <c r="B30" s="638">
        <v>13</v>
      </c>
      <c r="C30" s="639">
        <v>11.7</v>
      </c>
    </row>
    <row r="31" spans="1:3" x14ac:dyDescent="0.2">
      <c r="A31" s="637" t="s">
        <v>505</v>
      </c>
      <c r="B31" s="638">
        <v>15</v>
      </c>
      <c r="C31" s="639">
        <v>13.2</v>
      </c>
    </row>
    <row r="32" spans="1:3" x14ac:dyDescent="0.2">
      <c r="A32" s="637" t="s">
        <v>513</v>
      </c>
      <c r="B32" s="638">
        <v>16</v>
      </c>
      <c r="C32" s="639">
        <v>13.92</v>
      </c>
    </row>
    <row r="33" spans="1:4" x14ac:dyDescent="0.2">
      <c r="A33" s="637" t="s">
        <v>506</v>
      </c>
      <c r="B33" s="638">
        <v>19</v>
      </c>
      <c r="C33" s="639">
        <v>16.34</v>
      </c>
      <c r="D33" s="648"/>
    </row>
    <row r="34" spans="1:4" x14ac:dyDescent="0.2">
      <c r="A34" s="637" t="s">
        <v>514</v>
      </c>
      <c r="B34" s="638">
        <v>20</v>
      </c>
      <c r="C34" s="639">
        <v>17</v>
      </c>
      <c r="D34" s="648"/>
    </row>
    <row r="35" spans="1:4" x14ac:dyDescent="0.2">
      <c r="A35" s="637" t="s">
        <v>507</v>
      </c>
      <c r="B35" s="638">
        <v>21</v>
      </c>
      <c r="C35" s="639">
        <v>17.64</v>
      </c>
      <c r="D35" s="648"/>
    </row>
    <row r="36" spans="1:4" x14ac:dyDescent="0.2">
      <c r="A36" s="637" t="s">
        <v>515</v>
      </c>
      <c r="B36" s="638">
        <v>24</v>
      </c>
      <c r="C36" s="639">
        <v>19.68</v>
      </c>
      <c r="D36" s="648"/>
    </row>
    <row r="37" spans="1:4" x14ac:dyDescent="0.2">
      <c r="A37" s="637" t="s">
        <v>508</v>
      </c>
      <c r="B37" s="638">
        <v>25</v>
      </c>
      <c r="C37" s="639">
        <v>20.25</v>
      </c>
      <c r="D37" s="648"/>
    </row>
    <row r="38" spans="1:4" x14ac:dyDescent="0.2">
      <c r="A38" s="637" t="s">
        <v>516</v>
      </c>
      <c r="B38" s="638">
        <v>30</v>
      </c>
      <c r="C38" s="639">
        <v>23.7</v>
      </c>
      <c r="D38" s="648"/>
    </row>
    <row r="39" spans="1:4" x14ac:dyDescent="0.2">
      <c r="A39" s="637" t="s">
        <v>517</v>
      </c>
      <c r="B39" s="638">
        <v>35</v>
      </c>
      <c r="C39" s="639">
        <v>26.6</v>
      </c>
      <c r="D39" s="648"/>
    </row>
    <row r="40" spans="1:4" x14ac:dyDescent="0.2">
      <c r="A40" s="637" t="s">
        <v>518</v>
      </c>
      <c r="B40" s="638">
        <v>38</v>
      </c>
      <c r="C40" s="639">
        <v>28.12</v>
      </c>
      <c r="D40" s="648"/>
    </row>
    <row r="41" spans="1:4" x14ac:dyDescent="0.2">
      <c r="A41" s="637" t="s">
        <v>519</v>
      </c>
      <c r="B41" s="638">
        <v>40</v>
      </c>
      <c r="C41" s="639">
        <v>29.2</v>
      </c>
      <c r="D41" s="648"/>
    </row>
    <row r="42" spans="1:4" x14ac:dyDescent="0.2">
      <c r="A42" s="637" t="s">
        <v>520</v>
      </c>
      <c r="B42" s="638">
        <v>45</v>
      </c>
      <c r="C42" s="639">
        <v>31.95</v>
      </c>
      <c r="D42" s="648"/>
    </row>
    <row r="43" spans="1:4" x14ac:dyDescent="0.2">
      <c r="A43" s="637" t="s">
        <v>521</v>
      </c>
      <c r="B43" s="638">
        <v>50</v>
      </c>
      <c r="C43" s="639">
        <v>34.5</v>
      </c>
      <c r="D43" s="648"/>
    </row>
    <row r="44" spans="1:4" x14ac:dyDescent="0.2">
      <c r="A44" s="640" t="s">
        <v>522</v>
      </c>
      <c r="B44" s="641">
        <v>55</v>
      </c>
      <c r="C44" s="642">
        <v>36.85</v>
      </c>
      <c r="D44" s="648"/>
    </row>
    <row r="47" spans="1:4" x14ac:dyDescent="0.2">
      <c r="A47" s="92" t="s">
        <v>523</v>
      </c>
      <c r="B47" s="648"/>
      <c r="C47" s="648"/>
      <c r="D47" s="648"/>
    </row>
    <row r="48" spans="1:4" x14ac:dyDescent="0.2">
      <c r="A48" s="92"/>
      <c r="B48" s="648"/>
      <c r="C48" s="918" t="s">
        <v>524</v>
      </c>
      <c r="D48" s="920"/>
    </row>
    <row r="49" spans="1:5" ht="25.5" x14ac:dyDescent="0.2">
      <c r="A49" s="369" t="s">
        <v>525</v>
      </c>
      <c r="B49" s="370" t="s">
        <v>526</v>
      </c>
      <c r="C49" s="370" t="s">
        <v>527</v>
      </c>
      <c r="D49" s="370" t="s">
        <v>528</v>
      </c>
      <c r="E49" s="115" t="s">
        <v>529</v>
      </c>
    </row>
    <row r="50" spans="1:5" x14ac:dyDescent="0.2">
      <c r="A50" s="371" t="s">
        <v>530</v>
      </c>
      <c r="B50" s="638" t="s">
        <v>531</v>
      </c>
      <c r="C50" s="772">
        <v>4.3</v>
      </c>
      <c r="D50" s="772">
        <v>86.3</v>
      </c>
      <c r="E50" s="102" t="s">
        <v>531</v>
      </c>
    </row>
    <row r="51" spans="1:5" x14ac:dyDescent="0.2">
      <c r="A51" s="371" t="s">
        <v>532</v>
      </c>
      <c r="B51" s="638" t="s">
        <v>533</v>
      </c>
      <c r="C51" s="772">
        <v>3.9</v>
      </c>
      <c r="D51" s="772">
        <v>82.3</v>
      </c>
      <c r="E51" s="102" t="s">
        <v>533</v>
      </c>
    </row>
    <row r="52" spans="1:5" x14ac:dyDescent="0.2">
      <c r="A52" s="371" t="s">
        <v>534</v>
      </c>
      <c r="B52" s="638" t="s">
        <v>447</v>
      </c>
      <c r="C52" s="772">
        <v>6.8</v>
      </c>
      <c r="D52" s="772">
        <v>83.9</v>
      </c>
      <c r="E52" s="102" t="s">
        <v>447</v>
      </c>
    </row>
    <row r="53" spans="1:5" x14ac:dyDescent="0.2">
      <c r="A53" s="803" t="s">
        <v>535</v>
      </c>
      <c r="B53" s="638" t="s">
        <v>536</v>
      </c>
      <c r="C53" s="772">
        <v>16.5</v>
      </c>
      <c r="D53" s="772">
        <v>86.4</v>
      </c>
      <c r="E53" s="102" t="s">
        <v>537</v>
      </c>
    </row>
    <row r="54" spans="1:5" x14ac:dyDescent="0.2">
      <c r="A54" s="803" t="s">
        <v>538</v>
      </c>
      <c r="B54" s="638" t="s">
        <v>539</v>
      </c>
      <c r="C54" s="772">
        <v>4.0999999999999996</v>
      </c>
      <c r="D54" s="772">
        <v>86.5</v>
      </c>
      <c r="E54" s="102" t="s">
        <v>540</v>
      </c>
    </row>
    <row r="55" spans="1:5" x14ac:dyDescent="0.2">
      <c r="A55" s="803" t="s">
        <v>541</v>
      </c>
      <c r="B55" s="638" t="s">
        <v>542</v>
      </c>
      <c r="C55" s="772">
        <v>-4.9000000000000004</v>
      </c>
      <c r="D55" s="772">
        <v>83.8</v>
      </c>
      <c r="E55" s="102" t="s">
        <v>540</v>
      </c>
    </row>
    <row r="56" spans="1:5" x14ac:dyDescent="0.2">
      <c r="A56" s="803" t="s">
        <v>543</v>
      </c>
      <c r="B56" s="638" t="s">
        <v>544</v>
      </c>
      <c r="C56" s="772">
        <v>-2.1</v>
      </c>
      <c r="D56" s="772">
        <v>84.6</v>
      </c>
      <c r="E56" s="102" t="s">
        <v>531</v>
      </c>
    </row>
    <row r="57" spans="1:5" x14ac:dyDescent="0.2">
      <c r="A57" s="803" t="s">
        <v>545</v>
      </c>
      <c r="B57" s="638" t="s">
        <v>537</v>
      </c>
      <c r="C57" s="772">
        <v>15.7</v>
      </c>
      <c r="D57" s="772">
        <v>85.9</v>
      </c>
      <c r="E57" s="102" t="s">
        <v>537</v>
      </c>
    </row>
    <row r="58" spans="1:5" x14ac:dyDescent="0.2">
      <c r="A58" s="803" t="s">
        <v>546</v>
      </c>
      <c r="B58" s="638" t="s">
        <v>547</v>
      </c>
      <c r="C58" s="772">
        <v>4.5</v>
      </c>
      <c r="D58" s="772">
        <v>81.099999999999994</v>
      </c>
      <c r="E58" s="102" t="s">
        <v>447</v>
      </c>
    </row>
    <row r="59" spans="1:5" x14ac:dyDescent="0.2">
      <c r="A59" s="371" t="s">
        <v>548</v>
      </c>
      <c r="B59" s="638" t="s">
        <v>449</v>
      </c>
      <c r="C59" s="772">
        <v>-7.6</v>
      </c>
      <c r="D59" s="772">
        <v>84.6</v>
      </c>
      <c r="E59" s="102" t="s">
        <v>449</v>
      </c>
    </row>
    <row r="60" spans="1:5" x14ac:dyDescent="0.2">
      <c r="A60" s="803" t="s">
        <v>549</v>
      </c>
      <c r="B60" s="638" t="s">
        <v>550</v>
      </c>
      <c r="C60" s="772">
        <v>4.7</v>
      </c>
      <c r="D60" s="772">
        <v>83.5</v>
      </c>
      <c r="E60" s="102" t="s">
        <v>551</v>
      </c>
    </row>
    <row r="61" spans="1:5" x14ac:dyDescent="0.2">
      <c r="A61" s="803" t="s">
        <v>552</v>
      </c>
      <c r="B61" s="638" t="s">
        <v>553</v>
      </c>
      <c r="C61" s="772">
        <v>17.3</v>
      </c>
      <c r="D61" s="772">
        <v>87.9</v>
      </c>
      <c r="E61" s="102" t="s">
        <v>554</v>
      </c>
    </row>
    <row r="62" spans="1:5" x14ac:dyDescent="0.2">
      <c r="A62" s="803" t="s">
        <v>555</v>
      </c>
      <c r="B62" s="638" t="s">
        <v>556</v>
      </c>
      <c r="C62" s="772">
        <v>17.5</v>
      </c>
      <c r="D62" s="772">
        <v>86.7</v>
      </c>
      <c r="E62" s="638" t="s">
        <v>557</v>
      </c>
    </row>
    <row r="63" spans="1:5" x14ac:dyDescent="0.2">
      <c r="A63" s="371" t="s">
        <v>558</v>
      </c>
      <c r="B63" s="638" t="s">
        <v>559</v>
      </c>
      <c r="C63" s="772">
        <v>17.899999999999999</v>
      </c>
      <c r="D63" s="772">
        <v>89.8</v>
      </c>
      <c r="E63" s="638" t="s">
        <v>560</v>
      </c>
    </row>
    <row r="64" spans="1:5" x14ac:dyDescent="0.2">
      <c r="A64" s="803" t="s">
        <v>561</v>
      </c>
      <c r="B64" s="638" t="s">
        <v>562</v>
      </c>
      <c r="C64" s="772">
        <v>6.5</v>
      </c>
      <c r="D64" s="772">
        <v>85.4</v>
      </c>
      <c r="E64" s="102" t="s">
        <v>447</v>
      </c>
    </row>
    <row r="65" spans="1:6" x14ac:dyDescent="0.2">
      <c r="A65" s="371" t="s">
        <v>563</v>
      </c>
      <c r="B65" s="638" t="s">
        <v>551</v>
      </c>
      <c r="C65" s="772">
        <v>8.0399999999999991</v>
      </c>
      <c r="D65" s="772">
        <v>88.4</v>
      </c>
      <c r="E65" s="102" t="s">
        <v>551</v>
      </c>
      <c r="F65" s="648"/>
    </row>
    <row r="66" spans="1:6" x14ac:dyDescent="0.2">
      <c r="A66" s="803" t="s">
        <v>564</v>
      </c>
      <c r="B66" s="638" t="s">
        <v>565</v>
      </c>
      <c r="C66" s="772">
        <v>6.6</v>
      </c>
      <c r="D66" s="772">
        <v>86</v>
      </c>
      <c r="E66" s="102" t="s">
        <v>565</v>
      </c>
      <c r="F66" s="648"/>
    </row>
    <row r="67" spans="1:6" x14ac:dyDescent="0.2">
      <c r="A67" s="803" t="s">
        <v>566</v>
      </c>
      <c r="B67" s="638" t="s">
        <v>567</v>
      </c>
      <c r="C67" s="772">
        <v>-12.6</v>
      </c>
      <c r="D67" s="772">
        <v>81</v>
      </c>
      <c r="E67" s="102" t="s">
        <v>531</v>
      </c>
      <c r="F67" s="648"/>
    </row>
    <row r="68" spans="1:6" x14ac:dyDescent="0.2">
      <c r="A68" s="371" t="s">
        <v>568</v>
      </c>
      <c r="B68" s="638" t="s">
        <v>540</v>
      </c>
      <c r="C68" s="772">
        <v>4.0999999999999996</v>
      </c>
      <c r="D68" s="772">
        <v>86.4</v>
      </c>
      <c r="E68" s="102" t="s">
        <v>540</v>
      </c>
      <c r="F68" s="648"/>
    </row>
    <row r="69" spans="1:6" x14ac:dyDescent="0.2">
      <c r="A69" s="803" t="s">
        <v>569</v>
      </c>
      <c r="B69" s="638" t="s">
        <v>570</v>
      </c>
      <c r="C69" s="772">
        <v>0.8</v>
      </c>
      <c r="D69" s="772">
        <v>84.4</v>
      </c>
      <c r="E69" s="102" t="s">
        <v>540</v>
      </c>
      <c r="F69" s="648"/>
    </row>
    <row r="70" spans="1:6" x14ac:dyDescent="0.2">
      <c r="A70" s="803" t="s">
        <v>571</v>
      </c>
      <c r="B70" s="638" t="s">
        <v>572</v>
      </c>
      <c r="C70" s="772">
        <v>-5.4</v>
      </c>
      <c r="D70" s="772">
        <v>83.3</v>
      </c>
      <c r="E70" s="102" t="s">
        <v>540</v>
      </c>
      <c r="F70" s="648"/>
    </row>
    <row r="71" spans="1:6" x14ac:dyDescent="0.2">
      <c r="A71" s="803" t="s">
        <v>573</v>
      </c>
      <c r="B71" s="638" t="s">
        <v>574</v>
      </c>
      <c r="C71" s="772">
        <v>11.9</v>
      </c>
      <c r="D71" s="772">
        <v>84.2</v>
      </c>
      <c r="E71" s="102" t="s">
        <v>537</v>
      </c>
      <c r="F71" s="648"/>
    </row>
    <row r="72" spans="1:6" x14ac:dyDescent="0.2">
      <c r="A72" s="803" t="s">
        <v>575</v>
      </c>
      <c r="B72" s="638" t="s">
        <v>576</v>
      </c>
      <c r="C72" s="772">
        <v>12.9</v>
      </c>
      <c r="D72" s="772">
        <v>86.4</v>
      </c>
      <c r="E72" s="102" t="s">
        <v>577</v>
      </c>
      <c r="F72" s="648"/>
    </row>
    <row r="74" spans="1:6" x14ac:dyDescent="0.2">
      <c r="A74" s="648" t="s">
        <v>404</v>
      </c>
      <c r="B74" s="648" t="s">
        <v>578</v>
      </c>
      <c r="C74" s="648" t="s">
        <v>579</v>
      </c>
      <c r="D74" s="648"/>
      <c r="E74" s="648"/>
      <c r="F74" s="648"/>
    </row>
    <row r="75" spans="1:6" x14ac:dyDescent="0.2">
      <c r="A75" s="658" t="s">
        <v>406</v>
      </c>
      <c r="B75" s="648">
        <v>0.72</v>
      </c>
      <c r="C75" s="648">
        <v>0.38</v>
      </c>
      <c r="D75" s="648"/>
      <c r="E75" s="648"/>
      <c r="F75" s="648"/>
    </row>
    <row r="76" spans="1:6" x14ac:dyDescent="0.2">
      <c r="A76" s="658" t="s">
        <v>407</v>
      </c>
      <c r="B76" s="648">
        <v>0.879</v>
      </c>
      <c r="C76" s="648">
        <v>0.38</v>
      </c>
      <c r="D76" s="648"/>
      <c r="E76" s="648"/>
      <c r="F76" s="648"/>
    </row>
    <row r="77" spans="1:6" x14ac:dyDescent="0.2">
      <c r="A77" s="658" t="s">
        <v>408</v>
      </c>
      <c r="B77" s="648">
        <v>0.72</v>
      </c>
      <c r="C77" s="648">
        <v>0.38</v>
      </c>
      <c r="D77" s="648"/>
      <c r="E77" s="648"/>
      <c r="F77" s="648"/>
    </row>
    <row r="78" spans="1:6" x14ac:dyDescent="0.2">
      <c r="A78" s="658" t="s">
        <v>409</v>
      </c>
      <c r="B78" s="648">
        <v>0.879</v>
      </c>
      <c r="C78" s="648">
        <v>0.38</v>
      </c>
      <c r="D78" s="648"/>
      <c r="E78" s="648"/>
      <c r="F78" s="648"/>
    </row>
    <row r="79" spans="1:6" x14ac:dyDescent="0.2">
      <c r="A79" s="658" t="s">
        <v>410</v>
      </c>
      <c r="B79" s="648">
        <v>0.879</v>
      </c>
      <c r="C79" s="648">
        <v>0.38</v>
      </c>
      <c r="D79" s="648"/>
      <c r="E79" s="648"/>
      <c r="F79" s="648"/>
    </row>
    <row r="80" spans="1:6" x14ac:dyDescent="0.2">
      <c r="A80" s="658" t="s">
        <v>411</v>
      </c>
      <c r="B80" s="648">
        <v>0.72</v>
      </c>
      <c r="C80" s="648">
        <v>0.38</v>
      </c>
      <c r="D80" s="648"/>
      <c r="E80" s="648"/>
      <c r="F80" s="648"/>
    </row>
    <row r="81" spans="1:15" x14ac:dyDescent="0.2">
      <c r="A81" s="658" t="s">
        <v>412</v>
      </c>
      <c r="B81" s="648">
        <v>0.72</v>
      </c>
      <c r="C81" s="648">
        <v>0.38</v>
      </c>
      <c r="D81" s="648"/>
      <c r="E81" s="648"/>
      <c r="F81" s="648"/>
      <c r="G81" s="648"/>
      <c r="H81" s="648"/>
      <c r="I81" s="648"/>
      <c r="J81" s="648"/>
      <c r="K81" s="648"/>
      <c r="L81" s="648"/>
      <c r="M81" s="648"/>
      <c r="N81" s="648"/>
      <c r="O81" s="648"/>
    </row>
    <row r="82" spans="1:15" x14ac:dyDescent="0.2">
      <c r="A82" s="658" t="s">
        <v>413</v>
      </c>
      <c r="B82" s="648">
        <v>0.72</v>
      </c>
      <c r="C82" s="648">
        <v>0.38</v>
      </c>
      <c r="D82" s="648"/>
      <c r="E82" s="648"/>
      <c r="F82" s="648"/>
      <c r="G82" s="648"/>
      <c r="H82" s="648"/>
      <c r="I82" s="648"/>
      <c r="J82" s="648"/>
      <c r="K82" s="648"/>
      <c r="L82" s="648"/>
      <c r="M82" s="648"/>
      <c r="N82" s="648"/>
      <c r="O82" s="648"/>
    </row>
    <row r="83" spans="1:15" x14ac:dyDescent="0.2">
      <c r="A83" s="658" t="s">
        <v>414</v>
      </c>
      <c r="B83" s="648">
        <v>0.879</v>
      </c>
      <c r="C83" s="648">
        <v>0.38</v>
      </c>
      <c r="D83" s="648"/>
      <c r="E83" s="648"/>
      <c r="F83" s="648"/>
      <c r="G83" s="648"/>
      <c r="H83" s="648"/>
      <c r="I83" s="648"/>
      <c r="J83" s="648"/>
      <c r="K83" s="648"/>
      <c r="L83" s="648"/>
      <c r="M83" s="648"/>
      <c r="N83" s="648"/>
      <c r="O83" s="648"/>
    </row>
    <row r="84" spans="1:15" x14ac:dyDescent="0.2">
      <c r="A84" s="658" t="s">
        <v>225</v>
      </c>
      <c r="B84" s="648">
        <v>0.72</v>
      </c>
      <c r="C84" s="648">
        <v>0.38</v>
      </c>
      <c r="D84" s="648"/>
      <c r="E84" s="648"/>
      <c r="F84" s="648"/>
      <c r="G84" s="648"/>
      <c r="H84" s="648"/>
      <c r="I84" s="648"/>
      <c r="J84" s="648"/>
      <c r="K84" s="648"/>
      <c r="L84" s="648"/>
      <c r="M84" s="648"/>
      <c r="N84" s="648"/>
      <c r="O84" s="648"/>
    </row>
    <row r="85" spans="1:15" x14ac:dyDescent="0.2">
      <c r="A85" s="658" t="s">
        <v>415</v>
      </c>
      <c r="B85" s="648">
        <v>0.87</v>
      </c>
      <c r="C85" s="648">
        <v>0.32</v>
      </c>
      <c r="D85" s="648"/>
      <c r="E85" s="648"/>
      <c r="F85" s="648"/>
      <c r="G85" s="648"/>
      <c r="H85" s="648"/>
      <c r="I85" s="648"/>
      <c r="J85" s="648"/>
      <c r="K85" s="648"/>
      <c r="L85" s="648"/>
      <c r="M85" s="648"/>
      <c r="N85" s="648"/>
      <c r="O85" s="648"/>
    </row>
    <row r="86" spans="1:15" x14ac:dyDescent="0.2">
      <c r="A86" s="658" t="s">
        <v>424</v>
      </c>
      <c r="B86" s="648">
        <v>0.68</v>
      </c>
      <c r="C86" s="648">
        <v>0.38</v>
      </c>
      <c r="D86" s="648"/>
      <c r="E86" s="648"/>
      <c r="F86" s="648"/>
      <c r="G86" s="648"/>
      <c r="H86" s="648"/>
      <c r="I86" s="648"/>
      <c r="J86" s="648"/>
      <c r="K86" s="648"/>
      <c r="L86" s="648"/>
      <c r="M86" s="648"/>
      <c r="N86" s="648"/>
      <c r="O86" s="648"/>
    </row>
    <row r="88" spans="1:15" x14ac:dyDescent="0.2">
      <c r="A88" s="648"/>
      <c r="B88" s="648"/>
      <c r="C88" s="648"/>
      <c r="D88" s="648" t="str">
        <f>IF(OR(ISBLANK(Inputs!C13),Inputs!C13&lt;=2007),"2004-2007",IF(Inputs!C13&lt;=2010,"2007-2010",IF(Inputs!C13&lt;=2013,"2010-2013",IF(Inputs!C13&lt;=2016,"2013-2016","2017"))))</f>
        <v>2004-2007</v>
      </c>
      <c r="E88" s="648"/>
      <c r="F88" s="648"/>
      <c r="G88" s="648"/>
      <c r="H88" s="648"/>
      <c r="I88" s="648"/>
      <c r="J88" s="648"/>
      <c r="K88" s="648"/>
      <c r="L88" s="648"/>
      <c r="M88" s="648"/>
      <c r="N88" s="648"/>
      <c r="O88" s="648"/>
    </row>
    <row r="90" spans="1:15" x14ac:dyDescent="0.2">
      <c r="A90" s="576" t="s">
        <v>580</v>
      </c>
      <c r="B90" s="804" t="s">
        <v>581</v>
      </c>
      <c r="C90" s="804" t="s">
        <v>582</v>
      </c>
      <c r="D90" s="804" t="s">
        <v>583</v>
      </c>
      <c r="E90" s="804" t="s">
        <v>584</v>
      </c>
      <c r="F90" s="804" t="s">
        <v>585</v>
      </c>
      <c r="G90" s="804" t="s">
        <v>586</v>
      </c>
      <c r="H90" s="804" t="s">
        <v>587</v>
      </c>
      <c r="I90" s="804" t="s">
        <v>588</v>
      </c>
      <c r="J90" s="804" t="s">
        <v>589</v>
      </c>
      <c r="K90" s="805" t="s">
        <v>590</v>
      </c>
      <c r="L90" s="648"/>
      <c r="M90" s="648"/>
      <c r="N90" s="648"/>
      <c r="O90" s="648"/>
    </row>
    <row r="91" spans="1:15" x14ac:dyDescent="0.2">
      <c r="A91" s="637" t="s">
        <v>406</v>
      </c>
      <c r="B91" s="638">
        <v>1.2</v>
      </c>
      <c r="C91" s="638">
        <v>0.7</v>
      </c>
      <c r="D91" s="638">
        <v>1</v>
      </c>
      <c r="E91" s="638">
        <v>0.7</v>
      </c>
      <c r="F91" s="638">
        <v>0.5</v>
      </c>
      <c r="G91" s="638">
        <v>0.6</v>
      </c>
      <c r="H91" s="638">
        <v>0.2</v>
      </c>
      <c r="I91" s="638">
        <v>0.5</v>
      </c>
      <c r="J91" s="638">
        <v>0.4</v>
      </c>
      <c r="K91" s="639">
        <v>0.6</v>
      </c>
      <c r="L91" s="648"/>
      <c r="M91" s="648"/>
      <c r="N91" s="648"/>
      <c r="O91" s="648"/>
    </row>
    <row r="92" spans="1:15" x14ac:dyDescent="0.2">
      <c r="A92" s="637" t="s">
        <v>407</v>
      </c>
      <c r="B92" s="638">
        <v>1.2</v>
      </c>
      <c r="C92" s="638">
        <v>0.7</v>
      </c>
      <c r="D92" s="638">
        <v>1</v>
      </c>
      <c r="E92" s="638">
        <v>0.7</v>
      </c>
      <c r="F92" s="638">
        <v>0.5</v>
      </c>
      <c r="G92" s="638">
        <v>0.6</v>
      </c>
      <c r="H92" s="638">
        <v>0.2</v>
      </c>
      <c r="I92" s="638">
        <v>0.5</v>
      </c>
      <c r="J92" s="638">
        <v>0.4</v>
      </c>
      <c r="K92" s="639">
        <v>0.6</v>
      </c>
      <c r="L92" s="648"/>
      <c r="M92" s="648"/>
      <c r="N92" s="648"/>
      <c r="O92" s="648"/>
    </row>
    <row r="93" spans="1:15" x14ac:dyDescent="0.2">
      <c r="A93" s="637" t="s">
        <v>408</v>
      </c>
      <c r="B93" s="638">
        <v>1.6</v>
      </c>
      <c r="C93" s="638">
        <v>0.9</v>
      </c>
      <c r="D93" s="638">
        <v>1.5</v>
      </c>
      <c r="E93" s="638">
        <v>1</v>
      </c>
      <c r="F93" s="638">
        <v>1.8</v>
      </c>
      <c r="G93" s="638">
        <v>1</v>
      </c>
      <c r="H93" s="638">
        <v>1.4</v>
      </c>
      <c r="I93" s="638">
        <v>1</v>
      </c>
      <c r="J93" s="638">
        <v>0.3</v>
      </c>
      <c r="K93" s="639">
        <v>0.4</v>
      </c>
      <c r="L93" s="648"/>
      <c r="M93" s="648"/>
      <c r="N93" s="648"/>
      <c r="O93" s="648"/>
    </row>
    <row r="94" spans="1:15" x14ac:dyDescent="0.2">
      <c r="A94" s="637" t="s">
        <v>409</v>
      </c>
      <c r="B94" s="638">
        <v>1.2</v>
      </c>
      <c r="C94" s="638">
        <v>0.7</v>
      </c>
      <c r="D94" s="638">
        <v>1</v>
      </c>
      <c r="E94" s="638">
        <v>0.7</v>
      </c>
      <c r="F94" s="638">
        <v>0.5</v>
      </c>
      <c r="G94" s="638">
        <v>0.6</v>
      </c>
      <c r="H94" s="638">
        <v>0.2</v>
      </c>
      <c r="I94" s="638">
        <v>0.5</v>
      </c>
      <c r="J94" s="638">
        <v>0.4</v>
      </c>
      <c r="K94" s="639">
        <v>0.6</v>
      </c>
      <c r="L94" s="648"/>
      <c r="M94" s="648"/>
      <c r="N94" s="648"/>
      <c r="O94" s="648"/>
    </row>
    <row r="95" spans="1:15" x14ac:dyDescent="0.2">
      <c r="A95" s="637" t="s">
        <v>410</v>
      </c>
      <c r="B95" s="638">
        <v>3.7</v>
      </c>
      <c r="C95" s="638">
        <v>1.3</v>
      </c>
      <c r="D95" s="638">
        <v>1.5</v>
      </c>
      <c r="E95" s="638">
        <v>0.8</v>
      </c>
      <c r="F95" s="638">
        <v>1</v>
      </c>
      <c r="G95" s="638">
        <v>0.7</v>
      </c>
      <c r="H95" s="638">
        <v>0.6</v>
      </c>
      <c r="I95" s="638">
        <v>0.8</v>
      </c>
      <c r="J95" s="638">
        <v>0.1</v>
      </c>
      <c r="K95" s="639">
        <v>0.5</v>
      </c>
      <c r="L95" s="648"/>
      <c r="M95" s="648"/>
      <c r="N95" s="648"/>
      <c r="O95" s="648"/>
    </row>
    <row r="96" spans="1:15" x14ac:dyDescent="0.2">
      <c r="A96" s="637" t="s">
        <v>411</v>
      </c>
      <c r="B96" s="638">
        <v>1.2</v>
      </c>
      <c r="C96" s="638">
        <v>0.7</v>
      </c>
      <c r="D96" s="638">
        <v>1</v>
      </c>
      <c r="E96" s="638">
        <v>0.7</v>
      </c>
      <c r="F96" s="638">
        <v>0.5</v>
      </c>
      <c r="G96" s="638">
        <v>0.6</v>
      </c>
      <c r="H96" s="638">
        <v>0.2</v>
      </c>
      <c r="I96" s="638">
        <v>0.5</v>
      </c>
      <c r="J96" s="638">
        <v>0.4</v>
      </c>
      <c r="K96" s="639">
        <v>0.6</v>
      </c>
      <c r="L96" s="648"/>
      <c r="M96" s="648"/>
      <c r="N96" s="648"/>
      <c r="O96" s="648"/>
    </row>
    <row r="97" spans="1:15" x14ac:dyDescent="0.2">
      <c r="A97" s="637" t="s">
        <v>412</v>
      </c>
      <c r="B97" s="638">
        <v>7.9</v>
      </c>
      <c r="C97" s="638">
        <v>1</v>
      </c>
      <c r="D97" s="638">
        <v>6.6</v>
      </c>
      <c r="E97" s="638">
        <v>1</v>
      </c>
      <c r="F97" s="638">
        <v>4.3</v>
      </c>
      <c r="G97" s="638">
        <v>0.6</v>
      </c>
      <c r="H97" s="638">
        <v>3.1</v>
      </c>
      <c r="I97" s="638">
        <v>0.5</v>
      </c>
      <c r="J97" s="638">
        <v>3.3</v>
      </c>
      <c r="K97" s="639">
        <v>0.7</v>
      </c>
      <c r="L97" s="648"/>
      <c r="M97" s="648"/>
      <c r="N97" s="648"/>
      <c r="O97" s="648"/>
    </row>
    <row r="98" spans="1:15" x14ac:dyDescent="0.2">
      <c r="A98" s="637" t="s">
        <v>413</v>
      </c>
      <c r="B98" s="638">
        <v>1.2</v>
      </c>
      <c r="C98" s="638">
        <v>0.7</v>
      </c>
      <c r="D98" s="638">
        <v>1.1000000000000001</v>
      </c>
      <c r="E98" s="638">
        <v>0.7</v>
      </c>
      <c r="F98" s="638">
        <v>0.5</v>
      </c>
      <c r="G98" s="638">
        <v>0.6</v>
      </c>
      <c r="H98" s="638">
        <v>0.2</v>
      </c>
      <c r="I98" s="638">
        <v>0.5</v>
      </c>
      <c r="J98" s="638">
        <v>0.4</v>
      </c>
      <c r="K98" s="639">
        <v>0.6</v>
      </c>
      <c r="L98" s="648"/>
      <c r="M98" s="648"/>
      <c r="N98" s="648"/>
      <c r="O98" s="648"/>
    </row>
    <row r="99" spans="1:15" x14ac:dyDescent="0.2">
      <c r="A99" s="637" t="s">
        <v>414</v>
      </c>
      <c r="B99" s="638">
        <v>1.6</v>
      </c>
      <c r="C99" s="638">
        <v>0.9</v>
      </c>
      <c r="D99" s="638">
        <v>1.5</v>
      </c>
      <c r="E99" s="638">
        <v>1</v>
      </c>
      <c r="F99" s="638">
        <v>1.8</v>
      </c>
      <c r="G99" s="638">
        <v>1</v>
      </c>
      <c r="H99" s="638">
        <v>1.4</v>
      </c>
      <c r="I99" s="638">
        <v>1</v>
      </c>
      <c r="J99" s="638">
        <v>0.3</v>
      </c>
      <c r="K99" s="639">
        <v>0.4</v>
      </c>
      <c r="L99" s="648"/>
      <c r="M99" s="648"/>
      <c r="N99" s="648"/>
      <c r="O99" s="648"/>
    </row>
    <row r="100" spans="1:15" x14ac:dyDescent="0.2">
      <c r="A100" s="637" t="s">
        <v>225</v>
      </c>
      <c r="B100" s="638">
        <v>3.7</v>
      </c>
      <c r="C100" s="638">
        <v>1.3</v>
      </c>
      <c r="D100" s="638">
        <v>1.5</v>
      </c>
      <c r="E100" s="638">
        <v>0.8</v>
      </c>
      <c r="F100" s="638">
        <v>1</v>
      </c>
      <c r="G100" s="638">
        <v>0.7</v>
      </c>
      <c r="H100" s="638">
        <v>0.6</v>
      </c>
      <c r="I100" s="638">
        <v>0.8</v>
      </c>
      <c r="J100" s="638">
        <v>0.1</v>
      </c>
      <c r="K100" s="639">
        <v>0.5</v>
      </c>
      <c r="L100" s="648"/>
      <c r="M100" s="648"/>
      <c r="N100" s="648"/>
      <c r="O100" s="648"/>
    </row>
    <row r="101" spans="1:15" x14ac:dyDescent="0.2">
      <c r="A101" s="640" t="s">
        <v>417</v>
      </c>
      <c r="B101" s="641">
        <v>1.2</v>
      </c>
      <c r="C101" s="641">
        <v>0.7</v>
      </c>
      <c r="D101" s="641">
        <v>1</v>
      </c>
      <c r="E101" s="641">
        <v>0.7</v>
      </c>
      <c r="F101" s="641">
        <v>0.5</v>
      </c>
      <c r="G101" s="641">
        <v>0.6</v>
      </c>
      <c r="H101" s="641">
        <v>0.2</v>
      </c>
      <c r="I101" s="641">
        <v>0.5</v>
      </c>
      <c r="J101" s="641">
        <v>0.4</v>
      </c>
      <c r="K101" s="642">
        <v>0.6</v>
      </c>
      <c r="L101" s="648"/>
      <c r="M101" s="648"/>
      <c r="N101" s="648"/>
      <c r="O101" s="648"/>
    </row>
    <row r="102" spans="1:15" x14ac:dyDescent="0.2">
      <c r="A102" s="637" t="s">
        <v>415</v>
      </c>
      <c r="B102" s="638">
        <v>2.2000000000000002</v>
      </c>
      <c r="C102" s="638">
        <v>0.7</v>
      </c>
      <c r="D102" s="638">
        <v>1.6</v>
      </c>
      <c r="E102" s="638">
        <v>0.8</v>
      </c>
      <c r="F102" s="638">
        <v>1.4</v>
      </c>
      <c r="G102" s="638">
        <v>0.8</v>
      </c>
      <c r="H102" s="638">
        <v>0.2</v>
      </c>
      <c r="I102" s="638">
        <v>0.7</v>
      </c>
      <c r="J102" s="638">
        <v>0.3</v>
      </c>
      <c r="K102" s="639">
        <v>0.7</v>
      </c>
      <c r="L102" s="648"/>
      <c r="M102" s="648"/>
      <c r="N102" s="648"/>
      <c r="O102" s="648"/>
    </row>
    <row r="103" spans="1:15" x14ac:dyDescent="0.2">
      <c r="A103" s="640" t="s">
        <v>424</v>
      </c>
      <c r="B103" s="641">
        <v>2.8</v>
      </c>
      <c r="C103" s="641">
        <v>0.9</v>
      </c>
      <c r="D103" s="641">
        <v>2.6</v>
      </c>
      <c r="E103" s="641">
        <v>1</v>
      </c>
      <c r="F103" s="641">
        <v>2.2999999999999998</v>
      </c>
      <c r="G103" s="641">
        <v>1</v>
      </c>
      <c r="H103" s="641">
        <v>4</v>
      </c>
      <c r="I103" s="641">
        <v>3.5</v>
      </c>
      <c r="J103" s="641">
        <v>4.5999999999999996</v>
      </c>
      <c r="K103" s="642">
        <v>3.7</v>
      </c>
      <c r="L103" s="648"/>
      <c r="M103" s="648"/>
      <c r="N103" s="648"/>
      <c r="O103" s="648"/>
    </row>
  </sheetData>
  <sheetProtection algorithmName="SHA-512" hashValue="WNWinXWmk34G2v9P6+/pjJ4WAokG3/Pl6O56DK8BzHIbkLoIjZFwqsbHXUt38D5lM5QRlGzhQnBxzwRsMASseg==" saltValue="44GaOVcntIrAAjdHfdFIIQ==" spinCount="100000" sheet="1" objects="1" scenarios="1"/>
  <mergeCells count="1">
    <mergeCell ref="C48:D48"/>
  </mergeCells>
  <pageMargins left="0.7" right="0.7" top="0.75" bottom="0.75" header="0.3" footer="0.3"/>
  <pageSetup orientation="portrait" r:id="rId1"/>
  <headerFooter>
    <oddFooter>&amp;C_x000D_&amp;1#&amp;"Calibri"&amp;22&amp;K0073CF INTERNAL</oddFooter>
  </headerFooter>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C1569-5C05-48EA-9436-7F2F795111CA}">
  <sheetPr codeName="Sheet10">
    <tabColor theme="1"/>
  </sheetPr>
  <dimension ref="A1:DO8779"/>
  <sheetViews>
    <sheetView zoomScale="55" zoomScaleNormal="55" workbookViewId="0">
      <selection activeCell="D18" sqref="D18"/>
    </sheetView>
  </sheetViews>
  <sheetFormatPr defaultRowHeight="15" x14ac:dyDescent="0.25"/>
  <cols>
    <col min="1" max="1" width="18.7109375" customWidth="1"/>
    <col min="2" max="2" width="14.42578125" customWidth="1"/>
    <col min="3" max="3" width="11.42578125" bestFit="1" customWidth="1"/>
    <col min="5" max="5" width="9.7109375" bestFit="1" customWidth="1"/>
    <col min="6" max="6" width="10.42578125" bestFit="1" customWidth="1"/>
    <col min="7" max="7" width="18.42578125" customWidth="1"/>
    <col min="8" max="8" width="14.42578125" customWidth="1"/>
    <col min="9" max="9" width="11.42578125" customWidth="1"/>
    <col min="10" max="10" width="15.42578125" customWidth="1"/>
    <col min="11" max="12" width="9.7109375" customWidth="1"/>
    <col min="13" max="13" width="18.42578125" customWidth="1"/>
    <col min="14" max="14" width="9.28515625" customWidth="1"/>
    <col min="15" max="15" width="11.42578125" customWidth="1"/>
    <col min="16" max="16" width="9.28515625" customWidth="1"/>
    <col min="17" max="18" width="9.7109375" customWidth="1"/>
    <col min="19" max="19" width="18.42578125" customWidth="1"/>
    <col min="20" max="22" width="9.28515625" customWidth="1"/>
    <col min="23" max="23" width="9.7109375" customWidth="1"/>
    <col min="24" max="24" width="9.28515625" customWidth="1"/>
    <col min="25" max="25" width="6.28515625" customWidth="1"/>
    <col min="29" max="29" width="9.28515625" customWidth="1"/>
    <col min="31" max="31" width="6" customWidth="1"/>
    <col min="32" max="34" width="9.28515625" customWidth="1"/>
    <col min="35" max="35" width="9.7109375" customWidth="1"/>
    <col min="36" max="36" width="9.28515625" customWidth="1"/>
    <col min="37" max="37" width="5.140625" customWidth="1"/>
    <col min="38" max="40" width="9.28515625" customWidth="1"/>
    <col min="41" max="41" width="9.7109375" customWidth="1"/>
    <col min="42" max="42" width="9.28515625" customWidth="1"/>
    <col min="43" max="43" width="5.7109375" customWidth="1"/>
    <col min="44" max="46" width="9.28515625" customWidth="1"/>
    <col min="47" max="47" width="9.7109375" customWidth="1"/>
    <col min="48" max="48" width="9.28515625" customWidth="1"/>
    <col min="49" max="49" width="5.7109375" customWidth="1"/>
    <col min="50" max="54" width="9.28515625" customWidth="1"/>
    <col min="55" max="55" width="6.140625" customWidth="1"/>
    <col min="56" max="58" width="9.28515625" customWidth="1"/>
    <col min="59" max="59" width="9.7109375" customWidth="1"/>
    <col min="60" max="60" width="9.28515625" customWidth="1"/>
    <col min="61" max="61" width="5.5703125" customWidth="1"/>
    <col min="62" max="64" width="9.28515625" customWidth="1"/>
    <col min="65" max="65" width="9.7109375" customWidth="1"/>
    <col min="66" max="66" width="9.28515625" customWidth="1"/>
    <col min="67" max="67" width="6.5703125" customWidth="1"/>
    <col min="68" max="70" width="9.28515625" customWidth="1"/>
    <col min="71" max="71" width="9.7109375" customWidth="1"/>
    <col min="72" max="72" width="9.28515625" customWidth="1"/>
    <col min="76" max="76" width="20.5703125" customWidth="1"/>
    <col min="78" max="78" width="13.85546875" bestFit="1" customWidth="1"/>
    <col min="81" max="104" width="20.7109375" customWidth="1"/>
    <col min="108" max="108" width="13" customWidth="1"/>
    <col min="124" max="124" width="36.140625" bestFit="1" customWidth="1"/>
    <col min="125" max="125" width="24.5703125" bestFit="1" customWidth="1"/>
    <col min="126" max="126" width="11.5703125" bestFit="1" customWidth="1"/>
    <col min="127" max="127" width="10.42578125" bestFit="1" customWidth="1"/>
    <col min="128" max="128" width="12" bestFit="1" customWidth="1"/>
  </cols>
  <sheetData>
    <row r="1" spans="1:119" x14ac:dyDescent="0.25">
      <c r="B1" t="s">
        <v>591</v>
      </c>
      <c r="I1">
        <v>55</v>
      </c>
      <c r="J1">
        <v>65</v>
      </c>
    </row>
    <row r="2" spans="1:119" x14ac:dyDescent="0.25">
      <c r="B2" t="s">
        <v>592</v>
      </c>
      <c r="C2" t="s">
        <v>593</v>
      </c>
      <c r="D2" t="s">
        <v>594</v>
      </c>
      <c r="E2" t="s">
        <v>595</v>
      </c>
      <c r="F2" t="s">
        <v>596</v>
      </c>
      <c r="G2" t="s">
        <v>597</v>
      </c>
      <c r="H2" t="s">
        <v>598</v>
      </c>
      <c r="I2" t="s">
        <v>599</v>
      </c>
      <c r="J2" t="s">
        <v>600</v>
      </c>
    </row>
    <row r="3" spans="1:119" x14ac:dyDescent="0.25">
      <c r="B3" t="s">
        <v>601</v>
      </c>
      <c r="C3">
        <f>COUNT(B19:B8778)</f>
        <v>8760</v>
      </c>
      <c r="D3">
        <f>CC81</f>
        <v>0</v>
      </c>
      <c r="E3">
        <f>CD81</f>
        <v>0</v>
      </c>
      <c r="F3">
        <f>_xlfn.QUARTILE.EXC($D19:$D8778,1)</f>
        <v>42.980000000000004</v>
      </c>
      <c r="G3">
        <f>_xlfn.QUARTILE.EXC($D19:$D8778,2)</f>
        <v>55.94</v>
      </c>
      <c r="H3">
        <f>_xlfn.QUARTILE.EXC($D19:$D8778,3)</f>
        <v>71.960000000000008</v>
      </c>
      <c r="I3">
        <f>COUNTIFS($D$19:$D$8778, "&lt;="&amp;$I$1)</f>
        <v>4074</v>
      </c>
      <c r="J3">
        <f>COUNTIFS($D$19:$D$8778, "&gt;="&amp;$J$1)</f>
        <v>3122</v>
      </c>
    </row>
    <row r="4" spans="1:119" x14ac:dyDescent="0.25">
      <c r="B4" t="s">
        <v>554</v>
      </c>
      <c r="C4">
        <f>COUNT(H19:H8778)</f>
        <v>8760</v>
      </c>
      <c r="D4">
        <f>CE81</f>
        <v>0</v>
      </c>
      <c r="E4">
        <f>CF81</f>
        <v>0</v>
      </c>
      <c r="F4">
        <f>_xlfn.QUARTILE.EXC($J19:$J8778,1)</f>
        <v>41</v>
      </c>
      <c r="G4">
        <f>_xlfn.QUARTILE.EXC($J19:$J8778,2)</f>
        <v>53.96</v>
      </c>
      <c r="H4">
        <f>_xlfn.QUARTILE.EXC($J19:$J8778,3)</f>
        <v>69.98</v>
      </c>
      <c r="I4">
        <f>COUNTIFS($J$19:$J$8778, "&lt;="&amp;$I$1)</f>
        <v>4411</v>
      </c>
      <c r="J4">
        <f>COUNTIFS($J$19:$J$8778, "&gt;="&amp;$J$1)</f>
        <v>2871</v>
      </c>
    </row>
    <row r="5" spans="1:119" x14ac:dyDescent="0.25">
      <c r="B5" t="s">
        <v>576</v>
      </c>
      <c r="C5">
        <f>COUNT(N19:N8778)</f>
        <v>8760</v>
      </c>
      <c r="D5">
        <f>CG81</f>
        <v>0</v>
      </c>
      <c r="E5">
        <f>CH81</f>
        <v>0</v>
      </c>
      <c r="F5">
        <f>_xlfn.QUARTILE.EXC($P19:$P8778,1)</f>
        <v>37.4</v>
      </c>
      <c r="G5">
        <f>_xlfn.QUARTILE.EXC($P19:$P8778,2)</f>
        <v>51.8</v>
      </c>
      <c r="H5">
        <f>_xlfn.QUARTILE.EXC($P19:$P8778,3)</f>
        <v>64.94</v>
      </c>
      <c r="I5">
        <f>COUNTIFS($P$19:$P$8778, "&lt;="&amp;$I$1)</f>
        <v>4801</v>
      </c>
      <c r="J5">
        <f>COUNTIFS($P$19:$P$8778, "&gt;="&amp;$J$1)</f>
        <v>2108</v>
      </c>
      <c r="BX5" s="47"/>
    </row>
    <row r="6" spans="1:119" x14ac:dyDescent="0.25">
      <c r="B6" t="s">
        <v>557</v>
      </c>
      <c r="C6">
        <f>COUNT(T19:T8778)</f>
        <v>8760</v>
      </c>
      <c r="D6">
        <f>CI81</f>
        <v>0</v>
      </c>
      <c r="E6">
        <f>CJ81</f>
        <v>0</v>
      </c>
      <c r="F6">
        <f>_xlfn.QUARTILE.EXC($V19:$V8778,1)</f>
        <v>39.92</v>
      </c>
      <c r="G6">
        <f>_xlfn.QUARTILE.EXC($V19:$V8778,2)</f>
        <v>55.040000000000006</v>
      </c>
      <c r="H6">
        <f>_xlfn.QUARTILE.EXC($V19:$V8778,3)</f>
        <v>69.98</v>
      </c>
      <c r="I6">
        <f>COUNTIFS($V$19:$V$8778, "&lt;="&amp;$I$1)</f>
        <v>4360</v>
      </c>
      <c r="J6">
        <f>COUNTIFS($V$19:$V$8778, "&gt;="&amp;$J$1)</f>
        <v>2875</v>
      </c>
      <c r="BX6" s="47"/>
    </row>
    <row r="7" spans="1:119" ht="15.75" thickBot="1" x14ac:dyDescent="0.3">
      <c r="BX7" s="47"/>
      <c r="CC7" s="924" t="s">
        <v>602</v>
      </c>
      <c r="CD7" s="925"/>
      <c r="CE7" s="925"/>
      <c r="CF7" s="925"/>
      <c r="CG7" s="925"/>
      <c r="CH7" s="925"/>
      <c r="CI7" s="925"/>
      <c r="CJ7" s="925"/>
      <c r="CK7" s="925"/>
      <c r="CL7" s="925"/>
      <c r="CM7" s="925"/>
      <c r="CN7" s="926"/>
      <c r="CO7" s="924" t="s">
        <v>603</v>
      </c>
      <c r="CP7" s="925"/>
      <c r="CQ7" s="925"/>
      <c r="CR7" s="925"/>
      <c r="CS7" s="925"/>
      <c r="CT7" s="925"/>
      <c r="CU7" s="925"/>
      <c r="CV7" s="925"/>
      <c r="CW7" s="925"/>
      <c r="CX7" s="925"/>
      <c r="CY7" s="925"/>
      <c r="CZ7" s="926"/>
    </row>
    <row r="8" spans="1:119" ht="15.75" thickBot="1" x14ac:dyDescent="0.3">
      <c r="BX8" s="47"/>
      <c r="CB8" s="48" t="s">
        <v>604</v>
      </c>
      <c r="CC8" s="25" t="str">
        <f>$CC$16</f>
        <v>NYC Laguardia</v>
      </c>
      <c r="CD8" s="25" t="str">
        <f>$CE$16</f>
        <v>NYC JFK</v>
      </c>
      <c r="CE8" s="25" t="str">
        <f>$CG$16</f>
        <v>White Plains WCA</v>
      </c>
      <c r="CF8" s="25" t="str">
        <f>$CI$16</f>
        <v>NYC Central Park</v>
      </c>
      <c r="CG8" s="25" t="str">
        <f>$CK$16</f>
        <v>Islip</v>
      </c>
      <c r="CH8" s="25" t="str">
        <f>CM16</f>
        <v>Poughkeepsie</v>
      </c>
      <c r="CI8" s="25" t="str">
        <f>CO16</f>
        <v>Binghamton</v>
      </c>
      <c r="CJ8" s="25" t="str">
        <f>CQ16</f>
        <v>Albany</v>
      </c>
      <c r="CK8" s="25" t="str">
        <f>CS16</f>
        <v>Syracuse</v>
      </c>
      <c r="CL8" s="25" t="str">
        <f>CU16</f>
        <v>Buffalo</v>
      </c>
      <c r="CM8" s="25" t="str">
        <f>CW16</f>
        <v>Rochester</v>
      </c>
      <c r="CN8" s="25" t="str">
        <f>CY16</f>
        <v>Massena</v>
      </c>
      <c r="CO8" s="25" t="str">
        <f>$CC$16</f>
        <v>NYC Laguardia</v>
      </c>
      <c r="CP8" s="25" t="str">
        <f>$CE$16</f>
        <v>NYC JFK</v>
      </c>
      <c r="CQ8" s="25" t="str">
        <f>$CG$16</f>
        <v>White Plains WCA</v>
      </c>
      <c r="CR8" s="25" t="str">
        <f>$CI$16</f>
        <v>NYC Central Park</v>
      </c>
      <c r="CS8" s="25" t="str">
        <f t="shared" ref="CS8:CZ8" si="0">CG8</f>
        <v>Islip</v>
      </c>
      <c r="CT8" s="25" t="str">
        <f t="shared" si="0"/>
        <v>Poughkeepsie</v>
      </c>
      <c r="CU8" s="25" t="str">
        <f t="shared" si="0"/>
        <v>Binghamton</v>
      </c>
      <c r="CV8" s="25" t="str">
        <f t="shared" si="0"/>
        <v>Albany</v>
      </c>
      <c r="CW8" s="25" t="str">
        <f t="shared" si="0"/>
        <v>Syracuse</v>
      </c>
      <c r="CX8" s="25" t="str">
        <f t="shared" si="0"/>
        <v>Buffalo</v>
      </c>
      <c r="CY8" s="25" t="str">
        <f t="shared" si="0"/>
        <v>Rochester</v>
      </c>
      <c r="CZ8" s="25" t="str">
        <f t="shared" si="0"/>
        <v>Massena</v>
      </c>
    </row>
    <row r="9" spans="1:119" x14ac:dyDescent="0.25">
      <c r="F9" s="49">
        <v>0.25</v>
      </c>
      <c r="G9" s="49">
        <v>0.5</v>
      </c>
      <c r="H9" s="49">
        <v>0.75</v>
      </c>
      <c r="BX9" s="47"/>
      <c r="CB9" s="50" t="s">
        <v>605</v>
      </c>
      <c r="CC9" s="51">
        <f>CA19</f>
        <v>99</v>
      </c>
      <c r="CD9" s="51">
        <f>CA21</f>
        <v>95</v>
      </c>
      <c r="CE9" s="51">
        <f>CA20</f>
        <v>97</v>
      </c>
      <c r="CF9" s="51">
        <f>CA19</f>
        <v>99</v>
      </c>
      <c r="CG9" s="18">
        <f>CA20</f>
        <v>97</v>
      </c>
      <c r="CH9" s="18">
        <f>CA22</f>
        <v>93</v>
      </c>
      <c r="CI9" s="18">
        <f>CA22</f>
        <v>93</v>
      </c>
      <c r="CJ9" s="18">
        <f>CA20</f>
        <v>97</v>
      </c>
      <c r="CK9" s="51">
        <f>CA20</f>
        <v>97</v>
      </c>
      <c r="CL9" s="51">
        <f>CA24</f>
        <v>89</v>
      </c>
      <c r="CM9" s="51">
        <f>CA21</f>
        <v>95</v>
      </c>
      <c r="CN9" s="51">
        <f>CA22</f>
        <v>93</v>
      </c>
      <c r="CO9" s="51">
        <f>CA25</f>
        <v>87</v>
      </c>
      <c r="CP9" s="51">
        <f>CA24</f>
        <v>89</v>
      </c>
      <c r="CQ9" s="51">
        <f>CA20</f>
        <v>97</v>
      </c>
      <c r="CR9" s="51">
        <f>CA23</f>
        <v>91</v>
      </c>
      <c r="CS9" s="51">
        <f>CA23</f>
        <v>91</v>
      </c>
      <c r="CT9" s="51">
        <f>CA24</f>
        <v>89</v>
      </c>
      <c r="CU9" s="51">
        <f>CA26</f>
        <v>85</v>
      </c>
      <c r="CV9" s="51">
        <f>CA25</f>
        <v>87</v>
      </c>
      <c r="CW9" s="18">
        <f>CA25</f>
        <v>87</v>
      </c>
      <c r="CX9" s="18">
        <f>CA25</f>
        <v>87</v>
      </c>
      <c r="CY9" s="18">
        <f>CA22</f>
        <v>93</v>
      </c>
      <c r="CZ9" s="18">
        <f>CA23</f>
        <v>91</v>
      </c>
    </row>
    <row r="10" spans="1:119" ht="15.75" thickBot="1" x14ac:dyDescent="0.3">
      <c r="BX10" s="47"/>
      <c r="CB10" s="52" t="s">
        <v>606</v>
      </c>
      <c r="CC10" s="51">
        <f>CA66</f>
        <v>5</v>
      </c>
      <c r="CD10" s="51">
        <f>CA67</f>
        <v>3</v>
      </c>
      <c r="CE10" s="51">
        <f>CA68</f>
        <v>1</v>
      </c>
      <c r="CF10" s="51">
        <f>CA65</f>
        <v>7</v>
      </c>
      <c r="CG10" s="18">
        <f>CA65</f>
        <v>7</v>
      </c>
      <c r="CH10" s="18">
        <f>CA74</f>
        <v>-11</v>
      </c>
      <c r="CI10" s="18">
        <f>CA72</f>
        <v>-7</v>
      </c>
      <c r="CJ10" s="18">
        <f>CA70</f>
        <v>-3</v>
      </c>
      <c r="CK10" s="51">
        <f>CA72</f>
        <v>-7</v>
      </c>
      <c r="CL10" s="51">
        <f>CA70</f>
        <v>-3</v>
      </c>
      <c r="CM10" s="51">
        <f>CA71</f>
        <v>-5</v>
      </c>
      <c r="CN10" s="51">
        <f>CA80</f>
        <v>-23</v>
      </c>
      <c r="CO10" s="51">
        <f>CA66</f>
        <v>5</v>
      </c>
      <c r="CP10" s="51">
        <f>CA67</f>
        <v>3</v>
      </c>
      <c r="CQ10" s="51">
        <f>CA68</f>
        <v>1</v>
      </c>
      <c r="CR10" s="51">
        <f>CA64</f>
        <v>9</v>
      </c>
      <c r="CS10" s="51">
        <f>CA65</f>
        <v>7</v>
      </c>
      <c r="CT10" s="51">
        <f>CA74</f>
        <v>-11</v>
      </c>
      <c r="CU10" s="51">
        <f>CA72</f>
        <v>-7</v>
      </c>
      <c r="CV10" s="51">
        <f>CA70</f>
        <v>-3</v>
      </c>
      <c r="CW10" s="18">
        <f>CA70</f>
        <v>-3</v>
      </c>
      <c r="CX10" s="18">
        <f>CA68</f>
        <v>1</v>
      </c>
      <c r="CY10" s="18">
        <f>CA70</f>
        <v>-3</v>
      </c>
      <c r="CZ10" s="18">
        <f>CA80</f>
        <v>-23</v>
      </c>
    </row>
    <row r="11" spans="1:119" x14ac:dyDescent="0.25">
      <c r="BX11" s="47"/>
      <c r="CB11" s="46"/>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row>
    <row r="12" spans="1:119" x14ac:dyDescent="0.25">
      <c r="D12" s="54" t="s">
        <v>607</v>
      </c>
      <c r="E12">
        <f>COUNTIF(E$19:E$8780,D12)</f>
        <v>6288</v>
      </c>
      <c r="F12">
        <f>E12/24</f>
        <v>262</v>
      </c>
      <c r="J12" s="54" t="s">
        <v>607</v>
      </c>
      <c r="K12">
        <f>COUNTIF(K$19:K$8780,J12)</f>
        <v>0</v>
      </c>
      <c r="L12">
        <f>K12/24</f>
        <v>0</v>
      </c>
      <c r="P12" s="54" t="s">
        <v>607</v>
      </c>
      <c r="Q12">
        <f>COUNTIF(Q$19:Q$8780,P12)</f>
        <v>0</v>
      </c>
      <c r="R12">
        <f>Q12/24</f>
        <v>0</v>
      </c>
      <c r="V12" s="54" t="s">
        <v>607</v>
      </c>
      <c r="W12">
        <f>COUNTIF(W$19:W$8780,V12)</f>
        <v>0</v>
      </c>
      <c r="X12">
        <f>W12/24</f>
        <v>0</v>
      </c>
      <c r="BX12" s="47"/>
      <c r="BZ12" s="55"/>
      <c r="CA12" s="55"/>
      <c r="CB12" s="56" t="s">
        <v>608</v>
      </c>
      <c r="CC12" s="55">
        <f t="shared" ref="CC12:CZ12" si="1">SUM(CC18:CC23)</f>
        <v>0</v>
      </c>
      <c r="CD12" s="55">
        <f t="shared" si="1"/>
        <v>0</v>
      </c>
      <c r="CE12" s="55">
        <f t="shared" si="1"/>
        <v>0</v>
      </c>
      <c r="CF12" s="55">
        <f t="shared" si="1"/>
        <v>0</v>
      </c>
      <c r="CG12" s="55">
        <f t="shared" si="1"/>
        <v>0</v>
      </c>
      <c r="CH12" s="55">
        <f t="shared" si="1"/>
        <v>0</v>
      </c>
      <c r="CI12" s="55">
        <f t="shared" si="1"/>
        <v>0</v>
      </c>
      <c r="CJ12" s="55">
        <f t="shared" si="1"/>
        <v>0</v>
      </c>
      <c r="CK12" s="55">
        <f t="shared" si="1"/>
        <v>0</v>
      </c>
      <c r="CL12" s="55">
        <f t="shared" si="1"/>
        <v>0</v>
      </c>
      <c r="CM12" s="55">
        <f t="shared" si="1"/>
        <v>0</v>
      </c>
      <c r="CN12" s="55">
        <f t="shared" si="1"/>
        <v>0</v>
      </c>
      <c r="CO12" s="55">
        <f t="shared" si="1"/>
        <v>0</v>
      </c>
      <c r="CP12" s="55">
        <f t="shared" si="1"/>
        <v>0</v>
      </c>
      <c r="CQ12" s="55">
        <f t="shared" si="1"/>
        <v>0</v>
      </c>
      <c r="CR12" s="55">
        <f t="shared" si="1"/>
        <v>0</v>
      </c>
      <c r="CS12" s="55">
        <f t="shared" si="1"/>
        <v>0</v>
      </c>
      <c r="CT12" s="55">
        <f t="shared" si="1"/>
        <v>0</v>
      </c>
      <c r="CU12" s="55">
        <f t="shared" si="1"/>
        <v>0</v>
      </c>
      <c r="CV12" s="55">
        <f t="shared" si="1"/>
        <v>0</v>
      </c>
      <c r="CW12" s="55">
        <f t="shared" si="1"/>
        <v>0</v>
      </c>
      <c r="CX12" s="55">
        <f t="shared" si="1"/>
        <v>0</v>
      </c>
      <c r="CY12" s="55">
        <f t="shared" si="1"/>
        <v>0</v>
      </c>
      <c r="CZ12" s="55">
        <f t="shared" si="1"/>
        <v>0</v>
      </c>
    </row>
    <row r="13" spans="1:119" x14ac:dyDescent="0.25">
      <c r="D13" s="54" t="s">
        <v>609</v>
      </c>
      <c r="E13">
        <f>COUNTIF(E$19:E$8780,D13)</f>
        <v>1248</v>
      </c>
      <c r="F13">
        <f>E13/24</f>
        <v>52</v>
      </c>
      <c r="J13" s="54" t="s">
        <v>609</v>
      </c>
      <c r="K13">
        <f>COUNTIF(K$19:K$8780,J13)</f>
        <v>0</v>
      </c>
      <c r="L13">
        <f>K13/24</f>
        <v>0</v>
      </c>
      <c r="P13" s="54" t="s">
        <v>609</v>
      </c>
      <c r="Q13">
        <f>COUNTIF(Q$19:Q$8780,P13)</f>
        <v>0</v>
      </c>
      <c r="R13">
        <f>Q13/24</f>
        <v>0</v>
      </c>
      <c r="V13" s="54" t="s">
        <v>609</v>
      </c>
      <c r="W13">
        <f>COUNTIF(W$19:W$8780,V13)</f>
        <v>0</v>
      </c>
      <c r="X13">
        <f>W13/24</f>
        <v>0</v>
      </c>
      <c r="BX13" s="47"/>
      <c r="BZ13" s="55"/>
      <c r="CA13" s="55"/>
      <c r="CB13" s="56" t="s">
        <v>610</v>
      </c>
      <c r="CC13" s="55">
        <f t="shared" ref="CC13:CZ13" si="2">SUM(CC39:CC80)</f>
        <v>0</v>
      </c>
      <c r="CD13" s="55">
        <f t="shared" si="2"/>
        <v>0</v>
      </c>
      <c r="CE13" s="55">
        <f t="shared" si="2"/>
        <v>0</v>
      </c>
      <c r="CF13" s="55">
        <f t="shared" si="2"/>
        <v>0</v>
      </c>
      <c r="CG13" s="55">
        <f t="shared" si="2"/>
        <v>0</v>
      </c>
      <c r="CH13" s="55">
        <f t="shared" si="2"/>
        <v>0</v>
      </c>
      <c r="CI13" s="55">
        <f t="shared" si="2"/>
        <v>0</v>
      </c>
      <c r="CJ13" s="55">
        <f t="shared" si="2"/>
        <v>0</v>
      </c>
      <c r="CK13" s="55">
        <f t="shared" si="2"/>
        <v>0</v>
      </c>
      <c r="CL13" s="55">
        <f t="shared" si="2"/>
        <v>0</v>
      </c>
      <c r="CM13" s="55">
        <f t="shared" si="2"/>
        <v>0</v>
      </c>
      <c r="CN13" s="55">
        <f t="shared" si="2"/>
        <v>0</v>
      </c>
      <c r="CO13" s="55">
        <f t="shared" si="2"/>
        <v>0</v>
      </c>
      <c r="CP13" s="55">
        <f t="shared" si="2"/>
        <v>0</v>
      </c>
      <c r="CQ13" s="55">
        <f t="shared" si="2"/>
        <v>0</v>
      </c>
      <c r="CR13" s="55">
        <f t="shared" si="2"/>
        <v>0</v>
      </c>
      <c r="CS13" s="55">
        <f t="shared" si="2"/>
        <v>0</v>
      </c>
      <c r="CT13" s="55">
        <f t="shared" si="2"/>
        <v>0</v>
      </c>
      <c r="CU13" s="55">
        <f t="shared" si="2"/>
        <v>0</v>
      </c>
      <c r="CV13" s="55">
        <f t="shared" si="2"/>
        <v>0</v>
      </c>
      <c r="CW13" s="55">
        <f t="shared" si="2"/>
        <v>0</v>
      </c>
      <c r="CX13" s="55">
        <f t="shared" si="2"/>
        <v>0</v>
      </c>
      <c r="CY13" s="55">
        <f t="shared" si="2"/>
        <v>0</v>
      </c>
      <c r="CZ13" s="55">
        <f t="shared" si="2"/>
        <v>0</v>
      </c>
    </row>
    <row r="14" spans="1:119" x14ac:dyDescent="0.25">
      <c r="D14" s="54" t="s">
        <v>611</v>
      </c>
      <c r="E14">
        <f>COUNTIF(E$19:E$8780,D14)</f>
        <v>1224</v>
      </c>
      <c r="F14">
        <f>E14/24</f>
        <v>51</v>
      </c>
      <c r="J14" s="54" t="s">
        <v>611</v>
      </c>
      <c r="K14">
        <f>COUNTIF(K$19:K$8780,J14)</f>
        <v>0</v>
      </c>
      <c r="L14">
        <f>K14/24</f>
        <v>0</v>
      </c>
      <c r="P14" s="54" t="s">
        <v>611</v>
      </c>
      <c r="Q14">
        <f>COUNTIF(Q$19:Q$8780,P14)</f>
        <v>0</v>
      </c>
      <c r="R14">
        <f>Q14/24</f>
        <v>0</v>
      </c>
      <c r="V14" s="54" t="s">
        <v>611</v>
      </c>
      <c r="W14">
        <f>COUNTIF(W$19:W$8780,V14)</f>
        <v>0</v>
      </c>
      <c r="X14">
        <f>W14/24</f>
        <v>0</v>
      </c>
      <c r="BX14" s="47"/>
      <c r="BZ14" s="55"/>
      <c r="CA14" s="55"/>
      <c r="CB14" s="56" t="s">
        <v>612</v>
      </c>
      <c r="CC14" s="55">
        <f t="shared" ref="CC14:CZ14" si="3">SUM(CC63:CC80)</f>
        <v>0</v>
      </c>
      <c r="CD14" s="55">
        <f t="shared" si="3"/>
        <v>0</v>
      </c>
      <c r="CE14" s="55">
        <f t="shared" si="3"/>
        <v>0</v>
      </c>
      <c r="CF14" s="55">
        <f t="shared" si="3"/>
        <v>0</v>
      </c>
      <c r="CG14" s="55">
        <f t="shared" si="3"/>
        <v>0</v>
      </c>
      <c r="CH14" s="55">
        <f t="shared" si="3"/>
        <v>0</v>
      </c>
      <c r="CI14" s="55">
        <f t="shared" si="3"/>
        <v>0</v>
      </c>
      <c r="CJ14" s="55">
        <f t="shared" si="3"/>
        <v>0</v>
      </c>
      <c r="CK14" s="55">
        <f t="shared" si="3"/>
        <v>0</v>
      </c>
      <c r="CL14" s="55">
        <f t="shared" si="3"/>
        <v>0</v>
      </c>
      <c r="CM14" s="55">
        <f t="shared" si="3"/>
        <v>0</v>
      </c>
      <c r="CN14" s="55">
        <f t="shared" si="3"/>
        <v>0</v>
      </c>
      <c r="CO14" s="55">
        <f t="shared" si="3"/>
        <v>0</v>
      </c>
      <c r="CP14" s="55">
        <f t="shared" si="3"/>
        <v>0</v>
      </c>
      <c r="CQ14" s="55">
        <f t="shared" si="3"/>
        <v>0</v>
      </c>
      <c r="CR14" s="55">
        <f t="shared" si="3"/>
        <v>0</v>
      </c>
      <c r="CS14" s="55">
        <f t="shared" si="3"/>
        <v>0</v>
      </c>
      <c r="CT14" s="55">
        <f t="shared" si="3"/>
        <v>0</v>
      </c>
      <c r="CU14" s="55">
        <f t="shared" si="3"/>
        <v>0</v>
      </c>
      <c r="CV14" s="55">
        <f t="shared" si="3"/>
        <v>0</v>
      </c>
      <c r="CW14" s="55">
        <f t="shared" si="3"/>
        <v>0</v>
      </c>
      <c r="CX14" s="55">
        <f t="shared" si="3"/>
        <v>0</v>
      </c>
      <c r="CY14" s="55">
        <f t="shared" si="3"/>
        <v>0</v>
      </c>
      <c r="CZ14" s="55">
        <f t="shared" si="3"/>
        <v>0</v>
      </c>
    </row>
    <row r="15" spans="1:119" ht="15.75" thickBot="1" x14ac:dyDescent="0.3">
      <c r="A15" s="23"/>
      <c r="D15" s="54" t="s">
        <v>613</v>
      </c>
      <c r="E15">
        <f>SUM(E12:E14)</f>
        <v>8760</v>
      </c>
      <c r="F15">
        <f>SUM(F12:F14)</f>
        <v>365</v>
      </c>
      <c r="G15" s="23"/>
      <c r="H15" s="23"/>
      <c r="I15" s="23"/>
      <c r="J15" s="54" t="s">
        <v>613</v>
      </c>
      <c r="K15">
        <f>SUM(K12:K14)</f>
        <v>0</v>
      </c>
      <c r="L15">
        <f>SUM(L12:L14)</f>
        <v>0</v>
      </c>
      <c r="P15" s="54" t="s">
        <v>613</v>
      </c>
      <c r="Q15">
        <f>SUM(Q12:Q14)</f>
        <v>0</v>
      </c>
      <c r="R15">
        <f>SUM(R12:R14)</f>
        <v>0</v>
      </c>
      <c r="V15" s="54" t="s">
        <v>613</v>
      </c>
      <c r="W15">
        <f>SUM(W12:W14)</f>
        <v>0</v>
      </c>
      <c r="X15">
        <f>SUM(X12:X14)</f>
        <v>0</v>
      </c>
      <c r="BX15" s="47"/>
      <c r="BZ15" s="55"/>
      <c r="CA15" s="55"/>
      <c r="CB15" s="56" t="s">
        <v>614</v>
      </c>
      <c r="CC15" s="55">
        <f t="shared" ref="CC15:CZ15" si="4">SUM(CC69:CC80)</f>
        <v>0</v>
      </c>
      <c r="CD15" s="55">
        <f t="shared" si="4"/>
        <v>0</v>
      </c>
      <c r="CE15" s="55">
        <f t="shared" si="4"/>
        <v>0</v>
      </c>
      <c r="CF15" s="55">
        <f t="shared" si="4"/>
        <v>0</v>
      </c>
      <c r="CG15" s="55">
        <f t="shared" si="4"/>
        <v>0</v>
      </c>
      <c r="CH15" s="55">
        <f t="shared" si="4"/>
        <v>0</v>
      </c>
      <c r="CI15" s="55">
        <f t="shared" si="4"/>
        <v>0</v>
      </c>
      <c r="CJ15" s="55">
        <f t="shared" si="4"/>
        <v>0</v>
      </c>
      <c r="CK15" s="55">
        <f t="shared" si="4"/>
        <v>0</v>
      </c>
      <c r="CL15" s="55">
        <f t="shared" si="4"/>
        <v>0</v>
      </c>
      <c r="CM15" s="55">
        <f t="shared" si="4"/>
        <v>0</v>
      </c>
      <c r="CN15" s="55">
        <f t="shared" si="4"/>
        <v>0</v>
      </c>
      <c r="CO15" s="55">
        <f t="shared" si="4"/>
        <v>0</v>
      </c>
      <c r="CP15" s="55">
        <f t="shared" si="4"/>
        <v>0</v>
      </c>
      <c r="CQ15" s="55">
        <f t="shared" si="4"/>
        <v>0</v>
      </c>
      <c r="CR15" s="55">
        <f t="shared" si="4"/>
        <v>0</v>
      </c>
      <c r="CS15" s="55">
        <f t="shared" si="4"/>
        <v>0</v>
      </c>
      <c r="CT15" s="55">
        <f t="shared" si="4"/>
        <v>0</v>
      </c>
      <c r="CU15" s="55">
        <f t="shared" si="4"/>
        <v>0</v>
      </c>
      <c r="CV15" s="55">
        <f t="shared" si="4"/>
        <v>0</v>
      </c>
      <c r="CW15" s="55">
        <f t="shared" si="4"/>
        <v>0</v>
      </c>
      <c r="CX15" s="55">
        <f t="shared" si="4"/>
        <v>0</v>
      </c>
      <c r="CY15" s="55">
        <f t="shared" si="4"/>
        <v>0</v>
      </c>
      <c r="CZ15" s="55">
        <f t="shared" si="4"/>
        <v>0</v>
      </c>
      <c r="DK15" s="9" t="s">
        <v>615</v>
      </c>
      <c r="DL15" s="9"/>
      <c r="DM15" s="9"/>
      <c r="DN15" s="9"/>
      <c r="DO15" s="9"/>
    </row>
    <row r="16" spans="1:119" ht="15.75" thickBot="1" x14ac:dyDescent="0.3">
      <c r="A16" s="39"/>
      <c r="B16" s="24"/>
      <c r="C16" s="24"/>
      <c r="D16" s="24" t="s">
        <v>560</v>
      </c>
      <c r="E16" s="24"/>
      <c r="F16" s="24"/>
      <c r="G16" s="57"/>
      <c r="H16" s="58"/>
      <c r="I16" s="58"/>
      <c r="J16" s="58" t="s">
        <v>554</v>
      </c>
      <c r="K16" s="58"/>
      <c r="L16" s="58"/>
      <c r="M16" s="39"/>
      <c r="N16" s="24"/>
      <c r="O16" s="24"/>
      <c r="P16" s="24" t="s">
        <v>577</v>
      </c>
      <c r="Q16" s="24"/>
      <c r="R16" s="24"/>
      <c r="S16" s="39"/>
      <c r="T16" s="24"/>
      <c r="U16" s="24"/>
      <c r="V16" s="24" t="s">
        <v>554</v>
      </c>
      <c r="W16" s="24"/>
      <c r="X16" s="41"/>
      <c r="Y16" s="39"/>
      <c r="Z16" s="24"/>
      <c r="AA16" s="24"/>
      <c r="AB16" s="24"/>
      <c r="AC16" s="24"/>
      <c r="AD16" s="41"/>
      <c r="AE16" s="39"/>
      <c r="AF16" s="24"/>
      <c r="AG16" s="24"/>
      <c r="AH16" s="24"/>
      <c r="AI16" s="24"/>
      <c r="AJ16" s="41"/>
      <c r="AK16" s="39"/>
      <c r="AL16" s="24"/>
      <c r="AM16" s="24"/>
      <c r="AN16" s="24"/>
      <c r="AO16" s="24"/>
      <c r="AP16" s="41"/>
      <c r="AQ16" s="39"/>
      <c r="AR16" s="24"/>
      <c r="AS16" s="24"/>
      <c r="AT16" s="24"/>
      <c r="AU16" s="24"/>
      <c r="AV16" s="41"/>
      <c r="AW16" s="39"/>
      <c r="AX16" s="24"/>
      <c r="AY16" s="24"/>
      <c r="AZ16" s="24"/>
      <c r="BA16" s="24"/>
      <c r="BB16" s="41"/>
      <c r="BC16" s="39"/>
      <c r="BD16" s="24"/>
      <c r="BE16" s="24"/>
      <c r="BF16" s="24"/>
      <c r="BG16" s="24"/>
      <c r="BH16" s="41"/>
      <c r="BI16" s="39"/>
      <c r="BJ16" s="24"/>
      <c r="BK16" s="24"/>
      <c r="BL16" s="24"/>
      <c r="BM16" s="24"/>
      <c r="BN16" s="41"/>
      <c r="BO16" s="39"/>
      <c r="BP16" s="24"/>
      <c r="BQ16" s="24"/>
      <c r="BR16" s="24"/>
      <c r="BS16" s="24"/>
      <c r="BT16" s="41"/>
      <c r="BX16" s="47"/>
      <c r="BZ16" s="927" t="s">
        <v>616</v>
      </c>
      <c r="CA16" s="928"/>
      <c r="CB16" s="929"/>
      <c r="CC16" s="927" t="s">
        <v>560</v>
      </c>
      <c r="CD16" s="929"/>
      <c r="CE16" s="927" t="s">
        <v>557</v>
      </c>
      <c r="CF16" s="929"/>
      <c r="CG16" s="927" t="s">
        <v>577</v>
      </c>
      <c r="CH16" s="929"/>
      <c r="CI16" s="927" t="s">
        <v>554</v>
      </c>
      <c r="CJ16" s="929"/>
      <c r="CK16" s="927" t="s">
        <v>537</v>
      </c>
      <c r="CL16" s="929"/>
      <c r="CM16" s="927" t="s">
        <v>551</v>
      </c>
      <c r="CN16" s="929"/>
      <c r="CO16" s="927" t="s">
        <v>533</v>
      </c>
      <c r="CP16" s="929"/>
      <c r="CQ16" s="927" t="s">
        <v>531</v>
      </c>
      <c r="CR16" s="929"/>
      <c r="CS16" s="927" t="s">
        <v>540</v>
      </c>
      <c r="CT16" s="929"/>
      <c r="CU16" s="927" t="s">
        <v>447</v>
      </c>
      <c r="CV16" s="929"/>
      <c r="CW16" s="927" t="s">
        <v>565</v>
      </c>
      <c r="CX16" s="929"/>
      <c r="CY16" s="927" t="s">
        <v>449</v>
      </c>
      <c r="CZ16" s="929"/>
      <c r="DD16" s="59" t="s">
        <v>617</v>
      </c>
      <c r="DE16" s="60" t="str">
        <f>IF(ISBLANK(Inputs!C8),"Office",Inputs!C8)</f>
        <v>Office</v>
      </c>
      <c r="DF16" s="60"/>
      <c r="DG16" s="61"/>
    </row>
    <row r="17" spans="1:116" ht="30.75" thickBot="1" x14ac:dyDescent="0.3">
      <c r="A17" s="40">
        <v>725030</v>
      </c>
      <c r="B17" t="s">
        <v>618</v>
      </c>
      <c r="G17" s="62">
        <v>725033</v>
      </c>
      <c r="H17" s="1" t="s">
        <v>619</v>
      </c>
      <c r="I17" s="1"/>
      <c r="J17" s="1"/>
      <c r="K17" s="1"/>
      <c r="L17" s="1"/>
      <c r="M17" s="40">
        <v>725037</v>
      </c>
      <c r="N17" t="s">
        <v>620</v>
      </c>
      <c r="S17" s="40">
        <v>744860</v>
      </c>
      <c r="T17" t="s">
        <v>621</v>
      </c>
      <c r="X17" s="42"/>
      <c r="Y17">
        <v>725035</v>
      </c>
      <c r="Z17" t="s">
        <v>622</v>
      </c>
      <c r="AD17" s="42"/>
      <c r="AE17">
        <v>725036</v>
      </c>
      <c r="AF17" t="s">
        <v>623</v>
      </c>
      <c r="AJ17" s="42"/>
      <c r="AK17">
        <v>725150</v>
      </c>
      <c r="AL17" t="s">
        <v>624</v>
      </c>
      <c r="AP17" s="42"/>
      <c r="AQ17">
        <v>725180</v>
      </c>
      <c r="AR17" t="s">
        <v>625</v>
      </c>
      <c r="AV17" s="42"/>
      <c r="AW17">
        <v>725190</v>
      </c>
      <c r="AX17" t="s">
        <v>626</v>
      </c>
      <c r="BB17" s="42"/>
      <c r="BC17">
        <v>725280</v>
      </c>
      <c r="BD17" t="s">
        <v>627</v>
      </c>
      <c r="BH17" s="42"/>
      <c r="BI17">
        <v>725290</v>
      </c>
      <c r="BJ17" t="s">
        <v>628</v>
      </c>
      <c r="BN17" s="42"/>
      <c r="BO17">
        <v>726223</v>
      </c>
      <c r="BP17" t="s">
        <v>629</v>
      </c>
      <c r="BT17" s="42"/>
      <c r="BX17" s="47"/>
      <c r="BZ17" s="15" t="s">
        <v>630</v>
      </c>
      <c r="CA17" s="12" t="s">
        <v>631</v>
      </c>
      <c r="CB17" s="13" t="s">
        <v>632</v>
      </c>
      <c r="CC17" s="63" t="str">
        <f>CC16&amp;" Occupied"</f>
        <v>NYC Laguardia Occupied</v>
      </c>
      <c r="CD17" s="64" t="str">
        <f>CC16&amp;" Unoccupied"</f>
        <v>NYC Laguardia Unoccupied</v>
      </c>
      <c r="CE17" s="63" t="str">
        <f>CE16&amp;" Occupied"</f>
        <v>NYC JFK Occupied</v>
      </c>
      <c r="CF17" s="64" t="str">
        <f>CE16&amp;" Unoccupied"</f>
        <v>NYC JFK Unoccupied</v>
      </c>
      <c r="CG17" s="63" t="str">
        <f>CG16&amp;" Occupied"</f>
        <v>White Plains WCA Occupied</v>
      </c>
      <c r="CH17" s="64" t="str">
        <f>CG16&amp;" Unoccupied"</f>
        <v>White Plains WCA Unoccupied</v>
      </c>
      <c r="CI17" s="63" t="str">
        <f>CI16&amp;" Occupied"</f>
        <v>NYC Central Park Occupied</v>
      </c>
      <c r="CJ17" s="64" t="str">
        <f>CI16&amp;" Unoccupied"</f>
        <v>NYC Central Park Unoccupied</v>
      </c>
      <c r="CK17" s="65" t="str">
        <f>CK16&amp;" Occupied"</f>
        <v>Islip Occupied</v>
      </c>
      <c r="CL17" s="66" t="str">
        <f>CK16&amp;" Unoccupied"</f>
        <v>Islip Unoccupied</v>
      </c>
      <c r="CM17" s="63" t="str">
        <f>CM16&amp;" Occupied"</f>
        <v>Poughkeepsie Occupied</v>
      </c>
      <c r="CN17" s="64" t="str">
        <f>CM16&amp;" Unoccupied"</f>
        <v>Poughkeepsie Unoccupied</v>
      </c>
      <c r="CO17" s="63" t="str">
        <f>CO16&amp;" Occupied"</f>
        <v>Binghamton Occupied</v>
      </c>
      <c r="CP17" s="64" t="str">
        <f>CO16&amp;" Unoccupied"</f>
        <v>Binghamton Unoccupied</v>
      </c>
      <c r="CQ17" s="63" t="str">
        <f>CQ16&amp;" Occupied"</f>
        <v>Albany Occupied</v>
      </c>
      <c r="CR17" s="64" t="str">
        <f>CQ16&amp;" Unoccupied"</f>
        <v>Albany Unoccupied</v>
      </c>
      <c r="CS17" s="63" t="str">
        <f>CS16&amp;" Occupied"</f>
        <v>Syracuse Occupied</v>
      </c>
      <c r="CT17" s="64" t="str">
        <f>CS16&amp;" Unoccupied"</f>
        <v>Syracuse Unoccupied</v>
      </c>
      <c r="CU17" s="63" t="str">
        <f>CU16&amp;" Occupied"</f>
        <v>Buffalo Occupied</v>
      </c>
      <c r="CV17" s="64" t="str">
        <f>CU16&amp;" Unoccupied"</f>
        <v>Buffalo Unoccupied</v>
      </c>
      <c r="CW17" s="63" t="str">
        <f>CW16&amp;" Occupied"</f>
        <v>Rochester Occupied</v>
      </c>
      <c r="CX17" s="64" t="str">
        <f>CW16&amp;" Unoccupied"</f>
        <v>Rochester Unoccupied</v>
      </c>
      <c r="CY17" s="63" t="str">
        <f>CY16&amp;" Occupied"</f>
        <v>Massena Occupied</v>
      </c>
      <c r="CZ17" s="64" t="str">
        <f>CY16&amp;" Unoccupied"</f>
        <v>Massena Unoccupied</v>
      </c>
      <c r="DD17" s="67" t="s">
        <v>418</v>
      </c>
      <c r="DE17" s="68" t="s">
        <v>419</v>
      </c>
      <c r="DF17" s="68"/>
      <c r="DG17" s="69"/>
      <c r="DI17" t="s">
        <v>137</v>
      </c>
      <c r="DK17" s="25" t="s">
        <v>633</v>
      </c>
      <c r="DL17" s="25" t="s">
        <v>634</v>
      </c>
    </row>
    <row r="18" spans="1:116" ht="15.75" thickBot="1" x14ac:dyDescent="0.3">
      <c r="A18" s="40" t="s">
        <v>635</v>
      </c>
      <c r="B18" t="s">
        <v>636</v>
      </c>
      <c r="C18" t="s">
        <v>637</v>
      </c>
      <c r="D18" s="46" t="s">
        <v>638</v>
      </c>
      <c r="E18" t="s">
        <v>639</v>
      </c>
      <c r="F18" t="s">
        <v>640</v>
      </c>
      <c r="G18" s="62" t="s">
        <v>635</v>
      </c>
      <c r="H18" s="1" t="s">
        <v>636</v>
      </c>
      <c r="I18" s="1" t="s">
        <v>637</v>
      </c>
      <c r="J18" s="70" t="s">
        <v>638</v>
      </c>
      <c r="K18" s="1" t="s">
        <v>639</v>
      </c>
      <c r="L18" s="1" t="s">
        <v>640</v>
      </c>
      <c r="M18" s="40" t="s">
        <v>635</v>
      </c>
      <c r="N18" t="s">
        <v>636</v>
      </c>
      <c r="O18" t="s">
        <v>637</v>
      </c>
      <c r="P18" s="46" t="s">
        <v>638</v>
      </c>
      <c r="Q18" t="s">
        <v>639</v>
      </c>
      <c r="R18" t="s">
        <v>640</v>
      </c>
      <c r="S18" s="40" t="s">
        <v>635</v>
      </c>
      <c r="T18" t="s">
        <v>636</v>
      </c>
      <c r="U18" t="s">
        <v>637</v>
      </c>
      <c r="V18" s="46" t="s">
        <v>638</v>
      </c>
      <c r="W18" t="s">
        <v>639</v>
      </c>
      <c r="X18" s="42" t="s">
        <v>640</v>
      </c>
      <c r="Y18" s="40" t="s">
        <v>635</v>
      </c>
      <c r="Z18" t="s">
        <v>636</v>
      </c>
      <c r="AA18" t="s">
        <v>637</v>
      </c>
      <c r="AB18" s="46" t="s">
        <v>638</v>
      </c>
      <c r="AC18" s="46" t="s">
        <v>638</v>
      </c>
      <c r="AD18" s="42" t="s">
        <v>640</v>
      </c>
      <c r="AE18" s="40" t="s">
        <v>635</v>
      </c>
      <c r="AF18" t="s">
        <v>636</v>
      </c>
      <c r="AG18" t="s">
        <v>637</v>
      </c>
      <c r="AH18" s="46" t="s">
        <v>638</v>
      </c>
      <c r="AI18" t="s">
        <v>639</v>
      </c>
      <c r="AJ18" s="42" t="s">
        <v>640</v>
      </c>
      <c r="AK18" s="40" t="s">
        <v>635</v>
      </c>
      <c r="AL18" t="s">
        <v>636</v>
      </c>
      <c r="AM18" t="s">
        <v>637</v>
      </c>
      <c r="AN18" s="46" t="s">
        <v>638</v>
      </c>
      <c r="AO18" t="s">
        <v>639</v>
      </c>
      <c r="AP18" s="42" t="s">
        <v>640</v>
      </c>
      <c r="AQ18" s="40" t="s">
        <v>635</v>
      </c>
      <c r="AR18" t="s">
        <v>636</v>
      </c>
      <c r="AS18" t="s">
        <v>637</v>
      </c>
      <c r="AT18" s="46" t="s">
        <v>638</v>
      </c>
      <c r="AU18" t="s">
        <v>639</v>
      </c>
      <c r="AV18" s="42" t="s">
        <v>640</v>
      </c>
      <c r="AW18" s="40" t="s">
        <v>635</v>
      </c>
      <c r="AX18" t="s">
        <v>636</v>
      </c>
      <c r="AY18" t="s">
        <v>637</v>
      </c>
      <c r="AZ18" s="46" t="s">
        <v>638</v>
      </c>
      <c r="BA18" s="46" t="s">
        <v>638</v>
      </c>
      <c r="BB18" s="42" t="s">
        <v>640</v>
      </c>
      <c r="BC18" s="40" t="s">
        <v>635</v>
      </c>
      <c r="BD18" t="s">
        <v>636</v>
      </c>
      <c r="BE18" t="s">
        <v>637</v>
      </c>
      <c r="BF18" s="46" t="s">
        <v>638</v>
      </c>
      <c r="BG18" t="s">
        <v>639</v>
      </c>
      <c r="BH18" s="42" t="s">
        <v>640</v>
      </c>
      <c r="BI18" s="40" t="s">
        <v>635</v>
      </c>
      <c r="BJ18" t="s">
        <v>636</v>
      </c>
      <c r="BK18" t="s">
        <v>637</v>
      </c>
      <c r="BL18" s="46" t="s">
        <v>638</v>
      </c>
      <c r="BM18" t="s">
        <v>639</v>
      </c>
      <c r="BN18" s="42" t="s">
        <v>640</v>
      </c>
      <c r="BO18" s="40" t="s">
        <v>635</v>
      </c>
      <c r="BP18" t="s">
        <v>636</v>
      </c>
      <c r="BQ18" t="s">
        <v>637</v>
      </c>
      <c r="BR18" s="46" t="s">
        <v>638</v>
      </c>
      <c r="BS18" t="s">
        <v>639</v>
      </c>
      <c r="BT18" s="42" t="s">
        <v>640</v>
      </c>
      <c r="BX18" s="47"/>
      <c r="BZ18" s="71">
        <v>100</v>
      </c>
      <c r="CA18" s="72">
        <v>101</v>
      </c>
      <c r="CB18" s="17">
        <v>102</v>
      </c>
      <c r="CC18" s="71">
        <f t="shared" ref="CC18:CC80" si="5">COUNTIFS($D$19:$D$8778, "&gt;="&amp;$BZ18, $D$19:$D$8778, "&lt;"&amp;$CB18, $F$19:$F$8778, "On")</f>
        <v>0</v>
      </c>
      <c r="CD18" s="17">
        <f t="shared" ref="CD18:CD80" si="6">COUNTIFS($D$19:$D$8778, "&gt;="&amp;$BZ18, $D$19:$D$8778, "&lt;"&amp;$CB18, $F$19:$F$8778, "Off")</f>
        <v>0</v>
      </c>
      <c r="CE18" s="71">
        <f t="shared" ref="CE18:CE80" si="7">COUNTIFS($V$19:$V$8778, "&gt;="&amp;$BZ18, $V$19:$V$8778, "&lt;"&amp;$CB18, $F$19:$F$8778, "On")</f>
        <v>0</v>
      </c>
      <c r="CF18" s="17">
        <f t="shared" ref="CF18:CF80" si="8">COUNTIFS($V$19:$V$8778, "&gt;="&amp;$BZ18, $V$19:$V$8778, "&lt;"&amp;$CB18, $F$19:$F$8778, "Off")</f>
        <v>0</v>
      </c>
      <c r="CG18" s="71">
        <f t="shared" ref="CG18:CG80" si="9">COUNTIFS($P$19:$P$8778, "&gt;="&amp;$BZ18, $P$19:$P$8778, "&lt;"&amp;$CB18, $F$19:$F$8778, "On")</f>
        <v>0</v>
      </c>
      <c r="CH18" s="17">
        <f t="shared" ref="CH18:CH80" si="10">COUNTIFS($P$19:$P$8778, "&gt;="&amp;$BZ18, $P$19:$P$8778, "&lt;"&amp;$CB18, $F$19:$F$8778, "Off")</f>
        <v>0</v>
      </c>
      <c r="CI18" s="71">
        <f t="shared" ref="CI18:CI80" si="11">COUNTIFS($J$19:$J$8778, "&gt;="&amp;$BZ18, $J$19:$J$8778, "&lt;"&amp;$CB18, $F$19:$F$8778, "On")</f>
        <v>0</v>
      </c>
      <c r="CJ18" s="17">
        <f t="shared" ref="CJ18:CJ80" si="12">COUNTIFS($J$19:$J$8778, "&gt;="&amp;$BZ18, $J$19:$J$8778, "&lt;"&amp;$CB18, $F$19:$F$8778, "Off")</f>
        <v>0</v>
      </c>
      <c r="CK18" s="71">
        <f t="shared" ref="CK18:CK80" si="13">COUNTIFS($AC$19:$AC$8778, "&gt;="&amp;$BZ18, $AC$19:$AC$8778, "&lt;"&amp;$CB18, $F$19:$F$8778, "On")</f>
        <v>0</v>
      </c>
      <c r="CL18" s="17">
        <f t="shared" ref="CL18:CL80" si="14">COUNTIFS($AC$19:$AC$8778, "&gt;="&amp;$BZ18, $AC$19:$AC$8778, "&lt;"&amp;$CB18, $F$19:$F$8778, "Off")</f>
        <v>0</v>
      </c>
      <c r="CM18" s="71">
        <f t="shared" ref="CM18:CM80" si="15">COUNTIFS($AH$19:$AH$8778, "&gt;="&amp;$BZ18, $AH$19:$AH$8778, "&lt;"&amp;$CB18, $F$19:$F$8778, "On")</f>
        <v>0</v>
      </c>
      <c r="CN18" s="17">
        <f t="shared" ref="CN18:CN80" si="16">COUNTIFS($AH$19:$AH$8778, "&gt;="&amp;$BZ18, $AH$19:$AH$8778, "&lt;"&amp;$CB18, $F$19:$F$8778, "Off")</f>
        <v>0</v>
      </c>
      <c r="CO18" s="71">
        <f t="shared" ref="CO18:CO80" si="17">COUNTIFS($AN$19:$AN$8778, "&gt;="&amp;$BZ18, $AN$19:$AN$8778, "&lt;"&amp;$CB18, $F$19:$F$8778, "On")</f>
        <v>0</v>
      </c>
      <c r="CP18" s="17">
        <f t="shared" ref="CP18:CP80" si="18">COUNTIFS($AN$19:$AN$8778, "&gt;="&amp;$BZ18, $AN$19:$AN$8778, "&lt;"&amp;$CB18, $F$19:$F$8778, "Off")</f>
        <v>0</v>
      </c>
      <c r="CQ18" s="71">
        <f t="shared" ref="CQ18:CQ80" si="19">COUNTIFS($AT$19:$AT$8778, "&gt;="&amp;$BZ18, $AT$19:$AT$8778, "&lt;"&amp;$CB18, $F$19:$F$8778, "On")</f>
        <v>0</v>
      </c>
      <c r="CR18" s="17">
        <f t="shared" ref="CR18:CR80" si="20">COUNTIFS($AT$19:$AT$8778, "&gt;="&amp;$BZ18, $AT$19:$AT$8778, "&lt;"&amp;$CB18, $F$19:$F$8778, "Off")</f>
        <v>0</v>
      </c>
      <c r="CS18" s="71">
        <f t="shared" ref="CS18:CS80" si="21">COUNTIFS($BA$19:$BA$8778, "&gt;="&amp;$BZ18, $BA$19:$BA$8778, "&lt;"&amp;$CB18, $F$19:$F$8778, "On")</f>
        <v>0</v>
      </c>
      <c r="CT18" s="17">
        <f t="shared" ref="CT18:CT80" si="22">COUNTIFS($BA$19:$BA$8778, "&gt;="&amp;$BZ18, $BA$19:$BA$8778, "&lt;"&amp;$CB18, $F$19:$F$8778, "Off")</f>
        <v>0</v>
      </c>
      <c r="CU18" s="71">
        <f t="shared" ref="CU18:CU80" si="23">COUNTIFS($BF$19:$BF$8778, "&gt;="&amp;$BZ18, $BF$19:$BF$8778, "&lt;"&amp;$CB18, $F$19:$F$8778, "On")</f>
        <v>0</v>
      </c>
      <c r="CV18" s="17">
        <f t="shared" ref="CV18:CV80" si="24">COUNTIFS($BF$19:$BF$8778, "&gt;="&amp;$BZ18, $BF$19:$BF$8778, "&lt;"&amp;$CB18, $F$19:$F$8778, "Off")</f>
        <v>0</v>
      </c>
      <c r="CW18" s="71">
        <f t="shared" ref="CW18:CW80" si="25">COUNTIFS($BL$19:$BL$8778, "&gt;="&amp;$BZ18, $BL$19:$BL$8778, "&lt;"&amp;$CB18, $F$19:$F$8778, "On")</f>
        <v>0</v>
      </c>
      <c r="CX18" s="17">
        <f t="shared" ref="CX18:CX80" si="26">COUNTIFS($BL$19:$BL$8778, "&gt;="&amp;$BZ18, $BL$19:$BL$8778, "&lt;"&amp;$CB18, $F$19:$F$8778, "Off")</f>
        <v>0</v>
      </c>
      <c r="CY18" s="71">
        <f t="shared" ref="CY18:CY80" si="27">COUNTIFS($BR$19:$BR$8778, "&gt;="&amp;$BZ18, $BR$19:$BR$8778, "&lt;"&amp;$CB18, $F$19:$F$8778, "On")</f>
        <v>0</v>
      </c>
      <c r="CZ18" s="17">
        <f t="shared" ref="CZ18:CZ80" si="28">COUNTIFS($BR$19:$BR$8778, "&gt;="&amp;$BZ18, $BR$19:$BR$8778, "&lt;"&amp;$CB18, $F$19:$F$8778, "Off")</f>
        <v>0</v>
      </c>
      <c r="DD18" s="73"/>
      <c r="DE18" s="12" t="s">
        <v>137</v>
      </c>
      <c r="DF18" s="12" t="s">
        <v>420</v>
      </c>
      <c r="DG18" s="13" t="s">
        <v>139</v>
      </c>
      <c r="DI18">
        <v>2</v>
      </c>
      <c r="DK18" s="18">
        <f t="shared" ref="DK18:DK80" si="29">CA18</f>
        <v>101</v>
      </c>
      <c r="DL18" s="18">
        <f t="shared" ref="DL18:DL44" si="30">DL19</f>
        <v>0</v>
      </c>
    </row>
    <row r="19" spans="1:116" ht="15.75" thickBot="1" x14ac:dyDescent="0.3">
      <c r="A19" s="90">
        <v>36161</v>
      </c>
      <c r="B19" s="20">
        <v>4.1666666666666664E-2</v>
      </c>
      <c r="D19">
        <v>28.04</v>
      </c>
      <c r="E19" t="str">
        <f t="shared" ref="E19:E82" si="31">IF(COUNTIF($DI$18:$DI$22, WEEKDAY(A19))=1, "WEEKDAY", IF(WEEKDAY(A19) = 1, "SUNDAY", "SATURDAY"))</f>
        <v>WEEKDAY</v>
      </c>
      <c r="F19" t="e">
        <f t="shared" ref="F19:F41" si="32">IF(E19="WEEKDAY",VLOOKUP(B19,$DD$19:$DG$42,2),IF(E19="SATURDAY",VLOOKUP(B19,$DD$19:$DG$42,3),VLOOKUP(B19,$DD$19:$DG$42,4)))</f>
        <v>#N/A</v>
      </c>
      <c r="G19" s="75">
        <v>27760</v>
      </c>
      <c r="H19" s="76">
        <v>4.1666666666666664E-2</v>
      </c>
      <c r="J19">
        <v>35.96</v>
      </c>
      <c r="K19" s="1"/>
      <c r="L19" s="1"/>
      <c r="M19" s="74">
        <v>37622</v>
      </c>
      <c r="N19" s="77">
        <v>4.1666666666666664E-2</v>
      </c>
      <c r="P19">
        <v>44.6</v>
      </c>
      <c r="S19" s="74">
        <v>36161</v>
      </c>
      <c r="T19" s="77">
        <v>4.1666666666666664E-2</v>
      </c>
      <c r="V19">
        <v>24.08</v>
      </c>
      <c r="X19" s="42"/>
      <c r="AB19">
        <v>34.4</v>
      </c>
      <c r="AC19">
        <v>24.08</v>
      </c>
      <c r="AE19" s="74"/>
      <c r="AF19" s="77"/>
      <c r="AH19" s="497">
        <v>35.6</v>
      </c>
      <c r="AJ19" s="42"/>
      <c r="AK19" s="74"/>
      <c r="AL19" s="77"/>
      <c r="AN19" s="497">
        <v>30.92</v>
      </c>
      <c r="AP19" s="42"/>
      <c r="AQ19" s="74"/>
      <c r="AR19" s="77"/>
      <c r="AT19" s="497">
        <v>33.08</v>
      </c>
      <c r="AV19" s="42"/>
      <c r="AW19" s="74"/>
      <c r="AX19" s="77"/>
      <c r="BA19" s="497">
        <v>30.02</v>
      </c>
      <c r="BB19" s="42"/>
      <c r="BC19" s="74"/>
      <c r="BD19" s="77"/>
      <c r="BF19">
        <v>30.92</v>
      </c>
      <c r="BH19" s="42"/>
      <c r="BI19" s="74"/>
      <c r="BJ19" s="77"/>
      <c r="BL19" s="497">
        <v>28.04</v>
      </c>
      <c r="BN19" s="42"/>
      <c r="BO19" s="74"/>
      <c r="BP19" s="77"/>
      <c r="BR19" s="497">
        <v>32</v>
      </c>
      <c r="BT19" s="42"/>
      <c r="BX19" s="47"/>
      <c r="BZ19" s="10">
        <v>98</v>
      </c>
      <c r="CA19">
        <v>99</v>
      </c>
      <c r="CB19" s="11">
        <v>100</v>
      </c>
      <c r="CC19" s="10">
        <f t="shared" si="5"/>
        <v>0</v>
      </c>
      <c r="CD19" s="11">
        <f t="shared" si="6"/>
        <v>0</v>
      </c>
      <c r="CE19" s="10">
        <f t="shared" si="7"/>
        <v>0</v>
      </c>
      <c r="CF19" s="11">
        <f t="shared" si="8"/>
        <v>0</v>
      </c>
      <c r="CG19" s="10">
        <f t="shared" si="9"/>
        <v>0</v>
      </c>
      <c r="CH19" s="11">
        <f t="shared" si="10"/>
        <v>0</v>
      </c>
      <c r="CI19" s="10">
        <f t="shared" si="11"/>
        <v>0</v>
      </c>
      <c r="CJ19" s="11">
        <f t="shared" si="12"/>
        <v>0</v>
      </c>
      <c r="CK19" s="10">
        <f t="shared" si="13"/>
        <v>0</v>
      </c>
      <c r="CL19" s="11">
        <f t="shared" si="14"/>
        <v>0</v>
      </c>
      <c r="CM19" s="10">
        <f t="shared" si="15"/>
        <v>0</v>
      </c>
      <c r="CN19" s="11">
        <f t="shared" si="16"/>
        <v>0</v>
      </c>
      <c r="CO19" s="10">
        <f t="shared" si="17"/>
        <v>0</v>
      </c>
      <c r="CP19" s="11">
        <f t="shared" si="18"/>
        <v>0</v>
      </c>
      <c r="CQ19" s="10">
        <f t="shared" si="19"/>
        <v>0</v>
      </c>
      <c r="CR19" s="11">
        <f t="shared" si="20"/>
        <v>0</v>
      </c>
      <c r="CS19" s="10">
        <f t="shared" si="21"/>
        <v>0</v>
      </c>
      <c r="CT19" s="11">
        <f t="shared" si="22"/>
        <v>0</v>
      </c>
      <c r="CU19" s="10">
        <f t="shared" si="23"/>
        <v>0</v>
      </c>
      <c r="CV19" s="11">
        <f t="shared" si="24"/>
        <v>0</v>
      </c>
      <c r="CW19" s="10">
        <f t="shared" si="25"/>
        <v>0</v>
      </c>
      <c r="CX19" s="11">
        <f t="shared" si="26"/>
        <v>0</v>
      </c>
      <c r="CY19" s="10">
        <f t="shared" si="27"/>
        <v>0</v>
      </c>
      <c r="CZ19" s="11">
        <f t="shared" si="28"/>
        <v>0</v>
      </c>
      <c r="DD19" s="78">
        <v>4.1666666666666664E-2</v>
      </c>
      <c r="DE19" s="16" t="e">
        <f>VLOOKUP($DD19,'Building Profiles'!$E$4:$AR$27,VLOOKUP(Inputs!$C$8,'Building Profiles'!$A$2:$B$14,2,FALSE)*3-1, FALSE)</f>
        <v>#N/A</v>
      </c>
      <c r="DF19" s="16" t="e">
        <f>VLOOKUP($DD19,'Building Profiles'!$E$4:$AR$27,VLOOKUP(Inputs!$C$8,'Building Profiles'!$A$2:$B$14,2,FALSE)*3, FALSE)</f>
        <v>#N/A</v>
      </c>
      <c r="DG19" s="19" t="e">
        <f>VLOOKUP($DD19,'Building Profiles'!$E$4:$AR$27,VLOOKUP(Inputs!$C$8,'Building Profiles'!$A$2:$B$14,2,FALSE)*3+1, FALSE)</f>
        <v>#N/A</v>
      </c>
      <c r="DI19">
        <v>3</v>
      </c>
      <c r="DK19" s="18">
        <f t="shared" si="29"/>
        <v>99</v>
      </c>
      <c r="DL19" s="18">
        <f t="shared" si="30"/>
        <v>0</v>
      </c>
    </row>
    <row r="20" spans="1:116" ht="15.75" thickBot="1" x14ac:dyDescent="0.3">
      <c r="A20" s="90">
        <v>36161</v>
      </c>
      <c r="B20" s="20">
        <v>8.3333333333333329E-2</v>
      </c>
      <c r="D20">
        <v>28.04</v>
      </c>
      <c r="E20" t="str">
        <f t="shared" si="31"/>
        <v>WEEKDAY</v>
      </c>
      <c r="F20" t="e">
        <f t="shared" si="32"/>
        <v>#N/A</v>
      </c>
      <c r="G20" s="75">
        <v>27760</v>
      </c>
      <c r="H20" s="76">
        <v>8.3333333333333329E-2</v>
      </c>
      <c r="J20">
        <v>35.96</v>
      </c>
      <c r="K20" s="1"/>
      <c r="L20" s="1"/>
      <c r="M20" s="74">
        <v>37622</v>
      </c>
      <c r="N20" s="77">
        <v>8.3333333333333329E-2</v>
      </c>
      <c r="P20">
        <v>44.6</v>
      </c>
      <c r="S20" s="74">
        <v>36161</v>
      </c>
      <c r="T20" s="77">
        <v>8.3333333333333329E-2</v>
      </c>
      <c r="V20">
        <v>24.08</v>
      </c>
      <c r="X20" s="42"/>
      <c r="AB20">
        <v>33.9</v>
      </c>
      <c r="AC20">
        <v>24.98</v>
      </c>
      <c r="AE20" s="74"/>
      <c r="AF20" s="77"/>
      <c r="AH20" s="497">
        <v>33.799999999999997</v>
      </c>
      <c r="AJ20" s="42"/>
      <c r="AK20" s="74"/>
      <c r="AL20" s="77"/>
      <c r="AN20" s="497">
        <v>30.92</v>
      </c>
      <c r="AP20" s="42"/>
      <c r="AQ20" s="74"/>
      <c r="AR20" s="77"/>
      <c r="AT20" s="497">
        <v>32</v>
      </c>
      <c r="AV20" s="42"/>
      <c r="AW20" s="74"/>
      <c r="AX20" s="77"/>
      <c r="BA20" s="497">
        <v>30.38</v>
      </c>
      <c r="BB20" s="42"/>
      <c r="BC20" s="74"/>
      <c r="BD20" s="77"/>
      <c r="BF20">
        <v>30.92</v>
      </c>
      <c r="BH20" s="42"/>
      <c r="BI20" s="74"/>
      <c r="BJ20" s="77"/>
      <c r="BL20" s="497">
        <v>28.4</v>
      </c>
      <c r="BN20" s="42"/>
      <c r="BO20" s="74"/>
      <c r="BP20" s="77"/>
      <c r="BR20" s="497">
        <v>30.02</v>
      </c>
      <c r="BT20" s="42"/>
      <c r="BX20" s="47"/>
      <c r="BZ20" s="10">
        <v>96</v>
      </c>
      <c r="CA20">
        <v>97</v>
      </c>
      <c r="CB20" s="11">
        <v>98</v>
      </c>
      <c r="CC20" s="10">
        <f t="shared" si="5"/>
        <v>0</v>
      </c>
      <c r="CD20" s="11">
        <f t="shared" si="6"/>
        <v>0</v>
      </c>
      <c r="CE20" s="10">
        <f t="shared" si="7"/>
        <v>0</v>
      </c>
      <c r="CF20" s="11">
        <f t="shared" si="8"/>
        <v>0</v>
      </c>
      <c r="CG20" s="10">
        <f t="shared" si="9"/>
        <v>0</v>
      </c>
      <c r="CH20" s="11">
        <f t="shared" si="10"/>
        <v>0</v>
      </c>
      <c r="CI20" s="10">
        <f t="shared" si="11"/>
        <v>0</v>
      </c>
      <c r="CJ20" s="11">
        <f t="shared" si="12"/>
        <v>0</v>
      </c>
      <c r="CK20" s="10">
        <f t="shared" si="13"/>
        <v>0</v>
      </c>
      <c r="CL20" s="11">
        <f t="shared" si="14"/>
        <v>0</v>
      </c>
      <c r="CM20" s="10">
        <f t="shared" si="15"/>
        <v>0</v>
      </c>
      <c r="CN20" s="11">
        <f t="shared" si="16"/>
        <v>0</v>
      </c>
      <c r="CO20" s="10">
        <f t="shared" si="17"/>
        <v>0</v>
      </c>
      <c r="CP20" s="11">
        <f t="shared" si="18"/>
        <v>0</v>
      </c>
      <c r="CQ20" s="10">
        <f t="shared" si="19"/>
        <v>0</v>
      </c>
      <c r="CR20" s="11">
        <f t="shared" si="20"/>
        <v>0</v>
      </c>
      <c r="CS20" s="10">
        <f t="shared" si="21"/>
        <v>0</v>
      </c>
      <c r="CT20" s="11">
        <f t="shared" si="22"/>
        <v>0</v>
      </c>
      <c r="CU20" s="10">
        <f t="shared" si="23"/>
        <v>0</v>
      </c>
      <c r="CV20" s="11">
        <f t="shared" si="24"/>
        <v>0</v>
      </c>
      <c r="CW20" s="10">
        <f t="shared" si="25"/>
        <v>0</v>
      </c>
      <c r="CX20" s="11">
        <f t="shared" si="26"/>
        <v>0</v>
      </c>
      <c r="CY20" s="10">
        <f t="shared" si="27"/>
        <v>0</v>
      </c>
      <c r="CZ20" s="11">
        <f t="shared" si="28"/>
        <v>0</v>
      </c>
      <c r="DD20" s="79">
        <v>8.3333333333333301E-2</v>
      </c>
      <c r="DE20" s="16" t="e">
        <f>VLOOKUP($DD20,'Building Profiles'!$E$4:$AR$27,VLOOKUP(Inputs!$C$8,'Building Profiles'!$A$2:$B$14,2,FALSE)*3-1, FALSE)</f>
        <v>#N/A</v>
      </c>
      <c r="DF20" s="16" t="e">
        <f>VLOOKUP($DD20,'Building Profiles'!$E$4:$AR$27,VLOOKUP(Inputs!$C$8,'Building Profiles'!$A$2:$B$14,2,FALSE)*3, FALSE)</f>
        <v>#N/A</v>
      </c>
      <c r="DG20" s="19" t="e">
        <f>VLOOKUP($DD20,'Building Profiles'!$E$4:$AR$27,VLOOKUP(Inputs!$C$8,'Building Profiles'!$A$2:$B$14,2,FALSE)*3+1, FALSE)</f>
        <v>#N/A</v>
      </c>
      <c r="DI20">
        <v>4</v>
      </c>
      <c r="DK20" s="18">
        <f t="shared" si="29"/>
        <v>97</v>
      </c>
      <c r="DL20" s="18">
        <f t="shared" si="30"/>
        <v>0</v>
      </c>
    </row>
    <row r="21" spans="1:116" ht="15.75" thickBot="1" x14ac:dyDescent="0.3">
      <c r="A21" s="90">
        <v>36161</v>
      </c>
      <c r="B21" s="20">
        <v>0.125</v>
      </c>
      <c r="D21">
        <v>28.04</v>
      </c>
      <c r="E21" t="str">
        <f t="shared" si="31"/>
        <v>WEEKDAY</v>
      </c>
      <c r="F21" t="e">
        <f t="shared" si="32"/>
        <v>#N/A</v>
      </c>
      <c r="G21" s="74">
        <v>27760</v>
      </c>
      <c r="H21" s="77">
        <v>0.125</v>
      </c>
      <c r="J21">
        <v>35.06</v>
      </c>
      <c r="M21" s="74">
        <v>37622</v>
      </c>
      <c r="N21" s="77">
        <v>0.125</v>
      </c>
      <c r="P21">
        <v>44.6</v>
      </c>
      <c r="S21" s="74">
        <v>36161</v>
      </c>
      <c r="T21" s="77">
        <v>0.125</v>
      </c>
      <c r="V21">
        <v>24.98</v>
      </c>
      <c r="X21" s="42"/>
      <c r="AB21">
        <v>33.700000000000003</v>
      </c>
      <c r="AC21">
        <v>24.98</v>
      </c>
      <c r="AE21" s="74"/>
      <c r="AF21" s="77"/>
      <c r="AH21" s="497">
        <v>37.4</v>
      </c>
      <c r="AJ21" s="42"/>
      <c r="AK21" s="74"/>
      <c r="AL21" s="77"/>
      <c r="AN21" s="497">
        <v>28.94</v>
      </c>
      <c r="AP21" s="42"/>
      <c r="AQ21" s="74"/>
      <c r="AR21" s="77"/>
      <c r="AT21" s="497">
        <v>30.92</v>
      </c>
      <c r="AV21" s="42"/>
      <c r="AW21" s="74"/>
      <c r="AX21" s="77"/>
      <c r="BA21" s="497">
        <v>30.56</v>
      </c>
      <c r="BB21" s="42"/>
      <c r="BC21" s="74"/>
      <c r="BD21" s="77"/>
      <c r="BF21">
        <v>30.02</v>
      </c>
      <c r="BH21" s="42"/>
      <c r="BI21" s="74"/>
      <c r="BJ21" s="77"/>
      <c r="BL21" s="497">
        <v>28.58</v>
      </c>
      <c r="BN21" s="42"/>
      <c r="BO21" s="74"/>
      <c r="BP21" s="77"/>
      <c r="BR21" s="497">
        <v>30.02</v>
      </c>
      <c r="BT21" s="42"/>
      <c r="BX21" s="47"/>
      <c r="BZ21" s="10">
        <f t="shared" ref="BZ21:BZ80" si="33">CA21-1</f>
        <v>94</v>
      </c>
      <c r="CA21">
        <v>95</v>
      </c>
      <c r="CB21" s="11">
        <v>96</v>
      </c>
      <c r="CC21" s="10">
        <f t="shared" si="5"/>
        <v>0</v>
      </c>
      <c r="CD21" s="11">
        <f t="shared" si="6"/>
        <v>0</v>
      </c>
      <c r="CE21" s="10">
        <f t="shared" si="7"/>
        <v>0</v>
      </c>
      <c r="CF21" s="11">
        <f t="shared" si="8"/>
        <v>0</v>
      </c>
      <c r="CG21" s="10">
        <f t="shared" si="9"/>
        <v>0</v>
      </c>
      <c r="CH21" s="11">
        <f t="shared" si="10"/>
        <v>0</v>
      </c>
      <c r="CI21" s="10">
        <f t="shared" si="11"/>
        <v>0</v>
      </c>
      <c r="CJ21" s="11">
        <f t="shared" si="12"/>
        <v>0</v>
      </c>
      <c r="CK21" s="10">
        <f t="shared" si="13"/>
        <v>0</v>
      </c>
      <c r="CL21" s="11">
        <f t="shared" si="14"/>
        <v>0</v>
      </c>
      <c r="CM21" s="10">
        <f t="shared" si="15"/>
        <v>0</v>
      </c>
      <c r="CN21" s="11">
        <f t="shared" si="16"/>
        <v>0</v>
      </c>
      <c r="CO21" s="10">
        <f t="shared" si="17"/>
        <v>0</v>
      </c>
      <c r="CP21" s="11">
        <f t="shared" si="18"/>
        <v>0</v>
      </c>
      <c r="CQ21" s="10">
        <f t="shared" si="19"/>
        <v>0</v>
      </c>
      <c r="CR21" s="11">
        <f t="shared" si="20"/>
        <v>0</v>
      </c>
      <c r="CS21" s="10">
        <f t="shared" si="21"/>
        <v>0</v>
      </c>
      <c r="CT21" s="11">
        <f t="shared" si="22"/>
        <v>0</v>
      </c>
      <c r="CU21" s="10">
        <f t="shared" si="23"/>
        <v>0</v>
      </c>
      <c r="CV21" s="11">
        <f t="shared" si="24"/>
        <v>0</v>
      </c>
      <c r="CW21" s="10">
        <f t="shared" si="25"/>
        <v>0</v>
      </c>
      <c r="CX21" s="11">
        <f t="shared" si="26"/>
        <v>0</v>
      </c>
      <c r="CY21" s="10">
        <f t="shared" si="27"/>
        <v>0</v>
      </c>
      <c r="CZ21" s="11">
        <f t="shared" si="28"/>
        <v>0</v>
      </c>
      <c r="DD21" s="79">
        <v>0.125</v>
      </c>
      <c r="DE21" s="16" t="e">
        <f>VLOOKUP($DD21,'Building Profiles'!$E$4:$AR$27,VLOOKUP(Inputs!$C$8,'Building Profiles'!$A$2:$B$14,2,FALSE)*3-1, FALSE)</f>
        <v>#N/A</v>
      </c>
      <c r="DF21" s="16" t="e">
        <f>VLOOKUP($DD21,'Building Profiles'!$E$4:$AR$27,VLOOKUP(Inputs!$C$8,'Building Profiles'!$A$2:$B$14,2,FALSE)*3, FALSE)</f>
        <v>#N/A</v>
      </c>
      <c r="DG21" s="19" t="e">
        <f>VLOOKUP($DD21,'Building Profiles'!$E$4:$AR$27,VLOOKUP(Inputs!$C$8,'Building Profiles'!$A$2:$B$14,2,FALSE)*3+1, FALSE)</f>
        <v>#N/A</v>
      </c>
      <c r="DI21">
        <v>5</v>
      </c>
      <c r="DK21" s="18">
        <f t="shared" si="29"/>
        <v>95</v>
      </c>
      <c r="DL21" s="18">
        <f t="shared" si="30"/>
        <v>0</v>
      </c>
    </row>
    <row r="22" spans="1:116" ht="15.75" thickBot="1" x14ac:dyDescent="0.3">
      <c r="A22" s="90">
        <v>36161</v>
      </c>
      <c r="B22" s="20">
        <v>0.16666666666666666</v>
      </c>
      <c r="D22">
        <v>26.96</v>
      </c>
      <c r="E22" t="str">
        <f t="shared" si="31"/>
        <v>WEEKDAY</v>
      </c>
      <c r="F22" t="e">
        <f t="shared" si="32"/>
        <v>#N/A</v>
      </c>
      <c r="G22" s="74">
        <v>27760</v>
      </c>
      <c r="H22" s="77">
        <v>0.16666666666666666</v>
      </c>
      <c r="J22">
        <v>33.979999999999997</v>
      </c>
      <c r="M22" s="74">
        <v>37622</v>
      </c>
      <c r="N22" s="77">
        <v>0.16666666666666666</v>
      </c>
      <c r="P22">
        <v>43.7</v>
      </c>
      <c r="S22" s="74">
        <v>36161</v>
      </c>
      <c r="T22" s="77">
        <v>0.16666666666666666</v>
      </c>
      <c r="V22">
        <v>26.060000000000002</v>
      </c>
      <c r="X22" s="42"/>
      <c r="AB22">
        <v>33.5</v>
      </c>
      <c r="AC22">
        <v>24.08</v>
      </c>
      <c r="AE22" s="74"/>
      <c r="AF22" s="77"/>
      <c r="AH22" s="497">
        <v>39.200000000000003</v>
      </c>
      <c r="AJ22" s="42"/>
      <c r="AK22" s="74"/>
      <c r="AL22" s="77"/>
      <c r="AN22" s="497">
        <v>28.04</v>
      </c>
      <c r="AP22" s="42"/>
      <c r="AQ22" s="74"/>
      <c r="AR22" s="77"/>
      <c r="AT22" s="497">
        <v>30.02</v>
      </c>
      <c r="AV22" s="42"/>
      <c r="AW22" s="74"/>
      <c r="AX22" s="77"/>
      <c r="BA22" s="497">
        <v>30.92</v>
      </c>
      <c r="BB22" s="42"/>
      <c r="BC22" s="74"/>
      <c r="BD22" s="77"/>
      <c r="BF22">
        <v>30.02</v>
      </c>
      <c r="BH22" s="42"/>
      <c r="BI22" s="74"/>
      <c r="BJ22" s="77"/>
      <c r="BL22" s="497">
        <v>28.94</v>
      </c>
      <c r="BN22" s="42"/>
      <c r="BO22" s="74"/>
      <c r="BP22" s="77"/>
      <c r="BR22" s="497">
        <v>26.96</v>
      </c>
      <c r="BT22" s="42"/>
      <c r="BX22" s="47"/>
      <c r="BZ22" s="10">
        <f t="shared" si="33"/>
        <v>92</v>
      </c>
      <c r="CA22">
        <v>93</v>
      </c>
      <c r="CB22" s="11">
        <f t="shared" ref="CB22:CB80" si="34">CA22+1</f>
        <v>94</v>
      </c>
      <c r="CC22" s="10">
        <f t="shared" si="5"/>
        <v>0</v>
      </c>
      <c r="CD22" s="11">
        <f t="shared" si="6"/>
        <v>0</v>
      </c>
      <c r="CE22" s="10">
        <f t="shared" si="7"/>
        <v>0</v>
      </c>
      <c r="CF22" s="11">
        <f t="shared" si="8"/>
        <v>0</v>
      </c>
      <c r="CG22" s="10">
        <f t="shared" si="9"/>
        <v>0</v>
      </c>
      <c r="CH22" s="11">
        <f t="shared" si="10"/>
        <v>0</v>
      </c>
      <c r="CI22" s="10">
        <f t="shared" si="11"/>
        <v>0</v>
      </c>
      <c r="CJ22" s="11">
        <f t="shared" si="12"/>
        <v>0</v>
      </c>
      <c r="CK22" s="10">
        <f t="shared" si="13"/>
        <v>0</v>
      </c>
      <c r="CL22" s="11">
        <f t="shared" si="14"/>
        <v>0</v>
      </c>
      <c r="CM22" s="10">
        <f t="shared" si="15"/>
        <v>0</v>
      </c>
      <c r="CN22" s="11">
        <f t="shared" si="16"/>
        <v>0</v>
      </c>
      <c r="CO22" s="10">
        <f t="shared" si="17"/>
        <v>0</v>
      </c>
      <c r="CP22" s="11">
        <f t="shared" si="18"/>
        <v>0</v>
      </c>
      <c r="CQ22" s="10">
        <f t="shared" si="19"/>
        <v>0</v>
      </c>
      <c r="CR22" s="11">
        <f t="shared" si="20"/>
        <v>0</v>
      </c>
      <c r="CS22" s="10">
        <f t="shared" si="21"/>
        <v>0</v>
      </c>
      <c r="CT22" s="11">
        <f t="shared" si="22"/>
        <v>0</v>
      </c>
      <c r="CU22" s="10">
        <f t="shared" si="23"/>
        <v>0</v>
      </c>
      <c r="CV22" s="11">
        <f t="shared" si="24"/>
        <v>0</v>
      </c>
      <c r="CW22" s="10">
        <f t="shared" si="25"/>
        <v>0</v>
      </c>
      <c r="CX22" s="11">
        <f t="shared" si="26"/>
        <v>0</v>
      </c>
      <c r="CY22" s="10">
        <f t="shared" si="27"/>
        <v>0</v>
      </c>
      <c r="CZ22" s="11">
        <f t="shared" si="28"/>
        <v>0</v>
      </c>
      <c r="DD22" s="79">
        <v>0.16666666666666699</v>
      </c>
      <c r="DE22" s="16" t="e">
        <f>VLOOKUP($DD22,'Building Profiles'!$E$4:$AR$27,VLOOKUP(Inputs!$C$8,'Building Profiles'!$A$2:$B$14,2,FALSE)*3-1, FALSE)</f>
        <v>#N/A</v>
      </c>
      <c r="DF22" s="16" t="e">
        <f>VLOOKUP($DD22,'Building Profiles'!$E$4:$AR$27,VLOOKUP(Inputs!$C$8,'Building Profiles'!$A$2:$B$14,2,FALSE)*3, FALSE)</f>
        <v>#N/A</v>
      </c>
      <c r="DG22" s="19" t="e">
        <f>VLOOKUP($DD22,'Building Profiles'!$E$4:$AR$27,VLOOKUP(Inputs!$C$8,'Building Profiles'!$A$2:$B$14,2,FALSE)*3+1, FALSE)</f>
        <v>#N/A</v>
      </c>
      <c r="DI22">
        <v>6</v>
      </c>
      <c r="DK22" s="18">
        <f t="shared" si="29"/>
        <v>93</v>
      </c>
      <c r="DL22" s="18">
        <f t="shared" si="30"/>
        <v>0</v>
      </c>
    </row>
    <row r="23" spans="1:116" ht="15.75" thickBot="1" x14ac:dyDescent="0.3">
      <c r="A23" s="90">
        <v>36161</v>
      </c>
      <c r="B23" s="20">
        <v>0.20833333333333334</v>
      </c>
      <c r="D23">
        <v>26.96</v>
      </c>
      <c r="E23" t="str">
        <f t="shared" si="31"/>
        <v>WEEKDAY</v>
      </c>
      <c r="F23" t="e">
        <f t="shared" si="32"/>
        <v>#N/A</v>
      </c>
      <c r="G23" s="74">
        <v>27760</v>
      </c>
      <c r="H23" s="77">
        <v>0.20833333333333334</v>
      </c>
      <c r="J23">
        <v>33.979999999999997</v>
      </c>
      <c r="M23" s="74">
        <v>37622</v>
      </c>
      <c r="N23" s="77">
        <v>0.20833333333333334</v>
      </c>
      <c r="P23">
        <v>42.8</v>
      </c>
      <c r="S23" s="74">
        <v>36161</v>
      </c>
      <c r="T23" s="77">
        <v>0.20833333333333334</v>
      </c>
      <c r="V23">
        <v>26.060000000000002</v>
      </c>
      <c r="X23" s="42"/>
      <c r="AB23">
        <v>33.200000000000003</v>
      </c>
      <c r="AC23">
        <v>24.08</v>
      </c>
      <c r="AE23" s="74"/>
      <c r="AF23" s="77"/>
      <c r="AH23" s="497">
        <v>33.799999999999997</v>
      </c>
      <c r="AJ23" s="42"/>
      <c r="AK23" s="74"/>
      <c r="AL23" s="77"/>
      <c r="AN23" s="497">
        <v>26.96</v>
      </c>
      <c r="AP23" s="42"/>
      <c r="AQ23" s="74"/>
      <c r="AR23" s="77"/>
      <c r="AT23" s="497">
        <v>28.04</v>
      </c>
      <c r="AV23" s="42"/>
      <c r="AW23" s="74"/>
      <c r="AX23" s="77"/>
      <c r="BA23" s="497">
        <v>31.28</v>
      </c>
      <c r="BB23" s="42"/>
      <c r="BC23" s="74"/>
      <c r="BD23" s="77"/>
      <c r="BF23">
        <v>30.02</v>
      </c>
      <c r="BH23" s="42"/>
      <c r="BI23" s="74"/>
      <c r="BJ23" s="77"/>
      <c r="BL23" s="497">
        <v>28.94</v>
      </c>
      <c r="BN23" s="42"/>
      <c r="BO23" s="74"/>
      <c r="BP23" s="77"/>
      <c r="BR23" s="497">
        <v>24.98</v>
      </c>
      <c r="BT23" s="42"/>
      <c r="BX23" s="47"/>
      <c r="BZ23" s="10">
        <f t="shared" si="33"/>
        <v>90</v>
      </c>
      <c r="CA23">
        <v>91</v>
      </c>
      <c r="CB23" s="11">
        <f t="shared" si="34"/>
        <v>92</v>
      </c>
      <c r="CC23" s="10">
        <f t="shared" si="5"/>
        <v>0</v>
      </c>
      <c r="CD23" s="11">
        <f t="shared" si="6"/>
        <v>0</v>
      </c>
      <c r="CE23" s="10">
        <f t="shared" si="7"/>
        <v>0</v>
      </c>
      <c r="CF23" s="11">
        <f t="shared" si="8"/>
        <v>0</v>
      </c>
      <c r="CG23" s="10">
        <f t="shared" si="9"/>
        <v>0</v>
      </c>
      <c r="CH23" s="11">
        <f t="shared" si="10"/>
        <v>0</v>
      </c>
      <c r="CI23" s="10">
        <f t="shared" si="11"/>
        <v>0</v>
      </c>
      <c r="CJ23" s="11">
        <f t="shared" si="12"/>
        <v>0</v>
      </c>
      <c r="CK23" s="10">
        <f t="shared" si="13"/>
        <v>0</v>
      </c>
      <c r="CL23" s="11">
        <f t="shared" si="14"/>
        <v>0</v>
      </c>
      <c r="CM23" s="10">
        <f t="shared" si="15"/>
        <v>0</v>
      </c>
      <c r="CN23" s="11">
        <f t="shared" si="16"/>
        <v>0</v>
      </c>
      <c r="CO23" s="10">
        <f t="shared" si="17"/>
        <v>0</v>
      </c>
      <c r="CP23" s="11">
        <f t="shared" si="18"/>
        <v>0</v>
      </c>
      <c r="CQ23" s="10">
        <f t="shared" si="19"/>
        <v>0</v>
      </c>
      <c r="CR23" s="11">
        <f t="shared" si="20"/>
        <v>0</v>
      </c>
      <c r="CS23" s="10">
        <f t="shared" si="21"/>
        <v>0</v>
      </c>
      <c r="CT23" s="11">
        <f t="shared" si="22"/>
        <v>0</v>
      </c>
      <c r="CU23" s="10">
        <f t="shared" si="23"/>
        <v>0</v>
      </c>
      <c r="CV23" s="11">
        <f t="shared" si="24"/>
        <v>0</v>
      </c>
      <c r="CW23" s="10">
        <f t="shared" si="25"/>
        <v>0</v>
      </c>
      <c r="CX23" s="11">
        <f t="shared" si="26"/>
        <v>0</v>
      </c>
      <c r="CY23" s="10">
        <f t="shared" si="27"/>
        <v>0</v>
      </c>
      <c r="CZ23" s="11">
        <f t="shared" si="28"/>
        <v>0</v>
      </c>
      <c r="DD23" s="79">
        <v>0.20833333333333401</v>
      </c>
      <c r="DE23" s="16" t="e">
        <f>VLOOKUP($DD23,'Building Profiles'!$E$4:$AR$27,VLOOKUP(Inputs!$C$8,'Building Profiles'!$A$2:$B$14,2,FALSE)*3-1, FALSE)</f>
        <v>#N/A</v>
      </c>
      <c r="DF23" s="16" t="e">
        <f>VLOOKUP($DD23,'Building Profiles'!$E$4:$AR$27,VLOOKUP(Inputs!$C$8,'Building Profiles'!$A$2:$B$14,2,FALSE)*3, FALSE)</f>
        <v>#N/A</v>
      </c>
      <c r="DG23" s="19" t="e">
        <f>VLOOKUP($DD23,'Building Profiles'!$E$4:$AR$27,VLOOKUP(Inputs!$C$8,'Building Profiles'!$A$2:$B$14,2,FALSE)*3+1, FALSE)</f>
        <v>#N/A</v>
      </c>
      <c r="DK23" s="18">
        <f t="shared" si="29"/>
        <v>91</v>
      </c>
      <c r="DL23" s="18">
        <f t="shared" si="30"/>
        <v>0</v>
      </c>
    </row>
    <row r="24" spans="1:116" ht="15.75" thickBot="1" x14ac:dyDescent="0.3">
      <c r="A24" s="90">
        <v>36161</v>
      </c>
      <c r="B24" s="20">
        <v>0.25</v>
      </c>
      <c r="D24">
        <v>26.060000000000002</v>
      </c>
      <c r="E24" t="str">
        <f t="shared" si="31"/>
        <v>WEEKDAY</v>
      </c>
      <c r="F24" t="e">
        <f t="shared" si="32"/>
        <v>#N/A</v>
      </c>
      <c r="G24" s="74">
        <v>27760</v>
      </c>
      <c r="H24" s="77">
        <v>0.25</v>
      </c>
      <c r="J24">
        <v>33.08</v>
      </c>
      <c r="M24" s="74">
        <v>37622</v>
      </c>
      <c r="N24" s="77">
        <v>0.25</v>
      </c>
      <c r="P24">
        <v>42.8</v>
      </c>
      <c r="S24" s="74">
        <v>36161</v>
      </c>
      <c r="T24" s="77">
        <v>0.25</v>
      </c>
      <c r="V24">
        <v>24.98</v>
      </c>
      <c r="X24" s="42"/>
      <c r="AB24">
        <v>33.1</v>
      </c>
      <c r="AC24">
        <v>32</v>
      </c>
      <c r="AE24" s="74"/>
      <c r="AF24" s="77"/>
      <c r="AH24" s="497">
        <v>46.4</v>
      </c>
      <c r="AJ24" s="42"/>
      <c r="AK24" s="74"/>
      <c r="AL24" s="77"/>
      <c r="AN24" s="497">
        <v>26.060000000000002</v>
      </c>
      <c r="AP24" s="42"/>
      <c r="AQ24" s="74"/>
      <c r="AR24" s="77"/>
      <c r="AT24" s="497">
        <v>28.04</v>
      </c>
      <c r="AV24" s="42"/>
      <c r="AW24" s="74"/>
      <c r="AX24" s="77"/>
      <c r="BA24" s="497">
        <v>31.64</v>
      </c>
      <c r="BB24" s="42"/>
      <c r="BC24" s="74"/>
      <c r="BD24" s="77"/>
      <c r="BF24">
        <v>30.92</v>
      </c>
      <c r="BH24" s="42"/>
      <c r="BI24" s="74"/>
      <c r="BJ24" s="77"/>
      <c r="BL24" s="497">
        <v>28.94</v>
      </c>
      <c r="BN24" s="42"/>
      <c r="BO24" s="74"/>
      <c r="BP24" s="77"/>
      <c r="BR24" s="497">
        <v>24.08</v>
      </c>
      <c r="BT24" s="42"/>
      <c r="BX24" s="47"/>
      <c r="BZ24" s="10">
        <f t="shared" si="33"/>
        <v>88</v>
      </c>
      <c r="CA24">
        <v>89</v>
      </c>
      <c r="CB24" s="11">
        <f t="shared" si="34"/>
        <v>90</v>
      </c>
      <c r="CC24" s="10">
        <f t="shared" si="5"/>
        <v>0</v>
      </c>
      <c r="CD24" s="11">
        <f t="shared" si="6"/>
        <v>0</v>
      </c>
      <c r="CE24" s="10">
        <f t="shared" si="7"/>
        <v>0</v>
      </c>
      <c r="CF24" s="11">
        <f t="shared" si="8"/>
        <v>0</v>
      </c>
      <c r="CG24" s="10">
        <f t="shared" si="9"/>
        <v>0</v>
      </c>
      <c r="CH24" s="11">
        <f t="shared" si="10"/>
        <v>0</v>
      </c>
      <c r="CI24" s="10">
        <f t="shared" si="11"/>
        <v>0</v>
      </c>
      <c r="CJ24" s="11">
        <f t="shared" si="12"/>
        <v>0</v>
      </c>
      <c r="CK24" s="10">
        <f t="shared" si="13"/>
        <v>0</v>
      </c>
      <c r="CL24" s="11">
        <f t="shared" si="14"/>
        <v>0</v>
      </c>
      <c r="CM24" s="10">
        <f t="shared" si="15"/>
        <v>0</v>
      </c>
      <c r="CN24" s="11">
        <f t="shared" si="16"/>
        <v>0</v>
      </c>
      <c r="CO24" s="10">
        <f t="shared" si="17"/>
        <v>0</v>
      </c>
      <c r="CP24" s="11">
        <f t="shared" si="18"/>
        <v>0</v>
      </c>
      <c r="CQ24" s="10">
        <f t="shared" si="19"/>
        <v>0</v>
      </c>
      <c r="CR24" s="11">
        <f t="shared" si="20"/>
        <v>0</v>
      </c>
      <c r="CS24" s="10">
        <f t="shared" si="21"/>
        <v>0</v>
      </c>
      <c r="CT24" s="11">
        <f t="shared" si="22"/>
        <v>0</v>
      </c>
      <c r="CU24" s="10">
        <f t="shared" si="23"/>
        <v>0</v>
      </c>
      <c r="CV24" s="11">
        <f t="shared" si="24"/>
        <v>0</v>
      </c>
      <c r="CW24" s="10">
        <f t="shared" si="25"/>
        <v>0</v>
      </c>
      <c r="CX24" s="11">
        <f t="shared" si="26"/>
        <v>0</v>
      </c>
      <c r="CY24" s="10">
        <f t="shared" si="27"/>
        <v>0</v>
      </c>
      <c r="CZ24" s="11">
        <f t="shared" si="28"/>
        <v>0</v>
      </c>
      <c r="DD24" s="79">
        <v>0.25</v>
      </c>
      <c r="DE24" s="16" t="e">
        <f>VLOOKUP($DD24,'Building Profiles'!$E$4:$AR$27,VLOOKUP(Inputs!$C$8,'Building Profiles'!$A$2:$B$14,2,FALSE)*3-1, FALSE)</f>
        <v>#N/A</v>
      </c>
      <c r="DF24" s="16" t="e">
        <f>VLOOKUP($DD24,'Building Profiles'!$E$4:$AR$27,VLOOKUP(Inputs!$C$8,'Building Profiles'!$A$2:$B$14,2,FALSE)*3, FALSE)</f>
        <v>#N/A</v>
      </c>
      <c r="DG24" s="19" t="e">
        <f>VLOOKUP($DD24,'Building Profiles'!$E$4:$AR$27,VLOOKUP(Inputs!$C$8,'Building Profiles'!$A$2:$B$14,2,FALSE)*3+1, FALSE)</f>
        <v>#N/A</v>
      </c>
      <c r="DK24" s="18">
        <f t="shared" si="29"/>
        <v>89</v>
      </c>
      <c r="DL24" s="18">
        <f t="shared" si="30"/>
        <v>0</v>
      </c>
    </row>
    <row r="25" spans="1:116" ht="15.75" thickBot="1" x14ac:dyDescent="0.3">
      <c r="A25" s="90">
        <v>36161</v>
      </c>
      <c r="B25" s="20">
        <v>0.29166666666666669</v>
      </c>
      <c r="D25">
        <v>26.96</v>
      </c>
      <c r="E25" t="str">
        <f t="shared" si="31"/>
        <v>WEEKDAY</v>
      </c>
      <c r="F25" t="e">
        <f t="shared" si="32"/>
        <v>#N/A</v>
      </c>
      <c r="G25" s="74">
        <v>27760</v>
      </c>
      <c r="H25" s="77">
        <v>0.29166666666666669</v>
      </c>
      <c r="J25">
        <v>33.979999999999997</v>
      </c>
      <c r="M25" s="74">
        <v>37622</v>
      </c>
      <c r="N25" s="77">
        <v>0.29166666666666669</v>
      </c>
      <c r="P25">
        <v>39.200000000000003</v>
      </c>
      <c r="S25" s="74">
        <v>36161</v>
      </c>
      <c r="T25" s="77">
        <v>0.29166666666666669</v>
      </c>
      <c r="V25">
        <v>24.08</v>
      </c>
      <c r="X25" s="42"/>
      <c r="AB25">
        <v>33</v>
      </c>
      <c r="AC25">
        <v>33.08</v>
      </c>
      <c r="AE25" s="74"/>
      <c r="AF25" s="77"/>
      <c r="AH25" s="497">
        <v>35.6</v>
      </c>
      <c r="AJ25" s="42"/>
      <c r="AK25" s="74"/>
      <c r="AL25" s="77"/>
      <c r="AN25" s="497">
        <v>24.08</v>
      </c>
      <c r="AP25" s="42"/>
      <c r="AQ25" s="74"/>
      <c r="AR25" s="77"/>
      <c r="AT25" s="497">
        <v>26.96</v>
      </c>
      <c r="AV25" s="42"/>
      <c r="AW25" s="74"/>
      <c r="AX25" s="77"/>
      <c r="BA25" s="497">
        <v>32</v>
      </c>
      <c r="BB25" s="42"/>
      <c r="BC25" s="74"/>
      <c r="BD25" s="77"/>
      <c r="BF25">
        <v>30.92</v>
      </c>
      <c r="BH25" s="42"/>
      <c r="BI25" s="74"/>
      <c r="BJ25" s="77"/>
      <c r="BL25" s="497">
        <v>28.94</v>
      </c>
      <c r="BN25" s="42"/>
      <c r="BO25" s="74"/>
      <c r="BP25" s="77"/>
      <c r="BR25" s="497">
        <v>24.08</v>
      </c>
      <c r="BT25" s="42"/>
      <c r="BX25" s="47"/>
      <c r="BZ25" s="10">
        <f t="shared" si="33"/>
        <v>86</v>
      </c>
      <c r="CA25">
        <v>87</v>
      </c>
      <c r="CB25" s="11">
        <f t="shared" si="34"/>
        <v>88</v>
      </c>
      <c r="CC25" s="10">
        <f t="shared" si="5"/>
        <v>0</v>
      </c>
      <c r="CD25" s="11">
        <f t="shared" si="6"/>
        <v>0</v>
      </c>
      <c r="CE25" s="10">
        <f t="shared" si="7"/>
        <v>0</v>
      </c>
      <c r="CF25" s="11">
        <f t="shared" si="8"/>
        <v>0</v>
      </c>
      <c r="CG25" s="10">
        <f t="shared" si="9"/>
        <v>0</v>
      </c>
      <c r="CH25" s="11">
        <f t="shared" si="10"/>
        <v>0</v>
      </c>
      <c r="CI25" s="10">
        <f t="shared" si="11"/>
        <v>0</v>
      </c>
      <c r="CJ25" s="11">
        <f t="shared" si="12"/>
        <v>0</v>
      </c>
      <c r="CK25" s="10">
        <f t="shared" si="13"/>
        <v>0</v>
      </c>
      <c r="CL25" s="11">
        <f t="shared" si="14"/>
        <v>0</v>
      </c>
      <c r="CM25" s="10">
        <f t="shared" si="15"/>
        <v>0</v>
      </c>
      <c r="CN25" s="11">
        <f t="shared" si="16"/>
        <v>0</v>
      </c>
      <c r="CO25" s="10">
        <f t="shared" si="17"/>
        <v>0</v>
      </c>
      <c r="CP25" s="11">
        <f t="shared" si="18"/>
        <v>0</v>
      </c>
      <c r="CQ25" s="10">
        <f t="shared" si="19"/>
        <v>0</v>
      </c>
      <c r="CR25" s="11">
        <f t="shared" si="20"/>
        <v>0</v>
      </c>
      <c r="CS25" s="10">
        <f t="shared" si="21"/>
        <v>0</v>
      </c>
      <c r="CT25" s="11">
        <f t="shared" si="22"/>
        <v>0</v>
      </c>
      <c r="CU25" s="10">
        <f t="shared" si="23"/>
        <v>0</v>
      </c>
      <c r="CV25" s="11">
        <f t="shared" si="24"/>
        <v>0</v>
      </c>
      <c r="CW25" s="10">
        <f t="shared" si="25"/>
        <v>0</v>
      </c>
      <c r="CX25" s="11">
        <f t="shared" si="26"/>
        <v>0</v>
      </c>
      <c r="CY25" s="10">
        <f t="shared" si="27"/>
        <v>0</v>
      </c>
      <c r="CZ25" s="11">
        <f t="shared" si="28"/>
        <v>0</v>
      </c>
      <c r="DD25" s="79">
        <v>0.29166666666666702</v>
      </c>
      <c r="DE25" s="16" t="e">
        <f>VLOOKUP($DD25,'Building Profiles'!$E$4:$AR$27,VLOOKUP(Inputs!$C$8,'Building Profiles'!$A$2:$B$14,2,FALSE)*3-1, FALSE)</f>
        <v>#N/A</v>
      </c>
      <c r="DF25" s="16" t="e">
        <f>VLOOKUP($DD25,'Building Profiles'!$E$4:$AR$27,VLOOKUP(Inputs!$C$8,'Building Profiles'!$A$2:$B$14,2,FALSE)*3, FALSE)</f>
        <v>#N/A</v>
      </c>
      <c r="DG25" s="19" t="e">
        <f>VLOOKUP($DD25,'Building Profiles'!$E$4:$AR$27,VLOOKUP(Inputs!$C$8,'Building Profiles'!$A$2:$B$14,2,FALSE)*3+1, FALSE)</f>
        <v>#N/A</v>
      </c>
      <c r="DK25" s="18">
        <f t="shared" si="29"/>
        <v>87</v>
      </c>
      <c r="DL25" s="18">
        <f t="shared" si="30"/>
        <v>0</v>
      </c>
    </row>
    <row r="26" spans="1:116" ht="15.75" thickBot="1" x14ac:dyDescent="0.3">
      <c r="A26" s="90">
        <v>36161</v>
      </c>
      <c r="B26" s="20">
        <v>0.33333333333333331</v>
      </c>
      <c r="D26">
        <v>26.96</v>
      </c>
      <c r="E26" t="str">
        <f t="shared" si="31"/>
        <v>WEEKDAY</v>
      </c>
      <c r="F26" t="e">
        <f t="shared" si="32"/>
        <v>#N/A</v>
      </c>
      <c r="G26" s="74">
        <v>27760</v>
      </c>
      <c r="H26" s="77">
        <v>0.33333333333333331</v>
      </c>
      <c r="J26">
        <v>33.979999999999997</v>
      </c>
      <c r="M26" s="74">
        <v>37622</v>
      </c>
      <c r="N26" s="77">
        <v>0.33333333333333331</v>
      </c>
      <c r="P26">
        <v>41</v>
      </c>
      <c r="S26" s="74">
        <v>36161</v>
      </c>
      <c r="T26" s="77">
        <v>0.33333333333333331</v>
      </c>
      <c r="V26">
        <v>26.060000000000002</v>
      </c>
      <c r="X26" s="42"/>
      <c r="AB26">
        <v>33</v>
      </c>
      <c r="AC26">
        <v>33.979999999999997</v>
      </c>
      <c r="AE26" s="74"/>
      <c r="AF26" s="77"/>
      <c r="AH26" s="497">
        <v>44.6</v>
      </c>
      <c r="AJ26" s="42"/>
      <c r="AK26" s="74"/>
      <c r="AL26" s="77"/>
      <c r="AN26" s="497">
        <v>24.08</v>
      </c>
      <c r="AP26" s="42"/>
      <c r="AQ26" s="74"/>
      <c r="AR26" s="77"/>
      <c r="AT26" s="497">
        <v>26.060000000000002</v>
      </c>
      <c r="AV26" s="42"/>
      <c r="AW26" s="74"/>
      <c r="AX26" s="77"/>
      <c r="BA26" s="497">
        <v>32.72</v>
      </c>
      <c r="BB26" s="42"/>
      <c r="BC26" s="74"/>
      <c r="BD26" s="77"/>
      <c r="BF26">
        <v>30.92</v>
      </c>
      <c r="BH26" s="42"/>
      <c r="BI26" s="74"/>
      <c r="BJ26" s="77"/>
      <c r="BL26" s="497">
        <v>29.3</v>
      </c>
      <c r="BN26" s="42"/>
      <c r="BO26" s="74"/>
      <c r="BP26" s="77"/>
      <c r="BR26" s="497">
        <v>21.02</v>
      </c>
      <c r="BT26" s="42"/>
      <c r="BX26" s="47"/>
      <c r="BZ26" s="10">
        <f t="shared" si="33"/>
        <v>84</v>
      </c>
      <c r="CA26">
        <v>85</v>
      </c>
      <c r="CB26" s="11">
        <f t="shared" si="34"/>
        <v>86</v>
      </c>
      <c r="CC26" s="10">
        <f t="shared" si="5"/>
        <v>0</v>
      </c>
      <c r="CD26" s="11">
        <f t="shared" si="6"/>
        <v>0</v>
      </c>
      <c r="CE26" s="10">
        <f t="shared" si="7"/>
        <v>0</v>
      </c>
      <c r="CF26" s="11">
        <f t="shared" si="8"/>
        <v>0</v>
      </c>
      <c r="CG26" s="10">
        <f t="shared" si="9"/>
        <v>0</v>
      </c>
      <c r="CH26" s="11">
        <f t="shared" si="10"/>
        <v>0</v>
      </c>
      <c r="CI26" s="10">
        <f t="shared" si="11"/>
        <v>0</v>
      </c>
      <c r="CJ26" s="11">
        <f t="shared" si="12"/>
        <v>0</v>
      </c>
      <c r="CK26" s="10">
        <f t="shared" si="13"/>
        <v>0</v>
      </c>
      <c r="CL26" s="11">
        <f t="shared" si="14"/>
        <v>0</v>
      </c>
      <c r="CM26" s="10">
        <f t="shared" si="15"/>
        <v>0</v>
      </c>
      <c r="CN26" s="11">
        <f t="shared" si="16"/>
        <v>0</v>
      </c>
      <c r="CO26" s="10">
        <f t="shared" si="17"/>
        <v>0</v>
      </c>
      <c r="CP26" s="11">
        <f t="shared" si="18"/>
        <v>0</v>
      </c>
      <c r="CQ26" s="10">
        <f t="shared" si="19"/>
        <v>0</v>
      </c>
      <c r="CR26" s="11">
        <f t="shared" si="20"/>
        <v>0</v>
      </c>
      <c r="CS26" s="10">
        <f t="shared" si="21"/>
        <v>0</v>
      </c>
      <c r="CT26" s="11">
        <f t="shared" si="22"/>
        <v>0</v>
      </c>
      <c r="CU26" s="10">
        <f t="shared" si="23"/>
        <v>0</v>
      </c>
      <c r="CV26" s="11">
        <f t="shared" si="24"/>
        <v>0</v>
      </c>
      <c r="CW26" s="10">
        <f t="shared" si="25"/>
        <v>0</v>
      </c>
      <c r="CX26" s="11">
        <f t="shared" si="26"/>
        <v>0</v>
      </c>
      <c r="CY26" s="10">
        <f t="shared" si="27"/>
        <v>0</v>
      </c>
      <c r="CZ26" s="11">
        <f t="shared" si="28"/>
        <v>0</v>
      </c>
      <c r="DD26" s="79">
        <v>0.33333333333333298</v>
      </c>
      <c r="DE26" s="16" t="e">
        <f>VLOOKUP($DD26,'Building Profiles'!$E$4:$AR$27,VLOOKUP(Inputs!$C$8,'Building Profiles'!$A$2:$B$14,2,FALSE)*3-1, FALSE)</f>
        <v>#N/A</v>
      </c>
      <c r="DF26" s="16" t="e">
        <f>VLOOKUP($DD26,'Building Profiles'!$E$4:$AR$27,VLOOKUP(Inputs!$C$8,'Building Profiles'!$A$2:$B$14,2,FALSE)*3, FALSE)</f>
        <v>#N/A</v>
      </c>
      <c r="DG26" s="19" t="e">
        <f>VLOOKUP($DD26,'Building Profiles'!$E$4:$AR$27,VLOOKUP(Inputs!$C$8,'Building Profiles'!$A$2:$B$14,2,FALSE)*3+1, FALSE)</f>
        <v>#N/A</v>
      </c>
      <c r="DK26" s="18">
        <f t="shared" si="29"/>
        <v>85</v>
      </c>
      <c r="DL26" s="18">
        <f t="shared" si="30"/>
        <v>0</v>
      </c>
    </row>
    <row r="27" spans="1:116" ht="15.75" thickBot="1" x14ac:dyDescent="0.3">
      <c r="A27" s="90">
        <v>36161</v>
      </c>
      <c r="B27" s="20">
        <v>0.375</v>
      </c>
      <c r="D27">
        <v>28.94</v>
      </c>
      <c r="E27" t="str">
        <f t="shared" si="31"/>
        <v>WEEKDAY</v>
      </c>
      <c r="F27" t="e">
        <f t="shared" si="32"/>
        <v>#N/A</v>
      </c>
      <c r="G27" s="74">
        <v>27760</v>
      </c>
      <c r="H27" s="77">
        <v>0.375</v>
      </c>
      <c r="J27">
        <v>33.979999999999997</v>
      </c>
      <c r="M27" s="74">
        <v>37622</v>
      </c>
      <c r="N27" s="77">
        <v>0.375</v>
      </c>
      <c r="P27">
        <v>42.8</v>
      </c>
      <c r="S27" s="74">
        <v>36161</v>
      </c>
      <c r="T27" s="77">
        <v>0.375</v>
      </c>
      <c r="V27">
        <v>26.96</v>
      </c>
      <c r="X27" s="42"/>
      <c r="AB27">
        <v>33.4</v>
      </c>
      <c r="AC27">
        <v>35.96</v>
      </c>
      <c r="AE27" s="74"/>
      <c r="AF27" s="77"/>
      <c r="AH27" s="497">
        <v>44.6</v>
      </c>
      <c r="AJ27" s="42"/>
      <c r="AK27" s="74"/>
      <c r="AL27" s="77"/>
      <c r="AN27" s="497">
        <v>24.08</v>
      </c>
      <c r="AP27" s="42"/>
      <c r="AQ27" s="74"/>
      <c r="AR27" s="77"/>
      <c r="AT27" s="497">
        <v>26.060000000000002</v>
      </c>
      <c r="AV27" s="42"/>
      <c r="AW27" s="74"/>
      <c r="AX27" s="77"/>
      <c r="BA27" s="497">
        <v>33.26</v>
      </c>
      <c r="BB27" s="42"/>
      <c r="BC27" s="74"/>
      <c r="BD27" s="77"/>
      <c r="BF27">
        <v>30.02</v>
      </c>
      <c r="BH27" s="42"/>
      <c r="BI27" s="74"/>
      <c r="BJ27" s="77"/>
      <c r="BL27" s="497">
        <v>29.66</v>
      </c>
      <c r="BN27" s="42"/>
      <c r="BO27" s="74"/>
      <c r="BP27" s="77"/>
      <c r="BR27" s="497">
        <v>19.04</v>
      </c>
      <c r="BT27" s="42"/>
      <c r="BX27" s="47"/>
      <c r="BZ27" s="10">
        <f t="shared" si="33"/>
        <v>82</v>
      </c>
      <c r="CA27">
        <v>83</v>
      </c>
      <c r="CB27" s="11">
        <f t="shared" si="34"/>
        <v>84</v>
      </c>
      <c r="CC27" s="10">
        <f t="shared" si="5"/>
        <v>0</v>
      </c>
      <c r="CD27" s="11">
        <f t="shared" si="6"/>
        <v>0</v>
      </c>
      <c r="CE27" s="10">
        <f t="shared" si="7"/>
        <v>0</v>
      </c>
      <c r="CF27" s="11">
        <f t="shared" si="8"/>
        <v>0</v>
      </c>
      <c r="CG27" s="10">
        <f t="shared" si="9"/>
        <v>0</v>
      </c>
      <c r="CH27" s="11">
        <f t="shared" si="10"/>
        <v>0</v>
      </c>
      <c r="CI27" s="10">
        <f t="shared" si="11"/>
        <v>0</v>
      </c>
      <c r="CJ27" s="11">
        <f t="shared" si="12"/>
        <v>0</v>
      </c>
      <c r="CK27" s="10">
        <f t="shared" si="13"/>
        <v>0</v>
      </c>
      <c r="CL27" s="11">
        <f t="shared" si="14"/>
        <v>0</v>
      </c>
      <c r="CM27" s="10">
        <f t="shared" si="15"/>
        <v>0</v>
      </c>
      <c r="CN27" s="11">
        <f t="shared" si="16"/>
        <v>0</v>
      </c>
      <c r="CO27" s="10">
        <f t="shared" si="17"/>
        <v>0</v>
      </c>
      <c r="CP27" s="11">
        <f t="shared" si="18"/>
        <v>0</v>
      </c>
      <c r="CQ27" s="10">
        <f t="shared" si="19"/>
        <v>0</v>
      </c>
      <c r="CR27" s="11">
        <f t="shared" si="20"/>
        <v>0</v>
      </c>
      <c r="CS27" s="10">
        <f t="shared" si="21"/>
        <v>0</v>
      </c>
      <c r="CT27" s="11">
        <f t="shared" si="22"/>
        <v>0</v>
      </c>
      <c r="CU27" s="10">
        <f t="shared" si="23"/>
        <v>0</v>
      </c>
      <c r="CV27" s="11">
        <f t="shared" si="24"/>
        <v>0</v>
      </c>
      <c r="CW27" s="10">
        <f t="shared" si="25"/>
        <v>0</v>
      </c>
      <c r="CX27" s="11">
        <f t="shared" si="26"/>
        <v>0</v>
      </c>
      <c r="CY27" s="10">
        <f t="shared" si="27"/>
        <v>0</v>
      </c>
      <c r="CZ27" s="11">
        <f t="shared" si="28"/>
        <v>0</v>
      </c>
      <c r="DD27" s="79">
        <v>0.375</v>
      </c>
      <c r="DE27" s="16" t="e">
        <f>VLOOKUP($DD27,'Building Profiles'!$E$4:$AR$27,VLOOKUP(Inputs!$C$8,'Building Profiles'!$A$2:$B$14,2,FALSE)*3-1, FALSE)</f>
        <v>#N/A</v>
      </c>
      <c r="DF27" s="16" t="e">
        <f>VLOOKUP($DD27,'Building Profiles'!$E$4:$AR$27,VLOOKUP(Inputs!$C$8,'Building Profiles'!$A$2:$B$14,2,FALSE)*3, FALSE)</f>
        <v>#N/A</v>
      </c>
      <c r="DG27" s="19" t="e">
        <f>VLOOKUP($DD27,'Building Profiles'!$E$4:$AR$27,VLOOKUP(Inputs!$C$8,'Building Profiles'!$A$2:$B$14,2,FALSE)*3+1, FALSE)</f>
        <v>#N/A</v>
      </c>
      <c r="DK27" s="18">
        <f t="shared" si="29"/>
        <v>83</v>
      </c>
      <c r="DL27" s="18">
        <f t="shared" si="30"/>
        <v>0</v>
      </c>
    </row>
    <row r="28" spans="1:116" ht="15.75" thickBot="1" x14ac:dyDescent="0.3">
      <c r="A28" s="90">
        <v>36161</v>
      </c>
      <c r="B28" s="20">
        <v>0.41666666666666669</v>
      </c>
      <c r="D28">
        <v>30.92</v>
      </c>
      <c r="E28" t="str">
        <f t="shared" si="31"/>
        <v>WEEKDAY</v>
      </c>
      <c r="F28" t="e">
        <f t="shared" si="32"/>
        <v>#N/A</v>
      </c>
      <c r="G28" s="74">
        <v>27760</v>
      </c>
      <c r="H28" s="77">
        <v>0.41666666666666669</v>
      </c>
      <c r="J28">
        <v>33.979999999999997</v>
      </c>
      <c r="M28" s="74">
        <v>37622</v>
      </c>
      <c r="N28" s="77">
        <v>0.41666666666666669</v>
      </c>
      <c r="P28">
        <v>39.200000000000003</v>
      </c>
      <c r="S28" s="74">
        <v>36161</v>
      </c>
      <c r="T28" s="77">
        <v>0.41666666666666669</v>
      </c>
      <c r="V28">
        <v>28.04</v>
      </c>
      <c r="X28" s="42"/>
      <c r="AB28">
        <v>34.700000000000003</v>
      </c>
      <c r="AC28">
        <v>39.019999999999996</v>
      </c>
      <c r="AE28" s="74"/>
      <c r="AF28" s="77"/>
      <c r="AH28" s="497">
        <v>51.8</v>
      </c>
      <c r="AJ28" s="42"/>
      <c r="AK28" s="74"/>
      <c r="AL28" s="77"/>
      <c r="AN28" s="497">
        <v>24.08</v>
      </c>
      <c r="AP28" s="42"/>
      <c r="AQ28" s="74"/>
      <c r="AR28" s="77"/>
      <c r="AT28" s="497">
        <v>26.96</v>
      </c>
      <c r="AV28" s="42"/>
      <c r="AW28" s="74"/>
      <c r="AX28" s="77"/>
      <c r="BA28" s="497">
        <v>33.979999999999997</v>
      </c>
      <c r="BB28" s="42"/>
      <c r="BC28" s="74"/>
      <c r="BD28" s="77"/>
      <c r="BF28">
        <v>30.92</v>
      </c>
      <c r="BH28" s="42"/>
      <c r="BI28" s="74"/>
      <c r="BJ28" s="77"/>
      <c r="BL28" s="497">
        <v>30.02</v>
      </c>
      <c r="BN28" s="42"/>
      <c r="BO28" s="74"/>
      <c r="BP28" s="77"/>
      <c r="BR28" s="497">
        <v>17.059999999999999</v>
      </c>
      <c r="BT28" s="42"/>
      <c r="BX28" s="47"/>
      <c r="BZ28" s="10">
        <f t="shared" si="33"/>
        <v>80</v>
      </c>
      <c r="CA28">
        <v>81</v>
      </c>
      <c r="CB28" s="11">
        <f t="shared" si="34"/>
        <v>82</v>
      </c>
      <c r="CC28" s="10">
        <f t="shared" si="5"/>
        <v>0</v>
      </c>
      <c r="CD28" s="11">
        <f t="shared" si="6"/>
        <v>0</v>
      </c>
      <c r="CE28" s="10">
        <f t="shared" si="7"/>
        <v>0</v>
      </c>
      <c r="CF28" s="11">
        <f t="shared" si="8"/>
        <v>0</v>
      </c>
      <c r="CG28" s="10">
        <f t="shared" si="9"/>
        <v>0</v>
      </c>
      <c r="CH28" s="11">
        <f t="shared" si="10"/>
        <v>0</v>
      </c>
      <c r="CI28" s="10">
        <f t="shared" si="11"/>
        <v>0</v>
      </c>
      <c r="CJ28" s="11">
        <f t="shared" si="12"/>
        <v>0</v>
      </c>
      <c r="CK28" s="10">
        <f t="shared" si="13"/>
        <v>0</v>
      </c>
      <c r="CL28" s="11">
        <f t="shared" si="14"/>
        <v>0</v>
      </c>
      <c r="CM28" s="10">
        <f t="shared" si="15"/>
        <v>0</v>
      </c>
      <c r="CN28" s="11">
        <f t="shared" si="16"/>
        <v>0</v>
      </c>
      <c r="CO28" s="10">
        <f t="shared" si="17"/>
        <v>0</v>
      </c>
      <c r="CP28" s="11">
        <f t="shared" si="18"/>
        <v>0</v>
      </c>
      <c r="CQ28" s="10">
        <f t="shared" si="19"/>
        <v>0</v>
      </c>
      <c r="CR28" s="11">
        <f t="shared" si="20"/>
        <v>0</v>
      </c>
      <c r="CS28" s="10">
        <f t="shared" si="21"/>
        <v>0</v>
      </c>
      <c r="CT28" s="11">
        <f t="shared" si="22"/>
        <v>0</v>
      </c>
      <c r="CU28" s="10">
        <f t="shared" si="23"/>
        <v>0</v>
      </c>
      <c r="CV28" s="11">
        <f t="shared" si="24"/>
        <v>0</v>
      </c>
      <c r="CW28" s="10">
        <f t="shared" si="25"/>
        <v>0</v>
      </c>
      <c r="CX28" s="11">
        <f t="shared" si="26"/>
        <v>0</v>
      </c>
      <c r="CY28" s="10">
        <f t="shared" si="27"/>
        <v>0</v>
      </c>
      <c r="CZ28" s="11">
        <f t="shared" si="28"/>
        <v>0</v>
      </c>
      <c r="DD28" s="79">
        <v>0.41666666666666702</v>
      </c>
      <c r="DE28" s="16" t="e">
        <f>VLOOKUP($DD28,'Building Profiles'!$E$4:$AR$27,VLOOKUP(Inputs!$C$8,'Building Profiles'!$A$2:$B$14,2,FALSE)*3-1, FALSE)</f>
        <v>#N/A</v>
      </c>
      <c r="DF28" s="16" t="e">
        <f>VLOOKUP($DD28,'Building Profiles'!$E$4:$AR$27,VLOOKUP(Inputs!$C$8,'Building Profiles'!$A$2:$B$14,2,FALSE)*3, FALSE)</f>
        <v>#N/A</v>
      </c>
      <c r="DG28" s="19" t="e">
        <f>VLOOKUP($DD28,'Building Profiles'!$E$4:$AR$27,VLOOKUP(Inputs!$C$8,'Building Profiles'!$A$2:$B$14,2,FALSE)*3+1, FALSE)</f>
        <v>#N/A</v>
      </c>
      <c r="DK28" s="18">
        <f t="shared" si="29"/>
        <v>81</v>
      </c>
      <c r="DL28" s="18">
        <f t="shared" si="30"/>
        <v>0</v>
      </c>
    </row>
    <row r="29" spans="1:116" ht="15.75" thickBot="1" x14ac:dyDescent="0.3">
      <c r="A29" s="90">
        <v>36161</v>
      </c>
      <c r="B29" s="20">
        <v>0.45833333333333331</v>
      </c>
      <c r="D29">
        <v>32</v>
      </c>
      <c r="E29" t="str">
        <f t="shared" si="31"/>
        <v>WEEKDAY</v>
      </c>
      <c r="F29" t="e">
        <f t="shared" si="32"/>
        <v>#N/A</v>
      </c>
      <c r="G29" s="74">
        <v>27760</v>
      </c>
      <c r="H29" s="77">
        <v>0.45833333333333331</v>
      </c>
      <c r="J29">
        <v>35.06</v>
      </c>
      <c r="M29" s="74">
        <v>37622</v>
      </c>
      <c r="N29" s="77">
        <v>0.45833333333333331</v>
      </c>
      <c r="P29">
        <v>39.200000000000003</v>
      </c>
      <c r="S29" s="74">
        <v>36161</v>
      </c>
      <c r="T29" s="77">
        <v>0.45833333333333331</v>
      </c>
      <c r="V29">
        <v>30.02</v>
      </c>
      <c r="X29" s="42"/>
      <c r="AB29">
        <v>36</v>
      </c>
      <c r="AC29">
        <v>39.92</v>
      </c>
      <c r="AE29" s="74"/>
      <c r="AF29" s="77"/>
      <c r="AH29" s="497">
        <v>53.6</v>
      </c>
      <c r="AJ29" s="42"/>
      <c r="AK29" s="74"/>
      <c r="AL29" s="77"/>
      <c r="AN29" s="497">
        <v>24.08</v>
      </c>
      <c r="AP29" s="42"/>
      <c r="AQ29" s="74"/>
      <c r="AR29" s="77"/>
      <c r="AT29" s="497">
        <v>28.04</v>
      </c>
      <c r="AV29" s="42"/>
      <c r="AW29" s="74"/>
      <c r="AX29" s="77"/>
      <c r="BA29" s="497">
        <v>35.06</v>
      </c>
      <c r="BB29" s="42"/>
      <c r="BC29" s="74"/>
      <c r="BD29" s="77"/>
      <c r="BF29">
        <v>32</v>
      </c>
      <c r="BH29" s="42"/>
      <c r="BI29" s="74"/>
      <c r="BJ29" s="77"/>
      <c r="BL29" s="497">
        <v>30.02</v>
      </c>
      <c r="BN29" s="42"/>
      <c r="BO29" s="74"/>
      <c r="BP29" s="77"/>
      <c r="BR29" s="497">
        <v>19.939999999999998</v>
      </c>
      <c r="BT29" s="42"/>
      <c r="BZ29" s="10">
        <f t="shared" si="33"/>
        <v>78</v>
      </c>
      <c r="CA29">
        <v>79</v>
      </c>
      <c r="CB29" s="11">
        <f t="shared" si="34"/>
        <v>80</v>
      </c>
      <c r="CC29" s="10">
        <f t="shared" si="5"/>
        <v>0</v>
      </c>
      <c r="CD29" s="11">
        <f t="shared" si="6"/>
        <v>0</v>
      </c>
      <c r="CE29" s="10">
        <f t="shared" si="7"/>
        <v>0</v>
      </c>
      <c r="CF29" s="11">
        <f t="shared" si="8"/>
        <v>0</v>
      </c>
      <c r="CG29" s="10">
        <f t="shared" si="9"/>
        <v>0</v>
      </c>
      <c r="CH29" s="11">
        <f t="shared" si="10"/>
        <v>0</v>
      </c>
      <c r="CI29" s="10">
        <f t="shared" si="11"/>
        <v>0</v>
      </c>
      <c r="CJ29" s="11">
        <f t="shared" si="12"/>
        <v>0</v>
      </c>
      <c r="CK29" s="10">
        <f t="shared" si="13"/>
        <v>0</v>
      </c>
      <c r="CL29" s="11">
        <f t="shared" si="14"/>
        <v>0</v>
      </c>
      <c r="CM29" s="10">
        <f t="shared" si="15"/>
        <v>0</v>
      </c>
      <c r="CN29" s="11">
        <f t="shared" si="16"/>
        <v>0</v>
      </c>
      <c r="CO29" s="10">
        <f t="shared" si="17"/>
        <v>0</v>
      </c>
      <c r="CP29" s="11">
        <f t="shared" si="18"/>
        <v>0</v>
      </c>
      <c r="CQ29" s="10">
        <f t="shared" si="19"/>
        <v>0</v>
      </c>
      <c r="CR29" s="11">
        <f t="shared" si="20"/>
        <v>0</v>
      </c>
      <c r="CS29" s="10">
        <f t="shared" si="21"/>
        <v>0</v>
      </c>
      <c r="CT29" s="11">
        <f t="shared" si="22"/>
        <v>0</v>
      </c>
      <c r="CU29" s="10">
        <f t="shared" si="23"/>
        <v>0</v>
      </c>
      <c r="CV29" s="11">
        <f t="shared" si="24"/>
        <v>0</v>
      </c>
      <c r="CW29" s="10">
        <f t="shared" si="25"/>
        <v>0</v>
      </c>
      <c r="CX29" s="11">
        <f t="shared" si="26"/>
        <v>0</v>
      </c>
      <c r="CY29" s="10">
        <f t="shared" si="27"/>
        <v>0</v>
      </c>
      <c r="CZ29" s="11">
        <f t="shared" si="28"/>
        <v>0</v>
      </c>
      <c r="DD29" s="79">
        <v>0.45833333333333298</v>
      </c>
      <c r="DE29" s="16" t="e">
        <f>VLOOKUP($DD29,'Building Profiles'!$E$4:$AR$27,VLOOKUP(Inputs!$C$8,'Building Profiles'!$A$2:$B$14,2,FALSE)*3-1, FALSE)</f>
        <v>#N/A</v>
      </c>
      <c r="DF29" s="16" t="e">
        <f>VLOOKUP($DD29,'Building Profiles'!$E$4:$AR$27,VLOOKUP(Inputs!$C$8,'Building Profiles'!$A$2:$B$14,2,FALSE)*3, FALSE)</f>
        <v>#N/A</v>
      </c>
      <c r="DG29" s="19" t="e">
        <f>VLOOKUP($DD29,'Building Profiles'!$E$4:$AR$27,VLOOKUP(Inputs!$C$8,'Building Profiles'!$A$2:$B$14,2,FALSE)*3+1, FALSE)</f>
        <v>#N/A</v>
      </c>
      <c r="DK29" s="18">
        <f t="shared" si="29"/>
        <v>79</v>
      </c>
      <c r="DL29" s="18">
        <f t="shared" si="30"/>
        <v>0</v>
      </c>
    </row>
    <row r="30" spans="1:116" ht="15.75" thickBot="1" x14ac:dyDescent="0.3">
      <c r="A30" s="90">
        <v>36161</v>
      </c>
      <c r="B30" s="20">
        <v>0.5</v>
      </c>
      <c r="D30">
        <v>35.96</v>
      </c>
      <c r="E30" t="str">
        <f t="shared" si="31"/>
        <v>WEEKDAY</v>
      </c>
      <c r="F30" t="e">
        <f t="shared" si="32"/>
        <v>#N/A</v>
      </c>
      <c r="G30" s="74">
        <v>27760</v>
      </c>
      <c r="H30" s="77">
        <v>0.5</v>
      </c>
      <c r="J30">
        <v>35.96</v>
      </c>
      <c r="M30" s="74">
        <v>37622</v>
      </c>
      <c r="N30" s="77">
        <v>0.5</v>
      </c>
      <c r="P30">
        <v>37.4</v>
      </c>
      <c r="S30" s="74">
        <v>36161</v>
      </c>
      <c r="T30" s="77">
        <v>0.5</v>
      </c>
      <c r="V30">
        <v>28.94</v>
      </c>
      <c r="X30" s="42"/>
      <c r="AB30">
        <v>37.200000000000003</v>
      </c>
      <c r="AC30">
        <v>39.92</v>
      </c>
      <c r="AE30" s="74"/>
      <c r="AF30" s="77"/>
      <c r="AH30" s="497">
        <v>55.400000000000006</v>
      </c>
      <c r="AJ30" s="42"/>
      <c r="AK30" s="74"/>
      <c r="AL30" s="77"/>
      <c r="AN30" s="497">
        <v>24.08</v>
      </c>
      <c r="AP30" s="42"/>
      <c r="AQ30" s="74"/>
      <c r="AR30" s="77"/>
      <c r="AT30" s="497">
        <v>30.02</v>
      </c>
      <c r="AV30" s="42"/>
      <c r="AW30" s="74"/>
      <c r="AX30" s="77"/>
      <c r="BA30" s="497">
        <v>35.96</v>
      </c>
      <c r="BB30" s="42"/>
      <c r="BC30" s="74"/>
      <c r="BD30" s="77"/>
      <c r="BF30">
        <v>32</v>
      </c>
      <c r="BH30" s="42"/>
      <c r="BI30" s="74"/>
      <c r="BJ30" s="77"/>
      <c r="BL30" s="497">
        <v>30.02</v>
      </c>
      <c r="BN30" s="42"/>
      <c r="BO30" s="74"/>
      <c r="BP30" s="77"/>
      <c r="BR30" s="497">
        <v>21.02</v>
      </c>
      <c r="BT30" s="42"/>
      <c r="BZ30" s="10">
        <f t="shared" si="33"/>
        <v>76</v>
      </c>
      <c r="CA30">
        <v>77</v>
      </c>
      <c r="CB30" s="11">
        <f t="shared" si="34"/>
        <v>78</v>
      </c>
      <c r="CC30" s="10">
        <f t="shared" si="5"/>
        <v>0</v>
      </c>
      <c r="CD30" s="11">
        <f t="shared" si="6"/>
        <v>0</v>
      </c>
      <c r="CE30" s="10">
        <f t="shared" si="7"/>
        <v>0</v>
      </c>
      <c r="CF30" s="11">
        <f t="shared" si="8"/>
        <v>0</v>
      </c>
      <c r="CG30" s="10">
        <f t="shared" si="9"/>
        <v>0</v>
      </c>
      <c r="CH30" s="11">
        <f t="shared" si="10"/>
        <v>0</v>
      </c>
      <c r="CI30" s="10">
        <f t="shared" si="11"/>
        <v>0</v>
      </c>
      <c r="CJ30" s="11">
        <f t="shared" si="12"/>
        <v>0</v>
      </c>
      <c r="CK30" s="10">
        <f t="shared" si="13"/>
        <v>0</v>
      </c>
      <c r="CL30" s="11">
        <f t="shared" si="14"/>
        <v>0</v>
      </c>
      <c r="CM30" s="10">
        <f t="shared" si="15"/>
        <v>0</v>
      </c>
      <c r="CN30" s="11">
        <f t="shared" si="16"/>
        <v>0</v>
      </c>
      <c r="CO30" s="10">
        <f t="shared" si="17"/>
        <v>0</v>
      </c>
      <c r="CP30" s="11">
        <f t="shared" si="18"/>
        <v>0</v>
      </c>
      <c r="CQ30" s="10">
        <f t="shared" si="19"/>
        <v>0</v>
      </c>
      <c r="CR30" s="11">
        <f t="shared" si="20"/>
        <v>0</v>
      </c>
      <c r="CS30" s="10">
        <f t="shared" si="21"/>
        <v>0</v>
      </c>
      <c r="CT30" s="11">
        <f t="shared" si="22"/>
        <v>0</v>
      </c>
      <c r="CU30" s="10">
        <f t="shared" si="23"/>
        <v>0</v>
      </c>
      <c r="CV30" s="11">
        <f t="shared" si="24"/>
        <v>0</v>
      </c>
      <c r="CW30" s="10">
        <f t="shared" si="25"/>
        <v>0</v>
      </c>
      <c r="CX30" s="11">
        <f t="shared" si="26"/>
        <v>0</v>
      </c>
      <c r="CY30" s="10">
        <f t="shared" si="27"/>
        <v>0</v>
      </c>
      <c r="CZ30" s="11">
        <f t="shared" si="28"/>
        <v>0</v>
      </c>
      <c r="DD30" s="79">
        <v>0.5</v>
      </c>
      <c r="DE30" s="16" t="e">
        <f>VLOOKUP($DD30,'Building Profiles'!$E$4:$AR$27,VLOOKUP(Inputs!$C$8,'Building Profiles'!$A$2:$B$14,2,FALSE)*3-1, FALSE)</f>
        <v>#N/A</v>
      </c>
      <c r="DF30" s="16" t="e">
        <f>VLOOKUP($DD30,'Building Profiles'!$E$4:$AR$27,VLOOKUP(Inputs!$C$8,'Building Profiles'!$A$2:$B$14,2,FALSE)*3, FALSE)</f>
        <v>#N/A</v>
      </c>
      <c r="DG30" s="19" t="e">
        <f>VLOOKUP($DD30,'Building Profiles'!$E$4:$AR$27,VLOOKUP(Inputs!$C$8,'Building Profiles'!$A$2:$B$14,2,FALSE)*3+1, FALSE)</f>
        <v>#N/A</v>
      </c>
      <c r="DK30" s="18">
        <f t="shared" si="29"/>
        <v>77</v>
      </c>
      <c r="DL30" s="18">
        <f t="shared" si="30"/>
        <v>0</v>
      </c>
    </row>
    <row r="31" spans="1:116" ht="15.75" thickBot="1" x14ac:dyDescent="0.3">
      <c r="A31" s="90">
        <v>36161</v>
      </c>
      <c r="B31" s="20">
        <v>0.54166666666666663</v>
      </c>
      <c r="D31">
        <v>37.04</v>
      </c>
      <c r="E31" t="str">
        <f t="shared" si="31"/>
        <v>WEEKDAY</v>
      </c>
      <c r="F31" t="e">
        <f t="shared" si="32"/>
        <v>#N/A</v>
      </c>
      <c r="G31" s="74">
        <v>27760</v>
      </c>
      <c r="H31" s="77">
        <v>0.54166666666666663</v>
      </c>
      <c r="J31">
        <v>39.019999999999996</v>
      </c>
      <c r="M31" s="74">
        <v>37622</v>
      </c>
      <c r="N31" s="77">
        <v>0.54166666666666663</v>
      </c>
      <c r="P31">
        <v>37.4</v>
      </c>
      <c r="S31" s="74">
        <v>36161</v>
      </c>
      <c r="T31" s="77">
        <v>0.54166666666666663</v>
      </c>
      <c r="V31">
        <v>28.04</v>
      </c>
      <c r="X31" s="42"/>
      <c r="AB31">
        <v>38.200000000000003</v>
      </c>
      <c r="AC31">
        <v>42.08</v>
      </c>
      <c r="AE31" s="74"/>
      <c r="AF31" s="77"/>
      <c r="AH31" s="497">
        <v>53.6</v>
      </c>
      <c r="AJ31" s="42"/>
      <c r="AK31" s="74"/>
      <c r="AL31" s="77"/>
      <c r="AN31" s="497">
        <v>24.08</v>
      </c>
      <c r="AP31" s="42"/>
      <c r="AQ31" s="74"/>
      <c r="AR31" s="77"/>
      <c r="AT31" s="497">
        <v>33.979999999999997</v>
      </c>
      <c r="AV31" s="42"/>
      <c r="AW31" s="74"/>
      <c r="AX31" s="77"/>
      <c r="BA31" s="497">
        <v>37.04</v>
      </c>
      <c r="BB31" s="42"/>
      <c r="BC31" s="74"/>
      <c r="BD31" s="77"/>
      <c r="BF31">
        <v>32</v>
      </c>
      <c r="BH31" s="42"/>
      <c r="BI31" s="74"/>
      <c r="BJ31" s="77"/>
      <c r="BL31" s="497">
        <v>30.02</v>
      </c>
      <c r="BN31" s="42"/>
      <c r="BO31" s="74"/>
      <c r="BP31" s="77"/>
      <c r="BR31" s="497">
        <v>21.92</v>
      </c>
      <c r="BT31" s="42"/>
      <c r="BZ31" s="10">
        <f t="shared" si="33"/>
        <v>74</v>
      </c>
      <c r="CA31">
        <v>75</v>
      </c>
      <c r="CB31" s="11">
        <f t="shared" si="34"/>
        <v>76</v>
      </c>
      <c r="CC31" s="10">
        <f t="shared" si="5"/>
        <v>0</v>
      </c>
      <c r="CD31" s="11">
        <f t="shared" si="6"/>
        <v>0</v>
      </c>
      <c r="CE31" s="10">
        <f t="shared" si="7"/>
        <v>0</v>
      </c>
      <c r="CF31" s="11">
        <f t="shared" si="8"/>
        <v>0</v>
      </c>
      <c r="CG31" s="10">
        <f t="shared" si="9"/>
        <v>0</v>
      </c>
      <c r="CH31" s="11">
        <f t="shared" si="10"/>
        <v>0</v>
      </c>
      <c r="CI31" s="10">
        <f t="shared" si="11"/>
        <v>0</v>
      </c>
      <c r="CJ31" s="11">
        <f t="shared" si="12"/>
        <v>0</v>
      </c>
      <c r="CK31" s="10">
        <f t="shared" si="13"/>
        <v>0</v>
      </c>
      <c r="CL31" s="11">
        <f t="shared" si="14"/>
        <v>0</v>
      </c>
      <c r="CM31" s="10">
        <f t="shared" si="15"/>
        <v>0</v>
      </c>
      <c r="CN31" s="11">
        <f t="shared" si="16"/>
        <v>0</v>
      </c>
      <c r="CO31" s="10">
        <f t="shared" si="17"/>
        <v>0</v>
      </c>
      <c r="CP31" s="11">
        <f t="shared" si="18"/>
        <v>0</v>
      </c>
      <c r="CQ31" s="10">
        <f t="shared" si="19"/>
        <v>0</v>
      </c>
      <c r="CR31" s="11">
        <f t="shared" si="20"/>
        <v>0</v>
      </c>
      <c r="CS31" s="10">
        <f t="shared" si="21"/>
        <v>0</v>
      </c>
      <c r="CT31" s="11">
        <f t="shared" si="22"/>
        <v>0</v>
      </c>
      <c r="CU31" s="10">
        <f t="shared" si="23"/>
        <v>0</v>
      </c>
      <c r="CV31" s="11">
        <f t="shared" si="24"/>
        <v>0</v>
      </c>
      <c r="CW31" s="10">
        <f t="shared" si="25"/>
        <v>0</v>
      </c>
      <c r="CX31" s="11">
        <f t="shared" si="26"/>
        <v>0</v>
      </c>
      <c r="CY31" s="10">
        <f t="shared" si="27"/>
        <v>0</v>
      </c>
      <c r="CZ31" s="11">
        <f t="shared" si="28"/>
        <v>0</v>
      </c>
      <c r="DD31" s="79">
        <v>0.54166666666666696</v>
      </c>
      <c r="DE31" s="16" t="e">
        <f>VLOOKUP($DD31,'Building Profiles'!$E$4:$AR$27,VLOOKUP(Inputs!$C$8,'Building Profiles'!$A$2:$B$14,2,FALSE)*3-1, FALSE)</f>
        <v>#N/A</v>
      </c>
      <c r="DF31" s="16" t="e">
        <f>VLOOKUP($DD31,'Building Profiles'!$E$4:$AR$27,VLOOKUP(Inputs!$C$8,'Building Profiles'!$A$2:$B$14,2,FALSE)*3, FALSE)</f>
        <v>#N/A</v>
      </c>
      <c r="DG31" s="19" t="e">
        <f>VLOOKUP($DD31,'Building Profiles'!$E$4:$AR$27,VLOOKUP(Inputs!$C$8,'Building Profiles'!$A$2:$B$14,2,FALSE)*3+1, FALSE)</f>
        <v>#N/A</v>
      </c>
      <c r="DK31" s="18">
        <f t="shared" si="29"/>
        <v>75</v>
      </c>
      <c r="DL31" s="18">
        <f t="shared" si="30"/>
        <v>0</v>
      </c>
    </row>
    <row r="32" spans="1:116" ht="15.75" thickBot="1" x14ac:dyDescent="0.3">
      <c r="A32" s="90">
        <v>36161</v>
      </c>
      <c r="B32" s="20">
        <v>0.58333333333333337</v>
      </c>
      <c r="D32">
        <v>35.96</v>
      </c>
      <c r="E32" t="str">
        <f t="shared" si="31"/>
        <v>WEEKDAY</v>
      </c>
      <c r="F32" t="e">
        <f t="shared" si="32"/>
        <v>#N/A</v>
      </c>
      <c r="G32" s="74">
        <v>27760</v>
      </c>
      <c r="H32" s="77">
        <v>0.58333333333333337</v>
      </c>
      <c r="J32">
        <v>39.92</v>
      </c>
      <c r="M32" s="74">
        <v>37622</v>
      </c>
      <c r="N32" s="77">
        <v>0.58333333333333337</v>
      </c>
      <c r="P32">
        <v>37.4</v>
      </c>
      <c r="S32" s="74">
        <v>36161</v>
      </c>
      <c r="T32" s="77">
        <v>0.58333333333333337</v>
      </c>
      <c r="V32">
        <v>26.060000000000002</v>
      </c>
      <c r="X32" s="42"/>
      <c r="AB32">
        <v>39</v>
      </c>
      <c r="AC32">
        <v>44.06</v>
      </c>
      <c r="AE32" s="74"/>
      <c r="AF32" s="77"/>
      <c r="AH32" s="497">
        <v>51.8</v>
      </c>
      <c r="AJ32" s="42"/>
      <c r="AK32" s="74"/>
      <c r="AL32" s="77"/>
      <c r="AN32" s="497">
        <v>24.98</v>
      </c>
      <c r="AP32" s="42"/>
      <c r="AQ32" s="74"/>
      <c r="AR32" s="77"/>
      <c r="AT32" s="497">
        <v>35.96</v>
      </c>
      <c r="AV32" s="42"/>
      <c r="AW32" s="74"/>
      <c r="AX32" s="77"/>
      <c r="BA32" s="497">
        <v>36.68</v>
      </c>
      <c r="BB32" s="42"/>
      <c r="BC32" s="74"/>
      <c r="BD32" s="77"/>
      <c r="BF32">
        <v>33.08</v>
      </c>
      <c r="BH32" s="42"/>
      <c r="BI32" s="74"/>
      <c r="BJ32" s="77"/>
      <c r="BL32" s="497">
        <v>30.02</v>
      </c>
      <c r="BN32" s="42"/>
      <c r="BO32" s="74"/>
      <c r="BP32" s="77"/>
      <c r="BR32" s="497">
        <v>21.92</v>
      </c>
      <c r="BT32" s="42"/>
      <c r="BZ32" s="10">
        <f t="shared" si="33"/>
        <v>72</v>
      </c>
      <c r="CA32">
        <v>73</v>
      </c>
      <c r="CB32" s="11">
        <f t="shared" si="34"/>
        <v>74</v>
      </c>
      <c r="CC32" s="10">
        <f t="shared" si="5"/>
        <v>0</v>
      </c>
      <c r="CD32" s="11">
        <f t="shared" si="6"/>
        <v>0</v>
      </c>
      <c r="CE32" s="10">
        <f t="shared" si="7"/>
        <v>0</v>
      </c>
      <c r="CF32" s="11">
        <f t="shared" si="8"/>
        <v>0</v>
      </c>
      <c r="CG32" s="10">
        <f t="shared" si="9"/>
        <v>0</v>
      </c>
      <c r="CH32" s="11">
        <f t="shared" si="10"/>
        <v>0</v>
      </c>
      <c r="CI32" s="10">
        <f t="shared" si="11"/>
        <v>0</v>
      </c>
      <c r="CJ32" s="11">
        <f t="shared" si="12"/>
        <v>0</v>
      </c>
      <c r="CK32" s="10">
        <f t="shared" si="13"/>
        <v>0</v>
      </c>
      <c r="CL32" s="11">
        <f t="shared" si="14"/>
        <v>0</v>
      </c>
      <c r="CM32" s="10">
        <f t="shared" si="15"/>
        <v>0</v>
      </c>
      <c r="CN32" s="11">
        <f t="shared" si="16"/>
        <v>0</v>
      </c>
      <c r="CO32" s="10">
        <f t="shared" si="17"/>
        <v>0</v>
      </c>
      <c r="CP32" s="11">
        <f t="shared" si="18"/>
        <v>0</v>
      </c>
      <c r="CQ32" s="10">
        <f t="shared" si="19"/>
        <v>0</v>
      </c>
      <c r="CR32" s="11">
        <f t="shared" si="20"/>
        <v>0</v>
      </c>
      <c r="CS32" s="10">
        <f t="shared" si="21"/>
        <v>0</v>
      </c>
      <c r="CT32" s="11">
        <f t="shared" si="22"/>
        <v>0</v>
      </c>
      <c r="CU32" s="10">
        <f t="shared" si="23"/>
        <v>0</v>
      </c>
      <c r="CV32" s="11">
        <f t="shared" si="24"/>
        <v>0</v>
      </c>
      <c r="CW32" s="10">
        <f t="shared" si="25"/>
        <v>0</v>
      </c>
      <c r="CX32" s="11">
        <f t="shared" si="26"/>
        <v>0</v>
      </c>
      <c r="CY32" s="10">
        <f t="shared" si="27"/>
        <v>0</v>
      </c>
      <c r="CZ32" s="11">
        <f t="shared" si="28"/>
        <v>0</v>
      </c>
      <c r="DD32" s="79">
        <v>0.58333333333333304</v>
      </c>
      <c r="DE32" s="16" t="e">
        <f>VLOOKUP($DD32,'Building Profiles'!$E$4:$AR$27,VLOOKUP(Inputs!$C$8,'Building Profiles'!$A$2:$B$14,2,FALSE)*3-1, FALSE)</f>
        <v>#N/A</v>
      </c>
      <c r="DF32" s="16" t="e">
        <f>VLOOKUP($DD32,'Building Profiles'!$E$4:$AR$27,VLOOKUP(Inputs!$C$8,'Building Profiles'!$A$2:$B$14,2,FALSE)*3, FALSE)</f>
        <v>#N/A</v>
      </c>
      <c r="DG32" s="19" t="e">
        <f>VLOOKUP($DD32,'Building Profiles'!$E$4:$AR$27,VLOOKUP(Inputs!$C$8,'Building Profiles'!$A$2:$B$14,2,FALSE)*3+1, FALSE)</f>
        <v>#N/A</v>
      </c>
      <c r="DK32" s="18">
        <f t="shared" si="29"/>
        <v>73</v>
      </c>
      <c r="DL32" s="18">
        <f t="shared" si="30"/>
        <v>0</v>
      </c>
    </row>
    <row r="33" spans="1:116" ht="15.75" thickBot="1" x14ac:dyDescent="0.3">
      <c r="A33" s="90">
        <v>36161</v>
      </c>
      <c r="B33" s="20">
        <v>0.625</v>
      </c>
      <c r="D33">
        <v>35.96</v>
      </c>
      <c r="E33" t="str">
        <f t="shared" si="31"/>
        <v>WEEKDAY</v>
      </c>
      <c r="F33" t="e">
        <f t="shared" si="32"/>
        <v>#N/A</v>
      </c>
      <c r="G33" s="74">
        <v>27760</v>
      </c>
      <c r="H33" s="77">
        <v>0.625</v>
      </c>
      <c r="J33">
        <v>39.92</v>
      </c>
      <c r="M33" s="74">
        <v>37622</v>
      </c>
      <c r="N33" s="77">
        <v>0.625</v>
      </c>
      <c r="P33">
        <v>35.6</v>
      </c>
      <c r="S33" s="74">
        <v>36161</v>
      </c>
      <c r="T33" s="77">
        <v>0.625</v>
      </c>
      <c r="V33">
        <v>26.96</v>
      </c>
      <c r="X33" s="42"/>
      <c r="AB33">
        <v>39.299999999999997</v>
      </c>
      <c r="AC33">
        <v>46.94</v>
      </c>
      <c r="AE33" s="74"/>
      <c r="AF33" s="77"/>
      <c r="AH33" s="497">
        <v>50</v>
      </c>
      <c r="AJ33" s="42"/>
      <c r="AK33" s="74"/>
      <c r="AL33" s="77"/>
      <c r="AN33" s="497">
        <v>24.98</v>
      </c>
      <c r="AP33" s="42"/>
      <c r="AQ33" s="74"/>
      <c r="AR33" s="77"/>
      <c r="AT33" s="497">
        <v>37.94</v>
      </c>
      <c r="AV33" s="42"/>
      <c r="AW33" s="74"/>
      <c r="AX33" s="77"/>
      <c r="BA33" s="497">
        <v>36.32</v>
      </c>
      <c r="BB33" s="42"/>
      <c r="BC33" s="74"/>
      <c r="BD33" s="77"/>
      <c r="BF33">
        <v>33.08</v>
      </c>
      <c r="BH33" s="42"/>
      <c r="BI33" s="74"/>
      <c r="BJ33" s="77"/>
      <c r="BL33" s="497">
        <v>30.02</v>
      </c>
      <c r="BN33" s="42"/>
      <c r="BO33" s="74"/>
      <c r="BP33" s="77"/>
      <c r="BR33" s="497">
        <v>21.02</v>
      </c>
      <c r="BT33" s="42"/>
      <c r="BZ33" s="10">
        <f t="shared" si="33"/>
        <v>70</v>
      </c>
      <c r="CA33">
        <v>71</v>
      </c>
      <c r="CB33" s="11">
        <f t="shared" si="34"/>
        <v>72</v>
      </c>
      <c r="CC33" s="10">
        <f t="shared" si="5"/>
        <v>0</v>
      </c>
      <c r="CD33" s="11">
        <f t="shared" si="6"/>
        <v>0</v>
      </c>
      <c r="CE33" s="10">
        <f t="shared" si="7"/>
        <v>0</v>
      </c>
      <c r="CF33" s="11">
        <f t="shared" si="8"/>
        <v>0</v>
      </c>
      <c r="CG33" s="10">
        <f t="shared" si="9"/>
        <v>0</v>
      </c>
      <c r="CH33" s="11">
        <f t="shared" si="10"/>
        <v>0</v>
      </c>
      <c r="CI33" s="10">
        <f t="shared" si="11"/>
        <v>0</v>
      </c>
      <c r="CJ33" s="11">
        <f t="shared" si="12"/>
        <v>0</v>
      </c>
      <c r="CK33" s="10">
        <f t="shared" si="13"/>
        <v>0</v>
      </c>
      <c r="CL33" s="11">
        <f t="shared" si="14"/>
        <v>0</v>
      </c>
      <c r="CM33" s="10">
        <f t="shared" si="15"/>
        <v>0</v>
      </c>
      <c r="CN33" s="11">
        <f t="shared" si="16"/>
        <v>0</v>
      </c>
      <c r="CO33" s="10">
        <f t="shared" si="17"/>
        <v>0</v>
      </c>
      <c r="CP33" s="11">
        <f t="shared" si="18"/>
        <v>0</v>
      </c>
      <c r="CQ33" s="10">
        <f t="shared" si="19"/>
        <v>0</v>
      </c>
      <c r="CR33" s="11">
        <f t="shared" si="20"/>
        <v>0</v>
      </c>
      <c r="CS33" s="10">
        <f t="shared" si="21"/>
        <v>0</v>
      </c>
      <c r="CT33" s="11">
        <f t="shared" si="22"/>
        <v>0</v>
      </c>
      <c r="CU33" s="10">
        <f t="shared" si="23"/>
        <v>0</v>
      </c>
      <c r="CV33" s="11">
        <f t="shared" si="24"/>
        <v>0</v>
      </c>
      <c r="CW33" s="10">
        <f t="shared" si="25"/>
        <v>0</v>
      </c>
      <c r="CX33" s="11">
        <f t="shared" si="26"/>
        <v>0</v>
      </c>
      <c r="CY33" s="10">
        <f t="shared" si="27"/>
        <v>0</v>
      </c>
      <c r="CZ33" s="11">
        <f t="shared" si="28"/>
        <v>0</v>
      </c>
      <c r="DD33" s="79">
        <v>0.625</v>
      </c>
      <c r="DE33" s="16" t="e">
        <f>VLOOKUP($DD33,'Building Profiles'!$E$4:$AR$27,VLOOKUP(Inputs!$C$8,'Building Profiles'!$A$2:$B$14,2,FALSE)*3-1, FALSE)</f>
        <v>#N/A</v>
      </c>
      <c r="DF33" s="16" t="e">
        <f>VLOOKUP($DD33,'Building Profiles'!$E$4:$AR$27,VLOOKUP(Inputs!$C$8,'Building Profiles'!$A$2:$B$14,2,FALSE)*3, FALSE)</f>
        <v>#N/A</v>
      </c>
      <c r="DG33" s="19" t="e">
        <f>VLOOKUP($DD33,'Building Profiles'!$E$4:$AR$27,VLOOKUP(Inputs!$C$8,'Building Profiles'!$A$2:$B$14,2,FALSE)*3+1, FALSE)</f>
        <v>#N/A</v>
      </c>
      <c r="DK33" s="18">
        <f t="shared" si="29"/>
        <v>71</v>
      </c>
      <c r="DL33" s="18">
        <f t="shared" si="30"/>
        <v>0</v>
      </c>
    </row>
    <row r="34" spans="1:116" ht="15.75" thickBot="1" x14ac:dyDescent="0.3">
      <c r="A34" s="90">
        <v>36161</v>
      </c>
      <c r="B34" s="20">
        <v>0.66666666666666663</v>
      </c>
      <c r="D34">
        <v>37.04</v>
      </c>
      <c r="E34" t="str">
        <f t="shared" si="31"/>
        <v>WEEKDAY</v>
      </c>
      <c r="F34" t="e">
        <f t="shared" si="32"/>
        <v>#N/A</v>
      </c>
      <c r="G34" s="74">
        <v>27760</v>
      </c>
      <c r="H34" s="77">
        <v>0.66666666666666663</v>
      </c>
      <c r="J34">
        <v>37.94</v>
      </c>
      <c r="M34" s="74">
        <v>37622</v>
      </c>
      <c r="N34" s="77">
        <v>0.66666666666666663</v>
      </c>
      <c r="P34">
        <v>35.6</v>
      </c>
      <c r="S34" s="74">
        <v>36161</v>
      </c>
      <c r="T34" s="77">
        <v>0.66666666666666663</v>
      </c>
      <c r="V34">
        <v>26.96</v>
      </c>
      <c r="X34" s="42"/>
      <c r="AB34">
        <v>39.200000000000003</v>
      </c>
      <c r="AC34">
        <v>46.04</v>
      </c>
      <c r="AE34" s="74"/>
      <c r="AF34" s="77"/>
      <c r="AH34" s="497">
        <v>46.4</v>
      </c>
      <c r="AJ34" s="42"/>
      <c r="AK34" s="74"/>
      <c r="AL34" s="77"/>
      <c r="AN34" s="497">
        <v>24.98</v>
      </c>
      <c r="AP34" s="42"/>
      <c r="AQ34" s="74"/>
      <c r="AR34" s="77"/>
      <c r="AT34" s="497">
        <v>39.92</v>
      </c>
      <c r="AV34" s="42"/>
      <c r="AW34" s="74"/>
      <c r="AX34" s="77"/>
      <c r="BA34" s="497">
        <v>35.96</v>
      </c>
      <c r="BB34" s="42"/>
      <c r="BC34" s="74"/>
      <c r="BD34" s="77"/>
      <c r="BF34">
        <v>33.08</v>
      </c>
      <c r="BH34" s="42"/>
      <c r="BI34" s="74"/>
      <c r="BJ34" s="77"/>
      <c r="BL34" s="497">
        <v>30.02</v>
      </c>
      <c r="BN34" s="42"/>
      <c r="BO34" s="74"/>
      <c r="BP34" s="77"/>
      <c r="BR34" s="497">
        <v>19.04</v>
      </c>
      <c r="BT34" s="42"/>
      <c r="BZ34" s="10">
        <f t="shared" si="33"/>
        <v>68</v>
      </c>
      <c r="CA34">
        <v>69</v>
      </c>
      <c r="CB34" s="11">
        <f t="shared" si="34"/>
        <v>70</v>
      </c>
      <c r="CC34" s="10">
        <f t="shared" si="5"/>
        <v>0</v>
      </c>
      <c r="CD34" s="11">
        <f t="shared" si="6"/>
        <v>0</v>
      </c>
      <c r="CE34" s="10">
        <f t="shared" si="7"/>
        <v>0</v>
      </c>
      <c r="CF34" s="11">
        <f t="shared" si="8"/>
        <v>0</v>
      </c>
      <c r="CG34" s="10">
        <f t="shared" si="9"/>
        <v>0</v>
      </c>
      <c r="CH34" s="11">
        <f t="shared" si="10"/>
        <v>0</v>
      </c>
      <c r="CI34" s="10">
        <f t="shared" si="11"/>
        <v>0</v>
      </c>
      <c r="CJ34" s="11">
        <f t="shared" si="12"/>
        <v>0</v>
      </c>
      <c r="CK34" s="10">
        <f t="shared" si="13"/>
        <v>0</v>
      </c>
      <c r="CL34" s="11">
        <f t="shared" si="14"/>
        <v>0</v>
      </c>
      <c r="CM34" s="10">
        <f t="shared" si="15"/>
        <v>0</v>
      </c>
      <c r="CN34" s="11">
        <f t="shared" si="16"/>
        <v>0</v>
      </c>
      <c r="CO34" s="10">
        <f t="shared" si="17"/>
        <v>0</v>
      </c>
      <c r="CP34" s="11">
        <f t="shared" si="18"/>
        <v>0</v>
      </c>
      <c r="CQ34" s="10">
        <f t="shared" si="19"/>
        <v>0</v>
      </c>
      <c r="CR34" s="11">
        <f t="shared" si="20"/>
        <v>0</v>
      </c>
      <c r="CS34" s="10">
        <f t="shared" si="21"/>
        <v>0</v>
      </c>
      <c r="CT34" s="11">
        <f t="shared" si="22"/>
        <v>0</v>
      </c>
      <c r="CU34" s="10">
        <f t="shared" si="23"/>
        <v>0</v>
      </c>
      <c r="CV34" s="11">
        <f t="shared" si="24"/>
        <v>0</v>
      </c>
      <c r="CW34" s="10">
        <f t="shared" si="25"/>
        <v>0</v>
      </c>
      <c r="CX34" s="11">
        <f t="shared" si="26"/>
        <v>0</v>
      </c>
      <c r="CY34" s="10">
        <f t="shared" si="27"/>
        <v>0</v>
      </c>
      <c r="CZ34" s="11">
        <f t="shared" si="28"/>
        <v>0</v>
      </c>
      <c r="DD34" s="79">
        <v>0.66666666666666696</v>
      </c>
      <c r="DE34" s="16" t="e">
        <f>VLOOKUP($DD34,'Building Profiles'!$E$4:$AR$27,VLOOKUP(Inputs!$C$8,'Building Profiles'!$A$2:$B$14,2,FALSE)*3-1, FALSE)</f>
        <v>#N/A</v>
      </c>
      <c r="DF34" s="16" t="e">
        <f>VLOOKUP($DD34,'Building Profiles'!$E$4:$AR$27,VLOOKUP(Inputs!$C$8,'Building Profiles'!$A$2:$B$14,2,FALSE)*3, FALSE)</f>
        <v>#N/A</v>
      </c>
      <c r="DG34" s="19" t="e">
        <f>VLOOKUP($DD34,'Building Profiles'!$E$4:$AR$27,VLOOKUP(Inputs!$C$8,'Building Profiles'!$A$2:$B$14,2,FALSE)*3+1, FALSE)</f>
        <v>#N/A</v>
      </c>
      <c r="DK34" s="18">
        <f t="shared" si="29"/>
        <v>69</v>
      </c>
      <c r="DL34" s="18">
        <f t="shared" si="30"/>
        <v>0</v>
      </c>
    </row>
    <row r="35" spans="1:116" ht="15.75" thickBot="1" x14ac:dyDescent="0.3">
      <c r="A35" s="90">
        <v>36161</v>
      </c>
      <c r="B35" s="20">
        <v>0.70833333333333337</v>
      </c>
      <c r="D35">
        <v>35.06</v>
      </c>
      <c r="E35" t="str">
        <f t="shared" si="31"/>
        <v>WEEKDAY</v>
      </c>
      <c r="F35" t="e">
        <f t="shared" si="32"/>
        <v>#N/A</v>
      </c>
      <c r="G35" s="74">
        <v>27760</v>
      </c>
      <c r="H35" s="77">
        <v>0.70833333333333337</v>
      </c>
      <c r="J35">
        <v>35.06</v>
      </c>
      <c r="M35" s="74">
        <v>37622</v>
      </c>
      <c r="N35" s="77">
        <v>0.70833333333333337</v>
      </c>
      <c r="P35">
        <v>35.6</v>
      </c>
      <c r="S35" s="74">
        <v>36161</v>
      </c>
      <c r="T35" s="77">
        <v>0.70833333333333337</v>
      </c>
      <c r="V35">
        <v>23</v>
      </c>
      <c r="X35" s="42"/>
      <c r="AB35">
        <v>38.6</v>
      </c>
      <c r="AC35">
        <v>44.06</v>
      </c>
      <c r="AE35" s="74"/>
      <c r="AF35" s="77"/>
      <c r="AH35" s="497">
        <v>42.8</v>
      </c>
      <c r="AJ35" s="42"/>
      <c r="AK35" s="74"/>
      <c r="AL35" s="77"/>
      <c r="AN35" s="497">
        <v>21.92</v>
      </c>
      <c r="AP35" s="42"/>
      <c r="AQ35" s="74"/>
      <c r="AR35" s="77"/>
      <c r="AT35" s="497">
        <v>41</v>
      </c>
      <c r="AV35" s="42"/>
      <c r="AW35" s="74"/>
      <c r="AX35" s="77"/>
      <c r="BA35" s="497">
        <v>33.619999999999997</v>
      </c>
      <c r="BB35" s="42"/>
      <c r="BC35" s="74"/>
      <c r="BD35" s="77"/>
      <c r="BF35">
        <v>33.08</v>
      </c>
      <c r="BH35" s="42"/>
      <c r="BI35" s="74"/>
      <c r="BJ35" s="77"/>
      <c r="BL35" s="497">
        <v>30.02</v>
      </c>
      <c r="BN35" s="42"/>
      <c r="BO35" s="74"/>
      <c r="BP35" s="77"/>
      <c r="BR35" s="497">
        <v>15.079999999999998</v>
      </c>
      <c r="BT35" s="42"/>
      <c r="BZ35" s="10">
        <f t="shared" si="33"/>
        <v>66</v>
      </c>
      <c r="CA35">
        <v>67</v>
      </c>
      <c r="CB35" s="11">
        <f t="shared" si="34"/>
        <v>68</v>
      </c>
      <c r="CC35" s="10">
        <f t="shared" si="5"/>
        <v>0</v>
      </c>
      <c r="CD35" s="11">
        <f t="shared" si="6"/>
        <v>0</v>
      </c>
      <c r="CE35" s="10">
        <f t="shared" si="7"/>
        <v>0</v>
      </c>
      <c r="CF35" s="11">
        <f t="shared" si="8"/>
        <v>0</v>
      </c>
      <c r="CG35" s="10">
        <f t="shared" si="9"/>
        <v>0</v>
      </c>
      <c r="CH35" s="11">
        <f t="shared" si="10"/>
        <v>0</v>
      </c>
      <c r="CI35" s="10">
        <f t="shared" si="11"/>
        <v>0</v>
      </c>
      <c r="CJ35" s="11">
        <f t="shared" si="12"/>
        <v>0</v>
      </c>
      <c r="CK35" s="10">
        <f t="shared" si="13"/>
        <v>0</v>
      </c>
      <c r="CL35" s="11">
        <f t="shared" si="14"/>
        <v>0</v>
      </c>
      <c r="CM35" s="10">
        <f t="shared" si="15"/>
        <v>0</v>
      </c>
      <c r="CN35" s="11">
        <f t="shared" si="16"/>
        <v>0</v>
      </c>
      <c r="CO35" s="10">
        <f t="shared" si="17"/>
        <v>0</v>
      </c>
      <c r="CP35" s="11">
        <f t="shared" si="18"/>
        <v>0</v>
      </c>
      <c r="CQ35" s="10">
        <f t="shared" si="19"/>
        <v>0</v>
      </c>
      <c r="CR35" s="11">
        <f t="shared" si="20"/>
        <v>0</v>
      </c>
      <c r="CS35" s="10">
        <f t="shared" si="21"/>
        <v>0</v>
      </c>
      <c r="CT35" s="11">
        <f t="shared" si="22"/>
        <v>0</v>
      </c>
      <c r="CU35" s="10">
        <f t="shared" si="23"/>
        <v>0</v>
      </c>
      <c r="CV35" s="11">
        <f t="shared" si="24"/>
        <v>0</v>
      </c>
      <c r="CW35" s="10">
        <f t="shared" si="25"/>
        <v>0</v>
      </c>
      <c r="CX35" s="11">
        <f t="shared" si="26"/>
        <v>0</v>
      </c>
      <c r="CY35" s="10">
        <f t="shared" si="27"/>
        <v>0</v>
      </c>
      <c r="CZ35" s="11">
        <f t="shared" si="28"/>
        <v>0</v>
      </c>
      <c r="DD35" s="79">
        <v>0.70833333333333304</v>
      </c>
      <c r="DE35" s="16" t="e">
        <f>VLOOKUP($DD35,'Building Profiles'!$E$4:$AR$27,VLOOKUP(Inputs!$C$8,'Building Profiles'!$A$2:$B$14,2,FALSE)*3-1, FALSE)</f>
        <v>#N/A</v>
      </c>
      <c r="DF35" s="16" t="e">
        <f>VLOOKUP($DD35,'Building Profiles'!$E$4:$AR$27,VLOOKUP(Inputs!$C$8,'Building Profiles'!$A$2:$B$14,2,FALSE)*3, FALSE)</f>
        <v>#N/A</v>
      </c>
      <c r="DG35" s="19" t="e">
        <f>VLOOKUP($DD35,'Building Profiles'!$E$4:$AR$27,VLOOKUP(Inputs!$C$8,'Building Profiles'!$A$2:$B$14,2,FALSE)*3+1, FALSE)</f>
        <v>#N/A</v>
      </c>
      <c r="DK35" s="18">
        <f t="shared" si="29"/>
        <v>67</v>
      </c>
      <c r="DL35" s="18">
        <f t="shared" si="30"/>
        <v>0</v>
      </c>
    </row>
    <row r="36" spans="1:116" ht="15.75" thickBot="1" x14ac:dyDescent="0.3">
      <c r="A36" s="90">
        <v>36161</v>
      </c>
      <c r="B36" s="20">
        <v>0.75</v>
      </c>
      <c r="D36">
        <v>35.96</v>
      </c>
      <c r="E36" t="str">
        <f t="shared" si="31"/>
        <v>WEEKDAY</v>
      </c>
      <c r="F36" t="e">
        <f t="shared" si="32"/>
        <v>#N/A</v>
      </c>
      <c r="G36" s="74">
        <v>27760</v>
      </c>
      <c r="H36" s="77">
        <v>0.75</v>
      </c>
      <c r="J36">
        <v>33.979999999999997</v>
      </c>
      <c r="M36" s="74">
        <v>37622</v>
      </c>
      <c r="N36" s="77">
        <v>0.75</v>
      </c>
      <c r="P36">
        <v>35.6</v>
      </c>
      <c r="S36" s="74">
        <v>36161</v>
      </c>
      <c r="T36" s="77">
        <v>0.75</v>
      </c>
      <c r="V36">
        <v>21.92</v>
      </c>
      <c r="X36" s="42"/>
      <c r="AB36">
        <v>37.4</v>
      </c>
      <c r="AC36">
        <v>44.06</v>
      </c>
      <c r="AE36" s="74"/>
      <c r="AF36" s="77"/>
      <c r="AH36" s="497">
        <v>39.200000000000003</v>
      </c>
      <c r="AJ36" s="42"/>
      <c r="AK36" s="74"/>
      <c r="AL36" s="77"/>
      <c r="AN36" s="497">
        <v>21.02</v>
      </c>
      <c r="AP36" s="42"/>
      <c r="AQ36" s="74"/>
      <c r="AR36" s="77"/>
      <c r="AT36" s="497">
        <v>42.08</v>
      </c>
      <c r="AV36" s="42"/>
      <c r="AW36" s="74"/>
      <c r="AX36" s="77"/>
      <c r="BA36" s="497">
        <v>31.28</v>
      </c>
      <c r="BB36" s="42"/>
      <c r="BC36" s="74"/>
      <c r="BD36" s="77"/>
      <c r="BF36">
        <v>32</v>
      </c>
      <c r="BH36" s="42"/>
      <c r="BI36" s="74"/>
      <c r="BJ36" s="77"/>
      <c r="BL36" s="497">
        <v>30.02</v>
      </c>
      <c r="BN36" s="42"/>
      <c r="BO36" s="74"/>
      <c r="BP36" s="77"/>
      <c r="BR36" s="497">
        <v>15.98</v>
      </c>
      <c r="BT36" s="42"/>
      <c r="BZ36" s="10">
        <f t="shared" si="33"/>
        <v>64</v>
      </c>
      <c r="CA36">
        <v>65</v>
      </c>
      <c r="CB36" s="11">
        <f t="shared" si="34"/>
        <v>66</v>
      </c>
      <c r="CC36" s="10">
        <f t="shared" si="5"/>
        <v>0</v>
      </c>
      <c r="CD36" s="11">
        <f t="shared" si="6"/>
        <v>0</v>
      </c>
      <c r="CE36" s="10">
        <f t="shared" si="7"/>
        <v>0</v>
      </c>
      <c r="CF36" s="11">
        <f t="shared" si="8"/>
        <v>0</v>
      </c>
      <c r="CG36" s="10">
        <f t="shared" si="9"/>
        <v>0</v>
      </c>
      <c r="CH36" s="11">
        <f t="shared" si="10"/>
        <v>0</v>
      </c>
      <c r="CI36" s="10">
        <f t="shared" si="11"/>
        <v>0</v>
      </c>
      <c r="CJ36" s="11">
        <f t="shared" si="12"/>
        <v>0</v>
      </c>
      <c r="CK36" s="10">
        <f t="shared" si="13"/>
        <v>0</v>
      </c>
      <c r="CL36" s="11">
        <f t="shared" si="14"/>
        <v>0</v>
      </c>
      <c r="CM36" s="10">
        <f t="shared" si="15"/>
        <v>0</v>
      </c>
      <c r="CN36" s="11">
        <f t="shared" si="16"/>
        <v>0</v>
      </c>
      <c r="CO36" s="10">
        <f t="shared" si="17"/>
        <v>0</v>
      </c>
      <c r="CP36" s="11">
        <f t="shared" si="18"/>
        <v>0</v>
      </c>
      <c r="CQ36" s="10">
        <f t="shared" si="19"/>
        <v>0</v>
      </c>
      <c r="CR36" s="11">
        <f t="shared" si="20"/>
        <v>0</v>
      </c>
      <c r="CS36" s="10">
        <f t="shared" si="21"/>
        <v>0</v>
      </c>
      <c r="CT36" s="11">
        <f t="shared" si="22"/>
        <v>0</v>
      </c>
      <c r="CU36" s="10">
        <f t="shared" si="23"/>
        <v>0</v>
      </c>
      <c r="CV36" s="11">
        <f t="shared" si="24"/>
        <v>0</v>
      </c>
      <c r="CW36" s="10">
        <f t="shared" si="25"/>
        <v>0</v>
      </c>
      <c r="CX36" s="11">
        <f t="shared" si="26"/>
        <v>0</v>
      </c>
      <c r="CY36" s="10">
        <f t="shared" si="27"/>
        <v>0</v>
      </c>
      <c r="CZ36" s="11">
        <f t="shared" si="28"/>
        <v>0</v>
      </c>
      <c r="DD36" s="79">
        <v>0.75</v>
      </c>
      <c r="DE36" s="16" t="e">
        <f>VLOOKUP($DD36,'Building Profiles'!$E$4:$AR$27,VLOOKUP(Inputs!$C$8,'Building Profiles'!$A$2:$B$14,2,FALSE)*3-1, FALSE)</f>
        <v>#N/A</v>
      </c>
      <c r="DF36" s="16" t="e">
        <f>VLOOKUP($DD36,'Building Profiles'!$E$4:$AR$27,VLOOKUP(Inputs!$C$8,'Building Profiles'!$A$2:$B$14,2,FALSE)*3, FALSE)</f>
        <v>#N/A</v>
      </c>
      <c r="DG36" s="19" t="e">
        <f>VLOOKUP($DD36,'Building Profiles'!$E$4:$AR$27,VLOOKUP(Inputs!$C$8,'Building Profiles'!$A$2:$B$14,2,FALSE)*3+1, FALSE)</f>
        <v>#N/A</v>
      </c>
      <c r="DK36" s="18">
        <f t="shared" si="29"/>
        <v>65</v>
      </c>
      <c r="DL36" s="18">
        <f t="shared" si="30"/>
        <v>0</v>
      </c>
    </row>
    <row r="37" spans="1:116" ht="15.75" thickBot="1" x14ac:dyDescent="0.3">
      <c r="A37" s="90">
        <v>36161</v>
      </c>
      <c r="B37" s="20">
        <v>0.79166666666666663</v>
      </c>
      <c r="D37">
        <v>37.04</v>
      </c>
      <c r="E37" t="str">
        <f t="shared" si="31"/>
        <v>WEEKDAY</v>
      </c>
      <c r="F37" t="e">
        <f t="shared" si="32"/>
        <v>#N/A</v>
      </c>
      <c r="G37" s="74">
        <v>27760</v>
      </c>
      <c r="H37" s="77">
        <v>0.79166666666666663</v>
      </c>
      <c r="J37">
        <v>33.979999999999997</v>
      </c>
      <c r="M37" s="74">
        <v>37622</v>
      </c>
      <c r="N37" s="77">
        <v>0.79166666666666663</v>
      </c>
      <c r="P37">
        <v>35.6</v>
      </c>
      <c r="S37" s="74">
        <v>36161</v>
      </c>
      <c r="T37" s="77">
        <v>0.79166666666666663</v>
      </c>
      <c r="V37">
        <v>21.02</v>
      </c>
      <c r="X37" s="42"/>
      <c r="AB37">
        <v>36.9</v>
      </c>
      <c r="AC37">
        <v>44.06</v>
      </c>
      <c r="AE37" s="74"/>
      <c r="AF37" s="77"/>
      <c r="AH37" s="497">
        <v>37.4</v>
      </c>
      <c r="AJ37" s="42"/>
      <c r="AK37" s="74"/>
      <c r="AL37" s="77"/>
      <c r="AN37" s="497">
        <v>21.92</v>
      </c>
      <c r="AP37" s="42"/>
      <c r="AQ37" s="74"/>
      <c r="AR37" s="77"/>
      <c r="AT37" s="497">
        <v>44.06</v>
      </c>
      <c r="AV37" s="42"/>
      <c r="AW37" s="74"/>
      <c r="AX37" s="77"/>
      <c r="BA37" s="497">
        <v>28.94</v>
      </c>
      <c r="BB37" s="42"/>
      <c r="BC37" s="74"/>
      <c r="BD37" s="77"/>
      <c r="BF37">
        <v>30.92</v>
      </c>
      <c r="BH37" s="42"/>
      <c r="BI37" s="74"/>
      <c r="BJ37" s="77"/>
      <c r="BL37" s="497">
        <v>30.02</v>
      </c>
      <c r="BN37" s="42"/>
      <c r="BO37" s="74"/>
      <c r="BP37" s="77"/>
      <c r="BR37" s="497">
        <v>17.059999999999999</v>
      </c>
      <c r="BT37" s="42"/>
      <c r="BZ37" s="10">
        <f t="shared" si="33"/>
        <v>62</v>
      </c>
      <c r="CA37">
        <v>63</v>
      </c>
      <c r="CB37" s="11">
        <f t="shared" si="34"/>
        <v>64</v>
      </c>
      <c r="CC37" s="10">
        <f t="shared" si="5"/>
        <v>0</v>
      </c>
      <c r="CD37" s="11">
        <f t="shared" si="6"/>
        <v>0</v>
      </c>
      <c r="CE37" s="10">
        <f t="shared" si="7"/>
        <v>0</v>
      </c>
      <c r="CF37" s="11">
        <f t="shared" si="8"/>
        <v>0</v>
      </c>
      <c r="CG37" s="10">
        <f t="shared" si="9"/>
        <v>0</v>
      </c>
      <c r="CH37" s="11">
        <f t="shared" si="10"/>
        <v>0</v>
      </c>
      <c r="CI37" s="10">
        <f t="shared" si="11"/>
        <v>0</v>
      </c>
      <c r="CJ37" s="11">
        <f t="shared" si="12"/>
        <v>0</v>
      </c>
      <c r="CK37" s="10">
        <f t="shared" si="13"/>
        <v>0</v>
      </c>
      <c r="CL37" s="11">
        <f t="shared" si="14"/>
        <v>0</v>
      </c>
      <c r="CM37" s="10">
        <f t="shared" si="15"/>
        <v>0</v>
      </c>
      <c r="CN37" s="11">
        <f t="shared" si="16"/>
        <v>0</v>
      </c>
      <c r="CO37" s="10">
        <f t="shared" si="17"/>
        <v>0</v>
      </c>
      <c r="CP37" s="11">
        <f t="shared" si="18"/>
        <v>0</v>
      </c>
      <c r="CQ37" s="10">
        <f t="shared" si="19"/>
        <v>0</v>
      </c>
      <c r="CR37" s="11">
        <f t="shared" si="20"/>
        <v>0</v>
      </c>
      <c r="CS37" s="10">
        <f t="shared" si="21"/>
        <v>0</v>
      </c>
      <c r="CT37" s="11">
        <f t="shared" si="22"/>
        <v>0</v>
      </c>
      <c r="CU37" s="10">
        <f t="shared" si="23"/>
        <v>0</v>
      </c>
      <c r="CV37" s="11">
        <f t="shared" si="24"/>
        <v>0</v>
      </c>
      <c r="CW37" s="10">
        <f t="shared" si="25"/>
        <v>0</v>
      </c>
      <c r="CX37" s="11">
        <f t="shared" si="26"/>
        <v>0</v>
      </c>
      <c r="CY37" s="10">
        <f t="shared" si="27"/>
        <v>0</v>
      </c>
      <c r="CZ37" s="11">
        <f t="shared" si="28"/>
        <v>0</v>
      </c>
      <c r="DD37" s="79">
        <v>0.79166666666666596</v>
      </c>
      <c r="DE37" s="16" t="e">
        <f>VLOOKUP($DD37,'Building Profiles'!$E$4:$AR$27,VLOOKUP(Inputs!$C$8,'Building Profiles'!$A$2:$B$14,2,FALSE)*3-1, FALSE)</f>
        <v>#N/A</v>
      </c>
      <c r="DF37" s="16" t="e">
        <f>VLOOKUP($DD37,'Building Profiles'!$E$4:$AR$27,VLOOKUP(Inputs!$C$8,'Building Profiles'!$A$2:$B$14,2,FALSE)*3, FALSE)</f>
        <v>#N/A</v>
      </c>
      <c r="DG37" s="19" t="e">
        <f>VLOOKUP($DD37,'Building Profiles'!$E$4:$AR$27,VLOOKUP(Inputs!$C$8,'Building Profiles'!$A$2:$B$14,2,FALSE)*3+1, FALSE)</f>
        <v>#N/A</v>
      </c>
      <c r="DK37" s="18">
        <f t="shared" si="29"/>
        <v>63</v>
      </c>
      <c r="DL37" s="18">
        <f t="shared" si="30"/>
        <v>0</v>
      </c>
    </row>
    <row r="38" spans="1:116" ht="15.75" thickBot="1" x14ac:dyDescent="0.3">
      <c r="A38" s="90">
        <v>36161</v>
      </c>
      <c r="B38" s="20">
        <v>0.83333333333333337</v>
      </c>
      <c r="D38">
        <v>35.96</v>
      </c>
      <c r="E38" t="str">
        <f t="shared" si="31"/>
        <v>WEEKDAY</v>
      </c>
      <c r="F38" t="e">
        <f t="shared" si="32"/>
        <v>#N/A</v>
      </c>
      <c r="G38" s="74">
        <v>27760</v>
      </c>
      <c r="H38" s="77">
        <v>0.83333333333333337</v>
      </c>
      <c r="J38">
        <v>33.979999999999997</v>
      </c>
      <c r="M38" s="74">
        <v>37622</v>
      </c>
      <c r="N38" s="77">
        <v>0.83333333333333337</v>
      </c>
      <c r="P38">
        <v>35.6</v>
      </c>
      <c r="S38" s="74">
        <v>36161</v>
      </c>
      <c r="T38" s="77">
        <v>0.83333333333333337</v>
      </c>
      <c r="V38">
        <v>19.939999999999998</v>
      </c>
      <c r="X38" s="42"/>
      <c r="AB38">
        <v>36.6</v>
      </c>
      <c r="AC38">
        <v>39.019999999999996</v>
      </c>
      <c r="AE38" s="74"/>
      <c r="AF38" s="77"/>
      <c r="AH38" s="497">
        <v>33.799999999999997</v>
      </c>
      <c r="AJ38" s="42"/>
      <c r="AK38" s="74"/>
      <c r="AL38" s="77"/>
      <c r="AN38" s="497">
        <v>21.02</v>
      </c>
      <c r="AP38" s="42"/>
      <c r="AQ38" s="74"/>
      <c r="AR38" s="77"/>
      <c r="AT38" s="497">
        <v>46.94</v>
      </c>
      <c r="AV38" s="42"/>
      <c r="AW38" s="74"/>
      <c r="AX38" s="77"/>
      <c r="BA38" s="497">
        <v>29.3</v>
      </c>
      <c r="BB38" s="42"/>
      <c r="BC38" s="74"/>
      <c r="BD38" s="77"/>
      <c r="BF38">
        <v>30.92</v>
      </c>
      <c r="BH38" s="42"/>
      <c r="BI38" s="74"/>
      <c r="BJ38" s="77"/>
      <c r="BL38" s="497">
        <v>30.38</v>
      </c>
      <c r="BN38" s="42"/>
      <c r="BO38" s="74"/>
      <c r="BP38" s="77"/>
      <c r="BR38" s="497">
        <v>17.059999999999999</v>
      </c>
      <c r="BT38" s="42"/>
      <c r="BZ38" s="10">
        <f t="shared" si="33"/>
        <v>60</v>
      </c>
      <c r="CA38">
        <v>61</v>
      </c>
      <c r="CB38" s="11">
        <f t="shared" si="34"/>
        <v>62</v>
      </c>
      <c r="CC38" s="10">
        <f t="shared" si="5"/>
        <v>0</v>
      </c>
      <c r="CD38" s="11">
        <f t="shared" si="6"/>
        <v>0</v>
      </c>
      <c r="CE38" s="10">
        <f t="shared" si="7"/>
        <v>0</v>
      </c>
      <c r="CF38" s="11">
        <f t="shared" si="8"/>
        <v>0</v>
      </c>
      <c r="CG38" s="10">
        <f t="shared" si="9"/>
        <v>0</v>
      </c>
      <c r="CH38" s="11">
        <f t="shared" si="10"/>
        <v>0</v>
      </c>
      <c r="CI38" s="10">
        <f t="shared" si="11"/>
        <v>0</v>
      </c>
      <c r="CJ38" s="11">
        <f t="shared" si="12"/>
        <v>0</v>
      </c>
      <c r="CK38" s="10">
        <f t="shared" si="13"/>
        <v>0</v>
      </c>
      <c r="CL38" s="11">
        <f t="shared" si="14"/>
        <v>0</v>
      </c>
      <c r="CM38" s="10">
        <f t="shared" si="15"/>
        <v>0</v>
      </c>
      <c r="CN38" s="11">
        <f t="shared" si="16"/>
        <v>0</v>
      </c>
      <c r="CO38" s="10">
        <f t="shared" si="17"/>
        <v>0</v>
      </c>
      <c r="CP38" s="11">
        <f t="shared" si="18"/>
        <v>0</v>
      </c>
      <c r="CQ38" s="10">
        <f t="shared" si="19"/>
        <v>0</v>
      </c>
      <c r="CR38" s="11">
        <f t="shared" si="20"/>
        <v>0</v>
      </c>
      <c r="CS38" s="10">
        <f t="shared" si="21"/>
        <v>0</v>
      </c>
      <c r="CT38" s="11">
        <f t="shared" si="22"/>
        <v>0</v>
      </c>
      <c r="CU38" s="10">
        <f t="shared" si="23"/>
        <v>0</v>
      </c>
      <c r="CV38" s="11">
        <f t="shared" si="24"/>
        <v>0</v>
      </c>
      <c r="CW38" s="10">
        <f t="shared" si="25"/>
        <v>0</v>
      </c>
      <c r="CX38" s="11">
        <f t="shared" si="26"/>
        <v>0</v>
      </c>
      <c r="CY38" s="10">
        <f t="shared" si="27"/>
        <v>0</v>
      </c>
      <c r="CZ38" s="11">
        <f t="shared" si="28"/>
        <v>0</v>
      </c>
      <c r="DD38" s="79">
        <v>0.83333333333333304</v>
      </c>
      <c r="DE38" s="16" t="e">
        <f>VLOOKUP($DD38,'Building Profiles'!$E$4:$AR$27,VLOOKUP(Inputs!$C$8,'Building Profiles'!$A$2:$B$14,2,FALSE)*3-1, FALSE)</f>
        <v>#N/A</v>
      </c>
      <c r="DF38" s="16" t="e">
        <f>VLOOKUP($DD38,'Building Profiles'!$E$4:$AR$27,VLOOKUP(Inputs!$C$8,'Building Profiles'!$A$2:$B$14,2,FALSE)*3, FALSE)</f>
        <v>#N/A</v>
      </c>
      <c r="DG38" s="19" t="e">
        <f>VLOOKUP($DD38,'Building Profiles'!$E$4:$AR$27,VLOOKUP(Inputs!$C$8,'Building Profiles'!$A$2:$B$14,2,FALSE)*3+1, FALSE)</f>
        <v>#N/A</v>
      </c>
      <c r="DK38" s="18">
        <f t="shared" si="29"/>
        <v>61</v>
      </c>
      <c r="DL38" s="18">
        <f t="shared" si="30"/>
        <v>0</v>
      </c>
    </row>
    <row r="39" spans="1:116" ht="15.75" thickBot="1" x14ac:dyDescent="0.3">
      <c r="A39" s="90">
        <v>36161</v>
      </c>
      <c r="B39" s="20">
        <v>0.875</v>
      </c>
      <c r="D39">
        <v>37.94</v>
      </c>
      <c r="E39" t="str">
        <f t="shared" si="31"/>
        <v>WEEKDAY</v>
      </c>
      <c r="F39" t="e">
        <f t="shared" si="32"/>
        <v>#N/A</v>
      </c>
      <c r="G39" s="74">
        <v>27760</v>
      </c>
      <c r="H39" s="77">
        <v>0.875</v>
      </c>
      <c r="J39">
        <v>33.08</v>
      </c>
      <c r="M39" s="74">
        <v>37622</v>
      </c>
      <c r="N39" s="77">
        <v>0.875</v>
      </c>
      <c r="P39">
        <v>35.42</v>
      </c>
      <c r="S39" s="74">
        <v>36161</v>
      </c>
      <c r="T39" s="77">
        <v>0.875</v>
      </c>
      <c r="V39">
        <v>17.059999999999999</v>
      </c>
      <c r="X39" s="42"/>
      <c r="AB39">
        <v>36.1</v>
      </c>
      <c r="AC39">
        <v>39.019999999999996</v>
      </c>
      <c r="AE39" s="74"/>
      <c r="AF39" s="77"/>
      <c r="AH39" s="497">
        <v>30.2</v>
      </c>
      <c r="AJ39" s="42"/>
      <c r="AK39" s="74"/>
      <c r="AL39" s="77"/>
      <c r="AN39" s="497">
        <v>21.02</v>
      </c>
      <c r="AP39" s="42"/>
      <c r="AQ39" s="74"/>
      <c r="AR39" s="77"/>
      <c r="AT39" s="497">
        <v>48.92</v>
      </c>
      <c r="AV39" s="42"/>
      <c r="AW39" s="74"/>
      <c r="AX39" s="77"/>
      <c r="BA39" s="497">
        <v>29.66</v>
      </c>
      <c r="BB39" s="42"/>
      <c r="BC39" s="74"/>
      <c r="BD39" s="77"/>
      <c r="BF39">
        <v>30.02</v>
      </c>
      <c r="BH39" s="42"/>
      <c r="BI39" s="74"/>
      <c r="BJ39" s="77"/>
      <c r="BL39" s="497">
        <v>30.56</v>
      </c>
      <c r="BN39" s="42"/>
      <c r="BO39" s="74"/>
      <c r="BP39" s="77"/>
      <c r="BR39" s="497">
        <v>21.92</v>
      </c>
      <c r="BT39" s="42"/>
      <c r="BZ39" s="10">
        <f t="shared" si="33"/>
        <v>58</v>
      </c>
      <c r="CA39">
        <v>59</v>
      </c>
      <c r="CB39" s="11">
        <f t="shared" si="34"/>
        <v>60</v>
      </c>
      <c r="CC39" s="10">
        <f t="shared" si="5"/>
        <v>0</v>
      </c>
      <c r="CD39" s="11">
        <f t="shared" si="6"/>
        <v>0</v>
      </c>
      <c r="CE39" s="10">
        <f t="shared" si="7"/>
        <v>0</v>
      </c>
      <c r="CF39" s="11">
        <f t="shared" si="8"/>
        <v>0</v>
      </c>
      <c r="CG39" s="10">
        <f t="shared" si="9"/>
        <v>0</v>
      </c>
      <c r="CH39" s="11">
        <f t="shared" si="10"/>
        <v>0</v>
      </c>
      <c r="CI39" s="10">
        <f t="shared" si="11"/>
        <v>0</v>
      </c>
      <c r="CJ39" s="11">
        <f t="shared" si="12"/>
        <v>0</v>
      </c>
      <c r="CK39" s="10">
        <f t="shared" si="13"/>
        <v>0</v>
      </c>
      <c r="CL39" s="11">
        <f t="shared" si="14"/>
        <v>0</v>
      </c>
      <c r="CM39" s="10">
        <f t="shared" si="15"/>
        <v>0</v>
      </c>
      <c r="CN39" s="11">
        <f t="shared" si="16"/>
        <v>0</v>
      </c>
      <c r="CO39" s="10">
        <f t="shared" si="17"/>
        <v>0</v>
      </c>
      <c r="CP39" s="11">
        <f t="shared" si="18"/>
        <v>0</v>
      </c>
      <c r="CQ39" s="10">
        <f t="shared" si="19"/>
        <v>0</v>
      </c>
      <c r="CR39" s="11">
        <f t="shared" si="20"/>
        <v>0</v>
      </c>
      <c r="CS39" s="10">
        <f t="shared" si="21"/>
        <v>0</v>
      </c>
      <c r="CT39" s="11">
        <f t="shared" si="22"/>
        <v>0</v>
      </c>
      <c r="CU39" s="10">
        <f t="shared" si="23"/>
        <v>0</v>
      </c>
      <c r="CV39" s="11">
        <f t="shared" si="24"/>
        <v>0</v>
      </c>
      <c r="CW39" s="10">
        <f t="shared" si="25"/>
        <v>0</v>
      </c>
      <c r="CX39" s="11">
        <f t="shared" si="26"/>
        <v>0</v>
      </c>
      <c r="CY39" s="10">
        <f t="shared" si="27"/>
        <v>0</v>
      </c>
      <c r="CZ39" s="11">
        <f t="shared" si="28"/>
        <v>0</v>
      </c>
      <c r="DD39" s="79">
        <v>0.875</v>
      </c>
      <c r="DE39" s="16" t="e">
        <f>VLOOKUP($DD39,'Building Profiles'!$E$4:$AR$27,VLOOKUP(Inputs!$C$8,'Building Profiles'!$A$2:$B$14,2,FALSE)*3-1, FALSE)</f>
        <v>#N/A</v>
      </c>
      <c r="DF39" s="16" t="e">
        <f>VLOOKUP($DD39,'Building Profiles'!$E$4:$AR$27,VLOOKUP(Inputs!$C$8,'Building Profiles'!$A$2:$B$14,2,FALSE)*3, FALSE)</f>
        <v>#N/A</v>
      </c>
      <c r="DG39" s="19" t="e">
        <f>VLOOKUP($DD39,'Building Profiles'!$E$4:$AR$27,VLOOKUP(Inputs!$C$8,'Building Profiles'!$A$2:$B$14,2,FALSE)*3+1, FALSE)</f>
        <v>#N/A</v>
      </c>
      <c r="DK39" s="18">
        <f t="shared" si="29"/>
        <v>59</v>
      </c>
      <c r="DL39" s="18">
        <f t="shared" si="30"/>
        <v>0</v>
      </c>
    </row>
    <row r="40" spans="1:116" ht="15.75" thickBot="1" x14ac:dyDescent="0.3">
      <c r="A40" s="90">
        <v>36161</v>
      </c>
      <c r="B40" s="20">
        <v>0.91666666666666663</v>
      </c>
      <c r="D40">
        <v>37.94</v>
      </c>
      <c r="E40" t="str">
        <f t="shared" si="31"/>
        <v>WEEKDAY</v>
      </c>
      <c r="F40" t="e">
        <f t="shared" si="32"/>
        <v>#N/A</v>
      </c>
      <c r="G40" s="74">
        <v>27760</v>
      </c>
      <c r="H40" s="77">
        <v>0.91666666666666663</v>
      </c>
      <c r="J40">
        <v>32</v>
      </c>
      <c r="M40" s="74">
        <v>37622</v>
      </c>
      <c r="N40" s="77">
        <v>0.91666666666666663</v>
      </c>
      <c r="P40">
        <v>35.6</v>
      </c>
      <c r="S40" s="74">
        <v>36161</v>
      </c>
      <c r="T40" s="77">
        <v>0.91666666666666663</v>
      </c>
      <c r="V40">
        <v>15.079999999999998</v>
      </c>
      <c r="X40" s="42"/>
      <c r="AB40">
        <v>35.5</v>
      </c>
      <c r="AC40">
        <v>41</v>
      </c>
      <c r="AE40" s="74"/>
      <c r="AF40" s="77"/>
      <c r="AH40" s="497">
        <v>28.4</v>
      </c>
      <c r="AJ40" s="42"/>
      <c r="AK40" s="74"/>
      <c r="AL40" s="77"/>
      <c r="AN40" s="497">
        <v>21.02</v>
      </c>
      <c r="AP40" s="42"/>
      <c r="AQ40" s="74"/>
      <c r="AR40" s="77"/>
      <c r="AT40" s="497">
        <v>50</v>
      </c>
      <c r="AV40" s="42"/>
      <c r="AW40" s="74"/>
      <c r="AX40" s="77"/>
      <c r="BA40" s="497">
        <v>30.02</v>
      </c>
      <c r="BB40" s="42"/>
      <c r="BC40" s="74"/>
      <c r="BD40" s="77"/>
      <c r="BF40">
        <v>30.02</v>
      </c>
      <c r="BH40" s="42"/>
      <c r="BI40" s="74"/>
      <c r="BJ40" s="77"/>
      <c r="BL40" s="497">
        <v>30.92</v>
      </c>
      <c r="BN40" s="42"/>
      <c r="BO40" s="74"/>
      <c r="BP40" s="77"/>
      <c r="BR40" s="497">
        <v>23</v>
      </c>
      <c r="BT40" s="42"/>
      <c r="BZ40" s="10">
        <f t="shared" si="33"/>
        <v>56</v>
      </c>
      <c r="CA40">
        <v>57</v>
      </c>
      <c r="CB40" s="11">
        <f t="shared" si="34"/>
        <v>58</v>
      </c>
      <c r="CC40" s="10">
        <f t="shared" si="5"/>
        <v>0</v>
      </c>
      <c r="CD40" s="11">
        <f t="shared" si="6"/>
        <v>0</v>
      </c>
      <c r="CE40" s="10">
        <f t="shared" si="7"/>
        <v>0</v>
      </c>
      <c r="CF40" s="11">
        <f t="shared" si="8"/>
        <v>0</v>
      </c>
      <c r="CG40" s="10">
        <f t="shared" si="9"/>
        <v>0</v>
      </c>
      <c r="CH40" s="11">
        <f t="shared" si="10"/>
        <v>0</v>
      </c>
      <c r="CI40" s="10">
        <f t="shared" si="11"/>
        <v>0</v>
      </c>
      <c r="CJ40" s="11">
        <f t="shared" si="12"/>
        <v>0</v>
      </c>
      <c r="CK40" s="10">
        <f t="shared" si="13"/>
        <v>0</v>
      </c>
      <c r="CL40" s="11">
        <f t="shared" si="14"/>
        <v>0</v>
      </c>
      <c r="CM40" s="10">
        <f t="shared" si="15"/>
        <v>0</v>
      </c>
      <c r="CN40" s="11">
        <f t="shared" si="16"/>
        <v>0</v>
      </c>
      <c r="CO40" s="10">
        <f t="shared" si="17"/>
        <v>0</v>
      </c>
      <c r="CP40" s="11">
        <f t="shared" si="18"/>
        <v>0</v>
      </c>
      <c r="CQ40" s="10">
        <f t="shared" si="19"/>
        <v>0</v>
      </c>
      <c r="CR40" s="11">
        <f t="shared" si="20"/>
        <v>0</v>
      </c>
      <c r="CS40" s="10">
        <f t="shared" si="21"/>
        <v>0</v>
      </c>
      <c r="CT40" s="11">
        <f t="shared" si="22"/>
        <v>0</v>
      </c>
      <c r="CU40" s="10">
        <f t="shared" si="23"/>
        <v>0</v>
      </c>
      <c r="CV40" s="11">
        <f t="shared" si="24"/>
        <v>0</v>
      </c>
      <c r="CW40" s="10">
        <f t="shared" si="25"/>
        <v>0</v>
      </c>
      <c r="CX40" s="11">
        <f t="shared" si="26"/>
        <v>0</v>
      </c>
      <c r="CY40" s="10">
        <f t="shared" si="27"/>
        <v>0</v>
      </c>
      <c r="CZ40" s="11">
        <f t="shared" si="28"/>
        <v>0</v>
      </c>
      <c r="DD40" s="79">
        <v>0.91666666666666596</v>
      </c>
      <c r="DE40" s="16" t="e">
        <f>VLOOKUP($DD40,'Building Profiles'!$E$4:$AR$27,VLOOKUP(Inputs!$C$8,'Building Profiles'!$A$2:$B$14,2,FALSE)*3-1, FALSE)</f>
        <v>#N/A</v>
      </c>
      <c r="DF40" s="16" t="e">
        <f>VLOOKUP($DD40,'Building Profiles'!$E$4:$AR$27,VLOOKUP(Inputs!$C$8,'Building Profiles'!$A$2:$B$14,2,FALSE)*3, FALSE)</f>
        <v>#N/A</v>
      </c>
      <c r="DG40" s="19" t="e">
        <f>VLOOKUP($DD40,'Building Profiles'!$E$4:$AR$27,VLOOKUP(Inputs!$C$8,'Building Profiles'!$A$2:$B$14,2,FALSE)*3+1, FALSE)</f>
        <v>#N/A</v>
      </c>
      <c r="DK40" s="18">
        <f t="shared" si="29"/>
        <v>57</v>
      </c>
      <c r="DL40" s="18">
        <f t="shared" si="30"/>
        <v>0</v>
      </c>
    </row>
    <row r="41" spans="1:116" ht="15.75" thickBot="1" x14ac:dyDescent="0.3">
      <c r="A41" s="90">
        <v>36161</v>
      </c>
      <c r="B41" s="20">
        <v>0.95833333333333337</v>
      </c>
      <c r="D41">
        <v>37.94</v>
      </c>
      <c r="E41" t="str">
        <f t="shared" si="31"/>
        <v>WEEKDAY</v>
      </c>
      <c r="F41" t="e">
        <f t="shared" si="32"/>
        <v>#N/A</v>
      </c>
      <c r="G41" s="74">
        <v>27760</v>
      </c>
      <c r="H41" s="77">
        <v>0.95833333333333337</v>
      </c>
      <c r="J41">
        <v>30.92</v>
      </c>
      <c r="M41" s="74">
        <v>37622</v>
      </c>
      <c r="N41" s="77">
        <v>0.95833333333333337</v>
      </c>
      <c r="P41">
        <v>33.799999999999997</v>
      </c>
      <c r="S41" s="74">
        <v>36161</v>
      </c>
      <c r="T41" s="77">
        <v>0.95833333333333337</v>
      </c>
      <c r="V41">
        <v>14</v>
      </c>
      <c r="X41" s="42"/>
      <c r="AB41">
        <v>35.1</v>
      </c>
      <c r="AC41">
        <v>42.980000000000004</v>
      </c>
      <c r="AE41" s="74"/>
      <c r="AF41" s="77"/>
      <c r="AH41" s="497">
        <v>30.2</v>
      </c>
      <c r="AJ41" s="42"/>
      <c r="AK41" s="74"/>
      <c r="AL41" s="77"/>
      <c r="AN41" s="497">
        <v>21.92</v>
      </c>
      <c r="AP41" s="42"/>
      <c r="AQ41" s="74"/>
      <c r="AR41" s="77"/>
      <c r="AT41" s="497">
        <v>51.08</v>
      </c>
      <c r="AV41" s="42"/>
      <c r="AW41" s="74"/>
      <c r="AX41" s="77"/>
      <c r="BA41" s="497">
        <v>30.38</v>
      </c>
      <c r="BB41" s="42"/>
      <c r="BC41" s="74"/>
      <c r="BD41" s="77"/>
      <c r="BF41">
        <v>30.02</v>
      </c>
      <c r="BH41" s="42"/>
      <c r="BI41" s="74"/>
      <c r="BJ41" s="77"/>
      <c r="BL41" s="497">
        <v>30.2</v>
      </c>
      <c r="BN41" s="42"/>
      <c r="BO41" s="74"/>
      <c r="BP41" s="77"/>
      <c r="BR41" s="497">
        <v>23</v>
      </c>
      <c r="BT41" s="42"/>
      <c r="BZ41" s="10">
        <f t="shared" si="33"/>
        <v>54</v>
      </c>
      <c r="CA41">
        <v>55</v>
      </c>
      <c r="CB41" s="11">
        <f t="shared" si="34"/>
        <v>56</v>
      </c>
      <c r="CC41" s="10">
        <f t="shared" si="5"/>
        <v>0</v>
      </c>
      <c r="CD41" s="11">
        <f t="shared" si="6"/>
        <v>0</v>
      </c>
      <c r="CE41" s="10">
        <f t="shared" si="7"/>
        <v>0</v>
      </c>
      <c r="CF41" s="11">
        <f t="shared" si="8"/>
        <v>0</v>
      </c>
      <c r="CG41" s="10">
        <f t="shared" si="9"/>
        <v>0</v>
      </c>
      <c r="CH41" s="11">
        <f t="shared" si="10"/>
        <v>0</v>
      </c>
      <c r="CI41" s="10">
        <f t="shared" si="11"/>
        <v>0</v>
      </c>
      <c r="CJ41" s="11">
        <f t="shared" si="12"/>
        <v>0</v>
      </c>
      <c r="CK41" s="10">
        <f t="shared" si="13"/>
        <v>0</v>
      </c>
      <c r="CL41" s="11">
        <f t="shared" si="14"/>
        <v>0</v>
      </c>
      <c r="CM41" s="10">
        <f t="shared" si="15"/>
        <v>0</v>
      </c>
      <c r="CN41" s="11">
        <f t="shared" si="16"/>
        <v>0</v>
      </c>
      <c r="CO41" s="10">
        <f t="shared" si="17"/>
        <v>0</v>
      </c>
      <c r="CP41" s="11">
        <f t="shared" si="18"/>
        <v>0</v>
      </c>
      <c r="CQ41" s="10">
        <f t="shared" si="19"/>
        <v>0</v>
      </c>
      <c r="CR41" s="11">
        <f t="shared" si="20"/>
        <v>0</v>
      </c>
      <c r="CS41" s="10">
        <f t="shared" si="21"/>
        <v>0</v>
      </c>
      <c r="CT41" s="11">
        <f t="shared" si="22"/>
        <v>0</v>
      </c>
      <c r="CU41" s="10">
        <f t="shared" si="23"/>
        <v>0</v>
      </c>
      <c r="CV41" s="11">
        <f t="shared" si="24"/>
        <v>0</v>
      </c>
      <c r="CW41" s="10">
        <f t="shared" si="25"/>
        <v>0</v>
      </c>
      <c r="CX41" s="11">
        <f t="shared" si="26"/>
        <v>0</v>
      </c>
      <c r="CY41" s="10">
        <f t="shared" si="27"/>
        <v>0</v>
      </c>
      <c r="CZ41" s="11">
        <f t="shared" si="28"/>
        <v>0</v>
      </c>
      <c r="DD41" s="79">
        <v>0.95833333333333304</v>
      </c>
      <c r="DE41" s="16" t="e">
        <f>VLOOKUP($DD41,'Building Profiles'!$E$4:$AR$27,VLOOKUP(Inputs!$C$8,'Building Profiles'!$A$2:$B$14,2,FALSE)*3-1, FALSE)</f>
        <v>#N/A</v>
      </c>
      <c r="DF41" s="16" t="e">
        <f>VLOOKUP($DD41,'Building Profiles'!$E$4:$AR$27,VLOOKUP(Inputs!$C$8,'Building Profiles'!$A$2:$B$14,2,FALSE)*3, FALSE)</f>
        <v>#N/A</v>
      </c>
      <c r="DG41" s="19" t="e">
        <f>VLOOKUP($DD41,'Building Profiles'!$E$4:$AR$27,VLOOKUP(Inputs!$C$8,'Building Profiles'!$A$2:$B$14,2,FALSE)*3+1, FALSE)</f>
        <v>#N/A</v>
      </c>
      <c r="DK41" s="18">
        <f t="shared" si="29"/>
        <v>55</v>
      </c>
      <c r="DL41" s="18">
        <f t="shared" si="30"/>
        <v>0</v>
      </c>
    </row>
    <row r="42" spans="1:116" ht="15.75" thickBot="1" x14ac:dyDescent="0.3">
      <c r="A42" s="90">
        <v>36161</v>
      </c>
      <c r="B42" s="20">
        <v>0</v>
      </c>
      <c r="D42">
        <v>39.019999999999996</v>
      </c>
      <c r="E42" t="str">
        <f t="shared" si="31"/>
        <v>WEEKDAY</v>
      </c>
      <c r="F42" t="e">
        <f>IF(E42="WEEKDAY",VLOOKUP(B42,$DD$19:$DG$42,2, FALSE),IF(E42="SATURDAY",VLOOKUP(B42,$DD$19:$DG$42,3),VLOOKUP(B42,$DD$19:$DG$42,4)))</f>
        <v>#N/A</v>
      </c>
      <c r="G42" s="74">
        <v>27760</v>
      </c>
      <c r="H42" s="77">
        <v>1</v>
      </c>
      <c r="J42">
        <v>30.02</v>
      </c>
      <c r="M42" s="74">
        <v>37622</v>
      </c>
      <c r="N42" s="80">
        <v>1</v>
      </c>
      <c r="P42">
        <v>33.799999999999997</v>
      </c>
      <c r="S42" s="74">
        <v>36161</v>
      </c>
      <c r="T42" s="80">
        <v>1</v>
      </c>
      <c r="V42">
        <v>12.920000000000002</v>
      </c>
      <c r="X42" s="42"/>
      <c r="AB42">
        <v>34.6</v>
      </c>
      <c r="AC42">
        <v>39.92</v>
      </c>
      <c r="AE42" s="74"/>
      <c r="AF42" s="80"/>
      <c r="AH42" s="497">
        <v>30.2</v>
      </c>
      <c r="AJ42" s="42"/>
      <c r="AK42" s="74"/>
      <c r="AL42" s="80"/>
      <c r="AN42" s="497">
        <v>21.92</v>
      </c>
      <c r="AP42" s="42"/>
      <c r="AQ42" s="74"/>
      <c r="AR42" s="80"/>
      <c r="AT42" s="497">
        <v>51.08</v>
      </c>
      <c r="AV42" s="42"/>
      <c r="AW42" s="74"/>
      <c r="AX42" s="80"/>
      <c r="BA42" s="497">
        <v>30.56</v>
      </c>
      <c r="BB42" s="42"/>
      <c r="BC42" s="74"/>
      <c r="BD42" s="80"/>
      <c r="BF42">
        <v>30.02</v>
      </c>
      <c r="BH42" s="42"/>
      <c r="BI42" s="74"/>
      <c r="BJ42" s="80"/>
      <c r="BL42" s="497">
        <v>29.66</v>
      </c>
      <c r="BN42" s="42"/>
      <c r="BO42" s="74"/>
      <c r="BP42" s="80"/>
      <c r="BR42" s="497">
        <v>23</v>
      </c>
      <c r="BT42" s="42"/>
      <c r="BZ42" s="10">
        <f t="shared" si="33"/>
        <v>52</v>
      </c>
      <c r="CA42">
        <v>53</v>
      </c>
      <c r="CB42" s="11">
        <f t="shared" si="34"/>
        <v>54</v>
      </c>
      <c r="CC42" s="10">
        <f t="shared" si="5"/>
        <v>0</v>
      </c>
      <c r="CD42" s="11">
        <f t="shared" si="6"/>
        <v>0</v>
      </c>
      <c r="CE42" s="10">
        <f t="shared" si="7"/>
        <v>0</v>
      </c>
      <c r="CF42" s="11">
        <f t="shared" si="8"/>
        <v>0</v>
      </c>
      <c r="CG42" s="10">
        <f t="shared" si="9"/>
        <v>0</v>
      </c>
      <c r="CH42" s="11">
        <f t="shared" si="10"/>
        <v>0</v>
      </c>
      <c r="CI42" s="10">
        <f t="shared" si="11"/>
        <v>0</v>
      </c>
      <c r="CJ42" s="11">
        <f t="shared" si="12"/>
        <v>0</v>
      </c>
      <c r="CK42" s="10">
        <f t="shared" si="13"/>
        <v>0</v>
      </c>
      <c r="CL42" s="11">
        <f t="shared" si="14"/>
        <v>0</v>
      </c>
      <c r="CM42" s="10">
        <f t="shared" si="15"/>
        <v>0</v>
      </c>
      <c r="CN42" s="11">
        <f t="shared" si="16"/>
        <v>0</v>
      </c>
      <c r="CO42" s="10">
        <f t="shared" si="17"/>
        <v>0</v>
      </c>
      <c r="CP42" s="11">
        <f t="shared" si="18"/>
        <v>0</v>
      </c>
      <c r="CQ42" s="10">
        <f t="shared" si="19"/>
        <v>0</v>
      </c>
      <c r="CR42" s="11">
        <f t="shared" si="20"/>
        <v>0</v>
      </c>
      <c r="CS42" s="10">
        <f t="shared" si="21"/>
        <v>0</v>
      </c>
      <c r="CT42" s="11">
        <f t="shared" si="22"/>
        <v>0</v>
      </c>
      <c r="CU42" s="10">
        <f t="shared" si="23"/>
        <v>0</v>
      </c>
      <c r="CV42" s="11">
        <f t="shared" si="24"/>
        <v>0</v>
      </c>
      <c r="CW42" s="10">
        <f t="shared" si="25"/>
        <v>0</v>
      </c>
      <c r="CX42" s="11">
        <f t="shared" si="26"/>
        <v>0</v>
      </c>
      <c r="CY42" s="10">
        <f t="shared" si="27"/>
        <v>0</v>
      </c>
      <c r="CZ42" s="11">
        <f t="shared" si="28"/>
        <v>0</v>
      </c>
      <c r="DD42" s="81">
        <v>0</v>
      </c>
      <c r="DE42" s="16" t="e">
        <f>VLOOKUP($DD42,'Building Profiles'!$E$4:$AR$27,VLOOKUP(Inputs!$C$8,'Building Profiles'!$A$2:$B$14,2,FALSE)*3-1, FALSE)</f>
        <v>#N/A</v>
      </c>
      <c r="DF42" s="16" t="e">
        <f>VLOOKUP($DD42,'Building Profiles'!$E$4:$AR$27,VLOOKUP(Inputs!$C$8,'Building Profiles'!$A$2:$B$14,2,FALSE)*3, FALSE)</f>
        <v>#N/A</v>
      </c>
      <c r="DG42" s="19" t="e">
        <f>VLOOKUP($DD42,'Building Profiles'!$E$4:$AR$27,VLOOKUP(Inputs!$C$8,'Building Profiles'!$A$2:$B$14,2,FALSE)*3+1, FALSE)</f>
        <v>#N/A</v>
      </c>
      <c r="DK42" s="18">
        <f t="shared" si="29"/>
        <v>53</v>
      </c>
      <c r="DL42" s="18">
        <f t="shared" si="30"/>
        <v>0</v>
      </c>
    </row>
    <row r="43" spans="1:116" x14ac:dyDescent="0.25">
      <c r="A43" s="90">
        <v>36162</v>
      </c>
      <c r="B43" s="20">
        <v>4.1666666666666664E-2</v>
      </c>
      <c r="D43">
        <v>39.92</v>
      </c>
      <c r="E43" t="str">
        <f t="shared" si="31"/>
        <v>SATURDAY</v>
      </c>
      <c r="F43" t="e">
        <f t="shared" ref="F43:F106" si="35">IF(E43="WEEKDAY",VLOOKUP(B43,$DD$19:$DG$42,2),IF(E43="SATURDAY",VLOOKUP(B43,$DD$19:$DG$42,3),VLOOKUP(B43,$DD$19:$DG$42,4)))</f>
        <v>#N/A</v>
      </c>
      <c r="G43" s="74">
        <v>27761</v>
      </c>
      <c r="H43" s="77">
        <v>4.1666666666666664E-2</v>
      </c>
      <c r="J43">
        <v>26.96</v>
      </c>
      <c r="M43" s="74">
        <v>37623</v>
      </c>
      <c r="N43" s="77">
        <v>4.1666666666666664E-2</v>
      </c>
      <c r="P43">
        <v>35.6</v>
      </c>
      <c r="S43" s="74">
        <v>36162</v>
      </c>
      <c r="T43" s="77">
        <v>4.1666666666666664E-2</v>
      </c>
      <c r="V43">
        <v>12.02</v>
      </c>
      <c r="X43" s="42"/>
      <c r="AB43">
        <v>34.1</v>
      </c>
      <c r="AC43">
        <v>39.92</v>
      </c>
      <c r="AE43" s="74"/>
      <c r="AF43" s="77"/>
      <c r="AH43" s="497">
        <v>28.4</v>
      </c>
      <c r="AJ43" s="42"/>
      <c r="AK43" s="74"/>
      <c r="AL43" s="77"/>
      <c r="AN43" s="497">
        <v>23</v>
      </c>
      <c r="AP43" s="42"/>
      <c r="AQ43" s="74"/>
      <c r="AR43" s="77"/>
      <c r="AT43" s="497">
        <v>50</v>
      </c>
      <c r="AV43" s="42"/>
      <c r="AW43" s="74"/>
      <c r="AX43" s="77"/>
      <c r="BA43" s="497">
        <v>30.92</v>
      </c>
      <c r="BB43" s="42"/>
      <c r="BC43" s="74"/>
      <c r="BD43" s="77"/>
      <c r="BF43">
        <v>28.94</v>
      </c>
      <c r="BH43" s="42"/>
      <c r="BI43" s="74"/>
      <c r="BJ43" s="77"/>
      <c r="BL43" s="497">
        <v>28.94</v>
      </c>
      <c r="BN43" s="42"/>
      <c r="BO43" s="74"/>
      <c r="BP43" s="77"/>
      <c r="BR43" s="497">
        <v>23</v>
      </c>
      <c r="BT43" s="42"/>
      <c r="BZ43" s="10">
        <f t="shared" si="33"/>
        <v>50</v>
      </c>
      <c r="CA43">
        <v>51</v>
      </c>
      <c r="CB43" s="11">
        <f t="shared" si="34"/>
        <v>52</v>
      </c>
      <c r="CC43" s="10">
        <f t="shared" si="5"/>
        <v>0</v>
      </c>
      <c r="CD43" s="11">
        <f t="shared" si="6"/>
        <v>0</v>
      </c>
      <c r="CE43" s="10">
        <f t="shared" si="7"/>
        <v>0</v>
      </c>
      <c r="CF43" s="11">
        <f t="shared" si="8"/>
        <v>0</v>
      </c>
      <c r="CG43" s="10">
        <f t="shared" si="9"/>
        <v>0</v>
      </c>
      <c r="CH43" s="11">
        <f t="shared" si="10"/>
        <v>0</v>
      </c>
      <c r="CI43" s="10">
        <f t="shared" si="11"/>
        <v>0</v>
      </c>
      <c r="CJ43" s="11">
        <f t="shared" si="12"/>
        <v>0</v>
      </c>
      <c r="CK43" s="10">
        <f t="shared" si="13"/>
        <v>0</v>
      </c>
      <c r="CL43" s="11">
        <f t="shared" si="14"/>
        <v>0</v>
      </c>
      <c r="CM43" s="10">
        <f t="shared" si="15"/>
        <v>0</v>
      </c>
      <c r="CN43" s="11">
        <f t="shared" si="16"/>
        <v>0</v>
      </c>
      <c r="CO43" s="10">
        <f t="shared" si="17"/>
        <v>0</v>
      </c>
      <c r="CP43" s="11">
        <f t="shared" si="18"/>
        <v>0</v>
      </c>
      <c r="CQ43" s="10">
        <f t="shared" si="19"/>
        <v>0</v>
      </c>
      <c r="CR43" s="11">
        <f t="shared" si="20"/>
        <v>0</v>
      </c>
      <c r="CS43" s="10">
        <f t="shared" si="21"/>
        <v>0</v>
      </c>
      <c r="CT43" s="11">
        <f t="shared" si="22"/>
        <v>0</v>
      </c>
      <c r="CU43" s="10">
        <f t="shared" si="23"/>
        <v>0</v>
      </c>
      <c r="CV43" s="11">
        <f t="shared" si="24"/>
        <v>0</v>
      </c>
      <c r="CW43" s="10">
        <f t="shared" si="25"/>
        <v>0</v>
      </c>
      <c r="CX43" s="11">
        <f t="shared" si="26"/>
        <v>0</v>
      </c>
      <c r="CY43" s="10">
        <f t="shared" si="27"/>
        <v>0</v>
      </c>
      <c r="CZ43" s="11">
        <f t="shared" si="28"/>
        <v>0</v>
      </c>
      <c r="DK43" s="18">
        <f t="shared" si="29"/>
        <v>51</v>
      </c>
      <c r="DL43" s="18">
        <f t="shared" si="30"/>
        <v>0</v>
      </c>
    </row>
    <row r="44" spans="1:116" x14ac:dyDescent="0.25">
      <c r="A44" s="90">
        <v>36162</v>
      </c>
      <c r="B44" s="20">
        <v>8.3333333333333329E-2</v>
      </c>
      <c r="D44">
        <v>39.92</v>
      </c>
      <c r="E44" t="str">
        <f t="shared" si="31"/>
        <v>SATURDAY</v>
      </c>
      <c r="F44" t="e">
        <f t="shared" si="35"/>
        <v>#N/A</v>
      </c>
      <c r="G44" s="74">
        <v>27761</v>
      </c>
      <c r="H44" s="77">
        <v>8.3333333333333329E-2</v>
      </c>
      <c r="J44">
        <v>26.060000000000002</v>
      </c>
      <c r="M44" s="74">
        <v>37623</v>
      </c>
      <c r="N44" s="77">
        <v>8.3333333333333329E-2</v>
      </c>
      <c r="P44">
        <v>35.6</v>
      </c>
      <c r="S44" s="74">
        <v>36162</v>
      </c>
      <c r="T44" s="77">
        <v>8.3333333333333329E-2</v>
      </c>
      <c r="V44">
        <v>10.940000000000001</v>
      </c>
      <c r="X44" s="42"/>
      <c r="AB44">
        <v>33.700000000000003</v>
      </c>
      <c r="AC44">
        <v>39.019999999999996</v>
      </c>
      <c r="AE44" s="74"/>
      <c r="AF44" s="77"/>
      <c r="AH44" s="497">
        <v>28.4</v>
      </c>
      <c r="AJ44" s="42"/>
      <c r="AK44" s="74"/>
      <c r="AL44" s="77"/>
      <c r="AN44" s="497">
        <v>23</v>
      </c>
      <c r="AP44" s="42"/>
      <c r="AQ44" s="74"/>
      <c r="AR44" s="77"/>
      <c r="AT44" s="497">
        <v>44.96</v>
      </c>
      <c r="AV44" s="42"/>
      <c r="AW44" s="74"/>
      <c r="AX44" s="77"/>
      <c r="BA44" s="497">
        <v>31.28</v>
      </c>
      <c r="BB44" s="42"/>
      <c r="BC44" s="74"/>
      <c r="BD44" s="77"/>
      <c r="BF44">
        <v>28.94</v>
      </c>
      <c r="BH44" s="42"/>
      <c r="BI44" s="74"/>
      <c r="BJ44" s="77"/>
      <c r="BL44" s="497">
        <v>28.94</v>
      </c>
      <c r="BN44" s="42"/>
      <c r="BO44" s="74"/>
      <c r="BP44" s="77"/>
      <c r="BR44" s="497">
        <v>21.02</v>
      </c>
      <c r="BT44" s="42"/>
      <c r="BZ44" s="10">
        <f t="shared" si="33"/>
        <v>48</v>
      </c>
      <c r="CA44">
        <v>49</v>
      </c>
      <c r="CB44" s="11">
        <f t="shared" si="34"/>
        <v>50</v>
      </c>
      <c r="CC44" s="10">
        <f t="shared" si="5"/>
        <v>0</v>
      </c>
      <c r="CD44" s="11">
        <f t="shared" si="6"/>
        <v>0</v>
      </c>
      <c r="CE44" s="10">
        <f t="shared" si="7"/>
        <v>0</v>
      </c>
      <c r="CF44" s="11">
        <f t="shared" si="8"/>
        <v>0</v>
      </c>
      <c r="CG44" s="10">
        <f t="shared" si="9"/>
        <v>0</v>
      </c>
      <c r="CH44" s="11">
        <f t="shared" si="10"/>
        <v>0</v>
      </c>
      <c r="CI44" s="10">
        <f t="shared" si="11"/>
        <v>0</v>
      </c>
      <c r="CJ44" s="11">
        <f t="shared" si="12"/>
        <v>0</v>
      </c>
      <c r="CK44" s="10">
        <f t="shared" si="13"/>
        <v>0</v>
      </c>
      <c r="CL44" s="11">
        <f t="shared" si="14"/>
        <v>0</v>
      </c>
      <c r="CM44" s="10">
        <f t="shared" si="15"/>
        <v>0</v>
      </c>
      <c r="CN44" s="11">
        <f t="shared" si="16"/>
        <v>0</v>
      </c>
      <c r="CO44" s="10">
        <f t="shared" si="17"/>
        <v>0</v>
      </c>
      <c r="CP44" s="11">
        <f t="shared" si="18"/>
        <v>0</v>
      </c>
      <c r="CQ44" s="10">
        <f t="shared" si="19"/>
        <v>0</v>
      </c>
      <c r="CR44" s="11">
        <f t="shared" si="20"/>
        <v>0</v>
      </c>
      <c r="CS44" s="10">
        <f t="shared" si="21"/>
        <v>0</v>
      </c>
      <c r="CT44" s="11">
        <f t="shared" si="22"/>
        <v>0</v>
      </c>
      <c r="CU44" s="10">
        <f t="shared" si="23"/>
        <v>0</v>
      </c>
      <c r="CV44" s="11">
        <f t="shared" si="24"/>
        <v>0</v>
      </c>
      <c r="CW44" s="10">
        <f t="shared" si="25"/>
        <v>0</v>
      </c>
      <c r="CX44" s="11">
        <f t="shared" si="26"/>
        <v>0</v>
      </c>
      <c r="CY44" s="10">
        <f t="shared" si="27"/>
        <v>0</v>
      </c>
      <c r="CZ44" s="11">
        <f t="shared" si="28"/>
        <v>0</v>
      </c>
      <c r="DK44" s="18">
        <f t="shared" si="29"/>
        <v>49</v>
      </c>
      <c r="DL44" s="18">
        <f t="shared" si="30"/>
        <v>0</v>
      </c>
    </row>
    <row r="45" spans="1:116" x14ac:dyDescent="0.25">
      <c r="A45" s="90">
        <v>36162</v>
      </c>
      <c r="B45" s="20">
        <v>0.125</v>
      </c>
      <c r="D45">
        <v>41</v>
      </c>
      <c r="E45" t="str">
        <f t="shared" si="31"/>
        <v>SATURDAY</v>
      </c>
      <c r="F45" t="e">
        <f t="shared" si="35"/>
        <v>#N/A</v>
      </c>
      <c r="G45" s="74">
        <v>27761</v>
      </c>
      <c r="H45" s="77">
        <v>0.125</v>
      </c>
      <c r="J45">
        <v>24.98</v>
      </c>
      <c r="M45" s="74">
        <v>37623</v>
      </c>
      <c r="N45" s="77">
        <v>0.125</v>
      </c>
      <c r="P45">
        <v>35.6</v>
      </c>
      <c r="S45" s="74">
        <v>36162</v>
      </c>
      <c r="T45" s="77">
        <v>0.125</v>
      </c>
      <c r="V45">
        <v>10.940000000000001</v>
      </c>
      <c r="X45" s="42"/>
      <c r="AB45">
        <v>33.4</v>
      </c>
      <c r="AC45">
        <v>41</v>
      </c>
      <c r="AE45" s="74"/>
      <c r="AF45" s="77"/>
      <c r="AH45" s="497">
        <v>26.6</v>
      </c>
      <c r="AJ45" s="42"/>
      <c r="AK45" s="74"/>
      <c r="AL45" s="77"/>
      <c r="AN45" s="497">
        <v>23</v>
      </c>
      <c r="AP45" s="42"/>
      <c r="AQ45" s="74"/>
      <c r="AR45" s="77"/>
      <c r="AT45" s="497">
        <v>42.08</v>
      </c>
      <c r="AV45" s="42"/>
      <c r="AW45" s="74"/>
      <c r="AX45" s="77"/>
      <c r="BA45" s="497">
        <v>31.64</v>
      </c>
      <c r="BB45" s="42"/>
      <c r="BC45" s="74"/>
      <c r="BD45" s="77"/>
      <c r="BF45">
        <v>28.94</v>
      </c>
      <c r="BH45" s="42"/>
      <c r="BI45" s="74"/>
      <c r="BJ45" s="77"/>
      <c r="BL45" s="497">
        <v>28.94</v>
      </c>
      <c r="BN45" s="42"/>
      <c r="BO45" s="74"/>
      <c r="BP45" s="77"/>
      <c r="BR45" s="497">
        <v>23</v>
      </c>
      <c r="BT45" s="42"/>
      <c r="BZ45" s="10">
        <f t="shared" si="33"/>
        <v>46</v>
      </c>
      <c r="CA45">
        <v>47</v>
      </c>
      <c r="CB45" s="11">
        <f t="shared" si="34"/>
        <v>48</v>
      </c>
      <c r="CC45" s="10">
        <f t="shared" si="5"/>
        <v>0</v>
      </c>
      <c r="CD45" s="11">
        <f t="shared" si="6"/>
        <v>0</v>
      </c>
      <c r="CE45" s="10">
        <f t="shared" si="7"/>
        <v>0</v>
      </c>
      <c r="CF45" s="11">
        <f t="shared" si="8"/>
        <v>0</v>
      </c>
      <c r="CG45" s="10">
        <f t="shared" si="9"/>
        <v>0</v>
      </c>
      <c r="CH45" s="11">
        <f t="shared" si="10"/>
        <v>0</v>
      </c>
      <c r="CI45" s="10">
        <f t="shared" si="11"/>
        <v>0</v>
      </c>
      <c r="CJ45" s="11">
        <f t="shared" si="12"/>
        <v>0</v>
      </c>
      <c r="CK45" s="10">
        <f t="shared" si="13"/>
        <v>0</v>
      </c>
      <c r="CL45" s="11">
        <f t="shared" si="14"/>
        <v>0</v>
      </c>
      <c r="CM45" s="10">
        <f t="shared" si="15"/>
        <v>0</v>
      </c>
      <c r="CN45" s="11">
        <f t="shared" si="16"/>
        <v>0</v>
      </c>
      <c r="CO45" s="10">
        <f t="shared" si="17"/>
        <v>0</v>
      </c>
      <c r="CP45" s="11">
        <f t="shared" si="18"/>
        <v>0</v>
      </c>
      <c r="CQ45" s="10">
        <f t="shared" si="19"/>
        <v>0</v>
      </c>
      <c r="CR45" s="11">
        <f t="shared" si="20"/>
        <v>0</v>
      </c>
      <c r="CS45" s="10">
        <f t="shared" si="21"/>
        <v>0</v>
      </c>
      <c r="CT45" s="11">
        <f t="shared" si="22"/>
        <v>0</v>
      </c>
      <c r="CU45" s="10">
        <f t="shared" si="23"/>
        <v>0</v>
      </c>
      <c r="CV45" s="11">
        <f t="shared" si="24"/>
        <v>0</v>
      </c>
      <c r="CW45" s="10">
        <f t="shared" si="25"/>
        <v>0</v>
      </c>
      <c r="CX45" s="11">
        <f t="shared" si="26"/>
        <v>0</v>
      </c>
      <c r="CY45" s="10">
        <f t="shared" si="27"/>
        <v>0</v>
      </c>
      <c r="CZ45" s="11">
        <f t="shared" si="28"/>
        <v>0</v>
      </c>
      <c r="DK45" s="18">
        <f t="shared" si="29"/>
        <v>47</v>
      </c>
      <c r="DL45" s="82">
        <v>0</v>
      </c>
    </row>
    <row r="46" spans="1:116" x14ac:dyDescent="0.25">
      <c r="A46" s="90">
        <v>36162</v>
      </c>
      <c r="B46" s="20">
        <v>0.16666666666666666</v>
      </c>
      <c r="D46">
        <v>39.92</v>
      </c>
      <c r="E46" t="str">
        <f t="shared" si="31"/>
        <v>SATURDAY</v>
      </c>
      <c r="F46" t="e">
        <f t="shared" si="35"/>
        <v>#N/A</v>
      </c>
      <c r="G46" s="74">
        <v>27761</v>
      </c>
      <c r="H46" s="77">
        <v>0.16666666666666666</v>
      </c>
      <c r="J46">
        <v>24.08</v>
      </c>
      <c r="M46" s="74">
        <v>37623</v>
      </c>
      <c r="N46" s="77">
        <v>0.16666666666666666</v>
      </c>
      <c r="P46">
        <v>35.6</v>
      </c>
      <c r="S46" s="74">
        <v>36162</v>
      </c>
      <c r="T46" s="77">
        <v>0.16666666666666666</v>
      </c>
      <c r="V46">
        <v>10.940000000000001</v>
      </c>
      <c r="X46" s="42"/>
      <c r="AB46">
        <v>33.200000000000003</v>
      </c>
      <c r="AC46">
        <v>39.92</v>
      </c>
      <c r="AE46" s="74"/>
      <c r="AF46" s="77"/>
      <c r="AH46" s="497">
        <v>26.6</v>
      </c>
      <c r="AJ46" s="42"/>
      <c r="AK46" s="74"/>
      <c r="AL46" s="77"/>
      <c r="AN46" s="497">
        <v>24.08</v>
      </c>
      <c r="AP46" s="42"/>
      <c r="AQ46" s="74"/>
      <c r="AR46" s="77"/>
      <c r="AT46" s="497">
        <v>39.92</v>
      </c>
      <c r="AV46" s="42"/>
      <c r="AW46" s="74"/>
      <c r="AX46" s="77"/>
      <c r="BA46" s="497">
        <v>32</v>
      </c>
      <c r="BB46" s="42"/>
      <c r="BC46" s="74"/>
      <c r="BD46" s="77"/>
      <c r="BF46">
        <v>30.02</v>
      </c>
      <c r="BH46" s="42"/>
      <c r="BI46" s="74"/>
      <c r="BJ46" s="77"/>
      <c r="BL46" s="497">
        <v>28.94</v>
      </c>
      <c r="BN46" s="42"/>
      <c r="BO46" s="74"/>
      <c r="BP46" s="77"/>
      <c r="BR46" s="497">
        <v>23</v>
      </c>
      <c r="BT46" s="42"/>
      <c r="BZ46" s="10">
        <f t="shared" si="33"/>
        <v>44</v>
      </c>
      <c r="CA46">
        <v>45</v>
      </c>
      <c r="CB46" s="11">
        <f t="shared" si="34"/>
        <v>46</v>
      </c>
      <c r="CC46" s="10">
        <f t="shared" si="5"/>
        <v>0</v>
      </c>
      <c r="CD46" s="11">
        <f t="shared" si="6"/>
        <v>0</v>
      </c>
      <c r="CE46" s="10">
        <f t="shared" si="7"/>
        <v>0</v>
      </c>
      <c r="CF46" s="11">
        <f t="shared" si="8"/>
        <v>0</v>
      </c>
      <c r="CG46" s="10">
        <f t="shared" si="9"/>
        <v>0</v>
      </c>
      <c r="CH46" s="11">
        <f t="shared" si="10"/>
        <v>0</v>
      </c>
      <c r="CI46" s="10">
        <f t="shared" si="11"/>
        <v>0</v>
      </c>
      <c r="CJ46" s="11">
        <f t="shared" si="12"/>
        <v>0</v>
      </c>
      <c r="CK46" s="10">
        <f t="shared" si="13"/>
        <v>0</v>
      </c>
      <c r="CL46" s="11">
        <f t="shared" si="14"/>
        <v>0</v>
      </c>
      <c r="CM46" s="10">
        <f t="shared" si="15"/>
        <v>0</v>
      </c>
      <c r="CN46" s="11">
        <f t="shared" si="16"/>
        <v>0</v>
      </c>
      <c r="CO46" s="10">
        <f t="shared" si="17"/>
        <v>0</v>
      </c>
      <c r="CP46" s="11">
        <f t="shared" si="18"/>
        <v>0</v>
      </c>
      <c r="CQ46" s="10">
        <f t="shared" si="19"/>
        <v>0</v>
      </c>
      <c r="CR46" s="11">
        <f t="shared" si="20"/>
        <v>0</v>
      </c>
      <c r="CS46" s="10">
        <f t="shared" si="21"/>
        <v>0</v>
      </c>
      <c r="CT46" s="11">
        <f t="shared" si="22"/>
        <v>0</v>
      </c>
      <c r="CU46" s="10">
        <f t="shared" si="23"/>
        <v>0</v>
      </c>
      <c r="CV46" s="11">
        <f t="shared" si="24"/>
        <v>0</v>
      </c>
      <c r="CW46" s="10">
        <f t="shared" si="25"/>
        <v>0</v>
      </c>
      <c r="CX46" s="11">
        <f t="shared" si="26"/>
        <v>0</v>
      </c>
      <c r="CY46" s="10">
        <f t="shared" si="27"/>
        <v>0</v>
      </c>
      <c r="CZ46" s="11">
        <f t="shared" si="28"/>
        <v>0</v>
      </c>
      <c r="DK46" s="18">
        <f t="shared" si="29"/>
        <v>45</v>
      </c>
      <c r="DL46" s="18">
        <f>$DL$50+($DL$45-$DL$50)*(CA46-$CA$50)/($CA$45-$CA$50)</f>
        <v>1.8000000000000002E-2</v>
      </c>
    </row>
    <row r="47" spans="1:116" x14ac:dyDescent="0.25">
      <c r="A47" s="90">
        <v>36162</v>
      </c>
      <c r="B47" s="20">
        <v>0.20833333333333334</v>
      </c>
      <c r="D47">
        <v>39.92</v>
      </c>
      <c r="E47" t="str">
        <f t="shared" si="31"/>
        <v>SATURDAY</v>
      </c>
      <c r="F47" t="e">
        <f t="shared" si="35"/>
        <v>#N/A</v>
      </c>
      <c r="G47" s="74">
        <v>27761</v>
      </c>
      <c r="H47" s="77">
        <v>0.20833333333333334</v>
      </c>
      <c r="J47">
        <v>23</v>
      </c>
      <c r="M47" s="74">
        <v>37623</v>
      </c>
      <c r="N47" s="77">
        <v>0.20833333333333334</v>
      </c>
      <c r="P47">
        <v>33.799999999999997</v>
      </c>
      <c r="S47" s="74">
        <v>36162</v>
      </c>
      <c r="T47" s="77">
        <v>0.20833333333333334</v>
      </c>
      <c r="V47">
        <v>10.039999999999999</v>
      </c>
      <c r="X47" s="42"/>
      <c r="AB47">
        <v>32.9</v>
      </c>
      <c r="AC47">
        <v>39.019999999999996</v>
      </c>
      <c r="AE47" s="74"/>
      <c r="AF47" s="77"/>
      <c r="AH47" s="497">
        <v>24.8</v>
      </c>
      <c r="AJ47" s="42"/>
      <c r="AK47" s="74"/>
      <c r="AL47" s="77"/>
      <c r="AN47" s="497">
        <v>23</v>
      </c>
      <c r="AP47" s="42"/>
      <c r="AQ47" s="74"/>
      <c r="AR47" s="77"/>
      <c r="AT47" s="497">
        <v>39.019999999999996</v>
      </c>
      <c r="AV47" s="42"/>
      <c r="AW47" s="74"/>
      <c r="AX47" s="77"/>
      <c r="BA47" s="497">
        <v>31.64</v>
      </c>
      <c r="BB47" s="42"/>
      <c r="BC47" s="74"/>
      <c r="BD47" s="77"/>
      <c r="BF47">
        <v>30.92</v>
      </c>
      <c r="BH47" s="42"/>
      <c r="BI47" s="74"/>
      <c r="BJ47" s="77"/>
      <c r="BL47" s="497">
        <v>29.3</v>
      </c>
      <c r="BN47" s="42"/>
      <c r="BO47" s="74"/>
      <c r="BP47" s="77"/>
      <c r="BR47" s="497">
        <v>21.92</v>
      </c>
      <c r="BT47" s="42"/>
      <c r="BZ47" s="10">
        <f t="shared" si="33"/>
        <v>42</v>
      </c>
      <c r="CA47">
        <v>43</v>
      </c>
      <c r="CB47" s="11">
        <f t="shared" si="34"/>
        <v>44</v>
      </c>
      <c r="CC47" s="10">
        <f t="shared" si="5"/>
        <v>0</v>
      </c>
      <c r="CD47" s="11">
        <f t="shared" si="6"/>
        <v>0</v>
      </c>
      <c r="CE47" s="10">
        <f t="shared" si="7"/>
        <v>0</v>
      </c>
      <c r="CF47" s="11">
        <f t="shared" si="8"/>
        <v>0</v>
      </c>
      <c r="CG47" s="10">
        <f t="shared" si="9"/>
        <v>0</v>
      </c>
      <c r="CH47" s="11">
        <f t="shared" si="10"/>
        <v>0</v>
      </c>
      <c r="CI47" s="10">
        <f t="shared" si="11"/>
        <v>0</v>
      </c>
      <c r="CJ47" s="11">
        <f t="shared" si="12"/>
        <v>0</v>
      </c>
      <c r="CK47" s="10">
        <f t="shared" si="13"/>
        <v>0</v>
      </c>
      <c r="CL47" s="11">
        <f t="shared" si="14"/>
        <v>0</v>
      </c>
      <c r="CM47" s="10">
        <f t="shared" si="15"/>
        <v>0</v>
      </c>
      <c r="CN47" s="11">
        <f t="shared" si="16"/>
        <v>0</v>
      </c>
      <c r="CO47" s="10">
        <f t="shared" si="17"/>
        <v>0</v>
      </c>
      <c r="CP47" s="11">
        <f t="shared" si="18"/>
        <v>0</v>
      </c>
      <c r="CQ47" s="10">
        <f t="shared" si="19"/>
        <v>0</v>
      </c>
      <c r="CR47" s="11">
        <f t="shared" si="20"/>
        <v>0</v>
      </c>
      <c r="CS47" s="10">
        <f t="shared" si="21"/>
        <v>0</v>
      </c>
      <c r="CT47" s="11">
        <f t="shared" si="22"/>
        <v>0</v>
      </c>
      <c r="CU47" s="10">
        <f t="shared" si="23"/>
        <v>0</v>
      </c>
      <c r="CV47" s="11">
        <f t="shared" si="24"/>
        <v>0</v>
      </c>
      <c r="CW47" s="10">
        <f t="shared" si="25"/>
        <v>0</v>
      </c>
      <c r="CX47" s="11">
        <f t="shared" si="26"/>
        <v>0</v>
      </c>
      <c r="CY47" s="10">
        <f t="shared" si="27"/>
        <v>0</v>
      </c>
      <c r="CZ47" s="11">
        <f t="shared" si="28"/>
        <v>0</v>
      </c>
      <c r="DK47" s="18">
        <f t="shared" si="29"/>
        <v>43</v>
      </c>
      <c r="DL47" s="18">
        <f>$DL$50+($DL$45-$DL$50)*(CA47-$CA$50)/($CA$45-$CA$50)</f>
        <v>3.599999999999999E-2</v>
      </c>
    </row>
    <row r="48" spans="1:116" x14ac:dyDescent="0.25">
      <c r="A48" s="90">
        <v>36162</v>
      </c>
      <c r="B48" s="20">
        <v>0.25</v>
      </c>
      <c r="D48">
        <v>39.019999999999996</v>
      </c>
      <c r="E48" t="str">
        <f t="shared" si="31"/>
        <v>SATURDAY</v>
      </c>
      <c r="F48" t="e">
        <f t="shared" si="35"/>
        <v>#N/A</v>
      </c>
      <c r="G48" s="74">
        <v>27761</v>
      </c>
      <c r="H48" s="77">
        <v>0.25</v>
      </c>
      <c r="J48">
        <v>21.92</v>
      </c>
      <c r="M48" s="74">
        <v>37623</v>
      </c>
      <c r="N48" s="77">
        <v>0.25</v>
      </c>
      <c r="P48">
        <v>31.28</v>
      </c>
      <c r="S48" s="74">
        <v>36162</v>
      </c>
      <c r="T48" s="77">
        <v>0.25</v>
      </c>
      <c r="V48">
        <v>10.940000000000001</v>
      </c>
      <c r="X48" s="42"/>
      <c r="AB48">
        <v>32.799999999999997</v>
      </c>
      <c r="AC48">
        <v>39.92</v>
      </c>
      <c r="AE48" s="74"/>
      <c r="AF48" s="77"/>
      <c r="AH48" s="497">
        <v>28.4</v>
      </c>
      <c r="AJ48" s="42"/>
      <c r="AK48" s="74"/>
      <c r="AL48" s="77"/>
      <c r="AN48" s="497">
        <v>23</v>
      </c>
      <c r="AP48" s="42"/>
      <c r="AQ48" s="74"/>
      <c r="AR48" s="77"/>
      <c r="AT48" s="497">
        <v>37.04</v>
      </c>
      <c r="AV48" s="42"/>
      <c r="AW48" s="74"/>
      <c r="AX48" s="77"/>
      <c r="BA48" s="497">
        <v>31.28</v>
      </c>
      <c r="BB48" s="42"/>
      <c r="BC48" s="74"/>
      <c r="BD48" s="77"/>
      <c r="BF48">
        <v>30.02</v>
      </c>
      <c r="BH48" s="42"/>
      <c r="BI48" s="74"/>
      <c r="BJ48" s="77"/>
      <c r="BL48" s="497">
        <v>29.66</v>
      </c>
      <c r="BN48" s="42"/>
      <c r="BO48" s="74"/>
      <c r="BP48" s="77"/>
      <c r="BR48" s="497">
        <v>24.08</v>
      </c>
      <c r="BT48" s="42"/>
      <c r="BZ48" s="10">
        <f t="shared" si="33"/>
        <v>40</v>
      </c>
      <c r="CA48">
        <v>41</v>
      </c>
      <c r="CB48" s="11">
        <f t="shared" si="34"/>
        <v>42</v>
      </c>
      <c r="CC48" s="10">
        <f t="shared" si="5"/>
        <v>0</v>
      </c>
      <c r="CD48" s="11">
        <f t="shared" si="6"/>
        <v>0</v>
      </c>
      <c r="CE48" s="10">
        <f t="shared" si="7"/>
        <v>0</v>
      </c>
      <c r="CF48" s="11">
        <f t="shared" si="8"/>
        <v>0</v>
      </c>
      <c r="CG48" s="10">
        <f t="shared" si="9"/>
        <v>0</v>
      </c>
      <c r="CH48" s="11">
        <f t="shared" si="10"/>
        <v>0</v>
      </c>
      <c r="CI48" s="10">
        <f t="shared" si="11"/>
        <v>0</v>
      </c>
      <c r="CJ48" s="11">
        <f t="shared" si="12"/>
        <v>0</v>
      </c>
      <c r="CK48" s="10">
        <f t="shared" si="13"/>
        <v>0</v>
      </c>
      <c r="CL48" s="11">
        <f t="shared" si="14"/>
        <v>0</v>
      </c>
      <c r="CM48" s="10">
        <f t="shared" si="15"/>
        <v>0</v>
      </c>
      <c r="CN48" s="11">
        <f t="shared" si="16"/>
        <v>0</v>
      </c>
      <c r="CO48" s="10">
        <f t="shared" si="17"/>
        <v>0</v>
      </c>
      <c r="CP48" s="11">
        <f t="shared" si="18"/>
        <v>0</v>
      </c>
      <c r="CQ48" s="10">
        <f t="shared" si="19"/>
        <v>0</v>
      </c>
      <c r="CR48" s="11">
        <f t="shared" si="20"/>
        <v>0</v>
      </c>
      <c r="CS48" s="10">
        <f t="shared" si="21"/>
        <v>0</v>
      </c>
      <c r="CT48" s="11">
        <f t="shared" si="22"/>
        <v>0</v>
      </c>
      <c r="CU48" s="10">
        <f t="shared" si="23"/>
        <v>0</v>
      </c>
      <c r="CV48" s="11">
        <f t="shared" si="24"/>
        <v>0</v>
      </c>
      <c r="CW48" s="10">
        <f t="shared" si="25"/>
        <v>0</v>
      </c>
      <c r="CX48" s="11">
        <f t="shared" si="26"/>
        <v>0</v>
      </c>
      <c r="CY48" s="10">
        <f t="shared" si="27"/>
        <v>0</v>
      </c>
      <c r="CZ48" s="11">
        <f t="shared" si="28"/>
        <v>0</v>
      </c>
      <c r="DK48" s="18">
        <f t="shared" si="29"/>
        <v>41</v>
      </c>
      <c r="DL48" s="18">
        <f>$DL$50+($DL$45-$DL$50)*(CA48-$CA$50)/($CA$45-$CA$50)</f>
        <v>5.3999999999999999E-2</v>
      </c>
    </row>
    <row r="49" spans="1:116" x14ac:dyDescent="0.25">
      <c r="A49" s="90">
        <v>36162</v>
      </c>
      <c r="B49" s="20">
        <v>0.29166666666666669</v>
      </c>
      <c r="D49">
        <v>39.019999999999996</v>
      </c>
      <c r="E49" t="str">
        <f t="shared" si="31"/>
        <v>SATURDAY</v>
      </c>
      <c r="F49" t="e">
        <f t="shared" si="35"/>
        <v>#N/A</v>
      </c>
      <c r="G49" s="74">
        <v>27761</v>
      </c>
      <c r="H49" s="77">
        <v>0.29166666666666669</v>
      </c>
      <c r="J49">
        <v>21.92</v>
      </c>
      <c r="M49" s="74">
        <v>37623</v>
      </c>
      <c r="N49" s="77">
        <v>0.29166666666666669</v>
      </c>
      <c r="P49">
        <v>28.4</v>
      </c>
      <c r="S49" s="74">
        <v>36162</v>
      </c>
      <c r="T49" s="77">
        <v>0.29166666666666669</v>
      </c>
      <c r="V49">
        <v>10.940000000000001</v>
      </c>
      <c r="X49" s="42"/>
      <c r="AB49">
        <v>32.799999999999997</v>
      </c>
      <c r="AC49">
        <v>42.08</v>
      </c>
      <c r="AE49" s="74"/>
      <c r="AF49" s="77"/>
      <c r="AH49" s="497">
        <v>28.4</v>
      </c>
      <c r="AJ49" s="42"/>
      <c r="AK49" s="74"/>
      <c r="AL49" s="77"/>
      <c r="AN49" s="497">
        <v>24.08</v>
      </c>
      <c r="AP49" s="42"/>
      <c r="AQ49" s="74"/>
      <c r="AR49" s="77"/>
      <c r="AT49" s="497">
        <v>35.96</v>
      </c>
      <c r="AV49" s="42"/>
      <c r="AW49" s="74"/>
      <c r="AX49" s="77"/>
      <c r="BA49" s="497">
        <v>30.92</v>
      </c>
      <c r="BB49" s="42"/>
      <c r="BC49" s="74"/>
      <c r="BD49" s="77"/>
      <c r="BF49">
        <v>30.02</v>
      </c>
      <c r="BH49" s="42"/>
      <c r="BI49" s="74"/>
      <c r="BJ49" s="77"/>
      <c r="BL49" s="497">
        <v>30.02</v>
      </c>
      <c r="BN49" s="42"/>
      <c r="BO49" s="74"/>
      <c r="BP49" s="77"/>
      <c r="BR49" s="497">
        <v>26.060000000000002</v>
      </c>
      <c r="BT49" s="42"/>
      <c r="BZ49" s="10">
        <f t="shared" si="33"/>
        <v>38</v>
      </c>
      <c r="CA49">
        <v>39</v>
      </c>
      <c r="CB49" s="11">
        <f t="shared" si="34"/>
        <v>40</v>
      </c>
      <c r="CC49" s="10">
        <f t="shared" si="5"/>
        <v>0</v>
      </c>
      <c r="CD49" s="11">
        <f t="shared" si="6"/>
        <v>0</v>
      </c>
      <c r="CE49" s="10">
        <f t="shared" si="7"/>
        <v>0</v>
      </c>
      <c r="CF49" s="11">
        <f t="shared" si="8"/>
        <v>0</v>
      </c>
      <c r="CG49" s="10">
        <f t="shared" si="9"/>
        <v>0</v>
      </c>
      <c r="CH49" s="11">
        <f t="shared" si="10"/>
        <v>0</v>
      </c>
      <c r="CI49" s="10">
        <f t="shared" si="11"/>
        <v>0</v>
      </c>
      <c r="CJ49" s="11">
        <f t="shared" si="12"/>
        <v>0</v>
      </c>
      <c r="CK49" s="10">
        <f t="shared" si="13"/>
        <v>0</v>
      </c>
      <c r="CL49" s="11">
        <f t="shared" si="14"/>
        <v>0</v>
      </c>
      <c r="CM49" s="10">
        <f t="shared" si="15"/>
        <v>0</v>
      </c>
      <c r="CN49" s="11">
        <f t="shared" si="16"/>
        <v>0</v>
      </c>
      <c r="CO49" s="10">
        <f t="shared" si="17"/>
        <v>0</v>
      </c>
      <c r="CP49" s="11">
        <f t="shared" si="18"/>
        <v>0</v>
      </c>
      <c r="CQ49" s="10">
        <f t="shared" si="19"/>
        <v>0</v>
      </c>
      <c r="CR49" s="11">
        <f t="shared" si="20"/>
        <v>0</v>
      </c>
      <c r="CS49" s="10">
        <f t="shared" si="21"/>
        <v>0</v>
      </c>
      <c r="CT49" s="11">
        <f t="shared" si="22"/>
        <v>0</v>
      </c>
      <c r="CU49" s="10">
        <f t="shared" si="23"/>
        <v>0</v>
      </c>
      <c r="CV49" s="11">
        <f t="shared" si="24"/>
        <v>0</v>
      </c>
      <c r="CW49" s="10">
        <f t="shared" si="25"/>
        <v>0</v>
      </c>
      <c r="CX49" s="11">
        <f t="shared" si="26"/>
        <v>0</v>
      </c>
      <c r="CY49" s="10">
        <f t="shared" si="27"/>
        <v>0</v>
      </c>
      <c r="CZ49" s="11">
        <f t="shared" si="28"/>
        <v>0</v>
      </c>
      <c r="DK49" s="18">
        <f t="shared" si="29"/>
        <v>39</v>
      </c>
      <c r="DL49" s="18">
        <f>$DL$50+($DL$45-$DL$50)*(CA49-$CA$50)/($CA$45-$CA$50)</f>
        <v>7.1999999999999995E-2</v>
      </c>
    </row>
    <row r="50" spans="1:116" x14ac:dyDescent="0.25">
      <c r="A50" s="90">
        <v>36162</v>
      </c>
      <c r="B50" s="20">
        <v>0.33333333333333331</v>
      </c>
      <c r="D50">
        <v>37.94</v>
      </c>
      <c r="E50" t="str">
        <f t="shared" si="31"/>
        <v>SATURDAY</v>
      </c>
      <c r="F50" t="e">
        <f t="shared" si="35"/>
        <v>#N/A</v>
      </c>
      <c r="G50" s="74">
        <v>27761</v>
      </c>
      <c r="H50" s="77">
        <v>0.33333333333333331</v>
      </c>
      <c r="J50">
        <v>21.92</v>
      </c>
      <c r="M50" s="74">
        <v>37623</v>
      </c>
      <c r="N50" s="77">
        <v>0.33333333333333331</v>
      </c>
      <c r="P50">
        <v>26.96</v>
      </c>
      <c r="S50" s="74">
        <v>36162</v>
      </c>
      <c r="T50" s="77">
        <v>0.33333333333333331</v>
      </c>
      <c r="V50">
        <v>12.02</v>
      </c>
      <c r="X50" s="42"/>
      <c r="AB50">
        <v>32.799999999999997</v>
      </c>
      <c r="AC50">
        <v>46.04</v>
      </c>
      <c r="AE50" s="74"/>
      <c r="AF50" s="77"/>
      <c r="AH50" s="497">
        <v>24.8</v>
      </c>
      <c r="AJ50" s="42"/>
      <c r="AK50" s="74"/>
      <c r="AL50" s="77"/>
      <c r="AN50" s="497">
        <v>24.98</v>
      </c>
      <c r="AP50" s="42"/>
      <c r="AQ50" s="74"/>
      <c r="AR50" s="77"/>
      <c r="AT50" s="497">
        <v>35.06</v>
      </c>
      <c r="AV50" s="42"/>
      <c r="AW50" s="74"/>
      <c r="AX50" s="77"/>
      <c r="BA50" s="497">
        <v>31.64</v>
      </c>
      <c r="BB50" s="42"/>
      <c r="BC50" s="74"/>
      <c r="BD50" s="77"/>
      <c r="BF50">
        <v>30.02</v>
      </c>
      <c r="BH50" s="42"/>
      <c r="BI50" s="74"/>
      <c r="BJ50" s="77"/>
      <c r="BL50" s="497">
        <v>30.02</v>
      </c>
      <c r="BN50" s="42"/>
      <c r="BO50" s="74"/>
      <c r="BP50" s="77"/>
      <c r="BR50" s="497">
        <v>26.96</v>
      </c>
      <c r="BT50" s="42"/>
      <c r="BZ50" s="10">
        <f t="shared" si="33"/>
        <v>36</v>
      </c>
      <c r="CA50">
        <v>37</v>
      </c>
      <c r="CB50" s="11">
        <f t="shared" si="34"/>
        <v>38</v>
      </c>
      <c r="CC50" s="10">
        <f t="shared" si="5"/>
        <v>0</v>
      </c>
      <c r="CD50" s="11">
        <f t="shared" si="6"/>
        <v>0</v>
      </c>
      <c r="CE50" s="10">
        <f t="shared" si="7"/>
        <v>0</v>
      </c>
      <c r="CF50" s="11">
        <f t="shared" si="8"/>
        <v>0</v>
      </c>
      <c r="CG50" s="10">
        <f t="shared" si="9"/>
        <v>0</v>
      </c>
      <c r="CH50" s="11">
        <f t="shared" si="10"/>
        <v>0</v>
      </c>
      <c r="CI50" s="10">
        <f t="shared" si="11"/>
        <v>0</v>
      </c>
      <c r="CJ50" s="11">
        <f t="shared" si="12"/>
        <v>0</v>
      </c>
      <c r="CK50" s="10">
        <f t="shared" si="13"/>
        <v>0</v>
      </c>
      <c r="CL50" s="11">
        <f t="shared" si="14"/>
        <v>0</v>
      </c>
      <c r="CM50" s="10">
        <f t="shared" si="15"/>
        <v>0</v>
      </c>
      <c r="CN50" s="11">
        <f t="shared" si="16"/>
        <v>0</v>
      </c>
      <c r="CO50" s="10">
        <f t="shared" si="17"/>
        <v>0</v>
      </c>
      <c r="CP50" s="11">
        <f t="shared" si="18"/>
        <v>0</v>
      </c>
      <c r="CQ50" s="10">
        <f t="shared" si="19"/>
        <v>0</v>
      </c>
      <c r="CR50" s="11">
        <f t="shared" si="20"/>
        <v>0</v>
      </c>
      <c r="CS50" s="10">
        <f t="shared" si="21"/>
        <v>0</v>
      </c>
      <c r="CT50" s="11">
        <f t="shared" si="22"/>
        <v>0</v>
      </c>
      <c r="CU50" s="10">
        <f t="shared" si="23"/>
        <v>0</v>
      </c>
      <c r="CV50" s="11">
        <f t="shared" si="24"/>
        <v>0</v>
      </c>
      <c r="CW50" s="10">
        <f t="shared" si="25"/>
        <v>0</v>
      </c>
      <c r="CX50" s="11">
        <f t="shared" si="26"/>
        <v>0</v>
      </c>
      <c r="CY50" s="10">
        <f t="shared" si="27"/>
        <v>0</v>
      </c>
      <c r="CZ50" s="11">
        <f t="shared" si="28"/>
        <v>0</v>
      </c>
      <c r="DK50" s="18">
        <f t="shared" si="29"/>
        <v>37</v>
      </c>
      <c r="DL50" s="82">
        <v>0.09</v>
      </c>
    </row>
    <row r="51" spans="1:116" x14ac:dyDescent="0.25">
      <c r="A51" s="90">
        <v>36162</v>
      </c>
      <c r="B51" s="20">
        <v>0.375</v>
      </c>
      <c r="D51">
        <v>39.92</v>
      </c>
      <c r="E51" t="str">
        <f t="shared" si="31"/>
        <v>SATURDAY</v>
      </c>
      <c r="F51" t="e">
        <f t="shared" si="35"/>
        <v>#N/A</v>
      </c>
      <c r="G51" s="74">
        <v>27761</v>
      </c>
      <c r="H51" s="77">
        <v>0.375</v>
      </c>
      <c r="J51">
        <v>21.92</v>
      </c>
      <c r="M51" s="74">
        <v>37623</v>
      </c>
      <c r="N51" s="77">
        <v>0.375</v>
      </c>
      <c r="P51">
        <v>26.96</v>
      </c>
      <c r="S51" s="74">
        <v>36162</v>
      </c>
      <c r="T51" s="77">
        <v>0.375</v>
      </c>
      <c r="V51">
        <v>12.920000000000002</v>
      </c>
      <c r="X51" s="42"/>
      <c r="AB51">
        <v>33.1</v>
      </c>
      <c r="AC51">
        <v>48.019999999999996</v>
      </c>
      <c r="AE51" s="74"/>
      <c r="AF51" s="77"/>
      <c r="AH51" s="497">
        <v>30.2</v>
      </c>
      <c r="AJ51" s="42"/>
      <c r="AK51" s="74"/>
      <c r="AL51" s="77"/>
      <c r="AN51" s="497">
        <v>26.060000000000002</v>
      </c>
      <c r="AP51" s="42"/>
      <c r="AQ51" s="74"/>
      <c r="AR51" s="77"/>
      <c r="AT51" s="497">
        <v>35.06</v>
      </c>
      <c r="AV51" s="42"/>
      <c r="AW51" s="74"/>
      <c r="AX51" s="77"/>
      <c r="BA51" s="497">
        <v>32.36</v>
      </c>
      <c r="BB51" s="42"/>
      <c r="BC51" s="74"/>
      <c r="BD51" s="77"/>
      <c r="BF51">
        <v>30.02</v>
      </c>
      <c r="BH51" s="42"/>
      <c r="BI51" s="74"/>
      <c r="BJ51" s="77"/>
      <c r="BL51" s="497">
        <v>30.02</v>
      </c>
      <c r="BN51" s="42"/>
      <c r="BO51" s="74"/>
      <c r="BP51" s="77"/>
      <c r="BR51" s="497">
        <v>26.96</v>
      </c>
      <c r="BT51" s="42"/>
      <c r="BZ51" s="10">
        <f t="shared" si="33"/>
        <v>34</v>
      </c>
      <c r="CA51">
        <v>35</v>
      </c>
      <c r="CB51" s="11">
        <f t="shared" si="34"/>
        <v>36</v>
      </c>
      <c r="CC51" s="10">
        <f t="shared" si="5"/>
        <v>0</v>
      </c>
      <c r="CD51" s="11">
        <f t="shared" si="6"/>
        <v>0</v>
      </c>
      <c r="CE51" s="10">
        <f t="shared" si="7"/>
        <v>0</v>
      </c>
      <c r="CF51" s="11">
        <f t="shared" si="8"/>
        <v>0</v>
      </c>
      <c r="CG51" s="10">
        <f t="shared" si="9"/>
        <v>0</v>
      </c>
      <c r="CH51" s="11">
        <f t="shared" si="10"/>
        <v>0</v>
      </c>
      <c r="CI51" s="10">
        <f t="shared" si="11"/>
        <v>0</v>
      </c>
      <c r="CJ51" s="11">
        <f t="shared" si="12"/>
        <v>0</v>
      </c>
      <c r="CK51" s="10">
        <f t="shared" si="13"/>
        <v>0</v>
      </c>
      <c r="CL51" s="11">
        <f t="shared" si="14"/>
        <v>0</v>
      </c>
      <c r="CM51" s="10">
        <f t="shared" si="15"/>
        <v>0</v>
      </c>
      <c r="CN51" s="11">
        <f t="shared" si="16"/>
        <v>0</v>
      </c>
      <c r="CO51" s="10">
        <f t="shared" si="17"/>
        <v>0</v>
      </c>
      <c r="CP51" s="11">
        <f t="shared" si="18"/>
        <v>0</v>
      </c>
      <c r="CQ51" s="10">
        <f t="shared" si="19"/>
        <v>0</v>
      </c>
      <c r="CR51" s="11">
        <f t="shared" si="20"/>
        <v>0</v>
      </c>
      <c r="CS51" s="10">
        <f t="shared" si="21"/>
        <v>0</v>
      </c>
      <c r="CT51" s="11">
        <f t="shared" si="22"/>
        <v>0</v>
      </c>
      <c r="CU51" s="10">
        <f t="shared" si="23"/>
        <v>0</v>
      </c>
      <c r="CV51" s="11">
        <f t="shared" si="24"/>
        <v>0</v>
      </c>
      <c r="CW51" s="10">
        <f t="shared" si="25"/>
        <v>0</v>
      </c>
      <c r="CX51" s="11">
        <f t="shared" si="26"/>
        <v>0</v>
      </c>
      <c r="CY51" s="10">
        <f t="shared" si="27"/>
        <v>0</v>
      </c>
      <c r="CZ51" s="11">
        <f t="shared" si="28"/>
        <v>0</v>
      </c>
      <c r="DK51" s="18">
        <f t="shared" si="29"/>
        <v>35</v>
      </c>
      <c r="DL51" s="18">
        <f>$DL$55+($DL$50-$DL$55)*(CA51-$CA$55)/($CA$50-$CA$55)</f>
        <v>9.4E-2</v>
      </c>
    </row>
    <row r="52" spans="1:116" x14ac:dyDescent="0.25">
      <c r="A52" s="90">
        <v>36162</v>
      </c>
      <c r="B52" s="20">
        <v>0.41666666666666669</v>
      </c>
      <c r="D52">
        <v>41</v>
      </c>
      <c r="E52" t="str">
        <f t="shared" si="31"/>
        <v>SATURDAY</v>
      </c>
      <c r="F52" t="e">
        <f t="shared" si="35"/>
        <v>#N/A</v>
      </c>
      <c r="G52" s="74">
        <v>27761</v>
      </c>
      <c r="H52" s="77">
        <v>0.41666666666666669</v>
      </c>
      <c r="J52">
        <v>24.08</v>
      </c>
      <c r="M52" s="74">
        <v>37623</v>
      </c>
      <c r="N52" s="77">
        <v>0.41666666666666669</v>
      </c>
      <c r="P52">
        <v>26.78</v>
      </c>
      <c r="S52" s="74">
        <v>36162</v>
      </c>
      <c r="T52" s="77">
        <v>0.41666666666666669</v>
      </c>
      <c r="V52">
        <v>15.98</v>
      </c>
      <c r="X52" s="42"/>
      <c r="AB52">
        <v>34.5</v>
      </c>
      <c r="AC52">
        <v>51.08</v>
      </c>
      <c r="AE52" s="74"/>
      <c r="AF52" s="77"/>
      <c r="AH52" s="497">
        <v>33.799999999999997</v>
      </c>
      <c r="AJ52" s="42"/>
      <c r="AK52" s="74"/>
      <c r="AL52" s="77"/>
      <c r="AN52" s="497">
        <v>26.96</v>
      </c>
      <c r="AP52" s="42"/>
      <c r="AQ52" s="74"/>
      <c r="AR52" s="77"/>
      <c r="AT52" s="497">
        <v>35.06</v>
      </c>
      <c r="AV52" s="42"/>
      <c r="AW52" s="74"/>
      <c r="AX52" s="77"/>
      <c r="BA52" s="497">
        <v>33.08</v>
      </c>
      <c r="BB52" s="42"/>
      <c r="BC52" s="74"/>
      <c r="BD52" s="77"/>
      <c r="BF52">
        <v>30.92</v>
      </c>
      <c r="BH52" s="42"/>
      <c r="BI52" s="74"/>
      <c r="BJ52" s="77"/>
      <c r="BL52" s="497">
        <v>30.02</v>
      </c>
      <c r="BN52" s="42"/>
      <c r="BO52" s="74"/>
      <c r="BP52" s="77"/>
      <c r="BR52" s="497">
        <v>26.060000000000002</v>
      </c>
      <c r="BT52" s="42"/>
      <c r="BZ52" s="10">
        <f t="shared" si="33"/>
        <v>32</v>
      </c>
      <c r="CA52">
        <v>33</v>
      </c>
      <c r="CB52" s="11">
        <f t="shared" si="34"/>
        <v>34</v>
      </c>
      <c r="CC52" s="10">
        <f t="shared" si="5"/>
        <v>0</v>
      </c>
      <c r="CD52" s="11">
        <f t="shared" si="6"/>
        <v>0</v>
      </c>
      <c r="CE52" s="10">
        <f t="shared" si="7"/>
        <v>0</v>
      </c>
      <c r="CF52" s="11">
        <f t="shared" si="8"/>
        <v>0</v>
      </c>
      <c r="CG52" s="10">
        <f t="shared" si="9"/>
        <v>0</v>
      </c>
      <c r="CH52" s="11">
        <f t="shared" si="10"/>
        <v>0</v>
      </c>
      <c r="CI52" s="10">
        <f t="shared" si="11"/>
        <v>0</v>
      </c>
      <c r="CJ52" s="11">
        <f t="shared" si="12"/>
        <v>0</v>
      </c>
      <c r="CK52" s="10">
        <f t="shared" si="13"/>
        <v>0</v>
      </c>
      <c r="CL52" s="11">
        <f t="shared" si="14"/>
        <v>0</v>
      </c>
      <c r="CM52" s="10">
        <f t="shared" si="15"/>
        <v>0</v>
      </c>
      <c r="CN52" s="11">
        <f t="shared" si="16"/>
        <v>0</v>
      </c>
      <c r="CO52" s="10">
        <f t="shared" si="17"/>
        <v>0</v>
      </c>
      <c r="CP52" s="11">
        <f t="shared" si="18"/>
        <v>0</v>
      </c>
      <c r="CQ52" s="10">
        <f t="shared" si="19"/>
        <v>0</v>
      </c>
      <c r="CR52" s="11">
        <f t="shared" si="20"/>
        <v>0</v>
      </c>
      <c r="CS52" s="10">
        <f t="shared" si="21"/>
        <v>0</v>
      </c>
      <c r="CT52" s="11">
        <f t="shared" si="22"/>
        <v>0</v>
      </c>
      <c r="CU52" s="10">
        <f t="shared" si="23"/>
        <v>0</v>
      </c>
      <c r="CV52" s="11">
        <f t="shared" si="24"/>
        <v>0</v>
      </c>
      <c r="CW52" s="10">
        <f t="shared" si="25"/>
        <v>0</v>
      </c>
      <c r="CX52" s="11">
        <f t="shared" si="26"/>
        <v>0</v>
      </c>
      <c r="CY52" s="10">
        <f t="shared" si="27"/>
        <v>0</v>
      </c>
      <c r="CZ52" s="11">
        <f t="shared" si="28"/>
        <v>0</v>
      </c>
      <c r="DK52" s="18">
        <f t="shared" si="29"/>
        <v>33</v>
      </c>
      <c r="DL52" s="18">
        <f>$DL$55+($DL$50-$DL$55)*(CA52-$CA$55)/($CA$50-$CA$55)</f>
        <v>9.8000000000000004E-2</v>
      </c>
    </row>
    <row r="53" spans="1:116" x14ac:dyDescent="0.25">
      <c r="A53" s="90">
        <v>36162</v>
      </c>
      <c r="B53" s="20">
        <v>0.45833333333333331</v>
      </c>
      <c r="D53">
        <v>42.08</v>
      </c>
      <c r="E53" t="str">
        <f t="shared" si="31"/>
        <v>SATURDAY</v>
      </c>
      <c r="F53" t="e">
        <f t="shared" si="35"/>
        <v>#N/A</v>
      </c>
      <c r="G53" s="74">
        <v>27761</v>
      </c>
      <c r="H53" s="77">
        <v>0.45833333333333331</v>
      </c>
      <c r="J53">
        <v>26.96</v>
      </c>
      <c r="M53" s="74">
        <v>37623</v>
      </c>
      <c r="N53" s="77">
        <v>0.45833333333333331</v>
      </c>
      <c r="P53">
        <v>26.6</v>
      </c>
      <c r="S53" s="74">
        <v>36162</v>
      </c>
      <c r="T53" s="77">
        <v>0.45833333333333331</v>
      </c>
      <c r="V53">
        <v>17.059999999999999</v>
      </c>
      <c r="X53" s="42"/>
      <c r="AB53">
        <v>35.799999999999997</v>
      </c>
      <c r="AC53">
        <v>53.06</v>
      </c>
      <c r="AE53" s="74"/>
      <c r="AF53" s="77"/>
      <c r="AH53" s="497">
        <v>37.4</v>
      </c>
      <c r="AJ53" s="42"/>
      <c r="AK53" s="74"/>
      <c r="AL53" s="77"/>
      <c r="AN53" s="497">
        <v>30.02</v>
      </c>
      <c r="AP53" s="42"/>
      <c r="AQ53" s="74"/>
      <c r="AR53" s="77"/>
      <c r="AT53" s="497">
        <v>35.06</v>
      </c>
      <c r="AV53" s="42"/>
      <c r="AW53" s="74"/>
      <c r="AX53" s="77"/>
      <c r="BA53" s="497">
        <v>32.72</v>
      </c>
      <c r="BB53" s="42"/>
      <c r="BC53" s="74"/>
      <c r="BD53" s="77"/>
      <c r="BF53">
        <v>30.92</v>
      </c>
      <c r="BH53" s="42"/>
      <c r="BI53" s="74"/>
      <c r="BJ53" s="77"/>
      <c r="BL53" s="497">
        <v>30.38</v>
      </c>
      <c r="BN53" s="42"/>
      <c r="BO53" s="74"/>
      <c r="BP53" s="77"/>
      <c r="BR53" s="497">
        <v>28.04</v>
      </c>
      <c r="BT53" s="42"/>
      <c r="BZ53" s="10">
        <f t="shared" si="33"/>
        <v>30</v>
      </c>
      <c r="CA53">
        <v>31</v>
      </c>
      <c r="CB53" s="11">
        <f t="shared" si="34"/>
        <v>32</v>
      </c>
      <c r="CC53" s="10">
        <f t="shared" si="5"/>
        <v>0</v>
      </c>
      <c r="CD53" s="11">
        <f t="shared" si="6"/>
        <v>0</v>
      </c>
      <c r="CE53" s="10">
        <f t="shared" si="7"/>
        <v>0</v>
      </c>
      <c r="CF53" s="11">
        <f t="shared" si="8"/>
        <v>0</v>
      </c>
      <c r="CG53" s="10">
        <f t="shared" si="9"/>
        <v>0</v>
      </c>
      <c r="CH53" s="11">
        <f t="shared" si="10"/>
        <v>0</v>
      </c>
      <c r="CI53" s="10">
        <f t="shared" si="11"/>
        <v>0</v>
      </c>
      <c r="CJ53" s="11">
        <f t="shared" si="12"/>
        <v>0</v>
      </c>
      <c r="CK53" s="10">
        <f t="shared" si="13"/>
        <v>0</v>
      </c>
      <c r="CL53" s="11">
        <f t="shared" si="14"/>
        <v>0</v>
      </c>
      <c r="CM53" s="10">
        <f t="shared" si="15"/>
        <v>0</v>
      </c>
      <c r="CN53" s="11">
        <f t="shared" si="16"/>
        <v>0</v>
      </c>
      <c r="CO53" s="10">
        <f t="shared" si="17"/>
        <v>0</v>
      </c>
      <c r="CP53" s="11">
        <f t="shared" si="18"/>
        <v>0</v>
      </c>
      <c r="CQ53" s="10">
        <f t="shared" si="19"/>
        <v>0</v>
      </c>
      <c r="CR53" s="11">
        <f t="shared" si="20"/>
        <v>0</v>
      </c>
      <c r="CS53" s="10">
        <f t="shared" si="21"/>
        <v>0</v>
      </c>
      <c r="CT53" s="11">
        <f t="shared" si="22"/>
        <v>0</v>
      </c>
      <c r="CU53" s="10">
        <f t="shared" si="23"/>
        <v>0</v>
      </c>
      <c r="CV53" s="11">
        <f t="shared" si="24"/>
        <v>0</v>
      </c>
      <c r="CW53" s="10">
        <f t="shared" si="25"/>
        <v>0</v>
      </c>
      <c r="CX53" s="11">
        <f t="shared" si="26"/>
        <v>0</v>
      </c>
      <c r="CY53" s="10">
        <f t="shared" si="27"/>
        <v>0</v>
      </c>
      <c r="CZ53" s="11">
        <f t="shared" si="28"/>
        <v>0</v>
      </c>
      <c r="DK53" s="18">
        <f t="shared" si="29"/>
        <v>31</v>
      </c>
      <c r="DL53" s="18">
        <f>$DL$55+($DL$50-$DL$55)*(CA53-$CA$55)/($CA$50-$CA$55)</f>
        <v>0.10199999999999999</v>
      </c>
    </row>
    <row r="54" spans="1:116" x14ac:dyDescent="0.25">
      <c r="A54" s="90">
        <v>36162</v>
      </c>
      <c r="B54" s="20">
        <v>0.5</v>
      </c>
      <c r="D54">
        <v>44.06</v>
      </c>
      <c r="E54" t="str">
        <f t="shared" si="31"/>
        <v>SATURDAY</v>
      </c>
      <c r="F54" t="e">
        <f t="shared" si="35"/>
        <v>#N/A</v>
      </c>
      <c r="G54" s="74">
        <v>27761</v>
      </c>
      <c r="H54" s="77">
        <v>0.5</v>
      </c>
      <c r="J54">
        <v>28.04</v>
      </c>
      <c r="M54" s="74">
        <v>37623</v>
      </c>
      <c r="N54" s="77">
        <v>0.5</v>
      </c>
      <c r="P54">
        <v>28.4</v>
      </c>
      <c r="S54" s="74">
        <v>36162</v>
      </c>
      <c r="T54" s="77">
        <v>0.5</v>
      </c>
      <c r="V54">
        <v>19.04</v>
      </c>
      <c r="X54" s="42"/>
      <c r="AB54">
        <v>37</v>
      </c>
      <c r="AC54">
        <v>55.040000000000006</v>
      </c>
      <c r="AE54" s="74"/>
      <c r="AF54" s="77"/>
      <c r="AH54" s="497">
        <v>39.200000000000003</v>
      </c>
      <c r="AJ54" s="42"/>
      <c r="AK54" s="74"/>
      <c r="AL54" s="77"/>
      <c r="AN54" s="497">
        <v>30.92</v>
      </c>
      <c r="AP54" s="42"/>
      <c r="AQ54" s="74"/>
      <c r="AR54" s="77"/>
      <c r="AT54" s="497">
        <v>33.979999999999997</v>
      </c>
      <c r="AV54" s="42"/>
      <c r="AW54" s="74"/>
      <c r="AX54" s="77"/>
      <c r="BA54" s="497">
        <v>32.36</v>
      </c>
      <c r="BB54" s="42"/>
      <c r="BC54" s="74"/>
      <c r="BD54" s="77"/>
      <c r="BF54">
        <v>32</v>
      </c>
      <c r="BH54" s="42"/>
      <c r="BI54" s="74"/>
      <c r="BJ54" s="77"/>
      <c r="BL54" s="497">
        <v>30.56</v>
      </c>
      <c r="BN54" s="42"/>
      <c r="BO54" s="74"/>
      <c r="BP54" s="77"/>
      <c r="BR54" s="497">
        <v>30.02</v>
      </c>
      <c r="BT54" s="42"/>
      <c r="BZ54" s="10">
        <f t="shared" si="33"/>
        <v>28</v>
      </c>
      <c r="CA54">
        <v>29</v>
      </c>
      <c r="CB54" s="11">
        <f t="shared" si="34"/>
        <v>30</v>
      </c>
      <c r="CC54" s="10">
        <f t="shared" si="5"/>
        <v>0</v>
      </c>
      <c r="CD54" s="11">
        <f t="shared" si="6"/>
        <v>0</v>
      </c>
      <c r="CE54" s="10">
        <f t="shared" si="7"/>
        <v>0</v>
      </c>
      <c r="CF54" s="11">
        <f t="shared" si="8"/>
        <v>0</v>
      </c>
      <c r="CG54" s="10">
        <f t="shared" si="9"/>
        <v>0</v>
      </c>
      <c r="CH54" s="11">
        <f t="shared" si="10"/>
        <v>0</v>
      </c>
      <c r="CI54" s="10">
        <f t="shared" si="11"/>
        <v>0</v>
      </c>
      <c r="CJ54" s="11">
        <f t="shared" si="12"/>
        <v>0</v>
      </c>
      <c r="CK54" s="10">
        <f t="shared" si="13"/>
        <v>0</v>
      </c>
      <c r="CL54" s="11">
        <f t="shared" si="14"/>
        <v>0</v>
      </c>
      <c r="CM54" s="10">
        <f t="shared" si="15"/>
        <v>0</v>
      </c>
      <c r="CN54" s="11">
        <f t="shared" si="16"/>
        <v>0</v>
      </c>
      <c r="CO54" s="10">
        <f t="shared" si="17"/>
        <v>0</v>
      </c>
      <c r="CP54" s="11">
        <f t="shared" si="18"/>
        <v>0</v>
      </c>
      <c r="CQ54" s="10">
        <f t="shared" si="19"/>
        <v>0</v>
      </c>
      <c r="CR54" s="11">
        <f t="shared" si="20"/>
        <v>0</v>
      </c>
      <c r="CS54" s="10">
        <f t="shared" si="21"/>
        <v>0</v>
      </c>
      <c r="CT54" s="11">
        <f t="shared" si="22"/>
        <v>0</v>
      </c>
      <c r="CU54" s="10">
        <f t="shared" si="23"/>
        <v>0</v>
      </c>
      <c r="CV54" s="11">
        <f t="shared" si="24"/>
        <v>0</v>
      </c>
      <c r="CW54" s="10">
        <f t="shared" si="25"/>
        <v>0</v>
      </c>
      <c r="CX54" s="11">
        <f t="shared" si="26"/>
        <v>0</v>
      </c>
      <c r="CY54" s="10">
        <f t="shared" si="27"/>
        <v>0</v>
      </c>
      <c r="CZ54" s="11">
        <f t="shared" si="28"/>
        <v>0</v>
      </c>
      <c r="DK54" s="18">
        <f t="shared" si="29"/>
        <v>29</v>
      </c>
      <c r="DL54" s="18">
        <f>$DL$55+($DL$50-$DL$55)*(CA54-$CA$55)/($CA$50-$CA$55)</f>
        <v>0.106</v>
      </c>
    </row>
    <row r="55" spans="1:116" x14ac:dyDescent="0.25">
      <c r="A55" s="90">
        <v>36162</v>
      </c>
      <c r="B55" s="20">
        <v>0.54166666666666663</v>
      </c>
      <c r="D55">
        <v>44.96</v>
      </c>
      <c r="E55" t="str">
        <f t="shared" si="31"/>
        <v>SATURDAY</v>
      </c>
      <c r="F55" t="e">
        <f t="shared" si="35"/>
        <v>#N/A</v>
      </c>
      <c r="G55" s="74">
        <v>27761</v>
      </c>
      <c r="H55" s="77">
        <v>0.54166666666666663</v>
      </c>
      <c r="J55">
        <v>28.94</v>
      </c>
      <c r="M55" s="74">
        <v>37623</v>
      </c>
      <c r="N55" s="77">
        <v>0.54166666666666663</v>
      </c>
      <c r="P55">
        <v>28.4</v>
      </c>
      <c r="S55" s="74">
        <v>36162</v>
      </c>
      <c r="T55" s="77">
        <v>0.54166666666666663</v>
      </c>
      <c r="V55">
        <v>21.02</v>
      </c>
      <c r="X55" s="42"/>
      <c r="AB55">
        <v>38</v>
      </c>
      <c r="AC55">
        <v>55.94</v>
      </c>
      <c r="AE55" s="74"/>
      <c r="AF55" s="77"/>
      <c r="AH55" s="497">
        <v>39.200000000000003</v>
      </c>
      <c r="AJ55" s="42"/>
      <c r="AK55" s="74"/>
      <c r="AL55" s="77"/>
      <c r="AN55" s="497">
        <v>32</v>
      </c>
      <c r="AP55" s="42"/>
      <c r="AQ55" s="74"/>
      <c r="AR55" s="77"/>
      <c r="AT55" s="497">
        <v>33.979999999999997</v>
      </c>
      <c r="AV55" s="42"/>
      <c r="AW55" s="74"/>
      <c r="AX55" s="77"/>
      <c r="BA55" s="497">
        <v>32</v>
      </c>
      <c r="BB55" s="42"/>
      <c r="BC55" s="74"/>
      <c r="BD55" s="77"/>
      <c r="BF55">
        <v>32</v>
      </c>
      <c r="BH55" s="42"/>
      <c r="BI55" s="74"/>
      <c r="BJ55" s="77"/>
      <c r="BL55" s="497">
        <v>30.92</v>
      </c>
      <c r="BN55" s="42"/>
      <c r="BO55" s="74"/>
      <c r="BP55" s="77"/>
      <c r="BR55" s="497">
        <v>30.02</v>
      </c>
      <c r="BT55" s="42"/>
      <c r="BZ55" s="10">
        <f t="shared" si="33"/>
        <v>26</v>
      </c>
      <c r="CA55">
        <v>27</v>
      </c>
      <c r="CB55" s="11">
        <f t="shared" si="34"/>
        <v>28</v>
      </c>
      <c r="CC55" s="10">
        <f t="shared" si="5"/>
        <v>0</v>
      </c>
      <c r="CD55" s="11">
        <f t="shared" si="6"/>
        <v>0</v>
      </c>
      <c r="CE55" s="10">
        <f t="shared" si="7"/>
        <v>0</v>
      </c>
      <c r="CF55" s="11">
        <f t="shared" si="8"/>
        <v>0</v>
      </c>
      <c r="CG55" s="10">
        <f t="shared" si="9"/>
        <v>0</v>
      </c>
      <c r="CH55" s="11">
        <f t="shared" si="10"/>
        <v>0</v>
      </c>
      <c r="CI55" s="10">
        <f t="shared" si="11"/>
        <v>0</v>
      </c>
      <c r="CJ55" s="11">
        <f t="shared" si="12"/>
        <v>0</v>
      </c>
      <c r="CK55" s="10">
        <f t="shared" si="13"/>
        <v>0</v>
      </c>
      <c r="CL55" s="11">
        <f t="shared" si="14"/>
        <v>0</v>
      </c>
      <c r="CM55" s="10">
        <f t="shared" si="15"/>
        <v>0</v>
      </c>
      <c r="CN55" s="11">
        <f t="shared" si="16"/>
        <v>0</v>
      </c>
      <c r="CO55" s="10">
        <f t="shared" si="17"/>
        <v>0</v>
      </c>
      <c r="CP55" s="11">
        <f t="shared" si="18"/>
        <v>0</v>
      </c>
      <c r="CQ55" s="10">
        <f t="shared" si="19"/>
        <v>0</v>
      </c>
      <c r="CR55" s="11">
        <f t="shared" si="20"/>
        <v>0</v>
      </c>
      <c r="CS55" s="10">
        <f t="shared" si="21"/>
        <v>0</v>
      </c>
      <c r="CT55" s="11">
        <f t="shared" si="22"/>
        <v>0</v>
      </c>
      <c r="CU55" s="10">
        <f t="shared" si="23"/>
        <v>0</v>
      </c>
      <c r="CV55" s="11">
        <f t="shared" si="24"/>
        <v>0</v>
      </c>
      <c r="CW55" s="10">
        <f t="shared" si="25"/>
        <v>0</v>
      </c>
      <c r="CX55" s="11">
        <f t="shared" si="26"/>
        <v>0</v>
      </c>
      <c r="CY55" s="10">
        <f t="shared" si="27"/>
        <v>0</v>
      </c>
      <c r="CZ55" s="11">
        <f t="shared" si="28"/>
        <v>0</v>
      </c>
      <c r="DK55" s="18">
        <f t="shared" si="29"/>
        <v>27</v>
      </c>
      <c r="DL55" s="82">
        <v>0.11</v>
      </c>
    </row>
    <row r="56" spans="1:116" x14ac:dyDescent="0.25">
      <c r="A56" s="90">
        <v>36162</v>
      </c>
      <c r="B56" s="20">
        <v>0.58333333333333337</v>
      </c>
      <c r="D56">
        <v>46.04</v>
      </c>
      <c r="E56" t="str">
        <f t="shared" si="31"/>
        <v>SATURDAY</v>
      </c>
      <c r="F56" t="e">
        <f t="shared" si="35"/>
        <v>#N/A</v>
      </c>
      <c r="G56" s="74">
        <v>27761</v>
      </c>
      <c r="H56" s="77">
        <v>0.58333333333333337</v>
      </c>
      <c r="J56">
        <v>30.02</v>
      </c>
      <c r="M56" s="74">
        <v>37623</v>
      </c>
      <c r="N56" s="77">
        <v>0.58333333333333337</v>
      </c>
      <c r="P56">
        <v>30.2</v>
      </c>
      <c r="S56" s="74">
        <v>36162</v>
      </c>
      <c r="T56" s="77">
        <v>0.58333333333333337</v>
      </c>
      <c r="V56">
        <v>21.02</v>
      </c>
      <c r="X56" s="42"/>
      <c r="AB56">
        <v>38.799999999999997</v>
      </c>
      <c r="AC56">
        <v>57.019999999999996</v>
      </c>
      <c r="AE56" s="74"/>
      <c r="AF56" s="77"/>
      <c r="AH56" s="497">
        <v>37.4</v>
      </c>
      <c r="AJ56" s="42"/>
      <c r="AK56" s="74"/>
      <c r="AL56" s="77"/>
      <c r="AN56" s="497">
        <v>35.06</v>
      </c>
      <c r="AP56" s="42"/>
      <c r="AQ56" s="74"/>
      <c r="AR56" s="77"/>
      <c r="AT56" s="497">
        <v>33.979999999999997</v>
      </c>
      <c r="AV56" s="42"/>
      <c r="AW56" s="74"/>
      <c r="AX56" s="77"/>
      <c r="BA56" s="497">
        <v>31.28</v>
      </c>
      <c r="BB56" s="42"/>
      <c r="BC56" s="74"/>
      <c r="BD56" s="77"/>
      <c r="BF56">
        <v>32</v>
      </c>
      <c r="BH56" s="42"/>
      <c r="BI56" s="74"/>
      <c r="BJ56" s="77"/>
      <c r="BL56" s="497">
        <v>30.92</v>
      </c>
      <c r="BN56" s="42"/>
      <c r="BO56" s="74"/>
      <c r="BP56" s="77"/>
      <c r="BR56" s="497">
        <v>28.04</v>
      </c>
      <c r="BT56" s="42"/>
      <c r="BZ56" s="10">
        <f t="shared" si="33"/>
        <v>24</v>
      </c>
      <c r="CA56">
        <v>25</v>
      </c>
      <c r="CB56" s="11">
        <f t="shared" si="34"/>
        <v>26</v>
      </c>
      <c r="CC56" s="10">
        <f t="shared" si="5"/>
        <v>0</v>
      </c>
      <c r="CD56" s="11">
        <f t="shared" si="6"/>
        <v>0</v>
      </c>
      <c r="CE56" s="10">
        <f t="shared" si="7"/>
        <v>0</v>
      </c>
      <c r="CF56" s="11">
        <f t="shared" si="8"/>
        <v>0</v>
      </c>
      <c r="CG56" s="10">
        <f t="shared" si="9"/>
        <v>0</v>
      </c>
      <c r="CH56" s="11">
        <f t="shared" si="10"/>
        <v>0</v>
      </c>
      <c r="CI56" s="10">
        <f t="shared" si="11"/>
        <v>0</v>
      </c>
      <c r="CJ56" s="11">
        <f t="shared" si="12"/>
        <v>0</v>
      </c>
      <c r="CK56" s="10">
        <f t="shared" si="13"/>
        <v>0</v>
      </c>
      <c r="CL56" s="11">
        <f t="shared" si="14"/>
        <v>0</v>
      </c>
      <c r="CM56" s="10">
        <f t="shared" si="15"/>
        <v>0</v>
      </c>
      <c r="CN56" s="11">
        <f t="shared" si="16"/>
        <v>0</v>
      </c>
      <c r="CO56" s="10">
        <f t="shared" si="17"/>
        <v>0</v>
      </c>
      <c r="CP56" s="11">
        <f t="shared" si="18"/>
        <v>0</v>
      </c>
      <c r="CQ56" s="10">
        <f t="shared" si="19"/>
        <v>0</v>
      </c>
      <c r="CR56" s="11">
        <f t="shared" si="20"/>
        <v>0</v>
      </c>
      <c r="CS56" s="10">
        <f t="shared" si="21"/>
        <v>0</v>
      </c>
      <c r="CT56" s="11">
        <f t="shared" si="22"/>
        <v>0</v>
      </c>
      <c r="CU56" s="10">
        <f t="shared" si="23"/>
        <v>0</v>
      </c>
      <c r="CV56" s="11">
        <f t="shared" si="24"/>
        <v>0</v>
      </c>
      <c r="CW56" s="10">
        <f t="shared" si="25"/>
        <v>0</v>
      </c>
      <c r="CX56" s="11">
        <f t="shared" si="26"/>
        <v>0</v>
      </c>
      <c r="CY56" s="10">
        <f t="shared" si="27"/>
        <v>0</v>
      </c>
      <c r="CZ56" s="11">
        <f t="shared" si="28"/>
        <v>0</v>
      </c>
      <c r="DK56" s="18">
        <f t="shared" si="29"/>
        <v>25</v>
      </c>
      <c r="DL56" s="18">
        <f>$DL$60+($DL$55-$DL$60)*(CA56-$CA$60)/($CA$55-$CA$60)</f>
        <v>0.10500000000000001</v>
      </c>
    </row>
    <row r="57" spans="1:116" x14ac:dyDescent="0.25">
      <c r="A57" s="90">
        <v>36162</v>
      </c>
      <c r="B57" s="20">
        <v>0.625</v>
      </c>
      <c r="D57">
        <v>46.94</v>
      </c>
      <c r="E57" t="str">
        <f t="shared" si="31"/>
        <v>SATURDAY</v>
      </c>
      <c r="F57" t="e">
        <f t="shared" si="35"/>
        <v>#N/A</v>
      </c>
      <c r="G57" s="74">
        <v>27761</v>
      </c>
      <c r="H57" s="77">
        <v>0.625</v>
      </c>
      <c r="J57">
        <v>30.92</v>
      </c>
      <c r="M57" s="74">
        <v>37623</v>
      </c>
      <c r="N57" s="77">
        <v>0.625</v>
      </c>
      <c r="P57">
        <v>30.2</v>
      </c>
      <c r="S57" s="74">
        <v>36162</v>
      </c>
      <c r="T57" s="77">
        <v>0.625</v>
      </c>
      <c r="V57">
        <v>21.02</v>
      </c>
      <c r="X57" s="42"/>
      <c r="AB57">
        <v>39.1</v>
      </c>
      <c r="AC57">
        <v>53.06</v>
      </c>
      <c r="AE57" s="74"/>
      <c r="AF57" s="77"/>
      <c r="AH57" s="497">
        <v>37.4</v>
      </c>
      <c r="AJ57" s="42"/>
      <c r="AK57" s="74"/>
      <c r="AL57" s="77"/>
      <c r="AN57" s="497">
        <v>35.96</v>
      </c>
      <c r="AP57" s="42"/>
      <c r="AQ57" s="74"/>
      <c r="AR57" s="77"/>
      <c r="AT57" s="497">
        <v>33.979999999999997</v>
      </c>
      <c r="AV57" s="42"/>
      <c r="AW57" s="74"/>
      <c r="AX57" s="77"/>
      <c r="BA57" s="497">
        <v>30.74</v>
      </c>
      <c r="BB57" s="42"/>
      <c r="BC57" s="74"/>
      <c r="BD57" s="77"/>
      <c r="BF57">
        <v>32</v>
      </c>
      <c r="BH57" s="42"/>
      <c r="BI57" s="74"/>
      <c r="BJ57" s="77"/>
      <c r="BL57" s="497">
        <v>30.92</v>
      </c>
      <c r="BN57" s="42"/>
      <c r="BO57" s="74"/>
      <c r="BP57" s="77"/>
      <c r="BR57" s="497">
        <v>28.04</v>
      </c>
      <c r="BT57" s="42"/>
      <c r="BZ57" s="10">
        <f t="shared" si="33"/>
        <v>22</v>
      </c>
      <c r="CA57">
        <v>23</v>
      </c>
      <c r="CB57" s="11">
        <f t="shared" si="34"/>
        <v>24</v>
      </c>
      <c r="CC57" s="10">
        <f t="shared" si="5"/>
        <v>0</v>
      </c>
      <c r="CD57" s="11">
        <f t="shared" si="6"/>
        <v>0</v>
      </c>
      <c r="CE57" s="10">
        <f t="shared" si="7"/>
        <v>0</v>
      </c>
      <c r="CF57" s="11">
        <f t="shared" si="8"/>
        <v>0</v>
      </c>
      <c r="CG57" s="10">
        <f t="shared" si="9"/>
        <v>0</v>
      </c>
      <c r="CH57" s="11">
        <f t="shared" si="10"/>
        <v>0</v>
      </c>
      <c r="CI57" s="10">
        <f t="shared" si="11"/>
        <v>0</v>
      </c>
      <c r="CJ57" s="11">
        <f t="shared" si="12"/>
        <v>0</v>
      </c>
      <c r="CK57" s="10">
        <f t="shared" si="13"/>
        <v>0</v>
      </c>
      <c r="CL57" s="11">
        <f t="shared" si="14"/>
        <v>0</v>
      </c>
      <c r="CM57" s="10">
        <f t="shared" si="15"/>
        <v>0</v>
      </c>
      <c r="CN57" s="11">
        <f t="shared" si="16"/>
        <v>0</v>
      </c>
      <c r="CO57" s="10">
        <f t="shared" si="17"/>
        <v>0</v>
      </c>
      <c r="CP57" s="11">
        <f t="shared" si="18"/>
        <v>0</v>
      </c>
      <c r="CQ57" s="10">
        <f t="shared" si="19"/>
        <v>0</v>
      </c>
      <c r="CR57" s="11">
        <f t="shared" si="20"/>
        <v>0</v>
      </c>
      <c r="CS57" s="10">
        <f t="shared" si="21"/>
        <v>0</v>
      </c>
      <c r="CT57" s="11">
        <f t="shared" si="22"/>
        <v>0</v>
      </c>
      <c r="CU57" s="10">
        <f t="shared" si="23"/>
        <v>0</v>
      </c>
      <c r="CV57" s="11">
        <f t="shared" si="24"/>
        <v>0</v>
      </c>
      <c r="CW57" s="10">
        <f t="shared" si="25"/>
        <v>0</v>
      </c>
      <c r="CX57" s="11">
        <f t="shared" si="26"/>
        <v>0</v>
      </c>
      <c r="CY57" s="10">
        <f t="shared" si="27"/>
        <v>0</v>
      </c>
      <c r="CZ57" s="11">
        <f t="shared" si="28"/>
        <v>0</v>
      </c>
      <c r="DK57" s="18">
        <f t="shared" si="29"/>
        <v>23</v>
      </c>
      <c r="DL57" s="18">
        <f>$DL$60+($DL$55-$DL$60)*(CA57-$CA$60)/($CA$55-$CA$60)</f>
        <v>0.1</v>
      </c>
    </row>
    <row r="58" spans="1:116" x14ac:dyDescent="0.25">
      <c r="A58" s="90">
        <v>36162</v>
      </c>
      <c r="B58" s="20">
        <v>0.66666666666666663</v>
      </c>
      <c r="D58">
        <v>46.94</v>
      </c>
      <c r="E58" t="str">
        <f t="shared" si="31"/>
        <v>SATURDAY</v>
      </c>
      <c r="F58" t="e">
        <f t="shared" si="35"/>
        <v>#N/A</v>
      </c>
      <c r="G58" s="74">
        <v>27761</v>
      </c>
      <c r="H58" s="77">
        <v>0.66666666666666663</v>
      </c>
      <c r="J58">
        <v>30.92</v>
      </c>
      <c r="M58" s="74">
        <v>37623</v>
      </c>
      <c r="N58" s="77">
        <v>0.66666666666666663</v>
      </c>
      <c r="P58">
        <v>28.4</v>
      </c>
      <c r="S58" s="74">
        <v>36162</v>
      </c>
      <c r="T58" s="77">
        <v>0.66666666666666663</v>
      </c>
      <c r="V58">
        <v>21.02</v>
      </c>
      <c r="X58" s="42"/>
      <c r="AB58">
        <v>39.1</v>
      </c>
      <c r="AC58">
        <v>53.96</v>
      </c>
      <c r="AE58" s="74"/>
      <c r="AF58" s="77"/>
      <c r="AH58" s="497">
        <v>37.4</v>
      </c>
      <c r="AJ58" s="42"/>
      <c r="AK58" s="74"/>
      <c r="AL58" s="77"/>
      <c r="AN58" s="497">
        <v>35.96</v>
      </c>
      <c r="AP58" s="42"/>
      <c r="AQ58" s="74"/>
      <c r="AR58" s="77"/>
      <c r="AT58" s="497">
        <v>33.979999999999997</v>
      </c>
      <c r="AV58" s="42"/>
      <c r="AW58" s="74"/>
      <c r="AX58" s="77"/>
      <c r="BA58" s="497">
        <v>30.02</v>
      </c>
      <c r="BB58" s="42"/>
      <c r="BC58" s="74"/>
      <c r="BD58" s="77"/>
      <c r="BF58">
        <v>32</v>
      </c>
      <c r="BH58" s="42"/>
      <c r="BI58" s="74"/>
      <c r="BJ58" s="77"/>
      <c r="BL58" s="497">
        <v>30.92</v>
      </c>
      <c r="BN58" s="42"/>
      <c r="BO58" s="74"/>
      <c r="BP58" s="77"/>
      <c r="BR58" s="497">
        <v>28.04</v>
      </c>
      <c r="BT58" s="42"/>
      <c r="BZ58" s="10">
        <f t="shared" si="33"/>
        <v>20</v>
      </c>
      <c r="CA58">
        <v>21</v>
      </c>
      <c r="CB58" s="11">
        <f t="shared" si="34"/>
        <v>22</v>
      </c>
      <c r="CC58" s="10">
        <f t="shared" si="5"/>
        <v>0</v>
      </c>
      <c r="CD58" s="11">
        <f t="shared" si="6"/>
        <v>0</v>
      </c>
      <c r="CE58" s="10">
        <f t="shared" si="7"/>
        <v>0</v>
      </c>
      <c r="CF58" s="11">
        <f t="shared" si="8"/>
        <v>0</v>
      </c>
      <c r="CG58" s="10">
        <f t="shared" si="9"/>
        <v>0</v>
      </c>
      <c r="CH58" s="11">
        <f t="shared" si="10"/>
        <v>0</v>
      </c>
      <c r="CI58" s="10">
        <f t="shared" si="11"/>
        <v>0</v>
      </c>
      <c r="CJ58" s="11">
        <f t="shared" si="12"/>
        <v>0</v>
      </c>
      <c r="CK58" s="10">
        <f t="shared" si="13"/>
        <v>0</v>
      </c>
      <c r="CL58" s="11">
        <f t="shared" si="14"/>
        <v>0</v>
      </c>
      <c r="CM58" s="10">
        <f t="shared" si="15"/>
        <v>0</v>
      </c>
      <c r="CN58" s="11">
        <f t="shared" si="16"/>
        <v>0</v>
      </c>
      <c r="CO58" s="10">
        <f t="shared" si="17"/>
        <v>0</v>
      </c>
      <c r="CP58" s="11">
        <f t="shared" si="18"/>
        <v>0</v>
      </c>
      <c r="CQ58" s="10">
        <f t="shared" si="19"/>
        <v>0</v>
      </c>
      <c r="CR58" s="11">
        <f t="shared" si="20"/>
        <v>0</v>
      </c>
      <c r="CS58" s="10">
        <f t="shared" si="21"/>
        <v>0</v>
      </c>
      <c r="CT58" s="11">
        <f t="shared" si="22"/>
        <v>0</v>
      </c>
      <c r="CU58" s="10">
        <f t="shared" si="23"/>
        <v>0</v>
      </c>
      <c r="CV58" s="11">
        <f t="shared" si="24"/>
        <v>0</v>
      </c>
      <c r="CW58" s="10">
        <f t="shared" si="25"/>
        <v>0</v>
      </c>
      <c r="CX58" s="11">
        <f t="shared" si="26"/>
        <v>0</v>
      </c>
      <c r="CY58" s="10">
        <f t="shared" si="27"/>
        <v>0</v>
      </c>
      <c r="CZ58" s="11">
        <f t="shared" si="28"/>
        <v>0</v>
      </c>
      <c r="DK58" s="18">
        <f t="shared" si="29"/>
        <v>21</v>
      </c>
      <c r="DL58" s="18">
        <f>$DL$60+($DL$55-$DL$60)*(CA58-$CA$60)/($CA$55-$CA$60)</f>
        <v>9.5000000000000001E-2</v>
      </c>
    </row>
    <row r="59" spans="1:116" x14ac:dyDescent="0.25">
      <c r="A59" s="90">
        <v>36162</v>
      </c>
      <c r="B59" s="20">
        <v>0.70833333333333337</v>
      </c>
      <c r="D59">
        <v>46.04</v>
      </c>
      <c r="E59" t="str">
        <f t="shared" si="31"/>
        <v>SATURDAY</v>
      </c>
      <c r="F59" t="e">
        <f t="shared" si="35"/>
        <v>#N/A</v>
      </c>
      <c r="G59" s="74">
        <v>27761</v>
      </c>
      <c r="H59" s="77">
        <v>0.70833333333333337</v>
      </c>
      <c r="J59">
        <v>30.02</v>
      </c>
      <c r="M59" s="74">
        <v>37623</v>
      </c>
      <c r="N59" s="77">
        <v>0.70833333333333337</v>
      </c>
      <c r="P59">
        <v>28.4</v>
      </c>
      <c r="S59" s="74">
        <v>36162</v>
      </c>
      <c r="T59" s="77">
        <v>0.70833333333333337</v>
      </c>
      <c r="V59">
        <v>21.92</v>
      </c>
      <c r="X59" s="42"/>
      <c r="AB59">
        <v>38.4</v>
      </c>
      <c r="AC59">
        <v>51.08</v>
      </c>
      <c r="AE59" s="74"/>
      <c r="AF59" s="77"/>
      <c r="AH59" s="497">
        <v>37.4</v>
      </c>
      <c r="AJ59" s="42"/>
      <c r="AK59" s="74"/>
      <c r="AL59" s="77"/>
      <c r="AN59" s="497">
        <v>35.96</v>
      </c>
      <c r="AP59" s="42"/>
      <c r="AQ59" s="74"/>
      <c r="AR59" s="77"/>
      <c r="AT59" s="497">
        <v>33.08</v>
      </c>
      <c r="AV59" s="42"/>
      <c r="AW59" s="74"/>
      <c r="AX59" s="77"/>
      <c r="BA59" s="497">
        <v>28.759999999999998</v>
      </c>
      <c r="BB59" s="42"/>
      <c r="BC59" s="74"/>
      <c r="BD59" s="77"/>
      <c r="BF59">
        <v>32</v>
      </c>
      <c r="BH59" s="42"/>
      <c r="BI59" s="74"/>
      <c r="BJ59" s="77"/>
      <c r="BL59" s="497">
        <v>30.2</v>
      </c>
      <c r="BN59" s="42"/>
      <c r="BO59" s="74"/>
      <c r="BP59" s="77"/>
      <c r="BR59" s="497">
        <v>28.04</v>
      </c>
      <c r="BT59" s="42"/>
      <c r="BZ59" s="10">
        <f t="shared" si="33"/>
        <v>18</v>
      </c>
      <c r="CA59">
        <v>19</v>
      </c>
      <c r="CB59" s="11">
        <f t="shared" si="34"/>
        <v>20</v>
      </c>
      <c r="CC59" s="10">
        <f t="shared" si="5"/>
        <v>0</v>
      </c>
      <c r="CD59" s="11">
        <f t="shared" si="6"/>
        <v>0</v>
      </c>
      <c r="CE59" s="10">
        <f t="shared" si="7"/>
        <v>0</v>
      </c>
      <c r="CF59" s="11">
        <f t="shared" si="8"/>
        <v>0</v>
      </c>
      <c r="CG59" s="10">
        <f t="shared" si="9"/>
        <v>0</v>
      </c>
      <c r="CH59" s="11">
        <f t="shared" si="10"/>
        <v>0</v>
      </c>
      <c r="CI59" s="10">
        <f t="shared" si="11"/>
        <v>0</v>
      </c>
      <c r="CJ59" s="11">
        <f t="shared" si="12"/>
        <v>0</v>
      </c>
      <c r="CK59" s="10">
        <f t="shared" si="13"/>
        <v>0</v>
      </c>
      <c r="CL59" s="11">
        <f t="shared" si="14"/>
        <v>0</v>
      </c>
      <c r="CM59" s="10">
        <f t="shared" si="15"/>
        <v>0</v>
      </c>
      <c r="CN59" s="11">
        <f t="shared" si="16"/>
        <v>0</v>
      </c>
      <c r="CO59" s="10">
        <f t="shared" si="17"/>
        <v>0</v>
      </c>
      <c r="CP59" s="11">
        <f t="shared" si="18"/>
        <v>0</v>
      </c>
      <c r="CQ59" s="10">
        <f t="shared" si="19"/>
        <v>0</v>
      </c>
      <c r="CR59" s="11">
        <f t="shared" si="20"/>
        <v>0</v>
      </c>
      <c r="CS59" s="10">
        <f t="shared" si="21"/>
        <v>0</v>
      </c>
      <c r="CT59" s="11">
        <f t="shared" si="22"/>
        <v>0</v>
      </c>
      <c r="CU59" s="10">
        <f t="shared" si="23"/>
        <v>0</v>
      </c>
      <c r="CV59" s="11">
        <f t="shared" si="24"/>
        <v>0</v>
      </c>
      <c r="CW59" s="10">
        <f t="shared" si="25"/>
        <v>0</v>
      </c>
      <c r="CX59" s="11">
        <f t="shared" si="26"/>
        <v>0</v>
      </c>
      <c r="CY59" s="10">
        <f t="shared" si="27"/>
        <v>0</v>
      </c>
      <c r="CZ59" s="11">
        <f t="shared" si="28"/>
        <v>0</v>
      </c>
      <c r="DK59" s="18">
        <f t="shared" si="29"/>
        <v>19</v>
      </c>
      <c r="DL59" s="18">
        <f>$DL$60+($DL$55-$DL$60)*(CA59-$CA$60)/($CA$55-$CA$60)</f>
        <v>9.0000000000000011E-2</v>
      </c>
    </row>
    <row r="60" spans="1:116" x14ac:dyDescent="0.25">
      <c r="A60" s="90">
        <v>36162</v>
      </c>
      <c r="B60" s="20">
        <v>0.75</v>
      </c>
      <c r="D60">
        <v>44.96</v>
      </c>
      <c r="E60" t="str">
        <f t="shared" si="31"/>
        <v>SATURDAY</v>
      </c>
      <c r="F60" t="e">
        <f t="shared" si="35"/>
        <v>#N/A</v>
      </c>
      <c r="G60" s="74">
        <v>27761</v>
      </c>
      <c r="H60" s="77">
        <v>0.75</v>
      </c>
      <c r="J60">
        <v>30.02</v>
      </c>
      <c r="M60" s="74">
        <v>37623</v>
      </c>
      <c r="N60" s="77">
        <v>0.75</v>
      </c>
      <c r="P60">
        <v>28.4</v>
      </c>
      <c r="S60" s="74">
        <v>36162</v>
      </c>
      <c r="T60" s="77">
        <v>0.75</v>
      </c>
      <c r="V60">
        <v>23</v>
      </c>
      <c r="X60" s="42"/>
      <c r="AB60">
        <v>37.299999999999997</v>
      </c>
      <c r="AC60">
        <v>51.980000000000004</v>
      </c>
      <c r="AE60" s="74"/>
      <c r="AF60" s="77"/>
      <c r="AH60" s="497">
        <v>37.4</v>
      </c>
      <c r="AJ60" s="42"/>
      <c r="AK60" s="74"/>
      <c r="AL60" s="77"/>
      <c r="AN60" s="497">
        <v>35.96</v>
      </c>
      <c r="AP60" s="42"/>
      <c r="AQ60" s="74"/>
      <c r="AR60" s="77"/>
      <c r="AT60" s="497">
        <v>33.08</v>
      </c>
      <c r="AV60" s="42"/>
      <c r="AW60" s="74"/>
      <c r="AX60" s="77"/>
      <c r="BA60" s="497">
        <v>27.32</v>
      </c>
      <c r="BB60" s="42"/>
      <c r="BC60" s="74"/>
      <c r="BD60" s="77"/>
      <c r="BF60">
        <v>30.92</v>
      </c>
      <c r="BH60" s="42"/>
      <c r="BI60" s="74"/>
      <c r="BJ60" s="77"/>
      <c r="BL60" s="497">
        <v>29.66</v>
      </c>
      <c r="BN60" s="42"/>
      <c r="BO60" s="74"/>
      <c r="BP60" s="77"/>
      <c r="BR60" s="497">
        <v>26.96</v>
      </c>
      <c r="BT60" s="42"/>
      <c r="BZ60" s="10">
        <f t="shared" si="33"/>
        <v>16</v>
      </c>
      <c r="CA60">
        <v>17</v>
      </c>
      <c r="CB60" s="11">
        <f t="shared" si="34"/>
        <v>18</v>
      </c>
      <c r="CC60" s="10">
        <f t="shared" si="5"/>
        <v>0</v>
      </c>
      <c r="CD60" s="11">
        <f t="shared" si="6"/>
        <v>0</v>
      </c>
      <c r="CE60" s="10">
        <f t="shared" si="7"/>
        <v>0</v>
      </c>
      <c r="CF60" s="11">
        <f t="shared" si="8"/>
        <v>0</v>
      </c>
      <c r="CG60" s="10">
        <f t="shared" si="9"/>
        <v>0</v>
      </c>
      <c r="CH60" s="11">
        <f t="shared" si="10"/>
        <v>0</v>
      </c>
      <c r="CI60" s="10">
        <f t="shared" si="11"/>
        <v>0</v>
      </c>
      <c r="CJ60" s="11">
        <f t="shared" si="12"/>
        <v>0</v>
      </c>
      <c r="CK60" s="10">
        <f t="shared" si="13"/>
        <v>0</v>
      </c>
      <c r="CL60" s="11">
        <f t="shared" si="14"/>
        <v>0</v>
      </c>
      <c r="CM60" s="10">
        <f t="shared" si="15"/>
        <v>0</v>
      </c>
      <c r="CN60" s="11">
        <f t="shared" si="16"/>
        <v>0</v>
      </c>
      <c r="CO60" s="10">
        <f t="shared" si="17"/>
        <v>0</v>
      </c>
      <c r="CP60" s="11">
        <f t="shared" si="18"/>
        <v>0</v>
      </c>
      <c r="CQ60" s="10">
        <f t="shared" si="19"/>
        <v>0</v>
      </c>
      <c r="CR60" s="11">
        <f t="shared" si="20"/>
        <v>0</v>
      </c>
      <c r="CS60" s="10">
        <f t="shared" si="21"/>
        <v>0</v>
      </c>
      <c r="CT60" s="11">
        <f t="shared" si="22"/>
        <v>0</v>
      </c>
      <c r="CU60" s="10">
        <f t="shared" si="23"/>
        <v>0</v>
      </c>
      <c r="CV60" s="11">
        <f t="shared" si="24"/>
        <v>0</v>
      </c>
      <c r="CW60" s="10">
        <f t="shared" si="25"/>
        <v>0</v>
      </c>
      <c r="CX60" s="11">
        <f t="shared" si="26"/>
        <v>0</v>
      </c>
      <c r="CY60" s="10">
        <f t="shared" si="27"/>
        <v>0</v>
      </c>
      <c r="CZ60" s="11">
        <f t="shared" si="28"/>
        <v>0</v>
      </c>
      <c r="DK60" s="18">
        <f t="shared" si="29"/>
        <v>17</v>
      </c>
      <c r="DL60" s="82">
        <v>8.5000000000000006E-2</v>
      </c>
    </row>
    <row r="61" spans="1:116" x14ac:dyDescent="0.25">
      <c r="A61" s="90">
        <v>36162</v>
      </c>
      <c r="B61" s="20">
        <v>0.79166666666666663</v>
      </c>
      <c r="D61">
        <v>44.06</v>
      </c>
      <c r="E61" t="str">
        <f t="shared" si="31"/>
        <v>SATURDAY</v>
      </c>
      <c r="F61" t="e">
        <f t="shared" si="35"/>
        <v>#N/A</v>
      </c>
      <c r="G61" s="74">
        <v>27761</v>
      </c>
      <c r="H61" s="77">
        <v>0.79166666666666663</v>
      </c>
      <c r="J61">
        <v>30.92</v>
      </c>
      <c r="M61" s="74">
        <v>37623</v>
      </c>
      <c r="N61" s="77">
        <v>0.79166666666666663</v>
      </c>
      <c r="P61">
        <v>28.4</v>
      </c>
      <c r="S61" s="74">
        <v>36162</v>
      </c>
      <c r="T61" s="77">
        <v>0.79166666666666663</v>
      </c>
      <c r="V61">
        <v>23</v>
      </c>
      <c r="X61" s="42"/>
      <c r="AB61">
        <v>36.799999999999997</v>
      </c>
      <c r="AC61">
        <v>53.06</v>
      </c>
      <c r="AE61" s="74"/>
      <c r="AF61" s="77"/>
      <c r="AH61" s="497">
        <v>37.4</v>
      </c>
      <c r="AJ61" s="42"/>
      <c r="AK61" s="74"/>
      <c r="AL61" s="77"/>
      <c r="AN61" s="497">
        <v>35.96</v>
      </c>
      <c r="AP61" s="42"/>
      <c r="AQ61" s="74"/>
      <c r="AR61" s="77"/>
      <c r="AT61" s="497">
        <v>33.08</v>
      </c>
      <c r="AV61" s="42"/>
      <c r="AW61" s="74"/>
      <c r="AX61" s="77"/>
      <c r="BA61" s="497">
        <v>26.060000000000002</v>
      </c>
      <c r="BB61" s="42"/>
      <c r="BC61" s="74"/>
      <c r="BD61" s="77"/>
      <c r="BF61">
        <v>30.92</v>
      </c>
      <c r="BH61" s="42"/>
      <c r="BI61" s="74"/>
      <c r="BJ61" s="77"/>
      <c r="BL61" s="497">
        <v>28.94</v>
      </c>
      <c r="BN61" s="42"/>
      <c r="BO61" s="74"/>
      <c r="BP61" s="77"/>
      <c r="BR61" s="497">
        <v>24.98</v>
      </c>
      <c r="BT61" s="42"/>
      <c r="BZ61" s="10">
        <f t="shared" si="33"/>
        <v>14</v>
      </c>
      <c r="CA61">
        <v>15</v>
      </c>
      <c r="CB61" s="11">
        <f t="shared" si="34"/>
        <v>16</v>
      </c>
      <c r="CC61" s="10">
        <f t="shared" si="5"/>
        <v>0</v>
      </c>
      <c r="CD61" s="11">
        <f t="shared" si="6"/>
        <v>0</v>
      </c>
      <c r="CE61" s="10">
        <f t="shared" si="7"/>
        <v>0</v>
      </c>
      <c r="CF61" s="11">
        <f t="shared" si="8"/>
        <v>0</v>
      </c>
      <c r="CG61" s="10">
        <f t="shared" si="9"/>
        <v>0</v>
      </c>
      <c r="CH61" s="11">
        <f t="shared" si="10"/>
        <v>0</v>
      </c>
      <c r="CI61" s="10">
        <f t="shared" si="11"/>
        <v>0</v>
      </c>
      <c r="CJ61" s="11">
        <f t="shared" si="12"/>
        <v>0</v>
      </c>
      <c r="CK61" s="10">
        <f t="shared" si="13"/>
        <v>0</v>
      </c>
      <c r="CL61" s="11">
        <f t="shared" si="14"/>
        <v>0</v>
      </c>
      <c r="CM61" s="10">
        <f t="shared" si="15"/>
        <v>0</v>
      </c>
      <c r="CN61" s="11">
        <f t="shared" si="16"/>
        <v>0</v>
      </c>
      <c r="CO61" s="10">
        <f t="shared" si="17"/>
        <v>0</v>
      </c>
      <c r="CP61" s="11">
        <f t="shared" si="18"/>
        <v>0</v>
      </c>
      <c r="CQ61" s="10">
        <f t="shared" si="19"/>
        <v>0</v>
      </c>
      <c r="CR61" s="11">
        <f t="shared" si="20"/>
        <v>0</v>
      </c>
      <c r="CS61" s="10">
        <f t="shared" si="21"/>
        <v>0</v>
      </c>
      <c r="CT61" s="11">
        <f t="shared" si="22"/>
        <v>0</v>
      </c>
      <c r="CU61" s="10">
        <f t="shared" si="23"/>
        <v>0</v>
      </c>
      <c r="CV61" s="11">
        <f t="shared" si="24"/>
        <v>0</v>
      </c>
      <c r="CW61" s="10">
        <f t="shared" si="25"/>
        <v>0</v>
      </c>
      <c r="CX61" s="11">
        <f t="shared" si="26"/>
        <v>0</v>
      </c>
      <c r="CY61" s="10">
        <f t="shared" si="27"/>
        <v>0</v>
      </c>
      <c r="CZ61" s="11">
        <f t="shared" si="28"/>
        <v>0</v>
      </c>
      <c r="DK61" s="18">
        <f t="shared" si="29"/>
        <v>15</v>
      </c>
      <c r="DL61" s="83">
        <f t="shared" ref="DL61:DL78" si="36">$DL$79+($DL$60-$DL$79)*(CA61-$CA$79)/($CA$60-$CA$79)</f>
        <v>8.4473684210526326E-2</v>
      </c>
    </row>
    <row r="62" spans="1:116" x14ac:dyDescent="0.25">
      <c r="A62" s="90">
        <v>36162</v>
      </c>
      <c r="B62" s="20">
        <v>0.83333333333333337</v>
      </c>
      <c r="D62">
        <v>42.980000000000004</v>
      </c>
      <c r="E62" t="str">
        <f t="shared" si="31"/>
        <v>SATURDAY</v>
      </c>
      <c r="F62" t="e">
        <f t="shared" si="35"/>
        <v>#N/A</v>
      </c>
      <c r="G62" s="74">
        <v>27761</v>
      </c>
      <c r="H62" s="77">
        <v>0.83333333333333337</v>
      </c>
      <c r="J62">
        <v>30.92</v>
      </c>
      <c r="M62" s="74">
        <v>37623</v>
      </c>
      <c r="N62" s="77">
        <v>0.83333333333333337</v>
      </c>
      <c r="P62">
        <v>28.4</v>
      </c>
      <c r="S62" s="74">
        <v>36162</v>
      </c>
      <c r="T62" s="77">
        <v>0.83333333333333337</v>
      </c>
      <c r="V62">
        <v>24.08</v>
      </c>
      <c r="X62" s="42"/>
      <c r="AB62">
        <v>36.5</v>
      </c>
      <c r="AC62">
        <v>53.06</v>
      </c>
      <c r="AE62" s="74"/>
      <c r="AF62" s="77"/>
      <c r="AH62" s="497">
        <v>37.4</v>
      </c>
      <c r="AJ62" s="42"/>
      <c r="AK62" s="74"/>
      <c r="AL62" s="77"/>
      <c r="AN62" s="497">
        <v>35.96</v>
      </c>
      <c r="AP62" s="42"/>
      <c r="AQ62" s="74"/>
      <c r="AR62" s="77"/>
      <c r="AT62" s="497">
        <v>33.08</v>
      </c>
      <c r="AV62" s="42"/>
      <c r="AW62" s="74"/>
      <c r="AX62" s="77"/>
      <c r="BA62" s="497">
        <v>24.08</v>
      </c>
      <c r="BB62" s="42"/>
      <c r="BC62" s="74"/>
      <c r="BD62" s="77"/>
      <c r="BF62">
        <v>30.02</v>
      </c>
      <c r="BH62" s="42"/>
      <c r="BI62" s="74"/>
      <c r="BJ62" s="77"/>
      <c r="BL62" s="497">
        <v>28.22</v>
      </c>
      <c r="BN62" s="42"/>
      <c r="BO62" s="74"/>
      <c r="BP62" s="77"/>
      <c r="BR62" s="497">
        <v>24.98</v>
      </c>
      <c r="BT62" s="42"/>
      <c r="BZ62" s="10">
        <f t="shared" si="33"/>
        <v>12</v>
      </c>
      <c r="CA62">
        <v>13</v>
      </c>
      <c r="CB62" s="11">
        <f t="shared" si="34"/>
        <v>14</v>
      </c>
      <c r="CC62" s="10">
        <f t="shared" si="5"/>
        <v>0</v>
      </c>
      <c r="CD62" s="11">
        <f t="shared" si="6"/>
        <v>0</v>
      </c>
      <c r="CE62" s="10">
        <f t="shared" si="7"/>
        <v>0</v>
      </c>
      <c r="CF62" s="11">
        <f t="shared" si="8"/>
        <v>0</v>
      </c>
      <c r="CG62" s="10">
        <f t="shared" si="9"/>
        <v>0</v>
      </c>
      <c r="CH62" s="11">
        <f t="shared" si="10"/>
        <v>0</v>
      </c>
      <c r="CI62" s="10">
        <f t="shared" si="11"/>
        <v>0</v>
      </c>
      <c r="CJ62" s="11">
        <f t="shared" si="12"/>
        <v>0</v>
      </c>
      <c r="CK62" s="10">
        <f t="shared" si="13"/>
        <v>0</v>
      </c>
      <c r="CL62" s="11">
        <f t="shared" si="14"/>
        <v>0</v>
      </c>
      <c r="CM62" s="10">
        <f t="shared" si="15"/>
        <v>0</v>
      </c>
      <c r="CN62" s="11">
        <f t="shared" si="16"/>
        <v>0</v>
      </c>
      <c r="CO62" s="10">
        <f t="shared" si="17"/>
        <v>0</v>
      </c>
      <c r="CP62" s="11">
        <f t="shared" si="18"/>
        <v>0</v>
      </c>
      <c r="CQ62" s="10">
        <f t="shared" si="19"/>
        <v>0</v>
      </c>
      <c r="CR62" s="11">
        <f t="shared" si="20"/>
        <v>0</v>
      </c>
      <c r="CS62" s="10">
        <f t="shared" si="21"/>
        <v>0</v>
      </c>
      <c r="CT62" s="11">
        <f t="shared" si="22"/>
        <v>0</v>
      </c>
      <c r="CU62" s="10">
        <f t="shared" si="23"/>
        <v>0</v>
      </c>
      <c r="CV62" s="11">
        <f t="shared" si="24"/>
        <v>0</v>
      </c>
      <c r="CW62" s="10">
        <f t="shared" si="25"/>
        <v>0</v>
      </c>
      <c r="CX62" s="11">
        <f t="shared" si="26"/>
        <v>0</v>
      </c>
      <c r="CY62" s="10">
        <f t="shared" si="27"/>
        <v>0</v>
      </c>
      <c r="CZ62" s="11">
        <f t="shared" si="28"/>
        <v>0</v>
      </c>
      <c r="DK62" s="18">
        <f t="shared" si="29"/>
        <v>13</v>
      </c>
      <c r="DL62" s="83">
        <f t="shared" si="36"/>
        <v>8.3947368421052632E-2</v>
      </c>
    </row>
    <row r="63" spans="1:116" x14ac:dyDescent="0.25">
      <c r="A63" s="90">
        <v>36162</v>
      </c>
      <c r="B63" s="20">
        <v>0.875</v>
      </c>
      <c r="D63">
        <v>42.980000000000004</v>
      </c>
      <c r="E63" t="str">
        <f t="shared" si="31"/>
        <v>SATURDAY</v>
      </c>
      <c r="F63" t="e">
        <f t="shared" si="35"/>
        <v>#N/A</v>
      </c>
      <c r="G63" s="74">
        <v>27761</v>
      </c>
      <c r="H63" s="77">
        <v>0.875</v>
      </c>
      <c r="J63">
        <v>30.92</v>
      </c>
      <c r="M63" s="74">
        <v>37623</v>
      </c>
      <c r="N63" s="77">
        <v>0.875</v>
      </c>
      <c r="P63">
        <v>26.6</v>
      </c>
      <c r="S63" s="74">
        <v>36162</v>
      </c>
      <c r="T63" s="77">
        <v>0.875</v>
      </c>
      <c r="V63">
        <v>24.08</v>
      </c>
      <c r="X63" s="42"/>
      <c r="AB63">
        <v>35.9</v>
      </c>
      <c r="AC63">
        <v>53.06</v>
      </c>
      <c r="AE63" s="74"/>
      <c r="AF63" s="77"/>
      <c r="AH63" s="497">
        <v>37.4</v>
      </c>
      <c r="AJ63" s="42"/>
      <c r="AK63" s="74"/>
      <c r="AL63" s="77"/>
      <c r="AN63" s="497">
        <v>35.06</v>
      </c>
      <c r="AP63" s="42"/>
      <c r="AQ63" s="74"/>
      <c r="AR63" s="77"/>
      <c r="AT63" s="497">
        <v>30.92</v>
      </c>
      <c r="AV63" s="42"/>
      <c r="AW63" s="74"/>
      <c r="AX63" s="77"/>
      <c r="BA63" s="497">
        <v>21.92</v>
      </c>
      <c r="BB63" s="42"/>
      <c r="BC63" s="74"/>
      <c r="BD63" s="77"/>
      <c r="BF63">
        <v>28.94</v>
      </c>
      <c r="BH63" s="42"/>
      <c r="BI63" s="74"/>
      <c r="BJ63" s="77"/>
      <c r="BL63" s="497">
        <v>27.68</v>
      </c>
      <c r="BN63" s="42"/>
      <c r="BO63" s="74"/>
      <c r="BP63" s="77"/>
      <c r="BR63" s="497">
        <v>24.08</v>
      </c>
      <c r="BT63" s="42"/>
      <c r="BZ63" s="10">
        <f t="shared" si="33"/>
        <v>10</v>
      </c>
      <c r="CA63">
        <v>11</v>
      </c>
      <c r="CB63" s="11">
        <f t="shared" si="34"/>
        <v>12</v>
      </c>
      <c r="CC63" s="10">
        <f t="shared" si="5"/>
        <v>0</v>
      </c>
      <c r="CD63" s="11">
        <f t="shared" si="6"/>
        <v>0</v>
      </c>
      <c r="CE63" s="10">
        <f t="shared" si="7"/>
        <v>0</v>
      </c>
      <c r="CF63" s="11">
        <f t="shared" si="8"/>
        <v>0</v>
      </c>
      <c r="CG63" s="10">
        <f t="shared" si="9"/>
        <v>0</v>
      </c>
      <c r="CH63" s="11">
        <f t="shared" si="10"/>
        <v>0</v>
      </c>
      <c r="CI63" s="10">
        <f t="shared" si="11"/>
        <v>0</v>
      </c>
      <c r="CJ63" s="11">
        <f t="shared" si="12"/>
        <v>0</v>
      </c>
      <c r="CK63" s="10">
        <f t="shared" si="13"/>
        <v>0</v>
      </c>
      <c r="CL63" s="11">
        <f t="shared" si="14"/>
        <v>0</v>
      </c>
      <c r="CM63" s="10">
        <f t="shared" si="15"/>
        <v>0</v>
      </c>
      <c r="CN63" s="11">
        <f t="shared" si="16"/>
        <v>0</v>
      </c>
      <c r="CO63" s="10">
        <f t="shared" si="17"/>
        <v>0</v>
      </c>
      <c r="CP63" s="11">
        <f t="shared" si="18"/>
        <v>0</v>
      </c>
      <c r="CQ63" s="10">
        <f t="shared" si="19"/>
        <v>0</v>
      </c>
      <c r="CR63" s="11">
        <f t="shared" si="20"/>
        <v>0</v>
      </c>
      <c r="CS63" s="10">
        <f t="shared" si="21"/>
        <v>0</v>
      </c>
      <c r="CT63" s="11">
        <f t="shared" si="22"/>
        <v>0</v>
      </c>
      <c r="CU63" s="10">
        <f t="shared" si="23"/>
        <v>0</v>
      </c>
      <c r="CV63" s="11">
        <f t="shared" si="24"/>
        <v>0</v>
      </c>
      <c r="CW63" s="10">
        <f t="shared" si="25"/>
        <v>0</v>
      </c>
      <c r="CX63" s="11">
        <f t="shared" si="26"/>
        <v>0</v>
      </c>
      <c r="CY63" s="10">
        <f t="shared" si="27"/>
        <v>0</v>
      </c>
      <c r="CZ63" s="11">
        <f t="shared" si="28"/>
        <v>0</v>
      </c>
      <c r="DK63" s="18">
        <f t="shared" si="29"/>
        <v>11</v>
      </c>
      <c r="DL63" s="83">
        <f t="shared" si="36"/>
        <v>8.3421052631578951E-2</v>
      </c>
    </row>
    <row r="64" spans="1:116" x14ac:dyDescent="0.25">
      <c r="A64" s="90">
        <v>36162</v>
      </c>
      <c r="B64" s="20">
        <v>0.91666666666666663</v>
      </c>
      <c r="D64">
        <v>42.980000000000004</v>
      </c>
      <c r="E64" t="str">
        <f t="shared" si="31"/>
        <v>SATURDAY</v>
      </c>
      <c r="F64" t="e">
        <f t="shared" si="35"/>
        <v>#N/A</v>
      </c>
      <c r="G64" s="74">
        <v>27761</v>
      </c>
      <c r="H64" s="77">
        <v>0.91666666666666663</v>
      </c>
      <c r="J64">
        <v>32</v>
      </c>
      <c r="M64" s="74">
        <v>37623</v>
      </c>
      <c r="N64" s="77">
        <v>0.91666666666666663</v>
      </c>
      <c r="P64">
        <v>26.6</v>
      </c>
      <c r="S64" s="74">
        <v>36162</v>
      </c>
      <c r="T64" s="77">
        <v>0.91666666666666663</v>
      </c>
      <c r="V64">
        <v>24.08</v>
      </c>
      <c r="X64" s="42"/>
      <c r="AB64">
        <v>35.4</v>
      </c>
      <c r="AC64">
        <v>51.980000000000004</v>
      </c>
      <c r="AE64" s="74"/>
      <c r="AF64" s="77"/>
      <c r="AH64" s="497">
        <v>35.6</v>
      </c>
      <c r="AJ64" s="42"/>
      <c r="AK64" s="74"/>
      <c r="AL64" s="77"/>
      <c r="AN64" s="497">
        <v>33.979999999999997</v>
      </c>
      <c r="AP64" s="42"/>
      <c r="AQ64" s="74"/>
      <c r="AR64" s="77"/>
      <c r="AT64" s="497">
        <v>30.02</v>
      </c>
      <c r="AV64" s="42"/>
      <c r="AW64" s="74"/>
      <c r="AX64" s="77"/>
      <c r="BA64" s="497">
        <v>19.939999999999998</v>
      </c>
      <c r="BB64" s="42"/>
      <c r="BC64" s="74"/>
      <c r="BD64" s="77"/>
      <c r="BF64">
        <v>28.94</v>
      </c>
      <c r="BH64" s="42"/>
      <c r="BI64" s="74"/>
      <c r="BJ64" s="77"/>
      <c r="BL64" s="497">
        <v>26.96</v>
      </c>
      <c r="BN64" s="42"/>
      <c r="BO64" s="74"/>
      <c r="BP64" s="77"/>
      <c r="BR64" s="497">
        <v>24.08</v>
      </c>
      <c r="BT64" s="42"/>
      <c r="BZ64" s="10">
        <f t="shared" si="33"/>
        <v>8</v>
      </c>
      <c r="CA64">
        <v>9</v>
      </c>
      <c r="CB64" s="11">
        <f t="shared" si="34"/>
        <v>10</v>
      </c>
      <c r="CC64" s="10">
        <f t="shared" si="5"/>
        <v>0</v>
      </c>
      <c r="CD64" s="11">
        <f t="shared" si="6"/>
        <v>0</v>
      </c>
      <c r="CE64" s="10">
        <f t="shared" si="7"/>
        <v>0</v>
      </c>
      <c r="CF64" s="11">
        <f t="shared" si="8"/>
        <v>0</v>
      </c>
      <c r="CG64" s="10">
        <f t="shared" si="9"/>
        <v>0</v>
      </c>
      <c r="CH64" s="11">
        <f t="shared" si="10"/>
        <v>0</v>
      </c>
      <c r="CI64" s="10">
        <f t="shared" si="11"/>
        <v>0</v>
      </c>
      <c r="CJ64" s="11">
        <f t="shared" si="12"/>
        <v>0</v>
      </c>
      <c r="CK64" s="10">
        <f t="shared" si="13"/>
        <v>0</v>
      </c>
      <c r="CL64" s="11">
        <f t="shared" si="14"/>
        <v>0</v>
      </c>
      <c r="CM64" s="10">
        <f t="shared" si="15"/>
        <v>0</v>
      </c>
      <c r="CN64" s="11">
        <f t="shared" si="16"/>
        <v>0</v>
      </c>
      <c r="CO64" s="10">
        <f t="shared" si="17"/>
        <v>0</v>
      </c>
      <c r="CP64" s="11">
        <f t="shared" si="18"/>
        <v>0</v>
      </c>
      <c r="CQ64" s="10">
        <f t="shared" si="19"/>
        <v>0</v>
      </c>
      <c r="CR64" s="11">
        <f t="shared" si="20"/>
        <v>0</v>
      </c>
      <c r="CS64" s="10">
        <f t="shared" si="21"/>
        <v>0</v>
      </c>
      <c r="CT64" s="11">
        <f t="shared" si="22"/>
        <v>0</v>
      </c>
      <c r="CU64" s="10">
        <f t="shared" si="23"/>
        <v>0</v>
      </c>
      <c r="CV64" s="11">
        <f t="shared" si="24"/>
        <v>0</v>
      </c>
      <c r="CW64" s="10">
        <f t="shared" si="25"/>
        <v>0</v>
      </c>
      <c r="CX64" s="11">
        <f t="shared" si="26"/>
        <v>0</v>
      </c>
      <c r="CY64" s="10">
        <f t="shared" si="27"/>
        <v>0</v>
      </c>
      <c r="CZ64" s="11">
        <f t="shared" si="28"/>
        <v>0</v>
      </c>
      <c r="DK64" s="18">
        <f t="shared" si="29"/>
        <v>9</v>
      </c>
      <c r="DL64" s="83">
        <f t="shared" si="36"/>
        <v>8.2894736842105271E-2</v>
      </c>
    </row>
    <row r="65" spans="1:116" x14ac:dyDescent="0.25">
      <c r="A65" s="90">
        <v>36162</v>
      </c>
      <c r="B65" s="20">
        <v>0.95833333333333337</v>
      </c>
      <c r="D65">
        <v>42.08</v>
      </c>
      <c r="E65" t="str">
        <f t="shared" si="31"/>
        <v>SATURDAY</v>
      </c>
      <c r="F65" t="e">
        <f t="shared" si="35"/>
        <v>#N/A</v>
      </c>
      <c r="G65" s="74">
        <v>27761</v>
      </c>
      <c r="H65" s="77">
        <v>0.95833333333333337</v>
      </c>
      <c r="J65">
        <v>32</v>
      </c>
      <c r="M65" s="74">
        <v>37623</v>
      </c>
      <c r="N65" s="77">
        <v>0.95833333333333337</v>
      </c>
      <c r="P65">
        <v>26.6</v>
      </c>
      <c r="S65" s="74">
        <v>36162</v>
      </c>
      <c r="T65" s="77">
        <v>0.95833333333333337</v>
      </c>
      <c r="V65">
        <v>24.08</v>
      </c>
      <c r="X65" s="42"/>
      <c r="AB65">
        <v>35</v>
      </c>
      <c r="AC65">
        <v>51.08</v>
      </c>
      <c r="AE65" s="74"/>
      <c r="AF65" s="77"/>
      <c r="AH65" s="497">
        <v>37.4</v>
      </c>
      <c r="AJ65" s="42"/>
      <c r="AK65" s="74"/>
      <c r="AL65" s="77"/>
      <c r="AN65" s="497">
        <v>33.979999999999997</v>
      </c>
      <c r="AP65" s="42"/>
      <c r="AQ65" s="74"/>
      <c r="AR65" s="77"/>
      <c r="AT65" s="497">
        <v>30.02</v>
      </c>
      <c r="AV65" s="42"/>
      <c r="AW65" s="74"/>
      <c r="AX65" s="77"/>
      <c r="BA65" s="497">
        <v>19.22</v>
      </c>
      <c r="BB65" s="42"/>
      <c r="BC65" s="74"/>
      <c r="BD65" s="77"/>
      <c r="BF65">
        <v>28.04</v>
      </c>
      <c r="BH65" s="42"/>
      <c r="BI65" s="74"/>
      <c r="BJ65" s="77"/>
      <c r="BL65" s="497">
        <v>26.6</v>
      </c>
      <c r="BN65" s="42"/>
      <c r="BO65" s="74"/>
      <c r="BP65" s="77"/>
      <c r="BR65" s="497">
        <v>24.08</v>
      </c>
      <c r="BT65" s="42"/>
      <c r="BZ65" s="10">
        <f t="shared" si="33"/>
        <v>6</v>
      </c>
      <c r="CA65">
        <v>7</v>
      </c>
      <c r="CB65" s="11">
        <f t="shared" si="34"/>
        <v>8</v>
      </c>
      <c r="CC65" s="10">
        <f t="shared" si="5"/>
        <v>0</v>
      </c>
      <c r="CD65" s="11">
        <f t="shared" si="6"/>
        <v>0</v>
      </c>
      <c r="CE65" s="10">
        <f t="shared" si="7"/>
        <v>0</v>
      </c>
      <c r="CF65" s="11">
        <f t="shared" si="8"/>
        <v>0</v>
      </c>
      <c r="CG65" s="10">
        <f t="shared" si="9"/>
        <v>0</v>
      </c>
      <c r="CH65" s="11">
        <f t="shared" si="10"/>
        <v>0</v>
      </c>
      <c r="CI65" s="10">
        <f t="shared" si="11"/>
        <v>0</v>
      </c>
      <c r="CJ65" s="11">
        <f t="shared" si="12"/>
        <v>0</v>
      </c>
      <c r="CK65" s="10">
        <f t="shared" si="13"/>
        <v>0</v>
      </c>
      <c r="CL65" s="11">
        <f t="shared" si="14"/>
        <v>0</v>
      </c>
      <c r="CM65" s="10">
        <f t="shared" si="15"/>
        <v>0</v>
      </c>
      <c r="CN65" s="11">
        <f t="shared" si="16"/>
        <v>0</v>
      </c>
      <c r="CO65" s="10">
        <f t="shared" si="17"/>
        <v>0</v>
      </c>
      <c r="CP65" s="11">
        <f t="shared" si="18"/>
        <v>0</v>
      </c>
      <c r="CQ65" s="10">
        <f t="shared" si="19"/>
        <v>0</v>
      </c>
      <c r="CR65" s="11">
        <f t="shared" si="20"/>
        <v>0</v>
      </c>
      <c r="CS65" s="10">
        <f t="shared" si="21"/>
        <v>0</v>
      </c>
      <c r="CT65" s="11">
        <f t="shared" si="22"/>
        <v>0</v>
      </c>
      <c r="CU65" s="10">
        <f t="shared" si="23"/>
        <v>0</v>
      </c>
      <c r="CV65" s="11">
        <f t="shared" si="24"/>
        <v>0</v>
      </c>
      <c r="CW65" s="10">
        <f t="shared" si="25"/>
        <v>0</v>
      </c>
      <c r="CX65" s="11">
        <f t="shared" si="26"/>
        <v>0</v>
      </c>
      <c r="CY65" s="10">
        <f t="shared" si="27"/>
        <v>0</v>
      </c>
      <c r="CZ65" s="11">
        <f t="shared" si="28"/>
        <v>0</v>
      </c>
      <c r="DK65" s="18">
        <f t="shared" si="29"/>
        <v>7</v>
      </c>
      <c r="DL65" s="83">
        <f t="shared" si="36"/>
        <v>8.2368421052631577E-2</v>
      </c>
    </row>
    <row r="66" spans="1:116" x14ac:dyDescent="0.25">
      <c r="A66" s="90">
        <v>36162</v>
      </c>
      <c r="B66" s="20">
        <v>1</v>
      </c>
      <c r="D66">
        <v>39.92</v>
      </c>
      <c r="E66" t="str">
        <f t="shared" si="31"/>
        <v>SATURDAY</v>
      </c>
      <c r="F66" t="e">
        <f t="shared" si="35"/>
        <v>#N/A</v>
      </c>
      <c r="G66" s="74">
        <v>27761</v>
      </c>
      <c r="H66" s="77">
        <v>1</v>
      </c>
      <c r="J66">
        <v>32</v>
      </c>
      <c r="M66" s="74">
        <v>37623</v>
      </c>
      <c r="N66" s="80">
        <v>1</v>
      </c>
      <c r="P66">
        <v>26.6</v>
      </c>
      <c r="S66" s="74">
        <v>36162</v>
      </c>
      <c r="T66" s="80">
        <v>1</v>
      </c>
      <c r="V66">
        <v>24.98</v>
      </c>
      <c r="X66" s="42"/>
      <c r="AB66">
        <v>34.5</v>
      </c>
      <c r="AC66">
        <v>51.08</v>
      </c>
      <c r="AE66" s="74"/>
      <c r="AF66" s="80"/>
      <c r="AH66" s="497">
        <v>37.4</v>
      </c>
      <c r="AJ66" s="42"/>
      <c r="AK66" s="74"/>
      <c r="AL66" s="80"/>
      <c r="AN66" s="497">
        <v>33.979999999999997</v>
      </c>
      <c r="AP66" s="42"/>
      <c r="AQ66" s="74"/>
      <c r="AR66" s="80"/>
      <c r="AT66" s="497">
        <v>28.04</v>
      </c>
      <c r="AV66" s="42"/>
      <c r="AW66" s="74"/>
      <c r="AX66" s="80"/>
      <c r="BA66" s="497">
        <v>18.68</v>
      </c>
      <c r="BB66" s="42"/>
      <c r="BC66" s="74"/>
      <c r="BD66" s="80"/>
      <c r="BF66">
        <v>28.04</v>
      </c>
      <c r="BH66" s="42"/>
      <c r="BI66" s="74"/>
      <c r="BJ66" s="80"/>
      <c r="BL66" s="497">
        <v>26.42</v>
      </c>
      <c r="BN66" s="42"/>
      <c r="BO66" s="74"/>
      <c r="BP66" s="80"/>
      <c r="BR66" s="497">
        <v>24.08</v>
      </c>
      <c r="BT66" s="42"/>
      <c r="BZ66" s="10">
        <f t="shared" si="33"/>
        <v>4</v>
      </c>
      <c r="CA66">
        <v>5</v>
      </c>
      <c r="CB66" s="11">
        <f t="shared" si="34"/>
        <v>6</v>
      </c>
      <c r="CC66" s="10">
        <f t="shared" si="5"/>
        <v>0</v>
      </c>
      <c r="CD66" s="11">
        <f t="shared" si="6"/>
        <v>0</v>
      </c>
      <c r="CE66" s="10">
        <f t="shared" si="7"/>
        <v>0</v>
      </c>
      <c r="CF66" s="11">
        <f t="shared" si="8"/>
        <v>0</v>
      </c>
      <c r="CG66" s="10">
        <f t="shared" si="9"/>
        <v>0</v>
      </c>
      <c r="CH66" s="11">
        <f t="shared" si="10"/>
        <v>0</v>
      </c>
      <c r="CI66" s="10">
        <f t="shared" si="11"/>
        <v>0</v>
      </c>
      <c r="CJ66" s="11">
        <f t="shared" si="12"/>
        <v>0</v>
      </c>
      <c r="CK66" s="10">
        <f t="shared" si="13"/>
        <v>0</v>
      </c>
      <c r="CL66" s="11">
        <f t="shared" si="14"/>
        <v>0</v>
      </c>
      <c r="CM66" s="10">
        <f t="shared" si="15"/>
        <v>0</v>
      </c>
      <c r="CN66" s="11">
        <f t="shared" si="16"/>
        <v>0</v>
      </c>
      <c r="CO66" s="10">
        <f t="shared" si="17"/>
        <v>0</v>
      </c>
      <c r="CP66" s="11">
        <f t="shared" si="18"/>
        <v>0</v>
      </c>
      <c r="CQ66" s="10">
        <f t="shared" si="19"/>
        <v>0</v>
      </c>
      <c r="CR66" s="11">
        <f t="shared" si="20"/>
        <v>0</v>
      </c>
      <c r="CS66" s="10">
        <f t="shared" si="21"/>
        <v>0</v>
      </c>
      <c r="CT66" s="11">
        <f t="shared" si="22"/>
        <v>0</v>
      </c>
      <c r="CU66" s="10">
        <f t="shared" si="23"/>
        <v>0</v>
      </c>
      <c r="CV66" s="11">
        <f t="shared" si="24"/>
        <v>0</v>
      </c>
      <c r="CW66" s="10">
        <f t="shared" si="25"/>
        <v>0</v>
      </c>
      <c r="CX66" s="11">
        <f t="shared" si="26"/>
        <v>0</v>
      </c>
      <c r="CY66" s="10">
        <f t="shared" si="27"/>
        <v>0</v>
      </c>
      <c r="CZ66" s="11">
        <f t="shared" si="28"/>
        <v>0</v>
      </c>
      <c r="DK66" s="18">
        <f t="shared" si="29"/>
        <v>5</v>
      </c>
      <c r="DL66" s="83">
        <f t="shared" si="36"/>
        <v>8.1842105263157897E-2</v>
      </c>
    </row>
    <row r="67" spans="1:116" x14ac:dyDescent="0.25">
      <c r="A67" s="90">
        <v>36163</v>
      </c>
      <c r="B67" s="20">
        <v>4.1666666666666664E-2</v>
      </c>
      <c r="D67">
        <v>37.04</v>
      </c>
      <c r="E67" t="str">
        <f t="shared" si="31"/>
        <v>SUNDAY</v>
      </c>
      <c r="F67" t="e">
        <f t="shared" si="35"/>
        <v>#N/A</v>
      </c>
      <c r="G67" s="74">
        <v>27762</v>
      </c>
      <c r="H67" s="77">
        <v>4.1666666666666664E-2</v>
      </c>
      <c r="J67">
        <v>32</v>
      </c>
      <c r="M67" s="74">
        <v>37624</v>
      </c>
      <c r="N67" s="77">
        <v>4.1666666666666664E-2</v>
      </c>
      <c r="P67">
        <v>26.6</v>
      </c>
      <c r="S67" s="74">
        <v>36163</v>
      </c>
      <c r="T67" s="77">
        <v>4.1666666666666664E-2</v>
      </c>
      <c r="V67">
        <v>24.98</v>
      </c>
      <c r="X67" s="42"/>
      <c r="AB67">
        <v>34.1</v>
      </c>
      <c r="AC67">
        <v>51.08</v>
      </c>
      <c r="AE67" s="74"/>
      <c r="AF67" s="77"/>
      <c r="AH67" s="497">
        <v>37.4</v>
      </c>
      <c r="AJ67" s="42"/>
      <c r="AK67" s="74"/>
      <c r="AL67" s="77"/>
      <c r="AN67" s="497">
        <v>33.08</v>
      </c>
      <c r="AP67" s="42"/>
      <c r="AQ67" s="74"/>
      <c r="AR67" s="77"/>
      <c r="AT67" s="497">
        <v>26.96</v>
      </c>
      <c r="AV67" s="42"/>
      <c r="AW67" s="74"/>
      <c r="AX67" s="77"/>
      <c r="BA67" s="497">
        <v>17.96</v>
      </c>
      <c r="BB67" s="42"/>
      <c r="BC67" s="74"/>
      <c r="BD67" s="77"/>
      <c r="BF67">
        <v>26.96</v>
      </c>
      <c r="BH67" s="42"/>
      <c r="BI67" s="74"/>
      <c r="BJ67" s="77"/>
      <c r="BL67" s="497">
        <v>26.060000000000002</v>
      </c>
      <c r="BN67" s="42"/>
      <c r="BO67" s="74"/>
      <c r="BP67" s="77"/>
      <c r="BR67" s="497">
        <v>23</v>
      </c>
      <c r="BT67" s="42"/>
      <c r="BZ67" s="10">
        <f t="shared" si="33"/>
        <v>2</v>
      </c>
      <c r="CA67">
        <v>3</v>
      </c>
      <c r="CB67" s="11">
        <f t="shared" si="34"/>
        <v>4</v>
      </c>
      <c r="CC67" s="10">
        <f t="shared" si="5"/>
        <v>0</v>
      </c>
      <c r="CD67" s="11">
        <f t="shared" si="6"/>
        <v>0</v>
      </c>
      <c r="CE67" s="10">
        <f t="shared" si="7"/>
        <v>0</v>
      </c>
      <c r="CF67" s="11">
        <f t="shared" si="8"/>
        <v>0</v>
      </c>
      <c r="CG67" s="10">
        <f t="shared" si="9"/>
        <v>0</v>
      </c>
      <c r="CH67" s="11">
        <f t="shared" si="10"/>
        <v>0</v>
      </c>
      <c r="CI67" s="10">
        <f t="shared" si="11"/>
        <v>0</v>
      </c>
      <c r="CJ67" s="11">
        <f t="shared" si="12"/>
        <v>0</v>
      </c>
      <c r="CK67" s="10">
        <f t="shared" si="13"/>
        <v>0</v>
      </c>
      <c r="CL67" s="11">
        <f t="shared" si="14"/>
        <v>0</v>
      </c>
      <c r="CM67" s="10">
        <f t="shared" si="15"/>
        <v>0</v>
      </c>
      <c r="CN67" s="11">
        <f t="shared" si="16"/>
        <v>0</v>
      </c>
      <c r="CO67" s="10">
        <f t="shared" si="17"/>
        <v>0</v>
      </c>
      <c r="CP67" s="11">
        <f t="shared" si="18"/>
        <v>0</v>
      </c>
      <c r="CQ67" s="10">
        <f t="shared" si="19"/>
        <v>0</v>
      </c>
      <c r="CR67" s="11">
        <f t="shared" si="20"/>
        <v>0</v>
      </c>
      <c r="CS67" s="10">
        <f t="shared" si="21"/>
        <v>0</v>
      </c>
      <c r="CT67" s="11">
        <f t="shared" si="22"/>
        <v>0</v>
      </c>
      <c r="CU67" s="10">
        <f t="shared" si="23"/>
        <v>0</v>
      </c>
      <c r="CV67" s="11">
        <f t="shared" si="24"/>
        <v>0</v>
      </c>
      <c r="CW67" s="10">
        <f t="shared" si="25"/>
        <v>0</v>
      </c>
      <c r="CX67" s="11">
        <f t="shared" si="26"/>
        <v>0</v>
      </c>
      <c r="CY67" s="10">
        <f t="shared" si="27"/>
        <v>0</v>
      </c>
      <c r="CZ67" s="11">
        <f t="shared" si="28"/>
        <v>0</v>
      </c>
      <c r="DK67" s="18">
        <f t="shared" si="29"/>
        <v>3</v>
      </c>
      <c r="DL67" s="83">
        <f t="shared" si="36"/>
        <v>8.1315789473684216E-2</v>
      </c>
    </row>
    <row r="68" spans="1:116" x14ac:dyDescent="0.25">
      <c r="A68" s="90">
        <v>36163</v>
      </c>
      <c r="B68" s="20">
        <v>8.3333333333333329E-2</v>
      </c>
      <c r="D68">
        <v>35.96</v>
      </c>
      <c r="E68" t="str">
        <f t="shared" si="31"/>
        <v>SUNDAY</v>
      </c>
      <c r="F68" t="e">
        <f t="shared" si="35"/>
        <v>#N/A</v>
      </c>
      <c r="G68" s="74">
        <v>27762</v>
      </c>
      <c r="H68" s="77">
        <v>8.3333333333333329E-2</v>
      </c>
      <c r="J68">
        <v>35.06</v>
      </c>
      <c r="M68" s="74">
        <v>37624</v>
      </c>
      <c r="N68" s="77">
        <v>8.3333333333333329E-2</v>
      </c>
      <c r="P68">
        <v>26.6</v>
      </c>
      <c r="S68" s="74">
        <v>36163</v>
      </c>
      <c r="T68" s="77">
        <v>8.3333333333333329E-2</v>
      </c>
      <c r="V68">
        <v>26.96</v>
      </c>
      <c r="X68" s="42"/>
      <c r="AB68">
        <v>33.6</v>
      </c>
      <c r="AC68">
        <v>51.08</v>
      </c>
      <c r="AE68" s="74"/>
      <c r="AF68" s="77"/>
      <c r="AH68" s="497">
        <v>37.4</v>
      </c>
      <c r="AJ68" s="42"/>
      <c r="AK68" s="74"/>
      <c r="AL68" s="77"/>
      <c r="AN68" s="497">
        <v>33.08</v>
      </c>
      <c r="AP68" s="42"/>
      <c r="AQ68" s="74"/>
      <c r="AR68" s="77"/>
      <c r="AT68" s="497">
        <v>24.08</v>
      </c>
      <c r="AV68" s="42"/>
      <c r="AW68" s="74"/>
      <c r="AX68" s="77"/>
      <c r="BA68" s="497">
        <v>17.059999999999999</v>
      </c>
      <c r="BB68" s="42"/>
      <c r="BC68" s="74"/>
      <c r="BD68" s="77"/>
      <c r="BF68">
        <v>26.96</v>
      </c>
      <c r="BH68" s="42"/>
      <c r="BI68" s="74"/>
      <c r="BJ68" s="77"/>
      <c r="BL68" s="497">
        <v>25.34</v>
      </c>
      <c r="BN68" s="42"/>
      <c r="BO68" s="74"/>
      <c r="BP68" s="77"/>
      <c r="BR68" s="497">
        <v>21.02</v>
      </c>
      <c r="BT68" s="42"/>
      <c r="BZ68" s="10">
        <f t="shared" si="33"/>
        <v>0</v>
      </c>
      <c r="CA68">
        <v>1</v>
      </c>
      <c r="CB68" s="11">
        <f t="shared" si="34"/>
        <v>2</v>
      </c>
      <c r="CC68" s="10">
        <f t="shared" si="5"/>
        <v>0</v>
      </c>
      <c r="CD68" s="11">
        <f t="shared" si="6"/>
        <v>0</v>
      </c>
      <c r="CE68" s="10">
        <f t="shared" si="7"/>
        <v>0</v>
      </c>
      <c r="CF68" s="11">
        <f t="shared" si="8"/>
        <v>0</v>
      </c>
      <c r="CG68" s="10">
        <f t="shared" si="9"/>
        <v>0</v>
      </c>
      <c r="CH68" s="11">
        <f t="shared" si="10"/>
        <v>0</v>
      </c>
      <c r="CI68" s="10">
        <f t="shared" si="11"/>
        <v>0</v>
      </c>
      <c r="CJ68" s="11">
        <f t="shared" si="12"/>
        <v>0</v>
      </c>
      <c r="CK68" s="10">
        <f t="shared" si="13"/>
        <v>0</v>
      </c>
      <c r="CL68" s="11">
        <f t="shared" si="14"/>
        <v>0</v>
      </c>
      <c r="CM68" s="10">
        <f t="shared" si="15"/>
        <v>0</v>
      </c>
      <c r="CN68" s="11">
        <f t="shared" si="16"/>
        <v>0</v>
      </c>
      <c r="CO68" s="10">
        <f t="shared" si="17"/>
        <v>0</v>
      </c>
      <c r="CP68" s="11">
        <f t="shared" si="18"/>
        <v>0</v>
      </c>
      <c r="CQ68" s="10">
        <f t="shared" si="19"/>
        <v>0</v>
      </c>
      <c r="CR68" s="11">
        <f t="shared" si="20"/>
        <v>0</v>
      </c>
      <c r="CS68" s="10">
        <f t="shared" si="21"/>
        <v>0</v>
      </c>
      <c r="CT68" s="11">
        <f t="shared" si="22"/>
        <v>0</v>
      </c>
      <c r="CU68" s="10">
        <f t="shared" si="23"/>
        <v>0</v>
      </c>
      <c r="CV68" s="11">
        <f t="shared" si="24"/>
        <v>0</v>
      </c>
      <c r="CW68" s="10">
        <f t="shared" si="25"/>
        <v>0</v>
      </c>
      <c r="CX68" s="11">
        <f t="shared" si="26"/>
        <v>0</v>
      </c>
      <c r="CY68" s="10">
        <f t="shared" si="27"/>
        <v>0</v>
      </c>
      <c r="CZ68" s="11">
        <f t="shared" si="28"/>
        <v>0</v>
      </c>
      <c r="DK68" s="18">
        <f t="shared" si="29"/>
        <v>1</v>
      </c>
      <c r="DL68" s="83">
        <f t="shared" si="36"/>
        <v>8.0789473684210522E-2</v>
      </c>
    </row>
    <row r="69" spans="1:116" x14ac:dyDescent="0.25">
      <c r="A69" s="90">
        <v>36163</v>
      </c>
      <c r="B69" s="20">
        <v>0.125</v>
      </c>
      <c r="D69">
        <v>35.96</v>
      </c>
      <c r="E69" t="str">
        <f t="shared" si="31"/>
        <v>SUNDAY</v>
      </c>
      <c r="F69" t="e">
        <f t="shared" si="35"/>
        <v>#N/A</v>
      </c>
      <c r="G69" s="74">
        <v>27762</v>
      </c>
      <c r="H69" s="77">
        <v>0.125</v>
      </c>
      <c r="J69">
        <v>35.06</v>
      </c>
      <c r="M69" s="74">
        <v>37624</v>
      </c>
      <c r="N69" s="77">
        <v>0.125</v>
      </c>
      <c r="P69">
        <v>26.6</v>
      </c>
      <c r="S69" s="74">
        <v>36163</v>
      </c>
      <c r="T69" s="77">
        <v>0.125</v>
      </c>
      <c r="V69">
        <v>30.02</v>
      </c>
      <c r="X69" s="42"/>
      <c r="AB69">
        <v>33.299999999999997</v>
      </c>
      <c r="AC69">
        <v>51.08</v>
      </c>
      <c r="AE69" s="74"/>
      <c r="AF69" s="77"/>
      <c r="AH69" s="497">
        <v>37.4</v>
      </c>
      <c r="AJ69" s="42"/>
      <c r="AK69" s="74"/>
      <c r="AL69" s="77"/>
      <c r="AN69" s="497">
        <v>33.979999999999997</v>
      </c>
      <c r="AP69" s="42"/>
      <c r="AQ69" s="74"/>
      <c r="AR69" s="77"/>
      <c r="AT69" s="497">
        <v>24.98</v>
      </c>
      <c r="AV69" s="42"/>
      <c r="AW69" s="74"/>
      <c r="AX69" s="77"/>
      <c r="BA69" s="497">
        <v>15.98</v>
      </c>
      <c r="BB69" s="42"/>
      <c r="BC69" s="74"/>
      <c r="BD69" s="77"/>
      <c r="BF69">
        <v>26.060000000000002</v>
      </c>
      <c r="BH69" s="42"/>
      <c r="BI69" s="74"/>
      <c r="BJ69" s="77"/>
      <c r="BL69" s="497">
        <v>24.8</v>
      </c>
      <c r="BN69" s="42"/>
      <c r="BO69" s="74"/>
      <c r="BP69" s="77"/>
      <c r="BR69" s="497">
        <v>19.939999999999998</v>
      </c>
      <c r="BT69" s="42"/>
      <c r="BZ69" s="10">
        <f t="shared" si="33"/>
        <v>-2</v>
      </c>
      <c r="CA69">
        <v>-1</v>
      </c>
      <c r="CB69" s="11">
        <f t="shared" si="34"/>
        <v>0</v>
      </c>
      <c r="CC69" s="10">
        <f t="shared" si="5"/>
        <v>0</v>
      </c>
      <c r="CD69" s="11">
        <f t="shared" si="6"/>
        <v>0</v>
      </c>
      <c r="CE69" s="10">
        <f t="shared" si="7"/>
        <v>0</v>
      </c>
      <c r="CF69" s="11">
        <f t="shared" si="8"/>
        <v>0</v>
      </c>
      <c r="CG69" s="10">
        <f t="shared" si="9"/>
        <v>0</v>
      </c>
      <c r="CH69" s="11">
        <f t="shared" si="10"/>
        <v>0</v>
      </c>
      <c r="CI69" s="10">
        <f t="shared" si="11"/>
        <v>0</v>
      </c>
      <c r="CJ69" s="11">
        <f t="shared" si="12"/>
        <v>0</v>
      </c>
      <c r="CK69" s="10">
        <f t="shared" si="13"/>
        <v>0</v>
      </c>
      <c r="CL69" s="11">
        <f t="shared" si="14"/>
        <v>0</v>
      </c>
      <c r="CM69" s="10">
        <f t="shared" si="15"/>
        <v>0</v>
      </c>
      <c r="CN69" s="11">
        <f t="shared" si="16"/>
        <v>0</v>
      </c>
      <c r="CO69" s="10">
        <f t="shared" si="17"/>
        <v>0</v>
      </c>
      <c r="CP69" s="11">
        <f t="shared" si="18"/>
        <v>0</v>
      </c>
      <c r="CQ69" s="10">
        <f t="shared" si="19"/>
        <v>0</v>
      </c>
      <c r="CR69" s="11">
        <f t="shared" si="20"/>
        <v>0</v>
      </c>
      <c r="CS69" s="10">
        <f t="shared" si="21"/>
        <v>0</v>
      </c>
      <c r="CT69" s="11">
        <f t="shared" si="22"/>
        <v>0</v>
      </c>
      <c r="CU69" s="10">
        <f t="shared" si="23"/>
        <v>0</v>
      </c>
      <c r="CV69" s="11">
        <f t="shared" si="24"/>
        <v>0</v>
      </c>
      <c r="CW69" s="10">
        <f t="shared" si="25"/>
        <v>0</v>
      </c>
      <c r="CX69" s="11">
        <f t="shared" si="26"/>
        <v>0</v>
      </c>
      <c r="CY69" s="10">
        <f t="shared" si="27"/>
        <v>0</v>
      </c>
      <c r="CZ69" s="11">
        <f t="shared" si="28"/>
        <v>0</v>
      </c>
      <c r="DK69" s="18">
        <f t="shared" si="29"/>
        <v>-1</v>
      </c>
      <c r="DL69" s="83">
        <f t="shared" si="36"/>
        <v>8.0263157894736842E-2</v>
      </c>
    </row>
    <row r="70" spans="1:116" x14ac:dyDescent="0.25">
      <c r="A70" s="90">
        <v>36163</v>
      </c>
      <c r="B70" s="20">
        <v>0.16666666666666666</v>
      </c>
      <c r="D70">
        <v>35.96</v>
      </c>
      <c r="E70" t="str">
        <f t="shared" si="31"/>
        <v>SUNDAY</v>
      </c>
      <c r="F70" t="e">
        <f t="shared" si="35"/>
        <v>#N/A</v>
      </c>
      <c r="G70" s="74">
        <v>27762</v>
      </c>
      <c r="H70" s="77">
        <v>0.16666666666666666</v>
      </c>
      <c r="J70">
        <v>35.06</v>
      </c>
      <c r="M70" s="74">
        <v>37624</v>
      </c>
      <c r="N70" s="77">
        <v>0.16666666666666666</v>
      </c>
      <c r="P70">
        <v>26.6</v>
      </c>
      <c r="S70" s="74">
        <v>36163</v>
      </c>
      <c r="T70" s="77">
        <v>0.16666666666666666</v>
      </c>
      <c r="V70">
        <v>35.96</v>
      </c>
      <c r="X70" s="42"/>
      <c r="AB70">
        <v>33.1</v>
      </c>
      <c r="AC70">
        <v>50</v>
      </c>
      <c r="AE70" s="74"/>
      <c r="AF70" s="77"/>
      <c r="AH70" s="497">
        <v>37.4</v>
      </c>
      <c r="AJ70" s="42"/>
      <c r="AK70" s="74"/>
      <c r="AL70" s="77"/>
      <c r="AN70" s="497">
        <v>33.979999999999997</v>
      </c>
      <c r="AP70" s="42"/>
      <c r="AQ70" s="74"/>
      <c r="AR70" s="77"/>
      <c r="AT70" s="497">
        <v>24.08</v>
      </c>
      <c r="AV70" s="42"/>
      <c r="AW70" s="74"/>
      <c r="AX70" s="77"/>
      <c r="BA70" s="497">
        <v>15.079999999999998</v>
      </c>
      <c r="BB70" s="42"/>
      <c r="BC70" s="74"/>
      <c r="BD70" s="77"/>
      <c r="BF70">
        <v>26.060000000000002</v>
      </c>
      <c r="BH70" s="42"/>
      <c r="BI70" s="74"/>
      <c r="BJ70" s="77"/>
      <c r="BL70" s="497">
        <v>24.08</v>
      </c>
      <c r="BN70" s="42"/>
      <c r="BO70" s="74"/>
      <c r="BP70" s="77"/>
      <c r="BR70" s="497">
        <v>17.96</v>
      </c>
      <c r="BT70" s="42"/>
      <c r="BZ70" s="10">
        <f t="shared" si="33"/>
        <v>-4</v>
      </c>
      <c r="CA70">
        <v>-3</v>
      </c>
      <c r="CB70" s="11">
        <f t="shared" si="34"/>
        <v>-2</v>
      </c>
      <c r="CC70" s="10">
        <f t="shared" si="5"/>
        <v>0</v>
      </c>
      <c r="CD70" s="11">
        <f t="shared" si="6"/>
        <v>0</v>
      </c>
      <c r="CE70" s="10">
        <f t="shared" si="7"/>
        <v>0</v>
      </c>
      <c r="CF70" s="11">
        <f t="shared" si="8"/>
        <v>0</v>
      </c>
      <c r="CG70" s="10">
        <f t="shared" si="9"/>
        <v>0</v>
      </c>
      <c r="CH70" s="11">
        <f t="shared" si="10"/>
        <v>0</v>
      </c>
      <c r="CI70" s="10">
        <f t="shared" si="11"/>
        <v>0</v>
      </c>
      <c r="CJ70" s="11">
        <f t="shared" si="12"/>
        <v>0</v>
      </c>
      <c r="CK70" s="10">
        <f t="shared" si="13"/>
        <v>0</v>
      </c>
      <c r="CL70" s="11">
        <f t="shared" si="14"/>
        <v>0</v>
      </c>
      <c r="CM70" s="10">
        <f t="shared" si="15"/>
        <v>0</v>
      </c>
      <c r="CN70" s="11">
        <f t="shared" si="16"/>
        <v>0</v>
      </c>
      <c r="CO70" s="10">
        <f t="shared" si="17"/>
        <v>0</v>
      </c>
      <c r="CP70" s="11">
        <f t="shared" si="18"/>
        <v>0</v>
      </c>
      <c r="CQ70" s="10">
        <f t="shared" si="19"/>
        <v>0</v>
      </c>
      <c r="CR70" s="11">
        <f t="shared" si="20"/>
        <v>0</v>
      </c>
      <c r="CS70" s="10">
        <f t="shared" si="21"/>
        <v>0</v>
      </c>
      <c r="CT70" s="11">
        <f t="shared" si="22"/>
        <v>0</v>
      </c>
      <c r="CU70" s="10">
        <f t="shared" si="23"/>
        <v>0</v>
      </c>
      <c r="CV70" s="11">
        <f t="shared" si="24"/>
        <v>0</v>
      </c>
      <c r="CW70" s="10">
        <f t="shared" si="25"/>
        <v>0</v>
      </c>
      <c r="CX70" s="11">
        <f t="shared" si="26"/>
        <v>0</v>
      </c>
      <c r="CY70" s="10">
        <f t="shared" si="27"/>
        <v>0</v>
      </c>
      <c r="CZ70" s="11">
        <f t="shared" si="28"/>
        <v>0</v>
      </c>
      <c r="DK70" s="18">
        <f t="shared" si="29"/>
        <v>-3</v>
      </c>
      <c r="DL70" s="83">
        <f t="shared" si="36"/>
        <v>7.9736842105263162E-2</v>
      </c>
    </row>
    <row r="71" spans="1:116" x14ac:dyDescent="0.25">
      <c r="A71" s="90">
        <v>36163</v>
      </c>
      <c r="B71" s="20">
        <v>0.20833333333333334</v>
      </c>
      <c r="D71">
        <v>35.06</v>
      </c>
      <c r="E71" t="str">
        <f t="shared" si="31"/>
        <v>SUNDAY</v>
      </c>
      <c r="F71" t="e">
        <f t="shared" si="35"/>
        <v>#N/A</v>
      </c>
      <c r="G71" s="74">
        <v>27762</v>
      </c>
      <c r="H71" s="77">
        <v>0.20833333333333334</v>
      </c>
      <c r="J71">
        <v>35.96</v>
      </c>
      <c r="M71" s="74">
        <v>37624</v>
      </c>
      <c r="N71" s="77">
        <v>0.20833333333333334</v>
      </c>
      <c r="P71">
        <v>26.6</v>
      </c>
      <c r="S71" s="74">
        <v>36163</v>
      </c>
      <c r="T71" s="77">
        <v>0.20833333333333334</v>
      </c>
      <c r="V71">
        <v>39.019999999999996</v>
      </c>
      <c r="X71" s="42"/>
      <c r="AB71">
        <v>32.799999999999997</v>
      </c>
      <c r="AC71">
        <v>50</v>
      </c>
      <c r="AE71" s="74"/>
      <c r="AF71" s="77"/>
      <c r="AH71" s="497">
        <v>39.200000000000003</v>
      </c>
      <c r="AJ71" s="42"/>
      <c r="AK71" s="74"/>
      <c r="AL71" s="77"/>
      <c r="AN71" s="497">
        <v>33.979999999999997</v>
      </c>
      <c r="AP71" s="42"/>
      <c r="AQ71" s="74"/>
      <c r="AR71" s="77"/>
      <c r="AT71" s="497">
        <v>23</v>
      </c>
      <c r="AV71" s="42"/>
      <c r="AW71" s="74"/>
      <c r="AX71" s="77"/>
      <c r="BA71" s="497">
        <v>15.440000000000001</v>
      </c>
      <c r="BB71" s="42"/>
      <c r="BC71" s="74"/>
      <c r="BD71" s="77"/>
      <c r="BF71">
        <v>24.98</v>
      </c>
      <c r="BH71" s="42"/>
      <c r="BI71" s="74"/>
      <c r="BJ71" s="77"/>
      <c r="BL71" s="497">
        <v>23.36</v>
      </c>
      <c r="BN71" s="42"/>
      <c r="BO71" s="74"/>
      <c r="BP71" s="77"/>
      <c r="BR71" s="497">
        <v>15.079999999999998</v>
      </c>
      <c r="BT71" s="42"/>
      <c r="BZ71" s="10">
        <f t="shared" si="33"/>
        <v>-6</v>
      </c>
      <c r="CA71">
        <v>-5</v>
      </c>
      <c r="CB71" s="11">
        <f t="shared" si="34"/>
        <v>-4</v>
      </c>
      <c r="CC71" s="10">
        <f t="shared" si="5"/>
        <v>0</v>
      </c>
      <c r="CD71" s="11">
        <f t="shared" si="6"/>
        <v>0</v>
      </c>
      <c r="CE71" s="10">
        <f t="shared" si="7"/>
        <v>0</v>
      </c>
      <c r="CF71" s="11">
        <f t="shared" si="8"/>
        <v>0</v>
      </c>
      <c r="CG71" s="10">
        <f t="shared" si="9"/>
        <v>0</v>
      </c>
      <c r="CH71" s="11">
        <f t="shared" si="10"/>
        <v>0</v>
      </c>
      <c r="CI71" s="10">
        <f t="shared" si="11"/>
        <v>0</v>
      </c>
      <c r="CJ71" s="11">
        <f t="shared" si="12"/>
        <v>0</v>
      </c>
      <c r="CK71" s="10">
        <f t="shared" si="13"/>
        <v>0</v>
      </c>
      <c r="CL71" s="11">
        <f t="shared" si="14"/>
        <v>0</v>
      </c>
      <c r="CM71" s="10">
        <f t="shared" si="15"/>
        <v>0</v>
      </c>
      <c r="CN71" s="11">
        <f t="shared" si="16"/>
        <v>0</v>
      </c>
      <c r="CO71" s="10">
        <f t="shared" si="17"/>
        <v>0</v>
      </c>
      <c r="CP71" s="11">
        <f t="shared" si="18"/>
        <v>0</v>
      </c>
      <c r="CQ71" s="10">
        <f t="shared" si="19"/>
        <v>0</v>
      </c>
      <c r="CR71" s="11">
        <f t="shared" si="20"/>
        <v>0</v>
      </c>
      <c r="CS71" s="10">
        <f t="shared" si="21"/>
        <v>0</v>
      </c>
      <c r="CT71" s="11">
        <f t="shared" si="22"/>
        <v>0</v>
      </c>
      <c r="CU71" s="10">
        <f t="shared" si="23"/>
        <v>0</v>
      </c>
      <c r="CV71" s="11">
        <f t="shared" si="24"/>
        <v>0</v>
      </c>
      <c r="CW71" s="10">
        <f t="shared" si="25"/>
        <v>0</v>
      </c>
      <c r="CX71" s="11">
        <f t="shared" si="26"/>
        <v>0</v>
      </c>
      <c r="CY71" s="10">
        <f t="shared" si="27"/>
        <v>0</v>
      </c>
      <c r="CZ71" s="11">
        <f t="shared" si="28"/>
        <v>0</v>
      </c>
      <c r="DK71" s="18">
        <f t="shared" si="29"/>
        <v>-5</v>
      </c>
      <c r="DL71" s="83">
        <f t="shared" si="36"/>
        <v>7.9210526315789481E-2</v>
      </c>
    </row>
    <row r="72" spans="1:116" x14ac:dyDescent="0.25">
      <c r="A72" s="90">
        <v>36163</v>
      </c>
      <c r="B72" s="20">
        <v>0.25</v>
      </c>
      <c r="D72">
        <v>35.06</v>
      </c>
      <c r="E72" t="str">
        <f t="shared" si="31"/>
        <v>SUNDAY</v>
      </c>
      <c r="F72" t="e">
        <f t="shared" si="35"/>
        <v>#N/A</v>
      </c>
      <c r="G72" s="74">
        <v>27762</v>
      </c>
      <c r="H72" s="77">
        <v>0.25</v>
      </c>
      <c r="J72">
        <v>35.96</v>
      </c>
      <c r="M72" s="74">
        <v>37624</v>
      </c>
      <c r="N72" s="77">
        <v>0.25</v>
      </c>
      <c r="P72">
        <v>28.4</v>
      </c>
      <c r="S72" s="74">
        <v>36163</v>
      </c>
      <c r="T72" s="77">
        <v>0.25</v>
      </c>
      <c r="V72">
        <v>39.200000000000003</v>
      </c>
      <c r="X72" s="42"/>
      <c r="AB72">
        <v>32.700000000000003</v>
      </c>
      <c r="AC72">
        <v>50</v>
      </c>
      <c r="AE72" s="74"/>
      <c r="AF72" s="77"/>
      <c r="AH72" s="497">
        <v>39.200000000000003</v>
      </c>
      <c r="AJ72" s="42"/>
      <c r="AK72" s="74"/>
      <c r="AL72" s="77"/>
      <c r="AN72" s="497">
        <v>35.06</v>
      </c>
      <c r="AP72" s="42"/>
      <c r="AQ72" s="74"/>
      <c r="AR72" s="77"/>
      <c r="AT72" s="497">
        <v>23</v>
      </c>
      <c r="AV72" s="42"/>
      <c r="AW72" s="74"/>
      <c r="AX72" s="77"/>
      <c r="BA72" s="497">
        <v>15.620000000000001</v>
      </c>
      <c r="BB72" s="42"/>
      <c r="BC72" s="74"/>
      <c r="BD72" s="77"/>
      <c r="BF72">
        <v>24.08</v>
      </c>
      <c r="BH72" s="42"/>
      <c r="BI72" s="74"/>
      <c r="BJ72" s="77"/>
      <c r="BL72" s="497">
        <v>22.64</v>
      </c>
      <c r="BN72" s="42"/>
      <c r="BO72" s="74"/>
      <c r="BP72" s="77"/>
      <c r="BR72" s="497">
        <v>12.920000000000002</v>
      </c>
      <c r="BT72" s="42"/>
      <c r="BZ72" s="10">
        <f t="shared" si="33"/>
        <v>-8</v>
      </c>
      <c r="CA72">
        <v>-7</v>
      </c>
      <c r="CB72" s="11">
        <f t="shared" si="34"/>
        <v>-6</v>
      </c>
      <c r="CC72" s="10">
        <f t="shared" si="5"/>
        <v>0</v>
      </c>
      <c r="CD72" s="11">
        <f t="shared" si="6"/>
        <v>0</v>
      </c>
      <c r="CE72" s="10">
        <f t="shared" si="7"/>
        <v>0</v>
      </c>
      <c r="CF72" s="11">
        <f t="shared" si="8"/>
        <v>0</v>
      </c>
      <c r="CG72" s="10">
        <f t="shared" si="9"/>
        <v>0</v>
      </c>
      <c r="CH72" s="11">
        <f t="shared" si="10"/>
        <v>0</v>
      </c>
      <c r="CI72" s="10">
        <f t="shared" si="11"/>
        <v>0</v>
      </c>
      <c r="CJ72" s="11">
        <f t="shared" si="12"/>
        <v>0</v>
      </c>
      <c r="CK72" s="10">
        <f t="shared" si="13"/>
        <v>0</v>
      </c>
      <c r="CL72" s="11">
        <f t="shared" si="14"/>
        <v>0</v>
      </c>
      <c r="CM72" s="10">
        <f t="shared" si="15"/>
        <v>0</v>
      </c>
      <c r="CN72" s="11">
        <f t="shared" si="16"/>
        <v>0</v>
      </c>
      <c r="CO72" s="10">
        <f t="shared" si="17"/>
        <v>0</v>
      </c>
      <c r="CP72" s="11">
        <f t="shared" si="18"/>
        <v>0</v>
      </c>
      <c r="CQ72" s="10">
        <f t="shared" si="19"/>
        <v>0</v>
      </c>
      <c r="CR72" s="11">
        <f t="shared" si="20"/>
        <v>0</v>
      </c>
      <c r="CS72" s="10">
        <f t="shared" si="21"/>
        <v>0</v>
      </c>
      <c r="CT72" s="11">
        <f t="shared" si="22"/>
        <v>0</v>
      </c>
      <c r="CU72" s="10">
        <f t="shared" si="23"/>
        <v>0</v>
      </c>
      <c r="CV72" s="11">
        <f t="shared" si="24"/>
        <v>0</v>
      </c>
      <c r="CW72" s="10">
        <f t="shared" si="25"/>
        <v>0</v>
      </c>
      <c r="CX72" s="11">
        <f t="shared" si="26"/>
        <v>0</v>
      </c>
      <c r="CY72" s="10">
        <f t="shared" si="27"/>
        <v>0</v>
      </c>
      <c r="CZ72" s="11">
        <f t="shared" si="28"/>
        <v>0</v>
      </c>
      <c r="DK72" s="18">
        <f t="shared" si="29"/>
        <v>-7</v>
      </c>
      <c r="DL72" s="83">
        <f t="shared" si="36"/>
        <v>7.8684210526315787E-2</v>
      </c>
    </row>
    <row r="73" spans="1:116" x14ac:dyDescent="0.25">
      <c r="A73" s="90">
        <v>36163</v>
      </c>
      <c r="B73" s="20">
        <v>0.29166666666666669</v>
      </c>
      <c r="D73">
        <v>35.06</v>
      </c>
      <c r="E73" t="str">
        <f t="shared" si="31"/>
        <v>SUNDAY</v>
      </c>
      <c r="F73" t="e">
        <f t="shared" si="35"/>
        <v>#N/A</v>
      </c>
      <c r="G73" s="74">
        <v>27762</v>
      </c>
      <c r="H73" s="77">
        <v>0.29166666666666669</v>
      </c>
      <c r="J73">
        <v>37.04</v>
      </c>
      <c r="M73" s="74">
        <v>37624</v>
      </c>
      <c r="N73" s="77">
        <v>0.29166666666666669</v>
      </c>
      <c r="P73">
        <v>28.4</v>
      </c>
      <c r="S73" s="74">
        <v>36163</v>
      </c>
      <c r="T73" s="77">
        <v>0.29166666666666669</v>
      </c>
      <c r="V73">
        <v>42.08</v>
      </c>
      <c r="X73" s="42"/>
      <c r="AB73">
        <v>32.700000000000003</v>
      </c>
      <c r="AC73">
        <v>50</v>
      </c>
      <c r="AE73" s="74"/>
      <c r="AF73" s="77"/>
      <c r="AH73" s="497">
        <v>42.8</v>
      </c>
      <c r="AJ73" s="42"/>
      <c r="AK73" s="74"/>
      <c r="AL73" s="77"/>
      <c r="AN73" s="497">
        <v>35.06</v>
      </c>
      <c r="AP73" s="42"/>
      <c r="AQ73" s="74"/>
      <c r="AR73" s="77"/>
      <c r="AT73" s="497">
        <v>21.92</v>
      </c>
      <c r="AV73" s="42"/>
      <c r="AW73" s="74"/>
      <c r="AX73" s="77"/>
      <c r="BA73" s="497">
        <v>15.98</v>
      </c>
      <c r="BB73" s="42"/>
      <c r="BC73" s="74"/>
      <c r="BD73" s="77"/>
      <c r="BF73">
        <v>24.08</v>
      </c>
      <c r="BH73" s="42"/>
      <c r="BI73" s="74"/>
      <c r="BJ73" s="77"/>
      <c r="BL73" s="497">
        <v>21.92</v>
      </c>
      <c r="BN73" s="42"/>
      <c r="BO73" s="74"/>
      <c r="BP73" s="77"/>
      <c r="BR73" s="497">
        <v>12.920000000000002</v>
      </c>
      <c r="BT73" s="42"/>
      <c r="BZ73" s="10">
        <f t="shared" si="33"/>
        <v>-10</v>
      </c>
      <c r="CA73">
        <v>-9</v>
      </c>
      <c r="CB73" s="11">
        <f t="shared" si="34"/>
        <v>-8</v>
      </c>
      <c r="CC73" s="10">
        <f t="shared" si="5"/>
        <v>0</v>
      </c>
      <c r="CD73" s="11">
        <f t="shared" si="6"/>
        <v>0</v>
      </c>
      <c r="CE73" s="10">
        <f t="shared" si="7"/>
        <v>0</v>
      </c>
      <c r="CF73" s="11">
        <f t="shared" si="8"/>
        <v>0</v>
      </c>
      <c r="CG73" s="10">
        <f t="shared" si="9"/>
        <v>0</v>
      </c>
      <c r="CH73" s="11">
        <f t="shared" si="10"/>
        <v>0</v>
      </c>
      <c r="CI73" s="10">
        <f t="shared" si="11"/>
        <v>0</v>
      </c>
      <c r="CJ73" s="11">
        <f t="shared" si="12"/>
        <v>0</v>
      </c>
      <c r="CK73" s="10">
        <f t="shared" si="13"/>
        <v>0</v>
      </c>
      <c r="CL73" s="11">
        <f t="shared" si="14"/>
        <v>0</v>
      </c>
      <c r="CM73" s="10">
        <f t="shared" si="15"/>
        <v>0</v>
      </c>
      <c r="CN73" s="11">
        <f t="shared" si="16"/>
        <v>0</v>
      </c>
      <c r="CO73" s="10">
        <f t="shared" si="17"/>
        <v>0</v>
      </c>
      <c r="CP73" s="11">
        <f t="shared" si="18"/>
        <v>0</v>
      </c>
      <c r="CQ73" s="10">
        <f t="shared" si="19"/>
        <v>0</v>
      </c>
      <c r="CR73" s="11">
        <f t="shared" si="20"/>
        <v>0</v>
      </c>
      <c r="CS73" s="10">
        <f t="shared" si="21"/>
        <v>0</v>
      </c>
      <c r="CT73" s="11">
        <f t="shared" si="22"/>
        <v>0</v>
      </c>
      <c r="CU73" s="10">
        <f t="shared" si="23"/>
        <v>0</v>
      </c>
      <c r="CV73" s="11">
        <f t="shared" si="24"/>
        <v>0</v>
      </c>
      <c r="CW73" s="10">
        <f t="shared" si="25"/>
        <v>0</v>
      </c>
      <c r="CX73" s="11">
        <f t="shared" si="26"/>
        <v>0</v>
      </c>
      <c r="CY73" s="10">
        <f t="shared" si="27"/>
        <v>0</v>
      </c>
      <c r="CZ73" s="11">
        <f t="shared" si="28"/>
        <v>0</v>
      </c>
      <c r="DK73" s="18">
        <f t="shared" si="29"/>
        <v>-9</v>
      </c>
      <c r="DL73" s="83">
        <f t="shared" si="36"/>
        <v>7.8157894736842107E-2</v>
      </c>
    </row>
    <row r="74" spans="1:116" x14ac:dyDescent="0.25">
      <c r="A74" s="90">
        <v>36163</v>
      </c>
      <c r="B74" s="20">
        <v>0.33333333333333331</v>
      </c>
      <c r="D74">
        <v>35.96</v>
      </c>
      <c r="E74" t="str">
        <f t="shared" si="31"/>
        <v>SUNDAY</v>
      </c>
      <c r="F74" t="e">
        <f t="shared" si="35"/>
        <v>#N/A</v>
      </c>
      <c r="G74" s="74">
        <v>27762</v>
      </c>
      <c r="H74" s="77">
        <v>0.33333333333333331</v>
      </c>
      <c r="J74">
        <v>39.92</v>
      </c>
      <c r="M74" s="74">
        <v>37624</v>
      </c>
      <c r="N74" s="77">
        <v>0.33333333333333331</v>
      </c>
      <c r="P74">
        <v>28.4</v>
      </c>
      <c r="S74" s="74">
        <v>36163</v>
      </c>
      <c r="T74" s="77">
        <v>0.33333333333333331</v>
      </c>
      <c r="V74">
        <v>46.04</v>
      </c>
      <c r="X74" s="42"/>
      <c r="AB74">
        <v>32.700000000000003</v>
      </c>
      <c r="AC74">
        <v>50</v>
      </c>
      <c r="AE74" s="74"/>
      <c r="AF74" s="77"/>
      <c r="AH74" s="497">
        <v>44.6</v>
      </c>
      <c r="AJ74" s="42"/>
      <c r="AK74" s="74"/>
      <c r="AL74" s="77"/>
      <c r="AN74" s="497">
        <v>35.96</v>
      </c>
      <c r="AP74" s="42"/>
      <c r="AQ74" s="74"/>
      <c r="AR74" s="77"/>
      <c r="AT74" s="497">
        <v>23</v>
      </c>
      <c r="AV74" s="42"/>
      <c r="AW74" s="74"/>
      <c r="AX74" s="77"/>
      <c r="BA74" s="497">
        <v>17.059999999999999</v>
      </c>
      <c r="BB74" s="42"/>
      <c r="BC74" s="74"/>
      <c r="BD74" s="77"/>
      <c r="BF74">
        <v>24.08</v>
      </c>
      <c r="BH74" s="42"/>
      <c r="BI74" s="74"/>
      <c r="BJ74" s="77"/>
      <c r="BL74" s="497">
        <v>21.92</v>
      </c>
      <c r="BN74" s="42"/>
      <c r="BO74" s="74"/>
      <c r="BP74" s="77"/>
      <c r="BR74" s="497">
        <v>12.02</v>
      </c>
      <c r="BT74" s="42"/>
      <c r="BZ74" s="10">
        <f t="shared" si="33"/>
        <v>-12</v>
      </c>
      <c r="CA74">
        <v>-11</v>
      </c>
      <c r="CB74" s="11">
        <f t="shared" si="34"/>
        <v>-10</v>
      </c>
      <c r="CC74" s="10">
        <f t="shared" si="5"/>
        <v>0</v>
      </c>
      <c r="CD74" s="11">
        <f t="shared" si="6"/>
        <v>0</v>
      </c>
      <c r="CE74" s="10">
        <f t="shared" si="7"/>
        <v>0</v>
      </c>
      <c r="CF74" s="11">
        <f t="shared" si="8"/>
        <v>0</v>
      </c>
      <c r="CG74" s="10">
        <f t="shared" si="9"/>
        <v>0</v>
      </c>
      <c r="CH74" s="11">
        <f t="shared" si="10"/>
        <v>0</v>
      </c>
      <c r="CI74" s="10">
        <f t="shared" si="11"/>
        <v>0</v>
      </c>
      <c r="CJ74" s="11">
        <f t="shared" si="12"/>
        <v>0</v>
      </c>
      <c r="CK74" s="10">
        <f t="shared" si="13"/>
        <v>0</v>
      </c>
      <c r="CL74" s="11">
        <f t="shared" si="14"/>
        <v>0</v>
      </c>
      <c r="CM74" s="10">
        <f t="shared" si="15"/>
        <v>0</v>
      </c>
      <c r="CN74" s="11">
        <f t="shared" si="16"/>
        <v>0</v>
      </c>
      <c r="CO74" s="10">
        <f t="shared" si="17"/>
        <v>0</v>
      </c>
      <c r="CP74" s="11">
        <f t="shared" si="18"/>
        <v>0</v>
      </c>
      <c r="CQ74" s="10">
        <f t="shared" si="19"/>
        <v>0</v>
      </c>
      <c r="CR74" s="11">
        <f t="shared" si="20"/>
        <v>0</v>
      </c>
      <c r="CS74" s="10">
        <f t="shared" si="21"/>
        <v>0</v>
      </c>
      <c r="CT74" s="11">
        <f t="shared" si="22"/>
        <v>0</v>
      </c>
      <c r="CU74" s="10">
        <f t="shared" si="23"/>
        <v>0</v>
      </c>
      <c r="CV74" s="11">
        <f t="shared" si="24"/>
        <v>0</v>
      </c>
      <c r="CW74" s="10">
        <f t="shared" si="25"/>
        <v>0</v>
      </c>
      <c r="CX74" s="11">
        <f t="shared" si="26"/>
        <v>0</v>
      </c>
      <c r="CY74" s="10">
        <f t="shared" si="27"/>
        <v>0</v>
      </c>
      <c r="CZ74" s="11">
        <f t="shared" si="28"/>
        <v>0</v>
      </c>
      <c r="DK74" s="18">
        <f t="shared" si="29"/>
        <v>-11</v>
      </c>
      <c r="DL74" s="83">
        <f t="shared" si="36"/>
        <v>7.7631578947368426E-2</v>
      </c>
    </row>
    <row r="75" spans="1:116" x14ac:dyDescent="0.25">
      <c r="A75" s="90">
        <v>36163</v>
      </c>
      <c r="B75" s="20">
        <v>0.375</v>
      </c>
      <c r="D75">
        <v>35.96</v>
      </c>
      <c r="E75" t="str">
        <f t="shared" si="31"/>
        <v>SUNDAY</v>
      </c>
      <c r="F75" t="e">
        <f t="shared" si="35"/>
        <v>#N/A</v>
      </c>
      <c r="G75" s="74">
        <v>27762</v>
      </c>
      <c r="H75" s="77">
        <v>0.375</v>
      </c>
      <c r="J75">
        <v>39.92</v>
      </c>
      <c r="M75" s="74">
        <v>37624</v>
      </c>
      <c r="N75" s="77">
        <v>0.375</v>
      </c>
      <c r="P75">
        <v>30.2</v>
      </c>
      <c r="S75" s="74">
        <v>36163</v>
      </c>
      <c r="T75" s="77">
        <v>0.375</v>
      </c>
      <c r="V75">
        <v>46.94</v>
      </c>
      <c r="X75" s="42"/>
      <c r="AB75">
        <v>33</v>
      </c>
      <c r="AC75">
        <v>51.980000000000004</v>
      </c>
      <c r="AE75" s="74"/>
      <c r="AF75" s="77"/>
      <c r="AH75" s="497">
        <v>44.6</v>
      </c>
      <c r="AJ75" s="42"/>
      <c r="AK75" s="74"/>
      <c r="AL75" s="77"/>
      <c r="AN75" s="497">
        <v>35.96</v>
      </c>
      <c r="AP75" s="42"/>
      <c r="AQ75" s="74"/>
      <c r="AR75" s="77"/>
      <c r="AT75" s="497">
        <v>24.08</v>
      </c>
      <c r="AV75" s="42"/>
      <c r="AW75" s="74"/>
      <c r="AX75" s="77"/>
      <c r="BA75" s="497">
        <v>17.96</v>
      </c>
      <c r="BB75" s="42"/>
      <c r="BC75" s="74"/>
      <c r="BD75" s="77"/>
      <c r="BF75">
        <v>23</v>
      </c>
      <c r="BH75" s="42"/>
      <c r="BI75" s="74"/>
      <c r="BJ75" s="77"/>
      <c r="BL75" s="497">
        <v>21.92</v>
      </c>
      <c r="BN75" s="42"/>
      <c r="BO75" s="74"/>
      <c r="BP75" s="77"/>
      <c r="BR75" s="497">
        <v>10.940000000000001</v>
      </c>
      <c r="BT75" s="42"/>
      <c r="BZ75" s="10">
        <f t="shared" si="33"/>
        <v>-14</v>
      </c>
      <c r="CA75">
        <v>-13</v>
      </c>
      <c r="CB75" s="11">
        <f t="shared" si="34"/>
        <v>-12</v>
      </c>
      <c r="CC75" s="10">
        <f t="shared" si="5"/>
        <v>0</v>
      </c>
      <c r="CD75" s="11">
        <f t="shared" si="6"/>
        <v>0</v>
      </c>
      <c r="CE75" s="10">
        <f t="shared" si="7"/>
        <v>0</v>
      </c>
      <c r="CF75" s="11">
        <f t="shared" si="8"/>
        <v>0</v>
      </c>
      <c r="CG75" s="10">
        <f t="shared" si="9"/>
        <v>0</v>
      </c>
      <c r="CH75" s="11">
        <f t="shared" si="10"/>
        <v>0</v>
      </c>
      <c r="CI75" s="10">
        <f t="shared" si="11"/>
        <v>0</v>
      </c>
      <c r="CJ75" s="11">
        <f t="shared" si="12"/>
        <v>0</v>
      </c>
      <c r="CK75" s="10">
        <f t="shared" si="13"/>
        <v>0</v>
      </c>
      <c r="CL75" s="11">
        <f t="shared" si="14"/>
        <v>0</v>
      </c>
      <c r="CM75" s="10">
        <f t="shared" si="15"/>
        <v>0</v>
      </c>
      <c r="CN75" s="11">
        <f t="shared" si="16"/>
        <v>0</v>
      </c>
      <c r="CO75" s="10">
        <f t="shared" si="17"/>
        <v>0</v>
      </c>
      <c r="CP75" s="11">
        <f t="shared" si="18"/>
        <v>0</v>
      </c>
      <c r="CQ75" s="10">
        <f t="shared" si="19"/>
        <v>0</v>
      </c>
      <c r="CR75" s="11">
        <f t="shared" si="20"/>
        <v>0</v>
      </c>
      <c r="CS75" s="10">
        <f t="shared" si="21"/>
        <v>0</v>
      </c>
      <c r="CT75" s="11">
        <f t="shared" si="22"/>
        <v>0</v>
      </c>
      <c r="CU75" s="10">
        <f t="shared" si="23"/>
        <v>0</v>
      </c>
      <c r="CV75" s="11">
        <f t="shared" si="24"/>
        <v>0</v>
      </c>
      <c r="CW75" s="10">
        <f t="shared" si="25"/>
        <v>0</v>
      </c>
      <c r="CX75" s="11">
        <f t="shared" si="26"/>
        <v>0</v>
      </c>
      <c r="CY75" s="10">
        <f t="shared" si="27"/>
        <v>0</v>
      </c>
      <c r="CZ75" s="11">
        <f t="shared" si="28"/>
        <v>0</v>
      </c>
      <c r="DK75" s="18">
        <f t="shared" si="29"/>
        <v>-13</v>
      </c>
      <c r="DL75" s="83">
        <f t="shared" si="36"/>
        <v>7.7105263157894732E-2</v>
      </c>
    </row>
    <row r="76" spans="1:116" x14ac:dyDescent="0.25">
      <c r="A76" s="90">
        <v>36163</v>
      </c>
      <c r="B76" s="20">
        <v>0.41666666666666669</v>
      </c>
      <c r="D76">
        <v>37.04</v>
      </c>
      <c r="E76" t="str">
        <f t="shared" si="31"/>
        <v>SUNDAY</v>
      </c>
      <c r="F76" t="e">
        <f t="shared" si="35"/>
        <v>#N/A</v>
      </c>
      <c r="G76" s="74">
        <v>27762</v>
      </c>
      <c r="H76" s="77">
        <v>0.41666666666666669</v>
      </c>
      <c r="J76">
        <v>41</v>
      </c>
      <c r="M76" s="74">
        <v>37624</v>
      </c>
      <c r="N76" s="77">
        <v>0.41666666666666669</v>
      </c>
      <c r="P76">
        <v>30.2</v>
      </c>
      <c r="S76" s="74">
        <v>36163</v>
      </c>
      <c r="T76" s="77">
        <v>0.41666666666666669</v>
      </c>
      <c r="V76">
        <v>50</v>
      </c>
      <c r="X76" s="42"/>
      <c r="AB76">
        <v>34.4</v>
      </c>
      <c r="AC76">
        <v>53.96</v>
      </c>
      <c r="AE76" s="74"/>
      <c r="AF76" s="77"/>
      <c r="AH76" s="497">
        <v>46.4</v>
      </c>
      <c r="AJ76" s="42"/>
      <c r="AK76" s="74"/>
      <c r="AL76" s="77"/>
      <c r="AN76" s="497">
        <v>37.04</v>
      </c>
      <c r="AP76" s="42"/>
      <c r="AQ76" s="74"/>
      <c r="AR76" s="77"/>
      <c r="AT76" s="497">
        <v>24.08</v>
      </c>
      <c r="AV76" s="42"/>
      <c r="AW76" s="74"/>
      <c r="AX76" s="77"/>
      <c r="BA76" s="497">
        <v>19.04</v>
      </c>
      <c r="BB76" s="42"/>
      <c r="BC76" s="74"/>
      <c r="BD76" s="77"/>
      <c r="BF76">
        <v>21.92</v>
      </c>
      <c r="BH76" s="42"/>
      <c r="BI76" s="74"/>
      <c r="BJ76" s="77"/>
      <c r="BL76" s="497">
        <v>21.92</v>
      </c>
      <c r="BN76" s="42"/>
      <c r="BO76" s="74"/>
      <c r="BP76" s="77"/>
      <c r="BR76" s="497">
        <v>10.940000000000001</v>
      </c>
      <c r="BT76" s="42"/>
      <c r="BZ76" s="10">
        <f t="shared" si="33"/>
        <v>-16</v>
      </c>
      <c r="CA76">
        <v>-15</v>
      </c>
      <c r="CB76" s="11">
        <f t="shared" si="34"/>
        <v>-14</v>
      </c>
      <c r="CC76" s="10">
        <f t="shared" si="5"/>
        <v>0</v>
      </c>
      <c r="CD76" s="11">
        <f t="shared" si="6"/>
        <v>0</v>
      </c>
      <c r="CE76" s="10">
        <f t="shared" si="7"/>
        <v>0</v>
      </c>
      <c r="CF76" s="11">
        <f t="shared" si="8"/>
        <v>0</v>
      </c>
      <c r="CG76" s="10">
        <f t="shared" si="9"/>
        <v>0</v>
      </c>
      <c r="CH76" s="11">
        <f t="shared" si="10"/>
        <v>0</v>
      </c>
      <c r="CI76" s="10">
        <f t="shared" si="11"/>
        <v>0</v>
      </c>
      <c r="CJ76" s="11">
        <f t="shared" si="12"/>
        <v>0</v>
      </c>
      <c r="CK76" s="10">
        <f t="shared" si="13"/>
        <v>0</v>
      </c>
      <c r="CL76" s="11">
        <f t="shared" si="14"/>
        <v>0</v>
      </c>
      <c r="CM76" s="10">
        <f t="shared" si="15"/>
        <v>0</v>
      </c>
      <c r="CN76" s="11">
        <f t="shared" si="16"/>
        <v>0</v>
      </c>
      <c r="CO76" s="10">
        <f t="shared" si="17"/>
        <v>0</v>
      </c>
      <c r="CP76" s="11">
        <f t="shared" si="18"/>
        <v>0</v>
      </c>
      <c r="CQ76" s="10">
        <f t="shared" si="19"/>
        <v>0</v>
      </c>
      <c r="CR76" s="11">
        <f t="shared" si="20"/>
        <v>0</v>
      </c>
      <c r="CS76" s="10">
        <f t="shared" si="21"/>
        <v>0</v>
      </c>
      <c r="CT76" s="11">
        <f t="shared" si="22"/>
        <v>0</v>
      </c>
      <c r="CU76" s="10">
        <f t="shared" si="23"/>
        <v>0</v>
      </c>
      <c r="CV76" s="11">
        <f t="shared" si="24"/>
        <v>0</v>
      </c>
      <c r="CW76" s="10">
        <f t="shared" si="25"/>
        <v>0</v>
      </c>
      <c r="CX76" s="11">
        <f t="shared" si="26"/>
        <v>0</v>
      </c>
      <c r="CY76" s="10">
        <f t="shared" si="27"/>
        <v>0</v>
      </c>
      <c r="CZ76" s="11">
        <f t="shared" si="28"/>
        <v>0</v>
      </c>
      <c r="DK76" s="18">
        <f t="shared" si="29"/>
        <v>-15</v>
      </c>
      <c r="DL76" s="83">
        <f t="shared" si="36"/>
        <v>7.6578947368421052E-2</v>
      </c>
    </row>
    <row r="77" spans="1:116" x14ac:dyDescent="0.25">
      <c r="A77" s="90">
        <v>36163</v>
      </c>
      <c r="B77" s="20">
        <v>0.45833333333333331</v>
      </c>
      <c r="D77">
        <v>37.94</v>
      </c>
      <c r="E77" t="str">
        <f t="shared" si="31"/>
        <v>SUNDAY</v>
      </c>
      <c r="F77" t="e">
        <f t="shared" si="35"/>
        <v>#N/A</v>
      </c>
      <c r="G77" s="74">
        <v>27762</v>
      </c>
      <c r="H77" s="77">
        <v>0.45833333333333331</v>
      </c>
      <c r="J77">
        <v>42.08</v>
      </c>
      <c r="M77" s="74">
        <v>37624</v>
      </c>
      <c r="N77" s="77">
        <v>0.45833333333333331</v>
      </c>
      <c r="P77">
        <v>30.2</v>
      </c>
      <c r="S77" s="74">
        <v>36163</v>
      </c>
      <c r="T77" s="77">
        <v>0.45833333333333331</v>
      </c>
      <c r="V77">
        <v>53.6</v>
      </c>
      <c r="X77" s="42"/>
      <c r="AB77">
        <v>35.799999999999997</v>
      </c>
      <c r="AC77">
        <v>59</v>
      </c>
      <c r="AE77" s="74"/>
      <c r="AF77" s="77"/>
      <c r="AH77" s="497">
        <v>48.2</v>
      </c>
      <c r="AJ77" s="42"/>
      <c r="AK77" s="74"/>
      <c r="AL77" s="77"/>
      <c r="AN77" s="497">
        <v>37.94</v>
      </c>
      <c r="AP77" s="42"/>
      <c r="AQ77" s="74"/>
      <c r="AR77" s="77"/>
      <c r="AT77" s="497">
        <v>24.98</v>
      </c>
      <c r="AV77" s="42"/>
      <c r="AW77" s="74"/>
      <c r="AX77" s="77"/>
      <c r="BA77" s="497">
        <v>20.299999999999997</v>
      </c>
      <c r="BB77" s="42"/>
      <c r="BC77" s="74"/>
      <c r="BD77" s="77"/>
      <c r="BF77">
        <v>23</v>
      </c>
      <c r="BH77" s="42"/>
      <c r="BI77" s="74"/>
      <c r="BJ77" s="77"/>
      <c r="BL77" s="497">
        <v>21.92</v>
      </c>
      <c r="BN77" s="42"/>
      <c r="BO77" s="74"/>
      <c r="BP77" s="77"/>
      <c r="BR77" s="497">
        <v>10.940000000000001</v>
      </c>
      <c r="BT77" s="42"/>
      <c r="BZ77" s="10">
        <f t="shared" si="33"/>
        <v>-18</v>
      </c>
      <c r="CA77">
        <v>-17</v>
      </c>
      <c r="CB77" s="11">
        <f t="shared" si="34"/>
        <v>-16</v>
      </c>
      <c r="CC77" s="10">
        <f t="shared" si="5"/>
        <v>0</v>
      </c>
      <c r="CD77" s="11">
        <f t="shared" si="6"/>
        <v>0</v>
      </c>
      <c r="CE77" s="10">
        <f t="shared" si="7"/>
        <v>0</v>
      </c>
      <c r="CF77" s="11">
        <f t="shared" si="8"/>
        <v>0</v>
      </c>
      <c r="CG77" s="10">
        <f t="shared" si="9"/>
        <v>0</v>
      </c>
      <c r="CH77" s="11">
        <f t="shared" si="10"/>
        <v>0</v>
      </c>
      <c r="CI77" s="10">
        <f t="shared" si="11"/>
        <v>0</v>
      </c>
      <c r="CJ77" s="11">
        <f t="shared" si="12"/>
        <v>0</v>
      </c>
      <c r="CK77" s="10">
        <f t="shared" si="13"/>
        <v>0</v>
      </c>
      <c r="CL77" s="11">
        <f t="shared" si="14"/>
        <v>0</v>
      </c>
      <c r="CM77" s="10">
        <f t="shared" si="15"/>
        <v>0</v>
      </c>
      <c r="CN77" s="11">
        <f t="shared" si="16"/>
        <v>0</v>
      </c>
      <c r="CO77" s="10">
        <f t="shared" si="17"/>
        <v>0</v>
      </c>
      <c r="CP77" s="11">
        <f t="shared" si="18"/>
        <v>0</v>
      </c>
      <c r="CQ77" s="10">
        <f t="shared" si="19"/>
        <v>0</v>
      </c>
      <c r="CR77" s="11">
        <f t="shared" si="20"/>
        <v>0</v>
      </c>
      <c r="CS77" s="10">
        <f t="shared" si="21"/>
        <v>0</v>
      </c>
      <c r="CT77" s="11">
        <f t="shared" si="22"/>
        <v>0</v>
      </c>
      <c r="CU77" s="10">
        <f t="shared" si="23"/>
        <v>0</v>
      </c>
      <c r="CV77" s="11">
        <f t="shared" si="24"/>
        <v>0</v>
      </c>
      <c r="CW77" s="10">
        <f t="shared" si="25"/>
        <v>0</v>
      </c>
      <c r="CX77" s="11">
        <f t="shared" si="26"/>
        <v>0</v>
      </c>
      <c r="CY77" s="10">
        <f t="shared" si="27"/>
        <v>0</v>
      </c>
      <c r="CZ77" s="11">
        <f t="shared" si="28"/>
        <v>0</v>
      </c>
      <c r="DK77" s="18">
        <f t="shared" si="29"/>
        <v>-17</v>
      </c>
      <c r="DL77" s="83">
        <f t="shared" si="36"/>
        <v>7.6052631578947372E-2</v>
      </c>
    </row>
    <row r="78" spans="1:116" x14ac:dyDescent="0.25">
      <c r="A78" s="90">
        <v>36163</v>
      </c>
      <c r="B78" s="20">
        <v>0.5</v>
      </c>
      <c r="D78">
        <v>39.019999999999996</v>
      </c>
      <c r="E78" t="str">
        <f t="shared" si="31"/>
        <v>SUNDAY</v>
      </c>
      <c r="F78" t="e">
        <f t="shared" si="35"/>
        <v>#N/A</v>
      </c>
      <c r="G78" s="74">
        <v>27762</v>
      </c>
      <c r="H78" s="77">
        <v>0.5</v>
      </c>
      <c r="J78">
        <v>42.08</v>
      </c>
      <c r="M78" s="74">
        <v>37624</v>
      </c>
      <c r="N78" s="77">
        <v>0.5</v>
      </c>
      <c r="P78">
        <v>30.2</v>
      </c>
      <c r="S78" s="74">
        <v>36163</v>
      </c>
      <c r="T78" s="77">
        <v>0.5</v>
      </c>
      <c r="V78">
        <v>51.08</v>
      </c>
      <c r="X78" s="42"/>
      <c r="AB78">
        <v>36.9</v>
      </c>
      <c r="AC78">
        <v>60.08</v>
      </c>
      <c r="AE78" s="74"/>
      <c r="AF78" s="77"/>
      <c r="AH78" s="497">
        <v>48.2</v>
      </c>
      <c r="AJ78" s="42"/>
      <c r="AK78" s="74"/>
      <c r="AL78" s="77"/>
      <c r="AN78" s="497">
        <v>39.019999999999996</v>
      </c>
      <c r="AP78" s="42"/>
      <c r="AQ78" s="74"/>
      <c r="AR78" s="77"/>
      <c r="AT78" s="497">
        <v>24.98</v>
      </c>
      <c r="AV78" s="42"/>
      <c r="AW78" s="74"/>
      <c r="AX78" s="77"/>
      <c r="BA78" s="497">
        <v>21.740000000000002</v>
      </c>
      <c r="BB78" s="42"/>
      <c r="BC78" s="74"/>
      <c r="BD78" s="77"/>
      <c r="BF78">
        <v>23</v>
      </c>
      <c r="BH78" s="42"/>
      <c r="BI78" s="74"/>
      <c r="BJ78" s="77"/>
      <c r="BL78" s="497">
        <v>21.92</v>
      </c>
      <c r="BN78" s="42"/>
      <c r="BO78" s="74"/>
      <c r="BP78" s="77"/>
      <c r="BR78" s="497">
        <v>12.02</v>
      </c>
      <c r="BT78" s="42"/>
      <c r="BZ78" s="10">
        <f t="shared" si="33"/>
        <v>-20</v>
      </c>
      <c r="CA78">
        <v>-19</v>
      </c>
      <c r="CB78" s="11">
        <f t="shared" si="34"/>
        <v>-18</v>
      </c>
      <c r="CC78" s="10">
        <f t="shared" si="5"/>
        <v>0</v>
      </c>
      <c r="CD78" s="11">
        <f t="shared" si="6"/>
        <v>0</v>
      </c>
      <c r="CE78" s="10">
        <f t="shared" si="7"/>
        <v>0</v>
      </c>
      <c r="CF78" s="11">
        <f t="shared" si="8"/>
        <v>0</v>
      </c>
      <c r="CG78" s="10">
        <f t="shared" si="9"/>
        <v>0</v>
      </c>
      <c r="CH78" s="11">
        <f t="shared" si="10"/>
        <v>0</v>
      </c>
      <c r="CI78" s="10">
        <f t="shared" si="11"/>
        <v>0</v>
      </c>
      <c r="CJ78" s="11">
        <f t="shared" si="12"/>
        <v>0</v>
      </c>
      <c r="CK78" s="10">
        <f t="shared" si="13"/>
        <v>0</v>
      </c>
      <c r="CL78" s="11">
        <f t="shared" si="14"/>
        <v>0</v>
      </c>
      <c r="CM78" s="10">
        <f t="shared" si="15"/>
        <v>0</v>
      </c>
      <c r="CN78" s="11">
        <f t="shared" si="16"/>
        <v>0</v>
      </c>
      <c r="CO78" s="10">
        <f t="shared" si="17"/>
        <v>0</v>
      </c>
      <c r="CP78" s="11">
        <f t="shared" si="18"/>
        <v>0</v>
      </c>
      <c r="CQ78" s="10">
        <f t="shared" si="19"/>
        <v>0</v>
      </c>
      <c r="CR78" s="11">
        <f t="shared" si="20"/>
        <v>0</v>
      </c>
      <c r="CS78" s="10">
        <f t="shared" si="21"/>
        <v>0</v>
      </c>
      <c r="CT78" s="11">
        <f t="shared" si="22"/>
        <v>0</v>
      </c>
      <c r="CU78" s="10">
        <f t="shared" si="23"/>
        <v>0</v>
      </c>
      <c r="CV78" s="11">
        <f t="shared" si="24"/>
        <v>0</v>
      </c>
      <c r="CW78" s="10">
        <f t="shared" si="25"/>
        <v>0</v>
      </c>
      <c r="CX78" s="11">
        <f t="shared" si="26"/>
        <v>0</v>
      </c>
      <c r="CY78" s="10">
        <f t="shared" si="27"/>
        <v>0</v>
      </c>
      <c r="CZ78" s="11">
        <f t="shared" si="28"/>
        <v>0</v>
      </c>
      <c r="DK78" s="18">
        <f t="shared" si="29"/>
        <v>-19</v>
      </c>
      <c r="DL78" s="83">
        <f t="shared" si="36"/>
        <v>7.5526315789473678E-2</v>
      </c>
    </row>
    <row r="79" spans="1:116" x14ac:dyDescent="0.25">
      <c r="A79" s="90">
        <v>36163</v>
      </c>
      <c r="B79" s="20">
        <v>0.54166666666666663</v>
      </c>
      <c r="D79">
        <v>39.92</v>
      </c>
      <c r="E79" t="str">
        <f t="shared" si="31"/>
        <v>SUNDAY</v>
      </c>
      <c r="F79" t="e">
        <f t="shared" si="35"/>
        <v>#N/A</v>
      </c>
      <c r="G79" s="74">
        <v>27762</v>
      </c>
      <c r="H79" s="77">
        <v>0.54166666666666663</v>
      </c>
      <c r="J79">
        <v>41</v>
      </c>
      <c r="M79" s="74">
        <v>37624</v>
      </c>
      <c r="N79" s="77">
        <v>0.54166666666666663</v>
      </c>
      <c r="P79">
        <v>30.2</v>
      </c>
      <c r="S79" s="74">
        <v>36163</v>
      </c>
      <c r="T79" s="77">
        <v>0.54166666666666663</v>
      </c>
      <c r="V79">
        <v>50</v>
      </c>
      <c r="X79" s="42"/>
      <c r="AB79">
        <v>37.9</v>
      </c>
      <c r="AC79">
        <v>62.96</v>
      </c>
      <c r="AE79" s="74"/>
      <c r="AF79" s="77"/>
      <c r="AH79" s="497">
        <v>50</v>
      </c>
      <c r="AJ79" s="42"/>
      <c r="AK79" s="74"/>
      <c r="AL79" s="77"/>
      <c r="AN79" s="497">
        <v>37.94</v>
      </c>
      <c r="AP79" s="42"/>
      <c r="AQ79" s="74"/>
      <c r="AR79" s="77"/>
      <c r="AT79" s="497">
        <v>26.96</v>
      </c>
      <c r="AV79" s="42"/>
      <c r="AW79" s="74"/>
      <c r="AX79" s="77"/>
      <c r="BA79" s="497">
        <v>23</v>
      </c>
      <c r="BB79" s="42"/>
      <c r="BC79" s="74"/>
      <c r="BD79" s="77"/>
      <c r="BF79">
        <v>23</v>
      </c>
      <c r="BH79" s="42"/>
      <c r="BI79" s="74"/>
      <c r="BJ79" s="77"/>
      <c r="BL79" s="497">
        <v>21.92</v>
      </c>
      <c r="BN79" s="42"/>
      <c r="BO79" s="74"/>
      <c r="BP79" s="77"/>
      <c r="BR79" s="497">
        <v>12.02</v>
      </c>
      <c r="BT79" s="42"/>
      <c r="BZ79" s="10">
        <f t="shared" si="33"/>
        <v>-22</v>
      </c>
      <c r="CA79">
        <v>-21</v>
      </c>
      <c r="CB79" s="11">
        <f t="shared" si="34"/>
        <v>-20</v>
      </c>
      <c r="CC79" s="10">
        <f t="shared" si="5"/>
        <v>0</v>
      </c>
      <c r="CD79" s="11">
        <f t="shared" si="6"/>
        <v>0</v>
      </c>
      <c r="CE79" s="10">
        <f t="shared" si="7"/>
        <v>0</v>
      </c>
      <c r="CF79" s="11">
        <f t="shared" si="8"/>
        <v>0</v>
      </c>
      <c r="CG79" s="10">
        <f t="shared" si="9"/>
        <v>0</v>
      </c>
      <c r="CH79" s="11">
        <f t="shared" si="10"/>
        <v>0</v>
      </c>
      <c r="CI79" s="10">
        <f t="shared" si="11"/>
        <v>0</v>
      </c>
      <c r="CJ79" s="11">
        <f t="shared" si="12"/>
        <v>0</v>
      </c>
      <c r="CK79" s="10">
        <f t="shared" si="13"/>
        <v>0</v>
      </c>
      <c r="CL79" s="11">
        <f t="shared" si="14"/>
        <v>0</v>
      </c>
      <c r="CM79" s="10">
        <f t="shared" si="15"/>
        <v>0</v>
      </c>
      <c r="CN79" s="11">
        <f t="shared" si="16"/>
        <v>0</v>
      </c>
      <c r="CO79" s="10">
        <f t="shared" si="17"/>
        <v>0</v>
      </c>
      <c r="CP79" s="11">
        <f t="shared" si="18"/>
        <v>0</v>
      </c>
      <c r="CQ79" s="10">
        <f t="shared" si="19"/>
        <v>0</v>
      </c>
      <c r="CR79" s="11">
        <f t="shared" si="20"/>
        <v>0</v>
      </c>
      <c r="CS79" s="10">
        <f t="shared" si="21"/>
        <v>0</v>
      </c>
      <c r="CT79" s="11">
        <f t="shared" si="22"/>
        <v>0</v>
      </c>
      <c r="CU79" s="10">
        <f t="shared" si="23"/>
        <v>0</v>
      </c>
      <c r="CV79" s="11">
        <f t="shared" si="24"/>
        <v>0</v>
      </c>
      <c r="CW79" s="10">
        <f t="shared" si="25"/>
        <v>0</v>
      </c>
      <c r="CX79" s="11">
        <f t="shared" si="26"/>
        <v>0</v>
      </c>
      <c r="CY79" s="10">
        <f t="shared" si="27"/>
        <v>0</v>
      </c>
      <c r="CZ79" s="11">
        <f t="shared" si="28"/>
        <v>0</v>
      </c>
      <c r="DK79" s="18">
        <f t="shared" si="29"/>
        <v>-21</v>
      </c>
      <c r="DL79" s="82">
        <v>7.4999999999999997E-2</v>
      </c>
    </row>
    <row r="80" spans="1:116" ht="15.75" thickBot="1" x14ac:dyDescent="0.3">
      <c r="A80" s="90">
        <v>36163</v>
      </c>
      <c r="B80" s="20">
        <v>0.58333333333333337</v>
      </c>
      <c r="D80">
        <v>39.019999999999996</v>
      </c>
      <c r="E80" t="str">
        <f t="shared" si="31"/>
        <v>SUNDAY</v>
      </c>
      <c r="F80" t="e">
        <f t="shared" si="35"/>
        <v>#N/A</v>
      </c>
      <c r="G80" s="74">
        <v>27762</v>
      </c>
      <c r="H80" s="77">
        <v>0.58333333333333337</v>
      </c>
      <c r="J80">
        <v>41</v>
      </c>
      <c r="M80" s="74">
        <v>37624</v>
      </c>
      <c r="N80" s="77">
        <v>0.58333333333333337</v>
      </c>
      <c r="P80">
        <v>30.2</v>
      </c>
      <c r="S80" s="74">
        <v>36163</v>
      </c>
      <c r="T80" s="77">
        <v>0.58333333333333337</v>
      </c>
      <c r="V80">
        <v>50</v>
      </c>
      <c r="X80" s="42"/>
      <c r="AB80">
        <v>38.700000000000003</v>
      </c>
      <c r="AC80">
        <v>57.019999999999996</v>
      </c>
      <c r="AE80" s="74"/>
      <c r="AF80" s="77"/>
      <c r="AH80" s="497">
        <v>51.8</v>
      </c>
      <c r="AJ80" s="42"/>
      <c r="AK80" s="74"/>
      <c r="AL80" s="77"/>
      <c r="AN80" s="497">
        <v>37.94</v>
      </c>
      <c r="AP80" s="42"/>
      <c r="AQ80" s="74"/>
      <c r="AR80" s="77"/>
      <c r="AT80" s="497">
        <v>28.04</v>
      </c>
      <c r="AV80" s="42"/>
      <c r="AW80" s="74"/>
      <c r="AX80" s="77"/>
      <c r="BA80" s="497">
        <v>22.28</v>
      </c>
      <c r="BB80" s="42"/>
      <c r="BC80" s="74"/>
      <c r="BD80" s="77"/>
      <c r="BF80">
        <v>21.92</v>
      </c>
      <c r="BH80" s="42"/>
      <c r="BI80" s="74"/>
      <c r="BJ80" s="77"/>
      <c r="BL80" s="497">
        <v>21.2</v>
      </c>
      <c r="BN80" s="42"/>
      <c r="BO80" s="74"/>
      <c r="BP80" s="77"/>
      <c r="BR80" s="497">
        <v>12.920000000000002</v>
      </c>
      <c r="BT80" s="42"/>
      <c r="BZ80" s="10">
        <f t="shared" si="33"/>
        <v>-24</v>
      </c>
      <c r="CA80">
        <v>-23</v>
      </c>
      <c r="CB80" s="11">
        <f t="shared" si="34"/>
        <v>-22</v>
      </c>
      <c r="CC80" s="10">
        <f t="shared" si="5"/>
        <v>0</v>
      </c>
      <c r="CD80" s="11">
        <f t="shared" si="6"/>
        <v>0</v>
      </c>
      <c r="CE80" s="10">
        <f t="shared" si="7"/>
        <v>0</v>
      </c>
      <c r="CF80" s="11">
        <f t="shared" si="8"/>
        <v>0</v>
      </c>
      <c r="CG80" s="10">
        <f t="shared" si="9"/>
        <v>0</v>
      </c>
      <c r="CH80" s="11">
        <f t="shared" si="10"/>
        <v>0</v>
      </c>
      <c r="CI80" s="10">
        <f t="shared" si="11"/>
        <v>0</v>
      </c>
      <c r="CJ80" s="11">
        <f t="shared" si="12"/>
        <v>0</v>
      </c>
      <c r="CK80" s="10">
        <f t="shared" si="13"/>
        <v>0</v>
      </c>
      <c r="CL80" s="11">
        <f t="shared" si="14"/>
        <v>0</v>
      </c>
      <c r="CM80" s="10">
        <f t="shared" si="15"/>
        <v>0</v>
      </c>
      <c r="CN80" s="11">
        <f t="shared" si="16"/>
        <v>0</v>
      </c>
      <c r="CO80" s="10">
        <f t="shared" si="17"/>
        <v>0</v>
      </c>
      <c r="CP80" s="11">
        <f t="shared" si="18"/>
        <v>0</v>
      </c>
      <c r="CQ80" s="10">
        <f t="shared" si="19"/>
        <v>0</v>
      </c>
      <c r="CR80" s="11">
        <f t="shared" si="20"/>
        <v>0</v>
      </c>
      <c r="CS80" s="10">
        <f t="shared" si="21"/>
        <v>0</v>
      </c>
      <c r="CT80" s="11">
        <f t="shared" si="22"/>
        <v>0</v>
      </c>
      <c r="CU80" s="10">
        <f t="shared" si="23"/>
        <v>0</v>
      </c>
      <c r="CV80" s="11">
        <f t="shared" si="24"/>
        <v>0</v>
      </c>
      <c r="CW80" s="10">
        <f t="shared" si="25"/>
        <v>0</v>
      </c>
      <c r="CX80" s="11">
        <f t="shared" si="26"/>
        <v>0</v>
      </c>
      <c r="CY80" s="10">
        <f t="shared" si="27"/>
        <v>0</v>
      </c>
      <c r="CZ80" s="11">
        <f t="shared" si="28"/>
        <v>0</v>
      </c>
      <c r="DK80" s="18">
        <f t="shared" si="29"/>
        <v>-23</v>
      </c>
      <c r="DL80" s="83">
        <f>$DL$79+($DL$60-$DL$79)*(CA80-$CA$79)/($CA$60-$CA$79)</f>
        <v>7.4473684210526317E-2</v>
      </c>
    </row>
    <row r="81" spans="1:104" x14ac:dyDescent="0.25">
      <c r="A81" s="90">
        <v>36163</v>
      </c>
      <c r="B81" s="20">
        <v>0.625</v>
      </c>
      <c r="D81">
        <v>39.92</v>
      </c>
      <c r="E81" t="str">
        <f t="shared" si="31"/>
        <v>SUNDAY</v>
      </c>
      <c r="F81" t="e">
        <f t="shared" si="35"/>
        <v>#N/A</v>
      </c>
      <c r="G81" s="74">
        <v>27762</v>
      </c>
      <c r="H81" s="77">
        <v>0.625</v>
      </c>
      <c r="J81">
        <v>41</v>
      </c>
      <c r="M81" s="74">
        <v>37624</v>
      </c>
      <c r="N81" s="77">
        <v>0.625</v>
      </c>
      <c r="P81">
        <v>30.2</v>
      </c>
      <c r="S81" s="74">
        <v>36163</v>
      </c>
      <c r="T81" s="77">
        <v>0.625</v>
      </c>
      <c r="V81">
        <v>50</v>
      </c>
      <c r="X81" s="42"/>
      <c r="AB81">
        <v>39.1</v>
      </c>
      <c r="AC81">
        <v>53.96</v>
      </c>
      <c r="AE81" s="74"/>
      <c r="AF81" s="77"/>
      <c r="AH81" s="497">
        <v>50</v>
      </c>
      <c r="AJ81" s="42"/>
      <c r="AK81" s="74"/>
      <c r="AL81" s="77"/>
      <c r="AN81" s="497">
        <v>37.04</v>
      </c>
      <c r="AP81" s="42"/>
      <c r="AQ81" s="74"/>
      <c r="AR81" s="77"/>
      <c r="AT81" s="497">
        <v>28.94</v>
      </c>
      <c r="AV81" s="42"/>
      <c r="AW81" s="74"/>
      <c r="AX81" s="77"/>
      <c r="BA81" s="497">
        <v>21.740000000000002</v>
      </c>
      <c r="BB81" s="42"/>
      <c r="BC81" s="74"/>
      <c r="BD81" s="77"/>
      <c r="BF81">
        <v>21.02</v>
      </c>
      <c r="BH81" s="42"/>
      <c r="BI81" s="74"/>
      <c r="BJ81" s="77"/>
      <c r="BL81" s="497">
        <v>20.66</v>
      </c>
      <c r="BN81" s="42"/>
      <c r="BO81" s="74"/>
      <c r="BP81" s="77"/>
      <c r="BR81" s="497">
        <v>12.920000000000002</v>
      </c>
      <c r="BT81" s="42"/>
      <c r="CC81" s="71">
        <f t="shared" ref="CC81:CZ81" si="37">SUM(CC18:CC80)</f>
        <v>0</v>
      </c>
      <c r="CD81" s="17">
        <f t="shared" si="37"/>
        <v>0</v>
      </c>
      <c r="CE81" s="71">
        <f t="shared" si="37"/>
        <v>0</v>
      </c>
      <c r="CF81" s="17">
        <f t="shared" si="37"/>
        <v>0</v>
      </c>
      <c r="CG81" s="71">
        <f t="shared" si="37"/>
        <v>0</v>
      </c>
      <c r="CH81" s="17">
        <f t="shared" si="37"/>
        <v>0</v>
      </c>
      <c r="CI81" s="71">
        <f t="shared" si="37"/>
        <v>0</v>
      </c>
      <c r="CJ81" s="17">
        <f t="shared" si="37"/>
        <v>0</v>
      </c>
      <c r="CK81" s="71">
        <f t="shared" si="37"/>
        <v>0</v>
      </c>
      <c r="CL81" s="17">
        <f t="shared" si="37"/>
        <v>0</v>
      </c>
      <c r="CM81" s="71">
        <f t="shared" si="37"/>
        <v>0</v>
      </c>
      <c r="CN81" s="17">
        <f t="shared" si="37"/>
        <v>0</v>
      </c>
      <c r="CO81" s="71">
        <f t="shared" si="37"/>
        <v>0</v>
      </c>
      <c r="CP81" s="17">
        <f t="shared" si="37"/>
        <v>0</v>
      </c>
      <c r="CQ81" s="71">
        <f t="shared" si="37"/>
        <v>0</v>
      </c>
      <c r="CR81" s="17">
        <f t="shared" si="37"/>
        <v>0</v>
      </c>
      <c r="CS81" s="71">
        <f t="shared" si="37"/>
        <v>0</v>
      </c>
      <c r="CT81" s="17">
        <f t="shared" si="37"/>
        <v>0</v>
      </c>
      <c r="CU81" s="71">
        <f t="shared" si="37"/>
        <v>0</v>
      </c>
      <c r="CV81" s="17">
        <f t="shared" si="37"/>
        <v>0</v>
      </c>
      <c r="CW81" s="71">
        <f t="shared" si="37"/>
        <v>0</v>
      </c>
      <c r="CX81" s="17">
        <f t="shared" si="37"/>
        <v>0</v>
      </c>
      <c r="CY81" s="71">
        <f t="shared" si="37"/>
        <v>0</v>
      </c>
      <c r="CZ81" s="17">
        <f t="shared" si="37"/>
        <v>0</v>
      </c>
    </row>
    <row r="82" spans="1:104" ht="15.75" thickBot="1" x14ac:dyDescent="0.3">
      <c r="A82" s="90">
        <v>36163</v>
      </c>
      <c r="B82" s="20">
        <v>0.66666666666666663</v>
      </c>
      <c r="D82">
        <v>39.92</v>
      </c>
      <c r="E82" t="str">
        <f t="shared" si="31"/>
        <v>SUNDAY</v>
      </c>
      <c r="F82" t="e">
        <f t="shared" si="35"/>
        <v>#N/A</v>
      </c>
      <c r="G82" s="74">
        <v>27762</v>
      </c>
      <c r="H82" s="77">
        <v>0.66666666666666663</v>
      </c>
      <c r="J82">
        <v>39.92</v>
      </c>
      <c r="M82" s="74">
        <v>37624</v>
      </c>
      <c r="N82" s="77">
        <v>0.66666666666666663</v>
      </c>
      <c r="P82">
        <v>30.2</v>
      </c>
      <c r="S82" s="74">
        <v>36163</v>
      </c>
      <c r="T82" s="77">
        <v>0.66666666666666663</v>
      </c>
      <c r="V82">
        <v>50</v>
      </c>
      <c r="X82" s="42"/>
      <c r="AB82">
        <v>39</v>
      </c>
      <c r="AC82">
        <v>51.980000000000004</v>
      </c>
      <c r="AE82" s="74"/>
      <c r="AF82" s="77"/>
      <c r="AH82" s="497">
        <v>48.2</v>
      </c>
      <c r="AJ82" s="42"/>
      <c r="AK82" s="74"/>
      <c r="AL82" s="77"/>
      <c r="AN82" s="497">
        <v>35.06</v>
      </c>
      <c r="AP82" s="42"/>
      <c r="AQ82" s="74"/>
      <c r="AR82" s="77"/>
      <c r="AT82" s="497">
        <v>24.98</v>
      </c>
      <c r="AV82" s="42"/>
      <c r="AW82" s="74"/>
      <c r="AX82" s="77"/>
      <c r="BA82" s="497">
        <v>21.02</v>
      </c>
      <c r="BB82" s="42"/>
      <c r="BC82" s="74"/>
      <c r="BD82" s="77"/>
      <c r="BF82">
        <v>21.02</v>
      </c>
      <c r="BH82" s="42"/>
      <c r="BI82" s="74"/>
      <c r="BJ82" s="77"/>
      <c r="BL82" s="497">
        <v>19.939999999999998</v>
      </c>
      <c r="BN82" s="42"/>
      <c r="BO82" s="74"/>
      <c r="BP82" s="77"/>
      <c r="BR82" s="497">
        <v>12.920000000000002</v>
      </c>
      <c r="BT82" s="42"/>
      <c r="CB82" s="14" t="s">
        <v>641</v>
      </c>
      <c r="CC82" s="21">
        <f>SUM(CC81:CD81)</f>
        <v>0</v>
      </c>
      <c r="CD82" s="22"/>
      <c r="CE82" s="21">
        <f>SUM(CE81:CF81)</f>
        <v>0</v>
      </c>
      <c r="CF82" s="22"/>
      <c r="CG82" s="21">
        <f>SUM(CG81:CH81)</f>
        <v>0</v>
      </c>
      <c r="CH82" s="22"/>
      <c r="CI82" s="21">
        <f>SUM(CI81:CJ81)</f>
        <v>0</v>
      </c>
      <c r="CJ82" s="22"/>
      <c r="CK82" s="21">
        <f>SUM(CK81:CL81)</f>
        <v>0</v>
      </c>
      <c r="CL82" s="22"/>
      <c r="CM82" s="21">
        <f>SUM(CM81:CN81)</f>
        <v>0</v>
      </c>
      <c r="CN82" s="22"/>
      <c r="CO82" s="21">
        <f>SUM(CO81:CP81)</f>
        <v>0</v>
      </c>
      <c r="CP82" s="22"/>
      <c r="CQ82" s="21">
        <f>SUM(CQ81:CR81)</f>
        <v>0</v>
      </c>
      <c r="CR82" s="22"/>
      <c r="CS82" s="21">
        <f>SUM(CS81:CT81)</f>
        <v>0</v>
      </c>
      <c r="CT82" s="22"/>
      <c r="CU82" s="21">
        <f>SUM(CU81:CV81)</f>
        <v>0</v>
      </c>
      <c r="CV82" s="22"/>
      <c r="CW82" s="21">
        <f>SUM(CW81:CX81)</f>
        <v>0</v>
      </c>
      <c r="CX82" s="22"/>
      <c r="CY82" s="21">
        <f>SUM(CY81:CZ81)</f>
        <v>0</v>
      </c>
      <c r="CZ82" s="22"/>
    </row>
    <row r="83" spans="1:104" x14ac:dyDescent="0.25">
      <c r="A83" s="90">
        <v>36163</v>
      </c>
      <c r="B83" s="20">
        <v>0.70833333333333337</v>
      </c>
      <c r="D83">
        <v>39.019999999999996</v>
      </c>
      <c r="E83" t="str">
        <f t="shared" ref="E83:E146" si="38">IF(COUNTIF($DI$18:$DI$22, WEEKDAY(A83))=1, "WEEKDAY", IF(WEEKDAY(A83) = 1, "SUNDAY", "SATURDAY"))</f>
        <v>SUNDAY</v>
      </c>
      <c r="F83" t="e">
        <f t="shared" si="35"/>
        <v>#N/A</v>
      </c>
      <c r="G83" s="74">
        <v>27762</v>
      </c>
      <c r="H83" s="77">
        <v>0.70833333333333337</v>
      </c>
      <c r="J83">
        <v>39.92</v>
      </c>
      <c r="M83" s="74">
        <v>37624</v>
      </c>
      <c r="N83" s="77">
        <v>0.70833333333333337</v>
      </c>
      <c r="P83">
        <v>30.2</v>
      </c>
      <c r="S83" s="74">
        <v>36163</v>
      </c>
      <c r="T83" s="77">
        <v>0.70833333333333337</v>
      </c>
      <c r="V83">
        <v>42.08</v>
      </c>
      <c r="X83" s="42"/>
      <c r="AB83">
        <v>38.299999999999997</v>
      </c>
      <c r="AC83">
        <v>50</v>
      </c>
      <c r="AE83" s="74"/>
      <c r="AF83" s="77"/>
      <c r="AH83" s="497">
        <v>46.4</v>
      </c>
      <c r="AJ83" s="42"/>
      <c r="AK83" s="74"/>
      <c r="AL83" s="77"/>
      <c r="AN83" s="497">
        <v>35.06</v>
      </c>
      <c r="AP83" s="42"/>
      <c r="AQ83" s="74"/>
      <c r="AR83" s="77"/>
      <c r="AT83" s="497">
        <v>24.08</v>
      </c>
      <c r="AV83" s="42"/>
      <c r="AW83" s="74"/>
      <c r="AX83" s="77"/>
      <c r="BA83" s="497">
        <v>19.759999999999998</v>
      </c>
      <c r="BB83" s="42"/>
      <c r="BC83" s="74"/>
      <c r="BD83" s="77"/>
      <c r="BF83">
        <v>19.939999999999998</v>
      </c>
      <c r="BH83" s="42"/>
      <c r="BI83" s="74"/>
      <c r="BJ83" s="77"/>
      <c r="BL83" s="497">
        <v>18.68</v>
      </c>
      <c r="BN83" s="42"/>
      <c r="BO83" s="74"/>
      <c r="BP83" s="77"/>
      <c r="BR83" s="497">
        <v>12.920000000000002</v>
      </c>
      <c r="BT83" s="42"/>
    </row>
    <row r="84" spans="1:104" x14ac:dyDescent="0.25">
      <c r="A84" s="90">
        <v>36163</v>
      </c>
      <c r="B84" s="20">
        <v>0.75</v>
      </c>
      <c r="D84">
        <v>37.94</v>
      </c>
      <c r="E84" t="str">
        <f t="shared" si="38"/>
        <v>SUNDAY</v>
      </c>
      <c r="F84" t="e">
        <f t="shared" si="35"/>
        <v>#N/A</v>
      </c>
      <c r="G84" s="74">
        <v>27762</v>
      </c>
      <c r="H84" s="77">
        <v>0.75</v>
      </c>
      <c r="J84">
        <v>39.92</v>
      </c>
      <c r="M84" s="74">
        <v>37624</v>
      </c>
      <c r="N84" s="77">
        <v>0.75</v>
      </c>
      <c r="P84">
        <v>30.2</v>
      </c>
      <c r="S84" s="74">
        <v>36163</v>
      </c>
      <c r="T84" s="77">
        <v>0.75</v>
      </c>
      <c r="V84">
        <v>42.980000000000004</v>
      </c>
      <c r="X84" s="42"/>
      <c r="AB84">
        <v>37.200000000000003</v>
      </c>
      <c r="AC84">
        <v>48.019999999999996</v>
      </c>
      <c r="AE84" s="74"/>
      <c r="AF84" s="77"/>
      <c r="AH84" s="497">
        <v>46.4</v>
      </c>
      <c r="AJ84" s="42"/>
      <c r="AK84" s="74"/>
      <c r="AL84" s="77"/>
      <c r="AN84" s="497">
        <v>33.08</v>
      </c>
      <c r="AP84" s="42"/>
      <c r="AQ84" s="74"/>
      <c r="AR84" s="77"/>
      <c r="AT84" s="497">
        <v>23</v>
      </c>
      <c r="AV84" s="42"/>
      <c r="AW84" s="74"/>
      <c r="AX84" s="77"/>
      <c r="BA84" s="497">
        <v>18.32</v>
      </c>
      <c r="BB84" s="42"/>
      <c r="BC84" s="74"/>
      <c r="BD84" s="77"/>
      <c r="BF84">
        <v>19.04</v>
      </c>
      <c r="BH84" s="42"/>
      <c r="BI84" s="74"/>
      <c r="BJ84" s="77"/>
      <c r="BL84" s="497">
        <v>17.240000000000002</v>
      </c>
      <c r="BN84" s="42"/>
      <c r="BO84" s="74"/>
      <c r="BP84" s="77"/>
      <c r="BR84" s="497">
        <v>12.920000000000002</v>
      </c>
      <c r="BT84" s="42"/>
    </row>
    <row r="85" spans="1:104" x14ac:dyDescent="0.25">
      <c r="A85" s="90">
        <v>36163</v>
      </c>
      <c r="B85" s="20">
        <v>0.79166666666666663</v>
      </c>
      <c r="D85">
        <v>37.94</v>
      </c>
      <c r="E85" t="str">
        <f t="shared" si="38"/>
        <v>SUNDAY</v>
      </c>
      <c r="F85" t="e">
        <f t="shared" si="35"/>
        <v>#N/A</v>
      </c>
      <c r="G85" s="74">
        <v>27762</v>
      </c>
      <c r="H85" s="77">
        <v>0.79166666666666663</v>
      </c>
      <c r="J85">
        <v>39.92</v>
      </c>
      <c r="M85" s="74">
        <v>37624</v>
      </c>
      <c r="N85" s="77">
        <v>0.79166666666666663</v>
      </c>
      <c r="P85">
        <v>30.2</v>
      </c>
      <c r="S85" s="74">
        <v>36163</v>
      </c>
      <c r="T85" s="77">
        <v>0.79166666666666663</v>
      </c>
      <c r="V85">
        <v>46.04</v>
      </c>
      <c r="X85" s="42"/>
      <c r="AB85">
        <v>36.6</v>
      </c>
      <c r="AC85">
        <v>48.019999999999996</v>
      </c>
      <c r="AE85" s="74"/>
      <c r="AF85" s="77"/>
      <c r="AH85" s="497">
        <v>46.4</v>
      </c>
      <c r="AJ85" s="42"/>
      <c r="AK85" s="74"/>
      <c r="AL85" s="77"/>
      <c r="AN85" s="497">
        <v>33.08</v>
      </c>
      <c r="AP85" s="42"/>
      <c r="AQ85" s="74"/>
      <c r="AR85" s="77"/>
      <c r="AT85" s="497">
        <v>23</v>
      </c>
      <c r="AV85" s="42"/>
      <c r="AW85" s="74"/>
      <c r="AX85" s="77"/>
      <c r="BA85" s="497">
        <v>17.059999999999999</v>
      </c>
      <c r="BB85" s="42"/>
      <c r="BC85" s="74"/>
      <c r="BD85" s="77"/>
      <c r="BF85">
        <v>19.04</v>
      </c>
      <c r="BH85" s="42"/>
      <c r="BI85" s="74"/>
      <c r="BJ85" s="77"/>
      <c r="BL85" s="497">
        <v>15.98</v>
      </c>
      <c r="BN85" s="42"/>
      <c r="BO85" s="74"/>
      <c r="BP85" s="77"/>
      <c r="BR85" s="497">
        <v>12.920000000000002</v>
      </c>
      <c r="BT85" s="42"/>
    </row>
    <row r="86" spans="1:104" x14ac:dyDescent="0.25">
      <c r="A86" s="90">
        <v>36163</v>
      </c>
      <c r="B86" s="20">
        <v>0.83333333333333337</v>
      </c>
      <c r="D86">
        <v>37.04</v>
      </c>
      <c r="E86" t="str">
        <f t="shared" si="38"/>
        <v>SUNDAY</v>
      </c>
      <c r="F86" t="e">
        <f t="shared" si="35"/>
        <v>#N/A</v>
      </c>
      <c r="G86" s="74">
        <v>27762</v>
      </c>
      <c r="H86" s="77">
        <v>0.83333333333333337</v>
      </c>
      <c r="J86">
        <v>39.019999999999996</v>
      </c>
      <c r="M86" s="74">
        <v>37624</v>
      </c>
      <c r="N86" s="77">
        <v>0.83333333333333337</v>
      </c>
      <c r="P86">
        <v>30.2</v>
      </c>
      <c r="S86" s="74">
        <v>36163</v>
      </c>
      <c r="T86" s="77">
        <v>0.83333333333333337</v>
      </c>
      <c r="V86">
        <v>44.96</v>
      </c>
      <c r="X86" s="42"/>
      <c r="AB86">
        <v>36.299999999999997</v>
      </c>
      <c r="AC86">
        <v>48.019999999999996</v>
      </c>
      <c r="AE86" s="74"/>
      <c r="AF86" s="77"/>
      <c r="AH86" s="497">
        <v>46.4</v>
      </c>
      <c r="AJ86" s="42"/>
      <c r="AK86" s="74"/>
      <c r="AL86" s="77"/>
      <c r="AN86" s="497">
        <v>26.96</v>
      </c>
      <c r="AP86" s="42"/>
      <c r="AQ86" s="74"/>
      <c r="AR86" s="77"/>
      <c r="AT86" s="497">
        <v>19.939999999999998</v>
      </c>
      <c r="AV86" s="42"/>
      <c r="AW86" s="74"/>
      <c r="AX86" s="77"/>
      <c r="BA86" s="497">
        <v>16.340000000000003</v>
      </c>
      <c r="BB86" s="42"/>
      <c r="BC86" s="74"/>
      <c r="BD86" s="77"/>
      <c r="BF86">
        <v>17.96</v>
      </c>
      <c r="BH86" s="42"/>
      <c r="BI86" s="74"/>
      <c r="BJ86" s="77"/>
      <c r="BL86" s="497">
        <v>15.620000000000001</v>
      </c>
      <c r="BN86" s="42"/>
      <c r="BO86" s="74"/>
      <c r="BP86" s="77"/>
      <c r="BR86" s="497">
        <v>12.920000000000002</v>
      </c>
      <c r="BT86" s="42"/>
    </row>
    <row r="87" spans="1:104" x14ac:dyDescent="0.25">
      <c r="A87" s="90">
        <v>36163</v>
      </c>
      <c r="B87" s="20">
        <v>0.875</v>
      </c>
      <c r="D87">
        <v>35.06</v>
      </c>
      <c r="E87" t="str">
        <f t="shared" si="38"/>
        <v>SUNDAY</v>
      </c>
      <c r="F87" t="e">
        <f t="shared" si="35"/>
        <v>#N/A</v>
      </c>
      <c r="G87" s="74">
        <v>27762</v>
      </c>
      <c r="H87" s="77">
        <v>0.875</v>
      </c>
      <c r="J87">
        <v>39.019999999999996</v>
      </c>
      <c r="M87" s="74">
        <v>37624</v>
      </c>
      <c r="N87" s="77">
        <v>0.875</v>
      </c>
      <c r="P87">
        <v>30.2</v>
      </c>
      <c r="S87" s="74">
        <v>36163</v>
      </c>
      <c r="T87" s="77">
        <v>0.875</v>
      </c>
      <c r="V87">
        <v>42.08</v>
      </c>
      <c r="X87" s="42"/>
      <c r="AB87">
        <v>35.799999999999997</v>
      </c>
      <c r="AC87">
        <v>48.92</v>
      </c>
      <c r="AE87" s="74"/>
      <c r="AF87" s="77"/>
      <c r="AH87" s="497">
        <v>44.6</v>
      </c>
      <c r="AJ87" s="42"/>
      <c r="AK87" s="74"/>
      <c r="AL87" s="77"/>
      <c r="AN87" s="497">
        <v>23</v>
      </c>
      <c r="AP87" s="42"/>
      <c r="AQ87" s="74"/>
      <c r="AR87" s="77"/>
      <c r="AT87" s="497">
        <v>19.939999999999998</v>
      </c>
      <c r="AV87" s="42"/>
      <c r="AW87" s="74"/>
      <c r="AX87" s="77"/>
      <c r="BA87" s="497">
        <v>15.8</v>
      </c>
      <c r="BB87" s="42"/>
      <c r="BC87" s="74"/>
      <c r="BD87" s="77"/>
      <c r="BF87">
        <v>17.96</v>
      </c>
      <c r="BH87" s="42"/>
      <c r="BI87" s="74"/>
      <c r="BJ87" s="77"/>
      <c r="BL87" s="497">
        <v>15.440000000000001</v>
      </c>
      <c r="BN87" s="42"/>
      <c r="BO87" s="74"/>
      <c r="BP87" s="77"/>
      <c r="BR87" s="497">
        <v>12.920000000000002</v>
      </c>
      <c r="BT87" s="42"/>
    </row>
    <row r="88" spans="1:104" x14ac:dyDescent="0.25">
      <c r="A88" s="90">
        <v>36163</v>
      </c>
      <c r="B88" s="20">
        <v>0.91666666666666663</v>
      </c>
      <c r="D88">
        <v>35.06</v>
      </c>
      <c r="E88" t="str">
        <f t="shared" si="38"/>
        <v>SUNDAY</v>
      </c>
      <c r="F88" t="e">
        <f t="shared" si="35"/>
        <v>#N/A</v>
      </c>
      <c r="G88" s="74">
        <v>27762</v>
      </c>
      <c r="H88" s="77">
        <v>0.91666666666666663</v>
      </c>
      <c r="J88">
        <v>37.94</v>
      </c>
      <c r="M88" s="74">
        <v>37624</v>
      </c>
      <c r="N88" s="77">
        <v>0.91666666666666663</v>
      </c>
      <c r="P88">
        <v>32</v>
      </c>
      <c r="S88" s="74">
        <v>36163</v>
      </c>
      <c r="T88" s="77">
        <v>0.91666666666666663</v>
      </c>
      <c r="V88">
        <v>37.94</v>
      </c>
      <c r="X88" s="42"/>
      <c r="AB88">
        <v>35.299999999999997</v>
      </c>
      <c r="AC88">
        <v>50</v>
      </c>
      <c r="AE88" s="74"/>
      <c r="AF88" s="77"/>
      <c r="AH88" s="497">
        <v>44.6</v>
      </c>
      <c r="AJ88" s="42"/>
      <c r="AK88" s="74"/>
      <c r="AL88" s="77"/>
      <c r="AN88" s="497">
        <v>19.939999999999998</v>
      </c>
      <c r="AP88" s="42"/>
      <c r="AQ88" s="74"/>
      <c r="AR88" s="77"/>
      <c r="AT88" s="497">
        <v>19.04</v>
      </c>
      <c r="AV88" s="42"/>
      <c r="AW88" s="74"/>
      <c r="AX88" s="77"/>
      <c r="BA88" s="497">
        <v>15.079999999999998</v>
      </c>
      <c r="BB88" s="42"/>
      <c r="BC88" s="74"/>
      <c r="BD88" s="77"/>
      <c r="BF88">
        <v>15.98</v>
      </c>
      <c r="BH88" s="42"/>
      <c r="BI88" s="74"/>
      <c r="BJ88" s="77"/>
      <c r="BL88" s="497">
        <v>15.079999999999998</v>
      </c>
      <c r="BN88" s="42"/>
      <c r="BO88" s="74"/>
      <c r="BP88" s="77"/>
      <c r="BR88" s="497">
        <v>12.920000000000002</v>
      </c>
      <c r="BT88" s="42"/>
    </row>
    <row r="89" spans="1:104" x14ac:dyDescent="0.25">
      <c r="A89" s="90">
        <v>36163</v>
      </c>
      <c r="B89" s="20">
        <v>0.95833333333333337</v>
      </c>
      <c r="D89">
        <v>35.06</v>
      </c>
      <c r="E89" t="str">
        <f t="shared" si="38"/>
        <v>SUNDAY</v>
      </c>
      <c r="F89" t="e">
        <f t="shared" si="35"/>
        <v>#N/A</v>
      </c>
      <c r="G89" s="74">
        <v>27762</v>
      </c>
      <c r="H89" s="77">
        <v>0.95833333333333337</v>
      </c>
      <c r="J89">
        <v>37.94</v>
      </c>
      <c r="M89" s="74">
        <v>37624</v>
      </c>
      <c r="N89" s="77">
        <v>0.95833333333333337</v>
      </c>
      <c r="P89">
        <v>33.799999999999997</v>
      </c>
      <c r="S89" s="74">
        <v>36163</v>
      </c>
      <c r="T89" s="77">
        <v>0.95833333333333337</v>
      </c>
      <c r="V89">
        <v>33.979999999999997</v>
      </c>
      <c r="X89" s="42"/>
      <c r="AB89">
        <v>34.799999999999997</v>
      </c>
      <c r="AC89">
        <v>48.92</v>
      </c>
      <c r="AE89" s="74"/>
      <c r="AF89" s="77"/>
      <c r="AH89" s="497">
        <v>44.6</v>
      </c>
      <c r="AJ89" s="42"/>
      <c r="AK89" s="74"/>
      <c r="AL89" s="77"/>
      <c r="AN89" s="497">
        <v>19.04</v>
      </c>
      <c r="AP89" s="42"/>
      <c r="AQ89" s="74"/>
      <c r="AR89" s="77"/>
      <c r="AT89" s="497">
        <v>17.96</v>
      </c>
      <c r="AV89" s="42"/>
      <c r="AW89" s="74"/>
      <c r="AX89" s="77"/>
      <c r="BA89" s="497">
        <v>13.459999999999997</v>
      </c>
      <c r="BB89" s="42"/>
      <c r="BC89" s="74"/>
      <c r="BD89" s="77"/>
      <c r="BF89">
        <v>17.059999999999999</v>
      </c>
      <c r="BH89" s="42"/>
      <c r="BI89" s="74"/>
      <c r="BJ89" s="77"/>
      <c r="BL89" s="497">
        <v>13.099999999999998</v>
      </c>
      <c r="BN89" s="42"/>
      <c r="BO89" s="74"/>
      <c r="BP89" s="77"/>
      <c r="BR89" s="497">
        <v>12.920000000000002</v>
      </c>
      <c r="BT89" s="42"/>
    </row>
    <row r="90" spans="1:104" x14ac:dyDescent="0.25">
      <c r="A90" s="90">
        <v>36163</v>
      </c>
      <c r="B90" s="20">
        <v>1</v>
      </c>
      <c r="D90">
        <v>35.06</v>
      </c>
      <c r="E90" t="str">
        <f t="shared" si="38"/>
        <v>SUNDAY</v>
      </c>
      <c r="F90" t="e">
        <f t="shared" si="35"/>
        <v>#N/A</v>
      </c>
      <c r="G90" s="74">
        <v>27762</v>
      </c>
      <c r="H90" s="77">
        <v>1</v>
      </c>
      <c r="J90">
        <v>37.94</v>
      </c>
      <c r="M90" s="74">
        <v>37624</v>
      </c>
      <c r="N90" s="80">
        <v>1</v>
      </c>
      <c r="P90">
        <v>33.799999999999997</v>
      </c>
      <c r="S90" s="74">
        <v>36163</v>
      </c>
      <c r="T90" s="80">
        <v>1</v>
      </c>
      <c r="V90">
        <v>33.08</v>
      </c>
      <c r="X90" s="42"/>
      <c r="AB90">
        <v>34.4</v>
      </c>
      <c r="AC90">
        <v>50</v>
      </c>
      <c r="AE90" s="74"/>
      <c r="AF90" s="80"/>
      <c r="AH90" s="497">
        <v>44.6</v>
      </c>
      <c r="AJ90" s="42"/>
      <c r="AK90" s="74"/>
      <c r="AL90" s="80"/>
      <c r="AN90" s="497">
        <v>17.96</v>
      </c>
      <c r="AP90" s="42"/>
      <c r="AQ90" s="74"/>
      <c r="AR90" s="80"/>
      <c r="AT90" s="497">
        <v>17.059999999999999</v>
      </c>
      <c r="AV90" s="42"/>
      <c r="AW90" s="74"/>
      <c r="AX90" s="80"/>
      <c r="BA90" s="497">
        <v>11.659999999999997</v>
      </c>
      <c r="BB90" s="42"/>
      <c r="BC90" s="74"/>
      <c r="BD90" s="80"/>
      <c r="BF90">
        <v>17.059999999999999</v>
      </c>
      <c r="BH90" s="42"/>
      <c r="BI90" s="74"/>
      <c r="BJ90" s="80"/>
      <c r="BL90" s="497">
        <v>10.940000000000001</v>
      </c>
      <c r="BN90" s="42"/>
      <c r="BO90" s="74"/>
      <c r="BP90" s="80"/>
      <c r="BR90" s="497">
        <v>12.920000000000002</v>
      </c>
      <c r="BT90" s="42"/>
    </row>
    <row r="91" spans="1:104" x14ac:dyDescent="0.25">
      <c r="A91" s="90">
        <v>36164</v>
      </c>
      <c r="B91" s="20">
        <v>4.1666666666666664E-2</v>
      </c>
      <c r="D91">
        <v>35.06</v>
      </c>
      <c r="E91" t="str">
        <f t="shared" si="38"/>
        <v>WEEKDAY</v>
      </c>
      <c r="F91" t="e">
        <f t="shared" si="35"/>
        <v>#N/A</v>
      </c>
      <c r="G91" s="74">
        <v>27763</v>
      </c>
      <c r="H91" s="77">
        <v>4.1666666666666664E-2</v>
      </c>
      <c r="J91">
        <v>37.04</v>
      </c>
      <c r="M91" s="74">
        <v>37625</v>
      </c>
      <c r="N91" s="77">
        <v>4.1666666666666664E-2</v>
      </c>
      <c r="P91">
        <v>32</v>
      </c>
      <c r="S91" s="74">
        <v>36164</v>
      </c>
      <c r="T91" s="77">
        <v>4.1666666666666664E-2</v>
      </c>
      <c r="V91">
        <v>32</v>
      </c>
      <c r="X91" s="42"/>
      <c r="AB91">
        <v>33.9</v>
      </c>
      <c r="AC91">
        <v>50</v>
      </c>
      <c r="AE91" s="74"/>
      <c r="AF91" s="77"/>
      <c r="AH91" s="497">
        <v>44.6</v>
      </c>
      <c r="AJ91" s="42"/>
      <c r="AK91" s="74"/>
      <c r="AL91" s="77"/>
      <c r="AN91" s="497">
        <v>17.96</v>
      </c>
      <c r="AP91" s="42"/>
      <c r="AQ91" s="74"/>
      <c r="AR91" s="77"/>
      <c r="AT91" s="497">
        <v>14</v>
      </c>
      <c r="AV91" s="42"/>
      <c r="AW91" s="74"/>
      <c r="AX91" s="77"/>
      <c r="BA91" s="497">
        <v>10.039999999999999</v>
      </c>
      <c r="BB91" s="42"/>
      <c r="BC91" s="74"/>
      <c r="BD91" s="77"/>
      <c r="BF91">
        <v>17.059999999999999</v>
      </c>
      <c r="BH91" s="42"/>
      <c r="BI91" s="74"/>
      <c r="BJ91" s="77"/>
      <c r="BL91" s="497">
        <v>8.9599999999999973</v>
      </c>
      <c r="BN91" s="42"/>
      <c r="BO91" s="74"/>
      <c r="BP91" s="77"/>
      <c r="BR91" s="497">
        <v>12.920000000000002</v>
      </c>
      <c r="BT91" s="42"/>
    </row>
    <row r="92" spans="1:104" x14ac:dyDescent="0.25">
      <c r="A92" s="90">
        <v>36164</v>
      </c>
      <c r="B92" s="20">
        <v>8.3333333333333329E-2</v>
      </c>
      <c r="D92">
        <v>35.06</v>
      </c>
      <c r="E92" t="str">
        <f t="shared" si="38"/>
        <v>WEEKDAY</v>
      </c>
      <c r="F92" t="e">
        <f t="shared" si="35"/>
        <v>#N/A</v>
      </c>
      <c r="G92" s="74">
        <v>27763</v>
      </c>
      <c r="H92" s="77">
        <v>8.3333333333333329E-2</v>
      </c>
      <c r="J92">
        <v>35.96</v>
      </c>
      <c r="M92" s="74">
        <v>37625</v>
      </c>
      <c r="N92" s="77">
        <v>8.3333333333333329E-2</v>
      </c>
      <c r="P92">
        <v>32</v>
      </c>
      <c r="S92" s="74">
        <v>36164</v>
      </c>
      <c r="T92" s="77">
        <v>8.3333333333333329E-2</v>
      </c>
      <c r="V92">
        <v>31.1</v>
      </c>
      <c r="X92" s="42"/>
      <c r="AB92">
        <v>33.4</v>
      </c>
      <c r="AC92">
        <v>51.08</v>
      </c>
      <c r="AE92" s="74"/>
      <c r="AF92" s="77"/>
      <c r="AH92" s="497">
        <v>42.8</v>
      </c>
      <c r="AJ92" s="42"/>
      <c r="AK92" s="74"/>
      <c r="AL92" s="77"/>
      <c r="AN92" s="497">
        <v>17.96</v>
      </c>
      <c r="AP92" s="42"/>
      <c r="AQ92" s="74"/>
      <c r="AR92" s="77"/>
      <c r="AT92" s="497">
        <v>14</v>
      </c>
      <c r="AV92" s="42"/>
      <c r="AW92" s="74"/>
      <c r="AX92" s="77"/>
      <c r="BA92" s="497">
        <v>10.759999999999998</v>
      </c>
      <c r="BB92" s="42"/>
      <c r="BC92" s="74"/>
      <c r="BD92" s="77"/>
      <c r="BF92">
        <v>17.059999999999999</v>
      </c>
      <c r="BH92" s="42"/>
      <c r="BI92" s="74"/>
      <c r="BJ92" s="77"/>
      <c r="BL92" s="497">
        <v>9.32</v>
      </c>
      <c r="BN92" s="42"/>
      <c r="BO92" s="74"/>
      <c r="BP92" s="77"/>
      <c r="BR92" s="497">
        <v>12.920000000000002</v>
      </c>
      <c r="BT92" s="42"/>
    </row>
    <row r="93" spans="1:104" x14ac:dyDescent="0.25">
      <c r="A93" s="90">
        <v>36164</v>
      </c>
      <c r="B93" s="20">
        <v>0.125</v>
      </c>
      <c r="D93">
        <v>33.979999999999997</v>
      </c>
      <c r="E93" t="str">
        <f t="shared" si="38"/>
        <v>WEEKDAY</v>
      </c>
      <c r="F93" t="e">
        <f t="shared" si="35"/>
        <v>#N/A</v>
      </c>
      <c r="G93" s="74">
        <v>27763</v>
      </c>
      <c r="H93" s="77">
        <v>0.125</v>
      </c>
      <c r="J93">
        <v>35.06</v>
      </c>
      <c r="M93" s="74">
        <v>37625</v>
      </c>
      <c r="N93" s="77">
        <v>0.125</v>
      </c>
      <c r="P93">
        <v>30.2</v>
      </c>
      <c r="S93" s="74">
        <v>36164</v>
      </c>
      <c r="T93" s="77">
        <v>0.125</v>
      </c>
      <c r="V93">
        <v>30.02</v>
      </c>
      <c r="X93" s="42"/>
      <c r="AB93">
        <v>33.200000000000003</v>
      </c>
      <c r="AC93">
        <v>53.96</v>
      </c>
      <c r="AE93" s="74"/>
      <c r="AF93" s="77"/>
      <c r="AH93" s="497">
        <v>42.8</v>
      </c>
      <c r="AJ93" s="42"/>
      <c r="AK93" s="74"/>
      <c r="AL93" s="77"/>
      <c r="AN93" s="497">
        <v>17.96</v>
      </c>
      <c r="AP93" s="42"/>
      <c r="AQ93" s="74"/>
      <c r="AR93" s="77"/>
      <c r="AT93" s="497">
        <v>14</v>
      </c>
      <c r="AV93" s="42"/>
      <c r="AW93" s="74"/>
      <c r="AX93" s="77"/>
      <c r="BA93" s="497">
        <v>11.3</v>
      </c>
      <c r="BB93" s="42"/>
      <c r="BC93" s="74"/>
      <c r="BD93" s="77"/>
      <c r="BF93">
        <v>14</v>
      </c>
      <c r="BH93" s="42"/>
      <c r="BI93" s="74"/>
      <c r="BJ93" s="77"/>
      <c r="BL93" s="497">
        <v>9.68</v>
      </c>
      <c r="BN93" s="42"/>
      <c r="BO93" s="74"/>
      <c r="BP93" s="77"/>
      <c r="BR93" s="497">
        <v>10.039999999999999</v>
      </c>
      <c r="BT93" s="42"/>
    </row>
    <row r="94" spans="1:104" x14ac:dyDescent="0.25">
      <c r="A94" s="90">
        <v>36164</v>
      </c>
      <c r="B94" s="20">
        <v>0.16666666666666666</v>
      </c>
      <c r="D94">
        <v>33.08</v>
      </c>
      <c r="E94" t="str">
        <f t="shared" si="38"/>
        <v>WEEKDAY</v>
      </c>
      <c r="F94" t="e">
        <f t="shared" si="35"/>
        <v>#N/A</v>
      </c>
      <c r="G94" s="74">
        <v>27763</v>
      </c>
      <c r="H94" s="77">
        <v>0.16666666666666666</v>
      </c>
      <c r="J94">
        <v>33.979999999999997</v>
      </c>
      <c r="M94" s="74">
        <v>37625</v>
      </c>
      <c r="N94" s="77">
        <v>0.16666666666666666</v>
      </c>
      <c r="P94">
        <v>30.2</v>
      </c>
      <c r="S94" s="74">
        <v>36164</v>
      </c>
      <c r="T94" s="77">
        <v>0.16666666666666666</v>
      </c>
      <c r="V94">
        <v>28.94</v>
      </c>
      <c r="X94" s="42"/>
      <c r="AB94">
        <v>32.9</v>
      </c>
      <c r="AC94">
        <v>55.040000000000006</v>
      </c>
      <c r="AE94" s="74"/>
      <c r="AF94" s="77"/>
      <c r="AH94" s="497">
        <v>42.8</v>
      </c>
      <c r="AJ94" s="42"/>
      <c r="AK94" s="74"/>
      <c r="AL94" s="77"/>
      <c r="AN94" s="497">
        <v>17.96</v>
      </c>
      <c r="AP94" s="42"/>
      <c r="AQ94" s="74"/>
      <c r="AR94" s="77"/>
      <c r="AT94" s="497">
        <v>14</v>
      </c>
      <c r="AV94" s="42"/>
      <c r="AW94" s="74"/>
      <c r="AX94" s="77"/>
      <c r="BA94" s="497">
        <v>12.02</v>
      </c>
      <c r="BB94" s="42"/>
      <c r="BC94" s="74"/>
      <c r="BD94" s="77"/>
      <c r="BF94">
        <v>12.920000000000002</v>
      </c>
      <c r="BH94" s="42"/>
      <c r="BI94" s="74"/>
      <c r="BJ94" s="77"/>
      <c r="BL94" s="497">
        <v>10.039999999999999</v>
      </c>
      <c r="BN94" s="42"/>
      <c r="BO94" s="74"/>
      <c r="BP94" s="77"/>
      <c r="BR94" s="497">
        <v>8.0599999999999987</v>
      </c>
      <c r="BT94" s="42"/>
    </row>
    <row r="95" spans="1:104" x14ac:dyDescent="0.25">
      <c r="A95" s="90">
        <v>36164</v>
      </c>
      <c r="B95" s="20">
        <v>0.20833333333333334</v>
      </c>
      <c r="D95">
        <v>32</v>
      </c>
      <c r="E95" t="str">
        <f t="shared" si="38"/>
        <v>WEEKDAY</v>
      </c>
      <c r="F95" t="e">
        <f t="shared" si="35"/>
        <v>#N/A</v>
      </c>
      <c r="G95" s="74">
        <v>27763</v>
      </c>
      <c r="H95" s="77">
        <v>0.20833333333333334</v>
      </c>
      <c r="J95">
        <v>32</v>
      </c>
      <c r="M95" s="74">
        <v>37625</v>
      </c>
      <c r="N95" s="77">
        <v>0.20833333333333334</v>
      </c>
      <c r="P95">
        <v>28.4</v>
      </c>
      <c r="S95" s="74">
        <v>36164</v>
      </c>
      <c r="T95" s="77">
        <v>0.20833333333333334</v>
      </c>
      <c r="V95">
        <v>26.96</v>
      </c>
      <c r="X95" s="42"/>
      <c r="AB95">
        <v>32.700000000000003</v>
      </c>
      <c r="AC95">
        <v>53.96</v>
      </c>
      <c r="AE95" s="74"/>
      <c r="AF95" s="77"/>
      <c r="AH95" s="497">
        <v>42.8</v>
      </c>
      <c r="AJ95" s="42"/>
      <c r="AK95" s="74"/>
      <c r="AL95" s="77"/>
      <c r="AN95" s="497">
        <v>17.96</v>
      </c>
      <c r="AP95" s="42"/>
      <c r="AQ95" s="74"/>
      <c r="AR95" s="77"/>
      <c r="AT95" s="497">
        <v>12.920000000000002</v>
      </c>
      <c r="AV95" s="42"/>
      <c r="AW95" s="74"/>
      <c r="AX95" s="77"/>
      <c r="BA95" s="497">
        <v>10.940000000000001</v>
      </c>
      <c r="BB95" s="42"/>
      <c r="BC95" s="74"/>
      <c r="BD95" s="77"/>
      <c r="BF95">
        <v>10.039999999999999</v>
      </c>
      <c r="BH95" s="42"/>
      <c r="BI95" s="74"/>
      <c r="BJ95" s="77"/>
      <c r="BL95" s="497">
        <v>8.7799999999999976</v>
      </c>
      <c r="BN95" s="42"/>
      <c r="BO95" s="74"/>
      <c r="BP95" s="77"/>
      <c r="BR95" s="497">
        <v>6.0799999999999983</v>
      </c>
      <c r="BT95" s="42"/>
    </row>
    <row r="96" spans="1:104" x14ac:dyDescent="0.25">
      <c r="A96" s="90">
        <v>36164</v>
      </c>
      <c r="B96" s="20">
        <v>0.25</v>
      </c>
      <c r="D96">
        <v>30.02</v>
      </c>
      <c r="E96" t="str">
        <f t="shared" si="38"/>
        <v>WEEKDAY</v>
      </c>
      <c r="F96" t="e">
        <f t="shared" si="35"/>
        <v>#N/A</v>
      </c>
      <c r="G96" s="74">
        <v>27763</v>
      </c>
      <c r="H96" s="77">
        <v>0.25</v>
      </c>
      <c r="J96">
        <v>30.92</v>
      </c>
      <c r="M96" s="74">
        <v>37625</v>
      </c>
      <c r="N96" s="77">
        <v>0.25</v>
      </c>
      <c r="P96">
        <v>28.4</v>
      </c>
      <c r="S96" s="74">
        <v>36164</v>
      </c>
      <c r="T96" s="77">
        <v>0.25</v>
      </c>
      <c r="V96">
        <v>26.060000000000002</v>
      </c>
      <c r="X96" s="42"/>
      <c r="AB96">
        <v>32.5</v>
      </c>
      <c r="AC96">
        <v>55.040000000000006</v>
      </c>
      <c r="AE96" s="74"/>
      <c r="AF96" s="77"/>
      <c r="AH96" s="497">
        <v>41</v>
      </c>
      <c r="AJ96" s="42"/>
      <c r="AK96" s="74"/>
      <c r="AL96" s="77"/>
      <c r="AN96" s="497">
        <v>17.96</v>
      </c>
      <c r="AP96" s="42"/>
      <c r="AQ96" s="74"/>
      <c r="AR96" s="77"/>
      <c r="AT96" s="497">
        <v>12.920000000000002</v>
      </c>
      <c r="AV96" s="42"/>
      <c r="AW96" s="74"/>
      <c r="AX96" s="77"/>
      <c r="BA96" s="497">
        <v>10.039999999999999</v>
      </c>
      <c r="BB96" s="42"/>
      <c r="BC96" s="74"/>
      <c r="BD96" s="77"/>
      <c r="BF96">
        <v>10.039999999999999</v>
      </c>
      <c r="BH96" s="42"/>
      <c r="BI96" s="74"/>
      <c r="BJ96" s="77"/>
      <c r="BL96" s="497">
        <v>7.34</v>
      </c>
      <c r="BN96" s="42"/>
      <c r="BO96" s="74"/>
      <c r="BP96" s="77"/>
      <c r="BR96" s="497">
        <v>5</v>
      </c>
      <c r="BT96" s="42"/>
    </row>
    <row r="97" spans="1:72" x14ac:dyDescent="0.25">
      <c r="A97" s="90">
        <v>36164</v>
      </c>
      <c r="B97" s="20">
        <v>0.29166666666666669</v>
      </c>
      <c r="D97">
        <v>28.94</v>
      </c>
      <c r="E97" t="str">
        <f t="shared" si="38"/>
        <v>WEEKDAY</v>
      </c>
      <c r="F97" t="e">
        <f t="shared" si="35"/>
        <v>#N/A</v>
      </c>
      <c r="G97" s="74">
        <v>27763</v>
      </c>
      <c r="H97" s="77">
        <v>0.29166666666666669</v>
      </c>
      <c r="J97">
        <v>30.92</v>
      </c>
      <c r="M97" s="74">
        <v>37625</v>
      </c>
      <c r="N97" s="77">
        <v>0.29166666666666669</v>
      </c>
      <c r="P97">
        <v>28.4</v>
      </c>
      <c r="S97" s="74">
        <v>36164</v>
      </c>
      <c r="T97" s="77">
        <v>0.29166666666666669</v>
      </c>
      <c r="V97">
        <v>24.98</v>
      </c>
      <c r="X97" s="42"/>
      <c r="AB97">
        <v>32.5</v>
      </c>
      <c r="AC97">
        <v>53.06</v>
      </c>
      <c r="AE97" s="74"/>
      <c r="AF97" s="77"/>
      <c r="AH97" s="497">
        <v>41</v>
      </c>
      <c r="AJ97" s="42"/>
      <c r="AK97" s="74"/>
      <c r="AL97" s="77"/>
      <c r="AN97" s="497">
        <v>17.96</v>
      </c>
      <c r="AP97" s="42"/>
      <c r="AQ97" s="74"/>
      <c r="AR97" s="77"/>
      <c r="AT97" s="497">
        <v>12.920000000000002</v>
      </c>
      <c r="AV97" s="42"/>
      <c r="AW97" s="74"/>
      <c r="AX97" s="77"/>
      <c r="BA97" s="497">
        <v>8.9599999999999973</v>
      </c>
      <c r="BB97" s="42"/>
      <c r="BC97" s="74"/>
      <c r="BD97" s="77"/>
      <c r="BF97">
        <v>8.9599999999999973</v>
      </c>
      <c r="BH97" s="42"/>
      <c r="BI97" s="74"/>
      <c r="BJ97" s="77"/>
      <c r="BL97" s="497">
        <v>6.0799999999999983</v>
      </c>
      <c r="BN97" s="42"/>
      <c r="BO97" s="74"/>
      <c r="BP97" s="77"/>
      <c r="BR97" s="497">
        <v>1.0399999999999991</v>
      </c>
      <c r="BT97" s="42"/>
    </row>
    <row r="98" spans="1:72" x14ac:dyDescent="0.25">
      <c r="A98" s="90">
        <v>36164</v>
      </c>
      <c r="B98" s="20">
        <v>0.33333333333333331</v>
      </c>
      <c r="D98">
        <v>28.94</v>
      </c>
      <c r="E98" t="str">
        <f t="shared" si="38"/>
        <v>WEEKDAY</v>
      </c>
      <c r="F98" t="e">
        <f t="shared" si="35"/>
        <v>#N/A</v>
      </c>
      <c r="G98" s="74">
        <v>27763</v>
      </c>
      <c r="H98" s="77">
        <v>0.33333333333333331</v>
      </c>
      <c r="J98">
        <v>28.94</v>
      </c>
      <c r="M98" s="74">
        <v>37625</v>
      </c>
      <c r="N98" s="77">
        <v>0.33333333333333331</v>
      </c>
      <c r="P98">
        <v>28.4</v>
      </c>
      <c r="S98" s="74">
        <v>36164</v>
      </c>
      <c r="T98" s="77">
        <v>0.33333333333333331</v>
      </c>
      <c r="V98">
        <v>24.98</v>
      </c>
      <c r="X98" s="42"/>
      <c r="AB98">
        <v>32.5</v>
      </c>
      <c r="AC98">
        <v>53.96</v>
      </c>
      <c r="AE98" s="74"/>
      <c r="AF98" s="77"/>
      <c r="AH98" s="497">
        <v>39.200000000000003</v>
      </c>
      <c r="AJ98" s="42"/>
      <c r="AK98" s="74"/>
      <c r="AL98" s="77"/>
      <c r="AN98" s="497">
        <v>17.96</v>
      </c>
      <c r="AP98" s="42"/>
      <c r="AQ98" s="74"/>
      <c r="AR98" s="77"/>
      <c r="AT98" s="497">
        <v>14</v>
      </c>
      <c r="AV98" s="42"/>
      <c r="AW98" s="74"/>
      <c r="AX98" s="77"/>
      <c r="BA98" s="497">
        <v>10.940000000000001</v>
      </c>
      <c r="BB98" s="42"/>
      <c r="BC98" s="74"/>
      <c r="BD98" s="77"/>
      <c r="BF98">
        <v>8.0599999999999987</v>
      </c>
      <c r="BH98" s="42"/>
      <c r="BI98" s="74"/>
      <c r="BJ98" s="77"/>
      <c r="BL98" s="497">
        <v>8.4200000000000017</v>
      </c>
      <c r="BN98" s="42"/>
      <c r="BO98" s="74"/>
      <c r="BP98" s="77"/>
      <c r="BR98" s="497">
        <v>1.9400000000000013</v>
      </c>
      <c r="BT98" s="42"/>
    </row>
    <row r="99" spans="1:72" x14ac:dyDescent="0.25">
      <c r="A99" s="90">
        <v>36164</v>
      </c>
      <c r="B99" s="20">
        <v>0.375</v>
      </c>
      <c r="D99">
        <v>30.02</v>
      </c>
      <c r="E99" t="str">
        <f t="shared" si="38"/>
        <v>WEEKDAY</v>
      </c>
      <c r="F99" t="e">
        <f t="shared" si="35"/>
        <v>#N/A</v>
      </c>
      <c r="G99" s="74">
        <v>27763</v>
      </c>
      <c r="H99" s="77">
        <v>0.375</v>
      </c>
      <c r="J99">
        <v>28.94</v>
      </c>
      <c r="M99" s="74">
        <v>37625</v>
      </c>
      <c r="N99" s="77">
        <v>0.375</v>
      </c>
      <c r="P99">
        <v>28.4</v>
      </c>
      <c r="S99" s="74">
        <v>36164</v>
      </c>
      <c r="T99" s="77">
        <v>0.375</v>
      </c>
      <c r="V99">
        <v>26.060000000000002</v>
      </c>
      <c r="X99" s="42"/>
      <c r="AB99">
        <v>32.9</v>
      </c>
      <c r="AC99">
        <v>53.96</v>
      </c>
      <c r="AE99" s="74"/>
      <c r="AF99" s="77"/>
      <c r="AH99" s="497">
        <v>41</v>
      </c>
      <c r="AJ99" s="42"/>
      <c r="AK99" s="74"/>
      <c r="AL99" s="77"/>
      <c r="AN99" s="497">
        <v>17.96</v>
      </c>
      <c r="AP99" s="42"/>
      <c r="AQ99" s="74"/>
      <c r="AR99" s="77"/>
      <c r="AT99" s="497">
        <v>17.96</v>
      </c>
      <c r="AV99" s="42"/>
      <c r="AW99" s="74"/>
      <c r="AX99" s="77"/>
      <c r="BA99" s="497">
        <v>13.099999999999998</v>
      </c>
      <c r="BB99" s="42"/>
      <c r="BC99" s="74"/>
      <c r="BD99" s="77"/>
      <c r="BF99">
        <v>10.039999999999999</v>
      </c>
      <c r="BH99" s="42"/>
      <c r="BI99" s="74"/>
      <c r="BJ99" s="77"/>
      <c r="BL99" s="497">
        <v>10.579999999999998</v>
      </c>
      <c r="BN99" s="42"/>
      <c r="BO99" s="74"/>
      <c r="BP99" s="77"/>
      <c r="BR99" s="497">
        <v>1.9400000000000013</v>
      </c>
      <c r="BT99" s="42"/>
    </row>
    <row r="100" spans="1:72" x14ac:dyDescent="0.25">
      <c r="A100" s="90">
        <v>36164</v>
      </c>
      <c r="B100" s="20">
        <v>0.41666666666666669</v>
      </c>
      <c r="D100">
        <v>30.02</v>
      </c>
      <c r="E100" t="str">
        <f t="shared" si="38"/>
        <v>WEEKDAY</v>
      </c>
      <c r="F100" t="e">
        <f t="shared" si="35"/>
        <v>#N/A</v>
      </c>
      <c r="G100" s="74">
        <v>27763</v>
      </c>
      <c r="H100" s="77">
        <v>0.41666666666666669</v>
      </c>
      <c r="J100">
        <v>28.94</v>
      </c>
      <c r="M100" s="74">
        <v>37625</v>
      </c>
      <c r="N100" s="77">
        <v>0.41666666666666669</v>
      </c>
      <c r="P100">
        <v>30.2</v>
      </c>
      <c r="S100" s="74">
        <v>36164</v>
      </c>
      <c r="T100" s="77">
        <v>0.41666666666666669</v>
      </c>
      <c r="V100">
        <v>26.060000000000002</v>
      </c>
      <c r="X100" s="42"/>
      <c r="AB100">
        <v>34.200000000000003</v>
      </c>
      <c r="AC100">
        <v>53.96</v>
      </c>
      <c r="AE100" s="74"/>
      <c r="AF100" s="77"/>
      <c r="AH100" s="497">
        <v>42.8</v>
      </c>
      <c r="AJ100" s="42"/>
      <c r="AK100" s="74"/>
      <c r="AL100" s="77"/>
      <c r="AN100" s="497">
        <v>19.04</v>
      </c>
      <c r="AP100" s="42"/>
      <c r="AQ100" s="74"/>
      <c r="AR100" s="77"/>
      <c r="AT100" s="497">
        <v>21.02</v>
      </c>
      <c r="AV100" s="42"/>
      <c r="AW100" s="74"/>
      <c r="AX100" s="77"/>
      <c r="BA100" s="497">
        <v>15.079999999999998</v>
      </c>
      <c r="BB100" s="42"/>
      <c r="BC100" s="74"/>
      <c r="BD100" s="77"/>
      <c r="BF100">
        <v>15.98</v>
      </c>
      <c r="BH100" s="42"/>
      <c r="BI100" s="74"/>
      <c r="BJ100" s="77"/>
      <c r="BL100" s="497">
        <v>12.920000000000002</v>
      </c>
      <c r="BN100" s="42"/>
      <c r="BO100" s="74"/>
      <c r="BP100" s="77"/>
      <c r="BR100" s="497">
        <v>3.019999999999996</v>
      </c>
      <c r="BT100" s="42"/>
    </row>
    <row r="101" spans="1:72" x14ac:dyDescent="0.25">
      <c r="A101" s="90">
        <v>36164</v>
      </c>
      <c r="B101" s="20">
        <v>0.45833333333333331</v>
      </c>
      <c r="D101">
        <v>32</v>
      </c>
      <c r="E101" t="str">
        <f t="shared" si="38"/>
        <v>WEEKDAY</v>
      </c>
      <c r="F101" t="e">
        <f t="shared" si="35"/>
        <v>#N/A</v>
      </c>
      <c r="G101" s="74">
        <v>27763</v>
      </c>
      <c r="H101" s="77">
        <v>0.45833333333333331</v>
      </c>
      <c r="J101">
        <v>28.04</v>
      </c>
      <c r="M101" s="74">
        <v>37625</v>
      </c>
      <c r="N101" s="77">
        <v>0.45833333333333331</v>
      </c>
      <c r="P101">
        <v>30.2</v>
      </c>
      <c r="S101" s="74">
        <v>36164</v>
      </c>
      <c r="T101" s="77">
        <v>0.45833333333333331</v>
      </c>
      <c r="V101">
        <v>26.96</v>
      </c>
      <c r="X101" s="42"/>
      <c r="AB101">
        <v>35.6</v>
      </c>
      <c r="AC101">
        <v>55.040000000000006</v>
      </c>
      <c r="AE101" s="74"/>
      <c r="AF101" s="77"/>
      <c r="AH101" s="497">
        <v>44.6</v>
      </c>
      <c r="AJ101" s="42"/>
      <c r="AK101" s="74"/>
      <c r="AL101" s="77"/>
      <c r="AN101" s="497">
        <v>21.02</v>
      </c>
      <c r="AP101" s="42"/>
      <c r="AQ101" s="74"/>
      <c r="AR101" s="77"/>
      <c r="AT101" s="497">
        <v>23</v>
      </c>
      <c r="AV101" s="42"/>
      <c r="AW101" s="74"/>
      <c r="AX101" s="77"/>
      <c r="BA101" s="497">
        <v>17.78</v>
      </c>
      <c r="BB101" s="42"/>
      <c r="BC101" s="74"/>
      <c r="BD101" s="77"/>
      <c r="BF101">
        <v>19.939999999999998</v>
      </c>
      <c r="BH101" s="42"/>
      <c r="BI101" s="74"/>
      <c r="BJ101" s="77"/>
      <c r="BL101" s="497">
        <v>14.899999999999999</v>
      </c>
      <c r="BN101" s="42"/>
      <c r="BO101" s="74"/>
      <c r="BP101" s="77"/>
      <c r="BR101" s="497">
        <v>5</v>
      </c>
      <c r="BT101" s="42"/>
    </row>
    <row r="102" spans="1:72" x14ac:dyDescent="0.25">
      <c r="A102" s="90">
        <v>36164</v>
      </c>
      <c r="B102" s="20">
        <v>0.5</v>
      </c>
      <c r="D102">
        <v>33.08</v>
      </c>
      <c r="E102" t="str">
        <f t="shared" si="38"/>
        <v>WEEKDAY</v>
      </c>
      <c r="F102" t="e">
        <f t="shared" si="35"/>
        <v>#N/A</v>
      </c>
      <c r="G102" s="74">
        <v>27763</v>
      </c>
      <c r="H102" s="77">
        <v>0.5</v>
      </c>
      <c r="J102">
        <v>28.94</v>
      </c>
      <c r="M102" s="74">
        <v>37625</v>
      </c>
      <c r="N102" s="77">
        <v>0.5</v>
      </c>
      <c r="P102">
        <v>30.2</v>
      </c>
      <c r="S102" s="74">
        <v>36164</v>
      </c>
      <c r="T102" s="77">
        <v>0.5</v>
      </c>
      <c r="V102">
        <v>26.96</v>
      </c>
      <c r="X102" s="42"/>
      <c r="AB102">
        <v>36.799999999999997</v>
      </c>
      <c r="AC102">
        <v>55.94</v>
      </c>
      <c r="AE102" s="74"/>
      <c r="AF102" s="77"/>
      <c r="AH102" s="497">
        <v>44.6</v>
      </c>
      <c r="AJ102" s="42"/>
      <c r="AK102" s="74"/>
      <c r="AL102" s="77"/>
      <c r="AN102" s="497">
        <v>21.02</v>
      </c>
      <c r="AP102" s="42"/>
      <c r="AQ102" s="74"/>
      <c r="AR102" s="77"/>
      <c r="AT102" s="497">
        <v>26.060000000000002</v>
      </c>
      <c r="AV102" s="42"/>
      <c r="AW102" s="74"/>
      <c r="AX102" s="77"/>
      <c r="BA102" s="497">
        <v>20.299999999999997</v>
      </c>
      <c r="BB102" s="42"/>
      <c r="BC102" s="74"/>
      <c r="BD102" s="77"/>
      <c r="BF102">
        <v>21.92</v>
      </c>
      <c r="BH102" s="42"/>
      <c r="BI102" s="74"/>
      <c r="BJ102" s="77"/>
      <c r="BL102" s="497">
        <v>17.059999999999999</v>
      </c>
      <c r="BN102" s="42"/>
      <c r="BO102" s="74"/>
      <c r="BP102" s="77"/>
      <c r="BR102" s="497">
        <v>8.0599999999999987</v>
      </c>
      <c r="BT102" s="42"/>
    </row>
    <row r="103" spans="1:72" x14ac:dyDescent="0.25">
      <c r="A103" s="90">
        <v>36164</v>
      </c>
      <c r="B103" s="20">
        <v>0.54166666666666663</v>
      </c>
      <c r="D103">
        <v>33.979999999999997</v>
      </c>
      <c r="E103" t="str">
        <f t="shared" si="38"/>
        <v>WEEKDAY</v>
      </c>
      <c r="F103" t="e">
        <f t="shared" si="35"/>
        <v>#N/A</v>
      </c>
      <c r="G103" s="74">
        <v>27763</v>
      </c>
      <c r="H103" s="77">
        <v>0.54166666666666663</v>
      </c>
      <c r="J103">
        <v>30.02</v>
      </c>
      <c r="M103" s="74">
        <v>37625</v>
      </c>
      <c r="N103" s="77">
        <v>0.54166666666666663</v>
      </c>
      <c r="P103">
        <v>32</v>
      </c>
      <c r="S103" s="74">
        <v>36164</v>
      </c>
      <c r="T103" s="77">
        <v>0.54166666666666663</v>
      </c>
      <c r="V103">
        <v>28.04</v>
      </c>
      <c r="X103" s="42"/>
      <c r="AB103">
        <v>37.799999999999997</v>
      </c>
      <c r="AC103">
        <v>55.040000000000006</v>
      </c>
      <c r="AE103" s="74"/>
      <c r="AF103" s="77"/>
      <c r="AH103" s="497">
        <v>44.6</v>
      </c>
      <c r="AJ103" s="42"/>
      <c r="AK103" s="74"/>
      <c r="AL103" s="77"/>
      <c r="AN103" s="497">
        <v>21.92</v>
      </c>
      <c r="AP103" s="42"/>
      <c r="AQ103" s="74"/>
      <c r="AR103" s="77"/>
      <c r="AT103" s="497">
        <v>24.98</v>
      </c>
      <c r="AV103" s="42"/>
      <c r="AW103" s="74"/>
      <c r="AX103" s="77"/>
      <c r="BA103" s="497">
        <v>23</v>
      </c>
      <c r="BB103" s="42"/>
      <c r="BC103" s="74"/>
      <c r="BD103" s="77"/>
      <c r="BF103">
        <v>21.02</v>
      </c>
      <c r="BH103" s="42"/>
      <c r="BI103" s="74"/>
      <c r="BJ103" s="77"/>
      <c r="BL103" s="497">
        <v>19.04</v>
      </c>
      <c r="BN103" s="42"/>
      <c r="BO103" s="74"/>
      <c r="BP103" s="77"/>
      <c r="BR103" s="497">
        <v>8.9599999999999973</v>
      </c>
      <c r="BT103" s="42"/>
    </row>
    <row r="104" spans="1:72" x14ac:dyDescent="0.25">
      <c r="A104" s="90">
        <v>36164</v>
      </c>
      <c r="B104" s="20">
        <v>0.58333333333333337</v>
      </c>
      <c r="D104">
        <v>35.06</v>
      </c>
      <c r="E104" t="str">
        <f t="shared" si="38"/>
        <v>WEEKDAY</v>
      </c>
      <c r="F104" t="e">
        <f t="shared" si="35"/>
        <v>#N/A</v>
      </c>
      <c r="G104" s="74">
        <v>27763</v>
      </c>
      <c r="H104" s="77">
        <v>0.58333333333333337</v>
      </c>
      <c r="J104">
        <v>30.92</v>
      </c>
      <c r="M104" s="74">
        <v>37625</v>
      </c>
      <c r="N104" s="77">
        <v>0.58333333333333337</v>
      </c>
      <c r="P104">
        <v>32</v>
      </c>
      <c r="S104" s="74">
        <v>36164</v>
      </c>
      <c r="T104" s="77">
        <v>0.58333333333333337</v>
      </c>
      <c r="V104">
        <v>28.94</v>
      </c>
      <c r="X104" s="42"/>
      <c r="AB104">
        <v>38.5</v>
      </c>
      <c r="AC104">
        <v>55.94</v>
      </c>
      <c r="AE104" s="74"/>
      <c r="AF104" s="77"/>
      <c r="AH104" s="497">
        <v>46.4</v>
      </c>
      <c r="AJ104" s="42"/>
      <c r="AK104" s="74"/>
      <c r="AL104" s="77"/>
      <c r="AN104" s="497">
        <v>24.08</v>
      </c>
      <c r="AP104" s="42"/>
      <c r="AQ104" s="74"/>
      <c r="AR104" s="77"/>
      <c r="AT104" s="497">
        <v>26.060000000000002</v>
      </c>
      <c r="AV104" s="42"/>
      <c r="AW104" s="74"/>
      <c r="AX104" s="77"/>
      <c r="BA104" s="497">
        <v>23</v>
      </c>
      <c r="BB104" s="42"/>
      <c r="BC104" s="74"/>
      <c r="BD104" s="77"/>
      <c r="BF104">
        <v>23</v>
      </c>
      <c r="BH104" s="42"/>
      <c r="BI104" s="74"/>
      <c r="BJ104" s="77"/>
      <c r="BL104" s="497">
        <v>18.68</v>
      </c>
      <c r="BN104" s="42"/>
      <c r="BO104" s="74"/>
      <c r="BP104" s="77"/>
      <c r="BR104" s="497">
        <v>8.0599999999999987</v>
      </c>
      <c r="BT104" s="42"/>
    </row>
    <row r="105" spans="1:72" x14ac:dyDescent="0.25">
      <c r="A105" s="90">
        <v>36164</v>
      </c>
      <c r="B105" s="20">
        <v>0.625</v>
      </c>
      <c r="D105">
        <v>35.06</v>
      </c>
      <c r="E105" t="str">
        <f t="shared" si="38"/>
        <v>WEEKDAY</v>
      </c>
      <c r="F105" t="e">
        <f t="shared" si="35"/>
        <v>#N/A</v>
      </c>
      <c r="G105" s="74">
        <v>27763</v>
      </c>
      <c r="H105" s="77">
        <v>0.625</v>
      </c>
      <c r="J105">
        <v>30.92</v>
      </c>
      <c r="M105" s="74">
        <v>37625</v>
      </c>
      <c r="N105" s="77">
        <v>0.625</v>
      </c>
      <c r="P105">
        <v>30.2</v>
      </c>
      <c r="S105" s="74">
        <v>36164</v>
      </c>
      <c r="T105" s="77">
        <v>0.625</v>
      </c>
      <c r="V105">
        <v>28.94</v>
      </c>
      <c r="X105" s="42"/>
      <c r="AB105">
        <v>38.9</v>
      </c>
      <c r="AC105">
        <v>55.94</v>
      </c>
      <c r="AE105" s="74"/>
      <c r="AF105" s="77"/>
      <c r="AH105" s="497">
        <v>46.4</v>
      </c>
      <c r="AJ105" s="42"/>
      <c r="AK105" s="74"/>
      <c r="AL105" s="77"/>
      <c r="AN105" s="497">
        <v>21.92</v>
      </c>
      <c r="AP105" s="42"/>
      <c r="AQ105" s="74"/>
      <c r="AR105" s="77"/>
      <c r="AT105" s="497">
        <v>26.96</v>
      </c>
      <c r="AV105" s="42"/>
      <c r="AW105" s="74"/>
      <c r="AX105" s="77"/>
      <c r="BA105" s="497">
        <v>23</v>
      </c>
      <c r="BB105" s="42"/>
      <c r="BC105" s="74"/>
      <c r="BD105" s="77"/>
      <c r="BF105">
        <v>21.92</v>
      </c>
      <c r="BH105" s="42"/>
      <c r="BI105" s="74"/>
      <c r="BJ105" s="77"/>
      <c r="BL105" s="497">
        <v>18.32</v>
      </c>
      <c r="BN105" s="42"/>
      <c r="BO105" s="74"/>
      <c r="BP105" s="77"/>
      <c r="BR105" s="497">
        <v>8.0599999999999987</v>
      </c>
      <c r="BT105" s="42"/>
    </row>
    <row r="106" spans="1:72" x14ac:dyDescent="0.25">
      <c r="A106" s="90">
        <v>36164</v>
      </c>
      <c r="B106" s="20">
        <v>0.66666666666666663</v>
      </c>
      <c r="D106">
        <v>35.96</v>
      </c>
      <c r="E106" t="str">
        <f t="shared" si="38"/>
        <v>WEEKDAY</v>
      </c>
      <c r="F106" t="e">
        <f t="shared" si="35"/>
        <v>#N/A</v>
      </c>
      <c r="G106" s="74">
        <v>27763</v>
      </c>
      <c r="H106" s="77">
        <v>0.66666666666666663</v>
      </c>
      <c r="J106">
        <v>30.92</v>
      </c>
      <c r="M106" s="74">
        <v>37625</v>
      </c>
      <c r="N106" s="77">
        <v>0.66666666666666663</v>
      </c>
      <c r="P106">
        <v>30.2</v>
      </c>
      <c r="S106" s="74">
        <v>36164</v>
      </c>
      <c r="T106" s="77">
        <v>0.66666666666666663</v>
      </c>
      <c r="V106">
        <v>28.04</v>
      </c>
      <c r="X106" s="42"/>
      <c r="AB106">
        <v>38.799999999999997</v>
      </c>
      <c r="AC106">
        <v>55.94</v>
      </c>
      <c r="AE106" s="74"/>
      <c r="AF106" s="77"/>
      <c r="AH106" s="497">
        <v>46.4</v>
      </c>
      <c r="AJ106" s="42"/>
      <c r="AK106" s="74"/>
      <c r="AL106" s="77"/>
      <c r="AN106" s="497">
        <v>23</v>
      </c>
      <c r="AP106" s="42"/>
      <c r="AQ106" s="74"/>
      <c r="AR106" s="77"/>
      <c r="AT106" s="497">
        <v>26.96</v>
      </c>
      <c r="AV106" s="42"/>
      <c r="AW106" s="74"/>
      <c r="AX106" s="77"/>
      <c r="BA106" s="497">
        <v>23</v>
      </c>
      <c r="BB106" s="42"/>
      <c r="BC106" s="74"/>
      <c r="BD106" s="77"/>
      <c r="BF106">
        <v>21.02</v>
      </c>
      <c r="BH106" s="42"/>
      <c r="BI106" s="74"/>
      <c r="BJ106" s="77"/>
      <c r="BL106" s="497">
        <v>17.96</v>
      </c>
      <c r="BN106" s="42"/>
      <c r="BO106" s="74"/>
      <c r="BP106" s="77"/>
      <c r="BR106" s="497">
        <v>8.0599999999999987</v>
      </c>
      <c r="BT106" s="42"/>
    </row>
    <row r="107" spans="1:72" x14ac:dyDescent="0.25">
      <c r="A107" s="90">
        <v>36164</v>
      </c>
      <c r="B107" s="20">
        <v>0.70833333333333337</v>
      </c>
      <c r="D107">
        <v>35.06</v>
      </c>
      <c r="E107" t="str">
        <f t="shared" si="38"/>
        <v>WEEKDAY</v>
      </c>
      <c r="F107" t="e">
        <f t="shared" ref="F107:F170" si="39">IF(E107="WEEKDAY",VLOOKUP(B107,$DD$19:$DG$42,2),IF(E107="SATURDAY",VLOOKUP(B107,$DD$19:$DG$42,3),VLOOKUP(B107,$DD$19:$DG$42,4)))</f>
        <v>#N/A</v>
      </c>
      <c r="G107" s="74">
        <v>27763</v>
      </c>
      <c r="H107" s="77">
        <v>0.70833333333333337</v>
      </c>
      <c r="J107">
        <v>30.92</v>
      </c>
      <c r="M107" s="74">
        <v>37625</v>
      </c>
      <c r="N107" s="77">
        <v>0.70833333333333337</v>
      </c>
      <c r="P107">
        <v>30.2</v>
      </c>
      <c r="S107" s="74">
        <v>36164</v>
      </c>
      <c r="T107" s="77">
        <v>0.70833333333333337</v>
      </c>
      <c r="V107">
        <v>26.96</v>
      </c>
      <c r="X107" s="42"/>
      <c r="AB107">
        <v>38.200000000000003</v>
      </c>
      <c r="AC107">
        <v>55.040000000000006</v>
      </c>
      <c r="AE107" s="74"/>
      <c r="AF107" s="77"/>
      <c r="AH107" s="497">
        <v>44.6</v>
      </c>
      <c r="AJ107" s="42"/>
      <c r="AK107" s="74"/>
      <c r="AL107" s="77"/>
      <c r="AN107" s="497">
        <v>21.92</v>
      </c>
      <c r="AP107" s="42"/>
      <c r="AQ107" s="74"/>
      <c r="AR107" s="77"/>
      <c r="AT107" s="497">
        <v>26.060000000000002</v>
      </c>
      <c r="AV107" s="42"/>
      <c r="AW107" s="74"/>
      <c r="AX107" s="77"/>
      <c r="BA107" s="497">
        <v>22.28</v>
      </c>
      <c r="BB107" s="42"/>
      <c r="BC107" s="74"/>
      <c r="BD107" s="77"/>
      <c r="BF107">
        <v>19.939999999999998</v>
      </c>
      <c r="BH107" s="42"/>
      <c r="BI107" s="74"/>
      <c r="BJ107" s="77"/>
      <c r="BL107" s="497">
        <v>17.96</v>
      </c>
      <c r="BN107" s="42"/>
      <c r="BO107" s="74"/>
      <c r="BP107" s="77"/>
      <c r="BR107" s="497">
        <v>8.0599999999999987</v>
      </c>
      <c r="BT107" s="42"/>
    </row>
    <row r="108" spans="1:72" x14ac:dyDescent="0.25">
      <c r="A108" s="90">
        <v>36164</v>
      </c>
      <c r="B108" s="20">
        <v>0.75</v>
      </c>
      <c r="D108">
        <v>35.06</v>
      </c>
      <c r="E108" t="str">
        <f t="shared" si="38"/>
        <v>WEEKDAY</v>
      </c>
      <c r="F108" t="e">
        <f t="shared" si="39"/>
        <v>#N/A</v>
      </c>
      <c r="G108" s="74">
        <v>27763</v>
      </c>
      <c r="H108" s="77">
        <v>0.75</v>
      </c>
      <c r="J108">
        <v>30.02</v>
      </c>
      <c r="M108" s="74">
        <v>37625</v>
      </c>
      <c r="N108" s="77">
        <v>0.75</v>
      </c>
      <c r="P108">
        <v>30.2</v>
      </c>
      <c r="S108" s="74">
        <v>36164</v>
      </c>
      <c r="T108" s="77">
        <v>0.75</v>
      </c>
      <c r="V108">
        <v>26.060000000000002</v>
      </c>
      <c r="X108" s="42"/>
      <c r="AB108">
        <v>37.1</v>
      </c>
      <c r="AC108">
        <v>55.040000000000006</v>
      </c>
      <c r="AE108" s="74"/>
      <c r="AF108" s="77"/>
      <c r="AH108" s="497">
        <v>44.6</v>
      </c>
      <c r="AJ108" s="42"/>
      <c r="AK108" s="74"/>
      <c r="AL108" s="77"/>
      <c r="AN108" s="497">
        <v>23</v>
      </c>
      <c r="AP108" s="42"/>
      <c r="AQ108" s="74"/>
      <c r="AR108" s="77"/>
      <c r="AT108" s="497">
        <v>26.96</v>
      </c>
      <c r="AV108" s="42"/>
      <c r="AW108" s="74"/>
      <c r="AX108" s="77"/>
      <c r="BA108" s="497">
        <v>21.740000000000002</v>
      </c>
      <c r="BB108" s="42"/>
      <c r="BC108" s="74"/>
      <c r="BD108" s="77"/>
      <c r="BF108">
        <v>19.939999999999998</v>
      </c>
      <c r="BH108" s="42"/>
      <c r="BI108" s="74"/>
      <c r="BJ108" s="77"/>
      <c r="BL108" s="497">
        <v>17.96</v>
      </c>
      <c r="BN108" s="42"/>
      <c r="BO108" s="74"/>
      <c r="BP108" s="77"/>
      <c r="BR108" s="497">
        <v>6.98</v>
      </c>
      <c r="BT108" s="42"/>
    </row>
    <row r="109" spans="1:72" x14ac:dyDescent="0.25">
      <c r="A109" s="90">
        <v>36164</v>
      </c>
      <c r="B109" s="20">
        <v>0.79166666666666663</v>
      </c>
      <c r="D109">
        <v>35.06</v>
      </c>
      <c r="E109" t="str">
        <f t="shared" si="38"/>
        <v>WEEKDAY</v>
      </c>
      <c r="F109" t="e">
        <f t="shared" si="39"/>
        <v>#N/A</v>
      </c>
      <c r="G109" s="74">
        <v>27763</v>
      </c>
      <c r="H109" s="77">
        <v>0.79166666666666663</v>
      </c>
      <c r="J109">
        <v>30.02</v>
      </c>
      <c r="M109" s="74">
        <v>37625</v>
      </c>
      <c r="N109" s="77">
        <v>0.79166666666666663</v>
      </c>
      <c r="P109">
        <v>30.2</v>
      </c>
      <c r="S109" s="74">
        <v>36164</v>
      </c>
      <c r="T109" s="77">
        <v>0.79166666666666663</v>
      </c>
      <c r="V109">
        <v>26.060000000000002</v>
      </c>
      <c r="X109" s="42"/>
      <c r="AB109">
        <v>36.6</v>
      </c>
      <c r="AC109">
        <v>57.019999999999996</v>
      </c>
      <c r="AE109" s="74"/>
      <c r="AF109" s="77"/>
      <c r="AH109" s="497">
        <v>44.6</v>
      </c>
      <c r="AJ109" s="42"/>
      <c r="AK109" s="74"/>
      <c r="AL109" s="77"/>
      <c r="AN109" s="497">
        <v>23</v>
      </c>
      <c r="AP109" s="42"/>
      <c r="AQ109" s="74"/>
      <c r="AR109" s="77"/>
      <c r="AT109" s="497">
        <v>28.04</v>
      </c>
      <c r="AV109" s="42"/>
      <c r="AW109" s="74"/>
      <c r="AX109" s="77"/>
      <c r="BA109" s="497">
        <v>21.02</v>
      </c>
      <c r="BB109" s="42"/>
      <c r="BC109" s="74"/>
      <c r="BD109" s="77"/>
      <c r="BF109">
        <v>19.04</v>
      </c>
      <c r="BH109" s="42"/>
      <c r="BI109" s="74"/>
      <c r="BJ109" s="77"/>
      <c r="BL109" s="497">
        <v>17.96</v>
      </c>
      <c r="BN109" s="42"/>
      <c r="BO109" s="74"/>
      <c r="BP109" s="77"/>
      <c r="BR109" s="497">
        <v>6.98</v>
      </c>
      <c r="BT109" s="42"/>
    </row>
    <row r="110" spans="1:72" x14ac:dyDescent="0.25">
      <c r="A110" s="90">
        <v>36164</v>
      </c>
      <c r="B110" s="20">
        <v>0.83333333333333337</v>
      </c>
      <c r="D110">
        <v>33.979999999999997</v>
      </c>
      <c r="E110" t="str">
        <f t="shared" si="38"/>
        <v>WEEKDAY</v>
      </c>
      <c r="F110" t="e">
        <f t="shared" si="39"/>
        <v>#N/A</v>
      </c>
      <c r="G110" s="74">
        <v>27763</v>
      </c>
      <c r="H110" s="77">
        <v>0.83333333333333337</v>
      </c>
      <c r="J110">
        <v>28.94</v>
      </c>
      <c r="M110" s="74">
        <v>37625</v>
      </c>
      <c r="N110" s="77">
        <v>0.83333333333333337</v>
      </c>
      <c r="P110">
        <v>30.2</v>
      </c>
      <c r="S110" s="74">
        <v>36164</v>
      </c>
      <c r="T110" s="77">
        <v>0.83333333333333337</v>
      </c>
      <c r="V110">
        <v>24.98</v>
      </c>
      <c r="X110" s="42"/>
      <c r="AB110">
        <v>36.200000000000003</v>
      </c>
      <c r="AC110">
        <v>55.040000000000006</v>
      </c>
      <c r="AE110" s="74"/>
      <c r="AF110" s="77"/>
      <c r="AH110" s="497">
        <v>42.8</v>
      </c>
      <c r="AJ110" s="42"/>
      <c r="AK110" s="74"/>
      <c r="AL110" s="77"/>
      <c r="AN110" s="497">
        <v>24.98</v>
      </c>
      <c r="AP110" s="42"/>
      <c r="AQ110" s="74"/>
      <c r="AR110" s="77"/>
      <c r="AT110" s="497">
        <v>28.04</v>
      </c>
      <c r="AV110" s="42"/>
      <c r="AW110" s="74"/>
      <c r="AX110" s="77"/>
      <c r="BA110" s="497">
        <v>20.66</v>
      </c>
      <c r="BB110" s="42"/>
      <c r="BC110" s="74"/>
      <c r="BD110" s="77"/>
      <c r="BF110">
        <v>19.04</v>
      </c>
      <c r="BH110" s="42"/>
      <c r="BI110" s="74"/>
      <c r="BJ110" s="77"/>
      <c r="BL110" s="497">
        <v>17.96</v>
      </c>
      <c r="BN110" s="42"/>
      <c r="BO110" s="74"/>
      <c r="BP110" s="77"/>
      <c r="BR110" s="497">
        <v>8.0599999999999987</v>
      </c>
      <c r="BT110" s="42"/>
    </row>
    <row r="111" spans="1:72" x14ac:dyDescent="0.25">
      <c r="A111" s="90">
        <v>36164</v>
      </c>
      <c r="B111" s="20">
        <v>0.875</v>
      </c>
      <c r="D111">
        <v>33.979999999999997</v>
      </c>
      <c r="E111" t="str">
        <f t="shared" si="38"/>
        <v>WEEKDAY</v>
      </c>
      <c r="F111" t="e">
        <f t="shared" si="39"/>
        <v>#N/A</v>
      </c>
      <c r="G111" s="74">
        <v>27763</v>
      </c>
      <c r="H111" s="77">
        <v>0.875</v>
      </c>
      <c r="J111">
        <v>28.04</v>
      </c>
      <c r="M111" s="74">
        <v>37625</v>
      </c>
      <c r="N111" s="77">
        <v>0.875</v>
      </c>
      <c r="P111">
        <v>30.02</v>
      </c>
      <c r="S111" s="74">
        <v>36164</v>
      </c>
      <c r="T111" s="77">
        <v>0.875</v>
      </c>
      <c r="V111">
        <v>24.08</v>
      </c>
      <c r="X111" s="42"/>
      <c r="AB111">
        <v>35.799999999999997</v>
      </c>
      <c r="AC111">
        <v>51.08</v>
      </c>
      <c r="AE111" s="74"/>
      <c r="AF111" s="77"/>
      <c r="AH111" s="497">
        <v>42.8</v>
      </c>
      <c r="AJ111" s="42"/>
      <c r="AK111" s="74"/>
      <c r="AL111" s="77"/>
      <c r="AN111" s="497">
        <v>26.96</v>
      </c>
      <c r="AP111" s="42"/>
      <c r="AQ111" s="74"/>
      <c r="AR111" s="77"/>
      <c r="AT111" s="497">
        <v>26.96</v>
      </c>
      <c r="AV111" s="42"/>
      <c r="AW111" s="74"/>
      <c r="AX111" s="77"/>
      <c r="BA111" s="497">
        <v>20.299999999999997</v>
      </c>
      <c r="BB111" s="42"/>
      <c r="BC111" s="74"/>
      <c r="BD111" s="77"/>
      <c r="BF111">
        <v>19.04</v>
      </c>
      <c r="BH111" s="42"/>
      <c r="BI111" s="74"/>
      <c r="BJ111" s="77"/>
      <c r="BL111" s="497">
        <v>17.96</v>
      </c>
      <c r="BN111" s="42"/>
      <c r="BO111" s="74"/>
      <c r="BP111" s="77"/>
      <c r="BR111" s="497">
        <v>6.98</v>
      </c>
      <c r="BT111" s="42"/>
    </row>
    <row r="112" spans="1:72" x14ac:dyDescent="0.25">
      <c r="A112" s="90">
        <v>36164</v>
      </c>
      <c r="B112" s="20">
        <v>0.91666666666666663</v>
      </c>
      <c r="D112">
        <v>33.08</v>
      </c>
      <c r="E112" t="str">
        <f t="shared" si="38"/>
        <v>WEEKDAY</v>
      </c>
      <c r="F112" t="e">
        <f t="shared" si="39"/>
        <v>#N/A</v>
      </c>
      <c r="G112" s="74">
        <v>27763</v>
      </c>
      <c r="H112" s="77">
        <v>0.91666666666666663</v>
      </c>
      <c r="J112">
        <v>26.96</v>
      </c>
      <c r="M112" s="74">
        <v>37625</v>
      </c>
      <c r="N112" s="77">
        <v>0.91666666666666663</v>
      </c>
      <c r="P112">
        <v>30.2</v>
      </c>
      <c r="S112" s="74">
        <v>36164</v>
      </c>
      <c r="T112" s="77">
        <v>0.91666666666666663</v>
      </c>
      <c r="V112">
        <v>23</v>
      </c>
      <c r="X112" s="42"/>
      <c r="AB112">
        <v>35.299999999999997</v>
      </c>
      <c r="AC112">
        <v>50</v>
      </c>
      <c r="AE112" s="74"/>
      <c r="AF112" s="77"/>
      <c r="AH112" s="497">
        <v>41</v>
      </c>
      <c r="AJ112" s="42"/>
      <c r="AK112" s="74"/>
      <c r="AL112" s="77"/>
      <c r="AN112" s="497">
        <v>26.96</v>
      </c>
      <c r="AP112" s="42"/>
      <c r="AQ112" s="74"/>
      <c r="AR112" s="77"/>
      <c r="AT112" s="497">
        <v>26.96</v>
      </c>
      <c r="AV112" s="42"/>
      <c r="AW112" s="74"/>
      <c r="AX112" s="77"/>
      <c r="BA112" s="497">
        <v>19.939999999999998</v>
      </c>
      <c r="BB112" s="42"/>
      <c r="BC112" s="74"/>
      <c r="BD112" s="77"/>
      <c r="BF112">
        <v>19.04</v>
      </c>
      <c r="BH112" s="42"/>
      <c r="BI112" s="74"/>
      <c r="BJ112" s="77"/>
      <c r="BL112" s="497">
        <v>17.96</v>
      </c>
      <c r="BN112" s="42"/>
      <c r="BO112" s="74"/>
      <c r="BP112" s="77"/>
      <c r="BR112" s="497">
        <v>6.98</v>
      </c>
      <c r="BT112" s="42"/>
    </row>
    <row r="113" spans="1:72" x14ac:dyDescent="0.25">
      <c r="A113" s="90">
        <v>36164</v>
      </c>
      <c r="B113" s="20">
        <v>0.95833333333333337</v>
      </c>
      <c r="D113">
        <v>33.08</v>
      </c>
      <c r="E113" t="str">
        <f t="shared" si="38"/>
        <v>WEEKDAY</v>
      </c>
      <c r="F113" t="e">
        <f t="shared" si="39"/>
        <v>#N/A</v>
      </c>
      <c r="G113" s="74">
        <v>27763</v>
      </c>
      <c r="H113" s="77">
        <v>0.95833333333333337</v>
      </c>
      <c r="J113">
        <v>26.060000000000002</v>
      </c>
      <c r="M113" s="74">
        <v>37625</v>
      </c>
      <c r="N113" s="77">
        <v>0.95833333333333337</v>
      </c>
      <c r="P113">
        <v>30.2</v>
      </c>
      <c r="S113" s="74">
        <v>36164</v>
      </c>
      <c r="T113" s="77">
        <v>0.95833333333333337</v>
      </c>
      <c r="V113">
        <v>21.92</v>
      </c>
      <c r="X113" s="42"/>
      <c r="AB113">
        <v>34.799999999999997</v>
      </c>
      <c r="AC113">
        <v>50</v>
      </c>
      <c r="AE113" s="74"/>
      <c r="AF113" s="77"/>
      <c r="AH113" s="497">
        <v>39.200000000000003</v>
      </c>
      <c r="AJ113" s="42"/>
      <c r="AK113" s="74"/>
      <c r="AL113" s="77"/>
      <c r="AN113" s="497">
        <v>26.96</v>
      </c>
      <c r="AP113" s="42"/>
      <c r="AQ113" s="74"/>
      <c r="AR113" s="77"/>
      <c r="AT113" s="497">
        <v>26.96</v>
      </c>
      <c r="AV113" s="42"/>
      <c r="AW113" s="74"/>
      <c r="AX113" s="77"/>
      <c r="BA113" s="497">
        <v>20.66</v>
      </c>
      <c r="BB113" s="42"/>
      <c r="BC113" s="74"/>
      <c r="BD113" s="77"/>
      <c r="BF113">
        <v>19.939999999999998</v>
      </c>
      <c r="BH113" s="42"/>
      <c r="BI113" s="74"/>
      <c r="BJ113" s="77"/>
      <c r="BL113" s="497">
        <v>17.96</v>
      </c>
      <c r="BN113" s="42"/>
      <c r="BO113" s="74"/>
      <c r="BP113" s="77"/>
      <c r="BR113" s="497">
        <v>6.98</v>
      </c>
      <c r="BT113" s="42"/>
    </row>
    <row r="114" spans="1:72" x14ac:dyDescent="0.25">
      <c r="A114" s="90">
        <v>36164</v>
      </c>
      <c r="B114" s="20">
        <v>1</v>
      </c>
      <c r="D114">
        <v>32</v>
      </c>
      <c r="E114" t="str">
        <f t="shared" si="38"/>
        <v>WEEKDAY</v>
      </c>
      <c r="F114" t="e">
        <f t="shared" si="39"/>
        <v>#N/A</v>
      </c>
      <c r="G114" s="74">
        <v>27763</v>
      </c>
      <c r="H114" s="77">
        <v>1</v>
      </c>
      <c r="J114">
        <v>26.060000000000002</v>
      </c>
      <c r="M114" s="74">
        <v>37625</v>
      </c>
      <c r="N114" s="80">
        <v>1</v>
      </c>
      <c r="P114">
        <v>30.2</v>
      </c>
      <c r="S114" s="74">
        <v>36164</v>
      </c>
      <c r="T114" s="80">
        <v>1</v>
      </c>
      <c r="V114">
        <v>21.02</v>
      </c>
      <c r="X114" s="42"/>
      <c r="AB114">
        <v>34.4</v>
      </c>
      <c r="AC114">
        <v>48.92</v>
      </c>
      <c r="AE114" s="74"/>
      <c r="AF114" s="80"/>
      <c r="AH114" s="497">
        <v>39.200000000000003</v>
      </c>
      <c r="AJ114" s="42"/>
      <c r="AK114" s="74"/>
      <c r="AL114" s="80"/>
      <c r="AN114" s="497">
        <v>26.96</v>
      </c>
      <c r="AP114" s="42"/>
      <c r="AQ114" s="74"/>
      <c r="AR114" s="80"/>
      <c r="AT114" s="497">
        <v>26.96</v>
      </c>
      <c r="AV114" s="42"/>
      <c r="AW114" s="74"/>
      <c r="AX114" s="80"/>
      <c r="BA114" s="497">
        <v>21.2</v>
      </c>
      <c r="BB114" s="42"/>
      <c r="BC114" s="74"/>
      <c r="BD114" s="80"/>
      <c r="BF114">
        <v>19.939999999999998</v>
      </c>
      <c r="BH114" s="42"/>
      <c r="BI114" s="74"/>
      <c r="BJ114" s="80"/>
      <c r="BL114" s="497">
        <v>17.96</v>
      </c>
      <c r="BN114" s="42"/>
      <c r="BO114" s="74"/>
      <c r="BP114" s="80"/>
      <c r="BR114" s="497">
        <v>6.98</v>
      </c>
      <c r="BT114" s="42"/>
    </row>
    <row r="115" spans="1:72" x14ac:dyDescent="0.25">
      <c r="A115" s="90">
        <v>36165</v>
      </c>
      <c r="B115" s="20">
        <v>4.1666666666666664E-2</v>
      </c>
      <c r="D115">
        <v>32</v>
      </c>
      <c r="E115" t="str">
        <f t="shared" si="38"/>
        <v>WEEKDAY</v>
      </c>
      <c r="F115" t="e">
        <f t="shared" si="39"/>
        <v>#N/A</v>
      </c>
      <c r="G115" s="74">
        <v>27764</v>
      </c>
      <c r="H115" s="77">
        <v>4.1666666666666664E-2</v>
      </c>
      <c r="J115">
        <v>24.98</v>
      </c>
      <c r="M115" s="74">
        <v>37626</v>
      </c>
      <c r="N115" s="77">
        <v>4.1666666666666664E-2</v>
      </c>
      <c r="P115">
        <v>30.2</v>
      </c>
      <c r="S115" s="74">
        <v>36165</v>
      </c>
      <c r="T115" s="77">
        <v>4.1666666666666664E-2</v>
      </c>
      <c r="V115">
        <v>21.02</v>
      </c>
      <c r="X115" s="42"/>
      <c r="AB115">
        <v>33.9</v>
      </c>
      <c r="AC115">
        <v>46.04</v>
      </c>
      <c r="AE115" s="74"/>
      <c r="AF115" s="77"/>
      <c r="AH115" s="497">
        <v>37.4</v>
      </c>
      <c r="AJ115" s="42"/>
      <c r="AK115" s="74"/>
      <c r="AL115" s="77"/>
      <c r="AN115" s="497">
        <v>28.04</v>
      </c>
      <c r="AP115" s="42"/>
      <c r="AQ115" s="74"/>
      <c r="AR115" s="77"/>
      <c r="AT115" s="497">
        <v>26.96</v>
      </c>
      <c r="AV115" s="42"/>
      <c r="AW115" s="74"/>
      <c r="AX115" s="77"/>
      <c r="BA115" s="497">
        <v>21.92</v>
      </c>
      <c r="BB115" s="42"/>
      <c r="BC115" s="74"/>
      <c r="BD115" s="77"/>
      <c r="BF115">
        <v>19.939999999999998</v>
      </c>
      <c r="BH115" s="42"/>
      <c r="BI115" s="74"/>
      <c r="BJ115" s="77"/>
      <c r="BL115" s="497">
        <v>17.96</v>
      </c>
      <c r="BN115" s="42"/>
      <c r="BO115" s="74"/>
      <c r="BP115" s="77"/>
      <c r="BR115" s="497">
        <v>6.98</v>
      </c>
      <c r="BT115" s="42"/>
    </row>
    <row r="116" spans="1:72" x14ac:dyDescent="0.25">
      <c r="A116" s="90">
        <v>36165</v>
      </c>
      <c r="B116" s="20">
        <v>8.3333333333333329E-2</v>
      </c>
      <c r="D116">
        <v>32</v>
      </c>
      <c r="E116" t="str">
        <f t="shared" si="38"/>
        <v>WEEKDAY</v>
      </c>
      <c r="F116" t="e">
        <f t="shared" si="39"/>
        <v>#N/A</v>
      </c>
      <c r="G116" s="74">
        <v>27764</v>
      </c>
      <c r="H116" s="77">
        <v>8.3333333333333329E-2</v>
      </c>
      <c r="J116">
        <v>24.98</v>
      </c>
      <c r="M116" s="74">
        <v>37626</v>
      </c>
      <c r="N116" s="77">
        <v>8.3333333333333329E-2</v>
      </c>
      <c r="P116">
        <v>28.4</v>
      </c>
      <c r="S116" s="74">
        <v>36165</v>
      </c>
      <c r="T116" s="77">
        <v>8.3333333333333329E-2</v>
      </c>
      <c r="V116">
        <v>19.939999999999998</v>
      </c>
      <c r="X116" s="42"/>
      <c r="AB116">
        <v>33.5</v>
      </c>
      <c r="AC116">
        <v>44.96</v>
      </c>
      <c r="AE116" s="74"/>
      <c r="AF116" s="77"/>
      <c r="AH116" s="497">
        <v>37.4</v>
      </c>
      <c r="AJ116" s="42"/>
      <c r="AK116" s="74"/>
      <c r="AL116" s="77"/>
      <c r="AN116" s="497">
        <v>28.94</v>
      </c>
      <c r="AP116" s="42"/>
      <c r="AQ116" s="74"/>
      <c r="AR116" s="77"/>
      <c r="AT116" s="497">
        <v>26.96</v>
      </c>
      <c r="AV116" s="42"/>
      <c r="AW116" s="74"/>
      <c r="AX116" s="77"/>
      <c r="BA116" s="497">
        <v>21.2</v>
      </c>
      <c r="BB116" s="42"/>
      <c r="BC116" s="74"/>
      <c r="BD116" s="77"/>
      <c r="BF116">
        <v>21.02</v>
      </c>
      <c r="BH116" s="42"/>
      <c r="BI116" s="74"/>
      <c r="BJ116" s="77"/>
      <c r="BL116" s="497">
        <v>18.68</v>
      </c>
      <c r="BN116" s="42"/>
      <c r="BO116" s="74"/>
      <c r="BP116" s="77"/>
      <c r="BR116" s="497">
        <v>8.0599999999999987</v>
      </c>
      <c r="BT116" s="42"/>
    </row>
    <row r="117" spans="1:72" x14ac:dyDescent="0.25">
      <c r="A117" s="90">
        <v>36165</v>
      </c>
      <c r="B117" s="20">
        <v>0.125</v>
      </c>
      <c r="D117">
        <v>30.92</v>
      </c>
      <c r="E117" t="str">
        <f t="shared" si="38"/>
        <v>WEEKDAY</v>
      </c>
      <c r="F117" t="e">
        <f t="shared" si="39"/>
        <v>#N/A</v>
      </c>
      <c r="G117" s="74">
        <v>27764</v>
      </c>
      <c r="H117" s="77">
        <v>0.125</v>
      </c>
      <c r="J117">
        <v>24.08</v>
      </c>
      <c r="M117" s="74">
        <v>37626</v>
      </c>
      <c r="N117" s="77">
        <v>0.125</v>
      </c>
      <c r="P117">
        <v>28.4</v>
      </c>
      <c r="S117" s="74">
        <v>36165</v>
      </c>
      <c r="T117" s="77">
        <v>0.125</v>
      </c>
      <c r="V117">
        <v>19.04</v>
      </c>
      <c r="X117" s="42"/>
      <c r="AB117">
        <v>33.299999999999997</v>
      </c>
      <c r="AC117">
        <v>42.08</v>
      </c>
      <c r="AE117" s="74"/>
      <c r="AF117" s="77"/>
      <c r="AH117" s="497">
        <v>37.4</v>
      </c>
      <c r="AJ117" s="42"/>
      <c r="AK117" s="74"/>
      <c r="AL117" s="77"/>
      <c r="AN117" s="497">
        <v>28.94</v>
      </c>
      <c r="AP117" s="42"/>
      <c r="AQ117" s="74"/>
      <c r="AR117" s="77"/>
      <c r="AT117" s="497">
        <v>26.96</v>
      </c>
      <c r="AV117" s="42"/>
      <c r="AW117" s="74"/>
      <c r="AX117" s="77"/>
      <c r="BA117" s="497">
        <v>20.66</v>
      </c>
      <c r="BB117" s="42"/>
      <c r="BC117" s="74"/>
      <c r="BD117" s="77"/>
      <c r="BF117">
        <v>21.02</v>
      </c>
      <c r="BH117" s="42"/>
      <c r="BI117" s="74"/>
      <c r="BJ117" s="77"/>
      <c r="BL117" s="497">
        <v>19.22</v>
      </c>
      <c r="BN117" s="42"/>
      <c r="BO117" s="74"/>
      <c r="BP117" s="77"/>
      <c r="BR117" s="497">
        <v>8.0599999999999987</v>
      </c>
      <c r="BT117" s="42"/>
    </row>
    <row r="118" spans="1:72" x14ac:dyDescent="0.25">
      <c r="A118" s="90">
        <v>36165</v>
      </c>
      <c r="B118" s="20">
        <v>0.16666666666666666</v>
      </c>
      <c r="D118">
        <v>30.92</v>
      </c>
      <c r="E118" t="str">
        <f t="shared" si="38"/>
        <v>WEEKDAY</v>
      </c>
      <c r="F118" t="e">
        <f t="shared" si="39"/>
        <v>#N/A</v>
      </c>
      <c r="G118" s="74">
        <v>27764</v>
      </c>
      <c r="H118" s="77">
        <v>0.16666666666666666</v>
      </c>
      <c r="J118">
        <v>24.08</v>
      </c>
      <c r="M118" s="74">
        <v>37626</v>
      </c>
      <c r="N118" s="77">
        <v>0.16666666666666666</v>
      </c>
      <c r="P118">
        <v>26.6</v>
      </c>
      <c r="S118" s="74">
        <v>36165</v>
      </c>
      <c r="T118" s="77">
        <v>0.16666666666666666</v>
      </c>
      <c r="V118">
        <v>19.04</v>
      </c>
      <c r="X118" s="42"/>
      <c r="AB118">
        <v>33</v>
      </c>
      <c r="AC118">
        <v>42.08</v>
      </c>
      <c r="AE118" s="74"/>
      <c r="AF118" s="77"/>
      <c r="AH118" s="497">
        <v>37.4</v>
      </c>
      <c r="AJ118" s="42"/>
      <c r="AK118" s="74"/>
      <c r="AL118" s="77"/>
      <c r="AN118" s="497">
        <v>28.94</v>
      </c>
      <c r="AP118" s="42"/>
      <c r="AQ118" s="74"/>
      <c r="AR118" s="77"/>
      <c r="AT118" s="497">
        <v>26.060000000000002</v>
      </c>
      <c r="AV118" s="42"/>
      <c r="AW118" s="74"/>
      <c r="AX118" s="77"/>
      <c r="BA118" s="497">
        <v>19.939999999999998</v>
      </c>
      <c r="BB118" s="42"/>
      <c r="BC118" s="74"/>
      <c r="BD118" s="77"/>
      <c r="BF118">
        <v>19.939999999999998</v>
      </c>
      <c r="BH118" s="42"/>
      <c r="BI118" s="74"/>
      <c r="BJ118" s="77"/>
      <c r="BL118" s="497">
        <v>19.939999999999998</v>
      </c>
      <c r="BN118" s="42"/>
      <c r="BO118" s="74"/>
      <c r="BP118" s="77"/>
      <c r="BR118" s="497">
        <v>8.0599999999999987</v>
      </c>
      <c r="BT118" s="42"/>
    </row>
    <row r="119" spans="1:72" x14ac:dyDescent="0.25">
      <c r="A119" s="90">
        <v>36165</v>
      </c>
      <c r="B119" s="20">
        <v>0.20833333333333334</v>
      </c>
      <c r="D119">
        <v>30.92</v>
      </c>
      <c r="E119" t="str">
        <f t="shared" si="38"/>
        <v>WEEKDAY</v>
      </c>
      <c r="F119" t="e">
        <f t="shared" si="39"/>
        <v>#N/A</v>
      </c>
      <c r="G119" s="74">
        <v>27764</v>
      </c>
      <c r="H119" s="77">
        <v>0.20833333333333334</v>
      </c>
      <c r="J119">
        <v>23</v>
      </c>
      <c r="M119" s="74">
        <v>37626</v>
      </c>
      <c r="N119" s="77">
        <v>0.20833333333333334</v>
      </c>
      <c r="P119">
        <v>28.4</v>
      </c>
      <c r="S119" s="74">
        <v>36165</v>
      </c>
      <c r="T119" s="77">
        <v>0.20833333333333334</v>
      </c>
      <c r="V119">
        <v>17.96</v>
      </c>
      <c r="X119" s="42"/>
      <c r="AB119">
        <v>32.799999999999997</v>
      </c>
      <c r="AC119">
        <v>41</v>
      </c>
      <c r="AE119" s="74"/>
      <c r="AF119" s="77"/>
      <c r="AH119" s="497">
        <v>35.6</v>
      </c>
      <c r="AJ119" s="42"/>
      <c r="AK119" s="74"/>
      <c r="AL119" s="77"/>
      <c r="AN119" s="497">
        <v>28.94</v>
      </c>
      <c r="AP119" s="42"/>
      <c r="AQ119" s="74"/>
      <c r="AR119" s="77"/>
      <c r="AT119" s="497">
        <v>26.060000000000002</v>
      </c>
      <c r="AV119" s="42"/>
      <c r="AW119" s="74"/>
      <c r="AX119" s="77"/>
      <c r="BA119" s="497">
        <v>19.579999999999998</v>
      </c>
      <c r="BB119" s="42"/>
      <c r="BC119" s="74"/>
      <c r="BD119" s="77"/>
      <c r="BF119">
        <v>19.939999999999998</v>
      </c>
      <c r="BH119" s="42"/>
      <c r="BI119" s="74"/>
      <c r="BJ119" s="77"/>
      <c r="BL119" s="497">
        <v>19.04</v>
      </c>
      <c r="BN119" s="42"/>
      <c r="BO119" s="74"/>
      <c r="BP119" s="77"/>
      <c r="BR119" s="497">
        <v>10.039999999999999</v>
      </c>
      <c r="BT119" s="42"/>
    </row>
    <row r="120" spans="1:72" x14ac:dyDescent="0.25">
      <c r="A120" s="90">
        <v>36165</v>
      </c>
      <c r="B120" s="20">
        <v>0.25</v>
      </c>
      <c r="D120">
        <v>30.02</v>
      </c>
      <c r="E120" t="str">
        <f t="shared" si="38"/>
        <v>WEEKDAY</v>
      </c>
      <c r="F120" t="e">
        <f t="shared" si="39"/>
        <v>#N/A</v>
      </c>
      <c r="G120" s="74">
        <v>27764</v>
      </c>
      <c r="H120" s="77">
        <v>0.25</v>
      </c>
      <c r="J120">
        <v>21.92</v>
      </c>
      <c r="M120" s="74">
        <v>37626</v>
      </c>
      <c r="N120" s="77">
        <v>0.25</v>
      </c>
      <c r="P120">
        <v>26.6</v>
      </c>
      <c r="S120" s="74">
        <v>36165</v>
      </c>
      <c r="T120" s="77">
        <v>0.25</v>
      </c>
      <c r="V120">
        <v>17.96</v>
      </c>
      <c r="X120" s="42"/>
      <c r="AB120">
        <v>32.700000000000003</v>
      </c>
      <c r="AC120">
        <v>39.019999999999996</v>
      </c>
      <c r="AE120" s="74"/>
      <c r="AF120" s="77"/>
      <c r="AH120" s="497">
        <v>35.6</v>
      </c>
      <c r="AJ120" s="42"/>
      <c r="AK120" s="74"/>
      <c r="AL120" s="77"/>
      <c r="AN120" s="497">
        <v>28.94</v>
      </c>
      <c r="AP120" s="42"/>
      <c r="AQ120" s="74"/>
      <c r="AR120" s="77"/>
      <c r="AT120" s="497">
        <v>24.98</v>
      </c>
      <c r="AV120" s="42"/>
      <c r="AW120" s="74"/>
      <c r="AX120" s="77"/>
      <c r="BA120" s="497">
        <v>19.399999999999999</v>
      </c>
      <c r="BB120" s="42"/>
      <c r="BC120" s="74"/>
      <c r="BD120" s="77"/>
      <c r="BF120">
        <v>19.04</v>
      </c>
      <c r="BH120" s="42"/>
      <c r="BI120" s="74"/>
      <c r="BJ120" s="77"/>
      <c r="BL120" s="497">
        <v>17.96</v>
      </c>
      <c r="BN120" s="42"/>
      <c r="BO120" s="74"/>
      <c r="BP120" s="77"/>
      <c r="BR120" s="497">
        <v>10.940000000000001</v>
      </c>
      <c r="BT120" s="42"/>
    </row>
    <row r="121" spans="1:72" x14ac:dyDescent="0.25">
      <c r="A121" s="90">
        <v>36165</v>
      </c>
      <c r="B121" s="20">
        <v>0.29166666666666669</v>
      </c>
      <c r="D121">
        <v>30.92</v>
      </c>
      <c r="E121" t="str">
        <f t="shared" si="38"/>
        <v>WEEKDAY</v>
      </c>
      <c r="F121" t="e">
        <f t="shared" si="39"/>
        <v>#N/A</v>
      </c>
      <c r="G121" s="74">
        <v>27764</v>
      </c>
      <c r="H121" s="77">
        <v>0.29166666666666669</v>
      </c>
      <c r="J121">
        <v>21.92</v>
      </c>
      <c r="M121" s="74">
        <v>37626</v>
      </c>
      <c r="N121" s="77">
        <v>0.29166666666666669</v>
      </c>
      <c r="P121">
        <v>23</v>
      </c>
      <c r="S121" s="74">
        <v>36165</v>
      </c>
      <c r="T121" s="77">
        <v>0.29166666666666669</v>
      </c>
      <c r="V121">
        <v>17.96</v>
      </c>
      <c r="X121" s="42"/>
      <c r="AB121">
        <v>32.6</v>
      </c>
      <c r="AC121">
        <v>37.04</v>
      </c>
      <c r="AE121" s="74"/>
      <c r="AF121" s="77"/>
      <c r="AH121" s="497">
        <v>35.6</v>
      </c>
      <c r="AJ121" s="42"/>
      <c r="AK121" s="74"/>
      <c r="AL121" s="77"/>
      <c r="AN121" s="497">
        <v>30.02</v>
      </c>
      <c r="AP121" s="42"/>
      <c r="AQ121" s="74"/>
      <c r="AR121" s="77"/>
      <c r="AT121" s="497">
        <v>26.060000000000002</v>
      </c>
      <c r="AV121" s="42"/>
      <c r="AW121" s="74"/>
      <c r="AX121" s="77"/>
      <c r="BA121" s="497">
        <v>19.04</v>
      </c>
      <c r="BB121" s="42"/>
      <c r="BC121" s="74"/>
      <c r="BD121" s="77"/>
      <c r="BF121">
        <v>19.04</v>
      </c>
      <c r="BH121" s="42"/>
      <c r="BI121" s="74"/>
      <c r="BJ121" s="77"/>
      <c r="BL121" s="497">
        <v>17.059999999999999</v>
      </c>
      <c r="BN121" s="42"/>
      <c r="BO121" s="74"/>
      <c r="BP121" s="77"/>
      <c r="BR121" s="497">
        <v>10.940000000000001</v>
      </c>
      <c r="BT121" s="42"/>
    </row>
    <row r="122" spans="1:72" x14ac:dyDescent="0.25">
      <c r="A122" s="90">
        <v>36165</v>
      </c>
      <c r="B122" s="20">
        <v>0.33333333333333331</v>
      </c>
      <c r="D122">
        <v>30.92</v>
      </c>
      <c r="E122" t="str">
        <f t="shared" si="38"/>
        <v>WEEKDAY</v>
      </c>
      <c r="F122" t="e">
        <f t="shared" si="39"/>
        <v>#N/A</v>
      </c>
      <c r="G122" s="74">
        <v>27764</v>
      </c>
      <c r="H122" s="77">
        <v>0.33333333333333331</v>
      </c>
      <c r="J122">
        <v>21.92</v>
      </c>
      <c r="M122" s="74">
        <v>37626</v>
      </c>
      <c r="N122" s="77">
        <v>0.33333333333333331</v>
      </c>
      <c r="P122">
        <v>24.8</v>
      </c>
      <c r="S122" s="74">
        <v>36165</v>
      </c>
      <c r="T122" s="77">
        <v>0.33333333333333331</v>
      </c>
      <c r="V122">
        <v>19.04</v>
      </c>
      <c r="X122" s="42"/>
      <c r="AB122">
        <v>32.6</v>
      </c>
      <c r="AC122">
        <v>35.96</v>
      </c>
      <c r="AE122" s="74"/>
      <c r="AF122" s="77"/>
      <c r="AH122" s="497">
        <v>33.799999999999997</v>
      </c>
      <c r="AJ122" s="42"/>
      <c r="AK122" s="74"/>
      <c r="AL122" s="77"/>
      <c r="AN122" s="497">
        <v>30.02</v>
      </c>
      <c r="AP122" s="42"/>
      <c r="AQ122" s="74"/>
      <c r="AR122" s="77"/>
      <c r="AT122" s="497">
        <v>26.060000000000002</v>
      </c>
      <c r="AV122" s="42"/>
      <c r="AW122" s="74"/>
      <c r="AX122" s="77"/>
      <c r="BA122" s="497">
        <v>21.02</v>
      </c>
      <c r="BB122" s="42"/>
      <c r="BC122" s="74"/>
      <c r="BD122" s="77"/>
      <c r="BF122">
        <v>19.939999999999998</v>
      </c>
      <c r="BH122" s="42"/>
      <c r="BI122" s="74"/>
      <c r="BJ122" s="77"/>
      <c r="BL122" s="497">
        <v>20.12</v>
      </c>
      <c r="BN122" s="42"/>
      <c r="BO122" s="74"/>
      <c r="BP122" s="77"/>
      <c r="BR122" s="497">
        <v>12.920000000000002</v>
      </c>
      <c r="BT122" s="42"/>
    </row>
    <row r="123" spans="1:72" x14ac:dyDescent="0.25">
      <c r="A123" s="90">
        <v>36165</v>
      </c>
      <c r="B123" s="20">
        <v>0.375</v>
      </c>
      <c r="D123">
        <v>32</v>
      </c>
      <c r="E123" t="str">
        <f t="shared" si="38"/>
        <v>WEEKDAY</v>
      </c>
      <c r="F123" t="e">
        <f t="shared" si="39"/>
        <v>#N/A</v>
      </c>
      <c r="G123" s="74">
        <v>27764</v>
      </c>
      <c r="H123" s="77">
        <v>0.375</v>
      </c>
      <c r="J123">
        <v>21.92</v>
      </c>
      <c r="M123" s="74">
        <v>37626</v>
      </c>
      <c r="N123" s="77">
        <v>0.375</v>
      </c>
      <c r="P123">
        <v>28.4</v>
      </c>
      <c r="S123" s="74">
        <v>36165</v>
      </c>
      <c r="T123" s="77">
        <v>0.375</v>
      </c>
      <c r="V123">
        <v>19.939999999999998</v>
      </c>
      <c r="X123" s="42"/>
      <c r="AB123">
        <v>32.9</v>
      </c>
      <c r="AC123">
        <v>35.96</v>
      </c>
      <c r="AE123" s="74"/>
      <c r="AF123" s="77"/>
      <c r="AH123" s="497">
        <v>33.799999999999997</v>
      </c>
      <c r="AJ123" s="42"/>
      <c r="AK123" s="74"/>
      <c r="AL123" s="77"/>
      <c r="AN123" s="497">
        <v>30.02</v>
      </c>
      <c r="AP123" s="42"/>
      <c r="AQ123" s="74"/>
      <c r="AR123" s="77"/>
      <c r="AT123" s="497">
        <v>26.060000000000002</v>
      </c>
      <c r="AV123" s="42"/>
      <c r="AW123" s="74"/>
      <c r="AX123" s="77"/>
      <c r="BA123" s="497">
        <v>23</v>
      </c>
      <c r="BB123" s="42"/>
      <c r="BC123" s="74"/>
      <c r="BD123" s="77"/>
      <c r="BF123">
        <v>19.939999999999998</v>
      </c>
      <c r="BH123" s="42"/>
      <c r="BI123" s="74"/>
      <c r="BJ123" s="77"/>
      <c r="BL123" s="497">
        <v>23</v>
      </c>
      <c r="BN123" s="42"/>
      <c r="BO123" s="74"/>
      <c r="BP123" s="77"/>
      <c r="BR123" s="497">
        <v>12.920000000000002</v>
      </c>
      <c r="BT123" s="42"/>
    </row>
    <row r="124" spans="1:72" x14ac:dyDescent="0.25">
      <c r="A124" s="90">
        <v>36165</v>
      </c>
      <c r="B124" s="20">
        <v>0.41666666666666669</v>
      </c>
      <c r="D124">
        <v>33.979999999999997</v>
      </c>
      <c r="E124" t="str">
        <f t="shared" si="38"/>
        <v>WEEKDAY</v>
      </c>
      <c r="F124" t="e">
        <f t="shared" si="39"/>
        <v>#N/A</v>
      </c>
      <c r="G124" s="74">
        <v>27764</v>
      </c>
      <c r="H124" s="77">
        <v>0.41666666666666669</v>
      </c>
      <c r="J124">
        <v>21.92</v>
      </c>
      <c r="M124" s="74">
        <v>37626</v>
      </c>
      <c r="N124" s="77">
        <v>0.41666666666666669</v>
      </c>
      <c r="P124">
        <v>30.2</v>
      </c>
      <c r="S124" s="74">
        <v>36165</v>
      </c>
      <c r="T124" s="77">
        <v>0.41666666666666669</v>
      </c>
      <c r="V124">
        <v>23</v>
      </c>
      <c r="X124" s="42"/>
      <c r="AB124">
        <v>34.299999999999997</v>
      </c>
      <c r="AC124">
        <v>37.94</v>
      </c>
      <c r="AE124" s="74"/>
      <c r="AF124" s="77"/>
      <c r="AH124" s="497">
        <v>33.799999999999997</v>
      </c>
      <c r="AJ124" s="42"/>
      <c r="AK124" s="74"/>
      <c r="AL124" s="77"/>
      <c r="AN124" s="497">
        <v>30.92</v>
      </c>
      <c r="AP124" s="42"/>
      <c r="AQ124" s="74"/>
      <c r="AR124" s="77"/>
      <c r="AT124" s="497">
        <v>26.96</v>
      </c>
      <c r="AV124" s="42"/>
      <c r="AW124" s="74"/>
      <c r="AX124" s="77"/>
      <c r="BA124" s="497">
        <v>24.98</v>
      </c>
      <c r="BB124" s="42"/>
      <c r="BC124" s="74"/>
      <c r="BD124" s="77"/>
      <c r="BF124">
        <v>21.92</v>
      </c>
      <c r="BH124" s="42"/>
      <c r="BI124" s="74"/>
      <c r="BJ124" s="77"/>
      <c r="BL124" s="497">
        <v>26.060000000000002</v>
      </c>
      <c r="BN124" s="42"/>
      <c r="BO124" s="74"/>
      <c r="BP124" s="77"/>
      <c r="BR124" s="497">
        <v>14</v>
      </c>
      <c r="BT124" s="42"/>
    </row>
    <row r="125" spans="1:72" x14ac:dyDescent="0.25">
      <c r="A125" s="90">
        <v>36165</v>
      </c>
      <c r="B125" s="20">
        <v>0.45833333333333331</v>
      </c>
      <c r="D125">
        <v>35.96</v>
      </c>
      <c r="E125" t="str">
        <f t="shared" si="38"/>
        <v>WEEKDAY</v>
      </c>
      <c r="F125" t="e">
        <f t="shared" si="39"/>
        <v>#N/A</v>
      </c>
      <c r="G125" s="74">
        <v>27764</v>
      </c>
      <c r="H125" s="77">
        <v>0.45833333333333331</v>
      </c>
      <c r="J125">
        <v>21.92</v>
      </c>
      <c r="M125" s="74">
        <v>37626</v>
      </c>
      <c r="N125" s="77">
        <v>0.45833333333333331</v>
      </c>
      <c r="P125">
        <v>30.2</v>
      </c>
      <c r="S125" s="74">
        <v>36165</v>
      </c>
      <c r="T125" s="77">
        <v>0.45833333333333331</v>
      </c>
      <c r="V125">
        <v>24.98</v>
      </c>
      <c r="X125" s="42"/>
      <c r="AB125">
        <v>35.6</v>
      </c>
      <c r="AC125">
        <v>37.94</v>
      </c>
      <c r="AE125" s="74"/>
      <c r="AF125" s="77"/>
      <c r="AH125" s="497">
        <v>33.799999999999997</v>
      </c>
      <c r="AJ125" s="42"/>
      <c r="AK125" s="74"/>
      <c r="AL125" s="77"/>
      <c r="AN125" s="497">
        <v>32</v>
      </c>
      <c r="AP125" s="42"/>
      <c r="AQ125" s="74"/>
      <c r="AR125" s="77"/>
      <c r="AT125" s="497">
        <v>28.94</v>
      </c>
      <c r="AV125" s="42"/>
      <c r="AW125" s="74"/>
      <c r="AX125" s="77"/>
      <c r="BA125" s="497">
        <v>26.24</v>
      </c>
      <c r="BB125" s="42"/>
      <c r="BC125" s="74"/>
      <c r="BD125" s="77"/>
      <c r="BF125">
        <v>24.98</v>
      </c>
      <c r="BH125" s="42"/>
      <c r="BI125" s="74"/>
      <c r="BJ125" s="77"/>
      <c r="BL125" s="497">
        <v>26.42</v>
      </c>
      <c r="BN125" s="42"/>
      <c r="BO125" s="74"/>
      <c r="BP125" s="77"/>
      <c r="BR125" s="497">
        <v>15.079999999999998</v>
      </c>
      <c r="BT125" s="42"/>
    </row>
    <row r="126" spans="1:72" x14ac:dyDescent="0.25">
      <c r="A126" s="90">
        <v>36165</v>
      </c>
      <c r="B126" s="20">
        <v>0.5</v>
      </c>
      <c r="D126">
        <v>35.96</v>
      </c>
      <c r="E126" t="str">
        <f t="shared" si="38"/>
        <v>WEEKDAY</v>
      </c>
      <c r="F126" t="e">
        <f t="shared" si="39"/>
        <v>#N/A</v>
      </c>
      <c r="G126" s="74">
        <v>27764</v>
      </c>
      <c r="H126" s="77">
        <v>0.5</v>
      </c>
      <c r="J126">
        <v>23</v>
      </c>
      <c r="M126" s="74">
        <v>37626</v>
      </c>
      <c r="N126" s="77">
        <v>0.5</v>
      </c>
      <c r="P126">
        <v>30.2</v>
      </c>
      <c r="S126" s="74">
        <v>36165</v>
      </c>
      <c r="T126" s="77">
        <v>0.5</v>
      </c>
      <c r="V126">
        <v>26.060000000000002</v>
      </c>
      <c r="X126" s="42"/>
      <c r="AB126">
        <v>36.799999999999997</v>
      </c>
      <c r="AC126">
        <v>37.04</v>
      </c>
      <c r="AE126" s="74"/>
      <c r="AF126" s="77"/>
      <c r="AH126" s="497">
        <v>33.799999999999997</v>
      </c>
      <c r="AJ126" s="42"/>
      <c r="AK126" s="74"/>
      <c r="AL126" s="77"/>
      <c r="AN126" s="497">
        <v>26.96</v>
      </c>
      <c r="AP126" s="42"/>
      <c r="AQ126" s="74"/>
      <c r="AR126" s="77"/>
      <c r="AT126" s="497">
        <v>30.92</v>
      </c>
      <c r="AV126" s="42"/>
      <c r="AW126" s="74"/>
      <c r="AX126" s="77"/>
      <c r="BA126" s="497">
        <v>27.68</v>
      </c>
      <c r="BB126" s="42"/>
      <c r="BC126" s="74"/>
      <c r="BD126" s="77"/>
      <c r="BF126">
        <v>26.96</v>
      </c>
      <c r="BH126" s="42"/>
      <c r="BI126" s="74"/>
      <c r="BJ126" s="77"/>
      <c r="BL126" s="497">
        <v>26.6</v>
      </c>
      <c r="BN126" s="42"/>
      <c r="BO126" s="74"/>
      <c r="BP126" s="77"/>
      <c r="BR126" s="497">
        <v>14</v>
      </c>
      <c r="BT126" s="42"/>
    </row>
    <row r="127" spans="1:72" x14ac:dyDescent="0.25">
      <c r="A127" s="90">
        <v>36165</v>
      </c>
      <c r="B127" s="20">
        <v>0.54166666666666663</v>
      </c>
      <c r="D127">
        <v>37.94</v>
      </c>
      <c r="E127" t="str">
        <f t="shared" si="38"/>
        <v>WEEKDAY</v>
      </c>
      <c r="F127" t="e">
        <f t="shared" si="39"/>
        <v>#N/A</v>
      </c>
      <c r="G127" s="74">
        <v>27764</v>
      </c>
      <c r="H127" s="77">
        <v>0.54166666666666663</v>
      </c>
      <c r="J127">
        <v>24.08</v>
      </c>
      <c r="M127" s="74">
        <v>37626</v>
      </c>
      <c r="N127" s="77">
        <v>0.54166666666666663</v>
      </c>
      <c r="P127">
        <v>30.2</v>
      </c>
      <c r="S127" s="74">
        <v>36165</v>
      </c>
      <c r="T127" s="77">
        <v>0.54166666666666663</v>
      </c>
      <c r="V127">
        <v>28.04</v>
      </c>
      <c r="X127" s="42"/>
      <c r="AB127">
        <v>37.799999999999997</v>
      </c>
      <c r="AC127">
        <v>37.94</v>
      </c>
      <c r="AE127" s="74"/>
      <c r="AF127" s="77"/>
      <c r="AH127" s="497">
        <v>33.799999999999997</v>
      </c>
      <c r="AJ127" s="42"/>
      <c r="AK127" s="74"/>
      <c r="AL127" s="77"/>
      <c r="AN127" s="497">
        <v>26.96</v>
      </c>
      <c r="AP127" s="42"/>
      <c r="AQ127" s="74"/>
      <c r="AR127" s="77"/>
      <c r="AT127" s="497">
        <v>28.94</v>
      </c>
      <c r="AV127" s="42"/>
      <c r="AW127" s="74"/>
      <c r="AX127" s="77"/>
      <c r="BA127" s="497">
        <v>28.94</v>
      </c>
      <c r="BB127" s="42"/>
      <c r="BC127" s="74"/>
      <c r="BD127" s="77"/>
      <c r="BF127">
        <v>28.04</v>
      </c>
      <c r="BH127" s="42"/>
      <c r="BI127" s="74"/>
      <c r="BJ127" s="77"/>
      <c r="BL127" s="497">
        <v>26.96</v>
      </c>
      <c r="BN127" s="42"/>
      <c r="BO127" s="74"/>
      <c r="BP127" s="77"/>
      <c r="BR127" s="497">
        <v>15.079999999999998</v>
      </c>
      <c r="BT127" s="42"/>
    </row>
    <row r="128" spans="1:72" x14ac:dyDescent="0.25">
      <c r="A128" s="90">
        <v>36165</v>
      </c>
      <c r="B128" s="20">
        <v>0.58333333333333337</v>
      </c>
      <c r="D128">
        <v>39.019999999999996</v>
      </c>
      <c r="E128" t="str">
        <f t="shared" si="38"/>
        <v>WEEKDAY</v>
      </c>
      <c r="F128" t="e">
        <f t="shared" si="39"/>
        <v>#N/A</v>
      </c>
      <c r="G128" s="74">
        <v>27764</v>
      </c>
      <c r="H128" s="77">
        <v>0.58333333333333337</v>
      </c>
      <c r="J128">
        <v>24.98</v>
      </c>
      <c r="M128" s="74">
        <v>37626</v>
      </c>
      <c r="N128" s="77">
        <v>0.58333333333333337</v>
      </c>
      <c r="P128">
        <v>30.2</v>
      </c>
      <c r="S128" s="74">
        <v>36165</v>
      </c>
      <c r="T128" s="77">
        <v>0.58333333333333337</v>
      </c>
      <c r="V128">
        <v>28.94</v>
      </c>
      <c r="X128" s="42"/>
      <c r="AB128">
        <v>38.5</v>
      </c>
      <c r="AC128">
        <v>39.019999999999996</v>
      </c>
      <c r="AE128" s="74"/>
      <c r="AF128" s="77"/>
      <c r="AH128" s="497">
        <v>33.799999999999997</v>
      </c>
      <c r="AJ128" s="42"/>
      <c r="AK128" s="74"/>
      <c r="AL128" s="77"/>
      <c r="AN128" s="497">
        <v>26.96</v>
      </c>
      <c r="AP128" s="42"/>
      <c r="AQ128" s="74"/>
      <c r="AR128" s="77"/>
      <c r="AT128" s="497">
        <v>28.04</v>
      </c>
      <c r="AV128" s="42"/>
      <c r="AW128" s="74"/>
      <c r="AX128" s="77"/>
      <c r="BA128" s="497">
        <v>28.58</v>
      </c>
      <c r="BB128" s="42"/>
      <c r="BC128" s="74"/>
      <c r="BD128" s="77"/>
      <c r="BF128">
        <v>26.96</v>
      </c>
      <c r="BH128" s="42"/>
      <c r="BI128" s="74"/>
      <c r="BJ128" s="77"/>
      <c r="BL128" s="497">
        <v>26.24</v>
      </c>
      <c r="BN128" s="42"/>
      <c r="BO128" s="74"/>
      <c r="BP128" s="77"/>
      <c r="BR128" s="497">
        <v>15.079999999999998</v>
      </c>
      <c r="BT128" s="42"/>
    </row>
    <row r="129" spans="1:72" x14ac:dyDescent="0.25">
      <c r="A129" s="90">
        <v>36165</v>
      </c>
      <c r="B129" s="20">
        <v>0.625</v>
      </c>
      <c r="D129">
        <v>37.94</v>
      </c>
      <c r="E129" t="str">
        <f t="shared" si="38"/>
        <v>WEEKDAY</v>
      </c>
      <c r="F129" t="e">
        <f t="shared" si="39"/>
        <v>#N/A</v>
      </c>
      <c r="G129" s="74">
        <v>27764</v>
      </c>
      <c r="H129" s="77">
        <v>0.625</v>
      </c>
      <c r="J129">
        <v>24.98</v>
      </c>
      <c r="M129" s="74">
        <v>37626</v>
      </c>
      <c r="N129" s="77">
        <v>0.625</v>
      </c>
      <c r="P129">
        <v>32</v>
      </c>
      <c r="S129" s="74">
        <v>36165</v>
      </c>
      <c r="T129" s="77">
        <v>0.625</v>
      </c>
      <c r="V129">
        <v>28.94</v>
      </c>
      <c r="X129" s="42"/>
      <c r="AB129">
        <v>38.9</v>
      </c>
      <c r="AC129">
        <v>37.94</v>
      </c>
      <c r="AE129" s="74"/>
      <c r="AF129" s="77"/>
      <c r="AH129" s="497">
        <v>33.799999999999997</v>
      </c>
      <c r="AJ129" s="42"/>
      <c r="AK129" s="74"/>
      <c r="AL129" s="77"/>
      <c r="AN129" s="497">
        <v>24.08</v>
      </c>
      <c r="AP129" s="42"/>
      <c r="AQ129" s="74"/>
      <c r="AR129" s="77"/>
      <c r="AT129" s="497">
        <v>26.96</v>
      </c>
      <c r="AV129" s="42"/>
      <c r="AW129" s="74"/>
      <c r="AX129" s="77"/>
      <c r="BA129" s="497">
        <v>28.4</v>
      </c>
      <c r="BB129" s="42"/>
      <c r="BC129" s="74"/>
      <c r="BD129" s="77"/>
      <c r="BF129">
        <v>26.96</v>
      </c>
      <c r="BH129" s="42"/>
      <c r="BI129" s="74"/>
      <c r="BJ129" s="77"/>
      <c r="BL129" s="497">
        <v>25.7</v>
      </c>
      <c r="BN129" s="42"/>
      <c r="BO129" s="74"/>
      <c r="BP129" s="77"/>
      <c r="BR129" s="497">
        <v>15.98</v>
      </c>
      <c r="BT129" s="42"/>
    </row>
    <row r="130" spans="1:72" x14ac:dyDescent="0.25">
      <c r="A130" s="90">
        <v>36165</v>
      </c>
      <c r="B130" s="20">
        <v>0.66666666666666663</v>
      </c>
      <c r="D130">
        <v>39.019999999999996</v>
      </c>
      <c r="E130" t="str">
        <f t="shared" si="38"/>
        <v>WEEKDAY</v>
      </c>
      <c r="F130" t="e">
        <f t="shared" si="39"/>
        <v>#N/A</v>
      </c>
      <c r="G130" s="74">
        <v>27764</v>
      </c>
      <c r="H130" s="77">
        <v>0.66666666666666663</v>
      </c>
      <c r="J130">
        <v>26.060000000000002</v>
      </c>
      <c r="M130" s="74">
        <v>37626</v>
      </c>
      <c r="N130" s="77">
        <v>0.66666666666666663</v>
      </c>
      <c r="P130">
        <v>32</v>
      </c>
      <c r="S130" s="74">
        <v>36165</v>
      </c>
      <c r="T130" s="77">
        <v>0.66666666666666663</v>
      </c>
      <c r="V130">
        <v>28.04</v>
      </c>
      <c r="X130" s="42"/>
      <c r="AB130">
        <v>38.799999999999997</v>
      </c>
      <c r="AC130">
        <v>37.04</v>
      </c>
      <c r="AE130" s="74"/>
      <c r="AF130" s="77"/>
      <c r="AH130" s="497">
        <v>33.799999999999997</v>
      </c>
      <c r="AJ130" s="42"/>
      <c r="AK130" s="74"/>
      <c r="AL130" s="77"/>
      <c r="AN130" s="497">
        <v>24.08</v>
      </c>
      <c r="AP130" s="42"/>
      <c r="AQ130" s="74"/>
      <c r="AR130" s="77"/>
      <c r="AT130" s="497">
        <v>26.060000000000002</v>
      </c>
      <c r="AV130" s="42"/>
      <c r="AW130" s="74"/>
      <c r="AX130" s="77"/>
      <c r="BA130" s="497">
        <v>28.04</v>
      </c>
      <c r="BB130" s="42"/>
      <c r="BC130" s="74"/>
      <c r="BD130" s="77"/>
      <c r="BF130">
        <v>24.98</v>
      </c>
      <c r="BH130" s="42"/>
      <c r="BI130" s="74"/>
      <c r="BJ130" s="77"/>
      <c r="BL130" s="497">
        <v>24.98</v>
      </c>
      <c r="BN130" s="42"/>
      <c r="BO130" s="74"/>
      <c r="BP130" s="77"/>
      <c r="BR130" s="497">
        <v>15.98</v>
      </c>
      <c r="BT130" s="42"/>
    </row>
    <row r="131" spans="1:72" x14ac:dyDescent="0.25">
      <c r="A131" s="90">
        <v>36165</v>
      </c>
      <c r="B131" s="20">
        <v>0.70833333333333337</v>
      </c>
      <c r="D131">
        <v>39.92</v>
      </c>
      <c r="E131" t="str">
        <f t="shared" si="38"/>
        <v>WEEKDAY</v>
      </c>
      <c r="F131" t="e">
        <f t="shared" si="39"/>
        <v>#N/A</v>
      </c>
      <c r="G131" s="74">
        <v>27764</v>
      </c>
      <c r="H131" s="77">
        <v>0.70833333333333337</v>
      </c>
      <c r="J131">
        <v>26.060000000000002</v>
      </c>
      <c r="M131" s="74">
        <v>37626</v>
      </c>
      <c r="N131" s="77">
        <v>0.70833333333333337</v>
      </c>
      <c r="P131">
        <v>32</v>
      </c>
      <c r="S131" s="74">
        <v>36165</v>
      </c>
      <c r="T131" s="77">
        <v>0.70833333333333337</v>
      </c>
      <c r="V131">
        <v>26.96</v>
      </c>
      <c r="X131" s="42"/>
      <c r="AB131">
        <v>38.299999999999997</v>
      </c>
      <c r="AC131">
        <v>35.06</v>
      </c>
      <c r="AE131" s="74"/>
      <c r="AF131" s="77"/>
      <c r="AH131" s="497">
        <v>33.799999999999997</v>
      </c>
      <c r="AJ131" s="42"/>
      <c r="AK131" s="74"/>
      <c r="AL131" s="77"/>
      <c r="AN131" s="497">
        <v>24.08</v>
      </c>
      <c r="AP131" s="42"/>
      <c r="AQ131" s="74"/>
      <c r="AR131" s="77"/>
      <c r="AT131" s="497">
        <v>21.92</v>
      </c>
      <c r="AV131" s="42"/>
      <c r="AW131" s="74"/>
      <c r="AX131" s="77"/>
      <c r="BA131" s="497">
        <v>24.98</v>
      </c>
      <c r="BB131" s="42"/>
      <c r="BC131" s="74"/>
      <c r="BD131" s="77"/>
      <c r="BF131">
        <v>23</v>
      </c>
      <c r="BH131" s="42"/>
      <c r="BI131" s="74"/>
      <c r="BJ131" s="77"/>
      <c r="BL131" s="497">
        <v>23.9</v>
      </c>
      <c r="BN131" s="42"/>
      <c r="BO131" s="74"/>
      <c r="BP131" s="77"/>
      <c r="BR131" s="497">
        <v>14</v>
      </c>
      <c r="BT131" s="42"/>
    </row>
    <row r="132" spans="1:72" x14ac:dyDescent="0.25">
      <c r="A132" s="90">
        <v>36165</v>
      </c>
      <c r="B132" s="20">
        <v>0.75</v>
      </c>
      <c r="D132">
        <v>39.92</v>
      </c>
      <c r="E132" t="str">
        <f t="shared" si="38"/>
        <v>WEEKDAY</v>
      </c>
      <c r="F132" t="e">
        <f t="shared" si="39"/>
        <v>#N/A</v>
      </c>
      <c r="G132" s="74">
        <v>27764</v>
      </c>
      <c r="H132" s="77">
        <v>0.75</v>
      </c>
      <c r="J132">
        <v>24.08</v>
      </c>
      <c r="M132" s="74">
        <v>37626</v>
      </c>
      <c r="N132" s="77">
        <v>0.75</v>
      </c>
      <c r="P132">
        <v>30.2</v>
      </c>
      <c r="S132" s="74">
        <v>36165</v>
      </c>
      <c r="T132" s="77">
        <v>0.75</v>
      </c>
      <c r="V132">
        <v>24.98</v>
      </c>
      <c r="X132" s="42"/>
      <c r="AB132">
        <v>37.1</v>
      </c>
      <c r="AC132">
        <v>33.08</v>
      </c>
      <c r="AE132" s="74"/>
      <c r="AF132" s="77"/>
      <c r="AH132" s="497">
        <v>33.799999999999997</v>
      </c>
      <c r="AJ132" s="42"/>
      <c r="AK132" s="74"/>
      <c r="AL132" s="77"/>
      <c r="AN132" s="497">
        <v>21.92</v>
      </c>
      <c r="AP132" s="42"/>
      <c r="AQ132" s="74"/>
      <c r="AR132" s="77"/>
      <c r="AT132" s="497">
        <v>19.939999999999998</v>
      </c>
      <c r="AV132" s="42"/>
      <c r="AW132" s="74"/>
      <c r="AX132" s="77"/>
      <c r="BA132" s="497">
        <v>22.1</v>
      </c>
      <c r="BB132" s="42"/>
      <c r="BC132" s="74"/>
      <c r="BD132" s="77"/>
      <c r="BF132">
        <v>21.02</v>
      </c>
      <c r="BH132" s="42"/>
      <c r="BI132" s="74"/>
      <c r="BJ132" s="77"/>
      <c r="BL132" s="497">
        <v>23</v>
      </c>
      <c r="BN132" s="42"/>
      <c r="BO132" s="74"/>
      <c r="BP132" s="77"/>
      <c r="BR132" s="497">
        <v>14</v>
      </c>
      <c r="BT132" s="42"/>
    </row>
    <row r="133" spans="1:72" x14ac:dyDescent="0.25">
      <c r="A133" s="90">
        <v>36165</v>
      </c>
      <c r="B133" s="20">
        <v>0.79166666666666663</v>
      </c>
      <c r="D133">
        <v>39.92</v>
      </c>
      <c r="E133" t="str">
        <f t="shared" si="38"/>
        <v>WEEKDAY</v>
      </c>
      <c r="F133" t="e">
        <f t="shared" si="39"/>
        <v>#N/A</v>
      </c>
      <c r="G133" s="74">
        <v>27764</v>
      </c>
      <c r="H133" s="77">
        <v>0.79166666666666663</v>
      </c>
      <c r="J133">
        <v>24.08</v>
      </c>
      <c r="M133" s="74">
        <v>37626</v>
      </c>
      <c r="N133" s="77">
        <v>0.79166666666666663</v>
      </c>
      <c r="P133">
        <v>30.2</v>
      </c>
      <c r="S133" s="74">
        <v>36165</v>
      </c>
      <c r="T133" s="77">
        <v>0.79166666666666663</v>
      </c>
      <c r="V133">
        <v>26.060000000000002</v>
      </c>
      <c r="X133" s="42"/>
      <c r="AB133">
        <v>36.5</v>
      </c>
      <c r="AC133">
        <v>32</v>
      </c>
      <c r="AE133" s="74"/>
      <c r="AF133" s="77"/>
      <c r="AH133" s="497">
        <v>32</v>
      </c>
      <c r="AJ133" s="42"/>
      <c r="AK133" s="74"/>
      <c r="AL133" s="77"/>
      <c r="AN133" s="497">
        <v>21.92</v>
      </c>
      <c r="AP133" s="42"/>
      <c r="AQ133" s="74"/>
      <c r="AR133" s="77"/>
      <c r="AT133" s="497">
        <v>19.04</v>
      </c>
      <c r="AV133" s="42"/>
      <c r="AW133" s="74"/>
      <c r="AX133" s="77"/>
      <c r="BA133" s="497">
        <v>19.04</v>
      </c>
      <c r="BB133" s="42"/>
      <c r="BC133" s="74"/>
      <c r="BD133" s="77"/>
      <c r="BF133">
        <v>19.04</v>
      </c>
      <c r="BH133" s="42"/>
      <c r="BI133" s="74"/>
      <c r="BJ133" s="77"/>
      <c r="BL133" s="497">
        <v>21.92</v>
      </c>
      <c r="BN133" s="42"/>
      <c r="BO133" s="74"/>
      <c r="BP133" s="77"/>
      <c r="BR133" s="497">
        <v>17.059999999999999</v>
      </c>
      <c r="BT133" s="42"/>
    </row>
    <row r="134" spans="1:72" x14ac:dyDescent="0.25">
      <c r="A134" s="90">
        <v>36165</v>
      </c>
      <c r="B134" s="20">
        <v>0.83333333333333337</v>
      </c>
      <c r="D134">
        <v>39.92</v>
      </c>
      <c r="E134" t="str">
        <f t="shared" si="38"/>
        <v>WEEKDAY</v>
      </c>
      <c r="F134" t="e">
        <f t="shared" si="39"/>
        <v>#N/A</v>
      </c>
      <c r="G134" s="74">
        <v>27764</v>
      </c>
      <c r="H134" s="77">
        <v>0.83333333333333337</v>
      </c>
      <c r="J134">
        <v>24.08</v>
      </c>
      <c r="M134" s="74">
        <v>37626</v>
      </c>
      <c r="N134" s="77">
        <v>0.83333333333333337</v>
      </c>
      <c r="P134">
        <v>28.4</v>
      </c>
      <c r="S134" s="74">
        <v>36165</v>
      </c>
      <c r="T134" s="77">
        <v>0.83333333333333337</v>
      </c>
      <c r="V134">
        <v>24.08</v>
      </c>
      <c r="X134" s="42"/>
      <c r="AB134">
        <v>36.200000000000003</v>
      </c>
      <c r="AC134">
        <v>32</v>
      </c>
      <c r="AE134" s="74"/>
      <c r="AF134" s="77"/>
      <c r="AH134" s="497">
        <v>32</v>
      </c>
      <c r="AJ134" s="42"/>
      <c r="AK134" s="74"/>
      <c r="AL134" s="77"/>
      <c r="AN134" s="497">
        <v>21.92</v>
      </c>
      <c r="AP134" s="42"/>
      <c r="AQ134" s="74"/>
      <c r="AR134" s="77"/>
      <c r="AT134" s="497">
        <v>19.04</v>
      </c>
      <c r="AV134" s="42"/>
      <c r="AW134" s="74"/>
      <c r="AX134" s="77"/>
      <c r="BA134" s="497">
        <v>17.96</v>
      </c>
      <c r="BB134" s="42"/>
      <c r="BC134" s="74"/>
      <c r="BD134" s="77"/>
      <c r="BF134">
        <v>17.96</v>
      </c>
      <c r="BH134" s="42"/>
      <c r="BI134" s="74"/>
      <c r="BJ134" s="77"/>
      <c r="BL134" s="497">
        <v>21.2</v>
      </c>
      <c r="BN134" s="42"/>
      <c r="BO134" s="74"/>
      <c r="BP134" s="77"/>
      <c r="BR134" s="497">
        <v>15.98</v>
      </c>
      <c r="BT134" s="42"/>
    </row>
    <row r="135" spans="1:72" x14ac:dyDescent="0.25">
      <c r="A135" s="90">
        <v>36165</v>
      </c>
      <c r="B135" s="20">
        <v>0.875</v>
      </c>
      <c r="D135">
        <v>39.019999999999996</v>
      </c>
      <c r="E135" t="str">
        <f t="shared" si="38"/>
        <v>WEEKDAY</v>
      </c>
      <c r="F135" t="e">
        <f t="shared" si="39"/>
        <v>#N/A</v>
      </c>
      <c r="G135" s="74">
        <v>27764</v>
      </c>
      <c r="H135" s="77">
        <v>0.875</v>
      </c>
      <c r="J135">
        <v>23</v>
      </c>
      <c r="M135" s="74">
        <v>37626</v>
      </c>
      <c r="N135" s="77">
        <v>0.875</v>
      </c>
      <c r="P135">
        <v>30.2</v>
      </c>
      <c r="S135" s="74">
        <v>36165</v>
      </c>
      <c r="T135" s="77">
        <v>0.875</v>
      </c>
      <c r="V135">
        <v>24.98</v>
      </c>
      <c r="X135" s="42"/>
      <c r="AB135">
        <v>35.700000000000003</v>
      </c>
      <c r="AC135">
        <v>30.92</v>
      </c>
      <c r="AE135" s="74"/>
      <c r="AF135" s="77"/>
      <c r="AH135" s="497">
        <v>30.2</v>
      </c>
      <c r="AJ135" s="42"/>
      <c r="AK135" s="74"/>
      <c r="AL135" s="77"/>
      <c r="AN135" s="497">
        <v>21.02</v>
      </c>
      <c r="AP135" s="42"/>
      <c r="AQ135" s="74"/>
      <c r="AR135" s="77"/>
      <c r="AT135" s="497">
        <v>17.059999999999999</v>
      </c>
      <c r="AV135" s="42"/>
      <c r="AW135" s="74"/>
      <c r="AX135" s="77"/>
      <c r="BA135" s="497">
        <v>17.059999999999999</v>
      </c>
      <c r="BB135" s="42"/>
      <c r="BC135" s="74"/>
      <c r="BD135" s="77"/>
      <c r="BF135">
        <v>19.939999999999998</v>
      </c>
      <c r="BH135" s="42"/>
      <c r="BI135" s="74"/>
      <c r="BJ135" s="77"/>
      <c r="BL135" s="497">
        <v>20.66</v>
      </c>
      <c r="BN135" s="42"/>
      <c r="BO135" s="74"/>
      <c r="BP135" s="77"/>
      <c r="BR135" s="497">
        <v>17.059999999999999</v>
      </c>
      <c r="BT135" s="42"/>
    </row>
    <row r="136" spans="1:72" x14ac:dyDescent="0.25">
      <c r="A136" s="90">
        <v>36165</v>
      </c>
      <c r="B136" s="20">
        <v>0.91666666666666663</v>
      </c>
      <c r="D136">
        <v>39.92</v>
      </c>
      <c r="E136" t="str">
        <f t="shared" si="38"/>
        <v>WEEKDAY</v>
      </c>
      <c r="F136" t="e">
        <f t="shared" si="39"/>
        <v>#N/A</v>
      </c>
      <c r="G136" s="74">
        <v>27764</v>
      </c>
      <c r="H136" s="77">
        <v>0.91666666666666663</v>
      </c>
      <c r="J136">
        <v>21.92</v>
      </c>
      <c r="M136" s="74">
        <v>37626</v>
      </c>
      <c r="N136" s="77">
        <v>0.91666666666666663</v>
      </c>
      <c r="P136">
        <v>30.2</v>
      </c>
      <c r="S136" s="74">
        <v>36165</v>
      </c>
      <c r="T136" s="77">
        <v>0.91666666666666663</v>
      </c>
      <c r="V136">
        <v>24.98</v>
      </c>
      <c r="X136" s="42"/>
      <c r="AB136">
        <v>35.299999999999997</v>
      </c>
      <c r="AC136">
        <v>30.02</v>
      </c>
      <c r="AE136" s="74"/>
      <c r="AF136" s="77"/>
      <c r="AH136" s="497">
        <v>28.4</v>
      </c>
      <c r="AJ136" s="42"/>
      <c r="AK136" s="74"/>
      <c r="AL136" s="77"/>
      <c r="AN136" s="497">
        <v>21.02</v>
      </c>
      <c r="AP136" s="42"/>
      <c r="AQ136" s="74"/>
      <c r="AR136" s="77"/>
      <c r="AT136" s="497">
        <v>17.059999999999999</v>
      </c>
      <c r="AV136" s="42"/>
      <c r="AW136" s="74"/>
      <c r="AX136" s="77"/>
      <c r="BA136" s="497">
        <v>15.98</v>
      </c>
      <c r="BB136" s="42"/>
      <c r="BC136" s="74"/>
      <c r="BD136" s="77"/>
      <c r="BF136">
        <v>17.059999999999999</v>
      </c>
      <c r="BH136" s="42"/>
      <c r="BI136" s="74"/>
      <c r="BJ136" s="77"/>
      <c r="BL136" s="497">
        <v>19.939999999999998</v>
      </c>
      <c r="BN136" s="42"/>
      <c r="BO136" s="74"/>
      <c r="BP136" s="77"/>
      <c r="BR136" s="497">
        <v>19.04</v>
      </c>
      <c r="BT136" s="42"/>
    </row>
    <row r="137" spans="1:72" x14ac:dyDescent="0.25">
      <c r="A137" s="90">
        <v>36165</v>
      </c>
      <c r="B137" s="20">
        <v>0.95833333333333337</v>
      </c>
      <c r="D137">
        <v>39.92</v>
      </c>
      <c r="E137" t="str">
        <f t="shared" si="38"/>
        <v>WEEKDAY</v>
      </c>
      <c r="F137" t="e">
        <f t="shared" si="39"/>
        <v>#N/A</v>
      </c>
      <c r="G137" s="74">
        <v>27764</v>
      </c>
      <c r="H137" s="77">
        <v>0.95833333333333337</v>
      </c>
      <c r="J137">
        <v>21.92</v>
      </c>
      <c r="M137" s="74">
        <v>37626</v>
      </c>
      <c r="N137" s="77">
        <v>0.95833333333333337</v>
      </c>
      <c r="P137">
        <v>30.2</v>
      </c>
      <c r="S137" s="74">
        <v>36165</v>
      </c>
      <c r="T137" s="77">
        <v>0.95833333333333337</v>
      </c>
      <c r="V137">
        <v>24.08</v>
      </c>
      <c r="X137" s="42"/>
      <c r="AB137">
        <v>34.9</v>
      </c>
      <c r="AC137">
        <v>28.04</v>
      </c>
      <c r="AE137" s="74"/>
      <c r="AF137" s="77"/>
      <c r="AH137" s="497">
        <v>28.4</v>
      </c>
      <c r="AJ137" s="42"/>
      <c r="AK137" s="74"/>
      <c r="AL137" s="77"/>
      <c r="AN137" s="497">
        <v>21.02</v>
      </c>
      <c r="AP137" s="42"/>
      <c r="AQ137" s="74"/>
      <c r="AR137" s="77"/>
      <c r="AT137" s="497">
        <v>19.939999999999998</v>
      </c>
      <c r="AV137" s="42"/>
      <c r="AW137" s="74"/>
      <c r="AX137" s="77"/>
      <c r="BA137" s="497">
        <v>14.719999999999999</v>
      </c>
      <c r="BB137" s="42"/>
      <c r="BC137" s="74"/>
      <c r="BD137" s="77"/>
      <c r="BF137">
        <v>15.98</v>
      </c>
      <c r="BH137" s="42"/>
      <c r="BI137" s="74"/>
      <c r="BJ137" s="77"/>
      <c r="BL137" s="497">
        <v>19.579999999999998</v>
      </c>
      <c r="BN137" s="42"/>
      <c r="BO137" s="74"/>
      <c r="BP137" s="77"/>
      <c r="BR137" s="497">
        <v>19.04</v>
      </c>
      <c r="BT137" s="42"/>
    </row>
    <row r="138" spans="1:72" x14ac:dyDescent="0.25">
      <c r="A138" s="90">
        <v>36165</v>
      </c>
      <c r="B138" s="20">
        <v>1</v>
      </c>
      <c r="D138">
        <v>39.92</v>
      </c>
      <c r="E138" t="str">
        <f t="shared" si="38"/>
        <v>WEEKDAY</v>
      </c>
      <c r="F138" t="e">
        <f t="shared" si="39"/>
        <v>#N/A</v>
      </c>
      <c r="G138" s="74">
        <v>27764</v>
      </c>
      <c r="H138" s="77">
        <v>1</v>
      </c>
      <c r="J138">
        <v>21.02</v>
      </c>
      <c r="M138" s="74">
        <v>37626</v>
      </c>
      <c r="N138" s="80">
        <v>1</v>
      </c>
      <c r="P138">
        <v>30.2</v>
      </c>
      <c r="S138" s="74">
        <v>36165</v>
      </c>
      <c r="T138" s="80">
        <v>1</v>
      </c>
      <c r="V138">
        <v>24.08</v>
      </c>
      <c r="X138" s="42"/>
      <c r="AB138">
        <v>34.5</v>
      </c>
      <c r="AC138">
        <v>24.98</v>
      </c>
      <c r="AE138" s="74"/>
      <c r="AF138" s="80"/>
      <c r="AH138" s="497">
        <v>26.6</v>
      </c>
      <c r="AJ138" s="42"/>
      <c r="AK138" s="74"/>
      <c r="AL138" s="80"/>
      <c r="AN138" s="497">
        <v>19.939999999999998</v>
      </c>
      <c r="AP138" s="42"/>
      <c r="AQ138" s="74"/>
      <c r="AR138" s="80"/>
      <c r="AT138" s="497">
        <v>19.939999999999998</v>
      </c>
      <c r="AV138" s="42"/>
      <c r="AW138" s="74"/>
      <c r="AX138" s="80"/>
      <c r="BA138" s="497">
        <v>13.279999999999998</v>
      </c>
      <c r="BB138" s="42"/>
      <c r="BC138" s="74"/>
      <c r="BD138" s="80"/>
      <c r="BF138">
        <v>14</v>
      </c>
      <c r="BH138" s="42"/>
      <c r="BI138" s="74"/>
      <c r="BJ138" s="80"/>
      <c r="BL138" s="497">
        <v>19.399999999999999</v>
      </c>
      <c r="BN138" s="42"/>
      <c r="BO138" s="74"/>
      <c r="BP138" s="80"/>
      <c r="BR138" s="497">
        <v>19.939999999999998</v>
      </c>
      <c r="BT138" s="42"/>
    </row>
    <row r="139" spans="1:72" x14ac:dyDescent="0.25">
      <c r="A139" s="90">
        <v>36166</v>
      </c>
      <c r="B139" s="20">
        <v>4.1666666666666664E-2</v>
      </c>
      <c r="D139">
        <v>39.019999999999996</v>
      </c>
      <c r="E139" t="str">
        <f t="shared" si="38"/>
        <v>WEEKDAY</v>
      </c>
      <c r="F139" t="e">
        <f t="shared" si="39"/>
        <v>#N/A</v>
      </c>
      <c r="G139" s="74">
        <v>27765</v>
      </c>
      <c r="H139" s="77">
        <v>4.1666666666666664E-2</v>
      </c>
      <c r="J139">
        <v>19.939999999999998</v>
      </c>
      <c r="M139" s="74">
        <v>37627</v>
      </c>
      <c r="N139" s="77">
        <v>4.1666666666666664E-2</v>
      </c>
      <c r="P139">
        <v>30.2</v>
      </c>
      <c r="S139" s="74">
        <v>36166</v>
      </c>
      <c r="T139" s="77">
        <v>4.1666666666666664E-2</v>
      </c>
      <c r="V139">
        <v>21.92</v>
      </c>
      <c r="X139" s="42"/>
      <c r="AB139">
        <v>34</v>
      </c>
      <c r="AC139">
        <v>24.08</v>
      </c>
      <c r="AE139" s="74"/>
      <c r="AF139" s="77"/>
      <c r="AH139" s="497">
        <v>26.6</v>
      </c>
      <c r="AJ139" s="42"/>
      <c r="AK139" s="74"/>
      <c r="AL139" s="77"/>
      <c r="AN139" s="497">
        <v>21.02</v>
      </c>
      <c r="AP139" s="42"/>
      <c r="AQ139" s="74"/>
      <c r="AR139" s="77"/>
      <c r="AT139" s="497">
        <v>17.96</v>
      </c>
      <c r="AV139" s="42"/>
      <c r="AW139" s="74"/>
      <c r="AX139" s="77"/>
      <c r="BA139" s="497">
        <v>12.02</v>
      </c>
      <c r="BB139" s="42"/>
      <c r="BC139" s="74"/>
      <c r="BD139" s="77"/>
      <c r="BF139">
        <v>14</v>
      </c>
      <c r="BH139" s="42"/>
      <c r="BI139" s="74"/>
      <c r="BJ139" s="77"/>
      <c r="BL139" s="497">
        <v>19.04</v>
      </c>
      <c r="BN139" s="42"/>
      <c r="BO139" s="74"/>
      <c r="BP139" s="77"/>
      <c r="BR139" s="497">
        <v>21.02</v>
      </c>
      <c r="BT139" s="42"/>
    </row>
    <row r="140" spans="1:72" x14ac:dyDescent="0.25">
      <c r="A140" s="90">
        <v>36166</v>
      </c>
      <c r="B140" s="20">
        <v>8.3333333333333329E-2</v>
      </c>
      <c r="D140">
        <v>39.92</v>
      </c>
      <c r="E140" t="str">
        <f t="shared" si="38"/>
        <v>WEEKDAY</v>
      </c>
      <c r="F140" t="e">
        <f t="shared" si="39"/>
        <v>#N/A</v>
      </c>
      <c r="G140" s="74">
        <v>27765</v>
      </c>
      <c r="H140" s="77">
        <v>8.3333333333333329E-2</v>
      </c>
      <c r="J140">
        <v>19.939999999999998</v>
      </c>
      <c r="M140" s="74">
        <v>37627</v>
      </c>
      <c r="N140" s="77">
        <v>8.3333333333333329E-2</v>
      </c>
      <c r="P140">
        <v>30.2</v>
      </c>
      <c r="S140" s="74">
        <v>36166</v>
      </c>
      <c r="T140" s="77">
        <v>8.3333333333333329E-2</v>
      </c>
      <c r="V140">
        <v>23</v>
      </c>
      <c r="X140" s="42"/>
      <c r="AB140">
        <v>33.6</v>
      </c>
      <c r="AC140">
        <v>21.02</v>
      </c>
      <c r="AE140" s="74"/>
      <c r="AF140" s="77"/>
      <c r="AH140" s="497">
        <v>26.6</v>
      </c>
      <c r="AJ140" s="42"/>
      <c r="AK140" s="74"/>
      <c r="AL140" s="77"/>
      <c r="AN140" s="497">
        <v>21.02</v>
      </c>
      <c r="AP140" s="42"/>
      <c r="AQ140" s="74"/>
      <c r="AR140" s="77"/>
      <c r="AT140" s="497">
        <v>17.059999999999999</v>
      </c>
      <c r="AV140" s="42"/>
      <c r="AW140" s="74"/>
      <c r="AX140" s="77"/>
      <c r="BA140" s="497">
        <v>10.940000000000001</v>
      </c>
      <c r="BB140" s="42"/>
      <c r="BC140" s="74"/>
      <c r="BD140" s="77"/>
      <c r="BF140">
        <v>12.920000000000002</v>
      </c>
      <c r="BH140" s="42"/>
      <c r="BI140" s="74"/>
      <c r="BJ140" s="77"/>
      <c r="BL140" s="497">
        <v>19.04</v>
      </c>
      <c r="BN140" s="42"/>
      <c r="BO140" s="74"/>
      <c r="BP140" s="77"/>
      <c r="BR140" s="497">
        <v>21.92</v>
      </c>
      <c r="BT140" s="42"/>
    </row>
    <row r="141" spans="1:72" x14ac:dyDescent="0.25">
      <c r="A141" s="90">
        <v>36166</v>
      </c>
      <c r="B141" s="20">
        <v>0.125</v>
      </c>
      <c r="D141">
        <v>39.92</v>
      </c>
      <c r="E141" t="str">
        <f t="shared" si="38"/>
        <v>WEEKDAY</v>
      </c>
      <c r="F141" t="e">
        <f t="shared" si="39"/>
        <v>#N/A</v>
      </c>
      <c r="G141" s="74">
        <v>27765</v>
      </c>
      <c r="H141" s="77">
        <v>0.125</v>
      </c>
      <c r="J141">
        <v>19.04</v>
      </c>
      <c r="M141" s="74">
        <v>37627</v>
      </c>
      <c r="N141" s="77">
        <v>0.125</v>
      </c>
      <c r="P141">
        <v>30.2</v>
      </c>
      <c r="S141" s="74">
        <v>36166</v>
      </c>
      <c r="T141" s="77">
        <v>0.125</v>
      </c>
      <c r="V141">
        <v>21.02</v>
      </c>
      <c r="X141" s="42"/>
      <c r="AB141">
        <v>33.299999999999997</v>
      </c>
      <c r="AC141">
        <v>21.92</v>
      </c>
      <c r="AE141" s="74"/>
      <c r="AF141" s="77"/>
      <c r="AH141" s="497">
        <v>26.6</v>
      </c>
      <c r="AJ141" s="42"/>
      <c r="AK141" s="74"/>
      <c r="AL141" s="77"/>
      <c r="AN141" s="497">
        <v>21.92</v>
      </c>
      <c r="AP141" s="42"/>
      <c r="AQ141" s="74"/>
      <c r="AR141" s="77"/>
      <c r="AT141" s="497">
        <v>17.059999999999999</v>
      </c>
      <c r="AV141" s="42"/>
      <c r="AW141" s="74"/>
      <c r="AX141" s="77"/>
      <c r="BA141" s="497">
        <v>10.039999999999999</v>
      </c>
      <c r="BB141" s="42"/>
      <c r="BC141" s="74"/>
      <c r="BD141" s="77"/>
      <c r="BF141">
        <v>12.920000000000002</v>
      </c>
      <c r="BH141" s="42"/>
      <c r="BI141" s="74"/>
      <c r="BJ141" s="77"/>
      <c r="BL141" s="497">
        <v>19.04</v>
      </c>
      <c r="BN141" s="42"/>
      <c r="BO141" s="74"/>
      <c r="BP141" s="77"/>
      <c r="BR141" s="497">
        <v>23</v>
      </c>
      <c r="BT141" s="42"/>
    </row>
    <row r="142" spans="1:72" x14ac:dyDescent="0.25">
      <c r="A142" s="90">
        <v>36166</v>
      </c>
      <c r="B142" s="20">
        <v>0.16666666666666666</v>
      </c>
      <c r="D142">
        <v>39.019999999999996</v>
      </c>
      <c r="E142" t="str">
        <f t="shared" si="38"/>
        <v>WEEKDAY</v>
      </c>
      <c r="F142" t="e">
        <f t="shared" si="39"/>
        <v>#N/A</v>
      </c>
      <c r="G142" s="74">
        <v>27765</v>
      </c>
      <c r="H142" s="77">
        <v>0.16666666666666666</v>
      </c>
      <c r="J142">
        <v>19.939999999999998</v>
      </c>
      <c r="M142" s="74">
        <v>37627</v>
      </c>
      <c r="N142" s="77">
        <v>0.16666666666666666</v>
      </c>
      <c r="P142">
        <v>30.2</v>
      </c>
      <c r="S142" s="74">
        <v>36166</v>
      </c>
      <c r="T142" s="77">
        <v>0.16666666666666666</v>
      </c>
      <c r="V142">
        <v>19.939999999999998</v>
      </c>
      <c r="X142" s="42"/>
      <c r="AB142">
        <v>33.1</v>
      </c>
      <c r="AC142">
        <v>21.02</v>
      </c>
      <c r="AE142" s="74"/>
      <c r="AF142" s="77"/>
      <c r="AH142" s="497">
        <v>26.6</v>
      </c>
      <c r="AJ142" s="42"/>
      <c r="AK142" s="74"/>
      <c r="AL142" s="77"/>
      <c r="AN142" s="497">
        <v>21.92</v>
      </c>
      <c r="AP142" s="42"/>
      <c r="AQ142" s="74"/>
      <c r="AR142" s="77"/>
      <c r="AT142" s="497">
        <v>21.02</v>
      </c>
      <c r="AV142" s="42"/>
      <c r="AW142" s="74"/>
      <c r="AX142" s="77"/>
      <c r="BA142" s="497">
        <v>8.9599999999999973</v>
      </c>
      <c r="BB142" s="42"/>
      <c r="BC142" s="74"/>
      <c r="BD142" s="77"/>
      <c r="BF142">
        <v>12.02</v>
      </c>
      <c r="BH142" s="42"/>
      <c r="BI142" s="74"/>
      <c r="BJ142" s="77"/>
      <c r="BL142" s="497">
        <v>19.04</v>
      </c>
      <c r="BN142" s="42"/>
      <c r="BO142" s="74"/>
      <c r="BP142" s="77"/>
      <c r="BR142" s="497">
        <v>21.02</v>
      </c>
      <c r="BT142" s="42"/>
    </row>
    <row r="143" spans="1:72" x14ac:dyDescent="0.25">
      <c r="A143" s="90">
        <v>36166</v>
      </c>
      <c r="B143" s="20">
        <v>0.20833333333333334</v>
      </c>
      <c r="D143">
        <v>39.92</v>
      </c>
      <c r="E143" t="str">
        <f t="shared" si="38"/>
        <v>WEEKDAY</v>
      </c>
      <c r="F143" t="e">
        <f t="shared" si="39"/>
        <v>#N/A</v>
      </c>
      <c r="G143" s="74">
        <v>27765</v>
      </c>
      <c r="H143" s="77">
        <v>0.20833333333333334</v>
      </c>
      <c r="J143">
        <v>19.939999999999998</v>
      </c>
      <c r="M143" s="74">
        <v>37627</v>
      </c>
      <c r="N143" s="77">
        <v>0.20833333333333334</v>
      </c>
      <c r="P143">
        <v>30.2</v>
      </c>
      <c r="S143" s="74">
        <v>36166</v>
      </c>
      <c r="T143" s="77">
        <v>0.20833333333333334</v>
      </c>
      <c r="V143">
        <v>19.04</v>
      </c>
      <c r="X143" s="42"/>
      <c r="AB143">
        <v>32.9</v>
      </c>
      <c r="AC143">
        <v>19.04</v>
      </c>
      <c r="AE143" s="74"/>
      <c r="AF143" s="77"/>
      <c r="AH143" s="497">
        <v>24.8</v>
      </c>
      <c r="AJ143" s="42"/>
      <c r="AK143" s="74"/>
      <c r="AL143" s="77"/>
      <c r="AN143" s="497">
        <v>21.92</v>
      </c>
      <c r="AP143" s="42"/>
      <c r="AQ143" s="74"/>
      <c r="AR143" s="77"/>
      <c r="AT143" s="497">
        <v>23</v>
      </c>
      <c r="AV143" s="42"/>
      <c r="AW143" s="74"/>
      <c r="AX143" s="77"/>
      <c r="BA143" s="497">
        <v>8.0599999999999987</v>
      </c>
      <c r="BB143" s="42"/>
      <c r="BC143" s="74"/>
      <c r="BD143" s="77"/>
      <c r="BF143">
        <v>10.940000000000001</v>
      </c>
      <c r="BH143" s="42"/>
      <c r="BI143" s="74"/>
      <c r="BJ143" s="77"/>
      <c r="BL143" s="497">
        <v>17.78</v>
      </c>
      <c r="BN143" s="42"/>
      <c r="BO143" s="74"/>
      <c r="BP143" s="77"/>
      <c r="BR143" s="497">
        <v>19.939999999999998</v>
      </c>
      <c r="BT143" s="42"/>
    </row>
    <row r="144" spans="1:72" x14ac:dyDescent="0.25">
      <c r="A144" s="90">
        <v>36166</v>
      </c>
      <c r="B144" s="20">
        <v>0.25</v>
      </c>
      <c r="D144">
        <v>39.92</v>
      </c>
      <c r="E144" t="str">
        <f t="shared" si="38"/>
        <v>WEEKDAY</v>
      </c>
      <c r="F144" t="e">
        <f t="shared" si="39"/>
        <v>#N/A</v>
      </c>
      <c r="G144" s="74">
        <v>27765</v>
      </c>
      <c r="H144" s="77">
        <v>0.25</v>
      </c>
      <c r="J144">
        <v>19.939999999999998</v>
      </c>
      <c r="M144" s="74">
        <v>37627</v>
      </c>
      <c r="N144" s="77">
        <v>0.25</v>
      </c>
      <c r="P144">
        <v>30.2</v>
      </c>
      <c r="S144" s="74">
        <v>36166</v>
      </c>
      <c r="T144" s="77">
        <v>0.25</v>
      </c>
      <c r="V144">
        <v>19.04</v>
      </c>
      <c r="X144" s="42"/>
      <c r="AB144">
        <v>32.700000000000003</v>
      </c>
      <c r="AC144">
        <v>19.04</v>
      </c>
      <c r="AE144" s="74"/>
      <c r="AF144" s="77"/>
      <c r="AH144" s="497">
        <v>24.8</v>
      </c>
      <c r="AJ144" s="42"/>
      <c r="AK144" s="74"/>
      <c r="AL144" s="77"/>
      <c r="AN144" s="497">
        <v>21.92</v>
      </c>
      <c r="AP144" s="42"/>
      <c r="AQ144" s="74"/>
      <c r="AR144" s="77"/>
      <c r="AT144" s="497">
        <v>24.08</v>
      </c>
      <c r="AV144" s="42"/>
      <c r="AW144" s="74"/>
      <c r="AX144" s="77"/>
      <c r="BA144" s="497">
        <v>6.98</v>
      </c>
      <c r="BB144" s="42"/>
      <c r="BC144" s="74"/>
      <c r="BD144" s="77"/>
      <c r="BF144">
        <v>10.940000000000001</v>
      </c>
      <c r="BH144" s="42"/>
      <c r="BI144" s="74"/>
      <c r="BJ144" s="77"/>
      <c r="BL144" s="497">
        <v>16.340000000000003</v>
      </c>
      <c r="BN144" s="42"/>
      <c r="BO144" s="74"/>
      <c r="BP144" s="77"/>
      <c r="BR144" s="497">
        <v>19.04</v>
      </c>
      <c r="BT144" s="42"/>
    </row>
    <row r="145" spans="1:72" x14ac:dyDescent="0.25">
      <c r="A145" s="90">
        <v>36166</v>
      </c>
      <c r="B145" s="20">
        <v>0.29166666666666669</v>
      </c>
      <c r="D145">
        <v>39.92</v>
      </c>
      <c r="E145" t="str">
        <f t="shared" si="38"/>
        <v>WEEKDAY</v>
      </c>
      <c r="F145" t="e">
        <f t="shared" si="39"/>
        <v>#N/A</v>
      </c>
      <c r="G145" s="74">
        <v>27765</v>
      </c>
      <c r="H145" s="77">
        <v>0.29166666666666669</v>
      </c>
      <c r="J145">
        <v>19.939999999999998</v>
      </c>
      <c r="M145" s="74">
        <v>37627</v>
      </c>
      <c r="N145" s="77">
        <v>0.29166666666666669</v>
      </c>
      <c r="P145">
        <v>30.2</v>
      </c>
      <c r="S145" s="74">
        <v>36166</v>
      </c>
      <c r="T145" s="77">
        <v>0.29166666666666669</v>
      </c>
      <c r="V145">
        <v>19.04</v>
      </c>
      <c r="X145" s="42"/>
      <c r="AB145">
        <v>32.700000000000003</v>
      </c>
      <c r="AC145">
        <v>21.02</v>
      </c>
      <c r="AE145" s="74"/>
      <c r="AF145" s="77"/>
      <c r="AH145" s="497">
        <v>24.8</v>
      </c>
      <c r="AJ145" s="42"/>
      <c r="AK145" s="74"/>
      <c r="AL145" s="77"/>
      <c r="AN145" s="497">
        <v>21.92</v>
      </c>
      <c r="AP145" s="42"/>
      <c r="AQ145" s="74"/>
      <c r="AR145" s="77"/>
      <c r="AT145" s="497">
        <v>24.98</v>
      </c>
      <c r="AV145" s="42"/>
      <c r="AW145" s="74"/>
      <c r="AX145" s="77"/>
      <c r="BA145" s="497">
        <v>6.0799999999999983</v>
      </c>
      <c r="BB145" s="42"/>
      <c r="BC145" s="74"/>
      <c r="BD145" s="77"/>
      <c r="BF145">
        <v>10.039999999999999</v>
      </c>
      <c r="BH145" s="42"/>
      <c r="BI145" s="74"/>
      <c r="BJ145" s="77"/>
      <c r="BL145" s="497">
        <v>15.079999999999998</v>
      </c>
      <c r="BN145" s="42"/>
      <c r="BO145" s="74"/>
      <c r="BP145" s="77"/>
      <c r="BR145" s="497">
        <v>17.96</v>
      </c>
      <c r="BT145" s="42"/>
    </row>
    <row r="146" spans="1:72" x14ac:dyDescent="0.25">
      <c r="A146" s="90">
        <v>36166</v>
      </c>
      <c r="B146" s="20">
        <v>0.33333333333333331</v>
      </c>
      <c r="D146">
        <v>39.92</v>
      </c>
      <c r="E146" t="str">
        <f t="shared" si="38"/>
        <v>WEEKDAY</v>
      </c>
      <c r="F146" t="e">
        <f t="shared" si="39"/>
        <v>#N/A</v>
      </c>
      <c r="G146" s="74">
        <v>27765</v>
      </c>
      <c r="H146" s="77">
        <v>0.33333333333333331</v>
      </c>
      <c r="J146">
        <v>21.02</v>
      </c>
      <c r="M146" s="74">
        <v>37627</v>
      </c>
      <c r="N146" s="77">
        <v>0.33333333333333331</v>
      </c>
      <c r="P146">
        <v>30.2</v>
      </c>
      <c r="S146" s="74">
        <v>36166</v>
      </c>
      <c r="T146" s="77">
        <v>0.33333333333333331</v>
      </c>
      <c r="V146">
        <v>19.939999999999998</v>
      </c>
      <c r="X146" s="42"/>
      <c r="AB146">
        <v>32.700000000000003</v>
      </c>
      <c r="AC146">
        <v>24.08</v>
      </c>
      <c r="AE146" s="74"/>
      <c r="AF146" s="77"/>
      <c r="AH146" s="497">
        <v>24.8</v>
      </c>
      <c r="AJ146" s="42"/>
      <c r="AK146" s="74"/>
      <c r="AL146" s="77"/>
      <c r="AN146" s="497">
        <v>23</v>
      </c>
      <c r="AP146" s="42"/>
      <c r="AQ146" s="74"/>
      <c r="AR146" s="77"/>
      <c r="AT146" s="497">
        <v>26.060000000000002</v>
      </c>
      <c r="AV146" s="42"/>
      <c r="AW146" s="74"/>
      <c r="AX146" s="77"/>
      <c r="BA146" s="497">
        <v>9.14</v>
      </c>
      <c r="BB146" s="42"/>
      <c r="BC146" s="74"/>
      <c r="BD146" s="77"/>
      <c r="BF146">
        <v>8.0599999999999987</v>
      </c>
      <c r="BH146" s="42"/>
      <c r="BI146" s="74"/>
      <c r="BJ146" s="77"/>
      <c r="BL146" s="497">
        <v>15.079999999999998</v>
      </c>
      <c r="BN146" s="42"/>
      <c r="BO146" s="74"/>
      <c r="BP146" s="77"/>
      <c r="BR146" s="497">
        <v>19.939999999999998</v>
      </c>
      <c r="BT146" s="42"/>
    </row>
    <row r="147" spans="1:72" x14ac:dyDescent="0.25">
      <c r="A147" s="90">
        <v>36166</v>
      </c>
      <c r="B147" s="20">
        <v>0.375</v>
      </c>
      <c r="D147">
        <v>42.08</v>
      </c>
      <c r="E147" t="str">
        <f t="shared" ref="E147:E210" si="40">IF(COUNTIF($DI$18:$DI$22, WEEKDAY(A147))=1, "WEEKDAY", IF(WEEKDAY(A147) = 1, "SUNDAY", "SATURDAY"))</f>
        <v>WEEKDAY</v>
      </c>
      <c r="F147" t="e">
        <f t="shared" si="39"/>
        <v>#N/A</v>
      </c>
      <c r="G147" s="74">
        <v>27765</v>
      </c>
      <c r="H147" s="77">
        <v>0.375</v>
      </c>
      <c r="J147">
        <v>23</v>
      </c>
      <c r="M147" s="74">
        <v>37627</v>
      </c>
      <c r="N147" s="77">
        <v>0.375</v>
      </c>
      <c r="P147">
        <v>30.2</v>
      </c>
      <c r="S147" s="74">
        <v>36166</v>
      </c>
      <c r="T147" s="77">
        <v>0.375</v>
      </c>
      <c r="V147">
        <v>23</v>
      </c>
      <c r="X147" s="42"/>
      <c r="AB147">
        <v>32.9</v>
      </c>
      <c r="AC147">
        <v>30.02</v>
      </c>
      <c r="AE147" s="74"/>
      <c r="AF147" s="77"/>
      <c r="AH147" s="497">
        <v>25.52</v>
      </c>
      <c r="AJ147" s="42"/>
      <c r="AK147" s="74"/>
      <c r="AL147" s="77"/>
      <c r="AN147" s="497">
        <v>19.939999999999998</v>
      </c>
      <c r="AP147" s="42"/>
      <c r="AQ147" s="74"/>
      <c r="AR147" s="77"/>
      <c r="AT147" s="497">
        <v>26.060000000000002</v>
      </c>
      <c r="AV147" s="42"/>
      <c r="AW147" s="74"/>
      <c r="AX147" s="77"/>
      <c r="BA147" s="497">
        <v>12.02</v>
      </c>
      <c r="BB147" s="42"/>
      <c r="BC147" s="74"/>
      <c r="BD147" s="77"/>
      <c r="BF147">
        <v>12.920000000000002</v>
      </c>
      <c r="BH147" s="42"/>
      <c r="BI147" s="74"/>
      <c r="BJ147" s="77"/>
      <c r="BL147" s="497">
        <v>15.079999999999998</v>
      </c>
      <c r="BN147" s="42"/>
      <c r="BO147" s="74"/>
      <c r="BP147" s="77"/>
      <c r="BR147" s="497">
        <v>19.04</v>
      </c>
      <c r="BT147" s="42"/>
    </row>
    <row r="148" spans="1:72" x14ac:dyDescent="0.25">
      <c r="A148" s="90">
        <v>36166</v>
      </c>
      <c r="B148" s="20">
        <v>0.41666666666666669</v>
      </c>
      <c r="D148">
        <v>42.08</v>
      </c>
      <c r="E148" t="str">
        <f t="shared" si="40"/>
        <v>WEEKDAY</v>
      </c>
      <c r="F148" t="e">
        <f t="shared" si="39"/>
        <v>#N/A</v>
      </c>
      <c r="G148" s="74">
        <v>27765</v>
      </c>
      <c r="H148" s="77">
        <v>0.41666666666666669</v>
      </c>
      <c r="J148">
        <v>24.98</v>
      </c>
      <c r="M148" s="74">
        <v>37627</v>
      </c>
      <c r="N148" s="77">
        <v>0.41666666666666669</v>
      </c>
      <c r="P148">
        <v>30.2</v>
      </c>
      <c r="S148" s="74">
        <v>36166</v>
      </c>
      <c r="T148" s="77">
        <v>0.41666666666666669</v>
      </c>
      <c r="V148">
        <v>24.08</v>
      </c>
      <c r="X148" s="42"/>
      <c r="AB148">
        <v>34.200000000000003</v>
      </c>
      <c r="AC148">
        <v>33.08</v>
      </c>
      <c r="AE148" s="74"/>
      <c r="AF148" s="77"/>
      <c r="AH148" s="497">
        <v>26.6</v>
      </c>
      <c r="AJ148" s="42"/>
      <c r="AK148" s="74"/>
      <c r="AL148" s="77"/>
      <c r="AN148" s="497">
        <v>19.939999999999998</v>
      </c>
      <c r="AP148" s="42"/>
      <c r="AQ148" s="74"/>
      <c r="AR148" s="77"/>
      <c r="AT148" s="497">
        <v>26.96</v>
      </c>
      <c r="AV148" s="42"/>
      <c r="AW148" s="74"/>
      <c r="AX148" s="77"/>
      <c r="BA148" s="497">
        <v>15.079999999999998</v>
      </c>
      <c r="BB148" s="42"/>
      <c r="BC148" s="74"/>
      <c r="BD148" s="77"/>
      <c r="BF148">
        <v>19.04</v>
      </c>
      <c r="BH148" s="42"/>
      <c r="BI148" s="74"/>
      <c r="BJ148" s="77"/>
      <c r="BL148" s="497">
        <v>15.079999999999998</v>
      </c>
      <c r="BN148" s="42"/>
      <c r="BO148" s="74"/>
      <c r="BP148" s="77"/>
      <c r="BR148" s="497">
        <v>17.059999999999999</v>
      </c>
      <c r="BT148" s="42"/>
    </row>
    <row r="149" spans="1:72" x14ac:dyDescent="0.25">
      <c r="A149" s="90">
        <v>36166</v>
      </c>
      <c r="B149" s="20">
        <v>0.45833333333333331</v>
      </c>
      <c r="D149">
        <v>42.980000000000004</v>
      </c>
      <c r="E149" t="str">
        <f t="shared" si="40"/>
        <v>WEEKDAY</v>
      </c>
      <c r="F149" t="e">
        <f t="shared" si="39"/>
        <v>#N/A</v>
      </c>
      <c r="G149" s="74">
        <v>27765</v>
      </c>
      <c r="H149" s="77">
        <v>0.45833333333333331</v>
      </c>
      <c r="J149">
        <v>26.96</v>
      </c>
      <c r="M149" s="74">
        <v>37627</v>
      </c>
      <c r="N149" s="77">
        <v>0.45833333333333331</v>
      </c>
      <c r="P149">
        <v>30.2</v>
      </c>
      <c r="S149" s="74">
        <v>36166</v>
      </c>
      <c r="T149" s="77">
        <v>0.45833333333333331</v>
      </c>
      <c r="V149">
        <v>24.98</v>
      </c>
      <c r="X149" s="42"/>
      <c r="AB149">
        <v>35.6</v>
      </c>
      <c r="AC149">
        <v>37.04</v>
      </c>
      <c r="AE149" s="74"/>
      <c r="AF149" s="77"/>
      <c r="AH149" s="497">
        <v>26.6</v>
      </c>
      <c r="AJ149" s="42"/>
      <c r="AK149" s="74"/>
      <c r="AL149" s="77"/>
      <c r="AN149" s="497">
        <v>21.02</v>
      </c>
      <c r="AP149" s="42"/>
      <c r="AQ149" s="74"/>
      <c r="AR149" s="77"/>
      <c r="AT149" s="497">
        <v>26.060000000000002</v>
      </c>
      <c r="AV149" s="42"/>
      <c r="AW149" s="74"/>
      <c r="AX149" s="77"/>
      <c r="BA149" s="497">
        <v>18.32</v>
      </c>
      <c r="BB149" s="42"/>
      <c r="BC149" s="74"/>
      <c r="BD149" s="77"/>
      <c r="BF149">
        <v>21.92</v>
      </c>
      <c r="BH149" s="42"/>
      <c r="BI149" s="74"/>
      <c r="BJ149" s="77"/>
      <c r="BL149" s="497">
        <v>17.78</v>
      </c>
      <c r="BN149" s="42"/>
      <c r="BO149" s="74"/>
      <c r="BP149" s="77"/>
      <c r="BR149" s="497">
        <v>15.98</v>
      </c>
      <c r="BT149" s="42"/>
    </row>
    <row r="150" spans="1:72" x14ac:dyDescent="0.25">
      <c r="A150" s="90">
        <v>36166</v>
      </c>
      <c r="B150" s="20">
        <v>0.5</v>
      </c>
      <c r="D150">
        <v>42.980000000000004</v>
      </c>
      <c r="E150" t="str">
        <f t="shared" si="40"/>
        <v>WEEKDAY</v>
      </c>
      <c r="F150" t="e">
        <f t="shared" si="39"/>
        <v>#N/A</v>
      </c>
      <c r="G150" s="74">
        <v>27765</v>
      </c>
      <c r="H150" s="77">
        <v>0.5</v>
      </c>
      <c r="J150">
        <v>28.04</v>
      </c>
      <c r="M150" s="74">
        <v>37627</v>
      </c>
      <c r="N150" s="77">
        <v>0.5</v>
      </c>
      <c r="P150">
        <v>30.2</v>
      </c>
      <c r="S150" s="74">
        <v>36166</v>
      </c>
      <c r="T150" s="77">
        <v>0.5</v>
      </c>
      <c r="V150">
        <v>26.96</v>
      </c>
      <c r="X150" s="42"/>
      <c r="AB150">
        <v>36.799999999999997</v>
      </c>
      <c r="AC150">
        <v>39.019999999999996</v>
      </c>
      <c r="AE150" s="74"/>
      <c r="AF150" s="77"/>
      <c r="AH150" s="497">
        <v>30.2</v>
      </c>
      <c r="AJ150" s="42"/>
      <c r="AK150" s="74"/>
      <c r="AL150" s="77"/>
      <c r="AN150" s="497">
        <v>21.92</v>
      </c>
      <c r="AP150" s="42"/>
      <c r="AQ150" s="74"/>
      <c r="AR150" s="77"/>
      <c r="AT150" s="497">
        <v>23</v>
      </c>
      <c r="AV150" s="42"/>
      <c r="AW150" s="74"/>
      <c r="AX150" s="77"/>
      <c r="BA150" s="497">
        <v>21.740000000000002</v>
      </c>
      <c r="BB150" s="42"/>
      <c r="BC150" s="74"/>
      <c r="BD150" s="77"/>
      <c r="BF150">
        <v>24.98</v>
      </c>
      <c r="BH150" s="42"/>
      <c r="BI150" s="74"/>
      <c r="BJ150" s="77"/>
      <c r="BL150" s="497">
        <v>20.299999999999997</v>
      </c>
      <c r="BN150" s="42"/>
      <c r="BO150" s="74"/>
      <c r="BP150" s="77"/>
      <c r="BR150" s="497">
        <v>15.079999999999998</v>
      </c>
      <c r="BT150" s="42"/>
    </row>
    <row r="151" spans="1:72" x14ac:dyDescent="0.25">
      <c r="A151" s="90">
        <v>36166</v>
      </c>
      <c r="B151" s="20">
        <v>0.54166666666666663</v>
      </c>
      <c r="D151">
        <v>44.06</v>
      </c>
      <c r="E151" t="str">
        <f t="shared" si="40"/>
        <v>WEEKDAY</v>
      </c>
      <c r="F151" t="e">
        <f t="shared" si="39"/>
        <v>#N/A</v>
      </c>
      <c r="G151" s="74">
        <v>27765</v>
      </c>
      <c r="H151" s="77">
        <v>0.54166666666666663</v>
      </c>
      <c r="J151">
        <v>28.94</v>
      </c>
      <c r="M151" s="74">
        <v>37627</v>
      </c>
      <c r="N151" s="77">
        <v>0.54166666666666663</v>
      </c>
      <c r="P151">
        <v>32</v>
      </c>
      <c r="S151" s="74">
        <v>36166</v>
      </c>
      <c r="T151" s="77">
        <v>0.54166666666666663</v>
      </c>
      <c r="V151">
        <v>28.04</v>
      </c>
      <c r="X151" s="42"/>
      <c r="AB151">
        <v>37.799999999999997</v>
      </c>
      <c r="AC151">
        <v>41</v>
      </c>
      <c r="AE151" s="74"/>
      <c r="AF151" s="77"/>
      <c r="AH151" s="497">
        <v>30.2</v>
      </c>
      <c r="AJ151" s="42"/>
      <c r="AK151" s="74"/>
      <c r="AL151" s="77"/>
      <c r="AN151" s="497">
        <v>21.02</v>
      </c>
      <c r="AP151" s="42"/>
      <c r="AQ151" s="74"/>
      <c r="AR151" s="77"/>
      <c r="AT151" s="497">
        <v>21.92</v>
      </c>
      <c r="AV151" s="42"/>
      <c r="AW151" s="74"/>
      <c r="AX151" s="77"/>
      <c r="BA151" s="497">
        <v>24.98</v>
      </c>
      <c r="BB151" s="42"/>
      <c r="BC151" s="74"/>
      <c r="BD151" s="77"/>
      <c r="BF151">
        <v>26.060000000000002</v>
      </c>
      <c r="BH151" s="42"/>
      <c r="BI151" s="74"/>
      <c r="BJ151" s="77"/>
      <c r="BL151" s="497">
        <v>23</v>
      </c>
      <c r="BN151" s="42"/>
      <c r="BO151" s="74"/>
      <c r="BP151" s="77"/>
      <c r="BR151" s="497">
        <v>15.98</v>
      </c>
      <c r="BT151" s="42"/>
    </row>
    <row r="152" spans="1:72" x14ac:dyDescent="0.25">
      <c r="A152" s="90">
        <v>36166</v>
      </c>
      <c r="B152" s="20">
        <v>0.58333333333333337</v>
      </c>
      <c r="D152">
        <v>42.08</v>
      </c>
      <c r="E152" t="str">
        <f t="shared" si="40"/>
        <v>WEEKDAY</v>
      </c>
      <c r="F152" t="e">
        <f t="shared" si="39"/>
        <v>#N/A</v>
      </c>
      <c r="G152" s="74">
        <v>27765</v>
      </c>
      <c r="H152" s="77">
        <v>0.58333333333333337</v>
      </c>
      <c r="J152">
        <v>30.02</v>
      </c>
      <c r="M152" s="74">
        <v>37627</v>
      </c>
      <c r="N152" s="77">
        <v>0.58333333333333337</v>
      </c>
      <c r="P152">
        <v>31.28</v>
      </c>
      <c r="S152" s="74">
        <v>36166</v>
      </c>
      <c r="T152" s="77">
        <v>0.58333333333333337</v>
      </c>
      <c r="V152">
        <v>28.94</v>
      </c>
      <c r="X152" s="42"/>
      <c r="AB152">
        <v>38.5</v>
      </c>
      <c r="AC152">
        <v>42.08</v>
      </c>
      <c r="AE152" s="74"/>
      <c r="AF152" s="77"/>
      <c r="AH152" s="497">
        <v>32</v>
      </c>
      <c r="AJ152" s="42"/>
      <c r="AK152" s="74"/>
      <c r="AL152" s="77"/>
      <c r="AN152" s="497">
        <v>19.939999999999998</v>
      </c>
      <c r="AP152" s="42"/>
      <c r="AQ152" s="74"/>
      <c r="AR152" s="77"/>
      <c r="AT152" s="497">
        <v>23</v>
      </c>
      <c r="AV152" s="42"/>
      <c r="AW152" s="74"/>
      <c r="AX152" s="77"/>
      <c r="BA152" s="497">
        <v>24.62</v>
      </c>
      <c r="BB152" s="42"/>
      <c r="BC152" s="74"/>
      <c r="BD152" s="77"/>
      <c r="BF152">
        <v>26.96</v>
      </c>
      <c r="BH152" s="42"/>
      <c r="BI152" s="74"/>
      <c r="BJ152" s="77"/>
      <c r="BL152" s="497">
        <v>23.36</v>
      </c>
      <c r="BN152" s="42"/>
      <c r="BO152" s="74"/>
      <c r="BP152" s="77"/>
      <c r="BR152" s="497">
        <v>14</v>
      </c>
      <c r="BT152" s="42"/>
    </row>
    <row r="153" spans="1:72" x14ac:dyDescent="0.25">
      <c r="A153" s="90">
        <v>36166</v>
      </c>
      <c r="B153" s="20">
        <v>0.625</v>
      </c>
      <c r="D153">
        <v>42.08</v>
      </c>
      <c r="E153" t="str">
        <f t="shared" si="40"/>
        <v>WEEKDAY</v>
      </c>
      <c r="F153" t="e">
        <f t="shared" si="39"/>
        <v>#N/A</v>
      </c>
      <c r="G153" s="74">
        <v>27765</v>
      </c>
      <c r="H153" s="77">
        <v>0.625</v>
      </c>
      <c r="J153">
        <v>30.92</v>
      </c>
      <c r="M153" s="74">
        <v>37627</v>
      </c>
      <c r="N153" s="77">
        <v>0.625</v>
      </c>
      <c r="P153">
        <v>30.2</v>
      </c>
      <c r="S153" s="74">
        <v>36166</v>
      </c>
      <c r="T153" s="77">
        <v>0.625</v>
      </c>
      <c r="V153">
        <v>30.92</v>
      </c>
      <c r="X153" s="42"/>
      <c r="AB153">
        <v>38.9</v>
      </c>
      <c r="AC153">
        <v>41</v>
      </c>
      <c r="AE153" s="74"/>
      <c r="AF153" s="77"/>
      <c r="AH153" s="497">
        <v>33.799999999999997</v>
      </c>
      <c r="AJ153" s="42"/>
      <c r="AK153" s="74"/>
      <c r="AL153" s="77"/>
      <c r="AN153" s="497">
        <v>21.02</v>
      </c>
      <c r="AP153" s="42"/>
      <c r="AQ153" s="74"/>
      <c r="AR153" s="77"/>
      <c r="AT153" s="497">
        <v>24.08</v>
      </c>
      <c r="AV153" s="42"/>
      <c r="AW153" s="74"/>
      <c r="AX153" s="77"/>
      <c r="BA153" s="497">
        <v>24.439999999999998</v>
      </c>
      <c r="BB153" s="42"/>
      <c r="BC153" s="74"/>
      <c r="BD153" s="77"/>
      <c r="BF153">
        <v>28.04</v>
      </c>
      <c r="BH153" s="42"/>
      <c r="BI153" s="74"/>
      <c r="BJ153" s="77"/>
      <c r="BL153" s="497">
        <v>23.72</v>
      </c>
      <c r="BN153" s="42"/>
      <c r="BO153" s="74"/>
      <c r="BP153" s="77"/>
      <c r="BR153" s="497">
        <v>15.079999999999998</v>
      </c>
      <c r="BT153" s="42"/>
    </row>
    <row r="154" spans="1:72" x14ac:dyDescent="0.25">
      <c r="A154" s="90">
        <v>36166</v>
      </c>
      <c r="B154" s="20">
        <v>0.66666666666666663</v>
      </c>
      <c r="D154">
        <v>41</v>
      </c>
      <c r="E154" t="str">
        <f t="shared" si="40"/>
        <v>WEEKDAY</v>
      </c>
      <c r="F154" t="e">
        <f t="shared" si="39"/>
        <v>#N/A</v>
      </c>
      <c r="G154" s="74">
        <v>27765</v>
      </c>
      <c r="H154" s="77">
        <v>0.66666666666666663</v>
      </c>
      <c r="J154">
        <v>30.02</v>
      </c>
      <c r="M154" s="74">
        <v>37627</v>
      </c>
      <c r="N154" s="77">
        <v>0.66666666666666663</v>
      </c>
      <c r="P154">
        <v>30.2</v>
      </c>
      <c r="S154" s="74">
        <v>36166</v>
      </c>
      <c r="T154" s="77">
        <v>0.66666666666666663</v>
      </c>
      <c r="V154">
        <v>32</v>
      </c>
      <c r="X154" s="42"/>
      <c r="AB154">
        <v>38.799999999999997</v>
      </c>
      <c r="AC154">
        <v>41</v>
      </c>
      <c r="AE154" s="74"/>
      <c r="AF154" s="77"/>
      <c r="AH154" s="497">
        <v>32</v>
      </c>
      <c r="AJ154" s="42"/>
      <c r="AK154" s="74"/>
      <c r="AL154" s="77"/>
      <c r="AN154" s="497">
        <v>19.04</v>
      </c>
      <c r="AP154" s="42"/>
      <c r="AQ154" s="74"/>
      <c r="AR154" s="77"/>
      <c r="AT154" s="497">
        <v>23</v>
      </c>
      <c r="AV154" s="42"/>
      <c r="AW154" s="74"/>
      <c r="AX154" s="77"/>
      <c r="BA154" s="497">
        <v>24.08</v>
      </c>
      <c r="BB154" s="42"/>
      <c r="BC154" s="74"/>
      <c r="BD154" s="77"/>
      <c r="BF154">
        <v>28.04</v>
      </c>
      <c r="BH154" s="42"/>
      <c r="BI154" s="74"/>
      <c r="BJ154" s="77"/>
      <c r="BL154" s="497">
        <v>24.08</v>
      </c>
      <c r="BN154" s="42"/>
      <c r="BO154" s="74"/>
      <c r="BP154" s="77"/>
      <c r="BR154" s="497">
        <v>14</v>
      </c>
      <c r="BT154" s="42"/>
    </row>
    <row r="155" spans="1:72" x14ac:dyDescent="0.25">
      <c r="A155" s="90">
        <v>36166</v>
      </c>
      <c r="B155" s="20">
        <v>0.70833333333333337</v>
      </c>
      <c r="D155">
        <v>42.08</v>
      </c>
      <c r="E155" t="str">
        <f t="shared" si="40"/>
        <v>WEEKDAY</v>
      </c>
      <c r="F155" t="e">
        <f t="shared" si="39"/>
        <v>#N/A</v>
      </c>
      <c r="G155" s="74">
        <v>27765</v>
      </c>
      <c r="H155" s="77">
        <v>0.70833333333333337</v>
      </c>
      <c r="J155">
        <v>30.92</v>
      </c>
      <c r="M155" s="74">
        <v>37627</v>
      </c>
      <c r="N155" s="77">
        <v>0.70833333333333337</v>
      </c>
      <c r="P155">
        <v>30.2</v>
      </c>
      <c r="S155" s="74">
        <v>36166</v>
      </c>
      <c r="T155" s="77">
        <v>0.70833333333333337</v>
      </c>
      <c r="V155">
        <v>32</v>
      </c>
      <c r="X155" s="42"/>
      <c r="AB155">
        <v>38.200000000000003</v>
      </c>
      <c r="AC155">
        <v>39.92</v>
      </c>
      <c r="AE155" s="74"/>
      <c r="AF155" s="77"/>
      <c r="AH155" s="497">
        <v>32</v>
      </c>
      <c r="AJ155" s="42"/>
      <c r="AK155" s="74"/>
      <c r="AL155" s="77"/>
      <c r="AN155" s="497">
        <v>17.96</v>
      </c>
      <c r="AP155" s="42"/>
      <c r="AQ155" s="74"/>
      <c r="AR155" s="77"/>
      <c r="AT155" s="497">
        <v>23</v>
      </c>
      <c r="AV155" s="42"/>
      <c r="AW155" s="74"/>
      <c r="AX155" s="77"/>
      <c r="BA155" s="497">
        <v>21.740000000000002</v>
      </c>
      <c r="BB155" s="42"/>
      <c r="BC155" s="74"/>
      <c r="BD155" s="77"/>
      <c r="BF155">
        <v>26.060000000000002</v>
      </c>
      <c r="BH155" s="42"/>
      <c r="BI155" s="74"/>
      <c r="BJ155" s="77"/>
      <c r="BL155" s="497">
        <v>22.64</v>
      </c>
      <c r="BN155" s="42"/>
      <c r="BO155" s="74"/>
      <c r="BP155" s="77"/>
      <c r="BR155" s="497">
        <v>10.940000000000001</v>
      </c>
      <c r="BT155" s="42"/>
    </row>
    <row r="156" spans="1:72" x14ac:dyDescent="0.25">
      <c r="A156" s="90">
        <v>36166</v>
      </c>
      <c r="B156" s="20">
        <v>0.75</v>
      </c>
      <c r="D156">
        <v>41</v>
      </c>
      <c r="E156" t="str">
        <f t="shared" si="40"/>
        <v>WEEKDAY</v>
      </c>
      <c r="F156" t="e">
        <f t="shared" si="39"/>
        <v>#N/A</v>
      </c>
      <c r="G156" s="74">
        <v>27765</v>
      </c>
      <c r="H156" s="77">
        <v>0.75</v>
      </c>
      <c r="J156">
        <v>30.02</v>
      </c>
      <c r="M156" s="74">
        <v>37627</v>
      </c>
      <c r="N156" s="77">
        <v>0.75</v>
      </c>
      <c r="P156">
        <v>28.4</v>
      </c>
      <c r="S156" s="74">
        <v>36166</v>
      </c>
      <c r="T156" s="77">
        <v>0.75</v>
      </c>
      <c r="V156">
        <v>30.92</v>
      </c>
      <c r="X156" s="42"/>
      <c r="AB156">
        <v>37</v>
      </c>
      <c r="AC156">
        <v>39.92</v>
      </c>
      <c r="AE156" s="74"/>
      <c r="AF156" s="77"/>
      <c r="AH156" s="497">
        <v>33.799999999999997</v>
      </c>
      <c r="AJ156" s="42"/>
      <c r="AK156" s="74"/>
      <c r="AL156" s="77"/>
      <c r="AN156" s="497">
        <v>17.059999999999999</v>
      </c>
      <c r="AP156" s="42"/>
      <c r="AQ156" s="74"/>
      <c r="AR156" s="77"/>
      <c r="AT156" s="497">
        <v>21.92</v>
      </c>
      <c r="AV156" s="42"/>
      <c r="AW156" s="74"/>
      <c r="AX156" s="77"/>
      <c r="BA156" s="497">
        <v>19.399999999999999</v>
      </c>
      <c r="BB156" s="42"/>
      <c r="BC156" s="74"/>
      <c r="BD156" s="77"/>
      <c r="BF156">
        <v>24.98</v>
      </c>
      <c r="BH156" s="42"/>
      <c r="BI156" s="74"/>
      <c r="BJ156" s="77"/>
      <c r="BL156" s="497">
        <v>21.38</v>
      </c>
      <c r="BN156" s="42"/>
      <c r="BO156" s="74"/>
      <c r="BP156" s="77"/>
      <c r="BR156" s="497">
        <v>8.0599999999999987</v>
      </c>
      <c r="BT156" s="42"/>
    </row>
    <row r="157" spans="1:72" x14ac:dyDescent="0.25">
      <c r="A157" s="90">
        <v>36166</v>
      </c>
      <c r="B157" s="20">
        <v>0.79166666666666663</v>
      </c>
      <c r="D157">
        <v>41</v>
      </c>
      <c r="E157" t="str">
        <f t="shared" si="40"/>
        <v>WEEKDAY</v>
      </c>
      <c r="F157" t="e">
        <f t="shared" si="39"/>
        <v>#N/A</v>
      </c>
      <c r="G157" s="74">
        <v>27765</v>
      </c>
      <c r="H157" s="77">
        <v>0.79166666666666663</v>
      </c>
      <c r="J157">
        <v>30.02</v>
      </c>
      <c r="M157" s="74">
        <v>37627</v>
      </c>
      <c r="N157" s="77">
        <v>0.79166666666666663</v>
      </c>
      <c r="P157">
        <v>28.4</v>
      </c>
      <c r="S157" s="74">
        <v>36166</v>
      </c>
      <c r="T157" s="77">
        <v>0.79166666666666663</v>
      </c>
      <c r="V157">
        <v>30.92</v>
      </c>
      <c r="X157" s="42"/>
      <c r="AB157">
        <v>36.4</v>
      </c>
      <c r="AC157">
        <v>41</v>
      </c>
      <c r="AE157" s="74"/>
      <c r="AF157" s="77"/>
      <c r="AH157" s="497">
        <v>32</v>
      </c>
      <c r="AJ157" s="42"/>
      <c r="AK157" s="74"/>
      <c r="AL157" s="77"/>
      <c r="AN157" s="497">
        <v>17.059999999999999</v>
      </c>
      <c r="AP157" s="42"/>
      <c r="AQ157" s="74"/>
      <c r="AR157" s="77"/>
      <c r="AT157" s="497">
        <v>21.92</v>
      </c>
      <c r="AV157" s="42"/>
      <c r="AW157" s="74"/>
      <c r="AX157" s="77"/>
      <c r="BA157" s="497">
        <v>17.059999999999999</v>
      </c>
      <c r="BB157" s="42"/>
      <c r="BC157" s="74"/>
      <c r="BD157" s="77"/>
      <c r="BF157">
        <v>24.98</v>
      </c>
      <c r="BH157" s="42"/>
      <c r="BI157" s="74"/>
      <c r="BJ157" s="77"/>
      <c r="BL157" s="497">
        <v>19.939999999999998</v>
      </c>
      <c r="BN157" s="42"/>
      <c r="BO157" s="74"/>
      <c r="BP157" s="77"/>
      <c r="BR157" s="497">
        <v>6.0799999999999983</v>
      </c>
      <c r="BT157" s="42"/>
    </row>
    <row r="158" spans="1:72" x14ac:dyDescent="0.25">
      <c r="A158" s="90">
        <v>36166</v>
      </c>
      <c r="B158" s="20">
        <v>0.83333333333333337</v>
      </c>
      <c r="D158">
        <v>41</v>
      </c>
      <c r="E158" t="str">
        <f t="shared" si="40"/>
        <v>WEEKDAY</v>
      </c>
      <c r="F158" t="e">
        <f t="shared" si="39"/>
        <v>#N/A</v>
      </c>
      <c r="G158" s="74">
        <v>27765</v>
      </c>
      <c r="H158" s="77">
        <v>0.83333333333333337</v>
      </c>
      <c r="J158">
        <v>30.02</v>
      </c>
      <c r="M158" s="74">
        <v>37627</v>
      </c>
      <c r="N158" s="77">
        <v>0.83333333333333337</v>
      </c>
      <c r="P158">
        <v>28.4</v>
      </c>
      <c r="S158" s="74">
        <v>36166</v>
      </c>
      <c r="T158" s="77">
        <v>0.83333333333333337</v>
      </c>
      <c r="V158">
        <v>30.92</v>
      </c>
      <c r="X158" s="42"/>
      <c r="AB158">
        <v>36.1</v>
      </c>
      <c r="AC158">
        <v>39.92</v>
      </c>
      <c r="AE158" s="74"/>
      <c r="AF158" s="77"/>
      <c r="AH158" s="497">
        <v>32</v>
      </c>
      <c r="AJ158" s="42"/>
      <c r="AK158" s="74"/>
      <c r="AL158" s="77"/>
      <c r="AN158" s="497">
        <v>15.98</v>
      </c>
      <c r="AP158" s="42"/>
      <c r="AQ158" s="74"/>
      <c r="AR158" s="77"/>
      <c r="AT158" s="497">
        <v>21.92</v>
      </c>
      <c r="AV158" s="42"/>
      <c r="AW158" s="74"/>
      <c r="AX158" s="77"/>
      <c r="BA158" s="497">
        <v>17.96</v>
      </c>
      <c r="BB158" s="42"/>
      <c r="BC158" s="74"/>
      <c r="BD158" s="77"/>
      <c r="BF158">
        <v>26.060000000000002</v>
      </c>
      <c r="BH158" s="42"/>
      <c r="BI158" s="74"/>
      <c r="BJ158" s="77"/>
      <c r="BL158" s="497">
        <v>21.02</v>
      </c>
      <c r="BN158" s="42"/>
      <c r="BO158" s="74"/>
      <c r="BP158" s="77"/>
      <c r="BR158" s="497">
        <v>6.0799999999999983</v>
      </c>
      <c r="BT158" s="42"/>
    </row>
    <row r="159" spans="1:72" x14ac:dyDescent="0.25">
      <c r="A159" s="90">
        <v>36166</v>
      </c>
      <c r="B159" s="20">
        <v>0.875</v>
      </c>
      <c r="D159">
        <v>41</v>
      </c>
      <c r="E159" t="str">
        <f t="shared" si="40"/>
        <v>WEEKDAY</v>
      </c>
      <c r="F159" t="e">
        <f t="shared" si="39"/>
        <v>#N/A</v>
      </c>
      <c r="G159" s="74">
        <v>27765</v>
      </c>
      <c r="H159" s="77">
        <v>0.875</v>
      </c>
      <c r="J159">
        <v>30.02</v>
      </c>
      <c r="M159" s="74">
        <v>37627</v>
      </c>
      <c r="N159" s="77">
        <v>0.875</v>
      </c>
      <c r="P159">
        <v>28.4</v>
      </c>
      <c r="S159" s="74">
        <v>36166</v>
      </c>
      <c r="T159" s="77">
        <v>0.875</v>
      </c>
      <c r="V159">
        <v>32</v>
      </c>
      <c r="X159" s="42"/>
      <c r="AB159">
        <v>35.6</v>
      </c>
      <c r="AC159">
        <v>37.94</v>
      </c>
      <c r="AE159" s="74"/>
      <c r="AF159" s="77"/>
      <c r="AH159" s="497">
        <v>32</v>
      </c>
      <c r="AJ159" s="42"/>
      <c r="AK159" s="74"/>
      <c r="AL159" s="77"/>
      <c r="AN159" s="497">
        <v>14</v>
      </c>
      <c r="AP159" s="42"/>
      <c r="AQ159" s="74"/>
      <c r="AR159" s="77"/>
      <c r="AT159" s="497">
        <v>21.92</v>
      </c>
      <c r="AV159" s="42"/>
      <c r="AW159" s="74"/>
      <c r="AX159" s="77"/>
      <c r="BA159" s="497">
        <v>19.04</v>
      </c>
      <c r="BB159" s="42"/>
      <c r="BC159" s="74"/>
      <c r="BD159" s="77"/>
      <c r="BF159">
        <v>28.94</v>
      </c>
      <c r="BH159" s="42"/>
      <c r="BI159" s="74"/>
      <c r="BJ159" s="77"/>
      <c r="BL159" s="497">
        <v>21.92</v>
      </c>
      <c r="BN159" s="42"/>
      <c r="BO159" s="74"/>
      <c r="BP159" s="77"/>
      <c r="BR159" s="497">
        <v>5</v>
      </c>
      <c r="BT159" s="42"/>
    </row>
    <row r="160" spans="1:72" x14ac:dyDescent="0.25">
      <c r="A160" s="90">
        <v>36166</v>
      </c>
      <c r="B160" s="20">
        <v>0.91666666666666663</v>
      </c>
      <c r="D160">
        <v>39.92</v>
      </c>
      <c r="E160" t="str">
        <f t="shared" si="40"/>
        <v>WEEKDAY</v>
      </c>
      <c r="F160" t="e">
        <f t="shared" si="39"/>
        <v>#N/A</v>
      </c>
      <c r="G160" s="74">
        <v>27765</v>
      </c>
      <c r="H160" s="77">
        <v>0.91666666666666663</v>
      </c>
      <c r="J160">
        <v>28.94</v>
      </c>
      <c r="M160" s="74">
        <v>37627</v>
      </c>
      <c r="N160" s="77">
        <v>0.91666666666666663</v>
      </c>
      <c r="P160">
        <v>28.4</v>
      </c>
      <c r="S160" s="74">
        <v>36166</v>
      </c>
      <c r="T160" s="77">
        <v>0.91666666666666663</v>
      </c>
      <c r="V160">
        <v>30.92</v>
      </c>
      <c r="X160" s="42"/>
      <c r="AB160">
        <v>35.200000000000003</v>
      </c>
      <c r="AC160">
        <v>30.02</v>
      </c>
      <c r="AE160" s="74"/>
      <c r="AF160" s="77"/>
      <c r="AH160" s="497">
        <v>32</v>
      </c>
      <c r="AJ160" s="42"/>
      <c r="AK160" s="74"/>
      <c r="AL160" s="77"/>
      <c r="AN160" s="497">
        <v>12.920000000000002</v>
      </c>
      <c r="AP160" s="42"/>
      <c r="AQ160" s="74"/>
      <c r="AR160" s="77"/>
      <c r="AT160" s="497">
        <v>19.939999999999998</v>
      </c>
      <c r="AV160" s="42"/>
      <c r="AW160" s="74"/>
      <c r="AX160" s="77"/>
      <c r="BA160" s="497">
        <v>19.939999999999998</v>
      </c>
      <c r="BB160" s="42"/>
      <c r="BC160" s="74"/>
      <c r="BD160" s="77"/>
      <c r="BF160">
        <v>28.94</v>
      </c>
      <c r="BH160" s="42"/>
      <c r="BI160" s="74"/>
      <c r="BJ160" s="77"/>
      <c r="BL160" s="497">
        <v>23</v>
      </c>
      <c r="BN160" s="42"/>
      <c r="BO160" s="74"/>
      <c r="BP160" s="77"/>
      <c r="BR160" s="497">
        <v>5</v>
      </c>
      <c r="BT160" s="42"/>
    </row>
    <row r="161" spans="1:72" x14ac:dyDescent="0.25">
      <c r="A161" s="90">
        <v>36166</v>
      </c>
      <c r="B161" s="20">
        <v>0.95833333333333337</v>
      </c>
      <c r="D161">
        <v>39.92</v>
      </c>
      <c r="E161" t="str">
        <f t="shared" si="40"/>
        <v>WEEKDAY</v>
      </c>
      <c r="F161" t="e">
        <f t="shared" si="39"/>
        <v>#N/A</v>
      </c>
      <c r="G161" s="74">
        <v>27765</v>
      </c>
      <c r="H161" s="77">
        <v>0.95833333333333337</v>
      </c>
      <c r="J161">
        <v>28.94</v>
      </c>
      <c r="M161" s="74">
        <v>37627</v>
      </c>
      <c r="N161" s="77">
        <v>0.95833333333333337</v>
      </c>
      <c r="P161">
        <v>26.6</v>
      </c>
      <c r="S161" s="74">
        <v>36166</v>
      </c>
      <c r="T161" s="77">
        <v>0.95833333333333337</v>
      </c>
      <c r="V161">
        <v>33.08</v>
      </c>
      <c r="X161" s="42"/>
      <c r="AB161">
        <v>34.700000000000003</v>
      </c>
      <c r="AC161">
        <v>28.94</v>
      </c>
      <c r="AE161" s="74"/>
      <c r="AF161" s="77"/>
      <c r="AH161" s="497">
        <v>33.799999999999997</v>
      </c>
      <c r="AJ161" s="42"/>
      <c r="AK161" s="74"/>
      <c r="AL161" s="77"/>
      <c r="AN161" s="497">
        <v>12.920000000000002</v>
      </c>
      <c r="AP161" s="42"/>
      <c r="AQ161" s="74"/>
      <c r="AR161" s="77"/>
      <c r="AT161" s="497">
        <v>19.939999999999998</v>
      </c>
      <c r="AV161" s="42"/>
      <c r="AW161" s="74"/>
      <c r="AX161" s="77"/>
      <c r="BA161" s="497">
        <v>23</v>
      </c>
      <c r="BB161" s="42"/>
      <c r="BC161" s="74"/>
      <c r="BD161" s="77"/>
      <c r="BF161">
        <v>30.92</v>
      </c>
      <c r="BH161" s="42"/>
      <c r="BI161" s="74"/>
      <c r="BJ161" s="77"/>
      <c r="BL161" s="497">
        <v>25.34</v>
      </c>
      <c r="BN161" s="42"/>
      <c r="BO161" s="74"/>
      <c r="BP161" s="77"/>
      <c r="BR161" s="497">
        <v>3.9200000000000017</v>
      </c>
      <c r="BT161" s="42"/>
    </row>
    <row r="162" spans="1:72" x14ac:dyDescent="0.25">
      <c r="A162" s="90">
        <v>36166</v>
      </c>
      <c r="B162" s="20">
        <v>1</v>
      </c>
      <c r="D162">
        <v>39.92</v>
      </c>
      <c r="E162" t="str">
        <f t="shared" si="40"/>
        <v>WEEKDAY</v>
      </c>
      <c r="F162" t="e">
        <f t="shared" si="39"/>
        <v>#N/A</v>
      </c>
      <c r="G162" s="74">
        <v>27765</v>
      </c>
      <c r="H162" s="77">
        <v>1</v>
      </c>
      <c r="J162">
        <v>28.94</v>
      </c>
      <c r="M162" s="74">
        <v>37627</v>
      </c>
      <c r="N162" s="80">
        <v>1</v>
      </c>
      <c r="P162">
        <v>26.6</v>
      </c>
      <c r="S162" s="74">
        <v>36166</v>
      </c>
      <c r="T162" s="80">
        <v>1</v>
      </c>
      <c r="V162">
        <v>33.08</v>
      </c>
      <c r="X162" s="42"/>
      <c r="AB162">
        <v>34.299999999999997</v>
      </c>
      <c r="AC162">
        <v>28.04</v>
      </c>
      <c r="AE162" s="74"/>
      <c r="AF162" s="80"/>
      <c r="AH162" s="497">
        <v>33.799999999999997</v>
      </c>
      <c r="AJ162" s="42"/>
      <c r="AK162" s="74"/>
      <c r="AL162" s="80"/>
      <c r="AN162" s="497">
        <v>10.940000000000001</v>
      </c>
      <c r="AP162" s="42"/>
      <c r="AQ162" s="74"/>
      <c r="AR162" s="80"/>
      <c r="AT162" s="497">
        <v>19.04</v>
      </c>
      <c r="AV162" s="42"/>
      <c r="AW162" s="74"/>
      <c r="AX162" s="80"/>
      <c r="BA162" s="497">
        <v>25.88</v>
      </c>
      <c r="BB162" s="42"/>
      <c r="BC162" s="74"/>
      <c r="BD162" s="80"/>
      <c r="BF162">
        <v>33.08</v>
      </c>
      <c r="BH162" s="42"/>
      <c r="BI162" s="74"/>
      <c r="BJ162" s="80"/>
      <c r="BL162" s="497">
        <v>27.68</v>
      </c>
      <c r="BN162" s="42"/>
      <c r="BO162" s="74"/>
      <c r="BP162" s="80"/>
      <c r="BR162" s="497">
        <v>3.9200000000000017</v>
      </c>
      <c r="BT162" s="42"/>
    </row>
    <row r="163" spans="1:72" x14ac:dyDescent="0.25">
      <c r="A163" s="90">
        <v>36167</v>
      </c>
      <c r="B163" s="20">
        <v>4.1666666666666664E-2</v>
      </c>
      <c r="D163">
        <v>39.019999999999996</v>
      </c>
      <c r="E163" t="str">
        <f t="shared" si="40"/>
        <v>WEEKDAY</v>
      </c>
      <c r="F163" t="e">
        <f t="shared" si="39"/>
        <v>#N/A</v>
      </c>
      <c r="G163" s="74">
        <v>27766</v>
      </c>
      <c r="H163" s="77">
        <v>4.1666666666666664E-2</v>
      </c>
      <c r="J163">
        <v>28.94</v>
      </c>
      <c r="M163" s="74">
        <v>37628</v>
      </c>
      <c r="N163" s="77">
        <v>4.1666666666666664E-2</v>
      </c>
      <c r="P163">
        <v>26.6</v>
      </c>
      <c r="S163" s="74">
        <v>36167</v>
      </c>
      <c r="T163" s="77">
        <v>4.1666666666666664E-2</v>
      </c>
      <c r="V163">
        <v>33.08</v>
      </c>
      <c r="X163" s="42"/>
      <c r="AB163">
        <v>33.799999999999997</v>
      </c>
      <c r="AC163">
        <v>26.96</v>
      </c>
      <c r="AE163" s="74"/>
      <c r="AF163" s="77"/>
      <c r="AH163" s="497">
        <v>33.799999999999997</v>
      </c>
      <c r="AJ163" s="42"/>
      <c r="AK163" s="74"/>
      <c r="AL163" s="77"/>
      <c r="AN163" s="497">
        <v>10.940000000000001</v>
      </c>
      <c r="AP163" s="42"/>
      <c r="AQ163" s="74"/>
      <c r="AR163" s="77"/>
      <c r="AT163" s="497">
        <v>19.04</v>
      </c>
      <c r="AV163" s="42"/>
      <c r="AW163" s="74"/>
      <c r="AX163" s="77"/>
      <c r="BA163" s="497">
        <v>28.94</v>
      </c>
      <c r="BB163" s="42"/>
      <c r="BC163" s="74"/>
      <c r="BD163" s="77"/>
      <c r="BF163">
        <v>33.979999999999997</v>
      </c>
      <c r="BH163" s="42"/>
      <c r="BI163" s="74"/>
      <c r="BJ163" s="77"/>
      <c r="BL163" s="497">
        <v>30.02</v>
      </c>
      <c r="BN163" s="42"/>
      <c r="BO163" s="74"/>
      <c r="BP163" s="77"/>
      <c r="BR163" s="497">
        <v>3.019999999999996</v>
      </c>
      <c r="BT163" s="42"/>
    </row>
    <row r="164" spans="1:72" x14ac:dyDescent="0.25">
      <c r="A164" s="90">
        <v>36167</v>
      </c>
      <c r="B164" s="20">
        <v>8.3333333333333329E-2</v>
      </c>
      <c r="D164">
        <v>37.94</v>
      </c>
      <c r="E164" t="str">
        <f t="shared" si="40"/>
        <v>WEEKDAY</v>
      </c>
      <c r="F164" t="e">
        <f t="shared" si="39"/>
        <v>#N/A</v>
      </c>
      <c r="G164" s="74">
        <v>27766</v>
      </c>
      <c r="H164" s="77">
        <v>8.3333333333333329E-2</v>
      </c>
      <c r="J164">
        <v>30.02</v>
      </c>
      <c r="M164" s="74">
        <v>37628</v>
      </c>
      <c r="N164" s="77">
        <v>8.3333333333333329E-2</v>
      </c>
      <c r="P164">
        <v>26.6</v>
      </c>
      <c r="S164" s="74">
        <v>36167</v>
      </c>
      <c r="T164" s="77">
        <v>8.3333333333333329E-2</v>
      </c>
      <c r="V164">
        <v>33.08</v>
      </c>
      <c r="X164" s="42"/>
      <c r="AB164">
        <v>33.4</v>
      </c>
      <c r="AC164">
        <v>28.04</v>
      </c>
      <c r="AE164" s="74"/>
      <c r="AF164" s="77"/>
      <c r="AH164" s="497">
        <v>32</v>
      </c>
      <c r="AJ164" s="42"/>
      <c r="AK164" s="74"/>
      <c r="AL164" s="77"/>
      <c r="AN164" s="497">
        <v>10.039999999999999</v>
      </c>
      <c r="AP164" s="42"/>
      <c r="AQ164" s="74"/>
      <c r="AR164" s="77"/>
      <c r="AT164" s="497">
        <v>19.04</v>
      </c>
      <c r="AV164" s="42"/>
      <c r="AW164" s="74"/>
      <c r="AX164" s="77"/>
      <c r="BA164" s="497">
        <v>29.66</v>
      </c>
      <c r="BB164" s="42"/>
      <c r="BC164" s="74"/>
      <c r="BD164" s="77"/>
      <c r="BF164">
        <v>35.06</v>
      </c>
      <c r="BH164" s="42"/>
      <c r="BI164" s="74"/>
      <c r="BJ164" s="77"/>
      <c r="BL164" s="497">
        <v>30.74</v>
      </c>
      <c r="BN164" s="42"/>
      <c r="BO164" s="74"/>
      <c r="BP164" s="77"/>
      <c r="BR164" s="497">
        <v>1.0399999999999991</v>
      </c>
      <c r="BT164" s="42"/>
    </row>
    <row r="165" spans="1:72" x14ac:dyDescent="0.25">
      <c r="A165" s="90">
        <v>36167</v>
      </c>
      <c r="B165" s="20">
        <v>0.125</v>
      </c>
      <c r="D165">
        <v>37.04</v>
      </c>
      <c r="E165" t="str">
        <f t="shared" si="40"/>
        <v>WEEKDAY</v>
      </c>
      <c r="F165" t="e">
        <f t="shared" si="39"/>
        <v>#N/A</v>
      </c>
      <c r="G165" s="74">
        <v>27766</v>
      </c>
      <c r="H165" s="77">
        <v>0.125</v>
      </c>
      <c r="J165">
        <v>28.94</v>
      </c>
      <c r="M165" s="74">
        <v>37628</v>
      </c>
      <c r="N165" s="77">
        <v>0.125</v>
      </c>
      <c r="P165">
        <v>26.6</v>
      </c>
      <c r="S165" s="74">
        <v>36167</v>
      </c>
      <c r="T165" s="77">
        <v>0.125</v>
      </c>
      <c r="V165">
        <v>33.979999999999997</v>
      </c>
      <c r="X165" s="42"/>
      <c r="AB165">
        <v>33.1</v>
      </c>
      <c r="AC165">
        <v>28.94</v>
      </c>
      <c r="AE165" s="74"/>
      <c r="AF165" s="77"/>
      <c r="AH165" s="497">
        <v>35.6</v>
      </c>
      <c r="AJ165" s="42"/>
      <c r="AK165" s="74"/>
      <c r="AL165" s="77"/>
      <c r="AN165" s="497">
        <v>8.9599999999999973</v>
      </c>
      <c r="AP165" s="42"/>
      <c r="AQ165" s="74"/>
      <c r="AR165" s="77"/>
      <c r="AT165" s="497">
        <v>17.96</v>
      </c>
      <c r="AV165" s="42"/>
      <c r="AW165" s="74"/>
      <c r="AX165" s="77"/>
      <c r="BA165" s="497">
        <v>30.2</v>
      </c>
      <c r="BB165" s="42"/>
      <c r="BC165" s="74"/>
      <c r="BD165" s="77"/>
      <c r="BF165">
        <v>37.04</v>
      </c>
      <c r="BH165" s="42"/>
      <c r="BI165" s="74"/>
      <c r="BJ165" s="77"/>
      <c r="BL165" s="497">
        <v>31.28</v>
      </c>
      <c r="BN165" s="42"/>
      <c r="BO165" s="74"/>
      <c r="BP165" s="77"/>
      <c r="BR165" s="497">
        <v>-3.9999999999999147E-2</v>
      </c>
      <c r="BT165" s="42"/>
    </row>
    <row r="166" spans="1:72" x14ac:dyDescent="0.25">
      <c r="A166" s="90">
        <v>36167</v>
      </c>
      <c r="B166" s="20">
        <v>0.16666666666666666</v>
      </c>
      <c r="D166">
        <v>37.04</v>
      </c>
      <c r="E166" t="str">
        <f t="shared" si="40"/>
        <v>WEEKDAY</v>
      </c>
      <c r="F166" t="e">
        <f t="shared" si="39"/>
        <v>#N/A</v>
      </c>
      <c r="G166" s="74">
        <v>27766</v>
      </c>
      <c r="H166" s="77">
        <v>0.16666666666666666</v>
      </c>
      <c r="J166">
        <v>28.94</v>
      </c>
      <c r="M166" s="74">
        <v>37628</v>
      </c>
      <c r="N166" s="77">
        <v>0.16666666666666666</v>
      </c>
      <c r="P166">
        <v>24.8</v>
      </c>
      <c r="S166" s="74">
        <v>36167</v>
      </c>
      <c r="T166" s="77">
        <v>0.16666666666666666</v>
      </c>
      <c r="V166">
        <v>33.979999999999997</v>
      </c>
      <c r="X166" s="42"/>
      <c r="AB166">
        <v>32.9</v>
      </c>
      <c r="AC166">
        <v>28.94</v>
      </c>
      <c r="AE166" s="74"/>
      <c r="AF166" s="77"/>
      <c r="AH166" s="497">
        <v>35.6</v>
      </c>
      <c r="AJ166" s="42"/>
      <c r="AK166" s="74"/>
      <c r="AL166" s="77"/>
      <c r="AN166" s="497">
        <v>8.9599999999999973</v>
      </c>
      <c r="AP166" s="42"/>
      <c r="AQ166" s="74"/>
      <c r="AR166" s="77"/>
      <c r="AT166" s="497">
        <v>17.059999999999999</v>
      </c>
      <c r="AV166" s="42"/>
      <c r="AW166" s="74"/>
      <c r="AX166" s="77"/>
      <c r="BA166" s="497">
        <v>30.92</v>
      </c>
      <c r="BB166" s="42"/>
      <c r="BC166" s="74"/>
      <c r="BD166" s="77"/>
      <c r="BF166">
        <v>35.96</v>
      </c>
      <c r="BH166" s="42"/>
      <c r="BI166" s="74"/>
      <c r="BJ166" s="77"/>
      <c r="BL166" s="497">
        <v>32</v>
      </c>
      <c r="BN166" s="42"/>
      <c r="BO166" s="74"/>
      <c r="BP166" s="77"/>
      <c r="BR166" s="497">
        <v>-0.94000000000000483</v>
      </c>
      <c r="BT166" s="42"/>
    </row>
    <row r="167" spans="1:72" x14ac:dyDescent="0.25">
      <c r="A167" s="90">
        <v>36167</v>
      </c>
      <c r="B167" s="20">
        <v>0.20833333333333334</v>
      </c>
      <c r="D167">
        <v>37.04</v>
      </c>
      <c r="E167" t="str">
        <f t="shared" si="40"/>
        <v>WEEKDAY</v>
      </c>
      <c r="F167" t="e">
        <f t="shared" si="39"/>
        <v>#N/A</v>
      </c>
      <c r="G167" s="74">
        <v>27766</v>
      </c>
      <c r="H167" s="77">
        <v>0.20833333333333334</v>
      </c>
      <c r="J167">
        <v>28.94</v>
      </c>
      <c r="M167" s="74">
        <v>37628</v>
      </c>
      <c r="N167" s="77">
        <v>0.20833333333333334</v>
      </c>
      <c r="P167">
        <v>24.8</v>
      </c>
      <c r="S167" s="74">
        <v>36167</v>
      </c>
      <c r="T167" s="77">
        <v>0.20833333333333334</v>
      </c>
      <c r="V167">
        <v>33.979999999999997</v>
      </c>
      <c r="X167" s="42"/>
      <c r="AB167">
        <v>32.700000000000003</v>
      </c>
      <c r="AC167">
        <v>28.04</v>
      </c>
      <c r="AE167" s="74"/>
      <c r="AF167" s="77"/>
      <c r="AH167" s="497">
        <v>35.6</v>
      </c>
      <c r="AJ167" s="42"/>
      <c r="AK167" s="74"/>
      <c r="AL167" s="77"/>
      <c r="AN167" s="497">
        <v>8.0599999999999987</v>
      </c>
      <c r="AP167" s="42"/>
      <c r="AQ167" s="74"/>
      <c r="AR167" s="77"/>
      <c r="AT167" s="497">
        <v>15.98</v>
      </c>
      <c r="AV167" s="42"/>
      <c r="AW167" s="74"/>
      <c r="AX167" s="77"/>
      <c r="BA167" s="497">
        <v>31.28</v>
      </c>
      <c r="BB167" s="42"/>
      <c r="BC167" s="74"/>
      <c r="BD167" s="77"/>
      <c r="BF167">
        <v>32</v>
      </c>
      <c r="BH167" s="42"/>
      <c r="BI167" s="74"/>
      <c r="BJ167" s="77"/>
      <c r="BL167" s="497">
        <v>30.92</v>
      </c>
      <c r="BN167" s="42"/>
      <c r="BO167" s="74"/>
      <c r="BP167" s="77"/>
      <c r="BR167" s="497">
        <v>-4</v>
      </c>
      <c r="BT167" s="42"/>
    </row>
    <row r="168" spans="1:72" x14ac:dyDescent="0.25">
      <c r="A168" s="90">
        <v>36167</v>
      </c>
      <c r="B168" s="20">
        <v>0.25</v>
      </c>
      <c r="D168">
        <v>35.96</v>
      </c>
      <c r="E168" t="str">
        <f t="shared" si="40"/>
        <v>WEEKDAY</v>
      </c>
      <c r="F168" t="e">
        <f t="shared" si="39"/>
        <v>#N/A</v>
      </c>
      <c r="G168" s="74">
        <v>27766</v>
      </c>
      <c r="H168" s="77">
        <v>0.25</v>
      </c>
      <c r="J168">
        <v>28.94</v>
      </c>
      <c r="M168" s="74">
        <v>37628</v>
      </c>
      <c r="N168" s="77">
        <v>0.25</v>
      </c>
      <c r="P168">
        <v>24.8</v>
      </c>
      <c r="S168" s="74">
        <v>36167</v>
      </c>
      <c r="T168" s="77">
        <v>0.25</v>
      </c>
      <c r="V168">
        <v>33.08</v>
      </c>
      <c r="X168" s="42"/>
      <c r="AB168">
        <v>32.5</v>
      </c>
      <c r="AC168">
        <v>28.94</v>
      </c>
      <c r="AE168" s="74"/>
      <c r="AF168" s="77"/>
      <c r="AH168" s="497">
        <v>35.6</v>
      </c>
      <c r="AJ168" s="42"/>
      <c r="AK168" s="74"/>
      <c r="AL168" s="77"/>
      <c r="AN168" s="497">
        <v>6.98</v>
      </c>
      <c r="AP168" s="42"/>
      <c r="AQ168" s="74"/>
      <c r="AR168" s="77"/>
      <c r="AT168" s="497">
        <v>15.079999999999998</v>
      </c>
      <c r="AV168" s="42"/>
      <c r="AW168" s="74"/>
      <c r="AX168" s="77"/>
      <c r="BA168" s="497">
        <v>31.64</v>
      </c>
      <c r="BB168" s="42"/>
      <c r="BC168" s="74"/>
      <c r="BD168" s="77"/>
      <c r="BF168">
        <v>32</v>
      </c>
      <c r="BH168" s="42"/>
      <c r="BI168" s="74"/>
      <c r="BJ168" s="77"/>
      <c r="BL168" s="497">
        <v>30.02</v>
      </c>
      <c r="BN168" s="42"/>
      <c r="BO168" s="74"/>
      <c r="BP168" s="77"/>
      <c r="BR168" s="497">
        <v>-5.980000000000004</v>
      </c>
      <c r="BT168" s="42"/>
    </row>
    <row r="169" spans="1:72" x14ac:dyDescent="0.25">
      <c r="A169" s="90">
        <v>36167</v>
      </c>
      <c r="B169" s="20">
        <v>0.29166666666666669</v>
      </c>
      <c r="D169">
        <v>35.96</v>
      </c>
      <c r="E169" t="str">
        <f t="shared" si="40"/>
        <v>WEEKDAY</v>
      </c>
      <c r="F169" t="e">
        <f t="shared" si="39"/>
        <v>#N/A</v>
      </c>
      <c r="G169" s="74">
        <v>27766</v>
      </c>
      <c r="H169" s="77">
        <v>0.29166666666666669</v>
      </c>
      <c r="J169">
        <v>30.02</v>
      </c>
      <c r="M169" s="74">
        <v>37628</v>
      </c>
      <c r="N169" s="77">
        <v>0.29166666666666669</v>
      </c>
      <c r="P169">
        <v>24.8</v>
      </c>
      <c r="S169" s="74">
        <v>36167</v>
      </c>
      <c r="T169" s="77">
        <v>0.29166666666666669</v>
      </c>
      <c r="V169">
        <v>35.06</v>
      </c>
      <c r="X169" s="42"/>
      <c r="AB169">
        <v>32.5</v>
      </c>
      <c r="AC169">
        <v>33.08</v>
      </c>
      <c r="AE169" s="74"/>
      <c r="AF169" s="77"/>
      <c r="AH169" s="497">
        <v>35.6</v>
      </c>
      <c r="AJ169" s="42"/>
      <c r="AK169" s="74"/>
      <c r="AL169" s="77"/>
      <c r="AN169" s="497">
        <v>6.98</v>
      </c>
      <c r="AP169" s="42"/>
      <c r="AQ169" s="74"/>
      <c r="AR169" s="77"/>
      <c r="AT169" s="497">
        <v>15.079999999999998</v>
      </c>
      <c r="AV169" s="42"/>
      <c r="AW169" s="74"/>
      <c r="AX169" s="77"/>
      <c r="BA169" s="497">
        <v>32</v>
      </c>
      <c r="BB169" s="42"/>
      <c r="BC169" s="74"/>
      <c r="BD169" s="77"/>
      <c r="BF169">
        <v>35.06</v>
      </c>
      <c r="BH169" s="42"/>
      <c r="BI169" s="74"/>
      <c r="BJ169" s="77"/>
      <c r="BL169" s="497">
        <v>28.94</v>
      </c>
      <c r="BN169" s="42"/>
      <c r="BO169" s="74"/>
      <c r="BP169" s="77"/>
      <c r="BR169" s="497">
        <v>-11.019999999999996</v>
      </c>
      <c r="BT169" s="42"/>
    </row>
    <row r="170" spans="1:72" x14ac:dyDescent="0.25">
      <c r="A170" s="90">
        <v>36167</v>
      </c>
      <c r="B170" s="20">
        <v>0.33333333333333331</v>
      </c>
      <c r="D170">
        <v>35.96</v>
      </c>
      <c r="E170" t="str">
        <f t="shared" si="40"/>
        <v>WEEKDAY</v>
      </c>
      <c r="F170" t="e">
        <f t="shared" si="39"/>
        <v>#N/A</v>
      </c>
      <c r="G170" s="74">
        <v>27766</v>
      </c>
      <c r="H170" s="77">
        <v>0.33333333333333331</v>
      </c>
      <c r="J170">
        <v>30.92</v>
      </c>
      <c r="M170" s="74">
        <v>37628</v>
      </c>
      <c r="N170" s="77">
        <v>0.33333333333333331</v>
      </c>
      <c r="P170">
        <v>24.8</v>
      </c>
      <c r="S170" s="74">
        <v>36167</v>
      </c>
      <c r="T170" s="77">
        <v>0.33333333333333331</v>
      </c>
      <c r="V170">
        <v>35.06</v>
      </c>
      <c r="X170" s="42"/>
      <c r="AB170">
        <v>32.4</v>
      </c>
      <c r="AC170">
        <v>35.96</v>
      </c>
      <c r="AE170" s="74"/>
      <c r="AF170" s="77"/>
      <c r="AH170" s="497">
        <v>33.799999999999997</v>
      </c>
      <c r="AJ170" s="42"/>
      <c r="AK170" s="74"/>
      <c r="AL170" s="77"/>
      <c r="AN170" s="497">
        <v>5</v>
      </c>
      <c r="AP170" s="42"/>
      <c r="AQ170" s="74"/>
      <c r="AR170" s="77"/>
      <c r="AT170" s="497">
        <v>15.079999999999998</v>
      </c>
      <c r="AV170" s="42"/>
      <c r="AW170" s="74"/>
      <c r="AX170" s="77"/>
      <c r="BA170" s="497">
        <v>33.08</v>
      </c>
      <c r="BB170" s="42"/>
      <c r="BC170" s="74"/>
      <c r="BD170" s="77"/>
      <c r="BF170">
        <v>35.96</v>
      </c>
      <c r="BH170" s="42"/>
      <c r="BI170" s="74"/>
      <c r="BJ170" s="77"/>
      <c r="BL170" s="497">
        <v>30.92</v>
      </c>
      <c r="BN170" s="42"/>
      <c r="BO170" s="74"/>
      <c r="BP170" s="77"/>
      <c r="BR170" s="497">
        <v>-9.9400000000000048</v>
      </c>
      <c r="BT170" s="42"/>
    </row>
    <row r="171" spans="1:72" x14ac:dyDescent="0.25">
      <c r="A171" s="90">
        <v>36167</v>
      </c>
      <c r="B171" s="20">
        <v>0.375</v>
      </c>
      <c r="D171">
        <v>35.96</v>
      </c>
      <c r="E171" t="str">
        <f t="shared" si="40"/>
        <v>WEEKDAY</v>
      </c>
      <c r="F171" t="e">
        <f t="shared" ref="F171:F234" si="41">IF(E171="WEEKDAY",VLOOKUP(B171,$DD$19:$DG$42,2),IF(E171="SATURDAY",VLOOKUP(B171,$DD$19:$DG$42,3),VLOOKUP(B171,$DD$19:$DG$42,4)))</f>
        <v>#N/A</v>
      </c>
      <c r="G171" s="74">
        <v>27766</v>
      </c>
      <c r="H171" s="77">
        <v>0.375</v>
      </c>
      <c r="J171">
        <v>33.08</v>
      </c>
      <c r="M171" s="74">
        <v>37628</v>
      </c>
      <c r="N171" s="77">
        <v>0.375</v>
      </c>
      <c r="P171">
        <v>24.8</v>
      </c>
      <c r="S171" s="74">
        <v>36167</v>
      </c>
      <c r="T171" s="77">
        <v>0.375</v>
      </c>
      <c r="V171">
        <v>35.06</v>
      </c>
      <c r="X171" s="42"/>
      <c r="AB171">
        <v>32.700000000000003</v>
      </c>
      <c r="AC171">
        <v>42.08</v>
      </c>
      <c r="AE171" s="74"/>
      <c r="AF171" s="77"/>
      <c r="AH171" s="497">
        <v>33.799999999999997</v>
      </c>
      <c r="AJ171" s="42"/>
      <c r="AK171" s="74"/>
      <c r="AL171" s="77"/>
      <c r="AN171" s="497">
        <v>8.0599999999999987</v>
      </c>
      <c r="AP171" s="42"/>
      <c r="AQ171" s="74"/>
      <c r="AR171" s="77"/>
      <c r="AT171" s="497">
        <v>15.079999999999998</v>
      </c>
      <c r="AV171" s="42"/>
      <c r="AW171" s="74"/>
      <c r="AX171" s="77"/>
      <c r="BA171" s="497">
        <v>33.979999999999997</v>
      </c>
      <c r="BB171" s="42"/>
      <c r="BC171" s="74"/>
      <c r="BD171" s="77"/>
      <c r="BF171">
        <v>35.96</v>
      </c>
      <c r="BH171" s="42"/>
      <c r="BI171" s="74"/>
      <c r="BJ171" s="77"/>
      <c r="BL171" s="497">
        <v>33.08</v>
      </c>
      <c r="BN171" s="42"/>
      <c r="BO171" s="74"/>
      <c r="BP171" s="77"/>
      <c r="BR171" s="497">
        <v>-5.0800000000000054</v>
      </c>
      <c r="BT171" s="42"/>
    </row>
    <row r="172" spans="1:72" x14ac:dyDescent="0.25">
      <c r="A172" s="90">
        <v>36167</v>
      </c>
      <c r="B172" s="20">
        <v>0.41666666666666669</v>
      </c>
      <c r="D172">
        <v>35.96</v>
      </c>
      <c r="E172" t="str">
        <f t="shared" si="40"/>
        <v>WEEKDAY</v>
      </c>
      <c r="F172" t="e">
        <f t="shared" si="41"/>
        <v>#N/A</v>
      </c>
      <c r="G172" s="74">
        <v>27766</v>
      </c>
      <c r="H172" s="77">
        <v>0.41666666666666669</v>
      </c>
      <c r="J172">
        <v>35.96</v>
      </c>
      <c r="M172" s="74">
        <v>37628</v>
      </c>
      <c r="N172" s="77">
        <v>0.41666666666666669</v>
      </c>
      <c r="P172">
        <v>24.8</v>
      </c>
      <c r="S172" s="74">
        <v>36167</v>
      </c>
      <c r="T172" s="77">
        <v>0.41666666666666669</v>
      </c>
      <c r="V172">
        <v>32</v>
      </c>
      <c r="X172" s="42"/>
      <c r="AB172">
        <v>34</v>
      </c>
      <c r="AC172">
        <v>44.06</v>
      </c>
      <c r="AE172" s="74"/>
      <c r="AF172" s="77"/>
      <c r="AH172" s="497">
        <v>33.979999999999997</v>
      </c>
      <c r="AJ172" s="42"/>
      <c r="AK172" s="74"/>
      <c r="AL172" s="77"/>
      <c r="AN172" s="497">
        <v>10.039999999999999</v>
      </c>
      <c r="AP172" s="42"/>
      <c r="AQ172" s="74"/>
      <c r="AR172" s="77"/>
      <c r="AT172" s="497">
        <v>15.98</v>
      </c>
      <c r="AV172" s="42"/>
      <c r="AW172" s="74"/>
      <c r="AX172" s="77"/>
      <c r="BA172" s="497">
        <v>35.06</v>
      </c>
      <c r="BB172" s="42"/>
      <c r="BC172" s="74"/>
      <c r="BD172" s="77"/>
      <c r="BF172">
        <v>33.08</v>
      </c>
      <c r="BH172" s="42"/>
      <c r="BI172" s="74"/>
      <c r="BJ172" s="77"/>
      <c r="BL172" s="497">
        <v>35.06</v>
      </c>
      <c r="BN172" s="42"/>
      <c r="BO172" s="74"/>
      <c r="BP172" s="77"/>
      <c r="BR172" s="497">
        <v>-2.019999999999996</v>
      </c>
      <c r="BT172" s="42"/>
    </row>
    <row r="173" spans="1:72" x14ac:dyDescent="0.25">
      <c r="A173" s="90">
        <v>36167</v>
      </c>
      <c r="B173" s="20">
        <v>0.45833333333333331</v>
      </c>
      <c r="D173">
        <v>35.96</v>
      </c>
      <c r="E173" t="str">
        <f t="shared" si="40"/>
        <v>WEEKDAY</v>
      </c>
      <c r="F173" t="e">
        <f t="shared" si="41"/>
        <v>#N/A</v>
      </c>
      <c r="G173" s="74">
        <v>27766</v>
      </c>
      <c r="H173" s="77">
        <v>0.45833333333333331</v>
      </c>
      <c r="J173">
        <v>37.04</v>
      </c>
      <c r="M173" s="74">
        <v>37628</v>
      </c>
      <c r="N173" s="77">
        <v>0.45833333333333331</v>
      </c>
      <c r="P173">
        <v>24.8</v>
      </c>
      <c r="S173" s="74">
        <v>36167</v>
      </c>
      <c r="T173" s="77">
        <v>0.45833333333333331</v>
      </c>
      <c r="V173">
        <v>32</v>
      </c>
      <c r="X173" s="42"/>
      <c r="AB173">
        <v>35.299999999999997</v>
      </c>
      <c r="AC173">
        <v>46.94</v>
      </c>
      <c r="AE173" s="74"/>
      <c r="AF173" s="77"/>
      <c r="AH173" s="497">
        <v>33.799999999999997</v>
      </c>
      <c r="AJ173" s="42"/>
      <c r="AK173" s="74"/>
      <c r="AL173" s="77"/>
      <c r="AN173" s="497">
        <v>12.02</v>
      </c>
      <c r="AP173" s="42"/>
      <c r="AQ173" s="74"/>
      <c r="AR173" s="77"/>
      <c r="AT173" s="497">
        <v>17.059999999999999</v>
      </c>
      <c r="AV173" s="42"/>
      <c r="AW173" s="74"/>
      <c r="AX173" s="77"/>
      <c r="BA173" s="497">
        <v>36.68</v>
      </c>
      <c r="BB173" s="42"/>
      <c r="BC173" s="74"/>
      <c r="BD173" s="77"/>
      <c r="BF173">
        <v>32</v>
      </c>
      <c r="BH173" s="42"/>
      <c r="BI173" s="74"/>
      <c r="BJ173" s="77"/>
      <c r="BL173" s="497">
        <v>34.340000000000003</v>
      </c>
      <c r="BN173" s="42"/>
      <c r="BO173" s="74"/>
      <c r="BP173" s="77"/>
      <c r="BR173" s="497">
        <v>-0.94000000000000483</v>
      </c>
      <c r="BT173" s="42"/>
    </row>
    <row r="174" spans="1:72" x14ac:dyDescent="0.25">
      <c r="A174" s="90">
        <v>36167</v>
      </c>
      <c r="B174" s="20">
        <v>0.5</v>
      </c>
      <c r="D174">
        <v>35.96</v>
      </c>
      <c r="E174" t="str">
        <f t="shared" si="40"/>
        <v>WEEKDAY</v>
      </c>
      <c r="F174" t="e">
        <f t="shared" si="41"/>
        <v>#N/A</v>
      </c>
      <c r="G174" s="74">
        <v>27766</v>
      </c>
      <c r="H174" s="77">
        <v>0.5</v>
      </c>
      <c r="J174">
        <v>37.04</v>
      </c>
      <c r="M174" s="74">
        <v>37628</v>
      </c>
      <c r="N174" s="77">
        <v>0.5</v>
      </c>
      <c r="P174">
        <v>24.8</v>
      </c>
      <c r="S174" s="74">
        <v>36167</v>
      </c>
      <c r="T174" s="77">
        <v>0.5</v>
      </c>
      <c r="V174">
        <v>33.08</v>
      </c>
      <c r="X174" s="42"/>
      <c r="AB174">
        <v>36.6</v>
      </c>
      <c r="AC174">
        <v>48.019999999999996</v>
      </c>
      <c r="AE174" s="74"/>
      <c r="AF174" s="77"/>
      <c r="AH174" s="497">
        <v>35.6</v>
      </c>
      <c r="AJ174" s="42"/>
      <c r="AK174" s="74"/>
      <c r="AL174" s="77"/>
      <c r="AN174" s="497">
        <v>12.02</v>
      </c>
      <c r="AP174" s="42"/>
      <c r="AQ174" s="74"/>
      <c r="AR174" s="77"/>
      <c r="AT174" s="497">
        <v>17.96</v>
      </c>
      <c r="AV174" s="42"/>
      <c r="AW174" s="74"/>
      <c r="AX174" s="77"/>
      <c r="BA174" s="497">
        <v>38.299999999999997</v>
      </c>
      <c r="BB174" s="42"/>
      <c r="BC174" s="74"/>
      <c r="BD174" s="77"/>
      <c r="BF174">
        <v>30.02</v>
      </c>
      <c r="BH174" s="42"/>
      <c r="BI174" s="74"/>
      <c r="BJ174" s="77"/>
      <c r="BL174" s="497">
        <v>33.799999999999997</v>
      </c>
      <c r="BN174" s="42"/>
      <c r="BO174" s="74"/>
      <c r="BP174" s="77"/>
      <c r="BR174" s="497">
        <v>-0.94000000000000483</v>
      </c>
      <c r="BT174" s="42"/>
    </row>
    <row r="175" spans="1:72" x14ac:dyDescent="0.25">
      <c r="A175" s="90">
        <v>36167</v>
      </c>
      <c r="B175" s="20">
        <v>0.54166666666666663</v>
      </c>
      <c r="D175">
        <v>35.96</v>
      </c>
      <c r="E175" t="str">
        <f t="shared" si="40"/>
        <v>WEEKDAY</v>
      </c>
      <c r="F175" t="e">
        <f t="shared" si="41"/>
        <v>#N/A</v>
      </c>
      <c r="G175" s="74">
        <v>27766</v>
      </c>
      <c r="H175" s="77">
        <v>0.54166666666666663</v>
      </c>
      <c r="J175">
        <v>37.04</v>
      </c>
      <c r="M175" s="74">
        <v>37628</v>
      </c>
      <c r="N175" s="77">
        <v>0.54166666666666663</v>
      </c>
      <c r="P175">
        <v>24.8</v>
      </c>
      <c r="S175" s="74">
        <v>36167</v>
      </c>
      <c r="T175" s="77">
        <v>0.54166666666666663</v>
      </c>
      <c r="V175">
        <v>33.08</v>
      </c>
      <c r="X175" s="42"/>
      <c r="AB175">
        <v>37.5</v>
      </c>
      <c r="AC175">
        <v>46.94</v>
      </c>
      <c r="AE175" s="74"/>
      <c r="AF175" s="77"/>
      <c r="AH175" s="497">
        <v>35.6</v>
      </c>
      <c r="AJ175" s="42"/>
      <c r="AK175" s="74"/>
      <c r="AL175" s="77"/>
      <c r="AN175" s="497">
        <v>10.940000000000001</v>
      </c>
      <c r="AP175" s="42"/>
      <c r="AQ175" s="74"/>
      <c r="AR175" s="77"/>
      <c r="AT175" s="497">
        <v>17.96</v>
      </c>
      <c r="AV175" s="42"/>
      <c r="AW175" s="74"/>
      <c r="AX175" s="77"/>
      <c r="BA175" s="497">
        <v>39.92</v>
      </c>
      <c r="BB175" s="42"/>
      <c r="BC175" s="74"/>
      <c r="BD175" s="77"/>
      <c r="BF175">
        <v>30.02</v>
      </c>
      <c r="BH175" s="42"/>
      <c r="BI175" s="74"/>
      <c r="BJ175" s="77"/>
      <c r="BL175" s="497">
        <v>33.08</v>
      </c>
      <c r="BN175" s="42"/>
      <c r="BO175" s="74"/>
      <c r="BP175" s="77"/>
      <c r="BR175" s="497">
        <v>-0.94000000000000483</v>
      </c>
      <c r="BT175" s="42"/>
    </row>
    <row r="176" spans="1:72" x14ac:dyDescent="0.25">
      <c r="A176" s="90">
        <v>36167</v>
      </c>
      <c r="B176" s="20">
        <v>0.58333333333333337</v>
      </c>
      <c r="D176">
        <v>35.06</v>
      </c>
      <c r="E176" t="str">
        <f t="shared" si="40"/>
        <v>WEEKDAY</v>
      </c>
      <c r="F176" t="e">
        <f t="shared" si="41"/>
        <v>#N/A</v>
      </c>
      <c r="G176" s="74">
        <v>27766</v>
      </c>
      <c r="H176" s="77">
        <v>0.58333333333333337</v>
      </c>
      <c r="J176">
        <v>37.04</v>
      </c>
      <c r="M176" s="74">
        <v>37628</v>
      </c>
      <c r="N176" s="77">
        <v>0.58333333333333337</v>
      </c>
      <c r="P176">
        <v>24.8</v>
      </c>
      <c r="S176" s="74">
        <v>36167</v>
      </c>
      <c r="T176" s="77">
        <v>0.58333333333333337</v>
      </c>
      <c r="V176">
        <v>33.08</v>
      </c>
      <c r="X176" s="42"/>
      <c r="AB176">
        <v>38.299999999999997</v>
      </c>
      <c r="AC176">
        <v>50</v>
      </c>
      <c r="AE176" s="74"/>
      <c r="AF176" s="77"/>
      <c r="AH176" s="497">
        <v>35.6</v>
      </c>
      <c r="AJ176" s="42"/>
      <c r="AK176" s="74"/>
      <c r="AL176" s="77"/>
      <c r="AN176" s="497">
        <v>12.920000000000002</v>
      </c>
      <c r="AP176" s="42"/>
      <c r="AQ176" s="74"/>
      <c r="AR176" s="77"/>
      <c r="AT176" s="497">
        <v>19.04</v>
      </c>
      <c r="AV176" s="42"/>
      <c r="AW176" s="74"/>
      <c r="AX176" s="77"/>
      <c r="BA176" s="497">
        <v>39.56</v>
      </c>
      <c r="BB176" s="42"/>
      <c r="BC176" s="74"/>
      <c r="BD176" s="77"/>
      <c r="BF176">
        <v>30.92</v>
      </c>
      <c r="BH176" s="42"/>
      <c r="BI176" s="74"/>
      <c r="BJ176" s="77"/>
      <c r="BL176" s="497">
        <v>32</v>
      </c>
      <c r="BN176" s="42"/>
      <c r="BO176" s="74"/>
      <c r="BP176" s="77"/>
      <c r="BR176" s="497">
        <v>-0.94000000000000483</v>
      </c>
      <c r="BT176" s="42"/>
    </row>
    <row r="177" spans="1:72" x14ac:dyDescent="0.25">
      <c r="A177" s="90">
        <v>36167</v>
      </c>
      <c r="B177" s="20">
        <v>0.625</v>
      </c>
      <c r="D177">
        <v>35.06</v>
      </c>
      <c r="E177" t="str">
        <f t="shared" si="40"/>
        <v>WEEKDAY</v>
      </c>
      <c r="F177" t="e">
        <f t="shared" si="41"/>
        <v>#N/A</v>
      </c>
      <c r="G177" s="74">
        <v>27766</v>
      </c>
      <c r="H177" s="77">
        <v>0.625</v>
      </c>
      <c r="J177">
        <v>37.04</v>
      </c>
      <c r="M177" s="74">
        <v>37628</v>
      </c>
      <c r="N177" s="77">
        <v>0.625</v>
      </c>
      <c r="P177">
        <v>24.8</v>
      </c>
      <c r="S177" s="74">
        <v>36167</v>
      </c>
      <c r="T177" s="77">
        <v>0.625</v>
      </c>
      <c r="V177">
        <v>33.08</v>
      </c>
      <c r="X177" s="42"/>
      <c r="AB177">
        <v>38.700000000000003</v>
      </c>
      <c r="AC177">
        <v>48.92</v>
      </c>
      <c r="AE177" s="74"/>
      <c r="AF177" s="77"/>
      <c r="AH177" s="497">
        <v>35.6</v>
      </c>
      <c r="AJ177" s="42"/>
      <c r="AK177" s="74"/>
      <c r="AL177" s="77"/>
      <c r="AN177" s="497">
        <v>10.940000000000001</v>
      </c>
      <c r="AP177" s="42"/>
      <c r="AQ177" s="74"/>
      <c r="AR177" s="77"/>
      <c r="AT177" s="497">
        <v>19.939999999999998</v>
      </c>
      <c r="AV177" s="42"/>
      <c r="AW177" s="74"/>
      <c r="AX177" s="77"/>
      <c r="BA177" s="497">
        <v>39.380000000000003</v>
      </c>
      <c r="BB177" s="42"/>
      <c r="BC177" s="74"/>
      <c r="BD177" s="77"/>
      <c r="BF177">
        <v>28.94</v>
      </c>
      <c r="BH177" s="42"/>
      <c r="BI177" s="74"/>
      <c r="BJ177" s="77"/>
      <c r="BL177" s="497">
        <v>31.1</v>
      </c>
      <c r="BN177" s="42"/>
      <c r="BO177" s="74"/>
      <c r="BP177" s="77"/>
      <c r="BR177" s="497">
        <v>-3.9999999999999147E-2</v>
      </c>
      <c r="BT177" s="42"/>
    </row>
    <row r="178" spans="1:72" x14ac:dyDescent="0.25">
      <c r="A178" s="90">
        <v>36167</v>
      </c>
      <c r="B178" s="20">
        <v>0.66666666666666663</v>
      </c>
      <c r="D178">
        <v>35.06</v>
      </c>
      <c r="E178" t="str">
        <f t="shared" si="40"/>
        <v>WEEKDAY</v>
      </c>
      <c r="F178" t="e">
        <f t="shared" si="41"/>
        <v>#N/A</v>
      </c>
      <c r="G178" s="74">
        <v>27766</v>
      </c>
      <c r="H178" s="77">
        <v>0.66666666666666663</v>
      </c>
      <c r="J178">
        <v>35.06</v>
      </c>
      <c r="M178" s="74">
        <v>37628</v>
      </c>
      <c r="N178" s="77">
        <v>0.66666666666666663</v>
      </c>
      <c r="P178">
        <v>24.8</v>
      </c>
      <c r="S178" s="74">
        <v>36167</v>
      </c>
      <c r="T178" s="77">
        <v>0.66666666666666663</v>
      </c>
      <c r="V178">
        <v>32</v>
      </c>
      <c r="X178" s="42"/>
      <c r="AB178">
        <v>38.6</v>
      </c>
      <c r="AC178">
        <v>48.019999999999996</v>
      </c>
      <c r="AE178" s="74"/>
      <c r="AF178" s="77"/>
      <c r="AH178" s="497">
        <v>35.6</v>
      </c>
      <c r="AJ178" s="42"/>
      <c r="AK178" s="74"/>
      <c r="AL178" s="77"/>
      <c r="AN178" s="497">
        <v>10.940000000000001</v>
      </c>
      <c r="AP178" s="42"/>
      <c r="AQ178" s="74"/>
      <c r="AR178" s="77"/>
      <c r="AT178" s="497">
        <v>19.04</v>
      </c>
      <c r="AV178" s="42"/>
      <c r="AW178" s="74"/>
      <c r="AX178" s="77"/>
      <c r="BA178" s="497">
        <v>39.019999999999996</v>
      </c>
      <c r="BB178" s="42"/>
      <c r="BC178" s="74"/>
      <c r="BD178" s="77"/>
      <c r="BF178">
        <v>28.94</v>
      </c>
      <c r="BH178" s="42"/>
      <c r="BI178" s="74"/>
      <c r="BJ178" s="77"/>
      <c r="BL178" s="497">
        <v>30.02</v>
      </c>
      <c r="BN178" s="42"/>
      <c r="BO178" s="74"/>
      <c r="BP178" s="77"/>
      <c r="BR178" s="497">
        <v>-0.94000000000000483</v>
      </c>
      <c r="BT178" s="42"/>
    </row>
    <row r="179" spans="1:72" x14ac:dyDescent="0.25">
      <c r="A179" s="90">
        <v>36167</v>
      </c>
      <c r="B179" s="20">
        <v>0.70833333333333337</v>
      </c>
      <c r="D179">
        <v>33.979999999999997</v>
      </c>
      <c r="E179" t="str">
        <f t="shared" si="40"/>
        <v>WEEKDAY</v>
      </c>
      <c r="F179" t="e">
        <f t="shared" si="41"/>
        <v>#N/A</v>
      </c>
      <c r="G179" s="74">
        <v>27766</v>
      </c>
      <c r="H179" s="77">
        <v>0.70833333333333337</v>
      </c>
      <c r="J179">
        <v>35.06</v>
      </c>
      <c r="M179" s="74">
        <v>37628</v>
      </c>
      <c r="N179" s="77">
        <v>0.70833333333333337</v>
      </c>
      <c r="P179">
        <v>23</v>
      </c>
      <c r="S179" s="74">
        <v>36167</v>
      </c>
      <c r="T179" s="77">
        <v>0.70833333333333337</v>
      </c>
      <c r="V179">
        <v>28.94</v>
      </c>
      <c r="X179" s="42"/>
      <c r="AB179">
        <v>38.1</v>
      </c>
      <c r="AC179">
        <v>44.96</v>
      </c>
      <c r="AE179" s="74"/>
      <c r="AF179" s="77"/>
      <c r="AH179" s="497">
        <v>33.799999999999997</v>
      </c>
      <c r="AJ179" s="42"/>
      <c r="AK179" s="74"/>
      <c r="AL179" s="77"/>
      <c r="AN179" s="497">
        <v>8.9599999999999973</v>
      </c>
      <c r="AP179" s="42"/>
      <c r="AQ179" s="74"/>
      <c r="AR179" s="77"/>
      <c r="AT179" s="497">
        <v>19.04</v>
      </c>
      <c r="AV179" s="42"/>
      <c r="AW179" s="74"/>
      <c r="AX179" s="77"/>
      <c r="BA179" s="497">
        <v>35.96</v>
      </c>
      <c r="BB179" s="42"/>
      <c r="BC179" s="74"/>
      <c r="BD179" s="77"/>
      <c r="BF179">
        <v>26.96</v>
      </c>
      <c r="BH179" s="42"/>
      <c r="BI179" s="74"/>
      <c r="BJ179" s="77"/>
      <c r="BL179" s="497">
        <v>29.3</v>
      </c>
      <c r="BN179" s="42"/>
      <c r="BO179" s="74"/>
      <c r="BP179" s="77"/>
      <c r="BR179" s="497">
        <v>-2.019999999999996</v>
      </c>
      <c r="BT179" s="42"/>
    </row>
    <row r="180" spans="1:72" x14ac:dyDescent="0.25">
      <c r="A180" s="90">
        <v>36167</v>
      </c>
      <c r="B180" s="20">
        <v>0.75</v>
      </c>
      <c r="D180">
        <v>32</v>
      </c>
      <c r="E180" t="str">
        <f t="shared" si="40"/>
        <v>WEEKDAY</v>
      </c>
      <c r="F180" t="e">
        <f t="shared" si="41"/>
        <v>#N/A</v>
      </c>
      <c r="G180" s="74">
        <v>27766</v>
      </c>
      <c r="H180" s="77">
        <v>0.75</v>
      </c>
      <c r="J180">
        <v>35.06</v>
      </c>
      <c r="M180" s="74">
        <v>37628</v>
      </c>
      <c r="N180" s="77">
        <v>0.75</v>
      </c>
      <c r="P180">
        <v>23</v>
      </c>
      <c r="S180" s="74">
        <v>36167</v>
      </c>
      <c r="T180" s="77">
        <v>0.75</v>
      </c>
      <c r="V180">
        <v>28.94</v>
      </c>
      <c r="X180" s="42"/>
      <c r="AB180">
        <v>36.9</v>
      </c>
      <c r="AC180">
        <v>42.980000000000004</v>
      </c>
      <c r="AE180" s="74"/>
      <c r="AF180" s="77"/>
      <c r="AH180" s="497">
        <v>30.2</v>
      </c>
      <c r="AJ180" s="42"/>
      <c r="AK180" s="74"/>
      <c r="AL180" s="77"/>
      <c r="AN180" s="497">
        <v>8.0599999999999987</v>
      </c>
      <c r="AP180" s="42"/>
      <c r="AQ180" s="74"/>
      <c r="AR180" s="77"/>
      <c r="AT180" s="497">
        <v>19.04</v>
      </c>
      <c r="AV180" s="42"/>
      <c r="AW180" s="74"/>
      <c r="AX180" s="77"/>
      <c r="BA180" s="497">
        <v>33.08</v>
      </c>
      <c r="BB180" s="42"/>
      <c r="BC180" s="74"/>
      <c r="BD180" s="77"/>
      <c r="BF180">
        <v>28.04</v>
      </c>
      <c r="BH180" s="42"/>
      <c r="BI180" s="74"/>
      <c r="BJ180" s="77"/>
      <c r="BL180" s="497">
        <v>28.759999999999998</v>
      </c>
      <c r="BN180" s="42"/>
      <c r="BO180" s="74"/>
      <c r="BP180" s="77"/>
      <c r="BR180" s="497">
        <v>-2.019999999999996</v>
      </c>
      <c r="BT180" s="42"/>
    </row>
    <row r="181" spans="1:72" x14ac:dyDescent="0.25">
      <c r="A181" s="90">
        <v>36167</v>
      </c>
      <c r="B181" s="20">
        <v>0.79166666666666663</v>
      </c>
      <c r="D181">
        <v>30.92</v>
      </c>
      <c r="E181" t="str">
        <f t="shared" si="40"/>
        <v>WEEKDAY</v>
      </c>
      <c r="F181" t="e">
        <f t="shared" si="41"/>
        <v>#N/A</v>
      </c>
      <c r="G181" s="74">
        <v>27766</v>
      </c>
      <c r="H181" s="77">
        <v>0.79166666666666663</v>
      </c>
      <c r="J181">
        <v>35.06</v>
      </c>
      <c r="M181" s="74">
        <v>37628</v>
      </c>
      <c r="N181" s="77">
        <v>0.79166666666666663</v>
      </c>
      <c r="P181">
        <v>21.2</v>
      </c>
      <c r="S181" s="74">
        <v>36167</v>
      </c>
      <c r="T181" s="77">
        <v>0.79166666666666663</v>
      </c>
      <c r="V181">
        <v>28.94</v>
      </c>
      <c r="X181" s="42"/>
      <c r="AB181">
        <v>36.4</v>
      </c>
      <c r="AC181">
        <v>39.92</v>
      </c>
      <c r="AE181" s="74"/>
      <c r="AF181" s="77"/>
      <c r="AH181" s="497">
        <v>30.2</v>
      </c>
      <c r="AJ181" s="42"/>
      <c r="AK181" s="74"/>
      <c r="AL181" s="77"/>
      <c r="AN181" s="497">
        <v>8.0599999999999987</v>
      </c>
      <c r="AP181" s="42"/>
      <c r="AQ181" s="74"/>
      <c r="AR181" s="77"/>
      <c r="AT181" s="497">
        <v>17.96</v>
      </c>
      <c r="AV181" s="42"/>
      <c r="AW181" s="74"/>
      <c r="AX181" s="77"/>
      <c r="BA181" s="497">
        <v>30.02</v>
      </c>
      <c r="BB181" s="42"/>
      <c r="BC181" s="74"/>
      <c r="BD181" s="77"/>
      <c r="BF181">
        <v>28.94</v>
      </c>
      <c r="BH181" s="42"/>
      <c r="BI181" s="74"/>
      <c r="BJ181" s="77"/>
      <c r="BL181" s="497">
        <v>28.04</v>
      </c>
      <c r="BN181" s="42"/>
      <c r="BO181" s="74"/>
      <c r="BP181" s="77"/>
      <c r="BR181" s="497">
        <v>-2.019999999999996</v>
      </c>
      <c r="BT181" s="42"/>
    </row>
    <row r="182" spans="1:72" x14ac:dyDescent="0.25">
      <c r="A182" s="90">
        <v>36167</v>
      </c>
      <c r="B182" s="20">
        <v>0.83333333333333337</v>
      </c>
      <c r="D182">
        <v>28.94</v>
      </c>
      <c r="E182" t="str">
        <f t="shared" si="40"/>
        <v>WEEKDAY</v>
      </c>
      <c r="F182" t="e">
        <f t="shared" si="41"/>
        <v>#N/A</v>
      </c>
      <c r="G182" s="74">
        <v>27766</v>
      </c>
      <c r="H182" s="77">
        <v>0.83333333333333337</v>
      </c>
      <c r="J182">
        <v>35.06</v>
      </c>
      <c r="M182" s="74">
        <v>37628</v>
      </c>
      <c r="N182" s="77">
        <v>0.83333333333333337</v>
      </c>
      <c r="P182">
        <v>21.2</v>
      </c>
      <c r="S182" s="74">
        <v>36167</v>
      </c>
      <c r="T182" s="77">
        <v>0.83333333333333337</v>
      </c>
      <c r="V182">
        <v>28.04</v>
      </c>
      <c r="X182" s="42"/>
      <c r="AB182">
        <v>36</v>
      </c>
      <c r="AC182">
        <v>37.94</v>
      </c>
      <c r="AE182" s="74"/>
      <c r="AF182" s="77"/>
      <c r="AH182" s="497">
        <v>28.4</v>
      </c>
      <c r="AJ182" s="42"/>
      <c r="AK182" s="74"/>
      <c r="AL182" s="77"/>
      <c r="AN182" s="497">
        <v>6.98</v>
      </c>
      <c r="AP182" s="42"/>
      <c r="AQ182" s="74"/>
      <c r="AR182" s="77"/>
      <c r="AT182" s="497">
        <v>19.04</v>
      </c>
      <c r="AV182" s="42"/>
      <c r="AW182" s="74"/>
      <c r="AX182" s="77"/>
      <c r="BA182" s="497">
        <v>30.74</v>
      </c>
      <c r="BB182" s="42"/>
      <c r="BC182" s="74"/>
      <c r="BD182" s="77"/>
      <c r="BF182">
        <v>26.060000000000002</v>
      </c>
      <c r="BH182" s="42"/>
      <c r="BI182" s="74"/>
      <c r="BJ182" s="77"/>
      <c r="BL182" s="497">
        <v>26.42</v>
      </c>
      <c r="BN182" s="42"/>
      <c r="BO182" s="74"/>
      <c r="BP182" s="77"/>
      <c r="BR182" s="497">
        <v>-2.9200000000000017</v>
      </c>
      <c r="BT182" s="42"/>
    </row>
    <row r="183" spans="1:72" x14ac:dyDescent="0.25">
      <c r="A183" s="90">
        <v>36167</v>
      </c>
      <c r="B183" s="20">
        <v>0.875</v>
      </c>
      <c r="D183">
        <v>28.04</v>
      </c>
      <c r="E183" t="str">
        <f t="shared" si="40"/>
        <v>WEEKDAY</v>
      </c>
      <c r="F183" t="e">
        <f t="shared" si="41"/>
        <v>#N/A</v>
      </c>
      <c r="G183" s="74">
        <v>27766</v>
      </c>
      <c r="H183" s="77">
        <v>0.875</v>
      </c>
      <c r="J183">
        <v>35.06</v>
      </c>
      <c r="M183" s="74">
        <v>37628</v>
      </c>
      <c r="N183" s="77">
        <v>0.875</v>
      </c>
      <c r="P183">
        <v>24.8</v>
      </c>
      <c r="S183" s="74">
        <v>36167</v>
      </c>
      <c r="T183" s="77">
        <v>0.875</v>
      </c>
      <c r="V183">
        <v>26.96</v>
      </c>
      <c r="X183" s="42"/>
      <c r="AB183">
        <v>35.5</v>
      </c>
      <c r="AC183">
        <v>37.94</v>
      </c>
      <c r="AE183" s="74"/>
      <c r="AF183" s="77"/>
      <c r="AH183" s="497">
        <v>26.6</v>
      </c>
      <c r="AJ183" s="42"/>
      <c r="AK183" s="74"/>
      <c r="AL183" s="77"/>
      <c r="AN183" s="497">
        <v>6.98</v>
      </c>
      <c r="AP183" s="42"/>
      <c r="AQ183" s="74"/>
      <c r="AR183" s="77"/>
      <c r="AT183" s="497">
        <v>19.04</v>
      </c>
      <c r="AV183" s="42"/>
      <c r="AW183" s="74"/>
      <c r="AX183" s="77"/>
      <c r="BA183" s="497">
        <v>31.28</v>
      </c>
      <c r="BB183" s="42"/>
      <c r="BC183" s="74"/>
      <c r="BD183" s="77"/>
      <c r="BF183">
        <v>24.08</v>
      </c>
      <c r="BH183" s="42"/>
      <c r="BI183" s="74"/>
      <c r="BJ183" s="77"/>
      <c r="BL183" s="497">
        <v>24.62</v>
      </c>
      <c r="BN183" s="42"/>
      <c r="BO183" s="74"/>
      <c r="BP183" s="77"/>
      <c r="BR183" s="497">
        <v>-2.9200000000000017</v>
      </c>
      <c r="BT183" s="42"/>
    </row>
    <row r="184" spans="1:72" x14ac:dyDescent="0.25">
      <c r="A184" s="90">
        <v>36167</v>
      </c>
      <c r="B184" s="20">
        <v>0.91666666666666663</v>
      </c>
      <c r="D184">
        <v>26.96</v>
      </c>
      <c r="E184" t="str">
        <f t="shared" si="40"/>
        <v>WEEKDAY</v>
      </c>
      <c r="F184" t="e">
        <f t="shared" si="41"/>
        <v>#N/A</v>
      </c>
      <c r="G184" s="74">
        <v>27766</v>
      </c>
      <c r="H184" s="77">
        <v>0.91666666666666663</v>
      </c>
      <c r="J184">
        <v>35.96</v>
      </c>
      <c r="M184" s="74">
        <v>37628</v>
      </c>
      <c r="N184" s="77">
        <v>0.91666666666666663</v>
      </c>
      <c r="P184">
        <v>24.8</v>
      </c>
      <c r="S184" s="74">
        <v>36167</v>
      </c>
      <c r="T184" s="77">
        <v>0.91666666666666663</v>
      </c>
      <c r="V184">
        <v>26.060000000000002</v>
      </c>
      <c r="X184" s="42"/>
      <c r="AB184">
        <v>35.1</v>
      </c>
      <c r="AC184">
        <v>35.96</v>
      </c>
      <c r="AE184" s="74"/>
      <c r="AF184" s="77"/>
      <c r="AH184" s="497">
        <v>26.6</v>
      </c>
      <c r="AJ184" s="42"/>
      <c r="AK184" s="74"/>
      <c r="AL184" s="77"/>
      <c r="AN184" s="497">
        <v>8.0599999999999987</v>
      </c>
      <c r="AP184" s="42"/>
      <c r="AQ184" s="74"/>
      <c r="AR184" s="77"/>
      <c r="AT184" s="497">
        <v>17.96</v>
      </c>
      <c r="AV184" s="42"/>
      <c r="AW184" s="74"/>
      <c r="AX184" s="77"/>
      <c r="BA184" s="497">
        <v>32</v>
      </c>
      <c r="BB184" s="42"/>
      <c r="BC184" s="74"/>
      <c r="BD184" s="77"/>
      <c r="BF184">
        <v>23</v>
      </c>
      <c r="BH184" s="42"/>
      <c r="BI184" s="74"/>
      <c r="BJ184" s="77"/>
      <c r="BL184" s="497">
        <v>23</v>
      </c>
      <c r="BN184" s="42"/>
      <c r="BO184" s="74"/>
      <c r="BP184" s="77"/>
      <c r="BR184" s="497">
        <v>-4</v>
      </c>
      <c r="BT184" s="42"/>
    </row>
    <row r="185" spans="1:72" x14ac:dyDescent="0.25">
      <c r="A185" s="90">
        <v>36167</v>
      </c>
      <c r="B185" s="20">
        <v>0.95833333333333337</v>
      </c>
      <c r="D185">
        <v>26.060000000000002</v>
      </c>
      <c r="E185" t="str">
        <f t="shared" si="40"/>
        <v>WEEKDAY</v>
      </c>
      <c r="F185" t="e">
        <f t="shared" si="41"/>
        <v>#N/A</v>
      </c>
      <c r="G185" s="74">
        <v>27766</v>
      </c>
      <c r="H185" s="77">
        <v>0.95833333333333337</v>
      </c>
      <c r="J185">
        <v>35.96</v>
      </c>
      <c r="M185" s="74">
        <v>37628</v>
      </c>
      <c r="N185" s="77">
        <v>0.95833333333333337</v>
      </c>
      <c r="P185">
        <v>24.8</v>
      </c>
      <c r="S185" s="74">
        <v>36167</v>
      </c>
      <c r="T185" s="77">
        <v>0.95833333333333337</v>
      </c>
      <c r="V185">
        <v>24.98</v>
      </c>
      <c r="X185" s="42"/>
      <c r="AB185">
        <v>34.6</v>
      </c>
      <c r="AC185">
        <v>35.06</v>
      </c>
      <c r="AE185" s="74"/>
      <c r="AF185" s="77"/>
      <c r="AH185" s="497">
        <v>26.6</v>
      </c>
      <c r="AJ185" s="42"/>
      <c r="AK185" s="74"/>
      <c r="AL185" s="77"/>
      <c r="AN185" s="497">
        <v>8.0599999999999987</v>
      </c>
      <c r="AP185" s="42"/>
      <c r="AQ185" s="74"/>
      <c r="AR185" s="77"/>
      <c r="AT185" s="497">
        <v>17.059999999999999</v>
      </c>
      <c r="AV185" s="42"/>
      <c r="AW185" s="74"/>
      <c r="AX185" s="77"/>
      <c r="BA185" s="497">
        <v>30.38</v>
      </c>
      <c r="BB185" s="42"/>
      <c r="BC185" s="74"/>
      <c r="BD185" s="77"/>
      <c r="BF185">
        <v>23</v>
      </c>
      <c r="BH185" s="42"/>
      <c r="BI185" s="74"/>
      <c r="BJ185" s="77"/>
      <c r="BL185" s="497">
        <v>23</v>
      </c>
      <c r="BN185" s="42"/>
      <c r="BO185" s="74"/>
      <c r="BP185" s="77"/>
      <c r="BR185" s="497">
        <v>-4</v>
      </c>
      <c r="BT185" s="42"/>
    </row>
    <row r="186" spans="1:72" x14ac:dyDescent="0.25">
      <c r="A186" s="90">
        <v>36167</v>
      </c>
      <c r="B186" s="20">
        <v>1</v>
      </c>
      <c r="D186">
        <v>24.98</v>
      </c>
      <c r="E186" t="str">
        <f t="shared" si="40"/>
        <v>WEEKDAY</v>
      </c>
      <c r="F186" t="e">
        <f t="shared" si="41"/>
        <v>#N/A</v>
      </c>
      <c r="G186" s="74">
        <v>27766</v>
      </c>
      <c r="H186" s="77">
        <v>1</v>
      </c>
      <c r="J186">
        <v>35.96</v>
      </c>
      <c r="M186" s="74">
        <v>37628</v>
      </c>
      <c r="N186" s="80">
        <v>1</v>
      </c>
      <c r="P186">
        <v>24.8</v>
      </c>
      <c r="S186" s="74">
        <v>36167</v>
      </c>
      <c r="T186" s="80">
        <v>1</v>
      </c>
      <c r="V186">
        <v>24.08</v>
      </c>
      <c r="X186" s="42"/>
      <c r="AB186">
        <v>34.1</v>
      </c>
      <c r="AC186">
        <v>33.979999999999997</v>
      </c>
      <c r="AE186" s="74"/>
      <c r="AF186" s="80"/>
      <c r="AH186" s="497">
        <v>26.6</v>
      </c>
      <c r="AJ186" s="42"/>
      <c r="AK186" s="74"/>
      <c r="AL186" s="80"/>
      <c r="AN186" s="497">
        <v>8.0599999999999987</v>
      </c>
      <c r="AP186" s="42"/>
      <c r="AQ186" s="74"/>
      <c r="AR186" s="80"/>
      <c r="AT186" s="497">
        <v>17.059999999999999</v>
      </c>
      <c r="AV186" s="42"/>
      <c r="AW186" s="74"/>
      <c r="AX186" s="80"/>
      <c r="BA186" s="497">
        <v>28.58</v>
      </c>
      <c r="BB186" s="42"/>
      <c r="BC186" s="74"/>
      <c r="BD186" s="80"/>
      <c r="BF186">
        <v>23</v>
      </c>
      <c r="BH186" s="42"/>
      <c r="BI186" s="74"/>
      <c r="BJ186" s="80"/>
      <c r="BL186" s="497">
        <v>23</v>
      </c>
      <c r="BN186" s="42"/>
      <c r="BO186" s="74"/>
      <c r="BP186" s="80"/>
      <c r="BR186" s="497">
        <v>-5.0800000000000054</v>
      </c>
      <c r="BT186" s="42"/>
    </row>
    <row r="187" spans="1:72" x14ac:dyDescent="0.25">
      <c r="A187" s="90">
        <v>36168</v>
      </c>
      <c r="B187" s="20">
        <v>4.1666666666666664E-2</v>
      </c>
      <c r="D187">
        <v>24.08</v>
      </c>
      <c r="E187" t="str">
        <f t="shared" si="40"/>
        <v>WEEKDAY</v>
      </c>
      <c r="F187" t="e">
        <f t="shared" si="41"/>
        <v>#N/A</v>
      </c>
      <c r="G187" s="74">
        <v>27767</v>
      </c>
      <c r="H187" s="77">
        <v>4.1666666666666664E-2</v>
      </c>
      <c r="J187">
        <v>37.04</v>
      </c>
      <c r="M187" s="74">
        <v>37629</v>
      </c>
      <c r="N187" s="77">
        <v>4.1666666666666664E-2</v>
      </c>
      <c r="P187">
        <v>24.8</v>
      </c>
      <c r="S187" s="74">
        <v>36168</v>
      </c>
      <c r="T187" s="77">
        <v>4.1666666666666664E-2</v>
      </c>
      <c r="V187">
        <v>24.08</v>
      </c>
      <c r="X187" s="42"/>
      <c r="AB187">
        <v>33.700000000000003</v>
      </c>
      <c r="AC187">
        <v>33.979999999999997</v>
      </c>
      <c r="AE187" s="74"/>
      <c r="AF187" s="77"/>
      <c r="AH187" s="497">
        <v>28.4</v>
      </c>
      <c r="AJ187" s="42"/>
      <c r="AK187" s="74"/>
      <c r="AL187" s="77"/>
      <c r="AN187" s="497">
        <v>6.98</v>
      </c>
      <c r="AP187" s="42"/>
      <c r="AQ187" s="74"/>
      <c r="AR187" s="77"/>
      <c r="AT187" s="497">
        <v>17.059999999999999</v>
      </c>
      <c r="AV187" s="42"/>
      <c r="AW187" s="74"/>
      <c r="AX187" s="77"/>
      <c r="BA187" s="497">
        <v>26.96</v>
      </c>
      <c r="BB187" s="42"/>
      <c r="BC187" s="74"/>
      <c r="BD187" s="77"/>
      <c r="BF187">
        <v>21.92</v>
      </c>
      <c r="BH187" s="42"/>
      <c r="BI187" s="74"/>
      <c r="BJ187" s="77"/>
      <c r="BL187" s="497">
        <v>23</v>
      </c>
      <c r="BN187" s="42"/>
      <c r="BO187" s="74"/>
      <c r="BP187" s="77"/>
      <c r="BR187" s="497">
        <v>-5.0800000000000054</v>
      </c>
      <c r="BT187" s="42"/>
    </row>
    <row r="188" spans="1:72" x14ac:dyDescent="0.25">
      <c r="A188" s="90">
        <v>36168</v>
      </c>
      <c r="B188" s="20">
        <v>8.3333333333333329E-2</v>
      </c>
      <c r="D188">
        <v>23</v>
      </c>
      <c r="E188" t="str">
        <f t="shared" si="40"/>
        <v>WEEKDAY</v>
      </c>
      <c r="F188" t="e">
        <f t="shared" si="41"/>
        <v>#N/A</v>
      </c>
      <c r="G188" s="74">
        <v>27767</v>
      </c>
      <c r="H188" s="77">
        <v>8.3333333333333329E-2</v>
      </c>
      <c r="J188">
        <v>35.96</v>
      </c>
      <c r="M188" s="74">
        <v>37629</v>
      </c>
      <c r="N188" s="77">
        <v>8.3333333333333329E-2</v>
      </c>
      <c r="P188">
        <v>24.8</v>
      </c>
      <c r="S188" s="74">
        <v>36168</v>
      </c>
      <c r="T188" s="77">
        <v>8.3333333333333329E-2</v>
      </c>
      <c r="V188">
        <v>23</v>
      </c>
      <c r="X188" s="42"/>
      <c r="AB188">
        <v>33.200000000000003</v>
      </c>
      <c r="AC188">
        <v>32</v>
      </c>
      <c r="AE188" s="74"/>
      <c r="AF188" s="77"/>
      <c r="AH188" s="497">
        <v>28.4</v>
      </c>
      <c r="AJ188" s="42"/>
      <c r="AK188" s="74"/>
      <c r="AL188" s="77"/>
      <c r="AN188" s="497">
        <v>6.0799999999999983</v>
      </c>
      <c r="AP188" s="42"/>
      <c r="AQ188" s="74"/>
      <c r="AR188" s="77"/>
      <c r="AT188" s="497">
        <v>17.059999999999999</v>
      </c>
      <c r="AV188" s="42"/>
      <c r="AW188" s="74"/>
      <c r="AX188" s="77"/>
      <c r="BA188" s="497">
        <v>26.24</v>
      </c>
      <c r="BB188" s="42"/>
      <c r="BC188" s="74"/>
      <c r="BD188" s="77"/>
      <c r="BF188">
        <v>21.92</v>
      </c>
      <c r="BH188" s="42"/>
      <c r="BI188" s="74"/>
      <c r="BJ188" s="77"/>
      <c r="BL188" s="497">
        <v>22.64</v>
      </c>
      <c r="BN188" s="42"/>
      <c r="BO188" s="74"/>
      <c r="BP188" s="77"/>
      <c r="BR188" s="497">
        <v>-5.980000000000004</v>
      </c>
      <c r="BT188" s="42"/>
    </row>
    <row r="189" spans="1:72" x14ac:dyDescent="0.25">
      <c r="A189" s="90">
        <v>36168</v>
      </c>
      <c r="B189" s="20">
        <v>0.125</v>
      </c>
      <c r="D189">
        <v>21.92</v>
      </c>
      <c r="E189" t="str">
        <f t="shared" si="40"/>
        <v>WEEKDAY</v>
      </c>
      <c r="F189" t="e">
        <f t="shared" si="41"/>
        <v>#N/A</v>
      </c>
      <c r="G189" s="74">
        <v>27767</v>
      </c>
      <c r="H189" s="77">
        <v>0.125</v>
      </c>
      <c r="J189">
        <v>35.96</v>
      </c>
      <c r="M189" s="74">
        <v>37629</v>
      </c>
      <c r="N189" s="77">
        <v>0.125</v>
      </c>
      <c r="P189">
        <v>26.6</v>
      </c>
      <c r="S189" s="74">
        <v>36168</v>
      </c>
      <c r="T189" s="77">
        <v>0.125</v>
      </c>
      <c r="V189">
        <v>23</v>
      </c>
      <c r="X189" s="42"/>
      <c r="AB189">
        <v>33</v>
      </c>
      <c r="AC189">
        <v>32</v>
      </c>
      <c r="AE189" s="74"/>
      <c r="AF189" s="77"/>
      <c r="AH189" s="497">
        <v>30.2</v>
      </c>
      <c r="AJ189" s="42"/>
      <c r="AK189" s="74"/>
      <c r="AL189" s="77"/>
      <c r="AN189" s="497">
        <v>5</v>
      </c>
      <c r="AP189" s="42"/>
      <c r="AQ189" s="74"/>
      <c r="AR189" s="77"/>
      <c r="AT189" s="497">
        <v>15.98</v>
      </c>
      <c r="AV189" s="42"/>
      <c r="AW189" s="74"/>
      <c r="AX189" s="77"/>
      <c r="BA189" s="497">
        <v>25.7</v>
      </c>
      <c r="BB189" s="42"/>
      <c r="BC189" s="74"/>
      <c r="BD189" s="77"/>
      <c r="BF189">
        <v>21.92</v>
      </c>
      <c r="BH189" s="42"/>
      <c r="BI189" s="74"/>
      <c r="BJ189" s="77"/>
      <c r="BL189" s="497">
        <v>22.28</v>
      </c>
      <c r="BN189" s="42"/>
      <c r="BO189" s="74"/>
      <c r="BP189" s="77"/>
      <c r="BR189" s="497">
        <v>-7.9600000000000009</v>
      </c>
      <c r="BT189" s="42"/>
    </row>
    <row r="190" spans="1:72" x14ac:dyDescent="0.25">
      <c r="A190" s="90">
        <v>36168</v>
      </c>
      <c r="B190" s="20">
        <v>0.16666666666666666</v>
      </c>
      <c r="D190">
        <v>21.92</v>
      </c>
      <c r="E190" t="str">
        <f t="shared" si="40"/>
        <v>WEEKDAY</v>
      </c>
      <c r="F190" t="e">
        <f t="shared" si="41"/>
        <v>#N/A</v>
      </c>
      <c r="G190" s="74">
        <v>27767</v>
      </c>
      <c r="H190" s="77">
        <v>0.16666666666666666</v>
      </c>
      <c r="J190">
        <v>35.96</v>
      </c>
      <c r="M190" s="74">
        <v>37629</v>
      </c>
      <c r="N190" s="77">
        <v>0.16666666666666666</v>
      </c>
      <c r="P190">
        <v>26.6</v>
      </c>
      <c r="S190" s="74">
        <v>36168</v>
      </c>
      <c r="T190" s="77">
        <v>0.16666666666666666</v>
      </c>
      <c r="V190">
        <v>23</v>
      </c>
      <c r="X190" s="42"/>
      <c r="AB190">
        <v>32.700000000000003</v>
      </c>
      <c r="AC190">
        <v>30.92</v>
      </c>
      <c r="AE190" s="74"/>
      <c r="AF190" s="77"/>
      <c r="AH190" s="497">
        <v>30.2</v>
      </c>
      <c r="AJ190" s="42"/>
      <c r="AK190" s="74"/>
      <c r="AL190" s="77"/>
      <c r="AN190" s="497">
        <v>3.9200000000000017</v>
      </c>
      <c r="AP190" s="42"/>
      <c r="AQ190" s="74"/>
      <c r="AR190" s="77"/>
      <c r="AT190" s="497">
        <v>15.98</v>
      </c>
      <c r="AV190" s="42"/>
      <c r="AW190" s="74"/>
      <c r="AX190" s="77"/>
      <c r="BA190" s="497">
        <v>24.98</v>
      </c>
      <c r="BB190" s="42"/>
      <c r="BC190" s="74"/>
      <c r="BD190" s="77"/>
      <c r="BF190">
        <v>21.02</v>
      </c>
      <c r="BH190" s="42"/>
      <c r="BI190" s="74"/>
      <c r="BJ190" s="77"/>
      <c r="BL190" s="497">
        <v>21.92</v>
      </c>
      <c r="BN190" s="42"/>
      <c r="BO190" s="74"/>
      <c r="BP190" s="77"/>
      <c r="BR190" s="497">
        <v>-7.9600000000000009</v>
      </c>
      <c r="BT190" s="42"/>
    </row>
    <row r="191" spans="1:72" x14ac:dyDescent="0.25">
      <c r="A191" s="90">
        <v>36168</v>
      </c>
      <c r="B191" s="20">
        <v>0.20833333333333334</v>
      </c>
      <c r="D191">
        <v>21.02</v>
      </c>
      <c r="E191" t="str">
        <f t="shared" si="40"/>
        <v>WEEKDAY</v>
      </c>
      <c r="F191" t="e">
        <f t="shared" si="41"/>
        <v>#N/A</v>
      </c>
      <c r="G191" s="74">
        <v>27767</v>
      </c>
      <c r="H191" s="77">
        <v>0.20833333333333334</v>
      </c>
      <c r="J191">
        <v>35.96</v>
      </c>
      <c r="M191" s="74">
        <v>37629</v>
      </c>
      <c r="N191" s="77">
        <v>0.20833333333333334</v>
      </c>
      <c r="P191">
        <v>28.4</v>
      </c>
      <c r="S191" s="74">
        <v>36168</v>
      </c>
      <c r="T191" s="77">
        <v>0.20833333333333334</v>
      </c>
      <c r="V191">
        <v>21.92</v>
      </c>
      <c r="X191" s="42"/>
      <c r="AB191">
        <v>32.5</v>
      </c>
      <c r="AC191">
        <v>30.02</v>
      </c>
      <c r="AE191" s="74"/>
      <c r="AF191" s="77"/>
      <c r="AH191" s="497">
        <v>30.2</v>
      </c>
      <c r="AJ191" s="42"/>
      <c r="AK191" s="74"/>
      <c r="AL191" s="77"/>
      <c r="AN191" s="497">
        <v>3.9200000000000017</v>
      </c>
      <c r="AP191" s="42"/>
      <c r="AQ191" s="74"/>
      <c r="AR191" s="77"/>
      <c r="AT191" s="497">
        <v>15.079999999999998</v>
      </c>
      <c r="AV191" s="42"/>
      <c r="AW191" s="74"/>
      <c r="AX191" s="77"/>
      <c r="BA191" s="497">
        <v>24.62</v>
      </c>
      <c r="BB191" s="42"/>
      <c r="BC191" s="74"/>
      <c r="BD191" s="77"/>
      <c r="BF191">
        <v>21.02</v>
      </c>
      <c r="BH191" s="42"/>
      <c r="BI191" s="74"/>
      <c r="BJ191" s="77"/>
      <c r="BL191" s="497">
        <v>21.2</v>
      </c>
      <c r="BN191" s="42"/>
      <c r="BO191" s="74"/>
      <c r="BP191" s="77"/>
      <c r="BR191" s="497">
        <v>-7.9600000000000009</v>
      </c>
      <c r="BT191" s="42"/>
    </row>
    <row r="192" spans="1:72" x14ac:dyDescent="0.25">
      <c r="A192" s="90">
        <v>36168</v>
      </c>
      <c r="B192" s="20">
        <v>0.25</v>
      </c>
      <c r="D192">
        <v>21.02</v>
      </c>
      <c r="E192" t="str">
        <f t="shared" si="40"/>
        <v>WEEKDAY</v>
      </c>
      <c r="F192" t="e">
        <f t="shared" si="41"/>
        <v>#N/A</v>
      </c>
      <c r="G192" s="74">
        <v>27767</v>
      </c>
      <c r="H192" s="77">
        <v>0.25</v>
      </c>
      <c r="J192">
        <v>35.96</v>
      </c>
      <c r="M192" s="74">
        <v>37629</v>
      </c>
      <c r="N192" s="77">
        <v>0.25</v>
      </c>
      <c r="P192">
        <v>27.86</v>
      </c>
      <c r="S192" s="74">
        <v>36168</v>
      </c>
      <c r="T192" s="77">
        <v>0.25</v>
      </c>
      <c r="V192">
        <v>23</v>
      </c>
      <c r="X192" s="42"/>
      <c r="AB192">
        <v>32.299999999999997</v>
      </c>
      <c r="AC192">
        <v>28.94</v>
      </c>
      <c r="AE192" s="74"/>
      <c r="AF192" s="77"/>
      <c r="AH192" s="497">
        <v>30.2</v>
      </c>
      <c r="AJ192" s="42"/>
      <c r="AK192" s="74"/>
      <c r="AL192" s="77"/>
      <c r="AN192" s="497">
        <v>1.9400000000000013</v>
      </c>
      <c r="AP192" s="42"/>
      <c r="AQ192" s="74"/>
      <c r="AR192" s="77"/>
      <c r="AT192" s="497">
        <v>19.939999999999998</v>
      </c>
      <c r="AV192" s="42"/>
      <c r="AW192" s="74"/>
      <c r="AX192" s="77"/>
      <c r="BA192" s="497">
        <v>24.439999999999998</v>
      </c>
      <c r="BB192" s="42"/>
      <c r="BC192" s="74"/>
      <c r="BD192" s="77"/>
      <c r="BF192">
        <v>19.939999999999998</v>
      </c>
      <c r="BH192" s="42"/>
      <c r="BI192" s="74"/>
      <c r="BJ192" s="77"/>
      <c r="BL192" s="497">
        <v>20.66</v>
      </c>
      <c r="BN192" s="42"/>
      <c r="BO192" s="74"/>
      <c r="BP192" s="77"/>
      <c r="BR192" s="497">
        <v>-9.0399999999999991</v>
      </c>
      <c r="BT192" s="42"/>
    </row>
    <row r="193" spans="1:72" x14ac:dyDescent="0.25">
      <c r="A193" s="90">
        <v>36168</v>
      </c>
      <c r="B193" s="20">
        <v>0.29166666666666669</v>
      </c>
      <c r="D193">
        <v>21.02</v>
      </c>
      <c r="E193" t="str">
        <f t="shared" si="40"/>
        <v>WEEKDAY</v>
      </c>
      <c r="F193" t="e">
        <f t="shared" si="41"/>
        <v>#N/A</v>
      </c>
      <c r="G193" s="74">
        <v>27767</v>
      </c>
      <c r="H193" s="77">
        <v>0.29166666666666669</v>
      </c>
      <c r="J193">
        <v>35.96</v>
      </c>
      <c r="M193" s="74">
        <v>37629</v>
      </c>
      <c r="N193" s="77">
        <v>0.29166666666666669</v>
      </c>
      <c r="P193">
        <v>26.96</v>
      </c>
      <c r="S193" s="74">
        <v>36168</v>
      </c>
      <c r="T193" s="77">
        <v>0.29166666666666669</v>
      </c>
      <c r="V193">
        <v>23</v>
      </c>
      <c r="X193" s="42"/>
      <c r="AB193">
        <v>32.200000000000003</v>
      </c>
      <c r="AC193">
        <v>26.96</v>
      </c>
      <c r="AE193" s="74"/>
      <c r="AF193" s="77"/>
      <c r="AH193" s="497">
        <v>32</v>
      </c>
      <c r="AJ193" s="42"/>
      <c r="AK193" s="74"/>
      <c r="AL193" s="77"/>
      <c r="AN193" s="497">
        <v>1.9400000000000013</v>
      </c>
      <c r="AP193" s="42"/>
      <c r="AQ193" s="74"/>
      <c r="AR193" s="77"/>
      <c r="AT193" s="497">
        <v>23</v>
      </c>
      <c r="AV193" s="42"/>
      <c r="AW193" s="74"/>
      <c r="AX193" s="77"/>
      <c r="BA193" s="497">
        <v>24.08</v>
      </c>
      <c r="BB193" s="42"/>
      <c r="BC193" s="74"/>
      <c r="BD193" s="77"/>
      <c r="BF193">
        <v>19.939999999999998</v>
      </c>
      <c r="BH193" s="42"/>
      <c r="BI193" s="74"/>
      <c r="BJ193" s="77"/>
      <c r="BL193" s="497">
        <v>19.939999999999998</v>
      </c>
      <c r="BN193" s="42"/>
      <c r="BO193" s="74"/>
      <c r="BP193" s="77"/>
      <c r="BR193" s="497">
        <v>-11.920000000000002</v>
      </c>
      <c r="BT193" s="42"/>
    </row>
    <row r="194" spans="1:72" x14ac:dyDescent="0.25">
      <c r="A194" s="90">
        <v>36168</v>
      </c>
      <c r="B194" s="20">
        <v>0.33333333333333331</v>
      </c>
      <c r="D194">
        <v>21.92</v>
      </c>
      <c r="E194" t="str">
        <f t="shared" si="40"/>
        <v>WEEKDAY</v>
      </c>
      <c r="F194" t="e">
        <f t="shared" si="41"/>
        <v>#N/A</v>
      </c>
      <c r="G194" s="74">
        <v>27767</v>
      </c>
      <c r="H194" s="77">
        <v>0.33333333333333331</v>
      </c>
      <c r="J194">
        <v>35.96</v>
      </c>
      <c r="M194" s="74">
        <v>37629</v>
      </c>
      <c r="N194" s="77">
        <v>0.33333333333333331</v>
      </c>
      <c r="P194">
        <v>26.96</v>
      </c>
      <c r="S194" s="74">
        <v>36168</v>
      </c>
      <c r="T194" s="77">
        <v>0.33333333333333331</v>
      </c>
      <c r="V194">
        <v>24.08</v>
      </c>
      <c r="X194" s="42"/>
      <c r="AB194">
        <v>32.200000000000003</v>
      </c>
      <c r="AC194">
        <v>28.94</v>
      </c>
      <c r="AE194" s="74"/>
      <c r="AF194" s="77"/>
      <c r="AH194" s="497">
        <v>32</v>
      </c>
      <c r="AJ194" s="42"/>
      <c r="AK194" s="74"/>
      <c r="AL194" s="77"/>
      <c r="AN194" s="497">
        <v>1.0399999999999991</v>
      </c>
      <c r="AP194" s="42"/>
      <c r="AQ194" s="74"/>
      <c r="AR194" s="77"/>
      <c r="AT194" s="497">
        <v>12.920000000000002</v>
      </c>
      <c r="AV194" s="42"/>
      <c r="AW194" s="74"/>
      <c r="AX194" s="77"/>
      <c r="BA194" s="497">
        <v>24.439999999999998</v>
      </c>
      <c r="BB194" s="42"/>
      <c r="BC194" s="74"/>
      <c r="BD194" s="77"/>
      <c r="BF194">
        <v>19.04</v>
      </c>
      <c r="BH194" s="42"/>
      <c r="BI194" s="74"/>
      <c r="BJ194" s="77"/>
      <c r="BL194" s="497">
        <v>19.939999999999998</v>
      </c>
      <c r="BN194" s="42"/>
      <c r="BO194" s="74"/>
      <c r="BP194" s="77"/>
      <c r="BR194" s="497">
        <v>-11.920000000000002</v>
      </c>
      <c r="BT194" s="42"/>
    </row>
    <row r="195" spans="1:72" x14ac:dyDescent="0.25">
      <c r="A195" s="90">
        <v>36168</v>
      </c>
      <c r="B195" s="20">
        <v>0.375</v>
      </c>
      <c r="D195">
        <v>21.02</v>
      </c>
      <c r="E195" t="str">
        <f t="shared" si="40"/>
        <v>WEEKDAY</v>
      </c>
      <c r="F195" t="e">
        <f t="shared" si="41"/>
        <v>#N/A</v>
      </c>
      <c r="G195" s="74">
        <v>27767</v>
      </c>
      <c r="H195" s="77">
        <v>0.375</v>
      </c>
      <c r="J195">
        <v>35.96</v>
      </c>
      <c r="M195" s="74">
        <v>37629</v>
      </c>
      <c r="N195" s="77">
        <v>0.375</v>
      </c>
      <c r="P195">
        <v>28.4</v>
      </c>
      <c r="S195" s="74">
        <v>36168</v>
      </c>
      <c r="T195" s="77">
        <v>0.375</v>
      </c>
      <c r="V195">
        <v>24.98</v>
      </c>
      <c r="X195" s="42"/>
      <c r="AB195">
        <v>32.5</v>
      </c>
      <c r="AC195">
        <v>32</v>
      </c>
      <c r="AE195" s="74"/>
      <c r="AF195" s="77"/>
      <c r="AH195" s="497">
        <v>33.799999999999997</v>
      </c>
      <c r="AJ195" s="42"/>
      <c r="AK195" s="74"/>
      <c r="AL195" s="77"/>
      <c r="AN195" s="497">
        <v>1.9400000000000013</v>
      </c>
      <c r="AP195" s="42"/>
      <c r="AQ195" s="74"/>
      <c r="AR195" s="77"/>
      <c r="AT195" s="497">
        <v>10.039999999999999</v>
      </c>
      <c r="AV195" s="42"/>
      <c r="AW195" s="74"/>
      <c r="AX195" s="77"/>
      <c r="BA195" s="497">
        <v>24.62</v>
      </c>
      <c r="BB195" s="42"/>
      <c r="BC195" s="74"/>
      <c r="BD195" s="77"/>
      <c r="BF195">
        <v>19.04</v>
      </c>
      <c r="BH195" s="42"/>
      <c r="BI195" s="74"/>
      <c r="BJ195" s="77"/>
      <c r="BL195" s="497">
        <v>19.939999999999998</v>
      </c>
      <c r="BN195" s="42"/>
      <c r="BO195" s="74"/>
      <c r="BP195" s="77"/>
      <c r="BR195" s="497">
        <v>-9.0399999999999991</v>
      </c>
      <c r="BT195" s="42"/>
    </row>
    <row r="196" spans="1:72" x14ac:dyDescent="0.25">
      <c r="A196" s="90">
        <v>36168</v>
      </c>
      <c r="B196" s="20">
        <v>0.41666666666666669</v>
      </c>
      <c r="D196">
        <v>21.92</v>
      </c>
      <c r="E196" t="str">
        <f t="shared" si="40"/>
        <v>WEEKDAY</v>
      </c>
      <c r="F196" t="e">
        <f t="shared" si="41"/>
        <v>#N/A</v>
      </c>
      <c r="G196" s="74">
        <v>27767</v>
      </c>
      <c r="H196" s="77">
        <v>0.41666666666666669</v>
      </c>
      <c r="J196">
        <v>35.96</v>
      </c>
      <c r="M196" s="74">
        <v>37629</v>
      </c>
      <c r="N196" s="77">
        <v>0.41666666666666669</v>
      </c>
      <c r="P196">
        <v>30.2</v>
      </c>
      <c r="S196" s="74">
        <v>36168</v>
      </c>
      <c r="T196" s="77">
        <v>0.41666666666666669</v>
      </c>
      <c r="V196">
        <v>26.060000000000002</v>
      </c>
      <c r="X196" s="42"/>
      <c r="AB196">
        <v>33.799999999999997</v>
      </c>
      <c r="AC196">
        <v>33.979999999999997</v>
      </c>
      <c r="AE196" s="74"/>
      <c r="AF196" s="77"/>
      <c r="AH196" s="497">
        <v>33.799999999999997</v>
      </c>
      <c r="AJ196" s="42"/>
      <c r="AK196" s="74"/>
      <c r="AL196" s="77"/>
      <c r="AN196" s="497">
        <v>3.9200000000000017</v>
      </c>
      <c r="AP196" s="42"/>
      <c r="AQ196" s="74"/>
      <c r="AR196" s="77"/>
      <c r="AT196" s="497">
        <v>8.9599999999999973</v>
      </c>
      <c r="AV196" s="42"/>
      <c r="AW196" s="74"/>
      <c r="AX196" s="77"/>
      <c r="BA196" s="497">
        <v>24.98</v>
      </c>
      <c r="BB196" s="42"/>
      <c r="BC196" s="74"/>
      <c r="BD196" s="77"/>
      <c r="BF196">
        <v>19.04</v>
      </c>
      <c r="BH196" s="42"/>
      <c r="BI196" s="74"/>
      <c r="BJ196" s="77"/>
      <c r="BL196" s="497">
        <v>19.939999999999998</v>
      </c>
      <c r="BN196" s="42"/>
      <c r="BO196" s="74"/>
      <c r="BP196" s="77"/>
      <c r="BR196" s="497">
        <v>-5.0800000000000054</v>
      </c>
      <c r="BT196" s="42"/>
    </row>
    <row r="197" spans="1:72" x14ac:dyDescent="0.25">
      <c r="A197" s="90">
        <v>36168</v>
      </c>
      <c r="B197" s="20">
        <v>0.45833333333333331</v>
      </c>
      <c r="D197">
        <v>23</v>
      </c>
      <c r="E197" t="str">
        <f t="shared" si="40"/>
        <v>WEEKDAY</v>
      </c>
      <c r="F197" t="e">
        <f t="shared" si="41"/>
        <v>#N/A</v>
      </c>
      <c r="G197" s="74">
        <v>27767</v>
      </c>
      <c r="H197" s="77">
        <v>0.45833333333333331</v>
      </c>
      <c r="J197">
        <v>33.979999999999997</v>
      </c>
      <c r="M197" s="74">
        <v>37629</v>
      </c>
      <c r="N197" s="77">
        <v>0.45833333333333331</v>
      </c>
      <c r="P197">
        <v>32</v>
      </c>
      <c r="S197" s="74">
        <v>36168</v>
      </c>
      <c r="T197" s="77">
        <v>0.45833333333333331</v>
      </c>
      <c r="V197">
        <v>26.6</v>
      </c>
      <c r="X197" s="42"/>
      <c r="AB197">
        <v>35.1</v>
      </c>
      <c r="AC197">
        <v>35.96</v>
      </c>
      <c r="AE197" s="74"/>
      <c r="AF197" s="77"/>
      <c r="AH197" s="497">
        <v>33.799999999999997</v>
      </c>
      <c r="AJ197" s="42"/>
      <c r="AK197" s="74"/>
      <c r="AL197" s="77"/>
      <c r="AN197" s="497">
        <v>6.0799999999999983</v>
      </c>
      <c r="AP197" s="42"/>
      <c r="AQ197" s="74"/>
      <c r="AR197" s="77"/>
      <c r="AT197" s="497">
        <v>10.940000000000001</v>
      </c>
      <c r="AV197" s="42"/>
      <c r="AW197" s="74"/>
      <c r="AX197" s="77"/>
      <c r="BA197" s="497">
        <v>25.7</v>
      </c>
      <c r="BB197" s="42"/>
      <c r="BC197" s="74"/>
      <c r="BD197" s="77"/>
      <c r="BF197">
        <v>21.02</v>
      </c>
      <c r="BH197" s="42"/>
      <c r="BI197" s="74"/>
      <c r="BJ197" s="77"/>
      <c r="BL197" s="497">
        <v>20.66</v>
      </c>
      <c r="BN197" s="42"/>
      <c r="BO197" s="74"/>
      <c r="BP197" s="77"/>
      <c r="BR197" s="497">
        <v>-2.9200000000000017</v>
      </c>
      <c r="BT197" s="42"/>
    </row>
    <row r="198" spans="1:72" x14ac:dyDescent="0.25">
      <c r="A198" s="90">
        <v>36168</v>
      </c>
      <c r="B198" s="20">
        <v>0.5</v>
      </c>
      <c r="D198">
        <v>24.08</v>
      </c>
      <c r="E198" t="str">
        <f t="shared" si="40"/>
        <v>WEEKDAY</v>
      </c>
      <c r="F198" t="e">
        <f t="shared" si="41"/>
        <v>#N/A</v>
      </c>
      <c r="G198" s="74">
        <v>27767</v>
      </c>
      <c r="H198" s="77">
        <v>0.5</v>
      </c>
      <c r="J198">
        <v>32</v>
      </c>
      <c r="M198" s="74">
        <v>37629</v>
      </c>
      <c r="N198" s="77">
        <v>0.5</v>
      </c>
      <c r="P198">
        <v>35.6</v>
      </c>
      <c r="S198" s="74">
        <v>36168</v>
      </c>
      <c r="T198" s="77">
        <v>0.5</v>
      </c>
      <c r="V198">
        <v>24.98</v>
      </c>
      <c r="X198" s="42"/>
      <c r="AB198">
        <v>36.4</v>
      </c>
      <c r="AC198">
        <v>37.04</v>
      </c>
      <c r="AE198" s="74"/>
      <c r="AF198" s="77"/>
      <c r="AH198" s="497">
        <v>33.799999999999997</v>
      </c>
      <c r="AJ198" s="42"/>
      <c r="AK198" s="74"/>
      <c r="AL198" s="77"/>
      <c r="AN198" s="497">
        <v>8.0599999999999987</v>
      </c>
      <c r="AP198" s="42"/>
      <c r="AQ198" s="74"/>
      <c r="AR198" s="77"/>
      <c r="AT198" s="497">
        <v>12.02</v>
      </c>
      <c r="AV198" s="42"/>
      <c r="AW198" s="74"/>
      <c r="AX198" s="77"/>
      <c r="BA198" s="497">
        <v>26.24</v>
      </c>
      <c r="BB198" s="42"/>
      <c r="BC198" s="74"/>
      <c r="BD198" s="77"/>
      <c r="BF198">
        <v>21.92</v>
      </c>
      <c r="BH198" s="42"/>
      <c r="BI198" s="74"/>
      <c r="BJ198" s="77"/>
      <c r="BL198" s="497">
        <v>21.2</v>
      </c>
      <c r="BN198" s="42"/>
      <c r="BO198" s="74"/>
      <c r="BP198" s="77"/>
      <c r="BR198" s="497">
        <v>-3.9999999999999147E-2</v>
      </c>
      <c r="BT198" s="42"/>
    </row>
    <row r="199" spans="1:72" x14ac:dyDescent="0.25">
      <c r="A199" s="90">
        <v>36168</v>
      </c>
      <c r="B199" s="20">
        <v>0.54166666666666663</v>
      </c>
      <c r="D199">
        <v>26.060000000000002</v>
      </c>
      <c r="E199" t="str">
        <f t="shared" si="40"/>
        <v>WEEKDAY</v>
      </c>
      <c r="F199" t="e">
        <f t="shared" si="41"/>
        <v>#N/A</v>
      </c>
      <c r="G199" s="74">
        <v>27767</v>
      </c>
      <c r="H199" s="77">
        <v>0.54166666666666663</v>
      </c>
      <c r="J199">
        <v>30.92</v>
      </c>
      <c r="M199" s="74">
        <v>37629</v>
      </c>
      <c r="N199" s="77">
        <v>0.54166666666666663</v>
      </c>
      <c r="P199">
        <v>35.6</v>
      </c>
      <c r="S199" s="74">
        <v>36168</v>
      </c>
      <c r="T199" s="77">
        <v>0.54166666666666663</v>
      </c>
      <c r="V199">
        <v>26.060000000000002</v>
      </c>
      <c r="X199" s="42"/>
      <c r="AB199">
        <v>37.4</v>
      </c>
      <c r="AC199">
        <v>37.94</v>
      </c>
      <c r="AE199" s="74"/>
      <c r="AF199" s="77"/>
      <c r="AH199" s="497">
        <v>33.799999999999997</v>
      </c>
      <c r="AJ199" s="42"/>
      <c r="AK199" s="74"/>
      <c r="AL199" s="77"/>
      <c r="AN199" s="497">
        <v>10.039999999999999</v>
      </c>
      <c r="AP199" s="42"/>
      <c r="AQ199" s="74"/>
      <c r="AR199" s="77"/>
      <c r="AT199" s="497">
        <v>12.920000000000002</v>
      </c>
      <c r="AV199" s="42"/>
      <c r="AW199" s="74"/>
      <c r="AX199" s="77"/>
      <c r="BA199" s="497">
        <v>26.96</v>
      </c>
      <c r="BB199" s="42"/>
      <c r="BC199" s="74"/>
      <c r="BD199" s="77"/>
      <c r="BF199">
        <v>24.08</v>
      </c>
      <c r="BH199" s="42"/>
      <c r="BI199" s="74"/>
      <c r="BJ199" s="77"/>
      <c r="BL199" s="497">
        <v>21.92</v>
      </c>
      <c r="BN199" s="42"/>
      <c r="BO199" s="74"/>
      <c r="BP199" s="77"/>
      <c r="BR199" s="497">
        <v>1.0399999999999991</v>
      </c>
      <c r="BT199" s="42"/>
    </row>
    <row r="200" spans="1:72" x14ac:dyDescent="0.25">
      <c r="A200" s="90">
        <v>36168</v>
      </c>
      <c r="B200" s="20">
        <v>0.58333333333333337</v>
      </c>
      <c r="D200">
        <v>26.96</v>
      </c>
      <c r="E200" t="str">
        <f t="shared" si="40"/>
        <v>WEEKDAY</v>
      </c>
      <c r="F200" t="e">
        <f t="shared" si="41"/>
        <v>#N/A</v>
      </c>
      <c r="G200" s="74">
        <v>27767</v>
      </c>
      <c r="H200" s="77">
        <v>0.58333333333333337</v>
      </c>
      <c r="J200">
        <v>30.02</v>
      </c>
      <c r="M200" s="74">
        <v>37629</v>
      </c>
      <c r="N200" s="77">
        <v>0.58333333333333337</v>
      </c>
      <c r="P200">
        <v>37.4</v>
      </c>
      <c r="S200" s="74">
        <v>36168</v>
      </c>
      <c r="T200" s="77">
        <v>0.58333333333333337</v>
      </c>
      <c r="V200">
        <v>26.96</v>
      </c>
      <c r="X200" s="42"/>
      <c r="AB200">
        <v>38.200000000000003</v>
      </c>
      <c r="AC200">
        <v>39.019999999999996</v>
      </c>
      <c r="AE200" s="74"/>
      <c r="AF200" s="77"/>
      <c r="AH200" s="497">
        <v>33.799999999999997</v>
      </c>
      <c r="AJ200" s="42"/>
      <c r="AK200" s="74"/>
      <c r="AL200" s="77"/>
      <c r="AN200" s="497">
        <v>10.940000000000001</v>
      </c>
      <c r="AP200" s="42"/>
      <c r="AQ200" s="74"/>
      <c r="AR200" s="77"/>
      <c r="AT200" s="497">
        <v>14</v>
      </c>
      <c r="AV200" s="42"/>
      <c r="AW200" s="74"/>
      <c r="AX200" s="77"/>
      <c r="BA200" s="497">
        <v>27.32</v>
      </c>
      <c r="BB200" s="42"/>
      <c r="BC200" s="74"/>
      <c r="BD200" s="77"/>
      <c r="BF200">
        <v>24.08</v>
      </c>
      <c r="BH200" s="42"/>
      <c r="BI200" s="74"/>
      <c r="BJ200" s="77"/>
      <c r="BL200" s="497">
        <v>22.64</v>
      </c>
      <c r="BN200" s="42"/>
      <c r="BO200" s="74"/>
      <c r="BP200" s="77"/>
      <c r="BR200" s="497">
        <v>3.019999999999996</v>
      </c>
      <c r="BT200" s="42"/>
    </row>
    <row r="201" spans="1:72" x14ac:dyDescent="0.25">
      <c r="A201" s="90">
        <v>36168</v>
      </c>
      <c r="B201" s="20">
        <v>0.625</v>
      </c>
      <c r="D201">
        <v>28.04</v>
      </c>
      <c r="E201" t="str">
        <f t="shared" si="40"/>
        <v>WEEKDAY</v>
      </c>
      <c r="F201" t="e">
        <f t="shared" si="41"/>
        <v>#N/A</v>
      </c>
      <c r="G201" s="74">
        <v>27767</v>
      </c>
      <c r="H201" s="77">
        <v>0.625</v>
      </c>
      <c r="J201">
        <v>30.02</v>
      </c>
      <c r="M201" s="74">
        <v>37629</v>
      </c>
      <c r="N201" s="77">
        <v>0.625</v>
      </c>
      <c r="P201">
        <v>39.200000000000003</v>
      </c>
      <c r="S201" s="74">
        <v>36168</v>
      </c>
      <c r="T201" s="77">
        <v>0.625</v>
      </c>
      <c r="V201">
        <v>28.04</v>
      </c>
      <c r="X201" s="42"/>
      <c r="AB201">
        <v>38.6</v>
      </c>
      <c r="AC201">
        <v>39.019999999999996</v>
      </c>
      <c r="AE201" s="74"/>
      <c r="AF201" s="77"/>
      <c r="AH201" s="497">
        <v>33.799999999999997</v>
      </c>
      <c r="AJ201" s="42"/>
      <c r="AK201" s="74"/>
      <c r="AL201" s="77"/>
      <c r="AN201" s="497">
        <v>12.920000000000002</v>
      </c>
      <c r="AP201" s="42"/>
      <c r="AQ201" s="74"/>
      <c r="AR201" s="77"/>
      <c r="AT201" s="497">
        <v>14</v>
      </c>
      <c r="AV201" s="42"/>
      <c r="AW201" s="74"/>
      <c r="AX201" s="77"/>
      <c r="BA201" s="497">
        <v>27.68</v>
      </c>
      <c r="BB201" s="42"/>
      <c r="BC201" s="74"/>
      <c r="BD201" s="77"/>
      <c r="BF201">
        <v>23</v>
      </c>
      <c r="BH201" s="42"/>
      <c r="BI201" s="74"/>
      <c r="BJ201" s="77"/>
      <c r="BL201" s="497">
        <v>23.36</v>
      </c>
      <c r="BN201" s="42"/>
      <c r="BO201" s="74"/>
      <c r="BP201" s="77"/>
      <c r="BR201" s="497">
        <v>5</v>
      </c>
      <c r="BT201" s="42"/>
    </row>
    <row r="202" spans="1:72" x14ac:dyDescent="0.25">
      <c r="A202" s="90">
        <v>36168</v>
      </c>
      <c r="B202" s="20">
        <v>0.66666666666666663</v>
      </c>
      <c r="D202">
        <v>30.02</v>
      </c>
      <c r="E202" t="str">
        <f t="shared" si="40"/>
        <v>WEEKDAY</v>
      </c>
      <c r="F202" t="e">
        <f t="shared" si="41"/>
        <v>#N/A</v>
      </c>
      <c r="G202" s="74">
        <v>27767</v>
      </c>
      <c r="H202" s="77">
        <v>0.66666666666666663</v>
      </c>
      <c r="J202">
        <v>28.94</v>
      </c>
      <c r="M202" s="74">
        <v>37629</v>
      </c>
      <c r="N202" s="77">
        <v>0.66666666666666663</v>
      </c>
      <c r="P202">
        <v>39.200000000000003</v>
      </c>
      <c r="S202" s="74">
        <v>36168</v>
      </c>
      <c r="T202" s="77">
        <v>0.66666666666666663</v>
      </c>
      <c r="V202">
        <v>30.02</v>
      </c>
      <c r="X202" s="42"/>
      <c r="AB202">
        <v>38.5</v>
      </c>
      <c r="AC202">
        <v>35.96</v>
      </c>
      <c r="AE202" s="74"/>
      <c r="AF202" s="77"/>
      <c r="AH202" s="497">
        <v>33.799999999999997</v>
      </c>
      <c r="AJ202" s="42"/>
      <c r="AK202" s="74"/>
      <c r="AL202" s="77"/>
      <c r="AN202" s="497">
        <v>12.02</v>
      </c>
      <c r="AP202" s="42"/>
      <c r="AQ202" s="74"/>
      <c r="AR202" s="77"/>
      <c r="AT202" s="497">
        <v>12.02</v>
      </c>
      <c r="AV202" s="42"/>
      <c r="AW202" s="74"/>
      <c r="AX202" s="77"/>
      <c r="BA202" s="497">
        <v>28.04</v>
      </c>
      <c r="BB202" s="42"/>
      <c r="BC202" s="74"/>
      <c r="BD202" s="77"/>
      <c r="BF202">
        <v>24.08</v>
      </c>
      <c r="BH202" s="42"/>
      <c r="BI202" s="74"/>
      <c r="BJ202" s="77"/>
      <c r="BL202" s="497">
        <v>24.08</v>
      </c>
      <c r="BN202" s="42"/>
      <c r="BO202" s="74"/>
      <c r="BP202" s="77"/>
      <c r="BR202" s="497">
        <v>5</v>
      </c>
      <c r="BT202" s="42"/>
    </row>
    <row r="203" spans="1:72" x14ac:dyDescent="0.25">
      <c r="A203" s="90">
        <v>36168</v>
      </c>
      <c r="B203" s="20">
        <v>0.70833333333333337</v>
      </c>
      <c r="D203">
        <v>30.02</v>
      </c>
      <c r="E203" t="str">
        <f t="shared" si="40"/>
        <v>WEEKDAY</v>
      </c>
      <c r="F203" t="e">
        <f t="shared" si="41"/>
        <v>#N/A</v>
      </c>
      <c r="G203" s="74">
        <v>27767</v>
      </c>
      <c r="H203" s="77">
        <v>0.70833333333333337</v>
      </c>
      <c r="J203">
        <v>28.04</v>
      </c>
      <c r="M203" s="74">
        <v>37629</v>
      </c>
      <c r="N203" s="77">
        <v>0.70833333333333337</v>
      </c>
      <c r="P203">
        <v>39.200000000000003</v>
      </c>
      <c r="S203" s="74">
        <v>36168</v>
      </c>
      <c r="T203" s="77">
        <v>0.70833333333333337</v>
      </c>
      <c r="V203">
        <v>30.92</v>
      </c>
      <c r="X203" s="42"/>
      <c r="AB203">
        <v>38</v>
      </c>
      <c r="AC203">
        <v>33.979999999999997</v>
      </c>
      <c r="AE203" s="74"/>
      <c r="AF203" s="77"/>
      <c r="AH203" s="497">
        <v>33.799999999999997</v>
      </c>
      <c r="AJ203" s="42"/>
      <c r="AK203" s="74"/>
      <c r="AL203" s="77"/>
      <c r="AN203" s="497">
        <v>10.940000000000001</v>
      </c>
      <c r="AP203" s="42"/>
      <c r="AQ203" s="74"/>
      <c r="AR203" s="77"/>
      <c r="AT203" s="497">
        <v>10.039999999999999</v>
      </c>
      <c r="AV203" s="42"/>
      <c r="AW203" s="74"/>
      <c r="AX203" s="77"/>
      <c r="BA203" s="497">
        <v>27.68</v>
      </c>
      <c r="BB203" s="42"/>
      <c r="BC203" s="74"/>
      <c r="BD203" s="77"/>
      <c r="BF203">
        <v>24.98</v>
      </c>
      <c r="BH203" s="42"/>
      <c r="BI203" s="74"/>
      <c r="BJ203" s="77"/>
      <c r="BL203" s="497">
        <v>23.36</v>
      </c>
      <c r="BN203" s="42"/>
      <c r="BO203" s="74"/>
      <c r="BP203" s="77"/>
      <c r="BR203" s="497">
        <v>5</v>
      </c>
      <c r="BT203" s="42"/>
    </row>
    <row r="204" spans="1:72" x14ac:dyDescent="0.25">
      <c r="A204" s="90">
        <v>36168</v>
      </c>
      <c r="B204" s="20">
        <v>0.75</v>
      </c>
      <c r="D204">
        <v>30.02</v>
      </c>
      <c r="E204" t="str">
        <f t="shared" si="40"/>
        <v>WEEKDAY</v>
      </c>
      <c r="F204" t="e">
        <f t="shared" si="41"/>
        <v>#N/A</v>
      </c>
      <c r="G204" s="74">
        <v>27767</v>
      </c>
      <c r="H204" s="77">
        <v>0.75</v>
      </c>
      <c r="J204">
        <v>26.060000000000002</v>
      </c>
      <c r="M204" s="74">
        <v>37629</v>
      </c>
      <c r="N204" s="77">
        <v>0.75</v>
      </c>
      <c r="P204">
        <v>39.200000000000003</v>
      </c>
      <c r="S204" s="74">
        <v>36168</v>
      </c>
      <c r="T204" s="77">
        <v>0.75</v>
      </c>
      <c r="V204">
        <v>30.92</v>
      </c>
      <c r="X204" s="42"/>
      <c r="AB204">
        <v>36.799999999999997</v>
      </c>
      <c r="AC204">
        <v>33.08</v>
      </c>
      <c r="AE204" s="74"/>
      <c r="AF204" s="77"/>
      <c r="AH204" s="497">
        <v>33.799999999999997</v>
      </c>
      <c r="AJ204" s="42"/>
      <c r="AK204" s="74"/>
      <c r="AL204" s="77"/>
      <c r="AN204" s="497">
        <v>8.9599999999999973</v>
      </c>
      <c r="AP204" s="42"/>
      <c r="AQ204" s="74"/>
      <c r="AR204" s="77"/>
      <c r="AT204" s="497">
        <v>10.039999999999999</v>
      </c>
      <c r="AV204" s="42"/>
      <c r="AW204" s="74"/>
      <c r="AX204" s="77"/>
      <c r="BA204" s="497">
        <v>27.32</v>
      </c>
      <c r="BB204" s="42"/>
      <c r="BC204" s="74"/>
      <c r="BD204" s="77"/>
      <c r="BF204">
        <v>24.08</v>
      </c>
      <c r="BH204" s="42"/>
      <c r="BI204" s="74"/>
      <c r="BJ204" s="77"/>
      <c r="BL204" s="497">
        <v>22.64</v>
      </c>
      <c r="BN204" s="42"/>
      <c r="BO204" s="74"/>
      <c r="BP204" s="77"/>
      <c r="BR204" s="497">
        <v>6.0799999999999983</v>
      </c>
      <c r="BT204" s="42"/>
    </row>
    <row r="205" spans="1:72" x14ac:dyDescent="0.25">
      <c r="A205" s="90">
        <v>36168</v>
      </c>
      <c r="B205" s="20">
        <v>0.79166666666666663</v>
      </c>
      <c r="D205">
        <v>30.02</v>
      </c>
      <c r="E205" t="str">
        <f t="shared" si="40"/>
        <v>WEEKDAY</v>
      </c>
      <c r="F205" t="e">
        <f t="shared" si="41"/>
        <v>#N/A</v>
      </c>
      <c r="G205" s="74">
        <v>27767</v>
      </c>
      <c r="H205" s="77">
        <v>0.79166666666666663</v>
      </c>
      <c r="J205">
        <v>24.98</v>
      </c>
      <c r="M205" s="74">
        <v>37629</v>
      </c>
      <c r="N205" s="77">
        <v>0.79166666666666663</v>
      </c>
      <c r="P205">
        <v>37.4</v>
      </c>
      <c r="S205" s="74">
        <v>36168</v>
      </c>
      <c r="T205" s="77">
        <v>0.79166666666666663</v>
      </c>
      <c r="V205">
        <v>32</v>
      </c>
      <c r="X205" s="42"/>
      <c r="AB205">
        <v>36.200000000000003</v>
      </c>
      <c r="AC205">
        <v>33.08</v>
      </c>
      <c r="AE205" s="74"/>
      <c r="AF205" s="77"/>
      <c r="AH205" s="497">
        <v>33.799999999999997</v>
      </c>
      <c r="AJ205" s="42"/>
      <c r="AK205" s="74"/>
      <c r="AL205" s="77"/>
      <c r="AN205" s="497">
        <v>8.9599999999999973</v>
      </c>
      <c r="AP205" s="42"/>
      <c r="AQ205" s="74"/>
      <c r="AR205" s="77"/>
      <c r="AT205" s="497">
        <v>8.9599999999999973</v>
      </c>
      <c r="AV205" s="42"/>
      <c r="AW205" s="74"/>
      <c r="AX205" s="77"/>
      <c r="BA205" s="497">
        <v>26.96</v>
      </c>
      <c r="BB205" s="42"/>
      <c r="BC205" s="74"/>
      <c r="BD205" s="77"/>
      <c r="BF205">
        <v>21.92</v>
      </c>
      <c r="BH205" s="42"/>
      <c r="BI205" s="74"/>
      <c r="BJ205" s="77"/>
      <c r="BL205" s="497">
        <v>21.92</v>
      </c>
      <c r="BN205" s="42"/>
      <c r="BO205" s="74"/>
      <c r="BP205" s="77"/>
      <c r="BR205" s="497">
        <v>6.98</v>
      </c>
      <c r="BT205" s="42"/>
    </row>
    <row r="206" spans="1:72" x14ac:dyDescent="0.25">
      <c r="A206" s="90">
        <v>36168</v>
      </c>
      <c r="B206" s="20">
        <v>0.83333333333333337</v>
      </c>
      <c r="D206">
        <v>30.92</v>
      </c>
      <c r="E206" t="str">
        <f t="shared" si="40"/>
        <v>WEEKDAY</v>
      </c>
      <c r="F206" t="e">
        <f t="shared" si="41"/>
        <v>#N/A</v>
      </c>
      <c r="G206" s="74">
        <v>27767</v>
      </c>
      <c r="H206" s="77">
        <v>0.83333333333333337</v>
      </c>
      <c r="J206">
        <v>23</v>
      </c>
      <c r="M206" s="74">
        <v>37629</v>
      </c>
      <c r="N206" s="77">
        <v>0.83333333333333337</v>
      </c>
      <c r="P206">
        <v>37.4</v>
      </c>
      <c r="S206" s="74">
        <v>36168</v>
      </c>
      <c r="T206" s="77">
        <v>0.83333333333333337</v>
      </c>
      <c r="V206">
        <v>32</v>
      </c>
      <c r="X206" s="42"/>
      <c r="AB206">
        <v>35.799999999999997</v>
      </c>
      <c r="AC206">
        <v>32</v>
      </c>
      <c r="AE206" s="74"/>
      <c r="AF206" s="77"/>
      <c r="AH206" s="497">
        <v>33.799999999999997</v>
      </c>
      <c r="AJ206" s="42"/>
      <c r="AK206" s="74"/>
      <c r="AL206" s="77"/>
      <c r="AN206" s="497">
        <v>8.9599999999999973</v>
      </c>
      <c r="AP206" s="42"/>
      <c r="AQ206" s="74"/>
      <c r="AR206" s="77"/>
      <c r="AT206" s="497">
        <v>8.0599999999999987</v>
      </c>
      <c r="AV206" s="42"/>
      <c r="AW206" s="74"/>
      <c r="AX206" s="77"/>
      <c r="BA206" s="497">
        <v>26.96</v>
      </c>
      <c r="BB206" s="42"/>
      <c r="BC206" s="74"/>
      <c r="BD206" s="77"/>
      <c r="BF206">
        <v>21.92</v>
      </c>
      <c r="BH206" s="42"/>
      <c r="BI206" s="74"/>
      <c r="BJ206" s="77"/>
      <c r="BL206" s="497">
        <v>21.02</v>
      </c>
      <c r="BN206" s="42"/>
      <c r="BO206" s="74"/>
      <c r="BP206" s="77"/>
      <c r="BR206" s="497">
        <v>8.0599999999999987</v>
      </c>
      <c r="BT206" s="42"/>
    </row>
    <row r="207" spans="1:72" x14ac:dyDescent="0.25">
      <c r="A207" s="90">
        <v>36168</v>
      </c>
      <c r="B207" s="20">
        <v>0.875</v>
      </c>
      <c r="D207">
        <v>30.02</v>
      </c>
      <c r="E207" t="str">
        <f t="shared" si="40"/>
        <v>WEEKDAY</v>
      </c>
      <c r="F207" t="e">
        <f t="shared" si="41"/>
        <v>#N/A</v>
      </c>
      <c r="G207" s="74">
        <v>27767</v>
      </c>
      <c r="H207" s="77">
        <v>0.875</v>
      </c>
      <c r="J207">
        <v>19.939999999999998</v>
      </c>
      <c r="M207" s="74">
        <v>37629</v>
      </c>
      <c r="N207" s="77">
        <v>0.875</v>
      </c>
      <c r="P207">
        <v>37.4</v>
      </c>
      <c r="S207" s="74">
        <v>36168</v>
      </c>
      <c r="T207" s="77">
        <v>0.875</v>
      </c>
      <c r="V207">
        <v>33.08</v>
      </c>
      <c r="X207" s="42"/>
      <c r="AB207">
        <v>35.299999999999997</v>
      </c>
      <c r="AC207">
        <v>33.979999999999997</v>
      </c>
      <c r="AE207" s="74"/>
      <c r="AF207" s="77"/>
      <c r="AH207" s="497">
        <v>32</v>
      </c>
      <c r="AJ207" s="42"/>
      <c r="AK207" s="74"/>
      <c r="AL207" s="77"/>
      <c r="AN207" s="497">
        <v>8.9599999999999973</v>
      </c>
      <c r="AP207" s="42"/>
      <c r="AQ207" s="74"/>
      <c r="AR207" s="77"/>
      <c r="AT207" s="497">
        <v>6.98</v>
      </c>
      <c r="AV207" s="42"/>
      <c r="AW207" s="74"/>
      <c r="AX207" s="77"/>
      <c r="BA207" s="497">
        <v>26.96</v>
      </c>
      <c r="BB207" s="42"/>
      <c r="BC207" s="74"/>
      <c r="BD207" s="77"/>
      <c r="BF207">
        <v>21.02</v>
      </c>
      <c r="BH207" s="42"/>
      <c r="BI207" s="74"/>
      <c r="BJ207" s="77"/>
      <c r="BL207" s="497">
        <v>19.939999999999998</v>
      </c>
      <c r="BN207" s="42"/>
      <c r="BO207" s="74"/>
      <c r="BP207" s="77"/>
      <c r="BR207" s="497">
        <v>12.02</v>
      </c>
      <c r="BT207" s="42"/>
    </row>
    <row r="208" spans="1:72" x14ac:dyDescent="0.25">
      <c r="A208" s="90">
        <v>36168</v>
      </c>
      <c r="B208" s="20">
        <v>0.91666666666666663</v>
      </c>
      <c r="D208">
        <v>30.02</v>
      </c>
      <c r="E208" t="str">
        <f t="shared" si="40"/>
        <v>WEEKDAY</v>
      </c>
      <c r="F208" t="e">
        <f t="shared" si="41"/>
        <v>#N/A</v>
      </c>
      <c r="G208" s="74">
        <v>27767</v>
      </c>
      <c r="H208" s="77">
        <v>0.91666666666666663</v>
      </c>
      <c r="J208">
        <v>17.96</v>
      </c>
      <c r="M208" s="74">
        <v>37629</v>
      </c>
      <c r="N208" s="77">
        <v>0.91666666666666663</v>
      </c>
      <c r="P208">
        <v>39.200000000000003</v>
      </c>
      <c r="S208" s="74">
        <v>36168</v>
      </c>
      <c r="T208" s="77">
        <v>0.91666666666666663</v>
      </c>
      <c r="V208">
        <v>33.979999999999997</v>
      </c>
      <c r="X208" s="42"/>
      <c r="AB208">
        <v>34.9</v>
      </c>
      <c r="AC208">
        <v>35.06</v>
      </c>
      <c r="AE208" s="74"/>
      <c r="AF208" s="77"/>
      <c r="AH208" s="497">
        <v>32</v>
      </c>
      <c r="AJ208" s="42"/>
      <c r="AK208" s="74"/>
      <c r="AL208" s="77"/>
      <c r="AN208" s="497">
        <v>10.039999999999999</v>
      </c>
      <c r="AP208" s="42"/>
      <c r="AQ208" s="74"/>
      <c r="AR208" s="77"/>
      <c r="AT208" s="497">
        <v>6.98</v>
      </c>
      <c r="AV208" s="42"/>
      <c r="AW208" s="74"/>
      <c r="AX208" s="77"/>
      <c r="BA208" s="497">
        <v>26.96</v>
      </c>
      <c r="BB208" s="42"/>
      <c r="BC208" s="74"/>
      <c r="BD208" s="77"/>
      <c r="BF208">
        <v>21.02</v>
      </c>
      <c r="BH208" s="42"/>
      <c r="BI208" s="74"/>
      <c r="BJ208" s="77"/>
      <c r="BL208" s="497">
        <v>19.04</v>
      </c>
      <c r="BN208" s="42"/>
      <c r="BO208" s="74"/>
      <c r="BP208" s="77"/>
      <c r="BR208" s="497">
        <v>14</v>
      </c>
      <c r="BT208" s="42"/>
    </row>
    <row r="209" spans="1:72" x14ac:dyDescent="0.25">
      <c r="A209" s="90">
        <v>36168</v>
      </c>
      <c r="B209" s="20">
        <v>0.95833333333333337</v>
      </c>
      <c r="D209">
        <v>30.02</v>
      </c>
      <c r="E209" t="str">
        <f t="shared" si="40"/>
        <v>WEEKDAY</v>
      </c>
      <c r="F209" t="e">
        <f t="shared" si="41"/>
        <v>#N/A</v>
      </c>
      <c r="G209" s="74">
        <v>27767</v>
      </c>
      <c r="H209" s="77">
        <v>0.95833333333333337</v>
      </c>
      <c r="J209">
        <v>17.96</v>
      </c>
      <c r="M209" s="74">
        <v>37629</v>
      </c>
      <c r="N209" s="77">
        <v>0.95833333333333337</v>
      </c>
      <c r="P209">
        <v>37.4</v>
      </c>
      <c r="S209" s="74">
        <v>36168</v>
      </c>
      <c r="T209" s="77">
        <v>0.95833333333333337</v>
      </c>
      <c r="V209">
        <v>35.06</v>
      </c>
      <c r="X209" s="42"/>
      <c r="AB209">
        <v>34.4</v>
      </c>
      <c r="AC209">
        <v>35.06</v>
      </c>
      <c r="AE209" s="74"/>
      <c r="AF209" s="77"/>
      <c r="AH209" s="497">
        <v>32</v>
      </c>
      <c r="AJ209" s="42"/>
      <c r="AK209" s="74"/>
      <c r="AL209" s="77"/>
      <c r="AN209" s="497">
        <v>10.039999999999999</v>
      </c>
      <c r="AP209" s="42"/>
      <c r="AQ209" s="74"/>
      <c r="AR209" s="77"/>
      <c r="AT209" s="497">
        <v>6.98</v>
      </c>
      <c r="AV209" s="42"/>
      <c r="AW209" s="74"/>
      <c r="AX209" s="77"/>
      <c r="BA209" s="497">
        <v>25.34</v>
      </c>
      <c r="BB209" s="42"/>
      <c r="BC209" s="74"/>
      <c r="BD209" s="77"/>
      <c r="BF209">
        <v>19.939999999999998</v>
      </c>
      <c r="BH209" s="42"/>
      <c r="BI209" s="74"/>
      <c r="BJ209" s="77"/>
      <c r="BL209" s="497">
        <v>19.04</v>
      </c>
      <c r="BN209" s="42"/>
      <c r="BO209" s="74"/>
      <c r="BP209" s="77"/>
      <c r="BR209" s="497">
        <v>15.98</v>
      </c>
      <c r="BT209" s="42"/>
    </row>
    <row r="210" spans="1:72" x14ac:dyDescent="0.25">
      <c r="A210" s="90">
        <v>36168</v>
      </c>
      <c r="B210" s="20">
        <v>1</v>
      </c>
      <c r="D210">
        <v>30.02</v>
      </c>
      <c r="E210" t="str">
        <f t="shared" si="40"/>
        <v>WEEKDAY</v>
      </c>
      <c r="F210" t="e">
        <f t="shared" si="41"/>
        <v>#N/A</v>
      </c>
      <c r="G210" s="74">
        <v>27767</v>
      </c>
      <c r="H210" s="77">
        <v>1</v>
      </c>
      <c r="J210">
        <v>17.059999999999999</v>
      </c>
      <c r="M210" s="74">
        <v>37629</v>
      </c>
      <c r="N210" s="80">
        <v>1</v>
      </c>
      <c r="P210">
        <v>39.200000000000003</v>
      </c>
      <c r="S210" s="74">
        <v>36168</v>
      </c>
      <c r="T210" s="80">
        <v>1</v>
      </c>
      <c r="V210">
        <v>37.04</v>
      </c>
      <c r="X210" s="42"/>
      <c r="AB210">
        <v>34</v>
      </c>
      <c r="AC210">
        <v>33.08</v>
      </c>
      <c r="AE210" s="74"/>
      <c r="AF210" s="80"/>
      <c r="AH210" s="497">
        <v>32</v>
      </c>
      <c r="AJ210" s="42"/>
      <c r="AK210" s="74"/>
      <c r="AL210" s="80"/>
      <c r="AN210" s="497">
        <v>10.039999999999999</v>
      </c>
      <c r="AP210" s="42"/>
      <c r="AQ210" s="74"/>
      <c r="AR210" s="80"/>
      <c r="AT210" s="497">
        <v>6.98</v>
      </c>
      <c r="AV210" s="42"/>
      <c r="AW210" s="74"/>
      <c r="AX210" s="80"/>
      <c r="BA210" s="497">
        <v>23.54</v>
      </c>
      <c r="BB210" s="42"/>
      <c r="BC210" s="74"/>
      <c r="BD210" s="80"/>
      <c r="BF210">
        <v>19.04</v>
      </c>
      <c r="BH210" s="42"/>
      <c r="BI210" s="74"/>
      <c r="BJ210" s="80"/>
      <c r="BL210" s="497">
        <v>19.04</v>
      </c>
      <c r="BN210" s="42"/>
      <c r="BO210" s="74"/>
      <c r="BP210" s="80"/>
      <c r="BR210" s="497">
        <v>17.059999999999999</v>
      </c>
      <c r="BT210" s="42"/>
    </row>
    <row r="211" spans="1:72" x14ac:dyDescent="0.25">
      <c r="A211" s="90">
        <v>36169</v>
      </c>
      <c r="B211" s="20">
        <v>4.1666666666666664E-2</v>
      </c>
      <c r="D211">
        <v>28.94</v>
      </c>
      <c r="E211" t="str">
        <f t="shared" ref="E211:E274" si="42">IF(COUNTIF($DI$18:$DI$22, WEEKDAY(A211))=1, "WEEKDAY", IF(WEEKDAY(A211) = 1, "SUNDAY", "SATURDAY"))</f>
        <v>SATURDAY</v>
      </c>
      <c r="F211" t="e">
        <f t="shared" si="41"/>
        <v>#N/A</v>
      </c>
      <c r="G211" s="74">
        <v>27768</v>
      </c>
      <c r="H211" s="77">
        <v>4.1666666666666664E-2</v>
      </c>
      <c r="J211">
        <v>17.059999999999999</v>
      </c>
      <c r="M211" s="74">
        <v>37630</v>
      </c>
      <c r="N211" s="77">
        <v>4.1666666666666664E-2</v>
      </c>
      <c r="P211">
        <v>37.4</v>
      </c>
      <c r="S211" s="74">
        <v>36169</v>
      </c>
      <c r="T211" s="77">
        <v>4.1666666666666664E-2</v>
      </c>
      <c r="V211">
        <v>35.96</v>
      </c>
      <c r="X211" s="42"/>
      <c r="AB211">
        <v>33.5</v>
      </c>
      <c r="AC211">
        <v>35.06</v>
      </c>
      <c r="AE211" s="74"/>
      <c r="AF211" s="77"/>
      <c r="AH211" s="497">
        <v>33.799999999999997</v>
      </c>
      <c r="AJ211" s="42"/>
      <c r="AK211" s="74"/>
      <c r="AL211" s="77"/>
      <c r="AN211" s="497">
        <v>10.940000000000001</v>
      </c>
      <c r="AP211" s="42"/>
      <c r="AQ211" s="74"/>
      <c r="AR211" s="77"/>
      <c r="AT211" s="497">
        <v>6.0799999999999983</v>
      </c>
      <c r="AV211" s="42"/>
      <c r="AW211" s="74"/>
      <c r="AX211" s="77"/>
      <c r="BA211" s="497">
        <v>21.92</v>
      </c>
      <c r="BB211" s="42"/>
      <c r="BC211" s="74"/>
      <c r="BD211" s="77"/>
      <c r="BF211">
        <v>17.96</v>
      </c>
      <c r="BH211" s="42"/>
      <c r="BI211" s="74"/>
      <c r="BJ211" s="77"/>
      <c r="BL211" s="497">
        <v>19.04</v>
      </c>
      <c r="BN211" s="42"/>
      <c r="BO211" s="74"/>
      <c r="BP211" s="77"/>
      <c r="BR211" s="497">
        <v>19.939999999999998</v>
      </c>
      <c r="BT211" s="42"/>
    </row>
    <row r="212" spans="1:72" x14ac:dyDescent="0.25">
      <c r="A212" s="90">
        <v>36169</v>
      </c>
      <c r="B212" s="20">
        <v>8.3333333333333329E-2</v>
      </c>
      <c r="D212">
        <v>28.04</v>
      </c>
      <c r="E212" t="str">
        <f t="shared" si="42"/>
        <v>SATURDAY</v>
      </c>
      <c r="F212" t="e">
        <f t="shared" si="41"/>
        <v>#N/A</v>
      </c>
      <c r="G212" s="74">
        <v>27768</v>
      </c>
      <c r="H212" s="77">
        <v>8.3333333333333329E-2</v>
      </c>
      <c r="J212">
        <v>15.98</v>
      </c>
      <c r="M212" s="74">
        <v>37630</v>
      </c>
      <c r="N212" s="77">
        <v>8.3333333333333329E-2</v>
      </c>
      <c r="P212">
        <v>37.4</v>
      </c>
      <c r="S212" s="74">
        <v>36169</v>
      </c>
      <c r="T212" s="77">
        <v>8.3333333333333329E-2</v>
      </c>
      <c r="V212">
        <v>37.04</v>
      </c>
      <c r="X212" s="42"/>
      <c r="AB212">
        <v>33</v>
      </c>
      <c r="AC212">
        <v>37.94</v>
      </c>
      <c r="AE212" s="74"/>
      <c r="AF212" s="77"/>
      <c r="AH212" s="497">
        <v>32</v>
      </c>
      <c r="AJ212" s="42"/>
      <c r="AK212" s="74"/>
      <c r="AL212" s="77"/>
      <c r="AN212" s="497">
        <v>10.940000000000001</v>
      </c>
      <c r="AP212" s="42"/>
      <c r="AQ212" s="74"/>
      <c r="AR212" s="77"/>
      <c r="AT212" s="497">
        <v>5</v>
      </c>
      <c r="AV212" s="42"/>
      <c r="AW212" s="74"/>
      <c r="AX212" s="77"/>
      <c r="BA212" s="497">
        <v>22.28</v>
      </c>
      <c r="BB212" s="42"/>
      <c r="BC212" s="74"/>
      <c r="BD212" s="77"/>
      <c r="BF212">
        <v>17.059999999999999</v>
      </c>
      <c r="BH212" s="42"/>
      <c r="BI212" s="74"/>
      <c r="BJ212" s="77"/>
      <c r="BL212" s="497">
        <v>17.96</v>
      </c>
      <c r="BN212" s="42"/>
      <c r="BO212" s="74"/>
      <c r="BP212" s="77"/>
      <c r="BR212" s="497">
        <v>23</v>
      </c>
      <c r="BT212" s="42"/>
    </row>
    <row r="213" spans="1:72" x14ac:dyDescent="0.25">
      <c r="A213" s="90">
        <v>36169</v>
      </c>
      <c r="B213" s="20">
        <v>0.125</v>
      </c>
      <c r="D213">
        <v>28.94</v>
      </c>
      <c r="E213" t="str">
        <f t="shared" si="42"/>
        <v>SATURDAY</v>
      </c>
      <c r="F213" t="e">
        <f t="shared" si="41"/>
        <v>#N/A</v>
      </c>
      <c r="G213" s="74">
        <v>27768</v>
      </c>
      <c r="H213" s="77">
        <v>0.125</v>
      </c>
      <c r="J213">
        <v>15.98</v>
      </c>
      <c r="M213" s="74">
        <v>37630</v>
      </c>
      <c r="N213" s="77">
        <v>0.125</v>
      </c>
      <c r="P213">
        <v>37.4</v>
      </c>
      <c r="S213" s="74">
        <v>36169</v>
      </c>
      <c r="T213" s="77">
        <v>0.125</v>
      </c>
      <c r="V213">
        <v>35.96</v>
      </c>
      <c r="X213" s="42"/>
      <c r="AB213">
        <v>32.799999999999997</v>
      </c>
      <c r="AC213">
        <v>39.019999999999996</v>
      </c>
      <c r="AE213" s="74"/>
      <c r="AF213" s="77"/>
      <c r="AH213" s="497">
        <v>32</v>
      </c>
      <c r="AJ213" s="42"/>
      <c r="AK213" s="74"/>
      <c r="AL213" s="77"/>
      <c r="AN213" s="497">
        <v>10.940000000000001</v>
      </c>
      <c r="AP213" s="42"/>
      <c r="AQ213" s="74"/>
      <c r="AR213" s="77"/>
      <c r="AT213" s="497">
        <v>3.9200000000000017</v>
      </c>
      <c r="AV213" s="42"/>
      <c r="AW213" s="74"/>
      <c r="AX213" s="77"/>
      <c r="BA213" s="497">
        <v>22.64</v>
      </c>
      <c r="BB213" s="42"/>
      <c r="BC213" s="74"/>
      <c r="BD213" s="77"/>
      <c r="BF213">
        <v>15.079999999999998</v>
      </c>
      <c r="BH213" s="42"/>
      <c r="BI213" s="74"/>
      <c r="BJ213" s="77"/>
      <c r="BL213" s="497">
        <v>17.059999999999999</v>
      </c>
      <c r="BN213" s="42"/>
      <c r="BO213" s="74"/>
      <c r="BP213" s="77"/>
      <c r="BR213" s="497">
        <v>21.92</v>
      </c>
      <c r="BT213" s="42"/>
    </row>
    <row r="214" spans="1:72" x14ac:dyDescent="0.25">
      <c r="A214" s="90">
        <v>36169</v>
      </c>
      <c r="B214" s="20">
        <v>0.16666666666666666</v>
      </c>
      <c r="D214">
        <v>28.94</v>
      </c>
      <c r="E214" t="str">
        <f t="shared" si="42"/>
        <v>SATURDAY</v>
      </c>
      <c r="F214" t="e">
        <f t="shared" si="41"/>
        <v>#N/A</v>
      </c>
      <c r="G214" s="74">
        <v>27768</v>
      </c>
      <c r="H214" s="77">
        <v>0.16666666666666666</v>
      </c>
      <c r="J214">
        <v>15.98</v>
      </c>
      <c r="M214" s="74">
        <v>37630</v>
      </c>
      <c r="N214" s="77">
        <v>0.16666666666666666</v>
      </c>
      <c r="P214">
        <v>37.4</v>
      </c>
      <c r="S214" s="74">
        <v>36169</v>
      </c>
      <c r="T214" s="77">
        <v>0.16666666666666666</v>
      </c>
      <c r="V214">
        <v>35.96</v>
      </c>
      <c r="X214" s="42"/>
      <c r="AB214">
        <v>32.6</v>
      </c>
      <c r="AC214">
        <v>39.92</v>
      </c>
      <c r="AE214" s="74"/>
      <c r="AF214" s="77"/>
      <c r="AH214" s="497">
        <v>30.2</v>
      </c>
      <c r="AJ214" s="42"/>
      <c r="AK214" s="74"/>
      <c r="AL214" s="77"/>
      <c r="AN214" s="497">
        <v>10.940000000000001</v>
      </c>
      <c r="AP214" s="42"/>
      <c r="AQ214" s="74"/>
      <c r="AR214" s="77"/>
      <c r="AT214" s="497">
        <v>3.019999999999996</v>
      </c>
      <c r="AV214" s="42"/>
      <c r="AW214" s="74"/>
      <c r="AX214" s="77"/>
      <c r="BA214" s="497">
        <v>23</v>
      </c>
      <c r="BB214" s="42"/>
      <c r="BC214" s="74"/>
      <c r="BD214" s="77"/>
      <c r="BF214">
        <v>15.079999999999998</v>
      </c>
      <c r="BH214" s="42"/>
      <c r="BI214" s="74"/>
      <c r="BJ214" s="77"/>
      <c r="BL214" s="497">
        <v>15.98</v>
      </c>
      <c r="BN214" s="42"/>
      <c r="BO214" s="74"/>
      <c r="BP214" s="77"/>
      <c r="BR214" s="497">
        <v>23</v>
      </c>
      <c r="BT214" s="42"/>
    </row>
    <row r="215" spans="1:72" x14ac:dyDescent="0.25">
      <c r="A215" s="90">
        <v>36169</v>
      </c>
      <c r="B215" s="20">
        <v>0.20833333333333334</v>
      </c>
      <c r="D215">
        <v>28.94</v>
      </c>
      <c r="E215" t="str">
        <f t="shared" si="42"/>
        <v>SATURDAY</v>
      </c>
      <c r="F215" t="e">
        <f t="shared" si="41"/>
        <v>#N/A</v>
      </c>
      <c r="G215" s="74">
        <v>27768</v>
      </c>
      <c r="H215" s="77">
        <v>0.20833333333333334</v>
      </c>
      <c r="J215">
        <v>17.059999999999999</v>
      </c>
      <c r="M215" s="74">
        <v>37630</v>
      </c>
      <c r="N215" s="77">
        <v>0.20833333333333334</v>
      </c>
      <c r="P215">
        <v>37.4</v>
      </c>
      <c r="S215" s="74">
        <v>36169</v>
      </c>
      <c r="T215" s="77">
        <v>0.20833333333333334</v>
      </c>
      <c r="V215">
        <v>35.96</v>
      </c>
      <c r="X215" s="42"/>
      <c r="AB215">
        <v>32.299999999999997</v>
      </c>
      <c r="AC215">
        <v>41</v>
      </c>
      <c r="AE215" s="74"/>
      <c r="AF215" s="77"/>
      <c r="AH215" s="497">
        <v>30.2</v>
      </c>
      <c r="AJ215" s="42"/>
      <c r="AK215" s="74"/>
      <c r="AL215" s="77"/>
      <c r="AN215" s="497">
        <v>12.920000000000002</v>
      </c>
      <c r="AP215" s="42"/>
      <c r="AQ215" s="74"/>
      <c r="AR215" s="77"/>
      <c r="AT215" s="497">
        <v>1.9400000000000013</v>
      </c>
      <c r="AV215" s="42"/>
      <c r="AW215" s="74"/>
      <c r="AX215" s="77"/>
      <c r="BA215" s="497">
        <v>23</v>
      </c>
      <c r="BB215" s="42"/>
      <c r="BC215" s="74"/>
      <c r="BD215" s="77"/>
      <c r="BF215">
        <v>15.079999999999998</v>
      </c>
      <c r="BH215" s="42"/>
      <c r="BI215" s="74"/>
      <c r="BJ215" s="77"/>
      <c r="BL215" s="497">
        <v>15.98</v>
      </c>
      <c r="BN215" s="42"/>
      <c r="BO215" s="74"/>
      <c r="BP215" s="77"/>
      <c r="BR215" s="497">
        <v>21.92</v>
      </c>
      <c r="BT215" s="42"/>
    </row>
    <row r="216" spans="1:72" x14ac:dyDescent="0.25">
      <c r="A216" s="90">
        <v>36169</v>
      </c>
      <c r="B216" s="20">
        <v>0.25</v>
      </c>
      <c r="D216">
        <v>30.02</v>
      </c>
      <c r="E216" t="str">
        <f t="shared" si="42"/>
        <v>SATURDAY</v>
      </c>
      <c r="F216" t="e">
        <f t="shared" si="41"/>
        <v>#N/A</v>
      </c>
      <c r="G216" s="74">
        <v>27768</v>
      </c>
      <c r="H216" s="77">
        <v>0.25</v>
      </c>
      <c r="J216">
        <v>17.059999999999999</v>
      </c>
      <c r="M216" s="74">
        <v>37630</v>
      </c>
      <c r="N216" s="77">
        <v>0.25</v>
      </c>
      <c r="P216">
        <v>37.4</v>
      </c>
      <c r="S216" s="74">
        <v>36169</v>
      </c>
      <c r="T216" s="77">
        <v>0.25</v>
      </c>
      <c r="V216">
        <v>33.979999999999997</v>
      </c>
      <c r="X216" s="42"/>
      <c r="AB216">
        <v>32.200000000000003</v>
      </c>
      <c r="AC216">
        <v>39.92</v>
      </c>
      <c r="AE216" s="74"/>
      <c r="AF216" s="77"/>
      <c r="AH216" s="497">
        <v>30.2</v>
      </c>
      <c r="AJ216" s="42"/>
      <c r="AK216" s="74"/>
      <c r="AL216" s="77"/>
      <c r="AN216" s="497">
        <v>14</v>
      </c>
      <c r="AP216" s="42"/>
      <c r="AQ216" s="74"/>
      <c r="AR216" s="77"/>
      <c r="AT216" s="497">
        <v>1.9400000000000013</v>
      </c>
      <c r="AV216" s="42"/>
      <c r="AW216" s="74"/>
      <c r="AX216" s="77"/>
      <c r="BA216" s="497">
        <v>23</v>
      </c>
      <c r="BB216" s="42"/>
      <c r="BC216" s="74"/>
      <c r="BD216" s="77"/>
      <c r="BF216">
        <v>15.079999999999998</v>
      </c>
      <c r="BH216" s="42"/>
      <c r="BI216" s="74"/>
      <c r="BJ216" s="77"/>
      <c r="BL216" s="497">
        <v>15.98</v>
      </c>
      <c r="BN216" s="42"/>
      <c r="BO216" s="74"/>
      <c r="BP216" s="77"/>
      <c r="BR216" s="497">
        <v>21.92</v>
      </c>
      <c r="BT216" s="42"/>
    </row>
    <row r="217" spans="1:72" x14ac:dyDescent="0.25">
      <c r="A217" s="90">
        <v>36169</v>
      </c>
      <c r="B217" s="20">
        <v>0.29166666666666669</v>
      </c>
      <c r="D217">
        <v>30.92</v>
      </c>
      <c r="E217" t="str">
        <f t="shared" si="42"/>
        <v>SATURDAY</v>
      </c>
      <c r="F217" t="e">
        <f t="shared" si="41"/>
        <v>#N/A</v>
      </c>
      <c r="G217" s="74">
        <v>27768</v>
      </c>
      <c r="H217" s="77">
        <v>0.29166666666666669</v>
      </c>
      <c r="J217">
        <v>15.98</v>
      </c>
      <c r="M217" s="74">
        <v>37630</v>
      </c>
      <c r="N217" s="77">
        <v>0.29166666666666669</v>
      </c>
      <c r="P217">
        <v>41</v>
      </c>
      <c r="S217" s="74">
        <v>36169</v>
      </c>
      <c r="T217" s="77">
        <v>0.29166666666666669</v>
      </c>
      <c r="V217">
        <v>35.06</v>
      </c>
      <c r="X217" s="42"/>
      <c r="AB217">
        <v>32.1</v>
      </c>
      <c r="AC217">
        <v>39.92</v>
      </c>
      <c r="AE217" s="74"/>
      <c r="AF217" s="77"/>
      <c r="AH217" s="497">
        <v>28.4</v>
      </c>
      <c r="AJ217" s="42"/>
      <c r="AK217" s="74"/>
      <c r="AL217" s="77"/>
      <c r="AN217" s="497">
        <v>15.079999999999998</v>
      </c>
      <c r="AP217" s="42"/>
      <c r="AQ217" s="74"/>
      <c r="AR217" s="77"/>
      <c r="AT217" s="497">
        <v>1.0399999999999991</v>
      </c>
      <c r="AV217" s="42"/>
      <c r="AW217" s="74"/>
      <c r="AX217" s="77"/>
      <c r="BA217" s="497">
        <v>23</v>
      </c>
      <c r="BB217" s="42"/>
      <c r="BC217" s="74"/>
      <c r="BD217" s="77"/>
      <c r="BF217">
        <v>15.079999999999998</v>
      </c>
      <c r="BH217" s="42"/>
      <c r="BI217" s="74"/>
      <c r="BJ217" s="77"/>
      <c r="BL217" s="497">
        <v>15.98</v>
      </c>
      <c r="BN217" s="42"/>
      <c r="BO217" s="74"/>
      <c r="BP217" s="77"/>
      <c r="BR217" s="497">
        <v>23</v>
      </c>
      <c r="BT217" s="42"/>
    </row>
    <row r="218" spans="1:72" x14ac:dyDescent="0.25">
      <c r="A218" s="90">
        <v>36169</v>
      </c>
      <c r="B218" s="20">
        <v>0.33333333333333331</v>
      </c>
      <c r="D218">
        <v>30.92</v>
      </c>
      <c r="E218" t="str">
        <f t="shared" si="42"/>
        <v>SATURDAY</v>
      </c>
      <c r="F218" t="e">
        <f t="shared" si="41"/>
        <v>#N/A</v>
      </c>
      <c r="G218" s="74">
        <v>27768</v>
      </c>
      <c r="H218" s="77">
        <v>0.33333333333333331</v>
      </c>
      <c r="J218">
        <v>15.98</v>
      </c>
      <c r="M218" s="74">
        <v>37630</v>
      </c>
      <c r="N218" s="77">
        <v>0.33333333333333331</v>
      </c>
      <c r="P218">
        <v>42.8</v>
      </c>
      <c r="S218" s="74">
        <v>36169</v>
      </c>
      <c r="T218" s="77">
        <v>0.33333333333333331</v>
      </c>
      <c r="V218">
        <v>35.06</v>
      </c>
      <c r="X218" s="42"/>
      <c r="AB218">
        <v>32</v>
      </c>
      <c r="AC218">
        <v>39.92</v>
      </c>
      <c r="AE218" s="74"/>
      <c r="AF218" s="77"/>
      <c r="AH218" s="497">
        <v>26.6</v>
      </c>
      <c r="AJ218" s="42"/>
      <c r="AK218" s="74"/>
      <c r="AL218" s="77"/>
      <c r="AN218" s="497">
        <v>14</v>
      </c>
      <c r="AP218" s="42"/>
      <c r="AQ218" s="74"/>
      <c r="AR218" s="77"/>
      <c r="AT218" s="497">
        <v>1.0399999999999991</v>
      </c>
      <c r="AV218" s="42"/>
      <c r="AW218" s="74"/>
      <c r="AX218" s="77"/>
      <c r="BA218" s="497">
        <v>23.36</v>
      </c>
      <c r="BB218" s="42"/>
      <c r="BC218" s="74"/>
      <c r="BD218" s="77"/>
      <c r="BF218">
        <v>15.079999999999998</v>
      </c>
      <c r="BH218" s="42"/>
      <c r="BI218" s="74"/>
      <c r="BJ218" s="77"/>
      <c r="BL218" s="497">
        <v>15.98</v>
      </c>
      <c r="BN218" s="42"/>
      <c r="BO218" s="74"/>
      <c r="BP218" s="77"/>
      <c r="BR218" s="497">
        <v>24.08</v>
      </c>
      <c r="BT218" s="42"/>
    </row>
    <row r="219" spans="1:72" x14ac:dyDescent="0.25">
      <c r="A219" s="90">
        <v>36169</v>
      </c>
      <c r="B219" s="20">
        <v>0.375</v>
      </c>
      <c r="D219">
        <v>30.92</v>
      </c>
      <c r="E219" t="str">
        <f t="shared" si="42"/>
        <v>SATURDAY</v>
      </c>
      <c r="F219" t="e">
        <f t="shared" si="41"/>
        <v>#N/A</v>
      </c>
      <c r="G219" s="74">
        <v>27768</v>
      </c>
      <c r="H219" s="77">
        <v>0.375</v>
      </c>
      <c r="J219">
        <v>17.059999999999999</v>
      </c>
      <c r="M219" s="74">
        <v>37630</v>
      </c>
      <c r="N219" s="77">
        <v>0.375</v>
      </c>
      <c r="P219">
        <v>44.6</v>
      </c>
      <c r="S219" s="74">
        <v>36169</v>
      </c>
      <c r="T219" s="77">
        <v>0.375</v>
      </c>
      <c r="V219">
        <v>35.6</v>
      </c>
      <c r="X219" s="42"/>
      <c r="AB219">
        <v>32.299999999999997</v>
      </c>
      <c r="AC219">
        <v>41</v>
      </c>
      <c r="AE219" s="74"/>
      <c r="AF219" s="77"/>
      <c r="AH219" s="497">
        <v>28.4</v>
      </c>
      <c r="AJ219" s="42"/>
      <c r="AK219" s="74"/>
      <c r="AL219" s="77"/>
      <c r="AN219" s="497">
        <v>15.98</v>
      </c>
      <c r="AP219" s="42"/>
      <c r="AQ219" s="74"/>
      <c r="AR219" s="77"/>
      <c r="AT219" s="497">
        <v>3.019999999999996</v>
      </c>
      <c r="AV219" s="42"/>
      <c r="AW219" s="74"/>
      <c r="AX219" s="77"/>
      <c r="BA219" s="497">
        <v>23.72</v>
      </c>
      <c r="BB219" s="42"/>
      <c r="BC219" s="74"/>
      <c r="BD219" s="77"/>
      <c r="BF219">
        <v>15.98</v>
      </c>
      <c r="BH219" s="42"/>
      <c r="BI219" s="74"/>
      <c r="BJ219" s="77"/>
      <c r="BL219" s="497">
        <v>15.98</v>
      </c>
      <c r="BN219" s="42"/>
      <c r="BO219" s="74"/>
      <c r="BP219" s="77"/>
      <c r="BR219" s="497">
        <v>24.98</v>
      </c>
      <c r="BT219" s="42"/>
    </row>
    <row r="220" spans="1:72" x14ac:dyDescent="0.25">
      <c r="A220" s="90">
        <v>36169</v>
      </c>
      <c r="B220" s="20">
        <v>0.41666666666666669</v>
      </c>
      <c r="D220">
        <v>30.92</v>
      </c>
      <c r="E220" t="str">
        <f t="shared" si="42"/>
        <v>SATURDAY</v>
      </c>
      <c r="F220" t="e">
        <f t="shared" si="41"/>
        <v>#N/A</v>
      </c>
      <c r="G220" s="74">
        <v>27768</v>
      </c>
      <c r="H220" s="77">
        <v>0.41666666666666669</v>
      </c>
      <c r="J220">
        <v>17.96</v>
      </c>
      <c r="M220" s="74">
        <v>37630</v>
      </c>
      <c r="N220" s="77">
        <v>0.41666666666666669</v>
      </c>
      <c r="P220">
        <v>44.6</v>
      </c>
      <c r="S220" s="74">
        <v>36169</v>
      </c>
      <c r="T220" s="77">
        <v>0.41666666666666669</v>
      </c>
      <c r="V220">
        <v>42.980000000000004</v>
      </c>
      <c r="X220" s="42"/>
      <c r="AB220">
        <v>33.6</v>
      </c>
      <c r="AC220">
        <v>44.06</v>
      </c>
      <c r="AE220" s="74"/>
      <c r="AF220" s="77"/>
      <c r="AH220" s="497">
        <v>30.2</v>
      </c>
      <c r="AJ220" s="42"/>
      <c r="AK220" s="74"/>
      <c r="AL220" s="77"/>
      <c r="AN220" s="497">
        <v>19.04</v>
      </c>
      <c r="AP220" s="42"/>
      <c r="AQ220" s="74"/>
      <c r="AR220" s="77"/>
      <c r="AT220" s="497">
        <v>5</v>
      </c>
      <c r="AV220" s="42"/>
      <c r="AW220" s="74"/>
      <c r="AX220" s="77"/>
      <c r="BA220" s="497">
        <v>24.08</v>
      </c>
      <c r="BB220" s="42"/>
      <c r="BC220" s="74"/>
      <c r="BD220" s="77"/>
      <c r="BF220">
        <v>17.059999999999999</v>
      </c>
      <c r="BH220" s="42"/>
      <c r="BI220" s="74"/>
      <c r="BJ220" s="77"/>
      <c r="BL220" s="497">
        <v>15.98</v>
      </c>
      <c r="BN220" s="42"/>
      <c r="BO220" s="74"/>
      <c r="BP220" s="77"/>
      <c r="BR220" s="497">
        <v>26.060000000000002</v>
      </c>
      <c r="BT220" s="42"/>
    </row>
    <row r="221" spans="1:72" x14ac:dyDescent="0.25">
      <c r="A221" s="90">
        <v>36169</v>
      </c>
      <c r="B221" s="20">
        <v>0.45833333333333331</v>
      </c>
      <c r="D221">
        <v>33.08</v>
      </c>
      <c r="E221" t="str">
        <f t="shared" si="42"/>
        <v>SATURDAY</v>
      </c>
      <c r="F221" t="e">
        <f t="shared" si="41"/>
        <v>#N/A</v>
      </c>
      <c r="G221" s="74">
        <v>27768</v>
      </c>
      <c r="H221" s="77">
        <v>0.45833333333333331</v>
      </c>
      <c r="J221">
        <v>19.04</v>
      </c>
      <c r="M221" s="74">
        <v>37630</v>
      </c>
      <c r="N221" s="77">
        <v>0.45833333333333331</v>
      </c>
      <c r="P221">
        <v>44.6</v>
      </c>
      <c r="S221" s="74">
        <v>36169</v>
      </c>
      <c r="T221" s="77">
        <v>0.45833333333333331</v>
      </c>
      <c r="V221">
        <v>41</v>
      </c>
      <c r="X221" s="42"/>
      <c r="AB221">
        <v>34.9</v>
      </c>
      <c r="AC221">
        <v>46.94</v>
      </c>
      <c r="AE221" s="74"/>
      <c r="AF221" s="77"/>
      <c r="AH221" s="497">
        <v>32</v>
      </c>
      <c r="AJ221" s="42"/>
      <c r="AK221" s="74"/>
      <c r="AL221" s="77"/>
      <c r="AN221" s="497">
        <v>21.92</v>
      </c>
      <c r="AP221" s="42"/>
      <c r="AQ221" s="74"/>
      <c r="AR221" s="77"/>
      <c r="AT221" s="497">
        <v>8.0599999999999987</v>
      </c>
      <c r="AV221" s="42"/>
      <c r="AW221" s="74"/>
      <c r="AX221" s="77"/>
      <c r="BA221" s="497">
        <v>23.72</v>
      </c>
      <c r="BB221" s="42"/>
      <c r="BC221" s="74"/>
      <c r="BD221" s="77"/>
      <c r="BF221">
        <v>19.939999999999998</v>
      </c>
      <c r="BH221" s="42"/>
      <c r="BI221" s="74"/>
      <c r="BJ221" s="77"/>
      <c r="BL221" s="497">
        <v>17.96</v>
      </c>
      <c r="BN221" s="42"/>
      <c r="BO221" s="74"/>
      <c r="BP221" s="77"/>
      <c r="BR221" s="497">
        <v>28.04</v>
      </c>
      <c r="BT221" s="42"/>
    </row>
    <row r="222" spans="1:72" x14ac:dyDescent="0.25">
      <c r="A222" s="90">
        <v>36169</v>
      </c>
      <c r="B222" s="20">
        <v>0.5</v>
      </c>
      <c r="D222">
        <v>33.08</v>
      </c>
      <c r="E222" t="str">
        <f t="shared" si="42"/>
        <v>SATURDAY</v>
      </c>
      <c r="F222" t="e">
        <f t="shared" si="41"/>
        <v>#N/A</v>
      </c>
      <c r="G222" s="74">
        <v>27768</v>
      </c>
      <c r="H222" s="77">
        <v>0.5</v>
      </c>
      <c r="J222">
        <v>21.02</v>
      </c>
      <c r="M222" s="74">
        <v>37630</v>
      </c>
      <c r="N222" s="77">
        <v>0.5</v>
      </c>
      <c r="P222">
        <v>44.6</v>
      </c>
      <c r="S222" s="74">
        <v>36169</v>
      </c>
      <c r="T222" s="77">
        <v>0.5</v>
      </c>
      <c r="V222">
        <v>42.980000000000004</v>
      </c>
      <c r="X222" s="42"/>
      <c r="AB222">
        <v>36.1</v>
      </c>
      <c r="AC222">
        <v>50</v>
      </c>
      <c r="AE222" s="74"/>
      <c r="AF222" s="77"/>
      <c r="AH222" s="497">
        <v>33.799999999999997</v>
      </c>
      <c r="AJ222" s="42"/>
      <c r="AK222" s="74"/>
      <c r="AL222" s="77"/>
      <c r="AN222" s="497">
        <v>24.98</v>
      </c>
      <c r="AP222" s="42"/>
      <c r="AQ222" s="74"/>
      <c r="AR222" s="77"/>
      <c r="AT222" s="497">
        <v>10.039999999999999</v>
      </c>
      <c r="AV222" s="42"/>
      <c r="AW222" s="74"/>
      <c r="AX222" s="77"/>
      <c r="BA222" s="497">
        <v>23.36</v>
      </c>
      <c r="BB222" s="42"/>
      <c r="BC222" s="74"/>
      <c r="BD222" s="77"/>
      <c r="BF222">
        <v>21.02</v>
      </c>
      <c r="BH222" s="42"/>
      <c r="BI222" s="74"/>
      <c r="BJ222" s="77"/>
      <c r="BL222" s="497">
        <v>19.939999999999998</v>
      </c>
      <c r="BN222" s="42"/>
      <c r="BO222" s="74"/>
      <c r="BP222" s="77"/>
      <c r="BR222" s="497">
        <v>28.94</v>
      </c>
      <c r="BT222" s="42"/>
    </row>
    <row r="223" spans="1:72" x14ac:dyDescent="0.25">
      <c r="A223" s="90">
        <v>36169</v>
      </c>
      <c r="B223" s="20">
        <v>0.54166666666666663</v>
      </c>
      <c r="D223">
        <v>33.08</v>
      </c>
      <c r="E223" t="str">
        <f t="shared" si="42"/>
        <v>SATURDAY</v>
      </c>
      <c r="F223" t="e">
        <f t="shared" si="41"/>
        <v>#N/A</v>
      </c>
      <c r="G223" s="74">
        <v>27768</v>
      </c>
      <c r="H223" s="77">
        <v>0.54166666666666663</v>
      </c>
      <c r="J223">
        <v>21.92</v>
      </c>
      <c r="M223" s="74">
        <v>37630</v>
      </c>
      <c r="N223" s="77">
        <v>0.54166666666666663</v>
      </c>
      <c r="P223">
        <v>44.6</v>
      </c>
      <c r="S223" s="74">
        <v>36169</v>
      </c>
      <c r="T223" s="77">
        <v>0.54166666666666663</v>
      </c>
      <c r="V223">
        <v>46.04</v>
      </c>
      <c r="X223" s="42"/>
      <c r="AB223">
        <v>37.200000000000003</v>
      </c>
      <c r="AC223">
        <v>50</v>
      </c>
      <c r="AE223" s="74"/>
      <c r="AF223" s="77"/>
      <c r="AH223" s="497">
        <v>33.799999999999997</v>
      </c>
      <c r="AJ223" s="42"/>
      <c r="AK223" s="74"/>
      <c r="AL223" s="77"/>
      <c r="AN223" s="497">
        <v>28.04</v>
      </c>
      <c r="AP223" s="42"/>
      <c r="AQ223" s="74"/>
      <c r="AR223" s="77"/>
      <c r="AT223" s="497">
        <v>12.02</v>
      </c>
      <c r="AV223" s="42"/>
      <c r="AW223" s="74"/>
      <c r="AX223" s="77"/>
      <c r="BA223" s="497">
        <v>23</v>
      </c>
      <c r="BB223" s="42"/>
      <c r="BC223" s="74"/>
      <c r="BD223" s="77"/>
      <c r="BF223">
        <v>23</v>
      </c>
      <c r="BH223" s="42"/>
      <c r="BI223" s="74"/>
      <c r="BJ223" s="77"/>
      <c r="BL223" s="497">
        <v>21.92</v>
      </c>
      <c r="BN223" s="42"/>
      <c r="BO223" s="74"/>
      <c r="BP223" s="77"/>
      <c r="BR223" s="497">
        <v>30.92</v>
      </c>
      <c r="BT223" s="42"/>
    </row>
    <row r="224" spans="1:72" x14ac:dyDescent="0.25">
      <c r="A224" s="90">
        <v>36169</v>
      </c>
      <c r="B224" s="20">
        <v>0.58333333333333337</v>
      </c>
      <c r="D224">
        <v>33.979999999999997</v>
      </c>
      <c r="E224" t="str">
        <f t="shared" si="42"/>
        <v>SATURDAY</v>
      </c>
      <c r="F224" t="e">
        <f t="shared" si="41"/>
        <v>#N/A</v>
      </c>
      <c r="G224" s="74">
        <v>27768</v>
      </c>
      <c r="H224" s="77">
        <v>0.58333333333333337</v>
      </c>
      <c r="J224">
        <v>21.92</v>
      </c>
      <c r="M224" s="74">
        <v>37630</v>
      </c>
      <c r="N224" s="77">
        <v>0.58333333333333337</v>
      </c>
      <c r="P224">
        <v>44.6</v>
      </c>
      <c r="S224" s="74">
        <v>36169</v>
      </c>
      <c r="T224" s="77">
        <v>0.58333333333333337</v>
      </c>
      <c r="V224">
        <v>50</v>
      </c>
      <c r="X224" s="42"/>
      <c r="AB224">
        <v>37.9</v>
      </c>
      <c r="AC224">
        <v>46.04</v>
      </c>
      <c r="AE224" s="74"/>
      <c r="AF224" s="77"/>
      <c r="AH224" s="497">
        <v>32</v>
      </c>
      <c r="AJ224" s="42"/>
      <c r="AK224" s="74"/>
      <c r="AL224" s="77"/>
      <c r="AN224" s="497">
        <v>30.02</v>
      </c>
      <c r="AP224" s="42"/>
      <c r="AQ224" s="74"/>
      <c r="AR224" s="77"/>
      <c r="AT224" s="497">
        <v>12.920000000000002</v>
      </c>
      <c r="AV224" s="42"/>
      <c r="AW224" s="74"/>
      <c r="AX224" s="77"/>
      <c r="BA224" s="497">
        <v>23.72</v>
      </c>
      <c r="BB224" s="42"/>
      <c r="BC224" s="74"/>
      <c r="BD224" s="77"/>
      <c r="BF224">
        <v>23</v>
      </c>
      <c r="BH224" s="42"/>
      <c r="BI224" s="74"/>
      <c r="BJ224" s="77"/>
      <c r="BL224" s="497">
        <v>22.28</v>
      </c>
      <c r="BN224" s="42"/>
      <c r="BO224" s="74"/>
      <c r="BP224" s="77"/>
      <c r="BR224" s="497">
        <v>33.08</v>
      </c>
      <c r="BT224" s="42"/>
    </row>
    <row r="225" spans="1:72" x14ac:dyDescent="0.25">
      <c r="A225" s="90">
        <v>36169</v>
      </c>
      <c r="B225" s="20">
        <v>0.625</v>
      </c>
      <c r="D225">
        <v>33.979999999999997</v>
      </c>
      <c r="E225" t="str">
        <f t="shared" si="42"/>
        <v>SATURDAY</v>
      </c>
      <c r="F225" t="e">
        <f t="shared" si="41"/>
        <v>#N/A</v>
      </c>
      <c r="G225" s="74">
        <v>27768</v>
      </c>
      <c r="H225" s="77">
        <v>0.625</v>
      </c>
      <c r="J225">
        <v>21.92</v>
      </c>
      <c r="M225" s="74">
        <v>37630</v>
      </c>
      <c r="N225" s="77">
        <v>0.625</v>
      </c>
      <c r="P225">
        <v>44.6</v>
      </c>
      <c r="S225" s="74">
        <v>36169</v>
      </c>
      <c r="T225" s="77">
        <v>0.625</v>
      </c>
      <c r="V225">
        <v>44.96</v>
      </c>
      <c r="X225" s="42"/>
      <c r="AB225">
        <v>38.4</v>
      </c>
      <c r="AC225">
        <v>44.96</v>
      </c>
      <c r="AE225" s="74"/>
      <c r="AF225" s="77"/>
      <c r="AH225" s="497">
        <v>33.799999999999997</v>
      </c>
      <c r="AJ225" s="42"/>
      <c r="AK225" s="74"/>
      <c r="AL225" s="77"/>
      <c r="AN225" s="497">
        <v>30.92</v>
      </c>
      <c r="AP225" s="42"/>
      <c r="AQ225" s="74"/>
      <c r="AR225" s="77"/>
      <c r="AT225" s="497">
        <v>12.920000000000002</v>
      </c>
      <c r="AV225" s="42"/>
      <c r="AW225" s="74"/>
      <c r="AX225" s="77"/>
      <c r="BA225" s="497">
        <v>24.259999999999998</v>
      </c>
      <c r="BB225" s="42"/>
      <c r="BC225" s="74"/>
      <c r="BD225" s="77"/>
      <c r="BF225">
        <v>23</v>
      </c>
      <c r="BH225" s="42"/>
      <c r="BI225" s="74"/>
      <c r="BJ225" s="77"/>
      <c r="BL225" s="497">
        <v>22.64</v>
      </c>
      <c r="BN225" s="42"/>
      <c r="BO225" s="74"/>
      <c r="BP225" s="77"/>
      <c r="BR225" s="497">
        <v>33.08</v>
      </c>
      <c r="BT225" s="42"/>
    </row>
    <row r="226" spans="1:72" x14ac:dyDescent="0.25">
      <c r="A226" s="90">
        <v>36169</v>
      </c>
      <c r="B226" s="20">
        <v>0.66666666666666663</v>
      </c>
      <c r="D226">
        <v>35.06</v>
      </c>
      <c r="E226" t="str">
        <f t="shared" si="42"/>
        <v>SATURDAY</v>
      </c>
      <c r="F226" t="e">
        <f t="shared" si="41"/>
        <v>#N/A</v>
      </c>
      <c r="G226" s="74">
        <v>27768</v>
      </c>
      <c r="H226" s="77">
        <v>0.66666666666666663</v>
      </c>
      <c r="J226">
        <v>21.92</v>
      </c>
      <c r="M226" s="74">
        <v>37630</v>
      </c>
      <c r="N226" s="77">
        <v>0.66666666666666663</v>
      </c>
      <c r="P226">
        <v>44.6</v>
      </c>
      <c r="S226" s="74">
        <v>36169</v>
      </c>
      <c r="T226" s="77">
        <v>0.66666666666666663</v>
      </c>
      <c r="V226">
        <v>44.6</v>
      </c>
      <c r="X226" s="42"/>
      <c r="AB226">
        <v>38.4</v>
      </c>
      <c r="AC226">
        <v>44.96</v>
      </c>
      <c r="AE226" s="74"/>
      <c r="AF226" s="77"/>
      <c r="AH226" s="497">
        <v>32</v>
      </c>
      <c r="AJ226" s="42"/>
      <c r="AK226" s="74"/>
      <c r="AL226" s="77"/>
      <c r="AN226" s="497">
        <v>30.92</v>
      </c>
      <c r="AP226" s="42"/>
      <c r="AQ226" s="74"/>
      <c r="AR226" s="77"/>
      <c r="AT226" s="497">
        <v>14</v>
      </c>
      <c r="AV226" s="42"/>
      <c r="AW226" s="74"/>
      <c r="AX226" s="77"/>
      <c r="BA226" s="497">
        <v>24.98</v>
      </c>
      <c r="BB226" s="42"/>
      <c r="BC226" s="74"/>
      <c r="BD226" s="77"/>
      <c r="BF226">
        <v>23</v>
      </c>
      <c r="BH226" s="42"/>
      <c r="BI226" s="74"/>
      <c r="BJ226" s="77"/>
      <c r="BL226" s="497">
        <v>23</v>
      </c>
      <c r="BN226" s="42"/>
      <c r="BO226" s="74"/>
      <c r="BP226" s="77"/>
      <c r="BR226" s="497">
        <v>33.979999999999997</v>
      </c>
      <c r="BT226" s="42"/>
    </row>
    <row r="227" spans="1:72" x14ac:dyDescent="0.25">
      <c r="A227" s="90">
        <v>36169</v>
      </c>
      <c r="B227" s="20">
        <v>0.70833333333333337</v>
      </c>
      <c r="D227">
        <v>35.06</v>
      </c>
      <c r="E227" t="str">
        <f t="shared" si="42"/>
        <v>SATURDAY</v>
      </c>
      <c r="F227" t="e">
        <f t="shared" si="41"/>
        <v>#N/A</v>
      </c>
      <c r="G227" s="74">
        <v>27768</v>
      </c>
      <c r="H227" s="77">
        <v>0.70833333333333337</v>
      </c>
      <c r="J227">
        <v>21.92</v>
      </c>
      <c r="M227" s="74">
        <v>37630</v>
      </c>
      <c r="N227" s="77">
        <v>0.70833333333333337</v>
      </c>
      <c r="P227">
        <v>42.8</v>
      </c>
      <c r="S227" s="74">
        <v>36169</v>
      </c>
      <c r="T227" s="77">
        <v>0.70833333333333337</v>
      </c>
      <c r="V227">
        <v>44.06</v>
      </c>
      <c r="X227" s="42"/>
      <c r="AB227">
        <v>37.799999999999997</v>
      </c>
      <c r="AC227">
        <v>44.96</v>
      </c>
      <c r="AE227" s="74"/>
      <c r="AF227" s="77"/>
      <c r="AH227" s="497">
        <v>32</v>
      </c>
      <c r="AJ227" s="42"/>
      <c r="AK227" s="74"/>
      <c r="AL227" s="77"/>
      <c r="AN227" s="497">
        <v>32</v>
      </c>
      <c r="AP227" s="42"/>
      <c r="AQ227" s="74"/>
      <c r="AR227" s="77"/>
      <c r="AT227" s="497">
        <v>12.920000000000002</v>
      </c>
      <c r="AV227" s="42"/>
      <c r="AW227" s="74"/>
      <c r="AX227" s="77"/>
      <c r="BA227" s="497">
        <v>24.259999999999998</v>
      </c>
      <c r="BB227" s="42"/>
      <c r="BC227" s="74"/>
      <c r="BD227" s="77"/>
      <c r="BF227">
        <v>21.92</v>
      </c>
      <c r="BH227" s="42"/>
      <c r="BI227" s="74"/>
      <c r="BJ227" s="77"/>
      <c r="BL227" s="497">
        <v>21.92</v>
      </c>
      <c r="BN227" s="42"/>
      <c r="BO227" s="74"/>
      <c r="BP227" s="77"/>
      <c r="BR227" s="497">
        <v>33.979999999999997</v>
      </c>
      <c r="BT227" s="42"/>
    </row>
    <row r="228" spans="1:72" x14ac:dyDescent="0.25">
      <c r="A228" s="90">
        <v>36169</v>
      </c>
      <c r="B228" s="20">
        <v>0.75</v>
      </c>
      <c r="D228">
        <v>35.06</v>
      </c>
      <c r="E228" t="str">
        <f t="shared" si="42"/>
        <v>SATURDAY</v>
      </c>
      <c r="F228" t="e">
        <f t="shared" si="41"/>
        <v>#N/A</v>
      </c>
      <c r="G228" s="74">
        <v>27768</v>
      </c>
      <c r="H228" s="77">
        <v>0.75</v>
      </c>
      <c r="J228">
        <v>21.02</v>
      </c>
      <c r="M228" s="74">
        <v>37630</v>
      </c>
      <c r="N228" s="77">
        <v>0.75</v>
      </c>
      <c r="P228">
        <v>44.6</v>
      </c>
      <c r="S228" s="74">
        <v>36169</v>
      </c>
      <c r="T228" s="77">
        <v>0.75</v>
      </c>
      <c r="V228">
        <v>37.04</v>
      </c>
      <c r="X228" s="42"/>
      <c r="AB228">
        <v>36.6</v>
      </c>
      <c r="AC228">
        <v>44.96</v>
      </c>
      <c r="AE228" s="74"/>
      <c r="AF228" s="77"/>
      <c r="AH228" s="497">
        <v>32</v>
      </c>
      <c r="AJ228" s="42"/>
      <c r="AK228" s="74"/>
      <c r="AL228" s="77"/>
      <c r="AN228" s="497">
        <v>30.92</v>
      </c>
      <c r="AP228" s="42"/>
      <c r="AQ228" s="74"/>
      <c r="AR228" s="77"/>
      <c r="AT228" s="497">
        <v>12.920000000000002</v>
      </c>
      <c r="AV228" s="42"/>
      <c r="AW228" s="74"/>
      <c r="AX228" s="77"/>
      <c r="BA228" s="497">
        <v>23.72</v>
      </c>
      <c r="BB228" s="42"/>
      <c r="BC228" s="74"/>
      <c r="BD228" s="77"/>
      <c r="BF228">
        <v>19.939999999999998</v>
      </c>
      <c r="BH228" s="42"/>
      <c r="BI228" s="74"/>
      <c r="BJ228" s="77"/>
      <c r="BL228" s="497">
        <v>21.02</v>
      </c>
      <c r="BN228" s="42"/>
      <c r="BO228" s="74"/>
      <c r="BP228" s="77"/>
      <c r="BR228" s="497">
        <v>35.06</v>
      </c>
      <c r="BT228" s="42"/>
    </row>
    <row r="229" spans="1:72" x14ac:dyDescent="0.25">
      <c r="A229" s="90">
        <v>36169</v>
      </c>
      <c r="B229" s="20">
        <v>0.79166666666666663</v>
      </c>
      <c r="D229">
        <v>35.06</v>
      </c>
      <c r="E229" t="str">
        <f t="shared" si="42"/>
        <v>SATURDAY</v>
      </c>
      <c r="F229" t="e">
        <f t="shared" si="41"/>
        <v>#N/A</v>
      </c>
      <c r="G229" s="74">
        <v>27768</v>
      </c>
      <c r="H229" s="77">
        <v>0.79166666666666663</v>
      </c>
      <c r="J229">
        <v>19.939999999999998</v>
      </c>
      <c r="M229" s="74">
        <v>37630</v>
      </c>
      <c r="N229" s="77">
        <v>0.79166666666666663</v>
      </c>
      <c r="P229">
        <v>42.8</v>
      </c>
      <c r="S229" s="74">
        <v>36169</v>
      </c>
      <c r="T229" s="77">
        <v>0.79166666666666663</v>
      </c>
      <c r="V229">
        <v>35.06</v>
      </c>
      <c r="X229" s="42"/>
      <c r="AB229">
        <v>36</v>
      </c>
      <c r="AC229">
        <v>44.06</v>
      </c>
      <c r="AE229" s="74"/>
      <c r="AF229" s="77"/>
      <c r="AH229" s="497">
        <v>32</v>
      </c>
      <c r="AJ229" s="42"/>
      <c r="AK229" s="74"/>
      <c r="AL229" s="77"/>
      <c r="AN229" s="497">
        <v>32</v>
      </c>
      <c r="AP229" s="42"/>
      <c r="AQ229" s="74"/>
      <c r="AR229" s="77"/>
      <c r="AT229" s="497">
        <v>12.920000000000002</v>
      </c>
      <c r="AV229" s="42"/>
      <c r="AW229" s="74"/>
      <c r="AX229" s="77"/>
      <c r="BA229" s="497">
        <v>23</v>
      </c>
      <c r="BB229" s="42"/>
      <c r="BC229" s="74"/>
      <c r="BD229" s="77"/>
      <c r="BF229">
        <v>19.04</v>
      </c>
      <c r="BH229" s="42"/>
      <c r="BI229" s="74"/>
      <c r="BJ229" s="77"/>
      <c r="BL229" s="497">
        <v>19.939999999999998</v>
      </c>
      <c r="BN229" s="42"/>
      <c r="BO229" s="74"/>
      <c r="BP229" s="77"/>
      <c r="BR229" s="497">
        <v>35.96</v>
      </c>
      <c r="BT229" s="42"/>
    </row>
    <row r="230" spans="1:72" x14ac:dyDescent="0.25">
      <c r="A230" s="90">
        <v>36169</v>
      </c>
      <c r="B230" s="20">
        <v>0.83333333333333337</v>
      </c>
      <c r="D230">
        <v>33.979999999999997</v>
      </c>
      <c r="E230" t="str">
        <f t="shared" si="42"/>
        <v>SATURDAY</v>
      </c>
      <c r="F230" t="e">
        <f t="shared" si="41"/>
        <v>#N/A</v>
      </c>
      <c r="G230" s="74">
        <v>27768</v>
      </c>
      <c r="H230" s="77">
        <v>0.83333333333333337</v>
      </c>
      <c r="J230">
        <v>19.04</v>
      </c>
      <c r="M230" s="74">
        <v>37630</v>
      </c>
      <c r="N230" s="77">
        <v>0.83333333333333337</v>
      </c>
      <c r="P230">
        <v>42.8</v>
      </c>
      <c r="S230" s="74">
        <v>36169</v>
      </c>
      <c r="T230" s="77">
        <v>0.83333333333333337</v>
      </c>
      <c r="V230">
        <v>33.979999999999997</v>
      </c>
      <c r="X230" s="42"/>
      <c r="AB230">
        <v>35.6</v>
      </c>
      <c r="AC230">
        <v>42.980000000000004</v>
      </c>
      <c r="AE230" s="74"/>
      <c r="AF230" s="77"/>
      <c r="AH230" s="497">
        <v>32</v>
      </c>
      <c r="AJ230" s="42"/>
      <c r="AK230" s="74"/>
      <c r="AL230" s="77"/>
      <c r="AN230" s="497">
        <v>32</v>
      </c>
      <c r="AP230" s="42"/>
      <c r="AQ230" s="74"/>
      <c r="AR230" s="77"/>
      <c r="AT230" s="497">
        <v>12.02</v>
      </c>
      <c r="AV230" s="42"/>
      <c r="AW230" s="74"/>
      <c r="AX230" s="77"/>
      <c r="BA230" s="497">
        <v>22.64</v>
      </c>
      <c r="BB230" s="42"/>
      <c r="BC230" s="74"/>
      <c r="BD230" s="77"/>
      <c r="BF230">
        <v>17.059999999999999</v>
      </c>
      <c r="BH230" s="42"/>
      <c r="BI230" s="74"/>
      <c r="BJ230" s="77"/>
      <c r="BL230" s="497">
        <v>18.32</v>
      </c>
      <c r="BN230" s="42"/>
      <c r="BO230" s="74"/>
      <c r="BP230" s="77"/>
      <c r="BR230" s="497">
        <v>35.96</v>
      </c>
      <c r="BT230" s="42"/>
    </row>
    <row r="231" spans="1:72" x14ac:dyDescent="0.25">
      <c r="A231" s="90">
        <v>36169</v>
      </c>
      <c r="B231" s="20">
        <v>0.875</v>
      </c>
      <c r="D231">
        <v>33.979999999999997</v>
      </c>
      <c r="E231" t="str">
        <f t="shared" si="42"/>
        <v>SATURDAY</v>
      </c>
      <c r="F231" t="e">
        <f t="shared" si="41"/>
        <v>#N/A</v>
      </c>
      <c r="G231" s="74">
        <v>27768</v>
      </c>
      <c r="H231" s="77">
        <v>0.875</v>
      </c>
      <c r="J231">
        <v>17.96</v>
      </c>
      <c r="M231" s="74">
        <v>37630</v>
      </c>
      <c r="N231" s="77">
        <v>0.875</v>
      </c>
      <c r="P231">
        <v>42.8</v>
      </c>
      <c r="S231" s="74">
        <v>36169</v>
      </c>
      <c r="T231" s="77">
        <v>0.875</v>
      </c>
      <c r="V231">
        <v>33.08</v>
      </c>
      <c r="X231" s="42"/>
      <c r="AB231">
        <v>35.200000000000003</v>
      </c>
      <c r="AC231">
        <v>44.96</v>
      </c>
      <c r="AE231" s="74"/>
      <c r="AF231" s="77"/>
      <c r="AH231" s="497">
        <v>32</v>
      </c>
      <c r="AJ231" s="42"/>
      <c r="AK231" s="74"/>
      <c r="AL231" s="77"/>
      <c r="AN231" s="497">
        <v>32</v>
      </c>
      <c r="AP231" s="42"/>
      <c r="AQ231" s="74"/>
      <c r="AR231" s="77"/>
      <c r="AT231" s="497">
        <v>12.02</v>
      </c>
      <c r="AV231" s="42"/>
      <c r="AW231" s="74"/>
      <c r="AX231" s="77"/>
      <c r="BA231" s="497">
        <v>22.28</v>
      </c>
      <c r="BB231" s="42"/>
      <c r="BC231" s="74"/>
      <c r="BD231" s="77"/>
      <c r="BF231">
        <v>15.079999999999998</v>
      </c>
      <c r="BH231" s="42"/>
      <c r="BI231" s="74"/>
      <c r="BJ231" s="77"/>
      <c r="BL231" s="497">
        <v>16.7</v>
      </c>
      <c r="BN231" s="42"/>
      <c r="BO231" s="74"/>
      <c r="BP231" s="77"/>
      <c r="BR231" s="497">
        <v>35.96</v>
      </c>
      <c r="BT231" s="42"/>
    </row>
    <row r="232" spans="1:72" x14ac:dyDescent="0.25">
      <c r="A232" s="90">
        <v>36169</v>
      </c>
      <c r="B232" s="20">
        <v>0.91666666666666663</v>
      </c>
      <c r="D232">
        <v>35.06</v>
      </c>
      <c r="E232" t="str">
        <f t="shared" si="42"/>
        <v>SATURDAY</v>
      </c>
      <c r="F232" t="e">
        <f t="shared" si="41"/>
        <v>#N/A</v>
      </c>
      <c r="G232" s="74">
        <v>27768</v>
      </c>
      <c r="H232" s="77">
        <v>0.91666666666666663</v>
      </c>
      <c r="J232">
        <v>17.96</v>
      </c>
      <c r="M232" s="74">
        <v>37630</v>
      </c>
      <c r="N232" s="77">
        <v>0.91666666666666663</v>
      </c>
      <c r="P232">
        <v>37.4</v>
      </c>
      <c r="S232" s="74">
        <v>36169</v>
      </c>
      <c r="T232" s="77">
        <v>0.91666666666666663</v>
      </c>
      <c r="V232">
        <v>32</v>
      </c>
      <c r="X232" s="42"/>
      <c r="AB232">
        <v>34.700000000000003</v>
      </c>
      <c r="AC232">
        <v>42.980000000000004</v>
      </c>
      <c r="AE232" s="74"/>
      <c r="AF232" s="77"/>
      <c r="AH232" s="497">
        <v>32</v>
      </c>
      <c r="AJ232" s="42"/>
      <c r="AK232" s="74"/>
      <c r="AL232" s="77"/>
      <c r="AN232" s="497">
        <v>32</v>
      </c>
      <c r="AP232" s="42"/>
      <c r="AQ232" s="74"/>
      <c r="AR232" s="77"/>
      <c r="AT232" s="497">
        <v>12.02</v>
      </c>
      <c r="AV232" s="42"/>
      <c r="AW232" s="74"/>
      <c r="AX232" s="77"/>
      <c r="BA232" s="497">
        <v>21.92</v>
      </c>
      <c r="BB232" s="42"/>
      <c r="BC232" s="74"/>
      <c r="BD232" s="77"/>
      <c r="BF232">
        <v>15.079999999999998</v>
      </c>
      <c r="BH232" s="42"/>
      <c r="BI232" s="74"/>
      <c r="BJ232" s="77"/>
      <c r="BL232" s="497">
        <v>15.079999999999998</v>
      </c>
      <c r="BN232" s="42"/>
      <c r="BO232" s="74"/>
      <c r="BP232" s="77"/>
      <c r="BR232" s="497">
        <v>35.06</v>
      </c>
      <c r="BT232" s="42"/>
    </row>
    <row r="233" spans="1:72" x14ac:dyDescent="0.25">
      <c r="A233" s="90">
        <v>36169</v>
      </c>
      <c r="B233" s="20">
        <v>0.95833333333333337</v>
      </c>
      <c r="D233">
        <v>37.04</v>
      </c>
      <c r="E233" t="str">
        <f t="shared" si="42"/>
        <v>SATURDAY</v>
      </c>
      <c r="F233" t="e">
        <f t="shared" si="41"/>
        <v>#N/A</v>
      </c>
      <c r="G233" s="74">
        <v>27768</v>
      </c>
      <c r="H233" s="77">
        <v>0.95833333333333337</v>
      </c>
      <c r="J233">
        <v>17.059999999999999</v>
      </c>
      <c r="M233" s="74">
        <v>37630</v>
      </c>
      <c r="N233" s="77">
        <v>0.95833333333333337</v>
      </c>
      <c r="P233">
        <v>41</v>
      </c>
      <c r="S233" s="74">
        <v>36169</v>
      </c>
      <c r="T233" s="77">
        <v>0.95833333333333337</v>
      </c>
      <c r="V233">
        <v>30.92</v>
      </c>
      <c r="X233" s="42"/>
      <c r="AB233">
        <v>34.200000000000003</v>
      </c>
      <c r="AC233">
        <v>44.06</v>
      </c>
      <c r="AE233" s="74"/>
      <c r="AF233" s="77"/>
      <c r="AH233" s="497">
        <v>32</v>
      </c>
      <c r="AJ233" s="42"/>
      <c r="AK233" s="74"/>
      <c r="AL233" s="77"/>
      <c r="AN233" s="497">
        <v>32</v>
      </c>
      <c r="AP233" s="42"/>
      <c r="AQ233" s="74"/>
      <c r="AR233" s="77"/>
      <c r="AT233" s="497">
        <v>12.02</v>
      </c>
      <c r="AV233" s="42"/>
      <c r="AW233" s="74"/>
      <c r="AX233" s="77"/>
      <c r="BA233" s="497">
        <v>21.2</v>
      </c>
      <c r="BB233" s="42"/>
      <c r="BC233" s="74"/>
      <c r="BD233" s="77"/>
      <c r="BF233">
        <v>14</v>
      </c>
      <c r="BH233" s="42"/>
      <c r="BI233" s="74"/>
      <c r="BJ233" s="77"/>
      <c r="BL233" s="497">
        <v>13.64</v>
      </c>
      <c r="BN233" s="42"/>
      <c r="BO233" s="74"/>
      <c r="BP233" s="77"/>
      <c r="BR233" s="497">
        <v>35.06</v>
      </c>
      <c r="BT233" s="42"/>
    </row>
    <row r="234" spans="1:72" x14ac:dyDescent="0.25">
      <c r="A234" s="90">
        <v>36169</v>
      </c>
      <c r="B234" s="20">
        <v>1</v>
      </c>
      <c r="D234">
        <v>39.019999999999996</v>
      </c>
      <c r="E234" t="str">
        <f t="shared" si="42"/>
        <v>SATURDAY</v>
      </c>
      <c r="F234" t="e">
        <f t="shared" si="41"/>
        <v>#N/A</v>
      </c>
      <c r="G234" s="74">
        <v>27768</v>
      </c>
      <c r="H234" s="77">
        <v>1</v>
      </c>
      <c r="J234">
        <v>17.059999999999999</v>
      </c>
      <c r="M234" s="74">
        <v>37630</v>
      </c>
      <c r="N234" s="80">
        <v>1</v>
      </c>
      <c r="P234">
        <v>42.8</v>
      </c>
      <c r="S234" s="74">
        <v>36169</v>
      </c>
      <c r="T234" s="80">
        <v>1</v>
      </c>
      <c r="V234">
        <v>30.02</v>
      </c>
      <c r="X234" s="42"/>
      <c r="AB234">
        <v>33.799999999999997</v>
      </c>
      <c r="AC234">
        <v>42.980000000000004</v>
      </c>
      <c r="AE234" s="74"/>
      <c r="AF234" s="80"/>
      <c r="AH234" s="497">
        <v>32</v>
      </c>
      <c r="AJ234" s="42"/>
      <c r="AK234" s="74"/>
      <c r="AL234" s="80"/>
      <c r="AN234" s="497">
        <v>30.92</v>
      </c>
      <c r="AP234" s="42"/>
      <c r="AQ234" s="74"/>
      <c r="AR234" s="80"/>
      <c r="AT234" s="497">
        <v>12.02</v>
      </c>
      <c r="AV234" s="42"/>
      <c r="AW234" s="74"/>
      <c r="AX234" s="80"/>
      <c r="BA234" s="497">
        <v>20.66</v>
      </c>
      <c r="BB234" s="42"/>
      <c r="BC234" s="74"/>
      <c r="BD234" s="80"/>
      <c r="BF234">
        <v>12.920000000000002</v>
      </c>
      <c r="BH234" s="42"/>
      <c r="BI234" s="74"/>
      <c r="BJ234" s="80"/>
      <c r="BL234" s="497">
        <v>12.379999999999999</v>
      </c>
      <c r="BN234" s="42"/>
      <c r="BO234" s="74"/>
      <c r="BP234" s="80"/>
      <c r="BR234" s="497">
        <v>35.06</v>
      </c>
      <c r="BT234" s="42"/>
    </row>
    <row r="235" spans="1:72" x14ac:dyDescent="0.25">
      <c r="A235" s="90">
        <v>36170</v>
      </c>
      <c r="B235" s="20">
        <v>4.1666666666666664E-2</v>
      </c>
      <c r="D235">
        <v>39.92</v>
      </c>
      <c r="E235" t="str">
        <f t="shared" si="42"/>
        <v>SUNDAY</v>
      </c>
      <c r="F235" t="e">
        <f t="shared" ref="F235:F298" si="43">IF(E235="WEEKDAY",VLOOKUP(B235,$DD$19:$DG$42,2),IF(E235="SATURDAY",VLOOKUP(B235,$DD$19:$DG$42,3),VLOOKUP(B235,$DD$19:$DG$42,4)))</f>
        <v>#N/A</v>
      </c>
      <c r="G235" s="74">
        <v>27769</v>
      </c>
      <c r="H235" s="77">
        <v>4.1666666666666664E-2</v>
      </c>
      <c r="J235">
        <v>15.98</v>
      </c>
      <c r="M235" s="74">
        <v>37631</v>
      </c>
      <c r="N235" s="77">
        <v>4.1666666666666664E-2</v>
      </c>
      <c r="P235">
        <v>42.8</v>
      </c>
      <c r="S235" s="74">
        <v>36170</v>
      </c>
      <c r="T235" s="77">
        <v>4.1666666666666664E-2</v>
      </c>
      <c r="V235">
        <v>28.94</v>
      </c>
      <c r="X235" s="42"/>
      <c r="AB235">
        <v>33.299999999999997</v>
      </c>
      <c r="AC235">
        <v>42.08</v>
      </c>
      <c r="AE235" s="74"/>
      <c r="AF235" s="77"/>
      <c r="AH235" s="497">
        <v>33.799999999999997</v>
      </c>
      <c r="AJ235" s="42"/>
      <c r="AK235" s="74"/>
      <c r="AL235" s="77"/>
      <c r="AN235" s="497">
        <v>30.92</v>
      </c>
      <c r="AP235" s="42"/>
      <c r="AQ235" s="74"/>
      <c r="AR235" s="77"/>
      <c r="AT235" s="497">
        <v>10.940000000000001</v>
      </c>
      <c r="AV235" s="42"/>
      <c r="AW235" s="74"/>
      <c r="AX235" s="77"/>
      <c r="BA235" s="497">
        <v>19.939999999999998</v>
      </c>
      <c r="BB235" s="42"/>
      <c r="BC235" s="74"/>
      <c r="BD235" s="77"/>
      <c r="BF235">
        <v>12.02</v>
      </c>
      <c r="BH235" s="42"/>
      <c r="BI235" s="74"/>
      <c r="BJ235" s="77"/>
      <c r="BL235" s="497">
        <v>10.940000000000001</v>
      </c>
      <c r="BN235" s="42"/>
      <c r="BO235" s="74"/>
      <c r="BP235" s="77"/>
      <c r="BR235" s="497">
        <v>35.06</v>
      </c>
      <c r="BT235" s="42"/>
    </row>
    <row r="236" spans="1:72" x14ac:dyDescent="0.25">
      <c r="A236" s="90">
        <v>36170</v>
      </c>
      <c r="B236" s="20">
        <v>8.3333333333333329E-2</v>
      </c>
      <c r="D236">
        <v>39.019999999999996</v>
      </c>
      <c r="E236" t="str">
        <f t="shared" si="42"/>
        <v>SUNDAY</v>
      </c>
      <c r="F236" t="e">
        <f t="shared" si="43"/>
        <v>#N/A</v>
      </c>
      <c r="G236" s="74">
        <v>27769</v>
      </c>
      <c r="H236" s="77">
        <v>8.3333333333333329E-2</v>
      </c>
      <c r="J236">
        <v>15.98</v>
      </c>
      <c r="M236" s="74">
        <v>37631</v>
      </c>
      <c r="N236" s="77">
        <v>8.3333333333333329E-2</v>
      </c>
      <c r="P236">
        <v>41</v>
      </c>
      <c r="S236" s="74">
        <v>36170</v>
      </c>
      <c r="T236" s="77">
        <v>8.3333333333333329E-2</v>
      </c>
      <c r="V236">
        <v>28.04</v>
      </c>
      <c r="X236" s="42"/>
      <c r="AB236">
        <v>32.799999999999997</v>
      </c>
      <c r="AC236">
        <v>42.980000000000004</v>
      </c>
      <c r="AE236" s="74"/>
      <c r="AF236" s="77"/>
      <c r="AH236" s="497">
        <v>33.799999999999997</v>
      </c>
      <c r="AJ236" s="42"/>
      <c r="AK236" s="74"/>
      <c r="AL236" s="77"/>
      <c r="AN236" s="497">
        <v>30.02</v>
      </c>
      <c r="AP236" s="42"/>
      <c r="AQ236" s="74"/>
      <c r="AR236" s="77"/>
      <c r="AT236" s="497">
        <v>10.940000000000001</v>
      </c>
      <c r="AV236" s="42"/>
      <c r="AW236" s="74"/>
      <c r="AX236" s="77"/>
      <c r="BA236" s="497">
        <v>19.22</v>
      </c>
      <c r="BB236" s="42"/>
      <c r="BC236" s="74"/>
      <c r="BD236" s="77"/>
      <c r="BF236">
        <v>10.940000000000001</v>
      </c>
      <c r="BH236" s="42"/>
      <c r="BI236" s="74"/>
      <c r="BJ236" s="77"/>
      <c r="BL236" s="497">
        <v>10.219999999999999</v>
      </c>
      <c r="BN236" s="42"/>
      <c r="BO236" s="74"/>
      <c r="BP236" s="77"/>
      <c r="BR236" s="497">
        <v>35.96</v>
      </c>
      <c r="BT236" s="42"/>
    </row>
    <row r="237" spans="1:72" x14ac:dyDescent="0.25">
      <c r="A237" s="90">
        <v>36170</v>
      </c>
      <c r="B237" s="20">
        <v>0.125</v>
      </c>
      <c r="D237">
        <v>39.019999999999996</v>
      </c>
      <c r="E237" t="str">
        <f t="shared" si="42"/>
        <v>SUNDAY</v>
      </c>
      <c r="F237" t="e">
        <f t="shared" si="43"/>
        <v>#N/A</v>
      </c>
      <c r="G237" s="74">
        <v>27769</v>
      </c>
      <c r="H237" s="77">
        <v>0.125</v>
      </c>
      <c r="J237">
        <v>15.98</v>
      </c>
      <c r="M237" s="74">
        <v>37631</v>
      </c>
      <c r="N237" s="77">
        <v>0.125</v>
      </c>
      <c r="P237">
        <v>39.200000000000003</v>
      </c>
      <c r="S237" s="74">
        <v>36170</v>
      </c>
      <c r="T237" s="77">
        <v>0.125</v>
      </c>
      <c r="V237">
        <v>26.96</v>
      </c>
      <c r="X237" s="42"/>
      <c r="AB237">
        <v>32.6</v>
      </c>
      <c r="AC237">
        <v>42.08</v>
      </c>
      <c r="AE237" s="74"/>
      <c r="AF237" s="77"/>
      <c r="AH237" s="497">
        <v>33.799999999999997</v>
      </c>
      <c r="AJ237" s="42"/>
      <c r="AK237" s="74"/>
      <c r="AL237" s="77"/>
      <c r="AN237" s="497">
        <v>30.02</v>
      </c>
      <c r="AP237" s="42"/>
      <c r="AQ237" s="74"/>
      <c r="AR237" s="77"/>
      <c r="AT237" s="497">
        <v>10.039999999999999</v>
      </c>
      <c r="AV237" s="42"/>
      <c r="AW237" s="74"/>
      <c r="AX237" s="77"/>
      <c r="BA237" s="497">
        <v>18.68</v>
      </c>
      <c r="BB237" s="42"/>
      <c r="BC237" s="74"/>
      <c r="BD237" s="77"/>
      <c r="BF237">
        <v>12.02</v>
      </c>
      <c r="BH237" s="42"/>
      <c r="BI237" s="74"/>
      <c r="BJ237" s="77"/>
      <c r="BL237" s="497">
        <v>9.68</v>
      </c>
      <c r="BN237" s="42"/>
      <c r="BO237" s="74"/>
      <c r="BP237" s="77"/>
      <c r="BR237" s="497">
        <v>35.06</v>
      </c>
      <c r="BT237" s="42"/>
    </row>
    <row r="238" spans="1:72" x14ac:dyDescent="0.25">
      <c r="A238" s="90">
        <v>36170</v>
      </c>
      <c r="B238" s="20">
        <v>0.16666666666666666</v>
      </c>
      <c r="D238">
        <v>39.019999999999996</v>
      </c>
      <c r="E238" t="str">
        <f t="shared" si="42"/>
        <v>SUNDAY</v>
      </c>
      <c r="F238" t="e">
        <f t="shared" si="43"/>
        <v>#N/A</v>
      </c>
      <c r="G238" s="74">
        <v>27769</v>
      </c>
      <c r="H238" s="77">
        <v>0.16666666666666666</v>
      </c>
      <c r="J238">
        <v>15.98</v>
      </c>
      <c r="M238" s="74">
        <v>37631</v>
      </c>
      <c r="N238" s="77">
        <v>0.16666666666666666</v>
      </c>
      <c r="P238">
        <v>37.4</v>
      </c>
      <c r="S238" s="74">
        <v>36170</v>
      </c>
      <c r="T238" s="77">
        <v>0.16666666666666666</v>
      </c>
      <c r="V238">
        <v>26.96</v>
      </c>
      <c r="X238" s="42"/>
      <c r="AB238">
        <v>32.299999999999997</v>
      </c>
      <c r="AC238">
        <v>42.08</v>
      </c>
      <c r="AE238" s="74"/>
      <c r="AF238" s="77"/>
      <c r="AH238" s="497">
        <v>33.799999999999997</v>
      </c>
      <c r="AJ238" s="42"/>
      <c r="AK238" s="74"/>
      <c r="AL238" s="77"/>
      <c r="AN238" s="497">
        <v>30.02</v>
      </c>
      <c r="AP238" s="42"/>
      <c r="AQ238" s="74"/>
      <c r="AR238" s="77"/>
      <c r="AT238" s="497">
        <v>8.9599999999999973</v>
      </c>
      <c r="AV238" s="42"/>
      <c r="AW238" s="74"/>
      <c r="AX238" s="77"/>
      <c r="BA238" s="497">
        <v>17.96</v>
      </c>
      <c r="BB238" s="42"/>
      <c r="BC238" s="74"/>
      <c r="BD238" s="77"/>
      <c r="BF238">
        <v>10.039999999999999</v>
      </c>
      <c r="BH238" s="42"/>
      <c r="BI238" s="74"/>
      <c r="BJ238" s="77"/>
      <c r="BL238" s="497">
        <v>8.9599999999999973</v>
      </c>
      <c r="BN238" s="42"/>
      <c r="BO238" s="74"/>
      <c r="BP238" s="77"/>
      <c r="BR238" s="497">
        <v>35.06</v>
      </c>
      <c r="BT238" s="42"/>
    </row>
    <row r="239" spans="1:72" x14ac:dyDescent="0.25">
      <c r="A239" s="90">
        <v>36170</v>
      </c>
      <c r="B239" s="20">
        <v>0.20833333333333334</v>
      </c>
      <c r="D239">
        <v>37.94</v>
      </c>
      <c r="E239" t="str">
        <f t="shared" si="42"/>
        <v>SUNDAY</v>
      </c>
      <c r="F239" t="e">
        <f t="shared" si="43"/>
        <v>#N/A</v>
      </c>
      <c r="G239" s="74">
        <v>27769</v>
      </c>
      <c r="H239" s="77">
        <v>0.20833333333333334</v>
      </c>
      <c r="J239">
        <v>15.98</v>
      </c>
      <c r="M239" s="74">
        <v>37631</v>
      </c>
      <c r="N239" s="77">
        <v>0.20833333333333334</v>
      </c>
      <c r="P239">
        <v>37.4</v>
      </c>
      <c r="S239" s="74">
        <v>36170</v>
      </c>
      <c r="T239" s="77">
        <v>0.20833333333333334</v>
      </c>
      <c r="V239">
        <v>26.060000000000002</v>
      </c>
      <c r="X239" s="42"/>
      <c r="AB239">
        <v>32.1</v>
      </c>
      <c r="AC239">
        <v>42.08</v>
      </c>
      <c r="AE239" s="74"/>
      <c r="AF239" s="77"/>
      <c r="AH239" s="497">
        <v>33.799999999999997</v>
      </c>
      <c r="AJ239" s="42"/>
      <c r="AK239" s="74"/>
      <c r="AL239" s="77"/>
      <c r="AN239" s="497">
        <v>30.02</v>
      </c>
      <c r="AP239" s="42"/>
      <c r="AQ239" s="74"/>
      <c r="AR239" s="77"/>
      <c r="AT239" s="497">
        <v>8.0599999999999987</v>
      </c>
      <c r="AV239" s="42"/>
      <c r="AW239" s="74"/>
      <c r="AX239" s="77"/>
      <c r="BA239" s="497">
        <v>17.240000000000002</v>
      </c>
      <c r="BB239" s="42"/>
      <c r="BC239" s="74"/>
      <c r="BD239" s="77"/>
      <c r="BF239">
        <v>8.0599999999999987</v>
      </c>
      <c r="BH239" s="42"/>
      <c r="BI239" s="74"/>
      <c r="BJ239" s="77"/>
      <c r="BL239" s="497">
        <v>9.32</v>
      </c>
      <c r="BN239" s="42"/>
      <c r="BO239" s="74"/>
      <c r="BP239" s="77"/>
      <c r="BR239" s="497">
        <v>33.979999999999997</v>
      </c>
      <c r="BT239" s="42"/>
    </row>
    <row r="240" spans="1:72" x14ac:dyDescent="0.25">
      <c r="A240" s="90">
        <v>36170</v>
      </c>
      <c r="B240" s="20">
        <v>0.25</v>
      </c>
      <c r="D240">
        <v>37.94</v>
      </c>
      <c r="E240" t="str">
        <f t="shared" si="42"/>
        <v>SUNDAY</v>
      </c>
      <c r="F240" t="e">
        <f t="shared" si="43"/>
        <v>#N/A</v>
      </c>
      <c r="G240" s="74">
        <v>27769</v>
      </c>
      <c r="H240" s="77">
        <v>0.25</v>
      </c>
      <c r="J240">
        <v>15.98</v>
      </c>
      <c r="M240" s="74">
        <v>37631</v>
      </c>
      <c r="N240" s="77">
        <v>0.25</v>
      </c>
      <c r="P240">
        <v>37.4</v>
      </c>
      <c r="S240" s="74">
        <v>36170</v>
      </c>
      <c r="T240" s="77">
        <v>0.25</v>
      </c>
      <c r="V240">
        <v>26.060000000000002</v>
      </c>
      <c r="X240" s="42"/>
      <c r="AB240">
        <v>31.9</v>
      </c>
      <c r="AC240">
        <v>42.980000000000004</v>
      </c>
      <c r="AE240" s="74"/>
      <c r="AF240" s="77"/>
      <c r="AH240" s="497">
        <v>35.6</v>
      </c>
      <c r="AJ240" s="42"/>
      <c r="AK240" s="74"/>
      <c r="AL240" s="77"/>
      <c r="AN240" s="497">
        <v>30.02</v>
      </c>
      <c r="AP240" s="42"/>
      <c r="AQ240" s="74"/>
      <c r="AR240" s="77"/>
      <c r="AT240" s="497">
        <v>6.98</v>
      </c>
      <c r="AV240" s="42"/>
      <c r="AW240" s="74"/>
      <c r="AX240" s="77"/>
      <c r="BA240" s="497">
        <v>16.7</v>
      </c>
      <c r="BB240" s="42"/>
      <c r="BC240" s="74"/>
      <c r="BD240" s="77"/>
      <c r="BF240">
        <v>8.0599999999999987</v>
      </c>
      <c r="BH240" s="42"/>
      <c r="BI240" s="74"/>
      <c r="BJ240" s="77"/>
      <c r="BL240" s="497">
        <v>9.68</v>
      </c>
      <c r="BN240" s="42"/>
      <c r="BO240" s="74"/>
      <c r="BP240" s="77"/>
      <c r="BR240" s="497">
        <v>33.08</v>
      </c>
      <c r="BT240" s="42"/>
    </row>
    <row r="241" spans="1:72" x14ac:dyDescent="0.25">
      <c r="A241" s="90">
        <v>36170</v>
      </c>
      <c r="B241" s="20">
        <v>0.29166666666666669</v>
      </c>
      <c r="D241">
        <v>37.94</v>
      </c>
      <c r="E241" t="str">
        <f t="shared" si="42"/>
        <v>SUNDAY</v>
      </c>
      <c r="F241" t="e">
        <f t="shared" si="43"/>
        <v>#N/A</v>
      </c>
      <c r="G241" s="74">
        <v>27769</v>
      </c>
      <c r="H241" s="77">
        <v>0.29166666666666669</v>
      </c>
      <c r="J241">
        <v>15.98</v>
      </c>
      <c r="M241" s="74">
        <v>37631</v>
      </c>
      <c r="N241" s="77">
        <v>0.29166666666666669</v>
      </c>
      <c r="P241">
        <v>37.4</v>
      </c>
      <c r="S241" s="74">
        <v>36170</v>
      </c>
      <c r="T241" s="77">
        <v>0.29166666666666669</v>
      </c>
      <c r="V241">
        <v>24.98</v>
      </c>
      <c r="X241" s="42"/>
      <c r="AB241">
        <v>31.8</v>
      </c>
      <c r="AC241">
        <v>42.980000000000004</v>
      </c>
      <c r="AE241" s="74"/>
      <c r="AF241" s="77"/>
      <c r="AH241" s="497">
        <v>35.6</v>
      </c>
      <c r="AJ241" s="42"/>
      <c r="AK241" s="74"/>
      <c r="AL241" s="77"/>
      <c r="AN241" s="497">
        <v>30.02</v>
      </c>
      <c r="AP241" s="42"/>
      <c r="AQ241" s="74"/>
      <c r="AR241" s="77"/>
      <c r="AT241" s="497">
        <v>6.98</v>
      </c>
      <c r="AV241" s="42"/>
      <c r="AW241" s="74"/>
      <c r="AX241" s="77"/>
      <c r="BA241" s="497">
        <v>15.98</v>
      </c>
      <c r="BB241" s="42"/>
      <c r="BC241" s="74"/>
      <c r="BD241" s="77"/>
      <c r="BF241">
        <v>10.940000000000001</v>
      </c>
      <c r="BH241" s="42"/>
      <c r="BI241" s="74"/>
      <c r="BJ241" s="77"/>
      <c r="BL241" s="497">
        <v>10.039999999999999</v>
      </c>
      <c r="BN241" s="42"/>
      <c r="BO241" s="74"/>
      <c r="BP241" s="77"/>
      <c r="BR241" s="497">
        <v>30.92</v>
      </c>
      <c r="BT241" s="42"/>
    </row>
    <row r="242" spans="1:72" x14ac:dyDescent="0.25">
      <c r="A242" s="90">
        <v>36170</v>
      </c>
      <c r="B242" s="20">
        <v>0.33333333333333331</v>
      </c>
      <c r="D242">
        <v>37.94</v>
      </c>
      <c r="E242" t="str">
        <f t="shared" si="42"/>
        <v>SUNDAY</v>
      </c>
      <c r="F242" t="e">
        <f t="shared" si="43"/>
        <v>#N/A</v>
      </c>
      <c r="G242" s="74">
        <v>27769</v>
      </c>
      <c r="H242" s="77">
        <v>0.33333333333333331</v>
      </c>
      <c r="J242">
        <v>15.98</v>
      </c>
      <c r="M242" s="74">
        <v>37631</v>
      </c>
      <c r="N242" s="77">
        <v>0.33333333333333331</v>
      </c>
      <c r="P242">
        <v>37.4</v>
      </c>
      <c r="S242" s="74">
        <v>36170</v>
      </c>
      <c r="T242" s="77">
        <v>0.33333333333333331</v>
      </c>
      <c r="V242">
        <v>24.08</v>
      </c>
      <c r="X242" s="42"/>
      <c r="AB242">
        <v>31.8</v>
      </c>
      <c r="AC242">
        <v>44.06</v>
      </c>
      <c r="AE242" s="74"/>
      <c r="AF242" s="77"/>
      <c r="AH242" s="497">
        <v>35.6</v>
      </c>
      <c r="AJ242" s="42"/>
      <c r="AK242" s="74"/>
      <c r="AL242" s="77"/>
      <c r="AN242" s="497">
        <v>30.02</v>
      </c>
      <c r="AP242" s="42"/>
      <c r="AQ242" s="74"/>
      <c r="AR242" s="77"/>
      <c r="AT242" s="497">
        <v>8.0599999999999987</v>
      </c>
      <c r="AV242" s="42"/>
      <c r="AW242" s="74"/>
      <c r="AX242" s="77"/>
      <c r="BA242" s="497">
        <v>17.600000000000001</v>
      </c>
      <c r="BB242" s="42"/>
      <c r="BC242" s="74"/>
      <c r="BD242" s="77"/>
      <c r="BF242">
        <v>14</v>
      </c>
      <c r="BH242" s="42"/>
      <c r="BI242" s="74"/>
      <c r="BJ242" s="77"/>
      <c r="BL242" s="497">
        <v>13.099999999999998</v>
      </c>
      <c r="BN242" s="42"/>
      <c r="BO242" s="74"/>
      <c r="BP242" s="77"/>
      <c r="BR242" s="497">
        <v>32</v>
      </c>
      <c r="BT242" s="42"/>
    </row>
    <row r="243" spans="1:72" x14ac:dyDescent="0.25">
      <c r="A243" s="90">
        <v>36170</v>
      </c>
      <c r="B243" s="20">
        <v>0.375</v>
      </c>
      <c r="D243">
        <v>39.019999999999996</v>
      </c>
      <c r="E243" t="str">
        <f t="shared" si="42"/>
        <v>SUNDAY</v>
      </c>
      <c r="F243" t="e">
        <f t="shared" si="43"/>
        <v>#N/A</v>
      </c>
      <c r="G243" s="74">
        <v>27769</v>
      </c>
      <c r="H243" s="77">
        <v>0.375</v>
      </c>
      <c r="J243">
        <v>17.059999999999999</v>
      </c>
      <c r="M243" s="74">
        <v>37631</v>
      </c>
      <c r="N243" s="77">
        <v>0.375</v>
      </c>
      <c r="P243">
        <v>39.200000000000003</v>
      </c>
      <c r="S243" s="74">
        <v>36170</v>
      </c>
      <c r="T243" s="77">
        <v>0.375</v>
      </c>
      <c r="V243">
        <v>26.060000000000002</v>
      </c>
      <c r="X243" s="42"/>
      <c r="AB243">
        <v>32</v>
      </c>
      <c r="AC243">
        <v>46.04</v>
      </c>
      <c r="AE243" s="74"/>
      <c r="AF243" s="77"/>
      <c r="AH243" s="497">
        <v>37.4</v>
      </c>
      <c r="AJ243" s="42"/>
      <c r="AK243" s="74"/>
      <c r="AL243" s="77"/>
      <c r="AN243" s="497">
        <v>30.02</v>
      </c>
      <c r="AP243" s="42"/>
      <c r="AQ243" s="74"/>
      <c r="AR243" s="77"/>
      <c r="AT243" s="497">
        <v>8.9599999999999973</v>
      </c>
      <c r="AV243" s="42"/>
      <c r="AW243" s="74"/>
      <c r="AX243" s="77"/>
      <c r="BA243" s="497">
        <v>19.399999999999999</v>
      </c>
      <c r="BB243" s="42"/>
      <c r="BC243" s="74"/>
      <c r="BD243" s="77"/>
      <c r="BF243">
        <v>15.079999999999998</v>
      </c>
      <c r="BH243" s="42"/>
      <c r="BI243" s="74"/>
      <c r="BJ243" s="77"/>
      <c r="BL243" s="497">
        <v>15.98</v>
      </c>
      <c r="BN243" s="42"/>
      <c r="BO243" s="74"/>
      <c r="BP243" s="77"/>
      <c r="BR243" s="497">
        <v>33.08</v>
      </c>
      <c r="BT243" s="42"/>
    </row>
    <row r="244" spans="1:72" x14ac:dyDescent="0.25">
      <c r="A244" s="90">
        <v>36170</v>
      </c>
      <c r="B244" s="20">
        <v>0.41666666666666669</v>
      </c>
      <c r="D244">
        <v>39.92</v>
      </c>
      <c r="E244" t="str">
        <f t="shared" si="42"/>
        <v>SUNDAY</v>
      </c>
      <c r="F244" t="e">
        <f t="shared" si="43"/>
        <v>#N/A</v>
      </c>
      <c r="G244" s="74">
        <v>27769</v>
      </c>
      <c r="H244" s="77">
        <v>0.41666666666666669</v>
      </c>
      <c r="J244">
        <v>17.96</v>
      </c>
      <c r="M244" s="74">
        <v>37631</v>
      </c>
      <c r="N244" s="77">
        <v>0.41666666666666669</v>
      </c>
      <c r="P244">
        <v>39.200000000000003</v>
      </c>
      <c r="S244" s="74">
        <v>36170</v>
      </c>
      <c r="T244" s="77">
        <v>0.41666666666666669</v>
      </c>
      <c r="V244">
        <v>26.060000000000002</v>
      </c>
      <c r="X244" s="42"/>
      <c r="AB244">
        <v>33.299999999999997</v>
      </c>
      <c r="AC244">
        <v>46.94</v>
      </c>
      <c r="AE244" s="74"/>
      <c r="AF244" s="77"/>
      <c r="AH244" s="497">
        <v>37.4</v>
      </c>
      <c r="AJ244" s="42"/>
      <c r="AK244" s="74"/>
      <c r="AL244" s="77"/>
      <c r="AN244" s="497">
        <v>30.92</v>
      </c>
      <c r="AP244" s="42"/>
      <c r="AQ244" s="74"/>
      <c r="AR244" s="77"/>
      <c r="AT244" s="497">
        <v>12.02</v>
      </c>
      <c r="AV244" s="42"/>
      <c r="AW244" s="74"/>
      <c r="AX244" s="77"/>
      <c r="BA244" s="497">
        <v>21.02</v>
      </c>
      <c r="BB244" s="42"/>
      <c r="BC244" s="74"/>
      <c r="BD244" s="77"/>
      <c r="BF244">
        <v>19.939999999999998</v>
      </c>
      <c r="BH244" s="42"/>
      <c r="BI244" s="74"/>
      <c r="BJ244" s="77"/>
      <c r="BL244" s="497">
        <v>19.04</v>
      </c>
      <c r="BN244" s="42"/>
      <c r="BO244" s="74"/>
      <c r="BP244" s="77"/>
      <c r="BR244" s="497">
        <v>33.08</v>
      </c>
      <c r="BT244" s="42"/>
    </row>
    <row r="245" spans="1:72" x14ac:dyDescent="0.25">
      <c r="A245" s="90">
        <v>36170</v>
      </c>
      <c r="B245" s="20">
        <v>0.45833333333333331</v>
      </c>
      <c r="D245">
        <v>39.92</v>
      </c>
      <c r="E245" t="str">
        <f t="shared" si="42"/>
        <v>SUNDAY</v>
      </c>
      <c r="F245" t="e">
        <f t="shared" si="43"/>
        <v>#N/A</v>
      </c>
      <c r="G245" s="74">
        <v>27769</v>
      </c>
      <c r="H245" s="77">
        <v>0.45833333333333331</v>
      </c>
      <c r="J245">
        <v>19.939999999999998</v>
      </c>
      <c r="M245" s="74">
        <v>37631</v>
      </c>
      <c r="N245" s="77">
        <v>0.45833333333333331</v>
      </c>
      <c r="P245">
        <v>35.6</v>
      </c>
      <c r="S245" s="74">
        <v>36170</v>
      </c>
      <c r="T245" s="77">
        <v>0.45833333333333331</v>
      </c>
      <c r="V245">
        <v>26.060000000000002</v>
      </c>
      <c r="X245" s="42"/>
      <c r="AB245">
        <v>34.700000000000003</v>
      </c>
      <c r="AC245">
        <v>48.019999999999996</v>
      </c>
      <c r="AE245" s="74"/>
      <c r="AF245" s="77"/>
      <c r="AH245" s="497">
        <v>37.4</v>
      </c>
      <c r="AJ245" s="42"/>
      <c r="AK245" s="74"/>
      <c r="AL245" s="77"/>
      <c r="AN245" s="497">
        <v>32</v>
      </c>
      <c r="AP245" s="42"/>
      <c r="AQ245" s="74"/>
      <c r="AR245" s="77"/>
      <c r="AT245" s="497">
        <v>12.920000000000002</v>
      </c>
      <c r="AV245" s="42"/>
      <c r="AW245" s="74"/>
      <c r="AX245" s="77"/>
      <c r="BA245" s="497">
        <v>23.72</v>
      </c>
      <c r="BB245" s="42"/>
      <c r="BC245" s="74"/>
      <c r="BD245" s="77"/>
      <c r="BF245">
        <v>24.98</v>
      </c>
      <c r="BH245" s="42"/>
      <c r="BI245" s="74"/>
      <c r="BJ245" s="77"/>
      <c r="BL245" s="497">
        <v>21.38</v>
      </c>
      <c r="BN245" s="42"/>
      <c r="BO245" s="74"/>
      <c r="BP245" s="77"/>
      <c r="BR245" s="497">
        <v>33.08</v>
      </c>
      <c r="BT245" s="42"/>
    </row>
    <row r="246" spans="1:72" x14ac:dyDescent="0.25">
      <c r="A246" s="90">
        <v>36170</v>
      </c>
      <c r="B246" s="20">
        <v>0.5</v>
      </c>
      <c r="D246">
        <v>39.92</v>
      </c>
      <c r="E246" t="str">
        <f t="shared" si="42"/>
        <v>SUNDAY</v>
      </c>
      <c r="F246" t="e">
        <f t="shared" si="43"/>
        <v>#N/A</v>
      </c>
      <c r="G246" s="74">
        <v>27769</v>
      </c>
      <c r="H246" s="77">
        <v>0.5</v>
      </c>
      <c r="J246">
        <v>21.92</v>
      </c>
      <c r="M246" s="74">
        <v>37631</v>
      </c>
      <c r="N246" s="77">
        <v>0.5</v>
      </c>
      <c r="P246">
        <v>33.799999999999997</v>
      </c>
      <c r="S246" s="74">
        <v>36170</v>
      </c>
      <c r="T246" s="77">
        <v>0.5</v>
      </c>
      <c r="V246">
        <v>28.04</v>
      </c>
      <c r="X246" s="42"/>
      <c r="AB246">
        <v>35.9</v>
      </c>
      <c r="AC246">
        <v>46.94</v>
      </c>
      <c r="AE246" s="74"/>
      <c r="AF246" s="77"/>
      <c r="AH246" s="497">
        <v>39.200000000000003</v>
      </c>
      <c r="AJ246" s="42"/>
      <c r="AK246" s="74"/>
      <c r="AL246" s="77"/>
      <c r="AN246" s="497">
        <v>32</v>
      </c>
      <c r="AP246" s="42"/>
      <c r="AQ246" s="74"/>
      <c r="AR246" s="77"/>
      <c r="AT246" s="497">
        <v>15.079999999999998</v>
      </c>
      <c r="AV246" s="42"/>
      <c r="AW246" s="74"/>
      <c r="AX246" s="77"/>
      <c r="BA246" s="497">
        <v>26.24</v>
      </c>
      <c r="BB246" s="42"/>
      <c r="BC246" s="74"/>
      <c r="BD246" s="77"/>
      <c r="BF246">
        <v>26.96</v>
      </c>
      <c r="BH246" s="42"/>
      <c r="BI246" s="74"/>
      <c r="BJ246" s="77"/>
      <c r="BL246" s="497">
        <v>23.72</v>
      </c>
      <c r="BN246" s="42"/>
      <c r="BO246" s="74"/>
      <c r="BP246" s="77"/>
      <c r="BR246" s="497">
        <v>33.08</v>
      </c>
      <c r="BT246" s="42"/>
    </row>
    <row r="247" spans="1:72" x14ac:dyDescent="0.25">
      <c r="A247" s="90">
        <v>36170</v>
      </c>
      <c r="B247" s="20">
        <v>0.54166666666666663</v>
      </c>
      <c r="D247">
        <v>39.92</v>
      </c>
      <c r="E247" t="str">
        <f t="shared" si="42"/>
        <v>SUNDAY</v>
      </c>
      <c r="F247" t="e">
        <f t="shared" si="43"/>
        <v>#N/A</v>
      </c>
      <c r="G247" s="74">
        <v>27769</v>
      </c>
      <c r="H247" s="77">
        <v>0.54166666666666663</v>
      </c>
      <c r="J247">
        <v>24.08</v>
      </c>
      <c r="M247" s="74">
        <v>37631</v>
      </c>
      <c r="N247" s="77">
        <v>0.54166666666666663</v>
      </c>
      <c r="P247">
        <v>35.6</v>
      </c>
      <c r="S247" s="74">
        <v>36170</v>
      </c>
      <c r="T247" s="77">
        <v>0.54166666666666663</v>
      </c>
      <c r="V247">
        <v>28.94</v>
      </c>
      <c r="X247" s="42"/>
      <c r="AB247">
        <v>36.9</v>
      </c>
      <c r="AC247">
        <v>46.94</v>
      </c>
      <c r="AE247" s="74"/>
      <c r="AF247" s="77"/>
      <c r="AH247" s="497">
        <v>39.200000000000003</v>
      </c>
      <c r="AJ247" s="42"/>
      <c r="AK247" s="74"/>
      <c r="AL247" s="77"/>
      <c r="AN247" s="497">
        <v>30.92</v>
      </c>
      <c r="AP247" s="42"/>
      <c r="AQ247" s="74"/>
      <c r="AR247" s="77"/>
      <c r="AT247" s="497">
        <v>15.98</v>
      </c>
      <c r="AV247" s="42"/>
      <c r="AW247" s="74"/>
      <c r="AX247" s="77"/>
      <c r="BA247" s="497">
        <v>28.94</v>
      </c>
      <c r="BB247" s="42"/>
      <c r="BC247" s="74"/>
      <c r="BD247" s="77"/>
      <c r="BF247">
        <v>30.02</v>
      </c>
      <c r="BH247" s="42"/>
      <c r="BI247" s="74"/>
      <c r="BJ247" s="77"/>
      <c r="BL247" s="497">
        <v>26.060000000000002</v>
      </c>
      <c r="BN247" s="42"/>
      <c r="BO247" s="74"/>
      <c r="BP247" s="77"/>
      <c r="BR247" s="497">
        <v>33.08</v>
      </c>
      <c r="BT247" s="42"/>
    </row>
    <row r="248" spans="1:72" x14ac:dyDescent="0.25">
      <c r="A248" s="90">
        <v>36170</v>
      </c>
      <c r="B248" s="20">
        <v>0.58333333333333337</v>
      </c>
      <c r="D248">
        <v>39.92</v>
      </c>
      <c r="E248" t="str">
        <f t="shared" si="42"/>
        <v>SUNDAY</v>
      </c>
      <c r="F248" t="e">
        <f t="shared" si="43"/>
        <v>#N/A</v>
      </c>
      <c r="G248" s="74">
        <v>27769</v>
      </c>
      <c r="H248" s="77">
        <v>0.58333333333333337</v>
      </c>
      <c r="J248">
        <v>24.08</v>
      </c>
      <c r="M248" s="74">
        <v>37631</v>
      </c>
      <c r="N248" s="77">
        <v>0.58333333333333337</v>
      </c>
      <c r="P248">
        <v>35.6</v>
      </c>
      <c r="S248" s="74">
        <v>36170</v>
      </c>
      <c r="T248" s="77">
        <v>0.58333333333333337</v>
      </c>
      <c r="V248">
        <v>28.04</v>
      </c>
      <c r="X248" s="42"/>
      <c r="AB248">
        <v>37.6</v>
      </c>
      <c r="AC248">
        <v>46.94</v>
      </c>
      <c r="AE248" s="74"/>
      <c r="AF248" s="77"/>
      <c r="AH248" s="497">
        <v>41</v>
      </c>
      <c r="AJ248" s="42"/>
      <c r="AK248" s="74"/>
      <c r="AL248" s="77"/>
      <c r="AN248" s="497">
        <v>32</v>
      </c>
      <c r="AP248" s="42"/>
      <c r="AQ248" s="74"/>
      <c r="AR248" s="77"/>
      <c r="AT248" s="497">
        <v>17.059999999999999</v>
      </c>
      <c r="AV248" s="42"/>
      <c r="AW248" s="74"/>
      <c r="AX248" s="77"/>
      <c r="BA248" s="497">
        <v>29.3</v>
      </c>
      <c r="BB248" s="42"/>
      <c r="BC248" s="74"/>
      <c r="BD248" s="77"/>
      <c r="BF248">
        <v>28.94</v>
      </c>
      <c r="BH248" s="42"/>
      <c r="BI248" s="74"/>
      <c r="BJ248" s="77"/>
      <c r="BL248" s="497">
        <v>26.96</v>
      </c>
      <c r="BN248" s="42"/>
      <c r="BO248" s="74"/>
      <c r="BP248" s="77"/>
      <c r="BR248" s="497">
        <v>30.92</v>
      </c>
      <c r="BT248" s="42"/>
    </row>
    <row r="249" spans="1:72" x14ac:dyDescent="0.25">
      <c r="A249" s="90">
        <v>36170</v>
      </c>
      <c r="B249" s="20">
        <v>0.625</v>
      </c>
      <c r="D249">
        <v>39.92</v>
      </c>
      <c r="E249" t="str">
        <f t="shared" si="42"/>
        <v>SUNDAY</v>
      </c>
      <c r="F249" t="e">
        <f t="shared" si="43"/>
        <v>#N/A</v>
      </c>
      <c r="G249" s="74">
        <v>27769</v>
      </c>
      <c r="H249" s="77">
        <v>0.625</v>
      </c>
      <c r="J249">
        <v>24.98</v>
      </c>
      <c r="M249" s="74">
        <v>37631</v>
      </c>
      <c r="N249" s="77">
        <v>0.625</v>
      </c>
      <c r="P249">
        <v>33.799999999999997</v>
      </c>
      <c r="S249" s="74">
        <v>36170</v>
      </c>
      <c r="T249" s="77">
        <v>0.625</v>
      </c>
      <c r="V249">
        <v>28.94</v>
      </c>
      <c r="X249" s="42"/>
      <c r="AB249">
        <v>38.1</v>
      </c>
      <c r="AC249">
        <v>50</v>
      </c>
      <c r="AE249" s="74"/>
      <c r="AF249" s="77"/>
      <c r="AH249" s="497">
        <v>42.8</v>
      </c>
      <c r="AJ249" s="42"/>
      <c r="AK249" s="74"/>
      <c r="AL249" s="77"/>
      <c r="AN249" s="497">
        <v>32</v>
      </c>
      <c r="AP249" s="42"/>
      <c r="AQ249" s="74"/>
      <c r="AR249" s="77"/>
      <c r="AT249" s="497">
        <v>17.96</v>
      </c>
      <c r="AV249" s="42"/>
      <c r="AW249" s="74"/>
      <c r="AX249" s="77"/>
      <c r="BA249" s="497">
        <v>29.66</v>
      </c>
      <c r="BB249" s="42"/>
      <c r="BC249" s="74"/>
      <c r="BD249" s="77"/>
      <c r="BF249">
        <v>30.92</v>
      </c>
      <c r="BH249" s="42"/>
      <c r="BI249" s="74"/>
      <c r="BJ249" s="77"/>
      <c r="BL249" s="497">
        <v>28.04</v>
      </c>
      <c r="BN249" s="42"/>
      <c r="BO249" s="74"/>
      <c r="BP249" s="77"/>
      <c r="BR249" s="497">
        <v>28.94</v>
      </c>
      <c r="BT249" s="42"/>
    </row>
    <row r="250" spans="1:72" x14ac:dyDescent="0.25">
      <c r="A250" s="90">
        <v>36170</v>
      </c>
      <c r="B250" s="20">
        <v>0.66666666666666663</v>
      </c>
      <c r="D250">
        <v>39.92</v>
      </c>
      <c r="E250" t="str">
        <f t="shared" si="42"/>
        <v>SUNDAY</v>
      </c>
      <c r="F250" t="e">
        <f t="shared" si="43"/>
        <v>#N/A</v>
      </c>
      <c r="G250" s="74">
        <v>27769</v>
      </c>
      <c r="H250" s="77">
        <v>0.66666666666666663</v>
      </c>
      <c r="J250">
        <v>24.98</v>
      </c>
      <c r="M250" s="74">
        <v>37631</v>
      </c>
      <c r="N250" s="77">
        <v>0.66666666666666663</v>
      </c>
      <c r="P250">
        <v>32</v>
      </c>
      <c r="S250" s="74">
        <v>36170</v>
      </c>
      <c r="T250" s="77">
        <v>0.66666666666666663</v>
      </c>
      <c r="V250">
        <v>28.04</v>
      </c>
      <c r="X250" s="42"/>
      <c r="AB250">
        <v>38.200000000000003</v>
      </c>
      <c r="AC250">
        <v>51.980000000000004</v>
      </c>
      <c r="AE250" s="74"/>
      <c r="AF250" s="77"/>
      <c r="AH250" s="497">
        <v>42.8</v>
      </c>
      <c r="AJ250" s="42"/>
      <c r="AK250" s="74"/>
      <c r="AL250" s="77"/>
      <c r="AN250" s="497">
        <v>30.92</v>
      </c>
      <c r="AP250" s="42"/>
      <c r="AQ250" s="74"/>
      <c r="AR250" s="77"/>
      <c r="AT250" s="497">
        <v>17.059999999999999</v>
      </c>
      <c r="AV250" s="42"/>
      <c r="AW250" s="74"/>
      <c r="AX250" s="77"/>
      <c r="BA250" s="497">
        <v>30.02</v>
      </c>
      <c r="BB250" s="42"/>
      <c r="BC250" s="74"/>
      <c r="BD250" s="77"/>
      <c r="BF250">
        <v>30.92</v>
      </c>
      <c r="BH250" s="42"/>
      <c r="BI250" s="74"/>
      <c r="BJ250" s="77"/>
      <c r="BL250" s="497">
        <v>28.94</v>
      </c>
      <c r="BN250" s="42"/>
      <c r="BO250" s="74"/>
      <c r="BP250" s="77"/>
      <c r="BR250" s="497">
        <v>26.96</v>
      </c>
      <c r="BT250" s="42"/>
    </row>
    <row r="251" spans="1:72" x14ac:dyDescent="0.25">
      <c r="A251" s="90">
        <v>36170</v>
      </c>
      <c r="B251" s="20">
        <v>0.70833333333333337</v>
      </c>
      <c r="D251">
        <v>39.92</v>
      </c>
      <c r="E251" t="str">
        <f t="shared" si="42"/>
        <v>SUNDAY</v>
      </c>
      <c r="F251" t="e">
        <f t="shared" si="43"/>
        <v>#N/A</v>
      </c>
      <c r="G251" s="74">
        <v>27769</v>
      </c>
      <c r="H251" s="77">
        <v>0.70833333333333337</v>
      </c>
      <c r="J251">
        <v>24.98</v>
      </c>
      <c r="M251" s="74">
        <v>37631</v>
      </c>
      <c r="N251" s="77">
        <v>0.70833333333333337</v>
      </c>
      <c r="P251">
        <v>30.2</v>
      </c>
      <c r="S251" s="74">
        <v>36170</v>
      </c>
      <c r="T251" s="77">
        <v>0.70833333333333337</v>
      </c>
      <c r="V251">
        <v>26.96</v>
      </c>
      <c r="X251" s="42"/>
      <c r="AB251">
        <v>37.6</v>
      </c>
      <c r="AC251">
        <v>55.040000000000006</v>
      </c>
      <c r="AE251" s="74"/>
      <c r="AF251" s="77"/>
      <c r="AH251" s="497">
        <v>41</v>
      </c>
      <c r="AJ251" s="42"/>
      <c r="AK251" s="74"/>
      <c r="AL251" s="77"/>
      <c r="AN251" s="497">
        <v>30.02</v>
      </c>
      <c r="AP251" s="42"/>
      <c r="AQ251" s="74"/>
      <c r="AR251" s="77"/>
      <c r="AT251" s="497">
        <v>15.98</v>
      </c>
      <c r="AV251" s="42"/>
      <c r="AW251" s="74"/>
      <c r="AX251" s="77"/>
      <c r="BA251" s="497">
        <v>30.02</v>
      </c>
      <c r="BB251" s="42"/>
      <c r="BC251" s="74"/>
      <c r="BD251" s="77"/>
      <c r="BF251">
        <v>30.92</v>
      </c>
      <c r="BH251" s="42"/>
      <c r="BI251" s="74"/>
      <c r="BJ251" s="77"/>
      <c r="BL251" s="497">
        <v>28.94</v>
      </c>
      <c r="BN251" s="42"/>
      <c r="BO251" s="74"/>
      <c r="BP251" s="77"/>
      <c r="BR251" s="497">
        <v>21.92</v>
      </c>
      <c r="BT251" s="42"/>
    </row>
    <row r="252" spans="1:72" x14ac:dyDescent="0.25">
      <c r="A252" s="90">
        <v>36170</v>
      </c>
      <c r="B252" s="20">
        <v>0.75</v>
      </c>
      <c r="D252">
        <v>37.04</v>
      </c>
      <c r="E252" t="str">
        <f t="shared" si="42"/>
        <v>SUNDAY</v>
      </c>
      <c r="F252" t="e">
        <f t="shared" si="43"/>
        <v>#N/A</v>
      </c>
      <c r="G252" s="74">
        <v>27769</v>
      </c>
      <c r="H252" s="77">
        <v>0.75</v>
      </c>
      <c r="J252">
        <v>24.98</v>
      </c>
      <c r="M252" s="74">
        <v>37631</v>
      </c>
      <c r="N252" s="77">
        <v>0.75</v>
      </c>
      <c r="P252">
        <v>30.2</v>
      </c>
      <c r="S252" s="74">
        <v>36170</v>
      </c>
      <c r="T252" s="77">
        <v>0.75</v>
      </c>
      <c r="V252">
        <v>26.060000000000002</v>
      </c>
      <c r="X252" s="42"/>
      <c r="AB252">
        <v>36.4</v>
      </c>
      <c r="AC252">
        <v>55.040000000000006</v>
      </c>
      <c r="AE252" s="74"/>
      <c r="AF252" s="77"/>
      <c r="AH252" s="497">
        <v>39.200000000000003</v>
      </c>
      <c r="AJ252" s="42"/>
      <c r="AK252" s="74"/>
      <c r="AL252" s="77"/>
      <c r="AN252" s="497">
        <v>28.94</v>
      </c>
      <c r="AP252" s="42"/>
      <c r="AQ252" s="74"/>
      <c r="AR252" s="77"/>
      <c r="AT252" s="497">
        <v>15.98</v>
      </c>
      <c r="AV252" s="42"/>
      <c r="AW252" s="74"/>
      <c r="AX252" s="77"/>
      <c r="BA252" s="497">
        <v>30.02</v>
      </c>
      <c r="BB252" s="42"/>
      <c r="BC252" s="74"/>
      <c r="BD252" s="77"/>
      <c r="BF252">
        <v>28.94</v>
      </c>
      <c r="BH252" s="42"/>
      <c r="BI252" s="74"/>
      <c r="BJ252" s="77"/>
      <c r="BL252" s="497">
        <v>28.94</v>
      </c>
      <c r="BN252" s="42"/>
      <c r="BO252" s="74"/>
      <c r="BP252" s="77"/>
      <c r="BR252" s="497">
        <v>19.939999999999998</v>
      </c>
      <c r="BT252" s="42"/>
    </row>
    <row r="253" spans="1:72" x14ac:dyDescent="0.25">
      <c r="A253" s="90">
        <v>36170</v>
      </c>
      <c r="B253" s="20">
        <v>0.79166666666666663</v>
      </c>
      <c r="D253">
        <v>35.96</v>
      </c>
      <c r="E253" t="str">
        <f t="shared" si="42"/>
        <v>SUNDAY</v>
      </c>
      <c r="F253" t="e">
        <f t="shared" si="43"/>
        <v>#N/A</v>
      </c>
      <c r="G253" s="74">
        <v>27769</v>
      </c>
      <c r="H253" s="77">
        <v>0.79166666666666663</v>
      </c>
      <c r="J253">
        <v>24.98</v>
      </c>
      <c r="M253" s="74">
        <v>37631</v>
      </c>
      <c r="N253" s="77">
        <v>0.79166666666666663</v>
      </c>
      <c r="P253">
        <v>28.4</v>
      </c>
      <c r="S253" s="74">
        <v>36170</v>
      </c>
      <c r="T253" s="77">
        <v>0.79166666666666663</v>
      </c>
      <c r="V253">
        <v>26.060000000000002</v>
      </c>
      <c r="X253" s="42"/>
      <c r="AB253">
        <v>35.799999999999997</v>
      </c>
      <c r="AC253">
        <v>53.96</v>
      </c>
      <c r="AE253" s="74"/>
      <c r="AF253" s="77"/>
      <c r="AH253" s="497">
        <v>39.200000000000003</v>
      </c>
      <c r="AJ253" s="42"/>
      <c r="AK253" s="74"/>
      <c r="AL253" s="77"/>
      <c r="AN253" s="497">
        <v>28.04</v>
      </c>
      <c r="AP253" s="42"/>
      <c r="AQ253" s="74"/>
      <c r="AR253" s="77"/>
      <c r="AT253" s="497">
        <v>14</v>
      </c>
      <c r="AV253" s="42"/>
      <c r="AW253" s="74"/>
      <c r="AX253" s="77"/>
      <c r="BA253" s="497">
        <v>30.02</v>
      </c>
      <c r="BB253" s="42"/>
      <c r="BC253" s="74"/>
      <c r="BD253" s="77"/>
      <c r="BF253">
        <v>28.94</v>
      </c>
      <c r="BH253" s="42"/>
      <c r="BI253" s="74"/>
      <c r="BJ253" s="77"/>
      <c r="BL253" s="497">
        <v>28.94</v>
      </c>
      <c r="BN253" s="42"/>
      <c r="BO253" s="74"/>
      <c r="BP253" s="77"/>
      <c r="BR253" s="497">
        <v>17.96</v>
      </c>
      <c r="BT253" s="42"/>
    </row>
    <row r="254" spans="1:72" x14ac:dyDescent="0.25">
      <c r="A254" s="90">
        <v>36170</v>
      </c>
      <c r="B254" s="20">
        <v>0.83333333333333337</v>
      </c>
      <c r="D254">
        <v>33.979999999999997</v>
      </c>
      <c r="E254" t="str">
        <f t="shared" si="42"/>
        <v>SUNDAY</v>
      </c>
      <c r="F254" t="e">
        <f t="shared" si="43"/>
        <v>#N/A</v>
      </c>
      <c r="G254" s="74">
        <v>27769</v>
      </c>
      <c r="H254" s="77">
        <v>0.83333333333333337</v>
      </c>
      <c r="J254">
        <v>24.08</v>
      </c>
      <c r="M254" s="74">
        <v>37631</v>
      </c>
      <c r="N254" s="77">
        <v>0.83333333333333337</v>
      </c>
      <c r="P254">
        <v>28.4</v>
      </c>
      <c r="S254" s="74">
        <v>36170</v>
      </c>
      <c r="T254" s="77">
        <v>0.83333333333333337</v>
      </c>
      <c r="V254">
        <v>26.060000000000002</v>
      </c>
      <c r="X254" s="42"/>
      <c r="AB254">
        <v>35.4</v>
      </c>
      <c r="AC254">
        <v>53.06</v>
      </c>
      <c r="AE254" s="74"/>
      <c r="AF254" s="77"/>
      <c r="AH254" s="497">
        <v>39.200000000000003</v>
      </c>
      <c r="AJ254" s="42"/>
      <c r="AK254" s="74"/>
      <c r="AL254" s="77"/>
      <c r="AN254" s="497">
        <v>24.98</v>
      </c>
      <c r="AP254" s="42"/>
      <c r="AQ254" s="74"/>
      <c r="AR254" s="77"/>
      <c r="AT254" s="497">
        <v>12.02</v>
      </c>
      <c r="AV254" s="42"/>
      <c r="AW254" s="74"/>
      <c r="AX254" s="77"/>
      <c r="BA254" s="497">
        <v>30.74</v>
      </c>
      <c r="BB254" s="42"/>
      <c r="BC254" s="74"/>
      <c r="BD254" s="77"/>
      <c r="BF254">
        <v>32</v>
      </c>
      <c r="BH254" s="42"/>
      <c r="BI254" s="74"/>
      <c r="BJ254" s="77"/>
      <c r="BL254" s="497">
        <v>29.3</v>
      </c>
      <c r="BN254" s="42"/>
      <c r="BO254" s="74"/>
      <c r="BP254" s="77"/>
      <c r="BR254" s="497">
        <v>17.059999999999999</v>
      </c>
      <c r="BT254" s="42"/>
    </row>
    <row r="255" spans="1:72" x14ac:dyDescent="0.25">
      <c r="A255" s="90">
        <v>36170</v>
      </c>
      <c r="B255" s="20">
        <v>0.875</v>
      </c>
      <c r="D255">
        <v>32</v>
      </c>
      <c r="E255" t="str">
        <f t="shared" si="42"/>
        <v>SUNDAY</v>
      </c>
      <c r="F255" t="e">
        <f t="shared" si="43"/>
        <v>#N/A</v>
      </c>
      <c r="G255" s="74">
        <v>27769</v>
      </c>
      <c r="H255" s="77">
        <v>0.875</v>
      </c>
      <c r="J255">
        <v>24.08</v>
      </c>
      <c r="M255" s="74">
        <v>37631</v>
      </c>
      <c r="N255" s="77">
        <v>0.875</v>
      </c>
      <c r="P255">
        <v>26.6</v>
      </c>
      <c r="S255" s="74">
        <v>36170</v>
      </c>
      <c r="T255" s="77">
        <v>0.875</v>
      </c>
      <c r="V255">
        <v>26.96</v>
      </c>
      <c r="X255" s="42"/>
      <c r="AB255">
        <v>35</v>
      </c>
      <c r="AC255">
        <v>51.08</v>
      </c>
      <c r="AE255" s="74"/>
      <c r="AF255" s="77"/>
      <c r="AH255" s="497">
        <v>39.200000000000003</v>
      </c>
      <c r="AJ255" s="42"/>
      <c r="AK255" s="74"/>
      <c r="AL255" s="77"/>
      <c r="AN255" s="497">
        <v>24.08</v>
      </c>
      <c r="AP255" s="42"/>
      <c r="AQ255" s="74"/>
      <c r="AR255" s="77"/>
      <c r="AT255" s="497">
        <v>8.9599999999999973</v>
      </c>
      <c r="AV255" s="42"/>
      <c r="AW255" s="74"/>
      <c r="AX255" s="77"/>
      <c r="BA255" s="497">
        <v>31.28</v>
      </c>
      <c r="BB255" s="42"/>
      <c r="BC255" s="74"/>
      <c r="BD255" s="77"/>
      <c r="BF255">
        <v>33.979999999999997</v>
      </c>
      <c r="BH255" s="42"/>
      <c r="BI255" s="74"/>
      <c r="BJ255" s="77"/>
      <c r="BL255" s="497">
        <v>29.66</v>
      </c>
      <c r="BN255" s="42"/>
      <c r="BO255" s="74"/>
      <c r="BP255" s="77"/>
      <c r="BR255" s="497">
        <v>15.98</v>
      </c>
      <c r="BT255" s="42"/>
    </row>
    <row r="256" spans="1:72" x14ac:dyDescent="0.25">
      <c r="A256" s="90">
        <v>36170</v>
      </c>
      <c r="B256" s="20">
        <v>0.91666666666666663</v>
      </c>
      <c r="D256">
        <v>30.92</v>
      </c>
      <c r="E256" t="str">
        <f t="shared" si="42"/>
        <v>SUNDAY</v>
      </c>
      <c r="F256" t="e">
        <f t="shared" si="43"/>
        <v>#N/A</v>
      </c>
      <c r="G256" s="74">
        <v>27769</v>
      </c>
      <c r="H256" s="77">
        <v>0.91666666666666663</v>
      </c>
      <c r="J256">
        <v>24.08</v>
      </c>
      <c r="M256" s="74">
        <v>37631</v>
      </c>
      <c r="N256" s="77">
        <v>0.91666666666666663</v>
      </c>
      <c r="P256">
        <v>24.8</v>
      </c>
      <c r="S256" s="74">
        <v>36170</v>
      </c>
      <c r="T256" s="77">
        <v>0.91666666666666663</v>
      </c>
      <c r="V256">
        <v>26.6</v>
      </c>
      <c r="X256" s="42"/>
      <c r="AB256">
        <v>34.5</v>
      </c>
      <c r="AC256">
        <v>50</v>
      </c>
      <c r="AE256" s="74"/>
      <c r="AF256" s="77"/>
      <c r="AH256" s="497">
        <v>35.6</v>
      </c>
      <c r="AJ256" s="42"/>
      <c r="AK256" s="74"/>
      <c r="AL256" s="77"/>
      <c r="AN256" s="497">
        <v>24.08</v>
      </c>
      <c r="AP256" s="42"/>
      <c r="AQ256" s="74"/>
      <c r="AR256" s="77"/>
      <c r="AT256" s="497">
        <v>6.0799999999999983</v>
      </c>
      <c r="AV256" s="42"/>
      <c r="AW256" s="74"/>
      <c r="AX256" s="77"/>
      <c r="BA256" s="497">
        <v>32</v>
      </c>
      <c r="BB256" s="42"/>
      <c r="BC256" s="74"/>
      <c r="BD256" s="77"/>
      <c r="BF256">
        <v>33.979999999999997</v>
      </c>
      <c r="BH256" s="42"/>
      <c r="BI256" s="74"/>
      <c r="BJ256" s="77"/>
      <c r="BL256" s="497">
        <v>30.02</v>
      </c>
      <c r="BN256" s="42"/>
      <c r="BO256" s="74"/>
      <c r="BP256" s="77"/>
      <c r="BR256" s="497">
        <v>15.98</v>
      </c>
      <c r="BT256" s="42"/>
    </row>
    <row r="257" spans="1:72" x14ac:dyDescent="0.25">
      <c r="A257" s="90">
        <v>36170</v>
      </c>
      <c r="B257" s="20">
        <v>0.95833333333333337</v>
      </c>
      <c r="D257">
        <v>30.02</v>
      </c>
      <c r="E257" t="str">
        <f t="shared" si="42"/>
        <v>SUNDAY</v>
      </c>
      <c r="F257" t="e">
        <f t="shared" si="43"/>
        <v>#N/A</v>
      </c>
      <c r="G257" s="74">
        <v>27769</v>
      </c>
      <c r="H257" s="77">
        <v>0.95833333333333337</v>
      </c>
      <c r="J257">
        <v>24.08</v>
      </c>
      <c r="M257" s="74">
        <v>37631</v>
      </c>
      <c r="N257" s="77">
        <v>0.95833333333333337</v>
      </c>
      <c r="P257">
        <v>24.8</v>
      </c>
      <c r="S257" s="74">
        <v>36170</v>
      </c>
      <c r="T257" s="77">
        <v>0.95833333333333337</v>
      </c>
      <c r="V257">
        <v>26.060000000000002</v>
      </c>
      <c r="X257" s="42"/>
      <c r="AB257">
        <v>34</v>
      </c>
      <c r="AC257">
        <v>48.92</v>
      </c>
      <c r="AE257" s="74"/>
      <c r="AF257" s="77"/>
      <c r="AH257" s="497">
        <v>33.799999999999997</v>
      </c>
      <c r="AJ257" s="42"/>
      <c r="AK257" s="74"/>
      <c r="AL257" s="77"/>
      <c r="AN257" s="497">
        <v>23</v>
      </c>
      <c r="AP257" s="42"/>
      <c r="AQ257" s="74"/>
      <c r="AR257" s="77"/>
      <c r="AT257" s="497">
        <v>5</v>
      </c>
      <c r="AV257" s="42"/>
      <c r="AW257" s="74"/>
      <c r="AX257" s="77"/>
      <c r="BA257" s="497">
        <v>31.28</v>
      </c>
      <c r="BB257" s="42"/>
      <c r="BC257" s="74"/>
      <c r="BD257" s="77"/>
      <c r="BF257">
        <v>33.979999999999997</v>
      </c>
      <c r="BH257" s="42"/>
      <c r="BI257" s="74"/>
      <c r="BJ257" s="77"/>
      <c r="BL257" s="497">
        <v>30.74</v>
      </c>
      <c r="BN257" s="42"/>
      <c r="BO257" s="74"/>
      <c r="BP257" s="77"/>
      <c r="BR257" s="497">
        <v>15.98</v>
      </c>
      <c r="BT257" s="42"/>
    </row>
    <row r="258" spans="1:72" x14ac:dyDescent="0.25">
      <c r="A258" s="90">
        <v>36170</v>
      </c>
      <c r="B258" s="20">
        <v>1</v>
      </c>
      <c r="D258">
        <v>28.04</v>
      </c>
      <c r="E258" t="str">
        <f t="shared" si="42"/>
        <v>SUNDAY</v>
      </c>
      <c r="F258" t="e">
        <f t="shared" si="43"/>
        <v>#N/A</v>
      </c>
      <c r="G258" s="74">
        <v>27769</v>
      </c>
      <c r="H258" s="77">
        <v>1</v>
      </c>
      <c r="J258">
        <v>24.08</v>
      </c>
      <c r="M258" s="74">
        <v>37631</v>
      </c>
      <c r="N258" s="80">
        <v>1</v>
      </c>
      <c r="P258">
        <v>26.6</v>
      </c>
      <c r="S258" s="74">
        <v>36170</v>
      </c>
      <c r="T258" s="80">
        <v>1</v>
      </c>
      <c r="V258">
        <v>26.060000000000002</v>
      </c>
      <c r="X258" s="42"/>
      <c r="AB258">
        <v>33.6</v>
      </c>
      <c r="AC258">
        <v>46.94</v>
      </c>
      <c r="AE258" s="74"/>
      <c r="AF258" s="80"/>
      <c r="AH258" s="497">
        <v>28.4</v>
      </c>
      <c r="AJ258" s="42"/>
      <c r="AK258" s="74"/>
      <c r="AL258" s="80"/>
      <c r="AN258" s="497">
        <v>23</v>
      </c>
      <c r="AP258" s="42"/>
      <c r="AQ258" s="74"/>
      <c r="AR258" s="80"/>
      <c r="AT258" s="497">
        <v>5</v>
      </c>
      <c r="AV258" s="42"/>
      <c r="AW258" s="74"/>
      <c r="AX258" s="80"/>
      <c r="BA258" s="497">
        <v>30.74</v>
      </c>
      <c r="BB258" s="42"/>
      <c r="BC258" s="74"/>
      <c r="BD258" s="80"/>
      <c r="BF258">
        <v>39.019999999999996</v>
      </c>
      <c r="BH258" s="42"/>
      <c r="BI258" s="74"/>
      <c r="BJ258" s="80"/>
      <c r="BL258" s="497">
        <v>31.28</v>
      </c>
      <c r="BN258" s="42"/>
      <c r="BO258" s="74"/>
      <c r="BP258" s="80"/>
      <c r="BR258" s="497">
        <v>15.98</v>
      </c>
      <c r="BT258" s="42"/>
    </row>
    <row r="259" spans="1:72" x14ac:dyDescent="0.25">
      <c r="A259" s="90">
        <v>36171</v>
      </c>
      <c r="B259" s="20">
        <v>4.1666666666666664E-2</v>
      </c>
      <c r="D259">
        <v>26.96</v>
      </c>
      <c r="E259" t="str">
        <f t="shared" si="42"/>
        <v>WEEKDAY</v>
      </c>
      <c r="F259" t="e">
        <f t="shared" si="43"/>
        <v>#N/A</v>
      </c>
      <c r="G259" s="74">
        <v>27770</v>
      </c>
      <c r="H259" s="77">
        <v>4.1666666666666664E-2</v>
      </c>
      <c r="J259">
        <v>23</v>
      </c>
      <c r="M259" s="74">
        <v>37632</v>
      </c>
      <c r="N259" s="77">
        <v>4.1666666666666664E-2</v>
      </c>
      <c r="P259">
        <v>28.4</v>
      </c>
      <c r="S259" s="74">
        <v>36171</v>
      </c>
      <c r="T259" s="77">
        <v>4.1666666666666664E-2</v>
      </c>
      <c r="V259">
        <v>26.060000000000002</v>
      </c>
      <c r="X259" s="42"/>
      <c r="AB259">
        <v>33.200000000000003</v>
      </c>
      <c r="AC259">
        <v>46.94</v>
      </c>
      <c r="AE259" s="74"/>
      <c r="AF259" s="77"/>
      <c r="AH259" s="497">
        <v>28.4</v>
      </c>
      <c r="AJ259" s="42"/>
      <c r="AK259" s="74"/>
      <c r="AL259" s="77"/>
      <c r="AN259" s="497">
        <v>23</v>
      </c>
      <c r="AP259" s="42"/>
      <c r="AQ259" s="74"/>
      <c r="AR259" s="77"/>
      <c r="AT259" s="497">
        <v>3.9200000000000017</v>
      </c>
      <c r="AV259" s="42"/>
      <c r="AW259" s="74"/>
      <c r="AX259" s="77"/>
      <c r="BA259" s="497">
        <v>30.02</v>
      </c>
      <c r="BB259" s="42"/>
      <c r="BC259" s="74"/>
      <c r="BD259" s="77"/>
      <c r="BF259">
        <v>39.019999999999996</v>
      </c>
      <c r="BH259" s="42"/>
      <c r="BI259" s="74"/>
      <c r="BJ259" s="77"/>
      <c r="BL259" s="497">
        <v>32</v>
      </c>
      <c r="BN259" s="42"/>
      <c r="BO259" s="74"/>
      <c r="BP259" s="77"/>
      <c r="BR259" s="497">
        <v>15.98</v>
      </c>
      <c r="BT259" s="42"/>
    </row>
    <row r="260" spans="1:72" x14ac:dyDescent="0.25">
      <c r="A260" s="90">
        <v>36171</v>
      </c>
      <c r="B260" s="20">
        <v>8.3333333333333329E-2</v>
      </c>
      <c r="D260">
        <v>26.060000000000002</v>
      </c>
      <c r="E260" t="str">
        <f t="shared" si="42"/>
        <v>WEEKDAY</v>
      </c>
      <c r="F260" t="e">
        <f t="shared" si="43"/>
        <v>#N/A</v>
      </c>
      <c r="G260" s="74">
        <v>27770</v>
      </c>
      <c r="H260" s="77">
        <v>8.3333333333333329E-2</v>
      </c>
      <c r="J260">
        <v>23</v>
      </c>
      <c r="M260" s="74">
        <v>37632</v>
      </c>
      <c r="N260" s="77">
        <v>8.3333333333333329E-2</v>
      </c>
      <c r="P260">
        <v>26.6</v>
      </c>
      <c r="S260" s="74">
        <v>36171</v>
      </c>
      <c r="T260" s="77">
        <v>8.3333333333333329E-2</v>
      </c>
      <c r="V260">
        <v>26.060000000000002</v>
      </c>
      <c r="X260" s="42"/>
      <c r="AB260">
        <v>32.700000000000003</v>
      </c>
      <c r="AC260">
        <v>46.04</v>
      </c>
      <c r="AE260" s="74"/>
      <c r="AF260" s="77"/>
      <c r="AH260" s="497">
        <v>26.6</v>
      </c>
      <c r="AJ260" s="42"/>
      <c r="AK260" s="74"/>
      <c r="AL260" s="77"/>
      <c r="AN260" s="497">
        <v>21.92</v>
      </c>
      <c r="AP260" s="42"/>
      <c r="AQ260" s="74"/>
      <c r="AR260" s="77"/>
      <c r="AT260" s="497">
        <v>3.9200000000000017</v>
      </c>
      <c r="AV260" s="42"/>
      <c r="AW260" s="74"/>
      <c r="AX260" s="77"/>
      <c r="BA260" s="497">
        <v>31.1</v>
      </c>
      <c r="BB260" s="42"/>
      <c r="BC260" s="74"/>
      <c r="BD260" s="77"/>
      <c r="BF260">
        <v>41</v>
      </c>
      <c r="BH260" s="42"/>
      <c r="BI260" s="74"/>
      <c r="BJ260" s="77"/>
      <c r="BL260" s="497">
        <v>33.26</v>
      </c>
      <c r="BN260" s="42"/>
      <c r="BO260" s="74"/>
      <c r="BP260" s="77"/>
      <c r="BR260" s="497">
        <v>15.98</v>
      </c>
      <c r="BT260" s="42"/>
    </row>
    <row r="261" spans="1:72" x14ac:dyDescent="0.25">
      <c r="A261" s="90">
        <v>36171</v>
      </c>
      <c r="B261" s="20">
        <v>0.125</v>
      </c>
      <c r="D261">
        <v>26.060000000000002</v>
      </c>
      <c r="E261" t="str">
        <f t="shared" si="42"/>
        <v>WEEKDAY</v>
      </c>
      <c r="F261" t="e">
        <f t="shared" si="43"/>
        <v>#N/A</v>
      </c>
      <c r="G261" s="74">
        <v>27770</v>
      </c>
      <c r="H261" s="77">
        <v>0.125</v>
      </c>
      <c r="J261">
        <v>23</v>
      </c>
      <c r="M261" s="74">
        <v>37632</v>
      </c>
      <c r="N261" s="77">
        <v>0.125</v>
      </c>
      <c r="P261">
        <v>24.8</v>
      </c>
      <c r="S261" s="74">
        <v>36171</v>
      </c>
      <c r="T261" s="77">
        <v>0.125</v>
      </c>
      <c r="V261">
        <v>26.96</v>
      </c>
      <c r="X261" s="42"/>
      <c r="AB261">
        <v>32.4</v>
      </c>
      <c r="AC261">
        <v>46.04</v>
      </c>
      <c r="AE261" s="74"/>
      <c r="AF261" s="77"/>
      <c r="AH261" s="497">
        <v>24.8</v>
      </c>
      <c r="AJ261" s="42"/>
      <c r="AK261" s="74"/>
      <c r="AL261" s="77"/>
      <c r="AN261" s="497">
        <v>19.939999999999998</v>
      </c>
      <c r="AP261" s="42"/>
      <c r="AQ261" s="74"/>
      <c r="AR261" s="77"/>
      <c r="AT261" s="497">
        <v>5</v>
      </c>
      <c r="AV261" s="42"/>
      <c r="AW261" s="74"/>
      <c r="AX261" s="77"/>
      <c r="BA261" s="497">
        <v>32</v>
      </c>
      <c r="BB261" s="42"/>
      <c r="BC261" s="74"/>
      <c r="BD261" s="77"/>
      <c r="BF261">
        <v>39.92</v>
      </c>
      <c r="BH261" s="42"/>
      <c r="BI261" s="74"/>
      <c r="BJ261" s="77"/>
      <c r="BL261" s="497">
        <v>34.700000000000003</v>
      </c>
      <c r="BN261" s="42"/>
      <c r="BO261" s="74"/>
      <c r="BP261" s="77"/>
      <c r="BR261" s="497">
        <v>12.920000000000002</v>
      </c>
      <c r="BT261" s="42"/>
    </row>
    <row r="262" spans="1:72" x14ac:dyDescent="0.25">
      <c r="A262" s="90">
        <v>36171</v>
      </c>
      <c r="B262" s="20">
        <v>0.16666666666666666</v>
      </c>
      <c r="D262">
        <v>24.98</v>
      </c>
      <c r="E262" t="str">
        <f t="shared" si="42"/>
        <v>WEEKDAY</v>
      </c>
      <c r="F262" t="e">
        <f t="shared" si="43"/>
        <v>#N/A</v>
      </c>
      <c r="G262" s="74">
        <v>27770</v>
      </c>
      <c r="H262" s="77">
        <v>0.16666666666666666</v>
      </c>
      <c r="J262">
        <v>23</v>
      </c>
      <c r="M262" s="74">
        <v>37632</v>
      </c>
      <c r="N262" s="77">
        <v>0.16666666666666666</v>
      </c>
      <c r="P262">
        <v>23</v>
      </c>
      <c r="S262" s="74">
        <v>36171</v>
      </c>
      <c r="T262" s="77">
        <v>0.16666666666666666</v>
      </c>
      <c r="V262">
        <v>24.98</v>
      </c>
      <c r="X262" s="42"/>
      <c r="AB262">
        <v>32.200000000000003</v>
      </c>
      <c r="AC262">
        <v>46.04</v>
      </c>
      <c r="AE262" s="74"/>
      <c r="AF262" s="77"/>
      <c r="AH262" s="497">
        <v>30.2</v>
      </c>
      <c r="AJ262" s="42"/>
      <c r="AK262" s="74"/>
      <c r="AL262" s="77"/>
      <c r="AN262" s="497">
        <v>19.939999999999998</v>
      </c>
      <c r="AP262" s="42"/>
      <c r="AQ262" s="74"/>
      <c r="AR262" s="77"/>
      <c r="AT262" s="497">
        <v>5</v>
      </c>
      <c r="AV262" s="42"/>
      <c r="AW262" s="74"/>
      <c r="AX262" s="77"/>
      <c r="BA262" s="497">
        <v>33.08</v>
      </c>
      <c r="BB262" s="42"/>
      <c r="BC262" s="74"/>
      <c r="BD262" s="77"/>
      <c r="BF262">
        <v>39.92</v>
      </c>
      <c r="BH262" s="42"/>
      <c r="BI262" s="74"/>
      <c r="BJ262" s="77"/>
      <c r="BL262" s="497">
        <v>35.96</v>
      </c>
      <c r="BN262" s="42"/>
      <c r="BO262" s="74"/>
      <c r="BP262" s="77"/>
      <c r="BR262" s="497">
        <v>12.02</v>
      </c>
      <c r="BT262" s="42"/>
    </row>
    <row r="263" spans="1:72" x14ac:dyDescent="0.25">
      <c r="A263" s="90">
        <v>36171</v>
      </c>
      <c r="B263" s="20">
        <v>0.20833333333333334</v>
      </c>
      <c r="D263">
        <v>24.08</v>
      </c>
      <c r="E263" t="str">
        <f t="shared" si="42"/>
        <v>WEEKDAY</v>
      </c>
      <c r="F263" t="e">
        <f t="shared" si="43"/>
        <v>#N/A</v>
      </c>
      <c r="G263" s="74">
        <v>27770</v>
      </c>
      <c r="H263" s="77">
        <v>0.20833333333333334</v>
      </c>
      <c r="J263">
        <v>24.08</v>
      </c>
      <c r="M263" s="74">
        <v>37632</v>
      </c>
      <c r="N263" s="77">
        <v>0.20833333333333334</v>
      </c>
      <c r="P263">
        <v>21.2</v>
      </c>
      <c r="S263" s="74">
        <v>36171</v>
      </c>
      <c r="T263" s="77">
        <v>0.20833333333333334</v>
      </c>
      <c r="V263">
        <v>26.060000000000002</v>
      </c>
      <c r="X263" s="42"/>
      <c r="AB263">
        <v>31.9</v>
      </c>
      <c r="AC263">
        <v>46.04</v>
      </c>
      <c r="AE263" s="74"/>
      <c r="AF263" s="77"/>
      <c r="AH263" s="497">
        <v>26.6</v>
      </c>
      <c r="AJ263" s="42"/>
      <c r="AK263" s="74"/>
      <c r="AL263" s="77"/>
      <c r="AN263" s="497">
        <v>19.939999999999998</v>
      </c>
      <c r="AP263" s="42"/>
      <c r="AQ263" s="74"/>
      <c r="AR263" s="77"/>
      <c r="AT263" s="497">
        <v>5</v>
      </c>
      <c r="AV263" s="42"/>
      <c r="AW263" s="74"/>
      <c r="AX263" s="77"/>
      <c r="BA263" s="497">
        <v>35.78</v>
      </c>
      <c r="BB263" s="42"/>
      <c r="BC263" s="74"/>
      <c r="BD263" s="77"/>
      <c r="BF263">
        <v>41</v>
      </c>
      <c r="BH263" s="42"/>
      <c r="BI263" s="74"/>
      <c r="BJ263" s="77"/>
      <c r="BL263" s="497">
        <v>36.32</v>
      </c>
      <c r="BN263" s="42"/>
      <c r="BO263" s="74"/>
      <c r="BP263" s="77"/>
      <c r="BR263" s="497">
        <v>5</v>
      </c>
      <c r="BT263" s="42"/>
    </row>
    <row r="264" spans="1:72" x14ac:dyDescent="0.25">
      <c r="A264" s="90">
        <v>36171</v>
      </c>
      <c r="B264" s="20">
        <v>0.25</v>
      </c>
      <c r="D264">
        <v>24.08</v>
      </c>
      <c r="E264" t="str">
        <f t="shared" si="42"/>
        <v>WEEKDAY</v>
      </c>
      <c r="F264" t="e">
        <f t="shared" si="43"/>
        <v>#N/A</v>
      </c>
      <c r="G264" s="74">
        <v>27770</v>
      </c>
      <c r="H264" s="77">
        <v>0.25</v>
      </c>
      <c r="J264">
        <v>24.08</v>
      </c>
      <c r="M264" s="74">
        <v>37632</v>
      </c>
      <c r="N264" s="77">
        <v>0.25</v>
      </c>
      <c r="P264">
        <v>21.2</v>
      </c>
      <c r="S264" s="74">
        <v>36171</v>
      </c>
      <c r="T264" s="77">
        <v>0.25</v>
      </c>
      <c r="V264">
        <v>24.08</v>
      </c>
      <c r="X264" s="42"/>
      <c r="AB264">
        <v>31.7</v>
      </c>
      <c r="AC264">
        <v>46.04</v>
      </c>
      <c r="AE264" s="74"/>
      <c r="AF264" s="77"/>
      <c r="AH264" s="497">
        <v>28.4</v>
      </c>
      <c r="AJ264" s="42"/>
      <c r="AK264" s="74"/>
      <c r="AL264" s="77"/>
      <c r="AN264" s="497">
        <v>21.02</v>
      </c>
      <c r="AP264" s="42"/>
      <c r="AQ264" s="74"/>
      <c r="AR264" s="77"/>
      <c r="AT264" s="497">
        <v>3.9200000000000017</v>
      </c>
      <c r="AV264" s="42"/>
      <c r="AW264" s="74"/>
      <c r="AX264" s="77"/>
      <c r="BA264" s="497">
        <v>38.299999999999997</v>
      </c>
      <c r="BB264" s="42"/>
      <c r="BC264" s="74"/>
      <c r="BD264" s="77"/>
      <c r="BF264">
        <v>42.08</v>
      </c>
      <c r="BH264" s="42"/>
      <c r="BI264" s="74"/>
      <c r="BJ264" s="77"/>
      <c r="BL264" s="497">
        <v>36.68</v>
      </c>
      <c r="BN264" s="42"/>
      <c r="BO264" s="74"/>
      <c r="BP264" s="77"/>
      <c r="BR264" s="497">
        <v>-3.9999999999999147E-2</v>
      </c>
      <c r="BT264" s="42"/>
    </row>
    <row r="265" spans="1:72" x14ac:dyDescent="0.25">
      <c r="A265" s="90">
        <v>36171</v>
      </c>
      <c r="B265" s="20">
        <v>0.29166666666666669</v>
      </c>
      <c r="D265">
        <v>24.08</v>
      </c>
      <c r="E265" t="str">
        <f t="shared" si="42"/>
        <v>WEEKDAY</v>
      </c>
      <c r="F265" t="e">
        <f t="shared" si="43"/>
        <v>#N/A</v>
      </c>
      <c r="G265" s="74">
        <v>27770</v>
      </c>
      <c r="H265" s="77">
        <v>0.29166666666666669</v>
      </c>
      <c r="J265">
        <v>23</v>
      </c>
      <c r="M265" s="74">
        <v>37632</v>
      </c>
      <c r="N265" s="77">
        <v>0.29166666666666669</v>
      </c>
      <c r="P265">
        <v>21.2</v>
      </c>
      <c r="S265" s="74">
        <v>36171</v>
      </c>
      <c r="T265" s="77">
        <v>0.29166666666666669</v>
      </c>
      <c r="V265">
        <v>23</v>
      </c>
      <c r="X265" s="42"/>
      <c r="AB265">
        <v>31.6</v>
      </c>
      <c r="AC265">
        <v>46.04</v>
      </c>
      <c r="AE265" s="74"/>
      <c r="AF265" s="77"/>
      <c r="AH265" s="497">
        <v>28.4</v>
      </c>
      <c r="AJ265" s="42"/>
      <c r="AK265" s="74"/>
      <c r="AL265" s="77"/>
      <c r="AN265" s="497">
        <v>19.939999999999998</v>
      </c>
      <c r="AP265" s="42"/>
      <c r="AQ265" s="74"/>
      <c r="AR265" s="77"/>
      <c r="AT265" s="497">
        <v>3.9200000000000017</v>
      </c>
      <c r="AV265" s="42"/>
      <c r="AW265" s="74"/>
      <c r="AX265" s="77"/>
      <c r="BA265" s="497">
        <v>41</v>
      </c>
      <c r="BB265" s="42"/>
      <c r="BC265" s="74"/>
      <c r="BD265" s="77"/>
      <c r="BF265">
        <v>42.980000000000004</v>
      </c>
      <c r="BH265" s="42"/>
      <c r="BI265" s="74"/>
      <c r="BJ265" s="77"/>
      <c r="BL265" s="497">
        <v>37.04</v>
      </c>
      <c r="BN265" s="42"/>
      <c r="BO265" s="74"/>
      <c r="BP265" s="77"/>
      <c r="BR265" s="497">
        <v>-2.019999999999996</v>
      </c>
      <c r="BT265" s="42"/>
    </row>
    <row r="266" spans="1:72" x14ac:dyDescent="0.25">
      <c r="A266" s="90">
        <v>36171</v>
      </c>
      <c r="B266" s="20">
        <v>0.33333333333333331</v>
      </c>
      <c r="D266">
        <v>24.98</v>
      </c>
      <c r="E266" t="str">
        <f t="shared" si="42"/>
        <v>WEEKDAY</v>
      </c>
      <c r="F266" t="e">
        <f t="shared" si="43"/>
        <v>#N/A</v>
      </c>
      <c r="G266" s="74">
        <v>27770</v>
      </c>
      <c r="H266" s="77">
        <v>0.33333333333333331</v>
      </c>
      <c r="J266">
        <v>23</v>
      </c>
      <c r="M266" s="74">
        <v>37632</v>
      </c>
      <c r="N266" s="77">
        <v>0.33333333333333331</v>
      </c>
      <c r="P266">
        <v>21.2</v>
      </c>
      <c r="S266" s="74">
        <v>36171</v>
      </c>
      <c r="T266" s="77">
        <v>0.33333333333333331</v>
      </c>
      <c r="V266">
        <v>23</v>
      </c>
      <c r="X266" s="42"/>
      <c r="AB266">
        <v>31.6</v>
      </c>
      <c r="AC266">
        <v>46.94</v>
      </c>
      <c r="AE266" s="74"/>
      <c r="AF266" s="77"/>
      <c r="AH266" s="497">
        <v>30.2</v>
      </c>
      <c r="AJ266" s="42"/>
      <c r="AK266" s="74"/>
      <c r="AL266" s="77"/>
      <c r="AN266" s="497">
        <v>19.939999999999998</v>
      </c>
      <c r="AP266" s="42"/>
      <c r="AQ266" s="74"/>
      <c r="AR266" s="77"/>
      <c r="AT266" s="497">
        <v>5</v>
      </c>
      <c r="AV266" s="42"/>
      <c r="AW266" s="74"/>
      <c r="AX266" s="77"/>
      <c r="BA266" s="497">
        <v>42.26</v>
      </c>
      <c r="BB266" s="42"/>
      <c r="BC266" s="74"/>
      <c r="BD266" s="77"/>
      <c r="BF266">
        <v>42.08</v>
      </c>
      <c r="BH266" s="42"/>
      <c r="BI266" s="74"/>
      <c r="BJ266" s="77"/>
      <c r="BL266" s="497">
        <v>39.019999999999996</v>
      </c>
      <c r="BN266" s="42"/>
      <c r="BO266" s="74"/>
      <c r="BP266" s="77"/>
      <c r="BR266" s="497">
        <v>-0.94000000000000483</v>
      </c>
      <c r="BT266" s="42"/>
    </row>
    <row r="267" spans="1:72" x14ac:dyDescent="0.25">
      <c r="A267" s="90">
        <v>36171</v>
      </c>
      <c r="B267" s="20">
        <v>0.375</v>
      </c>
      <c r="D267">
        <v>24.98</v>
      </c>
      <c r="E267" t="str">
        <f t="shared" si="42"/>
        <v>WEEKDAY</v>
      </c>
      <c r="F267" t="e">
        <f t="shared" si="43"/>
        <v>#N/A</v>
      </c>
      <c r="G267" s="74">
        <v>27770</v>
      </c>
      <c r="H267" s="77">
        <v>0.375</v>
      </c>
      <c r="J267">
        <v>23</v>
      </c>
      <c r="M267" s="74">
        <v>37632</v>
      </c>
      <c r="N267" s="77">
        <v>0.375</v>
      </c>
      <c r="P267">
        <v>23</v>
      </c>
      <c r="S267" s="74">
        <v>36171</v>
      </c>
      <c r="T267" s="77">
        <v>0.375</v>
      </c>
      <c r="V267">
        <v>24.08</v>
      </c>
      <c r="X267" s="42"/>
      <c r="AB267">
        <v>31.8</v>
      </c>
      <c r="AC267">
        <v>50</v>
      </c>
      <c r="AE267" s="74"/>
      <c r="AF267" s="77"/>
      <c r="AH267" s="497">
        <v>30.2</v>
      </c>
      <c r="AJ267" s="42"/>
      <c r="AK267" s="74"/>
      <c r="AL267" s="77"/>
      <c r="AN267" s="497">
        <v>21.02</v>
      </c>
      <c r="AP267" s="42"/>
      <c r="AQ267" s="74"/>
      <c r="AR267" s="77"/>
      <c r="AT267" s="497">
        <v>8.0599999999999987</v>
      </c>
      <c r="AV267" s="42"/>
      <c r="AW267" s="74"/>
      <c r="AX267" s="77"/>
      <c r="BA267" s="497">
        <v>43.7</v>
      </c>
      <c r="BB267" s="42"/>
      <c r="BC267" s="74"/>
      <c r="BD267" s="77"/>
      <c r="BF267">
        <v>44.06</v>
      </c>
      <c r="BH267" s="42"/>
      <c r="BI267" s="74"/>
      <c r="BJ267" s="77"/>
      <c r="BL267" s="497">
        <v>41</v>
      </c>
      <c r="BN267" s="42"/>
      <c r="BO267" s="74"/>
      <c r="BP267" s="77"/>
      <c r="BR267" s="497">
        <v>3.9200000000000017</v>
      </c>
      <c r="BT267" s="42"/>
    </row>
    <row r="268" spans="1:72" x14ac:dyDescent="0.25">
      <c r="A268" s="90">
        <v>36171</v>
      </c>
      <c r="B268" s="20">
        <v>0.41666666666666669</v>
      </c>
      <c r="D268">
        <v>24.08</v>
      </c>
      <c r="E268" t="str">
        <f t="shared" si="42"/>
        <v>WEEKDAY</v>
      </c>
      <c r="F268" t="e">
        <f t="shared" si="43"/>
        <v>#N/A</v>
      </c>
      <c r="G268" s="74">
        <v>27770</v>
      </c>
      <c r="H268" s="77">
        <v>0.41666666666666669</v>
      </c>
      <c r="J268">
        <v>24.98</v>
      </c>
      <c r="M268" s="74">
        <v>37632</v>
      </c>
      <c r="N268" s="77">
        <v>0.41666666666666669</v>
      </c>
      <c r="P268">
        <v>24.8</v>
      </c>
      <c r="S268" s="74">
        <v>36171</v>
      </c>
      <c r="T268" s="77">
        <v>0.41666666666666669</v>
      </c>
      <c r="V268">
        <v>24.98</v>
      </c>
      <c r="X268" s="42"/>
      <c r="AB268">
        <v>33.1</v>
      </c>
      <c r="AC268">
        <v>51.08</v>
      </c>
      <c r="AE268" s="74"/>
      <c r="AF268" s="77"/>
      <c r="AH268" s="497">
        <v>33.799999999999997</v>
      </c>
      <c r="AJ268" s="42"/>
      <c r="AK268" s="74"/>
      <c r="AL268" s="77"/>
      <c r="AN268" s="497">
        <v>21.92</v>
      </c>
      <c r="AP268" s="42"/>
      <c r="AQ268" s="74"/>
      <c r="AR268" s="77"/>
      <c r="AT268" s="497">
        <v>10.039999999999999</v>
      </c>
      <c r="AV268" s="42"/>
      <c r="AW268" s="74"/>
      <c r="AX268" s="77"/>
      <c r="BA268" s="497">
        <v>44.96</v>
      </c>
      <c r="BB268" s="42"/>
      <c r="BC268" s="74"/>
      <c r="BD268" s="77"/>
      <c r="BF268">
        <v>46.04</v>
      </c>
      <c r="BH268" s="42"/>
      <c r="BI268" s="74"/>
      <c r="BJ268" s="77"/>
      <c r="BL268" s="497">
        <v>42.980000000000004</v>
      </c>
      <c r="BN268" s="42"/>
      <c r="BO268" s="74"/>
      <c r="BP268" s="77"/>
      <c r="BR268" s="497">
        <v>15.079999999999998</v>
      </c>
      <c r="BT268" s="42"/>
    </row>
    <row r="269" spans="1:72" x14ac:dyDescent="0.25">
      <c r="A269" s="90">
        <v>36171</v>
      </c>
      <c r="B269" s="20">
        <v>0.45833333333333331</v>
      </c>
      <c r="D269">
        <v>23</v>
      </c>
      <c r="E269" t="str">
        <f t="shared" si="42"/>
        <v>WEEKDAY</v>
      </c>
      <c r="F269" t="e">
        <f t="shared" si="43"/>
        <v>#N/A</v>
      </c>
      <c r="G269" s="74">
        <v>27770</v>
      </c>
      <c r="H269" s="77">
        <v>0.45833333333333331</v>
      </c>
      <c r="J269">
        <v>24.98</v>
      </c>
      <c r="M269" s="74">
        <v>37632</v>
      </c>
      <c r="N269" s="77">
        <v>0.45833333333333331</v>
      </c>
      <c r="P269">
        <v>26.6</v>
      </c>
      <c r="S269" s="74">
        <v>36171</v>
      </c>
      <c r="T269" s="77">
        <v>0.45833333333333331</v>
      </c>
      <c r="V269">
        <v>26.060000000000002</v>
      </c>
      <c r="X269" s="42"/>
      <c r="AB269">
        <v>34.4</v>
      </c>
      <c r="AC269">
        <v>51.08</v>
      </c>
      <c r="AE269" s="74"/>
      <c r="AF269" s="77"/>
      <c r="AH269" s="497">
        <v>35.6</v>
      </c>
      <c r="AJ269" s="42"/>
      <c r="AK269" s="74"/>
      <c r="AL269" s="77"/>
      <c r="AN269" s="497">
        <v>23</v>
      </c>
      <c r="AP269" s="42"/>
      <c r="AQ269" s="74"/>
      <c r="AR269" s="77"/>
      <c r="AT269" s="497">
        <v>12.920000000000002</v>
      </c>
      <c r="AV269" s="42"/>
      <c r="AW269" s="74"/>
      <c r="AX269" s="77"/>
      <c r="BA269" s="497">
        <v>46.94</v>
      </c>
      <c r="BB269" s="42"/>
      <c r="BC269" s="74"/>
      <c r="BD269" s="77"/>
      <c r="BF269">
        <v>48.019999999999996</v>
      </c>
      <c r="BH269" s="42"/>
      <c r="BI269" s="74"/>
      <c r="BJ269" s="77"/>
      <c r="BL269" s="497">
        <v>43.7</v>
      </c>
      <c r="BN269" s="42"/>
      <c r="BO269" s="74"/>
      <c r="BP269" s="77"/>
      <c r="BR269" s="497">
        <v>21.92</v>
      </c>
      <c r="BT269" s="42"/>
    </row>
    <row r="270" spans="1:72" x14ac:dyDescent="0.25">
      <c r="A270" s="90">
        <v>36171</v>
      </c>
      <c r="B270" s="20">
        <v>0.5</v>
      </c>
      <c r="D270">
        <v>21.02</v>
      </c>
      <c r="E270" t="str">
        <f t="shared" si="42"/>
        <v>WEEKDAY</v>
      </c>
      <c r="F270" t="e">
        <f t="shared" si="43"/>
        <v>#N/A</v>
      </c>
      <c r="G270" s="74">
        <v>27770</v>
      </c>
      <c r="H270" s="77">
        <v>0.5</v>
      </c>
      <c r="J270">
        <v>26.060000000000002</v>
      </c>
      <c r="M270" s="74">
        <v>37632</v>
      </c>
      <c r="N270" s="77">
        <v>0.5</v>
      </c>
      <c r="P270">
        <v>28.4</v>
      </c>
      <c r="S270" s="74">
        <v>36171</v>
      </c>
      <c r="T270" s="77">
        <v>0.5</v>
      </c>
      <c r="V270">
        <v>24.98</v>
      </c>
      <c r="X270" s="42"/>
      <c r="AB270">
        <v>35.6</v>
      </c>
      <c r="AC270">
        <v>50</v>
      </c>
      <c r="AE270" s="74"/>
      <c r="AF270" s="77"/>
      <c r="AH270" s="497">
        <v>33.799999999999997</v>
      </c>
      <c r="AJ270" s="42"/>
      <c r="AK270" s="74"/>
      <c r="AL270" s="77"/>
      <c r="AN270" s="497">
        <v>26.060000000000002</v>
      </c>
      <c r="AP270" s="42"/>
      <c r="AQ270" s="74"/>
      <c r="AR270" s="77"/>
      <c r="AT270" s="497">
        <v>15.079999999999998</v>
      </c>
      <c r="AV270" s="42"/>
      <c r="AW270" s="74"/>
      <c r="AX270" s="77"/>
      <c r="BA270" s="497">
        <v>49.1</v>
      </c>
      <c r="BB270" s="42"/>
      <c r="BC270" s="74"/>
      <c r="BD270" s="77"/>
      <c r="BF270">
        <v>48.92</v>
      </c>
      <c r="BH270" s="42"/>
      <c r="BI270" s="74"/>
      <c r="BJ270" s="77"/>
      <c r="BL270" s="497">
        <v>44.24</v>
      </c>
      <c r="BN270" s="42"/>
      <c r="BO270" s="74"/>
      <c r="BP270" s="77"/>
      <c r="BR270" s="497">
        <v>26.060000000000002</v>
      </c>
      <c r="BT270" s="42"/>
    </row>
    <row r="271" spans="1:72" x14ac:dyDescent="0.25">
      <c r="A271" s="90">
        <v>36171</v>
      </c>
      <c r="B271" s="20">
        <v>0.54166666666666663</v>
      </c>
      <c r="D271">
        <v>23</v>
      </c>
      <c r="E271" t="str">
        <f t="shared" si="42"/>
        <v>WEEKDAY</v>
      </c>
      <c r="F271" t="e">
        <f t="shared" si="43"/>
        <v>#N/A</v>
      </c>
      <c r="G271" s="74">
        <v>27770</v>
      </c>
      <c r="H271" s="77">
        <v>0.54166666666666663</v>
      </c>
      <c r="J271">
        <v>26.96</v>
      </c>
      <c r="M271" s="74">
        <v>37632</v>
      </c>
      <c r="N271" s="77">
        <v>0.54166666666666663</v>
      </c>
      <c r="P271">
        <v>28.4</v>
      </c>
      <c r="S271" s="74">
        <v>36171</v>
      </c>
      <c r="T271" s="77">
        <v>0.54166666666666663</v>
      </c>
      <c r="V271">
        <v>26.060000000000002</v>
      </c>
      <c r="X271" s="42"/>
      <c r="AB271">
        <v>36.6</v>
      </c>
      <c r="AC271">
        <v>51.08</v>
      </c>
      <c r="AE271" s="74"/>
      <c r="AF271" s="77"/>
      <c r="AH271" s="497">
        <v>33.799999999999997</v>
      </c>
      <c r="AJ271" s="42"/>
      <c r="AK271" s="74"/>
      <c r="AL271" s="77"/>
      <c r="AN271" s="497">
        <v>28.04</v>
      </c>
      <c r="AP271" s="42"/>
      <c r="AQ271" s="74"/>
      <c r="AR271" s="77"/>
      <c r="AT271" s="497">
        <v>17.059999999999999</v>
      </c>
      <c r="AV271" s="42"/>
      <c r="AW271" s="74"/>
      <c r="AX271" s="77"/>
      <c r="BA271" s="497">
        <v>51.08</v>
      </c>
      <c r="BB271" s="42"/>
      <c r="BC271" s="74"/>
      <c r="BD271" s="77"/>
      <c r="BF271">
        <v>48.92</v>
      </c>
      <c r="BH271" s="42"/>
      <c r="BI271" s="74"/>
      <c r="BJ271" s="77"/>
      <c r="BL271" s="497">
        <v>44.96</v>
      </c>
      <c r="BN271" s="42"/>
      <c r="BO271" s="74"/>
      <c r="BP271" s="77"/>
      <c r="BR271" s="497">
        <v>30.02</v>
      </c>
      <c r="BT271" s="42"/>
    </row>
    <row r="272" spans="1:72" x14ac:dyDescent="0.25">
      <c r="A272" s="90">
        <v>36171</v>
      </c>
      <c r="B272" s="20">
        <v>0.58333333333333337</v>
      </c>
      <c r="D272">
        <v>24.08</v>
      </c>
      <c r="E272" t="str">
        <f t="shared" si="42"/>
        <v>WEEKDAY</v>
      </c>
      <c r="F272" t="e">
        <f t="shared" si="43"/>
        <v>#N/A</v>
      </c>
      <c r="G272" s="74">
        <v>27770</v>
      </c>
      <c r="H272" s="77">
        <v>0.58333333333333337</v>
      </c>
      <c r="J272">
        <v>28.94</v>
      </c>
      <c r="M272" s="74">
        <v>37632</v>
      </c>
      <c r="N272" s="77">
        <v>0.58333333333333337</v>
      </c>
      <c r="P272">
        <v>30.2</v>
      </c>
      <c r="S272" s="74">
        <v>36171</v>
      </c>
      <c r="T272" s="77">
        <v>0.58333333333333337</v>
      </c>
      <c r="V272">
        <v>26.060000000000002</v>
      </c>
      <c r="X272" s="42"/>
      <c r="AB272">
        <v>37.4</v>
      </c>
      <c r="AC272">
        <v>48.92</v>
      </c>
      <c r="AE272" s="74"/>
      <c r="AF272" s="77"/>
      <c r="AH272" s="497">
        <v>32</v>
      </c>
      <c r="AJ272" s="42"/>
      <c r="AK272" s="74"/>
      <c r="AL272" s="77"/>
      <c r="AN272" s="497">
        <v>30.02</v>
      </c>
      <c r="AP272" s="42"/>
      <c r="AQ272" s="74"/>
      <c r="AR272" s="77"/>
      <c r="AT272" s="497">
        <v>17.96</v>
      </c>
      <c r="AV272" s="42"/>
      <c r="AW272" s="74"/>
      <c r="AX272" s="77"/>
      <c r="BA272" s="497">
        <v>52.34</v>
      </c>
      <c r="BB272" s="42"/>
      <c r="BC272" s="74"/>
      <c r="BD272" s="77"/>
      <c r="BF272">
        <v>50</v>
      </c>
      <c r="BH272" s="42"/>
      <c r="BI272" s="74"/>
      <c r="BJ272" s="77"/>
      <c r="BL272" s="497">
        <v>46.58</v>
      </c>
      <c r="BN272" s="42"/>
      <c r="BO272" s="74"/>
      <c r="BP272" s="77"/>
      <c r="BR272" s="497">
        <v>30.92</v>
      </c>
      <c r="BT272" s="42"/>
    </row>
    <row r="273" spans="1:72" x14ac:dyDescent="0.25">
      <c r="A273" s="90">
        <v>36171</v>
      </c>
      <c r="B273" s="20">
        <v>0.625</v>
      </c>
      <c r="D273">
        <v>24.08</v>
      </c>
      <c r="E273" t="str">
        <f t="shared" si="42"/>
        <v>WEEKDAY</v>
      </c>
      <c r="F273" t="e">
        <f t="shared" si="43"/>
        <v>#N/A</v>
      </c>
      <c r="G273" s="74">
        <v>27770</v>
      </c>
      <c r="H273" s="77">
        <v>0.625</v>
      </c>
      <c r="J273">
        <v>32</v>
      </c>
      <c r="M273" s="74">
        <v>37632</v>
      </c>
      <c r="N273" s="77">
        <v>0.625</v>
      </c>
      <c r="P273">
        <v>28.4</v>
      </c>
      <c r="S273" s="74">
        <v>36171</v>
      </c>
      <c r="T273" s="77">
        <v>0.625</v>
      </c>
      <c r="V273">
        <v>26.060000000000002</v>
      </c>
      <c r="X273" s="42"/>
      <c r="AB273">
        <v>37.799999999999997</v>
      </c>
      <c r="AC273">
        <v>48.92</v>
      </c>
      <c r="AE273" s="74"/>
      <c r="AF273" s="77"/>
      <c r="AH273" s="497">
        <v>30.2</v>
      </c>
      <c r="AJ273" s="42"/>
      <c r="AK273" s="74"/>
      <c r="AL273" s="77"/>
      <c r="AN273" s="497">
        <v>30.92</v>
      </c>
      <c r="AP273" s="42"/>
      <c r="AQ273" s="74"/>
      <c r="AR273" s="77"/>
      <c r="AT273" s="497">
        <v>21.92</v>
      </c>
      <c r="AV273" s="42"/>
      <c r="AW273" s="74"/>
      <c r="AX273" s="77"/>
      <c r="BA273" s="497">
        <v>53.78</v>
      </c>
      <c r="BB273" s="42"/>
      <c r="BC273" s="74"/>
      <c r="BD273" s="77"/>
      <c r="BF273">
        <v>51.08</v>
      </c>
      <c r="BH273" s="42"/>
      <c r="BI273" s="74"/>
      <c r="BJ273" s="77"/>
      <c r="BL273" s="497">
        <v>48.379999999999995</v>
      </c>
      <c r="BN273" s="42"/>
      <c r="BO273" s="74"/>
      <c r="BP273" s="77"/>
      <c r="BR273" s="497">
        <v>32</v>
      </c>
      <c r="BT273" s="42"/>
    </row>
    <row r="274" spans="1:72" x14ac:dyDescent="0.25">
      <c r="A274" s="90">
        <v>36171</v>
      </c>
      <c r="B274" s="20">
        <v>0.66666666666666663</v>
      </c>
      <c r="D274">
        <v>26.060000000000002</v>
      </c>
      <c r="E274" t="str">
        <f t="shared" si="42"/>
        <v>WEEKDAY</v>
      </c>
      <c r="F274" t="e">
        <f t="shared" si="43"/>
        <v>#N/A</v>
      </c>
      <c r="G274" s="74">
        <v>27770</v>
      </c>
      <c r="H274" s="77">
        <v>0.66666666666666663</v>
      </c>
      <c r="J274">
        <v>32</v>
      </c>
      <c r="M274" s="74">
        <v>37632</v>
      </c>
      <c r="N274" s="77">
        <v>0.66666666666666663</v>
      </c>
      <c r="P274">
        <v>28.4</v>
      </c>
      <c r="S274" s="74">
        <v>36171</v>
      </c>
      <c r="T274" s="77">
        <v>0.66666666666666663</v>
      </c>
      <c r="V274">
        <v>24.08</v>
      </c>
      <c r="X274" s="42"/>
      <c r="AB274">
        <v>37.9</v>
      </c>
      <c r="AC274">
        <v>48.92</v>
      </c>
      <c r="AE274" s="74"/>
      <c r="AF274" s="77"/>
      <c r="AH274" s="497">
        <v>30.2</v>
      </c>
      <c r="AJ274" s="42"/>
      <c r="AK274" s="74"/>
      <c r="AL274" s="77"/>
      <c r="AN274" s="497">
        <v>30.92</v>
      </c>
      <c r="AP274" s="42"/>
      <c r="AQ274" s="74"/>
      <c r="AR274" s="77"/>
      <c r="AT274" s="497">
        <v>19.04</v>
      </c>
      <c r="AV274" s="42"/>
      <c r="AW274" s="74"/>
      <c r="AX274" s="77"/>
      <c r="BA274" s="497">
        <v>55.040000000000006</v>
      </c>
      <c r="BB274" s="42"/>
      <c r="BC274" s="74"/>
      <c r="BD274" s="77"/>
      <c r="BF274">
        <v>53.06</v>
      </c>
      <c r="BH274" s="42"/>
      <c r="BI274" s="74"/>
      <c r="BJ274" s="77"/>
      <c r="BL274" s="497">
        <v>50</v>
      </c>
      <c r="BN274" s="42"/>
      <c r="BO274" s="74"/>
      <c r="BP274" s="77"/>
      <c r="BR274" s="497">
        <v>32</v>
      </c>
      <c r="BT274" s="42"/>
    </row>
    <row r="275" spans="1:72" x14ac:dyDescent="0.25">
      <c r="A275" s="90">
        <v>36171</v>
      </c>
      <c r="B275" s="20">
        <v>0.70833333333333337</v>
      </c>
      <c r="D275">
        <v>28.04</v>
      </c>
      <c r="E275" t="str">
        <f t="shared" ref="E275:E338" si="44">IF(COUNTIF($DI$18:$DI$22, WEEKDAY(A275))=1, "WEEKDAY", IF(WEEKDAY(A275) = 1, "SUNDAY", "SATURDAY"))</f>
        <v>WEEKDAY</v>
      </c>
      <c r="F275" t="e">
        <f t="shared" si="43"/>
        <v>#N/A</v>
      </c>
      <c r="G275" s="74">
        <v>27770</v>
      </c>
      <c r="H275" s="77">
        <v>0.70833333333333337</v>
      </c>
      <c r="J275">
        <v>33.979999999999997</v>
      </c>
      <c r="M275" s="74">
        <v>37632</v>
      </c>
      <c r="N275" s="77">
        <v>0.70833333333333337</v>
      </c>
      <c r="P275">
        <v>26.6</v>
      </c>
      <c r="S275" s="74">
        <v>36171</v>
      </c>
      <c r="T275" s="77">
        <v>0.70833333333333337</v>
      </c>
      <c r="V275">
        <v>23</v>
      </c>
      <c r="X275" s="42"/>
      <c r="AB275">
        <v>37.4</v>
      </c>
      <c r="AC275">
        <v>46.94</v>
      </c>
      <c r="AE275" s="74"/>
      <c r="AF275" s="77"/>
      <c r="AH275" s="497">
        <v>30.2</v>
      </c>
      <c r="AJ275" s="42"/>
      <c r="AK275" s="74"/>
      <c r="AL275" s="77"/>
      <c r="AN275" s="497">
        <v>28.94</v>
      </c>
      <c r="AP275" s="42"/>
      <c r="AQ275" s="74"/>
      <c r="AR275" s="77"/>
      <c r="AT275" s="497">
        <v>17.059999999999999</v>
      </c>
      <c r="AV275" s="42"/>
      <c r="AW275" s="74"/>
      <c r="AX275" s="77"/>
      <c r="BA275" s="497">
        <v>55.400000000000006</v>
      </c>
      <c r="BB275" s="42"/>
      <c r="BC275" s="74"/>
      <c r="BD275" s="77"/>
      <c r="BF275">
        <v>51.980000000000004</v>
      </c>
      <c r="BH275" s="42"/>
      <c r="BI275" s="74"/>
      <c r="BJ275" s="77"/>
      <c r="BL275" s="497">
        <v>49.64</v>
      </c>
      <c r="BN275" s="42"/>
      <c r="BO275" s="74"/>
      <c r="BP275" s="77"/>
      <c r="BR275" s="497">
        <v>32</v>
      </c>
      <c r="BT275" s="42"/>
    </row>
    <row r="276" spans="1:72" x14ac:dyDescent="0.25">
      <c r="A276" s="90">
        <v>36171</v>
      </c>
      <c r="B276" s="20">
        <v>0.75</v>
      </c>
      <c r="D276">
        <v>28.94</v>
      </c>
      <c r="E276" t="str">
        <f t="shared" si="44"/>
        <v>WEEKDAY</v>
      </c>
      <c r="F276" t="e">
        <f t="shared" si="43"/>
        <v>#N/A</v>
      </c>
      <c r="G276" s="74">
        <v>27770</v>
      </c>
      <c r="H276" s="77">
        <v>0.75</v>
      </c>
      <c r="J276">
        <v>35.06</v>
      </c>
      <c r="M276" s="74">
        <v>37632</v>
      </c>
      <c r="N276" s="77">
        <v>0.75</v>
      </c>
      <c r="P276">
        <v>26.6</v>
      </c>
      <c r="S276" s="74">
        <v>36171</v>
      </c>
      <c r="T276" s="77">
        <v>0.75</v>
      </c>
      <c r="V276">
        <v>21.92</v>
      </c>
      <c r="X276" s="42"/>
      <c r="AB276">
        <v>36.200000000000003</v>
      </c>
      <c r="AC276">
        <v>42.980000000000004</v>
      </c>
      <c r="AE276" s="74"/>
      <c r="AF276" s="77"/>
      <c r="AH276" s="497">
        <v>30.2</v>
      </c>
      <c r="AJ276" s="42"/>
      <c r="AK276" s="74"/>
      <c r="AL276" s="77"/>
      <c r="AN276" s="497">
        <v>28.04</v>
      </c>
      <c r="AP276" s="42"/>
      <c r="AQ276" s="74"/>
      <c r="AR276" s="77"/>
      <c r="AT276" s="497">
        <v>15.98</v>
      </c>
      <c r="AV276" s="42"/>
      <c r="AW276" s="74"/>
      <c r="AX276" s="77"/>
      <c r="BA276" s="497">
        <v>55.58</v>
      </c>
      <c r="BB276" s="42"/>
      <c r="BC276" s="74"/>
      <c r="BD276" s="77"/>
      <c r="BF276">
        <v>51.980000000000004</v>
      </c>
      <c r="BH276" s="42"/>
      <c r="BI276" s="74"/>
      <c r="BJ276" s="77"/>
      <c r="BL276" s="497">
        <v>49.28</v>
      </c>
      <c r="BN276" s="42"/>
      <c r="BO276" s="74"/>
      <c r="BP276" s="77"/>
      <c r="BR276" s="497">
        <v>30.92</v>
      </c>
      <c r="BT276" s="42"/>
    </row>
    <row r="277" spans="1:72" x14ac:dyDescent="0.25">
      <c r="A277" s="90">
        <v>36171</v>
      </c>
      <c r="B277" s="20">
        <v>0.79166666666666663</v>
      </c>
      <c r="D277">
        <v>30.02</v>
      </c>
      <c r="E277" t="str">
        <f t="shared" si="44"/>
        <v>WEEKDAY</v>
      </c>
      <c r="F277" t="e">
        <f t="shared" si="43"/>
        <v>#N/A</v>
      </c>
      <c r="G277" s="74">
        <v>27770</v>
      </c>
      <c r="H277" s="77">
        <v>0.79166666666666663</v>
      </c>
      <c r="J277">
        <v>35.96</v>
      </c>
      <c r="M277" s="74">
        <v>37632</v>
      </c>
      <c r="N277" s="77">
        <v>0.79166666666666663</v>
      </c>
      <c r="P277">
        <v>26.6</v>
      </c>
      <c r="S277" s="74">
        <v>36171</v>
      </c>
      <c r="T277" s="77">
        <v>0.79166666666666663</v>
      </c>
      <c r="V277">
        <v>21.2</v>
      </c>
      <c r="X277" s="42"/>
      <c r="AB277">
        <v>35.6</v>
      </c>
      <c r="AC277">
        <v>41</v>
      </c>
      <c r="AE277" s="74"/>
      <c r="AF277" s="77"/>
      <c r="AH277" s="497">
        <v>30.2</v>
      </c>
      <c r="AJ277" s="42"/>
      <c r="AK277" s="74"/>
      <c r="AL277" s="77"/>
      <c r="AN277" s="497">
        <v>28.94</v>
      </c>
      <c r="AP277" s="42"/>
      <c r="AQ277" s="74"/>
      <c r="AR277" s="77"/>
      <c r="AT277" s="497">
        <v>17.059999999999999</v>
      </c>
      <c r="AV277" s="42"/>
      <c r="AW277" s="74"/>
      <c r="AX277" s="77"/>
      <c r="BA277" s="497">
        <v>55.94</v>
      </c>
      <c r="BB277" s="42"/>
      <c r="BC277" s="74"/>
      <c r="BD277" s="77"/>
      <c r="BF277">
        <v>42.980000000000004</v>
      </c>
      <c r="BH277" s="42"/>
      <c r="BI277" s="74"/>
      <c r="BJ277" s="77"/>
      <c r="BL277" s="497">
        <v>48.92</v>
      </c>
      <c r="BN277" s="42"/>
      <c r="BO277" s="74"/>
      <c r="BP277" s="77"/>
      <c r="BR277" s="497">
        <v>32</v>
      </c>
      <c r="BT277" s="42"/>
    </row>
    <row r="278" spans="1:72" x14ac:dyDescent="0.25">
      <c r="A278" s="90">
        <v>36171</v>
      </c>
      <c r="B278" s="20">
        <v>0.83333333333333337</v>
      </c>
      <c r="D278">
        <v>28.94</v>
      </c>
      <c r="E278" t="str">
        <f t="shared" si="44"/>
        <v>WEEKDAY</v>
      </c>
      <c r="F278" t="e">
        <f t="shared" si="43"/>
        <v>#N/A</v>
      </c>
      <c r="G278" s="74">
        <v>27770</v>
      </c>
      <c r="H278" s="77">
        <v>0.83333333333333337</v>
      </c>
      <c r="J278">
        <v>33.979999999999997</v>
      </c>
      <c r="M278" s="74">
        <v>37632</v>
      </c>
      <c r="N278" s="77">
        <v>0.83333333333333337</v>
      </c>
      <c r="P278">
        <v>24.8</v>
      </c>
      <c r="S278" s="74">
        <v>36171</v>
      </c>
      <c r="T278" s="77">
        <v>0.83333333333333337</v>
      </c>
      <c r="V278">
        <v>21.02</v>
      </c>
      <c r="X278" s="42"/>
      <c r="AB278">
        <v>35.1</v>
      </c>
      <c r="AC278">
        <v>46.94</v>
      </c>
      <c r="AE278" s="74"/>
      <c r="AF278" s="77"/>
      <c r="AH278" s="497">
        <v>30.2</v>
      </c>
      <c r="AJ278" s="42"/>
      <c r="AK278" s="74"/>
      <c r="AL278" s="77"/>
      <c r="AN278" s="497">
        <v>28.04</v>
      </c>
      <c r="AP278" s="42"/>
      <c r="AQ278" s="74"/>
      <c r="AR278" s="77"/>
      <c r="AT278" s="497">
        <v>15.98</v>
      </c>
      <c r="AV278" s="42"/>
      <c r="AW278" s="74"/>
      <c r="AX278" s="77"/>
      <c r="BA278" s="497">
        <v>50.900000000000006</v>
      </c>
      <c r="BB278" s="42"/>
      <c r="BC278" s="74"/>
      <c r="BD278" s="77"/>
      <c r="BF278">
        <v>37.94</v>
      </c>
      <c r="BH278" s="42"/>
      <c r="BI278" s="74"/>
      <c r="BJ278" s="77"/>
      <c r="BL278" s="497">
        <v>44.24</v>
      </c>
      <c r="BN278" s="42"/>
      <c r="BO278" s="74"/>
      <c r="BP278" s="77"/>
      <c r="BR278" s="497">
        <v>33.08</v>
      </c>
      <c r="BT278" s="42"/>
    </row>
    <row r="279" spans="1:72" x14ac:dyDescent="0.25">
      <c r="A279" s="90">
        <v>36171</v>
      </c>
      <c r="B279" s="20">
        <v>0.875</v>
      </c>
      <c r="D279">
        <v>30.92</v>
      </c>
      <c r="E279" t="str">
        <f t="shared" si="44"/>
        <v>WEEKDAY</v>
      </c>
      <c r="F279" t="e">
        <f t="shared" si="43"/>
        <v>#N/A</v>
      </c>
      <c r="G279" s="74">
        <v>27770</v>
      </c>
      <c r="H279" s="77">
        <v>0.875</v>
      </c>
      <c r="J279">
        <v>33.979999999999997</v>
      </c>
      <c r="M279" s="74">
        <v>37632</v>
      </c>
      <c r="N279" s="77">
        <v>0.875</v>
      </c>
      <c r="P279">
        <v>24.8</v>
      </c>
      <c r="S279" s="74">
        <v>36171</v>
      </c>
      <c r="T279" s="77">
        <v>0.875</v>
      </c>
      <c r="V279">
        <v>21.02</v>
      </c>
      <c r="X279" s="42"/>
      <c r="AB279">
        <v>34.700000000000003</v>
      </c>
      <c r="AC279">
        <v>42.980000000000004</v>
      </c>
      <c r="AE279" s="74"/>
      <c r="AF279" s="77"/>
      <c r="AH279" s="497">
        <v>30.2</v>
      </c>
      <c r="AJ279" s="42"/>
      <c r="AK279" s="74"/>
      <c r="AL279" s="77"/>
      <c r="AN279" s="497">
        <v>28.04</v>
      </c>
      <c r="AP279" s="42"/>
      <c r="AQ279" s="74"/>
      <c r="AR279" s="77"/>
      <c r="AT279" s="497">
        <v>15.079999999999998</v>
      </c>
      <c r="AV279" s="42"/>
      <c r="AW279" s="74"/>
      <c r="AX279" s="77"/>
      <c r="BA279" s="497">
        <v>46.04</v>
      </c>
      <c r="BB279" s="42"/>
      <c r="BC279" s="74"/>
      <c r="BD279" s="77"/>
      <c r="BF279">
        <v>35.96</v>
      </c>
      <c r="BH279" s="42"/>
      <c r="BI279" s="74"/>
      <c r="BJ279" s="77"/>
      <c r="BL279" s="497">
        <v>39.74</v>
      </c>
      <c r="BN279" s="42"/>
      <c r="BO279" s="74"/>
      <c r="BP279" s="77"/>
      <c r="BR279" s="497">
        <v>33.979999999999997</v>
      </c>
      <c r="BT279" s="42"/>
    </row>
    <row r="280" spans="1:72" x14ac:dyDescent="0.25">
      <c r="A280" s="90">
        <v>36171</v>
      </c>
      <c r="B280" s="20">
        <v>0.91666666666666663</v>
      </c>
      <c r="D280">
        <v>30.92</v>
      </c>
      <c r="E280" t="str">
        <f t="shared" si="44"/>
        <v>WEEKDAY</v>
      </c>
      <c r="F280" t="e">
        <f t="shared" si="43"/>
        <v>#N/A</v>
      </c>
      <c r="G280" s="74">
        <v>27770</v>
      </c>
      <c r="H280" s="77">
        <v>0.91666666666666663</v>
      </c>
      <c r="J280">
        <v>30.92</v>
      </c>
      <c r="M280" s="74">
        <v>37632</v>
      </c>
      <c r="N280" s="77">
        <v>0.91666666666666663</v>
      </c>
      <c r="P280">
        <v>24.8</v>
      </c>
      <c r="S280" s="74">
        <v>36171</v>
      </c>
      <c r="T280" s="77">
        <v>0.91666666666666663</v>
      </c>
      <c r="V280">
        <v>23</v>
      </c>
      <c r="X280" s="42"/>
      <c r="AB280">
        <v>34.200000000000003</v>
      </c>
      <c r="AC280">
        <v>41</v>
      </c>
      <c r="AE280" s="74"/>
      <c r="AF280" s="77"/>
      <c r="AH280" s="497">
        <v>30.2</v>
      </c>
      <c r="AJ280" s="42"/>
      <c r="AK280" s="74"/>
      <c r="AL280" s="77"/>
      <c r="AN280" s="497">
        <v>26.96</v>
      </c>
      <c r="AP280" s="42"/>
      <c r="AQ280" s="74"/>
      <c r="AR280" s="77"/>
      <c r="AT280" s="497">
        <v>14</v>
      </c>
      <c r="AV280" s="42"/>
      <c r="AW280" s="74"/>
      <c r="AX280" s="77"/>
      <c r="BA280" s="497">
        <v>41</v>
      </c>
      <c r="BB280" s="42"/>
      <c r="BC280" s="74"/>
      <c r="BD280" s="77"/>
      <c r="BF280">
        <v>33.979999999999997</v>
      </c>
      <c r="BH280" s="42"/>
      <c r="BI280" s="74"/>
      <c r="BJ280" s="77"/>
      <c r="BL280" s="497">
        <v>35.06</v>
      </c>
      <c r="BN280" s="42"/>
      <c r="BO280" s="74"/>
      <c r="BP280" s="77"/>
      <c r="BR280" s="497">
        <v>33.979999999999997</v>
      </c>
      <c r="BT280" s="42"/>
    </row>
    <row r="281" spans="1:72" x14ac:dyDescent="0.25">
      <c r="A281" s="90">
        <v>36171</v>
      </c>
      <c r="B281" s="20">
        <v>0.95833333333333337</v>
      </c>
      <c r="D281">
        <v>33.08</v>
      </c>
      <c r="E281" t="str">
        <f t="shared" si="44"/>
        <v>WEEKDAY</v>
      </c>
      <c r="F281" t="e">
        <f t="shared" si="43"/>
        <v>#N/A</v>
      </c>
      <c r="G281" s="74">
        <v>27770</v>
      </c>
      <c r="H281" s="77">
        <v>0.95833333333333337</v>
      </c>
      <c r="J281">
        <v>30.02</v>
      </c>
      <c r="M281" s="74">
        <v>37632</v>
      </c>
      <c r="N281" s="77">
        <v>0.95833333333333337</v>
      </c>
      <c r="P281">
        <v>23</v>
      </c>
      <c r="S281" s="74">
        <v>36171</v>
      </c>
      <c r="T281" s="77">
        <v>0.95833333333333337</v>
      </c>
      <c r="V281">
        <v>24.08</v>
      </c>
      <c r="X281" s="42"/>
      <c r="AB281">
        <v>33.700000000000003</v>
      </c>
      <c r="AC281">
        <v>39.92</v>
      </c>
      <c r="AE281" s="74"/>
      <c r="AF281" s="77"/>
      <c r="AH281" s="497">
        <v>30.2</v>
      </c>
      <c r="AJ281" s="42"/>
      <c r="AK281" s="74"/>
      <c r="AL281" s="77"/>
      <c r="AN281" s="497">
        <v>26.96</v>
      </c>
      <c r="AP281" s="42"/>
      <c r="AQ281" s="74"/>
      <c r="AR281" s="77"/>
      <c r="AT281" s="497">
        <v>12.02</v>
      </c>
      <c r="AV281" s="42"/>
      <c r="AW281" s="74"/>
      <c r="AX281" s="77"/>
      <c r="BA281" s="497">
        <v>39.019999999999996</v>
      </c>
      <c r="BB281" s="42"/>
      <c r="BC281" s="74"/>
      <c r="BD281" s="77"/>
      <c r="BF281">
        <v>32</v>
      </c>
      <c r="BH281" s="42"/>
      <c r="BI281" s="74"/>
      <c r="BJ281" s="77"/>
      <c r="BL281" s="497">
        <v>32.72</v>
      </c>
      <c r="BN281" s="42"/>
      <c r="BO281" s="74"/>
      <c r="BP281" s="77"/>
      <c r="BR281" s="497">
        <v>35.06</v>
      </c>
      <c r="BT281" s="42"/>
    </row>
    <row r="282" spans="1:72" x14ac:dyDescent="0.25">
      <c r="A282" s="90">
        <v>36171</v>
      </c>
      <c r="B282" s="20">
        <v>1</v>
      </c>
      <c r="D282">
        <v>33.979999999999997</v>
      </c>
      <c r="E282" t="str">
        <f t="shared" si="44"/>
        <v>WEEKDAY</v>
      </c>
      <c r="F282" t="e">
        <f t="shared" si="43"/>
        <v>#N/A</v>
      </c>
      <c r="G282" s="74">
        <v>27770</v>
      </c>
      <c r="H282" s="77">
        <v>1</v>
      </c>
      <c r="J282">
        <v>28.04</v>
      </c>
      <c r="M282" s="74">
        <v>37632</v>
      </c>
      <c r="N282" s="80">
        <v>1</v>
      </c>
      <c r="P282">
        <v>23</v>
      </c>
      <c r="S282" s="74">
        <v>36171</v>
      </c>
      <c r="T282" s="80">
        <v>1</v>
      </c>
      <c r="V282">
        <v>26.96</v>
      </c>
      <c r="X282" s="42"/>
      <c r="AB282">
        <v>33.299999999999997</v>
      </c>
      <c r="AC282">
        <v>39.92</v>
      </c>
      <c r="AE282" s="74"/>
      <c r="AF282" s="80"/>
      <c r="AH282" s="497">
        <v>30.2</v>
      </c>
      <c r="AJ282" s="42"/>
      <c r="AK282" s="74"/>
      <c r="AL282" s="80"/>
      <c r="AN282" s="497">
        <v>28.94</v>
      </c>
      <c r="AP282" s="42"/>
      <c r="AQ282" s="74"/>
      <c r="AR282" s="80"/>
      <c r="AT282" s="497">
        <v>10.940000000000001</v>
      </c>
      <c r="AV282" s="42"/>
      <c r="AW282" s="74"/>
      <c r="AX282" s="80"/>
      <c r="BA282" s="497">
        <v>37.04</v>
      </c>
      <c r="BB282" s="42"/>
      <c r="BC282" s="74"/>
      <c r="BD282" s="80"/>
      <c r="BF282">
        <v>30.02</v>
      </c>
      <c r="BH282" s="42"/>
      <c r="BI282" s="74"/>
      <c r="BJ282" s="80"/>
      <c r="BL282" s="497">
        <v>30.38</v>
      </c>
      <c r="BN282" s="42"/>
      <c r="BO282" s="74"/>
      <c r="BP282" s="80"/>
      <c r="BR282" s="497">
        <v>35.96</v>
      </c>
      <c r="BT282" s="42"/>
    </row>
    <row r="283" spans="1:72" x14ac:dyDescent="0.25">
      <c r="A283" s="90">
        <v>36172</v>
      </c>
      <c r="B283" s="20">
        <v>4.1666666666666664E-2</v>
      </c>
      <c r="D283">
        <v>35.06</v>
      </c>
      <c r="E283" t="str">
        <f t="shared" si="44"/>
        <v>WEEKDAY</v>
      </c>
      <c r="F283" t="e">
        <f t="shared" si="43"/>
        <v>#N/A</v>
      </c>
      <c r="G283" s="74">
        <v>27771</v>
      </c>
      <c r="H283" s="77">
        <v>4.1666666666666664E-2</v>
      </c>
      <c r="J283">
        <v>26.96</v>
      </c>
      <c r="M283" s="74">
        <v>37633</v>
      </c>
      <c r="N283" s="77">
        <v>4.1666666666666664E-2</v>
      </c>
      <c r="P283">
        <v>21.2</v>
      </c>
      <c r="S283" s="74">
        <v>36172</v>
      </c>
      <c r="T283" s="77">
        <v>4.1666666666666664E-2</v>
      </c>
      <c r="V283">
        <v>30.02</v>
      </c>
      <c r="X283" s="42"/>
      <c r="AB283">
        <v>32.799999999999997</v>
      </c>
      <c r="AC283">
        <v>39.92</v>
      </c>
      <c r="AE283" s="74"/>
      <c r="AF283" s="77"/>
      <c r="AH283" s="497">
        <v>30.2</v>
      </c>
      <c r="AJ283" s="42"/>
      <c r="AK283" s="74"/>
      <c r="AL283" s="77"/>
      <c r="AN283" s="497">
        <v>30.02</v>
      </c>
      <c r="AP283" s="42"/>
      <c r="AQ283" s="74"/>
      <c r="AR283" s="77"/>
      <c r="AT283" s="497">
        <v>10.940000000000001</v>
      </c>
      <c r="AV283" s="42"/>
      <c r="AW283" s="74"/>
      <c r="AX283" s="77"/>
      <c r="BA283" s="497">
        <v>35.06</v>
      </c>
      <c r="BB283" s="42"/>
      <c r="BC283" s="74"/>
      <c r="BD283" s="77"/>
      <c r="BF283">
        <v>26.96</v>
      </c>
      <c r="BH283" s="42"/>
      <c r="BI283" s="74"/>
      <c r="BJ283" s="77"/>
      <c r="BL283" s="497">
        <v>28.04</v>
      </c>
      <c r="BN283" s="42"/>
      <c r="BO283" s="74"/>
      <c r="BP283" s="77"/>
      <c r="BR283" s="497">
        <v>37.04</v>
      </c>
      <c r="BT283" s="42"/>
    </row>
    <row r="284" spans="1:72" x14ac:dyDescent="0.25">
      <c r="A284" s="90">
        <v>36172</v>
      </c>
      <c r="B284" s="20">
        <v>8.3333333333333329E-2</v>
      </c>
      <c r="D284">
        <v>35.06</v>
      </c>
      <c r="E284" t="str">
        <f t="shared" si="44"/>
        <v>WEEKDAY</v>
      </c>
      <c r="F284" t="e">
        <f t="shared" si="43"/>
        <v>#N/A</v>
      </c>
      <c r="G284" s="74">
        <v>27771</v>
      </c>
      <c r="H284" s="77">
        <v>8.3333333333333329E-2</v>
      </c>
      <c r="J284">
        <v>26.060000000000002</v>
      </c>
      <c r="M284" s="74">
        <v>37633</v>
      </c>
      <c r="N284" s="77">
        <v>8.3333333333333329E-2</v>
      </c>
      <c r="P284">
        <v>21.2</v>
      </c>
      <c r="S284" s="74">
        <v>36172</v>
      </c>
      <c r="T284" s="77">
        <v>8.3333333333333329E-2</v>
      </c>
      <c r="V284">
        <v>35.06</v>
      </c>
      <c r="X284" s="42"/>
      <c r="AB284">
        <v>32.299999999999997</v>
      </c>
      <c r="AC284">
        <v>41</v>
      </c>
      <c r="AE284" s="74"/>
      <c r="AF284" s="77"/>
      <c r="AH284" s="497">
        <v>32</v>
      </c>
      <c r="AJ284" s="42"/>
      <c r="AK284" s="74"/>
      <c r="AL284" s="77"/>
      <c r="AN284" s="497">
        <v>30.02</v>
      </c>
      <c r="AP284" s="42"/>
      <c r="AQ284" s="74"/>
      <c r="AR284" s="77"/>
      <c r="AT284" s="497">
        <v>8.0599999999999987</v>
      </c>
      <c r="AV284" s="42"/>
      <c r="AW284" s="74"/>
      <c r="AX284" s="77"/>
      <c r="BA284" s="497">
        <v>32.36</v>
      </c>
      <c r="BB284" s="42"/>
      <c r="BC284" s="74"/>
      <c r="BD284" s="77"/>
      <c r="BF284">
        <v>24.98</v>
      </c>
      <c r="BH284" s="42"/>
      <c r="BI284" s="74"/>
      <c r="BJ284" s="77"/>
      <c r="BL284" s="497">
        <v>25.34</v>
      </c>
      <c r="BN284" s="42"/>
      <c r="BO284" s="74"/>
      <c r="BP284" s="77"/>
      <c r="BR284" s="497">
        <v>37.94</v>
      </c>
      <c r="BT284" s="42"/>
    </row>
    <row r="285" spans="1:72" x14ac:dyDescent="0.25">
      <c r="A285" s="90">
        <v>36172</v>
      </c>
      <c r="B285" s="20">
        <v>0.125</v>
      </c>
      <c r="D285">
        <v>37.04</v>
      </c>
      <c r="E285" t="str">
        <f t="shared" si="44"/>
        <v>WEEKDAY</v>
      </c>
      <c r="F285" t="e">
        <f t="shared" si="43"/>
        <v>#N/A</v>
      </c>
      <c r="G285" s="74">
        <v>27771</v>
      </c>
      <c r="H285" s="77">
        <v>0.125</v>
      </c>
      <c r="J285">
        <v>26.060000000000002</v>
      </c>
      <c r="M285" s="74">
        <v>37633</v>
      </c>
      <c r="N285" s="77">
        <v>0.125</v>
      </c>
      <c r="P285">
        <v>21.2</v>
      </c>
      <c r="S285" s="74">
        <v>36172</v>
      </c>
      <c r="T285" s="77">
        <v>0.125</v>
      </c>
      <c r="V285">
        <v>39.92</v>
      </c>
      <c r="X285" s="42"/>
      <c r="AB285">
        <v>32.1</v>
      </c>
      <c r="AC285">
        <v>41</v>
      </c>
      <c r="AE285" s="74"/>
      <c r="AF285" s="77"/>
      <c r="AH285" s="497">
        <v>32</v>
      </c>
      <c r="AJ285" s="42"/>
      <c r="AK285" s="74"/>
      <c r="AL285" s="77"/>
      <c r="AN285" s="497">
        <v>30.92</v>
      </c>
      <c r="AP285" s="42"/>
      <c r="AQ285" s="74"/>
      <c r="AR285" s="77"/>
      <c r="AT285" s="497">
        <v>8.9599999999999973</v>
      </c>
      <c r="AV285" s="42"/>
      <c r="AW285" s="74"/>
      <c r="AX285" s="77"/>
      <c r="BA285" s="497">
        <v>29.66</v>
      </c>
      <c r="BB285" s="42"/>
      <c r="BC285" s="74"/>
      <c r="BD285" s="77"/>
      <c r="BF285">
        <v>21.92</v>
      </c>
      <c r="BH285" s="42"/>
      <c r="BI285" s="74"/>
      <c r="BJ285" s="77"/>
      <c r="BL285" s="497">
        <v>22.64</v>
      </c>
      <c r="BN285" s="42"/>
      <c r="BO285" s="74"/>
      <c r="BP285" s="77"/>
      <c r="BR285" s="497">
        <v>39.019999999999996</v>
      </c>
      <c r="BT285" s="42"/>
    </row>
    <row r="286" spans="1:72" x14ac:dyDescent="0.25">
      <c r="A286" s="90">
        <v>36172</v>
      </c>
      <c r="B286" s="20">
        <v>0.16666666666666666</v>
      </c>
      <c r="D286">
        <v>37.94</v>
      </c>
      <c r="E286" t="str">
        <f t="shared" si="44"/>
        <v>WEEKDAY</v>
      </c>
      <c r="F286" t="e">
        <f t="shared" si="43"/>
        <v>#N/A</v>
      </c>
      <c r="G286" s="74">
        <v>27771</v>
      </c>
      <c r="H286" s="77">
        <v>0.16666666666666666</v>
      </c>
      <c r="J286">
        <v>26.060000000000002</v>
      </c>
      <c r="M286" s="74">
        <v>37633</v>
      </c>
      <c r="N286" s="77">
        <v>0.16666666666666666</v>
      </c>
      <c r="P286">
        <v>21.2</v>
      </c>
      <c r="S286" s="74">
        <v>36172</v>
      </c>
      <c r="T286" s="77">
        <v>0.16666666666666666</v>
      </c>
      <c r="V286">
        <v>42.08</v>
      </c>
      <c r="X286" s="42"/>
      <c r="AB286">
        <v>31.8</v>
      </c>
      <c r="AC286">
        <v>39.92</v>
      </c>
      <c r="AE286" s="74"/>
      <c r="AF286" s="77"/>
      <c r="AH286" s="497">
        <v>32</v>
      </c>
      <c r="AJ286" s="42"/>
      <c r="AK286" s="74"/>
      <c r="AL286" s="77"/>
      <c r="AN286" s="497">
        <v>30.92</v>
      </c>
      <c r="AP286" s="42"/>
      <c r="AQ286" s="74"/>
      <c r="AR286" s="77"/>
      <c r="AT286" s="497">
        <v>8.0599999999999987</v>
      </c>
      <c r="AV286" s="42"/>
      <c r="AW286" s="74"/>
      <c r="AX286" s="77"/>
      <c r="BA286" s="497">
        <v>26.96</v>
      </c>
      <c r="BB286" s="42"/>
      <c r="BC286" s="74"/>
      <c r="BD286" s="77"/>
      <c r="BF286">
        <v>19.939999999999998</v>
      </c>
      <c r="BH286" s="42"/>
      <c r="BI286" s="74"/>
      <c r="BJ286" s="77"/>
      <c r="BL286" s="497">
        <v>19.939999999999998</v>
      </c>
      <c r="BN286" s="42"/>
      <c r="BO286" s="74"/>
      <c r="BP286" s="77"/>
      <c r="BR286" s="497">
        <v>39.92</v>
      </c>
      <c r="BT286" s="42"/>
    </row>
    <row r="287" spans="1:72" x14ac:dyDescent="0.25">
      <c r="A287" s="90">
        <v>36172</v>
      </c>
      <c r="B287" s="20">
        <v>0.20833333333333334</v>
      </c>
      <c r="D287">
        <v>37.04</v>
      </c>
      <c r="E287" t="str">
        <f t="shared" si="44"/>
        <v>WEEKDAY</v>
      </c>
      <c r="F287" t="e">
        <f t="shared" si="43"/>
        <v>#N/A</v>
      </c>
      <c r="G287" s="74">
        <v>27771</v>
      </c>
      <c r="H287" s="77">
        <v>0.20833333333333334</v>
      </c>
      <c r="J287">
        <v>26.060000000000002</v>
      </c>
      <c r="M287" s="74">
        <v>37633</v>
      </c>
      <c r="N287" s="77">
        <v>0.20833333333333334</v>
      </c>
      <c r="P287">
        <v>21.2</v>
      </c>
      <c r="S287" s="74">
        <v>36172</v>
      </c>
      <c r="T287" s="77">
        <v>0.20833333333333334</v>
      </c>
      <c r="V287">
        <v>37.94</v>
      </c>
      <c r="X287" s="42"/>
      <c r="AB287">
        <v>31.6</v>
      </c>
      <c r="AC287">
        <v>39.92</v>
      </c>
      <c r="AE287" s="74"/>
      <c r="AF287" s="77"/>
      <c r="AH287" s="497">
        <v>32</v>
      </c>
      <c r="AJ287" s="42"/>
      <c r="AK287" s="74"/>
      <c r="AL287" s="77"/>
      <c r="AN287" s="497">
        <v>32</v>
      </c>
      <c r="AP287" s="42"/>
      <c r="AQ287" s="74"/>
      <c r="AR287" s="77"/>
      <c r="AT287" s="497">
        <v>6.0799999999999983</v>
      </c>
      <c r="AV287" s="42"/>
      <c r="AW287" s="74"/>
      <c r="AX287" s="77"/>
      <c r="BA287" s="497">
        <v>25.34</v>
      </c>
      <c r="BB287" s="42"/>
      <c r="BC287" s="74"/>
      <c r="BD287" s="77"/>
      <c r="BF287">
        <v>19.04</v>
      </c>
      <c r="BH287" s="42"/>
      <c r="BI287" s="74"/>
      <c r="BJ287" s="77"/>
      <c r="BL287" s="497">
        <v>19.22</v>
      </c>
      <c r="BN287" s="42"/>
      <c r="BO287" s="74"/>
      <c r="BP287" s="77"/>
      <c r="BR287" s="497">
        <v>41</v>
      </c>
      <c r="BT287" s="42"/>
    </row>
    <row r="288" spans="1:72" x14ac:dyDescent="0.25">
      <c r="A288" s="90">
        <v>36172</v>
      </c>
      <c r="B288" s="20">
        <v>0.25</v>
      </c>
      <c r="D288">
        <v>37.04</v>
      </c>
      <c r="E288" t="str">
        <f t="shared" si="44"/>
        <v>WEEKDAY</v>
      </c>
      <c r="F288" t="e">
        <f t="shared" si="43"/>
        <v>#N/A</v>
      </c>
      <c r="G288" s="74">
        <v>27771</v>
      </c>
      <c r="H288" s="77">
        <v>0.25</v>
      </c>
      <c r="J288">
        <v>26.060000000000002</v>
      </c>
      <c r="M288" s="74">
        <v>37633</v>
      </c>
      <c r="N288" s="77">
        <v>0.25</v>
      </c>
      <c r="P288">
        <v>21.2</v>
      </c>
      <c r="S288" s="74">
        <v>36172</v>
      </c>
      <c r="T288" s="77">
        <v>0.25</v>
      </c>
      <c r="V288">
        <v>35.06</v>
      </c>
      <c r="X288" s="42"/>
      <c r="AB288">
        <v>31.4</v>
      </c>
      <c r="AC288">
        <v>39.92</v>
      </c>
      <c r="AE288" s="74"/>
      <c r="AF288" s="77"/>
      <c r="AH288" s="497">
        <v>32</v>
      </c>
      <c r="AJ288" s="42"/>
      <c r="AK288" s="74"/>
      <c r="AL288" s="77"/>
      <c r="AN288" s="497">
        <v>32</v>
      </c>
      <c r="AP288" s="42"/>
      <c r="AQ288" s="74"/>
      <c r="AR288" s="77"/>
      <c r="AT288" s="497">
        <v>5</v>
      </c>
      <c r="AV288" s="42"/>
      <c r="AW288" s="74"/>
      <c r="AX288" s="77"/>
      <c r="BA288" s="497">
        <v>23.54</v>
      </c>
      <c r="BB288" s="42"/>
      <c r="BC288" s="74"/>
      <c r="BD288" s="77"/>
      <c r="BF288">
        <v>19.04</v>
      </c>
      <c r="BH288" s="42"/>
      <c r="BI288" s="74"/>
      <c r="BJ288" s="77"/>
      <c r="BL288" s="497">
        <v>18.68</v>
      </c>
      <c r="BN288" s="42"/>
      <c r="BO288" s="74"/>
      <c r="BP288" s="77"/>
      <c r="BR288" s="497">
        <v>41</v>
      </c>
      <c r="BT288" s="42"/>
    </row>
    <row r="289" spans="1:72" x14ac:dyDescent="0.25">
      <c r="A289" s="90">
        <v>36172</v>
      </c>
      <c r="B289" s="20">
        <v>0.29166666666666669</v>
      </c>
      <c r="D289">
        <v>37.04</v>
      </c>
      <c r="E289" t="str">
        <f t="shared" si="44"/>
        <v>WEEKDAY</v>
      </c>
      <c r="F289" t="e">
        <f t="shared" si="43"/>
        <v>#N/A</v>
      </c>
      <c r="G289" s="74">
        <v>27771</v>
      </c>
      <c r="H289" s="77">
        <v>0.29166666666666669</v>
      </c>
      <c r="J289">
        <v>26.060000000000002</v>
      </c>
      <c r="M289" s="74">
        <v>37633</v>
      </c>
      <c r="N289" s="77">
        <v>0.29166666666666669</v>
      </c>
      <c r="P289">
        <v>21.2</v>
      </c>
      <c r="S289" s="74">
        <v>36172</v>
      </c>
      <c r="T289" s="77">
        <v>0.29166666666666669</v>
      </c>
      <c r="V289">
        <v>35.96</v>
      </c>
      <c r="X289" s="42"/>
      <c r="AB289">
        <v>31.3</v>
      </c>
      <c r="AC289">
        <v>39.92</v>
      </c>
      <c r="AE289" s="74"/>
      <c r="AF289" s="77"/>
      <c r="AH289" s="497">
        <v>33.799999999999997</v>
      </c>
      <c r="AJ289" s="42"/>
      <c r="AK289" s="74"/>
      <c r="AL289" s="77"/>
      <c r="AN289" s="497">
        <v>33.08</v>
      </c>
      <c r="AP289" s="42"/>
      <c r="AQ289" s="74"/>
      <c r="AR289" s="77"/>
      <c r="AT289" s="497">
        <v>3.019999999999996</v>
      </c>
      <c r="AV289" s="42"/>
      <c r="AW289" s="74"/>
      <c r="AX289" s="77"/>
      <c r="BA289" s="497">
        <v>21.92</v>
      </c>
      <c r="BB289" s="42"/>
      <c r="BC289" s="74"/>
      <c r="BD289" s="77"/>
      <c r="BF289">
        <v>17.059999999999999</v>
      </c>
      <c r="BH289" s="42"/>
      <c r="BI289" s="74"/>
      <c r="BJ289" s="77"/>
      <c r="BL289" s="497">
        <v>17.96</v>
      </c>
      <c r="BN289" s="42"/>
      <c r="BO289" s="74"/>
      <c r="BP289" s="77"/>
      <c r="BR289" s="497">
        <v>41</v>
      </c>
      <c r="BT289" s="42"/>
    </row>
    <row r="290" spans="1:72" x14ac:dyDescent="0.25">
      <c r="A290" s="90">
        <v>36172</v>
      </c>
      <c r="B290" s="20">
        <v>0.33333333333333331</v>
      </c>
      <c r="D290">
        <v>33.08</v>
      </c>
      <c r="E290" t="str">
        <f t="shared" si="44"/>
        <v>WEEKDAY</v>
      </c>
      <c r="F290" t="e">
        <f t="shared" si="43"/>
        <v>#N/A</v>
      </c>
      <c r="G290" s="74">
        <v>27771</v>
      </c>
      <c r="H290" s="77">
        <v>0.33333333333333331</v>
      </c>
      <c r="J290">
        <v>26.96</v>
      </c>
      <c r="M290" s="74">
        <v>37633</v>
      </c>
      <c r="N290" s="77">
        <v>0.33333333333333331</v>
      </c>
      <c r="P290">
        <v>21.2</v>
      </c>
      <c r="S290" s="74">
        <v>36172</v>
      </c>
      <c r="T290" s="77">
        <v>0.33333333333333331</v>
      </c>
      <c r="V290">
        <v>37.94</v>
      </c>
      <c r="X290" s="42"/>
      <c r="AB290">
        <v>31.2</v>
      </c>
      <c r="AC290">
        <v>39.92</v>
      </c>
      <c r="AE290" s="74"/>
      <c r="AF290" s="77"/>
      <c r="AH290" s="497">
        <v>33.799999999999997</v>
      </c>
      <c r="AJ290" s="42"/>
      <c r="AK290" s="74"/>
      <c r="AL290" s="77"/>
      <c r="AN290" s="497">
        <v>33.08</v>
      </c>
      <c r="AP290" s="42"/>
      <c r="AQ290" s="74"/>
      <c r="AR290" s="77"/>
      <c r="AT290" s="497">
        <v>3.9200000000000017</v>
      </c>
      <c r="AV290" s="42"/>
      <c r="AW290" s="74"/>
      <c r="AX290" s="77"/>
      <c r="BA290" s="497">
        <v>20.299999999999997</v>
      </c>
      <c r="BB290" s="42"/>
      <c r="BC290" s="74"/>
      <c r="BD290" s="77"/>
      <c r="BF290">
        <v>15.079999999999998</v>
      </c>
      <c r="BH290" s="42"/>
      <c r="BI290" s="74"/>
      <c r="BJ290" s="77"/>
      <c r="BL290" s="497">
        <v>16.340000000000003</v>
      </c>
      <c r="BN290" s="42"/>
      <c r="BO290" s="74"/>
      <c r="BP290" s="77"/>
      <c r="BR290" s="497">
        <v>41</v>
      </c>
      <c r="BT290" s="42"/>
    </row>
    <row r="291" spans="1:72" x14ac:dyDescent="0.25">
      <c r="A291" s="90">
        <v>36172</v>
      </c>
      <c r="B291" s="20">
        <v>0.375</v>
      </c>
      <c r="D291">
        <v>32</v>
      </c>
      <c r="E291" t="str">
        <f t="shared" si="44"/>
        <v>WEEKDAY</v>
      </c>
      <c r="F291" t="e">
        <f t="shared" si="43"/>
        <v>#N/A</v>
      </c>
      <c r="G291" s="74">
        <v>27771</v>
      </c>
      <c r="H291" s="77">
        <v>0.375</v>
      </c>
      <c r="J291">
        <v>28.94</v>
      </c>
      <c r="M291" s="74">
        <v>37633</v>
      </c>
      <c r="N291" s="77">
        <v>0.375</v>
      </c>
      <c r="P291">
        <v>24.8</v>
      </c>
      <c r="S291" s="74">
        <v>36172</v>
      </c>
      <c r="T291" s="77">
        <v>0.375</v>
      </c>
      <c r="V291">
        <v>39.019999999999996</v>
      </c>
      <c r="X291" s="42"/>
      <c r="AB291">
        <v>31.4</v>
      </c>
      <c r="AC291">
        <v>42.08</v>
      </c>
      <c r="AE291" s="74"/>
      <c r="AF291" s="77"/>
      <c r="AH291" s="497">
        <v>33.799999999999997</v>
      </c>
      <c r="AJ291" s="42"/>
      <c r="AK291" s="74"/>
      <c r="AL291" s="77"/>
      <c r="AN291" s="497">
        <v>35.06</v>
      </c>
      <c r="AP291" s="42"/>
      <c r="AQ291" s="74"/>
      <c r="AR291" s="77"/>
      <c r="AT291" s="497">
        <v>8.0599999999999987</v>
      </c>
      <c r="AV291" s="42"/>
      <c r="AW291" s="74"/>
      <c r="AX291" s="77"/>
      <c r="BA291" s="497">
        <v>18.68</v>
      </c>
      <c r="BB291" s="42"/>
      <c r="BC291" s="74"/>
      <c r="BD291" s="77"/>
      <c r="BF291">
        <v>12.02</v>
      </c>
      <c r="BH291" s="42"/>
      <c r="BI291" s="74"/>
      <c r="BJ291" s="77"/>
      <c r="BL291" s="497">
        <v>14.54</v>
      </c>
      <c r="BN291" s="42"/>
      <c r="BO291" s="74"/>
      <c r="BP291" s="77"/>
      <c r="BR291" s="497">
        <v>41</v>
      </c>
      <c r="BT291" s="42"/>
    </row>
    <row r="292" spans="1:72" x14ac:dyDescent="0.25">
      <c r="A292" s="90">
        <v>36172</v>
      </c>
      <c r="B292" s="20">
        <v>0.41666666666666669</v>
      </c>
      <c r="D292">
        <v>32</v>
      </c>
      <c r="E292" t="str">
        <f t="shared" si="44"/>
        <v>WEEKDAY</v>
      </c>
      <c r="F292" t="e">
        <f t="shared" si="43"/>
        <v>#N/A</v>
      </c>
      <c r="G292" s="74">
        <v>27771</v>
      </c>
      <c r="H292" s="77">
        <v>0.41666666666666669</v>
      </c>
      <c r="J292">
        <v>32</v>
      </c>
      <c r="M292" s="74">
        <v>37633</v>
      </c>
      <c r="N292" s="77">
        <v>0.41666666666666669</v>
      </c>
      <c r="P292">
        <v>26.6</v>
      </c>
      <c r="S292" s="74">
        <v>36172</v>
      </c>
      <c r="T292" s="77">
        <v>0.41666666666666669</v>
      </c>
      <c r="V292">
        <v>39.92</v>
      </c>
      <c r="X292" s="42"/>
      <c r="AB292">
        <v>32.799999999999997</v>
      </c>
      <c r="AC292">
        <v>42.980000000000004</v>
      </c>
      <c r="AE292" s="74"/>
      <c r="AF292" s="77"/>
      <c r="AH292" s="497">
        <v>33.799999999999997</v>
      </c>
      <c r="AJ292" s="42"/>
      <c r="AK292" s="74"/>
      <c r="AL292" s="77"/>
      <c r="AN292" s="497">
        <v>37.94</v>
      </c>
      <c r="AP292" s="42"/>
      <c r="AQ292" s="74"/>
      <c r="AR292" s="77"/>
      <c r="AT292" s="497">
        <v>15.98</v>
      </c>
      <c r="AV292" s="42"/>
      <c r="AW292" s="74"/>
      <c r="AX292" s="77"/>
      <c r="BA292" s="497">
        <v>17.059999999999999</v>
      </c>
      <c r="BB292" s="42"/>
      <c r="BC292" s="74"/>
      <c r="BD292" s="77"/>
      <c r="BF292">
        <v>14</v>
      </c>
      <c r="BH292" s="42"/>
      <c r="BI292" s="74"/>
      <c r="BJ292" s="77"/>
      <c r="BL292" s="497">
        <v>12.920000000000002</v>
      </c>
      <c r="BN292" s="42"/>
      <c r="BO292" s="74"/>
      <c r="BP292" s="77"/>
      <c r="BR292" s="497">
        <v>41</v>
      </c>
      <c r="BT292" s="42"/>
    </row>
    <row r="293" spans="1:72" x14ac:dyDescent="0.25">
      <c r="A293" s="90">
        <v>36172</v>
      </c>
      <c r="B293" s="20">
        <v>0.45833333333333331</v>
      </c>
      <c r="D293">
        <v>33.08</v>
      </c>
      <c r="E293" t="str">
        <f t="shared" si="44"/>
        <v>WEEKDAY</v>
      </c>
      <c r="F293" t="e">
        <f t="shared" si="43"/>
        <v>#N/A</v>
      </c>
      <c r="G293" s="74">
        <v>27771</v>
      </c>
      <c r="H293" s="77">
        <v>0.45833333333333331</v>
      </c>
      <c r="J293">
        <v>33.08</v>
      </c>
      <c r="M293" s="74">
        <v>37633</v>
      </c>
      <c r="N293" s="77">
        <v>0.45833333333333331</v>
      </c>
      <c r="P293">
        <v>28.4</v>
      </c>
      <c r="S293" s="74">
        <v>36172</v>
      </c>
      <c r="T293" s="77">
        <v>0.45833333333333331</v>
      </c>
      <c r="V293">
        <v>42.08</v>
      </c>
      <c r="X293" s="42"/>
      <c r="AB293">
        <v>34.1</v>
      </c>
      <c r="AC293">
        <v>44.06</v>
      </c>
      <c r="AE293" s="74"/>
      <c r="AF293" s="77"/>
      <c r="AH293" s="497">
        <v>33.799999999999997</v>
      </c>
      <c r="AJ293" s="42"/>
      <c r="AK293" s="74"/>
      <c r="AL293" s="77"/>
      <c r="AN293" s="497">
        <v>39.019999999999996</v>
      </c>
      <c r="AP293" s="42"/>
      <c r="AQ293" s="74"/>
      <c r="AR293" s="77"/>
      <c r="AT293" s="497">
        <v>17.96</v>
      </c>
      <c r="AV293" s="42"/>
      <c r="AW293" s="74"/>
      <c r="AX293" s="77"/>
      <c r="BA293" s="497">
        <v>18.32</v>
      </c>
      <c r="BB293" s="42"/>
      <c r="BC293" s="74"/>
      <c r="BD293" s="77"/>
      <c r="BF293">
        <v>15.98</v>
      </c>
      <c r="BH293" s="42"/>
      <c r="BI293" s="74"/>
      <c r="BJ293" s="77"/>
      <c r="BL293" s="497">
        <v>14.899999999999999</v>
      </c>
      <c r="BN293" s="42"/>
      <c r="BO293" s="74"/>
      <c r="BP293" s="77"/>
      <c r="BR293" s="497">
        <v>42.08</v>
      </c>
      <c r="BT293" s="42"/>
    </row>
    <row r="294" spans="1:72" x14ac:dyDescent="0.25">
      <c r="A294" s="90">
        <v>36172</v>
      </c>
      <c r="B294" s="20">
        <v>0.5</v>
      </c>
      <c r="D294">
        <v>32</v>
      </c>
      <c r="E294" t="str">
        <f t="shared" si="44"/>
        <v>WEEKDAY</v>
      </c>
      <c r="F294" t="e">
        <f t="shared" si="43"/>
        <v>#N/A</v>
      </c>
      <c r="G294" s="74">
        <v>27771</v>
      </c>
      <c r="H294" s="77">
        <v>0.5</v>
      </c>
      <c r="J294">
        <v>33.979999999999997</v>
      </c>
      <c r="M294" s="74">
        <v>37633</v>
      </c>
      <c r="N294" s="77">
        <v>0.5</v>
      </c>
      <c r="P294">
        <v>30.2</v>
      </c>
      <c r="S294" s="74">
        <v>36172</v>
      </c>
      <c r="T294" s="77">
        <v>0.5</v>
      </c>
      <c r="V294">
        <v>44.96</v>
      </c>
      <c r="X294" s="42"/>
      <c r="AB294">
        <v>35.299999999999997</v>
      </c>
      <c r="AC294">
        <v>44.96</v>
      </c>
      <c r="AE294" s="74"/>
      <c r="AF294" s="77"/>
      <c r="AH294" s="497">
        <v>33.799999999999997</v>
      </c>
      <c r="AJ294" s="42"/>
      <c r="AK294" s="74"/>
      <c r="AL294" s="77"/>
      <c r="AN294" s="497">
        <v>41</v>
      </c>
      <c r="AP294" s="42"/>
      <c r="AQ294" s="74"/>
      <c r="AR294" s="77"/>
      <c r="AT294" s="497">
        <v>19.939999999999998</v>
      </c>
      <c r="AV294" s="42"/>
      <c r="AW294" s="74"/>
      <c r="AX294" s="77"/>
      <c r="BA294" s="497">
        <v>19.759999999999998</v>
      </c>
      <c r="BB294" s="42"/>
      <c r="BC294" s="74"/>
      <c r="BD294" s="77"/>
      <c r="BF294">
        <v>17.96</v>
      </c>
      <c r="BH294" s="42"/>
      <c r="BI294" s="74"/>
      <c r="BJ294" s="77"/>
      <c r="BL294" s="497">
        <v>17.059999999999999</v>
      </c>
      <c r="BN294" s="42"/>
      <c r="BO294" s="74"/>
      <c r="BP294" s="77"/>
      <c r="BR294" s="497">
        <v>42.08</v>
      </c>
      <c r="BT294" s="42"/>
    </row>
    <row r="295" spans="1:72" x14ac:dyDescent="0.25">
      <c r="A295" s="90">
        <v>36172</v>
      </c>
      <c r="B295" s="20">
        <v>0.54166666666666663</v>
      </c>
      <c r="D295">
        <v>33.08</v>
      </c>
      <c r="E295" t="str">
        <f t="shared" si="44"/>
        <v>WEEKDAY</v>
      </c>
      <c r="F295" t="e">
        <f t="shared" si="43"/>
        <v>#N/A</v>
      </c>
      <c r="G295" s="74">
        <v>27771</v>
      </c>
      <c r="H295" s="77">
        <v>0.54166666666666663</v>
      </c>
      <c r="J295">
        <v>35.06</v>
      </c>
      <c r="M295" s="74">
        <v>37633</v>
      </c>
      <c r="N295" s="77">
        <v>0.54166666666666663</v>
      </c>
      <c r="P295">
        <v>32</v>
      </c>
      <c r="S295" s="74">
        <v>36172</v>
      </c>
      <c r="T295" s="77">
        <v>0.54166666666666663</v>
      </c>
      <c r="V295">
        <v>48.019999999999996</v>
      </c>
      <c r="X295" s="42"/>
      <c r="AB295">
        <v>36.4</v>
      </c>
      <c r="AC295">
        <v>46.04</v>
      </c>
      <c r="AE295" s="74"/>
      <c r="AF295" s="77"/>
      <c r="AH295" s="497">
        <v>33.799999999999997</v>
      </c>
      <c r="AJ295" s="42"/>
      <c r="AK295" s="74"/>
      <c r="AL295" s="77"/>
      <c r="AN295" s="497">
        <v>42.08</v>
      </c>
      <c r="AP295" s="42"/>
      <c r="AQ295" s="74"/>
      <c r="AR295" s="77"/>
      <c r="AT295" s="497">
        <v>21.02</v>
      </c>
      <c r="AV295" s="42"/>
      <c r="AW295" s="74"/>
      <c r="AX295" s="77"/>
      <c r="BA295" s="497">
        <v>21.02</v>
      </c>
      <c r="BB295" s="42"/>
      <c r="BC295" s="74"/>
      <c r="BD295" s="77"/>
      <c r="BF295">
        <v>19.04</v>
      </c>
      <c r="BH295" s="42"/>
      <c r="BI295" s="74"/>
      <c r="BJ295" s="77"/>
      <c r="BL295" s="497">
        <v>19.04</v>
      </c>
      <c r="BN295" s="42"/>
      <c r="BO295" s="74"/>
      <c r="BP295" s="77"/>
      <c r="BR295" s="497">
        <v>41</v>
      </c>
      <c r="BT295" s="42"/>
    </row>
    <row r="296" spans="1:72" x14ac:dyDescent="0.25">
      <c r="A296" s="90">
        <v>36172</v>
      </c>
      <c r="B296" s="20">
        <v>0.58333333333333337</v>
      </c>
      <c r="D296">
        <v>33.08</v>
      </c>
      <c r="E296" t="str">
        <f t="shared" si="44"/>
        <v>WEEKDAY</v>
      </c>
      <c r="F296" t="e">
        <f t="shared" si="43"/>
        <v>#N/A</v>
      </c>
      <c r="G296" s="74">
        <v>27771</v>
      </c>
      <c r="H296" s="77">
        <v>0.58333333333333337</v>
      </c>
      <c r="J296">
        <v>35.96</v>
      </c>
      <c r="M296" s="74">
        <v>37633</v>
      </c>
      <c r="N296" s="77">
        <v>0.58333333333333337</v>
      </c>
      <c r="P296">
        <v>33.799999999999997</v>
      </c>
      <c r="S296" s="74">
        <v>36172</v>
      </c>
      <c r="T296" s="77">
        <v>0.58333333333333337</v>
      </c>
      <c r="V296">
        <v>46.94</v>
      </c>
      <c r="X296" s="42"/>
      <c r="AB296">
        <v>37.1</v>
      </c>
      <c r="AC296">
        <v>46.04</v>
      </c>
      <c r="AE296" s="74"/>
      <c r="AF296" s="77"/>
      <c r="AH296" s="497">
        <v>33.799999999999997</v>
      </c>
      <c r="AJ296" s="42"/>
      <c r="AK296" s="74"/>
      <c r="AL296" s="77"/>
      <c r="AN296" s="497">
        <v>44.06</v>
      </c>
      <c r="AP296" s="42"/>
      <c r="AQ296" s="74"/>
      <c r="AR296" s="77"/>
      <c r="AT296" s="497">
        <v>23</v>
      </c>
      <c r="AV296" s="42"/>
      <c r="AW296" s="74"/>
      <c r="AX296" s="77"/>
      <c r="BA296" s="497">
        <v>21.740000000000002</v>
      </c>
      <c r="BB296" s="42"/>
      <c r="BC296" s="74"/>
      <c r="BD296" s="77"/>
      <c r="BF296">
        <v>21.02</v>
      </c>
      <c r="BH296" s="42"/>
      <c r="BI296" s="74"/>
      <c r="BJ296" s="77"/>
      <c r="BL296" s="497">
        <v>19.399999999999999</v>
      </c>
      <c r="BN296" s="42"/>
      <c r="BO296" s="74"/>
      <c r="BP296" s="77"/>
      <c r="BR296" s="497">
        <v>41</v>
      </c>
      <c r="BT296" s="42"/>
    </row>
    <row r="297" spans="1:72" x14ac:dyDescent="0.25">
      <c r="A297" s="90">
        <v>36172</v>
      </c>
      <c r="B297" s="20">
        <v>0.625</v>
      </c>
      <c r="D297">
        <v>33.979999999999997</v>
      </c>
      <c r="E297" t="str">
        <f t="shared" si="44"/>
        <v>WEEKDAY</v>
      </c>
      <c r="F297" t="e">
        <f t="shared" si="43"/>
        <v>#N/A</v>
      </c>
      <c r="G297" s="74">
        <v>27771</v>
      </c>
      <c r="H297" s="77">
        <v>0.625</v>
      </c>
      <c r="J297">
        <v>35.06</v>
      </c>
      <c r="M297" s="74">
        <v>37633</v>
      </c>
      <c r="N297" s="77">
        <v>0.625</v>
      </c>
      <c r="P297">
        <v>33.799999999999997</v>
      </c>
      <c r="S297" s="74">
        <v>36172</v>
      </c>
      <c r="T297" s="77">
        <v>0.625</v>
      </c>
      <c r="V297">
        <v>48.019999999999996</v>
      </c>
      <c r="X297" s="42"/>
      <c r="AB297">
        <v>37.6</v>
      </c>
      <c r="AC297">
        <v>46.04</v>
      </c>
      <c r="AE297" s="74"/>
      <c r="AF297" s="77"/>
      <c r="AH297" s="497">
        <v>33.799999999999997</v>
      </c>
      <c r="AJ297" s="42"/>
      <c r="AK297" s="74"/>
      <c r="AL297" s="77"/>
      <c r="AN297" s="497">
        <v>44.06</v>
      </c>
      <c r="AP297" s="42"/>
      <c r="AQ297" s="74"/>
      <c r="AR297" s="77"/>
      <c r="AT297" s="497">
        <v>24.08</v>
      </c>
      <c r="AV297" s="42"/>
      <c r="AW297" s="74"/>
      <c r="AX297" s="77"/>
      <c r="BA297" s="497">
        <v>22.28</v>
      </c>
      <c r="BB297" s="42"/>
      <c r="BC297" s="74"/>
      <c r="BD297" s="77"/>
      <c r="BF297">
        <v>21.92</v>
      </c>
      <c r="BH297" s="42"/>
      <c r="BI297" s="74"/>
      <c r="BJ297" s="77"/>
      <c r="BL297" s="497">
        <v>19.579999999999998</v>
      </c>
      <c r="BN297" s="42"/>
      <c r="BO297" s="74"/>
      <c r="BP297" s="77"/>
      <c r="BR297" s="497">
        <v>39.92</v>
      </c>
      <c r="BT297" s="42"/>
    </row>
    <row r="298" spans="1:72" x14ac:dyDescent="0.25">
      <c r="A298" s="90">
        <v>36172</v>
      </c>
      <c r="B298" s="20">
        <v>0.66666666666666663</v>
      </c>
      <c r="D298">
        <v>33.979999999999997</v>
      </c>
      <c r="E298" t="str">
        <f t="shared" si="44"/>
        <v>WEEKDAY</v>
      </c>
      <c r="F298" t="e">
        <f t="shared" si="43"/>
        <v>#N/A</v>
      </c>
      <c r="G298" s="74">
        <v>27771</v>
      </c>
      <c r="H298" s="77">
        <v>0.66666666666666663</v>
      </c>
      <c r="J298">
        <v>35.06</v>
      </c>
      <c r="M298" s="74">
        <v>37633</v>
      </c>
      <c r="N298" s="77">
        <v>0.66666666666666663</v>
      </c>
      <c r="P298">
        <v>32</v>
      </c>
      <c r="S298" s="74">
        <v>36172</v>
      </c>
      <c r="T298" s="77">
        <v>0.66666666666666663</v>
      </c>
      <c r="V298">
        <v>46.94</v>
      </c>
      <c r="X298" s="42"/>
      <c r="AB298">
        <v>37.6</v>
      </c>
      <c r="AC298">
        <v>44.96</v>
      </c>
      <c r="AE298" s="74"/>
      <c r="AF298" s="77"/>
      <c r="AH298" s="497">
        <v>33.799999999999997</v>
      </c>
      <c r="AJ298" s="42"/>
      <c r="AK298" s="74"/>
      <c r="AL298" s="77"/>
      <c r="AN298" s="497">
        <v>44.06</v>
      </c>
      <c r="AP298" s="42"/>
      <c r="AQ298" s="74"/>
      <c r="AR298" s="77"/>
      <c r="AT298" s="497">
        <v>23</v>
      </c>
      <c r="AV298" s="42"/>
      <c r="AW298" s="74"/>
      <c r="AX298" s="77"/>
      <c r="BA298" s="497">
        <v>23</v>
      </c>
      <c r="BB298" s="42"/>
      <c r="BC298" s="74"/>
      <c r="BD298" s="77"/>
      <c r="BF298">
        <v>21.02</v>
      </c>
      <c r="BH298" s="42"/>
      <c r="BI298" s="74"/>
      <c r="BJ298" s="77"/>
      <c r="BL298" s="497">
        <v>19.939999999999998</v>
      </c>
      <c r="BN298" s="42"/>
      <c r="BO298" s="74"/>
      <c r="BP298" s="77"/>
      <c r="BR298" s="497">
        <v>39.92</v>
      </c>
      <c r="BT298" s="42"/>
    </row>
    <row r="299" spans="1:72" x14ac:dyDescent="0.25">
      <c r="A299" s="90">
        <v>36172</v>
      </c>
      <c r="B299" s="20">
        <v>0.70833333333333337</v>
      </c>
      <c r="D299">
        <v>33.979999999999997</v>
      </c>
      <c r="E299" t="str">
        <f t="shared" si="44"/>
        <v>WEEKDAY</v>
      </c>
      <c r="F299" t="e">
        <f t="shared" ref="F299:F362" si="45">IF(E299="WEEKDAY",VLOOKUP(B299,$DD$19:$DG$42,2),IF(E299="SATURDAY",VLOOKUP(B299,$DD$19:$DG$42,3),VLOOKUP(B299,$DD$19:$DG$42,4)))</f>
        <v>#N/A</v>
      </c>
      <c r="G299" s="74">
        <v>27771</v>
      </c>
      <c r="H299" s="77">
        <v>0.70833333333333337</v>
      </c>
      <c r="J299">
        <v>33.979999999999997</v>
      </c>
      <c r="M299" s="74">
        <v>37633</v>
      </c>
      <c r="N299" s="77">
        <v>0.70833333333333337</v>
      </c>
      <c r="P299">
        <v>30.2</v>
      </c>
      <c r="S299" s="74">
        <v>36172</v>
      </c>
      <c r="T299" s="77">
        <v>0.70833333333333337</v>
      </c>
      <c r="V299">
        <v>42.980000000000004</v>
      </c>
      <c r="X299" s="42"/>
      <c r="AB299">
        <v>37.1</v>
      </c>
      <c r="AC299">
        <v>42.08</v>
      </c>
      <c r="AE299" s="74"/>
      <c r="AF299" s="77"/>
      <c r="AH299" s="497">
        <v>33.799999999999997</v>
      </c>
      <c r="AJ299" s="42"/>
      <c r="AK299" s="74"/>
      <c r="AL299" s="77"/>
      <c r="AN299" s="497">
        <v>42.08</v>
      </c>
      <c r="AP299" s="42"/>
      <c r="AQ299" s="74"/>
      <c r="AR299" s="77"/>
      <c r="AT299" s="497">
        <v>21.02</v>
      </c>
      <c r="AV299" s="42"/>
      <c r="AW299" s="74"/>
      <c r="AX299" s="77"/>
      <c r="BA299" s="497">
        <v>23</v>
      </c>
      <c r="BB299" s="42"/>
      <c r="BC299" s="74"/>
      <c r="BD299" s="77"/>
      <c r="BF299">
        <v>19.939999999999998</v>
      </c>
      <c r="BH299" s="42"/>
      <c r="BI299" s="74"/>
      <c r="BJ299" s="77"/>
      <c r="BL299" s="497">
        <v>19.22</v>
      </c>
      <c r="BN299" s="42"/>
      <c r="BO299" s="74"/>
      <c r="BP299" s="77"/>
      <c r="BR299" s="497">
        <v>39.019999999999996</v>
      </c>
      <c r="BT299" s="42"/>
    </row>
    <row r="300" spans="1:72" x14ac:dyDescent="0.25">
      <c r="A300" s="90">
        <v>36172</v>
      </c>
      <c r="B300" s="20">
        <v>0.75</v>
      </c>
      <c r="D300">
        <v>33.979999999999997</v>
      </c>
      <c r="E300" t="str">
        <f t="shared" si="44"/>
        <v>WEEKDAY</v>
      </c>
      <c r="F300" t="e">
        <f t="shared" si="45"/>
        <v>#N/A</v>
      </c>
      <c r="G300" s="74">
        <v>27771</v>
      </c>
      <c r="H300" s="77">
        <v>0.75</v>
      </c>
      <c r="J300">
        <v>32</v>
      </c>
      <c r="M300" s="74">
        <v>37633</v>
      </c>
      <c r="N300" s="77">
        <v>0.75</v>
      </c>
      <c r="P300">
        <v>30.2</v>
      </c>
      <c r="S300" s="74">
        <v>36172</v>
      </c>
      <c r="T300" s="77">
        <v>0.75</v>
      </c>
      <c r="V300">
        <v>41</v>
      </c>
      <c r="X300" s="42"/>
      <c r="AB300">
        <v>36</v>
      </c>
      <c r="AC300">
        <v>39.92</v>
      </c>
      <c r="AE300" s="74"/>
      <c r="AF300" s="77"/>
      <c r="AH300" s="497">
        <v>33.799999999999997</v>
      </c>
      <c r="AJ300" s="42"/>
      <c r="AK300" s="74"/>
      <c r="AL300" s="77"/>
      <c r="AN300" s="497">
        <v>39.92</v>
      </c>
      <c r="AP300" s="42"/>
      <c r="AQ300" s="74"/>
      <c r="AR300" s="77"/>
      <c r="AT300" s="497">
        <v>19.939999999999998</v>
      </c>
      <c r="AV300" s="42"/>
      <c r="AW300" s="74"/>
      <c r="AX300" s="77"/>
      <c r="BA300" s="497">
        <v>23</v>
      </c>
      <c r="BB300" s="42"/>
      <c r="BC300" s="74"/>
      <c r="BD300" s="77"/>
      <c r="BF300">
        <v>17.96</v>
      </c>
      <c r="BH300" s="42"/>
      <c r="BI300" s="74"/>
      <c r="BJ300" s="77"/>
      <c r="BL300" s="497">
        <v>18.68</v>
      </c>
      <c r="BN300" s="42"/>
      <c r="BO300" s="74"/>
      <c r="BP300" s="77"/>
      <c r="BR300" s="497">
        <v>39.019999999999996</v>
      </c>
      <c r="BT300" s="42"/>
    </row>
    <row r="301" spans="1:72" x14ac:dyDescent="0.25">
      <c r="A301" s="90">
        <v>36172</v>
      </c>
      <c r="B301" s="20">
        <v>0.79166666666666663</v>
      </c>
      <c r="D301">
        <v>33.979999999999997</v>
      </c>
      <c r="E301" t="str">
        <f t="shared" si="44"/>
        <v>WEEKDAY</v>
      </c>
      <c r="F301" t="e">
        <f t="shared" si="45"/>
        <v>#N/A</v>
      </c>
      <c r="G301" s="74">
        <v>27771</v>
      </c>
      <c r="H301" s="77">
        <v>0.79166666666666663</v>
      </c>
      <c r="J301">
        <v>30.92</v>
      </c>
      <c r="M301" s="74">
        <v>37633</v>
      </c>
      <c r="N301" s="77">
        <v>0.79166666666666663</v>
      </c>
      <c r="P301">
        <v>28.4</v>
      </c>
      <c r="S301" s="74">
        <v>36172</v>
      </c>
      <c r="T301" s="77">
        <v>0.79166666666666663</v>
      </c>
      <c r="V301">
        <v>42.08</v>
      </c>
      <c r="X301" s="42"/>
      <c r="AB301">
        <v>35.4</v>
      </c>
      <c r="AC301">
        <v>39.019999999999996</v>
      </c>
      <c r="AE301" s="74"/>
      <c r="AF301" s="77"/>
      <c r="AH301" s="497">
        <v>33.799999999999997</v>
      </c>
      <c r="AJ301" s="42"/>
      <c r="AK301" s="74"/>
      <c r="AL301" s="77"/>
      <c r="AN301" s="497">
        <v>39.019999999999996</v>
      </c>
      <c r="AP301" s="42"/>
      <c r="AQ301" s="74"/>
      <c r="AR301" s="77"/>
      <c r="AT301" s="497">
        <v>21.02</v>
      </c>
      <c r="AV301" s="42"/>
      <c r="AW301" s="74"/>
      <c r="AX301" s="77"/>
      <c r="BA301" s="497">
        <v>23</v>
      </c>
      <c r="BB301" s="42"/>
      <c r="BC301" s="74"/>
      <c r="BD301" s="77"/>
      <c r="BF301">
        <v>17.96</v>
      </c>
      <c r="BH301" s="42"/>
      <c r="BI301" s="74"/>
      <c r="BJ301" s="77"/>
      <c r="BL301" s="497">
        <v>17.96</v>
      </c>
      <c r="BN301" s="42"/>
      <c r="BO301" s="74"/>
      <c r="BP301" s="77"/>
      <c r="BR301" s="497">
        <v>37.94</v>
      </c>
      <c r="BT301" s="42"/>
    </row>
    <row r="302" spans="1:72" x14ac:dyDescent="0.25">
      <c r="A302" s="90">
        <v>36172</v>
      </c>
      <c r="B302" s="20">
        <v>0.83333333333333337</v>
      </c>
      <c r="D302">
        <v>33.979999999999997</v>
      </c>
      <c r="E302" t="str">
        <f t="shared" si="44"/>
        <v>WEEKDAY</v>
      </c>
      <c r="F302" t="e">
        <f t="shared" si="45"/>
        <v>#N/A</v>
      </c>
      <c r="G302" s="74">
        <v>27771</v>
      </c>
      <c r="H302" s="77">
        <v>0.83333333333333337</v>
      </c>
      <c r="J302">
        <v>30.02</v>
      </c>
      <c r="M302" s="74">
        <v>37633</v>
      </c>
      <c r="N302" s="77">
        <v>0.83333333333333337</v>
      </c>
      <c r="P302">
        <v>28.4</v>
      </c>
      <c r="S302" s="74">
        <v>36172</v>
      </c>
      <c r="T302" s="77">
        <v>0.83333333333333337</v>
      </c>
      <c r="V302">
        <v>44.06</v>
      </c>
      <c r="X302" s="42"/>
      <c r="AB302">
        <v>35</v>
      </c>
      <c r="AC302">
        <v>33.08</v>
      </c>
      <c r="AE302" s="74"/>
      <c r="AF302" s="77"/>
      <c r="AH302" s="497">
        <v>33.799999999999997</v>
      </c>
      <c r="AJ302" s="42"/>
      <c r="AK302" s="74"/>
      <c r="AL302" s="77"/>
      <c r="AN302" s="497">
        <v>39.019999999999996</v>
      </c>
      <c r="AP302" s="42"/>
      <c r="AQ302" s="74"/>
      <c r="AR302" s="77"/>
      <c r="AT302" s="497">
        <v>23</v>
      </c>
      <c r="AV302" s="42"/>
      <c r="AW302" s="74"/>
      <c r="AX302" s="77"/>
      <c r="BA302" s="497">
        <v>22.28</v>
      </c>
      <c r="BB302" s="42"/>
      <c r="BC302" s="74"/>
      <c r="BD302" s="77"/>
      <c r="BF302">
        <v>17.96</v>
      </c>
      <c r="BH302" s="42"/>
      <c r="BI302" s="74"/>
      <c r="BJ302" s="77"/>
      <c r="BL302" s="497">
        <v>17.240000000000002</v>
      </c>
      <c r="BN302" s="42"/>
      <c r="BO302" s="74"/>
      <c r="BP302" s="77"/>
      <c r="BR302" s="497">
        <v>37.04</v>
      </c>
      <c r="BT302" s="42"/>
    </row>
    <row r="303" spans="1:72" x14ac:dyDescent="0.25">
      <c r="A303" s="90">
        <v>36172</v>
      </c>
      <c r="B303" s="20">
        <v>0.875</v>
      </c>
      <c r="D303">
        <v>33.979999999999997</v>
      </c>
      <c r="E303" t="str">
        <f t="shared" si="44"/>
        <v>WEEKDAY</v>
      </c>
      <c r="F303" t="e">
        <f t="shared" si="45"/>
        <v>#N/A</v>
      </c>
      <c r="G303" s="74">
        <v>27771</v>
      </c>
      <c r="H303" s="77">
        <v>0.875</v>
      </c>
      <c r="J303">
        <v>28.94</v>
      </c>
      <c r="M303" s="74">
        <v>37633</v>
      </c>
      <c r="N303" s="77">
        <v>0.875</v>
      </c>
      <c r="P303">
        <v>26.6</v>
      </c>
      <c r="S303" s="74">
        <v>36172</v>
      </c>
      <c r="T303" s="77">
        <v>0.875</v>
      </c>
      <c r="V303">
        <v>42.08</v>
      </c>
      <c r="X303" s="42"/>
      <c r="AB303">
        <v>34.5</v>
      </c>
      <c r="AC303">
        <v>33.979999999999997</v>
      </c>
      <c r="AE303" s="74"/>
      <c r="AF303" s="77"/>
      <c r="AH303" s="497">
        <v>33.799999999999997</v>
      </c>
      <c r="AJ303" s="42"/>
      <c r="AK303" s="74"/>
      <c r="AL303" s="77"/>
      <c r="AN303" s="497">
        <v>39.019999999999996</v>
      </c>
      <c r="AP303" s="42"/>
      <c r="AQ303" s="74"/>
      <c r="AR303" s="77"/>
      <c r="AT303" s="497">
        <v>24.98</v>
      </c>
      <c r="AV303" s="42"/>
      <c r="AW303" s="74"/>
      <c r="AX303" s="77"/>
      <c r="BA303" s="497">
        <v>21.740000000000002</v>
      </c>
      <c r="BB303" s="42"/>
      <c r="BC303" s="74"/>
      <c r="BD303" s="77"/>
      <c r="BF303">
        <v>17.96</v>
      </c>
      <c r="BH303" s="42"/>
      <c r="BI303" s="74"/>
      <c r="BJ303" s="77"/>
      <c r="BL303" s="497">
        <v>16.7</v>
      </c>
      <c r="BN303" s="42"/>
      <c r="BO303" s="74"/>
      <c r="BP303" s="77"/>
      <c r="BR303" s="497">
        <v>35.96</v>
      </c>
      <c r="BT303" s="42"/>
    </row>
    <row r="304" spans="1:72" x14ac:dyDescent="0.25">
      <c r="A304" s="90">
        <v>36172</v>
      </c>
      <c r="B304" s="20">
        <v>0.91666666666666663</v>
      </c>
      <c r="D304">
        <v>35.06</v>
      </c>
      <c r="E304" t="str">
        <f t="shared" si="44"/>
        <v>WEEKDAY</v>
      </c>
      <c r="F304" t="e">
        <f t="shared" si="45"/>
        <v>#N/A</v>
      </c>
      <c r="G304" s="74">
        <v>27771</v>
      </c>
      <c r="H304" s="77">
        <v>0.91666666666666663</v>
      </c>
      <c r="J304">
        <v>28.94</v>
      </c>
      <c r="M304" s="74">
        <v>37633</v>
      </c>
      <c r="N304" s="77">
        <v>0.91666666666666663</v>
      </c>
      <c r="P304">
        <v>26.6</v>
      </c>
      <c r="S304" s="74">
        <v>36172</v>
      </c>
      <c r="T304" s="77">
        <v>0.91666666666666663</v>
      </c>
      <c r="V304">
        <v>41</v>
      </c>
      <c r="X304" s="42"/>
      <c r="AB304">
        <v>34</v>
      </c>
      <c r="AC304">
        <v>37.04</v>
      </c>
      <c r="AE304" s="74"/>
      <c r="AF304" s="77"/>
      <c r="AH304" s="497">
        <v>33.799999999999997</v>
      </c>
      <c r="AJ304" s="42"/>
      <c r="AK304" s="74"/>
      <c r="AL304" s="77"/>
      <c r="AN304" s="497">
        <v>37.94</v>
      </c>
      <c r="AP304" s="42"/>
      <c r="AQ304" s="74"/>
      <c r="AR304" s="77"/>
      <c r="AT304" s="497">
        <v>24.98</v>
      </c>
      <c r="AV304" s="42"/>
      <c r="AW304" s="74"/>
      <c r="AX304" s="77"/>
      <c r="BA304" s="497">
        <v>21.02</v>
      </c>
      <c r="BB304" s="42"/>
      <c r="BC304" s="74"/>
      <c r="BD304" s="77"/>
      <c r="BF304">
        <v>17.059999999999999</v>
      </c>
      <c r="BH304" s="42"/>
      <c r="BI304" s="74"/>
      <c r="BJ304" s="77"/>
      <c r="BL304" s="497">
        <v>15.98</v>
      </c>
      <c r="BN304" s="42"/>
      <c r="BO304" s="74"/>
      <c r="BP304" s="77"/>
      <c r="BR304" s="497">
        <v>35.96</v>
      </c>
      <c r="BT304" s="42"/>
    </row>
    <row r="305" spans="1:72" x14ac:dyDescent="0.25">
      <c r="A305" s="90">
        <v>36172</v>
      </c>
      <c r="B305" s="20">
        <v>0.95833333333333337</v>
      </c>
      <c r="D305">
        <v>35.06</v>
      </c>
      <c r="E305" t="str">
        <f t="shared" si="44"/>
        <v>WEEKDAY</v>
      </c>
      <c r="F305" t="e">
        <f t="shared" si="45"/>
        <v>#N/A</v>
      </c>
      <c r="G305" s="74">
        <v>27771</v>
      </c>
      <c r="H305" s="77">
        <v>0.95833333333333337</v>
      </c>
      <c r="J305">
        <v>28.04</v>
      </c>
      <c r="M305" s="74">
        <v>37633</v>
      </c>
      <c r="N305" s="77">
        <v>0.95833333333333337</v>
      </c>
      <c r="P305">
        <v>26.6</v>
      </c>
      <c r="S305" s="74">
        <v>36172</v>
      </c>
      <c r="T305" s="77">
        <v>0.95833333333333337</v>
      </c>
      <c r="V305">
        <v>42.08</v>
      </c>
      <c r="X305" s="42"/>
      <c r="AB305">
        <v>33.5</v>
      </c>
      <c r="AC305">
        <v>33.08</v>
      </c>
      <c r="AE305" s="74"/>
      <c r="AF305" s="77"/>
      <c r="AH305" s="497">
        <v>33.799999999999997</v>
      </c>
      <c r="AJ305" s="42"/>
      <c r="AK305" s="74"/>
      <c r="AL305" s="77"/>
      <c r="AN305" s="497">
        <v>35.96</v>
      </c>
      <c r="AP305" s="42"/>
      <c r="AQ305" s="74"/>
      <c r="AR305" s="77"/>
      <c r="AT305" s="497">
        <v>24.98</v>
      </c>
      <c r="AV305" s="42"/>
      <c r="AW305" s="74"/>
      <c r="AX305" s="77"/>
      <c r="BA305" s="497">
        <v>21.740000000000002</v>
      </c>
      <c r="BB305" s="42"/>
      <c r="BC305" s="74"/>
      <c r="BD305" s="77"/>
      <c r="BF305">
        <v>17.96</v>
      </c>
      <c r="BH305" s="42"/>
      <c r="BI305" s="74"/>
      <c r="BJ305" s="77"/>
      <c r="BL305" s="497">
        <v>14.899999999999999</v>
      </c>
      <c r="BN305" s="42"/>
      <c r="BO305" s="74"/>
      <c r="BP305" s="77"/>
      <c r="BR305" s="497">
        <v>35.06</v>
      </c>
      <c r="BT305" s="42"/>
    </row>
    <row r="306" spans="1:72" x14ac:dyDescent="0.25">
      <c r="A306" s="90">
        <v>36172</v>
      </c>
      <c r="B306" s="20">
        <v>1</v>
      </c>
      <c r="D306">
        <v>35.96</v>
      </c>
      <c r="E306" t="str">
        <f t="shared" si="44"/>
        <v>WEEKDAY</v>
      </c>
      <c r="F306" t="e">
        <f t="shared" si="45"/>
        <v>#N/A</v>
      </c>
      <c r="G306" s="74">
        <v>27771</v>
      </c>
      <c r="H306" s="77">
        <v>1</v>
      </c>
      <c r="J306">
        <v>26.96</v>
      </c>
      <c r="M306" s="74">
        <v>37633</v>
      </c>
      <c r="N306" s="80">
        <v>1</v>
      </c>
      <c r="P306">
        <v>24.8</v>
      </c>
      <c r="S306" s="74">
        <v>36172</v>
      </c>
      <c r="T306" s="80">
        <v>1</v>
      </c>
      <c r="V306">
        <v>42.08</v>
      </c>
      <c r="X306" s="42"/>
      <c r="AB306">
        <v>33.1</v>
      </c>
      <c r="AC306">
        <v>33.979999999999997</v>
      </c>
      <c r="AE306" s="74"/>
      <c r="AF306" s="80"/>
      <c r="AH306" s="497">
        <v>33.799999999999997</v>
      </c>
      <c r="AJ306" s="42"/>
      <c r="AK306" s="74"/>
      <c r="AL306" s="80"/>
      <c r="AN306" s="497">
        <v>35.06</v>
      </c>
      <c r="AP306" s="42"/>
      <c r="AQ306" s="74"/>
      <c r="AR306" s="80"/>
      <c r="AT306" s="497">
        <v>24.98</v>
      </c>
      <c r="AV306" s="42"/>
      <c r="AW306" s="74"/>
      <c r="AX306" s="80"/>
      <c r="BA306" s="497">
        <v>22.28</v>
      </c>
      <c r="BB306" s="42"/>
      <c r="BC306" s="74"/>
      <c r="BD306" s="80"/>
      <c r="BF306">
        <v>17.059999999999999</v>
      </c>
      <c r="BH306" s="42"/>
      <c r="BI306" s="74"/>
      <c r="BJ306" s="80"/>
      <c r="BL306" s="497">
        <v>14</v>
      </c>
      <c r="BN306" s="42"/>
      <c r="BO306" s="74"/>
      <c r="BP306" s="80"/>
      <c r="BR306" s="497">
        <v>33.979999999999997</v>
      </c>
      <c r="BT306" s="42"/>
    </row>
    <row r="307" spans="1:72" x14ac:dyDescent="0.25">
      <c r="A307" s="90">
        <v>36173</v>
      </c>
      <c r="B307" s="20">
        <v>4.1666666666666664E-2</v>
      </c>
      <c r="D307">
        <v>35.96</v>
      </c>
      <c r="E307" t="str">
        <f t="shared" si="44"/>
        <v>WEEKDAY</v>
      </c>
      <c r="F307" t="e">
        <f t="shared" si="45"/>
        <v>#N/A</v>
      </c>
      <c r="G307" s="74">
        <v>27772</v>
      </c>
      <c r="H307" s="77">
        <v>4.1666666666666664E-2</v>
      </c>
      <c r="J307">
        <v>26.96</v>
      </c>
      <c r="M307" s="74">
        <v>37634</v>
      </c>
      <c r="N307" s="77">
        <v>4.1666666666666664E-2</v>
      </c>
      <c r="P307">
        <v>24.8</v>
      </c>
      <c r="S307" s="74">
        <v>36173</v>
      </c>
      <c r="T307" s="77">
        <v>4.1666666666666664E-2</v>
      </c>
      <c r="V307">
        <v>39.92</v>
      </c>
      <c r="X307" s="42"/>
      <c r="AB307">
        <v>32.700000000000003</v>
      </c>
      <c r="AC307">
        <v>35.96</v>
      </c>
      <c r="AE307" s="74"/>
      <c r="AF307" s="77"/>
      <c r="AH307" s="497">
        <v>33.799999999999997</v>
      </c>
      <c r="AJ307" s="42"/>
      <c r="AK307" s="74"/>
      <c r="AL307" s="77"/>
      <c r="AN307" s="497">
        <v>35.06</v>
      </c>
      <c r="AP307" s="42"/>
      <c r="AQ307" s="74"/>
      <c r="AR307" s="77"/>
      <c r="AT307" s="497">
        <v>26.96</v>
      </c>
      <c r="AV307" s="42"/>
      <c r="AW307" s="74"/>
      <c r="AX307" s="77"/>
      <c r="BA307" s="497">
        <v>23</v>
      </c>
      <c r="BB307" s="42"/>
      <c r="BC307" s="74"/>
      <c r="BD307" s="77"/>
      <c r="BF307">
        <v>17.059999999999999</v>
      </c>
      <c r="BH307" s="42"/>
      <c r="BI307" s="74"/>
      <c r="BJ307" s="77"/>
      <c r="BL307" s="497">
        <v>12.920000000000002</v>
      </c>
      <c r="BN307" s="42"/>
      <c r="BO307" s="74"/>
      <c r="BP307" s="77"/>
      <c r="BR307" s="497">
        <v>33.979999999999997</v>
      </c>
      <c r="BT307" s="42"/>
    </row>
    <row r="308" spans="1:72" x14ac:dyDescent="0.25">
      <c r="A308" s="90">
        <v>36173</v>
      </c>
      <c r="B308" s="20">
        <v>8.3333333333333329E-2</v>
      </c>
      <c r="D308">
        <v>37.04</v>
      </c>
      <c r="E308" t="str">
        <f t="shared" si="44"/>
        <v>WEEKDAY</v>
      </c>
      <c r="F308" t="e">
        <f t="shared" si="45"/>
        <v>#N/A</v>
      </c>
      <c r="G308" s="74">
        <v>27772</v>
      </c>
      <c r="H308" s="77">
        <v>8.3333333333333329E-2</v>
      </c>
      <c r="J308">
        <v>26.060000000000002</v>
      </c>
      <c r="M308" s="74">
        <v>37634</v>
      </c>
      <c r="N308" s="77">
        <v>8.3333333333333329E-2</v>
      </c>
      <c r="P308">
        <v>23</v>
      </c>
      <c r="S308" s="74">
        <v>36173</v>
      </c>
      <c r="T308" s="77">
        <v>8.3333333333333329E-2</v>
      </c>
      <c r="V308">
        <v>39.019999999999996</v>
      </c>
      <c r="X308" s="42"/>
      <c r="AB308">
        <v>32.1</v>
      </c>
      <c r="AC308">
        <v>35.96</v>
      </c>
      <c r="AE308" s="74"/>
      <c r="AF308" s="77"/>
      <c r="AH308" s="497">
        <v>33.799999999999997</v>
      </c>
      <c r="AJ308" s="42"/>
      <c r="AK308" s="74"/>
      <c r="AL308" s="77"/>
      <c r="AN308" s="497">
        <v>33.979999999999997</v>
      </c>
      <c r="AP308" s="42"/>
      <c r="AQ308" s="74"/>
      <c r="AR308" s="77"/>
      <c r="AT308" s="497">
        <v>26.96</v>
      </c>
      <c r="AV308" s="42"/>
      <c r="AW308" s="74"/>
      <c r="AX308" s="77"/>
      <c r="BA308" s="497">
        <v>22.64</v>
      </c>
      <c r="BB308" s="42"/>
      <c r="BC308" s="74"/>
      <c r="BD308" s="77"/>
      <c r="BF308">
        <v>17.059999999999999</v>
      </c>
      <c r="BH308" s="42"/>
      <c r="BI308" s="74"/>
      <c r="BJ308" s="77"/>
      <c r="BL308" s="497">
        <v>14</v>
      </c>
      <c r="BN308" s="42"/>
      <c r="BO308" s="74"/>
      <c r="BP308" s="77"/>
      <c r="BR308" s="497">
        <v>33.979999999999997</v>
      </c>
      <c r="BT308" s="42"/>
    </row>
    <row r="309" spans="1:72" x14ac:dyDescent="0.25">
      <c r="A309" s="90">
        <v>36173</v>
      </c>
      <c r="B309" s="20">
        <v>0.125</v>
      </c>
      <c r="D309">
        <v>37.94</v>
      </c>
      <c r="E309" t="str">
        <f t="shared" si="44"/>
        <v>WEEKDAY</v>
      </c>
      <c r="F309" t="e">
        <f t="shared" si="45"/>
        <v>#N/A</v>
      </c>
      <c r="G309" s="74">
        <v>27772</v>
      </c>
      <c r="H309" s="77">
        <v>0.125</v>
      </c>
      <c r="J309">
        <v>26.060000000000002</v>
      </c>
      <c r="M309" s="74">
        <v>37634</v>
      </c>
      <c r="N309" s="77">
        <v>0.125</v>
      </c>
      <c r="P309">
        <v>23</v>
      </c>
      <c r="S309" s="74">
        <v>36173</v>
      </c>
      <c r="T309" s="77">
        <v>0.125</v>
      </c>
      <c r="V309">
        <v>37.94</v>
      </c>
      <c r="X309" s="42"/>
      <c r="AB309">
        <v>31.9</v>
      </c>
      <c r="AC309">
        <v>33.979999999999997</v>
      </c>
      <c r="AE309" s="74"/>
      <c r="AF309" s="77"/>
      <c r="AH309" s="497">
        <v>33.799999999999997</v>
      </c>
      <c r="AJ309" s="42"/>
      <c r="AK309" s="74"/>
      <c r="AL309" s="77"/>
      <c r="AN309" s="497">
        <v>33.08</v>
      </c>
      <c r="AP309" s="42"/>
      <c r="AQ309" s="74"/>
      <c r="AR309" s="77"/>
      <c r="AT309" s="497">
        <v>26.060000000000002</v>
      </c>
      <c r="AV309" s="42"/>
      <c r="AW309" s="74"/>
      <c r="AX309" s="77"/>
      <c r="BA309" s="497">
        <v>22.28</v>
      </c>
      <c r="BB309" s="42"/>
      <c r="BC309" s="74"/>
      <c r="BD309" s="77"/>
      <c r="BF309">
        <v>17.059999999999999</v>
      </c>
      <c r="BH309" s="42"/>
      <c r="BI309" s="74"/>
      <c r="BJ309" s="77"/>
      <c r="BL309" s="497">
        <v>14.899999999999999</v>
      </c>
      <c r="BN309" s="42"/>
      <c r="BO309" s="74"/>
      <c r="BP309" s="77"/>
      <c r="BR309" s="497">
        <v>33.979999999999997</v>
      </c>
      <c r="BT309" s="42"/>
    </row>
    <row r="310" spans="1:72" x14ac:dyDescent="0.25">
      <c r="A310" s="90">
        <v>36173</v>
      </c>
      <c r="B310" s="20">
        <v>0.16666666666666666</v>
      </c>
      <c r="D310">
        <v>37.94</v>
      </c>
      <c r="E310" t="str">
        <f t="shared" si="44"/>
        <v>WEEKDAY</v>
      </c>
      <c r="F310" t="e">
        <f t="shared" si="45"/>
        <v>#N/A</v>
      </c>
      <c r="G310" s="74">
        <v>27772</v>
      </c>
      <c r="H310" s="77">
        <v>0.16666666666666666</v>
      </c>
      <c r="J310">
        <v>26.060000000000002</v>
      </c>
      <c r="M310" s="74">
        <v>37634</v>
      </c>
      <c r="N310" s="77">
        <v>0.16666666666666666</v>
      </c>
      <c r="P310">
        <v>21.2</v>
      </c>
      <c r="S310" s="74">
        <v>36173</v>
      </c>
      <c r="T310" s="77">
        <v>0.16666666666666666</v>
      </c>
      <c r="V310">
        <v>37.04</v>
      </c>
      <c r="X310" s="42"/>
      <c r="AB310">
        <v>31.6</v>
      </c>
      <c r="AC310">
        <v>35.06</v>
      </c>
      <c r="AE310" s="74"/>
      <c r="AF310" s="77"/>
      <c r="AH310" s="497">
        <v>33.799999999999997</v>
      </c>
      <c r="AJ310" s="42"/>
      <c r="AK310" s="74"/>
      <c r="AL310" s="77"/>
      <c r="AN310" s="497">
        <v>33.08</v>
      </c>
      <c r="AP310" s="42"/>
      <c r="AQ310" s="74"/>
      <c r="AR310" s="77"/>
      <c r="AT310" s="497">
        <v>28.04</v>
      </c>
      <c r="AV310" s="42"/>
      <c r="AW310" s="74"/>
      <c r="AX310" s="77"/>
      <c r="BA310" s="497">
        <v>21.92</v>
      </c>
      <c r="BB310" s="42"/>
      <c r="BC310" s="74"/>
      <c r="BD310" s="77"/>
      <c r="BF310">
        <v>17.96</v>
      </c>
      <c r="BH310" s="42"/>
      <c r="BI310" s="74"/>
      <c r="BJ310" s="77"/>
      <c r="BL310" s="497">
        <v>15.98</v>
      </c>
      <c r="BN310" s="42"/>
      <c r="BO310" s="74"/>
      <c r="BP310" s="77"/>
      <c r="BR310" s="497">
        <v>26.96</v>
      </c>
      <c r="BT310" s="42"/>
    </row>
    <row r="311" spans="1:72" x14ac:dyDescent="0.25">
      <c r="A311" s="90">
        <v>36173</v>
      </c>
      <c r="B311" s="20">
        <v>0.20833333333333334</v>
      </c>
      <c r="D311">
        <v>35.96</v>
      </c>
      <c r="E311" t="str">
        <f t="shared" si="44"/>
        <v>WEEKDAY</v>
      </c>
      <c r="F311" t="e">
        <f t="shared" si="45"/>
        <v>#N/A</v>
      </c>
      <c r="G311" s="74">
        <v>27772</v>
      </c>
      <c r="H311" s="77">
        <v>0.20833333333333334</v>
      </c>
      <c r="J311">
        <v>24.98</v>
      </c>
      <c r="M311" s="74">
        <v>37634</v>
      </c>
      <c r="N311" s="77">
        <v>0.20833333333333334</v>
      </c>
      <c r="P311">
        <v>21.2</v>
      </c>
      <c r="S311" s="74">
        <v>36173</v>
      </c>
      <c r="T311" s="77">
        <v>0.20833333333333334</v>
      </c>
      <c r="V311">
        <v>37.94</v>
      </c>
      <c r="X311" s="42"/>
      <c r="AB311">
        <v>31.4</v>
      </c>
      <c r="AC311">
        <v>35.96</v>
      </c>
      <c r="AE311" s="74"/>
      <c r="AF311" s="77"/>
      <c r="AH311" s="497">
        <v>33.799999999999997</v>
      </c>
      <c r="AJ311" s="42"/>
      <c r="AK311" s="74"/>
      <c r="AL311" s="77"/>
      <c r="AN311" s="497">
        <v>32</v>
      </c>
      <c r="AP311" s="42"/>
      <c r="AQ311" s="74"/>
      <c r="AR311" s="77"/>
      <c r="AT311" s="497">
        <v>28.04</v>
      </c>
      <c r="AV311" s="42"/>
      <c r="AW311" s="74"/>
      <c r="AX311" s="77"/>
      <c r="BA311" s="497">
        <v>21.92</v>
      </c>
      <c r="BB311" s="42"/>
      <c r="BC311" s="74"/>
      <c r="BD311" s="77"/>
      <c r="BF311">
        <v>17.96</v>
      </c>
      <c r="BH311" s="42"/>
      <c r="BI311" s="74"/>
      <c r="BJ311" s="77"/>
      <c r="BL311" s="497">
        <v>16.7</v>
      </c>
      <c r="BN311" s="42"/>
      <c r="BO311" s="74"/>
      <c r="BP311" s="77"/>
      <c r="BR311" s="497">
        <v>26.060000000000002</v>
      </c>
      <c r="BT311" s="42"/>
    </row>
    <row r="312" spans="1:72" x14ac:dyDescent="0.25">
      <c r="A312" s="90">
        <v>36173</v>
      </c>
      <c r="B312" s="20">
        <v>0.25</v>
      </c>
      <c r="D312">
        <v>33.979999999999997</v>
      </c>
      <c r="E312" t="str">
        <f t="shared" si="44"/>
        <v>WEEKDAY</v>
      </c>
      <c r="F312" t="e">
        <f t="shared" si="45"/>
        <v>#N/A</v>
      </c>
      <c r="G312" s="74">
        <v>27772</v>
      </c>
      <c r="H312" s="77">
        <v>0.25</v>
      </c>
      <c r="J312">
        <v>24.98</v>
      </c>
      <c r="M312" s="74">
        <v>37634</v>
      </c>
      <c r="N312" s="77">
        <v>0.25</v>
      </c>
      <c r="P312">
        <v>21.2</v>
      </c>
      <c r="S312" s="74">
        <v>36173</v>
      </c>
      <c r="T312" s="77">
        <v>0.25</v>
      </c>
      <c r="V312">
        <v>39.019999999999996</v>
      </c>
      <c r="X312" s="42"/>
      <c r="AB312">
        <v>31.2</v>
      </c>
      <c r="AC312">
        <v>35.06</v>
      </c>
      <c r="AE312" s="74"/>
      <c r="AF312" s="77"/>
      <c r="AH312" s="497">
        <v>33.799999999999997</v>
      </c>
      <c r="AJ312" s="42"/>
      <c r="AK312" s="74"/>
      <c r="AL312" s="77"/>
      <c r="AN312" s="497">
        <v>32</v>
      </c>
      <c r="AP312" s="42"/>
      <c r="AQ312" s="74"/>
      <c r="AR312" s="77"/>
      <c r="AT312" s="497">
        <v>28.94</v>
      </c>
      <c r="AV312" s="42"/>
      <c r="AW312" s="74"/>
      <c r="AX312" s="77"/>
      <c r="BA312" s="497">
        <v>21.92</v>
      </c>
      <c r="BB312" s="42"/>
      <c r="BC312" s="74"/>
      <c r="BD312" s="77"/>
      <c r="BF312">
        <v>17.96</v>
      </c>
      <c r="BH312" s="42"/>
      <c r="BI312" s="74"/>
      <c r="BJ312" s="77"/>
      <c r="BL312" s="497">
        <v>17.240000000000002</v>
      </c>
      <c r="BN312" s="42"/>
      <c r="BO312" s="74"/>
      <c r="BP312" s="77"/>
      <c r="BR312" s="497">
        <v>23</v>
      </c>
      <c r="BT312" s="42"/>
    </row>
    <row r="313" spans="1:72" x14ac:dyDescent="0.25">
      <c r="A313" s="90">
        <v>36173</v>
      </c>
      <c r="B313" s="20">
        <v>0.29166666666666669</v>
      </c>
      <c r="D313">
        <v>33.08</v>
      </c>
      <c r="E313" t="str">
        <f t="shared" si="44"/>
        <v>WEEKDAY</v>
      </c>
      <c r="F313" t="e">
        <f t="shared" si="45"/>
        <v>#N/A</v>
      </c>
      <c r="G313" s="74">
        <v>27772</v>
      </c>
      <c r="H313" s="77">
        <v>0.29166666666666669</v>
      </c>
      <c r="J313">
        <v>24.98</v>
      </c>
      <c r="M313" s="74">
        <v>37634</v>
      </c>
      <c r="N313" s="77">
        <v>0.29166666666666669</v>
      </c>
      <c r="P313">
        <v>21.2</v>
      </c>
      <c r="S313" s="74">
        <v>36173</v>
      </c>
      <c r="T313" s="77">
        <v>0.29166666666666669</v>
      </c>
      <c r="V313">
        <v>39.92</v>
      </c>
      <c r="X313" s="42"/>
      <c r="AB313">
        <v>31.1</v>
      </c>
      <c r="AC313">
        <v>35.96</v>
      </c>
      <c r="AE313" s="74"/>
      <c r="AF313" s="77"/>
      <c r="AH313" s="497">
        <v>33.799999999999997</v>
      </c>
      <c r="AJ313" s="42"/>
      <c r="AK313" s="74"/>
      <c r="AL313" s="77"/>
      <c r="AN313" s="497">
        <v>30.02</v>
      </c>
      <c r="AP313" s="42"/>
      <c r="AQ313" s="74"/>
      <c r="AR313" s="77"/>
      <c r="AT313" s="497">
        <v>30.02</v>
      </c>
      <c r="AV313" s="42"/>
      <c r="AW313" s="74"/>
      <c r="AX313" s="77"/>
      <c r="BA313" s="497">
        <v>21.92</v>
      </c>
      <c r="BB313" s="42"/>
      <c r="BC313" s="74"/>
      <c r="BD313" s="77"/>
      <c r="BF313">
        <v>17.96</v>
      </c>
      <c r="BH313" s="42"/>
      <c r="BI313" s="74"/>
      <c r="BJ313" s="77"/>
      <c r="BL313" s="497">
        <v>17.96</v>
      </c>
      <c r="BN313" s="42"/>
      <c r="BO313" s="74"/>
      <c r="BP313" s="77"/>
      <c r="BR313" s="497">
        <v>19.939999999999998</v>
      </c>
      <c r="BT313" s="42"/>
    </row>
    <row r="314" spans="1:72" x14ac:dyDescent="0.25">
      <c r="A314" s="90">
        <v>36173</v>
      </c>
      <c r="B314" s="20">
        <v>0.33333333333333331</v>
      </c>
      <c r="D314">
        <v>32</v>
      </c>
      <c r="E314" t="str">
        <f t="shared" si="44"/>
        <v>WEEKDAY</v>
      </c>
      <c r="F314" t="e">
        <f t="shared" si="45"/>
        <v>#N/A</v>
      </c>
      <c r="G314" s="74">
        <v>27772</v>
      </c>
      <c r="H314" s="77">
        <v>0.33333333333333331</v>
      </c>
      <c r="J314">
        <v>26.060000000000002</v>
      </c>
      <c r="M314" s="74">
        <v>37634</v>
      </c>
      <c r="N314" s="77">
        <v>0.33333333333333331</v>
      </c>
      <c r="P314">
        <v>23</v>
      </c>
      <c r="S314" s="74">
        <v>36173</v>
      </c>
      <c r="T314" s="77">
        <v>0.33333333333333331</v>
      </c>
      <c r="V314">
        <v>41</v>
      </c>
      <c r="X314" s="42"/>
      <c r="AB314">
        <v>31</v>
      </c>
      <c r="AC314">
        <v>35.06</v>
      </c>
      <c r="AE314" s="74"/>
      <c r="AF314" s="77"/>
      <c r="AH314" s="497">
        <v>35.6</v>
      </c>
      <c r="AJ314" s="42"/>
      <c r="AK314" s="74"/>
      <c r="AL314" s="77"/>
      <c r="AN314" s="497">
        <v>28.94</v>
      </c>
      <c r="AP314" s="42"/>
      <c r="AQ314" s="74"/>
      <c r="AR314" s="77"/>
      <c r="AT314" s="497">
        <v>30.02</v>
      </c>
      <c r="AV314" s="42"/>
      <c r="AW314" s="74"/>
      <c r="AX314" s="77"/>
      <c r="BA314" s="497">
        <v>23.54</v>
      </c>
      <c r="BB314" s="42"/>
      <c r="BC314" s="74"/>
      <c r="BD314" s="77"/>
      <c r="BF314">
        <v>17.96</v>
      </c>
      <c r="BH314" s="42"/>
      <c r="BI314" s="74"/>
      <c r="BJ314" s="77"/>
      <c r="BL314" s="497">
        <v>19.22</v>
      </c>
      <c r="BN314" s="42"/>
      <c r="BO314" s="74"/>
      <c r="BP314" s="77"/>
      <c r="BR314" s="497">
        <v>17.96</v>
      </c>
      <c r="BT314" s="42"/>
    </row>
    <row r="315" spans="1:72" x14ac:dyDescent="0.25">
      <c r="A315" s="90">
        <v>36173</v>
      </c>
      <c r="B315" s="20">
        <v>0.375</v>
      </c>
      <c r="D315">
        <v>30.92</v>
      </c>
      <c r="E315" t="str">
        <f t="shared" si="44"/>
        <v>WEEKDAY</v>
      </c>
      <c r="F315" t="e">
        <f t="shared" si="45"/>
        <v>#N/A</v>
      </c>
      <c r="G315" s="74">
        <v>27772</v>
      </c>
      <c r="H315" s="77">
        <v>0.375</v>
      </c>
      <c r="J315">
        <v>26.96</v>
      </c>
      <c r="M315" s="74">
        <v>37634</v>
      </c>
      <c r="N315" s="77">
        <v>0.375</v>
      </c>
      <c r="P315">
        <v>26.6</v>
      </c>
      <c r="S315" s="74">
        <v>36173</v>
      </c>
      <c r="T315" s="77">
        <v>0.375</v>
      </c>
      <c r="V315">
        <v>44.06</v>
      </c>
      <c r="X315" s="42"/>
      <c r="AB315">
        <v>31.3</v>
      </c>
      <c r="AC315">
        <v>32</v>
      </c>
      <c r="AE315" s="74"/>
      <c r="AF315" s="77"/>
      <c r="AH315" s="497">
        <v>35.6</v>
      </c>
      <c r="AJ315" s="42"/>
      <c r="AK315" s="74"/>
      <c r="AL315" s="77"/>
      <c r="AN315" s="497">
        <v>28.04</v>
      </c>
      <c r="AP315" s="42"/>
      <c r="AQ315" s="74"/>
      <c r="AR315" s="77"/>
      <c r="AT315" s="497">
        <v>30.02</v>
      </c>
      <c r="AV315" s="42"/>
      <c r="AW315" s="74"/>
      <c r="AX315" s="77"/>
      <c r="BA315" s="497">
        <v>25.34</v>
      </c>
      <c r="BB315" s="42"/>
      <c r="BC315" s="74"/>
      <c r="BD315" s="77"/>
      <c r="BF315">
        <v>19.939999999999998</v>
      </c>
      <c r="BH315" s="42"/>
      <c r="BI315" s="74"/>
      <c r="BJ315" s="77"/>
      <c r="BL315" s="497">
        <v>20.66</v>
      </c>
      <c r="BN315" s="42"/>
      <c r="BO315" s="74"/>
      <c r="BP315" s="77"/>
      <c r="BR315" s="497">
        <v>15.079999999999998</v>
      </c>
      <c r="BT315" s="42"/>
    </row>
    <row r="316" spans="1:72" x14ac:dyDescent="0.25">
      <c r="A316" s="90">
        <v>36173</v>
      </c>
      <c r="B316" s="20">
        <v>0.41666666666666669</v>
      </c>
      <c r="D316">
        <v>30.92</v>
      </c>
      <c r="E316" t="str">
        <f t="shared" si="44"/>
        <v>WEEKDAY</v>
      </c>
      <c r="F316" t="e">
        <f t="shared" si="45"/>
        <v>#N/A</v>
      </c>
      <c r="G316" s="74">
        <v>27772</v>
      </c>
      <c r="H316" s="77">
        <v>0.41666666666666669</v>
      </c>
      <c r="J316">
        <v>28.94</v>
      </c>
      <c r="M316" s="74">
        <v>37634</v>
      </c>
      <c r="N316" s="77">
        <v>0.41666666666666669</v>
      </c>
      <c r="P316">
        <v>28.4</v>
      </c>
      <c r="S316" s="74">
        <v>36173</v>
      </c>
      <c r="T316" s="77">
        <v>0.41666666666666669</v>
      </c>
      <c r="V316">
        <v>46.04</v>
      </c>
      <c r="X316" s="42"/>
      <c r="AB316">
        <v>32.6</v>
      </c>
      <c r="AC316">
        <v>32</v>
      </c>
      <c r="AE316" s="74"/>
      <c r="AF316" s="77"/>
      <c r="AH316" s="497">
        <v>37.4</v>
      </c>
      <c r="AJ316" s="42"/>
      <c r="AK316" s="74"/>
      <c r="AL316" s="77"/>
      <c r="AN316" s="497">
        <v>26.96</v>
      </c>
      <c r="AP316" s="42"/>
      <c r="AQ316" s="74"/>
      <c r="AR316" s="77"/>
      <c r="AT316" s="497">
        <v>28.94</v>
      </c>
      <c r="AV316" s="42"/>
      <c r="AW316" s="74"/>
      <c r="AX316" s="77"/>
      <c r="BA316" s="497">
        <v>26.96</v>
      </c>
      <c r="BB316" s="42"/>
      <c r="BC316" s="74"/>
      <c r="BD316" s="77"/>
      <c r="BF316">
        <v>21.92</v>
      </c>
      <c r="BH316" s="42"/>
      <c r="BI316" s="74"/>
      <c r="BJ316" s="77"/>
      <c r="BL316" s="497">
        <v>21.92</v>
      </c>
      <c r="BN316" s="42"/>
      <c r="BO316" s="74"/>
      <c r="BP316" s="77"/>
      <c r="BR316" s="497">
        <v>12.02</v>
      </c>
      <c r="BT316" s="42"/>
    </row>
    <row r="317" spans="1:72" x14ac:dyDescent="0.25">
      <c r="A317" s="90">
        <v>36173</v>
      </c>
      <c r="B317" s="20">
        <v>0.45833333333333331</v>
      </c>
      <c r="D317">
        <v>30.92</v>
      </c>
      <c r="E317" t="str">
        <f t="shared" si="44"/>
        <v>WEEKDAY</v>
      </c>
      <c r="F317" t="e">
        <f t="shared" si="45"/>
        <v>#N/A</v>
      </c>
      <c r="G317" s="74">
        <v>27772</v>
      </c>
      <c r="H317" s="77">
        <v>0.45833333333333331</v>
      </c>
      <c r="J317">
        <v>30.92</v>
      </c>
      <c r="M317" s="74">
        <v>37634</v>
      </c>
      <c r="N317" s="77">
        <v>0.45833333333333331</v>
      </c>
      <c r="P317">
        <v>30.2</v>
      </c>
      <c r="S317" s="74">
        <v>36173</v>
      </c>
      <c r="T317" s="77">
        <v>0.45833333333333331</v>
      </c>
      <c r="V317">
        <v>46.04</v>
      </c>
      <c r="X317" s="42"/>
      <c r="AB317">
        <v>34</v>
      </c>
      <c r="AC317">
        <v>32</v>
      </c>
      <c r="AE317" s="74"/>
      <c r="AF317" s="77"/>
      <c r="AH317" s="497">
        <v>37.4</v>
      </c>
      <c r="AJ317" s="42"/>
      <c r="AK317" s="74"/>
      <c r="AL317" s="77"/>
      <c r="AN317" s="497">
        <v>26.060000000000002</v>
      </c>
      <c r="AP317" s="42"/>
      <c r="AQ317" s="74"/>
      <c r="AR317" s="77"/>
      <c r="AT317" s="497">
        <v>30.92</v>
      </c>
      <c r="AV317" s="42"/>
      <c r="AW317" s="74"/>
      <c r="AX317" s="77"/>
      <c r="BA317" s="497">
        <v>28.22</v>
      </c>
      <c r="BB317" s="42"/>
      <c r="BC317" s="74"/>
      <c r="BD317" s="77"/>
      <c r="BF317">
        <v>26.96</v>
      </c>
      <c r="BH317" s="42"/>
      <c r="BI317" s="74"/>
      <c r="BJ317" s="77"/>
      <c r="BL317" s="497">
        <v>24.62</v>
      </c>
      <c r="BN317" s="42"/>
      <c r="BO317" s="74"/>
      <c r="BP317" s="77"/>
      <c r="BR317" s="497">
        <v>12.02</v>
      </c>
      <c r="BT317" s="42"/>
    </row>
    <row r="318" spans="1:72" x14ac:dyDescent="0.25">
      <c r="A318" s="90">
        <v>36173</v>
      </c>
      <c r="B318" s="20">
        <v>0.5</v>
      </c>
      <c r="D318">
        <v>32</v>
      </c>
      <c r="E318" t="str">
        <f t="shared" si="44"/>
        <v>WEEKDAY</v>
      </c>
      <c r="F318" t="e">
        <f t="shared" si="45"/>
        <v>#N/A</v>
      </c>
      <c r="G318" s="74">
        <v>27772</v>
      </c>
      <c r="H318" s="77">
        <v>0.5</v>
      </c>
      <c r="J318">
        <v>37.94</v>
      </c>
      <c r="M318" s="74">
        <v>37634</v>
      </c>
      <c r="N318" s="77">
        <v>0.5</v>
      </c>
      <c r="P318">
        <v>33.799999999999997</v>
      </c>
      <c r="S318" s="74">
        <v>36173</v>
      </c>
      <c r="T318" s="77">
        <v>0.5</v>
      </c>
      <c r="V318">
        <v>46.94</v>
      </c>
      <c r="X318" s="42"/>
      <c r="AB318">
        <v>35.200000000000003</v>
      </c>
      <c r="AC318">
        <v>30.92</v>
      </c>
      <c r="AE318" s="74"/>
      <c r="AF318" s="77"/>
      <c r="AH318" s="497">
        <v>37.4</v>
      </c>
      <c r="AJ318" s="42"/>
      <c r="AK318" s="74"/>
      <c r="AL318" s="77"/>
      <c r="AN318" s="497">
        <v>26.060000000000002</v>
      </c>
      <c r="AP318" s="42"/>
      <c r="AQ318" s="74"/>
      <c r="AR318" s="77"/>
      <c r="AT318" s="497">
        <v>32</v>
      </c>
      <c r="AV318" s="42"/>
      <c r="AW318" s="74"/>
      <c r="AX318" s="77"/>
      <c r="BA318" s="497">
        <v>29.66</v>
      </c>
      <c r="BB318" s="42"/>
      <c r="BC318" s="74"/>
      <c r="BD318" s="77"/>
      <c r="BF318">
        <v>30.92</v>
      </c>
      <c r="BH318" s="42"/>
      <c r="BI318" s="74"/>
      <c r="BJ318" s="77"/>
      <c r="BL318" s="497">
        <v>27.32</v>
      </c>
      <c r="BN318" s="42"/>
      <c r="BO318" s="74"/>
      <c r="BP318" s="77"/>
      <c r="BR318" s="497">
        <v>10.940000000000001</v>
      </c>
      <c r="BT318" s="42"/>
    </row>
    <row r="319" spans="1:72" x14ac:dyDescent="0.25">
      <c r="A319" s="90">
        <v>36173</v>
      </c>
      <c r="B319" s="20">
        <v>0.54166666666666663</v>
      </c>
      <c r="D319">
        <v>32</v>
      </c>
      <c r="E319" t="str">
        <f t="shared" si="44"/>
        <v>WEEKDAY</v>
      </c>
      <c r="F319" t="e">
        <f t="shared" si="45"/>
        <v>#N/A</v>
      </c>
      <c r="G319" s="74">
        <v>27772</v>
      </c>
      <c r="H319" s="77">
        <v>0.54166666666666663</v>
      </c>
      <c r="J319">
        <v>39.92</v>
      </c>
      <c r="M319" s="74">
        <v>37634</v>
      </c>
      <c r="N319" s="77">
        <v>0.54166666666666663</v>
      </c>
      <c r="P319">
        <v>35.6</v>
      </c>
      <c r="S319" s="74">
        <v>36173</v>
      </c>
      <c r="T319" s="77">
        <v>0.54166666666666663</v>
      </c>
      <c r="V319">
        <v>48.019999999999996</v>
      </c>
      <c r="X319" s="42"/>
      <c r="AB319">
        <v>36.299999999999997</v>
      </c>
      <c r="AC319">
        <v>33.08</v>
      </c>
      <c r="AE319" s="74"/>
      <c r="AF319" s="77"/>
      <c r="AH319" s="497">
        <v>37.4</v>
      </c>
      <c r="AJ319" s="42"/>
      <c r="AK319" s="74"/>
      <c r="AL319" s="77"/>
      <c r="AN319" s="497">
        <v>24.98</v>
      </c>
      <c r="AP319" s="42"/>
      <c r="AQ319" s="74"/>
      <c r="AR319" s="77"/>
      <c r="AT319" s="497">
        <v>32</v>
      </c>
      <c r="AV319" s="42"/>
      <c r="AW319" s="74"/>
      <c r="AX319" s="77"/>
      <c r="BA319" s="497">
        <v>30.92</v>
      </c>
      <c r="BB319" s="42"/>
      <c r="BC319" s="74"/>
      <c r="BD319" s="77"/>
      <c r="BF319">
        <v>30.92</v>
      </c>
      <c r="BH319" s="42"/>
      <c r="BI319" s="74"/>
      <c r="BJ319" s="77"/>
      <c r="BL319" s="497">
        <v>30.02</v>
      </c>
      <c r="BN319" s="42"/>
      <c r="BO319" s="74"/>
      <c r="BP319" s="77"/>
      <c r="BR319" s="497">
        <v>10.940000000000001</v>
      </c>
      <c r="BT319" s="42"/>
    </row>
    <row r="320" spans="1:72" x14ac:dyDescent="0.25">
      <c r="A320" s="90">
        <v>36173</v>
      </c>
      <c r="B320" s="20">
        <v>0.58333333333333337</v>
      </c>
      <c r="D320">
        <v>32</v>
      </c>
      <c r="E320" t="str">
        <f t="shared" si="44"/>
        <v>WEEKDAY</v>
      </c>
      <c r="F320" t="e">
        <f t="shared" si="45"/>
        <v>#N/A</v>
      </c>
      <c r="G320" s="74">
        <v>27772</v>
      </c>
      <c r="H320" s="77">
        <v>0.58333333333333337</v>
      </c>
      <c r="J320">
        <v>41</v>
      </c>
      <c r="M320" s="74">
        <v>37634</v>
      </c>
      <c r="N320" s="77">
        <v>0.58333333333333337</v>
      </c>
      <c r="P320">
        <v>35.6</v>
      </c>
      <c r="S320" s="74">
        <v>36173</v>
      </c>
      <c r="T320" s="77">
        <v>0.58333333333333337</v>
      </c>
      <c r="V320">
        <v>50</v>
      </c>
      <c r="X320" s="42"/>
      <c r="AB320">
        <v>37.1</v>
      </c>
      <c r="AC320">
        <v>32</v>
      </c>
      <c r="AE320" s="74"/>
      <c r="AF320" s="77"/>
      <c r="AH320" s="497">
        <v>39.200000000000003</v>
      </c>
      <c r="AJ320" s="42"/>
      <c r="AK320" s="74"/>
      <c r="AL320" s="77"/>
      <c r="AN320" s="497">
        <v>21.02</v>
      </c>
      <c r="AP320" s="42"/>
      <c r="AQ320" s="74"/>
      <c r="AR320" s="77"/>
      <c r="AT320" s="497">
        <v>32</v>
      </c>
      <c r="AV320" s="42"/>
      <c r="AW320" s="74"/>
      <c r="AX320" s="77"/>
      <c r="BA320" s="497">
        <v>32</v>
      </c>
      <c r="BB320" s="42"/>
      <c r="BC320" s="74"/>
      <c r="BD320" s="77"/>
      <c r="BF320">
        <v>35.96</v>
      </c>
      <c r="BH320" s="42"/>
      <c r="BI320" s="74"/>
      <c r="BJ320" s="77"/>
      <c r="BL320" s="497">
        <v>31.64</v>
      </c>
      <c r="BN320" s="42"/>
      <c r="BO320" s="74"/>
      <c r="BP320" s="77"/>
      <c r="BR320" s="497">
        <v>10.940000000000001</v>
      </c>
      <c r="BT320" s="42"/>
    </row>
    <row r="321" spans="1:72" x14ac:dyDescent="0.25">
      <c r="A321" s="90">
        <v>36173</v>
      </c>
      <c r="B321" s="20">
        <v>0.625</v>
      </c>
      <c r="D321">
        <v>32</v>
      </c>
      <c r="E321" t="str">
        <f t="shared" si="44"/>
        <v>WEEKDAY</v>
      </c>
      <c r="F321" t="e">
        <f t="shared" si="45"/>
        <v>#N/A</v>
      </c>
      <c r="G321" s="74">
        <v>27772</v>
      </c>
      <c r="H321" s="77">
        <v>0.625</v>
      </c>
      <c r="J321">
        <v>42.08</v>
      </c>
      <c r="M321" s="74">
        <v>37634</v>
      </c>
      <c r="N321" s="77">
        <v>0.625</v>
      </c>
      <c r="P321">
        <v>35.6</v>
      </c>
      <c r="S321" s="74">
        <v>36173</v>
      </c>
      <c r="T321" s="77">
        <v>0.625</v>
      </c>
      <c r="V321">
        <v>44.96</v>
      </c>
      <c r="X321" s="42"/>
      <c r="AB321">
        <v>37.5</v>
      </c>
      <c r="AC321">
        <v>30.92</v>
      </c>
      <c r="AE321" s="74"/>
      <c r="AF321" s="77"/>
      <c r="AH321" s="497">
        <v>41</v>
      </c>
      <c r="AJ321" s="42"/>
      <c r="AK321" s="74"/>
      <c r="AL321" s="77"/>
      <c r="AN321" s="497">
        <v>17.059999999999999</v>
      </c>
      <c r="AP321" s="42"/>
      <c r="AQ321" s="74"/>
      <c r="AR321" s="77"/>
      <c r="AT321" s="497">
        <v>32</v>
      </c>
      <c r="AV321" s="42"/>
      <c r="AW321" s="74"/>
      <c r="AX321" s="77"/>
      <c r="BA321" s="497">
        <v>32.9</v>
      </c>
      <c r="BB321" s="42"/>
      <c r="BC321" s="74"/>
      <c r="BD321" s="77"/>
      <c r="BF321">
        <v>37.04</v>
      </c>
      <c r="BH321" s="42"/>
      <c r="BI321" s="74"/>
      <c r="BJ321" s="77"/>
      <c r="BL321" s="497">
        <v>33.44</v>
      </c>
      <c r="BN321" s="42"/>
      <c r="BO321" s="74"/>
      <c r="BP321" s="77"/>
      <c r="BR321" s="497">
        <v>10.940000000000001</v>
      </c>
      <c r="BT321" s="42"/>
    </row>
    <row r="322" spans="1:72" x14ac:dyDescent="0.25">
      <c r="A322" s="90">
        <v>36173</v>
      </c>
      <c r="B322" s="20">
        <v>0.66666666666666663</v>
      </c>
      <c r="D322">
        <v>33.08</v>
      </c>
      <c r="E322" t="str">
        <f t="shared" si="44"/>
        <v>WEEKDAY</v>
      </c>
      <c r="F322" t="e">
        <f t="shared" si="45"/>
        <v>#N/A</v>
      </c>
      <c r="G322" s="74">
        <v>27772</v>
      </c>
      <c r="H322" s="77">
        <v>0.66666666666666663</v>
      </c>
      <c r="J322">
        <v>42.980000000000004</v>
      </c>
      <c r="M322" s="74">
        <v>37634</v>
      </c>
      <c r="N322" s="77">
        <v>0.66666666666666663</v>
      </c>
      <c r="P322">
        <v>33.799999999999997</v>
      </c>
      <c r="S322" s="74">
        <v>36173</v>
      </c>
      <c r="T322" s="77">
        <v>0.66666666666666663</v>
      </c>
      <c r="V322">
        <v>37.04</v>
      </c>
      <c r="X322" s="42"/>
      <c r="AB322">
        <v>37.5</v>
      </c>
      <c r="AC322">
        <v>28.94</v>
      </c>
      <c r="AE322" s="74"/>
      <c r="AF322" s="77"/>
      <c r="AH322" s="497">
        <v>42.8</v>
      </c>
      <c r="AJ322" s="42"/>
      <c r="AK322" s="74"/>
      <c r="AL322" s="77"/>
      <c r="AN322" s="497">
        <v>15.079999999999998</v>
      </c>
      <c r="AP322" s="42"/>
      <c r="AQ322" s="74"/>
      <c r="AR322" s="77"/>
      <c r="AT322" s="497">
        <v>30.92</v>
      </c>
      <c r="AV322" s="42"/>
      <c r="AW322" s="74"/>
      <c r="AX322" s="77"/>
      <c r="BA322" s="497">
        <v>33.979999999999997</v>
      </c>
      <c r="BB322" s="42"/>
      <c r="BC322" s="74"/>
      <c r="BD322" s="77"/>
      <c r="BF322">
        <v>37.04</v>
      </c>
      <c r="BH322" s="42"/>
      <c r="BI322" s="74"/>
      <c r="BJ322" s="77"/>
      <c r="BL322" s="497">
        <v>35.06</v>
      </c>
      <c r="BN322" s="42"/>
      <c r="BO322" s="74"/>
      <c r="BP322" s="77"/>
      <c r="BR322" s="497">
        <v>10.940000000000001</v>
      </c>
      <c r="BT322" s="42"/>
    </row>
    <row r="323" spans="1:72" x14ac:dyDescent="0.25">
      <c r="A323" s="90">
        <v>36173</v>
      </c>
      <c r="B323" s="20">
        <v>0.70833333333333337</v>
      </c>
      <c r="D323">
        <v>32</v>
      </c>
      <c r="E323" t="str">
        <f t="shared" si="44"/>
        <v>WEEKDAY</v>
      </c>
      <c r="F323" t="e">
        <f t="shared" si="45"/>
        <v>#N/A</v>
      </c>
      <c r="G323" s="74">
        <v>27772</v>
      </c>
      <c r="H323" s="77">
        <v>0.70833333333333337</v>
      </c>
      <c r="J323">
        <v>42.980000000000004</v>
      </c>
      <c r="M323" s="74">
        <v>37634</v>
      </c>
      <c r="N323" s="77">
        <v>0.70833333333333337</v>
      </c>
      <c r="P323">
        <v>33.799999999999997</v>
      </c>
      <c r="S323" s="74">
        <v>36173</v>
      </c>
      <c r="T323" s="77">
        <v>0.70833333333333337</v>
      </c>
      <c r="V323">
        <v>33.979999999999997</v>
      </c>
      <c r="X323" s="42"/>
      <c r="AB323">
        <v>37</v>
      </c>
      <c r="AC323">
        <v>28.04</v>
      </c>
      <c r="AE323" s="74"/>
      <c r="AF323" s="77"/>
      <c r="AH323" s="497">
        <v>39.200000000000003</v>
      </c>
      <c r="AJ323" s="42"/>
      <c r="AK323" s="74"/>
      <c r="AL323" s="77"/>
      <c r="AN323" s="497">
        <v>12.02</v>
      </c>
      <c r="AP323" s="42"/>
      <c r="AQ323" s="74"/>
      <c r="AR323" s="77"/>
      <c r="AT323" s="497">
        <v>30.02</v>
      </c>
      <c r="AV323" s="42"/>
      <c r="AW323" s="74"/>
      <c r="AX323" s="77"/>
      <c r="BA323" s="497">
        <v>32.9</v>
      </c>
      <c r="BB323" s="42"/>
      <c r="BC323" s="74"/>
      <c r="BD323" s="77"/>
      <c r="BF323">
        <v>37.04</v>
      </c>
      <c r="BH323" s="42"/>
      <c r="BI323" s="74"/>
      <c r="BJ323" s="77"/>
      <c r="BL323" s="497">
        <v>35.06</v>
      </c>
      <c r="BN323" s="42"/>
      <c r="BO323" s="74"/>
      <c r="BP323" s="77"/>
      <c r="BR323" s="497">
        <v>6.98</v>
      </c>
      <c r="BT323" s="42"/>
    </row>
    <row r="324" spans="1:72" x14ac:dyDescent="0.25">
      <c r="A324" s="90">
        <v>36173</v>
      </c>
      <c r="B324" s="20">
        <v>0.75</v>
      </c>
      <c r="D324">
        <v>30.92</v>
      </c>
      <c r="E324" t="str">
        <f t="shared" si="44"/>
        <v>WEEKDAY</v>
      </c>
      <c r="F324" t="e">
        <f t="shared" si="45"/>
        <v>#N/A</v>
      </c>
      <c r="G324" s="74">
        <v>27772</v>
      </c>
      <c r="H324" s="77">
        <v>0.75</v>
      </c>
      <c r="J324">
        <v>42.980000000000004</v>
      </c>
      <c r="M324" s="74">
        <v>37634</v>
      </c>
      <c r="N324" s="77">
        <v>0.75</v>
      </c>
      <c r="P324">
        <v>32</v>
      </c>
      <c r="S324" s="74">
        <v>36173</v>
      </c>
      <c r="T324" s="77">
        <v>0.75</v>
      </c>
      <c r="V324">
        <v>32</v>
      </c>
      <c r="X324" s="42"/>
      <c r="AB324">
        <v>35.799999999999997</v>
      </c>
      <c r="AC324">
        <v>26.060000000000002</v>
      </c>
      <c r="AE324" s="74"/>
      <c r="AF324" s="77"/>
      <c r="AH324" s="497">
        <v>48.2</v>
      </c>
      <c r="AJ324" s="42"/>
      <c r="AK324" s="74"/>
      <c r="AL324" s="77"/>
      <c r="AN324" s="497">
        <v>10.039999999999999</v>
      </c>
      <c r="AP324" s="42"/>
      <c r="AQ324" s="74"/>
      <c r="AR324" s="77"/>
      <c r="AT324" s="497">
        <v>28.04</v>
      </c>
      <c r="AV324" s="42"/>
      <c r="AW324" s="74"/>
      <c r="AX324" s="77"/>
      <c r="BA324" s="497">
        <v>32</v>
      </c>
      <c r="BB324" s="42"/>
      <c r="BC324" s="74"/>
      <c r="BD324" s="77"/>
      <c r="BF324">
        <v>35.96</v>
      </c>
      <c r="BH324" s="42"/>
      <c r="BI324" s="74"/>
      <c r="BJ324" s="77"/>
      <c r="BL324" s="497">
        <v>35.06</v>
      </c>
      <c r="BN324" s="42"/>
      <c r="BO324" s="74"/>
      <c r="BP324" s="77"/>
      <c r="BR324" s="497">
        <v>5</v>
      </c>
      <c r="BT324" s="42"/>
    </row>
    <row r="325" spans="1:72" x14ac:dyDescent="0.25">
      <c r="A325" s="90">
        <v>36173</v>
      </c>
      <c r="B325" s="20">
        <v>0.79166666666666663</v>
      </c>
      <c r="D325">
        <v>30.92</v>
      </c>
      <c r="E325" t="str">
        <f t="shared" si="44"/>
        <v>WEEKDAY</v>
      </c>
      <c r="F325" t="e">
        <f t="shared" si="45"/>
        <v>#N/A</v>
      </c>
      <c r="G325" s="74">
        <v>27772</v>
      </c>
      <c r="H325" s="77">
        <v>0.79166666666666663</v>
      </c>
      <c r="J325">
        <v>44.06</v>
      </c>
      <c r="M325" s="74">
        <v>37634</v>
      </c>
      <c r="N325" s="77">
        <v>0.79166666666666663</v>
      </c>
      <c r="P325">
        <v>30.2</v>
      </c>
      <c r="S325" s="74">
        <v>36173</v>
      </c>
      <c r="T325" s="77">
        <v>0.79166666666666663</v>
      </c>
      <c r="V325">
        <v>32</v>
      </c>
      <c r="X325" s="42"/>
      <c r="AB325">
        <v>35.200000000000003</v>
      </c>
      <c r="AC325">
        <v>24.98</v>
      </c>
      <c r="AE325" s="74"/>
      <c r="AF325" s="77"/>
      <c r="AH325" s="497">
        <v>48.2</v>
      </c>
      <c r="AJ325" s="42"/>
      <c r="AK325" s="74"/>
      <c r="AL325" s="77"/>
      <c r="AN325" s="497">
        <v>8.9599999999999973</v>
      </c>
      <c r="AP325" s="42"/>
      <c r="AQ325" s="74"/>
      <c r="AR325" s="77"/>
      <c r="AT325" s="497">
        <v>28.04</v>
      </c>
      <c r="AV325" s="42"/>
      <c r="AW325" s="74"/>
      <c r="AX325" s="77"/>
      <c r="BA325" s="497">
        <v>30.92</v>
      </c>
      <c r="BB325" s="42"/>
      <c r="BC325" s="74"/>
      <c r="BD325" s="77"/>
      <c r="BF325">
        <v>35.96</v>
      </c>
      <c r="BH325" s="42"/>
      <c r="BI325" s="74"/>
      <c r="BJ325" s="77"/>
      <c r="BL325" s="497">
        <v>35.06</v>
      </c>
      <c r="BN325" s="42"/>
      <c r="BO325" s="74"/>
      <c r="BP325" s="77"/>
      <c r="BR325" s="497">
        <v>1.9400000000000013</v>
      </c>
      <c r="BT325" s="42"/>
    </row>
    <row r="326" spans="1:72" x14ac:dyDescent="0.25">
      <c r="A326" s="90">
        <v>36173</v>
      </c>
      <c r="B326" s="20">
        <v>0.83333333333333337</v>
      </c>
      <c r="D326">
        <v>30.02</v>
      </c>
      <c r="E326" t="str">
        <f t="shared" si="44"/>
        <v>WEEKDAY</v>
      </c>
      <c r="F326" t="e">
        <f t="shared" si="45"/>
        <v>#N/A</v>
      </c>
      <c r="G326" s="74">
        <v>27772</v>
      </c>
      <c r="H326" s="77">
        <v>0.83333333333333337</v>
      </c>
      <c r="J326">
        <v>44.96</v>
      </c>
      <c r="M326" s="74">
        <v>37634</v>
      </c>
      <c r="N326" s="77">
        <v>0.83333333333333337</v>
      </c>
      <c r="P326">
        <v>28.4</v>
      </c>
      <c r="S326" s="74">
        <v>36173</v>
      </c>
      <c r="T326" s="77">
        <v>0.83333333333333337</v>
      </c>
      <c r="V326">
        <v>30.92</v>
      </c>
      <c r="X326" s="42"/>
      <c r="AB326">
        <v>34.799999999999997</v>
      </c>
      <c r="AC326">
        <v>24.98</v>
      </c>
      <c r="AE326" s="74"/>
      <c r="AF326" s="77"/>
      <c r="AH326" s="497">
        <v>51.8</v>
      </c>
      <c r="AJ326" s="42"/>
      <c r="AK326" s="74"/>
      <c r="AL326" s="77"/>
      <c r="AN326" s="497">
        <v>8.9599999999999973</v>
      </c>
      <c r="AP326" s="42"/>
      <c r="AQ326" s="74"/>
      <c r="AR326" s="77"/>
      <c r="AT326" s="497">
        <v>26.96</v>
      </c>
      <c r="AV326" s="42"/>
      <c r="AW326" s="74"/>
      <c r="AX326" s="77"/>
      <c r="BA326" s="497">
        <v>31.64</v>
      </c>
      <c r="BB326" s="42"/>
      <c r="BC326" s="74"/>
      <c r="BD326" s="77"/>
      <c r="BF326">
        <v>35.06</v>
      </c>
      <c r="BH326" s="42"/>
      <c r="BI326" s="74"/>
      <c r="BJ326" s="77"/>
      <c r="BL326" s="497">
        <v>33.979999999999997</v>
      </c>
      <c r="BN326" s="42"/>
      <c r="BO326" s="74"/>
      <c r="BP326" s="77"/>
      <c r="BR326" s="497">
        <v>1.0399999999999991</v>
      </c>
      <c r="BT326" s="42"/>
    </row>
    <row r="327" spans="1:72" x14ac:dyDescent="0.25">
      <c r="A327" s="90">
        <v>36173</v>
      </c>
      <c r="B327" s="20">
        <v>0.875</v>
      </c>
      <c r="D327">
        <v>28.94</v>
      </c>
      <c r="E327" t="str">
        <f t="shared" si="44"/>
        <v>WEEKDAY</v>
      </c>
      <c r="F327" t="e">
        <f t="shared" si="45"/>
        <v>#N/A</v>
      </c>
      <c r="G327" s="74">
        <v>27772</v>
      </c>
      <c r="H327" s="77">
        <v>0.875</v>
      </c>
      <c r="J327">
        <v>46.04</v>
      </c>
      <c r="M327" s="74">
        <v>37634</v>
      </c>
      <c r="N327" s="77">
        <v>0.875</v>
      </c>
      <c r="P327">
        <v>26.6</v>
      </c>
      <c r="S327" s="74">
        <v>36173</v>
      </c>
      <c r="T327" s="77">
        <v>0.875</v>
      </c>
      <c r="V327">
        <v>28.4</v>
      </c>
      <c r="X327" s="42"/>
      <c r="AB327">
        <v>34.299999999999997</v>
      </c>
      <c r="AC327">
        <v>24.08</v>
      </c>
      <c r="AE327" s="74"/>
      <c r="AF327" s="77"/>
      <c r="AH327" s="497">
        <v>53.6</v>
      </c>
      <c r="AJ327" s="42"/>
      <c r="AK327" s="74"/>
      <c r="AL327" s="77"/>
      <c r="AN327" s="497">
        <v>8.9599999999999973</v>
      </c>
      <c r="AP327" s="42"/>
      <c r="AQ327" s="74"/>
      <c r="AR327" s="77"/>
      <c r="AT327" s="497">
        <v>26.96</v>
      </c>
      <c r="AV327" s="42"/>
      <c r="AW327" s="74"/>
      <c r="AX327" s="77"/>
      <c r="BA327" s="497">
        <v>32.36</v>
      </c>
      <c r="BB327" s="42"/>
      <c r="BC327" s="74"/>
      <c r="BD327" s="77"/>
      <c r="BF327">
        <v>35.96</v>
      </c>
      <c r="BH327" s="42"/>
      <c r="BI327" s="74"/>
      <c r="BJ327" s="77"/>
      <c r="BL327" s="497">
        <v>33.08</v>
      </c>
      <c r="BN327" s="42"/>
      <c r="BO327" s="74"/>
      <c r="BP327" s="77"/>
      <c r="BR327" s="497">
        <v>-0.94000000000000483</v>
      </c>
      <c r="BT327" s="42"/>
    </row>
    <row r="328" spans="1:72" x14ac:dyDescent="0.25">
      <c r="A328" s="90">
        <v>36173</v>
      </c>
      <c r="B328" s="20">
        <v>0.91666666666666663</v>
      </c>
      <c r="D328">
        <v>28.04</v>
      </c>
      <c r="E328" t="str">
        <f t="shared" si="44"/>
        <v>WEEKDAY</v>
      </c>
      <c r="F328" t="e">
        <f t="shared" si="45"/>
        <v>#N/A</v>
      </c>
      <c r="G328" s="74">
        <v>27772</v>
      </c>
      <c r="H328" s="77">
        <v>0.91666666666666663</v>
      </c>
      <c r="J328">
        <v>46.04</v>
      </c>
      <c r="M328" s="74">
        <v>37634</v>
      </c>
      <c r="N328" s="77">
        <v>0.91666666666666663</v>
      </c>
      <c r="P328">
        <v>24.8</v>
      </c>
      <c r="S328" s="74">
        <v>36173</v>
      </c>
      <c r="T328" s="77">
        <v>0.91666666666666663</v>
      </c>
      <c r="V328">
        <v>26.6</v>
      </c>
      <c r="X328" s="42"/>
      <c r="AB328">
        <v>33.700000000000003</v>
      </c>
      <c r="AC328">
        <v>21.92</v>
      </c>
      <c r="AE328" s="74"/>
      <c r="AF328" s="77"/>
      <c r="AH328" s="497">
        <v>55.400000000000006</v>
      </c>
      <c r="AJ328" s="42"/>
      <c r="AK328" s="74"/>
      <c r="AL328" s="77"/>
      <c r="AN328" s="497">
        <v>8.0599999999999987</v>
      </c>
      <c r="AP328" s="42"/>
      <c r="AQ328" s="74"/>
      <c r="AR328" s="77"/>
      <c r="AT328" s="497">
        <v>26.060000000000002</v>
      </c>
      <c r="AV328" s="42"/>
      <c r="AW328" s="74"/>
      <c r="AX328" s="77"/>
      <c r="BA328" s="497">
        <v>33.08</v>
      </c>
      <c r="BB328" s="42"/>
      <c r="BC328" s="74"/>
      <c r="BD328" s="77"/>
      <c r="BF328">
        <v>37.04</v>
      </c>
      <c r="BH328" s="42"/>
      <c r="BI328" s="74"/>
      <c r="BJ328" s="77"/>
      <c r="BL328" s="497">
        <v>32</v>
      </c>
      <c r="BN328" s="42"/>
      <c r="BO328" s="74"/>
      <c r="BP328" s="77"/>
      <c r="BR328" s="497">
        <v>-2.019999999999996</v>
      </c>
      <c r="BT328" s="42"/>
    </row>
    <row r="329" spans="1:72" x14ac:dyDescent="0.25">
      <c r="A329" s="90">
        <v>36173</v>
      </c>
      <c r="B329" s="20">
        <v>0.95833333333333337</v>
      </c>
      <c r="D329">
        <v>28.04</v>
      </c>
      <c r="E329" t="str">
        <f t="shared" si="44"/>
        <v>WEEKDAY</v>
      </c>
      <c r="F329" t="e">
        <f t="shared" si="45"/>
        <v>#N/A</v>
      </c>
      <c r="G329" s="74">
        <v>27772</v>
      </c>
      <c r="H329" s="77">
        <v>0.95833333333333337</v>
      </c>
      <c r="J329">
        <v>48.019999999999996</v>
      </c>
      <c r="M329" s="74">
        <v>37634</v>
      </c>
      <c r="N329" s="77">
        <v>0.95833333333333337</v>
      </c>
      <c r="P329">
        <v>23</v>
      </c>
      <c r="S329" s="74">
        <v>36173</v>
      </c>
      <c r="T329" s="77">
        <v>0.95833333333333337</v>
      </c>
      <c r="V329">
        <v>26.060000000000002</v>
      </c>
      <c r="X329" s="42"/>
      <c r="AB329">
        <v>33.299999999999997</v>
      </c>
      <c r="AC329">
        <v>21.02</v>
      </c>
      <c r="AE329" s="74"/>
      <c r="AF329" s="77"/>
      <c r="AH329" s="497">
        <v>55.400000000000006</v>
      </c>
      <c r="AJ329" s="42"/>
      <c r="AK329" s="74"/>
      <c r="AL329" s="77"/>
      <c r="AN329" s="497">
        <v>6.98</v>
      </c>
      <c r="AP329" s="42"/>
      <c r="AQ329" s="74"/>
      <c r="AR329" s="77"/>
      <c r="AT329" s="497">
        <v>21.02</v>
      </c>
      <c r="AV329" s="42"/>
      <c r="AW329" s="74"/>
      <c r="AX329" s="77"/>
      <c r="BA329" s="497">
        <v>33.979999999999997</v>
      </c>
      <c r="BB329" s="42"/>
      <c r="BC329" s="74"/>
      <c r="BD329" s="77"/>
      <c r="BF329">
        <v>37.04</v>
      </c>
      <c r="BH329" s="42"/>
      <c r="BI329" s="74"/>
      <c r="BJ329" s="77"/>
      <c r="BL329" s="497">
        <v>33.08</v>
      </c>
      <c r="BN329" s="42"/>
      <c r="BO329" s="74"/>
      <c r="BP329" s="77"/>
      <c r="BR329" s="497">
        <v>-4</v>
      </c>
      <c r="BT329" s="42"/>
    </row>
    <row r="330" spans="1:72" x14ac:dyDescent="0.25">
      <c r="A330" s="90">
        <v>36173</v>
      </c>
      <c r="B330" s="20">
        <v>1</v>
      </c>
      <c r="D330">
        <v>26.96</v>
      </c>
      <c r="E330" t="str">
        <f t="shared" si="44"/>
        <v>WEEKDAY</v>
      </c>
      <c r="F330" t="e">
        <f t="shared" si="45"/>
        <v>#N/A</v>
      </c>
      <c r="G330" s="74">
        <v>27772</v>
      </c>
      <c r="H330" s="77">
        <v>1</v>
      </c>
      <c r="J330">
        <v>48.019999999999996</v>
      </c>
      <c r="M330" s="74">
        <v>37634</v>
      </c>
      <c r="N330" s="80">
        <v>1</v>
      </c>
      <c r="P330">
        <v>21.2</v>
      </c>
      <c r="S330" s="74">
        <v>36173</v>
      </c>
      <c r="T330" s="80">
        <v>1</v>
      </c>
      <c r="V330">
        <v>26.060000000000002</v>
      </c>
      <c r="X330" s="42"/>
      <c r="AB330">
        <v>32.799999999999997</v>
      </c>
      <c r="AC330">
        <v>19.04</v>
      </c>
      <c r="AE330" s="74"/>
      <c r="AF330" s="80"/>
      <c r="AH330" s="497">
        <v>57.2</v>
      </c>
      <c r="AJ330" s="42"/>
      <c r="AK330" s="74"/>
      <c r="AL330" s="80"/>
      <c r="AN330" s="497">
        <v>6.0799999999999983</v>
      </c>
      <c r="AP330" s="42"/>
      <c r="AQ330" s="74"/>
      <c r="AR330" s="80"/>
      <c r="AT330" s="497">
        <v>17.96</v>
      </c>
      <c r="AV330" s="42"/>
      <c r="AW330" s="74"/>
      <c r="AX330" s="80"/>
      <c r="BA330" s="497">
        <v>35.06</v>
      </c>
      <c r="BB330" s="42"/>
      <c r="BC330" s="74"/>
      <c r="BD330" s="80"/>
      <c r="BF330">
        <v>39.019999999999996</v>
      </c>
      <c r="BH330" s="42"/>
      <c r="BI330" s="74"/>
      <c r="BJ330" s="80"/>
      <c r="BL330" s="497">
        <v>33.979999999999997</v>
      </c>
      <c r="BN330" s="42"/>
      <c r="BO330" s="74"/>
      <c r="BP330" s="80"/>
      <c r="BR330" s="497">
        <v>-5.0800000000000054</v>
      </c>
      <c r="BT330" s="42"/>
    </row>
    <row r="331" spans="1:72" x14ac:dyDescent="0.25">
      <c r="A331" s="90">
        <v>36174</v>
      </c>
      <c r="B331" s="20">
        <v>4.1666666666666664E-2</v>
      </c>
      <c r="D331">
        <v>26.96</v>
      </c>
      <c r="E331" t="str">
        <f t="shared" si="44"/>
        <v>WEEKDAY</v>
      </c>
      <c r="F331" t="e">
        <f t="shared" si="45"/>
        <v>#N/A</v>
      </c>
      <c r="G331" s="74">
        <v>27773</v>
      </c>
      <c r="H331" s="77">
        <v>4.1666666666666664E-2</v>
      </c>
      <c r="J331">
        <v>51.08</v>
      </c>
      <c r="M331" s="74">
        <v>37635</v>
      </c>
      <c r="N331" s="77">
        <v>4.1666666666666664E-2</v>
      </c>
      <c r="P331">
        <v>21.2</v>
      </c>
      <c r="S331" s="74">
        <v>36174</v>
      </c>
      <c r="T331" s="77">
        <v>4.1666666666666664E-2</v>
      </c>
      <c r="V331">
        <v>24.08</v>
      </c>
      <c r="X331" s="42"/>
      <c r="AB331">
        <v>32.4</v>
      </c>
      <c r="AC331">
        <v>17.96</v>
      </c>
      <c r="AE331" s="74"/>
      <c r="AF331" s="77"/>
      <c r="AH331" s="497">
        <v>57.2</v>
      </c>
      <c r="AJ331" s="42"/>
      <c r="AK331" s="74"/>
      <c r="AL331" s="77"/>
      <c r="AN331" s="497">
        <v>3.9200000000000017</v>
      </c>
      <c r="AP331" s="42"/>
      <c r="AQ331" s="74"/>
      <c r="AR331" s="77"/>
      <c r="AT331" s="497">
        <v>15.98</v>
      </c>
      <c r="AV331" s="42"/>
      <c r="AW331" s="74"/>
      <c r="AX331" s="77"/>
      <c r="BA331" s="497">
        <v>35.96</v>
      </c>
      <c r="BB331" s="42"/>
      <c r="BC331" s="74"/>
      <c r="BD331" s="77"/>
      <c r="BF331">
        <v>39.019999999999996</v>
      </c>
      <c r="BH331" s="42"/>
      <c r="BI331" s="74"/>
      <c r="BJ331" s="77"/>
      <c r="BL331" s="497">
        <v>35.06</v>
      </c>
      <c r="BN331" s="42"/>
      <c r="BO331" s="74"/>
      <c r="BP331" s="77"/>
      <c r="BR331" s="497">
        <v>-5.980000000000004</v>
      </c>
      <c r="BT331" s="42"/>
    </row>
    <row r="332" spans="1:72" x14ac:dyDescent="0.25">
      <c r="A332" s="90">
        <v>36174</v>
      </c>
      <c r="B332" s="20">
        <v>8.3333333333333329E-2</v>
      </c>
      <c r="D332">
        <v>26.96</v>
      </c>
      <c r="E332" t="str">
        <f t="shared" si="44"/>
        <v>WEEKDAY</v>
      </c>
      <c r="F332" t="e">
        <f t="shared" si="45"/>
        <v>#N/A</v>
      </c>
      <c r="G332" s="74">
        <v>27773</v>
      </c>
      <c r="H332" s="77">
        <v>8.3333333333333329E-2</v>
      </c>
      <c r="J332">
        <v>51.08</v>
      </c>
      <c r="M332" s="74">
        <v>37635</v>
      </c>
      <c r="N332" s="77">
        <v>8.3333333333333329E-2</v>
      </c>
      <c r="P332">
        <v>19.399999999999999</v>
      </c>
      <c r="S332" s="74">
        <v>36174</v>
      </c>
      <c r="T332" s="77">
        <v>8.3333333333333329E-2</v>
      </c>
      <c r="V332">
        <v>23</v>
      </c>
      <c r="X332" s="42"/>
      <c r="AB332">
        <v>31.8</v>
      </c>
      <c r="AC332">
        <v>17.96</v>
      </c>
      <c r="AE332" s="74"/>
      <c r="AF332" s="77"/>
      <c r="AH332" s="497">
        <v>57.2</v>
      </c>
      <c r="AJ332" s="42"/>
      <c r="AK332" s="74"/>
      <c r="AL332" s="77"/>
      <c r="AN332" s="497">
        <v>1.9400000000000013</v>
      </c>
      <c r="AP332" s="42"/>
      <c r="AQ332" s="74"/>
      <c r="AR332" s="77"/>
      <c r="AT332" s="497">
        <v>14</v>
      </c>
      <c r="AV332" s="42"/>
      <c r="AW332" s="74"/>
      <c r="AX332" s="77"/>
      <c r="BA332" s="497">
        <v>35.96</v>
      </c>
      <c r="BB332" s="42"/>
      <c r="BC332" s="74"/>
      <c r="BD332" s="77"/>
      <c r="BF332">
        <v>37.94</v>
      </c>
      <c r="BH332" s="42"/>
      <c r="BI332" s="74"/>
      <c r="BJ332" s="77"/>
      <c r="BL332" s="497">
        <v>35.78</v>
      </c>
      <c r="BN332" s="42"/>
      <c r="BO332" s="74"/>
      <c r="BP332" s="77"/>
      <c r="BR332" s="497">
        <v>-7.9600000000000009</v>
      </c>
      <c r="BT332" s="42"/>
    </row>
    <row r="333" spans="1:72" x14ac:dyDescent="0.25">
      <c r="A333" s="90">
        <v>36174</v>
      </c>
      <c r="B333" s="20">
        <v>0.125</v>
      </c>
      <c r="D333">
        <v>26.96</v>
      </c>
      <c r="E333" t="str">
        <f t="shared" si="44"/>
        <v>WEEKDAY</v>
      </c>
      <c r="F333" t="e">
        <f t="shared" si="45"/>
        <v>#N/A</v>
      </c>
      <c r="G333" s="74">
        <v>27773</v>
      </c>
      <c r="H333" s="77">
        <v>0.125</v>
      </c>
      <c r="J333">
        <v>53.06</v>
      </c>
      <c r="M333" s="74">
        <v>37635</v>
      </c>
      <c r="N333" s="77">
        <v>0.125</v>
      </c>
      <c r="P333">
        <v>19.399999999999999</v>
      </c>
      <c r="S333" s="74">
        <v>36174</v>
      </c>
      <c r="T333" s="77">
        <v>0.125</v>
      </c>
      <c r="V333">
        <v>21.02</v>
      </c>
      <c r="X333" s="42"/>
      <c r="AB333">
        <v>31.6</v>
      </c>
      <c r="AC333">
        <v>17.059999999999999</v>
      </c>
      <c r="AE333" s="74"/>
      <c r="AF333" s="77"/>
      <c r="AH333" s="497">
        <v>60.8</v>
      </c>
      <c r="AJ333" s="42"/>
      <c r="AK333" s="74"/>
      <c r="AL333" s="77"/>
      <c r="AN333" s="497">
        <v>1.9400000000000013</v>
      </c>
      <c r="AP333" s="42"/>
      <c r="AQ333" s="74"/>
      <c r="AR333" s="77"/>
      <c r="AT333" s="497">
        <v>21.02</v>
      </c>
      <c r="AV333" s="42"/>
      <c r="AW333" s="74"/>
      <c r="AX333" s="77"/>
      <c r="BA333" s="497">
        <v>35.96</v>
      </c>
      <c r="BB333" s="42"/>
      <c r="BC333" s="74"/>
      <c r="BD333" s="77"/>
      <c r="BF333">
        <v>39.92</v>
      </c>
      <c r="BH333" s="42"/>
      <c r="BI333" s="74"/>
      <c r="BJ333" s="77"/>
      <c r="BL333" s="497">
        <v>36.32</v>
      </c>
      <c r="BN333" s="42"/>
      <c r="BO333" s="74"/>
      <c r="BP333" s="77"/>
      <c r="BR333" s="497">
        <v>-9.9400000000000048</v>
      </c>
      <c r="BT333" s="42"/>
    </row>
    <row r="334" spans="1:72" x14ac:dyDescent="0.25">
      <c r="A334" s="90">
        <v>36174</v>
      </c>
      <c r="B334" s="20">
        <v>0.16666666666666666</v>
      </c>
      <c r="D334">
        <v>26.060000000000002</v>
      </c>
      <c r="E334" t="str">
        <f t="shared" si="44"/>
        <v>WEEKDAY</v>
      </c>
      <c r="F334" t="e">
        <f t="shared" si="45"/>
        <v>#N/A</v>
      </c>
      <c r="G334" s="74">
        <v>27773</v>
      </c>
      <c r="H334" s="77">
        <v>0.16666666666666666</v>
      </c>
      <c r="J334">
        <v>53.96</v>
      </c>
      <c r="M334" s="74">
        <v>37635</v>
      </c>
      <c r="N334" s="77">
        <v>0.16666666666666666</v>
      </c>
      <c r="P334">
        <v>19.399999999999999</v>
      </c>
      <c r="S334" s="74">
        <v>36174</v>
      </c>
      <c r="T334" s="77">
        <v>0.16666666666666666</v>
      </c>
      <c r="V334">
        <v>19.939999999999998</v>
      </c>
      <c r="X334" s="42"/>
      <c r="AB334">
        <v>31.2</v>
      </c>
      <c r="AC334">
        <v>15.98</v>
      </c>
      <c r="AE334" s="74"/>
      <c r="AF334" s="77"/>
      <c r="AH334" s="497">
        <v>62.6</v>
      </c>
      <c r="AJ334" s="42"/>
      <c r="AK334" s="74"/>
      <c r="AL334" s="77"/>
      <c r="AN334" s="497">
        <v>1.0399999999999991</v>
      </c>
      <c r="AP334" s="42"/>
      <c r="AQ334" s="74"/>
      <c r="AR334" s="77"/>
      <c r="AT334" s="497">
        <v>21.92</v>
      </c>
      <c r="AV334" s="42"/>
      <c r="AW334" s="74"/>
      <c r="AX334" s="77"/>
      <c r="BA334" s="497">
        <v>35.96</v>
      </c>
      <c r="BB334" s="42"/>
      <c r="BC334" s="74"/>
      <c r="BD334" s="77"/>
      <c r="BF334">
        <v>39.92</v>
      </c>
      <c r="BH334" s="42"/>
      <c r="BI334" s="74"/>
      <c r="BJ334" s="77"/>
      <c r="BL334" s="497">
        <v>37.04</v>
      </c>
      <c r="BN334" s="42"/>
      <c r="BO334" s="74"/>
      <c r="BP334" s="77"/>
      <c r="BR334" s="497">
        <v>-16.96</v>
      </c>
      <c r="BT334" s="42"/>
    </row>
    <row r="335" spans="1:72" x14ac:dyDescent="0.25">
      <c r="A335" s="90">
        <v>36174</v>
      </c>
      <c r="B335" s="20">
        <v>0.20833333333333334</v>
      </c>
      <c r="D335">
        <v>26.060000000000002</v>
      </c>
      <c r="E335" t="str">
        <f t="shared" si="44"/>
        <v>WEEKDAY</v>
      </c>
      <c r="F335" t="e">
        <f t="shared" si="45"/>
        <v>#N/A</v>
      </c>
      <c r="G335" s="74">
        <v>27773</v>
      </c>
      <c r="H335" s="77">
        <v>0.20833333333333334</v>
      </c>
      <c r="J335">
        <v>48.019999999999996</v>
      </c>
      <c r="M335" s="74">
        <v>37635</v>
      </c>
      <c r="N335" s="77">
        <v>0.20833333333333334</v>
      </c>
      <c r="P335">
        <v>17.600000000000001</v>
      </c>
      <c r="S335" s="74">
        <v>36174</v>
      </c>
      <c r="T335" s="77">
        <v>0.20833333333333334</v>
      </c>
      <c r="V335">
        <v>19.04</v>
      </c>
      <c r="X335" s="42"/>
      <c r="AB335">
        <v>31</v>
      </c>
      <c r="AC335">
        <v>15.079999999999998</v>
      </c>
      <c r="AE335" s="74"/>
      <c r="AF335" s="77"/>
      <c r="AH335" s="497">
        <v>64.400000000000006</v>
      </c>
      <c r="AJ335" s="42"/>
      <c r="AK335" s="74"/>
      <c r="AL335" s="77"/>
      <c r="AN335" s="497">
        <v>-0.94000000000000483</v>
      </c>
      <c r="AP335" s="42"/>
      <c r="AQ335" s="74"/>
      <c r="AR335" s="77"/>
      <c r="AT335" s="497">
        <v>21.92</v>
      </c>
      <c r="AV335" s="42"/>
      <c r="AW335" s="74"/>
      <c r="AX335" s="77"/>
      <c r="BA335" s="497">
        <v>35.6</v>
      </c>
      <c r="BB335" s="42"/>
      <c r="BC335" s="74"/>
      <c r="BD335" s="77"/>
      <c r="BF335">
        <v>37.94</v>
      </c>
      <c r="BH335" s="42"/>
      <c r="BI335" s="74"/>
      <c r="BJ335" s="77"/>
      <c r="BL335" s="497">
        <v>36.68</v>
      </c>
      <c r="BN335" s="42"/>
      <c r="BO335" s="74"/>
      <c r="BP335" s="77"/>
      <c r="BR335" s="497">
        <v>-18.940000000000005</v>
      </c>
      <c r="BT335" s="42"/>
    </row>
    <row r="336" spans="1:72" x14ac:dyDescent="0.25">
      <c r="A336" s="90">
        <v>36174</v>
      </c>
      <c r="B336" s="20">
        <v>0.25</v>
      </c>
      <c r="D336">
        <v>26.060000000000002</v>
      </c>
      <c r="E336" t="str">
        <f t="shared" si="44"/>
        <v>WEEKDAY</v>
      </c>
      <c r="F336" t="e">
        <f t="shared" si="45"/>
        <v>#N/A</v>
      </c>
      <c r="G336" s="74">
        <v>27773</v>
      </c>
      <c r="H336" s="77">
        <v>0.25</v>
      </c>
      <c r="J336">
        <v>44.96</v>
      </c>
      <c r="M336" s="74">
        <v>37635</v>
      </c>
      <c r="N336" s="77">
        <v>0.25</v>
      </c>
      <c r="P336">
        <v>17.600000000000001</v>
      </c>
      <c r="S336" s="74">
        <v>36174</v>
      </c>
      <c r="T336" s="77">
        <v>0.25</v>
      </c>
      <c r="V336">
        <v>17.96</v>
      </c>
      <c r="X336" s="42"/>
      <c r="AB336">
        <v>30.8</v>
      </c>
      <c r="AC336">
        <v>14</v>
      </c>
      <c r="AE336" s="74"/>
      <c r="AF336" s="77"/>
      <c r="AH336" s="497">
        <v>55.400000000000006</v>
      </c>
      <c r="AJ336" s="42"/>
      <c r="AK336" s="74"/>
      <c r="AL336" s="77"/>
      <c r="AN336" s="497">
        <v>-3.9999999999999147E-2</v>
      </c>
      <c r="AP336" s="42"/>
      <c r="AQ336" s="74"/>
      <c r="AR336" s="77"/>
      <c r="AT336" s="497">
        <v>21.02</v>
      </c>
      <c r="AV336" s="42"/>
      <c r="AW336" s="74"/>
      <c r="AX336" s="77"/>
      <c r="BA336" s="497">
        <v>35.42</v>
      </c>
      <c r="BB336" s="42"/>
      <c r="BC336" s="74"/>
      <c r="BD336" s="77"/>
      <c r="BF336">
        <v>37.94</v>
      </c>
      <c r="BH336" s="42"/>
      <c r="BI336" s="74"/>
      <c r="BJ336" s="77"/>
      <c r="BL336" s="497">
        <v>36.32</v>
      </c>
      <c r="BN336" s="42"/>
      <c r="BO336" s="74"/>
      <c r="BP336" s="77"/>
      <c r="BR336" s="497">
        <v>-16.96</v>
      </c>
      <c r="BT336" s="42"/>
    </row>
    <row r="337" spans="1:72" x14ac:dyDescent="0.25">
      <c r="A337" s="90">
        <v>36174</v>
      </c>
      <c r="B337" s="20">
        <v>0.29166666666666669</v>
      </c>
      <c r="D337">
        <v>26.060000000000002</v>
      </c>
      <c r="E337" t="str">
        <f t="shared" si="44"/>
        <v>WEEKDAY</v>
      </c>
      <c r="F337" t="e">
        <f t="shared" si="45"/>
        <v>#N/A</v>
      </c>
      <c r="G337" s="74">
        <v>27773</v>
      </c>
      <c r="H337" s="77">
        <v>0.29166666666666669</v>
      </c>
      <c r="J337">
        <v>44.06</v>
      </c>
      <c r="M337" s="74">
        <v>37635</v>
      </c>
      <c r="N337" s="77">
        <v>0.29166666666666669</v>
      </c>
      <c r="P337">
        <v>17.600000000000001</v>
      </c>
      <c r="S337" s="74">
        <v>36174</v>
      </c>
      <c r="T337" s="77">
        <v>0.29166666666666669</v>
      </c>
      <c r="V337">
        <v>17.96</v>
      </c>
      <c r="X337" s="42"/>
      <c r="AB337">
        <v>30.7</v>
      </c>
      <c r="AC337">
        <v>14</v>
      </c>
      <c r="AE337" s="74"/>
      <c r="AF337" s="77"/>
      <c r="AH337" s="497">
        <v>53.6</v>
      </c>
      <c r="AJ337" s="42"/>
      <c r="AK337" s="74"/>
      <c r="AL337" s="77"/>
      <c r="AN337" s="497">
        <v>-3.9999999999999147E-2</v>
      </c>
      <c r="AP337" s="42"/>
      <c r="AQ337" s="74"/>
      <c r="AR337" s="77"/>
      <c r="AT337" s="497">
        <v>19.939999999999998</v>
      </c>
      <c r="AV337" s="42"/>
      <c r="AW337" s="74"/>
      <c r="AX337" s="77"/>
      <c r="BA337" s="497">
        <v>35.06</v>
      </c>
      <c r="BB337" s="42"/>
      <c r="BC337" s="74"/>
      <c r="BD337" s="77"/>
      <c r="BF337">
        <v>37.94</v>
      </c>
      <c r="BH337" s="42"/>
      <c r="BI337" s="74"/>
      <c r="BJ337" s="77"/>
      <c r="BL337" s="497">
        <v>35.96</v>
      </c>
      <c r="BN337" s="42"/>
      <c r="BO337" s="74"/>
      <c r="BP337" s="77"/>
      <c r="BR337" s="497">
        <v>-20.92</v>
      </c>
      <c r="BT337" s="42"/>
    </row>
    <row r="338" spans="1:72" x14ac:dyDescent="0.25">
      <c r="A338" s="90">
        <v>36174</v>
      </c>
      <c r="B338" s="20">
        <v>0.33333333333333331</v>
      </c>
      <c r="D338">
        <v>26.96</v>
      </c>
      <c r="E338" t="str">
        <f t="shared" si="44"/>
        <v>WEEKDAY</v>
      </c>
      <c r="F338" t="e">
        <f t="shared" si="45"/>
        <v>#N/A</v>
      </c>
      <c r="G338" s="74">
        <v>27773</v>
      </c>
      <c r="H338" s="77">
        <v>0.33333333333333331</v>
      </c>
      <c r="J338">
        <v>42.980000000000004</v>
      </c>
      <c r="M338" s="74">
        <v>37635</v>
      </c>
      <c r="N338" s="77">
        <v>0.33333333333333331</v>
      </c>
      <c r="P338">
        <v>17.600000000000001</v>
      </c>
      <c r="S338" s="74">
        <v>36174</v>
      </c>
      <c r="T338" s="77">
        <v>0.33333333333333331</v>
      </c>
      <c r="V338">
        <v>17.059999999999999</v>
      </c>
      <c r="X338" s="42"/>
      <c r="AB338">
        <v>30.6</v>
      </c>
      <c r="AC338">
        <v>14</v>
      </c>
      <c r="AE338" s="74"/>
      <c r="AF338" s="77"/>
      <c r="AH338" s="497">
        <v>44.6</v>
      </c>
      <c r="AJ338" s="42"/>
      <c r="AK338" s="74"/>
      <c r="AL338" s="77"/>
      <c r="AN338" s="497">
        <v>-0.94000000000000483</v>
      </c>
      <c r="AP338" s="42"/>
      <c r="AQ338" s="74"/>
      <c r="AR338" s="77"/>
      <c r="AT338" s="497">
        <v>21.02</v>
      </c>
      <c r="AV338" s="42"/>
      <c r="AW338" s="74"/>
      <c r="AX338" s="77"/>
      <c r="BA338" s="497">
        <v>34.340000000000003</v>
      </c>
      <c r="BB338" s="42"/>
      <c r="BC338" s="74"/>
      <c r="BD338" s="77"/>
      <c r="BF338">
        <v>37.94</v>
      </c>
      <c r="BH338" s="42"/>
      <c r="BI338" s="74"/>
      <c r="BJ338" s="77"/>
      <c r="BL338" s="497">
        <v>36.32</v>
      </c>
      <c r="BN338" s="42"/>
      <c r="BO338" s="74"/>
      <c r="BP338" s="77"/>
      <c r="BR338" s="497">
        <v>-20.92</v>
      </c>
      <c r="BT338" s="42"/>
    </row>
    <row r="339" spans="1:72" x14ac:dyDescent="0.25">
      <c r="A339" s="90">
        <v>36174</v>
      </c>
      <c r="B339" s="20">
        <v>0.375</v>
      </c>
      <c r="D339">
        <v>30.02</v>
      </c>
      <c r="E339" t="str">
        <f t="shared" ref="E339:E402" si="46">IF(COUNTIF($DI$18:$DI$22, WEEKDAY(A339))=1, "WEEKDAY", IF(WEEKDAY(A339) = 1, "SUNDAY", "SATURDAY"))</f>
        <v>WEEKDAY</v>
      </c>
      <c r="F339" t="e">
        <f t="shared" si="45"/>
        <v>#N/A</v>
      </c>
      <c r="G339" s="74">
        <v>27773</v>
      </c>
      <c r="H339" s="77">
        <v>0.375</v>
      </c>
      <c r="J339">
        <v>42.980000000000004</v>
      </c>
      <c r="M339" s="74">
        <v>37635</v>
      </c>
      <c r="N339" s="77">
        <v>0.375</v>
      </c>
      <c r="P339">
        <v>19.399999999999999</v>
      </c>
      <c r="S339" s="74">
        <v>36174</v>
      </c>
      <c r="T339" s="77">
        <v>0.375</v>
      </c>
      <c r="V339">
        <v>17.059999999999999</v>
      </c>
      <c r="X339" s="42"/>
      <c r="AB339">
        <v>30.8</v>
      </c>
      <c r="AC339">
        <v>15.079999999999998</v>
      </c>
      <c r="AE339" s="74"/>
      <c r="AF339" s="77"/>
      <c r="AH339" s="497">
        <v>42.8</v>
      </c>
      <c r="AJ339" s="42"/>
      <c r="AK339" s="74"/>
      <c r="AL339" s="77"/>
      <c r="AN339" s="497">
        <v>-3.9999999999999147E-2</v>
      </c>
      <c r="AP339" s="42"/>
      <c r="AQ339" s="74"/>
      <c r="AR339" s="77"/>
      <c r="AT339" s="497">
        <v>21.02</v>
      </c>
      <c r="AV339" s="42"/>
      <c r="AW339" s="74"/>
      <c r="AX339" s="77"/>
      <c r="BA339" s="497">
        <v>33.799999999999997</v>
      </c>
      <c r="BB339" s="42"/>
      <c r="BC339" s="74"/>
      <c r="BD339" s="77"/>
      <c r="BF339">
        <v>39.019999999999996</v>
      </c>
      <c r="BH339" s="42"/>
      <c r="BI339" s="74"/>
      <c r="BJ339" s="77"/>
      <c r="BL339" s="497">
        <v>36.68</v>
      </c>
      <c r="BN339" s="42"/>
      <c r="BO339" s="74"/>
      <c r="BP339" s="77"/>
      <c r="BR339" s="497">
        <v>-13</v>
      </c>
      <c r="BT339" s="42"/>
    </row>
    <row r="340" spans="1:72" x14ac:dyDescent="0.25">
      <c r="A340" s="90">
        <v>36174</v>
      </c>
      <c r="B340" s="20">
        <v>0.41666666666666669</v>
      </c>
      <c r="D340">
        <v>30.92</v>
      </c>
      <c r="E340" t="str">
        <f t="shared" si="46"/>
        <v>WEEKDAY</v>
      </c>
      <c r="F340" t="e">
        <f t="shared" si="45"/>
        <v>#N/A</v>
      </c>
      <c r="G340" s="74">
        <v>27773</v>
      </c>
      <c r="H340" s="77">
        <v>0.41666666666666669</v>
      </c>
      <c r="J340">
        <v>42.980000000000004</v>
      </c>
      <c r="M340" s="74">
        <v>37635</v>
      </c>
      <c r="N340" s="77">
        <v>0.41666666666666669</v>
      </c>
      <c r="P340">
        <v>21.2</v>
      </c>
      <c r="S340" s="74">
        <v>36174</v>
      </c>
      <c r="T340" s="77">
        <v>0.41666666666666669</v>
      </c>
      <c r="V340">
        <v>17.059999999999999</v>
      </c>
      <c r="X340" s="42"/>
      <c r="AB340">
        <v>32.200000000000003</v>
      </c>
      <c r="AC340">
        <v>15.98</v>
      </c>
      <c r="AE340" s="74"/>
      <c r="AF340" s="77"/>
      <c r="AH340" s="497">
        <v>39.200000000000003</v>
      </c>
      <c r="AJ340" s="42"/>
      <c r="AK340" s="74"/>
      <c r="AL340" s="77"/>
      <c r="AN340" s="497">
        <v>3.019999999999996</v>
      </c>
      <c r="AP340" s="42"/>
      <c r="AQ340" s="74"/>
      <c r="AR340" s="77"/>
      <c r="AT340" s="497">
        <v>23</v>
      </c>
      <c r="AV340" s="42"/>
      <c r="AW340" s="74"/>
      <c r="AX340" s="77"/>
      <c r="BA340" s="497">
        <v>33.08</v>
      </c>
      <c r="BB340" s="42"/>
      <c r="BC340" s="74"/>
      <c r="BD340" s="77"/>
      <c r="BF340">
        <v>39.019999999999996</v>
      </c>
      <c r="BH340" s="42"/>
      <c r="BI340" s="74"/>
      <c r="BJ340" s="77"/>
      <c r="BL340" s="497">
        <v>37.04</v>
      </c>
      <c r="BN340" s="42"/>
      <c r="BO340" s="74"/>
      <c r="BP340" s="77"/>
      <c r="BR340" s="497">
        <v>-7.0600000000000023</v>
      </c>
      <c r="BT340" s="42"/>
    </row>
    <row r="341" spans="1:72" x14ac:dyDescent="0.25">
      <c r="A341" s="90">
        <v>36174</v>
      </c>
      <c r="B341" s="20">
        <v>0.45833333333333331</v>
      </c>
      <c r="D341">
        <v>32</v>
      </c>
      <c r="E341" t="str">
        <f t="shared" si="46"/>
        <v>WEEKDAY</v>
      </c>
      <c r="F341" t="e">
        <f t="shared" si="45"/>
        <v>#N/A</v>
      </c>
      <c r="G341" s="74">
        <v>27773</v>
      </c>
      <c r="H341" s="77">
        <v>0.45833333333333331</v>
      </c>
      <c r="J341">
        <v>42.980000000000004</v>
      </c>
      <c r="M341" s="74">
        <v>37635</v>
      </c>
      <c r="N341" s="77">
        <v>0.45833333333333331</v>
      </c>
      <c r="P341">
        <v>21.2</v>
      </c>
      <c r="S341" s="74">
        <v>36174</v>
      </c>
      <c r="T341" s="77">
        <v>0.45833333333333331</v>
      </c>
      <c r="V341">
        <v>19.04</v>
      </c>
      <c r="X341" s="42"/>
      <c r="AB341">
        <v>33.6</v>
      </c>
      <c r="AC341">
        <v>19.04</v>
      </c>
      <c r="AE341" s="74"/>
      <c r="AF341" s="77"/>
      <c r="AH341" s="497">
        <v>35.6</v>
      </c>
      <c r="AJ341" s="42"/>
      <c r="AK341" s="74"/>
      <c r="AL341" s="77"/>
      <c r="AN341" s="497">
        <v>5</v>
      </c>
      <c r="AP341" s="42"/>
      <c r="AQ341" s="74"/>
      <c r="AR341" s="77"/>
      <c r="AT341" s="497">
        <v>24.08</v>
      </c>
      <c r="AV341" s="42"/>
      <c r="AW341" s="74"/>
      <c r="AX341" s="77"/>
      <c r="BA341" s="497">
        <v>34.340000000000003</v>
      </c>
      <c r="BB341" s="42"/>
      <c r="BC341" s="74"/>
      <c r="BD341" s="77"/>
      <c r="BF341">
        <v>39.92</v>
      </c>
      <c r="BH341" s="42"/>
      <c r="BI341" s="74"/>
      <c r="BJ341" s="77"/>
      <c r="BL341" s="497">
        <v>37.76</v>
      </c>
      <c r="BN341" s="42"/>
      <c r="BO341" s="74"/>
      <c r="BP341" s="77"/>
      <c r="BR341" s="497">
        <v>-5.980000000000004</v>
      </c>
      <c r="BT341" s="42"/>
    </row>
    <row r="342" spans="1:72" x14ac:dyDescent="0.25">
      <c r="A342" s="90">
        <v>36174</v>
      </c>
      <c r="B342" s="20">
        <v>0.5</v>
      </c>
      <c r="D342">
        <v>33.08</v>
      </c>
      <c r="E342" t="str">
        <f t="shared" si="46"/>
        <v>WEEKDAY</v>
      </c>
      <c r="F342" t="e">
        <f t="shared" si="45"/>
        <v>#N/A</v>
      </c>
      <c r="G342" s="74">
        <v>27773</v>
      </c>
      <c r="H342" s="77">
        <v>0.5</v>
      </c>
      <c r="J342">
        <v>42.08</v>
      </c>
      <c r="M342" s="74">
        <v>37635</v>
      </c>
      <c r="N342" s="77">
        <v>0.5</v>
      </c>
      <c r="P342">
        <v>24.8</v>
      </c>
      <c r="S342" s="74">
        <v>36174</v>
      </c>
      <c r="T342" s="77">
        <v>0.5</v>
      </c>
      <c r="V342">
        <v>19.939999999999998</v>
      </c>
      <c r="X342" s="42"/>
      <c r="AB342">
        <v>34.799999999999997</v>
      </c>
      <c r="AC342">
        <v>19.939999999999998</v>
      </c>
      <c r="AE342" s="74"/>
      <c r="AF342" s="77"/>
      <c r="AH342" s="497">
        <v>33.799999999999997</v>
      </c>
      <c r="AJ342" s="42"/>
      <c r="AK342" s="74"/>
      <c r="AL342" s="77"/>
      <c r="AN342" s="497">
        <v>6.0799999999999983</v>
      </c>
      <c r="AP342" s="42"/>
      <c r="AQ342" s="74"/>
      <c r="AR342" s="77"/>
      <c r="AT342" s="497">
        <v>26.060000000000002</v>
      </c>
      <c r="AV342" s="42"/>
      <c r="AW342" s="74"/>
      <c r="AX342" s="77"/>
      <c r="BA342" s="497">
        <v>35.78</v>
      </c>
      <c r="BB342" s="42"/>
      <c r="BC342" s="74"/>
      <c r="BD342" s="77"/>
      <c r="BF342">
        <v>39.92</v>
      </c>
      <c r="BH342" s="42"/>
      <c r="BI342" s="74"/>
      <c r="BJ342" s="77"/>
      <c r="BL342" s="497">
        <v>38.299999999999997</v>
      </c>
      <c r="BN342" s="42"/>
      <c r="BO342" s="74"/>
      <c r="BP342" s="77"/>
      <c r="BR342" s="497">
        <v>-4</v>
      </c>
      <c r="BT342" s="42"/>
    </row>
    <row r="343" spans="1:72" x14ac:dyDescent="0.25">
      <c r="A343" s="90">
        <v>36174</v>
      </c>
      <c r="B343" s="20">
        <v>0.54166666666666663</v>
      </c>
      <c r="D343">
        <v>33.08</v>
      </c>
      <c r="E343" t="str">
        <f t="shared" si="46"/>
        <v>WEEKDAY</v>
      </c>
      <c r="F343" t="e">
        <f t="shared" si="45"/>
        <v>#N/A</v>
      </c>
      <c r="G343" s="74">
        <v>27773</v>
      </c>
      <c r="H343" s="77">
        <v>0.54166666666666663</v>
      </c>
      <c r="J343">
        <v>42.08</v>
      </c>
      <c r="M343" s="74">
        <v>37635</v>
      </c>
      <c r="N343" s="77">
        <v>0.54166666666666663</v>
      </c>
      <c r="P343">
        <v>23</v>
      </c>
      <c r="S343" s="74">
        <v>36174</v>
      </c>
      <c r="T343" s="77">
        <v>0.54166666666666663</v>
      </c>
      <c r="V343">
        <v>19.939999999999998</v>
      </c>
      <c r="X343" s="42"/>
      <c r="AB343">
        <v>35.9</v>
      </c>
      <c r="AC343">
        <v>21.02</v>
      </c>
      <c r="AE343" s="74"/>
      <c r="AF343" s="77"/>
      <c r="AH343" s="497">
        <v>33.799999999999997</v>
      </c>
      <c r="AJ343" s="42"/>
      <c r="AK343" s="74"/>
      <c r="AL343" s="77"/>
      <c r="AN343" s="497">
        <v>6.98</v>
      </c>
      <c r="AP343" s="42"/>
      <c r="AQ343" s="74"/>
      <c r="AR343" s="77"/>
      <c r="AT343" s="497">
        <v>28.94</v>
      </c>
      <c r="AV343" s="42"/>
      <c r="AW343" s="74"/>
      <c r="AX343" s="77"/>
      <c r="BA343" s="497">
        <v>37.04</v>
      </c>
      <c r="BB343" s="42"/>
      <c r="BC343" s="74"/>
      <c r="BD343" s="77"/>
      <c r="BF343">
        <v>39.92</v>
      </c>
      <c r="BH343" s="42"/>
      <c r="BI343" s="74"/>
      <c r="BJ343" s="77"/>
      <c r="BL343" s="497">
        <v>39.019999999999996</v>
      </c>
      <c r="BN343" s="42"/>
      <c r="BO343" s="74"/>
      <c r="BP343" s="77"/>
      <c r="BR343" s="497">
        <v>-2.9200000000000017</v>
      </c>
      <c r="BT343" s="42"/>
    </row>
    <row r="344" spans="1:72" x14ac:dyDescent="0.25">
      <c r="A344" s="90">
        <v>36174</v>
      </c>
      <c r="B344" s="20">
        <v>0.58333333333333337</v>
      </c>
      <c r="D344">
        <v>35.96</v>
      </c>
      <c r="E344" t="str">
        <f t="shared" si="46"/>
        <v>WEEKDAY</v>
      </c>
      <c r="F344" t="e">
        <f t="shared" si="45"/>
        <v>#N/A</v>
      </c>
      <c r="G344" s="74">
        <v>27773</v>
      </c>
      <c r="H344" s="77">
        <v>0.58333333333333337</v>
      </c>
      <c r="J344">
        <v>42.980000000000004</v>
      </c>
      <c r="M344" s="74">
        <v>37635</v>
      </c>
      <c r="N344" s="77">
        <v>0.58333333333333337</v>
      </c>
      <c r="P344">
        <v>24.8</v>
      </c>
      <c r="S344" s="74">
        <v>36174</v>
      </c>
      <c r="T344" s="77">
        <v>0.58333333333333337</v>
      </c>
      <c r="V344">
        <v>19.939999999999998</v>
      </c>
      <c r="X344" s="42"/>
      <c r="AB344">
        <v>36.6</v>
      </c>
      <c r="AC344">
        <v>21.92</v>
      </c>
      <c r="AE344" s="74"/>
      <c r="AF344" s="77"/>
      <c r="AH344" s="497">
        <v>35.6</v>
      </c>
      <c r="AJ344" s="42"/>
      <c r="AK344" s="74"/>
      <c r="AL344" s="77"/>
      <c r="AN344" s="497">
        <v>8.0599999999999987</v>
      </c>
      <c r="AP344" s="42"/>
      <c r="AQ344" s="74"/>
      <c r="AR344" s="77"/>
      <c r="AT344" s="497">
        <v>32</v>
      </c>
      <c r="AV344" s="42"/>
      <c r="AW344" s="74"/>
      <c r="AX344" s="77"/>
      <c r="BA344" s="497">
        <v>37.4</v>
      </c>
      <c r="BB344" s="42"/>
      <c r="BC344" s="74"/>
      <c r="BD344" s="77"/>
      <c r="BF344">
        <v>39.019999999999996</v>
      </c>
      <c r="BH344" s="42"/>
      <c r="BI344" s="74"/>
      <c r="BJ344" s="77"/>
      <c r="BL344" s="497">
        <v>39.019999999999996</v>
      </c>
      <c r="BN344" s="42"/>
      <c r="BO344" s="74"/>
      <c r="BP344" s="77"/>
      <c r="BR344" s="497">
        <v>-0.94000000000000483</v>
      </c>
      <c r="BT344" s="42"/>
    </row>
    <row r="345" spans="1:72" x14ac:dyDescent="0.25">
      <c r="A345" s="90">
        <v>36174</v>
      </c>
      <c r="B345" s="20">
        <v>0.625</v>
      </c>
      <c r="D345">
        <v>37.04</v>
      </c>
      <c r="E345" t="str">
        <f t="shared" si="46"/>
        <v>WEEKDAY</v>
      </c>
      <c r="F345" t="e">
        <f t="shared" si="45"/>
        <v>#N/A</v>
      </c>
      <c r="G345" s="74">
        <v>27773</v>
      </c>
      <c r="H345" s="77">
        <v>0.625</v>
      </c>
      <c r="J345">
        <v>42.980000000000004</v>
      </c>
      <c r="M345" s="74">
        <v>37635</v>
      </c>
      <c r="N345" s="77">
        <v>0.625</v>
      </c>
      <c r="P345">
        <v>24.8</v>
      </c>
      <c r="S345" s="74">
        <v>36174</v>
      </c>
      <c r="T345" s="77">
        <v>0.625</v>
      </c>
      <c r="V345">
        <v>19.939999999999998</v>
      </c>
      <c r="X345" s="42"/>
      <c r="AB345">
        <v>37.1</v>
      </c>
      <c r="AC345">
        <v>21.92</v>
      </c>
      <c r="AE345" s="74"/>
      <c r="AF345" s="77"/>
      <c r="AH345" s="497">
        <v>35.6</v>
      </c>
      <c r="AJ345" s="42"/>
      <c r="AK345" s="74"/>
      <c r="AL345" s="77"/>
      <c r="AN345" s="497">
        <v>8.0599999999999987</v>
      </c>
      <c r="AP345" s="42"/>
      <c r="AQ345" s="74"/>
      <c r="AR345" s="77"/>
      <c r="AT345" s="497">
        <v>33.08</v>
      </c>
      <c r="AV345" s="42"/>
      <c r="AW345" s="74"/>
      <c r="AX345" s="77"/>
      <c r="BA345" s="497">
        <v>37.58</v>
      </c>
      <c r="BB345" s="42"/>
      <c r="BC345" s="74"/>
      <c r="BD345" s="77"/>
      <c r="BF345">
        <v>39.019999999999996</v>
      </c>
      <c r="BH345" s="42"/>
      <c r="BI345" s="74"/>
      <c r="BJ345" s="77"/>
      <c r="BL345" s="497">
        <v>39.019999999999996</v>
      </c>
      <c r="BN345" s="42"/>
      <c r="BO345" s="74"/>
      <c r="BP345" s="77"/>
      <c r="BR345" s="497">
        <v>-3.9999999999999147E-2</v>
      </c>
      <c r="BT345" s="42"/>
    </row>
    <row r="346" spans="1:72" x14ac:dyDescent="0.25">
      <c r="A346" s="90">
        <v>36174</v>
      </c>
      <c r="B346" s="20">
        <v>0.66666666666666663</v>
      </c>
      <c r="D346">
        <v>37.04</v>
      </c>
      <c r="E346" t="str">
        <f t="shared" si="46"/>
        <v>WEEKDAY</v>
      </c>
      <c r="F346" t="e">
        <f t="shared" si="45"/>
        <v>#N/A</v>
      </c>
      <c r="G346" s="74">
        <v>27773</v>
      </c>
      <c r="H346" s="77">
        <v>0.66666666666666663</v>
      </c>
      <c r="J346">
        <v>42.08</v>
      </c>
      <c r="M346" s="74">
        <v>37635</v>
      </c>
      <c r="N346" s="77">
        <v>0.66666666666666663</v>
      </c>
      <c r="P346">
        <v>24.8</v>
      </c>
      <c r="S346" s="74">
        <v>36174</v>
      </c>
      <c r="T346" s="77">
        <v>0.66666666666666663</v>
      </c>
      <c r="V346">
        <v>21.02</v>
      </c>
      <c r="X346" s="42"/>
      <c r="AB346">
        <v>37.1</v>
      </c>
      <c r="AC346">
        <v>21.02</v>
      </c>
      <c r="AE346" s="74"/>
      <c r="AF346" s="77"/>
      <c r="AH346" s="497">
        <v>35.6</v>
      </c>
      <c r="AJ346" s="42"/>
      <c r="AK346" s="74"/>
      <c r="AL346" s="77"/>
      <c r="AN346" s="497">
        <v>8.0599999999999987</v>
      </c>
      <c r="AP346" s="42"/>
      <c r="AQ346" s="74"/>
      <c r="AR346" s="77"/>
      <c r="AT346" s="497">
        <v>33.08</v>
      </c>
      <c r="AV346" s="42"/>
      <c r="AW346" s="74"/>
      <c r="AX346" s="77"/>
      <c r="BA346" s="497">
        <v>37.94</v>
      </c>
      <c r="BB346" s="42"/>
      <c r="BC346" s="74"/>
      <c r="BD346" s="77"/>
      <c r="BF346">
        <v>37.94</v>
      </c>
      <c r="BH346" s="42"/>
      <c r="BI346" s="74"/>
      <c r="BJ346" s="77"/>
      <c r="BL346" s="497">
        <v>39.019999999999996</v>
      </c>
      <c r="BN346" s="42"/>
      <c r="BO346" s="74"/>
      <c r="BP346" s="77"/>
      <c r="BR346" s="497">
        <v>-0.94000000000000483</v>
      </c>
      <c r="BT346" s="42"/>
    </row>
    <row r="347" spans="1:72" x14ac:dyDescent="0.25">
      <c r="A347" s="90">
        <v>36174</v>
      </c>
      <c r="B347" s="20">
        <v>0.70833333333333337</v>
      </c>
      <c r="D347">
        <v>37.04</v>
      </c>
      <c r="E347" t="str">
        <f t="shared" si="46"/>
        <v>WEEKDAY</v>
      </c>
      <c r="F347" t="e">
        <f t="shared" si="45"/>
        <v>#N/A</v>
      </c>
      <c r="G347" s="74">
        <v>27773</v>
      </c>
      <c r="H347" s="77">
        <v>0.70833333333333337</v>
      </c>
      <c r="J347">
        <v>39.92</v>
      </c>
      <c r="M347" s="74">
        <v>37635</v>
      </c>
      <c r="N347" s="77">
        <v>0.70833333333333337</v>
      </c>
      <c r="P347">
        <v>23</v>
      </c>
      <c r="S347" s="74">
        <v>36174</v>
      </c>
      <c r="T347" s="77">
        <v>0.70833333333333337</v>
      </c>
      <c r="V347">
        <v>21.02</v>
      </c>
      <c r="X347" s="42"/>
      <c r="AB347">
        <v>36.6</v>
      </c>
      <c r="AC347">
        <v>19.04</v>
      </c>
      <c r="AE347" s="74"/>
      <c r="AF347" s="77"/>
      <c r="AH347" s="497">
        <v>35.6</v>
      </c>
      <c r="AJ347" s="42"/>
      <c r="AK347" s="74"/>
      <c r="AL347" s="77"/>
      <c r="AN347" s="497">
        <v>6.0799999999999983</v>
      </c>
      <c r="AP347" s="42"/>
      <c r="AQ347" s="74"/>
      <c r="AR347" s="77"/>
      <c r="AT347" s="497">
        <v>33.08</v>
      </c>
      <c r="AV347" s="42"/>
      <c r="AW347" s="74"/>
      <c r="AX347" s="77"/>
      <c r="BA347" s="497">
        <v>37.04</v>
      </c>
      <c r="BB347" s="42"/>
      <c r="BC347" s="74"/>
      <c r="BD347" s="77"/>
      <c r="BF347">
        <v>37.94</v>
      </c>
      <c r="BH347" s="42"/>
      <c r="BI347" s="74"/>
      <c r="BJ347" s="77"/>
      <c r="BL347" s="497">
        <v>38.299999999999997</v>
      </c>
      <c r="BN347" s="42"/>
      <c r="BO347" s="74"/>
      <c r="BP347" s="77"/>
      <c r="BR347" s="497">
        <v>-2.9200000000000017</v>
      </c>
      <c r="BT347" s="42"/>
    </row>
    <row r="348" spans="1:72" x14ac:dyDescent="0.25">
      <c r="A348" s="90">
        <v>36174</v>
      </c>
      <c r="B348" s="20">
        <v>0.75</v>
      </c>
      <c r="D348">
        <v>37.04</v>
      </c>
      <c r="E348" t="str">
        <f t="shared" si="46"/>
        <v>WEEKDAY</v>
      </c>
      <c r="F348" t="e">
        <f t="shared" si="45"/>
        <v>#N/A</v>
      </c>
      <c r="G348" s="74">
        <v>27773</v>
      </c>
      <c r="H348" s="77">
        <v>0.75</v>
      </c>
      <c r="J348">
        <v>39.019999999999996</v>
      </c>
      <c r="M348" s="74">
        <v>37635</v>
      </c>
      <c r="N348" s="77">
        <v>0.75</v>
      </c>
      <c r="P348">
        <v>21.2</v>
      </c>
      <c r="S348" s="74">
        <v>36174</v>
      </c>
      <c r="T348" s="77">
        <v>0.75</v>
      </c>
      <c r="V348">
        <v>21.92</v>
      </c>
      <c r="X348" s="42"/>
      <c r="AB348">
        <v>35.4</v>
      </c>
      <c r="AC348">
        <v>19.04</v>
      </c>
      <c r="AE348" s="74"/>
      <c r="AF348" s="77"/>
      <c r="AH348" s="497">
        <v>33.799999999999997</v>
      </c>
      <c r="AJ348" s="42"/>
      <c r="AK348" s="74"/>
      <c r="AL348" s="77"/>
      <c r="AN348" s="497">
        <v>5</v>
      </c>
      <c r="AP348" s="42"/>
      <c r="AQ348" s="74"/>
      <c r="AR348" s="77"/>
      <c r="AT348" s="497">
        <v>32</v>
      </c>
      <c r="AV348" s="42"/>
      <c r="AW348" s="74"/>
      <c r="AX348" s="77"/>
      <c r="BA348" s="497">
        <v>35.96</v>
      </c>
      <c r="BB348" s="42"/>
      <c r="BC348" s="74"/>
      <c r="BD348" s="77"/>
      <c r="BF348">
        <v>37.04</v>
      </c>
      <c r="BH348" s="42"/>
      <c r="BI348" s="74"/>
      <c r="BJ348" s="77"/>
      <c r="BL348" s="497">
        <v>37.76</v>
      </c>
      <c r="BN348" s="42"/>
      <c r="BO348" s="74"/>
      <c r="BP348" s="77"/>
      <c r="BR348" s="497">
        <v>-5.0800000000000054</v>
      </c>
      <c r="BT348" s="42"/>
    </row>
    <row r="349" spans="1:72" x14ac:dyDescent="0.25">
      <c r="A349" s="90">
        <v>36174</v>
      </c>
      <c r="B349" s="20">
        <v>0.79166666666666663</v>
      </c>
      <c r="D349">
        <v>37.04</v>
      </c>
      <c r="E349" t="str">
        <f t="shared" si="46"/>
        <v>WEEKDAY</v>
      </c>
      <c r="F349" t="e">
        <f t="shared" si="45"/>
        <v>#N/A</v>
      </c>
      <c r="G349" s="74">
        <v>27773</v>
      </c>
      <c r="H349" s="77">
        <v>0.79166666666666663</v>
      </c>
      <c r="J349">
        <v>37.94</v>
      </c>
      <c r="M349" s="74">
        <v>37635</v>
      </c>
      <c r="N349" s="77">
        <v>0.79166666666666663</v>
      </c>
      <c r="P349">
        <v>21.2</v>
      </c>
      <c r="S349" s="74">
        <v>36174</v>
      </c>
      <c r="T349" s="77">
        <v>0.79166666666666663</v>
      </c>
      <c r="V349">
        <v>23</v>
      </c>
      <c r="X349" s="42"/>
      <c r="AB349">
        <v>34.799999999999997</v>
      </c>
      <c r="AC349">
        <v>17.96</v>
      </c>
      <c r="AE349" s="74"/>
      <c r="AF349" s="77"/>
      <c r="AH349" s="497">
        <v>32</v>
      </c>
      <c r="AJ349" s="42"/>
      <c r="AK349" s="74"/>
      <c r="AL349" s="77"/>
      <c r="AN349" s="497">
        <v>3.019999999999996</v>
      </c>
      <c r="AP349" s="42"/>
      <c r="AQ349" s="74"/>
      <c r="AR349" s="77"/>
      <c r="AT349" s="497">
        <v>30.02</v>
      </c>
      <c r="AV349" s="42"/>
      <c r="AW349" s="74"/>
      <c r="AX349" s="77"/>
      <c r="BA349" s="497">
        <v>35.06</v>
      </c>
      <c r="BB349" s="42"/>
      <c r="BC349" s="74"/>
      <c r="BD349" s="77"/>
      <c r="BF349">
        <v>35.96</v>
      </c>
      <c r="BH349" s="42"/>
      <c r="BI349" s="74"/>
      <c r="BJ349" s="77"/>
      <c r="BL349" s="497">
        <v>37.04</v>
      </c>
      <c r="BN349" s="42"/>
      <c r="BO349" s="74"/>
      <c r="BP349" s="77"/>
      <c r="BR349" s="497">
        <v>-7.0600000000000023</v>
      </c>
      <c r="BT349" s="42"/>
    </row>
    <row r="350" spans="1:72" x14ac:dyDescent="0.25">
      <c r="A350" s="90">
        <v>36174</v>
      </c>
      <c r="B350" s="20">
        <v>0.83333333333333337</v>
      </c>
      <c r="D350">
        <v>37.04</v>
      </c>
      <c r="E350" t="str">
        <f t="shared" si="46"/>
        <v>WEEKDAY</v>
      </c>
      <c r="F350" t="e">
        <f t="shared" si="45"/>
        <v>#N/A</v>
      </c>
      <c r="G350" s="74">
        <v>27773</v>
      </c>
      <c r="H350" s="77">
        <v>0.83333333333333337</v>
      </c>
      <c r="J350">
        <v>37.04</v>
      </c>
      <c r="M350" s="74">
        <v>37635</v>
      </c>
      <c r="N350" s="77">
        <v>0.83333333333333337</v>
      </c>
      <c r="P350">
        <v>21.2</v>
      </c>
      <c r="S350" s="74">
        <v>36174</v>
      </c>
      <c r="T350" s="77">
        <v>0.83333333333333337</v>
      </c>
      <c r="V350">
        <v>21.92</v>
      </c>
      <c r="X350" s="42"/>
      <c r="AB350">
        <v>34.4</v>
      </c>
      <c r="AC350">
        <v>17.96</v>
      </c>
      <c r="AE350" s="74"/>
      <c r="AF350" s="77"/>
      <c r="AH350" s="497">
        <v>32</v>
      </c>
      <c r="AJ350" s="42"/>
      <c r="AK350" s="74"/>
      <c r="AL350" s="77"/>
      <c r="AN350" s="497">
        <v>1.9400000000000013</v>
      </c>
      <c r="AP350" s="42"/>
      <c r="AQ350" s="74"/>
      <c r="AR350" s="77"/>
      <c r="AT350" s="497">
        <v>28.94</v>
      </c>
      <c r="AV350" s="42"/>
      <c r="AW350" s="74"/>
      <c r="AX350" s="77"/>
      <c r="BA350" s="497">
        <v>35.42</v>
      </c>
      <c r="BB350" s="42"/>
      <c r="BC350" s="74"/>
      <c r="BD350" s="77"/>
      <c r="BF350">
        <v>35.96</v>
      </c>
      <c r="BH350" s="42"/>
      <c r="BI350" s="74"/>
      <c r="BJ350" s="77"/>
      <c r="BL350" s="497">
        <v>36.68</v>
      </c>
      <c r="BN350" s="42"/>
      <c r="BO350" s="74"/>
      <c r="BP350" s="77"/>
      <c r="BR350" s="497">
        <v>-9.0399999999999991</v>
      </c>
      <c r="BT350" s="42"/>
    </row>
    <row r="351" spans="1:72" x14ac:dyDescent="0.25">
      <c r="A351" s="90">
        <v>36174</v>
      </c>
      <c r="B351" s="20">
        <v>0.875</v>
      </c>
      <c r="D351">
        <v>37.04</v>
      </c>
      <c r="E351" t="str">
        <f t="shared" si="46"/>
        <v>WEEKDAY</v>
      </c>
      <c r="F351" t="e">
        <f t="shared" si="45"/>
        <v>#N/A</v>
      </c>
      <c r="G351" s="74">
        <v>27773</v>
      </c>
      <c r="H351" s="77">
        <v>0.875</v>
      </c>
      <c r="J351">
        <v>35.96</v>
      </c>
      <c r="M351" s="74">
        <v>37635</v>
      </c>
      <c r="N351" s="77">
        <v>0.875</v>
      </c>
      <c r="P351">
        <v>19.399999999999999</v>
      </c>
      <c r="S351" s="74">
        <v>36174</v>
      </c>
      <c r="T351" s="77">
        <v>0.875</v>
      </c>
      <c r="V351">
        <v>21.2</v>
      </c>
      <c r="X351" s="42"/>
      <c r="AB351">
        <v>33.9</v>
      </c>
      <c r="AC351">
        <v>17.059999999999999</v>
      </c>
      <c r="AE351" s="74"/>
      <c r="AF351" s="77"/>
      <c r="AH351" s="497">
        <v>32</v>
      </c>
      <c r="AJ351" s="42"/>
      <c r="AK351" s="74"/>
      <c r="AL351" s="77"/>
      <c r="AN351" s="497">
        <v>-3.9999999999999147E-2</v>
      </c>
      <c r="AP351" s="42"/>
      <c r="AQ351" s="74"/>
      <c r="AR351" s="77"/>
      <c r="AT351" s="497">
        <v>28.94</v>
      </c>
      <c r="AV351" s="42"/>
      <c r="AW351" s="74"/>
      <c r="AX351" s="77"/>
      <c r="BA351" s="497">
        <v>35.6</v>
      </c>
      <c r="BB351" s="42"/>
      <c r="BC351" s="74"/>
      <c r="BD351" s="77"/>
      <c r="BF351">
        <v>35.96</v>
      </c>
      <c r="BH351" s="42"/>
      <c r="BI351" s="74"/>
      <c r="BJ351" s="77"/>
      <c r="BL351" s="497">
        <v>36.32</v>
      </c>
      <c r="BN351" s="42"/>
      <c r="BO351" s="74"/>
      <c r="BP351" s="77"/>
      <c r="BR351" s="497">
        <v>-9.9400000000000048</v>
      </c>
      <c r="BT351" s="42"/>
    </row>
    <row r="352" spans="1:72" x14ac:dyDescent="0.25">
      <c r="A352" s="90">
        <v>36174</v>
      </c>
      <c r="B352" s="20">
        <v>0.91666666666666663</v>
      </c>
      <c r="D352">
        <v>35.96</v>
      </c>
      <c r="E352" t="str">
        <f t="shared" si="46"/>
        <v>WEEKDAY</v>
      </c>
      <c r="F352" t="e">
        <f t="shared" si="45"/>
        <v>#N/A</v>
      </c>
      <c r="G352" s="74">
        <v>27773</v>
      </c>
      <c r="H352" s="77">
        <v>0.91666666666666663</v>
      </c>
      <c r="J352">
        <v>35.06</v>
      </c>
      <c r="M352" s="74">
        <v>37635</v>
      </c>
      <c r="N352" s="77">
        <v>0.91666666666666663</v>
      </c>
      <c r="P352">
        <v>19.399999999999999</v>
      </c>
      <c r="S352" s="74">
        <v>36174</v>
      </c>
      <c r="T352" s="77">
        <v>0.91666666666666663</v>
      </c>
      <c r="V352">
        <v>21.92</v>
      </c>
      <c r="X352" s="42"/>
      <c r="AB352">
        <v>33.299999999999997</v>
      </c>
      <c r="AC352">
        <v>17.059999999999999</v>
      </c>
      <c r="AE352" s="74"/>
      <c r="AF352" s="77"/>
      <c r="AH352" s="497">
        <v>30.2</v>
      </c>
      <c r="AJ352" s="42"/>
      <c r="AK352" s="74"/>
      <c r="AL352" s="77"/>
      <c r="AN352" s="497">
        <v>-0.94000000000000483</v>
      </c>
      <c r="AP352" s="42"/>
      <c r="AQ352" s="74"/>
      <c r="AR352" s="77"/>
      <c r="AT352" s="497">
        <v>28.04</v>
      </c>
      <c r="AV352" s="42"/>
      <c r="AW352" s="74"/>
      <c r="AX352" s="77"/>
      <c r="BA352" s="497">
        <v>35.96</v>
      </c>
      <c r="BB352" s="42"/>
      <c r="BC352" s="74"/>
      <c r="BD352" s="77"/>
      <c r="BF352">
        <v>35.06</v>
      </c>
      <c r="BH352" s="42"/>
      <c r="BI352" s="74"/>
      <c r="BJ352" s="77"/>
      <c r="BL352" s="497">
        <v>35.96</v>
      </c>
      <c r="BN352" s="42"/>
      <c r="BO352" s="74"/>
      <c r="BP352" s="77"/>
      <c r="BR352" s="497">
        <v>-11.920000000000002</v>
      </c>
      <c r="BT352" s="42"/>
    </row>
    <row r="353" spans="1:72" x14ac:dyDescent="0.25">
      <c r="A353" s="90">
        <v>36174</v>
      </c>
      <c r="B353" s="20">
        <v>0.95833333333333337</v>
      </c>
      <c r="D353">
        <v>35.06</v>
      </c>
      <c r="E353" t="str">
        <f t="shared" si="46"/>
        <v>WEEKDAY</v>
      </c>
      <c r="F353" t="e">
        <f t="shared" si="45"/>
        <v>#N/A</v>
      </c>
      <c r="G353" s="74">
        <v>27773</v>
      </c>
      <c r="H353" s="77">
        <v>0.95833333333333337</v>
      </c>
      <c r="J353">
        <v>33.979999999999997</v>
      </c>
      <c r="M353" s="74">
        <v>37635</v>
      </c>
      <c r="N353" s="77">
        <v>0.95833333333333337</v>
      </c>
      <c r="P353">
        <v>21.2</v>
      </c>
      <c r="S353" s="74">
        <v>36174</v>
      </c>
      <c r="T353" s="77">
        <v>0.95833333333333337</v>
      </c>
      <c r="V353">
        <v>23</v>
      </c>
      <c r="X353" s="42"/>
      <c r="AB353">
        <v>32.9</v>
      </c>
      <c r="AC353">
        <v>17.059999999999999</v>
      </c>
      <c r="AE353" s="74"/>
      <c r="AF353" s="77"/>
      <c r="AH353" s="497">
        <v>30.2</v>
      </c>
      <c r="AJ353" s="42"/>
      <c r="AK353" s="74"/>
      <c r="AL353" s="77"/>
      <c r="AN353" s="497">
        <v>-2.019999999999996</v>
      </c>
      <c r="AP353" s="42"/>
      <c r="AQ353" s="74"/>
      <c r="AR353" s="77"/>
      <c r="AT353" s="497">
        <v>26.96</v>
      </c>
      <c r="AV353" s="42"/>
      <c r="AW353" s="74"/>
      <c r="AX353" s="77"/>
      <c r="BA353" s="497">
        <v>35.96</v>
      </c>
      <c r="BB353" s="42"/>
      <c r="BC353" s="74"/>
      <c r="BD353" s="77"/>
      <c r="BF353">
        <v>35.06</v>
      </c>
      <c r="BH353" s="42"/>
      <c r="BI353" s="74"/>
      <c r="BJ353" s="77"/>
      <c r="BL353" s="497">
        <v>35.6</v>
      </c>
      <c r="BN353" s="42"/>
      <c r="BO353" s="74"/>
      <c r="BP353" s="77"/>
      <c r="BR353" s="497">
        <v>-7.9600000000000009</v>
      </c>
      <c r="BT353" s="42"/>
    </row>
    <row r="354" spans="1:72" x14ac:dyDescent="0.25">
      <c r="A354" s="90">
        <v>36174</v>
      </c>
      <c r="B354" s="20">
        <v>1</v>
      </c>
      <c r="D354">
        <v>35.06</v>
      </c>
      <c r="E354" t="str">
        <f t="shared" si="46"/>
        <v>WEEKDAY</v>
      </c>
      <c r="F354" t="e">
        <f t="shared" si="45"/>
        <v>#N/A</v>
      </c>
      <c r="G354" s="74">
        <v>27773</v>
      </c>
      <c r="H354" s="77">
        <v>1</v>
      </c>
      <c r="J354">
        <v>33.08</v>
      </c>
      <c r="M354" s="74">
        <v>37635</v>
      </c>
      <c r="N354" s="80">
        <v>1</v>
      </c>
      <c r="P354">
        <v>19.399999999999999</v>
      </c>
      <c r="S354" s="74">
        <v>36174</v>
      </c>
      <c r="T354" s="80">
        <v>1</v>
      </c>
      <c r="V354">
        <v>26.060000000000002</v>
      </c>
      <c r="X354" s="42"/>
      <c r="AB354">
        <v>32.4</v>
      </c>
      <c r="AC354">
        <v>17.059999999999999</v>
      </c>
      <c r="AE354" s="74"/>
      <c r="AF354" s="80"/>
      <c r="AH354" s="497">
        <v>28.4</v>
      </c>
      <c r="AJ354" s="42"/>
      <c r="AK354" s="74"/>
      <c r="AL354" s="80"/>
      <c r="AN354" s="497">
        <v>-4</v>
      </c>
      <c r="AP354" s="42"/>
      <c r="AQ354" s="74"/>
      <c r="AR354" s="80"/>
      <c r="AT354" s="497">
        <v>26.060000000000002</v>
      </c>
      <c r="AV354" s="42"/>
      <c r="AW354" s="74"/>
      <c r="AX354" s="80"/>
      <c r="BA354" s="497">
        <v>35.96</v>
      </c>
      <c r="BB354" s="42"/>
      <c r="BC354" s="74"/>
      <c r="BD354" s="80"/>
      <c r="BF354">
        <v>35.06</v>
      </c>
      <c r="BH354" s="42"/>
      <c r="BI354" s="74"/>
      <c r="BJ354" s="80"/>
      <c r="BL354" s="497">
        <v>35.42</v>
      </c>
      <c r="BN354" s="42"/>
      <c r="BO354" s="74"/>
      <c r="BP354" s="80"/>
      <c r="BR354" s="497">
        <v>-9.0399999999999991</v>
      </c>
      <c r="BT354" s="42"/>
    </row>
    <row r="355" spans="1:72" x14ac:dyDescent="0.25">
      <c r="A355" s="90">
        <v>36175</v>
      </c>
      <c r="B355" s="20">
        <v>4.1666666666666664E-2</v>
      </c>
      <c r="D355">
        <v>35.06</v>
      </c>
      <c r="E355" t="str">
        <f t="shared" si="46"/>
        <v>WEEKDAY</v>
      </c>
      <c r="F355" t="e">
        <f t="shared" si="45"/>
        <v>#N/A</v>
      </c>
      <c r="G355" s="74">
        <v>27774</v>
      </c>
      <c r="H355" s="77">
        <v>4.1666666666666664E-2</v>
      </c>
      <c r="J355">
        <v>32</v>
      </c>
      <c r="M355" s="74">
        <v>37636</v>
      </c>
      <c r="N355" s="77">
        <v>4.1666666666666664E-2</v>
      </c>
      <c r="P355">
        <v>21.2</v>
      </c>
      <c r="S355" s="74">
        <v>36175</v>
      </c>
      <c r="T355" s="77">
        <v>4.1666666666666664E-2</v>
      </c>
      <c r="V355">
        <v>28.04</v>
      </c>
      <c r="X355" s="42"/>
      <c r="AB355">
        <v>32</v>
      </c>
      <c r="AC355">
        <v>17.059999999999999</v>
      </c>
      <c r="AE355" s="74"/>
      <c r="AF355" s="77"/>
      <c r="AH355" s="497">
        <v>28.4</v>
      </c>
      <c r="AJ355" s="42"/>
      <c r="AK355" s="74"/>
      <c r="AL355" s="77"/>
      <c r="AN355" s="497">
        <v>-4</v>
      </c>
      <c r="AP355" s="42"/>
      <c r="AQ355" s="74"/>
      <c r="AR355" s="77"/>
      <c r="AT355" s="497">
        <v>26.96</v>
      </c>
      <c r="AV355" s="42"/>
      <c r="AW355" s="74"/>
      <c r="AX355" s="77"/>
      <c r="BA355" s="497">
        <v>35.96</v>
      </c>
      <c r="BB355" s="42"/>
      <c r="BC355" s="74"/>
      <c r="BD355" s="77"/>
      <c r="BF355">
        <v>35.06</v>
      </c>
      <c r="BH355" s="42"/>
      <c r="BI355" s="74"/>
      <c r="BJ355" s="77"/>
      <c r="BL355" s="497">
        <v>35.06</v>
      </c>
      <c r="BN355" s="42"/>
      <c r="BO355" s="74"/>
      <c r="BP355" s="77"/>
      <c r="BR355" s="497">
        <v>-5.980000000000004</v>
      </c>
      <c r="BT355" s="42"/>
    </row>
    <row r="356" spans="1:72" x14ac:dyDescent="0.25">
      <c r="A356" s="90">
        <v>36175</v>
      </c>
      <c r="B356" s="20">
        <v>8.3333333333333329E-2</v>
      </c>
      <c r="D356">
        <v>35.06</v>
      </c>
      <c r="E356" t="str">
        <f t="shared" si="46"/>
        <v>WEEKDAY</v>
      </c>
      <c r="F356" t="e">
        <f t="shared" si="45"/>
        <v>#N/A</v>
      </c>
      <c r="G356" s="74">
        <v>27774</v>
      </c>
      <c r="H356" s="77">
        <v>8.3333333333333329E-2</v>
      </c>
      <c r="J356">
        <v>30.92</v>
      </c>
      <c r="M356" s="74">
        <v>37636</v>
      </c>
      <c r="N356" s="77">
        <v>8.3333333333333329E-2</v>
      </c>
      <c r="P356">
        <v>21.2</v>
      </c>
      <c r="S356" s="74">
        <v>36175</v>
      </c>
      <c r="T356" s="77">
        <v>8.3333333333333329E-2</v>
      </c>
      <c r="V356">
        <v>30.02</v>
      </c>
      <c r="X356" s="42"/>
      <c r="AB356">
        <v>31.5</v>
      </c>
      <c r="AC356">
        <v>15.98</v>
      </c>
      <c r="AE356" s="74"/>
      <c r="AF356" s="77"/>
      <c r="AH356" s="497">
        <v>26.6</v>
      </c>
      <c r="AJ356" s="42"/>
      <c r="AK356" s="74"/>
      <c r="AL356" s="77"/>
      <c r="AN356" s="497">
        <v>-4</v>
      </c>
      <c r="AP356" s="42"/>
      <c r="AQ356" s="74"/>
      <c r="AR356" s="77"/>
      <c r="AT356" s="497">
        <v>26.060000000000002</v>
      </c>
      <c r="AV356" s="42"/>
      <c r="AW356" s="74"/>
      <c r="AX356" s="77"/>
      <c r="BA356" s="497">
        <v>35.96</v>
      </c>
      <c r="BB356" s="42"/>
      <c r="BC356" s="74"/>
      <c r="BD356" s="77"/>
      <c r="BF356">
        <v>35.06</v>
      </c>
      <c r="BH356" s="42"/>
      <c r="BI356" s="74"/>
      <c r="BJ356" s="77"/>
      <c r="BL356" s="497">
        <v>34.700000000000003</v>
      </c>
      <c r="BN356" s="42"/>
      <c r="BO356" s="74"/>
      <c r="BP356" s="77"/>
      <c r="BR356" s="497">
        <v>-7.0600000000000023</v>
      </c>
      <c r="BT356" s="42"/>
    </row>
    <row r="357" spans="1:72" x14ac:dyDescent="0.25">
      <c r="A357" s="90">
        <v>36175</v>
      </c>
      <c r="B357" s="20">
        <v>0.125</v>
      </c>
      <c r="D357">
        <v>35.96</v>
      </c>
      <c r="E357" t="str">
        <f t="shared" si="46"/>
        <v>WEEKDAY</v>
      </c>
      <c r="F357" t="e">
        <f t="shared" si="45"/>
        <v>#N/A</v>
      </c>
      <c r="G357" s="74">
        <v>27774</v>
      </c>
      <c r="H357" s="77">
        <v>0.125</v>
      </c>
      <c r="J357">
        <v>30.92</v>
      </c>
      <c r="M357" s="74">
        <v>37636</v>
      </c>
      <c r="N357" s="77">
        <v>0.125</v>
      </c>
      <c r="P357">
        <v>21.2</v>
      </c>
      <c r="S357" s="74">
        <v>36175</v>
      </c>
      <c r="T357" s="77">
        <v>0.125</v>
      </c>
      <c r="V357">
        <v>30.92</v>
      </c>
      <c r="X357" s="42"/>
      <c r="AB357">
        <v>31.2</v>
      </c>
      <c r="AC357">
        <v>15.98</v>
      </c>
      <c r="AE357" s="74"/>
      <c r="AF357" s="77"/>
      <c r="AH357" s="497">
        <v>24.8</v>
      </c>
      <c r="AJ357" s="42"/>
      <c r="AK357" s="74"/>
      <c r="AL357" s="77"/>
      <c r="AN357" s="497">
        <v>-5.980000000000004</v>
      </c>
      <c r="AP357" s="42"/>
      <c r="AQ357" s="74"/>
      <c r="AR357" s="77"/>
      <c r="AT357" s="497">
        <v>26.060000000000002</v>
      </c>
      <c r="AV357" s="42"/>
      <c r="AW357" s="74"/>
      <c r="AX357" s="77"/>
      <c r="BA357" s="497">
        <v>35.96</v>
      </c>
      <c r="BB357" s="42"/>
      <c r="BC357" s="74"/>
      <c r="BD357" s="77"/>
      <c r="BF357">
        <v>35.06</v>
      </c>
      <c r="BH357" s="42"/>
      <c r="BI357" s="74"/>
      <c r="BJ357" s="77"/>
      <c r="BL357" s="497">
        <v>34.340000000000003</v>
      </c>
      <c r="BN357" s="42"/>
      <c r="BO357" s="74"/>
      <c r="BP357" s="77"/>
      <c r="BR357" s="497">
        <v>-9.9400000000000048</v>
      </c>
      <c r="BT357" s="42"/>
    </row>
    <row r="358" spans="1:72" x14ac:dyDescent="0.25">
      <c r="A358" s="90">
        <v>36175</v>
      </c>
      <c r="B358" s="20">
        <v>0.16666666666666666</v>
      </c>
      <c r="D358">
        <v>35.06</v>
      </c>
      <c r="E358" t="str">
        <f t="shared" si="46"/>
        <v>WEEKDAY</v>
      </c>
      <c r="F358" t="e">
        <f t="shared" si="45"/>
        <v>#N/A</v>
      </c>
      <c r="G358" s="74">
        <v>27774</v>
      </c>
      <c r="H358" s="77">
        <v>0.16666666666666666</v>
      </c>
      <c r="J358">
        <v>30.92</v>
      </c>
      <c r="M358" s="74">
        <v>37636</v>
      </c>
      <c r="N358" s="77">
        <v>0.16666666666666666</v>
      </c>
      <c r="P358">
        <v>19.399999999999999</v>
      </c>
      <c r="S358" s="74">
        <v>36175</v>
      </c>
      <c r="T358" s="77">
        <v>0.16666666666666666</v>
      </c>
      <c r="V358">
        <v>32</v>
      </c>
      <c r="X358" s="42"/>
      <c r="AB358">
        <v>30.9</v>
      </c>
      <c r="AC358">
        <v>14</v>
      </c>
      <c r="AE358" s="74"/>
      <c r="AF358" s="77"/>
      <c r="AH358" s="497">
        <v>24.8</v>
      </c>
      <c r="AJ358" s="42"/>
      <c r="AK358" s="74"/>
      <c r="AL358" s="77"/>
      <c r="AN358" s="497">
        <v>-7.0600000000000023</v>
      </c>
      <c r="AP358" s="42"/>
      <c r="AQ358" s="74"/>
      <c r="AR358" s="77"/>
      <c r="AT358" s="497">
        <v>26.060000000000002</v>
      </c>
      <c r="AV358" s="42"/>
      <c r="AW358" s="74"/>
      <c r="AX358" s="77"/>
      <c r="BA358" s="497">
        <v>35.96</v>
      </c>
      <c r="BB358" s="42"/>
      <c r="BC358" s="74"/>
      <c r="BD358" s="77"/>
      <c r="BF358">
        <v>35.06</v>
      </c>
      <c r="BH358" s="42"/>
      <c r="BI358" s="74"/>
      <c r="BJ358" s="77"/>
      <c r="BL358" s="497">
        <v>33.979999999999997</v>
      </c>
      <c r="BN358" s="42"/>
      <c r="BO358" s="74"/>
      <c r="BP358" s="77"/>
      <c r="BR358" s="497">
        <v>-11.920000000000002</v>
      </c>
      <c r="BT358" s="42"/>
    </row>
    <row r="359" spans="1:72" x14ac:dyDescent="0.25">
      <c r="A359" s="90">
        <v>36175</v>
      </c>
      <c r="B359" s="20">
        <v>0.20833333333333334</v>
      </c>
      <c r="D359">
        <v>33.979999999999997</v>
      </c>
      <c r="E359" t="str">
        <f t="shared" si="46"/>
        <v>WEEKDAY</v>
      </c>
      <c r="F359" t="e">
        <f t="shared" si="45"/>
        <v>#N/A</v>
      </c>
      <c r="G359" s="74">
        <v>27774</v>
      </c>
      <c r="H359" s="77">
        <v>0.20833333333333334</v>
      </c>
      <c r="J359">
        <v>30.92</v>
      </c>
      <c r="M359" s="74">
        <v>37636</v>
      </c>
      <c r="N359" s="77">
        <v>0.20833333333333334</v>
      </c>
      <c r="P359">
        <v>19.399999999999999</v>
      </c>
      <c r="S359" s="74">
        <v>36175</v>
      </c>
      <c r="T359" s="77">
        <v>0.20833333333333334</v>
      </c>
      <c r="V359">
        <v>33.799999999999997</v>
      </c>
      <c r="X359" s="42"/>
      <c r="AB359">
        <v>30.6</v>
      </c>
      <c r="AC359">
        <v>14</v>
      </c>
      <c r="AE359" s="74"/>
      <c r="AF359" s="77"/>
      <c r="AH359" s="497">
        <v>23</v>
      </c>
      <c r="AJ359" s="42"/>
      <c r="AK359" s="74"/>
      <c r="AL359" s="77"/>
      <c r="AN359" s="497">
        <v>-5.980000000000004</v>
      </c>
      <c r="AP359" s="42"/>
      <c r="AQ359" s="74"/>
      <c r="AR359" s="77"/>
      <c r="AT359" s="497">
        <v>26.060000000000002</v>
      </c>
      <c r="AV359" s="42"/>
      <c r="AW359" s="74"/>
      <c r="AX359" s="77"/>
      <c r="BA359" s="497">
        <v>35.6</v>
      </c>
      <c r="BB359" s="42"/>
      <c r="BC359" s="74"/>
      <c r="BD359" s="77"/>
      <c r="BF359">
        <v>33.979999999999997</v>
      </c>
      <c r="BH359" s="42"/>
      <c r="BI359" s="74"/>
      <c r="BJ359" s="77"/>
      <c r="BL359" s="497">
        <v>33.979999999999997</v>
      </c>
      <c r="BN359" s="42"/>
      <c r="BO359" s="74"/>
      <c r="BP359" s="77"/>
      <c r="BR359" s="497">
        <v>-11.019999999999996</v>
      </c>
      <c r="BT359" s="42"/>
    </row>
    <row r="360" spans="1:72" x14ac:dyDescent="0.25">
      <c r="A360" s="90">
        <v>36175</v>
      </c>
      <c r="B360" s="20">
        <v>0.25</v>
      </c>
      <c r="D360">
        <v>35.06</v>
      </c>
      <c r="E360" t="str">
        <f t="shared" si="46"/>
        <v>WEEKDAY</v>
      </c>
      <c r="F360" t="e">
        <f t="shared" si="45"/>
        <v>#N/A</v>
      </c>
      <c r="G360" s="74">
        <v>27774</v>
      </c>
      <c r="H360" s="77">
        <v>0.25</v>
      </c>
      <c r="J360">
        <v>30.92</v>
      </c>
      <c r="M360" s="74">
        <v>37636</v>
      </c>
      <c r="N360" s="77">
        <v>0.25</v>
      </c>
      <c r="P360">
        <v>17.600000000000001</v>
      </c>
      <c r="S360" s="74">
        <v>36175</v>
      </c>
      <c r="T360" s="77">
        <v>0.25</v>
      </c>
      <c r="V360">
        <v>33.979999999999997</v>
      </c>
      <c r="X360" s="42"/>
      <c r="AB360">
        <v>30.4</v>
      </c>
      <c r="AC360">
        <v>14</v>
      </c>
      <c r="AE360" s="74"/>
      <c r="AF360" s="77"/>
      <c r="AH360" s="497">
        <v>21.2</v>
      </c>
      <c r="AJ360" s="42"/>
      <c r="AK360" s="74"/>
      <c r="AL360" s="77"/>
      <c r="AN360" s="497">
        <v>-7.0600000000000023</v>
      </c>
      <c r="AP360" s="42"/>
      <c r="AQ360" s="74"/>
      <c r="AR360" s="77"/>
      <c r="AT360" s="497">
        <v>26.060000000000002</v>
      </c>
      <c r="AV360" s="42"/>
      <c r="AW360" s="74"/>
      <c r="AX360" s="77"/>
      <c r="BA360" s="497">
        <v>35.42</v>
      </c>
      <c r="BB360" s="42"/>
      <c r="BC360" s="74"/>
      <c r="BD360" s="77"/>
      <c r="BF360">
        <v>33.08</v>
      </c>
      <c r="BH360" s="42"/>
      <c r="BI360" s="74"/>
      <c r="BJ360" s="77"/>
      <c r="BL360" s="497">
        <v>33.979999999999997</v>
      </c>
      <c r="BN360" s="42"/>
      <c r="BO360" s="74"/>
      <c r="BP360" s="77"/>
      <c r="BR360" s="497">
        <v>-9.9400000000000048</v>
      </c>
      <c r="BT360" s="42"/>
    </row>
    <row r="361" spans="1:72" x14ac:dyDescent="0.25">
      <c r="A361" s="90">
        <v>36175</v>
      </c>
      <c r="B361" s="20">
        <v>0.29166666666666669</v>
      </c>
      <c r="D361">
        <v>35.06</v>
      </c>
      <c r="E361" t="str">
        <f t="shared" si="46"/>
        <v>WEEKDAY</v>
      </c>
      <c r="F361" t="e">
        <f t="shared" si="45"/>
        <v>#N/A</v>
      </c>
      <c r="G361" s="74">
        <v>27774</v>
      </c>
      <c r="H361" s="77">
        <v>0.29166666666666669</v>
      </c>
      <c r="J361">
        <v>30.92</v>
      </c>
      <c r="M361" s="74">
        <v>37636</v>
      </c>
      <c r="N361" s="77">
        <v>0.29166666666666669</v>
      </c>
      <c r="P361">
        <v>19.399999999999999</v>
      </c>
      <c r="S361" s="74">
        <v>36175</v>
      </c>
      <c r="T361" s="77">
        <v>0.29166666666666669</v>
      </c>
      <c r="V361">
        <v>33.979999999999997</v>
      </c>
      <c r="X361" s="42"/>
      <c r="AB361">
        <v>30.3</v>
      </c>
      <c r="AC361">
        <v>12.920000000000002</v>
      </c>
      <c r="AE361" s="74"/>
      <c r="AF361" s="77"/>
      <c r="AH361" s="497">
        <v>21.2</v>
      </c>
      <c r="AJ361" s="42"/>
      <c r="AK361" s="74"/>
      <c r="AL361" s="77"/>
      <c r="AN361" s="497">
        <v>-5.980000000000004</v>
      </c>
      <c r="AP361" s="42"/>
      <c r="AQ361" s="74"/>
      <c r="AR361" s="77"/>
      <c r="AT361" s="497">
        <v>26.060000000000002</v>
      </c>
      <c r="AV361" s="42"/>
      <c r="AW361" s="74"/>
      <c r="AX361" s="77"/>
      <c r="BA361" s="497">
        <v>35.06</v>
      </c>
      <c r="BB361" s="42"/>
      <c r="BC361" s="74"/>
      <c r="BD361" s="77"/>
      <c r="BF361">
        <v>33.08</v>
      </c>
      <c r="BH361" s="42"/>
      <c r="BI361" s="74"/>
      <c r="BJ361" s="77"/>
      <c r="BL361" s="497">
        <v>33.979999999999997</v>
      </c>
      <c r="BN361" s="42"/>
      <c r="BO361" s="74"/>
      <c r="BP361" s="77"/>
      <c r="BR361" s="497">
        <v>-11.019999999999996</v>
      </c>
      <c r="BT361" s="42"/>
    </row>
    <row r="362" spans="1:72" x14ac:dyDescent="0.25">
      <c r="A362" s="90">
        <v>36175</v>
      </c>
      <c r="B362" s="20">
        <v>0.33333333333333331</v>
      </c>
      <c r="D362">
        <v>35.96</v>
      </c>
      <c r="E362" t="str">
        <f t="shared" si="46"/>
        <v>WEEKDAY</v>
      </c>
      <c r="F362" t="e">
        <f t="shared" si="45"/>
        <v>#N/A</v>
      </c>
      <c r="G362" s="74">
        <v>27774</v>
      </c>
      <c r="H362" s="77">
        <v>0.33333333333333331</v>
      </c>
      <c r="J362">
        <v>30.92</v>
      </c>
      <c r="M362" s="74">
        <v>37636</v>
      </c>
      <c r="N362" s="77">
        <v>0.33333333333333331</v>
      </c>
      <c r="P362">
        <v>19.399999999999999</v>
      </c>
      <c r="S362" s="74">
        <v>36175</v>
      </c>
      <c r="T362" s="77">
        <v>0.33333333333333331</v>
      </c>
      <c r="V362">
        <v>33.979999999999997</v>
      </c>
      <c r="X362" s="42"/>
      <c r="AB362">
        <v>30.2</v>
      </c>
      <c r="AC362">
        <v>12.02</v>
      </c>
      <c r="AE362" s="74"/>
      <c r="AF362" s="77"/>
      <c r="AH362" s="497">
        <v>21.2</v>
      </c>
      <c r="AJ362" s="42"/>
      <c r="AK362" s="74"/>
      <c r="AL362" s="77"/>
      <c r="AN362" s="497">
        <v>-5.980000000000004</v>
      </c>
      <c r="AP362" s="42"/>
      <c r="AQ362" s="74"/>
      <c r="AR362" s="77"/>
      <c r="AT362" s="497">
        <v>30.02</v>
      </c>
      <c r="AV362" s="42"/>
      <c r="AW362" s="74"/>
      <c r="AX362" s="77"/>
      <c r="BA362" s="497">
        <v>34.700000000000003</v>
      </c>
      <c r="BB362" s="42"/>
      <c r="BC362" s="74"/>
      <c r="BD362" s="77"/>
      <c r="BF362">
        <v>33.979999999999997</v>
      </c>
      <c r="BH362" s="42"/>
      <c r="BI362" s="74"/>
      <c r="BJ362" s="77"/>
      <c r="BL362" s="497">
        <v>34.700000000000003</v>
      </c>
      <c r="BN362" s="42"/>
      <c r="BO362" s="74"/>
      <c r="BP362" s="77"/>
      <c r="BR362" s="497">
        <v>-11.920000000000002</v>
      </c>
      <c r="BT362" s="42"/>
    </row>
    <row r="363" spans="1:72" x14ac:dyDescent="0.25">
      <c r="A363" s="90">
        <v>36175</v>
      </c>
      <c r="B363" s="20">
        <v>0.375</v>
      </c>
      <c r="D363">
        <v>39.019999999999996</v>
      </c>
      <c r="E363" t="str">
        <f t="shared" si="46"/>
        <v>WEEKDAY</v>
      </c>
      <c r="F363" t="e">
        <f t="shared" ref="F363:F426" si="47">IF(E363="WEEKDAY",VLOOKUP(B363,$DD$19:$DG$42,2),IF(E363="SATURDAY",VLOOKUP(B363,$DD$19:$DG$42,3),VLOOKUP(B363,$DD$19:$DG$42,4)))</f>
        <v>#N/A</v>
      </c>
      <c r="G363" s="74">
        <v>27774</v>
      </c>
      <c r="H363" s="77">
        <v>0.375</v>
      </c>
      <c r="J363">
        <v>30.92</v>
      </c>
      <c r="M363" s="74">
        <v>37636</v>
      </c>
      <c r="N363" s="77">
        <v>0.375</v>
      </c>
      <c r="P363">
        <v>19.399999999999999</v>
      </c>
      <c r="S363" s="74">
        <v>36175</v>
      </c>
      <c r="T363" s="77">
        <v>0.375</v>
      </c>
      <c r="V363">
        <v>33.799999999999997</v>
      </c>
      <c r="X363" s="42"/>
      <c r="AB363">
        <v>30.5</v>
      </c>
      <c r="AC363">
        <v>17.96</v>
      </c>
      <c r="AE363" s="74"/>
      <c r="AF363" s="77"/>
      <c r="AH363" s="497">
        <v>23</v>
      </c>
      <c r="AJ363" s="42"/>
      <c r="AK363" s="74"/>
      <c r="AL363" s="77"/>
      <c r="AN363" s="497">
        <v>-4</v>
      </c>
      <c r="AP363" s="42"/>
      <c r="AQ363" s="74"/>
      <c r="AR363" s="77"/>
      <c r="AT363" s="497">
        <v>28.04</v>
      </c>
      <c r="AV363" s="42"/>
      <c r="AW363" s="74"/>
      <c r="AX363" s="77"/>
      <c r="BA363" s="497">
        <v>34.340000000000003</v>
      </c>
      <c r="BB363" s="42"/>
      <c r="BC363" s="74"/>
      <c r="BD363" s="77"/>
      <c r="BF363">
        <v>33.08</v>
      </c>
      <c r="BH363" s="42"/>
      <c r="BI363" s="74"/>
      <c r="BJ363" s="77"/>
      <c r="BL363" s="497">
        <v>35.24</v>
      </c>
      <c r="BN363" s="42"/>
      <c r="BO363" s="74"/>
      <c r="BP363" s="77"/>
      <c r="BR363" s="497">
        <v>-9.0399999999999991</v>
      </c>
      <c r="BT363" s="42"/>
    </row>
    <row r="364" spans="1:72" x14ac:dyDescent="0.25">
      <c r="A364" s="90">
        <v>36175</v>
      </c>
      <c r="B364" s="20">
        <v>0.41666666666666669</v>
      </c>
      <c r="D364">
        <v>41</v>
      </c>
      <c r="E364" t="str">
        <f t="shared" si="46"/>
        <v>WEEKDAY</v>
      </c>
      <c r="F364" t="e">
        <f t="shared" si="47"/>
        <v>#N/A</v>
      </c>
      <c r="G364" s="74">
        <v>27774</v>
      </c>
      <c r="H364" s="77">
        <v>0.41666666666666669</v>
      </c>
      <c r="J364">
        <v>28.94</v>
      </c>
      <c r="M364" s="74">
        <v>37636</v>
      </c>
      <c r="N364" s="77">
        <v>0.41666666666666669</v>
      </c>
      <c r="P364">
        <v>23</v>
      </c>
      <c r="S364" s="74">
        <v>36175</v>
      </c>
      <c r="T364" s="77">
        <v>0.41666666666666669</v>
      </c>
      <c r="V364">
        <v>46.4</v>
      </c>
      <c r="X364" s="42"/>
      <c r="AB364">
        <v>31.9</v>
      </c>
      <c r="AC364">
        <v>19.04</v>
      </c>
      <c r="AE364" s="74"/>
      <c r="AF364" s="77"/>
      <c r="AH364" s="497">
        <v>25.16</v>
      </c>
      <c r="AJ364" s="42"/>
      <c r="AK364" s="74"/>
      <c r="AL364" s="77"/>
      <c r="AN364" s="497">
        <v>-3.9999999999999147E-2</v>
      </c>
      <c r="AP364" s="42"/>
      <c r="AQ364" s="74"/>
      <c r="AR364" s="77"/>
      <c r="AT364" s="497">
        <v>23</v>
      </c>
      <c r="AV364" s="42"/>
      <c r="AW364" s="74"/>
      <c r="AX364" s="77"/>
      <c r="BA364" s="497">
        <v>33.979999999999997</v>
      </c>
      <c r="BB364" s="42"/>
      <c r="BC364" s="74"/>
      <c r="BD364" s="77"/>
      <c r="BF364">
        <v>35.96</v>
      </c>
      <c r="BH364" s="42"/>
      <c r="BI364" s="74"/>
      <c r="BJ364" s="77"/>
      <c r="BL364" s="497">
        <v>35.96</v>
      </c>
      <c r="BN364" s="42"/>
      <c r="BO364" s="74"/>
      <c r="BP364" s="77"/>
      <c r="BR364" s="497">
        <v>-5.980000000000004</v>
      </c>
      <c r="BT364" s="42"/>
    </row>
    <row r="365" spans="1:72" x14ac:dyDescent="0.25">
      <c r="A365" s="90">
        <v>36175</v>
      </c>
      <c r="B365" s="20">
        <v>0.45833333333333331</v>
      </c>
      <c r="D365">
        <v>42.980000000000004</v>
      </c>
      <c r="E365" t="str">
        <f t="shared" si="46"/>
        <v>WEEKDAY</v>
      </c>
      <c r="F365" t="e">
        <f t="shared" si="47"/>
        <v>#N/A</v>
      </c>
      <c r="G365" s="74">
        <v>27774</v>
      </c>
      <c r="H365" s="77">
        <v>0.45833333333333331</v>
      </c>
      <c r="J365">
        <v>28.94</v>
      </c>
      <c r="M365" s="74">
        <v>37636</v>
      </c>
      <c r="N365" s="77">
        <v>0.45833333333333331</v>
      </c>
      <c r="P365">
        <v>24.8</v>
      </c>
      <c r="S365" s="74">
        <v>36175</v>
      </c>
      <c r="T365" s="77">
        <v>0.45833333333333331</v>
      </c>
      <c r="V365">
        <v>46.4</v>
      </c>
      <c r="X365" s="42"/>
      <c r="AB365">
        <v>33.299999999999997</v>
      </c>
      <c r="AC365">
        <v>21.02</v>
      </c>
      <c r="AE365" s="74"/>
      <c r="AF365" s="77"/>
      <c r="AH365" s="497">
        <v>26.78</v>
      </c>
      <c r="AJ365" s="42"/>
      <c r="AK365" s="74"/>
      <c r="AL365" s="77"/>
      <c r="AN365" s="497">
        <v>3.019999999999996</v>
      </c>
      <c r="AP365" s="42"/>
      <c r="AQ365" s="74"/>
      <c r="AR365" s="77"/>
      <c r="AT365" s="497">
        <v>21.02</v>
      </c>
      <c r="AV365" s="42"/>
      <c r="AW365" s="74"/>
      <c r="AX365" s="77"/>
      <c r="BA365" s="497">
        <v>37.58</v>
      </c>
      <c r="BB365" s="42"/>
      <c r="BC365" s="74"/>
      <c r="BD365" s="77"/>
      <c r="BF365">
        <v>37.04</v>
      </c>
      <c r="BH365" s="42"/>
      <c r="BI365" s="74"/>
      <c r="BJ365" s="77"/>
      <c r="BL365" s="497">
        <v>36.32</v>
      </c>
      <c r="BN365" s="42"/>
      <c r="BO365" s="74"/>
      <c r="BP365" s="77"/>
      <c r="BR365" s="497">
        <v>-2.9200000000000017</v>
      </c>
      <c r="BT365" s="42"/>
    </row>
    <row r="366" spans="1:72" x14ac:dyDescent="0.25">
      <c r="A366" s="90">
        <v>36175</v>
      </c>
      <c r="B366" s="20">
        <v>0.5</v>
      </c>
      <c r="D366">
        <v>44.06</v>
      </c>
      <c r="E366" t="str">
        <f t="shared" si="46"/>
        <v>WEEKDAY</v>
      </c>
      <c r="F366" t="e">
        <f t="shared" si="47"/>
        <v>#N/A</v>
      </c>
      <c r="G366" s="74">
        <v>27774</v>
      </c>
      <c r="H366" s="77">
        <v>0.5</v>
      </c>
      <c r="J366">
        <v>30.02</v>
      </c>
      <c r="M366" s="74">
        <v>37636</v>
      </c>
      <c r="N366" s="77">
        <v>0.5</v>
      </c>
      <c r="P366">
        <v>26.6</v>
      </c>
      <c r="S366" s="74">
        <v>36175</v>
      </c>
      <c r="T366" s="77">
        <v>0.5</v>
      </c>
      <c r="V366">
        <v>44.6</v>
      </c>
      <c r="X366" s="42"/>
      <c r="AB366">
        <v>34.6</v>
      </c>
      <c r="AC366">
        <v>21.02</v>
      </c>
      <c r="AE366" s="74"/>
      <c r="AF366" s="77"/>
      <c r="AH366" s="497">
        <v>27.86</v>
      </c>
      <c r="AJ366" s="42"/>
      <c r="AK366" s="74"/>
      <c r="AL366" s="77"/>
      <c r="AN366" s="497">
        <v>6.0799999999999983</v>
      </c>
      <c r="AP366" s="42"/>
      <c r="AQ366" s="74"/>
      <c r="AR366" s="77"/>
      <c r="AT366" s="497">
        <v>19.939999999999998</v>
      </c>
      <c r="AV366" s="42"/>
      <c r="AW366" s="74"/>
      <c r="AX366" s="77"/>
      <c r="BA366" s="497">
        <v>41.36</v>
      </c>
      <c r="BB366" s="42"/>
      <c r="BC366" s="74"/>
      <c r="BD366" s="77"/>
      <c r="BF366">
        <v>39.92</v>
      </c>
      <c r="BH366" s="42"/>
      <c r="BI366" s="74"/>
      <c r="BJ366" s="77"/>
      <c r="BL366" s="497">
        <v>36.68</v>
      </c>
      <c r="BN366" s="42"/>
      <c r="BO366" s="74"/>
      <c r="BP366" s="77"/>
      <c r="BR366" s="497">
        <v>-3.9999999999999147E-2</v>
      </c>
      <c r="BT366" s="42"/>
    </row>
    <row r="367" spans="1:72" x14ac:dyDescent="0.25">
      <c r="A367" s="90">
        <v>36175</v>
      </c>
      <c r="B367" s="20">
        <v>0.54166666666666663</v>
      </c>
      <c r="D367">
        <v>46.04</v>
      </c>
      <c r="E367" t="str">
        <f t="shared" si="46"/>
        <v>WEEKDAY</v>
      </c>
      <c r="F367" t="e">
        <f t="shared" si="47"/>
        <v>#N/A</v>
      </c>
      <c r="G367" s="74">
        <v>27774</v>
      </c>
      <c r="H367" s="77">
        <v>0.54166666666666663</v>
      </c>
      <c r="J367">
        <v>30.92</v>
      </c>
      <c r="M367" s="74">
        <v>37636</v>
      </c>
      <c r="N367" s="77">
        <v>0.54166666666666663</v>
      </c>
      <c r="P367">
        <v>24.8</v>
      </c>
      <c r="S367" s="74">
        <v>36175</v>
      </c>
      <c r="T367" s="77">
        <v>0.54166666666666663</v>
      </c>
      <c r="V367">
        <v>35.96</v>
      </c>
      <c r="X367" s="42"/>
      <c r="AB367">
        <v>35.700000000000003</v>
      </c>
      <c r="AC367">
        <v>23</v>
      </c>
      <c r="AE367" s="74"/>
      <c r="AF367" s="77"/>
      <c r="AH367" s="497">
        <v>28.4</v>
      </c>
      <c r="AJ367" s="42"/>
      <c r="AK367" s="74"/>
      <c r="AL367" s="77"/>
      <c r="AN367" s="497">
        <v>6.98</v>
      </c>
      <c r="AP367" s="42"/>
      <c r="AQ367" s="74"/>
      <c r="AR367" s="77"/>
      <c r="AT367" s="497">
        <v>19.04</v>
      </c>
      <c r="AV367" s="42"/>
      <c r="AW367" s="74"/>
      <c r="AX367" s="77"/>
      <c r="BA367" s="497">
        <v>44.96</v>
      </c>
      <c r="BB367" s="42"/>
      <c r="BC367" s="74"/>
      <c r="BD367" s="77"/>
      <c r="BF367">
        <v>39.92</v>
      </c>
      <c r="BH367" s="42"/>
      <c r="BI367" s="74"/>
      <c r="BJ367" s="77"/>
      <c r="BL367" s="497">
        <v>37.04</v>
      </c>
      <c r="BN367" s="42"/>
      <c r="BO367" s="74"/>
      <c r="BP367" s="77"/>
      <c r="BR367" s="497">
        <v>3.019999999999996</v>
      </c>
      <c r="BT367" s="42"/>
    </row>
    <row r="368" spans="1:72" x14ac:dyDescent="0.25">
      <c r="A368" s="90">
        <v>36175</v>
      </c>
      <c r="B368" s="20">
        <v>0.58333333333333337</v>
      </c>
      <c r="D368">
        <v>48.019999999999996</v>
      </c>
      <c r="E368" t="str">
        <f t="shared" si="46"/>
        <v>WEEKDAY</v>
      </c>
      <c r="F368" t="e">
        <f t="shared" si="47"/>
        <v>#N/A</v>
      </c>
      <c r="G368" s="74">
        <v>27774</v>
      </c>
      <c r="H368" s="77">
        <v>0.58333333333333337</v>
      </c>
      <c r="J368">
        <v>30.92</v>
      </c>
      <c r="M368" s="74">
        <v>37636</v>
      </c>
      <c r="N368" s="77">
        <v>0.58333333333333337</v>
      </c>
      <c r="P368">
        <v>26.6</v>
      </c>
      <c r="S368" s="74">
        <v>36175</v>
      </c>
      <c r="T368" s="77">
        <v>0.58333333333333337</v>
      </c>
      <c r="V368">
        <v>35.6</v>
      </c>
      <c r="X368" s="42"/>
      <c r="AB368">
        <v>36.5</v>
      </c>
      <c r="AC368">
        <v>24.08</v>
      </c>
      <c r="AE368" s="74"/>
      <c r="AF368" s="77"/>
      <c r="AH368" s="497">
        <v>28.58</v>
      </c>
      <c r="AJ368" s="42"/>
      <c r="AK368" s="74"/>
      <c r="AL368" s="77"/>
      <c r="AN368" s="497">
        <v>10.039999999999999</v>
      </c>
      <c r="AP368" s="42"/>
      <c r="AQ368" s="74"/>
      <c r="AR368" s="77"/>
      <c r="AT368" s="497">
        <v>17.059999999999999</v>
      </c>
      <c r="AV368" s="42"/>
      <c r="AW368" s="74"/>
      <c r="AX368" s="77"/>
      <c r="BA368" s="497">
        <v>43.34</v>
      </c>
      <c r="BB368" s="42"/>
      <c r="BC368" s="74"/>
      <c r="BD368" s="77"/>
      <c r="BF368">
        <v>41</v>
      </c>
      <c r="BH368" s="42"/>
      <c r="BI368" s="74"/>
      <c r="BJ368" s="77"/>
      <c r="BL368" s="497">
        <v>36.32</v>
      </c>
      <c r="BN368" s="42"/>
      <c r="BO368" s="74"/>
      <c r="BP368" s="77"/>
      <c r="BR368" s="497">
        <v>3.9200000000000017</v>
      </c>
      <c r="BT368" s="42"/>
    </row>
    <row r="369" spans="1:72" x14ac:dyDescent="0.25">
      <c r="A369" s="90">
        <v>36175</v>
      </c>
      <c r="B369" s="20">
        <v>0.625</v>
      </c>
      <c r="D369">
        <v>48.92</v>
      </c>
      <c r="E369" t="str">
        <f t="shared" si="46"/>
        <v>WEEKDAY</v>
      </c>
      <c r="F369" t="e">
        <f t="shared" si="47"/>
        <v>#N/A</v>
      </c>
      <c r="G369" s="74">
        <v>27774</v>
      </c>
      <c r="H369" s="77">
        <v>0.625</v>
      </c>
      <c r="J369">
        <v>32</v>
      </c>
      <c r="M369" s="74">
        <v>37636</v>
      </c>
      <c r="N369" s="77">
        <v>0.625</v>
      </c>
      <c r="P369">
        <v>26.6</v>
      </c>
      <c r="S369" s="74">
        <v>36175</v>
      </c>
      <c r="T369" s="77">
        <v>0.625</v>
      </c>
      <c r="V369">
        <v>37.94</v>
      </c>
      <c r="X369" s="42"/>
      <c r="AB369">
        <v>36.9</v>
      </c>
      <c r="AC369">
        <v>24.98</v>
      </c>
      <c r="AE369" s="74"/>
      <c r="AF369" s="77"/>
      <c r="AH369" s="497">
        <v>28.4</v>
      </c>
      <c r="AJ369" s="42"/>
      <c r="AK369" s="74"/>
      <c r="AL369" s="77"/>
      <c r="AN369" s="497">
        <v>10.039999999999999</v>
      </c>
      <c r="AP369" s="42"/>
      <c r="AQ369" s="74"/>
      <c r="AR369" s="77"/>
      <c r="AT369" s="497">
        <v>17.059999999999999</v>
      </c>
      <c r="AV369" s="42"/>
      <c r="AW369" s="74"/>
      <c r="AX369" s="77"/>
      <c r="BA369" s="497">
        <v>41.54</v>
      </c>
      <c r="BB369" s="42"/>
      <c r="BC369" s="74"/>
      <c r="BD369" s="77"/>
      <c r="BF369">
        <v>42.08</v>
      </c>
      <c r="BH369" s="42"/>
      <c r="BI369" s="74"/>
      <c r="BJ369" s="77"/>
      <c r="BL369" s="497">
        <v>35.78</v>
      </c>
      <c r="BN369" s="42"/>
      <c r="BO369" s="74"/>
      <c r="BP369" s="77"/>
      <c r="BR369" s="497">
        <v>6.0799999999999983</v>
      </c>
      <c r="BT369" s="42"/>
    </row>
    <row r="370" spans="1:72" x14ac:dyDescent="0.25">
      <c r="A370" s="90">
        <v>36175</v>
      </c>
      <c r="B370" s="20">
        <v>0.66666666666666663</v>
      </c>
      <c r="D370">
        <v>48.92</v>
      </c>
      <c r="E370" t="str">
        <f t="shared" si="46"/>
        <v>WEEKDAY</v>
      </c>
      <c r="F370" t="e">
        <f t="shared" si="47"/>
        <v>#N/A</v>
      </c>
      <c r="G370" s="74">
        <v>27774</v>
      </c>
      <c r="H370" s="77">
        <v>0.66666666666666663</v>
      </c>
      <c r="J370">
        <v>32</v>
      </c>
      <c r="M370" s="74">
        <v>37636</v>
      </c>
      <c r="N370" s="77">
        <v>0.66666666666666663</v>
      </c>
      <c r="P370">
        <v>24.8</v>
      </c>
      <c r="S370" s="74">
        <v>36175</v>
      </c>
      <c r="T370" s="77">
        <v>0.66666666666666663</v>
      </c>
      <c r="V370">
        <v>37.04</v>
      </c>
      <c r="X370" s="42"/>
      <c r="AB370">
        <v>37</v>
      </c>
      <c r="AC370">
        <v>24.08</v>
      </c>
      <c r="AE370" s="74"/>
      <c r="AF370" s="77"/>
      <c r="AH370" s="497">
        <v>28.4</v>
      </c>
      <c r="AJ370" s="42"/>
      <c r="AK370" s="74"/>
      <c r="AL370" s="77"/>
      <c r="AN370" s="497">
        <v>10.940000000000001</v>
      </c>
      <c r="AP370" s="42"/>
      <c r="AQ370" s="74"/>
      <c r="AR370" s="77"/>
      <c r="AT370" s="497">
        <v>12.920000000000002</v>
      </c>
      <c r="AV370" s="42"/>
      <c r="AW370" s="74"/>
      <c r="AX370" s="77"/>
      <c r="BA370" s="497">
        <v>39.92</v>
      </c>
      <c r="BB370" s="42"/>
      <c r="BC370" s="74"/>
      <c r="BD370" s="77"/>
      <c r="BF370">
        <v>41</v>
      </c>
      <c r="BH370" s="42"/>
      <c r="BI370" s="74"/>
      <c r="BJ370" s="77"/>
      <c r="BL370" s="497">
        <v>35.06</v>
      </c>
      <c r="BN370" s="42"/>
      <c r="BO370" s="74"/>
      <c r="BP370" s="77"/>
      <c r="BR370" s="497">
        <v>6.0799999999999983</v>
      </c>
      <c r="BT370" s="42"/>
    </row>
    <row r="371" spans="1:72" x14ac:dyDescent="0.25">
      <c r="A371" s="90">
        <v>36175</v>
      </c>
      <c r="B371" s="20">
        <v>0.70833333333333337</v>
      </c>
      <c r="D371">
        <v>44.96</v>
      </c>
      <c r="E371" t="str">
        <f t="shared" si="46"/>
        <v>WEEKDAY</v>
      </c>
      <c r="F371" t="e">
        <f t="shared" si="47"/>
        <v>#N/A</v>
      </c>
      <c r="G371" s="74">
        <v>27774</v>
      </c>
      <c r="H371" s="77">
        <v>0.70833333333333337</v>
      </c>
      <c r="J371">
        <v>30.92</v>
      </c>
      <c r="M371" s="74">
        <v>37636</v>
      </c>
      <c r="N371" s="77">
        <v>0.70833333333333337</v>
      </c>
      <c r="P371">
        <v>24.8</v>
      </c>
      <c r="S371" s="74">
        <v>36175</v>
      </c>
      <c r="T371" s="77">
        <v>0.70833333333333337</v>
      </c>
      <c r="V371">
        <v>35.96</v>
      </c>
      <c r="X371" s="42"/>
      <c r="AB371">
        <v>36.5</v>
      </c>
      <c r="AC371">
        <v>21.92</v>
      </c>
      <c r="AE371" s="74"/>
      <c r="AF371" s="77"/>
      <c r="AH371" s="497">
        <v>28.4</v>
      </c>
      <c r="AJ371" s="42"/>
      <c r="AK371" s="74"/>
      <c r="AL371" s="77"/>
      <c r="AN371" s="497">
        <v>8.9599999999999973</v>
      </c>
      <c r="AP371" s="42"/>
      <c r="AQ371" s="74"/>
      <c r="AR371" s="77"/>
      <c r="AT371" s="497">
        <v>10.039999999999999</v>
      </c>
      <c r="AV371" s="42"/>
      <c r="AW371" s="74"/>
      <c r="AX371" s="77"/>
      <c r="BA371" s="497">
        <v>36.32</v>
      </c>
      <c r="BB371" s="42"/>
      <c r="BC371" s="74"/>
      <c r="BD371" s="77"/>
      <c r="BF371">
        <v>39.019999999999996</v>
      </c>
      <c r="BH371" s="42"/>
      <c r="BI371" s="74"/>
      <c r="BJ371" s="77"/>
      <c r="BL371" s="497">
        <v>33.44</v>
      </c>
      <c r="BN371" s="42"/>
      <c r="BO371" s="74"/>
      <c r="BP371" s="77"/>
      <c r="BR371" s="497">
        <v>5</v>
      </c>
      <c r="BT371" s="42"/>
    </row>
    <row r="372" spans="1:72" x14ac:dyDescent="0.25">
      <c r="A372" s="90">
        <v>36175</v>
      </c>
      <c r="B372" s="20">
        <v>0.75</v>
      </c>
      <c r="D372">
        <v>42.980000000000004</v>
      </c>
      <c r="E372" t="str">
        <f t="shared" si="46"/>
        <v>WEEKDAY</v>
      </c>
      <c r="F372" t="e">
        <f t="shared" si="47"/>
        <v>#N/A</v>
      </c>
      <c r="G372" s="74">
        <v>27774</v>
      </c>
      <c r="H372" s="77">
        <v>0.75</v>
      </c>
      <c r="J372">
        <v>30.02</v>
      </c>
      <c r="M372" s="74">
        <v>37636</v>
      </c>
      <c r="N372" s="77">
        <v>0.75</v>
      </c>
      <c r="P372">
        <v>23</v>
      </c>
      <c r="S372" s="74">
        <v>36175</v>
      </c>
      <c r="T372" s="77">
        <v>0.75</v>
      </c>
      <c r="V372">
        <v>35.06</v>
      </c>
      <c r="X372" s="42"/>
      <c r="AB372">
        <v>35.299999999999997</v>
      </c>
      <c r="AC372">
        <v>19.939999999999998</v>
      </c>
      <c r="AE372" s="74"/>
      <c r="AF372" s="77"/>
      <c r="AH372" s="497">
        <v>24.8</v>
      </c>
      <c r="AJ372" s="42"/>
      <c r="AK372" s="74"/>
      <c r="AL372" s="77"/>
      <c r="AN372" s="497">
        <v>8.9599999999999973</v>
      </c>
      <c r="AP372" s="42"/>
      <c r="AQ372" s="74"/>
      <c r="AR372" s="77"/>
      <c r="AT372" s="497">
        <v>8.9599999999999973</v>
      </c>
      <c r="AV372" s="42"/>
      <c r="AW372" s="74"/>
      <c r="AX372" s="77"/>
      <c r="BA372" s="497">
        <v>32.54</v>
      </c>
      <c r="BB372" s="42"/>
      <c r="BC372" s="74"/>
      <c r="BD372" s="77"/>
      <c r="BF372">
        <v>33.979999999999997</v>
      </c>
      <c r="BH372" s="42"/>
      <c r="BI372" s="74"/>
      <c r="BJ372" s="77"/>
      <c r="BL372" s="497">
        <v>31.64</v>
      </c>
      <c r="BN372" s="42"/>
      <c r="BO372" s="74"/>
      <c r="BP372" s="77"/>
      <c r="BR372" s="497">
        <v>1.9400000000000013</v>
      </c>
      <c r="BT372" s="42"/>
    </row>
    <row r="373" spans="1:72" x14ac:dyDescent="0.25">
      <c r="A373" s="90">
        <v>36175</v>
      </c>
      <c r="B373" s="20">
        <v>0.79166666666666663</v>
      </c>
      <c r="D373">
        <v>41</v>
      </c>
      <c r="E373" t="str">
        <f t="shared" si="46"/>
        <v>WEEKDAY</v>
      </c>
      <c r="F373" t="e">
        <f t="shared" si="47"/>
        <v>#N/A</v>
      </c>
      <c r="G373" s="74">
        <v>27774</v>
      </c>
      <c r="H373" s="77">
        <v>0.79166666666666663</v>
      </c>
      <c r="J373">
        <v>28.94</v>
      </c>
      <c r="M373" s="74">
        <v>37636</v>
      </c>
      <c r="N373" s="77">
        <v>0.79166666666666663</v>
      </c>
      <c r="P373">
        <v>21.2</v>
      </c>
      <c r="S373" s="74">
        <v>36175</v>
      </c>
      <c r="T373" s="77">
        <v>0.79166666666666663</v>
      </c>
      <c r="V373">
        <v>33.979999999999997</v>
      </c>
      <c r="X373" s="42"/>
      <c r="AB373">
        <v>34.700000000000003</v>
      </c>
      <c r="AC373">
        <v>19.04</v>
      </c>
      <c r="AE373" s="74"/>
      <c r="AF373" s="77"/>
      <c r="AH373" s="497">
        <v>21.2</v>
      </c>
      <c r="AJ373" s="42"/>
      <c r="AK373" s="74"/>
      <c r="AL373" s="77"/>
      <c r="AN373" s="497">
        <v>8.0599999999999987</v>
      </c>
      <c r="AP373" s="42"/>
      <c r="AQ373" s="74"/>
      <c r="AR373" s="77"/>
      <c r="AT373" s="497">
        <v>8.9599999999999973</v>
      </c>
      <c r="AV373" s="42"/>
      <c r="AW373" s="74"/>
      <c r="AX373" s="77"/>
      <c r="BA373" s="497">
        <v>28.94</v>
      </c>
      <c r="BB373" s="42"/>
      <c r="BC373" s="74"/>
      <c r="BD373" s="77"/>
      <c r="BF373">
        <v>32</v>
      </c>
      <c r="BH373" s="42"/>
      <c r="BI373" s="74"/>
      <c r="BJ373" s="77"/>
      <c r="BL373" s="497">
        <v>30.02</v>
      </c>
      <c r="BN373" s="42"/>
      <c r="BO373" s="74"/>
      <c r="BP373" s="77"/>
      <c r="BR373" s="497">
        <v>1.0399999999999991</v>
      </c>
      <c r="BT373" s="42"/>
    </row>
    <row r="374" spans="1:72" x14ac:dyDescent="0.25">
      <c r="A374" s="90">
        <v>36175</v>
      </c>
      <c r="B374" s="20">
        <v>0.83333333333333337</v>
      </c>
      <c r="D374">
        <v>39.92</v>
      </c>
      <c r="E374" t="str">
        <f t="shared" si="46"/>
        <v>WEEKDAY</v>
      </c>
      <c r="F374" t="e">
        <f t="shared" si="47"/>
        <v>#N/A</v>
      </c>
      <c r="G374" s="74">
        <v>27774</v>
      </c>
      <c r="H374" s="77">
        <v>0.83333333333333337</v>
      </c>
      <c r="J374">
        <v>28.04</v>
      </c>
      <c r="M374" s="74">
        <v>37636</v>
      </c>
      <c r="N374" s="77">
        <v>0.83333333333333337</v>
      </c>
      <c r="P374">
        <v>21.2</v>
      </c>
      <c r="S374" s="74">
        <v>36175</v>
      </c>
      <c r="T374" s="77">
        <v>0.83333333333333337</v>
      </c>
      <c r="V374">
        <v>33.08</v>
      </c>
      <c r="X374" s="42"/>
      <c r="AB374">
        <v>34.299999999999997</v>
      </c>
      <c r="AC374">
        <v>17.96</v>
      </c>
      <c r="AE374" s="74"/>
      <c r="AF374" s="77"/>
      <c r="AH374" s="497">
        <v>21.2</v>
      </c>
      <c r="AJ374" s="42"/>
      <c r="AK374" s="74"/>
      <c r="AL374" s="77"/>
      <c r="AN374" s="497">
        <v>10.039999999999999</v>
      </c>
      <c r="AP374" s="42"/>
      <c r="AQ374" s="74"/>
      <c r="AR374" s="77"/>
      <c r="AT374" s="497">
        <v>6.98</v>
      </c>
      <c r="AV374" s="42"/>
      <c r="AW374" s="74"/>
      <c r="AX374" s="77"/>
      <c r="BA374" s="497">
        <v>28.22</v>
      </c>
      <c r="BB374" s="42"/>
      <c r="BC374" s="74"/>
      <c r="BD374" s="77"/>
      <c r="BF374">
        <v>32</v>
      </c>
      <c r="BH374" s="42"/>
      <c r="BI374" s="74"/>
      <c r="BJ374" s="77"/>
      <c r="BL374" s="497">
        <v>30.02</v>
      </c>
      <c r="BN374" s="42"/>
      <c r="BO374" s="74"/>
      <c r="BP374" s="77"/>
      <c r="BR374" s="497">
        <v>1.9400000000000013</v>
      </c>
      <c r="BT374" s="42"/>
    </row>
    <row r="375" spans="1:72" x14ac:dyDescent="0.25">
      <c r="A375" s="90">
        <v>36175</v>
      </c>
      <c r="B375" s="20">
        <v>0.875</v>
      </c>
      <c r="D375">
        <v>37.94</v>
      </c>
      <c r="E375" t="str">
        <f t="shared" si="46"/>
        <v>WEEKDAY</v>
      </c>
      <c r="F375" t="e">
        <f t="shared" si="47"/>
        <v>#N/A</v>
      </c>
      <c r="G375" s="74">
        <v>27774</v>
      </c>
      <c r="H375" s="77">
        <v>0.875</v>
      </c>
      <c r="J375">
        <v>26.96</v>
      </c>
      <c r="M375" s="74">
        <v>37636</v>
      </c>
      <c r="N375" s="77">
        <v>0.875</v>
      </c>
      <c r="P375">
        <v>21.2</v>
      </c>
      <c r="S375" s="74">
        <v>36175</v>
      </c>
      <c r="T375" s="77">
        <v>0.875</v>
      </c>
      <c r="V375">
        <v>30.92</v>
      </c>
      <c r="X375" s="42"/>
      <c r="AB375">
        <v>33.799999999999997</v>
      </c>
      <c r="AC375">
        <v>17.96</v>
      </c>
      <c r="AE375" s="74"/>
      <c r="AF375" s="77"/>
      <c r="AH375" s="497">
        <v>19.399999999999999</v>
      </c>
      <c r="AJ375" s="42"/>
      <c r="AK375" s="74"/>
      <c r="AL375" s="77"/>
      <c r="AN375" s="497">
        <v>10.039999999999999</v>
      </c>
      <c r="AP375" s="42"/>
      <c r="AQ375" s="74"/>
      <c r="AR375" s="77"/>
      <c r="AT375" s="497">
        <v>6.98</v>
      </c>
      <c r="AV375" s="42"/>
      <c r="AW375" s="74"/>
      <c r="AX375" s="77"/>
      <c r="BA375" s="497">
        <v>27.68</v>
      </c>
      <c r="BB375" s="42"/>
      <c r="BC375" s="74"/>
      <c r="BD375" s="77"/>
      <c r="BF375">
        <v>30.92</v>
      </c>
      <c r="BH375" s="42"/>
      <c r="BI375" s="74"/>
      <c r="BJ375" s="77"/>
      <c r="BL375" s="497">
        <v>30.02</v>
      </c>
      <c r="BN375" s="42"/>
      <c r="BO375" s="74"/>
      <c r="BP375" s="77"/>
      <c r="BR375" s="497">
        <v>3.019999999999996</v>
      </c>
      <c r="BT375" s="42"/>
    </row>
    <row r="376" spans="1:72" x14ac:dyDescent="0.25">
      <c r="A376" s="90">
        <v>36175</v>
      </c>
      <c r="B376" s="20">
        <v>0.91666666666666663</v>
      </c>
      <c r="D376">
        <v>37.04</v>
      </c>
      <c r="E376" t="str">
        <f t="shared" si="46"/>
        <v>WEEKDAY</v>
      </c>
      <c r="F376" t="e">
        <f t="shared" si="47"/>
        <v>#N/A</v>
      </c>
      <c r="G376" s="74">
        <v>27774</v>
      </c>
      <c r="H376" s="77">
        <v>0.91666666666666663</v>
      </c>
      <c r="J376">
        <v>26.060000000000002</v>
      </c>
      <c r="M376" s="74">
        <v>37636</v>
      </c>
      <c r="N376" s="77">
        <v>0.91666666666666663</v>
      </c>
      <c r="P376">
        <v>19.399999999999999</v>
      </c>
      <c r="S376" s="74">
        <v>36175</v>
      </c>
      <c r="T376" s="77">
        <v>0.91666666666666663</v>
      </c>
      <c r="V376">
        <v>30.02</v>
      </c>
      <c r="X376" s="42"/>
      <c r="AB376">
        <v>33.200000000000003</v>
      </c>
      <c r="AC376">
        <v>19.939999999999998</v>
      </c>
      <c r="AE376" s="74"/>
      <c r="AF376" s="77"/>
      <c r="AH376" s="497">
        <v>19.399999999999999</v>
      </c>
      <c r="AJ376" s="42"/>
      <c r="AK376" s="74"/>
      <c r="AL376" s="77"/>
      <c r="AN376" s="497">
        <v>10.940000000000001</v>
      </c>
      <c r="AP376" s="42"/>
      <c r="AQ376" s="74"/>
      <c r="AR376" s="77"/>
      <c r="AT376" s="497">
        <v>6.0799999999999983</v>
      </c>
      <c r="AV376" s="42"/>
      <c r="AW376" s="74"/>
      <c r="AX376" s="77"/>
      <c r="BA376" s="497">
        <v>26.96</v>
      </c>
      <c r="BB376" s="42"/>
      <c r="BC376" s="74"/>
      <c r="BD376" s="77"/>
      <c r="BF376">
        <v>32</v>
      </c>
      <c r="BH376" s="42"/>
      <c r="BI376" s="74"/>
      <c r="BJ376" s="77"/>
      <c r="BL376" s="497">
        <v>30.02</v>
      </c>
      <c r="BN376" s="42"/>
      <c r="BO376" s="74"/>
      <c r="BP376" s="77"/>
      <c r="BR376" s="497">
        <v>3.019999999999996</v>
      </c>
      <c r="BT376" s="42"/>
    </row>
    <row r="377" spans="1:72" x14ac:dyDescent="0.25">
      <c r="A377" s="90">
        <v>36175</v>
      </c>
      <c r="B377" s="20">
        <v>0.95833333333333337</v>
      </c>
      <c r="D377">
        <v>37.04</v>
      </c>
      <c r="E377" t="str">
        <f t="shared" si="46"/>
        <v>WEEKDAY</v>
      </c>
      <c r="F377" t="e">
        <f t="shared" si="47"/>
        <v>#N/A</v>
      </c>
      <c r="G377" s="74">
        <v>27774</v>
      </c>
      <c r="H377" s="77">
        <v>0.95833333333333337</v>
      </c>
      <c r="J377">
        <v>26.96</v>
      </c>
      <c r="M377" s="74">
        <v>37636</v>
      </c>
      <c r="N377" s="77">
        <v>0.95833333333333337</v>
      </c>
      <c r="P377">
        <v>19.399999999999999</v>
      </c>
      <c r="S377" s="74">
        <v>36175</v>
      </c>
      <c r="T377" s="77">
        <v>0.95833333333333337</v>
      </c>
      <c r="V377">
        <v>28.94</v>
      </c>
      <c r="X377" s="42"/>
      <c r="AB377">
        <v>32.799999999999997</v>
      </c>
      <c r="AC377">
        <v>21.02</v>
      </c>
      <c r="AE377" s="74"/>
      <c r="AF377" s="77"/>
      <c r="AH377" s="497">
        <v>19.399999999999999</v>
      </c>
      <c r="AJ377" s="42"/>
      <c r="AK377" s="74"/>
      <c r="AL377" s="77"/>
      <c r="AN377" s="497">
        <v>10.940000000000001</v>
      </c>
      <c r="AP377" s="42"/>
      <c r="AQ377" s="74"/>
      <c r="AR377" s="77"/>
      <c r="AT377" s="497">
        <v>6.0799999999999983</v>
      </c>
      <c r="AV377" s="42"/>
      <c r="AW377" s="74"/>
      <c r="AX377" s="77"/>
      <c r="BA377" s="497">
        <v>26.24</v>
      </c>
      <c r="BB377" s="42"/>
      <c r="BC377" s="74"/>
      <c r="BD377" s="77"/>
      <c r="BF377">
        <v>32</v>
      </c>
      <c r="BH377" s="42"/>
      <c r="BI377" s="74"/>
      <c r="BJ377" s="77"/>
      <c r="BL377" s="497">
        <v>29.3</v>
      </c>
      <c r="BN377" s="42"/>
      <c r="BO377" s="74"/>
      <c r="BP377" s="77"/>
      <c r="BR377" s="497">
        <v>3.9200000000000017</v>
      </c>
      <c r="BT377" s="42"/>
    </row>
    <row r="378" spans="1:72" x14ac:dyDescent="0.25">
      <c r="A378" s="90">
        <v>36175</v>
      </c>
      <c r="B378" s="20">
        <v>1</v>
      </c>
      <c r="D378">
        <v>37.04</v>
      </c>
      <c r="E378" t="str">
        <f t="shared" si="46"/>
        <v>WEEKDAY</v>
      </c>
      <c r="F378" t="e">
        <f t="shared" si="47"/>
        <v>#N/A</v>
      </c>
      <c r="G378" s="74">
        <v>27774</v>
      </c>
      <c r="H378" s="77">
        <v>1</v>
      </c>
      <c r="J378">
        <v>26.96</v>
      </c>
      <c r="M378" s="74">
        <v>37636</v>
      </c>
      <c r="N378" s="80">
        <v>1</v>
      </c>
      <c r="P378">
        <v>19.399999999999999</v>
      </c>
      <c r="S378" s="74">
        <v>36175</v>
      </c>
      <c r="T378" s="80">
        <v>1</v>
      </c>
      <c r="V378">
        <v>28.04</v>
      </c>
      <c r="X378" s="42"/>
      <c r="AB378">
        <v>32.4</v>
      </c>
      <c r="AC378">
        <v>23</v>
      </c>
      <c r="AE378" s="74"/>
      <c r="AF378" s="80"/>
      <c r="AH378" s="497">
        <v>19.399999999999999</v>
      </c>
      <c r="AJ378" s="42"/>
      <c r="AK378" s="74"/>
      <c r="AL378" s="80"/>
      <c r="AN378" s="497">
        <v>12.02</v>
      </c>
      <c r="AP378" s="42"/>
      <c r="AQ378" s="74"/>
      <c r="AR378" s="80"/>
      <c r="AT378" s="497">
        <v>5</v>
      </c>
      <c r="AV378" s="42"/>
      <c r="AW378" s="74"/>
      <c r="AX378" s="80"/>
      <c r="BA378" s="497">
        <v>25.7</v>
      </c>
      <c r="BB378" s="42"/>
      <c r="BC378" s="74"/>
      <c r="BD378" s="80"/>
      <c r="BF378">
        <v>30.92</v>
      </c>
      <c r="BH378" s="42"/>
      <c r="BI378" s="74"/>
      <c r="BJ378" s="80"/>
      <c r="BL378" s="497">
        <v>28.759999999999998</v>
      </c>
      <c r="BN378" s="42"/>
      <c r="BO378" s="74"/>
      <c r="BP378" s="80"/>
      <c r="BR378" s="497">
        <v>5</v>
      </c>
      <c r="BT378" s="42"/>
    </row>
    <row r="379" spans="1:72" x14ac:dyDescent="0.25">
      <c r="A379" s="90">
        <v>36176</v>
      </c>
      <c r="B379" s="20">
        <v>4.1666666666666664E-2</v>
      </c>
      <c r="D379">
        <v>37.04</v>
      </c>
      <c r="E379" t="str">
        <f t="shared" si="46"/>
        <v>SATURDAY</v>
      </c>
      <c r="F379" t="e">
        <f t="shared" si="47"/>
        <v>#N/A</v>
      </c>
      <c r="G379" s="74">
        <v>27775</v>
      </c>
      <c r="H379" s="77">
        <v>4.1666666666666664E-2</v>
      </c>
      <c r="J379">
        <v>26.96</v>
      </c>
      <c r="M379" s="74">
        <v>37637</v>
      </c>
      <c r="N379" s="77">
        <v>4.1666666666666664E-2</v>
      </c>
      <c r="P379">
        <v>19.399999999999999</v>
      </c>
      <c r="S379" s="74">
        <v>36176</v>
      </c>
      <c r="T379" s="77">
        <v>4.1666666666666664E-2</v>
      </c>
      <c r="V379">
        <v>26.060000000000002</v>
      </c>
      <c r="X379" s="42"/>
      <c r="AB379">
        <v>31.9</v>
      </c>
      <c r="AC379">
        <v>30.02</v>
      </c>
      <c r="AE379" s="74"/>
      <c r="AF379" s="77"/>
      <c r="AH379" s="497">
        <v>19.399999999999999</v>
      </c>
      <c r="AJ379" s="42"/>
      <c r="AK379" s="74"/>
      <c r="AL379" s="77"/>
      <c r="AN379" s="497">
        <v>12.02</v>
      </c>
      <c r="AP379" s="42"/>
      <c r="AQ379" s="74"/>
      <c r="AR379" s="77"/>
      <c r="AT379" s="497">
        <v>3.9200000000000017</v>
      </c>
      <c r="AV379" s="42"/>
      <c r="AW379" s="74"/>
      <c r="AX379" s="77"/>
      <c r="BA379" s="497">
        <v>24.98</v>
      </c>
      <c r="BB379" s="42"/>
      <c r="BC379" s="74"/>
      <c r="BD379" s="77"/>
      <c r="BF379">
        <v>30.02</v>
      </c>
      <c r="BH379" s="42"/>
      <c r="BI379" s="74"/>
      <c r="BJ379" s="77"/>
      <c r="BL379" s="497">
        <v>28.04</v>
      </c>
      <c r="BN379" s="42"/>
      <c r="BO379" s="74"/>
      <c r="BP379" s="77"/>
      <c r="BR379" s="497">
        <v>10.940000000000001</v>
      </c>
      <c r="BT379" s="42"/>
    </row>
    <row r="380" spans="1:72" x14ac:dyDescent="0.25">
      <c r="A380" s="90">
        <v>36176</v>
      </c>
      <c r="B380" s="20">
        <v>8.3333333333333329E-2</v>
      </c>
      <c r="D380">
        <v>37.94</v>
      </c>
      <c r="E380" t="str">
        <f t="shared" si="46"/>
        <v>SATURDAY</v>
      </c>
      <c r="F380" t="e">
        <f t="shared" si="47"/>
        <v>#N/A</v>
      </c>
      <c r="G380" s="74">
        <v>27775</v>
      </c>
      <c r="H380" s="77">
        <v>8.3333333333333329E-2</v>
      </c>
      <c r="J380">
        <v>26.96</v>
      </c>
      <c r="M380" s="74">
        <v>37637</v>
      </c>
      <c r="N380" s="77">
        <v>8.3333333333333329E-2</v>
      </c>
      <c r="P380">
        <v>17.600000000000001</v>
      </c>
      <c r="S380" s="74">
        <v>36176</v>
      </c>
      <c r="T380" s="77">
        <v>8.3333333333333329E-2</v>
      </c>
      <c r="V380">
        <v>24.98</v>
      </c>
      <c r="X380" s="42"/>
      <c r="AB380">
        <v>31.4</v>
      </c>
      <c r="AC380">
        <v>32</v>
      </c>
      <c r="AE380" s="74"/>
      <c r="AF380" s="77"/>
      <c r="AH380" s="497">
        <v>17.600000000000001</v>
      </c>
      <c r="AJ380" s="42"/>
      <c r="AK380" s="74"/>
      <c r="AL380" s="77"/>
      <c r="AN380" s="497">
        <v>12.920000000000002</v>
      </c>
      <c r="AP380" s="42"/>
      <c r="AQ380" s="74"/>
      <c r="AR380" s="77"/>
      <c r="AT380" s="497">
        <v>1.9400000000000013</v>
      </c>
      <c r="AV380" s="42"/>
      <c r="AW380" s="74"/>
      <c r="AX380" s="77"/>
      <c r="BA380" s="497">
        <v>24.62</v>
      </c>
      <c r="BB380" s="42"/>
      <c r="BC380" s="74"/>
      <c r="BD380" s="77"/>
      <c r="BF380">
        <v>28.94</v>
      </c>
      <c r="BH380" s="42"/>
      <c r="BI380" s="74"/>
      <c r="BJ380" s="77"/>
      <c r="BL380" s="497">
        <v>26.96</v>
      </c>
      <c r="BN380" s="42"/>
      <c r="BO380" s="74"/>
      <c r="BP380" s="77"/>
      <c r="BR380" s="497">
        <v>10.940000000000001</v>
      </c>
      <c r="BT380" s="42"/>
    </row>
    <row r="381" spans="1:72" x14ac:dyDescent="0.25">
      <c r="A381" s="90">
        <v>36176</v>
      </c>
      <c r="B381" s="20">
        <v>0.125</v>
      </c>
      <c r="D381">
        <v>37.04</v>
      </c>
      <c r="E381" t="str">
        <f t="shared" si="46"/>
        <v>SATURDAY</v>
      </c>
      <c r="F381" t="e">
        <f t="shared" si="47"/>
        <v>#N/A</v>
      </c>
      <c r="G381" s="74">
        <v>27775</v>
      </c>
      <c r="H381" s="77">
        <v>0.125</v>
      </c>
      <c r="J381">
        <v>26.96</v>
      </c>
      <c r="M381" s="74">
        <v>37637</v>
      </c>
      <c r="N381" s="77">
        <v>0.125</v>
      </c>
      <c r="P381">
        <v>17.600000000000001</v>
      </c>
      <c r="S381" s="74">
        <v>36176</v>
      </c>
      <c r="T381" s="77">
        <v>0.125</v>
      </c>
      <c r="V381">
        <v>24.08</v>
      </c>
      <c r="X381" s="42"/>
      <c r="AB381">
        <v>31.1</v>
      </c>
      <c r="AC381">
        <v>33.08</v>
      </c>
      <c r="AE381" s="74"/>
      <c r="AF381" s="77"/>
      <c r="AH381" s="497">
        <v>19.399999999999999</v>
      </c>
      <c r="AJ381" s="42"/>
      <c r="AK381" s="74"/>
      <c r="AL381" s="77"/>
      <c r="AN381" s="497">
        <v>14</v>
      </c>
      <c r="AP381" s="42"/>
      <c r="AQ381" s="74"/>
      <c r="AR381" s="77"/>
      <c r="AT381" s="497">
        <v>-3.9999999999999147E-2</v>
      </c>
      <c r="AV381" s="42"/>
      <c r="AW381" s="74"/>
      <c r="AX381" s="77"/>
      <c r="BA381" s="497">
        <v>24.439999999999998</v>
      </c>
      <c r="BB381" s="42"/>
      <c r="BC381" s="74"/>
      <c r="BD381" s="77"/>
      <c r="BF381">
        <v>26.96</v>
      </c>
      <c r="BH381" s="42"/>
      <c r="BI381" s="74"/>
      <c r="BJ381" s="77"/>
      <c r="BL381" s="497">
        <v>26.060000000000002</v>
      </c>
      <c r="BN381" s="42"/>
      <c r="BO381" s="74"/>
      <c r="BP381" s="77"/>
      <c r="BR381" s="497">
        <v>10.039999999999999</v>
      </c>
      <c r="BT381" s="42"/>
    </row>
    <row r="382" spans="1:72" x14ac:dyDescent="0.25">
      <c r="A382" s="90">
        <v>36176</v>
      </c>
      <c r="B382" s="20">
        <v>0.16666666666666666</v>
      </c>
      <c r="D382">
        <v>37.94</v>
      </c>
      <c r="E382" t="str">
        <f t="shared" si="46"/>
        <v>SATURDAY</v>
      </c>
      <c r="F382" t="e">
        <f t="shared" si="47"/>
        <v>#N/A</v>
      </c>
      <c r="G382" s="74">
        <v>27775</v>
      </c>
      <c r="H382" s="77">
        <v>0.16666666666666666</v>
      </c>
      <c r="J382">
        <v>26.96</v>
      </c>
      <c r="M382" s="74">
        <v>37637</v>
      </c>
      <c r="N382" s="77">
        <v>0.16666666666666666</v>
      </c>
      <c r="P382">
        <v>17.600000000000001</v>
      </c>
      <c r="S382" s="74">
        <v>36176</v>
      </c>
      <c r="T382" s="77">
        <v>0.16666666666666666</v>
      </c>
      <c r="V382">
        <v>24.08</v>
      </c>
      <c r="X382" s="42"/>
      <c r="AB382">
        <v>30.8</v>
      </c>
      <c r="AC382">
        <v>35.06</v>
      </c>
      <c r="AE382" s="74"/>
      <c r="AF382" s="77"/>
      <c r="AH382" s="497">
        <v>19.399999999999999</v>
      </c>
      <c r="AJ382" s="42"/>
      <c r="AK382" s="74"/>
      <c r="AL382" s="77"/>
      <c r="AN382" s="497">
        <v>14</v>
      </c>
      <c r="AP382" s="42"/>
      <c r="AQ382" s="74"/>
      <c r="AR382" s="77"/>
      <c r="AT382" s="497">
        <v>-0.94000000000000483</v>
      </c>
      <c r="AV382" s="42"/>
      <c r="AW382" s="74"/>
      <c r="AX382" s="77"/>
      <c r="BA382" s="497">
        <v>24.08</v>
      </c>
      <c r="BB382" s="42"/>
      <c r="BC382" s="74"/>
      <c r="BD382" s="77"/>
      <c r="BF382">
        <v>26.96</v>
      </c>
      <c r="BH382" s="42"/>
      <c r="BI382" s="74"/>
      <c r="BJ382" s="77"/>
      <c r="BL382" s="497">
        <v>24.98</v>
      </c>
      <c r="BN382" s="42"/>
      <c r="BO382" s="74"/>
      <c r="BP382" s="77"/>
      <c r="BR382" s="497">
        <v>3.019999999999996</v>
      </c>
      <c r="BT382" s="42"/>
    </row>
    <row r="383" spans="1:72" x14ac:dyDescent="0.25">
      <c r="A383" s="90">
        <v>36176</v>
      </c>
      <c r="B383" s="20">
        <v>0.20833333333333334</v>
      </c>
      <c r="D383">
        <v>37.94</v>
      </c>
      <c r="E383" t="str">
        <f t="shared" si="46"/>
        <v>SATURDAY</v>
      </c>
      <c r="F383" t="e">
        <f t="shared" si="47"/>
        <v>#N/A</v>
      </c>
      <c r="G383" s="74">
        <v>27775</v>
      </c>
      <c r="H383" s="77">
        <v>0.20833333333333334</v>
      </c>
      <c r="J383">
        <v>26.96</v>
      </c>
      <c r="M383" s="74">
        <v>37637</v>
      </c>
      <c r="N383" s="77">
        <v>0.20833333333333334</v>
      </c>
      <c r="P383">
        <v>17.600000000000001</v>
      </c>
      <c r="S383" s="74">
        <v>36176</v>
      </c>
      <c r="T383" s="77">
        <v>0.20833333333333334</v>
      </c>
      <c r="V383">
        <v>24.08</v>
      </c>
      <c r="X383" s="42"/>
      <c r="AB383">
        <v>30.5</v>
      </c>
      <c r="AC383">
        <v>35.96</v>
      </c>
      <c r="AE383" s="74"/>
      <c r="AF383" s="77"/>
      <c r="AH383" s="497">
        <v>19.399999999999999</v>
      </c>
      <c r="AJ383" s="42"/>
      <c r="AK383" s="74"/>
      <c r="AL383" s="77"/>
      <c r="AN383" s="497">
        <v>15.079999999999998</v>
      </c>
      <c r="AP383" s="42"/>
      <c r="AQ383" s="74"/>
      <c r="AR383" s="77"/>
      <c r="AT383" s="497">
        <v>-0.94000000000000483</v>
      </c>
      <c r="AV383" s="42"/>
      <c r="AW383" s="74"/>
      <c r="AX383" s="77"/>
      <c r="BA383" s="497">
        <v>23.72</v>
      </c>
      <c r="BB383" s="42"/>
      <c r="BC383" s="74"/>
      <c r="BD383" s="77"/>
      <c r="BF383">
        <v>26.060000000000002</v>
      </c>
      <c r="BH383" s="42"/>
      <c r="BI383" s="74"/>
      <c r="BJ383" s="77"/>
      <c r="BL383" s="497">
        <v>23.9</v>
      </c>
      <c r="BN383" s="42"/>
      <c r="BO383" s="74"/>
      <c r="BP383" s="77"/>
      <c r="BR383" s="497">
        <v>-2.019999999999996</v>
      </c>
      <c r="BT383" s="42"/>
    </row>
    <row r="384" spans="1:72" x14ac:dyDescent="0.25">
      <c r="A384" s="90">
        <v>36176</v>
      </c>
      <c r="B384" s="20">
        <v>0.25</v>
      </c>
      <c r="D384">
        <v>37.94</v>
      </c>
      <c r="E384" t="str">
        <f t="shared" si="46"/>
        <v>SATURDAY</v>
      </c>
      <c r="F384" t="e">
        <f t="shared" si="47"/>
        <v>#N/A</v>
      </c>
      <c r="G384" s="74">
        <v>27775</v>
      </c>
      <c r="H384" s="77">
        <v>0.25</v>
      </c>
      <c r="J384">
        <v>26.96</v>
      </c>
      <c r="M384" s="74">
        <v>37637</v>
      </c>
      <c r="N384" s="77">
        <v>0.25</v>
      </c>
      <c r="P384">
        <v>17.600000000000001</v>
      </c>
      <c r="S384" s="74">
        <v>36176</v>
      </c>
      <c r="T384" s="77">
        <v>0.25</v>
      </c>
      <c r="V384">
        <v>23</v>
      </c>
      <c r="X384" s="42"/>
      <c r="AB384">
        <v>30.3</v>
      </c>
      <c r="AC384">
        <v>37.94</v>
      </c>
      <c r="AE384" s="74"/>
      <c r="AF384" s="77"/>
      <c r="AH384" s="497">
        <v>19.399999999999999</v>
      </c>
      <c r="AJ384" s="42"/>
      <c r="AK384" s="74"/>
      <c r="AL384" s="77"/>
      <c r="AN384" s="497">
        <v>15.079999999999998</v>
      </c>
      <c r="AP384" s="42"/>
      <c r="AQ384" s="74"/>
      <c r="AR384" s="77"/>
      <c r="AT384" s="497">
        <v>-2.019999999999996</v>
      </c>
      <c r="AV384" s="42"/>
      <c r="AW384" s="74"/>
      <c r="AX384" s="77"/>
      <c r="BA384" s="497">
        <v>23.36</v>
      </c>
      <c r="BB384" s="42"/>
      <c r="BC384" s="74"/>
      <c r="BD384" s="77"/>
      <c r="BF384">
        <v>26.96</v>
      </c>
      <c r="BH384" s="42"/>
      <c r="BI384" s="74"/>
      <c r="BJ384" s="77"/>
      <c r="BL384" s="497">
        <v>23</v>
      </c>
      <c r="BN384" s="42"/>
      <c r="BO384" s="74"/>
      <c r="BP384" s="77"/>
      <c r="BR384" s="497">
        <v>-5.980000000000004</v>
      </c>
      <c r="BT384" s="42"/>
    </row>
    <row r="385" spans="1:72" x14ac:dyDescent="0.25">
      <c r="A385" s="90">
        <v>36176</v>
      </c>
      <c r="B385" s="20">
        <v>0.29166666666666669</v>
      </c>
      <c r="D385">
        <v>37.94</v>
      </c>
      <c r="E385" t="str">
        <f t="shared" si="46"/>
        <v>SATURDAY</v>
      </c>
      <c r="F385" t="e">
        <f t="shared" si="47"/>
        <v>#N/A</v>
      </c>
      <c r="G385" s="74">
        <v>27775</v>
      </c>
      <c r="H385" s="77">
        <v>0.29166666666666669</v>
      </c>
      <c r="J385">
        <v>28.04</v>
      </c>
      <c r="M385" s="74">
        <v>37637</v>
      </c>
      <c r="N385" s="77">
        <v>0.29166666666666669</v>
      </c>
      <c r="P385">
        <v>17.600000000000001</v>
      </c>
      <c r="S385" s="74">
        <v>36176</v>
      </c>
      <c r="T385" s="77">
        <v>0.29166666666666669</v>
      </c>
      <c r="V385">
        <v>24.08</v>
      </c>
      <c r="X385" s="42"/>
      <c r="AB385">
        <v>30.2</v>
      </c>
      <c r="AC385">
        <v>41</v>
      </c>
      <c r="AE385" s="74"/>
      <c r="AF385" s="77"/>
      <c r="AH385" s="497">
        <v>19.399999999999999</v>
      </c>
      <c r="AJ385" s="42"/>
      <c r="AK385" s="74"/>
      <c r="AL385" s="77"/>
      <c r="AN385" s="497">
        <v>15.079999999999998</v>
      </c>
      <c r="AP385" s="42"/>
      <c r="AQ385" s="74"/>
      <c r="AR385" s="77"/>
      <c r="AT385" s="497">
        <v>-2.9200000000000017</v>
      </c>
      <c r="AV385" s="42"/>
      <c r="AW385" s="74"/>
      <c r="AX385" s="77"/>
      <c r="BA385" s="497">
        <v>23</v>
      </c>
      <c r="BB385" s="42"/>
      <c r="BC385" s="74"/>
      <c r="BD385" s="77"/>
      <c r="BF385">
        <v>28.04</v>
      </c>
      <c r="BH385" s="42"/>
      <c r="BI385" s="74"/>
      <c r="BJ385" s="77"/>
      <c r="BL385" s="497">
        <v>21.92</v>
      </c>
      <c r="BN385" s="42"/>
      <c r="BO385" s="74"/>
      <c r="BP385" s="77"/>
      <c r="BR385" s="497">
        <v>-4</v>
      </c>
      <c r="BT385" s="42"/>
    </row>
    <row r="386" spans="1:72" x14ac:dyDescent="0.25">
      <c r="A386" s="90">
        <v>36176</v>
      </c>
      <c r="B386" s="20">
        <v>0.33333333333333331</v>
      </c>
      <c r="D386">
        <v>37.94</v>
      </c>
      <c r="E386" t="str">
        <f t="shared" si="46"/>
        <v>SATURDAY</v>
      </c>
      <c r="F386" t="e">
        <f t="shared" si="47"/>
        <v>#N/A</v>
      </c>
      <c r="G386" s="74">
        <v>27775</v>
      </c>
      <c r="H386" s="77">
        <v>0.33333333333333331</v>
      </c>
      <c r="J386">
        <v>30.92</v>
      </c>
      <c r="M386" s="74">
        <v>37637</v>
      </c>
      <c r="N386" s="77">
        <v>0.33333333333333331</v>
      </c>
      <c r="P386">
        <v>17.600000000000001</v>
      </c>
      <c r="S386" s="74">
        <v>36176</v>
      </c>
      <c r="T386" s="77">
        <v>0.33333333333333331</v>
      </c>
      <c r="V386">
        <v>24.98</v>
      </c>
      <c r="X386" s="42"/>
      <c r="AB386">
        <v>30.1</v>
      </c>
      <c r="AC386">
        <v>42.08</v>
      </c>
      <c r="AE386" s="74"/>
      <c r="AF386" s="77"/>
      <c r="AH386" s="497">
        <v>19.399999999999999</v>
      </c>
      <c r="AJ386" s="42"/>
      <c r="AK386" s="74"/>
      <c r="AL386" s="77"/>
      <c r="AN386" s="497">
        <v>15.98</v>
      </c>
      <c r="AP386" s="42"/>
      <c r="AQ386" s="74"/>
      <c r="AR386" s="77"/>
      <c r="AT386" s="497">
        <v>-2.9200000000000017</v>
      </c>
      <c r="AV386" s="42"/>
      <c r="AW386" s="74"/>
      <c r="AX386" s="77"/>
      <c r="BA386" s="497">
        <v>25.7</v>
      </c>
      <c r="BB386" s="42"/>
      <c r="BC386" s="74"/>
      <c r="BD386" s="77"/>
      <c r="BF386">
        <v>28.94</v>
      </c>
      <c r="BH386" s="42"/>
      <c r="BI386" s="74"/>
      <c r="BJ386" s="77"/>
      <c r="BL386" s="497">
        <v>24.62</v>
      </c>
      <c r="BN386" s="42"/>
      <c r="BO386" s="74"/>
      <c r="BP386" s="77"/>
      <c r="BR386" s="497">
        <v>-2.019999999999996</v>
      </c>
      <c r="BT386" s="42"/>
    </row>
    <row r="387" spans="1:72" x14ac:dyDescent="0.25">
      <c r="A387" s="90">
        <v>36176</v>
      </c>
      <c r="B387" s="20">
        <v>0.375</v>
      </c>
      <c r="D387">
        <v>39.019999999999996</v>
      </c>
      <c r="E387" t="str">
        <f t="shared" si="46"/>
        <v>SATURDAY</v>
      </c>
      <c r="F387" t="e">
        <f t="shared" si="47"/>
        <v>#N/A</v>
      </c>
      <c r="G387" s="74">
        <v>27775</v>
      </c>
      <c r="H387" s="77">
        <v>0.375</v>
      </c>
      <c r="J387">
        <v>33.08</v>
      </c>
      <c r="M387" s="74">
        <v>37637</v>
      </c>
      <c r="N387" s="77">
        <v>0.375</v>
      </c>
      <c r="P387">
        <v>19.399999999999999</v>
      </c>
      <c r="S387" s="74">
        <v>36176</v>
      </c>
      <c r="T387" s="77">
        <v>0.375</v>
      </c>
      <c r="V387">
        <v>26.96</v>
      </c>
      <c r="X387" s="42"/>
      <c r="AB387">
        <v>30.4</v>
      </c>
      <c r="AC387">
        <v>42.08</v>
      </c>
      <c r="AE387" s="74"/>
      <c r="AF387" s="77"/>
      <c r="AH387" s="497">
        <v>21.2</v>
      </c>
      <c r="AJ387" s="42"/>
      <c r="AK387" s="74"/>
      <c r="AL387" s="77"/>
      <c r="AN387" s="497">
        <v>17.059999999999999</v>
      </c>
      <c r="AP387" s="42"/>
      <c r="AQ387" s="74"/>
      <c r="AR387" s="77"/>
      <c r="AT387" s="497">
        <v>-2.019999999999996</v>
      </c>
      <c r="AV387" s="42"/>
      <c r="AW387" s="74"/>
      <c r="AX387" s="77"/>
      <c r="BA387" s="497">
        <v>28.22</v>
      </c>
      <c r="BB387" s="42"/>
      <c r="BC387" s="74"/>
      <c r="BD387" s="77"/>
      <c r="BF387">
        <v>30.02</v>
      </c>
      <c r="BH387" s="42"/>
      <c r="BI387" s="74"/>
      <c r="BJ387" s="77"/>
      <c r="BL387" s="497">
        <v>27.32</v>
      </c>
      <c r="BN387" s="42"/>
      <c r="BO387" s="74"/>
      <c r="BP387" s="77"/>
      <c r="BR387" s="497">
        <v>-3.9999999999999147E-2</v>
      </c>
      <c r="BT387" s="42"/>
    </row>
    <row r="388" spans="1:72" x14ac:dyDescent="0.25">
      <c r="A388" s="90">
        <v>36176</v>
      </c>
      <c r="B388" s="20">
        <v>0.41666666666666669</v>
      </c>
      <c r="D388">
        <v>39.92</v>
      </c>
      <c r="E388" t="str">
        <f t="shared" si="46"/>
        <v>SATURDAY</v>
      </c>
      <c r="F388" t="e">
        <f t="shared" si="47"/>
        <v>#N/A</v>
      </c>
      <c r="G388" s="74">
        <v>27775</v>
      </c>
      <c r="H388" s="77">
        <v>0.41666666666666669</v>
      </c>
      <c r="J388">
        <v>42.08</v>
      </c>
      <c r="M388" s="74">
        <v>37637</v>
      </c>
      <c r="N388" s="77">
        <v>0.41666666666666669</v>
      </c>
      <c r="P388">
        <v>21.2</v>
      </c>
      <c r="S388" s="74">
        <v>36176</v>
      </c>
      <c r="T388" s="77">
        <v>0.41666666666666669</v>
      </c>
      <c r="V388">
        <v>28.94</v>
      </c>
      <c r="X388" s="42"/>
      <c r="AB388">
        <v>31.8</v>
      </c>
      <c r="AC388">
        <v>42.08</v>
      </c>
      <c r="AE388" s="74"/>
      <c r="AF388" s="77"/>
      <c r="AH388" s="497">
        <v>23</v>
      </c>
      <c r="AJ388" s="42"/>
      <c r="AK388" s="74"/>
      <c r="AL388" s="77"/>
      <c r="AN388" s="497">
        <v>17.96</v>
      </c>
      <c r="AP388" s="42"/>
      <c r="AQ388" s="74"/>
      <c r="AR388" s="77"/>
      <c r="AT388" s="497">
        <v>1.9400000000000013</v>
      </c>
      <c r="AV388" s="42"/>
      <c r="AW388" s="74"/>
      <c r="AX388" s="77"/>
      <c r="BA388" s="497">
        <v>30.92</v>
      </c>
      <c r="BB388" s="42"/>
      <c r="BC388" s="74"/>
      <c r="BD388" s="77"/>
      <c r="BF388">
        <v>32</v>
      </c>
      <c r="BH388" s="42"/>
      <c r="BI388" s="74"/>
      <c r="BJ388" s="77"/>
      <c r="BL388" s="497">
        <v>30.02</v>
      </c>
      <c r="BN388" s="42"/>
      <c r="BO388" s="74"/>
      <c r="BP388" s="77"/>
      <c r="BR388" s="497">
        <v>8.9599999999999973</v>
      </c>
      <c r="BT388" s="42"/>
    </row>
    <row r="389" spans="1:72" x14ac:dyDescent="0.25">
      <c r="A389" s="90">
        <v>36176</v>
      </c>
      <c r="B389" s="20">
        <v>0.45833333333333331</v>
      </c>
      <c r="D389">
        <v>42.08</v>
      </c>
      <c r="E389" t="str">
        <f t="shared" si="46"/>
        <v>SATURDAY</v>
      </c>
      <c r="F389" t="e">
        <f t="shared" si="47"/>
        <v>#N/A</v>
      </c>
      <c r="G389" s="74">
        <v>27775</v>
      </c>
      <c r="H389" s="77">
        <v>0.45833333333333331</v>
      </c>
      <c r="J389">
        <v>44.06</v>
      </c>
      <c r="M389" s="74">
        <v>37637</v>
      </c>
      <c r="N389" s="77">
        <v>0.45833333333333331</v>
      </c>
      <c r="P389">
        <v>23</v>
      </c>
      <c r="S389" s="74">
        <v>36176</v>
      </c>
      <c r="T389" s="77">
        <v>0.45833333333333331</v>
      </c>
      <c r="V389">
        <v>30.02</v>
      </c>
      <c r="X389" s="42"/>
      <c r="AB389">
        <v>33.299999999999997</v>
      </c>
      <c r="AC389">
        <v>41</v>
      </c>
      <c r="AE389" s="74"/>
      <c r="AF389" s="77"/>
      <c r="AH389" s="497">
        <v>24.8</v>
      </c>
      <c r="AJ389" s="42"/>
      <c r="AK389" s="74"/>
      <c r="AL389" s="77"/>
      <c r="AN389" s="497">
        <v>19.939999999999998</v>
      </c>
      <c r="AP389" s="42"/>
      <c r="AQ389" s="74"/>
      <c r="AR389" s="77"/>
      <c r="AT389" s="497">
        <v>6.0799999999999983</v>
      </c>
      <c r="AV389" s="42"/>
      <c r="AW389" s="74"/>
      <c r="AX389" s="77"/>
      <c r="BA389" s="497">
        <v>33.979999999999997</v>
      </c>
      <c r="BB389" s="42"/>
      <c r="BC389" s="74"/>
      <c r="BD389" s="77"/>
      <c r="BF389">
        <v>35.06</v>
      </c>
      <c r="BH389" s="42"/>
      <c r="BI389" s="74"/>
      <c r="BJ389" s="77"/>
      <c r="BL389" s="497">
        <v>32</v>
      </c>
      <c r="BN389" s="42"/>
      <c r="BO389" s="74"/>
      <c r="BP389" s="77"/>
      <c r="BR389" s="497">
        <v>15.079999999999998</v>
      </c>
      <c r="BT389" s="42"/>
    </row>
    <row r="390" spans="1:72" x14ac:dyDescent="0.25">
      <c r="A390" s="90">
        <v>36176</v>
      </c>
      <c r="B390" s="20">
        <v>0.5</v>
      </c>
      <c r="D390">
        <v>51.08</v>
      </c>
      <c r="E390" t="str">
        <f t="shared" si="46"/>
        <v>SATURDAY</v>
      </c>
      <c r="F390" t="e">
        <f t="shared" si="47"/>
        <v>#N/A</v>
      </c>
      <c r="G390" s="74">
        <v>27775</v>
      </c>
      <c r="H390" s="77">
        <v>0.5</v>
      </c>
      <c r="J390">
        <v>44.06</v>
      </c>
      <c r="M390" s="74">
        <v>37637</v>
      </c>
      <c r="N390" s="77">
        <v>0.5</v>
      </c>
      <c r="P390">
        <v>24.8</v>
      </c>
      <c r="S390" s="74">
        <v>36176</v>
      </c>
      <c r="T390" s="77">
        <v>0.5</v>
      </c>
      <c r="V390">
        <v>33.979999999999997</v>
      </c>
      <c r="X390" s="42"/>
      <c r="AB390">
        <v>34.5</v>
      </c>
      <c r="AC390">
        <v>42.08</v>
      </c>
      <c r="AE390" s="74"/>
      <c r="AF390" s="77"/>
      <c r="AH390" s="497">
        <v>26.6</v>
      </c>
      <c r="AJ390" s="42"/>
      <c r="AK390" s="74"/>
      <c r="AL390" s="77"/>
      <c r="AN390" s="497">
        <v>21.02</v>
      </c>
      <c r="AP390" s="42"/>
      <c r="AQ390" s="74"/>
      <c r="AR390" s="77"/>
      <c r="AT390" s="497">
        <v>6.98</v>
      </c>
      <c r="AV390" s="42"/>
      <c r="AW390" s="74"/>
      <c r="AX390" s="77"/>
      <c r="BA390" s="497">
        <v>36.86</v>
      </c>
      <c r="BB390" s="42"/>
      <c r="BC390" s="74"/>
      <c r="BD390" s="77"/>
      <c r="BF390">
        <v>35.96</v>
      </c>
      <c r="BH390" s="42"/>
      <c r="BI390" s="74"/>
      <c r="BJ390" s="77"/>
      <c r="BL390" s="497">
        <v>33.979999999999997</v>
      </c>
      <c r="BN390" s="42"/>
      <c r="BO390" s="74"/>
      <c r="BP390" s="77"/>
      <c r="BR390" s="497">
        <v>23</v>
      </c>
      <c r="BT390" s="42"/>
    </row>
    <row r="391" spans="1:72" x14ac:dyDescent="0.25">
      <c r="A391" s="90">
        <v>36176</v>
      </c>
      <c r="B391" s="20">
        <v>0.54166666666666663</v>
      </c>
      <c r="D391">
        <v>53.06</v>
      </c>
      <c r="E391" t="str">
        <f t="shared" si="46"/>
        <v>SATURDAY</v>
      </c>
      <c r="F391" t="e">
        <f t="shared" si="47"/>
        <v>#N/A</v>
      </c>
      <c r="G391" s="74">
        <v>27775</v>
      </c>
      <c r="H391" s="77">
        <v>0.54166666666666663</v>
      </c>
      <c r="J391">
        <v>44.96</v>
      </c>
      <c r="M391" s="74">
        <v>37637</v>
      </c>
      <c r="N391" s="77">
        <v>0.54166666666666663</v>
      </c>
      <c r="P391">
        <v>26.6</v>
      </c>
      <c r="S391" s="74">
        <v>36176</v>
      </c>
      <c r="T391" s="77">
        <v>0.54166666666666663</v>
      </c>
      <c r="V391">
        <v>35.96</v>
      </c>
      <c r="X391" s="42"/>
      <c r="AB391">
        <v>35.6</v>
      </c>
      <c r="AC391">
        <v>42.980000000000004</v>
      </c>
      <c r="AE391" s="74"/>
      <c r="AF391" s="77"/>
      <c r="AH391" s="497">
        <v>26.6</v>
      </c>
      <c r="AJ391" s="42"/>
      <c r="AK391" s="74"/>
      <c r="AL391" s="77"/>
      <c r="AN391" s="497">
        <v>23</v>
      </c>
      <c r="AP391" s="42"/>
      <c r="AQ391" s="74"/>
      <c r="AR391" s="77"/>
      <c r="AT391" s="497">
        <v>10.039999999999999</v>
      </c>
      <c r="AV391" s="42"/>
      <c r="AW391" s="74"/>
      <c r="AX391" s="77"/>
      <c r="BA391" s="497">
        <v>39.92</v>
      </c>
      <c r="BB391" s="42"/>
      <c r="BC391" s="74"/>
      <c r="BD391" s="77"/>
      <c r="BF391">
        <v>39.019999999999996</v>
      </c>
      <c r="BH391" s="42"/>
      <c r="BI391" s="74"/>
      <c r="BJ391" s="77"/>
      <c r="BL391" s="497">
        <v>35.96</v>
      </c>
      <c r="BN391" s="42"/>
      <c r="BO391" s="74"/>
      <c r="BP391" s="77"/>
      <c r="BR391" s="497">
        <v>24.08</v>
      </c>
      <c r="BT391" s="42"/>
    </row>
    <row r="392" spans="1:72" x14ac:dyDescent="0.25">
      <c r="A392" s="90">
        <v>36176</v>
      </c>
      <c r="B392" s="20">
        <v>0.58333333333333337</v>
      </c>
      <c r="D392">
        <v>53.06</v>
      </c>
      <c r="E392" t="str">
        <f t="shared" si="46"/>
        <v>SATURDAY</v>
      </c>
      <c r="F392" t="e">
        <f t="shared" si="47"/>
        <v>#N/A</v>
      </c>
      <c r="G392" s="74">
        <v>27775</v>
      </c>
      <c r="H392" s="77">
        <v>0.58333333333333337</v>
      </c>
      <c r="J392">
        <v>41</v>
      </c>
      <c r="M392" s="74">
        <v>37637</v>
      </c>
      <c r="N392" s="77">
        <v>0.58333333333333337</v>
      </c>
      <c r="P392">
        <v>26.6</v>
      </c>
      <c r="S392" s="74">
        <v>36176</v>
      </c>
      <c r="T392" s="77">
        <v>0.58333333333333337</v>
      </c>
      <c r="V392">
        <v>41</v>
      </c>
      <c r="X392" s="42"/>
      <c r="AB392">
        <v>36.4</v>
      </c>
      <c r="AC392">
        <v>44.96</v>
      </c>
      <c r="AE392" s="74"/>
      <c r="AF392" s="77"/>
      <c r="AH392" s="497">
        <v>26.6</v>
      </c>
      <c r="AJ392" s="42"/>
      <c r="AK392" s="74"/>
      <c r="AL392" s="77"/>
      <c r="AN392" s="497">
        <v>24.08</v>
      </c>
      <c r="AP392" s="42"/>
      <c r="AQ392" s="74"/>
      <c r="AR392" s="77"/>
      <c r="AT392" s="497">
        <v>12.02</v>
      </c>
      <c r="AV392" s="42"/>
      <c r="AW392" s="74"/>
      <c r="AX392" s="77"/>
      <c r="BA392" s="497">
        <v>40.28</v>
      </c>
      <c r="BB392" s="42"/>
      <c r="BC392" s="74"/>
      <c r="BD392" s="77"/>
      <c r="BF392">
        <v>41</v>
      </c>
      <c r="BH392" s="42"/>
      <c r="BI392" s="74"/>
      <c r="BJ392" s="77"/>
      <c r="BL392" s="497">
        <v>36.68</v>
      </c>
      <c r="BN392" s="42"/>
      <c r="BO392" s="74"/>
      <c r="BP392" s="77"/>
      <c r="BR392" s="497">
        <v>24.98</v>
      </c>
      <c r="BT392" s="42"/>
    </row>
    <row r="393" spans="1:72" x14ac:dyDescent="0.25">
      <c r="A393" s="90">
        <v>36176</v>
      </c>
      <c r="B393" s="20">
        <v>0.625</v>
      </c>
      <c r="D393">
        <v>51.980000000000004</v>
      </c>
      <c r="E393" t="str">
        <f t="shared" si="46"/>
        <v>SATURDAY</v>
      </c>
      <c r="F393" t="e">
        <f t="shared" si="47"/>
        <v>#N/A</v>
      </c>
      <c r="G393" s="74">
        <v>27775</v>
      </c>
      <c r="H393" s="77">
        <v>0.625</v>
      </c>
      <c r="J393">
        <v>39.92</v>
      </c>
      <c r="M393" s="74">
        <v>37637</v>
      </c>
      <c r="N393" s="77">
        <v>0.625</v>
      </c>
      <c r="P393">
        <v>26.6</v>
      </c>
      <c r="S393" s="74">
        <v>36176</v>
      </c>
      <c r="T393" s="77">
        <v>0.625</v>
      </c>
      <c r="V393">
        <v>42.08</v>
      </c>
      <c r="X393" s="42"/>
      <c r="AB393">
        <v>36.9</v>
      </c>
      <c r="AC393">
        <v>44.96</v>
      </c>
      <c r="AE393" s="74"/>
      <c r="AF393" s="77"/>
      <c r="AH393" s="497">
        <v>26.6</v>
      </c>
      <c r="AJ393" s="42"/>
      <c r="AK393" s="74"/>
      <c r="AL393" s="77"/>
      <c r="AN393" s="497">
        <v>24.98</v>
      </c>
      <c r="AP393" s="42"/>
      <c r="AQ393" s="74"/>
      <c r="AR393" s="77"/>
      <c r="AT393" s="497">
        <v>12.920000000000002</v>
      </c>
      <c r="AV393" s="42"/>
      <c r="AW393" s="74"/>
      <c r="AX393" s="77"/>
      <c r="BA393" s="497">
        <v>40.64</v>
      </c>
      <c r="BB393" s="42"/>
      <c r="BC393" s="74"/>
      <c r="BD393" s="77"/>
      <c r="BF393">
        <v>42.980000000000004</v>
      </c>
      <c r="BH393" s="42"/>
      <c r="BI393" s="74"/>
      <c r="BJ393" s="77"/>
      <c r="BL393" s="497">
        <v>37.22</v>
      </c>
      <c r="BN393" s="42"/>
      <c r="BO393" s="74"/>
      <c r="BP393" s="77"/>
      <c r="BR393" s="497">
        <v>24.98</v>
      </c>
      <c r="BT393" s="42"/>
    </row>
    <row r="394" spans="1:72" x14ac:dyDescent="0.25">
      <c r="A394" s="90">
        <v>36176</v>
      </c>
      <c r="B394" s="20">
        <v>0.66666666666666663</v>
      </c>
      <c r="D394">
        <v>53.06</v>
      </c>
      <c r="E394" t="str">
        <f t="shared" si="46"/>
        <v>SATURDAY</v>
      </c>
      <c r="F394" t="e">
        <f t="shared" si="47"/>
        <v>#N/A</v>
      </c>
      <c r="G394" s="74">
        <v>27775</v>
      </c>
      <c r="H394" s="77">
        <v>0.66666666666666663</v>
      </c>
      <c r="J394">
        <v>39.019999999999996</v>
      </c>
      <c r="M394" s="74">
        <v>37637</v>
      </c>
      <c r="N394" s="77">
        <v>0.66666666666666663</v>
      </c>
      <c r="P394">
        <v>26.6</v>
      </c>
      <c r="S394" s="74">
        <v>36176</v>
      </c>
      <c r="T394" s="77">
        <v>0.66666666666666663</v>
      </c>
      <c r="V394">
        <v>42.08</v>
      </c>
      <c r="X394" s="42"/>
      <c r="AB394">
        <v>36.9</v>
      </c>
      <c r="AC394">
        <v>44.06</v>
      </c>
      <c r="AE394" s="74"/>
      <c r="AF394" s="77"/>
      <c r="AH394" s="497">
        <v>26.6</v>
      </c>
      <c r="AJ394" s="42"/>
      <c r="AK394" s="74"/>
      <c r="AL394" s="77"/>
      <c r="AN394" s="497">
        <v>26.060000000000002</v>
      </c>
      <c r="AP394" s="42"/>
      <c r="AQ394" s="74"/>
      <c r="AR394" s="77"/>
      <c r="AT394" s="497">
        <v>14</v>
      </c>
      <c r="AV394" s="42"/>
      <c r="AW394" s="74"/>
      <c r="AX394" s="77"/>
      <c r="BA394" s="497">
        <v>41</v>
      </c>
      <c r="BB394" s="42"/>
      <c r="BC394" s="74"/>
      <c r="BD394" s="77"/>
      <c r="BF394">
        <v>42.980000000000004</v>
      </c>
      <c r="BH394" s="42"/>
      <c r="BI394" s="74"/>
      <c r="BJ394" s="77"/>
      <c r="BL394" s="497">
        <v>37.94</v>
      </c>
      <c r="BN394" s="42"/>
      <c r="BO394" s="74"/>
      <c r="BP394" s="77"/>
      <c r="BR394" s="497">
        <v>24.08</v>
      </c>
      <c r="BT394" s="42"/>
    </row>
    <row r="395" spans="1:72" x14ac:dyDescent="0.25">
      <c r="A395" s="90">
        <v>36176</v>
      </c>
      <c r="B395" s="20">
        <v>0.70833333333333337</v>
      </c>
      <c r="D395">
        <v>51.980000000000004</v>
      </c>
      <c r="E395" t="str">
        <f t="shared" si="46"/>
        <v>SATURDAY</v>
      </c>
      <c r="F395" t="e">
        <f t="shared" si="47"/>
        <v>#N/A</v>
      </c>
      <c r="G395" s="74">
        <v>27775</v>
      </c>
      <c r="H395" s="77">
        <v>0.70833333333333337</v>
      </c>
      <c r="J395">
        <v>39.019999999999996</v>
      </c>
      <c r="M395" s="74">
        <v>37637</v>
      </c>
      <c r="N395" s="77">
        <v>0.70833333333333337</v>
      </c>
      <c r="P395">
        <v>24.8</v>
      </c>
      <c r="S395" s="74">
        <v>36176</v>
      </c>
      <c r="T395" s="77">
        <v>0.70833333333333337</v>
      </c>
      <c r="V395">
        <v>39.92</v>
      </c>
      <c r="X395" s="42"/>
      <c r="AB395">
        <v>36.5</v>
      </c>
      <c r="AC395">
        <v>42.08</v>
      </c>
      <c r="AE395" s="74"/>
      <c r="AF395" s="77"/>
      <c r="AH395" s="497">
        <v>26.6</v>
      </c>
      <c r="AJ395" s="42"/>
      <c r="AK395" s="74"/>
      <c r="AL395" s="77"/>
      <c r="AN395" s="497">
        <v>24.08</v>
      </c>
      <c r="AP395" s="42"/>
      <c r="AQ395" s="74"/>
      <c r="AR395" s="77"/>
      <c r="AT395" s="497">
        <v>10.940000000000001</v>
      </c>
      <c r="AV395" s="42"/>
      <c r="AW395" s="74"/>
      <c r="AX395" s="77"/>
      <c r="BA395" s="497">
        <v>39.380000000000003</v>
      </c>
      <c r="BB395" s="42"/>
      <c r="BC395" s="74"/>
      <c r="BD395" s="77"/>
      <c r="BF395">
        <v>42.08</v>
      </c>
      <c r="BH395" s="42"/>
      <c r="BI395" s="74"/>
      <c r="BJ395" s="77"/>
      <c r="BL395" s="497">
        <v>36.68</v>
      </c>
      <c r="BN395" s="42"/>
      <c r="BO395" s="74"/>
      <c r="BP395" s="77"/>
      <c r="BR395" s="497">
        <v>19.939999999999998</v>
      </c>
      <c r="BT395" s="42"/>
    </row>
    <row r="396" spans="1:72" x14ac:dyDescent="0.25">
      <c r="A396" s="90">
        <v>36176</v>
      </c>
      <c r="B396" s="20">
        <v>0.75</v>
      </c>
      <c r="D396">
        <v>53.06</v>
      </c>
      <c r="E396" t="str">
        <f t="shared" si="46"/>
        <v>SATURDAY</v>
      </c>
      <c r="F396" t="e">
        <f t="shared" si="47"/>
        <v>#N/A</v>
      </c>
      <c r="G396" s="74">
        <v>27775</v>
      </c>
      <c r="H396" s="77">
        <v>0.75</v>
      </c>
      <c r="J396">
        <v>39.019999999999996</v>
      </c>
      <c r="M396" s="74">
        <v>37637</v>
      </c>
      <c r="N396" s="77">
        <v>0.75</v>
      </c>
      <c r="P396">
        <v>24.8</v>
      </c>
      <c r="S396" s="74">
        <v>36176</v>
      </c>
      <c r="T396" s="77">
        <v>0.75</v>
      </c>
      <c r="V396">
        <v>39.019999999999996</v>
      </c>
      <c r="X396" s="42"/>
      <c r="AB396">
        <v>35.299999999999997</v>
      </c>
      <c r="AC396">
        <v>39.019999999999996</v>
      </c>
      <c r="AE396" s="74"/>
      <c r="AF396" s="77"/>
      <c r="AH396" s="497">
        <v>26.6</v>
      </c>
      <c r="AJ396" s="42"/>
      <c r="AK396" s="74"/>
      <c r="AL396" s="77"/>
      <c r="AN396" s="497">
        <v>21.92</v>
      </c>
      <c r="AP396" s="42"/>
      <c r="AQ396" s="74"/>
      <c r="AR396" s="77"/>
      <c r="AT396" s="497">
        <v>10.039999999999999</v>
      </c>
      <c r="AV396" s="42"/>
      <c r="AW396" s="74"/>
      <c r="AX396" s="77"/>
      <c r="BA396" s="497">
        <v>37.58</v>
      </c>
      <c r="BB396" s="42"/>
      <c r="BC396" s="74"/>
      <c r="BD396" s="77"/>
      <c r="BF396">
        <v>39.92</v>
      </c>
      <c r="BH396" s="42"/>
      <c r="BI396" s="74"/>
      <c r="BJ396" s="77"/>
      <c r="BL396" s="497">
        <v>35.24</v>
      </c>
      <c r="BN396" s="42"/>
      <c r="BO396" s="74"/>
      <c r="BP396" s="77"/>
      <c r="BR396" s="497">
        <v>17.059999999999999</v>
      </c>
      <c r="BT396" s="42"/>
    </row>
    <row r="397" spans="1:72" x14ac:dyDescent="0.25">
      <c r="A397" s="90">
        <v>36176</v>
      </c>
      <c r="B397" s="20">
        <v>0.79166666666666663</v>
      </c>
      <c r="D397">
        <v>53.06</v>
      </c>
      <c r="E397" t="str">
        <f t="shared" si="46"/>
        <v>SATURDAY</v>
      </c>
      <c r="F397" t="e">
        <f t="shared" si="47"/>
        <v>#N/A</v>
      </c>
      <c r="G397" s="74">
        <v>27775</v>
      </c>
      <c r="H397" s="77">
        <v>0.79166666666666663</v>
      </c>
      <c r="J397">
        <v>39.019999999999996</v>
      </c>
      <c r="M397" s="74">
        <v>37637</v>
      </c>
      <c r="N397" s="77">
        <v>0.79166666666666663</v>
      </c>
      <c r="P397">
        <v>24.8</v>
      </c>
      <c r="S397" s="74">
        <v>36176</v>
      </c>
      <c r="T397" s="77">
        <v>0.79166666666666663</v>
      </c>
      <c r="V397">
        <v>37.94</v>
      </c>
      <c r="X397" s="42"/>
      <c r="AB397">
        <v>34.700000000000003</v>
      </c>
      <c r="AC397">
        <v>37.04</v>
      </c>
      <c r="AE397" s="74"/>
      <c r="AF397" s="77"/>
      <c r="AH397" s="497">
        <v>25.7</v>
      </c>
      <c r="AJ397" s="42"/>
      <c r="AK397" s="74"/>
      <c r="AL397" s="77"/>
      <c r="AN397" s="497">
        <v>21.02</v>
      </c>
      <c r="AP397" s="42"/>
      <c r="AQ397" s="74"/>
      <c r="AR397" s="77"/>
      <c r="AT397" s="497">
        <v>10.039999999999999</v>
      </c>
      <c r="AV397" s="42"/>
      <c r="AW397" s="74"/>
      <c r="AX397" s="77"/>
      <c r="BA397" s="497">
        <v>35.96</v>
      </c>
      <c r="BB397" s="42"/>
      <c r="BC397" s="74"/>
      <c r="BD397" s="77"/>
      <c r="BF397">
        <v>39.019999999999996</v>
      </c>
      <c r="BH397" s="42"/>
      <c r="BI397" s="74"/>
      <c r="BJ397" s="77"/>
      <c r="BL397" s="497">
        <v>33.979999999999997</v>
      </c>
      <c r="BN397" s="42"/>
      <c r="BO397" s="74"/>
      <c r="BP397" s="77"/>
      <c r="BR397" s="497">
        <v>10.940000000000001</v>
      </c>
      <c r="BT397" s="42"/>
    </row>
    <row r="398" spans="1:72" x14ac:dyDescent="0.25">
      <c r="A398" s="90">
        <v>36176</v>
      </c>
      <c r="B398" s="20">
        <v>0.83333333333333337</v>
      </c>
      <c r="D398">
        <v>51.980000000000004</v>
      </c>
      <c r="E398" t="str">
        <f t="shared" si="46"/>
        <v>SATURDAY</v>
      </c>
      <c r="F398" t="e">
        <f t="shared" si="47"/>
        <v>#N/A</v>
      </c>
      <c r="G398" s="74">
        <v>27775</v>
      </c>
      <c r="H398" s="77">
        <v>0.83333333333333337</v>
      </c>
      <c r="J398">
        <v>37.94</v>
      </c>
      <c r="M398" s="74">
        <v>37637</v>
      </c>
      <c r="N398" s="77">
        <v>0.83333333333333337</v>
      </c>
      <c r="P398">
        <v>24.8</v>
      </c>
      <c r="S398" s="74">
        <v>36176</v>
      </c>
      <c r="T398" s="77">
        <v>0.83333333333333337</v>
      </c>
      <c r="V398">
        <v>39.92</v>
      </c>
      <c r="X398" s="42"/>
      <c r="AB398">
        <v>34.299999999999997</v>
      </c>
      <c r="AC398">
        <v>33.979999999999997</v>
      </c>
      <c r="AE398" s="74"/>
      <c r="AF398" s="77"/>
      <c r="AH398" s="497">
        <v>24.8</v>
      </c>
      <c r="AJ398" s="42"/>
      <c r="AK398" s="74"/>
      <c r="AL398" s="77"/>
      <c r="AN398" s="497">
        <v>23</v>
      </c>
      <c r="AP398" s="42"/>
      <c r="AQ398" s="74"/>
      <c r="AR398" s="77"/>
      <c r="AT398" s="497">
        <v>8.9599999999999973</v>
      </c>
      <c r="AV398" s="42"/>
      <c r="AW398" s="74"/>
      <c r="AX398" s="77"/>
      <c r="BA398" s="497">
        <v>35.06</v>
      </c>
      <c r="BB398" s="42"/>
      <c r="BC398" s="74"/>
      <c r="BD398" s="77"/>
      <c r="BF398">
        <v>39.019999999999996</v>
      </c>
      <c r="BH398" s="42"/>
      <c r="BI398" s="74"/>
      <c r="BJ398" s="77"/>
      <c r="BL398" s="497">
        <v>34.700000000000003</v>
      </c>
      <c r="BN398" s="42"/>
      <c r="BO398" s="74"/>
      <c r="BP398" s="77"/>
      <c r="BR398" s="497">
        <v>6.0799999999999983</v>
      </c>
      <c r="BT398" s="42"/>
    </row>
    <row r="399" spans="1:72" x14ac:dyDescent="0.25">
      <c r="A399" s="90">
        <v>36176</v>
      </c>
      <c r="B399" s="20">
        <v>0.875</v>
      </c>
      <c r="D399">
        <v>50</v>
      </c>
      <c r="E399" t="str">
        <f t="shared" si="46"/>
        <v>SATURDAY</v>
      </c>
      <c r="F399" t="e">
        <f t="shared" si="47"/>
        <v>#N/A</v>
      </c>
      <c r="G399" s="74">
        <v>27775</v>
      </c>
      <c r="H399" s="77">
        <v>0.875</v>
      </c>
      <c r="J399">
        <v>37.94</v>
      </c>
      <c r="M399" s="74">
        <v>37637</v>
      </c>
      <c r="N399" s="77">
        <v>0.875</v>
      </c>
      <c r="P399">
        <v>24.8</v>
      </c>
      <c r="S399" s="74">
        <v>36176</v>
      </c>
      <c r="T399" s="77">
        <v>0.875</v>
      </c>
      <c r="V399">
        <v>39.019999999999996</v>
      </c>
      <c r="X399" s="42"/>
      <c r="AB399">
        <v>33.799999999999997</v>
      </c>
      <c r="AC399">
        <v>30.92</v>
      </c>
      <c r="AE399" s="74"/>
      <c r="AF399" s="77"/>
      <c r="AH399" s="497">
        <v>23.9</v>
      </c>
      <c r="AJ399" s="42"/>
      <c r="AK399" s="74"/>
      <c r="AL399" s="77"/>
      <c r="AN399" s="497">
        <v>21.92</v>
      </c>
      <c r="AP399" s="42"/>
      <c r="AQ399" s="74"/>
      <c r="AR399" s="77"/>
      <c r="AT399" s="497">
        <v>10.940000000000001</v>
      </c>
      <c r="AV399" s="42"/>
      <c r="AW399" s="74"/>
      <c r="AX399" s="77"/>
      <c r="BA399" s="497">
        <v>33.979999999999997</v>
      </c>
      <c r="BB399" s="42"/>
      <c r="BC399" s="74"/>
      <c r="BD399" s="77"/>
      <c r="BF399">
        <v>39.019999999999996</v>
      </c>
      <c r="BH399" s="42"/>
      <c r="BI399" s="74"/>
      <c r="BJ399" s="77"/>
      <c r="BL399" s="497">
        <v>35.24</v>
      </c>
      <c r="BN399" s="42"/>
      <c r="BO399" s="74"/>
      <c r="BP399" s="77"/>
      <c r="BR399" s="497">
        <v>3.9200000000000017</v>
      </c>
      <c r="BT399" s="42"/>
    </row>
    <row r="400" spans="1:72" x14ac:dyDescent="0.25">
      <c r="A400" s="90">
        <v>36176</v>
      </c>
      <c r="B400" s="20">
        <v>0.91666666666666663</v>
      </c>
      <c r="D400">
        <v>51.08</v>
      </c>
      <c r="E400" t="str">
        <f t="shared" si="46"/>
        <v>SATURDAY</v>
      </c>
      <c r="F400" t="e">
        <f t="shared" si="47"/>
        <v>#N/A</v>
      </c>
      <c r="G400" s="74">
        <v>27775</v>
      </c>
      <c r="H400" s="77">
        <v>0.91666666666666663</v>
      </c>
      <c r="J400">
        <v>37.94</v>
      </c>
      <c r="M400" s="74">
        <v>37637</v>
      </c>
      <c r="N400" s="77">
        <v>0.91666666666666663</v>
      </c>
      <c r="P400">
        <v>24.8</v>
      </c>
      <c r="S400" s="74">
        <v>36176</v>
      </c>
      <c r="T400" s="77">
        <v>0.91666666666666663</v>
      </c>
      <c r="V400">
        <v>39.019999999999996</v>
      </c>
      <c r="X400" s="42"/>
      <c r="AB400">
        <v>33.200000000000003</v>
      </c>
      <c r="AC400">
        <v>28.94</v>
      </c>
      <c r="AE400" s="74"/>
      <c r="AF400" s="77"/>
      <c r="AH400" s="497">
        <v>23.18</v>
      </c>
      <c r="AJ400" s="42"/>
      <c r="AK400" s="74"/>
      <c r="AL400" s="77"/>
      <c r="AN400" s="497">
        <v>23</v>
      </c>
      <c r="AP400" s="42"/>
      <c r="AQ400" s="74"/>
      <c r="AR400" s="77"/>
      <c r="AT400" s="497">
        <v>10.039999999999999</v>
      </c>
      <c r="AV400" s="42"/>
      <c r="AW400" s="74"/>
      <c r="AX400" s="77"/>
      <c r="BA400" s="497">
        <v>33.08</v>
      </c>
      <c r="BB400" s="42"/>
      <c r="BC400" s="74"/>
      <c r="BD400" s="77"/>
      <c r="BF400">
        <v>37.04</v>
      </c>
      <c r="BH400" s="42"/>
      <c r="BI400" s="74"/>
      <c r="BJ400" s="77"/>
      <c r="BL400" s="497">
        <v>35.96</v>
      </c>
      <c r="BN400" s="42"/>
      <c r="BO400" s="74"/>
      <c r="BP400" s="77"/>
      <c r="BR400" s="497">
        <v>3.9200000000000017</v>
      </c>
      <c r="BT400" s="42"/>
    </row>
    <row r="401" spans="1:72" x14ac:dyDescent="0.25">
      <c r="A401" s="90">
        <v>36176</v>
      </c>
      <c r="B401" s="20">
        <v>0.95833333333333337</v>
      </c>
      <c r="D401">
        <v>50</v>
      </c>
      <c r="E401" t="str">
        <f t="shared" si="46"/>
        <v>SATURDAY</v>
      </c>
      <c r="F401" t="e">
        <f t="shared" si="47"/>
        <v>#N/A</v>
      </c>
      <c r="G401" s="74">
        <v>27775</v>
      </c>
      <c r="H401" s="77">
        <v>0.95833333333333337</v>
      </c>
      <c r="J401">
        <v>37.94</v>
      </c>
      <c r="M401" s="74">
        <v>37637</v>
      </c>
      <c r="N401" s="77">
        <v>0.95833333333333337</v>
      </c>
      <c r="P401">
        <v>23</v>
      </c>
      <c r="S401" s="74">
        <v>36176</v>
      </c>
      <c r="T401" s="77">
        <v>0.95833333333333337</v>
      </c>
      <c r="V401">
        <v>41</v>
      </c>
      <c r="X401" s="42"/>
      <c r="AB401">
        <v>32.799999999999997</v>
      </c>
      <c r="AC401">
        <v>26.060000000000002</v>
      </c>
      <c r="AE401" s="74"/>
      <c r="AF401" s="77"/>
      <c r="AH401" s="497">
        <v>22.82</v>
      </c>
      <c r="AJ401" s="42"/>
      <c r="AK401" s="74"/>
      <c r="AL401" s="77"/>
      <c r="AN401" s="497">
        <v>24.08</v>
      </c>
      <c r="AP401" s="42"/>
      <c r="AQ401" s="74"/>
      <c r="AR401" s="77"/>
      <c r="AT401" s="497">
        <v>10.940000000000001</v>
      </c>
      <c r="AV401" s="42"/>
      <c r="AW401" s="74"/>
      <c r="AX401" s="77"/>
      <c r="BA401" s="497">
        <v>33.799999999999997</v>
      </c>
      <c r="BB401" s="42"/>
      <c r="BC401" s="74"/>
      <c r="BD401" s="77"/>
      <c r="BF401">
        <v>37.04</v>
      </c>
      <c r="BH401" s="42"/>
      <c r="BI401" s="74"/>
      <c r="BJ401" s="77"/>
      <c r="BL401" s="497">
        <v>36.32</v>
      </c>
      <c r="BN401" s="42"/>
      <c r="BO401" s="74"/>
      <c r="BP401" s="77"/>
      <c r="BR401" s="497">
        <v>1.0399999999999991</v>
      </c>
      <c r="BT401" s="42"/>
    </row>
    <row r="402" spans="1:72" x14ac:dyDescent="0.25">
      <c r="A402" s="90">
        <v>36176</v>
      </c>
      <c r="B402" s="20">
        <v>1</v>
      </c>
      <c r="D402">
        <v>50</v>
      </c>
      <c r="E402" t="str">
        <f t="shared" si="46"/>
        <v>SATURDAY</v>
      </c>
      <c r="F402" t="e">
        <f t="shared" si="47"/>
        <v>#N/A</v>
      </c>
      <c r="G402" s="74">
        <v>27775</v>
      </c>
      <c r="H402" s="77">
        <v>1</v>
      </c>
      <c r="J402">
        <v>37.04</v>
      </c>
      <c r="M402" s="74">
        <v>37637</v>
      </c>
      <c r="N402" s="80">
        <v>1</v>
      </c>
      <c r="P402">
        <v>21.2</v>
      </c>
      <c r="S402" s="74">
        <v>36176</v>
      </c>
      <c r="T402" s="80">
        <v>1</v>
      </c>
      <c r="V402">
        <v>39.019999999999996</v>
      </c>
      <c r="X402" s="42"/>
      <c r="AB402">
        <v>32.4</v>
      </c>
      <c r="AC402">
        <v>23</v>
      </c>
      <c r="AE402" s="74"/>
      <c r="AF402" s="80"/>
      <c r="AH402" s="497">
        <v>22.28</v>
      </c>
      <c r="AJ402" s="42"/>
      <c r="AK402" s="74"/>
      <c r="AL402" s="80"/>
      <c r="AN402" s="497">
        <v>24.08</v>
      </c>
      <c r="AP402" s="42"/>
      <c r="AQ402" s="74"/>
      <c r="AR402" s="80"/>
      <c r="AT402" s="497">
        <v>10.940000000000001</v>
      </c>
      <c r="AV402" s="42"/>
      <c r="AW402" s="74"/>
      <c r="AX402" s="80"/>
      <c r="BA402" s="497">
        <v>34.340000000000003</v>
      </c>
      <c r="BB402" s="42"/>
      <c r="BC402" s="74"/>
      <c r="BD402" s="80"/>
      <c r="BF402">
        <v>35.96</v>
      </c>
      <c r="BH402" s="42"/>
      <c r="BI402" s="74"/>
      <c r="BJ402" s="80"/>
      <c r="BL402" s="497">
        <v>36.68</v>
      </c>
      <c r="BN402" s="42"/>
      <c r="BO402" s="74"/>
      <c r="BP402" s="80"/>
      <c r="BR402" s="497">
        <v>3.019999999999996</v>
      </c>
      <c r="BT402" s="42"/>
    </row>
    <row r="403" spans="1:72" x14ac:dyDescent="0.25">
      <c r="A403" s="90">
        <v>36177</v>
      </c>
      <c r="B403" s="20">
        <v>4.1666666666666664E-2</v>
      </c>
      <c r="D403">
        <v>48.92</v>
      </c>
      <c r="E403" t="str">
        <f t="shared" ref="E403:E466" si="48">IF(COUNTIF($DI$18:$DI$22, WEEKDAY(A403))=1, "WEEKDAY", IF(WEEKDAY(A403) = 1, "SUNDAY", "SATURDAY"))</f>
        <v>SUNDAY</v>
      </c>
      <c r="F403" t="e">
        <f t="shared" si="47"/>
        <v>#N/A</v>
      </c>
      <c r="G403" s="74">
        <v>27776</v>
      </c>
      <c r="H403" s="77">
        <v>4.1666666666666664E-2</v>
      </c>
      <c r="J403">
        <v>37.04</v>
      </c>
      <c r="M403" s="74">
        <v>37638</v>
      </c>
      <c r="N403" s="77">
        <v>4.1666666666666664E-2</v>
      </c>
      <c r="P403">
        <v>21.2</v>
      </c>
      <c r="S403" s="74">
        <v>36177</v>
      </c>
      <c r="T403" s="77">
        <v>4.1666666666666664E-2</v>
      </c>
      <c r="V403">
        <v>39.019999999999996</v>
      </c>
      <c r="X403" s="42"/>
      <c r="AB403">
        <v>31.8</v>
      </c>
      <c r="AC403">
        <v>21.02</v>
      </c>
      <c r="AE403" s="74"/>
      <c r="AF403" s="77"/>
      <c r="AH403" s="497">
        <v>21.560000000000002</v>
      </c>
      <c r="AJ403" s="42"/>
      <c r="AK403" s="74"/>
      <c r="AL403" s="77"/>
      <c r="AN403" s="497">
        <v>24.98</v>
      </c>
      <c r="AP403" s="42"/>
      <c r="AQ403" s="74"/>
      <c r="AR403" s="77"/>
      <c r="AT403" s="497">
        <v>10.940000000000001</v>
      </c>
      <c r="AV403" s="42"/>
      <c r="AW403" s="74"/>
      <c r="AX403" s="77"/>
      <c r="BA403" s="497">
        <v>35.06</v>
      </c>
      <c r="BB403" s="42"/>
      <c r="BC403" s="74"/>
      <c r="BD403" s="77"/>
      <c r="BF403">
        <v>39.019999999999996</v>
      </c>
      <c r="BH403" s="42"/>
      <c r="BI403" s="74"/>
      <c r="BJ403" s="77"/>
      <c r="BL403" s="497">
        <v>37.04</v>
      </c>
      <c r="BN403" s="42"/>
      <c r="BO403" s="74"/>
      <c r="BP403" s="77"/>
      <c r="BR403" s="497">
        <v>1.9400000000000013</v>
      </c>
      <c r="BT403" s="42"/>
    </row>
    <row r="404" spans="1:72" x14ac:dyDescent="0.25">
      <c r="A404" s="90">
        <v>36177</v>
      </c>
      <c r="B404" s="20">
        <v>8.3333333333333329E-2</v>
      </c>
      <c r="D404">
        <v>46.94</v>
      </c>
      <c r="E404" t="str">
        <f t="shared" si="48"/>
        <v>SUNDAY</v>
      </c>
      <c r="F404" t="e">
        <f t="shared" si="47"/>
        <v>#N/A</v>
      </c>
      <c r="G404" s="74">
        <v>27776</v>
      </c>
      <c r="H404" s="77">
        <v>8.3333333333333329E-2</v>
      </c>
      <c r="J404">
        <v>37.04</v>
      </c>
      <c r="M404" s="74">
        <v>37638</v>
      </c>
      <c r="N404" s="77">
        <v>8.3333333333333329E-2</v>
      </c>
      <c r="P404">
        <v>21.2</v>
      </c>
      <c r="S404" s="74">
        <v>36177</v>
      </c>
      <c r="T404" s="77">
        <v>8.3333333333333329E-2</v>
      </c>
      <c r="V404">
        <v>37.04</v>
      </c>
      <c r="X404" s="42"/>
      <c r="AB404">
        <v>31.3</v>
      </c>
      <c r="AC404">
        <v>19.04</v>
      </c>
      <c r="AE404" s="74"/>
      <c r="AF404" s="77"/>
      <c r="AH404" s="497">
        <v>21.2</v>
      </c>
      <c r="AJ404" s="42"/>
      <c r="AK404" s="74"/>
      <c r="AL404" s="77"/>
      <c r="AN404" s="497">
        <v>24.08</v>
      </c>
      <c r="AP404" s="42"/>
      <c r="AQ404" s="74"/>
      <c r="AR404" s="77"/>
      <c r="AT404" s="497">
        <v>10.940000000000001</v>
      </c>
      <c r="AV404" s="42"/>
      <c r="AW404" s="74"/>
      <c r="AX404" s="77"/>
      <c r="BA404" s="497">
        <v>34.700000000000003</v>
      </c>
      <c r="BB404" s="42"/>
      <c r="BC404" s="74"/>
      <c r="BD404" s="77"/>
      <c r="BF404">
        <v>42.08</v>
      </c>
      <c r="BH404" s="42"/>
      <c r="BI404" s="74"/>
      <c r="BJ404" s="77"/>
      <c r="BL404" s="497">
        <v>37.76</v>
      </c>
      <c r="BN404" s="42"/>
      <c r="BO404" s="74"/>
      <c r="BP404" s="77"/>
      <c r="BR404" s="497">
        <v>3.019999999999996</v>
      </c>
      <c r="BT404" s="42"/>
    </row>
    <row r="405" spans="1:72" x14ac:dyDescent="0.25">
      <c r="A405" s="90">
        <v>36177</v>
      </c>
      <c r="B405" s="20">
        <v>0.125</v>
      </c>
      <c r="D405">
        <v>46.94</v>
      </c>
      <c r="E405" t="str">
        <f t="shared" si="48"/>
        <v>SUNDAY</v>
      </c>
      <c r="F405" t="e">
        <f t="shared" si="47"/>
        <v>#N/A</v>
      </c>
      <c r="G405" s="74">
        <v>27776</v>
      </c>
      <c r="H405" s="77">
        <v>0.125</v>
      </c>
      <c r="J405">
        <v>35.06</v>
      </c>
      <c r="M405" s="74">
        <v>37638</v>
      </c>
      <c r="N405" s="77">
        <v>0.125</v>
      </c>
      <c r="P405">
        <v>21.2</v>
      </c>
      <c r="S405" s="74">
        <v>36177</v>
      </c>
      <c r="T405" s="77">
        <v>0.125</v>
      </c>
      <c r="V405">
        <v>37.94</v>
      </c>
      <c r="X405" s="42"/>
      <c r="AB405">
        <v>31</v>
      </c>
      <c r="AC405">
        <v>17.059999999999999</v>
      </c>
      <c r="AE405" s="74"/>
      <c r="AF405" s="77"/>
      <c r="AH405" s="497">
        <v>21.2</v>
      </c>
      <c r="AJ405" s="42"/>
      <c r="AK405" s="74"/>
      <c r="AL405" s="77"/>
      <c r="AN405" s="497">
        <v>26.060000000000002</v>
      </c>
      <c r="AP405" s="42"/>
      <c r="AQ405" s="74"/>
      <c r="AR405" s="77"/>
      <c r="AT405" s="497">
        <v>10.940000000000001</v>
      </c>
      <c r="AV405" s="42"/>
      <c r="AW405" s="74"/>
      <c r="AX405" s="77"/>
      <c r="BA405" s="497">
        <v>34.340000000000003</v>
      </c>
      <c r="BB405" s="42"/>
      <c r="BC405" s="74"/>
      <c r="BD405" s="77"/>
      <c r="BF405">
        <v>42.08</v>
      </c>
      <c r="BH405" s="42"/>
      <c r="BI405" s="74"/>
      <c r="BJ405" s="77"/>
      <c r="BL405" s="497">
        <v>38.299999999999997</v>
      </c>
      <c r="BN405" s="42"/>
      <c r="BO405" s="74"/>
      <c r="BP405" s="77"/>
      <c r="BR405" s="497">
        <v>8.0599999999999987</v>
      </c>
      <c r="BT405" s="42"/>
    </row>
    <row r="406" spans="1:72" x14ac:dyDescent="0.25">
      <c r="A406" s="90">
        <v>36177</v>
      </c>
      <c r="B406" s="20">
        <v>0.16666666666666666</v>
      </c>
      <c r="D406">
        <v>48.019999999999996</v>
      </c>
      <c r="E406" t="str">
        <f t="shared" si="48"/>
        <v>SUNDAY</v>
      </c>
      <c r="F406" t="e">
        <f t="shared" si="47"/>
        <v>#N/A</v>
      </c>
      <c r="G406" s="74">
        <v>27776</v>
      </c>
      <c r="H406" s="77">
        <v>0.16666666666666666</v>
      </c>
      <c r="J406">
        <v>33.08</v>
      </c>
      <c r="M406" s="74">
        <v>37638</v>
      </c>
      <c r="N406" s="77">
        <v>0.16666666666666666</v>
      </c>
      <c r="P406">
        <v>19.399999999999999</v>
      </c>
      <c r="S406" s="74">
        <v>36177</v>
      </c>
      <c r="T406" s="77">
        <v>0.16666666666666666</v>
      </c>
      <c r="V406">
        <v>39.019999999999996</v>
      </c>
      <c r="X406" s="42"/>
      <c r="AB406">
        <v>30.8</v>
      </c>
      <c r="AC406">
        <v>15.98</v>
      </c>
      <c r="AE406" s="74"/>
      <c r="AF406" s="77"/>
      <c r="AH406" s="497">
        <v>21.2</v>
      </c>
      <c r="AJ406" s="42"/>
      <c r="AK406" s="74"/>
      <c r="AL406" s="77"/>
      <c r="AN406" s="497">
        <v>24.98</v>
      </c>
      <c r="AP406" s="42"/>
      <c r="AQ406" s="74"/>
      <c r="AR406" s="77"/>
      <c r="AT406" s="497">
        <v>10.940000000000001</v>
      </c>
      <c r="AV406" s="42"/>
      <c r="AW406" s="74"/>
      <c r="AX406" s="77"/>
      <c r="BA406" s="497">
        <v>33.979999999999997</v>
      </c>
      <c r="BB406" s="42"/>
      <c r="BC406" s="74"/>
      <c r="BD406" s="77"/>
      <c r="BF406">
        <v>44.96</v>
      </c>
      <c r="BH406" s="42"/>
      <c r="BI406" s="74"/>
      <c r="BJ406" s="77"/>
      <c r="BL406" s="497">
        <v>39.019999999999996</v>
      </c>
      <c r="BN406" s="42"/>
      <c r="BO406" s="74"/>
      <c r="BP406" s="77"/>
      <c r="BR406" s="497">
        <v>10.039999999999999</v>
      </c>
      <c r="BT406" s="42"/>
    </row>
    <row r="407" spans="1:72" x14ac:dyDescent="0.25">
      <c r="A407" s="90">
        <v>36177</v>
      </c>
      <c r="B407" s="20">
        <v>0.20833333333333334</v>
      </c>
      <c r="D407">
        <v>46.94</v>
      </c>
      <c r="E407" t="str">
        <f t="shared" si="48"/>
        <v>SUNDAY</v>
      </c>
      <c r="F407" t="e">
        <f t="shared" si="47"/>
        <v>#N/A</v>
      </c>
      <c r="G407" s="74">
        <v>27776</v>
      </c>
      <c r="H407" s="77">
        <v>0.20833333333333334</v>
      </c>
      <c r="J407">
        <v>30.92</v>
      </c>
      <c r="M407" s="74">
        <v>37638</v>
      </c>
      <c r="N407" s="77">
        <v>0.20833333333333334</v>
      </c>
      <c r="P407">
        <v>19.399999999999999</v>
      </c>
      <c r="S407" s="74">
        <v>36177</v>
      </c>
      <c r="T407" s="77">
        <v>0.20833333333333334</v>
      </c>
      <c r="V407">
        <v>33.979999999999997</v>
      </c>
      <c r="X407" s="42"/>
      <c r="AB407">
        <v>30.4</v>
      </c>
      <c r="AC407">
        <v>12.920000000000002</v>
      </c>
      <c r="AE407" s="74"/>
      <c r="AF407" s="77"/>
      <c r="AH407" s="497">
        <v>20.84</v>
      </c>
      <c r="AJ407" s="42"/>
      <c r="AK407" s="74"/>
      <c r="AL407" s="77"/>
      <c r="AN407" s="497">
        <v>26.96</v>
      </c>
      <c r="AP407" s="42"/>
      <c r="AQ407" s="74"/>
      <c r="AR407" s="77"/>
      <c r="AT407" s="497">
        <v>10.940000000000001</v>
      </c>
      <c r="AV407" s="42"/>
      <c r="AW407" s="74"/>
      <c r="AX407" s="77"/>
      <c r="BA407" s="497">
        <v>32.72</v>
      </c>
      <c r="BB407" s="42"/>
      <c r="BC407" s="74"/>
      <c r="BD407" s="77"/>
      <c r="BF407">
        <v>46.04</v>
      </c>
      <c r="BH407" s="42"/>
      <c r="BI407" s="74"/>
      <c r="BJ407" s="77"/>
      <c r="BL407" s="497">
        <v>38.659999999999997</v>
      </c>
      <c r="BN407" s="42"/>
      <c r="BO407" s="74"/>
      <c r="BP407" s="77"/>
      <c r="BR407" s="497">
        <v>10.940000000000001</v>
      </c>
      <c r="BT407" s="42"/>
    </row>
    <row r="408" spans="1:72" x14ac:dyDescent="0.25">
      <c r="A408" s="90">
        <v>36177</v>
      </c>
      <c r="B408" s="20">
        <v>0.25</v>
      </c>
      <c r="D408">
        <v>46.94</v>
      </c>
      <c r="E408" t="str">
        <f t="shared" si="48"/>
        <v>SUNDAY</v>
      </c>
      <c r="F408" t="e">
        <f t="shared" si="47"/>
        <v>#N/A</v>
      </c>
      <c r="G408" s="74">
        <v>27776</v>
      </c>
      <c r="H408" s="77">
        <v>0.25</v>
      </c>
      <c r="J408">
        <v>28.94</v>
      </c>
      <c r="M408" s="74">
        <v>37638</v>
      </c>
      <c r="N408" s="77">
        <v>0.25</v>
      </c>
      <c r="P408">
        <v>19.399999999999999</v>
      </c>
      <c r="S408" s="74">
        <v>36177</v>
      </c>
      <c r="T408" s="77">
        <v>0.25</v>
      </c>
      <c r="V408">
        <v>32</v>
      </c>
      <c r="X408" s="42"/>
      <c r="AB408">
        <v>30.2</v>
      </c>
      <c r="AC408">
        <v>12.920000000000002</v>
      </c>
      <c r="AE408" s="74"/>
      <c r="AF408" s="77"/>
      <c r="AH408" s="497">
        <v>20.84</v>
      </c>
      <c r="AJ408" s="42"/>
      <c r="AK408" s="74"/>
      <c r="AL408" s="77"/>
      <c r="AN408" s="497">
        <v>26.060000000000002</v>
      </c>
      <c r="AP408" s="42"/>
      <c r="AQ408" s="74"/>
      <c r="AR408" s="77"/>
      <c r="AT408" s="497">
        <v>10.940000000000001</v>
      </c>
      <c r="AV408" s="42"/>
      <c r="AW408" s="74"/>
      <c r="AX408" s="77"/>
      <c r="BA408" s="497">
        <v>31.28</v>
      </c>
      <c r="BB408" s="42"/>
      <c r="BC408" s="74"/>
      <c r="BD408" s="77"/>
      <c r="BF408">
        <v>44.96</v>
      </c>
      <c r="BH408" s="42"/>
      <c r="BI408" s="74"/>
      <c r="BJ408" s="77"/>
      <c r="BL408" s="497">
        <v>38.299999999999997</v>
      </c>
      <c r="BN408" s="42"/>
      <c r="BO408" s="74"/>
      <c r="BP408" s="77"/>
      <c r="BR408" s="497">
        <v>10.940000000000001</v>
      </c>
      <c r="BT408" s="42"/>
    </row>
    <row r="409" spans="1:72" x14ac:dyDescent="0.25">
      <c r="A409" s="90">
        <v>36177</v>
      </c>
      <c r="B409" s="20">
        <v>0.29166666666666669</v>
      </c>
      <c r="D409">
        <v>46.94</v>
      </c>
      <c r="E409" t="str">
        <f t="shared" si="48"/>
        <v>SUNDAY</v>
      </c>
      <c r="F409" t="e">
        <f t="shared" si="47"/>
        <v>#N/A</v>
      </c>
      <c r="G409" s="74">
        <v>27776</v>
      </c>
      <c r="H409" s="77">
        <v>0.29166666666666669</v>
      </c>
      <c r="J409">
        <v>26.96</v>
      </c>
      <c r="M409" s="74">
        <v>37638</v>
      </c>
      <c r="N409" s="77">
        <v>0.29166666666666669</v>
      </c>
      <c r="P409">
        <v>17.600000000000001</v>
      </c>
      <c r="S409" s="74">
        <v>36177</v>
      </c>
      <c r="T409" s="77">
        <v>0.29166666666666669</v>
      </c>
      <c r="V409">
        <v>35.96</v>
      </c>
      <c r="X409" s="42"/>
      <c r="AB409">
        <v>30.1</v>
      </c>
      <c r="AC409">
        <v>10.940000000000001</v>
      </c>
      <c r="AE409" s="74"/>
      <c r="AF409" s="77"/>
      <c r="AH409" s="497">
        <v>20.66</v>
      </c>
      <c r="AJ409" s="42"/>
      <c r="AK409" s="74"/>
      <c r="AL409" s="77"/>
      <c r="AN409" s="497">
        <v>26.060000000000002</v>
      </c>
      <c r="AP409" s="42"/>
      <c r="AQ409" s="74"/>
      <c r="AR409" s="77"/>
      <c r="AT409" s="497">
        <v>10.940000000000001</v>
      </c>
      <c r="AV409" s="42"/>
      <c r="AW409" s="74"/>
      <c r="AX409" s="77"/>
      <c r="BA409" s="497">
        <v>30.02</v>
      </c>
      <c r="BB409" s="42"/>
      <c r="BC409" s="74"/>
      <c r="BD409" s="77"/>
      <c r="BF409">
        <v>44.96</v>
      </c>
      <c r="BH409" s="42"/>
      <c r="BI409" s="74"/>
      <c r="BJ409" s="77"/>
      <c r="BL409" s="497">
        <v>37.94</v>
      </c>
      <c r="BN409" s="42"/>
      <c r="BO409" s="74"/>
      <c r="BP409" s="77"/>
      <c r="BR409" s="497">
        <v>12.920000000000002</v>
      </c>
      <c r="BT409" s="42"/>
    </row>
    <row r="410" spans="1:72" x14ac:dyDescent="0.25">
      <c r="A410" s="90">
        <v>36177</v>
      </c>
      <c r="B410" s="20">
        <v>0.33333333333333331</v>
      </c>
      <c r="D410">
        <v>46.04</v>
      </c>
      <c r="E410" t="str">
        <f t="shared" si="48"/>
        <v>SUNDAY</v>
      </c>
      <c r="F410" t="e">
        <f t="shared" si="47"/>
        <v>#N/A</v>
      </c>
      <c r="G410" s="74">
        <v>27776</v>
      </c>
      <c r="H410" s="77">
        <v>0.33333333333333331</v>
      </c>
      <c r="J410">
        <v>24.98</v>
      </c>
      <c r="M410" s="74">
        <v>37638</v>
      </c>
      <c r="N410" s="77">
        <v>0.33333333333333331</v>
      </c>
      <c r="P410">
        <v>17.600000000000001</v>
      </c>
      <c r="S410" s="74">
        <v>36177</v>
      </c>
      <c r="T410" s="77">
        <v>0.33333333333333331</v>
      </c>
      <c r="V410">
        <v>37.94</v>
      </c>
      <c r="X410" s="42"/>
      <c r="AB410">
        <v>30.1</v>
      </c>
      <c r="AC410">
        <v>10.039999999999999</v>
      </c>
      <c r="AE410" s="74"/>
      <c r="AF410" s="77"/>
      <c r="AH410" s="497">
        <v>21.2</v>
      </c>
      <c r="AJ410" s="42"/>
      <c r="AK410" s="74"/>
      <c r="AL410" s="77"/>
      <c r="AN410" s="497">
        <v>26.96</v>
      </c>
      <c r="AP410" s="42"/>
      <c r="AQ410" s="74"/>
      <c r="AR410" s="77"/>
      <c r="AT410" s="497">
        <v>12.02</v>
      </c>
      <c r="AV410" s="42"/>
      <c r="AW410" s="74"/>
      <c r="AX410" s="77"/>
      <c r="BA410" s="497">
        <v>32.36</v>
      </c>
      <c r="BB410" s="42"/>
      <c r="BC410" s="74"/>
      <c r="BD410" s="77"/>
      <c r="BF410">
        <v>44.06</v>
      </c>
      <c r="BH410" s="42"/>
      <c r="BI410" s="74"/>
      <c r="BJ410" s="77"/>
      <c r="BL410" s="497">
        <v>39.019999999999996</v>
      </c>
      <c r="BN410" s="42"/>
      <c r="BO410" s="74"/>
      <c r="BP410" s="77"/>
      <c r="BR410" s="497">
        <v>15.98</v>
      </c>
      <c r="BT410" s="42"/>
    </row>
    <row r="411" spans="1:72" x14ac:dyDescent="0.25">
      <c r="A411" s="90">
        <v>36177</v>
      </c>
      <c r="B411" s="20">
        <v>0.375</v>
      </c>
      <c r="D411">
        <v>46.04</v>
      </c>
      <c r="E411" t="str">
        <f t="shared" si="48"/>
        <v>SUNDAY</v>
      </c>
      <c r="F411" t="e">
        <f t="shared" si="47"/>
        <v>#N/A</v>
      </c>
      <c r="G411" s="74">
        <v>27776</v>
      </c>
      <c r="H411" s="77">
        <v>0.375</v>
      </c>
      <c r="J411">
        <v>24.08</v>
      </c>
      <c r="M411" s="74">
        <v>37638</v>
      </c>
      <c r="N411" s="77">
        <v>0.375</v>
      </c>
      <c r="P411">
        <v>19.399999999999999</v>
      </c>
      <c r="S411" s="74">
        <v>36177</v>
      </c>
      <c r="T411" s="77">
        <v>0.375</v>
      </c>
      <c r="V411">
        <v>41</v>
      </c>
      <c r="X411" s="42"/>
      <c r="AB411">
        <v>30.4</v>
      </c>
      <c r="AC411">
        <v>8.9599999999999973</v>
      </c>
      <c r="AE411" s="74"/>
      <c r="AF411" s="77"/>
      <c r="AH411" s="497">
        <v>21.2</v>
      </c>
      <c r="AJ411" s="42"/>
      <c r="AK411" s="74"/>
      <c r="AL411" s="77"/>
      <c r="AN411" s="497">
        <v>30.02</v>
      </c>
      <c r="AP411" s="42"/>
      <c r="AQ411" s="74"/>
      <c r="AR411" s="77"/>
      <c r="AT411" s="497">
        <v>12.02</v>
      </c>
      <c r="AV411" s="42"/>
      <c r="AW411" s="74"/>
      <c r="AX411" s="77"/>
      <c r="BA411" s="497">
        <v>34.700000000000003</v>
      </c>
      <c r="BB411" s="42"/>
      <c r="BC411" s="74"/>
      <c r="BD411" s="77"/>
      <c r="BF411">
        <v>44.96</v>
      </c>
      <c r="BH411" s="42"/>
      <c r="BI411" s="74"/>
      <c r="BJ411" s="77"/>
      <c r="BL411" s="497">
        <v>39.92</v>
      </c>
      <c r="BN411" s="42"/>
      <c r="BO411" s="74"/>
      <c r="BP411" s="77"/>
      <c r="BR411" s="497">
        <v>17.96</v>
      </c>
      <c r="BT411" s="42"/>
    </row>
    <row r="412" spans="1:72" x14ac:dyDescent="0.25">
      <c r="A412" s="90">
        <v>36177</v>
      </c>
      <c r="B412" s="20">
        <v>0.41666666666666669</v>
      </c>
      <c r="D412">
        <v>46.94</v>
      </c>
      <c r="E412" t="str">
        <f t="shared" si="48"/>
        <v>SUNDAY</v>
      </c>
      <c r="F412" t="e">
        <f t="shared" si="47"/>
        <v>#N/A</v>
      </c>
      <c r="G412" s="74">
        <v>27776</v>
      </c>
      <c r="H412" s="77">
        <v>0.41666666666666669</v>
      </c>
      <c r="J412">
        <v>23</v>
      </c>
      <c r="M412" s="74">
        <v>37638</v>
      </c>
      <c r="N412" s="77">
        <v>0.41666666666666669</v>
      </c>
      <c r="P412">
        <v>21.2</v>
      </c>
      <c r="S412" s="74">
        <v>36177</v>
      </c>
      <c r="T412" s="77">
        <v>0.41666666666666669</v>
      </c>
      <c r="V412">
        <v>42.980000000000004</v>
      </c>
      <c r="X412" s="42"/>
      <c r="AB412">
        <v>31.8</v>
      </c>
      <c r="AC412">
        <v>8.9599999999999973</v>
      </c>
      <c r="AE412" s="74"/>
      <c r="AF412" s="77"/>
      <c r="AH412" s="497">
        <v>23</v>
      </c>
      <c r="AJ412" s="42"/>
      <c r="AK412" s="74"/>
      <c r="AL412" s="77"/>
      <c r="AN412" s="497">
        <v>33.08</v>
      </c>
      <c r="AP412" s="42"/>
      <c r="AQ412" s="74"/>
      <c r="AR412" s="77"/>
      <c r="AT412" s="497">
        <v>12.02</v>
      </c>
      <c r="AV412" s="42"/>
      <c r="AW412" s="74"/>
      <c r="AX412" s="77"/>
      <c r="BA412" s="497">
        <v>37.04</v>
      </c>
      <c r="BB412" s="42"/>
      <c r="BC412" s="74"/>
      <c r="BD412" s="77"/>
      <c r="BF412">
        <v>46.94</v>
      </c>
      <c r="BH412" s="42"/>
      <c r="BI412" s="74"/>
      <c r="BJ412" s="77"/>
      <c r="BL412" s="497">
        <v>41</v>
      </c>
      <c r="BN412" s="42"/>
      <c r="BO412" s="74"/>
      <c r="BP412" s="77"/>
      <c r="BR412" s="497">
        <v>19.939999999999998</v>
      </c>
      <c r="BT412" s="42"/>
    </row>
    <row r="413" spans="1:72" x14ac:dyDescent="0.25">
      <c r="A413" s="90">
        <v>36177</v>
      </c>
      <c r="B413" s="20">
        <v>0.45833333333333331</v>
      </c>
      <c r="D413">
        <v>46.94</v>
      </c>
      <c r="E413" t="str">
        <f t="shared" si="48"/>
        <v>SUNDAY</v>
      </c>
      <c r="F413" t="e">
        <f t="shared" si="47"/>
        <v>#N/A</v>
      </c>
      <c r="G413" s="74">
        <v>27776</v>
      </c>
      <c r="H413" s="77">
        <v>0.45833333333333331</v>
      </c>
      <c r="J413">
        <v>24.98</v>
      </c>
      <c r="M413" s="74">
        <v>37638</v>
      </c>
      <c r="N413" s="77">
        <v>0.45833333333333331</v>
      </c>
      <c r="P413">
        <v>24.8</v>
      </c>
      <c r="S413" s="74">
        <v>36177</v>
      </c>
      <c r="T413" s="77">
        <v>0.45833333333333331</v>
      </c>
      <c r="V413">
        <v>46.04</v>
      </c>
      <c r="X413" s="42"/>
      <c r="AB413">
        <v>33.200000000000003</v>
      </c>
      <c r="AC413">
        <v>10.039999999999999</v>
      </c>
      <c r="AE413" s="74"/>
      <c r="AF413" s="77"/>
      <c r="AH413" s="497">
        <v>23</v>
      </c>
      <c r="AJ413" s="42"/>
      <c r="AK413" s="74"/>
      <c r="AL413" s="77"/>
      <c r="AN413" s="497">
        <v>35.96</v>
      </c>
      <c r="AP413" s="42"/>
      <c r="AQ413" s="74"/>
      <c r="AR413" s="77"/>
      <c r="AT413" s="497">
        <v>17.059999999999999</v>
      </c>
      <c r="AV413" s="42"/>
      <c r="AW413" s="74"/>
      <c r="AX413" s="77"/>
      <c r="BA413" s="497">
        <v>41</v>
      </c>
      <c r="BB413" s="42"/>
      <c r="BC413" s="74"/>
      <c r="BD413" s="77"/>
      <c r="BF413">
        <v>44.06</v>
      </c>
      <c r="BH413" s="42"/>
      <c r="BI413" s="74"/>
      <c r="BJ413" s="77"/>
      <c r="BL413" s="497">
        <v>41.72</v>
      </c>
      <c r="BN413" s="42"/>
      <c r="BO413" s="74"/>
      <c r="BP413" s="77"/>
      <c r="BR413" s="497">
        <v>23</v>
      </c>
      <c r="BT413" s="42"/>
    </row>
    <row r="414" spans="1:72" x14ac:dyDescent="0.25">
      <c r="A414" s="90">
        <v>36177</v>
      </c>
      <c r="B414" s="20">
        <v>0.5</v>
      </c>
      <c r="D414">
        <v>46.04</v>
      </c>
      <c r="E414" t="str">
        <f t="shared" si="48"/>
        <v>SUNDAY</v>
      </c>
      <c r="F414" t="e">
        <f t="shared" si="47"/>
        <v>#N/A</v>
      </c>
      <c r="G414" s="74">
        <v>27776</v>
      </c>
      <c r="H414" s="77">
        <v>0.5</v>
      </c>
      <c r="J414">
        <v>26.060000000000002</v>
      </c>
      <c r="M414" s="74">
        <v>37638</v>
      </c>
      <c r="N414" s="77">
        <v>0.5</v>
      </c>
      <c r="P414">
        <v>24.8</v>
      </c>
      <c r="S414" s="74">
        <v>36177</v>
      </c>
      <c r="T414" s="77">
        <v>0.5</v>
      </c>
      <c r="V414">
        <v>48.92</v>
      </c>
      <c r="X414" s="42"/>
      <c r="AB414">
        <v>34.5</v>
      </c>
      <c r="AC414">
        <v>12.02</v>
      </c>
      <c r="AE414" s="74"/>
      <c r="AF414" s="77"/>
      <c r="AH414" s="497">
        <v>24.8</v>
      </c>
      <c r="AJ414" s="42"/>
      <c r="AK414" s="74"/>
      <c r="AL414" s="77"/>
      <c r="AN414" s="497">
        <v>39.019999999999996</v>
      </c>
      <c r="AP414" s="42"/>
      <c r="AQ414" s="74"/>
      <c r="AR414" s="77"/>
      <c r="AT414" s="497">
        <v>19.939999999999998</v>
      </c>
      <c r="AV414" s="42"/>
      <c r="AW414" s="74"/>
      <c r="AX414" s="77"/>
      <c r="BA414" s="497">
        <v>44.96</v>
      </c>
      <c r="BB414" s="42"/>
      <c r="BC414" s="74"/>
      <c r="BD414" s="77"/>
      <c r="BF414">
        <v>42.980000000000004</v>
      </c>
      <c r="BH414" s="42"/>
      <c r="BI414" s="74"/>
      <c r="BJ414" s="77"/>
      <c r="BL414" s="497">
        <v>42.26</v>
      </c>
      <c r="BN414" s="42"/>
      <c r="BO414" s="74"/>
      <c r="BP414" s="77"/>
      <c r="BR414" s="497">
        <v>28.94</v>
      </c>
      <c r="BT414" s="42"/>
    </row>
    <row r="415" spans="1:72" x14ac:dyDescent="0.25">
      <c r="A415" s="90">
        <v>36177</v>
      </c>
      <c r="B415" s="20">
        <v>0.54166666666666663</v>
      </c>
      <c r="D415">
        <v>44.96</v>
      </c>
      <c r="E415" t="str">
        <f t="shared" si="48"/>
        <v>SUNDAY</v>
      </c>
      <c r="F415" t="e">
        <f t="shared" si="47"/>
        <v>#N/A</v>
      </c>
      <c r="G415" s="74">
        <v>27776</v>
      </c>
      <c r="H415" s="77">
        <v>0.54166666666666663</v>
      </c>
      <c r="J415">
        <v>26.060000000000002</v>
      </c>
      <c r="M415" s="74">
        <v>37638</v>
      </c>
      <c r="N415" s="77">
        <v>0.54166666666666663</v>
      </c>
      <c r="P415">
        <v>26.6</v>
      </c>
      <c r="S415" s="74">
        <v>36177</v>
      </c>
      <c r="T415" s="77">
        <v>0.54166666666666663</v>
      </c>
      <c r="V415">
        <v>50</v>
      </c>
      <c r="X415" s="42"/>
      <c r="AB415">
        <v>35.6</v>
      </c>
      <c r="AC415">
        <v>12.02</v>
      </c>
      <c r="AE415" s="74"/>
      <c r="AF415" s="77"/>
      <c r="AH415" s="497">
        <v>24.8</v>
      </c>
      <c r="AJ415" s="42"/>
      <c r="AK415" s="74"/>
      <c r="AL415" s="77"/>
      <c r="AN415" s="497">
        <v>41</v>
      </c>
      <c r="AP415" s="42"/>
      <c r="AQ415" s="74"/>
      <c r="AR415" s="77"/>
      <c r="AT415" s="497">
        <v>21.92</v>
      </c>
      <c r="AV415" s="42"/>
      <c r="AW415" s="74"/>
      <c r="AX415" s="77"/>
      <c r="BA415" s="497">
        <v>48.92</v>
      </c>
      <c r="BB415" s="42"/>
      <c r="BC415" s="74"/>
      <c r="BD415" s="77"/>
      <c r="BF415">
        <v>42.980000000000004</v>
      </c>
      <c r="BH415" s="42"/>
      <c r="BI415" s="74"/>
      <c r="BJ415" s="77"/>
      <c r="BL415" s="497">
        <v>42.980000000000004</v>
      </c>
      <c r="BN415" s="42"/>
      <c r="BO415" s="74"/>
      <c r="BP415" s="77"/>
      <c r="BR415" s="497">
        <v>46.94</v>
      </c>
      <c r="BT415" s="42"/>
    </row>
    <row r="416" spans="1:72" x14ac:dyDescent="0.25">
      <c r="A416" s="90">
        <v>36177</v>
      </c>
      <c r="B416" s="20">
        <v>0.58333333333333337</v>
      </c>
      <c r="D416">
        <v>44.96</v>
      </c>
      <c r="E416" t="str">
        <f t="shared" si="48"/>
        <v>SUNDAY</v>
      </c>
      <c r="F416" t="e">
        <f t="shared" si="47"/>
        <v>#N/A</v>
      </c>
      <c r="G416" s="74">
        <v>27776</v>
      </c>
      <c r="H416" s="77">
        <v>0.58333333333333337</v>
      </c>
      <c r="J416">
        <v>26.060000000000002</v>
      </c>
      <c r="M416" s="74">
        <v>37638</v>
      </c>
      <c r="N416" s="77">
        <v>0.58333333333333337</v>
      </c>
      <c r="P416">
        <v>28.4</v>
      </c>
      <c r="S416" s="74">
        <v>36177</v>
      </c>
      <c r="T416" s="77">
        <v>0.58333333333333337</v>
      </c>
      <c r="V416">
        <v>51.980000000000004</v>
      </c>
      <c r="X416" s="42"/>
      <c r="AB416">
        <v>36.4</v>
      </c>
      <c r="AC416">
        <v>14</v>
      </c>
      <c r="AE416" s="74"/>
      <c r="AF416" s="77"/>
      <c r="AH416" s="497">
        <v>24.8</v>
      </c>
      <c r="AJ416" s="42"/>
      <c r="AK416" s="74"/>
      <c r="AL416" s="77"/>
      <c r="AN416" s="497">
        <v>42.08</v>
      </c>
      <c r="AP416" s="42"/>
      <c r="AQ416" s="74"/>
      <c r="AR416" s="77"/>
      <c r="AT416" s="497">
        <v>21.92</v>
      </c>
      <c r="AV416" s="42"/>
      <c r="AW416" s="74"/>
      <c r="AX416" s="77"/>
      <c r="BA416" s="497">
        <v>48.2</v>
      </c>
      <c r="BB416" s="42"/>
      <c r="BC416" s="74"/>
      <c r="BD416" s="77"/>
      <c r="BF416">
        <v>42.08</v>
      </c>
      <c r="BH416" s="42"/>
      <c r="BI416" s="74"/>
      <c r="BJ416" s="77"/>
      <c r="BL416" s="497">
        <v>41.36</v>
      </c>
      <c r="BN416" s="42"/>
      <c r="BO416" s="74"/>
      <c r="BP416" s="77"/>
      <c r="BR416" s="497">
        <v>44.06</v>
      </c>
      <c r="BT416" s="42"/>
    </row>
    <row r="417" spans="1:72" x14ac:dyDescent="0.25">
      <c r="A417" s="90">
        <v>36177</v>
      </c>
      <c r="B417" s="20">
        <v>0.625</v>
      </c>
      <c r="D417">
        <v>44.96</v>
      </c>
      <c r="E417" t="str">
        <f t="shared" si="48"/>
        <v>SUNDAY</v>
      </c>
      <c r="F417" t="e">
        <f t="shared" si="47"/>
        <v>#N/A</v>
      </c>
      <c r="G417" s="74">
        <v>27776</v>
      </c>
      <c r="H417" s="77">
        <v>0.625</v>
      </c>
      <c r="J417">
        <v>24.98</v>
      </c>
      <c r="M417" s="74">
        <v>37638</v>
      </c>
      <c r="N417" s="77">
        <v>0.625</v>
      </c>
      <c r="P417">
        <v>28.4</v>
      </c>
      <c r="S417" s="74">
        <v>36177</v>
      </c>
      <c r="T417" s="77">
        <v>0.625</v>
      </c>
      <c r="V417">
        <v>51.08</v>
      </c>
      <c r="X417" s="42"/>
      <c r="AB417">
        <v>36.9</v>
      </c>
      <c r="AC417">
        <v>12.920000000000002</v>
      </c>
      <c r="AE417" s="74"/>
      <c r="AF417" s="77"/>
      <c r="AH417" s="497">
        <v>23</v>
      </c>
      <c r="AJ417" s="42"/>
      <c r="AK417" s="74"/>
      <c r="AL417" s="77"/>
      <c r="AN417" s="497">
        <v>42.980000000000004</v>
      </c>
      <c r="AP417" s="42"/>
      <c r="AQ417" s="74"/>
      <c r="AR417" s="77"/>
      <c r="AT417" s="497">
        <v>21.92</v>
      </c>
      <c r="AV417" s="42"/>
      <c r="AW417" s="74"/>
      <c r="AX417" s="77"/>
      <c r="BA417" s="497">
        <v>47.66</v>
      </c>
      <c r="BB417" s="42"/>
      <c r="BC417" s="74"/>
      <c r="BD417" s="77"/>
      <c r="BF417">
        <v>44.06</v>
      </c>
      <c r="BH417" s="42"/>
      <c r="BI417" s="74"/>
      <c r="BJ417" s="77"/>
      <c r="BL417" s="497">
        <v>39.56</v>
      </c>
      <c r="BN417" s="42"/>
      <c r="BO417" s="74"/>
      <c r="BP417" s="77"/>
      <c r="BR417" s="497">
        <v>44.06</v>
      </c>
      <c r="BT417" s="42"/>
    </row>
    <row r="418" spans="1:72" x14ac:dyDescent="0.25">
      <c r="A418" s="90">
        <v>36177</v>
      </c>
      <c r="B418" s="20">
        <v>0.66666666666666663</v>
      </c>
      <c r="D418">
        <v>44.06</v>
      </c>
      <c r="E418" t="str">
        <f t="shared" si="48"/>
        <v>SUNDAY</v>
      </c>
      <c r="F418" t="e">
        <f t="shared" si="47"/>
        <v>#N/A</v>
      </c>
      <c r="G418" s="74">
        <v>27776</v>
      </c>
      <c r="H418" s="77">
        <v>0.66666666666666663</v>
      </c>
      <c r="J418">
        <v>24.08</v>
      </c>
      <c r="M418" s="74">
        <v>37638</v>
      </c>
      <c r="N418" s="77">
        <v>0.66666666666666663</v>
      </c>
      <c r="P418">
        <v>26.6</v>
      </c>
      <c r="S418" s="74">
        <v>36177</v>
      </c>
      <c r="T418" s="77">
        <v>0.66666666666666663</v>
      </c>
      <c r="V418">
        <v>50</v>
      </c>
      <c r="X418" s="42"/>
      <c r="AB418">
        <v>36.9</v>
      </c>
      <c r="AC418">
        <v>12.02</v>
      </c>
      <c r="AE418" s="74"/>
      <c r="AF418" s="77"/>
      <c r="AH418" s="497">
        <v>23</v>
      </c>
      <c r="AJ418" s="42"/>
      <c r="AK418" s="74"/>
      <c r="AL418" s="77"/>
      <c r="AN418" s="497">
        <v>42.08</v>
      </c>
      <c r="AP418" s="42"/>
      <c r="AQ418" s="74"/>
      <c r="AR418" s="77"/>
      <c r="AT418" s="497">
        <v>23</v>
      </c>
      <c r="AV418" s="42"/>
      <c r="AW418" s="74"/>
      <c r="AX418" s="77"/>
      <c r="BA418" s="497">
        <v>46.94</v>
      </c>
      <c r="BB418" s="42"/>
      <c r="BC418" s="74"/>
      <c r="BD418" s="77"/>
      <c r="BF418">
        <v>46.04</v>
      </c>
      <c r="BH418" s="42"/>
      <c r="BI418" s="74"/>
      <c r="BJ418" s="77"/>
      <c r="BL418" s="497">
        <v>37.94</v>
      </c>
      <c r="BN418" s="42"/>
      <c r="BO418" s="74"/>
      <c r="BP418" s="77"/>
      <c r="BR418" s="497">
        <v>44.06</v>
      </c>
      <c r="BT418" s="42"/>
    </row>
    <row r="419" spans="1:72" x14ac:dyDescent="0.25">
      <c r="A419" s="90">
        <v>36177</v>
      </c>
      <c r="B419" s="20">
        <v>0.70833333333333337</v>
      </c>
      <c r="D419">
        <v>44.06</v>
      </c>
      <c r="E419" t="str">
        <f t="shared" si="48"/>
        <v>SUNDAY</v>
      </c>
      <c r="F419" t="e">
        <f t="shared" si="47"/>
        <v>#N/A</v>
      </c>
      <c r="G419" s="74">
        <v>27776</v>
      </c>
      <c r="H419" s="77">
        <v>0.70833333333333337</v>
      </c>
      <c r="J419">
        <v>23</v>
      </c>
      <c r="M419" s="74">
        <v>37638</v>
      </c>
      <c r="N419" s="77">
        <v>0.70833333333333337</v>
      </c>
      <c r="P419">
        <v>24.8</v>
      </c>
      <c r="S419" s="74">
        <v>36177</v>
      </c>
      <c r="T419" s="77">
        <v>0.70833333333333337</v>
      </c>
      <c r="V419">
        <v>44.06</v>
      </c>
      <c r="X419" s="42"/>
      <c r="AB419">
        <v>36.4</v>
      </c>
      <c r="AC419">
        <v>10.940000000000001</v>
      </c>
      <c r="AE419" s="74"/>
      <c r="AF419" s="77"/>
      <c r="AH419" s="497">
        <v>21.2</v>
      </c>
      <c r="AJ419" s="42"/>
      <c r="AK419" s="74"/>
      <c r="AL419" s="77"/>
      <c r="AN419" s="497">
        <v>41</v>
      </c>
      <c r="AP419" s="42"/>
      <c r="AQ419" s="74"/>
      <c r="AR419" s="77"/>
      <c r="AT419" s="497">
        <v>23</v>
      </c>
      <c r="AV419" s="42"/>
      <c r="AW419" s="74"/>
      <c r="AX419" s="77"/>
      <c r="BA419" s="497">
        <v>45.32</v>
      </c>
      <c r="BB419" s="42"/>
      <c r="BC419" s="74"/>
      <c r="BD419" s="77"/>
      <c r="BF419">
        <v>46.04</v>
      </c>
      <c r="BH419" s="42"/>
      <c r="BI419" s="74"/>
      <c r="BJ419" s="77"/>
      <c r="BL419" s="497">
        <v>38.299999999999997</v>
      </c>
      <c r="BN419" s="42"/>
      <c r="BO419" s="74"/>
      <c r="BP419" s="77"/>
      <c r="BR419" s="497">
        <v>42.980000000000004</v>
      </c>
      <c r="BT419" s="42"/>
    </row>
    <row r="420" spans="1:72" x14ac:dyDescent="0.25">
      <c r="A420" s="90">
        <v>36177</v>
      </c>
      <c r="B420" s="20">
        <v>0.75</v>
      </c>
      <c r="D420">
        <v>42.980000000000004</v>
      </c>
      <c r="E420" t="str">
        <f t="shared" si="48"/>
        <v>SUNDAY</v>
      </c>
      <c r="F420" t="e">
        <f t="shared" si="47"/>
        <v>#N/A</v>
      </c>
      <c r="G420" s="74">
        <v>27776</v>
      </c>
      <c r="H420" s="77">
        <v>0.75</v>
      </c>
      <c r="J420">
        <v>21.92</v>
      </c>
      <c r="M420" s="74">
        <v>37638</v>
      </c>
      <c r="N420" s="77">
        <v>0.75</v>
      </c>
      <c r="P420">
        <v>21.2</v>
      </c>
      <c r="S420" s="74">
        <v>36177</v>
      </c>
      <c r="T420" s="77">
        <v>0.75</v>
      </c>
      <c r="V420">
        <v>42.980000000000004</v>
      </c>
      <c r="X420" s="42"/>
      <c r="AB420">
        <v>35.299999999999997</v>
      </c>
      <c r="AC420">
        <v>10.039999999999999</v>
      </c>
      <c r="AE420" s="74"/>
      <c r="AF420" s="77"/>
      <c r="AH420" s="497">
        <v>19.399999999999999</v>
      </c>
      <c r="AJ420" s="42"/>
      <c r="AK420" s="74"/>
      <c r="AL420" s="77"/>
      <c r="AN420" s="497">
        <v>41</v>
      </c>
      <c r="AP420" s="42"/>
      <c r="AQ420" s="74"/>
      <c r="AR420" s="77"/>
      <c r="AT420" s="497">
        <v>23</v>
      </c>
      <c r="AV420" s="42"/>
      <c r="AW420" s="74"/>
      <c r="AX420" s="77"/>
      <c r="BA420" s="497">
        <v>43.7</v>
      </c>
      <c r="BB420" s="42"/>
      <c r="BC420" s="74"/>
      <c r="BD420" s="77"/>
      <c r="BF420">
        <v>46.04</v>
      </c>
      <c r="BH420" s="42"/>
      <c r="BI420" s="74"/>
      <c r="BJ420" s="77"/>
      <c r="BL420" s="497">
        <v>38.659999999999997</v>
      </c>
      <c r="BN420" s="42"/>
      <c r="BO420" s="74"/>
      <c r="BP420" s="77"/>
      <c r="BR420" s="497">
        <v>44.06</v>
      </c>
      <c r="BT420" s="42"/>
    </row>
    <row r="421" spans="1:72" x14ac:dyDescent="0.25">
      <c r="A421" s="90">
        <v>36177</v>
      </c>
      <c r="B421" s="20">
        <v>0.79166666666666663</v>
      </c>
      <c r="D421">
        <v>42.980000000000004</v>
      </c>
      <c r="E421" t="str">
        <f t="shared" si="48"/>
        <v>SUNDAY</v>
      </c>
      <c r="F421" t="e">
        <f t="shared" si="47"/>
        <v>#N/A</v>
      </c>
      <c r="G421" s="74">
        <v>27776</v>
      </c>
      <c r="H421" s="77">
        <v>0.79166666666666663</v>
      </c>
      <c r="J421">
        <v>21.02</v>
      </c>
      <c r="M421" s="74">
        <v>37638</v>
      </c>
      <c r="N421" s="77">
        <v>0.79166666666666663</v>
      </c>
      <c r="P421">
        <v>19.399999999999999</v>
      </c>
      <c r="S421" s="74">
        <v>36177</v>
      </c>
      <c r="T421" s="77">
        <v>0.79166666666666663</v>
      </c>
      <c r="V421">
        <v>39.92</v>
      </c>
      <c r="X421" s="42"/>
      <c r="AB421">
        <v>34.700000000000003</v>
      </c>
      <c r="AC421">
        <v>10.039999999999999</v>
      </c>
      <c r="AE421" s="74"/>
      <c r="AF421" s="77"/>
      <c r="AH421" s="497">
        <v>17.600000000000001</v>
      </c>
      <c r="AJ421" s="42"/>
      <c r="AK421" s="74"/>
      <c r="AL421" s="77"/>
      <c r="AN421" s="497">
        <v>41</v>
      </c>
      <c r="AP421" s="42"/>
      <c r="AQ421" s="74"/>
      <c r="AR421" s="77"/>
      <c r="AT421" s="497">
        <v>23</v>
      </c>
      <c r="AV421" s="42"/>
      <c r="AW421" s="74"/>
      <c r="AX421" s="77"/>
      <c r="BA421" s="497">
        <v>42.08</v>
      </c>
      <c r="BB421" s="42"/>
      <c r="BC421" s="74"/>
      <c r="BD421" s="77"/>
      <c r="BF421">
        <v>46.04</v>
      </c>
      <c r="BH421" s="42"/>
      <c r="BI421" s="74"/>
      <c r="BJ421" s="77"/>
      <c r="BL421" s="497">
        <v>39.019999999999996</v>
      </c>
      <c r="BN421" s="42"/>
      <c r="BO421" s="74"/>
      <c r="BP421" s="77"/>
      <c r="BR421" s="497">
        <v>44.06</v>
      </c>
      <c r="BT421" s="42"/>
    </row>
    <row r="422" spans="1:72" x14ac:dyDescent="0.25">
      <c r="A422" s="90">
        <v>36177</v>
      </c>
      <c r="B422" s="20">
        <v>0.83333333333333337</v>
      </c>
      <c r="D422">
        <v>41</v>
      </c>
      <c r="E422" t="str">
        <f t="shared" si="48"/>
        <v>SUNDAY</v>
      </c>
      <c r="F422" t="e">
        <f t="shared" si="47"/>
        <v>#N/A</v>
      </c>
      <c r="G422" s="74">
        <v>27776</v>
      </c>
      <c r="H422" s="77">
        <v>0.83333333333333337</v>
      </c>
      <c r="J422">
        <v>19.939999999999998</v>
      </c>
      <c r="M422" s="74">
        <v>37638</v>
      </c>
      <c r="N422" s="77">
        <v>0.83333333333333337</v>
      </c>
      <c r="P422">
        <v>15.8</v>
      </c>
      <c r="S422" s="74">
        <v>36177</v>
      </c>
      <c r="T422" s="77">
        <v>0.83333333333333337</v>
      </c>
      <c r="V422">
        <v>35.96</v>
      </c>
      <c r="X422" s="42"/>
      <c r="AB422">
        <v>34.299999999999997</v>
      </c>
      <c r="AC422">
        <v>8.9599999999999973</v>
      </c>
      <c r="AE422" s="74"/>
      <c r="AF422" s="77"/>
      <c r="AH422" s="497">
        <v>15.8</v>
      </c>
      <c r="AJ422" s="42"/>
      <c r="AK422" s="74"/>
      <c r="AL422" s="77"/>
      <c r="AN422" s="497">
        <v>41</v>
      </c>
      <c r="AP422" s="42"/>
      <c r="AQ422" s="74"/>
      <c r="AR422" s="77"/>
      <c r="AT422" s="497">
        <v>23</v>
      </c>
      <c r="AV422" s="42"/>
      <c r="AW422" s="74"/>
      <c r="AX422" s="77"/>
      <c r="BA422" s="497">
        <v>42.44</v>
      </c>
      <c r="BB422" s="42"/>
      <c r="BC422" s="74"/>
      <c r="BD422" s="77"/>
      <c r="BF422">
        <v>42.08</v>
      </c>
      <c r="BH422" s="42"/>
      <c r="BI422" s="74"/>
      <c r="BJ422" s="77"/>
      <c r="BL422" s="497">
        <v>39.380000000000003</v>
      </c>
      <c r="BN422" s="42"/>
      <c r="BO422" s="74"/>
      <c r="BP422" s="77"/>
      <c r="BR422" s="497">
        <v>44.06</v>
      </c>
      <c r="BT422" s="42"/>
    </row>
    <row r="423" spans="1:72" x14ac:dyDescent="0.25">
      <c r="A423" s="90">
        <v>36177</v>
      </c>
      <c r="B423" s="20">
        <v>0.875</v>
      </c>
      <c r="D423">
        <v>41</v>
      </c>
      <c r="E423" t="str">
        <f t="shared" si="48"/>
        <v>SUNDAY</v>
      </c>
      <c r="F423" t="e">
        <f t="shared" si="47"/>
        <v>#N/A</v>
      </c>
      <c r="G423" s="74">
        <v>27776</v>
      </c>
      <c r="H423" s="77">
        <v>0.875</v>
      </c>
      <c r="J423">
        <v>19.04</v>
      </c>
      <c r="M423" s="74">
        <v>37638</v>
      </c>
      <c r="N423" s="77">
        <v>0.875</v>
      </c>
      <c r="P423">
        <v>14</v>
      </c>
      <c r="S423" s="74">
        <v>36177</v>
      </c>
      <c r="T423" s="77">
        <v>0.875</v>
      </c>
      <c r="V423">
        <v>37.04</v>
      </c>
      <c r="X423" s="42"/>
      <c r="AB423">
        <v>33.799999999999997</v>
      </c>
      <c r="AC423">
        <v>10.039999999999999</v>
      </c>
      <c r="AE423" s="74"/>
      <c r="AF423" s="77"/>
      <c r="AH423" s="497">
        <v>15.8</v>
      </c>
      <c r="AJ423" s="42"/>
      <c r="AK423" s="74"/>
      <c r="AL423" s="77"/>
      <c r="AN423" s="497">
        <v>42.980000000000004</v>
      </c>
      <c r="AP423" s="42"/>
      <c r="AQ423" s="74"/>
      <c r="AR423" s="77"/>
      <c r="AT423" s="497">
        <v>21.92</v>
      </c>
      <c r="AV423" s="42"/>
      <c r="AW423" s="74"/>
      <c r="AX423" s="77"/>
      <c r="BA423" s="497">
        <v>42.620000000000005</v>
      </c>
      <c r="BB423" s="42"/>
      <c r="BC423" s="74"/>
      <c r="BD423" s="77"/>
      <c r="BF423">
        <v>39.92</v>
      </c>
      <c r="BH423" s="42"/>
      <c r="BI423" s="74"/>
      <c r="BJ423" s="77"/>
      <c r="BL423" s="497">
        <v>39.56</v>
      </c>
      <c r="BN423" s="42"/>
      <c r="BO423" s="74"/>
      <c r="BP423" s="77"/>
      <c r="BR423" s="497">
        <v>44.06</v>
      </c>
      <c r="BT423" s="42"/>
    </row>
    <row r="424" spans="1:72" x14ac:dyDescent="0.25">
      <c r="A424" s="90">
        <v>36177</v>
      </c>
      <c r="B424" s="20">
        <v>0.91666666666666663</v>
      </c>
      <c r="D424">
        <v>39.92</v>
      </c>
      <c r="E424" t="str">
        <f t="shared" si="48"/>
        <v>SUNDAY</v>
      </c>
      <c r="F424" t="e">
        <f t="shared" si="47"/>
        <v>#N/A</v>
      </c>
      <c r="G424" s="74">
        <v>27776</v>
      </c>
      <c r="H424" s="77">
        <v>0.91666666666666663</v>
      </c>
      <c r="J424">
        <v>17.059999999999999</v>
      </c>
      <c r="M424" s="74">
        <v>37638</v>
      </c>
      <c r="N424" s="77">
        <v>0.91666666666666663</v>
      </c>
      <c r="P424">
        <v>12.2</v>
      </c>
      <c r="S424" s="74">
        <v>36177</v>
      </c>
      <c r="T424" s="77">
        <v>0.91666666666666663</v>
      </c>
      <c r="V424">
        <v>35.96</v>
      </c>
      <c r="X424" s="42"/>
      <c r="AB424">
        <v>33.200000000000003</v>
      </c>
      <c r="AC424">
        <v>8.9599999999999973</v>
      </c>
      <c r="AE424" s="74"/>
      <c r="AF424" s="77"/>
      <c r="AH424" s="497">
        <v>15.8</v>
      </c>
      <c r="AJ424" s="42"/>
      <c r="AK424" s="74"/>
      <c r="AL424" s="77"/>
      <c r="AN424" s="497">
        <v>42.08</v>
      </c>
      <c r="AP424" s="42"/>
      <c r="AQ424" s="74"/>
      <c r="AR424" s="77"/>
      <c r="AT424" s="497">
        <v>21.92</v>
      </c>
      <c r="AV424" s="42"/>
      <c r="AW424" s="74"/>
      <c r="AX424" s="77"/>
      <c r="BA424" s="497">
        <v>42.980000000000004</v>
      </c>
      <c r="BB424" s="42"/>
      <c r="BC424" s="74"/>
      <c r="BD424" s="77"/>
      <c r="BF424">
        <v>39.92</v>
      </c>
      <c r="BH424" s="42"/>
      <c r="BI424" s="74"/>
      <c r="BJ424" s="77"/>
      <c r="BL424" s="497">
        <v>39.92</v>
      </c>
      <c r="BN424" s="42"/>
      <c r="BO424" s="74"/>
      <c r="BP424" s="77"/>
      <c r="BR424" s="497">
        <v>44.06</v>
      </c>
      <c r="BT424" s="42"/>
    </row>
    <row r="425" spans="1:72" x14ac:dyDescent="0.25">
      <c r="A425" s="90">
        <v>36177</v>
      </c>
      <c r="B425" s="20">
        <v>0.95833333333333337</v>
      </c>
      <c r="D425">
        <v>39.92</v>
      </c>
      <c r="E425" t="str">
        <f t="shared" si="48"/>
        <v>SUNDAY</v>
      </c>
      <c r="F425" t="e">
        <f t="shared" si="47"/>
        <v>#N/A</v>
      </c>
      <c r="G425" s="74">
        <v>27776</v>
      </c>
      <c r="H425" s="77">
        <v>0.95833333333333337</v>
      </c>
      <c r="J425">
        <v>15.98</v>
      </c>
      <c r="M425" s="74">
        <v>37638</v>
      </c>
      <c r="N425" s="77">
        <v>0.95833333333333337</v>
      </c>
      <c r="P425">
        <v>10.399999999999999</v>
      </c>
      <c r="S425" s="74">
        <v>36177</v>
      </c>
      <c r="T425" s="77">
        <v>0.95833333333333337</v>
      </c>
      <c r="V425">
        <v>35.96</v>
      </c>
      <c r="X425" s="42"/>
      <c r="AB425">
        <v>32.700000000000003</v>
      </c>
      <c r="AC425">
        <v>8.0599999999999987</v>
      </c>
      <c r="AE425" s="74"/>
      <c r="AF425" s="77"/>
      <c r="AH425" s="497">
        <v>15.8</v>
      </c>
      <c r="AJ425" s="42"/>
      <c r="AK425" s="74"/>
      <c r="AL425" s="77"/>
      <c r="AN425" s="497">
        <v>42.08</v>
      </c>
      <c r="AP425" s="42"/>
      <c r="AQ425" s="74"/>
      <c r="AR425" s="77"/>
      <c r="AT425" s="497">
        <v>21.02</v>
      </c>
      <c r="AV425" s="42"/>
      <c r="AW425" s="74"/>
      <c r="AX425" s="77"/>
      <c r="BA425" s="497">
        <v>42.620000000000005</v>
      </c>
      <c r="BB425" s="42"/>
      <c r="BC425" s="74"/>
      <c r="BD425" s="77"/>
      <c r="BF425">
        <v>39.92</v>
      </c>
      <c r="BH425" s="42"/>
      <c r="BI425" s="74"/>
      <c r="BJ425" s="77"/>
      <c r="BL425" s="497">
        <v>39.56</v>
      </c>
      <c r="BN425" s="42"/>
      <c r="BO425" s="74"/>
      <c r="BP425" s="77"/>
      <c r="BR425" s="497">
        <v>42.980000000000004</v>
      </c>
      <c r="BT425" s="42"/>
    </row>
    <row r="426" spans="1:72" x14ac:dyDescent="0.25">
      <c r="A426" s="90">
        <v>36177</v>
      </c>
      <c r="B426" s="20">
        <v>1</v>
      </c>
      <c r="D426">
        <v>39.92</v>
      </c>
      <c r="E426" t="str">
        <f t="shared" si="48"/>
        <v>SUNDAY</v>
      </c>
      <c r="F426" t="e">
        <f t="shared" si="47"/>
        <v>#N/A</v>
      </c>
      <c r="G426" s="74">
        <v>27776</v>
      </c>
      <c r="H426" s="77">
        <v>1</v>
      </c>
      <c r="J426">
        <v>15.079999999999998</v>
      </c>
      <c r="M426" s="74">
        <v>37638</v>
      </c>
      <c r="N426" s="80">
        <v>1</v>
      </c>
      <c r="P426">
        <v>8.5999999999999979</v>
      </c>
      <c r="S426" s="74">
        <v>36177</v>
      </c>
      <c r="T426" s="80">
        <v>1</v>
      </c>
      <c r="V426">
        <v>35.96</v>
      </c>
      <c r="X426" s="42"/>
      <c r="AB426">
        <v>32.299999999999997</v>
      </c>
      <c r="AC426">
        <v>6.98</v>
      </c>
      <c r="AE426" s="74"/>
      <c r="AF426" s="80"/>
      <c r="AH426" s="497">
        <v>14</v>
      </c>
      <c r="AJ426" s="42"/>
      <c r="AK426" s="74"/>
      <c r="AL426" s="80"/>
      <c r="AN426" s="497">
        <v>42.980000000000004</v>
      </c>
      <c r="AP426" s="42"/>
      <c r="AQ426" s="74"/>
      <c r="AR426" s="80"/>
      <c r="AT426" s="497">
        <v>21.02</v>
      </c>
      <c r="AV426" s="42"/>
      <c r="AW426" s="74"/>
      <c r="AX426" s="80"/>
      <c r="BA426" s="497">
        <v>42.44</v>
      </c>
      <c r="BB426" s="42"/>
      <c r="BC426" s="74"/>
      <c r="BD426" s="80"/>
      <c r="BF426">
        <v>39.019999999999996</v>
      </c>
      <c r="BH426" s="42"/>
      <c r="BI426" s="74"/>
      <c r="BJ426" s="80"/>
      <c r="BL426" s="497">
        <v>39.380000000000003</v>
      </c>
      <c r="BN426" s="42"/>
      <c r="BO426" s="74"/>
      <c r="BP426" s="80"/>
      <c r="BR426" s="497">
        <v>42.980000000000004</v>
      </c>
      <c r="BT426" s="42"/>
    </row>
    <row r="427" spans="1:72" x14ac:dyDescent="0.25">
      <c r="A427" s="90">
        <v>36178</v>
      </c>
      <c r="B427" s="20">
        <v>4.1666666666666664E-2</v>
      </c>
      <c r="D427">
        <v>39.92</v>
      </c>
      <c r="E427" t="str">
        <f t="shared" si="48"/>
        <v>WEEKDAY</v>
      </c>
      <c r="F427" t="e">
        <f t="shared" ref="F427:F490" si="49">IF(E427="WEEKDAY",VLOOKUP(B427,$DD$19:$DG$42,2),IF(E427="SATURDAY",VLOOKUP(B427,$DD$19:$DG$42,3),VLOOKUP(B427,$DD$19:$DG$42,4)))</f>
        <v>#N/A</v>
      </c>
      <c r="G427" s="74">
        <v>27777</v>
      </c>
      <c r="H427" s="77">
        <v>4.1666666666666664E-2</v>
      </c>
      <c r="J427">
        <v>14</v>
      </c>
      <c r="M427" s="74">
        <v>37639</v>
      </c>
      <c r="N427" s="77">
        <v>4.1666666666666664E-2</v>
      </c>
      <c r="P427">
        <v>6.8000000000000007</v>
      </c>
      <c r="S427" s="74">
        <v>36178</v>
      </c>
      <c r="T427" s="77">
        <v>4.1666666666666664E-2</v>
      </c>
      <c r="V427">
        <v>37.04</v>
      </c>
      <c r="X427" s="42"/>
      <c r="AB427">
        <v>31.8</v>
      </c>
      <c r="AC427">
        <v>6.98</v>
      </c>
      <c r="AE427" s="74"/>
      <c r="AF427" s="77"/>
      <c r="AH427" s="497">
        <v>12.2</v>
      </c>
      <c r="AJ427" s="42"/>
      <c r="AK427" s="74"/>
      <c r="AL427" s="77"/>
      <c r="AN427" s="497">
        <v>42.980000000000004</v>
      </c>
      <c r="AP427" s="42"/>
      <c r="AQ427" s="74"/>
      <c r="AR427" s="77"/>
      <c r="AT427" s="497">
        <v>21.92</v>
      </c>
      <c r="AV427" s="42"/>
      <c r="AW427" s="74"/>
      <c r="AX427" s="77"/>
      <c r="BA427" s="497">
        <v>42.08</v>
      </c>
      <c r="BB427" s="42"/>
      <c r="BC427" s="74"/>
      <c r="BD427" s="77"/>
      <c r="BF427">
        <v>37.94</v>
      </c>
      <c r="BH427" s="42"/>
      <c r="BI427" s="74"/>
      <c r="BJ427" s="77"/>
      <c r="BL427" s="497">
        <v>39.019999999999996</v>
      </c>
      <c r="BN427" s="42"/>
      <c r="BO427" s="74"/>
      <c r="BP427" s="77"/>
      <c r="BR427" s="497">
        <v>42.980000000000004</v>
      </c>
      <c r="BT427" s="42"/>
    </row>
    <row r="428" spans="1:72" x14ac:dyDescent="0.25">
      <c r="A428" s="90">
        <v>36178</v>
      </c>
      <c r="B428" s="20">
        <v>8.3333333333333329E-2</v>
      </c>
      <c r="D428">
        <v>39.019999999999996</v>
      </c>
      <c r="E428" t="str">
        <f t="shared" si="48"/>
        <v>WEEKDAY</v>
      </c>
      <c r="F428" t="e">
        <f t="shared" si="49"/>
        <v>#N/A</v>
      </c>
      <c r="G428" s="74">
        <v>27777</v>
      </c>
      <c r="H428" s="77">
        <v>8.3333333333333329E-2</v>
      </c>
      <c r="J428">
        <v>12.02</v>
      </c>
      <c r="M428" s="74">
        <v>37639</v>
      </c>
      <c r="N428" s="77">
        <v>8.3333333333333329E-2</v>
      </c>
      <c r="P428">
        <v>6.8000000000000007</v>
      </c>
      <c r="S428" s="74">
        <v>36178</v>
      </c>
      <c r="T428" s="77">
        <v>8.3333333333333329E-2</v>
      </c>
      <c r="V428">
        <v>39.019999999999996</v>
      </c>
      <c r="X428" s="42"/>
      <c r="AB428">
        <v>31.3</v>
      </c>
      <c r="AC428">
        <v>6.0799999999999983</v>
      </c>
      <c r="AE428" s="74"/>
      <c r="AF428" s="77"/>
      <c r="AH428" s="497">
        <v>10.399999999999999</v>
      </c>
      <c r="AJ428" s="42"/>
      <c r="AK428" s="74"/>
      <c r="AL428" s="77"/>
      <c r="AN428" s="497">
        <v>42.08</v>
      </c>
      <c r="AP428" s="42"/>
      <c r="AQ428" s="74"/>
      <c r="AR428" s="77"/>
      <c r="AT428" s="497">
        <v>23</v>
      </c>
      <c r="AV428" s="42"/>
      <c r="AW428" s="74"/>
      <c r="AX428" s="77"/>
      <c r="BA428" s="497">
        <v>41.72</v>
      </c>
      <c r="BB428" s="42"/>
      <c r="BC428" s="74"/>
      <c r="BD428" s="77"/>
      <c r="BF428">
        <v>37.94</v>
      </c>
      <c r="BH428" s="42"/>
      <c r="BI428" s="74"/>
      <c r="BJ428" s="77"/>
      <c r="BL428" s="497">
        <v>37.94</v>
      </c>
      <c r="BN428" s="42"/>
      <c r="BO428" s="74"/>
      <c r="BP428" s="77"/>
      <c r="BR428" s="497">
        <v>42.980000000000004</v>
      </c>
      <c r="BT428" s="42"/>
    </row>
    <row r="429" spans="1:72" x14ac:dyDescent="0.25">
      <c r="A429" s="90">
        <v>36178</v>
      </c>
      <c r="B429" s="20">
        <v>0.125</v>
      </c>
      <c r="D429">
        <v>37.94</v>
      </c>
      <c r="E429" t="str">
        <f t="shared" si="48"/>
        <v>WEEKDAY</v>
      </c>
      <c r="F429" t="e">
        <f t="shared" si="49"/>
        <v>#N/A</v>
      </c>
      <c r="G429" s="74">
        <v>27777</v>
      </c>
      <c r="H429" s="77">
        <v>0.125</v>
      </c>
      <c r="J429">
        <v>12.02</v>
      </c>
      <c r="M429" s="74">
        <v>37639</v>
      </c>
      <c r="N429" s="77">
        <v>0.125</v>
      </c>
      <c r="P429">
        <v>5</v>
      </c>
      <c r="S429" s="74">
        <v>36178</v>
      </c>
      <c r="T429" s="77">
        <v>0.125</v>
      </c>
      <c r="V429">
        <v>41</v>
      </c>
      <c r="X429" s="42"/>
      <c r="AB429">
        <v>31</v>
      </c>
      <c r="AC429">
        <v>6.0799999999999983</v>
      </c>
      <c r="AE429" s="74"/>
      <c r="AF429" s="77"/>
      <c r="AH429" s="497">
        <v>10.399999999999999</v>
      </c>
      <c r="AJ429" s="42"/>
      <c r="AK429" s="74"/>
      <c r="AL429" s="77"/>
      <c r="AN429" s="497">
        <v>42.08</v>
      </c>
      <c r="AP429" s="42"/>
      <c r="AQ429" s="74"/>
      <c r="AR429" s="77"/>
      <c r="AT429" s="497">
        <v>23</v>
      </c>
      <c r="AV429" s="42"/>
      <c r="AW429" s="74"/>
      <c r="AX429" s="77"/>
      <c r="BA429" s="497">
        <v>41.36</v>
      </c>
      <c r="BB429" s="42"/>
      <c r="BC429" s="74"/>
      <c r="BD429" s="77"/>
      <c r="BF429">
        <v>37.04</v>
      </c>
      <c r="BH429" s="42"/>
      <c r="BI429" s="74"/>
      <c r="BJ429" s="77"/>
      <c r="BL429" s="497">
        <v>37.04</v>
      </c>
      <c r="BN429" s="42"/>
      <c r="BO429" s="74"/>
      <c r="BP429" s="77"/>
      <c r="BR429" s="497">
        <v>42.08</v>
      </c>
      <c r="BT429" s="42"/>
    </row>
    <row r="430" spans="1:72" x14ac:dyDescent="0.25">
      <c r="A430" s="90">
        <v>36178</v>
      </c>
      <c r="B430" s="20">
        <v>0.16666666666666666</v>
      </c>
      <c r="D430">
        <v>37.94</v>
      </c>
      <c r="E430" t="str">
        <f t="shared" si="48"/>
        <v>WEEKDAY</v>
      </c>
      <c r="F430" t="e">
        <f t="shared" si="49"/>
        <v>#N/A</v>
      </c>
      <c r="G430" s="74">
        <v>27777</v>
      </c>
      <c r="H430" s="77">
        <v>0.16666666666666666</v>
      </c>
      <c r="J430">
        <v>10.940000000000001</v>
      </c>
      <c r="M430" s="74">
        <v>37639</v>
      </c>
      <c r="N430" s="77">
        <v>0.16666666666666666</v>
      </c>
      <c r="P430">
        <v>5</v>
      </c>
      <c r="S430" s="74">
        <v>36178</v>
      </c>
      <c r="T430" s="77">
        <v>0.16666666666666666</v>
      </c>
      <c r="V430">
        <v>42.08</v>
      </c>
      <c r="X430" s="42"/>
      <c r="AB430">
        <v>30.7</v>
      </c>
      <c r="AC430">
        <v>6.0799999999999983</v>
      </c>
      <c r="AE430" s="74"/>
      <c r="AF430" s="77"/>
      <c r="AH430" s="497">
        <v>8.5999999999999979</v>
      </c>
      <c r="AJ430" s="42"/>
      <c r="AK430" s="74"/>
      <c r="AL430" s="77"/>
      <c r="AN430" s="497">
        <v>41</v>
      </c>
      <c r="AP430" s="42"/>
      <c r="AQ430" s="74"/>
      <c r="AR430" s="77"/>
      <c r="AT430" s="497">
        <v>21.92</v>
      </c>
      <c r="AV430" s="42"/>
      <c r="AW430" s="74"/>
      <c r="AX430" s="77"/>
      <c r="BA430" s="497">
        <v>41</v>
      </c>
      <c r="BB430" s="42"/>
      <c r="BC430" s="74"/>
      <c r="BD430" s="77"/>
      <c r="BF430">
        <v>37.04</v>
      </c>
      <c r="BH430" s="42"/>
      <c r="BI430" s="74"/>
      <c r="BJ430" s="77"/>
      <c r="BL430" s="497">
        <v>35.96</v>
      </c>
      <c r="BN430" s="42"/>
      <c r="BO430" s="74"/>
      <c r="BP430" s="77"/>
      <c r="BR430" s="497">
        <v>42.08</v>
      </c>
      <c r="BT430" s="42"/>
    </row>
    <row r="431" spans="1:72" x14ac:dyDescent="0.25">
      <c r="A431" s="90">
        <v>36178</v>
      </c>
      <c r="B431" s="20">
        <v>0.20833333333333334</v>
      </c>
      <c r="D431">
        <v>37.94</v>
      </c>
      <c r="E431" t="str">
        <f t="shared" si="48"/>
        <v>WEEKDAY</v>
      </c>
      <c r="F431" t="e">
        <f t="shared" si="49"/>
        <v>#N/A</v>
      </c>
      <c r="G431" s="74">
        <v>27777</v>
      </c>
      <c r="H431" s="77">
        <v>0.20833333333333334</v>
      </c>
      <c r="J431">
        <v>10.039999999999999</v>
      </c>
      <c r="M431" s="74">
        <v>37639</v>
      </c>
      <c r="N431" s="77">
        <v>0.20833333333333334</v>
      </c>
      <c r="P431">
        <v>3.1999999999999993</v>
      </c>
      <c r="S431" s="74">
        <v>36178</v>
      </c>
      <c r="T431" s="77">
        <v>0.20833333333333334</v>
      </c>
      <c r="V431">
        <v>42.08</v>
      </c>
      <c r="X431" s="42"/>
      <c r="AB431">
        <v>30.4</v>
      </c>
      <c r="AC431">
        <v>6.0799999999999983</v>
      </c>
      <c r="AE431" s="74"/>
      <c r="AF431" s="77"/>
      <c r="AH431" s="497">
        <v>8.5999999999999979</v>
      </c>
      <c r="AJ431" s="42"/>
      <c r="AK431" s="74"/>
      <c r="AL431" s="77"/>
      <c r="AN431" s="497">
        <v>39.92</v>
      </c>
      <c r="AP431" s="42"/>
      <c r="AQ431" s="74"/>
      <c r="AR431" s="77"/>
      <c r="AT431" s="497">
        <v>21.92</v>
      </c>
      <c r="AV431" s="42"/>
      <c r="AW431" s="74"/>
      <c r="AX431" s="77"/>
      <c r="BA431" s="497">
        <v>40.64</v>
      </c>
      <c r="BB431" s="42"/>
      <c r="BC431" s="74"/>
      <c r="BD431" s="77"/>
      <c r="BF431">
        <v>37.04</v>
      </c>
      <c r="BH431" s="42"/>
      <c r="BI431" s="74"/>
      <c r="BJ431" s="77"/>
      <c r="BL431" s="497">
        <v>35.96</v>
      </c>
      <c r="BN431" s="42"/>
      <c r="BO431" s="74"/>
      <c r="BP431" s="77"/>
      <c r="BR431" s="497">
        <v>41</v>
      </c>
      <c r="BT431" s="42"/>
    </row>
    <row r="432" spans="1:72" x14ac:dyDescent="0.25">
      <c r="A432" s="90">
        <v>36178</v>
      </c>
      <c r="B432" s="20">
        <v>0.25</v>
      </c>
      <c r="D432">
        <v>37.94</v>
      </c>
      <c r="E432" t="str">
        <f t="shared" si="48"/>
        <v>WEEKDAY</v>
      </c>
      <c r="F432" t="e">
        <f t="shared" si="49"/>
        <v>#N/A</v>
      </c>
      <c r="G432" s="74">
        <v>27777</v>
      </c>
      <c r="H432" s="77">
        <v>0.25</v>
      </c>
      <c r="J432">
        <v>8.9599999999999973</v>
      </c>
      <c r="M432" s="74">
        <v>37639</v>
      </c>
      <c r="N432" s="77">
        <v>0.25</v>
      </c>
      <c r="P432">
        <v>1.3999999999999986</v>
      </c>
      <c r="S432" s="74">
        <v>36178</v>
      </c>
      <c r="T432" s="77">
        <v>0.25</v>
      </c>
      <c r="V432">
        <v>44.96</v>
      </c>
      <c r="X432" s="42"/>
      <c r="AB432">
        <v>30.2</v>
      </c>
      <c r="AC432">
        <v>6.0799999999999983</v>
      </c>
      <c r="AE432" s="74"/>
      <c r="AF432" s="77"/>
      <c r="AH432" s="497">
        <v>6.8000000000000007</v>
      </c>
      <c r="AJ432" s="42"/>
      <c r="AK432" s="74"/>
      <c r="AL432" s="77"/>
      <c r="AN432" s="497">
        <v>39.92</v>
      </c>
      <c r="AP432" s="42"/>
      <c r="AQ432" s="74"/>
      <c r="AR432" s="77"/>
      <c r="AT432" s="497">
        <v>19.939999999999998</v>
      </c>
      <c r="AV432" s="42"/>
      <c r="AW432" s="74"/>
      <c r="AX432" s="77"/>
      <c r="BA432" s="497">
        <v>40.28</v>
      </c>
      <c r="BB432" s="42"/>
      <c r="BC432" s="74"/>
      <c r="BD432" s="77"/>
      <c r="BF432">
        <v>37.04</v>
      </c>
      <c r="BH432" s="42"/>
      <c r="BI432" s="74"/>
      <c r="BJ432" s="77"/>
      <c r="BL432" s="497">
        <v>35.96</v>
      </c>
      <c r="BN432" s="42"/>
      <c r="BO432" s="74"/>
      <c r="BP432" s="77"/>
      <c r="BR432" s="497">
        <v>39.92</v>
      </c>
      <c r="BT432" s="42"/>
    </row>
    <row r="433" spans="1:72" x14ac:dyDescent="0.25">
      <c r="A433" s="90">
        <v>36178</v>
      </c>
      <c r="B433" s="20">
        <v>0.29166666666666669</v>
      </c>
      <c r="D433">
        <v>37.94</v>
      </c>
      <c r="E433" t="str">
        <f t="shared" si="48"/>
        <v>WEEKDAY</v>
      </c>
      <c r="F433" t="e">
        <f t="shared" si="49"/>
        <v>#N/A</v>
      </c>
      <c r="G433" s="74">
        <v>27777</v>
      </c>
      <c r="H433" s="77">
        <v>0.29166666666666669</v>
      </c>
      <c r="J433">
        <v>8.0599999999999987</v>
      </c>
      <c r="M433" s="74">
        <v>37639</v>
      </c>
      <c r="N433" s="77">
        <v>0.29166666666666669</v>
      </c>
      <c r="P433">
        <v>1.3999999999999986</v>
      </c>
      <c r="S433" s="74">
        <v>36178</v>
      </c>
      <c r="T433" s="77">
        <v>0.29166666666666669</v>
      </c>
      <c r="V433">
        <v>46.94</v>
      </c>
      <c r="X433" s="42"/>
      <c r="AB433">
        <v>30.1</v>
      </c>
      <c r="AC433">
        <v>6.0799999999999983</v>
      </c>
      <c r="AE433" s="74"/>
      <c r="AF433" s="77"/>
      <c r="AH433" s="497">
        <v>6.8000000000000007</v>
      </c>
      <c r="AJ433" s="42"/>
      <c r="AK433" s="74"/>
      <c r="AL433" s="77"/>
      <c r="AN433" s="497">
        <v>41</v>
      </c>
      <c r="AP433" s="42"/>
      <c r="AQ433" s="74"/>
      <c r="AR433" s="77"/>
      <c r="AT433" s="497">
        <v>21.02</v>
      </c>
      <c r="AV433" s="42"/>
      <c r="AW433" s="74"/>
      <c r="AX433" s="77"/>
      <c r="BA433" s="497">
        <v>39.92</v>
      </c>
      <c r="BB433" s="42"/>
      <c r="BC433" s="74"/>
      <c r="BD433" s="77"/>
      <c r="BF433">
        <v>37.04</v>
      </c>
      <c r="BH433" s="42"/>
      <c r="BI433" s="74"/>
      <c r="BJ433" s="77"/>
      <c r="BL433" s="497">
        <v>35.96</v>
      </c>
      <c r="BN433" s="42"/>
      <c r="BO433" s="74"/>
      <c r="BP433" s="77"/>
      <c r="BR433" s="497">
        <v>39.92</v>
      </c>
      <c r="BT433" s="42"/>
    </row>
    <row r="434" spans="1:72" x14ac:dyDescent="0.25">
      <c r="A434" s="90">
        <v>36178</v>
      </c>
      <c r="B434" s="20">
        <v>0.33333333333333331</v>
      </c>
      <c r="D434">
        <v>37.94</v>
      </c>
      <c r="E434" t="str">
        <f t="shared" si="48"/>
        <v>WEEKDAY</v>
      </c>
      <c r="F434" t="e">
        <f t="shared" si="49"/>
        <v>#N/A</v>
      </c>
      <c r="G434" s="74">
        <v>27777</v>
      </c>
      <c r="H434" s="77">
        <v>0.33333333333333331</v>
      </c>
      <c r="J434">
        <v>6.98</v>
      </c>
      <c r="M434" s="74">
        <v>37639</v>
      </c>
      <c r="N434" s="77">
        <v>0.33333333333333331</v>
      </c>
      <c r="P434">
        <v>1.3999999999999986</v>
      </c>
      <c r="S434" s="74">
        <v>36178</v>
      </c>
      <c r="T434" s="77">
        <v>0.33333333333333331</v>
      </c>
      <c r="V434">
        <v>48.019999999999996</v>
      </c>
      <c r="X434" s="42"/>
      <c r="AB434">
        <v>30</v>
      </c>
      <c r="AC434">
        <v>6.98</v>
      </c>
      <c r="AE434" s="74"/>
      <c r="AF434" s="77"/>
      <c r="AH434" s="497">
        <v>6.8000000000000007</v>
      </c>
      <c r="AJ434" s="42"/>
      <c r="AK434" s="74"/>
      <c r="AL434" s="77"/>
      <c r="AN434" s="497">
        <v>39.92</v>
      </c>
      <c r="AP434" s="42"/>
      <c r="AQ434" s="74"/>
      <c r="AR434" s="77"/>
      <c r="AT434" s="497">
        <v>15.079999999999998</v>
      </c>
      <c r="AV434" s="42"/>
      <c r="AW434" s="74"/>
      <c r="AX434" s="77"/>
      <c r="BA434" s="497">
        <v>39.92</v>
      </c>
      <c r="BB434" s="42"/>
      <c r="BC434" s="74"/>
      <c r="BD434" s="77"/>
      <c r="BF434">
        <v>37.04</v>
      </c>
      <c r="BH434" s="42"/>
      <c r="BI434" s="74"/>
      <c r="BJ434" s="77"/>
      <c r="BL434" s="497">
        <v>36.68</v>
      </c>
      <c r="BN434" s="42"/>
      <c r="BO434" s="74"/>
      <c r="BP434" s="77"/>
      <c r="BR434" s="497">
        <v>39.019999999999996</v>
      </c>
      <c r="BT434" s="42"/>
    </row>
    <row r="435" spans="1:72" x14ac:dyDescent="0.25">
      <c r="A435" s="90">
        <v>36178</v>
      </c>
      <c r="B435" s="20">
        <v>0.375</v>
      </c>
      <c r="D435">
        <v>37.94</v>
      </c>
      <c r="E435" t="str">
        <f t="shared" si="48"/>
        <v>WEEKDAY</v>
      </c>
      <c r="F435" t="e">
        <f t="shared" si="49"/>
        <v>#N/A</v>
      </c>
      <c r="G435" s="74">
        <v>27777</v>
      </c>
      <c r="H435" s="77">
        <v>0.375</v>
      </c>
      <c r="J435">
        <v>8.0599999999999987</v>
      </c>
      <c r="M435" s="74">
        <v>37639</v>
      </c>
      <c r="N435" s="77">
        <v>0.375</v>
      </c>
      <c r="P435">
        <v>3.1999999999999993</v>
      </c>
      <c r="S435" s="74">
        <v>36178</v>
      </c>
      <c r="T435" s="77">
        <v>0.375</v>
      </c>
      <c r="V435">
        <v>50</v>
      </c>
      <c r="X435" s="42"/>
      <c r="AB435">
        <v>30.4</v>
      </c>
      <c r="AC435">
        <v>10.039999999999999</v>
      </c>
      <c r="AE435" s="74"/>
      <c r="AF435" s="77"/>
      <c r="AH435" s="497">
        <v>8.5999999999999979</v>
      </c>
      <c r="AJ435" s="42"/>
      <c r="AK435" s="74"/>
      <c r="AL435" s="77"/>
      <c r="AN435" s="497">
        <v>39.92</v>
      </c>
      <c r="AP435" s="42"/>
      <c r="AQ435" s="74"/>
      <c r="AR435" s="77"/>
      <c r="AT435" s="497">
        <v>15.98</v>
      </c>
      <c r="AV435" s="42"/>
      <c r="AW435" s="74"/>
      <c r="AX435" s="77"/>
      <c r="BA435" s="497">
        <v>39.92</v>
      </c>
      <c r="BB435" s="42"/>
      <c r="BC435" s="74"/>
      <c r="BD435" s="77"/>
      <c r="BF435">
        <v>35.96</v>
      </c>
      <c r="BH435" s="42"/>
      <c r="BI435" s="74"/>
      <c r="BJ435" s="77"/>
      <c r="BL435" s="497">
        <v>37.22</v>
      </c>
      <c r="BN435" s="42"/>
      <c r="BO435" s="74"/>
      <c r="BP435" s="77"/>
      <c r="BR435" s="497">
        <v>39.92</v>
      </c>
      <c r="BT435" s="42"/>
    </row>
    <row r="436" spans="1:72" x14ac:dyDescent="0.25">
      <c r="A436" s="90">
        <v>36178</v>
      </c>
      <c r="B436" s="20">
        <v>0.41666666666666669</v>
      </c>
      <c r="D436">
        <v>37.94</v>
      </c>
      <c r="E436" t="str">
        <f t="shared" si="48"/>
        <v>WEEKDAY</v>
      </c>
      <c r="F436" t="e">
        <f t="shared" si="49"/>
        <v>#N/A</v>
      </c>
      <c r="G436" s="74">
        <v>27777</v>
      </c>
      <c r="H436" s="77">
        <v>0.41666666666666669</v>
      </c>
      <c r="J436">
        <v>8.9599999999999973</v>
      </c>
      <c r="M436" s="74">
        <v>37639</v>
      </c>
      <c r="N436" s="77">
        <v>0.41666666666666669</v>
      </c>
      <c r="P436">
        <v>6.8000000000000007</v>
      </c>
      <c r="S436" s="74">
        <v>36178</v>
      </c>
      <c r="T436" s="77">
        <v>0.41666666666666669</v>
      </c>
      <c r="V436">
        <v>48.92</v>
      </c>
      <c r="X436" s="42"/>
      <c r="AB436">
        <v>31.7</v>
      </c>
      <c r="AC436">
        <v>10.940000000000001</v>
      </c>
      <c r="AE436" s="74"/>
      <c r="AF436" s="77"/>
      <c r="AH436" s="497">
        <v>10.399999999999999</v>
      </c>
      <c r="AJ436" s="42"/>
      <c r="AK436" s="74"/>
      <c r="AL436" s="77"/>
      <c r="AN436" s="497">
        <v>41</v>
      </c>
      <c r="AP436" s="42"/>
      <c r="AQ436" s="74"/>
      <c r="AR436" s="77"/>
      <c r="AT436" s="497">
        <v>24.08</v>
      </c>
      <c r="AV436" s="42"/>
      <c r="AW436" s="74"/>
      <c r="AX436" s="77"/>
      <c r="BA436" s="497">
        <v>39.92</v>
      </c>
      <c r="BB436" s="42"/>
      <c r="BC436" s="74"/>
      <c r="BD436" s="77"/>
      <c r="BF436">
        <v>35.96</v>
      </c>
      <c r="BH436" s="42"/>
      <c r="BI436" s="74"/>
      <c r="BJ436" s="77"/>
      <c r="BL436" s="497">
        <v>37.94</v>
      </c>
      <c r="BN436" s="42"/>
      <c r="BO436" s="74"/>
      <c r="BP436" s="77"/>
      <c r="BR436" s="497">
        <v>41</v>
      </c>
      <c r="BT436" s="42"/>
    </row>
    <row r="437" spans="1:72" x14ac:dyDescent="0.25">
      <c r="A437" s="90">
        <v>36178</v>
      </c>
      <c r="B437" s="20">
        <v>0.45833333333333331</v>
      </c>
      <c r="D437">
        <v>37.94</v>
      </c>
      <c r="E437" t="str">
        <f t="shared" si="48"/>
        <v>WEEKDAY</v>
      </c>
      <c r="F437" t="e">
        <f t="shared" si="49"/>
        <v>#N/A</v>
      </c>
      <c r="G437" s="74">
        <v>27777</v>
      </c>
      <c r="H437" s="77">
        <v>0.45833333333333331</v>
      </c>
      <c r="J437">
        <v>10.940000000000001</v>
      </c>
      <c r="M437" s="74">
        <v>37639</v>
      </c>
      <c r="N437" s="77">
        <v>0.45833333333333331</v>
      </c>
      <c r="P437">
        <v>8.5999999999999979</v>
      </c>
      <c r="S437" s="74">
        <v>36178</v>
      </c>
      <c r="T437" s="77">
        <v>0.45833333333333331</v>
      </c>
      <c r="V437">
        <v>50</v>
      </c>
      <c r="X437" s="42"/>
      <c r="AB437">
        <v>33.200000000000003</v>
      </c>
      <c r="AC437">
        <v>12.920000000000002</v>
      </c>
      <c r="AE437" s="74"/>
      <c r="AF437" s="77"/>
      <c r="AH437" s="497">
        <v>10.399999999999999</v>
      </c>
      <c r="AJ437" s="42"/>
      <c r="AK437" s="74"/>
      <c r="AL437" s="77"/>
      <c r="AN437" s="497">
        <v>44.96</v>
      </c>
      <c r="AP437" s="42"/>
      <c r="AQ437" s="74"/>
      <c r="AR437" s="77"/>
      <c r="AT437" s="497">
        <v>24.98</v>
      </c>
      <c r="AV437" s="42"/>
      <c r="AW437" s="74"/>
      <c r="AX437" s="77"/>
      <c r="BA437" s="497">
        <v>40.64</v>
      </c>
      <c r="BB437" s="42"/>
      <c r="BC437" s="74"/>
      <c r="BD437" s="77"/>
      <c r="BF437">
        <v>37.04</v>
      </c>
      <c r="BH437" s="42"/>
      <c r="BI437" s="74"/>
      <c r="BJ437" s="77"/>
      <c r="BL437" s="497">
        <v>37.94</v>
      </c>
      <c r="BN437" s="42"/>
      <c r="BO437" s="74"/>
      <c r="BP437" s="77"/>
      <c r="BR437" s="497">
        <v>42.980000000000004</v>
      </c>
      <c r="BT437" s="42"/>
    </row>
    <row r="438" spans="1:72" x14ac:dyDescent="0.25">
      <c r="A438" s="90">
        <v>36178</v>
      </c>
      <c r="B438" s="20">
        <v>0.5</v>
      </c>
      <c r="D438">
        <v>39.019999999999996</v>
      </c>
      <c r="E438" t="str">
        <f t="shared" si="48"/>
        <v>WEEKDAY</v>
      </c>
      <c r="F438" t="e">
        <f t="shared" si="49"/>
        <v>#N/A</v>
      </c>
      <c r="G438" s="74">
        <v>27777</v>
      </c>
      <c r="H438" s="77">
        <v>0.5</v>
      </c>
      <c r="J438">
        <v>14</v>
      </c>
      <c r="M438" s="74">
        <v>37639</v>
      </c>
      <c r="N438" s="77">
        <v>0.5</v>
      </c>
      <c r="P438">
        <v>12.2</v>
      </c>
      <c r="S438" s="74">
        <v>36178</v>
      </c>
      <c r="T438" s="77">
        <v>0.5</v>
      </c>
      <c r="V438">
        <v>51.08</v>
      </c>
      <c r="X438" s="42"/>
      <c r="AB438">
        <v>34.4</v>
      </c>
      <c r="AC438">
        <v>15.079999999999998</v>
      </c>
      <c r="AE438" s="74"/>
      <c r="AF438" s="77"/>
      <c r="AH438" s="497">
        <v>10.399999999999999</v>
      </c>
      <c r="AJ438" s="42"/>
      <c r="AK438" s="74"/>
      <c r="AL438" s="77"/>
      <c r="AN438" s="497">
        <v>46.94</v>
      </c>
      <c r="AP438" s="42"/>
      <c r="AQ438" s="74"/>
      <c r="AR438" s="77"/>
      <c r="AT438" s="497">
        <v>26.96</v>
      </c>
      <c r="AV438" s="42"/>
      <c r="AW438" s="74"/>
      <c r="AX438" s="77"/>
      <c r="BA438" s="497">
        <v>41.36</v>
      </c>
      <c r="BB438" s="42"/>
      <c r="BC438" s="74"/>
      <c r="BD438" s="77"/>
      <c r="BF438">
        <v>35.96</v>
      </c>
      <c r="BH438" s="42"/>
      <c r="BI438" s="74"/>
      <c r="BJ438" s="77"/>
      <c r="BL438" s="497">
        <v>37.94</v>
      </c>
      <c r="BN438" s="42"/>
      <c r="BO438" s="74"/>
      <c r="BP438" s="77"/>
      <c r="BR438" s="497">
        <v>42.980000000000004</v>
      </c>
      <c r="BT438" s="42"/>
    </row>
    <row r="439" spans="1:72" x14ac:dyDescent="0.25">
      <c r="A439" s="90">
        <v>36178</v>
      </c>
      <c r="B439" s="20">
        <v>0.54166666666666663</v>
      </c>
      <c r="D439">
        <v>39.019999999999996</v>
      </c>
      <c r="E439" t="str">
        <f t="shared" si="48"/>
        <v>WEEKDAY</v>
      </c>
      <c r="F439" t="e">
        <f t="shared" si="49"/>
        <v>#N/A</v>
      </c>
      <c r="G439" s="74">
        <v>27777</v>
      </c>
      <c r="H439" s="77">
        <v>0.54166666666666663</v>
      </c>
      <c r="J439">
        <v>15.98</v>
      </c>
      <c r="M439" s="74">
        <v>37639</v>
      </c>
      <c r="N439" s="77">
        <v>0.54166666666666663</v>
      </c>
      <c r="P439">
        <v>14</v>
      </c>
      <c r="S439" s="74">
        <v>36178</v>
      </c>
      <c r="T439" s="77">
        <v>0.54166666666666663</v>
      </c>
      <c r="V439">
        <v>51.980000000000004</v>
      </c>
      <c r="X439" s="42"/>
      <c r="AB439">
        <v>35.5</v>
      </c>
      <c r="AC439">
        <v>15.98</v>
      </c>
      <c r="AE439" s="74"/>
      <c r="AF439" s="77"/>
      <c r="AH439" s="497">
        <v>10.399999999999999</v>
      </c>
      <c r="AJ439" s="42"/>
      <c r="AK439" s="74"/>
      <c r="AL439" s="77"/>
      <c r="AN439" s="497">
        <v>48.92</v>
      </c>
      <c r="AP439" s="42"/>
      <c r="AQ439" s="74"/>
      <c r="AR439" s="77"/>
      <c r="AT439" s="497">
        <v>30.02</v>
      </c>
      <c r="AV439" s="42"/>
      <c r="AW439" s="74"/>
      <c r="AX439" s="77"/>
      <c r="BA439" s="497">
        <v>42.08</v>
      </c>
      <c r="BB439" s="42"/>
      <c r="BC439" s="74"/>
      <c r="BD439" s="77"/>
      <c r="BF439">
        <v>35.96</v>
      </c>
      <c r="BH439" s="42"/>
      <c r="BI439" s="74"/>
      <c r="BJ439" s="77"/>
      <c r="BL439" s="497">
        <v>37.94</v>
      </c>
      <c r="BN439" s="42"/>
      <c r="BO439" s="74"/>
      <c r="BP439" s="77"/>
      <c r="BR439" s="497">
        <v>42.08</v>
      </c>
      <c r="BT439" s="42"/>
    </row>
    <row r="440" spans="1:72" x14ac:dyDescent="0.25">
      <c r="A440" s="90">
        <v>36178</v>
      </c>
      <c r="B440" s="20">
        <v>0.58333333333333337</v>
      </c>
      <c r="D440">
        <v>39.92</v>
      </c>
      <c r="E440" t="str">
        <f t="shared" si="48"/>
        <v>WEEKDAY</v>
      </c>
      <c r="F440" t="e">
        <f t="shared" si="49"/>
        <v>#N/A</v>
      </c>
      <c r="G440" s="74">
        <v>27777</v>
      </c>
      <c r="H440" s="77">
        <v>0.58333333333333337</v>
      </c>
      <c r="J440">
        <v>17.96</v>
      </c>
      <c r="M440" s="74">
        <v>37639</v>
      </c>
      <c r="N440" s="77">
        <v>0.58333333333333337</v>
      </c>
      <c r="P440">
        <v>15.8</v>
      </c>
      <c r="S440" s="74">
        <v>36178</v>
      </c>
      <c r="T440" s="77">
        <v>0.58333333333333337</v>
      </c>
      <c r="V440">
        <v>51.980000000000004</v>
      </c>
      <c r="X440" s="42"/>
      <c r="AB440">
        <v>36.299999999999997</v>
      </c>
      <c r="AC440">
        <v>17.059999999999999</v>
      </c>
      <c r="AE440" s="74"/>
      <c r="AF440" s="77"/>
      <c r="AH440" s="497">
        <v>12.2</v>
      </c>
      <c r="AJ440" s="42"/>
      <c r="AK440" s="74"/>
      <c r="AL440" s="77"/>
      <c r="AN440" s="497">
        <v>48.019999999999996</v>
      </c>
      <c r="AP440" s="42"/>
      <c r="AQ440" s="74"/>
      <c r="AR440" s="77"/>
      <c r="AT440" s="497">
        <v>30.02</v>
      </c>
      <c r="AV440" s="42"/>
      <c r="AW440" s="74"/>
      <c r="AX440" s="77"/>
      <c r="BA440" s="497">
        <v>41.36</v>
      </c>
      <c r="BB440" s="42"/>
      <c r="BC440" s="74"/>
      <c r="BD440" s="77"/>
      <c r="BF440">
        <v>35.96</v>
      </c>
      <c r="BH440" s="42"/>
      <c r="BI440" s="74"/>
      <c r="BJ440" s="77"/>
      <c r="BL440" s="497">
        <v>37.58</v>
      </c>
      <c r="BN440" s="42"/>
      <c r="BO440" s="74"/>
      <c r="BP440" s="77"/>
      <c r="BR440" s="497">
        <v>42.08</v>
      </c>
      <c r="BT440" s="42"/>
    </row>
    <row r="441" spans="1:72" x14ac:dyDescent="0.25">
      <c r="A441" s="90">
        <v>36178</v>
      </c>
      <c r="B441" s="20">
        <v>0.625</v>
      </c>
      <c r="D441">
        <v>39.92</v>
      </c>
      <c r="E441" t="str">
        <f t="shared" si="48"/>
        <v>WEEKDAY</v>
      </c>
      <c r="F441" t="e">
        <f t="shared" si="49"/>
        <v>#N/A</v>
      </c>
      <c r="G441" s="74">
        <v>27777</v>
      </c>
      <c r="H441" s="77">
        <v>0.625</v>
      </c>
      <c r="J441">
        <v>17.059999999999999</v>
      </c>
      <c r="M441" s="74">
        <v>37639</v>
      </c>
      <c r="N441" s="77">
        <v>0.625</v>
      </c>
      <c r="P441">
        <v>17.600000000000001</v>
      </c>
      <c r="S441" s="74">
        <v>36178</v>
      </c>
      <c r="T441" s="77">
        <v>0.625</v>
      </c>
      <c r="V441">
        <v>51.8</v>
      </c>
      <c r="X441" s="42"/>
      <c r="AB441">
        <v>36.799999999999997</v>
      </c>
      <c r="AC441">
        <v>17.96</v>
      </c>
      <c r="AE441" s="74"/>
      <c r="AF441" s="77"/>
      <c r="AH441" s="497">
        <v>12.2</v>
      </c>
      <c r="AJ441" s="42"/>
      <c r="AK441" s="74"/>
      <c r="AL441" s="77"/>
      <c r="AN441" s="497">
        <v>48.019999999999996</v>
      </c>
      <c r="AP441" s="42"/>
      <c r="AQ441" s="74"/>
      <c r="AR441" s="77"/>
      <c r="AT441" s="497">
        <v>28.94</v>
      </c>
      <c r="AV441" s="42"/>
      <c r="AW441" s="74"/>
      <c r="AX441" s="77"/>
      <c r="BA441" s="497">
        <v>40.64</v>
      </c>
      <c r="BB441" s="42"/>
      <c r="BC441" s="74"/>
      <c r="BD441" s="77"/>
      <c r="BF441">
        <v>35.96</v>
      </c>
      <c r="BH441" s="42"/>
      <c r="BI441" s="74"/>
      <c r="BJ441" s="77"/>
      <c r="BL441" s="497">
        <v>37.4</v>
      </c>
      <c r="BN441" s="42"/>
      <c r="BO441" s="74"/>
      <c r="BP441" s="77"/>
      <c r="BR441" s="497">
        <v>42.08</v>
      </c>
      <c r="BT441" s="42"/>
    </row>
    <row r="442" spans="1:72" x14ac:dyDescent="0.25">
      <c r="A442" s="90">
        <v>36178</v>
      </c>
      <c r="B442" s="20">
        <v>0.66666666666666663</v>
      </c>
      <c r="D442">
        <v>41</v>
      </c>
      <c r="E442" t="str">
        <f t="shared" si="48"/>
        <v>WEEKDAY</v>
      </c>
      <c r="F442" t="e">
        <f t="shared" si="49"/>
        <v>#N/A</v>
      </c>
      <c r="G442" s="74">
        <v>27777</v>
      </c>
      <c r="H442" s="77">
        <v>0.66666666666666663</v>
      </c>
      <c r="J442">
        <v>17.96</v>
      </c>
      <c r="M442" s="74">
        <v>37639</v>
      </c>
      <c r="N442" s="77">
        <v>0.66666666666666663</v>
      </c>
      <c r="P442">
        <v>17.600000000000001</v>
      </c>
      <c r="S442" s="74">
        <v>36178</v>
      </c>
      <c r="T442" s="77">
        <v>0.66666666666666663</v>
      </c>
      <c r="V442">
        <v>53.96</v>
      </c>
      <c r="X442" s="42"/>
      <c r="AB442">
        <v>36.799999999999997</v>
      </c>
      <c r="AC442">
        <v>17.96</v>
      </c>
      <c r="AE442" s="74"/>
      <c r="AF442" s="77"/>
      <c r="AH442" s="497">
        <v>12.2</v>
      </c>
      <c r="AJ442" s="42"/>
      <c r="AK442" s="74"/>
      <c r="AL442" s="77"/>
      <c r="AN442" s="497">
        <v>48.019999999999996</v>
      </c>
      <c r="AP442" s="42"/>
      <c r="AQ442" s="74"/>
      <c r="AR442" s="77"/>
      <c r="AT442" s="497">
        <v>28.04</v>
      </c>
      <c r="AV442" s="42"/>
      <c r="AW442" s="74"/>
      <c r="AX442" s="77"/>
      <c r="BA442" s="497">
        <v>39.92</v>
      </c>
      <c r="BB442" s="42"/>
      <c r="BC442" s="74"/>
      <c r="BD442" s="77"/>
      <c r="BF442">
        <v>35.96</v>
      </c>
      <c r="BH442" s="42"/>
      <c r="BI442" s="74"/>
      <c r="BJ442" s="77"/>
      <c r="BL442" s="497">
        <v>37.04</v>
      </c>
      <c r="BN442" s="42"/>
      <c r="BO442" s="74"/>
      <c r="BP442" s="77"/>
      <c r="BR442" s="497">
        <v>41</v>
      </c>
      <c r="BT442" s="42"/>
    </row>
    <row r="443" spans="1:72" x14ac:dyDescent="0.25">
      <c r="A443" s="90">
        <v>36178</v>
      </c>
      <c r="B443" s="20">
        <v>0.70833333333333337</v>
      </c>
      <c r="D443">
        <v>39.019999999999996</v>
      </c>
      <c r="E443" t="str">
        <f t="shared" si="48"/>
        <v>WEEKDAY</v>
      </c>
      <c r="F443" t="e">
        <f t="shared" si="49"/>
        <v>#N/A</v>
      </c>
      <c r="G443" s="74">
        <v>27777</v>
      </c>
      <c r="H443" s="77">
        <v>0.70833333333333337</v>
      </c>
      <c r="J443">
        <v>17.059999999999999</v>
      </c>
      <c r="M443" s="74">
        <v>37639</v>
      </c>
      <c r="N443" s="77">
        <v>0.70833333333333337</v>
      </c>
      <c r="P443">
        <v>15.8</v>
      </c>
      <c r="S443" s="74">
        <v>36178</v>
      </c>
      <c r="T443" s="77">
        <v>0.70833333333333337</v>
      </c>
      <c r="V443">
        <v>53.06</v>
      </c>
      <c r="X443" s="42"/>
      <c r="AB443">
        <v>36.299999999999997</v>
      </c>
      <c r="AC443">
        <v>17.96</v>
      </c>
      <c r="AE443" s="74"/>
      <c r="AF443" s="77"/>
      <c r="AH443" s="497">
        <v>10.399999999999999</v>
      </c>
      <c r="AJ443" s="42"/>
      <c r="AK443" s="74"/>
      <c r="AL443" s="77"/>
      <c r="AN443" s="497">
        <v>46.04</v>
      </c>
      <c r="AP443" s="42"/>
      <c r="AQ443" s="74"/>
      <c r="AR443" s="77"/>
      <c r="AT443" s="497">
        <v>28.04</v>
      </c>
      <c r="AV443" s="42"/>
      <c r="AW443" s="74"/>
      <c r="AX443" s="77"/>
      <c r="BA443" s="497">
        <v>39.200000000000003</v>
      </c>
      <c r="BB443" s="42"/>
      <c r="BC443" s="74"/>
      <c r="BD443" s="77"/>
      <c r="BF443">
        <v>35.06</v>
      </c>
      <c r="BH443" s="42"/>
      <c r="BI443" s="74"/>
      <c r="BJ443" s="77"/>
      <c r="BL443" s="497">
        <v>36.32</v>
      </c>
      <c r="BN443" s="42"/>
      <c r="BO443" s="74"/>
      <c r="BP443" s="77"/>
      <c r="BR443" s="497">
        <v>39.92</v>
      </c>
      <c r="BT443" s="42"/>
    </row>
    <row r="444" spans="1:72" x14ac:dyDescent="0.25">
      <c r="A444" s="90">
        <v>36178</v>
      </c>
      <c r="B444" s="20">
        <v>0.75</v>
      </c>
      <c r="D444">
        <v>39.019999999999996</v>
      </c>
      <c r="E444" t="str">
        <f t="shared" si="48"/>
        <v>WEEKDAY</v>
      </c>
      <c r="F444" t="e">
        <f t="shared" si="49"/>
        <v>#N/A</v>
      </c>
      <c r="G444" s="74">
        <v>27777</v>
      </c>
      <c r="H444" s="77">
        <v>0.75</v>
      </c>
      <c r="J444">
        <v>15.98</v>
      </c>
      <c r="M444" s="74">
        <v>37639</v>
      </c>
      <c r="N444" s="77">
        <v>0.75</v>
      </c>
      <c r="P444">
        <v>12.2</v>
      </c>
      <c r="S444" s="74">
        <v>36178</v>
      </c>
      <c r="T444" s="77">
        <v>0.75</v>
      </c>
      <c r="V444">
        <v>51.8</v>
      </c>
      <c r="X444" s="42"/>
      <c r="AB444">
        <v>35.200000000000003</v>
      </c>
      <c r="AC444">
        <v>17.96</v>
      </c>
      <c r="AE444" s="74"/>
      <c r="AF444" s="77"/>
      <c r="AH444" s="497">
        <v>8.5999999999999979</v>
      </c>
      <c r="AJ444" s="42"/>
      <c r="AK444" s="74"/>
      <c r="AL444" s="77"/>
      <c r="AN444" s="497">
        <v>46.04</v>
      </c>
      <c r="AP444" s="42"/>
      <c r="AQ444" s="74"/>
      <c r="AR444" s="77"/>
      <c r="AT444" s="497">
        <v>26.96</v>
      </c>
      <c r="AV444" s="42"/>
      <c r="AW444" s="74"/>
      <c r="AX444" s="77"/>
      <c r="BA444" s="497">
        <v>38.659999999999997</v>
      </c>
      <c r="BB444" s="42"/>
      <c r="BC444" s="74"/>
      <c r="BD444" s="77"/>
      <c r="BF444">
        <v>35.06</v>
      </c>
      <c r="BH444" s="42"/>
      <c r="BI444" s="74"/>
      <c r="BJ444" s="77"/>
      <c r="BL444" s="497">
        <v>35.78</v>
      </c>
      <c r="BN444" s="42"/>
      <c r="BO444" s="74"/>
      <c r="BP444" s="77"/>
      <c r="BR444" s="497">
        <v>37.94</v>
      </c>
      <c r="BT444" s="42"/>
    </row>
    <row r="445" spans="1:72" x14ac:dyDescent="0.25">
      <c r="A445" s="90">
        <v>36178</v>
      </c>
      <c r="B445" s="20">
        <v>0.79166666666666663</v>
      </c>
      <c r="D445">
        <v>39.019999999999996</v>
      </c>
      <c r="E445" t="str">
        <f t="shared" si="48"/>
        <v>WEEKDAY</v>
      </c>
      <c r="F445" t="e">
        <f t="shared" si="49"/>
        <v>#N/A</v>
      </c>
      <c r="G445" s="74">
        <v>27777</v>
      </c>
      <c r="H445" s="77">
        <v>0.79166666666666663</v>
      </c>
      <c r="J445">
        <v>15.98</v>
      </c>
      <c r="M445" s="74">
        <v>37639</v>
      </c>
      <c r="N445" s="77">
        <v>0.79166666666666663</v>
      </c>
      <c r="P445">
        <v>12.2</v>
      </c>
      <c r="S445" s="74">
        <v>36178</v>
      </c>
      <c r="T445" s="77">
        <v>0.79166666666666663</v>
      </c>
      <c r="V445">
        <v>48.019999999999996</v>
      </c>
      <c r="X445" s="42"/>
      <c r="AB445">
        <v>34.6</v>
      </c>
      <c r="AC445">
        <v>17.96</v>
      </c>
      <c r="AE445" s="74"/>
      <c r="AF445" s="77"/>
      <c r="AH445" s="497">
        <v>8.5999999999999979</v>
      </c>
      <c r="AJ445" s="42"/>
      <c r="AK445" s="74"/>
      <c r="AL445" s="77"/>
      <c r="AN445" s="497">
        <v>44.06</v>
      </c>
      <c r="AP445" s="42"/>
      <c r="AQ445" s="74"/>
      <c r="AR445" s="77"/>
      <c r="AT445" s="497">
        <v>23</v>
      </c>
      <c r="AV445" s="42"/>
      <c r="AW445" s="74"/>
      <c r="AX445" s="77"/>
      <c r="BA445" s="497">
        <v>37.94</v>
      </c>
      <c r="BB445" s="42"/>
      <c r="BC445" s="74"/>
      <c r="BD445" s="77"/>
      <c r="BF445">
        <v>35.06</v>
      </c>
      <c r="BH445" s="42"/>
      <c r="BI445" s="74"/>
      <c r="BJ445" s="77"/>
      <c r="BL445" s="497">
        <v>35.06</v>
      </c>
      <c r="BN445" s="42"/>
      <c r="BO445" s="74"/>
      <c r="BP445" s="77"/>
      <c r="BR445" s="497">
        <v>37.04</v>
      </c>
      <c r="BT445" s="42"/>
    </row>
    <row r="446" spans="1:72" x14ac:dyDescent="0.25">
      <c r="A446" s="90">
        <v>36178</v>
      </c>
      <c r="B446" s="20">
        <v>0.83333333333333337</v>
      </c>
      <c r="D446">
        <v>39.019999999999996</v>
      </c>
      <c r="E446" t="str">
        <f t="shared" si="48"/>
        <v>WEEKDAY</v>
      </c>
      <c r="F446" t="e">
        <f t="shared" si="49"/>
        <v>#N/A</v>
      </c>
      <c r="G446" s="74">
        <v>27777</v>
      </c>
      <c r="H446" s="77">
        <v>0.83333333333333337</v>
      </c>
      <c r="J446">
        <v>15.079999999999998</v>
      </c>
      <c r="M446" s="74">
        <v>37639</v>
      </c>
      <c r="N446" s="77">
        <v>0.83333333333333337</v>
      </c>
      <c r="P446">
        <v>12.2</v>
      </c>
      <c r="S446" s="74">
        <v>36178</v>
      </c>
      <c r="T446" s="77">
        <v>0.83333333333333337</v>
      </c>
      <c r="V446">
        <v>46.94</v>
      </c>
      <c r="X446" s="42"/>
      <c r="AB446">
        <v>34.200000000000003</v>
      </c>
      <c r="AC446">
        <v>17.059999999999999</v>
      </c>
      <c r="AE446" s="74"/>
      <c r="AF446" s="77"/>
      <c r="AH446" s="497">
        <v>6.8000000000000007</v>
      </c>
      <c r="AJ446" s="42"/>
      <c r="AK446" s="74"/>
      <c r="AL446" s="77"/>
      <c r="AN446" s="497">
        <v>44.96</v>
      </c>
      <c r="AP446" s="42"/>
      <c r="AQ446" s="74"/>
      <c r="AR446" s="77"/>
      <c r="AT446" s="497">
        <v>19.939999999999998</v>
      </c>
      <c r="AV446" s="42"/>
      <c r="AW446" s="74"/>
      <c r="AX446" s="77"/>
      <c r="BA446" s="497">
        <v>37.58</v>
      </c>
      <c r="BB446" s="42"/>
      <c r="BC446" s="74"/>
      <c r="BD446" s="77"/>
      <c r="BF446">
        <v>33.979999999999997</v>
      </c>
      <c r="BH446" s="42"/>
      <c r="BI446" s="74"/>
      <c r="BJ446" s="77"/>
      <c r="BL446" s="497">
        <v>34.700000000000003</v>
      </c>
      <c r="BN446" s="42"/>
      <c r="BO446" s="74"/>
      <c r="BP446" s="77"/>
      <c r="BR446" s="497">
        <v>37.04</v>
      </c>
      <c r="BT446" s="42"/>
    </row>
    <row r="447" spans="1:72" x14ac:dyDescent="0.25">
      <c r="A447" s="90">
        <v>36178</v>
      </c>
      <c r="B447" s="20">
        <v>0.875</v>
      </c>
      <c r="D447">
        <v>39.019999999999996</v>
      </c>
      <c r="E447" t="str">
        <f t="shared" si="48"/>
        <v>WEEKDAY</v>
      </c>
      <c r="F447" t="e">
        <f t="shared" si="49"/>
        <v>#N/A</v>
      </c>
      <c r="G447" s="74">
        <v>27777</v>
      </c>
      <c r="H447" s="77">
        <v>0.875</v>
      </c>
      <c r="J447">
        <v>14</v>
      </c>
      <c r="M447" s="74">
        <v>37639</v>
      </c>
      <c r="N447" s="77">
        <v>0.875</v>
      </c>
      <c r="P447">
        <v>12.2</v>
      </c>
      <c r="S447" s="74">
        <v>36178</v>
      </c>
      <c r="T447" s="77">
        <v>0.875</v>
      </c>
      <c r="V447">
        <v>44.06</v>
      </c>
      <c r="X447" s="42"/>
      <c r="AB447">
        <v>33.700000000000003</v>
      </c>
      <c r="AC447">
        <v>17.059999999999999</v>
      </c>
      <c r="AE447" s="74"/>
      <c r="AF447" s="77"/>
      <c r="AH447" s="497">
        <v>5</v>
      </c>
      <c r="AJ447" s="42"/>
      <c r="AK447" s="74"/>
      <c r="AL447" s="77"/>
      <c r="AN447" s="497">
        <v>44.06</v>
      </c>
      <c r="AP447" s="42"/>
      <c r="AQ447" s="74"/>
      <c r="AR447" s="77"/>
      <c r="AT447" s="497">
        <v>19.04</v>
      </c>
      <c r="AV447" s="42"/>
      <c r="AW447" s="74"/>
      <c r="AX447" s="77"/>
      <c r="BA447" s="497">
        <v>37.4</v>
      </c>
      <c r="BB447" s="42"/>
      <c r="BC447" s="74"/>
      <c r="BD447" s="77"/>
      <c r="BF447">
        <v>33.979999999999997</v>
      </c>
      <c r="BH447" s="42"/>
      <c r="BI447" s="74"/>
      <c r="BJ447" s="77"/>
      <c r="BL447" s="497">
        <v>34.340000000000003</v>
      </c>
      <c r="BN447" s="42"/>
      <c r="BO447" s="74"/>
      <c r="BP447" s="77"/>
      <c r="BR447" s="497">
        <v>41</v>
      </c>
      <c r="BT447" s="42"/>
    </row>
    <row r="448" spans="1:72" x14ac:dyDescent="0.25">
      <c r="A448" s="90">
        <v>36178</v>
      </c>
      <c r="B448" s="20">
        <v>0.91666666666666663</v>
      </c>
      <c r="D448">
        <v>39.92</v>
      </c>
      <c r="E448" t="str">
        <f t="shared" si="48"/>
        <v>WEEKDAY</v>
      </c>
      <c r="F448" t="e">
        <f t="shared" si="49"/>
        <v>#N/A</v>
      </c>
      <c r="G448" s="74">
        <v>27777</v>
      </c>
      <c r="H448" s="77">
        <v>0.91666666666666663</v>
      </c>
      <c r="J448">
        <v>12.920000000000002</v>
      </c>
      <c r="M448" s="74">
        <v>37639</v>
      </c>
      <c r="N448" s="77">
        <v>0.91666666666666663</v>
      </c>
      <c r="P448">
        <v>12.2</v>
      </c>
      <c r="S448" s="74">
        <v>36178</v>
      </c>
      <c r="T448" s="77">
        <v>0.91666666666666663</v>
      </c>
      <c r="V448">
        <v>42.08</v>
      </c>
      <c r="X448" s="42"/>
      <c r="AB448">
        <v>33</v>
      </c>
      <c r="AC448">
        <v>17.059999999999999</v>
      </c>
      <c r="AE448" s="74"/>
      <c r="AF448" s="77"/>
      <c r="AH448" s="497">
        <v>3.1999999999999993</v>
      </c>
      <c r="AJ448" s="42"/>
      <c r="AK448" s="74"/>
      <c r="AL448" s="77"/>
      <c r="AN448" s="497">
        <v>44.96</v>
      </c>
      <c r="AP448" s="42"/>
      <c r="AQ448" s="74"/>
      <c r="AR448" s="77"/>
      <c r="AT448" s="497">
        <v>17.96</v>
      </c>
      <c r="AV448" s="42"/>
      <c r="AW448" s="74"/>
      <c r="AX448" s="77"/>
      <c r="BA448" s="497">
        <v>37.04</v>
      </c>
      <c r="BB448" s="42"/>
      <c r="BC448" s="74"/>
      <c r="BD448" s="77"/>
      <c r="BF448">
        <v>33.979999999999997</v>
      </c>
      <c r="BH448" s="42"/>
      <c r="BI448" s="74"/>
      <c r="BJ448" s="77"/>
      <c r="BL448" s="497">
        <v>33.979999999999997</v>
      </c>
      <c r="BN448" s="42"/>
      <c r="BO448" s="74"/>
      <c r="BP448" s="77"/>
      <c r="BR448" s="497">
        <v>39.92</v>
      </c>
      <c r="BT448" s="42"/>
    </row>
    <row r="449" spans="1:72" x14ac:dyDescent="0.25">
      <c r="A449" s="90">
        <v>36178</v>
      </c>
      <c r="B449" s="20">
        <v>0.95833333333333337</v>
      </c>
      <c r="D449">
        <v>39.019999999999996</v>
      </c>
      <c r="E449" t="str">
        <f t="shared" si="48"/>
        <v>WEEKDAY</v>
      </c>
      <c r="F449" t="e">
        <f t="shared" si="49"/>
        <v>#N/A</v>
      </c>
      <c r="G449" s="74">
        <v>27777</v>
      </c>
      <c r="H449" s="77">
        <v>0.95833333333333337</v>
      </c>
      <c r="J449">
        <v>12.02</v>
      </c>
      <c r="M449" s="74">
        <v>37639</v>
      </c>
      <c r="N449" s="77">
        <v>0.95833333333333337</v>
      </c>
      <c r="P449">
        <v>12.2</v>
      </c>
      <c r="S449" s="74">
        <v>36178</v>
      </c>
      <c r="T449" s="77">
        <v>0.95833333333333337</v>
      </c>
      <c r="V449">
        <v>39.019999999999996</v>
      </c>
      <c r="X449" s="42"/>
      <c r="AB449">
        <v>32.6</v>
      </c>
      <c r="AC449">
        <v>15.079999999999998</v>
      </c>
      <c r="AE449" s="74"/>
      <c r="AF449" s="77"/>
      <c r="AH449" s="497">
        <v>3.1999999999999993</v>
      </c>
      <c r="AJ449" s="42"/>
      <c r="AK449" s="74"/>
      <c r="AL449" s="77"/>
      <c r="AN449" s="497">
        <v>44.96</v>
      </c>
      <c r="AP449" s="42"/>
      <c r="AQ449" s="74"/>
      <c r="AR449" s="77"/>
      <c r="AT449" s="497">
        <v>17.96</v>
      </c>
      <c r="AV449" s="42"/>
      <c r="AW449" s="74"/>
      <c r="AX449" s="77"/>
      <c r="BA449" s="497">
        <v>36.68</v>
      </c>
      <c r="BB449" s="42"/>
      <c r="BC449" s="74"/>
      <c r="BD449" s="77"/>
      <c r="BF449">
        <v>33.979999999999997</v>
      </c>
      <c r="BH449" s="42"/>
      <c r="BI449" s="74"/>
      <c r="BJ449" s="77"/>
      <c r="BL449" s="497">
        <v>33.619999999999997</v>
      </c>
      <c r="BN449" s="42"/>
      <c r="BO449" s="74"/>
      <c r="BP449" s="77"/>
      <c r="BR449" s="497">
        <v>42.08</v>
      </c>
      <c r="BT449" s="42"/>
    </row>
    <row r="450" spans="1:72" x14ac:dyDescent="0.25">
      <c r="A450" s="90">
        <v>36178</v>
      </c>
      <c r="B450" s="20">
        <v>1</v>
      </c>
      <c r="D450">
        <v>37.94</v>
      </c>
      <c r="E450" t="str">
        <f t="shared" si="48"/>
        <v>WEEKDAY</v>
      </c>
      <c r="F450" t="e">
        <f t="shared" si="49"/>
        <v>#N/A</v>
      </c>
      <c r="G450" s="74">
        <v>27777</v>
      </c>
      <c r="H450" s="77">
        <v>1</v>
      </c>
      <c r="J450">
        <v>10.940000000000001</v>
      </c>
      <c r="M450" s="74">
        <v>37639</v>
      </c>
      <c r="N450" s="80">
        <v>1</v>
      </c>
      <c r="P450">
        <v>12.2</v>
      </c>
      <c r="S450" s="74">
        <v>36178</v>
      </c>
      <c r="T450" s="80">
        <v>1</v>
      </c>
      <c r="V450">
        <v>37.94</v>
      </c>
      <c r="X450" s="42"/>
      <c r="AB450">
        <v>32.1</v>
      </c>
      <c r="AC450">
        <v>14</v>
      </c>
      <c r="AE450" s="74"/>
      <c r="AF450" s="80"/>
      <c r="AH450" s="497">
        <v>1.3999999999999986</v>
      </c>
      <c r="AJ450" s="42"/>
      <c r="AK450" s="74"/>
      <c r="AL450" s="80"/>
      <c r="AN450" s="497">
        <v>46.04</v>
      </c>
      <c r="AP450" s="42"/>
      <c r="AQ450" s="74"/>
      <c r="AR450" s="80"/>
      <c r="AT450" s="497">
        <v>17.96</v>
      </c>
      <c r="AV450" s="42"/>
      <c r="AW450" s="74"/>
      <c r="AX450" s="80"/>
      <c r="BA450" s="497">
        <v>36.32</v>
      </c>
      <c r="BB450" s="42"/>
      <c r="BC450" s="74"/>
      <c r="BD450" s="80"/>
      <c r="BF450">
        <v>33.979999999999997</v>
      </c>
      <c r="BH450" s="42"/>
      <c r="BI450" s="74"/>
      <c r="BJ450" s="80"/>
      <c r="BL450" s="497">
        <v>33.44</v>
      </c>
      <c r="BN450" s="42"/>
      <c r="BO450" s="74"/>
      <c r="BP450" s="80"/>
      <c r="BR450" s="497">
        <v>39.92</v>
      </c>
      <c r="BT450" s="42"/>
    </row>
    <row r="451" spans="1:72" x14ac:dyDescent="0.25">
      <c r="A451" s="90">
        <v>36179</v>
      </c>
      <c r="B451" s="20">
        <v>4.1666666666666664E-2</v>
      </c>
      <c r="D451">
        <v>37.94</v>
      </c>
      <c r="E451" t="str">
        <f t="shared" si="48"/>
        <v>WEEKDAY</v>
      </c>
      <c r="F451" t="e">
        <f t="shared" si="49"/>
        <v>#N/A</v>
      </c>
      <c r="G451" s="74">
        <v>27778</v>
      </c>
      <c r="H451" s="77">
        <v>4.1666666666666664E-2</v>
      </c>
      <c r="J451">
        <v>10.940000000000001</v>
      </c>
      <c r="M451" s="74">
        <v>37640</v>
      </c>
      <c r="N451" s="77">
        <v>4.1666666666666664E-2</v>
      </c>
      <c r="P451">
        <v>12.2</v>
      </c>
      <c r="S451" s="74">
        <v>36179</v>
      </c>
      <c r="T451" s="77">
        <v>4.1666666666666664E-2</v>
      </c>
      <c r="V451">
        <v>35.96</v>
      </c>
      <c r="X451" s="42"/>
      <c r="AB451">
        <v>31.6</v>
      </c>
      <c r="AC451">
        <v>14</v>
      </c>
      <c r="AE451" s="74"/>
      <c r="AF451" s="77"/>
      <c r="AH451" s="497">
        <v>1.3999999999999986</v>
      </c>
      <c r="AJ451" s="42"/>
      <c r="AK451" s="74"/>
      <c r="AL451" s="77"/>
      <c r="AN451" s="497">
        <v>46.04</v>
      </c>
      <c r="AP451" s="42"/>
      <c r="AQ451" s="74"/>
      <c r="AR451" s="77"/>
      <c r="AT451" s="497">
        <v>17.96</v>
      </c>
      <c r="AV451" s="42"/>
      <c r="AW451" s="74"/>
      <c r="AX451" s="77"/>
      <c r="BA451" s="497">
        <v>35.96</v>
      </c>
      <c r="BB451" s="42"/>
      <c r="BC451" s="74"/>
      <c r="BD451" s="77"/>
      <c r="BF451">
        <v>33.979999999999997</v>
      </c>
      <c r="BH451" s="42"/>
      <c r="BI451" s="74"/>
      <c r="BJ451" s="77"/>
      <c r="BL451" s="497">
        <v>33.08</v>
      </c>
      <c r="BN451" s="42"/>
      <c r="BO451" s="74"/>
      <c r="BP451" s="77"/>
      <c r="BR451" s="497">
        <v>37.04</v>
      </c>
      <c r="BT451" s="42"/>
    </row>
    <row r="452" spans="1:72" x14ac:dyDescent="0.25">
      <c r="A452" s="90">
        <v>36179</v>
      </c>
      <c r="B452" s="20">
        <v>8.3333333333333329E-2</v>
      </c>
      <c r="D452">
        <v>37.94</v>
      </c>
      <c r="E452" t="str">
        <f t="shared" si="48"/>
        <v>WEEKDAY</v>
      </c>
      <c r="F452" t="e">
        <f t="shared" si="49"/>
        <v>#N/A</v>
      </c>
      <c r="G452" s="74">
        <v>27778</v>
      </c>
      <c r="H452" s="77">
        <v>8.3333333333333329E-2</v>
      </c>
      <c r="J452">
        <v>10.039999999999999</v>
      </c>
      <c r="M452" s="74">
        <v>37640</v>
      </c>
      <c r="N452" s="77">
        <v>8.3333333333333329E-2</v>
      </c>
      <c r="P452">
        <v>12.2</v>
      </c>
      <c r="S452" s="74">
        <v>36179</v>
      </c>
      <c r="T452" s="77">
        <v>8.3333333333333329E-2</v>
      </c>
      <c r="V452">
        <v>37.04</v>
      </c>
      <c r="X452" s="42"/>
      <c r="AB452">
        <v>31.1</v>
      </c>
      <c r="AC452">
        <v>12.920000000000002</v>
      </c>
      <c r="AE452" s="74"/>
      <c r="AF452" s="77"/>
      <c r="AH452" s="497">
        <v>1.3999999999999986</v>
      </c>
      <c r="AJ452" s="42"/>
      <c r="AK452" s="74"/>
      <c r="AL452" s="77"/>
      <c r="AN452" s="497">
        <v>46.04</v>
      </c>
      <c r="AP452" s="42"/>
      <c r="AQ452" s="74"/>
      <c r="AR452" s="77"/>
      <c r="AT452" s="497">
        <v>17.059999999999999</v>
      </c>
      <c r="AV452" s="42"/>
      <c r="AW452" s="74"/>
      <c r="AX452" s="77"/>
      <c r="BA452" s="497">
        <v>35.96</v>
      </c>
      <c r="BB452" s="42"/>
      <c r="BC452" s="74"/>
      <c r="BD452" s="77"/>
      <c r="BF452">
        <v>33.979999999999997</v>
      </c>
      <c r="BH452" s="42"/>
      <c r="BI452" s="74"/>
      <c r="BJ452" s="77"/>
      <c r="BL452" s="497">
        <v>33.08</v>
      </c>
      <c r="BN452" s="42"/>
      <c r="BO452" s="74"/>
      <c r="BP452" s="77"/>
      <c r="BR452" s="497">
        <v>33.979999999999997</v>
      </c>
      <c r="BT452" s="42"/>
    </row>
    <row r="453" spans="1:72" x14ac:dyDescent="0.25">
      <c r="A453" s="90">
        <v>36179</v>
      </c>
      <c r="B453" s="20">
        <v>0.125</v>
      </c>
      <c r="D453">
        <v>37.94</v>
      </c>
      <c r="E453" t="str">
        <f t="shared" si="48"/>
        <v>WEEKDAY</v>
      </c>
      <c r="F453" t="e">
        <f t="shared" si="49"/>
        <v>#N/A</v>
      </c>
      <c r="G453" s="74">
        <v>27778</v>
      </c>
      <c r="H453" s="77">
        <v>0.125</v>
      </c>
      <c r="J453">
        <v>10.039999999999999</v>
      </c>
      <c r="M453" s="74">
        <v>37640</v>
      </c>
      <c r="N453" s="77">
        <v>0.125</v>
      </c>
      <c r="P453">
        <v>12.2</v>
      </c>
      <c r="S453" s="74">
        <v>36179</v>
      </c>
      <c r="T453" s="77">
        <v>0.125</v>
      </c>
      <c r="V453">
        <v>35.06</v>
      </c>
      <c r="X453" s="42"/>
      <c r="AB453">
        <v>30.8</v>
      </c>
      <c r="AC453">
        <v>12.02</v>
      </c>
      <c r="AE453" s="74"/>
      <c r="AF453" s="77"/>
      <c r="AH453" s="497">
        <v>1.3999999999999986</v>
      </c>
      <c r="AJ453" s="42"/>
      <c r="AK453" s="74"/>
      <c r="AL453" s="77"/>
      <c r="AN453" s="497">
        <v>46.04</v>
      </c>
      <c r="AP453" s="42"/>
      <c r="AQ453" s="74"/>
      <c r="AR453" s="77"/>
      <c r="AT453" s="497">
        <v>17.059999999999999</v>
      </c>
      <c r="AV453" s="42"/>
      <c r="AW453" s="74"/>
      <c r="AX453" s="77"/>
      <c r="BA453" s="497">
        <v>35.96</v>
      </c>
      <c r="BB453" s="42"/>
      <c r="BC453" s="74"/>
      <c r="BD453" s="77"/>
      <c r="BF453">
        <v>33.979999999999997</v>
      </c>
      <c r="BH453" s="42"/>
      <c r="BI453" s="74"/>
      <c r="BJ453" s="77"/>
      <c r="BL453" s="497">
        <v>33.08</v>
      </c>
      <c r="BN453" s="42"/>
      <c r="BO453" s="74"/>
      <c r="BP453" s="77"/>
      <c r="BR453" s="497">
        <v>32</v>
      </c>
      <c r="BT453" s="42"/>
    </row>
    <row r="454" spans="1:72" x14ac:dyDescent="0.25">
      <c r="A454" s="90">
        <v>36179</v>
      </c>
      <c r="B454" s="20">
        <v>0.16666666666666666</v>
      </c>
      <c r="D454">
        <v>39.019999999999996</v>
      </c>
      <c r="E454" t="str">
        <f t="shared" si="48"/>
        <v>WEEKDAY</v>
      </c>
      <c r="F454" t="e">
        <f t="shared" si="49"/>
        <v>#N/A</v>
      </c>
      <c r="G454" s="74">
        <v>27778</v>
      </c>
      <c r="H454" s="77">
        <v>0.16666666666666666</v>
      </c>
      <c r="J454">
        <v>8.9599999999999973</v>
      </c>
      <c r="M454" s="74">
        <v>37640</v>
      </c>
      <c r="N454" s="77">
        <v>0.16666666666666666</v>
      </c>
      <c r="P454">
        <v>10.399999999999999</v>
      </c>
      <c r="S454" s="74">
        <v>36179</v>
      </c>
      <c r="T454" s="77">
        <v>0.16666666666666666</v>
      </c>
      <c r="V454">
        <v>33.979999999999997</v>
      </c>
      <c r="X454" s="42"/>
      <c r="AB454">
        <v>30.5</v>
      </c>
      <c r="AC454">
        <v>12.920000000000002</v>
      </c>
      <c r="AE454" s="74"/>
      <c r="AF454" s="77"/>
      <c r="AH454" s="497">
        <v>1.3999999999999986</v>
      </c>
      <c r="AJ454" s="42"/>
      <c r="AK454" s="74"/>
      <c r="AL454" s="77"/>
      <c r="AN454" s="497">
        <v>46.04</v>
      </c>
      <c r="AP454" s="42"/>
      <c r="AQ454" s="74"/>
      <c r="AR454" s="77"/>
      <c r="AT454" s="497">
        <v>17.059999999999999</v>
      </c>
      <c r="AV454" s="42"/>
      <c r="AW454" s="74"/>
      <c r="AX454" s="77"/>
      <c r="BA454" s="497">
        <v>35.96</v>
      </c>
      <c r="BB454" s="42"/>
      <c r="BC454" s="74"/>
      <c r="BD454" s="77"/>
      <c r="BF454">
        <v>33.979999999999997</v>
      </c>
      <c r="BH454" s="42"/>
      <c r="BI454" s="74"/>
      <c r="BJ454" s="77"/>
      <c r="BL454" s="497">
        <v>33.08</v>
      </c>
      <c r="BN454" s="42"/>
      <c r="BO454" s="74"/>
      <c r="BP454" s="77"/>
      <c r="BR454" s="497">
        <v>32</v>
      </c>
      <c r="BT454" s="42"/>
    </row>
    <row r="455" spans="1:72" x14ac:dyDescent="0.25">
      <c r="A455" s="90">
        <v>36179</v>
      </c>
      <c r="B455" s="20">
        <v>0.20833333333333334</v>
      </c>
      <c r="D455">
        <v>37.94</v>
      </c>
      <c r="E455" t="str">
        <f t="shared" si="48"/>
        <v>WEEKDAY</v>
      </c>
      <c r="F455" t="e">
        <f t="shared" si="49"/>
        <v>#N/A</v>
      </c>
      <c r="G455" s="74">
        <v>27778</v>
      </c>
      <c r="H455" s="77">
        <v>0.20833333333333334</v>
      </c>
      <c r="J455">
        <v>8.0599999999999987</v>
      </c>
      <c r="M455" s="74">
        <v>37640</v>
      </c>
      <c r="N455" s="77">
        <v>0.20833333333333334</v>
      </c>
      <c r="P455">
        <v>10.399999999999999</v>
      </c>
      <c r="S455" s="74">
        <v>36179</v>
      </c>
      <c r="T455" s="77">
        <v>0.20833333333333334</v>
      </c>
      <c r="V455">
        <v>35.96</v>
      </c>
      <c r="X455" s="42"/>
      <c r="AB455">
        <v>30.1</v>
      </c>
      <c r="AC455">
        <v>12.920000000000002</v>
      </c>
      <c r="AE455" s="74"/>
      <c r="AF455" s="77"/>
      <c r="AH455" s="497">
        <v>3.1999999999999993</v>
      </c>
      <c r="AJ455" s="42"/>
      <c r="AK455" s="74"/>
      <c r="AL455" s="77"/>
      <c r="AN455" s="497">
        <v>46.04</v>
      </c>
      <c r="AP455" s="42"/>
      <c r="AQ455" s="74"/>
      <c r="AR455" s="77"/>
      <c r="AT455" s="497">
        <v>17.059999999999999</v>
      </c>
      <c r="AV455" s="42"/>
      <c r="AW455" s="74"/>
      <c r="AX455" s="77"/>
      <c r="BA455" s="497">
        <v>35.6</v>
      </c>
      <c r="BB455" s="42"/>
      <c r="BC455" s="74"/>
      <c r="BD455" s="77"/>
      <c r="BF455">
        <v>33.979999999999997</v>
      </c>
      <c r="BH455" s="42"/>
      <c r="BI455" s="74"/>
      <c r="BJ455" s="77"/>
      <c r="BL455" s="497">
        <v>33.08</v>
      </c>
      <c r="BN455" s="42"/>
      <c r="BO455" s="74"/>
      <c r="BP455" s="77"/>
      <c r="BR455" s="497">
        <v>33.979999999999997</v>
      </c>
      <c r="BT455" s="42"/>
    </row>
    <row r="456" spans="1:72" x14ac:dyDescent="0.25">
      <c r="A456" s="90">
        <v>36179</v>
      </c>
      <c r="B456" s="20">
        <v>0.25</v>
      </c>
      <c r="D456">
        <v>37.94</v>
      </c>
      <c r="E456" t="str">
        <f t="shared" si="48"/>
        <v>WEEKDAY</v>
      </c>
      <c r="F456" t="e">
        <f t="shared" si="49"/>
        <v>#N/A</v>
      </c>
      <c r="G456" s="74">
        <v>27778</v>
      </c>
      <c r="H456" s="77">
        <v>0.25</v>
      </c>
      <c r="J456">
        <v>8.0599999999999987</v>
      </c>
      <c r="M456" s="74">
        <v>37640</v>
      </c>
      <c r="N456" s="77">
        <v>0.25</v>
      </c>
      <c r="P456">
        <v>12.2</v>
      </c>
      <c r="S456" s="74">
        <v>36179</v>
      </c>
      <c r="T456" s="77">
        <v>0.25</v>
      </c>
      <c r="V456">
        <v>35.96</v>
      </c>
      <c r="X456" s="42"/>
      <c r="AB456">
        <v>29.9</v>
      </c>
      <c r="AC456">
        <v>12.02</v>
      </c>
      <c r="AE456" s="74"/>
      <c r="AF456" s="77"/>
      <c r="AH456" s="497">
        <v>3.1999999999999993</v>
      </c>
      <c r="AJ456" s="42"/>
      <c r="AK456" s="74"/>
      <c r="AL456" s="77"/>
      <c r="AN456" s="497">
        <v>46.94</v>
      </c>
      <c r="AP456" s="42"/>
      <c r="AQ456" s="74"/>
      <c r="AR456" s="77"/>
      <c r="AT456" s="497">
        <v>17.96</v>
      </c>
      <c r="AV456" s="42"/>
      <c r="AW456" s="74"/>
      <c r="AX456" s="77"/>
      <c r="BA456" s="497">
        <v>35.42</v>
      </c>
      <c r="BB456" s="42"/>
      <c r="BC456" s="74"/>
      <c r="BD456" s="77"/>
      <c r="BF456">
        <v>33.979999999999997</v>
      </c>
      <c r="BH456" s="42"/>
      <c r="BI456" s="74"/>
      <c r="BJ456" s="77"/>
      <c r="BL456" s="497">
        <v>33.08</v>
      </c>
      <c r="BN456" s="42"/>
      <c r="BO456" s="74"/>
      <c r="BP456" s="77"/>
      <c r="BR456" s="497">
        <v>37.04</v>
      </c>
      <c r="BT456" s="42"/>
    </row>
    <row r="457" spans="1:72" x14ac:dyDescent="0.25">
      <c r="A457" s="90">
        <v>36179</v>
      </c>
      <c r="B457" s="20">
        <v>0.29166666666666669</v>
      </c>
      <c r="D457">
        <v>37.04</v>
      </c>
      <c r="E457" t="str">
        <f t="shared" si="48"/>
        <v>WEEKDAY</v>
      </c>
      <c r="F457" t="e">
        <f t="shared" si="49"/>
        <v>#N/A</v>
      </c>
      <c r="G457" s="74">
        <v>27778</v>
      </c>
      <c r="H457" s="77">
        <v>0.29166666666666669</v>
      </c>
      <c r="J457">
        <v>8.0599999999999987</v>
      </c>
      <c r="M457" s="74">
        <v>37640</v>
      </c>
      <c r="N457" s="77">
        <v>0.29166666666666669</v>
      </c>
      <c r="P457">
        <v>12.2</v>
      </c>
      <c r="S457" s="74">
        <v>36179</v>
      </c>
      <c r="T457" s="77">
        <v>0.29166666666666669</v>
      </c>
      <c r="V457">
        <v>37.04</v>
      </c>
      <c r="X457" s="42"/>
      <c r="AB457">
        <v>29.8</v>
      </c>
      <c r="AC457">
        <v>12.920000000000002</v>
      </c>
      <c r="AE457" s="74"/>
      <c r="AF457" s="77"/>
      <c r="AH457" s="497">
        <v>3.1999999999999993</v>
      </c>
      <c r="AJ457" s="42"/>
      <c r="AK457" s="74"/>
      <c r="AL457" s="77"/>
      <c r="AN457" s="497">
        <v>46.94</v>
      </c>
      <c r="AP457" s="42"/>
      <c r="AQ457" s="74"/>
      <c r="AR457" s="77"/>
      <c r="AT457" s="497">
        <v>17.96</v>
      </c>
      <c r="AV457" s="42"/>
      <c r="AW457" s="74"/>
      <c r="AX457" s="77"/>
      <c r="BA457" s="497">
        <v>35.06</v>
      </c>
      <c r="BB457" s="42"/>
      <c r="BC457" s="74"/>
      <c r="BD457" s="77"/>
      <c r="BF457">
        <v>33.979999999999997</v>
      </c>
      <c r="BH457" s="42"/>
      <c r="BI457" s="74"/>
      <c r="BJ457" s="77"/>
      <c r="BL457" s="497">
        <v>33.08</v>
      </c>
      <c r="BN457" s="42"/>
      <c r="BO457" s="74"/>
      <c r="BP457" s="77"/>
      <c r="BR457" s="497">
        <v>35.96</v>
      </c>
      <c r="BT457" s="42"/>
    </row>
    <row r="458" spans="1:72" x14ac:dyDescent="0.25">
      <c r="A458" s="90">
        <v>36179</v>
      </c>
      <c r="B458" s="20">
        <v>0.33333333333333331</v>
      </c>
      <c r="D458">
        <v>37.94</v>
      </c>
      <c r="E458" t="str">
        <f t="shared" si="48"/>
        <v>WEEKDAY</v>
      </c>
      <c r="F458" t="e">
        <f t="shared" si="49"/>
        <v>#N/A</v>
      </c>
      <c r="G458" s="74">
        <v>27778</v>
      </c>
      <c r="H458" s="77">
        <v>0.33333333333333331</v>
      </c>
      <c r="J458">
        <v>8.0599999999999987</v>
      </c>
      <c r="M458" s="74">
        <v>37640</v>
      </c>
      <c r="N458" s="77">
        <v>0.33333333333333331</v>
      </c>
      <c r="P458">
        <v>14</v>
      </c>
      <c r="S458" s="74">
        <v>36179</v>
      </c>
      <c r="T458" s="77">
        <v>0.33333333333333331</v>
      </c>
      <c r="V458">
        <v>35.96</v>
      </c>
      <c r="X458" s="42"/>
      <c r="AB458">
        <v>29.7</v>
      </c>
      <c r="AC458">
        <v>14</v>
      </c>
      <c r="AE458" s="74"/>
      <c r="AF458" s="77"/>
      <c r="AH458" s="497">
        <v>3.1999999999999993</v>
      </c>
      <c r="AJ458" s="42"/>
      <c r="AK458" s="74"/>
      <c r="AL458" s="77"/>
      <c r="AN458" s="497">
        <v>46.94</v>
      </c>
      <c r="AP458" s="42"/>
      <c r="AQ458" s="74"/>
      <c r="AR458" s="77"/>
      <c r="AT458" s="497">
        <v>24.98</v>
      </c>
      <c r="AV458" s="42"/>
      <c r="AW458" s="74"/>
      <c r="AX458" s="77"/>
      <c r="BA458" s="497">
        <v>34.700000000000003</v>
      </c>
      <c r="BB458" s="42"/>
      <c r="BC458" s="74"/>
      <c r="BD458" s="77"/>
      <c r="BF458">
        <v>33.979999999999997</v>
      </c>
      <c r="BH458" s="42"/>
      <c r="BI458" s="74"/>
      <c r="BJ458" s="77"/>
      <c r="BL458" s="497">
        <v>33.44</v>
      </c>
      <c r="BN458" s="42"/>
      <c r="BO458" s="74"/>
      <c r="BP458" s="77"/>
      <c r="BR458" s="497">
        <v>37.04</v>
      </c>
      <c r="BT458" s="42"/>
    </row>
    <row r="459" spans="1:72" x14ac:dyDescent="0.25">
      <c r="A459" s="90">
        <v>36179</v>
      </c>
      <c r="B459" s="20">
        <v>0.375</v>
      </c>
      <c r="D459">
        <v>39.019999999999996</v>
      </c>
      <c r="E459" t="str">
        <f t="shared" si="48"/>
        <v>WEEKDAY</v>
      </c>
      <c r="F459" t="e">
        <f t="shared" si="49"/>
        <v>#N/A</v>
      </c>
      <c r="G459" s="74">
        <v>27778</v>
      </c>
      <c r="H459" s="77">
        <v>0.375</v>
      </c>
      <c r="J459">
        <v>10.039999999999999</v>
      </c>
      <c r="M459" s="74">
        <v>37640</v>
      </c>
      <c r="N459" s="77">
        <v>0.375</v>
      </c>
      <c r="P459">
        <v>15.8</v>
      </c>
      <c r="S459" s="74">
        <v>36179</v>
      </c>
      <c r="T459" s="77">
        <v>0.375</v>
      </c>
      <c r="V459">
        <v>39.92</v>
      </c>
      <c r="X459" s="42"/>
      <c r="AB459">
        <v>30.1</v>
      </c>
      <c r="AC459">
        <v>15.079999999999998</v>
      </c>
      <c r="AE459" s="74"/>
      <c r="AF459" s="77"/>
      <c r="AH459" s="497">
        <v>6.8000000000000007</v>
      </c>
      <c r="AJ459" s="42"/>
      <c r="AK459" s="74"/>
      <c r="AL459" s="77"/>
      <c r="AN459" s="497">
        <v>46.04</v>
      </c>
      <c r="AP459" s="42"/>
      <c r="AQ459" s="74"/>
      <c r="AR459" s="77"/>
      <c r="AT459" s="497">
        <v>26.96</v>
      </c>
      <c r="AV459" s="42"/>
      <c r="AW459" s="74"/>
      <c r="AX459" s="77"/>
      <c r="BA459" s="497">
        <v>34.340000000000003</v>
      </c>
      <c r="BB459" s="42"/>
      <c r="BC459" s="74"/>
      <c r="BD459" s="77"/>
      <c r="BF459">
        <v>33.979999999999997</v>
      </c>
      <c r="BH459" s="42"/>
      <c r="BI459" s="74"/>
      <c r="BJ459" s="77"/>
      <c r="BL459" s="497">
        <v>33.619999999999997</v>
      </c>
      <c r="BN459" s="42"/>
      <c r="BO459" s="74"/>
      <c r="BP459" s="77"/>
      <c r="BR459" s="497">
        <v>39.92</v>
      </c>
      <c r="BT459" s="42"/>
    </row>
    <row r="460" spans="1:72" x14ac:dyDescent="0.25">
      <c r="A460" s="90">
        <v>36179</v>
      </c>
      <c r="B460" s="20">
        <v>0.41666666666666669</v>
      </c>
      <c r="D460">
        <v>39.92</v>
      </c>
      <c r="E460" t="str">
        <f t="shared" si="48"/>
        <v>WEEKDAY</v>
      </c>
      <c r="F460" t="e">
        <f t="shared" si="49"/>
        <v>#N/A</v>
      </c>
      <c r="G460" s="74">
        <v>27778</v>
      </c>
      <c r="H460" s="77">
        <v>0.41666666666666669</v>
      </c>
      <c r="J460">
        <v>12.920000000000002</v>
      </c>
      <c r="M460" s="74">
        <v>37640</v>
      </c>
      <c r="N460" s="77">
        <v>0.41666666666666669</v>
      </c>
      <c r="P460">
        <v>19.399999999999999</v>
      </c>
      <c r="S460" s="74">
        <v>36179</v>
      </c>
      <c r="T460" s="77">
        <v>0.41666666666666669</v>
      </c>
      <c r="V460">
        <v>46.04</v>
      </c>
      <c r="X460" s="42"/>
      <c r="AB460">
        <v>31.4</v>
      </c>
      <c r="AC460">
        <v>17.96</v>
      </c>
      <c r="AE460" s="74"/>
      <c r="AF460" s="77"/>
      <c r="AH460" s="497">
        <v>8.5999999999999979</v>
      </c>
      <c r="AJ460" s="42"/>
      <c r="AK460" s="74"/>
      <c r="AL460" s="77"/>
      <c r="AN460" s="497">
        <v>46.94</v>
      </c>
      <c r="AP460" s="42"/>
      <c r="AQ460" s="74"/>
      <c r="AR460" s="77"/>
      <c r="AT460" s="497">
        <v>26.96</v>
      </c>
      <c r="AV460" s="42"/>
      <c r="AW460" s="74"/>
      <c r="AX460" s="77"/>
      <c r="BA460" s="497">
        <v>33.979999999999997</v>
      </c>
      <c r="BB460" s="42"/>
      <c r="BC460" s="74"/>
      <c r="BD460" s="77"/>
      <c r="BF460">
        <v>33.979999999999997</v>
      </c>
      <c r="BH460" s="42"/>
      <c r="BI460" s="74"/>
      <c r="BJ460" s="77"/>
      <c r="BL460" s="497">
        <v>33.979999999999997</v>
      </c>
      <c r="BN460" s="42"/>
      <c r="BO460" s="74"/>
      <c r="BP460" s="77"/>
      <c r="BR460" s="497">
        <v>37.94</v>
      </c>
      <c r="BT460" s="42"/>
    </row>
    <row r="461" spans="1:72" x14ac:dyDescent="0.25">
      <c r="A461" s="90">
        <v>36179</v>
      </c>
      <c r="B461" s="20">
        <v>0.45833333333333331</v>
      </c>
      <c r="D461">
        <v>42.08</v>
      </c>
      <c r="E461" t="str">
        <f t="shared" si="48"/>
        <v>WEEKDAY</v>
      </c>
      <c r="F461" t="e">
        <f t="shared" si="49"/>
        <v>#N/A</v>
      </c>
      <c r="G461" s="74">
        <v>27778</v>
      </c>
      <c r="H461" s="77">
        <v>0.45833333333333331</v>
      </c>
      <c r="J461">
        <v>17.059999999999999</v>
      </c>
      <c r="M461" s="74">
        <v>37640</v>
      </c>
      <c r="N461" s="77">
        <v>0.45833333333333331</v>
      </c>
      <c r="P461">
        <v>19.399999999999999</v>
      </c>
      <c r="S461" s="74">
        <v>36179</v>
      </c>
      <c r="T461" s="77">
        <v>0.45833333333333331</v>
      </c>
      <c r="V461">
        <v>46.04</v>
      </c>
      <c r="X461" s="42"/>
      <c r="AB461">
        <v>32.9</v>
      </c>
      <c r="AC461">
        <v>19.939999999999998</v>
      </c>
      <c r="AE461" s="74"/>
      <c r="AF461" s="77"/>
      <c r="AH461" s="497">
        <v>12.2</v>
      </c>
      <c r="AJ461" s="42"/>
      <c r="AK461" s="74"/>
      <c r="AL461" s="77"/>
      <c r="AN461" s="497">
        <v>46.94</v>
      </c>
      <c r="AP461" s="42"/>
      <c r="AQ461" s="74"/>
      <c r="AR461" s="77"/>
      <c r="AT461" s="497">
        <v>28.94</v>
      </c>
      <c r="AV461" s="42"/>
      <c r="AW461" s="74"/>
      <c r="AX461" s="77"/>
      <c r="BA461" s="497">
        <v>34.340000000000003</v>
      </c>
      <c r="BB461" s="42"/>
      <c r="BC461" s="74"/>
      <c r="BD461" s="77"/>
      <c r="BF461">
        <v>33.979999999999997</v>
      </c>
      <c r="BH461" s="42"/>
      <c r="BI461" s="74"/>
      <c r="BJ461" s="77"/>
      <c r="BL461" s="497">
        <v>33.619999999999997</v>
      </c>
      <c r="BN461" s="42"/>
      <c r="BO461" s="74"/>
      <c r="BP461" s="77"/>
      <c r="BR461" s="497">
        <v>39.019999999999996</v>
      </c>
      <c r="BT461" s="42"/>
    </row>
    <row r="462" spans="1:72" x14ac:dyDescent="0.25">
      <c r="A462" s="90">
        <v>36179</v>
      </c>
      <c r="B462" s="20">
        <v>0.5</v>
      </c>
      <c r="D462">
        <v>44.06</v>
      </c>
      <c r="E462" t="str">
        <f t="shared" si="48"/>
        <v>WEEKDAY</v>
      </c>
      <c r="F462" t="e">
        <f t="shared" si="49"/>
        <v>#N/A</v>
      </c>
      <c r="G462" s="74">
        <v>27778</v>
      </c>
      <c r="H462" s="77">
        <v>0.5</v>
      </c>
      <c r="J462">
        <v>19.04</v>
      </c>
      <c r="M462" s="74">
        <v>37640</v>
      </c>
      <c r="N462" s="77">
        <v>0.5</v>
      </c>
      <c r="P462">
        <v>21.2</v>
      </c>
      <c r="S462" s="74">
        <v>36179</v>
      </c>
      <c r="T462" s="77">
        <v>0.5</v>
      </c>
      <c r="V462">
        <v>44.96</v>
      </c>
      <c r="X462" s="42"/>
      <c r="AB462">
        <v>34.1</v>
      </c>
      <c r="AC462">
        <v>21.92</v>
      </c>
      <c r="AE462" s="74"/>
      <c r="AF462" s="77"/>
      <c r="AH462" s="497">
        <v>15.8</v>
      </c>
      <c r="AJ462" s="42"/>
      <c r="AK462" s="74"/>
      <c r="AL462" s="77"/>
      <c r="AN462" s="497">
        <v>48.92</v>
      </c>
      <c r="AP462" s="42"/>
      <c r="AQ462" s="74"/>
      <c r="AR462" s="77"/>
      <c r="AT462" s="497">
        <v>30.02</v>
      </c>
      <c r="AV462" s="42"/>
      <c r="AW462" s="74"/>
      <c r="AX462" s="77"/>
      <c r="BA462" s="497">
        <v>34.700000000000003</v>
      </c>
      <c r="BB462" s="42"/>
      <c r="BC462" s="74"/>
      <c r="BD462" s="77"/>
      <c r="BF462">
        <v>33.979999999999997</v>
      </c>
      <c r="BH462" s="42"/>
      <c r="BI462" s="74"/>
      <c r="BJ462" s="77"/>
      <c r="BL462" s="497">
        <v>33.44</v>
      </c>
      <c r="BN462" s="42"/>
      <c r="BO462" s="74"/>
      <c r="BP462" s="77"/>
      <c r="BR462" s="497">
        <v>39.019999999999996</v>
      </c>
      <c r="BT462" s="42"/>
    </row>
    <row r="463" spans="1:72" x14ac:dyDescent="0.25">
      <c r="A463" s="90">
        <v>36179</v>
      </c>
      <c r="B463" s="20">
        <v>0.54166666666666663</v>
      </c>
      <c r="D463">
        <v>44.96</v>
      </c>
      <c r="E463" t="str">
        <f t="shared" si="48"/>
        <v>WEEKDAY</v>
      </c>
      <c r="F463" t="e">
        <f t="shared" si="49"/>
        <v>#N/A</v>
      </c>
      <c r="G463" s="74">
        <v>27778</v>
      </c>
      <c r="H463" s="77">
        <v>0.54166666666666663</v>
      </c>
      <c r="J463">
        <v>21.02</v>
      </c>
      <c r="M463" s="74">
        <v>37640</v>
      </c>
      <c r="N463" s="77">
        <v>0.54166666666666663</v>
      </c>
      <c r="P463">
        <v>21.2</v>
      </c>
      <c r="S463" s="74">
        <v>36179</v>
      </c>
      <c r="T463" s="77">
        <v>0.54166666666666663</v>
      </c>
      <c r="V463">
        <v>48.92</v>
      </c>
      <c r="X463" s="42"/>
      <c r="AB463">
        <v>35.200000000000003</v>
      </c>
      <c r="AC463">
        <v>23</v>
      </c>
      <c r="AE463" s="74"/>
      <c r="AF463" s="77"/>
      <c r="AH463" s="497">
        <v>17.600000000000001</v>
      </c>
      <c r="AJ463" s="42"/>
      <c r="AK463" s="74"/>
      <c r="AL463" s="77"/>
      <c r="AN463" s="497">
        <v>48.92</v>
      </c>
      <c r="AP463" s="42"/>
      <c r="AQ463" s="74"/>
      <c r="AR463" s="77"/>
      <c r="AT463" s="497">
        <v>30.02</v>
      </c>
      <c r="AV463" s="42"/>
      <c r="AW463" s="74"/>
      <c r="AX463" s="77"/>
      <c r="BA463" s="497">
        <v>35.06</v>
      </c>
      <c r="BB463" s="42"/>
      <c r="BC463" s="74"/>
      <c r="BD463" s="77"/>
      <c r="BF463">
        <v>35.06</v>
      </c>
      <c r="BH463" s="42"/>
      <c r="BI463" s="74"/>
      <c r="BJ463" s="77"/>
      <c r="BL463" s="497">
        <v>33.08</v>
      </c>
      <c r="BN463" s="42"/>
      <c r="BO463" s="74"/>
      <c r="BP463" s="77"/>
      <c r="BR463" s="497">
        <v>39.019999999999996</v>
      </c>
      <c r="BT463" s="42"/>
    </row>
    <row r="464" spans="1:72" x14ac:dyDescent="0.25">
      <c r="A464" s="90">
        <v>36179</v>
      </c>
      <c r="B464" s="20">
        <v>0.58333333333333337</v>
      </c>
      <c r="D464">
        <v>46.94</v>
      </c>
      <c r="E464" t="str">
        <f t="shared" si="48"/>
        <v>WEEKDAY</v>
      </c>
      <c r="F464" t="e">
        <f t="shared" si="49"/>
        <v>#N/A</v>
      </c>
      <c r="G464" s="74">
        <v>27778</v>
      </c>
      <c r="H464" s="77">
        <v>0.58333333333333337</v>
      </c>
      <c r="J464">
        <v>24.08</v>
      </c>
      <c r="M464" s="74">
        <v>37640</v>
      </c>
      <c r="N464" s="77">
        <v>0.58333333333333337</v>
      </c>
      <c r="P464">
        <v>24.8</v>
      </c>
      <c r="S464" s="74">
        <v>36179</v>
      </c>
      <c r="T464" s="77">
        <v>0.58333333333333337</v>
      </c>
      <c r="V464">
        <v>48.92</v>
      </c>
      <c r="X464" s="42"/>
      <c r="AB464">
        <v>36.1</v>
      </c>
      <c r="AC464">
        <v>24.98</v>
      </c>
      <c r="AE464" s="74"/>
      <c r="AF464" s="77"/>
      <c r="AH464" s="497">
        <v>17.600000000000001</v>
      </c>
      <c r="AJ464" s="42"/>
      <c r="AK464" s="74"/>
      <c r="AL464" s="77"/>
      <c r="AN464" s="497">
        <v>48.019999999999996</v>
      </c>
      <c r="AP464" s="42"/>
      <c r="AQ464" s="74"/>
      <c r="AR464" s="77"/>
      <c r="AT464" s="497">
        <v>30.92</v>
      </c>
      <c r="AV464" s="42"/>
      <c r="AW464" s="74"/>
      <c r="AX464" s="77"/>
      <c r="BA464" s="497">
        <v>35.06</v>
      </c>
      <c r="BB464" s="42"/>
      <c r="BC464" s="74"/>
      <c r="BD464" s="77"/>
      <c r="BF464">
        <v>33.979999999999997</v>
      </c>
      <c r="BH464" s="42"/>
      <c r="BI464" s="74"/>
      <c r="BJ464" s="77"/>
      <c r="BL464" s="497">
        <v>33.08</v>
      </c>
      <c r="BN464" s="42"/>
      <c r="BO464" s="74"/>
      <c r="BP464" s="77"/>
      <c r="BR464" s="497">
        <v>39.92</v>
      </c>
      <c r="BT464" s="42"/>
    </row>
    <row r="465" spans="1:72" x14ac:dyDescent="0.25">
      <c r="A465" s="90">
        <v>36179</v>
      </c>
      <c r="B465" s="20">
        <v>0.625</v>
      </c>
      <c r="D465">
        <v>48.019999999999996</v>
      </c>
      <c r="E465" t="str">
        <f t="shared" si="48"/>
        <v>WEEKDAY</v>
      </c>
      <c r="F465" t="e">
        <f t="shared" si="49"/>
        <v>#N/A</v>
      </c>
      <c r="G465" s="74">
        <v>27778</v>
      </c>
      <c r="H465" s="77">
        <v>0.625</v>
      </c>
      <c r="J465">
        <v>24.98</v>
      </c>
      <c r="M465" s="74">
        <v>37640</v>
      </c>
      <c r="N465" s="77">
        <v>0.625</v>
      </c>
      <c r="P465">
        <v>24.8</v>
      </c>
      <c r="S465" s="74">
        <v>36179</v>
      </c>
      <c r="T465" s="77">
        <v>0.625</v>
      </c>
      <c r="V465">
        <v>48.019999999999996</v>
      </c>
      <c r="X465" s="42"/>
      <c r="AB465">
        <v>36.5</v>
      </c>
      <c r="AC465">
        <v>26.060000000000002</v>
      </c>
      <c r="AE465" s="74"/>
      <c r="AF465" s="77"/>
      <c r="AH465" s="497">
        <v>17.600000000000001</v>
      </c>
      <c r="AJ465" s="42"/>
      <c r="AK465" s="74"/>
      <c r="AL465" s="77"/>
      <c r="AN465" s="497">
        <v>48.019999999999996</v>
      </c>
      <c r="AP465" s="42"/>
      <c r="AQ465" s="74"/>
      <c r="AR465" s="77"/>
      <c r="AT465" s="497">
        <v>26.96</v>
      </c>
      <c r="AV465" s="42"/>
      <c r="AW465" s="74"/>
      <c r="AX465" s="77"/>
      <c r="BA465" s="497">
        <v>35.06</v>
      </c>
      <c r="BB465" s="42"/>
      <c r="BC465" s="74"/>
      <c r="BD465" s="77"/>
      <c r="BF465">
        <v>33.979999999999997</v>
      </c>
      <c r="BH465" s="42"/>
      <c r="BI465" s="74"/>
      <c r="BJ465" s="77"/>
      <c r="BL465" s="497">
        <v>33.08</v>
      </c>
      <c r="BN465" s="42"/>
      <c r="BO465" s="74"/>
      <c r="BP465" s="77"/>
      <c r="BR465" s="497">
        <v>39.019999999999996</v>
      </c>
      <c r="BT465" s="42"/>
    </row>
    <row r="466" spans="1:72" x14ac:dyDescent="0.25">
      <c r="A466" s="90">
        <v>36179</v>
      </c>
      <c r="B466" s="20">
        <v>0.66666666666666663</v>
      </c>
      <c r="D466">
        <v>48.92</v>
      </c>
      <c r="E466" t="str">
        <f t="shared" si="48"/>
        <v>WEEKDAY</v>
      </c>
      <c r="F466" t="e">
        <f t="shared" si="49"/>
        <v>#N/A</v>
      </c>
      <c r="G466" s="74">
        <v>27778</v>
      </c>
      <c r="H466" s="77">
        <v>0.66666666666666663</v>
      </c>
      <c r="J466">
        <v>26.060000000000002</v>
      </c>
      <c r="M466" s="74">
        <v>37640</v>
      </c>
      <c r="N466" s="77">
        <v>0.66666666666666663</v>
      </c>
      <c r="P466">
        <v>24.8</v>
      </c>
      <c r="S466" s="74">
        <v>36179</v>
      </c>
      <c r="T466" s="77">
        <v>0.66666666666666663</v>
      </c>
      <c r="V466">
        <v>46.94</v>
      </c>
      <c r="X466" s="42"/>
      <c r="AB466">
        <v>36.6</v>
      </c>
      <c r="AC466">
        <v>26.060000000000002</v>
      </c>
      <c r="AE466" s="74"/>
      <c r="AF466" s="77"/>
      <c r="AH466" s="497">
        <v>19.399999999999999</v>
      </c>
      <c r="AJ466" s="42"/>
      <c r="AK466" s="74"/>
      <c r="AL466" s="77"/>
      <c r="AN466" s="497">
        <v>48.019999999999996</v>
      </c>
      <c r="AP466" s="42"/>
      <c r="AQ466" s="74"/>
      <c r="AR466" s="77"/>
      <c r="AT466" s="497">
        <v>26.96</v>
      </c>
      <c r="AV466" s="42"/>
      <c r="AW466" s="74"/>
      <c r="AX466" s="77"/>
      <c r="BA466" s="497">
        <v>35.06</v>
      </c>
      <c r="BB466" s="42"/>
      <c r="BC466" s="74"/>
      <c r="BD466" s="77"/>
      <c r="BF466">
        <v>33.979999999999997</v>
      </c>
      <c r="BH466" s="42"/>
      <c r="BI466" s="74"/>
      <c r="BJ466" s="77"/>
      <c r="BL466" s="497">
        <v>33.08</v>
      </c>
      <c r="BN466" s="42"/>
      <c r="BO466" s="74"/>
      <c r="BP466" s="77"/>
      <c r="BR466" s="497">
        <v>37.94</v>
      </c>
      <c r="BT466" s="42"/>
    </row>
    <row r="467" spans="1:72" x14ac:dyDescent="0.25">
      <c r="A467" s="90">
        <v>36179</v>
      </c>
      <c r="B467" s="20">
        <v>0.70833333333333337</v>
      </c>
      <c r="D467">
        <v>46.94</v>
      </c>
      <c r="E467" t="str">
        <f t="shared" ref="E467:E530" si="50">IF(COUNTIF($DI$18:$DI$22, WEEKDAY(A467))=1, "WEEKDAY", IF(WEEKDAY(A467) = 1, "SUNDAY", "SATURDAY"))</f>
        <v>WEEKDAY</v>
      </c>
      <c r="F467" t="e">
        <f t="shared" si="49"/>
        <v>#N/A</v>
      </c>
      <c r="G467" s="74">
        <v>27778</v>
      </c>
      <c r="H467" s="77">
        <v>0.70833333333333337</v>
      </c>
      <c r="J467">
        <v>26.060000000000002</v>
      </c>
      <c r="M467" s="74">
        <v>37640</v>
      </c>
      <c r="N467" s="77">
        <v>0.70833333333333337</v>
      </c>
      <c r="P467">
        <v>23</v>
      </c>
      <c r="S467" s="74">
        <v>36179</v>
      </c>
      <c r="T467" s="77">
        <v>0.70833333333333337</v>
      </c>
      <c r="V467">
        <v>46.04</v>
      </c>
      <c r="X467" s="42"/>
      <c r="AB467">
        <v>36.1</v>
      </c>
      <c r="AC467">
        <v>24.08</v>
      </c>
      <c r="AE467" s="74"/>
      <c r="AF467" s="77"/>
      <c r="AH467" s="497">
        <v>19.399999999999999</v>
      </c>
      <c r="AJ467" s="42"/>
      <c r="AK467" s="74"/>
      <c r="AL467" s="77"/>
      <c r="AN467" s="497">
        <v>46.94</v>
      </c>
      <c r="AP467" s="42"/>
      <c r="AQ467" s="74"/>
      <c r="AR467" s="77"/>
      <c r="AT467" s="497">
        <v>28.04</v>
      </c>
      <c r="AV467" s="42"/>
      <c r="AW467" s="74"/>
      <c r="AX467" s="77"/>
      <c r="BA467" s="497">
        <v>35.06</v>
      </c>
      <c r="BB467" s="42"/>
      <c r="BC467" s="74"/>
      <c r="BD467" s="77"/>
      <c r="BF467">
        <v>33.08</v>
      </c>
      <c r="BH467" s="42"/>
      <c r="BI467" s="74"/>
      <c r="BJ467" s="77"/>
      <c r="BL467" s="497">
        <v>33.08</v>
      </c>
      <c r="BN467" s="42"/>
      <c r="BO467" s="74"/>
      <c r="BP467" s="77"/>
      <c r="BR467" s="497">
        <v>39.019999999999996</v>
      </c>
      <c r="BT467" s="42"/>
    </row>
    <row r="468" spans="1:72" x14ac:dyDescent="0.25">
      <c r="A468" s="90">
        <v>36179</v>
      </c>
      <c r="B468" s="20">
        <v>0.75</v>
      </c>
      <c r="D468">
        <v>46.94</v>
      </c>
      <c r="E468" t="str">
        <f t="shared" si="50"/>
        <v>WEEKDAY</v>
      </c>
      <c r="F468" t="e">
        <f t="shared" si="49"/>
        <v>#N/A</v>
      </c>
      <c r="G468" s="74">
        <v>27778</v>
      </c>
      <c r="H468" s="77">
        <v>0.75</v>
      </c>
      <c r="J468">
        <v>24.98</v>
      </c>
      <c r="M468" s="74">
        <v>37640</v>
      </c>
      <c r="N468" s="77">
        <v>0.75</v>
      </c>
      <c r="P468">
        <v>21.2</v>
      </c>
      <c r="S468" s="74">
        <v>36179</v>
      </c>
      <c r="T468" s="77">
        <v>0.75</v>
      </c>
      <c r="V468">
        <v>44.06</v>
      </c>
      <c r="X468" s="42"/>
      <c r="AB468">
        <v>34.9</v>
      </c>
      <c r="AC468">
        <v>23</v>
      </c>
      <c r="AE468" s="74"/>
      <c r="AF468" s="77"/>
      <c r="AH468" s="497">
        <v>19.399999999999999</v>
      </c>
      <c r="AJ468" s="42"/>
      <c r="AK468" s="74"/>
      <c r="AL468" s="77"/>
      <c r="AN468" s="497">
        <v>48.019999999999996</v>
      </c>
      <c r="AP468" s="42"/>
      <c r="AQ468" s="74"/>
      <c r="AR468" s="77"/>
      <c r="AT468" s="497">
        <v>26.060000000000002</v>
      </c>
      <c r="AV468" s="42"/>
      <c r="AW468" s="74"/>
      <c r="AX468" s="77"/>
      <c r="BA468" s="497">
        <v>35.06</v>
      </c>
      <c r="BB468" s="42"/>
      <c r="BC468" s="74"/>
      <c r="BD468" s="77"/>
      <c r="BF468">
        <v>33.08</v>
      </c>
      <c r="BH468" s="42"/>
      <c r="BI468" s="74"/>
      <c r="BJ468" s="77"/>
      <c r="BL468" s="497">
        <v>33.08</v>
      </c>
      <c r="BN468" s="42"/>
      <c r="BO468" s="74"/>
      <c r="BP468" s="77"/>
      <c r="BR468" s="497">
        <v>39.019999999999996</v>
      </c>
      <c r="BT468" s="42"/>
    </row>
    <row r="469" spans="1:72" x14ac:dyDescent="0.25">
      <c r="A469" s="90">
        <v>36179</v>
      </c>
      <c r="B469" s="20">
        <v>0.79166666666666663</v>
      </c>
      <c r="D469">
        <v>48.019999999999996</v>
      </c>
      <c r="E469" t="str">
        <f t="shared" si="50"/>
        <v>WEEKDAY</v>
      </c>
      <c r="F469" t="e">
        <f t="shared" si="49"/>
        <v>#N/A</v>
      </c>
      <c r="G469" s="74">
        <v>27778</v>
      </c>
      <c r="H469" s="77">
        <v>0.79166666666666663</v>
      </c>
      <c r="J469">
        <v>24.98</v>
      </c>
      <c r="M469" s="74">
        <v>37640</v>
      </c>
      <c r="N469" s="77">
        <v>0.79166666666666663</v>
      </c>
      <c r="P469">
        <v>23</v>
      </c>
      <c r="S469" s="74">
        <v>36179</v>
      </c>
      <c r="T469" s="77">
        <v>0.79166666666666663</v>
      </c>
      <c r="V469">
        <v>42.980000000000004</v>
      </c>
      <c r="X469" s="42"/>
      <c r="AB469">
        <v>34.299999999999997</v>
      </c>
      <c r="AC469">
        <v>17.059999999999999</v>
      </c>
      <c r="AE469" s="74"/>
      <c r="AF469" s="77"/>
      <c r="AH469" s="497">
        <v>19.399999999999999</v>
      </c>
      <c r="AJ469" s="42"/>
      <c r="AK469" s="74"/>
      <c r="AL469" s="77"/>
      <c r="AN469" s="497">
        <v>46.94</v>
      </c>
      <c r="AP469" s="42"/>
      <c r="AQ469" s="74"/>
      <c r="AR469" s="77"/>
      <c r="AT469" s="497">
        <v>24.98</v>
      </c>
      <c r="AV469" s="42"/>
      <c r="AW469" s="74"/>
      <c r="AX469" s="77"/>
      <c r="BA469" s="497">
        <v>35.06</v>
      </c>
      <c r="BB469" s="42"/>
      <c r="BC469" s="74"/>
      <c r="BD469" s="77"/>
      <c r="BF469">
        <v>33.08</v>
      </c>
      <c r="BH469" s="42"/>
      <c r="BI469" s="74"/>
      <c r="BJ469" s="77"/>
      <c r="BL469" s="497">
        <v>33.08</v>
      </c>
      <c r="BN469" s="42"/>
      <c r="BO469" s="74"/>
      <c r="BP469" s="77"/>
      <c r="BR469" s="497">
        <v>39.019999999999996</v>
      </c>
      <c r="BT469" s="42"/>
    </row>
    <row r="470" spans="1:72" x14ac:dyDescent="0.25">
      <c r="A470" s="90">
        <v>36179</v>
      </c>
      <c r="B470" s="20">
        <v>0.83333333333333337</v>
      </c>
      <c r="D470">
        <v>46.04</v>
      </c>
      <c r="E470" t="str">
        <f t="shared" si="50"/>
        <v>WEEKDAY</v>
      </c>
      <c r="F470" t="e">
        <f t="shared" si="49"/>
        <v>#N/A</v>
      </c>
      <c r="G470" s="74">
        <v>27778</v>
      </c>
      <c r="H470" s="77">
        <v>0.83333333333333337</v>
      </c>
      <c r="J470">
        <v>24.08</v>
      </c>
      <c r="M470" s="74">
        <v>37640</v>
      </c>
      <c r="N470" s="77">
        <v>0.83333333333333337</v>
      </c>
      <c r="P470">
        <v>21.2</v>
      </c>
      <c r="S470" s="74">
        <v>36179</v>
      </c>
      <c r="T470" s="77">
        <v>0.83333333333333337</v>
      </c>
      <c r="V470">
        <v>39.92</v>
      </c>
      <c r="X470" s="42"/>
      <c r="AB470">
        <v>33.9</v>
      </c>
      <c r="AC470">
        <v>19.939999999999998</v>
      </c>
      <c r="AE470" s="74"/>
      <c r="AF470" s="77"/>
      <c r="AH470" s="497">
        <v>19.399999999999999</v>
      </c>
      <c r="AJ470" s="42"/>
      <c r="AK470" s="74"/>
      <c r="AL470" s="77"/>
      <c r="AN470" s="497">
        <v>48.019999999999996</v>
      </c>
      <c r="AP470" s="42"/>
      <c r="AQ470" s="74"/>
      <c r="AR470" s="77"/>
      <c r="AT470" s="497">
        <v>23</v>
      </c>
      <c r="AV470" s="42"/>
      <c r="AW470" s="74"/>
      <c r="AX470" s="77"/>
      <c r="BA470" s="497">
        <v>35.06</v>
      </c>
      <c r="BB470" s="42"/>
      <c r="BC470" s="74"/>
      <c r="BD470" s="77"/>
      <c r="BF470">
        <v>33.08</v>
      </c>
      <c r="BH470" s="42"/>
      <c r="BI470" s="74"/>
      <c r="BJ470" s="77"/>
      <c r="BL470" s="497">
        <v>32.72</v>
      </c>
      <c r="BN470" s="42"/>
      <c r="BO470" s="74"/>
      <c r="BP470" s="77"/>
      <c r="BR470" s="497">
        <v>37.94</v>
      </c>
      <c r="BT470" s="42"/>
    </row>
    <row r="471" spans="1:72" x14ac:dyDescent="0.25">
      <c r="A471" s="90">
        <v>36179</v>
      </c>
      <c r="B471" s="20">
        <v>0.875</v>
      </c>
      <c r="D471">
        <v>46.04</v>
      </c>
      <c r="E471" t="str">
        <f t="shared" si="50"/>
        <v>WEEKDAY</v>
      </c>
      <c r="F471" t="e">
        <f t="shared" si="49"/>
        <v>#N/A</v>
      </c>
      <c r="G471" s="74">
        <v>27778</v>
      </c>
      <c r="H471" s="77">
        <v>0.875</v>
      </c>
      <c r="J471">
        <v>24.08</v>
      </c>
      <c r="M471" s="74">
        <v>37640</v>
      </c>
      <c r="N471" s="77">
        <v>0.875</v>
      </c>
      <c r="P471">
        <v>21.2</v>
      </c>
      <c r="S471" s="74">
        <v>36179</v>
      </c>
      <c r="T471" s="77">
        <v>0.875</v>
      </c>
      <c r="V471">
        <v>39.019999999999996</v>
      </c>
      <c r="X471" s="42"/>
      <c r="AB471">
        <v>33.4</v>
      </c>
      <c r="AC471">
        <v>14</v>
      </c>
      <c r="AE471" s="74"/>
      <c r="AF471" s="77"/>
      <c r="AH471" s="497">
        <v>19.399999999999999</v>
      </c>
      <c r="AJ471" s="42"/>
      <c r="AK471" s="74"/>
      <c r="AL471" s="77"/>
      <c r="AN471" s="497">
        <v>46.94</v>
      </c>
      <c r="AP471" s="42"/>
      <c r="AQ471" s="74"/>
      <c r="AR471" s="77"/>
      <c r="AT471" s="497">
        <v>24.08</v>
      </c>
      <c r="AV471" s="42"/>
      <c r="AW471" s="74"/>
      <c r="AX471" s="77"/>
      <c r="BA471" s="497">
        <v>35.06</v>
      </c>
      <c r="BB471" s="42"/>
      <c r="BC471" s="74"/>
      <c r="BD471" s="77"/>
      <c r="BF471">
        <v>33.08</v>
      </c>
      <c r="BH471" s="42"/>
      <c r="BI471" s="74"/>
      <c r="BJ471" s="77"/>
      <c r="BL471" s="497">
        <v>32.36</v>
      </c>
      <c r="BN471" s="42"/>
      <c r="BO471" s="74"/>
      <c r="BP471" s="77"/>
      <c r="BR471" s="497">
        <v>37.04</v>
      </c>
      <c r="BT471" s="42"/>
    </row>
    <row r="472" spans="1:72" x14ac:dyDescent="0.25">
      <c r="A472" s="90">
        <v>36179</v>
      </c>
      <c r="B472" s="20">
        <v>0.91666666666666663</v>
      </c>
      <c r="D472">
        <v>44.96</v>
      </c>
      <c r="E472" t="str">
        <f t="shared" si="50"/>
        <v>WEEKDAY</v>
      </c>
      <c r="F472" t="e">
        <f t="shared" si="49"/>
        <v>#N/A</v>
      </c>
      <c r="G472" s="74">
        <v>27778</v>
      </c>
      <c r="H472" s="77">
        <v>0.91666666666666663</v>
      </c>
      <c r="J472">
        <v>24.08</v>
      </c>
      <c r="M472" s="74">
        <v>37640</v>
      </c>
      <c r="N472" s="77">
        <v>0.91666666666666663</v>
      </c>
      <c r="P472">
        <v>21.2</v>
      </c>
      <c r="S472" s="74">
        <v>36179</v>
      </c>
      <c r="T472" s="77">
        <v>0.91666666666666663</v>
      </c>
      <c r="V472">
        <v>42.08</v>
      </c>
      <c r="X472" s="42"/>
      <c r="AB472">
        <v>32.700000000000003</v>
      </c>
      <c r="AC472">
        <v>14</v>
      </c>
      <c r="AE472" s="74"/>
      <c r="AF472" s="77"/>
      <c r="AH472" s="497">
        <v>19.399999999999999</v>
      </c>
      <c r="AJ472" s="42"/>
      <c r="AK472" s="74"/>
      <c r="AL472" s="77"/>
      <c r="AN472" s="497">
        <v>48.019999999999996</v>
      </c>
      <c r="AP472" s="42"/>
      <c r="AQ472" s="74"/>
      <c r="AR472" s="77"/>
      <c r="AT472" s="497">
        <v>21.92</v>
      </c>
      <c r="AV472" s="42"/>
      <c r="AW472" s="74"/>
      <c r="AX472" s="77"/>
      <c r="BA472" s="497">
        <v>35.06</v>
      </c>
      <c r="BB472" s="42"/>
      <c r="BC472" s="74"/>
      <c r="BD472" s="77"/>
      <c r="BF472">
        <v>33.08</v>
      </c>
      <c r="BH472" s="42"/>
      <c r="BI472" s="74"/>
      <c r="BJ472" s="77"/>
      <c r="BL472" s="497">
        <v>32</v>
      </c>
      <c r="BN472" s="42"/>
      <c r="BO472" s="74"/>
      <c r="BP472" s="77"/>
      <c r="BR472" s="497">
        <v>37.04</v>
      </c>
      <c r="BT472" s="42"/>
    </row>
    <row r="473" spans="1:72" x14ac:dyDescent="0.25">
      <c r="A473" s="90">
        <v>36179</v>
      </c>
      <c r="B473" s="20">
        <v>0.95833333333333337</v>
      </c>
      <c r="D473">
        <v>44.96</v>
      </c>
      <c r="E473" t="str">
        <f t="shared" si="50"/>
        <v>WEEKDAY</v>
      </c>
      <c r="F473" t="e">
        <f t="shared" si="49"/>
        <v>#N/A</v>
      </c>
      <c r="G473" s="74">
        <v>27778</v>
      </c>
      <c r="H473" s="77">
        <v>0.95833333333333337</v>
      </c>
      <c r="J473">
        <v>24.08</v>
      </c>
      <c r="M473" s="74">
        <v>37640</v>
      </c>
      <c r="N473" s="77">
        <v>0.95833333333333337</v>
      </c>
      <c r="P473">
        <v>21.2</v>
      </c>
      <c r="S473" s="74">
        <v>36179</v>
      </c>
      <c r="T473" s="77">
        <v>0.95833333333333337</v>
      </c>
      <c r="V473">
        <v>42.08</v>
      </c>
      <c r="X473" s="42"/>
      <c r="AB473">
        <v>32.299999999999997</v>
      </c>
      <c r="AC473">
        <v>12.920000000000002</v>
      </c>
      <c r="AE473" s="74"/>
      <c r="AF473" s="77"/>
      <c r="AH473" s="497">
        <v>21.2</v>
      </c>
      <c r="AJ473" s="42"/>
      <c r="AK473" s="74"/>
      <c r="AL473" s="77"/>
      <c r="AN473" s="497">
        <v>48.019999999999996</v>
      </c>
      <c r="AP473" s="42"/>
      <c r="AQ473" s="74"/>
      <c r="AR473" s="77"/>
      <c r="AT473" s="497">
        <v>21.02</v>
      </c>
      <c r="AV473" s="42"/>
      <c r="AW473" s="74"/>
      <c r="AX473" s="77"/>
      <c r="BA473" s="497">
        <v>34.700000000000003</v>
      </c>
      <c r="BB473" s="42"/>
      <c r="BC473" s="74"/>
      <c r="BD473" s="77"/>
      <c r="BF473">
        <v>33.08</v>
      </c>
      <c r="BH473" s="42"/>
      <c r="BI473" s="74"/>
      <c r="BJ473" s="77"/>
      <c r="BL473" s="497">
        <v>32</v>
      </c>
      <c r="BN473" s="42"/>
      <c r="BO473" s="74"/>
      <c r="BP473" s="77"/>
      <c r="BR473" s="497">
        <v>37.04</v>
      </c>
      <c r="BT473" s="42"/>
    </row>
    <row r="474" spans="1:72" x14ac:dyDescent="0.25">
      <c r="A474" s="90">
        <v>36179</v>
      </c>
      <c r="B474" s="20">
        <v>1</v>
      </c>
      <c r="D474">
        <v>44.96</v>
      </c>
      <c r="E474" t="str">
        <f t="shared" si="50"/>
        <v>WEEKDAY</v>
      </c>
      <c r="F474" t="e">
        <f t="shared" si="49"/>
        <v>#N/A</v>
      </c>
      <c r="G474" s="74">
        <v>27778</v>
      </c>
      <c r="H474" s="77">
        <v>1</v>
      </c>
      <c r="J474">
        <v>24.08</v>
      </c>
      <c r="M474" s="74">
        <v>37640</v>
      </c>
      <c r="N474" s="80">
        <v>1</v>
      </c>
      <c r="P474">
        <v>23</v>
      </c>
      <c r="S474" s="74">
        <v>36179</v>
      </c>
      <c r="T474" s="80">
        <v>1</v>
      </c>
      <c r="V474">
        <v>42.08</v>
      </c>
      <c r="X474" s="42"/>
      <c r="AB474">
        <v>31.8</v>
      </c>
      <c r="AC474">
        <v>15.98</v>
      </c>
      <c r="AE474" s="74"/>
      <c r="AF474" s="80"/>
      <c r="AH474" s="497">
        <v>21.2</v>
      </c>
      <c r="AJ474" s="42"/>
      <c r="AK474" s="74"/>
      <c r="AL474" s="80"/>
      <c r="AN474" s="497">
        <v>48.019999999999996</v>
      </c>
      <c r="AP474" s="42"/>
      <c r="AQ474" s="74"/>
      <c r="AR474" s="80"/>
      <c r="AT474" s="497">
        <v>19.939999999999998</v>
      </c>
      <c r="AV474" s="42"/>
      <c r="AW474" s="74"/>
      <c r="AX474" s="80"/>
      <c r="BA474" s="497">
        <v>34.340000000000003</v>
      </c>
      <c r="BB474" s="42"/>
      <c r="BC474" s="74"/>
      <c r="BD474" s="80"/>
      <c r="BF474">
        <v>33.08</v>
      </c>
      <c r="BH474" s="42"/>
      <c r="BI474" s="74"/>
      <c r="BJ474" s="80"/>
      <c r="BL474" s="497">
        <v>32</v>
      </c>
      <c r="BN474" s="42"/>
      <c r="BO474" s="74"/>
      <c r="BP474" s="80"/>
      <c r="BR474" s="497">
        <v>35.96</v>
      </c>
      <c r="BT474" s="42"/>
    </row>
    <row r="475" spans="1:72" x14ac:dyDescent="0.25">
      <c r="A475" s="90">
        <v>36180</v>
      </c>
      <c r="B475" s="20">
        <v>4.1666666666666664E-2</v>
      </c>
      <c r="D475">
        <v>44.96</v>
      </c>
      <c r="E475" t="str">
        <f t="shared" si="50"/>
        <v>WEEKDAY</v>
      </c>
      <c r="F475" t="e">
        <f t="shared" si="49"/>
        <v>#N/A</v>
      </c>
      <c r="G475" s="74">
        <v>27779</v>
      </c>
      <c r="H475" s="77">
        <v>4.1666666666666664E-2</v>
      </c>
      <c r="J475">
        <v>24.08</v>
      </c>
      <c r="M475" s="74">
        <v>37641</v>
      </c>
      <c r="N475" s="77">
        <v>4.1666666666666664E-2</v>
      </c>
      <c r="P475">
        <v>24.8</v>
      </c>
      <c r="S475" s="74">
        <v>36180</v>
      </c>
      <c r="T475" s="77">
        <v>4.1666666666666664E-2</v>
      </c>
      <c r="V475">
        <v>41</v>
      </c>
      <c r="X475" s="42"/>
      <c r="AB475">
        <v>31.3</v>
      </c>
      <c r="AC475">
        <v>14</v>
      </c>
      <c r="AE475" s="74"/>
      <c r="AF475" s="77"/>
      <c r="AH475" s="497">
        <v>21.2</v>
      </c>
      <c r="AJ475" s="42"/>
      <c r="AK475" s="74"/>
      <c r="AL475" s="77"/>
      <c r="AN475" s="497">
        <v>48.019999999999996</v>
      </c>
      <c r="AP475" s="42"/>
      <c r="AQ475" s="74"/>
      <c r="AR475" s="77"/>
      <c r="AT475" s="497">
        <v>17.96</v>
      </c>
      <c r="AV475" s="42"/>
      <c r="AW475" s="74"/>
      <c r="AX475" s="77"/>
      <c r="BA475" s="497">
        <v>33.979999999999997</v>
      </c>
      <c r="BB475" s="42"/>
      <c r="BC475" s="74"/>
      <c r="BD475" s="77"/>
      <c r="BF475">
        <v>33.08</v>
      </c>
      <c r="BH475" s="42"/>
      <c r="BI475" s="74"/>
      <c r="BJ475" s="77"/>
      <c r="BL475" s="497">
        <v>32</v>
      </c>
      <c r="BN475" s="42"/>
      <c r="BO475" s="74"/>
      <c r="BP475" s="77"/>
      <c r="BR475" s="497">
        <v>35.96</v>
      </c>
      <c r="BT475" s="42"/>
    </row>
    <row r="476" spans="1:72" x14ac:dyDescent="0.25">
      <c r="A476" s="90">
        <v>36180</v>
      </c>
      <c r="B476" s="20">
        <v>8.3333333333333329E-2</v>
      </c>
      <c r="D476">
        <v>42.980000000000004</v>
      </c>
      <c r="E476" t="str">
        <f t="shared" si="50"/>
        <v>WEEKDAY</v>
      </c>
      <c r="F476" t="e">
        <f t="shared" si="49"/>
        <v>#N/A</v>
      </c>
      <c r="G476" s="74">
        <v>27779</v>
      </c>
      <c r="H476" s="77">
        <v>8.3333333333333329E-2</v>
      </c>
      <c r="J476">
        <v>24.08</v>
      </c>
      <c r="M476" s="74">
        <v>37641</v>
      </c>
      <c r="N476" s="77">
        <v>8.3333333333333329E-2</v>
      </c>
      <c r="P476">
        <v>23</v>
      </c>
      <c r="S476" s="74">
        <v>36180</v>
      </c>
      <c r="T476" s="77">
        <v>8.3333333333333329E-2</v>
      </c>
      <c r="V476">
        <v>39.92</v>
      </c>
      <c r="X476" s="42"/>
      <c r="AB476">
        <v>30.7</v>
      </c>
      <c r="AC476">
        <v>12.920000000000002</v>
      </c>
      <c r="AE476" s="74"/>
      <c r="AF476" s="77"/>
      <c r="AH476" s="497">
        <v>21.2</v>
      </c>
      <c r="AJ476" s="42"/>
      <c r="AK476" s="74"/>
      <c r="AL476" s="77"/>
      <c r="AN476" s="497">
        <v>46.94</v>
      </c>
      <c r="AP476" s="42"/>
      <c r="AQ476" s="74"/>
      <c r="AR476" s="77"/>
      <c r="AT476" s="497">
        <v>15.98</v>
      </c>
      <c r="AV476" s="42"/>
      <c r="AW476" s="74"/>
      <c r="AX476" s="77"/>
      <c r="BA476" s="497">
        <v>33.979999999999997</v>
      </c>
      <c r="BB476" s="42"/>
      <c r="BC476" s="74"/>
      <c r="BD476" s="77"/>
      <c r="BF476">
        <v>33.08</v>
      </c>
      <c r="BH476" s="42"/>
      <c r="BI476" s="74"/>
      <c r="BJ476" s="77"/>
      <c r="BL476" s="497">
        <v>32</v>
      </c>
      <c r="BN476" s="42"/>
      <c r="BO476" s="74"/>
      <c r="BP476" s="77"/>
      <c r="BR476" s="497">
        <v>35.96</v>
      </c>
      <c r="BT476" s="42"/>
    </row>
    <row r="477" spans="1:72" x14ac:dyDescent="0.25">
      <c r="A477" s="90">
        <v>36180</v>
      </c>
      <c r="B477" s="20">
        <v>0.125</v>
      </c>
      <c r="D477">
        <v>42.08</v>
      </c>
      <c r="E477" t="str">
        <f t="shared" si="50"/>
        <v>WEEKDAY</v>
      </c>
      <c r="F477" t="e">
        <f t="shared" si="49"/>
        <v>#N/A</v>
      </c>
      <c r="G477" s="74">
        <v>27779</v>
      </c>
      <c r="H477" s="77">
        <v>0.125</v>
      </c>
      <c r="J477">
        <v>24.08</v>
      </c>
      <c r="M477" s="74">
        <v>37641</v>
      </c>
      <c r="N477" s="77">
        <v>0.125</v>
      </c>
      <c r="P477">
        <v>23.9</v>
      </c>
      <c r="S477" s="74">
        <v>36180</v>
      </c>
      <c r="T477" s="77">
        <v>0.125</v>
      </c>
      <c r="V477">
        <v>37.04</v>
      </c>
      <c r="X477" s="42"/>
      <c r="AB477">
        <v>30.4</v>
      </c>
      <c r="AC477">
        <v>12.02</v>
      </c>
      <c r="AE477" s="74"/>
      <c r="AF477" s="77"/>
      <c r="AH477" s="497">
        <v>19.399999999999999</v>
      </c>
      <c r="AJ477" s="42"/>
      <c r="AK477" s="74"/>
      <c r="AL477" s="77"/>
      <c r="AN477" s="497">
        <v>46.94</v>
      </c>
      <c r="AP477" s="42"/>
      <c r="AQ477" s="74"/>
      <c r="AR477" s="77"/>
      <c r="AT477" s="497">
        <v>14</v>
      </c>
      <c r="AV477" s="42"/>
      <c r="AW477" s="74"/>
      <c r="AX477" s="77"/>
      <c r="BA477" s="497">
        <v>33.979999999999997</v>
      </c>
      <c r="BB477" s="42"/>
      <c r="BC477" s="74"/>
      <c r="BD477" s="77"/>
      <c r="BF477">
        <v>32</v>
      </c>
      <c r="BH477" s="42"/>
      <c r="BI477" s="74"/>
      <c r="BJ477" s="77"/>
      <c r="BL477" s="497">
        <v>32</v>
      </c>
      <c r="BN477" s="42"/>
      <c r="BO477" s="74"/>
      <c r="BP477" s="77"/>
      <c r="BR477" s="497">
        <v>35.96</v>
      </c>
      <c r="BT477" s="42"/>
    </row>
    <row r="478" spans="1:72" x14ac:dyDescent="0.25">
      <c r="A478" s="90">
        <v>36180</v>
      </c>
      <c r="B478" s="20">
        <v>0.16666666666666666</v>
      </c>
      <c r="D478">
        <v>42.08</v>
      </c>
      <c r="E478" t="str">
        <f t="shared" si="50"/>
        <v>WEEKDAY</v>
      </c>
      <c r="F478" t="e">
        <f t="shared" si="49"/>
        <v>#N/A</v>
      </c>
      <c r="G478" s="74">
        <v>27779</v>
      </c>
      <c r="H478" s="77">
        <v>0.16666666666666666</v>
      </c>
      <c r="J478">
        <v>24.98</v>
      </c>
      <c r="M478" s="74">
        <v>37641</v>
      </c>
      <c r="N478" s="77">
        <v>0.16666666666666666</v>
      </c>
      <c r="P478">
        <v>24.8</v>
      </c>
      <c r="S478" s="74">
        <v>36180</v>
      </c>
      <c r="T478" s="77">
        <v>0.16666666666666666</v>
      </c>
      <c r="V478">
        <v>39.019999999999996</v>
      </c>
      <c r="X478" s="42"/>
      <c r="AB478">
        <v>30.1</v>
      </c>
      <c r="AC478">
        <v>15.98</v>
      </c>
      <c r="AE478" s="74"/>
      <c r="AF478" s="77"/>
      <c r="AH478" s="497">
        <v>19.399999999999999</v>
      </c>
      <c r="AJ478" s="42"/>
      <c r="AK478" s="74"/>
      <c r="AL478" s="77"/>
      <c r="AN478" s="497">
        <v>46.04</v>
      </c>
      <c r="AP478" s="42"/>
      <c r="AQ478" s="74"/>
      <c r="AR478" s="77"/>
      <c r="AT478" s="497">
        <v>12.02</v>
      </c>
      <c r="AV478" s="42"/>
      <c r="AW478" s="74"/>
      <c r="AX478" s="77"/>
      <c r="BA478" s="497">
        <v>33.979999999999997</v>
      </c>
      <c r="BB478" s="42"/>
      <c r="BC478" s="74"/>
      <c r="BD478" s="77"/>
      <c r="BF478">
        <v>30.92</v>
      </c>
      <c r="BH478" s="42"/>
      <c r="BI478" s="74"/>
      <c r="BJ478" s="77"/>
      <c r="BL478" s="497">
        <v>32</v>
      </c>
      <c r="BN478" s="42"/>
      <c r="BO478" s="74"/>
      <c r="BP478" s="77"/>
      <c r="BR478" s="497">
        <v>35.06</v>
      </c>
      <c r="BT478" s="42"/>
    </row>
    <row r="479" spans="1:72" x14ac:dyDescent="0.25">
      <c r="A479" s="90">
        <v>36180</v>
      </c>
      <c r="B479" s="20">
        <v>0.20833333333333334</v>
      </c>
      <c r="D479">
        <v>42.08</v>
      </c>
      <c r="E479" t="str">
        <f t="shared" si="50"/>
        <v>WEEKDAY</v>
      </c>
      <c r="F479" t="e">
        <f t="shared" si="49"/>
        <v>#N/A</v>
      </c>
      <c r="G479" s="74">
        <v>27779</v>
      </c>
      <c r="H479" s="77">
        <v>0.20833333333333334</v>
      </c>
      <c r="J479">
        <v>26.060000000000002</v>
      </c>
      <c r="M479" s="74">
        <v>37641</v>
      </c>
      <c r="N479" s="77">
        <v>0.20833333333333334</v>
      </c>
      <c r="P479">
        <v>24.8</v>
      </c>
      <c r="S479" s="74">
        <v>36180</v>
      </c>
      <c r="T479" s="77">
        <v>0.20833333333333334</v>
      </c>
      <c r="V479">
        <v>41</v>
      </c>
      <c r="X479" s="42"/>
      <c r="AB479">
        <v>29.7</v>
      </c>
      <c r="AC479">
        <v>21.02</v>
      </c>
      <c r="AE479" s="74"/>
      <c r="AF479" s="77"/>
      <c r="AH479" s="497">
        <v>19.399999999999999</v>
      </c>
      <c r="AJ479" s="42"/>
      <c r="AK479" s="74"/>
      <c r="AL479" s="77"/>
      <c r="AN479" s="497">
        <v>44.96</v>
      </c>
      <c r="AP479" s="42"/>
      <c r="AQ479" s="74"/>
      <c r="AR479" s="77"/>
      <c r="AT479" s="497">
        <v>10.940000000000001</v>
      </c>
      <c r="AV479" s="42"/>
      <c r="AW479" s="74"/>
      <c r="AX479" s="77"/>
      <c r="BA479" s="497">
        <v>32.9</v>
      </c>
      <c r="BB479" s="42"/>
      <c r="BC479" s="74"/>
      <c r="BD479" s="77"/>
      <c r="BF479">
        <v>30.92</v>
      </c>
      <c r="BH479" s="42"/>
      <c r="BI479" s="74"/>
      <c r="BJ479" s="77"/>
      <c r="BL479" s="497">
        <v>31.28</v>
      </c>
      <c r="BN479" s="42"/>
      <c r="BO479" s="74"/>
      <c r="BP479" s="77"/>
      <c r="BR479" s="497">
        <v>35.96</v>
      </c>
      <c r="BT479" s="42"/>
    </row>
    <row r="480" spans="1:72" x14ac:dyDescent="0.25">
      <c r="A480" s="90">
        <v>36180</v>
      </c>
      <c r="B480" s="20">
        <v>0.25</v>
      </c>
      <c r="D480">
        <v>42.08</v>
      </c>
      <c r="E480" t="str">
        <f t="shared" si="50"/>
        <v>WEEKDAY</v>
      </c>
      <c r="F480" t="e">
        <f t="shared" si="49"/>
        <v>#N/A</v>
      </c>
      <c r="G480" s="74">
        <v>27779</v>
      </c>
      <c r="H480" s="77">
        <v>0.25</v>
      </c>
      <c r="J480">
        <v>26.060000000000002</v>
      </c>
      <c r="M480" s="74">
        <v>37641</v>
      </c>
      <c r="N480" s="77">
        <v>0.25</v>
      </c>
      <c r="P480">
        <v>24.98</v>
      </c>
      <c r="S480" s="74">
        <v>36180</v>
      </c>
      <c r="T480" s="77">
        <v>0.25</v>
      </c>
      <c r="V480">
        <v>41</v>
      </c>
      <c r="X480" s="42"/>
      <c r="AB480">
        <v>29.5</v>
      </c>
      <c r="AC480">
        <v>23</v>
      </c>
      <c r="AE480" s="74"/>
      <c r="AF480" s="77"/>
      <c r="AH480" s="497">
        <v>17.600000000000001</v>
      </c>
      <c r="AJ480" s="42"/>
      <c r="AK480" s="74"/>
      <c r="AL480" s="77"/>
      <c r="AN480" s="497">
        <v>44.96</v>
      </c>
      <c r="AP480" s="42"/>
      <c r="AQ480" s="74"/>
      <c r="AR480" s="77"/>
      <c r="AT480" s="497">
        <v>10.039999999999999</v>
      </c>
      <c r="AV480" s="42"/>
      <c r="AW480" s="74"/>
      <c r="AX480" s="77"/>
      <c r="BA480" s="497">
        <v>32</v>
      </c>
      <c r="BB480" s="42"/>
      <c r="BC480" s="74"/>
      <c r="BD480" s="77"/>
      <c r="BF480">
        <v>30.92</v>
      </c>
      <c r="BH480" s="42"/>
      <c r="BI480" s="74"/>
      <c r="BJ480" s="77"/>
      <c r="BL480" s="497">
        <v>30.74</v>
      </c>
      <c r="BN480" s="42"/>
      <c r="BO480" s="74"/>
      <c r="BP480" s="77"/>
      <c r="BR480" s="497">
        <v>35.96</v>
      </c>
      <c r="BT480" s="42"/>
    </row>
    <row r="481" spans="1:72" x14ac:dyDescent="0.25">
      <c r="A481" s="90">
        <v>36180</v>
      </c>
      <c r="B481" s="20">
        <v>0.29166666666666669</v>
      </c>
      <c r="D481">
        <v>42.08</v>
      </c>
      <c r="E481" t="str">
        <f t="shared" si="50"/>
        <v>WEEKDAY</v>
      </c>
      <c r="F481" t="e">
        <f t="shared" si="49"/>
        <v>#N/A</v>
      </c>
      <c r="G481" s="74">
        <v>27779</v>
      </c>
      <c r="H481" s="77">
        <v>0.29166666666666669</v>
      </c>
      <c r="J481">
        <v>26.96</v>
      </c>
      <c r="M481" s="74">
        <v>37641</v>
      </c>
      <c r="N481" s="77">
        <v>0.29166666666666669</v>
      </c>
      <c r="P481">
        <v>24.8</v>
      </c>
      <c r="S481" s="74">
        <v>36180</v>
      </c>
      <c r="T481" s="77">
        <v>0.29166666666666669</v>
      </c>
      <c r="V481">
        <v>39.92</v>
      </c>
      <c r="X481" s="42"/>
      <c r="AB481">
        <v>29.3</v>
      </c>
      <c r="AC481">
        <v>24.08</v>
      </c>
      <c r="AE481" s="74"/>
      <c r="AF481" s="77"/>
      <c r="AH481" s="497">
        <v>19.399999999999999</v>
      </c>
      <c r="AJ481" s="42"/>
      <c r="AK481" s="74"/>
      <c r="AL481" s="77"/>
      <c r="AN481" s="497">
        <v>44.96</v>
      </c>
      <c r="AP481" s="42"/>
      <c r="AQ481" s="74"/>
      <c r="AR481" s="77"/>
      <c r="AT481" s="497">
        <v>10.940000000000001</v>
      </c>
      <c r="AV481" s="42"/>
      <c r="AW481" s="74"/>
      <c r="AX481" s="77"/>
      <c r="BA481" s="497">
        <v>30.92</v>
      </c>
      <c r="BB481" s="42"/>
      <c r="BC481" s="74"/>
      <c r="BD481" s="77"/>
      <c r="BF481">
        <v>30.02</v>
      </c>
      <c r="BH481" s="42"/>
      <c r="BI481" s="74"/>
      <c r="BJ481" s="77"/>
      <c r="BL481" s="497">
        <v>30.02</v>
      </c>
      <c r="BN481" s="42"/>
      <c r="BO481" s="74"/>
      <c r="BP481" s="77"/>
      <c r="BR481" s="497">
        <v>35.96</v>
      </c>
      <c r="BT481" s="42"/>
    </row>
    <row r="482" spans="1:72" x14ac:dyDescent="0.25">
      <c r="A482" s="90">
        <v>36180</v>
      </c>
      <c r="B482" s="20">
        <v>0.33333333333333331</v>
      </c>
      <c r="D482">
        <v>41</v>
      </c>
      <c r="E482" t="str">
        <f t="shared" si="50"/>
        <v>WEEKDAY</v>
      </c>
      <c r="F482" t="e">
        <f t="shared" si="49"/>
        <v>#N/A</v>
      </c>
      <c r="G482" s="74">
        <v>27779</v>
      </c>
      <c r="H482" s="77">
        <v>0.33333333333333331</v>
      </c>
      <c r="J482">
        <v>28.04</v>
      </c>
      <c r="M482" s="74">
        <v>37641</v>
      </c>
      <c r="N482" s="77">
        <v>0.33333333333333331</v>
      </c>
      <c r="P482">
        <v>24.8</v>
      </c>
      <c r="S482" s="74">
        <v>36180</v>
      </c>
      <c r="T482" s="77">
        <v>0.33333333333333331</v>
      </c>
      <c r="V482">
        <v>39.92</v>
      </c>
      <c r="X482" s="42"/>
      <c r="AB482">
        <v>29.3</v>
      </c>
      <c r="AC482">
        <v>24.08</v>
      </c>
      <c r="AE482" s="74"/>
      <c r="AF482" s="77"/>
      <c r="AH482" s="497">
        <v>21.2</v>
      </c>
      <c r="AJ482" s="42"/>
      <c r="AK482" s="74"/>
      <c r="AL482" s="77"/>
      <c r="AN482" s="497">
        <v>44.06</v>
      </c>
      <c r="AP482" s="42"/>
      <c r="AQ482" s="74"/>
      <c r="AR482" s="77"/>
      <c r="AT482" s="497">
        <v>10.940000000000001</v>
      </c>
      <c r="AV482" s="42"/>
      <c r="AW482" s="74"/>
      <c r="AX482" s="77"/>
      <c r="BA482" s="497">
        <v>31.64</v>
      </c>
      <c r="BB482" s="42"/>
      <c r="BC482" s="74"/>
      <c r="BD482" s="77"/>
      <c r="BF482">
        <v>28.94</v>
      </c>
      <c r="BH482" s="42"/>
      <c r="BI482" s="74"/>
      <c r="BJ482" s="77"/>
      <c r="BL482" s="497">
        <v>29.66</v>
      </c>
      <c r="BN482" s="42"/>
      <c r="BO482" s="74"/>
      <c r="BP482" s="77"/>
      <c r="BR482" s="497">
        <v>35.96</v>
      </c>
      <c r="BT482" s="42"/>
    </row>
    <row r="483" spans="1:72" x14ac:dyDescent="0.25">
      <c r="A483" s="90">
        <v>36180</v>
      </c>
      <c r="B483" s="20">
        <v>0.375</v>
      </c>
      <c r="D483">
        <v>42.08</v>
      </c>
      <c r="E483" t="str">
        <f t="shared" si="50"/>
        <v>WEEKDAY</v>
      </c>
      <c r="F483" t="e">
        <f t="shared" si="49"/>
        <v>#N/A</v>
      </c>
      <c r="G483" s="74">
        <v>27779</v>
      </c>
      <c r="H483" s="77">
        <v>0.375</v>
      </c>
      <c r="J483">
        <v>28.94</v>
      </c>
      <c r="M483" s="74">
        <v>37641</v>
      </c>
      <c r="N483" s="77">
        <v>0.375</v>
      </c>
      <c r="P483">
        <v>26.6</v>
      </c>
      <c r="S483" s="74">
        <v>36180</v>
      </c>
      <c r="T483" s="77">
        <v>0.375</v>
      </c>
      <c r="V483">
        <v>42.08</v>
      </c>
      <c r="X483" s="42"/>
      <c r="AB483">
        <v>29.7</v>
      </c>
      <c r="AC483">
        <v>24.08</v>
      </c>
      <c r="AE483" s="74"/>
      <c r="AF483" s="77"/>
      <c r="AH483" s="497">
        <v>19.399999999999999</v>
      </c>
      <c r="AJ483" s="42"/>
      <c r="AK483" s="74"/>
      <c r="AL483" s="77"/>
      <c r="AN483" s="497">
        <v>46.04</v>
      </c>
      <c r="AP483" s="42"/>
      <c r="AQ483" s="74"/>
      <c r="AR483" s="77"/>
      <c r="AT483" s="497">
        <v>10.940000000000001</v>
      </c>
      <c r="AV483" s="42"/>
      <c r="AW483" s="74"/>
      <c r="AX483" s="77"/>
      <c r="BA483" s="497">
        <v>32.36</v>
      </c>
      <c r="BB483" s="42"/>
      <c r="BC483" s="74"/>
      <c r="BD483" s="77"/>
      <c r="BF483">
        <v>30.92</v>
      </c>
      <c r="BH483" s="42"/>
      <c r="BI483" s="74"/>
      <c r="BJ483" s="77"/>
      <c r="BL483" s="497">
        <v>29.3</v>
      </c>
      <c r="BN483" s="42"/>
      <c r="BO483" s="74"/>
      <c r="BP483" s="77"/>
      <c r="BR483" s="497">
        <v>37.04</v>
      </c>
      <c r="BT483" s="42"/>
    </row>
    <row r="484" spans="1:72" x14ac:dyDescent="0.25">
      <c r="A484" s="90">
        <v>36180</v>
      </c>
      <c r="B484" s="20">
        <v>0.41666666666666669</v>
      </c>
      <c r="D484">
        <v>44.96</v>
      </c>
      <c r="E484" t="str">
        <f t="shared" si="50"/>
        <v>WEEKDAY</v>
      </c>
      <c r="F484" t="e">
        <f t="shared" si="49"/>
        <v>#N/A</v>
      </c>
      <c r="G484" s="74">
        <v>27779</v>
      </c>
      <c r="H484" s="77">
        <v>0.41666666666666669</v>
      </c>
      <c r="J484">
        <v>30.02</v>
      </c>
      <c r="M484" s="74">
        <v>37641</v>
      </c>
      <c r="N484" s="77">
        <v>0.41666666666666669</v>
      </c>
      <c r="P484">
        <v>24.8</v>
      </c>
      <c r="S484" s="74">
        <v>36180</v>
      </c>
      <c r="T484" s="77">
        <v>0.41666666666666669</v>
      </c>
      <c r="V484">
        <v>39.92</v>
      </c>
      <c r="X484" s="42"/>
      <c r="AB484">
        <v>31.1</v>
      </c>
      <c r="AC484">
        <v>24.98</v>
      </c>
      <c r="AE484" s="74"/>
      <c r="AF484" s="77"/>
      <c r="AH484" s="497">
        <v>24.8</v>
      </c>
      <c r="AJ484" s="42"/>
      <c r="AK484" s="74"/>
      <c r="AL484" s="77"/>
      <c r="AN484" s="497">
        <v>46.94</v>
      </c>
      <c r="AP484" s="42"/>
      <c r="AQ484" s="74"/>
      <c r="AR484" s="77"/>
      <c r="AT484" s="497">
        <v>10.940000000000001</v>
      </c>
      <c r="AV484" s="42"/>
      <c r="AW484" s="74"/>
      <c r="AX484" s="77"/>
      <c r="BA484" s="497">
        <v>33.08</v>
      </c>
      <c r="BB484" s="42"/>
      <c r="BC484" s="74"/>
      <c r="BD484" s="77"/>
      <c r="BF484">
        <v>30.02</v>
      </c>
      <c r="BH484" s="42"/>
      <c r="BI484" s="74"/>
      <c r="BJ484" s="77"/>
      <c r="BL484" s="497">
        <v>28.94</v>
      </c>
      <c r="BN484" s="42"/>
      <c r="BO484" s="74"/>
      <c r="BP484" s="77"/>
      <c r="BR484" s="497">
        <v>35.96</v>
      </c>
      <c r="BT484" s="42"/>
    </row>
    <row r="485" spans="1:72" x14ac:dyDescent="0.25">
      <c r="A485" s="90">
        <v>36180</v>
      </c>
      <c r="B485" s="20">
        <v>0.45833333333333331</v>
      </c>
      <c r="D485">
        <v>46.94</v>
      </c>
      <c r="E485" t="str">
        <f t="shared" si="50"/>
        <v>WEEKDAY</v>
      </c>
      <c r="F485" t="e">
        <f t="shared" si="49"/>
        <v>#N/A</v>
      </c>
      <c r="G485" s="74">
        <v>27779</v>
      </c>
      <c r="H485" s="77">
        <v>0.45833333333333331</v>
      </c>
      <c r="J485">
        <v>28.04</v>
      </c>
      <c r="M485" s="74">
        <v>37641</v>
      </c>
      <c r="N485" s="77">
        <v>0.45833333333333331</v>
      </c>
      <c r="P485">
        <v>26.6</v>
      </c>
      <c r="S485" s="74">
        <v>36180</v>
      </c>
      <c r="T485" s="77">
        <v>0.45833333333333331</v>
      </c>
      <c r="V485">
        <v>42.08</v>
      </c>
      <c r="X485" s="42"/>
      <c r="AB485">
        <v>32.5</v>
      </c>
      <c r="AC485">
        <v>26.060000000000002</v>
      </c>
      <c r="AE485" s="74"/>
      <c r="AF485" s="77"/>
      <c r="AH485" s="497">
        <v>26.6</v>
      </c>
      <c r="AJ485" s="42"/>
      <c r="AK485" s="74"/>
      <c r="AL485" s="77"/>
      <c r="AN485" s="497">
        <v>48.019999999999996</v>
      </c>
      <c r="AP485" s="42"/>
      <c r="AQ485" s="74"/>
      <c r="AR485" s="77"/>
      <c r="AT485" s="497">
        <v>10.940000000000001</v>
      </c>
      <c r="AV485" s="42"/>
      <c r="AW485" s="74"/>
      <c r="AX485" s="77"/>
      <c r="BA485" s="497">
        <v>33.08</v>
      </c>
      <c r="BB485" s="42"/>
      <c r="BC485" s="74"/>
      <c r="BD485" s="77"/>
      <c r="BF485">
        <v>28.94</v>
      </c>
      <c r="BH485" s="42"/>
      <c r="BI485" s="74"/>
      <c r="BJ485" s="77"/>
      <c r="BL485" s="497">
        <v>29.3</v>
      </c>
      <c r="BN485" s="42"/>
      <c r="BO485" s="74"/>
      <c r="BP485" s="77"/>
      <c r="BR485" s="497">
        <v>37.04</v>
      </c>
      <c r="BT485" s="42"/>
    </row>
    <row r="486" spans="1:72" x14ac:dyDescent="0.25">
      <c r="A486" s="90">
        <v>36180</v>
      </c>
      <c r="B486" s="20">
        <v>0.5</v>
      </c>
      <c r="D486">
        <v>50</v>
      </c>
      <c r="E486" t="str">
        <f t="shared" si="50"/>
        <v>WEEKDAY</v>
      </c>
      <c r="F486" t="e">
        <f t="shared" si="49"/>
        <v>#N/A</v>
      </c>
      <c r="G486" s="74">
        <v>27779</v>
      </c>
      <c r="H486" s="77">
        <v>0.5</v>
      </c>
      <c r="J486">
        <v>28.94</v>
      </c>
      <c r="M486" s="74">
        <v>37641</v>
      </c>
      <c r="N486" s="77">
        <v>0.5</v>
      </c>
      <c r="P486">
        <v>26.6</v>
      </c>
      <c r="S486" s="74">
        <v>36180</v>
      </c>
      <c r="T486" s="77">
        <v>0.5</v>
      </c>
      <c r="V486">
        <v>42.980000000000004</v>
      </c>
      <c r="X486" s="42"/>
      <c r="AB486">
        <v>33.799999999999997</v>
      </c>
      <c r="AC486">
        <v>26.96</v>
      </c>
      <c r="AE486" s="74"/>
      <c r="AF486" s="77"/>
      <c r="AH486" s="497">
        <v>26.6</v>
      </c>
      <c r="AJ486" s="42"/>
      <c r="AK486" s="74"/>
      <c r="AL486" s="77"/>
      <c r="AN486" s="497">
        <v>46.94</v>
      </c>
      <c r="AP486" s="42"/>
      <c r="AQ486" s="74"/>
      <c r="AR486" s="77"/>
      <c r="AT486" s="497">
        <v>10.940000000000001</v>
      </c>
      <c r="AV486" s="42"/>
      <c r="AW486" s="74"/>
      <c r="AX486" s="77"/>
      <c r="BA486" s="497">
        <v>33.08</v>
      </c>
      <c r="BB486" s="42"/>
      <c r="BC486" s="74"/>
      <c r="BD486" s="77"/>
      <c r="BF486">
        <v>32</v>
      </c>
      <c r="BH486" s="42"/>
      <c r="BI486" s="74"/>
      <c r="BJ486" s="77"/>
      <c r="BL486" s="497">
        <v>29.66</v>
      </c>
      <c r="BN486" s="42"/>
      <c r="BO486" s="74"/>
      <c r="BP486" s="77"/>
      <c r="BR486" s="497">
        <v>35.96</v>
      </c>
      <c r="BT486" s="42"/>
    </row>
    <row r="487" spans="1:72" x14ac:dyDescent="0.25">
      <c r="A487" s="90">
        <v>36180</v>
      </c>
      <c r="B487" s="20">
        <v>0.54166666666666663</v>
      </c>
      <c r="D487">
        <v>51.08</v>
      </c>
      <c r="E487" t="str">
        <f t="shared" si="50"/>
        <v>WEEKDAY</v>
      </c>
      <c r="F487" t="e">
        <f t="shared" si="49"/>
        <v>#N/A</v>
      </c>
      <c r="G487" s="74">
        <v>27779</v>
      </c>
      <c r="H487" s="77">
        <v>0.54166666666666663</v>
      </c>
      <c r="J487">
        <v>28.94</v>
      </c>
      <c r="M487" s="74">
        <v>37641</v>
      </c>
      <c r="N487" s="77">
        <v>0.54166666666666663</v>
      </c>
      <c r="P487">
        <v>26.6</v>
      </c>
      <c r="S487" s="74">
        <v>36180</v>
      </c>
      <c r="T487" s="77">
        <v>0.54166666666666663</v>
      </c>
      <c r="V487">
        <v>42.980000000000004</v>
      </c>
      <c r="X487" s="42"/>
      <c r="AB487">
        <v>34.9</v>
      </c>
      <c r="AC487">
        <v>26.96</v>
      </c>
      <c r="AE487" s="74"/>
      <c r="AF487" s="77"/>
      <c r="AH487" s="497">
        <v>26.6</v>
      </c>
      <c r="AJ487" s="42"/>
      <c r="AK487" s="74"/>
      <c r="AL487" s="77"/>
      <c r="AN487" s="497">
        <v>37.04</v>
      </c>
      <c r="AP487" s="42"/>
      <c r="AQ487" s="74"/>
      <c r="AR487" s="77"/>
      <c r="AT487" s="497">
        <v>15.079999999999998</v>
      </c>
      <c r="AV487" s="42"/>
      <c r="AW487" s="74"/>
      <c r="AX487" s="77"/>
      <c r="BA487" s="497">
        <v>33.08</v>
      </c>
      <c r="BB487" s="42"/>
      <c r="BC487" s="74"/>
      <c r="BD487" s="77"/>
      <c r="BF487">
        <v>32</v>
      </c>
      <c r="BH487" s="42"/>
      <c r="BI487" s="74"/>
      <c r="BJ487" s="77"/>
      <c r="BL487" s="497">
        <v>30.02</v>
      </c>
      <c r="BN487" s="42"/>
      <c r="BO487" s="74"/>
      <c r="BP487" s="77"/>
      <c r="BR487" s="497">
        <v>35.96</v>
      </c>
      <c r="BT487" s="42"/>
    </row>
    <row r="488" spans="1:72" x14ac:dyDescent="0.25">
      <c r="A488" s="90">
        <v>36180</v>
      </c>
      <c r="B488" s="20">
        <v>0.58333333333333337</v>
      </c>
      <c r="D488">
        <v>51.980000000000004</v>
      </c>
      <c r="E488" t="str">
        <f t="shared" si="50"/>
        <v>WEEKDAY</v>
      </c>
      <c r="F488" t="e">
        <f t="shared" si="49"/>
        <v>#N/A</v>
      </c>
      <c r="G488" s="74">
        <v>27779</v>
      </c>
      <c r="H488" s="77">
        <v>0.58333333333333337</v>
      </c>
      <c r="J488">
        <v>28.04</v>
      </c>
      <c r="M488" s="74">
        <v>37641</v>
      </c>
      <c r="N488" s="77">
        <v>0.58333333333333337</v>
      </c>
      <c r="P488">
        <v>26.6</v>
      </c>
      <c r="S488" s="74">
        <v>36180</v>
      </c>
      <c r="T488" s="77">
        <v>0.58333333333333337</v>
      </c>
      <c r="V488">
        <v>44.96</v>
      </c>
      <c r="X488" s="42"/>
      <c r="AB488">
        <v>35.700000000000003</v>
      </c>
      <c r="AC488">
        <v>26.96</v>
      </c>
      <c r="AE488" s="74"/>
      <c r="AF488" s="77"/>
      <c r="AH488" s="497">
        <v>26.6</v>
      </c>
      <c r="AJ488" s="42"/>
      <c r="AK488" s="74"/>
      <c r="AL488" s="77"/>
      <c r="AN488" s="497">
        <v>35.96</v>
      </c>
      <c r="AP488" s="42"/>
      <c r="AQ488" s="74"/>
      <c r="AR488" s="77"/>
      <c r="AT488" s="497">
        <v>14</v>
      </c>
      <c r="AV488" s="42"/>
      <c r="AW488" s="74"/>
      <c r="AX488" s="77"/>
      <c r="BA488" s="497">
        <v>32</v>
      </c>
      <c r="BB488" s="42"/>
      <c r="BC488" s="74"/>
      <c r="BD488" s="77"/>
      <c r="BF488">
        <v>30.92</v>
      </c>
      <c r="BH488" s="42"/>
      <c r="BI488" s="74"/>
      <c r="BJ488" s="77"/>
      <c r="BL488" s="497">
        <v>29.66</v>
      </c>
      <c r="BN488" s="42"/>
      <c r="BO488" s="74"/>
      <c r="BP488" s="77"/>
      <c r="BR488" s="497">
        <v>35.96</v>
      </c>
      <c r="BT488" s="42"/>
    </row>
    <row r="489" spans="1:72" x14ac:dyDescent="0.25">
      <c r="A489" s="90">
        <v>36180</v>
      </c>
      <c r="B489" s="20">
        <v>0.625</v>
      </c>
      <c r="D489">
        <v>51.980000000000004</v>
      </c>
      <c r="E489" t="str">
        <f t="shared" si="50"/>
        <v>WEEKDAY</v>
      </c>
      <c r="F489" t="e">
        <f t="shared" si="49"/>
        <v>#N/A</v>
      </c>
      <c r="G489" s="74">
        <v>27779</v>
      </c>
      <c r="H489" s="77">
        <v>0.625</v>
      </c>
      <c r="J489">
        <v>28.94</v>
      </c>
      <c r="M489" s="74">
        <v>37641</v>
      </c>
      <c r="N489" s="77">
        <v>0.625</v>
      </c>
      <c r="P489">
        <v>24.8</v>
      </c>
      <c r="S489" s="74">
        <v>36180</v>
      </c>
      <c r="T489" s="77">
        <v>0.625</v>
      </c>
      <c r="V489">
        <v>46.04</v>
      </c>
      <c r="X489" s="42"/>
      <c r="AB489">
        <v>36.1</v>
      </c>
      <c r="AC489">
        <v>24.98</v>
      </c>
      <c r="AE489" s="74"/>
      <c r="AF489" s="77"/>
      <c r="AH489" s="497">
        <v>26.6</v>
      </c>
      <c r="AJ489" s="42"/>
      <c r="AK489" s="74"/>
      <c r="AL489" s="77"/>
      <c r="AN489" s="497">
        <v>35.06</v>
      </c>
      <c r="AP489" s="42"/>
      <c r="AQ489" s="74"/>
      <c r="AR489" s="77"/>
      <c r="AT489" s="497">
        <v>12.920000000000002</v>
      </c>
      <c r="AV489" s="42"/>
      <c r="AW489" s="74"/>
      <c r="AX489" s="77"/>
      <c r="BA489" s="497">
        <v>31.1</v>
      </c>
      <c r="BB489" s="42"/>
      <c r="BC489" s="74"/>
      <c r="BD489" s="77"/>
      <c r="BF489">
        <v>33.08</v>
      </c>
      <c r="BH489" s="42"/>
      <c r="BI489" s="74"/>
      <c r="BJ489" s="77"/>
      <c r="BL489" s="497">
        <v>29.3</v>
      </c>
      <c r="BN489" s="42"/>
      <c r="BO489" s="74"/>
      <c r="BP489" s="77"/>
      <c r="BR489" s="497">
        <v>35.06</v>
      </c>
      <c r="BT489" s="42"/>
    </row>
    <row r="490" spans="1:72" x14ac:dyDescent="0.25">
      <c r="A490" s="90">
        <v>36180</v>
      </c>
      <c r="B490" s="20">
        <v>0.66666666666666663</v>
      </c>
      <c r="D490">
        <v>50</v>
      </c>
      <c r="E490" t="str">
        <f t="shared" si="50"/>
        <v>WEEKDAY</v>
      </c>
      <c r="F490" t="e">
        <f t="shared" si="49"/>
        <v>#N/A</v>
      </c>
      <c r="G490" s="74">
        <v>27779</v>
      </c>
      <c r="H490" s="77">
        <v>0.66666666666666663</v>
      </c>
      <c r="J490">
        <v>28.94</v>
      </c>
      <c r="M490" s="74">
        <v>37641</v>
      </c>
      <c r="N490" s="77">
        <v>0.66666666666666663</v>
      </c>
      <c r="P490">
        <v>23</v>
      </c>
      <c r="S490" s="74">
        <v>36180</v>
      </c>
      <c r="T490" s="77">
        <v>0.66666666666666663</v>
      </c>
      <c r="V490">
        <v>44.96</v>
      </c>
      <c r="X490" s="42"/>
      <c r="AB490">
        <v>36.200000000000003</v>
      </c>
      <c r="AC490">
        <v>23</v>
      </c>
      <c r="AE490" s="74"/>
      <c r="AF490" s="77"/>
      <c r="AH490" s="497">
        <v>24.8</v>
      </c>
      <c r="AJ490" s="42"/>
      <c r="AK490" s="74"/>
      <c r="AL490" s="77"/>
      <c r="AN490" s="497">
        <v>33.979999999999997</v>
      </c>
      <c r="AP490" s="42"/>
      <c r="AQ490" s="74"/>
      <c r="AR490" s="77"/>
      <c r="AT490" s="497">
        <v>12.02</v>
      </c>
      <c r="AV490" s="42"/>
      <c r="AW490" s="74"/>
      <c r="AX490" s="77"/>
      <c r="BA490" s="497">
        <v>30.02</v>
      </c>
      <c r="BB490" s="42"/>
      <c r="BC490" s="74"/>
      <c r="BD490" s="77"/>
      <c r="BF490">
        <v>28.94</v>
      </c>
      <c r="BH490" s="42"/>
      <c r="BI490" s="74"/>
      <c r="BJ490" s="77"/>
      <c r="BL490" s="497">
        <v>28.94</v>
      </c>
      <c r="BN490" s="42"/>
      <c r="BO490" s="74"/>
      <c r="BP490" s="77"/>
      <c r="BR490" s="497">
        <v>35.96</v>
      </c>
      <c r="BT490" s="42"/>
    </row>
    <row r="491" spans="1:72" x14ac:dyDescent="0.25">
      <c r="A491" s="90">
        <v>36180</v>
      </c>
      <c r="B491" s="20">
        <v>0.70833333333333337</v>
      </c>
      <c r="D491">
        <v>48.92</v>
      </c>
      <c r="E491" t="str">
        <f t="shared" si="50"/>
        <v>WEEKDAY</v>
      </c>
      <c r="F491" t="e">
        <f t="shared" ref="F491:F554" si="51">IF(E491="WEEKDAY",VLOOKUP(B491,$DD$19:$DG$42,2),IF(E491="SATURDAY",VLOOKUP(B491,$DD$19:$DG$42,3),VLOOKUP(B491,$DD$19:$DG$42,4)))</f>
        <v>#N/A</v>
      </c>
      <c r="G491" s="74">
        <v>27779</v>
      </c>
      <c r="H491" s="77">
        <v>0.70833333333333337</v>
      </c>
      <c r="J491">
        <v>30.02</v>
      </c>
      <c r="M491" s="74">
        <v>37641</v>
      </c>
      <c r="N491" s="77">
        <v>0.70833333333333337</v>
      </c>
      <c r="P491">
        <v>21.2</v>
      </c>
      <c r="S491" s="74">
        <v>36180</v>
      </c>
      <c r="T491" s="77">
        <v>0.70833333333333337</v>
      </c>
      <c r="V491">
        <v>42.08</v>
      </c>
      <c r="X491" s="42"/>
      <c r="AB491">
        <v>35.700000000000003</v>
      </c>
      <c r="AC491">
        <v>21.92</v>
      </c>
      <c r="AE491" s="74"/>
      <c r="AF491" s="77"/>
      <c r="AH491" s="497">
        <v>24.8</v>
      </c>
      <c r="AJ491" s="42"/>
      <c r="AK491" s="74"/>
      <c r="AL491" s="77"/>
      <c r="AN491" s="497">
        <v>33.08</v>
      </c>
      <c r="AP491" s="42"/>
      <c r="AQ491" s="74"/>
      <c r="AR491" s="77"/>
      <c r="AT491" s="497">
        <v>12.02</v>
      </c>
      <c r="AV491" s="42"/>
      <c r="AW491" s="74"/>
      <c r="AX491" s="77"/>
      <c r="BA491" s="497">
        <v>28.04</v>
      </c>
      <c r="BB491" s="42"/>
      <c r="BC491" s="74"/>
      <c r="BD491" s="77"/>
      <c r="BF491">
        <v>30.02</v>
      </c>
      <c r="BH491" s="42"/>
      <c r="BI491" s="74"/>
      <c r="BJ491" s="77"/>
      <c r="BL491" s="497">
        <v>26.24</v>
      </c>
      <c r="BN491" s="42"/>
      <c r="BO491" s="74"/>
      <c r="BP491" s="77"/>
      <c r="BR491" s="497">
        <v>35.96</v>
      </c>
      <c r="BT491" s="42"/>
    </row>
    <row r="492" spans="1:72" x14ac:dyDescent="0.25">
      <c r="A492" s="90">
        <v>36180</v>
      </c>
      <c r="B492" s="20">
        <v>0.75</v>
      </c>
      <c r="D492">
        <v>48.019999999999996</v>
      </c>
      <c r="E492" t="str">
        <f t="shared" si="50"/>
        <v>WEEKDAY</v>
      </c>
      <c r="F492" t="e">
        <f t="shared" si="51"/>
        <v>#N/A</v>
      </c>
      <c r="G492" s="74">
        <v>27779</v>
      </c>
      <c r="H492" s="77">
        <v>0.75</v>
      </c>
      <c r="J492">
        <v>28.94</v>
      </c>
      <c r="M492" s="74">
        <v>37641</v>
      </c>
      <c r="N492" s="77">
        <v>0.75</v>
      </c>
      <c r="P492">
        <v>21.2</v>
      </c>
      <c r="S492" s="74">
        <v>36180</v>
      </c>
      <c r="T492" s="77">
        <v>0.75</v>
      </c>
      <c r="V492">
        <v>39.019999999999996</v>
      </c>
      <c r="X492" s="42"/>
      <c r="AB492">
        <v>34.6</v>
      </c>
      <c r="AC492">
        <v>21.92</v>
      </c>
      <c r="AE492" s="74"/>
      <c r="AF492" s="77"/>
      <c r="AH492" s="497">
        <v>21.2</v>
      </c>
      <c r="AJ492" s="42"/>
      <c r="AK492" s="74"/>
      <c r="AL492" s="77"/>
      <c r="AN492" s="497">
        <v>30.92</v>
      </c>
      <c r="AP492" s="42"/>
      <c r="AQ492" s="74"/>
      <c r="AR492" s="77"/>
      <c r="AT492" s="497">
        <v>10.039999999999999</v>
      </c>
      <c r="AV492" s="42"/>
      <c r="AW492" s="74"/>
      <c r="AX492" s="77"/>
      <c r="BA492" s="497">
        <v>26.060000000000002</v>
      </c>
      <c r="BB492" s="42"/>
      <c r="BC492" s="74"/>
      <c r="BD492" s="77"/>
      <c r="BF492">
        <v>28.04</v>
      </c>
      <c r="BH492" s="42"/>
      <c r="BI492" s="74"/>
      <c r="BJ492" s="77"/>
      <c r="BL492" s="497">
        <v>23.72</v>
      </c>
      <c r="BN492" s="42"/>
      <c r="BO492" s="74"/>
      <c r="BP492" s="77"/>
      <c r="BR492" s="497">
        <v>33.979999999999997</v>
      </c>
      <c r="BT492" s="42"/>
    </row>
    <row r="493" spans="1:72" x14ac:dyDescent="0.25">
      <c r="A493" s="90">
        <v>36180</v>
      </c>
      <c r="B493" s="20">
        <v>0.79166666666666663</v>
      </c>
      <c r="D493">
        <v>46.94</v>
      </c>
      <c r="E493" t="str">
        <f t="shared" si="50"/>
        <v>WEEKDAY</v>
      </c>
      <c r="F493" t="e">
        <f t="shared" si="51"/>
        <v>#N/A</v>
      </c>
      <c r="G493" s="74">
        <v>27779</v>
      </c>
      <c r="H493" s="77">
        <v>0.79166666666666663</v>
      </c>
      <c r="J493">
        <v>28.04</v>
      </c>
      <c r="M493" s="74">
        <v>37641</v>
      </c>
      <c r="N493" s="77">
        <v>0.79166666666666663</v>
      </c>
      <c r="P493">
        <v>19.399999999999999</v>
      </c>
      <c r="S493" s="74">
        <v>36180</v>
      </c>
      <c r="T493" s="77">
        <v>0.79166666666666663</v>
      </c>
      <c r="V493">
        <v>37.94</v>
      </c>
      <c r="X493" s="42"/>
      <c r="AB493">
        <v>34</v>
      </c>
      <c r="AC493">
        <v>21.92</v>
      </c>
      <c r="AE493" s="74"/>
      <c r="AF493" s="77"/>
      <c r="AH493" s="497">
        <v>19.399999999999999</v>
      </c>
      <c r="AJ493" s="42"/>
      <c r="AK493" s="74"/>
      <c r="AL493" s="77"/>
      <c r="AN493" s="497">
        <v>30.92</v>
      </c>
      <c r="AP493" s="42"/>
      <c r="AQ493" s="74"/>
      <c r="AR493" s="77"/>
      <c r="AT493" s="497">
        <v>8.9599999999999973</v>
      </c>
      <c r="AV493" s="42"/>
      <c r="AW493" s="74"/>
      <c r="AX493" s="77"/>
      <c r="BA493" s="497">
        <v>24.08</v>
      </c>
      <c r="BB493" s="42"/>
      <c r="BC493" s="74"/>
      <c r="BD493" s="77"/>
      <c r="BF493">
        <v>28.04</v>
      </c>
      <c r="BH493" s="42"/>
      <c r="BI493" s="74"/>
      <c r="BJ493" s="77"/>
      <c r="BL493" s="497">
        <v>21.02</v>
      </c>
      <c r="BN493" s="42"/>
      <c r="BO493" s="74"/>
      <c r="BP493" s="77"/>
      <c r="BR493" s="497">
        <v>33.08</v>
      </c>
      <c r="BT493" s="42"/>
    </row>
    <row r="494" spans="1:72" x14ac:dyDescent="0.25">
      <c r="A494" s="90">
        <v>36180</v>
      </c>
      <c r="B494" s="20">
        <v>0.83333333333333337</v>
      </c>
      <c r="D494">
        <v>46.94</v>
      </c>
      <c r="E494" t="str">
        <f t="shared" si="50"/>
        <v>WEEKDAY</v>
      </c>
      <c r="F494" t="e">
        <f t="shared" si="51"/>
        <v>#N/A</v>
      </c>
      <c r="G494" s="74">
        <v>27779</v>
      </c>
      <c r="H494" s="77">
        <v>0.83333333333333337</v>
      </c>
      <c r="J494">
        <v>28.04</v>
      </c>
      <c r="M494" s="74">
        <v>37641</v>
      </c>
      <c r="N494" s="77">
        <v>0.83333333333333337</v>
      </c>
      <c r="P494">
        <v>19.399999999999999</v>
      </c>
      <c r="S494" s="74">
        <v>36180</v>
      </c>
      <c r="T494" s="77">
        <v>0.83333333333333337</v>
      </c>
      <c r="V494">
        <v>37.94</v>
      </c>
      <c r="X494" s="42"/>
      <c r="AB494">
        <v>33.6</v>
      </c>
      <c r="AC494">
        <v>23</v>
      </c>
      <c r="AE494" s="74"/>
      <c r="AF494" s="77"/>
      <c r="AH494" s="497">
        <v>17.600000000000001</v>
      </c>
      <c r="AJ494" s="42"/>
      <c r="AK494" s="74"/>
      <c r="AL494" s="77"/>
      <c r="AN494" s="497">
        <v>30.02</v>
      </c>
      <c r="AP494" s="42"/>
      <c r="AQ494" s="74"/>
      <c r="AR494" s="77"/>
      <c r="AT494" s="497">
        <v>8.9599999999999973</v>
      </c>
      <c r="AV494" s="42"/>
      <c r="AW494" s="74"/>
      <c r="AX494" s="77"/>
      <c r="BA494" s="497">
        <v>23.72</v>
      </c>
      <c r="BB494" s="42"/>
      <c r="BC494" s="74"/>
      <c r="BD494" s="77"/>
      <c r="BF494">
        <v>28.04</v>
      </c>
      <c r="BH494" s="42"/>
      <c r="BI494" s="74"/>
      <c r="BJ494" s="77"/>
      <c r="BL494" s="497">
        <v>21.38</v>
      </c>
      <c r="BN494" s="42"/>
      <c r="BO494" s="74"/>
      <c r="BP494" s="77"/>
      <c r="BR494" s="497">
        <v>33.979999999999997</v>
      </c>
      <c r="BT494" s="42"/>
    </row>
    <row r="495" spans="1:72" x14ac:dyDescent="0.25">
      <c r="A495" s="90">
        <v>36180</v>
      </c>
      <c r="B495" s="20">
        <v>0.875</v>
      </c>
      <c r="D495">
        <v>46.04</v>
      </c>
      <c r="E495" t="str">
        <f t="shared" si="50"/>
        <v>WEEKDAY</v>
      </c>
      <c r="F495" t="e">
        <f t="shared" si="51"/>
        <v>#N/A</v>
      </c>
      <c r="G495" s="74">
        <v>27779</v>
      </c>
      <c r="H495" s="77">
        <v>0.875</v>
      </c>
      <c r="J495">
        <v>28.04</v>
      </c>
      <c r="M495" s="74">
        <v>37641</v>
      </c>
      <c r="N495" s="77">
        <v>0.875</v>
      </c>
      <c r="P495">
        <v>17.600000000000001</v>
      </c>
      <c r="S495" s="74">
        <v>36180</v>
      </c>
      <c r="T495" s="77">
        <v>0.875</v>
      </c>
      <c r="V495">
        <v>37.94</v>
      </c>
      <c r="X495" s="42"/>
      <c r="AB495">
        <v>33</v>
      </c>
      <c r="AC495">
        <v>21.92</v>
      </c>
      <c r="AE495" s="74"/>
      <c r="AF495" s="77"/>
      <c r="AH495" s="497">
        <v>17.600000000000001</v>
      </c>
      <c r="AJ495" s="42"/>
      <c r="AK495" s="74"/>
      <c r="AL495" s="77"/>
      <c r="AN495" s="497">
        <v>28.94</v>
      </c>
      <c r="AP495" s="42"/>
      <c r="AQ495" s="74"/>
      <c r="AR495" s="77"/>
      <c r="AT495" s="497">
        <v>8.0599999999999987</v>
      </c>
      <c r="AV495" s="42"/>
      <c r="AW495" s="74"/>
      <c r="AX495" s="77"/>
      <c r="BA495" s="497">
        <v>23.36</v>
      </c>
      <c r="BB495" s="42"/>
      <c r="BC495" s="74"/>
      <c r="BD495" s="77"/>
      <c r="BF495">
        <v>26.96</v>
      </c>
      <c r="BH495" s="42"/>
      <c r="BI495" s="74"/>
      <c r="BJ495" s="77"/>
      <c r="BL495" s="497">
        <v>21.560000000000002</v>
      </c>
      <c r="BN495" s="42"/>
      <c r="BO495" s="74"/>
      <c r="BP495" s="77"/>
      <c r="BR495" s="497">
        <v>33.08</v>
      </c>
      <c r="BT495" s="42"/>
    </row>
    <row r="496" spans="1:72" x14ac:dyDescent="0.25">
      <c r="A496" s="90">
        <v>36180</v>
      </c>
      <c r="B496" s="20">
        <v>0.91666666666666663</v>
      </c>
      <c r="D496">
        <v>46.04</v>
      </c>
      <c r="E496" t="str">
        <f t="shared" si="50"/>
        <v>WEEKDAY</v>
      </c>
      <c r="F496" t="e">
        <f t="shared" si="51"/>
        <v>#N/A</v>
      </c>
      <c r="G496" s="74">
        <v>27779</v>
      </c>
      <c r="H496" s="77">
        <v>0.91666666666666663</v>
      </c>
      <c r="J496">
        <v>28.04</v>
      </c>
      <c r="M496" s="74">
        <v>37641</v>
      </c>
      <c r="N496" s="77">
        <v>0.91666666666666663</v>
      </c>
      <c r="P496">
        <v>17.600000000000001</v>
      </c>
      <c r="S496" s="74">
        <v>36180</v>
      </c>
      <c r="T496" s="77">
        <v>0.91666666666666663</v>
      </c>
      <c r="V496">
        <v>39.019999999999996</v>
      </c>
      <c r="X496" s="42"/>
      <c r="AB496">
        <v>32.4</v>
      </c>
      <c r="AC496">
        <v>23</v>
      </c>
      <c r="AE496" s="74"/>
      <c r="AF496" s="77"/>
      <c r="AH496" s="497">
        <v>17.600000000000001</v>
      </c>
      <c r="AJ496" s="42"/>
      <c r="AK496" s="74"/>
      <c r="AL496" s="77"/>
      <c r="AN496" s="497">
        <v>28.94</v>
      </c>
      <c r="AP496" s="42"/>
      <c r="AQ496" s="74"/>
      <c r="AR496" s="77"/>
      <c r="AT496" s="497">
        <v>8.0599999999999987</v>
      </c>
      <c r="AV496" s="42"/>
      <c r="AW496" s="74"/>
      <c r="AX496" s="77"/>
      <c r="BA496" s="497">
        <v>23</v>
      </c>
      <c r="BB496" s="42"/>
      <c r="BC496" s="74"/>
      <c r="BD496" s="77"/>
      <c r="BF496">
        <v>26.96</v>
      </c>
      <c r="BH496" s="42"/>
      <c r="BI496" s="74"/>
      <c r="BJ496" s="77"/>
      <c r="BL496" s="497">
        <v>21.92</v>
      </c>
      <c r="BN496" s="42"/>
      <c r="BO496" s="74"/>
      <c r="BP496" s="77"/>
      <c r="BR496" s="497">
        <v>33.08</v>
      </c>
      <c r="BT496" s="42"/>
    </row>
    <row r="497" spans="1:72" x14ac:dyDescent="0.25">
      <c r="A497" s="90">
        <v>36180</v>
      </c>
      <c r="B497" s="20">
        <v>0.95833333333333337</v>
      </c>
      <c r="D497">
        <v>44.96</v>
      </c>
      <c r="E497" t="str">
        <f t="shared" si="50"/>
        <v>WEEKDAY</v>
      </c>
      <c r="F497" t="e">
        <f t="shared" si="51"/>
        <v>#N/A</v>
      </c>
      <c r="G497" s="74">
        <v>27779</v>
      </c>
      <c r="H497" s="77">
        <v>0.95833333333333337</v>
      </c>
      <c r="J497">
        <v>26.96</v>
      </c>
      <c r="M497" s="74">
        <v>37641</v>
      </c>
      <c r="N497" s="77">
        <v>0.95833333333333337</v>
      </c>
      <c r="P497">
        <v>15.8</v>
      </c>
      <c r="S497" s="74">
        <v>36180</v>
      </c>
      <c r="T497" s="77">
        <v>0.95833333333333337</v>
      </c>
      <c r="V497">
        <v>37.04</v>
      </c>
      <c r="X497" s="42"/>
      <c r="AB497">
        <v>31.9</v>
      </c>
      <c r="AC497">
        <v>24.08</v>
      </c>
      <c r="AE497" s="74"/>
      <c r="AF497" s="77"/>
      <c r="AH497" s="497">
        <v>15.8</v>
      </c>
      <c r="AJ497" s="42"/>
      <c r="AK497" s="74"/>
      <c r="AL497" s="77"/>
      <c r="AN497" s="497">
        <v>28.04</v>
      </c>
      <c r="AP497" s="42"/>
      <c r="AQ497" s="74"/>
      <c r="AR497" s="77"/>
      <c r="AT497" s="497">
        <v>8.0599999999999987</v>
      </c>
      <c r="AV497" s="42"/>
      <c r="AW497" s="74"/>
      <c r="AX497" s="77"/>
      <c r="BA497" s="497">
        <v>23.36</v>
      </c>
      <c r="BB497" s="42"/>
      <c r="BC497" s="74"/>
      <c r="BD497" s="77"/>
      <c r="BF497">
        <v>26.060000000000002</v>
      </c>
      <c r="BH497" s="42"/>
      <c r="BI497" s="74"/>
      <c r="BJ497" s="77"/>
      <c r="BL497" s="497">
        <v>22.64</v>
      </c>
      <c r="BN497" s="42"/>
      <c r="BO497" s="74"/>
      <c r="BP497" s="77"/>
      <c r="BR497" s="497">
        <v>33.08</v>
      </c>
      <c r="BT497" s="42"/>
    </row>
    <row r="498" spans="1:72" x14ac:dyDescent="0.25">
      <c r="A498" s="90">
        <v>36180</v>
      </c>
      <c r="B498" s="20">
        <v>1</v>
      </c>
      <c r="D498">
        <v>44.06</v>
      </c>
      <c r="E498" t="str">
        <f t="shared" si="50"/>
        <v>WEEKDAY</v>
      </c>
      <c r="F498" t="e">
        <f t="shared" si="51"/>
        <v>#N/A</v>
      </c>
      <c r="G498" s="74">
        <v>27779</v>
      </c>
      <c r="H498" s="77">
        <v>1</v>
      </c>
      <c r="J498">
        <v>26.96</v>
      </c>
      <c r="M498" s="74">
        <v>37641</v>
      </c>
      <c r="N498" s="80">
        <v>1</v>
      </c>
      <c r="P498">
        <v>15.8</v>
      </c>
      <c r="S498" s="74">
        <v>36180</v>
      </c>
      <c r="T498" s="80">
        <v>1</v>
      </c>
      <c r="V498">
        <v>35.06</v>
      </c>
      <c r="X498" s="42"/>
      <c r="AB498">
        <v>31.4</v>
      </c>
      <c r="AC498">
        <v>24.08</v>
      </c>
      <c r="AE498" s="74"/>
      <c r="AF498" s="80"/>
      <c r="AH498" s="497">
        <v>12.2</v>
      </c>
      <c r="AJ498" s="42"/>
      <c r="AK498" s="74"/>
      <c r="AL498" s="80"/>
      <c r="AN498" s="497">
        <v>28.04</v>
      </c>
      <c r="AP498" s="42"/>
      <c r="AQ498" s="74"/>
      <c r="AR498" s="80"/>
      <c r="AT498" s="497">
        <v>6.98</v>
      </c>
      <c r="AV498" s="42"/>
      <c r="AW498" s="74"/>
      <c r="AX498" s="80"/>
      <c r="BA498" s="497">
        <v>23.72</v>
      </c>
      <c r="BB498" s="42"/>
      <c r="BC498" s="74"/>
      <c r="BD498" s="80"/>
      <c r="BF498">
        <v>26.060000000000002</v>
      </c>
      <c r="BH498" s="42"/>
      <c r="BI498" s="74"/>
      <c r="BJ498" s="80"/>
      <c r="BL498" s="497">
        <v>23.36</v>
      </c>
      <c r="BN498" s="42"/>
      <c r="BO498" s="74"/>
      <c r="BP498" s="80"/>
      <c r="BR498" s="497">
        <v>33.08</v>
      </c>
      <c r="BT498" s="42"/>
    </row>
    <row r="499" spans="1:72" x14ac:dyDescent="0.25">
      <c r="A499" s="90">
        <v>36181</v>
      </c>
      <c r="B499" s="20">
        <v>4.1666666666666664E-2</v>
      </c>
      <c r="D499">
        <v>42.08</v>
      </c>
      <c r="E499" t="str">
        <f t="shared" si="50"/>
        <v>WEEKDAY</v>
      </c>
      <c r="F499" t="e">
        <f t="shared" si="51"/>
        <v>#N/A</v>
      </c>
      <c r="G499" s="74">
        <v>27780</v>
      </c>
      <c r="H499" s="77">
        <v>4.1666666666666664E-2</v>
      </c>
      <c r="J499">
        <v>26.96</v>
      </c>
      <c r="M499" s="74">
        <v>37642</v>
      </c>
      <c r="N499" s="77">
        <v>4.1666666666666664E-2</v>
      </c>
      <c r="P499">
        <v>15.8</v>
      </c>
      <c r="S499" s="74">
        <v>36181</v>
      </c>
      <c r="T499" s="77">
        <v>4.1666666666666664E-2</v>
      </c>
      <c r="V499">
        <v>33.979999999999997</v>
      </c>
      <c r="X499" s="42"/>
      <c r="AB499">
        <v>30.9</v>
      </c>
      <c r="AC499">
        <v>23</v>
      </c>
      <c r="AE499" s="74"/>
      <c r="AF499" s="77"/>
      <c r="AH499" s="497">
        <v>12.2</v>
      </c>
      <c r="AJ499" s="42"/>
      <c r="AK499" s="74"/>
      <c r="AL499" s="77"/>
      <c r="AN499" s="497">
        <v>28.04</v>
      </c>
      <c r="AP499" s="42"/>
      <c r="AQ499" s="74"/>
      <c r="AR499" s="77"/>
      <c r="AT499" s="497">
        <v>6.98</v>
      </c>
      <c r="AV499" s="42"/>
      <c r="AW499" s="74"/>
      <c r="AX499" s="77"/>
      <c r="BA499" s="497">
        <v>24.08</v>
      </c>
      <c r="BB499" s="42"/>
      <c r="BC499" s="74"/>
      <c r="BD499" s="77"/>
      <c r="BF499">
        <v>26.96</v>
      </c>
      <c r="BH499" s="42"/>
      <c r="BI499" s="74"/>
      <c r="BJ499" s="77"/>
      <c r="BL499" s="497">
        <v>24.08</v>
      </c>
      <c r="BN499" s="42"/>
      <c r="BO499" s="74"/>
      <c r="BP499" s="77"/>
      <c r="BR499" s="497">
        <v>32</v>
      </c>
      <c r="BT499" s="42"/>
    </row>
    <row r="500" spans="1:72" x14ac:dyDescent="0.25">
      <c r="A500" s="90">
        <v>36181</v>
      </c>
      <c r="B500" s="20">
        <v>8.3333333333333329E-2</v>
      </c>
      <c r="D500">
        <v>39.92</v>
      </c>
      <c r="E500" t="str">
        <f t="shared" si="50"/>
        <v>WEEKDAY</v>
      </c>
      <c r="F500" t="e">
        <f t="shared" si="51"/>
        <v>#N/A</v>
      </c>
      <c r="G500" s="74">
        <v>27780</v>
      </c>
      <c r="H500" s="77">
        <v>8.3333333333333329E-2</v>
      </c>
      <c r="J500">
        <v>26.96</v>
      </c>
      <c r="M500" s="74">
        <v>37642</v>
      </c>
      <c r="N500" s="77">
        <v>8.3333333333333329E-2</v>
      </c>
      <c r="P500">
        <v>15.8</v>
      </c>
      <c r="S500" s="74">
        <v>36181</v>
      </c>
      <c r="T500" s="77">
        <v>8.3333333333333329E-2</v>
      </c>
      <c r="V500">
        <v>33.979999999999997</v>
      </c>
      <c r="X500" s="42"/>
      <c r="AB500">
        <v>30.4</v>
      </c>
      <c r="AC500">
        <v>24.08</v>
      </c>
      <c r="AE500" s="74"/>
      <c r="AF500" s="77"/>
      <c r="AH500" s="497">
        <v>10.399999999999999</v>
      </c>
      <c r="AJ500" s="42"/>
      <c r="AK500" s="74"/>
      <c r="AL500" s="77"/>
      <c r="AN500" s="497">
        <v>28.94</v>
      </c>
      <c r="AP500" s="42"/>
      <c r="AQ500" s="74"/>
      <c r="AR500" s="77"/>
      <c r="AT500" s="497">
        <v>8.0599999999999987</v>
      </c>
      <c r="AV500" s="42"/>
      <c r="AW500" s="74"/>
      <c r="AX500" s="77"/>
      <c r="BA500" s="497">
        <v>24.439999999999998</v>
      </c>
      <c r="BB500" s="42"/>
      <c r="BC500" s="74"/>
      <c r="BD500" s="77"/>
      <c r="BF500">
        <v>28.04</v>
      </c>
      <c r="BH500" s="42"/>
      <c r="BI500" s="74"/>
      <c r="BJ500" s="77"/>
      <c r="BL500" s="497">
        <v>24.8</v>
      </c>
      <c r="BN500" s="42"/>
      <c r="BO500" s="74"/>
      <c r="BP500" s="77"/>
      <c r="BR500" s="497">
        <v>32</v>
      </c>
      <c r="BT500" s="42"/>
    </row>
    <row r="501" spans="1:72" x14ac:dyDescent="0.25">
      <c r="A501" s="90">
        <v>36181</v>
      </c>
      <c r="B501" s="20">
        <v>0.125</v>
      </c>
      <c r="D501">
        <v>39.019999999999996</v>
      </c>
      <c r="E501" t="str">
        <f t="shared" si="50"/>
        <v>WEEKDAY</v>
      </c>
      <c r="F501" t="e">
        <f t="shared" si="51"/>
        <v>#N/A</v>
      </c>
      <c r="G501" s="74">
        <v>27780</v>
      </c>
      <c r="H501" s="77">
        <v>0.125</v>
      </c>
      <c r="J501">
        <v>24.98</v>
      </c>
      <c r="M501" s="74">
        <v>37642</v>
      </c>
      <c r="N501" s="77">
        <v>0.125</v>
      </c>
      <c r="P501">
        <v>14</v>
      </c>
      <c r="S501" s="74">
        <v>36181</v>
      </c>
      <c r="T501" s="77">
        <v>0.125</v>
      </c>
      <c r="V501">
        <v>32</v>
      </c>
      <c r="X501" s="42"/>
      <c r="AB501">
        <v>30</v>
      </c>
      <c r="AC501">
        <v>23</v>
      </c>
      <c r="AE501" s="74"/>
      <c r="AF501" s="77"/>
      <c r="AH501" s="497">
        <v>8.5999999999999979</v>
      </c>
      <c r="AJ501" s="42"/>
      <c r="AK501" s="74"/>
      <c r="AL501" s="77"/>
      <c r="AN501" s="497">
        <v>28.94</v>
      </c>
      <c r="AP501" s="42"/>
      <c r="AQ501" s="74"/>
      <c r="AR501" s="77"/>
      <c r="AT501" s="497">
        <v>5</v>
      </c>
      <c r="AV501" s="42"/>
      <c r="AW501" s="74"/>
      <c r="AX501" s="77"/>
      <c r="BA501" s="497">
        <v>24.62</v>
      </c>
      <c r="BB501" s="42"/>
      <c r="BC501" s="74"/>
      <c r="BD501" s="77"/>
      <c r="BF501">
        <v>28.94</v>
      </c>
      <c r="BH501" s="42"/>
      <c r="BI501" s="74"/>
      <c r="BJ501" s="77"/>
      <c r="BL501" s="497">
        <v>25.34</v>
      </c>
      <c r="BN501" s="42"/>
      <c r="BO501" s="74"/>
      <c r="BP501" s="77"/>
      <c r="BR501" s="497">
        <v>32</v>
      </c>
      <c r="BT501" s="42"/>
    </row>
    <row r="502" spans="1:72" x14ac:dyDescent="0.25">
      <c r="A502" s="90">
        <v>36181</v>
      </c>
      <c r="B502" s="20">
        <v>0.16666666666666666</v>
      </c>
      <c r="D502">
        <v>37.04</v>
      </c>
      <c r="E502" t="str">
        <f t="shared" si="50"/>
        <v>WEEKDAY</v>
      </c>
      <c r="F502" t="e">
        <f t="shared" si="51"/>
        <v>#N/A</v>
      </c>
      <c r="G502" s="74">
        <v>27780</v>
      </c>
      <c r="H502" s="77">
        <v>0.16666666666666666</v>
      </c>
      <c r="J502">
        <v>26.060000000000002</v>
      </c>
      <c r="M502" s="74">
        <v>37642</v>
      </c>
      <c r="N502" s="77">
        <v>0.16666666666666666</v>
      </c>
      <c r="P502">
        <v>12.2</v>
      </c>
      <c r="S502" s="74">
        <v>36181</v>
      </c>
      <c r="T502" s="77">
        <v>0.16666666666666666</v>
      </c>
      <c r="V502">
        <v>30.92</v>
      </c>
      <c r="X502" s="42"/>
      <c r="AB502">
        <v>29.6</v>
      </c>
      <c r="AC502">
        <v>21.92</v>
      </c>
      <c r="AE502" s="74"/>
      <c r="AF502" s="77"/>
      <c r="AH502" s="497">
        <v>6.8000000000000007</v>
      </c>
      <c r="AJ502" s="42"/>
      <c r="AK502" s="74"/>
      <c r="AL502" s="77"/>
      <c r="AN502" s="497">
        <v>28.94</v>
      </c>
      <c r="AP502" s="42"/>
      <c r="AQ502" s="74"/>
      <c r="AR502" s="77"/>
      <c r="AT502" s="497">
        <v>3.9200000000000017</v>
      </c>
      <c r="AV502" s="42"/>
      <c r="AW502" s="74"/>
      <c r="AX502" s="77"/>
      <c r="BA502" s="497">
        <v>24.98</v>
      </c>
      <c r="BB502" s="42"/>
      <c r="BC502" s="74"/>
      <c r="BD502" s="77"/>
      <c r="BF502">
        <v>28.04</v>
      </c>
      <c r="BH502" s="42"/>
      <c r="BI502" s="74"/>
      <c r="BJ502" s="77"/>
      <c r="BL502" s="497">
        <v>26.060000000000002</v>
      </c>
      <c r="BN502" s="42"/>
      <c r="BO502" s="74"/>
      <c r="BP502" s="77"/>
      <c r="BR502" s="497">
        <v>30.92</v>
      </c>
      <c r="BT502" s="42"/>
    </row>
    <row r="503" spans="1:72" x14ac:dyDescent="0.25">
      <c r="A503" s="90">
        <v>36181</v>
      </c>
      <c r="B503" s="20">
        <v>0.20833333333333334</v>
      </c>
      <c r="D503">
        <v>35.96</v>
      </c>
      <c r="E503" t="str">
        <f t="shared" si="50"/>
        <v>WEEKDAY</v>
      </c>
      <c r="F503" t="e">
        <f t="shared" si="51"/>
        <v>#N/A</v>
      </c>
      <c r="G503" s="74">
        <v>27780</v>
      </c>
      <c r="H503" s="77">
        <v>0.20833333333333334</v>
      </c>
      <c r="J503">
        <v>26.060000000000002</v>
      </c>
      <c r="M503" s="74">
        <v>37642</v>
      </c>
      <c r="N503" s="77">
        <v>0.20833333333333334</v>
      </c>
      <c r="P503">
        <v>12.2</v>
      </c>
      <c r="S503" s="74">
        <v>36181</v>
      </c>
      <c r="T503" s="77">
        <v>0.20833333333333334</v>
      </c>
      <c r="V503">
        <v>32</v>
      </c>
      <c r="X503" s="42"/>
      <c r="AB503">
        <v>29.2</v>
      </c>
      <c r="AC503">
        <v>19.04</v>
      </c>
      <c r="AE503" s="74"/>
      <c r="AF503" s="77"/>
      <c r="AH503" s="497">
        <v>5</v>
      </c>
      <c r="AJ503" s="42"/>
      <c r="AK503" s="74"/>
      <c r="AL503" s="77"/>
      <c r="AN503" s="497">
        <v>28.94</v>
      </c>
      <c r="AP503" s="42"/>
      <c r="AQ503" s="74"/>
      <c r="AR503" s="77"/>
      <c r="AT503" s="497">
        <v>3.019999999999996</v>
      </c>
      <c r="AV503" s="42"/>
      <c r="AW503" s="74"/>
      <c r="AX503" s="77"/>
      <c r="BA503" s="497">
        <v>25.34</v>
      </c>
      <c r="BB503" s="42"/>
      <c r="BC503" s="74"/>
      <c r="BD503" s="77"/>
      <c r="BF503">
        <v>28.04</v>
      </c>
      <c r="BH503" s="42"/>
      <c r="BI503" s="74"/>
      <c r="BJ503" s="77"/>
      <c r="BL503" s="497">
        <v>25.7</v>
      </c>
      <c r="BN503" s="42"/>
      <c r="BO503" s="74"/>
      <c r="BP503" s="77"/>
      <c r="BR503" s="497">
        <v>30.02</v>
      </c>
      <c r="BT503" s="42"/>
    </row>
    <row r="504" spans="1:72" x14ac:dyDescent="0.25">
      <c r="A504" s="90">
        <v>36181</v>
      </c>
      <c r="B504" s="20">
        <v>0.25</v>
      </c>
      <c r="D504">
        <v>35.06</v>
      </c>
      <c r="E504" t="str">
        <f t="shared" si="50"/>
        <v>WEEKDAY</v>
      </c>
      <c r="F504" t="e">
        <f t="shared" si="51"/>
        <v>#N/A</v>
      </c>
      <c r="G504" s="74">
        <v>27780</v>
      </c>
      <c r="H504" s="77">
        <v>0.25</v>
      </c>
      <c r="J504">
        <v>26.96</v>
      </c>
      <c r="M504" s="74">
        <v>37642</v>
      </c>
      <c r="N504" s="77">
        <v>0.25</v>
      </c>
      <c r="P504">
        <v>12.2</v>
      </c>
      <c r="S504" s="74">
        <v>36181</v>
      </c>
      <c r="T504" s="77">
        <v>0.25</v>
      </c>
      <c r="V504">
        <v>30.92</v>
      </c>
      <c r="X504" s="42"/>
      <c r="AB504">
        <v>29</v>
      </c>
      <c r="AC504">
        <v>17.96</v>
      </c>
      <c r="AE504" s="74"/>
      <c r="AF504" s="77"/>
      <c r="AH504" s="497">
        <v>3.1999999999999993</v>
      </c>
      <c r="AJ504" s="42"/>
      <c r="AK504" s="74"/>
      <c r="AL504" s="77"/>
      <c r="AN504" s="497">
        <v>30.02</v>
      </c>
      <c r="AP504" s="42"/>
      <c r="AQ504" s="74"/>
      <c r="AR504" s="77"/>
      <c r="AT504" s="497">
        <v>1.9400000000000013</v>
      </c>
      <c r="AV504" s="42"/>
      <c r="AW504" s="74"/>
      <c r="AX504" s="77"/>
      <c r="BA504" s="497">
        <v>25.7</v>
      </c>
      <c r="BB504" s="42"/>
      <c r="BC504" s="74"/>
      <c r="BD504" s="77"/>
      <c r="BF504">
        <v>26.96</v>
      </c>
      <c r="BH504" s="42"/>
      <c r="BI504" s="74"/>
      <c r="BJ504" s="77"/>
      <c r="BL504" s="497">
        <v>25.34</v>
      </c>
      <c r="BN504" s="42"/>
      <c r="BO504" s="74"/>
      <c r="BP504" s="77"/>
      <c r="BR504" s="497">
        <v>30.02</v>
      </c>
      <c r="BT504" s="42"/>
    </row>
    <row r="505" spans="1:72" x14ac:dyDescent="0.25">
      <c r="A505" s="90">
        <v>36181</v>
      </c>
      <c r="B505" s="20">
        <v>0.29166666666666669</v>
      </c>
      <c r="D505">
        <v>35.06</v>
      </c>
      <c r="E505" t="str">
        <f t="shared" si="50"/>
        <v>WEEKDAY</v>
      </c>
      <c r="F505" t="e">
        <f t="shared" si="51"/>
        <v>#N/A</v>
      </c>
      <c r="G505" s="74">
        <v>27780</v>
      </c>
      <c r="H505" s="77">
        <v>0.29166666666666669</v>
      </c>
      <c r="J505">
        <v>28.94</v>
      </c>
      <c r="M505" s="74">
        <v>37642</v>
      </c>
      <c r="N505" s="77">
        <v>0.29166666666666669</v>
      </c>
      <c r="P505">
        <v>12.2</v>
      </c>
      <c r="S505" s="74">
        <v>36181</v>
      </c>
      <c r="T505" s="77">
        <v>0.29166666666666669</v>
      </c>
      <c r="V505">
        <v>32</v>
      </c>
      <c r="X505" s="42"/>
      <c r="AB505">
        <v>28.9</v>
      </c>
      <c r="AC505">
        <v>17.059999999999999</v>
      </c>
      <c r="AE505" s="74"/>
      <c r="AF505" s="77"/>
      <c r="AH505" s="497">
        <v>1.3999999999999986</v>
      </c>
      <c r="AJ505" s="42"/>
      <c r="AK505" s="74"/>
      <c r="AL505" s="77"/>
      <c r="AN505" s="497">
        <v>28.94</v>
      </c>
      <c r="AP505" s="42"/>
      <c r="AQ505" s="74"/>
      <c r="AR505" s="77"/>
      <c r="AT505" s="497">
        <v>1.0399999999999991</v>
      </c>
      <c r="AV505" s="42"/>
      <c r="AW505" s="74"/>
      <c r="AX505" s="77"/>
      <c r="BA505" s="497">
        <v>26.060000000000002</v>
      </c>
      <c r="BB505" s="42"/>
      <c r="BC505" s="74"/>
      <c r="BD505" s="77"/>
      <c r="BF505">
        <v>26.060000000000002</v>
      </c>
      <c r="BH505" s="42"/>
      <c r="BI505" s="74"/>
      <c r="BJ505" s="77"/>
      <c r="BL505" s="497">
        <v>24.98</v>
      </c>
      <c r="BN505" s="42"/>
      <c r="BO505" s="74"/>
      <c r="BP505" s="77"/>
      <c r="BR505" s="497">
        <v>28.94</v>
      </c>
      <c r="BT505" s="42"/>
    </row>
    <row r="506" spans="1:72" x14ac:dyDescent="0.25">
      <c r="A506" s="90">
        <v>36181</v>
      </c>
      <c r="B506" s="20">
        <v>0.33333333333333331</v>
      </c>
      <c r="D506">
        <v>35.96</v>
      </c>
      <c r="E506" t="str">
        <f t="shared" si="50"/>
        <v>WEEKDAY</v>
      </c>
      <c r="F506" t="e">
        <f t="shared" si="51"/>
        <v>#N/A</v>
      </c>
      <c r="G506" s="74">
        <v>27780</v>
      </c>
      <c r="H506" s="77">
        <v>0.33333333333333331</v>
      </c>
      <c r="J506">
        <v>28.94</v>
      </c>
      <c r="M506" s="74">
        <v>37642</v>
      </c>
      <c r="N506" s="77">
        <v>0.33333333333333331</v>
      </c>
      <c r="P506">
        <v>12.2</v>
      </c>
      <c r="S506" s="74">
        <v>36181</v>
      </c>
      <c r="T506" s="77">
        <v>0.33333333333333331</v>
      </c>
      <c r="V506">
        <v>33.08</v>
      </c>
      <c r="X506" s="42"/>
      <c r="AB506">
        <v>28.9</v>
      </c>
      <c r="AC506">
        <v>17.059999999999999</v>
      </c>
      <c r="AE506" s="74"/>
      <c r="AF506" s="77"/>
      <c r="AH506" s="497">
        <v>1.3999999999999986</v>
      </c>
      <c r="AJ506" s="42"/>
      <c r="AK506" s="74"/>
      <c r="AL506" s="77"/>
      <c r="AN506" s="497">
        <v>30.02</v>
      </c>
      <c r="AP506" s="42"/>
      <c r="AQ506" s="74"/>
      <c r="AR506" s="77"/>
      <c r="AT506" s="497">
        <v>-0.94000000000000483</v>
      </c>
      <c r="AV506" s="42"/>
      <c r="AW506" s="74"/>
      <c r="AX506" s="77"/>
      <c r="BA506" s="497">
        <v>26.78</v>
      </c>
      <c r="BB506" s="42"/>
      <c r="BC506" s="74"/>
      <c r="BD506" s="77"/>
      <c r="BF506">
        <v>26.060000000000002</v>
      </c>
      <c r="BH506" s="42"/>
      <c r="BI506" s="74"/>
      <c r="BJ506" s="77"/>
      <c r="BL506" s="497">
        <v>24.98</v>
      </c>
      <c r="BN506" s="42"/>
      <c r="BO506" s="74"/>
      <c r="BP506" s="77"/>
      <c r="BR506" s="497">
        <v>28.94</v>
      </c>
      <c r="BT506" s="42"/>
    </row>
    <row r="507" spans="1:72" x14ac:dyDescent="0.25">
      <c r="A507" s="90">
        <v>36181</v>
      </c>
      <c r="B507" s="20">
        <v>0.375</v>
      </c>
      <c r="D507">
        <v>30.02</v>
      </c>
      <c r="E507" t="str">
        <f t="shared" si="50"/>
        <v>WEEKDAY</v>
      </c>
      <c r="F507" t="e">
        <f t="shared" si="51"/>
        <v>#N/A</v>
      </c>
      <c r="G507" s="74">
        <v>27780</v>
      </c>
      <c r="H507" s="77">
        <v>0.375</v>
      </c>
      <c r="J507">
        <v>28.94</v>
      </c>
      <c r="M507" s="74">
        <v>37642</v>
      </c>
      <c r="N507" s="77">
        <v>0.375</v>
      </c>
      <c r="P507">
        <v>15.8</v>
      </c>
      <c r="S507" s="74">
        <v>36181</v>
      </c>
      <c r="T507" s="77">
        <v>0.375</v>
      </c>
      <c r="V507">
        <v>35.06</v>
      </c>
      <c r="X507" s="42"/>
      <c r="AB507">
        <v>29.4</v>
      </c>
      <c r="AC507">
        <v>17.059999999999999</v>
      </c>
      <c r="AE507" s="74"/>
      <c r="AF507" s="77"/>
      <c r="AH507" s="497">
        <v>3.1999999999999993</v>
      </c>
      <c r="AJ507" s="42"/>
      <c r="AK507" s="74"/>
      <c r="AL507" s="77"/>
      <c r="AN507" s="497">
        <v>30.02</v>
      </c>
      <c r="AP507" s="42"/>
      <c r="AQ507" s="74"/>
      <c r="AR507" s="77"/>
      <c r="AT507" s="497">
        <v>-0.94000000000000483</v>
      </c>
      <c r="AV507" s="42"/>
      <c r="AW507" s="74"/>
      <c r="AX507" s="77"/>
      <c r="BA507" s="497">
        <v>27.32</v>
      </c>
      <c r="BB507" s="42"/>
      <c r="BC507" s="74"/>
      <c r="BD507" s="77"/>
      <c r="BF507">
        <v>28.04</v>
      </c>
      <c r="BH507" s="42"/>
      <c r="BI507" s="74"/>
      <c r="BJ507" s="77"/>
      <c r="BL507" s="497">
        <v>24.98</v>
      </c>
      <c r="BN507" s="42"/>
      <c r="BO507" s="74"/>
      <c r="BP507" s="77"/>
      <c r="BR507" s="497">
        <v>28.94</v>
      </c>
      <c r="BT507" s="42"/>
    </row>
    <row r="508" spans="1:72" x14ac:dyDescent="0.25">
      <c r="A508" s="90">
        <v>36181</v>
      </c>
      <c r="B508" s="20">
        <v>0.41666666666666669</v>
      </c>
      <c r="D508">
        <v>26.96</v>
      </c>
      <c r="E508" t="str">
        <f t="shared" si="50"/>
        <v>WEEKDAY</v>
      </c>
      <c r="F508" t="e">
        <f t="shared" si="51"/>
        <v>#N/A</v>
      </c>
      <c r="G508" s="74">
        <v>27780</v>
      </c>
      <c r="H508" s="77">
        <v>0.41666666666666669</v>
      </c>
      <c r="J508">
        <v>30.92</v>
      </c>
      <c r="M508" s="74">
        <v>37642</v>
      </c>
      <c r="N508" s="77">
        <v>0.41666666666666669</v>
      </c>
      <c r="P508">
        <v>17.600000000000001</v>
      </c>
      <c r="S508" s="74">
        <v>36181</v>
      </c>
      <c r="T508" s="77">
        <v>0.41666666666666669</v>
      </c>
      <c r="V508">
        <v>37.94</v>
      </c>
      <c r="X508" s="42"/>
      <c r="AB508">
        <v>30.8</v>
      </c>
      <c r="AC508">
        <v>17.059999999999999</v>
      </c>
      <c r="AE508" s="74"/>
      <c r="AF508" s="77"/>
      <c r="AH508" s="497">
        <v>6.8000000000000007</v>
      </c>
      <c r="AJ508" s="42"/>
      <c r="AK508" s="74"/>
      <c r="AL508" s="77"/>
      <c r="AN508" s="497">
        <v>30.02</v>
      </c>
      <c r="AP508" s="42"/>
      <c r="AQ508" s="74"/>
      <c r="AR508" s="77"/>
      <c r="AT508" s="497">
        <v>1.0399999999999991</v>
      </c>
      <c r="AV508" s="42"/>
      <c r="AW508" s="74"/>
      <c r="AX508" s="77"/>
      <c r="BA508" s="497">
        <v>28.04</v>
      </c>
      <c r="BB508" s="42"/>
      <c r="BC508" s="74"/>
      <c r="BD508" s="77"/>
      <c r="BF508">
        <v>30.02</v>
      </c>
      <c r="BH508" s="42"/>
      <c r="BI508" s="74"/>
      <c r="BJ508" s="77"/>
      <c r="BL508" s="497">
        <v>24.98</v>
      </c>
      <c r="BN508" s="42"/>
      <c r="BO508" s="74"/>
      <c r="BP508" s="77"/>
      <c r="BR508" s="497">
        <v>28.04</v>
      </c>
      <c r="BT508" s="42"/>
    </row>
    <row r="509" spans="1:72" x14ac:dyDescent="0.25">
      <c r="A509" s="90">
        <v>36181</v>
      </c>
      <c r="B509" s="20">
        <v>0.45833333333333331</v>
      </c>
      <c r="D509">
        <v>24.98</v>
      </c>
      <c r="E509" t="str">
        <f t="shared" si="50"/>
        <v>WEEKDAY</v>
      </c>
      <c r="F509" t="e">
        <f t="shared" si="51"/>
        <v>#N/A</v>
      </c>
      <c r="G509" s="74">
        <v>27780</v>
      </c>
      <c r="H509" s="77">
        <v>0.45833333333333331</v>
      </c>
      <c r="J509">
        <v>33.08</v>
      </c>
      <c r="M509" s="74">
        <v>37642</v>
      </c>
      <c r="N509" s="77">
        <v>0.45833333333333331</v>
      </c>
      <c r="P509">
        <v>17.600000000000001</v>
      </c>
      <c r="S509" s="74">
        <v>36181</v>
      </c>
      <c r="T509" s="77">
        <v>0.45833333333333331</v>
      </c>
      <c r="V509">
        <v>42.980000000000004</v>
      </c>
      <c r="X509" s="42"/>
      <c r="AB509">
        <v>32.200000000000003</v>
      </c>
      <c r="AC509">
        <v>17.059999999999999</v>
      </c>
      <c r="AE509" s="74"/>
      <c r="AF509" s="77"/>
      <c r="AH509" s="497">
        <v>8.5999999999999979</v>
      </c>
      <c r="AJ509" s="42"/>
      <c r="AK509" s="74"/>
      <c r="AL509" s="77"/>
      <c r="AN509" s="497">
        <v>30.92</v>
      </c>
      <c r="AP509" s="42"/>
      <c r="AQ509" s="74"/>
      <c r="AR509" s="77"/>
      <c r="AT509" s="497">
        <v>1.9400000000000013</v>
      </c>
      <c r="AV509" s="42"/>
      <c r="AW509" s="74"/>
      <c r="AX509" s="77"/>
      <c r="BA509" s="497">
        <v>28.759999999999998</v>
      </c>
      <c r="BB509" s="42"/>
      <c r="BC509" s="74"/>
      <c r="BD509" s="77"/>
      <c r="BF509">
        <v>30.92</v>
      </c>
      <c r="BH509" s="42"/>
      <c r="BI509" s="74"/>
      <c r="BJ509" s="77"/>
      <c r="BL509" s="497">
        <v>26.060000000000002</v>
      </c>
      <c r="BN509" s="42"/>
      <c r="BO509" s="74"/>
      <c r="BP509" s="77"/>
      <c r="BR509" s="497">
        <v>26.96</v>
      </c>
      <c r="BT509" s="42"/>
    </row>
    <row r="510" spans="1:72" x14ac:dyDescent="0.25">
      <c r="A510" s="90">
        <v>36181</v>
      </c>
      <c r="B510" s="20">
        <v>0.5</v>
      </c>
      <c r="D510">
        <v>24.98</v>
      </c>
      <c r="E510" t="str">
        <f t="shared" si="50"/>
        <v>WEEKDAY</v>
      </c>
      <c r="F510" t="e">
        <f t="shared" si="51"/>
        <v>#N/A</v>
      </c>
      <c r="G510" s="74">
        <v>27780</v>
      </c>
      <c r="H510" s="77">
        <v>0.5</v>
      </c>
      <c r="J510">
        <v>33.979999999999997</v>
      </c>
      <c r="M510" s="74">
        <v>37642</v>
      </c>
      <c r="N510" s="77">
        <v>0.5</v>
      </c>
      <c r="P510">
        <v>19.399999999999999</v>
      </c>
      <c r="S510" s="74">
        <v>36181</v>
      </c>
      <c r="T510" s="77">
        <v>0.5</v>
      </c>
      <c r="V510">
        <v>46.94</v>
      </c>
      <c r="X510" s="42"/>
      <c r="AB510">
        <v>33.5</v>
      </c>
      <c r="AC510">
        <v>17.059999999999999</v>
      </c>
      <c r="AE510" s="74"/>
      <c r="AF510" s="77"/>
      <c r="AH510" s="497">
        <v>8.5999999999999979</v>
      </c>
      <c r="AJ510" s="42"/>
      <c r="AK510" s="74"/>
      <c r="AL510" s="77"/>
      <c r="AN510" s="497">
        <v>32</v>
      </c>
      <c r="AP510" s="42"/>
      <c r="AQ510" s="74"/>
      <c r="AR510" s="77"/>
      <c r="AT510" s="497">
        <v>3.9200000000000017</v>
      </c>
      <c r="AV510" s="42"/>
      <c r="AW510" s="74"/>
      <c r="AX510" s="77"/>
      <c r="BA510" s="497">
        <v>29.3</v>
      </c>
      <c r="BB510" s="42"/>
      <c r="BC510" s="74"/>
      <c r="BD510" s="77"/>
      <c r="BF510">
        <v>30.92</v>
      </c>
      <c r="BH510" s="42"/>
      <c r="BI510" s="74"/>
      <c r="BJ510" s="77"/>
      <c r="BL510" s="497">
        <v>26.96</v>
      </c>
      <c r="BN510" s="42"/>
      <c r="BO510" s="74"/>
      <c r="BP510" s="77"/>
      <c r="BR510" s="497">
        <v>26.96</v>
      </c>
      <c r="BT510" s="42"/>
    </row>
    <row r="511" spans="1:72" x14ac:dyDescent="0.25">
      <c r="A511" s="90">
        <v>36181</v>
      </c>
      <c r="B511" s="20">
        <v>0.54166666666666663</v>
      </c>
      <c r="D511">
        <v>24.08</v>
      </c>
      <c r="E511" t="str">
        <f t="shared" si="50"/>
        <v>WEEKDAY</v>
      </c>
      <c r="F511" t="e">
        <f t="shared" si="51"/>
        <v>#N/A</v>
      </c>
      <c r="G511" s="74">
        <v>27780</v>
      </c>
      <c r="H511" s="77">
        <v>0.54166666666666663</v>
      </c>
      <c r="J511">
        <v>33.979999999999997</v>
      </c>
      <c r="M511" s="74">
        <v>37642</v>
      </c>
      <c r="N511" s="77">
        <v>0.54166666666666663</v>
      </c>
      <c r="P511">
        <v>21.2</v>
      </c>
      <c r="S511" s="74">
        <v>36181</v>
      </c>
      <c r="T511" s="77">
        <v>0.54166666666666663</v>
      </c>
      <c r="V511">
        <v>46.94</v>
      </c>
      <c r="X511" s="42"/>
      <c r="AB511">
        <v>34.6</v>
      </c>
      <c r="AC511">
        <v>17.96</v>
      </c>
      <c r="AE511" s="74"/>
      <c r="AF511" s="77"/>
      <c r="AH511" s="497">
        <v>10.399999999999999</v>
      </c>
      <c r="AJ511" s="42"/>
      <c r="AK511" s="74"/>
      <c r="AL511" s="77"/>
      <c r="AN511" s="497">
        <v>33.08</v>
      </c>
      <c r="AP511" s="42"/>
      <c r="AQ511" s="74"/>
      <c r="AR511" s="77"/>
      <c r="AT511" s="497">
        <v>5</v>
      </c>
      <c r="AV511" s="42"/>
      <c r="AW511" s="74"/>
      <c r="AX511" s="77"/>
      <c r="BA511" s="497">
        <v>30.02</v>
      </c>
      <c r="BB511" s="42"/>
      <c r="BC511" s="74"/>
      <c r="BD511" s="77"/>
      <c r="BF511">
        <v>30.92</v>
      </c>
      <c r="BH511" s="42"/>
      <c r="BI511" s="74"/>
      <c r="BJ511" s="77"/>
      <c r="BL511" s="497">
        <v>28.04</v>
      </c>
      <c r="BN511" s="42"/>
      <c r="BO511" s="74"/>
      <c r="BP511" s="77"/>
      <c r="BR511" s="497">
        <v>26.060000000000002</v>
      </c>
      <c r="BT511" s="42"/>
    </row>
    <row r="512" spans="1:72" x14ac:dyDescent="0.25">
      <c r="A512" s="90">
        <v>36181</v>
      </c>
      <c r="B512" s="20">
        <v>0.58333333333333337</v>
      </c>
      <c r="D512">
        <v>26.060000000000002</v>
      </c>
      <c r="E512" t="str">
        <f t="shared" si="50"/>
        <v>WEEKDAY</v>
      </c>
      <c r="F512" t="e">
        <f t="shared" si="51"/>
        <v>#N/A</v>
      </c>
      <c r="G512" s="74">
        <v>27780</v>
      </c>
      <c r="H512" s="77">
        <v>0.58333333333333337</v>
      </c>
      <c r="J512">
        <v>33.979999999999997</v>
      </c>
      <c r="M512" s="74">
        <v>37642</v>
      </c>
      <c r="N512" s="77">
        <v>0.58333333333333337</v>
      </c>
      <c r="P512">
        <v>21.2</v>
      </c>
      <c r="S512" s="74">
        <v>36181</v>
      </c>
      <c r="T512" s="77">
        <v>0.58333333333333337</v>
      </c>
      <c r="V512">
        <v>46.94</v>
      </c>
      <c r="X512" s="42"/>
      <c r="AB512">
        <v>35.5</v>
      </c>
      <c r="AC512">
        <v>17.96</v>
      </c>
      <c r="AE512" s="74"/>
      <c r="AF512" s="77"/>
      <c r="AH512" s="497">
        <v>12.2</v>
      </c>
      <c r="AJ512" s="42"/>
      <c r="AK512" s="74"/>
      <c r="AL512" s="77"/>
      <c r="AN512" s="497">
        <v>35.96</v>
      </c>
      <c r="AP512" s="42"/>
      <c r="AQ512" s="74"/>
      <c r="AR512" s="77"/>
      <c r="AT512" s="497">
        <v>8.0599999999999987</v>
      </c>
      <c r="AV512" s="42"/>
      <c r="AW512" s="74"/>
      <c r="AX512" s="77"/>
      <c r="BA512" s="497">
        <v>29.66</v>
      </c>
      <c r="BB512" s="42"/>
      <c r="BC512" s="74"/>
      <c r="BD512" s="77"/>
      <c r="BF512">
        <v>30.92</v>
      </c>
      <c r="BH512" s="42"/>
      <c r="BI512" s="74"/>
      <c r="BJ512" s="77"/>
      <c r="BL512" s="497">
        <v>28.04</v>
      </c>
      <c r="BN512" s="42"/>
      <c r="BO512" s="74"/>
      <c r="BP512" s="77"/>
      <c r="BR512" s="497">
        <v>26.96</v>
      </c>
      <c r="BT512" s="42"/>
    </row>
    <row r="513" spans="1:72" x14ac:dyDescent="0.25">
      <c r="A513" s="90">
        <v>36181</v>
      </c>
      <c r="B513" s="20">
        <v>0.625</v>
      </c>
      <c r="D513">
        <v>24.98</v>
      </c>
      <c r="E513" t="str">
        <f t="shared" si="50"/>
        <v>WEEKDAY</v>
      </c>
      <c r="F513" t="e">
        <f t="shared" si="51"/>
        <v>#N/A</v>
      </c>
      <c r="G513" s="74">
        <v>27780</v>
      </c>
      <c r="H513" s="77">
        <v>0.625</v>
      </c>
      <c r="J513">
        <v>33.08</v>
      </c>
      <c r="M513" s="74">
        <v>37642</v>
      </c>
      <c r="N513" s="77">
        <v>0.625</v>
      </c>
      <c r="P513">
        <v>21.2</v>
      </c>
      <c r="S513" s="74">
        <v>36181</v>
      </c>
      <c r="T513" s="77">
        <v>0.625</v>
      </c>
      <c r="V513">
        <v>46.94</v>
      </c>
      <c r="X513" s="42"/>
      <c r="AB513">
        <v>35.9</v>
      </c>
      <c r="AC513">
        <v>17.059999999999999</v>
      </c>
      <c r="AE513" s="74"/>
      <c r="AF513" s="77"/>
      <c r="AH513" s="497">
        <v>12.2</v>
      </c>
      <c r="AJ513" s="42"/>
      <c r="AK513" s="74"/>
      <c r="AL513" s="77"/>
      <c r="AN513" s="497">
        <v>37.04</v>
      </c>
      <c r="AP513" s="42"/>
      <c r="AQ513" s="74"/>
      <c r="AR513" s="77"/>
      <c r="AT513" s="497">
        <v>8.0599999999999987</v>
      </c>
      <c r="AV513" s="42"/>
      <c r="AW513" s="74"/>
      <c r="AX513" s="77"/>
      <c r="BA513" s="497">
        <v>29.3</v>
      </c>
      <c r="BB513" s="42"/>
      <c r="BC513" s="74"/>
      <c r="BD513" s="77"/>
      <c r="BF513">
        <v>30.02</v>
      </c>
      <c r="BH513" s="42"/>
      <c r="BI513" s="74"/>
      <c r="BJ513" s="77"/>
      <c r="BL513" s="497">
        <v>28.04</v>
      </c>
      <c r="BN513" s="42"/>
      <c r="BO513" s="74"/>
      <c r="BP513" s="77"/>
      <c r="BR513" s="497">
        <v>28.04</v>
      </c>
      <c r="BT513" s="42"/>
    </row>
    <row r="514" spans="1:72" x14ac:dyDescent="0.25">
      <c r="A514" s="90">
        <v>36181</v>
      </c>
      <c r="B514" s="20">
        <v>0.66666666666666663</v>
      </c>
      <c r="D514">
        <v>24.98</v>
      </c>
      <c r="E514" t="str">
        <f t="shared" si="50"/>
        <v>WEEKDAY</v>
      </c>
      <c r="F514" t="e">
        <f t="shared" si="51"/>
        <v>#N/A</v>
      </c>
      <c r="G514" s="74">
        <v>27780</v>
      </c>
      <c r="H514" s="77">
        <v>0.66666666666666663</v>
      </c>
      <c r="J514">
        <v>33.08</v>
      </c>
      <c r="M514" s="74">
        <v>37642</v>
      </c>
      <c r="N514" s="77">
        <v>0.66666666666666663</v>
      </c>
      <c r="P514">
        <v>19.399999999999999</v>
      </c>
      <c r="S514" s="74">
        <v>36181</v>
      </c>
      <c r="T514" s="77">
        <v>0.66666666666666663</v>
      </c>
      <c r="V514">
        <v>46.04</v>
      </c>
      <c r="X514" s="42"/>
      <c r="AB514">
        <v>36</v>
      </c>
      <c r="AC514">
        <v>15.98</v>
      </c>
      <c r="AE514" s="74"/>
      <c r="AF514" s="77"/>
      <c r="AH514" s="497">
        <v>10.399999999999999</v>
      </c>
      <c r="AJ514" s="42"/>
      <c r="AK514" s="74"/>
      <c r="AL514" s="77"/>
      <c r="AN514" s="497">
        <v>37.04</v>
      </c>
      <c r="AP514" s="42"/>
      <c r="AQ514" s="74"/>
      <c r="AR514" s="77"/>
      <c r="AT514" s="497">
        <v>8.0599999999999987</v>
      </c>
      <c r="AV514" s="42"/>
      <c r="AW514" s="74"/>
      <c r="AX514" s="77"/>
      <c r="BA514" s="497">
        <v>28.94</v>
      </c>
      <c r="BB514" s="42"/>
      <c r="BC514" s="74"/>
      <c r="BD514" s="77"/>
      <c r="BF514">
        <v>30.02</v>
      </c>
      <c r="BH514" s="42"/>
      <c r="BI514" s="74"/>
      <c r="BJ514" s="77"/>
      <c r="BL514" s="497">
        <v>28.04</v>
      </c>
      <c r="BN514" s="42"/>
      <c r="BO514" s="74"/>
      <c r="BP514" s="77"/>
      <c r="BR514" s="497">
        <v>28.04</v>
      </c>
      <c r="BT514" s="42"/>
    </row>
    <row r="515" spans="1:72" x14ac:dyDescent="0.25">
      <c r="A515" s="90">
        <v>36181</v>
      </c>
      <c r="B515" s="20">
        <v>0.70833333333333337</v>
      </c>
      <c r="D515">
        <v>24.98</v>
      </c>
      <c r="E515" t="str">
        <f t="shared" si="50"/>
        <v>WEEKDAY</v>
      </c>
      <c r="F515" t="e">
        <f t="shared" si="51"/>
        <v>#N/A</v>
      </c>
      <c r="G515" s="74">
        <v>27780</v>
      </c>
      <c r="H515" s="77">
        <v>0.70833333333333337</v>
      </c>
      <c r="J515">
        <v>33.08</v>
      </c>
      <c r="M515" s="74">
        <v>37642</v>
      </c>
      <c r="N515" s="77">
        <v>0.70833333333333337</v>
      </c>
      <c r="P515">
        <v>19.399999999999999</v>
      </c>
      <c r="S515" s="74">
        <v>36181</v>
      </c>
      <c r="T515" s="77">
        <v>0.70833333333333337</v>
      </c>
      <c r="V515">
        <v>46.04</v>
      </c>
      <c r="X515" s="42"/>
      <c r="AB515">
        <v>35.6</v>
      </c>
      <c r="AC515">
        <v>14</v>
      </c>
      <c r="AE515" s="74"/>
      <c r="AF515" s="77"/>
      <c r="AH515" s="497">
        <v>8.5999999999999979</v>
      </c>
      <c r="AJ515" s="42"/>
      <c r="AK515" s="74"/>
      <c r="AL515" s="77"/>
      <c r="AN515" s="497">
        <v>35.96</v>
      </c>
      <c r="AP515" s="42"/>
      <c r="AQ515" s="74"/>
      <c r="AR515" s="77"/>
      <c r="AT515" s="497">
        <v>8.0599999999999987</v>
      </c>
      <c r="AV515" s="42"/>
      <c r="AW515" s="74"/>
      <c r="AX515" s="77"/>
      <c r="BA515" s="497">
        <v>28.94</v>
      </c>
      <c r="BB515" s="42"/>
      <c r="BC515" s="74"/>
      <c r="BD515" s="77"/>
      <c r="BF515">
        <v>28.94</v>
      </c>
      <c r="BH515" s="42"/>
      <c r="BI515" s="74"/>
      <c r="BJ515" s="77"/>
      <c r="BL515" s="497">
        <v>28.04</v>
      </c>
      <c r="BN515" s="42"/>
      <c r="BO515" s="74"/>
      <c r="BP515" s="77"/>
      <c r="BR515" s="497">
        <v>28.04</v>
      </c>
      <c r="BT515" s="42"/>
    </row>
    <row r="516" spans="1:72" x14ac:dyDescent="0.25">
      <c r="A516" s="90">
        <v>36181</v>
      </c>
      <c r="B516" s="20">
        <v>0.75</v>
      </c>
      <c r="D516">
        <v>24.08</v>
      </c>
      <c r="E516" t="str">
        <f t="shared" si="50"/>
        <v>WEEKDAY</v>
      </c>
      <c r="F516" t="e">
        <f t="shared" si="51"/>
        <v>#N/A</v>
      </c>
      <c r="G516" s="74">
        <v>27780</v>
      </c>
      <c r="H516" s="77">
        <v>0.75</v>
      </c>
      <c r="J516">
        <v>33.08</v>
      </c>
      <c r="M516" s="74">
        <v>37642</v>
      </c>
      <c r="N516" s="77">
        <v>0.75</v>
      </c>
      <c r="P516">
        <v>17.600000000000001</v>
      </c>
      <c r="S516" s="74">
        <v>36181</v>
      </c>
      <c r="T516" s="77">
        <v>0.75</v>
      </c>
      <c r="V516">
        <v>44.96</v>
      </c>
      <c r="X516" s="42"/>
      <c r="AB516">
        <v>34.5</v>
      </c>
      <c r="AC516">
        <v>12.920000000000002</v>
      </c>
      <c r="AE516" s="74"/>
      <c r="AF516" s="77"/>
      <c r="AH516" s="497">
        <v>6.8000000000000007</v>
      </c>
      <c r="AJ516" s="42"/>
      <c r="AK516" s="74"/>
      <c r="AL516" s="77"/>
      <c r="AN516" s="497">
        <v>33.979999999999997</v>
      </c>
      <c r="AP516" s="42"/>
      <c r="AQ516" s="74"/>
      <c r="AR516" s="77"/>
      <c r="AT516" s="497">
        <v>8.0599999999999987</v>
      </c>
      <c r="AV516" s="42"/>
      <c r="AW516" s="74"/>
      <c r="AX516" s="77"/>
      <c r="BA516" s="497">
        <v>28.94</v>
      </c>
      <c r="BB516" s="42"/>
      <c r="BC516" s="74"/>
      <c r="BD516" s="77"/>
      <c r="BF516">
        <v>30.02</v>
      </c>
      <c r="BH516" s="42"/>
      <c r="BI516" s="74"/>
      <c r="BJ516" s="77"/>
      <c r="BL516" s="497">
        <v>28.04</v>
      </c>
      <c r="BN516" s="42"/>
      <c r="BO516" s="74"/>
      <c r="BP516" s="77"/>
      <c r="BR516" s="497">
        <v>28.04</v>
      </c>
      <c r="BT516" s="42"/>
    </row>
    <row r="517" spans="1:72" x14ac:dyDescent="0.25">
      <c r="A517" s="90">
        <v>36181</v>
      </c>
      <c r="B517" s="20">
        <v>0.79166666666666663</v>
      </c>
      <c r="D517">
        <v>23</v>
      </c>
      <c r="E517" t="str">
        <f t="shared" si="50"/>
        <v>WEEKDAY</v>
      </c>
      <c r="F517" t="e">
        <f t="shared" si="51"/>
        <v>#N/A</v>
      </c>
      <c r="G517" s="74">
        <v>27780</v>
      </c>
      <c r="H517" s="77">
        <v>0.79166666666666663</v>
      </c>
      <c r="J517">
        <v>33.08</v>
      </c>
      <c r="M517" s="74">
        <v>37642</v>
      </c>
      <c r="N517" s="77">
        <v>0.79166666666666663</v>
      </c>
      <c r="P517">
        <v>17.600000000000001</v>
      </c>
      <c r="S517" s="74">
        <v>36181</v>
      </c>
      <c r="T517" s="77">
        <v>0.79166666666666663</v>
      </c>
      <c r="V517">
        <v>44.96</v>
      </c>
      <c r="X517" s="42"/>
      <c r="AB517">
        <v>33.799999999999997</v>
      </c>
      <c r="AC517">
        <v>10.940000000000001</v>
      </c>
      <c r="AE517" s="74"/>
      <c r="AF517" s="77"/>
      <c r="AH517" s="497">
        <v>6.8000000000000007</v>
      </c>
      <c r="AJ517" s="42"/>
      <c r="AK517" s="74"/>
      <c r="AL517" s="77"/>
      <c r="AN517" s="497">
        <v>32</v>
      </c>
      <c r="AP517" s="42"/>
      <c r="AQ517" s="74"/>
      <c r="AR517" s="77"/>
      <c r="AT517" s="497">
        <v>8.0599999999999987</v>
      </c>
      <c r="AV517" s="42"/>
      <c r="AW517" s="74"/>
      <c r="AX517" s="77"/>
      <c r="BA517" s="497">
        <v>28.94</v>
      </c>
      <c r="BB517" s="42"/>
      <c r="BC517" s="74"/>
      <c r="BD517" s="77"/>
      <c r="BF517">
        <v>30.02</v>
      </c>
      <c r="BH517" s="42"/>
      <c r="BI517" s="74"/>
      <c r="BJ517" s="77"/>
      <c r="BL517" s="497">
        <v>28.04</v>
      </c>
      <c r="BN517" s="42"/>
      <c r="BO517" s="74"/>
      <c r="BP517" s="77"/>
      <c r="BR517" s="497">
        <v>28.94</v>
      </c>
      <c r="BT517" s="42"/>
    </row>
    <row r="518" spans="1:72" x14ac:dyDescent="0.25">
      <c r="A518" s="90">
        <v>36181</v>
      </c>
      <c r="B518" s="20">
        <v>0.83333333333333337</v>
      </c>
      <c r="D518">
        <v>21.92</v>
      </c>
      <c r="E518" t="str">
        <f t="shared" si="50"/>
        <v>WEEKDAY</v>
      </c>
      <c r="F518" t="e">
        <f t="shared" si="51"/>
        <v>#N/A</v>
      </c>
      <c r="G518" s="74">
        <v>27780</v>
      </c>
      <c r="H518" s="77">
        <v>0.83333333333333337</v>
      </c>
      <c r="J518">
        <v>33.08</v>
      </c>
      <c r="M518" s="74">
        <v>37642</v>
      </c>
      <c r="N518" s="77">
        <v>0.83333333333333337</v>
      </c>
      <c r="P518">
        <v>17.600000000000001</v>
      </c>
      <c r="S518" s="74">
        <v>36181</v>
      </c>
      <c r="T518" s="77">
        <v>0.83333333333333337</v>
      </c>
      <c r="V518">
        <v>44.96</v>
      </c>
      <c r="X518" s="42"/>
      <c r="AB518">
        <v>33.5</v>
      </c>
      <c r="AC518">
        <v>10.940000000000001</v>
      </c>
      <c r="AE518" s="74"/>
      <c r="AF518" s="77"/>
      <c r="AH518" s="497">
        <v>3.1999999999999993</v>
      </c>
      <c r="AJ518" s="42"/>
      <c r="AK518" s="74"/>
      <c r="AL518" s="77"/>
      <c r="AN518" s="497">
        <v>30.92</v>
      </c>
      <c r="AP518" s="42"/>
      <c r="AQ518" s="74"/>
      <c r="AR518" s="77"/>
      <c r="AT518" s="497">
        <v>8.0599999999999987</v>
      </c>
      <c r="AV518" s="42"/>
      <c r="AW518" s="74"/>
      <c r="AX518" s="77"/>
      <c r="BA518" s="497">
        <v>28.58</v>
      </c>
      <c r="BB518" s="42"/>
      <c r="BC518" s="74"/>
      <c r="BD518" s="77"/>
      <c r="BF518">
        <v>28.94</v>
      </c>
      <c r="BH518" s="42"/>
      <c r="BI518" s="74"/>
      <c r="BJ518" s="77"/>
      <c r="BL518" s="497">
        <v>26.78</v>
      </c>
      <c r="BN518" s="42"/>
      <c r="BO518" s="74"/>
      <c r="BP518" s="77"/>
      <c r="BR518" s="497">
        <v>28.94</v>
      </c>
      <c r="BT518" s="42"/>
    </row>
    <row r="519" spans="1:72" x14ac:dyDescent="0.25">
      <c r="A519" s="90">
        <v>36181</v>
      </c>
      <c r="B519" s="20">
        <v>0.875</v>
      </c>
      <c r="D519">
        <v>19.04</v>
      </c>
      <c r="E519" t="str">
        <f t="shared" si="50"/>
        <v>WEEKDAY</v>
      </c>
      <c r="F519" t="e">
        <f t="shared" si="51"/>
        <v>#N/A</v>
      </c>
      <c r="G519" s="74">
        <v>27780</v>
      </c>
      <c r="H519" s="77">
        <v>0.875</v>
      </c>
      <c r="J519">
        <v>32</v>
      </c>
      <c r="M519" s="74">
        <v>37642</v>
      </c>
      <c r="N519" s="77">
        <v>0.875</v>
      </c>
      <c r="P519">
        <v>17.600000000000001</v>
      </c>
      <c r="S519" s="74">
        <v>36181</v>
      </c>
      <c r="T519" s="77">
        <v>0.875</v>
      </c>
      <c r="V519">
        <v>44.06</v>
      </c>
      <c r="X519" s="42"/>
      <c r="AB519">
        <v>32.9</v>
      </c>
      <c r="AC519">
        <v>10.039999999999999</v>
      </c>
      <c r="AE519" s="74"/>
      <c r="AF519" s="77"/>
      <c r="AH519" s="497">
        <v>3.1999999999999993</v>
      </c>
      <c r="AJ519" s="42"/>
      <c r="AK519" s="74"/>
      <c r="AL519" s="77"/>
      <c r="AN519" s="497">
        <v>28.94</v>
      </c>
      <c r="AP519" s="42"/>
      <c r="AQ519" s="74"/>
      <c r="AR519" s="77"/>
      <c r="AT519" s="497">
        <v>8.0599999999999987</v>
      </c>
      <c r="AV519" s="42"/>
      <c r="AW519" s="74"/>
      <c r="AX519" s="77"/>
      <c r="BA519" s="497">
        <v>28.4</v>
      </c>
      <c r="BB519" s="42"/>
      <c r="BC519" s="74"/>
      <c r="BD519" s="77"/>
      <c r="BF519">
        <v>28.94</v>
      </c>
      <c r="BH519" s="42"/>
      <c r="BI519" s="74"/>
      <c r="BJ519" s="77"/>
      <c r="BL519" s="497">
        <v>25.34</v>
      </c>
      <c r="BN519" s="42"/>
      <c r="BO519" s="74"/>
      <c r="BP519" s="77"/>
      <c r="BR519" s="497">
        <v>28.04</v>
      </c>
      <c r="BT519" s="42"/>
    </row>
    <row r="520" spans="1:72" x14ac:dyDescent="0.25">
      <c r="A520" s="90">
        <v>36181</v>
      </c>
      <c r="B520" s="20">
        <v>0.91666666666666663</v>
      </c>
      <c r="D520">
        <v>17.96</v>
      </c>
      <c r="E520" t="str">
        <f t="shared" si="50"/>
        <v>WEEKDAY</v>
      </c>
      <c r="F520" t="e">
        <f t="shared" si="51"/>
        <v>#N/A</v>
      </c>
      <c r="G520" s="74">
        <v>27780</v>
      </c>
      <c r="H520" s="77">
        <v>0.91666666666666663</v>
      </c>
      <c r="J520">
        <v>32</v>
      </c>
      <c r="M520" s="74">
        <v>37642</v>
      </c>
      <c r="N520" s="77">
        <v>0.91666666666666663</v>
      </c>
      <c r="P520">
        <v>15.8</v>
      </c>
      <c r="S520" s="74">
        <v>36181</v>
      </c>
      <c r="T520" s="77">
        <v>0.91666666666666663</v>
      </c>
      <c r="V520">
        <v>42.980000000000004</v>
      </c>
      <c r="X520" s="42"/>
      <c r="AB520">
        <v>32.200000000000003</v>
      </c>
      <c r="AC520">
        <v>8.9599999999999973</v>
      </c>
      <c r="AE520" s="74"/>
      <c r="AF520" s="77"/>
      <c r="AH520" s="497">
        <v>1.3999999999999986</v>
      </c>
      <c r="AJ520" s="42"/>
      <c r="AK520" s="74"/>
      <c r="AL520" s="77"/>
      <c r="AN520" s="497">
        <v>28.94</v>
      </c>
      <c r="AP520" s="42"/>
      <c r="AQ520" s="74"/>
      <c r="AR520" s="77"/>
      <c r="AT520" s="497">
        <v>8.9599999999999973</v>
      </c>
      <c r="AV520" s="42"/>
      <c r="AW520" s="74"/>
      <c r="AX520" s="77"/>
      <c r="BA520" s="497">
        <v>28.04</v>
      </c>
      <c r="BB520" s="42"/>
      <c r="BC520" s="74"/>
      <c r="BD520" s="77"/>
      <c r="BF520">
        <v>28.94</v>
      </c>
      <c r="BH520" s="42"/>
      <c r="BI520" s="74"/>
      <c r="BJ520" s="77"/>
      <c r="BL520" s="497">
        <v>24.08</v>
      </c>
      <c r="BN520" s="42"/>
      <c r="BO520" s="74"/>
      <c r="BP520" s="77"/>
      <c r="BR520" s="497">
        <v>28.04</v>
      </c>
      <c r="BT520" s="42"/>
    </row>
    <row r="521" spans="1:72" x14ac:dyDescent="0.25">
      <c r="A521" s="90">
        <v>36181</v>
      </c>
      <c r="B521" s="20">
        <v>0.95833333333333337</v>
      </c>
      <c r="D521">
        <v>17.059999999999999</v>
      </c>
      <c r="E521" t="str">
        <f t="shared" si="50"/>
        <v>WEEKDAY</v>
      </c>
      <c r="F521" t="e">
        <f t="shared" si="51"/>
        <v>#N/A</v>
      </c>
      <c r="G521" s="74">
        <v>27780</v>
      </c>
      <c r="H521" s="77">
        <v>0.95833333333333337</v>
      </c>
      <c r="J521">
        <v>30.92</v>
      </c>
      <c r="M521" s="74">
        <v>37642</v>
      </c>
      <c r="N521" s="77">
        <v>0.95833333333333337</v>
      </c>
      <c r="P521">
        <v>12.2</v>
      </c>
      <c r="S521" s="74">
        <v>36181</v>
      </c>
      <c r="T521" s="77">
        <v>0.95833333333333337</v>
      </c>
      <c r="V521">
        <v>42.980000000000004</v>
      </c>
      <c r="X521" s="42"/>
      <c r="AB521">
        <v>31.8</v>
      </c>
      <c r="AC521">
        <v>8.9599999999999973</v>
      </c>
      <c r="AE521" s="74"/>
      <c r="AF521" s="77"/>
      <c r="AH521" s="497">
        <v>1.3999999999999986</v>
      </c>
      <c r="AJ521" s="42"/>
      <c r="AK521" s="74"/>
      <c r="AL521" s="77"/>
      <c r="AN521" s="497">
        <v>28.94</v>
      </c>
      <c r="AP521" s="42"/>
      <c r="AQ521" s="74"/>
      <c r="AR521" s="77"/>
      <c r="AT521" s="497">
        <v>8.9599999999999973</v>
      </c>
      <c r="AV521" s="42"/>
      <c r="AW521" s="74"/>
      <c r="AX521" s="77"/>
      <c r="BA521" s="497">
        <v>27.32</v>
      </c>
      <c r="BB521" s="42"/>
      <c r="BC521" s="74"/>
      <c r="BD521" s="77"/>
      <c r="BF521">
        <v>30.92</v>
      </c>
      <c r="BH521" s="42"/>
      <c r="BI521" s="74"/>
      <c r="BJ521" s="77"/>
      <c r="BL521" s="497">
        <v>24.08</v>
      </c>
      <c r="BN521" s="42"/>
      <c r="BO521" s="74"/>
      <c r="BP521" s="77"/>
      <c r="BR521" s="497">
        <v>28.04</v>
      </c>
      <c r="BT521" s="42"/>
    </row>
    <row r="522" spans="1:72" x14ac:dyDescent="0.25">
      <c r="A522" s="90">
        <v>36181</v>
      </c>
      <c r="B522" s="20">
        <v>1</v>
      </c>
      <c r="D522">
        <v>15.98</v>
      </c>
      <c r="E522" t="str">
        <f t="shared" si="50"/>
        <v>WEEKDAY</v>
      </c>
      <c r="F522" t="e">
        <f t="shared" si="51"/>
        <v>#N/A</v>
      </c>
      <c r="G522" s="74">
        <v>27780</v>
      </c>
      <c r="H522" s="77">
        <v>1</v>
      </c>
      <c r="J522">
        <v>30.92</v>
      </c>
      <c r="M522" s="74">
        <v>37642</v>
      </c>
      <c r="N522" s="80">
        <v>1</v>
      </c>
      <c r="P522">
        <v>12.2</v>
      </c>
      <c r="S522" s="74">
        <v>36181</v>
      </c>
      <c r="T522" s="80">
        <v>1</v>
      </c>
      <c r="V522">
        <v>42.08</v>
      </c>
      <c r="X522" s="42"/>
      <c r="AB522">
        <v>31.3</v>
      </c>
      <c r="AC522">
        <v>8.9599999999999973</v>
      </c>
      <c r="AE522" s="74"/>
      <c r="AF522" s="80"/>
      <c r="AH522" s="497">
        <v>-0.39999999999999858</v>
      </c>
      <c r="AJ522" s="42"/>
      <c r="AK522" s="74"/>
      <c r="AL522" s="80"/>
      <c r="AN522" s="497">
        <v>28.94</v>
      </c>
      <c r="AP522" s="42"/>
      <c r="AQ522" s="74"/>
      <c r="AR522" s="80"/>
      <c r="AT522" s="497">
        <v>10.039999999999999</v>
      </c>
      <c r="AV522" s="42"/>
      <c r="AW522" s="74"/>
      <c r="AX522" s="80"/>
      <c r="BA522" s="497">
        <v>26.78</v>
      </c>
      <c r="BB522" s="42"/>
      <c r="BC522" s="74"/>
      <c r="BD522" s="80"/>
      <c r="BF522">
        <v>28.94</v>
      </c>
      <c r="BH522" s="42"/>
      <c r="BI522" s="74"/>
      <c r="BJ522" s="80"/>
      <c r="BL522" s="497">
        <v>24.08</v>
      </c>
      <c r="BN522" s="42"/>
      <c r="BO522" s="74"/>
      <c r="BP522" s="80"/>
      <c r="BR522" s="497">
        <v>28.04</v>
      </c>
      <c r="BT522" s="42"/>
    </row>
    <row r="523" spans="1:72" x14ac:dyDescent="0.25">
      <c r="A523" s="90">
        <v>36182</v>
      </c>
      <c r="B523" s="20">
        <v>4.1666666666666664E-2</v>
      </c>
      <c r="D523">
        <v>15.079999999999998</v>
      </c>
      <c r="E523" t="str">
        <f t="shared" si="50"/>
        <v>WEEKDAY</v>
      </c>
      <c r="F523" t="e">
        <f t="shared" si="51"/>
        <v>#N/A</v>
      </c>
      <c r="G523" s="74">
        <v>27781</v>
      </c>
      <c r="H523" s="77">
        <v>4.1666666666666664E-2</v>
      </c>
      <c r="J523">
        <v>28.94</v>
      </c>
      <c r="M523" s="74">
        <v>37643</v>
      </c>
      <c r="N523" s="77">
        <v>4.1666666666666664E-2</v>
      </c>
      <c r="P523">
        <v>10.399999999999999</v>
      </c>
      <c r="S523" s="74">
        <v>36182</v>
      </c>
      <c r="T523" s="77">
        <v>4.1666666666666664E-2</v>
      </c>
      <c r="V523">
        <v>42.08</v>
      </c>
      <c r="X523" s="42"/>
      <c r="AB523">
        <v>30.8</v>
      </c>
      <c r="AC523">
        <v>8.0599999999999987</v>
      </c>
      <c r="AE523" s="74"/>
      <c r="AF523" s="77"/>
      <c r="AH523" s="497">
        <v>-0.5800000000000054</v>
      </c>
      <c r="AJ523" s="42"/>
      <c r="AK523" s="74"/>
      <c r="AL523" s="77"/>
      <c r="AN523" s="497">
        <v>30.92</v>
      </c>
      <c r="AP523" s="42"/>
      <c r="AQ523" s="74"/>
      <c r="AR523" s="77"/>
      <c r="AT523" s="497">
        <v>10.039999999999999</v>
      </c>
      <c r="AV523" s="42"/>
      <c r="AW523" s="74"/>
      <c r="AX523" s="77"/>
      <c r="BA523" s="497">
        <v>26.060000000000002</v>
      </c>
      <c r="BB523" s="42"/>
      <c r="BC523" s="74"/>
      <c r="BD523" s="77"/>
      <c r="BF523">
        <v>28.94</v>
      </c>
      <c r="BH523" s="42"/>
      <c r="BI523" s="74"/>
      <c r="BJ523" s="77"/>
      <c r="BL523" s="497">
        <v>24.08</v>
      </c>
      <c r="BN523" s="42"/>
      <c r="BO523" s="74"/>
      <c r="BP523" s="77"/>
      <c r="BR523" s="497">
        <v>28.04</v>
      </c>
      <c r="BT523" s="42"/>
    </row>
    <row r="524" spans="1:72" x14ac:dyDescent="0.25">
      <c r="A524" s="90">
        <v>36182</v>
      </c>
      <c r="B524" s="20">
        <v>8.3333333333333329E-2</v>
      </c>
      <c r="D524">
        <v>12.920000000000002</v>
      </c>
      <c r="E524" t="str">
        <f t="shared" si="50"/>
        <v>WEEKDAY</v>
      </c>
      <c r="F524" t="e">
        <f t="shared" si="51"/>
        <v>#N/A</v>
      </c>
      <c r="G524" s="74">
        <v>27781</v>
      </c>
      <c r="H524" s="77">
        <v>8.3333333333333329E-2</v>
      </c>
      <c r="J524">
        <v>28.04</v>
      </c>
      <c r="M524" s="74">
        <v>37643</v>
      </c>
      <c r="N524" s="77">
        <v>8.3333333333333329E-2</v>
      </c>
      <c r="P524">
        <v>10.399999999999999</v>
      </c>
      <c r="S524" s="74">
        <v>36182</v>
      </c>
      <c r="T524" s="77">
        <v>8.3333333333333329E-2</v>
      </c>
      <c r="V524">
        <v>42.08</v>
      </c>
      <c r="X524" s="42"/>
      <c r="AB524">
        <v>30.3</v>
      </c>
      <c r="AC524">
        <v>8.9599999999999973</v>
      </c>
      <c r="AE524" s="74"/>
      <c r="AF524" s="77"/>
      <c r="AH524" s="497">
        <v>-0.39999999999999858</v>
      </c>
      <c r="AJ524" s="42"/>
      <c r="AK524" s="74"/>
      <c r="AL524" s="77"/>
      <c r="AN524" s="497">
        <v>30.92</v>
      </c>
      <c r="AP524" s="42"/>
      <c r="AQ524" s="74"/>
      <c r="AR524" s="77"/>
      <c r="AT524" s="497">
        <v>10.039999999999999</v>
      </c>
      <c r="AV524" s="42"/>
      <c r="AW524" s="74"/>
      <c r="AX524" s="77"/>
      <c r="BA524" s="497">
        <v>27.32</v>
      </c>
      <c r="BB524" s="42"/>
      <c r="BC524" s="74"/>
      <c r="BD524" s="77"/>
      <c r="BF524">
        <v>30.92</v>
      </c>
      <c r="BH524" s="42"/>
      <c r="BI524" s="74"/>
      <c r="BJ524" s="77"/>
      <c r="BL524" s="497">
        <v>25.34</v>
      </c>
      <c r="BN524" s="42"/>
      <c r="BO524" s="74"/>
      <c r="BP524" s="77"/>
      <c r="BR524" s="497">
        <v>26.96</v>
      </c>
      <c r="BT524" s="42"/>
    </row>
    <row r="525" spans="1:72" x14ac:dyDescent="0.25">
      <c r="A525" s="90">
        <v>36182</v>
      </c>
      <c r="B525" s="20">
        <v>0.125</v>
      </c>
      <c r="D525">
        <v>12.920000000000002</v>
      </c>
      <c r="E525" t="str">
        <f t="shared" si="50"/>
        <v>WEEKDAY</v>
      </c>
      <c r="F525" t="e">
        <f t="shared" si="51"/>
        <v>#N/A</v>
      </c>
      <c r="G525" s="74">
        <v>27781</v>
      </c>
      <c r="H525" s="77">
        <v>0.125</v>
      </c>
      <c r="J525">
        <v>28.04</v>
      </c>
      <c r="M525" s="74">
        <v>37643</v>
      </c>
      <c r="N525" s="77">
        <v>0.125</v>
      </c>
      <c r="P525">
        <v>10.399999999999999</v>
      </c>
      <c r="S525" s="74">
        <v>36182</v>
      </c>
      <c r="T525" s="77">
        <v>0.125</v>
      </c>
      <c r="V525">
        <v>41</v>
      </c>
      <c r="X525" s="42"/>
      <c r="AB525">
        <v>29.9</v>
      </c>
      <c r="AC525">
        <v>8.9599999999999973</v>
      </c>
      <c r="AE525" s="74"/>
      <c r="AF525" s="77"/>
      <c r="AH525" s="497">
        <v>-2.2000000000000028</v>
      </c>
      <c r="AJ525" s="42"/>
      <c r="AK525" s="74"/>
      <c r="AL525" s="77"/>
      <c r="AN525" s="497">
        <v>30.92</v>
      </c>
      <c r="AP525" s="42"/>
      <c r="AQ525" s="74"/>
      <c r="AR525" s="77"/>
      <c r="AT525" s="497">
        <v>10.039999999999999</v>
      </c>
      <c r="AV525" s="42"/>
      <c r="AW525" s="74"/>
      <c r="AX525" s="77"/>
      <c r="BA525" s="497">
        <v>28.759999999999998</v>
      </c>
      <c r="BB525" s="42"/>
      <c r="BC525" s="74"/>
      <c r="BD525" s="77"/>
      <c r="BF525">
        <v>30.92</v>
      </c>
      <c r="BH525" s="42"/>
      <c r="BI525" s="74"/>
      <c r="BJ525" s="77"/>
      <c r="BL525" s="497">
        <v>26.78</v>
      </c>
      <c r="BN525" s="42"/>
      <c r="BO525" s="74"/>
      <c r="BP525" s="77"/>
      <c r="BR525" s="497">
        <v>26.060000000000002</v>
      </c>
      <c r="BT525" s="42"/>
    </row>
    <row r="526" spans="1:72" x14ac:dyDescent="0.25">
      <c r="A526" s="90">
        <v>36182</v>
      </c>
      <c r="B526" s="20">
        <v>0.16666666666666666</v>
      </c>
      <c r="D526">
        <v>12.920000000000002</v>
      </c>
      <c r="E526" t="str">
        <f t="shared" si="50"/>
        <v>WEEKDAY</v>
      </c>
      <c r="F526" t="e">
        <f t="shared" si="51"/>
        <v>#N/A</v>
      </c>
      <c r="G526" s="74">
        <v>27781</v>
      </c>
      <c r="H526" s="77">
        <v>0.16666666666666666</v>
      </c>
      <c r="J526">
        <v>26.96</v>
      </c>
      <c r="M526" s="74">
        <v>37643</v>
      </c>
      <c r="N526" s="77">
        <v>0.16666666666666666</v>
      </c>
      <c r="P526">
        <v>10.399999999999999</v>
      </c>
      <c r="S526" s="74">
        <v>36182</v>
      </c>
      <c r="T526" s="77">
        <v>0.16666666666666666</v>
      </c>
      <c r="V526">
        <v>39.92</v>
      </c>
      <c r="X526" s="42"/>
      <c r="AB526">
        <v>29.5</v>
      </c>
      <c r="AC526">
        <v>8.9599999999999973</v>
      </c>
      <c r="AE526" s="74"/>
      <c r="AF526" s="77"/>
      <c r="AH526" s="497">
        <v>-2.2000000000000028</v>
      </c>
      <c r="AJ526" s="42"/>
      <c r="AK526" s="74"/>
      <c r="AL526" s="77"/>
      <c r="AN526" s="497">
        <v>33.08</v>
      </c>
      <c r="AP526" s="42"/>
      <c r="AQ526" s="74"/>
      <c r="AR526" s="77"/>
      <c r="AT526" s="497">
        <v>10.039999999999999</v>
      </c>
      <c r="AV526" s="42"/>
      <c r="AW526" s="74"/>
      <c r="AX526" s="77"/>
      <c r="BA526" s="497">
        <v>30.02</v>
      </c>
      <c r="BB526" s="42"/>
      <c r="BC526" s="74"/>
      <c r="BD526" s="77"/>
      <c r="BF526">
        <v>32</v>
      </c>
      <c r="BH526" s="42"/>
      <c r="BI526" s="74"/>
      <c r="BJ526" s="77"/>
      <c r="BL526" s="497">
        <v>28.04</v>
      </c>
      <c r="BN526" s="42"/>
      <c r="BO526" s="74"/>
      <c r="BP526" s="77"/>
      <c r="BR526" s="497">
        <v>26.060000000000002</v>
      </c>
      <c r="BT526" s="42"/>
    </row>
    <row r="527" spans="1:72" x14ac:dyDescent="0.25">
      <c r="A527" s="90">
        <v>36182</v>
      </c>
      <c r="B527" s="20">
        <v>0.20833333333333334</v>
      </c>
      <c r="D527">
        <v>10.940000000000001</v>
      </c>
      <c r="E527" t="str">
        <f t="shared" si="50"/>
        <v>WEEKDAY</v>
      </c>
      <c r="F527" t="e">
        <f t="shared" si="51"/>
        <v>#N/A</v>
      </c>
      <c r="G527" s="74">
        <v>27781</v>
      </c>
      <c r="H527" s="77">
        <v>0.20833333333333334</v>
      </c>
      <c r="J527">
        <v>26.96</v>
      </c>
      <c r="M527" s="74">
        <v>37643</v>
      </c>
      <c r="N527" s="77">
        <v>0.20833333333333334</v>
      </c>
      <c r="P527">
        <v>8.5999999999999979</v>
      </c>
      <c r="S527" s="74">
        <v>36182</v>
      </c>
      <c r="T527" s="77">
        <v>0.20833333333333334</v>
      </c>
      <c r="V527">
        <v>39.92</v>
      </c>
      <c r="X527" s="42"/>
      <c r="AB527">
        <v>29.1</v>
      </c>
      <c r="AC527">
        <v>8.0599999999999987</v>
      </c>
      <c r="AE527" s="74"/>
      <c r="AF527" s="77"/>
      <c r="AH527" s="497">
        <v>-2.2000000000000028</v>
      </c>
      <c r="AJ527" s="42"/>
      <c r="AK527" s="74"/>
      <c r="AL527" s="77"/>
      <c r="AN527" s="497">
        <v>33.979999999999997</v>
      </c>
      <c r="AP527" s="42"/>
      <c r="AQ527" s="74"/>
      <c r="AR527" s="77"/>
      <c r="AT527" s="497">
        <v>6.98</v>
      </c>
      <c r="AV527" s="42"/>
      <c r="AW527" s="74"/>
      <c r="AX527" s="77"/>
      <c r="BA527" s="497">
        <v>30.02</v>
      </c>
      <c r="BB527" s="42"/>
      <c r="BC527" s="74"/>
      <c r="BD527" s="77"/>
      <c r="BF527">
        <v>30.92</v>
      </c>
      <c r="BH527" s="42"/>
      <c r="BI527" s="74"/>
      <c r="BJ527" s="77"/>
      <c r="BL527" s="497">
        <v>28.759999999999998</v>
      </c>
      <c r="BN527" s="42"/>
      <c r="BO527" s="74"/>
      <c r="BP527" s="77"/>
      <c r="BR527" s="497">
        <v>26.060000000000002</v>
      </c>
      <c r="BT527" s="42"/>
    </row>
    <row r="528" spans="1:72" x14ac:dyDescent="0.25">
      <c r="A528" s="90">
        <v>36182</v>
      </c>
      <c r="B528" s="20">
        <v>0.25</v>
      </c>
      <c r="D528">
        <v>10.940000000000001</v>
      </c>
      <c r="E528" t="str">
        <f t="shared" si="50"/>
        <v>WEEKDAY</v>
      </c>
      <c r="F528" t="e">
        <f t="shared" si="51"/>
        <v>#N/A</v>
      </c>
      <c r="G528" s="74">
        <v>27781</v>
      </c>
      <c r="H528" s="77">
        <v>0.25</v>
      </c>
      <c r="J528">
        <v>26.060000000000002</v>
      </c>
      <c r="M528" s="74">
        <v>37643</v>
      </c>
      <c r="N528" s="77">
        <v>0.25</v>
      </c>
      <c r="P528">
        <v>8.5999999999999979</v>
      </c>
      <c r="S528" s="74">
        <v>36182</v>
      </c>
      <c r="T528" s="77">
        <v>0.25</v>
      </c>
      <c r="V528">
        <v>39.92</v>
      </c>
      <c r="X528" s="42"/>
      <c r="AB528">
        <v>28.9</v>
      </c>
      <c r="AC528">
        <v>8.0599999999999987</v>
      </c>
      <c r="AE528" s="74"/>
      <c r="AF528" s="77"/>
      <c r="AH528" s="497">
        <v>-2.2000000000000028</v>
      </c>
      <c r="AJ528" s="42"/>
      <c r="AK528" s="74"/>
      <c r="AL528" s="77"/>
      <c r="AN528" s="497">
        <v>35.06</v>
      </c>
      <c r="AP528" s="42"/>
      <c r="AQ528" s="74"/>
      <c r="AR528" s="77"/>
      <c r="AT528" s="497">
        <v>8.0599999999999987</v>
      </c>
      <c r="AV528" s="42"/>
      <c r="AW528" s="74"/>
      <c r="AX528" s="77"/>
      <c r="BA528" s="497">
        <v>30.02</v>
      </c>
      <c r="BB528" s="42"/>
      <c r="BC528" s="74"/>
      <c r="BD528" s="77"/>
      <c r="BF528">
        <v>30.92</v>
      </c>
      <c r="BH528" s="42"/>
      <c r="BI528" s="74"/>
      <c r="BJ528" s="77"/>
      <c r="BL528" s="497">
        <v>29.3</v>
      </c>
      <c r="BN528" s="42"/>
      <c r="BO528" s="74"/>
      <c r="BP528" s="77"/>
      <c r="BR528" s="497">
        <v>24.98</v>
      </c>
      <c r="BT528" s="42"/>
    </row>
    <row r="529" spans="1:72" x14ac:dyDescent="0.25">
      <c r="A529" s="90">
        <v>36182</v>
      </c>
      <c r="B529" s="20">
        <v>0.29166666666666669</v>
      </c>
      <c r="D529">
        <v>10.039999999999999</v>
      </c>
      <c r="E529" t="str">
        <f t="shared" si="50"/>
        <v>WEEKDAY</v>
      </c>
      <c r="F529" t="e">
        <f t="shared" si="51"/>
        <v>#N/A</v>
      </c>
      <c r="G529" s="74">
        <v>27781</v>
      </c>
      <c r="H529" s="77">
        <v>0.29166666666666669</v>
      </c>
      <c r="J529">
        <v>26.060000000000002</v>
      </c>
      <c r="M529" s="74">
        <v>37643</v>
      </c>
      <c r="N529" s="77">
        <v>0.29166666666666669</v>
      </c>
      <c r="P529">
        <v>8.5999999999999979</v>
      </c>
      <c r="S529" s="74">
        <v>36182</v>
      </c>
      <c r="T529" s="77">
        <v>0.29166666666666669</v>
      </c>
      <c r="V529">
        <v>39.92</v>
      </c>
      <c r="X529" s="42"/>
      <c r="AB529">
        <v>28.8</v>
      </c>
      <c r="AC529">
        <v>8.0599999999999987</v>
      </c>
      <c r="AE529" s="74"/>
      <c r="AF529" s="77"/>
      <c r="AH529" s="497">
        <v>-2.2000000000000028</v>
      </c>
      <c r="AJ529" s="42"/>
      <c r="AK529" s="74"/>
      <c r="AL529" s="77"/>
      <c r="AN529" s="497">
        <v>35.06</v>
      </c>
      <c r="AP529" s="42"/>
      <c r="AQ529" s="74"/>
      <c r="AR529" s="77"/>
      <c r="AT529" s="497">
        <v>6.98</v>
      </c>
      <c r="AV529" s="42"/>
      <c r="AW529" s="74"/>
      <c r="AX529" s="77"/>
      <c r="BA529" s="497">
        <v>30.02</v>
      </c>
      <c r="BB529" s="42"/>
      <c r="BC529" s="74"/>
      <c r="BD529" s="77"/>
      <c r="BF529">
        <v>30.92</v>
      </c>
      <c r="BH529" s="42"/>
      <c r="BI529" s="74"/>
      <c r="BJ529" s="77"/>
      <c r="BL529" s="497">
        <v>30.02</v>
      </c>
      <c r="BN529" s="42"/>
      <c r="BO529" s="74"/>
      <c r="BP529" s="77"/>
      <c r="BR529" s="497">
        <v>26.96</v>
      </c>
      <c r="BT529" s="42"/>
    </row>
    <row r="530" spans="1:72" x14ac:dyDescent="0.25">
      <c r="A530" s="90">
        <v>36182</v>
      </c>
      <c r="B530" s="20">
        <v>0.33333333333333331</v>
      </c>
      <c r="D530">
        <v>10.039999999999999</v>
      </c>
      <c r="E530" t="str">
        <f t="shared" si="50"/>
        <v>WEEKDAY</v>
      </c>
      <c r="F530" t="e">
        <f t="shared" si="51"/>
        <v>#N/A</v>
      </c>
      <c r="G530" s="74">
        <v>27781</v>
      </c>
      <c r="H530" s="77">
        <v>0.33333333333333331</v>
      </c>
      <c r="J530">
        <v>24.98</v>
      </c>
      <c r="M530" s="74">
        <v>37643</v>
      </c>
      <c r="N530" s="77">
        <v>0.33333333333333331</v>
      </c>
      <c r="P530">
        <v>8.5999999999999979</v>
      </c>
      <c r="S530" s="74">
        <v>36182</v>
      </c>
      <c r="T530" s="77">
        <v>0.33333333333333331</v>
      </c>
      <c r="V530">
        <v>41</v>
      </c>
      <c r="X530" s="42"/>
      <c r="AB530">
        <v>28.8</v>
      </c>
      <c r="AC530">
        <v>8.0599999999999987</v>
      </c>
      <c r="AE530" s="74"/>
      <c r="AF530" s="77"/>
      <c r="AH530" s="497">
        <v>-2.2000000000000028</v>
      </c>
      <c r="AJ530" s="42"/>
      <c r="AK530" s="74"/>
      <c r="AL530" s="77"/>
      <c r="AN530" s="497">
        <v>35.96</v>
      </c>
      <c r="AP530" s="42"/>
      <c r="AQ530" s="74"/>
      <c r="AR530" s="77"/>
      <c r="AT530" s="497">
        <v>6.98</v>
      </c>
      <c r="AV530" s="42"/>
      <c r="AW530" s="74"/>
      <c r="AX530" s="77"/>
      <c r="BA530" s="497">
        <v>30.02</v>
      </c>
      <c r="BB530" s="42"/>
      <c r="BC530" s="74"/>
      <c r="BD530" s="77"/>
      <c r="BF530">
        <v>30.92</v>
      </c>
      <c r="BH530" s="42"/>
      <c r="BI530" s="74"/>
      <c r="BJ530" s="77"/>
      <c r="BL530" s="497">
        <v>30.02</v>
      </c>
      <c r="BN530" s="42"/>
      <c r="BO530" s="74"/>
      <c r="BP530" s="77"/>
      <c r="BR530" s="497">
        <v>28.94</v>
      </c>
      <c r="BT530" s="42"/>
    </row>
    <row r="531" spans="1:72" x14ac:dyDescent="0.25">
      <c r="A531" s="90">
        <v>36182</v>
      </c>
      <c r="B531" s="20">
        <v>0.375</v>
      </c>
      <c r="D531">
        <v>10.940000000000001</v>
      </c>
      <c r="E531" t="str">
        <f t="shared" ref="E531:E594" si="52">IF(COUNTIF($DI$18:$DI$22, WEEKDAY(A531))=1, "WEEKDAY", IF(WEEKDAY(A531) = 1, "SUNDAY", "SATURDAY"))</f>
        <v>WEEKDAY</v>
      </c>
      <c r="F531" t="e">
        <f t="shared" si="51"/>
        <v>#N/A</v>
      </c>
      <c r="G531" s="74">
        <v>27781</v>
      </c>
      <c r="H531" s="77">
        <v>0.375</v>
      </c>
      <c r="J531">
        <v>24.08</v>
      </c>
      <c r="M531" s="74">
        <v>37643</v>
      </c>
      <c r="N531" s="77">
        <v>0.375</v>
      </c>
      <c r="P531">
        <v>10.399999999999999</v>
      </c>
      <c r="S531" s="74">
        <v>36182</v>
      </c>
      <c r="T531" s="77">
        <v>0.375</v>
      </c>
      <c r="V531">
        <v>41</v>
      </c>
      <c r="X531" s="42"/>
      <c r="AB531">
        <v>29.3</v>
      </c>
      <c r="AC531">
        <v>10.039999999999999</v>
      </c>
      <c r="AE531" s="74"/>
      <c r="AF531" s="77"/>
      <c r="AH531" s="497">
        <v>-0.39999999999999858</v>
      </c>
      <c r="AJ531" s="42"/>
      <c r="AK531" s="74"/>
      <c r="AL531" s="77"/>
      <c r="AN531" s="497">
        <v>39.019999999999996</v>
      </c>
      <c r="AP531" s="42"/>
      <c r="AQ531" s="74"/>
      <c r="AR531" s="77"/>
      <c r="AT531" s="497">
        <v>15.98</v>
      </c>
      <c r="AV531" s="42"/>
      <c r="AW531" s="74"/>
      <c r="AX531" s="77"/>
      <c r="BA531" s="497">
        <v>30.02</v>
      </c>
      <c r="BB531" s="42"/>
      <c r="BC531" s="74"/>
      <c r="BD531" s="77"/>
      <c r="BF531">
        <v>32</v>
      </c>
      <c r="BH531" s="42"/>
      <c r="BI531" s="74"/>
      <c r="BJ531" s="77"/>
      <c r="BL531" s="497">
        <v>30.02</v>
      </c>
      <c r="BN531" s="42"/>
      <c r="BO531" s="74"/>
      <c r="BP531" s="77"/>
      <c r="BR531" s="497">
        <v>30.02</v>
      </c>
      <c r="BT531" s="42"/>
    </row>
    <row r="532" spans="1:72" x14ac:dyDescent="0.25">
      <c r="A532" s="90">
        <v>36182</v>
      </c>
      <c r="B532" s="20">
        <v>0.41666666666666669</v>
      </c>
      <c r="D532">
        <v>12.02</v>
      </c>
      <c r="E532" t="str">
        <f t="shared" si="52"/>
        <v>WEEKDAY</v>
      </c>
      <c r="F532" t="e">
        <f t="shared" si="51"/>
        <v>#N/A</v>
      </c>
      <c r="G532" s="74">
        <v>27781</v>
      </c>
      <c r="H532" s="77">
        <v>0.41666666666666669</v>
      </c>
      <c r="J532">
        <v>24.08</v>
      </c>
      <c r="M532" s="74">
        <v>37643</v>
      </c>
      <c r="N532" s="77">
        <v>0.41666666666666669</v>
      </c>
      <c r="P532">
        <v>15.8</v>
      </c>
      <c r="S532" s="74">
        <v>36182</v>
      </c>
      <c r="T532" s="77">
        <v>0.41666666666666669</v>
      </c>
      <c r="V532">
        <v>42.08</v>
      </c>
      <c r="X532" s="42"/>
      <c r="AB532">
        <v>30.8</v>
      </c>
      <c r="AC532">
        <v>10.940000000000001</v>
      </c>
      <c r="AE532" s="74"/>
      <c r="AF532" s="77"/>
      <c r="AH532" s="497">
        <v>-0.39999999999999858</v>
      </c>
      <c r="AJ532" s="42"/>
      <c r="AK532" s="74"/>
      <c r="AL532" s="77"/>
      <c r="AN532" s="497">
        <v>41</v>
      </c>
      <c r="AP532" s="42"/>
      <c r="AQ532" s="74"/>
      <c r="AR532" s="77"/>
      <c r="AT532" s="497">
        <v>21.92</v>
      </c>
      <c r="AV532" s="42"/>
      <c r="AW532" s="74"/>
      <c r="AX532" s="77"/>
      <c r="BA532" s="497">
        <v>30.02</v>
      </c>
      <c r="BB532" s="42"/>
      <c r="BC532" s="74"/>
      <c r="BD532" s="77"/>
      <c r="BF532">
        <v>32</v>
      </c>
      <c r="BH532" s="42"/>
      <c r="BI532" s="74"/>
      <c r="BJ532" s="77"/>
      <c r="BL532" s="497">
        <v>30.02</v>
      </c>
      <c r="BN532" s="42"/>
      <c r="BO532" s="74"/>
      <c r="BP532" s="77"/>
      <c r="BR532" s="497">
        <v>32</v>
      </c>
      <c r="BT532" s="42"/>
    </row>
    <row r="533" spans="1:72" x14ac:dyDescent="0.25">
      <c r="A533" s="90">
        <v>36182</v>
      </c>
      <c r="B533" s="20">
        <v>0.45833333333333331</v>
      </c>
      <c r="D533">
        <v>12.920000000000002</v>
      </c>
      <c r="E533" t="str">
        <f t="shared" si="52"/>
        <v>WEEKDAY</v>
      </c>
      <c r="F533" t="e">
        <f t="shared" si="51"/>
        <v>#N/A</v>
      </c>
      <c r="G533" s="74">
        <v>27781</v>
      </c>
      <c r="H533" s="77">
        <v>0.45833333333333331</v>
      </c>
      <c r="J533">
        <v>24.08</v>
      </c>
      <c r="M533" s="74">
        <v>37643</v>
      </c>
      <c r="N533" s="77">
        <v>0.45833333333333331</v>
      </c>
      <c r="P533">
        <v>15.8</v>
      </c>
      <c r="S533" s="74">
        <v>36182</v>
      </c>
      <c r="T533" s="77">
        <v>0.45833333333333331</v>
      </c>
      <c r="V533">
        <v>42.08</v>
      </c>
      <c r="X533" s="42"/>
      <c r="AB533">
        <v>32.200000000000003</v>
      </c>
      <c r="AC533">
        <v>12.920000000000002</v>
      </c>
      <c r="AE533" s="74"/>
      <c r="AF533" s="77"/>
      <c r="AH533" s="497">
        <v>1.3999999999999986</v>
      </c>
      <c r="AJ533" s="42"/>
      <c r="AK533" s="74"/>
      <c r="AL533" s="77"/>
      <c r="AN533" s="497">
        <v>42.980000000000004</v>
      </c>
      <c r="AP533" s="42"/>
      <c r="AQ533" s="74"/>
      <c r="AR533" s="77"/>
      <c r="AT533" s="497">
        <v>24.98</v>
      </c>
      <c r="AV533" s="42"/>
      <c r="AW533" s="74"/>
      <c r="AX533" s="77"/>
      <c r="BA533" s="497">
        <v>30.38</v>
      </c>
      <c r="BB533" s="42"/>
      <c r="BC533" s="74"/>
      <c r="BD533" s="77"/>
      <c r="BF533">
        <v>33.979999999999997</v>
      </c>
      <c r="BH533" s="42"/>
      <c r="BI533" s="74"/>
      <c r="BJ533" s="77"/>
      <c r="BL533" s="497">
        <v>31.28</v>
      </c>
      <c r="BN533" s="42"/>
      <c r="BO533" s="74"/>
      <c r="BP533" s="77"/>
      <c r="BR533" s="497">
        <v>35.96</v>
      </c>
      <c r="BT533" s="42"/>
    </row>
    <row r="534" spans="1:72" x14ac:dyDescent="0.25">
      <c r="A534" s="90">
        <v>36182</v>
      </c>
      <c r="B534" s="20">
        <v>0.5</v>
      </c>
      <c r="D534">
        <v>15.079999999999998</v>
      </c>
      <c r="E534" t="str">
        <f t="shared" si="52"/>
        <v>WEEKDAY</v>
      </c>
      <c r="F534" t="e">
        <f t="shared" si="51"/>
        <v>#N/A</v>
      </c>
      <c r="G534" s="74">
        <v>27781</v>
      </c>
      <c r="H534" s="77">
        <v>0.5</v>
      </c>
      <c r="J534">
        <v>23</v>
      </c>
      <c r="M534" s="74">
        <v>37643</v>
      </c>
      <c r="N534" s="77">
        <v>0.5</v>
      </c>
      <c r="P534">
        <v>17.600000000000001</v>
      </c>
      <c r="S534" s="74">
        <v>36182</v>
      </c>
      <c r="T534" s="77">
        <v>0.5</v>
      </c>
      <c r="V534">
        <v>42.980000000000004</v>
      </c>
      <c r="X534" s="42"/>
      <c r="AB534">
        <v>33.5</v>
      </c>
      <c r="AC534">
        <v>14</v>
      </c>
      <c r="AE534" s="74"/>
      <c r="AF534" s="77"/>
      <c r="AH534" s="497">
        <v>5</v>
      </c>
      <c r="AJ534" s="42"/>
      <c r="AK534" s="74"/>
      <c r="AL534" s="77"/>
      <c r="AN534" s="497">
        <v>44.96</v>
      </c>
      <c r="AP534" s="42"/>
      <c r="AQ534" s="74"/>
      <c r="AR534" s="77"/>
      <c r="AT534" s="497">
        <v>26.96</v>
      </c>
      <c r="AV534" s="42"/>
      <c r="AW534" s="74"/>
      <c r="AX534" s="77"/>
      <c r="BA534" s="497">
        <v>30.56</v>
      </c>
      <c r="BB534" s="42"/>
      <c r="BC534" s="74"/>
      <c r="BD534" s="77"/>
      <c r="BF534">
        <v>35.06</v>
      </c>
      <c r="BH534" s="42"/>
      <c r="BI534" s="74"/>
      <c r="BJ534" s="77"/>
      <c r="BL534" s="497">
        <v>32.72</v>
      </c>
      <c r="BN534" s="42"/>
      <c r="BO534" s="74"/>
      <c r="BP534" s="77"/>
      <c r="BR534" s="497">
        <v>41</v>
      </c>
      <c r="BT534" s="42"/>
    </row>
    <row r="535" spans="1:72" x14ac:dyDescent="0.25">
      <c r="A535" s="90">
        <v>36182</v>
      </c>
      <c r="B535" s="20">
        <v>0.54166666666666663</v>
      </c>
      <c r="D535">
        <v>15.98</v>
      </c>
      <c r="E535" t="str">
        <f t="shared" si="52"/>
        <v>WEEKDAY</v>
      </c>
      <c r="F535" t="e">
        <f t="shared" si="51"/>
        <v>#N/A</v>
      </c>
      <c r="G535" s="74">
        <v>27781</v>
      </c>
      <c r="H535" s="77">
        <v>0.54166666666666663</v>
      </c>
      <c r="J535">
        <v>21.02</v>
      </c>
      <c r="M535" s="74">
        <v>37643</v>
      </c>
      <c r="N535" s="77">
        <v>0.54166666666666663</v>
      </c>
      <c r="P535">
        <v>17.600000000000001</v>
      </c>
      <c r="S535" s="74">
        <v>36182</v>
      </c>
      <c r="T535" s="77">
        <v>0.54166666666666663</v>
      </c>
      <c r="V535">
        <v>42.08</v>
      </c>
      <c r="X535" s="42"/>
      <c r="AB535">
        <v>34.700000000000003</v>
      </c>
      <c r="AC535">
        <v>15.98</v>
      </c>
      <c r="AE535" s="74"/>
      <c r="AF535" s="77"/>
      <c r="AH535" s="497">
        <v>6.8000000000000007</v>
      </c>
      <c r="AJ535" s="42"/>
      <c r="AK535" s="74"/>
      <c r="AL535" s="77"/>
      <c r="AN535" s="497">
        <v>48.019999999999996</v>
      </c>
      <c r="AP535" s="42"/>
      <c r="AQ535" s="74"/>
      <c r="AR535" s="77"/>
      <c r="AT535" s="497">
        <v>28.94</v>
      </c>
      <c r="AV535" s="42"/>
      <c r="AW535" s="74"/>
      <c r="AX535" s="77"/>
      <c r="BA535" s="497">
        <v>30.92</v>
      </c>
      <c r="BB535" s="42"/>
      <c r="BC535" s="74"/>
      <c r="BD535" s="77"/>
      <c r="BF535">
        <v>35.06</v>
      </c>
      <c r="BH535" s="42"/>
      <c r="BI535" s="74"/>
      <c r="BJ535" s="77"/>
      <c r="BL535" s="497">
        <v>33.979999999999997</v>
      </c>
      <c r="BN535" s="42"/>
      <c r="BO535" s="74"/>
      <c r="BP535" s="77"/>
      <c r="BR535" s="497">
        <v>41</v>
      </c>
      <c r="BT535" s="42"/>
    </row>
    <row r="536" spans="1:72" x14ac:dyDescent="0.25">
      <c r="A536" s="90">
        <v>36182</v>
      </c>
      <c r="B536" s="20">
        <v>0.58333333333333337</v>
      </c>
      <c r="D536">
        <v>17.96</v>
      </c>
      <c r="E536" t="str">
        <f t="shared" si="52"/>
        <v>WEEKDAY</v>
      </c>
      <c r="F536" t="e">
        <f t="shared" si="51"/>
        <v>#N/A</v>
      </c>
      <c r="G536" s="74">
        <v>27781</v>
      </c>
      <c r="H536" s="77">
        <v>0.58333333333333337</v>
      </c>
      <c r="J536">
        <v>21.92</v>
      </c>
      <c r="M536" s="74">
        <v>37643</v>
      </c>
      <c r="N536" s="77">
        <v>0.58333333333333337</v>
      </c>
      <c r="P536">
        <v>17.600000000000001</v>
      </c>
      <c r="S536" s="74">
        <v>36182</v>
      </c>
      <c r="T536" s="77">
        <v>0.58333333333333337</v>
      </c>
      <c r="V536">
        <v>42.980000000000004</v>
      </c>
      <c r="X536" s="42"/>
      <c r="AB536">
        <v>35.6</v>
      </c>
      <c r="AC536">
        <v>17.96</v>
      </c>
      <c r="AE536" s="74"/>
      <c r="AF536" s="77"/>
      <c r="AH536" s="497">
        <v>5</v>
      </c>
      <c r="AJ536" s="42"/>
      <c r="AK536" s="74"/>
      <c r="AL536" s="77"/>
      <c r="AN536" s="497">
        <v>48.019999999999996</v>
      </c>
      <c r="AP536" s="42"/>
      <c r="AQ536" s="74"/>
      <c r="AR536" s="77"/>
      <c r="AT536" s="497">
        <v>30.92</v>
      </c>
      <c r="AV536" s="42"/>
      <c r="AW536" s="74"/>
      <c r="AX536" s="77"/>
      <c r="BA536" s="497">
        <v>32.54</v>
      </c>
      <c r="BB536" s="42"/>
      <c r="BC536" s="74"/>
      <c r="BD536" s="77"/>
      <c r="BF536">
        <v>33.08</v>
      </c>
      <c r="BH536" s="42"/>
      <c r="BI536" s="74"/>
      <c r="BJ536" s="77"/>
      <c r="BL536" s="497">
        <v>33.979999999999997</v>
      </c>
      <c r="BN536" s="42"/>
      <c r="BO536" s="74"/>
      <c r="BP536" s="77"/>
      <c r="BR536" s="497">
        <v>39.019999999999996</v>
      </c>
      <c r="BT536" s="42"/>
    </row>
    <row r="537" spans="1:72" x14ac:dyDescent="0.25">
      <c r="A537" s="90">
        <v>36182</v>
      </c>
      <c r="B537" s="20">
        <v>0.625</v>
      </c>
      <c r="D537">
        <v>19.04</v>
      </c>
      <c r="E537" t="str">
        <f t="shared" si="52"/>
        <v>WEEKDAY</v>
      </c>
      <c r="F537" t="e">
        <f t="shared" si="51"/>
        <v>#N/A</v>
      </c>
      <c r="G537" s="74">
        <v>27781</v>
      </c>
      <c r="H537" s="77">
        <v>0.625</v>
      </c>
      <c r="J537">
        <v>21.92</v>
      </c>
      <c r="M537" s="74">
        <v>37643</v>
      </c>
      <c r="N537" s="77">
        <v>0.625</v>
      </c>
      <c r="P537">
        <v>17.600000000000001</v>
      </c>
      <c r="S537" s="74">
        <v>36182</v>
      </c>
      <c r="T537" s="77">
        <v>0.625</v>
      </c>
      <c r="V537">
        <v>42.980000000000004</v>
      </c>
      <c r="X537" s="42"/>
      <c r="AB537">
        <v>36</v>
      </c>
      <c r="AC537">
        <v>19.04</v>
      </c>
      <c r="AE537" s="74"/>
      <c r="AF537" s="77"/>
      <c r="AH537" s="497">
        <v>3.1999999999999993</v>
      </c>
      <c r="AJ537" s="42"/>
      <c r="AK537" s="74"/>
      <c r="AL537" s="77"/>
      <c r="AN537" s="497">
        <v>46.94</v>
      </c>
      <c r="AP537" s="42"/>
      <c r="AQ537" s="74"/>
      <c r="AR537" s="77"/>
      <c r="AT537" s="497">
        <v>28.04</v>
      </c>
      <c r="AV537" s="42"/>
      <c r="AW537" s="74"/>
      <c r="AX537" s="77"/>
      <c r="BA537" s="497">
        <v>34.340000000000003</v>
      </c>
      <c r="BB537" s="42"/>
      <c r="BC537" s="74"/>
      <c r="BD537" s="77"/>
      <c r="BF537">
        <v>33.08</v>
      </c>
      <c r="BH537" s="42"/>
      <c r="BI537" s="74"/>
      <c r="BJ537" s="77"/>
      <c r="BL537" s="497">
        <v>33.979999999999997</v>
      </c>
      <c r="BN537" s="42"/>
      <c r="BO537" s="74"/>
      <c r="BP537" s="77"/>
      <c r="BR537" s="497">
        <v>39.019999999999996</v>
      </c>
      <c r="BT537" s="42"/>
    </row>
    <row r="538" spans="1:72" x14ac:dyDescent="0.25">
      <c r="A538" s="90">
        <v>36182</v>
      </c>
      <c r="B538" s="20">
        <v>0.66666666666666663</v>
      </c>
      <c r="D538">
        <v>19.939999999999998</v>
      </c>
      <c r="E538" t="str">
        <f t="shared" si="52"/>
        <v>WEEKDAY</v>
      </c>
      <c r="F538" t="e">
        <f t="shared" si="51"/>
        <v>#N/A</v>
      </c>
      <c r="G538" s="74">
        <v>27781</v>
      </c>
      <c r="H538" s="77">
        <v>0.66666666666666663</v>
      </c>
      <c r="J538">
        <v>21.02</v>
      </c>
      <c r="M538" s="74">
        <v>37643</v>
      </c>
      <c r="N538" s="77">
        <v>0.66666666666666663</v>
      </c>
      <c r="P538">
        <v>17.600000000000001</v>
      </c>
      <c r="S538" s="74">
        <v>36182</v>
      </c>
      <c r="T538" s="77">
        <v>0.66666666666666663</v>
      </c>
      <c r="V538">
        <v>44.06</v>
      </c>
      <c r="X538" s="42"/>
      <c r="AB538">
        <v>36.200000000000003</v>
      </c>
      <c r="AC538">
        <v>19.04</v>
      </c>
      <c r="AE538" s="74"/>
      <c r="AF538" s="77"/>
      <c r="AH538" s="497">
        <v>3.1999999999999993</v>
      </c>
      <c r="AJ538" s="42"/>
      <c r="AK538" s="74"/>
      <c r="AL538" s="77"/>
      <c r="AN538" s="497">
        <v>39.019999999999996</v>
      </c>
      <c r="AP538" s="42"/>
      <c r="AQ538" s="74"/>
      <c r="AR538" s="77"/>
      <c r="AT538" s="497">
        <v>28.04</v>
      </c>
      <c r="AV538" s="42"/>
      <c r="AW538" s="74"/>
      <c r="AX538" s="77"/>
      <c r="BA538" s="497">
        <v>35.96</v>
      </c>
      <c r="BB538" s="42"/>
      <c r="BC538" s="74"/>
      <c r="BD538" s="77"/>
      <c r="BF538">
        <v>33.08</v>
      </c>
      <c r="BH538" s="42"/>
      <c r="BI538" s="74"/>
      <c r="BJ538" s="77"/>
      <c r="BL538" s="497">
        <v>33.979999999999997</v>
      </c>
      <c r="BN538" s="42"/>
      <c r="BO538" s="74"/>
      <c r="BP538" s="77"/>
      <c r="BR538" s="497">
        <v>37.94</v>
      </c>
      <c r="BT538" s="42"/>
    </row>
    <row r="539" spans="1:72" x14ac:dyDescent="0.25">
      <c r="A539" s="90">
        <v>36182</v>
      </c>
      <c r="B539" s="20">
        <v>0.70833333333333337</v>
      </c>
      <c r="D539">
        <v>19.939999999999998</v>
      </c>
      <c r="E539" t="str">
        <f t="shared" si="52"/>
        <v>WEEKDAY</v>
      </c>
      <c r="F539" t="e">
        <f t="shared" si="51"/>
        <v>#N/A</v>
      </c>
      <c r="G539" s="74">
        <v>27781</v>
      </c>
      <c r="H539" s="77">
        <v>0.70833333333333337</v>
      </c>
      <c r="J539">
        <v>19.939999999999998</v>
      </c>
      <c r="M539" s="74">
        <v>37643</v>
      </c>
      <c r="N539" s="77">
        <v>0.70833333333333337</v>
      </c>
      <c r="P539">
        <v>15.8</v>
      </c>
      <c r="S539" s="74">
        <v>36182</v>
      </c>
      <c r="T539" s="77">
        <v>0.70833333333333337</v>
      </c>
      <c r="V539">
        <v>42.980000000000004</v>
      </c>
      <c r="X539" s="42"/>
      <c r="AB539">
        <v>35.700000000000003</v>
      </c>
      <c r="AC539">
        <v>17.96</v>
      </c>
      <c r="AE539" s="74"/>
      <c r="AF539" s="77"/>
      <c r="AH539" s="497">
        <v>3.1999999999999993</v>
      </c>
      <c r="AJ539" s="42"/>
      <c r="AK539" s="74"/>
      <c r="AL539" s="77"/>
      <c r="AN539" s="497">
        <v>39.019999999999996</v>
      </c>
      <c r="AP539" s="42"/>
      <c r="AQ539" s="74"/>
      <c r="AR539" s="77"/>
      <c r="AT539" s="497">
        <v>26.96</v>
      </c>
      <c r="AV539" s="42"/>
      <c r="AW539" s="74"/>
      <c r="AX539" s="77"/>
      <c r="BA539" s="497">
        <v>35.96</v>
      </c>
      <c r="BB539" s="42"/>
      <c r="BC539" s="74"/>
      <c r="BD539" s="77"/>
      <c r="BF539">
        <v>33.08</v>
      </c>
      <c r="BH539" s="42"/>
      <c r="BI539" s="74"/>
      <c r="BJ539" s="77"/>
      <c r="BL539" s="497">
        <v>33.619999999999997</v>
      </c>
      <c r="BN539" s="42"/>
      <c r="BO539" s="74"/>
      <c r="BP539" s="77"/>
      <c r="BR539" s="497">
        <v>37.94</v>
      </c>
      <c r="BT539" s="42"/>
    </row>
    <row r="540" spans="1:72" x14ac:dyDescent="0.25">
      <c r="A540" s="90">
        <v>36182</v>
      </c>
      <c r="B540" s="20">
        <v>0.75</v>
      </c>
      <c r="D540">
        <v>19.939999999999998</v>
      </c>
      <c r="E540" t="str">
        <f t="shared" si="52"/>
        <v>WEEKDAY</v>
      </c>
      <c r="F540" t="e">
        <f t="shared" si="51"/>
        <v>#N/A</v>
      </c>
      <c r="G540" s="74">
        <v>27781</v>
      </c>
      <c r="H540" s="77">
        <v>0.75</v>
      </c>
      <c r="J540">
        <v>17.96</v>
      </c>
      <c r="M540" s="74">
        <v>37643</v>
      </c>
      <c r="N540" s="77">
        <v>0.75</v>
      </c>
      <c r="P540">
        <v>14</v>
      </c>
      <c r="S540" s="74">
        <v>36182</v>
      </c>
      <c r="T540" s="77">
        <v>0.75</v>
      </c>
      <c r="V540">
        <v>42.980000000000004</v>
      </c>
      <c r="X540" s="42"/>
      <c r="AB540">
        <v>34.6</v>
      </c>
      <c r="AC540">
        <v>15.98</v>
      </c>
      <c r="AE540" s="74"/>
      <c r="AF540" s="77"/>
      <c r="AH540" s="497">
        <v>5</v>
      </c>
      <c r="AJ540" s="42"/>
      <c r="AK540" s="74"/>
      <c r="AL540" s="77"/>
      <c r="AN540" s="497">
        <v>37.04</v>
      </c>
      <c r="AP540" s="42"/>
      <c r="AQ540" s="74"/>
      <c r="AR540" s="77"/>
      <c r="AT540" s="497">
        <v>26.060000000000002</v>
      </c>
      <c r="AV540" s="42"/>
      <c r="AW540" s="74"/>
      <c r="AX540" s="77"/>
      <c r="BA540" s="497">
        <v>35.96</v>
      </c>
      <c r="BB540" s="42"/>
      <c r="BC540" s="74"/>
      <c r="BD540" s="77"/>
      <c r="BF540">
        <v>33.08</v>
      </c>
      <c r="BH540" s="42"/>
      <c r="BI540" s="74"/>
      <c r="BJ540" s="77"/>
      <c r="BL540" s="497">
        <v>33.44</v>
      </c>
      <c r="BN540" s="42"/>
      <c r="BO540" s="74"/>
      <c r="BP540" s="77"/>
      <c r="BR540" s="497">
        <v>37.04</v>
      </c>
      <c r="BT540" s="42"/>
    </row>
    <row r="541" spans="1:72" x14ac:dyDescent="0.25">
      <c r="A541" s="90">
        <v>36182</v>
      </c>
      <c r="B541" s="20">
        <v>0.79166666666666663</v>
      </c>
      <c r="D541">
        <v>19.04</v>
      </c>
      <c r="E541" t="str">
        <f t="shared" si="52"/>
        <v>WEEKDAY</v>
      </c>
      <c r="F541" t="e">
        <f t="shared" si="51"/>
        <v>#N/A</v>
      </c>
      <c r="G541" s="74">
        <v>27781</v>
      </c>
      <c r="H541" s="77">
        <v>0.79166666666666663</v>
      </c>
      <c r="J541">
        <v>15.079999999999998</v>
      </c>
      <c r="M541" s="74">
        <v>37643</v>
      </c>
      <c r="N541" s="77">
        <v>0.79166666666666663</v>
      </c>
      <c r="P541">
        <v>12.2</v>
      </c>
      <c r="S541" s="74">
        <v>36182</v>
      </c>
      <c r="T541" s="77">
        <v>0.79166666666666663</v>
      </c>
      <c r="V541">
        <v>42.980000000000004</v>
      </c>
      <c r="X541" s="42"/>
      <c r="AB541">
        <v>33.9</v>
      </c>
      <c r="AC541">
        <v>15.079999999999998</v>
      </c>
      <c r="AE541" s="74"/>
      <c r="AF541" s="77"/>
      <c r="AH541" s="497">
        <v>6.8000000000000007</v>
      </c>
      <c r="AJ541" s="42"/>
      <c r="AK541" s="74"/>
      <c r="AL541" s="77"/>
      <c r="AN541" s="497">
        <v>35.96</v>
      </c>
      <c r="AP541" s="42"/>
      <c r="AQ541" s="74"/>
      <c r="AR541" s="77"/>
      <c r="AT541" s="497">
        <v>26.060000000000002</v>
      </c>
      <c r="AV541" s="42"/>
      <c r="AW541" s="74"/>
      <c r="AX541" s="77"/>
      <c r="BA541" s="497">
        <v>35.96</v>
      </c>
      <c r="BB541" s="42"/>
      <c r="BC541" s="74"/>
      <c r="BD541" s="77"/>
      <c r="BF541">
        <v>33.08</v>
      </c>
      <c r="BH541" s="42"/>
      <c r="BI541" s="74"/>
      <c r="BJ541" s="77"/>
      <c r="BL541" s="497">
        <v>33.08</v>
      </c>
      <c r="BN541" s="42"/>
      <c r="BO541" s="74"/>
      <c r="BP541" s="77"/>
      <c r="BR541" s="497">
        <v>32</v>
      </c>
      <c r="BT541" s="42"/>
    </row>
    <row r="542" spans="1:72" x14ac:dyDescent="0.25">
      <c r="A542" s="90">
        <v>36182</v>
      </c>
      <c r="B542" s="20">
        <v>0.83333333333333337</v>
      </c>
      <c r="D542">
        <v>17.96</v>
      </c>
      <c r="E542" t="str">
        <f t="shared" si="52"/>
        <v>WEEKDAY</v>
      </c>
      <c r="F542" t="e">
        <f t="shared" si="51"/>
        <v>#N/A</v>
      </c>
      <c r="G542" s="74">
        <v>27781</v>
      </c>
      <c r="H542" s="77">
        <v>0.83333333333333337</v>
      </c>
      <c r="J542">
        <v>12.920000000000002</v>
      </c>
      <c r="M542" s="74">
        <v>37643</v>
      </c>
      <c r="N542" s="77">
        <v>0.83333333333333337</v>
      </c>
      <c r="P542">
        <v>10.399999999999999</v>
      </c>
      <c r="S542" s="74">
        <v>36182</v>
      </c>
      <c r="T542" s="77">
        <v>0.83333333333333337</v>
      </c>
      <c r="V542">
        <v>42.980000000000004</v>
      </c>
      <c r="X542" s="42"/>
      <c r="AB542">
        <v>33.5</v>
      </c>
      <c r="AC542">
        <v>17.059999999999999</v>
      </c>
      <c r="AE542" s="74"/>
      <c r="AF542" s="77"/>
      <c r="AH542" s="497">
        <v>6.8000000000000007</v>
      </c>
      <c r="AJ542" s="42"/>
      <c r="AK542" s="74"/>
      <c r="AL542" s="77"/>
      <c r="AN542" s="497">
        <v>33.08</v>
      </c>
      <c r="AP542" s="42"/>
      <c r="AQ542" s="74"/>
      <c r="AR542" s="77"/>
      <c r="AT542" s="497">
        <v>24.98</v>
      </c>
      <c r="AV542" s="42"/>
      <c r="AW542" s="74"/>
      <c r="AX542" s="77"/>
      <c r="BA542" s="497">
        <v>35.24</v>
      </c>
      <c r="BB542" s="42"/>
      <c r="BC542" s="74"/>
      <c r="BD542" s="77"/>
      <c r="BF542">
        <v>33.08</v>
      </c>
      <c r="BH542" s="42"/>
      <c r="BI542" s="74"/>
      <c r="BJ542" s="77"/>
      <c r="BL542" s="497">
        <v>32.72</v>
      </c>
      <c r="BN542" s="42"/>
      <c r="BO542" s="74"/>
      <c r="BP542" s="77"/>
      <c r="BR542" s="497">
        <v>28.04</v>
      </c>
      <c r="BT542" s="42"/>
    </row>
    <row r="543" spans="1:72" x14ac:dyDescent="0.25">
      <c r="A543" s="90">
        <v>36182</v>
      </c>
      <c r="B543" s="20">
        <v>0.875</v>
      </c>
      <c r="D543">
        <v>17.96</v>
      </c>
      <c r="E543" t="str">
        <f t="shared" si="52"/>
        <v>WEEKDAY</v>
      </c>
      <c r="F543" t="e">
        <f t="shared" si="51"/>
        <v>#N/A</v>
      </c>
      <c r="G543" s="74">
        <v>27781</v>
      </c>
      <c r="H543" s="77">
        <v>0.875</v>
      </c>
      <c r="J543">
        <v>12.02</v>
      </c>
      <c r="M543" s="74">
        <v>37643</v>
      </c>
      <c r="N543" s="77">
        <v>0.875</v>
      </c>
      <c r="P543">
        <v>8.5999999999999979</v>
      </c>
      <c r="S543" s="74">
        <v>36182</v>
      </c>
      <c r="T543" s="77">
        <v>0.875</v>
      </c>
      <c r="V543">
        <v>42.980000000000004</v>
      </c>
      <c r="X543" s="42"/>
      <c r="AB543">
        <v>32.9</v>
      </c>
      <c r="AC543">
        <v>17.059999999999999</v>
      </c>
      <c r="AE543" s="74"/>
      <c r="AF543" s="77"/>
      <c r="AH543" s="497">
        <v>6.8000000000000007</v>
      </c>
      <c r="AJ543" s="42"/>
      <c r="AK543" s="74"/>
      <c r="AL543" s="77"/>
      <c r="AN543" s="497">
        <v>30.92</v>
      </c>
      <c r="AP543" s="42"/>
      <c r="AQ543" s="74"/>
      <c r="AR543" s="77"/>
      <c r="AT543" s="497">
        <v>24.98</v>
      </c>
      <c r="AV543" s="42"/>
      <c r="AW543" s="74"/>
      <c r="AX543" s="77"/>
      <c r="BA543" s="497">
        <v>34.700000000000003</v>
      </c>
      <c r="BB543" s="42"/>
      <c r="BC543" s="74"/>
      <c r="BD543" s="77"/>
      <c r="BF543">
        <v>33.979999999999997</v>
      </c>
      <c r="BH543" s="42"/>
      <c r="BI543" s="74"/>
      <c r="BJ543" s="77"/>
      <c r="BL543" s="497">
        <v>32.36</v>
      </c>
      <c r="BN543" s="42"/>
      <c r="BO543" s="74"/>
      <c r="BP543" s="77"/>
      <c r="BR543" s="497">
        <v>26.060000000000002</v>
      </c>
      <c r="BT543" s="42"/>
    </row>
    <row r="544" spans="1:72" x14ac:dyDescent="0.25">
      <c r="A544" s="90">
        <v>36182</v>
      </c>
      <c r="B544" s="20">
        <v>0.91666666666666663</v>
      </c>
      <c r="D544">
        <v>17.059999999999999</v>
      </c>
      <c r="E544" t="str">
        <f t="shared" si="52"/>
        <v>WEEKDAY</v>
      </c>
      <c r="F544" t="e">
        <f t="shared" si="51"/>
        <v>#N/A</v>
      </c>
      <c r="G544" s="74">
        <v>27781</v>
      </c>
      <c r="H544" s="77">
        <v>0.91666666666666663</v>
      </c>
      <c r="J544">
        <v>10.039999999999999</v>
      </c>
      <c r="M544" s="74">
        <v>37643</v>
      </c>
      <c r="N544" s="77">
        <v>0.91666666666666663</v>
      </c>
      <c r="P544">
        <v>8.5999999999999979</v>
      </c>
      <c r="S544" s="74">
        <v>36182</v>
      </c>
      <c r="T544" s="77">
        <v>0.91666666666666663</v>
      </c>
      <c r="V544">
        <v>42.980000000000004</v>
      </c>
      <c r="X544" s="42"/>
      <c r="AB544">
        <v>32.299999999999997</v>
      </c>
      <c r="AC544">
        <v>15.98</v>
      </c>
      <c r="AE544" s="74"/>
      <c r="AF544" s="77"/>
      <c r="AH544" s="497">
        <v>8.5999999999999979</v>
      </c>
      <c r="AJ544" s="42"/>
      <c r="AK544" s="74"/>
      <c r="AL544" s="77"/>
      <c r="AN544" s="497">
        <v>30.02</v>
      </c>
      <c r="AP544" s="42"/>
      <c r="AQ544" s="74"/>
      <c r="AR544" s="77"/>
      <c r="AT544" s="497">
        <v>24.98</v>
      </c>
      <c r="AV544" s="42"/>
      <c r="AW544" s="74"/>
      <c r="AX544" s="77"/>
      <c r="BA544" s="497">
        <v>33.979999999999997</v>
      </c>
      <c r="BB544" s="42"/>
      <c r="BC544" s="74"/>
      <c r="BD544" s="77"/>
      <c r="BF544">
        <v>33.979999999999997</v>
      </c>
      <c r="BH544" s="42"/>
      <c r="BI544" s="74"/>
      <c r="BJ544" s="77"/>
      <c r="BL544" s="497">
        <v>32</v>
      </c>
      <c r="BN544" s="42"/>
      <c r="BO544" s="74"/>
      <c r="BP544" s="77"/>
      <c r="BR544" s="497">
        <v>21.92</v>
      </c>
      <c r="BT544" s="42"/>
    </row>
    <row r="545" spans="1:72" x14ac:dyDescent="0.25">
      <c r="A545" s="90">
        <v>36182</v>
      </c>
      <c r="B545" s="20">
        <v>0.95833333333333337</v>
      </c>
      <c r="D545">
        <v>17.059999999999999</v>
      </c>
      <c r="E545" t="str">
        <f t="shared" si="52"/>
        <v>WEEKDAY</v>
      </c>
      <c r="F545" t="e">
        <f t="shared" si="51"/>
        <v>#N/A</v>
      </c>
      <c r="G545" s="74">
        <v>27781</v>
      </c>
      <c r="H545" s="77">
        <v>0.95833333333333337</v>
      </c>
      <c r="J545">
        <v>8.9599999999999973</v>
      </c>
      <c r="M545" s="74">
        <v>37643</v>
      </c>
      <c r="N545" s="77">
        <v>0.95833333333333337</v>
      </c>
      <c r="P545">
        <v>6.8000000000000007</v>
      </c>
      <c r="S545" s="74">
        <v>36182</v>
      </c>
      <c r="T545" s="77">
        <v>0.95833333333333337</v>
      </c>
      <c r="V545">
        <v>42.980000000000004</v>
      </c>
      <c r="X545" s="42"/>
      <c r="AB545">
        <v>31.8</v>
      </c>
      <c r="AC545">
        <v>17.059999999999999</v>
      </c>
      <c r="AE545" s="74"/>
      <c r="AF545" s="77"/>
      <c r="AH545" s="497">
        <v>10.399999999999999</v>
      </c>
      <c r="AJ545" s="42"/>
      <c r="AK545" s="74"/>
      <c r="AL545" s="77"/>
      <c r="AN545" s="497">
        <v>28.04</v>
      </c>
      <c r="AP545" s="42"/>
      <c r="AQ545" s="74"/>
      <c r="AR545" s="77"/>
      <c r="AT545" s="497">
        <v>24.98</v>
      </c>
      <c r="AV545" s="42"/>
      <c r="AW545" s="74"/>
      <c r="AX545" s="77"/>
      <c r="BA545" s="497">
        <v>34.340000000000003</v>
      </c>
      <c r="BB545" s="42"/>
      <c r="BC545" s="74"/>
      <c r="BD545" s="77"/>
      <c r="BF545">
        <v>33.08</v>
      </c>
      <c r="BH545" s="42"/>
      <c r="BI545" s="74"/>
      <c r="BJ545" s="77"/>
      <c r="BL545" s="497">
        <v>32</v>
      </c>
      <c r="BN545" s="42"/>
      <c r="BO545" s="74"/>
      <c r="BP545" s="77"/>
      <c r="BR545" s="497">
        <v>19.939999999999998</v>
      </c>
      <c r="BT545" s="42"/>
    </row>
    <row r="546" spans="1:72" x14ac:dyDescent="0.25">
      <c r="A546" s="90">
        <v>36182</v>
      </c>
      <c r="B546" s="20">
        <v>1</v>
      </c>
      <c r="D546">
        <v>17.059999999999999</v>
      </c>
      <c r="E546" t="str">
        <f t="shared" si="52"/>
        <v>WEEKDAY</v>
      </c>
      <c r="F546" t="e">
        <f t="shared" si="51"/>
        <v>#N/A</v>
      </c>
      <c r="G546" s="74">
        <v>27781</v>
      </c>
      <c r="H546" s="77">
        <v>1</v>
      </c>
      <c r="J546">
        <v>8.0599999999999987</v>
      </c>
      <c r="M546" s="74">
        <v>37643</v>
      </c>
      <c r="N546" s="80">
        <v>1</v>
      </c>
      <c r="P546">
        <v>6.8000000000000007</v>
      </c>
      <c r="S546" s="74">
        <v>36182</v>
      </c>
      <c r="T546" s="80">
        <v>1</v>
      </c>
      <c r="V546">
        <v>42.980000000000004</v>
      </c>
      <c r="X546" s="42"/>
      <c r="AB546">
        <v>31.3</v>
      </c>
      <c r="AC546">
        <v>15.98</v>
      </c>
      <c r="AE546" s="74"/>
      <c r="AF546" s="80"/>
      <c r="AH546" s="497">
        <v>10.399999999999999</v>
      </c>
      <c r="AJ546" s="42"/>
      <c r="AK546" s="74"/>
      <c r="AL546" s="80"/>
      <c r="AN546" s="497">
        <v>28.04</v>
      </c>
      <c r="AP546" s="42"/>
      <c r="AQ546" s="74"/>
      <c r="AR546" s="80"/>
      <c r="AT546" s="497">
        <v>24.98</v>
      </c>
      <c r="AV546" s="42"/>
      <c r="AW546" s="74"/>
      <c r="AX546" s="80"/>
      <c r="BA546" s="497">
        <v>34.700000000000003</v>
      </c>
      <c r="BB546" s="42"/>
      <c r="BC546" s="74"/>
      <c r="BD546" s="80"/>
      <c r="BF546">
        <v>33.08</v>
      </c>
      <c r="BH546" s="42"/>
      <c r="BI546" s="74"/>
      <c r="BJ546" s="80"/>
      <c r="BL546" s="497">
        <v>32</v>
      </c>
      <c r="BN546" s="42"/>
      <c r="BO546" s="74"/>
      <c r="BP546" s="80"/>
      <c r="BR546" s="497">
        <v>17.96</v>
      </c>
      <c r="BT546" s="42"/>
    </row>
    <row r="547" spans="1:72" x14ac:dyDescent="0.25">
      <c r="A547" s="90">
        <v>36183</v>
      </c>
      <c r="B547" s="20">
        <v>4.1666666666666664E-2</v>
      </c>
      <c r="D547">
        <v>17.059999999999999</v>
      </c>
      <c r="E547" t="str">
        <f t="shared" si="52"/>
        <v>SATURDAY</v>
      </c>
      <c r="F547" t="e">
        <f t="shared" si="51"/>
        <v>#N/A</v>
      </c>
      <c r="G547" s="74">
        <v>27782</v>
      </c>
      <c r="H547" s="77">
        <v>4.1666666666666664E-2</v>
      </c>
      <c r="J547">
        <v>6.98</v>
      </c>
      <c r="M547" s="74">
        <v>37644</v>
      </c>
      <c r="N547" s="77">
        <v>4.1666666666666664E-2</v>
      </c>
      <c r="P547">
        <v>6.8000000000000007</v>
      </c>
      <c r="S547" s="74">
        <v>36183</v>
      </c>
      <c r="T547" s="77">
        <v>4.1666666666666664E-2</v>
      </c>
      <c r="V547">
        <v>42.980000000000004</v>
      </c>
      <c r="X547" s="42"/>
      <c r="AB547">
        <v>30.8</v>
      </c>
      <c r="AC547">
        <v>14</v>
      </c>
      <c r="AE547" s="74"/>
      <c r="AF547" s="77"/>
      <c r="AH547" s="497">
        <v>10.399999999999999</v>
      </c>
      <c r="AJ547" s="42"/>
      <c r="AK547" s="74"/>
      <c r="AL547" s="77"/>
      <c r="AN547" s="497">
        <v>26.96</v>
      </c>
      <c r="AP547" s="42"/>
      <c r="AQ547" s="74"/>
      <c r="AR547" s="77"/>
      <c r="AT547" s="497">
        <v>24.98</v>
      </c>
      <c r="AV547" s="42"/>
      <c r="AW547" s="74"/>
      <c r="AX547" s="77"/>
      <c r="BA547" s="497">
        <v>35.06</v>
      </c>
      <c r="BB547" s="42"/>
      <c r="BC547" s="74"/>
      <c r="BD547" s="77"/>
      <c r="BF547">
        <v>32</v>
      </c>
      <c r="BH547" s="42"/>
      <c r="BI547" s="74"/>
      <c r="BJ547" s="77"/>
      <c r="BL547" s="497">
        <v>32</v>
      </c>
      <c r="BN547" s="42"/>
      <c r="BO547" s="74"/>
      <c r="BP547" s="77"/>
      <c r="BR547" s="497">
        <v>15.079999999999998</v>
      </c>
      <c r="BT547" s="42"/>
    </row>
    <row r="548" spans="1:72" x14ac:dyDescent="0.25">
      <c r="A548" s="90">
        <v>36183</v>
      </c>
      <c r="B548" s="20">
        <v>8.3333333333333329E-2</v>
      </c>
      <c r="D548">
        <v>17.059999999999999</v>
      </c>
      <c r="E548" t="str">
        <f t="shared" si="52"/>
        <v>SATURDAY</v>
      </c>
      <c r="F548" t="e">
        <f t="shared" si="51"/>
        <v>#N/A</v>
      </c>
      <c r="G548" s="74">
        <v>27782</v>
      </c>
      <c r="H548" s="77">
        <v>8.3333333333333329E-2</v>
      </c>
      <c r="J548">
        <v>6.0799999999999983</v>
      </c>
      <c r="M548" s="74">
        <v>37644</v>
      </c>
      <c r="N548" s="77">
        <v>8.3333333333333329E-2</v>
      </c>
      <c r="P548">
        <v>6.8000000000000007</v>
      </c>
      <c r="S548" s="74">
        <v>36183</v>
      </c>
      <c r="T548" s="77">
        <v>8.3333333333333329E-2</v>
      </c>
      <c r="V548">
        <v>44.06</v>
      </c>
      <c r="X548" s="42"/>
      <c r="AB548">
        <v>30.3</v>
      </c>
      <c r="AC548">
        <v>15.079999999999998</v>
      </c>
      <c r="AE548" s="74"/>
      <c r="AF548" s="77"/>
      <c r="AH548" s="497">
        <v>10.399999999999999</v>
      </c>
      <c r="AJ548" s="42"/>
      <c r="AK548" s="74"/>
      <c r="AL548" s="77"/>
      <c r="AN548" s="497">
        <v>26.060000000000002</v>
      </c>
      <c r="AP548" s="42"/>
      <c r="AQ548" s="74"/>
      <c r="AR548" s="77"/>
      <c r="AT548" s="497">
        <v>26.96</v>
      </c>
      <c r="AV548" s="42"/>
      <c r="AW548" s="74"/>
      <c r="AX548" s="77"/>
      <c r="BA548" s="497">
        <v>35.06</v>
      </c>
      <c r="BB548" s="42"/>
      <c r="BC548" s="74"/>
      <c r="BD548" s="77"/>
      <c r="BF548">
        <v>30.92</v>
      </c>
      <c r="BH548" s="42"/>
      <c r="BI548" s="74"/>
      <c r="BJ548" s="77"/>
      <c r="BL548" s="497">
        <v>31.64</v>
      </c>
      <c r="BN548" s="42"/>
      <c r="BO548" s="74"/>
      <c r="BP548" s="77"/>
      <c r="BR548" s="497">
        <v>12.920000000000002</v>
      </c>
      <c r="BT548" s="42"/>
    </row>
    <row r="549" spans="1:72" x14ac:dyDescent="0.25">
      <c r="A549" s="90">
        <v>36183</v>
      </c>
      <c r="B549" s="20">
        <v>0.125</v>
      </c>
      <c r="D549">
        <v>17.059999999999999</v>
      </c>
      <c r="E549" t="str">
        <f t="shared" si="52"/>
        <v>SATURDAY</v>
      </c>
      <c r="F549" t="e">
        <f t="shared" si="51"/>
        <v>#N/A</v>
      </c>
      <c r="G549" s="74">
        <v>27782</v>
      </c>
      <c r="H549" s="77">
        <v>0.125</v>
      </c>
      <c r="J549">
        <v>6.0799999999999983</v>
      </c>
      <c r="M549" s="74">
        <v>37644</v>
      </c>
      <c r="N549" s="77">
        <v>0.125</v>
      </c>
      <c r="P549">
        <v>6.8000000000000007</v>
      </c>
      <c r="S549" s="74">
        <v>36183</v>
      </c>
      <c r="T549" s="77">
        <v>0.125</v>
      </c>
      <c r="V549">
        <v>42.980000000000004</v>
      </c>
      <c r="X549" s="42"/>
      <c r="AB549">
        <v>29.9</v>
      </c>
      <c r="AC549">
        <v>10.940000000000001</v>
      </c>
      <c r="AE549" s="74"/>
      <c r="AF549" s="77"/>
      <c r="AH549" s="497">
        <v>12.2</v>
      </c>
      <c r="AJ549" s="42"/>
      <c r="AK549" s="74"/>
      <c r="AL549" s="77"/>
      <c r="AN549" s="497">
        <v>24.98</v>
      </c>
      <c r="AP549" s="42"/>
      <c r="AQ549" s="74"/>
      <c r="AR549" s="77"/>
      <c r="AT549" s="497">
        <v>28.04</v>
      </c>
      <c r="AV549" s="42"/>
      <c r="AW549" s="74"/>
      <c r="AX549" s="77"/>
      <c r="BA549" s="497">
        <v>35.06</v>
      </c>
      <c r="BB549" s="42"/>
      <c r="BC549" s="74"/>
      <c r="BD549" s="77"/>
      <c r="BF549">
        <v>30.92</v>
      </c>
      <c r="BH549" s="42"/>
      <c r="BI549" s="74"/>
      <c r="BJ549" s="77"/>
      <c r="BL549" s="497">
        <v>31.28</v>
      </c>
      <c r="BN549" s="42"/>
      <c r="BO549" s="74"/>
      <c r="BP549" s="77"/>
      <c r="BR549" s="497">
        <v>12.02</v>
      </c>
      <c r="BT549" s="42"/>
    </row>
    <row r="550" spans="1:72" x14ac:dyDescent="0.25">
      <c r="A550" s="90">
        <v>36183</v>
      </c>
      <c r="B550" s="20">
        <v>0.16666666666666666</v>
      </c>
      <c r="D550">
        <v>17.059999999999999</v>
      </c>
      <c r="E550" t="str">
        <f t="shared" si="52"/>
        <v>SATURDAY</v>
      </c>
      <c r="F550" t="e">
        <f t="shared" si="51"/>
        <v>#N/A</v>
      </c>
      <c r="G550" s="74">
        <v>27782</v>
      </c>
      <c r="H550" s="77">
        <v>0.16666666666666666</v>
      </c>
      <c r="J550">
        <v>5</v>
      </c>
      <c r="M550" s="74">
        <v>37644</v>
      </c>
      <c r="N550" s="77">
        <v>0.16666666666666666</v>
      </c>
      <c r="P550">
        <v>6.8000000000000007</v>
      </c>
      <c r="S550" s="74">
        <v>36183</v>
      </c>
      <c r="T550" s="77">
        <v>0.16666666666666666</v>
      </c>
      <c r="V550">
        <v>42.980000000000004</v>
      </c>
      <c r="X550" s="42"/>
      <c r="AB550">
        <v>29.5</v>
      </c>
      <c r="AC550">
        <v>8.0599999999999987</v>
      </c>
      <c r="AE550" s="74"/>
      <c r="AF550" s="77"/>
      <c r="AH550" s="497">
        <v>12.2</v>
      </c>
      <c r="AJ550" s="42"/>
      <c r="AK550" s="74"/>
      <c r="AL550" s="77"/>
      <c r="AN550" s="497">
        <v>24.08</v>
      </c>
      <c r="AP550" s="42"/>
      <c r="AQ550" s="74"/>
      <c r="AR550" s="77"/>
      <c r="AT550" s="497">
        <v>28.04</v>
      </c>
      <c r="AV550" s="42"/>
      <c r="AW550" s="74"/>
      <c r="AX550" s="77"/>
      <c r="BA550" s="497">
        <v>35.06</v>
      </c>
      <c r="BB550" s="42"/>
      <c r="BC550" s="74"/>
      <c r="BD550" s="77"/>
      <c r="BF550">
        <v>28.94</v>
      </c>
      <c r="BH550" s="42"/>
      <c r="BI550" s="74"/>
      <c r="BJ550" s="77"/>
      <c r="BL550" s="497">
        <v>30.92</v>
      </c>
      <c r="BN550" s="42"/>
      <c r="BO550" s="74"/>
      <c r="BP550" s="77"/>
      <c r="BR550" s="497">
        <v>10.039999999999999</v>
      </c>
      <c r="BT550" s="42"/>
    </row>
    <row r="551" spans="1:72" x14ac:dyDescent="0.25">
      <c r="A551" s="90">
        <v>36183</v>
      </c>
      <c r="B551" s="20">
        <v>0.20833333333333334</v>
      </c>
      <c r="D551">
        <v>17.059999999999999</v>
      </c>
      <c r="E551" t="str">
        <f t="shared" si="52"/>
        <v>SATURDAY</v>
      </c>
      <c r="F551" t="e">
        <f t="shared" si="51"/>
        <v>#N/A</v>
      </c>
      <c r="G551" s="74">
        <v>27782</v>
      </c>
      <c r="H551" s="77">
        <v>0.20833333333333334</v>
      </c>
      <c r="J551">
        <v>5</v>
      </c>
      <c r="M551" s="74">
        <v>37644</v>
      </c>
      <c r="N551" s="77">
        <v>0.20833333333333334</v>
      </c>
      <c r="P551">
        <v>6.8000000000000007</v>
      </c>
      <c r="S551" s="74">
        <v>36183</v>
      </c>
      <c r="T551" s="77">
        <v>0.20833333333333334</v>
      </c>
      <c r="V551">
        <v>42.08</v>
      </c>
      <c r="X551" s="42"/>
      <c r="AB551">
        <v>29.1</v>
      </c>
      <c r="AC551">
        <v>10.940000000000001</v>
      </c>
      <c r="AE551" s="74"/>
      <c r="AF551" s="77"/>
      <c r="AH551" s="497">
        <v>12.2</v>
      </c>
      <c r="AJ551" s="42"/>
      <c r="AK551" s="74"/>
      <c r="AL551" s="77"/>
      <c r="AN551" s="497">
        <v>23</v>
      </c>
      <c r="AP551" s="42"/>
      <c r="AQ551" s="74"/>
      <c r="AR551" s="77"/>
      <c r="AT551" s="497">
        <v>26.96</v>
      </c>
      <c r="AV551" s="42"/>
      <c r="AW551" s="74"/>
      <c r="AX551" s="77"/>
      <c r="BA551" s="497">
        <v>34.340000000000003</v>
      </c>
      <c r="BB551" s="42"/>
      <c r="BC551" s="74"/>
      <c r="BD551" s="77"/>
      <c r="BF551">
        <v>26.060000000000002</v>
      </c>
      <c r="BH551" s="42"/>
      <c r="BI551" s="74"/>
      <c r="BJ551" s="77"/>
      <c r="BL551" s="497">
        <v>29.3</v>
      </c>
      <c r="BN551" s="42"/>
      <c r="BO551" s="74"/>
      <c r="BP551" s="77"/>
      <c r="BR551" s="497">
        <v>8.9599999999999973</v>
      </c>
      <c r="BT551" s="42"/>
    </row>
    <row r="552" spans="1:72" x14ac:dyDescent="0.25">
      <c r="A552" s="90">
        <v>36183</v>
      </c>
      <c r="B552" s="20">
        <v>0.25</v>
      </c>
      <c r="D552">
        <v>17.96</v>
      </c>
      <c r="E552" t="str">
        <f t="shared" si="52"/>
        <v>SATURDAY</v>
      </c>
      <c r="F552" t="e">
        <f t="shared" si="51"/>
        <v>#N/A</v>
      </c>
      <c r="G552" s="74">
        <v>27782</v>
      </c>
      <c r="H552" s="77">
        <v>0.25</v>
      </c>
      <c r="J552">
        <v>3.9200000000000017</v>
      </c>
      <c r="M552" s="74">
        <v>37644</v>
      </c>
      <c r="N552" s="77">
        <v>0.25</v>
      </c>
      <c r="P552">
        <v>6.8000000000000007</v>
      </c>
      <c r="S552" s="74">
        <v>36183</v>
      </c>
      <c r="T552" s="77">
        <v>0.25</v>
      </c>
      <c r="V552">
        <v>42.08</v>
      </c>
      <c r="X552" s="42"/>
      <c r="AB552">
        <v>28.9</v>
      </c>
      <c r="AC552">
        <v>10.940000000000001</v>
      </c>
      <c r="AE552" s="74"/>
      <c r="AF552" s="77"/>
      <c r="AH552" s="497">
        <v>12.2</v>
      </c>
      <c r="AJ552" s="42"/>
      <c r="AK552" s="74"/>
      <c r="AL552" s="77"/>
      <c r="AN552" s="497">
        <v>23</v>
      </c>
      <c r="AP552" s="42"/>
      <c r="AQ552" s="74"/>
      <c r="AR552" s="77"/>
      <c r="AT552" s="497">
        <v>26.060000000000002</v>
      </c>
      <c r="AV552" s="42"/>
      <c r="AW552" s="74"/>
      <c r="AX552" s="77"/>
      <c r="BA552" s="497">
        <v>33.799999999999997</v>
      </c>
      <c r="BB552" s="42"/>
      <c r="BC552" s="74"/>
      <c r="BD552" s="77"/>
      <c r="BF552">
        <v>24.98</v>
      </c>
      <c r="BH552" s="42"/>
      <c r="BI552" s="74"/>
      <c r="BJ552" s="77"/>
      <c r="BL552" s="497">
        <v>27.68</v>
      </c>
      <c r="BN552" s="42"/>
      <c r="BO552" s="74"/>
      <c r="BP552" s="77"/>
      <c r="BR552" s="497">
        <v>6.98</v>
      </c>
      <c r="BT552" s="42"/>
    </row>
    <row r="553" spans="1:72" x14ac:dyDescent="0.25">
      <c r="A553" s="90">
        <v>36183</v>
      </c>
      <c r="B553" s="20">
        <v>0.29166666666666669</v>
      </c>
      <c r="D553">
        <v>19.939999999999998</v>
      </c>
      <c r="E553" t="str">
        <f t="shared" si="52"/>
        <v>SATURDAY</v>
      </c>
      <c r="F553" t="e">
        <f t="shared" si="51"/>
        <v>#N/A</v>
      </c>
      <c r="G553" s="74">
        <v>27782</v>
      </c>
      <c r="H553" s="77">
        <v>0.29166666666666669</v>
      </c>
      <c r="J553">
        <v>3.9200000000000017</v>
      </c>
      <c r="M553" s="74">
        <v>37644</v>
      </c>
      <c r="N553" s="77">
        <v>0.29166666666666669</v>
      </c>
      <c r="P553">
        <v>6.8000000000000007</v>
      </c>
      <c r="S553" s="74">
        <v>36183</v>
      </c>
      <c r="T553" s="77">
        <v>0.29166666666666669</v>
      </c>
      <c r="V553">
        <v>42.08</v>
      </c>
      <c r="X553" s="42"/>
      <c r="AB553">
        <v>28.8</v>
      </c>
      <c r="AC553">
        <v>10.940000000000001</v>
      </c>
      <c r="AE553" s="74"/>
      <c r="AF553" s="77"/>
      <c r="AH553" s="497">
        <v>12.2</v>
      </c>
      <c r="AJ553" s="42"/>
      <c r="AK553" s="74"/>
      <c r="AL553" s="77"/>
      <c r="AN553" s="497">
        <v>19.939999999999998</v>
      </c>
      <c r="AP553" s="42"/>
      <c r="AQ553" s="74"/>
      <c r="AR553" s="77"/>
      <c r="AT553" s="497">
        <v>26.060000000000002</v>
      </c>
      <c r="AV553" s="42"/>
      <c r="AW553" s="74"/>
      <c r="AX553" s="77"/>
      <c r="BA553" s="497">
        <v>33.08</v>
      </c>
      <c r="BB553" s="42"/>
      <c r="BC553" s="74"/>
      <c r="BD553" s="77"/>
      <c r="BF553">
        <v>23</v>
      </c>
      <c r="BH553" s="42"/>
      <c r="BI553" s="74"/>
      <c r="BJ553" s="77"/>
      <c r="BL553" s="497">
        <v>26.060000000000002</v>
      </c>
      <c r="BN553" s="42"/>
      <c r="BO553" s="74"/>
      <c r="BP553" s="77"/>
      <c r="BR553" s="497">
        <v>6.0799999999999983</v>
      </c>
      <c r="BT553" s="42"/>
    </row>
    <row r="554" spans="1:72" x14ac:dyDescent="0.25">
      <c r="A554" s="90">
        <v>36183</v>
      </c>
      <c r="B554" s="20">
        <v>0.33333333333333331</v>
      </c>
      <c r="D554">
        <v>21.02</v>
      </c>
      <c r="E554" t="str">
        <f t="shared" si="52"/>
        <v>SATURDAY</v>
      </c>
      <c r="F554" t="e">
        <f t="shared" si="51"/>
        <v>#N/A</v>
      </c>
      <c r="G554" s="74">
        <v>27782</v>
      </c>
      <c r="H554" s="77">
        <v>0.33333333333333331</v>
      </c>
      <c r="J554">
        <v>3.9200000000000017</v>
      </c>
      <c r="M554" s="74">
        <v>37644</v>
      </c>
      <c r="N554" s="77">
        <v>0.33333333333333331</v>
      </c>
      <c r="P554">
        <v>6.8000000000000007</v>
      </c>
      <c r="S554" s="74">
        <v>36183</v>
      </c>
      <c r="T554" s="77">
        <v>0.33333333333333331</v>
      </c>
      <c r="V554">
        <v>42.08</v>
      </c>
      <c r="X554" s="42"/>
      <c r="AB554">
        <v>28.8</v>
      </c>
      <c r="AC554">
        <v>14</v>
      </c>
      <c r="AE554" s="74"/>
      <c r="AF554" s="77"/>
      <c r="AH554" s="497">
        <v>12.2</v>
      </c>
      <c r="AJ554" s="42"/>
      <c r="AK554" s="74"/>
      <c r="AL554" s="77"/>
      <c r="AN554" s="497">
        <v>19.04</v>
      </c>
      <c r="AP554" s="42"/>
      <c r="AQ554" s="74"/>
      <c r="AR554" s="77"/>
      <c r="AT554" s="497">
        <v>26.060000000000002</v>
      </c>
      <c r="AV554" s="42"/>
      <c r="AW554" s="74"/>
      <c r="AX554" s="77"/>
      <c r="BA554" s="497">
        <v>31.46</v>
      </c>
      <c r="BB554" s="42"/>
      <c r="BC554" s="74"/>
      <c r="BD554" s="77"/>
      <c r="BF554">
        <v>21.02</v>
      </c>
      <c r="BH554" s="42"/>
      <c r="BI554" s="74"/>
      <c r="BJ554" s="77"/>
      <c r="BL554" s="497">
        <v>24.08</v>
      </c>
      <c r="BN554" s="42"/>
      <c r="BO554" s="74"/>
      <c r="BP554" s="77"/>
      <c r="BR554" s="497">
        <v>6.0799999999999983</v>
      </c>
      <c r="BT554" s="42"/>
    </row>
    <row r="555" spans="1:72" x14ac:dyDescent="0.25">
      <c r="A555" s="90">
        <v>36183</v>
      </c>
      <c r="B555" s="20">
        <v>0.375</v>
      </c>
      <c r="D555">
        <v>24.08</v>
      </c>
      <c r="E555" t="str">
        <f t="shared" si="52"/>
        <v>SATURDAY</v>
      </c>
      <c r="F555" t="e">
        <f t="shared" ref="F555:F618" si="53">IF(E555="WEEKDAY",VLOOKUP(B555,$DD$19:$DG$42,2),IF(E555="SATURDAY",VLOOKUP(B555,$DD$19:$DG$42,3),VLOOKUP(B555,$DD$19:$DG$42,4)))</f>
        <v>#N/A</v>
      </c>
      <c r="G555" s="74">
        <v>27782</v>
      </c>
      <c r="H555" s="77">
        <v>0.375</v>
      </c>
      <c r="J555">
        <v>3.9200000000000017</v>
      </c>
      <c r="M555" s="74">
        <v>37644</v>
      </c>
      <c r="N555" s="77">
        <v>0.375</v>
      </c>
      <c r="P555">
        <v>8.5999999999999979</v>
      </c>
      <c r="S555" s="74">
        <v>36183</v>
      </c>
      <c r="T555" s="77">
        <v>0.375</v>
      </c>
      <c r="V555">
        <v>42.980000000000004</v>
      </c>
      <c r="X555" s="42"/>
      <c r="AB555">
        <v>29.4</v>
      </c>
      <c r="AC555">
        <v>19.04</v>
      </c>
      <c r="AE555" s="74"/>
      <c r="AF555" s="77"/>
      <c r="AH555" s="497">
        <v>10.399999999999999</v>
      </c>
      <c r="AJ555" s="42"/>
      <c r="AK555" s="74"/>
      <c r="AL555" s="77"/>
      <c r="AN555" s="497">
        <v>21.02</v>
      </c>
      <c r="AP555" s="42"/>
      <c r="AQ555" s="74"/>
      <c r="AR555" s="77"/>
      <c r="AT555" s="497">
        <v>26.060000000000002</v>
      </c>
      <c r="AV555" s="42"/>
      <c r="AW555" s="74"/>
      <c r="AX555" s="77"/>
      <c r="BA555" s="497">
        <v>29.66</v>
      </c>
      <c r="BB555" s="42"/>
      <c r="BC555" s="74"/>
      <c r="BD555" s="77"/>
      <c r="BF555">
        <v>19.939999999999998</v>
      </c>
      <c r="BH555" s="42"/>
      <c r="BI555" s="74"/>
      <c r="BJ555" s="77"/>
      <c r="BL555" s="497">
        <v>21.92</v>
      </c>
      <c r="BN555" s="42"/>
      <c r="BO555" s="74"/>
      <c r="BP555" s="77"/>
      <c r="BR555" s="497">
        <v>6.98</v>
      </c>
      <c r="BT555" s="42"/>
    </row>
    <row r="556" spans="1:72" x14ac:dyDescent="0.25">
      <c r="A556" s="90">
        <v>36183</v>
      </c>
      <c r="B556" s="20">
        <v>0.41666666666666669</v>
      </c>
      <c r="D556">
        <v>26.96</v>
      </c>
      <c r="E556" t="str">
        <f t="shared" si="52"/>
        <v>SATURDAY</v>
      </c>
      <c r="F556" t="e">
        <f t="shared" si="53"/>
        <v>#N/A</v>
      </c>
      <c r="G556" s="74">
        <v>27782</v>
      </c>
      <c r="H556" s="77">
        <v>0.41666666666666669</v>
      </c>
      <c r="J556">
        <v>3.9200000000000017</v>
      </c>
      <c r="M556" s="74">
        <v>37644</v>
      </c>
      <c r="N556" s="77">
        <v>0.41666666666666669</v>
      </c>
      <c r="P556">
        <v>10.399999999999999</v>
      </c>
      <c r="S556" s="74">
        <v>36183</v>
      </c>
      <c r="T556" s="77">
        <v>0.41666666666666669</v>
      </c>
      <c r="V556">
        <v>44.06</v>
      </c>
      <c r="X556" s="42"/>
      <c r="AB556">
        <v>30.9</v>
      </c>
      <c r="AC556">
        <v>21.02</v>
      </c>
      <c r="AE556" s="74"/>
      <c r="AF556" s="77"/>
      <c r="AH556" s="497">
        <v>12.2</v>
      </c>
      <c r="AJ556" s="42"/>
      <c r="AK556" s="74"/>
      <c r="AL556" s="77"/>
      <c r="AN556" s="497">
        <v>21.02</v>
      </c>
      <c r="AP556" s="42"/>
      <c r="AQ556" s="74"/>
      <c r="AR556" s="77"/>
      <c r="AT556" s="497">
        <v>26.060000000000002</v>
      </c>
      <c r="AV556" s="42"/>
      <c r="AW556" s="74"/>
      <c r="AX556" s="77"/>
      <c r="BA556" s="497">
        <v>28.04</v>
      </c>
      <c r="BB556" s="42"/>
      <c r="BC556" s="74"/>
      <c r="BD556" s="77"/>
      <c r="BF556">
        <v>19.04</v>
      </c>
      <c r="BH556" s="42"/>
      <c r="BI556" s="74"/>
      <c r="BJ556" s="77"/>
      <c r="BL556" s="497">
        <v>19.939999999999998</v>
      </c>
      <c r="BN556" s="42"/>
      <c r="BO556" s="74"/>
      <c r="BP556" s="77"/>
      <c r="BR556" s="497">
        <v>8.0599999999999987</v>
      </c>
      <c r="BT556" s="42"/>
    </row>
    <row r="557" spans="1:72" x14ac:dyDescent="0.25">
      <c r="A557" s="90">
        <v>36183</v>
      </c>
      <c r="B557" s="20">
        <v>0.45833333333333331</v>
      </c>
      <c r="D557">
        <v>30.02</v>
      </c>
      <c r="E557" t="str">
        <f t="shared" si="52"/>
        <v>SATURDAY</v>
      </c>
      <c r="F557" t="e">
        <f t="shared" si="53"/>
        <v>#N/A</v>
      </c>
      <c r="G557" s="74">
        <v>27782</v>
      </c>
      <c r="H557" s="77">
        <v>0.45833333333333331</v>
      </c>
      <c r="J557">
        <v>6.0799999999999983</v>
      </c>
      <c r="M557" s="74">
        <v>37644</v>
      </c>
      <c r="N557" s="77">
        <v>0.45833333333333331</v>
      </c>
      <c r="P557">
        <v>12.2</v>
      </c>
      <c r="S557" s="74">
        <v>36183</v>
      </c>
      <c r="T557" s="77">
        <v>0.45833333333333331</v>
      </c>
      <c r="V557">
        <v>44.96</v>
      </c>
      <c r="X557" s="42"/>
      <c r="AB557">
        <v>32.299999999999997</v>
      </c>
      <c r="AC557">
        <v>24.08</v>
      </c>
      <c r="AE557" s="74"/>
      <c r="AF557" s="77"/>
      <c r="AH557" s="497">
        <v>12.2</v>
      </c>
      <c r="AJ557" s="42"/>
      <c r="AK557" s="74"/>
      <c r="AL557" s="77"/>
      <c r="AN557" s="497">
        <v>21.02</v>
      </c>
      <c r="AP557" s="42"/>
      <c r="AQ557" s="74"/>
      <c r="AR557" s="77"/>
      <c r="AT557" s="497">
        <v>28.04</v>
      </c>
      <c r="AV557" s="42"/>
      <c r="AW557" s="74"/>
      <c r="AX557" s="77"/>
      <c r="BA557" s="497">
        <v>26.96</v>
      </c>
      <c r="BB557" s="42"/>
      <c r="BC557" s="74"/>
      <c r="BD557" s="77"/>
      <c r="BF557">
        <v>21.02</v>
      </c>
      <c r="BH557" s="42"/>
      <c r="BI557" s="74"/>
      <c r="BJ557" s="77"/>
      <c r="BL557" s="497">
        <v>20.299999999999997</v>
      </c>
      <c r="BN557" s="42"/>
      <c r="BO557" s="74"/>
      <c r="BP557" s="77"/>
      <c r="BR557" s="497">
        <v>10.039999999999999</v>
      </c>
      <c r="BT557" s="42"/>
    </row>
    <row r="558" spans="1:72" x14ac:dyDescent="0.25">
      <c r="A558" s="90">
        <v>36183</v>
      </c>
      <c r="B558" s="20">
        <v>0.5</v>
      </c>
      <c r="D558">
        <v>30.92</v>
      </c>
      <c r="E558" t="str">
        <f t="shared" si="52"/>
        <v>SATURDAY</v>
      </c>
      <c r="F558" t="e">
        <f t="shared" si="53"/>
        <v>#N/A</v>
      </c>
      <c r="G558" s="74">
        <v>27782</v>
      </c>
      <c r="H558" s="77">
        <v>0.5</v>
      </c>
      <c r="J558">
        <v>8.0599999999999987</v>
      </c>
      <c r="M558" s="74">
        <v>37644</v>
      </c>
      <c r="N558" s="77">
        <v>0.5</v>
      </c>
      <c r="P558">
        <v>14</v>
      </c>
      <c r="S558" s="74">
        <v>36183</v>
      </c>
      <c r="T558" s="77">
        <v>0.5</v>
      </c>
      <c r="V558">
        <v>46.04</v>
      </c>
      <c r="X558" s="42"/>
      <c r="AB558">
        <v>33.6</v>
      </c>
      <c r="AC558">
        <v>24.98</v>
      </c>
      <c r="AE558" s="74"/>
      <c r="AF558" s="77"/>
      <c r="AH558" s="497">
        <v>17.600000000000001</v>
      </c>
      <c r="AJ558" s="42"/>
      <c r="AK558" s="74"/>
      <c r="AL558" s="77"/>
      <c r="AN558" s="497">
        <v>21.92</v>
      </c>
      <c r="AP558" s="42"/>
      <c r="AQ558" s="74"/>
      <c r="AR558" s="77"/>
      <c r="AT558" s="497">
        <v>28.94</v>
      </c>
      <c r="AV558" s="42"/>
      <c r="AW558" s="74"/>
      <c r="AX558" s="77"/>
      <c r="BA558" s="497">
        <v>26.060000000000002</v>
      </c>
      <c r="BB558" s="42"/>
      <c r="BC558" s="74"/>
      <c r="BD558" s="77"/>
      <c r="BF558">
        <v>19.939999999999998</v>
      </c>
      <c r="BH558" s="42"/>
      <c r="BI558" s="74"/>
      <c r="BJ558" s="77"/>
      <c r="BL558" s="497">
        <v>20.66</v>
      </c>
      <c r="BN558" s="42"/>
      <c r="BO558" s="74"/>
      <c r="BP558" s="77"/>
      <c r="BR558" s="497">
        <v>10.940000000000001</v>
      </c>
      <c r="BT558" s="42"/>
    </row>
    <row r="559" spans="1:72" x14ac:dyDescent="0.25">
      <c r="A559" s="90">
        <v>36183</v>
      </c>
      <c r="B559" s="20">
        <v>0.54166666666666663</v>
      </c>
      <c r="D559">
        <v>33.08</v>
      </c>
      <c r="E559" t="str">
        <f t="shared" si="52"/>
        <v>SATURDAY</v>
      </c>
      <c r="F559" t="e">
        <f t="shared" si="53"/>
        <v>#N/A</v>
      </c>
      <c r="G559" s="74">
        <v>27782</v>
      </c>
      <c r="H559" s="77">
        <v>0.54166666666666663</v>
      </c>
      <c r="J559">
        <v>8.9599999999999973</v>
      </c>
      <c r="M559" s="74">
        <v>37644</v>
      </c>
      <c r="N559" s="77">
        <v>0.54166666666666663</v>
      </c>
      <c r="P559">
        <v>15.8</v>
      </c>
      <c r="S559" s="74">
        <v>36183</v>
      </c>
      <c r="T559" s="77">
        <v>0.54166666666666663</v>
      </c>
      <c r="V559">
        <v>46.94</v>
      </c>
      <c r="X559" s="42"/>
      <c r="AB559">
        <v>34.799999999999997</v>
      </c>
      <c r="AC559">
        <v>26.060000000000002</v>
      </c>
      <c r="AE559" s="74"/>
      <c r="AF559" s="77"/>
      <c r="AH559" s="497">
        <v>17.600000000000001</v>
      </c>
      <c r="AJ559" s="42"/>
      <c r="AK559" s="74"/>
      <c r="AL559" s="77"/>
      <c r="AN559" s="497">
        <v>23</v>
      </c>
      <c r="AP559" s="42"/>
      <c r="AQ559" s="74"/>
      <c r="AR559" s="77"/>
      <c r="AT559" s="497">
        <v>28.94</v>
      </c>
      <c r="AV559" s="42"/>
      <c r="AW559" s="74"/>
      <c r="AX559" s="77"/>
      <c r="BA559" s="497">
        <v>24.98</v>
      </c>
      <c r="BB559" s="42"/>
      <c r="BC559" s="74"/>
      <c r="BD559" s="77"/>
      <c r="BF559">
        <v>21.02</v>
      </c>
      <c r="BH559" s="42"/>
      <c r="BI559" s="74"/>
      <c r="BJ559" s="77"/>
      <c r="BL559" s="497">
        <v>21.02</v>
      </c>
      <c r="BN559" s="42"/>
      <c r="BO559" s="74"/>
      <c r="BP559" s="77"/>
      <c r="BR559" s="497">
        <v>14</v>
      </c>
      <c r="BT559" s="42"/>
    </row>
    <row r="560" spans="1:72" x14ac:dyDescent="0.25">
      <c r="A560" s="90">
        <v>36183</v>
      </c>
      <c r="B560" s="20">
        <v>0.58333333333333337</v>
      </c>
      <c r="D560">
        <v>33.979999999999997</v>
      </c>
      <c r="E560" t="str">
        <f t="shared" si="52"/>
        <v>SATURDAY</v>
      </c>
      <c r="F560" t="e">
        <f t="shared" si="53"/>
        <v>#N/A</v>
      </c>
      <c r="G560" s="74">
        <v>27782</v>
      </c>
      <c r="H560" s="77">
        <v>0.58333333333333337</v>
      </c>
      <c r="J560">
        <v>10.039999999999999</v>
      </c>
      <c r="M560" s="74">
        <v>37644</v>
      </c>
      <c r="N560" s="77">
        <v>0.58333333333333337</v>
      </c>
      <c r="P560">
        <v>17.600000000000001</v>
      </c>
      <c r="S560" s="74">
        <v>36183</v>
      </c>
      <c r="T560" s="77">
        <v>0.58333333333333337</v>
      </c>
      <c r="V560">
        <v>48.92</v>
      </c>
      <c r="X560" s="42"/>
      <c r="AB560">
        <v>35.700000000000003</v>
      </c>
      <c r="AC560">
        <v>26.96</v>
      </c>
      <c r="AE560" s="74"/>
      <c r="AF560" s="77"/>
      <c r="AH560" s="497">
        <v>17.600000000000001</v>
      </c>
      <c r="AJ560" s="42"/>
      <c r="AK560" s="74"/>
      <c r="AL560" s="77"/>
      <c r="AN560" s="497">
        <v>24.08</v>
      </c>
      <c r="AP560" s="42"/>
      <c r="AQ560" s="74"/>
      <c r="AR560" s="77"/>
      <c r="AT560" s="497">
        <v>28.04</v>
      </c>
      <c r="AV560" s="42"/>
      <c r="AW560" s="74"/>
      <c r="AX560" s="77"/>
      <c r="BA560" s="497">
        <v>23.9</v>
      </c>
      <c r="BB560" s="42"/>
      <c r="BC560" s="74"/>
      <c r="BD560" s="77"/>
      <c r="BF560">
        <v>19.04</v>
      </c>
      <c r="BH560" s="42"/>
      <c r="BI560" s="74"/>
      <c r="BJ560" s="77"/>
      <c r="BL560" s="497">
        <v>20.66</v>
      </c>
      <c r="BN560" s="42"/>
      <c r="BO560" s="74"/>
      <c r="BP560" s="77"/>
      <c r="BR560" s="497">
        <v>15.079999999999998</v>
      </c>
      <c r="BT560" s="42"/>
    </row>
    <row r="561" spans="1:72" x14ac:dyDescent="0.25">
      <c r="A561" s="90">
        <v>36183</v>
      </c>
      <c r="B561" s="20">
        <v>0.625</v>
      </c>
      <c r="D561">
        <v>35.06</v>
      </c>
      <c r="E561" t="str">
        <f t="shared" si="52"/>
        <v>SATURDAY</v>
      </c>
      <c r="F561" t="e">
        <f t="shared" si="53"/>
        <v>#N/A</v>
      </c>
      <c r="G561" s="74">
        <v>27782</v>
      </c>
      <c r="H561" s="77">
        <v>0.625</v>
      </c>
      <c r="J561">
        <v>10.940000000000001</v>
      </c>
      <c r="M561" s="74">
        <v>37644</v>
      </c>
      <c r="N561" s="77">
        <v>0.625</v>
      </c>
      <c r="P561">
        <v>17.600000000000001</v>
      </c>
      <c r="S561" s="74">
        <v>36183</v>
      </c>
      <c r="T561" s="77">
        <v>0.625</v>
      </c>
      <c r="V561">
        <v>50</v>
      </c>
      <c r="X561" s="42"/>
      <c r="AB561">
        <v>36.200000000000003</v>
      </c>
      <c r="AC561">
        <v>26.060000000000002</v>
      </c>
      <c r="AE561" s="74"/>
      <c r="AF561" s="77"/>
      <c r="AH561" s="497">
        <v>17.600000000000001</v>
      </c>
      <c r="AJ561" s="42"/>
      <c r="AK561" s="74"/>
      <c r="AL561" s="77"/>
      <c r="AN561" s="497">
        <v>24.08</v>
      </c>
      <c r="AP561" s="42"/>
      <c r="AQ561" s="74"/>
      <c r="AR561" s="77"/>
      <c r="AT561" s="497">
        <v>26.96</v>
      </c>
      <c r="AV561" s="42"/>
      <c r="AW561" s="74"/>
      <c r="AX561" s="77"/>
      <c r="BA561" s="497">
        <v>23</v>
      </c>
      <c r="BB561" s="42"/>
      <c r="BC561" s="74"/>
      <c r="BD561" s="77"/>
      <c r="BF561">
        <v>17.96</v>
      </c>
      <c r="BH561" s="42"/>
      <c r="BI561" s="74"/>
      <c r="BJ561" s="77"/>
      <c r="BL561" s="497">
        <v>20.299999999999997</v>
      </c>
      <c r="BN561" s="42"/>
      <c r="BO561" s="74"/>
      <c r="BP561" s="77"/>
      <c r="BR561" s="497">
        <v>15.98</v>
      </c>
      <c r="BT561" s="42"/>
    </row>
    <row r="562" spans="1:72" x14ac:dyDescent="0.25">
      <c r="A562" s="90">
        <v>36183</v>
      </c>
      <c r="B562" s="20">
        <v>0.66666666666666663</v>
      </c>
      <c r="D562">
        <v>35.06</v>
      </c>
      <c r="E562" t="str">
        <f t="shared" si="52"/>
        <v>SATURDAY</v>
      </c>
      <c r="F562" t="e">
        <f t="shared" si="53"/>
        <v>#N/A</v>
      </c>
      <c r="G562" s="74">
        <v>27782</v>
      </c>
      <c r="H562" s="77">
        <v>0.66666666666666663</v>
      </c>
      <c r="J562">
        <v>12.02</v>
      </c>
      <c r="M562" s="74">
        <v>37644</v>
      </c>
      <c r="N562" s="77">
        <v>0.66666666666666663</v>
      </c>
      <c r="P562">
        <v>17.600000000000001</v>
      </c>
      <c r="S562" s="74">
        <v>36183</v>
      </c>
      <c r="T562" s="77">
        <v>0.66666666666666663</v>
      </c>
      <c r="V562">
        <v>50</v>
      </c>
      <c r="X562" s="42"/>
      <c r="AB562">
        <v>36.299999999999997</v>
      </c>
      <c r="AC562">
        <v>26.060000000000002</v>
      </c>
      <c r="AE562" s="74"/>
      <c r="AF562" s="77"/>
      <c r="AH562" s="497">
        <v>17.600000000000001</v>
      </c>
      <c r="AJ562" s="42"/>
      <c r="AK562" s="74"/>
      <c r="AL562" s="77"/>
      <c r="AN562" s="497">
        <v>23</v>
      </c>
      <c r="AP562" s="42"/>
      <c r="AQ562" s="74"/>
      <c r="AR562" s="77"/>
      <c r="AT562" s="497">
        <v>28.04</v>
      </c>
      <c r="AV562" s="42"/>
      <c r="AW562" s="74"/>
      <c r="AX562" s="77"/>
      <c r="BA562" s="497">
        <v>21.92</v>
      </c>
      <c r="BB562" s="42"/>
      <c r="BC562" s="74"/>
      <c r="BD562" s="77"/>
      <c r="BF562">
        <v>17.059999999999999</v>
      </c>
      <c r="BH562" s="42"/>
      <c r="BI562" s="74"/>
      <c r="BJ562" s="77"/>
      <c r="BL562" s="497">
        <v>19.939999999999998</v>
      </c>
      <c r="BN562" s="42"/>
      <c r="BO562" s="74"/>
      <c r="BP562" s="77"/>
      <c r="BR562" s="497">
        <v>15.98</v>
      </c>
      <c r="BT562" s="42"/>
    </row>
    <row r="563" spans="1:72" x14ac:dyDescent="0.25">
      <c r="A563" s="90">
        <v>36183</v>
      </c>
      <c r="B563" s="20">
        <v>0.70833333333333337</v>
      </c>
      <c r="D563">
        <v>35.06</v>
      </c>
      <c r="E563" t="str">
        <f t="shared" si="52"/>
        <v>SATURDAY</v>
      </c>
      <c r="F563" t="e">
        <f t="shared" si="53"/>
        <v>#N/A</v>
      </c>
      <c r="G563" s="74">
        <v>27782</v>
      </c>
      <c r="H563" s="77">
        <v>0.70833333333333337</v>
      </c>
      <c r="J563">
        <v>12.920000000000002</v>
      </c>
      <c r="M563" s="74">
        <v>37644</v>
      </c>
      <c r="N563" s="77">
        <v>0.70833333333333337</v>
      </c>
      <c r="P563">
        <v>15.8</v>
      </c>
      <c r="S563" s="74">
        <v>36183</v>
      </c>
      <c r="T563" s="77">
        <v>0.70833333333333337</v>
      </c>
      <c r="V563">
        <v>48.92</v>
      </c>
      <c r="X563" s="42"/>
      <c r="AB563">
        <v>35.9</v>
      </c>
      <c r="AC563">
        <v>24.98</v>
      </c>
      <c r="AE563" s="74"/>
      <c r="AF563" s="77"/>
      <c r="AH563" s="497">
        <v>15.8</v>
      </c>
      <c r="AJ563" s="42"/>
      <c r="AK563" s="74"/>
      <c r="AL563" s="77"/>
      <c r="AN563" s="497">
        <v>21.02</v>
      </c>
      <c r="AP563" s="42"/>
      <c r="AQ563" s="74"/>
      <c r="AR563" s="77"/>
      <c r="AT563" s="497">
        <v>26.060000000000002</v>
      </c>
      <c r="AV563" s="42"/>
      <c r="AW563" s="74"/>
      <c r="AX563" s="77"/>
      <c r="BA563" s="497">
        <v>20.299999999999997</v>
      </c>
      <c r="BB563" s="42"/>
      <c r="BC563" s="74"/>
      <c r="BD563" s="77"/>
      <c r="BF563">
        <v>15.98</v>
      </c>
      <c r="BH563" s="42"/>
      <c r="BI563" s="74"/>
      <c r="BJ563" s="77"/>
      <c r="BL563" s="497">
        <v>17.96</v>
      </c>
      <c r="BN563" s="42"/>
      <c r="BO563" s="74"/>
      <c r="BP563" s="77"/>
      <c r="BR563" s="497">
        <v>14</v>
      </c>
      <c r="BT563" s="42"/>
    </row>
    <row r="564" spans="1:72" x14ac:dyDescent="0.25">
      <c r="A564" s="90">
        <v>36183</v>
      </c>
      <c r="B564" s="20">
        <v>0.75</v>
      </c>
      <c r="D564">
        <v>35.06</v>
      </c>
      <c r="E564" t="str">
        <f t="shared" si="52"/>
        <v>SATURDAY</v>
      </c>
      <c r="F564" t="e">
        <f t="shared" si="53"/>
        <v>#N/A</v>
      </c>
      <c r="G564" s="74">
        <v>27782</v>
      </c>
      <c r="H564" s="77">
        <v>0.75</v>
      </c>
      <c r="J564">
        <v>12.920000000000002</v>
      </c>
      <c r="M564" s="74">
        <v>37644</v>
      </c>
      <c r="N564" s="77">
        <v>0.75</v>
      </c>
      <c r="P564">
        <v>12.2</v>
      </c>
      <c r="S564" s="74">
        <v>36183</v>
      </c>
      <c r="T564" s="77">
        <v>0.75</v>
      </c>
      <c r="V564">
        <v>50</v>
      </c>
      <c r="X564" s="42"/>
      <c r="AB564">
        <v>34.700000000000003</v>
      </c>
      <c r="AC564">
        <v>24.08</v>
      </c>
      <c r="AE564" s="74"/>
      <c r="AF564" s="77"/>
      <c r="AH564" s="497">
        <v>12.2</v>
      </c>
      <c r="AJ564" s="42"/>
      <c r="AK564" s="74"/>
      <c r="AL564" s="77"/>
      <c r="AN564" s="497">
        <v>19.04</v>
      </c>
      <c r="AP564" s="42"/>
      <c r="AQ564" s="74"/>
      <c r="AR564" s="77"/>
      <c r="AT564" s="497">
        <v>24.98</v>
      </c>
      <c r="AV564" s="42"/>
      <c r="AW564" s="74"/>
      <c r="AX564" s="77"/>
      <c r="BA564" s="497">
        <v>18.68</v>
      </c>
      <c r="BB564" s="42"/>
      <c r="BC564" s="74"/>
      <c r="BD564" s="77"/>
      <c r="BF564">
        <v>15.079999999999998</v>
      </c>
      <c r="BH564" s="42"/>
      <c r="BI564" s="74"/>
      <c r="BJ564" s="77"/>
      <c r="BL564" s="497">
        <v>15.98</v>
      </c>
      <c r="BN564" s="42"/>
      <c r="BO564" s="74"/>
      <c r="BP564" s="77"/>
      <c r="BR564" s="497">
        <v>12.02</v>
      </c>
      <c r="BT564" s="42"/>
    </row>
    <row r="565" spans="1:72" x14ac:dyDescent="0.25">
      <c r="A565" s="90">
        <v>36183</v>
      </c>
      <c r="B565" s="20">
        <v>0.79166666666666663</v>
      </c>
      <c r="D565">
        <v>35.06</v>
      </c>
      <c r="E565" t="str">
        <f t="shared" si="52"/>
        <v>SATURDAY</v>
      </c>
      <c r="F565" t="e">
        <f t="shared" si="53"/>
        <v>#N/A</v>
      </c>
      <c r="G565" s="74">
        <v>27782</v>
      </c>
      <c r="H565" s="77">
        <v>0.79166666666666663</v>
      </c>
      <c r="J565">
        <v>12.920000000000002</v>
      </c>
      <c r="M565" s="74">
        <v>37644</v>
      </c>
      <c r="N565" s="77">
        <v>0.79166666666666663</v>
      </c>
      <c r="P565">
        <v>10.399999999999999</v>
      </c>
      <c r="S565" s="74">
        <v>36183</v>
      </c>
      <c r="T565" s="77">
        <v>0.79166666666666663</v>
      </c>
      <c r="V565">
        <v>48.92</v>
      </c>
      <c r="X565" s="42"/>
      <c r="AB565">
        <v>34</v>
      </c>
      <c r="AC565">
        <v>24.08</v>
      </c>
      <c r="AE565" s="74"/>
      <c r="AF565" s="77"/>
      <c r="AH565" s="497">
        <v>10.399999999999999</v>
      </c>
      <c r="AJ565" s="42"/>
      <c r="AK565" s="74"/>
      <c r="AL565" s="77"/>
      <c r="AN565" s="497">
        <v>17.059999999999999</v>
      </c>
      <c r="AP565" s="42"/>
      <c r="AQ565" s="74"/>
      <c r="AR565" s="77"/>
      <c r="AT565" s="497">
        <v>24.98</v>
      </c>
      <c r="AV565" s="42"/>
      <c r="AW565" s="74"/>
      <c r="AX565" s="77"/>
      <c r="BA565" s="497">
        <v>17.059999999999999</v>
      </c>
      <c r="BB565" s="42"/>
      <c r="BC565" s="74"/>
      <c r="BD565" s="77"/>
      <c r="BF565">
        <v>14</v>
      </c>
      <c r="BH565" s="42"/>
      <c r="BI565" s="74"/>
      <c r="BJ565" s="77"/>
      <c r="BL565" s="497">
        <v>14</v>
      </c>
      <c r="BN565" s="42"/>
      <c r="BO565" s="74"/>
      <c r="BP565" s="77"/>
      <c r="BR565" s="497">
        <v>10.940000000000001</v>
      </c>
      <c r="BT565" s="42"/>
    </row>
    <row r="566" spans="1:72" x14ac:dyDescent="0.25">
      <c r="A566" s="90">
        <v>36183</v>
      </c>
      <c r="B566" s="20">
        <v>0.83333333333333337</v>
      </c>
      <c r="D566">
        <v>35.96</v>
      </c>
      <c r="E566" t="str">
        <f t="shared" si="52"/>
        <v>SATURDAY</v>
      </c>
      <c r="F566" t="e">
        <f t="shared" si="53"/>
        <v>#N/A</v>
      </c>
      <c r="G566" s="74">
        <v>27782</v>
      </c>
      <c r="H566" s="77">
        <v>0.83333333333333337</v>
      </c>
      <c r="J566">
        <v>14</v>
      </c>
      <c r="M566" s="74">
        <v>37644</v>
      </c>
      <c r="N566" s="77">
        <v>0.83333333333333337</v>
      </c>
      <c r="P566">
        <v>8.5999999999999979</v>
      </c>
      <c r="S566" s="74">
        <v>36183</v>
      </c>
      <c r="T566" s="77">
        <v>0.83333333333333337</v>
      </c>
      <c r="V566">
        <v>50</v>
      </c>
      <c r="X566" s="42"/>
      <c r="AB566">
        <v>33.700000000000003</v>
      </c>
      <c r="AC566">
        <v>24.98</v>
      </c>
      <c r="AE566" s="74"/>
      <c r="AF566" s="77"/>
      <c r="AH566" s="497">
        <v>8.5999999999999979</v>
      </c>
      <c r="AJ566" s="42"/>
      <c r="AK566" s="74"/>
      <c r="AL566" s="77"/>
      <c r="AN566" s="497">
        <v>17.059999999999999</v>
      </c>
      <c r="AP566" s="42"/>
      <c r="AQ566" s="74"/>
      <c r="AR566" s="77"/>
      <c r="AT566" s="497">
        <v>24.98</v>
      </c>
      <c r="AV566" s="42"/>
      <c r="AW566" s="74"/>
      <c r="AX566" s="77"/>
      <c r="BA566" s="497">
        <v>16.340000000000003</v>
      </c>
      <c r="BB566" s="42"/>
      <c r="BC566" s="74"/>
      <c r="BD566" s="77"/>
      <c r="BF566">
        <v>14</v>
      </c>
      <c r="BH566" s="42"/>
      <c r="BI566" s="74"/>
      <c r="BJ566" s="77"/>
      <c r="BL566" s="497">
        <v>12.920000000000002</v>
      </c>
      <c r="BN566" s="42"/>
      <c r="BO566" s="74"/>
      <c r="BP566" s="77"/>
      <c r="BR566" s="497">
        <v>8.0599999999999987</v>
      </c>
      <c r="BT566" s="42"/>
    </row>
    <row r="567" spans="1:72" x14ac:dyDescent="0.25">
      <c r="A567" s="90">
        <v>36183</v>
      </c>
      <c r="B567" s="20">
        <v>0.875</v>
      </c>
      <c r="D567">
        <v>35.06</v>
      </c>
      <c r="E567" t="str">
        <f t="shared" si="52"/>
        <v>SATURDAY</v>
      </c>
      <c r="F567" t="e">
        <f t="shared" si="53"/>
        <v>#N/A</v>
      </c>
      <c r="G567" s="74">
        <v>27782</v>
      </c>
      <c r="H567" s="77">
        <v>0.875</v>
      </c>
      <c r="J567">
        <v>14</v>
      </c>
      <c r="M567" s="74">
        <v>37644</v>
      </c>
      <c r="N567" s="77">
        <v>0.875</v>
      </c>
      <c r="P567">
        <v>8.5999999999999979</v>
      </c>
      <c r="S567" s="74">
        <v>36183</v>
      </c>
      <c r="T567" s="77">
        <v>0.875</v>
      </c>
      <c r="V567">
        <v>50</v>
      </c>
      <c r="X567" s="42"/>
      <c r="AB567">
        <v>33</v>
      </c>
      <c r="AC567">
        <v>26.060000000000002</v>
      </c>
      <c r="AE567" s="74"/>
      <c r="AF567" s="77"/>
      <c r="AH567" s="497">
        <v>6.8000000000000007</v>
      </c>
      <c r="AJ567" s="42"/>
      <c r="AK567" s="74"/>
      <c r="AL567" s="77"/>
      <c r="AN567" s="497">
        <v>15.079999999999998</v>
      </c>
      <c r="AP567" s="42"/>
      <c r="AQ567" s="74"/>
      <c r="AR567" s="77"/>
      <c r="AT567" s="497">
        <v>26.060000000000002</v>
      </c>
      <c r="AV567" s="42"/>
      <c r="AW567" s="74"/>
      <c r="AX567" s="77"/>
      <c r="BA567" s="497">
        <v>15.8</v>
      </c>
      <c r="BB567" s="42"/>
      <c r="BC567" s="74"/>
      <c r="BD567" s="77"/>
      <c r="BF567">
        <v>14</v>
      </c>
      <c r="BH567" s="42"/>
      <c r="BI567" s="74"/>
      <c r="BJ567" s="77"/>
      <c r="BL567" s="497">
        <v>12.02</v>
      </c>
      <c r="BN567" s="42"/>
      <c r="BO567" s="74"/>
      <c r="BP567" s="77"/>
      <c r="BR567" s="497">
        <v>10.940000000000001</v>
      </c>
      <c r="BT567" s="42"/>
    </row>
    <row r="568" spans="1:72" x14ac:dyDescent="0.25">
      <c r="A568" s="90">
        <v>36183</v>
      </c>
      <c r="B568" s="20">
        <v>0.91666666666666663</v>
      </c>
      <c r="D568">
        <v>35.06</v>
      </c>
      <c r="E568" t="str">
        <f t="shared" si="52"/>
        <v>SATURDAY</v>
      </c>
      <c r="F568" t="e">
        <f t="shared" si="53"/>
        <v>#N/A</v>
      </c>
      <c r="G568" s="74">
        <v>27782</v>
      </c>
      <c r="H568" s="77">
        <v>0.91666666666666663</v>
      </c>
      <c r="J568">
        <v>15.079999999999998</v>
      </c>
      <c r="M568" s="74">
        <v>37644</v>
      </c>
      <c r="N568" s="77">
        <v>0.91666666666666663</v>
      </c>
      <c r="P568">
        <v>8.5999999999999979</v>
      </c>
      <c r="S568" s="74">
        <v>36183</v>
      </c>
      <c r="T568" s="77">
        <v>0.91666666666666663</v>
      </c>
      <c r="V568">
        <v>51.08</v>
      </c>
      <c r="X568" s="42"/>
      <c r="AB568">
        <v>32.4</v>
      </c>
      <c r="AC568">
        <v>26.060000000000002</v>
      </c>
      <c r="AE568" s="74"/>
      <c r="AF568" s="77"/>
      <c r="AH568" s="497">
        <v>6.8000000000000007</v>
      </c>
      <c r="AJ568" s="42"/>
      <c r="AK568" s="74"/>
      <c r="AL568" s="77"/>
      <c r="AN568" s="497">
        <v>15.98</v>
      </c>
      <c r="AP568" s="42"/>
      <c r="AQ568" s="74"/>
      <c r="AR568" s="77"/>
      <c r="AT568" s="497">
        <v>26.060000000000002</v>
      </c>
      <c r="AV568" s="42"/>
      <c r="AW568" s="74"/>
      <c r="AX568" s="77"/>
      <c r="BA568" s="497">
        <v>15.079999999999998</v>
      </c>
      <c r="BB568" s="42"/>
      <c r="BC568" s="74"/>
      <c r="BD568" s="77"/>
      <c r="BF568">
        <v>12.920000000000002</v>
      </c>
      <c r="BH568" s="42"/>
      <c r="BI568" s="74"/>
      <c r="BJ568" s="77"/>
      <c r="BL568" s="497">
        <v>10.940000000000001</v>
      </c>
      <c r="BN568" s="42"/>
      <c r="BO568" s="74"/>
      <c r="BP568" s="77"/>
      <c r="BR568" s="497">
        <v>10.039999999999999</v>
      </c>
      <c r="BT568" s="42"/>
    </row>
    <row r="569" spans="1:72" x14ac:dyDescent="0.25">
      <c r="A569" s="90">
        <v>36183</v>
      </c>
      <c r="B569" s="20">
        <v>0.95833333333333337</v>
      </c>
      <c r="D569">
        <v>35.06</v>
      </c>
      <c r="E569" t="str">
        <f t="shared" si="52"/>
        <v>SATURDAY</v>
      </c>
      <c r="F569" t="e">
        <f t="shared" si="53"/>
        <v>#N/A</v>
      </c>
      <c r="G569" s="74">
        <v>27782</v>
      </c>
      <c r="H569" s="77">
        <v>0.95833333333333337</v>
      </c>
      <c r="J569">
        <v>15.079999999999998</v>
      </c>
      <c r="M569" s="74">
        <v>37644</v>
      </c>
      <c r="N569" s="77">
        <v>0.95833333333333337</v>
      </c>
      <c r="P569">
        <v>8.5999999999999979</v>
      </c>
      <c r="S569" s="74">
        <v>36183</v>
      </c>
      <c r="T569" s="77">
        <v>0.95833333333333337</v>
      </c>
      <c r="V569">
        <v>51.08</v>
      </c>
      <c r="X569" s="42"/>
      <c r="AB569">
        <v>31.9</v>
      </c>
      <c r="AC569">
        <v>24.98</v>
      </c>
      <c r="AE569" s="74"/>
      <c r="AF569" s="77"/>
      <c r="AH569" s="497">
        <v>3.1999999999999993</v>
      </c>
      <c r="AJ569" s="42"/>
      <c r="AK569" s="74"/>
      <c r="AL569" s="77"/>
      <c r="AN569" s="497">
        <v>14</v>
      </c>
      <c r="AP569" s="42"/>
      <c r="AQ569" s="74"/>
      <c r="AR569" s="77"/>
      <c r="AT569" s="497">
        <v>26.060000000000002</v>
      </c>
      <c r="AV569" s="42"/>
      <c r="AW569" s="74"/>
      <c r="AX569" s="77"/>
      <c r="BA569" s="497">
        <v>14.36</v>
      </c>
      <c r="BB569" s="42"/>
      <c r="BC569" s="74"/>
      <c r="BD569" s="77"/>
      <c r="BF569">
        <v>12.920000000000002</v>
      </c>
      <c r="BH569" s="42"/>
      <c r="BI569" s="74"/>
      <c r="BJ569" s="77"/>
      <c r="BL569" s="497">
        <v>11.3</v>
      </c>
      <c r="BN569" s="42"/>
      <c r="BO569" s="74"/>
      <c r="BP569" s="77"/>
      <c r="BR569" s="497">
        <v>8.0599999999999987</v>
      </c>
      <c r="BT569" s="42"/>
    </row>
    <row r="570" spans="1:72" x14ac:dyDescent="0.25">
      <c r="A570" s="90">
        <v>36183</v>
      </c>
      <c r="B570" s="20">
        <v>1</v>
      </c>
      <c r="D570">
        <v>35.06</v>
      </c>
      <c r="E570" t="str">
        <f t="shared" si="52"/>
        <v>SATURDAY</v>
      </c>
      <c r="F570" t="e">
        <f t="shared" si="53"/>
        <v>#N/A</v>
      </c>
      <c r="G570" s="74">
        <v>27782</v>
      </c>
      <c r="H570" s="77">
        <v>1</v>
      </c>
      <c r="J570">
        <v>15.079999999999998</v>
      </c>
      <c r="M570" s="74">
        <v>37644</v>
      </c>
      <c r="N570" s="80">
        <v>1</v>
      </c>
      <c r="P570">
        <v>8.5999999999999979</v>
      </c>
      <c r="S570" s="74">
        <v>36183</v>
      </c>
      <c r="T570" s="80">
        <v>1</v>
      </c>
      <c r="V570">
        <v>50</v>
      </c>
      <c r="X570" s="42"/>
      <c r="AB570">
        <v>31.4</v>
      </c>
      <c r="AC570">
        <v>26.060000000000002</v>
      </c>
      <c r="AE570" s="74"/>
      <c r="AF570" s="80"/>
      <c r="AH570" s="497">
        <v>1.3999999999999986</v>
      </c>
      <c r="AJ570" s="42"/>
      <c r="AK570" s="74"/>
      <c r="AL570" s="80"/>
      <c r="AN570" s="497">
        <v>12.920000000000002</v>
      </c>
      <c r="AP570" s="42"/>
      <c r="AQ570" s="74"/>
      <c r="AR570" s="80"/>
      <c r="AT570" s="497">
        <v>26.060000000000002</v>
      </c>
      <c r="AV570" s="42"/>
      <c r="AW570" s="74"/>
      <c r="AX570" s="80"/>
      <c r="BA570" s="497">
        <v>13.64</v>
      </c>
      <c r="BB570" s="42"/>
      <c r="BC570" s="74"/>
      <c r="BD570" s="80"/>
      <c r="BF570">
        <v>12.02</v>
      </c>
      <c r="BH570" s="42"/>
      <c r="BI570" s="74"/>
      <c r="BJ570" s="80"/>
      <c r="BL570" s="497">
        <v>11.659999999999997</v>
      </c>
      <c r="BN570" s="42"/>
      <c r="BO570" s="74"/>
      <c r="BP570" s="80"/>
      <c r="BR570" s="497">
        <v>8.0599999999999987</v>
      </c>
      <c r="BT570" s="42"/>
    </row>
    <row r="571" spans="1:72" x14ac:dyDescent="0.25">
      <c r="A571" s="90">
        <v>36184</v>
      </c>
      <c r="B571" s="20">
        <v>4.1666666666666664E-2</v>
      </c>
      <c r="D571">
        <v>33.979999999999997</v>
      </c>
      <c r="E571" t="str">
        <f t="shared" si="52"/>
        <v>SUNDAY</v>
      </c>
      <c r="F571" t="e">
        <f t="shared" si="53"/>
        <v>#N/A</v>
      </c>
      <c r="G571" s="74">
        <v>27783</v>
      </c>
      <c r="H571" s="77">
        <v>4.1666666666666664E-2</v>
      </c>
      <c r="J571">
        <v>15.079999999999998</v>
      </c>
      <c r="M571" s="74">
        <v>37645</v>
      </c>
      <c r="N571" s="77">
        <v>4.1666666666666664E-2</v>
      </c>
      <c r="P571">
        <v>8.5999999999999979</v>
      </c>
      <c r="S571" s="74">
        <v>36184</v>
      </c>
      <c r="T571" s="77">
        <v>4.1666666666666664E-2</v>
      </c>
      <c r="V571">
        <v>50</v>
      </c>
      <c r="X571" s="42"/>
      <c r="AB571">
        <v>30.8</v>
      </c>
      <c r="AC571">
        <v>26.060000000000002</v>
      </c>
      <c r="AE571" s="74"/>
      <c r="AF571" s="77"/>
      <c r="AH571" s="497">
        <v>1.3999999999999986</v>
      </c>
      <c r="AJ571" s="42"/>
      <c r="AK571" s="74"/>
      <c r="AL571" s="77"/>
      <c r="AN571" s="497">
        <v>12.920000000000002</v>
      </c>
      <c r="AP571" s="42"/>
      <c r="AQ571" s="74"/>
      <c r="AR571" s="77"/>
      <c r="AT571" s="497">
        <v>26.060000000000002</v>
      </c>
      <c r="AV571" s="42"/>
      <c r="AW571" s="74"/>
      <c r="AX571" s="77"/>
      <c r="BA571" s="497">
        <v>12.920000000000002</v>
      </c>
      <c r="BB571" s="42"/>
      <c r="BC571" s="74"/>
      <c r="BD571" s="77"/>
      <c r="BF571">
        <v>12.02</v>
      </c>
      <c r="BH571" s="42"/>
      <c r="BI571" s="74"/>
      <c r="BJ571" s="77"/>
      <c r="BL571" s="497">
        <v>12.02</v>
      </c>
      <c r="BN571" s="42"/>
      <c r="BO571" s="74"/>
      <c r="BP571" s="77"/>
      <c r="BR571" s="497">
        <v>10.039999999999999</v>
      </c>
      <c r="BT571" s="42"/>
    </row>
    <row r="572" spans="1:72" x14ac:dyDescent="0.25">
      <c r="A572" s="90">
        <v>36184</v>
      </c>
      <c r="B572" s="20">
        <v>8.3333333333333329E-2</v>
      </c>
      <c r="D572">
        <v>33.979999999999997</v>
      </c>
      <c r="E572" t="str">
        <f t="shared" si="52"/>
        <v>SUNDAY</v>
      </c>
      <c r="F572" t="e">
        <f t="shared" si="53"/>
        <v>#N/A</v>
      </c>
      <c r="G572" s="74">
        <v>27783</v>
      </c>
      <c r="H572" s="77">
        <v>8.3333333333333329E-2</v>
      </c>
      <c r="J572">
        <v>15.98</v>
      </c>
      <c r="M572" s="74">
        <v>37645</v>
      </c>
      <c r="N572" s="77">
        <v>8.3333333333333329E-2</v>
      </c>
      <c r="P572">
        <v>6.8000000000000007</v>
      </c>
      <c r="S572" s="74">
        <v>36184</v>
      </c>
      <c r="T572" s="77">
        <v>8.3333333333333329E-2</v>
      </c>
      <c r="V572">
        <v>51.8</v>
      </c>
      <c r="X572" s="42"/>
      <c r="AB572">
        <v>30.3</v>
      </c>
      <c r="AC572">
        <v>24.98</v>
      </c>
      <c r="AE572" s="74"/>
      <c r="AF572" s="77"/>
      <c r="AH572" s="497">
        <v>-2.2000000000000028</v>
      </c>
      <c r="AJ572" s="42"/>
      <c r="AK572" s="74"/>
      <c r="AL572" s="77"/>
      <c r="AN572" s="497">
        <v>12.02</v>
      </c>
      <c r="AP572" s="42"/>
      <c r="AQ572" s="74"/>
      <c r="AR572" s="77"/>
      <c r="AT572" s="497">
        <v>26.060000000000002</v>
      </c>
      <c r="AV572" s="42"/>
      <c r="AW572" s="74"/>
      <c r="AX572" s="77"/>
      <c r="BA572" s="497">
        <v>12.559999999999999</v>
      </c>
      <c r="BB572" s="42"/>
      <c r="BC572" s="74"/>
      <c r="BD572" s="77"/>
      <c r="BF572">
        <v>12.02</v>
      </c>
      <c r="BH572" s="42"/>
      <c r="BI572" s="74"/>
      <c r="BJ572" s="77"/>
      <c r="BL572" s="497">
        <v>10.940000000000001</v>
      </c>
      <c r="BN572" s="42"/>
      <c r="BO572" s="74"/>
      <c r="BP572" s="77"/>
      <c r="BR572" s="497">
        <v>8.9599999999999973</v>
      </c>
      <c r="BT572" s="42"/>
    </row>
    <row r="573" spans="1:72" x14ac:dyDescent="0.25">
      <c r="A573" s="90">
        <v>36184</v>
      </c>
      <c r="B573" s="20">
        <v>0.125</v>
      </c>
      <c r="D573">
        <v>35.06</v>
      </c>
      <c r="E573" t="str">
        <f t="shared" si="52"/>
        <v>SUNDAY</v>
      </c>
      <c r="F573" t="e">
        <f t="shared" si="53"/>
        <v>#N/A</v>
      </c>
      <c r="G573" s="74">
        <v>27783</v>
      </c>
      <c r="H573" s="77">
        <v>0.125</v>
      </c>
      <c r="J573">
        <v>15.98</v>
      </c>
      <c r="M573" s="74">
        <v>37645</v>
      </c>
      <c r="N573" s="77">
        <v>0.125</v>
      </c>
      <c r="P573">
        <v>6.8000000000000007</v>
      </c>
      <c r="S573" s="74">
        <v>36184</v>
      </c>
      <c r="T573" s="77">
        <v>0.125</v>
      </c>
      <c r="V573">
        <v>51.8</v>
      </c>
      <c r="X573" s="42"/>
      <c r="AB573">
        <v>29.9</v>
      </c>
      <c r="AC573">
        <v>23</v>
      </c>
      <c r="AE573" s="74"/>
      <c r="AF573" s="77"/>
      <c r="AH573" s="497">
        <v>-7.6000000000000014</v>
      </c>
      <c r="AJ573" s="42"/>
      <c r="AK573" s="74"/>
      <c r="AL573" s="77"/>
      <c r="AN573" s="497">
        <v>12.02</v>
      </c>
      <c r="AP573" s="42"/>
      <c r="AQ573" s="74"/>
      <c r="AR573" s="77"/>
      <c r="AT573" s="497">
        <v>26.060000000000002</v>
      </c>
      <c r="AV573" s="42"/>
      <c r="AW573" s="74"/>
      <c r="AX573" s="77"/>
      <c r="BA573" s="497">
        <v>12.379999999999999</v>
      </c>
      <c r="BB573" s="42"/>
      <c r="BC573" s="74"/>
      <c r="BD573" s="77"/>
      <c r="BF573">
        <v>10.940000000000001</v>
      </c>
      <c r="BH573" s="42"/>
      <c r="BI573" s="74"/>
      <c r="BJ573" s="77"/>
      <c r="BL573" s="497">
        <v>10.039999999999999</v>
      </c>
      <c r="BN573" s="42"/>
      <c r="BO573" s="74"/>
      <c r="BP573" s="77"/>
      <c r="BR573" s="497">
        <v>8.9599999999999973</v>
      </c>
      <c r="BT573" s="42"/>
    </row>
    <row r="574" spans="1:72" x14ac:dyDescent="0.25">
      <c r="A574" s="90">
        <v>36184</v>
      </c>
      <c r="B574" s="20">
        <v>0.16666666666666666</v>
      </c>
      <c r="D574">
        <v>35.06</v>
      </c>
      <c r="E574" t="str">
        <f t="shared" si="52"/>
        <v>SUNDAY</v>
      </c>
      <c r="F574" t="e">
        <f t="shared" si="53"/>
        <v>#N/A</v>
      </c>
      <c r="G574" s="74">
        <v>27783</v>
      </c>
      <c r="H574" s="77">
        <v>0.16666666666666666</v>
      </c>
      <c r="J574">
        <v>15.079999999999998</v>
      </c>
      <c r="M574" s="74">
        <v>37645</v>
      </c>
      <c r="N574" s="77">
        <v>0.16666666666666666</v>
      </c>
      <c r="P574">
        <v>6.8000000000000007</v>
      </c>
      <c r="S574" s="74">
        <v>36184</v>
      </c>
      <c r="T574" s="77">
        <v>0.16666666666666666</v>
      </c>
      <c r="V574">
        <v>50</v>
      </c>
      <c r="X574" s="42"/>
      <c r="AB574">
        <v>29.5</v>
      </c>
      <c r="AC574">
        <v>21.92</v>
      </c>
      <c r="AE574" s="74"/>
      <c r="AF574" s="77"/>
      <c r="AH574" s="497">
        <v>-9.3999999999999986</v>
      </c>
      <c r="AJ574" s="42"/>
      <c r="AK574" s="74"/>
      <c r="AL574" s="77"/>
      <c r="AN574" s="497">
        <v>10.039999999999999</v>
      </c>
      <c r="AP574" s="42"/>
      <c r="AQ574" s="74"/>
      <c r="AR574" s="77"/>
      <c r="AT574" s="497">
        <v>26.060000000000002</v>
      </c>
      <c r="AV574" s="42"/>
      <c r="AW574" s="74"/>
      <c r="AX574" s="77"/>
      <c r="BA574" s="497">
        <v>12.02</v>
      </c>
      <c r="BB574" s="42"/>
      <c r="BC574" s="74"/>
      <c r="BD574" s="77"/>
      <c r="BF574">
        <v>10.940000000000001</v>
      </c>
      <c r="BH574" s="42"/>
      <c r="BI574" s="74"/>
      <c r="BJ574" s="77"/>
      <c r="BL574" s="497">
        <v>8.9599999999999973</v>
      </c>
      <c r="BN574" s="42"/>
      <c r="BO574" s="74"/>
      <c r="BP574" s="77"/>
      <c r="BR574" s="497">
        <v>8.9599999999999973</v>
      </c>
      <c r="BT574" s="42"/>
    </row>
    <row r="575" spans="1:72" x14ac:dyDescent="0.25">
      <c r="A575" s="90">
        <v>36184</v>
      </c>
      <c r="B575" s="20">
        <v>0.20833333333333334</v>
      </c>
      <c r="D575">
        <v>35.06</v>
      </c>
      <c r="E575" t="str">
        <f t="shared" si="52"/>
        <v>SUNDAY</v>
      </c>
      <c r="F575" t="e">
        <f t="shared" si="53"/>
        <v>#N/A</v>
      </c>
      <c r="G575" s="74">
        <v>27783</v>
      </c>
      <c r="H575" s="77">
        <v>0.20833333333333334</v>
      </c>
      <c r="J575">
        <v>15.079999999999998</v>
      </c>
      <c r="M575" s="74">
        <v>37645</v>
      </c>
      <c r="N575" s="77">
        <v>0.20833333333333334</v>
      </c>
      <c r="P575">
        <v>6.8000000000000007</v>
      </c>
      <c r="S575" s="74">
        <v>36184</v>
      </c>
      <c r="T575" s="77">
        <v>0.20833333333333334</v>
      </c>
      <c r="V575">
        <v>50</v>
      </c>
      <c r="X575" s="42"/>
      <c r="AB575">
        <v>29.1</v>
      </c>
      <c r="AC575">
        <v>24.08</v>
      </c>
      <c r="AE575" s="74"/>
      <c r="AF575" s="77"/>
      <c r="AH575" s="497">
        <v>-9.3999999999999986</v>
      </c>
      <c r="AJ575" s="42"/>
      <c r="AK575" s="74"/>
      <c r="AL575" s="77"/>
      <c r="AN575" s="497">
        <v>10.039999999999999</v>
      </c>
      <c r="AP575" s="42"/>
      <c r="AQ575" s="74"/>
      <c r="AR575" s="77"/>
      <c r="AT575" s="497">
        <v>26.060000000000002</v>
      </c>
      <c r="AV575" s="42"/>
      <c r="AW575" s="74"/>
      <c r="AX575" s="77"/>
      <c r="BA575" s="497">
        <v>10.759999999999998</v>
      </c>
      <c r="BB575" s="42"/>
      <c r="BC575" s="74"/>
      <c r="BD575" s="77"/>
      <c r="BF575">
        <v>10.940000000000001</v>
      </c>
      <c r="BH575" s="42"/>
      <c r="BI575" s="74"/>
      <c r="BJ575" s="77"/>
      <c r="BL575" s="497">
        <v>8.9599999999999973</v>
      </c>
      <c r="BN575" s="42"/>
      <c r="BO575" s="74"/>
      <c r="BP575" s="77"/>
      <c r="BR575" s="497">
        <v>10.039999999999999</v>
      </c>
      <c r="BT575" s="42"/>
    </row>
    <row r="576" spans="1:72" x14ac:dyDescent="0.25">
      <c r="A576" s="90">
        <v>36184</v>
      </c>
      <c r="B576" s="20">
        <v>0.25</v>
      </c>
      <c r="D576">
        <v>35.06</v>
      </c>
      <c r="E576" t="str">
        <f t="shared" si="52"/>
        <v>SUNDAY</v>
      </c>
      <c r="F576" t="e">
        <f t="shared" si="53"/>
        <v>#N/A</v>
      </c>
      <c r="G576" s="74">
        <v>27783</v>
      </c>
      <c r="H576" s="77">
        <v>0.25</v>
      </c>
      <c r="J576">
        <v>15.079999999999998</v>
      </c>
      <c r="M576" s="74">
        <v>37645</v>
      </c>
      <c r="N576" s="77">
        <v>0.25</v>
      </c>
      <c r="P576">
        <v>5</v>
      </c>
      <c r="S576" s="74">
        <v>36184</v>
      </c>
      <c r="T576" s="77">
        <v>0.25</v>
      </c>
      <c r="V576">
        <v>51.980000000000004</v>
      </c>
      <c r="X576" s="42"/>
      <c r="AB576">
        <v>28.9</v>
      </c>
      <c r="AC576">
        <v>24.98</v>
      </c>
      <c r="AE576" s="74"/>
      <c r="AF576" s="77"/>
      <c r="AH576" s="497">
        <v>-9.3999999999999986</v>
      </c>
      <c r="AJ576" s="42"/>
      <c r="AK576" s="74"/>
      <c r="AL576" s="77"/>
      <c r="AN576" s="497">
        <v>10.940000000000001</v>
      </c>
      <c r="AP576" s="42"/>
      <c r="AQ576" s="74"/>
      <c r="AR576" s="77"/>
      <c r="AT576" s="497">
        <v>26.96</v>
      </c>
      <c r="AV576" s="42"/>
      <c r="AW576" s="74"/>
      <c r="AX576" s="77"/>
      <c r="BA576" s="497">
        <v>9.32</v>
      </c>
      <c r="BB576" s="42"/>
      <c r="BC576" s="74"/>
      <c r="BD576" s="77"/>
      <c r="BF576">
        <v>10.039999999999999</v>
      </c>
      <c r="BH576" s="42"/>
      <c r="BI576" s="74"/>
      <c r="BJ576" s="77"/>
      <c r="BL576" s="497">
        <v>8.9599999999999973</v>
      </c>
      <c r="BN576" s="42"/>
      <c r="BO576" s="74"/>
      <c r="BP576" s="77"/>
      <c r="BR576" s="497">
        <v>10.940000000000001</v>
      </c>
      <c r="BT576" s="42"/>
    </row>
    <row r="577" spans="1:72" x14ac:dyDescent="0.25">
      <c r="A577" s="90">
        <v>36184</v>
      </c>
      <c r="B577" s="20">
        <v>0.29166666666666669</v>
      </c>
      <c r="D577">
        <v>33.979999999999997</v>
      </c>
      <c r="E577" t="str">
        <f t="shared" si="52"/>
        <v>SUNDAY</v>
      </c>
      <c r="F577" t="e">
        <f t="shared" si="53"/>
        <v>#N/A</v>
      </c>
      <c r="G577" s="74">
        <v>27783</v>
      </c>
      <c r="H577" s="77">
        <v>0.29166666666666669</v>
      </c>
      <c r="J577">
        <v>15.98</v>
      </c>
      <c r="M577" s="74">
        <v>37645</v>
      </c>
      <c r="N577" s="77">
        <v>0.29166666666666669</v>
      </c>
      <c r="P577">
        <v>6.8000000000000007</v>
      </c>
      <c r="S577" s="74">
        <v>36184</v>
      </c>
      <c r="T577" s="77">
        <v>0.29166666666666669</v>
      </c>
      <c r="V577">
        <v>51.980000000000004</v>
      </c>
      <c r="X577" s="42"/>
      <c r="AB577">
        <v>28.7</v>
      </c>
      <c r="AC577">
        <v>26.060000000000002</v>
      </c>
      <c r="AE577" s="74"/>
      <c r="AF577" s="77"/>
      <c r="AH577" s="497">
        <v>-11.200000000000003</v>
      </c>
      <c r="AJ577" s="42"/>
      <c r="AK577" s="74"/>
      <c r="AL577" s="77"/>
      <c r="AN577" s="497">
        <v>10.039999999999999</v>
      </c>
      <c r="AP577" s="42"/>
      <c r="AQ577" s="74"/>
      <c r="AR577" s="77"/>
      <c r="AT577" s="497">
        <v>26.060000000000002</v>
      </c>
      <c r="AV577" s="42"/>
      <c r="AW577" s="74"/>
      <c r="AX577" s="77"/>
      <c r="BA577" s="497">
        <v>8.0599999999999987</v>
      </c>
      <c r="BB577" s="42"/>
      <c r="BC577" s="74"/>
      <c r="BD577" s="77"/>
      <c r="BF577">
        <v>10.940000000000001</v>
      </c>
      <c r="BH577" s="42"/>
      <c r="BI577" s="74"/>
      <c r="BJ577" s="77"/>
      <c r="BL577" s="497">
        <v>8.9599999999999973</v>
      </c>
      <c r="BN577" s="42"/>
      <c r="BO577" s="74"/>
      <c r="BP577" s="77"/>
      <c r="BR577" s="497">
        <v>8.9599999999999973</v>
      </c>
      <c r="BT577" s="42"/>
    </row>
    <row r="578" spans="1:72" x14ac:dyDescent="0.25">
      <c r="A578" s="90">
        <v>36184</v>
      </c>
      <c r="B578" s="20">
        <v>0.33333333333333331</v>
      </c>
      <c r="D578">
        <v>35.06</v>
      </c>
      <c r="E578" t="str">
        <f t="shared" si="52"/>
        <v>SUNDAY</v>
      </c>
      <c r="F578" t="e">
        <f t="shared" si="53"/>
        <v>#N/A</v>
      </c>
      <c r="G578" s="74">
        <v>27783</v>
      </c>
      <c r="H578" s="77">
        <v>0.33333333333333331</v>
      </c>
      <c r="J578">
        <v>15.98</v>
      </c>
      <c r="M578" s="74">
        <v>37645</v>
      </c>
      <c r="N578" s="77">
        <v>0.33333333333333331</v>
      </c>
      <c r="P578">
        <v>6.8000000000000007</v>
      </c>
      <c r="S578" s="74">
        <v>36184</v>
      </c>
      <c r="T578" s="77">
        <v>0.33333333333333331</v>
      </c>
      <c r="V578">
        <v>51.08</v>
      </c>
      <c r="X578" s="42"/>
      <c r="AB578">
        <v>28.7</v>
      </c>
      <c r="AC578">
        <v>26.060000000000002</v>
      </c>
      <c r="AE578" s="74"/>
      <c r="AF578" s="77"/>
      <c r="AH578" s="497">
        <v>-11.200000000000003</v>
      </c>
      <c r="AJ578" s="42"/>
      <c r="AK578" s="74"/>
      <c r="AL578" s="77"/>
      <c r="AN578" s="497">
        <v>12.02</v>
      </c>
      <c r="AP578" s="42"/>
      <c r="AQ578" s="74"/>
      <c r="AR578" s="77"/>
      <c r="AT578" s="497">
        <v>26.96</v>
      </c>
      <c r="AV578" s="42"/>
      <c r="AW578" s="74"/>
      <c r="AX578" s="77"/>
      <c r="BA578" s="497">
        <v>8.9599999999999973</v>
      </c>
      <c r="BB578" s="42"/>
      <c r="BC578" s="74"/>
      <c r="BD578" s="77"/>
      <c r="BF578">
        <v>10.039999999999999</v>
      </c>
      <c r="BH578" s="42"/>
      <c r="BI578" s="74"/>
      <c r="BJ578" s="77"/>
      <c r="BL578" s="497">
        <v>10.039999999999999</v>
      </c>
      <c r="BN578" s="42"/>
      <c r="BO578" s="74"/>
      <c r="BP578" s="77"/>
      <c r="BR578" s="497">
        <v>6.98</v>
      </c>
      <c r="BT578" s="42"/>
    </row>
    <row r="579" spans="1:72" x14ac:dyDescent="0.25">
      <c r="A579" s="90">
        <v>36184</v>
      </c>
      <c r="B579" s="20">
        <v>0.375</v>
      </c>
      <c r="D579">
        <v>35.96</v>
      </c>
      <c r="E579" t="str">
        <f t="shared" si="52"/>
        <v>SUNDAY</v>
      </c>
      <c r="F579" t="e">
        <f t="shared" si="53"/>
        <v>#N/A</v>
      </c>
      <c r="G579" s="74">
        <v>27783</v>
      </c>
      <c r="H579" s="77">
        <v>0.375</v>
      </c>
      <c r="J579">
        <v>17.059999999999999</v>
      </c>
      <c r="M579" s="74">
        <v>37645</v>
      </c>
      <c r="N579" s="77">
        <v>0.375</v>
      </c>
      <c r="P579">
        <v>8.5999999999999979</v>
      </c>
      <c r="S579" s="74">
        <v>36184</v>
      </c>
      <c r="T579" s="77">
        <v>0.375</v>
      </c>
      <c r="V579">
        <v>48.92</v>
      </c>
      <c r="X579" s="42"/>
      <c r="AB579">
        <v>29.2</v>
      </c>
      <c r="AC579">
        <v>26.96</v>
      </c>
      <c r="AE579" s="74"/>
      <c r="AF579" s="77"/>
      <c r="AH579" s="497">
        <v>-4</v>
      </c>
      <c r="AJ579" s="42"/>
      <c r="AK579" s="74"/>
      <c r="AL579" s="77"/>
      <c r="AN579" s="497">
        <v>15.98</v>
      </c>
      <c r="AP579" s="42"/>
      <c r="AQ579" s="74"/>
      <c r="AR579" s="77"/>
      <c r="AT579" s="497">
        <v>28.04</v>
      </c>
      <c r="AV579" s="42"/>
      <c r="AW579" s="74"/>
      <c r="AX579" s="77"/>
      <c r="BA579" s="497">
        <v>10.039999999999999</v>
      </c>
      <c r="BB579" s="42"/>
      <c r="BC579" s="74"/>
      <c r="BD579" s="77"/>
      <c r="BF579">
        <v>10.940000000000001</v>
      </c>
      <c r="BH579" s="42"/>
      <c r="BI579" s="74"/>
      <c r="BJ579" s="77"/>
      <c r="BL579" s="497">
        <v>10.940000000000001</v>
      </c>
      <c r="BN579" s="42"/>
      <c r="BO579" s="74"/>
      <c r="BP579" s="77"/>
      <c r="BR579" s="497">
        <v>8.9599999999999973</v>
      </c>
      <c r="BT579" s="42"/>
    </row>
    <row r="580" spans="1:72" x14ac:dyDescent="0.25">
      <c r="A580" s="90">
        <v>36184</v>
      </c>
      <c r="B580" s="20">
        <v>0.41666666666666669</v>
      </c>
      <c r="D580">
        <v>37.04</v>
      </c>
      <c r="E580" t="str">
        <f t="shared" si="52"/>
        <v>SUNDAY</v>
      </c>
      <c r="F580" t="e">
        <f t="shared" si="53"/>
        <v>#N/A</v>
      </c>
      <c r="G580" s="74">
        <v>27783</v>
      </c>
      <c r="H580" s="77">
        <v>0.41666666666666669</v>
      </c>
      <c r="J580">
        <v>17.96</v>
      </c>
      <c r="M580" s="74">
        <v>37645</v>
      </c>
      <c r="N580" s="77">
        <v>0.41666666666666669</v>
      </c>
      <c r="P580">
        <v>14</v>
      </c>
      <c r="S580" s="74">
        <v>36184</v>
      </c>
      <c r="T580" s="77">
        <v>0.41666666666666669</v>
      </c>
      <c r="V580">
        <v>51.08</v>
      </c>
      <c r="X580" s="42"/>
      <c r="AB580">
        <v>30.7</v>
      </c>
      <c r="AC580">
        <v>30.02</v>
      </c>
      <c r="AE580" s="74"/>
      <c r="AF580" s="77"/>
      <c r="AH580" s="497">
        <v>6.8000000000000007</v>
      </c>
      <c r="AJ580" s="42"/>
      <c r="AK580" s="74"/>
      <c r="AL580" s="77"/>
      <c r="AN580" s="497">
        <v>17.059999999999999</v>
      </c>
      <c r="AP580" s="42"/>
      <c r="AQ580" s="74"/>
      <c r="AR580" s="77"/>
      <c r="AT580" s="497">
        <v>28.94</v>
      </c>
      <c r="AV580" s="42"/>
      <c r="AW580" s="74"/>
      <c r="AX580" s="77"/>
      <c r="BA580" s="497">
        <v>10.940000000000001</v>
      </c>
      <c r="BB580" s="42"/>
      <c r="BC580" s="74"/>
      <c r="BD580" s="77"/>
      <c r="BF580">
        <v>12.920000000000002</v>
      </c>
      <c r="BH580" s="42"/>
      <c r="BI580" s="74"/>
      <c r="BJ580" s="77"/>
      <c r="BL580" s="497">
        <v>12.02</v>
      </c>
      <c r="BN580" s="42"/>
      <c r="BO580" s="74"/>
      <c r="BP580" s="77"/>
      <c r="BR580" s="497">
        <v>8.9599999999999973</v>
      </c>
      <c r="BT580" s="42"/>
    </row>
    <row r="581" spans="1:72" x14ac:dyDescent="0.25">
      <c r="A581" s="90">
        <v>36184</v>
      </c>
      <c r="B581" s="20">
        <v>0.45833333333333331</v>
      </c>
      <c r="D581">
        <v>39.019999999999996</v>
      </c>
      <c r="E581" t="str">
        <f t="shared" si="52"/>
        <v>SUNDAY</v>
      </c>
      <c r="F581" t="e">
        <f t="shared" si="53"/>
        <v>#N/A</v>
      </c>
      <c r="G581" s="74">
        <v>27783</v>
      </c>
      <c r="H581" s="77">
        <v>0.45833333333333331</v>
      </c>
      <c r="J581">
        <v>19.04</v>
      </c>
      <c r="M581" s="74">
        <v>37645</v>
      </c>
      <c r="N581" s="77">
        <v>0.45833333333333331</v>
      </c>
      <c r="P581">
        <v>17.600000000000001</v>
      </c>
      <c r="S581" s="74">
        <v>36184</v>
      </c>
      <c r="T581" s="77">
        <v>0.45833333333333331</v>
      </c>
      <c r="V581">
        <v>51.08</v>
      </c>
      <c r="X581" s="42"/>
      <c r="AB581">
        <v>32.200000000000003</v>
      </c>
      <c r="AC581">
        <v>30.92</v>
      </c>
      <c r="AE581" s="74"/>
      <c r="AF581" s="77"/>
      <c r="AH581" s="497">
        <v>12.2</v>
      </c>
      <c r="AJ581" s="42"/>
      <c r="AK581" s="74"/>
      <c r="AL581" s="77"/>
      <c r="AN581" s="497">
        <v>19.04</v>
      </c>
      <c r="AP581" s="42"/>
      <c r="AQ581" s="74"/>
      <c r="AR581" s="77"/>
      <c r="AT581" s="497">
        <v>30.02</v>
      </c>
      <c r="AV581" s="42"/>
      <c r="AW581" s="74"/>
      <c r="AX581" s="77"/>
      <c r="BA581" s="497">
        <v>12.559999999999999</v>
      </c>
      <c r="BB581" s="42"/>
      <c r="BC581" s="74"/>
      <c r="BD581" s="77"/>
      <c r="BF581">
        <v>15.98</v>
      </c>
      <c r="BH581" s="42"/>
      <c r="BI581" s="74"/>
      <c r="BJ581" s="77"/>
      <c r="BL581" s="497">
        <v>13.099999999999998</v>
      </c>
      <c r="BN581" s="42"/>
      <c r="BO581" s="74"/>
      <c r="BP581" s="77"/>
      <c r="BR581" s="497">
        <v>10.039999999999999</v>
      </c>
      <c r="BT581" s="42"/>
    </row>
    <row r="582" spans="1:72" x14ac:dyDescent="0.25">
      <c r="A582" s="90">
        <v>36184</v>
      </c>
      <c r="B582" s="20">
        <v>0.5</v>
      </c>
      <c r="D582">
        <v>39.019999999999996</v>
      </c>
      <c r="E582" t="str">
        <f t="shared" si="52"/>
        <v>SUNDAY</v>
      </c>
      <c r="F582" t="e">
        <f t="shared" si="53"/>
        <v>#N/A</v>
      </c>
      <c r="G582" s="74">
        <v>27783</v>
      </c>
      <c r="H582" s="77">
        <v>0.5</v>
      </c>
      <c r="J582">
        <v>19.04</v>
      </c>
      <c r="M582" s="74">
        <v>37645</v>
      </c>
      <c r="N582" s="77">
        <v>0.5</v>
      </c>
      <c r="P582">
        <v>19.399999999999999</v>
      </c>
      <c r="S582" s="74">
        <v>36184</v>
      </c>
      <c r="T582" s="77">
        <v>0.5</v>
      </c>
      <c r="V582">
        <v>53.96</v>
      </c>
      <c r="X582" s="42"/>
      <c r="AB582">
        <v>33.6</v>
      </c>
      <c r="AC582">
        <v>33.979999999999997</v>
      </c>
      <c r="AE582" s="74"/>
      <c r="AF582" s="77"/>
      <c r="AH582" s="497">
        <v>15.8</v>
      </c>
      <c r="AJ582" s="42"/>
      <c r="AK582" s="74"/>
      <c r="AL582" s="77"/>
      <c r="AN582" s="497">
        <v>21.92</v>
      </c>
      <c r="AP582" s="42"/>
      <c r="AQ582" s="74"/>
      <c r="AR582" s="77"/>
      <c r="AT582" s="497">
        <v>30.92</v>
      </c>
      <c r="AV582" s="42"/>
      <c r="AW582" s="74"/>
      <c r="AX582" s="77"/>
      <c r="BA582" s="497">
        <v>14.36</v>
      </c>
      <c r="BB582" s="42"/>
      <c r="BC582" s="74"/>
      <c r="BD582" s="77"/>
      <c r="BF582">
        <v>17.059999999999999</v>
      </c>
      <c r="BH582" s="42"/>
      <c r="BI582" s="74"/>
      <c r="BJ582" s="77"/>
      <c r="BL582" s="497">
        <v>14</v>
      </c>
      <c r="BN582" s="42"/>
      <c r="BO582" s="74"/>
      <c r="BP582" s="77"/>
      <c r="BR582" s="497">
        <v>12.02</v>
      </c>
      <c r="BT582" s="42"/>
    </row>
    <row r="583" spans="1:72" x14ac:dyDescent="0.25">
      <c r="A583" s="90">
        <v>36184</v>
      </c>
      <c r="B583" s="20">
        <v>0.54166666666666663</v>
      </c>
      <c r="D583">
        <v>39.019999999999996</v>
      </c>
      <c r="E583" t="str">
        <f t="shared" si="52"/>
        <v>SUNDAY</v>
      </c>
      <c r="F583" t="e">
        <f t="shared" si="53"/>
        <v>#N/A</v>
      </c>
      <c r="G583" s="74">
        <v>27783</v>
      </c>
      <c r="H583" s="77">
        <v>0.54166666666666663</v>
      </c>
      <c r="J583">
        <v>19.939999999999998</v>
      </c>
      <c r="M583" s="74">
        <v>37645</v>
      </c>
      <c r="N583" s="77">
        <v>0.54166666666666663</v>
      </c>
      <c r="P583">
        <v>23</v>
      </c>
      <c r="S583" s="74">
        <v>36184</v>
      </c>
      <c r="T583" s="77">
        <v>0.54166666666666663</v>
      </c>
      <c r="V583">
        <v>53.96</v>
      </c>
      <c r="X583" s="42"/>
      <c r="AB583">
        <v>34.799999999999997</v>
      </c>
      <c r="AC583">
        <v>35.06</v>
      </c>
      <c r="AE583" s="74"/>
      <c r="AF583" s="77"/>
      <c r="AH583" s="497">
        <v>17.600000000000001</v>
      </c>
      <c r="AJ583" s="42"/>
      <c r="AK583" s="74"/>
      <c r="AL583" s="77"/>
      <c r="AN583" s="497">
        <v>23</v>
      </c>
      <c r="AP583" s="42"/>
      <c r="AQ583" s="74"/>
      <c r="AR583" s="77"/>
      <c r="AT583" s="497">
        <v>33.08</v>
      </c>
      <c r="AV583" s="42"/>
      <c r="AW583" s="74"/>
      <c r="AX583" s="77"/>
      <c r="BA583" s="497">
        <v>15.98</v>
      </c>
      <c r="BB583" s="42"/>
      <c r="BC583" s="74"/>
      <c r="BD583" s="77"/>
      <c r="BF583">
        <v>17.96</v>
      </c>
      <c r="BH583" s="42"/>
      <c r="BI583" s="74"/>
      <c r="BJ583" s="77"/>
      <c r="BL583" s="497">
        <v>15.079999999999998</v>
      </c>
      <c r="BN583" s="42"/>
      <c r="BO583" s="74"/>
      <c r="BP583" s="77"/>
      <c r="BR583" s="497">
        <v>12.02</v>
      </c>
      <c r="BT583" s="42"/>
    </row>
    <row r="584" spans="1:72" x14ac:dyDescent="0.25">
      <c r="A584" s="90">
        <v>36184</v>
      </c>
      <c r="B584" s="20">
        <v>0.58333333333333337</v>
      </c>
      <c r="D584">
        <v>39.019999999999996</v>
      </c>
      <c r="E584" t="str">
        <f t="shared" si="52"/>
        <v>SUNDAY</v>
      </c>
      <c r="F584" t="e">
        <f t="shared" si="53"/>
        <v>#N/A</v>
      </c>
      <c r="G584" s="74">
        <v>27783</v>
      </c>
      <c r="H584" s="77">
        <v>0.58333333333333337</v>
      </c>
      <c r="J584">
        <v>19.939999999999998</v>
      </c>
      <c r="M584" s="74">
        <v>37645</v>
      </c>
      <c r="N584" s="77">
        <v>0.58333333333333337</v>
      </c>
      <c r="P584">
        <v>24.8</v>
      </c>
      <c r="S584" s="74">
        <v>36184</v>
      </c>
      <c r="T584" s="77">
        <v>0.58333333333333337</v>
      </c>
      <c r="V584">
        <v>51.08</v>
      </c>
      <c r="X584" s="42"/>
      <c r="AB584">
        <v>35.6</v>
      </c>
      <c r="AC584">
        <v>35.96</v>
      </c>
      <c r="AE584" s="74"/>
      <c r="AF584" s="77"/>
      <c r="AH584" s="497">
        <v>19.399999999999999</v>
      </c>
      <c r="AJ584" s="42"/>
      <c r="AK584" s="74"/>
      <c r="AL584" s="77"/>
      <c r="AN584" s="497">
        <v>24.98</v>
      </c>
      <c r="AP584" s="42"/>
      <c r="AQ584" s="74"/>
      <c r="AR584" s="77"/>
      <c r="AT584" s="497">
        <v>33.08</v>
      </c>
      <c r="AV584" s="42"/>
      <c r="AW584" s="74"/>
      <c r="AX584" s="77"/>
      <c r="BA584" s="497">
        <v>17.059999999999999</v>
      </c>
      <c r="BB584" s="42"/>
      <c r="BC584" s="74"/>
      <c r="BD584" s="77"/>
      <c r="BF584">
        <v>19.04</v>
      </c>
      <c r="BH584" s="42"/>
      <c r="BI584" s="74"/>
      <c r="BJ584" s="77"/>
      <c r="BL584" s="497">
        <v>15.079999999999998</v>
      </c>
      <c r="BN584" s="42"/>
      <c r="BO584" s="74"/>
      <c r="BP584" s="77"/>
      <c r="BR584" s="497">
        <v>12.02</v>
      </c>
      <c r="BT584" s="42"/>
    </row>
    <row r="585" spans="1:72" x14ac:dyDescent="0.25">
      <c r="A585" s="90">
        <v>36184</v>
      </c>
      <c r="B585" s="20">
        <v>0.625</v>
      </c>
      <c r="D585">
        <v>39.019999999999996</v>
      </c>
      <c r="E585" t="str">
        <f t="shared" si="52"/>
        <v>SUNDAY</v>
      </c>
      <c r="F585" t="e">
        <f t="shared" si="53"/>
        <v>#N/A</v>
      </c>
      <c r="G585" s="74">
        <v>27783</v>
      </c>
      <c r="H585" s="77">
        <v>0.625</v>
      </c>
      <c r="J585">
        <v>23</v>
      </c>
      <c r="M585" s="74">
        <v>37645</v>
      </c>
      <c r="N585" s="77">
        <v>0.625</v>
      </c>
      <c r="P585">
        <v>24.8</v>
      </c>
      <c r="S585" s="74">
        <v>36184</v>
      </c>
      <c r="T585" s="77">
        <v>0.625</v>
      </c>
      <c r="V585">
        <v>51.8</v>
      </c>
      <c r="X585" s="42"/>
      <c r="AB585">
        <v>36.1</v>
      </c>
      <c r="AC585">
        <v>37.04</v>
      </c>
      <c r="AE585" s="74"/>
      <c r="AF585" s="77"/>
      <c r="AH585" s="497">
        <v>19.399999999999999</v>
      </c>
      <c r="AJ585" s="42"/>
      <c r="AK585" s="74"/>
      <c r="AL585" s="77"/>
      <c r="AN585" s="497">
        <v>24.98</v>
      </c>
      <c r="AP585" s="42"/>
      <c r="AQ585" s="74"/>
      <c r="AR585" s="77"/>
      <c r="AT585" s="497">
        <v>33.08</v>
      </c>
      <c r="AV585" s="42"/>
      <c r="AW585" s="74"/>
      <c r="AX585" s="77"/>
      <c r="BA585" s="497">
        <v>17.96</v>
      </c>
      <c r="BB585" s="42"/>
      <c r="BC585" s="74"/>
      <c r="BD585" s="77"/>
      <c r="BF585">
        <v>19.939999999999998</v>
      </c>
      <c r="BH585" s="42"/>
      <c r="BI585" s="74"/>
      <c r="BJ585" s="77"/>
      <c r="BL585" s="497">
        <v>15.079999999999998</v>
      </c>
      <c r="BN585" s="42"/>
      <c r="BO585" s="74"/>
      <c r="BP585" s="77"/>
      <c r="BR585" s="497">
        <v>12.02</v>
      </c>
      <c r="BT585" s="42"/>
    </row>
    <row r="586" spans="1:72" x14ac:dyDescent="0.25">
      <c r="A586" s="90">
        <v>36184</v>
      </c>
      <c r="B586" s="20">
        <v>0.66666666666666663</v>
      </c>
      <c r="D586">
        <v>39.019999999999996</v>
      </c>
      <c r="E586" t="str">
        <f t="shared" si="52"/>
        <v>SUNDAY</v>
      </c>
      <c r="F586" t="e">
        <f t="shared" si="53"/>
        <v>#N/A</v>
      </c>
      <c r="G586" s="74">
        <v>27783</v>
      </c>
      <c r="H586" s="77">
        <v>0.66666666666666663</v>
      </c>
      <c r="J586">
        <v>23</v>
      </c>
      <c r="M586" s="74">
        <v>37645</v>
      </c>
      <c r="N586" s="77">
        <v>0.66666666666666663</v>
      </c>
      <c r="P586">
        <v>24.8</v>
      </c>
      <c r="S586" s="74">
        <v>36184</v>
      </c>
      <c r="T586" s="77">
        <v>0.66666666666666663</v>
      </c>
      <c r="V586">
        <v>48.92</v>
      </c>
      <c r="X586" s="42"/>
      <c r="AB586">
        <v>36.200000000000003</v>
      </c>
      <c r="AC586">
        <v>35.96</v>
      </c>
      <c r="AE586" s="74"/>
      <c r="AF586" s="77"/>
      <c r="AH586" s="497">
        <v>21.2</v>
      </c>
      <c r="AJ586" s="42"/>
      <c r="AK586" s="74"/>
      <c r="AL586" s="77"/>
      <c r="AN586" s="497">
        <v>24.08</v>
      </c>
      <c r="AP586" s="42"/>
      <c r="AQ586" s="74"/>
      <c r="AR586" s="77"/>
      <c r="AT586" s="497">
        <v>33.08</v>
      </c>
      <c r="AV586" s="42"/>
      <c r="AW586" s="74"/>
      <c r="AX586" s="77"/>
      <c r="BA586" s="497">
        <v>19.04</v>
      </c>
      <c r="BB586" s="42"/>
      <c r="BC586" s="74"/>
      <c r="BD586" s="77"/>
      <c r="BF586">
        <v>19.04</v>
      </c>
      <c r="BH586" s="42"/>
      <c r="BI586" s="74"/>
      <c r="BJ586" s="77"/>
      <c r="BL586" s="497">
        <v>15.079999999999998</v>
      </c>
      <c r="BN586" s="42"/>
      <c r="BO586" s="74"/>
      <c r="BP586" s="77"/>
      <c r="BR586" s="497">
        <v>10.039999999999999</v>
      </c>
      <c r="BT586" s="42"/>
    </row>
    <row r="587" spans="1:72" x14ac:dyDescent="0.25">
      <c r="A587" s="90">
        <v>36184</v>
      </c>
      <c r="B587" s="20">
        <v>0.70833333333333337</v>
      </c>
      <c r="D587">
        <v>39.019999999999996</v>
      </c>
      <c r="E587" t="str">
        <f t="shared" si="52"/>
        <v>SUNDAY</v>
      </c>
      <c r="F587" t="e">
        <f t="shared" si="53"/>
        <v>#N/A</v>
      </c>
      <c r="G587" s="74">
        <v>27783</v>
      </c>
      <c r="H587" s="77">
        <v>0.70833333333333337</v>
      </c>
      <c r="J587">
        <v>23</v>
      </c>
      <c r="M587" s="74">
        <v>37645</v>
      </c>
      <c r="N587" s="77">
        <v>0.70833333333333337</v>
      </c>
      <c r="P587">
        <v>23</v>
      </c>
      <c r="S587" s="74">
        <v>36184</v>
      </c>
      <c r="T587" s="77">
        <v>0.70833333333333337</v>
      </c>
      <c r="V587">
        <v>48.92</v>
      </c>
      <c r="X587" s="42"/>
      <c r="AB587">
        <v>35.799999999999997</v>
      </c>
      <c r="AC587">
        <v>33.08</v>
      </c>
      <c r="AE587" s="74"/>
      <c r="AF587" s="77"/>
      <c r="AH587" s="497">
        <v>21.2</v>
      </c>
      <c r="AJ587" s="42"/>
      <c r="AK587" s="74"/>
      <c r="AL587" s="77"/>
      <c r="AN587" s="497">
        <v>24.08</v>
      </c>
      <c r="AP587" s="42"/>
      <c r="AQ587" s="74"/>
      <c r="AR587" s="77"/>
      <c r="AT587" s="497">
        <v>30.02</v>
      </c>
      <c r="AV587" s="42"/>
      <c r="AW587" s="74"/>
      <c r="AX587" s="77"/>
      <c r="BA587" s="497">
        <v>17.78</v>
      </c>
      <c r="BB587" s="42"/>
      <c r="BC587" s="74"/>
      <c r="BD587" s="77"/>
      <c r="BF587">
        <v>17.96</v>
      </c>
      <c r="BH587" s="42"/>
      <c r="BI587" s="74"/>
      <c r="BJ587" s="77"/>
      <c r="BL587" s="497">
        <v>14.36</v>
      </c>
      <c r="BN587" s="42"/>
      <c r="BO587" s="74"/>
      <c r="BP587" s="77"/>
      <c r="BR587" s="497">
        <v>8.9599999999999973</v>
      </c>
      <c r="BT587" s="42"/>
    </row>
    <row r="588" spans="1:72" x14ac:dyDescent="0.25">
      <c r="A588" s="90">
        <v>36184</v>
      </c>
      <c r="B588" s="20">
        <v>0.75</v>
      </c>
      <c r="D588">
        <v>37.04</v>
      </c>
      <c r="E588" t="str">
        <f t="shared" si="52"/>
        <v>SUNDAY</v>
      </c>
      <c r="F588" t="e">
        <f t="shared" si="53"/>
        <v>#N/A</v>
      </c>
      <c r="G588" s="74">
        <v>27783</v>
      </c>
      <c r="H588" s="77">
        <v>0.75</v>
      </c>
      <c r="J588">
        <v>23</v>
      </c>
      <c r="M588" s="74">
        <v>37645</v>
      </c>
      <c r="N588" s="77">
        <v>0.75</v>
      </c>
      <c r="P588">
        <v>21.2</v>
      </c>
      <c r="S588" s="74">
        <v>36184</v>
      </c>
      <c r="T588" s="77">
        <v>0.75</v>
      </c>
      <c r="V588">
        <v>48.2</v>
      </c>
      <c r="X588" s="42"/>
      <c r="AB588">
        <v>34.700000000000003</v>
      </c>
      <c r="AC588">
        <v>30.92</v>
      </c>
      <c r="AE588" s="74"/>
      <c r="AF588" s="77"/>
      <c r="AH588" s="497">
        <v>21.2</v>
      </c>
      <c r="AJ588" s="42"/>
      <c r="AK588" s="74"/>
      <c r="AL588" s="77"/>
      <c r="AN588" s="497">
        <v>23</v>
      </c>
      <c r="AP588" s="42"/>
      <c r="AQ588" s="74"/>
      <c r="AR588" s="77"/>
      <c r="AT588" s="497">
        <v>28.04</v>
      </c>
      <c r="AV588" s="42"/>
      <c r="AW588" s="74"/>
      <c r="AX588" s="77"/>
      <c r="BA588" s="497">
        <v>16.340000000000003</v>
      </c>
      <c r="BB588" s="42"/>
      <c r="BC588" s="74"/>
      <c r="BD588" s="77"/>
      <c r="BF588">
        <v>15.079999999999998</v>
      </c>
      <c r="BH588" s="42"/>
      <c r="BI588" s="74"/>
      <c r="BJ588" s="77"/>
      <c r="BL588" s="497">
        <v>13.64</v>
      </c>
      <c r="BN588" s="42"/>
      <c r="BO588" s="74"/>
      <c r="BP588" s="77"/>
      <c r="BR588" s="497">
        <v>6.98</v>
      </c>
      <c r="BT588" s="42"/>
    </row>
    <row r="589" spans="1:72" x14ac:dyDescent="0.25">
      <c r="A589" s="90">
        <v>36184</v>
      </c>
      <c r="B589" s="20">
        <v>0.79166666666666663</v>
      </c>
      <c r="D589">
        <v>35.06</v>
      </c>
      <c r="E589" t="str">
        <f t="shared" si="52"/>
        <v>SUNDAY</v>
      </c>
      <c r="F589" t="e">
        <f t="shared" si="53"/>
        <v>#N/A</v>
      </c>
      <c r="G589" s="74">
        <v>27783</v>
      </c>
      <c r="H589" s="77">
        <v>0.79166666666666663</v>
      </c>
      <c r="J589">
        <v>23</v>
      </c>
      <c r="M589" s="74">
        <v>37645</v>
      </c>
      <c r="N589" s="77">
        <v>0.79166666666666663</v>
      </c>
      <c r="P589">
        <v>21.2</v>
      </c>
      <c r="S589" s="74">
        <v>36184</v>
      </c>
      <c r="T589" s="77">
        <v>0.79166666666666663</v>
      </c>
      <c r="V589">
        <v>50</v>
      </c>
      <c r="X589" s="42"/>
      <c r="AB589">
        <v>33.9</v>
      </c>
      <c r="AC589">
        <v>28.04</v>
      </c>
      <c r="AE589" s="74"/>
      <c r="AF589" s="77"/>
      <c r="AH589" s="497">
        <v>19.399999999999999</v>
      </c>
      <c r="AJ589" s="42"/>
      <c r="AK589" s="74"/>
      <c r="AL589" s="77"/>
      <c r="AN589" s="497">
        <v>21.02</v>
      </c>
      <c r="AP589" s="42"/>
      <c r="AQ589" s="74"/>
      <c r="AR589" s="77"/>
      <c r="AT589" s="497">
        <v>23</v>
      </c>
      <c r="AV589" s="42"/>
      <c r="AW589" s="74"/>
      <c r="AX589" s="77"/>
      <c r="BA589" s="497">
        <v>15.079999999999998</v>
      </c>
      <c r="BB589" s="42"/>
      <c r="BC589" s="74"/>
      <c r="BD589" s="77"/>
      <c r="BF589">
        <v>17.059999999999999</v>
      </c>
      <c r="BH589" s="42"/>
      <c r="BI589" s="74"/>
      <c r="BJ589" s="77"/>
      <c r="BL589" s="497">
        <v>12.920000000000002</v>
      </c>
      <c r="BN589" s="42"/>
      <c r="BO589" s="74"/>
      <c r="BP589" s="77"/>
      <c r="BR589" s="497">
        <v>6.0799999999999983</v>
      </c>
      <c r="BT589" s="42"/>
    </row>
    <row r="590" spans="1:72" x14ac:dyDescent="0.25">
      <c r="A590" s="90">
        <v>36184</v>
      </c>
      <c r="B590" s="20">
        <v>0.83333333333333337</v>
      </c>
      <c r="D590">
        <v>33.08</v>
      </c>
      <c r="E590" t="str">
        <f t="shared" si="52"/>
        <v>SUNDAY</v>
      </c>
      <c r="F590" t="e">
        <f t="shared" si="53"/>
        <v>#N/A</v>
      </c>
      <c r="G590" s="74">
        <v>27783</v>
      </c>
      <c r="H590" s="77">
        <v>0.83333333333333337</v>
      </c>
      <c r="J590">
        <v>23</v>
      </c>
      <c r="M590" s="74">
        <v>37645</v>
      </c>
      <c r="N590" s="77">
        <v>0.83333333333333337</v>
      </c>
      <c r="P590">
        <v>21.2</v>
      </c>
      <c r="S590" s="74">
        <v>36184</v>
      </c>
      <c r="T590" s="77">
        <v>0.83333333333333337</v>
      </c>
      <c r="V590">
        <v>50</v>
      </c>
      <c r="X590" s="42"/>
      <c r="AB590">
        <v>33.6</v>
      </c>
      <c r="AC590">
        <v>30.02</v>
      </c>
      <c r="AE590" s="74"/>
      <c r="AF590" s="77"/>
      <c r="AH590" s="497">
        <v>19.399999999999999</v>
      </c>
      <c r="AJ590" s="42"/>
      <c r="AK590" s="74"/>
      <c r="AL590" s="77"/>
      <c r="AN590" s="497">
        <v>19.939999999999998</v>
      </c>
      <c r="AP590" s="42"/>
      <c r="AQ590" s="74"/>
      <c r="AR590" s="77"/>
      <c r="AT590" s="497">
        <v>21.92</v>
      </c>
      <c r="AV590" s="42"/>
      <c r="AW590" s="74"/>
      <c r="AX590" s="77"/>
      <c r="BA590" s="497">
        <v>15.079999999999998</v>
      </c>
      <c r="BB590" s="42"/>
      <c r="BC590" s="74"/>
      <c r="BD590" s="77"/>
      <c r="BF590">
        <v>15.98</v>
      </c>
      <c r="BH590" s="42"/>
      <c r="BI590" s="74"/>
      <c r="BJ590" s="77"/>
      <c r="BL590" s="497">
        <v>12.920000000000002</v>
      </c>
      <c r="BN590" s="42"/>
      <c r="BO590" s="74"/>
      <c r="BP590" s="77"/>
      <c r="BR590" s="497">
        <v>5</v>
      </c>
      <c r="BT590" s="42"/>
    </row>
    <row r="591" spans="1:72" x14ac:dyDescent="0.25">
      <c r="A591" s="90">
        <v>36184</v>
      </c>
      <c r="B591" s="20">
        <v>0.875</v>
      </c>
      <c r="D591">
        <v>33.08</v>
      </c>
      <c r="E591" t="str">
        <f t="shared" si="52"/>
        <v>SUNDAY</v>
      </c>
      <c r="F591" t="e">
        <f t="shared" si="53"/>
        <v>#N/A</v>
      </c>
      <c r="G591" s="74">
        <v>27783</v>
      </c>
      <c r="H591" s="77">
        <v>0.875</v>
      </c>
      <c r="J591">
        <v>23</v>
      </c>
      <c r="M591" s="74">
        <v>37645</v>
      </c>
      <c r="N591" s="77">
        <v>0.875</v>
      </c>
      <c r="P591">
        <v>19.399999999999999</v>
      </c>
      <c r="S591" s="74">
        <v>36184</v>
      </c>
      <c r="T591" s="77">
        <v>0.875</v>
      </c>
      <c r="V591">
        <v>44.96</v>
      </c>
      <c r="X591" s="42"/>
      <c r="AB591">
        <v>33</v>
      </c>
      <c r="AC591">
        <v>28.94</v>
      </c>
      <c r="AE591" s="74"/>
      <c r="AF591" s="77"/>
      <c r="AH591" s="497">
        <v>19.399999999999999</v>
      </c>
      <c r="AJ591" s="42"/>
      <c r="AK591" s="74"/>
      <c r="AL591" s="77"/>
      <c r="AN591" s="497">
        <v>21.02</v>
      </c>
      <c r="AP591" s="42"/>
      <c r="AQ591" s="74"/>
      <c r="AR591" s="77"/>
      <c r="AT591" s="497">
        <v>23</v>
      </c>
      <c r="AV591" s="42"/>
      <c r="AW591" s="74"/>
      <c r="AX591" s="77"/>
      <c r="BA591" s="497">
        <v>15.079999999999998</v>
      </c>
      <c r="BB591" s="42"/>
      <c r="BC591" s="74"/>
      <c r="BD591" s="77"/>
      <c r="BF591">
        <v>15.98</v>
      </c>
      <c r="BH591" s="42"/>
      <c r="BI591" s="74"/>
      <c r="BJ591" s="77"/>
      <c r="BL591" s="497">
        <v>12.920000000000002</v>
      </c>
      <c r="BN591" s="42"/>
      <c r="BO591" s="74"/>
      <c r="BP591" s="77"/>
      <c r="BR591" s="497">
        <v>3.9200000000000017</v>
      </c>
      <c r="BT591" s="42"/>
    </row>
    <row r="592" spans="1:72" x14ac:dyDescent="0.25">
      <c r="A592" s="90">
        <v>36184</v>
      </c>
      <c r="B592" s="20">
        <v>0.91666666666666663</v>
      </c>
      <c r="D592">
        <v>30.92</v>
      </c>
      <c r="E592" t="str">
        <f t="shared" si="52"/>
        <v>SUNDAY</v>
      </c>
      <c r="F592" t="e">
        <f t="shared" si="53"/>
        <v>#N/A</v>
      </c>
      <c r="G592" s="74">
        <v>27783</v>
      </c>
      <c r="H592" s="77">
        <v>0.91666666666666663</v>
      </c>
      <c r="J592">
        <v>23</v>
      </c>
      <c r="M592" s="74">
        <v>37645</v>
      </c>
      <c r="N592" s="77">
        <v>0.91666666666666663</v>
      </c>
      <c r="P592">
        <v>19.399999999999999</v>
      </c>
      <c r="S592" s="74">
        <v>36184</v>
      </c>
      <c r="T592" s="77">
        <v>0.91666666666666663</v>
      </c>
      <c r="V592">
        <v>44.06</v>
      </c>
      <c r="X592" s="42"/>
      <c r="AB592">
        <v>32.299999999999997</v>
      </c>
      <c r="AC592">
        <v>28.94</v>
      </c>
      <c r="AE592" s="74"/>
      <c r="AF592" s="77"/>
      <c r="AH592" s="497">
        <v>17.600000000000001</v>
      </c>
      <c r="AJ592" s="42"/>
      <c r="AK592" s="74"/>
      <c r="AL592" s="77"/>
      <c r="AN592" s="497">
        <v>19.939999999999998</v>
      </c>
      <c r="AP592" s="42"/>
      <c r="AQ592" s="74"/>
      <c r="AR592" s="77"/>
      <c r="AT592" s="497">
        <v>23</v>
      </c>
      <c r="AV592" s="42"/>
      <c r="AW592" s="74"/>
      <c r="AX592" s="77"/>
      <c r="BA592" s="497">
        <v>15.079999999999998</v>
      </c>
      <c r="BB592" s="42"/>
      <c r="BC592" s="74"/>
      <c r="BD592" s="77"/>
      <c r="BF592">
        <v>15.98</v>
      </c>
      <c r="BH592" s="42"/>
      <c r="BI592" s="74"/>
      <c r="BJ592" s="77"/>
      <c r="BL592" s="497">
        <v>12.920000000000002</v>
      </c>
      <c r="BN592" s="42"/>
      <c r="BO592" s="74"/>
      <c r="BP592" s="77"/>
      <c r="BR592" s="497">
        <v>3.9200000000000017</v>
      </c>
      <c r="BT592" s="42"/>
    </row>
    <row r="593" spans="1:72" x14ac:dyDescent="0.25">
      <c r="A593" s="90">
        <v>36184</v>
      </c>
      <c r="B593" s="20">
        <v>0.95833333333333337</v>
      </c>
      <c r="D593">
        <v>28.04</v>
      </c>
      <c r="E593" t="str">
        <f t="shared" si="52"/>
        <v>SUNDAY</v>
      </c>
      <c r="F593" t="e">
        <f t="shared" si="53"/>
        <v>#N/A</v>
      </c>
      <c r="G593" s="74">
        <v>27783</v>
      </c>
      <c r="H593" s="77">
        <v>0.95833333333333337</v>
      </c>
      <c r="J593">
        <v>23</v>
      </c>
      <c r="M593" s="74">
        <v>37645</v>
      </c>
      <c r="N593" s="77">
        <v>0.95833333333333337</v>
      </c>
      <c r="P593">
        <v>19.399999999999999</v>
      </c>
      <c r="S593" s="74">
        <v>36184</v>
      </c>
      <c r="T593" s="77">
        <v>0.95833333333333337</v>
      </c>
      <c r="V593">
        <v>42.980000000000004</v>
      </c>
      <c r="X593" s="42"/>
      <c r="AB593">
        <v>31.8</v>
      </c>
      <c r="AC593">
        <v>30.02</v>
      </c>
      <c r="AE593" s="74"/>
      <c r="AF593" s="77"/>
      <c r="AH593" s="497">
        <v>17.600000000000001</v>
      </c>
      <c r="AJ593" s="42"/>
      <c r="AK593" s="74"/>
      <c r="AL593" s="77"/>
      <c r="AN593" s="497">
        <v>19.939999999999998</v>
      </c>
      <c r="AP593" s="42"/>
      <c r="AQ593" s="74"/>
      <c r="AR593" s="77"/>
      <c r="AT593" s="497">
        <v>24.08</v>
      </c>
      <c r="AV593" s="42"/>
      <c r="AW593" s="74"/>
      <c r="AX593" s="77"/>
      <c r="BA593" s="497">
        <v>14.36</v>
      </c>
      <c r="BB593" s="42"/>
      <c r="BC593" s="74"/>
      <c r="BD593" s="77"/>
      <c r="BF593">
        <v>15.98</v>
      </c>
      <c r="BH593" s="42"/>
      <c r="BI593" s="74"/>
      <c r="BJ593" s="77"/>
      <c r="BL593" s="497">
        <v>12.920000000000002</v>
      </c>
      <c r="BN593" s="42"/>
      <c r="BO593" s="74"/>
      <c r="BP593" s="77"/>
      <c r="BR593" s="497">
        <v>3.9200000000000017</v>
      </c>
      <c r="BT593" s="42"/>
    </row>
    <row r="594" spans="1:72" x14ac:dyDescent="0.25">
      <c r="A594" s="90">
        <v>36184</v>
      </c>
      <c r="B594" s="20">
        <v>1</v>
      </c>
      <c r="D594">
        <v>26.060000000000002</v>
      </c>
      <c r="E594" t="str">
        <f t="shared" si="52"/>
        <v>SUNDAY</v>
      </c>
      <c r="F594" t="e">
        <f t="shared" si="53"/>
        <v>#N/A</v>
      </c>
      <c r="G594" s="74">
        <v>27783</v>
      </c>
      <c r="H594" s="77">
        <v>1</v>
      </c>
      <c r="J594">
        <v>21.92</v>
      </c>
      <c r="M594" s="74">
        <v>37645</v>
      </c>
      <c r="N594" s="80">
        <v>1</v>
      </c>
      <c r="P594">
        <v>19.399999999999999</v>
      </c>
      <c r="S594" s="74">
        <v>36184</v>
      </c>
      <c r="T594" s="80">
        <v>1</v>
      </c>
      <c r="V594">
        <v>41</v>
      </c>
      <c r="X594" s="42"/>
      <c r="AB594">
        <v>31.4</v>
      </c>
      <c r="AC594">
        <v>30.92</v>
      </c>
      <c r="AE594" s="74"/>
      <c r="AF594" s="80"/>
      <c r="AH594" s="497">
        <v>17.600000000000001</v>
      </c>
      <c r="AJ594" s="42"/>
      <c r="AK594" s="74"/>
      <c r="AL594" s="80"/>
      <c r="AN594" s="497">
        <v>19.939999999999998</v>
      </c>
      <c r="AP594" s="42"/>
      <c r="AQ594" s="74"/>
      <c r="AR594" s="80"/>
      <c r="AT594" s="497">
        <v>24.98</v>
      </c>
      <c r="AV594" s="42"/>
      <c r="AW594" s="74"/>
      <c r="AX594" s="80"/>
      <c r="BA594" s="497">
        <v>13.64</v>
      </c>
      <c r="BB594" s="42"/>
      <c r="BC594" s="74"/>
      <c r="BD594" s="80"/>
      <c r="BF594">
        <v>17.059999999999999</v>
      </c>
      <c r="BH594" s="42"/>
      <c r="BI594" s="74"/>
      <c r="BJ594" s="80"/>
      <c r="BL594" s="497">
        <v>12.920000000000002</v>
      </c>
      <c r="BN594" s="42"/>
      <c r="BO594" s="74"/>
      <c r="BP594" s="80"/>
      <c r="BR594" s="497">
        <v>3.9200000000000017</v>
      </c>
      <c r="BT594" s="42"/>
    </row>
    <row r="595" spans="1:72" x14ac:dyDescent="0.25">
      <c r="A595" s="90">
        <v>36185</v>
      </c>
      <c r="B595" s="20">
        <v>4.1666666666666664E-2</v>
      </c>
      <c r="D595">
        <v>24.98</v>
      </c>
      <c r="E595" t="str">
        <f t="shared" ref="E595:E658" si="54">IF(COUNTIF($DI$18:$DI$22, WEEKDAY(A595))=1, "WEEKDAY", IF(WEEKDAY(A595) = 1, "SUNDAY", "SATURDAY"))</f>
        <v>WEEKDAY</v>
      </c>
      <c r="F595" t="e">
        <f t="shared" si="53"/>
        <v>#N/A</v>
      </c>
      <c r="G595" s="74">
        <v>27784</v>
      </c>
      <c r="H595" s="77">
        <v>4.1666666666666664E-2</v>
      </c>
      <c r="J595">
        <v>23</v>
      </c>
      <c r="M595" s="74">
        <v>37646</v>
      </c>
      <c r="N595" s="77">
        <v>4.1666666666666664E-2</v>
      </c>
      <c r="P595">
        <v>17.600000000000001</v>
      </c>
      <c r="S595" s="74">
        <v>36185</v>
      </c>
      <c r="T595" s="77">
        <v>4.1666666666666664E-2</v>
      </c>
      <c r="V595">
        <v>39.92</v>
      </c>
      <c r="X595" s="42"/>
      <c r="AB595">
        <v>30.8</v>
      </c>
      <c r="AC595">
        <v>30.92</v>
      </c>
      <c r="AE595" s="74"/>
      <c r="AF595" s="77"/>
      <c r="AH595" s="497">
        <v>17.600000000000001</v>
      </c>
      <c r="AJ595" s="42"/>
      <c r="AK595" s="74"/>
      <c r="AL595" s="77"/>
      <c r="AN595" s="497">
        <v>19.939999999999998</v>
      </c>
      <c r="AP595" s="42"/>
      <c r="AQ595" s="74"/>
      <c r="AR595" s="77"/>
      <c r="AT595" s="497">
        <v>24.98</v>
      </c>
      <c r="AV595" s="42"/>
      <c r="AW595" s="74"/>
      <c r="AX595" s="77"/>
      <c r="BA595" s="497">
        <v>12.920000000000002</v>
      </c>
      <c r="BB595" s="42"/>
      <c r="BC595" s="74"/>
      <c r="BD595" s="77"/>
      <c r="BF595">
        <v>15.98</v>
      </c>
      <c r="BH595" s="42"/>
      <c r="BI595" s="74"/>
      <c r="BJ595" s="77"/>
      <c r="BL595" s="497">
        <v>12.920000000000002</v>
      </c>
      <c r="BN595" s="42"/>
      <c r="BO595" s="74"/>
      <c r="BP595" s="77"/>
      <c r="BR595" s="497">
        <v>3.9200000000000017</v>
      </c>
      <c r="BT595" s="42"/>
    </row>
    <row r="596" spans="1:72" x14ac:dyDescent="0.25">
      <c r="A596" s="90">
        <v>36185</v>
      </c>
      <c r="B596" s="20">
        <v>8.3333333333333329E-2</v>
      </c>
      <c r="D596">
        <v>24.08</v>
      </c>
      <c r="E596" t="str">
        <f t="shared" si="54"/>
        <v>WEEKDAY</v>
      </c>
      <c r="F596" t="e">
        <f t="shared" si="53"/>
        <v>#N/A</v>
      </c>
      <c r="G596" s="74">
        <v>27784</v>
      </c>
      <c r="H596" s="77">
        <v>8.3333333333333329E-2</v>
      </c>
      <c r="J596">
        <v>23</v>
      </c>
      <c r="M596" s="74">
        <v>37646</v>
      </c>
      <c r="N596" s="77">
        <v>8.3333333333333329E-2</v>
      </c>
      <c r="P596">
        <v>17.600000000000001</v>
      </c>
      <c r="S596" s="74">
        <v>36185</v>
      </c>
      <c r="T596" s="77">
        <v>8.3333333333333329E-2</v>
      </c>
      <c r="V596">
        <v>39.92</v>
      </c>
      <c r="X596" s="42"/>
      <c r="AB596">
        <v>30.4</v>
      </c>
      <c r="AC596">
        <v>32</v>
      </c>
      <c r="AE596" s="74"/>
      <c r="AF596" s="77"/>
      <c r="AH596" s="497">
        <v>17.600000000000001</v>
      </c>
      <c r="AJ596" s="42"/>
      <c r="AK596" s="74"/>
      <c r="AL596" s="77"/>
      <c r="AN596" s="497">
        <v>19.939999999999998</v>
      </c>
      <c r="AP596" s="42"/>
      <c r="AQ596" s="74"/>
      <c r="AR596" s="77"/>
      <c r="AT596" s="497">
        <v>24.98</v>
      </c>
      <c r="AV596" s="42"/>
      <c r="AW596" s="74"/>
      <c r="AX596" s="77"/>
      <c r="BA596" s="497">
        <v>12.920000000000002</v>
      </c>
      <c r="BB596" s="42"/>
      <c r="BC596" s="74"/>
      <c r="BD596" s="77"/>
      <c r="BF596">
        <v>17.059999999999999</v>
      </c>
      <c r="BH596" s="42"/>
      <c r="BI596" s="74"/>
      <c r="BJ596" s="77"/>
      <c r="BL596" s="497">
        <v>12.2</v>
      </c>
      <c r="BN596" s="42"/>
      <c r="BO596" s="74"/>
      <c r="BP596" s="77"/>
      <c r="BR596" s="497">
        <v>3.9200000000000017</v>
      </c>
      <c r="BT596" s="42"/>
    </row>
    <row r="597" spans="1:72" x14ac:dyDescent="0.25">
      <c r="A597" s="90">
        <v>36185</v>
      </c>
      <c r="B597" s="20">
        <v>0.125</v>
      </c>
      <c r="D597">
        <v>23</v>
      </c>
      <c r="E597" t="str">
        <f t="shared" si="54"/>
        <v>WEEKDAY</v>
      </c>
      <c r="F597" t="e">
        <f t="shared" si="53"/>
        <v>#N/A</v>
      </c>
      <c r="G597" s="74">
        <v>27784</v>
      </c>
      <c r="H597" s="77">
        <v>0.125</v>
      </c>
      <c r="J597">
        <v>23</v>
      </c>
      <c r="M597" s="74">
        <v>37646</v>
      </c>
      <c r="N597" s="77">
        <v>0.125</v>
      </c>
      <c r="P597">
        <v>15.8</v>
      </c>
      <c r="S597" s="74">
        <v>36185</v>
      </c>
      <c r="T597" s="77">
        <v>0.125</v>
      </c>
      <c r="V597">
        <v>37.94</v>
      </c>
      <c r="X597" s="42"/>
      <c r="AB597">
        <v>29.9</v>
      </c>
      <c r="AC597">
        <v>30.92</v>
      </c>
      <c r="AE597" s="74"/>
      <c r="AF597" s="77"/>
      <c r="AH597" s="497">
        <v>17.600000000000001</v>
      </c>
      <c r="AJ597" s="42"/>
      <c r="AK597" s="74"/>
      <c r="AL597" s="77"/>
      <c r="AN597" s="497">
        <v>19.939999999999998</v>
      </c>
      <c r="AP597" s="42"/>
      <c r="AQ597" s="74"/>
      <c r="AR597" s="77"/>
      <c r="AT597" s="497">
        <v>24.98</v>
      </c>
      <c r="AV597" s="42"/>
      <c r="AW597" s="74"/>
      <c r="AX597" s="77"/>
      <c r="BA597" s="497">
        <v>12.920000000000002</v>
      </c>
      <c r="BB597" s="42"/>
      <c r="BC597" s="74"/>
      <c r="BD597" s="77"/>
      <c r="BF597">
        <v>15.98</v>
      </c>
      <c r="BH597" s="42"/>
      <c r="BI597" s="74"/>
      <c r="BJ597" s="77"/>
      <c r="BL597" s="497">
        <v>11.659999999999997</v>
      </c>
      <c r="BN597" s="42"/>
      <c r="BO597" s="74"/>
      <c r="BP597" s="77"/>
      <c r="BR597" s="497">
        <v>3.9200000000000017</v>
      </c>
      <c r="BT597" s="42"/>
    </row>
    <row r="598" spans="1:72" x14ac:dyDescent="0.25">
      <c r="A598" s="90">
        <v>36185</v>
      </c>
      <c r="B598" s="20">
        <v>0.16666666666666666</v>
      </c>
      <c r="D598">
        <v>21.02</v>
      </c>
      <c r="E598" t="str">
        <f t="shared" si="54"/>
        <v>WEEKDAY</v>
      </c>
      <c r="F598" t="e">
        <f t="shared" si="53"/>
        <v>#N/A</v>
      </c>
      <c r="G598" s="74">
        <v>27784</v>
      </c>
      <c r="H598" s="77">
        <v>0.16666666666666666</v>
      </c>
      <c r="J598">
        <v>21.92</v>
      </c>
      <c r="M598" s="74">
        <v>37646</v>
      </c>
      <c r="N598" s="77">
        <v>0.16666666666666666</v>
      </c>
      <c r="P598">
        <v>15.8</v>
      </c>
      <c r="S598" s="74">
        <v>36185</v>
      </c>
      <c r="T598" s="77">
        <v>0.16666666666666666</v>
      </c>
      <c r="V598">
        <v>37.94</v>
      </c>
      <c r="X598" s="42"/>
      <c r="AB598">
        <v>29.6</v>
      </c>
      <c r="AC598">
        <v>30.92</v>
      </c>
      <c r="AE598" s="74"/>
      <c r="AF598" s="77"/>
      <c r="AH598" s="497">
        <v>15.8</v>
      </c>
      <c r="AJ598" s="42"/>
      <c r="AK598" s="74"/>
      <c r="AL598" s="77"/>
      <c r="AN598" s="497">
        <v>19.939999999999998</v>
      </c>
      <c r="AP598" s="42"/>
      <c r="AQ598" s="74"/>
      <c r="AR598" s="77"/>
      <c r="AT598" s="497">
        <v>26.96</v>
      </c>
      <c r="AV598" s="42"/>
      <c r="AW598" s="74"/>
      <c r="AX598" s="77"/>
      <c r="BA598" s="497">
        <v>12.920000000000002</v>
      </c>
      <c r="BB598" s="42"/>
      <c r="BC598" s="74"/>
      <c r="BD598" s="77"/>
      <c r="BF598">
        <v>15.98</v>
      </c>
      <c r="BH598" s="42"/>
      <c r="BI598" s="74"/>
      <c r="BJ598" s="77"/>
      <c r="BL598" s="497">
        <v>10.940000000000001</v>
      </c>
      <c r="BN598" s="42"/>
      <c r="BO598" s="74"/>
      <c r="BP598" s="77"/>
      <c r="BR598" s="497">
        <v>3.9200000000000017</v>
      </c>
      <c r="BT598" s="42"/>
    </row>
    <row r="599" spans="1:72" x14ac:dyDescent="0.25">
      <c r="A599" s="90">
        <v>36185</v>
      </c>
      <c r="B599" s="20">
        <v>0.20833333333333334</v>
      </c>
      <c r="D599">
        <v>19.939999999999998</v>
      </c>
      <c r="E599" t="str">
        <f t="shared" si="54"/>
        <v>WEEKDAY</v>
      </c>
      <c r="F599" t="e">
        <f t="shared" si="53"/>
        <v>#N/A</v>
      </c>
      <c r="G599" s="74">
        <v>27784</v>
      </c>
      <c r="H599" s="77">
        <v>0.20833333333333334</v>
      </c>
      <c r="J599">
        <v>23</v>
      </c>
      <c r="M599" s="74">
        <v>37646</v>
      </c>
      <c r="N599" s="77">
        <v>0.20833333333333334</v>
      </c>
      <c r="P599">
        <v>15.8</v>
      </c>
      <c r="S599" s="74">
        <v>36185</v>
      </c>
      <c r="T599" s="77">
        <v>0.20833333333333334</v>
      </c>
      <c r="V599">
        <v>37.94</v>
      </c>
      <c r="X599" s="42"/>
      <c r="AB599">
        <v>29.2</v>
      </c>
      <c r="AC599">
        <v>28.94</v>
      </c>
      <c r="AE599" s="74"/>
      <c r="AF599" s="77"/>
      <c r="AH599" s="497">
        <v>5</v>
      </c>
      <c r="AJ599" s="42"/>
      <c r="AK599" s="74"/>
      <c r="AL599" s="77"/>
      <c r="AN599" s="497">
        <v>19.939999999999998</v>
      </c>
      <c r="AP599" s="42"/>
      <c r="AQ599" s="74"/>
      <c r="AR599" s="77"/>
      <c r="AT599" s="497">
        <v>26.96</v>
      </c>
      <c r="AV599" s="42"/>
      <c r="AW599" s="74"/>
      <c r="AX599" s="77"/>
      <c r="BA599" s="497">
        <v>10.940000000000001</v>
      </c>
      <c r="BB599" s="42"/>
      <c r="BC599" s="74"/>
      <c r="BD599" s="77"/>
      <c r="BF599">
        <v>15.98</v>
      </c>
      <c r="BH599" s="42"/>
      <c r="BI599" s="74"/>
      <c r="BJ599" s="77"/>
      <c r="BL599" s="497">
        <v>11.3</v>
      </c>
      <c r="BN599" s="42"/>
      <c r="BO599" s="74"/>
      <c r="BP599" s="77"/>
      <c r="BR599" s="497">
        <v>3.019999999999996</v>
      </c>
      <c r="BT599" s="42"/>
    </row>
    <row r="600" spans="1:72" x14ac:dyDescent="0.25">
      <c r="A600" s="90">
        <v>36185</v>
      </c>
      <c r="B600" s="20">
        <v>0.25</v>
      </c>
      <c r="D600">
        <v>19.04</v>
      </c>
      <c r="E600" t="str">
        <f t="shared" si="54"/>
        <v>WEEKDAY</v>
      </c>
      <c r="F600" t="e">
        <f t="shared" si="53"/>
        <v>#N/A</v>
      </c>
      <c r="G600" s="74">
        <v>27784</v>
      </c>
      <c r="H600" s="77">
        <v>0.25</v>
      </c>
      <c r="J600">
        <v>23</v>
      </c>
      <c r="M600" s="74">
        <v>37646</v>
      </c>
      <c r="N600" s="77">
        <v>0.25</v>
      </c>
      <c r="P600">
        <v>15.8</v>
      </c>
      <c r="S600" s="74">
        <v>36185</v>
      </c>
      <c r="T600" s="77">
        <v>0.25</v>
      </c>
      <c r="V600">
        <v>37.94</v>
      </c>
      <c r="X600" s="42"/>
      <c r="AB600">
        <v>29</v>
      </c>
      <c r="AC600">
        <v>28.04</v>
      </c>
      <c r="AE600" s="74"/>
      <c r="AF600" s="77"/>
      <c r="AH600" s="497">
        <v>3.1999999999999993</v>
      </c>
      <c r="AJ600" s="42"/>
      <c r="AK600" s="74"/>
      <c r="AL600" s="77"/>
      <c r="AN600" s="497">
        <v>19.939999999999998</v>
      </c>
      <c r="AP600" s="42"/>
      <c r="AQ600" s="74"/>
      <c r="AR600" s="77"/>
      <c r="AT600" s="497">
        <v>26.96</v>
      </c>
      <c r="AV600" s="42"/>
      <c r="AW600" s="74"/>
      <c r="AX600" s="77"/>
      <c r="BA600" s="497">
        <v>8.9599999999999973</v>
      </c>
      <c r="BB600" s="42"/>
      <c r="BC600" s="74"/>
      <c r="BD600" s="77"/>
      <c r="BF600">
        <v>14</v>
      </c>
      <c r="BH600" s="42"/>
      <c r="BI600" s="74"/>
      <c r="BJ600" s="77"/>
      <c r="BL600" s="497">
        <v>11.659999999999997</v>
      </c>
      <c r="BN600" s="42"/>
      <c r="BO600" s="74"/>
      <c r="BP600" s="77"/>
      <c r="BR600" s="497">
        <v>3.9200000000000017</v>
      </c>
      <c r="BT600" s="42"/>
    </row>
    <row r="601" spans="1:72" x14ac:dyDescent="0.25">
      <c r="A601" s="90">
        <v>36185</v>
      </c>
      <c r="B601" s="20">
        <v>0.29166666666666669</v>
      </c>
      <c r="D601">
        <v>19.04</v>
      </c>
      <c r="E601" t="str">
        <f t="shared" si="54"/>
        <v>WEEKDAY</v>
      </c>
      <c r="F601" t="e">
        <f t="shared" si="53"/>
        <v>#N/A</v>
      </c>
      <c r="G601" s="74">
        <v>27784</v>
      </c>
      <c r="H601" s="77">
        <v>0.29166666666666669</v>
      </c>
      <c r="J601">
        <v>21.92</v>
      </c>
      <c r="M601" s="74">
        <v>37646</v>
      </c>
      <c r="N601" s="77">
        <v>0.29166666666666669</v>
      </c>
      <c r="P601">
        <v>17.600000000000001</v>
      </c>
      <c r="S601" s="74">
        <v>36185</v>
      </c>
      <c r="T601" s="77">
        <v>0.29166666666666669</v>
      </c>
      <c r="V601">
        <v>37.94</v>
      </c>
      <c r="X601" s="42"/>
      <c r="AB601">
        <v>28.9</v>
      </c>
      <c r="AC601">
        <v>28.22</v>
      </c>
      <c r="AE601" s="74"/>
      <c r="AF601" s="77"/>
      <c r="AH601" s="497">
        <v>3.1999999999999993</v>
      </c>
      <c r="AJ601" s="42"/>
      <c r="AK601" s="74"/>
      <c r="AL601" s="77"/>
      <c r="AN601" s="497">
        <v>21.02</v>
      </c>
      <c r="AP601" s="42"/>
      <c r="AQ601" s="74"/>
      <c r="AR601" s="77"/>
      <c r="AT601" s="497">
        <v>26.96</v>
      </c>
      <c r="AV601" s="42"/>
      <c r="AW601" s="74"/>
      <c r="AX601" s="77"/>
      <c r="BA601" s="497">
        <v>6.98</v>
      </c>
      <c r="BB601" s="42"/>
      <c r="BC601" s="74"/>
      <c r="BD601" s="77"/>
      <c r="BF601">
        <v>14</v>
      </c>
      <c r="BH601" s="42"/>
      <c r="BI601" s="74"/>
      <c r="BJ601" s="77"/>
      <c r="BL601" s="497">
        <v>12.02</v>
      </c>
      <c r="BN601" s="42"/>
      <c r="BO601" s="74"/>
      <c r="BP601" s="77"/>
      <c r="BR601" s="497">
        <v>5</v>
      </c>
      <c r="BT601" s="42"/>
    </row>
    <row r="602" spans="1:72" x14ac:dyDescent="0.25">
      <c r="A602" s="90">
        <v>36185</v>
      </c>
      <c r="B602" s="20">
        <v>0.33333333333333331</v>
      </c>
      <c r="D602">
        <v>17.96</v>
      </c>
      <c r="E602" t="str">
        <f t="shared" si="54"/>
        <v>WEEKDAY</v>
      </c>
      <c r="F602" t="e">
        <f t="shared" si="53"/>
        <v>#N/A</v>
      </c>
      <c r="G602" s="74">
        <v>27784</v>
      </c>
      <c r="H602" s="77">
        <v>0.33333333333333331</v>
      </c>
      <c r="J602">
        <v>21.92</v>
      </c>
      <c r="M602" s="74">
        <v>37646</v>
      </c>
      <c r="N602" s="77">
        <v>0.33333333333333331</v>
      </c>
      <c r="P602">
        <v>17.600000000000001</v>
      </c>
      <c r="S602" s="74">
        <v>36185</v>
      </c>
      <c r="T602" s="77">
        <v>0.33333333333333331</v>
      </c>
      <c r="V602">
        <v>39.019999999999996</v>
      </c>
      <c r="X602" s="42"/>
      <c r="AB602">
        <v>28.8</v>
      </c>
      <c r="AC602">
        <v>28.04</v>
      </c>
      <c r="AE602" s="74"/>
      <c r="AF602" s="77"/>
      <c r="AH602" s="497">
        <v>1.3999999999999986</v>
      </c>
      <c r="AJ602" s="42"/>
      <c r="AK602" s="74"/>
      <c r="AL602" s="77"/>
      <c r="AN602" s="497">
        <v>21.02</v>
      </c>
      <c r="AP602" s="42"/>
      <c r="AQ602" s="74"/>
      <c r="AR602" s="77"/>
      <c r="AT602" s="497">
        <v>28.04</v>
      </c>
      <c r="AV602" s="42"/>
      <c r="AW602" s="74"/>
      <c r="AX602" s="77"/>
      <c r="BA602" s="497">
        <v>9.68</v>
      </c>
      <c r="BB602" s="42"/>
      <c r="BC602" s="74"/>
      <c r="BD602" s="77"/>
      <c r="BF602">
        <v>14</v>
      </c>
      <c r="BH602" s="42"/>
      <c r="BI602" s="74"/>
      <c r="BJ602" s="77"/>
      <c r="BL602" s="497">
        <v>13.279999999999998</v>
      </c>
      <c r="BN602" s="42"/>
      <c r="BO602" s="74"/>
      <c r="BP602" s="77"/>
      <c r="BR602" s="497">
        <v>6.98</v>
      </c>
      <c r="BT602" s="42"/>
    </row>
    <row r="603" spans="1:72" x14ac:dyDescent="0.25">
      <c r="A603" s="90">
        <v>36185</v>
      </c>
      <c r="B603" s="20">
        <v>0.375</v>
      </c>
      <c r="D603">
        <v>17.96</v>
      </c>
      <c r="E603" t="str">
        <f t="shared" si="54"/>
        <v>WEEKDAY</v>
      </c>
      <c r="F603" t="e">
        <f t="shared" si="53"/>
        <v>#N/A</v>
      </c>
      <c r="G603" s="74">
        <v>27784</v>
      </c>
      <c r="H603" s="77">
        <v>0.375</v>
      </c>
      <c r="J603">
        <v>21.92</v>
      </c>
      <c r="M603" s="74">
        <v>37646</v>
      </c>
      <c r="N603" s="77">
        <v>0.375</v>
      </c>
      <c r="P603">
        <v>19.399999999999999</v>
      </c>
      <c r="S603" s="74">
        <v>36185</v>
      </c>
      <c r="T603" s="77">
        <v>0.375</v>
      </c>
      <c r="V603">
        <v>39.019999999999996</v>
      </c>
      <c r="X603" s="42"/>
      <c r="AB603">
        <v>29.4</v>
      </c>
      <c r="AC603">
        <v>30.02</v>
      </c>
      <c r="AE603" s="74"/>
      <c r="AF603" s="77"/>
      <c r="AH603" s="497">
        <v>8.5999999999999979</v>
      </c>
      <c r="AJ603" s="42"/>
      <c r="AK603" s="74"/>
      <c r="AL603" s="77"/>
      <c r="AN603" s="497">
        <v>21.92</v>
      </c>
      <c r="AP603" s="42"/>
      <c r="AQ603" s="74"/>
      <c r="AR603" s="77"/>
      <c r="AT603" s="497">
        <v>28.04</v>
      </c>
      <c r="AV603" s="42"/>
      <c r="AW603" s="74"/>
      <c r="AX603" s="77"/>
      <c r="BA603" s="497">
        <v>12.379999999999999</v>
      </c>
      <c r="BB603" s="42"/>
      <c r="BC603" s="74"/>
      <c r="BD603" s="77"/>
      <c r="BF603">
        <v>15.079999999999998</v>
      </c>
      <c r="BH603" s="42"/>
      <c r="BI603" s="74"/>
      <c r="BJ603" s="77"/>
      <c r="BL603" s="497">
        <v>14.719999999999999</v>
      </c>
      <c r="BN603" s="42"/>
      <c r="BO603" s="74"/>
      <c r="BP603" s="77"/>
      <c r="BR603" s="497">
        <v>8.0599999999999987</v>
      </c>
      <c r="BT603" s="42"/>
    </row>
    <row r="604" spans="1:72" x14ac:dyDescent="0.25">
      <c r="A604" s="90">
        <v>36185</v>
      </c>
      <c r="B604" s="20">
        <v>0.41666666666666669</v>
      </c>
      <c r="D604">
        <v>19.04</v>
      </c>
      <c r="E604" t="str">
        <f t="shared" si="54"/>
        <v>WEEKDAY</v>
      </c>
      <c r="F604" t="e">
        <f t="shared" si="53"/>
        <v>#N/A</v>
      </c>
      <c r="G604" s="74">
        <v>27784</v>
      </c>
      <c r="H604" s="77">
        <v>0.41666666666666669</v>
      </c>
      <c r="J604">
        <v>23</v>
      </c>
      <c r="M604" s="74">
        <v>37646</v>
      </c>
      <c r="N604" s="77">
        <v>0.41666666666666669</v>
      </c>
      <c r="P604">
        <v>19.399999999999999</v>
      </c>
      <c r="S604" s="74">
        <v>36185</v>
      </c>
      <c r="T604" s="77">
        <v>0.41666666666666669</v>
      </c>
      <c r="V604">
        <v>39.92</v>
      </c>
      <c r="X604" s="42"/>
      <c r="AB604">
        <v>30.9</v>
      </c>
      <c r="AC604">
        <v>30.02</v>
      </c>
      <c r="AE604" s="74"/>
      <c r="AF604" s="77"/>
      <c r="AH604" s="497">
        <v>19.399999999999999</v>
      </c>
      <c r="AJ604" s="42"/>
      <c r="AK604" s="74"/>
      <c r="AL604" s="77"/>
      <c r="AN604" s="497">
        <v>21.92</v>
      </c>
      <c r="AP604" s="42"/>
      <c r="AQ604" s="74"/>
      <c r="AR604" s="77"/>
      <c r="AT604" s="497">
        <v>28.04</v>
      </c>
      <c r="AV604" s="42"/>
      <c r="AW604" s="74"/>
      <c r="AX604" s="77"/>
      <c r="BA604" s="497">
        <v>15.079999999999998</v>
      </c>
      <c r="BB604" s="42"/>
      <c r="BC604" s="74"/>
      <c r="BD604" s="77"/>
      <c r="BF604">
        <v>17.96</v>
      </c>
      <c r="BH604" s="42"/>
      <c r="BI604" s="74"/>
      <c r="BJ604" s="77"/>
      <c r="BL604" s="497">
        <v>15.98</v>
      </c>
      <c r="BN604" s="42"/>
      <c r="BO604" s="74"/>
      <c r="BP604" s="77"/>
      <c r="BR604" s="497">
        <v>10.940000000000001</v>
      </c>
      <c r="BT604" s="42"/>
    </row>
    <row r="605" spans="1:72" x14ac:dyDescent="0.25">
      <c r="A605" s="90">
        <v>36185</v>
      </c>
      <c r="B605" s="20">
        <v>0.45833333333333331</v>
      </c>
      <c r="D605">
        <v>19.04</v>
      </c>
      <c r="E605" t="str">
        <f t="shared" si="54"/>
        <v>WEEKDAY</v>
      </c>
      <c r="F605" t="e">
        <f t="shared" si="53"/>
        <v>#N/A</v>
      </c>
      <c r="G605" s="74">
        <v>27784</v>
      </c>
      <c r="H605" s="77">
        <v>0.45833333333333331</v>
      </c>
      <c r="J605">
        <v>24.98</v>
      </c>
      <c r="M605" s="74">
        <v>37646</v>
      </c>
      <c r="N605" s="77">
        <v>0.45833333333333331</v>
      </c>
      <c r="P605">
        <v>21.2</v>
      </c>
      <c r="S605" s="74">
        <v>36185</v>
      </c>
      <c r="T605" s="77">
        <v>0.45833333333333331</v>
      </c>
      <c r="V605">
        <v>39.92</v>
      </c>
      <c r="X605" s="42"/>
      <c r="AB605">
        <v>32.4</v>
      </c>
      <c r="AC605">
        <v>30.02</v>
      </c>
      <c r="AE605" s="74"/>
      <c r="AF605" s="77"/>
      <c r="AH605" s="497">
        <v>24.8</v>
      </c>
      <c r="AJ605" s="42"/>
      <c r="AK605" s="74"/>
      <c r="AL605" s="77"/>
      <c r="AN605" s="497">
        <v>23</v>
      </c>
      <c r="AP605" s="42"/>
      <c r="AQ605" s="74"/>
      <c r="AR605" s="77"/>
      <c r="AT605" s="497">
        <v>28.94</v>
      </c>
      <c r="AV605" s="42"/>
      <c r="AW605" s="74"/>
      <c r="AX605" s="77"/>
      <c r="BA605" s="497">
        <v>16.340000000000003</v>
      </c>
      <c r="BB605" s="42"/>
      <c r="BC605" s="74"/>
      <c r="BD605" s="77"/>
      <c r="BF605">
        <v>19.04</v>
      </c>
      <c r="BH605" s="42"/>
      <c r="BI605" s="74"/>
      <c r="BJ605" s="77"/>
      <c r="BL605" s="497">
        <v>17.240000000000002</v>
      </c>
      <c r="BN605" s="42"/>
      <c r="BO605" s="74"/>
      <c r="BP605" s="77"/>
      <c r="BR605" s="497">
        <v>14</v>
      </c>
      <c r="BT605" s="42"/>
    </row>
    <row r="606" spans="1:72" x14ac:dyDescent="0.25">
      <c r="A606" s="90">
        <v>36185</v>
      </c>
      <c r="B606" s="20">
        <v>0.5</v>
      </c>
      <c r="D606">
        <v>19.939999999999998</v>
      </c>
      <c r="E606" t="str">
        <f t="shared" si="54"/>
        <v>WEEKDAY</v>
      </c>
      <c r="F606" t="e">
        <f t="shared" si="53"/>
        <v>#N/A</v>
      </c>
      <c r="G606" s="74">
        <v>27784</v>
      </c>
      <c r="H606" s="77">
        <v>0.5</v>
      </c>
      <c r="J606">
        <v>28.04</v>
      </c>
      <c r="M606" s="74">
        <v>37646</v>
      </c>
      <c r="N606" s="77">
        <v>0.5</v>
      </c>
      <c r="P606">
        <v>24.8</v>
      </c>
      <c r="S606" s="74">
        <v>36185</v>
      </c>
      <c r="T606" s="77">
        <v>0.5</v>
      </c>
      <c r="V606">
        <v>37.94</v>
      </c>
      <c r="X606" s="42"/>
      <c r="AB606">
        <v>33.799999999999997</v>
      </c>
      <c r="AC606">
        <v>30.02</v>
      </c>
      <c r="AE606" s="74"/>
      <c r="AF606" s="77"/>
      <c r="AH606" s="497">
        <v>26.6</v>
      </c>
      <c r="AJ606" s="42"/>
      <c r="AK606" s="74"/>
      <c r="AL606" s="77"/>
      <c r="AN606" s="497">
        <v>23</v>
      </c>
      <c r="AP606" s="42"/>
      <c r="AQ606" s="74"/>
      <c r="AR606" s="77"/>
      <c r="AT606" s="497">
        <v>30.92</v>
      </c>
      <c r="AV606" s="42"/>
      <c r="AW606" s="74"/>
      <c r="AX606" s="77"/>
      <c r="BA606" s="497">
        <v>17.78</v>
      </c>
      <c r="BB606" s="42"/>
      <c r="BC606" s="74"/>
      <c r="BD606" s="77"/>
      <c r="BF606">
        <v>19.939999999999998</v>
      </c>
      <c r="BH606" s="42"/>
      <c r="BI606" s="74"/>
      <c r="BJ606" s="77"/>
      <c r="BL606" s="497">
        <v>18.68</v>
      </c>
      <c r="BN606" s="42"/>
      <c r="BO606" s="74"/>
      <c r="BP606" s="77"/>
      <c r="BR606" s="497">
        <v>17.059999999999999</v>
      </c>
      <c r="BT606" s="42"/>
    </row>
    <row r="607" spans="1:72" x14ac:dyDescent="0.25">
      <c r="A607" s="90">
        <v>36185</v>
      </c>
      <c r="B607" s="20">
        <v>0.54166666666666663</v>
      </c>
      <c r="D607">
        <v>21.02</v>
      </c>
      <c r="E607" t="str">
        <f t="shared" si="54"/>
        <v>WEEKDAY</v>
      </c>
      <c r="F607" t="e">
        <f t="shared" si="53"/>
        <v>#N/A</v>
      </c>
      <c r="G607" s="74">
        <v>27784</v>
      </c>
      <c r="H607" s="77">
        <v>0.54166666666666663</v>
      </c>
      <c r="J607">
        <v>30.92</v>
      </c>
      <c r="M607" s="74">
        <v>37646</v>
      </c>
      <c r="N607" s="77">
        <v>0.54166666666666663</v>
      </c>
      <c r="P607">
        <v>26.6</v>
      </c>
      <c r="S607" s="74">
        <v>36185</v>
      </c>
      <c r="T607" s="77">
        <v>0.54166666666666663</v>
      </c>
      <c r="V607">
        <v>35.96</v>
      </c>
      <c r="X607" s="42"/>
      <c r="AB607">
        <v>35</v>
      </c>
      <c r="AC607">
        <v>30.92</v>
      </c>
      <c r="AE607" s="74"/>
      <c r="AF607" s="77"/>
      <c r="AH607" s="497">
        <v>30.2</v>
      </c>
      <c r="AJ607" s="42"/>
      <c r="AK607" s="74"/>
      <c r="AL607" s="77"/>
      <c r="AN607" s="497">
        <v>24.08</v>
      </c>
      <c r="AP607" s="42"/>
      <c r="AQ607" s="74"/>
      <c r="AR607" s="77"/>
      <c r="AT607" s="497">
        <v>33.08</v>
      </c>
      <c r="AV607" s="42"/>
      <c r="AW607" s="74"/>
      <c r="AX607" s="77"/>
      <c r="BA607" s="497">
        <v>19.04</v>
      </c>
      <c r="BB607" s="42"/>
      <c r="BC607" s="74"/>
      <c r="BD607" s="77"/>
      <c r="BF607">
        <v>21.92</v>
      </c>
      <c r="BH607" s="42"/>
      <c r="BI607" s="74"/>
      <c r="BJ607" s="77"/>
      <c r="BL607" s="497">
        <v>19.939999999999998</v>
      </c>
      <c r="BN607" s="42"/>
      <c r="BO607" s="74"/>
      <c r="BP607" s="77"/>
      <c r="BR607" s="497">
        <v>19.939999999999998</v>
      </c>
      <c r="BT607" s="42"/>
    </row>
    <row r="608" spans="1:72" x14ac:dyDescent="0.25">
      <c r="A608" s="90">
        <v>36185</v>
      </c>
      <c r="B608" s="20">
        <v>0.58333333333333337</v>
      </c>
      <c r="D608">
        <v>21.92</v>
      </c>
      <c r="E608" t="str">
        <f t="shared" si="54"/>
        <v>WEEKDAY</v>
      </c>
      <c r="F608" t="e">
        <f t="shared" si="53"/>
        <v>#N/A</v>
      </c>
      <c r="G608" s="74">
        <v>27784</v>
      </c>
      <c r="H608" s="77">
        <v>0.58333333333333337</v>
      </c>
      <c r="J608">
        <v>30.92</v>
      </c>
      <c r="M608" s="74">
        <v>37646</v>
      </c>
      <c r="N608" s="77">
        <v>0.58333333333333337</v>
      </c>
      <c r="P608">
        <v>28.4</v>
      </c>
      <c r="S608" s="74">
        <v>36185</v>
      </c>
      <c r="T608" s="77">
        <v>0.58333333333333337</v>
      </c>
      <c r="V608">
        <v>35.6</v>
      </c>
      <c r="X608" s="42"/>
      <c r="AB608">
        <v>35.9</v>
      </c>
      <c r="AC608">
        <v>32</v>
      </c>
      <c r="AE608" s="74"/>
      <c r="AF608" s="77"/>
      <c r="AH608" s="497">
        <v>30.2</v>
      </c>
      <c r="AJ608" s="42"/>
      <c r="AK608" s="74"/>
      <c r="AL608" s="77"/>
      <c r="AN608" s="497">
        <v>24.08</v>
      </c>
      <c r="AP608" s="42"/>
      <c r="AQ608" s="74"/>
      <c r="AR608" s="77"/>
      <c r="AT608" s="497">
        <v>33.08</v>
      </c>
      <c r="AV608" s="42"/>
      <c r="AW608" s="74"/>
      <c r="AX608" s="77"/>
      <c r="BA608" s="497">
        <v>19.04</v>
      </c>
      <c r="BB608" s="42"/>
      <c r="BC608" s="74"/>
      <c r="BD608" s="77"/>
      <c r="BF608">
        <v>21.92</v>
      </c>
      <c r="BH608" s="42"/>
      <c r="BI608" s="74"/>
      <c r="BJ608" s="77"/>
      <c r="BL608" s="497">
        <v>20.299999999999997</v>
      </c>
      <c r="BN608" s="42"/>
      <c r="BO608" s="74"/>
      <c r="BP608" s="77"/>
      <c r="BR608" s="497">
        <v>26.060000000000002</v>
      </c>
      <c r="BT608" s="42"/>
    </row>
    <row r="609" spans="1:72" x14ac:dyDescent="0.25">
      <c r="A609" s="90">
        <v>36185</v>
      </c>
      <c r="B609" s="20">
        <v>0.625</v>
      </c>
      <c r="D609">
        <v>23</v>
      </c>
      <c r="E609" t="str">
        <f t="shared" si="54"/>
        <v>WEEKDAY</v>
      </c>
      <c r="F609" t="e">
        <f t="shared" si="53"/>
        <v>#N/A</v>
      </c>
      <c r="G609" s="74">
        <v>27784</v>
      </c>
      <c r="H609" s="77">
        <v>0.625</v>
      </c>
      <c r="J609">
        <v>30.02</v>
      </c>
      <c r="M609" s="74">
        <v>37646</v>
      </c>
      <c r="N609" s="77">
        <v>0.625</v>
      </c>
      <c r="P609">
        <v>26.6</v>
      </c>
      <c r="S609" s="74">
        <v>36185</v>
      </c>
      <c r="T609" s="77">
        <v>0.625</v>
      </c>
      <c r="V609">
        <v>33.979999999999997</v>
      </c>
      <c r="X609" s="42"/>
      <c r="AB609">
        <v>36.299999999999997</v>
      </c>
      <c r="AC609">
        <v>32</v>
      </c>
      <c r="AE609" s="74"/>
      <c r="AF609" s="77"/>
      <c r="AH609" s="497">
        <v>32</v>
      </c>
      <c r="AJ609" s="42"/>
      <c r="AK609" s="74"/>
      <c r="AL609" s="77"/>
      <c r="AN609" s="497">
        <v>26.060000000000002</v>
      </c>
      <c r="AP609" s="42"/>
      <c r="AQ609" s="74"/>
      <c r="AR609" s="77"/>
      <c r="AT609" s="497">
        <v>32</v>
      </c>
      <c r="AV609" s="42"/>
      <c r="AW609" s="74"/>
      <c r="AX609" s="77"/>
      <c r="BA609" s="497">
        <v>19.04</v>
      </c>
      <c r="BB609" s="42"/>
      <c r="BC609" s="74"/>
      <c r="BD609" s="77"/>
      <c r="BF609">
        <v>21.92</v>
      </c>
      <c r="BH609" s="42"/>
      <c r="BI609" s="74"/>
      <c r="BJ609" s="77"/>
      <c r="BL609" s="497">
        <v>20.66</v>
      </c>
      <c r="BN609" s="42"/>
      <c r="BO609" s="74"/>
      <c r="BP609" s="77"/>
      <c r="BR609" s="497">
        <v>28.94</v>
      </c>
      <c r="BT609" s="42"/>
    </row>
    <row r="610" spans="1:72" x14ac:dyDescent="0.25">
      <c r="A610" s="90">
        <v>36185</v>
      </c>
      <c r="B610" s="20">
        <v>0.66666666666666663</v>
      </c>
      <c r="D610">
        <v>24.08</v>
      </c>
      <c r="E610" t="str">
        <f t="shared" si="54"/>
        <v>WEEKDAY</v>
      </c>
      <c r="F610" t="e">
        <f t="shared" si="53"/>
        <v>#N/A</v>
      </c>
      <c r="G610" s="74">
        <v>27784</v>
      </c>
      <c r="H610" s="77">
        <v>0.66666666666666663</v>
      </c>
      <c r="J610">
        <v>30.02</v>
      </c>
      <c r="M610" s="74">
        <v>37646</v>
      </c>
      <c r="N610" s="77">
        <v>0.66666666666666663</v>
      </c>
      <c r="P610">
        <v>28.4</v>
      </c>
      <c r="S610" s="74">
        <v>36185</v>
      </c>
      <c r="T610" s="77">
        <v>0.66666666666666663</v>
      </c>
      <c r="V610">
        <v>33.08</v>
      </c>
      <c r="X610" s="42"/>
      <c r="AB610">
        <v>36.4</v>
      </c>
      <c r="AC610">
        <v>32</v>
      </c>
      <c r="AE610" s="74"/>
      <c r="AF610" s="77"/>
      <c r="AH610" s="497">
        <v>30.2</v>
      </c>
      <c r="AJ610" s="42"/>
      <c r="AK610" s="74"/>
      <c r="AL610" s="77"/>
      <c r="AN610" s="497">
        <v>26.060000000000002</v>
      </c>
      <c r="AP610" s="42"/>
      <c r="AQ610" s="74"/>
      <c r="AR610" s="77"/>
      <c r="AT610" s="497">
        <v>32</v>
      </c>
      <c r="AV610" s="42"/>
      <c r="AW610" s="74"/>
      <c r="AX610" s="77"/>
      <c r="BA610" s="497">
        <v>19.04</v>
      </c>
      <c r="BB610" s="42"/>
      <c r="BC610" s="74"/>
      <c r="BD610" s="77"/>
      <c r="BF610">
        <v>23</v>
      </c>
      <c r="BH610" s="42"/>
      <c r="BI610" s="74"/>
      <c r="BJ610" s="77"/>
      <c r="BL610" s="497">
        <v>21.02</v>
      </c>
      <c r="BN610" s="42"/>
      <c r="BO610" s="74"/>
      <c r="BP610" s="77"/>
      <c r="BR610" s="497">
        <v>28.94</v>
      </c>
      <c r="BT610" s="42"/>
    </row>
    <row r="611" spans="1:72" x14ac:dyDescent="0.25">
      <c r="A611" s="90">
        <v>36185</v>
      </c>
      <c r="B611" s="20">
        <v>0.70833333333333337</v>
      </c>
      <c r="D611">
        <v>24.08</v>
      </c>
      <c r="E611" t="str">
        <f t="shared" si="54"/>
        <v>WEEKDAY</v>
      </c>
      <c r="F611" t="e">
        <f t="shared" si="53"/>
        <v>#N/A</v>
      </c>
      <c r="G611" s="74">
        <v>27784</v>
      </c>
      <c r="H611" s="77">
        <v>0.70833333333333337</v>
      </c>
      <c r="J611">
        <v>30.02</v>
      </c>
      <c r="M611" s="74">
        <v>37646</v>
      </c>
      <c r="N611" s="77">
        <v>0.70833333333333337</v>
      </c>
      <c r="P611">
        <v>28.4</v>
      </c>
      <c r="S611" s="74">
        <v>36185</v>
      </c>
      <c r="T611" s="77">
        <v>0.70833333333333337</v>
      </c>
      <c r="V611">
        <v>33.799999999999997</v>
      </c>
      <c r="X611" s="42"/>
      <c r="AB611">
        <v>36</v>
      </c>
      <c r="AC611">
        <v>32</v>
      </c>
      <c r="AE611" s="74"/>
      <c r="AF611" s="77"/>
      <c r="AH611" s="497">
        <v>28.4</v>
      </c>
      <c r="AJ611" s="42"/>
      <c r="AK611" s="74"/>
      <c r="AL611" s="77"/>
      <c r="AN611" s="497">
        <v>26.96</v>
      </c>
      <c r="AP611" s="42"/>
      <c r="AQ611" s="74"/>
      <c r="AR611" s="77"/>
      <c r="AT611" s="497">
        <v>30.92</v>
      </c>
      <c r="AV611" s="42"/>
      <c r="AW611" s="74"/>
      <c r="AX611" s="77"/>
      <c r="BA611" s="497">
        <v>18.32</v>
      </c>
      <c r="BB611" s="42"/>
      <c r="BC611" s="74"/>
      <c r="BD611" s="77"/>
      <c r="BF611">
        <v>21.92</v>
      </c>
      <c r="BH611" s="42"/>
      <c r="BI611" s="74"/>
      <c r="BJ611" s="77"/>
      <c r="BL611" s="497">
        <v>20.299999999999997</v>
      </c>
      <c r="BN611" s="42"/>
      <c r="BO611" s="74"/>
      <c r="BP611" s="77"/>
      <c r="BR611" s="497">
        <v>28.94</v>
      </c>
      <c r="BT611" s="42"/>
    </row>
    <row r="612" spans="1:72" x14ac:dyDescent="0.25">
      <c r="A612" s="90">
        <v>36185</v>
      </c>
      <c r="B612" s="20">
        <v>0.75</v>
      </c>
      <c r="D612">
        <v>24.08</v>
      </c>
      <c r="E612" t="str">
        <f t="shared" si="54"/>
        <v>WEEKDAY</v>
      </c>
      <c r="F612" t="e">
        <f t="shared" si="53"/>
        <v>#N/A</v>
      </c>
      <c r="G612" s="74">
        <v>27784</v>
      </c>
      <c r="H612" s="77">
        <v>0.75</v>
      </c>
      <c r="J612">
        <v>30.02</v>
      </c>
      <c r="M612" s="74">
        <v>37646</v>
      </c>
      <c r="N612" s="77">
        <v>0.75</v>
      </c>
      <c r="P612">
        <v>26.6</v>
      </c>
      <c r="S612" s="74">
        <v>36185</v>
      </c>
      <c r="T612" s="77">
        <v>0.75</v>
      </c>
      <c r="V612">
        <v>35.96</v>
      </c>
      <c r="X612" s="42"/>
      <c r="AB612">
        <v>34.9</v>
      </c>
      <c r="AC612">
        <v>30.92</v>
      </c>
      <c r="AE612" s="74"/>
      <c r="AF612" s="77"/>
      <c r="AH612" s="497">
        <v>26.6</v>
      </c>
      <c r="AJ612" s="42"/>
      <c r="AK612" s="74"/>
      <c r="AL612" s="77"/>
      <c r="AN612" s="497">
        <v>26.96</v>
      </c>
      <c r="AP612" s="42"/>
      <c r="AQ612" s="74"/>
      <c r="AR612" s="77"/>
      <c r="AT612" s="497">
        <v>28.94</v>
      </c>
      <c r="AV612" s="42"/>
      <c r="AW612" s="74"/>
      <c r="AX612" s="77"/>
      <c r="BA612" s="497">
        <v>17.78</v>
      </c>
      <c r="BB612" s="42"/>
      <c r="BC612" s="74"/>
      <c r="BD612" s="77"/>
      <c r="BF612">
        <v>21.02</v>
      </c>
      <c r="BH612" s="42"/>
      <c r="BI612" s="74"/>
      <c r="BJ612" s="77"/>
      <c r="BL612" s="497">
        <v>19.759999999999998</v>
      </c>
      <c r="BN612" s="42"/>
      <c r="BO612" s="74"/>
      <c r="BP612" s="77"/>
      <c r="BR612" s="497">
        <v>28.94</v>
      </c>
      <c r="BT612" s="42"/>
    </row>
    <row r="613" spans="1:72" x14ac:dyDescent="0.25">
      <c r="A613" s="90">
        <v>36185</v>
      </c>
      <c r="B613" s="20">
        <v>0.79166666666666663</v>
      </c>
      <c r="D613">
        <v>24.08</v>
      </c>
      <c r="E613" t="str">
        <f t="shared" si="54"/>
        <v>WEEKDAY</v>
      </c>
      <c r="F613" t="e">
        <f t="shared" si="53"/>
        <v>#N/A</v>
      </c>
      <c r="G613" s="74">
        <v>27784</v>
      </c>
      <c r="H613" s="77">
        <v>0.79166666666666663</v>
      </c>
      <c r="J613">
        <v>30.92</v>
      </c>
      <c r="M613" s="74">
        <v>37646</v>
      </c>
      <c r="N613" s="77">
        <v>0.79166666666666663</v>
      </c>
      <c r="P613">
        <v>26.6</v>
      </c>
      <c r="S613" s="74">
        <v>36185</v>
      </c>
      <c r="T613" s="77">
        <v>0.79166666666666663</v>
      </c>
      <c r="V613">
        <v>35.96</v>
      </c>
      <c r="X613" s="42"/>
      <c r="AB613">
        <v>34.1</v>
      </c>
      <c r="AC613">
        <v>30.02</v>
      </c>
      <c r="AE613" s="74"/>
      <c r="AF613" s="77"/>
      <c r="AH613" s="497">
        <v>26.6</v>
      </c>
      <c r="AJ613" s="42"/>
      <c r="AK613" s="74"/>
      <c r="AL613" s="77"/>
      <c r="AN613" s="497">
        <v>28.94</v>
      </c>
      <c r="AP613" s="42"/>
      <c r="AQ613" s="74"/>
      <c r="AR613" s="77"/>
      <c r="AT613" s="497">
        <v>26.060000000000002</v>
      </c>
      <c r="AV613" s="42"/>
      <c r="AW613" s="74"/>
      <c r="AX613" s="77"/>
      <c r="BA613" s="497">
        <v>17.059999999999999</v>
      </c>
      <c r="BB613" s="42"/>
      <c r="BC613" s="74"/>
      <c r="BD613" s="77"/>
      <c r="BF613">
        <v>19.04</v>
      </c>
      <c r="BH613" s="42"/>
      <c r="BI613" s="74"/>
      <c r="BJ613" s="77"/>
      <c r="BL613" s="497">
        <v>19.04</v>
      </c>
      <c r="BN613" s="42"/>
      <c r="BO613" s="74"/>
      <c r="BP613" s="77"/>
      <c r="BR613" s="497">
        <v>28.94</v>
      </c>
      <c r="BT613" s="42"/>
    </row>
    <row r="614" spans="1:72" x14ac:dyDescent="0.25">
      <c r="A614" s="90">
        <v>36185</v>
      </c>
      <c r="B614" s="20">
        <v>0.83333333333333337</v>
      </c>
      <c r="D614">
        <v>24.98</v>
      </c>
      <c r="E614" t="str">
        <f t="shared" si="54"/>
        <v>WEEKDAY</v>
      </c>
      <c r="F614" t="e">
        <f t="shared" si="53"/>
        <v>#N/A</v>
      </c>
      <c r="G614" s="74">
        <v>27784</v>
      </c>
      <c r="H614" s="77">
        <v>0.83333333333333337</v>
      </c>
      <c r="J614">
        <v>30.92</v>
      </c>
      <c r="M614" s="74">
        <v>37646</v>
      </c>
      <c r="N614" s="77">
        <v>0.83333333333333337</v>
      </c>
      <c r="P614">
        <v>26.6</v>
      </c>
      <c r="S614" s="74">
        <v>36185</v>
      </c>
      <c r="T614" s="77">
        <v>0.83333333333333337</v>
      </c>
      <c r="V614">
        <v>35.96</v>
      </c>
      <c r="X614" s="42"/>
      <c r="AB614">
        <v>33.799999999999997</v>
      </c>
      <c r="AC614">
        <v>30.02</v>
      </c>
      <c r="AE614" s="74"/>
      <c r="AF614" s="77"/>
      <c r="AH614" s="497">
        <v>26.6</v>
      </c>
      <c r="AJ614" s="42"/>
      <c r="AK614" s="74"/>
      <c r="AL614" s="77"/>
      <c r="AN614" s="497">
        <v>30.92</v>
      </c>
      <c r="AP614" s="42"/>
      <c r="AQ614" s="74"/>
      <c r="AR614" s="77"/>
      <c r="AT614" s="497">
        <v>24.08</v>
      </c>
      <c r="AV614" s="42"/>
      <c r="AW614" s="74"/>
      <c r="AX614" s="77"/>
      <c r="BA614" s="497">
        <v>16.340000000000003</v>
      </c>
      <c r="BB614" s="42"/>
      <c r="BC614" s="74"/>
      <c r="BD614" s="77"/>
      <c r="BF614">
        <v>17.96</v>
      </c>
      <c r="BH614" s="42"/>
      <c r="BI614" s="74"/>
      <c r="BJ614" s="77"/>
      <c r="BL614" s="497">
        <v>19.399999999999999</v>
      </c>
      <c r="BN614" s="42"/>
      <c r="BO614" s="74"/>
      <c r="BP614" s="77"/>
      <c r="BR614" s="497">
        <v>30.92</v>
      </c>
      <c r="BT614" s="42"/>
    </row>
    <row r="615" spans="1:72" x14ac:dyDescent="0.25">
      <c r="A615" s="90">
        <v>36185</v>
      </c>
      <c r="B615" s="20">
        <v>0.875</v>
      </c>
      <c r="D615">
        <v>24.98</v>
      </c>
      <c r="E615" t="str">
        <f t="shared" si="54"/>
        <v>WEEKDAY</v>
      </c>
      <c r="F615" t="e">
        <f t="shared" si="53"/>
        <v>#N/A</v>
      </c>
      <c r="G615" s="74">
        <v>27784</v>
      </c>
      <c r="H615" s="77">
        <v>0.875</v>
      </c>
      <c r="J615">
        <v>32</v>
      </c>
      <c r="M615" s="74">
        <v>37646</v>
      </c>
      <c r="N615" s="77">
        <v>0.875</v>
      </c>
      <c r="P615">
        <v>26.42</v>
      </c>
      <c r="S615" s="74">
        <v>36185</v>
      </c>
      <c r="T615" s="77">
        <v>0.875</v>
      </c>
      <c r="V615">
        <v>37.04</v>
      </c>
      <c r="X615" s="42"/>
      <c r="AB615">
        <v>33.200000000000003</v>
      </c>
      <c r="AC615">
        <v>30.02</v>
      </c>
      <c r="AE615" s="74"/>
      <c r="AF615" s="77"/>
      <c r="AH615" s="497">
        <v>26.6</v>
      </c>
      <c r="AJ615" s="42"/>
      <c r="AK615" s="74"/>
      <c r="AL615" s="77"/>
      <c r="AN615" s="497">
        <v>32</v>
      </c>
      <c r="AP615" s="42"/>
      <c r="AQ615" s="74"/>
      <c r="AR615" s="77"/>
      <c r="AT615" s="497">
        <v>19.04</v>
      </c>
      <c r="AV615" s="42"/>
      <c r="AW615" s="74"/>
      <c r="AX615" s="77"/>
      <c r="BA615" s="497">
        <v>15.8</v>
      </c>
      <c r="BB615" s="42"/>
      <c r="BC615" s="74"/>
      <c r="BD615" s="77"/>
      <c r="BF615">
        <v>19.04</v>
      </c>
      <c r="BH615" s="42"/>
      <c r="BI615" s="74"/>
      <c r="BJ615" s="77"/>
      <c r="BL615" s="497">
        <v>19.579999999999998</v>
      </c>
      <c r="BN615" s="42"/>
      <c r="BO615" s="74"/>
      <c r="BP615" s="77"/>
      <c r="BR615" s="497">
        <v>32</v>
      </c>
      <c r="BT615" s="42"/>
    </row>
    <row r="616" spans="1:72" x14ac:dyDescent="0.25">
      <c r="A616" s="90">
        <v>36185</v>
      </c>
      <c r="B616" s="20">
        <v>0.91666666666666663</v>
      </c>
      <c r="D616">
        <v>24.98</v>
      </c>
      <c r="E616" t="str">
        <f t="shared" si="54"/>
        <v>WEEKDAY</v>
      </c>
      <c r="F616" t="e">
        <f t="shared" si="53"/>
        <v>#N/A</v>
      </c>
      <c r="G616" s="74">
        <v>27784</v>
      </c>
      <c r="H616" s="77">
        <v>0.91666666666666663</v>
      </c>
      <c r="J616">
        <v>32</v>
      </c>
      <c r="M616" s="74">
        <v>37646</v>
      </c>
      <c r="N616" s="77">
        <v>0.91666666666666663</v>
      </c>
      <c r="P616">
        <v>26.42</v>
      </c>
      <c r="S616" s="74">
        <v>36185</v>
      </c>
      <c r="T616" s="77">
        <v>0.91666666666666663</v>
      </c>
      <c r="V616">
        <v>35.06</v>
      </c>
      <c r="X616" s="42"/>
      <c r="AB616">
        <v>32.5</v>
      </c>
      <c r="AC616">
        <v>30.92</v>
      </c>
      <c r="AE616" s="74"/>
      <c r="AF616" s="77"/>
      <c r="AH616" s="497">
        <v>24.8</v>
      </c>
      <c r="AJ616" s="42"/>
      <c r="AK616" s="74"/>
      <c r="AL616" s="77"/>
      <c r="AN616" s="497">
        <v>32</v>
      </c>
      <c r="AP616" s="42"/>
      <c r="AQ616" s="74"/>
      <c r="AR616" s="77"/>
      <c r="AT616" s="497">
        <v>19.939999999999998</v>
      </c>
      <c r="AV616" s="42"/>
      <c r="AW616" s="74"/>
      <c r="AX616" s="77"/>
      <c r="BA616" s="497">
        <v>15.079999999999998</v>
      </c>
      <c r="BB616" s="42"/>
      <c r="BC616" s="74"/>
      <c r="BD616" s="77"/>
      <c r="BF616">
        <v>17.96</v>
      </c>
      <c r="BH616" s="42"/>
      <c r="BI616" s="74"/>
      <c r="BJ616" s="77"/>
      <c r="BL616" s="497">
        <v>19.939999999999998</v>
      </c>
      <c r="BN616" s="42"/>
      <c r="BO616" s="74"/>
      <c r="BP616" s="77"/>
      <c r="BR616" s="497">
        <v>32</v>
      </c>
      <c r="BT616" s="42"/>
    </row>
    <row r="617" spans="1:72" x14ac:dyDescent="0.25">
      <c r="A617" s="90">
        <v>36185</v>
      </c>
      <c r="B617" s="20">
        <v>0.95833333333333337</v>
      </c>
      <c r="D617">
        <v>24.08</v>
      </c>
      <c r="E617" t="str">
        <f t="shared" si="54"/>
        <v>WEEKDAY</v>
      </c>
      <c r="F617" t="e">
        <f t="shared" si="53"/>
        <v>#N/A</v>
      </c>
      <c r="G617" s="74">
        <v>27784</v>
      </c>
      <c r="H617" s="77">
        <v>0.95833333333333337</v>
      </c>
      <c r="J617">
        <v>32</v>
      </c>
      <c r="M617" s="74">
        <v>37646</v>
      </c>
      <c r="N617" s="77">
        <v>0.95833333333333337</v>
      </c>
      <c r="P617">
        <v>26.6</v>
      </c>
      <c r="S617" s="74">
        <v>36185</v>
      </c>
      <c r="T617" s="77">
        <v>0.95833333333333337</v>
      </c>
      <c r="V617">
        <v>35.06</v>
      </c>
      <c r="X617" s="42"/>
      <c r="AB617">
        <v>32</v>
      </c>
      <c r="AC617">
        <v>26.96</v>
      </c>
      <c r="AE617" s="74"/>
      <c r="AF617" s="77"/>
      <c r="AH617" s="497">
        <v>24.8</v>
      </c>
      <c r="AJ617" s="42"/>
      <c r="AK617" s="74"/>
      <c r="AL617" s="77"/>
      <c r="AN617" s="497">
        <v>32</v>
      </c>
      <c r="AP617" s="42"/>
      <c r="AQ617" s="74"/>
      <c r="AR617" s="77"/>
      <c r="AT617" s="497">
        <v>19.939999999999998</v>
      </c>
      <c r="AV617" s="42"/>
      <c r="AW617" s="74"/>
      <c r="AX617" s="77"/>
      <c r="BA617" s="497">
        <v>17.420000000000002</v>
      </c>
      <c r="BB617" s="42"/>
      <c r="BC617" s="74"/>
      <c r="BD617" s="77"/>
      <c r="BF617">
        <v>19.04</v>
      </c>
      <c r="BH617" s="42"/>
      <c r="BI617" s="74"/>
      <c r="BJ617" s="77"/>
      <c r="BL617" s="497">
        <v>20.299999999999997</v>
      </c>
      <c r="BN617" s="42"/>
      <c r="BO617" s="74"/>
      <c r="BP617" s="77"/>
      <c r="BR617" s="497">
        <v>35.06</v>
      </c>
      <c r="BT617" s="42"/>
    </row>
    <row r="618" spans="1:72" x14ac:dyDescent="0.25">
      <c r="A618" s="90">
        <v>36185</v>
      </c>
      <c r="B618" s="20">
        <v>1</v>
      </c>
      <c r="D618">
        <v>24.98</v>
      </c>
      <c r="E618" t="str">
        <f t="shared" si="54"/>
        <v>WEEKDAY</v>
      </c>
      <c r="F618" t="e">
        <f t="shared" si="53"/>
        <v>#N/A</v>
      </c>
      <c r="G618" s="74">
        <v>27784</v>
      </c>
      <c r="H618" s="77">
        <v>1</v>
      </c>
      <c r="J618">
        <v>33.08</v>
      </c>
      <c r="M618" s="74">
        <v>37646</v>
      </c>
      <c r="N618" s="80">
        <v>1</v>
      </c>
      <c r="P618">
        <v>24.8</v>
      </c>
      <c r="S618" s="74">
        <v>36185</v>
      </c>
      <c r="T618" s="80">
        <v>1</v>
      </c>
      <c r="V618">
        <v>33.979999999999997</v>
      </c>
      <c r="X618" s="42"/>
      <c r="AB618">
        <v>31.5</v>
      </c>
      <c r="AC618">
        <v>26.060000000000002</v>
      </c>
      <c r="AE618" s="74"/>
      <c r="AF618" s="80"/>
      <c r="AH618" s="497">
        <v>26.6</v>
      </c>
      <c r="AJ618" s="42"/>
      <c r="AK618" s="74"/>
      <c r="AL618" s="80"/>
      <c r="AN618" s="497">
        <v>32</v>
      </c>
      <c r="AP618" s="42"/>
      <c r="AQ618" s="74"/>
      <c r="AR618" s="80"/>
      <c r="AT618" s="497">
        <v>17.059999999999999</v>
      </c>
      <c r="AV618" s="42"/>
      <c r="AW618" s="74"/>
      <c r="AX618" s="80"/>
      <c r="BA618" s="497">
        <v>19.579999999999998</v>
      </c>
      <c r="BB618" s="42"/>
      <c r="BC618" s="74"/>
      <c r="BD618" s="80"/>
      <c r="BF618">
        <v>19.939999999999998</v>
      </c>
      <c r="BH618" s="42"/>
      <c r="BI618" s="74"/>
      <c r="BJ618" s="80"/>
      <c r="BL618" s="497">
        <v>20.66</v>
      </c>
      <c r="BN618" s="42"/>
      <c r="BO618" s="74"/>
      <c r="BP618" s="80"/>
      <c r="BR618" s="497">
        <v>35.06</v>
      </c>
      <c r="BT618" s="42"/>
    </row>
    <row r="619" spans="1:72" x14ac:dyDescent="0.25">
      <c r="A619" s="90">
        <v>36186</v>
      </c>
      <c r="B619" s="20">
        <v>4.1666666666666664E-2</v>
      </c>
      <c r="D619">
        <v>24.98</v>
      </c>
      <c r="E619" t="str">
        <f t="shared" si="54"/>
        <v>WEEKDAY</v>
      </c>
      <c r="F619" t="e">
        <f t="shared" ref="F619:F682" si="55">IF(E619="WEEKDAY",VLOOKUP(B619,$DD$19:$DG$42,2),IF(E619="SATURDAY",VLOOKUP(B619,$DD$19:$DG$42,3),VLOOKUP(B619,$DD$19:$DG$42,4)))</f>
        <v>#N/A</v>
      </c>
      <c r="G619" s="74">
        <v>27785</v>
      </c>
      <c r="H619" s="77">
        <v>4.1666666666666664E-2</v>
      </c>
      <c r="J619">
        <v>33.08</v>
      </c>
      <c r="M619" s="74">
        <v>37647</v>
      </c>
      <c r="N619" s="77">
        <v>4.1666666666666664E-2</v>
      </c>
      <c r="P619">
        <v>24.8</v>
      </c>
      <c r="S619" s="74">
        <v>36186</v>
      </c>
      <c r="T619" s="77">
        <v>4.1666666666666664E-2</v>
      </c>
      <c r="V619">
        <v>33.08</v>
      </c>
      <c r="X619" s="42"/>
      <c r="AB619">
        <v>30.9</v>
      </c>
      <c r="AC619">
        <v>26.060000000000002</v>
      </c>
      <c r="AE619" s="74"/>
      <c r="AF619" s="77"/>
      <c r="AH619" s="497">
        <v>26.6</v>
      </c>
      <c r="AJ619" s="42"/>
      <c r="AK619" s="74"/>
      <c r="AL619" s="77"/>
      <c r="AN619" s="497">
        <v>32</v>
      </c>
      <c r="AP619" s="42"/>
      <c r="AQ619" s="74"/>
      <c r="AR619" s="77"/>
      <c r="AT619" s="497">
        <v>15.079999999999998</v>
      </c>
      <c r="AV619" s="42"/>
      <c r="AW619" s="74"/>
      <c r="AX619" s="77"/>
      <c r="BA619" s="497">
        <v>21.92</v>
      </c>
      <c r="BB619" s="42"/>
      <c r="BC619" s="74"/>
      <c r="BD619" s="77"/>
      <c r="BF619">
        <v>21.02</v>
      </c>
      <c r="BH619" s="42"/>
      <c r="BI619" s="74"/>
      <c r="BJ619" s="77"/>
      <c r="BL619" s="497">
        <v>21.02</v>
      </c>
      <c r="BN619" s="42"/>
      <c r="BO619" s="74"/>
      <c r="BP619" s="77"/>
      <c r="BR619" s="497">
        <v>35.06</v>
      </c>
      <c r="BT619" s="42"/>
    </row>
    <row r="620" spans="1:72" x14ac:dyDescent="0.25">
      <c r="A620" s="90">
        <v>36186</v>
      </c>
      <c r="B620" s="20">
        <v>8.3333333333333329E-2</v>
      </c>
      <c r="D620">
        <v>24.08</v>
      </c>
      <c r="E620" t="str">
        <f t="shared" si="54"/>
        <v>WEEKDAY</v>
      </c>
      <c r="F620" t="e">
        <f t="shared" si="55"/>
        <v>#N/A</v>
      </c>
      <c r="G620" s="74">
        <v>27785</v>
      </c>
      <c r="H620" s="77">
        <v>8.3333333333333329E-2</v>
      </c>
      <c r="J620">
        <v>32</v>
      </c>
      <c r="M620" s="74">
        <v>37647</v>
      </c>
      <c r="N620" s="77">
        <v>8.3333333333333329E-2</v>
      </c>
      <c r="P620">
        <v>23</v>
      </c>
      <c r="S620" s="74">
        <v>36186</v>
      </c>
      <c r="T620" s="77">
        <v>8.3333333333333329E-2</v>
      </c>
      <c r="V620">
        <v>32</v>
      </c>
      <c r="X620" s="42"/>
      <c r="AB620">
        <v>30.4</v>
      </c>
      <c r="AC620">
        <v>24.98</v>
      </c>
      <c r="AE620" s="74"/>
      <c r="AF620" s="77"/>
      <c r="AH620" s="497">
        <v>26.6</v>
      </c>
      <c r="AJ620" s="42"/>
      <c r="AK620" s="74"/>
      <c r="AL620" s="77"/>
      <c r="AN620" s="497">
        <v>32</v>
      </c>
      <c r="AP620" s="42"/>
      <c r="AQ620" s="74"/>
      <c r="AR620" s="77"/>
      <c r="AT620" s="497">
        <v>21.92</v>
      </c>
      <c r="AV620" s="42"/>
      <c r="AW620" s="74"/>
      <c r="AX620" s="77"/>
      <c r="BA620" s="497">
        <v>21.92</v>
      </c>
      <c r="BB620" s="42"/>
      <c r="BC620" s="74"/>
      <c r="BD620" s="77"/>
      <c r="BF620">
        <v>21.92</v>
      </c>
      <c r="BH620" s="42"/>
      <c r="BI620" s="74"/>
      <c r="BJ620" s="77"/>
      <c r="BL620" s="497">
        <v>21.02</v>
      </c>
      <c r="BN620" s="42"/>
      <c r="BO620" s="74"/>
      <c r="BP620" s="77"/>
      <c r="BR620" s="497">
        <v>35.06</v>
      </c>
      <c r="BT620" s="42"/>
    </row>
    <row r="621" spans="1:72" x14ac:dyDescent="0.25">
      <c r="A621" s="90">
        <v>36186</v>
      </c>
      <c r="B621" s="20">
        <v>0.125</v>
      </c>
      <c r="D621">
        <v>24.08</v>
      </c>
      <c r="E621" t="str">
        <f t="shared" si="54"/>
        <v>WEEKDAY</v>
      </c>
      <c r="F621" t="e">
        <f t="shared" si="55"/>
        <v>#N/A</v>
      </c>
      <c r="G621" s="74">
        <v>27785</v>
      </c>
      <c r="H621" s="77">
        <v>0.125</v>
      </c>
      <c r="J621">
        <v>33.08</v>
      </c>
      <c r="M621" s="74">
        <v>37647</v>
      </c>
      <c r="N621" s="77">
        <v>0.125</v>
      </c>
      <c r="P621">
        <v>23</v>
      </c>
      <c r="S621" s="74">
        <v>36186</v>
      </c>
      <c r="T621" s="77">
        <v>0.125</v>
      </c>
      <c r="V621">
        <v>30.92</v>
      </c>
      <c r="X621" s="42"/>
      <c r="AB621">
        <v>30</v>
      </c>
      <c r="AC621">
        <v>24.98</v>
      </c>
      <c r="AE621" s="74"/>
      <c r="AF621" s="77"/>
      <c r="AH621" s="497">
        <v>24.8</v>
      </c>
      <c r="AJ621" s="42"/>
      <c r="AK621" s="74"/>
      <c r="AL621" s="77"/>
      <c r="AN621" s="497">
        <v>33.08</v>
      </c>
      <c r="AP621" s="42"/>
      <c r="AQ621" s="74"/>
      <c r="AR621" s="77"/>
      <c r="AT621" s="497">
        <v>21.92</v>
      </c>
      <c r="AV621" s="42"/>
      <c r="AW621" s="74"/>
      <c r="AX621" s="77"/>
      <c r="BA621" s="497">
        <v>21.92</v>
      </c>
      <c r="BB621" s="42"/>
      <c r="BC621" s="74"/>
      <c r="BD621" s="77"/>
      <c r="BF621">
        <v>21.02</v>
      </c>
      <c r="BH621" s="42"/>
      <c r="BI621" s="74"/>
      <c r="BJ621" s="77"/>
      <c r="BL621" s="497">
        <v>21.02</v>
      </c>
      <c r="BN621" s="42"/>
      <c r="BO621" s="74"/>
      <c r="BP621" s="77"/>
      <c r="BR621" s="497">
        <v>33.979999999999997</v>
      </c>
      <c r="BT621" s="42"/>
    </row>
    <row r="622" spans="1:72" x14ac:dyDescent="0.25">
      <c r="A622" s="90">
        <v>36186</v>
      </c>
      <c r="B622" s="20">
        <v>0.16666666666666666</v>
      </c>
      <c r="D622">
        <v>23</v>
      </c>
      <c r="E622" t="str">
        <f t="shared" si="54"/>
        <v>WEEKDAY</v>
      </c>
      <c r="F622" t="e">
        <f t="shared" si="55"/>
        <v>#N/A</v>
      </c>
      <c r="G622" s="74">
        <v>27785</v>
      </c>
      <c r="H622" s="77">
        <v>0.16666666666666666</v>
      </c>
      <c r="J622">
        <v>33.08</v>
      </c>
      <c r="M622" s="74">
        <v>37647</v>
      </c>
      <c r="N622" s="77">
        <v>0.16666666666666666</v>
      </c>
      <c r="P622">
        <v>23</v>
      </c>
      <c r="S622" s="74">
        <v>36186</v>
      </c>
      <c r="T622" s="77">
        <v>0.16666666666666666</v>
      </c>
      <c r="V622">
        <v>30.92</v>
      </c>
      <c r="X622" s="42"/>
      <c r="AB622">
        <v>29.6</v>
      </c>
      <c r="AC622">
        <v>24.98</v>
      </c>
      <c r="AE622" s="74"/>
      <c r="AF622" s="77"/>
      <c r="AH622" s="497">
        <v>24.8</v>
      </c>
      <c r="AJ622" s="42"/>
      <c r="AK622" s="74"/>
      <c r="AL622" s="77"/>
      <c r="AN622" s="497">
        <v>32</v>
      </c>
      <c r="AP622" s="42"/>
      <c r="AQ622" s="74"/>
      <c r="AR622" s="77"/>
      <c r="AT622" s="497">
        <v>23</v>
      </c>
      <c r="AV622" s="42"/>
      <c r="AW622" s="74"/>
      <c r="AX622" s="77"/>
      <c r="BA622" s="497">
        <v>21.92</v>
      </c>
      <c r="BB622" s="42"/>
      <c r="BC622" s="74"/>
      <c r="BD622" s="77"/>
      <c r="BF622">
        <v>19.04</v>
      </c>
      <c r="BH622" s="42"/>
      <c r="BI622" s="74"/>
      <c r="BJ622" s="77"/>
      <c r="BL622" s="497">
        <v>21.02</v>
      </c>
      <c r="BN622" s="42"/>
      <c r="BO622" s="74"/>
      <c r="BP622" s="77"/>
      <c r="BR622" s="497">
        <v>33.979999999999997</v>
      </c>
      <c r="BT622" s="42"/>
    </row>
    <row r="623" spans="1:72" x14ac:dyDescent="0.25">
      <c r="A623" s="90">
        <v>36186</v>
      </c>
      <c r="B623" s="20">
        <v>0.20833333333333334</v>
      </c>
      <c r="D623">
        <v>23</v>
      </c>
      <c r="E623" t="str">
        <f t="shared" si="54"/>
        <v>WEEKDAY</v>
      </c>
      <c r="F623" t="e">
        <f t="shared" si="55"/>
        <v>#N/A</v>
      </c>
      <c r="G623" s="74">
        <v>27785</v>
      </c>
      <c r="H623" s="77">
        <v>0.20833333333333334</v>
      </c>
      <c r="J623">
        <v>33.08</v>
      </c>
      <c r="M623" s="74">
        <v>37647</v>
      </c>
      <c r="N623" s="77">
        <v>0.20833333333333334</v>
      </c>
      <c r="P623">
        <v>23</v>
      </c>
      <c r="S623" s="74">
        <v>36186</v>
      </c>
      <c r="T623" s="77">
        <v>0.20833333333333334</v>
      </c>
      <c r="V623">
        <v>30.02</v>
      </c>
      <c r="X623" s="42"/>
      <c r="AB623">
        <v>29.2</v>
      </c>
      <c r="AC623">
        <v>24.08</v>
      </c>
      <c r="AE623" s="74"/>
      <c r="AF623" s="77"/>
      <c r="AH623" s="497">
        <v>24.8</v>
      </c>
      <c r="AJ623" s="42"/>
      <c r="AK623" s="74"/>
      <c r="AL623" s="77"/>
      <c r="AN623" s="497">
        <v>32</v>
      </c>
      <c r="AP623" s="42"/>
      <c r="AQ623" s="74"/>
      <c r="AR623" s="77"/>
      <c r="AT623" s="497">
        <v>23</v>
      </c>
      <c r="AV623" s="42"/>
      <c r="AW623" s="74"/>
      <c r="AX623" s="77"/>
      <c r="BA623" s="497">
        <v>21.02</v>
      </c>
      <c r="BB623" s="42"/>
      <c r="BC623" s="74"/>
      <c r="BD623" s="77"/>
      <c r="BF623">
        <v>19.04</v>
      </c>
      <c r="BH623" s="42"/>
      <c r="BI623" s="74"/>
      <c r="BJ623" s="77"/>
      <c r="BL623" s="497">
        <v>20.299999999999997</v>
      </c>
      <c r="BN623" s="42"/>
      <c r="BO623" s="74"/>
      <c r="BP623" s="77"/>
      <c r="BR623" s="497">
        <v>33.979999999999997</v>
      </c>
      <c r="BT623" s="42"/>
    </row>
    <row r="624" spans="1:72" x14ac:dyDescent="0.25">
      <c r="A624" s="90">
        <v>36186</v>
      </c>
      <c r="B624" s="20">
        <v>0.25</v>
      </c>
      <c r="D624">
        <v>21.92</v>
      </c>
      <c r="E624" t="str">
        <f t="shared" si="54"/>
        <v>WEEKDAY</v>
      </c>
      <c r="F624" t="e">
        <f t="shared" si="55"/>
        <v>#N/A</v>
      </c>
      <c r="G624" s="74">
        <v>27785</v>
      </c>
      <c r="H624" s="77">
        <v>0.25</v>
      </c>
      <c r="J624">
        <v>33.08</v>
      </c>
      <c r="M624" s="74">
        <v>37647</v>
      </c>
      <c r="N624" s="77">
        <v>0.25</v>
      </c>
      <c r="P624">
        <v>24.8</v>
      </c>
      <c r="S624" s="74">
        <v>36186</v>
      </c>
      <c r="T624" s="77">
        <v>0.25</v>
      </c>
      <c r="V624">
        <v>30.02</v>
      </c>
      <c r="X624" s="42"/>
      <c r="AB624">
        <v>29</v>
      </c>
      <c r="AC624">
        <v>24.08</v>
      </c>
      <c r="AE624" s="74"/>
      <c r="AF624" s="77"/>
      <c r="AH624" s="497">
        <v>26.6</v>
      </c>
      <c r="AJ624" s="42"/>
      <c r="AK624" s="74"/>
      <c r="AL624" s="77"/>
      <c r="AN624" s="497">
        <v>32</v>
      </c>
      <c r="AP624" s="42"/>
      <c r="AQ624" s="74"/>
      <c r="AR624" s="77"/>
      <c r="AT624" s="497">
        <v>21.02</v>
      </c>
      <c r="AV624" s="42"/>
      <c r="AW624" s="74"/>
      <c r="AX624" s="77"/>
      <c r="BA624" s="497">
        <v>19.939999999999998</v>
      </c>
      <c r="BB624" s="42"/>
      <c r="BC624" s="74"/>
      <c r="BD624" s="77"/>
      <c r="BF624">
        <v>17.96</v>
      </c>
      <c r="BH624" s="42"/>
      <c r="BI624" s="74"/>
      <c r="BJ624" s="77"/>
      <c r="BL624" s="497">
        <v>19.759999999999998</v>
      </c>
      <c r="BN624" s="42"/>
      <c r="BO624" s="74"/>
      <c r="BP624" s="77"/>
      <c r="BR624" s="497">
        <v>33.979999999999997</v>
      </c>
      <c r="BT624" s="42"/>
    </row>
    <row r="625" spans="1:72" x14ac:dyDescent="0.25">
      <c r="A625" s="90">
        <v>36186</v>
      </c>
      <c r="B625" s="20">
        <v>0.29166666666666669</v>
      </c>
      <c r="D625">
        <v>21.92</v>
      </c>
      <c r="E625" t="str">
        <f t="shared" si="54"/>
        <v>WEEKDAY</v>
      </c>
      <c r="F625" t="e">
        <f t="shared" si="55"/>
        <v>#N/A</v>
      </c>
      <c r="G625" s="74">
        <v>27785</v>
      </c>
      <c r="H625" s="77">
        <v>0.29166666666666669</v>
      </c>
      <c r="J625">
        <v>33.08</v>
      </c>
      <c r="M625" s="74">
        <v>37647</v>
      </c>
      <c r="N625" s="77">
        <v>0.29166666666666669</v>
      </c>
      <c r="P625">
        <v>24.8</v>
      </c>
      <c r="S625" s="74">
        <v>36186</v>
      </c>
      <c r="T625" s="77">
        <v>0.29166666666666669</v>
      </c>
      <c r="V625">
        <v>30.92</v>
      </c>
      <c r="X625" s="42"/>
      <c r="AB625">
        <v>28.9</v>
      </c>
      <c r="AC625">
        <v>23</v>
      </c>
      <c r="AE625" s="74"/>
      <c r="AF625" s="77"/>
      <c r="AH625" s="497">
        <v>26.6</v>
      </c>
      <c r="AJ625" s="42"/>
      <c r="AK625" s="74"/>
      <c r="AL625" s="77"/>
      <c r="AN625" s="497">
        <v>32</v>
      </c>
      <c r="AP625" s="42"/>
      <c r="AQ625" s="74"/>
      <c r="AR625" s="77"/>
      <c r="AT625" s="497">
        <v>19.939999999999998</v>
      </c>
      <c r="AV625" s="42"/>
      <c r="AW625" s="74"/>
      <c r="AX625" s="77"/>
      <c r="BA625" s="497">
        <v>19.04</v>
      </c>
      <c r="BB625" s="42"/>
      <c r="BC625" s="74"/>
      <c r="BD625" s="77"/>
      <c r="BF625">
        <v>17.96</v>
      </c>
      <c r="BH625" s="42"/>
      <c r="BI625" s="74"/>
      <c r="BJ625" s="77"/>
      <c r="BL625" s="497">
        <v>19.04</v>
      </c>
      <c r="BN625" s="42"/>
      <c r="BO625" s="74"/>
      <c r="BP625" s="77"/>
      <c r="BR625" s="497">
        <v>33.08</v>
      </c>
      <c r="BT625" s="42"/>
    </row>
    <row r="626" spans="1:72" x14ac:dyDescent="0.25">
      <c r="A626" s="90">
        <v>36186</v>
      </c>
      <c r="B626" s="20">
        <v>0.33333333333333331</v>
      </c>
      <c r="D626">
        <v>23</v>
      </c>
      <c r="E626" t="str">
        <f t="shared" si="54"/>
        <v>WEEKDAY</v>
      </c>
      <c r="F626" t="e">
        <f t="shared" si="55"/>
        <v>#N/A</v>
      </c>
      <c r="G626" s="74">
        <v>27785</v>
      </c>
      <c r="H626" s="77">
        <v>0.33333333333333331</v>
      </c>
      <c r="J626">
        <v>33.979999999999997</v>
      </c>
      <c r="M626" s="74">
        <v>37647</v>
      </c>
      <c r="N626" s="77">
        <v>0.33333333333333331</v>
      </c>
      <c r="P626">
        <v>26.6</v>
      </c>
      <c r="S626" s="74">
        <v>36186</v>
      </c>
      <c r="T626" s="77">
        <v>0.33333333333333331</v>
      </c>
      <c r="V626">
        <v>30.02</v>
      </c>
      <c r="X626" s="42"/>
      <c r="AB626">
        <v>28.8</v>
      </c>
      <c r="AC626">
        <v>23</v>
      </c>
      <c r="AE626" s="74"/>
      <c r="AF626" s="77"/>
      <c r="AH626" s="497">
        <v>24.8</v>
      </c>
      <c r="AJ626" s="42"/>
      <c r="AK626" s="74"/>
      <c r="AL626" s="77"/>
      <c r="AN626" s="497">
        <v>32</v>
      </c>
      <c r="AP626" s="42"/>
      <c r="AQ626" s="74"/>
      <c r="AR626" s="77"/>
      <c r="AT626" s="497">
        <v>21.02</v>
      </c>
      <c r="AV626" s="42"/>
      <c r="AW626" s="74"/>
      <c r="AX626" s="77"/>
      <c r="BA626" s="497">
        <v>20.299999999999997</v>
      </c>
      <c r="BB626" s="42"/>
      <c r="BC626" s="74"/>
      <c r="BD626" s="77"/>
      <c r="BF626">
        <v>19.939999999999998</v>
      </c>
      <c r="BH626" s="42"/>
      <c r="BI626" s="74"/>
      <c r="BJ626" s="77"/>
      <c r="BL626" s="497">
        <v>19.759999999999998</v>
      </c>
      <c r="BN626" s="42"/>
      <c r="BO626" s="74"/>
      <c r="BP626" s="77"/>
      <c r="BR626" s="497">
        <v>32</v>
      </c>
      <c r="BT626" s="42"/>
    </row>
    <row r="627" spans="1:72" x14ac:dyDescent="0.25">
      <c r="A627" s="90">
        <v>36186</v>
      </c>
      <c r="B627" s="20">
        <v>0.375</v>
      </c>
      <c r="D627">
        <v>24.08</v>
      </c>
      <c r="E627" t="str">
        <f t="shared" si="54"/>
        <v>WEEKDAY</v>
      </c>
      <c r="F627" t="e">
        <f t="shared" si="55"/>
        <v>#N/A</v>
      </c>
      <c r="G627" s="74">
        <v>27785</v>
      </c>
      <c r="H627" s="77">
        <v>0.375</v>
      </c>
      <c r="J627">
        <v>35.06</v>
      </c>
      <c r="M627" s="74">
        <v>37647</v>
      </c>
      <c r="N627" s="77">
        <v>0.375</v>
      </c>
      <c r="P627">
        <v>26.6</v>
      </c>
      <c r="S627" s="74">
        <v>36186</v>
      </c>
      <c r="T627" s="77">
        <v>0.375</v>
      </c>
      <c r="V627">
        <v>33.08</v>
      </c>
      <c r="X627" s="42"/>
      <c r="AB627">
        <v>29.4</v>
      </c>
      <c r="AC627">
        <v>23</v>
      </c>
      <c r="AE627" s="74"/>
      <c r="AF627" s="77"/>
      <c r="AH627" s="497">
        <v>24.8</v>
      </c>
      <c r="AJ627" s="42"/>
      <c r="AK627" s="74"/>
      <c r="AL627" s="77"/>
      <c r="AN627" s="497">
        <v>32</v>
      </c>
      <c r="AP627" s="42"/>
      <c r="AQ627" s="74"/>
      <c r="AR627" s="77"/>
      <c r="AT627" s="497">
        <v>23</v>
      </c>
      <c r="AV627" s="42"/>
      <c r="AW627" s="74"/>
      <c r="AX627" s="77"/>
      <c r="BA627" s="497">
        <v>21.740000000000002</v>
      </c>
      <c r="BB627" s="42"/>
      <c r="BC627" s="74"/>
      <c r="BD627" s="77"/>
      <c r="BF627">
        <v>21.02</v>
      </c>
      <c r="BH627" s="42"/>
      <c r="BI627" s="74"/>
      <c r="BJ627" s="77"/>
      <c r="BL627" s="497">
        <v>20.299999999999997</v>
      </c>
      <c r="BN627" s="42"/>
      <c r="BO627" s="74"/>
      <c r="BP627" s="77"/>
      <c r="BR627" s="497">
        <v>33.08</v>
      </c>
      <c r="BT627" s="42"/>
    </row>
    <row r="628" spans="1:72" x14ac:dyDescent="0.25">
      <c r="A628" s="90">
        <v>36186</v>
      </c>
      <c r="B628" s="20">
        <v>0.41666666666666669</v>
      </c>
      <c r="D628">
        <v>26.060000000000002</v>
      </c>
      <c r="E628" t="str">
        <f t="shared" si="54"/>
        <v>WEEKDAY</v>
      </c>
      <c r="F628" t="e">
        <f t="shared" si="55"/>
        <v>#N/A</v>
      </c>
      <c r="G628" s="74">
        <v>27785</v>
      </c>
      <c r="H628" s="77">
        <v>0.41666666666666669</v>
      </c>
      <c r="J628">
        <v>35.06</v>
      </c>
      <c r="M628" s="74">
        <v>37647</v>
      </c>
      <c r="N628" s="77">
        <v>0.41666666666666669</v>
      </c>
      <c r="P628">
        <v>26.6</v>
      </c>
      <c r="S628" s="74">
        <v>36186</v>
      </c>
      <c r="T628" s="77">
        <v>0.41666666666666669</v>
      </c>
      <c r="V628">
        <v>35.96</v>
      </c>
      <c r="X628" s="42"/>
      <c r="AB628">
        <v>31.1</v>
      </c>
      <c r="AC628">
        <v>24.98</v>
      </c>
      <c r="AE628" s="74"/>
      <c r="AF628" s="77"/>
      <c r="AH628" s="497">
        <v>24.8</v>
      </c>
      <c r="AJ628" s="42"/>
      <c r="AK628" s="74"/>
      <c r="AL628" s="77"/>
      <c r="AN628" s="497">
        <v>32</v>
      </c>
      <c r="AP628" s="42"/>
      <c r="AQ628" s="74"/>
      <c r="AR628" s="77"/>
      <c r="AT628" s="497">
        <v>24.08</v>
      </c>
      <c r="AV628" s="42"/>
      <c r="AW628" s="74"/>
      <c r="AX628" s="77"/>
      <c r="BA628" s="497">
        <v>23</v>
      </c>
      <c r="BB628" s="42"/>
      <c r="BC628" s="74"/>
      <c r="BD628" s="77"/>
      <c r="BF628">
        <v>21.92</v>
      </c>
      <c r="BH628" s="42"/>
      <c r="BI628" s="74"/>
      <c r="BJ628" s="77"/>
      <c r="BL628" s="497">
        <v>21.02</v>
      </c>
      <c r="BN628" s="42"/>
      <c r="BO628" s="74"/>
      <c r="BP628" s="77"/>
      <c r="BR628" s="497">
        <v>33.979999999999997</v>
      </c>
      <c r="BT628" s="42"/>
    </row>
    <row r="629" spans="1:72" x14ac:dyDescent="0.25">
      <c r="A629" s="90">
        <v>36186</v>
      </c>
      <c r="B629" s="20">
        <v>0.45833333333333331</v>
      </c>
      <c r="D629">
        <v>26.96</v>
      </c>
      <c r="E629" t="str">
        <f t="shared" si="54"/>
        <v>WEEKDAY</v>
      </c>
      <c r="F629" t="e">
        <f t="shared" si="55"/>
        <v>#N/A</v>
      </c>
      <c r="G629" s="74">
        <v>27785</v>
      </c>
      <c r="H629" s="77">
        <v>0.45833333333333331</v>
      </c>
      <c r="J629">
        <v>35.96</v>
      </c>
      <c r="M629" s="74">
        <v>37647</v>
      </c>
      <c r="N629" s="77">
        <v>0.45833333333333331</v>
      </c>
      <c r="P629">
        <v>28.4</v>
      </c>
      <c r="S629" s="74">
        <v>36186</v>
      </c>
      <c r="T629" s="77">
        <v>0.45833333333333331</v>
      </c>
      <c r="V629">
        <v>37.94</v>
      </c>
      <c r="X629" s="42"/>
      <c r="AB629">
        <v>32.6</v>
      </c>
      <c r="AC629">
        <v>26.060000000000002</v>
      </c>
      <c r="AE629" s="74"/>
      <c r="AF629" s="77"/>
      <c r="AH629" s="497">
        <v>28.4</v>
      </c>
      <c r="AJ629" s="42"/>
      <c r="AK629" s="74"/>
      <c r="AL629" s="77"/>
      <c r="AN629" s="497">
        <v>32</v>
      </c>
      <c r="AP629" s="42"/>
      <c r="AQ629" s="74"/>
      <c r="AR629" s="77"/>
      <c r="AT629" s="497">
        <v>24.08</v>
      </c>
      <c r="AV629" s="42"/>
      <c r="AW629" s="74"/>
      <c r="AX629" s="77"/>
      <c r="BA629" s="497">
        <v>24.08</v>
      </c>
      <c r="BB629" s="42"/>
      <c r="BC629" s="74"/>
      <c r="BD629" s="77"/>
      <c r="BF629">
        <v>24.08</v>
      </c>
      <c r="BH629" s="42"/>
      <c r="BI629" s="74"/>
      <c r="BJ629" s="77"/>
      <c r="BL629" s="497">
        <v>22.1</v>
      </c>
      <c r="BN629" s="42"/>
      <c r="BO629" s="74"/>
      <c r="BP629" s="77"/>
      <c r="BR629" s="497">
        <v>35.06</v>
      </c>
      <c r="BT629" s="42"/>
    </row>
    <row r="630" spans="1:72" x14ac:dyDescent="0.25">
      <c r="A630" s="90">
        <v>36186</v>
      </c>
      <c r="B630" s="20">
        <v>0.5</v>
      </c>
      <c r="D630">
        <v>28.94</v>
      </c>
      <c r="E630" t="str">
        <f t="shared" si="54"/>
        <v>WEEKDAY</v>
      </c>
      <c r="F630" t="e">
        <f t="shared" si="55"/>
        <v>#N/A</v>
      </c>
      <c r="G630" s="74">
        <v>27785</v>
      </c>
      <c r="H630" s="77">
        <v>0.5</v>
      </c>
      <c r="J630">
        <v>39.019999999999996</v>
      </c>
      <c r="M630" s="74">
        <v>37647</v>
      </c>
      <c r="N630" s="77">
        <v>0.5</v>
      </c>
      <c r="P630">
        <v>28.4</v>
      </c>
      <c r="S630" s="74">
        <v>36186</v>
      </c>
      <c r="T630" s="77">
        <v>0.5</v>
      </c>
      <c r="V630">
        <v>39.019999999999996</v>
      </c>
      <c r="X630" s="42"/>
      <c r="AB630">
        <v>34</v>
      </c>
      <c r="AC630">
        <v>26.96</v>
      </c>
      <c r="AE630" s="74"/>
      <c r="AF630" s="77"/>
      <c r="AH630" s="497">
        <v>28.4</v>
      </c>
      <c r="AJ630" s="42"/>
      <c r="AK630" s="74"/>
      <c r="AL630" s="77"/>
      <c r="AN630" s="497">
        <v>32</v>
      </c>
      <c r="AP630" s="42"/>
      <c r="AQ630" s="74"/>
      <c r="AR630" s="77"/>
      <c r="AT630" s="497">
        <v>24.08</v>
      </c>
      <c r="AV630" s="42"/>
      <c r="AW630" s="74"/>
      <c r="AX630" s="77"/>
      <c r="BA630" s="497">
        <v>24.98</v>
      </c>
      <c r="BB630" s="42"/>
      <c r="BC630" s="74"/>
      <c r="BD630" s="77"/>
      <c r="BF630">
        <v>24.08</v>
      </c>
      <c r="BH630" s="42"/>
      <c r="BI630" s="74"/>
      <c r="BJ630" s="77"/>
      <c r="BL630" s="497">
        <v>23</v>
      </c>
      <c r="BN630" s="42"/>
      <c r="BO630" s="74"/>
      <c r="BP630" s="77"/>
      <c r="BR630" s="497">
        <v>35.96</v>
      </c>
      <c r="BT630" s="42"/>
    </row>
    <row r="631" spans="1:72" x14ac:dyDescent="0.25">
      <c r="A631" s="90">
        <v>36186</v>
      </c>
      <c r="B631" s="20">
        <v>0.54166666666666663</v>
      </c>
      <c r="D631">
        <v>30.02</v>
      </c>
      <c r="E631" t="str">
        <f t="shared" si="54"/>
        <v>WEEKDAY</v>
      </c>
      <c r="F631" t="e">
        <f t="shared" si="55"/>
        <v>#N/A</v>
      </c>
      <c r="G631" s="74">
        <v>27785</v>
      </c>
      <c r="H631" s="77">
        <v>0.54166666666666663</v>
      </c>
      <c r="J631">
        <v>50</v>
      </c>
      <c r="M631" s="74">
        <v>37647</v>
      </c>
      <c r="N631" s="77">
        <v>0.54166666666666663</v>
      </c>
      <c r="P631">
        <v>29.3</v>
      </c>
      <c r="S631" s="74">
        <v>36186</v>
      </c>
      <c r="T631" s="77">
        <v>0.54166666666666663</v>
      </c>
      <c r="V631">
        <v>41</v>
      </c>
      <c r="X631" s="42"/>
      <c r="AB631">
        <v>35.200000000000003</v>
      </c>
      <c r="AC631">
        <v>26.96</v>
      </c>
      <c r="AE631" s="74"/>
      <c r="AF631" s="77"/>
      <c r="AH631" s="497">
        <v>26.6</v>
      </c>
      <c r="AJ631" s="42"/>
      <c r="AK631" s="74"/>
      <c r="AL631" s="77"/>
      <c r="AN631" s="497">
        <v>32</v>
      </c>
      <c r="AP631" s="42"/>
      <c r="AQ631" s="74"/>
      <c r="AR631" s="77"/>
      <c r="AT631" s="497">
        <v>23</v>
      </c>
      <c r="AV631" s="42"/>
      <c r="AW631" s="74"/>
      <c r="AX631" s="77"/>
      <c r="BA631" s="497">
        <v>26.060000000000002</v>
      </c>
      <c r="BB631" s="42"/>
      <c r="BC631" s="74"/>
      <c r="BD631" s="77"/>
      <c r="BF631">
        <v>24.98</v>
      </c>
      <c r="BH631" s="42"/>
      <c r="BI631" s="74"/>
      <c r="BJ631" s="77"/>
      <c r="BL631" s="497">
        <v>24.08</v>
      </c>
      <c r="BN631" s="42"/>
      <c r="BO631" s="74"/>
      <c r="BP631" s="77"/>
      <c r="BR631" s="497">
        <v>37.04</v>
      </c>
      <c r="BT631" s="42"/>
    </row>
    <row r="632" spans="1:72" x14ac:dyDescent="0.25">
      <c r="A632" s="90">
        <v>36186</v>
      </c>
      <c r="B632" s="20">
        <v>0.58333333333333337</v>
      </c>
      <c r="D632">
        <v>30.92</v>
      </c>
      <c r="E632" t="str">
        <f t="shared" si="54"/>
        <v>WEEKDAY</v>
      </c>
      <c r="F632" t="e">
        <f t="shared" si="55"/>
        <v>#N/A</v>
      </c>
      <c r="G632" s="74">
        <v>27785</v>
      </c>
      <c r="H632" s="77">
        <v>0.58333333333333337</v>
      </c>
      <c r="J632">
        <v>51.980000000000004</v>
      </c>
      <c r="M632" s="74">
        <v>37647</v>
      </c>
      <c r="N632" s="77">
        <v>0.58333333333333337</v>
      </c>
      <c r="P632">
        <v>30.2</v>
      </c>
      <c r="S632" s="74">
        <v>36186</v>
      </c>
      <c r="T632" s="77">
        <v>0.58333333333333337</v>
      </c>
      <c r="V632">
        <v>39.92</v>
      </c>
      <c r="X632" s="42"/>
      <c r="AB632">
        <v>36.1</v>
      </c>
      <c r="AC632">
        <v>28.94</v>
      </c>
      <c r="AE632" s="74"/>
      <c r="AF632" s="77"/>
      <c r="AH632" s="497">
        <v>24.8</v>
      </c>
      <c r="AJ632" s="42"/>
      <c r="AK632" s="74"/>
      <c r="AL632" s="77"/>
      <c r="AN632" s="497">
        <v>33.08</v>
      </c>
      <c r="AP632" s="42"/>
      <c r="AQ632" s="74"/>
      <c r="AR632" s="77"/>
      <c r="AT632" s="497">
        <v>23</v>
      </c>
      <c r="AV632" s="42"/>
      <c r="AW632" s="74"/>
      <c r="AX632" s="77"/>
      <c r="BA632" s="497">
        <v>25.7</v>
      </c>
      <c r="BB632" s="42"/>
      <c r="BC632" s="74"/>
      <c r="BD632" s="77"/>
      <c r="BF632">
        <v>24.98</v>
      </c>
      <c r="BH632" s="42"/>
      <c r="BI632" s="74"/>
      <c r="BJ632" s="77"/>
      <c r="BL632" s="497">
        <v>24.08</v>
      </c>
      <c r="BN632" s="42"/>
      <c r="BO632" s="74"/>
      <c r="BP632" s="77"/>
      <c r="BR632" s="497">
        <v>35.06</v>
      </c>
      <c r="BT632" s="42"/>
    </row>
    <row r="633" spans="1:72" x14ac:dyDescent="0.25">
      <c r="A633" s="90">
        <v>36186</v>
      </c>
      <c r="B633" s="20">
        <v>0.625</v>
      </c>
      <c r="D633">
        <v>32</v>
      </c>
      <c r="E633" t="str">
        <f t="shared" si="54"/>
        <v>WEEKDAY</v>
      </c>
      <c r="F633" t="e">
        <f t="shared" si="55"/>
        <v>#N/A</v>
      </c>
      <c r="G633" s="74">
        <v>27785</v>
      </c>
      <c r="H633" s="77">
        <v>0.625</v>
      </c>
      <c r="J633">
        <v>53.06</v>
      </c>
      <c r="M633" s="74">
        <v>37647</v>
      </c>
      <c r="N633" s="77">
        <v>0.625</v>
      </c>
      <c r="P633">
        <v>30.2</v>
      </c>
      <c r="S633" s="74">
        <v>36186</v>
      </c>
      <c r="T633" s="77">
        <v>0.625</v>
      </c>
      <c r="V633">
        <v>39.92</v>
      </c>
      <c r="X633" s="42"/>
      <c r="AB633">
        <v>36.6</v>
      </c>
      <c r="AC633">
        <v>30.02</v>
      </c>
      <c r="AE633" s="74"/>
      <c r="AF633" s="77"/>
      <c r="AH633" s="497">
        <v>23</v>
      </c>
      <c r="AJ633" s="42"/>
      <c r="AK633" s="74"/>
      <c r="AL633" s="77"/>
      <c r="AN633" s="497">
        <v>33.08</v>
      </c>
      <c r="AP633" s="42"/>
      <c r="AQ633" s="74"/>
      <c r="AR633" s="77"/>
      <c r="AT633" s="497">
        <v>21.92</v>
      </c>
      <c r="AV633" s="42"/>
      <c r="AW633" s="74"/>
      <c r="AX633" s="77"/>
      <c r="BA633" s="497">
        <v>25.34</v>
      </c>
      <c r="BB633" s="42"/>
      <c r="BC633" s="74"/>
      <c r="BD633" s="77"/>
      <c r="BF633">
        <v>24.98</v>
      </c>
      <c r="BH633" s="42"/>
      <c r="BI633" s="74"/>
      <c r="BJ633" s="77"/>
      <c r="BL633" s="497">
        <v>24.08</v>
      </c>
      <c r="BN633" s="42"/>
      <c r="BO633" s="74"/>
      <c r="BP633" s="77"/>
      <c r="BR633" s="497">
        <v>35.06</v>
      </c>
      <c r="BT633" s="42"/>
    </row>
    <row r="634" spans="1:72" x14ac:dyDescent="0.25">
      <c r="A634" s="90">
        <v>36186</v>
      </c>
      <c r="B634" s="20">
        <v>0.66666666666666663</v>
      </c>
      <c r="D634">
        <v>33.08</v>
      </c>
      <c r="E634" t="str">
        <f t="shared" si="54"/>
        <v>WEEKDAY</v>
      </c>
      <c r="F634" t="e">
        <f t="shared" si="55"/>
        <v>#N/A</v>
      </c>
      <c r="G634" s="74">
        <v>27785</v>
      </c>
      <c r="H634" s="77">
        <v>0.66666666666666663</v>
      </c>
      <c r="J634">
        <v>51.980000000000004</v>
      </c>
      <c r="M634" s="74">
        <v>37647</v>
      </c>
      <c r="N634" s="77">
        <v>0.66666666666666663</v>
      </c>
      <c r="P634">
        <v>28.4</v>
      </c>
      <c r="S634" s="74">
        <v>36186</v>
      </c>
      <c r="T634" s="77">
        <v>0.66666666666666663</v>
      </c>
      <c r="V634">
        <v>39.92</v>
      </c>
      <c r="X634" s="42"/>
      <c r="AB634">
        <v>36.700000000000003</v>
      </c>
      <c r="AC634">
        <v>30.02</v>
      </c>
      <c r="AE634" s="74"/>
      <c r="AF634" s="77"/>
      <c r="AH634" s="497">
        <v>21.2</v>
      </c>
      <c r="AJ634" s="42"/>
      <c r="AK634" s="74"/>
      <c r="AL634" s="77"/>
      <c r="AN634" s="497">
        <v>32</v>
      </c>
      <c r="AP634" s="42"/>
      <c r="AQ634" s="74"/>
      <c r="AR634" s="77"/>
      <c r="AT634" s="497">
        <v>21.92</v>
      </c>
      <c r="AV634" s="42"/>
      <c r="AW634" s="74"/>
      <c r="AX634" s="77"/>
      <c r="BA634" s="497">
        <v>24.98</v>
      </c>
      <c r="BB634" s="42"/>
      <c r="BC634" s="74"/>
      <c r="BD634" s="77"/>
      <c r="BF634">
        <v>26.060000000000002</v>
      </c>
      <c r="BH634" s="42"/>
      <c r="BI634" s="74"/>
      <c r="BJ634" s="77"/>
      <c r="BL634" s="497">
        <v>24.08</v>
      </c>
      <c r="BN634" s="42"/>
      <c r="BO634" s="74"/>
      <c r="BP634" s="77"/>
      <c r="BR634" s="497">
        <v>33.979999999999997</v>
      </c>
      <c r="BT634" s="42"/>
    </row>
    <row r="635" spans="1:72" x14ac:dyDescent="0.25">
      <c r="A635" s="90">
        <v>36186</v>
      </c>
      <c r="B635" s="20">
        <v>0.70833333333333337</v>
      </c>
      <c r="D635">
        <v>32</v>
      </c>
      <c r="E635" t="str">
        <f t="shared" si="54"/>
        <v>WEEKDAY</v>
      </c>
      <c r="F635" t="e">
        <f t="shared" si="55"/>
        <v>#N/A</v>
      </c>
      <c r="G635" s="74">
        <v>27785</v>
      </c>
      <c r="H635" s="77">
        <v>0.70833333333333337</v>
      </c>
      <c r="J635">
        <v>51.980000000000004</v>
      </c>
      <c r="M635" s="74">
        <v>37647</v>
      </c>
      <c r="N635" s="77">
        <v>0.70833333333333337</v>
      </c>
      <c r="P635">
        <v>28.4</v>
      </c>
      <c r="S635" s="74">
        <v>36186</v>
      </c>
      <c r="T635" s="77">
        <v>0.70833333333333337</v>
      </c>
      <c r="V635">
        <v>39.92</v>
      </c>
      <c r="X635" s="42"/>
      <c r="AB635">
        <v>36.200000000000003</v>
      </c>
      <c r="AC635">
        <v>28.04</v>
      </c>
      <c r="AE635" s="74"/>
      <c r="AF635" s="77"/>
      <c r="AH635" s="497">
        <v>19.399999999999999</v>
      </c>
      <c r="AJ635" s="42"/>
      <c r="AK635" s="74"/>
      <c r="AL635" s="77"/>
      <c r="AN635" s="497">
        <v>30.92</v>
      </c>
      <c r="AP635" s="42"/>
      <c r="AQ635" s="74"/>
      <c r="AR635" s="77"/>
      <c r="AT635" s="497">
        <v>19.04</v>
      </c>
      <c r="AV635" s="42"/>
      <c r="AW635" s="74"/>
      <c r="AX635" s="77"/>
      <c r="BA635" s="497">
        <v>24.62</v>
      </c>
      <c r="BB635" s="42"/>
      <c r="BC635" s="74"/>
      <c r="BD635" s="77"/>
      <c r="BF635">
        <v>24.98</v>
      </c>
      <c r="BH635" s="42"/>
      <c r="BI635" s="74"/>
      <c r="BJ635" s="77"/>
      <c r="BL635" s="497">
        <v>23.72</v>
      </c>
      <c r="BN635" s="42"/>
      <c r="BO635" s="74"/>
      <c r="BP635" s="77"/>
      <c r="BR635" s="497">
        <v>33.08</v>
      </c>
      <c r="BT635" s="42"/>
    </row>
    <row r="636" spans="1:72" x14ac:dyDescent="0.25">
      <c r="A636" s="90">
        <v>36186</v>
      </c>
      <c r="B636" s="20">
        <v>0.75</v>
      </c>
      <c r="D636">
        <v>32</v>
      </c>
      <c r="E636" t="str">
        <f t="shared" si="54"/>
        <v>WEEKDAY</v>
      </c>
      <c r="F636" t="e">
        <f t="shared" si="55"/>
        <v>#N/A</v>
      </c>
      <c r="G636" s="74">
        <v>27785</v>
      </c>
      <c r="H636" s="77">
        <v>0.75</v>
      </c>
      <c r="J636">
        <v>50</v>
      </c>
      <c r="M636" s="74">
        <v>37647</v>
      </c>
      <c r="N636" s="77">
        <v>0.75</v>
      </c>
      <c r="P636">
        <v>28.4</v>
      </c>
      <c r="S636" s="74">
        <v>36186</v>
      </c>
      <c r="T636" s="77">
        <v>0.75</v>
      </c>
      <c r="V636">
        <v>37.04</v>
      </c>
      <c r="X636" s="42"/>
      <c r="AB636">
        <v>35.1</v>
      </c>
      <c r="AC636">
        <v>24.98</v>
      </c>
      <c r="AE636" s="74"/>
      <c r="AF636" s="77"/>
      <c r="AH636" s="497">
        <v>17.600000000000001</v>
      </c>
      <c r="AJ636" s="42"/>
      <c r="AK636" s="74"/>
      <c r="AL636" s="77"/>
      <c r="AN636" s="497">
        <v>30.92</v>
      </c>
      <c r="AP636" s="42"/>
      <c r="AQ636" s="74"/>
      <c r="AR636" s="77"/>
      <c r="AT636" s="497">
        <v>17.96</v>
      </c>
      <c r="AV636" s="42"/>
      <c r="AW636" s="74"/>
      <c r="AX636" s="77"/>
      <c r="BA636" s="497">
        <v>24.439999999999998</v>
      </c>
      <c r="BB636" s="42"/>
      <c r="BC636" s="74"/>
      <c r="BD636" s="77"/>
      <c r="BF636">
        <v>24.98</v>
      </c>
      <c r="BH636" s="42"/>
      <c r="BI636" s="74"/>
      <c r="BJ636" s="77"/>
      <c r="BL636" s="497">
        <v>23.36</v>
      </c>
      <c r="BN636" s="42"/>
      <c r="BO636" s="74"/>
      <c r="BP636" s="77"/>
      <c r="BR636" s="497">
        <v>33.08</v>
      </c>
      <c r="BT636" s="42"/>
    </row>
    <row r="637" spans="1:72" x14ac:dyDescent="0.25">
      <c r="A637" s="90">
        <v>36186</v>
      </c>
      <c r="B637" s="20">
        <v>0.79166666666666663</v>
      </c>
      <c r="D637">
        <v>33.08</v>
      </c>
      <c r="E637" t="str">
        <f t="shared" si="54"/>
        <v>WEEKDAY</v>
      </c>
      <c r="F637" t="e">
        <f t="shared" si="55"/>
        <v>#N/A</v>
      </c>
      <c r="G637" s="74">
        <v>27785</v>
      </c>
      <c r="H637" s="77">
        <v>0.79166666666666663</v>
      </c>
      <c r="J637">
        <v>50</v>
      </c>
      <c r="M637" s="74">
        <v>37647</v>
      </c>
      <c r="N637" s="77">
        <v>0.79166666666666663</v>
      </c>
      <c r="P637">
        <v>26.6</v>
      </c>
      <c r="S637" s="74">
        <v>36186</v>
      </c>
      <c r="T637" s="77">
        <v>0.79166666666666663</v>
      </c>
      <c r="V637">
        <v>37.94</v>
      </c>
      <c r="X637" s="42"/>
      <c r="AB637">
        <v>34.299999999999997</v>
      </c>
      <c r="AC637">
        <v>24.08</v>
      </c>
      <c r="AE637" s="74"/>
      <c r="AF637" s="77"/>
      <c r="AH637" s="497">
        <v>17.600000000000001</v>
      </c>
      <c r="AJ637" s="42"/>
      <c r="AK637" s="74"/>
      <c r="AL637" s="77"/>
      <c r="AN637" s="497">
        <v>30.02</v>
      </c>
      <c r="AP637" s="42"/>
      <c r="AQ637" s="74"/>
      <c r="AR637" s="77"/>
      <c r="AT637" s="497">
        <v>17.96</v>
      </c>
      <c r="AV637" s="42"/>
      <c r="AW637" s="74"/>
      <c r="AX637" s="77"/>
      <c r="BA637" s="497">
        <v>24.08</v>
      </c>
      <c r="BB637" s="42"/>
      <c r="BC637" s="74"/>
      <c r="BD637" s="77"/>
      <c r="BF637">
        <v>24.98</v>
      </c>
      <c r="BH637" s="42"/>
      <c r="BI637" s="74"/>
      <c r="BJ637" s="77"/>
      <c r="BL637" s="497">
        <v>23</v>
      </c>
      <c r="BN637" s="42"/>
      <c r="BO637" s="74"/>
      <c r="BP637" s="77"/>
      <c r="BR637" s="497">
        <v>33.08</v>
      </c>
      <c r="BT637" s="42"/>
    </row>
    <row r="638" spans="1:72" x14ac:dyDescent="0.25">
      <c r="A638" s="90">
        <v>36186</v>
      </c>
      <c r="B638" s="20">
        <v>0.83333333333333337</v>
      </c>
      <c r="D638">
        <v>33.08</v>
      </c>
      <c r="E638" t="str">
        <f t="shared" si="54"/>
        <v>WEEKDAY</v>
      </c>
      <c r="F638" t="e">
        <f t="shared" si="55"/>
        <v>#N/A</v>
      </c>
      <c r="G638" s="74">
        <v>27785</v>
      </c>
      <c r="H638" s="77">
        <v>0.83333333333333337</v>
      </c>
      <c r="J638">
        <v>50</v>
      </c>
      <c r="M638" s="74">
        <v>37647</v>
      </c>
      <c r="N638" s="77">
        <v>0.83333333333333337</v>
      </c>
      <c r="P638">
        <v>26.6</v>
      </c>
      <c r="S638" s="74">
        <v>36186</v>
      </c>
      <c r="T638" s="77">
        <v>0.83333333333333337</v>
      </c>
      <c r="V638">
        <v>37.94</v>
      </c>
      <c r="X638" s="42"/>
      <c r="AB638">
        <v>34</v>
      </c>
      <c r="AC638">
        <v>21.92</v>
      </c>
      <c r="AE638" s="74"/>
      <c r="AF638" s="77"/>
      <c r="AH638" s="497">
        <v>15.8</v>
      </c>
      <c r="AJ638" s="42"/>
      <c r="AK638" s="74"/>
      <c r="AL638" s="77"/>
      <c r="AN638" s="497">
        <v>28.94</v>
      </c>
      <c r="AP638" s="42"/>
      <c r="AQ638" s="74"/>
      <c r="AR638" s="77"/>
      <c r="AT638" s="497">
        <v>19.04</v>
      </c>
      <c r="AV638" s="42"/>
      <c r="AW638" s="74"/>
      <c r="AX638" s="77"/>
      <c r="BA638" s="497">
        <v>24.439999999999998</v>
      </c>
      <c r="BB638" s="42"/>
      <c r="BC638" s="74"/>
      <c r="BD638" s="77"/>
      <c r="BF638">
        <v>24.98</v>
      </c>
      <c r="BH638" s="42"/>
      <c r="BI638" s="74"/>
      <c r="BJ638" s="77"/>
      <c r="BL638" s="497">
        <v>23.72</v>
      </c>
      <c r="BN638" s="42"/>
      <c r="BO638" s="74"/>
      <c r="BP638" s="77"/>
      <c r="BR638" s="497">
        <v>32</v>
      </c>
      <c r="BT638" s="42"/>
    </row>
    <row r="639" spans="1:72" x14ac:dyDescent="0.25">
      <c r="A639" s="90">
        <v>36186</v>
      </c>
      <c r="B639" s="20">
        <v>0.875</v>
      </c>
      <c r="D639">
        <v>33.08</v>
      </c>
      <c r="E639" t="str">
        <f t="shared" si="54"/>
        <v>WEEKDAY</v>
      </c>
      <c r="F639" t="e">
        <f t="shared" si="55"/>
        <v>#N/A</v>
      </c>
      <c r="G639" s="74">
        <v>27785</v>
      </c>
      <c r="H639" s="77">
        <v>0.875</v>
      </c>
      <c r="J639">
        <v>50</v>
      </c>
      <c r="M639" s="74">
        <v>37647</v>
      </c>
      <c r="N639" s="77">
        <v>0.875</v>
      </c>
      <c r="P639">
        <v>26.6</v>
      </c>
      <c r="S639" s="74">
        <v>36186</v>
      </c>
      <c r="T639" s="77">
        <v>0.875</v>
      </c>
      <c r="V639">
        <v>33.08</v>
      </c>
      <c r="X639" s="42"/>
      <c r="AB639">
        <v>33.299999999999997</v>
      </c>
      <c r="AC639">
        <v>26.060000000000002</v>
      </c>
      <c r="AE639" s="74"/>
      <c r="AF639" s="77"/>
      <c r="AH639" s="497">
        <v>14</v>
      </c>
      <c r="AJ639" s="42"/>
      <c r="AK639" s="74"/>
      <c r="AL639" s="77"/>
      <c r="AN639" s="497">
        <v>28.94</v>
      </c>
      <c r="AP639" s="42"/>
      <c r="AQ639" s="74"/>
      <c r="AR639" s="77"/>
      <c r="AT639" s="497">
        <v>17.96</v>
      </c>
      <c r="AV639" s="42"/>
      <c r="AW639" s="74"/>
      <c r="AX639" s="77"/>
      <c r="BA639" s="497">
        <v>24.62</v>
      </c>
      <c r="BB639" s="42"/>
      <c r="BC639" s="74"/>
      <c r="BD639" s="77"/>
      <c r="BF639">
        <v>24.98</v>
      </c>
      <c r="BH639" s="42"/>
      <c r="BI639" s="74"/>
      <c r="BJ639" s="77"/>
      <c r="BL639" s="497">
        <v>24.259999999999998</v>
      </c>
      <c r="BN639" s="42"/>
      <c r="BO639" s="74"/>
      <c r="BP639" s="77"/>
      <c r="BR639" s="497">
        <v>33.08</v>
      </c>
      <c r="BT639" s="42"/>
    </row>
    <row r="640" spans="1:72" x14ac:dyDescent="0.25">
      <c r="A640" s="90">
        <v>36186</v>
      </c>
      <c r="B640" s="20">
        <v>0.91666666666666663</v>
      </c>
      <c r="D640">
        <v>33.979999999999997</v>
      </c>
      <c r="E640" t="str">
        <f t="shared" si="54"/>
        <v>WEEKDAY</v>
      </c>
      <c r="F640" t="e">
        <f t="shared" si="55"/>
        <v>#N/A</v>
      </c>
      <c r="G640" s="74">
        <v>27785</v>
      </c>
      <c r="H640" s="77">
        <v>0.91666666666666663</v>
      </c>
      <c r="J640">
        <v>50</v>
      </c>
      <c r="M640" s="74">
        <v>37647</v>
      </c>
      <c r="N640" s="77">
        <v>0.91666666666666663</v>
      </c>
      <c r="P640">
        <v>24.8</v>
      </c>
      <c r="S640" s="74">
        <v>36186</v>
      </c>
      <c r="T640" s="77">
        <v>0.91666666666666663</v>
      </c>
      <c r="V640">
        <v>35.06</v>
      </c>
      <c r="X640" s="42"/>
      <c r="AB640">
        <v>32.6</v>
      </c>
      <c r="AC640">
        <v>24.08</v>
      </c>
      <c r="AE640" s="74"/>
      <c r="AF640" s="77"/>
      <c r="AH640" s="497">
        <v>12.2</v>
      </c>
      <c r="AJ640" s="42"/>
      <c r="AK640" s="74"/>
      <c r="AL640" s="77"/>
      <c r="AN640" s="497">
        <v>28.04</v>
      </c>
      <c r="AP640" s="42"/>
      <c r="AQ640" s="74"/>
      <c r="AR640" s="77"/>
      <c r="AT640" s="497">
        <v>17.96</v>
      </c>
      <c r="AV640" s="42"/>
      <c r="AW640" s="74"/>
      <c r="AX640" s="77"/>
      <c r="BA640" s="497">
        <v>24.98</v>
      </c>
      <c r="BB640" s="42"/>
      <c r="BC640" s="74"/>
      <c r="BD640" s="77"/>
      <c r="BF640">
        <v>24.98</v>
      </c>
      <c r="BH640" s="42"/>
      <c r="BI640" s="74"/>
      <c r="BJ640" s="77"/>
      <c r="BL640" s="497">
        <v>24.98</v>
      </c>
      <c r="BN640" s="42"/>
      <c r="BO640" s="74"/>
      <c r="BP640" s="77"/>
      <c r="BR640" s="497">
        <v>32</v>
      </c>
      <c r="BT640" s="42"/>
    </row>
    <row r="641" spans="1:72" x14ac:dyDescent="0.25">
      <c r="A641" s="90">
        <v>36186</v>
      </c>
      <c r="B641" s="20">
        <v>0.95833333333333337</v>
      </c>
      <c r="D641">
        <v>33.979999999999997</v>
      </c>
      <c r="E641" t="str">
        <f t="shared" si="54"/>
        <v>WEEKDAY</v>
      </c>
      <c r="F641" t="e">
        <f t="shared" si="55"/>
        <v>#N/A</v>
      </c>
      <c r="G641" s="74">
        <v>27785</v>
      </c>
      <c r="H641" s="77">
        <v>0.95833333333333337</v>
      </c>
      <c r="J641">
        <v>51.980000000000004</v>
      </c>
      <c r="M641" s="74">
        <v>37647</v>
      </c>
      <c r="N641" s="77">
        <v>0.95833333333333337</v>
      </c>
      <c r="P641">
        <v>26.6</v>
      </c>
      <c r="S641" s="74">
        <v>36186</v>
      </c>
      <c r="T641" s="77">
        <v>0.95833333333333337</v>
      </c>
      <c r="V641">
        <v>33.08</v>
      </c>
      <c r="X641" s="42"/>
      <c r="AB641">
        <v>32.1</v>
      </c>
      <c r="AC641">
        <v>21.92</v>
      </c>
      <c r="AE641" s="74"/>
      <c r="AF641" s="77"/>
      <c r="AH641" s="497">
        <v>10.399999999999999</v>
      </c>
      <c r="AJ641" s="42"/>
      <c r="AK641" s="74"/>
      <c r="AL641" s="77"/>
      <c r="AN641" s="497">
        <v>28.04</v>
      </c>
      <c r="AP641" s="42"/>
      <c r="AQ641" s="74"/>
      <c r="AR641" s="77"/>
      <c r="AT641" s="497">
        <v>17.059999999999999</v>
      </c>
      <c r="AV641" s="42"/>
      <c r="AW641" s="74"/>
      <c r="AX641" s="77"/>
      <c r="BA641" s="497">
        <v>24.98</v>
      </c>
      <c r="BB641" s="42"/>
      <c r="BC641" s="74"/>
      <c r="BD641" s="77"/>
      <c r="BF641">
        <v>24.98</v>
      </c>
      <c r="BH641" s="42"/>
      <c r="BI641" s="74"/>
      <c r="BJ641" s="77"/>
      <c r="BL641" s="497">
        <v>24.98</v>
      </c>
      <c r="BN641" s="42"/>
      <c r="BO641" s="74"/>
      <c r="BP641" s="77"/>
      <c r="BR641" s="497">
        <v>32</v>
      </c>
      <c r="BT641" s="42"/>
    </row>
    <row r="642" spans="1:72" x14ac:dyDescent="0.25">
      <c r="A642" s="90">
        <v>36186</v>
      </c>
      <c r="B642" s="20">
        <v>1</v>
      </c>
      <c r="D642">
        <v>33.979999999999997</v>
      </c>
      <c r="E642" t="str">
        <f t="shared" si="54"/>
        <v>WEEKDAY</v>
      </c>
      <c r="F642" t="e">
        <f t="shared" si="55"/>
        <v>#N/A</v>
      </c>
      <c r="G642" s="74">
        <v>27785</v>
      </c>
      <c r="H642" s="77">
        <v>1</v>
      </c>
      <c r="J642">
        <v>51.08</v>
      </c>
      <c r="M642" s="74">
        <v>37647</v>
      </c>
      <c r="N642" s="80">
        <v>1</v>
      </c>
      <c r="P642">
        <v>26.6</v>
      </c>
      <c r="S642" s="74">
        <v>36186</v>
      </c>
      <c r="T642" s="80">
        <v>1</v>
      </c>
      <c r="V642">
        <v>33.979999999999997</v>
      </c>
      <c r="X642" s="42"/>
      <c r="AB642">
        <v>31.6</v>
      </c>
      <c r="AC642">
        <v>21.92</v>
      </c>
      <c r="AE642" s="74"/>
      <c r="AF642" s="80"/>
      <c r="AH642" s="497">
        <v>10.399999999999999</v>
      </c>
      <c r="AJ642" s="42"/>
      <c r="AK642" s="74"/>
      <c r="AL642" s="80"/>
      <c r="AN642" s="497">
        <v>26.96</v>
      </c>
      <c r="AP642" s="42"/>
      <c r="AQ642" s="74"/>
      <c r="AR642" s="80"/>
      <c r="AT642" s="497">
        <v>15.98</v>
      </c>
      <c r="AV642" s="42"/>
      <c r="AW642" s="74"/>
      <c r="AX642" s="80"/>
      <c r="BA642" s="497">
        <v>24.98</v>
      </c>
      <c r="BB642" s="42"/>
      <c r="BC642" s="74"/>
      <c r="BD642" s="80"/>
      <c r="BF642">
        <v>24.98</v>
      </c>
      <c r="BH642" s="42"/>
      <c r="BI642" s="74"/>
      <c r="BJ642" s="80"/>
      <c r="BL642" s="497">
        <v>24.98</v>
      </c>
      <c r="BN642" s="42"/>
      <c r="BO642" s="74"/>
      <c r="BP642" s="80"/>
      <c r="BR642" s="497">
        <v>32</v>
      </c>
      <c r="BT642" s="42"/>
    </row>
    <row r="643" spans="1:72" x14ac:dyDescent="0.25">
      <c r="A643" s="90">
        <v>36187</v>
      </c>
      <c r="B643" s="20">
        <v>4.1666666666666664E-2</v>
      </c>
      <c r="D643">
        <v>33.08</v>
      </c>
      <c r="E643" t="str">
        <f t="shared" si="54"/>
        <v>WEEKDAY</v>
      </c>
      <c r="F643" t="e">
        <f t="shared" si="55"/>
        <v>#N/A</v>
      </c>
      <c r="G643" s="74">
        <v>27786</v>
      </c>
      <c r="H643" s="77">
        <v>4.1666666666666664E-2</v>
      </c>
      <c r="J643">
        <v>51.08</v>
      </c>
      <c r="M643" s="74">
        <v>37648</v>
      </c>
      <c r="N643" s="77">
        <v>4.1666666666666664E-2</v>
      </c>
      <c r="P643">
        <v>24.8</v>
      </c>
      <c r="S643" s="74">
        <v>36187</v>
      </c>
      <c r="T643" s="77">
        <v>4.1666666666666664E-2</v>
      </c>
      <c r="V643">
        <v>33.979999999999997</v>
      </c>
      <c r="X643" s="42"/>
      <c r="AB643">
        <v>31.1</v>
      </c>
      <c r="AC643">
        <v>21.02</v>
      </c>
      <c r="AE643" s="74"/>
      <c r="AF643" s="77"/>
      <c r="AH643" s="497">
        <v>6.8000000000000007</v>
      </c>
      <c r="AJ643" s="42"/>
      <c r="AK643" s="74"/>
      <c r="AL643" s="77"/>
      <c r="AN643" s="497">
        <v>26.96</v>
      </c>
      <c r="AP643" s="42"/>
      <c r="AQ643" s="74"/>
      <c r="AR643" s="77"/>
      <c r="AT643" s="497">
        <v>15.079999999999998</v>
      </c>
      <c r="AV643" s="42"/>
      <c r="AW643" s="74"/>
      <c r="AX643" s="77"/>
      <c r="BA643" s="497">
        <v>24.98</v>
      </c>
      <c r="BB643" s="42"/>
      <c r="BC643" s="74"/>
      <c r="BD643" s="77"/>
      <c r="BF643">
        <v>24.08</v>
      </c>
      <c r="BH643" s="42"/>
      <c r="BI643" s="74"/>
      <c r="BJ643" s="77"/>
      <c r="BL643" s="497">
        <v>24.98</v>
      </c>
      <c r="BN643" s="42"/>
      <c r="BO643" s="74"/>
      <c r="BP643" s="77"/>
      <c r="BR643" s="497">
        <v>30.92</v>
      </c>
      <c r="BT643" s="42"/>
    </row>
    <row r="644" spans="1:72" x14ac:dyDescent="0.25">
      <c r="A644" s="90">
        <v>36187</v>
      </c>
      <c r="B644" s="20">
        <v>8.3333333333333329E-2</v>
      </c>
      <c r="D644">
        <v>33.08</v>
      </c>
      <c r="E644" t="str">
        <f t="shared" si="54"/>
        <v>WEEKDAY</v>
      </c>
      <c r="F644" t="e">
        <f t="shared" si="55"/>
        <v>#N/A</v>
      </c>
      <c r="G644" s="74">
        <v>27786</v>
      </c>
      <c r="H644" s="77">
        <v>8.3333333333333329E-2</v>
      </c>
      <c r="J644">
        <v>51.08</v>
      </c>
      <c r="M644" s="74">
        <v>37648</v>
      </c>
      <c r="N644" s="77">
        <v>8.3333333333333329E-2</v>
      </c>
      <c r="P644">
        <v>21.2</v>
      </c>
      <c r="S644" s="74">
        <v>36187</v>
      </c>
      <c r="T644" s="77">
        <v>8.3333333333333329E-2</v>
      </c>
      <c r="V644">
        <v>33.979999999999997</v>
      </c>
      <c r="X644" s="42"/>
      <c r="AB644">
        <v>30.6</v>
      </c>
      <c r="AC644">
        <v>19.939999999999998</v>
      </c>
      <c r="AE644" s="74"/>
      <c r="AF644" s="77"/>
      <c r="AH644" s="497">
        <v>6.8000000000000007</v>
      </c>
      <c r="AJ644" s="42"/>
      <c r="AK644" s="74"/>
      <c r="AL644" s="77"/>
      <c r="AN644" s="497">
        <v>26.96</v>
      </c>
      <c r="AP644" s="42"/>
      <c r="AQ644" s="74"/>
      <c r="AR644" s="77"/>
      <c r="AT644" s="497">
        <v>15.079999999999998</v>
      </c>
      <c r="AV644" s="42"/>
      <c r="AW644" s="74"/>
      <c r="AX644" s="77"/>
      <c r="BA644" s="497">
        <v>23.9</v>
      </c>
      <c r="BB644" s="42"/>
      <c r="BC644" s="74"/>
      <c r="BD644" s="77"/>
      <c r="BF644">
        <v>24.08</v>
      </c>
      <c r="BH644" s="42"/>
      <c r="BI644" s="74"/>
      <c r="BJ644" s="77"/>
      <c r="BL644" s="497">
        <v>24.62</v>
      </c>
      <c r="BN644" s="42"/>
      <c r="BO644" s="74"/>
      <c r="BP644" s="77"/>
      <c r="BR644" s="497">
        <v>30.92</v>
      </c>
      <c r="BT644" s="42"/>
    </row>
    <row r="645" spans="1:72" x14ac:dyDescent="0.25">
      <c r="A645" s="90">
        <v>36187</v>
      </c>
      <c r="B645" s="20">
        <v>0.125</v>
      </c>
      <c r="D645">
        <v>32</v>
      </c>
      <c r="E645" t="str">
        <f t="shared" si="54"/>
        <v>WEEKDAY</v>
      </c>
      <c r="F645" t="e">
        <f t="shared" si="55"/>
        <v>#N/A</v>
      </c>
      <c r="G645" s="74">
        <v>27786</v>
      </c>
      <c r="H645" s="77">
        <v>0.125</v>
      </c>
      <c r="J645">
        <v>50</v>
      </c>
      <c r="M645" s="74">
        <v>37648</v>
      </c>
      <c r="N645" s="77">
        <v>0.125</v>
      </c>
      <c r="P645">
        <v>19.399999999999999</v>
      </c>
      <c r="S645" s="74">
        <v>36187</v>
      </c>
      <c r="T645" s="77">
        <v>0.125</v>
      </c>
      <c r="V645">
        <v>33.979999999999997</v>
      </c>
      <c r="X645" s="42"/>
      <c r="AB645">
        <v>30.1</v>
      </c>
      <c r="AC645">
        <v>19.939999999999998</v>
      </c>
      <c r="AE645" s="74"/>
      <c r="AF645" s="77"/>
      <c r="AH645" s="497">
        <v>5</v>
      </c>
      <c r="AJ645" s="42"/>
      <c r="AK645" s="74"/>
      <c r="AL645" s="77"/>
      <c r="AN645" s="497">
        <v>26.060000000000002</v>
      </c>
      <c r="AP645" s="42"/>
      <c r="AQ645" s="74"/>
      <c r="AR645" s="77"/>
      <c r="AT645" s="497">
        <v>15.079999999999998</v>
      </c>
      <c r="AV645" s="42"/>
      <c r="AW645" s="74"/>
      <c r="AX645" s="77"/>
      <c r="BA645" s="497">
        <v>23</v>
      </c>
      <c r="BB645" s="42"/>
      <c r="BC645" s="74"/>
      <c r="BD645" s="77"/>
      <c r="BF645">
        <v>24.08</v>
      </c>
      <c r="BH645" s="42"/>
      <c r="BI645" s="74"/>
      <c r="BJ645" s="77"/>
      <c r="BL645" s="497">
        <v>24.439999999999998</v>
      </c>
      <c r="BN645" s="42"/>
      <c r="BO645" s="74"/>
      <c r="BP645" s="77"/>
      <c r="BR645" s="497">
        <v>30.92</v>
      </c>
      <c r="BT645" s="42"/>
    </row>
    <row r="646" spans="1:72" x14ac:dyDescent="0.25">
      <c r="A646" s="90">
        <v>36187</v>
      </c>
      <c r="B646" s="20">
        <v>0.16666666666666666</v>
      </c>
      <c r="D646">
        <v>32</v>
      </c>
      <c r="E646" t="str">
        <f t="shared" si="54"/>
        <v>WEEKDAY</v>
      </c>
      <c r="F646" t="e">
        <f t="shared" si="55"/>
        <v>#N/A</v>
      </c>
      <c r="G646" s="74">
        <v>27786</v>
      </c>
      <c r="H646" s="77">
        <v>0.16666666666666666</v>
      </c>
      <c r="J646">
        <v>48.92</v>
      </c>
      <c r="M646" s="74">
        <v>37648</v>
      </c>
      <c r="N646" s="77">
        <v>0.16666666666666666</v>
      </c>
      <c r="P646">
        <v>17.600000000000001</v>
      </c>
      <c r="S646" s="74">
        <v>36187</v>
      </c>
      <c r="T646" s="77">
        <v>0.16666666666666666</v>
      </c>
      <c r="V646">
        <v>30.92</v>
      </c>
      <c r="X646" s="42"/>
      <c r="AB646">
        <v>29.7</v>
      </c>
      <c r="AC646">
        <v>21.92</v>
      </c>
      <c r="AE646" s="74"/>
      <c r="AF646" s="77"/>
      <c r="AH646" s="497">
        <v>3.1999999999999993</v>
      </c>
      <c r="AJ646" s="42"/>
      <c r="AK646" s="74"/>
      <c r="AL646" s="77"/>
      <c r="AN646" s="497">
        <v>24.98</v>
      </c>
      <c r="AP646" s="42"/>
      <c r="AQ646" s="74"/>
      <c r="AR646" s="77"/>
      <c r="AT646" s="497">
        <v>15.079999999999998</v>
      </c>
      <c r="AV646" s="42"/>
      <c r="AW646" s="74"/>
      <c r="AX646" s="77"/>
      <c r="BA646" s="497">
        <v>21.92</v>
      </c>
      <c r="BB646" s="42"/>
      <c r="BC646" s="74"/>
      <c r="BD646" s="77"/>
      <c r="BF646">
        <v>24.08</v>
      </c>
      <c r="BH646" s="42"/>
      <c r="BI646" s="74"/>
      <c r="BJ646" s="77"/>
      <c r="BL646" s="497">
        <v>24.08</v>
      </c>
      <c r="BN646" s="42"/>
      <c r="BO646" s="74"/>
      <c r="BP646" s="77"/>
      <c r="BR646" s="497">
        <v>30.02</v>
      </c>
      <c r="BT646" s="42"/>
    </row>
    <row r="647" spans="1:72" x14ac:dyDescent="0.25">
      <c r="A647" s="90">
        <v>36187</v>
      </c>
      <c r="B647" s="20">
        <v>0.20833333333333334</v>
      </c>
      <c r="D647">
        <v>30.92</v>
      </c>
      <c r="E647" t="str">
        <f t="shared" si="54"/>
        <v>WEEKDAY</v>
      </c>
      <c r="F647" t="e">
        <f t="shared" si="55"/>
        <v>#N/A</v>
      </c>
      <c r="G647" s="74">
        <v>27786</v>
      </c>
      <c r="H647" s="77">
        <v>0.20833333333333334</v>
      </c>
      <c r="J647">
        <v>51.08</v>
      </c>
      <c r="M647" s="74">
        <v>37648</v>
      </c>
      <c r="N647" s="77">
        <v>0.20833333333333334</v>
      </c>
      <c r="P647">
        <v>15.8</v>
      </c>
      <c r="S647" s="74">
        <v>36187</v>
      </c>
      <c r="T647" s="77">
        <v>0.20833333333333334</v>
      </c>
      <c r="V647">
        <v>32</v>
      </c>
      <c r="X647" s="42"/>
      <c r="AB647">
        <v>29.4</v>
      </c>
      <c r="AC647">
        <v>19.939999999999998</v>
      </c>
      <c r="AE647" s="74"/>
      <c r="AF647" s="77"/>
      <c r="AH647" s="497">
        <v>3.1999999999999993</v>
      </c>
      <c r="AJ647" s="42"/>
      <c r="AK647" s="74"/>
      <c r="AL647" s="77"/>
      <c r="AN647" s="497">
        <v>24.98</v>
      </c>
      <c r="AP647" s="42"/>
      <c r="AQ647" s="74"/>
      <c r="AR647" s="77"/>
      <c r="AT647" s="497">
        <v>15.079999999999998</v>
      </c>
      <c r="AV647" s="42"/>
      <c r="AW647" s="74"/>
      <c r="AX647" s="77"/>
      <c r="BA647" s="497">
        <v>22.28</v>
      </c>
      <c r="BB647" s="42"/>
      <c r="BC647" s="74"/>
      <c r="BD647" s="77"/>
      <c r="BF647">
        <v>23</v>
      </c>
      <c r="BH647" s="42"/>
      <c r="BI647" s="74"/>
      <c r="BJ647" s="77"/>
      <c r="BL647" s="497">
        <v>24.08</v>
      </c>
      <c r="BN647" s="42"/>
      <c r="BO647" s="74"/>
      <c r="BP647" s="77"/>
      <c r="BR647" s="497">
        <v>30.02</v>
      </c>
      <c r="BT647" s="42"/>
    </row>
    <row r="648" spans="1:72" x14ac:dyDescent="0.25">
      <c r="A648" s="90">
        <v>36187</v>
      </c>
      <c r="B648" s="20">
        <v>0.25</v>
      </c>
      <c r="D648">
        <v>30.92</v>
      </c>
      <c r="E648" t="str">
        <f t="shared" si="54"/>
        <v>WEEKDAY</v>
      </c>
      <c r="F648" t="e">
        <f t="shared" si="55"/>
        <v>#N/A</v>
      </c>
      <c r="G648" s="74">
        <v>27786</v>
      </c>
      <c r="H648" s="77">
        <v>0.25</v>
      </c>
      <c r="J648">
        <v>51.08</v>
      </c>
      <c r="M648" s="74">
        <v>37648</v>
      </c>
      <c r="N648" s="77">
        <v>0.25</v>
      </c>
      <c r="P648">
        <v>14</v>
      </c>
      <c r="S648" s="74">
        <v>36187</v>
      </c>
      <c r="T648" s="77">
        <v>0.25</v>
      </c>
      <c r="V648">
        <v>32</v>
      </c>
      <c r="X648" s="42"/>
      <c r="AB648">
        <v>29.1</v>
      </c>
      <c r="AC648">
        <v>19.04</v>
      </c>
      <c r="AE648" s="74"/>
      <c r="AF648" s="77"/>
      <c r="AH648" s="497">
        <v>1.3999999999999986</v>
      </c>
      <c r="AJ648" s="42"/>
      <c r="AK648" s="74"/>
      <c r="AL648" s="77"/>
      <c r="AN648" s="497">
        <v>24.98</v>
      </c>
      <c r="AP648" s="42"/>
      <c r="AQ648" s="74"/>
      <c r="AR648" s="77"/>
      <c r="AT648" s="497">
        <v>17.059999999999999</v>
      </c>
      <c r="AV648" s="42"/>
      <c r="AW648" s="74"/>
      <c r="AX648" s="77"/>
      <c r="BA648" s="497">
        <v>22.64</v>
      </c>
      <c r="BB648" s="42"/>
      <c r="BC648" s="74"/>
      <c r="BD648" s="77"/>
      <c r="BF648">
        <v>23</v>
      </c>
      <c r="BH648" s="42"/>
      <c r="BI648" s="74"/>
      <c r="BJ648" s="77"/>
      <c r="BL648" s="497">
        <v>24.08</v>
      </c>
      <c r="BN648" s="42"/>
      <c r="BO648" s="74"/>
      <c r="BP648" s="77"/>
      <c r="BR648" s="497">
        <v>17.96</v>
      </c>
      <c r="BT648" s="42"/>
    </row>
    <row r="649" spans="1:72" x14ac:dyDescent="0.25">
      <c r="A649" s="90">
        <v>36187</v>
      </c>
      <c r="B649" s="20">
        <v>0.29166666666666669</v>
      </c>
      <c r="D649">
        <v>30.02</v>
      </c>
      <c r="E649" t="str">
        <f t="shared" si="54"/>
        <v>WEEKDAY</v>
      </c>
      <c r="F649" t="e">
        <f t="shared" si="55"/>
        <v>#N/A</v>
      </c>
      <c r="G649" s="74">
        <v>27786</v>
      </c>
      <c r="H649" s="77">
        <v>0.29166666666666669</v>
      </c>
      <c r="J649">
        <v>50</v>
      </c>
      <c r="M649" s="74">
        <v>37648</v>
      </c>
      <c r="N649" s="77">
        <v>0.29166666666666669</v>
      </c>
      <c r="P649">
        <v>10.399999999999999</v>
      </c>
      <c r="S649" s="74">
        <v>36187</v>
      </c>
      <c r="T649" s="77">
        <v>0.29166666666666669</v>
      </c>
      <c r="V649">
        <v>30.92</v>
      </c>
      <c r="X649" s="42"/>
      <c r="AB649">
        <v>29.1</v>
      </c>
      <c r="AC649">
        <v>19.939999999999998</v>
      </c>
      <c r="AE649" s="74"/>
      <c r="AF649" s="77"/>
      <c r="AH649" s="497">
        <v>1.3999999999999986</v>
      </c>
      <c r="AJ649" s="42"/>
      <c r="AK649" s="74"/>
      <c r="AL649" s="77"/>
      <c r="AN649" s="497">
        <v>24.98</v>
      </c>
      <c r="AP649" s="42"/>
      <c r="AQ649" s="74"/>
      <c r="AR649" s="77"/>
      <c r="AT649" s="497">
        <v>17.059999999999999</v>
      </c>
      <c r="AV649" s="42"/>
      <c r="AW649" s="74"/>
      <c r="AX649" s="77"/>
      <c r="BA649" s="497">
        <v>23</v>
      </c>
      <c r="BB649" s="42"/>
      <c r="BC649" s="74"/>
      <c r="BD649" s="77"/>
      <c r="BF649">
        <v>23</v>
      </c>
      <c r="BH649" s="42"/>
      <c r="BI649" s="74"/>
      <c r="BJ649" s="77"/>
      <c r="BL649" s="497">
        <v>24.08</v>
      </c>
      <c r="BN649" s="42"/>
      <c r="BO649" s="74"/>
      <c r="BP649" s="77"/>
      <c r="BR649" s="497">
        <v>14</v>
      </c>
      <c r="BT649" s="42"/>
    </row>
    <row r="650" spans="1:72" x14ac:dyDescent="0.25">
      <c r="A650" s="90">
        <v>36187</v>
      </c>
      <c r="B650" s="20">
        <v>0.33333333333333331</v>
      </c>
      <c r="D650">
        <v>30.02</v>
      </c>
      <c r="E650" t="str">
        <f t="shared" si="54"/>
        <v>WEEKDAY</v>
      </c>
      <c r="F650" t="e">
        <f t="shared" si="55"/>
        <v>#N/A</v>
      </c>
      <c r="G650" s="74">
        <v>27786</v>
      </c>
      <c r="H650" s="77">
        <v>0.33333333333333331</v>
      </c>
      <c r="J650">
        <v>48.92</v>
      </c>
      <c r="M650" s="74">
        <v>37648</v>
      </c>
      <c r="N650" s="77">
        <v>0.33333333333333331</v>
      </c>
      <c r="P650">
        <v>10.399999999999999</v>
      </c>
      <c r="S650" s="74">
        <v>36187</v>
      </c>
      <c r="T650" s="77">
        <v>0.33333333333333331</v>
      </c>
      <c r="V650">
        <v>33.979999999999997</v>
      </c>
      <c r="X650" s="42"/>
      <c r="AB650">
        <v>29</v>
      </c>
      <c r="AC650">
        <v>30.92</v>
      </c>
      <c r="AE650" s="74"/>
      <c r="AF650" s="77"/>
      <c r="AH650" s="497">
        <v>1.3999999999999986</v>
      </c>
      <c r="AJ650" s="42"/>
      <c r="AK650" s="74"/>
      <c r="AL650" s="77"/>
      <c r="AN650" s="497">
        <v>24.08</v>
      </c>
      <c r="AP650" s="42"/>
      <c r="AQ650" s="74"/>
      <c r="AR650" s="77"/>
      <c r="AT650" s="497">
        <v>17.96</v>
      </c>
      <c r="AV650" s="42"/>
      <c r="AW650" s="74"/>
      <c r="AX650" s="77"/>
      <c r="BA650" s="497">
        <v>23.72</v>
      </c>
      <c r="BB650" s="42"/>
      <c r="BC650" s="74"/>
      <c r="BD650" s="77"/>
      <c r="BF650">
        <v>24.08</v>
      </c>
      <c r="BH650" s="42"/>
      <c r="BI650" s="74"/>
      <c r="BJ650" s="77"/>
      <c r="BL650" s="497">
        <v>24.08</v>
      </c>
      <c r="BN650" s="42"/>
      <c r="BO650" s="74"/>
      <c r="BP650" s="77"/>
      <c r="BR650" s="497">
        <v>10.940000000000001</v>
      </c>
      <c r="BT650" s="42"/>
    </row>
    <row r="651" spans="1:72" x14ac:dyDescent="0.25">
      <c r="A651" s="90">
        <v>36187</v>
      </c>
      <c r="B651" s="20">
        <v>0.375</v>
      </c>
      <c r="D651">
        <v>30.92</v>
      </c>
      <c r="E651" t="str">
        <f t="shared" si="54"/>
        <v>WEEKDAY</v>
      </c>
      <c r="F651" t="e">
        <f t="shared" si="55"/>
        <v>#N/A</v>
      </c>
      <c r="G651" s="74">
        <v>27786</v>
      </c>
      <c r="H651" s="77">
        <v>0.375</v>
      </c>
      <c r="J651">
        <v>51.08</v>
      </c>
      <c r="M651" s="74">
        <v>37648</v>
      </c>
      <c r="N651" s="77">
        <v>0.375</v>
      </c>
      <c r="P651">
        <v>10.399999999999999</v>
      </c>
      <c r="S651" s="74">
        <v>36187</v>
      </c>
      <c r="T651" s="77">
        <v>0.375</v>
      </c>
      <c r="V651">
        <v>37.94</v>
      </c>
      <c r="X651" s="42"/>
      <c r="AB651">
        <v>29.6</v>
      </c>
      <c r="AC651">
        <v>28.04</v>
      </c>
      <c r="AE651" s="74"/>
      <c r="AF651" s="77"/>
      <c r="AH651" s="497">
        <v>3.1999999999999993</v>
      </c>
      <c r="AJ651" s="42"/>
      <c r="AK651" s="74"/>
      <c r="AL651" s="77"/>
      <c r="AN651" s="497">
        <v>24.08</v>
      </c>
      <c r="AP651" s="42"/>
      <c r="AQ651" s="74"/>
      <c r="AR651" s="77"/>
      <c r="AT651" s="497">
        <v>17.96</v>
      </c>
      <c r="AV651" s="42"/>
      <c r="AW651" s="74"/>
      <c r="AX651" s="77"/>
      <c r="BA651" s="497">
        <v>24.259999999999998</v>
      </c>
      <c r="BB651" s="42"/>
      <c r="BC651" s="74"/>
      <c r="BD651" s="77"/>
      <c r="BF651">
        <v>24.08</v>
      </c>
      <c r="BH651" s="42"/>
      <c r="BI651" s="74"/>
      <c r="BJ651" s="77"/>
      <c r="BL651" s="497">
        <v>24.08</v>
      </c>
      <c r="BN651" s="42"/>
      <c r="BO651" s="74"/>
      <c r="BP651" s="77"/>
      <c r="BR651" s="497">
        <v>8.9599999999999973</v>
      </c>
      <c r="BT651" s="42"/>
    </row>
    <row r="652" spans="1:72" x14ac:dyDescent="0.25">
      <c r="A652" s="90">
        <v>36187</v>
      </c>
      <c r="B652" s="20">
        <v>0.41666666666666669</v>
      </c>
      <c r="D652">
        <v>33.08</v>
      </c>
      <c r="E652" t="str">
        <f t="shared" si="54"/>
        <v>WEEKDAY</v>
      </c>
      <c r="F652" t="e">
        <f t="shared" si="55"/>
        <v>#N/A</v>
      </c>
      <c r="G652" s="74">
        <v>27786</v>
      </c>
      <c r="H652" s="77">
        <v>0.41666666666666669</v>
      </c>
      <c r="J652">
        <v>51.08</v>
      </c>
      <c r="M652" s="74">
        <v>37648</v>
      </c>
      <c r="N652" s="77">
        <v>0.41666666666666669</v>
      </c>
      <c r="P652">
        <v>10.399999999999999</v>
      </c>
      <c r="S652" s="74">
        <v>36187</v>
      </c>
      <c r="T652" s="77">
        <v>0.41666666666666669</v>
      </c>
      <c r="V652">
        <v>39.92</v>
      </c>
      <c r="X652" s="42"/>
      <c r="AB652">
        <v>31.2</v>
      </c>
      <c r="AC652">
        <v>30.02</v>
      </c>
      <c r="AE652" s="74"/>
      <c r="AF652" s="77"/>
      <c r="AH652" s="497">
        <v>5</v>
      </c>
      <c r="AJ652" s="42"/>
      <c r="AK652" s="74"/>
      <c r="AL652" s="77"/>
      <c r="AN652" s="497">
        <v>24.08</v>
      </c>
      <c r="AP652" s="42"/>
      <c r="AQ652" s="74"/>
      <c r="AR652" s="77"/>
      <c r="AT652" s="497">
        <v>19.04</v>
      </c>
      <c r="AV652" s="42"/>
      <c r="AW652" s="74"/>
      <c r="AX652" s="77"/>
      <c r="BA652" s="497">
        <v>24.98</v>
      </c>
      <c r="BB652" s="42"/>
      <c r="BC652" s="74"/>
      <c r="BD652" s="77"/>
      <c r="BF652">
        <v>24.98</v>
      </c>
      <c r="BH652" s="42"/>
      <c r="BI652" s="74"/>
      <c r="BJ652" s="77"/>
      <c r="BL652" s="497">
        <v>24.08</v>
      </c>
      <c r="BN652" s="42"/>
      <c r="BO652" s="74"/>
      <c r="BP652" s="77"/>
      <c r="BR652" s="497">
        <v>5</v>
      </c>
      <c r="BT652" s="42"/>
    </row>
    <row r="653" spans="1:72" x14ac:dyDescent="0.25">
      <c r="A653" s="90">
        <v>36187</v>
      </c>
      <c r="B653" s="20">
        <v>0.45833333333333331</v>
      </c>
      <c r="D653">
        <v>35.06</v>
      </c>
      <c r="E653" t="str">
        <f t="shared" si="54"/>
        <v>WEEKDAY</v>
      </c>
      <c r="F653" t="e">
        <f t="shared" si="55"/>
        <v>#N/A</v>
      </c>
      <c r="G653" s="74">
        <v>27786</v>
      </c>
      <c r="H653" s="77">
        <v>0.45833333333333331</v>
      </c>
      <c r="J653">
        <v>51.08</v>
      </c>
      <c r="M653" s="74">
        <v>37648</v>
      </c>
      <c r="N653" s="77">
        <v>0.45833333333333331</v>
      </c>
      <c r="P653">
        <v>12.2</v>
      </c>
      <c r="S653" s="74">
        <v>36187</v>
      </c>
      <c r="T653" s="77">
        <v>0.45833333333333331</v>
      </c>
      <c r="V653">
        <v>41</v>
      </c>
      <c r="X653" s="42"/>
      <c r="AB653">
        <v>32.799999999999997</v>
      </c>
      <c r="AC653">
        <v>26.96</v>
      </c>
      <c r="AE653" s="74"/>
      <c r="AF653" s="77"/>
      <c r="AH653" s="497">
        <v>6.8000000000000007</v>
      </c>
      <c r="AJ653" s="42"/>
      <c r="AK653" s="74"/>
      <c r="AL653" s="77"/>
      <c r="AN653" s="497">
        <v>24.08</v>
      </c>
      <c r="AP653" s="42"/>
      <c r="AQ653" s="74"/>
      <c r="AR653" s="77"/>
      <c r="AT653" s="497">
        <v>21.02</v>
      </c>
      <c r="AV653" s="42"/>
      <c r="AW653" s="74"/>
      <c r="AX653" s="77"/>
      <c r="BA653" s="497">
        <v>26.6</v>
      </c>
      <c r="BB653" s="42"/>
      <c r="BC653" s="74"/>
      <c r="BD653" s="77"/>
      <c r="BF653">
        <v>24.98</v>
      </c>
      <c r="BH653" s="42"/>
      <c r="BI653" s="74"/>
      <c r="BJ653" s="77"/>
      <c r="BL653" s="497">
        <v>24.98</v>
      </c>
      <c r="BN653" s="42"/>
      <c r="BO653" s="74"/>
      <c r="BP653" s="77"/>
      <c r="BR653" s="497">
        <v>3.9200000000000017</v>
      </c>
      <c r="BT653" s="42"/>
    </row>
    <row r="654" spans="1:72" x14ac:dyDescent="0.25">
      <c r="A654" s="90">
        <v>36187</v>
      </c>
      <c r="B654" s="20">
        <v>0.5</v>
      </c>
      <c r="D654">
        <v>35.96</v>
      </c>
      <c r="E654" t="str">
        <f t="shared" si="54"/>
        <v>WEEKDAY</v>
      </c>
      <c r="F654" t="e">
        <f t="shared" si="55"/>
        <v>#N/A</v>
      </c>
      <c r="G654" s="74">
        <v>27786</v>
      </c>
      <c r="H654" s="77">
        <v>0.5</v>
      </c>
      <c r="J654">
        <v>51.08</v>
      </c>
      <c r="M654" s="74">
        <v>37648</v>
      </c>
      <c r="N654" s="77">
        <v>0.5</v>
      </c>
      <c r="P654">
        <v>12.2</v>
      </c>
      <c r="S654" s="74">
        <v>36187</v>
      </c>
      <c r="T654" s="77">
        <v>0.5</v>
      </c>
      <c r="V654">
        <v>41</v>
      </c>
      <c r="X654" s="42"/>
      <c r="AB654">
        <v>34.200000000000003</v>
      </c>
      <c r="AC654">
        <v>30.92</v>
      </c>
      <c r="AE654" s="74"/>
      <c r="AF654" s="77"/>
      <c r="AH654" s="497">
        <v>10.399999999999999</v>
      </c>
      <c r="AJ654" s="42"/>
      <c r="AK654" s="74"/>
      <c r="AL654" s="77"/>
      <c r="AN654" s="497">
        <v>23</v>
      </c>
      <c r="AP654" s="42"/>
      <c r="AQ654" s="74"/>
      <c r="AR654" s="77"/>
      <c r="AT654" s="497">
        <v>21.02</v>
      </c>
      <c r="AV654" s="42"/>
      <c r="AW654" s="74"/>
      <c r="AX654" s="77"/>
      <c r="BA654" s="497">
        <v>28.4</v>
      </c>
      <c r="BB654" s="42"/>
      <c r="BC654" s="74"/>
      <c r="BD654" s="77"/>
      <c r="BF654">
        <v>26.96</v>
      </c>
      <c r="BH654" s="42"/>
      <c r="BI654" s="74"/>
      <c r="BJ654" s="77"/>
      <c r="BL654" s="497">
        <v>26.060000000000002</v>
      </c>
      <c r="BN654" s="42"/>
      <c r="BO654" s="74"/>
      <c r="BP654" s="77"/>
      <c r="BR654" s="497">
        <v>3.9200000000000017</v>
      </c>
      <c r="BT654" s="42"/>
    </row>
    <row r="655" spans="1:72" x14ac:dyDescent="0.25">
      <c r="A655" s="90">
        <v>36187</v>
      </c>
      <c r="B655" s="20">
        <v>0.54166666666666663</v>
      </c>
      <c r="D655">
        <v>37.04</v>
      </c>
      <c r="E655" t="str">
        <f t="shared" si="54"/>
        <v>WEEKDAY</v>
      </c>
      <c r="F655" t="e">
        <f t="shared" si="55"/>
        <v>#N/A</v>
      </c>
      <c r="G655" s="74">
        <v>27786</v>
      </c>
      <c r="H655" s="77">
        <v>0.54166666666666663</v>
      </c>
      <c r="J655">
        <v>51.08</v>
      </c>
      <c r="M655" s="74">
        <v>37648</v>
      </c>
      <c r="N655" s="77">
        <v>0.54166666666666663</v>
      </c>
      <c r="P655">
        <v>12.2</v>
      </c>
      <c r="S655" s="74">
        <v>36187</v>
      </c>
      <c r="T655" s="77">
        <v>0.54166666666666663</v>
      </c>
      <c r="V655">
        <v>41</v>
      </c>
      <c r="X655" s="42"/>
      <c r="AB655">
        <v>35.4</v>
      </c>
      <c r="AC655">
        <v>21.2</v>
      </c>
      <c r="AE655" s="74"/>
      <c r="AF655" s="77"/>
      <c r="AH655" s="497">
        <v>10.399999999999999</v>
      </c>
      <c r="AJ655" s="42"/>
      <c r="AK655" s="74"/>
      <c r="AL655" s="77"/>
      <c r="AN655" s="497">
        <v>23</v>
      </c>
      <c r="AP655" s="42"/>
      <c r="AQ655" s="74"/>
      <c r="AR655" s="77"/>
      <c r="AT655" s="497">
        <v>24.08</v>
      </c>
      <c r="AV655" s="42"/>
      <c r="AW655" s="74"/>
      <c r="AX655" s="77"/>
      <c r="BA655" s="497">
        <v>30.02</v>
      </c>
      <c r="BB655" s="42"/>
      <c r="BC655" s="74"/>
      <c r="BD655" s="77"/>
      <c r="BF655">
        <v>26.060000000000002</v>
      </c>
      <c r="BH655" s="42"/>
      <c r="BI655" s="74"/>
      <c r="BJ655" s="77"/>
      <c r="BL655" s="497">
        <v>26.96</v>
      </c>
      <c r="BN655" s="42"/>
      <c r="BO655" s="74"/>
      <c r="BP655" s="77"/>
      <c r="BR655" s="497">
        <v>1.9400000000000013</v>
      </c>
      <c r="BT655" s="42"/>
    </row>
    <row r="656" spans="1:72" x14ac:dyDescent="0.25">
      <c r="A656" s="90">
        <v>36187</v>
      </c>
      <c r="B656" s="20">
        <v>0.58333333333333337</v>
      </c>
      <c r="D656">
        <v>37.94</v>
      </c>
      <c r="E656" t="str">
        <f t="shared" si="54"/>
        <v>WEEKDAY</v>
      </c>
      <c r="F656" t="e">
        <f t="shared" si="55"/>
        <v>#N/A</v>
      </c>
      <c r="G656" s="74">
        <v>27786</v>
      </c>
      <c r="H656" s="77">
        <v>0.58333333333333337</v>
      </c>
      <c r="J656">
        <v>51.08</v>
      </c>
      <c r="M656" s="74">
        <v>37648</v>
      </c>
      <c r="N656" s="77">
        <v>0.58333333333333337</v>
      </c>
      <c r="P656">
        <v>14</v>
      </c>
      <c r="S656" s="74">
        <v>36187</v>
      </c>
      <c r="T656" s="77">
        <v>0.58333333333333337</v>
      </c>
      <c r="V656">
        <v>41</v>
      </c>
      <c r="X656" s="42"/>
      <c r="AB656">
        <v>36.299999999999997</v>
      </c>
      <c r="AC656">
        <v>21.560000000000002</v>
      </c>
      <c r="AE656" s="74"/>
      <c r="AF656" s="77"/>
      <c r="AH656" s="497">
        <v>12.2</v>
      </c>
      <c r="AJ656" s="42"/>
      <c r="AK656" s="74"/>
      <c r="AL656" s="77"/>
      <c r="AN656" s="497">
        <v>21.02</v>
      </c>
      <c r="AP656" s="42"/>
      <c r="AQ656" s="74"/>
      <c r="AR656" s="77"/>
      <c r="AT656" s="497">
        <v>24.08</v>
      </c>
      <c r="AV656" s="42"/>
      <c r="AW656" s="74"/>
      <c r="AX656" s="77"/>
      <c r="BA656" s="497">
        <v>29.3</v>
      </c>
      <c r="BB656" s="42"/>
      <c r="BC656" s="74"/>
      <c r="BD656" s="77"/>
      <c r="BF656">
        <v>26.060000000000002</v>
      </c>
      <c r="BH656" s="42"/>
      <c r="BI656" s="74"/>
      <c r="BJ656" s="77"/>
      <c r="BL656" s="497">
        <v>26.96</v>
      </c>
      <c r="BN656" s="42"/>
      <c r="BO656" s="74"/>
      <c r="BP656" s="77"/>
      <c r="BR656" s="497">
        <v>1.9400000000000013</v>
      </c>
      <c r="BT656" s="42"/>
    </row>
    <row r="657" spans="1:72" x14ac:dyDescent="0.25">
      <c r="A657" s="90">
        <v>36187</v>
      </c>
      <c r="B657" s="20">
        <v>0.625</v>
      </c>
      <c r="D657">
        <v>39.019999999999996</v>
      </c>
      <c r="E657" t="str">
        <f t="shared" si="54"/>
        <v>WEEKDAY</v>
      </c>
      <c r="F657" t="e">
        <f t="shared" si="55"/>
        <v>#N/A</v>
      </c>
      <c r="G657" s="74">
        <v>27786</v>
      </c>
      <c r="H657" s="77">
        <v>0.625</v>
      </c>
      <c r="J657">
        <v>44.06</v>
      </c>
      <c r="M657" s="74">
        <v>37648</v>
      </c>
      <c r="N657" s="77">
        <v>0.625</v>
      </c>
      <c r="P657">
        <v>14</v>
      </c>
      <c r="S657" s="74">
        <v>36187</v>
      </c>
      <c r="T657" s="77">
        <v>0.625</v>
      </c>
      <c r="V657">
        <v>42.08</v>
      </c>
      <c r="X657" s="42"/>
      <c r="AB657">
        <v>36.799999999999997</v>
      </c>
      <c r="AC657">
        <v>19.04</v>
      </c>
      <c r="AE657" s="74"/>
      <c r="AF657" s="77"/>
      <c r="AH657" s="497">
        <v>12.2</v>
      </c>
      <c r="AJ657" s="42"/>
      <c r="AK657" s="74"/>
      <c r="AL657" s="77"/>
      <c r="AN657" s="497">
        <v>17.96</v>
      </c>
      <c r="AP657" s="42"/>
      <c r="AQ657" s="74"/>
      <c r="AR657" s="77"/>
      <c r="AT657" s="497">
        <v>24.08</v>
      </c>
      <c r="AV657" s="42"/>
      <c r="AW657" s="74"/>
      <c r="AX657" s="77"/>
      <c r="BA657" s="497">
        <v>28.759999999999998</v>
      </c>
      <c r="BB657" s="42"/>
      <c r="BC657" s="74"/>
      <c r="BD657" s="77"/>
      <c r="BF657">
        <v>26.96</v>
      </c>
      <c r="BH657" s="42"/>
      <c r="BI657" s="74"/>
      <c r="BJ657" s="77"/>
      <c r="BL657" s="497">
        <v>26.96</v>
      </c>
      <c r="BN657" s="42"/>
      <c r="BO657" s="74"/>
      <c r="BP657" s="77"/>
      <c r="BR657" s="497">
        <v>1.0399999999999991</v>
      </c>
      <c r="BT657" s="42"/>
    </row>
    <row r="658" spans="1:72" x14ac:dyDescent="0.25">
      <c r="A658" s="90">
        <v>36187</v>
      </c>
      <c r="B658" s="20">
        <v>0.66666666666666663</v>
      </c>
      <c r="D658">
        <v>39.92</v>
      </c>
      <c r="E658" t="str">
        <f t="shared" si="54"/>
        <v>WEEKDAY</v>
      </c>
      <c r="F658" t="e">
        <f t="shared" si="55"/>
        <v>#N/A</v>
      </c>
      <c r="G658" s="74">
        <v>27786</v>
      </c>
      <c r="H658" s="77">
        <v>0.66666666666666663</v>
      </c>
      <c r="J658">
        <v>42.980000000000004</v>
      </c>
      <c r="M658" s="74">
        <v>37648</v>
      </c>
      <c r="N658" s="77">
        <v>0.66666666666666663</v>
      </c>
      <c r="P658">
        <v>14</v>
      </c>
      <c r="S658" s="74">
        <v>36187</v>
      </c>
      <c r="T658" s="77">
        <v>0.66666666666666663</v>
      </c>
      <c r="V658">
        <v>42.08</v>
      </c>
      <c r="X658" s="42"/>
      <c r="AB658">
        <v>37</v>
      </c>
      <c r="AC658">
        <v>19.04</v>
      </c>
      <c r="AE658" s="74"/>
      <c r="AF658" s="77"/>
      <c r="AH658" s="497">
        <v>12.2</v>
      </c>
      <c r="AJ658" s="42"/>
      <c r="AK658" s="74"/>
      <c r="AL658" s="77"/>
      <c r="AN658" s="497">
        <v>15.98</v>
      </c>
      <c r="AP658" s="42"/>
      <c r="AQ658" s="74"/>
      <c r="AR658" s="77"/>
      <c r="AT658" s="497">
        <v>24.08</v>
      </c>
      <c r="AV658" s="42"/>
      <c r="AW658" s="74"/>
      <c r="AX658" s="77"/>
      <c r="BA658" s="497">
        <v>28.04</v>
      </c>
      <c r="BB658" s="42"/>
      <c r="BC658" s="74"/>
      <c r="BD658" s="77"/>
      <c r="BF658">
        <v>26.060000000000002</v>
      </c>
      <c r="BH658" s="42"/>
      <c r="BI658" s="74"/>
      <c r="BJ658" s="77"/>
      <c r="BL658" s="497">
        <v>26.96</v>
      </c>
      <c r="BN658" s="42"/>
      <c r="BO658" s="74"/>
      <c r="BP658" s="77"/>
      <c r="BR658" s="497">
        <v>3.9200000000000017</v>
      </c>
      <c r="BT658" s="42"/>
    </row>
    <row r="659" spans="1:72" x14ac:dyDescent="0.25">
      <c r="A659" s="90">
        <v>36187</v>
      </c>
      <c r="B659" s="20">
        <v>0.70833333333333337</v>
      </c>
      <c r="D659">
        <v>39.019999999999996</v>
      </c>
      <c r="E659" t="str">
        <f t="shared" ref="E659:E722" si="56">IF(COUNTIF($DI$18:$DI$22, WEEKDAY(A659))=1, "WEEKDAY", IF(WEEKDAY(A659) = 1, "SUNDAY", "SATURDAY"))</f>
        <v>WEEKDAY</v>
      </c>
      <c r="F659" t="e">
        <f t="shared" si="55"/>
        <v>#N/A</v>
      </c>
      <c r="G659" s="74">
        <v>27786</v>
      </c>
      <c r="H659" s="77">
        <v>0.70833333333333337</v>
      </c>
      <c r="J659">
        <v>42.980000000000004</v>
      </c>
      <c r="M659" s="74">
        <v>37648</v>
      </c>
      <c r="N659" s="77">
        <v>0.70833333333333337</v>
      </c>
      <c r="P659">
        <v>10.399999999999999</v>
      </c>
      <c r="S659" s="74">
        <v>36187</v>
      </c>
      <c r="T659" s="77">
        <v>0.70833333333333337</v>
      </c>
      <c r="V659">
        <v>39.92</v>
      </c>
      <c r="X659" s="42"/>
      <c r="AB659">
        <v>36.5</v>
      </c>
      <c r="AC659">
        <v>17.059999999999999</v>
      </c>
      <c r="AE659" s="74"/>
      <c r="AF659" s="77"/>
      <c r="AH659" s="497">
        <v>12.2</v>
      </c>
      <c r="AJ659" s="42"/>
      <c r="AK659" s="74"/>
      <c r="AL659" s="77"/>
      <c r="AN659" s="497">
        <v>14</v>
      </c>
      <c r="AP659" s="42"/>
      <c r="AQ659" s="74"/>
      <c r="AR659" s="77"/>
      <c r="AT659" s="497">
        <v>23</v>
      </c>
      <c r="AV659" s="42"/>
      <c r="AW659" s="74"/>
      <c r="AX659" s="77"/>
      <c r="BA659" s="497">
        <v>25.7</v>
      </c>
      <c r="BB659" s="42"/>
      <c r="BC659" s="74"/>
      <c r="BD659" s="77"/>
      <c r="BF659">
        <v>26.060000000000002</v>
      </c>
      <c r="BH659" s="42"/>
      <c r="BI659" s="74"/>
      <c r="BJ659" s="77"/>
      <c r="BL659" s="497">
        <v>26.24</v>
      </c>
      <c r="BN659" s="42"/>
      <c r="BO659" s="74"/>
      <c r="BP659" s="77"/>
      <c r="BR659" s="497">
        <v>-3.9999999999999147E-2</v>
      </c>
      <c r="BT659" s="42"/>
    </row>
    <row r="660" spans="1:72" x14ac:dyDescent="0.25">
      <c r="A660" s="90">
        <v>36187</v>
      </c>
      <c r="B660" s="20">
        <v>0.75</v>
      </c>
      <c r="D660">
        <v>37.04</v>
      </c>
      <c r="E660" t="str">
        <f t="shared" si="56"/>
        <v>WEEKDAY</v>
      </c>
      <c r="F660" t="e">
        <f t="shared" si="55"/>
        <v>#N/A</v>
      </c>
      <c r="G660" s="74">
        <v>27786</v>
      </c>
      <c r="H660" s="77">
        <v>0.75</v>
      </c>
      <c r="J660">
        <v>42.08</v>
      </c>
      <c r="M660" s="74">
        <v>37648</v>
      </c>
      <c r="N660" s="77">
        <v>0.75</v>
      </c>
      <c r="P660">
        <v>10.399999999999999</v>
      </c>
      <c r="S660" s="74">
        <v>36187</v>
      </c>
      <c r="T660" s="77">
        <v>0.75</v>
      </c>
      <c r="V660">
        <v>39.92</v>
      </c>
      <c r="X660" s="42"/>
      <c r="AB660">
        <v>35.299999999999997</v>
      </c>
      <c r="AC660">
        <v>15.98</v>
      </c>
      <c r="AE660" s="74"/>
      <c r="AF660" s="77"/>
      <c r="AH660" s="497">
        <v>10.399999999999999</v>
      </c>
      <c r="AJ660" s="42"/>
      <c r="AK660" s="74"/>
      <c r="AL660" s="77"/>
      <c r="AN660" s="497">
        <v>12.02</v>
      </c>
      <c r="AP660" s="42"/>
      <c r="AQ660" s="74"/>
      <c r="AR660" s="77"/>
      <c r="AT660" s="497">
        <v>19.04</v>
      </c>
      <c r="AV660" s="42"/>
      <c r="AW660" s="74"/>
      <c r="AX660" s="77"/>
      <c r="BA660" s="497">
        <v>23.36</v>
      </c>
      <c r="BB660" s="42"/>
      <c r="BC660" s="74"/>
      <c r="BD660" s="77"/>
      <c r="BF660">
        <v>24.98</v>
      </c>
      <c r="BH660" s="42"/>
      <c r="BI660" s="74"/>
      <c r="BJ660" s="77"/>
      <c r="BL660" s="497">
        <v>25.7</v>
      </c>
      <c r="BN660" s="42"/>
      <c r="BO660" s="74"/>
      <c r="BP660" s="77"/>
      <c r="BR660" s="497">
        <v>-3.9999999999999147E-2</v>
      </c>
      <c r="BT660" s="42"/>
    </row>
    <row r="661" spans="1:72" x14ac:dyDescent="0.25">
      <c r="A661" s="90">
        <v>36187</v>
      </c>
      <c r="B661" s="20">
        <v>0.79166666666666663</v>
      </c>
      <c r="D661">
        <v>37.04</v>
      </c>
      <c r="E661" t="str">
        <f t="shared" si="56"/>
        <v>WEEKDAY</v>
      </c>
      <c r="F661" t="e">
        <f t="shared" si="55"/>
        <v>#N/A</v>
      </c>
      <c r="G661" s="74">
        <v>27786</v>
      </c>
      <c r="H661" s="77">
        <v>0.79166666666666663</v>
      </c>
      <c r="J661">
        <v>41</v>
      </c>
      <c r="M661" s="74">
        <v>37648</v>
      </c>
      <c r="N661" s="77">
        <v>0.79166666666666663</v>
      </c>
      <c r="P661">
        <v>8.5999999999999979</v>
      </c>
      <c r="S661" s="74">
        <v>36187</v>
      </c>
      <c r="T661" s="77">
        <v>0.79166666666666663</v>
      </c>
      <c r="V661">
        <v>39.019999999999996</v>
      </c>
      <c r="X661" s="42"/>
      <c r="AB661">
        <v>34.4</v>
      </c>
      <c r="AC661">
        <v>15.079999999999998</v>
      </c>
      <c r="AE661" s="74"/>
      <c r="AF661" s="77"/>
      <c r="AH661" s="497">
        <v>6.8000000000000007</v>
      </c>
      <c r="AJ661" s="42"/>
      <c r="AK661" s="74"/>
      <c r="AL661" s="77"/>
      <c r="AN661" s="497">
        <v>10.039999999999999</v>
      </c>
      <c r="AP661" s="42"/>
      <c r="AQ661" s="74"/>
      <c r="AR661" s="77"/>
      <c r="AT661" s="497">
        <v>17.059999999999999</v>
      </c>
      <c r="AV661" s="42"/>
      <c r="AW661" s="74"/>
      <c r="AX661" s="77"/>
      <c r="BA661" s="497">
        <v>21.02</v>
      </c>
      <c r="BB661" s="42"/>
      <c r="BC661" s="74"/>
      <c r="BD661" s="77"/>
      <c r="BF661">
        <v>24.98</v>
      </c>
      <c r="BH661" s="42"/>
      <c r="BI661" s="74"/>
      <c r="BJ661" s="77"/>
      <c r="BL661" s="497">
        <v>24.98</v>
      </c>
      <c r="BN661" s="42"/>
      <c r="BO661" s="74"/>
      <c r="BP661" s="77"/>
      <c r="BR661" s="497">
        <v>-3.9999999999999147E-2</v>
      </c>
      <c r="BT661" s="42"/>
    </row>
    <row r="662" spans="1:72" x14ac:dyDescent="0.25">
      <c r="A662" s="90">
        <v>36187</v>
      </c>
      <c r="B662" s="20">
        <v>0.83333333333333337</v>
      </c>
      <c r="D662">
        <v>37.04</v>
      </c>
      <c r="E662" t="str">
        <f t="shared" si="56"/>
        <v>WEEKDAY</v>
      </c>
      <c r="F662" t="e">
        <f t="shared" si="55"/>
        <v>#N/A</v>
      </c>
      <c r="G662" s="74">
        <v>27786</v>
      </c>
      <c r="H662" s="77">
        <v>0.83333333333333337</v>
      </c>
      <c r="J662">
        <v>39.92</v>
      </c>
      <c r="M662" s="74">
        <v>37648</v>
      </c>
      <c r="N662" s="77">
        <v>0.83333333333333337</v>
      </c>
      <c r="P662">
        <v>8.5999999999999979</v>
      </c>
      <c r="S662" s="74">
        <v>36187</v>
      </c>
      <c r="T662" s="77">
        <v>0.83333333333333337</v>
      </c>
      <c r="V662">
        <v>39.019999999999996</v>
      </c>
      <c r="X662" s="42"/>
      <c r="AB662">
        <v>34.1</v>
      </c>
      <c r="AC662">
        <v>12.920000000000002</v>
      </c>
      <c r="AE662" s="74"/>
      <c r="AF662" s="77"/>
      <c r="AH662" s="497">
        <v>1.3999999999999986</v>
      </c>
      <c r="AJ662" s="42"/>
      <c r="AK662" s="74"/>
      <c r="AL662" s="77"/>
      <c r="AN662" s="497">
        <v>8.0599999999999987</v>
      </c>
      <c r="AP662" s="42"/>
      <c r="AQ662" s="74"/>
      <c r="AR662" s="77"/>
      <c r="AT662" s="497">
        <v>17.059999999999999</v>
      </c>
      <c r="AV662" s="42"/>
      <c r="AW662" s="74"/>
      <c r="AX662" s="77"/>
      <c r="BA662" s="497">
        <v>21.02</v>
      </c>
      <c r="BB662" s="42"/>
      <c r="BC662" s="74"/>
      <c r="BD662" s="77"/>
      <c r="BF662">
        <v>24.08</v>
      </c>
      <c r="BH662" s="42"/>
      <c r="BI662" s="74"/>
      <c r="BJ662" s="77"/>
      <c r="BL662" s="497">
        <v>24.259999999999998</v>
      </c>
      <c r="BN662" s="42"/>
      <c r="BO662" s="74"/>
      <c r="BP662" s="77"/>
      <c r="BR662" s="497">
        <v>-3.9999999999999147E-2</v>
      </c>
      <c r="BT662" s="42"/>
    </row>
    <row r="663" spans="1:72" x14ac:dyDescent="0.25">
      <c r="A663" s="90">
        <v>36187</v>
      </c>
      <c r="B663" s="20">
        <v>0.875</v>
      </c>
      <c r="D663">
        <v>39.019999999999996</v>
      </c>
      <c r="E663" t="str">
        <f t="shared" si="56"/>
        <v>WEEKDAY</v>
      </c>
      <c r="F663" t="e">
        <f t="shared" si="55"/>
        <v>#N/A</v>
      </c>
      <c r="G663" s="74">
        <v>27786</v>
      </c>
      <c r="H663" s="77">
        <v>0.875</v>
      </c>
      <c r="J663">
        <v>39.019999999999996</v>
      </c>
      <c r="M663" s="74">
        <v>37648</v>
      </c>
      <c r="N663" s="77">
        <v>0.875</v>
      </c>
      <c r="P663">
        <v>6.8000000000000007</v>
      </c>
      <c r="S663" s="74">
        <v>36187</v>
      </c>
      <c r="T663" s="77">
        <v>0.875</v>
      </c>
      <c r="V663">
        <v>39.92</v>
      </c>
      <c r="X663" s="42"/>
      <c r="AB663">
        <v>33.5</v>
      </c>
      <c r="AC663">
        <v>12.920000000000002</v>
      </c>
      <c r="AE663" s="74"/>
      <c r="AF663" s="77"/>
      <c r="AH663" s="497">
        <v>-2.2000000000000028</v>
      </c>
      <c r="AJ663" s="42"/>
      <c r="AK663" s="74"/>
      <c r="AL663" s="77"/>
      <c r="AN663" s="497">
        <v>5</v>
      </c>
      <c r="AP663" s="42"/>
      <c r="AQ663" s="74"/>
      <c r="AR663" s="77"/>
      <c r="AT663" s="497">
        <v>15.98</v>
      </c>
      <c r="AV663" s="42"/>
      <c r="AW663" s="74"/>
      <c r="AX663" s="77"/>
      <c r="BA663" s="497">
        <v>21.02</v>
      </c>
      <c r="BB663" s="42"/>
      <c r="BC663" s="74"/>
      <c r="BD663" s="77"/>
      <c r="BF663">
        <v>24.08</v>
      </c>
      <c r="BH663" s="42"/>
      <c r="BI663" s="74"/>
      <c r="BJ663" s="77"/>
      <c r="BL663" s="497">
        <v>23.72</v>
      </c>
      <c r="BN663" s="42"/>
      <c r="BO663" s="74"/>
      <c r="BP663" s="77"/>
      <c r="BR663" s="497">
        <v>-0.94000000000000483</v>
      </c>
      <c r="BT663" s="42"/>
    </row>
    <row r="664" spans="1:72" x14ac:dyDescent="0.25">
      <c r="A664" s="90">
        <v>36187</v>
      </c>
      <c r="B664" s="20">
        <v>0.91666666666666663</v>
      </c>
      <c r="D664">
        <v>39.019999999999996</v>
      </c>
      <c r="E664" t="str">
        <f t="shared" si="56"/>
        <v>WEEKDAY</v>
      </c>
      <c r="F664" t="e">
        <f t="shared" si="55"/>
        <v>#N/A</v>
      </c>
      <c r="G664" s="74">
        <v>27786</v>
      </c>
      <c r="H664" s="77">
        <v>0.91666666666666663</v>
      </c>
      <c r="J664">
        <v>39.019999999999996</v>
      </c>
      <c r="M664" s="74">
        <v>37648</v>
      </c>
      <c r="N664" s="77">
        <v>0.91666666666666663</v>
      </c>
      <c r="P664">
        <v>5</v>
      </c>
      <c r="S664" s="74">
        <v>36187</v>
      </c>
      <c r="T664" s="77">
        <v>0.91666666666666663</v>
      </c>
      <c r="V664">
        <v>39.92</v>
      </c>
      <c r="X664" s="42"/>
      <c r="AB664">
        <v>32.799999999999997</v>
      </c>
      <c r="AC664">
        <v>12.02</v>
      </c>
      <c r="AE664" s="74"/>
      <c r="AF664" s="77"/>
      <c r="AH664" s="497">
        <v>-5.8000000000000043</v>
      </c>
      <c r="AJ664" s="42"/>
      <c r="AK664" s="74"/>
      <c r="AL664" s="77"/>
      <c r="AN664" s="497">
        <v>3.019999999999996</v>
      </c>
      <c r="AP664" s="42"/>
      <c r="AQ664" s="74"/>
      <c r="AR664" s="77"/>
      <c r="AT664" s="497">
        <v>19.04</v>
      </c>
      <c r="AV664" s="42"/>
      <c r="AW664" s="74"/>
      <c r="AX664" s="77"/>
      <c r="BA664" s="497">
        <v>21.02</v>
      </c>
      <c r="BB664" s="42"/>
      <c r="BC664" s="74"/>
      <c r="BD664" s="77"/>
      <c r="BF664">
        <v>24.98</v>
      </c>
      <c r="BH664" s="42"/>
      <c r="BI664" s="74"/>
      <c r="BJ664" s="77"/>
      <c r="BL664" s="497">
        <v>23</v>
      </c>
      <c r="BN664" s="42"/>
      <c r="BO664" s="74"/>
      <c r="BP664" s="77"/>
      <c r="BR664" s="497">
        <v>-2.9200000000000017</v>
      </c>
      <c r="BT664" s="42"/>
    </row>
    <row r="665" spans="1:72" x14ac:dyDescent="0.25">
      <c r="A665" s="90">
        <v>36187</v>
      </c>
      <c r="B665" s="20">
        <v>0.95833333333333337</v>
      </c>
      <c r="D665">
        <v>39.92</v>
      </c>
      <c r="E665" t="str">
        <f t="shared" si="56"/>
        <v>WEEKDAY</v>
      </c>
      <c r="F665" t="e">
        <f t="shared" si="55"/>
        <v>#N/A</v>
      </c>
      <c r="G665" s="74">
        <v>27786</v>
      </c>
      <c r="H665" s="77">
        <v>0.95833333333333337</v>
      </c>
      <c r="J665">
        <v>39.019999999999996</v>
      </c>
      <c r="M665" s="74">
        <v>37648</v>
      </c>
      <c r="N665" s="77">
        <v>0.95833333333333337</v>
      </c>
      <c r="P665">
        <v>5</v>
      </c>
      <c r="S665" s="74">
        <v>36187</v>
      </c>
      <c r="T665" s="77">
        <v>0.95833333333333337</v>
      </c>
      <c r="V665">
        <v>39.019999999999996</v>
      </c>
      <c r="X665" s="42"/>
      <c r="AB665">
        <v>32.299999999999997</v>
      </c>
      <c r="AC665">
        <v>19.939999999999998</v>
      </c>
      <c r="AE665" s="74"/>
      <c r="AF665" s="77"/>
      <c r="AH665" s="497">
        <v>-7.6000000000000014</v>
      </c>
      <c r="AJ665" s="42"/>
      <c r="AK665" s="74"/>
      <c r="AL665" s="77"/>
      <c r="AN665" s="497">
        <v>1.9400000000000013</v>
      </c>
      <c r="AP665" s="42"/>
      <c r="AQ665" s="74"/>
      <c r="AR665" s="77"/>
      <c r="AT665" s="497">
        <v>19.939999999999998</v>
      </c>
      <c r="AV665" s="42"/>
      <c r="AW665" s="74"/>
      <c r="AX665" s="77"/>
      <c r="BA665" s="497">
        <v>21.02</v>
      </c>
      <c r="BB665" s="42"/>
      <c r="BC665" s="74"/>
      <c r="BD665" s="77"/>
      <c r="BF665">
        <v>24.08</v>
      </c>
      <c r="BH665" s="42"/>
      <c r="BI665" s="74"/>
      <c r="BJ665" s="77"/>
      <c r="BL665" s="497">
        <v>23</v>
      </c>
      <c r="BN665" s="42"/>
      <c r="BO665" s="74"/>
      <c r="BP665" s="77"/>
      <c r="BR665" s="497">
        <v>-5.0800000000000054</v>
      </c>
      <c r="BT665" s="42"/>
    </row>
    <row r="666" spans="1:72" x14ac:dyDescent="0.25">
      <c r="A666" s="90">
        <v>36187</v>
      </c>
      <c r="B666" s="20">
        <v>1</v>
      </c>
      <c r="D666">
        <v>39.92</v>
      </c>
      <c r="E666" t="str">
        <f t="shared" si="56"/>
        <v>WEEKDAY</v>
      </c>
      <c r="F666" t="e">
        <f t="shared" si="55"/>
        <v>#N/A</v>
      </c>
      <c r="G666" s="74">
        <v>27786</v>
      </c>
      <c r="H666" s="77">
        <v>1</v>
      </c>
      <c r="J666">
        <v>39.019999999999996</v>
      </c>
      <c r="M666" s="74">
        <v>37648</v>
      </c>
      <c r="N666" s="80">
        <v>1</v>
      </c>
      <c r="P666">
        <v>3.1999999999999993</v>
      </c>
      <c r="S666" s="74">
        <v>36187</v>
      </c>
      <c r="T666" s="80">
        <v>1</v>
      </c>
      <c r="V666">
        <v>39.019999999999996</v>
      </c>
      <c r="X666" s="42"/>
      <c r="AB666">
        <v>31.7</v>
      </c>
      <c r="AC666">
        <v>21.02</v>
      </c>
      <c r="AE666" s="74"/>
      <c r="AF666" s="80"/>
      <c r="AH666" s="497">
        <v>-7.6000000000000014</v>
      </c>
      <c r="AJ666" s="42"/>
      <c r="AK666" s="74"/>
      <c r="AL666" s="80"/>
      <c r="AN666" s="497">
        <v>1.9400000000000013</v>
      </c>
      <c r="AP666" s="42"/>
      <c r="AQ666" s="74"/>
      <c r="AR666" s="80"/>
      <c r="AT666" s="497">
        <v>19.939999999999998</v>
      </c>
      <c r="AV666" s="42"/>
      <c r="AW666" s="74"/>
      <c r="AX666" s="80"/>
      <c r="BA666" s="497">
        <v>21.02</v>
      </c>
      <c r="BB666" s="42"/>
      <c r="BC666" s="74"/>
      <c r="BD666" s="80"/>
      <c r="BF666">
        <v>23</v>
      </c>
      <c r="BH666" s="42"/>
      <c r="BI666" s="74"/>
      <c r="BJ666" s="80"/>
      <c r="BL666" s="497">
        <v>23</v>
      </c>
      <c r="BN666" s="42"/>
      <c r="BO666" s="74"/>
      <c r="BP666" s="80"/>
      <c r="BR666" s="497">
        <v>-5.980000000000004</v>
      </c>
      <c r="BT666" s="42"/>
    </row>
    <row r="667" spans="1:72" x14ac:dyDescent="0.25">
      <c r="A667" s="90">
        <v>36188</v>
      </c>
      <c r="B667" s="20">
        <v>4.1666666666666664E-2</v>
      </c>
      <c r="D667">
        <v>42.980000000000004</v>
      </c>
      <c r="E667" t="str">
        <f t="shared" si="56"/>
        <v>WEEKDAY</v>
      </c>
      <c r="F667" t="e">
        <f t="shared" si="55"/>
        <v>#N/A</v>
      </c>
      <c r="G667" s="74">
        <v>27787</v>
      </c>
      <c r="H667" s="77">
        <v>4.1666666666666664E-2</v>
      </c>
      <c r="J667">
        <v>37.94</v>
      </c>
      <c r="M667" s="74">
        <v>37649</v>
      </c>
      <c r="N667" s="77">
        <v>4.1666666666666664E-2</v>
      </c>
      <c r="P667">
        <v>2.6599999999999966</v>
      </c>
      <c r="S667" s="74">
        <v>36188</v>
      </c>
      <c r="T667" s="77">
        <v>4.1666666666666664E-2</v>
      </c>
      <c r="V667">
        <v>37.04</v>
      </c>
      <c r="X667" s="42"/>
      <c r="AB667">
        <v>31.2</v>
      </c>
      <c r="AC667">
        <v>21.92</v>
      </c>
      <c r="AE667" s="74"/>
      <c r="AF667" s="77"/>
      <c r="AH667" s="497">
        <v>1.3999999999999986</v>
      </c>
      <c r="AJ667" s="42"/>
      <c r="AK667" s="74"/>
      <c r="AL667" s="77"/>
      <c r="AN667" s="497">
        <v>1.0399999999999991</v>
      </c>
      <c r="AP667" s="42"/>
      <c r="AQ667" s="74"/>
      <c r="AR667" s="77"/>
      <c r="AT667" s="497">
        <v>19.939999999999998</v>
      </c>
      <c r="AV667" s="42"/>
      <c r="AW667" s="74"/>
      <c r="AX667" s="77"/>
      <c r="BA667" s="497">
        <v>21.02</v>
      </c>
      <c r="BB667" s="42"/>
      <c r="BC667" s="74"/>
      <c r="BD667" s="77"/>
      <c r="BF667">
        <v>21.92</v>
      </c>
      <c r="BH667" s="42"/>
      <c r="BI667" s="74"/>
      <c r="BJ667" s="77"/>
      <c r="BL667" s="497">
        <v>23</v>
      </c>
      <c r="BN667" s="42"/>
      <c r="BO667" s="74"/>
      <c r="BP667" s="77"/>
      <c r="BR667" s="497">
        <v>-7.9600000000000009</v>
      </c>
      <c r="BT667" s="42"/>
    </row>
    <row r="668" spans="1:72" x14ac:dyDescent="0.25">
      <c r="A668" s="90">
        <v>36188</v>
      </c>
      <c r="B668" s="20">
        <v>8.3333333333333329E-2</v>
      </c>
      <c r="D668">
        <v>44.96</v>
      </c>
      <c r="E668" t="str">
        <f t="shared" si="56"/>
        <v>WEEKDAY</v>
      </c>
      <c r="F668" t="e">
        <f t="shared" si="55"/>
        <v>#N/A</v>
      </c>
      <c r="G668" s="74">
        <v>27787</v>
      </c>
      <c r="H668" s="77">
        <v>8.3333333333333329E-2</v>
      </c>
      <c r="J668">
        <v>37.94</v>
      </c>
      <c r="M668" s="74">
        <v>37649</v>
      </c>
      <c r="N668" s="77">
        <v>8.3333333333333329E-2</v>
      </c>
      <c r="P668">
        <v>2.1199999999999974</v>
      </c>
      <c r="S668" s="74">
        <v>36188</v>
      </c>
      <c r="T668" s="77">
        <v>8.3333333333333329E-2</v>
      </c>
      <c r="V668">
        <v>37.04</v>
      </c>
      <c r="X668" s="42"/>
      <c r="AB668">
        <v>30.7</v>
      </c>
      <c r="AC668">
        <v>8.240000000000002</v>
      </c>
      <c r="AE668" s="74"/>
      <c r="AF668" s="77"/>
      <c r="AH668" s="497">
        <v>1.3999999999999986</v>
      </c>
      <c r="AJ668" s="42"/>
      <c r="AK668" s="74"/>
      <c r="AL668" s="77"/>
      <c r="AN668" s="497">
        <v>1.0399999999999991</v>
      </c>
      <c r="AP668" s="42"/>
      <c r="AQ668" s="74"/>
      <c r="AR668" s="77"/>
      <c r="AT668" s="497">
        <v>21.02</v>
      </c>
      <c r="AV668" s="42"/>
      <c r="AW668" s="74"/>
      <c r="AX668" s="77"/>
      <c r="BA668" s="497">
        <v>22.1</v>
      </c>
      <c r="BB668" s="42"/>
      <c r="BC668" s="74"/>
      <c r="BD668" s="77"/>
      <c r="BF668">
        <v>21.02</v>
      </c>
      <c r="BH668" s="42"/>
      <c r="BI668" s="74"/>
      <c r="BJ668" s="77"/>
      <c r="BL668" s="497">
        <v>22.28</v>
      </c>
      <c r="BN668" s="42"/>
      <c r="BO668" s="74"/>
      <c r="BP668" s="77"/>
      <c r="BR668" s="497">
        <v>-9.0399999999999991</v>
      </c>
      <c r="BT668" s="42"/>
    </row>
    <row r="669" spans="1:72" x14ac:dyDescent="0.25">
      <c r="A669" s="90">
        <v>36188</v>
      </c>
      <c r="B669" s="20">
        <v>0.125</v>
      </c>
      <c r="D669">
        <v>44.06</v>
      </c>
      <c r="E669" t="str">
        <f t="shared" si="56"/>
        <v>WEEKDAY</v>
      </c>
      <c r="F669" t="e">
        <f t="shared" si="55"/>
        <v>#N/A</v>
      </c>
      <c r="G669" s="74">
        <v>27787</v>
      </c>
      <c r="H669" s="77">
        <v>0.125</v>
      </c>
      <c r="J669">
        <v>37.04</v>
      </c>
      <c r="M669" s="74">
        <v>37649</v>
      </c>
      <c r="N669" s="77">
        <v>0.125</v>
      </c>
      <c r="P669">
        <v>1.3999999999999986</v>
      </c>
      <c r="S669" s="74">
        <v>36188</v>
      </c>
      <c r="T669" s="77">
        <v>0.125</v>
      </c>
      <c r="V669">
        <v>37.04</v>
      </c>
      <c r="X669" s="42"/>
      <c r="AB669">
        <v>30.2</v>
      </c>
      <c r="AC669">
        <v>8.0599999999999987</v>
      </c>
      <c r="AE669" s="74"/>
      <c r="AF669" s="77"/>
      <c r="AH669" s="497">
        <v>-2.2000000000000028</v>
      </c>
      <c r="AJ669" s="42"/>
      <c r="AK669" s="74"/>
      <c r="AL669" s="77"/>
      <c r="AN669" s="497">
        <v>1.9400000000000013</v>
      </c>
      <c r="AP669" s="42"/>
      <c r="AQ669" s="74"/>
      <c r="AR669" s="77"/>
      <c r="AT669" s="497">
        <v>21.02</v>
      </c>
      <c r="AV669" s="42"/>
      <c r="AW669" s="74"/>
      <c r="AX669" s="77"/>
      <c r="BA669" s="497">
        <v>23</v>
      </c>
      <c r="BB669" s="42"/>
      <c r="BC669" s="74"/>
      <c r="BD669" s="77"/>
      <c r="BF669">
        <v>19.939999999999998</v>
      </c>
      <c r="BH669" s="42"/>
      <c r="BI669" s="74"/>
      <c r="BJ669" s="77"/>
      <c r="BL669" s="497">
        <v>21.740000000000002</v>
      </c>
      <c r="BN669" s="42"/>
      <c r="BO669" s="74"/>
      <c r="BP669" s="77"/>
      <c r="BR669" s="497">
        <v>-9.9400000000000048</v>
      </c>
      <c r="BT669" s="42"/>
    </row>
    <row r="670" spans="1:72" x14ac:dyDescent="0.25">
      <c r="A670" s="90">
        <v>36188</v>
      </c>
      <c r="B670" s="20">
        <v>0.16666666666666666</v>
      </c>
      <c r="D670">
        <v>42.980000000000004</v>
      </c>
      <c r="E670" t="str">
        <f t="shared" si="56"/>
        <v>WEEKDAY</v>
      </c>
      <c r="F670" t="e">
        <f t="shared" si="55"/>
        <v>#N/A</v>
      </c>
      <c r="G670" s="74">
        <v>27787</v>
      </c>
      <c r="H670" s="77">
        <v>0.16666666666666666</v>
      </c>
      <c r="J670">
        <v>37.04</v>
      </c>
      <c r="M670" s="74">
        <v>37649</v>
      </c>
      <c r="N670" s="77">
        <v>0.16666666666666666</v>
      </c>
      <c r="P670">
        <v>1.3999999999999986</v>
      </c>
      <c r="S670" s="74">
        <v>36188</v>
      </c>
      <c r="T670" s="77">
        <v>0.16666666666666666</v>
      </c>
      <c r="V670">
        <v>37.94</v>
      </c>
      <c r="X670" s="42"/>
      <c r="AB670">
        <v>29.9</v>
      </c>
      <c r="AC670">
        <v>6.4400000000000013</v>
      </c>
      <c r="AE670" s="74"/>
      <c r="AF670" s="77"/>
      <c r="AH670" s="497">
        <v>-7.6000000000000014</v>
      </c>
      <c r="AJ670" s="42"/>
      <c r="AK670" s="74"/>
      <c r="AL670" s="77"/>
      <c r="AN670" s="497">
        <v>1.9400000000000013</v>
      </c>
      <c r="AP670" s="42"/>
      <c r="AQ670" s="74"/>
      <c r="AR670" s="77"/>
      <c r="AT670" s="497">
        <v>21.02</v>
      </c>
      <c r="AV670" s="42"/>
      <c r="AW670" s="74"/>
      <c r="AX670" s="77"/>
      <c r="BA670" s="497">
        <v>24.08</v>
      </c>
      <c r="BB670" s="42"/>
      <c r="BC670" s="74"/>
      <c r="BD670" s="77"/>
      <c r="BF670">
        <v>21.02</v>
      </c>
      <c r="BH670" s="42"/>
      <c r="BI670" s="74"/>
      <c r="BJ670" s="77"/>
      <c r="BL670" s="497">
        <v>21.02</v>
      </c>
      <c r="BN670" s="42"/>
      <c r="BO670" s="74"/>
      <c r="BP670" s="77"/>
      <c r="BR670" s="497">
        <v>-9.0399999999999991</v>
      </c>
      <c r="BT670" s="42"/>
    </row>
    <row r="671" spans="1:72" x14ac:dyDescent="0.25">
      <c r="A671" s="90">
        <v>36188</v>
      </c>
      <c r="B671" s="20">
        <v>0.20833333333333334</v>
      </c>
      <c r="D671">
        <v>42.980000000000004</v>
      </c>
      <c r="E671" t="str">
        <f t="shared" si="56"/>
        <v>WEEKDAY</v>
      </c>
      <c r="F671" t="e">
        <f t="shared" si="55"/>
        <v>#N/A</v>
      </c>
      <c r="G671" s="74">
        <v>27787</v>
      </c>
      <c r="H671" s="77">
        <v>0.20833333333333334</v>
      </c>
      <c r="J671">
        <v>37.04</v>
      </c>
      <c r="M671" s="74">
        <v>37649</v>
      </c>
      <c r="N671" s="77">
        <v>0.20833333333333334</v>
      </c>
      <c r="P671">
        <v>3.1999999999999993</v>
      </c>
      <c r="S671" s="74">
        <v>36188</v>
      </c>
      <c r="T671" s="77">
        <v>0.20833333333333334</v>
      </c>
      <c r="V671">
        <v>37.94</v>
      </c>
      <c r="X671" s="42"/>
      <c r="AB671">
        <v>29.5</v>
      </c>
      <c r="AC671">
        <v>17.96</v>
      </c>
      <c r="AE671" s="74"/>
      <c r="AF671" s="77"/>
      <c r="AH671" s="497">
        <v>-9.3999999999999986</v>
      </c>
      <c r="AJ671" s="42"/>
      <c r="AK671" s="74"/>
      <c r="AL671" s="77"/>
      <c r="AN671" s="497">
        <v>1.9400000000000013</v>
      </c>
      <c r="AP671" s="42"/>
      <c r="AQ671" s="74"/>
      <c r="AR671" s="77"/>
      <c r="AT671" s="497">
        <v>21.02</v>
      </c>
      <c r="AV671" s="42"/>
      <c r="AW671" s="74"/>
      <c r="AX671" s="77"/>
      <c r="BA671" s="497">
        <v>24.08</v>
      </c>
      <c r="BB671" s="42"/>
      <c r="BC671" s="74"/>
      <c r="BD671" s="77"/>
      <c r="BF671">
        <v>19.04</v>
      </c>
      <c r="BH671" s="42"/>
      <c r="BI671" s="74"/>
      <c r="BJ671" s="77"/>
      <c r="BL671" s="497">
        <v>20.299999999999997</v>
      </c>
      <c r="BN671" s="42"/>
      <c r="BO671" s="74"/>
      <c r="BP671" s="77"/>
      <c r="BR671" s="497">
        <v>-9.0399999999999991</v>
      </c>
      <c r="BT671" s="42"/>
    </row>
    <row r="672" spans="1:72" x14ac:dyDescent="0.25">
      <c r="A672" s="90">
        <v>36188</v>
      </c>
      <c r="B672" s="20">
        <v>0.25</v>
      </c>
      <c r="D672">
        <v>42.980000000000004</v>
      </c>
      <c r="E672" t="str">
        <f t="shared" si="56"/>
        <v>WEEKDAY</v>
      </c>
      <c r="F672" t="e">
        <f t="shared" si="55"/>
        <v>#N/A</v>
      </c>
      <c r="G672" s="74">
        <v>27787</v>
      </c>
      <c r="H672" s="77">
        <v>0.25</v>
      </c>
      <c r="J672">
        <v>37.04</v>
      </c>
      <c r="M672" s="74">
        <v>37649</v>
      </c>
      <c r="N672" s="77">
        <v>0.25</v>
      </c>
      <c r="P672">
        <v>5</v>
      </c>
      <c r="S672" s="74">
        <v>36188</v>
      </c>
      <c r="T672" s="77">
        <v>0.25</v>
      </c>
      <c r="V672">
        <v>37.94</v>
      </c>
      <c r="X672" s="42"/>
      <c r="AB672">
        <v>29.2</v>
      </c>
      <c r="AC672">
        <v>6.620000000000001</v>
      </c>
      <c r="AE672" s="74"/>
      <c r="AF672" s="77"/>
      <c r="AH672" s="497">
        <v>-9.3999999999999986</v>
      </c>
      <c r="AJ672" s="42"/>
      <c r="AK672" s="74"/>
      <c r="AL672" s="77"/>
      <c r="AN672" s="497">
        <v>3.019999999999996</v>
      </c>
      <c r="AP672" s="42"/>
      <c r="AQ672" s="74"/>
      <c r="AR672" s="77"/>
      <c r="AT672" s="497">
        <v>21.92</v>
      </c>
      <c r="AV672" s="42"/>
      <c r="AW672" s="74"/>
      <c r="AX672" s="77"/>
      <c r="BA672" s="497">
        <v>24.08</v>
      </c>
      <c r="BB672" s="42"/>
      <c r="BC672" s="74"/>
      <c r="BD672" s="77"/>
      <c r="BF672">
        <v>17.96</v>
      </c>
      <c r="BH672" s="42"/>
      <c r="BI672" s="74"/>
      <c r="BJ672" s="77"/>
      <c r="BL672" s="497">
        <v>19.759999999999998</v>
      </c>
      <c r="BN672" s="42"/>
      <c r="BO672" s="74"/>
      <c r="BP672" s="77"/>
      <c r="BR672" s="497">
        <v>-9.0399999999999991</v>
      </c>
      <c r="BT672" s="42"/>
    </row>
    <row r="673" spans="1:72" x14ac:dyDescent="0.25">
      <c r="A673" s="90">
        <v>36188</v>
      </c>
      <c r="B673" s="20">
        <v>0.29166666666666669</v>
      </c>
      <c r="D673">
        <v>44.96</v>
      </c>
      <c r="E673" t="str">
        <f t="shared" si="56"/>
        <v>WEEKDAY</v>
      </c>
      <c r="F673" t="e">
        <f t="shared" si="55"/>
        <v>#N/A</v>
      </c>
      <c r="G673" s="74">
        <v>27787</v>
      </c>
      <c r="H673" s="77">
        <v>0.29166666666666669</v>
      </c>
      <c r="J673">
        <v>35.96</v>
      </c>
      <c r="M673" s="74">
        <v>37649</v>
      </c>
      <c r="N673" s="77">
        <v>0.29166666666666669</v>
      </c>
      <c r="P673">
        <v>6.8000000000000007</v>
      </c>
      <c r="S673" s="74">
        <v>36188</v>
      </c>
      <c r="T673" s="77">
        <v>0.29166666666666669</v>
      </c>
      <c r="V673">
        <v>37.94</v>
      </c>
      <c r="X673" s="42"/>
      <c r="AB673">
        <v>29.1</v>
      </c>
      <c r="AC673">
        <v>8.5999999999999979</v>
      </c>
      <c r="AE673" s="74"/>
      <c r="AF673" s="77"/>
      <c r="AH673" s="497">
        <v>-11.200000000000003</v>
      </c>
      <c r="AJ673" s="42"/>
      <c r="AK673" s="74"/>
      <c r="AL673" s="77"/>
      <c r="AN673" s="497">
        <v>3.019999999999996</v>
      </c>
      <c r="AP673" s="42"/>
      <c r="AQ673" s="74"/>
      <c r="AR673" s="77"/>
      <c r="AT673" s="497">
        <v>21.92</v>
      </c>
      <c r="AV673" s="42"/>
      <c r="AW673" s="74"/>
      <c r="AX673" s="77"/>
      <c r="BA673" s="497">
        <v>24.08</v>
      </c>
      <c r="BB673" s="42"/>
      <c r="BC673" s="74"/>
      <c r="BD673" s="77"/>
      <c r="BF673">
        <v>17.96</v>
      </c>
      <c r="BH673" s="42"/>
      <c r="BI673" s="74"/>
      <c r="BJ673" s="77"/>
      <c r="BL673" s="497">
        <v>19.04</v>
      </c>
      <c r="BN673" s="42"/>
      <c r="BO673" s="74"/>
      <c r="BP673" s="77"/>
      <c r="BR673" s="497">
        <v>-9.0399999999999991</v>
      </c>
      <c r="BT673" s="42"/>
    </row>
    <row r="674" spans="1:72" x14ac:dyDescent="0.25">
      <c r="A674" s="90">
        <v>36188</v>
      </c>
      <c r="B674" s="20">
        <v>0.33333333333333331</v>
      </c>
      <c r="D674">
        <v>44.06</v>
      </c>
      <c r="E674" t="str">
        <f t="shared" si="56"/>
        <v>WEEKDAY</v>
      </c>
      <c r="F674" t="e">
        <f t="shared" si="55"/>
        <v>#N/A</v>
      </c>
      <c r="G674" s="74">
        <v>27787</v>
      </c>
      <c r="H674" s="77">
        <v>0.33333333333333331</v>
      </c>
      <c r="J674">
        <v>35.06</v>
      </c>
      <c r="M674" s="74">
        <v>37649</v>
      </c>
      <c r="N674" s="77">
        <v>0.33333333333333331</v>
      </c>
      <c r="P674">
        <v>6.8000000000000007</v>
      </c>
      <c r="S674" s="74">
        <v>36188</v>
      </c>
      <c r="T674" s="77">
        <v>0.33333333333333331</v>
      </c>
      <c r="V674">
        <v>39.019999999999996</v>
      </c>
      <c r="X674" s="42"/>
      <c r="AB674">
        <v>29.1</v>
      </c>
      <c r="AC674">
        <v>14</v>
      </c>
      <c r="AE674" s="74"/>
      <c r="AF674" s="77"/>
      <c r="AH674" s="497">
        <v>-11.200000000000003</v>
      </c>
      <c r="AJ674" s="42"/>
      <c r="AK674" s="74"/>
      <c r="AL674" s="77"/>
      <c r="AN674" s="497">
        <v>1.9400000000000013</v>
      </c>
      <c r="AP674" s="42"/>
      <c r="AQ674" s="74"/>
      <c r="AR674" s="77"/>
      <c r="AT674" s="497">
        <v>21.92</v>
      </c>
      <c r="AV674" s="42"/>
      <c r="AW674" s="74"/>
      <c r="AX674" s="77"/>
      <c r="BA674" s="497">
        <v>23.72</v>
      </c>
      <c r="BB674" s="42"/>
      <c r="BC674" s="74"/>
      <c r="BD674" s="77"/>
      <c r="BF674">
        <v>17.96</v>
      </c>
      <c r="BH674" s="42"/>
      <c r="BI674" s="74"/>
      <c r="BJ674" s="77"/>
      <c r="BL674" s="497">
        <v>19.399999999999999</v>
      </c>
      <c r="BN674" s="42"/>
      <c r="BO674" s="74"/>
      <c r="BP674" s="77"/>
      <c r="BR674" s="497">
        <v>-7.9600000000000009</v>
      </c>
      <c r="BT674" s="42"/>
    </row>
    <row r="675" spans="1:72" x14ac:dyDescent="0.25">
      <c r="A675" s="90">
        <v>36188</v>
      </c>
      <c r="B675" s="20">
        <v>0.375</v>
      </c>
      <c r="D675">
        <v>42.980000000000004</v>
      </c>
      <c r="E675" t="str">
        <f t="shared" si="56"/>
        <v>WEEKDAY</v>
      </c>
      <c r="F675" t="e">
        <f t="shared" si="55"/>
        <v>#N/A</v>
      </c>
      <c r="G675" s="74">
        <v>27787</v>
      </c>
      <c r="H675" s="77">
        <v>0.375</v>
      </c>
      <c r="J675">
        <v>35.06</v>
      </c>
      <c r="M675" s="74">
        <v>37649</v>
      </c>
      <c r="N675" s="77">
        <v>0.375</v>
      </c>
      <c r="P675">
        <v>8.5999999999999979</v>
      </c>
      <c r="S675" s="74">
        <v>36188</v>
      </c>
      <c r="T675" s="77">
        <v>0.375</v>
      </c>
      <c r="V675">
        <v>39.019999999999996</v>
      </c>
      <c r="X675" s="42"/>
      <c r="AB675">
        <v>29.7</v>
      </c>
      <c r="AC675">
        <v>10.940000000000001</v>
      </c>
      <c r="AE675" s="74"/>
      <c r="AF675" s="77"/>
      <c r="AH675" s="497">
        <v>-0.39999999999999858</v>
      </c>
      <c r="AJ675" s="42"/>
      <c r="AK675" s="74"/>
      <c r="AL675" s="77"/>
      <c r="AN675" s="497">
        <v>3.019999999999996</v>
      </c>
      <c r="AP675" s="42"/>
      <c r="AQ675" s="74"/>
      <c r="AR675" s="77"/>
      <c r="AT675" s="497">
        <v>23</v>
      </c>
      <c r="AV675" s="42"/>
      <c r="AW675" s="74"/>
      <c r="AX675" s="77"/>
      <c r="BA675" s="497">
        <v>23.36</v>
      </c>
      <c r="BB675" s="42"/>
      <c r="BC675" s="74"/>
      <c r="BD675" s="77"/>
      <c r="BF675">
        <v>17.059999999999999</v>
      </c>
      <c r="BH675" s="42"/>
      <c r="BI675" s="74"/>
      <c r="BJ675" s="77"/>
      <c r="BL675" s="497">
        <v>19.579999999999998</v>
      </c>
      <c r="BN675" s="42"/>
      <c r="BO675" s="74"/>
      <c r="BP675" s="77"/>
      <c r="BR675" s="497">
        <v>-5.980000000000004</v>
      </c>
      <c r="BT675" s="42"/>
    </row>
    <row r="676" spans="1:72" x14ac:dyDescent="0.25">
      <c r="A676" s="90">
        <v>36188</v>
      </c>
      <c r="B676" s="20">
        <v>0.41666666666666669</v>
      </c>
      <c r="D676">
        <v>42.980000000000004</v>
      </c>
      <c r="E676" t="str">
        <f t="shared" si="56"/>
        <v>WEEKDAY</v>
      </c>
      <c r="F676" t="e">
        <f t="shared" si="55"/>
        <v>#N/A</v>
      </c>
      <c r="G676" s="74">
        <v>27787</v>
      </c>
      <c r="H676" s="77">
        <v>0.41666666666666669</v>
      </c>
      <c r="J676">
        <v>35.06</v>
      </c>
      <c r="M676" s="74">
        <v>37649</v>
      </c>
      <c r="N676" s="77">
        <v>0.41666666666666669</v>
      </c>
      <c r="P676">
        <v>10.399999999999999</v>
      </c>
      <c r="S676" s="74">
        <v>36188</v>
      </c>
      <c r="T676" s="77">
        <v>0.41666666666666669</v>
      </c>
      <c r="V676">
        <v>39.019999999999996</v>
      </c>
      <c r="X676" s="42"/>
      <c r="AB676">
        <v>31.4</v>
      </c>
      <c r="AC676">
        <v>15.079999999999998</v>
      </c>
      <c r="AE676" s="74"/>
      <c r="AF676" s="77"/>
      <c r="AH676" s="497">
        <v>3.1999999999999993</v>
      </c>
      <c r="AJ676" s="42"/>
      <c r="AK676" s="74"/>
      <c r="AL676" s="77"/>
      <c r="AN676" s="497">
        <v>3.9200000000000017</v>
      </c>
      <c r="AP676" s="42"/>
      <c r="AQ676" s="74"/>
      <c r="AR676" s="77"/>
      <c r="AT676" s="497">
        <v>26.060000000000002</v>
      </c>
      <c r="AV676" s="42"/>
      <c r="AW676" s="74"/>
      <c r="AX676" s="77"/>
      <c r="BA676" s="497">
        <v>23</v>
      </c>
      <c r="BB676" s="42"/>
      <c r="BC676" s="74"/>
      <c r="BD676" s="77"/>
      <c r="BF676">
        <v>19.04</v>
      </c>
      <c r="BH676" s="42"/>
      <c r="BI676" s="74"/>
      <c r="BJ676" s="77"/>
      <c r="BL676" s="497">
        <v>19.939999999999998</v>
      </c>
      <c r="BN676" s="42"/>
      <c r="BO676" s="74"/>
      <c r="BP676" s="77"/>
      <c r="BR676" s="497">
        <v>-5.980000000000004</v>
      </c>
      <c r="BT676" s="42"/>
    </row>
    <row r="677" spans="1:72" x14ac:dyDescent="0.25">
      <c r="A677" s="90">
        <v>36188</v>
      </c>
      <c r="B677" s="20">
        <v>0.45833333333333331</v>
      </c>
      <c r="D677">
        <v>44.06</v>
      </c>
      <c r="E677" t="str">
        <f t="shared" si="56"/>
        <v>WEEKDAY</v>
      </c>
      <c r="F677" t="e">
        <f t="shared" si="55"/>
        <v>#N/A</v>
      </c>
      <c r="G677" s="74">
        <v>27787</v>
      </c>
      <c r="H677" s="77">
        <v>0.45833333333333331</v>
      </c>
      <c r="J677">
        <v>35.06</v>
      </c>
      <c r="M677" s="74">
        <v>37649</v>
      </c>
      <c r="N677" s="77">
        <v>0.45833333333333331</v>
      </c>
      <c r="P677">
        <v>12.2</v>
      </c>
      <c r="S677" s="74">
        <v>36188</v>
      </c>
      <c r="T677" s="77">
        <v>0.45833333333333331</v>
      </c>
      <c r="V677">
        <v>39.92</v>
      </c>
      <c r="X677" s="42"/>
      <c r="AB677">
        <v>32.9</v>
      </c>
      <c r="AC677">
        <v>23</v>
      </c>
      <c r="AE677" s="74"/>
      <c r="AF677" s="77"/>
      <c r="AH677" s="497">
        <v>8.5999999999999979</v>
      </c>
      <c r="AJ677" s="42"/>
      <c r="AK677" s="74"/>
      <c r="AL677" s="77"/>
      <c r="AN677" s="497">
        <v>6.0799999999999983</v>
      </c>
      <c r="AP677" s="42"/>
      <c r="AQ677" s="74"/>
      <c r="AR677" s="77"/>
      <c r="AT677" s="497">
        <v>28.04</v>
      </c>
      <c r="AV677" s="42"/>
      <c r="AW677" s="74"/>
      <c r="AX677" s="77"/>
      <c r="BA677" s="497">
        <v>24.259999999999998</v>
      </c>
      <c r="BB677" s="42"/>
      <c r="BC677" s="74"/>
      <c r="BD677" s="77"/>
      <c r="BF677">
        <v>21.02</v>
      </c>
      <c r="BH677" s="42"/>
      <c r="BI677" s="74"/>
      <c r="BJ677" s="77"/>
      <c r="BL677" s="497">
        <v>21.02</v>
      </c>
      <c r="BN677" s="42"/>
      <c r="BO677" s="74"/>
      <c r="BP677" s="77"/>
      <c r="BR677" s="497">
        <v>-2.9200000000000017</v>
      </c>
      <c r="BT677" s="42"/>
    </row>
    <row r="678" spans="1:72" x14ac:dyDescent="0.25">
      <c r="A678" s="90">
        <v>36188</v>
      </c>
      <c r="B678" s="20">
        <v>0.5</v>
      </c>
      <c r="D678">
        <v>44.96</v>
      </c>
      <c r="E678" t="str">
        <f t="shared" si="56"/>
        <v>WEEKDAY</v>
      </c>
      <c r="F678" t="e">
        <f t="shared" si="55"/>
        <v>#N/A</v>
      </c>
      <c r="G678" s="74">
        <v>27787</v>
      </c>
      <c r="H678" s="77">
        <v>0.5</v>
      </c>
      <c r="J678">
        <v>35.96</v>
      </c>
      <c r="M678" s="74">
        <v>37649</v>
      </c>
      <c r="N678" s="77">
        <v>0.5</v>
      </c>
      <c r="P678">
        <v>15.8</v>
      </c>
      <c r="S678" s="74">
        <v>36188</v>
      </c>
      <c r="T678" s="77">
        <v>0.5</v>
      </c>
      <c r="V678">
        <v>41</v>
      </c>
      <c r="X678" s="42"/>
      <c r="AB678">
        <v>34.299999999999997</v>
      </c>
      <c r="AC678">
        <v>18.5</v>
      </c>
      <c r="AE678" s="74"/>
      <c r="AF678" s="77"/>
      <c r="AH678" s="497">
        <v>12.2</v>
      </c>
      <c r="AJ678" s="42"/>
      <c r="AK678" s="74"/>
      <c r="AL678" s="77"/>
      <c r="AN678" s="497">
        <v>6.98</v>
      </c>
      <c r="AP678" s="42"/>
      <c r="AQ678" s="74"/>
      <c r="AR678" s="77"/>
      <c r="AT678" s="497">
        <v>32</v>
      </c>
      <c r="AV678" s="42"/>
      <c r="AW678" s="74"/>
      <c r="AX678" s="77"/>
      <c r="BA678" s="497">
        <v>25.7</v>
      </c>
      <c r="BB678" s="42"/>
      <c r="BC678" s="74"/>
      <c r="BD678" s="77"/>
      <c r="BF678">
        <v>21.92</v>
      </c>
      <c r="BH678" s="42"/>
      <c r="BI678" s="74"/>
      <c r="BJ678" s="77"/>
      <c r="BL678" s="497">
        <v>21.92</v>
      </c>
      <c r="BN678" s="42"/>
      <c r="BO678" s="74"/>
      <c r="BP678" s="77"/>
      <c r="BR678" s="497">
        <v>-2.019999999999996</v>
      </c>
      <c r="BT678" s="42"/>
    </row>
    <row r="679" spans="1:72" x14ac:dyDescent="0.25">
      <c r="A679" s="90">
        <v>36188</v>
      </c>
      <c r="B679" s="20">
        <v>0.54166666666666663</v>
      </c>
      <c r="D679">
        <v>46.04</v>
      </c>
      <c r="E679" t="str">
        <f t="shared" si="56"/>
        <v>WEEKDAY</v>
      </c>
      <c r="F679" t="e">
        <f t="shared" si="55"/>
        <v>#N/A</v>
      </c>
      <c r="G679" s="74">
        <v>27787</v>
      </c>
      <c r="H679" s="77">
        <v>0.54166666666666663</v>
      </c>
      <c r="J679">
        <v>35.96</v>
      </c>
      <c r="M679" s="74">
        <v>37649</v>
      </c>
      <c r="N679" s="77">
        <v>0.54166666666666663</v>
      </c>
      <c r="P679">
        <v>17.600000000000001</v>
      </c>
      <c r="S679" s="74">
        <v>36188</v>
      </c>
      <c r="T679" s="77">
        <v>0.54166666666666663</v>
      </c>
      <c r="V679">
        <v>42.08</v>
      </c>
      <c r="X679" s="42"/>
      <c r="AB679">
        <v>35.5</v>
      </c>
      <c r="AC679">
        <v>28.04</v>
      </c>
      <c r="AE679" s="74"/>
      <c r="AF679" s="77"/>
      <c r="AH679" s="497">
        <v>12.2</v>
      </c>
      <c r="AJ679" s="42"/>
      <c r="AK679" s="74"/>
      <c r="AL679" s="77"/>
      <c r="AN679" s="497">
        <v>8.0599999999999987</v>
      </c>
      <c r="AP679" s="42"/>
      <c r="AQ679" s="74"/>
      <c r="AR679" s="77"/>
      <c r="AT679" s="497">
        <v>33.979999999999997</v>
      </c>
      <c r="AV679" s="42"/>
      <c r="AW679" s="74"/>
      <c r="AX679" s="77"/>
      <c r="BA679" s="497">
        <v>26.96</v>
      </c>
      <c r="BB679" s="42"/>
      <c r="BC679" s="74"/>
      <c r="BD679" s="77"/>
      <c r="BF679">
        <v>21.02</v>
      </c>
      <c r="BH679" s="42"/>
      <c r="BI679" s="74"/>
      <c r="BJ679" s="77"/>
      <c r="BL679" s="497">
        <v>23</v>
      </c>
      <c r="BN679" s="42"/>
      <c r="BO679" s="74"/>
      <c r="BP679" s="77"/>
      <c r="BR679" s="497">
        <v>-0.94000000000000483</v>
      </c>
      <c r="BT679" s="42"/>
    </row>
    <row r="680" spans="1:72" x14ac:dyDescent="0.25">
      <c r="A680" s="90">
        <v>36188</v>
      </c>
      <c r="B680" s="20">
        <v>0.58333333333333337</v>
      </c>
      <c r="D680">
        <v>48.019999999999996</v>
      </c>
      <c r="E680" t="str">
        <f t="shared" si="56"/>
        <v>WEEKDAY</v>
      </c>
      <c r="F680" t="e">
        <f t="shared" si="55"/>
        <v>#N/A</v>
      </c>
      <c r="G680" s="74">
        <v>27787</v>
      </c>
      <c r="H680" s="77">
        <v>0.58333333333333337</v>
      </c>
      <c r="J680">
        <v>35.06</v>
      </c>
      <c r="M680" s="74">
        <v>37649</v>
      </c>
      <c r="N680" s="77">
        <v>0.58333333333333337</v>
      </c>
      <c r="P680">
        <v>19.399999999999999</v>
      </c>
      <c r="S680" s="74">
        <v>36188</v>
      </c>
      <c r="T680" s="77">
        <v>0.58333333333333337</v>
      </c>
      <c r="V680">
        <v>42.08</v>
      </c>
      <c r="X680" s="42"/>
      <c r="AB680">
        <v>36.4</v>
      </c>
      <c r="AC680">
        <v>21.02</v>
      </c>
      <c r="AE680" s="74"/>
      <c r="AF680" s="77"/>
      <c r="AH680" s="497">
        <v>14</v>
      </c>
      <c r="AJ680" s="42"/>
      <c r="AK680" s="74"/>
      <c r="AL680" s="77"/>
      <c r="AN680" s="497">
        <v>8.0599999999999987</v>
      </c>
      <c r="AP680" s="42"/>
      <c r="AQ680" s="74"/>
      <c r="AR680" s="77"/>
      <c r="AT680" s="497">
        <v>33.08</v>
      </c>
      <c r="AV680" s="42"/>
      <c r="AW680" s="74"/>
      <c r="AX680" s="77"/>
      <c r="BA680" s="497">
        <v>26.6</v>
      </c>
      <c r="BB680" s="42"/>
      <c r="BC680" s="74"/>
      <c r="BD680" s="77"/>
      <c r="BF680">
        <v>21.92</v>
      </c>
      <c r="BH680" s="42"/>
      <c r="BI680" s="74"/>
      <c r="BJ680" s="77"/>
      <c r="BL680" s="497">
        <v>22.28</v>
      </c>
      <c r="BN680" s="42"/>
      <c r="BO680" s="74"/>
      <c r="BP680" s="77"/>
      <c r="BR680" s="497">
        <v>-3.9999999999999147E-2</v>
      </c>
      <c r="BT680" s="42"/>
    </row>
    <row r="681" spans="1:72" x14ac:dyDescent="0.25">
      <c r="A681" s="90">
        <v>36188</v>
      </c>
      <c r="B681" s="20">
        <v>0.625</v>
      </c>
      <c r="D681">
        <v>46.94</v>
      </c>
      <c r="E681" t="str">
        <f t="shared" si="56"/>
        <v>WEEKDAY</v>
      </c>
      <c r="F681" t="e">
        <f t="shared" si="55"/>
        <v>#N/A</v>
      </c>
      <c r="G681" s="74">
        <v>27787</v>
      </c>
      <c r="H681" s="77">
        <v>0.625</v>
      </c>
      <c r="J681">
        <v>33.979999999999997</v>
      </c>
      <c r="M681" s="74">
        <v>37649</v>
      </c>
      <c r="N681" s="77">
        <v>0.625</v>
      </c>
      <c r="P681">
        <v>19.399999999999999</v>
      </c>
      <c r="S681" s="74">
        <v>36188</v>
      </c>
      <c r="T681" s="77">
        <v>0.625</v>
      </c>
      <c r="V681">
        <v>39.92</v>
      </c>
      <c r="X681" s="42"/>
      <c r="AB681">
        <v>37</v>
      </c>
      <c r="AC681">
        <v>30.92</v>
      </c>
      <c r="AE681" s="74"/>
      <c r="AF681" s="77"/>
      <c r="AH681" s="497">
        <v>17.600000000000001</v>
      </c>
      <c r="AJ681" s="42"/>
      <c r="AK681" s="74"/>
      <c r="AL681" s="77"/>
      <c r="AN681" s="497">
        <v>8.9599999999999973</v>
      </c>
      <c r="AP681" s="42"/>
      <c r="AQ681" s="74"/>
      <c r="AR681" s="77"/>
      <c r="AT681" s="497">
        <v>30.92</v>
      </c>
      <c r="AV681" s="42"/>
      <c r="AW681" s="74"/>
      <c r="AX681" s="77"/>
      <c r="BA681" s="497">
        <v>26.42</v>
      </c>
      <c r="BB681" s="42"/>
      <c r="BC681" s="74"/>
      <c r="BD681" s="77"/>
      <c r="BF681">
        <v>21.02</v>
      </c>
      <c r="BH681" s="42"/>
      <c r="BI681" s="74"/>
      <c r="BJ681" s="77"/>
      <c r="BL681" s="497">
        <v>21.740000000000002</v>
      </c>
      <c r="BN681" s="42"/>
      <c r="BO681" s="74"/>
      <c r="BP681" s="77"/>
      <c r="BR681" s="497">
        <v>-3.9999999999999147E-2</v>
      </c>
      <c r="BT681" s="42"/>
    </row>
    <row r="682" spans="1:72" x14ac:dyDescent="0.25">
      <c r="A682" s="90">
        <v>36188</v>
      </c>
      <c r="B682" s="20">
        <v>0.66666666666666663</v>
      </c>
      <c r="D682">
        <v>48.92</v>
      </c>
      <c r="E682" t="str">
        <f t="shared" si="56"/>
        <v>WEEKDAY</v>
      </c>
      <c r="F682" t="e">
        <f t="shared" si="55"/>
        <v>#N/A</v>
      </c>
      <c r="G682" s="74">
        <v>27787</v>
      </c>
      <c r="H682" s="77">
        <v>0.66666666666666663</v>
      </c>
      <c r="J682">
        <v>33.979999999999997</v>
      </c>
      <c r="M682" s="74">
        <v>37649</v>
      </c>
      <c r="N682" s="77">
        <v>0.66666666666666663</v>
      </c>
      <c r="P682">
        <v>19.399999999999999</v>
      </c>
      <c r="S682" s="74">
        <v>36188</v>
      </c>
      <c r="T682" s="77">
        <v>0.66666666666666663</v>
      </c>
      <c r="V682">
        <v>39.92</v>
      </c>
      <c r="X682" s="42"/>
      <c r="AB682">
        <v>37.1</v>
      </c>
      <c r="AC682">
        <v>23</v>
      </c>
      <c r="AE682" s="74"/>
      <c r="AF682" s="77"/>
      <c r="AH682" s="497">
        <v>17.600000000000001</v>
      </c>
      <c r="AJ682" s="42"/>
      <c r="AK682" s="74"/>
      <c r="AL682" s="77"/>
      <c r="AN682" s="497">
        <v>8.9599999999999973</v>
      </c>
      <c r="AP682" s="42"/>
      <c r="AQ682" s="74"/>
      <c r="AR682" s="77"/>
      <c r="AT682" s="497">
        <v>32</v>
      </c>
      <c r="AV682" s="42"/>
      <c r="AW682" s="74"/>
      <c r="AX682" s="77"/>
      <c r="BA682" s="497">
        <v>26.060000000000002</v>
      </c>
      <c r="BB682" s="42"/>
      <c r="BC682" s="74"/>
      <c r="BD682" s="77"/>
      <c r="BF682">
        <v>21.02</v>
      </c>
      <c r="BH682" s="42"/>
      <c r="BI682" s="74"/>
      <c r="BJ682" s="77"/>
      <c r="BL682" s="497">
        <v>21.02</v>
      </c>
      <c r="BN682" s="42"/>
      <c r="BO682" s="74"/>
      <c r="BP682" s="77"/>
      <c r="BR682" s="497">
        <v>1.9400000000000013</v>
      </c>
      <c r="BT682" s="42"/>
    </row>
    <row r="683" spans="1:72" x14ac:dyDescent="0.25">
      <c r="A683" s="90">
        <v>36188</v>
      </c>
      <c r="B683" s="20">
        <v>0.70833333333333337</v>
      </c>
      <c r="D683">
        <v>46.04</v>
      </c>
      <c r="E683" t="str">
        <f t="shared" si="56"/>
        <v>WEEKDAY</v>
      </c>
      <c r="F683" t="e">
        <f t="shared" ref="F683:F746" si="57">IF(E683="WEEKDAY",VLOOKUP(B683,$DD$19:$DG$42,2),IF(E683="SATURDAY",VLOOKUP(B683,$DD$19:$DG$42,3),VLOOKUP(B683,$DD$19:$DG$42,4)))</f>
        <v>#N/A</v>
      </c>
      <c r="G683" s="74">
        <v>27787</v>
      </c>
      <c r="H683" s="77">
        <v>0.70833333333333337</v>
      </c>
      <c r="J683">
        <v>33.08</v>
      </c>
      <c r="M683" s="74">
        <v>37649</v>
      </c>
      <c r="N683" s="77">
        <v>0.70833333333333337</v>
      </c>
      <c r="P683">
        <v>19.399999999999999</v>
      </c>
      <c r="S683" s="74">
        <v>36188</v>
      </c>
      <c r="T683" s="77">
        <v>0.70833333333333337</v>
      </c>
      <c r="V683">
        <v>39.92</v>
      </c>
      <c r="X683" s="42"/>
      <c r="AB683">
        <v>36.6</v>
      </c>
      <c r="AC683">
        <v>21.2</v>
      </c>
      <c r="AE683" s="74"/>
      <c r="AF683" s="77"/>
      <c r="AH683" s="497">
        <v>17.600000000000001</v>
      </c>
      <c r="AJ683" s="42"/>
      <c r="AK683" s="74"/>
      <c r="AL683" s="77"/>
      <c r="AN683" s="497">
        <v>8.0599999999999987</v>
      </c>
      <c r="AP683" s="42"/>
      <c r="AQ683" s="74"/>
      <c r="AR683" s="77"/>
      <c r="AT683" s="497">
        <v>30.02</v>
      </c>
      <c r="AV683" s="42"/>
      <c r="AW683" s="74"/>
      <c r="AX683" s="77"/>
      <c r="BA683" s="497">
        <v>24.439999999999998</v>
      </c>
      <c r="BB683" s="42"/>
      <c r="BC683" s="74"/>
      <c r="BD683" s="77"/>
      <c r="BF683">
        <v>19.939999999999998</v>
      </c>
      <c r="BH683" s="42"/>
      <c r="BI683" s="74"/>
      <c r="BJ683" s="77"/>
      <c r="BL683" s="497">
        <v>19.399999999999999</v>
      </c>
      <c r="BN683" s="42"/>
      <c r="BO683" s="74"/>
      <c r="BP683" s="77"/>
      <c r="BR683" s="497">
        <v>3.9200000000000017</v>
      </c>
      <c r="BT683" s="42"/>
    </row>
    <row r="684" spans="1:72" x14ac:dyDescent="0.25">
      <c r="A684" s="90">
        <v>36188</v>
      </c>
      <c r="B684" s="20">
        <v>0.75</v>
      </c>
      <c r="D684">
        <v>44.96</v>
      </c>
      <c r="E684" t="str">
        <f t="shared" si="56"/>
        <v>WEEKDAY</v>
      </c>
      <c r="F684" t="e">
        <f t="shared" si="57"/>
        <v>#N/A</v>
      </c>
      <c r="G684" s="74">
        <v>27787</v>
      </c>
      <c r="H684" s="77">
        <v>0.75</v>
      </c>
      <c r="J684">
        <v>33.08</v>
      </c>
      <c r="M684" s="74">
        <v>37649</v>
      </c>
      <c r="N684" s="77">
        <v>0.75</v>
      </c>
      <c r="P684">
        <v>19.399999999999999</v>
      </c>
      <c r="S684" s="74">
        <v>36188</v>
      </c>
      <c r="T684" s="77">
        <v>0.75</v>
      </c>
      <c r="V684">
        <v>39.019999999999996</v>
      </c>
      <c r="X684" s="42"/>
      <c r="AB684">
        <v>35.5</v>
      </c>
      <c r="AC684">
        <v>19.399999999999999</v>
      </c>
      <c r="AE684" s="74"/>
      <c r="AF684" s="77"/>
      <c r="AH684" s="497">
        <v>14</v>
      </c>
      <c r="AJ684" s="42"/>
      <c r="AK684" s="74"/>
      <c r="AL684" s="77"/>
      <c r="AN684" s="497">
        <v>6.0799999999999983</v>
      </c>
      <c r="AP684" s="42"/>
      <c r="AQ684" s="74"/>
      <c r="AR684" s="77"/>
      <c r="AT684" s="497">
        <v>26.96</v>
      </c>
      <c r="AV684" s="42"/>
      <c r="AW684" s="74"/>
      <c r="AX684" s="77"/>
      <c r="BA684" s="497">
        <v>22.64</v>
      </c>
      <c r="BB684" s="42"/>
      <c r="BC684" s="74"/>
      <c r="BD684" s="77"/>
      <c r="BF684">
        <v>19.939999999999998</v>
      </c>
      <c r="BH684" s="42"/>
      <c r="BI684" s="74"/>
      <c r="BJ684" s="77"/>
      <c r="BL684" s="497">
        <v>17.600000000000001</v>
      </c>
      <c r="BN684" s="42"/>
      <c r="BO684" s="74"/>
      <c r="BP684" s="77"/>
      <c r="BR684" s="497">
        <v>6.98</v>
      </c>
      <c r="BT684" s="42"/>
    </row>
    <row r="685" spans="1:72" x14ac:dyDescent="0.25">
      <c r="A685" s="90">
        <v>36188</v>
      </c>
      <c r="B685" s="20">
        <v>0.79166666666666663</v>
      </c>
      <c r="D685">
        <v>42.08</v>
      </c>
      <c r="E685" t="str">
        <f t="shared" si="56"/>
        <v>WEEKDAY</v>
      </c>
      <c r="F685" t="e">
        <f t="shared" si="57"/>
        <v>#N/A</v>
      </c>
      <c r="G685" s="74">
        <v>27787</v>
      </c>
      <c r="H685" s="77">
        <v>0.79166666666666663</v>
      </c>
      <c r="J685">
        <v>32</v>
      </c>
      <c r="M685" s="74">
        <v>37649</v>
      </c>
      <c r="N685" s="77">
        <v>0.79166666666666663</v>
      </c>
      <c r="P685">
        <v>19.399999999999999</v>
      </c>
      <c r="S685" s="74">
        <v>36188</v>
      </c>
      <c r="T685" s="77">
        <v>0.79166666666666663</v>
      </c>
      <c r="V685">
        <v>39.92</v>
      </c>
      <c r="X685" s="42"/>
      <c r="AB685">
        <v>34.700000000000003</v>
      </c>
      <c r="AC685">
        <v>21.02</v>
      </c>
      <c r="AE685" s="74"/>
      <c r="AF685" s="77"/>
      <c r="AH685" s="497">
        <v>8.5999999999999979</v>
      </c>
      <c r="AJ685" s="42"/>
      <c r="AK685" s="74"/>
      <c r="AL685" s="77"/>
      <c r="AN685" s="497">
        <v>5</v>
      </c>
      <c r="AP685" s="42"/>
      <c r="AQ685" s="74"/>
      <c r="AR685" s="77"/>
      <c r="AT685" s="497">
        <v>26.060000000000002</v>
      </c>
      <c r="AV685" s="42"/>
      <c r="AW685" s="74"/>
      <c r="AX685" s="77"/>
      <c r="BA685" s="497">
        <v>21.02</v>
      </c>
      <c r="BB685" s="42"/>
      <c r="BC685" s="74"/>
      <c r="BD685" s="77"/>
      <c r="BF685">
        <v>19.939999999999998</v>
      </c>
      <c r="BH685" s="42"/>
      <c r="BI685" s="74"/>
      <c r="BJ685" s="77"/>
      <c r="BL685" s="497">
        <v>15.98</v>
      </c>
      <c r="BN685" s="42"/>
      <c r="BO685" s="74"/>
      <c r="BP685" s="77"/>
      <c r="BR685" s="497">
        <v>6.98</v>
      </c>
      <c r="BT685" s="42"/>
    </row>
    <row r="686" spans="1:72" x14ac:dyDescent="0.25">
      <c r="A686" s="90">
        <v>36188</v>
      </c>
      <c r="B686" s="20">
        <v>0.83333333333333337</v>
      </c>
      <c r="D686">
        <v>42.980000000000004</v>
      </c>
      <c r="E686" t="str">
        <f t="shared" si="56"/>
        <v>WEEKDAY</v>
      </c>
      <c r="F686" t="e">
        <f t="shared" si="57"/>
        <v>#N/A</v>
      </c>
      <c r="G686" s="74">
        <v>27787</v>
      </c>
      <c r="H686" s="77">
        <v>0.83333333333333337</v>
      </c>
      <c r="J686">
        <v>30.92</v>
      </c>
      <c r="M686" s="74">
        <v>37649</v>
      </c>
      <c r="N686" s="77">
        <v>0.83333333333333337</v>
      </c>
      <c r="P686">
        <v>19.399999999999999</v>
      </c>
      <c r="S686" s="74">
        <v>36188</v>
      </c>
      <c r="T686" s="77">
        <v>0.83333333333333337</v>
      </c>
      <c r="V686">
        <v>37.94</v>
      </c>
      <c r="X686" s="42"/>
      <c r="AB686">
        <v>34.4</v>
      </c>
      <c r="AC686">
        <v>19.939999999999998</v>
      </c>
      <c r="AE686" s="74"/>
      <c r="AF686" s="77"/>
      <c r="AH686" s="497">
        <v>5</v>
      </c>
      <c r="AJ686" s="42"/>
      <c r="AK686" s="74"/>
      <c r="AL686" s="77"/>
      <c r="AN686" s="497">
        <v>5</v>
      </c>
      <c r="AP686" s="42"/>
      <c r="AQ686" s="74"/>
      <c r="AR686" s="77"/>
      <c r="AT686" s="497">
        <v>24.98</v>
      </c>
      <c r="AV686" s="42"/>
      <c r="AW686" s="74"/>
      <c r="AX686" s="77"/>
      <c r="BA686" s="497">
        <v>20.299999999999997</v>
      </c>
      <c r="BB686" s="42"/>
      <c r="BC686" s="74"/>
      <c r="BD686" s="77"/>
      <c r="BF686">
        <v>15.98</v>
      </c>
      <c r="BH686" s="42"/>
      <c r="BI686" s="74"/>
      <c r="BJ686" s="77"/>
      <c r="BL686" s="497">
        <v>14.899999999999999</v>
      </c>
      <c r="BN686" s="42"/>
      <c r="BO686" s="74"/>
      <c r="BP686" s="77"/>
      <c r="BR686" s="497">
        <v>8.0599999999999987</v>
      </c>
      <c r="BT686" s="42"/>
    </row>
    <row r="687" spans="1:72" x14ac:dyDescent="0.25">
      <c r="A687" s="90">
        <v>36188</v>
      </c>
      <c r="B687" s="20">
        <v>0.875</v>
      </c>
      <c r="D687">
        <v>42.08</v>
      </c>
      <c r="E687" t="str">
        <f t="shared" si="56"/>
        <v>WEEKDAY</v>
      </c>
      <c r="F687" t="e">
        <f t="shared" si="57"/>
        <v>#N/A</v>
      </c>
      <c r="G687" s="74">
        <v>27787</v>
      </c>
      <c r="H687" s="77">
        <v>0.875</v>
      </c>
      <c r="J687">
        <v>30.92</v>
      </c>
      <c r="M687" s="74">
        <v>37649</v>
      </c>
      <c r="N687" s="77">
        <v>0.875</v>
      </c>
      <c r="P687">
        <v>19.399999999999999</v>
      </c>
      <c r="S687" s="74">
        <v>36188</v>
      </c>
      <c r="T687" s="77">
        <v>0.875</v>
      </c>
      <c r="V687">
        <v>37.94</v>
      </c>
      <c r="X687" s="42"/>
      <c r="AB687">
        <v>33.799999999999997</v>
      </c>
      <c r="AC687">
        <v>19.939999999999998</v>
      </c>
      <c r="AE687" s="74"/>
      <c r="AF687" s="77"/>
      <c r="AH687" s="497">
        <v>3.1999999999999993</v>
      </c>
      <c r="AJ687" s="42"/>
      <c r="AK687" s="74"/>
      <c r="AL687" s="77"/>
      <c r="AN687" s="497">
        <v>3.019999999999996</v>
      </c>
      <c r="AP687" s="42"/>
      <c r="AQ687" s="74"/>
      <c r="AR687" s="77"/>
      <c r="AT687" s="497">
        <v>24.08</v>
      </c>
      <c r="AV687" s="42"/>
      <c r="AW687" s="74"/>
      <c r="AX687" s="77"/>
      <c r="BA687" s="497">
        <v>19.759999999999998</v>
      </c>
      <c r="BB687" s="42"/>
      <c r="BC687" s="74"/>
      <c r="BD687" s="77"/>
      <c r="BF687">
        <v>15.98</v>
      </c>
      <c r="BH687" s="42"/>
      <c r="BI687" s="74"/>
      <c r="BJ687" s="77"/>
      <c r="BL687" s="497">
        <v>14</v>
      </c>
      <c r="BN687" s="42"/>
      <c r="BO687" s="74"/>
      <c r="BP687" s="77"/>
      <c r="BR687" s="497">
        <v>6.98</v>
      </c>
      <c r="BT687" s="42"/>
    </row>
    <row r="688" spans="1:72" x14ac:dyDescent="0.25">
      <c r="A688" s="90">
        <v>36188</v>
      </c>
      <c r="B688" s="20">
        <v>0.91666666666666663</v>
      </c>
      <c r="D688">
        <v>42.08</v>
      </c>
      <c r="E688" t="str">
        <f t="shared" si="56"/>
        <v>WEEKDAY</v>
      </c>
      <c r="F688" t="e">
        <f t="shared" si="57"/>
        <v>#N/A</v>
      </c>
      <c r="G688" s="74">
        <v>27787</v>
      </c>
      <c r="H688" s="77">
        <v>0.91666666666666663</v>
      </c>
      <c r="J688">
        <v>30.92</v>
      </c>
      <c r="M688" s="74">
        <v>37649</v>
      </c>
      <c r="N688" s="77">
        <v>0.91666666666666663</v>
      </c>
      <c r="P688">
        <v>19.399999999999999</v>
      </c>
      <c r="S688" s="74">
        <v>36188</v>
      </c>
      <c r="T688" s="77">
        <v>0.91666666666666663</v>
      </c>
      <c r="V688">
        <v>37.04</v>
      </c>
      <c r="X688" s="42"/>
      <c r="AB688">
        <v>33.1</v>
      </c>
      <c r="AC688">
        <v>17.96</v>
      </c>
      <c r="AE688" s="74"/>
      <c r="AF688" s="77"/>
      <c r="AH688" s="497">
        <v>1.3999999999999986</v>
      </c>
      <c r="AJ688" s="42"/>
      <c r="AK688" s="74"/>
      <c r="AL688" s="77"/>
      <c r="AN688" s="497">
        <v>1.9400000000000013</v>
      </c>
      <c r="AP688" s="42"/>
      <c r="AQ688" s="74"/>
      <c r="AR688" s="77"/>
      <c r="AT688" s="497">
        <v>23</v>
      </c>
      <c r="AV688" s="42"/>
      <c r="AW688" s="74"/>
      <c r="AX688" s="77"/>
      <c r="BA688" s="497">
        <v>19.04</v>
      </c>
      <c r="BB688" s="42"/>
      <c r="BC688" s="74"/>
      <c r="BD688" s="77"/>
      <c r="BF688">
        <v>14</v>
      </c>
      <c r="BH688" s="42"/>
      <c r="BI688" s="74"/>
      <c r="BJ688" s="77"/>
      <c r="BL688" s="497">
        <v>12.920000000000002</v>
      </c>
      <c r="BN688" s="42"/>
      <c r="BO688" s="74"/>
      <c r="BP688" s="77"/>
      <c r="BR688" s="497">
        <v>6.0799999999999983</v>
      </c>
      <c r="BT688" s="42"/>
    </row>
    <row r="689" spans="1:72" x14ac:dyDescent="0.25">
      <c r="A689" s="90">
        <v>36188</v>
      </c>
      <c r="B689" s="20">
        <v>0.95833333333333337</v>
      </c>
      <c r="D689">
        <v>39.92</v>
      </c>
      <c r="E689" t="str">
        <f t="shared" si="56"/>
        <v>WEEKDAY</v>
      </c>
      <c r="F689" t="e">
        <f t="shared" si="57"/>
        <v>#N/A</v>
      </c>
      <c r="G689" s="74">
        <v>27787</v>
      </c>
      <c r="H689" s="77">
        <v>0.95833333333333337</v>
      </c>
      <c r="J689">
        <v>30.92</v>
      </c>
      <c r="M689" s="74">
        <v>37649</v>
      </c>
      <c r="N689" s="77">
        <v>0.95833333333333337</v>
      </c>
      <c r="P689">
        <v>21.2</v>
      </c>
      <c r="S689" s="74">
        <v>36188</v>
      </c>
      <c r="T689" s="77">
        <v>0.95833333333333337</v>
      </c>
      <c r="V689">
        <v>37.04</v>
      </c>
      <c r="X689" s="42"/>
      <c r="AB689">
        <v>32.6</v>
      </c>
      <c r="AC689">
        <v>17.600000000000001</v>
      </c>
      <c r="AE689" s="74"/>
      <c r="AF689" s="77"/>
      <c r="AH689" s="497">
        <v>-0.39999999999999858</v>
      </c>
      <c r="AJ689" s="42"/>
      <c r="AK689" s="74"/>
      <c r="AL689" s="77"/>
      <c r="AN689" s="497">
        <v>1.0399999999999991</v>
      </c>
      <c r="AP689" s="42"/>
      <c r="AQ689" s="74"/>
      <c r="AR689" s="77"/>
      <c r="AT689" s="497">
        <v>21.92</v>
      </c>
      <c r="AV689" s="42"/>
      <c r="AW689" s="74"/>
      <c r="AX689" s="77"/>
      <c r="BA689" s="497">
        <v>19.399999999999999</v>
      </c>
      <c r="BB689" s="42"/>
      <c r="BC689" s="74"/>
      <c r="BD689" s="77"/>
      <c r="BF689">
        <v>15.079999999999998</v>
      </c>
      <c r="BH689" s="42"/>
      <c r="BI689" s="74"/>
      <c r="BJ689" s="77"/>
      <c r="BL689" s="497">
        <v>13.279999999999998</v>
      </c>
      <c r="BN689" s="42"/>
      <c r="BO689" s="74"/>
      <c r="BP689" s="77"/>
      <c r="BR689" s="497">
        <v>6.0799999999999983</v>
      </c>
      <c r="BT689" s="42"/>
    </row>
    <row r="690" spans="1:72" x14ac:dyDescent="0.25">
      <c r="A690" s="90">
        <v>36188</v>
      </c>
      <c r="B690" s="20">
        <v>1</v>
      </c>
      <c r="D690">
        <v>39.019999999999996</v>
      </c>
      <c r="E690" t="str">
        <f t="shared" si="56"/>
        <v>WEEKDAY</v>
      </c>
      <c r="F690" t="e">
        <f t="shared" si="57"/>
        <v>#N/A</v>
      </c>
      <c r="G690" s="74">
        <v>27787</v>
      </c>
      <c r="H690" s="77">
        <v>1</v>
      </c>
      <c r="J690">
        <v>30.92</v>
      </c>
      <c r="M690" s="74">
        <v>37649</v>
      </c>
      <c r="N690" s="80">
        <v>1</v>
      </c>
      <c r="P690">
        <v>21.2</v>
      </c>
      <c r="S690" s="74">
        <v>36188</v>
      </c>
      <c r="T690" s="80">
        <v>1</v>
      </c>
      <c r="V690">
        <v>35.96</v>
      </c>
      <c r="X690" s="42"/>
      <c r="AB690">
        <v>32.1</v>
      </c>
      <c r="AC690">
        <v>17.240000000000002</v>
      </c>
      <c r="AE690" s="74"/>
      <c r="AF690" s="80"/>
      <c r="AH690" s="497">
        <v>-0.39999999999999858</v>
      </c>
      <c r="AJ690" s="42"/>
      <c r="AK690" s="74"/>
      <c r="AL690" s="80"/>
      <c r="AN690" s="497">
        <v>1.0399999999999991</v>
      </c>
      <c r="AP690" s="42"/>
      <c r="AQ690" s="74"/>
      <c r="AR690" s="80"/>
      <c r="AT690" s="497">
        <v>19.04</v>
      </c>
      <c r="AV690" s="42"/>
      <c r="AW690" s="74"/>
      <c r="AX690" s="80"/>
      <c r="BA690" s="497">
        <v>19.579999999999998</v>
      </c>
      <c r="BB690" s="42"/>
      <c r="BC690" s="74"/>
      <c r="BD690" s="80"/>
      <c r="BF690">
        <v>17.059999999999999</v>
      </c>
      <c r="BH690" s="42"/>
      <c r="BI690" s="74"/>
      <c r="BJ690" s="80"/>
      <c r="BL690" s="497">
        <v>13.64</v>
      </c>
      <c r="BN690" s="42"/>
      <c r="BO690" s="74"/>
      <c r="BP690" s="80"/>
      <c r="BR690" s="497">
        <v>3.019999999999996</v>
      </c>
      <c r="BT690" s="42"/>
    </row>
    <row r="691" spans="1:72" x14ac:dyDescent="0.25">
      <c r="A691" s="90">
        <v>36189</v>
      </c>
      <c r="B691" s="20">
        <v>4.1666666666666664E-2</v>
      </c>
      <c r="D691">
        <v>37.94</v>
      </c>
      <c r="E691" t="str">
        <f t="shared" si="56"/>
        <v>WEEKDAY</v>
      </c>
      <c r="F691" t="e">
        <f t="shared" si="57"/>
        <v>#N/A</v>
      </c>
      <c r="G691" s="74">
        <v>27788</v>
      </c>
      <c r="H691" s="77">
        <v>4.1666666666666664E-2</v>
      </c>
      <c r="J691">
        <v>30.92</v>
      </c>
      <c r="M691" s="74">
        <v>37650</v>
      </c>
      <c r="N691" s="77">
        <v>4.1666666666666664E-2</v>
      </c>
      <c r="P691">
        <v>21.2</v>
      </c>
      <c r="S691" s="74">
        <v>36189</v>
      </c>
      <c r="T691" s="77">
        <v>4.1666666666666664E-2</v>
      </c>
      <c r="V691">
        <v>35.96</v>
      </c>
      <c r="X691" s="42"/>
      <c r="AB691">
        <v>31.5</v>
      </c>
      <c r="AC691">
        <v>19.04</v>
      </c>
      <c r="AE691" s="74"/>
      <c r="AF691" s="77"/>
      <c r="AH691" s="497">
        <v>-2.2000000000000028</v>
      </c>
      <c r="AJ691" s="42"/>
      <c r="AK691" s="74"/>
      <c r="AL691" s="77"/>
      <c r="AN691" s="497">
        <v>1.0399999999999991</v>
      </c>
      <c r="AP691" s="42"/>
      <c r="AQ691" s="74"/>
      <c r="AR691" s="77"/>
      <c r="AT691" s="497">
        <v>15.98</v>
      </c>
      <c r="AV691" s="42"/>
      <c r="AW691" s="74"/>
      <c r="AX691" s="77"/>
      <c r="BA691" s="497">
        <v>19.939999999999998</v>
      </c>
      <c r="BB691" s="42"/>
      <c r="BC691" s="74"/>
      <c r="BD691" s="77"/>
      <c r="BF691">
        <v>15.98</v>
      </c>
      <c r="BH691" s="42"/>
      <c r="BI691" s="74"/>
      <c r="BJ691" s="77"/>
      <c r="BL691" s="497">
        <v>14</v>
      </c>
      <c r="BN691" s="42"/>
      <c r="BO691" s="74"/>
      <c r="BP691" s="77"/>
      <c r="BR691" s="497">
        <v>1.9400000000000013</v>
      </c>
      <c r="BT691" s="42"/>
    </row>
    <row r="692" spans="1:72" x14ac:dyDescent="0.25">
      <c r="A692" s="90">
        <v>36189</v>
      </c>
      <c r="B692" s="20">
        <v>8.3333333333333329E-2</v>
      </c>
      <c r="D692">
        <v>37.04</v>
      </c>
      <c r="E692" t="str">
        <f t="shared" si="56"/>
        <v>WEEKDAY</v>
      </c>
      <c r="F692" t="e">
        <f t="shared" si="57"/>
        <v>#N/A</v>
      </c>
      <c r="G692" s="74">
        <v>27788</v>
      </c>
      <c r="H692" s="77">
        <v>8.3333333333333329E-2</v>
      </c>
      <c r="J692">
        <v>30.92</v>
      </c>
      <c r="M692" s="74">
        <v>37650</v>
      </c>
      <c r="N692" s="77">
        <v>8.3333333333333329E-2</v>
      </c>
      <c r="P692">
        <v>21.2</v>
      </c>
      <c r="S692" s="74">
        <v>36189</v>
      </c>
      <c r="T692" s="77">
        <v>8.3333333333333329E-2</v>
      </c>
      <c r="V692">
        <v>35.96</v>
      </c>
      <c r="X692" s="42"/>
      <c r="AB692">
        <v>31.1</v>
      </c>
      <c r="AC692">
        <v>17.96</v>
      </c>
      <c r="AE692" s="74"/>
      <c r="AF692" s="77"/>
      <c r="AH692" s="497">
        <v>-4</v>
      </c>
      <c r="AJ692" s="42"/>
      <c r="AK692" s="74"/>
      <c r="AL692" s="77"/>
      <c r="AN692" s="497">
        <v>-3.9999999999999147E-2</v>
      </c>
      <c r="AP692" s="42"/>
      <c r="AQ692" s="74"/>
      <c r="AR692" s="77"/>
      <c r="AT692" s="497">
        <v>12.920000000000002</v>
      </c>
      <c r="AV692" s="42"/>
      <c r="AW692" s="74"/>
      <c r="AX692" s="77"/>
      <c r="BA692" s="497">
        <v>19.22</v>
      </c>
      <c r="BB692" s="42"/>
      <c r="BC692" s="74"/>
      <c r="BD692" s="77"/>
      <c r="BF692">
        <v>17.059999999999999</v>
      </c>
      <c r="BH692" s="42"/>
      <c r="BI692" s="74"/>
      <c r="BJ692" s="77"/>
      <c r="BL692" s="497">
        <v>14</v>
      </c>
      <c r="BN692" s="42"/>
      <c r="BO692" s="74"/>
      <c r="BP692" s="77"/>
      <c r="BR692" s="497">
        <v>-2.019999999999996</v>
      </c>
      <c r="BT692" s="42"/>
    </row>
    <row r="693" spans="1:72" x14ac:dyDescent="0.25">
      <c r="A693" s="90">
        <v>36189</v>
      </c>
      <c r="B693" s="20">
        <v>0.125</v>
      </c>
      <c r="D693">
        <v>37.04</v>
      </c>
      <c r="E693" t="str">
        <f t="shared" si="56"/>
        <v>WEEKDAY</v>
      </c>
      <c r="F693" t="e">
        <f t="shared" si="57"/>
        <v>#N/A</v>
      </c>
      <c r="G693" s="74">
        <v>27788</v>
      </c>
      <c r="H693" s="77">
        <v>0.125</v>
      </c>
      <c r="J693">
        <v>30.92</v>
      </c>
      <c r="M693" s="74">
        <v>37650</v>
      </c>
      <c r="N693" s="77">
        <v>0.125</v>
      </c>
      <c r="P693">
        <v>21.2</v>
      </c>
      <c r="S693" s="74">
        <v>36189</v>
      </c>
      <c r="T693" s="77">
        <v>0.125</v>
      </c>
      <c r="V693">
        <v>35.96</v>
      </c>
      <c r="X693" s="42"/>
      <c r="AB693">
        <v>30.6</v>
      </c>
      <c r="AC693">
        <v>17.96</v>
      </c>
      <c r="AE693" s="74"/>
      <c r="AF693" s="77"/>
      <c r="AH693" s="497">
        <v>-5.8000000000000043</v>
      </c>
      <c r="AJ693" s="42"/>
      <c r="AK693" s="74"/>
      <c r="AL693" s="77"/>
      <c r="AN693" s="497">
        <v>-3.9999999999999147E-2</v>
      </c>
      <c r="AP693" s="42"/>
      <c r="AQ693" s="74"/>
      <c r="AR693" s="77"/>
      <c r="AT693" s="497">
        <v>12.02</v>
      </c>
      <c r="AV693" s="42"/>
      <c r="AW693" s="74"/>
      <c r="AX693" s="77"/>
      <c r="BA693" s="497">
        <v>18.68</v>
      </c>
      <c r="BB693" s="42"/>
      <c r="BC693" s="74"/>
      <c r="BD693" s="77"/>
      <c r="BF693">
        <v>17.059999999999999</v>
      </c>
      <c r="BH693" s="42"/>
      <c r="BI693" s="74"/>
      <c r="BJ693" s="77"/>
      <c r="BL693" s="497">
        <v>14</v>
      </c>
      <c r="BN693" s="42"/>
      <c r="BO693" s="74"/>
      <c r="BP693" s="77"/>
      <c r="BR693" s="497">
        <v>-11.019999999999996</v>
      </c>
      <c r="BT693" s="42"/>
    </row>
    <row r="694" spans="1:72" x14ac:dyDescent="0.25">
      <c r="A694" s="90">
        <v>36189</v>
      </c>
      <c r="B694" s="20">
        <v>0.16666666666666666</v>
      </c>
      <c r="D694">
        <v>39.019999999999996</v>
      </c>
      <c r="E694" t="str">
        <f t="shared" si="56"/>
        <v>WEEKDAY</v>
      </c>
      <c r="F694" t="e">
        <f t="shared" si="57"/>
        <v>#N/A</v>
      </c>
      <c r="G694" s="74">
        <v>27788</v>
      </c>
      <c r="H694" s="77">
        <v>0.16666666666666666</v>
      </c>
      <c r="J694">
        <v>30.92</v>
      </c>
      <c r="M694" s="74">
        <v>37650</v>
      </c>
      <c r="N694" s="77">
        <v>0.16666666666666666</v>
      </c>
      <c r="P694">
        <v>23</v>
      </c>
      <c r="S694" s="74">
        <v>36189</v>
      </c>
      <c r="T694" s="77">
        <v>0.16666666666666666</v>
      </c>
      <c r="V694">
        <v>35.96</v>
      </c>
      <c r="X694" s="42"/>
      <c r="AB694">
        <v>30.2</v>
      </c>
      <c r="AC694">
        <v>18.14</v>
      </c>
      <c r="AE694" s="74"/>
      <c r="AF694" s="77"/>
      <c r="AH694" s="497">
        <v>-5.8000000000000043</v>
      </c>
      <c r="AJ694" s="42"/>
      <c r="AK694" s="74"/>
      <c r="AL694" s="77"/>
      <c r="AN694" s="497">
        <v>-3.9999999999999147E-2</v>
      </c>
      <c r="AP694" s="42"/>
      <c r="AQ694" s="74"/>
      <c r="AR694" s="77"/>
      <c r="AT694" s="497">
        <v>12.02</v>
      </c>
      <c r="AV694" s="42"/>
      <c r="AW694" s="74"/>
      <c r="AX694" s="77"/>
      <c r="BA694" s="497">
        <v>17.96</v>
      </c>
      <c r="BB694" s="42"/>
      <c r="BC694" s="74"/>
      <c r="BD694" s="77"/>
      <c r="BF694">
        <v>15.079999999999998</v>
      </c>
      <c r="BH694" s="42"/>
      <c r="BI694" s="74"/>
      <c r="BJ694" s="77"/>
      <c r="BL694" s="497">
        <v>14</v>
      </c>
      <c r="BN694" s="42"/>
      <c r="BO694" s="74"/>
      <c r="BP694" s="77"/>
      <c r="BR694" s="497">
        <v>-11.920000000000002</v>
      </c>
      <c r="BT694" s="42"/>
    </row>
    <row r="695" spans="1:72" x14ac:dyDescent="0.25">
      <c r="A695" s="90">
        <v>36189</v>
      </c>
      <c r="B695" s="20">
        <v>0.20833333333333334</v>
      </c>
      <c r="D695">
        <v>37.94</v>
      </c>
      <c r="E695" t="str">
        <f t="shared" si="56"/>
        <v>WEEKDAY</v>
      </c>
      <c r="F695" t="e">
        <f t="shared" si="57"/>
        <v>#N/A</v>
      </c>
      <c r="G695" s="74">
        <v>27788</v>
      </c>
      <c r="H695" s="77">
        <v>0.20833333333333334</v>
      </c>
      <c r="J695">
        <v>30.92</v>
      </c>
      <c r="M695" s="74">
        <v>37650</v>
      </c>
      <c r="N695" s="77">
        <v>0.20833333333333334</v>
      </c>
      <c r="P695">
        <v>23</v>
      </c>
      <c r="S695" s="74">
        <v>36189</v>
      </c>
      <c r="T695" s="77">
        <v>0.20833333333333334</v>
      </c>
      <c r="V695">
        <v>35.96</v>
      </c>
      <c r="X695" s="42"/>
      <c r="AB695">
        <v>29.9</v>
      </c>
      <c r="AC695">
        <v>17.96</v>
      </c>
      <c r="AE695" s="74"/>
      <c r="AF695" s="77"/>
      <c r="AH695" s="497">
        <v>-7.6000000000000014</v>
      </c>
      <c r="AJ695" s="42"/>
      <c r="AK695" s="74"/>
      <c r="AL695" s="77"/>
      <c r="AN695" s="497">
        <v>-3.9999999999999147E-2</v>
      </c>
      <c r="AP695" s="42"/>
      <c r="AQ695" s="74"/>
      <c r="AR695" s="77"/>
      <c r="AT695" s="497">
        <v>14</v>
      </c>
      <c r="AV695" s="42"/>
      <c r="AW695" s="74"/>
      <c r="AX695" s="77"/>
      <c r="BA695" s="497">
        <v>18.32</v>
      </c>
      <c r="BB695" s="42"/>
      <c r="BC695" s="74"/>
      <c r="BD695" s="77"/>
      <c r="BF695">
        <v>15.98</v>
      </c>
      <c r="BH695" s="42"/>
      <c r="BI695" s="74"/>
      <c r="BJ695" s="77"/>
      <c r="BL695" s="497">
        <v>13.64</v>
      </c>
      <c r="BN695" s="42"/>
      <c r="BO695" s="74"/>
      <c r="BP695" s="77"/>
      <c r="BR695" s="497">
        <v>-9.9400000000000048</v>
      </c>
      <c r="BT695" s="42"/>
    </row>
    <row r="696" spans="1:72" x14ac:dyDescent="0.25">
      <c r="A696" s="90">
        <v>36189</v>
      </c>
      <c r="B696" s="20">
        <v>0.25</v>
      </c>
      <c r="D696">
        <v>35.06</v>
      </c>
      <c r="E696" t="str">
        <f t="shared" si="56"/>
        <v>WEEKDAY</v>
      </c>
      <c r="F696" t="e">
        <f t="shared" si="57"/>
        <v>#N/A</v>
      </c>
      <c r="G696" s="74">
        <v>27788</v>
      </c>
      <c r="H696" s="77">
        <v>0.25</v>
      </c>
      <c r="J696">
        <v>32</v>
      </c>
      <c r="M696" s="74">
        <v>37650</v>
      </c>
      <c r="N696" s="77">
        <v>0.25</v>
      </c>
      <c r="P696">
        <v>23</v>
      </c>
      <c r="S696" s="74">
        <v>36189</v>
      </c>
      <c r="T696" s="77">
        <v>0.25</v>
      </c>
      <c r="V696">
        <v>35.96</v>
      </c>
      <c r="X696" s="42"/>
      <c r="AB696">
        <v>29.6</v>
      </c>
      <c r="AC696">
        <v>17.96</v>
      </c>
      <c r="AE696" s="74"/>
      <c r="AF696" s="77"/>
      <c r="AH696" s="497">
        <v>-7.6000000000000014</v>
      </c>
      <c r="AJ696" s="42"/>
      <c r="AK696" s="74"/>
      <c r="AL696" s="77"/>
      <c r="AN696" s="497">
        <v>-3.9999999999999147E-2</v>
      </c>
      <c r="AP696" s="42"/>
      <c r="AQ696" s="74"/>
      <c r="AR696" s="77"/>
      <c r="AT696" s="497">
        <v>10.940000000000001</v>
      </c>
      <c r="AV696" s="42"/>
      <c r="AW696" s="74"/>
      <c r="AX696" s="77"/>
      <c r="BA696" s="497">
        <v>18.68</v>
      </c>
      <c r="BB696" s="42"/>
      <c r="BC696" s="74"/>
      <c r="BD696" s="77"/>
      <c r="BF696">
        <v>14</v>
      </c>
      <c r="BH696" s="42"/>
      <c r="BI696" s="74"/>
      <c r="BJ696" s="77"/>
      <c r="BL696" s="497">
        <v>13.279999999999998</v>
      </c>
      <c r="BN696" s="42"/>
      <c r="BO696" s="74"/>
      <c r="BP696" s="77"/>
      <c r="BR696" s="497">
        <v>-9.9400000000000048</v>
      </c>
      <c r="BT696" s="42"/>
    </row>
    <row r="697" spans="1:72" x14ac:dyDescent="0.25">
      <c r="A697" s="90">
        <v>36189</v>
      </c>
      <c r="B697" s="20">
        <v>0.29166666666666669</v>
      </c>
      <c r="D697">
        <v>35.96</v>
      </c>
      <c r="E697" t="str">
        <f t="shared" si="56"/>
        <v>WEEKDAY</v>
      </c>
      <c r="F697" t="e">
        <f t="shared" si="57"/>
        <v>#N/A</v>
      </c>
      <c r="G697" s="74">
        <v>27788</v>
      </c>
      <c r="H697" s="77">
        <v>0.29166666666666669</v>
      </c>
      <c r="J697">
        <v>33.08</v>
      </c>
      <c r="M697" s="74">
        <v>37650</v>
      </c>
      <c r="N697" s="77">
        <v>0.29166666666666669</v>
      </c>
      <c r="P697">
        <v>21.2</v>
      </c>
      <c r="S697" s="74">
        <v>36189</v>
      </c>
      <c r="T697" s="77">
        <v>0.29166666666666669</v>
      </c>
      <c r="V697">
        <v>33.979999999999997</v>
      </c>
      <c r="X697" s="42"/>
      <c r="AB697">
        <v>29.5</v>
      </c>
      <c r="AC697">
        <v>16.340000000000003</v>
      </c>
      <c r="AE697" s="74"/>
      <c r="AF697" s="77"/>
      <c r="AH697" s="497">
        <v>-7.6000000000000014</v>
      </c>
      <c r="AJ697" s="42"/>
      <c r="AK697" s="74"/>
      <c r="AL697" s="77"/>
      <c r="AN697" s="497">
        <v>-3.9999999999999147E-2</v>
      </c>
      <c r="AP697" s="42"/>
      <c r="AQ697" s="74"/>
      <c r="AR697" s="77"/>
      <c r="AT697" s="497">
        <v>10.940000000000001</v>
      </c>
      <c r="AV697" s="42"/>
      <c r="AW697" s="74"/>
      <c r="AX697" s="77"/>
      <c r="BA697" s="497">
        <v>19.04</v>
      </c>
      <c r="BB697" s="42"/>
      <c r="BC697" s="74"/>
      <c r="BD697" s="77"/>
      <c r="BF697">
        <v>14</v>
      </c>
      <c r="BH697" s="42"/>
      <c r="BI697" s="74"/>
      <c r="BJ697" s="77"/>
      <c r="BL697" s="497">
        <v>12.920000000000002</v>
      </c>
      <c r="BN697" s="42"/>
      <c r="BO697" s="74"/>
      <c r="BP697" s="77"/>
      <c r="BR697" s="497">
        <v>-9.9400000000000048</v>
      </c>
      <c r="BT697" s="42"/>
    </row>
    <row r="698" spans="1:72" x14ac:dyDescent="0.25">
      <c r="A698" s="90">
        <v>36189</v>
      </c>
      <c r="B698" s="20">
        <v>0.33333333333333331</v>
      </c>
      <c r="D698">
        <v>37.94</v>
      </c>
      <c r="E698" t="str">
        <f t="shared" si="56"/>
        <v>WEEKDAY</v>
      </c>
      <c r="F698" t="e">
        <f t="shared" si="57"/>
        <v>#N/A</v>
      </c>
      <c r="G698" s="74">
        <v>27788</v>
      </c>
      <c r="H698" s="77">
        <v>0.33333333333333331</v>
      </c>
      <c r="J698">
        <v>33.979999999999997</v>
      </c>
      <c r="M698" s="74">
        <v>37650</v>
      </c>
      <c r="N698" s="77">
        <v>0.33333333333333331</v>
      </c>
      <c r="P698">
        <v>23</v>
      </c>
      <c r="S698" s="74">
        <v>36189</v>
      </c>
      <c r="T698" s="77">
        <v>0.33333333333333331</v>
      </c>
      <c r="V698">
        <v>33.979999999999997</v>
      </c>
      <c r="X698" s="42"/>
      <c r="AB698">
        <v>29.4</v>
      </c>
      <c r="AC698">
        <v>15.8</v>
      </c>
      <c r="AE698" s="74"/>
      <c r="AF698" s="77"/>
      <c r="AH698" s="497">
        <v>-7.6000000000000014</v>
      </c>
      <c r="AJ698" s="42"/>
      <c r="AK698" s="74"/>
      <c r="AL698" s="77"/>
      <c r="AN698" s="497">
        <v>1.9400000000000013</v>
      </c>
      <c r="AP698" s="42"/>
      <c r="AQ698" s="74"/>
      <c r="AR698" s="77"/>
      <c r="AT698" s="497">
        <v>12.920000000000002</v>
      </c>
      <c r="AV698" s="42"/>
      <c r="AW698" s="74"/>
      <c r="AX698" s="77"/>
      <c r="BA698" s="497">
        <v>19.399999999999999</v>
      </c>
      <c r="BB698" s="42"/>
      <c r="BC698" s="74"/>
      <c r="BD698" s="77"/>
      <c r="BF698">
        <v>17.059999999999999</v>
      </c>
      <c r="BH698" s="42"/>
      <c r="BI698" s="74"/>
      <c r="BJ698" s="77"/>
      <c r="BL698" s="497">
        <v>14.54</v>
      </c>
      <c r="BN698" s="42"/>
      <c r="BO698" s="74"/>
      <c r="BP698" s="77"/>
      <c r="BR698" s="497">
        <v>-9.9400000000000048</v>
      </c>
      <c r="BT698" s="42"/>
    </row>
    <row r="699" spans="1:72" x14ac:dyDescent="0.25">
      <c r="A699" s="90">
        <v>36189</v>
      </c>
      <c r="B699" s="20">
        <v>0.375</v>
      </c>
      <c r="D699">
        <v>41</v>
      </c>
      <c r="E699" t="str">
        <f t="shared" si="56"/>
        <v>WEEKDAY</v>
      </c>
      <c r="F699" t="e">
        <f t="shared" si="57"/>
        <v>#N/A</v>
      </c>
      <c r="G699" s="74">
        <v>27788</v>
      </c>
      <c r="H699" s="77">
        <v>0.375</v>
      </c>
      <c r="J699">
        <v>35.06</v>
      </c>
      <c r="M699" s="74">
        <v>37650</v>
      </c>
      <c r="N699" s="77">
        <v>0.375</v>
      </c>
      <c r="P699">
        <v>24.8</v>
      </c>
      <c r="S699" s="74">
        <v>36189</v>
      </c>
      <c r="T699" s="77">
        <v>0.375</v>
      </c>
      <c r="V699">
        <v>33.799999999999997</v>
      </c>
      <c r="X699" s="42"/>
      <c r="AB699">
        <v>30.1</v>
      </c>
      <c r="AC699">
        <v>15.079999999999998</v>
      </c>
      <c r="AE699" s="74"/>
      <c r="AF699" s="77"/>
      <c r="AH699" s="497">
        <v>-0.39999999999999858</v>
      </c>
      <c r="AJ699" s="42"/>
      <c r="AK699" s="74"/>
      <c r="AL699" s="77"/>
      <c r="AN699" s="497">
        <v>1.9400000000000013</v>
      </c>
      <c r="AP699" s="42"/>
      <c r="AQ699" s="74"/>
      <c r="AR699" s="77"/>
      <c r="AT699" s="497">
        <v>17.059999999999999</v>
      </c>
      <c r="AV699" s="42"/>
      <c r="AW699" s="74"/>
      <c r="AX699" s="77"/>
      <c r="BA699" s="497">
        <v>19.579999999999998</v>
      </c>
      <c r="BB699" s="42"/>
      <c r="BC699" s="74"/>
      <c r="BD699" s="77"/>
      <c r="BF699">
        <v>19.04</v>
      </c>
      <c r="BH699" s="42"/>
      <c r="BI699" s="74"/>
      <c r="BJ699" s="77"/>
      <c r="BL699" s="497">
        <v>16.340000000000003</v>
      </c>
      <c r="BN699" s="42"/>
      <c r="BO699" s="74"/>
      <c r="BP699" s="77"/>
      <c r="BR699" s="497">
        <v>-5.980000000000004</v>
      </c>
      <c r="BT699" s="42"/>
    </row>
    <row r="700" spans="1:72" x14ac:dyDescent="0.25">
      <c r="A700" s="90">
        <v>36189</v>
      </c>
      <c r="B700" s="20">
        <v>0.41666666666666669</v>
      </c>
      <c r="D700">
        <v>42.980000000000004</v>
      </c>
      <c r="E700" t="str">
        <f t="shared" si="56"/>
        <v>WEEKDAY</v>
      </c>
      <c r="F700" t="e">
        <f t="shared" si="57"/>
        <v>#N/A</v>
      </c>
      <c r="G700" s="74">
        <v>27788</v>
      </c>
      <c r="H700" s="77">
        <v>0.41666666666666669</v>
      </c>
      <c r="J700">
        <v>35.96</v>
      </c>
      <c r="M700" s="74">
        <v>37650</v>
      </c>
      <c r="N700" s="77">
        <v>0.41666666666666669</v>
      </c>
      <c r="P700">
        <v>24.8</v>
      </c>
      <c r="S700" s="74">
        <v>36189</v>
      </c>
      <c r="T700" s="77">
        <v>0.41666666666666669</v>
      </c>
      <c r="V700">
        <v>33.979999999999997</v>
      </c>
      <c r="X700" s="42"/>
      <c r="AB700">
        <v>31.7</v>
      </c>
      <c r="AC700">
        <v>24.8</v>
      </c>
      <c r="AE700" s="74"/>
      <c r="AF700" s="77"/>
      <c r="AH700" s="497">
        <v>6.8000000000000007</v>
      </c>
      <c r="AJ700" s="42"/>
      <c r="AK700" s="74"/>
      <c r="AL700" s="77"/>
      <c r="AN700" s="497">
        <v>5</v>
      </c>
      <c r="AP700" s="42"/>
      <c r="AQ700" s="74"/>
      <c r="AR700" s="77"/>
      <c r="AT700" s="497">
        <v>19.04</v>
      </c>
      <c r="AV700" s="42"/>
      <c r="AW700" s="74"/>
      <c r="AX700" s="77"/>
      <c r="BA700" s="497">
        <v>19.939999999999998</v>
      </c>
      <c r="BB700" s="42"/>
      <c r="BC700" s="74"/>
      <c r="BD700" s="77"/>
      <c r="BF700">
        <v>19.939999999999998</v>
      </c>
      <c r="BH700" s="42"/>
      <c r="BI700" s="74"/>
      <c r="BJ700" s="77"/>
      <c r="BL700" s="497">
        <v>17.96</v>
      </c>
      <c r="BN700" s="42"/>
      <c r="BO700" s="74"/>
      <c r="BP700" s="77"/>
      <c r="BR700" s="497">
        <v>6.0799999999999983</v>
      </c>
      <c r="BT700" s="42"/>
    </row>
    <row r="701" spans="1:72" x14ac:dyDescent="0.25">
      <c r="A701" s="90">
        <v>36189</v>
      </c>
      <c r="B701" s="20">
        <v>0.45833333333333331</v>
      </c>
      <c r="D701">
        <v>44.96</v>
      </c>
      <c r="E701" t="str">
        <f t="shared" si="56"/>
        <v>WEEKDAY</v>
      </c>
      <c r="F701" t="e">
        <f t="shared" si="57"/>
        <v>#N/A</v>
      </c>
      <c r="G701" s="74">
        <v>27788</v>
      </c>
      <c r="H701" s="77">
        <v>0.45833333333333331</v>
      </c>
      <c r="J701">
        <v>37.94</v>
      </c>
      <c r="M701" s="74">
        <v>37650</v>
      </c>
      <c r="N701" s="77">
        <v>0.45833333333333331</v>
      </c>
      <c r="P701">
        <v>24.8</v>
      </c>
      <c r="S701" s="74">
        <v>36189</v>
      </c>
      <c r="T701" s="77">
        <v>0.45833333333333331</v>
      </c>
      <c r="V701">
        <v>33.08</v>
      </c>
      <c r="X701" s="42"/>
      <c r="AB701">
        <v>33.299999999999997</v>
      </c>
      <c r="AC701">
        <v>26.78</v>
      </c>
      <c r="AE701" s="74"/>
      <c r="AF701" s="77"/>
      <c r="AH701" s="497">
        <v>12.2</v>
      </c>
      <c r="AJ701" s="42"/>
      <c r="AK701" s="74"/>
      <c r="AL701" s="77"/>
      <c r="AN701" s="497">
        <v>6.98</v>
      </c>
      <c r="AP701" s="42"/>
      <c r="AQ701" s="74"/>
      <c r="AR701" s="77"/>
      <c r="AT701" s="497">
        <v>26.96</v>
      </c>
      <c r="AV701" s="42"/>
      <c r="AW701" s="74"/>
      <c r="AX701" s="77"/>
      <c r="BA701" s="497">
        <v>21.38</v>
      </c>
      <c r="BB701" s="42"/>
      <c r="BC701" s="74"/>
      <c r="BD701" s="77"/>
      <c r="BF701">
        <v>21.92</v>
      </c>
      <c r="BH701" s="42"/>
      <c r="BI701" s="74"/>
      <c r="BJ701" s="77"/>
      <c r="BL701" s="497">
        <v>19.579999999999998</v>
      </c>
      <c r="BN701" s="42"/>
      <c r="BO701" s="74"/>
      <c r="BP701" s="77"/>
      <c r="BR701" s="497">
        <v>15.079999999999998</v>
      </c>
      <c r="BT701" s="42"/>
    </row>
    <row r="702" spans="1:72" x14ac:dyDescent="0.25">
      <c r="A702" s="90">
        <v>36189</v>
      </c>
      <c r="B702" s="20">
        <v>0.5</v>
      </c>
      <c r="D702">
        <v>46.04</v>
      </c>
      <c r="E702" t="str">
        <f t="shared" si="56"/>
        <v>WEEKDAY</v>
      </c>
      <c r="F702" t="e">
        <f t="shared" si="57"/>
        <v>#N/A</v>
      </c>
      <c r="G702" s="74">
        <v>27788</v>
      </c>
      <c r="H702" s="77">
        <v>0.5</v>
      </c>
      <c r="J702">
        <v>39.92</v>
      </c>
      <c r="M702" s="74">
        <v>37650</v>
      </c>
      <c r="N702" s="77">
        <v>0.5</v>
      </c>
      <c r="P702">
        <v>26.6</v>
      </c>
      <c r="S702" s="74">
        <v>36189</v>
      </c>
      <c r="T702" s="77">
        <v>0.5</v>
      </c>
      <c r="V702">
        <v>35.96</v>
      </c>
      <c r="X702" s="42"/>
      <c r="AB702">
        <v>34.6</v>
      </c>
      <c r="AC702">
        <v>28.4</v>
      </c>
      <c r="AE702" s="74"/>
      <c r="AF702" s="77"/>
      <c r="AH702" s="497">
        <v>19.399999999999999</v>
      </c>
      <c r="AJ702" s="42"/>
      <c r="AK702" s="74"/>
      <c r="AL702" s="77"/>
      <c r="AN702" s="497">
        <v>10.039999999999999</v>
      </c>
      <c r="AP702" s="42"/>
      <c r="AQ702" s="74"/>
      <c r="AR702" s="77"/>
      <c r="AT702" s="497">
        <v>28.04</v>
      </c>
      <c r="AV702" s="42"/>
      <c r="AW702" s="74"/>
      <c r="AX702" s="77"/>
      <c r="BA702" s="497">
        <v>22.64</v>
      </c>
      <c r="BB702" s="42"/>
      <c r="BC702" s="74"/>
      <c r="BD702" s="77"/>
      <c r="BF702">
        <v>24.08</v>
      </c>
      <c r="BH702" s="42"/>
      <c r="BI702" s="74"/>
      <c r="BJ702" s="77"/>
      <c r="BL702" s="497">
        <v>21.38</v>
      </c>
      <c r="BN702" s="42"/>
      <c r="BO702" s="74"/>
      <c r="BP702" s="77"/>
      <c r="BR702" s="497">
        <v>17.059999999999999</v>
      </c>
      <c r="BT702" s="42"/>
    </row>
    <row r="703" spans="1:72" x14ac:dyDescent="0.25">
      <c r="A703" s="90">
        <v>36189</v>
      </c>
      <c r="B703" s="20">
        <v>0.54166666666666663</v>
      </c>
      <c r="D703">
        <v>48.019999999999996</v>
      </c>
      <c r="E703" t="str">
        <f t="shared" si="56"/>
        <v>WEEKDAY</v>
      </c>
      <c r="F703" t="e">
        <f t="shared" si="57"/>
        <v>#N/A</v>
      </c>
      <c r="G703" s="74">
        <v>27788</v>
      </c>
      <c r="H703" s="77">
        <v>0.54166666666666663</v>
      </c>
      <c r="J703">
        <v>39.92</v>
      </c>
      <c r="M703" s="74">
        <v>37650</v>
      </c>
      <c r="N703" s="77">
        <v>0.54166666666666663</v>
      </c>
      <c r="P703">
        <v>26.6</v>
      </c>
      <c r="S703" s="74">
        <v>36189</v>
      </c>
      <c r="T703" s="77">
        <v>0.54166666666666663</v>
      </c>
      <c r="V703">
        <v>35.96</v>
      </c>
      <c r="X703" s="42"/>
      <c r="AB703">
        <v>35.799999999999997</v>
      </c>
      <c r="AC703">
        <v>32</v>
      </c>
      <c r="AE703" s="74"/>
      <c r="AF703" s="77"/>
      <c r="AH703" s="497">
        <v>24.8</v>
      </c>
      <c r="AJ703" s="42"/>
      <c r="AK703" s="74"/>
      <c r="AL703" s="77"/>
      <c r="AN703" s="497">
        <v>10.940000000000001</v>
      </c>
      <c r="AP703" s="42"/>
      <c r="AQ703" s="74"/>
      <c r="AR703" s="77"/>
      <c r="AT703" s="497">
        <v>26.96</v>
      </c>
      <c r="AV703" s="42"/>
      <c r="AW703" s="74"/>
      <c r="AX703" s="77"/>
      <c r="BA703" s="497">
        <v>24.08</v>
      </c>
      <c r="BB703" s="42"/>
      <c r="BC703" s="74"/>
      <c r="BD703" s="77"/>
      <c r="BF703">
        <v>23</v>
      </c>
      <c r="BH703" s="42"/>
      <c r="BI703" s="74"/>
      <c r="BJ703" s="77"/>
      <c r="BL703" s="497">
        <v>23</v>
      </c>
      <c r="BN703" s="42"/>
      <c r="BO703" s="74"/>
      <c r="BP703" s="77"/>
      <c r="BR703" s="497">
        <v>19.04</v>
      </c>
      <c r="BT703" s="42"/>
    </row>
    <row r="704" spans="1:72" x14ac:dyDescent="0.25">
      <c r="A704" s="90">
        <v>36189</v>
      </c>
      <c r="B704" s="20">
        <v>0.58333333333333337</v>
      </c>
      <c r="D704">
        <v>48.019999999999996</v>
      </c>
      <c r="E704" t="str">
        <f t="shared" si="56"/>
        <v>WEEKDAY</v>
      </c>
      <c r="F704" t="e">
        <f t="shared" si="57"/>
        <v>#N/A</v>
      </c>
      <c r="G704" s="74">
        <v>27788</v>
      </c>
      <c r="H704" s="77">
        <v>0.58333333333333337</v>
      </c>
      <c r="J704">
        <v>42.08</v>
      </c>
      <c r="M704" s="74">
        <v>37650</v>
      </c>
      <c r="N704" s="77">
        <v>0.58333333333333337</v>
      </c>
      <c r="P704">
        <v>28.4</v>
      </c>
      <c r="S704" s="74">
        <v>36189</v>
      </c>
      <c r="T704" s="77">
        <v>0.58333333333333337</v>
      </c>
      <c r="V704">
        <v>37.04</v>
      </c>
      <c r="X704" s="42"/>
      <c r="AB704">
        <v>36.700000000000003</v>
      </c>
      <c r="AC704">
        <v>30.2</v>
      </c>
      <c r="AE704" s="74"/>
      <c r="AF704" s="77"/>
      <c r="AH704" s="497">
        <v>26.6</v>
      </c>
      <c r="AJ704" s="42"/>
      <c r="AK704" s="74"/>
      <c r="AL704" s="77"/>
      <c r="AN704" s="497">
        <v>10.940000000000001</v>
      </c>
      <c r="AP704" s="42"/>
      <c r="AQ704" s="74"/>
      <c r="AR704" s="77"/>
      <c r="AT704" s="497">
        <v>26.96</v>
      </c>
      <c r="AV704" s="42"/>
      <c r="AW704" s="74"/>
      <c r="AX704" s="77"/>
      <c r="BA704" s="497">
        <v>23</v>
      </c>
      <c r="BB704" s="42"/>
      <c r="BC704" s="74"/>
      <c r="BD704" s="77"/>
      <c r="BF704">
        <v>23</v>
      </c>
      <c r="BH704" s="42"/>
      <c r="BI704" s="74"/>
      <c r="BJ704" s="77"/>
      <c r="BL704" s="497">
        <v>21.92</v>
      </c>
      <c r="BN704" s="42"/>
      <c r="BO704" s="74"/>
      <c r="BP704" s="77"/>
      <c r="BR704" s="497">
        <v>19.04</v>
      </c>
      <c r="BT704" s="42"/>
    </row>
    <row r="705" spans="1:72" x14ac:dyDescent="0.25">
      <c r="A705" s="90">
        <v>36189</v>
      </c>
      <c r="B705" s="20">
        <v>0.625</v>
      </c>
      <c r="D705">
        <v>48.92</v>
      </c>
      <c r="E705" t="str">
        <f t="shared" si="56"/>
        <v>WEEKDAY</v>
      </c>
      <c r="F705" t="e">
        <f t="shared" si="57"/>
        <v>#N/A</v>
      </c>
      <c r="G705" s="74">
        <v>27788</v>
      </c>
      <c r="H705" s="77">
        <v>0.625</v>
      </c>
      <c r="J705">
        <v>42.08</v>
      </c>
      <c r="M705" s="74">
        <v>37650</v>
      </c>
      <c r="N705" s="77">
        <v>0.625</v>
      </c>
      <c r="P705">
        <v>28.4</v>
      </c>
      <c r="S705" s="74">
        <v>36189</v>
      </c>
      <c r="T705" s="77">
        <v>0.625</v>
      </c>
      <c r="V705">
        <v>37.04</v>
      </c>
      <c r="X705" s="42"/>
      <c r="AB705">
        <v>37.299999999999997</v>
      </c>
      <c r="AC705">
        <v>30.2</v>
      </c>
      <c r="AE705" s="74"/>
      <c r="AF705" s="77"/>
      <c r="AH705" s="497">
        <v>28.4</v>
      </c>
      <c r="AJ705" s="42"/>
      <c r="AK705" s="74"/>
      <c r="AL705" s="77"/>
      <c r="AN705" s="497">
        <v>12.02</v>
      </c>
      <c r="AP705" s="42"/>
      <c r="AQ705" s="74"/>
      <c r="AR705" s="77"/>
      <c r="AT705" s="497">
        <v>28.04</v>
      </c>
      <c r="AV705" s="42"/>
      <c r="AW705" s="74"/>
      <c r="AX705" s="77"/>
      <c r="BA705" s="497">
        <v>22.1</v>
      </c>
      <c r="BB705" s="42"/>
      <c r="BC705" s="74"/>
      <c r="BD705" s="77"/>
      <c r="BF705">
        <v>23</v>
      </c>
      <c r="BH705" s="42"/>
      <c r="BI705" s="74"/>
      <c r="BJ705" s="77"/>
      <c r="BL705" s="497">
        <v>21.02</v>
      </c>
      <c r="BN705" s="42"/>
      <c r="BO705" s="74"/>
      <c r="BP705" s="77"/>
      <c r="BR705" s="497">
        <v>21.02</v>
      </c>
      <c r="BT705" s="42"/>
    </row>
    <row r="706" spans="1:72" x14ac:dyDescent="0.25">
      <c r="A706" s="90">
        <v>36189</v>
      </c>
      <c r="B706" s="20">
        <v>0.66666666666666663</v>
      </c>
      <c r="D706">
        <v>48.019999999999996</v>
      </c>
      <c r="E706" t="str">
        <f t="shared" si="56"/>
        <v>WEEKDAY</v>
      </c>
      <c r="F706" t="e">
        <f t="shared" si="57"/>
        <v>#N/A</v>
      </c>
      <c r="G706" s="74">
        <v>27788</v>
      </c>
      <c r="H706" s="77">
        <v>0.66666666666666663</v>
      </c>
      <c r="J706">
        <v>42.980000000000004</v>
      </c>
      <c r="M706" s="74">
        <v>37650</v>
      </c>
      <c r="N706" s="77">
        <v>0.66666666666666663</v>
      </c>
      <c r="P706">
        <v>30.2</v>
      </c>
      <c r="S706" s="74">
        <v>36189</v>
      </c>
      <c r="T706" s="77">
        <v>0.66666666666666663</v>
      </c>
      <c r="V706">
        <v>35.06</v>
      </c>
      <c r="X706" s="42"/>
      <c r="AB706">
        <v>37.4</v>
      </c>
      <c r="AC706">
        <v>32</v>
      </c>
      <c r="AE706" s="74"/>
      <c r="AF706" s="77"/>
      <c r="AH706" s="497">
        <v>30.2</v>
      </c>
      <c r="AJ706" s="42"/>
      <c r="AK706" s="74"/>
      <c r="AL706" s="77"/>
      <c r="AN706" s="497">
        <v>12.02</v>
      </c>
      <c r="AP706" s="42"/>
      <c r="AQ706" s="74"/>
      <c r="AR706" s="77"/>
      <c r="AT706" s="497">
        <v>28.04</v>
      </c>
      <c r="AV706" s="42"/>
      <c r="AW706" s="74"/>
      <c r="AX706" s="77"/>
      <c r="BA706" s="497">
        <v>21.02</v>
      </c>
      <c r="BB706" s="42"/>
      <c r="BC706" s="74"/>
      <c r="BD706" s="77"/>
      <c r="BF706">
        <v>21.92</v>
      </c>
      <c r="BH706" s="42"/>
      <c r="BI706" s="74"/>
      <c r="BJ706" s="77"/>
      <c r="BL706" s="497">
        <v>19.939999999999998</v>
      </c>
      <c r="BN706" s="42"/>
      <c r="BO706" s="74"/>
      <c r="BP706" s="77"/>
      <c r="BR706" s="497">
        <v>19.04</v>
      </c>
      <c r="BT706" s="42"/>
    </row>
    <row r="707" spans="1:72" x14ac:dyDescent="0.25">
      <c r="A707" s="90">
        <v>36189</v>
      </c>
      <c r="B707" s="20">
        <v>0.70833333333333337</v>
      </c>
      <c r="D707">
        <v>44.96</v>
      </c>
      <c r="E707" t="str">
        <f t="shared" si="56"/>
        <v>WEEKDAY</v>
      </c>
      <c r="F707" t="e">
        <f t="shared" si="57"/>
        <v>#N/A</v>
      </c>
      <c r="G707" s="74">
        <v>27788</v>
      </c>
      <c r="H707" s="77">
        <v>0.70833333333333337</v>
      </c>
      <c r="J707">
        <v>42.980000000000004</v>
      </c>
      <c r="M707" s="74">
        <v>37650</v>
      </c>
      <c r="N707" s="77">
        <v>0.70833333333333337</v>
      </c>
      <c r="P707">
        <v>28.4</v>
      </c>
      <c r="S707" s="74">
        <v>36189</v>
      </c>
      <c r="T707" s="77">
        <v>0.70833333333333337</v>
      </c>
      <c r="V707">
        <v>33.979999999999997</v>
      </c>
      <c r="X707" s="42"/>
      <c r="AB707">
        <v>37</v>
      </c>
      <c r="AC707">
        <v>30.02</v>
      </c>
      <c r="AE707" s="74"/>
      <c r="AF707" s="77"/>
      <c r="AH707" s="497">
        <v>28.4</v>
      </c>
      <c r="AJ707" s="42"/>
      <c r="AK707" s="74"/>
      <c r="AL707" s="77"/>
      <c r="AN707" s="497">
        <v>12.02</v>
      </c>
      <c r="AP707" s="42"/>
      <c r="AQ707" s="74"/>
      <c r="AR707" s="77"/>
      <c r="AT707" s="497">
        <v>24.98</v>
      </c>
      <c r="AV707" s="42"/>
      <c r="AW707" s="74"/>
      <c r="AX707" s="77"/>
      <c r="BA707" s="497">
        <v>19.399999999999999</v>
      </c>
      <c r="BB707" s="42"/>
      <c r="BC707" s="74"/>
      <c r="BD707" s="77"/>
      <c r="BF707">
        <v>21.02</v>
      </c>
      <c r="BH707" s="42"/>
      <c r="BI707" s="74"/>
      <c r="BJ707" s="77"/>
      <c r="BL707" s="497">
        <v>17.240000000000002</v>
      </c>
      <c r="BN707" s="42"/>
      <c r="BO707" s="74"/>
      <c r="BP707" s="77"/>
      <c r="BR707" s="497">
        <v>17.96</v>
      </c>
      <c r="BT707" s="42"/>
    </row>
    <row r="708" spans="1:72" x14ac:dyDescent="0.25">
      <c r="A708" s="90">
        <v>36189</v>
      </c>
      <c r="B708" s="20">
        <v>0.75</v>
      </c>
      <c r="D708">
        <v>44.06</v>
      </c>
      <c r="E708" t="str">
        <f t="shared" si="56"/>
        <v>WEEKDAY</v>
      </c>
      <c r="F708" t="e">
        <f t="shared" si="57"/>
        <v>#N/A</v>
      </c>
      <c r="G708" s="74">
        <v>27788</v>
      </c>
      <c r="H708" s="77">
        <v>0.75</v>
      </c>
      <c r="J708">
        <v>42.08</v>
      </c>
      <c r="M708" s="74">
        <v>37650</v>
      </c>
      <c r="N708" s="77">
        <v>0.75</v>
      </c>
      <c r="P708">
        <v>28.4</v>
      </c>
      <c r="S708" s="74">
        <v>36189</v>
      </c>
      <c r="T708" s="77">
        <v>0.75</v>
      </c>
      <c r="V708">
        <v>32</v>
      </c>
      <c r="X708" s="42"/>
      <c r="AB708">
        <v>35.799999999999997</v>
      </c>
      <c r="AC708">
        <v>26.96</v>
      </c>
      <c r="AE708" s="74"/>
      <c r="AF708" s="77"/>
      <c r="AH708" s="497">
        <v>24.8</v>
      </c>
      <c r="AJ708" s="42"/>
      <c r="AK708" s="74"/>
      <c r="AL708" s="77"/>
      <c r="AN708" s="497">
        <v>12.02</v>
      </c>
      <c r="AP708" s="42"/>
      <c r="AQ708" s="74"/>
      <c r="AR708" s="77"/>
      <c r="AT708" s="497">
        <v>23</v>
      </c>
      <c r="AV708" s="42"/>
      <c r="AW708" s="74"/>
      <c r="AX708" s="77"/>
      <c r="BA708" s="497">
        <v>17.600000000000001</v>
      </c>
      <c r="BB708" s="42"/>
      <c r="BC708" s="74"/>
      <c r="BD708" s="77"/>
      <c r="BF708">
        <v>21.02</v>
      </c>
      <c r="BH708" s="42"/>
      <c r="BI708" s="74"/>
      <c r="BJ708" s="77"/>
      <c r="BL708" s="497">
        <v>14.719999999999999</v>
      </c>
      <c r="BN708" s="42"/>
      <c r="BO708" s="74"/>
      <c r="BP708" s="77"/>
      <c r="BR708" s="497">
        <v>8.9599999999999973</v>
      </c>
      <c r="BT708" s="42"/>
    </row>
    <row r="709" spans="1:72" x14ac:dyDescent="0.25">
      <c r="A709" s="90">
        <v>36189</v>
      </c>
      <c r="B709" s="20">
        <v>0.79166666666666663</v>
      </c>
      <c r="D709">
        <v>44.06</v>
      </c>
      <c r="E709" t="str">
        <f t="shared" si="56"/>
        <v>WEEKDAY</v>
      </c>
      <c r="F709" t="e">
        <f t="shared" si="57"/>
        <v>#N/A</v>
      </c>
      <c r="G709" s="74">
        <v>27788</v>
      </c>
      <c r="H709" s="77">
        <v>0.79166666666666663</v>
      </c>
      <c r="J709">
        <v>42.08</v>
      </c>
      <c r="M709" s="74">
        <v>37650</v>
      </c>
      <c r="N709" s="77">
        <v>0.79166666666666663</v>
      </c>
      <c r="P709">
        <v>28.4</v>
      </c>
      <c r="S709" s="74">
        <v>36189</v>
      </c>
      <c r="T709" s="77">
        <v>0.79166666666666663</v>
      </c>
      <c r="V709">
        <v>32</v>
      </c>
      <c r="X709" s="42"/>
      <c r="AB709">
        <v>35</v>
      </c>
      <c r="AC709">
        <v>26.96</v>
      </c>
      <c r="AE709" s="74"/>
      <c r="AF709" s="77"/>
      <c r="AH709" s="497">
        <v>21.2</v>
      </c>
      <c r="AJ709" s="42"/>
      <c r="AK709" s="74"/>
      <c r="AL709" s="77"/>
      <c r="AN709" s="497">
        <v>12.02</v>
      </c>
      <c r="AP709" s="42"/>
      <c r="AQ709" s="74"/>
      <c r="AR709" s="77"/>
      <c r="AT709" s="497">
        <v>23</v>
      </c>
      <c r="AV709" s="42"/>
      <c r="AW709" s="74"/>
      <c r="AX709" s="77"/>
      <c r="BA709" s="497">
        <v>15.98</v>
      </c>
      <c r="BB709" s="42"/>
      <c r="BC709" s="74"/>
      <c r="BD709" s="77"/>
      <c r="BF709">
        <v>19.939999999999998</v>
      </c>
      <c r="BH709" s="42"/>
      <c r="BI709" s="74"/>
      <c r="BJ709" s="77"/>
      <c r="BL709" s="497">
        <v>12.02</v>
      </c>
      <c r="BN709" s="42"/>
      <c r="BO709" s="74"/>
      <c r="BP709" s="77"/>
      <c r="BR709" s="497">
        <v>3.019999999999996</v>
      </c>
      <c r="BT709" s="42"/>
    </row>
    <row r="710" spans="1:72" x14ac:dyDescent="0.25">
      <c r="A710" s="90">
        <v>36189</v>
      </c>
      <c r="B710" s="20">
        <v>0.83333333333333337</v>
      </c>
      <c r="D710">
        <v>39.019999999999996</v>
      </c>
      <c r="E710" t="str">
        <f t="shared" si="56"/>
        <v>WEEKDAY</v>
      </c>
      <c r="F710" t="e">
        <f t="shared" si="57"/>
        <v>#N/A</v>
      </c>
      <c r="G710" s="74">
        <v>27788</v>
      </c>
      <c r="H710" s="77">
        <v>0.83333333333333337</v>
      </c>
      <c r="J710">
        <v>41</v>
      </c>
      <c r="M710" s="74">
        <v>37650</v>
      </c>
      <c r="N710" s="77">
        <v>0.83333333333333337</v>
      </c>
      <c r="P710">
        <v>26.6</v>
      </c>
      <c r="S710" s="74">
        <v>36189</v>
      </c>
      <c r="T710" s="77">
        <v>0.83333333333333337</v>
      </c>
      <c r="V710">
        <v>30.92</v>
      </c>
      <c r="X710" s="42"/>
      <c r="AB710">
        <v>34.700000000000003</v>
      </c>
      <c r="AC710">
        <v>22.1</v>
      </c>
      <c r="AE710" s="74"/>
      <c r="AF710" s="77"/>
      <c r="AH710" s="497">
        <v>19.399999999999999</v>
      </c>
      <c r="AJ710" s="42"/>
      <c r="AK710" s="74"/>
      <c r="AL710" s="77"/>
      <c r="AN710" s="497">
        <v>10.940000000000001</v>
      </c>
      <c r="AP710" s="42"/>
      <c r="AQ710" s="74"/>
      <c r="AR710" s="77"/>
      <c r="AT710" s="497">
        <v>23</v>
      </c>
      <c r="AV710" s="42"/>
      <c r="AW710" s="74"/>
      <c r="AX710" s="77"/>
      <c r="BA710" s="497">
        <v>16.340000000000003</v>
      </c>
      <c r="BB710" s="42"/>
      <c r="BC710" s="74"/>
      <c r="BD710" s="77"/>
      <c r="BF710">
        <v>19.04</v>
      </c>
      <c r="BH710" s="42"/>
      <c r="BI710" s="74"/>
      <c r="BJ710" s="77"/>
      <c r="BL710" s="497">
        <v>12.740000000000002</v>
      </c>
      <c r="BN710" s="42"/>
      <c r="BO710" s="74"/>
      <c r="BP710" s="77"/>
      <c r="BR710" s="497">
        <v>1.0399999999999991</v>
      </c>
      <c r="BT710" s="42"/>
    </row>
    <row r="711" spans="1:72" x14ac:dyDescent="0.25">
      <c r="A711" s="90">
        <v>36189</v>
      </c>
      <c r="B711" s="20">
        <v>0.875</v>
      </c>
      <c r="D711">
        <v>44.06</v>
      </c>
      <c r="E711" t="str">
        <f t="shared" si="56"/>
        <v>WEEKDAY</v>
      </c>
      <c r="F711" t="e">
        <f t="shared" si="57"/>
        <v>#N/A</v>
      </c>
      <c r="G711" s="74">
        <v>27788</v>
      </c>
      <c r="H711" s="77">
        <v>0.875</v>
      </c>
      <c r="J711">
        <v>41</v>
      </c>
      <c r="M711" s="74">
        <v>37650</v>
      </c>
      <c r="N711" s="77">
        <v>0.875</v>
      </c>
      <c r="P711">
        <v>28.4</v>
      </c>
      <c r="S711" s="74">
        <v>36189</v>
      </c>
      <c r="T711" s="77">
        <v>0.875</v>
      </c>
      <c r="V711">
        <v>30.02</v>
      </c>
      <c r="X711" s="42"/>
      <c r="AB711">
        <v>34.1</v>
      </c>
      <c r="AC711">
        <v>19.939999999999998</v>
      </c>
      <c r="AE711" s="74"/>
      <c r="AF711" s="77"/>
      <c r="AH711" s="497">
        <v>21.2</v>
      </c>
      <c r="AJ711" s="42"/>
      <c r="AK711" s="74"/>
      <c r="AL711" s="77"/>
      <c r="AN711" s="497">
        <v>12.02</v>
      </c>
      <c r="AP711" s="42"/>
      <c r="AQ711" s="74"/>
      <c r="AR711" s="77"/>
      <c r="AT711" s="497">
        <v>19.939999999999998</v>
      </c>
      <c r="AV711" s="42"/>
      <c r="AW711" s="74"/>
      <c r="AX711" s="77"/>
      <c r="BA711" s="497">
        <v>16.7</v>
      </c>
      <c r="BB711" s="42"/>
      <c r="BC711" s="74"/>
      <c r="BD711" s="77"/>
      <c r="BF711">
        <v>17.059999999999999</v>
      </c>
      <c r="BH711" s="42"/>
      <c r="BI711" s="74"/>
      <c r="BJ711" s="77"/>
      <c r="BL711" s="497">
        <v>13.279999999999998</v>
      </c>
      <c r="BN711" s="42"/>
      <c r="BO711" s="74"/>
      <c r="BP711" s="77"/>
      <c r="BR711" s="497">
        <v>3.019999999999996</v>
      </c>
      <c r="BT711" s="42"/>
    </row>
    <row r="712" spans="1:72" x14ac:dyDescent="0.25">
      <c r="A712" s="90">
        <v>36189</v>
      </c>
      <c r="B712" s="20">
        <v>0.91666666666666663</v>
      </c>
      <c r="D712">
        <v>44.06</v>
      </c>
      <c r="E712" t="str">
        <f t="shared" si="56"/>
        <v>WEEKDAY</v>
      </c>
      <c r="F712" t="e">
        <f t="shared" si="57"/>
        <v>#N/A</v>
      </c>
      <c r="G712" s="74">
        <v>27788</v>
      </c>
      <c r="H712" s="77">
        <v>0.91666666666666663</v>
      </c>
      <c r="J712">
        <v>39.92</v>
      </c>
      <c r="M712" s="74">
        <v>37650</v>
      </c>
      <c r="N712" s="77">
        <v>0.91666666666666663</v>
      </c>
      <c r="P712">
        <v>24.8</v>
      </c>
      <c r="S712" s="74">
        <v>36189</v>
      </c>
      <c r="T712" s="77">
        <v>0.91666666666666663</v>
      </c>
      <c r="V712">
        <v>28.94</v>
      </c>
      <c r="X712" s="42"/>
      <c r="AB712">
        <v>33.5</v>
      </c>
      <c r="AC712">
        <v>17.600000000000001</v>
      </c>
      <c r="AE712" s="74"/>
      <c r="AF712" s="77"/>
      <c r="AH712" s="497">
        <v>21.2</v>
      </c>
      <c r="AJ712" s="42"/>
      <c r="AK712" s="74"/>
      <c r="AL712" s="77"/>
      <c r="AN712" s="497">
        <v>10.940000000000001</v>
      </c>
      <c r="AP712" s="42"/>
      <c r="AQ712" s="74"/>
      <c r="AR712" s="77"/>
      <c r="AT712" s="497">
        <v>17.059999999999999</v>
      </c>
      <c r="AV712" s="42"/>
      <c r="AW712" s="74"/>
      <c r="AX712" s="77"/>
      <c r="BA712" s="497">
        <v>17.059999999999999</v>
      </c>
      <c r="BB712" s="42"/>
      <c r="BC712" s="74"/>
      <c r="BD712" s="77"/>
      <c r="BF712">
        <v>15.079999999999998</v>
      </c>
      <c r="BH712" s="42"/>
      <c r="BI712" s="74"/>
      <c r="BJ712" s="77"/>
      <c r="BL712" s="497">
        <v>14</v>
      </c>
      <c r="BN712" s="42"/>
      <c r="BO712" s="74"/>
      <c r="BP712" s="77"/>
      <c r="BR712" s="497">
        <v>5</v>
      </c>
      <c r="BT712" s="42"/>
    </row>
    <row r="713" spans="1:72" x14ac:dyDescent="0.25">
      <c r="A713" s="90">
        <v>36189</v>
      </c>
      <c r="B713" s="20">
        <v>0.95833333333333337</v>
      </c>
      <c r="D713">
        <v>44.96</v>
      </c>
      <c r="E713" t="str">
        <f t="shared" si="56"/>
        <v>WEEKDAY</v>
      </c>
      <c r="F713" t="e">
        <f t="shared" si="57"/>
        <v>#N/A</v>
      </c>
      <c r="G713" s="74">
        <v>27788</v>
      </c>
      <c r="H713" s="77">
        <v>0.95833333333333337</v>
      </c>
      <c r="J713">
        <v>37.04</v>
      </c>
      <c r="M713" s="74">
        <v>37650</v>
      </c>
      <c r="N713" s="77">
        <v>0.95833333333333337</v>
      </c>
      <c r="P713">
        <v>22.28</v>
      </c>
      <c r="S713" s="74">
        <v>36189</v>
      </c>
      <c r="T713" s="77">
        <v>0.95833333333333337</v>
      </c>
      <c r="V713">
        <v>28.04</v>
      </c>
      <c r="X713" s="42"/>
      <c r="AB713">
        <v>33</v>
      </c>
      <c r="AC713">
        <v>15.079999999999998</v>
      </c>
      <c r="AE713" s="74"/>
      <c r="AF713" s="77"/>
      <c r="AH713" s="497">
        <v>24.8</v>
      </c>
      <c r="AJ713" s="42"/>
      <c r="AK713" s="74"/>
      <c r="AL713" s="77"/>
      <c r="AN713" s="497">
        <v>8.9599999999999973</v>
      </c>
      <c r="AP713" s="42"/>
      <c r="AQ713" s="74"/>
      <c r="AR713" s="77"/>
      <c r="AT713" s="497">
        <v>14</v>
      </c>
      <c r="AV713" s="42"/>
      <c r="AW713" s="74"/>
      <c r="AX713" s="77"/>
      <c r="BA713" s="497">
        <v>15.440000000000001</v>
      </c>
      <c r="BB713" s="42"/>
      <c r="BC713" s="74"/>
      <c r="BD713" s="77"/>
      <c r="BF713">
        <v>15.98</v>
      </c>
      <c r="BH713" s="42"/>
      <c r="BI713" s="74"/>
      <c r="BJ713" s="77"/>
      <c r="BL713" s="497">
        <v>12.920000000000002</v>
      </c>
      <c r="BN713" s="42"/>
      <c r="BO713" s="74"/>
      <c r="BP713" s="77"/>
      <c r="BR713" s="497">
        <v>6.0799999999999983</v>
      </c>
      <c r="BT713" s="42"/>
    </row>
    <row r="714" spans="1:72" x14ac:dyDescent="0.25">
      <c r="A714" s="90">
        <v>36189</v>
      </c>
      <c r="B714" s="20">
        <v>1</v>
      </c>
      <c r="D714">
        <v>46.04</v>
      </c>
      <c r="E714" t="str">
        <f t="shared" si="56"/>
        <v>WEEKDAY</v>
      </c>
      <c r="F714" t="e">
        <f t="shared" si="57"/>
        <v>#N/A</v>
      </c>
      <c r="G714" s="74">
        <v>27788</v>
      </c>
      <c r="H714" s="77">
        <v>1</v>
      </c>
      <c r="J714">
        <v>35.96</v>
      </c>
      <c r="M714" s="74">
        <v>37650</v>
      </c>
      <c r="N714" s="80">
        <v>1</v>
      </c>
      <c r="P714">
        <v>19.399999999999999</v>
      </c>
      <c r="S714" s="74">
        <v>36189</v>
      </c>
      <c r="T714" s="80">
        <v>1</v>
      </c>
      <c r="V714">
        <v>26.060000000000002</v>
      </c>
      <c r="X714" s="42"/>
      <c r="AB714">
        <v>32.4</v>
      </c>
      <c r="AC714">
        <v>14</v>
      </c>
      <c r="AE714" s="74"/>
      <c r="AF714" s="80"/>
      <c r="AH714" s="497">
        <v>24.8</v>
      </c>
      <c r="AJ714" s="42"/>
      <c r="AK714" s="74"/>
      <c r="AL714" s="80"/>
      <c r="AN714" s="497">
        <v>10.039999999999999</v>
      </c>
      <c r="AP714" s="42"/>
      <c r="AQ714" s="74"/>
      <c r="AR714" s="80"/>
      <c r="AT714" s="497">
        <v>10.940000000000001</v>
      </c>
      <c r="AV714" s="42"/>
      <c r="AW714" s="74"/>
      <c r="AX714" s="80"/>
      <c r="BA714" s="497">
        <v>13.64</v>
      </c>
      <c r="BB714" s="42"/>
      <c r="BC714" s="74"/>
      <c r="BD714" s="80"/>
      <c r="BF714">
        <v>15.079999999999998</v>
      </c>
      <c r="BH714" s="42"/>
      <c r="BI714" s="74"/>
      <c r="BJ714" s="80"/>
      <c r="BL714" s="497">
        <v>12.02</v>
      </c>
      <c r="BN714" s="42"/>
      <c r="BO714" s="74"/>
      <c r="BP714" s="80"/>
      <c r="BR714" s="497">
        <v>6.98</v>
      </c>
      <c r="BT714" s="42"/>
    </row>
    <row r="715" spans="1:72" x14ac:dyDescent="0.25">
      <c r="A715" s="90">
        <v>36190</v>
      </c>
      <c r="B715" s="20">
        <v>4.1666666666666664E-2</v>
      </c>
      <c r="D715">
        <v>42.980000000000004</v>
      </c>
      <c r="E715" t="str">
        <f t="shared" si="56"/>
        <v>SATURDAY</v>
      </c>
      <c r="F715" t="e">
        <f t="shared" si="57"/>
        <v>#N/A</v>
      </c>
      <c r="G715" s="74">
        <v>27789</v>
      </c>
      <c r="H715" s="77">
        <v>4.1666666666666664E-2</v>
      </c>
      <c r="J715">
        <v>35.06</v>
      </c>
      <c r="M715" s="74">
        <v>37651</v>
      </c>
      <c r="N715" s="77">
        <v>4.1666666666666664E-2</v>
      </c>
      <c r="P715">
        <v>21.2</v>
      </c>
      <c r="S715" s="74">
        <v>36190</v>
      </c>
      <c r="T715" s="77">
        <v>4.1666666666666664E-2</v>
      </c>
      <c r="V715">
        <v>26.96</v>
      </c>
      <c r="X715" s="42"/>
      <c r="AB715">
        <v>31.9</v>
      </c>
      <c r="AC715">
        <v>10.399999999999999</v>
      </c>
      <c r="AE715" s="74"/>
      <c r="AF715" s="77"/>
      <c r="AH715" s="497">
        <v>24.8</v>
      </c>
      <c r="AJ715" s="42"/>
      <c r="AK715" s="74"/>
      <c r="AL715" s="77"/>
      <c r="AN715" s="497">
        <v>10.039999999999999</v>
      </c>
      <c r="AP715" s="42"/>
      <c r="AQ715" s="74"/>
      <c r="AR715" s="77"/>
      <c r="AT715" s="497">
        <v>10.039999999999999</v>
      </c>
      <c r="AV715" s="42"/>
      <c r="AW715" s="74"/>
      <c r="AX715" s="77"/>
      <c r="BA715" s="497">
        <v>12.02</v>
      </c>
      <c r="BB715" s="42"/>
      <c r="BC715" s="74"/>
      <c r="BD715" s="77"/>
      <c r="BF715">
        <v>14</v>
      </c>
      <c r="BH715" s="42"/>
      <c r="BI715" s="74"/>
      <c r="BJ715" s="77"/>
      <c r="BL715" s="497">
        <v>10.940000000000001</v>
      </c>
      <c r="BN715" s="42"/>
      <c r="BO715" s="74"/>
      <c r="BP715" s="77"/>
      <c r="BR715" s="497">
        <v>8.9599999999999973</v>
      </c>
      <c r="BT715" s="42"/>
    </row>
    <row r="716" spans="1:72" x14ac:dyDescent="0.25">
      <c r="A716" s="90">
        <v>36190</v>
      </c>
      <c r="B716" s="20">
        <v>8.3333333333333329E-2</v>
      </c>
      <c r="D716">
        <v>42.08</v>
      </c>
      <c r="E716" t="str">
        <f t="shared" si="56"/>
        <v>SATURDAY</v>
      </c>
      <c r="F716" t="e">
        <f t="shared" si="57"/>
        <v>#N/A</v>
      </c>
      <c r="G716" s="74">
        <v>27789</v>
      </c>
      <c r="H716" s="77">
        <v>8.3333333333333329E-2</v>
      </c>
      <c r="J716">
        <v>32</v>
      </c>
      <c r="M716" s="74">
        <v>37651</v>
      </c>
      <c r="N716" s="77">
        <v>8.3333333333333329E-2</v>
      </c>
      <c r="P716">
        <v>21.2</v>
      </c>
      <c r="S716" s="74">
        <v>36190</v>
      </c>
      <c r="T716" s="77">
        <v>8.3333333333333329E-2</v>
      </c>
      <c r="V716">
        <v>26.060000000000002</v>
      </c>
      <c r="X716" s="42"/>
      <c r="AB716">
        <v>31.4</v>
      </c>
      <c r="AC716">
        <v>10.399999999999999</v>
      </c>
      <c r="AE716" s="74"/>
      <c r="AF716" s="77"/>
      <c r="AH716" s="497">
        <v>23</v>
      </c>
      <c r="AJ716" s="42"/>
      <c r="AK716" s="74"/>
      <c r="AL716" s="77"/>
      <c r="AN716" s="497">
        <v>6.98</v>
      </c>
      <c r="AP716" s="42"/>
      <c r="AQ716" s="74"/>
      <c r="AR716" s="77"/>
      <c r="AT716" s="497">
        <v>8.9599999999999973</v>
      </c>
      <c r="AV716" s="42"/>
      <c r="AW716" s="74"/>
      <c r="AX716" s="77"/>
      <c r="BA716" s="497">
        <v>10.940000000000001</v>
      </c>
      <c r="BB716" s="42"/>
      <c r="BC716" s="74"/>
      <c r="BD716" s="77"/>
      <c r="BF716">
        <v>14</v>
      </c>
      <c r="BH716" s="42"/>
      <c r="BI716" s="74"/>
      <c r="BJ716" s="77"/>
      <c r="BL716" s="497">
        <v>10.579999999999998</v>
      </c>
      <c r="BN716" s="42"/>
      <c r="BO716" s="74"/>
      <c r="BP716" s="77"/>
      <c r="BR716" s="497">
        <v>8.9599999999999973</v>
      </c>
      <c r="BT716" s="42"/>
    </row>
    <row r="717" spans="1:72" x14ac:dyDescent="0.25">
      <c r="A717" s="90">
        <v>36190</v>
      </c>
      <c r="B717" s="20">
        <v>0.125</v>
      </c>
      <c r="D717">
        <v>42.08</v>
      </c>
      <c r="E717" t="str">
        <f t="shared" si="56"/>
        <v>SATURDAY</v>
      </c>
      <c r="F717" t="e">
        <f t="shared" si="57"/>
        <v>#N/A</v>
      </c>
      <c r="G717" s="74">
        <v>27789</v>
      </c>
      <c r="H717" s="77">
        <v>0.125</v>
      </c>
      <c r="J717">
        <v>30.92</v>
      </c>
      <c r="M717" s="74">
        <v>37651</v>
      </c>
      <c r="N717" s="77">
        <v>0.125</v>
      </c>
      <c r="P717">
        <v>21.2</v>
      </c>
      <c r="S717" s="74">
        <v>36190</v>
      </c>
      <c r="T717" s="77">
        <v>0.125</v>
      </c>
      <c r="V717">
        <v>24.98</v>
      </c>
      <c r="X717" s="42"/>
      <c r="AB717">
        <v>30.9</v>
      </c>
      <c r="AC717">
        <v>12.2</v>
      </c>
      <c r="AE717" s="74"/>
      <c r="AF717" s="77"/>
      <c r="AH717" s="497">
        <v>23</v>
      </c>
      <c r="AJ717" s="42"/>
      <c r="AK717" s="74"/>
      <c r="AL717" s="77"/>
      <c r="AN717" s="497">
        <v>6.98</v>
      </c>
      <c r="AP717" s="42"/>
      <c r="AQ717" s="74"/>
      <c r="AR717" s="77"/>
      <c r="AT717" s="497">
        <v>8.0599999999999987</v>
      </c>
      <c r="AV717" s="42"/>
      <c r="AW717" s="74"/>
      <c r="AX717" s="77"/>
      <c r="BA717" s="497">
        <v>10.039999999999999</v>
      </c>
      <c r="BB717" s="42"/>
      <c r="BC717" s="74"/>
      <c r="BD717" s="77"/>
      <c r="BF717">
        <v>14</v>
      </c>
      <c r="BH717" s="42"/>
      <c r="BI717" s="74"/>
      <c r="BJ717" s="77"/>
      <c r="BL717" s="497">
        <v>10.399999999999999</v>
      </c>
      <c r="BN717" s="42"/>
      <c r="BO717" s="74"/>
      <c r="BP717" s="77"/>
      <c r="BR717" s="497">
        <v>10.039999999999999</v>
      </c>
      <c r="BT717" s="42"/>
    </row>
    <row r="718" spans="1:72" x14ac:dyDescent="0.25">
      <c r="A718" s="90">
        <v>36190</v>
      </c>
      <c r="B718" s="20">
        <v>0.16666666666666666</v>
      </c>
      <c r="D718">
        <v>41</v>
      </c>
      <c r="E718" t="str">
        <f t="shared" si="56"/>
        <v>SATURDAY</v>
      </c>
      <c r="F718" t="e">
        <f t="shared" si="57"/>
        <v>#N/A</v>
      </c>
      <c r="G718" s="74">
        <v>27789</v>
      </c>
      <c r="H718" s="77">
        <v>0.16666666666666666</v>
      </c>
      <c r="J718">
        <v>30.02</v>
      </c>
      <c r="M718" s="74">
        <v>37651</v>
      </c>
      <c r="N718" s="77">
        <v>0.16666666666666666</v>
      </c>
      <c r="P718">
        <v>19.399999999999999</v>
      </c>
      <c r="S718" s="74">
        <v>36190</v>
      </c>
      <c r="T718" s="77">
        <v>0.16666666666666666</v>
      </c>
      <c r="V718">
        <v>24.98</v>
      </c>
      <c r="X718" s="42"/>
      <c r="AB718">
        <v>30.6</v>
      </c>
      <c r="AC718">
        <v>13.279999999999998</v>
      </c>
      <c r="AE718" s="74"/>
      <c r="AF718" s="77"/>
      <c r="AH718" s="497">
        <v>24.8</v>
      </c>
      <c r="AJ718" s="42"/>
      <c r="AK718" s="74"/>
      <c r="AL718" s="77"/>
      <c r="AN718" s="497">
        <v>8.9599999999999973</v>
      </c>
      <c r="AP718" s="42"/>
      <c r="AQ718" s="74"/>
      <c r="AR718" s="77"/>
      <c r="AT718" s="497">
        <v>6.98</v>
      </c>
      <c r="AV718" s="42"/>
      <c r="AW718" s="74"/>
      <c r="AX718" s="77"/>
      <c r="BA718" s="497">
        <v>8.9599999999999973</v>
      </c>
      <c r="BB718" s="42"/>
      <c r="BC718" s="74"/>
      <c r="BD718" s="77"/>
      <c r="BF718">
        <v>14</v>
      </c>
      <c r="BH718" s="42"/>
      <c r="BI718" s="74"/>
      <c r="BJ718" s="77"/>
      <c r="BL718" s="497">
        <v>10.039999999999999</v>
      </c>
      <c r="BN718" s="42"/>
      <c r="BO718" s="74"/>
      <c r="BP718" s="77"/>
      <c r="BR718" s="497">
        <v>10.039999999999999</v>
      </c>
      <c r="BT718" s="42"/>
    </row>
    <row r="719" spans="1:72" x14ac:dyDescent="0.25">
      <c r="A719" s="90">
        <v>36190</v>
      </c>
      <c r="B719" s="20">
        <v>0.20833333333333334</v>
      </c>
      <c r="D719">
        <v>42.08</v>
      </c>
      <c r="E719" t="str">
        <f t="shared" si="56"/>
        <v>SATURDAY</v>
      </c>
      <c r="F719" t="e">
        <f t="shared" si="57"/>
        <v>#N/A</v>
      </c>
      <c r="G719" s="74">
        <v>27789</v>
      </c>
      <c r="H719" s="77">
        <v>0.20833333333333334</v>
      </c>
      <c r="J719">
        <v>30.02</v>
      </c>
      <c r="M719" s="74">
        <v>37651</v>
      </c>
      <c r="N719" s="77">
        <v>0.20833333333333334</v>
      </c>
      <c r="P719">
        <v>21.2</v>
      </c>
      <c r="S719" s="74">
        <v>36190</v>
      </c>
      <c r="T719" s="77">
        <v>0.20833333333333334</v>
      </c>
      <c r="V719">
        <v>24.08</v>
      </c>
      <c r="X719" s="42"/>
      <c r="AB719">
        <v>30.2</v>
      </c>
      <c r="AC719">
        <v>14</v>
      </c>
      <c r="AE719" s="74"/>
      <c r="AF719" s="77"/>
      <c r="AH719" s="497">
        <v>23</v>
      </c>
      <c r="AJ719" s="42"/>
      <c r="AK719" s="74"/>
      <c r="AL719" s="77"/>
      <c r="AN719" s="497">
        <v>8.9599999999999973</v>
      </c>
      <c r="AP719" s="42"/>
      <c r="AQ719" s="74"/>
      <c r="AR719" s="77"/>
      <c r="AT719" s="497">
        <v>6.0799999999999983</v>
      </c>
      <c r="AV719" s="42"/>
      <c r="AW719" s="74"/>
      <c r="AX719" s="77"/>
      <c r="BA719" s="497">
        <v>6.98</v>
      </c>
      <c r="BB719" s="42"/>
      <c r="BC719" s="74"/>
      <c r="BD719" s="77"/>
      <c r="BF719">
        <v>15.079999999999998</v>
      </c>
      <c r="BH719" s="42"/>
      <c r="BI719" s="74"/>
      <c r="BJ719" s="77"/>
      <c r="BL719" s="497">
        <v>9.68</v>
      </c>
      <c r="BN719" s="42"/>
      <c r="BO719" s="74"/>
      <c r="BP719" s="77"/>
      <c r="BR719" s="497">
        <v>10.039999999999999</v>
      </c>
      <c r="BT719" s="42"/>
    </row>
    <row r="720" spans="1:72" x14ac:dyDescent="0.25">
      <c r="A720" s="90">
        <v>36190</v>
      </c>
      <c r="B720" s="20">
        <v>0.25</v>
      </c>
      <c r="D720">
        <v>41</v>
      </c>
      <c r="E720" t="str">
        <f t="shared" si="56"/>
        <v>SATURDAY</v>
      </c>
      <c r="F720" t="e">
        <f t="shared" si="57"/>
        <v>#N/A</v>
      </c>
      <c r="G720" s="74">
        <v>27789</v>
      </c>
      <c r="H720" s="77">
        <v>0.25</v>
      </c>
      <c r="J720">
        <v>28.94</v>
      </c>
      <c r="M720" s="74">
        <v>37651</v>
      </c>
      <c r="N720" s="77">
        <v>0.25</v>
      </c>
      <c r="P720">
        <v>19.399999999999999</v>
      </c>
      <c r="S720" s="74">
        <v>36190</v>
      </c>
      <c r="T720" s="77">
        <v>0.25</v>
      </c>
      <c r="V720">
        <v>23</v>
      </c>
      <c r="X720" s="42"/>
      <c r="AB720">
        <v>29.9</v>
      </c>
      <c r="AC720">
        <v>15.8</v>
      </c>
      <c r="AE720" s="74"/>
      <c r="AF720" s="77"/>
      <c r="AH720" s="497">
        <v>21.2</v>
      </c>
      <c r="AJ720" s="42"/>
      <c r="AK720" s="74"/>
      <c r="AL720" s="77"/>
      <c r="AN720" s="497">
        <v>8.0599999999999987</v>
      </c>
      <c r="AP720" s="42"/>
      <c r="AQ720" s="74"/>
      <c r="AR720" s="77"/>
      <c r="AT720" s="497">
        <v>6.0799999999999983</v>
      </c>
      <c r="AV720" s="42"/>
      <c r="AW720" s="74"/>
      <c r="AX720" s="77"/>
      <c r="BA720" s="497">
        <v>5</v>
      </c>
      <c r="BB720" s="42"/>
      <c r="BC720" s="74"/>
      <c r="BD720" s="77"/>
      <c r="BF720">
        <v>14</v>
      </c>
      <c r="BH720" s="42"/>
      <c r="BI720" s="74"/>
      <c r="BJ720" s="77"/>
      <c r="BL720" s="497">
        <v>9.32</v>
      </c>
      <c r="BN720" s="42"/>
      <c r="BO720" s="74"/>
      <c r="BP720" s="77"/>
      <c r="BR720" s="497">
        <v>10.940000000000001</v>
      </c>
      <c r="BT720" s="42"/>
    </row>
    <row r="721" spans="1:72" x14ac:dyDescent="0.25">
      <c r="A721" s="90">
        <v>36190</v>
      </c>
      <c r="B721" s="20">
        <v>0.29166666666666669</v>
      </c>
      <c r="D721">
        <v>41</v>
      </c>
      <c r="E721" t="str">
        <f t="shared" si="56"/>
        <v>SATURDAY</v>
      </c>
      <c r="F721" t="e">
        <f t="shared" si="57"/>
        <v>#N/A</v>
      </c>
      <c r="G721" s="74">
        <v>27789</v>
      </c>
      <c r="H721" s="77">
        <v>0.29166666666666669</v>
      </c>
      <c r="J721">
        <v>28.94</v>
      </c>
      <c r="M721" s="74">
        <v>37651</v>
      </c>
      <c r="N721" s="77">
        <v>0.29166666666666669</v>
      </c>
      <c r="P721">
        <v>17.600000000000001</v>
      </c>
      <c r="S721" s="74">
        <v>36190</v>
      </c>
      <c r="T721" s="77">
        <v>0.29166666666666669</v>
      </c>
      <c r="V721">
        <v>23</v>
      </c>
      <c r="X721" s="42"/>
      <c r="AB721">
        <v>29.8</v>
      </c>
      <c r="AC721">
        <v>17.600000000000001</v>
      </c>
      <c r="AE721" s="74"/>
      <c r="AF721" s="77"/>
      <c r="AH721" s="497">
        <v>21.2</v>
      </c>
      <c r="AJ721" s="42"/>
      <c r="AK721" s="74"/>
      <c r="AL721" s="77"/>
      <c r="AN721" s="497">
        <v>8.9599999999999973</v>
      </c>
      <c r="AP721" s="42"/>
      <c r="AQ721" s="74"/>
      <c r="AR721" s="77"/>
      <c r="AT721" s="497">
        <v>6.0799999999999983</v>
      </c>
      <c r="AV721" s="42"/>
      <c r="AW721" s="74"/>
      <c r="AX721" s="77"/>
      <c r="BA721" s="497">
        <v>3.019999999999996</v>
      </c>
      <c r="BB721" s="42"/>
      <c r="BC721" s="74"/>
      <c r="BD721" s="77"/>
      <c r="BF721">
        <v>12.920000000000002</v>
      </c>
      <c r="BH721" s="42"/>
      <c r="BI721" s="74"/>
      <c r="BJ721" s="77"/>
      <c r="BL721" s="497">
        <v>8.9599999999999973</v>
      </c>
      <c r="BN721" s="42"/>
      <c r="BO721" s="74"/>
      <c r="BP721" s="77"/>
      <c r="BR721" s="497">
        <v>10.940000000000001</v>
      </c>
      <c r="BT721" s="42"/>
    </row>
    <row r="722" spans="1:72" x14ac:dyDescent="0.25">
      <c r="A722" s="90">
        <v>36190</v>
      </c>
      <c r="B722" s="20">
        <v>0.33333333333333331</v>
      </c>
      <c r="D722">
        <v>42.980000000000004</v>
      </c>
      <c r="E722" t="str">
        <f t="shared" si="56"/>
        <v>SATURDAY</v>
      </c>
      <c r="F722" t="e">
        <f t="shared" si="57"/>
        <v>#N/A</v>
      </c>
      <c r="G722" s="74">
        <v>27789</v>
      </c>
      <c r="H722" s="77">
        <v>0.33333333333333331</v>
      </c>
      <c r="J722">
        <v>28.04</v>
      </c>
      <c r="M722" s="74">
        <v>37651</v>
      </c>
      <c r="N722" s="77">
        <v>0.33333333333333331</v>
      </c>
      <c r="P722">
        <v>21.2</v>
      </c>
      <c r="S722" s="74">
        <v>36190</v>
      </c>
      <c r="T722" s="77">
        <v>0.33333333333333331</v>
      </c>
      <c r="V722">
        <v>24.08</v>
      </c>
      <c r="X722" s="42"/>
      <c r="AB722">
        <v>29.7</v>
      </c>
      <c r="AC722">
        <v>17.600000000000001</v>
      </c>
      <c r="AE722" s="74"/>
      <c r="AF722" s="77"/>
      <c r="AH722" s="497">
        <v>21.2</v>
      </c>
      <c r="AJ722" s="42"/>
      <c r="AK722" s="74"/>
      <c r="AL722" s="77"/>
      <c r="AN722" s="497">
        <v>8.9599999999999973</v>
      </c>
      <c r="AP722" s="42"/>
      <c r="AQ722" s="74"/>
      <c r="AR722" s="77"/>
      <c r="AT722" s="497">
        <v>6.98</v>
      </c>
      <c r="AV722" s="42"/>
      <c r="AW722" s="74"/>
      <c r="AX722" s="77"/>
      <c r="BA722" s="497">
        <v>6.259999999999998</v>
      </c>
      <c r="BB722" s="42"/>
      <c r="BC722" s="74"/>
      <c r="BD722" s="77"/>
      <c r="BF722">
        <v>12.920000000000002</v>
      </c>
      <c r="BH722" s="42"/>
      <c r="BI722" s="74"/>
      <c r="BJ722" s="77"/>
      <c r="BL722" s="497">
        <v>9.68</v>
      </c>
      <c r="BN722" s="42"/>
      <c r="BO722" s="74"/>
      <c r="BP722" s="77"/>
      <c r="BR722" s="497">
        <v>12.02</v>
      </c>
      <c r="BT722" s="42"/>
    </row>
    <row r="723" spans="1:72" x14ac:dyDescent="0.25">
      <c r="A723" s="90">
        <v>36190</v>
      </c>
      <c r="B723" s="20">
        <v>0.375</v>
      </c>
      <c r="D723">
        <v>42.980000000000004</v>
      </c>
      <c r="E723" t="str">
        <f t="shared" ref="E723:E786" si="58">IF(COUNTIF($DI$18:$DI$22, WEEKDAY(A723))=1, "WEEKDAY", IF(WEEKDAY(A723) = 1, "SUNDAY", "SATURDAY"))</f>
        <v>SATURDAY</v>
      </c>
      <c r="F723" t="e">
        <f t="shared" si="57"/>
        <v>#N/A</v>
      </c>
      <c r="G723" s="74">
        <v>27789</v>
      </c>
      <c r="H723" s="77">
        <v>0.375</v>
      </c>
      <c r="J723">
        <v>28.04</v>
      </c>
      <c r="M723" s="74">
        <v>37651</v>
      </c>
      <c r="N723" s="77">
        <v>0.375</v>
      </c>
      <c r="P723">
        <v>24.8</v>
      </c>
      <c r="S723" s="74">
        <v>36190</v>
      </c>
      <c r="T723" s="77">
        <v>0.375</v>
      </c>
      <c r="V723">
        <v>26.060000000000002</v>
      </c>
      <c r="X723" s="42"/>
      <c r="AB723">
        <v>30.4</v>
      </c>
      <c r="AC723">
        <v>30.2</v>
      </c>
      <c r="AE723" s="74"/>
      <c r="AF723" s="77"/>
      <c r="AH723" s="497">
        <v>24.8</v>
      </c>
      <c r="AJ723" s="42"/>
      <c r="AK723" s="74"/>
      <c r="AL723" s="77"/>
      <c r="AN723" s="497">
        <v>8.9599999999999973</v>
      </c>
      <c r="AP723" s="42"/>
      <c r="AQ723" s="74"/>
      <c r="AR723" s="77"/>
      <c r="AT723" s="497">
        <v>12.02</v>
      </c>
      <c r="AV723" s="42"/>
      <c r="AW723" s="74"/>
      <c r="AX723" s="77"/>
      <c r="BA723" s="497">
        <v>9.68</v>
      </c>
      <c r="BB723" s="42"/>
      <c r="BC723" s="74"/>
      <c r="BD723" s="77"/>
      <c r="BF723">
        <v>14</v>
      </c>
      <c r="BH723" s="42"/>
      <c r="BI723" s="74"/>
      <c r="BJ723" s="77"/>
      <c r="BL723" s="497">
        <v>10.219999999999999</v>
      </c>
      <c r="BN723" s="42"/>
      <c r="BO723" s="74"/>
      <c r="BP723" s="77"/>
      <c r="BR723" s="497">
        <v>14</v>
      </c>
      <c r="BT723" s="42"/>
    </row>
    <row r="724" spans="1:72" x14ac:dyDescent="0.25">
      <c r="A724" s="90">
        <v>36190</v>
      </c>
      <c r="B724" s="20">
        <v>0.41666666666666669</v>
      </c>
      <c r="D724">
        <v>46.04</v>
      </c>
      <c r="E724" t="str">
        <f t="shared" si="58"/>
        <v>SATURDAY</v>
      </c>
      <c r="F724" t="e">
        <f t="shared" si="57"/>
        <v>#N/A</v>
      </c>
      <c r="G724" s="74">
        <v>27789</v>
      </c>
      <c r="H724" s="77">
        <v>0.41666666666666669</v>
      </c>
      <c r="J724">
        <v>28.94</v>
      </c>
      <c r="M724" s="74">
        <v>37651</v>
      </c>
      <c r="N724" s="77">
        <v>0.41666666666666669</v>
      </c>
      <c r="P724">
        <v>26.6</v>
      </c>
      <c r="S724" s="74">
        <v>36190</v>
      </c>
      <c r="T724" s="77">
        <v>0.41666666666666669</v>
      </c>
      <c r="V724">
        <v>28.94</v>
      </c>
      <c r="X724" s="42"/>
      <c r="AB724">
        <v>32</v>
      </c>
      <c r="AC724">
        <v>32</v>
      </c>
      <c r="AE724" s="74"/>
      <c r="AF724" s="77"/>
      <c r="AH724" s="497">
        <v>26.6</v>
      </c>
      <c r="AJ724" s="42"/>
      <c r="AK724" s="74"/>
      <c r="AL724" s="77"/>
      <c r="AN724" s="497">
        <v>12.02</v>
      </c>
      <c r="AP724" s="42"/>
      <c r="AQ724" s="74"/>
      <c r="AR724" s="77"/>
      <c r="AT724" s="497">
        <v>15.98</v>
      </c>
      <c r="AV724" s="42"/>
      <c r="AW724" s="74"/>
      <c r="AX724" s="77"/>
      <c r="BA724" s="497">
        <v>12.920000000000002</v>
      </c>
      <c r="BB724" s="42"/>
      <c r="BC724" s="74"/>
      <c r="BD724" s="77"/>
      <c r="BF724">
        <v>14</v>
      </c>
      <c r="BH724" s="42"/>
      <c r="BI724" s="74"/>
      <c r="BJ724" s="77"/>
      <c r="BL724" s="497">
        <v>10.940000000000001</v>
      </c>
      <c r="BN724" s="42"/>
      <c r="BO724" s="74"/>
      <c r="BP724" s="77"/>
      <c r="BR724" s="497">
        <v>17.059999999999999</v>
      </c>
      <c r="BT724" s="42"/>
    </row>
    <row r="725" spans="1:72" x14ac:dyDescent="0.25">
      <c r="A725" s="90">
        <v>36190</v>
      </c>
      <c r="B725" s="20">
        <v>0.45833333333333331</v>
      </c>
      <c r="D725">
        <v>48.92</v>
      </c>
      <c r="E725" t="str">
        <f t="shared" si="58"/>
        <v>SATURDAY</v>
      </c>
      <c r="F725" t="e">
        <f t="shared" si="57"/>
        <v>#N/A</v>
      </c>
      <c r="G725" s="74">
        <v>27789</v>
      </c>
      <c r="H725" s="77">
        <v>0.45833333333333331</v>
      </c>
      <c r="J725">
        <v>28.94</v>
      </c>
      <c r="M725" s="74">
        <v>37651</v>
      </c>
      <c r="N725" s="77">
        <v>0.45833333333333331</v>
      </c>
      <c r="P725">
        <v>26.6</v>
      </c>
      <c r="S725" s="74">
        <v>36190</v>
      </c>
      <c r="T725" s="77">
        <v>0.45833333333333331</v>
      </c>
      <c r="V725">
        <v>32</v>
      </c>
      <c r="X725" s="42"/>
      <c r="AB725">
        <v>33.5</v>
      </c>
      <c r="AC725">
        <v>33.799999999999997</v>
      </c>
      <c r="AE725" s="74"/>
      <c r="AF725" s="77"/>
      <c r="AH725" s="497">
        <v>30.2</v>
      </c>
      <c r="AJ725" s="42"/>
      <c r="AK725" s="74"/>
      <c r="AL725" s="77"/>
      <c r="AN725" s="497">
        <v>15.079999999999998</v>
      </c>
      <c r="AP725" s="42"/>
      <c r="AQ725" s="74"/>
      <c r="AR725" s="77"/>
      <c r="AT725" s="497">
        <v>19.939999999999998</v>
      </c>
      <c r="AV725" s="42"/>
      <c r="AW725" s="74"/>
      <c r="AX725" s="77"/>
      <c r="BA725" s="497">
        <v>13.64</v>
      </c>
      <c r="BB725" s="42"/>
      <c r="BC725" s="74"/>
      <c r="BD725" s="77"/>
      <c r="BF725">
        <v>15.079999999999998</v>
      </c>
      <c r="BH725" s="42"/>
      <c r="BI725" s="74"/>
      <c r="BJ725" s="77"/>
      <c r="BL725" s="497">
        <v>11.659999999999997</v>
      </c>
      <c r="BN725" s="42"/>
      <c r="BO725" s="74"/>
      <c r="BP725" s="77"/>
      <c r="BR725" s="497">
        <v>19.939999999999998</v>
      </c>
      <c r="BT725" s="42"/>
    </row>
    <row r="726" spans="1:72" x14ac:dyDescent="0.25">
      <c r="A726" s="90">
        <v>36190</v>
      </c>
      <c r="B726" s="20">
        <v>0.5</v>
      </c>
      <c r="D726">
        <v>53.96</v>
      </c>
      <c r="E726" t="str">
        <f t="shared" si="58"/>
        <v>SATURDAY</v>
      </c>
      <c r="F726" t="e">
        <f t="shared" si="57"/>
        <v>#N/A</v>
      </c>
      <c r="G726" s="74">
        <v>27789</v>
      </c>
      <c r="H726" s="77">
        <v>0.5</v>
      </c>
      <c r="J726">
        <v>30.02</v>
      </c>
      <c r="M726" s="74">
        <v>37651</v>
      </c>
      <c r="N726" s="77">
        <v>0.5</v>
      </c>
      <c r="P726">
        <v>28.4</v>
      </c>
      <c r="S726" s="74">
        <v>36190</v>
      </c>
      <c r="T726" s="77">
        <v>0.5</v>
      </c>
      <c r="V726">
        <v>33.979999999999997</v>
      </c>
      <c r="X726" s="42"/>
      <c r="AB726">
        <v>34.9</v>
      </c>
      <c r="AC726">
        <v>33.979999999999997</v>
      </c>
      <c r="AE726" s="74"/>
      <c r="AF726" s="77"/>
      <c r="AH726" s="497">
        <v>33.799999999999997</v>
      </c>
      <c r="AJ726" s="42"/>
      <c r="AK726" s="74"/>
      <c r="AL726" s="77"/>
      <c r="AN726" s="497">
        <v>17.96</v>
      </c>
      <c r="AP726" s="42"/>
      <c r="AQ726" s="74"/>
      <c r="AR726" s="77"/>
      <c r="AT726" s="497">
        <v>24.98</v>
      </c>
      <c r="AV726" s="42"/>
      <c r="AW726" s="74"/>
      <c r="AX726" s="77"/>
      <c r="BA726" s="497">
        <v>14.36</v>
      </c>
      <c r="BB726" s="42"/>
      <c r="BC726" s="74"/>
      <c r="BD726" s="77"/>
      <c r="BF726">
        <v>17.059999999999999</v>
      </c>
      <c r="BH726" s="42"/>
      <c r="BI726" s="74"/>
      <c r="BJ726" s="77"/>
      <c r="BL726" s="497">
        <v>12.2</v>
      </c>
      <c r="BN726" s="42"/>
      <c r="BO726" s="74"/>
      <c r="BP726" s="77"/>
      <c r="BR726" s="497">
        <v>21.92</v>
      </c>
      <c r="BT726" s="42"/>
    </row>
    <row r="727" spans="1:72" x14ac:dyDescent="0.25">
      <c r="A727" s="90">
        <v>36190</v>
      </c>
      <c r="B727" s="20">
        <v>0.54166666666666663</v>
      </c>
      <c r="D727">
        <v>53.96</v>
      </c>
      <c r="E727" t="str">
        <f t="shared" si="58"/>
        <v>SATURDAY</v>
      </c>
      <c r="F727" t="e">
        <f t="shared" si="57"/>
        <v>#N/A</v>
      </c>
      <c r="G727" s="74">
        <v>27789</v>
      </c>
      <c r="H727" s="77">
        <v>0.54166666666666663</v>
      </c>
      <c r="J727">
        <v>30.02</v>
      </c>
      <c r="M727" s="74">
        <v>37651</v>
      </c>
      <c r="N727" s="77">
        <v>0.54166666666666663</v>
      </c>
      <c r="P727">
        <v>29.3</v>
      </c>
      <c r="S727" s="74">
        <v>36190</v>
      </c>
      <c r="T727" s="77">
        <v>0.54166666666666663</v>
      </c>
      <c r="V727">
        <v>35.06</v>
      </c>
      <c r="X727" s="42"/>
      <c r="AB727">
        <v>36</v>
      </c>
      <c r="AC727">
        <v>37.04</v>
      </c>
      <c r="AE727" s="74"/>
      <c r="AF727" s="77"/>
      <c r="AH727" s="497">
        <v>35.6</v>
      </c>
      <c r="AJ727" s="42"/>
      <c r="AK727" s="74"/>
      <c r="AL727" s="77"/>
      <c r="AN727" s="497">
        <v>17.96</v>
      </c>
      <c r="AP727" s="42"/>
      <c r="AQ727" s="74"/>
      <c r="AR727" s="77"/>
      <c r="AT727" s="497">
        <v>26.96</v>
      </c>
      <c r="AV727" s="42"/>
      <c r="AW727" s="74"/>
      <c r="AX727" s="77"/>
      <c r="BA727" s="497">
        <v>15.079999999999998</v>
      </c>
      <c r="BB727" s="42"/>
      <c r="BC727" s="74"/>
      <c r="BD727" s="77"/>
      <c r="BF727">
        <v>17.059999999999999</v>
      </c>
      <c r="BH727" s="42"/>
      <c r="BI727" s="74"/>
      <c r="BJ727" s="77"/>
      <c r="BL727" s="497">
        <v>12.920000000000002</v>
      </c>
      <c r="BN727" s="42"/>
      <c r="BO727" s="74"/>
      <c r="BP727" s="77"/>
      <c r="BR727" s="497">
        <v>24.08</v>
      </c>
      <c r="BT727" s="42"/>
    </row>
    <row r="728" spans="1:72" x14ac:dyDescent="0.25">
      <c r="A728" s="90">
        <v>36190</v>
      </c>
      <c r="B728" s="20">
        <v>0.58333333333333337</v>
      </c>
      <c r="D728">
        <v>51.08</v>
      </c>
      <c r="E728" t="str">
        <f t="shared" si="58"/>
        <v>SATURDAY</v>
      </c>
      <c r="F728" t="e">
        <f t="shared" si="57"/>
        <v>#N/A</v>
      </c>
      <c r="G728" s="74">
        <v>27789</v>
      </c>
      <c r="H728" s="77">
        <v>0.58333333333333337</v>
      </c>
      <c r="J728">
        <v>30.92</v>
      </c>
      <c r="M728" s="74">
        <v>37651</v>
      </c>
      <c r="N728" s="77">
        <v>0.58333333333333337</v>
      </c>
      <c r="P728">
        <v>30.2</v>
      </c>
      <c r="S728" s="74">
        <v>36190</v>
      </c>
      <c r="T728" s="77">
        <v>0.58333333333333337</v>
      </c>
      <c r="V728">
        <v>37.04</v>
      </c>
      <c r="X728" s="42"/>
      <c r="AB728">
        <v>36.9</v>
      </c>
      <c r="AC728">
        <v>39.019999999999996</v>
      </c>
      <c r="AE728" s="74"/>
      <c r="AF728" s="77"/>
      <c r="AH728" s="497">
        <v>35.6</v>
      </c>
      <c r="AJ728" s="42"/>
      <c r="AK728" s="74"/>
      <c r="AL728" s="77"/>
      <c r="AN728" s="497">
        <v>19.939999999999998</v>
      </c>
      <c r="AP728" s="42"/>
      <c r="AQ728" s="74"/>
      <c r="AR728" s="77"/>
      <c r="AT728" s="497">
        <v>30.02</v>
      </c>
      <c r="AV728" s="42"/>
      <c r="AW728" s="74"/>
      <c r="AX728" s="77"/>
      <c r="BA728" s="497">
        <v>15.440000000000001</v>
      </c>
      <c r="BB728" s="42"/>
      <c r="BC728" s="74"/>
      <c r="BD728" s="77"/>
      <c r="BF728">
        <v>17.96</v>
      </c>
      <c r="BH728" s="42"/>
      <c r="BI728" s="74"/>
      <c r="BJ728" s="77"/>
      <c r="BL728" s="497">
        <v>12.920000000000002</v>
      </c>
      <c r="BN728" s="42"/>
      <c r="BO728" s="74"/>
      <c r="BP728" s="77"/>
      <c r="BR728" s="497">
        <v>24.08</v>
      </c>
      <c r="BT728" s="42"/>
    </row>
    <row r="729" spans="1:72" x14ac:dyDescent="0.25">
      <c r="A729" s="90">
        <v>36190</v>
      </c>
      <c r="B729" s="20">
        <v>0.625</v>
      </c>
      <c r="D729">
        <v>51.08</v>
      </c>
      <c r="E729" t="str">
        <f t="shared" si="58"/>
        <v>SATURDAY</v>
      </c>
      <c r="F729" t="e">
        <f t="shared" si="57"/>
        <v>#N/A</v>
      </c>
      <c r="G729" s="74">
        <v>27789</v>
      </c>
      <c r="H729" s="77">
        <v>0.625</v>
      </c>
      <c r="J729">
        <v>30.92</v>
      </c>
      <c r="M729" s="74">
        <v>37651</v>
      </c>
      <c r="N729" s="77">
        <v>0.625</v>
      </c>
      <c r="P729">
        <v>32</v>
      </c>
      <c r="S729" s="74">
        <v>36190</v>
      </c>
      <c r="T729" s="77">
        <v>0.625</v>
      </c>
      <c r="V729">
        <v>37.04</v>
      </c>
      <c r="X729" s="42"/>
      <c r="AB729">
        <v>37.5</v>
      </c>
      <c r="AC729">
        <v>39.019999999999996</v>
      </c>
      <c r="AE729" s="74"/>
      <c r="AF729" s="77"/>
      <c r="AH729" s="497">
        <v>35.6</v>
      </c>
      <c r="AJ729" s="42"/>
      <c r="AK729" s="74"/>
      <c r="AL729" s="77"/>
      <c r="AN729" s="497">
        <v>21.02</v>
      </c>
      <c r="AP729" s="42"/>
      <c r="AQ729" s="74"/>
      <c r="AR729" s="77"/>
      <c r="AT729" s="497">
        <v>28.94</v>
      </c>
      <c r="AV729" s="42"/>
      <c r="AW729" s="74"/>
      <c r="AX729" s="77"/>
      <c r="BA729" s="497">
        <v>15.620000000000001</v>
      </c>
      <c r="BB729" s="42"/>
      <c r="BC729" s="74"/>
      <c r="BD729" s="77"/>
      <c r="BF729">
        <v>15.98</v>
      </c>
      <c r="BH729" s="42"/>
      <c r="BI729" s="74"/>
      <c r="BJ729" s="77"/>
      <c r="BL729" s="497">
        <v>12.920000000000002</v>
      </c>
      <c r="BN729" s="42"/>
      <c r="BO729" s="74"/>
      <c r="BP729" s="77"/>
      <c r="BR729" s="497">
        <v>21.02</v>
      </c>
      <c r="BT729" s="42"/>
    </row>
    <row r="730" spans="1:72" x14ac:dyDescent="0.25">
      <c r="A730" s="90">
        <v>36190</v>
      </c>
      <c r="B730" s="20">
        <v>0.66666666666666663</v>
      </c>
      <c r="D730">
        <v>51.08</v>
      </c>
      <c r="E730" t="str">
        <f t="shared" si="58"/>
        <v>SATURDAY</v>
      </c>
      <c r="F730" t="e">
        <f t="shared" si="57"/>
        <v>#N/A</v>
      </c>
      <c r="G730" s="74">
        <v>27789</v>
      </c>
      <c r="H730" s="77">
        <v>0.66666666666666663</v>
      </c>
      <c r="J730">
        <v>30.92</v>
      </c>
      <c r="M730" s="74">
        <v>37651</v>
      </c>
      <c r="N730" s="77">
        <v>0.66666666666666663</v>
      </c>
      <c r="P730">
        <v>30.2</v>
      </c>
      <c r="S730" s="74">
        <v>36190</v>
      </c>
      <c r="T730" s="77">
        <v>0.66666666666666663</v>
      </c>
      <c r="V730">
        <v>35.96</v>
      </c>
      <c r="X730" s="42"/>
      <c r="AB730">
        <v>37.6</v>
      </c>
      <c r="AC730">
        <v>37.94</v>
      </c>
      <c r="AE730" s="74"/>
      <c r="AF730" s="77"/>
      <c r="AH730" s="497">
        <v>33.799999999999997</v>
      </c>
      <c r="AJ730" s="42"/>
      <c r="AK730" s="74"/>
      <c r="AL730" s="77"/>
      <c r="AN730" s="497">
        <v>19.939999999999998</v>
      </c>
      <c r="AP730" s="42"/>
      <c r="AQ730" s="74"/>
      <c r="AR730" s="77"/>
      <c r="AT730" s="497">
        <v>30.02</v>
      </c>
      <c r="AV730" s="42"/>
      <c r="AW730" s="74"/>
      <c r="AX730" s="77"/>
      <c r="BA730" s="497">
        <v>15.98</v>
      </c>
      <c r="BB730" s="42"/>
      <c r="BC730" s="74"/>
      <c r="BD730" s="77"/>
      <c r="BF730">
        <v>15.079999999999998</v>
      </c>
      <c r="BH730" s="42"/>
      <c r="BI730" s="74"/>
      <c r="BJ730" s="77"/>
      <c r="BL730" s="497">
        <v>12.920000000000002</v>
      </c>
      <c r="BN730" s="42"/>
      <c r="BO730" s="74"/>
      <c r="BP730" s="77"/>
      <c r="BR730" s="497">
        <v>19.939999999999998</v>
      </c>
      <c r="BT730" s="42"/>
    </row>
    <row r="731" spans="1:72" x14ac:dyDescent="0.25">
      <c r="A731" s="90">
        <v>36190</v>
      </c>
      <c r="B731" s="20">
        <v>0.70833333333333337</v>
      </c>
      <c r="D731">
        <v>50</v>
      </c>
      <c r="E731" t="str">
        <f t="shared" si="58"/>
        <v>SATURDAY</v>
      </c>
      <c r="F731" t="e">
        <f t="shared" si="57"/>
        <v>#N/A</v>
      </c>
      <c r="G731" s="74">
        <v>27789</v>
      </c>
      <c r="H731" s="77">
        <v>0.70833333333333337</v>
      </c>
      <c r="J731">
        <v>30.92</v>
      </c>
      <c r="M731" s="74">
        <v>37651</v>
      </c>
      <c r="N731" s="77">
        <v>0.70833333333333337</v>
      </c>
      <c r="P731">
        <v>30.2</v>
      </c>
      <c r="S731" s="74">
        <v>36190</v>
      </c>
      <c r="T731" s="77">
        <v>0.70833333333333337</v>
      </c>
      <c r="V731">
        <v>37.04</v>
      </c>
      <c r="X731" s="42"/>
      <c r="AB731">
        <v>37.1</v>
      </c>
      <c r="AC731">
        <v>35.96</v>
      </c>
      <c r="AE731" s="74"/>
      <c r="AF731" s="77"/>
      <c r="AH731" s="497">
        <v>32</v>
      </c>
      <c r="AJ731" s="42"/>
      <c r="AK731" s="74"/>
      <c r="AL731" s="77"/>
      <c r="AN731" s="497">
        <v>19.939999999999998</v>
      </c>
      <c r="AP731" s="42"/>
      <c r="AQ731" s="74"/>
      <c r="AR731" s="77"/>
      <c r="AT731" s="497">
        <v>28.04</v>
      </c>
      <c r="AV731" s="42"/>
      <c r="AW731" s="74"/>
      <c r="AX731" s="77"/>
      <c r="BA731" s="497">
        <v>14.719999999999999</v>
      </c>
      <c r="BB731" s="42"/>
      <c r="BC731" s="74"/>
      <c r="BD731" s="77"/>
      <c r="BF731">
        <v>15.079999999999998</v>
      </c>
      <c r="BH731" s="42"/>
      <c r="BI731" s="74"/>
      <c r="BJ731" s="77"/>
      <c r="BL731" s="497">
        <v>10.940000000000001</v>
      </c>
      <c r="BN731" s="42"/>
      <c r="BO731" s="74"/>
      <c r="BP731" s="77"/>
      <c r="BR731" s="497">
        <v>17.96</v>
      </c>
      <c r="BT731" s="42"/>
    </row>
    <row r="732" spans="1:72" x14ac:dyDescent="0.25">
      <c r="A732" s="90">
        <v>36190</v>
      </c>
      <c r="B732" s="20">
        <v>0.75</v>
      </c>
      <c r="D732">
        <v>51.980000000000004</v>
      </c>
      <c r="E732" t="str">
        <f t="shared" si="58"/>
        <v>SATURDAY</v>
      </c>
      <c r="F732" t="e">
        <f t="shared" si="57"/>
        <v>#N/A</v>
      </c>
      <c r="G732" s="74">
        <v>27789</v>
      </c>
      <c r="H732" s="77">
        <v>0.75</v>
      </c>
      <c r="J732">
        <v>30.92</v>
      </c>
      <c r="M732" s="74">
        <v>37651</v>
      </c>
      <c r="N732" s="77">
        <v>0.75</v>
      </c>
      <c r="P732">
        <v>26.6</v>
      </c>
      <c r="S732" s="74">
        <v>36190</v>
      </c>
      <c r="T732" s="77">
        <v>0.75</v>
      </c>
      <c r="V732">
        <v>33.979999999999997</v>
      </c>
      <c r="X732" s="42"/>
      <c r="AB732">
        <v>36</v>
      </c>
      <c r="AC732">
        <v>33.979999999999997</v>
      </c>
      <c r="AE732" s="74"/>
      <c r="AF732" s="77"/>
      <c r="AH732" s="497">
        <v>30.2</v>
      </c>
      <c r="AJ732" s="42"/>
      <c r="AK732" s="74"/>
      <c r="AL732" s="77"/>
      <c r="AN732" s="497">
        <v>17.96</v>
      </c>
      <c r="AP732" s="42"/>
      <c r="AQ732" s="74"/>
      <c r="AR732" s="77"/>
      <c r="AT732" s="497">
        <v>24.98</v>
      </c>
      <c r="AV732" s="42"/>
      <c r="AW732" s="74"/>
      <c r="AX732" s="77"/>
      <c r="BA732" s="497">
        <v>13.279999999999998</v>
      </c>
      <c r="BB732" s="42"/>
      <c r="BC732" s="74"/>
      <c r="BD732" s="77"/>
      <c r="BF732">
        <v>12.02</v>
      </c>
      <c r="BH732" s="42"/>
      <c r="BI732" s="74"/>
      <c r="BJ732" s="77"/>
      <c r="BL732" s="497">
        <v>8.9599999999999973</v>
      </c>
      <c r="BN732" s="42"/>
      <c r="BO732" s="74"/>
      <c r="BP732" s="77"/>
      <c r="BR732" s="497">
        <v>12.02</v>
      </c>
      <c r="BT732" s="42"/>
    </row>
    <row r="733" spans="1:72" x14ac:dyDescent="0.25">
      <c r="A733" s="90">
        <v>36190</v>
      </c>
      <c r="B733" s="20">
        <v>0.79166666666666663</v>
      </c>
      <c r="D733">
        <v>51.08</v>
      </c>
      <c r="E733" t="str">
        <f t="shared" si="58"/>
        <v>SATURDAY</v>
      </c>
      <c r="F733" t="e">
        <f t="shared" si="57"/>
        <v>#N/A</v>
      </c>
      <c r="G733" s="74">
        <v>27789</v>
      </c>
      <c r="H733" s="77">
        <v>0.79166666666666663</v>
      </c>
      <c r="J733">
        <v>30.92</v>
      </c>
      <c r="M733" s="74">
        <v>37651</v>
      </c>
      <c r="N733" s="77">
        <v>0.79166666666666663</v>
      </c>
      <c r="P733">
        <v>26.6</v>
      </c>
      <c r="S733" s="74">
        <v>36190</v>
      </c>
      <c r="T733" s="77">
        <v>0.79166666666666663</v>
      </c>
      <c r="V733">
        <v>30.02</v>
      </c>
      <c r="X733" s="42"/>
      <c r="AB733">
        <v>35.1</v>
      </c>
      <c r="AC733">
        <v>33.799999999999997</v>
      </c>
      <c r="AE733" s="74"/>
      <c r="AF733" s="77"/>
      <c r="AH733" s="497">
        <v>30.2</v>
      </c>
      <c r="AJ733" s="42"/>
      <c r="AK733" s="74"/>
      <c r="AL733" s="77"/>
      <c r="AN733" s="497">
        <v>15.98</v>
      </c>
      <c r="AP733" s="42"/>
      <c r="AQ733" s="74"/>
      <c r="AR733" s="77"/>
      <c r="AT733" s="497">
        <v>21.02</v>
      </c>
      <c r="AV733" s="42"/>
      <c r="AW733" s="74"/>
      <c r="AX733" s="77"/>
      <c r="BA733" s="497">
        <v>12.02</v>
      </c>
      <c r="BB733" s="42"/>
      <c r="BC733" s="74"/>
      <c r="BD733" s="77"/>
      <c r="BF733">
        <v>8.9599999999999973</v>
      </c>
      <c r="BH733" s="42"/>
      <c r="BI733" s="74"/>
      <c r="BJ733" s="77"/>
      <c r="BL733" s="497">
        <v>6.98</v>
      </c>
      <c r="BN733" s="42"/>
      <c r="BO733" s="74"/>
      <c r="BP733" s="77"/>
      <c r="BR733" s="497">
        <v>17.059999999999999</v>
      </c>
      <c r="BT733" s="42"/>
    </row>
    <row r="734" spans="1:72" x14ac:dyDescent="0.25">
      <c r="A734" s="90">
        <v>36190</v>
      </c>
      <c r="B734" s="20">
        <v>0.83333333333333337</v>
      </c>
      <c r="D734">
        <v>51.08</v>
      </c>
      <c r="E734" t="str">
        <f t="shared" si="58"/>
        <v>SATURDAY</v>
      </c>
      <c r="F734" t="e">
        <f t="shared" si="57"/>
        <v>#N/A</v>
      </c>
      <c r="G734" s="74">
        <v>27789</v>
      </c>
      <c r="H734" s="77">
        <v>0.83333333333333337</v>
      </c>
      <c r="J734">
        <v>30.92</v>
      </c>
      <c r="M734" s="74">
        <v>37651</v>
      </c>
      <c r="N734" s="77">
        <v>0.83333333333333337</v>
      </c>
      <c r="P734">
        <v>24.8</v>
      </c>
      <c r="S734" s="74">
        <v>36190</v>
      </c>
      <c r="T734" s="77">
        <v>0.83333333333333337</v>
      </c>
      <c r="V734">
        <v>28.94</v>
      </c>
      <c r="X734" s="42"/>
      <c r="AB734">
        <v>34.9</v>
      </c>
      <c r="AC734">
        <v>33.799999999999997</v>
      </c>
      <c r="AE734" s="74"/>
      <c r="AF734" s="77"/>
      <c r="AH734" s="497">
        <v>28.4</v>
      </c>
      <c r="AJ734" s="42"/>
      <c r="AK734" s="74"/>
      <c r="AL734" s="77"/>
      <c r="AN734" s="497">
        <v>15.079999999999998</v>
      </c>
      <c r="AP734" s="42"/>
      <c r="AQ734" s="74"/>
      <c r="AR734" s="77"/>
      <c r="AT734" s="497">
        <v>19.939999999999998</v>
      </c>
      <c r="AV734" s="42"/>
      <c r="AW734" s="74"/>
      <c r="AX734" s="77"/>
      <c r="BA734" s="497">
        <v>12.379999999999999</v>
      </c>
      <c r="BB734" s="42"/>
      <c r="BC734" s="74"/>
      <c r="BD734" s="77"/>
      <c r="BF734">
        <v>10.039999999999999</v>
      </c>
      <c r="BH734" s="42"/>
      <c r="BI734" s="74"/>
      <c r="BJ734" s="77"/>
      <c r="BL734" s="497">
        <v>7.34</v>
      </c>
      <c r="BN734" s="42"/>
      <c r="BO734" s="74"/>
      <c r="BP734" s="77"/>
      <c r="BR734" s="497">
        <v>12.920000000000002</v>
      </c>
      <c r="BT734" s="42"/>
    </row>
    <row r="735" spans="1:72" x14ac:dyDescent="0.25">
      <c r="A735" s="90">
        <v>36190</v>
      </c>
      <c r="B735" s="20">
        <v>0.875</v>
      </c>
      <c r="D735">
        <v>46.04</v>
      </c>
      <c r="E735" t="str">
        <f t="shared" si="58"/>
        <v>SATURDAY</v>
      </c>
      <c r="F735" t="e">
        <f t="shared" si="57"/>
        <v>#N/A</v>
      </c>
      <c r="G735" s="74">
        <v>27789</v>
      </c>
      <c r="H735" s="77">
        <v>0.875</v>
      </c>
      <c r="J735">
        <v>30.02</v>
      </c>
      <c r="M735" s="74">
        <v>37651</v>
      </c>
      <c r="N735" s="77">
        <v>0.875</v>
      </c>
      <c r="P735">
        <v>23</v>
      </c>
      <c r="S735" s="74">
        <v>36190</v>
      </c>
      <c r="T735" s="77">
        <v>0.875</v>
      </c>
      <c r="V735">
        <v>28.04</v>
      </c>
      <c r="X735" s="42"/>
      <c r="AB735">
        <v>34.299999999999997</v>
      </c>
      <c r="AC735">
        <v>31.1</v>
      </c>
      <c r="AE735" s="74"/>
      <c r="AF735" s="77"/>
      <c r="AH735" s="497">
        <v>28.4</v>
      </c>
      <c r="AJ735" s="42"/>
      <c r="AK735" s="74"/>
      <c r="AL735" s="77"/>
      <c r="AN735" s="497">
        <v>12.920000000000002</v>
      </c>
      <c r="AP735" s="42"/>
      <c r="AQ735" s="74"/>
      <c r="AR735" s="77"/>
      <c r="AT735" s="497">
        <v>17.059999999999999</v>
      </c>
      <c r="AV735" s="42"/>
      <c r="AW735" s="74"/>
      <c r="AX735" s="77"/>
      <c r="BA735" s="497">
        <v>12.559999999999999</v>
      </c>
      <c r="BB735" s="42"/>
      <c r="BC735" s="74"/>
      <c r="BD735" s="77"/>
      <c r="BF735">
        <v>10.940000000000001</v>
      </c>
      <c r="BH735" s="42"/>
      <c r="BI735" s="74"/>
      <c r="BJ735" s="77"/>
      <c r="BL735" s="497">
        <v>7.6999999999999993</v>
      </c>
      <c r="BN735" s="42"/>
      <c r="BO735" s="74"/>
      <c r="BP735" s="77"/>
      <c r="BR735" s="497">
        <v>15.079999999999998</v>
      </c>
      <c r="BT735" s="42"/>
    </row>
    <row r="736" spans="1:72" x14ac:dyDescent="0.25">
      <c r="A736" s="90">
        <v>36190</v>
      </c>
      <c r="B736" s="20">
        <v>0.91666666666666663</v>
      </c>
      <c r="D736">
        <v>46.94</v>
      </c>
      <c r="E736" t="str">
        <f t="shared" si="58"/>
        <v>SATURDAY</v>
      </c>
      <c r="F736" t="e">
        <f t="shared" si="57"/>
        <v>#N/A</v>
      </c>
      <c r="G736" s="74">
        <v>27789</v>
      </c>
      <c r="H736" s="77">
        <v>0.91666666666666663</v>
      </c>
      <c r="J736">
        <v>28.94</v>
      </c>
      <c r="M736" s="74">
        <v>37651</v>
      </c>
      <c r="N736" s="77">
        <v>0.91666666666666663</v>
      </c>
      <c r="P736">
        <v>26.6</v>
      </c>
      <c r="S736" s="74">
        <v>36190</v>
      </c>
      <c r="T736" s="77">
        <v>0.91666666666666663</v>
      </c>
      <c r="V736">
        <v>26.96</v>
      </c>
      <c r="X736" s="42"/>
      <c r="AB736">
        <v>33.6</v>
      </c>
      <c r="AC736">
        <v>33.08</v>
      </c>
      <c r="AE736" s="74"/>
      <c r="AF736" s="77"/>
      <c r="AH736" s="497">
        <v>28.4</v>
      </c>
      <c r="AJ736" s="42"/>
      <c r="AK736" s="74"/>
      <c r="AL736" s="77"/>
      <c r="AN736" s="497">
        <v>14</v>
      </c>
      <c r="AP736" s="42"/>
      <c r="AQ736" s="74"/>
      <c r="AR736" s="77"/>
      <c r="AT736" s="497">
        <v>15.079999999999998</v>
      </c>
      <c r="AV736" s="42"/>
      <c r="AW736" s="74"/>
      <c r="AX736" s="77"/>
      <c r="BA736" s="497">
        <v>12.920000000000002</v>
      </c>
      <c r="BB736" s="42"/>
      <c r="BC736" s="74"/>
      <c r="BD736" s="77"/>
      <c r="BF736">
        <v>10.940000000000001</v>
      </c>
      <c r="BH736" s="42"/>
      <c r="BI736" s="74"/>
      <c r="BJ736" s="77"/>
      <c r="BL736" s="497">
        <v>8.0599999999999987</v>
      </c>
      <c r="BN736" s="42"/>
      <c r="BO736" s="74"/>
      <c r="BP736" s="77"/>
      <c r="BR736" s="497">
        <v>15.98</v>
      </c>
      <c r="BT736" s="42"/>
    </row>
    <row r="737" spans="1:72" x14ac:dyDescent="0.25">
      <c r="A737" s="90">
        <v>36190</v>
      </c>
      <c r="B737" s="20">
        <v>0.95833333333333337</v>
      </c>
      <c r="D737">
        <v>46.94</v>
      </c>
      <c r="E737" t="str">
        <f t="shared" si="58"/>
        <v>SATURDAY</v>
      </c>
      <c r="F737" t="e">
        <f t="shared" si="57"/>
        <v>#N/A</v>
      </c>
      <c r="G737" s="74">
        <v>27789</v>
      </c>
      <c r="H737" s="77">
        <v>0.95833333333333337</v>
      </c>
      <c r="J737">
        <v>28.94</v>
      </c>
      <c r="M737" s="74">
        <v>37651</v>
      </c>
      <c r="N737" s="77">
        <v>0.95833333333333337</v>
      </c>
      <c r="P737">
        <v>28.4</v>
      </c>
      <c r="S737" s="74">
        <v>36190</v>
      </c>
      <c r="T737" s="77">
        <v>0.95833333333333337</v>
      </c>
      <c r="V737">
        <v>24.98</v>
      </c>
      <c r="X737" s="42"/>
      <c r="AB737">
        <v>33.1</v>
      </c>
      <c r="AC737">
        <v>37.04</v>
      </c>
      <c r="AE737" s="74"/>
      <c r="AF737" s="77"/>
      <c r="AH737" s="497">
        <v>26.6</v>
      </c>
      <c r="AJ737" s="42"/>
      <c r="AK737" s="74"/>
      <c r="AL737" s="77"/>
      <c r="AN737" s="497">
        <v>15.079999999999998</v>
      </c>
      <c r="AP737" s="42"/>
      <c r="AQ737" s="74"/>
      <c r="AR737" s="77"/>
      <c r="AT737" s="497">
        <v>14</v>
      </c>
      <c r="AV737" s="42"/>
      <c r="AW737" s="74"/>
      <c r="AX737" s="77"/>
      <c r="BA737" s="497">
        <v>10.940000000000001</v>
      </c>
      <c r="BB737" s="42"/>
      <c r="BC737" s="74"/>
      <c r="BD737" s="77"/>
      <c r="BF737">
        <v>12.920000000000002</v>
      </c>
      <c r="BH737" s="42"/>
      <c r="BI737" s="74"/>
      <c r="BJ737" s="77"/>
      <c r="BL737" s="497">
        <v>8.9599999999999973</v>
      </c>
      <c r="BN737" s="42"/>
      <c r="BO737" s="74"/>
      <c r="BP737" s="77"/>
      <c r="BR737" s="497">
        <v>17.059999999999999</v>
      </c>
      <c r="BT737" s="42"/>
    </row>
    <row r="738" spans="1:72" x14ac:dyDescent="0.25">
      <c r="A738" s="90">
        <v>36190</v>
      </c>
      <c r="B738" s="20">
        <v>1</v>
      </c>
      <c r="D738">
        <v>48.019999999999996</v>
      </c>
      <c r="E738" t="str">
        <f t="shared" si="58"/>
        <v>SATURDAY</v>
      </c>
      <c r="F738" t="e">
        <f t="shared" si="57"/>
        <v>#N/A</v>
      </c>
      <c r="G738" s="74">
        <v>27789</v>
      </c>
      <c r="H738" s="77">
        <v>1</v>
      </c>
      <c r="J738">
        <v>28.04</v>
      </c>
      <c r="M738" s="74">
        <v>37651</v>
      </c>
      <c r="N738" s="80">
        <v>1</v>
      </c>
      <c r="P738">
        <v>28.4</v>
      </c>
      <c r="S738" s="74">
        <v>36190</v>
      </c>
      <c r="T738" s="80">
        <v>1</v>
      </c>
      <c r="V738">
        <v>24.08</v>
      </c>
      <c r="X738" s="42"/>
      <c r="AB738">
        <v>32.5</v>
      </c>
      <c r="AC738">
        <v>39.019999999999996</v>
      </c>
      <c r="AE738" s="74"/>
      <c r="AF738" s="80"/>
      <c r="AH738" s="497">
        <v>24.8</v>
      </c>
      <c r="AJ738" s="42"/>
      <c r="AK738" s="74"/>
      <c r="AL738" s="80"/>
      <c r="AN738" s="497">
        <v>15.079999999999998</v>
      </c>
      <c r="AP738" s="42"/>
      <c r="AQ738" s="74"/>
      <c r="AR738" s="80"/>
      <c r="AT738" s="497">
        <v>12.02</v>
      </c>
      <c r="AV738" s="42"/>
      <c r="AW738" s="74"/>
      <c r="AX738" s="80"/>
      <c r="BA738" s="497">
        <v>8.9599999999999973</v>
      </c>
      <c r="BB738" s="42"/>
      <c r="BC738" s="74"/>
      <c r="BD738" s="80"/>
      <c r="BF738">
        <v>12.920000000000002</v>
      </c>
      <c r="BH738" s="42"/>
      <c r="BI738" s="74"/>
      <c r="BJ738" s="80"/>
      <c r="BL738" s="497">
        <v>10.039999999999999</v>
      </c>
      <c r="BN738" s="42"/>
      <c r="BO738" s="74"/>
      <c r="BP738" s="80"/>
      <c r="BR738" s="497">
        <v>17.96</v>
      </c>
      <c r="BT738" s="42"/>
    </row>
    <row r="739" spans="1:72" x14ac:dyDescent="0.25">
      <c r="A739" s="90">
        <v>36191</v>
      </c>
      <c r="B739" s="20">
        <v>4.1666666666666664E-2</v>
      </c>
      <c r="D739">
        <v>46.94</v>
      </c>
      <c r="E739" t="str">
        <f t="shared" si="58"/>
        <v>SUNDAY</v>
      </c>
      <c r="F739" t="e">
        <f t="shared" si="57"/>
        <v>#N/A</v>
      </c>
      <c r="G739" s="74">
        <v>27790</v>
      </c>
      <c r="H739" s="77">
        <v>4.1666666666666664E-2</v>
      </c>
      <c r="J739">
        <v>28.04</v>
      </c>
      <c r="M739" s="74">
        <v>37652</v>
      </c>
      <c r="N739" s="77">
        <v>4.1666666666666664E-2</v>
      </c>
      <c r="P739">
        <v>30.2</v>
      </c>
      <c r="S739" s="74">
        <v>36191</v>
      </c>
      <c r="T739" s="77">
        <v>4.1666666666666664E-2</v>
      </c>
      <c r="V739">
        <v>23</v>
      </c>
      <c r="X739" s="42"/>
      <c r="AB739">
        <v>32</v>
      </c>
      <c r="AC739">
        <v>39.200000000000003</v>
      </c>
      <c r="AE739" s="74"/>
      <c r="AF739" s="77"/>
      <c r="AH739" s="497">
        <v>23</v>
      </c>
      <c r="AJ739" s="42"/>
      <c r="AK739" s="74"/>
      <c r="AL739" s="77"/>
      <c r="AN739" s="497">
        <v>15.079999999999998</v>
      </c>
      <c r="AP739" s="42"/>
      <c r="AQ739" s="74"/>
      <c r="AR739" s="77"/>
      <c r="AT739" s="497">
        <v>10.039999999999999</v>
      </c>
      <c r="AV739" s="42"/>
      <c r="AW739" s="74"/>
      <c r="AX739" s="77"/>
      <c r="BA739" s="497">
        <v>6.98</v>
      </c>
      <c r="BB739" s="42"/>
      <c r="BC739" s="74"/>
      <c r="BD739" s="77"/>
      <c r="BF739">
        <v>10.940000000000001</v>
      </c>
      <c r="BH739" s="42"/>
      <c r="BI739" s="74"/>
      <c r="BJ739" s="77"/>
      <c r="BL739" s="497">
        <v>10.940000000000001</v>
      </c>
      <c r="BN739" s="42"/>
      <c r="BO739" s="74"/>
      <c r="BP739" s="77"/>
      <c r="BR739" s="497">
        <v>17.96</v>
      </c>
      <c r="BT739" s="42"/>
    </row>
    <row r="740" spans="1:72" x14ac:dyDescent="0.25">
      <c r="A740" s="90">
        <v>36191</v>
      </c>
      <c r="B740" s="20">
        <v>8.3333333333333329E-2</v>
      </c>
      <c r="D740">
        <v>46.04</v>
      </c>
      <c r="E740" t="str">
        <f t="shared" si="58"/>
        <v>SUNDAY</v>
      </c>
      <c r="F740" t="e">
        <f t="shared" si="57"/>
        <v>#N/A</v>
      </c>
      <c r="G740" s="74">
        <v>27790</v>
      </c>
      <c r="H740" s="77">
        <v>8.3333333333333329E-2</v>
      </c>
      <c r="J740">
        <v>26.96</v>
      </c>
      <c r="M740" s="74">
        <v>37652</v>
      </c>
      <c r="N740" s="77">
        <v>8.3333333333333329E-2</v>
      </c>
      <c r="P740">
        <v>30.2</v>
      </c>
      <c r="S740" s="74">
        <v>36191</v>
      </c>
      <c r="T740" s="77">
        <v>8.3333333333333329E-2</v>
      </c>
      <c r="V740">
        <v>21.02</v>
      </c>
      <c r="X740" s="42"/>
      <c r="AB740">
        <v>31.5</v>
      </c>
      <c r="AC740">
        <v>39.200000000000003</v>
      </c>
      <c r="AE740" s="74"/>
      <c r="AF740" s="77"/>
      <c r="AH740" s="497">
        <v>21.2</v>
      </c>
      <c r="AJ740" s="42"/>
      <c r="AK740" s="74"/>
      <c r="AL740" s="77"/>
      <c r="AN740" s="497">
        <v>14</v>
      </c>
      <c r="AP740" s="42"/>
      <c r="AQ740" s="74"/>
      <c r="AR740" s="77"/>
      <c r="AT740" s="497">
        <v>8.9599999999999973</v>
      </c>
      <c r="AV740" s="42"/>
      <c r="AW740" s="74"/>
      <c r="AX740" s="77"/>
      <c r="BA740" s="497">
        <v>4.6400000000000006</v>
      </c>
      <c r="BB740" s="42"/>
      <c r="BC740" s="74"/>
      <c r="BD740" s="77"/>
      <c r="BF740">
        <v>6.98</v>
      </c>
      <c r="BH740" s="42"/>
      <c r="BI740" s="74"/>
      <c r="BJ740" s="77"/>
      <c r="BL740" s="497">
        <v>11.3</v>
      </c>
      <c r="BN740" s="42"/>
      <c r="BO740" s="74"/>
      <c r="BP740" s="77"/>
      <c r="BR740" s="497">
        <v>19.04</v>
      </c>
      <c r="BT740" s="42"/>
    </row>
    <row r="741" spans="1:72" x14ac:dyDescent="0.25">
      <c r="A741" s="90">
        <v>36191</v>
      </c>
      <c r="B741" s="20">
        <v>0.125</v>
      </c>
      <c r="D741">
        <v>44.96</v>
      </c>
      <c r="E741" t="str">
        <f t="shared" si="58"/>
        <v>SUNDAY</v>
      </c>
      <c r="F741" t="e">
        <f t="shared" si="57"/>
        <v>#N/A</v>
      </c>
      <c r="G741" s="74">
        <v>27790</v>
      </c>
      <c r="H741" s="77">
        <v>0.125</v>
      </c>
      <c r="J741">
        <v>26.060000000000002</v>
      </c>
      <c r="M741" s="74">
        <v>37652</v>
      </c>
      <c r="N741" s="77">
        <v>0.125</v>
      </c>
      <c r="P741">
        <v>30.2</v>
      </c>
      <c r="S741" s="74">
        <v>36191</v>
      </c>
      <c r="T741" s="77">
        <v>0.125</v>
      </c>
      <c r="V741">
        <v>19.939999999999998</v>
      </c>
      <c r="X741" s="42"/>
      <c r="AB741">
        <v>31</v>
      </c>
      <c r="AC741">
        <v>39.200000000000003</v>
      </c>
      <c r="AE741" s="74"/>
      <c r="AF741" s="77"/>
      <c r="AH741" s="497">
        <v>21.2</v>
      </c>
      <c r="AJ741" s="42"/>
      <c r="AK741" s="74"/>
      <c r="AL741" s="77"/>
      <c r="AN741" s="497">
        <v>14</v>
      </c>
      <c r="AP741" s="42"/>
      <c r="AQ741" s="74"/>
      <c r="AR741" s="77"/>
      <c r="AT741" s="497">
        <v>6.98</v>
      </c>
      <c r="AV741" s="42"/>
      <c r="AW741" s="74"/>
      <c r="AX741" s="77"/>
      <c r="BA741" s="497">
        <v>2.3000000000000007</v>
      </c>
      <c r="BB741" s="42"/>
      <c r="BC741" s="74"/>
      <c r="BD741" s="77"/>
      <c r="BF741">
        <v>10.940000000000001</v>
      </c>
      <c r="BH741" s="42"/>
      <c r="BI741" s="74"/>
      <c r="BJ741" s="77"/>
      <c r="BL741" s="497">
        <v>11.659999999999997</v>
      </c>
      <c r="BN741" s="42"/>
      <c r="BO741" s="74"/>
      <c r="BP741" s="77"/>
      <c r="BR741" s="497">
        <v>19.04</v>
      </c>
      <c r="BT741" s="42"/>
    </row>
    <row r="742" spans="1:72" x14ac:dyDescent="0.25">
      <c r="A742" s="90">
        <v>36191</v>
      </c>
      <c r="B742" s="20">
        <v>0.16666666666666666</v>
      </c>
      <c r="D742">
        <v>44.06</v>
      </c>
      <c r="E742" t="str">
        <f t="shared" si="58"/>
        <v>SUNDAY</v>
      </c>
      <c r="F742" t="e">
        <f t="shared" si="57"/>
        <v>#N/A</v>
      </c>
      <c r="G742" s="74">
        <v>27790</v>
      </c>
      <c r="H742" s="77">
        <v>0.16666666666666666</v>
      </c>
      <c r="J742">
        <v>24.98</v>
      </c>
      <c r="M742" s="74">
        <v>37652</v>
      </c>
      <c r="N742" s="77">
        <v>0.16666666666666666</v>
      </c>
      <c r="P742">
        <v>30.2</v>
      </c>
      <c r="S742" s="74">
        <v>36191</v>
      </c>
      <c r="T742" s="77">
        <v>0.16666666666666666</v>
      </c>
      <c r="V742">
        <v>19.04</v>
      </c>
      <c r="X742" s="42"/>
      <c r="AB742">
        <v>30.6</v>
      </c>
      <c r="AC742">
        <v>42.8</v>
      </c>
      <c r="AE742" s="74"/>
      <c r="AF742" s="77"/>
      <c r="AH742" s="497">
        <v>19.399999999999999</v>
      </c>
      <c r="AJ742" s="42"/>
      <c r="AK742" s="74"/>
      <c r="AL742" s="77"/>
      <c r="AN742" s="497">
        <v>14</v>
      </c>
      <c r="AP742" s="42"/>
      <c r="AQ742" s="74"/>
      <c r="AR742" s="77"/>
      <c r="AT742" s="497">
        <v>6.98</v>
      </c>
      <c r="AV742" s="42"/>
      <c r="AW742" s="74"/>
      <c r="AX742" s="77"/>
      <c r="BA742" s="497">
        <v>-3.9999999999999147E-2</v>
      </c>
      <c r="BB742" s="42"/>
      <c r="BC742" s="74"/>
      <c r="BD742" s="77"/>
      <c r="BF742">
        <v>10.940000000000001</v>
      </c>
      <c r="BH742" s="42"/>
      <c r="BI742" s="74"/>
      <c r="BJ742" s="77"/>
      <c r="BL742" s="497">
        <v>12.02</v>
      </c>
      <c r="BN742" s="42"/>
      <c r="BO742" s="74"/>
      <c r="BP742" s="77"/>
      <c r="BR742" s="497">
        <v>19.04</v>
      </c>
      <c r="BT742" s="42"/>
    </row>
    <row r="743" spans="1:72" x14ac:dyDescent="0.25">
      <c r="A743" s="90">
        <v>36191</v>
      </c>
      <c r="B743" s="20">
        <v>0.20833333333333334</v>
      </c>
      <c r="D743">
        <v>41</v>
      </c>
      <c r="E743" t="str">
        <f t="shared" si="58"/>
        <v>SUNDAY</v>
      </c>
      <c r="F743" t="e">
        <f t="shared" si="57"/>
        <v>#N/A</v>
      </c>
      <c r="G743" s="74">
        <v>27790</v>
      </c>
      <c r="H743" s="77">
        <v>0.20833333333333334</v>
      </c>
      <c r="J743">
        <v>24.98</v>
      </c>
      <c r="M743" s="74">
        <v>37652</v>
      </c>
      <c r="N743" s="77">
        <v>0.20833333333333334</v>
      </c>
      <c r="P743">
        <v>30.2</v>
      </c>
      <c r="S743" s="74">
        <v>36191</v>
      </c>
      <c r="T743" s="77">
        <v>0.20833333333333334</v>
      </c>
      <c r="V743">
        <v>17.96</v>
      </c>
      <c r="X743" s="42"/>
      <c r="AB743">
        <v>30.2</v>
      </c>
      <c r="AC743">
        <v>42.8</v>
      </c>
      <c r="AE743" s="74"/>
      <c r="AF743" s="77"/>
      <c r="AH743" s="497">
        <v>19.399999999999999</v>
      </c>
      <c r="AJ743" s="42"/>
      <c r="AK743" s="74"/>
      <c r="AL743" s="77"/>
      <c r="AN743" s="497">
        <v>14</v>
      </c>
      <c r="AP743" s="42"/>
      <c r="AQ743" s="74"/>
      <c r="AR743" s="77"/>
      <c r="AT743" s="497">
        <v>6.0799999999999983</v>
      </c>
      <c r="AV743" s="42"/>
      <c r="AW743" s="74"/>
      <c r="AX743" s="77"/>
      <c r="BA743" s="497">
        <v>-0.75999999999999801</v>
      </c>
      <c r="BB743" s="42"/>
      <c r="BC743" s="74"/>
      <c r="BD743" s="77"/>
      <c r="BF743">
        <v>10.940000000000001</v>
      </c>
      <c r="BH743" s="42"/>
      <c r="BI743" s="74"/>
      <c r="BJ743" s="77"/>
      <c r="BL743" s="497">
        <v>10.940000000000001</v>
      </c>
      <c r="BN743" s="42"/>
      <c r="BO743" s="74"/>
      <c r="BP743" s="77"/>
      <c r="BR743" s="497">
        <v>19.04</v>
      </c>
      <c r="BT743" s="42"/>
    </row>
    <row r="744" spans="1:72" x14ac:dyDescent="0.25">
      <c r="A744" s="90">
        <v>36191</v>
      </c>
      <c r="B744" s="20">
        <v>0.25</v>
      </c>
      <c r="D744">
        <v>37.04</v>
      </c>
      <c r="E744" t="str">
        <f t="shared" si="58"/>
        <v>SUNDAY</v>
      </c>
      <c r="F744" t="e">
        <f t="shared" si="57"/>
        <v>#N/A</v>
      </c>
      <c r="G744" s="74">
        <v>27790</v>
      </c>
      <c r="H744" s="77">
        <v>0.25</v>
      </c>
      <c r="J744">
        <v>24.08</v>
      </c>
      <c r="M744" s="74">
        <v>37652</v>
      </c>
      <c r="N744" s="77">
        <v>0.25</v>
      </c>
      <c r="P744">
        <v>30.2</v>
      </c>
      <c r="S744" s="74">
        <v>36191</v>
      </c>
      <c r="T744" s="77">
        <v>0.25</v>
      </c>
      <c r="V744">
        <v>17.059999999999999</v>
      </c>
      <c r="X744" s="42"/>
      <c r="AB744">
        <v>30</v>
      </c>
      <c r="AC744">
        <v>42.8</v>
      </c>
      <c r="AE744" s="74"/>
      <c r="AF744" s="77"/>
      <c r="AH744" s="497">
        <v>17.600000000000001</v>
      </c>
      <c r="AJ744" s="42"/>
      <c r="AK744" s="74"/>
      <c r="AL744" s="77"/>
      <c r="AN744" s="497">
        <v>12.920000000000002</v>
      </c>
      <c r="AP744" s="42"/>
      <c r="AQ744" s="74"/>
      <c r="AR744" s="77"/>
      <c r="AT744" s="497">
        <v>6.98</v>
      </c>
      <c r="AV744" s="42"/>
      <c r="AW744" s="74"/>
      <c r="AX744" s="77"/>
      <c r="BA744" s="497">
        <v>-1.3000000000000043</v>
      </c>
      <c r="BB744" s="42"/>
      <c r="BC744" s="74"/>
      <c r="BD744" s="77"/>
      <c r="BF744">
        <v>10.940000000000001</v>
      </c>
      <c r="BH744" s="42"/>
      <c r="BI744" s="74"/>
      <c r="BJ744" s="77"/>
      <c r="BL744" s="497">
        <v>10.039999999999999</v>
      </c>
      <c r="BN744" s="42"/>
      <c r="BO744" s="74"/>
      <c r="BP744" s="77"/>
      <c r="BR744" s="497">
        <v>19.04</v>
      </c>
      <c r="BT744" s="42"/>
    </row>
    <row r="745" spans="1:72" x14ac:dyDescent="0.25">
      <c r="A745" s="90">
        <v>36191</v>
      </c>
      <c r="B745" s="20">
        <v>0.29166666666666669</v>
      </c>
      <c r="D745">
        <v>35.06</v>
      </c>
      <c r="E745" t="str">
        <f t="shared" si="58"/>
        <v>SUNDAY</v>
      </c>
      <c r="F745" t="e">
        <f t="shared" si="57"/>
        <v>#N/A</v>
      </c>
      <c r="G745" s="74">
        <v>27790</v>
      </c>
      <c r="H745" s="77">
        <v>0.29166666666666669</v>
      </c>
      <c r="J745">
        <v>23</v>
      </c>
      <c r="M745" s="74">
        <v>37652</v>
      </c>
      <c r="N745" s="77">
        <v>0.29166666666666669</v>
      </c>
      <c r="P745">
        <v>30.2</v>
      </c>
      <c r="S745" s="74">
        <v>36191</v>
      </c>
      <c r="T745" s="77">
        <v>0.29166666666666669</v>
      </c>
      <c r="V745">
        <v>15.98</v>
      </c>
      <c r="X745" s="42"/>
      <c r="AB745">
        <v>29.9</v>
      </c>
      <c r="AC745">
        <v>42.8</v>
      </c>
      <c r="AE745" s="74"/>
      <c r="AF745" s="77"/>
      <c r="AH745" s="497">
        <v>12.2</v>
      </c>
      <c r="AJ745" s="42"/>
      <c r="AK745" s="74"/>
      <c r="AL745" s="77"/>
      <c r="AN745" s="497">
        <v>10.940000000000001</v>
      </c>
      <c r="AP745" s="42"/>
      <c r="AQ745" s="74"/>
      <c r="AR745" s="77"/>
      <c r="AT745" s="497">
        <v>6.98</v>
      </c>
      <c r="AV745" s="42"/>
      <c r="AW745" s="74"/>
      <c r="AX745" s="77"/>
      <c r="BA745" s="497">
        <v>-2.019999999999996</v>
      </c>
      <c r="BB745" s="42"/>
      <c r="BC745" s="74"/>
      <c r="BD745" s="77"/>
      <c r="BF745">
        <v>12.02</v>
      </c>
      <c r="BH745" s="42"/>
      <c r="BI745" s="74"/>
      <c r="BJ745" s="77"/>
      <c r="BL745" s="497">
        <v>8.9599999999999973</v>
      </c>
      <c r="BN745" s="42"/>
      <c r="BO745" s="74"/>
      <c r="BP745" s="77"/>
      <c r="BR745" s="497">
        <v>19.939999999999998</v>
      </c>
      <c r="BT745" s="42"/>
    </row>
    <row r="746" spans="1:72" x14ac:dyDescent="0.25">
      <c r="A746" s="90">
        <v>36191</v>
      </c>
      <c r="B746" s="20">
        <v>0.33333333333333331</v>
      </c>
      <c r="D746">
        <v>33.979999999999997</v>
      </c>
      <c r="E746" t="str">
        <f t="shared" si="58"/>
        <v>SUNDAY</v>
      </c>
      <c r="F746" t="e">
        <f t="shared" si="57"/>
        <v>#N/A</v>
      </c>
      <c r="G746" s="74">
        <v>27790</v>
      </c>
      <c r="H746" s="77">
        <v>0.33333333333333331</v>
      </c>
      <c r="J746">
        <v>23</v>
      </c>
      <c r="M746" s="74">
        <v>37652</v>
      </c>
      <c r="N746" s="77">
        <v>0.33333333333333331</v>
      </c>
      <c r="P746">
        <v>30.2</v>
      </c>
      <c r="S746" s="74">
        <v>36191</v>
      </c>
      <c r="T746" s="77">
        <v>0.33333333333333331</v>
      </c>
      <c r="V746">
        <v>17.059999999999999</v>
      </c>
      <c r="X746" s="42"/>
      <c r="AB746">
        <v>29.7</v>
      </c>
      <c r="AC746">
        <v>37.58</v>
      </c>
      <c r="AE746" s="74"/>
      <c r="AF746" s="77"/>
      <c r="AH746" s="497">
        <v>12.2</v>
      </c>
      <c r="AJ746" s="42"/>
      <c r="AK746" s="74"/>
      <c r="AL746" s="77"/>
      <c r="AN746" s="497">
        <v>12.02</v>
      </c>
      <c r="AP746" s="42"/>
      <c r="AQ746" s="74"/>
      <c r="AR746" s="77"/>
      <c r="AT746" s="497">
        <v>8.0599999999999987</v>
      </c>
      <c r="AV746" s="42"/>
      <c r="AW746" s="74"/>
      <c r="AX746" s="77"/>
      <c r="BA746" s="497">
        <v>-0.39999999999999858</v>
      </c>
      <c r="BB746" s="42"/>
      <c r="BC746" s="74"/>
      <c r="BD746" s="77"/>
      <c r="BF746">
        <v>12.02</v>
      </c>
      <c r="BH746" s="42"/>
      <c r="BI746" s="74"/>
      <c r="BJ746" s="77"/>
      <c r="BL746" s="497">
        <v>8.9599999999999973</v>
      </c>
      <c r="BN746" s="42"/>
      <c r="BO746" s="74"/>
      <c r="BP746" s="77"/>
      <c r="BR746" s="497">
        <v>19.939999999999998</v>
      </c>
      <c r="BT746" s="42"/>
    </row>
    <row r="747" spans="1:72" x14ac:dyDescent="0.25">
      <c r="A747" s="90">
        <v>36191</v>
      </c>
      <c r="B747" s="20">
        <v>0.375</v>
      </c>
      <c r="D747">
        <v>35.06</v>
      </c>
      <c r="E747" t="str">
        <f t="shared" si="58"/>
        <v>SUNDAY</v>
      </c>
      <c r="F747" t="e">
        <f t="shared" ref="F747:F810" si="59">IF(E747="WEEKDAY",VLOOKUP(B747,$DD$19:$DG$42,2),IF(E747="SATURDAY",VLOOKUP(B747,$DD$19:$DG$42,3),VLOOKUP(B747,$DD$19:$DG$42,4)))</f>
        <v>#N/A</v>
      </c>
      <c r="G747" s="74">
        <v>27790</v>
      </c>
      <c r="H747" s="77">
        <v>0.375</v>
      </c>
      <c r="J747">
        <v>24.08</v>
      </c>
      <c r="M747" s="74">
        <v>37652</v>
      </c>
      <c r="N747" s="77">
        <v>0.375</v>
      </c>
      <c r="P747">
        <v>32</v>
      </c>
      <c r="S747" s="74">
        <v>36191</v>
      </c>
      <c r="T747" s="77">
        <v>0.375</v>
      </c>
      <c r="V747">
        <v>17.96</v>
      </c>
      <c r="X747" s="42"/>
      <c r="AB747">
        <v>30.4</v>
      </c>
      <c r="AC747">
        <v>33.979999999999997</v>
      </c>
      <c r="AE747" s="74"/>
      <c r="AF747" s="77"/>
      <c r="AH747" s="497">
        <v>19.399999999999999</v>
      </c>
      <c r="AJ747" s="42"/>
      <c r="AK747" s="74"/>
      <c r="AL747" s="77"/>
      <c r="AN747" s="497">
        <v>14</v>
      </c>
      <c r="AP747" s="42"/>
      <c r="AQ747" s="74"/>
      <c r="AR747" s="77"/>
      <c r="AT747" s="497">
        <v>8.9599999999999973</v>
      </c>
      <c r="AV747" s="42"/>
      <c r="AW747" s="74"/>
      <c r="AX747" s="77"/>
      <c r="BA747" s="497">
        <v>1.3999999999999986</v>
      </c>
      <c r="BB747" s="42"/>
      <c r="BC747" s="74"/>
      <c r="BD747" s="77"/>
      <c r="BF747">
        <v>10.940000000000001</v>
      </c>
      <c r="BH747" s="42"/>
      <c r="BI747" s="74"/>
      <c r="BJ747" s="77"/>
      <c r="BL747" s="497">
        <v>8.9599999999999973</v>
      </c>
      <c r="BN747" s="42"/>
      <c r="BO747" s="74"/>
      <c r="BP747" s="77"/>
      <c r="BR747" s="497">
        <v>19.04</v>
      </c>
      <c r="BT747" s="42"/>
    </row>
    <row r="748" spans="1:72" x14ac:dyDescent="0.25">
      <c r="A748" s="90">
        <v>36191</v>
      </c>
      <c r="B748" s="20">
        <v>0.41666666666666669</v>
      </c>
      <c r="D748">
        <v>35.96</v>
      </c>
      <c r="E748" t="str">
        <f t="shared" si="58"/>
        <v>SUNDAY</v>
      </c>
      <c r="F748" t="e">
        <f t="shared" si="59"/>
        <v>#N/A</v>
      </c>
      <c r="G748" s="74">
        <v>27790</v>
      </c>
      <c r="H748" s="77">
        <v>0.41666666666666669</v>
      </c>
      <c r="J748">
        <v>24.98</v>
      </c>
      <c r="M748" s="74">
        <v>37652</v>
      </c>
      <c r="N748" s="77">
        <v>0.41666666666666669</v>
      </c>
      <c r="P748">
        <v>32.9</v>
      </c>
      <c r="S748" s="74">
        <v>36191</v>
      </c>
      <c r="T748" s="77">
        <v>0.41666666666666669</v>
      </c>
      <c r="V748">
        <v>19.939999999999998</v>
      </c>
      <c r="X748" s="42"/>
      <c r="AB748">
        <v>32.1</v>
      </c>
      <c r="AC748">
        <v>33.979999999999997</v>
      </c>
      <c r="AE748" s="74"/>
      <c r="AF748" s="77"/>
      <c r="AH748" s="497">
        <v>23</v>
      </c>
      <c r="AJ748" s="42"/>
      <c r="AK748" s="74"/>
      <c r="AL748" s="77"/>
      <c r="AN748" s="497">
        <v>17.059999999999999</v>
      </c>
      <c r="AP748" s="42"/>
      <c r="AQ748" s="74"/>
      <c r="AR748" s="77"/>
      <c r="AT748" s="497">
        <v>12.02</v>
      </c>
      <c r="AV748" s="42"/>
      <c r="AW748" s="74"/>
      <c r="AX748" s="77"/>
      <c r="BA748" s="497">
        <v>3.019999999999996</v>
      </c>
      <c r="BB748" s="42"/>
      <c r="BC748" s="74"/>
      <c r="BD748" s="77"/>
      <c r="BF748">
        <v>10.940000000000001</v>
      </c>
      <c r="BH748" s="42"/>
      <c r="BI748" s="74"/>
      <c r="BJ748" s="77"/>
      <c r="BL748" s="497">
        <v>8.9599999999999973</v>
      </c>
      <c r="BN748" s="42"/>
      <c r="BO748" s="74"/>
      <c r="BP748" s="77"/>
      <c r="BR748" s="497">
        <v>17.96</v>
      </c>
      <c r="BT748" s="42"/>
    </row>
    <row r="749" spans="1:72" x14ac:dyDescent="0.25">
      <c r="A749" s="90">
        <v>36191</v>
      </c>
      <c r="B749" s="20">
        <v>0.45833333333333331</v>
      </c>
      <c r="D749">
        <v>37.94</v>
      </c>
      <c r="E749" t="str">
        <f t="shared" si="58"/>
        <v>SUNDAY</v>
      </c>
      <c r="F749" t="e">
        <f t="shared" si="59"/>
        <v>#N/A</v>
      </c>
      <c r="G749" s="74">
        <v>27790</v>
      </c>
      <c r="H749" s="77">
        <v>0.45833333333333331</v>
      </c>
      <c r="J749">
        <v>26.96</v>
      </c>
      <c r="M749" s="74">
        <v>37652</v>
      </c>
      <c r="N749" s="77">
        <v>0.45833333333333331</v>
      </c>
      <c r="P749">
        <v>33.799999999999997</v>
      </c>
      <c r="S749" s="74">
        <v>36191</v>
      </c>
      <c r="T749" s="77">
        <v>0.45833333333333331</v>
      </c>
      <c r="V749">
        <v>21.92</v>
      </c>
      <c r="X749" s="42"/>
      <c r="AB749">
        <v>33.700000000000003</v>
      </c>
      <c r="AC749">
        <v>37.4</v>
      </c>
      <c r="AE749" s="74"/>
      <c r="AF749" s="77"/>
      <c r="AH749" s="497">
        <v>26.6</v>
      </c>
      <c r="AJ749" s="42"/>
      <c r="AK749" s="74"/>
      <c r="AL749" s="77"/>
      <c r="AN749" s="497">
        <v>19.939999999999998</v>
      </c>
      <c r="AP749" s="42"/>
      <c r="AQ749" s="74"/>
      <c r="AR749" s="77"/>
      <c r="AT749" s="497">
        <v>12.920000000000002</v>
      </c>
      <c r="AV749" s="42"/>
      <c r="AW749" s="74"/>
      <c r="AX749" s="77"/>
      <c r="BA749" s="497">
        <v>5.7199999999999989</v>
      </c>
      <c r="BB749" s="42"/>
      <c r="BC749" s="74"/>
      <c r="BD749" s="77"/>
      <c r="BF749">
        <v>12.02</v>
      </c>
      <c r="BH749" s="42"/>
      <c r="BI749" s="74"/>
      <c r="BJ749" s="77"/>
      <c r="BL749" s="497">
        <v>9.32</v>
      </c>
      <c r="BN749" s="42"/>
      <c r="BO749" s="74"/>
      <c r="BP749" s="77"/>
      <c r="BR749" s="497">
        <v>17.059999999999999</v>
      </c>
      <c r="BT749" s="42"/>
    </row>
    <row r="750" spans="1:72" x14ac:dyDescent="0.25">
      <c r="A750" s="90">
        <v>36191</v>
      </c>
      <c r="B750" s="20">
        <v>0.5</v>
      </c>
      <c r="D750">
        <v>37.04</v>
      </c>
      <c r="E750" t="str">
        <f t="shared" si="58"/>
        <v>SUNDAY</v>
      </c>
      <c r="F750" t="e">
        <f t="shared" si="59"/>
        <v>#N/A</v>
      </c>
      <c r="G750" s="74">
        <v>27790</v>
      </c>
      <c r="H750" s="77">
        <v>0.5</v>
      </c>
      <c r="J750">
        <v>26.96</v>
      </c>
      <c r="M750" s="74">
        <v>37652</v>
      </c>
      <c r="N750" s="77">
        <v>0.5</v>
      </c>
      <c r="P750">
        <v>33.799999999999997</v>
      </c>
      <c r="S750" s="74">
        <v>36191</v>
      </c>
      <c r="T750" s="77">
        <v>0.5</v>
      </c>
      <c r="V750">
        <v>24.98</v>
      </c>
      <c r="X750" s="42"/>
      <c r="AB750">
        <v>35.1</v>
      </c>
      <c r="AC750">
        <v>37.94</v>
      </c>
      <c r="AE750" s="74"/>
      <c r="AF750" s="77"/>
      <c r="AH750" s="497">
        <v>28.4</v>
      </c>
      <c r="AJ750" s="42"/>
      <c r="AK750" s="74"/>
      <c r="AL750" s="77"/>
      <c r="AN750" s="497">
        <v>21.02</v>
      </c>
      <c r="AP750" s="42"/>
      <c r="AQ750" s="74"/>
      <c r="AR750" s="77"/>
      <c r="AT750" s="497">
        <v>15.98</v>
      </c>
      <c r="AV750" s="42"/>
      <c r="AW750" s="74"/>
      <c r="AX750" s="77"/>
      <c r="BA750" s="497">
        <v>8.240000000000002</v>
      </c>
      <c r="BB750" s="42"/>
      <c r="BC750" s="74"/>
      <c r="BD750" s="77"/>
      <c r="BF750">
        <v>15.079999999999998</v>
      </c>
      <c r="BH750" s="42"/>
      <c r="BI750" s="74"/>
      <c r="BJ750" s="77"/>
      <c r="BL750" s="497">
        <v>9.68</v>
      </c>
      <c r="BN750" s="42"/>
      <c r="BO750" s="74"/>
      <c r="BP750" s="77"/>
      <c r="BR750" s="497">
        <v>17.96</v>
      </c>
      <c r="BT750" s="42"/>
    </row>
    <row r="751" spans="1:72" x14ac:dyDescent="0.25">
      <c r="A751" s="90">
        <v>36191</v>
      </c>
      <c r="B751" s="20">
        <v>0.54166666666666663</v>
      </c>
      <c r="D751">
        <v>35.96</v>
      </c>
      <c r="E751" t="str">
        <f t="shared" si="58"/>
        <v>SUNDAY</v>
      </c>
      <c r="F751" t="e">
        <f t="shared" si="59"/>
        <v>#N/A</v>
      </c>
      <c r="G751" s="74">
        <v>27790</v>
      </c>
      <c r="H751" s="77">
        <v>0.54166666666666663</v>
      </c>
      <c r="J751">
        <v>28.04</v>
      </c>
      <c r="M751" s="74">
        <v>37652</v>
      </c>
      <c r="N751" s="77">
        <v>0.54166666666666663</v>
      </c>
      <c r="P751">
        <v>35.6</v>
      </c>
      <c r="S751" s="74">
        <v>36191</v>
      </c>
      <c r="T751" s="77">
        <v>0.54166666666666663</v>
      </c>
      <c r="V751">
        <v>24.98</v>
      </c>
      <c r="X751" s="42"/>
      <c r="AB751">
        <v>36.200000000000003</v>
      </c>
      <c r="AC751">
        <v>37.04</v>
      </c>
      <c r="AE751" s="74"/>
      <c r="AF751" s="77"/>
      <c r="AH751" s="497">
        <v>30.2</v>
      </c>
      <c r="AJ751" s="42"/>
      <c r="AK751" s="74"/>
      <c r="AL751" s="77"/>
      <c r="AN751" s="497">
        <v>21.02</v>
      </c>
      <c r="AP751" s="42"/>
      <c r="AQ751" s="74"/>
      <c r="AR751" s="77"/>
      <c r="AT751" s="497">
        <v>17.96</v>
      </c>
      <c r="AV751" s="42"/>
      <c r="AW751" s="74"/>
      <c r="AX751" s="77"/>
      <c r="BA751" s="497">
        <v>10.940000000000001</v>
      </c>
      <c r="BB751" s="42"/>
      <c r="BC751" s="74"/>
      <c r="BD751" s="77"/>
      <c r="BF751">
        <v>12.920000000000002</v>
      </c>
      <c r="BH751" s="42"/>
      <c r="BI751" s="74"/>
      <c r="BJ751" s="77"/>
      <c r="BL751" s="497">
        <v>10.039999999999999</v>
      </c>
      <c r="BN751" s="42"/>
      <c r="BO751" s="74"/>
      <c r="BP751" s="77"/>
      <c r="BR751" s="497">
        <v>19.04</v>
      </c>
      <c r="BT751" s="42"/>
    </row>
    <row r="752" spans="1:72" x14ac:dyDescent="0.25">
      <c r="A752" s="90">
        <v>36191</v>
      </c>
      <c r="B752" s="20">
        <v>0.58333333333333337</v>
      </c>
      <c r="D752">
        <v>32</v>
      </c>
      <c r="E752" t="str">
        <f t="shared" si="58"/>
        <v>SUNDAY</v>
      </c>
      <c r="F752" t="e">
        <f t="shared" si="59"/>
        <v>#N/A</v>
      </c>
      <c r="G752" s="74">
        <v>27790</v>
      </c>
      <c r="H752" s="77">
        <v>0.58333333333333337</v>
      </c>
      <c r="J752">
        <v>30.02</v>
      </c>
      <c r="M752" s="74">
        <v>37652</v>
      </c>
      <c r="N752" s="77">
        <v>0.58333333333333337</v>
      </c>
      <c r="P752">
        <v>35.6</v>
      </c>
      <c r="S752" s="74">
        <v>36191</v>
      </c>
      <c r="T752" s="77">
        <v>0.58333333333333337</v>
      </c>
      <c r="V752">
        <v>28.04</v>
      </c>
      <c r="X752" s="42"/>
      <c r="AB752">
        <v>37.1</v>
      </c>
      <c r="AC752">
        <v>35.06</v>
      </c>
      <c r="AE752" s="74"/>
      <c r="AF752" s="77"/>
      <c r="AH752" s="497">
        <v>33.799999999999997</v>
      </c>
      <c r="AJ752" s="42"/>
      <c r="AK752" s="74"/>
      <c r="AL752" s="77"/>
      <c r="AN752" s="497">
        <v>21.92</v>
      </c>
      <c r="AP752" s="42"/>
      <c r="AQ752" s="74"/>
      <c r="AR752" s="77"/>
      <c r="AT752" s="497">
        <v>19.939999999999998</v>
      </c>
      <c r="AV752" s="42"/>
      <c r="AW752" s="74"/>
      <c r="AX752" s="77"/>
      <c r="BA752" s="497">
        <v>10.219999999999999</v>
      </c>
      <c r="BB752" s="42"/>
      <c r="BC752" s="74"/>
      <c r="BD752" s="77"/>
      <c r="BF752">
        <v>12.02</v>
      </c>
      <c r="BH752" s="42"/>
      <c r="BI752" s="74"/>
      <c r="BJ752" s="77"/>
      <c r="BL752" s="497">
        <v>9.68</v>
      </c>
      <c r="BN752" s="42"/>
      <c r="BO752" s="74"/>
      <c r="BP752" s="77"/>
      <c r="BR752" s="497">
        <v>17.059999999999999</v>
      </c>
      <c r="BT752" s="42"/>
    </row>
    <row r="753" spans="1:72" x14ac:dyDescent="0.25">
      <c r="A753" s="90">
        <v>36191</v>
      </c>
      <c r="B753" s="20">
        <v>0.625</v>
      </c>
      <c r="D753">
        <v>33.979999999999997</v>
      </c>
      <c r="E753" t="str">
        <f t="shared" si="58"/>
        <v>SUNDAY</v>
      </c>
      <c r="F753" t="e">
        <f t="shared" si="59"/>
        <v>#N/A</v>
      </c>
      <c r="G753" s="74">
        <v>27790</v>
      </c>
      <c r="H753" s="77">
        <v>0.625</v>
      </c>
      <c r="J753">
        <v>30.92</v>
      </c>
      <c r="M753" s="74">
        <v>37652</v>
      </c>
      <c r="N753" s="77">
        <v>0.625</v>
      </c>
      <c r="P753">
        <v>35.6</v>
      </c>
      <c r="S753" s="74">
        <v>36191</v>
      </c>
      <c r="T753" s="77">
        <v>0.625</v>
      </c>
      <c r="V753">
        <v>28.94</v>
      </c>
      <c r="X753" s="42"/>
      <c r="AB753">
        <v>37.6</v>
      </c>
      <c r="AC753">
        <v>33.979999999999997</v>
      </c>
      <c r="AE753" s="74"/>
      <c r="AF753" s="77"/>
      <c r="AH753" s="497">
        <v>33.799999999999997</v>
      </c>
      <c r="AJ753" s="42"/>
      <c r="AK753" s="74"/>
      <c r="AL753" s="77"/>
      <c r="AN753" s="497">
        <v>23</v>
      </c>
      <c r="AP753" s="42"/>
      <c r="AQ753" s="74"/>
      <c r="AR753" s="77"/>
      <c r="AT753" s="497">
        <v>19.939999999999998</v>
      </c>
      <c r="AV753" s="42"/>
      <c r="AW753" s="74"/>
      <c r="AX753" s="77"/>
      <c r="BA753" s="497">
        <v>9.68</v>
      </c>
      <c r="BB753" s="42"/>
      <c r="BC753" s="74"/>
      <c r="BD753" s="77"/>
      <c r="BF753">
        <v>12.02</v>
      </c>
      <c r="BH753" s="42"/>
      <c r="BI753" s="74"/>
      <c r="BJ753" s="77"/>
      <c r="BL753" s="497">
        <v>9.32</v>
      </c>
      <c r="BN753" s="42"/>
      <c r="BO753" s="74"/>
      <c r="BP753" s="77"/>
      <c r="BR753" s="497">
        <v>15.98</v>
      </c>
      <c r="BT753" s="42"/>
    </row>
    <row r="754" spans="1:72" x14ac:dyDescent="0.25">
      <c r="A754" s="90">
        <v>36191</v>
      </c>
      <c r="B754" s="20">
        <v>0.66666666666666663</v>
      </c>
      <c r="D754">
        <v>33.08</v>
      </c>
      <c r="E754" t="str">
        <f t="shared" si="58"/>
        <v>SUNDAY</v>
      </c>
      <c r="F754" t="e">
        <f t="shared" si="59"/>
        <v>#N/A</v>
      </c>
      <c r="G754" s="74">
        <v>27790</v>
      </c>
      <c r="H754" s="77">
        <v>0.66666666666666663</v>
      </c>
      <c r="J754">
        <v>30.92</v>
      </c>
      <c r="M754" s="74">
        <v>37652</v>
      </c>
      <c r="N754" s="77">
        <v>0.66666666666666663</v>
      </c>
      <c r="P754">
        <v>37.4</v>
      </c>
      <c r="S754" s="74">
        <v>36191</v>
      </c>
      <c r="T754" s="77">
        <v>0.66666666666666663</v>
      </c>
      <c r="V754">
        <v>30.02</v>
      </c>
      <c r="X754" s="42"/>
      <c r="AB754">
        <v>37.799999999999997</v>
      </c>
      <c r="AC754">
        <v>33.08</v>
      </c>
      <c r="AE754" s="74"/>
      <c r="AF754" s="77"/>
      <c r="AH754" s="497">
        <v>33.799999999999997</v>
      </c>
      <c r="AJ754" s="42"/>
      <c r="AK754" s="74"/>
      <c r="AL754" s="77"/>
      <c r="AN754" s="497">
        <v>23</v>
      </c>
      <c r="AP754" s="42"/>
      <c r="AQ754" s="74"/>
      <c r="AR754" s="77"/>
      <c r="AT754" s="497">
        <v>19.939999999999998</v>
      </c>
      <c r="AV754" s="42"/>
      <c r="AW754" s="74"/>
      <c r="AX754" s="77"/>
      <c r="BA754" s="497">
        <v>8.9599999999999973</v>
      </c>
      <c r="BB754" s="42"/>
      <c r="BC754" s="74"/>
      <c r="BD754" s="77"/>
      <c r="BF754">
        <v>10.039999999999999</v>
      </c>
      <c r="BH754" s="42"/>
      <c r="BI754" s="74"/>
      <c r="BJ754" s="77"/>
      <c r="BL754" s="497">
        <v>8.9599999999999973</v>
      </c>
      <c r="BN754" s="42"/>
      <c r="BO754" s="74"/>
      <c r="BP754" s="77"/>
      <c r="BR754" s="497">
        <v>15.079999999999998</v>
      </c>
      <c r="BT754" s="42"/>
    </row>
    <row r="755" spans="1:72" x14ac:dyDescent="0.25">
      <c r="A755" s="90">
        <v>36191</v>
      </c>
      <c r="B755" s="20">
        <v>0.70833333333333337</v>
      </c>
      <c r="D755">
        <v>32</v>
      </c>
      <c r="E755" t="str">
        <f t="shared" si="58"/>
        <v>SUNDAY</v>
      </c>
      <c r="F755" t="e">
        <f t="shared" si="59"/>
        <v>#N/A</v>
      </c>
      <c r="G755" s="74">
        <v>27790</v>
      </c>
      <c r="H755" s="77">
        <v>0.70833333333333337</v>
      </c>
      <c r="J755">
        <v>32</v>
      </c>
      <c r="M755" s="74">
        <v>37652</v>
      </c>
      <c r="N755" s="77">
        <v>0.70833333333333337</v>
      </c>
      <c r="P755">
        <v>35.6</v>
      </c>
      <c r="S755" s="74">
        <v>36191</v>
      </c>
      <c r="T755" s="77">
        <v>0.70833333333333337</v>
      </c>
      <c r="V755">
        <v>28.04</v>
      </c>
      <c r="X755" s="42"/>
      <c r="AB755">
        <v>37.299999999999997</v>
      </c>
      <c r="AC755">
        <v>32</v>
      </c>
      <c r="AE755" s="74"/>
      <c r="AF755" s="77"/>
      <c r="AH755" s="497">
        <v>30.2</v>
      </c>
      <c r="AJ755" s="42"/>
      <c r="AK755" s="74"/>
      <c r="AL755" s="77"/>
      <c r="AN755" s="497">
        <v>21.92</v>
      </c>
      <c r="AP755" s="42"/>
      <c r="AQ755" s="74"/>
      <c r="AR755" s="77"/>
      <c r="AT755" s="497">
        <v>19.939999999999998</v>
      </c>
      <c r="AV755" s="42"/>
      <c r="AW755" s="74"/>
      <c r="AX755" s="77"/>
      <c r="BA755" s="497">
        <v>8.5999999999999979</v>
      </c>
      <c r="BB755" s="42"/>
      <c r="BC755" s="74"/>
      <c r="BD755" s="77"/>
      <c r="BF755">
        <v>10.940000000000001</v>
      </c>
      <c r="BH755" s="42"/>
      <c r="BI755" s="74"/>
      <c r="BJ755" s="77"/>
      <c r="BL755" s="497">
        <v>8.9599999999999973</v>
      </c>
      <c r="BN755" s="42"/>
      <c r="BO755" s="74"/>
      <c r="BP755" s="77"/>
      <c r="BR755" s="497">
        <v>14</v>
      </c>
      <c r="BT755" s="42"/>
    </row>
    <row r="756" spans="1:72" x14ac:dyDescent="0.25">
      <c r="A756" s="90">
        <v>36191</v>
      </c>
      <c r="B756" s="20">
        <v>0.75</v>
      </c>
      <c r="D756">
        <v>32</v>
      </c>
      <c r="E756" t="str">
        <f t="shared" si="58"/>
        <v>SUNDAY</v>
      </c>
      <c r="F756" t="e">
        <f t="shared" si="59"/>
        <v>#N/A</v>
      </c>
      <c r="G756" s="74">
        <v>27790</v>
      </c>
      <c r="H756" s="77">
        <v>0.75</v>
      </c>
      <c r="J756">
        <v>32</v>
      </c>
      <c r="M756" s="74">
        <v>37652</v>
      </c>
      <c r="N756" s="77">
        <v>0.75</v>
      </c>
      <c r="P756">
        <v>35.6</v>
      </c>
      <c r="S756" s="74">
        <v>36191</v>
      </c>
      <c r="T756" s="77">
        <v>0.75</v>
      </c>
      <c r="V756">
        <v>28.04</v>
      </c>
      <c r="X756" s="42"/>
      <c r="AB756">
        <v>36.1</v>
      </c>
      <c r="AC756">
        <v>30.92</v>
      </c>
      <c r="AE756" s="74"/>
      <c r="AF756" s="77"/>
      <c r="AH756" s="497">
        <v>26.6</v>
      </c>
      <c r="AJ756" s="42"/>
      <c r="AK756" s="74"/>
      <c r="AL756" s="77"/>
      <c r="AN756" s="497">
        <v>19.04</v>
      </c>
      <c r="AP756" s="42"/>
      <c r="AQ756" s="74"/>
      <c r="AR756" s="77"/>
      <c r="AT756" s="497">
        <v>19.939999999999998</v>
      </c>
      <c r="AV756" s="42"/>
      <c r="AW756" s="74"/>
      <c r="AX756" s="77"/>
      <c r="BA756" s="497">
        <v>8.4200000000000017</v>
      </c>
      <c r="BB756" s="42"/>
      <c r="BC756" s="74"/>
      <c r="BD756" s="77"/>
      <c r="BF756">
        <v>10.039999999999999</v>
      </c>
      <c r="BH756" s="42"/>
      <c r="BI756" s="74"/>
      <c r="BJ756" s="77"/>
      <c r="BL756" s="497">
        <v>8.9599999999999973</v>
      </c>
      <c r="BN756" s="42"/>
      <c r="BO756" s="74"/>
      <c r="BP756" s="77"/>
      <c r="BR756" s="497">
        <v>12.02</v>
      </c>
      <c r="BT756" s="42"/>
    </row>
    <row r="757" spans="1:72" x14ac:dyDescent="0.25">
      <c r="A757" s="90">
        <v>36191</v>
      </c>
      <c r="B757" s="20">
        <v>0.79166666666666663</v>
      </c>
      <c r="D757">
        <v>30.92</v>
      </c>
      <c r="E757" t="str">
        <f t="shared" si="58"/>
        <v>SUNDAY</v>
      </c>
      <c r="F757" t="e">
        <f t="shared" si="59"/>
        <v>#N/A</v>
      </c>
      <c r="G757" s="74">
        <v>27790</v>
      </c>
      <c r="H757" s="77">
        <v>0.79166666666666663</v>
      </c>
      <c r="J757">
        <v>32</v>
      </c>
      <c r="M757" s="74">
        <v>37652</v>
      </c>
      <c r="N757" s="77">
        <v>0.79166666666666663</v>
      </c>
      <c r="P757">
        <v>35.6</v>
      </c>
      <c r="S757" s="74">
        <v>36191</v>
      </c>
      <c r="T757" s="77">
        <v>0.79166666666666663</v>
      </c>
      <c r="V757">
        <v>26.96</v>
      </c>
      <c r="X757" s="42"/>
      <c r="AB757">
        <v>35.200000000000003</v>
      </c>
      <c r="AC757">
        <v>30.02</v>
      </c>
      <c r="AE757" s="74"/>
      <c r="AF757" s="77"/>
      <c r="AH757" s="497">
        <v>22.1</v>
      </c>
      <c r="AJ757" s="42"/>
      <c r="AK757" s="74"/>
      <c r="AL757" s="77"/>
      <c r="AN757" s="497">
        <v>17.96</v>
      </c>
      <c r="AP757" s="42"/>
      <c r="AQ757" s="74"/>
      <c r="AR757" s="77"/>
      <c r="AT757" s="497">
        <v>19.939999999999998</v>
      </c>
      <c r="AV757" s="42"/>
      <c r="AW757" s="74"/>
      <c r="AX757" s="77"/>
      <c r="BA757" s="497">
        <v>8.0599999999999987</v>
      </c>
      <c r="BB757" s="42"/>
      <c r="BC757" s="74"/>
      <c r="BD757" s="77"/>
      <c r="BF757">
        <v>10.940000000000001</v>
      </c>
      <c r="BH757" s="42"/>
      <c r="BI757" s="74"/>
      <c r="BJ757" s="77"/>
      <c r="BL757" s="497">
        <v>8.9599999999999973</v>
      </c>
      <c r="BN757" s="42"/>
      <c r="BO757" s="74"/>
      <c r="BP757" s="77"/>
      <c r="BR757" s="497">
        <v>6.98</v>
      </c>
      <c r="BT757" s="42"/>
    </row>
    <row r="758" spans="1:72" x14ac:dyDescent="0.25">
      <c r="A758" s="90">
        <v>36191</v>
      </c>
      <c r="B758" s="20">
        <v>0.83333333333333337</v>
      </c>
      <c r="D758">
        <v>28.94</v>
      </c>
      <c r="E758" t="str">
        <f t="shared" si="58"/>
        <v>SUNDAY</v>
      </c>
      <c r="F758" t="e">
        <f t="shared" si="59"/>
        <v>#N/A</v>
      </c>
      <c r="G758" s="74">
        <v>27790</v>
      </c>
      <c r="H758" s="77">
        <v>0.83333333333333337</v>
      </c>
      <c r="J758">
        <v>33.08</v>
      </c>
      <c r="M758" s="74">
        <v>37652</v>
      </c>
      <c r="N758" s="77">
        <v>0.83333333333333337</v>
      </c>
      <c r="P758">
        <v>35.6</v>
      </c>
      <c r="S758" s="74">
        <v>36191</v>
      </c>
      <c r="T758" s="77">
        <v>0.83333333333333337</v>
      </c>
      <c r="V758">
        <v>26.96</v>
      </c>
      <c r="X758" s="42"/>
      <c r="AB758">
        <v>34.9</v>
      </c>
      <c r="AC758">
        <v>28.94</v>
      </c>
      <c r="AE758" s="74"/>
      <c r="AF758" s="77"/>
      <c r="AH758" s="497">
        <v>17.600000000000001</v>
      </c>
      <c r="AJ758" s="42"/>
      <c r="AK758" s="74"/>
      <c r="AL758" s="77"/>
      <c r="AN758" s="497">
        <v>17.059999999999999</v>
      </c>
      <c r="AP758" s="42"/>
      <c r="AQ758" s="74"/>
      <c r="AR758" s="77"/>
      <c r="AT758" s="497">
        <v>19.939999999999998</v>
      </c>
      <c r="AV758" s="42"/>
      <c r="AW758" s="74"/>
      <c r="AX758" s="77"/>
      <c r="BA758" s="497">
        <v>6.98</v>
      </c>
      <c r="BB758" s="42"/>
      <c r="BC758" s="74"/>
      <c r="BD758" s="77"/>
      <c r="BF758">
        <v>10.039999999999999</v>
      </c>
      <c r="BH758" s="42"/>
      <c r="BI758" s="74"/>
      <c r="BJ758" s="77"/>
      <c r="BL758" s="497">
        <v>9.32</v>
      </c>
      <c r="BN758" s="42"/>
      <c r="BO758" s="74"/>
      <c r="BP758" s="77"/>
      <c r="BR758" s="497">
        <v>-0.94000000000000483</v>
      </c>
      <c r="BT758" s="42"/>
    </row>
    <row r="759" spans="1:72" x14ac:dyDescent="0.25">
      <c r="A759" s="90">
        <v>36191</v>
      </c>
      <c r="B759" s="20">
        <v>0.875</v>
      </c>
      <c r="D759">
        <v>28.04</v>
      </c>
      <c r="E759" t="str">
        <f t="shared" si="58"/>
        <v>SUNDAY</v>
      </c>
      <c r="F759" t="e">
        <f t="shared" si="59"/>
        <v>#N/A</v>
      </c>
      <c r="G759" s="74">
        <v>27790</v>
      </c>
      <c r="H759" s="77">
        <v>0.875</v>
      </c>
      <c r="J759">
        <v>33.979999999999997</v>
      </c>
      <c r="M759" s="74">
        <v>37652</v>
      </c>
      <c r="N759" s="77">
        <v>0.875</v>
      </c>
      <c r="P759">
        <v>33.799999999999997</v>
      </c>
      <c r="S759" s="74">
        <v>36191</v>
      </c>
      <c r="T759" s="77">
        <v>0.875</v>
      </c>
      <c r="V759">
        <v>24.98</v>
      </c>
      <c r="X759" s="42"/>
      <c r="AB759">
        <v>34.299999999999997</v>
      </c>
      <c r="AC759">
        <v>28.94</v>
      </c>
      <c r="AE759" s="74"/>
      <c r="AF759" s="77"/>
      <c r="AH759" s="497">
        <v>15.8</v>
      </c>
      <c r="AJ759" s="42"/>
      <c r="AK759" s="74"/>
      <c r="AL759" s="77"/>
      <c r="AN759" s="497">
        <v>15.98</v>
      </c>
      <c r="AP759" s="42"/>
      <c r="AQ759" s="74"/>
      <c r="AR759" s="77"/>
      <c r="AT759" s="497">
        <v>19.939999999999998</v>
      </c>
      <c r="AV759" s="42"/>
      <c r="AW759" s="74"/>
      <c r="AX759" s="77"/>
      <c r="BA759" s="497">
        <v>6.0799999999999983</v>
      </c>
      <c r="BB759" s="42"/>
      <c r="BC759" s="74"/>
      <c r="BD759" s="77"/>
      <c r="BF759">
        <v>10.039999999999999</v>
      </c>
      <c r="BH759" s="42"/>
      <c r="BI759" s="74"/>
      <c r="BJ759" s="77"/>
      <c r="BL759" s="497">
        <v>9.68</v>
      </c>
      <c r="BN759" s="42"/>
      <c r="BO759" s="74"/>
      <c r="BP759" s="77"/>
      <c r="BR759" s="497">
        <v>-5.0800000000000054</v>
      </c>
      <c r="BT759" s="42"/>
    </row>
    <row r="760" spans="1:72" x14ac:dyDescent="0.25">
      <c r="A760" s="90">
        <v>36191</v>
      </c>
      <c r="B760" s="20">
        <v>0.91666666666666663</v>
      </c>
      <c r="D760">
        <v>29.48</v>
      </c>
      <c r="E760" t="str">
        <f t="shared" si="58"/>
        <v>SUNDAY</v>
      </c>
      <c r="F760" t="e">
        <f t="shared" si="59"/>
        <v>#N/A</v>
      </c>
      <c r="G760" s="74">
        <v>27790</v>
      </c>
      <c r="H760" s="77">
        <v>0.91666666666666663</v>
      </c>
      <c r="J760">
        <v>36.5</v>
      </c>
      <c r="M760" s="74">
        <v>37652</v>
      </c>
      <c r="N760" s="77">
        <v>0.91666666666666663</v>
      </c>
      <c r="P760">
        <v>31.1</v>
      </c>
      <c r="S760" s="74">
        <v>36191</v>
      </c>
      <c r="T760" s="77">
        <v>0.91666666666666663</v>
      </c>
      <c r="V760">
        <v>26.78</v>
      </c>
      <c r="X760" s="42"/>
      <c r="AB760">
        <v>33.700000000000003</v>
      </c>
      <c r="AC760">
        <v>28.759999999999998</v>
      </c>
      <c r="AE760" s="74"/>
      <c r="AF760" s="77"/>
      <c r="AH760" s="497">
        <v>13.82</v>
      </c>
      <c r="AJ760" s="42"/>
      <c r="AK760" s="74"/>
      <c r="AL760" s="77"/>
      <c r="AN760" s="497">
        <v>20.12</v>
      </c>
      <c r="AP760" s="42"/>
      <c r="AQ760" s="74"/>
      <c r="AR760" s="77"/>
      <c r="AT760" s="497">
        <v>23.9</v>
      </c>
      <c r="AV760" s="42"/>
      <c r="AW760" s="74"/>
      <c r="AX760" s="77"/>
      <c r="BA760" s="497">
        <v>10.039999999999999</v>
      </c>
      <c r="BB760" s="42"/>
      <c r="BC760" s="74"/>
      <c r="BD760" s="77"/>
      <c r="BF760">
        <v>15.259999999999998</v>
      </c>
      <c r="BH760" s="42"/>
      <c r="BI760" s="74"/>
      <c r="BJ760" s="77"/>
      <c r="BL760" s="497">
        <v>15.8</v>
      </c>
      <c r="BN760" s="42"/>
      <c r="BO760" s="74"/>
      <c r="BP760" s="77"/>
      <c r="BR760" s="497">
        <v>2.84</v>
      </c>
      <c r="BT760" s="42"/>
    </row>
    <row r="761" spans="1:72" x14ac:dyDescent="0.25">
      <c r="A761" s="90">
        <v>36191</v>
      </c>
      <c r="B761" s="20">
        <v>0.95833333333333337</v>
      </c>
      <c r="D761">
        <v>30.74</v>
      </c>
      <c r="E761" t="str">
        <f t="shared" si="58"/>
        <v>SUNDAY</v>
      </c>
      <c r="F761" t="e">
        <f t="shared" si="59"/>
        <v>#N/A</v>
      </c>
      <c r="G761" s="74">
        <v>27790</v>
      </c>
      <c r="H761" s="77">
        <v>0.95833333333333337</v>
      </c>
      <c r="J761">
        <v>38.840000000000003</v>
      </c>
      <c r="M761" s="74">
        <v>37652</v>
      </c>
      <c r="N761" s="77">
        <v>0.95833333333333337</v>
      </c>
      <c r="P761">
        <v>28.4</v>
      </c>
      <c r="S761" s="74">
        <v>36191</v>
      </c>
      <c r="T761" s="77">
        <v>0.95833333333333337</v>
      </c>
      <c r="V761">
        <v>28.22</v>
      </c>
      <c r="X761" s="42"/>
      <c r="AB761">
        <v>33.200000000000003</v>
      </c>
      <c r="AC761">
        <v>28.58</v>
      </c>
      <c r="AE761" s="74"/>
      <c r="AF761" s="77"/>
      <c r="AH761" s="497">
        <v>11.659999999999997</v>
      </c>
      <c r="AJ761" s="42"/>
      <c r="AK761" s="74"/>
      <c r="AL761" s="77"/>
      <c r="AN761" s="497">
        <v>24.259999999999998</v>
      </c>
      <c r="AP761" s="42"/>
      <c r="AQ761" s="74"/>
      <c r="AR761" s="77"/>
      <c r="AT761" s="497">
        <v>27.5</v>
      </c>
      <c r="AV761" s="42"/>
      <c r="AW761" s="74"/>
      <c r="AX761" s="77"/>
      <c r="BA761" s="497">
        <v>14</v>
      </c>
      <c r="BB761" s="42"/>
      <c r="BC761" s="74"/>
      <c r="BD761" s="77"/>
      <c r="BF761">
        <v>20.12</v>
      </c>
      <c r="BH761" s="42"/>
      <c r="BI761" s="74"/>
      <c r="BJ761" s="77"/>
      <c r="BL761" s="497">
        <v>21.740000000000002</v>
      </c>
      <c r="BN761" s="42"/>
      <c r="BO761" s="74"/>
      <c r="BP761" s="77"/>
      <c r="BR761" s="497">
        <v>10.579999999999998</v>
      </c>
      <c r="BT761" s="42"/>
    </row>
    <row r="762" spans="1:72" x14ac:dyDescent="0.25">
      <c r="A762" s="90">
        <v>36191</v>
      </c>
      <c r="B762" s="20">
        <v>1</v>
      </c>
      <c r="D762">
        <v>32</v>
      </c>
      <c r="E762" t="str">
        <f t="shared" si="58"/>
        <v>SUNDAY</v>
      </c>
      <c r="F762" t="e">
        <f t="shared" si="59"/>
        <v>#N/A</v>
      </c>
      <c r="G762" s="74">
        <v>27790</v>
      </c>
      <c r="H762" s="77">
        <v>1</v>
      </c>
      <c r="J762">
        <v>41.36</v>
      </c>
      <c r="M762" s="74">
        <v>37652</v>
      </c>
      <c r="N762" s="80">
        <v>1</v>
      </c>
      <c r="P762">
        <v>25.52</v>
      </c>
      <c r="S762" s="74">
        <v>36191</v>
      </c>
      <c r="T762" s="80">
        <v>1</v>
      </c>
      <c r="V762">
        <v>29.84</v>
      </c>
      <c r="X762" s="42"/>
      <c r="AB762">
        <v>32.6</v>
      </c>
      <c r="AC762">
        <v>28.22</v>
      </c>
      <c r="AE762" s="74"/>
      <c r="AF762" s="80"/>
      <c r="AH762" s="497">
        <v>9.5</v>
      </c>
      <c r="AJ762" s="42"/>
      <c r="AK762" s="74"/>
      <c r="AL762" s="80"/>
      <c r="AN762" s="497">
        <v>28.22</v>
      </c>
      <c r="AP762" s="42"/>
      <c r="AQ762" s="74"/>
      <c r="AR762" s="80"/>
      <c r="AT762" s="497">
        <v>31.28</v>
      </c>
      <c r="AV762" s="42"/>
      <c r="AW762" s="74"/>
      <c r="AX762" s="80"/>
      <c r="BA762" s="497">
        <v>17.78</v>
      </c>
      <c r="BB762" s="42"/>
      <c r="BC762" s="74"/>
      <c r="BD762" s="80"/>
      <c r="BF762">
        <v>25.16</v>
      </c>
      <c r="BH762" s="42"/>
      <c r="BI762" s="74"/>
      <c r="BJ762" s="80"/>
      <c r="BL762" s="497">
        <v>27.68</v>
      </c>
      <c r="BN762" s="42"/>
      <c r="BO762" s="74"/>
      <c r="BP762" s="80"/>
      <c r="BR762" s="497">
        <v>18.32</v>
      </c>
      <c r="BT762" s="42"/>
    </row>
    <row r="763" spans="1:72" x14ac:dyDescent="0.25">
      <c r="A763" s="90">
        <v>34731</v>
      </c>
      <c r="B763" s="20">
        <v>4.1666666666666664E-2</v>
      </c>
      <c r="D763">
        <v>33.26</v>
      </c>
      <c r="E763" t="str">
        <f t="shared" si="58"/>
        <v>WEEKDAY</v>
      </c>
      <c r="F763" t="e">
        <f t="shared" si="59"/>
        <v>#N/A</v>
      </c>
      <c r="G763" s="74">
        <v>32174</v>
      </c>
      <c r="H763" s="77">
        <v>4.1666666666666664E-2</v>
      </c>
      <c r="J763">
        <v>43.7</v>
      </c>
      <c r="M763" s="74">
        <v>38018</v>
      </c>
      <c r="N763" s="77">
        <v>4.1666666666666664E-2</v>
      </c>
      <c r="P763">
        <v>22.64</v>
      </c>
      <c r="S763" s="74">
        <v>34731</v>
      </c>
      <c r="T763" s="77">
        <v>4.1666666666666664E-2</v>
      </c>
      <c r="V763">
        <v>31.46</v>
      </c>
      <c r="X763" s="42"/>
      <c r="AB763">
        <v>32.1</v>
      </c>
      <c r="AC763">
        <v>28.04</v>
      </c>
      <c r="AE763" s="74"/>
      <c r="AF763" s="77"/>
      <c r="AH763" s="497">
        <v>7.52</v>
      </c>
      <c r="AJ763" s="42"/>
      <c r="AK763" s="74"/>
      <c r="AL763" s="77"/>
      <c r="AN763" s="497">
        <v>32</v>
      </c>
      <c r="AP763" s="42"/>
      <c r="AQ763" s="74"/>
      <c r="AR763" s="77"/>
      <c r="AT763" s="497">
        <v>34.880000000000003</v>
      </c>
      <c r="AV763" s="42"/>
      <c r="AW763" s="74"/>
      <c r="AX763" s="77"/>
      <c r="BA763" s="497">
        <v>21.740000000000002</v>
      </c>
      <c r="BB763" s="42"/>
      <c r="BC763" s="74"/>
      <c r="BD763" s="77"/>
      <c r="BF763">
        <v>30.2</v>
      </c>
      <c r="BH763" s="42"/>
      <c r="BI763" s="74"/>
      <c r="BJ763" s="77"/>
      <c r="BL763" s="497">
        <v>33.26</v>
      </c>
      <c r="BN763" s="42"/>
      <c r="BO763" s="74"/>
      <c r="BP763" s="77"/>
      <c r="BR763" s="497">
        <v>25.88</v>
      </c>
      <c r="BT763" s="42"/>
    </row>
    <row r="764" spans="1:72" x14ac:dyDescent="0.25">
      <c r="A764" s="90">
        <v>34731</v>
      </c>
      <c r="B764" s="20">
        <v>8.3333333333333329E-2</v>
      </c>
      <c r="D764">
        <v>34.520000000000003</v>
      </c>
      <c r="E764" t="str">
        <f t="shared" si="58"/>
        <v>WEEKDAY</v>
      </c>
      <c r="F764" t="e">
        <f t="shared" si="59"/>
        <v>#N/A</v>
      </c>
      <c r="G764" s="74">
        <v>32174</v>
      </c>
      <c r="H764" s="77">
        <v>8.3333333333333329E-2</v>
      </c>
      <c r="J764">
        <v>46.22</v>
      </c>
      <c r="M764" s="74">
        <v>38018</v>
      </c>
      <c r="N764" s="77">
        <v>8.3333333333333329E-2</v>
      </c>
      <c r="P764">
        <v>19.759999999999998</v>
      </c>
      <c r="S764" s="74">
        <v>34731</v>
      </c>
      <c r="T764" s="77">
        <v>8.3333333333333329E-2</v>
      </c>
      <c r="V764">
        <v>32.9</v>
      </c>
      <c r="X764" s="42"/>
      <c r="AB764">
        <v>31.5</v>
      </c>
      <c r="AC764">
        <v>27.68</v>
      </c>
      <c r="AE764" s="74"/>
      <c r="AF764" s="77"/>
      <c r="AH764" s="497">
        <v>5.3599999999999994</v>
      </c>
      <c r="AJ764" s="42"/>
      <c r="AK764" s="74"/>
      <c r="AL764" s="77"/>
      <c r="AN764" s="497">
        <v>35.96</v>
      </c>
      <c r="AP764" s="42"/>
      <c r="AQ764" s="74"/>
      <c r="AR764" s="77"/>
      <c r="AT764" s="497">
        <v>38.659999999999997</v>
      </c>
      <c r="AV764" s="42"/>
      <c r="AW764" s="74"/>
      <c r="AX764" s="77"/>
      <c r="BA764" s="497">
        <v>25.52</v>
      </c>
      <c r="BB764" s="42"/>
      <c r="BC764" s="74"/>
      <c r="BD764" s="77"/>
      <c r="BF764">
        <v>35.06</v>
      </c>
      <c r="BH764" s="42"/>
      <c r="BI764" s="74"/>
      <c r="BJ764" s="77"/>
      <c r="BL764" s="497">
        <v>39.200000000000003</v>
      </c>
      <c r="BN764" s="42"/>
      <c r="BO764" s="74"/>
      <c r="BP764" s="77"/>
      <c r="BR764" s="497">
        <v>33.44</v>
      </c>
      <c r="BT764" s="42"/>
    </row>
    <row r="765" spans="1:72" x14ac:dyDescent="0.25">
      <c r="A765" s="90">
        <v>34731</v>
      </c>
      <c r="B765" s="20">
        <v>0.125</v>
      </c>
      <c r="D765">
        <v>35.78</v>
      </c>
      <c r="E765" t="str">
        <f t="shared" si="58"/>
        <v>WEEKDAY</v>
      </c>
      <c r="F765" t="e">
        <f t="shared" si="59"/>
        <v>#N/A</v>
      </c>
      <c r="G765" s="74">
        <v>32174</v>
      </c>
      <c r="H765" s="77">
        <v>0.125</v>
      </c>
      <c r="J765">
        <v>48.56</v>
      </c>
      <c r="M765" s="74">
        <v>38018</v>
      </c>
      <c r="N765" s="77">
        <v>0.125</v>
      </c>
      <c r="P765">
        <v>17.059999999999999</v>
      </c>
      <c r="S765" s="74">
        <v>34731</v>
      </c>
      <c r="T765" s="77">
        <v>0.125</v>
      </c>
      <c r="V765">
        <v>34.340000000000003</v>
      </c>
      <c r="X765" s="42"/>
      <c r="AB765">
        <v>31.1</v>
      </c>
      <c r="AC765">
        <v>27.5</v>
      </c>
      <c r="AE765" s="74"/>
      <c r="AF765" s="77"/>
      <c r="AH765" s="497">
        <v>3.1999999999999993</v>
      </c>
      <c r="AJ765" s="42"/>
      <c r="AK765" s="74"/>
      <c r="AL765" s="77"/>
      <c r="AN765" s="497">
        <v>40.1</v>
      </c>
      <c r="AP765" s="42"/>
      <c r="AQ765" s="74"/>
      <c r="AR765" s="77"/>
      <c r="AT765" s="497">
        <v>42.26</v>
      </c>
      <c r="AV765" s="42"/>
      <c r="AW765" s="74"/>
      <c r="AX765" s="77"/>
      <c r="BA765" s="497">
        <v>29.48</v>
      </c>
      <c r="BB765" s="42"/>
      <c r="BC765" s="74"/>
      <c r="BD765" s="77"/>
      <c r="BF765">
        <v>39.92</v>
      </c>
      <c r="BH765" s="42"/>
      <c r="BI765" s="74"/>
      <c r="BJ765" s="77"/>
      <c r="BL765" s="497">
        <v>45.14</v>
      </c>
      <c r="BN765" s="42"/>
      <c r="BO765" s="74"/>
      <c r="BP765" s="77"/>
      <c r="BR765" s="497">
        <v>41.18</v>
      </c>
      <c r="BT765" s="42"/>
    </row>
    <row r="766" spans="1:72" x14ac:dyDescent="0.25">
      <c r="A766" s="90">
        <v>34731</v>
      </c>
      <c r="B766" s="20">
        <v>0.16666666666666666</v>
      </c>
      <c r="D766">
        <v>37.04</v>
      </c>
      <c r="E766" t="str">
        <f t="shared" si="58"/>
        <v>WEEKDAY</v>
      </c>
      <c r="F766" t="e">
        <f t="shared" si="59"/>
        <v>#N/A</v>
      </c>
      <c r="G766" s="74">
        <v>32174</v>
      </c>
      <c r="H766" s="77">
        <v>0.16666666666666666</v>
      </c>
      <c r="J766">
        <v>51.08</v>
      </c>
      <c r="M766" s="74">
        <v>38018</v>
      </c>
      <c r="N766" s="77">
        <v>0.16666666666666666</v>
      </c>
      <c r="P766">
        <v>14</v>
      </c>
      <c r="S766" s="74">
        <v>34731</v>
      </c>
      <c r="T766" s="77">
        <v>0.16666666666666666</v>
      </c>
      <c r="V766">
        <v>35.96</v>
      </c>
      <c r="X766" s="42"/>
      <c r="AB766">
        <v>30.7</v>
      </c>
      <c r="AC766">
        <v>26.96</v>
      </c>
      <c r="AE766" s="74"/>
      <c r="AF766" s="77"/>
      <c r="AH766" s="497">
        <v>0.85999999999999943</v>
      </c>
      <c r="AJ766" s="42"/>
      <c r="AK766" s="74"/>
      <c r="AL766" s="77"/>
      <c r="AN766" s="497">
        <v>44.06</v>
      </c>
      <c r="AP766" s="42"/>
      <c r="AQ766" s="74"/>
      <c r="AR766" s="77"/>
      <c r="AT766" s="497">
        <v>46.04</v>
      </c>
      <c r="AV766" s="42"/>
      <c r="AW766" s="74"/>
      <c r="AX766" s="77"/>
      <c r="BA766" s="497">
        <v>33.08</v>
      </c>
      <c r="BB766" s="42"/>
      <c r="BC766" s="74"/>
      <c r="BD766" s="77"/>
      <c r="BF766">
        <v>44.96</v>
      </c>
      <c r="BH766" s="42"/>
      <c r="BI766" s="74"/>
      <c r="BJ766" s="77"/>
      <c r="BL766" s="497">
        <v>51.08</v>
      </c>
      <c r="BN766" s="42"/>
      <c r="BO766" s="74"/>
      <c r="BP766" s="77"/>
      <c r="BR766" s="497">
        <v>48.92</v>
      </c>
      <c r="BT766" s="42"/>
    </row>
    <row r="767" spans="1:72" x14ac:dyDescent="0.25">
      <c r="A767" s="90">
        <v>34731</v>
      </c>
      <c r="B767" s="20">
        <v>0.20833333333333334</v>
      </c>
      <c r="D767">
        <v>35.96</v>
      </c>
      <c r="E767" t="str">
        <f t="shared" si="58"/>
        <v>WEEKDAY</v>
      </c>
      <c r="F767" t="e">
        <f t="shared" si="59"/>
        <v>#N/A</v>
      </c>
      <c r="G767" s="74">
        <v>32174</v>
      </c>
      <c r="H767" s="77">
        <v>0.20833333333333334</v>
      </c>
      <c r="J767">
        <v>51.08</v>
      </c>
      <c r="M767" s="74">
        <v>38018</v>
      </c>
      <c r="N767" s="77">
        <v>0.20833333333333334</v>
      </c>
      <c r="P767">
        <v>11.3</v>
      </c>
      <c r="S767" s="74">
        <v>34731</v>
      </c>
      <c r="T767" s="77">
        <v>0.20833333333333334</v>
      </c>
      <c r="V767">
        <v>35.96</v>
      </c>
      <c r="X767" s="42"/>
      <c r="AB767">
        <v>30.3</v>
      </c>
      <c r="AC767">
        <v>26.96</v>
      </c>
      <c r="AE767" s="74"/>
      <c r="AF767" s="77"/>
      <c r="AH767" s="497">
        <v>0.85999999999999943</v>
      </c>
      <c r="AJ767" s="42"/>
      <c r="AK767" s="74"/>
      <c r="AL767" s="77"/>
      <c r="AN767" s="497">
        <v>41</v>
      </c>
      <c r="AP767" s="42"/>
      <c r="AQ767" s="74"/>
      <c r="AR767" s="77"/>
      <c r="AT767" s="497">
        <v>46.04</v>
      </c>
      <c r="AV767" s="42"/>
      <c r="AW767" s="74"/>
      <c r="AX767" s="77"/>
      <c r="BA767" s="497">
        <v>33.979999999999997</v>
      </c>
      <c r="BB767" s="42"/>
      <c r="BC767" s="74"/>
      <c r="BD767" s="77"/>
      <c r="BF767">
        <v>44.96</v>
      </c>
      <c r="BH767" s="42"/>
      <c r="BI767" s="74"/>
      <c r="BJ767" s="77"/>
      <c r="BL767" s="497">
        <v>50</v>
      </c>
      <c r="BN767" s="42"/>
      <c r="BO767" s="74"/>
      <c r="BP767" s="77"/>
      <c r="BR767" s="497">
        <v>48.92</v>
      </c>
      <c r="BT767" s="42"/>
    </row>
    <row r="768" spans="1:72" x14ac:dyDescent="0.25">
      <c r="A768" s="90">
        <v>34731</v>
      </c>
      <c r="B768" s="20">
        <v>0.25</v>
      </c>
      <c r="D768">
        <v>35.06</v>
      </c>
      <c r="E768" t="str">
        <f t="shared" si="58"/>
        <v>WEEKDAY</v>
      </c>
      <c r="F768" t="e">
        <f t="shared" si="59"/>
        <v>#N/A</v>
      </c>
      <c r="G768" s="74">
        <v>32174</v>
      </c>
      <c r="H768" s="77">
        <v>0.25</v>
      </c>
      <c r="J768">
        <v>53.06</v>
      </c>
      <c r="M768" s="74">
        <v>38018</v>
      </c>
      <c r="N768" s="77">
        <v>0.25</v>
      </c>
      <c r="P768">
        <v>8.5999999999999979</v>
      </c>
      <c r="S768" s="74">
        <v>34731</v>
      </c>
      <c r="T768" s="77">
        <v>0.25</v>
      </c>
      <c r="V768">
        <v>35.06</v>
      </c>
      <c r="X768" s="42"/>
      <c r="AB768">
        <v>30</v>
      </c>
      <c r="AC768">
        <v>26.060000000000002</v>
      </c>
      <c r="AE768" s="74"/>
      <c r="AF768" s="77"/>
      <c r="AH768" s="497">
        <v>-3.9999999999999147E-2</v>
      </c>
      <c r="AJ768" s="42"/>
      <c r="AK768" s="74"/>
      <c r="AL768" s="77"/>
      <c r="AN768" s="497">
        <v>39.019999999999996</v>
      </c>
      <c r="AP768" s="42"/>
      <c r="AQ768" s="74"/>
      <c r="AR768" s="77"/>
      <c r="AT768" s="497">
        <v>46.04</v>
      </c>
      <c r="AV768" s="42"/>
      <c r="AW768" s="74"/>
      <c r="AX768" s="77"/>
      <c r="BA768" s="497">
        <v>30.02</v>
      </c>
      <c r="BB768" s="42"/>
      <c r="BC768" s="74"/>
      <c r="BD768" s="77"/>
      <c r="BF768">
        <v>44.96</v>
      </c>
      <c r="BH768" s="42"/>
      <c r="BI768" s="74"/>
      <c r="BJ768" s="77"/>
      <c r="BL768" s="497">
        <v>48.92</v>
      </c>
      <c r="BN768" s="42"/>
      <c r="BO768" s="74"/>
      <c r="BP768" s="77"/>
      <c r="BR768" s="497">
        <v>50</v>
      </c>
      <c r="BT768" s="42"/>
    </row>
    <row r="769" spans="1:72" x14ac:dyDescent="0.25">
      <c r="A769" s="90">
        <v>34731</v>
      </c>
      <c r="B769" s="20">
        <v>0.29166666666666669</v>
      </c>
      <c r="D769">
        <v>35.96</v>
      </c>
      <c r="E769" t="str">
        <f t="shared" si="58"/>
        <v>WEEKDAY</v>
      </c>
      <c r="F769" t="e">
        <f t="shared" si="59"/>
        <v>#N/A</v>
      </c>
      <c r="G769" s="74">
        <v>32174</v>
      </c>
      <c r="H769" s="77">
        <v>0.29166666666666669</v>
      </c>
      <c r="J769">
        <v>53.06</v>
      </c>
      <c r="M769" s="74">
        <v>38018</v>
      </c>
      <c r="N769" s="77">
        <v>0.29166666666666669</v>
      </c>
      <c r="P769">
        <v>6.8000000000000007</v>
      </c>
      <c r="S769" s="74">
        <v>34731</v>
      </c>
      <c r="T769" s="77">
        <v>0.29166666666666669</v>
      </c>
      <c r="V769">
        <v>35.96</v>
      </c>
      <c r="X769" s="42"/>
      <c r="AB769">
        <v>29.8</v>
      </c>
      <c r="AC769">
        <v>26.060000000000002</v>
      </c>
      <c r="AE769" s="74"/>
      <c r="AF769" s="77"/>
      <c r="AH769" s="497">
        <v>-3.9999999999999147E-2</v>
      </c>
      <c r="AJ769" s="42"/>
      <c r="AK769" s="74"/>
      <c r="AL769" s="77"/>
      <c r="AN769" s="497">
        <v>35.06</v>
      </c>
      <c r="AP769" s="42"/>
      <c r="AQ769" s="74"/>
      <c r="AR769" s="77"/>
      <c r="AT769" s="497">
        <v>46.04</v>
      </c>
      <c r="AV769" s="42"/>
      <c r="AW769" s="74"/>
      <c r="AX769" s="77"/>
      <c r="BA769" s="497">
        <v>28.04</v>
      </c>
      <c r="BB769" s="42"/>
      <c r="BC769" s="74"/>
      <c r="BD769" s="77"/>
      <c r="BF769">
        <v>42.980000000000004</v>
      </c>
      <c r="BH769" s="42"/>
      <c r="BI769" s="74"/>
      <c r="BJ769" s="77"/>
      <c r="BL769" s="497">
        <v>48.019999999999996</v>
      </c>
      <c r="BN769" s="42"/>
      <c r="BO769" s="74"/>
      <c r="BP769" s="77"/>
      <c r="BR769" s="497">
        <v>48.92</v>
      </c>
      <c r="BT769" s="42"/>
    </row>
    <row r="770" spans="1:72" x14ac:dyDescent="0.25">
      <c r="A770" s="90">
        <v>34731</v>
      </c>
      <c r="B770" s="20">
        <v>0.33333333333333331</v>
      </c>
      <c r="D770">
        <v>37.94</v>
      </c>
      <c r="E770" t="str">
        <f t="shared" si="58"/>
        <v>WEEKDAY</v>
      </c>
      <c r="F770" t="e">
        <f t="shared" si="59"/>
        <v>#N/A</v>
      </c>
      <c r="G770" s="74">
        <v>32174</v>
      </c>
      <c r="H770" s="77">
        <v>0.33333333333333331</v>
      </c>
      <c r="J770">
        <v>53.06</v>
      </c>
      <c r="M770" s="74">
        <v>38018</v>
      </c>
      <c r="N770" s="77">
        <v>0.33333333333333331</v>
      </c>
      <c r="P770">
        <v>12.2</v>
      </c>
      <c r="S770" s="74">
        <v>34731</v>
      </c>
      <c r="T770" s="77">
        <v>0.33333333333333331</v>
      </c>
      <c r="V770">
        <v>37.04</v>
      </c>
      <c r="X770" s="42"/>
      <c r="AB770">
        <v>29.7</v>
      </c>
      <c r="AC770">
        <v>28.04</v>
      </c>
      <c r="AE770" s="74"/>
      <c r="AF770" s="77"/>
      <c r="AH770" s="497">
        <v>-3.9999999999999147E-2</v>
      </c>
      <c r="AJ770" s="42"/>
      <c r="AK770" s="74"/>
      <c r="AL770" s="77"/>
      <c r="AN770" s="497">
        <v>28.04</v>
      </c>
      <c r="AP770" s="42"/>
      <c r="AQ770" s="74"/>
      <c r="AR770" s="77"/>
      <c r="AT770" s="497">
        <v>46.04</v>
      </c>
      <c r="AV770" s="42"/>
      <c r="AW770" s="74"/>
      <c r="AX770" s="77"/>
      <c r="BA770" s="497">
        <v>24.98</v>
      </c>
      <c r="BB770" s="42"/>
      <c r="BC770" s="74"/>
      <c r="BD770" s="77"/>
      <c r="BF770">
        <v>41</v>
      </c>
      <c r="BH770" s="42"/>
      <c r="BI770" s="74"/>
      <c r="BJ770" s="77"/>
      <c r="BL770" s="497">
        <v>46.94</v>
      </c>
      <c r="BN770" s="42"/>
      <c r="BO770" s="74"/>
      <c r="BP770" s="77"/>
      <c r="BR770" s="497">
        <v>48.92</v>
      </c>
      <c r="BT770" s="42"/>
    </row>
    <row r="771" spans="1:72" x14ac:dyDescent="0.25">
      <c r="A771" s="90">
        <v>34731</v>
      </c>
      <c r="B771" s="20">
        <v>0.375</v>
      </c>
      <c r="D771">
        <v>39.92</v>
      </c>
      <c r="E771" t="str">
        <f t="shared" si="58"/>
        <v>WEEKDAY</v>
      </c>
      <c r="F771" t="e">
        <f t="shared" si="59"/>
        <v>#N/A</v>
      </c>
      <c r="G771" s="74">
        <v>32174</v>
      </c>
      <c r="H771" s="77">
        <v>0.375</v>
      </c>
      <c r="J771">
        <v>55.040000000000006</v>
      </c>
      <c r="M771" s="74">
        <v>38018</v>
      </c>
      <c r="N771" s="77">
        <v>0.375</v>
      </c>
      <c r="P771">
        <v>17.600000000000001</v>
      </c>
      <c r="S771" s="74">
        <v>34731</v>
      </c>
      <c r="T771" s="77">
        <v>0.375</v>
      </c>
      <c r="V771">
        <v>39.019999999999996</v>
      </c>
      <c r="X771" s="42"/>
      <c r="AB771">
        <v>30.5</v>
      </c>
      <c r="AC771">
        <v>30.02</v>
      </c>
      <c r="AE771" s="74"/>
      <c r="AF771" s="77"/>
      <c r="AH771" s="497">
        <v>5.8999999999999986</v>
      </c>
      <c r="AJ771" s="42"/>
      <c r="AK771" s="74"/>
      <c r="AL771" s="77"/>
      <c r="AN771" s="497">
        <v>24.08</v>
      </c>
      <c r="AP771" s="42"/>
      <c r="AQ771" s="74"/>
      <c r="AR771" s="77"/>
      <c r="AT771" s="497">
        <v>46.04</v>
      </c>
      <c r="AV771" s="42"/>
      <c r="AW771" s="74"/>
      <c r="AX771" s="77"/>
      <c r="BA771" s="497">
        <v>21.02</v>
      </c>
      <c r="BB771" s="42"/>
      <c r="BC771" s="74"/>
      <c r="BD771" s="77"/>
      <c r="BF771">
        <v>42.08</v>
      </c>
      <c r="BH771" s="42"/>
      <c r="BI771" s="74"/>
      <c r="BJ771" s="77"/>
      <c r="BL771" s="497">
        <v>46.94</v>
      </c>
      <c r="BN771" s="42"/>
      <c r="BO771" s="74"/>
      <c r="BP771" s="77"/>
      <c r="BR771" s="497">
        <v>48.92</v>
      </c>
      <c r="BT771" s="42"/>
    </row>
    <row r="772" spans="1:72" x14ac:dyDescent="0.25">
      <c r="A772" s="90">
        <v>34731</v>
      </c>
      <c r="B772" s="20">
        <v>0.41666666666666669</v>
      </c>
      <c r="D772">
        <v>41</v>
      </c>
      <c r="E772" t="str">
        <f t="shared" si="58"/>
        <v>WEEKDAY</v>
      </c>
      <c r="F772" t="e">
        <f t="shared" si="59"/>
        <v>#N/A</v>
      </c>
      <c r="G772" s="74">
        <v>32174</v>
      </c>
      <c r="H772" s="77">
        <v>0.41666666666666669</v>
      </c>
      <c r="J772">
        <v>53.96</v>
      </c>
      <c r="M772" s="74">
        <v>38018</v>
      </c>
      <c r="N772" s="77">
        <v>0.41666666666666669</v>
      </c>
      <c r="P772">
        <v>21.2</v>
      </c>
      <c r="S772" s="74">
        <v>34731</v>
      </c>
      <c r="T772" s="77">
        <v>0.41666666666666669</v>
      </c>
      <c r="V772">
        <v>41</v>
      </c>
      <c r="X772" s="42"/>
      <c r="AB772">
        <v>32.1</v>
      </c>
      <c r="AC772">
        <v>30.92</v>
      </c>
      <c r="AE772" s="74"/>
      <c r="AF772" s="77"/>
      <c r="AH772" s="497">
        <v>11.84</v>
      </c>
      <c r="AJ772" s="42"/>
      <c r="AK772" s="74"/>
      <c r="AL772" s="77"/>
      <c r="AN772" s="497">
        <v>23</v>
      </c>
      <c r="AP772" s="42"/>
      <c r="AQ772" s="74"/>
      <c r="AR772" s="77"/>
      <c r="AT772" s="497">
        <v>46.04</v>
      </c>
      <c r="AV772" s="42"/>
      <c r="AW772" s="74"/>
      <c r="AX772" s="77"/>
      <c r="BA772" s="497">
        <v>17.96</v>
      </c>
      <c r="BB772" s="42"/>
      <c r="BC772" s="74"/>
      <c r="BD772" s="77"/>
      <c r="BF772">
        <v>41</v>
      </c>
      <c r="BH772" s="42"/>
      <c r="BI772" s="74"/>
      <c r="BJ772" s="77"/>
      <c r="BL772" s="497">
        <v>44.06</v>
      </c>
      <c r="BN772" s="42"/>
      <c r="BO772" s="74"/>
      <c r="BP772" s="77"/>
      <c r="BR772" s="497">
        <v>48.92</v>
      </c>
      <c r="BT772" s="42"/>
    </row>
    <row r="773" spans="1:72" x14ac:dyDescent="0.25">
      <c r="A773" s="90">
        <v>34731</v>
      </c>
      <c r="B773" s="20">
        <v>0.45833333333333331</v>
      </c>
      <c r="D773">
        <v>44.06</v>
      </c>
      <c r="E773" t="str">
        <f t="shared" si="58"/>
        <v>WEEKDAY</v>
      </c>
      <c r="F773" t="e">
        <f t="shared" si="59"/>
        <v>#N/A</v>
      </c>
      <c r="G773" s="74">
        <v>32174</v>
      </c>
      <c r="H773" s="77">
        <v>0.45833333333333331</v>
      </c>
      <c r="J773">
        <v>55.94</v>
      </c>
      <c r="M773" s="74">
        <v>38018</v>
      </c>
      <c r="N773" s="77">
        <v>0.45833333333333331</v>
      </c>
      <c r="P773">
        <v>26.6</v>
      </c>
      <c r="S773" s="74">
        <v>34731</v>
      </c>
      <c r="T773" s="77">
        <v>0.45833333333333331</v>
      </c>
      <c r="V773">
        <v>44.06</v>
      </c>
      <c r="X773" s="42"/>
      <c r="AB773">
        <v>33.6</v>
      </c>
      <c r="AC773">
        <v>32</v>
      </c>
      <c r="AE773" s="74"/>
      <c r="AF773" s="77"/>
      <c r="AH773" s="497">
        <v>15.98</v>
      </c>
      <c r="AJ773" s="42"/>
      <c r="AK773" s="74"/>
      <c r="AL773" s="77"/>
      <c r="AN773" s="497">
        <v>21.92</v>
      </c>
      <c r="AP773" s="42"/>
      <c r="AQ773" s="74"/>
      <c r="AR773" s="77"/>
      <c r="AT773" s="497">
        <v>46.04</v>
      </c>
      <c r="AV773" s="42"/>
      <c r="AW773" s="74"/>
      <c r="AX773" s="77"/>
      <c r="BA773" s="497">
        <v>19.04</v>
      </c>
      <c r="BB773" s="42"/>
      <c r="BC773" s="74"/>
      <c r="BD773" s="77"/>
      <c r="BF773">
        <v>39.92</v>
      </c>
      <c r="BH773" s="42"/>
      <c r="BI773" s="74"/>
      <c r="BJ773" s="77"/>
      <c r="BL773" s="497">
        <v>39.92</v>
      </c>
      <c r="BN773" s="42"/>
      <c r="BO773" s="74"/>
      <c r="BP773" s="77"/>
      <c r="BR773" s="497">
        <v>48.92</v>
      </c>
      <c r="BT773" s="42"/>
    </row>
    <row r="774" spans="1:72" x14ac:dyDescent="0.25">
      <c r="A774" s="90">
        <v>34731</v>
      </c>
      <c r="B774" s="20">
        <v>0.5</v>
      </c>
      <c r="D774">
        <v>44.96</v>
      </c>
      <c r="E774" t="str">
        <f t="shared" si="58"/>
        <v>WEEKDAY</v>
      </c>
      <c r="F774" t="e">
        <f t="shared" si="59"/>
        <v>#N/A</v>
      </c>
      <c r="G774" s="74">
        <v>32174</v>
      </c>
      <c r="H774" s="77">
        <v>0.5</v>
      </c>
      <c r="J774">
        <v>57.019999999999996</v>
      </c>
      <c r="M774" s="74">
        <v>38018</v>
      </c>
      <c r="N774" s="77">
        <v>0.5</v>
      </c>
      <c r="P774">
        <v>28.4</v>
      </c>
      <c r="S774" s="74">
        <v>34731</v>
      </c>
      <c r="T774" s="77">
        <v>0.5</v>
      </c>
      <c r="V774">
        <v>48.019999999999996</v>
      </c>
      <c r="X774" s="42"/>
      <c r="AB774">
        <v>35</v>
      </c>
      <c r="AC774">
        <v>33.08</v>
      </c>
      <c r="AE774" s="74"/>
      <c r="AF774" s="77"/>
      <c r="AH774" s="497">
        <v>15.98</v>
      </c>
      <c r="AJ774" s="42"/>
      <c r="AK774" s="74"/>
      <c r="AL774" s="77"/>
      <c r="AN774" s="497">
        <v>21.02</v>
      </c>
      <c r="AP774" s="42"/>
      <c r="AQ774" s="74"/>
      <c r="AR774" s="77"/>
      <c r="AT774" s="497">
        <v>46.94</v>
      </c>
      <c r="AV774" s="42"/>
      <c r="AW774" s="74"/>
      <c r="AX774" s="77"/>
      <c r="BA774" s="497">
        <v>19.939999999999998</v>
      </c>
      <c r="BB774" s="42"/>
      <c r="BC774" s="74"/>
      <c r="BD774" s="77"/>
      <c r="BF774">
        <v>37.94</v>
      </c>
      <c r="BH774" s="42"/>
      <c r="BI774" s="74"/>
      <c r="BJ774" s="77"/>
      <c r="BL774" s="497">
        <v>39.019999999999996</v>
      </c>
      <c r="BN774" s="42"/>
      <c r="BO774" s="74"/>
      <c r="BP774" s="77"/>
      <c r="BR774" s="497">
        <v>44.96</v>
      </c>
      <c r="BT774" s="42"/>
    </row>
    <row r="775" spans="1:72" x14ac:dyDescent="0.25">
      <c r="A775" s="90">
        <v>34731</v>
      </c>
      <c r="B775" s="20">
        <v>0.54166666666666663</v>
      </c>
      <c r="D775">
        <v>46.04</v>
      </c>
      <c r="E775" t="str">
        <f t="shared" si="58"/>
        <v>WEEKDAY</v>
      </c>
      <c r="F775" t="e">
        <f t="shared" si="59"/>
        <v>#N/A</v>
      </c>
      <c r="G775" s="74">
        <v>32174</v>
      </c>
      <c r="H775" s="77">
        <v>0.54166666666666663</v>
      </c>
      <c r="J775">
        <v>59</v>
      </c>
      <c r="M775" s="74">
        <v>38018</v>
      </c>
      <c r="N775" s="77">
        <v>0.54166666666666663</v>
      </c>
      <c r="P775">
        <v>30.2</v>
      </c>
      <c r="S775" s="74">
        <v>34731</v>
      </c>
      <c r="T775" s="77">
        <v>0.54166666666666663</v>
      </c>
      <c r="V775">
        <v>48.019999999999996</v>
      </c>
      <c r="X775" s="42"/>
      <c r="AB775">
        <v>36.1</v>
      </c>
      <c r="AC775">
        <v>33.979999999999997</v>
      </c>
      <c r="AE775" s="74"/>
      <c r="AF775" s="77"/>
      <c r="AH775" s="497">
        <v>17.96</v>
      </c>
      <c r="AJ775" s="42"/>
      <c r="AK775" s="74"/>
      <c r="AL775" s="77"/>
      <c r="AN775" s="497">
        <v>23</v>
      </c>
      <c r="AP775" s="42"/>
      <c r="AQ775" s="74"/>
      <c r="AR775" s="77"/>
      <c r="AT775" s="497">
        <v>46.94</v>
      </c>
      <c r="AV775" s="42"/>
      <c r="AW775" s="74"/>
      <c r="AX775" s="77"/>
      <c r="BA775" s="497">
        <v>17.96</v>
      </c>
      <c r="BB775" s="42"/>
      <c r="BC775" s="74"/>
      <c r="BD775" s="77"/>
      <c r="BF775">
        <v>37.94</v>
      </c>
      <c r="BH775" s="42"/>
      <c r="BI775" s="74"/>
      <c r="BJ775" s="77"/>
      <c r="BL775" s="497">
        <v>37.94</v>
      </c>
      <c r="BN775" s="42"/>
      <c r="BO775" s="74"/>
      <c r="BP775" s="77"/>
      <c r="BR775" s="497">
        <v>44.06</v>
      </c>
      <c r="BT775" s="42"/>
    </row>
    <row r="776" spans="1:72" x14ac:dyDescent="0.25">
      <c r="A776" s="90">
        <v>34731</v>
      </c>
      <c r="B776" s="20">
        <v>0.58333333333333337</v>
      </c>
      <c r="D776">
        <v>46.04</v>
      </c>
      <c r="E776" t="str">
        <f t="shared" si="58"/>
        <v>WEEKDAY</v>
      </c>
      <c r="F776" t="e">
        <f t="shared" si="59"/>
        <v>#N/A</v>
      </c>
      <c r="G776" s="74">
        <v>32174</v>
      </c>
      <c r="H776" s="77">
        <v>0.58333333333333337</v>
      </c>
      <c r="J776">
        <v>60.08</v>
      </c>
      <c r="M776" s="74">
        <v>38018</v>
      </c>
      <c r="N776" s="77">
        <v>0.58333333333333337</v>
      </c>
      <c r="P776">
        <v>30.2</v>
      </c>
      <c r="S776" s="74">
        <v>34731</v>
      </c>
      <c r="T776" s="77">
        <v>0.58333333333333337</v>
      </c>
      <c r="V776">
        <v>46.94</v>
      </c>
      <c r="X776" s="42"/>
      <c r="AB776">
        <v>37</v>
      </c>
      <c r="AC776">
        <v>35.06</v>
      </c>
      <c r="AE776" s="74"/>
      <c r="AF776" s="77"/>
      <c r="AH776" s="497">
        <v>17.96</v>
      </c>
      <c r="AJ776" s="42"/>
      <c r="AK776" s="74"/>
      <c r="AL776" s="77"/>
      <c r="AN776" s="497">
        <v>26.060000000000002</v>
      </c>
      <c r="AP776" s="42"/>
      <c r="AQ776" s="74"/>
      <c r="AR776" s="77"/>
      <c r="AT776" s="497">
        <v>48.019999999999996</v>
      </c>
      <c r="AV776" s="42"/>
      <c r="AW776" s="74"/>
      <c r="AX776" s="77"/>
      <c r="BA776" s="497">
        <v>19.939999999999998</v>
      </c>
      <c r="BB776" s="42"/>
      <c r="BC776" s="74"/>
      <c r="BD776" s="77"/>
      <c r="BF776">
        <v>37.94</v>
      </c>
      <c r="BH776" s="42"/>
      <c r="BI776" s="74"/>
      <c r="BJ776" s="77"/>
      <c r="BL776" s="497">
        <v>37.94</v>
      </c>
      <c r="BN776" s="42"/>
      <c r="BO776" s="74"/>
      <c r="BP776" s="77"/>
      <c r="BR776" s="497">
        <v>44.06</v>
      </c>
      <c r="BT776" s="42"/>
    </row>
    <row r="777" spans="1:72" x14ac:dyDescent="0.25">
      <c r="A777" s="90">
        <v>34731</v>
      </c>
      <c r="B777" s="20">
        <v>0.625</v>
      </c>
      <c r="D777">
        <v>46.94</v>
      </c>
      <c r="E777" t="str">
        <f t="shared" si="58"/>
        <v>WEEKDAY</v>
      </c>
      <c r="F777" t="e">
        <f t="shared" si="59"/>
        <v>#N/A</v>
      </c>
      <c r="G777" s="74">
        <v>32174</v>
      </c>
      <c r="H777" s="77">
        <v>0.625</v>
      </c>
      <c r="J777">
        <v>60.980000000000004</v>
      </c>
      <c r="M777" s="74">
        <v>38018</v>
      </c>
      <c r="N777" s="77">
        <v>0.625</v>
      </c>
      <c r="P777">
        <v>32</v>
      </c>
      <c r="S777" s="74">
        <v>34731</v>
      </c>
      <c r="T777" s="77">
        <v>0.625</v>
      </c>
      <c r="V777">
        <v>46.04</v>
      </c>
      <c r="X777" s="42"/>
      <c r="AB777">
        <v>37.6</v>
      </c>
      <c r="AC777">
        <v>35.06</v>
      </c>
      <c r="AE777" s="74"/>
      <c r="AF777" s="77"/>
      <c r="AH777" s="497">
        <v>19.939999999999998</v>
      </c>
      <c r="AJ777" s="42"/>
      <c r="AK777" s="74"/>
      <c r="AL777" s="77"/>
      <c r="AN777" s="497">
        <v>26.060000000000002</v>
      </c>
      <c r="AP777" s="42"/>
      <c r="AQ777" s="74"/>
      <c r="AR777" s="77"/>
      <c r="AT777" s="497">
        <v>48.019999999999996</v>
      </c>
      <c r="AV777" s="42"/>
      <c r="AW777" s="74"/>
      <c r="AX777" s="77"/>
      <c r="BA777" s="497">
        <v>23</v>
      </c>
      <c r="BB777" s="42"/>
      <c r="BC777" s="74"/>
      <c r="BD777" s="77"/>
      <c r="BF777">
        <v>37.04</v>
      </c>
      <c r="BH777" s="42"/>
      <c r="BI777" s="74"/>
      <c r="BJ777" s="77"/>
      <c r="BL777" s="497">
        <v>37.94</v>
      </c>
      <c r="BN777" s="42"/>
      <c r="BO777" s="74"/>
      <c r="BP777" s="77"/>
      <c r="BR777" s="497">
        <v>42.08</v>
      </c>
      <c r="BT777" s="42"/>
    </row>
    <row r="778" spans="1:72" x14ac:dyDescent="0.25">
      <c r="A778" s="90">
        <v>34731</v>
      </c>
      <c r="B778" s="20">
        <v>0.66666666666666663</v>
      </c>
      <c r="D778">
        <v>46.04</v>
      </c>
      <c r="E778" t="str">
        <f t="shared" si="58"/>
        <v>WEEKDAY</v>
      </c>
      <c r="F778" t="e">
        <f t="shared" si="59"/>
        <v>#N/A</v>
      </c>
      <c r="G778" s="74">
        <v>32174</v>
      </c>
      <c r="H778" s="77">
        <v>0.66666666666666663</v>
      </c>
      <c r="J778">
        <v>59</v>
      </c>
      <c r="M778" s="74">
        <v>38018</v>
      </c>
      <c r="N778" s="77">
        <v>0.66666666666666663</v>
      </c>
      <c r="P778">
        <v>32</v>
      </c>
      <c r="S778" s="74">
        <v>34731</v>
      </c>
      <c r="T778" s="77">
        <v>0.66666666666666663</v>
      </c>
      <c r="V778">
        <v>44.96</v>
      </c>
      <c r="X778" s="42"/>
      <c r="AB778">
        <v>37.799999999999997</v>
      </c>
      <c r="AC778">
        <v>35.06</v>
      </c>
      <c r="AE778" s="74"/>
      <c r="AF778" s="77"/>
      <c r="AH778" s="497">
        <v>20.84</v>
      </c>
      <c r="AJ778" s="42"/>
      <c r="AK778" s="74"/>
      <c r="AL778" s="77"/>
      <c r="AN778" s="497">
        <v>26.060000000000002</v>
      </c>
      <c r="AP778" s="42"/>
      <c r="AQ778" s="74"/>
      <c r="AR778" s="77"/>
      <c r="AT778" s="497">
        <v>48.019999999999996</v>
      </c>
      <c r="AV778" s="42"/>
      <c r="AW778" s="74"/>
      <c r="AX778" s="77"/>
      <c r="BA778" s="497">
        <v>24.98</v>
      </c>
      <c r="BB778" s="42"/>
      <c r="BC778" s="74"/>
      <c r="BD778" s="77"/>
      <c r="BF778">
        <v>35.96</v>
      </c>
      <c r="BH778" s="42"/>
      <c r="BI778" s="74"/>
      <c r="BJ778" s="77"/>
      <c r="BL778" s="497">
        <v>37.94</v>
      </c>
      <c r="BN778" s="42"/>
      <c r="BO778" s="74"/>
      <c r="BP778" s="77"/>
      <c r="BR778" s="497">
        <v>41</v>
      </c>
      <c r="BT778" s="42"/>
    </row>
    <row r="779" spans="1:72" x14ac:dyDescent="0.25">
      <c r="A779" s="90">
        <v>34731</v>
      </c>
      <c r="B779" s="20">
        <v>0.70833333333333337</v>
      </c>
      <c r="D779">
        <v>44.96</v>
      </c>
      <c r="E779" t="str">
        <f t="shared" si="58"/>
        <v>WEEKDAY</v>
      </c>
      <c r="F779" t="e">
        <f t="shared" si="59"/>
        <v>#N/A</v>
      </c>
      <c r="G779" s="74">
        <v>32174</v>
      </c>
      <c r="H779" s="77">
        <v>0.70833333333333337</v>
      </c>
      <c r="J779">
        <v>55.94</v>
      </c>
      <c r="M779" s="74">
        <v>38018</v>
      </c>
      <c r="N779" s="77">
        <v>0.70833333333333337</v>
      </c>
      <c r="P779">
        <v>30.2</v>
      </c>
      <c r="S779" s="74">
        <v>34731</v>
      </c>
      <c r="T779" s="77">
        <v>0.70833333333333337</v>
      </c>
      <c r="V779">
        <v>44.96</v>
      </c>
      <c r="X779" s="42"/>
      <c r="AB779">
        <v>37.200000000000003</v>
      </c>
      <c r="AC779">
        <v>33.08</v>
      </c>
      <c r="AE779" s="74"/>
      <c r="AF779" s="77"/>
      <c r="AH779" s="497">
        <v>20.84</v>
      </c>
      <c r="AJ779" s="42"/>
      <c r="AK779" s="74"/>
      <c r="AL779" s="77"/>
      <c r="AN779" s="497">
        <v>24.08</v>
      </c>
      <c r="AP779" s="42"/>
      <c r="AQ779" s="74"/>
      <c r="AR779" s="77"/>
      <c r="AT779" s="497">
        <v>48.019999999999996</v>
      </c>
      <c r="AV779" s="42"/>
      <c r="AW779" s="74"/>
      <c r="AX779" s="77"/>
      <c r="BA779" s="497">
        <v>24.98</v>
      </c>
      <c r="BB779" s="42"/>
      <c r="BC779" s="74"/>
      <c r="BD779" s="77"/>
      <c r="BF779">
        <v>35.96</v>
      </c>
      <c r="BH779" s="42"/>
      <c r="BI779" s="74"/>
      <c r="BJ779" s="77"/>
      <c r="BL779" s="497">
        <v>39.019999999999996</v>
      </c>
      <c r="BN779" s="42"/>
      <c r="BO779" s="74"/>
      <c r="BP779" s="77"/>
      <c r="BR779" s="497">
        <v>41</v>
      </c>
      <c r="BT779" s="42"/>
    </row>
    <row r="780" spans="1:72" x14ac:dyDescent="0.25">
      <c r="A780" s="90">
        <v>34731</v>
      </c>
      <c r="B780" s="20">
        <v>0.75</v>
      </c>
      <c r="D780">
        <v>44.96</v>
      </c>
      <c r="E780" t="str">
        <f t="shared" si="58"/>
        <v>WEEKDAY</v>
      </c>
      <c r="F780" t="e">
        <f t="shared" si="59"/>
        <v>#N/A</v>
      </c>
      <c r="G780" s="74">
        <v>32174</v>
      </c>
      <c r="H780" s="77">
        <v>0.75</v>
      </c>
      <c r="J780">
        <v>53.06</v>
      </c>
      <c r="M780" s="74">
        <v>38018</v>
      </c>
      <c r="N780" s="77">
        <v>0.75</v>
      </c>
      <c r="P780">
        <v>26.6</v>
      </c>
      <c r="S780" s="74">
        <v>34731</v>
      </c>
      <c r="T780" s="77">
        <v>0.75</v>
      </c>
      <c r="V780">
        <v>44.96</v>
      </c>
      <c r="X780" s="42"/>
      <c r="AB780">
        <v>36.1</v>
      </c>
      <c r="AC780">
        <v>32</v>
      </c>
      <c r="AE780" s="74"/>
      <c r="AF780" s="77"/>
      <c r="AH780" s="497">
        <v>21.92</v>
      </c>
      <c r="AJ780" s="42"/>
      <c r="AK780" s="74"/>
      <c r="AL780" s="77"/>
      <c r="AN780" s="497">
        <v>21.02</v>
      </c>
      <c r="AP780" s="42"/>
      <c r="AQ780" s="74"/>
      <c r="AR780" s="77"/>
      <c r="AT780" s="497">
        <v>46.94</v>
      </c>
      <c r="AV780" s="42"/>
      <c r="AW780" s="74"/>
      <c r="AX780" s="77"/>
      <c r="BA780" s="497">
        <v>24.98</v>
      </c>
      <c r="BB780" s="42"/>
      <c r="BC780" s="74"/>
      <c r="BD780" s="77"/>
      <c r="BF780">
        <v>33.979999999999997</v>
      </c>
      <c r="BH780" s="42"/>
      <c r="BI780" s="74"/>
      <c r="BJ780" s="77"/>
      <c r="BL780" s="497">
        <v>39.019999999999996</v>
      </c>
      <c r="BN780" s="42"/>
      <c r="BO780" s="74"/>
      <c r="BP780" s="77"/>
      <c r="BR780" s="497">
        <v>39.92</v>
      </c>
      <c r="BT780" s="42"/>
    </row>
    <row r="781" spans="1:72" x14ac:dyDescent="0.25">
      <c r="A781" s="90">
        <v>34731</v>
      </c>
      <c r="B781" s="20">
        <v>0.79166666666666663</v>
      </c>
      <c r="D781">
        <v>44.06</v>
      </c>
      <c r="E781" t="str">
        <f t="shared" si="58"/>
        <v>WEEKDAY</v>
      </c>
      <c r="F781" t="e">
        <f t="shared" si="59"/>
        <v>#N/A</v>
      </c>
      <c r="G781" s="74">
        <v>32174</v>
      </c>
      <c r="H781" s="77">
        <v>0.79166666666666663</v>
      </c>
      <c r="J781">
        <v>51.980000000000004</v>
      </c>
      <c r="M781" s="74">
        <v>38018</v>
      </c>
      <c r="N781" s="77">
        <v>0.79166666666666663</v>
      </c>
      <c r="P781">
        <v>26.6</v>
      </c>
      <c r="S781" s="74">
        <v>34731</v>
      </c>
      <c r="T781" s="77">
        <v>0.79166666666666663</v>
      </c>
      <c r="V781">
        <v>42.980000000000004</v>
      </c>
      <c r="X781" s="42"/>
      <c r="AB781">
        <v>35.200000000000003</v>
      </c>
      <c r="AC781">
        <v>30.02</v>
      </c>
      <c r="AE781" s="74"/>
      <c r="AF781" s="77"/>
      <c r="AH781" s="497">
        <v>21.92</v>
      </c>
      <c r="AJ781" s="42"/>
      <c r="AK781" s="74"/>
      <c r="AL781" s="77"/>
      <c r="AN781" s="497">
        <v>19.04</v>
      </c>
      <c r="AP781" s="42"/>
      <c r="AQ781" s="74"/>
      <c r="AR781" s="77"/>
      <c r="AT781" s="497">
        <v>46.94</v>
      </c>
      <c r="AV781" s="42"/>
      <c r="AW781" s="74"/>
      <c r="AX781" s="77"/>
      <c r="BA781" s="497">
        <v>26.060000000000002</v>
      </c>
      <c r="BB781" s="42"/>
      <c r="BC781" s="74"/>
      <c r="BD781" s="77"/>
      <c r="BF781">
        <v>33.08</v>
      </c>
      <c r="BH781" s="42"/>
      <c r="BI781" s="74"/>
      <c r="BJ781" s="77"/>
      <c r="BL781" s="497">
        <v>35.96</v>
      </c>
      <c r="BN781" s="42"/>
      <c r="BO781" s="74"/>
      <c r="BP781" s="77"/>
      <c r="BR781" s="497">
        <v>37.94</v>
      </c>
      <c r="BT781" s="42"/>
    </row>
    <row r="782" spans="1:72" x14ac:dyDescent="0.25">
      <c r="A782" s="90">
        <v>34731</v>
      </c>
      <c r="B782" s="20">
        <v>0.83333333333333337</v>
      </c>
      <c r="D782">
        <v>44.06</v>
      </c>
      <c r="E782" t="str">
        <f t="shared" si="58"/>
        <v>WEEKDAY</v>
      </c>
      <c r="F782" t="e">
        <f t="shared" si="59"/>
        <v>#N/A</v>
      </c>
      <c r="G782" s="74">
        <v>32174</v>
      </c>
      <c r="H782" s="77">
        <v>0.83333333333333337</v>
      </c>
      <c r="J782">
        <v>50</v>
      </c>
      <c r="M782" s="74">
        <v>38018</v>
      </c>
      <c r="N782" s="77">
        <v>0.83333333333333337</v>
      </c>
      <c r="P782">
        <v>24.8</v>
      </c>
      <c r="S782" s="74">
        <v>34731</v>
      </c>
      <c r="T782" s="77">
        <v>0.83333333333333337</v>
      </c>
      <c r="V782">
        <v>42.08</v>
      </c>
      <c r="X782" s="42"/>
      <c r="AB782">
        <v>34.9</v>
      </c>
      <c r="AC782">
        <v>30.92</v>
      </c>
      <c r="AE782" s="74"/>
      <c r="AF782" s="77"/>
      <c r="AH782" s="497">
        <v>21.92</v>
      </c>
      <c r="AJ782" s="42"/>
      <c r="AK782" s="74"/>
      <c r="AL782" s="77"/>
      <c r="AN782" s="497">
        <v>17.96</v>
      </c>
      <c r="AP782" s="42"/>
      <c r="AQ782" s="74"/>
      <c r="AR782" s="77"/>
      <c r="AT782" s="497">
        <v>46.04</v>
      </c>
      <c r="AV782" s="42"/>
      <c r="AW782" s="74"/>
      <c r="AX782" s="77"/>
      <c r="BA782" s="497">
        <v>24.98</v>
      </c>
      <c r="BB782" s="42"/>
      <c r="BC782" s="74"/>
      <c r="BD782" s="77"/>
      <c r="BF782">
        <v>33.08</v>
      </c>
      <c r="BH782" s="42"/>
      <c r="BI782" s="74"/>
      <c r="BJ782" s="77"/>
      <c r="BL782" s="497">
        <v>35.06</v>
      </c>
      <c r="BN782" s="42"/>
      <c r="BO782" s="74"/>
      <c r="BP782" s="77"/>
      <c r="BR782" s="497">
        <v>37.04</v>
      </c>
      <c r="BT782" s="42"/>
    </row>
    <row r="783" spans="1:72" x14ac:dyDescent="0.25">
      <c r="A783" s="90">
        <v>34731</v>
      </c>
      <c r="B783" s="20">
        <v>0.875</v>
      </c>
      <c r="D783">
        <v>44.06</v>
      </c>
      <c r="E783" t="str">
        <f t="shared" si="58"/>
        <v>WEEKDAY</v>
      </c>
      <c r="F783" t="e">
        <f t="shared" si="59"/>
        <v>#N/A</v>
      </c>
      <c r="G783" s="74">
        <v>32174</v>
      </c>
      <c r="H783" s="77">
        <v>0.875</v>
      </c>
      <c r="J783">
        <v>48.92</v>
      </c>
      <c r="M783" s="74">
        <v>38018</v>
      </c>
      <c r="N783" s="77">
        <v>0.875</v>
      </c>
      <c r="P783">
        <v>23</v>
      </c>
      <c r="S783" s="74">
        <v>34731</v>
      </c>
      <c r="T783" s="77">
        <v>0.875</v>
      </c>
      <c r="V783">
        <v>42.08</v>
      </c>
      <c r="X783" s="42"/>
      <c r="AB783">
        <v>34.200000000000003</v>
      </c>
      <c r="AC783">
        <v>30.92</v>
      </c>
      <c r="AE783" s="74"/>
      <c r="AF783" s="77"/>
      <c r="AH783" s="497">
        <v>21.92</v>
      </c>
      <c r="AJ783" s="42"/>
      <c r="AK783" s="74"/>
      <c r="AL783" s="77"/>
      <c r="AN783" s="497">
        <v>17.059999999999999</v>
      </c>
      <c r="AP783" s="42"/>
      <c r="AQ783" s="74"/>
      <c r="AR783" s="77"/>
      <c r="AT783" s="497">
        <v>46.94</v>
      </c>
      <c r="AV783" s="42"/>
      <c r="AW783" s="74"/>
      <c r="AX783" s="77"/>
      <c r="BA783" s="497">
        <v>23</v>
      </c>
      <c r="BB783" s="42"/>
      <c r="BC783" s="74"/>
      <c r="BD783" s="77"/>
      <c r="BF783">
        <v>33.08</v>
      </c>
      <c r="BH783" s="42"/>
      <c r="BI783" s="74"/>
      <c r="BJ783" s="77"/>
      <c r="BL783" s="497">
        <v>35.06</v>
      </c>
      <c r="BN783" s="42"/>
      <c r="BO783" s="74"/>
      <c r="BP783" s="77"/>
      <c r="BR783" s="497">
        <v>35.96</v>
      </c>
      <c r="BT783" s="42"/>
    </row>
    <row r="784" spans="1:72" x14ac:dyDescent="0.25">
      <c r="A784" s="90">
        <v>34731</v>
      </c>
      <c r="B784" s="20">
        <v>0.91666666666666663</v>
      </c>
      <c r="D784">
        <v>44.06</v>
      </c>
      <c r="E784" t="str">
        <f t="shared" si="58"/>
        <v>WEEKDAY</v>
      </c>
      <c r="F784" t="e">
        <f t="shared" si="59"/>
        <v>#N/A</v>
      </c>
      <c r="G784" s="74">
        <v>32174</v>
      </c>
      <c r="H784" s="77">
        <v>0.91666666666666663</v>
      </c>
      <c r="J784">
        <v>50</v>
      </c>
      <c r="M784" s="74">
        <v>38018</v>
      </c>
      <c r="N784" s="77">
        <v>0.91666666666666663</v>
      </c>
      <c r="P784">
        <v>23</v>
      </c>
      <c r="S784" s="74">
        <v>34731</v>
      </c>
      <c r="T784" s="77">
        <v>0.91666666666666663</v>
      </c>
      <c r="V784">
        <v>41</v>
      </c>
      <c r="X784" s="42"/>
      <c r="AB784">
        <v>33.6</v>
      </c>
      <c r="AC784">
        <v>30.02</v>
      </c>
      <c r="AE784" s="74"/>
      <c r="AF784" s="77"/>
      <c r="AH784" s="497">
        <v>21.92</v>
      </c>
      <c r="AJ784" s="42"/>
      <c r="AK784" s="74"/>
      <c r="AL784" s="77"/>
      <c r="AN784" s="497">
        <v>17.059999999999999</v>
      </c>
      <c r="AP784" s="42"/>
      <c r="AQ784" s="74"/>
      <c r="AR784" s="77"/>
      <c r="AT784" s="497">
        <v>46.94</v>
      </c>
      <c r="AV784" s="42"/>
      <c r="AW784" s="74"/>
      <c r="AX784" s="77"/>
      <c r="BA784" s="497">
        <v>21.92</v>
      </c>
      <c r="BB784" s="42"/>
      <c r="BC784" s="74"/>
      <c r="BD784" s="77"/>
      <c r="BF784">
        <v>33.08</v>
      </c>
      <c r="BH784" s="42"/>
      <c r="BI784" s="74"/>
      <c r="BJ784" s="77"/>
      <c r="BL784" s="497">
        <v>33.979999999999997</v>
      </c>
      <c r="BN784" s="42"/>
      <c r="BO784" s="74"/>
      <c r="BP784" s="77"/>
      <c r="BR784" s="497">
        <v>35.06</v>
      </c>
      <c r="BT784" s="42"/>
    </row>
    <row r="785" spans="1:72" x14ac:dyDescent="0.25">
      <c r="A785" s="90">
        <v>34731</v>
      </c>
      <c r="B785" s="20">
        <v>0.95833333333333337</v>
      </c>
      <c r="D785">
        <v>42.980000000000004</v>
      </c>
      <c r="E785" t="str">
        <f t="shared" si="58"/>
        <v>WEEKDAY</v>
      </c>
      <c r="F785" t="e">
        <f t="shared" si="59"/>
        <v>#N/A</v>
      </c>
      <c r="G785" s="74">
        <v>32174</v>
      </c>
      <c r="H785" s="77">
        <v>0.95833333333333337</v>
      </c>
      <c r="J785">
        <v>50</v>
      </c>
      <c r="M785" s="74">
        <v>38018</v>
      </c>
      <c r="N785" s="77">
        <v>0.95833333333333337</v>
      </c>
      <c r="P785">
        <v>24.8</v>
      </c>
      <c r="S785" s="74">
        <v>34731</v>
      </c>
      <c r="T785" s="77">
        <v>0.95833333333333337</v>
      </c>
      <c r="V785">
        <v>39.92</v>
      </c>
      <c r="X785" s="42"/>
      <c r="AB785">
        <v>33</v>
      </c>
      <c r="AC785">
        <v>28.94</v>
      </c>
      <c r="AE785" s="74"/>
      <c r="AF785" s="77"/>
      <c r="AH785" s="497">
        <v>20.84</v>
      </c>
      <c r="AJ785" s="42"/>
      <c r="AK785" s="74"/>
      <c r="AL785" s="77"/>
      <c r="AN785" s="497">
        <v>17.059999999999999</v>
      </c>
      <c r="AP785" s="42"/>
      <c r="AQ785" s="74"/>
      <c r="AR785" s="77"/>
      <c r="AT785" s="497">
        <v>46.94</v>
      </c>
      <c r="AV785" s="42"/>
      <c r="AW785" s="74"/>
      <c r="AX785" s="77"/>
      <c r="BA785" s="497">
        <v>21.92</v>
      </c>
      <c r="BB785" s="42"/>
      <c r="BC785" s="74"/>
      <c r="BD785" s="77"/>
      <c r="BF785">
        <v>33.08</v>
      </c>
      <c r="BH785" s="42"/>
      <c r="BI785" s="74"/>
      <c r="BJ785" s="77"/>
      <c r="BL785" s="497">
        <v>33.08</v>
      </c>
      <c r="BN785" s="42"/>
      <c r="BO785" s="74"/>
      <c r="BP785" s="77"/>
      <c r="BR785" s="497">
        <v>33.08</v>
      </c>
      <c r="BT785" s="42"/>
    </row>
    <row r="786" spans="1:72" x14ac:dyDescent="0.25">
      <c r="A786" s="90">
        <v>34731</v>
      </c>
      <c r="B786" s="20">
        <v>1</v>
      </c>
      <c r="D786">
        <v>42.980000000000004</v>
      </c>
      <c r="E786" t="str">
        <f t="shared" si="58"/>
        <v>WEEKDAY</v>
      </c>
      <c r="F786" t="e">
        <f t="shared" si="59"/>
        <v>#N/A</v>
      </c>
      <c r="G786" s="74">
        <v>32174</v>
      </c>
      <c r="H786" s="77">
        <v>1</v>
      </c>
      <c r="J786">
        <v>51.08</v>
      </c>
      <c r="M786" s="74">
        <v>38018</v>
      </c>
      <c r="N786" s="80">
        <v>1</v>
      </c>
      <c r="P786">
        <v>21.2</v>
      </c>
      <c r="S786" s="74">
        <v>34731</v>
      </c>
      <c r="T786" s="80">
        <v>1</v>
      </c>
      <c r="V786">
        <v>39.92</v>
      </c>
      <c r="X786" s="42"/>
      <c r="AB786">
        <v>32.4</v>
      </c>
      <c r="AC786">
        <v>28.94</v>
      </c>
      <c r="AE786" s="74"/>
      <c r="AF786" s="80"/>
      <c r="AH786" s="497">
        <v>20.84</v>
      </c>
      <c r="AJ786" s="42"/>
      <c r="AK786" s="74"/>
      <c r="AL786" s="80"/>
      <c r="AN786" s="497">
        <v>15.98</v>
      </c>
      <c r="AP786" s="42"/>
      <c r="AQ786" s="74"/>
      <c r="AR786" s="80"/>
      <c r="AT786" s="497">
        <v>46.94</v>
      </c>
      <c r="AV786" s="42"/>
      <c r="AW786" s="74"/>
      <c r="AX786" s="80"/>
      <c r="BA786" s="497">
        <v>21.92</v>
      </c>
      <c r="BB786" s="42"/>
      <c r="BC786" s="74"/>
      <c r="BD786" s="80"/>
      <c r="BF786">
        <v>32</v>
      </c>
      <c r="BH786" s="42"/>
      <c r="BI786" s="74"/>
      <c r="BJ786" s="80"/>
      <c r="BL786" s="497">
        <v>33.08</v>
      </c>
      <c r="BN786" s="42"/>
      <c r="BO786" s="74"/>
      <c r="BP786" s="80"/>
      <c r="BR786" s="497">
        <v>30.92</v>
      </c>
      <c r="BT786" s="42"/>
    </row>
    <row r="787" spans="1:72" x14ac:dyDescent="0.25">
      <c r="A787" s="90">
        <v>34732</v>
      </c>
      <c r="B787" s="20">
        <v>4.1666666666666664E-2</v>
      </c>
      <c r="D787">
        <v>42.08</v>
      </c>
      <c r="E787" t="str">
        <f t="shared" ref="E787:E850" si="60">IF(COUNTIF($DI$18:$DI$22, WEEKDAY(A787))=1, "WEEKDAY", IF(WEEKDAY(A787) = 1, "SUNDAY", "SATURDAY"))</f>
        <v>WEEKDAY</v>
      </c>
      <c r="F787" t="e">
        <f t="shared" si="59"/>
        <v>#N/A</v>
      </c>
      <c r="G787" s="74">
        <v>32175</v>
      </c>
      <c r="H787" s="77">
        <v>4.1666666666666664E-2</v>
      </c>
      <c r="J787">
        <v>50</v>
      </c>
      <c r="M787" s="74">
        <v>38019</v>
      </c>
      <c r="N787" s="77">
        <v>4.1666666666666664E-2</v>
      </c>
      <c r="P787">
        <v>21.2</v>
      </c>
      <c r="S787" s="74">
        <v>34732</v>
      </c>
      <c r="T787" s="77">
        <v>4.1666666666666664E-2</v>
      </c>
      <c r="V787">
        <v>39.019999999999996</v>
      </c>
      <c r="X787" s="42"/>
      <c r="AB787">
        <v>31.9</v>
      </c>
      <c r="AC787">
        <v>28.04</v>
      </c>
      <c r="AE787" s="74"/>
      <c r="AF787" s="77"/>
      <c r="AH787" s="497">
        <v>20.84</v>
      </c>
      <c r="AJ787" s="42"/>
      <c r="AK787" s="74"/>
      <c r="AL787" s="77"/>
      <c r="AN787" s="497">
        <v>15.079999999999998</v>
      </c>
      <c r="AP787" s="42"/>
      <c r="AQ787" s="74"/>
      <c r="AR787" s="77"/>
      <c r="AT787" s="497">
        <v>48.019999999999996</v>
      </c>
      <c r="AV787" s="42"/>
      <c r="AW787" s="74"/>
      <c r="AX787" s="77"/>
      <c r="BA787" s="497">
        <v>21.02</v>
      </c>
      <c r="BB787" s="42"/>
      <c r="BC787" s="74"/>
      <c r="BD787" s="77"/>
      <c r="BF787">
        <v>32</v>
      </c>
      <c r="BH787" s="42"/>
      <c r="BI787" s="74"/>
      <c r="BJ787" s="77"/>
      <c r="BL787" s="497">
        <v>33.08</v>
      </c>
      <c r="BN787" s="42"/>
      <c r="BO787" s="74"/>
      <c r="BP787" s="77"/>
      <c r="BR787" s="497">
        <v>30.02</v>
      </c>
      <c r="BT787" s="42"/>
    </row>
    <row r="788" spans="1:72" x14ac:dyDescent="0.25">
      <c r="A788" s="90">
        <v>34732</v>
      </c>
      <c r="B788" s="20">
        <v>8.3333333333333329E-2</v>
      </c>
      <c r="D788">
        <v>42.08</v>
      </c>
      <c r="E788" t="str">
        <f t="shared" si="60"/>
        <v>WEEKDAY</v>
      </c>
      <c r="F788" t="e">
        <f t="shared" si="59"/>
        <v>#N/A</v>
      </c>
      <c r="G788" s="74">
        <v>32175</v>
      </c>
      <c r="H788" s="77">
        <v>8.3333333333333329E-2</v>
      </c>
      <c r="J788">
        <v>48.92</v>
      </c>
      <c r="M788" s="74">
        <v>38019</v>
      </c>
      <c r="N788" s="77">
        <v>8.3333333333333329E-2</v>
      </c>
      <c r="P788">
        <v>21.2</v>
      </c>
      <c r="S788" s="74">
        <v>34732</v>
      </c>
      <c r="T788" s="77">
        <v>8.3333333333333329E-2</v>
      </c>
      <c r="V788">
        <v>37.94</v>
      </c>
      <c r="X788" s="42"/>
      <c r="AB788">
        <v>31.4</v>
      </c>
      <c r="AC788">
        <v>26.060000000000002</v>
      </c>
      <c r="AE788" s="74"/>
      <c r="AF788" s="77"/>
      <c r="AH788" s="497">
        <v>20.84</v>
      </c>
      <c r="AJ788" s="42"/>
      <c r="AK788" s="74"/>
      <c r="AL788" s="77"/>
      <c r="AN788" s="497">
        <v>15.079999999999998</v>
      </c>
      <c r="AP788" s="42"/>
      <c r="AQ788" s="74"/>
      <c r="AR788" s="77"/>
      <c r="AT788" s="497">
        <v>48.92</v>
      </c>
      <c r="AV788" s="42"/>
      <c r="AW788" s="74"/>
      <c r="AX788" s="77"/>
      <c r="BA788" s="497">
        <v>17.96</v>
      </c>
      <c r="BB788" s="42"/>
      <c r="BC788" s="74"/>
      <c r="BD788" s="77"/>
      <c r="BF788">
        <v>32</v>
      </c>
      <c r="BH788" s="42"/>
      <c r="BI788" s="74"/>
      <c r="BJ788" s="77"/>
      <c r="BL788" s="497">
        <v>33.979999999999997</v>
      </c>
      <c r="BN788" s="42"/>
      <c r="BO788" s="74"/>
      <c r="BP788" s="77"/>
      <c r="BR788" s="497">
        <v>30.02</v>
      </c>
      <c r="BT788" s="42"/>
    </row>
    <row r="789" spans="1:72" x14ac:dyDescent="0.25">
      <c r="A789" s="90">
        <v>34732</v>
      </c>
      <c r="B789" s="20">
        <v>0.125</v>
      </c>
      <c r="D789">
        <v>42.08</v>
      </c>
      <c r="E789" t="str">
        <f t="shared" si="60"/>
        <v>WEEKDAY</v>
      </c>
      <c r="F789" t="e">
        <f t="shared" si="59"/>
        <v>#N/A</v>
      </c>
      <c r="G789" s="74">
        <v>32175</v>
      </c>
      <c r="H789" s="77">
        <v>0.125</v>
      </c>
      <c r="J789">
        <v>48.92</v>
      </c>
      <c r="M789" s="74">
        <v>38019</v>
      </c>
      <c r="N789" s="77">
        <v>0.125</v>
      </c>
      <c r="P789">
        <v>21.2</v>
      </c>
      <c r="S789" s="74">
        <v>34732</v>
      </c>
      <c r="T789" s="77">
        <v>0.125</v>
      </c>
      <c r="V789">
        <v>39.019999999999996</v>
      </c>
      <c r="X789" s="42"/>
      <c r="AB789">
        <v>30.9</v>
      </c>
      <c r="AC789">
        <v>24.98</v>
      </c>
      <c r="AE789" s="74"/>
      <c r="AF789" s="77"/>
      <c r="AH789" s="497">
        <v>20.84</v>
      </c>
      <c r="AJ789" s="42"/>
      <c r="AK789" s="74"/>
      <c r="AL789" s="77"/>
      <c r="AN789" s="497">
        <v>15.079999999999998</v>
      </c>
      <c r="AP789" s="42"/>
      <c r="AQ789" s="74"/>
      <c r="AR789" s="77"/>
      <c r="AT789" s="497">
        <v>48.92</v>
      </c>
      <c r="AV789" s="42"/>
      <c r="AW789" s="74"/>
      <c r="AX789" s="77"/>
      <c r="BA789" s="497">
        <v>15.079999999999998</v>
      </c>
      <c r="BB789" s="42"/>
      <c r="BC789" s="74"/>
      <c r="BD789" s="77"/>
      <c r="BF789">
        <v>32</v>
      </c>
      <c r="BH789" s="42"/>
      <c r="BI789" s="74"/>
      <c r="BJ789" s="77"/>
      <c r="BL789" s="497">
        <v>33.979999999999997</v>
      </c>
      <c r="BN789" s="42"/>
      <c r="BO789" s="74"/>
      <c r="BP789" s="77"/>
      <c r="BR789" s="497">
        <v>28.04</v>
      </c>
      <c r="BT789" s="42"/>
    </row>
    <row r="790" spans="1:72" x14ac:dyDescent="0.25">
      <c r="A790" s="90">
        <v>34732</v>
      </c>
      <c r="B790" s="20">
        <v>0.16666666666666666</v>
      </c>
      <c r="D790">
        <v>41</v>
      </c>
      <c r="E790" t="str">
        <f t="shared" si="60"/>
        <v>WEEKDAY</v>
      </c>
      <c r="F790" t="e">
        <f t="shared" si="59"/>
        <v>#N/A</v>
      </c>
      <c r="G790" s="74">
        <v>32175</v>
      </c>
      <c r="H790" s="77">
        <v>0.16666666666666666</v>
      </c>
      <c r="J790">
        <v>50</v>
      </c>
      <c r="M790" s="74">
        <v>38019</v>
      </c>
      <c r="N790" s="77">
        <v>0.16666666666666666</v>
      </c>
      <c r="P790">
        <v>21.2</v>
      </c>
      <c r="S790" s="74">
        <v>34732</v>
      </c>
      <c r="T790" s="77">
        <v>0.16666666666666666</v>
      </c>
      <c r="V790">
        <v>39.92</v>
      </c>
      <c r="X790" s="42"/>
      <c r="AB790">
        <v>30.5</v>
      </c>
      <c r="AC790">
        <v>24.08</v>
      </c>
      <c r="AE790" s="74"/>
      <c r="AF790" s="77"/>
      <c r="AH790" s="497">
        <v>20.84</v>
      </c>
      <c r="AJ790" s="42"/>
      <c r="AK790" s="74"/>
      <c r="AL790" s="77"/>
      <c r="AN790" s="497">
        <v>14</v>
      </c>
      <c r="AP790" s="42"/>
      <c r="AQ790" s="74"/>
      <c r="AR790" s="77"/>
      <c r="AT790" s="497">
        <v>48.92</v>
      </c>
      <c r="AV790" s="42"/>
      <c r="AW790" s="74"/>
      <c r="AX790" s="77"/>
      <c r="BA790" s="497">
        <v>12.920000000000002</v>
      </c>
      <c r="BB790" s="42"/>
      <c r="BC790" s="74"/>
      <c r="BD790" s="77"/>
      <c r="BF790">
        <v>32</v>
      </c>
      <c r="BH790" s="42"/>
      <c r="BI790" s="74"/>
      <c r="BJ790" s="77"/>
      <c r="BL790" s="497">
        <v>33.979999999999997</v>
      </c>
      <c r="BN790" s="42"/>
      <c r="BO790" s="74"/>
      <c r="BP790" s="77"/>
      <c r="BR790" s="497">
        <v>26.96</v>
      </c>
      <c r="BT790" s="42"/>
    </row>
    <row r="791" spans="1:72" x14ac:dyDescent="0.25">
      <c r="A791" s="90">
        <v>34732</v>
      </c>
      <c r="B791" s="20">
        <v>0.20833333333333334</v>
      </c>
      <c r="D791">
        <v>41</v>
      </c>
      <c r="E791" t="str">
        <f t="shared" si="60"/>
        <v>WEEKDAY</v>
      </c>
      <c r="F791" t="e">
        <f t="shared" si="59"/>
        <v>#N/A</v>
      </c>
      <c r="G791" s="74">
        <v>32175</v>
      </c>
      <c r="H791" s="77">
        <v>0.20833333333333334</v>
      </c>
      <c r="J791">
        <v>57.019999999999996</v>
      </c>
      <c r="M791" s="74">
        <v>38019</v>
      </c>
      <c r="N791" s="77">
        <v>0.20833333333333334</v>
      </c>
      <c r="P791">
        <v>19.399999999999999</v>
      </c>
      <c r="S791" s="74">
        <v>34732</v>
      </c>
      <c r="T791" s="77">
        <v>0.20833333333333334</v>
      </c>
      <c r="V791">
        <v>41</v>
      </c>
      <c r="X791" s="42"/>
      <c r="AB791">
        <v>30.1</v>
      </c>
      <c r="AC791">
        <v>23</v>
      </c>
      <c r="AE791" s="74"/>
      <c r="AF791" s="77"/>
      <c r="AH791" s="497">
        <v>20.84</v>
      </c>
      <c r="AJ791" s="42"/>
      <c r="AK791" s="74"/>
      <c r="AL791" s="77"/>
      <c r="AN791" s="497">
        <v>14</v>
      </c>
      <c r="AP791" s="42"/>
      <c r="AQ791" s="74"/>
      <c r="AR791" s="77"/>
      <c r="AT791" s="497">
        <v>48.92</v>
      </c>
      <c r="AV791" s="42"/>
      <c r="AW791" s="74"/>
      <c r="AX791" s="77"/>
      <c r="BA791" s="497">
        <v>12.920000000000002</v>
      </c>
      <c r="BB791" s="42"/>
      <c r="BC791" s="74"/>
      <c r="BD791" s="77"/>
      <c r="BF791">
        <v>30.92</v>
      </c>
      <c r="BH791" s="42"/>
      <c r="BI791" s="74"/>
      <c r="BJ791" s="77"/>
      <c r="BL791" s="497">
        <v>32</v>
      </c>
      <c r="BN791" s="42"/>
      <c r="BO791" s="74"/>
      <c r="BP791" s="77"/>
      <c r="BR791" s="497">
        <v>26.060000000000002</v>
      </c>
      <c r="BT791" s="42"/>
    </row>
    <row r="792" spans="1:72" x14ac:dyDescent="0.25">
      <c r="A792" s="90">
        <v>34732</v>
      </c>
      <c r="B792" s="20">
        <v>0.25</v>
      </c>
      <c r="D792">
        <v>39.92</v>
      </c>
      <c r="E792" t="str">
        <f t="shared" si="60"/>
        <v>WEEKDAY</v>
      </c>
      <c r="F792" t="e">
        <f t="shared" si="59"/>
        <v>#N/A</v>
      </c>
      <c r="G792" s="74">
        <v>32175</v>
      </c>
      <c r="H792" s="77">
        <v>0.25</v>
      </c>
      <c r="J792">
        <v>57.92</v>
      </c>
      <c r="M792" s="74">
        <v>38019</v>
      </c>
      <c r="N792" s="77">
        <v>0.25</v>
      </c>
      <c r="P792">
        <v>19.399999999999999</v>
      </c>
      <c r="S792" s="74">
        <v>34732</v>
      </c>
      <c r="T792" s="77">
        <v>0.25</v>
      </c>
      <c r="V792">
        <v>39.92</v>
      </c>
      <c r="X792" s="42"/>
      <c r="AB792">
        <v>29.8</v>
      </c>
      <c r="AC792">
        <v>21.92</v>
      </c>
      <c r="AE792" s="74"/>
      <c r="AF792" s="77"/>
      <c r="AH792" s="497">
        <v>20.84</v>
      </c>
      <c r="AJ792" s="42"/>
      <c r="AK792" s="74"/>
      <c r="AL792" s="77"/>
      <c r="AN792" s="497">
        <v>15.079999999999998</v>
      </c>
      <c r="AP792" s="42"/>
      <c r="AQ792" s="74"/>
      <c r="AR792" s="77"/>
      <c r="AT792" s="497">
        <v>50</v>
      </c>
      <c r="AV792" s="42"/>
      <c r="AW792" s="74"/>
      <c r="AX792" s="77"/>
      <c r="BA792" s="497">
        <v>10.039999999999999</v>
      </c>
      <c r="BB792" s="42"/>
      <c r="BC792" s="74"/>
      <c r="BD792" s="77"/>
      <c r="BF792">
        <v>30.02</v>
      </c>
      <c r="BH792" s="42"/>
      <c r="BI792" s="74"/>
      <c r="BJ792" s="77"/>
      <c r="BL792" s="497">
        <v>30.02</v>
      </c>
      <c r="BN792" s="42"/>
      <c r="BO792" s="74"/>
      <c r="BP792" s="77"/>
      <c r="BR792" s="497">
        <v>24.08</v>
      </c>
      <c r="BT792" s="42"/>
    </row>
    <row r="793" spans="1:72" x14ac:dyDescent="0.25">
      <c r="A793" s="90">
        <v>34732</v>
      </c>
      <c r="B793" s="20">
        <v>0.29166666666666669</v>
      </c>
      <c r="D793">
        <v>37.94</v>
      </c>
      <c r="E793" t="str">
        <f t="shared" si="60"/>
        <v>WEEKDAY</v>
      </c>
      <c r="F793" t="e">
        <f t="shared" si="59"/>
        <v>#N/A</v>
      </c>
      <c r="G793" s="74">
        <v>32175</v>
      </c>
      <c r="H793" s="77">
        <v>0.29166666666666669</v>
      </c>
      <c r="J793">
        <v>57.92</v>
      </c>
      <c r="M793" s="74">
        <v>38019</v>
      </c>
      <c r="N793" s="77">
        <v>0.29166666666666669</v>
      </c>
      <c r="P793">
        <v>21.2</v>
      </c>
      <c r="S793" s="74">
        <v>34732</v>
      </c>
      <c r="T793" s="77">
        <v>0.29166666666666669</v>
      </c>
      <c r="V793">
        <v>39.019999999999996</v>
      </c>
      <c r="X793" s="42"/>
      <c r="AB793">
        <v>29.7</v>
      </c>
      <c r="AC793">
        <v>21.92</v>
      </c>
      <c r="AE793" s="74"/>
      <c r="AF793" s="77"/>
      <c r="AH793" s="497">
        <v>20.12</v>
      </c>
      <c r="AJ793" s="42"/>
      <c r="AK793" s="74"/>
      <c r="AL793" s="77"/>
      <c r="AN793" s="497">
        <v>12.02</v>
      </c>
      <c r="AP793" s="42"/>
      <c r="AQ793" s="74"/>
      <c r="AR793" s="77"/>
      <c r="AT793" s="497">
        <v>48.019999999999996</v>
      </c>
      <c r="AV793" s="42"/>
      <c r="AW793" s="74"/>
      <c r="AX793" s="77"/>
      <c r="BA793" s="497">
        <v>10.940000000000001</v>
      </c>
      <c r="BB793" s="42"/>
      <c r="BC793" s="74"/>
      <c r="BD793" s="77"/>
      <c r="BF793">
        <v>30.92</v>
      </c>
      <c r="BH793" s="42"/>
      <c r="BI793" s="74"/>
      <c r="BJ793" s="77"/>
      <c r="BL793" s="497">
        <v>28.94</v>
      </c>
      <c r="BN793" s="42"/>
      <c r="BO793" s="74"/>
      <c r="BP793" s="77"/>
      <c r="BR793" s="497">
        <v>23</v>
      </c>
      <c r="BT793" s="42"/>
    </row>
    <row r="794" spans="1:72" x14ac:dyDescent="0.25">
      <c r="A794" s="90">
        <v>34732</v>
      </c>
      <c r="B794" s="20">
        <v>0.33333333333333331</v>
      </c>
      <c r="D794">
        <v>37.94</v>
      </c>
      <c r="E794" t="str">
        <f t="shared" si="60"/>
        <v>WEEKDAY</v>
      </c>
      <c r="F794" t="e">
        <f t="shared" si="59"/>
        <v>#N/A</v>
      </c>
      <c r="G794" s="74">
        <v>32175</v>
      </c>
      <c r="H794" s="77">
        <v>0.33333333333333331</v>
      </c>
      <c r="J794">
        <v>57.92</v>
      </c>
      <c r="M794" s="74">
        <v>38019</v>
      </c>
      <c r="N794" s="77">
        <v>0.33333333333333331</v>
      </c>
      <c r="P794">
        <v>21.2</v>
      </c>
      <c r="S794" s="74">
        <v>34732</v>
      </c>
      <c r="T794" s="77">
        <v>0.33333333333333331</v>
      </c>
      <c r="V794">
        <v>39.019999999999996</v>
      </c>
      <c r="X794" s="42"/>
      <c r="AB794">
        <v>29.6</v>
      </c>
      <c r="AC794">
        <v>23</v>
      </c>
      <c r="AE794" s="74"/>
      <c r="AF794" s="77"/>
      <c r="AH794" s="497">
        <v>20.84</v>
      </c>
      <c r="AJ794" s="42"/>
      <c r="AK794" s="74"/>
      <c r="AL794" s="77"/>
      <c r="AN794" s="497">
        <v>12.920000000000002</v>
      </c>
      <c r="AP794" s="42"/>
      <c r="AQ794" s="74"/>
      <c r="AR794" s="77"/>
      <c r="AT794" s="497">
        <v>42.980000000000004</v>
      </c>
      <c r="AV794" s="42"/>
      <c r="AW794" s="74"/>
      <c r="AX794" s="77"/>
      <c r="BA794" s="497">
        <v>8.9599999999999973</v>
      </c>
      <c r="BB794" s="42"/>
      <c r="BC794" s="74"/>
      <c r="BD794" s="77"/>
      <c r="BF794">
        <v>30.02</v>
      </c>
      <c r="BH794" s="42"/>
      <c r="BI794" s="74"/>
      <c r="BJ794" s="77"/>
      <c r="BL794" s="497">
        <v>28.04</v>
      </c>
      <c r="BN794" s="42"/>
      <c r="BO794" s="74"/>
      <c r="BP794" s="77"/>
      <c r="BR794" s="497">
        <v>21.92</v>
      </c>
      <c r="BT794" s="42"/>
    </row>
    <row r="795" spans="1:72" x14ac:dyDescent="0.25">
      <c r="A795" s="90">
        <v>34732</v>
      </c>
      <c r="B795" s="20">
        <v>0.375</v>
      </c>
      <c r="D795">
        <v>37.94</v>
      </c>
      <c r="E795" t="str">
        <f t="shared" si="60"/>
        <v>WEEKDAY</v>
      </c>
      <c r="F795" t="e">
        <f t="shared" si="59"/>
        <v>#N/A</v>
      </c>
      <c r="G795" s="74">
        <v>32175</v>
      </c>
      <c r="H795" s="77">
        <v>0.375</v>
      </c>
      <c r="J795">
        <v>57.92</v>
      </c>
      <c r="M795" s="74">
        <v>38019</v>
      </c>
      <c r="N795" s="77">
        <v>0.375</v>
      </c>
      <c r="P795">
        <v>24.8</v>
      </c>
      <c r="S795" s="74">
        <v>34732</v>
      </c>
      <c r="T795" s="77">
        <v>0.375</v>
      </c>
      <c r="V795">
        <v>39.019999999999996</v>
      </c>
      <c r="X795" s="42"/>
      <c r="AB795">
        <v>30.3</v>
      </c>
      <c r="AC795">
        <v>24.08</v>
      </c>
      <c r="AE795" s="74"/>
      <c r="AF795" s="77"/>
      <c r="AH795" s="497">
        <v>21.92</v>
      </c>
      <c r="AJ795" s="42"/>
      <c r="AK795" s="74"/>
      <c r="AL795" s="77"/>
      <c r="AN795" s="497">
        <v>14</v>
      </c>
      <c r="AP795" s="42"/>
      <c r="AQ795" s="74"/>
      <c r="AR795" s="77"/>
      <c r="AT795" s="497">
        <v>41</v>
      </c>
      <c r="AV795" s="42"/>
      <c r="AW795" s="74"/>
      <c r="AX795" s="77"/>
      <c r="BA795" s="497">
        <v>12.920000000000002</v>
      </c>
      <c r="BB795" s="42"/>
      <c r="BC795" s="74"/>
      <c r="BD795" s="77"/>
      <c r="BF795">
        <v>28.94</v>
      </c>
      <c r="BH795" s="42"/>
      <c r="BI795" s="74"/>
      <c r="BJ795" s="77"/>
      <c r="BL795" s="497">
        <v>28.04</v>
      </c>
      <c r="BN795" s="42"/>
      <c r="BO795" s="74"/>
      <c r="BP795" s="77"/>
      <c r="BR795" s="497">
        <v>21.02</v>
      </c>
      <c r="BT795" s="42"/>
    </row>
    <row r="796" spans="1:72" x14ac:dyDescent="0.25">
      <c r="A796" s="90">
        <v>34732</v>
      </c>
      <c r="B796" s="20">
        <v>0.41666666666666669</v>
      </c>
      <c r="D796">
        <v>39.92</v>
      </c>
      <c r="E796" t="str">
        <f t="shared" si="60"/>
        <v>WEEKDAY</v>
      </c>
      <c r="F796" t="e">
        <f t="shared" si="59"/>
        <v>#N/A</v>
      </c>
      <c r="G796" s="74">
        <v>32175</v>
      </c>
      <c r="H796" s="77">
        <v>0.41666666666666669</v>
      </c>
      <c r="J796">
        <v>57.92</v>
      </c>
      <c r="M796" s="74">
        <v>38019</v>
      </c>
      <c r="N796" s="77">
        <v>0.41666666666666669</v>
      </c>
      <c r="P796">
        <v>26.6</v>
      </c>
      <c r="S796" s="74">
        <v>34732</v>
      </c>
      <c r="T796" s="77">
        <v>0.41666666666666669</v>
      </c>
      <c r="V796">
        <v>41</v>
      </c>
      <c r="X796" s="42"/>
      <c r="AB796">
        <v>32</v>
      </c>
      <c r="AC796">
        <v>24.08</v>
      </c>
      <c r="AE796" s="74"/>
      <c r="AF796" s="77"/>
      <c r="AH796" s="497">
        <v>23</v>
      </c>
      <c r="AJ796" s="42"/>
      <c r="AK796" s="74"/>
      <c r="AL796" s="77"/>
      <c r="AN796" s="497">
        <v>17.059999999999999</v>
      </c>
      <c r="AP796" s="42"/>
      <c r="AQ796" s="74"/>
      <c r="AR796" s="77"/>
      <c r="AT796" s="497">
        <v>37.04</v>
      </c>
      <c r="AV796" s="42"/>
      <c r="AW796" s="74"/>
      <c r="AX796" s="77"/>
      <c r="BA796" s="497">
        <v>15.98</v>
      </c>
      <c r="BB796" s="42"/>
      <c r="BC796" s="74"/>
      <c r="BD796" s="77"/>
      <c r="BF796">
        <v>28.94</v>
      </c>
      <c r="BH796" s="42"/>
      <c r="BI796" s="74"/>
      <c r="BJ796" s="77"/>
      <c r="BL796" s="497">
        <v>26.96</v>
      </c>
      <c r="BN796" s="42"/>
      <c r="BO796" s="74"/>
      <c r="BP796" s="77"/>
      <c r="BR796" s="497">
        <v>19.939999999999998</v>
      </c>
      <c r="BT796" s="42"/>
    </row>
    <row r="797" spans="1:72" x14ac:dyDescent="0.25">
      <c r="A797" s="90">
        <v>34732</v>
      </c>
      <c r="B797" s="20">
        <v>0.45833333333333331</v>
      </c>
      <c r="D797">
        <v>39.92</v>
      </c>
      <c r="E797" t="str">
        <f t="shared" si="60"/>
        <v>WEEKDAY</v>
      </c>
      <c r="F797" t="e">
        <f t="shared" si="59"/>
        <v>#N/A</v>
      </c>
      <c r="G797" s="74">
        <v>32175</v>
      </c>
      <c r="H797" s="77">
        <v>0.45833333333333331</v>
      </c>
      <c r="J797">
        <v>57.019999999999996</v>
      </c>
      <c r="M797" s="74">
        <v>38019</v>
      </c>
      <c r="N797" s="77">
        <v>0.45833333333333331</v>
      </c>
      <c r="P797">
        <v>30.2</v>
      </c>
      <c r="S797" s="74">
        <v>34732</v>
      </c>
      <c r="T797" s="77">
        <v>0.45833333333333331</v>
      </c>
      <c r="V797">
        <v>42.08</v>
      </c>
      <c r="X797" s="42"/>
      <c r="AB797">
        <v>33.5</v>
      </c>
      <c r="AC797">
        <v>24.98</v>
      </c>
      <c r="AE797" s="74"/>
      <c r="AF797" s="77"/>
      <c r="AH797" s="497">
        <v>24.62</v>
      </c>
      <c r="AJ797" s="42"/>
      <c r="AK797" s="74"/>
      <c r="AL797" s="77"/>
      <c r="AN797" s="497">
        <v>23</v>
      </c>
      <c r="AP797" s="42"/>
      <c r="AQ797" s="74"/>
      <c r="AR797" s="77"/>
      <c r="AT797" s="497">
        <v>35.06</v>
      </c>
      <c r="AV797" s="42"/>
      <c r="AW797" s="74"/>
      <c r="AX797" s="77"/>
      <c r="BA797" s="497">
        <v>21.02</v>
      </c>
      <c r="BB797" s="42"/>
      <c r="BC797" s="74"/>
      <c r="BD797" s="77"/>
      <c r="BF797">
        <v>28.04</v>
      </c>
      <c r="BH797" s="42"/>
      <c r="BI797" s="74"/>
      <c r="BJ797" s="77"/>
      <c r="BL797" s="497">
        <v>26.060000000000002</v>
      </c>
      <c r="BN797" s="42"/>
      <c r="BO797" s="74"/>
      <c r="BP797" s="77"/>
      <c r="BR797" s="497">
        <v>19.939999999999998</v>
      </c>
      <c r="BT797" s="42"/>
    </row>
    <row r="798" spans="1:72" x14ac:dyDescent="0.25">
      <c r="A798" s="90">
        <v>34732</v>
      </c>
      <c r="B798" s="20">
        <v>0.5</v>
      </c>
      <c r="D798">
        <v>41</v>
      </c>
      <c r="E798" t="str">
        <f t="shared" si="60"/>
        <v>WEEKDAY</v>
      </c>
      <c r="F798" t="e">
        <f t="shared" si="59"/>
        <v>#N/A</v>
      </c>
      <c r="G798" s="74">
        <v>32175</v>
      </c>
      <c r="H798" s="77">
        <v>0.5</v>
      </c>
      <c r="J798">
        <v>59</v>
      </c>
      <c r="M798" s="74">
        <v>38019</v>
      </c>
      <c r="N798" s="77">
        <v>0.5</v>
      </c>
      <c r="P798">
        <v>33.799999999999997</v>
      </c>
      <c r="S798" s="74">
        <v>34732</v>
      </c>
      <c r="T798" s="77">
        <v>0.5</v>
      </c>
      <c r="V798">
        <v>42.980000000000004</v>
      </c>
      <c r="X798" s="42"/>
      <c r="AB798">
        <v>35</v>
      </c>
      <c r="AC798">
        <v>26.060000000000002</v>
      </c>
      <c r="AE798" s="74"/>
      <c r="AF798" s="77"/>
      <c r="AH798" s="497">
        <v>25.88</v>
      </c>
      <c r="AJ798" s="42"/>
      <c r="AK798" s="74"/>
      <c r="AL798" s="77"/>
      <c r="AN798" s="497">
        <v>28.94</v>
      </c>
      <c r="AP798" s="42"/>
      <c r="AQ798" s="74"/>
      <c r="AR798" s="77"/>
      <c r="AT798" s="497">
        <v>35.06</v>
      </c>
      <c r="AV798" s="42"/>
      <c r="AW798" s="74"/>
      <c r="AX798" s="77"/>
      <c r="BA798" s="497">
        <v>24.08</v>
      </c>
      <c r="BB798" s="42"/>
      <c r="BC798" s="74"/>
      <c r="BD798" s="77"/>
      <c r="BF798">
        <v>28.04</v>
      </c>
      <c r="BH798" s="42"/>
      <c r="BI798" s="74"/>
      <c r="BJ798" s="77"/>
      <c r="BL798" s="497">
        <v>26.060000000000002</v>
      </c>
      <c r="BN798" s="42"/>
      <c r="BO798" s="74"/>
      <c r="BP798" s="77"/>
      <c r="BR798" s="497">
        <v>19.939999999999998</v>
      </c>
      <c r="BT798" s="42"/>
    </row>
    <row r="799" spans="1:72" x14ac:dyDescent="0.25">
      <c r="A799" s="90">
        <v>34732</v>
      </c>
      <c r="B799" s="20">
        <v>0.54166666666666663</v>
      </c>
      <c r="D799">
        <v>41</v>
      </c>
      <c r="E799" t="str">
        <f t="shared" si="60"/>
        <v>WEEKDAY</v>
      </c>
      <c r="F799" t="e">
        <f t="shared" si="59"/>
        <v>#N/A</v>
      </c>
      <c r="G799" s="74">
        <v>32175</v>
      </c>
      <c r="H799" s="77">
        <v>0.54166666666666663</v>
      </c>
      <c r="J799">
        <v>57.92</v>
      </c>
      <c r="M799" s="74">
        <v>38019</v>
      </c>
      <c r="N799" s="77">
        <v>0.54166666666666663</v>
      </c>
      <c r="P799">
        <v>37.4</v>
      </c>
      <c r="S799" s="74">
        <v>34732</v>
      </c>
      <c r="T799" s="77">
        <v>0.54166666666666663</v>
      </c>
      <c r="V799">
        <v>44.06</v>
      </c>
      <c r="X799" s="42"/>
      <c r="AB799">
        <v>36.1</v>
      </c>
      <c r="AC799">
        <v>26.060000000000002</v>
      </c>
      <c r="AE799" s="74"/>
      <c r="AF799" s="77"/>
      <c r="AH799" s="497">
        <v>26.96</v>
      </c>
      <c r="AJ799" s="42"/>
      <c r="AK799" s="74"/>
      <c r="AL799" s="77"/>
      <c r="AN799" s="497">
        <v>32</v>
      </c>
      <c r="AP799" s="42"/>
      <c r="AQ799" s="74"/>
      <c r="AR799" s="77"/>
      <c r="AT799" s="497">
        <v>33.08</v>
      </c>
      <c r="AV799" s="42"/>
      <c r="AW799" s="74"/>
      <c r="AX799" s="77"/>
      <c r="BA799" s="497">
        <v>26.96</v>
      </c>
      <c r="BB799" s="42"/>
      <c r="BC799" s="74"/>
      <c r="BD799" s="77"/>
      <c r="BF799">
        <v>26.96</v>
      </c>
      <c r="BH799" s="42"/>
      <c r="BI799" s="74"/>
      <c r="BJ799" s="77"/>
      <c r="BL799" s="497">
        <v>26.060000000000002</v>
      </c>
      <c r="BN799" s="42"/>
      <c r="BO799" s="74"/>
      <c r="BP799" s="77"/>
      <c r="BR799" s="497">
        <v>19.939999999999998</v>
      </c>
      <c r="BT799" s="42"/>
    </row>
    <row r="800" spans="1:72" x14ac:dyDescent="0.25">
      <c r="A800" s="90">
        <v>34732</v>
      </c>
      <c r="B800" s="20">
        <v>0.58333333333333337</v>
      </c>
      <c r="D800">
        <v>41</v>
      </c>
      <c r="E800" t="str">
        <f t="shared" si="60"/>
        <v>WEEKDAY</v>
      </c>
      <c r="F800" t="e">
        <f t="shared" si="59"/>
        <v>#N/A</v>
      </c>
      <c r="G800" s="74">
        <v>32175</v>
      </c>
      <c r="H800" s="77">
        <v>0.58333333333333337</v>
      </c>
      <c r="J800">
        <v>57.92</v>
      </c>
      <c r="M800" s="74">
        <v>38019</v>
      </c>
      <c r="N800" s="77">
        <v>0.58333333333333337</v>
      </c>
      <c r="P800">
        <v>37.4</v>
      </c>
      <c r="S800" s="74">
        <v>34732</v>
      </c>
      <c r="T800" s="77">
        <v>0.58333333333333337</v>
      </c>
      <c r="V800">
        <v>42.08</v>
      </c>
      <c r="X800" s="42"/>
      <c r="AB800">
        <v>37</v>
      </c>
      <c r="AC800">
        <v>26.96</v>
      </c>
      <c r="AE800" s="74"/>
      <c r="AF800" s="77"/>
      <c r="AH800" s="497">
        <v>26.96</v>
      </c>
      <c r="AJ800" s="42"/>
      <c r="AK800" s="74"/>
      <c r="AL800" s="77"/>
      <c r="AN800" s="497">
        <v>33.979999999999997</v>
      </c>
      <c r="AP800" s="42"/>
      <c r="AQ800" s="74"/>
      <c r="AR800" s="77"/>
      <c r="AT800" s="497">
        <v>30.92</v>
      </c>
      <c r="AV800" s="42"/>
      <c r="AW800" s="74"/>
      <c r="AX800" s="77"/>
      <c r="BA800" s="497">
        <v>28.94</v>
      </c>
      <c r="BB800" s="42"/>
      <c r="BC800" s="74"/>
      <c r="BD800" s="77"/>
      <c r="BF800">
        <v>26.060000000000002</v>
      </c>
      <c r="BH800" s="42"/>
      <c r="BI800" s="74"/>
      <c r="BJ800" s="77"/>
      <c r="BL800" s="497">
        <v>24.98</v>
      </c>
      <c r="BN800" s="42"/>
      <c r="BO800" s="74"/>
      <c r="BP800" s="77"/>
      <c r="BR800" s="497">
        <v>19.939999999999998</v>
      </c>
      <c r="BT800" s="42"/>
    </row>
    <row r="801" spans="1:72" x14ac:dyDescent="0.25">
      <c r="A801" s="90">
        <v>34732</v>
      </c>
      <c r="B801" s="20">
        <v>0.625</v>
      </c>
      <c r="D801">
        <v>39.019999999999996</v>
      </c>
      <c r="E801" t="str">
        <f t="shared" si="60"/>
        <v>WEEKDAY</v>
      </c>
      <c r="F801" t="e">
        <f t="shared" si="59"/>
        <v>#N/A</v>
      </c>
      <c r="G801" s="74">
        <v>32175</v>
      </c>
      <c r="H801" s="77">
        <v>0.625</v>
      </c>
      <c r="J801">
        <v>51.980000000000004</v>
      </c>
      <c r="M801" s="74">
        <v>38019</v>
      </c>
      <c r="N801" s="77">
        <v>0.625</v>
      </c>
      <c r="P801">
        <v>35.6</v>
      </c>
      <c r="S801" s="74">
        <v>34732</v>
      </c>
      <c r="T801" s="77">
        <v>0.625</v>
      </c>
      <c r="V801">
        <v>41</v>
      </c>
      <c r="X801" s="42"/>
      <c r="AB801">
        <v>37.6</v>
      </c>
      <c r="AC801">
        <v>28.04</v>
      </c>
      <c r="AE801" s="74"/>
      <c r="AF801" s="77"/>
      <c r="AH801" s="497">
        <v>26.96</v>
      </c>
      <c r="AJ801" s="42"/>
      <c r="AK801" s="74"/>
      <c r="AL801" s="77"/>
      <c r="AN801" s="497">
        <v>30.92</v>
      </c>
      <c r="AP801" s="42"/>
      <c r="AQ801" s="74"/>
      <c r="AR801" s="77"/>
      <c r="AT801" s="497">
        <v>30.92</v>
      </c>
      <c r="AV801" s="42"/>
      <c r="AW801" s="74"/>
      <c r="AX801" s="77"/>
      <c r="BA801" s="497">
        <v>30.02</v>
      </c>
      <c r="BB801" s="42"/>
      <c r="BC801" s="74"/>
      <c r="BD801" s="77"/>
      <c r="BF801">
        <v>26.060000000000002</v>
      </c>
      <c r="BH801" s="42"/>
      <c r="BI801" s="74"/>
      <c r="BJ801" s="77"/>
      <c r="BL801" s="497">
        <v>24.08</v>
      </c>
      <c r="BN801" s="42"/>
      <c r="BO801" s="74"/>
      <c r="BP801" s="77"/>
      <c r="BR801" s="497">
        <v>19.939999999999998</v>
      </c>
      <c r="BT801" s="42"/>
    </row>
    <row r="802" spans="1:72" x14ac:dyDescent="0.25">
      <c r="A802" s="90">
        <v>34732</v>
      </c>
      <c r="B802" s="20">
        <v>0.66666666666666663</v>
      </c>
      <c r="D802">
        <v>37.94</v>
      </c>
      <c r="E802" t="str">
        <f t="shared" si="60"/>
        <v>WEEKDAY</v>
      </c>
      <c r="F802" t="e">
        <f t="shared" si="59"/>
        <v>#N/A</v>
      </c>
      <c r="G802" s="74">
        <v>32175</v>
      </c>
      <c r="H802" s="77">
        <v>0.66666666666666663</v>
      </c>
      <c r="J802">
        <v>46.04</v>
      </c>
      <c r="M802" s="74">
        <v>38019</v>
      </c>
      <c r="N802" s="77">
        <v>0.66666666666666663</v>
      </c>
      <c r="P802">
        <v>37.4</v>
      </c>
      <c r="S802" s="74">
        <v>34732</v>
      </c>
      <c r="T802" s="77">
        <v>0.66666666666666663</v>
      </c>
      <c r="V802">
        <v>39.92</v>
      </c>
      <c r="X802" s="42"/>
      <c r="AB802">
        <v>37.799999999999997</v>
      </c>
      <c r="AC802">
        <v>28.04</v>
      </c>
      <c r="AE802" s="74"/>
      <c r="AF802" s="77"/>
      <c r="AH802" s="497">
        <v>26.96</v>
      </c>
      <c r="AJ802" s="42"/>
      <c r="AK802" s="74"/>
      <c r="AL802" s="77"/>
      <c r="AN802" s="497">
        <v>30.02</v>
      </c>
      <c r="AP802" s="42"/>
      <c r="AQ802" s="74"/>
      <c r="AR802" s="77"/>
      <c r="AT802" s="497">
        <v>30.02</v>
      </c>
      <c r="AV802" s="42"/>
      <c r="AW802" s="74"/>
      <c r="AX802" s="77"/>
      <c r="BA802" s="497">
        <v>30.92</v>
      </c>
      <c r="BB802" s="42"/>
      <c r="BC802" s="74"/>
      <c r="BD802" s="77"/>
      <c r="BF802">
        <v>26.060000000000002</v>
      </c>
      <c r="BH802" s="42"/>
      <c r="BI802" s="74"/>
      <c r="BJ802" s="77"/>
      <c r="BL802" s="497">
        <v>24.08</v>
      </c>
      <c r="BN802" s="42"/>
      <c r="BO802" s="74"/>
      <c r="BP802" s="77"/>
      <c r="BR802" s="497">
        <v>19.04</v>
      </c>
      <c r="BT802" s="42"/>
    </row>
    <row r="803" spans="1:72" x14ac:dyDescent="0.25">
      <c r="A803" s="90">
        <v>34732</v>
      </c>
      <c r="B803" s="20">
        <v>0.70833333333333337</v>
      </c>
      <c r="D803">
        <v>37.04</v>
      </c>
      <c r="E803" t="str">
        <f t="shared" si="60"/>
        <v>WEEKDAY</v>
      </c>
      <c r="F803" t="e">
        <f t="shared" si="59"/>
        <v>#N/A</v>
      </c>
      <c r="G803" s="74">
        <v>32175</v>
      </c>
      <c r="H803" s="77">
        <v>0.70833333333333337</v>
      </c>
      <c r="J803">
        <v>42.980000000000004</v>
      </c>
      <c r="M803" s="74">
        <v>38019</v>
      </c>
      <c r="N803" s="77">
        <v>0.70833333333333337</v>
      </c>
      <c r="P803">
        <v>32</v>
      </c>
      <c r="S803" s="74">
        <v>34732</v>
      </c>
      <c r="T803" s="77">
        <v>0.70833333333333337</v>
      </c>
      <c r="V803">
        <v>37.04</v>
      </c>
      <c r="X803" s="42"/>
      <c r="AB803">
        <v>37.299999999999997</v>
      </c>
      <c r="AC803">
        <v>26.96</v>
      </c>
      <c r="AE803" s="74"/>
      <c r="AF803" s="77"/>
      <c r="AH803" s="497">
        <v>25.88</v>
      </c>
      <c r="AJ803" s="42"/>
      <c r="AK803" s="74"/>
      <c r="AL803" s="77"/>
      <c r="AN803" s="497">
        <v>28.94</v>
      </c>
      <c r="AP803" s="42"/>
      <c r="AQ803" s="74"/>
      <c r="AR803" s="77"/>
      <c r="AT803" s="497">
        <v>28.94</v>
      </c>
      <c r="AV803" s="42"/>
      <c r="AW803" s="74"/>
      <c r="AX803" s="77"/>
      <c r="BA803" s="497">
        <v>32</v>
      </c>
      <c r="BB803" s="42"/>
      <c r="BC803" s="74"/>
      <c r="BD803" s="77"/>
      <c r="BF803">
        <v>24.98</v>
      </c>
      <c r="BH803" s="42"/>
      <c r="BI803" s="74"/>
      <c r="BJ803" s="77"/>
      <c r="BL803" s="497">
        <v>24.08</v>
      </c>
      <c r="BN803" s="42"/>
      <c r="BO803" s="74"/>
      <c r="BP803" s="77"/>
      <c r="BR803" s="497">
        <v>17.059999999999999</v>
      </c>
      <c r="BT803" s="42"/>
    </row>
    <row r="804" spans="1:72" x14ac:dyDescent="0.25">
      <c r="A804" s="90">
        <v>34732</v>
      </c>
      <c r="B804" s="20">
        <v>0.75</v>
      </c>
      <c r="D804">
        <v>35.06</v>
      </c>
      <c r="E804" t="str">
        <f t="shared" si="60"/>
        <v>WEEKDAY</v>
      </c>
      <c r="F804" t="e">
        <f t="shared" si="59"/>
        <v>#N/A</v>
      </c>
      <c r="G804" s="74">
        <v>32175</v>
      </c>
      <c r="H804" s="77">
        <v>0.75</v>
      </c>
      <c r="J804">
        <v>41</v>
      </c>
      <c r="M804" s="74">
        <v>38019</v>
      </c>
      <c r="N804" s="77">
        <v>0.75</v>
      </c>
      <c r="P804">
        <v>28.4</v>
      </c>
      <c r="S804" s="74">
        <v>34732</v>
      </c>
      <c r="T804" s="77">
        <v>0.75</v>
      </c>
      <c r="V804">
        <v>35.06</v>
      </c>
      <c r="X804" s="42"/>
      <c r="AB804">
        <v>36.1</v>
      </c>
      <c r="AC804">
        <v>24.98</v>
      </c>
      <c r="AE804" s="74"/>
      <c r="AF804" s="77"/>
      <c r="AH804" s="497">
        <v>23.54</v>
      </c>
      <c r="AJ804" s="42"/>
      <c r="AK804" s="74"/>
      <c r="AL804" s="77"/>
      <c r="AN804" s="497">
        <v>28.04</v>
      </c>
      <c r="AP804" s="42"/>
      <c r="AQ804" s="74"/>
      <c r="AR804" s="77"/>
      <c r="AT804" s="497">
        <v>28.04</v>
      </c>
      <c r="AV804" s="42"/>
      <c r="AW804" s="74"/>
      <c r="AX804" s="77"/>
      <c r="BA804" s="497">
        <v>33.08</v>
      </c>
      <c r="BB804" s="42"/>
      <c r="BC804" s="74"/>
      <c r="BD804" s="77"/>
      <c r="BF804">
        <v>24.08</v>
      </c>
      <c r="BH804" s="42"/>
      <c r="BI804" s="74"/>
      <c r="BJ804" s="77"/>
      <c r="BL804" s="497">
        <v>24.08</v>
      </c>
      <c r="BN804" s="42"/>
      <c r="BO804" s="74"/>
      <c r="BP804" s="77"/>
      <c r="BR804" s="497">
        <v>15.98</v>
      </c>
      <c r="BT804" s="42"/>
    </row>
    <row r="805" spans="1:72" x14ac:dyDescent="0.25">
      <c r="A805" s="90">
        <v>34732</v>
      </c>
      <c r="B805" s="20">
        <v>0.79166666666666663</v>
      </c>
      <c r="D805">
        <v>33.08</v>
      </c>
      <c r="E805" t="str">
        <f t="shared" si="60"/>
        <v>WEEKDAY</v>
      </c>
      <c r="F805" t="e">
        <f t="shared" si="59"/>
        <v>#N/A</v>
      </c>
      <c r="G805" s="74">
        <v>32175</v>
      </c>
      <c r="H805" s="77">
        <v>0.79166666666666663</v>
      </c>
      <c r="J805">
        <v>39.92</v>
      </c>
      <c r="M805" s="74">
        <v>38019</v>
      </c>
      <c r="N805" s="77">
        <v>0.79166666666666663</v>
      </c>
      <c r="P805">
        <v>30.2</v>
      </c>
      <c r="S805" s="74">
        <v>34732</v>
      </c>
      <c r="T805" s="77">
        <v>0.79166666666666663</v>
      </c>
      <c r="V805">
        <v>33.979999999999997</v>
      </c>
      <c r="X805" s="42"/>
      <c r="AB805">
        <v>35.200000000000003</v>
      </c>
      <c r="AC805">
        <v>24.98</v>
      </c>
      <c r="AE805" s="74"/>
      <c r="AF805" s="77"/>
      <c r="AH805" s="497">
        <v>20.84</v>
      </c>
      <c r="AJ805" s="42"/>
      <c r="AK805" s="74"/>
      <c r="AL805" s="77"/>
      <c r="AN805" s="497">
        <v>28.94</v>
      </c>
      <c r="AP805" s="42"/>
      <c r="AQ805" s="74"/>
      <c r="AR805" s="77"/>
      <c r="AT805" s="497">
        <v>26.96</v>
      </c>
      <c r="AV805" s="42"/>
      <c r="AW805" s="74"/>
      <c r="AX805" s="77"/>
      <c r="BA805" s="497">
        <v>33.08</v>
      </c>
      <c r="BB805" s="42"/>
      <c r="BC805" s="74"/>
      <c r="BD805" s="77"/>
      <c r="BF805">
        <v>24.08</v>
      </c>
      <c r="BH805" s="42"/>
      <c r="BI805" s="74"/>
      <c r="BJ805" s="77"/>
      <c r="BL805" s="497">
        <v>23</v>
      </c>
      <c r="BN805" s="42"/>
      <c r="BO805" s="74"/>
      <c r="BP805" s="77"/>
      <c r="BR805" s="497">
        <v>12.920000000000002</v>
      </c>
      <c r="BT805" s="42"/>
    </row>
    <row r="806" spans="1:72" x14ac:dyDescent="0.25">
      <c r="A806" s="90">
        <v>34732</v>
      </c>
      <c r="B806" s="20">
        <v>0.83333333333333337</v>
      </c>
      <c r="D806">
        <v>30.92</v>
      </c>
      <c r="E806" t="str">
        <f t="shared" si="60"/>
        <v>WEEKDAY</v>
      </c>
      <c r="F806" t="e">
        <f t="shared" si="59"/>
        <v>#N/A</v>
      </c>
      <c r="G806" s="74">
        <v>32175</v>
      </c>
      <c r="H806" s="77">
        <v>0.83333333333333337</v>
      </c>
      <c r="J806">
        <v>39.019999999999996</v>
      </c>
      <c r="M806" s="74">
        <v>38019</v>
      </c>
      <c r="N806" s="77">
        <v>0.83333333333333337</v>
      </c>
      <c r="P806">
        <v>26.6</v>
      </c>
      <c r="S806" s="74">
        <v>34732</v>
      </c>
      <c r="T806" s="77">
        <v>0.83333333333333337</v>
      </c>
      <c r="V806">
        <v>30.92</v>
      </c>
      <c r="X806" s="42"/>
      <c r="AB806">
        <v>34.9</v>
      </c>
      <c r="AC806">
        <v>24.08</v>
      </c>
      <c r="AE806" s="74"/>
      <c r="AF806" s="77"/>
      <c r="AH806" s="497">
        <v>19.939999999999998</v>
      </c>
      <c r="AJ806" s="42"/>
      <c r="AK806" s="74"/>
      <c r="AL806" s="77"/>
      <c r="AN806" s="497">
        <v>28.94</v>
      </c>
      <c r="AP806" s="42"/>
      <c r="AQ806" s="74"/>
      <c r="AR806" s="77"/>
      <c r="AT806" s="497">
        <v>26.060000000000002</v>
      </c>
      <c r="AV806" s="42"/>
      <c r="AW806" s="74"/>
      <c r="AX806" s="77"/>
      <c r="BA806" s="497">
        <v>33.979999999999997</v>
      </c>
      <c r="BB806" s="42"/>
      <c r="BC806" s="74"/>
      <c r="BD806" s="77"/>
      <c r="BF806">
        <v>24.08</v>
      </c>
      <c r="BH806" s="42"/>
      <c r="BI806" s="74"/>
      <c r="BJ806" s="77"/>
      <c r="BL806" s="497">
        <v>23</v>
      </c>
      <c r="BN806" s="42"/>
      <c r="BO806" s="74"/>
      <c r="BP806" s="77"/>
      <c r="BR806" s="497">
        <v>10.940000000000001</v>
      </c>
      <c r="BT806" s="42"/>
    </row>
    <row r="807" spans="1:72" x14ac:dyDescent="0.25">
      <c r="A807" s="90">
        <v>34732</v>
      </c>
      <c r="B807" s="20">
        <v>0.875</v>
      </c>
      <c r="D807">
        <v>28.94</v>
      </c>
      <c r="E807" t="str">
        <f t="shared" si="60"/>
        <v>WEEKDAY</v>
      </c>
      <c r="F807" t="e">
        <f t="shared" si="59"/>
        <v>#N/A</v>
      </c>
      <c r="G807" s="74">
        <v>32175</v>
      </c>
      <c r="H807" s="77">
        <v>0.875</v>
      </c>
      <c r="J807">
        <v>39.019999999999996</v>
      </c>
      <c r="M807" s="74">
        <v>38019</v>
      </c>
      <c r="N807" s="77">
        <v>0.875</v>
      </c>
      <c r="P807">
        <v>24.8</v>
      </c>
      <c r="S807" s="74">
        <v>34732</v>
      </c>
      <c r="T807" s="77">
        <v>0.875</v>
      </c>
      <c r="V807">
        <v>28.94</v>
      </c>
      <c r="X807" s="42"/>
      <c r="AB807">
        <v>34.299999999999997</v>
      </c>
      <c r="AC807">
        <v>21.92</v>
      </c>
      <c r="AE807" s="74"/>
      <c r="AF807" s="77"/>
      <c r="AH807" s="497">
        <v>17.96</v>
      </c>
      <c r="AJ807" s="42"/>
      <c r="AK807" s="74"/>
      <c r="AL807" s="77"/>
      <c r="AN807" s="497">
        <v>28.04</v>
      </c>
      <c r="AP807" s="42"/>
      <c r="AQ807" s="74"/>
      <c r="AR807" s="77"/>
      <c r="AT807" s="497">
        <v>24.98</v>
      </c>
      <c r="AV807" s="42"/>
      <c r="AW807" s="74"/>
      <c r="AX807" s="77"/>
      <c r="BA807" s="497">
        <v>33.08</v>
      </c>
      <c r="BB807" s="42"/>
      <c r="BC807" s="74"/>
      <c r="BD807" s="77"/>
      <c r="BF807">
        <v>23</v>
      </c>
      <c r="BH807" s="42"/>
      <c r="BI807" s="74"/>
      <c r="BJ807" s="77"/>
      <c r="BL807" s="497">
        <v>21.92</v>
      </c>
      <c r="BN807" s="42"/>
      <c r="BO807" s="74"/>
      <c r="BP807" s="77"/>
      <c r="BR807" s="497">
        <v>8.9599999999999973</v>
      </c>
      <c r="BT807" s="42"/>
    </row>
    <row r="808" spans="1:72" x14ac:dyDescent="0.25">
      <c r="A808" s="90">
        <v>34732</v>
      </c>
      <c r="B808" s="20">
        <v>0.91666666666666663</v>
      </c>
      <c r="D808">
        <v>28.04</v>
      </c>
      <c r="E808" t="str">
        <f t="shared" si="60"/>
        <v>WEEKDAY</v>
      </c>
      <c r="F808" t="e">
        <f t="shared" si="59"/>
        <v>#N/A</v>
      </c>
      <c r="G808" s="74">
        <v>32175</v>
      </c>
      <c r="H808" s="77">
        <v>0.91666666666666663</v>
      </c>
      <c r="J808">
        <v>37.04</v>
      </c>
      <c r="M808" s="74">
        <v>38019</v>
      </c>
      <c r="N808" s="77">
        <v>0.91666666666666663</v>
      </c>
      <c r="P808">
        <v>26.6</v>
      </c>
      <c r="S808" s="74">
        <v>34732</v>
      </c>
      <c r="T808" s="77">
        <v>0.91666666666666663</v>
      </c>
      <c r="V808">
        <v>28.04</v>
      </c>
      <c r="X808" s="42"/>
      <c r="AB808">
        <v>33.700000000000003</v>
      </c>
      <c r="AC808">
        <v>21.92</v>
      </c>
      <c r="AE808" s="74"/>
      <c r="AF808" s="77"/>
      <c r="AH808" s="497">
        <v>14.899999999999999</v>
      </c>
      <c r="AJ808" s="42"/>
      <c r="AK808" s="74"/>
      <c r="AL808" s="77"/>
      <c r="AN808" s="497">
        <v>28.04</v>
      </c>
      <c r="AP808" s="42"/>
      <c r="AQ808" s="74"/>
      <c r="AR808" s="77"/>
      <c r="AT808" s="497">
        <v>24.08</v>
      </c>
      <c r="AV808" s="42"/>
      <c r="AW808" s="74"/>
      <c r="AX808" s="77"/>
      <c r="BA808" s="497">
        <v>33.979999999999997</v>
      </c>
      <c r="BB808" s="42"/>
      <c r="BC808" s="74"/>
      <c r="BD808" s="77"/>
      <c r="BF808">
        <v>24.08</v>
      </c>
      <c r="BH808" s="42"/>
      <c r="BI808" s="74"/>
      <c r="BJ808" s="77"/>
      <c r="BL808" s="497">
        <v>23</v>
      </c>
      <c r="BN808" s="42"/>
      <c r="BO808" s="74"/>
      <c r="BP808" s="77"/>
      <c r="BR808" s="497">
        <v>6.0799999999999983</v>
      </c>
      <c r="BT808" s="42"/>
    </row>
    <row r="809" spans="1:72" x14ac:dyDescent="0.25">
      <c r="A809" s="90">
        <v>34732</v>
      </c>
      <c r="B809" s="20">
        <v>0.95833333333333337</v>
      </c>
      <c r="D809">
        <v>26.060000000000002</v>
      </c>
      <c r="E809" t="str">
        <f t="shared" si="60"/>
        <v>WEEKDAY</v>
      </c>
      <c r="F809" t="e">
        <f t="shared" si="59"/>
        <v>#N/A</v>
      </c>
      <c r="G809" s="74">
        <v>32175</v>
      </c>
      <c r="H809" s="77">
        <v>0.95833333333333337</v>
      </c>
      <c r="J809">
        <v>35.96</v>
      </c>
      <c r="M809" s="74">
        <v>38019</v>
      </c>
      <c r="N809" s="77">
        <v>0.95833333333333337</v>
      </c>
      <c r="P809">
        <v>24.8</v>
      </c>
      <c r="S809" s="74">
        <v>34732</v>
      </c>
      <c r="T809" s="77">
        <v>0.95833333333333337</v>
      </c>
      <c r="V809">
        <v>26.96</v>
      </c>
      <c r="X809" s="42"/>
      <c r="AB809">
        <v>33.1</v>
      </c>
      <c r="AC809">
        <v>21.02</v>
      </c>
      <c r="AE809" s="74"/>
      <c r="AF809" s="77"/>
      <c r="AH809" s="497">
        <v>14</v>
      </c>
      <c r="AJ809" s="42"/>
      <c r="AK809" s="74"/>
      <c r="AL809" s="77"/>
      <c r="AN809" s="497">
        <v>28.94</v>
      </c>
      <c r="AP809" s="42"/>
      <c r="AQ809" s="74"/>
      <c r="AR809" s="77"/>
      <c r="AT809" s="497">
        <v>23</v>
      </c>
      <c r="AV809" s="42"/>
      <c r="AW809" s="74"/>
      <c r="AX809" s="77"/>
      <c r="BA809" s="497">
        <v>33.979999999999997</v>
      </c>
      <c r="BB809" s="42"/>
      <c r="BC809" s="74"/>
      <c r="BD809" s="77"/>
      <c r="BF809">
        <v>24.08</v>
      </c>
      <c r="BH809" s="42"/>
      <c r="BI809" s="74"/>
      <c r="BJ809" s="77"/>
      <c r="BL809" s="497">
        <v>23</v>
      </c>
      <c r="BN809" s="42"/>
      <c r="BO809" s="74"/>
      <c r="BP809" s="77"/>
      <c r="BR809" s="497">
        <v>1.9400000000000013</v>
      </c>
      <c r="BT809" s="42"/>
    </row>
    <row r="810" spans="1:72" x14ac:dyDescent="0.25">
      <c r="A810" s="90">
        <v>34732</v>
      </c>
      <c r="B810" s="20">
        <v>1</v>
      </c>
      <c r="D810">
        <v>24.08</v>
      </c>
      <c r="E810" t="str">
        <f t="shared" si="60"/>
        <v>WEEKDAY</v>
      </c>
      <c r="F810" t="e">
        <f t="shared" si="59"/>
        <v>#N/A</v>
      </c>
      <c r="G810" s="74">
        <v>32175</v>
      </c>
      <c r="H810" s="77">
        <v>1</v>
      </c>
      <c r="J810">
        <v>35.96</v>
      </c>
      <c r="M810" s="74">
        <v>38019</v>
      </c>
      <c r="N810" s="80">
        <v>1</v>
      </c>
      <c r="P810">
        <v>19.399999999999999</v>
      </c>
      <c r="S810" s="74">
        <v>34732</v>
      </c>
      <c r="T810" s="80">
        <v>1</v>
      </c>
      <c r="V810">
        <v>24.08</v>
      </c>
      <c r="X810" s="42"/>
      <c r="AB810">
        <v>32.5</v>
      </c>
      <c r="AC810">
        <v>19.04</v>
      </c>
      <c r="AE810" s="74"/>
      <c r="AF810" s="80"/>
      <c r="AH810" s="497">
        <v>12.920000000000002</v>
      </c>
      <c r="AJ810" s="42"/>
      <c r="AK810" s="74"/>
      <c r="AL810" s="80"/>
      <c r="AN810" s="497">
        <v>28.94</v>
      </c>
      <c r="AP810" s="42"/>
      <c r="AQ810" s="74"/>
      <c r="AR810" s="80"/>
      <c r="AT810" s="497">
        <v>21.92</v>
      </c>
      <c r="AV810" s="42"/>
      <c r="AW810" s="74"/>
      <c r="AX810" s="80"/>
      <c r="BA810" s="497">
        <v>33.979999999999997</v>
      </c>
      <c r="BB810" s="42"/>
      <c r="BC810" s="74"/>
      <c r="BD810" s="80"/>
      <c r="BF810">
        <v>24.08</v>
      </c>
      <c r="BH810" s="42"/>
      <c r="BI810" s="74"/>
      <c r="BJ810" s="80"/>
      <c r="BL810" s="497">
        <v>21.92</v>
      </c>
      <c r="BN810" s="42"/>
      <c r="BO810" s="74"/>
      <c r="BP810" s="80"/>
      <c r="BR810" s="497">
        <v>-0.94000000000000483</v>
      </c>
      <c r="BT810" s="42"/>
    </row>
    <row r="811" spans="1:72" x14ac:dyDescent="0.25">
      <c r="A811" s="90">
        <v>34733</v>
      </c>
      <c r="B811" s="20">
        <v>4.1666666666666664E-2</v>
      </c>
      <c r="D811">
        <v>23</v>
      </c>
      <c r="E811" t="str">
        <f t="shared" si="60"/>
        <v>WEEKDAY</v>
      </c>
      <c r="F811" t="e">
        <f t="shared" ref="F811:F874" si="61">IF(E811="WEEKDAY",VLOOKUP(B811,$DD$19:$DG$42,2),IF(E811="SATURDAY",VLOOKUP(B811,$DD$19:$DG$42,3),VLOOKUP(B811,$DD$19:$DG$42,4)))</f>
        <v>#N/A</v>
      </c>
      <c r="G811" s="74">
        <v>32176</v>
      </c>
      <c r="H811" s="77">
        <v>4.1666666666666664E-2</v>
      </c>
      <c r="J811">
        <v>35.06</v>
      </c>
      <c r="M811" s="74">
        <v>38020</v>
      </c>
      <c r="N811" s="77">
        <v>4.1666666666666664E-2</v>
      </c>
      <c r="P811">
        <v>19.399999999999999</v>
      </c>
      <c r="S811" s="74">
        <v>34733</v>
      </c>
      <c r="T811" s="77">
        <v>4.1666666666666664E-2</v>
      </c>
      <c r="V811">
        <v>23</v>
      </c>
      <c r="X811" s="42"/>
      <c r="AB811">
        <v>32</v>
      </c>
      <c r="AC811">
        <v>19.04</v>
      </c>
      <c r="AE811" s="74"/>
      <c r="AF811" s="77"/>
      <c r="AH811" s="497">
        <v>11.84</v>
      </c>
      <c r="AJ811" s="42"/>
      <c r="AK811" s="74"/>
      <c r="AL811" s="77"/>
      <c r="AN811" s="497">
        <v>30.02</v>
      </c>
      <c r="AP811" s="42"/>
      <c r="AQ811" s="74"/>
      <c r="AR811" s="77"/>
      <c r="AT811" s="497">
        <v>19.939999999999998</v>
      </c>
      <c r="AV811" s="42"/>
      <c r="AW811" s="74"/>
      <c r="AX811" s="77"/>
      <c r="BA811" s="497">
        <v>33.08</v>
      </c>
      <c r="BB811" s="42"/>
      <c r="BC811" s="74"/>
      <c r="BD811" s="77"/>
      <c r="BF811">
        <v>23</v>
      </c>
      <c r="BH811" s="42"/>
      <c r="BI811" s="74"/>
      <c r="BJ811" s="77"/>
      <c r="BL811" s="497">
        <v>21.02</v>
      </c>
      <c r="BN811" s="42"/>
      <c r="BO811" s="74"/>
      <c r="BP811" s="77"/>
      <c r="BR811" s="497">
        <v>-5.0800000000000054</v>
      </c>
      <c r="BT811" s="42"/>
    </row>
    <row r="812" spans="1:72" x14ac:dyDescent="0.25">
      <c r="A812" s="90">
        <v>34733</v>
      </c>
      <c r="B812" s="20">
        <v>8.3333333333333329E-2</v>
      </c>
      <c r="D812">
        <v>21.92</v>
      </c>
      <c r="E812" t="str">
        <f t="shared" si="60"/>
        <v>WEEKDAY</v>
      </c>
      <c r="F812" t="e">
        <f t="shared" si="61"/>
        <v>#N/A</v>
      </c>
      <c r="G812" s="74">
        <v>32176</v>
      </c>
      <c r="H812" s="77">
        <v>8.3333333333333329E-2</v>
      </c>
      <c r="J812">
        <v>33.979999999999997</v>
      </c>
      <c r="M812" s="74">
        <v>38020</v>
      </c>
      <c r="N812" s="77">
        <v>8.3333333333333329E-2</v>
      </c>
      <c r="P812">
        <v>17.600000000000001</v>
      </c>
      <c r="S812" s="74">
        <v>34733</v>
      </c>
      <c r="T812" s="77">
        <v>8.3333333333333329E-2</v>
      </c>
      <c r="V812">
        <v>21.92</v>
      </c>
      <c r="X812" s="42"/>
      <c r="AB812">
        <v>31.6</v>
      </c>
      <c r="AC812">
        <v>19.04</v>
      </c>
      <c r="AE812" s="74"/>
      <c r="AF812" s="77"/>
      <c r="AH812" s="497">
        <v>11.84</v>
      </c>
      <c r="AJ812" s="42"/>
      <c r="AK812" s="74"/>
      <c r="AL812" s="77"/>
      <c r="AN812" s="497">
        <v>30.92</v>
      </c>
      <c r="AP812" s="42"/>
      <c r="AQ812" s="74"/>
      <c r="AR812" s="77"/>
      <c r="AT812" s="497">
        <v>19.04</v>
      </c>
      <c r="AV812" s="42"/>
      <c r="AW812" s="74"/>
      <c r="AX812" s="77"/>
      <c r="BA812" s="497">
        <v>33.08</v>
      </c>
      <c r="BB812" s="42"/>
      <c r="BC812" s="74"/>
      <c r="BD812" s="77"/>
      <c r="BF812">
        <v>23</v>
      </c>
      <c r="BH812" s="42"/>
      <c r="BI812" s="74"/>
      <c r="BJ812" s="77"/>
      <c r="BL812" s="497">
        <v>19.939999999999998</v>
      </c>
      <c r="BN812" s="42"/>
      <c r="BO812" s="74"/>
      <c r="BP812" s="77"/>
      <c r="BR812" s="497">
        <v>-5.0800000000000054</v>
      </c>
      <c r="BT812" s="42"/>
    </row>
    <row r="813" spans="1:72" x14ac:dyDescent="0.25">
      <c r="A813" s="90">
        <v>34733</v>
      </c>
      <c r="B813" s="20">
        <v>0.125</v>
      </c>
      <c r="D813">
        <v>21.02</v>
      </c>
      <c r="E813" t="str">
        <f t="shared" si="60"/>
        <v>WEEKDAY</v>
      </c>
      <c r="F813" t="e">
        <f t="shared" si="61"/>
        <v>#N/A</v>
      </c>
      <c r="G813" s="74">
        <v>32176</v>
      </c>
      <c r="H813" s="77">
        <v>0.125</v>
      </c>
      <c r="J813">
        <v>33.08</v>
      </c>
      <c r="M813" s="74">
        <v>38020</v>
      </c>
      <c r="N813" s="77">
        <v>0.125</v>
      </c>
      <c r="P813">
        <v>19.399999999999999</v>
      </c>
      <c r="S813" s="74">
        <v>34733</v>
      </c>
      <c r="T813" s="77">
        <v>0.125</v>
      </c>
      <c r="V813">
        <v>21.02</v>
      </c>
      <c r="X813" s="42"/>
      <c r="AB813">
        <v>31</v>
      </c>
      <c r="AC813">
        <v>19.04</v>
      </c>
      <c r="AE813" s="74"/>
      <c r="AF813" s="77"/>
      <c r="AH813" s="497">
        <v>11.84</v>
      </c>
      <c r="AJ813" s="42"/>
      <c r="AK813" s="74"/>
      <c r="AL813" s="77"/>
      <c r="AN813" s="497">
        <v>32</v>
      </c>
      <c r="AP813" s="42"/>
      <c r="AQ813" s="74"/>
      <c r="AR813" s="77"/>
      <c r="AT813" s="497">
        <v>17.059999999999999</v>
      </c>
      <c r="AV813" s="42"/>
      <c r="AW813" s="74"/>
      <c r="AX813" s="77"/>
      <c r="BA813" s="497">
        <v>30.92</v>
      </c>
      <c r="BB813" s="42"/>
      <c r="BC813" s="74"/>
      <c r="BD813" s="77"/>
      <c r="BF813">
        <v>19.939999999999998</v>
      </c>
      <c r="BH813" s="42"/>
      <c r="BI813" s="74"/>
      <c r="BJ813" s="77"/>
      <c r="BL813" s="497">
        <v>17.059999999999999</v>
      </c>
      <c r="BN813" s="42"/>
      <c r="BO813" s="74"/>
      <c r="BP813" s="77"/>
      <c r="BR813" s="497">
        <v>-7.0600000000000023</v>
      </c>
      <c r="BT813" s="42"/>
    </row>
    <row r="814" spans="1:72" x14ac:dyDescent="0.25">
      <c r="A814" s="90">
        <v>34733</v>
      </c>
      <c r="B814" s="20">
        <v>0.16666666666666666</v>
      </c>
      <c r="D814">
        <v>19.939999999999998</v>
      </c>
      <c r="E814" t="str">
        <f t="shared" si="60"/>
        <v>WEEKDAY</v>
      </c>
      <c r="F814" t="e">
        <f t="shared" si="61"/>
        <v>#N/A</v>
      </c>
      <c r="G814" s="74">
        <v>32176</v>
      </c>
      <c r="H814" s="77">
        <v>0.16666666666666666</v>
      </c>
      <c r="J814">
        <v>32</v>
      </c>
      <c r="M814" s="74">
        <v>38020</v>
      </c>
      <c r="N814" s="77">
        <v>0.16666666666666666</v>
      </c>
      <c r="P814">
        <v>17.600000000000001</v>
      </c>
      <c r="S814" s="74">
        <v>34733</v>
      </c>
      <c r="T814" s="77">
        <v>0.16666666666666666</v>
      </c>
      <c r="V814">
        <v>19.04</v>
      </c>
      <c r="X814" s="42"/>
      <c r="AB814">
        <v>30.7</v>
      </c>
      <c r="AC814">
        <v>19.939999999999998</v>
      </c>
      <c r="AE814" s="74"/>
      <c r="AF814" s="77"/>
      <c r="AH814" s="497">
        <v>10.940000000000001</v>
      </c>
      <c r="AJ814" s="42"/>
      <c r="AK814" s="74"/>
      <c r="AL814" s="77"/>
      <c r="AN814" s="497">
        <v>33.08</v>
      </c>
      <c r="AP814" s="42"/>
      <c r="AQ814" s="74"/>
      <c r="AR814" s="77"/>
      <c r="AT814" s="497">
        <v>15.98</v>
      </c>
      <c r="AV814" s="42"/>
      <c r="AW814" s="74"/>
      <c r="AX814" s="77"/>
      <c r="BA814" s="497">
        <v>30.92</v>
      </c>
      <c r="BB814" s="42"/>
      <c r="BC814" s="74"/>
      <c r="BD814" s="77"/>
      <c r="BF814">
        <v>19.04</v>
      </c>
      <c r="BH814" s="42"/>
      <c r="BI814" s="74"/>
      <c r="BJ814" s="77"/>
      <c r="BL814" s="497">
        <v>15.079999999999998</v>
      </c>
      <c r="BN814" s="42"/>
      <c r="BO814" s="74"/>
      <c r="BP814" s="77"/>
      <c r="BR814" s="497">
        <v>-2.9200000000000017</v>
      </c>
      <c r="BT814" s="42"/>
    </row>
    <row r="815" spans="1:72" x14ac:dyDescent="0.25">
      <c r="A815" s="90">
        <v>34733</v>
      </c>
      <c r="B815" s="20">
        <v>0.20833333333333334</v>
      </c>
      <c r="D815">
        <v>19.04</v>
      </c>
      <c r="E815" t="str">
        <f t="shared" si="60"/>
        <v>WEEKDAY</v>
      </c>
      <c r="F815" t="e">
        <f t="shared" si="61"/>
        <v>#N/A</v>
      </c>
      <c r="G815" s="74">
        <v>32176</v>
      </c>
      <c r="H815" s="77">
        <v>0.20833333333333334</v>
      </c>
      <c r="J815">
        <v>30.92</v>
      </c>
      <c r="M815" s="74">
        <v>38020</v>
      </c>
      <c r="N815" s="77">
        <v>0.20833333333333334</v>
      </c>
      <c r="P815">
        <v>24.8</v>
      </c>
      <c r="S815" s="74">
        <v>34733</v>
      </c>
      <c r="T815" s="77">
        <v>0.20833333333333334</v>
      </c>
      <c r="V815">
        <v>19.04</v>
      </c>
      <c r="X815" s="42"/>
      <c r="AB815">
        <v>30.3</v>
      </c>
      <c r="AC815">
        <v>21.02</v>
      </c>
      <c r="AE815" s="74"/>
      <c r="AF815" s="77"/>
      <c r="AH815" s="497">
        <v>10.940000000000001</v>
      </c>
      <c r="AJ815" s="42"/>
      <c r="AK815" s="74"/>
      <c r="AL815" s="77"/>
      <c r="AN815" s="497">
        <v>33.08</v>
      </c>
      <c r="AP815" s="42"/>
      <c r="AQ815" s="74"/>
      <c r="AR815" s="77"/>
      <c r="AT815" s="497">
        <v>15.079999999999998</v>
      </c>
      <c r="AV815" s="42"/>
      <c r="AW815" s="74"/>
      <c r="AX815" s="77"/>
      <c r="BA815" s="497">
        <v>30.02</v>
      </c>
      <c r="BB815" s="42"/>
      <c r="BC815" s="74"/>
      <c r="BD815" s="77"/>
      <c r="BF815">
        <v>19.939999999999998</v>
      </c>
      <c r="BH815" s="42"/>
      <c r="BI815" s="74"/>
      <c r="BJ815" s="77"/>
      <c r="BL815" s="497">
        <v>14</v>
      </c>
      <c r="BN815" s="42"/>
      <c r="BO815" s="74"/>
      <c r="BP815" s="77"/>
      <c r="BR815" s="497">
        <v>1.9400000000000013</v>
      </c>
      <c r="BT815" s="42"/>
    </row>
    <row r="816" spans="1:72" x14ac:dyDescent="0.25">
      <c r="A816" s="90">
        <v>34733</v>
      </c>
      <c r="B816" s="20">
        <v>0.25</v>
      </c>
      <c r="D816">
        <v>17.96</v>
      </c>
      <c r="E816" t="str">
        <f t="shared" si="60"/>
        <v>WEEKDAY</v>
      </c>
      <c r="F816" t="e">
        <f t="shared" si="61"/>
        <v>#N/A</v>
      </c>
      <c r="G816" s="74">
        <v>32176</v>
      </c>
      <c r="H816" s="77">
        <v>0.25</v>
      </c>
      <c r="J816">
        <v>30.02</v>
      </c>
      <c r="M816" s="74">
        <v>38020</v>
      </c>
      <c r="N816" s="77">
        <v>0.25</v>
      </c>
      <c r="P816">
        <v>26.6</v>
      </c>
      <c r="S816" s="74">
        <v>34733</v>
      </c>
      <c r="T816" s="77">
        <v>0.25</v>
      </c>
      <c r="V816">
        <v>17.96</v>
      </c>
      <c r="X816" s="42"/>
      <c r="AB816">
        <v>30</v>
      </c>
      <c r="AC816">
        <v>19.04</v>
      </c>
      <c r="AE816" s="74"/>
      <c r="AF816" s="77"/>
      <c r="AH816" s="497">
        <v>10.940000000000001</v>
      </c>
      <c r="AJ816" s="42"/>
      <c r="AK816" s="74"/>
      <c r="AL816" s="77"/>
      <c r="AN816" s="497">
        <v>33.08</v>
      </c>
      <c r="AP816" s="42"/>
      <c r="AQ816" s="74"/>
      <c r="AR816" s="77"/>
      <c r="AT816" s="497">
        <v>12.920000000000002</v>
      </c>
      <c r="AV816" s="42"/>
      <c r="AW816" s="74"/>
      <c r="AX816" s="77"/>
      <c r="BA816" s="497">
        <v>30.02</v>
      </c>
      <c r="BB816" s="42"/>
      <c r="BC816" s="74"/>
      <c r="BD816" s="77"/>
      <c r="BF816">
        <v>19.939999999999998</v>
      </c>
      <c r="BH816" s="42"/>
      <c r="BI816" s="74"/>
      <c r="BJ816" s="77"/>
      <c r="BL816" s="497">
        <v>14</v>
      </c>
      <c r="BN816" s="42"/>
      <c r="BO816" s="74"/>
      <c r="BP816" s="77"/>
      <c r="BR816" s="497">
        <v>-3.9999999999999147E-2</v>
      </c>
      <c r="BT816" s="42"/>
    </row>
    <row r="817" spans="1:72" x14ac:dyDescent="0.25">
      <c r="A817" s="90">
        <v>34733</v>
      </c>
      <c r="B817" s="20">
        <v>0.29166666666666669</v>
      </c>
      <c r="D817">
        <v>17.96</v>
      </c>
      <c r="E817" t="str">
        <f t="shared" si="60"/>
        <v>WEEKDAY</v>
      </c>
      <c r="F817" t="e">
        <f t="shared" si="61"/>
        <v>#N/A</v>
      </c>
      <c r="G817" s="74">
        <v>32176</v>
      </c>
      <c r="H817" s="77">
        <v>0.29166666666666669</v>
      </c>
      <c r="J817">
        <v>28.94</v>
      </c>
      <c r="M817" s="74">
        <v>38020</v>
      </c>
      <c r="N817" s="77">
        <v>0.29166666666666669</v>
      </c>
      <c r="P817">
        <v>26.6</v>
      </c>
      <c r="S817" s="74">
        <v>34733</v>
      </c>
      <c r="T817" s="77">
        <v>0.29166666666666669</v>
      </c>
      <c r="V817">
        <v>17.96</v>
      </c>
      <c r="X817" s="42"/>
      <c r="AB817">
        <v>29.9</v>
      </c>
      <c r="AC817">
        <v>19.939999999999998</v>
      </c>
      <c r="AE817" s="74"/>
      <c r="AF817" s="77"/>
      <c r="AH817" s="497">
        <v>9.86</v>
      </c>
      <c r="AJ817" s="42"/>
      <c r="AK817" s="74"/>
      <c r="AL817" s="77"/>
      <c r="AN817" s="497">
        <v>33.08</v>
      </c>
      <c r="AP817" s="42"/>
      <c r="AQ817" s="74"/>
      <c r="AR817" s="77"/>
      <c r="AT817" s="497">
        <v>12.920000000000002</v>
      </c>
      <c r="AV817" s="42"/>
      <c r="AW817" s="74"/>
      <c r="AX817" s="77"/>
      <c r="BA817" s="497">
        <v>30.92</v>
      </c>
      <c r="BB817" s="42"/>
      <c r="BC817" s="74"/>
      <c r="BD817" s="77"/>
      <c r="BF817">
        <v>19.04</v>
      </c>
      <c r="BH817" s="42"/>
      <c r="BI817" s="74"/>
      <c r="BJ817" s="77"/>
      <c r="BL817" s="497">
        <v>14</v>
      </c>
      <c r="BN817" s="42"/>
      <c r="BO817" s="74"/>
      <c r="BP817" s="77"/>
      <c r="BR817" s="497">
        <v>-0.94000000000000483</v>
      </c>
      <c r="BT817" s="42"/>
    </row>
    <row r="818" spans="1:72" x14ac:dyDescent="0.25">
      <c r="A818" s="90">
        <v>34733</v>
      </c>
      <c r="B818" s="20">
        <v>0.33333333333333331</v>
      </c>
      <c r="D818">
        <v>19.04</v>
      </c>
      <c r="E818" t="str">
        <f t="shared" si="60"/>
        <v>WEEKDAY</v>
      </c>
      <c r="F818" t="e">
        <f t="shared" si="61"/>
        <v>#N/A</v>
      </c>
      <c r="G818" s="74">
        <v>32176</v>
      </c>
      <c r="H818" s="77">
        <v>0.33333333333333331</v>
      </c>
      <c r="J818">
        <v>28.94</v>
      </c>
      <c r="M818" s="74">
        <v>38020</v>
      </c>
      <c r="N818" s="77">
        <v>0.33333333333333331</v>
      </c>
      <c r="P818">
        <v>26.6</v>
      </c>
      <c r="S818" s="74">
        <v>34733</v>
      </c>
      <c r="T818" s="77">
        <v>0.33333333333333331</v>
      </c>
      <c r="V818">
        <v>19.04</v>
      </c>
      <c r="X818" s="42"/>
      <c r="AB818">
        <v>29.8</v>
      </c>
      <c r="AC818">
        <v>21.92</v>
      </c>
      <c r="AE818" s="74"/>
      <c r="AF818" s="77"/>
      <c r="AH818" s="497">
        <v>9.86</v>
      </c>
      <c r="AJ818" s="42"/>
      <c r="AK818" s="74"/>
      <c r="AL818" s="77"/>
      <c r="AN818" s="497">
        <v>33.979999999999997</v>
      </c>
      <c r="AP818" s="42"/>
      <c r="AQ818" s="74"/>
      <c r="AR818" s="77"/>
      <c r="AT818" s="497">
        <v>12.02</v>
      </c>
      <c r="AV818" s="42"/>
      <c r="AW818" s="74"/>
      <c r="AX818" s="77"/>
      <c r="BA818" s="497">
        <v>32</v>
      </c>
      <c r="BB818" s="42"/>
      <c r="BC818" s="74"/>
      <c r="BD818" s="77"/>
      <c r="BF818">
        <v>17.96</v>
      </c>
      <c r="BH818" s="42"/>
      <c r="BI818" s="74"/>
      <c r="BJ818" s="77"/>
      <c r="BL818" s="497">
        <v>15.079999999999998</v>
      </c>
      <c r="BN818" s="42"/>
      <c r="BO818" s="74"/>
      <c r="BP818" s="77"/>
      <c r="BR818" s="497">
        <v>-2.019999999999996</v>
      </c>
      <c r="BT818" s="42"/>
    </row>
    <row r="819" spans="1:72" x14ac:dyDescent="0.25">
      <c r="A819" s="90">
        <v>34733</v>
      </c>
      <c r="B819" s="20">
        <v>0.375</v>
      </c>
      <c r="D819">
        <v>19.939999999999998</v>
      </c>
      <c r="E819" t="str">
        <f t="shared" si="60"/>
        <v>WEEKDAY</v>
      </c>
      <c r="F819" t="e">
        <f t="shared" si="61"/>
        <v>#N/A</v>
      </c>
      <c r="G819" s="74">
        <v>32176</v>
      </c>
      <c r="H819" s="77">
        <v>0.375</v>
      </c>
      <c r="J819">
        <v>28.94</v>
      </c>
      <c r="M819" s="74">
        <v>38020</v>
      </c>
      <c r="N819" s="77">
        <v>0.375</v>
      </c>
      <c r="P819">
        <v>28.4</v>
      </c>
      <c r="S819" s="74">
        <v>34733</v>
      </c>
      <c r="T819" s="77">
        <v>0.375</v>
      </c>
      <c r="V819">
        <v>21.02</v>
      </c>
      <c r="X819" s="42"/>
      <c r="AB819">
        <v>30.6</v>
      </c>
      <c r="AC819">
        <v>24.08</v>
      </c>
      <c r="AE819" s="74"/>
      <c r="AF819" s="77"/>
      <c r="AH819" s="497">
        <v>10.940000000000001</v>
      </c>
      <c r="AJ819" s="42"/>
      <c r="AK819" s="74"/>
      <c r="AL819" s="77"/>
      <c r="AN819" s="497">
        <v>33.979999999999997</v>
      </c>
      <c r="AP819" s="42"/>
      <c r="AQ819" s="74"/>
      <c r="AR819" s="77"/>
      <c r="AT819" s="497">
        <v>14</v>
      </c>
      <c r="AV819" s="42"/>
      <c r="AW819" s="74"/>
      <c r="AX819" s="77"/>
      <c r="BA819" s="497">
        <v>33.08</v>
      </c>
      <c r="BB819" s="42"/>
      <c r="BC819" s="74"/>
      <c r="BD819" s="77"/>
      <c r="BF819">
        <v>17.96</v>
      </c>
      <c r="BH819" s="42"/>
      <c r="BI819" s="74"/>
      <c r="BJ819" s="77"/>
      <c r="BL819" s="497">
        <v>15.079999999999998</v>
      </c>
      <c r="BN819" s="42"/>
      <c r="BO819" s="74"/>
      <c r="BP819" s="77"/>
      <c r="BR819" s="497">
        <v>-3.9999999999999147E-2</v>
      </c>
      <c r="BT819" s="42"/>
    </row>
    <row r="820" spans="1:72" x14ac:dyDescent="0.25">
      <c r="A820" s="90">
        <v>34733</v>
      </c>
      <c r="B820" s="20">
        <v>0.41666666666666669</v>
      </c>
      <c r="D820">
        <v>23</v>
      </c>
      <c r="E820" t="str">
        <f t="shared" si="60"/>
        <v>WEEKDAY</v>
      </c>
      <c r="F820" t="e">
        <f t="shared" si="61"/>
        <v>#N/A</v>
      </c>
      <c r="G820" s="74">
        <v>32176</v>
      </c>
      <c r="H820" s="77">
        <v>0.41666666666666669</v>
      </c>
      <c r="J820">
        <v>32</v>
      </c>
      <c r="M820" s="74">
        <v>38020</v>
      </c>
      <c r="N820" s="77">
        <v>0.41666666666666669</v>
      </c>
      <c r="P820">
        <v>30.2</v>
      </c>
      <c r="S820" s="74">
        <v>34733</v>
      </c>
      <c r="T820" s="77">
        <v>0.41666666666666669</v>
      </c>
      <c r="V820">
        <v>23</v>
      </c>
      <c r="X820" s="42"/>
      <c r="AB820">
        <v>32.299999999999997</v>
      </c>
      <c r="AC820">
        <v>24.98</v>
      </c>
      <c r="AE820" s="74"/>
      <c r="AF820" s="77"/>
      <c r="AH820" s="497">
        <v>11.84</v>
      </c>
      <c r="AJ820" s="42"/>
      <c r="AK820" s="74"/>
      <c r="AL820" s="77"/>
      <c r="AN820" s="497">
        <v>33.979999999999997</v>
      </c>
      <c r="AP820" s="42"/>
      <c r="AQ820" s="74"/>
      <c r="AR820" s="77"/>
      <c r="AT820" s="497">
        <v>17.059999999999999</v>
      </c>
      <c r="AV820" s="42"/>
      <c r="AW820" s="74"/>
      <c r="AX820" s="77"/>
      <c r="BA820" s="497">
        <v>33.08</v>
      </c>
      <c r="BB820" s="42"/>
      <c r="BC820" s="74"/>
      <c r="BD820" s="77"/>
      <c r="BF820">
        <v>19.939999999999998</v>
      </c>
      <c r="BH820" s="42"/>
      <c r="BI820" s="74"/>
      <c r="BJ820" s="77"/>
      <c r="BL820" s="497">
        <v>17.96</v>
      </c>
      <c r="BN820" s="42"/>
      <c r="BO820" s="74"/>
      <c r="BP820" s="77"/>
      <c r="BR820" s="497">
        <v>1.9400000000000013</v>
      </c>
      <c r="BT820" s="42"/>
    </row>
    <row r="821" spans="1:72" x14ac:dyDescent="0.25">
      <c r="A821" s="90">
        <v>34733</v>
      </c>
      <c r="B821" s="20">
        <v>0.45833333333333331</v>
      </c>
      <c r="D821">
        <v>24.08</v>
      </c>
      <c r="E821" t="str">
        <f t="shared" si="60"/>
        <v>WEEKDAY</v>
      </c>
      <c r="F821" t="e">
        <f t="shared" si="61"/>
        <v>#N/A</v>
      </c>
      <c r="G821" s="74">
        <v>32176</v>
      </c>
      <c r="H821" s="77">
        <v>0.45833333333333331</v>
      </c>
      <c r="J821">
        <v>33.08</v>
      </c>
      <c r="M821" s="74">
        <v>38020</v>
      </c>
      <c r="N821" s="77">
        <v>0.45833333333333331</v>
      </c>
      <c r="P821">
        <v>33.799999999999997</v>
      </c>
      <c r="S821" s="74">
        <v>34733</v>
      </c>
      <c r="T821" s="77">
        <v>0.45833333333333331</v>
      </c>
      <c r="V821">
        <v>26.96</v>
      </c>
      <c r="X821" s="42"/>
      <c r="AB821">
        <v>33.9</v>
      </c>
      <c r="AC821">
        <v>26.060000000000002</v>
      </c>
      <c r="AE821" s="74"/>
      <c r="AF821" s="77"/>
      <c r="AH821" s="497">
        <v>12.920000000000002</v>
      </c>
      <c r="AJ821" s="42"/>
      <c r="AK821" s="74"/>
      <c r="AL821" s="77"/>
      <c r="AN821" s="497">
        <v>33.979999999999997</v>
      </c>
      <c r="AP821" s="42"/>
      <c r="AQ821" s="74"/>
      <c r="AR821" s="77"/>
      <c r="AT821" s="497">
        <v>17.059999999999999</v>
      </c>
      <c r="AV821" s="42"/>
      <c r="AW821" s="74"/>
      <c r="AX821" s="77"/>
      <c r="BA821" s="497">
        <v>33.08</v>
      </c>
      <c r="BB821" s="42"/>
      <c r="BC821" s="74"/>
      <c r="BD821" s="77"/>
      <c r="BF821">
        <v>21.92</v>
      </c>
      <c r="BH821" s="42"/>
      <c r="BI821" s="74"/>
      <c r="BJ821" s="77"/>
      <c r="BL821" s="497">
        <v>19.939999999999998</v>
      </c>
      <c r="BN821" s="42"/>
      <c r="BO821" s="74"/>
      <c r="BP821" s="77"/>
      <c r="BR821" s="497">
        <v>3.9200000000000017</v>
      </c>
      <c r="BT821" s="42"/>
    </row>
    <row r="822" spans="1:72" x14ac:dyDescent="0.25">
      <c r="A822" s="90">
        <v>34733</v>
      </c>
      <c r="B822" s="20">
        <v>0.5</v>
      </c>
      <c r="D822">
        <v>26.96</v>
      </c>
      <c r="E822" t="str">
        <f t="shared" si="60"/>
        <v>WEEKDAY</v>
      </c>
      <c r="F822" t="e">
        <f t="shared" si="61"/>
        <v>#N/A</v>
      </c>
      <c r="G822" s="74">
        <v>32176</v>
      </c>
      <c r="H822" s="77">
        <v>0.5</v>
      </c>
      <c r="J822">
        <v>33.979999999999997</v>
      </c>
      <c r="M822" s="74">
        <v>38020</v>
      </c>
      <c r="N822" s="77">
        <v>0.5</v>
      </c>
      <c r="P822">
        <v>35.6</v>
      </c>
      <c r="S822" s="74">
        <v>34733</v>
      </c>
      <c r="T822" s="77">
        <v>0.5</v>
      </c>
      <c r="V822">
        <v>28.04</v>
      </c>
      <c r="X822" s="42"/>
      <c r="AB822">
        <v>35.299999999999997</v>
      </c>
      <c r="AC822">
        <v>28.04</v>
      </c>
      <c r="AE822" s="74"/>
      <c r="AF822" s="77"/>
      <c r="AH822" s="497">
        <v>12.920000000000002</v>
      </c>
      <c r="AJ822" s="42"/>
      <c r="AK822" s="74"/>
      <c r="AL822" s="77"/>
      <c r="AN822" s="497">
        <v>33.979999999999997</v>
      </c>
      <c r="AP822" s="42"/>
      <c r="AQ822" s="74"/>
      <c r="AR822" s="77"/>
      <c r="AT822" s="497">
        <v>19.939999999999998</v>
      </c>
      <c r="AV822" s="42"/>
      <c r="AW822" s="74"/>
      <c r="AX822" s="77"/>
      <c r="BA822" s="497">
        <v>33.979999999999997</v>
      </c>
      <c r="BB822" s="42"/>
      <c r="BC822" s="74"/>
      <c r="BD822" s="77"/>
      <c r="BF822">
        <v>24.08</v>
      </c>
      <c r="BH822" s="42"/>
      <c r="BI822" s="74"/>
      <c r="BJ822" s="77"/>
      <c r="BL822" s="497">
        <v>21.92</v>
      </c>
      <c r="BN822" s="42"/>
      <c r="BO822" s="74"/>
      <c r="BP822" s="77"/>
      <c r="BR822" s="497">
        <v>5</v>
      </c>
      <c r="BT822" s="42"/>
    </row>
    <row r="823" spans="1:72" x14ac:dyDescent="0.25">
      <c r="A823" s="90">
        <v>34733</v>
      </c>
      <c r="B823" s="20">
        <v>0.54166666666666663</v>
      </c>
      <c r="D823">
        <v>30.02</v>
      </c>
      <c r="E823" t="str">
        <f t="shared" si="60"/>
        <v>WEEKDAY</v>
      </c>
      <c r="F823" t="e">
        <f t="shared" si="61"/>
        <v>#N/A</v>
      </c>
      <c r="G823" s="74">
        <v>32176</v>
      </c>
      <c r="H823" s="77">
        <v>0.54166666666666663</v>
      </c>
      <c r="J823">
        <v>33.979999999999997</v>
      </c>
      <c r="M823" s="74">
        <v>38020</v>
      </c>
      <c r="N823" s="77">
        <v>0.54166666666666663</v>
      </c>
      <c r="P823">
        <v>35.6</v>
      </c>
      <c r="S823" s="74">
        <v>34733</v>
      </c>
      <c r="T823" s="77">
        <v>0.54166666666666663</v>
      </c>
      <c r="V823">
        <v>30.92</v>
      </c>
      <c r="X823" s="42"/>
      <c r="AB823">
        <v>36.4</v>
      </c>
      <c r="AC823">
        <v>30.02</v>
      </c>
      <c r="AE823" s="74"/>
      <c r="AF823" s="77"/>
      <c r="AH823" s="497">
        <v>14.899999999999999</v>
      </c>
      <c r="AJ823" s="42"/>
      <c r="AK823" s="74"/>
      <c r="AL823" s="77"/>
      <c r="AN823" s="497">
        <v>35.06</v>
      </c>
      <c r="AP823" s="42"/>
      <c r="AQ823" s="74"/>
      <c r="AR823" s="77"/>
      <c r="AT823" s="497">
        <v>21.92</v>
      </c>
      <c r="AV823" s="42"/>
      <c r="AW823" s="74"/>
      <c r="AX823" s="77"/>
      <c r="BA823" s="497">
        <v>35.06</v>
      </c>
      <c r="BB823" s="42"/>
      <c r="BC823" s="74"/>
      <c r="BD823" s="77"/>
      <c r="BF823">
        <v>26.96</v>
      </c>
      <c r="BH823" s="42"/>
      <c r="BI823" s="74"/>
      <c r="BJ823" s="77"/>
      <c r="BL823" s="497">
        <v>23</v>
      </c>
      <c r="BN823" s="42"/>
      <c r="BO823" s="74"/>
      <c r="BP823" s="77"/>
      <c r="BR823" s="497">
        <v>6.0799999999999983</v>
      </c>
      <c r="BT823" s="42"/>
    </row>
    <row r="824" spans="1:72" x14ac:dyDescent="0.25">
      <c r="A824" s="90">
        <v>34733</v>
      </c>
      <c r="B824" s="20">
        <v>0.58333333333333337</v>
      </c>
      <c r="D824">
        <v>30.92</v>
      </c>
      <c r="E824" t="str">
        <f t="shared" si="60"/>
        <v>WEEKDAY</v>
      </c>
      <c r="F824" t="e">
        <f t="shared" si="61"/>
        <v>#N/A</v>
      </c>
      <c r="G824" s="74">
        <v>32176</v>
      </c>
      <c r="H824" s="77">
        <v>0.58333333333333337</v>
      </c>
      <c r="J824">
        <v>33.979999999999997</v>
      </c>
      <c r="M824" s="74">
        <v>38020</v>
      </c>
      <c r="N824" s="77">
        <v>0.58333333333333337</v>
      </c>
      <c r="P824">
        <v>33.799999999999997</v>
      </c>
      <c r="S824" s="74">
        <v>34733</v>
      </c>
      <c r="T824" s="77">
        <v>0.58333333333333337</v>
      </c>
      <c r="V824">
        <v>30.92</v>
      </c>
      <c r="X824" s="42"/>
      <c r="AB824">
        <v>37.4</v>
      </c>
      <c r="AC824">
        <v>28.04</v>
      </c>
      <c r="AE824" s="74"/>
      <c r="AF824" s="77"/>
      <c r="AH824" s="497">
        <v>14.899999999999999</v>
      </c>
      <c r="AJ824" s="42"/>
      <c r="AK824" s="74"/>
      <c r="AL824" s="77"/>
      <c r="AN824" s="497">
        <v>35.96</v>
      </c>
      <c r="AP824" s="42"/>
      <c r="AQ824" s="74"/>
      <c r="AR824" s="77"/>
      <c r="AT824" s="497">
        <v>21.92</v>
      </c>
      <c r="AV824" s="42"/>
      <c r="AW824" s="74"/>
      <c r="AX824" s="77"/>
      <c r="BA824" s="497">
        <v>35.06</v>
      </c>
      <c r="BB824" s="42"/>
      <c r="BC824" s="74"/>
      <c r="BD824" s="77"/>
      <c r="BF824">
        <v>28.94</v>
      </c>
      <c r="BH824" s="42"/>
      <c r="BI824" s="74"/>
      <c r="BJ824" s="77"/>
      <c r="BL824" s="497">
        <v>23</v>
      </c>
      <c r="BN824" s="42"/>
      <c r="BO824" s="74"/>
      <c r="BP824" s="77"/>
      <c r="BR824" s="497">
        <v>6.98</v>
      </c>
      <c r="BT824" s="42"/>
    </row>
    <row r="825" spans="1:72" x14ac:dyDescent="0.25">
      <c r="A825" s="90">
        <v>34733</v>
      </c>
      <c r="B825" s="20">
        <v>0.625</v>
      </c>
      <c r="D825">
        <v>32</v>
      </c>
      <c r="E825" t="str">
        <f t="shared" si="60"/>
        <v>WEEKDAY</v>
      </c>
      <c r="F825" t="e">
        <f t="shared" si="61"/>
        <v>#N/A</v>
      </c>
      <c r="G825" s="74">
        <v>32176</v>
      </c>
      <c r="H825" s="77">
        <v>0.625</v>
      </c>
      <c r="J825">
        <v>33.979999999999997</v>
      </c>
      <c r="M825" s="74">
        <v>38020</v>
      </c>
      <c r="N825" s="77">
        <v>0.625</v>
      </c>
      <c r="P825">
        <v>33.799999999999997</v>
      </c>
      <c r="S825" s="74">
        <v>34733</v>
      </c>
      <c r="T825" s="77">
        <v>0.625</v>
      </c>
      <c r="V825">
        <v>28.94</v>
      </c>
      <c r="X825" s="42"/>
      <c r="AB825">
        <v>38</v>
      </c>
      <c r="AC825">
        <v>28.04</v>
      </c>
      <c r="AE825" s="74"/>
      <c r="AF825" s="77"/>
      <c r="AH825" s="497">
        <v>15.98</v>
      </c>
      <c r="AJ825" s="42"/>
      <c r="AK825" s="74"/>
      <c r="AL825" s="77"/>
      <c r="AN825" s="497">
        <v>37.04</v>
      </c>
      <c r="AP825" s="42"/>
      <c r="AQ825" s="74"/>
      <c r="AR825" s="77"/>
      <c r="AT825" s="497">
        <v>23</v>
      </c>
      <c r="AV825" s="42"/>
      <c r="AW825" s="74"/>
      <c r="AX825" s="77"/>
      <c r="BA825" s="497">
        <v>35.06</v>
      </c>
      <c r="BB825" s="42"/>
      <c r="BC825" s="74"/>
      <c r="BD825" s="77"/>
      <c r="BF825">
        <v>28.94</v>
      </c>
      <c r="BH825" s="42"/>
      <c r="BI825" s="74"/>
      <c r="BJ825" s="77"/>
      <c r="BL825" s="497">
        <v>24.98</v>
      </c>
      <c r="BN825" s="42"/>
      <c r="BO825" s="74"/>
      <c r="BP825" s="77"/>
      <c r="BR825" s="497">
        <v>8.0599999999999987</v>
      </c>
      <c r="BT825" s="42"/>
    </row>
    <row r="826" spans="1:72" x14ac:dyDescent="0.25">
      <c r="A826" s="90">
        <v>34733</v>
      </c>
      <c r="B826" s="20">
        <v>0.66666666666666663</v>
      </c>
      <c r="D826">
        <v>32</v>
      </c>
      <c r="E826" t="str">
        <f t="shared" si="60"/>
        <v>WEEKDAY</v>
      </c>
      <c r="F826" t="e">
        <f t="shared" si="61"/>
        <v>#N/A</v>
      </c>
      <c r="G826" s="74">
        <v>32176</v>
      </c>
      <c r="H826" s="77">
        <v>0.66666666666666663</v>
      </c>
      <c r="J826">
        <v>32</v>
      </c>
      <c r="M826" s="74">
        <v>38020</v>
      </c>
      <c r="N826" s="77">
        <v>0.66666666666666663</v>
      </c>
      <c r="P826">
        <v>33.799999999999997</v>
      </c>
      <c r="S826" s="74">
        <v>34733</v>
      </c>
      <c r="T826" s="77">
        <v>0.66666666666666663</v>
      </c>
      <c r="V826">
        <v>28.04</v>
      </c>
      <c r="X826" s="42"/>
      <c r="AB826">
        <v>38.1</v>
      </c>
      <c r="AC826">
        <v>28.94</v>
      </c>
      <c r="AE826" s="74"/>
      <c r="AF826" s="77"/>
      <c r="AH826" s="497">
        <v>15.98</v>
      </c>
      <c r="AJ826" s="42"/>
      <c r="AK826" s="74"/>
      <c r="AL826" s="77"/>
      <c r="AN826" s="497">
        <v>37.04</v>
      </c>
      <c r="AP826" s="42"/>
      <c r="AQ826" s="74"/>
      <c r="AR826" s="77"/>
      <c r="AT826" s="497">
        <v>24.08</v>
      </c>
      <c r="AV826" s="42"/>
      <c r="AW826" s="74"/>
      <c r="AX826" s="77"/>
      <c r="BA826" s="497">
        <v>35.06</v>
      </c>
      <c r="BB826" s="42"/>
      <c r="BC826" s="74"/>
      <c r="BD826" s="77"/>
      <c r="BF826">
        <v>28.04</v>
      </c>
      <c r="BH826" s="42"/>
      <c r="BI826" s="74"/>
      <c r="BJ826" s="77"/>
      <c r="BL826" s="497">
        <v>26.060000000000002</v>
      </c>
      <c r="BN826" s="42"/>
      <c r="BO826" s="74"/>
      <c r="BP826" s="77"/>
      <c r="BR826" s="497">
        <v>8.0599999999999987</v>
      </c>
      <c r="BT826" s="42"/>
    </row>
    <row r="827" spans="1:72" x14ac:dyDescent="0.25">
      <c r="A827" s="90">
        <v>34733</v>
      </c>
      <c r="B827" s="20">
        <v>0.70833333333333337</v>
      </c>
      <c r="D827">
        <v>30.02</v>
      </c>
      <c r="E827" t="str">
        <f t="shared" si="60"/>
        <v>WEEKDAY</v>
      </c>
      <c r="F827" t="e">
        <f t="shared" si="61"/>
        <v>#N/A</v>
      </c>
      <c r="G827" s="74">
        <v>32176</v>
      </c>
      <c r="H827" s="77">
        <v>0.70833333333333337</v>
      </c>
      <c r="J827">
        <v>32</v>
      </c>
      <c r="M827" s="74">
        <v>38020</v>
      </c>
      <c r="N827" s="77">
        <v>0.70833333333333337</v>
      </c>
      <c r="P827">
        <v>33.799999999999997</v>
      </c>
      <c r="S827" s="74">
        <v>34733</v>
      </c>
      <c r="T827" s="77">
        <v>0.70833333333333337</v>
      </c>
      <c r="V827">
        <v>26.96</v>
      </c>
      <c r="X827" s="42"/>
      <c r="AB827">
        <v>37.6</v>
      </c>
      <c r="AC827">
        <v>28.94</v>
      </c>
      <c r="AE827" s="74"/>
      <c r="AF827" s="77"/>
      <c r="AH827" s="497">
        <v>15.98</v>
      </c>
      <c r="AJ827" s="42"/>
      <c r="AK827" s="74"/>
      <c r="AL827" s="77"/>
      <c r="AN827" s="497">
        <v>37.94</v>
      </c>
      <c r="AP827" s="42"/>
      <c r="AQ827" s="74"/>
      <c r="AR827" s="77"/>
      <c r="AT827" s="497">
        <v>24.08</v>
      </c>
      <c r="AV827" s="42"/>
      <c r="AW827" s="74"/>
      <c r="AX827" s="77"/>
      <c r="BA827" s="497">
        <v>33.979999999999997</v>
      </c>
      <c r="BB827" s="42"/>
      <c r="BC827" s="74"/>
      <c r="BD827" s="77"/>
      <c r="BF827">
        <v>26.96</v>
      </c>
      <c r="BH827" s="42"/>
      <c r="BI827" s="74"/>
      <c r="BJ827" s="77"/>
      <c r="BL827" s="497">
        <v>26.96</v>
      </c>
      <c r="BN827" s="42"/>
      <c r="BO827" s="74"/>
      <c r="BP827" s="77"/>
      <c r="BR827" s="497">
        <v>6.98</v>
      </c>
      <c r="BT827" s="42"/>
    </row>
    <row r="828" spans="1:72" x14ac:dyDescent="0.25">
      <c r="A828" s="90">
        <v>34733</v>
      </c>
      <c r="B828" s="20">
        <v>0.75</v>
      </c>
      <c r="D828">
        <v>28.94</v>
      </c>
      <c r="E828" t="str">
        <f t="shared" si="60"/>
        <v>WEEKDAY</v>
      </c>
      <c r="F828" t="e">
        <f t="shared" si="61"/>
        <v>#N/A</v>
      </c>
      <c r="G828" s="74">
        <v>32176</v>
      </c>
      <c r="H828" s="77">
        <v>0.75</v>
      </c>
      <c r="J828">
        <v>32</v>
      </c>
      <c r="M828" s="74">
        <v>38020</v>
      </c>
      <c r="N828" s="77">
        <v>0.75</v>
      </c>
      <c r="P828">
        <v>33.799999999999997</v>
      </c>
      <c r="S828" s="74">
        <v>34733</v>
      </c>
      <c r="T828" s="77">
        <v>0.75</v>
      </c>
      <c r="V828">
        <v>26.96</v>
      </c>
      <c r="X828" s="42"/>
      <c r="AB828">
        <v>36.4</v>
      </c>
      <c r="AC828">
        <v>28.94</v>
      </c>
      <c r="AE828" s="74"/>
      <c r="AF828" s="77"/>
      <c r="AH828" s="497">
        <v>14.899999999999999</v>
      </c>
      <c r="AJ828" s="42"/>
      <c r="AK828" s="74"/>
      <c r="AL828" s="77"/>
      <c r="AN828" s="497">
        <v>39.019999999999996</v>
      </c>
      <c r="AP828" s="42"/>
      <c r="AQ828" s="74"/>
      <c r="AR828" s="77"/>
      <c r="AT828" s="497">
        <v>23</v>
      </c>
      <c r="AV828" s="42"/>
      <c r="AW828" s="74"/>
      <c r="AX828" s="77"/>
      <c r="BA828" s="497">
        <v>33.979999999999997</v>
      </c>
      <c r="BB828" s="42"/>
      <c r="BC828" s="74"/>
      <c r="BD828" s="77"/>
      <c r="BF828">
        <v>26.96</v>
      </c>
      <c r="BH828" s="42"/>
      <c r="BI828" s="74"/>
      <c r="BJ828" s="77"/>
      <c r="BL828" s="497">
        <v>26.96</v>
      </c>
      <c r="BN828" s="42"/>
      <c r="BO828" s="74"/>
      <c r="BP828" s="77"/>
      <c r="BR828" s="497">
        <v>6.0799999999999983</v>
      </c>
      <c r="BT828" s="42"/>
    </row>
    <row r="829" spans="1:72" x14ac:dyDescent="0.25">
      <c r="A829" s="90">
        <v>34733</v>
      </c>
      <c r="B829" s="20">
        <v>0.79166666666666663</v>
      </c>
      <c r="D829">
        <v>28.04</v>
      </c>
      <c r="E829" t="str">
        <f t="shared" si="60"/>
        <v>WEEKDAY</v>
      </c>
      <c r="F829" t="e">
        <f t="shared" si="61"/>
        <v>#N/A</v>
      </c>
      <c r="G829" s="74">
        <v>32176</v>
      </c>
      <c r="H829" s="77">
        <v>0.79166666666666663</v>
      </c>
      <c r="J829">
        <v>33.979999999999997</v>
      </c>
      <c r="M829" s="74">
        <v>38020</v>
      </c>
      <c r="N829" s="77">
        <v>0.79166666666666663</v>
      </c>
      <c r="P829">
        <v>33.799999999999997</v>
      </c>
      <c r="S829" s="74">
        <v>34733</v>
      </c>
      <c r="T829" s="77">
        <v>0.79166666666666663</v>
      </c>
      <c r="V829">
        <v>26.96</v>
      </c>
      <c r="X829" s="42"/>
      <c r="AB829">
        <v>35.5</v>
      </c>
      <c r="AC829">
        <v>28.94</v>
      </c>
      <c r="AE829" s="74"/>
      <c r="AF829" s="77"/>
      <c r="AH829" s="497">
        <v>14</v>
      </c>
      <c r="AJ829" s="42"/>
      <c r="AK829" s="74"/>
      <c r="AL829" s="77"/>
      <c r="AN829" s="497">
        <v>39.019999999999996</v>
      </c>
      <c r="AP829" s="42"/>
      <c r="AQ829" s="74"/>
      <c r="AR829" s="77"/>
      <c r="AT829" s="497">
        <v>23</v>
      </c>
      <c r="AV829" s="42"/>
      <c r="AW829" s="74"/>
      <c r="AX829" s="77"/>
      <c r="BA829" s="497">
        <v>33.979999999999997</v>
      </c>
      <c r="BB829" s="42"/>
      <c r="BC829" s="74"/>
      <c r="BD829" s="77"/>
      <c r="BF829">
        <v>26.060000000000002</v>
      </c>
      <c r="BH829" s="42"/>
      <c r="BI829" s="74"/>
      <c r="BJ829" s="77"/>
      <c r="BL829" s="497">
        <v>28.04</v>
      </c>
      <c r="BN829" s="42"/>
      <c r="BO829" s="74"/>
      <c r="BP829" s="77"/>
      <c r="BR829" s="497">
        <v>5</v>
      </c>
      <c r="BT829" s="42"/>
    </row>
    <row r="830" spans="1:72" x14ac:dyDescent="0.25">
      <c r="A830" s="90">
        <v>34733</v>
      </c>
      <c r="B830" s="20">
        <v>0.83333333333333337</v>
      </c>
      <c r="D830">
        <v>28.04</v>
      </c>
      <c r="E830" t="str">
        <f t="shared" si="60"/>
        <v>WEEKDAY</v>
      </c>
      <c r="F830" t="e">
        <f t="shared" si="61"/>
        <v>#N/A</v>
      </c>
      <c r="G830" s="74">
        <v>32176</v>
      </c>
      <c r="H830" s="77">
        <v>0.83333333333333337</v>
      </c>
      <c r="J830">
        <v>33.979999999999997</v>
      </c>
      <c r="M830" s="74">
        <v>38020</v>
      </c>
      <c r="N830" s="77">
        <v>0.83333333333333337</v>
      </c>
      <c r="P830">
        <v>35.6</v>
      </c>
      <c r="S830" s="74">
        <v>34733</v>
      </c>
      <c r="T830" s="77">
        <v>0.83333333333333337</v>
      </c>
      <c r="V830">
        <v>26.96</v>
      </c>
      <c r="X830" s="42"/>
      <c r="AB830">
        <v>35.1</v>
      </c>
      <c r="AC830">
        <v>26.96</v>
      </c>
      <c r="AE830" s="74"/>
      <c r="AF830" s="77"/>
      <c r="AH830" s="497">
        <v>12.920000000000002</v>
      </c>
      <c r="AJ830" s="42"/>
      <c r="AK830" s="74"/>
      <c r="AL830" s="77"/>
      <c r="AN830" s="497">
        <v>41</v>
      </c>
      <c r="AP830" s="42"/>
      <c r="AQ830" s="74"/>
      <c r="AR830" s="77"/>
      <c r="AT830" s="497">
        <v>24.08</v>
      </c>
      <c r="AV830" s="42"/>
      <c r="AW830" s="74"/>
      <c r="AX830" s="77"/>
      <c r="BA830" s="497">
        <v>33.979999999999997</v>
      </c>
      <c r="BB830" s="42"/>
      <c r="BC830" s="74"/>
      <c r="BD830" s="77"/>
      <c r="BF830">
        <v>24.98</v>
      </c>
      <c r="BH830" s="42"/>
      <c r="BI830" s="74"/>
      <c r="BJ830" s="77"/>
      <c r="BL830" s="497">
        <v>28.04</v>
      </c>
      <c r="BN830" s="42"/>
      <c r="BO830" s="74"/>
      <c r="BP830" s="77"/>
      <c r="BR830" s="497">
        <v>6.0799999999999983</v>
      </c>
      <c r="BT830" s="42"/>
    </row>
    <row r="831" spans="1:72" x14ac:dyDescent="0.25">
      <c r="A831" s="90">
        <v>34733</v>
      </c>
      <c r="B831" s="20">
        <v>0.875</v>
      </c>
      <c r="D831">
        <v>28.94</v>
      </c>
      <c r="E831" t="str">
        <f t="shared" si="60"/>
        <v>WEEKDAY</v>
      </c>
      <c r="F831" t="e">
        <f t="shared" si="61"/>
        <v>#N/A</v>
      </c>
      <c r="G831" s="74">
        <v>32176</v>
      </c>
      <c r="H831" s="77">
        <v>0.875</v>
      </c>
      <c r="J831">
        <v>33.979999999999997</v>
      </c>
      <c r="M831" s="74">
        <v>38020</v>
      </c>
      <c r="N831" s="77">
        <v>0.875</v>
      </c>
      <c r="P831">
        <v>35.6</v>
      </c>
      <c r="S831" s="74">
        <v>34733</v>
      </c>
      <c r="T831" s="77">
        <v>0.875</v>
      </c>
      <c r="V831">
        <v>28.94</v>
      </c>
      <c r="X831" s="42"/>
      <c r="AB831">
        <v>34.5</v>
      </c>
      <c r="AC831">
        <v>26.060000000000002</v>
      </c>
      <c r="AE831" s="74"/>
      <c r="AF831" s="77"/>
      <c r="AH831" s="497">
        <v>11.84</v>
      </c>
      <c r="AJ831" s="42"/>
      <c r="AK831" s="74"/>
      <c r="AL831" s="77"/>
      <c r="AN831" s="497">
        <v>42.08</v>
      </c>
      <c r="AP831" s="42"/>
      <c r="AQ831" s="74"/>
      <c r="AR831" s="77"/>
      <c r="AT831" s="497">
        <v>28.04</v>
      </c>
      <c r="AV831" s="42"/>
      <c r="AW831" s="74"/>
      <c r="AX831" s="77"/>
      <c r="BA831" s="497">
        <v>33.08</v>
      </c>
      <c r="BB831" s="42"/>
      <c r="BC831" s="74"/>
      <c r="BD831" s="77"/>
      <c r="BF831">
        <v>26.060000000000002</v>
      </c>
      <c r="BH831" s="42"/>
      <c r="BI831" s="74"/>
      <c r="BJ831" s="77"/>
      <c r="BL831" s="497">
        <v>28.04</v>
      </c>
      <c r="BN831" s="42"/>
      <c r="BO831" s="74"/>
      <c r="BP831" s="77"/>
      <c r="BR831" s="497">
        <v>6.98</v>
      </c>
      <c r="BT831" s="42"/>
    </row>
    <row r="832" spans="1:72" x14ac:dyDescent="0.25">
      <c r="A832" s="90">
        <v>34733</v>
      </c>
      <c r="B832" s="20">
        <v>0.91666666666666663</v>
      </c>
      <c r="D832">
        <v>28.94</v>
      </c>
      <c r="E832" t="str">
        <f t="shared" si="60"/>
        <v>WEEKDAY</v>
      </c>
      <c r="F832" t="e">
        <f t="shared" si="61"/>
        <v>#N/A</v>
      </c>
      <c r="G832" s="74">
        <v>32176</v>
      </c>
      <c r="H832" s="77">
        <v>0.91666666666666663</v>
      </c>
      <c r="J832">
        <v>33.08</v>
      </c>
      <c r="M832" s="74">
        <v>38020</v>
      </c>
      <c r="N832" s="77">
        <v>0.91666666666666663</v>
      </c>
      <c r="P832">
        <v>35.6</v>
      </c>
      <c r="S832" s="74">
        <v>34733</v>
      </c>
      <c r="T832" s="77">
        <v>0.91666666666666663</v>
      </c>
      <c r="V832">
        <v>30.02</v>
      </c>
      <c r="X832" s="42"/>
      <c r="AB832">
        <v>33.9</v>
      </c>
      <c r="AC832">
        <v>26.96</v>
      </c>
      <c r="AE832" s="74"/>
      <c r="AF832" s="77"/>
      <c r="AH832" s="497">
        <v>10.940000000000001</v>
      </c>
      <c r="AJ832" s="42"/>
      <c r="AK832" s="74"/>
      <c r="AL832" s="77"/>
      <c r="AN832" s="497">
        <v>41</v>
      </c>
      <c r="AP832" s="42"/>
      <c r="AQ832" s="74"/>
      <c r="AR832" s="77"/>
      <c r="AT832" s="497">
        <v>28.94</v>
      </c>
      <c r="AV832" s="42"/>
      <c r="AW832" s="74"/>
      <c r="AX832" s="77"/>
      <c r="BA832" s="497">
        <v>33.979999999999997</v>
      </c>
      <c r="BB832" s="42"/>
      <c r="BC832" s="74"/>
      <c r="BD832" s="77"/>
      <c r="BF832">
        <v>24.98</v>
      </c>
      <c r="BH832" s="42"/>
      <c r="BI832" s="74"/>
      <c r="BJ832" s="77"/>
      <c r="BL832" s="497">
        <v>28.04</v>
      </c>
      <c r="BN832" s="42"/>
      <c r="BO832" s="74"/>
      <c r="BP832" s="77"/>
      <c r="BR832" s="497">
        <v>6.98</v>
      </c>
      <c r="BT832" s="42"/>
    </row>
    <row r="833" spans="1:72" x14ac:dyDescent="0.25">
      <c r="A833" s="90">
        <v>34733</v>
      </c>
      <c r="B833" s="20">
        <v>0.95833333333333337</v>
      </c>
      <c r="D833">
        <v>30.02</v>
      </c>
      <c r="E833" t="str">
        <f t="shared" si="60"/>
        <v>WEEKDAY</v>
      </c>
      <c r="F833" t="e">
        <f t="shared" si="61"/>
        <v>#N/A</v>
      </c>
      <c r="G833" s="74">
        <v>32176</v>
      </c>
      <c r="H833" s="77">
        <v>0.95833333333333337</v>
      </c>
      <c r="J833">
        <v>33.08</v>
      </c>
      <c r="M833" s="74">
        <v>38020</v>
      </c>
      <c r="N833" s="77">
        <v>0.95833333333333337</v>
      </c>
      <c r="P833">
        <v>35.6</v>
      </c>
      <c r="S833" s="74">
        <v>34733</v>
      </c>
      <c r="T833" s="77">
        <v>0.95833333333333337</v>
      </c>
      <c r="V833">
        <v>30.92</v>
      </c>
      <c r="X833" s="42"/>
      <c r="AB833">
        <v>33.299999999999997</v>
      </c>
      <c r="AC833">
        <v>26.060000000000002</v>
      </c>
      <c r="AE833" s="74"/>
      <c r="AF833" s="77"/>
      <c r="AH833" s="497">
        <v>9.86</v>
      </c>
      <c r="AJ833" s="42"/>
      <c r="AK833" s="74"/>
      <c r="AL833" s="77"/>
      <c r="AN833" s="497">
        <v>42.08</v>
      </c>
      <c r="AP833" s="42"/>
      <c r="AQ833" s="74"/>
      <c r="AR833" s="77"/>
      <c r="AT833" s="497">
        <v>28.94</v>
      </c>
      <c r="AV833" s="42"/>
      <c r="AW833" s="74"/>
      <c r="AX833" s="77"/>
      <c r="BA833" s="497">
        <v>35.06</v>
      </c>
      <c r="BB833" s="42"/>
      <c r="BC833" s="74"/>
      <c r="BD833" s="77"/>
      <c r="BF833">
        <v>24.08</v>
      </c>
      <c r="BH833" s="42"/>
      <c r="BI833" s="74"/>
      <c r="BJ833" s="77"/>
      <c r="BL833" s="497">
        <v>28.94</v>
      </c>
      <c r="BN833" s="42"/>
      <c r="BO833" s="74"/>
      <c r="BP833" s="77"/>
      <c r="BR833" s="497">
        <v>8.0599999999999987</v>
      </c>
      <c r="BT833" s="42"/>
    </row>
    <row r="834" spans="1:72" x14ac:dyDescent="0.25">
      <c r="A834" s="90">
        <v>34733</v>
      </c>
      <c r="B834" s="20">
        <v>1</v>
      </c>
      <c r="D834">
        <v>30.02</v>
      </c>
      <c r="E834" t="str">
        <f t="shared" si="60"/>
        <v>WEEKDAY</v>
      </c>
      <c r="F834" t="e">
        <f t="shared" si="61"/>
        <v>#N/A</v>
      </c>
      <c r="G834" s="74">
        <v>32176</v>
      </c>
      <c r="H834" s="77">
        <v>1</v>
      </c>
      <c r="J834">
        <v>33.979999999999997</v>
      </c>
      <c r="M834" s="74">
        <v>38020</v>
      </c>
      <c r="N834" s="80">
        <v>1</v>
      </c>
      <c r="P834">
        <v>35.6</v>
      </c>
      <c r="S834" s="74">
        <v>34733</v>
      </c>
      <c r="T834" s="80">
        <v>1</v>
      </c>
      <c r="V834">
        <v>30.92</v>
      </c>
      <c r="X834" s="42"/>
      <c r="AB834">
        <v>32.700000000000003</v>
      </c>
      <c r="AC834">
        <v>26.96</v>
      </c>
      <c r="AE834" s="74"/>
      <c r="AF834" s="80"/>
      <c r="AH834" s="497">
        <v>8.9599999999999973</v>
      </c>
      <c r="AJ834" s="42"/>
      <c r="AK834" s="74"/>
      <c r="AL834" s="80"/>
      <c r="AN834" s="497">
        <v>42.08</v>
      </c>
      <c r="AP834" s="42"/>
      <c r="AQ834" s="74"/>
      <c r="AR834" s="80"/>
      <c r="AT834" s="497">
        <v>28.94</v>
      </c>
      <c r="AV834" s="42"/>
      <c r="AW834" s="74"/>
      <c r="AX834" s="80"/>
      <c r="BA834" s="497">
        <v>35.96</v>
      </c>
      <c r="BB834" s="42"/>
      <c r="BC834" s="74"/>
      <c r="BD834" s="80"/>
      <c r="BF834">
        <v>24.08</v>
      </c>
      <c r="BH834" s="42"/>
      <c r="BI834" s="74"/>
      <c r="BJ834" s="80"/>
      <c r="BL834" s="497">
        <v>28.04</v>
      </c>
      <c r="BN834" s="42"/>
      <c r="BO834" s="74"/>
      <c r="BP834" s="80"/>
      <c r="BR834" s="497">
        <v>8.0599999999999987</v>
      </c>
      <c r="BT834" s="42"/>
    </row>
    <row r="835" spans="1:72" x14ac:dyDescent="0.25">
      <c r="A835" s="90">
        <v>34734</v>
      </c>
      <c r="B835" s="20">
        <v>4.1666666666666664E-2</v>
      </c>
      <c r="D835">
        <v>28.04</v>
      </c>
      <c r="E835" t="str">
        <f t="shared" si="60"/>
        <v>SATURDAY</v>
      </c>
      <c r="F835" t="e">
        <f t="shared" si="61"/>
        <v>#N/A</v>
      </c>
      <c r="G835" s="74">
        <v>32177</v>
      </c>
      <c r="H835" s="77">
        <v>4.1666666666666664E-2</v>
      </c>
      <c r="J835">
        <v>33.979999999999997</v>
      </c>
      <c r="M835" s="74">
        <v>38021</v>
      </c>
      <c r="N835" s="77">
        <v>4.1666666666666664E-2</v>
      </c>
      <c r="P835">
        <v>35.6</v>
      </c>
      <c r="S835" s="74">
        <v>34734</v>
      </c>
      <c r="T835" s="77">
        <v>4.1666666666666664E-2</v>
      </c>
      <c r="V835">
        <v>30.92</v>
      </c>
      <c r="X835" s="42"/>
      <c r="AB835">
        <v>32.200000000000003</v>
      </c>
      <c r="AC835">
        <v>28.04</v>
      </c>
      <c r="AE835" s="74"/>
      <c r="AF835" s="77"/>
      <c r="AH835" s="497">
        <v>7.879999999999999</v>
      </c>
      <c r="AJ835" s="42"/>
      <c r="AK835" s="74"/>
      <c r="AL835" s="77"/>
      <c r="AN835" s="497">
        <v>42.08</v>
      </c>
      <c r="AP835" s="42"/>
      <c r="AQ835" s="74"/>
      <c r="AR835" s="77"/>
      <c r="AT835" s="497">
        <v>28.04</v>
      </c>
      <c r="AV835" s="42"/>
      <c r="AW835" s="74"/>
      <c r="AX835" s="77"/>
      <c r="BA835" s="497">
        <v>33.08</v>
      </c>
      <c r="BB835" s="42"/>
      <c r="BC835" s="74"/>
      <c r="BD835" s="77"/>
      <c r="BF835">
        <v>24.98</v>
      </c>
      <c r="BH835" s="42"/>
      <c r="BI835" s="74"/>
      <c r="BJ835" s="77"/>
      <c r="BL835" s="497">
        <v>28.94</v>
      </c>
      <c r="BN835" s="42"/>
      <c r="BO835" s="74"/>
      <c r="BP835" s="77"/>
      <c r="BR835" s="497">
        <v>8.0599999999999987</v>
      </c>
      <c r="BT835" s="42"/>
    </row>
    <row r="836" spans="1:72" x14ac:dyDescent="0.25">
      <c r="A836" s="90">
        <v>34734</v>
      </c>
      <c r="B836" s="20">
        <v>8.3333333333333329E-2</v>
      </c>
      <c r="D836">
        <v>28.04</v>
      </c>
      <c r="E836" t="str">
        <f t="shared" si="60"/>
        <v>SATURDAY</v>
      </c>
      <c r="F836" t="e">
        <f t="shared" si="61"/>
        <v>#N/A</v>
      </c>
      <c r="G836" s="74">
        <v>32177</v>
      </c>
      <c r="H836" s="77">
        <v>8.3333333333333329E-2</v>
      </c>
      <c r="J836">
        <v>35.06</v>
      </c>
      <c r="M836" s="74">
        <v>38021</v>
      </c>
      <c r="N836" s="77">
        <v>8.3333333333333329E-2</v>
      </c>
      <c r="P836">
        <v>37.4</v>
      </c>
      <c r="S836" s="74">
        <v>34734</v>
      </c>
      <c r="T836" s="77">
        <v>8.3333333333333329E-2</v>
      </c>
      <c r="V836">
        <v>30.02</v>
      </c>
      <c r="X836" s="42"/>
      <c r="AB836">
        <v>31.8</v>
      </c>
      <c r="AC836">
        <v>28.04</v>
      </c>
      <c r="AE836" s="74"/>
      <c r="AF836" s="77"/>
      <c r="AH836" s="497">
        <v>6.98</v>
      </c>
      <c r="AJ836" s="42"/>
      <c r="AK836" s="74"/>
      <c r="AL836" s="77"/>
      <c r="AN836" s="497">
        <v>39.019999999999996</v>
      </c>
      <c r="AP836" s="42"/>
      <c r="AQ836" s="74"/>
      <c r="AR836" s="77"/>
      <c r="AT836" s="497">
        <v>26.96</v>
      </c>
      <c r="AV836" s="42"/>
      <c r="AW836" s="74"/>
      <c r="AX836" s="77"/>
      <c r="BA836" s="497">
        <v>32</v>
      </c>
      <c r="BB836" s="42"/>
      <c r="BC836" s="74"/>
      <c r="BD836" s="77"/>
      <c r="BF836">
        <v>24.08</v>
      </c>
      <c r="BH836" s="42"/>
      <c r="BI836" s="74"/>
      <c r="BJ836" s="77"/>
      <c r="BL836" s="497">
        <v>30.02</v>
      </c>
      <c r="BN836" s="42"/>
      <c r="BO836" s="74"/>
      <c r="BP836" s="77"/>
      <c r="BR836" s="497">
        <v>8.0599999999999987</v>
      </c>
      <c r="BT836" s="42"/>
    </row>
    <row r="837" spans="1:72" x14ac:dyDescent="0.25">
      <c r="A837" s="90">
        <v>34734</v>
      </c>
      <c r="B837" s="20">
        <v>0.125</v>
      </c>
      <c r="D837">
        <v>28.04</v>
      </c>
      <c r="E837" t="str">
        <f t="shared" si="60"/>
        <v>SATURDAY</v>
      </c>
      <c r="F837" t="e">
        <f t="shared" si="61"/>
        <v>#N/A</v>
      </c>
      <c r="G837" s="74">
        <v>32177</v>
      </c>
      <c r="H837" s="77">
        <v>0.125</v>
      </c>
      <c r="J837">
        <v>35.06</v>
      </c>
      <c r="M837" s="74">
        <v>38021</v>
      </c>
      <c r="N837" s="77">
        <v>0.125</v>
      </c>
      <c r="P837">
        <v>37.4</v>
      </c>
      <c r="S837" s="74">
        <v>34734</v>
      </c>
      <c r="T837" s="77">
        <v>0.125</v>
      </c>
      <c r="V837">
        <v>30.02</v>
      </c>
      <c r="X837" s="42"/>
      <c r="AB837">
        <v>31.2</v>
      </c>
      <c r="AC837">
        <v>28.04</v>
      </c>
      <c r="AE837" s="74"/>
      <c r="AF837" s="77"/>
      <c r="AH837" s="497">
        <v>5.8999999999999986</v>
      </c>
      <c r="AJ837" s="42"/>
      <c r="AK837" s="74"/>
      <c r="AL837" s="77"/>
      <c r="AN837" s="497">
        <v>33.08</v>
      </c>
      <c r="AP837" s="42"/>
      <c r="AQ837" s="74"/>
      <c r="AR837" s="77"/>
      <c r="AT837" s="497">
        <v>26.060000000000002</v>
      </c>
      <c r="AV837" s="42"/>
      <c r="AW837" s="74"/>
      <c r="AX837" s="77"/>
      <c r="BA837" s="497">
        <v>30.02</v>
      </c>
      <c r="BB837" s="42"/>
      <c r="BC837" s="74"/>
      <c r="BD837" s="77"/>
      <c r="BF837">
        <v>23</v>
      </c>
      <c r="BH837" s="42"/>
      <c r="BI837" s="74"/>
      <c r="BJ837" s="77"/>
      <c r="BL837" s="497">
        <v>23</v>
      </c>
      <c r="BN837" s="42"/>
      <c r="BO837" s="74"/>
      <c r="BP837" s="77"/>
      <c r="BR837" s="497">
        <v>8.0599999999999987</v>
      </c>
      <c r="BT837" s="42"/>
    </row>
    <row r="838" spans="1:72" x14ac:dyDescent="0.25">
      <c r="A838" s="90">
        <v>34734</v>
      </c>
      <c r="B838" s="20">
        <v>0.16666666666666666</v>
      </c>
      <c r="D838">
        <v>28.94</v>
      </c>
      <c r="E838" t="str">
        <f t="shared" si="60"/>
        <v>SATURDAY</v>
      </c>
      <c r="F838" t="e">
        <f t="shared" si="61"/>
        <v>#N/A</v>
      </c>
      <c r="G838" s="74">
        <v>32177</v>
      </c>
      <c r="H838" s="77">
        <v>0.16666666666666666</v>
      </c>
      <c r="J838">
        <v>35.96</v>
      </c>
      <c r="M838" s="74">
        <v>38021</v>
      </c>
      <c r="N838" s="77">
        <v>0.16666666666666666</v>
      </c>
      <c r="P838">
        <v>37.4</v>
      </c>
      <c r="S838" s="74">
        <v>34734</v>
      </c>
      <c r="T838" s="77">
        <v>0.16666666666666666</v>
      </c>
      <c r="V838">
        <v>30.02</v>
      </c>
      <c r="X838" s="42"/>
      <c r="AB838">
        <v>30.9</v>
      </c>
      <c r="AC838">
        <v>28.04</v>
      </c>
      <c r="AE838" s="74"/>
      <c r="AF838" s="77"/>
      <c r="AH838" s="497">
        <v>5</v>
      </c>
      <c r="AJ838" s="42"/>
      <c r="AK838" s="74"/>
      <c r="AL838" s="77"/>
      <c r="AN838" s="497">
        <v>30.92</v>
      </c>
      <c r="AP838" s="42"/>
      <c r="AQ838" s="74"/>
      <c r="AR838" s="77"/>
      <c r="AT838" s="497">
        <v>24.98</v>
      </c>
      <c r="AV838" s="42"/>
      <c r="AW838" s="74"/>
      <c r="AX838" s="77"/>
      <c r="BA838" s="497">
        <v>28.94</v>
      </c>
      <c r="BB838" s="42"/>
      <c r="BC838" s="74"/>
      <c r="BD838" s="77"/>
      <c r="BF838">
        <v>21.92</v>
      </c>
      <c r="BH838" s="42"/>
      <c r="BI838" s="74"/>
      <c r="BJ838" s="77"/>
      <c r="BL838" s="497">
        <v>21.02</v>
      </c>
      <c r="BN838" s="42"/>
      <c r="BO838" s="74"/>
      <c r="BP838" s="77"/>
      <c r="BR838" s="497">
        <v>8.0599999999999987</v>
      </c>
      <c r="BT838" s="42"/>
    </row>
    <row r="839" spans="1:72" x14ac:dyDescent="0.25">
      <c r="A839" s="90">
        <v>34734</v>
      </c>
      <c r="B839" s="20">
        <v>0.20833333333333334</v>
      </c>
      <c r="D839">
        <v>30.02</v>
      </c>
      <c r="E839" t="str">
        <f t="shared" si="60"/>
        <v>SATURDAY</v>
      </c>
      <c r="F839" t="e">
        <f t="shared" si="61"/>
        <v>#N/A</v>
      </c>
      <c r="G839" s="74">
        <v>32177</v>
      </c>
      <c r="H839" s="77">
        <v>0.20833333333333334</v>
      </c>
      <c r="J839">
        <v>37.04</v>
      </c>
      <c r="M839" s="74">
        <v>38021</v>
      </c>
      <c r="N839" s="77">
        <v>0.20833333333333334</v>
      </c>
      <c r="P839">
        <v>37.4</v>
      </c>
      <c r="S839" s="74">
        <v>34734</v>
      </c>
      <c r="T839" s="77">
        <v>0.20833333333333334</v>
      </c>
      <c r="V839">
        <v>32</v>
      </c>
      <c r="X839" s="42"/>
      <c r="AB839">
        <v>30.5</v>
      </c>
      <c r="AC839">
        <v>28.04</v>
      </c>
      <c r="AE839" s="74"/>
      <c r="AF839" s="77"/>
      <c r="AH839" s="497">
        <v>3.9200000000000017</v>
      </c>
      <c r="AJ839" s="42"/>
      <c r="AK839" s="74"/>
      <c r="AL839" s="77"/>
      <c r="AN839" s="497">
        <v>30.02</v>
      </c>
      <c r="AP839" s="42"/>
      <c r="AQ839" s="74"/>
      <c r="AR839" s="77"/>
      <c r="AT839" s="497">
        <v>24.08</v>
      </c>
      <c r="AV839" s="42"/>
      <c r="AW839" s="74"/>
      <c r="AX839" s="77"/>
      <c r="BA839" s="497">
        <v>28.94</v>
      </c>
      <c r="BB839" s="42"/>
      <c r="BC839" s="74"/>
      <c r="BD839" s="77"/>
      <c r="BF839">
        <v>23</v>
      </c>
      <c r="BH839" s="42"/>
      <c r="BI839" s="74"/>
      <c r="BJ839" s="77"/>
      <c r="BL839" s="497">
        <v>21.92</v>
      </c>
      <c r="BN839" s="42"/>
      <c r="BO839" s="74"/>
      <c r="BP839" s="77"/>
      <c r="BR839" s="497">
        <v>8.0599999999999987</v>
      </c>
      <c r="BT839" s="42"/>
    </row>
    <row r="840" spans="1:72" x14ac:dyDescent="0.25">
      <c r="A840" s="90">
        <v>34734</v>
      </c>
      <c r="B840" s="20">
        <v>0.25</v>
      </c>
      <c r="D840">
        <v>30.92</v>
      </c>
      <c r="E840" t="str">
        <f t="shared" si="60"/>
        <v>SATURDAY</v>
      </c>
      <c r="F840" t="e">
        <f t="shared" si="61"/>
        <v>#N/A</v>
      </c>
      <c r="G840" s="74">
        <v>32177</v>
      </c>
      <c r="H840" s="77">
        <v>0.25</v>
      </c>
      <c r="J840">
        <v>37.04</v>
      </c>
      <c r="M840" s="74">
        <v>38021</v>
      </c>
      <c r="N840" s="77">
        <v>0.25</v>
      </c>
      <c r="P840">
        <v>37.4</v>
      </c>
      <c r="S840" s="74">
        <v>34734</v>
      </c>
      <c r="T840" s="77">
        <v>0.25</v>
      </c>
      <c r="V840">
        <v>33.08</v>
      </c>
      <c r="X840" s="42"/>
      <c r="AB840">
        <v>30.2</v>
      </c>
      <c r="AC840">
        <v>28.04</v>
      </c>
      <c r="AE840" s="74"/>
      <c r="AF840" s="77"/>
      <c r="AH840" s="497">
        <v>3.9200000000000017</v>
      </c>
      <c r="AJ840" s="42"/>
      <c r="AK840" s="74"/>
      <c r="AL840" s="77"/>
      <c r="AN840" s="497">
        <v>28.94</v>
      </c>
      <c r="AP840" s="42"/>
      <c r="AQ840" s="74"/>
      <c r="AR840" s="77"/>
      <c r="AT840" s="497">
        <v>24.98</v>
      </c>
      <c r="AV840" s="42"/>
      <c r="AW840" s="74"/>
      <c r="AX840" s="77"/>
      <c r="BA840" s="497">
        <v>30.02</v>
      </c>
      <c r="BB840" s="42"/>
      <c r="BC840" s="74"/>
      <c r="BD840" s="77"/>
      <c r="BF840">
        <v>21.92</v>
      </c>
      <c r="BH840" s="42"/>
      <c r="BI840" s="74"/>
      <c r="BJ840" s="77"/>
      <c r="BL840" s="497">
        <v>21.92</v>
      </c>
      <c r="BN840" s="42"/>
      <c r="BO840" s="74"/>
      <c r="BP840" s="77"/>
      <c r="BR840" s="497">
        <v>8.0599999999999987</v>
      </c>
      <c r="BT840" s="42"/>
    </row>
    <row r="841" spans="1:72" x14ac:dyDescent="0.25">
      <c r="A841" s="90">
        <v>34734</v>
      </c>
      <c r="B841" s="20">
        <v>0.29166666666666669</v>
      </c>
      <c r="D841">
        <v>32</v>
      </c>
      <c r="E841" t="str">
        <f t="shared" si="60"/>
        <v>SATURDAY</v>
      </c>
      <c r="F841" t="e">
        <f t="shared" si="61"/>
        <v>#N/A</v>
      </c>
      <c r="G841" s="74">
        <v>32177</v>
      </c>
      <c r="H841" s="77">
        <v>0.29166666666666669</v>
      </c>
      <c r="J841">
        <v>35.06</v>
      </c>
      <c r="M841" s="74">
        <v>38021</v>
      </c>
      <c r="N841" s="77">
        <v>0.29166666666666669</v>
      </c>
      <c r="P841">
        <v>37.4</v>
      </c>
      <c r="S841" s="74">
        <v>34734</v>
      </c>
      <c r="T841" s="77">
        <v>0.29166666666666669</v>
      </c>
      <c r="V841">
        <v>33.08</v>
      </c>
      <c r="X841" s="42"/>
      <c r="AB841">
        <v>30.1</v>
      </c>
      <c r="AC841">
        <v>26.96</v>
      </c>
      <c r="AE841" s="74"/>
      <c r="AF841" s="77"/>
      <c r="AH841" s="497">
        <v>1.9400000000000013</v>
      </c>
      <c r="AJ841" s="42"/>
      <c r="AK841" s="74"/>
      <c r="AL841" s="77"/>
      <c r="AN841" s="497">
        <v>28.04</v>
      </c>
      <c r="AP841" s="42"/>
      <c r="AQ841" s="74"/>
      <c r="AR841" s="77"/>
      <c r="AT841" s="497">
        <v>24.08</v>
      </c>
      <c r="AV841" s="42"/>
      <c r="AW841" s="74"/>
      <c r="AX841" s="77"/>
      <c r="BA841" s="497">
        <v>30.02</v>
      </c>
      <c r="BB841" s="42"/>
      <c r="BC841" s="74"/>
      <c r="BD841" s="77"/>
      <c r="BF841">
        <v>21.02</v>
      </c>
      <c r="BH841" s="42"/>
      <c r="BI841" s="74"/>
      <c r="BJ841" s="77"/>
      <c r="BL841" s="497">
        <v>21.02</v>
      </c>
      <c r="BN841" s="42"/>
      <c r="BO841" s="74"/>
      <c r="BP841" s="77"/>
      <c r="BR841" s="497">
        <v>8.0599999999999987</v>
      </c>
      <c r="BT841" s="42"/>
    </row>
    <row r="842" spans="1:72" x14ac:dyDescent="0.25">
      <c r="A842" s="90">
        <v>34734</v>
      </c>
      <c r="B842" s="20">
        <v>0.33333333333333331</v>
      </c>
      <c r="D842">
        <v>32</v>
      </c>
      <c r="E842" t="str">
        <f t="shared" si="60"/>
        <v>SATURDAY</v>
      </c>
      <c r="F842" t="e">
        <f t="shared" si="61"/>
        <v>#N/A</v>
      </c>
      <c r="G842" s="74">
        <v>32177</v>
      </c>
      <c r="H842" s="77">
        <v>0.33333333333333331</v>
      </c>
      <c r="J842">
        <v>35.06</v>
      </c>
      <c r="M842" s="74">
        <v>38021</v>
      </c>
      <c r="N842" s="77">
        <v>0.33333333333333331</v>
      </c>
      <c r="P842">
        <v>37.4</v>
      </c>
      <c r="S842" s="74">
        <v>34734</v>
      </c>
      <c r="T842" s="77">
        <v>0.33333333333333331</v>
      </c>
      <c r="V842">
        <v>33.08</v>
      </c>
      <c r="X842" s="42"/>
      <c r="AB842">
        <v>30</v>
      </c>
      <c r="AC842">
        <v>26.96</v>
      </c>
      <c r="AE842" s="74"/>
      <c r="AF842" s="77"/>
      <c r="AH842" s="497">
        <v>1.9400000000000013</v>
      </c>
      <c r="AJ842" s="42"/>
      <c r="AK842" s="74"/>
      <c r="AL842" s="77"/>
      <c r="AN842" s="497">
        <v>26.96</v>
      </c>
      <c r="AP842" s="42"/>
      <c r="AQ842" s="74"/>
      <c r="AR842" s="77"/>
      <c r="AT842" s="497">
        <v>24.08</v>
      </c>
      <c r="AV842" s="42"/>
      <c r="AW842" s="74"/>
      <c r="AX842" s="77"/>
      <c r="BA842" s="497">
        <v>28.04</v>
      </c>
      <c r="BB842" s="42"/>
      <c r="BC842" s="74"/>
      <c r="BD842" s="77"/>
      <c r="BF842">
        <v>21.02</v>
      </c>
      <c r="BH842" s="42"/>
      <c r="BI842" s="74"/>
      <c r="BJ842" s="77"/>
      <c r="BL842" s="497">
        <v>19.939999999999998</v>
      </c>
      <c r="BN842" s="42"/>
      <c r="BO842" s="74"/>
      <c r="BP842" s="77"/>
      <c r="BR842" s="497">
        <v>8.9599999999999973</v>
      </c>
      <c r="BT842" s="42"/>
    </row>
    <row r="843" spans="1:72" x14ac:dyDescent="0.25">
      <c r="A843" s="90">
        <v>34734</v>
      </c>
      <c r="B843" s="20">
        <v>0.375</v>
      </c>
      <c r="D843">
        <v>32</v>
      </c>
      <c r="E843" t="str">
        <f t="shared" si="60"/>
        <v>SATURDAY</v>
      </c>
      <c r="F843" t="e">
        <f t="shared" si="61"/>
        <v>#N/A</v>
      </c>
      <c r="G843" s="74">
        <v>32177</v>
      </c>
      <c r="H843" s="77">
        <v>0.375</v>
      </c>
      <c r="J843">
        <v>35.06</v>
      </c>
      <c r="M843" s="74">
        <v>38021</v>
      </c>
      <c r="N843" s="77">
        <v>0.375</v>
      </c>
      <c r="P843">
        <v>37.4</v>
      </c>
      <c r="S843" s="74">
        <v>34734</v>
      </c>
      <c r="T843" s="77">
        <v>0.375</v>
      </c>
      <c r="V843">
        <v>33.08</v>
      </c>
      <c r="X843" s="42"/>
      <c r="AB843">
        <v>30.8</v>
      </c>
      <c r="AC843">
        <v>28.04</v>
      </c>
      <c r="AE843" s="74"/>
      <c r="AF843" s="77"/>
      <c r="AH843" s="497">
        <v>3.5599999999999987</v>
      </c>
      <c r="AJ843" s="42"/>
      <c r="AK843" s="74"/>
      <c r="AL843" s="77"/>
      <c r="AN843" s="497">
        <v>24.98</v>
      </c>
      <c r="AP843" s="42"/>
      <c r="AQ843" s="74"/>
      <c r="AR843" s="77"/>
      <c r="AT843" s="497">
        <v>24.08</v>
      </c>
      <c r="AV843" s="42"/>
      <c r="AW843" s="74"/>
      <c r="AX843" s="77"/>
      <c r="BA843" s="497">
        <v>28.04</v>
      </c>
      <c r="BB843" s="42"/>
      <c r="BC843" s="74"/>
      <c r="BD843" s="77"/>
      <c r="BF843">
        <v>21.02</v>
      </c>
      <c r="BH843" s="42"/>
      <c r="BI843" s="74"/>
      <c r="BJ843" s="77"/>
      <c r="BL843" s="497">
        <v>19.939999999999998</v>
      </c>
      <c r="BN843" s="42"/>
      <c r="BO843" s="74"/>
      <c r="BP843" s="77"/>
      <c r="BR843" s="497">
        <v>10.039999999999999</v>
      </c>
      <c r="BT843" s="42"/>
    </row>
    <row r="844" spans="1:72" x14ac:dyDescent="0.25">
      <c r="A844" s="90">
        <v>34734</v>
      </c>
      <c r="B844" s="20">
        <v>0.41666666666666669</v>
      </c>
      <c r="D844">
        <v>33.979999999999997</v>
      </c>
      <c r="E844" t="str">
        <f t="shared" si="60"/>
        <v>SATURDAY</v>
      </c>
      <c r="F844" t="e">
        <f t="shared" si="61"/>
        <v>#N/A</v>
      </c>
      <c r="G844" s="74">
        <v>32177</v>
      </c>
      <c r="H844" s="77">
        <v>0.41666666666666669</v>
      </c>
      <c r="J844">
        <v>35.06</v>
      </c>
      <c r="M844" s="74">
        <v>38021</v>
      </c>
      <c r="N844" s="77">
        <v>0.41666666666666669</v>
      </c>
      <c r="P844">
        <v>37.4</v>
      </c>
      <c r="S844" s="74">
        <v>34734</v>
      </c>
      <c r="T844" s="77">
        <v>0.41666666666666669</v>
      </c>
      <c r="V844">
        <v>35.06</v>
      </c>
      <c r="X844" s="42"/>
      <c r="AB844">
        <v>32.4</v>
      </c>
      <c r="AC844">
        <v>30.02</v>
      </c>
      <c r="AE844" s="74"/>
      <c r="AF844" s="77"/>
      <c r="AH844" s="497">
        <v>5</v>
      </c>
      <c r="AJ844" s="42"/>
      <c r="AK844" s="74"/>
      <c r="AL844" s="77"/>
      <c r="AN844" s="497">
        <v>24.98</v>
      </c>
      <c r="AP844" s="42"/>
      <c r="AQ844" s="74"/>
      <c r="AR844" s="77"/>
      <c r="AT844" s="497">
        <v>24.98</v>
      </c>
      <c r="AV844" s="42"/>
      <c r="AW844" s="74"/>
      <c r="AX844" s="77"/>
      <c r="BA844" s="497">
        <v>26.96</v>
      </c>
      <c r="BB844" s="42"/>
      <c r="BC844" s="74"/>
      <c r="BD844" s="77"/>
      <c r="BF844">
        <v>21.02</v>
      </c>
      <c r="BH844" s="42"/>
      <c r="BI844" s="74"/>
      <c r="BJ844" s="77"/>
      <c r="BL844" s="497">
        <v>19.939999999999998</v>
      </c>
      <c r="BN844" s="42"/>
      <c r="BO844" s="74"/>
      <c r="BP844" s="77"/>
      <c r="BR844" s="497">
        <v>12.02</v>
      </c>
      <c r="BT844" s="42"/>
    </row>
    <row r="845" spans="1:72" x14ac:dyDescent="0.25">
      <c r="A845" s="90">
        <v>34734</v>
      </c>
      <c r="B845" s="20">
        <v>0.45833333333333331</v>
      </c>
      <c r="D845">
        <v>35.06</v>
      </c>
      <c r="E845" t="str">
        <f t="shared" si="60"/>
        <v>SATURDAY</v>
      </c>
      <c r="F845" t="e">
        <f t="shared" si="61"/>
        <v>#N/A</v>
      </c>
      <c r="G845" s="74">
        <v>32177</v>
      </c>
      <c r="H845" s="77">
        <v>0.45833333333333331</v>
      </c>
      <c r="J845">
        <v>35.96</v>
      </c>
      <c r="M845" s="74">
        <v>38021</v>
      </c>
      <c r="N845" s="77">
        <v>0.45833333333333331</v>
      </c>
      <c r="P845">
        <v>39.200000000000003</v>
      </c>
      <c r="S845" s="74">
        <v>34734</v>
      </c>
      <c r="T845" s="77">
        <v>0.45833333333333331</v>
      </c>
      <c r="V845">
        <v>37.04</v>
      </c>
      <c r="X845" s="42"/>
      <c r="AB845">
        <v>34</v>
      </c>
      <c r="AC845">
        <v>30.02</v>
      </c>
      <c r="AE845" s="74"/>
      <c r="AF845" s="77"/>
      <c r="AH845" s="497">
        <v>5.8999999999999986</v>
      </c>
      <c r="AJ845" s="42"/>
      <c r="AK845" s="74"/>
      <c r="AL845" s="77"/>
      <c r="AN845" s="497">
        <v>26.060000000000002</v>
      </c>
      <c r="AP845" s="42"/>
      <c r="AQ845" s="74"/>
      <c r="AR845" s="77"/>
      <c r="AT845" s="497">
        <v>26.060000000000002</v>
      </c>
      <c r="AV845" s="42"/>
      <c r="AW845" s="74"/>
      <c r="AX845" s="77"/>
      <c r="BA845" s="497">
        <v>26.96</v>
      </c>
      <c r="BB845" s="42"/>
      <c r="BC845" s="74"/>
      <c r="BD845" s="77"/>
      <c r="BF845">
        <v>21.92</v>
      </c>
      <c r="BH845" s="42"/>
      <c r="BI845" s="74"/>
      <c r="BJ845" s="77"/>
      <c r="BL845" s="497">
        <v>21.02</v>
      </c>
      <c r="BN845" s="42"/>
      <c r="BO845" s="74"/>
      <c r="BP845" s="77"/>
      <c r="BR845" s="497">
        <v>14</v>
      </c>
      <c r="BT845" s="42"/>
    </row>
    <row r="846" spans="1:72" x14ac:dyDescent="0.25">
      <c r="A846" s="90">
        <v>34734</v>
      </c>
      <c r="B846" s="20">
        <v>0.5</v>
      </c>
      <c r="D846">
        <v>35.96</v>
      </c>
      <c r="E846" t="str">
        <f t="shared" si="60"/>
        <v>SATURDAY</v>
      </c>
      <c r="F846" t="e">
        <f t="shared" si="61"/>
        <v>#N/A</v>
      </c>
      <c r="G846" s="74">
        <v>32177</v>
      </c>
      <c r="H846" s="77">
        <v>0.5</v>
      </c>
      <c r="J846">
        <v>35.06</v>
      </c>
      <c r="M846" s="74">
        <v>38021</v>
      </c>
      <c r="N846" s="77">
        <v>0.5</v>
      </c>
      <c r="P846">
        <v>39.200000000000003</v>
      </c>
      <c r="S846" s="74">
        <v>34734</v>
      </c>
      <c r="T846" s="77">
        <v>0.5</v>
      </c>
      <c r="V846">
        <v>37.04</v>
      </c>
      <c r="X846" s="42"/>
      <c r="AB846">
        <v>35.4</v>
      </c>
      <c r="AC846">
        <v>30.92</v>
      </c>
      <c r="AE846" s="74"/>
      <c r="AF846" s="77"/>
      <c r="AH846" s="497">
        <v>7.879999999999999</v>
      </c>
      <c r="AJ846" s="42"/>
      <c r="AK846" s="74"/>
      <c r="AL846" s="77"/>
      <c r="AN846" s="497">
        <v>26.96</v>
      </c>
      <c r="AP846" s="42"/>
      <c r="AQ846" s="74"/>
      <c r="AR846" s="77"/>
      <c r="AT846" s="497">
        <v>26.96</v>
      </c>
      <c r="AV846" s="42"/>
      <c r="AW846" s="74"/>
      <c r="AX846" s="77"/>
      <c r="BA846" s="497">
        <v>26.96</v>
      </c>
      <c r="BB846" s="42"/>
      <c r="BC846" s="74"/>
      <c r="BD846" s="77"/>
      <c r="BF846">
        <v>24.08</v>
      </c>
      <c r="BH846" s="42"/>
      <c r="BI846" s="74"/>
      <c r="BJ846" s="77"/>
      <c r="BL846" s="497">
        <v>21.02</v>
      </c>
      <c r="BN846" s="42"/>
      <c r="BO846" s="74"/>
      <c r="BP846" s="77"/>
      <c r="BR846" s="497">
        <v>17.059999999999999</v>
      </c>
      <c r="BT846" s="42"/>
    </row>
    <row r="847" spans="1:72" x14ac:dyDescent="0.25">
      <c r="A847" s="90">
        <v>34734</v>
      </c>
      <c r="B847" s="20">
        <v>0.54166666666666663</v>
      </c>
      <c r="D847">
        <v>35.96</v>
      </c>
      <c r="E847" t="str">
        <f t="shared" si="60"/>
        <v>SATURDAY</v>
      </c>
      <c r="F847" t="e">
        <f t="shared" si="61"/>
        <v>#N/A</v>
      </c>
      <c r="G847" s="74">
        <v>32177</v>
      </c>
      <c r="H847" s="77">
        <v>0.54166666666666663</v>
      </c>
      <c r="J847">
        <v>35.96</v>
      </c>
      <c r="M847" s="74">
        <v>38021</v>
      </c>
      <c r="N847" s="77">
        <v>0.54166666666666663</v>
      </c>
      <c r="P847">
        <v>39.200000000000003</v>
      </c>
      <c r="S847" s="74">
        <v>34734</v>
      </c>
      <c r="T847" s="77">
        <v>0.54166666666666663</v>
      </c>
      <c r="V847">
        <v>37.04</v>
      </c>
      <c r="X847" s="42"/>
      <c r="AB847">
        <v>36.5</v>
      </c>
      <c r="AC847">
        <v>30.92</v>
      </c>
      <c r="AE847" s="74"/>
      <c r="AF847" s="77"/>
      <c r="AH847" s="497">
        <v>9.86</v>
      </c>
      <c r="AJ847" s="42"/>
      <c r="AK847" s="74"/>
      <c r="AL847" s="77"/>
      <c r="AN847" s="497">
        <v>26.060000000000002</v>
      </c>
      <c r="AP847" s="42"/>
      <c r="AQ847" s="74"/>
      <c r="AR847" s="77"/>
      <c r="AT847" s="497">
        <v>28.04</v>
      </c>
      <c r="AV847" s="42"/>
      <c r="AW847" s="74"/>
      <c r="AX847" s="77"/>
      <c r="BA847" s="497">
        <v>26.060000000000002</v>
      </c>
      <c r="BB847" s="42"/>
      <c r="BC847" s="74"/>
      <c r="BD847" s="77"/>
      <c r="BF847">
        <v>24.08</v>
      </c>
      <c r="BH847" s="42"/>
      <c r="BI847" s="74"/>
      <c r="BJ847" s="77"/>
      <c r="BL847" s="497">
        <v>23</v>
      </c>
      <c r="BN847" s="42"/>
      <c r="BO847" s="74"/>
      <c r="BP847" s="77"/>
      <c r="BR847" s="497">
        <v>17.96</v>
      </c>
      <c r="BT847" s="42"/>
    </row>
    <row r="848" spans="1:72" x14ac:dyDescent="0.25">
      <c r="A848" s="90">
        <v>34734</v>
      </c>
      <c r="B848" s="20">
        <v>0.58333333333333337</v>
      </c>
      <c r="D848">
        <v>37.04</v>
      </c>
      <c r="E848" t="str">
        <f t="shared" si="60"/>
        <v>SATURDAY</v>
      </c>
      <c r="F848" t="e">
        <f t="shared" si="61"/>
        <v>#N/A</v>
      </c>
      <c r="G848" s="74">
        <v>32177</v>
      </c>
      <c r="H848" s="77">
        <v>0.58333333333333337</v>
      </c>
      <c r="J848">
        <v>35.96</v>
      </c>
      <c r="M848" s="74">
        <v>38021</v>
      </c>
      <c r="N848" s="77">
        <v>0.58333333333333337</v>
      </c>
      <c r="P848">
        <v>39.200000000000003</v>
      </c>
      <c r="S848" s="74">
        <v>34734</v>
      </c>
      <c r="T848" s="77">
        <v>0.58333333333333337</v>
      </c>
      <c r="V848">
        <v>35.96</v>
      </c>
      <c r="X848" s="42"/>
      <c r="AB848">
        <v>37.4</v>
      </c>
      <c r="AC848">
        <v>30.92</v>
      </c>
      <c r="AE848" s="74"/>
      <c r="AF848" s="77"/>
      <c r="AH848" s="497">
        <v>10.940000000000001</v>
      </c>
      <c r="AJ848" s="42"/>
      <c r="AK848" s="74"/>
      <c r="AL848" s="77"/>
      <c r="AN848" s="497">
        <v>24.98</v>
      </c>
      <c r="AP848" s="42"/>
      <c r="AQ848" s="74"/>
      <c r="AR848" s="77"/>
      <c r="AT848" s="497">
        <v>28.04</v>
      </c>
      <c r="AV848" s="42"/>
      <c r="AW848" s="74"/>
      <c r="AX848" s="77"/>
      <c r="BA848" s="497">
        <v>24.98</v>
      </c>
      <c r="BB848" s="42"/>
      <c r="BC848" s="74"/>
      <c r="BD848" s="77"/>
      <c r="BF848">
        <v>23</v>
      </c>
      <c r="BH848" s="42"/>
      <c r="BI848" s="74"/>
      <c r="BJ848" s="77"/>
      <c r="BL848" s="497">
        <v>23</v>
      </c>
      <c r="BN848" s="42"/>
      <c r="BO848" s="74"/>
      <c r="BP848" s="77"/>
      <c r="BR848" s="497">
        <v>19.04</v>
      </c>
      <c r="BT848" s="42"/>
    </row>
    <row r="849" spans="1:72" x14ac:dyDescent="0.25">
      <c r="A849" s="90">
        <v>34734</v>
      </c>
      <c r="B849" s="20">
        <v>0.625</v>
      </c>
      <c r="D849">
        <v>33.979999999999997</v>
      </c>
      <c r="E849" t="str">
        <f t="shared" si="60"/>
        <v>SATURDAY</v>
      </c>
      <c r="F849" t="e">
        <f t="shared" si="61"/>
        <v>#N/A</v>
      </c>
      <c r="G849" s="74">
        <v>32177</v>
      </c>
      <c r="H849" s="77">
        <v>0.625</v>
      </c>
      <c r="J849">
        <v>35.96</v>
      </c>
      <c r="M849" s="74">
        <v>38021</v>
      </c>
      <c r="N849" s="77">
        <v>0.625</v>
      </c>
      <c r="P849">
        <v>39.200000000000003</v>
      </c>
      <c r="S849" s="74">
        <v>34734</v>
      </c>
      <c r="T849" s="77">
        <v>0.625</v>
      </c>
      <c r="V849">
        <v>35.96</v>
      </c>
      <c r="X849" s="42"/>
      <c r="AB849">
        <v>38</v>
      </c>
      <c r="AC849">
        <v>30.02</v>
      </c>
      <c r="AE849" s="74"/>
      <c r="AF849" s="77"/>
      <c r="AH849" s="497">
        <v>11.84</v>
      </c>
      <c r="AJ849" s="42"/>
      <c r="AK849" s="74"/>
      <c r="AL849" s="77"/>
      <c r="AN849" s="497">
        <v>24.08</v>
      </c>
      <c r="AP849" s="42"/>
      <c r="AQ849" s="74"/>
      <c r="AR849" s="77"/>
      <c r="AT849" s="497">
        <v>28.94</v>
      </c>
      <c r="AV849" s="42"/>
      <c r="AW849" s="74"/>
      <c r="AX849" s="77"/>
      <c r="BA849" s="497">
        <v>24.08</v>
      </c>
      <c r="BB849" s="42"/>
      <c r="BC849" s="74"/>
      <c r="BD849" s="77"/>
      <c r="BF849">
        <v>21.92</v>
      </c>
      <c r="BH849" s="42"/>
      <c r="BI849" s="74"/>
      <c r="BJ849" s="77"/>
      <c r="BL849" s="497">
        <v>21.92</v>
      </c>
      <c r="BN849" s="42"/>
      <c r="BO849" s="74"/>
      <c r="BP849" s="77"/>
      <c r="BR849" s="497">
        <v>19.939999999999998</v>
      </c>
      <c r="BT849" s="42"/>
    </row>
    <row r="850" spans="1:72" x14ac:dyDescent="0.25">
      <c r="A850" s="90">
        <v>34734</v>
      </c>
      <c r="B850" s="20">
        <v>0.66666666666666663</v>
      </c>
      <c r="D850">
        <v>33.08</v>
      </c>
      <c r="E850" t="str">
        <f t="shared" si="60"/>
        <v>SATURDAY</v>
      </c>
      <c r="F850" t="e">
        <f t="shared" si="61"/>
        <v>#N/A</v>
      </c>
      <c r="G850" s="74">
        <v>32177</v>
      </c>
      <c r="H850" s="77">
        <v>0.66666666666666663</v>
      </c>
      <c r="J850">
        <v>37.04</v>
      </c>
      <c r="M850" s="74">
        <v>38021</v>
      </c>
      <c r="N850" s="77">
        <v>0.66666666666666663</v>
      </c>
      <c r="P850">
        <v>37.4</v>
      </c>
      <c r="S850" s="74">
        <v>34734</v>
      </c>
      <c r="T850" s="77">
        <v>0.66666666666666663</v>
      </c>
      <c r="V850">
        <v>33.08</v>
      </c>
      <c r="X850" s="42"/>
      <c r="AB850">
        <v>38.200000000000003</v>
      </c>
      <c r="AC850">
        <v>30.02</v>
      </c>
      <c r="AE850" s="74"/>
      <c r="AF850" s="77"/>
      <c r="AH850" s="497">
        <v>12.920000000000002</v>
      </c>
      <c r="AJ850" s="42"/>
      <c r="AK850" s="74"/>
      <c r="AL850" s="77"/>
      <c r="AN850" s="497">
        <v>26.060000000000002</v>
      </c>
      <c r="AP850" s="42"/>
      <c r="AQ850" s="74"/>
      <c r="AR850" s="77"/>
      <c r="AT850" s="497">
        <v>28.94</v>
      </c>
      <c r="AV850" s="42"/>
      <c r="AW850" s="74"/>
      <c r="AX850" s="77"/>
      <c r="BA850" s="497">
        <v>21.92</v>
      </c>
      <c r="BB850" s="42"/>
      <c r="BC850" s="74"/>
      <c r="BD850" s="77"/>
      <c r="BF850">
        <v>21.92</v>
      </c>
      <c r="BH850" s="42"/>
      <c r="BI850" s="74"/>
      <c r="BJ850" s="77"/>
      <c r="BL850" s="497">
        <v>21.02</v>
      </c>
      <c r="BN850" s="42"/>
      <c r="BO850" s="74"/>
      <c r="BP850" s="77"/>
      <c r="BR850" s="497">
        <v>19.04</v>
      </c>
      <c r="BT850" s="42"/>
    </row>
    <row r="851" spans="1:72" x14ac:dyDescent="0.25">
      <c r="A851" s="90">
        <v>34734</v>
      </c>
      <c r="B851" s="20">
        <v>0.70833333333333337</v>
      </c>
      <c r="D851">
        <v>32</v>
      </c>
      <c r="E851" t="str">
        <f t="shared" ref="E851:E914" si="62">IF(COUNTIF($DI$18:$DI$22, WEEKDAY(A851))=1, "WEEKDAY", IF(WEEKDAY(A851) = 1, "SUNDAY", "SATURDAY"))</f>
        <v>SATURDAY</v>
      </c>
      <c r="F851" t="e">
        <f t="shared" si="61"/>
        <v>#N/A</v>
      </c>
      <c r="G851" s="74">
        <v>32177</v>
      </c>
      <c r="H851" s="77">
        <v>0.70833333333333337</v>
      </c>
      <c r="J851">
        <v>37.04</v>
      </c>
      <c r="M851" s="74">
        <v>38021</v>
      </c>
      <c r="N851" s="77">
        <v>0.70833333333333337</v>
      </c>
      <c r="P851">
        <v>35.6</v>
      </c>
      <c r="S851" s="74">
        <v>34734</v>
      </c>
      <c r="T851" s="77">
        <v>0.70833333333333337</v>
      </c>
      <c r="V851">
        <v>32</v>
      </c>
      <c r="X851" s="42"/>
      <c r="AB851">
        <v>37.700000000000003</v>
      </c>
      <c r="AC851">
        <v>28.94</v>
      </c>
      <c r="AE851" s="74"/>
      <c r="AF851" s="77"/>
      <c r="AH851" s="497">
        <v>12.920000000000002</v>
      </c>
      <c r="AJ851" s="42"/>
      <c r="AK851" s="74"/>
      <c r="AL851" s="77"/>
      <c r="AN851" s="497">
        <v>21.92</v>
      </c>
      <c r="AP851" s="42"/>
      <c r="AQ851" s="74"/>
      <c r="AR851" s="77"/>
      <c r="AT851" s="497">
        <v>23</v>
      </c>
      <c r="AV851" s="42"/>
      <c r="AW851" s="74"/>
      <c r="AX851" s="77"/>
      <c r="BA851" s="497">
        <v>19.939999999999998</v>
      </c>
      <c r="BB851" s="42"/>
      <c r="BC851" s="74"/>
      <c r="BD851" s="77"/>
      <c r="BF851">
        <v>19.04</v>
      </c>
      <c r="BH851" s="42"/>
      <c r="BI851" s="74"/>
      <c r="BJ851" s="77"/>
      <c r="BL851" s="497">
        <v>21.02</v>
      </c>
      <c r="BN851" s="42"/>
      <c r="BO851" s="74"/>
      <c r="BP851" s="77"/>
      <c r="BR851" s="497">
        <v>17.059999999999999</v>
      </c>
      <c r="BT851" s="42"/>
    </row>
    <row r="852" spans="1:72" x14ac:dyDescent="0.25">
      <c r="A852" s="90">
        <v>34734</v>
      </c>
      <c r="B852" s="20">
        <v>0.75</v>
      </c>
      <c r="D852">
        <v>32</v>
      </c>
      <c r="E852" t="str">
        <f t="shared" si="62"/>
        <v>SATURDAY</v>
      </c>
      <c r="F852" t="e">
        <f t="shared" si="61"/>
        <v>#N/A</v>
      </c>
      <c r="G852" s="74">
        <v>32177</v>
      </c>
      <c r="H852" s="77">
        <v>0.75</v>
      </c>
      <c r="J852">
        <v>35.96</v>
      </c>
      <c r="M852" s="74">
        <v>38021</v>
      </c>
      <c r="N852" s="77">
        <v>0.75</v>
      </c>
      <c r="P852">
        <v>35.6</v>
      </c>
      <c r="S852" s="74">
        <v>34734</v>
      </c>
      <c r="T852" s="77">
        <v>0.75</v>
      </c>
      <c r="V852">
        <v>33.08</v>
      </c>
      <c r="X852" s="42"/>
      <c r="AB852">
        <v>36.5</v>
      </c>
      <c r="AC852">
        <v>28.04</v>
      </c>
      <c r="AE852" s="74"/>
      <c r="AF852" s="77"/>
      <c r="AH852" s="497">
        <v>9.86</v>
      </c>
      <c r="AJ852" s="42"/>
      <c r="AK852" s="74"/>
      <c r="AL852" s="77"/>
      <c r="AN852" s="497">
        <v>19.939999999999998</v>
      </c>
      <c r="AP852" s="42"/>
      <c r="AQ852" s="74"/>
      <c r="AR852" s="77"/>
      <c r="AT852" s="497">
        <v>19.939999999999998</v>
      </c>
      <c r="AV852" s="42"/>
      <c r="AW852" s="74"/>
      <c r="AX852" s="77"/>
      <c r="BA852" s="497">
        <v>19.04</v>
      </c>
      <c r="BB852" s="42"/>
      <c r="BC852" s="74"/>
      <c r="BD852" s="77"/>
      <c r="BF852">
        <v>17.059999999999999</v>
      </c>
      <c r="BH852" s="42"/>
      <c r="BI852" s="74"/>
      <c r="BJ852" s="77"/>
      <c r="BL852" s="497">
        <v>19.04</v>
      </c>
      <c r="BN852" s="42"/>
      <c r="BO852" s="74"/>
      <c r="BP852" s="77"/>
      <c r="BR852" s="497">
        <v>15.079999999999998</v>
      </c>
      <c r="BT852" s="42"/>
    </row>
    <row r="853" spans="1:72" x14ac:dyDescent="0.25">
      <c r="A853" s="90">
        <v>34734</v>
      </c>
      <c r="B853" s="20">
        <v>0.79166666666666663</v>
      </c>
      <c r="D853">
        <v>32</v>
      </c>
      <c r="E853" t="str">
        <f t="shared" si="62"/>
        <v>SATURDAY</v>
      </c>
      <c r="F853" t="e">
        <f t="shared" si="61"/>
        <v>#N/A</v>
      </c>
      <c r="G853" s="74">
        <v>32177</v>
      </c>
      <c r="H853" s="77">
        <v>0.79166666666666663</v>
      </c>
      <c r="J853">
        <v>33.08</v>
      </c>
      <c r="M853" s="74">
        <v>38021</v>
      </c>
      <c r="N853" s="77">
        <v>0.79166666666666663</v>
      </c>
      <c r="P853">
        <v>33.799999999999997</v>
      </c>
      <c r="S853" s="74">
        <v>34734</v>
      </c>
      <c r="T853" s="77">
        <v>0.79166666666666663</v>
      </c>
      <c r="V853">
        <v>33.08</v>
      </c>
      <c r="X853" s="42"/>
      <c r="AB853">
        <v>35.5</v>
      </c>
      <c r="AC853">
        <v>28.04</v>
      </c>
      <c r="AE853" s="74"/>
      <c r="AF853" s="77"/>
      <c r="AH853" s="497">
        <v>5.8999999999999986</v>
      </c>
      <c r="AJ853" s="42"/>
      <c r="AK853" s="74"/>
      <c r="AL853" s="77"/>
      <c r="AN853" s="497">
        <v>17.96</v>
      </c>
      <c r="AP853" s="42"/>
      <c r="AQ853" s="74"/>
      <c r="AR853" s="77"/>
      <c r="AT853" s="497">
        <v>19.939999999999998</v>
      </c>
      <c r="AV853" s="42"/>
      <c r="AW853" s="74"/>
      <c r="AX853" s="77"/>
      <c r="BA853" s="497">
        <v>19.939999999999998</v>
      </c>
      <c r="BB853" s="42"/>
      <c r="BC853" s="74"/>
      <c r="BD853" s="77"/>
      <c r="BF853">
        <v>14</v>
      </c>
      <c r="BH853" s="42"/>
      <c r="BI853" s="74"/>
      <c r="BJ853" s="77"/>
      <c r="BL853" s="497">
        <v>17.96</v>
      </c>
      <c r="BN853" s="42"/>
      <c r="BO853" s="74"/>
      <c r="BP853" s="77"/>
      <c r="BR853" s="497">
        <v>12.920000000000002</v>
      </c>
      <c r="BT853" s="42"/>
    </row>
    <row r="854" spans="1:72" x14ac:dyDescent="0.25">
      <c r="A854" s="90">
        <v>34734</v>
      </c>
      <c r="B854" s="20">
        <v>0.83333333333333337</v>
      </c>
      <c r="D854">
        <v>32</v>
      </c>
      <c r="E854" t="str">
        <f t="shared" si="62"/>
        <v>SATURDAY</v>
      </c>
      <c r="F854" t="e">
        <f t="shared" si="61"/>
        <v>#N/A</v>
      </c>
      <c r="G854" s="74">
        <v>32177</v>
      </c>
      <c r="H854" s="77">
        <v>0.83333333333333337</v>
      </c>
      <c r="J854">
        <v>28.94</v>
      </c>
      <c r="M854" s="74">
        <v>38021</v>
      </c>
      <c r="N854" s="77">
        <v>0.83333333333333337</v>
      </c>
      <c r="P854">
        <v>33.799999999999997</v>
      </c>
      <c r="S854" s="74">
        <v>34734</v>
      </c>
      <c r="T854" s="77">
        <v>0.83333333333333337</v>
      </c>
      <c r="V854">
        <v>33.08</v>
      </c>
      <c r="X854" s="42"/>
      <c r="AB854">
        <v>35.200000000000003</v>
      </c>
      <c r="AC854">
        <v>26.060000000000002</v>
      </c>
      <c r="AE854" s="74"/>
      <c r="AF854" s="77"/>
      <c r="AH854" s="497">
        <v>0.85999999999999943</v>
      </c>
      <c r="AJ854" s="42"/>
      <c r="AK854" s="74"/>
      <c r="AL854" s="77"/>
      <c r="AN854" s="497">
        <v>15.98</v>
      </c>
      <c r="AP854" s="42"/>
      <c r="AQ854" s="74"/>
      <c r="AR854" s="77"/>
      <c r="AT854" s="497">
        <v>19.04</v>
      </c>
      <c r="AV854" s="42"/>
      <c r="AW854" s="74"/>
      <c r="AX854" s="77"/>
      <c r="BA854" s="497">
        <v>19.04</v>
      </c>
      <c r="BB854" s="42"/>
      <c r="BC854" s="74"/>
      <c r="BD854" s="77"/>
      <c r="BF854">
        <v>12.920000000000002</v>
      </c>
      <c r="BH854" s="42"/>
      <c r="BI854" s="74"/>
      <c r="BJ854" s="77"/>
      <c r="BL854" s="497">
        <v>17.059999999999999</v>
      </c>
      <c r="BN854" s="42"/>
      <c r="BO854" s="74"/>
      <c r="BP854" s="77"/>
      <c r="BR854" s="497">
        <v>12.02</v>
      </c>
      <c r="BT854" s="42"/>
    </row>
    <row r="855" spans="1:72" x14ac:dyDescent="0.25">
      <c r="A855" s="90">
        <v>34734</v>
      </c>
      <c r="B855" s="20">
        <v>0.875</v>
      </c>
      <c r="D855">
        <v>30.92</v>
      </c>
      <c r="E855" t="str">
        <f t="shared" si="62"/>
        <v>SATURDAY</v>
      </c>
      <c r="F855" t="e">
        <f t="shared" si="61"/>
        <v>#N/A</v>
      </c>
      <c r="G855" s="74">
        <v>32177</v>
      </c>
      <c r="H855" s="77">
        <v>0.875</v>
      </c>
      <c r="J855">
        <v>28.04</v>
      </c>
      <c r="M855" s="74">
        <v>38021</v>
      </c>
      <c r="N855" s="77">
        <v>0.875</v>
      </c>
      <c r="P855">
        <v>32</v>
      </c>
      <c r="S855" s="74">
        <v>34734</v>
      </c>
      <c r="T855" s="77">
        <v>0.875</v>
      </c>
      <c r="V855">
        <v>32</v>
      </c>
      <c r="X855" s="42"/>
      <c r="AB855">
        <v>34.6</v>
      </c>
      <c r="AC855">
        <v>24.08</v>
      </c>
      <c r="AE855" s="74"/>
      <c r="AF855" s="77"/>
      <c r="AH855" s="497">
        <v>-3.9999999999999147E-2</v>
      </c>
      <c r="AJ855" s="42"/>
      <c r="AK855" s="74"/>
      <c r="AL855" s="77"/>
      <c r="AN855" s="497">
        <v>15.079999999999998</v>
      </c>
      <c r="AP855" s="42"/>
      <c r="AQ855" s="74"/>
      <c r="AR855" s="77"/>
      <c r="AT855" s="497">
        <v>17.96</v>
      </c>
      <c r="AV855" s="42"/>
      <c r="AW855" s="74"/>
      <c r="AX855" s="77"/>
      <c r="BA855" s="497">
        <v>17.96</v>
      </c>
      <c r="BB855" s="42"/>
      <c r="BC855" s="74"/>
      <c r="BD855" s="77"/>
      <c r="BF855">
        <v>10.940000000000001</v>
      </c>
      <c r="BH855" s="42"/>
      <c r="BI855" s="74"/>
      <c r="BJ855" s="77"/>
      <c r="BL855" s="497">
        <v>15.079999999999998</v>
      </c>
      <c r="BN855" s="42"/>
      <c r="BO855" s="74"/>
      <c r="BP855" s="77"/>
      <c r="BR855" s="497">
        <v>8.9599999999999973</v>
      </c>
      <c r="BT855" s="42"/>
    </row>
    <row r="856" spans="1:72" x14ac:dyDescent="0.25">
      <c r="A856" s="90">
        <v>34734</v>
      </c>
      <c r="B856" s="20">
        <v>0.91666666666666663</v>
      </c>
      <c r="D856">
        <v>30.92</v>
      </c>
      <c r="E856" t="str">
        <f t="shared" si="62"/>
        <v>SATURDAY</v>
      </c>
      <c r="F856" t="e">
        <f t="shared" si="61"/>
        <v>#N/A</v>
      </c>
      <c r="G856" s="74">
        <v>32177</v>
      </c>
      <c r="H856" s="77">
        <v>0.91666666666666663</v>
      </c>
      <c r="J856">
        <v>26.060000000000002</v>
      </c>
      <c r="M856" s="74">
        <v>38021</v>
      </c>
      <c r="N856" s="77">
        <v>0.91666666666666663</v>
      </c>
      <c r="P856">
        <v>30.2</v>
      </c>
      <c r="S856" s="74">
        <v>34734</v>
      </c>
      <c r="T856" s="77">
        <v>0.91666666666666663</v>
      </c>
      <c r="V856">
        <v>32</v>
      </c>
      <c r="X856" s="42"/>
      <c r="AB856">
        <v>33.9</v>
      </c>
      <c r="AC856">
        <v>23</v>
      </c>
      <c r="AE856" s="74"/>
      <c r="AF856" s="77"/>
      <c r="AH856" s="497">
        <v>-3.1000000000000014</v>
      </c>
      <c r="AJ856" s="42"/>
      <c r="AK856" s="74"/>
      <c r="AL856" s="77"/>
      <c r="AN856" s="497">
        <v>14</v>
      </c>
      <c r="AP856" s="42"/>
      <c r="AQ856" s="74"/>
      <c r="AR856" s="77"/>
      <c r="AT856" s="497">
        <v>17.96</v>
      </c>
      <c r="AV856" s="42"/>
      <c r="AW856" s="74"/>
      <c r="AX856" s="77"/>
      <c r="BA856" s="497">
        <v>17.96</v>
      </c>
      <c r="BB856" s="42"/>
      <c r="BC856" s="74"/>
      <c r="BD856" s="77"/>
      <c r="BF856">
        <v>10.039999999999999</v>
      </c>
      <c r="BH856" s="42"/>
      <c r="BI856" s="74"/>
      <c r="BJ856" s="77"/>
      <c r="BL856" s="497">
        <v>12.920000000000002</v>
      </c>
      <c r="BN856" s="42"/>
      <c r="BO856" s="74"/>
      <c r="BP856" s="77"/>
      <c r="BR856" s="497">
        <v>6.0799999999999983</v>
      </c>
      <c r="BT856" s="42"/>
    </row>
    <row r="857" spans="1:72" x14ac:dyDescent="0.25">
      <c r="A857" s="90">
        <v>34734</v>
      </c>
      <c r="B857" s="20">
        <v>0.95833333333333337</v>
      </c>
      <c r="D857">
        <v>30.02</v>
      </c>
      <c r="E857" t="str">
        <f t="shared" si="62"/>
        <v>SATURDAY</v>
      </c>
      <c r="F857" t="e">
        <f t="shared" si="61"/>
        <v>#N/A</v>
      </c>
      <c r="G857" s="74">
        <v>32177</v>
      </c>
      <c r="H857" s="77">
        <v>0.95833333333333337</v>
      </c>
      <c r="J857">
        <v>24.08</v>
      </c>
      <c r="M857" s="74">
        <v>38021</v>
      </c>
      <c r="N857" s="77">
        <v>0.95833333333333337</v>
      </c>
      <c r="P857">
        <v>30.2</v>
      </c>
      <c r="S857" s="74">
        <v>34734</v>
      </c>
      <c r="T857" s="77">
        <v>0.95833333333333337</v>
      </c>
      <c r="V857">
        <v>30.02</v>
      </c>
      <c r="X857" s="42"/>
      <c r="AB857">
        <v>33.4</v>
      </c>
      <c r="AC857">
        <v>24.08</v>
      </c>
      <c r="AE857" s="74"/>
      <c r="AF857" s="77"/>
      <c r="AH857" s="497">
        <v>-4</v>
      </c>
      <c r="AJ857" s="42"/>
      <c r="AK857" s="74"/>
      <c r="AL857" s="77"/>
      <c r="AN857" s="497">
        <v>12.920000000000002</v>
      </c>
      <c r="AP857" s="42"/>
      <c r="AQ857" s="74"/>
      <c r="AR857" s="77"/>
      <c r="AT857" s="497">
        <v>15.98</v>
      </c>
      <c r="AV857" s="42"/>
      <c r="AW857" s="74"/>
      <c r="AX857" s="77"/>
      <c r="BA857" s="497">
        <v>17.059999999999999</v>
      </c>
      <c r="BB857" s="42"/>
      <c r="BC857" s="74"/>
      <c r="BD857" s="77"/>
      <c r="BF857">
        <v>10.940000000000001</v>
      </c>
      <c r="BH857" s="42"/>
      <c r="BI857" s="74"/>
      <c r="BJ857" s="77"/>
      <c r="BL857" s="497">
        <v>12.02</v>
      </c>
      <c r="BN857" s="42"/>
      <c r="BO857" s="74"/>
      <c r="BP857" s="77"/>
      <c r="BR857" s="497">
        <v>3.019999999999996</v>
      </c>
      <c r="BT857" s="42"/>
    </row>
    <row r="858" spans="1:72" x14ac:dyDescent="0.25">
      <c r="A858" s="90">
        <v>34734</v>
      </c>
      <c r="B858" s="20">
        <v>1</v>
      </c>
      <c r="D858">
        <v>28.94</v>
      </c>
      <c r="E858" t="str">
        <f t="shared" si="62"/>
        <v>SATURDAY</v>
      </c>
      <c r="F858" t="e">
        <f t="shared" si="61"/>
        <v>#N/A</v>
      </c>
      <c r="G858" s="74">
        <v>32177</v>
      </c>
      <c r="H858" s="77">
        <v>1</v>
      </c>
      <c r="J858">
        <v>23</v>
      </c>
      <c r="M858" s="74">
        <v>38021</v>
      </c>
      <c r="N858" s="80">
        <v>1</v>
      </c>
      <c r="P858">
        <v>28.4</v>
      </c>
      <c r="S858" s="74">
        <v>34734</v>
      </c>
      <c r="T858" s="80">
        <v>1</v>
      </c>
      <c r="V858">
        <v>30.02</v>
      </c>
      <c r="X858" s="42"/>
      <c r="AB858">
        <v>32.700000000000003</v>
      </c>
      <c r="AC858">
        <v>26.060000000000002</v>
      </c>
      <c r="AE858" s="74"/>
      <c r="AF858" s="80"/>
      <c r="AH858" s="497">
        <v>-5.4400000000000048</v>
      </c>
      <c r="AJ858" s="42"/>
      <c r="AK858" s="74"/>
      <c r="AL858" s="80"/>
      <c r="AN858" s="497">
        <v>12.920000000000002</v>
      </c>
      <c r="AP858" s="42"/>
      <c r="AQ858" s="74"/>
      <c r="AR858" s="80"/>
      <c r="AT858" s="497">
        <v>14</v>
      </c>
      <c r="AV858" s="42"/>
      <c r="AW858" s="74"/>
      <c r="AX858" s="80"/>
      <c r="BA858" s="497">
        <v>15.98</v>
      </c>
      <c r="BB858" s="42"/>
      <c r="BC858" s="74"/>
      <c r="BD858" s="80"/>
      <c r="BF858">
        <v>10.039999999999999</v>
      </c>
      <c r="BH858" s="42"/>
      <c r="BI858" s="74"/>
      <c r="BJ858" s="80"/>
      <c r="BL858" s="497">
        <v>10.039999999999999</v>
      </c>
      <c r="BN858" s="42"/>
      <c r="BO858" s="74"/>
      <c r="BP858" s="80"/>
      <c r="BR858" s="497">
        <v>1.9400000000000013</v>
      </c>
      <c r="BT858" s="42"/>
    </row>
    <row r="859" spans="1:72" x14ac:dyDescent="0.25">
      <c r="A859" s="90">
        <v>34735</v>
      </c>
      <c r="B859" s="20">
        <v>4.1666666666666664E-2</v>
      </c>
      <c r="D859">
        <v>28.94</v>
      </c>
      <c r="E859" t="str">
        <f t="shared" si="62"/>
        <v>SUNDAY</v>
      </c>
      <c r="F859" t="e">
        <f t="shared" si="61"/>
        <v>#N/A</v>
      </c>
      <c r="G859" s="74">
        <v>32178</v>
      </c>
      <c r="H859" s="77">
        <v>4.1666666666666664E-2</v>
      </c>
      <c r="J859">
        <v>23</v>
      </c>
      <c r="M859" s="74">
        <v>38022</v>
      </c>
      <c r="N859" s="77">
        <v>4.1666666666666664E-2</v>
      </c>
      <c r="P859">
        <v>28.4</v>
      </c>
      <c r="S859" s="74">
        <v>34735</v>
      </c>
      <c r="T859" s="77">
        <v>4.1666666666666664E-2</v>
      </c>
      <c r="V859">
        <v>30.02</v>
      </c>
      <c r="X859" s="42"/>
      <c r="AB859">
        <v>32.200000000000003</v>
      </c>
      <c r="AC859">
        <v>26.96</v>
      </c>
      <c r="AE859" s="74"/>
      <c r="AF859" s="77"/>
      <c r="AH859" s="497">
        <v>-7.0600000000000023</v>
      </c>
      <c r="AJ859" s="42"/>
      <c r="AK859" s="74"/>
      <c r="AL859" s="77"/>
      <c r="AN859" s="497">
        <v>12.02</v>
      </c>
      <c r="AP859" s="42"/>
      <c r="AQ859" s="74"/>
      <c r="AR859" s="77"/>
      <c r="AT859" s="497">
        <v>12.02</v>
      </c>
      <c r="AV859" s="42"/>
      <c r="AW859" s="74"/>
      <c r="AX859" s="77"/>
      <c r="BA859" s="497">
        <v>17.96</v>
      </c>
      <c r="BB859" s="42"/>
      <c r="BC859" s="74"/>
      <c r="BD859" s="77"/>
      <c r="BF859">
        <v>8.9599999999999973</v>
      </c>
      <c r="BH859" s="42"/>
      <c r="BI859" s="74"/>
      <c r="BJ859" s="77"/>
      <c r="BL859" s="497">
        <v>10.039999999999999</v>
      </c>
      <c r="BN859" s="42"/>
      <c r="BO859" s="74"/>
      <c r="BP859" s="77"/>
      <c r="BR859" s="497">
        <v>-3.9999999999999147E-2</v>
      </c>
      <c r="BT859" s="42"/>
    </row>
    <row r="860" spans="1:72" x14ac:dyDescent="0.25">
      <c r="A860" s="90">
        <v>34735</v>
      </c>
      <c r="B860" s="20">
        <v>8.3333333333333329E-2</v>
      </c>
      <c r="D860">
        <v>28.94</v>
      </c>
      <c r="E860" t="str">
        <f t="shared" si="62"/>
        <v>SUNDAY</v>
      </c>
      <c r="F860" t="e">
        <f t="shared" si="61"/>
        <v>#N/A</v>
      </c>
      <c r="G860" s="74">
        <v>32178</v>
      </c>
      <c r="H860" s="77">
        <v>8.3333333333333329E-2</v>
      </c>
      <c r="J860">
        <v>21.92</v>
      </c>
      <c r="M860" s="74">
        <v>38022</v>
      </c>
      <c r="N860" s="77">
        <v>8.3333333333333329E-2</v>
      </c>
      <c r="P860">
        <v>26.6</v>
      </c>
      <c r="S860" s="74">
        <v>34735</v>
      </c>
      <c r="T860" s="77">
        <v>8.3333333333333329E-2</v>
      </c>
      <c r="V860">
        <v>28.94</v>
      </c>
      <c r="X860" s="42"/>
      <c r="AB860">
        <v>31.7</v>
      </c>
      <c r="AC860">
        <v>26.96</v>
      </c>
      <c r="AE860" s="74"/>
      <c r="AF860" s="77"/>
      <c r="AH860" s="497">
        <v>-9.0399999999999991</v>
      </c>
      <c r="AJ860" s="42"/>
      <c r="AK860" s="74"/>
      <c r="AL860" s="77"/>
      <c r="AN860" s="497">
        <v>10.940000000000001</v>
      </c>
      <c r="AP860" s="42"/>
      <c r="AQ860" s="74"/>
      <c r="AR860" s="77"/>
      <c r="AT860" s="497">
        <v>10.940000000000001</v>
      </c>
      <c r="AV860" s="42"/>
      <c r="AW860" s="74"/>
      <c r="AX860" s="77"/>
      <c r="BA860" s="497">
        <v>17.96</v>
      </c>
      <c r="BB860" s="42"/>
      <c r="BC860" s="74"/>
      <c r="BD860" s="77"/>
      <c r="BF860">
        <v>10.039999999999999</v>
      </c>
      <c r="BH860" s="42"/>
      <c r="BI860" s="74"/>
      <c r="BJ860" s="77"/>
      <c r="BL860" s="497">
        <v>10.940000000000001</v>
      </c>
      <c r="BN860" s="42"/>
      <c r="BO860" s="74"/>
      <c r="BP860" s="77"/>
      <c r="BR860" s="497">
        <v>-2.019999999999996</v>
      </c>
      <c r="BT860" s="42"/>
    </row>
    <row r="861" spans="1:72" x14ac:dyDescent="0.25">
      <c r="A861" s="90">
        <v>34735</v>
      </c>
      <c r="B861" s="20">
        <v>0.125</v>
      </c>
      <c r="D861">
        <v>28.94</v>
      </c>
      <c r="E861" t="str">
        <f t="shared" si="62"/>
        <v>SUNDAY</v>
      </c>
      <c r="F861" t="e">
        <f t="shared" si="61"/>
        <v>#N/A</v>
      </c>
      <c r="G861" s="74">
        <v>32178</v>
      </c>
      <c r="H861" s="77">
        <v>0.125</v>
      </c>
      <c r="J861">
        <v>21.92</v>
      </c>
      <c r="M861" s="74">
        <v>38022</v>
      </c>
      <c r="N861" s="77">
        <v>0.125</v>
      </c>
      <c r="P861">
        <v>24.8</v>
      </c>
      <c r="S861" s="74">
        <v>34735</v>
      </c>
      <c r="T861" s="77">
        <v>0.125</v>
      </c>
      <c r="V861">
        <v>28.94</v>
      </c>
      <c r="X861" s="42"/>
      <c r="AB861">
        <v>31.2</v>
      </c>
      <c r="AC861">
        <v>26.96</v>
      </c>
      <c r="AE861" s="74"/>
      <c r="AF861" s="77"/>
      <c r="AH861" s="497">
        <v>-10.119999999999997</v>
      </c>
      <c r="AJ861" s="42"/>
      <c r="AK861" s="74"/>
      <c r="AL861" s="77"/>
      <c r="AN861" s="497">
        <v>10.940000000000001</v>
      </c>
      <c r="AP861" s="42"/>
      <c r="AQ861" s="74"/>
      <c r="AR861" s="77"/>
      <c r="AT861" s="497">
        <v>10.940000000000001</v>
      </c>
      <c r="AV861" s="42"/>
      <c r="AW861" s="74"/>
      <c r="AX861" s="77"/>
      <c r="BA861" s="497">
        <v>17.96</v>
      </c>
      <c r="BB861" s="42"/>
      <c r="BC861" s="74"/>
      <c r="BD861" s="77"/>
      <c r="BF861">
        <v>10.039999999999999</v>
      </c>
      <c r="BH861" s="42"/>
      <c r="BI861" s="74"/>
      <c r="BJ861" s="77"/>
      <c r="BL861" s="497">
        <v>10.039999999999999</v>
      </c>
      <c r="BN861" s="42"/>
      <c r="BO861" s="74"/>
      <c r="BP861" s="77"/>
      <c r="BR861" s="497">
        <v>-4</v>
      </c>
      <c r="BT861" s="42"/>
    </row>
    <row r="862" spans="1:72" x14ac:dyDescent="0.25">
      <c r="A862" s="90">
        <v>34735</v>
      </c>
      <c r="B862" s="20">
        <v>0.16666666666666666</v>
      </c>
      <c r="D862">
        <v>28.04</v>
      </c>
      <c r="E862" t="str">
        <f t="shared" si="62"/>
        <v>SUNDAY</v>
      </c>
      <c r="F862" t="e">
        <f t="shared" si="61"/>
        <v>#N/A</v>
      </c>
      <c r="G862" s="74">
        <v>32178</v>
      </c>
      <c r="H862" s="77">
        <v>0.16666666666666666</v>
      </c>
      <c r="J862">
        <v>21.02</v>
      </c>
      <c r="M862" s="74">
        <v>38022</v>
      </c>
      <c r="N862" s="77">
        <v>0.16666666666666666</v>
      </c>
      <c r="P862">
        <v>24.8</v>
      </c>
      <c r="S862" s="74">
        <v>34735</v>
      </c>
      <c r="T862" s="77">
        <v>0.16666666666666666</v>
      </c>
      <c r="V862">
        <v>28.04</v>
      </c>
      <c r="X862" s="42"/>
      <c r="AB862">
        <v>30.8</v>
      </c>
      <c r="AC862">
        <v>24.98</v>
      </c>
      <c r="AE862" s="74"/>
      <c r="AF862" s="77"/>
      <c r="AH862" s="497">
        <v>-11.200000000000003</v>
      </c>
      <c r="AJ862" s="42"/>
      <c r="AK862" s="74"/>
      <c r="AL862" s="77"/>
      <c r="AN862" s="497">
        <v>10.940000000000001</v>
      </c>
      <c r="AP862" s="42"/>
      <c r="AQ862" s="74"/>
      <c r="AR862" s="77"/>
      <c r="AT862" s="497">
        <v>8.0599999999999987</v>
      </c>
      <c r="AV862" s="42"/>
      <c r="AW862" s="74"/>
      <c r="AX862" s="77"/>
      <c r="BA862" s="497">
        <v>17.059999999999999</v>
      </c>
      <c r="BB862" s="42"/>
      <c r="BC862" s="74"/>
      <c r="BD862" s="77"/>
      <c r="BF862">
        <v>8.9599999999999973</v>
      </c>
      <c r="BH862" s="42"/>
      <c r="BI862" s="74"/>
      <c r="BJ862" s="77"/>
      <c r="BL862" s="497">
        <v>8.9599999999999973</v>
      </c>
      <c r="BN862" s="42"/>
      <c r="BO862" s="74"/>
      <c r="BP862" s="77"/>
      <c r="BR862" s="497">
        <v>-2.9200000000000017</v>
      </c>
      <c r="BT862" s="42"/>
    </row>
    <row r="863" spans="1:72" x14ac:dyDescent="0.25">
      <c r="A863" s="90">
        <v>34735</v>
      </c>
      <c r="B863" s="20">
        <v>0.20833333333333334</v>
      </c>
      <c r="D863">
        <v>26.96</v>
      </c>
      <c r="E863" t="str">
        <f t="shared" si="62"/>
        <v>SUNDAY</v>
      </c>
      <c r="F863" t="e">
        <f t="shared" si="61"/>
        <v>#N/A</v>
      </c>
      <c r="G863" s="74">
        <v>32178</v>
      </c>
      <c r="H863" s="77">
        <v>0.20833333333333334</v>
      </c>
      <c r="J863">
        <v>21.02</v>
      </c>
      <c r="M863" s="74">
        <v>38022</v>
      </c>
      <c r="N863" s="77">
        <v>0.20833333333333334</v>
      </c>
      <c r="P863">
        <v>23</v>
      </c>
      <c r="S863" s="74">
        <v>34735</v>
      </c>
      <c r="T863" s="77">
        <v>0.20833333333333334</v>
      </c>
      <c r="V863">
        <v>26.96</v>
      </c>
      <c r="X863" s="42"/>
      <c r="AB863">
        <v>30.4</v>
      </c>
      <c r="AC863">
        <v>24.08</v>
      </c>
      <c r="AE863" s="74"/>
      <c r="AF863" s="77"/>
      <c r="AH863" s="497">
        <v>-13</v>
      </c>
      <c r="AJ863" s="42"/>
      <c r="AK863" s="74"/>
      <c r="AL863" s="77"/>
      <c r="AN863" s="497">
        <v>10.039999999999999</v>
      </c>
      <c r="AP863" s="42"/>
      <c r="AQ863" s="74"/>
      <c r="AR863" s="77"/>
      <c r="AT863" s="497">
        <v>6.98</v>
      </c>
      <c r="AV863" s="42"/>
      <c r="AW863" s="74"/>
      <c r="AX863" s="77"/>
      <c r="BA863" s="497">
        <v>15.079999999999998</v>
      </c>
      <c r="BB863" s="42"/>
      <c r="BC863" s="74"/>
      <c r="BD863" s="77"/>
      <c r="BF863">
        <v>8.0599999999999987</v>
      </c>
      <c r="BH863" s="42"/>
      <c r="BI863" s="74"/>
      <c r="BJ863" s="77"/>
      <c r="BL863" s="497">
        <v>8.9599999999999973</v>
      </c>
      <c r="BN863" s="42"/>
      <c r="BO863" s="74"/>
      <c r="BP863" s="77"/>
      <c r="BR863" s="497">
        <v>-4</v>
      </c>
      <c r="BT863" s="42"/>
    </row>
    <row r="864" spans="1:72" x14ac:dyDescent="0.25">
      <c r="A864" s="90">
        <v>34735</v>
      </c>
      <c r="B864" s="20">
        <v>0.25</v>
      </c>
      <c r="D864">
        <v>26.060000000000002</v>
      </c>
      <c r="E864" t="str">
        <f t="shared" si="62"/>
        <v>SUNDAY</v>
      </c>
      <c r="F864" t="e">
        <f t="shared" si="61"/>
        <v>#N/A</v>
      </c>
      <c r="G864" s="74">
        <v>32178</v>
      </c>
      <c r="H864" s="77">
        <v>0.25</v>
      </c>
      <c r="J864">
        <v>19.939999999999998</v>
      </c>
      <c r="M864" s="74">
        <v>38022</v>
      </c>
      <c r="N864" s="77">
        <v>0.25</v>
      </c>
      <c r="P864">
        <v>21.2</v>
      </c>
      <c r="S864" s="74">
        <v>34735</v>
      </c>
      <c r="T864" s="77">
        <v>0.25</v>
      </c>
      <c r="V864">
        <v>24.98</v>
      </c>
      <c r="X864" s="42"/>
      <c r="AB864">
        <v>30.1</v>
      </c>
      <c r="AC864">
        <v>26.96</v>
      </c>
      <c r="AE864" s="74"/>
      <c r="AF864" s="77"/>
      <c r="AH864" s="497">
        <v>-13</v>
      </c>
      <c r="AJ864" s="42"/>
      <c r="AK864" s="74"/>
      <c r="AL864" s="77"/>
      <c r="AN864" s="497">
        <v>8.9599999999999973</v>
      </c>
      <c r="AP864" s="42"/>
      <c r="AQ864" s="74"/>
      <c r="AR864" s="77"/>
      <c r="AT864" s="497">
        <v>6.98</v>
      </c>
      <c r="AV864" s="42"/>
      <c r="AW864" s="74"/>
      <c r="AX864" s="77"/>
      <c r="BA864" s="497">
        <v>12.920000000000002</v>
      </c>
      <c r="BB864" s="42"/>
      <c r="BC864" s="74"/>
      <c r="BD864" s="77"/>
      <c r="BF864">
        <v>6.98</v>
      </c>
      <c r="BH864" s="42"/>
      <c r="BI864" s="74"/>
      <c r="BJ864" s="77"/>
      <c r="BL864" s="497">
        <v>8.0599999999999987</v>
      </c>
      <c r="BN864" s="42"/>
      <c r="BO864" s="74"/>
      <c r="BP864" s="77"/>
      <c r="BR864" s="497">
        <v>-7.0600000000000023</v>
      </c>
      <c r="BT864" s="42"/>
    </row>
    <row r="865" spans="1:72" x14ac:dyDescent="0.25">
      <c r="A865" s="90">
        <v>34735</v>
      </c>
      <c r="B865" s="20">
        <v>0.29166666666666669</v>
      </c>
      <c r="D865">
        <v>23</v>
      </c>
      <c r="E865" t="str">
        <f t="shared" si="62"/>
        <v>SUNDAY</v>
      </c>
      <c r="F865" t="e">
        <f t="shared" si="61"/>
        <v>#N/A</v>
      </c>
      <c r="G865" s="74">
        <v>32178</v>
      </c>
      <c r="H865" s="77">
        <v>0.29166666666666669</v>
      </c>
      <c r="J865">
        <v>19.939999999999998</v>
      </c>
      <c r="M865" s="74">
        <v>38022</v>
      </c>
      <c r="N865" s="77">
        <v>0.29166666666666669</v>
      </c>
      <c r="P865">
        <v>21.2</v>
      </c>
      <c r="S865" s="74">
        <v>34735</v>
      </c>
      <c r="T865" s="77">
        <v>0.29166666666666669</v>
      </c>
      <c r="V865">
        <v>24.08</v>
      </c>
      <c r="X865" s="42"/>
      <c r="AB865">
        <v>30</v>
      </c>
      <c r="AC865">
        <v>26.96</v>
      </c>
      <c r="AE865" s="74"/>
      <c r="AF865" s="77"/>
      <c r="AH865" s="497">
        <v>-14.080000000000005</v>
      </c>
      <c r="AJ865" s="42"/>
      <c r="AK865" s="74"/>
      <c r="AL865" s="77"/>
      <c r="AN865" s="497">
        <v>8.0599999999999987</v>
      </c>
      <c r="AP865" s="42"/>
      <c r="AQ865" s="74"/>
      <c r="AR865" s="77"/>
      <c r="AT865" s="497">
        <v>6.98</v>
      </c>
      <c r="AV865" s="42"/>
      <c r="AW865" s="74"/>
      <c r="AX865" s="77"/>
      <c r="BA865" s="497">
        <v>12.02</v>
      </c>
      <c r="BB865" s="42"/>
      <c r="BC865" s="74"/>
      <c r="BD865" s="77"/>
      <c r="BF865">
        <v>6.98</v>
      </c>
      <c r="BH865" s="42"/>
      <c r="BI865" s="74"/>
      <c r="BJ865" s="77"/>
      <c r="BL865" s="497">
        <v>8.0599999999999987</v>
      </c>
      <c r="BN865" s="42"/>
      <c r="BO865" s="74"/>
      <c r="BP865" s="77"/>
      <c r="BR865" s="497">
        <v>-7.9600000000000009</v>
      </c>
      <c r="BT865" s="42"/>
    </row>
    <row r="866" spans="1:72" x14ac:dyDescent="0.25">
      <c r="A866" s="90">
        <v>34735</v>
      </c>
      <c r="B866" s="20">
        <v>0.33333333333333331</v>
      </c>
      <c r="D866">
        <v>21.92</v>
      </c>
      <c r="E866" t="str">
        <f t="shared" si="62"/>
        <v>SUNDAY</v>
      </c>
      <c r="F866" t="e">
        <f t="shared" si="61"/>
        <v>#N/A</v>
      </c>
      <c r="G866" s="74">
        <v>32178</v>
      </c>
      <c r="H866" s="77">
        <v>0.33333333333333331</v>
      </c>
      <c r="J866">
        <v>19.939999999999998</v>
      </c>
      <c r="M866" s="74">
        <v>38022</v>
      </c>
      <c r="N866" s="77">
        <v>0.33333333333333331</v>
      </c>
      <c r="P866">
        <v>23</v>
      </c>
      <c r="S866" s="74">
        <v>34735</v>
      </c>
      <c r="T866" s="77">
        <v>0.33333333333333331</v>
      </c>
      <c r="V866">
        <v>21.92</v>
      </c>
      <c r="X866" s="42"/>
      <c r="AB866">
        <v>29.9</v>
      </c>
      <c r="AC866">
        <v>26.96</v>
      </c>
      <c r="AE866" s="74"/>
      <c r="AF866" s="77"/>
      <c r="AH866" s="497">
        <v>-10.480000000000004</v>
      </c>
      <c r="AJ866" s="42"/>
      <c r="AK866" s="74"/>
      <c r="AL866" s="77"/>
      <c r="AN866" s="497">
        <v>10.039999999999999</v>
      </c>
      <c r="AP866" s="42"/>
      <c r="AQ866" s="74"/>
      <c r="AR866" s="77"/>
      <c r="AT866" s="497">
        <v>3.9200000000000017</v>
      </c>
      <c r="AV866" s="42"/>
      <c r="AW866" s="74"/>
      <c r="AX866" s="77"/>
      <c r="BA866" s="497">
        <v>15.98</v>
      </c>
      <c r="BB866" s="42"/>
      <c r="BC866" s="74"/>
      <c r="BD866" s="77"/>
      <c r="BF866">
        <v>8.0599999999999987</v>
      </c>
      <c r="BH866" s="42"/>
      <c r="BI866" s="74"/>
      <c r="BJ866" s="77"/>
      <c r="BL866" s="497">
        <v>6.98</v>
      </c>
      <c r="BN866" s="42"/>
      <c r="BO866" s="74"/>
      <c r="BP866" s="77"/>
      <c r="BR866" s="497">
        <v>-7.0600000000000023</v>
      </c>
      <c r="BT866" s="42"/>
    </row>
    <row r="867" spans="1:72" x14ac:dyDescent="0.25">
      <c r="A867" s="90">
        <v>34735</v>
      </c>
      <c r="B867" s="20">
        <v>0.375</v>
      </c>
      <c r="D867">
        <v>21.02</v>
      </c>
      <c r="E867" t="str">
        <f t="shared" si="62"/>
        <v>SUNDAY</v>
      </c>
      <c r="F867" t="e">
        <f t="shared" si="61"/>
        <v>#N/A</v>
      </c>
      <c r="G867" s="74">
        <v>32178</v>
      </c>
      <c r="H867" s="77">
        <v>0.375</v>
      </c>
      <c r="J867">
        <v>21.92</v>
      </c>
      <c r="M867" s="74">
        <v>38022</v>
      </c>
      <c r="N867" s="77">
        <v>0.375</v>
      </c>
      <c r="P867">
        <v>24.8</v>
      </c>
      <c r="S867" s="74">
        <v>34735</v>
      </c>
      <c r="T867" s="77">
        <v>0.375</v>
      </c>
      <c r="V867">
        <v>21.92</v>
      </c>
      <c r="X867" s="42"/>
      <c r="AB867">
        <v>30.7</v>
      </c>
      <c r="AC867">
        <v>26.96</v>
      </c>
      <c r="AE867" s="74"/>
      <c r="AF867" s="77"/>
      <c r="AH867" s="497">
        <v>-5.0800000000000054</v>
      </c>
      <c r="AJ867" s="42"/>
      <c r="AK867" s="74"/>
      <c r="AL867" s="77"/>
      <c r="AN867" s="497">
        <v>12.920000000000002</v>
      </c>
      <c r="AP867" s="42"/>
      <c r="AQ867" s="74"/>
      <c r="AR867" s="77"/>
      <c r="AT867" s="497">
        <v>6.98</v>
      </c>
      <c r="AV867" s="42"/>
      <c r="AW867" s="74"/>
      <c r="AX867" s="77"/>
      <c r="BA867" s="497">
        <v>17.059999999999999</v>
      </c>
      <c r="BB867" s="42"/>
      <c r="BC867" s="74"/>
      <c r="BD867" s="77"/>
      <c r="BF867">
        <v>10.940000000000001</v>
      </c>
      <c r="BH867" s="42"/>
      <c r="BI867" s="74"/>
      <c r="BJ867" s="77"/>
      <c r="BL867" s="497">
        <v>6.98</v>
      </c>
      <c r="BN867" s="42"/>
      <c r="BO867" s="74"/>
      <c r="BP867" s="77"/>
      <c r="BR867" s="497">
        <v>-2.9200000000000017</v>
      </c>
      <c r="BT867" s="42"/>
    </row>
    <row r="868" spans="1:72" x14ac:dyDescent="0.25">
      <c r="A868" s="90">
        <v>34735</v>
      </c>
      <c r="B868" s="20">
        <v>0.41666666666666669</v>
      </c>
      <c r="D868">
        <v>21.02</v>
      </c>
      <c r="E868" t="str">
        <f t="shared" si="62"/>
        <v>SUNDAY</v>
      </c>
      <c r="F868" t="e">
        <f t="shared" si="61"/>
        <v>#N/A</v>
      </c>
      <c r="G868" s="74">
        <v>32178</v>
      </c>
      <c r="H868" s="77">
        <v>0.41666666666666669</v>
      </c>
      <c r="J868">
        <v>23</v>
      </c>
      <c r="M868" s="74">
        <v>38022</v>
      </c>
      <c r="N868" s="77">
        <v>0.41666666666666669</v>
      </c>
      <c r="P868">
        <v>26.6</v>
      </c>
      <c r="S868" s="74">
        <v>34735</v>
      </c>
      <c r="T868" s="77">
        <v>0.41666666666666669</v>
      </c>
      <c r="V868">
        <v>21.92</v>
      </c>
      <c r="X868" s="42"/>
      <c r="AB868">
        <v>32.299999999999997</v>
      </c>
      <c r="AC868">
        <v>28.04</v>
      </c>
      <c r="AE868" s="74"/>
      <c r="AF868" s="77"/>
      <c r="AH868" s="497">
        <v>5.8999999999999986</v>
      </c>
      <c r="AJ868" s="42"/>
      <c r="AK868" s="74"/>
      <c r="AL868" s="77"/>
      <c r="AN868" s="497">
        <v>15.079999999999998</v>
      </c>
      <c r="AP868" s="42"/>
      <c r="AQ868" s="74"/>
      <c r="AR868" s="77"/>
      <c r="AT868" s="497">
        <v>8.9599999999999973</v>
      </c>
      <c r="AV868" s="42"/>
      <c r="AW868" s="74"/>
      <c r="AX868" s="77"/>
      <c r="BA868" s="497">
        <v>15.98</v>
      </c>
      <c r="BB868" s="42"/>
      <c r="BC868" s="74"/>
      <c r="BD868" s="77"/>
      <c r="BF868">
        <v>10.940000000000001</v>
      </c>
      <c r="BH868" s="42"/>
      <c r="BI868" s="74"/>
      <c r="BJ868" s="77"/>
      <c r="BL868" s="497">
        <v>10.039999999999999</v>
      </c>
      <c r="BN868" s="42"/>
      <c r="BO868" s="74"/>
      <c r="BP868" s="77"/>
      <c r="BR868" s="497">
        <v>-0.94000000000000483</v>
      </c>
      <c r="BT868" s="42"/>
    </row>
    <row r="869" spans="1:72" x14ac:dyDescent="0.25">
      <c r="A869" s="90">
        <v>34735</v>
      </c>
      <c r="B869" s="20">
        <v>0.45833333333333331</v>
      </c>
      <c r="D869">
        <v>21.92</v>
      </c>
      <c r="E869" t="str">
        <f t="shared" si="62"/>
        <v>SUNDAY</v>
      </c>
      <c r="F869" t="e">
        <f t="shared" si="61"/>
        <v>#N/A</v>
      </c>
      <c r="G869" s="74">
        <v>32178</v>
      </c>
      <c r="H869" s="77">
        <v>0.45833333333333331</v>
      </c>
      <c r="J869">
        <v>24.08</v>
      </c>
      <c r="M869" s="74">
        <v>38022</v>
      </c>
      <c r="N869" s="77">
        <v>0.45833333333333331</v>
      </c>
      <c r="P869">
        <v>28.4</v>
      </c>
      <c r="S869" s="74">
        <v>34735</v>
      </c>
      <c r="T869" s="77">
        <v>0.45833333333333331</v>
      </c>
      <c r="V869">
        <v>23</v>
      </c>
      <c r="X869" s="42"/>
      <c r="AB869">
        <v>33.799999999999997</v>
      </c>
      <c r="AC869">
        <v>28.94</v>
      </c>
      <c r="AE869" s="74"/>
      <c r="AF869" s="77"/>
      <c r="AH869" s="497">
        <v>8.9599999999999973</v>
      </c>
      <c r="AJ869" s="42"/>
      <c r="AK869" s="74"/>
      <c r="AL869" s="77"/>
      <c r="AN869" s="497">
        <v>17.96</v>
      </c>
      <c r="AP869" s="42"/>
      <c r="AQ869" s="74"/>
      <c r="AR869" s="77"/>
      <c r="AT869" s="497">
        <v>12.02</v>
      </c>
      <c r="AV869" s="42"/>
      <c r="AW869" s="74"/>
      <c r="AX869" s="77"/>
      <c r="BA869" s="497">
        <v>17.96</v>
      </c>
      <c r="BB869" s="42"/>
      <c r="BC869" s="74"/>
      <c r="BD869" s="77"/>
      <c r="BF869">
        <v>14</v>
      </c>
      <c r="BH869" s="42"/>
      <c r="BI869" s="74"/>
      <c r="BJ869" s="77"/>
      <c r="BL869" s="497">
        <v>12.920000000000002</v>
      </c>
      <c r="BN869" s="42"/>
      <c r="BO869" s="74"/>
      <c r="BP869" s="77"/>
      <c r="BR869" s="497">
        <v>1.0399999999999991</v>
      </c>
      <c r="BT869" s="42"/>
    </row>
    <row r="870" spans="1:72" x14ac:dyDescent="0.25">
      <c r="A870" s="90">
        <v>34735</v>
      </c>
      <c r="B870" s="20">
        <v>0.5</v>
      </c>
      <c r="D870">
        <v>21.92</v>
      </c>
      <c r="E870" t="str">
        <f t="shared" si="62"/>
        <v>SUNDAY</v>
      </c>
      <c r="F870" t="e">
        <f t="shared" si="61"/>
        <v>#N/A</v>
      </c>
      <c r="G870" s="74">
        <v>32178</v>
      </c>
      <c r="H870" s="77">
        <v>0.5</v>
      </c>
      <c r="J870">
        <v>26.060000000000002</v>
      </c>
      <c r="M870" s="74">
        <v>38022</v>
      </c>
      <c r="N870" s="77">
        <v>0.5</v>
      </c>
      <c r="P870">
        <v>30.2</v>
      </c>
      <c r="S870" s="74">
        <v>34735</v>
      </c>
      <c r="T870" s="77">
        <v>0.5</v>
      </c>
      <c r="V870">
        <v>23</v>
      </c>
      <c r="X870" s="42"/>
      <c r="AB870">
        <v>35.299999999999997</v>
      </c>
      <c r="AC870">
        <v>30.92</v>
      </c>
      <c r="AE870" s="74"/>
      <c r="AF870" s="77"/>
      <c r="AH870" s="497">
        <v>10.940000000000001</v>
      </c>
      <c r="AJ870" s="42"/>
      <c r="AK870" s="74"/>
      <c r="AL870" s="77"/>
      <c r="AN870" s="497">
        <v>17.96</v>
      </c>
      <c r="AP870" s="42"/>
      <c r="AQ870" s="74"/>
      <c r="AR870" s="77"/>
      <c r="AT870" s="497">
        <v>15.079999999999998</v>
      </c>
      <c r="AV870" s="42"/>
      <c r="AW870" s="74"/>
      <c r="AX870" s="77"/>
      <c r="BA870" s="497">
        <v>19.939999999999998</v>
      </c>
      <c r="BB870" s="42"/>
      <c r="BC870" s="74"/>
      <c r="BD870" s="77"/>
      <c r="BF870">
        <v>15.079999999999998</v>
      </c>
      <c r="BH870" s="42"/>
      <c r="BI870" s="74"/>
      <c r="BJ870" s="77"/>
      <c r="BL870" s="497">
        <v>14</v>
      </c>
      <c r="BN870" s="42"/>
      <c r="BO870" s="74"/>
      <c r="BP870" s="77"/>
      <c r="BR870" s="497">
        <v>1.9400000000000013</v>
      </c>
      <c r="BT870" s="42"/>
    </row>
    <row r="871" spans="1:72" x14ac:dyDescent="0.25">
      <c r="A871" s="90">
        <v>34735</v>
      </c>
      <c r="B871" s="20">
        <v>0.54166666666666663</v>
      </c>
      <c r="D871">
        <v>23</v>
      </c>
      <c r="E871" t="str">
        <f t="shared" si="62"/>
        <v>SUNDAY</v>
      </c>
      <c r="F871" t="e">
        <f t="shared" si="61"/>
        <v>#N/A</v>
      </c>
      <c r="G871" s="74">
        <v>32178</v>
      </c>
      <c r="H871" s="77">
        <v>0.54166666666666663</v>
      </c>
      <c r="J871">
        <v>26.96</v>
      </c>
      <c r="M871" s="74">
        <v>38022</v>
      </c>
      <c r="N871" s="77">
        <v>0.54166666666666663</v>
      </c>
      <c r="P871">
        <v>30.2</v>
      </c>
      <c r="S871" s="74">
        <v>34735</v>
      </c>
      <c r="T871" s="77">
        <v>0.54166666666666663</v>
      </c>
      <c r="V871">
        <v>23</v>
      </c>
      <c r="X871" s="42"/>
      <c r="AB871">
        <v>36.4</v>
      </c>
      <c r="AC871">
        <v>32</v>
      </c>
      <c r="AE871" s="74"/>
      <c r="AF871" s="77"/>
      <c r="AH871" s="497">
        <v>11.84</v>
      </c>
      <c r="AJ871" s="42"/>
      <c r="AK871" s="74"/>
      <c r="AL871" s="77"/>
      <c r="AN871" s="497">
        <v>21.02</v>
      </c>
      <c r="AP871" s="42"/>
      <c r="AQ871" s="74"/>
      <c r="AR871" s="77"/>
      <c r="AT871" s="497">
        <v>15.079999999999998</v>
      </c>
      <c r="AV871" s="42"/>
      <c r="AW871" s="74"/>
      <c r="AX871" s="77"/>
      <c r="BA871" s="497">
        <v>23</v>
      </c>
      <c r="BB871" s="42"/>
      <c r="BC871" s="74"/>
      <c r="BD871" s="77"/>
      <c r="BF871">
        <v>17.059999999999999</v>
      </c>
      <c r="BH871" s="42"/>
      <c r="BI871" s="74"/>
      <c r="BJ871" s="77"/>
      <c r="BL871" s="497">
        <v>15.98</v>
      </c>
      <c r="BN871" s="42"/>
      <c r="BO871" s="74"/>
      <c r="BP871" s="77"/>
      <c r="BR871" s="497">
        <v>3.019999999999996</v>
      </c>
      <c r="BT871" s="42"/>
    </row>
    <row r="872" spans="1:72" x14ac:dyDescent="0.25">
      <c r="A872" s="90">
        <v>34735</v>
      </c>
      <c r="B872" s="20">
        <v>0.58333333333333337</v>
      </c>
      <c r="D872">
        <v>21.92</v>
      </c>
      <c r="E872" t="str">
        <f t="shared" si="62"/>
        <v>SUNDAY</v>
      </c>
      <c r="F872" t="e">
        <f t="shared" si="61"/>
        <v>#N/A</v>
      </c>
      <c r="G872" s="74">
        <v>32178</v>
      </c>
      <c r="H872" s="77">
        <v>0.58333333333333337</v>
      </c>
      <c r="J872">
        <v>28.94</v>
      </c>
      <c r="M872" s="74">
        <v>38022</v>
      </c>
      <c r="N872" s="77">
        <v>0.58333333333333337</v>
      </c>
      <c r="P872">
        <v>30.2</v>
      </c>
      <c r="S872" s="74">
        <v>34735</v>
      </c>
      <c r="T872" s="77">
        <v>0.58333333333333337</v>
      </c>
      <c r="V872">
        <v>23</v>
      </c>
      <c r="X872" s="42"/>
      <c r="AB872">
        <v>37.200000000000003</v>
      </c>
      <c r="AC872">
        <v>33.08</v>
      </c>
      <c r="AE872" s="74"/>
      <c r="AF872" s="77"/>
      <c r="AH872" s="497">
        <v>12.920000000000002</v>
      </c>
      <c r="AJ872" s="42"/>
      <c r="AK872" s="74"/>
      <c r="AL872" s="77"/>
      <c r="AN872" s="497">
        <v>23</v>
      </c>
      <c r="AP872" s="42"/>
      <c r="AQ872" s="74"/>
      <c r="AR872" s="77"/>
      <c r="AT872" s="497">
        <v>15.98</v>
      </c>
      <c r="AV872" s="42"/>
      <c r="AW872" s="74"/>
      <c r="AX872" s="77"/>
      <c r="BA872" s="497">
        <v>23</v>
      </c>
      <c r="BB872" s="42"/>
      <c r="BC872" s="74"/>
      <c r="BD872" s="77"/>
      <c r="BF872">
        <v>17.059999999999999</v>
      </c>
      <c r="BH872" s="42"/>
      <c r="BI872" s="74"/>
      <c r="BJ872" s="77"/>
      <c r="BL872" s="497">
        <v>17.059999999999999</v>
      </c>
      <c r="BN872" s="42"/>
      <c r="BO872" s="74"/>
      <c r="BP872" s="77"/>
      <c r="BR872" s="497">
        <v>5</v>
      </c>
      <c r="BT872" s="42"/>
    </row>
    <row r="873" spans="1:72" x14ac:dyDescent="0.25">
      <c r="A873" s="90">
        <v>34735</v>
      </c>
      <c r="B873" s="20">
        <v>0.625</v>
      </c>
      <c r="D873">
        <v>21.02</v>
      </c>
      <c r="E873" t="str">
        <f t="shared" si="62"/>
        <v>SUNDAY</v>
      </c>
      <c r="F873" t="e">
        <f t="shared" si="61"/>
        <v>#N/A</v>
      </c>
      <c r="G873" s="74">
        <v>32178</v>
      </c>
      <c r="H873" s="77">
        <v>0.625</v>
      </c>
      <c r="J873">
        <v>28.04</v>
      </c>
      <c r="M873" s="74">
        <v>38022</v>
      </c>
      <c r="N873" s="77">
        <v>0.625</v>
      </c>
      <c r="P873">
        <v>30.2</v>
      </c>
      <c r="S873" s="74">
        <v>34735</v>
      </c>
      <c r="T873" s="77">
        <v>0.625</v>
      </c>
      <c r="V873">
        <v>21.02</v>
      </c>
      <c r="X873" s="42"/>
      <c r="AB873">
        <v>37.799999999999997</v>
      </c>
      <c r="AC873">
        <v>33.979999999999997</v>
      </c>
      <c r="AE873" s="74"/>
      <c r="AF873" s="77"/>
      <c r="AH873" s="497">
        <v>14</v>
      </c>
      <c r="AJ873" s="42"/>
      <c r="AK873" s="74"/>
      <c r="AL873" s="77"/>
      <c r="AN873" s="497">
        <v>24.08</v>
      </c>
      <c r="AP873" s="42"/>
      <c r="AQ873" s="74"/>
      <c r="AR873" s="77"/>
      <c r="AT873" s="497">
        <v>15.98</v>
      </c>
      <c r="AV873" s="42"/>
      <c r="AW873" s="74"/>
      <c r="AX873" s="77"/>
      <c r="BA873" s="497">
        <v>23</v>
      </c>
      <c r="BB873" s="42"/>
      <c r="BC873" s="74"/>
      <c r="BD873" s="77"/>
      <c r="BF873">
        <v>17.059999999999999</v>
      </c>
      <c r="BH873" s="42"/>
      <c r="BI873" s="74"/>
      <c r="BJ873" s="77"/>
      <c r="BL873" s="497">
        <v>15.98</v>
      </c>
      <c r="BN873" s="42"/>
      <c r="BO873" s="74"/>
      <c r="BP873" s="77"/>
      <c r="BR873" s="497">
        <v>3.9200000000000017</v>
      </c>
      <c r="BT873" s="42"/>
    </row>
    <row r="874" spans="1:72" x14ac:dyDescent="0.25">
      <c r="A874" s="90">
        <v>34735</v>
      </c>
      <c r="B874" s="20">
        <v>0.66666666666666663</v>
      </c>
      <c r="D874">
        <v>19.939999999999998</v>
      </c>
      <c r="E874" t="str">
        <f t="shared" si="62"/>
        <v>SUNDAY</v>
      </c>
      <c r="F874" t="e">
        <f t="shared" si="61"/>
        <v>#N/A</v>
      </c>
      <c r="G874" s="74">
        <v>32178</v>
      </c>
      <c r="H874" s="77">
        <v>0.66666666666666663</v>
      </c>
      <c r="J874">
        <v>28.04</v>
      </c>
      <c r="M874" s="74">
        <v>38022</v>
      </c>
      <c r="N874" s="77">
        <v>0.66666666666666663</v>
      </c>
      <c r="P874">
        <v>32</v>
      </c>
      <c r="S874" s="74">
        <v>34735</v>
      </c>
      <c r="T874" s="77">
        <v>0.66666666666666663</v>
      </c>
      <c r="V874">
        <v>21.02</v>
      </c>
      <c r="X874" s="42"/>
      <c r="AB874">
        <v>38</v>
      </c>
      <c r="AC874">
        <v>35.06</v>
      </c>
      <c r="AE874" s="74"/>
      <c r="AF874" s="77"/>
      <c r="AH874" s="497">
        <v>14.899999999999999</v>
      </c>
      <c r="AJ874" s="42"/>
      <c r="AK874" s="74"/>
      <c r="AL874" s="77"/>
      <c r="AN874" s="497">
        <v>26.060000000000002</v>
      </c>
      <c r="AP874" s="42"/>
      <c r="AQ874" s="74"/>
      <c r="AR874" s="77"/>
      <c r="AT874" s="497">
        <v>15.98</v>
      </c>
      <c r="AV874" s="42"/>
      <c r="AW874" s="74"/>
      <c r="AX874" s="77"/>
      <c r="BA874" s="497">
        <v>24.98</v>
      </c>
      <c r="BB874" s="42"/>
      <c r="BC874" s="74"/>
      <c r="BD874" s="77"/>
      <c r="BF874">
        <v>17.059999999999999</v>
      </c>
      <c r="BH874" s="42"/>
      <c r="BI874" s="74"/>
      <c r="BJ874" s="77"/>
      <c r="BL874" s="497">
        <v>15.98</v>
      </c>
      <c r="BN874" s="42"/>
      <c r="BO874" s="74"/>
      <c r="BP874" s="77"/>
      <c r="BR874" s="497">
        <v>3.9200000000000017</v>
      </c>
      <c r="BT874" s="42"/>
    </row>
    <row r="875" spans="1:72" x14ac:dyDescent="0.25">
      <c r="A875" s="90">
        <v>34735</v>
      </c>
      <c r="B875" s="20">
        <v>0.70833333333333337</v>
      </c>
      <c r="D875">
        <v>19.04</v>
      </c>
      <c r="E875" t="str">
        <f t="shared" si="62"/>
        <v>SUNDAY</v>
      </c>
      <c r="F875" t="e">
        <f t="shared" ref="F875:F938" si="63">IF(E875="WEEKDAY",VLOOKUP(B875,$DD$19:$DG$42,2),IF(E875="SATURDAY",VLOOKUP(B875,$DD$19:$DG$42,3),VLOOKUP(B875,$DD$19:$DG$42,4)))</f>
        <v>#N/A</v>
      </c>
      <c r="G875" s="74">
        <v>32178</v>
      </c>
      <c r="H875" s="77">
        <v>0.70833333333333337</v>
      </c>
      <c r="J875">
        <v>28.04</v>
      </c>
      <c r="M875" s="74">
        <v>38022</v>
      </c>
      <c r="N875" s="77">
        <v>0.70833333333333337</v>
      </c>
      <c r="P875">
        <v>32</v>
      </c>
      <c r="S875" s="74">
        <v>34735</v>
      </c>
      <c r="T875" s="77">
        <v>0.70833333333333337</v>
      </c>
      <c r="V875">
        <v>19.939999999999998</v>
      </c>
      <c r="X875" s="42"/>
      <c r="AB875">
        <v>37.5</v>
      </c>
      <c r="AC875">
        <v>33.08</v>
      </c>
      <c r="AE875" s="74"/>
      <c r="AF875" s="77"/>
      <c r="AH875" s="497">
        <v>15.98</v>
      </c>
      <c r="AJ875" s="42"/>
      <c r="AK875" s="74"/>
      <c r="AL875" s="77"/>
      <c r="AN875" s="497">
        <v>26.96</v>
      </c>
      <c r="AP875" s="42"/>
      <c r="AQ875" s="74"/>
      <c r="AR875" s="77"/>
      <c r="AT875" s="497">
        <v>15.079999999999998</v>
      </c>
      <c r="AV875" s="42"/>
      <c r="AW875" s="74"/>
      <c r="AX875" s="77"/>
      <c r="BA875" s="497">
        <v>24.98</v>
      </c>
      <c r="BB875" s="42"/>
      <c r="BC875" s="74"/>
      <c r="BD875" s="77"/>
      <c r="BF875">
        <v>15.079999999999998</v>
      </c>
      <c r="BH875" s="42"/>
      <c r="BI875" s="74"/>
      <c r="BJ875" s="77"/>
      <c r="BL875" s="497">
        <v>15.079999999999998</v>
      </c>
      <c r="BN875" s="42"/>
      <c r="BO875" s="74"/>
      <c r="BP875" s="77"/>
      <c r="BR875" s="497">
        <v>3.9200000000000017</v>
      </c>
      <c r="BT875" s="42"/>
    </row>
    <row r="876" spans="1:72" x14ac:dyDescent="0.25">
      <c r="A876" s="90">
        <v>34735</v>
      </c>
      <c r="B876" s="20">
        <v>0.75</v>
      </c>
      <c r="D876">
        <v>17.96</v>
      </c>
      <c r="E876" t="str">
        <f t="shared" si="62"/>
        <v>SUNDAY</v>
      </c>
      <c r="F876" t="e">
        <f t="shared" si="63"/>
        <v>#N/A</v>
      </c>
      <c r="G876" s="74">
        <v>32178</v>
      </c>
      <c r="H876" s="77">
        <v>0.75</v>
      </c>
      <c r="J876">
        <v>26.96</v>
      </c>
      <c r="M876" s="74">
        <v>38022</v>
      </c>
      <c r="N876" s="77">
        <v>0.75</v>
      </c>
      <c r="P876">
        <v>30.2</v>
      </c>
      <c r="S876" s="74">
        <v>34735</v>
      </c>
      <c r="T876" s="77">
        <v>0.75</v>
      </c>
      <c r="V876">
        <v>17.96</v>
      </c>
      <c r="X876" s="42"/>
      <c r="AB876">
        <v>36.4</v>
      </c>
      <c r="AC876">
        <v>30.92</v>
      </c>
      <c r="AE876" s="74"/>
      <c r="AF876" s="77"/>
      <c r="AH876" s="497">
        <v>14</v>
      </c>
      <c r="AJ876" s="42"/>
      <c r="AK876" s="74"/>
      <c r="AL876" s="77"/>
      <c r="AN876" s="497">
        <v>28.04</v>
      </c>
      <c r="AP876" s="42"/>
      <c r="AQ876" s="74"/>
      <c r="AR876" s="77"/>
      <c r="AT876" s="497">
        <v>8.9599999999999973</v>
      </c>
      <c r="AV876" s="42"/>
      <c r="AW876" s="74"/>
      <c r="AX876" s="77"/>
      <c r="BA876" s="497">
        <v>24.08</v>
      </c>
      <c r="BB876" s="42"/>
      <c r="BC876" s="74"/>
      <c r="BD876" s="77"/>
      <c r="BF876">
        <v>14</v>
      </c>
      <c r="BH876" s="42"/>
      <c r="BI876" s="74"/>
      <c r="BJ876" s="77"/>
      <c r="BL876" s="497">
        <v>14</v>
      </c>
      <c r="BN876" s="42"/>
      <c r="BO876" s="74"/>
      <c r="BP876" s="77"/>
      <c r="BR876" s="497">
        <v>1.0399999999999991</v>
      </c>
      <c r="BT876" s="42"/>
    </row>
    <row r="877" spans="1:72" x14ac:dyDescent="0.25">
      <c r="A877" s="90">
        <v>34735</v>
      </c>
      <c r="B877" s="20">
        <v>0.79166666666666663</v>
      </c>
      <c r="D877">
        <v>15.98</v>
      </c>
      <c r="E877" t="str">
        <f t="shared" si="62"/>
        <v>SUNDAY</v>
      </c>
      <c r="F877" t="e">
        <f t="shared" si="63"/>
        <v>#N/A</v>
      </c>
      <c r="G877" s="74">
        <v>32178</v>
      </c>
      <c r="H877" s="77">
        <v>0.79166666666666663</v>
      </c>
      <c r="J877">
        <v>26.96</v>
      </c>
      <c r="M877" s="74">
        <v>38022</v>
      </c>
      <c r="N877" s="77">
        <v>0.79166666666666663</v>
      </c>
      <c r="P877">
        <v>30.2</v>
      </c>
      <c r="S877" s="74">
        <v>34735</v>
      </c>
      <c r="T877" s="77">
        <v>0.79166666666666663</v>
      </c>
      <c r="V877">
        <v>15.98</v>
      </c>
      <c r="X877" s="42"/>
      <c r="AB877">
        <v>35.4</v>
      </c>
      <c r="AC877">
        <v>30.02</v>
      </c>
      <c r="AE877" s="74"/>
      <c r="AF877" s="77"/>
      <c r="AH877" s="497">
        <v>12.920000000000002</v>
      </c>
      <c r="AJ877" s="42"/>
      <c r="AK877" s="74"/>
      <c r="AL877" s="77"/>
      <c r="AN877" s="497">
        <v>28.94</v>
      </c>
      <c r="AP877" s="42"/>
      <c r="AQ877" s="74"/>
      <c r="AR877" s="77"/>
      <c r="AT877" s="497">
        <v>6.0799999999999983</v>
      </c>
      <c r="AV877" s="42"/>
      <c r="AW877" s="74"/>
      <c r="AX877" s="77"/>
      <c r="BA877" s="497">
        <v>24.98</v>
      </c>
      <c r="BB877" s="42"/>
      <c r="BC877" s="74"/>
      <c r="BD877" s="77"/>
      <c r="BF877">
        <v>12.920000000000002</v>
      </c>
      <c r="BH877" s="42"/>
      <c r="BI877" s="74"/>
      <c r="BJ877" s="77"/>
      <c r="BL877" s="497">
        <v>14</v>
      </c>
      <c r="BN877" s="42"/>
      <c r="BO877" s="74"/>
      <c r="BP877" s="77"/>
      <c r="BR877" s="497">
        <v>-4</v>
      </c>
      <c r="BT877" s="42"/>
    </row>
    <row r="878" spans="1:72" x14ac:dyDescent="0.25">
      <c r="A878" s="90">
        <v>34735</v>
      </c>
      <c r="B878" s="20">
        <v>0.83333333333333337</v>
      </c>
      <c r="D878">
        <v>12.920000000000002</v>
      </c>
      <c r="E878" t="str">
        <f t="shared" si="62"/>
        <v>SUNDAY</v>
      </c>
      <c r="F878" t="e">
        <f t="shared" si="63"/>
        <v>#N/A</v>
      </c>
      <c r="G878" s="74">
        <v>32178</v>
      </c>
      <c r="H878" s="77">
        <v>0.83333333333333337</v>
      </c>
      <c r="J878">
        <v>26.060000000000002</v>
      </c>
      <c r="M878" s="74">
        <v>38022</v>
      </c>
      <c r="N878" s="77">
        <v>0.83333333333333337</v>
      </c>
      <c r="P878">
        <v>30.2</v>
      </c>
      <c r="S878" s="74">
        <v>34735</v>
      </c>
      <c r="T878" s="77">
        <v>0.83333333333333337</v>
      </c>
      <c r="V878">
        <v>14</v>
      </c>
      <c r="X878" s="42"/>
      <c r="AB878">
        <v>35.1</v>
      </c>
      <c r="AC878">
        <v>30.02</v>
      </c>
      <c r="AE878" s="74"/>
      <c r="AF878" s="77"/>
      <c r="AH878" s="497">
        <v>12.920000000000002</v>
      </c>
      <c r="AJ878" s="42"/>
      <c r="AK878" s="74"/>
      <c r="AL878" s="77"/>
      <c r="AN878" s="497">
        <v>28.94</v>
      </c>
      <c r="AP878" s="42"/>
      <c r="AQ878" s="74"/>
      <c r="AR878" s="77"/>
      <c r="AT878" s="497">
        <v>-0.94000000000000483</v>
      </c>
      <c r="AV878" s="42"/>
      <c r="AW878" s="74"/>
      <c r="AX878" s="77"/>
      <c r="BA878" s="497">
        <v>24.98</v>
      </c>
      <c r="BB878" s="42"/>
      <c r="BC878" s="74"/>
      <c r="BD878" s="77"/>
      <c r="BF878">
        <v>12.02</v>
      </c>
      <c r="BH878" s="42"/>
      <c r="BI878" s="74"/>
      <c r="BJ878" s="77"/>
      <c r="BL878" s="497">
        <v>12.920000000000002</v>
      </c>
      <c r="BN878" s="42"/>
      <c r="BO878" s="74"/>
      <c r="BP878" s="77"/>
      <c r="BR878" s="497">
        <v>-9.0399999999999991</v>
      </c>
      <c r="BT878" s="42"/>
    </row>
    <row r="879" spans="1:72" x14ac:dyDescent="0.25">
      <c r="A879" s="90">
        <v>34735</v>
      </c>
      <c r="B879" s="20">
        <v>0.875</v>
      </c>
      <c r="D879">
        <v>12.02</v>
      </c>
      <c r="E879" t="str">
        <f t="shared" si="62"/>
        <v>SUNDAY</v>
      </c>
      <c r="F879" t="e">
        <f t="shared" si="63"/>
        <v>#N/A</v>
      </c>
      <c r="G879" s="74">
        <v>32178</v>
      </c>
      <c r="H879" s="77">
        <v>0.875</v>
      </c>
      <c r="J879">
        <v>26.060000000000002</v>
      </c>
      <c r="M879" s="74">
        <v>38022</v>
      </c>
      <c r="N879" s="77">
        <v>0.875</v>
      </c>
      <c r="P879">
        <v>30.2</v>
      </c>
      <c r="S879" s="74">
        <v>34735</v>
      </c>
      <c r="T879" s="77">
        <v>0.875</v>
      </c>
      <c r="V879">
        <v>12.920000000000002</v>
      </c>
      <c r="X879" s="42"/>
      <c r="AB879">
        <v>34.5</v>
      </c>
      <c r="AC879">
        <v>30.02</v>
      </c>
      <c r="AE879" s="74"/>
      <c r="AF879" s="77"/>
      <c r="AH879" s="497">
        <v>11.84</v>
      </c>
      <c r="AJ879" s="42"/>
      <c r="AK879" s="74"/>
      <c r="AL879" s="77"/>
      <c r="AN879" s="497">
        <v>30.02</v>
      </c>
      <c r="AP879" s="42"/>
      <c r="AQ879" s="74"/>
      <c r="AR879" s="77"/>
      <c r="AT879" s="497">
        <v>1.9400000000000013</v>
      </c>
      <c r="AV879" s="42"/>
      <c r="AW879" s="74"/>
      <c r="AX879" s="77"/>
      <c r="BA879" s="497">
        <v>24.98</v>
      </c>
      <c r="BB879" s="42"/>
      <c r="BC879" s="74"/>
      <c r="BD879" s="77"/>
      <c r="BF879">
        <v>10.940000000000001</v>
      </c>
      <c r="BH879" s="42"/>
      <c r="BI879" s="74"/>
      <c r="BJ879" s="77"/>
      <c r="BL879" s="497">
        <v>12.02</v>
      </c>
      <c r="BN879" s="42"/>
      <c r="BO879" s="74"/>
      <c r="BP879" s="77"/>
      <c r="BR879" s="497">
        <v>-13</v>
      </c>
      <c r="BT879" s="42"/>
    </row>
    <row r="880" spans="1:72" x14ac:dyDescent="0.25">
      <c r="A880" s="90">
        <v>34735</v>
      </c>
      <c r="B880" s="20">
        <v>0.91666666666666663</v>
      </c>
      <c r="D880">
        <v>10.039999999999999</v>
      </c>
      <c r="E880" t="str">
        <f t="shared" si="62"/>
        <v>SUNDAY</v>
      </c>
      <c r="F880" t="e">
        <f t="shared" si="63"/>
        <v>#N/A</v>
      </c>
      <c r="G880" s="74">
        <v>32178</v>
      </c>
      <c r="H880" s="77">
        <v>0.91666666666666663</v>
      </c>
      <c r="J880">
        <v>24.98</v>
      </c>
      <c r="M880" s="74">
        <v>38022</v>
      </c>
      <c r="N880" s="77">
        <v>0.91666666666666663</v>
      </c>
      <c r="P880">
        <v>30.2</v>
      </c>
      <c r="S880" s="74">
        <v>34735</v>
      </c>
      <c r="T880" s="77">
        <v>0.91666666666666663</v>
      </c>
      <c r="V880">
        <v>12.02</v>
      </c>
      <c r="X880" s="42"/>
      <c r="AB880">
        <v>33.9</v>
      </c>
      <c r="AC880">
        <v>28.94</v>
      </c>
      <c r="AE880" s="74"/>
      <c r="AF880" s="77"/>
      <c r="AH880" s="497">
        <v>10.399999999999999</v>
      </c>
      <c r="AJ880" s="42"/>
      <c r="AK880" s="74"/>
      <c r="AL880" s="77"/>
      <c r="AN880" s="497">
        <v>30.02</v>
      </c>
      <c r="AP880" s="42"/>
      <c r="AQ880" s="74"/>
      <c r="AR880" s="77"/>
      <c r="AT880" s="497">
        <v>3.9200000000000017</v>
      </c>
      <c r="AV880" s="42"/>
      <c r="AW880" s="74"/>
      <c r="AX880" s="77"/>
      <c r="BA880" s="497">
        <v>24.98</v>
      </c>
      <c r="BB880" s="42"/>
      <c r="BC880" s="74"/>
      <c r="BD880" s="77"/>
      <c r="BF880">
        <v>8.9599999999999973</v>
      </c>
      <c r="BH880" s="42"/>
      <c r="BI880" s="74"/>
      <c r="BJ880" s="77"/>
      <c r="BL880" s="497">
        <v>10.940000000000001</v>
      </c>
      <c r="BN880" s="42"/>
      <c r="BO880" s="74"/>
      <c r="BP880" s="77"/>
      <c r="BR880" s="497">
        <v>-16.060000000000002</v>
      </c>
      <c r="BT880" s="42"/>
    </row>
    <row r="881" spans="1:72" x14ac:dyDescent="0.25">
      <c r="A881" s="90">
        <v>34735</v>
      </c>
      <c r="B881" s="20">
        <v>0.95833333333333337</v>
      </c>
      <c r="D881">
        <v>6.98</v>
      </c>
      <c r="E881" t="str">
        <f t="shared" si="62"/>
        <v>SUNDAY</v>
      </c>
      <c r="F881" t="e">
        <f t="shared" si="63"/>
        <v>#N/A</v>
      </c>
      <c r="G881" s="74">
        <v>32178</v>
      </c>
      <c r="H881" s="77">
        <v>0.95833333333333337</v>
      </c>
      <c r="J881">
        <v>24.08</v>
      </c>
      <c r="M881" s="74">
        <v>38022</v>
      </c>
      <c r="N881" s="77">
        <v>0.95833333333333337</v>
      </c>
      <c r="P881">
        <v>30.2</v>
      </c>
      <c r="S881" s="74">
        <v>34735</v>
      </c>
      <c r="T881" s="77">
        <v>0.95833333333333337</v>
      </c>
      <c r="V881">
        <v>10.039999999999999</v>
      </c>
      <c r="X881" s="42"/>
      <c r="AB881">
        <v>33.299999999999997</v>
      </c>
      <c r="AC881">
        <v>30.02</v>
      </c>
      <c r="AE881" s="74"/>
      <c r="AF881" s="77"/>
      <c r="AH881" s="497">
        <v>9.14</v>
      </c>
      <c r="AJ881" s="42"/>
      <c r="AK881" s="74"/>
      <c r="AL881" s="77"/>
      <c r="AN881" s="497">
        <v>30.02</v>
      </c>
      <c r="AP881" s="42"/>
      <c r="AQ881" s="74"/>
      <c r="AR881" s="77"/>
      <c r="AT881" s="497">
        <v>6.98</v>
      </c>
      <c r="AV881" s="42"/>
      <c r="AW881" s="74"/>
      <c r="AX881" s="77"/>
      <c r="BA881" s="497">
        <v>24.98</v>
      </c>
      <c r="BB881" s="42"/>
      <c r="BC881" s="74"/>
      <c r="BD881" s="77"/>
      <c r="BF881">
        <v>8.9599999999999973</v>
      </c>
      <c r="BH881" s="42"/>
      <c r="BI881" s="74"/>
      <c r="BJ881" s="77"/>
      <c r="BL881" s="497">
        <v>10.940000000000001</v>
      </c>
      <c r="BN881" s="42"/>
      <c r="BO881" s="74"/>
      <c r="BP881" s="77"/>
      <c r="BR881" s="497">
        <v>-16.96</v>
      </c>
      <c r="BT881" s="42"/>
    </row>
    <row r="882" spans="1:72" x14ac:dyDescent="0.25">
      <c r="A882" s="90">
        <v>34735</v>
      </c>
      <c r="B882" s="20">
        <v>1</v>
      </c>
      <c r="D882">
        <v>6.0799999999999983</v>
      </c>
      <c r="E882" t="str">
        <f t="shared" si="62"/>
        <v>SUNDAY</v>
      </c>
      <c r="F882" t="e">
        <f t="shared" si="63"/>
        <v>#N/A</v>
      </c>
      <c r="G882" s="74">
        <v>32178</v>
      </c>
      <c r="H882" s="77">
        <v>1</v>
      </c>
      <c r="J882">
        <v>23</v>
      </c>
      <c r="M882" s="74">
        <v>38022</v>
      </c>
      <c r="N882" s="80">
        <v>1</v>
      </c>
      <c r="P882">
        <v>30.2</v>
      </c>
      <c r="S882" s="74">
        <v>34735</v>
      </c>
      <c r="T882" s="80">
        <v>1</v>
      </c>
      <c r="V882">
        <v>8.0599999999999987</v>
      </c>
      <c r="X882" s="42"/>
      <c r="AB882">
        <v>32.700000000000003</v>
      </c>
      <c r="AC882">
        <v>30.02</v>
      </c>
      <c r="AE882" s="74"/>
      <c r="AF882" s="80"/>
      <c r="AH882" s="497">
        <v>7.879999999999999</v>
      </c>
      <c r="AJ882" s="42"/>
      <c r="AK882" s="74"/>
      <c r="AL882" s="80"/>
      <c r="AN882" s="497">
        <v>30.02</v>
      </c>
      <c r="AP882" s="42"/>
      <c r="AQ882" s="74"/>
      <c r="AR882" s="80"/>
      <c r="AT882" s="497">
        <v>1.9400000000000013</v>
      </c>
      <c r="AV882" s="42"/>
      <c r="AW882" s="74"/>
      <c r="AX882" s="80"/>
      <c r="BA882" s="497">
        <v>26.060000000000002</v>
      </c>
      <c r="BB882" s="42"/>
      <c r="BC882" s="74"/>
      <c r="BD882" s="80"/>
      <c r="BF882">
        <v>8.9599999999999973</v>
      </c>
      <c r="BH882" s="42"/>
      <c r="BI882" s="74"/>
      <c r="BJ882" s="80"/>
      <c r="BL882" s="497">
        <v>8.9599999999999973</v>
      </c>
      <c r="BN882" s="42"/>
      <c r="BO882" s="74"/>
      <c r="BP882" s="80"/>
      <c r="BR882" s="497">
        <v>-16.96</v>
      </c>
      <c r="BT882" s="42"/>
    </row>
    <row r="883" spans="1:72" x14ac:dyDescent="0.25">
      <c r="A883" s="90">
        <v>34736</v>
      </c>
      <c r="B883" s="20">
        <v>4.1666666666666664E-2</v>
      </c>
      <c r="D883">
        <v>6.0799999999999983</v>
      </c>
      <c r="E883" t="str">
        <f t="shared" si="62"/>
        <v>WEEKDAY</v>
      </c>
      <c r="F883" t="e">
        <f t="shared" si="63"/>
        <v>#N/A</v>
      </c>
      <c r="G883" s="74">
        <v>32179</v>
      </c>
      <c r="H883" s="77">
        <v>4.1666666666666664E-2</v>
      </c>
      <c r="J883">
        <v>21.92</v>
      </c>
      <c r="M883" s="74">
        <v>38023</v>
      </c>
      <c r="N883" s="77">
        <v>4.1666666666666664E-2</v>
      </c>
      <c r="P883">
        <v>30.2</v>
      </c>
      <c r="S883" s="74">
        <v>34736</v>
      </c>
      <c r="T883" s="77">
        <v>4.1666666666666664E-2</v>
      </c>
      <c r="V883">
        <v>8.0599999999999987</v>
      </c>
      <c r="X883" s="42"/>
      <c r="AB883">
        <v>32.200000000000003</v>
      </c>
      <c r="AC883">
        <v>30.02</v>
      </c>
      <c r="AE883" s="74"/>
      <c r="AF883" s="77"/>
      <c r="AH883" s="497">
        <v>7.879999999999999</v>
      </c>
      <c r="AJ883" s="42"/>
      <c r="AK883" s="74"/>
      <c r="AL883" s="77"/>
      <c r="AN883" s="497">
        <v>30.92</v>
      </c>
      <c r="AP883" s="42"/>
      <c r="AQ883" s="74"/>
      <c r="AR883" s="77"/>
      <c r="AT883" s="497">
        <v>-3.9999999999999147E-2</v>
      </c>
      <c r="AV883" s="42"/>
      <c r="AW883" s="74"/>
      <c r="AX883" s="77"/>
      <c r="BA883" s="497">
        <v>33.08</v>
      </c>
      <c r="BB883" s="42"/>
      <c r="BC883" s="74"/>
      <c r="BD883" s="77"/>
      <c r="BF883">
        <v>8.9599999999999973</v>
      </c>
      <c r="BH883" s="42"/>
      <c r="BI883" s="74"/>
      <c r="BJ883" s="77"/>
      <c r="BL883" s="497">
        <v>8.9599999999999973</v>
      </c>
      <c r="BN883" s="42"/>
      <c r="BO883" s="74"/>
      <c r="BP883" s="77"/>
      <c r="BR883" s="497">
        <v>-18.940000000000005</v>
      </c>
      <c r="BT883" s="42"/>
    </row>
    <row r="884" spans="1:72" x14ac:dyDescent="0.25">
      <c r="A884" s="90">
        <v>34736</v>
      </c>
      <c r="B884" s="20">
        <v>8.3333333333333329E-2</v>
      </c>
      <c r="D884">
        <v>5</v>
      </c>
      <c r="E884" t="str">
        <f t="shared" si="62"/>
        <v>WEEKDAY</v>
      </c>
      <c r="F884" t="e">
        <f t="shared" si="63"/>
        <v>#N/A</v>
      </c>
      <c r="G884" s="74">
        <v>32179</v>
      </c>
      <c r="H884" s="77">
        <v>8.3333333333333329E-2</v>
      </c>
      <c r="J884">
        <v>19.939999999999998</v>
      </c>
      <c r="M884" s="74">
        <v>38023</v>
      </c>
      <c r="N884" s="77">
        <v>8.3333333333333329E-2</v>
      </c>
      <c r="P884">
        <v>30.2</v>
      </c>
      <c r="S884" s="74">
        <v>34736</v>
      </c>
      <c r="T884" s="77">
        <v>8.3333333333333329E-2</v>
      </c>
      <c r="V884">
        <v>8.0599999999999987</v>
      </c>
      <c r="X884" s="42"/>
      <c r="AB884">
        <v>31.7</v>
      </c>
      <c r="AC884">
        <v>30.02</v>
      </c>
      <c r="AE884" s="74"/>
      <c r="AF884" s="77"/>
      <c r="AH884" s="497">
        <v>6.98</v>
      </c>
      <c r="AJ884" s="42"/>
      <c r="AK884" s="74"/>
      <c r="AL884" s="77"/>
      <c r="AN884" s="497">
        <v>30.92</v>
      </c>
      <c r="AP884" s="42"/>
      <c r="AQ884" s="74"/>
      <c r="AR884" s="77"/>
      <c r="AT884" s="497">
        <v>6.0799999999999983</v>
      </c>
      <c r="AV884" s="42"/>
      <c r="AW884" s="74"/>
      <c r="AX884" s="77"/>
      <c r="BA884" s="497">
        <v>30.92</v>
      </c>
      <c r="BB884" s="42"/>
      <c r="BC884" s="74"/>
      <c r="BD884" s="77"/>
      <c r="BF884">
        <v>6.98</v>
      </c>
      <c r="BH884" s="42"/>
      <c r="BI884" s="74"/>
      <c r="BJ884" s="77"/>
      <c r="BL884" s="497">
        <v>8.0599999999999987</v>
      </c>
      <c r="BN884" s="42"/>
      <c r="BO884" s="74"/>
      <c r="BP884" s="77"/>
      <c r="BR884" s="497">
        <v>-20.92</v>
      </c>
      <c r="BT884" s="42"/>
    </row>
    <row r="885" spans="1:72" x14ac:dyDescent="0.25">
      <c r="A885" s="90">
        <v>34736</v>
      </c>
      <c r="B885" s="20">
        <v>0.125</v>
      </c>
      <c r="D885">
        <v>6.0799999999999983</v>
      </c>
      <c r="E885" t="str">
        <f t="shared" si="62"/>
        <v>WEEKDAY</v>
      </c>
      <c r="F885" t="e">
        <f t="shared" si="63"/>
        <v>#N/A</v>
      </c>
      <c r="G885" s="74">
        <v>32179</v>
      </c>
      <c r="H885" s="77">
        <v>0.125</v>
      </c>
      <c r="J885">
        <v>19.04</v>
      </c>
      <c r="M885" s="74">
        <v>38023</v>
      </c>
      <c r="N885" s="77">
        <v>0.125</v>
      </c>
      <c r="P885">
        <v>30.2</v>
      </c>
      <c r="S885" s="74">
        <v>34736</v>
      </c>
      <c r="T885" s="77">
        <v>0.125</v>
      </c>
      <c r="V885">
        <v>6.98</v>
      </c>
      <c r="X885" s="42"/>
      <c r="AB885">
        <v>31.2</v>
      </c>
      <c r="AC885">
        <v>30.02</v>
      </c>
      <c r="AE885" s="74"/>
      <c r="AF885" s="77"/>
      <c r="AH885" s="497">
        <v>6.98</v>
      </c>
      <c r="AJ885" s="42"/>
      <c r="AK885" s="74"/>
      <c r="AL885" s="77"/>
      <c r="AN885" s="497">
        <v>30.02</v>
      </c>
      <c r="AP885" s="42"/>
      <c r="AQ885" s="74"/>
      <c r="AR885" s="77"/>
      <c r="AT885" s="497">
        <v>3.9200000000000017</v>
      </c>
      <c r="AV885" s="42"/>
      <c r="AW885" s="74"/>
      <c r="AX885" s="77"/>
      <c r="BA885" s="497">
        <v>28.94</v>
      </c>
      <c r="BB885" s="42"/>
      <c r="BC885" s="74"/>
      <c r="BD885" s="77"/>
      <c r="BF885">
        <v>6.98</v>
      </c>
      <c r="BH885" s="42"/>
      <c r="BI885" s="74"/>
      <c r="BJ885" s="77"/>
      <c r="BL885" s="497">
        <v>6.98</v>
      </c>
      <c r="BN885" s="42"/>
      <c r="BO885" s="74"/>
      <c r="BP885" s="77"/>
      <c r="BR885" s="497">
        <v>-20.92</v>
      </c>
      <c r="BT885" s="42"/>
    </row>
    <row r="886" spans="1:72" x14ac:dyDescent="0.25">
      <c r="A886" s="90">
        <v>34736</v>
      </c>
      <c r="B886" s="20">
        <v>0.16666666666666666</v>
      </c>
      <c r="D886">
        <v>5</v>
      </c>
      <c r="E886" t="str">
        <f t="shared" si="62"/>
        <v>WEEKDAY</v>
      </c>
      <c r="F886" t="e">
        <f t="shared" si="63"/>
        <v>#N/A</v>
      </c>
      <c r="G886" s="74">
        <v>32179</v>
      </c>
      <c r="H886" s="77">
        <v>0.16666666666666666</v>
      </c>
      <c r="J886">
        <v>17.96</v>
      </c>
      <c r="M886" s="74">
        <v>38023</v>
      </c>
      <c r="N886" s="77">
        <v>0.16666666666666666</v>
      </c>
      <c r="P886">
        <v>28.4</v>
      </c>
      <c r="S886" s="74">
        <v>34736</v>
      </c>
      <c r="T886" s="77">
        <v>0.16666666666666666</v>
      </c>
      <c r="V886">
        <v>8.0599999999999987</v>
      </c>
      <c r="X886" s="42"/>
      <c r="AB886">
        <v>30.8</v>
      </c>
      <c r="AC886">
        <v>30.02</v>
      </c>
      <c r="AE886" s="74"/>
      <c r="AF886" s="77"/>
      <c r="AH886" s="497">
        <v>5.8999999999999986</v>
      </c>
      <c r="AJ886" s="42"/>
      <c r="AK886" s="74"/>
      <c r="AL886" s="77"/>
      <c r="AN886" s="497">
        <v>30.02</v>
      </c>
      <c r="AP886" s="42"/>
      <c r="AQ886" s="74"/>
      <c r="AR886" s="77"/>
      <c r="AT886" s="497">
        <v>8.9599999999999973</v>
      </c>
      <c r="AV886" s="42"/>
      <c r="AW886" s="74"/>
      <c r="AX886" s="77"/>
      <c r="BA886" s="497">
        <v>26.96</v>
      </c>
      <c r="BB886" s="42"/>
      <c r="BC886" s="74"/>
      <c r="BD886" s="77"/>
      <c r="BF886">
        <v>5</v>
      </c>
      <c r="BH886" s="42"/>
      <c r="BI886" s="74"/>
      <c r="BJ886" s="77"/>
      <c r="BL886" s="497">
        <v>6.0799999999999983</v>
      </c>
      <c r="BN886" s="42"/>
      <c r="BO886" s="74"/>
      <c r="BP886" s="77"/>
      <c r="BR886" s="497">
        <v>-22</v>
      </c>
      <c r="BT886" s="42"/>
    </row>
    <row r="887" spans="1:72" x14ac:dyDescent="0.25">
      <c r="A887" s="90">
        <v>34736</v>
      </c>
      <c r="B887" s="20">
        <v>0.20833333333333334</v>
      </c>
      <c r="D887">
        <v>5</v>
      </c>
      <c r="E887" t="str">
        <f t="shared" si="62"/>
        <v>WEEKDAY</v>
      </c>
      <c r="F887" t="e">
        <f t="shared" si="63"/>
        <v>#N/A</v>
      </c>
      <c r="G887" s="74">
        <v>32179</v>
      </c>
      <c r="H887" s="77">
        <v>0.20833333333333334</v>
      </c>
      <c r="J887">
        <v>17.96</v>
      </c>
      <c r="M887" s="74">
        <v>38023</v>
      </c>
      <c r="N887" s="77">
        <v>0.20833333333333334</v>
      </c>
      <c r="P887">
        <v>26.6</v>
      </c>
      <c r="S887" s="74">
        <v>34736</v>
      </c>
      <c r="T887" s="77">
        <v>0.20833333333333334</v>
      </c>
      <c r="V887">
        <v>8.0599999999999987</v>
      </c>
      <c r="X887" s="42"/>
      <c r="AB887">
        <v>30.5</v>
      </c>
      <c r="AC887">
        <v>30.02</v>
      </c>
      <c r="AE887" s="74"/>
      <c r="AF887" s="77"/>
      <c r="AH887" s="497">
        <v>6.98</v>
      </c>
      <c r="AJ887" s="42"/>
      <c r="AK887" s="74"/>
      <c r="AL887" s="77"/>
      <c r="AN887" s="497">
        <v>30.02</v>
      </c>
      <c r="AP887" s="42"/>
      <c r="AQ887" s="74"/>
      <c r="AR887" s="77"/>
      <c r="AT887" s="497">
        <v>10.039999999999999</v>
      </c>
      <c r="AV887" s="42"/>
      <c r="AW887" s="74"/>
      <c r="AX887" s="77"/>
      <c r="BA887" s="497">
        <v>26.060000000000002</v>
      </c>
      <c r="BB887" s="42"/>
      <c r="BC887" s="74"/>
      <c r="BD887" s="77"/>
      <c r="BF887">
        <v>5</v>
      </c>
      <c r="BH887" s="42"/>
      <c r="BI887" s="74"/>
      <c r="BJ887" s="77"/>
      <c r="BL887" s="497">
        <v>5</v>
      </c>
      <c r="BN887" s="42"/>
      <c r="BO887" s="74"/>
      <c r="BP887" s="77"/>
      <c r="BR887" s="497">
        <v>-23.080000000000005</v>
      </c>
      <c r="BT887" s="42"/>
    </row>
    <row r="888" spans="1:72" x14ac:dyDescent="0.25">
      <c r="A888" s="90">
        <v>34736</v>
      </c>
      <c r="B888" s="20">
        <v>0.25</v>
      </c>
      <c r="D888">
        <v>6.0799999999999983</v>
      </c>
      <c r="E888" t="str">
        <f t="shared" si="62"/>
        <v>WEEKDAY</v>
      </c>
      <c r="F888" t="e">
        <f t="shared" si="63"/>
        <v>#N/A</v>
      </c>
      <c r="G888" s="74">
        <v>32179</v>
      </c>
      <c r="H888" s="77">
        <v>0.25</v>
      </c>
      <c r="J888">
        <v>17.059999999999999</v>
      </c>
      <c r="M888" s="74">
        <v>38023</v>
      </c>
      <c r="N888" s="77">
        <v>0.25</v>
      </c>
      <c r="P888">
        <v>26.6</v>
      </c>
      <c r="S888" s="74">
        <v>34736</v>
      </c>
      <c r="T888" s="77">
        <v>0.25</v>
      </c>
      <c r="V888">
        <v>8.9599999999999973</v>
      </c>
      <c r="X888" s="42"/>
      <c r="AB888">
        <v>30.2</v>
      </c>
      <c r="AC888">
        <v>28.94</v>
      </c>
      <c r="AE888" s="74"/>
      <c r="AF888" s="77"/>
      <c r="AH888" s="497">
        <v>0.85999999999999943</v>
      </c>
      <c r="AJ888" s="42"/>
      <c r="AK888" s="74"/>
      <c r="AL888" s="77"/>
      <c r="AN888" s="497">
        <v>26.060000000000002</v>
      </c>
      <c r="AP888" s="42"/>
      <c r="AQ888" s="74"/>
      <c r="AR888" s="77"/>
      <c r="AT888" s="497">
        <v>8.9599999999999973</v>
      </c>
      <c r="AV888" s="42"/>
      <c r="AW888" s="74"/>
      <c r="AX888" s="77"/>
      <c r="BA888" s="497">
        <v>23</v>
      </c>
      <c r="BB888" s="42"/>
      <c r="BC888" s="74"/>
      <c r="BD888" s="77"/>
      <c r="BF888">
        <v>6.98</v>
      </c>
      <c r="BH888" s="42"/>
      <c r="BI888" s="74"/>
      <c r="BJ888" s="77"/>
      <c r="BL888" s="497">
        <v>3.9200000000000017</v>
      </c>
      <c r="BN888" s="42"/>
      <c r="BO888" s="74"/>
      <c r="BP888" s="77"/>
      <c r="BR888" s="497">
        <v>-23.980000000000004</v>
      </c>
      <c r="BT888" s="42"/>
    </row>
    <row r="889" spans="1:72" x14ac:dyDescent="0.25">
      <c r="A889" s="90">
        <v>34736</v>
      </c>
      <c r="B889" s="20">
        <v>0.29166666666666669</v>
      </c>
      <c r="D889">
        <v>6.0799999999999983</v>
      </c>
      <c r="E889" t="str">
        <f t="shared" si="62"/>
        <v>WEEKDAY</v>
      </c>
      <c r="F889" t="e">
        <f t="shared" si="63"/>
        <v>#N/A</v>
      </c>
      <c r="G889" s="74">
        <v>32179</v>
      </c>
      <c r="H889" s="77">
        <v>0.29166666666666669</v>
      </c>
      <c r="J889">
        <v>15.98</v>
      </c>
      <c r="M889" s="74">
        <v>38023</v>
      </c>
      <c r="N889" s="77">
        <v>0.29166666666666669</v>
      </c>
      <c r="P889">
        <v>26.6</v>
      </c>
      <c r="S889" s="74">
        <v>34736</v>
      </c>
      <c r="T889" s="77">
        <v>0.29166666666666669</v>
      </c>
      <c r="V889">
        <v>8.0599999999999987</v>
      </c>
      <c r="X889" s="42"/>
      <c r="AB889">
        <v>30</v>
      </c>
      <c r="AC889">
        <v>28.04</v>
      </c>
      <c r="AE889" s="74"/>
      <c r="AF889" s="77"/>
      <c r="AH889" s="497">
        <v>-1.1199999999999974</v>
      </c>
      <c r="AJ889" s="42"/>
      <c r="AK889" s="74"/>
      <c r="AL889" s="77"/>
      <c r="AN889" s="497">
        <v>24.08</v>
      </c>
      <c r="AP889" s="42"/>
      <c r="AQ889" s="74"/>
      <c r="AR889" s="77"/>
      <c r="AT889" s="497">
        <v>6.98</v>
      </c>
      <c r="AV889" s="42"/>
      <c r="AW889" s="74"/>
      <c r="AX889" s="77"/>
      <c r="BA889" s="497">
        <v>23</v>
      </c>
      <c r="BB889" s="42"/>
      <c r="BC889" s="74"/>
      <c r="BD889" s="77"/>
      <c r="BF889">
        <v>6.98</v>
      </c>
      <c r="BH889" s="42"/>
      <c r="BI889" s="74"/>
      <c r="BJ889" s="77"/>
      <c r="BL889" s="497">
        <v>3.019999999999996</v>
      </c>
      <c r="BN889" s="42"/>
      <c r="BO889" s="74"/>
      <c r="BP889" s="77"/>
      <c r="BR889" s="497">
        <v>-20.019999999999996</v>
      </c>
      <c r="BT889" s="42"/>
    </row>
    <row r="890" spans="1:72" x14ac:dyDescent="0.25">
      <c r="A890" s="90">
        <v>34736</v>
      </c>
      <c r="B890" s="20">
        <v>0.33333333333333331</v>
      </c>
      <c r="D890">
        <v>6.98</v>
      </c>
      <c r="E890" t="str">
        <f t="shared" si="62"/>
        <v>WEEKDAY</v>
      </c>
      <c r="F890" t="e">
        <f t="shared" si="63"/>
        <v>#N/A</v>
      </c>
      <c r="G890" s="74">
        <v>32179</v>
      </c>
      <c r="H890" s="77">
        <v>0.33333333333333331</v>
      </c>
      <c r="J890">
        <v>15.079999999999998</v>
      </c>
      <c r="M890" s="74">
        <v>38023</v>
      </c>
      <c r="N890" s="77">
        <v>0.33333333333333331</v>
      </c>
      <c r="P890">
        <v>26.6</v>
      </c>
      <c r="S890" s="74">
        <v>34736</v>
      </c>
      <c r="T890" s="77">
        <v>0.33333333333333331</v>
      </c>
      <c r="V890">
        <v>8.9599999999999973</v>
      </c>
      <c r="X890" s="42"/>
      <c r="AB890">
        <v>29.9</v>
      </c>
      <c r="AC890">
        <v>28.04</v>
      </c>
      <c r="AE890" s="74"/>
      <c r="AF890" s="77"/>
      <c r="AH890" s="497">
        <v>1.9400000000000013</v>
      </c>
      <c r="AJ890" s="42"/>
      <c r="AK890" s="74"/>
      <c r="AL890" s="77"/>
      <c r="AN890" s="497">
        <v>21.02</v>
      </c>
      <c r="AP890" s="42"/>
      <c r="AQ890" s="74"/>
      <c r="AR890" s="77"/>
      <c r="AT890" s="497">
        <v>6.0799999999999983</v>
      </c>
      <c r="AV890" s="42"/>
      <c r="AW890" s="74"/>
      <c r="AX890" s="77"/>
      <c r="BA890" s="497">
        <v>19.939999999999998</v>
      </c>
      <c r="BB890" s="42"/>
      <c r="BC890" s="74"/>
      <c r="BD890" s="77"/>
      <c r="BF890">
        <v>5</v>
      </c>
      <c r="BH890" s="42"/>
      <c r="BI890" s="74"/>
      <c r="BJ890" s="77"/>
      <c r="BL890" s="497">
        <v>3.9200000000000017</v>
      </c>
      <c r="BN890" s="42"/>
      <c r="BO890" s="74"/>
      <c r="BP890" s="77"/>
      <c r="BR890" s="497">
        <v>-11.920000000000002</v>
      </c>
      <c r="BT890" s="42"/>
    </row>
    <row r="891" spans="1:72" x14ac:dyDescent="0.25">
      <c r="A891" s="90">
        <v>34736</v>
      </c>
      <c r="B891" s="20">
        <v>0.375</v>
      </c>
      <c r="D891">
        <v>8.9599999999999973</v>
      </c>
      <c r="E891" t="str">
        <f t="shared" si="62"/>
        <v>WEEKDAY</v>
      </c>
      <c r="F891" t="e">
        <f t="shared" si="63"/>
        <v>#N/A</v>
      </c>
      <c r="G891" s="74">
        <v>32179</v>
      </c>
      <c r="H891" s="77">
        <v>0.375</v>
      </c>
      <c r="J891">
        <v>15.98</v>
      </c>
      <c r="M891" s="74">
        <v>38023</v>
      </c>
      <c r="N891" s="77">
        <v>0.375</v>
      </c>
      <c r="P891">
        <v>28.4</v>
      </c>
      <c r="S891" s="74">
        <v>34736</v>
      </c>
      <c r="T891" s="77">
        <v>0.375</v>
      </c>
      <c r="V891">
        <v>10.039999999999999</v>
      </c>
      <c r="X891" s="42"/>
      <c r="AB891">
        <v>30.7</v>
      </c>
      <c r="AC891">
        <v>28.94</v>
      </c>
      <c r="AE891" s="74"/>
      <c r="AF891" s="77"/>
      <c r="AH891" s="497">
        <v>9.86</v>
      </c>
      <c r="AJ891" s="42"/>
      <c r="AK891" s="74"/>
      <c r="AL891" s="77"/>
      <c r="AN891" s="497">
        <v>19.04</v>
      </c>
      <c r="AP891" s="42"/>
      <c r="AQ891" s="74"/>
      <c r="AR891" s="77"/>
      <c r="AT891" s="497">
        <v>10.039999999999999</v>
      </c>
      <c r="AV891" s="42"/>
      <c r="AW891" s="74"/>
      <c r="AX891" s="77"/>
      <c r="BA891" s="497">
        <v>19.939999999999998</v>
      </c>
      <c r="BB891" s="42"/>
      <c r="BC891" s="74"/>
      <c r="BD891" s="77"/>
      <c r="BF891">
        <v>5</v>
      </c>
      <c r="BH891" s="42"/>
      <c r="BI891" s="74"/>
      <c r="BJ891" s="77"/>
      <c r="BL891" s="497">
        <v>3.9200000000000017</v>
      </c>
      <c r="BN891" s="42"/>
      <c r="BO891" s="74"/>
      <c r="BP891" s="77"/>
      <c r="BR891" s="497">
        <v>-7.9600000000000009</v>
      </c>
      <c r="BT891" s="42"/>
    </row>
    <row r="892" spans="1:72" x14ac:dyDescent="0.25">
      <c r="A892" s="90">
        <v>34736</v>
      </c>
      <c r="B892" s="20">
        <v>0.41666666666666669</v>
      </c>
      <c r="D892">
        <v>10.940000000000001</v>
      </c>
      <c r="E892" t="str">
        <f t="shared" si="62"/>
        <v>WEEKDAY</v>
      </c>
      <c r="F892" t="e">
        <f t="shared" si="63"/>
        <v>#N/A</v>
      </c>
      <c r="G892" s="74">
        <v>32179</v>
      </c>
      <c r="H892" s="77">
        <v>0.41666666666666669</v>
      </c>
      <c r="J892">
        <v>17.059999999999999</v>
      </c>
      <c r="M892" s="74">
        <v>38023</v>
      </c>
      <c r="N892" s="77">
        <v>0.41666666666666669</v>
      </c>
      <c r="P892">
        <v>30.2</v>
      </c>
      <c r="S892" s="74">
        <v>34736</v>
      </c>
      <c r="T892" s="77">
        <v>0.41666666666666669</v>
      </c>
      <c r="V892">
        <v>12.02</v>
      </c>
      <c r="X892" s="42"/>
      <c r="AB892">
        <v>32.299999999999997</v>
      </c>
      <c r="AC892">
        <v>30.92</v>
      </c>
      <c r="AE892" s="74"/>
      <c r="AF892" s="77"/>
      <c r="AH892" s="497">
        <v>12.920000000000002</v>
      </c>
      <c r="AJ892" s="42"/>
      <c r="AK892" s="74"/>
      <c r="AL892" s="77"/>
      <c r="AN892" s="497">
        <v>19.04</v>
      </c>
      <c r="AP892" s="42"/>
      <c r="AQ892" s="74"/>
      <c r="AR892" s="77"/>
      <c r="AT892" s="497">
        <v>10.940000000000001</v>
      </c>
      <c r="AV892" s="42"/>
      <c r="AW892" s="74"/>
      <c r="AX892" s="77"/>
      <c r="BA892" s="497">
        <v>21.02</v>
      </c>
      <c r="BB892" s="42"/>
      <c r="BC892" s="74"/>
      <c r="BD892" s="77"/>
      <c r="BF892">
        <v>5</v>
      </c>
      <c r="BH892" s="42"/>
      <c r="BI892" s="74"/>
      <c r="BJ892" s="77"/>
      <c r="BL892" s="497">
        <v>5</v>
      </c>
      <c r="BN892" s="42"/>
      <c r="BO892" s="74"/>
      <c r="BP892" s="77"/>
      <c r="BR892" s="497">
        <v>6.98</v>
      </c>
      <c r="BT892" s="42"/>
    </row>
    <row r="893" spans="1:72" x14ac:dyDescent="0.25">
      <c r="A893" s="90">
        <v>34736</v>
      </c>
      <c r="B893" s="20">
        <v>0.45833333333333331</v>
      </c>
      <c r="D893">
        <v>14</v>
      </c>
      <c r="E893" t="str">
        <f t="shared" si="62"/>
        <v>WEEKDAY</v>
      </c>
      <c r="F893" t="e">
        <f t="shared" si="63"/>
        <v>#N/A</v>
      </c>
      <c r="G893" s="74">
        <v>32179</v>
      </c>
      <c r="H893" s="77">
        <v>0.45833333333333331</v>
      </c>
      <c r="J893">
        <v>19.04</v>
      </c>
      <c r="M893" s="74">
        <v>38023</v>
      </c>
      <c r="N893" s="77">
        <v>0.45833333333333331</v>
      </c>
      <c r="P893">
        <v>30.2</v>
      </c>
      <c r="S893" s="74">
        <v>34736</v>
      </c>
      <c r="T893" s="77">
        <v>0.45833333333333331</v>
      </c>
      <c r="V893">
        <v>12.920000000000002</v>
      </c>
      <c r="X893" s="42"/>
      <c r="AB893">
        <v>33.799999999999997</v>
      </c>
      <c r="AC893">
        <v>30.92</v>
      </c>
      <c r="AE893" s="74"/>
      <c r="AF893" s="77"/>
      <c r="AH893" s="497">
        <v>16.88</v>
      </c>
      <c r="AJ893" s="42"/>
      <c r="AK893" s="74"/>
      <c r="AL893" s="77"/>
      <c r="AN893" s="497">
        <v>19.04</v>
      </c>
      <c r="AP893" s="42"/>
      <c r="AQ893" s="74"/>
      <c r="AR893" s="77"/>
      <c r="AT893" s="497">
        <v>12.920000000000002</v>
      </c>
      <c r="AV893" s="42"/>
      <c r="AW893" s="74"/>
      <c r="AX893" s="77"/>
      <c r="BA893" s="497">
        <v>21.02</v>
      </c>
      <c r="BB893" s="42"/>
      <c r="BC893" s="74"/>
      <c r="BD893" s="77"/>
      <c r="BF893">
        <v>5</v>
      </c>
      <c r="BH893" s="42"/>
      <c r="BI893" s="74"/>
      <c r="BJ893" s="77"/>
      <c r="BL893" s="497">
        <v>8.9599999999999973</v>
      </c>
      <c r="BN893" s="42"/>
      <c r="BO893" s="74"/>
      <c r="BP893" s="77"/>
      <c r="BR893" s="497">
        <v>10.940000000000001</v>
      </c>
      <c r="BT893" s="42"/>
    </row>
    <row r="894" spans="1:72" x14ac:dyDescent="0.25">
      <c r="A894" s="90">
        <v>34736</v>
      </c>
      <c r="B894" s="20">
        <v>0.5</v>
      </c>
      <c r="D894">
        <v>15.079999999999998</v>
      </c>
      <c r="E894" t="str">
        <f t="shared" si="62"/>
        <v>WEEKDAY</v>
      </c>
      <c r="F894" t="e">
        <f t="shared" si="63"/>
        <v>#N/A</v>
      </c>
      <c r="G894" s="74">
        <v>32179</v>
      </c>
      <c r="H894" s="77">
        <v>0.5</v>
      </c>
      <c r="J894">
        <v>19.939999999999998</v>
      </c>
      <c r="M894" s="74">
        <v>38023</v>
      </c>
      <c r="N894" s="77">
        <v>0.5</v>
      </c>
      <c r="P894">
        <v>32</v>
      </c>
      <c r="S894" s="74">
        <v>34736</v>
      </c>
      <c r="T894" s="77">
        <v>0.5</v>
      </c>
      <c r="V894">
        <v>15.079999999999998</v>
      </c>
      <c r="X894" s="42"/>
      <c r="AB894">
        <v>35.200000000000003</v>
      </c>
      <c r="AC894">
        <v>32</v>
      </c>
      <c r="AE894" s="74"/>
      <c r="AF894" s="77"/>
      <c r="AH894" s="497">
        <v>18.86</v>
      </c>
      <c r="AJ894" s="42"/>
      <c r="AK894" s="74"/>
      <c r="AL894" s="77"/>
      <c r="AN894" s="497">
        <v>19.04</v>
      </c>
      <c r="AP894" s="42"/>
      <c r="AQ894" s="74"/>
      <c r="AR894" s="77"/>
      <c r="AT894" s="497">
        <v>14</v>
      </c>
      <c r="AV894" s="42"/>
      <c r="AW894" s="74"/>
      <c r="AX894" s="77"/>
      <c r="BA894" s="497">
        <v>21.02</v>
      </c>
      <c r="BB894" s="42"/>
      <c r="BC894" s="74"/>
      <c r="BD894" s="77"/>
      <c r="BF894">
        <v>6.98</v>
      </c>
      <c r="BH894" s="42"/>
      <c r="BI894" s="74"/>
      <c r="BJ894" s="77"/>
      <c r="BL894" s="497">
        <v>10.039999999999999</v>
      </c>
      <c r="BN894" s="42"/>
      <c r="BO894" s="74"/>
      <c r="BP894" s="77"/>
      <c r="BR894" s="497">
        <v>12.02</v>
      </c>
      <c r="BT894" s="42"/>
    </row>
    <row r="895" spans="1:72" x14ac:dyDescent="0.25">
      <c r="A895" s="90">
        <v>34736</v>
      </c>
      <c r="B895" s="20">
        <v>0.54166666666666663</v>
      </c>
      <c r="D895">
        <v>15.98</v>
      </c>
      <c r="E895" t="str">
        <f t="shared" si="62"/>
        <v>WEEKDAY</v>
      </c>
      <c r="F895" t="e">
        <f t="shared" si="63"/>
        <v>#N/A</v>
      </c>
      <c r="G895" s="74">
        <v>32179</v>
      </c>
      <c r="H895" s="77">
        <v>0.54166666666666663</v>
      </c>
      <c r="J895">
        <v>21.02</v>
      </c>
      <c r="M895" s="74">
        <v>38023</v>
      </c>
      <c r="N895" s="77">
        <v>0.54166666666666663</v>
      </c>
      <c r="P895">
        <v>33.799999999999997</v>
      </c>
      <c r="S895" s="74">
        <v>34736</v>
      </c>
      <c r="T895" s="77">
        <v>0.54166666666666663</v>
      </c>
      <c r="V895">
        <v>17.059999999999999</v>
      </c>
      <c r="X895" s="42"/>
      <c r="AB895">
        <v>36.200000000000003</v>
      </c>
      <c r="AC895">
        <v>33.08</v>
      </c>
      <c r="AE895" s="74"/>
      <c r="AF895" s="77"/>
      <c r="AH895" s="497">
        <v>20.84</v>
      </c>
      <c r="AJ895" s="42"/>
      <c r="AK895" s="74"/>
      <c r="AL895" s="77"/>
      <c r="AN895" s="497">
        <v>19.04</v>
      </c>
      <c r="AP895" s="42"/>
      <c r="AQ895" s="74"/>
      <c r="AR895" s="77"/>
      <c r="AT895" s="497">
        <v>15.98</v>
      </c>
      <c r="AV895" s="42"/>
      <c r="AW895" s="74"/>
      <c r="AX895" s="77"/>
      <c r="BA895" s="497">
        <v>23</v>
      </c>
      <c r="BB895" s="42"/>
      <c r="BC895" s="74"/>
      <c r="BD895" s="77"/>
      <c r="BF895">
        <v>8.9599999999999973</v>
      </c>
      <c r="BH895" s="42"/>
      <c r="BI895" s="74"/>
      <c r="BJ895" s="77"/>
      <c r="BL895" s="497">
        <v>10.039999999999999</v>
      </c>
      <c r="BN895" s="42"/>
      <c r="BO895" s="74"/>
      <c r="BP895" s="77"/>
      <c r="BR895" s="497">
        <v>12.920000000000002</v>
      </c>
      <c r="BT895" s="42"/>
    </row>
    <row r="896" spans="1:72" x14ac:dyDescent="0.25">
      <c r="A896" s="90">
        <v>34736</v>
      </c>
      <c r="B896" s="20">
        <v>0.58333333333333337</v>
      </c>
      <c r="D896">
        <v>17.059999999999999</v>
      </c>
      <c r="E896" t="str">
        <f t="shared" si="62"/>
        <v>WEEKDAY</v>
      </c>
      <c r="F896" t="e">
        <f t="shared" si="63"/>
        <v>#N/A</v>
      </c>
      <c r="G896" s="74">
        <v>32179</v>
      </c>
      <c r="H896" s="77">
        <v>0.58333333333333337</v>
      </c>
      <c r="J896">
        <v>21.92</v>
      </c>
      <c r="M896" s="74">
        <v>38023</v>
      </c>
      <c r="N896" s="77">
        <v>0.58333333333333337</v>
      </c>
      <c r="P896">
        <v>33.799999999999997</v>
      </c>
      <c r="S896" s="74">
        <v>34736</v>
      </c>
      <c r="T896" s="77">
        <v>0.58333333333333337</v>
      </c>
      <c r="V896">
        <v>17.96</v>
      </c>
      <c r="X896" s="42"/>
      <c r="AB896">
        <v>37.1</v>
      </c>
      <c r="AC896">
        <v>35.06</v>
      </c>
      <c r="AE896" s="74"/>
      <c r="AF896" s="77"/>
      <c r="AH896" s="497">
        <v>21.92</v>
      </c>
      <c r="AJ896" s="42"/>
      <c r="AK896" s="74"/>
      <c r="AL896" s="77"/>
      <c r="AN896" s="497">
        <v>19.04</v>
      </c>
      <c r="AP896" s="42"/>
      <c r="AQ896" s="74"/>
      <c r="AR896" s="77"/>
      <c r="AT896" s="497">
        <v>17.059999999999999</v>
      </c>
      <c r="AV896" s="42"/>
      <c r="AW896" s="74"/>
      <c r="AX896" s="77"/>
      <c r="BA896" s="497">
        <v>21.92</v>
      </c>
      <c r="BB896" s="42"/>
      <c r="BC896" s="74"/>
      <c r="BD896" s="77"/>
      <c r="BF896">
        <v>8.0599999999999987</v>
      </c>
      <c r="BH896" s="42"/>
      <c r="BI896" s="74"/>
      <c r="BJ896" s="77"/>
      <c r="BL896" s="497">
        <v>10.039999999999999</v>
      </c>
      <c r="BN896" s="42"/>
      <c r="BO896" s="74"/>
      <c r="BP896" s="77"/>
      <c r="BR896" s="497">
        <v>14</v>
      </c>
      <c r="BT896" s="42"/>
    </row>
    <row r="897" spans="1:72" x14ac:dyDescent="0.25">
      <c r="A897" s="90">
        <v>34736</v>
      </c>
      <c r="B897" s="20">
        <v>0.625</v>
      </c>
      <c r="D897">
        <v>19.04</v>
      </c>
      <c r="E897" t="str">
        <f t="shared" si="62"/>
        <v>WEEKDAY</v>
      </c>
      <c r="F897" t="e">
        <f t="shared" si="63"/>
        <v>#N/A</v>
      </c>
      <c r="G897" s="74">
        <v>32179</v>
      </c>
      <c r="H897" s="77">
        <v>0.625</v>
      </c>
      <c r="J897">
        <v>21.92</v>
      </c>
      <c r="M897" s="74">
        <v>38023</v>
      </c>
      <c r="N897" s="77">
        <v>0.625</v>
      </c>
      <c r="P897">
        <v>33.799999999999997</v>
      </c>
      <c r="S897" s="74">
        <v>34736</v>
      </c>
      <c r="T897" s="77">
        <v>0.625</v>
      </c>
      <c r="V897">
        <v>19.04</v>
      </c>
      <c r="X897" s="42"/>
      <c r="AB897">
        <v>37.700000000000003</v>
      </c>
      <c r="AC897">
        <v>35.06</v>
      </c>
      <c r="AE897" s="74"/>
      <c r="AF897" s="77"/>
      <c r="AH897" s="497">
        <v>23.9</v>
      </c>
      <c r="AJ897" s="42"/>
      <c r="AK897" s="74"/>
      <c r="AL897" s="77"/>
      <c r="AN897" s="497">
        <v>17.96</v>
      </c>
      <c r="AP897" s="42"/>
      <c r="AQ897" s="74"/>
      <c r="AR897" s="77"/>
      <c r="AT897" s="497">
        <v>17.059999999999999</v>
      </c>
      <c r="AV897" s="42"/>
      <c r="AW897" s="74"/>
      <c r="AX897" s="77"/>
      <c r="BA897" s="497">
        <v>23</v>
      </c>
      <c r="BB897" s="42"/>
      <c r="BC897" s="74"/>
      <c r="BD897" s="77"/>
      <c r="BF897">
        <v>8.0599999999999987</v>
      </c>
      <c r="BH897" s="42"/>
      <c r="BI897" s="74"/>
      <c r="BJ897" s="77"/>
      <c r="BL897" s="497">
        <v>10.039999999999999</v>
      </c>
      <c r="BN897" s="42"/>
      <c r="BO897" s="74"/>
      <c r="BP897" s="77"/>
      <c r="BR897" s="497">
        <v>14</v>
      </c>
      <c r="BT897" s="42"/>
    </row>
    <row r="898" spans="1:72" x14ac:dyDescent="0.25">
      <c r="A898" s="90">
        <v>34736</v>
      </c>
      <c r="B898" s="20">
        <v>0.66666666666666663</v>
      </c>
      <c r="D898">
        <v>19.04</v>
      </c>
      <c r="E898" t="str">
        <f t="shared" si="62"/>
        <v>WEEKDAY</v>
      </c>
      <c r="F898" t="e">
        <f t="shared" si="63"/>
        <v>#N/A</v>
      </c>
      <c r="G898" s="74">
        <v>32179</v>
      </c>
      <c r="H898" s="77">
        <v>0.66666666666666663</v>
      </c>
      <c r="J898">
        <v>23</v>
      </c>
      <c r="M898" s="74">
        <v>38023</v>
      </c>
      <c r="N898" s="77">
        <v>0.66666666666666663</v>
      </c>
      <c r="P898">
        <v>35.6</v>
      </c>
      <c r="S898" s="74">
        <v>34736</v>
      </c>
      <c r="T898" s="77">
        <v>0.66666666666666663</v>
      </c>
      <c r="V898">
        <v>19.04</v>
      </c>
      <c r="X898" s="42"/>
      <c r="AB898">
        <v>37.9</v>
      </c>
      <c r="AC898">
        <v>35.06</v>
      </c>
      <c r="AE898" s="74"/>
      <c r="AF898" s="77"/>
      <c r="AH898" s="497">
        <v>23.9</v>
      </c>
      <c r="AJ898" s="42"/>
      <c r="AK898" s="74"/>
      <c r="AL898" s="77"/>
      <c r="AN898" s="497">
        <v>17.96</v>
      </c>
      <c r="AP898" s="42"/>
      <c r="AQ898" s="74"/>
      <c r="AR898" s="77"/>
      <c r="AT898" s="497">
        <v>15.98</v>
      </c>
      <c r="AV898" s="42"/>
      <c r="AW898" s="74"/>
      <c r="AX898" s="77"/>
      <c r="BA898" s="497">
        <v>21.92</v>
      </c>
      <c r="BB898" s="42"/>
      <c r="BC898" s="74"/>
      <c r="BD898" s="77"/>
      <c r="BF898">
        <v>8.0599999999999987</v>
      </c>
      <c r="BH898" s="42"/>
      <c r="BI898" s="74"/>
      <c r="BJ898" s="77"/>
      <c r="BL898" s="497">
        <v>8.0599999999999987</v>
      </c>
      <c r="BN898" s="42"/>
      <c r="BO898" s="74"/>
      <c r="BP898" s="77"/>
      <c r="BR898" s="497">
        <v>14</v>
      </c>
      <c r="BT898" s="42"/>
    </row>
    <row r="899" spans="1:72" x14ac:dyDescent="0.25">
      <c r="A899" s="90">
        <v>34736</v>
      </c>
      <c r="B899" s="20">
        <v>0.70833333333333337</v>
      </c>
      <c r="D899">
        <v>19.939999999999998</v>
      </c>
      <c r="E899" t="str">
        <f t="shared" si="62"/>
        <v>WEEKDAY</v>
      </c>
      <c r="F899" t="e">
        <f t="shared" si="63"/>
        <v>#N/A</v>
      </c>
      <c r="G899" s="74">
        <v>32179</v>
      </c>
      <c r="H899" s="77">
        <v>0.70833333333333337</v>
      </c>
      <c r="J899">
        <v>21.02</v>
      </c>
      <c r="M899" s="74">
        <v>38023</v>
      </c>
      <c r="N899" s="77">
        <v>0.70833333333333337</v>
      </c>
      <c r="P899">
        <v>35.6</v>
      </c>
      <c r="S899" s="74">
        <v>34736</v>
      </c>
      <c r="T899" s="77">
        <v>0.70833333333333337</v>
      </c>
      <c r="V899">
        <v>19.939999999999998</v>
      </c>
      <c r="X899" s="42"/>
      <c r="AB899">
        <v>37.4</v>
      </c>
      <c r="AC899">
        <v>33.979999999999997</v>
      </c>
      <c r="AE899" s="74"/>
      <c r="AF899" s="77"/>
      <c r="AH899" s="497">
        <v>23.9</v>
      </c>
      <c r="AJ899" s="42"/>
      <c r="AK899" s="74"/>
      <c r="AL899" s="77"/>
      <c r="AN899" s="497">
        <v>17.96</v>
      </c>
      <c r="AP899" s="42"/>
      <c r="AQ899" s="74"/>
      <c r="AR899" s="77"/>
      <c r="AT899" s="497">
        <v>15.079999999999998</v>
      </c>
      <c r="AV899" s="42"/>
      <c r="AW899" s="74"/>
      <c r="AX899" s="77"/>
      <c r="BA899" s="497">
        <v>17.96</v>
      </c>
      <c r="BB899" s="42"/>
      <c r="BC899" s="74"/>
      <c r="BD899" s="77"/>
      <c r="BF899">
        <v>6.98</v>
      </c>
      <c r="BH899" s="42"/>
      <c r="BI899" s="74"/>
      <c r="BJ899" s="77"/>
      <c r="BL899" s="497">
        <v>8.0599999999999987</v>
      </c>
      <c r="BN899" s="42"/>
      <c r="BO899" s="74"/>
      <c r="BP899" s="77"/>
      <c r="BR899" s="497">
        <v>12.920000000000002</v>
      </c>
      <c r="BT899" s="42"/>
    </row>
    <row r="900" spans="1:72" x14ac:dyDescent="0.25">
      <c r="A900" s="90">
        <v>34736</v>
      </c>
      <c r="B900" s="20">
        <v>0.75</v>
      </c>
      <c r="D900">
        <v>17.059999999999999</v>
      </c>
      <c r="E900" t="str">
        <f t="shared" si="62"/>
        <v>WEEKDAY</v>
      </c>
      <c r="F900" t="e">
        <f t="shared" si="63"/>
        <v>#N/A</v>
      </c>
      <c r="G900" s="74">
        <v>32179</v>
      </c>
      <c r="H900" s="77">
        <v>0.75</v>
      </c>
      <c r="J900">
        <v>19.939999999999998</v>
      </c>
      <c r="M900" s="74">
        <v>38023</v>
      </c>
      <c r="N900" s="77">
        <v>0.75</v>
      </c>
      <c r="P900">
        <v>35.24</v>
      </c>
      <c r="S900" s="74">
        <v>34736</v>
      </c>
      <c r="T900" s="77">
        <v>0.75</v>
      </c>
      <c r="V900">
        <v>19.939999999999998</v>
      </c>
      <c r="X900" s="42"/>
      <c r="AB900">
        <v>36.299999999999997</v>
      </c>
      <c r="AC900">
        <v>30.92</v>
      </c>
      <c r="AE900" s="74"/>
      <c r="AF900" s="77"/>
      <c r="AH900" s="497">
        <v>20.84</v>
      </c>
      <c r="AJ900" s="42"/>
      <c r="AK900" s="74"/>
      <c r="AL900" s="77"/>
      <c r="AN900" s="497">
        <v>15.98</v>
      </c>
      <c r="AP900" s="42"/>
      <c r="AQ900" s="74"/>
      <c r="AR900" s="77"/>
      <c r="AT900" s="497">
        <v>14</v>
      </c>
      <c r="AV900" s="42"/>
      <c r="AW900" s="74"/>
      <c r="AX900" s="77"/>
      <c r="BA900" s="497">
        <v>17.059999999999999</v>
      </c>
      <c r="BB900" s="42"/>
      <c r="BC900" s="74"/>
      <c r="BD900" s="77"/>
      <c r="BF900">
        <v>6.0799999999999983</v>
      </c>
      <c r="BH900" s="42"/>
      <c r="BI900" s="74"/>
      <c r="BJ900" s="77"/>
      <c r="BL900" s="497">
        <v>8.0599999999999987</v>
      </c>
      <c r="BN900" s="42"/>
      <c r="BO900" s="74"/>
      <c r="BP900" s="77"/>
      <c r="BR900" s="497">
        <v>12.02</v>
      </c>
      <c r="BT900" s="42"/>
    </row>
    <row r="901" spans="1:72" x14ac:dyDescent="0.25">
      <c r="A901" s="90">
        <v>34736</v>
      </c>
      <c r="B901" s="20">
        <v>0.79166666666666663</v>
      </c>
      <c r="D901">
        <v>17.059999999999999</v>
      </c>
      <c r="E901" t="str">
        <f t="shared" si="62"/>
        <v>WEEKDAY</v>
      </c>
      <c r="F901" t="e">
        <f t="shared" si="63"/>
        <v>#N/A</v>
      </c>
      <c r="G901" s="74">
        <v>32179</v>
      </c>
      <c r="H901" s="77">
        <v>0.79166666666666663</v>
      </c>
      <c r="J901">
        <v>19.939999999999998</v>
      </c>
      <c r="M901" s="74">
        <v>38023</v>
      </c>
      <c r="N901" s="77">
        <v>0.79166666666666663</v>
      </c>
      <c r="P901">
        <v>35.24</v>
      </c>
      <c r="S901" s="74">
        <v>34736</v>
      </c>
      <c r="T901" s="77">
        <v>0.79166666666666663</v>
      </c>
      <c r="V901">
        <v>17.059999999999999</v>
      </c>
      <c r="X901" s="42"/>
      <c r="AB901">
        <v>35.299999999999997</v>
      </c>
      <c r="AC901">
        <v>26.96</v>
      </c>
      <c r="AE901" s="74"/>
      <c r="AF901" s="77"/>
      <c r="AH901" s="497">
        <v>18.86</v>
      </c>
      <c r="AJ901" s="42"/>
      <c r="AK901" s="74"/>
      <c r="AL901" s="77"/>
      <c r="AN901" s="497">
        <v>14</v>
      </c>
      <c r="AP901" s="42"/>
      <c r="AQ901" s="74"/>
      <c r="AR901" s="77"/>
      <c r="AT901" s="497">
        <v>12.920000000000002</v>
      </c>
      <c r="AV901" s="42"/>
      <c r="AW901" s="74"/>
      <c r="AX901" s="77"/>
      <c r="BA901" s="497">
        <v>15.079999999999998</v>
      </c>
      <c r="BB901" s="42"/>
      <c r="BC901" s="74"/>
      <c r="BD901" s="77"/>
      <c r="BF901">
        <v>6.0799999999999983</v>
      </c>
      <c r="BH901" s="42"/>
      <c r="BI901" s="74"/>
      <c r="BJ901" s="77"/>
      <c r="BL901" s="497">
        <v>6.98</v>
      </c>
      <c r="BN901" s="42"/>
      <c r="BO901" s="74"/>
      <c r="BP901" s="77"/>
      <c r="BR901" s="497">
        <v>12.02</v>
      </c>
      <c r="BT901" s="42"/>
    </row>
    <row r="902" spans="1:72" x14ac:dyDescent="0.25">
      <c r="A902" s="90">
        <v>34736</v>
      </c>
      <c r="B902" s="20">
        <v>0.83333333333333337</v>
      </c>
      <c r="D902">
        <v>17.059999999999999</v>
      </c>
      <c r="E902" t="str">
        <f t="shared" si="62"/>
        <v>WEEKDAY</v>
      </c>
      <c r="F902" t="e">
        <f t="shared" si="63"/>
        <v>#N/A</v>
      </c>
      <c r="G902" s="74">
        <v>32179</v>
      </c>
      <c r="H902" s="77">
        <v>0.83333333333333337</v>
      </c>
      <c r="J902">
        <v>19.04</v>
      </c>
      <c r="M902" s="74">
        <v>38023</v>
      </c>
      <c r="N902" s="77">
        <v>0.83333333333333337</v>
      </c>
      <c r="P902">
        <v>35.24</v>
      </c>
      <c r="S902" s="74">
        <v>34736</v>
      </c>
      <c r="T902" s="77">
        <v>0.83333333333333337</v>
      </c>
      <c r="V902">
        <v>17.96</v>
      </c>
      <c r="X902" s="42"/>
      <c r="AB902">
        <v>35</v>
      </c>
      <c r="AC902">
        <v>26.96</v>
      </c>
      <c r="AE902" s="74"/>
      <c r="AF902" s="77"/>
      <c r="AH902" s="497">
        <v>9.86</v>
      </c>
      <c r="AJ902" s="42"/>
      <c r="AK902" s="74"/>
      <c r="AL902" s="77"/>
      <c r="AN902" s="497">
        <v>12.02</v>
      </c>
      <c r="AP902" s="42"/>
      <c r="AQ902" s="74"/>
      <c r="AR902" s="77"/>
      <c r="AT902" s="497">
        <v>10.940000000000001</v>
      </c>
      <c r="AV902" s="42"/>
      <c r="AW902" s="74"/>
      <c r="AX902" s="77"/>
      <c r="BA902" s="497">
        <v>15.98</v>
      </c>
      <c r="BB902" s="42"/>
      <c r="BC902" s="74"/>
      <c r="BD902" s="77"/>
      <c r="BF902">
        <v>5</v>
      </c>
      <c r="BH902" s="42"/>
      <c r="BI902" s="74"/>
      <c r="BJ902" s="77"/>
      <c r="BL902" s="497">
        <v>6.0799999999999983</v>
      </c>
      <c r="BN902" s="42"/>
      <c r="BO902" s="74"/>
      <c r="BP902" s="77"/>
      <c r="BR902" s="497">
        <v>8.9599999999999973</v>
      </c>
      <c r="BT902" s="42"/>
    </row>
    <row r="903" spans="1:72" x14ac:dyDescent="0.25">
      <c r="A903" s="90">
        <v>34736</v>
      </c>
      <c r="B903" s="20">
        <v>0.875</v>
      </c>
      <c r="D903">
        <v>17.059999999999999</v>
      </c>
      <c r="E903" t="str">
        <f t="shared" si="62"/>
        <v>WEEKDAY</v>
      </c>
      <c r="F903" t="e">
        <f t="shared" si="63"/>
        <v>#N/A</v>
      </c>
      <c r="G903" s="74">
        <v>32179</v>
      </c>
      <c r="H903" s="77">
        <v>0.875</v>
      </c>
      <c r="J903">
        <v>19.04</v>
      </c>
      <c r="M903" s="74">
        <v>38023</v>
      </c>
      <c r="N903" s="77">
        <v>0.875</v>
      </c>
      <c r="P903">
        <v>35.6</v>
      </c>
      <c r="S903" s="74">
        <v>34736</v>
      </c>
      <c r="T903" s="77">
        <v>0.875</v>
      </c>
      <c r="V903">
        <v>17.96</v>
      </c>
      <c r="X903" s="42"/>
      <c r="AB903">
        <v>34.4</v>
      </c>
      <c r="AC903">
        <v>28.94</v>
      </c>
      <c r="AE903" s="74"/>
      <c r="AF903" s="77"/>
      <c r="AH903" s="497">
        <v>6.98</v>
      </c>
      <c r="AJ903" s="42"/>
      <c r="AK903" s="74"/>
      <c r="AL903" s="77"/>
      <c r="AN903" s="497">
        <v>10.940000000000001</v>
      </c>
      <c r="AP903" s="42"/>
      <c r="AQ903" s="74"/>
      <c r="AR903" s="77"/>
      <c r="AT903" s="497">
        <v>6.0799999999999983</v>
      </c>
      <c r="AV903" s="42"/>
      <c r="AW903" s="74"/>
      <c r="AX903" s="77"/>
      <c r="BA903" s="497">
        <v>15.079999999999998</v>
      </c>
      <c r="BB903" s="42"/>
      <c r="BC903" s="74"/>
      <c r="BD903" s="77"/>
      <c r="BF903">
        <v>5</v>
      </c>
      <c r="BH903" s="42"/>
      <c r="BI903" s="74"/>
      <c r="BJ903" s="77"/>
      <c r="BL903" s="497">
        <v>6.0799999999999983</v>
      </c>
      <c r="BN903" s="42"/>
      <c r="BO903" s="74"/>
      <c r="BP903" s="77"/>
      <c r="BR903" s="497">
        <v>8.9599999999999973</v>
      </c>
      <c r="BT903" s="42"/>
    </row>
    <row r="904" spans="1:72" x14ac:dyDescent="0.25">
      <c r="A904" s="90">
        <v>34736</v>
      </c>
      <c r="B904" s="20">
        <v>0.91666666666666663</v>
      </c>
      <c r="D904">
        <v>15.98</v>
      </c>
      <c r="E904" t="str">
        <f t="shared" si="62"/>
        <v>WEEKDAY</v>
      </c>
      <c r="F904" t="e">
        <f t="shared" si="63"/>
        <v>#N/A</v>
      </c>
      <c r="G904" s="74">
        <v>32179</v>
      </c>
      <c r="H904" s="77">
        <v>0.91666666666666663</v>
      </c>
      <c r="J904">
        <v>17.96</v>
      </c>
      <c r="M904" s="74">
        <v>38023</v>
      </c>
      <c r="N904" s="77">
        <v>0.91666666666666663</v>
      </c>
      <c r="P904">
        <v>35.6</v>
      </c>
      <c r="S904" s="74">
        <v>34736</v>
      </c>
      <c r="T904" s="77">
        <v>0.91666666666666663</v>
      </c>
      <c r="V904">
        <v>17.059999999999999</v>
      </c>
      <c r="X904" s="42"/>
      <c r="AB904">
        <v>33.700000000000003</v>
      </c>
      <c r="AC904">
        <v>30.92</v>
      </c>
      <c r="AE904" s="74"/>
      <c r="AF904" s="77"/>
      <c r="AH904" s="497">
        <v>6.98</v>
      </c>
      <c r="AJ904" s="42"/>
      <c r="AK904" s="74"/>
      <c r="AL904" s="77"/>
      <c r="AN904" s="497">
        <v>10.940000000000001</v>
      </c>
      <c r="AP904" s="42"/>
      <c r="AQ904" s="74"/>
      <c r="AR904" s="77"/>
      <c r="AT904" s="497">
        <v>8.0599999999999987</v>
      </c>
      <c r="AV904" s="42"/>
      <c r="AW904" s="74"/>
      <c r="AX904" s="77"/>
      <c r="BA904" s="497">
        <v>14</v>
      </c>
      <c r="BB904" s="42"/>
      <c r="BC904" s="74"/>
      <c r="BD904" s="77"/>
      <c r="BF904">
        <v>5</v>
      </c>
      <c r="BH904" s="42"/>
      <c r="BI904" s="74"/>
      <c r="BJ904" s="77"/>
      <c r="BL904" s="497">
        <v>3.9200000000000017</v>
      </c>
      <c r="BN904" s="42"/>
      <c r="BO904" s="74"/>
      <c r="BP904" s="77"/>
      <c r="BR904" s="497">
        <v>5</v>
      </c>
      <c r="BT904" s="42"/>
    </row>
    <row r="905" spans="1:72" x14ac:dyDescent="0.25">
      <c r="A905" s="90">
        <v>34736</v>
      </c>
      <c r="B905" s="20">
        <v>0.95833333333333337</v>
      </c>
      <c r="D905">
        <v>15.98</v>
      </c>
      <c r="E905" t="str">
        <f t="shared" si="62"/>
        <v>WEEKDAY</v>
      </c>
      <c r="F905" t="e">
        <f t="shared" si="63"/>
        <v>#N/A</v>
      </c>
      <c r="G905" s="74">
        <v>32179</v>
      </c>
      <c r="H905" s="77">
        <v>0.95833333333333337</v>
      </c>
      <c r="J905">
        <v>17.059999999999999</v>
      </c>
      <c r="M905" s="74">
        <v>38023</v>
      </c>
      <c r="N905" s="77">
        <v>0.95833333333333337</v>
      </c>
      <c r="P905">
        <v>35.24</v>
      </c>
      <c r="S905" s="74">
        <v>34736</v>
      </c>
      <c r="T905" s="77">
        <v>0.95833333333333337</v>
      </c>
      <c r="V905">
        <v>17.059999999999999</v>
      </c>
      <c r="X905" s="42"/>
      <c r="AB905">
        <v>33.200000000000003</v>
      </c>
      <c r="AC905">
        <v>30.92</v>
      </c>
      <c r="AE905" s="74"/>
      <c r="AF905" s="77"/>
      <c r="AH905" s="497">
        <v>5</v>
      </c>
      <c r="AJ905" s="42"/>
      <c r="AK905" s="74"/>
      <c r="AL905" s="77"/>
      <c r="AN905" s="497">
        <v>10.039999999999999</v>
      </c>
      <c r="AP905" s="42"/>
      <c r="AQ905" s="74"/>
      <c r="AR905" s="77"/>
      <c r="AT905" s="497">
        <v>8.0599999999999987</v>
      </c>
      <c r="AV905" s="42"/>
      <c r="AW905" s="74"/>
      <c r="AX905" s="77"/>
      <c r="BA905" s="497">
        <v>12.920000000000002</v>
      </c>
      <c r="BB905" s="42"/>
      <c r="BC905" s="74"/>
      <c r="BD905" s="77"/>
      <c r="BF905">
        <v>5</v>
      </c>
      <c r="BH905" s="42"/>
      <c r="BI905" s="74"/>
      <c r="BJ905" s="77"/>
      <c r="BL905" s="497">
        <v>3.9200000000000017</v>
      </c>
      <c r="BN905" s="42"/>
      <c r="BO905" s="74"/>
      <c r="BP905" s="77"/>
      <c r="BR905" s="497">
        <v>1.9400000000000013</v>
      </c>
      <c r="BT905" s="42"/>
    </row>
    <row r="906" spans="1:72" x14ac:dyDescent="0.25">
      <c r="A906" s="90">
        <v>34736</v>
      </c>
      <c r="B906" s="20">
        <v>1</v>
      </c>
      <c r="D906">
        <v>15.98</v>
      </c>
      <c r="E906" t="str">
        <f t="shared" si="62"/>
        <v>WEEKDAY</v>
      </c>
      <c r="F906" t="e">
        <f t="shared" si="63"/>
        <v>#N/A</v>
      </c>
      <c r="G906" s="74">
        <v>32179</v>
      </c>
      <c r="H906" s="77">
        <v>1</v>
      </c>
      <c r="J906">
        <v>15.079999999999998</v>
      </c>
      <c r="M906" s="74">
        <v>38023</v>
      </c>
      <c r="N906" s="80">
        <v>1</v>
      </c>
      <c r="P906">
        <v>34.520000000000003</v>
      </c>
      <c r="S906" s="74">
        <v>34736</v>
      </c>
      <c r="T906" s="80">
        <v>1</v>
      </c>
      <c r="V906">
        <v>17.059999999999999</v>
      </c>
      <c r="X906" s="42"/>
      <c r="AB906">
        <v>32.6</v>
      </c>
      <c r="AC906">
        <v>30.92</v>
      </c>
      <c r="AE906" s="74"/>
      <c r="AF906" s="80"/>
      <c r="AH906" s="497">
        <v>4.4599999999999973</v>
      </c>
      <c r="AJ906" s="42"/>
      <c r="AK906" s="74"/>
      <c r="AL906" s="80"/>
      <c r="AN906" s="497">
        <v>8.9599999999999973</v>
      </c>
      <c r="AP906" s="42"/>
      <c r="AQ906" s="74"/>
      <c r="AR906" s="80"/>
      <c r="AT906" s="497">
        <v>6.98</v>
      </c>
      <c r="AV906" s="42"/>
      <c r="AW906" s="74"/>
      <c r="AX906" s="80"/>
      <c r="BA906" s="497">
        <v>12.02</v>
      </c>
      <c r="BB906" s="42"/>
      <c r="BC906" s="74"/>
      <c r="BD906" s="80"/>
      <c r="BF906">
        <v>5</v>
      </c>
      <c r="BH906" s="42"/>
      <c r="BI906" s="74"/>
      <c r="BJ906" s="80"/>
      <c r="BL906" s="497">
        <v>3.9200000000000017</v>
      </c>
      <c r="BN906" s="42"/>
      <c r="BO906" s="74"/>
      <c r="BP906" s="80"/>
      <c r="BR906" s="497">
        <v>-0.94000000000000483</v>
      </c>
      <c r="BT906" s="42"/>
    </row>
    <row r="907" spans="1:72" x14ac:dyDescent="0.25">
      <c r="A907" s="90">
        <v>34737</v>
      </c>
      <c r="B907" s="20">
        <v>4.1666666666666664E-2</v>
      </c>
      <c r="D907">
        <v>15.079999999999998</v>
      </c>
      <c r="E907" t="str">
        <f t="shared" si="62"/>
        <v>WEEKDAY</v>
      </c>
      <c r="F907" t="e">
        <f t="shared" si="63"/>
        <v>#N/A</v>
      </c>
      <c r="G907" s="74">
        <v>32180</v>
      </c>
      <c r="H907" s="77">
        <v>4.1666666666666664E-2</v>
      </c>
      <c r="J907">
        <v>15.079999999999998</v>
      </c>
      <c r="M907" s="74">
        <v>38024</v>
      </c>
      <c r="N907" s="77">
        <v>4.1666666666666664E-2</v>
      </c>
      <c r="P907">
        <v>34.700000000000003</v>
      </c>
      <c r="S907" s="74">
        <v>34737</v>
      </c>
      <c r="T907" s="77">
        <v>4.1666666666666664E-2</v>
      </c>
      <c r="V907">
        <v>15.98</v>
      </c>
      <c r="X907" s="42"/>
      <c r="AB907">
        <v>32.1</v>
      </c>
      <c r="AC907">
        <v>30.92</v>
      </c>
      <c r="AE907" s="74"/>
      <c r="AF907" s="77"/>
      <c r="AH907" s="497">
        <v>3.9200000000000017</v>
      </c>
      <c r="AJ907" s="42"/>
      <c r="AK907" s="74"/>
      <c r="AL907" s="77"/>
      <c r="AN907" s="497">
        <v>8.0599999999999987</v>
      </c>
      <c r="AP907" s="42"/>
      <c r="AQ907" s="74"/>
      <c r="AR907" s="77"/>
      <c r="AT907" s="497">
        <v>6.0799999999999983</v>
      </c>
      <c r="AV907" s="42"/>
      <c r="AW907" s="74"/>
      <c r="AX907" s="77"/>
      <c r="BA907" s="497">
        <v>10.039999999999999</v>
      </c>
      <c r="BB907" s="42"/>
      <c r="BC907" s="74"/>
      <c r="BD907" s="77"/>
      <c r="BF907">
        <v>5</v>
      </c>
      <c r="BH907" s="42"/>
      <c r="BI907" s="74"/>
      <c r="BJ907" s="77"/>
      <c r="BL907" s="497">
        <v>3.019999999999996</v>
      </c>
      <c r="BN907" s="42"/>
      <c r="BO907" s="74"/>
      <c r="BP907" s="77"/>
      <c r="BR907" s="497">
        <v>-4</v>
      </c>
      <c r="BT907" s="42"/>
    </row>
    <row r="908" spans="1:72" x14ac:dyDescent="0.25">
      <c r="A908" s="90">
        <v>34737</v>
      </c>
      <c r="B908" s="20">
        <v>8.3333333333333329E-2</v>
      </c>
      <c r="D908">
        <v>15.079999999999998</v>
      </c>
      <c r="E908" t="str">
        <f t="shared" si="62"/>
        <v>WEEKDAY</v>
      </c>
      <c r="F908" t="e">
        <f t="shared" si="63"/>
        <v>#N/A</v>
      </c>
      <c r="G908" s="74">
        <v>32180</v>
      </c>
      <c r="H908" s="77">
        <v>8.3333333333333329E-2</v>
      </c>
      <c r="J908">
        <v>12.920000000000002</v>
      </c>
      <c r="M908" s="74">
        <v>38024</v>
      </c>
      <c r="N908" s="77">
        <v>8.3333333333333329E-2</v>
      </c>
      <c r="P908">
        <v>34.340000000000003</v>
      </c>
      <c r="S908" s="74">
        <v>34737</v>
      </c>
      <c r="T908" s="77">
        <v>8.3333333333333329E-2</v>
      </c>
      <c r="V908">
        <v>15.98</v>
      </c>
      <c r="X908" s="42"/>
      <c r="AB908">
        <v>31.6</v>
      </c>
      <c r="AC908">
        <v>32</v>
      </c>
      <c r="AE908" s="74"/>
      <c r="AF908" s="77"/>
      <c r="AH908" s="497">
        <v>4.0999999999999979</v>
      </c>
      <c r="AJ908" s="42"/>
      <c r="AK908" s="74"/>
      <c r="AL908" s="77"/>
      <c r="AN908" s="497">
        <v>8.0599999999999987</v>
      </c>
      <c r="AP908" s="42"/>
      <c r="AQ908" s="74"/>
      <c r="AR908" s="77"/>
      <c r="AT908" s="497">
        <v>3.019999999999996</v>
      </c>
      <c r="AV908" s="42"/>
      <c r="AW908" s="74"/>
      <c r="AX908" s="77"/>
      <c r="BA908" s="497">
        <v>10.039999999999999</v>
      </c>
      <c r="BB908" s="42"/>
      <c r="BC908" s="74"/>
      <c r="BD908" s="77"/>
      <c r="BF908">
        <v>6.98</v>
      </c>
      <c r="BH908" s="42"/>
      <c r="BI908" s="74"/>
      <c r="BJ908" s="77"/>
      <c r="BL908" s="497">
        <v>1.9400000000000013</v>
      </c>
      <c r="BN908" s="42"/>
      <c r="BO908" s="74"/>
      <c r="BP908" s="77"/>
      <c r="BR908" s="497">
        <v>-7.0600000000000023</v>
      </c>
      <c r="BT908" s="42"/>
    </row>
    <row r="909" spans="1:72" x14ac:dyDescent="0.25">
      <c r="A909" s="90">
        <v>34737</v>
      </c>
      <c r="B909" s="20">
        <v>0.125</v>
      </c>
      <c r="D909">
        <v>15.079999999999998</v>
      </c>
      <c r="E909" t="str">
        <f t="shared" si="62"/>
        <v>WEEKDAY</v>
      </c>
      <c r="F909" t="e">
        <f t="shared" si="63"/>
        <v>#N/A</v>
      </c>
      <c r="G909" s="74">
        <v>32180</v>
      </c>
      <c r="H909" s="77">
        <v>0.125</v>
      </c>
      <c r="J909">
        <v>12.920000000000002</v>
      </c>
      <c r="M909" s="74">
        <v>38024</v>
      </c>
      <c r="N909" s="77">
        <v>0.125</v>
      </c>
      <c r="P909">
        <v>33.799999999999997</v>
      </c>
      <c r="S909" s="74">
        <v>34737</v>
      </c>
      <c r="T909" s="77">
        <v>0.125</v>
      </c>
      <c r="V909">
        <v>15.98</v>
      </c>
      <c r="X909" s="42"/>
      <c r="AB909">
        <v>31.1</v>
      </c>
      <c r="AC909">
        <v>33.08</v>
      </c>
      <c r="AE909" s="74"/>
      <c r="AF909" s="77"/>
      <c r="AH909" s="497">
        <v>3.9200000000000017</v>
      </c>
      <c r="AJ909" s="42"/>
      <c r="AK909" s="74"/>
      <c r="AL909" s="77"/>
      <c r="AN909" s="497">
        <v>6.98</v>
      </c>
      <c r="AP909" s="42"/>
      <c r="AQ909" s="74"/>
      <c r="AR909" s="77"/>
      <c r="AT909" s="497">
        <v>3.9200000000000017</v>
      </c>
      <c r="AV909" s="42"/>
      <c r="AW909" s="74"/>
      <c r="AX909" s="77"/>
      <c r="BA909" s="497">
        <v>10.039999999999999</v>
      </c>
      <c r="BB909" s="42"/>
      <c r="BC909" s="74"/>
      <c r="BD909" s="77"/>
      <c r="BF909">
        <v>3.9200000000000017</v>
      </c>
      <c r="BH909" s="42"/>
      <c r="BI909" s="74"/>
      <c r="BJ909" s="77"/>
      <c r="BL909" s="497">
        <v>1.9400000000000013</v>
      </c>
      <c r="BN909" s="42"/>
      <c r="BO909" s="74"/>
      <c r="BP909" s="77"/>
      <c r="BR909" s="497">
        <v>-14.980000000000004</v>
      </c>
      <c r="BT909" s="42"/>
    </row>
    <row r="910" spans="1:72" x14ac:dyDescent="0.25">
      <c r="A910" s="90">
        <v>34737</v>
      </c>
      <c r="B910" s="20">
        <v>0.16666666666666666</v>
      </c>
      <c r="D910">
        <v>15.079999999999998</v>
      </c>
      <c r="E910" t="str">
        <f t="shared" si="62"/>
        <v>WEEKDAY</v>
      </c>
      <c r="F910" t="e">
        <f t="shared" si="63"/>
        <v>#N/A</v>
      </c>
      <c r="G910" s="74">
        <v>32180</v>
      </c>
      <c r="H910" s="77">
        <v>0.16666666666666666</v>
      </c>
      <c r="J910">
        <v>12.02</v>
      </c>
      <c r="M910" s="74">
        <v>38024</v>
      </c>
      <c r="N910" s="77">
        <v>0.16666666666666666</v>
      </c>
      <c r="P910">
        <v>35.6</v>
      </c>
      <c r="S910" s="74">
        <v>34737</v>
      </c>
      <c r="T910" s="77">
        <v>0.16666666666666666</v>
      </c>
      <c r="V910">
        <v>15.98</v>
      </c>
      <c r="X910" s="42"/>
      <c r="AB910">
        <v>30.8</v>
      </c>
      <c r="AC910">
        <v>33.08</v>
      </c>
      <c r="AE910" s="74"/>
      <c r="AF910" s="77"/>
      <c r="AH910" s="497">
        <v>4.82</v>
      </c>
      <c r="AJ910" s="42"/>
      <c r="AK910" s="74"/>
      <c r="AL910" s="77"/>
      <c r="AN910" s="497">
        <v>6.0799999999999983</v>
      </c>
      <c r="AP910" s="42"/>
      <c r="AQ910" s="74"/>
      <c r="AR910" s="77"/>
      <c r="AT910" s="497">
        <v>3.019999999999996</v>
      </c>
      <c r="AV910" s="42"/>
      <c r="AW910" s="74"/>
      <c r="AX910" s="77"/>
      <c r="BA910" s="497">
        <v>8.0599999999999987</v>
      </c>
      <c r="BB910" s="42"/>
      <c r="BC910" s="74"/>
      <c r="BD910" s="77"/>
      <c r="BF910">
        <v>3.019999999999996</v>
      </c>
      <c r="BH910" s="42"/>
      <c r="BI910" s="74"/>
      <c r="BJ910" s="77"/>
      <c r="BL910" s="497">
        <v>1.0399999999999991</v>
      </c>
      <c r="BN910" s="42"/>
      <c r="BO910" s="74"/>
      <c r="BP910" s="77"/>
      <c r="BR910" s="497">
        <v>-18.04</v>
      </c>
      <c r="BT910" s="42"/>
    </row>
    <row r="911" spans="1:72" x14ac:dyDescent="0.25">
      <c r="A911" s="90">
        <v>34737</v>
      </c>
      <c r="B911" s="20">
        <v>0.20833333333333334</v>
      </c>
      <c r="D911">
        <v>15.079999999999998</v>
      </c>
      <c r="E911" t="str">
        <f t="shared" si="62"/>
        <v>WEEKDAY</v>
      </c>
      <c r="F911" t="e">
        <f t="shared" si="63"/>
        <v>#N/A</v>
      </c>
      <c r="G911" s="74">
        <v>32180</v>
      </c>
      <c r="H911" s="77">
        <v>0.20833333333333334</v>
      </c>
      <c r="J911">
        <v>12.02</v>
      </c>
      <c r="M911" s="74">
        <v>38024</v>
      </c>
      <c r="N911" s="77">
        <v>0.20833333333333334</v>
      </c>
      <c r="P911">
        <v>35.6</v>
      </c>
      <c r="S911" s="74">
        <v>34737</v>
      </c>
      <c r="T911" s="77">
        <v>0.20833333333333334</v>
      </c>
      <c r="V911">
        <v>15.98</v>
      </c>
      <c r="X911" s="42"/>
      <c r="AB911">
        <v>30.5</v>
      </c>
      <c r="AC911">
        <v>33.979999999999997</v>
      </c>
      <c r="AE911" s="74"/>
      <c r="AF911" s="77"/>
      <c r="AH911" s="497">
        <v>5</v>
      </c>
      <c r="AJ911" s="42"/>
      <c r="AK911" s="74"/>
      <c r="AL911" s="77"/>
      <c r="AN911" s="497">
        <v>6.0799999999999983</v>
      </c>
      <c r="AP911" s="42"/>
      <c r="AQ911" s="74"/>
      <c r="AR911" s="77"/>
      <c r="AT911" s="497">
        <v>-2.019999999999996</v>
      </c>
      <c r="AV911" s="42"/>
      <c r="AW911" s="74"/>
      <c r="AX911" s="77"/>
      <c r="BA911" s="497">
        <v>8.0599999999999987</v>
      </c>
      <c r="BB911" s="42"/>
      <c r="BC911" s="74"/>
      <c r="BD911" s="77"/>
      <c r="BF911">
        <v>3.9200000000000017</v>
      </c>
      <c r="BH911" s="42"/>
      <c r="BI911" s="74"/>
      <c r="BJ911" s="77"/>
      <c r="BL911" s="497">
        <v>1.0399999999999991</v>
      </c>
      <c r="BN911" s="42"/>
      <c r="BO911" s="74"/>
      <c r="BP911" s="77"/>
      <c r="BR911" s="497">
        <v>-20.019999999999996</v>
      </c>
      <c r="BT911" s="42"/>
    </row>
    <row r="912" spans="1:72" x14ac:dyDescent="0.25">
      <c r="A912" s="90">
        <v>34737</v>
      </c>
      <c r="B912" s="20">
        <v>0.25</v>
      </c>
      <c r="D912">
        <v>15.079999999999998</v>
      </c>
      <c r="E912" t="str">
        <f t="shared" si="62"/>
        <v>WEEKDAY</v>
      </c>
      <c r="F912" t="e">
        <f t="shared" si="63"/>
        <v>#N/A</v>
      </c>
      <c r="G912" s="74">
        <v>32180</v>
      </c>
      <c r="H912" s="77">
        <v>0.25</v>
      </c>
      <c r="J912">
        <v>10.940000000000001</v>
      </c>
      <c r="M912" s="74">
        <v>38024</v>
      </c>
      <c r="N912" s="77">
        <v>0.25</v>
      </c>
      <c r="P912">
        <v>35.6</v>
      </c>
      <c r="S912" s="74">
        <v>34737</v>
      </c>
      <c r="T912" s="77">
        <v>0.25</v>
      </c>
      <c r="V912">
        <v>15.079999999999998</v>
      </c>
      <c r="X912" s="42"/>
      <c r="AB912">
        <v>30.2</v>
      </c>
      <c r="AC912">
        <v>33.08</v>
      </c>
      <c r="AE912" s="74"/>
      <c r="AF912" s="77"/>
      <c r="AH912" s="497">
        <v>5</v>
      </c>
      <c r="AJ912" s="42"/>
      <c r="AK912" s="74"/>
      <c r="AL912" s="77"/>
      <c r="AN912" s="497">
        <v>5</v>
      </c>
      <c r="AP912" s="42"/>
      <c r="AQ912" s="74"/>
      <c r="AR912" s="77"/>
      <c r="AT912" s="497">
        <v>1.9400000000000013</v>
      </c>
      <c r="AV912" s="42"/>
      <c r="AW912" s="74"/>
      <c r="AX912" s="77"/>
      <c r="BA912" s="497">
        <v>5</v>
      </c>
      <c r="BB912" s="42"/>
      <c r="BC912" s="74"/>
      <c r="BD912" s="77"/>
      <c r="BF912">
        <v>3.019999999999996</v>
      </c>
      <c r="BH912" s="42"/>
      <c r="BI912" s="74"/>
      <c r="BJ912" s="77"/>
      <c r="BL912" s="497">
        <v>1.9400000000000013</v>
      </c>
      <c r="BN912" s="42"/>
      <c r="BO912" s="74"/>
      <c r="BP912" s="77"/>
      <c r="BR912" s="497">
        <v>-16.060000000000002</v>
      </c>
      <c r="BT912" s="42"/>
    </row>
    <row r="913" spans="1:72" x14ac:dyDescent="0.25">
      <c r="A913" s="90">
        <v>34737</v>
      </c>
      <c r="B913" s="20">
        <v>0.29166666666666669</v>
      </c>
      <c r="D913">
        <v>15.079999999999998</v>
      </c>
      <c r="E913" t="str">
        <f t="shared" si="62"/>
        <v>WEEKDAY</v>
      </c>
      <c r="F913" t="e">
        <f t="shared" si="63"/>
        <v>#N/A</v>
      </c>
      <c r="G913" s="74">
        <v>32180</v>
      </c>
      <c r="H913" s="77">
        <v>0.29166666666666669</v>
      </c>
      <c r="J913">
        <v>10.940000000000001</v>
      </c>
      <c r="M913" s="74">
        <v>38024</v>
      </c>
      <c r="N913" s="77">
        <v>0.29166666666666669</v>
      </c>
      <c r="P913">
        <v>35.6</v>
      </c>
      <c r="S913" s="74">
        <v>34737</v>
      </c>
      <c r="T913" s="77">
        <v>0.29166666666666669</v>
      </c>
      <c r="V913">
        <v>15.079999999999998</v>
      </c>
      <c r="X913" s="42"/>
      <c r="AB913">
        <v>30</v>
      </c>
      <c r="AC913">
        <v>32</v>
      </c>
      <c r="AE913" s="74"/>
      <c r="AF913" s="77"/>
      <c r="AH913" s="497">
        <v>6.98</v>
      </c>
      <c r="AJ913" s="42"/>
      <c r="AK913" s="74"/>
      <c r="AL913" s="77"/>
      <c r="AN913" s="497">
        <v>6.0799999999999983</v>
      </c>
      <c r="AP913" s="42"/>
      <c r="AQ913" s="74"/>
      <c r="AR913" s="77"/>
      <c r="AT913" s="497">
        <v>-0.94000000000000483</v>
      </c>
      <c r="AV913" s="42"/>
      <c r="AW913" s="74"/>
      <c r="AX913" s="77"/>
      <c r="BA913" s="497">
        <v>1.9400000000000013</v>
      </c>
      <c r="BB913" s="42"/>
      <c r="BC913" s="74"/>
      <c r="BD913" s="77"/>
      <c r="BF913">
        <v>1.9400000000000013</v>
      </c>
      <c r="BH913" s="42"/>
      <c r="BI913" s="74"/>
      <c r="BJ913" s="77"/>
      <c r="BL913" s="497">
        <v>1.9400000000000013</v>
      </c>
      <c r="BN913" s="42"/>
      <c r="BO913" s="74"/>
      <c r="BP913" s="77"/>
      <c r="BR913" s="497">
        <v>-14.080000000000005</v>
      </c>
      <c r="BT913" s="42"/>
    </row>
    <row r="914" spans="1:72" x14ac:dyDescent="0.25">
      <c r="A914" s="90">
        <v>34737</v>
      </c>
      <c r="B914" s="20">
        <v>0.33333333333333331</v>
      </c>
      <c r="D914">
        <v>17.059999999999999</v>
      </c>
      <c r="E914" t="str">
        <f t="shared" si="62"/>
        <v>WEEKDAY</v>
      </c>
      <c r="F914" t="e">
        <f t="shared" si="63"/>
        <v>#N/A</v>
      </c>
      <c r="G914" s="74">
        <v>32180</v>
      </c>
      <c r="H914" s="77">
        <v>0.33333333333333331</v>
      </c>
      <c r="J914">
        <v>12.02</v>
      </c>
      <c r="M914" s="74">
        <v>38024</v>
      </c>
      <c r="N914" s="77">
        <v>0.33333333333333331</v>
      </c>
      <c r="P914">
        <v>35.6</v>
      </c>
      <c r="S914" s="74">
        <v>34737</v>
      </c>
      <c r="T914" s="77">
        <v>0.33333333333333331</v>
      </c>
      <c r="V914">
        <v>15.98</v>
      </c>
      <c r="X914" s="42"/>
      <c r="AB914">
        <v>29.9</v>
      </c>
      <c r="AC914">
        <v>32</v>
      </c>
      <c r="AE914" s="74"/>
      <c r="AF914" s="77"/>
      <c r="AH914" s="497">
        <v>7.879999999999999</v>
      </c>
      <c r="AJ914" s="42"/>
      <c r="AK914" s="74"/>
      <c r="AL914" s="77"/>
      <c r="AN914" s="497">
        <v>6.98</v>
      </c>
      <c r="AP914" s="42"/>
      <c r="AQ914" s="74"/>
      <c r="AR914" s="77"/>
      <c r="AT914" s="497">
        <v>-0.94000000000000483</v>
      </c>
      <c r="AV914" s="42"/>
      <c r="AW914" s="74"/>
      <c r="AX914" s="77"/>
      <c r="BA914" s="497">
        <v>6.98</v>
      </c>
      <c r="BB914" s="42"/>
      <c r="BC914" s="74"/>
      <c r="BD914" s="77"/>
      <c r="BF914">
        <v>3.9200000000000017</v>
      </c>
      <c r="BH914" s="42"/>
      <c r="BI914" s="74"/>
      <c r="BJ914" s="77"/>
      <c r="BL914" s="497">
        <v>1.9400000000000013</v>
      </c>
      <c r="BN914" s="42"/>
      <c r="BO914" s="74"/>
      <c r="BP914" s="77"/>
      <c r="BR914" s="497">
        <v>-14.980000000000004</v>
      </c>
      <c r="BT914" s="42"/>
    </row>
    <row r="915" spans="1:72" x14ac:dyDescent="0.25">
      <c r="A915" s="90">
        <v>34737</v>
      </c>
      <c r="B915" s="20">
        <v>0.375</v>
      </c>
      <c r="D915">
        <v>19.04</v>
      </c>
      <c r="E915" t="str">
        <f t="shared" ref="E915:E978" si="64">IF(COUNTIF($DI$18:$DI$22, WEEKDAY(A915))=1, "WEEKDAY", IF(WEEKDAY(A915) = 1, "SUNDAY", "SATURDAY"))</f>
        <v>WEEKDAY</v>
      </c>
      <c r="F915" t="e">
        <f t="shared" si="63"/>
        <v>#N/A</v>
      </c>
      <c r="G915" s="74">
        <v>32180</v>
      </c>
      <c r="H915" s="77">
        <v>0.375</v>
      </c>
      <c r="J915">
        <v>12.920000000000002</v>
      </c>
      <c r="M915" s="74">
        <v>38024</v>
      </c>
      <c r="N915" s="77">
        <v>0.375</v>
      </c>
      <c r="P915">
        <v>35.6</v>
      </c>
      <c r="S915" s="74">
        <v>34737</v>
      </c>
      <c r="T915" s="77">
        <v>0.375</v>
      </c>
      <c r="V915">
        <v>17.96</v>
      </c>
      <c r="X915" s="42"/>
      <c r="AB915">
        <v>30.8</v>
      </c>
      <c r="AC915">
        <v>35.06</v>
      </c>
      <c r="AE915" s="74"/>
      <c r="AF915" s="77"/>
      <c r="AH915" s="497">
        <v>15.98</v>
      </c>
      <c r="AJ915" s="42"/>
      <c r="AK915" s="74"/>
      <c r="AL915" s="77"/>
      <c r="AN915" s="497">
        <v>10.039999999999999</v>
      </c>
      <c r="AP915" s="42"/>
      <c r="AQ915" s="74"/>
      <c r="AR915" s="77"/>
      <c r="AT915" s="497">
        <v>3.9200000000000017</v>
      </c>
      <c r="AV915" s="42"/>
      <c r="AW915" s="74"/>
      <c r="AX915" s="77"/>
      <c r="BA915" s="497">
        <v>14</v>
      </c>
      <c r="BB915" s="42"/>
      <c r="BC915" s="74"/>
      <c r="BD915" s="77"/>
      <c r="BF915">
        <v>3.9200000000000017</v>
      </c>
      <c r="BH915" s="42"/>
      <c r="BI915" s="74"/>
      <c r="BJ915" s="77"/>
      <c r="BL915" s="497">
        <v>3.9200000000000017</v>
      </c>
      <c r="BN915" s="42"/>
      <c r="BO915" s="74"/>
      <c r="BP915" s="77"/>
      <c r="BR915" s="497">
        <v>-7.9600000000000009</v>
      </c>
      <c r="BT915" s="42"/>
    </row>
    <row r="916" spans="1:72" x14ac:dyDescent="0.25">
      <c r="A916" s="90">
        <v>34737</v>
      </c>
      <c r="B916" s="20">
        <v>0.41666666666666669</v>
      </c>
      <c r="D916">
        <v>19.939999999999998</v>
      </c>
      <c r="E916" t="str">
        <f t="shared" si="64"/>
        <v>WEEKDAY</v>
      </c>
      <c r="F916" t="e">
        <f t="shared" si="63"/>
        <v>#N/A</v>
      </c>
      <c r="G916" s="74">
        <v>32180</v>
      </c>
      <c r="H916" s="77">
        <v>0.41666666666666669</v>
      </c>
      <c r="J916">
        <v>15.079999999999998</v>
      </c>
      <c r="M916" s="74">
        <v>38024</v>
      </c>
      <c r="N916" s="77">
        <v>0.41666666666666669</v>
      </c>
      <c r="P916">
        <v>37.4</v>
      </c>
      <c r="S916" s="74">
        <v>34737</v>
      </c>
      <c r="T916" s="77">
        <v>0.41666666666666669</v>
      </c>
      <c r="V916">
        <v>19.04</v>
      </c>
      <c r="X916" s="42"/>
      <c r="AB916">
        <v>32.299999999999997</v>
      </c>
      <c r="AC916">
        <v>37.94</v>
      </c>
      <c r="AE916" s="74"/>
      <c r="AF916" s="77"/>
      <c r="AH916" s="497">
        <v>20.84</v>
      </c>
      <c r="AJ916" s="42"/>
      <c r="AK916" s="74"/>
      <c r="AL916" s="77"/>
      <c r="AN916" s="497">
        <v>10.940000000000001</v>
      </c>
      <c r="AP916" s="42"/>
      <c r="AQ916" s="74"/>
      <c r="AR916" s="77"/>
      <c r="AT916" s="497">
        <v>6.98</v>
      </c>
      <c r="AV916" s="42"/>
      <c r="AW916" s="74"/>
      <c r="AX916" s="77"/>
      <c r="BA916" s="497">
        <v>15.98</v>
      </c>
      <c r="BB916" s="42"/>
      <c r="BC916" s="74"/>
      <c r="BD916" s="77"/>
      <c r="BF916">
        <v>6.98</v>
      </c>
      <c r="BH916" s="42"/>
      <c r="BI916" s="74"/>
      <c r="BJ916" s="77"/>
      <c r="BL916" s="497">
        <v>6.0799999999999983</v>
      </c>
      <c r="BN916" s="42"/>
      <c r="BO916" s="74"/>
      <c r="BP916" s="77"/>
      <c r="BR916" s="497">
        <v>3.9200000000000017</v>
      </c>
      <c r="BT916" s="42"/>
    </row>
    <row r="917" spans="1:72" x14ac:dyDescent="0.25">
      <c r="A917" s="90">
        <v>34737</v>
      </c>
      <c r="B917" s="20">
        <v>0.45833333333333331</v>
      </c>
      <c r="D917">
        <v>21.92</v>
      </c>
      <c r="E917" t="str">
        <f t="shared" si="64"/>
        <v>WEEKDAY</v>
      </c>
      <c r="F917" t="e">
        <f t="shared" si="63"/>
        <v>#N/A</v>
      </c>
      <c r="G917" s="74">
        <v>32180</v>
      </c>
      <c r="H917" s="77">
        <v>0.45833333333333331</v>
      </c>
      <c r="J917">
        <v>17.96</v>
      </c>
      <c r="M917" s="74">
        <v>38024</v>
      </c>
      <c r="N917" s="77">
        <v>0.45833333333333331</v>
      </c>
      <c r="P917">
        <v>39.200000000000003</v>
      </c>
      <c r="S917" s="74">
        <v>34737</v>
      </c>
      <c r="T917" s="77">
        <v>0.45833333333333331</v>
      </c>
      <c r="V917">
        <v>19.939999999999998</v>
      </c>
      <c r="X917" s="42"/>
      <c r="AB917">
        <v>33.799999999999997</v>
      </c>
      <c r="AC917">
        <v>39.019999999999996</v>
      </c>
      <c r="AE917" s="74"/>
      <c r="AF917" s="77"/>
      <c r="AH917" s="497">
        <v>25.88</v>
      </c>
      <c r="AJ917" s="42"/>
      <c r="AK917" s="74"/>
      <c r="AL917" s="77"/>
      <c r="AN917" s="497">
        <v>12.920000000000002</v>
      </c>
      <c r="AP917" s="42"/>
      <c r="AQ917" s="74"/>
      <c r="AR917" s="77"/>
      <c r="AT917" s="497">
        <v>10.940000000000001</v>
      </c>
      <c r="AV917" s="42"/>
      <c r="AW917" s="74"/>
      <c r="AX917" s="77"/>
      <c r="BA917" s="497">
        <v>19.939999999999998</v>
      </c>
      <c r="BB917" s="42"/>
      <c r="BC917" s="74"/>
      <c r="BD917" s="77"/>
      <c r="BF917">
        <v>8.0599999999999987</v>
      </c>
      <c r="BH917" s="42"/>
      <c r="BI917" s="74"/>
      <c r="BJ917" s="77"/>
      <c r="BL917" s="497">
        <v>8.0599999999999987</v>
      </c>
      <c r="BN917" s="42"/>
      <c r="BO917" s="74"/>
      <c r="BP917" s="77"/>
      <c r="BR917" s="497">
        <v>10.940000000000001</v>
      </c>
      <c r="BT917" s="42"/>
    </row>
    <row r="918" spans="1:72" x14ac:dyDescent="0.25">
      <c r="A918" s="90">
        <v>34737</v>
      </c>
      <c r="B918" s="20">
        <v>0.5</v>
      </c>
      <c r="D918">
        <v>23</v>
      </c>
      <c r="E918" t="str">
        <f t="shared" si="64"/>
        <v>WEEKDAY</v>
      </c>
      <c r="F918" t="e">
        <f t="shared" si="63"/>
        <v>#N/A</v>
      </c>
      <c r="G918" s="74">
        <v>32180</v>
      </c>
      <c r="H918" s="77">
        <v>0.5</v>
      </c>
      <c r="J918">
        <v>19.939999999999998</v>
      </c>
      <c r="M918" s="74">
        <v>38024</v>
      </c>
      <c r="N918" s="77">
        <v>0.5</v>
      </c>
      <c r="P918">
        <v>39.200000000000003</v>
      </c>
      <c r="S918" s="74">
        <v>34737</v>
      </c>
      <c r="T918" s="77">
        <v>0.5</v>
      </c>
      <c r="V918">
        <v>21.92</v>
      </c>
      <c r="X918" s="42"/>
      <c r="AB918">
        <v>35.1</v>
      </c>
      <c r="AC918">
        <v>39.92</v>
      </c>
      <c r="AE918" s="74"/>
      <c r="AF918" s="77"/>
      <c r="AH918" s="497">
        <v>27.86</v>
      </c>
      <c r="AJ918" s="42"/>
      <c r="AK918" s="74"/>
      <c r="AL918" s="77"/>
      <c r="AN918" s="497">
        <v>17.059999999999999</v>
      </c>
      <c r="AP918" s="42"/>
      <c r="AQ918" s="74"/>
      <c r="AR918" s="77"/>
      <c r="AT918" s="497">
        <v>12.920000000000002</v>
      </c>
      <c r="AV918" s="42"/>
      <c r="AW918" s="74"/>
      <c r="AX918" s="77"/>
      <c r="BA918" s="497">
        <v>21.02</v>
      </c>
      <c r="BB918" s="42"/>
      <c r="BC918" s="74"/>
      <c r="BD918" s="77"/>
      <c r="BF918">
        <v>10.940000000000001</v>
      </c>
      <c r="BH918" s="42"/>
      <c r="BI918" s="74"/>
      <c r="BJ918" s="77"/>
      <c r="BL918" s="497">
        <v>10.039999999999999</v>
      </c>
      <c r="BN918" s="42"/>
      <c r="BO918" s="74"/>
      <c r="BP918" s="77"/>
      <c r="BR918" s="497">
        <v>14</v>
      </c>
      <c r="BT918" s="42"/>
    </row>
    <row r="919" spans="1:72" x14ac:dyDescent="0.25">
      <c r="A919" s="90">
        <v>34737</v>
      </c>
      <c r="B919" s="20">
        <v>0.54166666666666663</v>
      </c>
      <c r="D919">
        <v>24.98</v>
      </c>
      <c r="E919" t="str">
        <f t="shared" si="64"/>
        <v>WEEKDAY</v>
      </c>
      <c r="F919" t="e">
        <f t="shared" si="63"/>
        <v>#N/A</v>
      </c>
      <c r="G919" s="74">
        <v>32180</v>
      </c>
      <c r="H919" s="77">
        <v>0.54166666666666663</v>
      </c>
      <c r="J919">
        <v>21.02</v>
      </c>
      <c r="M919" s="74">
        <v>38024</v>
      </c>
      <c r="N919" s="77">
        <v>0.54166666666666663</v>
      </c>
      <c r="P919">
        <v>37.4</v>
      </c>
      <c r="S919" s="74">
        <v>34737</v>
      </c>
      <c r="T919" s="77">
        <v>0.54166666666666663</v>
      </c>
      <c r="V919">
        <v>21.92</v>
      </c>
      <c r="X919" s="42"/>
      <c r="AB919">
        <v>36.200000000000003</v>
      </c>
      <c r="AC919">
        <v>41</v>
      </c>
      <c r="AE919" s="74"/>
      <c r="AF919" s="77"/>
      <c r="AH919" s="497">
        <v>29.48</v>
      </c>
      <c r="AJ919" s="42"/>
      <c r="AK919" s="74"/>
      <c r="AL919" s="77"/>
      <c r="AN919" s="497">
        <v>19.939999999999998</v>
      </c>
      <c r="AP919" s="42"/>
      <c r="AQ919" s="74"/>
      <c r="AR919" s="77"/>
      <c r="AT919" s="497">
        <v>14</v>
      </c>
      <c r="AV919" s="42"/>
      <c r="AW919" s="74"/>
      <c r="AX919" s="77"/>
      <c r="BA919" s="497">
        <v>24.08</v>
      </c>
      <c r="BB919" s="42"/>
      <c r="BC919" s="74"/>
      <c r="BD919" s="77"/>
      <c r="BF919">
        <v>15.079999999999998</v>
      </c>
      <c r="BH919" s="42"/>
      <c r="BI919" s="74"/>
      <c r="BJ919" s="77"/>
      <c r="BL919" s="497">
        <v>12.02</v>
      </c>
      <c r="BN919" s="42"/>
      <c r="BO919" s="74"/>
      <c r="BP919" s="77"/>
      <c r="BR919" s="497">
        <v>15.079999999999998</v>
      </c>
      <c r="BT919" s="42"/>
    </row>
    <row r="920" spans="1:72" x14ac:dyDescent="0.25">
      <c r="A920" s="90">
        <v>34737</v>
      </c>
      <c r="B920" s="20">
        <v>0.58333333333333337</v>
      </c>
      <c r="D920">
        <v>24.98</v>
      </c>
      <c r="E920" t="str">
        <f t="shared" si="64"/>
        <v>WEEKDAY</v>
      </c>
      <c r="F920" t="e">
        <f t="shared" si="63"/>
        <v>#N/A</v>
      </c>
      <c r="G920" s="74">
        <v>32180</v>
      </c>
      <c r="H920" s="77">
        <v>0.58333333333333337</v>
      </c>
      <c r="J920">
        <v>24.08</v>
      </c>
      <c r="M920" s="74">
        <v>38024</v>
      </c>
      <c r="N920" s="77">
        <v>0.58333333333333337</v>
      </c>
      <c r="P920">
        <v>37.4</v>
      </c>
      <c r="S920" s="74">
        <v>34737</v>
      </c>
      <c r="T920" s="77">
        <v>0.58333333333333337</v>
      </c>
      <c r="V920">
        <v>24.08</v>
      </c>
      <c r="X920" s="42"/>
      <c r="AB920">
        <v>37.1</v>
      </c>
      <c r="AC920">
        <v>42.08</v>
      </c>
      <c r="AE920" s="74"/>
      <c r="AF920" s="77"/>
      <c r="AH920" s="497">
        <v>30.92</v>
      </c>
      <c r="AJ920" s="42"/>
      <c r="AK920" s="74"/>
      <c r="AL920" s="77"/>
      <c r="AN920" s="497">
        <v>21.92</v>
      </c>
      <c r="AP920" s="42"/>
      <c r="AQ920" s="74"/>
      <c r="AR920" s="77"/>
      <c r="AT920" s="497">
        <v>14</v>
      </c>
      <c r="AV920" s="42"/>
      <c r="AW920" s="74"/>
      <c r="AX920" s="77"/>
      <c r="BA920" s="497">
        <v>26.96</v>
      </c>
      <c r="BB920" s="42"/>
      <c r="BC920" s="74"/>
      <c r="BD920" s="77"/>
      <c r="BF920">
        <v>19.04</v>
      </c>
      <c r="BH920" s="42"/>
      <c r="BI920" s="74"/>
      <c r="BJ920" s="77"/>
      <c r="BL920" s="497">
        <v>15.98</v>
      </c>
      <c r="BN920" s="42"/>
      <c r="BO920" s="74"/>
      <c r="BP920" s="77"/>
      <c r="BR920" s="497">
        <v>17.059999999999999</v>
      </c>
      <c r="BT920" s="42"/>
    </row>
    <row r="921" spans="1:72" x14ac:dyDescent="0.25">
      <c r="A921" s="90">
        <v>34737</v>
      </c>
      <c r="B921" s="20">
        <v>0.625</v>
      </c>
      <c r="D921">
        <v>26.96</v>
      </c>
      <c r="E921" t="str">
        <f t="shared" si="64"/>
        <v>WEEKDAY</v>
      </c>
      <c r="F921" t="e">
        <f t="shared" si="63"/>
        <v>#N/A</v>
      </c>
      <c r="G921" s="74">
        <v>32180</v>
      </c>
      <c r="H921" s="77">
        <v>0.625</v>
      </c>
      <c r="J921">
        <v>24.08</v>
      </c>
      <c r="M921" s="74">
        <v>38024</v>
      </c>
      <c r="N921" s="77">
        <v>0.625</v>
      </c>
      <c r="P921">
        <v>37.4</v>
      </c>
      <c r="S921" s="74">
        <v>34737</v>
      </c>
      <c r="T921" s="77">
        <v>0.625</v>
      </c>
      <c r="V921">
        <v>24.98</v>
      </c>
      <c r="X921" s="42"/>
      <c r="AB921">
        <v>37.799999999999997</v>
      </c>
      <c r="AC921">
        <v>42.08</v>
      </c>
      <c r="AE921" s="74"/>
      <c r="AF921" s="77"/>
      <c r="AH921" s="497">
        <v>32</v>
      </c>
      <c r="AJ921" s="42"/>
      <c r="AK921" s="74"/>
      <c r="AL921" s="77"/>
      <c r="AN921" s="497">
        <v>24.98</v>
      </c>
      <c r="AP921" s="42"/>
      <c r="AQ921" s="74"/>
      <c r="AR921" s="77"/>
      <c r="AT921" s="497">
        <v>17.059999999999999</v>
      </c>
      <c r="AV921" s="42"/>
      <c r="AW921" s="74"/>
      <c r="AX921" s="77"/>
      <c r="BA921" s="497">
        <v>28.94</v>
      </c>
      <c r="BB921" s="42"/>
      <c r="BC921" s="74"/>
      <c r="BD921" s="77"/>
      <c r="BF921">
        <v>21.02</v>
      </c>
      <c r="BH921" s="42"/>
      <c r="BI921" s="74"/>
      <c r="BJ921" s="77"/>
      <c r="BL921" s="497">
        <v>19.939999999999998</v>
      </c>
      <c r="BN921" s="42"/>
      <c r="BO921" s="74"/>
      <c r="BP921" s="77"/>
      <c r="BR921" s="497">
        <v>19.04</v>
      </c>
      <c r="BT921" s="42"/>
    </row>
    <row r="922" spans="1:72" x14ac:dyDescent="0.25">
      <c r="A922" s="90">
        <v>34737</v>
      </c>
      <c r="B922" s="20">
        <v>0.66666666666666663</v>
      </c>
      <c r="D922">
        <v>26.060000000000002</v>
      </c>
      <c r="E922" t="str">
        <f t="shared" si="64"/>
        <v>WEEKDAY</v>
      </c>
      <c r="F922" t="e">
        <f t="shared" si="63"/>
        <v>#N/A</v>
      </c>
      <c r="G922" s="74">
        <v>32180</v>
      </c>
      <c r="H922" s="77">
        <v>0.66666666666666663</v>
      </c>
      <c r="J922">
        <v>24.08</v>
      </c>
      <c r="M922" s="74">
        <v>38024</v>
      </c>
      <c r="N922" s="77">
        <v>0.66666666666666663</v>
      </c>
      <c r="P922">
        <v>37.4</v>
      </c>
      <c r="S922" s="74">
        <v>34737</v>
      </c>
      <c r="T922" s="77">
        <v>0.66666666666666663</v>
      </c>
      <c r="V922">
        <v>24.98</v>
      </c>
      <c r="X922" s="42"/>
      <c r="AB922">
        <v>37.9</v>
      </c>
      <c r="AC922">
        <v>41</v>
      </c>
      <c r="AE922" s="74"/>
      <c r="AF922" s="77"/>
      <c r="AH922" s="497">
        <v>32</v>
      </c>
      <c r="AJ922" s="42"/>
      <c r="AK922" s="74"/>
      <c r="AL922" s="77"/>
      <c r="AN922" s="497">
        <v>26.060000000000002</v>
      </c>
      <c r="AP922" s="42"/>
      <c r="AQ922" s="74"/>
      <c r="AR922" s="77"/>
      <c r="AT922" s="497">
        <v>17.96</v>
      </c>
      <c r="AV922" s="42"/>
      <c r="AW922" s="74"/>
      <c r="AX922" s="77"/>
      <c r="BA922" s="497">
        <v>30.92</v>
      </c>
      <c r="BB922" s="42"/>
      <c r="BC922" s="74"/>
      <c r="BD922" s="77"/>
      <c r="BF922">
        <v>21.92</v>
      </c>
      <c r="BH922" s="42"/>
      <c r="BI922" s="74"/>
      <c r="BJ922" s="77"/>
      <c r="BL922" s="497">
        <v>21.92</v>
      </c>
      <c r="BN922" s="42"/>
      <c r="BO922" s="74"/>
      <c r="BP922" s="77"/>
      <c r="BR922" s="497">
        <v>19.04</v>
      </c>
      <c r="BT922" s="42"/>
    </row>
    <row r="923" spans="1:72" x14ac:dyDescent="0.25">
      <c r="A923" s="90">
        <v>34737</v>
      </c>
      <c r="B923" s="20">
        <v>0.70833333333333337</v>
      </c>
      <c r="D923">
        <v>24.98</v>
      </c>
      <c r="E923" t="str">
        <f t="shared" si="64"/>
        <v>WEEKDAY</v>
      </c>
      <c r="F923" t="e">
        <f t="shared" si="63"/>
        <v>#N/A</v>
      </c>
      <c r="G923" s="74">
        <v>32180</v>
      </c>
      <c r="H923" s="77">
        <v>0.70833333333333337</v>
      </c>
      <c r="J923">
        <v>24.98</v>
      </c>
      <c r="M923" s="74">
        <v>38024</v>
      </c>
      <c r="N923" s="77">
        <v>0.70833333333333337</v>
      </c>
      <c r="P923">
        <v>37.4</v>
      </c>
      <c r="S923" s="74">
        <v>34737</v>
      </c>
      <c r="T923" s="77">
        <v>0.70833333333333337</v>
      </c>
      <c r="V923">
        <v>24.08</v>
      </c>
      <c r="X923" s="42"/>
      <c r="AB923">
        <v>37.4</v>
      </c>
      <c r="AC923">
        <v>39.019999999999996</v>
      </c>
      <c r="AE923" s="74"/>
      <c r="AF923" s="77"/>
      <c r="AH923" s="497">
        <v>32</v>
      </c>
      <c r="AJ923" s="42"/>
      <c r="AK923" s="74"/>
      <c r="AL923" s="77"/>
      <c r="AN923" s="497">
        <v>26.060000000000002</v>
      </c>
      <c r="AP923" s="42"/>
      <c r="AQ923" s="74"/>
      <c r="AR923" s="77"/>
      <c r="AT923" s="497">
        <v>17.96</v>
      </c>
      <c r="AV923" s="42"/>
      <c r="AW923" s="74"/>
      <c r="AX923" s="77"/>
      <c r="BA923" s="497">
        <v>30.92</v>
      </c>
      <c r="BB923" s="42"/>
      <c r="BC923" s="74"/>
      <c r="BD923" s="77"/>
      <c r="BF923">
        <v>21.92</v>
      </c>
      <c r="BH923" s="42"/>
      <c r="BI923" s="74"/>
      <c r="BJ923" s="77"/>
      <c r="BL923" s="497">
        <v>24.08</v>
      </c>
      <c r="BN923" s="42"/>
      <c r="BO923" s="74"/>
      <c r="BP923" s="77"/>
      <c r="BR923" s="497">
        <v>19.04</v>
      </c>
      <c r="BT923" s="42"/>
    </row>
    <row r="924" spans="1:72" x14ac:dyDescent="0.25">
      <c r="A924" s="90">
        <v>34737</v>
      </c>
      <c r="B924" s="20">
        <v>0.75</v>
      </c>
      <c r="D924">
        <v>24.08</v>
      </c>
      <c r="E924" t="str">
        <f t="shared" si="64"/>
        <v>WEEKDAY</v>
      </c>
      <c r="F924" t="e">
        <f t="shared" si="63"/>
        <v>#N/A</v>
      </c>
      <c r="G924" s="74">
        <v>32180</v>
      </c>
      <c r="H924" s="77">
        <v>0.75</v>
      </c>
      <c r="J924">
        <v>24.08</v>
      </c>
      <c r="M924" s="74">
        <v>38024</v>
      </c>
      <c r="N924" s="77">
        <v>0.75</v>
      </c>
      <c r="P924">
        <v>33.799999999999997</v>
      </c>
      <c r="S924" s="74">
        <v>34737</v>
      </c>
      <c r="T924" s="77">
        <v>0.75</v>
      </c>
      <c r="V924">
        <v>24.08</v>
      </c>
      <c r="X924" s="42"/>
      <c r="AB924">
        <v>36.4</v>
      </c>
      <c r="AC924">
        <v>37.04</v>
      </c>
      <c r="AE924" s="74"/>
      <c r="AF924" s="77"/>
      <c r="AH924" s="497">
        <v>30.92</v>
      </c>
      <c r="AJ924" s="42"/>
      <c r="AK924" s="74"/>
      <c r="AL924" s="77"/>
      <c r="AN924" s="497">
        <v>24.08</v>
      </c>
      <c r="AP924" s="42"/>
      <c r="AQ924" s="74"/>
      <c r="AR924" s="77"/>
      <c r="AT924" s="497">
        <v>17.96</v>
      </c>
      <c r="AV924" s="42"/>
      <c r="AW924" s="74"/>
      <c r="AX924" s="77"/>
      <c r="BA924" s="497">
        <v>28.94</v>
      </c>
      <c r="BB924" s="42"/>
      <c r="BC924" s="74"/>
      <c r="BD924" s="77"/>
      <c r="BF924">
        <v>24.08</v>
      </c>
      <c r="BH924" s="42"/>
      <c r="BI924" s="74"/>
      <c r="BJ924" s="77"/>
      <c r="BL924" s="497">
        <v>24.08</v>
      </c>
      <c r="BN924" s="42"/>
      <c r="BO924" s="74"/>
      <c r="BP924" s="77"/>
      <c r="BR924" s="497">
        <v>19.04</v>
      </c>
      <c r="BT924" s="42"/>
    </row>
    <row r="925" spans="1:72" x14ac:dyDescent="0.25">
      <c r="A925" s="90">
        <v>34737</v>
      </c>
      <c r="B925" s="20">
        <v>0.79166666666666663</v>
      </c>
      <c r="D925">
        <v>24.08</v>
      </c>
      <c r="E925" t="str">
        <f t="shared" si="64"/>
        <v>WEEKDAY</v>
      </c>
      <c r="F925" t="e">
        <f t="shared" si="63"/>
        <v>#N/A</v>
      </c>
      <c r="G925" s="74">
        <v>32180</v>
      </c>
      <c r="H925" s="77">
        <v>0.79166666666666663</v>
      </c>
      <c r="J925">
        <v>24.98</v>
      </c>
      <c r="M925" s="74">
        <v>38024</v>
      </c>
      <c r="N925" s="77">
        <v>0.79166666666666663</v>
      </c>
      <c r="P925">
        <v>32</v>
      </c>
      <c r="S925" s="74">
        <v>34737</v>
      </c>
      <c r="T925" s="77">
        <v>0.79166666666666663</v>
      </c>
      <c r="V925">
        <v>24.08</v>
      </c>
      <c r="X925" s="42"/>
      <c r="AB925">
        <v>35.4</v>
      </c>
      <c r="AC925">
        <v>35.96</v>
      </c>
      <c r="AE925" s="74"/>
      <c r="AF925" s="77"/>
      <c r="AH925" s="497">
        <v>30.92</v>
      </c>
      <c r="AJ925" s="42"/>
      <c r="AK925" s="74"/>
      <c r="AL925" s="77"/>
      <c r="AN925" s="497">
        <v>21.92</v>
      </c>
      <c r="AP925" s="42"/>
      <c r="AQ925" s="74"/>
      <c r="AR925" s="77"/>
      <c r="AT925" s="497">
        <v>17.96</v>
      </c>
      <c r="AV925" s="42"/>
      <c r="AW925" s="74"/>
      <c r="AX925" s="77"/>
      <c r="BA925" s="497">
        <v>30.02</v>
      </c>
      <c r="BB925" s="42"/>
      <c r="BC925" s="74"/>
      <c r="BD925" s="77"/>
      <c r="BF925">
        <v>21.92</v>
      </c>
      <c r="BH925" s="42"/>
      <c r="BI925" s="74"/>
      <c r="BJ925" s="77"/>
      <c r="BL925" s="497">
        <v>24.08</v>
      </c>
      <c r="BN925" s="42"/>
      <c r="BO925" s="74"/>
      <c r="BP925" s="77"/>
      <c r="BR925" s="497">
        <v>19.04</v>
      </c>
      <c r="BT925" s="42"/>
    </row>
    <row r="926" spans="1:72" x14ac:dyDescent="0.25">
      <c r="A926" s="90">
        <v>34737</v>
      </c>
      <c r="B926" s="20">
        <v>0.83333333333333337</v>
      </c>
      <c r="D926">
        <v>24.08</v>
      </c>
      <c r="E926" t="str">
        <f t="shared" si="64"/>
        <v>WEEKDAY</v>
      </c>
      <c r="F926" t="e">
        <f t="shared" si="63"/>
        <v>#N/A</v>
      </c>
      <c r="G926" s="74">
        <v>32180</v>
      </c>
      <c r="H926" s="77">
        <v>0.83333333333333337</v>
      </c>
      <c r="J926">
        <v>24.98</v>
      </c>
      <c r="M926" s="74">
        <v>38024</v>
      </c>
      <c r="N926" s="77">
        <v>0.83333333333333337</v>
      </c>
      <c r="P926">
        <v>30.2</v>
      </c>
      <c r="S926" s="74">
        <v>34737</v>
      </c>
      <c r="T926" s="77">
        <v>0.83333333333333337</v>
      </c>
      <c r="V926">
        <v>24.08</v>
      </c>
      <c r="X926" s="42"/>
      <c r="AB926">
        <v>35.1</v>
      </c>
      <c r="AC926">
        <v>33.979999999999997</v>
      </c>
      <c r="AE926" s="74"/>
      <c r="AF926" s="77"/>
      <c r="AH926" s="497">
        <v>30.92</v>
      </c>
      <c r="AJ926" s="42"/>
      <c r="AK926" s="74"/>
      <c r="AL926" s="77"/>
      <c r="AN926" s="497">
        <v>21.92</v>
      </c>
      <c r="AP926" s="42"/>
      <c r="AQ926" s="74"/>
      <c r="AR926" s="77"/>
      <c r="AT926" s="497">
        <v>19.04</v>
      </c>
      <c r="AV926" s="42"/>
      <c r="AW926" s="74"/>
      <c r="AX926" s="77"/>
      <c r="BA926" s="497">
        <v>28.94</v>
      </c>
      <c r="BB926" s="42"/>
      <c r="BC926" s="74"/>
      <c r="BD926" s="77"/>
      <c r="BF926">
        <v>21.92</v>
      </c>
      <c r="BH926" s="42"/>
      <c r="BI926" s="74"/>
      <c r="BJ926" s="77"/>
      <c r="BL926" s="497">
        <v>24.08</v>
      </c>
      <c r="BN926" s="42"/>
      <c r="BO926" s="74"/>
      <c r="BP926" s="77"/>
      <c r="BR926" s="497">
        <v>19.04</v>
      </c>
      <c r="BT926" s="42"/>
    </row>
    <row r="927" spans="1:72" x14ac:dyDescent="0.25">
      <c r="A927" s="90">
        <v>34737</v>
      </c>
      <c r="B927" s="20">
        <v>0.875</v>
      </c>
      <c r="D927">
        <v>23</v>
      </c>
      <c r="E927" t="str">
        <f t="shared" si="64"/>
        <v>WEEKDAY</v>
      </c>
      <c r="F927" t="e">
        <f t="shared" si="63"/>
        <v>#N/A</v>
      </c>
      <c r="G927" s="74">
        <v>32180</v>
      </c>
      <c r="H927" s="77">
        <v>0.875</v>
      </c>
      <c r="J927">
        <v>24.08</v>
      </c>
      <c r="M927" s="74">
        <v>38024</v>
      </c>
      <c r="N927" s="77">
        <v>0.875</v>
      </c>
      <c r="P927">
        <v>28.4</v>
      </c>
      <c r="S927" s="74">
        <v>34737</v>
      </c>
      <c r="T927" s="77">
        <v>0.875</v>
      </c>
      <c r="V927">
        <v>21.92</v>
      </c>
      <c r="X927" s="42"/>
      <c r="AB927">
        <v>34.5</v>
      </c>
      <c r="AC927">
        <v>33.08</v>
      </c>
      <c r="AE927" s="74"/>
      <c r="AF927" s="77"/>
      <c r="AH927" s="497">
        <v>30.92</v>
      </c>
      <c r="AJ927" s="42"/>
      <c r="AK927" s="74"/>
      <c r="AL927" s="77"/>
      <c r="AN927" s="497">
        <v>21.92</v>
      </c>
      <c r="AP927" s="42"/>
      <c r="AQ927" s="74"/>
      <c r="AR927" s="77"/>
      <c r="AT927" s="497">
        <v>19.04</v>
      </c>
      <c r="AV927" s="42"/>
      <c r="AW927" s="74"/>
      <c r="AX927" s="77"/>
      <c r="BA927" s="497">
        <v>30.02</v>
      </c>
      <c r="BB927" s="42"/>
      <c r="BC927" s="74"/>
      <c r="BD927" s="77"/>
      <c r="BF927">
        <v>21.92</v>
      </c>
      <c r="BH927" s="42"/>
      <c r="BI927" s="74"/>
      <c r="BJ927" s="77"/>
      <c r="BL927" s="497">
        <v>23</v>
      </c>
      <c r="BN927" s="42"/>
      <c r="BO927" s="74"/>
      <c r="BP927" s="77"/>
      <c r="BR927" s="497">
        <v>19.939999999999998</v>
      </c>
      <c r="BT927" s="42"/>
    </row>
    <row r="928" spans="1:72" x14ac:dyDescent="0.25">
      <c r="A928" s="90">
        <v>34737</v>
      </c>
      <c r="B928" s="20">
        <v>0.91666666666666663</v>
      </c>
      <c r="D928">
        <v>23</v>
      </c>
      <c r="E928" t="str">
        <f t="shared" si="64"/>
        <v>WEEKDAY</v>
      </c>
      <c r="F928" t="e">
        <f t="shared" si="63"/>
        <v>#N/A</v>
      </c>
      <c r="G928" s="74">
        <v>32180</v>
      </c>
      <c r="H928" s="77">
        <v>0.91666666666666663</v>
      </c>
      <c r="J928">
        <v>24.08</v>
      </c>
      <c r="M928" s="74">
        <v>38024</v>
      </c>
      <c r="N928" s="77">
        <v>0.91666666666666663</v>
      </c>
      <c r="P928">
        <v>26.6</v>
      </c>
      <c r="S928" s="74">
        <v>34737</v>
      </c>
      <c r="T928" s="77">
        <v>0.91666666666666663</v>
      </c>
      <c r="V928">
        <v>23</v>
      </c>
      <c r="X928" s="42"/>
      <c r="AB928">
        <v>33.799999999999997</v>
      </c>
      <c r="AC928">
        <v>30.92</v>
      </c>
      <c r="AE928" s="74"/>
      <c r="AF928" s="77"/>
      <c r="AH928" s="497">
        <v>32</v>
      </c>
      <c r="AJ928" s="42"/>
      <c r="AK928" s="74"/>
      <c r="AL928" s="77"/>
      <c r="AN928" s="497">
        <v>21.92</v>
      </c>
      <c r="AP928" s="42"/>
      <c r="AQ928" s="74"/>
      <c r="AR928" s="77"/>
      <c r="AT928" s="497">
        <v>19.04</v>
      </c>
      <c r="AV928" s="42"/>
      <c r="AW928" s="74"/>
      <c r="AX928" s="77"/>
      <c r="BA928" s="497">
        <v>28.94</v>
      </c>
      <c r="BB928" s="42"/>
      <c r="BC928" s="74"/>
      <c r="BD928" s="77"/>
      <c r="BF928">
        <v>21.92</v>
      </c>
      <c r="BH928" s="42"/>
      <c r="BI928" s="74"/>
      <c r="BJ928" s="77"/>
      <c r="BL928" s="497">
        <v>21.92</v>
      </c>
      <c r="BN928" s="42"/>
      <c r="BO928" s="74"/>
      <c r="BP928" s="77"/>
      <c r="BR928" s="497">
        <v>21.02</v>
      </c>
      <c r="BT928" s="42"/>
    </row>
    <row r="929" spans="1:72" x14ac:dyDescent="0.25">
      <c r="A929" s="90">
        <v>34737</v>
      </c>
      <c r="B929" s="20">
        <v>0.95833333333333337</v>
      </c>
      <c r="D929">
        <v>24.08</v>
      </c>
      <c r="E929" t="str">
        <f t="shared" si="64"/>
        <v>WEEKDAY</v>
      </c>
      <c r="F929" t="e">
        <f t="shared" si="63"/>
        <v>#N/A</v>
      </c>
      <c r="G929" s="74">
        <v>32180</v>
      </c>
      <c r="H929" s="77">
        <v>0.95833333333333337</v>
      </c>
      <c r="J929">
        <v>24.98</v>
      </c>
      <c r="M929" s="74">
        <v>38024</v>
      </c>
      <c r="N929" s="77">
        <v>0.95833333333333337</v>
      </c>
      <c r="P929">
        <v>24.8</v>
      </c>
      <c r="S929" s="74">
        <v>34737</v>
      </c>
      <c r="T929" s="77">
        <v>0.95833333333333337</v>
      </c>
      <c r="V929">
        <v>23</v>
      </c>
      <c r="X929" s="42"/>
      <c r="AB929">
        <v>33.299999999999997</v>
      </c>
      <c r="AC929">
        <v>28.94</v>
      </c>
      <c r="AE929" s="74"/>
      <c r="AF929" s="77"/>
      <c r="AH929" s="497">
        <v>32.9</v>
      </c>
      <c r="AJ929" s="42"/>
      <c r="AK929" s="74"/>
      <c r="AL929" s="77"/>
      <c r="AN929" s="497">
        <v>21.92</v>
      </c>
      <c r="AP929" s="42"/>
      <c r="AQ929" s="74"/>
      <c r="AR929" s="77"/>
      <c r="AT929" s="497">
        <v>19.04</v>
      </c>
      <c r="AV929" s="42"/>
      <c r="AW929" s="74"/>
      <c r="AX929" s="77"/>
      <c r="BA929" s="497">
        <v>26.96</v>
      </c>
      <c r="BB929" s="42"/>
      <c r="BC929" s="74"/>
      <c r="BD929" s="77"/>
      <c r="BF929">
        <v>21.92</v>
      </c>
      <c r="BH929" s="42"/>
      <c r="BI929" s="74"/>
      <c r="BJ929" s="77"/>
      <c r="BL929" s="497">
        <v>23</v>
      </c>
      <c r="BN929" s="42"/>
      <c r="BO929" s="74"/>
      <c r="BP929" s="77"/>
      <c r="BR929" s="497">
        <v>21.92</v>
      </c>
      <c r="BT929" s="42"/>
    </row>
    <row r="930" spans="1:72" x14ac:dyDescent="0.25">
      <c r="A930" s="90">
        <v>34737</v>
      </c>
      <c r="B930" s="20">
        <v>1</v>
      </c>
      <c r="D930">
        <v>24.08</v>
      </c>
      <c r="E930" t="str">
        <f t="shared" si="64"/>
        <v>WEEKDAY</v>
      </c>
      <c r="F930" t="e">
        <f t="shared" si="63"/>
        <v>#N/A</v>
      </c>
      <c r="G930" s="74">
        <v>32180</v>
      </c>
      <c r="H930" s="77">
        <v>1</v>
      </c>
      <c r="J930">
        <v>24.98</v>
      </c>
      <c r="M930" s="74">
        <v>38024</v>
      </c>
      <c r="N930" s="80">
        <v>1</v>
      </c>
      <c r="P930">
        <v>24.8</v>
      </c>
      <c r="S930" s="74">
        <v>34737</v>
      </c>
      <c r="T930" s="80">
        <v>1</v>
      </c>
      <c r="V930">
        <v>21.92</v>
      </c>
      <c r="X930" s="42"/>
      <c r="AB930">
        <v>32.700000000000003</v>
      </c>
      <c r="AC930">
        <v>26.96</v>
      </c>
      <c r="AE930" s="74"/>
      <c r="AF930" s="80"/>
      <c r="AH930" s="497">
        <v>30.92</v>
      </c>
      <c r="AJ930" s="42"/>
      <c r="AK930" s="74"/>
      <c r="AL930" s="80"/>
      <c r="AN930" s="497">
        <v>21.92</v>
      </c>
      <c r="AP930" s="42"/>
      <c r="AQ930" s="74"/>
      <c r="AR930" s="80"/>
      <c r="AT930" s="497">
        <v>19.939999999999998</v>
      </c>
      <c r="AV930" s="42"/>
      <c r="AW930" s="74"/>
      <c r="AX930" s="80"/>
      <c r="BA930" s="497">
        <v>26.96</v>
      </c>
      <c r="BB930" s="42"/>
      <c r="BC930" s="74"/>
      <c r="BD930" s="80"/>
      <c r="BF930">
        <v>23</v>
      </c>
      <c r="BH930" s="42"/>
      <c r="BI930" s="74"/>
      <c r="BJ930" s="80"/>
      <c r="BL930" s="497">
        <v>24.08</v>
      </c>
      <c r="BN930" s="42"/>
      <c r="BO930" s="74"/>
      <c r="BP930" s="80"/>
      <c r="BR930" s="497">
        <v>21.92</v>
      </c>
      <c r="BT930" s="42"/>
    </row>
    <row r="931" spans="1:72" x14ac:dyDescent="0.25">
      <c r="A931" s="90">
        <v>34738</v>
      </c>
      <c r="B931" s="20">
        <v>4.1666666666666664E-2</v>
      </c>
      <c r="D931">
        <v>24.08</v>
      </c>
      <c r="E931" t="str">
        <f t="shared" si="64"/>
        <v>WEEKDAY</v>
      </c>
      <c r="F931" t="e">
        <f t="shared" si="63"/>
        <v>#N/A</v>
      </c>
      <c r="G931" s="74">
        <v>32181</v>
      </c>
      <c r="H931" s="77">
        <v>4.1666666666666664E-2</v>
      </c>
      <c r="J931">
        <v>26.060000000000002</v>
      </c>
      <c r="M931" s="74">
        <v>38025</v>
      </c>
      <c r="N931" s="77">
        <v>4.1666666666666664E-2</v>
      </c>
      <c r="P931">
        <v>24.8</v>
      </c>
      <c r="S931" s="74">
        <v>34738</v>
      </c>
      <c r="T931" s="77">
        <v>4.1666666666666664E-2</v>
      </c>
      <c r="V931">
        <v>21.92</v>
      </c>
      <c r="X931" s="42"/>
      <c r="AB931">
        <v>32.200000000000003</v>
      </c>
      <c r="AC931">
        <v>24.98</v>
      </c>
      <c r="AE931" s="74"/>
      <c r="AF931" s="77"/>
      <c r="AH931" s="497">
        <v>28.94</v>
      </c>
      <c r="AJ931" s="42"/>
      <c r="AK931" s="74"/>
      <c r="AL931" s="77"/>
      <c r="AN931" s="497">
        <v>21.92</v>
      </c>
      <c r="AP931" s="42"/>
      <c r="AQ931" s="74"/>
      <c r="AR931" s="77"/>
      <c r="AT931" s="497">
        <v>19.939999999999998</v>
      </c>
      <c r="AV931" s="42"/>
      <c r="AW931" s="74"/>
      <c r="AX931" s="77"/>
      <c r="BA931" s="497">
        <v>24.98</v>
      </c>
      <c r="BB931" s="42"/>
      <c r="BC931" s="74"/>
      <c r="BD931" s="77"/>
      <c r="BF931">
        <v>23</v>
      </c>
      <c r="BH931" s="42"/>
      <c r="BI931" s="74"/>
      <c r="BJ931" s="77"/>
      <c r="BL931" s="497">
        <v>23</v>
      </c>
      <c r="BN931" s="42"/>
      <c r="BO931" s="74"/>
      <c r="BP931" s="77"/>
      <c r="BR931" s="497">
        <v>21.92</v>
      </c>
      <c r="BT931" s="42"/>
    </row>
    <row r="932" spans="1:72" x14ac:dyDescent="0.25">
      <c r="A932" s="90">
        <v>34738</v>
      </c>
      <c r="B932" s="20">
        <v>8.3333333333333329E-2</v>
      </c>
      <c r="D932">
        <v>24.98</v>
      </c>
      <c r="E932" t="str">
        <f t="shared" si="64"/>
        <v>WEEKDAY</v>
      </c>
      <c r="F932" t="e">
        <f t="shared" si="63"/>
        <v>#N/A</v>
      </c>
      <c r="G932" s="74">
        <v>32181</v>
      </c>
      <c r="H932" s="77">
        <v>8.3333333333333329E-2</v>
      </c>
      <c r="J932">
        <v>26.060000000000002</v>
      </c>
      <c r="M932" s="74">
        <v>38025</v>
      </c>
      <c r="N932" s="77">
        <v>8.3333333333333329E-2</v>
      </c>
      <c r="P932">
        <v>24.8</v>
      </c>
      <c r="S932" s="74">
        <v>34738</v>
      </c>
      <c r="T932" s="77">
        <v>8.3333333333333329E-2</v>
      </c>
      <c r="V932">
        <v>21.92</v>
      </c>
      <c r="X932" s="42"/>
      <c r="AB932">
        <v>31.7</v>
      </c>
      <c r="AC932">
        <v>23</v>
      </c>
      <c r="AE932" s="74"/>
      <c r="AF932" s="77"/>
      <c r="AH932" s="497">
        <v>28.94</v>
      </c>
      <c r="AJ932" s="42"/>
      <c r="AK932" s="74"/>
      <c r="AL932" s="77"/>
      <c r="AN932" s="497">
        <v>21.92</v>
      </c>
      <c r="AP932" s="42"/>
      <c r="AQ932" s="74"/>
      <c r="AR932" s="77"/>
      <c r="AT932" s="497">
        <v>21.02</v>
      </c>
      <c r="AV932" s="42"/>
      <c r="AW932" s="74"/>
      <c r="AX932" s="77"/>
      <c r="BA932" s="497">
        <v>23</v>
      </c>
      <c r="BB932" s="42"/>
      <c r="BC932" s="74"/>
      <c r="BD932" s="77"/>
      <c r="BF932">
        <v>23</v>
      </c>
      <c r="BH932" s="42"/>
      <c r="BI932" s="74"/>
      <c r="BJ932" s="77"/>
      <c r="BL932" s="497">
        <v>23</v>
      </c>
      <c r="BN932" s="42"/>
      <c r="BO932" s="74"/>
      <c r="BP932" s="77"/>
      <c r="BR932" s="497">
        <v>23</v>
      </c>
      <c r="BT932" s="42"/>
    </row>
    <row r="933" spans="1:72" x14ac:dyDescent="0.25">
      <c r="A933" s="90">
        <v>34738</v>
      </c>
      <c r="B933" s="20">
        <v>0.125</v>
      </c>
      <c r="D933">
        <v>23</v>
      </c>
      <c r="E933" t="str">
        <f t="shared" si="64"/>
        <v>WEEKDAY</v>
      </c>
      <c r="F933" t="e">
        <f t="shared" si="63"/>
        <v>#N/A</v>
      </c>
      <c r="G933" s="74">
        <v>32181</v>
      </c>
      <c r="H933" s="77">
        <v>0.125</v>
      </c>
      <c r="J933">
        <v>26.060000000000002</v>
      </c>
      <c r="M933" s="74">
        <v>38025</v>
      </c>
      <c r="N933" s="77">
        <v>0.125</v>
      </c>
      <c r="P933">
        <v>23</v>
      </c>
      <c r="S933" s="74">
        <v>34738</v>
      </c>
      <c r="T933" s="77">
        <v>0.125</v>
      </c>
      <c r="V933">
        <v>23</v>
      </c>
      <c r="X933" s="42"/>
      <c r="AB933">
        <v>31.1</v>
      </c>
      <c r="AC933">
        <v>21.92</v>
      </c>
      <c r="AE933" s="74"/>
      <c r="AF933" s="77"/>
      <c r="AH933" s="497">
        <v>28.94</v>
      </c>
      <c r="AJ933" s="42"/>
      <c r="AK933" s="74"/>
      <c r="AL933" s="77"/>
      <c r="AN933" s="497">
        <v>21.92</v>
      </c>
      <c r="AP933" s="42"/>
      <c r="AQ933" s="74"/>
      <c r="AR933" s="77"/>
      <c r="AT933" s="497">
        <v>21.02</v>
      </c>
      <c r="AV933" s="42"/>
      <c r="AW933" s="74"/>
      <c r="AX933" s="77"/>
      <c r="BA933" s="497">
        <v>19.939999999999998</v>
      </c>
      <c r="BB933" s="42"/>
      <c r="BC933" s="74"/>
      <c r="BD933" s="77"/>
      <c r="BF933">
        <v>23</v>
      </c>
      <c r="BH933" s="42"/>
      <c r="BI933" s="74"/>
      <c r="BJ933" s="77"/>
      <c r="BL933" s="497">
        <v>24.08</v>
      </c>
      <c r="BN933" s="42"/>
      <c r="BO933" s="74"/>
      <c r="BP933" s="77"/>
      <c r="BR933" s="497">
        <v>21.02</v>
      </c>
      <c r="BT933" s="42"/>
    </row>
    <row r="934" spans="1:72" x14ac:dyDescent="0.25">
      <c r="A934" s="90">
        <v>34738</v>
      </c>
      <c r="B934" s="20">
        <v>0.16666666666666666</v>
      </c>
      <c r="D934">
        <v>23</v>
      </c>
      <c r="E934" t="str">
        <f t="shared" si="64"/>
        <v>WEEKDAY</v>
      </c>
      <c r="F934" t="e">
        <f t="shared" si="63"/>
        <v>#N/A</v>
      </c>
      <c r="G934" s="74">
        <v>32181</v>
      </c>
      <c r="H934" s="77">
        <v>0.16666666666666666</v>
      </c>
      <c r="J934">
        <v>26.060000000000002</v>
      </c>
      <c r="M934" s="74">
        <v>38025</v>
      </c>
      <c r="N934" s="77">
        <v>0.16666666666666666</v>
      </c>
      <c r="P934">
        <v>21.2</v>
      </c>
      <c r="S934" s="74">
        <v>34738</v>
      </c>
      <c r="T934" s="77">
        <v>0.16666666666666666</v>
      </c>
      <c r="V934">
        <v>21.02</v>
      </c>
      <c r="X934" s="42"/>
      <c r="AB934">
        <v>30.8</v>
      </c>
      <c r="AC934">
        <v>21.02</v>
      </c>
      <c r="AE934" s="74"/>
      <c r="AF934" s="77"/>
      <c r="AH934" s="497">
        <v>28.94</v>
      </c>
      <c r="AJ934" s="42"/>
      <c r="AK934" s="74"/>
      <c r="AL934" s="77"/>
      <c r="AN934" s="497">
        <v>21.02</v>
      </c>
      <c r="AP934" s="42"/>
      <c r="AQ934" s="74"/>
      <c r="AR934" s="77"/>
      <c r="AT934" s="497">
        <v>21.02</v>
      </c>
      <c r="AV934" s="42"/>
      <c r="AW934" s="74"/>
      <c r="AX934" s="77"/>
      <c r="BA934" s="497">
        <v>19.939999999999998</v>
      </c>
      <c r="BB934" s="42"/>
      <c r="BC934" s="74"/>
      <c r="BD934" s="77"/>
      <c r="BF934">
        <v>19.939999999999998</v>
      </c>
      <c r="BH934" s="42"/>
      <c r="BI934" s="74"/>
      <c r="BJ934" s="77"/>
      <c r="BL934" s="497">
        <v>24.08</v>
      </c>
      <c r="BN934" s="42"/>
      <c r="BO934" s="74"/>
      <c r="BP934" s="77"/>
      <c r="BR934" s="497">
        <v>21.02</v>
      </c>
      <c r="BT934" s="42"/>
    </row>
    <row r="935" spans="1:72" x14ac:dyDescent="0.25">
      <c r="A935" s="90">
        <v>34738</v>
      </c>
      <c r="B935" s="20">
        <v>0.20833333333333334</v>
      </c>
      <c r="D935">
        <v>21.92</v>
      </c>
      <c r="E935" t="str">
        <f t="shared" si="64"/>
        <v>WEEKDAY</v>
      </c>
      <c r="F935" t="e">
        <f t="shared" si="63"/>
        <v>#N/A</v>
      </c>
      <c r="G935" s="74">
        <v>32181</v>
      </c>
      <c r="H935" s="77">
        <v>0.20833333333333334</v>
      </c>
      <c r="J935">
        <v>26.96</v>
      </c>
      <c r="M935" s="74">
        <v>38025</v>
      </c>
      <c r="N935" s="77">
        <v>0.20833333333333334</v>
      </c>
      <c r="P935">
        <v>19.399999999999999</v>
      </c>
      <c r="S935" s="74">
        <v>34738</v>
      </c>
      <c r="T935" s="77">
        <v>0.20833333333333334</v>
      </c>
      <c r="V935">
        <v>21.02</v>
      </c>
      <c r="X935" s="42"/>
      <c r="AB935">
        <v>30.4</v>
      </c>
      <c r="AC935">
        <v>19.939999999999998</v>
      </c>
      <c r="AE935" s="74"/>
      <c r="AF935" s="77"/>
      <c r="AH935" s="497">
        <v>28.94</v>
      </c>
      <c r="AJ935" s="42"/>
      <c r="AK935" s="74"/>
      <c r="AL935" s="77"/>
      <c r="AN935" s="497">
        <v>21.02</v>
      </c>
      <c r="AP935" s="42"/>
      <c r="AQ935" s="74"/>
      <c r="AR935" s="77"/>
      <c r="AT935" s="497">
        <v>21.02</v>
      </c>
      <c r="AV935" s="42"/>
      <c r="AW935" s="74"/>
      <c r="AX935" s="77"/>
      <c r="BA935" s="497">
        <v>24.08</v>
      </c>
      <c r="BB935" s="42"/>
      <c r="BC935" s="74"/>
      <c r="BD935" s="77"/>
      <c r="BF935">
        <v>19.04</v>
      </c>
      <c r="BH935" s="42"/>
      <c r="BI935" s="74"/>
      <c r="BJ935" s="77"/>
      <c r="BL935" s="497">
        <v>21.02</v>
      </c>
      <c r="BN935" s="42"/>
      <c r="BO935" s="74"/>
      <c r="BP935" s="77"/>
      <c r="BR935" s="497">
        <v>21.92</v>
      </c>
      <c r="BT935" s="42"/>
    </row>
    <row r="936" spans="1:72" x14ac:dyDescent="0.25">
      <c r="A936" s="90">
        <v>34738</v>
      </c>
      <c r="B936" s="20">
        <v>0.25</v>
      </c>
      <c r="D936">
        <v>21.02</v>
      </c>
      <c r="E936" t="str">
        <f t="shared" si="64"/>
        <v>WEEKDAY</v>
      </c>
      <c r="F936" t="e">
        <f t="shared" si="63"/>
        <v>#N/A</v>
      </c>
      <c r="G936" s="74">
        <v>32181</v>
      </c>
      <c r="H936" s="77">
        <v>0.25</v>
      </c>
      <c r="J936">
        <v>26.96</v>
      </c>
      <c r="M936" s="74">
        <v>38025</v>
      </c>
      <c r="N936" s="77">
        <v>0.25</v>
      </c>
      <c r="P936">
        <v>17.600000000000001</v>
      </c>
      <c r="S936" s="74">
        <v>34738</v>
      </c>
      <c r="T936" s="77">
        <v>0.25</v>
      </c>
      <c r="V936">
        <v>19.04</v>
      </c>
      <c r="X936" s="42"/>
      <c r="AB936">
        <v>30.2</v>
      </c>
      <c r="AC936">
        <v>19.04</v>
      </c>
      <c r="AE936" s="74"/>
      <c r="AF936" s="77"/>
      <c r="AH936" s="497">
        <v>28.94</v>
      </c>
      <c r="AJ936" s="42"/>
      <c r="AK936" s="74"/>
      <c r="AL936" s="77"/>
      <c r="AN936" s="497">
        <v>19.939999999999998</v>
      </c>
      <c r="AP936" s="42"/>
      <c r="AQ936" s="74"/>
      <c r="AR936" s="77"/>
      <c r="AT936" s="497">
        <v>19.939999999999998</v>
      </c>
      <c r="AV936" s="42"/>
      <c r="AW936" s="74"/>
      <c r="AX936" s="77"/>
      <c r="BA936" s="497">
        <v>24.98</v>
      </c>
      <c r="BB936" s="42"/>
      <c r="BC936" s="74"/>
      <c r="BD936" s="77"/>
      <c r="BF936">
        <v>17.059999999999999</v>
      </c>
      <c r="BH936" s="42"/>
      <c r="BI936" s="74"/>
      <c r="BJ936" s="77"/>
      <c r="BL936" s="497">
        <v>21.02</v>
      </c>
      <c r="BN936" s="42"/>
      <c r="BO936" s="74"/>
      <c r="BP936" s="77"/>
      <c r="BR936" s="497">
        <v>21.02</v>
      </c>
      <c r="BT936" s="42"/>
    </row>
    <row r="937" spans="1:72" x14ac:dyDescent="0.25">
      <c r="A937" s="90">
        <v>34738</v>
      </c>
      <c r="B937" s="20">
        <v>0.29166666666666669</v>
      </c>
      <c r="D937">
        <v>19.939999999999998</v>
      </c>
      <c r="E937" t="str">
        <f t="shared" si="64"/>
        <v>WEEKDAY</v>
      </c>
      <c r="F937" t="e">
        <f t="shared" si="63"/>
        <v>#N/A</v>
      </c>
      <c r="G937" s="74">
        <v>32181</v>
      </c>
      <c r="H937" s="77">
        <v>0.29166666666666669</v>
      </c>
      <c r="J937">
        <v>26.96</v>
      </c>
      <c r="M937" s="74">
        <v>38025</v>
      </c>
      <c r="N937" s="77">
        <v>0.29166666666666669</v>
      </c>
      <c r="P937">
        <v>15.8</v>
      </c>
      <c r="S937" s="74">
        <v>34738</v>
      </c>
      <c r="T937" s="77">
        <v>0.29166666666666669</v>
      </c>
      <c r="V937">
        <v>19.939999999999998</v>
      </c>
      <c r="X937" s="42"/>
      <c r="AB937">
        <v>30.1</v>
      </c>
      <c r="AC937">
        <v>17.96</v>
      </c>
      <c r="AE937" s="74"/>
      <c r="AF937" s="77"/>
      <c r="AH937" s="497">
        <v>29.84</v>
      </c>
      <c r="AJ937" s="42"/>
      <c r="AK937" s="74"/>
      <c r="AL937" s="77"/>
      <c r="AN937" s="497">
        <v>19.939999999999998</v>
      </c>
      <c r="AP937" s="42"/>
      <c r="AQ937" s="74"/>
      <c r="AR937" s="77"/>
      <c r="AT937" s="497">
        <v>19.04</v>
      </c>
      <c r="AV937" s="42"/>
      <c r="AW937" s="74"/>
      <c r="AX937" s="77"/>
      <c r="BA937" s="497">
        <v>26.060000000000002</v>
      </c>
      <c r="BB937" s="42"/>
      <c r="BC937" s="74"/>
      <c r="BD937" s="77"/>
      <c r="BF937">
        <v>14</v>
      </c>
      <c r="BH937" s="42"/>
      <c r="BI937" s="74"/>
      <c r="BJ937" s="77"/>
      <c r="BL937" s="497">
        <v>17.96</v>
      </c>
      <c r="BN937" s="42"/>
      <c r="BO937" s="74"/>
      <c r="BP937" s="77"/>
      <c r="BR937" s="497">
        <v>17.96</v>
      </c>
      <c r="BT937" s="42"/>
    </row>
    <row r="938" spans="1:72" x14ac:dyDescent="0.25">
      <c r="A938" s="90">
        <v>34738</v>
      </c>
      <c r="B938" s="20">
        <v>0.33333333333333331</v>
      </c>
      <c r="D938">
        <v>21.02</v>
      </c>
      <c r="E938" t="str">
        <f t="shared" si="64"/>
        <v>WEEKDAY</v>
      </c>
      <c r="F938" t="e">
        <f t="shared" si="63"/>
        <v>#N/A</v>
      </c>
      <c r="G938" s="74">
        <v>32181</v>
      </c>
      <c r="H938" s="77">
        <v>0.33333333333333331</v>
      </c>
      <c r="J938">
        <v>28.04</v>
      </c>
      <c r="M938" s="74">
        <v>38025</v>
      </c>
      <c r="N938" s="77">
        <v>0.33333333333333331</v>
      </c>
      <c r="P938">
        <v>15.8</v>
      </c>
      <c r="S938" s="74">
        <v>34738</v>
      </c>
      <c r="T938" s="77">
        <v>0.33333333333333331</v>
      </c>
      <c r="V938">
        <v>21.92</v>
      </c>
      <c r="X938" s="42"/>
      <c r="AB938">
        <v>30</v>
      </c>
      <c r="AC938">
        <v>19.939999999999998</v>
      </c>
      <c r="AE938" s="74"/>
      <c r="AF938" s="77"/>
      <c r="AH938" s="497">
        <v>29.48</v>
      </c>
      <c r="AJ938" s="42"/>
      <c r="AK938" s="74"/>
      <c r="AL938" s="77"/>
      <c r="AN938" s="497">
        <v>19.939999999999998</v>
      </c>
      <c r="AP938" s="42"/>
      <c r="AQ938" s="74"/>
      <c r="AR938" s="77"/>
      <c r="AT938" s="497">
        <v>19.04</v>
      </c>
      <c r="AV938" s="42"/>
      <c r="AW938" s="74"/>
      <c r="AX938" s="77"/>
      <c r="BA938" s="497">
        <v>24.08</v>
      </c>
      <c r="BB938" s="42"/>
      <c r="BC938" s="74"/>
      <c r="BD938" s="77"/>
      <c r="BF938">
        <v>14</v>
      </c>
      <c r="BH938" s="42"/>
      <c r="BI938" s="74"/>
      <c r="BJ938" s="77"/>
      <c r="BL938" s="497">
        <v>17.96</v>
      </c>
      <c r="BN938" s="42"/>
      <c r="BO938" s="74"/>
      <c r="BP938" s="77"/>
      <c r="BR938" s="497">
        <v>15.079999999999998</v>
      </c>
      <c r="BT938" s="42"/>
    </row>
    <row r="939" spans="1:72" x14ac:dyDescent="0.25">
      <c r="A939" s="90">
        <v>34738</v>
      </c>
      <c r="B939" s="20">
        <v>0.375</v>
      </c>
      <c r="D939">
        <v>21.02</v>
      </c>
      <c r="E939" t="str">
        <f t="shared" si="64"/>
        <v>WEEKDAY</v>
      </c>
      <c r="F939" t="e">
        <f t="shared" ref="F939:F1002" si="65">IF(E939="WEEKDAY",VLOOKUP(B939,$DD$19:$DG$42,2),IF(E939="SATURDAY",VLOOKUP(B939,$DD$19:$DG$42,3),VLOOKUP(B939,$DD$19:$DG$42,4)))</f>
        <v>#N/A</v>
      </c>
      <c r="G939" s="74">
        <v>32181</v>
      </c>
      <c r="H939" s="77">
        <v>0.375</v>
      </c>
      <c r="J939">
        <v>30.92</v>
      </c>
      <c r="M939" s="74">
        <v>38025</v>
      </c>
      <c r="N939" s="77">
        <v>0.375</v>
      </c>
      <c r="P939">
        <v>17.600000000000001</v>
      </c>
      <c r="S939" s="74">
        <v>34738</v>
      </c>
      <c r="T939" s="77">
        <v>0.375</v>
      </c>
      <c r="V939">
        <v>24.08</v>
      </c>
      <c r="X939" s="42"/>
      <c r="AB939">
        <v>30.9</v>
      </c>
      <c r="AC939">
        <v>21.92</v>
      </c>
      <c r="AE939" s="74"/>
      <c r="AF939" s="77"/>
      <c r="AH939" s="497">
        <v>30.92</v>
      </c>
      <c r="AJ939" s="42"/>
      <c r="AK939" s="74"/>
      <c r="AL939" s="77"/>
      <c r="AN939" s="497">
        <v>24.08</v>
      </c>
      <c r="AP939" s="42"/>
      <c r="AQ939" s="74"/>
      <c r="AR939" s="77"/>
      <c r="AT939" s="497">
        <v>23</v>
      </c>
      <c r="AV939" s="42"/>
      <c r="AW939" s="74"/>
      <c r="AX939" s="77"/>
      <c r="BA939" s="497">
        <v>24.98</v>
      </c>
      <c r="BB939" s="42"/>
      <c r="BC939" s="74"/>
      <c r="BD939" s="77"/>
      <c r="BF939">
        <v>15.079999999999998</v>
      </c>
      <c r="BH939" s="42"/>
      <c r="BI939" s="74"/>
      <c r="BJ939" s="77"/>
      <c r="BL939" s="497">
        <v>17.96</v>
      </c>
      <c r="BN939" s="42"/>
      <c r="BO939" s="74"/>
      <c r="BP939" s="77"/>
      <c r="BR939" s="497">
        <v>15.98</v>
      </c>
      <c r="BT939" s="42"/>
    </row>
    <row r="940" spans="1:72" x14ac:dyDescent="0.25">
      <c r="A940" s="90">
        <v>34738</v>
      </c>
      <c r="B940" s="20">
        <v>0.41666666666666669</v>
      </c>
      <c r="D940">
        <v>21.92</v>
      </c>
      <c r="E940" t="str">
        <f t="shared" si="64"/>
        <v>WEEKDAY</v>
      </c>
      <c r="F940" t="e">
        <f t="shared" si="65"/>
        <v>#N/A</v>
      </c>
      <c r="G940" s="74">
        <v>32181</v>
      </c>
      <c r="H940" s="77">
        <v>0.41666666666666669</v>
      </c>
      <c r="J940">
        <v>33.08</v>
      </c>
      <c r="M940" s="74">
        <v>38025</v>
      </c>
      <c r="N940" s="77">
        <v>0.41666666666666669</v>
      </c>
      <c r="P940">
        <v>19.399999999999999</v>
      </c>
      <c r="S940" s="74">
        <v>34738</v>
      </c>
      <c r="T940" s="77">
        <v>0.41666666666666669</v>
      </c>
      <c r="V940">
        <v>24.98</v>
      </c>
      <c r="X940" s="42"/>
      <c r="AB940">
        <v>32.5</v>
      </c>
      <c r="AC940">
        <v>23</v>
      </c>
      <c r="AE940" s="74"/>
      <c r="AF940" s="77"/>
      <c r="AH940" s="497">
        <v>32.9</v>
      </c>
      <c r="AJ940" s="42"/>
      <c r="AK940" s="74"/>
      <c r="AL940" s="77"/>
      <c r="AN940" s="497">
        <v>24.98</v>
      </c>
      <c r="AP940" s="42"/>
      <c r="AQ940" s="74"/>
      <c r="AR940" s="77"/>
      <c r="AT940" s="497">
        <v>26.96</v>
      </c>
      <c r="AV940" s="42"/>
      <c r="AW940" s="74"/>
      <c r="AX940" s="77"/>
      <c r="BA940" s="497">
        <v>26.96</v>
      </c>
      <c r="BB940" s="42"/>
      <c r="BC940" s="74"/>
      <c r="BD940" s="77"/>
      <c r="BF940">
        <v>17.059999999999999</v>
      </c>
      <c r="BH940" s="42"/>
      <c r="BI940" s="74"/>
      <c r="BJ940" s="77"/>
      <c r="BL940" s="497">
        <v>17.96</v>
      </c>
      <c r="BN940" s="42"/>
      <c r="BO940" s="74"/>
      <c r="BP940" s="77"/>
      <c r="BR940" s="497">
        <v>12.920000000000002</v>
      </c>
      <c r="BT940" s="42"/>
    </row>
    <row r="941" spans="1:72" x14ac:dyDescent="0.25">
      <c r="A941" s="90">
        <v>34738</v>
      </c>
      <c r="B941" s="20">
        <v>0.45833333333333331</v>
      </c>
      <c r="D941">
        <v>23</v>
      </c>
      <c r="E941" t="str">
        <f t="shared" si="64"/>
        <v>WEEKDAY</v>
      </c>
      <c r="F941" t="e">
        <f t="shared" si="65"/>
        <v>#N/A</v>
      </c>
      <c r="G941" s="74">
        <v>32181</v>
      </c>
      <c r="H941" s="77">
        <v>0.45833333333333331</v>
      </c>
      <c r="J941">
        <v>33.979999999999997</v>
      </c>
      <c r="M941" s="74">
        <v>38025</v>
      </c>
      <c r="N941" s="77">
        <v>0.45833333333333331</v>
      </c>
      <c r="P941">
        <v>19.399999999999999</v>
      </c>
      <c r="S941" s="74">
        <v>34738</v>
      </c>
      <c r="T941" s="77">
        <v>0.45833333333333331</v>
      </c>
      <c r="V941">
        <v>24.98</v>
      </c>
      <c r="X941" s="42"/>
      <c r="AB941">
        <v>33.9</v>
      </c>
      <c r="AC941">
        <v>24.98</v>
      </c>
      <c r="AE941" s="74"/>
      <c r="AF941" s="77"/>
      <c r="AH941" s="497">
        <v>33.979999999999997</v>
      </c>
      <c r="AJ941" s="42"/>
      <c r="AK941" s="74"/>
      <c r="AL941" s="77"/>
      <c r="AN941" s="497">
        <v>26.060000000000002</v>
      </c>
      <c r="AP941" s="42"/>
      <c r="AQ941" s="74"/>
      <c r="AR941" s="77"/>
      <c r="AT941" s="497">
        <v>24.98</v>
      </c>
      <c r="AV941" s="42"/>
      <c r="AW941" s="74"/>
      <c r="AX941" s="77"/>
      <c r="BA941" s="497">
        <v>26.96</v>
      </c>
      <c r="BB941" s="42"/>
      <c r="BC941" s="74"/>
      <c r="BD941" s="77"/>
      <c r="BF941">
        <v>19.04</v>
      </c>
      <c r="BH941" s="42"/>
      <c r="BI941" s="74"/>
      <c r="BJ941" s="77"/>
      <c r="BL941" s="497">
        <v>19.04</v>
      </c>
      <c r="BN941" s="42"/>
      <c r="BO941" s="74"/>
      <c r="BP941" s="77"/>
      <c r="BR941" s="497">
        <v>12.920000000000002</v>
      </c>
      <c r="BT941" s="42"/>
    </row>
    <row r="942" spans="1:72" x14ac:dyDescent="0.25">
      <c r="A942" s="90">
        <v>34738</v>
      </c>
      <c r="B942" s="20">
        <v>0.5</v>
      </c>
      <c r="D942">
        <v>26.060000000000002</v>
      </c>
      <c r="E942" t="str">
        <f t="shared" si="64"/>
        <v>WEEKDAY</v>
      </c>
      <c r="F942" t="e">
        <f t="shared" si="65"/>
        <v>#N/A</v>
      </c>
      <c r="G942" s="74">
        <v>32181</v>
      </c>
      <c r="H942" s="77">
        <v>0.5</v>
      </c>
      <c r="J942">
        <v>35.96</v>
      </c>
      <c r="M942" s="74">
        <v>38025</v>
      </c>
      <c r="N942" s="77">
        <v>0.5</v>
      </c>
      <c r="P942">
        <v>21.2</v>
      </c>
      <c r="S942" s="74">
        <v>34738</v>
      </c>
      <c r="T942" s="77">
        <v>0.5</v>
      </c>
      <c r="V942">
        <v>26.060000000000002</v>
      </c>
      <c r="X942" s="42"/>
      <c r="AB942">
        <v>35.299999999999997</v>
      </c>
      <c r="AC942">
        <v>26.060000000000002</v>
      </c>
      <c r="AE942" s="74"/>
      <c r="AF942" s="77"/>
      <c r="AH942" s="497">
        <v>33.979999999999997</v>
      </c>
      <c r="AJ942" s="42"/>
      <c r="AK942" s="74"/>
      <c r="AL942" s="77"/>
      <c r="AN942" s="497">
        <v>28.04</v>
      </c>
      <c r="AP942" s="42"/>
      <c r="AQ942" s="74"/>
      <c r="AR942" s="77"/>
      <c r="AT942" s="497">
        <v>24.98</v>
      </c>
      <c r="AV942" s="42"/>
      <c r="AW942" s="74"/>
      <c r="AX942" s="77"/>
      <c r="BA942" s="497">
        <v>28.04</v>
      </c>
      <c r="BB942" s="42"/>
      <c r="BC942" s="74"/>
      <c r="BD942" s="77"/>
      <c r="BF942">
        <v>19.939999999999998</v>
      </c>
      <c r="BH942" s="42"/>
      <c r="BI942" s="74"/>
      <c r="BJ942" s="77"/>
      <c r="BL942" s="497">
        <v>19.939999999999998</v>
      </c>
      <c r="BN942" s="42"/>
      <c r="BO942" s="74"/>
      <c r="BP942" s="77"/>
      <c r="BR942" s="497">
        <v>12.920000000000002</v>
      </c>
      <c r="BT942" s="42"/>
    </row>
    <row r="943" spans="1:72" x14ac:dyDescent="0.25">
      <c r="A943" s="90">
        <v>34738</v>
      </c>
      <c r="B943" s="20">
        <v>0.54166666666666663</v>
      </c>
      <c r="D943">
        <v>26.96</v>
      </c>
      <c r="E943" t="str">
        <f t="shared" si="64"/>
        <v>WEEKDAY</v>
      </c>
      <c r="F943" t="e">
        <f t="shared" si="65"/>
        <v>#N/A</v>
      </c>
      <c r="G943" s="74">
        <v>32181</v>
      </c>
      <c r="H943" s="77">
        <v>0.54166666666666663</v>
      </c>
      <c r="J943">
        <v>37.04</v>
      </c>
      <c r="M943" s="74">
        <v>38025</v>
      </c>
      <c r="N943" s="77">
        <v>0.54166666666666663</v>
      </c>
      <c r="P943">
        <v>24.8</v>
      </c>
      <c r="S943" s="74">
        <v>34738</v>
      </c>
      <c r="T943" s="77">
        <v>0.54166666666666663</v>
      </c>
      <c r="V943">
        <v>28.04</v>
      </c>
      <c r="X943" s="42"/>
      <c r="AB943">
        <v>36.299999999999997</v>
      </c>
      <c r="AC943">
        <v>26.96</v>
      </c>
      <c r="AE943" s="74"/>
      <c r="AF943" s="77"/>
      <c r="AH943" s="497">
        <v>33.979999999999997</v>
      </c>
      <c r="AJ943" s="42"/>
      <c r="AK943" s="74"/>
      <c r="AL943" s="77"/>
      <c r="AN943" s="497">
        <v>28.94</v>
      </c>
      <c r="AP943" s="42"/>
      <c r="AQ943" s="74"/>
      <c r="AR943" s="77"/>
      <c r="AT943" s="497">
        <v>24.98</v>
      </c>
      <c r="AV943" s="42"/>
      <c r="AW943" s="74"/>
      <c r="AX943" s="77"/>
      <c r="BA943" s="497">
        <v>28.94</v>
      </c>
      <c r="BB943" s="42"/>
      <c r="BC943" s="74"/>
      <c r="BD943" s="77"/>
      <c r="BF943">
        <v>19.04</v>
      </c>
      <c r="BH943" s="42"/>
      <c r="BI943" s="74"/>
      <c r="BJ943" s="77"/>
      <c r="BL943" s="497">
        <v>19.939999999999998</v>
      </c>
      <c r="BN943" s="42"/>
      <c r="BO943" s="74"/>
      <c r="BP943" s="77"/>
      <c r="BR943" s="497">
        <v>12.920000000000002</v>
      </c>
      <c r="BT943" s="42"/>
    </row>
    <row r="944" spans="1:72" x14ac:dyDescent="0.25">
      <c r="A944" s="90">
        <v>34738</v>
      </c>
      <c r="B944" s="20">
        <v>0.58333333333333337</v>
      </c>
      <c r="D944">
        <v>26.060000000000002</v>
      </c>
      <c r="E944" t="str">
        <f t="shared" si="64"/>
        <v>WEEKDAY</v>
      </c>
      <c r="F944" t="e">
        <f t="shared" si="65"/>
        <v>#N/A</v>
      </c>
      <c r="G944" s="74">
        <v>32181</v>
      </c>
      <c r="H944" s="77">
        <v>0.58333333333333337</v>
      </c>
      <c r="J944">
        <v>37.04</v>
      </c>
      <c r="M944" s="74">
        <v>38025</v>
      </c>
      <c r="N944" s="77">
        <v>0.58333333333333337</v>
      </c>
      <c r="P944">
        <v>26.6</v>
      </c>
      <c r="S944" s="74">
        <v>34738</v>
      </c>
      <c r="T944" s="77">
        <v>0.58333333333333337</v>
      </c>
      <c r="V944">
        <v>28.04</v>
      </c>
      <c r="X944" s="42"/>
      <c r="AB944">
        <v>37.299999999999997</v>
      </c>
      <c r="AC944">
        <v>28.04</v>
      </c>
      <c r="AE944" s="74"/>
      <c r="AF944" s="77"/>
      <c r="AH944" s="497">
        <v>33.979999999999997</v>
      </c>
      <c r="AJ944" s="42"/>
      <c r="AK944" s="74"/>
      <c r="AL944" s="77"/>
      <c r="AN944" s="497">
        <v>30.02</v>
      </c>
      <c r="AP944" s="42"/>
      <c r="AQ944" s="74"/>
      <c r="AR944" s="77"/>
      <c r="AT944" s="497">
        <v>24.08</v>
      </c>
      <c r="AV944" s="42"/>
      <c r="AW944" s="74"/>
      <c r="AX944" s="77"/>
      <c r="BA944" s="497">
        <v>30.02</v>
      </c>
      <c r="BB944" s="42"/>
      <c r="BC944" s="74"/>
      <c r="BD944" s="77"/>
      <c r="BF944">
        <v>19.04</v>
      </c>
      <c r="BH944" s="42"/>
      <c r="BI944" s="74"/>
      <c r="BJ944" s="77"/>
      <c r="BL944" s="497">
        <v>19.939999999999998</v>
      </c>
      <c r="BN944" s="42"/>
      <c r="BO944" s="74"/>
      <c r="BP944" s="77"/>
      <c r="BR944" s="497">
        <v>12.920000000000002</v>
      </c>
      <c r="BT944" s="42"/>
    </row>
    <row r="945" spans="1:72" x14ac:dyDescent="0.25">
      <c r="A945" s="90">
        <v>34738</v>
      </c>
      <c r="B945" s="20">
        <v>0.625</v>
      </c>
      <c r="D945">
        <v>26.96</v>
      </c>
      <c r="E945" t="str">
        <f t="shared" si="64"/>
        <v>WEEKDAY</v>
      </c>
      <c r="F945" t="e">
        <f t="shared" si="65"/>
        <v>#N/A</v>
      </c>
      <c r="G945" s="74">
        <v>32181</v>
      </c>
      <c r="H945" s="77">
        <v>0.625</v>
      </c>
      <c r="J945">
        <v>37.04</v>
      </c>
      <c r="M945" s="74">
        <v>38025</v>
      </c>
      <c r="N945" s="77">
        <v>0.625</v>
      </c>
      <c r="P945">
        <v>28.4</v>
      </c>
      <c r="S945" s="74">
        <v>34738</v>
      </c>
      <c r="T945" s="77">
        <v>0.625</v>
      </c>
      <c r="V945">
        <v>28.94</v>
      </c>
      <c r="X945" s="42"/>
      <c r="AB945">
        <v>37.9</v>
      </c>
      <c r="AC945">
        <v>28.94</v>
      </c>
      <c r="AE945" s="74"/>
      <c r="AF945" s="77"/>
      <c r="AH945" s="497">
        <v>33.979999999999997</v>
      </c>
      <c r="AJ945" s="42"/>
      <c r="AK945" s="74"/>
      <c r="AL945" s="77"/>
      <c r="AN945" s="497">
        <v>30.02</v>
      </c>
      <c r="AP945" s="42"/>
      <c r="AQ945" s="74"/>
      <c r="AR945" s="77"/>
      <c r="AT945" s="497">
        <v>24.08</v>
      </c>
      <c r="AV945" s="42"/>
      <c r="AW945" s="74"/>
      <c r="AX945" s="77"/>
      <c r="BA945" s="497">
        <v>30.02</v>
      </c>
      <c r="BB945" s="42"/>
      <c r="BC945" s="74"/>
      <c r="BD945" s="77"/>
      <c r="BF945">
        <v>17.96</v>
      </c>
      <c r="BH945" s="42"/>
      <c r="BI945" s="74"/>
      <c r="BJ945" s="77"/>
      <c r="BL945" s="497">
        <v>19.939999999999998</v>
      </c>
      <c r="BN945" s="42"/>
      <c r="BO945" s="74"/>
      <c r="BP945" s="77"/>
      <c r="BR945" s="497">
        <v>14</v>
      </c>
      <c r="BT945" s="42"/>
    </row>
    <row r="946" spans="1:72" x14ac:dyDescent="0.25">
      <c r="A946" s="90">
        <v>34738</v>
      </c>
      <c r="B946" s="20">
        <v>0.66666666666666663</v>
      </c>
      <c r="D946">
        <v>26.96</v>
      </c>
      <c r="E946" t="str">
        <f t="shared" si="64"/>
        <v>WEEKDAY</v>
      </c>
      <c r="F946" t="e">
        <f t="shared" si="65"/>
        <v>#N/A</v>
      </c>
      <c r="G946" s="74">
        <v>32181</v>
      </c>
      <c r="H946" s="77">
        <v>0.66666666666666663</v>
      </c>
      <c r="J946">
        <v>35.06</v>
      </c>
      <c r="M946" s="74">
        <v>38025</v>
      </c>
      <c r="N946" s="77">
        <v>0.66666666666666663</v>
      </c>
      <c r="P946">
        <v>28.4</v>
      </c>
      <c r="S946" s="74">
        <v>34738</v>
      </c>
      <c r="T946" s="77">
        <v>0.66666666666666663</v>
      </c>
      <c r="V946">
        <v>26.96</v>
      </c>
      <c r="X946" s="42"/>
      <c r="AB946">
        <v>38.1</v>
      </c>
      <c r="AC946">
        <v>28.04</v>
      </c>
      <c r="AE946" s="74"/>
      <c r="AF946" s="77"/>
      <c r="AH946" s="497">
        <v>35.96</v>
      </c>
      <c r="AJ946" s="42"/>
      <c r="AK946" s="74"/>
      <c r="AL946" s="77"/>
      <c r="AN946" s="497">
        <v>32</v>
      </c>
      <c r="AP946" s="42"/>
      <c r="AQ946" s="74"/>
      <c r="AR946" s="77"/>
      <c r="AT946" s="497">
        <v>23</v>
      </c>
      <c r="AV946" s="42"/>
      <c r="AW946" s="74"/>
      <c r="AX946" s="77"/>
      <c r="BA946" s="497">
        <v>30.02</v>
      </c>
      <c r="BB946" s="42"/>
      <c r="BC946" s="74"/>
      <c r="BD946" s="77"/>
      <c r="BF946">
        <v>17.96</v>
      </c>
      <c r="BH946" s="42"/>
      <c r="BI946" s="74"/>
      <c r="BJ946" s="77"/>
      <c r="BL946" s="497">
        <v>19.939999999999998</v>
      </c>
      <c r="BN946" s="42"/>
      <c r="BO946" s="74"/>
      <c r="BP946" s="77"/>
      <c r="BR946" s="497">
        <v>14</v>
      </c>
      <c r="BT946" s="42"/>
    </row>
    <row r="947" spans="1:72" x14ac:dyDescent="0.25">
      <c r="A947" s="90">
        <v>34738</v>
      </c>
      <c r="B947" s="20">
        <v>0.70833333333333337</v>
      </c>
      <c r="D947">
        <v>26.060000000000002</v>
      </c>
      <c r="E947" t="str">
        <f t="shared" si="64"/>
        <v>WEEKDAY</v>
      </c>
      <c r="F947" t="e">
        <f t="shared" si="65"/>
        <v>#N/A</v>
      </c>
      <c r="G947" s="74">
        <v>32181</v>
      </c>
      <c r="H947" s="77">
        <v>0.70833333333333337</v>
      </c>
      <c r="J947">
        <v>33.979999999999997</v>
      </c>
      <c r="M947" s="74">
        <v>38025</v>
      </c>
      <c r="N947" s="77">
        <v>0.70833333333333337</v>
      </c>
      <c r="P947">
        <v>26.6</v>
      </c>
      <c r="S947" s="74">
        <v>34738</v>
      </c>
      <c r="T947" s="77">
        <v>0.70833333333333337</v>
      </c>
      <c r="V947">
        <v>24.98</v>
      </c>
      <c r="X947" s="42"/>
      <c r="AB947">
        <v>37.6</v>
      </c>
      <c r="AC947">
        <v>26.060000000000002</v>
      </c>
      <c r="AE947" s="74"/>
      <c r="AF947" s="77"/>
      <c r="AH947" s="497">
        <v>36.14</v>
      </c>
      <c r="AJ947" s="42"/>
      <c r="AK947" s="74"/>
      <c r="AL947" s="77"/>
      <c r="AN947" s="497">
        <v>30.02</v>
      </c>
      <c r="AP947" s="42"/>
      <c r="AQ947" s="74"/>
      <c r="AR947" s="77"/>
      <c r="AT947" s="497">
        <v>21.92</v>
      </c>
      <c r="AV947" s="42"/>
      <c r="AW947" s="74"/>
      <c r="AX947" s="77"/>
      <c r="BA947" s="497">
        <v>28.94</v>
      </c>
      <c r="BB947" s="42"/>
      <c r="BC947" s="74"/>
      <c r="BD947" s="77"/>
      <c r="BF947">
        <v>17.96</v>
      </c>
      <c r="BH947" s="42"/>
      <c r="BI947" s="74"/>
      <c r="BJ947" s="77"/>
      <c r="BL947" s="497">
        <v>19.04</v>
      </c>
      <c r="BN947" s="42"/>
      <c r="BO947" s="74"/>
      <c r="BP947" s="77"/>
      <c r="BR947" s="497">
        <v>10.039999999999999</v>
      </c>
      <c r="BT947" s="42"/>
    </row>
    <row r="948" spans="1:72" x14ac:dyDescent="0.25">
      <c r="A948" s="90">
        <v>34738</v>
      </c>
      <c r="B948" s="20">
        <v>0.75</v>
      </c>
      <c r="D948">
        <v>24.08</v>
      </c>
      <c r="E948" t="str">
        <f t="shared" si="64"/>
        <v>WEEKDAY</v>
      </c>
      <c r="F948" t="e">
        <f t="shared" si="65"/>
        <v>#N/A</v>
      </c>
      <c r="G948" s="74">
        <v>32181</v>
      </c>
      <c r="H948" s="77">
        <v>0.75</v>
      </c>
      <c r="J948">
        <v>33.08</v>
      </c>
      <c r="M948" s="74">
        <v>38025</v>
      </c>
      <c r="N948" s="77">
        <v>0.75</v>
      </c>
      <c r="P948">
        <v>26.6</v>
      </c>
      <c r="S948" s="74">
        <v>34738</v>
      </c>
      <c r="T948" s="77">
        <v>0.75</v>
      </c>
      <c r="V948">
        <v>24.08</v>
      </c>
      <c r="X948" s="42"/>
      <c r="AB948">
        <v>36.6</v>
      </c>
      <c r="AC948">
        <v>24.98</v>
      </c>
      <c r="AE948" s="74"/>
      <c r="AF948" s="77"/>
      <c r="AH948" s="497">
        <v>35.96</v>
      </c>
      <c r="AJ948" s="42"/>
      <c r="AK948" s="74"/>
      <c r="AL948" s="77"/>
      <c r="AN948" s="497">
        <v>26.96</v>
      </c>
      <c r="AP948" s="42"/>
      <c r="AQ948" s="74"/>
      <c r="AR948" s="77"/>
      <c r="AT948" s="497">
        <v>21.02</v>
      </c>
      <c r="AV948" s="42"/>
      <c r="AW948" s="74"/>
      <c r="AX948" s="77"/>
      <c r="BA948" s="497">
        <v>26.96</v>
      </c>
      <c r="BB948" s="42"/>
      <c r="BC948" s="74"/>
      <c r="BD948" s="77"/>
      <c r="BF948">
        <v>17.059999999999999</v>
      </c>
      <c r="BH948" s="42"/>
      <c r="BI948" s="74"/>
      <c r="BJ948" s="77"/>
      <c r="BL948" s="497">
        <v>17.059999999999999</v>
      </c>
      <c r="BN948" s="42"/>
      <c r="BO948" s="74"/>
      <c r="BP948" s="77"/>
      <c r="BR948" s="497">
        <v>8.0599999999999987</v>
      </c>
      <c r="BT948" s="42"/>
    </row>
    <row r="949" spans="1:72" x14ac:dyDescent="0.25">
      <c r="A949" s="90">
        <v>34738</v>
      </c>
      <c r="B949" s="20">
        <v>0.79166666666666663</v>
      </c>
      <c r="D949">
        <v>24.08</v>
      </c>
      <c r="E949" t="str">
        <f t="shared" si="64"/>
        <v>WEEKDAY</v>
      </c>
      <c r="F949" t="e">
        <f t="shared" si="65"/>
        <v>#N/A</v>
      </c>
      <c r="G949" s="74">
        <v>32181</v>
      </c>
      <c r="H949" s="77">
        <v>0.79166666666666663</v>
      </c>
      <c r="J949">
        <v>32</v>
      </c>
      <c r="M949" s="74">
        <v>38025</v>
      </c>
      <c r="N949" s="77">
        <v>0.79166666666666663</v>
      </c>
      <c r="P949">
        <v>24.8</v>
      </c>
      <c r="S949" s="74">
        <v>34738</v>
      </c>
      <c r="T949" s="77">
        <v>0.79166666666666663</v>
      </c>
      <c r="V949">
        <v>24.08</v>
      </c>
      <c r="X949" s="42"/>
      <c r="AB949">
        <v>35.5</v>
      </c>
      <c r="AC949">
        <v>24.08</v>
      </c>
      <c r="AE949" s="74"/>
      <c r="AF949" s="77"/>
      <c r="AH949" s="497">
        <v>34.880000000000003</v>
      </c>
      <c r="AJ949" s="42"/>
      <c r="AK949" s="74"/>
      <c r="AL949" s="77"/>
      <c r="AN949" s="497">
        <v>26.96</v>
      </c>
      <c r="AP949" s="42"/>
      <c r="AQ949" s="74"/>
      <c r="AR949" s="77"/>
      <c r="AT949" s="497">
        <v>19.939999999999998</v>
      </c>
      <c r="AV949" s="42"/>
      <c r="AW949" s="74"/>
      <c r="AX949" s="77"/>
      <c r="BA949" s="497">
        <v>26.060000000000002</v>
      </c>
      <c r="BB949" s="42"/>
      <c r="BC949" s="74"/>
      <c r="BD949" s="77"/>
      <c r="BF949">
        <v>17.059999999999999</v>
      </c>
      <c r="BH949" s="42"/>
      <c r="BI949" s="74"/>
      <c r="BJ949" s="77"/>
      <c r="BL949" s="497">
        <v>17.059999999999999</v>
      </c>
      <c r="BN949" s="42"/>
      <c r="BO949" s="74"/>
      <c r="BP949" s="77"/>
      <c r="BR949" s="497">
        <v>-2.019999999999996</v>
      </c>
      <c r="BT949" s="42"/>
    </row>
    <row r="950" spans="1:72" x14ac:dyDescent="0.25">
      <c r="A950" s="90">
        <v>34738</v>
      </c>
      <c r="B950" s="20">
        <v>0.83333333333333337</v>
      </c>
      <c r="D950">
        <v>23</v>
      </c>
      <c r="E950" t="str">
        <f t="shared" si="64"/>
        <v>WEEKDAY</v>
      </c>
      <c r="F950" t="e">
        <f t="shared" si="65"/>
        <v>#N/A</v>
      </c>
      <c r="G950" s="74">
        <v>32181</v>
      </c>
      <c r="H950" s="77">
        <v>0.83333333333333337</v>
      </c>
      <c r="J950">
        <v>30.92</v>
      </c>
      <c r="M950" s="74">
        <v>38025</v>
      </c>
      <c r="N950" s="77">
        <v>0.83333333333333337</v>
      </c>
      <c r="P950">
        <v>24.8</v>
      </c>
      <c r="S950" s="74">
        <v>34738</v>
      </c>
      <c r="T950" s="77">
        <v>0.83333333333333337</v>
      </c>
      <c r="V950">
        <v>23</v>
      </c>
      <c r="X950" s="42"/>
      <c r="AB950">
        <v>35.200000000000003</v>
      </c>
      <c r="AC950">
        <v>23</v>
      </c>
      <c r="AE950" s="74"/>
      <c r="AF950" s="77"/>
      <c r="AH950" s="497">
        <v>34.880000000000003</v>
      </c>
      <c r="AJ950" s="42"/>
      <c r="AK950" s="74"/>
      <c r="AL950" s="77"/>
      <c r="AN950" s="497">
        <v>26.96</v>
      </c>
      <c r="AP950" s="42"/>
      <c r="AQ950" s="74"/>
      <c r="AR950" s="77"/>
      <c r="AT950" s="497">
        <v>19.04</v>
      </c>
      <c r="AV950" s="42"/>
      <c r="AW950" s="74"/>
      <c r="AX950" s="77"/>
      <c r="BA950" s="497">
        <v>24.08</v>
      </c>
      <c r="BB950" s="42"/>
      <c r="BC950" s="74"/>
      <c r="BD950" s="77"/>
      <c r="BF950">
        <v>15.98</v>
      </c>
      <c r="BH950" s="42"/>
      <c r="BI950" s="74"/>
      <c r="BJ950" s="77"/>
      <c r="BL950" s="497">
        <v>15.079999999999998</v>
      </c>
      <c r="BN950" s="42"/>
      <c r="BO950" s="74"/>
      <c r="BP950" s="77"/>
      <c r="BR950" s="497">
        <v>-5.0800000000000054</v>
      </c>
      <c r="BT950" s="42"/>
    </row>
    <row r="951" spans="1:72" x14ac:dyDescent="0.25">
      <c r="A951" s="90">
        <v>34738</v>
      </c>
      <c r="B951" s="20">
        <v>0.875</v>
      </c>
      <c r="D951">
        <v>21.92</v>
      </c>
      <c r="E951" t="str">
        <f t="shared" si="64"/>
        <v>WEEKDAY</v>
      </c>
      <c r="F951" t="e">
        <f t="shared" si="65"/>
        <v>#N/A</v>
      </c>
      <c r="G951" s="74">
        <v>32181</v>
      </c>
      <c r="H951" s="77">
        <v>0.875</v>
      </c>
      <c r="J951">
        <v>30.92</v>
      </c>
      <c r="M951" s="74">
        <v>38025</v>
      </c>
      <c r="N951" s="77">
        <v>0.875</v>
      </c>
      <c r="P951">
        <v>24.8</v>
      </c>
      <c r="S951" s="74">
        <v>34738</v>
      </c>
      <c r="T951" s="77">
        <v>0.875</v>
      </c>
      <c r="V951">
        <v>21.92</v>
      </c>
      <c r="X951" s="42"/>
      <c r="AB951">
        <v>34.700000000000003</v>
      </c>
      <c r="AC951">
        <v>24.08</v>
      </c>
      <c r="AE951" s="74"/>
      <c r="AF951" s="77"/>
      <c r="AH951" s="497">
        <v>34.880000000000003</v>
      </c>
      <c r="AJ951" s="42"/>
      <c r="AK951" s="74"/>
      <c r="AL951" s="77"/>
      <c r="AN951" s="497">
        <v>24.98</v>
      </c>
      <c r="AP951" s="42"/>
      <c r="AQ951" s="74"/>
      <c r="AR951" s="77"/>
      <c r="AT951" s="497">
        <v>15.98</v>
      </c>
      <c r="AV951" s="42"/>
      <c r="AW951" s="74"/>
      <c r="AX951" s="77"/>
      <c r="BA951" s="497">
        <v>21.92</v>
      </c>
      <c r="BB951" s="42"/>
      <c r="BC951" s="74"/>
      <c r="BD951" s="77"/>
      <c r="BF951">
        <v>15.079999999999998</v>
      </c>
      <c r="BH951" s="42"/>
      <c r="BI951" s="74"/>
      <c r="BJ951" s="77"/>
      <c r="BL951" s="497">
        <v>12.920000000000002</v>
      </c>
      <c r="BN951" s="42"/>
      <c r="BO951" s="74"/>
      <c r="BP951" s="77"/>
      <c r="BR951" s="497">
        <v>-5.980000000000004</v>
      </c>
      <c r="BT951" s="42"/>
    </row>
    <row r="952" spans="1:72" x14ac:dyDescent="0.25">
      <c r="A952" s="90">
        <v>34738</v>
      </c>
      <c r="B952" s="20">
        <v>0.91666666666666663</v>
      </c>
      <c r="D952">
        <v>21.02</v>
      </c>
      <c r="E952" t="str">
        <f t="shared" si="64"/>
        <v>WEEKDAY</v>
      </c>
      <c r="F952" t="e">
        <f t="shared" si="65"/>
        <v>#N/A</v>
      </c>
      <c r="G952" s="74">
        <v>32181</v>
      </c>
      <c r="H952" s="77">
        <v>0.91666666666666663</v>
      </c>
      <c r="J952">
        <v>30.02</v>
      </c>
      <c r="M952" s="74">
        <v>38025</v>
      </c>
      <c r="N952" s="77">
        <v>0.91666666666666663</v>
      </c>
      <c r="P952">
        <v>24.8</v>
      </c>
      <c r="S952" s="74">
        <v>34738</v>
      </c>
      <c r="T952" s="77">
        <v>0.91666666666666663</v>
      </c>
      <c r="V952">
        <v>19.939999999999998</v>
      </c>
      <c r="X952" s="42"/>
      <c r="AB952">
        <v>34</v>
      </c>
      <c r="AC952">
        <v>24.08</v>
      </c>
      <c r="AE952" s="74"/>
      <c r="AF952" s="77"/>
      <c r="AH952" s="497">
        <v>34.880000000000003</v>
      </c>
      <c r="AJ952" s="42"/>
      <c r="AK952" s="74"/>
      <c r="AL952" s="77"/>
      <c r="AN952" s="497">
        <v>26.96</v>
      </c>
      <c r="AP952" s="42"/>
      <c r="AQ952" s="74"/>
      <c r="AR952" s="77"/>
      <c r="AT952" s="497">
        <v>17.059999999999999</v>
      </c>
      <c r="AV952" s="42"/>
      <c r="AW952" s="74"/>
      <c r="AX952" s="77"/>
      <c r="BA952" s="497">
        <v>23</v>
      </c>
      <c r="BB952" s="42"/>
      <c r="BC952" s="74"/>
      <c r="BD952" s="77"/>
      <c r="BF952">
        <v>12.920000000000002</v>
      </c>
      <c r="BH952" s="42"/>
      <c r="BI952" s="74"/>
      <c r="BJ952" s="77"/>
      <c r="BL952" s="497">
        <v>10.940000000000001</v>
      </c>
      <c r="BN952" s="42"/>
      <c r="BO952" s="74"/>
      <c r="BP952" s="77"/>
      <c r="BR952" s="497">
        <v>-4</v>
      </c>
      <c r="BT952" s="42"/>
    </row>
    <row r="953" spans="1:72" x14ac:dyDescent="0.25">
      <c r="A953" s="90">
        <v>34738</v>
      </c>
      <c r="B953" s="20">
        <v>0.95833333333333337</v>
      </c>
      <c r="D953">
        <v>19.04</v>
      </c>
      <c r="E953" t="str">
        <f t="shared" si="64"/>
        <v>WEEKDAY</v>
      </c>
      <c r="F953" t="e">
        <f t="shared" si="65"/>
        <v>#N/A</v>
      </c>
      <c r="G953" s="74">
        <v>32181</v>
      </c>
      <c r="H953" s="77">
        <v>0.95833333333333337</v>
      </c>
      <c r="J953">
        <v>28.94</v>
      </c>
      <c r="M953" s="74">
        <v>38025</v>
      </c>
      <c r="N953" s="77">
        <v>0.95833333333333337</v>
      </c>
      <c r="P953">
        <v>24.8</v>
      </c>
      <c r="S953" s="74">
        <v>34738</v>
      </c>
      <c r="T953" s="77">
        <v>0.95833333333333337</v>
      </c>
      <c r="V953">
        <v>19.04</v>
      </c>
      <c r="X953" s="42"/>
      <c r="AB953">
        <v>33.4</v>
      </c>
      <c r="AC953">
        <v>26.060000000000002</v>
      </c>
      <c r="AE953" s="74"/>
      <c r="AF953" s="77"/>
      <c r="AH953" s="497">
        <v>35.96</v>
      </c>
      <c r="AJ953" s="42"/>
      <c r="AK953" s="74"/>
      <c r="AL953" s="77"/>
      <c r="AN953" s="497">
        <v>26.96</v>
      </c>
      <c r="AP953" s="42"/>
      <c r="AQ953" s="74"/>
      <c r="AR953" s="77"/>
      <c r="AT953" s="497">
        <v>15.98</v>
      </c>
      <c r="AV953" s="42"/>
      <c r="AW953" s="74"/>
      <c r="AX953" s="77"/>
      <c r="BA953" s="497">
        <v>23</v>
      </c>
      <c r="BB953" s="42"/>
      <c r="BC953" s="74"/>
      <c r="BD953" s="77"/>
      <c r="BF953">
        <v>8.9599999999999973</v>
      </c>
      <c r="BH953" s="42"/>
      <c r="BI953" s="74"/>
      <c r="BJ953" s="77"/>
      <c r="BL953" s="497">
        <v>10.940000000000001</v>
      </c>
      <c r="BN953" s="42"/>
      <c r="BO953" s="74"/>
      <c r="BP953" s="77"/>
      <c r="BR953" s="497">
        <v>-4</v>
      </c>
      <c r="BT953" s="42"/>
    </row>
    <row r="954" spans="1:72" x14ac:dyDescent="0.25">
      <c r="A954" s="90">
        <v>34738</v>
      </c>
      <c r="B954" s="20">
        <v>1</v>
      </c>
      <c r="D954">
        <v>19.04</v>
      </c>
      <c r="E954" t="str">
        <f t="shared" si="64"/>
        <v>WEEKDAY</v>
      </c>
      <c r="F954" t="e">
        <f t="shared" si="65"/>
        <v>#N/A</v>
      </c>
      <c r="G954" s="74">
        <v>32181</v>
      </c>
      <c r="H954" s="77">
        <v>1</v>
      </c>
      <c r="J954">
        <v>28.94</v>
      </c>
      <c r="M954" s="74">
        <v>38025</v>
      </c>
      <c r="N954" s="80">
        <v>1</v>
      </c>
      <c r="P954">
        <v>24.8</v>
      </c>
      <c r="S954" s="74">
        <v>34738</v>
      </c>
      <c r="T954" s="80">
        <v>1</v>
      </c>
      <c r="V954">
        <v>17.96</v>
      </c>
      <c r="X954" s="42"/>
      <c r="AB954">
        <v>32.799999999999997</v>
      </c>
      <c r="AC954">
        <v>24.98</v>
      </c>
      <c r="AE954" s="74"/>
      <c r="AF954" s="80"/>
      <c r="AH954" s="497">
        <v>35.96</v>
      </c>
      <c r="AJ954" s="42"/>
      <c r="AK954" s="74"/>
      <c r="AL954" s="80"/>
      <c r="AN954" s="497">
        <v>26.96</v>
      </c>
      <c r="AP954" s="42"/>
      <c r="AQ954" s="74"/>
      <c r="AR954" s="80"/>
      <c r="AT954" s="497">
        <v>15.98</v>
      </c>
      <c r="AV954" s="42"/>
      <c r="AW954" s="74"/>
      <c r="AX954" s="80"/>
      <c r="BA954" s="497">
        <v>23</v>
      </c>
      <c r="BB954" s="42"/>
      <c r="BC954" s="74"/>
      <c r="BD954" s="80"/>
      <c r="BF954">
        <v>8.0599999999999987</v>
      </c>
      <c r="BH954" s="42"/>
      <c r="BI954" s="74"/>
      <c r="BJ954" s="80"/>
      <c r="BL954" s="497">
        <v>8.9599999999999973</v>
      </c>
      <c r="BN954" s="42"/>
      <c r="BO954" s="74"/>
      <c r="BP954" s="80"/>
      <c r="BR954" s="497">
        <v>-2.9200000000000017</v>
      </c>
      <c r="BT954" s="42"/>
    </row>
    <row r="955" spans="1:72" x14ac:dyDescent="0.25">
      <c r="A955" s="90">
        <v>34739</v>
      </c>
      <c r="B955" s="20">
        <v>4.1666666666666664E-2</v>
      </c>
      <c r="D955">
        <v>17.96</v>
      </c>
      <c r="E955" t="str">
        <f t="shared" si="64"/>
        <v>WEEKDAY</v>
      </c>
      <c r="F955" t="e">
        <f t="shared" si="65"/>
        <v>#N/A</v>
      </c>
      <c r="G955" s="74">
        <v>32182</v>
      </c>
      <c r="H955" s="77">
        <v>4.1666666666666664E-2</v>
      </c>
      <c r="J955">
        <v>28.94</v>
      </c>
      <c r="M955" s="74">
        <v>38026</v>
      </c>
      <c r="N955" s="77">
        <v>4.1666666666666664E-2</v>
      </c>
      <c r="P955">
        <v>24.8</v>
      </c>
      <c r="S955" s="74">
        <v>34739</v>
      </c>
      <c r="T955" s="77">
        <v>4.1666666666666664E-2</v>
      </c>
      <c r="V955">
        <v>17.96</v>
      </c>
      <c r="X955" s="42"/>
      <c r="AB955">
        <v>32.299999999999997</v>
      </c>
      <c r="AC955">
        <v>24.98</v>
      </c>
      <c r="AE955" s="74"/>
      <c r="AF955" s="77"/>
      <c r="AH955" s="497">
        <v>34.880000000000003</v>
      </c>
      <c r="AJ955" s="42"/>
      <c r="AK955" s="74"/>
      <c r="AL955" s="77"/>
      <c r="AN955" s="497">
        <v>26.96</v>
      </c>
      <c r="AP955" s="42"/>
      <c r="AQ955" s="74"/>
      <c r="AR955" s="77"/>
      <c r="AT955" s="497">
        <v>14</v>
      </c>
      <c r="AV955" s="42"/>
      <c r="AW955" s="74"/>
      <c r="AX955" s="77"/>
      <c r="BA955" s="497">
        <v>23</v>
      </c>
      <c r="BB955" s="42"/>
      <c r="BC955" s="74"/>
      <c r="BD955" s="77"/>
      <c r="BF955">
        <v>5</v>
      </c>
      <c r="BH955" s="42"/>
      <c r="BI955" s="74"/>
      <c r="BJ955" s="77"/>
      <c r="BL955" s="497">
        <v>6.0799999999999983</v>
      </c>
      <c r="BN955" s="42"/>
      <c r="BO955" s="74"/>
      <c r="BP955" s="77"/>
      <c r="BR955" s="497">
        <v>-4</v>
      </c>
      <c r="BT955" s="42"/>
    </row>
    <row r="956" spans="1:72" x14ac:dyDescent="0.25">
      <c r="A956" s="90">
        <v>34739</v>
      </c>
      <c r="B956" s="20">
        <v>8.3333333333333329E-2</v>
      </c>
      <c r="D956">
        <v>17.059999999999999</v>
      </c>
      <c r="E956" t="str">
        <f t="shared" si="64"/>
        <v>WEEKDAY</v>
      </c>
      <c r="F956" t="e">
        <f t="shared" si="65"/>
        <v>#N/A</v>
      </c>
      <c r="G956" s="74">
        <v>32182</v>
      </c>
      <c r="H956" s="77">
        <v>8.3333333333333329E-2</v>
      </c>
      <c r="J956">
        <v>28.04</v>
      </c>
      <c r="M956" s="74">
        <v>38026</v>
      </c>
      <c r="N956" s="77">
        <v>8.3333333333333329E-2</v>
      </c>
      <c r="P956">
        <v>24.8</v>
      </c>
      <c r="S956" s="74">
        <v>34739</v>
      </c>
      <c r="T956" s="77">
        <v>8.3333333333333329E-2</v>
      </c>
      <c r="V956">
        <v>17.059999999999999</v>
      </c>
      <c r="X956" s="42"/>
      <c r="AB956">
        <v>31.8</v>
      </c>
      <c r="AC956">
        <v>23</v>
      </c>
      <c r="AE956" s="74"/>
      <c r="AF956" s="77"/>
      <c r="AH956" s="497">
        <v>34.880000000000003</v>
      </c>
      <c r="AJ956" s="42"/>
      <c r="AK956" s="74"/>
      <c r="AL956" s="77"/>
      <c r="AN956" s="497">
        <v>26.96</v>
      </c>
      <c r="AP956" s="42"/>
      <c r="AQ956" s="74"/>
      <c r="AR956" s="77"/>
      <c r="AT956" s="497">
        <v>12.02</v>
      </c>
      <c r="AV956" s="42"/>
      <c r="AW956" s="74"/>
      <c r="AX956" s="77"/>
      <c r="BA956" s="497">
        <v>23</v>
      </c>
      <c r="BB956" s="42"/>
      <c r="BC956" s="74"/>
      <c r="BD956" s="77"/>
      <c r="BF956">
        <v>6.0799999999999983</v>
      </c>
      <c r="BH956" s="42"/>
      <c r="BI956" s="74"/>
      <c r="BJ956" s="77"/>
      <c r="BL956" s="497">
        <v>1.9400000000000013</v>
      </c>
      <c r="BN956" s="42"/>
      <c r="BO956" s="74"/>
      <c r="BP956" s="77"/>
      <c r="BR956" s="497">
        <v>-5.980000000000004</v>
      </c>
      <c r="BT956" s="42"/>
    </row>
    <row r="957" spans="1:72" x14ac:dyDescent="0.25">
      <c r="A957" s="90">
        <v>34739</v>
      </c>
      <c r="B957" s="20">
        <v>0.125</v>
      </c>
      <c r="D957">
        <v>17.059999999999999</v>
      </c>
      <c r="E957" t="str">
        <f t="shared" si="64"/>
        <v>WEEKDAY</v>
      </c>
      <c r="F957" t="e">
        <f t="shared" si="65"/>
        <v>#N/A</v>
      </c>
      <c r="G957" s="74">
        <v>32182</v>
      </c>
      <c r="H957" s="77">
        <v>0.125</v>
      </c>
      <c r="J957">
        <v>26.060000000000002</v>
      </c>
      <c r="M957" s="74">
        <v>38026</v>
      </c>
      <c r="N957" s="77">
        <v>0.125</v>
      </c>
      <c r="P957">
        <v>24.8</v>
      </c>
      <c r="S957" s="74">
        <v>34739</v>
      </c>
      <c r="T957" s="77">
        <v>0.125</v>
      </c>
      <c r="V957">
        <v>17.059999999999999</v>
      </c>
      <c r="X957" s="42"/>
      <c r="AB957">
        <v>31.2</v>
      </c>
      <c r="AC957">
        <v>21.92</v>
      </c>
      <c r="AE957" s="74"/>
      <c r="AF957" s="77"/>
      <c r="AH957" s="497">
        <v>34.880000000000003</v>
      </c>
      <c r="AJ957" s="42"/>
      <c r="AK957" s="74"/>
      <c r="AL957" s="77"/>
      <c r="AN957" s="497">
        <v>26.96</v>
      </c>
      <c r="AP957" s="42"/>
      <c r="AQ957" s="74"/>
      <c r="AR957" s="77"/>
      <c r="AT957" s="497">
        <v>10.039999999999999</v>
      </c>
      <c r="AV957" s="42"/>
      <c r="AW957" s="74"/>
      <c r="AX957" s="77"/>
      <c r="BA957" s="497">
        <v>21.02</v>
      </c>
      <c r="BB957" s="42"/>
      <c r="BC957" s="74"/>
      <c r="BD957" s="77"/>
      <c r="BF957">
        <v>6.98</v>
      </c>
      <c r="BH957" s="42"/>
      <c r="BI957" s="74"/>
      <c r="BJ957" s="77"/>
      <c r="BL957" s="497">
        <v>1.9400000000000013</v>
      </c>
      <c r="BN957" s="42"/>
      <c r="BO957" s="74"/>
      <c r="BP957" s="77"/>
      <c r="BR957" s="497">
        <v>-7.9600000000000009</v>
      </c>
      <c r="BT957" s="42"/>
    </row>
    <row r="958" spans="1:72" x14ac:dyDescent="0.25">
      <c r="A958" s="90">
        <v>34739</v>
      </c>
      <c r="B958" s="20">
        <v>0.16666666666666666</v>
      </c>
      <c r="D958">
        <v>17.059999999999999</v>
      </c>
      <c r="E958" t="str">
        <f t="shared" si="64"/>
        <v>WEEKDAY</v>
      </c>
      <c r="F958" t="e">
        <f t="shared" si="65"/>
        <v>#N/A</v>
      </c>
      <c r="G958" s="74">
        <v>32182</v>
      </c>
      <c r="H958" s="77">
        <v>0.16666666666666666</v>
      </c>
      <c r="J958">
        <v>24.98</v>
      </c>
      <c r="M958" s="74">
        <v>38026</v>
      </c>
      <c r="N958" s="77">
        <v>0.16666666666666666</v>
      </c>
      <c r="P958">
        <v>23</v>
      </c>
      <c r="S958" s="74">
        <v>34739</v>
      </c>
      <c r="T958" s="77">
        <v>0.16666666666666666</v>
      </c>
      <c r="V958">
        <v>17.059999999999999</v>
      </c>
      <c r="X958" s="42"/>
      <c r="AB958">
        <v>30.8</v>
      </c>
      <c r="AC958">
        <v>21.92</v>
      </c>
      <c r="AE958" s="74"/>
      <c r="AF958" s="77"/>
      <c r="AH958" s="497">
        <v>36.86</v>
      </c>
      <c r="AJ958" s="42"/>
      <c r="AK958" s="74"/>
      <c r="AL958" s="77"/>
      <c r="AN958" s="497">
        <v>24.98</v>
      </c>
      <c r="AP958" s="42"/>
      <c r="AQ958" s="74"/>
      <c r="AR958" s="77"/>
      <c r="AT958" s="497">
        <v>5</v>
      </c>
      <c r="AV958" s="42"/>
      <c r="AW958" s="74"/>
      <c r="AX958" s="77"/>
      <c r="BA958" s="497">
        <v>21.92</v>
      </c>
      <c r="BB958" s="42"/>
      <c r="BC958" s="74"/>
      <c r="BD958" s="77"/>
      <c r="BF958">
        <v>10.039999999999999</v>
      </c>
      <c r="BH958" s="42"/>
      <c r="BI958" s="74"/>
      <c r="BJ958" s="77"/>
      <c r="BL958" s="497">
        <v>6.0799999999999983</v>
      </c>
      <c r="BN958" s="42"/>
      <c r="BO958" s="74"/>
      <c r="BP958" s="77"/>
      <c r="BR958" s="497">
        <v>-2.9200000000000017</v>
      </c>
      <c r="BT958" s="42"/>
    </row>
    <row r="959" spans="1:72" x14ac:dyDescent="0.25">
      <c r="A959" s="90">
        <v>34739</v>
      </c>
      <c r="B959" s="20">
        <v>0.20833333333333334</v>
      </c>
      <c r="D959">
        <v>17.96</v>
      </c>
      <c r="E959" t="str">
        <f t="shared" si="64"/>
        <v>WEEKDAY</v>
      </c>
      <c r="F959" t="e">
        <f t="shared" si="65"/>
        <v>#N/A</v>
      </c>
      <c r="G959" s="74">
        <v>32182</v>
      </c>
      <c r="H959" s="77">
        <v>0.20833333333333334</v>
      </c>
      <c r="J959">
        <v>24.98</v>
      </c>
      <c r="M959" s="74">
        <v>38026</v>
      </c>
      <c r="N959" s="77">
        <v>0.20833333333333334</v>
      </c>
      <c r="P959">
        <v>21.2</v>
      </c>
      <c r="S959" s="74">
        <v>34739</v>
      </c>
      <c r="T959" s="77">
        <v>0.20833333333333334</v>
      </c>
      <c r="V959">
        <v>17.059999999999999</v>
      </c>
      <c r="X959" s="42"/>
      <c r="AB959">
        <v>30.4</v>
      </c>
      <c r="AC959">
        <v>15.98</v>
      </c>
      <c r="AE959" s="74"/>
      <c r="AF959" s="77"/>
      <c r="AH959" s="497">
        <v>37.94</v>
      </c>
      <c r="AJ959" s="42"/>
      <c r="AK959" s="74"/>
      <c r="AL959" s="77"/>
      <c r="AN959" s="497">
        <v>24.98</v>
      </c>
      <c r="AP959" s="42"/>
      <c r="AQ959" s="74"/>
      <c r="AR959" s="77"/>
      <c r="AT959" s="497">
        <v>1.9400000000000013</v>
      </c>
      <c r="AV959" s="42"/>
      <c r="AW959" s="74"/>
      <c r="AX959" s="77"/>
      <c r="BA959" s="497">
        <v>21.92</v>
      </c>
      <c r="BB959" s="42"/>
      <c r="BC959" s="74"/>
      <c r="BD959" s="77"/>
      <c r="BF959">
        <v>12.02</v>
      </c>
      <c r="BH959" s="42"/>
      <c r="BI959" s="74"/>
      <c r="BJ959" s="77"/>
      <c r="BL959" s="497">
        <v>8.0599999999999987</v>
      </c>
      <c r="BN959" s="42"/>
      <c r="BO959" s="74"/>
      <c r="BP959" s="77"/>
      <c r="BR959" s="497">
        <v>-4</v>
      </c>
      <c r="BT959" s="42"/>
    </row>
    <row r="960" spans="1:72" x14ac:dyDescent="0.25">
      <c r="A960" s="90">
        <v>34739</v>
      </c>
      <c r="B960" s="20">
        <v>0.25</v>
      </c>
      <c r="D960">
        <v>17.96</v>
      </c>
      <c r="E960" t="str">
        <f t="shared" si="64"/>
        <v>WEEKDAY</v>
      </c>
      <c r="F960" t="e">
        <f t="shared" si="65"/>
        <v>#N/A</v>
      </c>
      <c r="G960" s="74">
        <v>32182</v>
      </c>
      <c r="H960" s="77">
        <v>0.25</v>
      </c>
      <c r="J960">
        <v>24.08</v>
      </c>
      <c r="M960" s="74">
        <v>38026</v>
      </c>
      <c r="N960" s="77">
        <v>0.25</v>
      </c>
      <c r="P960">
        <v>21.2</v>
      </c>
      <c r="S960" s="74">
        <v>34739</v>
      </c>
      <c r="T960" s="77">
        <v>0.25</v>
      </c>
      <c r="V960">
        <v>17.059999999999999</v>
      </c>
      <c r="X960" s="42"/>
      <c r="AB960">
        <v>30.2</v>
      </c>
      <c r="AC960">
        <v>21.02</v>
      </c>
      <c r="AE960" s="74"/>
      <c r="AF960" s="77"/>
      <c r="AH960" s="497">
        <v>36.86</v>
      </c>
      <c r="AJ960" s="42"/>
      <c r="AK960" s="74"/>
      <c r="AL960" s="77"/>
      <c r="AN960" s="497">
        <v>26.060000000000002</v>
      </c>
      <c r="AP960" s="42"/>
      <c r="AQ960" s="74"/>
      <c r="AR960" s="77"/>
      <c r="AT960" s="497">
        <v>1.9400000000000013</v>
      </c>
      <c r="AV960" s="42"/>
      <c r="AW960" s="74"/>
      <c r="AX960" s="77"/>
      <c r="BA960" s="497">
        <v>21.92</v>
      </c>
      <c r="BB960" s="42"/>
      <c r="BC960" s="74"/>
      <c r="BD960" s="77"/>
      <c r="BF960">
        <v>12.920000000000002</v>
      </c>
      <c r="BH960" s="42"/>
      <c r="BI960" s="74"/>
      <c r="BJ960" s="77"/>
      <c r="BL960" s="497">
        <v>10.039999999999999</v>
      </c>
      <c r="BN960" s="42"/>
      <c r="BO960" s="74"/>
      <c r="BP960" s="77"/>
      <c r="BR960" s="497">
        <v>-2.019999999999996</v>
      </c>
      <c r="BT960" s="42"/>
    </row>
    <row r="961" spans="1:72" x14ac:dyDescent="0.25">
      <c r="A961" s="90">
        <v>34739</v>
      </c>
      <c r="B961" s="20">
        <v>0.29166666666666669</v>
      </c>
      <c r="D961">
        <v>17.059999999999999</v>
      </c>
      <c r="E961" t="str">
        <f t="shared" si="64"/>
        <v>WEEKDAY</v>
      </c>
      <c r="F961" t="e">
        <f t="shared" si="65"/>
        <v>#N/A</v>
      </c>
      <c r="G961" s="74">
        <v>32182</v>
      </c>
      <c r="H961" s="77">
        <v>0.29166666666666669</v>
      </c>
      <c r="J961">
        <v>24.08</v>
      </c>
      <c r="M961" s="74">
        <v>38026</v>
      </c>
      <c r="N961" s="77">
        <v>0.29166666666666669</v>
      </c>
      <c r="P961">
        <v>23</v>
      </c>
      <c r="S961" s="74">
        <v>34739</v>
      </c>
      <c r="T961" s="77">
        <v>0.29166666666666669</v>
      </c>
      <c r="V961">
        <v>17.059999999999999</v>
      </c>
      <c r="X961" s="42"/>
      <c r="AB961">
        <v>30</v>
      </c>
      <c r="AC961">
        <v>26.96</v>
      </c>
      <c r="AE961" s="74"/>
      <c r="AF961" s="77"/>
      <c r="AH961" s="497">
        <v>36.86</v>
      </c>
      <c r="AJ961" s="42"/>
      <c r="AK961" s="74"/>
      <c r="AL961" s="77"/>
      <c r="AN961" s="497">
        <v>26.060000000000002</v>
      </c>
      <c r="AP961" s="42"/>
      <c r="AQ961" s="74"/>
      <c r="AR961" s="77"/>
      <c r="AT961" s="497">
        <v>-0.94000000000000483</v>
      </c>
      <c r="AV961" s="42"/>
      <c r="AW961" s="74"/>
      <c r="AX961" s="77"/>
      <c r="BA961" s="497">
        <v>21.92</v>
      </c>
      <c r="BB961" s="42"/>
      <c r="BC961" s="74"/>
      <c r="BD961" s="77"/>
      <c r="BF961">
        <v>15.98</v>
      </c>
      <c r="BH961" s="42"/>
      <c r="BI961" s="74"/>
      <c r="BJ961" s="77"/>
      <c r="BL961" s="497">
        <v>10.940000000000001</v>
      </c>
      <c r="BN961" s="42"/>
      <c r="BO961" s="74"/>
      <c r="BP961" s="77"/>
      <c r="BR961" s="497">
        <v>-3.9999999999999147E-2</v>
      </c>
      <c r="BT961" s="42"/>
    </row>
    <row r="962" spans="1:72" x14ac:dyDescent="0.25">
      <c r="A962" s="90">
        <v>34739</v>
      </c>
      <c r="B962" s="20">
        <v>0.33333333333333331</v>
      </c>
      <c r="D962">
        <v>17.96</v>
      </c>
      <c r="E962" t="str">
        <f t="shared" si="64"/>
        <v>WEEKDAY</v>
      </c>
      <c r="F962" t="e">
        <f t="shared" si="65"/>
        <v>#N/A</v>
      </c>
      <c r="G962" s="74">
        <v>32182</v>
      </c>
      <c r="H962" s="77">
        <v>0.33333333333333331</v>
      </c>
      <c r="J962">
        <v>24.98</v>
      </c>
      <c r="M962" s="74">
        <v>38026</v>
      </c>
      <c r="N962" s="77">
        <v>0.33333333333333331</v>
      </c>
      <c r="P962">
        <v>24.8</v>
      </c>
      <c r="S962" s="74">
        <v>34739</v>
      </c>
      <c r="T962" s="77">
        <v>0.33333333333333331</v>
      </c>
      <c r="V962">
        <v>17.96</v>
      </c>
      <c r="X962" s="42"/>
      <c r="AB962">
        <v>30</v>
      </c>
      <c r="AC962">
        <v>32</v>
      </c>
      <c r="AE962" s="74"/>
      <c r="AF962" s="77"/>
      <c r="AH962" s="497">
        <v>37.94</v>
      </c>
      <c r="AJ962" s="42"/>
      <c r="AK962" s="74"/>
      <c r="AL962" s="77"/>
      <c r="AN962" s="497">
        <v>24.98</v>
      </c>
      <c r="AP962" s="42"/>
      <c r="AQ962" s="74"/>
      <c r="AR962" s="77"/>
      <c r="AT962" s="497">
        <v>1.9400000000000013</v>
      </c>
      <c r="AV962" s="42"/>
      <c r="AW962" s="74"/>
      <c r="AX962" s="77"/>
      <c r="BA962" s="497">
        <v>21.92</v>
      </c>
      <c r="BB962" s="42"/>
      <c r="BC962" s="74"/>
      <c r="BD962" s="77"/>
      <c r="BF962">
        <v>17.96</v>
      </c>
      <c r="BH962" s="42"/>
      <c r="BI962" s="74"/>
      <c r="BJ962" s="77"/>
      <c r="BL962" s="497">
        <v>10.940000000000001</v>
      </c>
      <c r="BN962" s="42"/>
      <c r="BO962" s="74"/>
      <c r="BP962" s="77"/>
      <c r="BR962" s="497">
        <v>3.019999999999996</v>
      </c>
      <c r="BT962" s="42"/>
    </row>
    <row r="963" spans="1:72" x14ac:dyDescent="0.25">
      <c r="A963" s="90">
        <v>34739</v>
      </c>
      <c r="B963" s="20">
        <v>0.375</v>
      </c>
      <c r="D963">
        <v>19.04</v>
      </c>
      <c r="E963" t="str">
        <f t="shared" si="64"/>
        <v>WEEKDAY</v>
      </c>
      <c r="F963" t="e">
        <f t="shared" si="65"/>
        <v>#N/A</v>
      </c>
      <c r="G963" s="74">
        <v>32182</v>
      </c>
      <c r="H963" s="77">
        <v>0.375</v>
      </c>
      <c r="J963">
        <v>28.04</v>
      </c>
      <c r="M963" s="74">
        <v>38026</v>
      </c>
      <c r="N963" s="77">
        <v>0.375</v>
      </c>
      <c r="P963">
        <v>28.4</v>
      </c>
      <c r="S963" s="74">
        <v>34739</v>
      </c>
      <c r="T963" s="77">
        <v>0.375</v>
      </c>
      <c r="V963">
        <v>19.04</v>
      </c>
      <c r="X963" s="42"/>
      <c r="AB963">
        <v>30.9</v>
      </c>
      <c r="AC963">
        <v>37.04</v>
      </c>
      <c r="AE963" s="74"/>
      <c r="AF963" s="77"/>
      <c r="AH963" s="497">
        <v>41</v>
      </c>
      <c r="AJ963" s="42"/>
      <c r="AK963" s="74"/>
      <c r="AL963" s="77"/>
      <c r="AN963" s="497">
        <v>26.060000000000002</v>
      </c>
      <c r="AP963" s="42"/>
      <c r="AQ963" s="74"/>
      <c r="AR963" s="77"/>
      <c r="AT963" s="497">
        <v>6.98</v>
      </c>
      <c r="AV963" s="42"/>
      <c r="AW963" s="74"/>
      <c r="AX963" s="77"/>
      <c r="BA963" s="497">
        <v>23</v>
      </c>
      <c r="BB963" s="42"/>
      <c r="BC963" s="74"/>
      <c r="BD963" s="77"/>
      <c r="BF963">
        <v>19.939999999999998</v>
      </c>
      <c r="BH963" s="42"/>
      <c r="BI963" s="74"/>
      <c r="BJ963" s="77"/>
      <c r="BL963" s="497">
        <v>15.079999999999998</v>
      </c>
      <c r="BN963" s="42"/>
      <c r="BO963" s="74"/>
      <c r="BP963" s="77"/>
      <c r="BR963" s="497">
        <v>6.98</v>
      </c>
      <c r="BT963" s="42"/>
    </row>
    <row r="964" spans="1:72" x14ac:dyDescent="0.25">
      <c r="A964" s="90">
        <v>34739</v>
      </c>
      <c r="B964" s="20">
        <v>0.41666666666666669</v>
      </c>
      <c r="D964">
        <v>21.02</v>
      </c>
      <c r="E964" t="str">
        <f t="shared" si="64"/>
        <v>WEEKDAY</v>
      </c>
      <c r="F964" t="e">
        <f t="shared" si="65"/>
        <v>#N/A</v>
      </c>
      <c r="G964" s="74">
        <v>32182</v>
      </c>
      <c r="H964" s="77">
        <v>0.41666666666666669</v>
      </c>
      <c r="J964">
        <v>30.02</v>
      </c>
      <c r="M964" s="74">
        <v>38026</v>
      </c>
      <c r="N964" s="77">
        <v>0.41666666666666669</v>
      </c>
      <c r="P964">
        <v>30.2</v>
      </c>
      <c r="S964" s="74">
        <v>34739</v>
      </c>
      <c r="T964" s="77">
        <v>0.41666666666666669</v>
      </c>
      <c r="V964">
        <v>21.02</v>
      </c>
      <c r="X964" s="42"/>
      <c r="AB964">
        <v>32.5</v>
      </c>
      <c r="AC964">
        <v>39.92</v>
      </c>
      <c r="AE964" s="74"/>
      <c r="AF964" s="77"/>
      <c r="AH964" s="497">
        <v>41</v>
      </c>
      <c r="AJ964" s="42"/>
      <c r="AK964" s="74"/>
      <c r="AL964" s="77"/>
      <c r="AN964" s="497">
        <v>26.96</v>
      </c>
      <c r="AP964" s="42"/>
      <c r="AQ964" s="74"/>
      <c r="AR964" s="77"/>
      <c r="AT964" s="497">
        <v>14</v>
      </c>
      <c r="AV964" s="42"/>
      <c r="AW964" s="74"/>
      <c r="AX964" s="77"/>
      <c r="BA964" s="497">
        <v>24.08</v>
      </c>
      <c r="BB964" s="42"/>
      <c r="BC964" s="74"/>
      <c r="BD964" s="77"/>
      <c r="BF964">
        <v>21.02</v>
      </c>
      <c r="BH964" s="42"/>
      <c r="BI964" s="74"/>
      <c r="BJ964" s="77"/>
      <c r="BL964" s="497">
        <v>19.04</v>
      </c>
      <c r="BN964" s="42"/>
      <c r="BO964" s="74"/>
      <c r="BP964" s="77"/>
      <c r="BR964" s="497">
        <v>10.940000000000001</v>
      </c>
      <c r="BT964" s="42"/>
    </row>
    <row r="965" spans="1:72" x14ac:dyDescent="0.25">
      <c r="A965" s="90">
        <v>34739</v>
      </c>
      <c r="B965" s="20">
        <v>0.45833333333333331</v>
      </c>
      <c r="D965">
        <v>24.08</v>
      </c>
      <c r="E965" t="str">
        <f t="shared" si="64"/>
        <v>WEEKDAY</v>
      </c>
      <c r="F965" t="e">
        <f t="shared" si="65"/>
        <v>#N/A</v>
      </c>
      <c r="G965" s="74">
        <v>32182</v>
      </c>
      <c r="H965" s="77">
        <v>0.45833333333333331</v>
      </c>
      <c r="J965">
        <v>32</v>
      </c>
      <c r="M965" s="74">
        <v>38026</v>
      </c>
      <c r="N965" s="77">
        <v>0.45833333333333331</v>
      </c>
      <c r="P965">
        <v>33.799999999999997</v>
      </c>
      <c r="S965" s="74">
        <v>34739</v>
      </c>
      <c r="T965" s="77">
        <v>0.45833333333333331</v>
      </c>
      <c r="V965">
        <v>24.08</v>
      </c>
      <c r="X965" s="42"/>
      <c r="AB965">
        <v>33.9</v>
      </c>
      <c r="AC965">
        <v>41</v>
      </c>
      <c r="AE965" s="74"/>
      <c r="AF965" s="77"/>
      <c r="AH965" s="497">
        <v>41.9</v>
      </c>
      <c r="AJ965" s="42"/>
      <c r="AK965" s="74"/>
      <c r="AL965" s="77"/>
      <c r="AN965" s="497">
        <v>28.04</v>
      </c>
      <c r="AP965" s="42"/>
      <c r="AQ965" s="74"/>
      <c r="AR965" s="77"/>
      <c r="AT965" s="497">
        <v>19.04</v>
      </c>
      <c r="AV965" s="42"/>
      <c r="AW965" s="74"/>
      <c r="AX965" s="77"/>
      <c r="BA965" s="497">
        <v>26.060000000000002</v>
      </c>
      <c r="BB965" s="42"/>
      <c r="BC965" s="74"/>
      <c r="BD965" s="77"/>
      <c r="BF965">
        <v>26.96</v>
      </c>
      <c r="BH965" s="42"/>
      <c r="BI965" s="74"/>
      <c r="BJ965" s="77"/>
      <c r="BL965" s="497">
        <v>21.92</v>
      </c>
      <c r="BN965" s="42"/>
      <c r="BO965" s="74"/>
      <c r="BP965" s="77"/>
      <c r="BR965" s="497">
        <v>15.079999999999998</v>
      </c>
      <c r="BT965" s="42"/>
    </row>
    <row r="966" spans="1:72" x14ac:dyDescent="0.25">
      <c r="A966" s="90">
        <v>34739</v>
      </c>
      <c r="B966" s="20">
        <v>0.5</v>
      </c>
      <c r="D966">
        <v>26.96</v>
      </c>
      <c r="E966" t="str">
        <f t="shared" si="64"/>
        <v>WEEKDAY</v>
      </c>
      <c r="F966" t="e">
        <f t="shared" si="65"/>
        <v>#N/A</v>
      </c>
      <c r="G966" s="74">
        <v>32182</v>
      </c>
      <c r="H966" s="77">
        <v>0.5</v>
      </c>
      <c r="J966">
        <v>35.06</v>
      </c>
      <c r="M966" s="74">
        <v>38026</v>
      </c>
      <c r="N966" s="77">
        <v>0.5</v>
      </c>
      <c r="P966">
        <v>37.4</v>
      </c>
      <c r="S966" s="74">
        <v>34739</v>
      </c>
      <c r="T966" s="77">
        <v>0.5</v>
      </c>
      <c r="V966">
        <v>26.060000000000002</v>
      </c>
      <c r="X966" s="42"/>
      <c r="AB966">
        <v>35.299999999999997</v>
      </c>
      <c r="AC966">
        <v>42.980000000000004</v>
      </c>
      <c r="AE966" s="74"/>
      <c r="AF966" s="77"/>
      <c r="AH966" s="497">
        <v>41</v>
      </c>
      <c r="AJ966" s="42"/>
      <c r="AK966" s="74"/>
      <c r="AL966" s="77"/>
      <c r="AN966" s="497">
        <v>28.94</v>
      </c>
      <c r="AP966" s="42"/>
      <c r="AQ966" s="74"/>
      <c r="AR966" s="77"/>
      <c r="AT966" s="497">
        <v>21.02</v>
      </c>
      <c r="AV966" s="42"/>
      <c r="AW966" s="74"/>
      <c r="AX966" s="77"/>
      <c r="BA966" s="497">
        <v>28.04</v>
      </c>
      <c r="BB966" s="42"/>
      <c r="BC966" s="74"/>
      <c r="BD966" s="77"/>
      <c r="BF966">
        <v>28.04</v>
      </c>
      <c r="BH966" s="42"/>
      <c r="BI966" s="74"/>
      <c r="BJ966" s="77"/>
      <c r="BL966" s="497">
        <v>28.04</v>
      </c>
      <c r="BN966" s="42"/>
      <c r="BO966" s="74"/>
      <c r="BP966" s="77"/>
      <c r="BR966" s="497">
        <v>17.059999999999999</v>
      </c>
      <c r="BT966" s="42"/>
    </row>
    <row r="967" spans="1:72" x14ac:dyDescent="0.25">
      <c r="A967" s="90">
        <v>34739</v>
      </c>
      <c r="B967" s="20">
        <v>0.54166666666666663</v>
      </c>
      <c r="D967">
        <v>30.02</v>
      </c>
      <c r="E967" t="str">
        <f t="shared" si="64"/>
        <v>WEEKDAY</v>
      </c>
      <c r="F967" t="e">
        <f t="shared" si="65"/>
        <v>#N/A</v>
      </c>
      <c r="G967" s="74">
        <v>32182</v>
      </c>
      <c r="H967" s="77">
        <v>0.54166666666666663</v>
      </c>
      <c r="J967">
        <v>37.04</v>
      </c>
      <c r="M967" s="74">
        <v>38026</v>
      </c>
      <c r="N967" s="77">
        <v>0.54166666666666663</v>
      </c>
      <c r="P967">
        <v>38.299999999999997</v>
      </c>
      <c r="S967" s="74">
        <v>34739</v>
      </c>
      <c r="T967" s="77">
        <v>0.54166666666666663</v>
      </c>
      <c r="V967">
        <v>26.96</v>
      </c>
      <c r="X967" s="42"/>
      <c r="AB967">
        <v>36.4</v>
      </c>
      <c r="AC967">
        <v>42.08</v>
      </c>
      <c r="AE967" s="74"/>
      <c r="AF967" s="77"/>
      <c r="AH967" s="497">
        <v>41.9</v>
      </c>
      <c r="AJ967" s="42"/>
      <c r="AK967" s="74"/>
      <c r="AL967" s="77"/>
      <c r="AN967" s="497">
        <v>30.02</v>
      </c>
      <c r="AP967" s="42"/>
      <c r="AQ967" s="74"/>
      <c r="AR967" s="77"/>
      <c r="AT967" s="497">
        <v>21.02</v>
      </c>
      <c r="AV967" s="42"/>
      <c r="AW967" s="74"/>
      <c r="AX967" s="77"/>
      <c r="BA967" s="497">
        <v>28.94</v>
      </c>
      <c r="BB967" s="42"/>
      <c r="BC967" s="74"/>
      <c r="BD967" s="77"/>
      <c r="BF967">
        <v>28.04</v>
      </c>
      <c r="BH967" s="42"/>
      <c r="BI967" s="74"/>
      <c r="BJ967" s="77"/>
      <c r="BL967" s="497">
        <v>30.02</v>
      </c>
      <c r="BN967" s="42"/>
      <c r="BO967" s="74"/>
      <c r="BP967" s="77"/>
      <c r="BR967" s="497">
        <v>17.96</v>
      </c>
      <c r="BT967" s="42"/>
    </row>
    <row r="968" spans="1:72" x14ac:dyDescent="0.25">
      <c r="A968" s="90">
        <v>34739</v>
      </c>
      <c r="B968" s="20">
        <v>0.58333333333333337</v>
      </c>
      <c r="D968">
        <v>30.02</v>
      </c>
      <c r="E968" t="str">
        <f t="shared" si="64"/>
        <v>WEEKDAY</v>
      </c>
      <c r="F968" t="e">
        <f t="shared" si="65"/>
        <v>#N/A</v>
      </c>
      <c r="G968" s="74">
        <v>32182</v>
      </c>
      <c r="H968" s="77">
        <v>0.58333333333333337</v>
      </c>
      <c r="J968">
        <v>37.04</v>
      </c>
      <c r="M968" s="74">
        <v>38026</v>
      </c>
      <c r="N968" s="77">
        <v>0.58333333333333337</v>
      </c>
      <c r="P968">
        <v>39.200000000000003</v>
      </c>
      <c r="S968" s="74">
        <v>34739</v>
      </c>
      <c r="T968" s="77">
        <v>0.58333333333333337</v>
      </c>
      <c r="V968">
        <v>28.04</v>
      </c>
      <c r="X968" s="42"/>
      <c r="AB968">
        <v>37.299999999999997</v>
      </c>
      <c r="AC968">
        <v>41</v>
      </c>
      <c r="AE968" s="74"/>
      <c r="AF968" s="77"/>
      <c r="AH968" s="497">
        <v>42.980000000000004</v>
      </c>
      <c r="AJ968" s="42"/>
      <c r="AK968" s="74"/>
      <c r="AL968" s="77"/>
      <c r="AN968" s="497">
        <v>30.92</v>
      </c>
      <c r="AP968" s="42"/>
      <c r="AQ968" s="74"/>
      <c r="AR968" s="77"/>
      <c r="AT968" s="497">
        <v>26.96</v>
      </c>
      <c r="AV968" s="42"/>
      <c r="AW968" s="74"/>
      <c r="AX968" s="77"/>
      <c r="BA968" s="497">
        <v>30.02</v>
      </c>
      <c r="BB968" s="42"/>
      <c r="BC968" s="74"/>
      <c r="BD968" s="77"/>
      <c r="BF968">
        <v>28.94</v>
      </c>
      <c r="BH968" s="42"/>
      <c r="BI968" s="74"/>
      <c r="BJ968" s="77"/>
      <c r="BL968" s="497">
        <v>30.92</v>
      </c>
      <c r="BN968" s="42"/>
      <c r="BO968" s="74"/>
      <c r="BP968" s="77"/>
      <c r="BR968" s="497">
        <v>17.96</v>
      </c>
      <c r="BT968" s="42"/>
    </row>
    <row r="969" spans="1:72" x14ac:dyDescent="0.25">
      <c r="A969" s="90">
        <v>34739</v>
      </c>
      <c r="B969" s="20">
        <v>0.625</v>
      </c>
      <c r="D969">
        <v>30.92</v>
      </c>
      <c r="E969" t="str">
        <f t="shared" si="64"/>
        <v>WEEKDAY</v>
      </c>
      <c r="F969" t="e">
        <f t="shared" si="65"/>
        <v>#N/A</v>
      </c>
      <c r="G969" s="74">
        <v>32182</v>
      </c>
      <c r="H969" s="77">
        <v>0.625</v>
      </c>
      <c r="J969">
        <v>37.04</v>
      </c>
      <c r="M969" s="74">
        <v>38026</v>
      </c>
      <c r="N969" s="77">
        <v>0.625</v>
      </c>
      <c r="P969">
        <v>41</v>
      </c>
      <c r="S969" s="74">
        <v>34739</v>
      </c>
      <c r="T969" s="77">
        <v>0.625</v>
      </c>
      <c r="V969">
        <v>28.04</v>
      </c>
      <c r="X969" s="42"/>
      <c r="AB969">
        <v>37.9</v>
      </c>
      <c r="AC969">
        <v>42.08</v>
      </c>
      <c r="AE969" s="74"/>
      <c r="AF969" s="77"/>
      <c r="AH969" s="497">
        <v>42.980000000000004</v>
      </c>
      <c r="AJ969" s="42"/>
      <c r="AK969" s="74"/>
      <c r="AL969" s="77"/>
      <c r="AN969" s="497">
        <v>30.02</v>
      </c>
      <c r="AP969" s="42"/>
      <c r="AQ969" s="74"/>
      <c r="AR969" s="77"/>
      <c r="AT969" s="497">
        <v>28.04</v>
      </c>
      <c r="AV969" s="42"/>
      <c r="AW969" s="74"/>
      <c r="AX969" s="77"/>
      <c r="BA969" s="497">
        <v>28.94</v>
      </c>
      <c r="BB969" s="42"/>
      <c r="BC969" s="74"/>
      <c r="BD969" s="77"/>
      <c r="BF969">
        <v>28.94</v>
      </c>
      <c r="BH969" s="42"/>
      <c r="BI969" s="74"/>
      <c r="BJ969" s="77"/>
      <c r="BL969" s="497">
        <v>30.92</v>
      </c>
      <c r="BN969" s="42"/>
      <c r="BO969" s="74"/>
      <c r="BP969" s="77"/>
      <c r="BR969" s="497">
        <v>17.96</v>
      </c>
      <c r="BT969" s="42"/>
    </row>
    <row r="970" spans="1:72" x14ac:dyDescent="0.25">
      <c r="A970" s="90">
        <v>34739</v>
      </c>
      <c r="B970" s="20">
        <v>0.66666666666666663</v>
      </c>
      <c r="D970">
        <v>30.92</v>
      </c>
      <c r="E970" t="str">
        <f t="shared" si="64"/>
        <v>WEEKDAY</v>
      </c>
      <c r="F970" t="e">
        <f t="shared" si="65"/>
        <v>#N/A</v>
      </c>
      <c r="G970" s="74">
        <v>32182</v>
      </c>
      <c r="H970" s="77">
        <v>0.66666666666666663</v>
      </c>
      <c r="J970">
        <v>37.04</v>
      </c>
      <c r="M970" s="74">
        <v>38026</v>
      </c>
      <c r="N970" s="77">
        <v>0.66666666666666663</v>
      </c>
      <c r="P970">
        <v>39.200000000000003</v>
      </c>
      <c r="S970" s="74">
        <v>34739</v>
      </c>
      <c r="T970" s="77">
        <v>0.66666666666666663</v>
      </c>
      <c r="V970">
        <v>28.04</v>
      </c>
      <c r="X970" s="42"/>
      <c r="AB970">
        <v>38.1</v>
      </c>
      <c r="AC970">
        <v>42.08</v>
      </c>
      <c r="AE970" s="74"/>
      <c r="AF970" s="77"/>
      <c r="AH970" s="497">
        <v>41.9</v>
      </c>
      <c r="AJ970" s="42"/>
      <c r="AK970" s="74"/>
      <c r="AL970" s="77"/>
      <c r="AN970" s="497">
        <v>30.02</v>
      </c>
      <c r="AP970" s="42"/>
      <c r="AQ970" s="74"/>
      <c r="AR970" s="77"/>
      <c r="AT970" s="497">
        <v>28.94</v>
      </c>
      <c r="AV970" s="42"/>
      <c r="AW970" s="74"/>
      <c r="AX970" s="77"/>
      <c r="BA970" s="497">
        <v>30.02</v>
      </c>
      <c r="BB970" s="42"/>
      <c r="BC970" s="74"/>
      <c r="BD970" s="77"/>
      <c r="BF970">
        <v>28.94</v>
      </c>
      <c r="BH970" s="42"/>
      <c r="BI970" s="74"/>
      <c r="BJ970" s="77"/>
      <c r="BL970" s="497">
        <v>30.02</v>
      </c>
      <c r="BN970" s="42"/>
      <c r="BO970" s="74"/>
      <c r="BP970" s="77"/>
      <c r="BR970" s="497">
        <v>17.059999999999999</v>
      </c>
      <c r="BT970" s="42"/>
    </row>
    <row r="971" spans="1:72" x14ac:dyDescent="0.25">
      <c r="A971" s="90">
        <v>34739</v>
      </c>
      <c r="B971" s="20">
        <v>0.70833333333333337</v>
      </c>
      <c r="D971">
        <v>28.04</v>
      </c>
      <c r="E971" t="str">
        <f t="shared" si="64"/>
        <v>WEEKDAY</v>
      </c>
      <c r="F971" t="e">
        <f t="shared" si="65"/>
        <v>#N/A</v>
      </c>
      <c r="G971" s="74">
        <v>32182</v>
      </c>
      <c r="H971" s="77">
        <v>0.70833333333333337</v>
      </c>
      <c r="J971">
        <v>37.04</v>
      </c>
      <c r="M971" s="74">
        <v>38026</v>
      </c>
      <c r="N971" s="77">
        <v>0.70833333333333337</v>
      </c>
      <c r="P971">
        <v>39.200000000000003</v>
      </c>
      <c r="S971" s="74">
        <v>34739</v>
      </c>
      <c r="T971" s="77">
        <v>0.70833333333333337</v>
      </c>
      <c r="V971">
        <v>26.96</v>
      </c>
      <c r="X971" s="42"/>
      <c r="AB971">
        <v>37.6</v>
      </c>
      <c r="AC971">
        <v>39.92</v>
      </c>
      <c r="AE971" s="74"/>
      <c r="AF971" s="77"/>
      <c r="AH971" s="497">
        <v>41</v>
      </c>
      <c r="AJ971" s="42"/>
      <c r="AK971" s="74"/>
      <c r="AL971" s="77"/>
      <c r="AN971" s="497">
        <v>26.96</v>
      </c>
      <c r="AP971" s="42"/>
      <c r="AQ971" s="74"/>
      <c r="AR971" s="77"/>
      <c r="AT971" s="497">
        <v>28.94</v>
      </c>
      <c r="AV971" s="42"/>
      <c r="AW971" s="74"/>
      <c r="AX971" s="77"/>
      <c r="BA971" s="497">
        <v>28.94</v>
      </c>
      <c r="BB971" s="42"/>
      <c r="BC971" s="74"/>
      <c r="BD971" s="77"/>
      <c r="BF971">
        <v>28.04</v>
      </c>
      <c r="BH971" s="42"/>
      <c r="BI971" s="74"/>
      <c r="BJ971" s="77"/>
      <c r="BL971" s="497">
        <v>30.02</v>
      </c>
      <c r="BN971" s="42"/>
      <c r="BO971" s="74"/>
      <c r="BP971" s="77"/>
      <c r="BR971" s="497">
        <v>17.059999999999999</v>
      </c>
      <c r="BT971" s="42"/>
    </row>
    <row r="972" spans="1:72" x14ac:dyDescent="0.25">
      <c r="A972" s="90">
        <v>34739</v>
      </c>
      <c r="B972" s="20">
        <v>0.75</v>
      </c>
      <c r="D972">
        <v>28.04</v>
      </c>
      <c r="E972" t="str">
        <f t="shared" si="64"/>
        <v>WEEKDAY</v>
      </c>
      <c r="F972" t="e">
        <f t="shared" si="65"/>
        <v>#N/A</v>
      </c>
      <c r="G972" s="74">
        <v>32182</v>
      </c>
      <c r="H972" s="77">
        <v>0.75</v>
      </c>
      <c r="J972">
        <v>35.96</v>
      </c>
      <c r="M972" s="74">
        <v>38026</v>
      </c>
      <c r="N972" s="77">
        <v>0.75</v>
      </c>
      <c r="P972">
        <v>39.200000000000003</v>
      </c>
      <c r="S972" s="74">
        <v>34739</v>
      </c>
      <c r="T972" s="77">
        <v>0.75</v>
      </c>
      <c r="V972">
        <v>26.96</v>
      </c>
      <c r="X972" s="42"/>
      <c r="AB972">
        <v>36.6</v>
      </c>
      <c r="AC972">
        <v>37.04</v>
      </c>
      <c r="AE972" s="74"/>
      <c r="AF972" s="77"/>
      <c r="AH972" s="497">
        <v>41</v>
      </c>
      <c r="AJ972" s="42"/>
      <c r="AK972" s="74"/>
      <c r="AL972" s="77"/>
      <c r="AN972" s="497">
        <v>24.08</v>
      </c>
      <c r="AP972" s="42"/>
      <c r="AQ972" s="74"/>
      <c r="AR972" s="77"/>
      <c r="AT972" s="497">
        <v>28.94</v>
      </c>
      <c r="AV972" s="42"/>
      <c r="AW972" s="74"/>
      <c r="AX972" s="77"/>
      <c r="BA972" s="497">
        <v>26.96</v>
      </c>
      <c r="BB972" s="42"/>
      <c r="BC972" s="74"/>
      <c r="BD972" s="77"/>
      <c r="BF972">
        <v>26.96</v>
      </c>
      <c r="BH972" s="42"/>
      <c r="BI972" s="74"/>
      <c r="BJ972" s="77"/>
      <c r="BL972" s="497">
        <v>28.04</v>
      </c>
      <c r="BN972" s="42"/>
      <c r="BO972" s="74"/>
      <c r="BP972" s="77"/>
      <c r="BR972" s="497">
        <v>17.059999999999999</v>
      </c>
      <c r="BT972" s="42"/>
    </row>
    <row r="973" spans="1:72" x14ac:dyDescent="0.25">
      <c r="A973" s="90">
        <v>34739</v>
      </c>
      <c r="B973" s="20">
        <v>0.79166666666666663</v>
      </c>
      <c r="D973">
        <v>28.04</v>
      </c>
      <c r="E973" t="str">
        <f t="shared" si="64"/>
        <v>WEEKDAY</v>
      </c>
      <c r="F973" t="e">
        <f t="shared" si="65"/>
        <v>#N/A</v>
      </c>
      <c r="G973" s="74">
        <v>32182</v>
      </c>
      <c r="H973" s="77">
        <v>0.79166666666666663</v>
      </c>
      <c r="J973">
        <v>35.96</v>
      </c>
      <c r="M973" s="74">
        <v>38026</v>
      </c>
      <c r="N973" s="77">
        <v>0.79166666666666663</v>
      </c>
      <c r="P973">
        <v>39.200000000000003</v>
      </c>
      <c r="S973" s="74">
        <v>34739</v>
      </c>
      <c r="T973" s="77">
        <v>0.79166666666666663</v>
      </c>
      <c r="V973">
        <v>28.04</v>
      </c>
      <c r="X973" s="42"/>
      <c r="AB973">
        <v>35.5</v>
      </c>
      <c r="AC973">
        <v>35.96</v>
      </c>
      <c r="AE973" s="74"/>
      <c r="AF973" s="77"/>
      <c r="AH973" s="497">
        <v>39.92</v>
      </c>
      <c r="AJ973" s="42"/>
      <c r="AK973" s="74"/>
      <c r="AL973" s="77"/>
      <c r="AN973" s="497">
        <v>24.08</v>
      </c>
      <c r="AP973" s="42"/>
      <c r="AQ973" s="74"/>
      <c r="AR973" s="77"/>
      <c r="AT973" s="497">
        <v>30.02</v>
      </c>
      <c r="AV973" s="42"/>
      <c r="AW973" s="74"/>
      <c r="AX973" s="77"/>
      <c r="BA973" s="497">
        <v>26.96</v>
      </c>
      <c r="BB973" s="42"/>
      <c r="BC973" s="74"/>
      <c r="BD973" s="77"/>
      <c r="BF973">
        <v>26.96</v>
      </c>
      <c r="BH973" s="42"/>
      <c r="BI973" s="74"/>
      <c r="BJ973" s="77"/>
      <c r="BL973" s="497">
        <v>26.96</v>
      </c>
      <c r="BN973" s="42"/>
      <c r="BO973" s="74"/>
      <c r="BP973" s="77"/>
      <c r="BR973" s="497">
        <v>15.98</v>
      </c>
      <c r="BT973" s="42"/>
    </row>
    <row r="974" spans="1:72" x14ac:dyDescent="0.25">
      <c r="A974" s="90">
        <v>34739</v>
      </c>
      <c r="B974" s="20">
        <v>0.83333333333333337</v>
      </c>
      <c r="D974">
        <v>28.94</v>
      </c>
      <c r="E974" t="str">
        <f t="shared" si="64"/>
        <v>WEEKDAY</v>
      </c>
      <c r="F974" t="e">
        <f t="shared" si="65"/>
        <v>#N/A</v>
      </c>
      <c r="G974" s="74">
        <v>32182</v>
      </c>
      <c r="H974" s="77">
        <v>0.83333333333333337</v>
      </c>
      <c r="J974">
        <v>35.96</v>
      </c>
      <c r="M974" s="74">
        <v>38026</v>
      </c>
      <c r="N974" s="77">
        <v>0.83333333333333337</v>
      </c>
      <c r="P974">
        <v>39.200000000000003</v>
      </c>
      <c r="S974" s="74">
        <v>34739</v>
      </c>
      <c r="T974" s="77">
        <v>0.83333333333333337</v>
      </c>
      <c r="V974">
        <v>28.04</v>
      </c>
      <c r="X974" s="42"/>
      <c r="AB974">
        <v>35.200000000000003</v>
      </c>
      <c r="AC974">
        <v>37.04</v>
      </c>
      <c r="AE974" s="74"/>
      <c r="AF974" s="77"/>
      <c r="AH974" s="497">
        <v>39.92</v>
      </c>
      <c r="AJ974" s="42"/>
      <c r="AK974" s="74"/>
      <c r="AL974" s="77"/>
      <c r="AN974" s="497">
        <v>24.08</v>
      </c>
      <c r="AP974" s="42"/>
      <c r="AQ974" s="74"/>
      <c r="AR974" s="77"/>
      <c r="AT974" s="497">
        <v>30.02</v>
      </c>
      <c r="AV974" s="42"/>
      <c r="AW974" s="74"/>
      <c r="AX974" s="77"/>
      <c r="BA974" s="497">
        <v>28.04</v>
      </c>
      <c r="BB974" s="42"/>
      <c r="BC974" s="74"/>
      <c r="BD974" s="77"/>
      <c r="BF974">
        <v>24.98</v>
      </c>
      <c r="BH974" s="42"/>
      <c r="BI974" s="74"/>
      <c r="BJ974" s="77"/>
      <c r="BL974" s="497">
        <v>26.96</v>
      </c>
      <c r="BN974" s="42"/>
      <c r="BO974" s="74"/>
      <c r="BP974" s="77"/>
      <c r="BR974" s="497">
        <v>15.079999999999998</v>
      </c>
      <c r="BT974" s="42"/>
    </row>
    <row r="975" spans="1:72" x14ac:dyDescent="0.25">
      <c r="A975" s="90">
        <v>34739</v>
      </c>
      <c r="B975" s="20">
        <v>0.875</v>
      </c>
      <c r="D975">
        <v>28.94</v>
      </c>
      <c r="E975" t="str">
        <f t="shared" si="64"/>
        <v>WEEKDAY</v>
      </c>
      <c r="F975" t="e">
        <f t="shared" si="65"/>
        <v>#N/A</v>
      </c>
      <c r="G975" s="74">
        <v>32182</v>
      </c>
      <c r="H975" s="77">
        <v>0.875</v>
      </c>
      <c r="J975">
        <v>35.96</v>
      </c>
      <c r="M975" s="74">
        <v>38026</v>
      </c>
      <c r="N975" s="77">
        <v>0.875</v>
      </c>
      <c r="P975">
        <v>39.200000000000003</v>
      </c>
      <c r="S975" s="74">
        <v>34739</v>
      </c>
      <c r="T975" s="77">
        <v>0.875</v>
      </c>
      <c r="V975">
        <v>26.96</v>
      </c>
      <c r="X975" s="42"/>
      <c r="AB975">
        <v>34.700000000000003</v>
      </c>
      <c r="AC975">
        <v>35.96</v>
      </c>
      <c r="AE975" s="74"/>
      <c r="AF975" s="77"/>
      <c r="AH975" s="497">
        <v>39.92</v>
      </c>
      <c r="AJ975" s="42"/>
      <c r="AK975" s="74"/>
      <c r="AL975" s="77"/>
      <c r="AN975" s="497">
        <v>23</v>
      </c>
      <c r="AP975" s="42"/>
      <c r="AQ975" s="74"/>
      <c r="AR975" s="77"/>
      <c r="AT975" s="497">
        <v>30.02</v>
      </c>
      <c r="AV975" s="42"/>
      <c r="AW975" s="74"/>
      <c r="AX975" s="77"/>
      <c r="BA975" s="497">
        <v>26.96</v>
      </c>
      <c r="BB975" s="42"/>
      <c r="BC975" s="74"/>
      <c r="BD975" s="77"/>
      <c r="BF975">
        <v>24.98</v>
      </c>
      <c r="BH975" s="42"/>
      <c r="BI975" s="74"/>
      <c r="BJ975" s="77"/>
      <c r="BL975" s="497">
        <v>26.96</v>
      </c>
      <c r="BN975" s="42"/>
      <c r="BO975" s="74"/>
      <c r="BP975" s="77"/>
      <c r="BR975" s="497">
        <v>14</v>
      </c>
      <c r="BT975" s="42"/>
    </row>
    <row r="976" spans="1:72" x14ac:dyDescent="0.25">
      <c r="A976" s="90">
        <v>34739</v>
      </c>
      <c r="B976" s="20">
        <v>0.91666666666666663</v>
      </c>
      <c r="D976">
        <v>30.02</v>
      </c>
      <c r="E976" t="str">
        <f t="shared" si="64"/>
        <v>WEEKDAY</v>
      </c>
      <c r="F976" t="e">
        <f t="shared" si="65"/>
        <v>#N/A</v>
      </c>
      <c r="G976" s="74">
        <v>32182</v>
      </c>
      <c r="H976" s="77">
        <v>0.91666666666666663</v>
      </c>
      <c r="J976">
        <v>35.96</v>
      </c>
      <c r="M976" s="74">
        <v>38026</v>
      </c>
      <c r="N976" s="77">
        <v>0.91666666666666663</v>
      </c>
      <c r="P976">
        <v>39.200000000000003</v>
      </c>
      <c r="S976" s="74">
        <v>34739</v>
      </c>
      <c r="T976" s="77">
        <v>0.91666666666666663</v>
      </c>
      <c r="V976">
        <v>28.04</v>
      </c>
      <c r="X976" s="42"/>
      <c r="AB976">
        <v>34</v>
      </c>
      <c r="AC976">
        <v>35.06</v>
      </c>
      <c r="AE976" s="74"/>
      <c r="AF976" s="77"/>
      <c r="AH976" s="497">
        <v>38.840000000000003</v>
      </c>
      <c r="AJ976" s="42"/>
      <c r="AK976" s="74"/>
      <c r="AL976" s="77"/>
      <c r="AN976" s="497">
        <v>21.92</v>
      </c>
      <c r="AP976" s="42"/>
      <c r="AQ976" s="74"/>
      <c r="AR976" s="77"/>
      <c r="AT976" s="497">
        <v>30.02</v>
      </c>
      <c r="AV976" s="42"/>
      <c r="AW976" s="74"/>
      <c r="AX976" s="77"/>
      <c r="BA976" s="497">
        <v>26.060000000000002</v>
      </c>
      <c r="BB976" s="42"/>
      <c r="BC976" s="74"/>
      <c r="BD976" s="77"/>
      <c r="BF976">
        <v>24.98</v>
      </c>
      <c r="BH976" s="42"/>
      <c r="BI976" s="74"/>
      <c r="BJ976" s="77"/>
      <c r="BL976" s="497">
        <v>26.060000000000002</v>
      </c>
      <c r="BN976" s="42"/>
      <c r="BO976" s="74"/>
      <c r="BP976" s="77"/>
      <c r="BR976" s="497">
        <v>15.079999999999998</v>
      </c>
      <c r="BT976" s="42"/>
    </row>
    <row r="977" spans="1:72" x14ac:dyDescent="0.25">
      <c r="A977" s="90">
        <v>34739</v>
      </c>
      <c r="B977" s="20">
        <v>0.95833333333333337</v>
      </c>
      <c r="D977">
        <v>30.92</v>
      </c>
      <c r="E977" t="str">
        <f t="shared" si="64"/>
        <v>WEEKDAY</v>
      </c>
      <c r="F977" t="e">
        <f t="shared" si="65"/>
        <v>#N/A</v>
      </c>
      <c r="G977" s="74">
        <v>32182</v>
      </c>
      <c r="H977" s="77">
        <v>0.95833333333333337</v>
      </c>
      <c r="J977">
        <v>35.06</v>
      </c>
      <c r="M977" s="74">
        <v>38026</v>
      </c>
      <c r="N977" s="77">
        <v>0.95833333333333337</v>
      </c>
      <c r="P977">
        <v>37.4</v>
      </c>
      <c r="S977" s="74">
        <v>34739</v>
      </c>
      <c r="T977" s="77">
        <v>0.95833333333333337</v>
      </c>
      <c r="V977">
        <v>28.94</v>
      </c>
      <c r="X977" s="42"/>
      <c r="AB977">
        <v>33.4</v>
      </c>
      <c r="AC977">
        <v>35.96</v>
      </c>
      <c r="AE977" s="74"/>
      <c r="AF977" s="77"/>
      <c r="AH977" s="497">
        <v>38.840000000000003</v>
      </c>
      <c r="AJ977" s="42"/>
      <c r="AK977" s="74"/>
      <c r="AL977" s="77"/>
      <c r="AN977" s="497">
        <v>21.92</v>
      </c>
      <c r="AP977" s="42"/>
      <c r="AQ977" s="74"/>
      <c r="AR977" s="77"/>
      <c r="AT977" s="497">
        <v>30.02</v>
      </c>
      <c r="AV977" s="42"/>
      <c r="AW977" s="74"/>
      <c r="AX977" s="77"/>
      <c r="BA977" s="497">
        <v>24.08</v>
      </c>
      <c r="BB977" s="42"/>
      <c r="BC977" s="74"/>
      <c r="BD977" s="77"/>
      <c r="BF977">
        <v>24.08</v>
      </c>
      <c r="BH977" s="42"/>
      <c r="BI977" s="74"/>
      <c r="BJ977" s="77"/>
      <c r="BL977" s="497">
        <v>24.98</v>
      </c>
      <c r="BN977" s="42"/>
      <c r="BO977" s="74"/>
      <c r="BP977" s="77"/>
      <c r="BR977" s="497">
        <v>14</v>
      </c>
      <c r="BT977" s="42"/>
    </row>
    <row r="978" spans="1:72" x14ac:dyDescent="0.25">
      <c r="A978" s="90">
        <v>34739</v>
      </c>
      <c r="B978" s="20">
        <v>1</v>
      </c>
      <c r="D978">
        <v>30.02</v>
      </c>
      <c r="E978" t="str">
        <f t="shared" si="64"/>
        <v>WEEKDAY</v>
      </c>
      <c r="F978" t="e">
        <f t="shared" si="65"/>
        <v>#N/A</v>
      </c>
      <c r="G978" s="74">
        <v>32182</v>
      </c>
      <c r="H978" s="77">
        <v>1</v>
      </c>
      <c r="J978">
        <v>35.06</v>
      </c>
      <c r="M978" s="74">
        <v>38026</v>
      </c>
      <c r="N978" s="80">
        <v>1</v>
      </c>
      <c r="P978">
        <v>37.4</v>
      </c>
      <c r="S978" s="74">
        <v>34739</v>
      </c>
      <c r="T978" s="80">
        <v>1</v>
      </c>
      <c r="V978">
        <v>30.02</v>
      </c>
      <c r="X978" s="42"/>
      <c r="AB978">
        <v>32.799999999999997</v>
      </c>
      <c r="AC978">
        <v>33.979999999999997</v>
      </c>
      <c r="AE978" s="74"/>
      <c r="AF978" s="80"/>
      <c r="AH978" s="497">
        <v>37.94</v>
      </c>
      <c r="AJ978" s="42"/>
      <c r="AK978" s="74"/>
      <c r="AL978" s="80"/>
      <c r="AN978" s="497">
        <v>21.02</v>
      </c>
      <c r="AP978" s="42"/>
      <c r="AQ978" s="74"/>
      <c r="AR978" s="80"/>
      <c r="AT978" s="497">
        <v>30.02</v>
      </c>
      <c r="AV978" s="42"/>
      <c r="AW978" s="74"/>
      <c r="AX978" s="80"/>
      <c r="BA978" s="497">
        <v>21.92</v>
      </c>
      <c r="BB978" s="42"/>
      <c r="BC978" s="74"/>
      <c r="BD978" s="80"/>
      <c r="BF978">
        <v>23</v>
      </c>
      <c r="BH978" s="42"/>
      <c r="BI978" s="74"/>
      <c r="BJ978" s="80"/>
      <c r="BL978" s="497">
        <v>23</v>
      </c>
      <c r="BN978" s="42"/>
      <c r="BO978" s="74"/>
      <c r="BP978" s="80"/>
      <c r="BR978" s="497">
        <v>14</v>
      </c>
      <c r="BT978" s="42"/>
    </row>
    <row r="979" spans="1:72" x14ac:dyDescent="0.25">
      <c r="A979" s="90">
        <v>34740</v>
      </c>
      <c r="B979" s="20">
        <v>4.1666666666666664E-2</v>
      </c>
      <c r="D979">
        <v>30.02</v>
      </c>
      <c r="E979" t="str">
        <f t="shared" ref="E979:E1042" si="66">IF(COUNTIF($DI$18:$DI$22, WEEKDAY(A979))=1, "WEEKDAY", IF(WEEKDAY(A979) = 1, "SUNDAY", "SATURDAY"))</f>
        <v>WEEKDAY</v>
      </c>
      <c r="F979" t="e">
        <f t="shared" si="65"/>
        <v>#N/A</v>
      </c>
      <c r="G979" s="74">
        <v>32183</v>
      </c>
      <c r="H979" s="77">
        <v>4.1666666666666664E-2</v>
      </c>
      <c r="J979">
        <v>35.06</v>
      </c>
      <c r="M979" s="74">
        <v>38027</v>
      </c>
      <c r="N979" s="77">
        <v>4.1666666666666664E-2</v>
      </c>
      <c r="P979">
        <v>37.4</v>
      </c>
      <c r="S979" s="74">
        <v>34740</v>
      </c>
      <c r="T979" s="77">
        <v>4.1666666666666664E-2</v>
      </c>
      <c r="V979">
        <v>28.94</v>
      </c>
      <c r="X979" s="42"/>
      <c r="AB979">
        <v>32.299999999999997</v>
      </c>
      <c r="AC979">
        <v>32</v>
      </c>
      <c r="AE979" s="74"/>
      <c r="AF979" s="77"/>
      <c r="AH979" s="497">
        <v>37.94</v>
      </c>
      <c r="AJ979" s="42"/>
      <c r="AK979" s="74"/>
      <c r="AL979" s="77"/>
      <c r="AN979" s="497">
        <v>17.96</v>
      </c>
      <c r="AP979" s="42"/>
      <c r="AQ979" s="74"/>
      <c r="AR979" s="77"/>
      <c r="AT979" s="497">
        <v>30.02</v>
      </c>
      <c r="AV979" s="42"/>
      <c r="AW979" s="74"/>
      <c r="AX979" s="77"/>
      <c r="BA979" s="497">
        <v>21.02</v>
      </c>
      <c r="BB979" s="42"/>
      <c r="BC979" s="74"/>
      <c r="BD979" s="77"/>
      <c r="BF979">
        <v>21.92</v>
      </c>
      <c r="BH979" s="42"/>
      <c r="BI979" s="74"/>
      <c r="BJ979" s="77"/>
      <c r="BL979" s="497">
        <v>21.92</v>
      </c>
      <c r="BN979" s="42"/>
      <c r="BO979" s="74"/>
      <c r="BP979" s="77"/>
      <c r="BR979" s="497">
        <v>14</v>
      </c>
      <c r="BT979" s="42"/>
    </row>
    <row r="980" spans="1:72" x14ac:dyDescent="0.25">
      <c r="A980" s="90">
        <v>34740</v>
      </c>
      <c r="B980" s="20">
        <v>8.3333333333333329E-2</v>
      </c>
      <c r="D980">
        <v>28.94</v>
      </c>
      <c r="E980" t="str">
        <f t="shared" si="66"/>
        <v>WEEKDAY</v>
      </c>
      <c r="F980" t="e">
        <f t="shared" si="65"/>
        <v>#N/A</v>
      </c>
      <c r="G980" s="74">
        <v>32183</v>
      </c>
      <c r="H980" s="77">
        <v>8.3333333333333329E-2</v>
      </c>
      <c r="J980">
        <v>35.06</v>
      </c>
      <c r="M980" s="74">
        <v>38027</v>
      </c>
      <c r="N980" s="77">
        <v>8.3333333333333329E-2</v>
      </c>
      <c r="P980">
        <v>37.4</v>
      </c>
      <c r="S980" s="74">
        <v>34740</v>
      </c>
      <c r="T980" s="77">
        <v>8.3333333333333329E-2</v>
      </c>
      <c r="V980">
        <v>28.04</v>
      </c>
      <c r="X980" s="42"/>
      <c r="AB980">
        <v>31.8</v>
      </c>
      <c r="AC980">
        <v>28.94</v>
      </c>
      <c r="AE980" s="74"/>
      <c r="AF980" s="77"/>
      <c r="AH980" s="497">
        <v>36.86</v>
      </c>
      <c r="AJ980" s="42"/>
      <c r="AK980" s="74"/>
      <c r="AL980" s="77"/>
      <c r="AN980" s="497">
        <v>17.059999999999999</v>
      </c>
      <c r="AP980" s="42"/>
      <c r="AQ980" s="74"/>
      <c r="AR980" s="77"/>
      <c r="AT980" s="497">
        <v>30.02</v>
      </c>
      <c r="AV980" s="42"/>
      <c r="AW980" s="74"/>
      <c r="AX980" s="77"/>
      <c r="BA980" s="497">
        <v>19.04</v>
      </c>
      <c r="BB980" s="42"/>
      <c r="BC980" s="74"/>
      <c r="BD980" s="77"/>
      <c r="BF980">
        <v>21.02</v>
      </c>
      <c r="BH980" s="42"/>
      <c r="BI980" s="74"/>
      <c r="BJ980" s="77"/>
      <c r="BL980" s="497">
        <v>21.92</v>
      </c>
      <c r="BN980" s="42"/>
      <c r="BO980" s="74"/>
      <c r="BP980" s="77"/>
      <c r="BR980" s="497">
        <v>15.98</v>
      </c>
      <c r="BT980" s="42"/>
    </row>
    <row r="981" spans="1:72" x14ac:dyDescent="0.25">
      <c r="A981" s="90">
        <v>34740</v>
      </c>
      <c r="B981" s="20">
        <v>0.125</v>
      </c>
      <c r="D981">
        <v>30.02</v>
      </c>
      <c r="E981" t="str">
        <f t="shared" si="66"/>
        <v>WEEKDAY</v>
      </c>
      <c r="F981" t="e">
        <f t="shared" si="65"/>
        <v>#N/A</v>
      </c>
      <c r="G981" s="74">
        <v>32183</v>
      </c>
      <c r="H981" s="77">
        <v>0.125</v>
      </c>
      <c r="J981">
        <v>35.96</v>
      </c>
      <c r="M981" s="74">
        <v>38027</v>
      </c>
      <c r="N981" s="77">
        <v>0.125</v>
      </c>
      <c r="P981">
        <v>37.4</v>
      </c>
      <c r="S981" s="74">
        <v>34740</v>
      </c>
      <c r="T981" s="77">
        <v>0.125</v>
      </c>
      <c r="V981">
        <v>26.96</v>
      </c>
      <c r="X981" s="42"/>
      <c r="AB981">
        <v>31.2</v>
      </c>
      <c r="AC981">
        <v>30.92</v>
      </c>
      <c r="AE981" s="74"/>
      <c r="AF981" s="77"/>
      <c r="AH981" s="497">
        <v>35.96</v>
      </c>
      <c r="AJ981" s="42"/>
      <c r="AK981" s="74"/>
      <c r="AL981" s="77"/>
      <c r="AN981" s="497">
        <v>15.079999999999998</v>
      </c>
      <c r="AP981" s="42"/>
      <c r="AQ981" s="74"/>
      <c r="AR981" s="77"/>
      <c r="AT981" s="497">
        <v>30.02</v>
      </c>
      <c r="AV981" s="42"/>
      <c r="AW981" s="74"/>
      <c r="AX981" s="77"/>
      <c r="BA981" s="497">
        <v>15.079999999999998</v>
      </c>
      <c r="BB981" s="42"/>
      <c r="BC981" s="74"/>
      <c r="BD981" s="77"/>
      <c r="BF981">
        <v>19.04</v>
      </c>
      <c r="BH981" s="42"/>
      <c r="BI981" s="74"/>
      <c r="BJ981" s="77"/>
      <c r="BL981" s="497">
        <v>21.92</v>
      </c>
      <c r="BN981" s="42"/>
      <c r="BO981" s="74"/>
      <c r="BP981" s="77"/>
      <c r="BR981" s="497">
        <v>17.059999999999999</v>
      </c>
      <c r="BT981" s="42"/>
    </row>
    <row r="982" spans="1:72" x14ac:dyDescent="0.25">
      <c r="A982" s="90">
        <v>34740</v>
      </c>
      <c r="B982" s="20">
        <v>0.16666666666666666</v>
      </c>
      <c r="D982">
        <v>30.02</v>
      </c>
      <c r="E982" t="str">
        <f t="shared" si="66"/>
        <v>WEEKDAY</v>
      </c>
      <c r="F982" t="e">
        <f t="shared" si="65"/>
        <v>#N/A</v>
      </c>
      <c r="G982" s="74">
        <v>32183</v>
      </c>
      <c r="H982" s="77">
        <v>0.16666666666666666</v>
      </c>
      <c r="J982">
        <v>35.06</v>
      </c>
      <c r="M982" s="74">
        <v>38027</v>
      </c>
      <c r="N982" s="77">
        <v>0.16666666666666666</v>
      </c>
      <c r="P982">
        <v>37.4</v>
      </c>
      <c r="S982" s="74">
        <v>34740</v>
      </c>
      <c r="T982" s="77">
        <v>0.16666666666666666</v>
      </c>
      <c r="V982">
        <v>26.96</v>
      </c>
      <c r="X982" s="42"/>
      <c r="AB982">
        <v>30.8</v>
      </c>
      <c r="AC982">
        <v>30.92</v>
      </c>
      <c r="AE982" s="74"/>
      <c r="AF982" s="77"/>
      <c r="AH982" s="497">
        <v>36.86</v>
      </c>
      <c r="AJ982" s="42"/>
      <c r="AK982" s="74"/>
      <c r="AL982" s="77"/>
      <c r="AN982" s="497">
        <v>12.920000000000002</v>
      </c>
      <c r="AP982" s="42"/>
      <c r="AQ982" s="74"/>
      <c r="AR982" s="77"/>
      <c r="AT982" s="497">
        <v>28.94</v>
      </c>
      <c r="AV982" s="42"/>
      <c r="AW982" s="74"/>
      <c r="AX982" s="77"/>
      <c r="BA982" s="497">
        <v>14</v>
      </c>
      <c r="BB982" s="42"/>
      <c r="BC982" s="74"/>
      <c r="BD982" s="77"/>
      <c r="BF982">
        <v>17.059999999999999</v>
      </c>
      <c r="BH982" s="42"/>
      <c r="BI982" s="74"/>
      <c r="BJ982" s="77"/>
      <c r="BL982" s="497">
        <v>19.939999999999998</v>
      </c>
      <c r="BN982" s="42"/>
      <c r="BO982" s="74"/>
      <c r="BP982" s="77"/>
      <c r="BR982" s="497">
        <v>19.939999999999998</v>
      </c>
      <c r="BT982" s="42"/>
    </row>
    <row r="983" spans="1:72" x14ac:dyDescent="0.25">
      <c r="A983" s="90">
        <v>34740</v>
      </c>
      <c r="B983" s="20">
        <v>0.20833333333333334</v>
      </c>
      <c r="D983">
        <v>30.02</v>
      </c>
      <c r="E983" t="str">
        <f t="shared" si="66"/>
        <v>WEEKDAY</v>
      </c>
      <c r="F983" t="e">
        <f t="shared" si="65"/>
        <v>#N/A</v>
      </c>
      <c r="G983" s="74">
        <v>32183</v>
      </c>
      <c r="H983" s="77">
        <v>0.20833333333333334</v>
      </c>
      <c r="J983">
        <v>33.979999999999997</v>
      </c>
      <c r="M983" s="74">
        <v>38027</v>
      </c>
      <c r="N983" s="77">
        <v>0.20833333333333334</v>
      </c>
      <c r="P983">
        <v>37.4</v>
      </c>
      <c r="S983" s="74">
        <v>34740</v>
      </c>
      <c r="T983" s="77">
        <v>0.20833333333333334</v>
      </c>
      <c r="V983">
        <v>26.060000000000002</v>
      </c>
      <c r="X983" s="42"/>
      <c r="AB983">
        <v>30.4</v>
      </c>
      <c r="AC983">
        <v>28.04</v>
      </c>
      <c r="AE983" s="74"/>
      <c r="AF983" s="77"/>
      <c r="AH983" s="497">
        <v>35.96</v>
      </c>
      <c r="AJ983" s="42"/>
      <c r="AK983" s="74"/>
      <c r="AL983" s="77"/>
      <c r="AN983" s="497">
        <v>10.940000000000001</v>
      </c>
      <c r="AP983" s="42"/>
      <c r="AQ983" s="74"/>
      <c r="AR983" s="77"/>
      <c r="AT983" s="497">
        <v>28.04</v>
      </c>
      <c r="AV983" s="42"/>
      <c r="AW983" s="74"/>
      <c r="AX983" s="77"/>
      <c r="BA983" s="497">
        <v>12.920000000000002</v>
      </c>
      <c r="BB983" s="42"/>
      <c r="BC983" s="74"/>
      <c r="BD983" s="77"/>
      <c r="BF983">
        <v>15.98</v>
      </c>
      <c r="BH983" s="42"/>
      <c r="BI983" s="74"/>
      <c r="BJ983" s="77"/>
      <c r="BL983" s="497">
        <v>17.96</v>
      </c>
      <c r="BN983" s="42"/>
      <c r="BO983" s="74"/>
      <c r="BP983" s="77"/>
      <c r="BR983" s="497">
        <v>21.02</v>
      </c>
      <c r="BT983" s="42"/>
    </row>
    <row r="984" spans="1:72" x14ac:dyDescent="0.25">
      <c r="A984" s="90">
        <v>34740</v>
      </c>
      <c r="B984" s="20">
        <v>0.25</v>
      </c>
      <c r="D984">
        <v>28.94</v>
      </c>
      <c r="E984" t="str">
        <f t="shared" si="66"/>
        <v>WEEKDAY</v>
      </c>
      <c r="F984" t="e">
        <f t="shared" si="65"/>
        <v>#N/A</v>
      </c>
      <c r="G984" s="74">
        <v>32183</v>
      </c>
      <c r="H984" s="77">
        <v>0.25</v>
      </c>
      <c r="J984">
        <v>33.979999999999997</v>
      </c>
      <c r="M984" s="74">
        <v>38027</v>
      </c>
      <c r="N984" s="77">
        <v>0.25</v>
      </c>
      <c r="P984">
        <v>35.6</v>
      </c>
      <c r="S984" s="74">
        <v>34740</v>
      </c>
      <c r="T984" s="77">
        <v>0.25</v>
      </c>
      <c r="V984">
        <v>24.98</v>
      </c>
      <c r="X984" s="42"/>
      <c r="AB984">
        <v>30.2</v>
      </c>
      <c r="AC984">
        <v>26.060000000000002</v>
      </c>
      <c r="AE984" s="74"/>
      <c r="AF984" s="77"/>
      <c r="AH984" s="497">
        <v>35.96</v>
      </c>
      <c r="AJ984" s="42"/>
      <c r="AK984" s="74"/>
      <c r="AL984" s="77"/>
      <c r="AN984" s="497">
        <v>8.9599999999999973</v>
      </c>
      <c r="AP984" s="42"/>
      <c r="AQ984" s="74"/>
      <c r="AR984" s="77"/>
      <c r="AT984" s="497">
        <v>26.96</v>
      </c>
      <c r="AV984" s="42"/>
      <c r="AW984" s="74"/>
      <c r="AX984" s="77"/>
      <c r="BA984" s="497">
        <v>12.920000000000002</v>
      </c>
      <c r="BB984" s="42"/>
      <c r="BC984" s="74"/>
      <c r="BD984" s="77"/>
      <c r="BF984">
        <v>14</v>
      </c>
      <c r="BH984" s="42"/>
      <c r="BI984" s="74"/>
      <c r="BJ984" s="77"/>
      <c r="BL984" s="497">
        <v>15.98</v>
      </c>
      <c r="BN984" s="42"/>
      <c r="BO984" s="74"/>
      <c r="BP984" s="77"/>
      <c r="BR984" s="497">
        <v>19.04</v>
      </c>
      <c r="BT984" s="42"/>
    </row>
    <row r="985" spans="1:72" x14ac:dyDescent="0.25">
      <c r="A985" s="90">
        <v>34740</v>
      </c>
      <c r="B985" s="20">
        <v>0.29166666666666669</v>
      </c>
      <c r="D985">
        <v>30.02</v>
      </c>
      <c r="E985" t="str">
        <f t="shared" si="66"/>
        <v>WEEKDAY</v>
      </c>
      <c r="F985" t="e">
        <f t="shared" si="65"/>
        <v>#N/A</v>
      </c>
      <c r="G985" s="74">
        <v>32183</v>
      </c>
      <c r="H985" s="77">
        <v>0.29166666666666669</v>
      </c>
      <c r="J985">
        <v>33.979999999999997</v>
      </c>
      <c r="M985" s="74">
        <v>38027</v>
      </c>
      <c r="N985" s="77">
        <v>0.29166666666666669</v>
      </c>
      <c r="P985">
        <v>33.799999999999997</v>
      </c>
      <c r="S985" s="74">
        <v>34740</v>
      </c>
      <c r="T985" s="77">
        <v>0.29166666666666669</v>
      </c>
      <c r="V985">
        <v>24.98</v>
      </c>
      <c r="X985" s="42"/>
      <c r="AB985">
        <v>30</v>
      </c>
      <c r="AC985">
        <v>30.02</v>
      </c>
      <c r="AE985" s="74"/>
      <c r="AF985" s="77"/>
      <c r="AH985" s="497">
        <v>34.880000000000003</v>
      </c>
      <c r="AJ985" s="42"/>
      <c r="AK985" s="74"/>
      <c r="AL985" s="77"/>
      <c r="AN985" s="497">
        <v>8.0599999999999987</v>
      </c>
      <c r="AP985" s="42"/>
      <c r="AQ985" s="74"/>
      <c r="AR985" s="77"/>
      <c r="AT985" s="497">
        <v>26.96</v>
      </c>
      <c r="AV985" s="42"/>
      <c r="AW985" s="74"/>
      <c r="AX985" s="77"/>
      <c r="BA985" s="497">
        <v>12.920000000000002</v>
      </c>
      <c r="BB985" s="42"/>
      <c r="BC985" s="74"/>
      <c r="BD985" s="77"/>
      <c r="BF985">
        <v>14</v>
      </c>
      <c r="BH985" s="42"/>
      <c r="BI985" s="74"/>
      <c r="BJ985" s="77"/>
      <c r="BL985" s="497">
        <v>14</v>
      </c>
      <c r="BN985" s="42"/>
      <c r="BO985" s="74"/>
      <c r="BP985" s="77"/>
      <c r="BR985" s="497">
        <v>17.059999999999999</v>
      </c>
      <c r="BT985" s="42"/>
    </row>
    <row r="986" spans="1:72" x14ac:dyDescent="0.25">
      <c r="A986" s="90">
        <v>34740</v>
      </c>
      <c r="B986" s="20">
        <v>0.33333333333333331</v>
      </c>
      <c r="D986">
        <v>30.02</v>
      </c>
      <c r="E986" t="str">
        <f t="shared" si="66"/>
        <v>WEEKDAY</v>
      </c>
      <c r="F986" t="e">
        <f t="shared" si="65"/>
        <v>#N/A</v>
      </c>
      <c r="G986" s="74">
        <v>32183</v>
      </c>
      <c r="H986" s="77">
        <v>0.33333333333333331</v>
      </c>
      <c r="J986">
        <v>35.96</v>
      </c>
      <c r="M986" s="74">
        <v>38027</v>
      </c>
      <c r="N986" s="77">
        <v>0.33333333333333331</v>
      </c>
      <c r="P986">
        <v>33.799999999999997</v>
      </c>
      <c r="S986" s="74">
        <v>34740</v>
      </c>
      <c r="T986" s="77">
        <v>0.33333333333333331</v>
      </c>
      <c r="V986">
        <v>26.96</v>
      </c>
      <c r="X986" s="42"/>
      <c r="AB986">
        <v>30</v>
      </c>
      <c r="AC986">
        <v>35.06</v>
      </c>
      <c r="AE986" s="74"/>
      <c r="AF986" s="77"/>
      <c r="AH986" s="497">
        <v>35.96</v>
      </c>
      <c r="AJ986" s="42"/>
      <c r="AK986" s="74"/>
      <c r="AL986" s="77"/>
      <c r="AN986" s="497">
        <v>8.0599999999999987</v>
      </c>
      <c r="AP986" s="42"/>
      <c r="AQ986" s="74"/>
      <c r="AR986" s="77"/>
      <c r="AT986" s="497">
        <v>26.060000000000002</v>
      </c>
      <c r="AV986" s="42"/>
      <c r="AW986" s="74"/>
      <c r="AX986" s="77"/>
      <c r="BA986" s="497">
        <v>10.039999999999999</v>
      </c>
      <c r="BB986" s="42"/>
      <c r="BC986" s="74"/>
      <c r="BD986" s="77"/>
      <c r="BF986">
        <v>14</v>
      </c>
      <c r="BH986" s="42"/>
      <c r="BI986" s="74"/>
      <c r="BJ986" s="77"/>
      <c r="BL986" s="497">
        <v>12.920000000000002</v>
      </c>
      <c r="BN986" s="42"/>
      <c r="BO986" s="74"/>
      <c r="BP986" s="77"/>
      <c r="BR986" s="497">
        <v>15.079999999999998</v>
      </c>
      <c r="BT986" s="42"/>
    </row>
    <row r="987" spans="1:72" x14ac:dyDescent="0.25">
      <c r="A987" s="90">
        <v>34740</v>
      </c>
      <c r="B987" s="20">
        <v>0.375</v>
      </c>
      <c r="D987">
        <v>32</v>
      </c>
      <c r="E987" t="str">
        <f t="shared" si="66"/>
        <v>WEEKDAY</v>
      </c>
      <c r="F987" t="e">
        <f t="shared" si="65"/>
        <v>#N/A</v>
      </c>
      <c r="G987" s="74">
        <v>32183</v>
      </c>
      <c r="H987" s="77">
        <v>0.375</v>
      </c>
      <c r="J987">
        <v>37.04</v>
      </c>
      <c r="M987" s="74">
        <v>38027</v>
      </c>
      <c r="N987" s="77">
        <v>0.375</v>
      </c>
      <c r="P987">
        <v>39.200000000000003</v>
      </c>
      <c r="S987" s="74">
        <v>34740</v>
      </c>
      <c r="T987" s="77">
        <v>0.375</v>
      </c>
      <c r="V987">
        <v>28.94</v>
      </c>
      <c r="X987" s="42"/>
      <c r="AB987">
        <v>30.9</v>
      </c>
      <c r="AC987">
        <v>39.019999999999996</v>
      </c>
      <c r="AE987" s="74"/>
      <c r="AF987" s="77"/>
      <c r="AH987" s="497">
        <v>36.86</v>
      </c>
      <c r="AJ987" s="42"/>
      <c r="AK987" s="74"/>
      <c r="AL987" s="77"/>
      <c r="AN987" s="497">
        <v>8.9599999999999973</v>
      </c>
      <c r="AP987" s="42"/>
      <c r="AQ987" s="74"/>
      <c r="AR987" s="77"/>
      <c r="AT987" s="497">
        <v>24.98</v>
      </c>
      <c r="AV987" s="42"/>
      <c r="AW987" s="74"/>
      <c r="AX987" s="77"/>
      <c r="BA987" s="497">
        <v>10.940000000000001</v>
      </c>
      <c r="BB987" s="42"/>
      <c r="BC987" s="74"/>
      <c r="BD987" s="77"/>
      <c r="BF987">
        <v>17.059999999999999</v>
      </c>
      <c r="BH987" s="42"/>
      <c r="BI987" s="74"/>
      <c r="BJ987" s="77"/>
      <c r="BL987" s="497">
        <v>15.98</v>
      </c>
      <c r="BN987" s="42"/>
      <c r="BO987" s="74"/>
      <c r="BP987" s="77"/>
      <c r="BR987" s="497">
        <v>17.059999999999999</v>
      </c>
      <c r="BT987" s="42"/>
    </row>
    <row r="988" spans="1:72" x14ac:dyDescent="0.25">
      <c r="A988" s="90">
        <v>34740</v>
      </c>
      <c r="B988" s="20">
        <v>0.41666666666666669</v>
      </c>
      <c r="D988">
        <v>35.96</v>
      </c>
      <c r="E988" t="str">
        <f t="shared" si="66"/>
        <v>WEEKDAY</v>
      </c>
      <c r="F988" t="e">
        <f t="shared" si="65"/>
        <v>#N/A</v>
      </c>
      <c r="G988" s="74">
        <v>32183</v>
      </c>
      <c r="H988" s="77">
        <v>0.41666666666666669</v>
      </c>
      <c r="J988">
        <v>37.04</v>
      </c>
      <c r="M988" s="74">
        <v>38027</v>
      </c>
      <c r="N988" s="77">
        <v>0.41666666666666669</v>
      </c>
      <c r="P988">
        <v>39.200000000000003</v>
      </c>
      <c r="S988" s="74">
        <v>34740</v>
      </c>
      <c r="T988" s="77">
        <v>0.41666666666666669</v>
      </c>
      <c r="V988">
        <v>32</v>
      </c>
      <c r="X988" s="42"/>
      <c r="AB988">
        <v>32.5</v>
      </c>
      <c r="AC988">
        <v>44.06</v>
      </c>
      <c r="AE988" s="74"/>
      <c r="AF988" s="77"/>
      <c r="AH988" s="497">
        <v>38.840000000000003</v>
      </c>
      <c r="AJ988" s="42"/>
      <c r="AK988" s="74"/>
      <c r="AL988" s="77"/>
      <c r="AN988" s="497">
        <v>10.039999999999999</v>
      </c>
      <c r="AP988" s="42"/>
      <c r="AQ988" s="74"/>
      <c r="AR988" s="77"/>
      <c r="AT988" s="497">
        <v>26.060000000000002</v>
      </c>
      <c r="AV988" s="42"/>
      <c r="AW988" s="74"/>
      <c r="AX988" s="77"/>
      <c r="BA988" s="497">
        <v>12.02</v>
      </c>
      <c r="BB988" s="42"/>
      <c r="BC988" s="74"/>
      <c r="BD988" s="77"/>
      <c r="BF988">
        <v>19.04</v>
      </c>
      <c r="BH988" s="42"/>
      <c r="BI988" s="74"/>
      <c r="BJ988" s="77"/>
      <c r="BL988" s="497">
        <v>17.96</v>
      </c>
      <c r="BN988" s="42"/>
      <c r="BO988" s="74"/>
      <c r="BP988" s="77"/>
      <c r="BR988" s="497">
        <v>19.04</v>
      </c>
      <c r="BT988" s="42"/>
    </row>
    <row r="989" spans="1:72" x14ac:dyDescent="0.25">
      <c r="A989" s="90">
        <v>34740</v>
      </c>
      <c r="B989" s="20">
        <v>0.45833333333333331</v>
      </c>
      <c r="D989">
        <v>37.04</v>
      </c>
      <c r="E989" t="str">
        <f t="shared" si="66"/>
        <v>WEEKDAY</v>
      </c>
      <c r="F989" t="e">
        <f t="shared" si="65"/>
        <v>#N/A</v>
      </c>
      <c r="G989" s="74">
        <v>32183</v>
      </c>
      <c r="H989" s="77">
        <v>0.45833333333333331</v>
      </c>
      <c r="J989">
        <v>39.019999999999996</v>
      </c>
      <c r="M989" s="74">
        <v>38027</v>
      </c>
      <c r="N989" s="77">
        <v>0.45833333333333331</v>
      </c>
      <c r="P989">
        <v>41</v>
      </c>
      <c r="S989" s="74">
        <v>34740</v>
      </c>
      <c r="T989" s="77">
        <v>0.45833333333333331</v>
      </c>
      <c r="V989">
        <v>33.08</v>
      </c>
      <c r="X989" s="42"/>
      <c r="AB989">
        <v>33.9</v>
      </c>
      <c r="AC989">
        <v>46.04</v>
      </c>
      <c r="AE989" s="74"/>
      <c r="AF989" s="77"/>
      <c r="AH989" s="497">
        <v>38.840000000000003</v>
      </c>
      <c r="AJ989" s="42"/>
      <c r="AK989" s="74"/>
      <c r="AL989" s="77"/>
      <c r="AN989" s="497">
        <v>12.920000000000002</v>
      </c>
      <c r="AP989" s="42"/>
      <c r="AQ989" s="74"/>
      <c r="AR989" s="77"/>
      <c r="AT989" s="497">
        <v>26.060000000000002</v>
      </c>
      <c r="AV989" s="42"/>
      <c r="AW989" s="74"/>
      <c r="AX989" s="77"/>
      <c r="BA989" s="497">
        <v>15.079999999999998</v>
      </c>
      <c r="BB989" s="42"/>
      <c r="BC989" s="74"/>
      <c r="BD989" s="77"/>
      <c r="BF989">
        <v>19.939999999999998</v>
      </c>
      <c r="BH989" s="42"/>
      <c r="BI989" s="74"/>
      <c r="BJ989" s="77"/>
      <c r="BL989" s="497">
        <v>21.92</v>
      </c>
      <c r="BN989" s="42"/>
      <c r="BO989" s="74"/>
      <c r="BP989" s="77"/>
      <c r="BR989" s="497">
        <v>19.939999999999998</v>
      </c>
      <c r="BT989" s="42"/>
    </row>
    <row r="990" spans="1:72" x14ac:dyDescent="0.25">
      <c r="A990" s="90">
        <v>34740</v>
      </c>
      <c r="B990" s="20">
        <v>0.5</v>
      </c>
      <c r="D990">
        <v>39.019999999999996</v>
      </c>
      <c r="E990" t="str">
        <f t="shared" si="66"/>
        <v>WEEKDAY</v>
      </c>
      <c r="F990" t="e">
        <f t="shared" si="65"/>
        <v>#N/A</v>
      </c>
      <c r="G990" s="74">
        <v>32183</v>
      </c>
      <c r="H990" s="77">
        <v>0.5</v>
      </c>
      <c r="J990">
        <v>39.019999999999996</v>
      </c>
      <c r="M990" s="74">
        <v>38027</v>
      </c>
      <c r="N990" s="77">
        <v>0.5</v>
      </c>
      <c r="P990">
        <v>44.6</v>
      </c>
      <c r="S990" s="74">
        <v>34740</v>
      </c>
      <c r="T990" s="77">
        <v>0.5</v>
      </c>
      <c r="V990">
        <v>35.96</v>
      </c>
      <c r="X990" s="42"/>
      <c r="AB990">
        <v>35.299999999999997</v>
      </c>
      <c r="AC990">
        <v>48.019999999999996</v>
      </c>
      <c r="AE990" s="74"/>
      <c r="AF990" s="77"/>
      <c r="AH990" s="497">
        <v>39.92</v>
      </c>
      <c r="AJ990" s="42"/>
      <c r="AK990" s="74"/>
      <c r="AL990" s="77"/>
      <c r="AN990" s="497">
        <v>15.079999999999998</v>
      </c>
      <c r="AP990" s="42"/>
      <c r="AQ990" s="74"/>
      <c r="AR990" s="77"/>
      <c r="AT990" s="497">
        <v>26.96</v>
      </c>
      <c r="AV990" s="42"/>
      <c r="AW990" s="74"/>
      <c r="AX990" s="77"/>
      <c r="BA990" s="497">
        <v>15.079999999999998</v>
      </c>
      <c r="BB990" s="42"/>
      <c r="BC990" s="74"/>
      <c r="BD990" s="77"/>
      <c r="BF990">
        <v>21.02</v>
      </c>
      <c r="BH990" s="42"/>
      <c r="BI990" s="74"/>
      <c r="BJ990" s="77"/>
      <c r="BL990" s="497">
        <v>21.92</v>
      </c>
      <c r="BN990" s="42"/>
      <c r="BO990" s="74"/>
      <c r="BP990" s="77"/>
      <c r="BR990" s="497">
        <v>19.939999999999998</v>
      </c>
      <c r="BT990" s="42"/>
    </row>
    <row r="991" spans="1:72" x14ac:dyDescent="0.25">
      <c r="A991" s="90">
        <v>34740</v>
      </c>
      <c r="B991" s="20">
        <v>0.54166666666666663</v>
      </c>
      <c r="D991">
        <v>42.08</v>
      </c>
      <c r="E991" t="str">
        <f t="shared" si="66"/>
        <v>WEEKDAY</v>
      </c>
      <c r="F991" t="e">
        <f t="shared" si="65"/>
        <v>#N/A</v>
      </c>
      <c r="G991" s="74">
        <v>32183</v>
      </c>
      <c r="H991" s="77">
        <v>0.54166666666666663</v>
      </c>
      <c r="J991">
        <v>39.92</v>
      </c>
      <c r="M991" s="74">
        <v>38027</v>
      </c>
      <c r="N991" s="77">
        <v>0.54166666666666663</v>
      </c>
      <c r="P991">
        <v>44.6</v>
      </c>
      <c r="S991" s="74">
        <v>34740</v>
      </c>
      <c r="T991" s="77">
        <v>0.54166666666666663</v>
      </c>
      <c r="V991">
        <v>37.04</v>
      </c>
      <c r="X991" s="42"/>
      <c r="AB991">
        <v>36.4</v>
      </c>
      <c r="AC991">
        <v>48.92</v>
      </c>
      <c r="AE991" s="74"/>
      <c r="AF991" s="77"/>
      <c r="AH991" s="497">
        <v>39.92</v>
      </c>
      <c r="AJ991" s="42"/>
      <c r="AK991" s="74"/>
      <c r="AL991" s="77"/>
      <c r="AN991" s="497">
        <v>15.98</v>
      </c>
      <c r="AP991" s="42"/>
      <c r="AQ991" s="74"/>
      <c r="AR991" s="77"/>
      <c r="AT991" s="497">
        <v>26.96</v>
      </c>
      <c r="AV991" s="42"/>
      <c r="AW991" s="74"/>
      <c r="AX991" s="77"/>
      <c r="BA991" s="497">
        <v>15.079999999999998</v>
      </c>
      <c r="BB991" s="42"/>
      <c r="BC991" s="74"/>
      <c r="BD991" s="77"/>
      <c r="BF991">
        <v>24.08</v>
      </c>
      <c r="BH991" s="42"/>
      <c r="BI991" s="74"/>
      <c r="BJ991" s="77"/>
      <c r="BL991" s="497">
        <v>23</v>
      </c>
      <c r="BN991" s="42"/>
      <c r="BO991" s="74"/>
      <c r="BP991" s="77"/>
      <c r="BR991" s="497">
        <v>21.02</v>
      </c>
      <c r="BT991" s="42"/>
    </row>
    <row r="992" spans="1:72" x14ac:dyDescent="0.25">
      <c r="A992" s="90">
        <v>34740</v>
      </c>
      <c r="B992" s="20">
        <v>0.58333333333333337</v>
      </c>
      <c r="D992">
        <v>39.019999999999996</v>
      </c>
      <c r="E992" t="str">
        <f t="shared" si="66"/>
        <v>WEEKDAY</v>
      </c>
      <c r="F992" t="e">
        <f t="shared" si="65"/>
        <v>#N/A</v>
      </c>
      <c r="G992" s="74">
        <v>32183</v>
      </c>
      <c r="H992" s="77">
        <v>0.58333333333333337</v>
      </c>
      <c r="J992">
        <v>39.92</v>
      </c>
      <c r="M992" s="74">
        <v>38027</v>
      </c>
      <c r="N992" s="77">
        <v>0.58333333333333337</v>
      </c>
      <c r="P992">
        <v>44.6</v>
      </c>
      <c r="S992" s="74">
        <v>34740</v>
      </c>
      <c r="T992" s="77">
        <v>0.58333333333333337</v>
      </c>
      <c r="V992">
        <v>37.04</v>
      </c>
      <c r="X992" s="42"/>
      <c r="AB992">
        <v>37.299999999999997</v>
      </c>
      <c r="AC992">
        <v>50</v>
      </c>
      <c r="AE992" s="74"/>
      <c r="AF992" s="77"/>
      <c r="AH992" s="497">
        <v>41.9</v>
      </c>
      <c r="AJ992" s="42"/>
      <c r="AK992" s="74"/>
      <c r="AL992" s="77"/>
      <c r="AN992" s="497">
        <v>17.059999999999999</v>
      </c>
      <c r="AP992" s="42"/>
      <c r="AQ992" s="74"/>
      <c r="AR992" s="77"/>
      <c r="AT992" s="497">
        <v>28.04</v>
      </c>
      <c r="AV992" s="42"/>
      <c r="AW992" s="74"/>
      <c r="AX992" s="77"/>
      <c r="BA992" s="497">
        <v>15.98</v>
      </c>
      <c r="BB992" s="42"/>
      <c r="BC992" s="74"/>
      <c r="BD992" s="77"/>
      <c r="BF992">
        <v>23</v>
      </c>
      <c r="BH992" s="42"/>
      <c r="BI992" s="74"/>
      <c r="BJ992" s="77"/>
      <c r="BL992" s="497">
        <v>23</v>
      </c>
      <c r="BN992" s="42"/>
      <c r="BO992" s="74"/>
      <c r="BP992" s="77"/>
      <c r="BR992" s="497">
        <v>21.02</v>
      </c>
      <c r="BT992" s="42"/>
    </row>
    <row r="993" spans="1:72" x14ac:dyDescent="0.25">
      <c r="A993" s="90">
        <v>34740</v>
      </c>
      <c r="B993" s="20">
        <v>0.625</v>
      </c>
      <c r="D993">
        <v>39.92</v>
      </c>
      <c r="E993" t="str">
        <f t="shared" si="66"/>
        <v>WEEKDAY</v>
      </c>
      <c r="F993" t="e">
        <f t="shared" si="65"/>
        <v>#N/A</v>
      </c>
      <c r="G993" s="74">
        <v>32183</v>
      </c>
      <c r="H993" s="77">
        <v>0.625</v>
      </c>
      <c r="J993">
        <v>39.92</v>
      </c>
      <c r="M993" s="74">
        <v>38027</v>
      </c>
      <c r="N993" s="77">
        <v>0.625</v>
      </c>
      <c r="P993">
        <v>46.4</v>
      </c>
      <c r="S993" s="74">
        <v>34740</v>
      </c>
      <c r="T993" s="77">
        <v>0.625</v>
      </c>
      <c r="V993">
        <v>37.94</v>
      </c>
      <c r="X993" s="42"/>
      <c r="AB993">
        <v>37.9</v>
      </c>
      <c r="AC993">
        <v>48.92</v>
      </c>
      <c r="AE993" s="74"/>
      <c r="AF993" s="77"/>
      <c r="AH993" s="497">
        <v>41.9</v>
      </c>
      <c r="AJ993" s="42"/>
      <c r="AK993" s="74"/>
      <c r="AL993" s="77"/>
      <c r="AN993" s="497">
        <v>17.96</v>
      </c>
      <c r="AP993" s="42"/>
      <c r="AQ993" s="74"/>
      <c r="AR993" s="77"/>
      <c r="AT993" s="497">
        <v>28.04</v>
      </c>
      <c r="AV993" s="42"/>
      <c r="AW993" s="74"/>
      <c r="AX993" s="77"/>
      <c r="BA993" s="497">
        <v>17.059999999999999</v>
      </c>
      <c r="BB993" s="42"/>
      <c r="BC993" s="74"/>
      <c r="BD993" s="77"/>
      <c r="BF993">
        <v>23</v>
      </c>
      <c r="BH993" s="42"/>
      <c r="BI993" s="74"/>
      <c r="BJ993" s="77"/>
      <c r="BL993" s="497">
        <v>21.02</v>
      </c>
      <c r="BN993" s="42"/>
      <c r="BO993" s="74"/>
      <c r="BP993" s="77"/>
      <c r="BR993" s="497">
        <v>21.92</v>
      </c>
      <c r="BT993" s="42"/>
    </row>
    <row r="994" spans="1:72" x14ac:dyDescent="0.25">
      <c r="A994" s="90">
        <v>34740</v>
      </c>
      <c r="B994" s="20">
        <v>0.66666666666666663</v>
      </c>
      <c r="D994">
        <v>39.019999999999996</v>
      </c>
      <c r="E994" t="str">
        <f t="shared" si="66"/>
        <v>WEEKDAY</v>
      </c>
      <c r="F994" t="e">
        <f t="shared" si="65"/>
        <v>#N/A</v>
      </c>
      <c r="G994" s="74">
        <v>32183</v>
      </c>
      <c r="H994" s="77">
        <v>0.66666666666666663</v>
      </c>
      <c r="J994">
        <v>39.019999999999996</v>
      </c>
      <c r="M994" s="74">
        <v>38027</v>
      </c>
      <c r="N994" s="77">
        <v>0.66666666666666663</v>
      </c>
      <c r="P994">
        <v>44.6</v>
      </c>
      <c r="S994" s="74">
        <v>34740</v>
      </c>
      <c r="T994" s="77">
        <v>0.66666666666666663</v>
      </c>
      <c r="V994">
        <v>37.94</v>
      </c>
      <c r="X994" s="42"/>
      <c r="AB994">
        <v>38.1</v>
      </c>
      <c r="AC994">
        <v>44.96</v>
      </c>
      <c r="AE994" s="74"/>
      <c r="AF994" s="77"/>
      <c r="AH994" s="497">
        <v>41</v>
      </c>
      <c r="AJ994" s="42"/>
      <c r="AK994" s="74"/>
      <c r="AL994" s="77"/>
      <c r="AN994" s="497">
        <v>17.96</v>
      </c>
      <c r="AP994" s="42"/>
      <c r="AQ994" s="74"/>
      <c r="AR994" s="77"/>
      <c r="AT994" s="497">
        <v>28.04</v>
      </c>
      <c r="AV994" s="42"/>
      <c r="AW994" s="74"/>
      <c r="AX994" s="77"/>
      <c r="BA994" s="497">
        <v>15.079999999999998</v>
      </c>
      <c r="BB994" s="42"/>
      <c r="BC994" s="74"/>
      <c r="BD994" s="77"/>
      <c r="BF994">
        <v>21.92</v>
      </c>
      <c r="BH994" s="42"/>
      <c r="BI994" s="74"/>
      <c r="BJ994" s="77"/>
      <c r="BL994" s="497">
        <v>21.02</v>
      </c>
      <c r="BN994" s="42"/>
      <c r="BO994" s="74"/>
      <c r="BP994" s="77"/>
      <c r="BR994" s="497">
        <v>21.02</v>
      </c>
      <c r="BT994" s="42"/>
    </row>
    <row r="995" spans="1:72" x14ac:dyDescent="0.25">
      <c r="A995" s="90">
        <v>34740</v>
      </c>
      <c r="B995" s="20">
        <v>0.70833333333333337</v>
      </c>
      <c r="D995">
        <v>37.94</v>
      </c>
      <c r="E995" t="str">
        <f t="shared" si="66"/>
        <v>WEEKDAY</v>
      </c>
      <c r="F995" t="e">
        <f t="shared" si="65"/>
        <v>#N/A</v>
      </c>
      <c r="G995" s="74">
        <v>32183</v>
      </c>
      <c r="H995" s="77">
        <v>0.70833333333333337</v>
      </c>
      <c r="J995">
        <v>37.04</v>
      </c>
      <c r="M995" s="74">
        <v>38027</v>
      </c>
      <c r="N995" s="77">
        <v>0.70833333333333337</v>
      </c>
      <c r="P995">
        <v>44.6</v>
      </c>
      <c r="S995" s="74">
        <v>34740</v>
      </c>
      <c r="T995" s="77">
        <v>0.70833333333333337</v>
      </c>
      <c r="V995">
        <v>37.04</v>
      </c>
      <c r="X995" s="42"/>
      <c r="AB995">
        <v>37.6</v>
      </c>
      <c r="AC995">
        <v>42.08</v>
      </c>
      <c r="AE995" s="74"/>
      <c r="AF995" s="77"/>
      <c r="AH995" s="497">
        <v>39.92</v>
      </c>
      <c r="AJ995" s="42"/>
      <c r="AK995" s="74"/>
      <c r="AL995" s="77"/>
      <c r="AN995" s="497">
        <v>15.98</v>
      </c>
      <c r="AP995" s="42"/>
      <c r="AQ995" s="74"/>
      <c r="AR995" s="77"/>
      <c r="AT995" s="497">
        <v>26.96</v>
      </c>
      <c r="AV995" s="42"/>
      <c r="AW995" s="74"/>
      <c r="AX995" s="77"/>
      <c r="BA995" s="497">
        <v>15.079999999999998</v>
      </c>
      <c r="BB995" s="42"/>
      <c r="BC995" s="74"/>
      <c r="BD995" s="77"/>
      <c r="BF995">
        <v>19.04</v>
      </c>
      <c r="BH995" s="42"/>
      <c r="BI995" s="74"/>
      <c r="BJ995" s="77"/>
      <c r="BL995" s="497">
        <v>19.939999999999998</v>
      </c>
      <c r="BN995" s="42"/>
      <c r="BO995" s="74"/>
      <c r="BP995" s="77"/>
      <c r="BR995" s="497">
        <v>17.96</v>
      </c>
      <c r="BT995" s="42"/>
    </row>
    <row r="996" spans="1:72" x14ac:dyDescent="0.25">
      <c r="A996" s="90">
        <v>34740</v>
      </c>
      <c r="B996" s="20">
        <v>0.75</v>
      </c>
      <c r="D996">
        <v>37.04</v>
      </c>
      <c r="E996" t="str">
        <f t="shared" si="66"/>
        <v>WEEKDAY</v>
      </c>
      <c r="F996" t="e">
        <f t="shared" si="65"/>
        <v>#N/A</v>
      </c>
      <c r="G996" s="74">
        <v>32183</v>
      </c>
      <c r="H996" s="77">
        <v>0.75</v>
      </c>
      <c r="J996">
        <v>35.06</v>
      </c>
      <c r="M996" s="74">
        <v>38027</v>
      </c>
      <c r="N996" s="77">
        <v>0.75</v>
      </c>
      <c r="P996">
        <v>42.8</v>
      </c>
      <c r="S996" s="74">
        <v>34740</v>
      </c>
      <c r="T996" s="77">
        <v>0.75</v>
      </c>
      <c r="V996">
        <v>37.04</v>
      </c>
      <c r="X996" s="42"/>
      <c r="AB996">
        <v>36.6</v>
      </c>
      <c r="AC996">
        <v>39.019999999999996</v>
      </c>
      <c r="AE996" s="74"/>
      <c r="AF996" s="77"/>
      <c r="AH996" s="497">
        <v>38.840000000000003</v>
      </c>
      <c r="AJ996" s="42"/>
      <c r="AK996" s="74"/>
      <c r="AL996" s="77"/>
      <c r="AN996" s="497">
        <v>12.920000000000002</v>
      </c>
      <c r="AP996" s="42"/>
      <c r="AQ996" s="74"/>
      <c r="AR996" s="77"/>
      <c r="AT996" s="497">
        <v>24.98</v>
      </c>
      <c r="AV996" s="42"/>
      <c r="AW996" s="74"/>
      <c r="AX996" s="77"/>
      <c r="BA996" s="497">
        <v>12.02</v>
      </c>
      <c r="BB996" s="42"/>
      <c r="BC996" s="74"/>
      <c r="BD996" s="77"/>
      <c r="BF996">
        <v>17.059999999999999</v>
      </c>
      <c r="BH996" s="42"/>
      <c r="BI996" s="74"/>
      <c r="BJ996" s="77"/>
      <c r="BL996" s="497">
        <v>15.98</v>
      </c>
      <c r="BN996" s="42"/>
      <c r="BO996" s="74"/>
      <c r="BP996" s="77"/>
      <c r="BR996" s="497">
        <v>15.079999999999998</v>
      </c>
      <c r="BT996" s="42"/>
    </row>
    <row r="997" spans="1:72" x14ac:dyDescent="0.25">
      <c r="A997" s="90">
        <v>34740</v>
      </c>
      <c r="B997" s="20">
        <v>0.79166666666666663</v>
      </c>
      <c r="D997">
        <v>37.94</v>
      </c>
      <c r="E997" t="str">
        <f t="shared" si="66"/>
        <v>WEEKDAY</v>
      </c>
      <c r="F997" t="e">
        <f t="shared" si="65"/>
        <v>#N/A</v>
      </c>
      <c r="G997" s="74">
        <v>32183</v>
      </c>
      <c r="H997" s="77">
        <v>0.79166666666666663</v>
      </c>
      <c r="J997">
        <v>35.06</v>
      </c>
      <c r="M997" s="74">
        <v>38027</v>
      </c>
      <c r="N997" s="77">
        <v>0.79166666666666663</v>
      </c>
      <c r="P997">
        <v>41</v>
      </c>
      <c r="S997" s="74">
        <v>34740</v>
      </c>
      <c r="T997" s="77">
        <v>0.79166666666666663</v>
      </c>
      <c r="V997">
        <v>37.04</v>
      </c>
      <c r="X997" s="42"/>
      <c r="AB997">
        <v>35.5</v>
      </c>
      <c r="AC997">
        <v>37.94</v>
      </c>
      <c r="AE997" s="74"/>
      <c r="AF997" s="77"/>
      <c r="AH997" s="497">
        <v>37.94</v>
      </c>
      <c r="AJ997" s="42"/>
      <c r="AK997" s="74"/>
      <c r="AL997" s="77"/>
      <c r="AN997" s="497">
        <v>12.02</v>
      </c>
      <c r="AP997" s="42"/>
      <c r="AQ997" s="74"/>
      <c r="AR997" s="77"/>
      <c r="AT997" s="497">
        <v>24.08</v>
      </c>
      <c r="AV997" s="42"/>
      <c r="AW997" s="74"/>
      <c r="AX997" s="77"/>
      <c r="BA997" s="497">
        <v>10.940000000000001</v>
      </c>
      <c r="BB997" s="42"/>
      <c r="BC997" s="74"/>
      <c r="BD997" s="77"/>
      <c r="BF997">
        <v>15.079999999999998</v>
      </c>
      <c r="BH997" s="42"/>
      <c r="BI997" s="74"/>
      <c r="BJ997" s="77"/>
      <c r="BL997" s="497">
        <v>15.98</v>
      </c>
      <c r="BN997" s="42"/>
      <c r="BO997" s="74"/>
      <c r="BP997" s="77"/>
      <c r="BR997" s="497">
        <v>10.940000000000001</v>
      </c>
      <c r="BT997" s="42"/>
    </row>
    <row r="998" spans="1:72" x14ac:dyDescent="0.25">
      <c r="A998" s="90">
        <v>34740</v>
      </c>
      <c r="B998" s="20">
        <v>0.83333333333333337</v>
      </c>
      <c r="D998">
        <v>39.019999999999996</v>
      </c>
      <c r="E998" t="str">
        <f t="shared" si="66"/>
        <v>WEEKDAY</v>
      </c>
      <c r="F998" t="e">
        <f t="shared" si="65"/>
        <v>#N/A</v>
      </c>
      <c r="G998" s="74">
        <v>32183</v>
      </c>
      <c r="H998" s="77">
        <v>0.83333333333333337</v>
      </c>
      <c r="J998">
        <v>33.979999999999997</v>
      </c>
      <c r="M998" s="74">
        <v>38027</v>
      </c>
      <c r="N998" s="77">
        <v>0.83333333333333337</v>
      </c>
      <c r="P998">
        <v>39.200000000000003</v>
      </c>
      <c r="S998" s="74">
        <v>34740</v>
      </c>
      <c r="T998" s="77">
        <v>0.83333333333333337</v>
      </c>
      <c r="V998">
        <v>37.04</v>
      </c>
      <c r="X998" s="42"/>
      <c r="AB998">
        <v>35.200000000000003</v>
      </c>
      <c r="AC998">
        <v>39.019999999999996</v>
      </c>
      <c r="AE998" s="74"/>
      <c r="AF998" s="77"/>
      <c r="AH998" s="497">
        <v>37.94</v>
      </c>
      <c r="AJ998" s="42"/>
      <c r="AK998" s="74"/>
      <c r="AL998" s="77"/>
      <c r="AN998" s="497">
        <v>10.940000000000001</v>
      </c>
      <c r="AP998" s="42"/>
      <c r="AQ998" s="74"/>
      <c r="AR998" s="77"/>
      <c r="AT998" s="497">
        <v>21.92</v>
      </c>
      <c r="AV998" s="42"/>
      <c r="AW998" s="74"/>
      <c r="AX998" s="77"/>
      <c r="BA998" s="497">
        <v>6.98</v>
      </c>
      <c r="BB998" s="42"/>
      <c r="BC998" s="74"/>
      <c r="BD998" s="77"/>
      <c r="BF998">
        <v>14</v>
      </c>
      <c r="BH998" s="42"/>
      <c r="BI998" s="74"/>
      <c r="BJ998" s="77"/>
      <c r="BL998" s="497">
        <v>10.940000000000001</v>
      </c>
      <c r="BN998" s="42"/>
      <c r="BO998" s="74"/>
      <c r="BP998" s="77"/>
      <c r="BR998" s="497">
        <v>1.0399999999999991</v>
      </c>
      <c r="BT998" s="42"/>
    </row>
    <row r="999" spans="1:72" x14ac:dyDescent="0.25">
      <c r="A999" s="90">
        <v>34740</v>
      </c>
      <c r="B999" s="20">
        <v>0.875</v>
      </c>
      <c r="D999">
        <v>37.94</v>
      </c>
      <c r="E999" t="str">
        <f t="shared" si="66"/>
        <v>WEEKDAY</v>
      </c>
      <c r="F999" t="e">
        <f t="shared" si="65"/>
        <v>#N/A</v>
      </c>
      <c r="G999" s="74">
        <v>32183</v>
      </c>
      <c r="H999" s="77">
        <v>0.875</v>
      </c>
      <c r="J999">
        <v>33.979999999999997</v>
      </c>
      <c r="M999" s="74">
        <v>38027</v>
      </c>
      <c r="N999" s="77">
        <v>0.875</v>
      </c>
      <c r="P999">
        <v>39.200000000000003</v>
      </c>
      <c r="S999" s="74">
        <v>34740</v>
      </c>
      <c r="T999" s="77">
        <v>0.875</v>
      </c>
      <c r="V999">
        <v>35.96</v>
      </c>
      <c r="X999" s="42"/>
      <c r="AB999">
        <v>34.700000000000003</v>
      </c>
      <c r="AC999">
        <v>39.019999999999996</v>
      </c>
      <c r="AE999" s="74"/>
      <c r="AF999" s="77"/>
      <c r="AH999" s="497">
        <v>35.96</v>
      </c>
      <c r="AJ999" s="42"/>
      <c r="AK999" s="74"/>
      <c r="AL999" s="77"/>
      <c r="AN999" s="497">
        <v>10.940000000000001</v>
      </c>
      <c r="AP999" s="42"/>
      <c r="AQ999" s="74"/>
      <c r="AR999" s="77"/>
      <c r="AT999" s="497">
        <v>19.04</v>
      </c>
      <c r="AV999" s="42"/>
      <c r="AW999" s="74"/>
      <c r="AX999" s="77"/>
      <c r="BA999" s="497">
        <v>6.98</v>
      </c>
      <c r="BB999" s="42"/>
      <c r="BC999" s="74"/>
      <c r="BD999" s="77"/>
      <c r="BF999">
        <v>12.02</v>
      </c>
      <c r="BH999" s="42"/>
      <c r="BI999" s="74"/>
      <c r="BJ999" s="77"/>
      <c r="BL999" s="497">
        <v>10.039999999999999</v>
      </c>
      <c r="BN999" s="42"/>
      <c r="BO999" s="74"/>
      <c r="BP999" s="77"/>
      <c r="BR999" s="497">
        <v>1.0399999999999991</v>
      </c>
      <c r="BT999" s="42"/>
    </row>
    <row r="1000" spans="1:72" x14ac:dyDescent="0.25">
      <c r="A1000" s="90">
        <v>34740</v>
      </c>
      <c r="B1000" s="20">
        <v>0.91666666666666663</v>
      </c>
      <c r="D1000">
        <v>37.04</v>
      </c>
      <c r="E1000" t="str">
        <f t="shared" si="66"/>
        <v>WEEKDAY</v>
      </c>
      <c r="F1000" t="e">
        <f t="shared" si="65"/>
        <v>#N/A</v>
      </c>
      <c r="G1000" s="74">
        <v>32183</v>
      </c>
      <c r="H1000" s="77">
        <v>0.91666666666666663</v>
      </c>
      <c r="J1000">
        <v>33.08</v>
      </c>
      <c r="M1000" s="74">
        <v>38027</v>
      </c>
      <c r="N1000" s="77">
        <v>0.91666666666666663</v>
      </c>
      <c r="P1000">
        <v>39.200000000000003</v>
      </c>
      <c r="S1000" s="74">
        <v>34740</v>
      </c>
      <c r="T1000" s="77">
        <v>0.91666666666666663</v>
      </c>
      <c r="V1000">
        <v>33.979999999999997</v>
      </c>
      <c r="X1000" s="42"/>
      <c r="AB1000">
        <v>34</v>
      </c>
      <c r="AC1000">
        <v>37.94</v>
      </c>
      <c r="AE1000" s="74"/>
      <c r="AF1000" s="77"/>
      <c r="AH1000" s="497">
        <v>36.86</v>
      </c>
      <c r="AJ1000" s="42"/>
      <c r="AK1000" s="74"/>
      <c r="AL1000" s="77"/>
      <c r="AN1000" s="497">
        <v>10.039999999999999</v>
      </c>
      <c r="AP1000" s="42"/>
      <c r="AQ1000" s="74"/>
      <c r="AR1000" s="77"/>
      <c r="AT1000" s="497">
        <v>17.96</v>
      </c>
      <c r="AV1000" s="42"/>
      <c r="AW1000" s="74"/>
      <c r="AX1000" s="77"/>
      <c r="BA1000" s="497">
        <v>6.0799999999999983</v>
      </c>
      <c r="BB1000" s="42"/>
      <c r="BC1000" s="74"/>
      <c r="BD1000" s="77"/>
      <c r="BF1000">
        <v>12.02</v>
      </c>
      <c r="BH1000" s="42"/>
      <c r="BI1000" s="74"/>
      <c r="BJ1000" s="77"/>
      <c r="BL1000" s="497">
        <v>8.0599999999999987</v>
      </c>
      <c r="BN1000" s="42"/>
      <c r="BO1000" s="74"/>
      <c r="BP1000" s="77"/>
      <c r="BR1000" s="497">
        <v>-5.0800000000000054</v>
      </c>
      <c r="BT1000" s="42"/>
    </row>
    <row r="1001" spans="1:72" x14ac:dyDescent="0.25">
      <c r="A1001" s="90">
        <v>34740</v>
      </c>
      <c r="B1001" s="20">
        <v>0.95833333333333337</v>
      </c>
      <c r="D1001">
        <v>37.04</v>
      </c>
      <c r="E1001" t="str">
        <f t="shared" si="66"/>
        <v>WEEKDAY</v>
      </c>
      <c r="F1001" t="e">
        <f t="shared" si="65"/>
        <v>#N/A</v>
      </c>
      <c r="G1001" s="74">
        <v>32183</v>
      </c>
      <c r="H1001" s="77">
        <v>0.95833333333333337</v>
      </c>
      <c r="J1001">
        <v>32</v>
      </c>
      <c r="M1001" s="74">
        <v>38027</v>
      </c>
      <c r="N1001" s="77">
        <v>0.95833333333333337</v>
      </c>
      <c r="P1001">
        <v>39.200000000000003</v>
      </c>
      <c r="S1001" s="74">
        <v>34740</v>
      </c>
      <c r="T1001" s="77">
        <v>0.95833333333333337</v>
      </c>
      <c r="V1001">
        <v>33.979999999999997</v>
      </c>
      <c r="X1001" s="42"/>
      <c r="AB1001">
        <v>33.4</v>
      </c>
      <c r="AC1001">
        <v>37.04</v>
      </c>
      <c r="AE1001" s="74"/>
      <c r="AF1001" s="77"/>
      <c r="AH1001" s="497">
        <v>38.840000000000003</v>
      </c>
      <c r="AJ1001" s="42"/>
      <c r="AK1001" s="74"/>
      <c r="AL1001" s="77"/>
      <c r="AN1001" s="497">
        <v>8.0599999999999987</v>
      </c>
      <c r="AP1001" s="42"/>
      <c r="AQ1001" s="74"/>
      <c r="AR1001" s="77"/>
      <c r="AT1001" s="497">
        <v>14</v>
      </c>
      <c r="AV1001" s="42"/>
      <c r="AW1001" s="74"/>
      <c r="AX1001" s="77"/>
      <c r="BA1001" s="497">
        <v>5</v>
      </c>
      <c r="BB1001" s="42"/>
      <c r="BC1001" s="74"/>
      <c r="BD1001" s="77"/>
      <c r="BF1001">
        <v>12.920000000000002</v>
      </c>
      <c r="BH1001" s="42"/>
      <c r="BI1001" s="74"/>
      <c r="BJ1001" s="77"/>
      <c r="BL1001" s="497">
        <v>8.0599999999999987</v>
      </c>
      <c r="BN1001" s="42"/>
      <c r="BO1001" s="74"/>
      <c r="BP1001" s="77"/>
      <c r="BR1001" s="497">
        <v>-7.0600000000000023</v>
      </c>
      <c r="BT1001" s="42"/>
    </row>
    <row r="1002" spans="1:72" x14ac:dyDescent="0.25">
      <c r="A1002" s="90">
        <v>34740</v>
      </c>
      <c r="B1002" s="20">
        <v>1</v>
      </c>
      <c r="D1002">
        <v>37.04</v>
      </c>
      <c r="E1002" t="str">
        <f t="shared" si="66"/>
        <v>WEEKDAY</v>
      </c>
      <c r="F1002" t="e">
        <f t="shared" si="65"/>
        <v>#N/A</v>
      </c>
      <c r="G1002" s="74">
        <v>32183</v>
      </c>
      <c r="H1002" s="77">
        <v>1</v>
      </c>
      <c r="J1002">
        <v>30.92</v>
      </c>
      <c r="M1002" s="74">
        <v>38027</v>
      </c>
      <c r="N1002" s="80">
        <v>1</v>
      </c>
      <c r="P1002">
        <v>37.4</v>
      </c>
      <c r="S1002" s="74">
        <v>34740</v>
      </c>
      <c r="T1002" s="80">
        <v>1</v>
      </c>
      <c r="V1002">
        <v>35.06</v>
      </c>
      <c r="X1002" s="42"/>
      <c r="AB1002">
        <v>32.9</v>
      </c>
      <c r="AC1002">
        <v>37.04</v>
      </c>
      <c r="AE1002" s="74"/>
      <c r="AF1002" s="80"/>
      <c r="AH1002" s="497">
        <v>38.840000000000003</v>
      </c>
      <c r="AJ1002" s="42"/>
      <c r="AK1002" s="74"/>
      <c r="AL1002" s="80"/>
      <c r="AN1002" s="497">
        <v>8.0599999999999987</v>
      </c>
      <c r="AP1002" s="42"/>
      <c r="AQ1002" s="74"/>
      <c r="AR1002" s="80"/>
      <c r="AT1002" s="497">
        <v>12.02</v>
      </c>
      <c r="AV1002" s="42"/>
      <c r="AW1002" s="74"/>
      <c r="AX1002" s="80"/>
      <c r="BA1002" s="497">
        <v>3.9200000000000017</v>
      </c>
      <c r="BB1002" s="42"/>
      <c r="BC1002" s="74"/>
      <c r="BD1002" s="80"/>
      <c r="BF1002">
        <v>14</v>
      </c>
      <c r="BH1002" s="42"/>
      <c r="BI1002" s="74"/>
      <c r="BJ1002" s="80"/>
      <c r="BL1002" s="497">
        <v>8.0599999999999987</v>
      </c>
      <c r="BN1002" s="42"/>
      <c r="BO1002" s="74"/>
      <c r="BP1002" s="80"/>
      <c r="BR1002" s="497">
        <v>-9.0399999999999991</v>
      </c>
      <c r="BT1002" s="42"/>
    </row>
    <row r="1003" spans="1:72" x14ac:dyDescent="0.25">
      <c r="A1003" s="90">
        <v>34741</v>
      </c>
      <c r="B1003" s="20">
        <v>4.1666666666666664E-2</v>
      </c>
      <c r="D1003">
        <v>37.94</v>
      </c>
      <c r="E1003" t="str">
        <f t="shared" si="66"/>
        <v>SATURDAY</v>
      </c>
      <c r="F1003" t="e">
        <f t="shared" ref="F1003:F1066" si="67">IF(E1003="WEEKDAY",VLOOKUP(B1003,$DD$19:$DG$42,2),IF(E1003="SATURDAY",VLOOKUP(B1003,$DD$19:$DG$42,3),VLOOKUP(B1003,$DD$19:$DG$42,4)))</f>
        <v>#N/A</v>
      </c>
      <c r="G1003" s="74">
        <v>32184</v>
      </c>
      <c r="H1003" s="77">
        <v>4.1666666666666664E-2</v>
      </c>
      <c r="J1003">
        <v>28.94</v>
      </c>
      <c r="M1003" s="74">
        <v>38028</v>
      </c>
      <c r="N1003" s="77">
        <v>4.1666666666666664E-2</v>
      </c>
      <c r="P1003">
        <v>35.6</v>
      </c>
      <c r="S1003" s="74">
        <v>34741</v>
      </c>
      <c r="T1003" s="77">
        <v>4.1666666666666664E-2</v>
      </c>
      <c r="V1003">
        <v>35.06</v>
      </c>
      <c r="X1003" s="42"/>
      <c r="AB1003">
        <v>32.4</v>
      </c>
      <c r="AC1003">
        <v>37.04</v>
      </c>
      <c r="AE1003" s="74"/>
      <c r="AF1003" s="77"/>
      <c r="AH1003" s="497">
        <v>38.840000000000003</v>
      </c>
      <c r="AJ1003" s="42"/>
      <c r="AK1003" s="74"/>
      <c r="AL1003" s="77"/>
      <c r="AN1003" s="497">
        <v>6.0799999999999983</v>
      </c>
      <c r="AP1003" s="42"/>
      <c r="AQ1003" s="74"/>
      <c r="AR1003" s="77"/>
      <c r="AT1003" s="497">
        <v>10.940000000000001</v>
      </c>
      <c r="AV1003" s="42"/>
      <c r="AW1003" s="74"/>
      <c r="AX1003" s="77"/>
      <c r="BA1003" s="497">
        <v>3.019999999999996</v>
      </c>
      <c r="BB1003" s="42"/>
      <c r="BC1003" s="74"/>
      <c r="BD1003" s="77"/>
      <c r="BF1003">
        <v>14</v>
      </c>
      <c r="BH1003" s="42"/>
      <c r="BI1003" s="74"/>
      <c r="BJ1003" s="77"/>
      <c r="BL1003" s="497">
        <v>8.0599999999999987</v>
      </c>
      <c r="BN1003" s="42"/>
      <c r="BO1003" s="74"/>
      <c r="BP1003" s="77"/>
      <c r="BR1003" s="497">
        <v>-9.0399999999999991</v>
      </c>
      <c r="BT1003" s="42"/>
    </row>
    <row r="1004" spans="1:72" x14ac:dyDescent="0.25">
      <c r="A1004" s="90">
        <v>34741</v>
      </c>
      <c r="B1004" s="20">
        <v>8.3333333333333329E-2</v>
      </c>
      <c r="D1004">
        <v>37.04</v>
      </c>
      <c r="E1004" t="str">
        <f t="shared" si="66"/>
        <v>SATURDAY</v>
      </c>
      <c r="F1004" t="e">
        <f t="shared" si="67"/>
        <v>#N/A</v>
      </c>
      <c r="G1004" s="74">
        <v>32184</v>
      </c>
      <c r="H1004" s="77">
        <v>8.3333333333333329E-2</v>
      </c>
      <c r="J1004">
        <v>28.04</v>
      </c>
      <c r="M1004" s="74">
        <v>38028</v>
      </c>
      <c r="N1004" s="77">
        <v>8.3333333333333329E-2</v>
      </c>
      <c r="P1004">
        <v>33.799999999999997</v>
      </c>
      <c r="S1004" s="74">
        <v>34741</v>
      </c>
      <c r="T1004" s="77">
        <v>8.3333333333333329E-2</v>
      </c>
      <c r="V1004">
        <v>33.08</v>
      </c>
      <c r="X1004" s="42"/>
      <c r="AB1004">
        <v>31.9</v>
      </c>
      <c r="AC1004">
        <v>37.04</v>
      </c>
      <c r="AE1004" s="74"/>
      <c r="AF1004" s="77"/>
      <c r="AH1004" s="497">
        <v>38.840000000000003</v>
      </c>
      <c r="AJ1004" s="42"/>
      <c r="AK1004" s="74"/>
      <c r="AL1004" s="77"/>
      <c r="AN1004" s="497">
        <v>6.98</v>
      </c>
      <c r="AP1004" s="42"/>
      <c r="AQ1004" s="74"/>
      <c r="AR1004" s="77"/>
      <c r="AT1004" s="497">
        <v>10.940000000000001</v>
      </c>
      <c r="AV1004" s="42"/>
      <c r="AW1004" s="74"/>
      <c r="AX1004" s="77"/>
      <c r="BA1004" s="497">
        <v>-3.9999999999999147E-2</v>
      </c>
      <c r="BB1004" s="42"/>
      <c r="BC1004" s="74"/>
      <c r="BD1004" s="77"/>
      <c r="BF1004">
        <v>14</v>
      </c>
      <c r="BH1004" s="42"/>
      <c r="BI1004" s="74"/>
      <c r="BJ1004" s="77"/>
      <c r="BL1004" s="497">
        <v>6.98</v>
      </c>
      <c r="BN1004" s="42"/>
      <c r="BO1004" s="74"/>
      <c r="BP1004" s="77"/>
      <c r="BR1004" s="497">
        <v>-11.019999999999996</v>
      </c>
      <c r="BT1004" s="42"/>
    </row>
    <row r="1005" spans="1:72" x14ac:dyDescent="0.25">
      <c r="A1005" s="90">
        <v>34741</v>
      </c>
      <c r="B1005" s="20">
        <v>0.125</v>
      </c>
      <c r="D1005">
        <v>35.96</v>
      </c>
      <c r="E1005" t="str">
        <f t="shared" si="66"/>
        <v>SATURDAY</v>
      </c>
      <c r="F1005" t="e">
        <f t="shared" si="67"/>
        <v>#N/A</v>
      </c>
      <c r="G1005" s="74">
        <v>32184</v>
      </c>
      <c r="H1005" s="77">
        <v>0.125</v>
      </c>
      <c r="J1005">
        <v>26.96</v>
      </c>
      <c r="M1005" s="74">
        <v>38028</v>
      </c>
      <c r="N1005" s="77">
        <v>0.125</v>
      </c>
      <c r="P1005">
        <v>35.6</v>
      </c>
      <c r="S1005" s="74">
        <v>34741</v>
      </c>
      <c r="T1005" s="77">
        <v>0.125</v>
      </c>
      <c r="V1005">
        <v>32</v>
      </c>
      <c r="X1005" s="42"/>
      <c r="AB1005">
        <v>31.3</v>
      </c>
      <c r="AC1005">
        <v>37.94</v>
      </c>
      <c r="AE1005" s="74"/>
      <c r="AF1005" s="77"/>
      <c r="AH1005" s="497">
        <v>38.840000000000003</v>
      </c>
      <c r="AJ1005" s="42"/>
      <c r="AK1005" s="74"/>
      <c r="AL1005" s="77"/>
      <c r="AN1005" s="497">
        <v>6.98</v>
      </c>
      <c r="AP1005" s="42"/>
      <c r="AQ1005" s="74"/>
      <c r="AR1005" s="77"/>
      <c r="AT1005" s="497">
        <v>12.02</v>
      </c>
      <c r="AV1005" s="42"/>
      <c r="AW1005" s="74"/>
      <c r="AX1005" s="77"/>
      <c r="BA1005" s="497">
        <v>3.019999999999996</v>
      </c>
      <c r="BB1005" s="42"/>
      <c r="BC1005" s="74"/>
      <c r="BD1005" s="77"/>
      <c r="BF1005">
        <v>14</v>
      </c>
      <c r="BH1005" s="42"/>
      <c r="BI1005" s="74"/>
      <c r="BJ1005" s="77"/>
      <c r="BL1005" s="497">
        <v>6.98</v>
      </c>
      <c r="BN1005" s="42"/>
      <c r="BO1005" s="74"/>
      <c r="BP1005" s="77"/>
      <c r="BR1005" s="497">
        <v>-11.019999999999996</v>
      </c>
      <c r="BT1005" s="42"/>
    </row>
    <row r="1006" spans="1:72" x14ac:dyDescent="0.25">
      <c r="A1006" s="90">
        <v>34741</v>
      </c>
      <c r="B1006" s="20">
        <v>0.16666666666666666</v>
      </c>
      <c r="D1006">
        <v>35.06</v>
      </c>
      <c r="E1006" t="str">
        <f t="shared" si="66"/>
        <v>SATURDAY</v>
      </c>
      <c r="F1006" t="e">
        <f t="shared" si="67"/>
        <v>#N/A</v>
      </c>
      <c r="G1006" s="74">
        <v>32184</v>
      </c>
      <c r="H1006" s="77">
        <v>0.16666666666666666</v>
      </c>
      <c r="J1006">
        <v>26.96</v>
      </c>
      <c r="M1006" s="74">
        <v>38028</v>
      </c>
      <c r="N1006" s="77">
        <v>0.16666666666666666</v>
      </c>
      <c r="P1006">
        <v>32</v>
      </c>
      <c r="S1006" s="74">
        <v>34741</v>
      </c>
      <c r="T1006" s="77">
        <v>0.16666666666666666</v>
      </c>
      <c r="V1006">
        <v>32</v>
      </c>
      <c r="X1006" s="42"/>
      <c r="AB1006">
        <v>31</v>
      </c>
      <c r="AC1006">
        <v>37.94</v>
      </c>
      <c r="AE1006" s="74"/>
      <c r="AF1006" s="77"/>
      <c r="AH1006" s="497">
        <v>38.840000000000003</v>
      </c>
      <c r="AJ1006" s="42"/>
      <c r="AK1006" s="74"/>
      <c r="AL1006" s="77"/>
      <c r="AN1006" s="497">
        <v>6.98</v>
      </c>
      <c r="AP1006" s="42"/>
      <c r="AQ1006" s="74"/>
      <c r="AR1006" s="77"/>
      <c r="AT1006" s="497">
        <v>10.039999999999999</v>
      </c>
      <c r="AV1006" s="42"/>
      <c r="AW1006" s="74"/>
      <c r="AX1006" s="77"/>
      <c r="BA1006" s="497">
        <v>5</v>
      </c>
      <c r="BB1006" s="42"/>
      <c r="BC1006" s="74"/>
      <c r="BD1006" s="77"/>
      <c r="BF1006">
        <v>15.079999999999998</v>
      </c>
      <c r="BH1006" s="42"/>
      <c r="BI1006" s="74"/>
      <c r="BJ1006" s="77"/>
      <c r="BL1006" s="497">
        <v>8.9599999999999973</v>
      </c>
      <c r="BN1006" s="42"/>
      <c r="BO1006" s="74"/>
      <c r="BP1006" s="77"/>
      <c r="BR1006" s="497">
        <v>-11.920000000000002</v>
      </c>
      <c r="BT1006" s="42"/>
    </row>
    <row r="1007" spans="1:72" x14ac:dyDescent="0.25">
      <c r="A1007" s="90">
        <v>34741</v>
      </c>
      <c r="B1007" s="20">
        <v>0.20833333333333334</v>
      </c>
      <c r="D1007">
        <v>35.96</v>
      </c>
      <c r="E1007" t="str">
        <f t="shared" si="66"/>
        <v>SATURDAY</v>
      </c>
      <c r="F1007" t="e">
        <f t="shared" si="67"/>
        <v>#N/A</v>
      </c>
      <c r="G1007" s="74">
        <v>32184</v>
      </c>
      <c r="H1007" s="77">
        <v>0.20833333333333334</v>
      </c>
      <c r="J1007">
        <v>26.96</v>
      </c>
      <c r="M1007" s="74">
        <v>38028</v>
      </c>
      <c r="N1007" s="77">
        <v>0.20833333333333334</v>
      </c>
      <c r="P1007">
        <v>33.799999999999997</v>
      </c>
      <c r="S1007" s="74">
        <v>34741</v>
      </c>
      <c r="T1007" s="77">
        <v>0.20833333333333334</v>
      </c>
      <c r="V1007">
        <v>32</v>
      </c>
      <c r="X1007" s="42"/>
      <c r="AB1007">
        <v>30.5</v>
      </c>
      <c r="AC1007">
        <v>39.019999999999996</v>
      </c>
      <c r="AE1007" s="74"/>
      <c r="AF1007" s="77"/>
      <c r="AH1007" s="497">
        <v>37.94</v>
      </c>
      <c r="AJ1007" s="42"/>
      <c r="AK1007" s="74"/>
      <c r="AL1007" s="77"/>
      <c r="AN1007" s="497">
        <v>5</v>
      </c>
      <c r="AP1007" s="42"/>
      <c r="AQ1007" s="74"/>
      <c r="AR1007" s="77"/>
      <c r="AT1007" s="497">
        <v>12.02</v>
      </c>
      <c r="AV1007" s="42"/>
      <c r="AW1007" s="74"/>
      <c r="AX1007" s="77"/>
      <c r="BA1007" s="497">
        <v>5</v>
      </c>
      <c r="BB1007" s="42"/>
      <c r="BC1007" s="74"/>
      <c r="BD1007" s="77"/>
      <c r="BF1007">
        <v>15.079999999999998</v>
      </c>
      <c r="BH1007" s="42"/>
      <c r="BI1007" s="74"/>
      <c r="BJ1007" s="77"/>
      <c r="BL1007" s="497">
        <v>8.9599999999999973</v>
      </c>
      <c r="BN1007" s="42"/>
      <c r="BO1007" s="74"/>
      <c r="BP1007" s="77"/>
      <c r="BR1007" s="497">
        <v>-11.019999999999996</v>
      </c>
      <c r="BT1007" s="42"/>
    </row>
    <row r="1008" spans="1:72" x14ac:dyDescent="0.25">
      <c r="A1008" s="90">
        <v>34741</v>
      </c>
      <c r="B1008" s="20">
        <v>0.25</v>
      </c>
      <c r="D1008">
        <v>35.06</v>
      </c>
      <c r="E1008" t="str">
        <f t="shared" si="66"/>
        <v>SATURDAY</v>
      </c>
      <c r="F1008" t="e">
        <f t="shared" si="67"/>
        <v>#N/A</v>
      </c>
      <c r="G1008" s="74">
        <v>32184</v>
      </c>
      <c r="H1008" s="77">
        <v>0.25</v>
      </c>
      <c r="J1008">
        <v>26.060000000000002</v>
      </c>
      <c r="M1008" s="74">
        <v>38028</v>
      </c>
      <c r="N1008" s="77">
        <v>0.25</v>
      </c>
      <c r="P1008">
        <v>32</v>
      </c>
      <c r="S1008" s="74">
        <v>34741</v>
      </c>
      <c r="T1008" s="77">
        <v>0.25</v>
      </c>
      <c r="V1008">
        <v>30.92</v>
      </c>
      <c r="X1008" s="42"/>
      <c r="AB1008">
        <v>30.3</v>
      </c>
      <c r="AC1008">
        <v>39.019999999999996</v>
      </c>
      <c r="AE1008" s="74"/>
      <c r="AF1008" s="77"/>
      <c r="AH1008" s="497">
        <v>36.86</v>
      </c>
      <c r="AJ1008" s="42"/>
      <c r="AK1008" s="74"/>
      <c r="AL1008" s="77"/>
      <c r="AN1008" s="497">
        <v>6.0799999999999983</v>
      </c>
      <c r="AP1008" s="42"/>
      <c r="AQ1008" s="74"/>
      <c r="AR1008" s="77"/>
      <c r="AT1008" s="497">
        <v>12.920000000000002</v>
      </c>
      <c r="AV1008" s="42"/>
      <c r="AW1008" s="74"/>
      <c r="AX1008" s="77"/>
      <c r="BA1008" s="497">
        <v>6.98</v>
      </c>
      <c r="BB1008" s="42"/>
      <c r="BC1008" s="74"/>
      <c r="BD1008" s="77"/>
      <c r="BF1008">
        <v>15.079999999999998</v>
      </c>
      <c r="BH1008" s="42"/>
      <c r="BI1008" s="74"/>
      <c r="BJ1008" s="77"/>
      <c r="BL1008" s="497">
        <v>10.940000000000001</v>
      </c>
      <c r="BN1008" s="42"/>
      <c r="BO1008" s="74"/>
      <c r="BP1008" s="77"/>
      <c r="BR1008" s="497">
        <v>-9.9400000000000048</v>
      </c>
      <c r="BT1008" s="42"/>
    </row>
    <row r="1009" spans="1:72" x14ac:dyDescent="0.25">
      <c r="A1009" s="90">
        <v>34741</v>
      </c>
      <c r="B1009" s="20">
        <v>0.29166666666666669</v>
      </c>
      <c r="D1009">
        <v>33.979999999999997</v>
      </c>
      <c r="E1009" t="str">
        <f t="shared" si="66"/>
        <v>SATURDAY</v>
      </c>
      <c r="F1009" t="e">
        <f t="shared" si="67"/>
        <v>#N/A</v>
      </c>
      <c r="G1009" s="74">
        <v>32184</v>
      </c>
      <c r="H1009" s="77">
        <v>0.29166666666666669</v>
      </c>
      <c r="J1009">
        <v>26.060000000000002</v>
      </c>
      <c r="M1009" s="74">
        <v>38028</v>
      </c>
      <c r="N1009" s="77">
        <v>0.29166666666666669</v>
      </c>
      <c r="P1009">
        <v>30.2</v>
      </c>
      <c r="S1009" s="74">
        <v>34741</v>
      </c>
      <c r="T1009" s="77">
        <v>0.29166666666666669</v>
      </c>
      <c r="V1009">
        <v>30.92</v>
      </c>
      <c r="X1009" s="42"/>
      <c r="AB1009">
        <v>30.2</v>
      </c>
      <c r="AC1009">
        <v>39.92</v>
      </c>
      <c r="AE1009" s="74"/>
      <c r="AF1009" s="77"/>
      <c r="AH1009" s="497">
        <v>34.880000000000003</v>
      </c>
      <c r="AJ1009" s="42"/>
      <c r="AK1009" s="74"/>
      <c r="AL1009" s="77"/>
      <c r="AN1009" s="497">
        <v>5</v>
      </c>
      <c r="AP1009" s="42"/>
      <c r="AQ1009" s="74"/>
      <c r="AR1009" s="77"/>
      <c r="AT1009" s="497">
        <v>12.02</v>
      </c>
      <c r="AV1009" s="42"/>
      <c r="AW1009" s="74"/>
      <c r="AX1009" s="77"/>
      <c r="BA1009" s="497">
        <v>6.98</v>
      </c>
      <c r="BB1009" s="42"/>
      <c r="BC1009" s="74"/>
      <c r="BD1009" s="77"/>
      <c r="BF1009">
        <v>15.98</v>
      </c>
      <c r="BH1009" s="42"/>
      <c r="BI1009" s="74"/>
      <c r="BJ1009" s="77"/>
      <c r="BL1009" s="497">
        <v>15.079999999999998</v>
      </c>
      <c r="BN1009" s="42"/>
      <c r="BO1009" s="74"/>
      <c r="BP1009" s="77"/>
      <c r="BR1009" s="497">
        <v>-7.9600000000000009</v>
      </c>
      <c r="BT1009" s="42"/>
    </row>
    <row r="1010" spans="1:72" x14ac:dyDescent="0.25">
      <c r="A1010" s="90">
        <v>34741</v>
      </c>
      <c r="B1010" s="20">
        <v>0.33333333333333331</v>
      </c>
      <c r="D1010">
        <v>37.04</v>
      </c>
      <c r="E1010" t="str">
        <f t="shared" si="66"/>
        <v>SATURDAY</v>
      </c>
      <c r="F1010" t="e">
        <f t="shared" si="67"/>
        <v>#N/A</v>
      </c>
      <c r="G1010" s="74">
        <v>32184</v>
      </c>
      <c r="H1010" s="77">
        <v>0.33333333333333331</v>
      </c>
      <c r="J1010">
        <v>26.96</v>
      </c>
      <c r="M1010" s="74">
        <v>38028</v>
      </c>
      <c r="N1010" s="77">
        <v>0.33333333333333331</v>
      </c>
      <c r="P1010">
        <v>30.2</v>
      </c>
      <c r="S1010" s="74">
        <v>34741</v>
      </c>
      <c r="T1010" s="77">
        <v>0.33333333333333331</v>
      </c>
      <c r="V1010">
        <v>33.08</v>
      </c>
      <c r="X1010" s="42"/>
      <c r="AB1010">
        <v>30.1</v>
      </c>
      <c r="AC1010">
        <v>42.08</v>
      </c>
      <c r="AE1010" s="74"/>
      <c r="AF1010" s="77"/>
      <c r="AH1010" s="497">
        <v>37.94</v>
      </c>
      <c r="AJ1010" s="42"/>
      <c r="AK1010" s="74"/>
      <c r="AL1010" s="77"/>
      <c r="AN1010" s="497">
        <v>6.98</v>
      </c>
      <c r="AP1010" s="42"/>
      <c r="AQ1010" s="74"/>
      <c r="AR1010" s="77"/>
      <c r="AT1010" s="497">
        <v>12.02</v>
      </c>
      <c r="AV1010" s="42"/>
      <c r="AW1010" s="74"/>
      <c r="AX1010" s="77"/>
      <c r="BA1010" s="497">
        <v>8.0599999999999987</v>
      </c>
      <c r="BB1010" s="42"/>
      <c r="BC1010" s="74"/>
      <c r="BD1010" s="77"/>
      <c r="BF1010">
        <v>17.059999999999999</v>
      </c>
      <c r="BH1010" s="42"/>
      <c r="BI1010" s="74"/>
      <c r="BJ1010" s="77"/>
      <c r="BL1010" s="497">
        <v>17.059999999999999</v>
      </c>
      <c r="BN1010" s="42"/>
      <c r="BO1010" s="74"/>
      <c r="BP1010" s="77"/>
      <c r="BR1010" s="497">
        <v>-7.9600000000000009</v>
      </c>
      <c r="BT1010" s="42"/>
    </row>
    <row r="1011" spans="1:72" x14ac:dyDescent="0.25">
      <c r="A1011" s="90">
        <v>34741</v>
      </c>
      <c r="B1011" s="20">
        <v>0.375</v>
      </c>
      <c r="D1011">
        <v>39.92</v>
      </c>
      <c r="E1011" t="str">
        <f t="shared" si="66"/>
        <v>SATURDAY</v>
      </c>
      <c r="F1011" t="e">
        <f t="shared" si="67"/>
        <v>#N/A</v>
      </c>
      <c r="G1011" s="74">
        <v>32184</v>
      </c>
      <c r="H1011" s="77">
        <v>0.375</v>
      </c>
      <c r="J1011">
        <v>28.94</v>
      </c>
      <c r="M1011" s="74">
        <v>38028</v>
      </c>
      <c r="N1011" s="77">
        <v>0.375</v>
      </c>
      <c r="P1011">
        <v>32</v>
      </c>
      <c r="S1011" s="74">
        <v>34741</v>
      </c>
      <c r="T1011" s="77">
        <v>0.375</v>
      </c>
      <c r="V1011">
        <v>35.96</v>
      </c>
      <c r="X1011" s="42"/>
      <c r="AB1011">
        <v>31.1</v>
      </c>
      <c r="AC1011">
        <v>42.08</v>
      </c>
      <c r="AE1011" s="74"/>
      <c r="AF1011" s="77"/>
      <c r="AH1011" s="497">
        <v>37.94</v>
      </c>
      <c r="AJ1011" s="42"/>
      <c r="AK1011" s="74"/>
      <c r="AL1011" s="77"/>
      <c r="AN1011" s="497">
        <v>8.0599999999999987</v>
      </c>
      <c r="AP1011" s="42"/>
      <c r="AQ1011" s="74"/>
      <c r="AR1011" s="77"/>
      <c r="AT1011" s="497">
        <v>17.059999999999999</v>
      </c>
      <c r="AV1011" s="42"/>
      <c r="AW1011" s="74"/>
      <c r="AX1011" s="77"/>
      <c r="BA1011" s="497">
        <v>10.039999999999999</v>
      </c>
      <c r="BB1011" s="42"/>
      <c r="BC1011" s="74"/>
      <c r="BD1011" s="77"/>
      <c r="BF1011">
        <v>19.04</v>
      </c>
      <c r="BH1011" s="42"/>
      <c r="BI1011" s="74"/>
      <c r="BJ1011" s="77"/>
      <c r="BL1011" s="497">
        <v>17.96</v>
      </c>
      <c r="BN1011" s="42"/>
      <c r="BO1011" s="74"/>
      <c r="BP1011" s="77"/>
      <c r="BR1011" s="497">
        <v>-2.019999999999996</v>
      </c>
      <c r="BT1011" s="42"/>
    </row>
    <row r="1012" spans="1:72" x14ac:dyDescent="0.25">
      <c r="A1012" s="90">
        <v>34741</v>
      </c>
      <c r="B1012" s="20">
        <v>0.41666666666666669</v>
      </c>
      <c r="D1012">
        <v>42.980000000000004</v>
      </c>
      <c r="E1012" t="str">
        <f t="shared" si="66"/>
        <v>SATURDAY</v>
      </c>
      <c r="F1012" t="e">
        <f t="shared" si="67"/>
        <v>#N/A</v>
      </c>
      <c r="G1012" s="74">
        <v>32184</v>
      </c>
      <c r="H1012" s="77">
        <v>0.41666666666666669</v>
      </c>
      <c r="J1012">
        <v>32</v>
      </c>
      <c r="M1012" s="74">
        <v>38028</v>
      </c>
      <c r="N1012" s="77">
        <v>0.41666666666666669</v>
      </c>
      <c r="P1012">
        <v>32</v>
      </c>
      <c r="S1012" s="74">
        <v>34741</v>
      </c>
      <c r="T1012" s="77">
        <v>0.41666666666666669</v>
      </c>
      <c r="V1012">
        <v>37.94</v>
      </c>
      <c r="X1012" s="42"/>
      <c r="AB1012">
        <v>32.6</v>
      </c>
      <c r="AC1012">
        <v>42.980000000000004</v>
      </c>
      <c r="AE1012" s="74"/>
      <c r="AF1012" s="77"/>
      <c r="AH1012" s="497">
        <v>39.92</v>
      </c>
      <c r="AJ1012" s="42"/>
      <c r="AK1012" s="74"/>
      <c r="AL1012" s="77"/>
      <c r="AN1012" s="497">
        <v>10.940000000000001</v>
      </c>
      <c r="AP1012" s="42"/>
      <c r="AQ1012" s="74"/>
      <c r="AR1012" s="77"/>
      <c r="AT1012" s="497">
        <v>19.939999999999998</v>
      </c>
      <c r="AV1012" s="42"/>
      <c r="AW1012" s="74"/>
      <c r="AX1012" s="77"/>
      <c r="BA1012" s="497">
        <v>12.02</v>
      </c>
      <c r="BB1012" s="42"/>
      <c r="BC1012" s="74"/>
      <c r="BD1012" s="77"/>
      <c r="BF1012">
        <v>19.939999999999998</v>
      </c>
      <c r="BH1012" s="42"/>
      <c r="BI1012" s="74"/>
      <c r="BJ1012" s="77"/>
      <c r="BL1012" s="497">
        <v>19.04</v>
      </c>
      <c r="BN1012" s="42"/>
      <c r="BO1012" s="74"/>
      <c r="BP1012" s="77"/>
      <c r="BR1012" s="497">
        <v>6.98</v>
      </c>
      <c r="BT1012" s="42"/>
    </row>
    <row r="1013" spans="1:72" x14ac:dyDescent="0.25">
      <c r="A1013" s="90">
        <v>34741</v>
      </c>
      <c r="B1013" s="20">
        <v>0.45833333333333331</v>
      </c>
      <c r="D1013">
        <v>42.08</v>
      </c>
      <c r="E1013" t="str">
        <f t="shared" si="66"/>
        <v>SATURDAY</v>
      </c>
      <c r="F1013" t="e">
        <f t="shared" si="67"/>
        <v>#N/A</v>
      </c>
      <c r="G1013" s="74">
        <v>32184</v>
      </c>
      <c r="H1013" s="77">
        <v>0.45833333333333331</v>
      </c>
      <c r="J1013">
        <v>33.08</v>
      </c>
      <c r="M1013" s="74">
        <v>38028</v>
      </c>
      <c r="N1013" s="77">
        <v>0.45833333333333331</v>
      </c>
      <c r="P1013">
        <v>33.799999999999997</v>
      </c>
      <c r="S1013" s="74">
        <v>34741</v>
      </c>
      <c r="T1013" s="77">
        <v>0.45833333333333331</v>
      </c>
      <c r="V1013">
        <v>39.92</v>
      </c>
      <c r="X1013" s="42"/>
      <c r="AB1013">
        <v>34</v>
      </c>
      <c r="AC1013">
        <v>42.980000000000004</v>
      </c>
      <c r="AE1013" s="74"/>
      <c r="AF1013" s="77"/>
      <c r="AH1013" s="497">
        <v>43.879999999999995</v>
      </c>
      <c r="AJ1013" s="42"/>
      <c r="AK1013" s="74"/>
      <c r="AL1013" s="77"/>
      <c r="AN1013" s="497">
        <v>15.079999999999998</v>
      </c>
      <c r="AP1013" s="42"/>
      <c r="AQ1013" s="74"/>
      <c r="AR1013" s="77"/>
      <c r="AT1013" s="497">
        <v>19.939999999999998</v>
      </c>
      <c r="AV1013" s="42"/>
      <c r="AW1013" s="74"/>
      <c r="AX1013" s="77"/>
      <c r="BA1013" s="497">
        <v>15.079999999999998</v>
      </c>
      <c r="BB1013" s="42"/>
      <c r="BC1013" s="74"/>
      <c r="BD1013" s="77"/>
      <c r="BF1013">
        <v>24.08</v>
      </c>
      <c r="BH1013" s="42"/>
      <c r="BI1013" s="74"/>
      <c r="BJ1013" s="77"/>
      <c r="BL1013" s="497">
        <v>19.939999999999998</v>
      </c>
      <c r="BN1013" s="42"/>
      <c r="BO1013" s="74"/>
      <c r="BP1013" s="77"/>
      <c r="BR1013" s="497">
        <v>10.039999999999999</v>
      </c>
      <c r="BT1013" s="42"/>
    </row>
    <row r="1014" spans="1:72" x14ac:dyDescent="0.25">
      <c r="A1014" s="90">
        <v>34741</v>
      </c>
      <c r="B1014" s="20">
        <v>0.5</v>
      </c>
      <c r="D1014">
        <v>44.06</v>
      </c>
      <c r="E1014" t="str">
        <f t="shared" si="66"/>
        <v>SATURDAY</v>
      </c>
      <c r="F1014" t="e">
        <f t="shared" si="67"/>
        <v>#N/A</v>
      </c>
      <c r="G1014" s="74">
        <v>32184</v>
      </c>
      <c r="H1014" s="77">
        <v>0.5</v>
      </c>
      <c r="J1014">
        <v>35.06</v>
      </c>
      <c r="M1014" s="74">
        <v>38028</v>
      </c>
      <c r="N1014" s="77">
        <v>0.5</v>
      </c>
      <c r="P1014">
        <v>33.799999999999997</v>
      </c>
      <c r="S1014" s="74">
        <v>34741</v>
      </c>
      <c r="T1014" s="77">
        <v>0.5</v>
      </c>
      <c r="V1014">
        <v>42.980000000000004</v>
      </c>
      <c r="X1014" s="42"/>
      <c r="AB1014">
        <v>35.4</v>
      </c>
      <c r="AC1014">
        <v>44.06</v>
      </c>
      <c r="AE1014" s="74"/>
      <c r="AF1014" s="77"/>
      <c r="AH1014" s="497">
        <v>44.96</v>
      </c>
      <c r="AJ1014" s="42"/>
      <c r="AK1014" s="74"/>
      <c r="AL1014" s="77"/>
      <c r="AN1014" s="497">
        <v>15.079999999999998</v>
      </c>
      <c r="AP1014" s="42"/>
      <c r="AQ1014" s="74"/>
      <c r="AR1014" s="77"/>
      <c r="AT1014" s="497">
        <v>21.92</v>
      </c>
      <c r="AV1014" s="42"/>
      <c r="AW1014" s="74"/>
      <c r="AX1014" s="77"/>
      <c r="BA1014" s="497">
        <v>17.059999999999999</v>
      </c>
      <c r="BB1014" s="42"/>
      <c r="BC1014" s="74"/>
      <c r="BD1014" s="77"/>
      <c r="BF1014">
        <v>26.060000000000002</v>
      </c>
      <c r="BH1014" s="42"/>
      <c r="BI1014" s="74"/>
      <c r="BJ1014" s="77"/>
      <c r="BL1014" s="497">
        <v>21.92</v>
      </c>
      <c r="BN1014" s="42"/>
      <c r="BO1014" s="74"/>
      <c r="BP1014" s="77"/>
      <c r="BR1014" s="497">
        <v>10.940000000000001</v>
      </c>
      <c r="BT1014" s="42"/>
    </row>
    <row r="1015" spans="1:72" x14ac:dyDescent="0.25">
      <c r="A1015" s="90">
        <v>34741</v>
      </c>
      <c r="B1015" s="20">
        <v>0.54166666666666663</v>
      </c>
      <c r="D1015">
        <v>44.96</v>
      </c>
      <c r="E1015" t="str">
        <f t="shared" si="66"/>
        <v>SATURDAY</v>
      </c>
      <c r="F1015" t="e">
        <f t="shared" si="67"/>
        <v>#N/A</v>
      </c>
      <c r="G1015" s="74">
        <v>32184</v>
      </c>
      <c r="H1015" s="77">
        <v>0.54166666666666663</v>
      </c>
      <c r="J1015">
        <v>33.979999999999997</v>
      </c>
      <c r="M1015" s="74">
        <v>38028</v>
      </c>
      <c r="N1015" s="77">
        <v>0.54166666666666663</v>
      </c>
      <c r="P1015">
        <v>33.799999999999997</v>
      </c>
      <c r="S1015" s="74">
        <v>34741</v>
      </c>
      <c r="T1015" s="77">
        <v>0.54166666666666663</v>
      </c>
      <c r="V1015">
        <v>41</v>
      </c>
      <c r="X1015" s="42"/>
      <c r="AB1015">
        <v>36.4</v>
      </c>
      <c r="AC1015">
        <v>42.980000000000004</v>
      </c>
      <c r="AE1015" s="74"/>
      <c r="AF1015" s="77"/>
      <c r="AH1015" s="497">
        <v>45.86</v>
      </c>
      <c r="AJ1015" s="42"/>
      <c r="AK1015" s="74"/>
      <c r="AL1015" s="77"/>
      <c r="AN1015" s="497">
        <v>19.939999999999998</v>
      </c>
      <c r="AP1015" s="42"/>
      <c r="AQ1015" s="74"/>
      <c r="AR1015" s="77"/>
      <c r="AT1015" s="497">
        <v>24.08</v>
      </c>
      <c r="AV1015" s="42"/>
      <c r="AW1015" s="74"/>
      <c r="AX1015" s="77"/>
      <c r="BA1015" s="497">
        <v>17.96</v>
      </c>
      <c r="BB1015" s="42"/>
      <c r="BC1015" s="74"/>
      <c r="BD1015" s="77"/>
      <c r="BF1015">
        <v>26.96</v>
      </c>
      <c r="BH1015" s="42"/>
      <c r="BI1015" s="74"/>
      <c r="BJ1015" s="77"/>
      <c r="BL1015" s="497">
        <v>24.98</v>
      </c>
      <c r="BN1015" s="42"/>
      <c r="BO1015" s="74"/>
      <c r="BP1015" s="77"/>
      <c r="BR1015" s="497">
        <v>10.940000000000001</v>
      </c>
      <c r="BT1015" s="42"/>
    </row>
    <row r="1016" spans="1:72" x14ac:dyDescent="0.25">
      <c r="A1016" s="90">
        <v>34741</v>
      </c>
      <c r="B1016" s="20">
        <v>0.58333333333333337</v>
      </c>
      <c r="D1016">
        <v>44.96</v>
      </c>
      <c r="E1016" t="str">
        <f t="shared" si="66"/>
        <v>SATURDAY</v>
      </c>
      <c r="F1016" t="e">
        <f t="shared" si="67"/>
        <v>#N/A</v>
      </c>
      <c r="G1016" s="74">
        <v>32184</v>
      </c>
      <c r="H1016" s="77">
        <v>0.58333333333333337</v>
      </c>
      <c r="J1016">
        <v>33.08</v>
      </c>
      <c r="M1016" s="74">
        <v>38028</v>
      </c>
      <c r="N1016" s="77">
        <v>0.58333333333333337</v>
      </c>
      <c r="P1016">
        <v>33.799999999999997</v>
      </c>
      <c r="S1016" s="74">
        <v>34741</v>
      </c>
      <c r="T1016" s="77">
        <v>0.58333333333333337</v>
      </c>
      <c r="V1016">
        <v>42.980000000000004</v>
      </c>
      <c r="X1016" s="42"/>
      <c r="AB1016">
        <v>37.299999999999997</v>
      </c>
      <c r="AC1016">
        <v>44.06</v>
      </c>
      <c r="AE1016" s="74"/>
      <c r="AF1016" s="77"/>
      <c r="AH1016" s="497">
        <v>44.96</v>
      </c>
      <c r="AJ1016" s="42"/>
      <c r="AK1016" s="74"/>
      <c r="AL1016" s="77"/>
      <c r="AN1016" s="497">
        <v>21.02</v>
      </c>
      <c r="AP1016" s="42"/>
      <c r="AQ1016" s="74"/>
      <c r="AR1016" s="77"/>
      <c r="AT1016" s="497">
        <v>24.08</v>
      </c>
      <c r="AV1016" s="42"/>
      <c r="AW1016" s="74"/>
      <c r="AX1016" s="77"/>
      <c r="BA1016" s="497">
        <v>21.92</v>
      </c>
      <c r="BB1016" s="42"/>
      <c r="BC1016" s="74"/>
      <c r="BD1016" s="77"/>
      <c r="BF1016">
        <v>28.04</v>
      </c>
      <c r="BH1016" s="42"/>
      <c r="BI1016" s="74"/>
      <c r="BJ1016" s="77"/>
      <c r="BL1016" s="497">
        <v>26.96</v>
      </c>
      <c r="BN1016" s="42"/>
      <c r="BO1016" s="74"/>
      <c r="BP1016" s="77"/>
      <c r="BR1016" s="497">
        <v>10.940000000000001</v>
      </c>
      <c r="BT1016" s="42"/>
    </row>
    <row r="1017" spans="1:72" x14ac:dyDescent="0.25">
      <c r="A1017" s="90">
        <v>34741</v>
      </c>
      <c r="B1017" s="20">
        <v>0.625</v>
      </c>
      <c r="D1017">
        <v>46.04</v>
      </c>
      <c r="E1017" t="str">
        <f t="shared" si="66"/>
        <v>SATURDAY</v>
      </c>
      <c r="F1017" t="e">
        <f t="shared" si="67"/>
        <v>#N/A</v>
      </c>
      <c r="G1017" s="74">
        <v>32184</v>
      </c>
      <c r="H1017" s="77">
        <v>0.625</v>
      </c>
      <c r="J1017">
        <v>35.06</v>
      </c>
      <c r="M1017" s="74">
        <v>38028</v>
      </c>
      <c r="N1017" s="77">
        <v>0.625</v>
      </c>
      <c r="P1017">
        <v>33.799999999999997</v>
      </c>
      <c r="S1017" s="74">
        <v>34741</v>
      </c>
      <c r="T1017" s="77">
        <v>0.625</v>
      </c>
      <c r="V1017">
        <v>42.980000000000004</v>
      </c>
      <c r="X1017" s="42"/>
      <c r="AB1017">
        <v>37.9</v>
      </c>
      <c r="AC1017">
        <v>44.96</v>
      </c>
      <c r="AE1017" s="74"/>
      <c r="AF1017" s="77"/>
      <c r="AH1017" s="497">
        <v>44.96</v>
      </c>
      <c r="AJ1017" s="42"/>
      <c r="AK1017" s="74"/>
      <c r="AL1017" s="77"/>
      <c r="AN1017" s="497">
        <v>23</v>
      </c>
      <c r="AP1017" s="42"/>
      <c r="AQ1017" s="74"/>
      <c r="AR1017" s="77"/>
      <c r="AT1017" s="497">
        <v>24.98</v>
      </c>
      <c r="AV1017" s="42"/>
      <c r="AW1017" s="74"/>
      <c r="AX1017" s="77"/>
      <c r="BA1017" s="497">
        <v>23</v>
      </c>
      <c r="BB1017" s="42"/>
      <c r="BC1017" s="74"/>
      <c r="BD1017" s="77"/>
      <c r="BF1017">
        <v>30.02</v>
      </c>
      <c r="BH1017" s="42"/>
      <c r="BI1017" s="74"/>
      <c r="BJ1017" s="77"/>
      <c r="BL1017" s="497">
        <v>28.94</v>
      </c>
      <c r="BN1017" s="42"/>
      <c r="BO1017" s="74"/>
      <c r="BP1017" s="77"/>
      <c r="BR1017" s="497">
        <v>12.02</v>
      </c>
      <c r="BT1017" s="42"/>
    </row>
    <row r="1018" spans="1:72" x14ac:dyDescent="0.25">
      <c r="A1018" s="90">
        <v>34741</v>
      </c>
      <c r="B1018" s="20">
        <v>0.66666666666666663</v>
      </c>
      <c r="D1018">
        <v>44.96</v>
      </c>
      <c r="E1018" t="str">
        <f t="shared" si="66"/>
        <v>SATURDAY</v>
      </c>
      <c r="F1018" t="e">
        <f t="shared" si="67"/>
        <v>#N/A</v>
      </c>
      <c r="G1018" s="74">
        <v>32184</v>
      </c>
      <c r="H1018" s="77">
        <v>0.66666666666666663</v>
      </c>
      <c r="J1018">
        <v>37.04</v>
      </c>
      <c r="M1018" s="74">
        <v>38028</v>
      </c>
      <c r="N1018" s="77">
        <v>0.66666666666666663</v>
      </c>
      <c r="P1018">
        <v>33.799999999999997</v>
      </c>
      <c r="S1018" s="74">
        <v>34741</v>
      </c>
      <c r="T1018" s="77">
        <v>0.66666666666666663</v>
      </c>
      <c r="V1018">
        <v>41</v>
      </c>
      <c r="X1018" s="42"/>
      <c r="AB1018">
        <v>38.1</v>
      </c>
      <c r="AC1018">
        <v>44.96</v>
      </c>
      <c r="AE1018" s="74"/>
      <c r="AF1018" s="77"/>
      <c r="AH1018" s="497">
        <v>43.879999999999995</v>
      </c>
      <c r="AJ1018" s="42"/>
      <c r="AK1018" s="74"/>
      <c r="AL1018" s="77"/>
      <c r="AN1018" s="497">
        <v>24.08</v>
      </c>
      <c r="AP1018" s="42"/>
      <c r="AQ1018" s="74"/>
      <c r="AR1018" s="77"/>
      <c r="AT1018" s="497">
        <v>24.98</v>
      </c>
      <c r="AV1018" s="42"/>
      <c r="AW1018" s="74"/>
      <c r="AX1018" s="77"/>
      <c r="BA1018" s="497">
        <v>21.92</v>
      </c>
      <c r="BB1018" s="42"/>
      <c r="BC1018" s="74"/>
      <c r="BD1018" s="77"/>
      <c r="BF1018">
        <v>30.02</v>
      </c>
      <c r="BH1018" s="42"/>
      <c r="BI1018" s="74"/>
      <c r="BJ1018" s="77"/>
      <c r="BL1018" s="497">
        <v>30.02</v>
      </c>
      <c r="BN1018" s="42"/>
      <c r="BO1018" s="74"/>
      <c r="BP1018" s="77"/>
      <c r="BR1018" s="497">
        <v>12.02</v>
      </c>
      <c r="BT1018" s="42"/>
    </row>
    <row r="1019" spans="1:72" x14ac:dyDescent="0.25">
      <c r="A1019" s="90">
        <v>34741</v>
      </c>
      <c r="B1019" s="20">
        <v>0.70833333333333337</v>
      </c>
      <c r="D1019">
        <v>44.96</v>
      </c>
      <c r="E1019" t="str">
        <f t="shared" si="66"/>
        <v>SATURDAY</v>
      </c>
      <c r="F1019" t="e">
        <f t="shared" si="67"/>
        <v>#N/A</v>
      </c>
      <c r="G1019" s="74">
        <v>32184</v>
      </c>
      <c r="H1019" s="77">
        <v>0.70833333333333337</v>
      </c>
      <c r="J1019">
        <v>35.06</v>
      </c>
      <c r="M1019" s="74">
        <v>38028</v>
      </c>
      <c r="N1019" s="77">
        <v>0.70833333333333337</v>
      </c>
      <c r="P1019">
        <v>32</v>
      </c>
      <c r="S1019" s="74">
        <v>34741</v>
      </c>
      <c r="T1019" s="77">
        <v>0.70833333333333337</v>
      </c>
      <c r="V1019">
        <v>39.92</v>
      </c>
      <c r="X1019" s="42"/>
      <c r="AB1019">
        <v>37.700000000000003</v>
      </c>
      <c r="AC1019">
        <v>46.94</v>
      </c>
      <c r="AE1019" s="74"/>
      <c r="AF1019" s="77"/>
      <c r="AH1019" s="497">
        <v>42.980000000000004</v>
      </c>
      <c r="AJ1019" s="42"/>
      <c r="AK1019" s="74"/>
      <c r="AL1019" s="77"/>
      <c r="AN1019" s="497">
        <v>21.92</v>
      </c>
      <c r="AP1019" s="42"/>
      <c r="AQ1019" s="74"/>
      <c r="AR1019" s="77"/>
      <c r="AT1019" s="497">
        <v>24.98</v>
      </c>
      <c r="AV1019" s="42"/>
      <c r="AW1019" s="74"/>
      <c r="AX1019" s="77"/>
      <c r="BA1019" s="497">
        <v>23</v>
      </c>
      <c r="BB1019" s="42"/>
      <c r="BC1019" s="74"/>
      <c r="BD1019" s="77"/>
      <c r="BF1019">
        <v>32</v>
      </c>
      <c r="BH1019" s="42"/>
      <c r="BI1019" s="74"/>
      <c r="BJ1019" s="77"/>
      <c r="BL1019" s="497">
        <v>30.92</v>
      </c>
      <c r="BN1019" s="42"/>
      <c r="BO1019" s="74"/>
      <c r="BP1019" s="77"/>
      <c r="BR1019" s="497">
        <v>10.940000000000001</v>
      </c>
      <c r="BT1019" s="42"/>
    </row>
    <row r="1020" spans="1:72" x14ac:dyDescent="0.25">
      <c r="A1020" s="90">
        <v>34741</v>
      </c>
      <c r="B1020" s="20">
        <v>0.75</v>
      </c>
      <c r="D1020">
        <v>42.980000000000004</v>
      </c>
      <c r="E1020" t="str">
        <f t="shared" si="66"/>
        <v>SATURDAY</v>
      </c>
      <c r="F1020" t="e">
        <f t="shared" si="67"/>
        <v>#N/A</v>
      </c>
      <c r="G1020" s="74">
        <v>32184</v>
      </c>
      <c r="H1020" s="77">
        <v>0.75</v>
      </c>
      <c r="J1020">
        <v>35.06</v>
      </c>
      <c r="M1020" s="74">
        <v>38028</v>
      </c>
      <c r="N1020" s="77">
        <v>0.75</v>
      </c>
      <c r="P1020">
        <v>32</v>
      </c>
      <c r="S1020" s="74">
        <v>34741</v>
      </c>
      <c r="T1020" s="77">
        <v>0.75</v>
      </c>
      <c r="V1020">
        <v>39.92</v>
      </c>
      <c r="X1020" s="42"/>
      <c r="AB1020">
        <v>36.700000000000003</v>
      </c>
      <c r="AC1020">
        <v>44.06</v>
      </c>
      <c r="AE1020" s="74"/>
      <c r="AF1020" s="77"/>
      <c r="AH1020" s="497">
        <v>41.9</v>
      </c>
      <c r="AJ1020" s="42"/>
      <c r="AK1020" s="74"/>
      <c r="AL1020" s="77"/>
      <c r="AN1020" s="497">
        <v>19.939999999999998</v>
      </c>
      <c r="AP1020" s="42"/>
      <c r="AQ1020" s="74"/>
      <c r="AR1020" s="77"/>
      <c r="AT1020" s="497">
        <v>24.08</v>
      </c>
      <c r="AV1020" s="42"/>
      <c r="AW1020" s="74"/>
      <c r="AX1020" s="77"/>
      <c r="BA1020" s="497">
        <v>21.92</v>
      </c>
      <c r="BB1020" s="42"/>
      <c r="BC1020" s="74"/>
      <c r="BD1020" s="77"/>
      <c r="BF1020">
        <v>33.08</v>
      </c>
      <c r="BH1020" s="42"/>
      <c r="BI1020" s="74"/>
      <c r="BJ1020" s="77"/>
      <c r="BL1020" s="497">
        <v>30.92</v>
      </c>
      <c r="BN1020" s="42"/>
      <c r="BO1020" s="74"/>
      <c r="BP1020" s="77"/>
      <c r="BR1020" s="497">
        <v>10.039999999999999</v>
      </c>
      <c r="BT1020" s="42"/>
    </row>
    <row r="1021" spans="1:72" x14ac:dyDescent="0.25">
      <c r="A1021" s="90">
        <v>34741</v>
      </c>
      <c r="B1021" s="20">
        <v>0.79166666666666663</v>
      </c>
      <c r="D1021">
        <v>42.08</v>
      </c>
      <c r="E1021" t="str">
        <f t="shared" si="66"/>
        <v>SATURDAY</v>
      </c>
      <c r="F1021" t="e">
        <f t="shared" si="67"/>
        <v>#N/A</v>
      </c>
      <c r="G1021" s="74">
        <v>32184</v>
      </c>
      <c r="H1021" s="77">
        <v>0.79166666666666663</v>
      </c>
      <c r="J1021">
        <v>35.06</v>
      </c>
      <c r="M1021" s="74">
        <v>38028</v>
      </c>
      <c r="N1021" s="77">
        <v>0.79166666666666663</v>
      </c>
      <c r="P1021">
        <v>30.2</v>
      </c>
      <c r="S1021" s="74">
        <v>34741</v>
      </c>
      <c r="T1021" s="77">
        <v>0.79166666666666663</v>
      </c>
      <c r="V1021">
        <v>39.92</v>
      </c>
      <c r="X1021" s="42"/>
      <c r="AB1021">
        <v>35.6</v>
      </c>
      <c r="AC1021">
        <v>42.980000000000004</v>
      </c>
      <c r="AE1021" s="74"/>
      <c r="AF1021" s="77"/>
      <c r="AH1021" s="497">
        <v>41</v>
      </c>
      <c r="AJ1021" s="42"/>
      <c r="AK1021" s="74"/>
      <c r="AL1021" s="77"/>
      <c r="AN1021" s="497">
        <v>19.04</v>
      </c>
      <c r="AP1021" s="42"/>
      <c r="AQ1021" s="74"/>
      <c r="AR1021" s="77"/>
      <c r="AT1021" s="497">
        <v>23</v>
      </c>
      <c r="AV1021" s="42"/>
      <c r="AW1021" s="74"/>
      <c r="AX1021" s="77"/>
      <c r="BA1021" s="497">
        <v>17.96</v>
      </c>
      <c r="BB1021" s="42"/>
      <c r="BC1021" s="74"/>
      <c r="BD1021" s="77"/>
      <c r="BF1021">
        <v>35.06</v>
      </c>
      <c r="BH1021" s="42"/>
      <c r="BI1021" s="74"/>
      <c r="BJ1021" s="77"/>
      <c r="BL1021" s="497">
        <v>32</v>
      </c>
      <c r="BN1021" s="42"/>
      <c r="BO1021" s="74"/>
      <c r="BP1021" s="77"/>
      <c r="BR1021" s="497">
        <v>10.039999999999999</v>
      </c>
      <c r="BT1021" s="42"/>
    </row>
    <row r="1022" spans="1:72" x14ac:dyDescent="0.25">
      <c r="A1022" s="90">
        <v>34741</v>
      </c>
      <c r="B1022" s="20">
        <v>0.83333333333333337</v>
      </c>
      <c r="D1022">
        <v>39.92</v>
      </c>
      <c r="E1022" t="str">
        <f t="shared" si="66"/>
        <v>SATURDAY</v>
      </c>
      <c r="F1022" t="e">
        <f t="shared" si="67"/>
        <v>#N/A</v>
      </c>
      <c r="G1022" s="74">
        <v>32184</v>
      </c>
      <c r="H1022" s="77">
        <v>0.83333333333333337</v>
      </c>
      <c r="J1022">
        <v>35.06</v>
      </c>
      <c r="M1022" s="74">
        <v>38028</v>
      </c>
      <c r="N1022" s="77">
        <v>0.83333333333333337</v>
      </c>
      <c r="P1022">
        <v>30.2</v>
      </c>
      <c r="S1022" s="74">
        <v>34741</v>
      </c>
      <c r="T1022" s="77">
        <v>0.83333333333333337</v>
      </c>
      <c r="V1022">
        <v>39.019999999999996</v>
      </c>
      <c r="X1022" s="42"/>
      <c r="AB1022">
        <v>35.1</v>
      </c>
      <c r="AC1022">
        <v>39.92</v>
      </c>
      <c r="AE1022" s="74"/>
      <c r="AF1022" s="77"/>
      <c r="AH1022" s="497">
        <v>39.92</v>
      </c>
      <c r="AJ1022" s="42"/>
      <c r="AK1022" s="74"/>
      <c r="AL1022" s="77"/>
      <c r="AN1022" s="497">
        <v>17.96</v>
      </c>
      <c r="AP1022" s="42"/>
      <c r="AQ1022" s="74"/>
      <c r="AR1022" s="77"/>
      <c r="AT1022" s="497">
        <v>21.92</v>
      </c>
      <c r="AV1022" s="42"/>
      <c r="AW1022" s="74"/>
      <c r="AX1022" s="77"/>
      <c r="BA1022" s="497">
        <v>17.96</v>
      </c>
      <c r="BB1022" s="42"/>
      <c r="BC1022" s="74"/>
      <c r="BD1022" s="77"/>
      <c r="BF1022">
        <v>33.979999999999997</v>
      </c>
      <c r="BH1022" s="42"/>
      <c r="BI1022" s="74"/>
      <c r="BJ1022" s="77"/>
      <c r="BL1022" s="497">
        <v>30.92</v>
      </c>
      <c r="BN1022" s="42"/>
      <c r="BO1022" s="74"/>
      <c r="BP1022" s="77"/>
      <c r="BR1022" s="497">
        <v>10.940000000000001</v>
      </c>
      <c r="BT1022" s="42"/>
    </row>
    <row r="1023" spans="1:72" x14ac:dyDescent="0.25">
      <c r="A1023" s="90">
        <v>34741</v>
      </c>
      <c r="B1023" s="20">
        <v>0.875</v>
      </c>
      <c r="D1023">
        <v>39.019999999999996</v>
      </c>
      <c r="E1023" t="str">
        <f t="shared" si="66"/>
        <v>SATURDAY</v>
      </c>
      <c r="F1023" t="e">
        <f t="shared" si="67"/>
        <v>#N/A</v>
      </c>
      <c r="G1023" s="74">
        <v>32184</v>
      </c>
      <c r="H1023" s="77">
        <v>0.875</v>
      </c>
      <c r="J1023">
        <v>37.04</v>
      </c>
      <c r="M1023" s="74">
        <v>38028</v>
      </c>
      <c r="N1023" s="77">
        <v>0.875</v>
      </c>
      <c r="P1023">
        <v>28.4</v>
      </c>
      <c r="S1023" s="74">
        <v>34741</v>
      </c>
      <c r="T1023" s="77">
        <v>0.875</v>
      </c>
      <c r="V1023">
        <v>37.94</v>
      </c>
      <c r="X1023" s="42"/>
      <c r="AB1023">
        <v>34.700000000000003</v>
      </c>
      <c r="AC1023">
        <v>35.96</v>
      </c>
      <c r="AE1023" s="74"/>
      <c r="AF1023" s="77"/>
      <c r="AH1023" s="497">
        <v>36.86</v>
      </c>
      <c r="AJ1023" s="42"/>
      <c r="AK1023" s="74"/>
      <c r="AL1023" s="77"/>
      <c r="AN1023" s="497">
        <v>17.96</v>
      </c>
      <c r="AP1023" s="42"/>
      <c r="AQ1023" s="74"/>
      <c r="AR1023" s="77"/>
      <c r="AT1023" s="497">
        <v>21.92</v>
      </c>
      <c r="AV1023" s="42"/>
      <c r="AW1023" s="74"/>
      <c r="AX1023" s="77"/>
      <c r="BA1023" s="497">
        <v>15.98</v>
      </c>
      <c r="BB1023" s="42"/>
      <c r="BC1023" s="74"/>
      <c r="BD1023" s="77"/>
      <c r="BF1023">
        <v>35.06</v>
      </c>
      <c r="BH1023" s="42"/>
      <c r="BI1023" s="74"/>
      <c r="BJ1023" s="77"/>
      <c r="BL1023" s="497">
        <v>30.02</v>
      </c>
      <c r="BN1023" s="42"/>
      <c r="BO1023" s="74"/>
      <c r="BP1023" s="77"/>
      <c r="BR1023" s="497">
        <v>10.940000000000001</v>
      </c>
      <c r="BT1023" s="42"/>
    </row>
    <row r="1024" spans="1:72" x14ac:dyDescent="0.25">
      <c r="A1024" s="90">
        <v>34741</v>
      </c>
      <c r="B1024" s="20">
        <v>0.91666666666666663</v>
      </c>
      <c r="D1024">
        <v>35.96</v>
      </c>
      <c r="E1024" t="str">
        <f t="shared" si="66"/>
        <v>SATURDAY</v>
      </c>
      <c r="F1024" t="e">
        <f t="shared" si="67"/>
        <v>#N/A</v>
      </c>
      <c r="G1024" s="74">
        <v>32184</v>
      </c>
      <c r="H1024" s="77">
        <v>0.91666666666666663</v>
      </c>
      <c r="J1024">
        <v>37.04</v>
      </c>
      <c r="M1024" s="74">
        <v>38028</v>
      </c>
      <c r="N1024" s="77">
        <v>0.91666666666666663</v>
      </c>
      <c r="P1024">
        <v>28.4</v>
      </c>
      <c r="S1024" s="74">
        <v>34741</v>
      </c>
      <c r="T1024" s="77">
        <v>0.91666666666666663</v>
      </c>
      <c r="V1024">
        <v>35.06</v>
      </c>
      <c r="X1024" s="42"/>
      <c r="AB1024">
        <v>34</v>
      </c>
      <c r="AC1024">
        <v>33.979999999999997</v>
      </c>
      <c r="AE1024" s="74"/>
      <c r="AF1024" s="77"/>
      <c r="AH1024" s="497">
        <v>36.86</v>
      </c>
      <c r="AJ1024" s="42"/>
      <c r="AK1024" s="74"/>
      <c r="AL1024" s="77"/>
      <c r="AN1024" s="497">
        <v>17.96</v>
      </c>
      <c r="AP1024" s="42"/>
      <c r="AQ1024" s="74"/>
      <c r="AR1024" s="77"/>
      <c r="AT1024" s="497">
        <v>21.92</v>
      </c>
      <c r="AV1024" s="42"/>
      <c r="AW1024" s="74"/>
      <c r="AX1024" s="77"/>
      <c r="BA1024" s="497">
        <v>15.079999999999998</v>
      </c>
      <c r="BB1024" s="42"/>
      <c r="BC1024" s="74"/>
      <c r="BD1024" s="77"/>
      <c r="BF1024">
        <v>35.06</v>
      </c>
      <c r="BH1024" s="42"/>
      <c r="BI1024" s="74"/>
      <c r="BJ1024" s="77"/>
      <c r="BL1024" s="497">
        <v>30.92</v>
      </c>
      <c r="BN1024" s="42"/>
      <c r="BO1024" s="74"/>
      <c r="BP1024" s="77"/>
      <c r="BR1024" s="497">
        <v>10.039999999999999</v>
      </c>
      <c r="BT1024" s="42"/>
    </row>
    <row r="1025" spans="1:72" x14ac:dyDescent="0.25">
      <c r="A1025" s="90">
        <v>34741</v>
      </c>
      <c r="B1025" s="20">
        <v>0.95833333333333337</v>
      </c>
      <c r="D1025">
        <v>33.08</v>
      </c>
      <c r="E1025" t="str">
        <f t="shared" si="66"/>
        <v>SATURDAY</v>
      </c>
      <c r="F1025" t="e">
        <f t="shared" si="67"/>
        <v>#N/A</v>
      </c>
      <c r="G1025" s="74">
        <v>32184</v>
      </c>
      <c r="H1025" s="77">
        <v>0.95833333333333337</v>
      </c>
      <c r="J1025">
        <v>35.96</v>
      </c>
      <c r="M1025" s="74">
        <v>38028</v>
      </c>
      <c r="N1025" s="77">
        <v>0.95833333333333337</v>
      </c>
      <c r="P1025">
        <v>26.6</v>
      </c>
      <c r="S1025" s="74">
        <v>34741</v>
      </c>
      <c r="T1025" s="77">
        <v>0.95833333333333337</v>
      </c>
      <c r="V1025">
        <v>33.08</v>
      </c>
      <c r="X1025" s="42"/>
      <c r="AB1025">
        <v>33.4</v>
      </c>
      <c r="AC1025">
        <v>32</v>
      </c>
      <c r="AE1025" s="74"/>
      <c r="AF1025" s="77"/>
      <c r="AH1025" s="497">
        <v>35.96</v>
      </c>
      <c r="AJ1025" s="42"/>
      <c r="AK1025" s="74"/>
      <c r="AL1025" s="77"/>
      <c r="AN1025" s="497">
        <v>15.079999999999998</v>
      </c>
      <c r="AP1025" s="42"/>
      <c r="AQ1025" s="74"/>
      <c r="AR1025" s="77"/>
      <c r="AT1025" s="497">
        <v>21.92</v>
      </c>
      <c r="AV1025" s="42"/>
      <c r="AW1025" s="74"/>
      <c r="AX1025" s="77"/>
      <c r="BA1025" s="497">
        <v>17.96</v>
      </c>
      <c r="BB1025" s="42"/>
      <c r="BC1025" s="74"/>
      <c r="BD1025" s="77"/>
      <c r="BF1025">
        <v>33.979999999999997</v>
      </c>
      <c r="BH1025" s="42"/>
      <c r="BI1025" s="74"/>
      <c r="BJ1025" s="77"/>
      <c r="BL1025" s="497">
        <v>33.08</v>
      </c>
      <c r="BN1025" s="42"/>
      <c r="BO1025" s="74"/>
      <c r="BP1025" s="77"/>
      <c r="BR1025" s="497">
        <v>10.039999999999999</v>
      </c>
      <c r="BT1025" s="42"/>
    </row>
    <row r="1026" spans="1:72" x14ac:dyDescent="0.25">
      <c r="A1026" s="90">
        <v>34741</v>
      </c>
      <c r="B1026" s="20">
        <v>1</v>
      </c>
      <c r="D1026">
        <v>32</v>
      </c>
      <c r="E1026" t="str">
        <f t="shared" si="66"/>
        <v>SATURDAY</v>
      </c>
      <c r="F1026" t="e">
        <f t="shared" si="67"/>
        <v>#N/A</v>
      </c>
      <c r="G1026" s="74">
        <v>32184</v>
      </c>
      <c r="H1026" s="77">
        <v>1</v>
      </c>
      <c r="J1026">
        <v>35.06</v>
      </c>
      <c r="M1026" s="74">
        <v>38028</v>
      </c>
      <c r="N1026" s="80">
        <v>1</v>
      </c>
      <c r="P1026">
        <v>26.6</v>
      </c>
      <c r="S1026" s="74">
        <v>34741</v>
      </c>
      <c r="T1026" s="80">
        <v>1</v>
      </c>
      <c r="V1026">
        <v>30.92</v>
      </c>
      <c r="X1026" s="42"/>
      <c r="AB1026">
        <v>32.9</v>
      </c>
      <c r="AC1026">
        <v>30.02</v>
      </c>
      <c r="AE1026" s="74"/>
      <c r="AF1026" s="80"/>
      <c r="AH1026" s="497">
        <v>34.880000000000003</v>
      </c>
      <c r="AJ1026" s="42"/>
      <c r="AK1026" s="74"/>
      <c r="AL1026" s="80"/>
      <c r="AN1026" s="497">
        <v>15.079999999999998</v>
      </c>
      <c r="AP1026" s="42"/>
      <c r="AQ1026" s="74"/>
      <c r="AR1026" s="80"/>
      <c r="AT1026" s="497">
        <v>21.92</v>
      </c>
      <c r="AV1026" s="42"/>
      <c r="AW1026" s="74"/>
      <c r="AX1026" s="80"/>
      <c r="BA1026" s="497">
        <v>19.04</v>
      </c>
      <c r="BB1026" s="42"/>
      <c r="BC1026" s="74"/>
      <c r="BD1026" s="80"/>
      <c r="BF1026">
        <v>35.06</v>
      </c>
      <c r="BH1026" s="42"/>
      <c r="BI1026" s="74"/>
      <c r="BJ1026" s="80"/>
      <c r="BL1026" s="497">
        <v>33.08</v>
      </c>
      <c r="BN1026" s="42"/>
      <c r="BO1026" s="74"/>
      <c r="BP1026" s="80"/>
      <c r="BR1026" s="497">
        <v>10.039999999999999</v>
      </c>
      <c r="BT1026" s="42"/>
    </row>
    <row r="1027" spans="1:72" x14ac:dyDescent="0.25">
      <c r="A1027" s="90">
        <v>34742</v>
      </c>
      <c r="B1027" s="20">
        <v>4.1666666666666664E-2</v>
      </c>
      <c r="D1027">
        <v>28.94</v>
      </c>
      <c r="E1027" t="str">
        <f t="shared" si="66"/>
        <v>SUNDAY</v>
      </c>
      <c r="F1027" t="e">
        <f t="shared" si="67"/>
        <v>#N/A</v>
      </c>
      <c r="G1027" s="74">
        <v>32185</v>
      </c>
      <c r="H1027" s="77">
        <v>4.1666666666666664E-2</v>
      </c>
      <c r="J1027">
        <v>33.979999999999997</v>
      </c>
      <c r="M1027" s="74">
        <v>38029</v>
      </c>
      <c r="N1027" s="77">
        <v>4.1666666666666664E-2</v>
      </c>
      <c r="P1027">
        <v>24.8</v>
      </c>
      <c r="S1027" s="74">
        <v>34742</v>
      </c>
      <c r="T1027" s="77">
        <v>4.1666666666666664E-2</v>
      </c>
      <c r="V1027">
        <v>28.94</v>
      </c>
      <c r="X1027" s="42"/>
      <c r="AB1027">
        <v>32.4</v>
      </c>
      <c r="AC1027">
        <v>28.94</v>
      </c>
      <c r="AE1027" s="74"/>
      <c r="AF1027" s="77"/>
      <c r="AH1027" s="497">
        <v>32</v>
      </c>
      <c r="AJ1027" s="42"/>
      <c r="AK1027" s="74"/>
      <c r="AL1027" s="77"/>
      <c r="AN1027" s="497">
        <v>15.98</v>
      </c>
      <c r="AP1027" s="42"/>
      <c r="AQ1027" s="74"/>
      <c r="AR1027" s="77"/>
      <c r="AT1027" s="497">
        <v>21.92</v>
      </c>
      <c r="AV1027" s="42"/>
      <c r="AW1027" s="74"/>
      <c r="AX1027" s="77"/>
      <c r="BA1027" s="497">
        <v>17.059999999999999</v>
      </c>
      <c r="BB1027" s="42"/>
      <c r="BC1027" s="74"/>
      <c r="BD1027" s="77"/>
      <c r="BF1027">
        <v>33.979999999999997</v>
      </c>
      <c r="BH1027" s="42"/>
      <c r="BI1027" s="74"/>
      <c r="BJ1027" s="77"/>
      <c r="BL1027" s="497">
        <v>30.02</v>
      </c>
      <c r="BN1027" s="42"/>
      <c r="BO1027" s="74"/>
      <c r="BP1027" s="77"/>
      <c r="BR1027" s="497">
        <v>10.039999999999999</v>
      </c>
      <c r="BT1027" s="42"/>
    </row>
    <row r="1028" spans="1:72" x14ac:dyDescent="0.25">
      <c r="A1028" s="90">
        <v>34742</v>
      </c>
      <c r="B1028" s="20">
        <v>8.3333333333333329E-2</v>
      </c>
      <c r="D1028">
        <v>26.96</v>
      </c>
      <c r="E1028" t="str">
        <f t="shared" si="66"/>
        <v>SUNDAY</v>
      </c>
      <c r="F1028" t="e">
        <f t="shared" si="67"/>
        <v>#N/A</v>
      </c>
      <c r="G1028" s="74">
        <v>32185</v>
      </c>
      <c r="H1028" s="77">
        <v>8.3333333333333329E-2</v>
      </c>
      <c r="J1028">
        <v>33.08</v>
      </c>
      <c r="M1028" s="74">
        <v>38029</v>
      </c>
      <c r="N1028" s="77">
        <v>8.3333333333333329E-2</v>
      </c>
      <c r="P1028">
        <v>21.2</v>
      </c>
      <c r="S1028" s="74">
        <v>34742</v>
      </c>
      <c r="T1028" s="77">
        <v>8.3333333333333329E-2</v>
      </c>
      <c r="V1028">
        <v>26.96</v>
      </c>
      <c r="X1028" s="42"/>
      <c r="AB1028">
        <v>31.9</v>
      </c>
      <c r="AC1028">
        <v>28.04</v>
      </c>
      <c r="AE1028" s="74"/>
      <c r="AF1028" s="77"/>
      <c r="AH1028" s="497">
        <v>30.92</v>
      </c>
      <c r="AJ1028" s="42"/>
      <c r="AK1028" s="74"/>
      <c r="AL1028" s="77"/>
      <c r="AN1028" s="497">
        <v>15.98</v>
      </c>
      <c r="AP1028" s="42"/>
      <c r="AQ1028" s="74"/>
      <c r="AR1028" s="77"/>
      <c r="AT1028" s="497">
        <v>19.939999999999998</v>
      </c>
      <c r="AV1028" s="42"/>
      <c r="AW1028" s="74"/>
      <c r="AX1028" s="77"/>
      <c r="BA1028" s="497">
        <v>19.04</v>
      </c>
      <c r="BB1028" s="42"/>
      <c r="BC1028" s="74"/>
      <c r="BD1028" s="77"/>
      <c r="BF1028">
        <v>33.979999999999997</v>
      </c>
      <c r="BH1028" s="42"/>
      <c r="BI1028" s="74"/>
      <c r="BJ1028" s="77"/>
      <c r="BL1028" s="497">
        <v>30.02</v>
      </c>
      <c r="BN1028" s="42"/>
      <c r="BO1028" s="74"/>
      <c r="BP1028" s="77"/>
      <c r="BR1028" s="497">
        <v>10.940000000000001</v>
      </c>
      <c r="BT1028" s="42"/>
    </row>
    <row r="1029" spans="1:72" x14ac:dyDescent="0.25">
      <c r="A1029" s="90">
        <v>34742</v>
      </c>
      <c r="B1029" s="20">
        <v>0.125</v>
      </c>
      <c r="D1029">
        <v>24.98</v>
      </c>
      <c r="E1029" t="str">
        <f t="shared" si="66"/>
        <v>SUNDAY</v>
      </c>
      <c r="F1029" t="e">
        <f t="shared" si="67"/>
        <v>#N/A</v>
      </c>
      <c r="G1029" s="74">
        <v>32185</v>
      </c>
      <c r="H1029" s="77">
        <v>0.125</v>
      </c>
      <c r="J1029">
        <v>33.08</v>
      </c>
      <c r="M1029" s="74">
        <v>38029</v>
      </c>
      <c r="N1029" s="77">
        <v>0.125</v>
      </c>
      <c r="P1029">
        <v>21.2</v>
      </c>
      <c r="S1029" s="74">
        <v>34742</v>
      </c>
      <c r="T1029" s="77">
        <v>0.125</v>
      </c>
      <c r="V1029">
        <v>24.98</v>
      </c>
      <c r="X1029" s="42"/>
      <c r="AB1029">
        <v>31.3</v>
      </c>
      <c r="AC1029">
        <v>26.96</v>
      </c>
      <c r="AE1029" s="74"/>
      <c r="AF1029" s="77"/>
      <c r="AH1029" s="497">
        <v>30.92</v>
      </c>
      <c r="AJ1029" s="42"/>
      <c r="AK1029" s="74"/>
      <c r="AL1029" s="77"/>
      <c r="AN1029" s="497">
        <v>12.920000000000002</v>
      </c>
      <c r="AP1029" s="42"/>
      <c r="AQ1029" s="74"/>
      <c r="AR1029" s="77"/>
      <c r="AT1029" s="497">
        <v>19.939999999999998</v>
      </c>
      <c r="AV1029" s="42"/>
      <c r="AW1029" s="74"/>
      <c r="AX1029" s="77"/>
      <c r="BA1029" s="497">
        <v>17.96</v>
      </c>
      <c r="BB1029" s="42"/>
      <c r="BC1029" s="74"/>
      <c r="BD1029" s="77"/>
      <c r="BF1029">
        <v>32</v>
      </c>
      <c r="BH1029" s="42"/>
      <c r="BI1029" s="74"/>
      <c r="BJ1029" s="77"/>
      <c r="BL1029" s="497">
        <v>28.94</v>
      </c>
      <c r="BN1029" s="42"/>
      <c r="BO1029" s="74"/>
      <c r="BP1029" s="77"/>
      <c r="BR1029" s="497">
        <v>12.920000000000002</v>
      </c>
      <c r="BT1029" s="42"/>
    </row>
    <row r="1030" spans="1:72" x14ac:dyDescent="0.25">
      <c r="A1030" s="90">
        <v>34742</v>
      </c>
      <c r="B1030" s="20">
        <v>0.16666666666666666</v>
      </c>
      <c r="D1030">
        <v>23</v>
      </c>
      <c r="E1030" t="str">
        <f t="shared" si="66"/>
        <v>SUNDAY</v>
      </c>
      <c r="F1030" t="e">
        <f t="shared" si="67"/>
        <v>#N/A</v>
      </c>
      <c r="G1030" s="74">
        <v>32185</v>
      </c>
      <c r="H1030" s="77">
        <v>0.16666666666666666</v>
      </c>
      <c r="J1030">
        <v>33.08</v>
      </c>
      <c r="M1030" s="74">
        <v>38029</v>
      </c>
      <c r="N1030" s="77">
        <v>0.16666666666666666</v>
      </c>
      <c r="P1030">
        <v>19.399999999999999</v>
      </c>
      <c r="S1030" s="74">
        <v>34742</v>
      </c>
      <c r="T1030" s="77">
        <v>0.16666666666666666</v>
      </c>
      <c r="V1030">
        <v>24.08</v>
      </c>
      <c r="X1030" s="42"/>
      <c r="AB1030">
        <v>30.9</v>
      </c>
      <c r="AC1030">
        <v>26.060000000000002</v>
      </c>
      <c r="AE1030" s="74"/>
      <c r="AF1030" s="77"/>
      <c r="AH1030" s="497">
        <v>28.94</v>
      </c>
      <c r="AJ1030" s="42"/>
      <c r="AK1030" s="74"/>
      <c r="AL1030" s="77"/>
      <c r="AN1030" s="497">
        <v>14</v>
      </c>
      <c r="AP1030" s="42"/>
      <c r="AQ1030" s="74"/>
      <c r="AR1030" s="77"/>
      <c r="AT1030" s="497">
        <v>21.02</v>
      </c>
      <c r="AV1030" s="42"/>
      <c r="AW1030" s="74"/>
      <c r="AX1030" s="77"/>
      <c r="BA1030" s="497">
        <v>17.96</v>
      </c>
      <c r="BB1030" s="42"/>
      <c r="BC1030" s="74"/>
      <c r="BD1030" s="77"/>
      <c r="BF1030">
        <v>33.08</v>
      </c>
      <c r="BH1030" s="42"/>
      <c r="BI1030" s="74"/>
      <c r="BJ1030" s="77"/>
      <c r="BL1030" s="497">
        <v>28.94</v>
      </c>
      <c r="BN1030" s="42"/>
      <c r="BO1030" s="74"/>
      <c r="BP1030" s="77"/>
      <c r="BR1030" s="497">
        <v>12.920000000000002</v>
      </c>
      <c r="BT1030" s="42"/>
    </row>
    <row r="1031" spans="1:72" x14ac:dyDescent="0.25">
      <c r="A1031" s="90">
        <v>34742</v>
      </c>
      <c r="B1031" s="20">
        <v>0.20833333333333334</v>
      </c>
      <c r="D1031">
        <v>19.939999999999998</v>
      </c>
      <c r="E1031" t="str">
        <f t="shared" si="66"/>
        <v>SUNDAY</v>
      </c>
      <c r="F1031" t="e">
        <f t="shared" si="67"/>
        <v>#N/A</v>
      </c>
      <c r="G1031" s="74">
        <v>32185</v>
      </c>
      <c r="H1031" s="77">
        <v>0.20833333333333334</v>
      </c>
      <c r="J1031">
        <v>33.979999999999997</v>
      </c>
      <c r="M1031" s="74">
        <v>38029</v>
      </c>
      <c r="N1031" s="77">
        <v>0.20833333333333334</v>
      </c>
      <c r="P1031">
        <v>19.399999999999999</v>
      </c>
      <c r="S1031" s="74">
        <v>34742</v>
      </c>
      <c r="T1031" s="77">
        <v>0.20833333333333334</v>
      </c>
      <c r="V1031">
        <v>21.02</v>
      </c>
      <c r="X1031" s="42"/>
      <c r="AB1031">
        <v>30.5</v>
      </c>
      <c r="AC1031">
        <v>26.060000000000002</v>
      </c>
      <c r="AE1031" s="74"/>
      <c r="AF1031" s="77"/>
      <c r="AH1031" s="497">
        <v>26.96</v>
      </c>
      <c r="AJ1031" s="42"/>
      <c r="AK1031" s="74"/>
      <c r="AL1031" s="77"/>
      <c r="AN1031" s="497">
        <v>12.920000000000002</v>
      </c>
      <c r="AP1031" s="42"/>
      <c r="AQ1031" s="74"/>
      <c r="AR1031" s="77"/>
      <c r="AT1031" s="497">
        <v>24.08</v>
      </c>
      <c r="AV1031" s="42"/>
      <c r="AW1031" s="74"/>
      <c r="AX1031" s="77"/>
      <c r="BA1031" s="497">
        <v>17.96</v>
      </c>
      <c r="BB1031" s="42"/>
      <c r="BC1031" s="74"/>
      <c r="BD1031" s="77"/>
      <c r="BF1031">
        <v>33.08</v>
      </c>
      <c r="BH1031" s="42"/>
      <c r="BI1031" s="74"/>
      <c r="BJ1031" s="77"/>
      <c r="BL1031" s="497">
        <v>30.02</v>
      </c>
      <c r="BN1031" s="42"/>
      <c r="BO1031" s="74"/>
      <c r="BP1031" s="77"/>
      <c r="BR1031" s="497">
        <v>15.079999999999998</v>
      </c>
      <c r="BT1031" s="42"/>
    </row>
    <row r="1032" spans="1:72" x14ac:dyDescent="0.25">
      <c r="A1032" s="90">
        <v>34742</v>
      </c>
      <c r="B1032" s="20">
        <v>0.25</v>
      </c>
      <c r="D1032">
        <v>17.059999999999999</v>
      </c>
      <c r="E1032" t="str">
        <f t="shared" si="66"/>
        <v>SUNDAY</v>
      </c>
      <c r="F1032" t="e">
        <f t="shared" si="67"/>
        <v>#N/A</v>
      </c>
      <c r="G1032" s="74">
        <v>32185</v>
      </c>
      <c r="H1032" s="77">
        <v>0.25</v>
      </c>
      <c r="J1032">
        <v>33.979999999999997</v>
      </c>
      <c r="M1032" s="74">
        <v>38029</v>
      </c>
      <c r="N1032" s="77">
        <v>0.25</v>
      </c>
      <c r="P1032">
        <v>19.399999999999999</v>
      </c>
      <c r="S1032" s="74">
        <v>34742</v>
      </c>
      <c r="T1032" s="77">
        <v>0.25</v>
      </c>
      <c r="V1032">
        <v>17.059999999999999</v>
      </c>
      <c r="X1032" s="42"/>
      <c r="AB1032">
        <v>30.3</v>
      </c>
      <c r="AC1032">
        <v>24.98</v>
      </c>
      <c r="AE1032" s="74"/>
      <c r="AF1032" s="77"/>
      <c r="AH1032" s="497">
        <v>24.98</v>
      </c>
      <c r="AJ1032" s="42"/>
      <c r="AK1032" s="74"/>
      <c r="AL1032" s="77"/>
      <c r="AN1032" s="497">
        <v>12.920000000000002</v>
      </c>
      <c r="AP1032" s="42"/>
      <c r="AQ1032" s="74"/>
      <c r="AR1032" s="77"/>
      <c r="AT1032" s="497">
        <v>24.08</v>
      </c>
      <c r="AV1032" s="42"/>
      <c r="AW1032" s="74"/>
      <c r="AX1032" s="77"/>
      <c r="BA1032" s="497">
        <v>17.059999999999999</v>
      </c>
      <c r="BB1032" s="42"/>
      <c r="BC1032" s="74"/>
      <c r="BD1032" s="77"/>
      <c r="BF1032">
        <v>33.08</v>
      </c>
      <c r="BH1032" s="42"/>
      <c r="BI1032" s="74"/>
      <c r="BJ1032" s="77"/>
      <c r="BL1032" s="497">
        <v>30.02</v>
      </c>
      <c r="BN1032" s="42"/>
      <c r="BO1032" s="74"/>
      <c r="BP1032" s="77"/>
      <c r="BR1032" s="497">
        <v>15.98</v>
      </c>
      <c r="BT1032" s="42"/>
    </row>
    <row r="1033" spans="1:72" x14ac:dyDescent="0.25">
      <c r="A1033" s="90">
        <v>34742</v>
      </c>
      <c r="B1033" s="20">
        <v>0.29166666666666669</v>
      </c>
      <c r="D1033">
        <v>12.920000000000002</v>
      </c>
      <c r="E1033" t="str">
        <f t="shared" si="66"/>
        <v>SUNDAY</v>
      </c>
      <c r="F1033" t="e">
        <f t="shared" si="67"/>
        <v>#N/A</v>
      </c>
      <c r="G1033" s="74">
        <v>32185</v>
      </c>
      <c r="H1033" s="77">
        <v>0.29166666666666669</v>
      </c>
      <c r="J1033">
        <v>35.06</v>
      </c>
      <c r="M1033" s="74">
        <v>38029</v>
      </c>
      <c r="N1033" s="77">
        <v>0.29166666666666669</v>
      </c>
      <c r="P1033">
        <v>19.399999999999999</v>
      </c>
      <c r="S1033" s="74">
        <v>34742</v>
      </c>
      <c r="T1033" s="77">
        <v>0.29166666666666669</v>
      </c>
      <c r="V1033">
        <v>14</v>
      </c>
      <c r="X1033" s="42"/>
      <c r="AB1033">
        <v>30.2</v>
      </c>
      <c r="AC1033">
        <v>24.08</v>
      </c>
      <c r="AE1033" s="74"/>
      <c r="AF1033" s="77"/>
      <c r="AH1033" s="497">
        <v>23.9</v>
      </c>
      <c r="AJ1033" s="42"/>
      <c r="AK1033" s="74"/>
      <c r="AL1033" s="77"/>
      <c r="AN1033" s="497">
        <v>12.920000000000002</v>
      </c>
      <c r="AP1033" s="42"/>
      <c r="AQ1033" s="74"/>
      <c r="AR1033" s="77"/>
      <c r="AT1033" s="497">
        <v>24.98</v>
      </c>
      <c r="AV1033" s="42"/>
      <c r="AW1033" s="74"/>
      <c r="AX1033" s="77"/>
      <c r="BA1033" s="497">
        <v>19.04</v>
      </c>
      <c r="BB1033" s="42"/>
      <c r="BC1033" s="74"/>
      <c r="BD1033" s="77"/>
      <c r="BF1033">
        <v>32</v>
      </c>
      <c r="BH1033" s="42"/>
      <c r="BI1033" s="74"/>
      <c r="BJ1033" s="77"/>
      <c r="BL1033" s="497">
        <v>30.02</v>
      </c>
      <c r="BN1033" s="42"/>
      <c r="BO1033" s="74"/>
      <c r="BP1033" s="77"/>
      <c r="BR1033" s="497">
        <v>19.04</v>
      </c>
      <c r="BT1033" s="42"/>
    </row>
    <row r="1034" spans="1:72" x14ac:dyDescent="0.25">
      <c r="A1034" s="90">
        <v>34742</v>
      </c>
      <c r="B1034" s="20">
        <v>0.33333333333333331</v>
      </c>
      <c r="D1034">
        <v>10.940000000000001</v>
      </c>
      <c r="E1034" t="str">
        <f t="shared" si="66"/>
        <v>SUNDAY</v>
      </c>
      <c r="F1034" t="e">
        <f t="shared" si="67"/>
        <v>#N/A</v>
      </c>
      <c r="G1034" s="74">
        <v>32185</v>
      </c>
      <c r="H1034" s="77">
        <v>0.33333333333333331</v>
      </c>
      <c r="J1034">
        <v>35.06</v>
      </c>
      <c r="M1034" s="74">
        <v>38029</v>
      </c>
      <c r="N1034" s="77">
        <v>0.33333333333333331</v>
      </c>
      <c r="P1034">
        <v>21.2</v>
      </c>
      <c r="S1034" s="74">
        <v>34742</v>
      </c>
      <c r="T1034" s="77">
        <v>0.33333333333333331</v>
      </c>
      <c r="V1034">
        <v>12.920000000000002</v>
      </c>
      <c r="X1034" s="42"/>
      <c r="AB1034">
        <v>30.1</v>
      </c>
      <c r="AC1034">
        <v>24.98</v>
      </c>
      <c r="AE1034" s="74"/>
      <c r="AF1034" s="77"/>
      <c r="AH1034" s="497">
        <v>21.92</v>
      </c>
      <c r="AJ1034" s="42"/>
      <c r="AK1034" s="74"/>
      <c r="AL1034" s="77"/>
      <c r="AN1034" s="497">
        <v>12.920000000000002</v>
      </c>
      <c r="AP1034" s="42"/>
      <c r="AQ1034" s="74"/>
      <c r="AR1034" s="77"/>
      <c r="AT1034" s="497">
        <v>26.96</v>
      </c>
      <c r="AV1034" s="42"/>
      <c r="AW1034" s="74"/>
      <c r="AX1034" s="77"/>
      <c r="BA1034" s="497">
        <v>19.939999999999998</v>
      </c>
      <c r="BB1034" s="42"/>
      <c r="BC1034" s="74"/>
      <c r="BD1034" s="77"/>
      <c r="BF1034">
        <v>32</v>
      </c>
      <c r="BH1034" s="42"/>
      <c r="BI1034" s="74"/>
      <c r="BJ1034" s="77"/>
      <c r="BL1034" s="497">
        <v>30.02</v>
      </c>
      <c r="BN1034" s="42"/>
      <c r="BO1034" s="74"/>
      <c r="BP1034" s="77"/>
      <c r="BR1034" s="497">
        <v>21.02</v>
      </c>
      <c r="BT1034" s="42"/>
    </row>
    <row r="1035" spans="1:72" x14ac:dyDescent="0.25">
      <c r="A1035" s="90">
        <v>34742</v>
      </c>
      <c r="B1035" s="20">
        <v>0.375</v>
      </c>
      <c r="D1035">
        <v>10.940000000000001</v>
      </c>
      <c r="E1035" t="str">
        <f t="shared" si="66"/>
        <v>SUNDAY</v>
      </c>
      <c r="F1035" t="e">
        <f t="shared" si="67"/>
        <v>#N/A</v>
      </c>
      <c r="G1035" s="74">
        <v>32185</v>
      </c>
      <c r="H1035" s="77">
        <v>0.375</v>
      </c>
      <c r="J1035">
        <v>35.06</v>
      </c>
      <c r="M1035" s="74">
        <v>38029</v>
      </c>
      <c r="N1035" s="77">
        <v>0.375</v>
      </c>
      <c r="P1035">
        <v>24.8</v>
      </c>
      <c r="S1035" s="74">
        <v>34742</v>
      </c>
      <c r="T1035" s="77">
        <v>0.375</v>
      </c>
      <c r="V1035">
        <v>14</v>
      </c>
      <c r="X1035" s="42"/>
      <c r="AB1035">
        <v>31.1</v>
      </c>
      <c r="AC1035">
        <v>26.060000000000002</v>
      </c>
      <c r="AE1035" s="74"/>
      <c r="AF1035" s="77"/>
      <c r="AH1035" s="497">
        <v>23.9</v>
      </c>
      <c r="AJ1035" s="42"/>
      <c r="AK1035" s="74"/>
      <c r="AL1035" s="77"/>
      <c r="AN1035" s="497">
        <v>15.98</v>
      </c>
      <c r="AP1035" s="42"/>
      <c r="AQ1035" s="74"/>
      <c r="AR1035" s="77"/>
      <c r="AT1035" s="497">
        <v>28.04</v>
      </c>
      <c r="AV1035" s="42"/>
      <c r="AW1035" s="74"/>
      <c r="AX1035" s="77"/>
      <c r="BA1035" s="497">
        <v>19.939999999999998</v>
      </c>
      <c r="BB1035" s="42"/>
      <c r="BC1035" s="74"/>
      <c r="BD1035" s="77"/>
      <c r="BF1035">
        <v>33.08</v>
      </c>
      <c r="BH1035" s="42"/>
      <c r="BI1035" s="74"/>
      <c r="BJ1035" s="77"/>
      <c r="BL1035" s="497">
        <v>32</v>
      </c>
      <c r="BN1035" s="42"/>
      <c r="BO1035" s="74"/>
      <c r="BP1035" s="77"/>
      <c r="BR1035" s="497">
        <v>23</v>
      </c>
      <c r="BT1035" s="42"/>
    </row>
    <row r="1036" spans="1:72" x14ac:dyDescent="0.25">
      <c r="A1036" s="90">
        <v>34742</v>
      </c>
      <c r="B1036" s="20">
        <v>0.41666666666666669</v>
      </c>
      <c r="D1036">
        <v>12.02</v>
      </c>
      <c r="E1036" t="str">
        <f t="shared" si="66"/>
        <v>SUNDAY</v>
      </c>
      <c r="F1036" t="e">
        <f t="shared" si="67"/>
        <v>#N/A</v>
      </c>
      <c r="G1036" s="74">
        <v>32185</v>
      </c>
      <c r="H1036" s="77">
        <v>0.41666666666666669</v>
      </c>
      <c r="J1036">
        <v>35.06</v>
      </c>
      <c r="M1036" s="74">
        <v>38029</v>
      </c>
      <c r="N1036" s="77">
        <v>0.41666666666666669</v>
      </c>
      <c r="P1036">
        <v>26.6</v>
      </c>
      <c r="S1036" s="74">
        <v>34742</v>
      </c>
      <c r="T1036" s="77">
        <v>0.41666666666666669</v>
      </c>
      <c r="V1036">
        <v>15.079999999999998</v>
      </c>
      <c r="X1036" s="42"/>
      <c r="AB1036">
        <v>32.700000000000003</v>
      </c>
      <c r="AC1036">
        <v>26.96</v>
      </c>
      <c r="AE1036" s="74"/>
      <c r="AF1036" s="77"/>
      <c r="AH1036" s="497">
        <v>23.9</v>
      </c>
      <c r="AJ1036" s="42"/>
      <c r="AK1036" s="74"/>
      <c r="AL1036" s="77"/>
      <c r="AN1036" s="497">
        <v>17.059999999999999</v>
      </c>
      <c r="AP1036" s="42"/>
      <c r="AQ1036" s="74"/>
      <c r="AR1036" s="77"/>
      <c r="AT1036" s="497">
        <v>28.94</v>
      </c>
      <c r="AV1036" s="42"/>
      <c r="AW1036" s="74"/>
      <c r="AX1036" s="77"/>
      <c r="BA1036" s="497">
        <v>21.92</v>
      </c>
      <c r="BB1036" s="42"/>
      <c r="BC1036" s="74"/>
      <c r="BD1036" s="77"/>
      <c r="BF1036">
        <v>26.96</v>
      </c>
      <c r="BH1036" s="42"/>
      <c r="BI1036" s="74"/>
      <c r="BJ1036" s="77"/>
      <c r="BL1036" s="497">
        <v>32</v>
      </c>
      <c r="BN1036" s="42"/>
      <c r="BO1036" s="74"/>
      <c r="BP1036" s="77"/>
      <c r="BR1036" s="497">
        <v>24.98</v>
      </c>
      <c r="BT1036" s="42"/>
    </row>
    <row r="1037" spans="1:72" x14ac:dyDescent="0.25">
      <c r="A1037" s="90">
        <v>34742</v>
      </c>
      <c r="B1037" s="20">
        <v>0.45833333333333331</v>
      </c>
      <c r="D1037">
        <v>14</v>
      </c>
      <c r="E1037" t="str">
        <f t="shared" si="66"/>
        <v>SUNDAY</v>
      </c>
      <c r="F1037" t="e">
        <f t="shared" si="67"/>
        <v>#N/A</v>
      </c>
      <c r="G1037" s="74">
        <v>32185</v>
      </c>
      <c r="H1037" s="77">
        <v>0.45833333333333331</v>
      </c>
      <c r="J1037">
        <v>35.96</v>
      </c>
      <c r="M1037" s="74">
        <v>38029</v>
      </c>
      <c r="N1037" s="77">
        <v>0.45833333333333331</v>
      </c>
      <c r="P1037">
        <v>30.2</v>
      </c>
      <c r="S1037" s="74">
        <v>34742</v>
      </c>
      <c r="T1037" s="77">
        <v>0.45833333333333331</v>
      </c>
      <c r="V1037">
        <v>17.059999999999999</v>
      </c>
      <c r="X1037" s="42"/>
      <c r="AB1037">
        <v>34.1</v>
      </c>
      <c r="AC1037">
        <v>26.96</v>
      </c>
      <c r="AE1037" s="74"/>
      <c r="AF1037" s="77"/>
      <c r="AH1037" s="497">
        <v>23</v>
      </c>
      <c r="AJ1037" s="42"/>
      <c r="AK1037" s="74"/>
      <c r="AL1037" s="77"/>
      <c r="AN1037" s="497">
        <v>21.02</v>
      </c>
      <c r="AP1037" s="42"/>
      <c r="AQ1037" s="74"/>
      <c r="AR1037" s="77"/>
      <c r="AT1037" s="497">
        <v>30.02</v>
      </c>
      <c r="AV1037" s="42"/>
      <c r="AW1037" s="74"/>
      <c r="AX1037" s="77"/>
      <c r="BA1037" s="497">
        <v>21.92</v>
      </c>
      <c r="BB1037" s="42"/>
      <c r="BC1037" s="74"/>
      <c r="BD1037" s="77"/>
      <c r="BF1037">
        <v>24.98</v>
      </c>
      <c r="BH1037" s="42"/>
      <c r="BI1037" s="74"/>
      <c r="BJ1037" s="77"/>
      <c r="BL1037" s="497">
        <v>33.08</v>
      </c>
      <c r="BN1037" s="42"/>
      <c r="BO1037" s="74"/>
      <c r="BP1037" s="77"/>
      <c r="BR1037" s="497">
        <v>26.060000000000002</v>
      </c>
      <c r="BT1037" s="42"/>
    </row>
    <row r="1038" spans="1:72" x14ac:dyDescent="0.25">
      <c r="A1038" s="90">
        <v>34742</v>
      </c>
      <c r="B1038" s="20">
        <v>0.5</v>
      </c>
      <c r="D1038">
        <v>15.98</v>
      </c>
      <c r="E1038" t="str">
        <f t="shared" si="66"/>
        <v>SUNDAY</v>
      </c>
      <c r="F1038" t="e">
        <f t="shared" si="67"/>
        <v>#N/A</v>
      </c>
      <c r="G1038" s="74">
        <v>32185</v>
      </c>
      <c r="H1038" s="77">
        <v>0.5</v>
      </c>
      <c r="J1038">
        <v>37.04</v>
      </c>
      <c r="M1038" s="74">
        <v>38029</v>
      </c>
      <c r="N1038" s="77">
        <v>0.5</v>
      </c>
      <c r="P1038">
        <v>33.799999999999997</v>
      </c>
      <c r="S1038" s="74">
        <v>34742</v>
      </c>
      <c r="T1038" s="77">
        <v>0.5</v>
      </c>
      <c r="V1038">
        <v>19.04</v>
      </c>
      <c r="X1038" s="42"/>
      <c r="AB1038">
        <v>35.5</v>
      </c>
      <c r="AC1038">
        <v>26.96</v>
      </c>
      <c r="AE1038" s="74"/>
      <c r="AF1038" s="77"/>
      <c r="AH1038" s="497">
        <v>23</v>
      </c>
      <c r="AJ1038" s="42"/>
      <c r="AK1038" s="74"/>
      <c r="AL1038" s="77"/>
      <c r="AN1038" s="497">
        <v>21.92</v>
      </c>
      <c r="AP1038" s="42"/>
      <c r="AQ1038" s="74"/>
      <c r="AR1038" s="77"/>
      <c r="AT1038" s="497">
        <v>32</v>
      </c>
      <c r="AV1038" s="42"/>
      <c r="AW1038" s="74"/>
      <c r="AX1038" s="77"/>
      <c r="BA1038" s="497">
        <v>24.08</v>
      </c>
      <c r="BB1038" s="42"/>
      <c r="BC1038" s="74"/>
      <c r="BD1038" s="77"/>
      <c r="BF1038">
        <v>24.08</v>
      </c>
      <c r="BH1038" s="42"/>
      <c r="BI1038" s="74"/>
      <c r="BJ1038" s="77"/>
      <c r="BL1038" s="497">
        <v>32</v>
      </c>
      <c r="BN1038" s="42"/>
      <c r="BO1038" s="74"/>
      <c r="BP1038" s="77"/>
      <c r="BR1038" s="497">
        <v>26.060000000000002</v>
      </c>
      <c r="BT1038" s="42"/>
    </row>
    <row r="1039" spans="1:72" x14ac:dyDescent="0.25">
      <c r="A1039" s="90">
        <v>34742</v>
      </c>
      <c r="B1039" s="20">
        <v>0.54166666666666663</v>
      </c>
      <c r="D1039">
        <v>19.04</v>
      </c>
      <c r="E1039" t="str">
        <f t="shared" si="66"/>
        <v>SUNDAY</v>
      </c>
      <c r="F1039" t="e">
        <f t="shared" si="67"/>
        <v>#N/A</v>
      </c>
      <c r="G1039" s="74">
        <v>32185</v>
      </c>
      <c r="H1039" s="77">
        <v>0.54166666666666663</v>
      </c>
      <c r="J1039">
        <v>37.04</v>
      </c>
      <c r="M1039" s="74">
        <v>38029</v>
      </c>
      <c r="N1039" s="77">
        <v>0.54166666666666663</v>
      </c>
      <c r="P1039">
        <v>33.799999999999997</v>
      </c>
      <c r="S1039" s="74">
        <v>34742</v>
      </c>
      <c r="T1039" s="77">
        <v>0.54166666666666663</v>
      </c>
      <c r="V1039">
        <v>19.939999999999998</v>
      </c>
      <c r="X1039" s="42"/>
      <c r="AB1039">
        <v>36.5</v>
      </c>
      <c r="AC1039">
        <v>28.94</v>
      </c>
      <c r="AE1039" s="74"/>
      <c r="AF1039" s="77"/>
      <c r="AH1039" s="497">
        <v>23</v>
      </c>
      <c r="AJ1039" s="42"/>
      <c r="AK1039" s="74"/>
      <c r="AL1039" s="77"/>
      <c r="AN1039" s="497">
        <v>24.08</v>
      </c>
      <c r="AP1039" s="42"/>
      <c r="AQ1039" s="74"/>
      <c r="AR1039" s="77"/>
      <c r="AT1039" s="497">
        <v>33.08</v>
      </c>
      <c r="AV1039" s="42"/>
      <c r="AW1039" s="74"/>
      <c r="AX1039" s="77"/>
      <c r="BA1039" s="497">
        <v>24.98</v>
      </c>
      <c r="BB1039" s="42"/>
      <c r="BC1039" s="74"/>
      <c r="BD1039" s="77"/>
      <c r="BF1039">
        <v>23</v>
      </c>
      <c r="BH1039" s="42"/>
      <c r="BI1039" s="74"/>
      <c r="BJ1039" s="77"/>
      <c r="BL1039" s="497">
        <v>26.96</v>
      </c>
      <c r="BN1039" s="42"/>
      <c r="BO1039" s="74"/>
      <c r="BP1039" s="77"/>
      <c r="BR1039" s="497">
        <v>28.04</v>
      </c>
      <c r="BT1039" s="42"/>
    </row>
    <row r="1040" spans="1:72" x14ac:dyDescent="0.25">
      <c r="A1040" s="90">
        <v>34742</v>
      </c>
      <c r="B1040" s="20">
        <v>0.58333333333333337</v>
      </c>
      <c r="D1040">
        <v>19.939999999999998</v>
      </c>
      <c r="E1040" t="str">
        <f t="shared" si="66"/>
        <v>SUNDAY</v>
      </c>
      <c r="F1040" t="e">
        <f t="shared" si="67"/>
        <v>#N/A</v>
      </c>
      <c r="G1040" s="74">
        <v>32185</v>
      </c>
      <c r="H1040" s="77">
        <v>0.58333333333333337</v>
      </c>
      <c r="J1040">
        <v>37.04</v>
      </c>
      <c r="M1040" s="74">
        <v>38029</v>
      </c>
      <c r="N1040" s="77">
        <v>0.58333333333333337</v>
      </c>
      <c r="P1040">
        <v>35.6</v>
      </c>
      <c r="S1040" s="74">
        <v>34742</v>
      </c>
      <c r="T1040" s="77">
        <v>0.58333333333333337</v>
      </c>
      <c r="V1040">
        <v>21.92</v>
      </c>
      <c r="X1040" s="42"/>
      <c r="AB1040">
        <v>37.4</v>
      </c>
      <c r="AC1040">
        <v>28.94</v>
      </c>
      <c r="AE1040" s="74"/>
      <c r="AF1040" s="77"/>
      <c r="AH1040" s="497">
        <v>23</v>
      </c>
      <c r="AJ1040" s="42"/>
      <c r="AK1040" s="74"/>
      <c r="AL1040" s="77"/>
      <c r="AN1040" s="497">
        <v>24.08</v>
      </c>
      <c r="AP1040" s="42"/>
      <c r="AQ1040" s="74"/>
      <c r="AR1040" s="77"/>
      <c r="AT1040" s="497">
        <v>35.06</v>
      </c>
      <c r="AV1040" s="42"/>
      <c r="AW1040" s="74"/>
      <c r="AX1040" s="77"/>
      <c r="BA1040" s="497">
        <v>24.98</v>
      </c>
      <c r="BB1040" s="42"/>
      <c r="BC1040" s="74"/>
      <c r="BD1040" s="77"/>
      <c r="BF1040">
        <v>21.92</v>
      </c>
      <c r="BH1040" s="42"/>
      <c r="BI1040" s="74"/>
      <c r="BJ1040" s="77"/>
      <c r="BL1040" s="497">
        <v>26.060000000000002</v>
      </c>
      <c r="BN1040" s="42"/>
      <c r="BO1040" s="74"/>
      <c r="BP1040" s="77"/>
      <c r="BR1040" s="497">
        <v>26.96</v>
      </c>
      <c r="BT1040" s="42"/>
    </row>
    <row r="1041" spans="1:72" x14ac:dyDescent="0.25">
      <c r="A1041" s="90">
        <v>34742</v>
      </c>
      <c r="B1041" s="20">
        <v>0.625</v>
      </c>
      <c r="D1041">
        <v>19.939999999999998</v>
      </c>
      <c r="E1041" t="str">
        <f t="shared" si="66"/>
        <v>SUNDAY</v>
      </c>
      <c r="F1041" t="e">
        <f t="shared" si="67"/>
        <v>#N/A</v>
      </c>
      <c r="G1041" s="74">
        <v>32185</v>
      </c>
      <c r="H1041" s="77">
        <v>0.625</v>
      </c>
      <c r="J1041">
        <v>39.019999999999996</v>
      </c>
      <c r="M1041" s="74">
        <v>38029</v>
      </c>
      <c r="N1041" s="77">
        <v>0.625</v>
      </c>
      <c r="P1041">
        <v>35.6</v>
      </c>
      <c r="S1041" s="74">
        <v>34742</v>
      </c>
      <c r="T1041" s="77">
        <v>0.625</v>
      </c>
      <c r="V1041">
        <v>24.08</v>
      </c>
      <c r="X1041" s="42"/>
      <c r="AB1041">
        <v>38</v>
      </c>
      <c r="AC1041">
        <v>30.02</v>
      </c>
      <c r="AE1041" s="74"/>
      <c r="AF1041" s="77"/>
      <c r="AH1041" s="497">
        <v>20.84</v>
      </c>
      <c r="AJ1041" s="42"/>
      <c r="AK1041" s="74"/>
      <c r="AL1041" s="77"/>
      <c r="AN1041" s="497">
        <v>24.08</v>
      </c>
      <c r="AP1041" s="42"/>
      <c r="AQ1041" s="74"/>
      <c r="AR1041" s="77"/>
      <c r="AT1041" s="497">
        <v>35.06</v>
      </c>
      <c r="AV1041" s="42"/>
      <c r="AW1041" s="74"/>
      <c r="AX1041" s="77"/>
      <c r="BA1041" s="497">
        <v>26.060000000000002</v>
      </c>
      <c r="BB1041" s="42"/>
      <c r="BC1041" s="74"/>
      <c r="BD1041" s="77"/>
      <c r="BF1041">
        <v>21.02</v>
      </c>
      <c r="BH1041" s="42"/>
      <c r="BI1041" s="74"/>
      <c r="BJ1041" s="77"/>
      <c r="BL1041" s="497">
        <v>24.98</v>
      </c>
      <c r="BN1041" s="42"/>
      <c r="BO1041" s="74"/>
      <c r="BP1041" s="77"/>
      <c r="BR1041" s="497">
        <v>26.96</v>
      </c>
      <c r="BT1041" s="42"/>
    </row>
    <row r="1042" spans="1:72" x14ac:dyDescent="0.25">
      <c r="A1042" s="90">
        <v>34742</v>
      </c>
      <c r="B1042" s="20">
        <v>0.66666666666666663</v>
      </c>
      <c r="D1042">
        <v>21.92</v>
      </c>
      <c r="E1042" t="str">
        <f t="shared" si="66"/>
        <v>SUNDAY</v>
      </c>
      <c r="F1042" t="e">
        <f t="shared" si="67"/>
        <v>#N/A</v>
      </c>
      <c r="G1042" s="74">
        <v>32185</v>
      </c>
      <c r="H1042" s="77">
        <v>0.66666666666666663</v>
      </c>
      <c r="J1042">
        <v>37.94</v>
      </c>
      <c r="M1042" s="74">
        <v>38029</v>
      </c>
      <c r="N1042" s="77">
        <v>0.66666666666666663</v>
      </c>
      <c r="P1042">
        <v>37.4</v>
      </c>
      <c r="S1042" s="74">
        <v>34742</v>
      </c>
      <c r="T1042" s="77">
        <v>0.66666666666666663</v>
      </c>
      <c r="V1042">
        <v>24.98</v>
      </c>
      <c r="X1042" s="42"/>
      <c r="AB1042">
        <v>38.200000000000003</v>
      </c>
      <c r="AC1042">
        <v>28.94</v>
      </c>
      <c r="AE1042" s="74"/>
      <c r="AF1042" s="77"/>
      <c r="AH1042" s="497">
        <v>20.84</v>
      </c>
      <c r="AJ1042" s="42"/>
      <c r="AK1042" s="74"/>
      <c r="AL1042" s="77"/>
      <c r="AN1042" s="497">
        <v>21.92</v>
      </c>
      <c r="AP1042" s="42"/>
      <c r="AQ1042" s="74"/>
      <c r="AR1042" s="77"/>
      <c r="AT1042" s="497">
        <v>33.08</v>
      </c>
      <c r="AV1042" s="42"/>
      <c r="AW1042" s="74"/>
      <c r="AX1042" s="77"/>
      <c r="BA1042" s="497">
        <v>24.98</v>
      </c>
      <c r="BB1042" s="42"/>
      <c r="BC1042" s="74"/>
      <c r="BD1042" s="77"/>
      <c r="BF1042">
        <v>19.939999999999998</v>
      </c>
      <c r="BH1042" s="42"/>
      <c r="BI1042" s="74"/>
      <c r="BJ1042" s="77"/>
      <c r="BL1042" s="497">
        <v>24.08</v>
      </c>
      <c r="BN1042" s="42"/>
      <c r="BO1042" s="74"/>
      <c r="BP1042" s="77"/>
      <c r="BR1042" s="497">
        <v>26.96</v>
      </c>
      <c r="BT1042" s="42"/>
    </row>
    <row r="1043" spans="1:72" x14ac:dyDescent="0.25">
      <c r="A1043" s="90">
        <v>34742</v>
      </c>
      <c r="B1043" s="20">
        <v>0.70833333333333337</v>
      </c>
      <c r="D1043">
        <v>23</v>
      </c>
      <c r="E1043" t="str">
        <f t="shared" ref="E1043:E1106" si="68">IF(COUNTIF($DI$18:$DI$22, WEEKDAY(A1043))=1, "WEEKDAY", IF(WEEKDAY(A1043) = 1, "SUNDAY", "SATURDAY"))</f>
        <v>SUNDAY</v>
      </c>
      <c r="F1043" t="e">
        <f t="shared" si="67"/>
        <v>#N/A</v>
      </c>
      <c r="G1043" s="74">
        <v>32185</v>
      </c>
      <c r="H1043" s="77">
        <v>0.70833333333333337</v>
      </c>
      <c r="J1043">
        <v>37.04</v>
      </c>
      <c r="M1043" s="74">
        <v>38029</v>
      </c>
      <c r="N1043" s="77">
        <v>0.70833333333333337</v>
      </c>
      <c r="P1043">
        <v>35.6</v>
      </c>
      <c r="S1043" s="74">
        <v>34742</v>
      </c>
      <c r="T1043" s="77">
        <v>0.70833333333333337</v>
      </c>
      <c r="V1043">
        <v>24.08</v>
      </c>
      <c r="X1043" s="42"/>
      <c r="AB1043">
        <v>37.799999999999997</v>
      </c>
      <c r="AC1043">
        <v>28.94</v>
      </c>
      <c r="AE1043" s="74"/>
      <c r="AF1043" s="77"/>
      <c r="AH1043" s="497">
        <v>16.88</v>
      </c>
      <c r="AJ1043" s="42"/>
      <c r="AK1043" s="74"/>
      <c r="AL1043" s="77"/>
      <c r="AN1043" s="497">
        <v>21.92</v>
      </c>
      <c r="AP1043" s="42"/>
      <c r="AQ1043" s="74"/>
      <c r="AR1043" s="77"/>
      <c r="AT1043" s="497">
        <v>30.92</v>
      </c>
      <c r="AV1043" s="42"/>
      <c r="AW1043" s="74"/>
      <c r="AX1043" s="77"/>
      <c r="BA1043" s="497">
        <v>24.08</v>
      </c>
      <c r="BB1043" s="42"/>
      <c r="BC1043" s="74"/>
      <c r="BD1043" s="77"/>
      <c r="BF1043">
        <v>19.939999999999998</v>
      </c>
      <c r="BH1043" s="42"/>
      <c r="BI1043" s="74"/>
      <c r="BJ1043" s="77"/>
      <c r="BL1043" s="497">
        <v>21.92</v>
      </c>
      <c r="BN1043" s="42"/>
      <c r="BO1043" s="74"/>
      <c r="BP1043" s="77"/>
      <c r="BR1043" s="497">
        <v>24.98</v>
      </c>
      <c r="BT1043" s="42"/>
    </row>
    <row r="1044" spans="1:72" x14ac:dyDescent="0.25">
      <c r="A1044" s="90">
        <v>34742</v>
      </c>
      <c r="B1044" s="20">
        <v>0.75</v>
      </c>
      <c r="D1044">
        <v>21.92</v>
      </c>
      <c r="E1044" t="str">
        <f t="shared" si="68"/>
        <v>SUNDAY</v>
      </c>
      <c r="F1044" t="e">
        <f t="shared" si="67"/>
        <v>#N/A</v>
      </c>
      <c r="G1044" s="74">
        <v>32185</v>
      </c>
      <c r="H1044" s="77">
        <v>0.75</v>
      </c>
      <c r="J1044">
        <v>37.04</v>
      </c>
      <c r="M1044" s="74">
        <v>38029</v>
      </c>
      <c r="N1044" s="77">
        <v>0.75</v>
      </c>
      <c r="P1044">
        <v>35.6</v>
      </c>
      <c r="S1044" s="74">
        <v>34742</v>
      </c>
      <c r="T1044" s="77">
        <v>0.75</v>
      </c>
      <c r="V1044">
        <v>21.92</v>
      </c>
      <c r="X1044" s="42"/>
      <c r="AB1044">
        <v>36.799999999999997</v>
      </c>
      <c r="AC1044">
        <v>26.96</v>
      </c>
      <c r="AE1044" s="74"/>
      <c r="AF1044" s="77"/>
      <c r="AH1044" s="497">
        <v>15.98</v>
      </c>
      <c r="AJ1044" s="42"/>
      <c r="AK1044" s="74"/>
      <c r="AL1044" s="77"/>
      <c r="AN1044" s="497">
        <v>21.02</v>
      </c>
      <c r="AP1044" s="42"/>
      <c r="AQ1044" s="74"/>
      <c r="AR1044" s="77"/>
      <c r="AT1044" s="497">
        <v>30.92</v>
      </c>
      <c r="AV1044" s="42"/>
      <c r="AW1044" s="74"/>
      <c r="AX1044" s="77"/>
      <c r="BA1044" s="497">
        <v>21.92</v>
      </c>
      <c r="BB1044" s="42"/>
      <c r="BC1044" s="74"/>
      <c r="BD1044" s="77"/>
      <c r="BF1044">
        <v>19.04</v>
      </c>
      <c r="BH1044" s="42"/>
      <c r="BI1044" s="74"/>
      <c r="BJ1044" s="77"/>
      <c r="BL1044" s="497">
        <v>19.939999999999998</v>
      </c>
      <c r="BN1044" s="42"/>
      <c r="BO1044" s="74"/>
      <c r="BP1044" s="77"/>
      <c r="BR1044" s="497">
        <v>21.02</v>
      </c>
      <c r="BT1044" s="42"/>
    </row>
    <row r="1045" spans="1:72" x14ac:dyDescent="0.25">
      <c r="A1045" s="90">
        <v>34742</v>
      </c>
      <c r="B1045" s="20">
        <v>0.79166666666666663</v>
      </c>
      <c r="D1045">
        <v>21.02</v>
      </c>
      <c r="E1045" t="str">
        <f t="shared" si="68"/>
        <v>SUNDAY</v>
      </c>
      <c r="F1045" t="e">
        <f t="shared" si="67"/>
        <v>#N/A</v>
      </c>
      <c r="G1045" s="74">
        <v>32185</v>
      </c>
      <c r="H1045" s="77">
        <v>0.79166666666666663</v>
      </c>
      <c r="J1045">
        <v>35.96</v>
      </c>
      <c r="M1045" s="74">
        <v>38029</v>
      </c>
      <c r="N1045" s="77">
        <v>0.79166666666666663</v>
      </c>
      <c r="P1045">
        <v>35.6</v>
      </c>
      <c r="S1045" s="74">
        <v>34742</v>
      </c>
      <c r="T1045" s="77">
        <v>0.79166666666666663</v>
      </c>
      <c r="V1045">
        <v>21.92</v>
      </c>
      <c r="X1045" s="42"/>
      <c r="AB1045">
        <v>35.700000000000003</v>
      </c>
      <c r="AC1045">
        <v>24.98</v>
      </c>
      <c r="AE1045" s="74"/>
      <c r="AF1045" s="77"/>
      <c r="AH1045" s="497">
        <v>14.899999999999999</v>
      </c>
      <c r="AJ1045" s="42"/>
      <c r="AK1045" s="74"/>
      <c r="AL1045" s="77"/>
      <c r="AN1045" s="497">
        <v>19.939999999999998</v>
      </c>
      <c r="AP1045" s="42"/>
      <c r="AQ1045" s="74"/>
      <c r="AR1045" s="77"/>
      <c r="AT1045" s="497">
        <v>30.92</v>
      </c>
      <c r="AV1045" s="42"/>
      <c r="AW1045" s="74"/>
      <c r="AX1045" s="77"/>
      <c r="BA1045" s="497">
        <v>21.92</v>
      </c>
      <c r="BB1045" s="42"/>
      <c r="BC1045" s="74"/>
      <c r="BD1045" s="77"/>
      <c r="BF1045">
        <v>15.98</v>
      </c>
      <c r="BH1045" s="42"/>
      <c r="BI1045" s="74"/>
      <c r="BJ1045" s="77"/>
      <c r="BL1045" s="497">
        <v>19.04</v>
      </c>
      <c r="BN1045" s="42"/>
      <c r="BO1045" s="74"/>
      <c r="BP1045" s="77"/>
      <c r="BR1045" s="497">
        <v>21.02</v>
      </c>
      <c r="BT1045" s="42"/>
    </row>
    <row r="1046" spans="1:72" x14ac:dyDescent="0.25">
      <c r="A1046" s="90">
        <v>34742</v>
      </c>
      <c r="B1046" s="20">
        <v>0.83333333333333337</v>
      </c>
      <c r="D1046">
        <v>19.939999999999998</v>
      </c>
      <c r="E1046" t="str">
        <f t="shared" si="68"/>
        <v>SUNDAY</v>
      </c>
      <c r="F1046" t="e">
        <f t="shared" si="67"/>
        <v>#N/A</v>
      </c>
      <c r="G1046" s="74">
        <v>32185</v>
      </c>
      <c r="H1046" s="77">
        <v>0.83333333333333337</v>
      </c>
      <c r="J1046">
        <v>35.96</v>
      </c>
      <c r="M1046" s="74">
        <v>38029</v>
      </c>
      <c r="N1046" s="77">
        <v>0.83333333333333337</v>
      </c>
      <c r="P1046">
        <v>33.799999999999997</v>
      </c>
      <c r="S1046" s="74">
        <v>34742</v>
      </c>
      <c r="T1046" s="77">
        <v>0.83333333333333337</v>
      </c>
      <c r="V1046">
        <v>21.02</v>
      </c>
      <c r="X1046" s="42"/>
      <c r="AB1046">
        <v>35.200000000000003</v>
      </c>
      <c r="AC1046">
        <v>19.939999999999998</v>
      </c>
      <c r="AE1046" s="74"/>
      <c r="AF1046" s="77"/>
      <c r="AH1046" s="497">
        <v>14</v>
      </c>
      <c r="AJ1046" s="42"/>
      <c r="AK1046" s="74"/>
      <c r="AL1046" s="77"/>
      <c r="AN1046" s="497">
        <v>19.939999999999998</v>
      </c>
      <c r="AP1046" s="42"/>
      <c r="AQ1046" s="74"/>
      <c r="AR1046" s="77"/>
      <c r="AT1046" s="497">
        <v>30.92</v>
      </c>
      <c r="AV1046" s="42"/>
      <c r="AW1046" s="74"/>
      <c r="AX1046" s="77"/>
      <c r="BA1046" s="497">
        <v>21.02</v>
      </c>
      <c r="BB1046" s="42"/>
      <c r="BC1046" s="74"/>
      <c r="BD1046" s="77"/>
      <c r="BF1046">
        <v>14</v>
      </c>
      <c r="BH1046" s="42"/>
      <c r="BI1046" s="74"/>
      <c r="BJ1046" s="77"/>
      <c r="BL1046" s="497">
        <v>17.96</v>
      </c>
      <c r="BN1046" s="42"/>
      <c r="BO1046" s="74"/>
      <c r="BP1046" s="77"/>
      <c r="BR1046" s="497">
        <v>19.939999999999998</v>
      </c>
      <c r="BT1046" s="42"/>
    </row>
    <row r="1047" spans="1:72" x14ac:dyDescent="0.25">
      <c r="A1047" s="90">
        <v>34742</v>
      </c>
      <c r="B1047" s="20">
        <v>0.875</v>
      </c>
      <c r="D1047">
        <v>19.04</v>
      </c>
      <c r="E1047" t="str">
        <f t="shared" si="68"/>
        <v>SUNDAY</v>
      </c>
      <c r="F1047" t="e">
        <f t="shared" si="67"/>
        <v>#N/A</v>
      </c>
      <c r="G1047" s="74">
        <v>32185</v>
      </c>
      <c r="H1047" s="77">
        <v>0.875</v>
      </c>
      <c r="J1047">
        <v>35.96</v>
      </c>
      <c r="M1047" s="74">
        <v>38029</v>
      </c>
      <c r="N1047" s="77">
        <v>0.875</v>
      </c>
      <c r="P1047">
        <v>33.799999999999997</v>
      </c>
      <c r="S1047" s="74">
        <v>34742</v>
      </c>
      <c r="T1047" s="77">
        <v>0.875</v>
      </c>
      <c r="V1047">
        <v>19.939999999999998</v>
      </c>
      <c r="X1047" s="42"/>
      <c r="AB1047">
        <v>34.700000000000003</v>
      </c>
      <c r="AC1047">
        <v>19.04</v>
      </c>
      <c r="AE1047" s="74"/>
      <c r="AF1047" s="77"/>
      <c r="AH1047" s="497">
        <v>14</v>
      </c>
      <c r="AJ1047" s="42"/>
      <c r="AK1047" s="74"/>
      <c r="AL1047" s="77"/>
      <c r="AN1047" s="497">
        <v>19.939999999999998</v>
      </c>
      <c r="AP1047" s="42"/>
      <c r="AQ1047" s="74"/>
      <c r="AR1047" s="77"/>
      <c r="AT1047" s="497">
        <v>30.92</v>
      </c>
      <c r="AV1047" s="42"/>
      <c r="AW1047" s="74"/>
      <c r="AX1047" s="77"/>
      <c r="BA1047" s="497">
        <v>19.939999999999998</v>
      </c>
      <c r="BB1047" s="42"/>
      <c r="BC1047" s="74"/>
      <c r="BD1047" s="77"/>
      <c r="BF1047">
        <v>15.079999999999998</v>
      </c>
      <c r="BH1047" s="42"/>
      <c r="BI1047" s="74"/>
      <c r="BJ1047" s="77"/>
      <c r="BL1047" s="497">
        <v>14</v>
      </c>
      <c r="BN1047" s="42"/>
      <c r="BO1047" s="74"/>
      <c r="BP1047" s="77"/>
      <c r="BR1047" s="497">
        <v>19.939999999999998</v>
      </c>
      <c r="BT1047" s="42"/>
    </row>
    <row r="1048" spans="1:72" x14ac:dyDescent="0.25">
      <c r="A1048" s="90">
        <v>34742</v>
      </c>
      <c r="B1048" s="20">
        <v>0.91666666666666663</v>
      </c>
      <c r="D1048">
        <v>19.04</v>
      </c>
      <c r="E1048" t="str">
        <f t="shared" si="68"/>
        <v>SUNDAY</v>
      </c>
      <c r="F1048" t="e">
        <f t="shared" si="67"/>
        <v>#N/A</v>
      </c>
      <c r="G1048" s="74">
        <v>32185</v>
      </c>
      <c r="H1048" s="77">
        <v>0.91666666666666663</v>
      </c>
      <c r="J1048">
        <v>35.06</v>
      </c>
      <c r="M1048" s="74">
        <v>38029</v>
      </c>
      <c r="N1048" s="77">
        <v>0.91666666666666663</v>
      </c>
      <c r="P1048">
        <v>33.799999999999997</v>
      </c>
      <c r="S1048" s="74">
        <v>34742</v>
      </c>
      <c r="T1048" s="77">
        <v>0.91666666666666663</v>
      </c>
      <c r="V1048">
        <v>19.939999999999998</v>
      </c>
      <c r="X1048" s="42"/>
      <c r="AB1048">
        <v>34.1</v>
      </c>
      <c r="AC1048">
        <v>17.96</v>
      </c>
      <c r="AE1048" s="74"/>
      <c r="AF1048" s="77"/>
      <c r="AH1048" s="497">
        <v>10.940000000000001</v>
      </c>
      <c r="AJ1048" s="42"/>
      <c r="AK1048" s="74"/>
      <c r="AL1048" s="77"/>
      <c r="AN1048" s="497">
        <v>19.939999999999998</v>
      </c>
      <c r="AP1048" s="42"/>
      <c r="AQ1048" s="74"/>
      <c r="AR1048" s="77"/>
      <c r="AT1048" s="497">
        <v>26.060000000000002</v>
      </c>
      <c r="AV1048" s="42"/>
      <c r="AW1048" s="74"/>
      <c r="AX1048" s="77"/>
      <c r="BA1048" s="497">
        <v>19.939999999999998</v>
      </c>
      <c r="BB1048" s="42"/>
      <c r="BC1048" s="74"/>
      <c r="BD1048" s="77"/>
      <c r="BF1048">
        <v>17.059999999999999</v>
      </c>
      <c r="BH1048" s="42"/>
      <c r="BI1048" s="74"/>
      <c r="BJ1048" s="77"/>
      <c r="BL1048" s="497">
        <v>15.079999999999998</v>
      </c>
      <c r="BN1048" s="42"/>
      <c r="BO1048" s="74"/>
      <c r="BP1048" s="77"/>
      <c r="BR1048" s="497">
        <v>19.04</v>
      </c>
      <c r="BT1048" s="42"/>
    </row>
    <row r="1049" spans="1:72" x14ac:dyDescent="0.25">
      <c r="A1049" s="90">
        <v>34742</v>
      </c>
      <c r="B1049" s="20">
        <v>0.95833333333333337</v>
      </c>
      <c r="D1049">
        <v>17.96</v>
      </c>
      <c r="E1049" t="str">
        <f t="shared" si="68"/>
        <v>SUNDAY</v>
      </c>
      <c r="F1049" t="e">
        <f t="shared" si="67"/>
        <v>#N/A</v>
      </c>
      <c r="G1049" s="74">
        <v>32185</v>
      </c>
      <c r="H1049" s="77">
        <v>0.95833333333333337</v>
      </c>
      <c r="J1049">
        <v>30.92</v>
      </c>
      <c r="M1049" s="74">
        <v>38029</v>
      </c>
      <c r="N1049" s="77">
        <v>0.95833333333333337</v>
      </c>
      <c r="P1049">
        <v>33.799999999999997</v>
      </c>
      <c r="S1049" s="74">
        <v>34742</v>
      </c>
      <c r="T1049" s="77">
        <v>0.95833333333333337</v>
      </c>
      <c r="V1049">
        <v>19.04</v>
      </c>
      <c r="X1049" s="42"/>
      <c r="AB1049">
        <v>33.5</v>
      </c>
      <c r="AC1049">
        <v>17.059999999999999</v>
      </c>
      <c r="AE1049" s="74"/>
      <c r="AF1049" s="77"/>
      <c r="AH1049" s="497">
        <v>9.86</v>
      </c>
      <c r="AJ1049" s="42"/>
      <c r="AK1049" s="74"/>
      <c r="AL1049" s="77"/>
      <c r="AN1049" s="497">
        <v>19.939999999999998</v>
      </c>
      <c r="AP1049" s="42"/>
      <c r="AQ1049" s="74"/>
      <c r="AR1049" s="77"/>
      <c r="AT1049" s="497">
        <v>24.08</v>
      </c>
      <c r="AV1049" s="42"/>
      <c r="AW1049" s="74"/>
      <c r="AX1049" s="77"/>
      <c r="BA1049" s="497">
        <v>19.939999999999998</v>
      </c>
      <c r="BB1049" s="42"/>
      <c r="BC1049" s="74"/>
      <c r="BD1049" s="77"/>
      <c r="BF1049">
        <v>17.059999999999999</v>
      </c>
      <c r="BH1049" s="42"/>
      <c r="BI1049" s="74"/>
      <c r="BJ1049" s="77"/>
      <c r="BL1049" s="497">
        <v>14</v>
      </c>
      <c r="BN1049" s="42"/>
      <c r="BO1049" s="74"/>
      <c r="BP1049" s="77"/>
      <c r="BR1049" s="497">
        <v>19.04</v>
      </c>
      <c r="BT1049" s="42"/>
    </row>
    <row r="1050" spans="1:72" x14ac:dyDescent="0.25">
      <c r="A1050" s="90">
        <v>34742</v>
      </c>
      <c r="B1050" s="20">
        <v>1</v>
      </c>
      <c r="D1050">
        <v>17.96</v>
      </c>
      <c r="E1050" t="str">
        <f t="shared" si="68"/>
        <v>SUNDAY</v>
      </c>
      <c r="F1050" t="e">
        <f t="shared" si="67"/>
        <v>#N/A</v>
      </c>
      <c r="G1050" s="74">
        <v>32185</v>
      </c>
      <c r="H1050" s="77">
        <v>1</v>
      </c>
      <c r="J1050">
        <v>30.02</v>
      </c>
      <c r="M1050" s="74">
        <v>38029</v>
      </c>
      <c r="N1050" s="80">
        <v>1</v>
      </c>
      <c r="P1050">
        <v>32</v>
      </c>
      <c r="S1050" s="74">
        <v>34742</v>
      </c>
      <c r="T1050" s="80">
        <v>1</v>
      </c>
      <c r="V1050">
        <v>19.04</v>
      </c>
      <c r="X1050" s="42"/>
      <c r="AB1050">
        <v>33</v>
      </c>
      <c r="AC1050">
        <v>17.059999999999999</v>
      </c>
      <c r="AE1050" s="74"/>
      <c r="AF1050" s="80"/>
      <c r="AH1050" s="497">
        <v>9.86</v>
      </c>
      <c r="AJ1050" s="42"/>
      <c r="AK1050" s="74"/>
      <c r="AL1050" s="80"/>
      <c r="AN1050" s="497">
        <v>19.939999999999998</v>
      </c>
      <c r="AP1050" s="42"/>
      <c r="AQ1050" s="74"/>
      <c r="AR1050" s="80"/>
      <c r="AT1050" s="497">
        <v>21.92</v>
      </c>
      <c r="AV1050" s="42"/>
      <c r="AW1050" s="74"/>
      <c r="AX1050" s="80"/>
      <c r="BA1050" s="497">
        <v>19.04</v>
      </c>
      <c r="BB1050" s="42"/>
      <c r="BC1050" s="74"/>
      <c r="BD1050" s="80"/>
      <c r="BF1050">
        <v>15.98</v>
      </c>
      <c r="BH1050" s="42"/>
      <c r="BI1050" s="74"/>
      <c r="BJ1050" s="80"/>
      <c r="BL1050" s="497">
        <v>14</v>
      </c>
      <c r="BN1050" s="42"/>
      <c r="BO1050" s="74"/>
      <c r="BP1050" s="80"/>
      <c r="BR1050" s="497">
        <v>17.96</v>
      </c>
      <c r="BT1050" s="42"/>
    </row>
    <row r="1051" spans="1:72" x14ac:dyDescent="0.25">
      <c r="A1051" s="90">
        <v>34743</v>
      </c>
      <c r="B1051" s="20">
        <v>4.1666666666666664E-2</v>
      </c>
      <c r="D1051">
        <v>17.059999999999999</v>
      </c>
      <c r="E1051" t="str">
        <f t="shared" si="68"/>
        <v>WEEKDAY</v>
      </c>
      <c r="F1051" t="e">
        <f t="shared" si="67"/>
        <v>#N/A</v>
      </c>
      <c r="G1051" s="74">
        <v>32186</v>
      </c>
      <c r="H1051" s="77">
        <v>4.1666666666666664E-2</v>
      </c>
      <c r="J1051">
        <v>28.94</v>
      </c>
      <c r="M1051" s="74">
        <v>38030</v>
      </c>
      <c r="N1051" s="77">
        <v>4.1666666666666664E-2</v>
      </c>
      <c r="P1051">
        <v>32</v>
      </c>
      <c r="S1051" s="74">
        <v>34743</v>
      </c>
      <c r="T1051" s="77">
        <v>4.1666666666666664E-2</v>
      </c>
      <c r="V1051">
        <v>17.96</v>
      </c>
      <c r="X1051" s="42"/>
      <c r="AB1051">
        <v>32.5</v>
      </c>
      <c r="AC1051">
        <v>15.98</v>
      </c>
      <c r="AE1051" s="74"/>
      <c r="AF1051" s="77"/>
      <c r="AH1051" s="497">
        <v>8.9599999999999973</v>
      </c>
      <c r="AJ1051" s="42"/>
      <c r="AK1051" s="74"/>
      <c r="AL1051" s="77"/>
      <c r="AN1051" s="497">
        <v>19.04</v>
      </c>
      <c r="AP1051" s="42"/>
      <c r="AQ1051" s="74"/>
      <c r="AR1051" s="77"/>
      <c r="AT1051" s="497">
        <v>19.939999999999998</v>
      </c>
      <c r="AV1051" s="42"/>
      <c r="AW1051" s="74"/>
      <c r="AX1051" s="77"/>
      <c r="BA1051" s="497">
        <v>19.04</v>
      </c>
      <c r="BB1051" s="42"/>
      <c r="BC1051" s="74"/>
      <c r="BD1051" s="77"/>
      <c r="BF1051">
        <v>15.98</v>
      </c>
      <c r="BH1051" s="42"/>
      <c r="BI1051" s="74"/>
      <c r="BJ1051" s="77"/>
      <c r="BL1051" s="497">
        <v>15.079999999999998</v>
      </c>
      <c r="BN1051" s="42"/>
      <c r="BO1051" s="74"/>
      <c r="BP1051" s="77"/>
      <c r="BR1051" s="497">
        <v>17.059999999999999</v>
      </c>
      <c r="BT1051" s="42"/>
    </row>
    <row r="1052" spans="1:72" x14ac:dyDescent="0.25">
      <c r="A1052" s="90">
        <v>34743</v>
      </c>
      <c r="B1052" s="20">
        <v>8.3333333333333329E-2</v>
      </c>
      <c r="D1052">
        <v>17.059999999999999</v>
      </c>
      <c r="E1052" t="str">
        <f t="shared" si="68"/>
        <v>WEEKDAY</v>
      </c>
      <c r="F1052" t="e">
        <f t="shared" si="67"/>
        <v>#N/A</v>
      </c>
      <c r="G1052" s="74">
        <v>32186</v>
      </c>
      <c r="H1052" s="77">
        <v>8.3333333333333329E-2</v>
      </c>
      <c r="J1052">
        <v>24.98</v>
      </c>
      <c r="M1052" s="74">
        <v>38030</v>
      </c>
      <c r="N1052" s="77">
        <v>8.3333333333333329E-2</v>
      </c>
      <c r="P1052">
        <v>32</v>
      </c>
      <c r="S1052" s="74">
        <v>34743</v>
      </c>
      <c r="T1052" s="77">
        <v>8.3333333333333329E-2</v>
      </c>
      <c r="V1052">
        <v>17.96</v>
      </c>
      <c r="X1052" s="42"/>
      <c r="AB1052">
        <v>32</v>
      </c>
      <c r="AC1052">
        <v>15.079999999999998</v>
      </c>
      <c r="AE1052" s="74"/>
      <c r="AF1052" s="77"/>
      <c r="AH1052" s="497">
        <v>8.9599999999999973</v>
      </c>
      <c r="AJ1052" s="42"/>
      <c r="AK1052" s="74"/>
      <c r="AL1052" s="77"/>
      <c r="AN1052" s="497">
        <v>19.04</v>
      </c>
      <c r="AP1052" s="42"/>
      <c r="AQ1052" s="74"/>
      <c r="AR1052" s="77"/>
      <c r="AT1052" s="497">
        <v>19.939999999999998</v>
      </c>
      <c r="AV1052" s="42"/>
      <c r="AW1052" s="74"/>
      <c r="AX1052" s="77"/>
      <c r="BA1052" s="497">
        <v>19.04</v>
      </c>
      <c r="BB1052" s="42"/>
      <c r="BC1052" s="74"/>
      <c r="BD1052" s="77"/>
      <c r="BF1052">
        <v>15.98</v>
      </c>
      <c r="BH1052" s="42"/>
      <c r="BI1052" s="74"/>
      <c r="BJ1052" s="77"/>
      <c r="BL1052" s="497">
        <v>15.079999999999998</v>
      </c>
      <c r="BN1052" s="42"/>
      <c r="BO1052" s="74"/>
      <c r="BP1052" s="77"/>
      <c r="BR1052" s="497">
        <v>15.98</v>
      </c>
      <c r="BT1052" s="42"/>
    </row>
    <row r="1053" spans="1:72" x14ac:dyDescent="0.25">
      <c r="A1053" s="90">
        <v>34743</v>
      </c>
      <c r="B1053" s="20">
        <v>0.125</v>
      </c>
      <c r="D1053">
        <v>15.98</v>
      </c>
      <c r="E1053" t="str">
        <f t="shared" si="68"/>
        <v>WEEKDAY</v>
      </c>
      <c r="F1053" t="e">
        <f t="shared" si="67"/>
        <v>#N/A</v>
      </c>
      <c r="G1053" s="74">
        <v>32186</v>
      </c>
      <c r="H1053" s="77">
        <v>0.125</v>
      </c>
      <c r="J1053">
        <v>24.98</v>
      </c>
      <c r="M1053" s="74">
        <v>38030</v>
      </c>
      <c r="N1053" s="77">
        <v>0.125</v>
      </c>
      <c r="P1053">
        <v>32</v>
      </c>
      <c r="S1053" s="74">
        <v>34743</v>
      </c>
      <c r="T1053" s="77">
        <v>0.125</v>
      </c>
      <c r="V1053">
        <v>17.059999999999999</v>
      </c>
      <c r="X1053" s="42"/>
      <c r="AB1053">
        <v>31.4</v>
      </c>
      <c r="AC1053">
        <v>15.98</v>
      </c>
      <c r="AE1053" s="74"/>
      <c r="AF1053" s="77"/>
      <c r="AH1053" s="497">
        <v>8.9599999999999973</v>
      </c>
      <c r="AJ1053" s="42"/>
      <c r="AK1053" s="74"/>
      <c r="AL1053" s="77"/>
      <c r="AN1053" s="497">
        <v>17.96</v>
      </c>
      <c r="AP1053" s="42"/>
      <c r="AQ1053" s="74"/>
      <c r="AR1053" s="77"/>
      <c r="AT1053" s="497">
        <v>19.04</v>
      </c>
      <c r="AV1053" s="42"/>
      <c r="AW1053" s="74"/>
      <c r="AX1053" s="77"/>
      <c r="BA1053" s="497">
        <v>19.04</v>
      </c>
      <c r="BB1053" s="42"/>
      <c r="BC1053" s="74"/>
      <c r="BD1053" s="77"/>
      <c r="BF1053">
        <v>15.98</v>
      </c>
      <c r="BH1053" s="42"/>
      <c r="BI1053" s="74"/>
      <c r="BJ1053" s="77"/>
      <c r="BL1053" s="497">
        <v>15.98</v>
      </c>
      <c r="BN1053" s="42"/>
      <c r="BO1053" s="74"/>
      <c r="BP1053" s="77"/>
      <c r="BR1053" s="497">
        <v>15.98</v>
      </c>
      <c r="BT1053" s="42"/>
    </row>
    <row r="1054" spans="1:72" x14ac:dyDescent="0.25">
      <c r="A1054" s="90">
        <v>34743</v>
      </c>
      <c r="B1054" s="20">
        <v>0.16666666666666666</v>
      </c>
      <c r="D1054">
        <v>15.079999999999998</v>
      </c>
      <c r="E1054" t="str">
        <f t="shared" si="68"/>
        <v>WEEKDAY</v>
      </c>
      <c r="F1054" t="e">
        <f t="shared" si="67"/>
        <v>#N/A</v>
      </c>
      <c r="G1054" s="74">
        <v>32186</v>
      </c>
      <c r="H1054" s="77">
        <v>0.16666666666666666</v>
      </c>
      <c r="J1054">
        <v>23</v>
      </c>
      <c r="M1054" s="74">
        <v>38030</v>
      </c>
      <c r="N1054" s="77">
        <v>0.16666666666666666</v>
      </c>
      <c r="P1054">
        <v>32</v>
      </c>
      <c r="S1054" s="74">
        <v>34743</v>
      </c>
      <c r="T1054" s="77">
        <v>0.16666666666666666</v>
      </c>
      <c r="V1054">
        <v>15.98</v>
      </c>
      <c r="X1054" s="42"/>
      <c r="AB1054">
        <v>31</v>
      </c>
      <c r="AC1054">
        <v>15.98</v>
      </c>
      <c r="AE1054" s="74"/>
      <c r="AF1054" s="77"/>
      <c r="AH1054" s="497">
        <v>7.879999999999999</v>
      </c>
      <c r="AJ1054" s="42"/>
      <c r="AK1054" s="74"/>
      <c r="AL1054" s="77"/>
      <c r="AN1054" s="497">
        <v>17.96</v>
      </c>
      <c r="AP1054" s="42"/>
      <c r="AQ1054" s="74"/>
      <c r="AR1054" s="77"/>
      <c r="AT1054" s="497">
        <v>19.04</v>
      </c>
      <c r="AV1054" s="42"/>
      <c r="AW1054" s="74"/>
      <c r="AX1054" s="77"/>
      <c r="BA1054" s="497">
        <v>19.04</v>
      </c>
      <c r="BB1054" s="42"/>
      <c r="BC1054" s="74"/>
      <c r="BD1054" s="77"/>
      <c r="BF1054">
        <v>15.98</v>
      </c>
      <c r="BH1054" s="42"/>
      <c r="BI1054" s="74"/>
      <c r="BJ1054" s="77"/>
      <c r="BL1054" s="497">
        <v>15.98</v>
      </c>
      <c r="BN1054" s="42"/>
      <c r="BO1054" s="74"/>
      <c r="BP1054" s="77"/>
      <c r="BR1054" s="497">
        <v>15.079999999999998</v>
      </c>
      <c r="BT1054" s="42"/>
    </row>
    <row r="1055" spans="1:72" x14ac:dyDescent="0.25">
      <c r="A1055" s="90">
        <v>34743</v>
      </c>
      <c r="B1055" s="20">
        <v>0.20833333333333334</v>
      </c>
      <c r="D1055">
        <v>15.079999999999998</v>
      </c>
      <c r="E1055" t="str">
        <f t="shared" si="68"/>
        <v>WEEKDAY</v>
      </c>
      <c r="F1055" t="e">
        <f t="shared" si="67"/>
        <v>#N/A</v>
      </c>
      <c r="G1055" s="74">
        <v>32186</v>
      </c>
      <c r="H1055" s="77">
        <v>0.20833333333333334</v>
      </c>
      <c r="J1055">
        <v>21.92</v>
      </c>
      <c r="M1055" s="74">
        <v>38030</v>
      </c>
      <c r="N1055" s="77">
        <v>0.20833333333333334</v>
      </c>
      <c r="P1055">
        <v>33.799999999999997</v>
      </c>
      <c r="S1055" s="74">
        <v>34743</v>
      </c>
      <c r="T1055" s="77">
        <v>0.20833333333333334</v>
      </c>
      <c r="V1055">
        <v>15.98</v>
      </c>
      <c r="X1055" s="42"/>
      <c r="AB1055">
        <v>30.6</v>
      </c>
      <c r="AC1055">
        <v>15.98</v>
      </c>
      <c r="AE1055" s="74"/>
      <c r="AF1055" s="77"/>
      <c r="AH1055" s="497">
        <v>8.9599999999999973</v>
      </c>
      <c r="AJ1055" s="42"/>
      <c r="AK1055" s="74"/>
      <c r="AL1055" s="77"/>
      <c r="AN1055" s="497">
        <v>17.96</v>
      </c>
      <c r="AP1055" s="42"/>
      <c r="AQ1055" s="74"/>
      <c r="AR1055" s="77"/>
      <c r="AT1055" s="497">
        <v>19.04</v>
      </c>
      <c r="AV1055" s="42"/>
      <c r="AW1055" s="74"/>
      <c r="AX1055" s="77"/>
      <c r="BA1055" s="497">
        <v>17.96</v>
      </c>
      <c r="BB1055" s="42"/>
      <c r="BC1055" s="74"/>
      <c r="BD1055" s="77"/>
      <c r="BF1055">
        <v>15.98</v>
      </c>
      <c r="BH1055" s="42"/>
      <c r="BI1055" s="74"/>
      <c r="BJ1055" s="77"/>
      <c r="BL1055" s="497">
        <v>15.98</v>
      </c>
      <c r="BN1055" s="42"/>
      <c r="BO1055" s="74"/>
      <c r="BP1055" s="77"/>
      <c r="BR1055" s="497">
        <v>15.079999999999998</v>
      </c>
      <c r="BT1055" s="42"/>
    </row>
    <row r="1056" spans="1:72" x14ac:dyDescent="0.25">
      <c r="A1056" s="90">
        <v>34743</v>
      </c>
      <c r="B1056" s="20">
        <v>0.25</v>
      </c>
      <c r="D1056">
        <v>14</v>
      </c>
      <c r="E1056" t="str">
        <f t="shared" si="68"/>
        <v>WEEKDAY</v>
      </c>
      <c r="F1056" t="e">
        <f t="shared" si="67"/>
        <v>#N/A</v>
      </c>
      <c r="G1056" s="74">
        <v>32186</v>
      </c>
      <c r="H1056" s="77">
        <v>0.25</v>
      </c>
      <c r="J1056">
        <v>21.02</v>
      </c>
      <c r="M1056" s="74">
        <v>38030</v>
      </c>
      <c r="N1056" s="77">
        <v>0.25</v>
      </c>
      <c r="P1056">
        <v>32.9</v>
      </c>
      <c r="S1056" s="74">
        <v>34743</v>
      </c>
      <c r="T1056" s="77">
        <v>0.25</v>
      </c>
      <c r="V1056">
        <v>15.079999999999998</v>
      </c>
      <c r="X1056" s="42"/>
      <c r="AB1056">
        <v>30.4</v>
      </c>
      <c r="AC1056">
        <v>17.96</v>
      </c>
      <c r="AE1056" s="74"/>
      <c r="AF1056" s="77"/>
      <c r="AH1056" s="497">
        <v>5.8999999999999986</v>
      </c>
      <c r="AJ1056" s="42"/>
      <c r="AK1056" s="74"/>
      <c r="AL1056" s="77"/>
      <c r="AN1056" s="497">
        <v>17.96</v>
      </c>
      <c r="AP1056" s="42"/>
      <c r="AQ1056" s="74"/>
      <c r="AR1056" s="77"/>
      <c r="AT1056" s="497">
        <v>19.04</v>
      </c>
      <c r="AV1056" s="42"/>
      <c r="AW1056" s="74"/>
      <c r="AX1056" s="77"/>
      <c r="BA1056" s="497">
        <v>17.96</v>
      </c>
      <c r="BB1056" s="42"/>
      <c r="BC1056" s="74"/>
      <c r="BD1056" s="77"/>
      <c r="BF1056">
        <v>15.079999999999998</v>
      </c>
      <c r="BH1056" s="42"/>
      <c r="BI1056" s="74"/>
      <c r="BJ1056" s="77"/>
      <c r="BL1056" s="497">
        <v>15.98</v>
      </c>
      <c r="BN1056" s="42"/>
      <c r="BO1056" s="74"/>
      <c r="BP1056" s="77"/>
      <c r="BR1056" s="497">
        <v>15.079999999999998</v>
      </c>
      <c r="BT1056" s="42"/>
    </row>
    <row r="1057" spans="1:72" x14ac:dyDescent="0.25">
      <c r="A1057" s="90">
        <v>34743</v>
      </c>
      <c r="B1057" s="20">
        <v>0.29166666666666669</v>
      </c>
      <c r="D1057">
        <v>14</v>
      </c>
      <c r="E1057" t="str">
        <f t="shared" si="68"/>
        <v>WEEKDAY</v>
      </c>
      <c r="F1057" t="e">
        <f t="shared" si="67"/>
        <v>#N/A</v>
      </c>
      <c r="G1057" s="74">
        <v>32186</v>
      </c>
      <c r="H1057" s="77">
        <v>0.29166666666666669</v>
      </c>
      <c r="J1057">
        <v>21.02</v>
      </c>
      <c r="M1057" s="74">
        <v>38030</v>
      </c>
      <c r="N1057" s="77">
        <v>0.29166666666666669</v>
      </c>
      <c r="P1057">
        <v>32</v>
      </c>
      <c r="S1057" s="74">
        <v>34743</v>
      </c>
      <c r="T1057" s="77">
        <v>0.29166666666666669</v>
      </c>
      <c r="V1057">
        <v>15.079999999999998</v>
      </c>
      <c r="X1057" s="42"/>
      <c r="AB1057">
        <v>30.3</v>
      </c>
      <c r="AC1057">
        <v>17.96</v>
      </c>
      <c r="AE1057" s="74"/>
      <c r="AF1057" s="77"/>
      <c r="AH1057" s="497">
        <v>5.8999999999999986</v>
      </c>
      <c r="AJ1057" s="42"/>
      <c r="AK1057" s="74"/>
      <c r="AL1057" s="77"/>
      <c r="AN1057" s="497">
        <v>17.96</v>
      </c>
      <c r="AP1057" s="42"/>
      <c r="AQ1057" s="74"/>
      <c r="AR1057" s="77"/>
      <c r="AT1057" s="497">
        <v>19.04</v>
      </c>
      <c r="AV1057" s="42"/>
      <c r="AW1057" s="74"/>
      <c r="AX1057" s="77"/>
      <c r="BA1057" s="497">
        <v>17.96</v>
      </c>
      <c r="BB1057" s="42"/>
      <c r="BC1057" s="74"/>
      <c r="BD1057" s="77"/>
      <c r="BF1057">
        <v>15.079999999999998</v>
      </c>
      <c r="BH1057" s="42"/>
      <c r="BI1057" s="74"/>
      <c r="BJ1057" s="77"/>
      <c r="BL1057" s="497">
        <v>15.079999999999998</v>
      </c>
      <c r="BN1057" s="42"/>
      <c r="BO1057" s="74"/>
      <c r="BP1057" s="77"/>
      <c r="BR1057" s="497">
        <v>15.079999999999998</v>
      </c>
      <c r="BT1057" s="42"/>
    </row>
    <row r="1058" spans="1:72" x14ac:dyDescent="0.25">
      <c r="A1058" s="90">
        <v>34743</v>
      </c>
      <c r="B1058" s="20">
        <v>0.33333333333333331</v>
      </c>
      <c r="D1058">
        <v>15.079999999999998</v>
      </c>
      <c r="E1058" t="str">
        <f t="shared" si="68"/>
        <v>WEEKDAY</v>
      </c>
      <c r="F1058" t="e">
        <f t="shared" si="67"/>
        <v>#N/A</v>
      </c>
      <c r="G1058" s="74">
        <v>32186</v>
      </c>
      <c r="H1058" s="77">
        <v>0.33333333333333331</v>
      </c>
      <c r="J1058">
        <v>19.939999999999998</v>
      </c>
      <c r="M1058" s="74">
        <v>38030</v>
      </c>
      <c r="N1058" s="77">
        <v>0.33333333333333331</v>
      </c>
      <c r="P1058">
        <v>32</v>
      </c>
      <c r="S1058" s="74">
        <v>34743</v>
      </c>
      <c r="T1058" s="77">
        <v>0.33333333333333331</v>
      </c>
      <c r="V1058">
        <v>15.98</v>
      </c>
      <c r="X1058" s="42"/>
      <c r="AB1058">
        <v>30.2</v>
      </c>
      <c r="AC1058">
        <v>26.96</v>
      </c>
      <c r="AE1058" s="74"/>
      <c r="AF1058" s="77"/>
      <c r="AH1058" s="497">
        <v>7.879999999999999</v>
      </c>
      <c r="AJ1058" s="42"/>
      <c r="AK1058" s="74"/>
      <c r="AL1058" s="77"/>
      <c r="AN1058" s="497">
        <v>17.96</v>
      </c>
      <c r="AP1058" s="42"/>
      <c r="AQ1058" s="74"/>
      <c r="AR1058" s="77"/>
      <c r="AT1058" s="497">
        <v>19.04</v>
      </c>
      <c r="AV1058" s="42"/>
      <c r="AW1058" s="74"/>
      <c r="AX1058" s="77"/>
      <c r="BA1058" s="497">
        <v>17.96</v>
      </c>
      <c r="BB1058" s="42"/>
      <c r="BC1058" s="74"/>
      <c r="BD1058" s="77"/>
      <c r="BF1058">
        <v>15.079999999999998</v>
      </c>
      <c r="BH1058" s="42"/>
      <c r="BI1058" s="74"/>
      <c r="BJ1058" s="77"/>
      <c r="BL1058" s="497">
        <v>15.079999999999998</v>
      </c>
      <c r="BN1058" s="42"/>
      <c r="BO1058" s="74"/>
      <c r="BP1058" s="77"/>
      <c r="BR1058" s="497">
        <v>15.079999999999998</v>
      </c>
      <c r="BT1058" s="42"/>
    </row>
    <row r="1059" spans="1:72" x14ac:dyDescent="0.25">
      <c r="A1059" s="90">
        <v>34743</v>
      </c>
      <c r="B1059" s="20">
        <v>0.375</v>
      </c>
      <c r="D1059">
        <v>17.059999999999999</v>
      </c>
      <c r="E1059" t="str">
        <f t="shared" si="68"/>
        <v>WEEKDAY</v>
      </c>
      <c r="F1059" t="e">
        <f t="shared" si="67"/>
        <v>#N/A</v>
      </c>
      <c r="G1059" s="74">
        <v>32186</v>
      </c>
      <c r="H1059" s="77">
        <v>0.375</v>
      </c>
      <c r="J1059">
        <v>21.92</v>
      </c>
      <c r="M1059" s="74">
        <v>38030</v>
      </c>
      <c r="N1059" s="77">
        <v>0.375</v>
      </c>
      <c r="P1059">
        <v>33.799999999999997</v>
      </c>
      <c r="S1059" s="74">
        <v>34743</v>
      </c>
      <c r="T1059" s="77">
        <v>0.375</v>
      </c>
      <c r="V1059">
        <v>17.96</v>
      </c>
      <c r="X1059" s="42"/>
      <c r="AB1059">
        <v>31.3</v>
      </c>
      <c r="AC1059">
        <v>30.02</v>
      </c>
      <c r="AE1059" s="74"/>
      <c r="AF1059" s="77"/>
      <c r="AH1059" s="497">
        <v>8.9599999999999973</v>
      </c>
      <c r="AJ1059" s="42"/>
      <c r="AK1059" s="74"/>
      <c r="AL1059" s="77"/>
      <c r="AN1059" s="497">
        <v>17.96</v>
      </c>
      <c r="AP1059" s="42"/>
      <c r="AQ1059" s="74"/>
      <c r="AR1059" s="77"/>
      <c r="AT1059" s="497">
        <v>21.02</v>
      </c>
      <c r="AV1059" s="42"/>
      <c r="AW1059" s="74"/>
      <c r="AX1059" s="77"/>
      <c r="BA1059" s="497">
        <v>19.04</v>
      </c>
      <c r="BB1059" s="42"/>
      <c r="BC1059" s="74"/>
      <c r="BD1059" s="77"/>
      <c r="BF1059">
        <v>15.98</v>
      </c>
      <c r="BH1059" s="42"/>
      <c r="BI1059" s="74"/>
      <c r="BJ1059" s="77"/>
      <c r="BL1059" s="497">
        <v>15.079999999999998</v>
      </c>
      <c r="BN1059" s="42"/>
      <c r="BO1059" s="74"/>
      <c r="BP1059" s="77"/>
      <c r="BR1059" s="497">
        <v>19.04</v>
      </c>
      <c r="BT1059" s="42"/>
    </row>
    <row r="1060" spans="1:72" x14ac:dyDescent="0.25">
      <c r="A1060" s="90">
        <v>34743</v>
      </c>
      <c r="B1060" s="20">
        <v>0.41666666666666669</v>
      </c>
      <c r="D1060">
        <v>17.96</v>
      </c>
      <c r="E1060" t="str">
        <f t="shared" si="68"/>
        <v>WEEKDAY</v>
      </c>
      <c r="F1060" t="e">
        <f t="shared" si="67"/>
        <v>#N/A</v>
      </c>
      <c r="G1060" s="74">
        <v>32186</v>
      </c>
      <c r="H1060" s="77">
        <v>0.41666666666666669</v>
      </c>
      <c r="J1060">
        <v>23</v>
      </c>
      <c r="M1060" s="74">
        <v>38030</v>
      </c>
      <c r="N1060" s="77">
        <v>0.41666666666666669</v>
      </c>
      <c r="P1060">
        <v>33.799999999999997</v>
      </c>
      <c r="S1060" s="74">
        <v>34743</v>
      </c>
      <c r="T1060" s="77">
        <v>0.41666666666666669</v>
      </c>
      <c r="V1060">
        <v>19.04</v>
      </c>
      <c r="X1060" s="42"/>
      <c r="AB1060">
        <v>32.9</v>
      </c>
      <c r="AC1060">
        <v>32</v>
      </c>
      <c r="AE1060" s="74"/>
      <c r="AF1060" s="77"/>
      <c r="AH1060" s="497">
        <v>9.86</v>
      </c>
      <c r="AJ1060" s="42"/>
      <c r="AK1060" s="74"/>
      <c r="AL1060" s="77"/>
      <c r="AN1060" s="497">
        <v>19.939999999999998</v>
      </c>
      <c r="AP1060" s="42"/>
      <c r="AQ1060" s="74"/>
      <c r="AR1060" s="77"/>
      <c r="AT1060" s="497">
        <v>21.92</v>
      </c>
      <c r="AV1060" s="42"/>
      <c r="AW1060" s="74"/>
      <c r="AX1060" s="77"/>
      <c r="BA1060" s="497">
        <v>21.02</v>
      </c>
      <c r="BB1060" s="42"/>
      <c r="BC1060" s="74"/>
      <c r="BD1060" s="77"/>
      <c r="BF1060">
        <v>15.98</v>
      </c>
      <c r="BH1060" s="42"/>
      <c r="BI1060" s="74"/>
      <c r="BJ1060" s="77"/>
      <c r="BL1060" s="497">
        <v>15.98</v>
      </c>
      <c r="BN1060" s="42"/>
      <c r="BO1060" s="74"/>
      <c r="BP1060" s="77"/>
      <c r="BR1060" s="497">
        <v>19.939999999999998</v>
      </c>
      <c r="BT1060" s="42"/>
    </row>
    <row r="1061" spans="1:72" x14ac:dyDescent="0.25">
      <c r="A1061" s="90">
        <v>34743</v>
      </c>
      <c r="B1061" s="20">
        <v>0.45833333333333331</v>
      </c>
      <c r="D1061">
        <v>19.04</v>
      </c>
      <c r="E1061" t="str">
        <f t="shared" si="68"/>
        <v>WEEKDAY</v>
      </c>
      <c r="F1061" t="e">
        <f t="shared" si="67"/>
        <v>#N/A</v>
      </c>
      <c r="G1061" s="74">
        <v>32186</v>
      </c>
      <c r="H1061" s="77">
        <v>0.45833333333333331</v>
      </c>
      <c r="J1061">
        <v>24.08</v>
      </c>
      <c r="M1061" s="74">
        <v>38030</v>
      </c>
      <c r="N1061" s="77">
        <v>0.45833333333333331</v>
      </c>
      <c r="P1061">
        <v>35.6</v>
      </c>
      <c r="S1061" s="74">
        <v>34743</v>
      </c>
      <c r="T1061" s="77">
        <v>0.45833333333333331</v>
      </c>
      <c r="V1061">
        <v>19.939999999999998</v>
      </c>
      <c r="X1061" s="42"/>
      <c r="AB1061">
        <v>34.4</v>
      </c>
      <c r="AC1061">
        <v>35.06</v>
      </c>
      <c r="AE1061" s="74"/>
      <c r="AF1061" s="77"/>
      <c r="AH1061" s="497">
        <v>11.84</v>
      </c>
      <c r="AJ1061" s="42"/>
      <c r="AK1061" s="74"/>
      <c r="AL1061" s="77"/>
      <c r="AN1061" s="497">
        <v>21.92</v>
      </c>
      <c r="AP1061" s="42"/>
      <c r="AQ1061" s="74"/>
      <c r="AR1061" s="77"/>
      <c r="AT1061" s="497">
        <v>23</v>
      </c>
      <c r="AV1061" s="42"/>
      <c r="AW1061" s="74"/>
      <c r="AX1061" s="77"/>
      <c r="BA1061" s="497">
        <v>24.08</v>
      </c>
      <c r="BB1061" s="42"/>
      <c r="BC1061" s="74"/>
      <c r="BD1061" s="77"/>
      <c r="BF1061">
        <v>17.96</v>
      </c>
      <c r="BH1061" s="42"/>
      <c r="BI1061" s="74"/>
      <c r="BJ1061" s="77"/>
      <c r="BL1061" s="497">
        <v>17.059999999999999</v>
      </c>
      <c r="BN1061" s="42"/>
      <c r="BO1061" s="74"/>
      <c r="BP1061" s="77"/>
      <c r="BR1061" s="497">
        <v>21.02</v>
      </c>
      <c r="BT1061" s="42"/>
    </row>
    <row r="1062" spans="1:72" x14ac:dyDescent="0.25">
      <c r="A1062" s="90">
        <v>34743</v>
      </c>
      <c r="B1062" s="20">
        <v>0.5</v>
      </c>
      <c r="D1062">
        <v>21.02</v>
      </c>
      <c r="E1062" t="str">
        <f t="shared" si="68"/>
        <v>WEEKDAY</v>
      </c>
      <c r="F1062" t="e">
        <f t="shared" si="67"/>
        <v>#N/A</v>
      </c>
      <c r="G1062" s="74">
        <v>32186</v>
      </c>
      <c r="H1062" s="77">
        <v>0.5</v>
      </c>
      <c r="J1062">
        <v>24.98</v>
      </c>
      <c r="M1062" s="74">
        <v>38030</v>
      </c>
      <c r="N1062" s="77">
        <v>0.5</v>
      </c>
      <c r="P1062">
        <v>37.4</v>
      </c>
      <c r="S1062" s="74">
        <v>34743</v>
      </c>
      <c r="T1062" s="77">
        <v>0.5</v>
      </c>
      <c r="V1062">
        <v>21.92</v>
      </c>
      <c r="X1062" s="42"/>
      <c r="AB1062">
        <v>35.799999999999997</v>
      </c>
      <c r="AC1062">
        <v>35.96</v>
      </c>
      <c r="AE1062" s="74"/>
      <c r="AF1062" s="77"/>
      <c r="AH1062" s="497">
        <v>15.98</v>
      </c>
      <c r="AJ1062" s="42"/>
      <c r="AK1062" s="74"/>
      <c r="AL1062" s="77"/>
      <c r="AN1062" s="497">
        <v>24.08</v>
      </c>
      <c r="AP1062" s="42"/>
      <c r="AQ1062" s="74"/>
      <c r="AR1062" s="77"/>
      <c r="AT1062" s="497">
        <v>21.92</v>
      </c>
      <c r="AV1062" s="42"/>
      <c r="AW1062" s="74"/>
      <c r="AX1062" s="77"/>
      <c r="BA1062" s="497">
        <v>26.060000000000002</v>
      </c>
      <c r="BB1062" s="42"/>
      <c r="BC1062" s="74"/>
      <c r="BD1062" s="77"/>
      <c r="BF1062">
        <v>17.059999999999999</v>
      </c>
      <c r="BH1062" s="42"/>
      <c r="BI1062" s="74"/>
      <c r="BJ1062" s="77"/>
      <c r="BL1062" s="497">
        <v>17.059999999999999</v>
      </c>
      <c r="BN1062" s="42"/>
      <c r="BO1062" s="74"/>
      <c r="BP1062" s="77"/>
      <c r="BR1062" s="497">
        <v>23</v>
      </c>
      <c r="BT1062" s="42"/>
    </row>
    <row r="1063" spans="1:72" x14ac:dyDescent="0.25">
      <c r="A1063" s="90">
        <v>34743</v>
      </c>
      <c r="B1063" s="20">
        <v>0.54166666666666663</v>
      </c>
      <c r="D1063">
        <v>21.92</v>
      </c>
      <c r="E1063" t="str">
        <f t="shared" si="68"/>
        <v>WEEKDAY</v>
      </c>
      <c r="F1063" t="e">
        <f t="shared" si="67"/>
        <v>#N/A</v>
      </c>
      <c r="G1063" s="74">
        <v>32186</v>
      </c>
      <c r="H1063" s="77">
        <v>0.54166666666666663</v>
      </c>
      <c r="J1063">
        <v>24.98</v>
      </c>
      <c r="M1063" s="74">
        <v>38030</v>
      </c>
      <c r="N1063" s="77">
        <v>0.54166666666666663</v>
      </c>
      <c r="P1063">
        <v>37.4</v>
      </c>
      <c r="S1063" s="74">
        <v>34743</v>
      </c>
      <c r="T1063" s="77">
        <v>0.54166666666666663</v>
      </c>
      <c r="V1063">
        <v>23</v>
      </c>
      <c r="X1063" s="42"/>
      <c r="AB1063">
        <v>36.799999999999997</v>
      </c>
      <c r="AC1063">
        <v>37.94</v>
      </c>
      <c r="AE1063" s="74"/>
      <c r="AF1063" s="77"/>
      <c r="AH1063" s="497">
        <v>17.96</v>
      </c>
      <c r="AJ1063" s="42"/>
      <c r="AK1063" s="74"/>
      <c r="AL1063" s="77"/>
      <c r="AN1063" s="497">
        <v>23</v>
      </c>
      <c r="AP1063" s="42"/>
      <c r="AQ1063" s="74"/>
      <c r="AR1063" s="77"/>
      <c r="AT1063" s="497">
        <v>23</v>
      </c>
      <c r="AV1063" s="42"/>
      <c r="AW1063" s="74"/>
      <c r="AX1063" s="77"/>
      <c r="BA1063" s="497">
        <v>24.98</v>
      </c>
      <c r="BB1063" s="42"/>
      <c r="BC1063" s="74"/>
      <c r="BD1063" s="77"/>
      <c r="BF1063">
        <v>17.96</v>
      </c>
      <c r="BH1063" s="42"/>
      <c r="BI1063" s="74"/>
      <c r="BJ1063" s="77"/>
      <c r="BL1063" s="497">
        <v>17.96</v>
      </c>
      <c r="BN1063" s="42"/>
      <c r="BO1063" s="74"/>
      <c r="BP1063" s="77"/>
      <c r="BR1063" s="497">
        <v>23</v>
      </c>
      <c r="BT1063" s="42"/>
    </row>
    <row r="1064" spans="1:72" x14ac:dyDescent="0.25">
      <c r="A1064" s="90">
        <v>34743</v>
      </c>
      <c r="B1064" s="20">
        <v>0.58333333333333337</v>
      </c>
      <c r="D1064">
        <v>23</v>
      </c>
      <c r="E1064" t="str">
        <f t="shared" si="68"/>
        <v>WEEKDAY</v>
      </c>
      <c r="F1064" t="e">
        <f t="shared" si="67"/>
        <v>#N/A</v>
      </c>
      <c r="G1064" s="74">
        <v>32186</v>
      </c>
      <c r="H1064" s="77">
        <v>0.58333333333333337</v>
      </c>
      <c r="J1064">
        <v>24.98</v>
      </c>
      <c r="M1064" s="74">
        <v>38030</v>
      </c>
      <c r="N1064" s="77">
        <v>0.58333333333333337</v>
      </c>
      <c r="P1064">
        <v>39.200000000000003</v>
      </c>
      <c r="S1064" s="74">
        <v>34743</v>
      </c>
      <c r="T1064" s="77">
        <v>0.58333333333333337</v>
      </c>
      <c r="V1064">
        <v>24.08</v>
      </c>
      <c r="X1064" s="42"/>
      <c r="AB1064">
        <v>37.700000000000003</v>
      </c>
      <c r="AC1064">
        <v>37.94</v>
      </c>
      <c r="AE1064" s="74"/>
      <c r="AF1064" s="77"/>
      <c r="AH1064" s="497">
        <v>19.759999999999998</v>
      </c>
      <c r="AJ1064" s="42"/>
      <c r="AK1064" s="74"/>
      <c r="AL1064" s="77"/>
      <c r="AN1064" s="497">
        <v>24.08</v>
      </c>
      <c r="AP1064" s="42"/>
      <c r="AQ1064" s="74"/>
      <c r="AR1064" s="77"/>
      <c r="AT1064" s="497">
        <v>23</v>
      </c>
      <c r="AV1064" s="42"/>
      <c r="AW1064" s="74"/>
      <c r="AX1064" s="77"/>
      <c r="BA1064" s="497">
        <v>24.98</v>
      </c>
      <c r="BB1064" s="42"/>
      <c r="BC1064" s="74"/>
      <c r="BD1064" s="77"/>
      <c r="BF1064">
        <v>17.96</v>
      </c>
      <c r="BH1064" s="42"/>
      <c r="BI1064" s="74"/>
      <c r="BJ1064" s="77"/>
      <c r="BL1064" s="497">
        <v>17.96</v>
      </c>
      <c r="BN1064" s="42"/>
      <c r="BO1064" s="74"/>
      <c r="BP1064" s="77"/>
      <c r="BR1064" s="497">
        <v>19.939999999999998</v>
      </c>
      <c r="BT1064" s="42"/>
    </row>
    <row r="1065" spans="1:72" x14ac:dyDescent="0.25">
      <c r="A1065" s="90">
        <v>34743</v>
      </c>
      <c r="B1065" s="20">
        <v>0.625</v>
      </c>
      <c r="D1065">
        <v>24.98</v>
      </c>
      <c r="E1065" t="str">
        <f t="shared" si="68"/>
        <v>WEEKDAY</v>
      </c>
      <c r="F1065" t="e">
        <f t="shared" si="67"/>
        <v>#N/A</v>
      </c>
      <c r="G1065" s="74">
        <v>32186</v>
      </c>
      <c r="H1065" s="77">
        <v>0.625</v>
      </c>
      <c r="J1065">
        <v>26.060000000000002</v>
      </c>
      <c r="M1065" s="74">
        <v>38030</v>
      </c>
      <c r="N1065" s="77">
        <v>0.625</v>
      </c>
      <c r="P1065">
        <v>41</v>
      </c>
      <c r="S1065" s="74">
        <v>34743</v>
      </c>
      <c r="T1065" s="77">
        <v>0.625</v>
      </c>
      <c r="V1065">
        <v>26.060000000000002</v>
      </c>
      <c r="X1065" s="42"/>
      <c r="AB1065">
        <v>38.299999999999997</v>
      </c>
      <c r="AC1065">
        <v>37.94</v>
      </c>
      <c r="AE1065" s="74"/>
      <c r="AF1065" s="77"/>
      <c r="AH1065" s="497">
        <v>20.84</v>
      </c>
      <c r="AJ1065" s="42"/>
      <c r="AK1065" s="74"/>
      <c r="AL1065" s="77"/>
      <c r="AN1065" s="497">
        <v>21.92</v>
      </c>
      <c r="AP1065" s="42"/>
      <c r="AQ1065" s="74"/>
      <c r="AR1065" s="77"/>
      <c r="AT1065" s="497">
        <v>23</v>
      </c>
      <c r="AV1065" s="42"/>
      <c r="AW1065" s="74"/>
      <c r="AX1065" s="77"/>
      <c r="BA1065" s="497">
        <v>24.08</v>
      </c>
      <c r="BB1065" s="42"/>
      <c r="BC1065" s="74"/>
      <c r="BD1065" s="77"/>
      <c r="BF1065">
        <v>17.96</v>
      </c>
      <c r="BH1065" s="42"/>
      <c r="BI1065" s="74"/>
      <c r="BJ1065" s="77"/>
      <c r="BL1065" s="497">
        <v>17.059999999999999</v>
      </c>
      <c r="BN1065" s="42"/>
      <c r="BO1065" s="74"/>
      <c r="BP1065" s="77"/>
      <c r="BR1065" s="497">
        <v>17.96</v>
      </c>
      <c r="BT1065" s="42"/>
    </row>
    <row r="1066" spans="1:72" x14ac:dyDescent="0.25">
      <c r="A1066" s="90">
        <v>34743</v>
      </c>
      <c r="B1066" s="20">
        <v>0.66666666666666663</v>
      </c>
      <c r="D1066">
        <v>26.060000000000002</v>
      </c>
      <c r="E1066" t="str">
        <f t="shared" si="68"/>
        <v>WEEKDAY</v>
      </c>
      <c r="F1066" t="e">
        <f t="shared" si="67"/>
        <v>#N/A</v>
      </c>
      <c r="G1066" s="74">
        <v>32186</v>
      </c>
      <c r="H1066" s="77">
        <v>0.66666666666666663</v>
      </c>
      <c r="J1066">
        <v>26.060000000000002</v>
      </c>
      <c r="M1066" s="74">
        <v>38030</v>
      </c>
      <c r="N1066" s="77">
        <v>0.66666666666666663</v>
      </c>
      <c r="P1066">
        <v>39.200000000000003</v>
      </c>
      <c r="S1066" s="74">
        <v>34743</v>
      </c>
      <c r="T1066" s="77">
        <v>0.66666666666666663</v>
      </c>
      <c r="V1066">
        <v>26.060000000000002</v>
      </c>
      <c r="X1066" s="42"/>
      <c r="AB1066">
        <v>38.5</v>
      </c>
      <c r="AC1066">
        <v>37.04</v>
      </c>
      <c r="AE1066" s="74"/>
      <c r="AF1066" s="77"/>
      <c r="AH1066" s="497">
        <v>21.92</v>
      </c>
      <c r="AJ1066" s="42"/>
      <c r="AK1066" s="74"/>
      <c r="AL1066" s="77"/>
      <c r="AN1066" s="497">
        <v>21.02</v>
      </c>
      <c r="AP1066" s="42"/>
      <c r="AQ1066" s="74"/>
      <c r="AR1066" s="77"/>
      <c r="AT1066" s="497">
        <v>23</v>
      </c>
      <c r="AV1066" s="42"/>
      <c r="AW1066" s="74"/>
      <c r="AX1066" s="77"/>
      <c r="BA1066" s="497">
        <v>24.08</v>
      </c>
      <c r="BB1066" s="42"/>
      <c r="BC1066" s="74"/>
      <c r="BD1066" s="77"/>
      <c r="BF1066">
        <v>19.04</v>
      </c>
      <c r="BH1066" s="42"/>
      <c r="BI1066" s="74"/>
      <c r="BJ1066" s="77"/>
      <c r="BL1066" s="497">
        <v>15.98</v>
      </c>
      <c r="BN1066" s="42"/>
      <c r="BO1066" s="74"/>
      <c r="BP1066" s="77"/>
      <c r="BR1066" s="497">
        <v>17.059999999999999</v>
      </c>
      <c r="BT1066" s="42"/>
    </row>
    <row r="1067" spans="1:72" x14ac:dyDescent="0.25">
      <c r="A1067" s="90">
        <v>34743</v>
      </c>
      <c r="B1067" s="20">
        <v>0.70833333333333337</v>
      </c>
      <c r="D1067">
        <v>26.060000000000002</v>
      </c>
      <c r="E1067" t="str">
        <f t="shared" si="68"/>
        <v>WEEKDAY</v>
      </c>
      <c r="F1067" t="e">
        <f t="shared" ref="F1067:F1130" si="69">IF(E1067="WEEKDAY",VLOOKUP(B1067,$DD$19:$DG$42,2),IF(E1067="SATURDAY",VLOOKUP(B1067,$DD$19:$DG$42,3),VLOOKUP(B1067,$DD$19:$DG$42,4)))</f>
        <v>#N/A</v>
      </c>
      <c r="G1067" s="74">
        <v>32186</v>
      </c>
      <c r="H1067" s="77">
        <v>0.70833333333333337</v>
      </c>
      <c r="J1067">
        <v>26.96</v>
      </c>
      <c r="M1067" s="74">
        <v>38030</v>
      </c>
      <c r="N1067" s="77">
        <v>0.70833333333333337</v>
      </c>
      <c r="P1067">
        <v>39.200000000000003</v>
      </c>
      <c r="S1067" s="74">
        <v>34743</v>
      </c>
      <c r="T1067" s="77">
        <v>0.70833333333333337</v>
      </c>
      <c r="V1067">
        <v>24.98</v>
      </c>
      <c r="X1067" s="42"/>
      <c r="AB1067">
        <v>38.1</v>
      </c>
      <c r="AC1067">
        <v>37.04</v>
      </c>
      <c r="AE1067" s="74"/>
      <c r="AF1067" s="77"/>
      <c r="AH1067" s="497">
        <v>20.84</v>
      </c>
      <c r="AJ1067" s="42"/>
      <c r="AK1067" s="74"/>
      <c r="AL1067" s="77"/>
      <c r="AN1067" s="497">
        <v>19.04</v>
      </c>
      <c r="AP1067" s="42"/>
      <c r="AQ1067" s="74"/>
      <c r="AR1067" s="77"/>
      <c r="AT1067" s="497">
        <v>21.92</v>
      </c>
      <c r="AV1067" s="42"/>
      <c r="AW1067" s="74"/>
      <c r="AX1067" s="77"/>
      <c r="BA1067" s="497">
        <v>23</v>
      </c>
      <c r="BB1067" s="42"/>
      <c r="BC1067" s="74"/>
      <c r="BD1067" s="77"/>
      <c r="BF1067">
        <v>19.939999999999998</v>
      </c>
      <c r="BH1067" s="42"/>
      <c r="BI1067" s="74"/>
      <c r="BJ1067" s="77"/>
      <c r="BL1067" s="497">
        <v>17.059999999999999</v>
      </c>
      <c r="BN1067" s="42"/>
      <c r="BO1067" s="74"/>
      <c r="BP1067" s="77"/>
      <c r="BR1067" s="497">
        <v>15.079999999999998</v>
      </c>
      <c r="BT1067" s="42"/>
    </row>
    <row r="1068" spans="1:72" x14ac:dyDescent="0.25">
      <c r="A1068" s="90">
        <v>34743</v>
      </c>
      <c r="B1068" s="20">
        <v>0.75</v>
      </c>
      <c r="D1068">
        <v>24.98</v>
      </c>
      <c r="E1068" t="str">
        <f t="shared" si="68"/>
        <v>WEEKDAY</v>
      </c>
      <c r="F1068" t="e">
        <f t="shared" si="69"/>
        <v>#N/A</v>
      </c>
      <c r="G1068" s="74">
        <v>32186</v>
      </c>
      <c r="H1068" s="77">
        <v>0.75</v>
      </c>
      <c r="J1068">
        <v>26.060000000000002</v>
      </c>
      <c r="M1068" s="74">
        <v>38030</v>
      </c>
      <c r="N1068" s="77">
        <v>0.75</v>
      </c>
      <c r="P1068">
        <v>37.4</v>
      </c>
      <c r="S1068" s="74">
        <v>34743</v>
      </c>
      <c r="T1068" s="77">
        <v>0.75</v>
      </c>
      <c r="V1068">
        <v>24.98</v>
      </c>
      <c r="X1068" s="42"/>
      <c r="AB1068">
        <v>37.1</v>
      </c>
      <c r="AC1068">
        <v>37.04</v>
      </c>
      <c r="AE1068" s="74"/>
      <c r="AF1068" s="77"/>
      <c r="AH1068" s="497">
        <v>19.939999999999998</v>
      </c>
      <c r="AJ1068" s="42"/>
      <c r="AK1068" s="74"/>
      <c r="AL1068" s="77"/>
      <c r="AN1068" s="497">
        <v>17.96</v>
      </c>
      <c r="AP1068" s="42"/>
      <c r="AQ1068" s="74"/>
      <c r="AR1068" s="77"/>
      <c r="AT1068" s="497">
        <v>21.02</v>
      </c>
      <c r="AV1068" s="42"/>
      <c r="AW1068" s="74"/>
      <c r="AX1068" s="77"/>
      <c r="BA1068" s="497">
        <v>19.04</v>
      </c>
      <c r="BB1068" s="42"/>
      <c r="BC1068" s="74"/>
      <c r="BD1068" s="77"/>
      <c r="BF1068">
        <v>19.04</v>
      </c>
      <c r="BH1068" s="42"/>
      <c r="BI1068" s="74"/>
      <c r="BJ1068" s="77"/>
      <c r="BL1068" s="497">
        <v>17.059999999999999</v>
      </c>
      <c r="BN1068" s="42"/>
      <c r="BO1068" s="74"/>
      <c r="BP1068" s="77"/>
      <c r="BR1068" s="497">
        <v>14</v>
      </c>
      <c r="BT1068" s="42"/>
    </row>
    <row r="1069" spans="1:72" x14ac:dyDescent="0.25">
      <c r="A1069" s="90">
        <v>34743</v>
      </c>
      <c r="B1069" s="20">
        <v>0.79166666666666663</v>
      </c>
      <c r="D1069">
        <v>24.98</v>
      </c>
      <c r="E1069" t="str">
        <f t="shared" si="68"/>
        <v>WEEKDAY</v>
      </c>
      <c r="F1069" t="e">
        <f t="shared" si="69"/>
        <v>#N/A</v>
      </c>
      <c r="G1069" s="74">
        <v>32186</v>
      </c>
      <c r="H1069" s="77">
        <v>0.79166666666666663</v>
      </c>
      <c r="J1069">
        <v>26.060000000000002</v>
      </c>
      <c r="M1069" s="74">
        <v>38030</v>
      </c>
      <c r="N1069" s="77">
        <v>0.79166666666666663</v>
      </c>
      <c r="P1069">
        <v>35.6</v>
      </c>
      <c r="S1069" s="74">
        <v>34743</v>
      </c>
      <c r="T1069" s="77">
        <v>0.79166666666666663</v>
      </c>
      <c r="V1069">
        <v>24.98</v>
      </c>
      <c r="X1069" s="42"/>
      <c r="AB1069">
        <v>36</v>
      </c>
      <c r="AC1069">
        <v>37.94</v>
      </c>
      <c r="AE1069" s="74"/>
      <c r="AF1069" s="77"/>
      <c r="AH1069" s="497">
        <v>18.86</v>
      </c>
      <c r="AJ1069" s="42"/>
      <c r="AK1069" s="74"/>
      <c r="AL1069" s="77"/>
      <c r="AN1069" s="497">
        <v>15.98</v>
      </c>
      <c r="AP1069" s="42"/>
      <c r="AQ1069" s="74"/>
      <c r="AR1069" s="77"/>
      <c r="AT1069" s="497">
        <v>19.939999999999998</v>
      </c>
      <c r="AV1069" s="42"/>
      <c r="AW1069" s="74"/>
      <c r="AX1069" s="77"/>
      <c r="BA1069" s="497">
        <v>17.059999999999999</v>
      </c>
      <c r="BB1069" s="42"/>
      <c r="BC1069" s="74"/>
      <c r="BD1069" s="77"/>
      <c r="BF1069">
        <v>19.04</v>
      </c>
      <c r="BH1069" s="42"/>
      <c r="BI1069" s="74"/>
      <c r="BJ1069" s="77"/>
      <c r="BL1069" s="497">
        <v>17.96</v>
      </c>
      <c r="BN1069" s="42"/>
      <c r="BO1069" s="74"/>
      <c r="BP1069" s="77"/>
      <c r="BR1069" s="497">
        <v>12.920000000000002</v>
      </c>
      <c r="BT1069" s="42"/>
    </row>
    <row r="1070" spans="1:72" x14ac:dyDescent="0.25">
      <c r="A1070" s="90">
        <v>34743</v>
      </c>
      <c r="B1070" s="20">
        <v>0.83333333333333337</v>
      </c>
      <c r="D1070">
        <v>24.98</v>
      </c>
      <c r="E1070" t="str">
        <f t="shared" si="68"/>
        <v>WEEKDAY</v>
      </c>
      <c r="F1070" t="e">
        <f t="shared" si="69"/>
        <v>#N/A</v>
      </c>
      <c r="G1070" s="74">
        <v>32186</v>
      </c>
      <c r="H1070" s="77">
        <v>0.83333333333333337</v>
      </c>
      <c r="J1070">
        <v>26.060000000000002</v>
      </c>
      <c r="M1070" s="74">
        <v>38030</v>
      </c>
      <c r="N1070" s="77">
        <v>0.83333333333333337</v>
      </c>
      <c r="P1070">
        <v>35.6</v>
      </c>
      <c r="S1070" s="74">
        <v>34743</v>
      </c>
      <c r="T1070" s="77">
        <v>0.83333333333333337</v>
      </c>
      <c r="V1070">
        <v>24.98</v>
      </c>
      <c r="X1070" s="42"/>
      <c r="AB1070">
        <v>35.5</v>
      </c>
      <c r="AC1070">
        <v>37.94</v>
      </c>
      <c r="AE1070" s="74"/>
      <c r="AF1070" s="77"/>
      <c r="AH1070" s="497">
        <v>17.96</v>
      </c>
      <c r="AJ1070" s="42"/>
      <c r="AK1070" s="74"/>
      <c r="AL1070" s="77"/>
      <c r="AN1070" s="497">
        <v>15.98</v>
      </c>
      <c r="AP1070" s="42"/>
      <c r="AQ1070" s="74"/>
      <c r="AR1070" s="77"/>
      <c r="AT1070" s="497">
        <v>19.939999999999998</v>
      </c>
      <c r="AV1070" s="42"/>
      <c r="AW1070" s="74"/>
      <c r="AX1070" s="77"/>
      <c r="BA1070" s="497">
        <v>19.939999999999998</v>
      </c>
      <c r="BB1070" s="42"/>
      <c r="BC1070" s="74"/>
      <c r="BD1070" s="77"/>
      <c r="BF1070">
        <v>19.04</v>
      </c>
      <c r="BH1070" s="42"/>
      <c r="BI1070" s="74"/>
      <c r="BJ1070" s="77"/>
      <c r="BL1070" s="497">
        <v>19.04</v>
      </c>
      <c r="BN1070" s="42"/>
      <c r="BO1070" s="74"/>
      <c r="BP1070" s="77"/>
      <c r="BR1070" s="497">
        <v>12.920000000000002</v>
      </c>
      <c r="BT1070" s="42"/>
    </row>
    <row r="1071" spans="1:72" x14ac:dyDescent="0.25">
      <c r="A1071" s="90">
        <v>34743</v>
      </c>
      <c r="B1071" s="20">
        <v>0.875</v>
      </c>
      <c r="D1071">
        <v>24.98</v>
      </c>
      <c r="E1071" t="str">
        <f t="shared" si="68"/>
        <v>WEEKDAY</v>
      </c>
      <c r="F1071" t="e">
        <f t="shared" si="69"/>
        <v>#N/A</v>
      </c>
      <c r="G1071" s="74">
        <v>32186</v>
      </c>
      <c r="H1071" s="77">
        <v>0.875</v>
      </c>
      <c r="J1071">
        <v>24.98</v>
      </c>
      <c r="M1071" s="74">
        <v>38030</v>
      </c>
      <c r="N1071" s="77">
        <v>0.875</v>
      </c>
      <c r="P1071">
        <v>33.799999999999997</v>
      </c>
      <c r="S1071" s="74">
        <v>34743</v>
      </c>
      <c r="T1071" s="77">
        <v>0.875</v>
      </c>
      <c r="V1071">
        <v>24.08</v>
      </c>
      <c r="X1071" s="42"/>
      <c r="AB1071">
        <v>34.9</v>
      </c>
      <c r="AC1071">
        <v>37.94</v>
      </c>
      <c r="AE1071" s="74"/>
      <c r="AF1071" s="77"/>
      <c r="AH1071" s="497">
        <v>12.920000000000002</v>
      </c>
      <c r="AJ1071" s="42"/>
      <c r="AK1071" s="74"/>
      <c r="AL1071" s="77"/>
      <c r="AN1071" s="497">
        <v>15.98</v>
      </c>
      <c r="AP1071" s="42"/>
      <c r="AQ1071" s="74"/>
      <c r="AR1071" s="77"/>
      <c r="AT1071" s="497">
        <v>19.04</v>
      </c>
      <c r="AV1071" s="42"/>
      <c r="AW1071" s="74"/>
      <c r="AX1071" s="77"/>
      <c r="BA1071" s="497">
        <v>21.02</v>
      </c>
      <c r="BB1071" s="42"/>
      <c r="BC1071" s="74"/>
      <c r="BD1071" s="77"/>
      <c r="BF1071">
        <v>19.04</v>
      </c>
      <c r="BH1071" s="42"/>
      <c r="BI1071" s="74"/>
      <c r="BJ1071" s="77"/>
      <c r="BL1071" s="497">
        <v>19.939999999999998</v>
      </c>
      <c r="BN1071" s="42"/>
      <c r="BO1071" s="74"/>
      <c r="BP1071" s="77"/>
      <c r="BR1071" s="497">
        <v>12.02</v>
      </c>
      <c r="BT1071" s="42"/>
    </row>
    <row r="1072" spans="1:72" x14ac:dyDescent="0.25">
      <c r="A1072" s="90">
        <v>34743</v>
      </c>
      <c r="B1072" s="20">
        <v>0.91666666666666663</v>
      </c>
      <c r="D1072">
        <v>24.98</v>
      </c>
      <c r="E1072" t="str">
        <f t="shared" si="68"/>
        <v>WEEKDAY</v>
      </c>
      <c r="F1072" t="e">
        <f t="shared" si="69"/>
        <v>#N/A</v>
      </c>
      <c r="G1072" s="74">
        <v>32186</v>
      </c>
      <c r="H1072" s="77">
        <v>0.91666666666666663</v>
      </c>
      <c r="J1072">
        <v>24.98</v>
      </c>
      <c r="M1072" s="74">
        <v>38030</v>
      </c>
      <c r="N1072" s="77">
        <v>0.91666666666666663</v>
      </c>
      <c r="P1072">
        <v>33.799999999999997</v>
      </c>
      <c r="S1072" s="74">
        <v>34743</v>
      </c>
      <c r="T1072" s="77">
        <v>0.91666666666666663</v>
      </c>
      <c r="V1072">
        <v>24.98</v>
      </c>
      <c r="X1072" s="42"/>
      <c r="AB1072">
        <v>34.299999999999997</v>
      </c>
      <c r="AC1072">
        <v>37.94</v>
      </c>
      <c r="AE1072" s="74"/>
      <c r="AF1072" s="77"/>
      <c r="AH1072" s="497">
        <v>11.84</v>
      </c>
      <c r="AJ1072" s="42"/>
      <c r="AK1072" s="74"/>
      <c r="AL1072" s="77"/>
      <c r="AN1072" s="497">
        <v>14</v>
      </c>
      <c r="AP1072" s="42"/>
      <c r="AQ1072" s="74"/>
      <c r="AR1072" s="77"/>
      <c r="AT1072" s="497">
        <v>17.96</v>
      </c>
      <c r="AV1072" s="42"/>
      <c r="AW1072" s="74"/>
      <c r="AX1072" s="77"/>
      <c r="BA1072" s="497">
        <v>21.02</v>
      </c>
      <c r="BB1072" s="42"/>
      <c r="BC1072" s="74"/>
      <c r="BD1072" s="77"/>
      <c r="BF1072">
        <v>19.939999999999998</v>
      </c>
      <c r="BH1072" s="42"/>
      <c r="BI1072" s="74"/>
      <c r="BJ1072" s="77"/>
      <c r="BL1072" s="497">
        <v>21.02</v>
      </c>
      <c r="BN1072" s="42"/>
      <c r="BO1072" s="74"/>
      <c r="BP1072" s="77"/>
      <c r="BR1072" s="497">
        <v>10.940000000000001</v>
      </c>
      <c r="BT1072" s="42"/>
    </row>
    <row r="1073" spans="1:72" x14ac:dyDescent="0.25">
      <c r="A1073" s="90">
        <v>34743</v>
      </c>
      <c r="B1073" s="20">
        <v>0.95833333333333337</v>
      </c>
      <c r="D1073">
        <v>26.060000000000002</v>
      </c>
      <c r="E1073" t="str">
        <f t="shared" si="68"/>
        <v>WEEKDAY</v>
      </c>
      <c r="F1073" t="e">
        <f t="shared" si="69"/>
        <v>#N/A</v>
      </c>
      <c r="G1073" s="74">
        <v>32186</v>
      </c>
      <c r="H1073" s="77">
        <v>0.95833333333333337</v>
      </c>
      <c r="J1073">
        <v>24.98</v>
      </c>
      <c r="M1073" s="74">
        <v>38030</v>
      </c>
      <c r="N1073" s="77">
        <v>0.95833333333333337</v>
      </c>
      <c r="P1073">
        <v>33.799999999999997</v>
      </c>
      <c r="S1073" s="74">
        <v>34743</v>
      </c>
      <c r="T1073" s="77">
        <v>0.95833333333333337</v>
      </c>
      <c r="V1073">
        <v>24.98</v>
      </c>
      <c r="X1073" s="42"/>
      <c r="AB1073">
        <v>33.799999999999997</v>
      </c>
      <c r="AC1073">
        <v>39.019999999999996</v>
      </c>
      <c r="AE1073" s="74"/>
      <c r="AF1073" s="77"/>
      <c r="AH1073" s="497">
        <v>11.84</v>
      </c>
      <c r="AJ1073" s="42"/>
      <c r="AK1073" s="74"/>
      <c r="AL1073" s="77"/>
      <c r="AN1073" s="497">
        <v>14</v>
      </c>
      <c r="AP1073" s="42"/>
      <c r="AQ1073" s="74"/>
      <c r="AR1073" s="77"/>
      <c r="AT1073" s="497">
        <v>15.98</v>
      </c>
      <c r="AV1073" s="42"/>
      <c r="AW1073" s="74"/>
      <c r="AX1073" s="77"/>
      <c r="BA1073" s="497">
        <v>21.02</v>
      </c>
      <c r="BB1073" s="42"/>
      <c r="BC1073" s="74"/>
      <c r="BD1073" s="77"/>
      <c r="BF1073">
        <v>19.04</v>
      </c>
      <c r="BH1073" s="42"/>
      <c r="BI1073" s="74"/>
      <c r="BJ1073" s="77"/>
      <c r="BL1073" s="497">
        <v>19.04</v>
      </c>
      <c r="BN1073" s="42"/>
      <c r="BO1073" s="74"/>
      <c r="BP1073" s="77"/>
      <c r="BR1073" s="497">
        <v>12.920000000000002</v>
      </c>
      <c r="BT1073" s="42"/>
    </row>
    <row r="1074" spans="1:72" x14ac:dyDescent="0.25">
      <c r="A1074" s="90">
        <v>34743</v>
      </c>
      <c r="B1074" s="20">
        <v>1</v>
      </c>
      <c r="D1074">
        <v>26.060000000000002</v>
      </c>
      <c r="E1074" t="str">
        <f t="shared" si="68"/>
        <v>WEEKDAY</v>
      </c>
      <c r="F1074" t="e">
        <f t="shared" si="69"/>
        <v>#N/A</v>
      </c>
      <c r="G1074" s="74">
        <v>32186</v>
      </c>
      <c r="H1074" s="77">
        <v>1</v>
      </c>
      <c r="J1074">
        <v>24.98</v>
      </c>
      <c r="M1074" s="74">
        <v>38030</v>
      </c>
      <c r="N1074" s="80">
        <v>1</v>
      </c>
      <c r="P1074">
        <v>33.799999999999997</v>
      </c>
      <c r="S1074" s="74">
        <v>34743</v>
      </c>
      <c r="T1074" s="80">
        <v>1</v>
      </c>
      <c r="V1074">
        <v>26.060000000000002</v>
      </c>
      <c r="X1074" s="42"/>
      <c r="AB1074">
        <v>33.200000000000003</v>
      </c>
      <c r="AC1074">
        <v>39.019999999999996</v>
      </c>
      <c r="AE1074" s="74"/>
      <c r="AF1074" s="80"/>
      <c r="AH1074" s="497">
        <v>14</v>
      </c>
      <c r="AJ1074" s="42"/>
      <c r="AK1074" s="74"/>
      <c r="AL1074" s="80"/>
      <c r="AN1074" s="497">
        <v>12.920000000000002</v>
      </c>
      <c r="AP1074" s="42"/>
      <c r="AQ1074" s="74"/>
      <c r="AR1074" s="80"/>
      <c r="AT1074" s="497">
        <v>14</v>
      </c>
      <c r="AV1074" s="42"/>
      <c r="AW1074" s="74"/>
      <c r="AX1074" s="80"/>
      <c r="BA1074" s="497">
        <v>21.02</v>
      </c>
      <c r="BB1074" s="42"/>
      <c r="BC1074" s="74"/>
      <c r="BD1074" s="80"/>
      <c r="BF1074">
        <v>19.04</v>
      </c>
      <c r="BH1074" s="42"/>
      <c r="BI1074" s="74"/>
      <c r="BJ1074" s="80"/>
      <c r="BL1074" s="497">
        <v>19.04</v>
      </c>
      <c r="BN1074" s="42"/>
      <c r="BO1074" s="74"/>
      <c r="BP1074" s="80"/>
      <c r="BR1074" s="497">
        <v>12.920000000000002</v>
      </c>
      <c r="BT1074" s="42"/>
    </row>
    <row r="1075" spans="1:72" x14ac:dyDescent="0.25">
      <c r="A1075" s="90">
        <v>34744</v>
      </c>
      <c r="B1075" s="20">
        <v>4.1666666666666664E-2</v>
      </c>
      <c r="D1075">
        <v>26.060000000000002</v>
      </c>
      <c r="E1075" t="str">
        <f t="shared" si="68"/>
        <v>WEEKDAY</v>
      </c>
      <c r="F1075" t="e">
        <f t="shared" si="69"/>
        <v>#N/A</v>
      </c>
      <c r="G1075" s="74">
        <v>32187</v>
      </c>
      <c r="H1075" s="77">
        <v>4.1666666666666664E-2</v>
      </c>
      <c r="J1075">
        <v>24.98</v>
      </c>
      <c r="M1075" s="74">
        <v>38031</v>
      </c>
      <c r="N1075" s="77">
        <v>4.1666666666666664E-2</v>
      </c>
      <c r="P1075">
        <v>33.799999999999997</v>
      </c>
      <c r="S1075" s="74">
        <v>34744</v>
      </c>
      <c r="T1075" s="77">
        <v>4.1666666666666664E-2</v>
      </c>
      <c r="V1075">
        <v>24.08</v>
      </c>
      <c r="X1075" s="42"/>
      <c r="AB1075">
        <v>32.700000000000003</v>
      </c>
      <c r="AC1075">
        <v>42.980000000000004</v>
      </c>
      <c r="AE1075" s="74"/>
      <c r="AF1075" s="77"/>
      <c r="AH1075" s="497">
        <v>13.82</v>
      </c>
      <c r="AJ1075" s="42"/>
      <c r="AK1075" s="74"/>
      <c r="AL1075" s="77"/>
      <c r="AN1075" s="497">
        <v>14</v>
      </c>
      <c r="AP1075" s="42"/>
      <c r="AQ1075" s="74"/>
      <c r="AR1075" s="77"/>
      <c r="AT1075" s="497">
        <v>15.079999999999998</v>
      </c>
      <c r="AV1075" s="42"/>
      <c r="AW1075" s="74"/>
      <c r="AX1075" s="77"/>
      <c r="BA1075" s="497">
        <v>19.939999999999998</v>
      </c>
      <c r="BB1075" s="42"/>
      <c r="BC1075" s="74"/>
      <c r="BD1075" s="77"/>
      <c r="BF1075">
        <v>19.04</v>
      </c>
      <c r="BH1075" s="42"/>
      <c r="BI1075" s="74"/>
      <c r="BJ1075" s="77"/>
      <c r="BL1075" s="497">
        <v>19.939999999999998</v>
      </c>
      <c r="BN1075" s="42"/>
      <c r="BO1075" s="74"/>
      <c r="BP1075" s="77"/>
      <c r="BR1075" s="497">
        <v>14</v>
      </c>
      <c r="BT1075" s="42"/>
    </row>
    <row r="1076" spans="1:72" x14ac:dyDescent="0.25">
      <c r="A1076" s="90">
        <v>34744</v>
      </c>
      <c r="B1076" s="20">
        <v>8.3333333333333329E-2</v>
      </c>
      <c r="D1076">
        <v>26.060000000000002</v>
      </c>
      <c r="E1076" t="str">
        <f t="shared" si="68"/>
        <v>WEEKDAY</v>
      </c>
      <c r="F1076" t="e">
        <f t="shared" si="69"/>
        <v>#N/A</v>
      </c>
      <c r="G1076" s="74">
        <v>32187</v>
      </c>
      <c r="H1076" s="77">
        <v>8.3333333333333329E-2</v>
      </c>
      <c r="J1076">
        <v>24.98</v>
      </c>
      <c r="M1076" s="74">
        <v>38031</v>
      </c>
      <c r="N1076" s="77">
        <v>8.3333333333333329E-2</v>
      </c>
      <c r="P1076">
        <v>33.799999999999997</v>
      </c>
      <c r="S1076" s="74">
        <v>34744</v>
      </c>
      <c r="T1076" s="77">
        <v>8.3333333333333329E-2</v>
      </c>
      <c r="V1076">
        <v>23</v>
      </c>
      <c r="X1076" s="42"/>
      <c r="AB1076">
        <v>32.200000000000003</v>
      </c>
      <c r="AC1076">
        <v>42.980000000000004</v>
      </c>
      <c r="AE1076" s="74"/>
      <c r="AF1076" s="77"/>
      <c r="AH1076" s="497">
        <v>14</v>
      </c>
      <c r="AJ1076" s="42"/>
      <c r="AK1076" s="74"/>
      <c r="AL1076" s="77"/>
      <c r="AN1076" s="497">
        <v>14</v>
      </c>
      <c r="AP1076" s="42"/>
      <c r="AQ1076" s="74"/>
      <c r="AR1076" s="77"/>
      <c r="AT1076" s="497">
        <v>17.059999999999999</v>
      </c>
      <c r="AV1076" s="42"/>
      <c r="AW1076" s="74"/>
      <c r="AX1076" s="77"/>
      <c r="BA1076" s="497">
        <v>19.04</v>
      </c>
      <c r="BB1076" s="42"/>
      <c r="BC1076" s="74"/>
      <c r="BD1076" s="77"/>
      <c r="BF1076">
        <v>19.04</v>
      </c>
      <c r="BH1076" s="42"/>
      <c r="BI1076" s="74"/>
      <c r="BJ1076" s="77"/>
      <c r="BL1076" s="497">
        <v>19.939999999999998</v>
      </c>
      <c r="BN1076" s="42"/>
      <c r="BO1076" s="74"/>
      <c r="BP1076" s="77"/>
      <c r="BR1076" s="497">
        <v>15.079999999999998</v>
      </c>
      <c r="BT1076" s="42"/>
    </row>
    <row r="1077" spans="1:72" x14ac:dyDescent="0.25">
      <c r="A1077" s="90">
        <v>34744</v>
      </c>
      <c r="B1077" s="20">
        <v>0.125</v>
      </c>
      <c r="D1077">
        <v>26.060000000000002</v>
      </c>
      <c r="E1077" t="str">
        <f t="shared" si="68"/>
        <v>WEEKDAY</v>
      </c>
      <c r="F1077" t="e">
        <f t="shared" si="69"/>
        <v>#N/A</v>
      </c>
      <c r="G1077" s="74">
        <v>32187</v>
      </c>
      <c r="H1077" s="77">
        <v>0.125</v>
      </c>
      <c r="J1077">
        <v>24.98</v>
      </c>
      <c r="M1077" s="74">
        <v>38031</v>
      </c>
      <c r="N1077" s="77">
        <v>0.125</v>
      </c>
      <c r="P1077">
        <v>32</v>
      </c>
      <c r="S1077" s="74">
        <v>34744</v>
      </c>
      <c r="T1077" s="77">
        <v>0.125</v>
      </c>
      <c r="V1077">
        <v>23</v>
      </c>
      <c r="X1077" s="42"/>
      <c r="AB1077">
        <v>31.7</v>
      </c>
      <c r="AC1077">
        <v>46.04</v>
      </c>
      <c r="AE1077" s="74"/>
      <c r="AF1077" s="77"/>
      <c r="AH1077" s="497">
        <v>15.98</v>
      </c>
      <c r="AJ1077" s="42"/>
      <c r="AK1077" s="74"/>
      <c r="AL1077" s="77"/>
      <c r="AN1077" s="497">
        <v>14</v>
      </c>
      <c r="AP1077" s="42"/>
      <c r="AQ1077" s="74"/>
      <c r="AR1077" s="77"/>
      <c r="AT1077" s="497">
        <v>17.059999999999999</v>
      </c>
      <c r="AV1077" s="42"/>
      <c r="AW1077" s="74"/>
      <c r="AX1077" s="77"/>
      <c r="BA1077" s="497">
        <v>19.939999999999998</v>
      </c>
      <c r="BB1077" s="42"/>
      <c r="BC1077" s="74"/>
      <c r="BD1077" s="77"/>
      <c r="BF1077">
        <v>17.059999999999999</v>
      </c>
      <c r="BH1077" s="42"/>
      <c r="BI1077" s="74"/>
      <c r="BJ1077" s="77"/>
      <c r="BL1077" s="497">
        <v>19.939999999999998</v>
      </c>
      <c r="BN1077" s="42"/>
      <c r="BO1077" s="74"/>
      <c r="BP1077" s="77"/>
      <c r="BR1077" s="497">
        <v>15.079999999999998</v>
      </c>
      <c r="BT1077" s="42"/>
    </row>
    <row r="1078" spans="1:72" x14ac:dyDescent="0.25">
      <c r="A1078" s="90">
        <v>34744</v>
      </c>
      <c r="B1078" s="20">
        <v>0.16666666666666666</v>
      </c>
      <c r="D1078">
        <v>24.98</v>
      </c>
      <c r="E1078" t="str">
        <f t="shared" si="68"/>
        <v>WEEKDAY</v>
      </c>
      <c r="F1078" t="e">
        <f t="shared" si="69"/>
        <v>#N/A</v>
      </c>
      <c r="G1078" s="74">
        <v>32187</v>
      </c>
      <c r="H1078" s="77">
        <v>0.16666666666666666</v>
      </c>
      <c r="J1078">
        <v>26.060000000000002</v>
      </c>
      <c r="M1078" s="74">
        <v>38031</v>
      </c>
      <c r="N1078" s="77">
        <v>0.16666666666666666</v>
      </c>
      <c r="P1078">
        <v>32</v>
      </c>
      <c r="S1078" s="74">
        <v>34744</v>
      </c>
      <c r="T1078" s="77">
        <v>0.16666666666666666</v>
      </c>
      <c r="V1078">
        <v>24.08</v>
      </c>
      <c r="X1078" s="42"/>
      <c r="AB1078">
        <v>31.2</v>
      </c>
      <c r="AC1078">
        <v>46.04</v>
      </c>
      <c r="AE1078" s="74"/>
      <c r="AF1078" s="77"/>
      <c r="AH1078" s="497">
        <v>18.86</v>
      </c>
      <c r="AJ1078" s="42"/>
      <c r="AK1078" s="74"/>
      <c r="AL1078" s="77"/>
      <c r="AN1078" s="497">
        <v>14</v>
      </c>
      <c r="AP1078" s="42"/>
      <c r="AQ1078" s="74"/>
      <c r="AR1078" s="77"/>
      <c r="AT1078" s="497">
        <v>17.96</v>
      </c>
      <c r="AV1078" s="42"/>
      <c r="AW1078" s="74"/>
      <c r="AX1078" s="77"/>
      <c r="BA1078" s="497">
        <v>19.939999999999998</v>
      </c>
      <c r="BB1078" s="42"/>
      <c r="BC1078" s="74"/>
      <c r="BD1078" s="77"/>
      <c r="BF1078">
        <v>15.98</v>
      </c>
      <c r="BH1078" s="42"/>
      <c r="BI1078" s="74"/>
      <c r="BJ1078" s="77"/>
      <c r="BL1078" s="497">
        <v>19.04</v>
      </c>
      <c r="BN1078" s="42"/>
      <c r="BO1078" s="74"/>
      <c r="BP1078" s="77"/>
      <c r="BR1078" s="497">
        <v>12.920000000000002</v>
      </c>
      <c r="BT1078" s="42"/>
    </row>
    <row r="1079" spans="1:72" x14ac:dyDescent="0.25">
      <c r="A1079" s="90">
        <v>34744</v>
      </c>
      <c r="B1079" s="20">
        <v>0.20833333333333334</v>
      </c>
      <c r="D1079">
        <v>26.060000000000002</v>
      </c>
      <c r="E1079" t="str">
        <f t="shared" si="68"/>
        <v>WEEKDAY</v>
      </c>
      <c r="F1079" t="e">
        <f t="shared" si="69"/>
        <v>#N/A</v>
      </c>
      <c r="G1079" s="74">
        <v>32187</v>
      </c>
      <c r="H1079" s="77">
        <v>0.20833333333333334</v>
      </c>
      <c r="J1079">
        <v>26.060000000000002</v>
      </c>
      <c r="M1079" s="74">
        <v>38031</v>
      </c>
      <c r="N1079" s="77">
        <v>0.20833333333333334</v>
      </c>
      <c r="P1079">
        <v>30.2</v>
      </c>
      <c r="S1079" s="74">
        <v>34744</v>
      </c>
      <c r="T1079" s="77">
        <v>0.20833333333333334</v>
      </c>
      <c r="V1079">
        <v>24.08</v>
      </c>
      <c r="X1079" s="42"/>
      <c r="AB1079">
        <v>30.8</v>
      </c>
      <c r="AC1079">
        <v>48.019999999999996</v>
      </c>
      <c r="AE1079" s="74"/>
      <c r="AF1079" s="77"/>
      <c r="AH1079" s="497">
        <v>19.939999999999998</v>
      </c>
      <c r="AJ1079" s="42"/>
      <c r="AK1079" s="74"/>
      <c r="AL1079" s="77"/>
      <c r="AN1079" s="497">
        <v>15.079999999999998</v>
      </c>
      <c r="AP1079" s="42"/>
      <c r="AQ1079" s="74"/>
      <c r="AR1079" s="77"/>
      <c r="AT1079" s="497">
        <v>17.059999999999999</v>
      </c>
      <c r="AV1079" s="42"/>
      <c r="AW1079" s="74"/>
      <c r="AX1079" s="77"/>
      <c r="BA1079" s="497">
        <v>19.939999999999998</v>
      </c>
      <c r="BB1079" s="42"/>
      <c r="BC1079" s="74"/>
      <c r="BD1079" s="77"/>
      <c r="BF1079">
        <v>15.079999999999998</v>
      </c>
      <c r="BH1079" s="42"/>
      <c r="BI1079" s="74"/>
      <c r="BJ1079" s="77"/>
      <c r="BL1079" s="497">
        <v>17.059999999999999</v>
      </c>
      <c r="BN1079" s="42"/>
      <c r="BO1079" s="74"/>
      <c r="BP1079" s="77"/>
      <c r="BR1079" s="497">
        <v>12.920000000000002</v>
      </c>
      <c r="BT1079" s="42"/>
    </row>
    <row r="1080" spans="1:72" x14ac:dyDescent="0.25">
      <c r="A1080" s="90">
        <v>34744</v>
      </c>
      <c r="B1080" s="20">
        <v>0.25</v>
      </c>
      <c r="D1080">
        <v>26.060000000000002</v>
      </c>
      <c r="E1080" t="str">
        <f t="shared" si="68"/>
        <v>WEEKDAY</v>
      </c>
      <c r="F1080" t="e">
        <f t="shared" si="69"/>
        <v>#N/A</v>
      </c>
      <c r="G1080" s="74">
        <v>32187</v>
      </c>
      <c r="H1080" s="77">
        <v>0.25</v>
      </c>
      <c r="J1080">
        <v>26.060000000000002</v>
      </c>
      <c r="M1080" s="74">
        <v>38031</v>
      </c>
      <c r="N1080" s="77">
        <v>0.25</v>
      </c>
      <c r="P1080">
        <v>30.2</v>
      </c>
      <c r="S1080" s="74">
        <v>34744</v>
      </c>
      <c r="T1080" s="77">
        <v>0.25</v>
      </c>
      <c r="V1080">
        <v>24.08</v>
      </c>
      <c r="X1080" s="42"/>
      <c r="AB1080">
        <v>30.6</v>
      </c>
      <c r="AC1080">
        <v>46.94</v>
      </c>
      <c r="AE1080" s="74"/>
      <c r="AF1080" s="77"/>
      <c r="AH1080" s="497">
        <v>19.939999999999998</v>
      </c>
      <c r="AJ1080" s="42"/>
      <c r="AK1080" s="74"/>
      <c r="AL1080" s="77"/>
      <c r="AN1080" s="497">
        <v>15.079999999999998</v>
      </c>
      <c r="AP1080" s="42"/>
      <c r="AQ1080" s="74"/>
      <c r="AR1080" s="77"/>
      <c r="AT1080" s="497">
        <v>15.98</v>
      </c>
      <c r="AV1080" s="42"/>
      <c r="AW1080" s="74"/>
      <c r="AX1080" s="77"/>
      <c r="BA1080" s="497">
        <v>21.02</v>
      </c>
      <c r="BB1080" s="42"/>
      <c r="BC1080" s="74"/>
      <c r="BD1080" s="77"/>
      <c r="BF1080">
        <v>15.079999999999998</v>
      </c>
      <c r="BH1080" s="42"/>
      <c r="BI1080" s="74"/>
      <c r="BJ1080" s="77"/>
      <c r="BL1080" s="497">
        <v>14</v>
      </c>
      <c r="BN1080" s="42"/>
      <c r="BO1080" s="74"/>
      <c r="BP1080" s="77"/>
      <c r="BR1080" s="497">
        <v>10.940000000000001</v>
      </c>
      <c r="BT1080" s="42"/>
    </row>
    <row r="1081" spans="1:72" x14ac:dyDescent="0.25">
      <c r="A1081" s="90">
        <v>34744</v>
      </c>
      <c r="B1081" s="20">
        <v>0.29166666666666669</v>
      </c>
      <c r="D1081">
        <v>24.98</v>
      </c>
      <c r="E1081" t="str">
        <f t="shared" si="68"/>
        <v>WEEKDAY</v>
      </c>
      <c r="F1081" t="e">
        <f t="shared" si="69"/>
        <v>#N/A</v>
      </c>
      <c r="G1081" s="74">
        <v>32187</v>
      </c>
      <c r="H1081" s="77">
        <v>0.29166666666666669</v>
      </c>
      <c r="J1081">
        <v>26.060000000000002</v>
      </c>
      <c r="M1081" s="74">
        <v>38031</v>
      </c>
      <c r="N1081" s="77">
        <v>0.29166666666666669</v>
      </c>
      <c r="P1081">
        <v>30.2</v>
      </c>
      <c r="S1081" s="74">
        <v>34744</v>
      </c>
      <c r="T1081" s="77">
        <v>0.29166666666666669</v>
      </c>
      <c r="V1081">
        <v>24.08</v>
      </c>
      <c r="X1081" s="42"/>
      <c r="AB1081">
        <v>30.5</v>
      </c>
      <c r="AC1081">
        <v>46.94</v>
      </c>
      <c r="AE1081" s="74"/>
      <c r="AF1081" s="77"/>
      <c r="AH1081" s="497">
        <v>19.939999999999998</v>
      </c>
      <c r="AJ1081" s="42"/>
      <c r="AK1081" s="74"/>
      <c r="AL1081" s="77"/>
      <c r="AN1081" s="497">
        <v>15.079999999999998</v>
      </c>
      <c r="AP1081" s="42"/>
      <c r="AQ1081" s="74"/>
      <c r="AR1081" s="77"/>
      <c r="AT1081" s="497">
        <v>15.98</v>
      </c>
      <c r="AV1081" s="42"/>
      <c r="AW1081" s="74"/>
      <c r="AX1081" s="77"/>
      <c r="BA1081" s="497">
        <v>21.92</v>
      </c>
      <c r="BB1081" s="42"/>
      <c r="BC1081" s="74"/>
      <c r="BD1081" s="77"/>
      <c r="BF1081">
        <v>15.079999999999998</v>
      </c>
      <c r="BH1081" s="42"/>
      <c r="BI1081" s="74"/>
      <c r="BJ1081" s="77"/>
      <c r="BL1081" s="497">
        <v>12.920000000000002</v>
      </c>
      <c r="BN1081" s="42"/>
      <c r="BO1081" s="74"/>
      <c r="BP1081" s="77"/>
      <c r="BR1081" s="497">
        <v>8.0599999999999987</v>
      </c>
      <c r="BT1081" s="42"/>
    </row>
    <row r="1082" spans="1:72" x14ac:dyDescent="0.25">
      <c r="A1082" s="90">
        <v>34744</v>
      </c>
      <c r="B1082" s="20">
        <v>0.33333333333333331</v>
      </c>
      <c r="D1082">
        <v>26.060000000000002</v>
      </c>
      <c r="E1082" t="str">
        <f t="shared" si="68"/>
        <v>WEEKDAY</v>
      </c>
      <c r="F1082" t="e">
        <f t="shared" si="69"/>
        <v>#N/A</v>
      </c>
      <c r="G1082" s="74">
        <v>32187</v>
      </c>
      <c r="H1082" s="77">
        <v>0.33333333333333331</v>
      </c>
      <c r="J1082">
        <v>26.96</v>
      </c>
      <c r="M1082" s="74">
        <v>38031</v>
      </c>
      <c r="N1082" s="77">
        <v>0.33333333333333331</v>
      </c>
      <c r="P1082">
        <v>30.2</v>
      </c>
      <c r="S1082" s="74">
        <v>34744</v>
      </c>
      <c r="T1082" s="77">
        <v>0.33333333333333331</v>
      </c>
      <c r="V1082">
        <v>24.98</v>
      </c>
      <c r="X1082" s="42"/>
      <c r="AB1082">
        <v>30.5</v>
      </c>
      <c r="AC1082">
        <v>48.92</v>
      </c>
      <c r="AE1082" s="74"/>
      <c r="AF1082" s="77"/>
      <c r="AH1082" s="497">
        <v>19.939999999999998</v>
      </c>
      <c r="AJ1082" s="42"/>
      <c r="AK1082" s="74"/>
      <c r="AL1082" s="77"/>
      <c r="AN1082" s="497">
        <v>17.059999999999999</v>
      </c>
      <c r="AP1082" s="42"/>
      <c r="AQ1082" s="74"/>
      <c r="AR1082" s="77"/>
      <c r="AT1082" s="497">
        <v>17.059999999999999</v>
      </c>
      <c r="AV1082" s="42"/>
      <c r="AW1082" s="74"/>
      <c r="AX1082" s="77"/>
      <c r="BA1082" s="497">
        <v>21.02</v>
      </c>
      <c r="BB1082" s="42"/>
      <c r="BC1082" s="74"/>
      <c r="BD1082" s="77"/>
      <c r="BF1082">
        <v>15.079999999999998</v>
      </c>
      <c r="BH1082" s="42"/>
      <c r="BI1082" s="74"/>
      <c r="BJ1082" s="77"/>
      <c r="BL1082" s="497">
        <v>12.920000000000002</v>
      </c>
      <c r="BN1082" s="42"/>
      <c r="BO1082" s="74"/>
      <c r="BP1082" s="77"/>
      <c r="BR1082" s="497">
        <v>8.0599999999999987</v>
      </c>
      <c r="BT1082" s="42"/>
    </row>
    <row r="1083" spans="1:72" x14ac:dyDescent="0.25">
      <c r="A1083" s="90">
        <v>34744</v>
      </c>
      <c r="B1083" s="20">
        <v>0.375</v>
      </c>
      <c r="D1083">
        <v>26.96</v>
      </c>
      <c r="E1083" t="str">
        <f t="shared" si="68"/>
        <v>WEEKDAY</v>
      </c>
      <c r="F1083" t="e">
        <f t="shared" si="69"/>
        <v>#N/A</v>
      </c>
      <c r="G1083" s="74">
        <v>32187</v>
      </c>
      <c r="H1083" s="77">
        <v>0.375</v>
      </c>
      <c r="J1083">
        <v>28.04</v>
      </c>
      <c r="M1083" s="74">
        <v>38031</v>
      </c>
      <c r="N1083" s="77">
        <v>0.375</v>
      </c>
      <c r="P1083">
        <v>32</v>
      </c>
      <c r="S1083" s="74">
        <v>34744</v>
      </c>
      <c r="T1083" s="77">
        <v>0.375</v>
      </c>
      <c r="V1083">
        <v>26.96</v>
      </c>
      <c r="X1083" s="42"/>
      <c r="AB1083">
        <v>31.6</v>
      </c>
      <c r="AC1083">
        <v>50</v>
      </c>
      <c r="AE1083" s="74"/>
      <c r="AF1083" s="77"/>
      <c r="AH1083" s="497">
        <v>19.939999999999998</v>
      </c>
      <c r="AJ1083" s="42"/>
      <c r="AK1083" s="74"/>
      <c r="AL1083" s="77"/>
      <c r="AN1083" s="497">
        <v>19.04</v>
      </c>
      <c r="AP1083" s="42"/>
      <c r="AQ1083" s="74"/>
      <c r="AR1083" s="77"/>
      <c r="AT1083" s="497">
        <v>19.04</v>
      </c>
      <c r="AV1083" s="42"/>
      <c r="AW1083" s="74"/>
      <c r="AX1083" s="77"/>
      <c r="BA1083" s="497">
        <v>21.02</v>
      </c>
      <c r="BB1083" s="42"/>
      <c r="BC1083" s="74"/>
      <c r="BD1083" s="77"/>
      <c r="BF1083">
        <v>15.079999999999998</v>
      </c>
      <c r="BH1083" s="42"/>
      <c r="BI1083" s="74"/>
      <c r="BJ1083" s="77"/>
      <c r="BL1083" s="497">
        <v>15.98</v>
      </c>
      <c r="BN1083" s="42"/>
      <c r="BO1083" s="74"/>
      <c r="BP1083" s="77"/>
      <c r="BR1083" s="497">
        <v>12.920000000000002</v>
      </c>
      <c r="BT1083" s="42"/>
    </row>
    <row r="1084" spans="1:72" x14ac:dyDescent="0.25">
      <c r="A1084" s="90">
        <v>34744</v>
      </c>
      <c r="B1084" s="20">
        <v>0.41666666666666669</v>
      </c>
      <c r="D1084">
        <v>26.96</v>
      </c>
      <c r="E1084" t="str">
        <f t="shared" si="68"/>
        <v>WEEKDAY</v>
      </c>
      <c r="F1084" t="e">
        <f t="shared" si="69"/>
        <v>#N/A</v>
      </c>
      <c r="G1084" s="74">
        <v>32187</v>
      </c>
      <c r="H1084" s="77">
        <v>0.41666666666666669</v>
      </c>
      <c r="J1084">
        <v>30.02</v>
      </c>
      <c r="M1084" s="74">
        <v>38031</v>
      </c>
      <c r="N1084" s="77">
        <v>0.41666666666666669</v>
      </c>
      <c r="P1084">
        <v>33.799999999999997</v>
      </c>
      <c r="S1084" s="74">
        <v>34744</v>
      </c>
      <c r="T1084" s="77">
        <v>0.41666666666666669</v>
      </c>
      <c r="V1084">
        <v>28.04</v>
      </c>
      <c r="X1084" s="42"/>
      <c r="AB1084">
        <v>33.299999999999997</v>
      </c>
      <c r="AC1084">
        <v>51.980000000000004</v>
      </c>
      <c r="AE1084" s="74"/>
      <c r="AF1084" s="77"/>
      <c r="AH1084" s="497">
        <v>20.84</v>
      </c>
      <c r="AJ1084" s="42"/>
      <c r="AK1084" s="74"/>
      <c r="AL1084" s="77"/>
      <c r="AN1084" s="497">
        <v>21.02</v>
      </c>
      <c r="AP1084" s="42"/>
      <c r="AQ1084" s="74"/>
      <c r="AR1084" s="77"/>
      <c r="AT1084" s="497">
        <v>21.02</v>
      </c>
      <c r="AV1084" s="42"/>
      <c r="AW1084" s="74"/>
      <c r="AX1084" s="77"/>
      <c r="BA1084" s="497">
        <v>24.98</v>
      </c>
      <c r="BB1084" s="42"/>
      <c r="BC1084" s="74"/>
      <c r="BD1084" s="77"/>
      <c r="BF1084">
        <v>15.98</v>
      </c>
      <c r="BH1084" s="42"/>
      <c r="BI1084" s="74"/>
      <c r="BJ1084" s="77"/>
      <c r="BL1084" s="497">
        <v>17.96</v>
      </c>
      <c r="BN1084" s="42"/>
      <c r="BO1084" s="74"/>
      <c r="BP1084" s="77"/>
      <c r="BR1084" s="497">
        <v>17.96</v>
      </c>
      <c r="BT1084" s="42"/>
    </row>
    <row r="1085" spans="1:72" x14ac:dyDescent="0.25">
      <c r="A1085" s="90">
        <v>34744</v>
      </c>
      <c r="B1085" s="20">
        <v>0.45833333333333331</v>
      </c>
      <c r="D1085">
        <v>28.04</v>
      </c>
      <c r="E1085" t="str">
        <f t="shared" si="68"/>
        <v>WEEKDAY</v>
      </c>
      <c r="F1085" t="e">
        <f t="shared" si="69"/>
        <v>#N/A</v>
      </c>
      <c r="G1085" s="74">
        <v>32187</v>
      </c>
      <c r="H1085" s="77">
        <v>0.45833333333333331</v>
      </c>
      <c r="J1085">
        <v>30.92</v>
      </c>
      <c r="M1085" s="74">
        <v>38031</v>
      </c>
      <c r="N1085" s="77">
        <v>0.45833333333333331</v>
      </c>
      <c r="P1085">
        <v>35.6</v>
      </c>
      <c r="S1085" s="74">
        <v>34744</v>
      </c>
      <c r="T1085" s="77">
        <v>0.45833333333333331</v>
      </c>
      <c r="V1085">
        <v>30.02</v>
      </c>
      <c r="X1085" s="42"/>
      <c r="AB1085">
        <v>34.799999999999997</v>
      </c>
      <c r="AC1085">
        <v>51.08</v>
      </c>
      <c r="AE1085" s="74"/>
      <c r="AF1085" s="77"/>
      <c r="AH1085" s="497">
        <v>21.92</v>
      </c>
      <c r="AJ1085" s="42"/>
      <c r="AK1085" s="74"/>
      <c r="AL1085" s="77"/>
      <c r="AN1085" s="497">
        <v>23</v>
      </c>
      <c r="AP1085" s="42"/>
      <c r="AQ1085" s="74"/>
      <c r="AR1085" s="77"/>
      <c r="AT1085" s="497">
        <v>24.08</v>
      </c>
      <c r="AV1085" s="42"/>
      <c r="AW1085" s="74"/>
      <c r="AX1085" s="77"/>
      <c r="BA1085" s="497">
        <v>26.96</v>
      </c>
      <c r="BB1085" s="42"/>
      <c r="BC1085" s="74"/>
      <c r="BD1085" s="77"/>
      <c r="BF1085">
        <v>19.939999999999998</v>
      </c>
      <c r="BH1085" s="42"/>
      <c r="BI1085" s="74"/>
      <c r="BJ1085" s="77"/>
      <c r="BL1085" s="497">
        <v>19.939999999999998</v>
      </c>
      <c r="BN1085" s="42"/>
      <c r="BO1085" s="74"/>
      <c r="BP1085" s="77"/>
      <c r="BR1085" s="497">
        <v>19.939999999999998</v>
      </c>
      <c r="BT1085" s="42"/>
    </row>
    <row r="1086" spans="1:72" x14ac:dyDescent="0.25">
      <c r="A1086" s="90">
        <v>34744</v>
      </c>
      <c r="B1086" s="20">
        <v>0.5</v>
      </c>
      <c r="D1086">
        <v>28.94</v>
      </c>
      <c r="E1086" t="str">
        <f t="shared" si="68"/>
        <v>WEEKDAY</v>
      </c>
      <c r="F1086" t="e">
        <f t="shared" si="69"/>
        <v>#N/A</v>
      </c>
      <c r="G1086" s="74">
        <v>32187</v>
      </c>
      <c r="H1086" s="77">
        <v>0.5</v>
      </c>
      <c r="J1086">
        <v>32</v>
      </c>
      <c r="M1086" s="74">
        <v>38031</v>
      </c>
      <c r="N1086" s="77">
        <v>0.5</v>
      </c>
      <c r="P1086">
        <v>35.6</v>
      </c>
      <c r="S1086" s="74">
        <v>34744</v>
      </c>
      <c r="T1086" s="77">
        <v>0.5</v>
      </c>
      <c r="V1086">
        <v>30.92</v>
      </c>
      <c r="X1086" s="42"/>
      <c r="AB1086">
        <v>36.200000000000003</v>
      </c>
      <c r="AC1086">
        <v>48.019999999999996</v>
      </c>
      <c r="AE1086" s="74"/>
      <c r="AF1086" s="77"/>
      <c r="AH1086" s="497">
        <v>23.9</v>
      </c>
      <c r="AJ1086" s="42"/>
      <c r="AK1086" s="74"/>
      <c r="AL1086" s="77"/>
      <c r="AN1086" s="497">
        <v>26.060000000000002</v>
      </c>
      <c r="AP1086" s="42"/>
      <c r="AQ1086" s="74"/>
      <c r="AR1086" s="77"/>
      <c r="AT1086" s="497">
        <v>26.060000000000002</v>
      </c>
      <c r="AV1086" s="42"/>
      <c r="AW1086" s="74"/>
      <c r="AX1086" s="77"/>
      <c r="BA1086" s="497">
        <v>28.04</v>
      </c>
      <c r="BB1086" s="42"/>
      <c r="BC1086" s="74"/>
      <c r="BD1086" s="77"/>
      <c r="BF1086">
        <v>21.92</v>
      </c>
      <c r="BH1086" s="42"/>
      <c r="BI1086" s="74"/>
      <c r="BJ1086" s="77"/>
      <c r="BL1086" s="497">
        <v>23</v>
      </c>
      <c r="BN1086" s="42"/>
      <c r="BO1086" s="74"/>
      <c r="BP1086" s="77"/>
      <c r="BR1086" s="497">
        <v>21.92</v>
      </c>
      <c r="BT1086" s="42"/>
    </row>
    <row r="1087" spans="1:72" x14ac:dyDescent="0.25">
      <c r="A1087" s="90">
        <v>34744</v>
      </c>
      <c r="B1087" s="20">
        <v>0.54166666666666663</v>
      </c>
      <c r="D1087">
        <v>30.92</v>
      </c>
      <c r="E1087" t="str">
        <f t="shared" si="68"/>
        <v>WEEKDAY</v>
      </c>
      <c r="F1087" t="e">
        <f t="shared" si="69"/>
        <v>#N/A</v>
      </c>
      <c r="G1087" s="74">
        <v>32187</v>
      </c>
      <c r="H1087" s="77">
        <v>0.54166666666666663</v>
      </c>
      <c r="J1087">
        <v>33.979999999999997</v>
      </c>
      <c r="M1087" s="74">
        <v>38031</v>
      </c>
      <c r="N1087" s="77">
        <v>0.54166666666666663</v>
      </c>
      <c r="P1087">
        <v>37.4</v>
      </c>
      <c r="S1087" s="74">
        <v>34744</v>
      </c>
      <c r="T1087" s="77">
        <v>0.54166666666666663</v>
      </c>
      <c r="V1087">
        <v>30.92</v>
      </c>
      <c r="X1087" s="42"/>
      <c r="AB1087">
        <v>37.200000000000003</v>
      </c>
      <c r="AC1087">
        <v>46.94</v>
      </c>
      <c r="AE1087" s="74"/>
      <c r="AF1087" s="77"/>
      <c r="AH1087" s="497">
        <v>25.88</v>
      </c>
      <c r="AJ1087" s="42"/>
      <c r="AK1087" s="74"/>
      <c r="AL1087" s="77"/>
      <c r="AN1087" s="497">
        <v>26.060000000000002</v>
      </c>
      <c r="AP1087" s="42"/>
      <c r="AQ1087" s="74"/>
      <c r="AR1087" s="77"/>
      <c r="AT1087" s="497">
        <v>26.96</v>
      </c>
      <c r="AV1087" s="42"/>
      <c r="AW1087" s="74"/>
      <c r="AX1087" s="77"/>
      <c r="BA1087" s="497">
        <v>32</v>
      </c>
      <c r="BB1087" s="42"/>
      <c r="BC1087" s="74"/>
      <c r="BD1087" s="77"/>
      <c r="BF1087">
        <v>24.98</v>
      </c>
      <c r="BH1087" s="42"/>
      <c r="BI1087" s="74"/>
      <c r="BJ1087" s="77"/>
      <c r="BL1087" s="497">
        <v>24.08</v>
      </c>
      <c r="BN1087" s="42"/>
      <c r="BO1087" s="74"/>
      <c r="BP1087" s="77"/>
      <c r="BR1087" s="497">
        <v>24.08</v>
      </c>
      <c r="BT1087" s="42"/>
    </row>
    <row r="1088" spans="1:72" x14ac:dyDescent="0.25">
      <c r="A1088" s="90">
        <v>34744</v>
      </c>
      <c r="B1088" s="20">
        <v>0.58333333333333337</v>
      </c>
      <c r="D1088">
        <v>30.92</v>
      </c>
      <c r="E1088" t="str">
        <f t="shared" si="68"/>
        <v>WEEKDAY</v>
      </c>
      <c r="F1088" t="e">
        <f t="shared" si="69"/>
        <v>#N/A</v>
      </c>
      <c r="G1088" s="74">
        <v>32187</v>
      </c>
      <c r="H1088" s="77">
        <v>0.58333333333333337</v>
      </c>
      <c r="J1088">
        <v>35.96</v>
      </c>
      <c r="M1088" s="74">
        <v>38031</v>
      </c>
      <c r="N1088" s="77">
        <v>0.58333333333333337</v>
      </c>
      <c r="P1088">
        <v>38.659999999999997</v>
      </c>
      <c r="S1088" s="74">
        <v>34744</v>
      </c>
      <c r="T1088" s="77">
        <v>0.58333333333333337</v>
      </c>
      <c r="V1088">
        <v>33.08</v>
      </c>
      <c r="X1088" s="42"/>
      <c r="AB1088">
        <v>38.1</v>
      </c>
      <c r="AC1088">
        <v>51.08</v>
      </c>
      <c r="AE1088" s="74"/>
      <c r="AF1088" s="77"/>
      <c r="AH1088" s="497">
        <v>27.86</v>
      </c>
      <c r="AJ1088" s="42"/>
      <c r="AK1088" s="74"/>
      <c r="AL1088" s="77"/>
      <c r="AN1088" s="497">
        <v>26.96</v>
      </c>
      <c r="AP1088" s="42"/>
      <c r="AQ1088" s="74"/>
      <c r="AR1088" s="77"/>
      <c r="AT1088" s="497">
        <v>28.94</v>
      </c>
      <c r="AV1088" s="42"/>
      <c r="AW1088" s="74"/>
      <c r="AX1088" s="77"/>
      <c r="BA1088" s="497">
        <v>32</v>
      </c>
      <c r="BB1088" s="42"/>
      <c r="BC1088" s="74"/>
      <c r="BD1088" s="77"/>
      <c r="BF1088">
        <v>28.04</v>
      </c>
      <c r="BH1088" s="42"/>
      <c r="BI1088" s="74"/>
      <c r="BJ1088" s="77"/>
      <c r="BL1088" s="497">
        <v>24.98</v>
      </c>
      <c r="BN1088" s="42"/>
      <c r="BO1088" s="74"/>
      <c r="BP1088" s="77"/>
      <c r="BR1088" s="497">
        <v>24.98</v>
      </c>
      <c r="BT1088" s="42"/>
    </row>
    <row r="1089" spans="1:72" x14ac:dyDescent="0.25">
      <c r="A1089" s="90">
        <v>34744</v>
      </c>
      <c r="B1089" s="20">
        <v>0.625</v>
      </c>
      <c r="D1089">
        <v>33.08</v>
      </c>
      <c r="E1089" t="str">
        <f t="shared" si="68"/>
        <v>WEEKDAY</v>
      </c>
      <c r="F1089" t="e">
        <f t="shared" si="69"/>
        <v>#N/A</v>
      </c>
      <c r="G1089" s="74">
        <v>32187</v>
      </c>
      <c r="H1089" s="77">
        <v>0.625</v>
      </c>
      <c r="J1089">
        <v>35.96</v>
      </c>
      <c r="M1089" s="74">
        <v>38031</v>
      </c>
      <c r="N1089" s="77">
        <v>0.625</v>
      </c>
      <c r="P1089">
        <v>39.200000000000003</v>
      </c>
      <c r="S1089" s="74">
        <v>34744</v>
      </c>
      <c r="T1089" s="77">
        <v>0.625</v>
      </c>
      <c r="V1089">
        <v>33.08</v>
      </c>
      <c r="X1089" s="42"/>
      <c r="AB1089">
        <v>38.700000000000003</v>
      </c>
      <c r="AC1089">
        <v>51.08</v>
      </c>
      <c r="AE1089" s="74"/>
      <c r="AF1089" s="77"/>
      <c r="AH1089" s="497">
        <v>28.94</v>
      </c>
      <c r="AJ1089" s="42"/>
      <c r="AK1089" s="74"/>
      <c r="AL1089" s="77"/>
      <c r="AN1089" s="497">
        <v>28.04</v>
      </c>
      <c r="AP1089" s="42"/>
      <c r="AQ1089" s="74"/>
      <c r="AR1089" s="77"/>
      <c r="AT1089" s="497">
        <v>28.94</v>
      </c>
      <c r="AV1089" s="42"/>
      <c r="AW1089" s="74"/>
      <c r="AX1089" s="77"/>
      <c r="BA1089" s="497">
        <v>32</v>
      </c>
      <c r="BB1089" s="42"/>
      <c r="BC1089" s="74"/>
      <c r="BD1089" s="77"/>
      <c r="BF1089">
        <v>32</v>
      </c>
      <c r="BH1089" s="42"/>
      <c r="BI1089" s="74"/>
      <c r="BJ1089" s="77"/>
      <c r="BL1089" s="497">
        <v>28.04</v>
      </c>
      <c r="BN1089" s="42"/>
      <c r="BO1089" s="74"/>
      <c r="BP1089" s="77"/>
      <c r="BR1089" s="497">
        <v>26.060000000000002</v>
      </c>
      <c r="BT1089" s="42"/>
    </row>
    <row r="1090" spans="1:72" x14ac:dyDescent="0.25">
      <c r="A1090" s="90">
        <v>34744</v>
      </c>
      <c r="B1090" s="20">
        <v>0.66666666666666663</v>
      </c>
      <c r="D1090">
        <v>33.08</v>
      </c>
      <c r="E1090" t="str">
        <f t="shared" si="68"/>
        <v>WEEKDAY</v>
      </c>
      <c r="F1090" t="e">
        <f t="shared" si="69"/>
        <v>#N/A</v>
      </c>
      <c r="G1090" s="74">
        <v>32187</v>
      </c>
      <c r="H1090" s="77">
        <v>0.66666666666666663</v>
      </c>
      <c r="J1090">
        <v>37.04</v>
      </c>
      <c r="M1090" s="74">
        <v>38031</v>
      </c>
      <c r="N1090" s="77">
        <v>0.66666666666666663</v>
      </c>
      <c r="P1090">
        <v>39.200000000000003</v>
      </c>
      <c r="S1090" s="74">
        <v>34744</v>
      </c>
      <c r="T1090" s="77">
        <v>0.66666666666666663</v>
      </c>
      <c r="V1090">
        <v>33.08</v>
      </c>
      <c r="X1090" s="42"/>
      <c r="AB1090">
        <v>38.9</v>
      </c>
      <c r="AC1090">
        <v>51.08</v>
      </c>
      <c r="AE1090" s="74"/>
      <c r="AF1090" s="77"/>
      <c r="AH1090" s="497">
        <v>30.02</v>
      </c>
      <c r="AJ1090" s="42"/>
      <c r="AK1090" s="74"/>
      <c r="AL1090" s="77"/>
      <c r="AN1090" s="497">
        <v>28.04</v>
      </c>
      <c r="AP1090" s="42"/>
      <c r="AQ1090" s="74"/>
      <c r="AR1090" s="77"/>
      <c r="AT1090" s="497">
        <v>28.94</v>
      </c>
      <c r="AV1090" s="42"/>
      <c r="AW1090" s="74"/>
      <c r="AX1090" s="77"/>
      <c r="BA1090" s="497">
        <v>30.02</v>
      </c>
      <c r="BB1090" s="42"/>
      <c r="BC1090" s="74"/>
      <c r="BD1090" s="77"/>
      <c r="BF1090">
        <v>33.979999999999997</v>
      </c>
      <c r="BH1090" s="42"/>
      <c r="BI1090" s="74"/>
      <c r="BJ1090" s="77"/>
      <c r="BL1090" s="497">
        <v>30.02</v>
      </c>
      <c r="BN1090" s="42"/>
      <c r="BO1090" s="74"/>
      <c r="BP1090" s="77"/>
      <c r="BR1090" s="497">
        <v>24.98</v>
      </c>
      <c r="BT1090" s="42"/>
    </row>
    <row r="1091" spans="1:72" x14ac:dyDescent="0.25">
      <c r="A1091" s="90">
        <v>34744</v>
      </c>
      <c r="B1091" s="20">
        <v>0.70833333333333337</v>
      </c>
      <c r="D1091">
        <v>33.08</v>
      </c>
      <c r="E1091" t="str">
        <f t="shared" si="68"/>
        <v>WEEKDAY</v>
      </c>
      <c r="F1091" t="e">
        <f t="shared" si="69"/>
        <v>#N/A</v>
      </c>
      <c r="G1091" s="74">
        <v>32187</v>
      </c>
      <c r="H1091" s="77">
        <v>0.70833333333333337</v>
      </c>
      <c r="J1091">
        <v>35.06</v>
      </c>
      <c r="M1091" s="74">
        <v>38031</v>
      </c>
      <c r="N1091" s="77">
        <v>0.70833333333333337</v>
      </c>
      <c r="P1091">
        <v>37.4</v>
      </c>
      <c r="S1091" s="74">
        <v>34744</v>
      </c>
      <c r="T1091" s="77">
        <v>0.70833333333333337</v>
      </c>
      <c r="V1091">
        <v>32</v>
      </c>
      <c r="X1091" s="42"/>
      <c r="AB1091">
        <v>38.5</v>
      </c>
      <c r="AC1091">
        <v>42.980000000000004</v>
      </c>
      <c r="AE1091" s="74"/>
      <c r="AF1091" s="77"/>
      <c r="AH1091" s="497">
        <v>29.84</v>
      </c>
      <c r="AJ1091" s="42"/>
      <c r="AK1091" s="74"/>
      <c r="AL1091" s="77"/>
      <c r="AN1091" s="497">
        <v>26.060000000000002</v>
      </c>
      <c r="AP1091" s="42"/>
      <c r="AQ1091" s="74"/>
      <c r="AR1091" s="77"/>
      <c r="AT1091" s="497">
        <v>30.02</v>
      </c>
      <c r="AV1091" s="42"/>
      <c r="AW1091" s="74"/>
      <c r="AX1091" s="77"/>
      <c r="BA1091" s="497">
        <v>26.060000000000002</v>
      </c>
      <c r="BB1091" s="42"/>
      <c r="BC1091" s="74"/>
      <c r="BD1091" s="77"/>
      <c r="BF1091">
        <v>33.08</v>
      </c>
      <c r="BH1091" s="42"/>
      <c r="BI1091" s="74"/>
      <c r="BJ1091" s="77"/>
      <c r="BL1091" s="497">
        <v>30.02</v>
      </c>
      <c r="BN1091" s="42"/>
      <c r="BO1091" s="74"/>
      <c r="BP1091" s="77"/>
      <c r="BR1091" s="497">
        <v>24.08</v>
      </c>
      <c r="BT1091" s="42"/>
    </row>
    <row r="1092" spans="1:72" x14ac:dyDescent="0.25">
      <c r="A1092" s="90">
        <v>34744</v>
      </c>
      <c r="B1092" s="20">
        <v>0.75</v>
      </c>
      <c r="D1092">
        <v>32</v>
      </c>
      <c r="E1092" t="str">
        <f t="shared" si="68"/>
        <v>WEEKDAY</v>
      </c>
      <c r="F1092" t="e">
        <f t="shared" si="69"/>
        <v>#N/A</v>
      </c>
      <c r="G1092" s="74">
        <v>32187</v>
      </c>
      <c r="H1092" s="77">
        <v>0.75</v>
      </c>
      <c r="J1092">
        <v>33.08</v>
      </c>
      <c r="M1092" s="74">
        <v>38031</v>
      </c>
      <c r="N1092" s="77">
        <v>0.75</v>
      </c>
      <c r="P1092">
        <v>35.6</v>
      </c>
      <c r="S1092" s="74">
        <v>34744</v>
      </c>
      <c r="T1092" s="77">
        <v>0.75</v>
      </c>
      <c r="V1092">
        <v>28.94</v>
      </c>
      <c r="X1092" s="42"/>
      <c r="AB1092">
        <v>37.5</v>
      </c>
      <c r="AC1092">
        <v>42.980000000000004</v>
      </c>
      <c r="AE1092" s="74"/>
      <c r="AF1092" s="77"/>
      <c r="AH1092" s="497">
        <v>28.94</v>
      </c>
      <c r="AJ1092" s="42"/>
      <c r="AK1092" s="74"/>
      <c r="AL1092" s="77"/>
      <c r="AN1092" s="497">
        <v>24.08</v>
      </c>
      <c r="AP1092" s="42"/>
      <c r="AQ1092" s="74"/>
      <c r="AR1092" s="77"/>
      <c r="AT1092" s="497">
        <v>26.060000000000002</v>
      </c>
      <c r="AV1092" s="42"/>
      <c r="AW1092" s="74"/>
      <c r="AX1092" s="77"/>
      <c r="BA1092" s="497">
        <v>24.08</v>
      </c>
      <c r="BB1092" s="42"/>
      <c r="BC1092" s="74"/>
      <c r="BD1092" s="77"/>
      <c r="BF1092">
        <v>32</v>
      </c>
      <c r="BH1092" s="42"/>
      <c r="BI1092" s="74"/>
      <c r="BJ1092" s="77"/>
      <c r="BL1092" s="497">
        <v>28.94</v>
      </c>
      <c r="BN1092" s="42"/>
      <c r="BO1092" s="74"/>
      <c r="BP1092" s="77"/>
      <c r="BR1092" s="497">
        <v>24.08</v>
      </c>
      <c r="BT1092" s="42"/>
    </row>
    <row r="1093" spans="1:72" x14ac:dyDescent="0.25">
      <c r="A1093" s="90">
        <v>34744</v>
      </c>
      <c r="B1093" s="20">
        <v>0.79166666666666663</v>
      </c>
      <c r="D1093">
        <v>30.92</v>
      </c>
      <c r="E1093" t="str">
        <f t="shared" si="68"/>
        <v>WEEKDAY</v>
      </c>
      <c r="F1093" t="e">
        <f t="shared" si="69"/>
        <v>#N/A</v>
      </c>
      <c r="G1093" s="74">
        <v>32187</v>
      </c>
      <c r="H1093" s="77">
        <v>0.79166666666666663</v>
      </c>
      <c r="J1093">
        <v>32</v>
      </c>
      <c r="M1093" s="74">
        <v>38031</v>
      </c>
      <c r="N1093" s="77">
        <v>0.79166666666666663</v>
      </c>
      <c r="P1093">
        <v>35.6</v>
      </c>
      <c r="S1093" s="74">
        <v>34744</v>
      </c>
      <c r="T1093" s="77">
        <v>0.79166666666666663</v>
      </c>
      <c r="V1093">
        <v>28.94</v>
      </c>
      <c r="X1093" s="42"/>
      <c r="AB1093">
        <v>36.4</v>
      </c>
      <c r="AC1093">
        <v>42.980000000000004</v>
      </c>
      <c r="AE1093" s="74"/>
      <c r="AF1093" s="77"/>
      <c r="AH1093" s="497">
        <v>26.96</v>
      </c>
      <c r="AJ1093" s="42"/>
      <c r="AK1093" s="74"/>
      <c r="AL1093" s="77"/>
      <c r="AN1093" s="497">
        <v>21.92</v>
      </c>
      <c r="AP1093" s="42"/>
      <c r="AQ1093" s="74"/>
      <c r="AR1093" s="77"/>
      <c r="AT1093" s="497">
        <v>23</v>
      </c>
      <c r="AV1093" s="42"/>
      <c r="AW1093" s="74"/>
      <c r="AX1093" s="77"/>
      <c r="BA1093" s="497">
        <v>24.98</v>
      </c>
      <c r="BB1093" s="42"/>
      <c r="BC1093" s="74"/>
      <c r="BD1093" s="77"/>
      <c r="BF1093">
        <v>32</v>
      </c>
      <c r="BH1093" s="42"/>
      <c r="BI1093" s="74"/>
      <c r="BJ1093" s="77"/>
      <c r="BL1093" s="497">
        <v>28.04</v>
      </c>
      <c r="BN1093" s="42"/>
      <c r="BO1093" s="74"/>
      <c r="BP1093" s="77"/>
      <c r="BR1093" s="497">
        <v>23</v>
      </c>
      <c r="BT1093" s="42"/>
    </row>
    <row r="1094" spans="1:72" x14ac:dyDescent="0.25">
      <c r="A1094" s="90">
        <v>34744</v>
      </c>
      <c r="B1094" s="20">
        <v>0.83333333333333337</v>
      </c>
      <c r="D1094">
        <v>30.92</v>
      </c>
      <c r="E1094" t="str">
        <f t="shared" si="68"/>
        <v>WEEKDAY</v>
      </c>
      <c r="F1094" t="e">
        <f t="shared" si="69"/>
        <v>#N/A</v>
      </c>
      <c r="G1094" s="74">
        <v>32187</v>
      </c>
      <c r="H1094" s="77">
        <v>0.83333333333333337</v>
      </c>
      <c r="J1094">
        <v>32</v>
      </c>
      <c r="M1094" s="74">
        <v>38031</v>
      </c>
      <c r="N1094" s="77">
        <v>0.83333333333333337</v>
      </c>
      <c r="P1094">
        <v>33.799999999999997</v>
      </c>
      <c r="S1094" s="74">
        <v>34744</v>
      </c>
      <c r="T1094" s="77">
        <v>0.83333333333333337</v>
      </c>
      <c r="V1094">
        <v>28.94</v>
      </c>
      <c r="X1094" s="42"/>
      <c r="AB1094">
        <v>35.9</v>
      </c>
      <c r="AC1094">
        <v>42.08</v>
      </c>
      <c r="AE1094" s="74"/>
      <c r="AF1094" s="77"/>
      <c r="AH1094" s="497">
        <v>24.98</v>
      </c>
      <c r="AJ1094" s="42"/>
      <c r="AK1094" s="74"/>
      <c r="AL1094" s="77"/>
      <c r="AN1094" s="497">
        <v>21.92</v>
      </c>
      <c r="AP1094" s="42"/>
      <c r="AQ1094" s="74"/>
      <c r="AR1094" s="77"/>
      <c r="AT1094" s="497">
        <v>17.059999999999999</v>
      </c>
      <c r="AV1094" s="42"/>
      <c r="AW1094" s="74"/>
      <c r="AX1094" s="77"/>
      <c r="BA1094" s="497">
        <v>21.92</v>
      </c>
      <c r="BB1094" s="42"/>
      <c r="BC1094" s="74"/>
      <c r="BD1094" s="77"/>
      <c r="BF1094">
        <v>39.92</v>
      </c>
      <c r="BH1094" s="42"/>
      <c r="BI1094" s="74"/>
      <c r="BJ1094" s="77"/>
      <c r="BL1094" s="497">
        <v>28.94</v>
      </c>
      <c r="BN1094" s="42"/>
      <c r="BO1094" s="74"/>
      <c r="BP1094" s="77"/>
      <c r="BR1094" s="497">
        <v>23</v>
      </c>
      <c r="BT1094" s="42"/>
    </row>
    <row r="1095" spans="1:72" x14ac:dyDescent="0.25">
      <c r="A1095" s="90">
        <v>34744</v>
      </c>
      <c r="B1095" s="20">
        <v>0.875</v>
      </c>
      <c r="D1095">
        <v>30.02</v>
      </c>
      <c r="E1095" t="str">
        <f t="shared" si="68"/>
        <v>WEEKDAY</v>
      </c>
      <c r="F1095" t="e">
        <f t="shared" si="69"/>
        <v>#N/A</v>
      </c>
      <c r="G1095" s="74">
        <v>32187</v>
      </c>
      <c r="H1095" s="77">
        <v>0.875</v>
      </c>
      <c r="J1095">
        <v>30.92</v>
      </c>
      <c r="M1095" s="74">
        <v>38031</v>
      </c>
      <c r="N1095" s="77">
        <v>0.875</v>
      </c>
      <c r="P1095">
        <v>33.799999999999997</v>
      </c>
      <c r="S1095" s="74">
        <v>34744</v>
      </c>
      <c r="T1095" s="77">
        <v>0.875</v>
      </c>
      <c r="V1095">
        <v>28.04</v>
      </c>
      <c r="X1095" s="42"/>
      <c r="AB1095">
        <v>35.299999999999997</v>
      </c>
      <c r="AC1095">
        <v>42.08</v>
      </c>
      <c r="AE1095" s="74"/>
      <c r="AF1095" s="77"/>
      <c r="AH1095" s="497">
        <v>23.9</v>
      </c>
      <c r="AJ1095" s="42"/>
      <c r="AK1095" s="74"/>
      <c r="AL1095" s="77"/>
      <c r="AN1095" s="497">
        <v>21.92</v>
      </c>
      <c r="AP1095" s="42"/>
      <c r="AQ1095" s="74"/>
      <c r="AR1095" s="77"/>
      <c r="AT1095" s="497">
        <v>17.059999999999999</v>
      </c>
      <c r="AV1095" s="42"/>
      <c r="AW1095" s="74"/>
      <c r="AX1095" s="77"/>
      <c r="BA1095" s="497">
        <v>21.02</v>
      </c>
      <c r="BB1095" s="42"/>
      <c r="BC1095" s="74"/>
      <c r="BD1095" s="77"/>
      <c r="BF1095">
        <v>41</v>
      </c>
      <c r="BH1095" s="42"/>
      <c r="BI1095" s="74"/>
      <c r="BJ1095" s="77"/>
      <c r="BL1095" s="497">
        <v>30.92</v>
      </c>
      <c r="BN1095" s="42"/>
      <c r="BO1095" s="74"/>
      <c r="BP1095" s="77"/>
      <c r="BR1095" s="497">
        <v>23</v>
      </c>
      <c r="BT1095" s="42"/>
    </row>
    <row r="1096" spans="1:72" x14ac:dyDescent="0.25">
      <c r="A1096" s="90">
        <v>34744</v>
      </c>
      <c r="B1096" s="20">
        <v>0.91666666666666663</v>
      </c>
      <c r="D1096">
        <v>28.94</v>
      </c>
      <c r="E1096" t="str">
        <f t="shared" si="68"/>
        <v>WEEKDAY</v>
      </c>
      <c r="F1096" t="e">
        <f t="shared" si="69"/>
        <v>#N/A</v>
      </c>
      <c r="G1096" s="74">
        <v>32187</v>
      </c>
      <c r="H1096" s="77">
        <v>0.91666666666666663</v>
      </c>
      <c r="J1096">
        <v>32</v>
      </c>
      <c r="M1096" s="74">
        <v>38031</v>
      </c>
      <c r="N1096" s="77">
        <v>0.91666666666666663</v>
      </c>
      <c r="P1096">
        <v>30.2</v>
      </c>
      <c r="S1096" s="74">
        <v>34744</v>
      </c>
      <c r="T1096" s="77">
        <v>0.91666666666666663</v>
      </c>
      <c r="V1096">
        <v>26.96</v>
      </c>
      <c r="X1096" s="42"/>
      <c r="AB1096">
        <v>34.700000000000003</v>
      </c>
      <c r="AC1096">
        <v>39.92</v>
      </c>
      <c r="AE1096" s="74"/>
      <c r="AF1096" s="77"/>
      <c r="AH1096" s="497">
        <v>21.92</v>
      </c>
      <c r="AJ1096" s="42"/>
      <c r="AK1096" s="74"/>
      <c r="AL1096" s="77"/>
      <c r="AN1096" s="497">
        <v>21.92</v>
      </c>
      <c r="AP1096" s="42"/>
      <c r="AQ1096" s="74"/>
      <c r="AR1096" s="77"/>
      <c r="AT1096" s="497">
        <v>15.98</v>
      </c>
      <c r="AV1096" s="42"/>
      <c r="AW1096" s="74"/>
      <c r="AX1096" s="77"/>
      <c r="BA1096" s="497">
        <v>23</v>
      </c>
      <c r="BB1096" s="42"/>
      <c r="BC1096" s="74"/>
      <c r="BD1096" s="77"/>
      <c r="BF1096">
        <v>42.980000000000004</v>
      </c>
      <c r="BH1096" s="42"/>
      <c r="BI1096" s="74"/>
      <c r="BJ1096" s="77"/>
      <c r="BL1096" s="497">
        <v>32</v>
      </c>
      <c r="BN1096" s="42"/>
      <c r="BO1096" s="74"/>
      <c r="BP1096" s="77"/>
      <c r="BR1096" s="497">
        <v>23</v>
      </c>
      <c r="BT1096" s="42"/>
    </row>
    <row r="1097" spans="1:72" x14ac:dyDescent="0.25">
      <c r="A1097" s="90">
        <v>34744</v>
      </c>
      <c r="B1097" s="20">
        <v>0.95833333333333337</v>
      </c>
      <c r="D1097">
        <v>28.04</v>
      </c>
      <c r="E1097" t="str">
        <f t="shared" si="68"/>
        <v>WEEKDAY</v>
      </c>
      <c r="F1097" t="e">
        <f t="shared" si="69"/>
        <v>#N/A</v>
      </c>
      <c r="G1097" s="74">
        <v>32187</v>
      </c>
      <c r="H1097" s="77">
        <v>0.95833333333333337</v>
      </c>
      <c r="J1097">
        <v>30.92</v>
      </c>
      <c r="M1097" s="74">
        <v>38031</v>
      </c>
      <c r="N1097" s="77">
        <v>0.95833333333333337</v>
      </c>
      <c r="P1097">
        <v>30.2</v>
      </c>
      <c r="S1097" s="74">
        <v>34744</v>
      </c>
      <c r="T1097" s="77">
        <v>0.95833333333333337</v>
      </c>
      <c r="V1097">
        <v>24.98</v>
      </c>
      <c r="X1097" s="42"/>
      <c r="AB1097">
        <v>34.200000000000003</v>
      </c>
      <c r="AC1097">
        <v>39.92</v>
      </c>
      <c r="AE1097" s="74"/>
      <c r="AF1097" s="77"/>
      <c r="AH1097" s="497">
        <v>20.84</v>
      </c>
      <c r="AJ1097" s="42"/>
      <c r="AK1097" s="74"/>
      <c r="AL1097" s="77"/>
      <c r="AN1097" s="497">
        <v>24.08</v>
      </c>
      <c r="AP1097" s="42"/>
      <c r="AQ1097" s="74"/>
      <c r="AR1097" s="77"/>
      <c r="AT1097" s="497">
        <v>19.04</v>
      </c>
      <c r="AV1097" s="42"/>
      <c r="AW1097" s="74"/>
      <c r="AX1097" s="77"/>
      <c r="BA1097" s="497">
        <v>24.08</v>
      </c>
      <c r="BB1097" s="42"/>
      <c r="BC1097" s="74"/>
      <c r="BD1097" s="77"/>
      <c r="BF1097">
        <v>44.96</v>
      </c>
      <c r="BH1097" s="42"/>
      <c r="BI1097" s="74"/>
      <c r="BJ1097" s="77"/>
      <c r="BL1097" s="497">
        <v>35.06</v>
      </c>
      <c r="BN1097" s="42"/>
      <c r="BO1097" s="74"/>
      <c r="BP1097" s="77"/>
      <c r="BR1097" s="497">
        <v>23</v>
      </c>
      <c r="BT1097" s="42"/>
    </row>
    <row r="1098" spans="1:72" x14ac:dyDescent="0.25">
      <c r="A1098" s="90">
        <v>34744</v>
      </c>
      <c r="B1098" s="20">
        <v>1</v>
      </c>
      <c r="D1098">
        <v>28.04</v>
      </c>
      <c r="E1098" t="str">
        <f t="shared" si="68"/>
        <v>WEEKDAY</v>
      </c>
      <c r="F1098" t="e">
        <f t="shared" si="69"/>
        <v>#N/A</v>
      </c>
      <c r="G1098" s="74">
        <v>32187</v>
      </c>
      <c r="H1098" s="77">
        <v>1</v>
      </c>
      <c r="J1098">
        <v>30.92</v>
      </c>
      <c r="M1098" s="74">
        <v>38031</v>
      </c>
      <c r="N1098" s="80">
        <v>1</v>
      </c>
      <c r="P1098">
        <v>30.2</v>
      </c>
      <c r="S1098" s="74">
        <v>34744</v>
      </c>
      <c r="T1098" s="80">
        <v>1</v>
      </c>
      <c r="V1098">
        <v>24.98</v>
      </c>
      <c r="X1098" s="42"/>
      <c r="AB1098">
        <v>33.700000000000003</v>
      </c>
      <c r="AC1098">
        <v>42.980000000000004</v>
      </c>
      <c r="AE1098" s="74"/>
      <c r="AF1098" s="80"/>
      <c r="AH1098" s="497">
        <v>20.84</v>
      </c>
      <c r="AJ1098" s="42"/>
      <c r="AK1098" s="74"/>
      <c r="AL1098" s="80"/>
      <c r="AN1098" s="497">
        <v>24.98</v>
      </c>
      <c r="AP1098" s="42"/>
      <c r="AQ1098" s="74"/>
      <c r="AR1098" s="80"/>
      <c r="AT1098" s="497">
        <v>21.02</v>
      </c>
      <c r="AV1098" s="42"/>
      <c r="AW1098" s="74"/>
      <c r="AX1098" s="80"/>
      <c r="BA1098" s="497">
        <v>26.060000000000002</v>
      </c>
      <c r="BB1098" s="42"/>
      <c r="BC1098" s="74"/>
      <c r="BD1098" s="80"/>
      <c r="BF1098">
        <v>46.04</v>
      </c>
      <c r="BH1098" s="42"/>
      <c r="BI1098" s="74"/>
      <c r="BJ1098" s="80"/>
      <c r="BL1098" s="497">
        <v>35.96</v>
      </c>
      <c r="BN1098" s="42"/>
      <c r="BO1098" s="74"/>
      <c r="BP1098" s="80"/>
      <c r="BR1098" s="497">
        <v>21.92</v>
      </c>
      <c r="BT1098" s="42"/>
    </row>
    <row r="1099" spans="1:72" x14ac:dyDescent="0.25">
      <c r="A1099" s="90">
        <v>34745</v>
      </c>
      <c r="B1099" s="20">
        <v>4.1666666666666664E-2</v>
      </c>
      <c r="D1099">
        <v>26.96</v>
      </c>
      <c r="E1099" t="str">
        <f t="shared" si="68"/>
        <v>WEEKDAY</v>
      </c>
      <c r="F1099" t="e">
        <f t="shared" si="69"/>
        <v>#N/A</v>
      </c>
      <c r="G1099" s="74">
        <v>32188</v>
      </c>
      <c r="H1099" s="77">
        <v>4.1666666666666664E-2</v>
      </c>
      <c r="J1099">
        <v>32</v>
      </c>
      <c r="M1099" s="74">
        <v>38032</v>
      </c>
      <c r="N1099" s="77">
        <v>4.1666666666666664E-2</v>
      </c>
      <c r="P1099">
        <v>28.4</v>
      </c>
      <c r="S1099" s="74">
        <v>34745</v>
      </c>
      <c r="T1099" s="77">
        <v>4.1666666666666664E-2</v>
      </c>
      <c r="V1099">
        <v>24.08</v>
      </c>
      <c r="X1099" s="42"/>
      <c r="AB1099">
        <v>33.1</v>
      </c>
      <c r="AC1099">
        <v>39.92</v>
      </c>
      <c r="AE1099" s="74"/>
      <c r="AF1099" s="77"/>
      <c r="AH1099" s="497">
        <v>18.86</v>
      </c>
      <c r="AJ1099" s="42"/>
      <c r="AK1099" s="74"/>
      <c r="AL1099" s="77"/>
      <c r="AN1099" s="497">
        <v>26.060000000000002</v>
      </c>
      <c r="AP1099" s="42"/>
      <c r="AQ1099" s="74"/>
      <c r="AR1099" s="77"/>
      <c r="AT1099" s="497">
        <v>24.98</v>
      </c>
      <c r="AV1099" s="42"/>
      <c r="AW1099" s="74"/>
      <c r="AX1099" s="77"/>
      <c r="BA1099" s="497">
        <v>30.02</v>
      </c>
      <c r="BB1099" s="42"/>
      <c r="BC1099" s="74"/>
      <c r="BD1099" s="77"/>
      <c r="BF1099">
        <v>44.96</v>
      </c>
      <c r="BH1099" s="42"/>
      <c r="BI1099" s="74"/>
      <c r="BJ1099" s="77"/>
      <c r="BL1099" s="497">
        <v>37.04</v>
      </c>
      <c r="BN1099" s="42"/>
      <c r="BO1099" s="74"/>
      <c r="BP1099" s="77"/>
      <c r="BR1099" s="497">
        <v>21.92</v>
      </c>
      <c r="BT1099" s="42"/>
    </row>
    <row r="1100" spans="1:72" x14ac:dyDescent="0.25">
      <c r="A1100" s="90">
        <v>34745</v>
      </c>
      <c r="B1100" s="20">
        <v>8.3333333333333329E-2</v>
      </c>
      <c r="D1100">
        <v>26.060000000000002</v>
      </c>
      <c r="E1100" t="str">
        <f t="shared" si="68"/>
        <v>WEEKDAY</v>
      </c>
      <c r="F1100" t="e">
        <f t="shared" si="69"/>
        <v>#N/A</v>
      </c>
      <c r="G1100" s="74">
        <v>32188</v>
      </c>
      <c r="H1100" s="77">
        <v>8.3333333333333329E-2</v>
      </c>
      <c r="J1100">
        <v>32</v>
      </c>
      <c r="M1100" s="74">
        <v>38032</v>
      </c>
      <c r="N1100" s="77">
        <v>8.3333333333333329E-2</v>
      </c>
      <c r="P1100">
        <v>30.2</v>
      </c>
      <c r="S1100" s="74">
        <v>34745</v>
      </c>
      <c r="T1100" s="77">
        <v>8.3333333333333329E-2</v>
      </c>
      <c r="V1100">
        <v>21.02</v>
      </c>
      <c r="X1100" s="42"/>
      <c r="AB1100">
        <v>32.6</v>
      </c>
      <c r="AC1100">
        <v>37.04</v>
      </c>
      <c r="AE1100" s="74"/>
      <c r="AF1100" s="77"/>
      <c r="AH1100" s="497">
        <v>18.86</v>
      </c>
      <c r="AJ1100" s="42"/>
      <c r="AK1100" s="74"/>
      <c r="AL1100" s="77"/>
      <c r="AN1100" s="497">
        <v>26.060000000000002</v>
      </c>
      <c r="AP1100" s="42"/>
      <c r="AQ1100" s="74"/>
      <c r="AR1100" s="77"/>
      <c r="AT1100" s="497">
        <v>26.96</v>
      </c>
      <c r="AV1100" s="42"/>
      <c r="AW1100" s="74"/>
      <c r="AX1100" s="77"/>
      <c r="BA1100" s="497">
        <v>30.02</v>
      </c>
      <c r="BB1100" s="42"/>
      <c r="BC1100" s="74"/>
      <c r="BD1100" s="77"/>
      <c r="BF1100">
        <v>44.06</v>
      </c>
      <c r="BH1100" s="42"/>
      <c r="BI1100" s="74"/>
      <c r="BJ1100" s="77"/>
      <c r="BL1100" s="497">
        <v>37.04</v>
      </c>
      <c r="BN1100" s="42"/>
      <c r="BO1100" s="74"/>
      <c r="BP1100" s="77"/>
      <c r="BR1100" s="497">
        <v>23</v>
      </c>
      <c r="BT1100" s="42"/>
    </row>
    <row r="1101" spans="1:72" x14ac:dyDescent="0.25">
      <c r="A1101" s="90">
        <v>34745</v>
      </c>
      <c r="B1101" s="20">
        <v>0.125</v>
      </c>
      <c r="D1101">
        <v>24.08</v>
      </c>
      <c r="E1101" t="str">
        <f t="shared" si="68"/>
        <v>WEEKDAY</v>
      </c>
      <c r="F1101" t="e">
        <f t="shared" si="69"/>
        <v>#N/A</v>
      </c>
      <c r="G1101" s="74">
        <v>32188</v>
      </c>
      <c r="H1101" s="77">
        <v>0.125</v>
      </c>
      <c r="J1101">
        <v>33.08</v>
      </c>
      <c r="M1101" s="74">
        <v>38032</v>
      </c>
      <c r="N1101" s="77">
        <v>0.125</v>
      </c>
      <c r="P1101">
        <v>28.4</v>
      </c>
      <c r="S1101" s="74">
        <v>34745</v>
      </c>
      <c r="T1101" s="77">
        <v>0.125</v>
      </c>
      <c r="V1101">
        <v>21.92</v>
      </c>
      <c r="X1101" s="42"/>
      <c r="AB1101">
        <v>32</v>
      </c>
      <c r="AC1101">
        <v>33.979999999999997</v>
      </c>
      <c r="AE1101" s="74"/>
      <c r="AF1101" s="77"/>
      <c r="AH1101" s="497">
        <v>19.939999999999998</v>
      </c>
      <c r="AJ1101" s="42"/>
      <c r="AK1101" s="74"/>
      <c r="AL1101" s="77"/>
      <c r="AN1101" s="497">
        <v>28.04</v>
      </c>
      <c r="AP1101" s="42"/>
      <c r="AQ1101" s="74"/>
      <c r="AR1101" s="77"/>
      <c r="AT1101" s="497">
        <v>26.060000000000002</v>
      </c>
      <c r="AV1101" s="42"/>
      <c r="AW1101" s="74"/>
      <c r="AX1101" s="77"/>
      <c r="BA1101" s="497">
        <v>26.96</v>
      </c>
      <c r="BB1101" s="42"/>
      <c r="BC1101" s="74"/>
      <c r="BD1101" s="77"/>
      <c r="BF1101">
        <v>44.96</v>
      </c>
      <c r="BH1101" s="42"/>
      <c r="BI1101" s="74"/>
      <c r="BJ1101" s="77"/>
      <c r="BL1101" s="497">
        <v>37.04</v>
      </c>
      <c r="BN1101" s="42"/>
      <c r="BO1101" s="74"/>
      <c r="BP1101" s="77"/>
      <c r="BR1101" s="497">
        <v>23</v>
      </c>
      <c r="BT1101" s="42"/>
    </row>
    <row r="1102" spans="1:72" x14ac:dyDescent="0.25">
      <c r="A1102" s="90">
        <v>34745</v>
      </c>
      <c r="B1102" s="20">
        <v>0.16666666666666666</v>
      </c>
      <c r="D1102">
        <v>24.08</v>
      </c>
      <c r="E1102" t="str">
        <f t="shared" si="68"/>
        <v>WEEKDAY</v>
      </c>
      <c r="F1102" t="e">
        <f t="shared" si="69"/>
        <v>#N/A</v>
      </c>
      <c r="G1102" s="74">
        <v>32188</v>
      </c>
      <c r="H1102" s="77">
        <v>0.16666666666666666</v>
      </c>
      <c r="J1102">
        <v>33.979999999999997</v>
      </c>
      <c r="M1102" s="74">
        <v>38032</v>
      </c>
      <c r="N1102" s="77">
        <v>0.16666666666666666</v>
      </c>
      <c r="P1102">
        <v>28.4</v>
      </c>
      <c r="S1102" s="74">
        <v>34745</v>
      </c>
      <c r="T1102" s="77">
        <v>0.16666666666666666</v>
      </c>
      <c r="V1102">
        <v>19.939999999999998</v>
      </c>
      <c r="X1102" s="42"/>
      <c r="AB1102">
        <v>31.5</v>
      </c>
      <c r="AC1102">
        <v>33.979999999999997</v>
      </c>
      <c r="AE1102" s="74"/>
      <c r="AF1102" s="77"/>
      <c r="AH1102" s="497">
        <v>20.84</v>
      </c>
      <c r="AJ1102" s="42"/>
      <c r="AK1102" s="74"/>
      <c r="AL1102" s="77"/>
      <c r="AN1102" s="497">
        <v>28.94</v>
      </c>
      <c r="AP1102" s="42"/>
      <c r="AQ1102" s="74"/>
      <c r="AR1102" s="77"/>
      <c r="AT1102" s="497">
        <v>26.96</v>
      </c>
      <c r="AV1102" s="42"/>
      <c r="AW1102" s="74"/>
      <c r="AX1102" s="77"/>
      <c r="BA1102" s="497">
        <v>26.060000000000002</v>
      </c>
      <c r="BB1102" s="42"/>
      <c r="BC1102" s="74"/>
      <c r="BD1102" s="77"/>
      <c r="BF1102">
        <v>42.08</v>
      </c>
      <c r="BH1102" s="42"/>
      <c r="BI1102" s="74"/>
      <c r="BJ1102" s="77"/>
      <c r="BL1102" s="497">
        <v>39.019999999999996</v>
      </c>
      <c r="BN1102" s="42"/>
      <c r="BO1102" s="74"/>
      <c r="BP1102" s="77"/>
      <c r="BR1102" s="497">
        <v>23</v>
      </c>
      <c r="BT1102" s="42"/>
    </row>
    <row r="1103" spans="1:72" x14ac:dyDescent="0.25">
      <c r="A1103" s="90">
        <v>34745</v>
      </c>
      <c r="B1103" s="20">
        <v>0.20833333333333334</v>
      </c>
      <c r="D1103">
        <v>24.08</v>
      </c>
      <c r="E1103" t="str">
        <f t="shared" si="68"/>
        <v>WEEKDAY</v>
      </c>
      <c r="F1103" t="e">
        <f t="shared" si="69"/>
        <v>#N/A</v>
      </c>
      <c r="G1103" s="74">
        <v>32188</v>
      </c>
      <c r="H1103" s="77">
        <v>0.20833333333333334</v>
      </c>
      <c r="J1103">
        <v>33.08</v>
      </c>
      <c r="M1103" s="74">
        <v>38032</v>
      </c>
      <c r="N1103" s="77">
        <v>0.20833333333333334</v>
      </c>
      <c r="P1103">
        <v>26.6</v>
      </c>
      <c r="S1103" s="74">
        <v>34745</v>
      </c>
      <c r="T1103" s="77">
        <v>0.20833333333333334</v>
      </c>
      <c r="V1103">
        <v>19.04</v>
      </c>
      <c r="X1103" s="42"/>
      <c r="AB1103">
        <v>31.2</v>
      </c>
      <c r="AC1103">
        <v>33.08</v>
      </c>
      <c r="AE1103" s="74"/>
      <c r="AF1103" s="77"/>
      <c r="AH1103" s="497">
        <v>20.84</v>
      </c>
      <c r="AJ1103" s="42"/>
      <c r="AK1103" s="74"/>
      <c r="AL1103" s="77"/>
      <c r="AN1103" s="497">
        <v>28.94</v>
      </c>
      <c r="AP1103" s="42"/>
      <c r="AQ1103" s="74"/>
      <c r="AR1103" s="77"/>
      <c r="AT1103" s="497">
        <v>26.060000000000002</v>
      </c>
      <c r="AV1103" s="42"/>
      <c r="AW1103" s="74"/>
      <c r="AX1103" s="77"/>
      <c r="BA1103" s="497">
        <v>26.060000000000002</v>
      </c>
      <c r="BB1103" s="42"/>
      <c r="BC1103" s="74"/>
      <c r="BD1103" s="77"/>
      <c r="BF1103">
        <v>41</v>
      </c>
      <c r="BH1103" s="42"/>
      <c r="BI1103" s="74"/>
      <c r="BJ1103" s="77"/>
      <c r="BL1103" s="497">
        <v>37.04</v>
      </c>
      <c r="BN1103" s="42"/>
      <c r="BO1103" s="74"/>
      <c r="BP1103" s="77"/>
      <c r="BR1103" s="497">
        <v>23</v>
      </c>
      <c r="BT1103" s="42"/>
    </row>
    <row r="1104" spans="1:72" x14ac:dyDescent="0.25">
      <c r="A1104" s="90">
        <v>34745</v>
      </c>
      <c r="B1104" s="20">
        <v>0.25</v>
      </c>
      <c r="D1104">
        <v>23</v>
      </c>
      <c r="E1104" t="str">
        <f t="shared" si="68"/>
        <v>WEEKDAY</v>
      </c>
      <c r="F1104" t="e">
        <f t="shared" si="69"/>
        <v>#N/A</v>
      </c>
      <c r="G1104" s="74">
        <v>32188</v>
      </c>
      <c r="H1104" s="77">
        <v>0.25</v>
      </c>
      <c r="J1104">
        <v>33.08</v>
      </c>
      <c r="M1104" s="74">
        <v>38032</v>
      </c>
      <c r="N1104" s="77">
        <v>0.25</v>
      </c>
      <c r="P1104">
        <v>28.4</v>
      </c>
      <c r="S1104" s="74">
        <v>34745</v>
      </c>
      <c r="T1104" s="77">
        <v>0.25</v>
      </c>
      <c r="V1104">
        <v>19.939999999999998</v>
      </c>
      <c r="X1104" s="42"/>
      <c r="AB1104">
        <v>30.9</v>
      </c>
      <c r="AC1104">
        <v>32</v>
      </c>
      <c r="AE1104" s="74"/>
      <c r="AF1104" s="77"/>
      <c r="AH1104" s="497">
        <v>20.84</v>
      </c>
      <c r="AJ1104" s="42"/>
      <c r="AK1104" s="74"/>
      <c r="AL1104" s="77"/>
      <c r="AN1104" s="497">
        <v>30.02</v>
      </c>
      <c r="AP1104" s="42"/>
      <c r="AQ1104" s="74"/>
      <c r="AR1104" s="77"/>
      <c r="AT1104" s="497">
        <v>26.96</v>
      </c>
      <c r="AV1104" s="42"/>
      <c r="AW1104" s="74"/>
      <c r="AX1104" s="77"/>
      <c r="BA1104" s="497">
        <v>28.94</v>
      </c>
      <c r="BB1104" s="42"/>
      <c r="BC1104" s="74"/>
      <c r="BD1104" s="77"/>
      <c r="BF1104">
        <v>42.08</v>
      </c>
      <c r="BH1104" s="42"/>
      <c r="BI1104" s="74"/>
      <c r="BJ1104" s="77"/>
      <c r="BL1104" s="497">
        <v>35.96</v>
      </c>
      <c r="BN1104" s="42"/>
      <c r="BO1104" s="74"/>
      <c r="BP1104" s="77"/>
      <c r="BR1104" s="497">
        <v>24.08</v>
      </c>
      <c r="BT1104" s="42"/>
    </row>
    <row r="1105" spans="1:72" x14ac:dyDescent="0.25">
      <c r="A1105" s="90">
        <v>34745</v>
      </c>
      <c r="B1105" s="20">
        <v>0.29166666666666669</v>
      </c>
      <c r="D1105">
        <v>23</v>
      </c>
      <c r="E1105" t="str">
        <f t="shared" si="68"/>
        <v>WEEKDAY</v>
      </c>
      <c r="F1105" t="e">
        <f t="shared" si="69"/>
        <v>#N/A</v>
      </c>
      <c r="G1105" s="74">
        <v>32188</v>
      </c>
      <c r="H1105" s="77">
        <v>0.29166666666666669</v>
      </c>
      <c r="J1105">
        <v>33.979999999999997</v>
      </c>
      <c r="M1105" s="74">
        <v>38032</v>
      </c>
      <c r="N1105" s="77">
        <v>0.29166666666666669</v>
      </c>
      <c r="P1105">
        <v>24.8</v>
      </c>
      <c r="S1105" s="74">
        <v>34745</v>
      </c>
      <c r="T1105" s="77">
        <v>0.29166666666666669</v>
      </c>
      <c r="V1105">
        <v>21.92</v>
      </c>
      <c r="X1105" s="42"/>
      <c r="AB1105">
        <v>30.8</v>
      </c>
      <c r="AC1105">
        <v>30.92</v>
      </c>
      <c r="AE1105" s="74"/>
      <c r="AF1105" s="77"/>
      <c r="AH1105" s="497">
        <v>20.84</v>
      </c>
      <c r="AJ1105" s="42"/>
      <c r="AK1105" s="74"/>
      <c r="AL1105" s="77"/>
      <c r="AN1105" s="497">
        <v>30.02</v>
      </c>
      <c r="AP1105" s="42"/>
      <c r="AQ1105" s="74"/>
      <c r="AR1105" s="77"/>
      <c r="AT1105" s="497">
        <v>28.04</v>
      </c>
      <c r="AV1105" s="42"/>
      <c r="AW1105" s="74"/>
      <c r="AX1105" s="77"/>
      <c r="BA1105" s="497">
        <v>35.06</v>
      </c>
      <c r="BB1105" s="42"/>
      <c r="BC1105" s="74"/>
      <c r="BD1105" s="77"/>
      <c r="BF1105">
        <v>42.08</v>
      </c>
      <c r="BH1105" s="42"/>
      <c r="BI1105" s="74"/>
      <c r="BJ1105" s="77"/>
      <c r="BL1105" s="497">
        <v>37.94</v>
      </c>
      <c r="BN1105" s="42"/>
      <c r="BO1105" s="74"/>
      <c r="BP1105" s="77"/>
      <c r="BR1105" s="497">
        <v>24.98</v>
      </c>
      <c r="BT1105" s="42"/>
    </row>
    <row r="1106" spans="1:72" x14ac:dyDescent="0.25">
      <c r="A1106" s="90">
        <v>34745</v>
      </c>
      <c r="B1106" s="20">
        <v>0.33333333333333331</v>
      </c>
      <c r="D1106">
        <v>26.060000000000002</v>
      </c>
      <c r="E1106" t="str">
        <f t="shared" si="68"/>
        <v>WEEKDAY</v>
      </c>
      <c r="F1106" t="e">
        <f t="shared" si="69"/>
        <v>#N/A</v>
      </c>
      <c r="G1106" s="74">
        <v>32188</v>
      </c>
      <c r="H1106" s="77">
        <v>0.33333333333333331</v>
      </c>
      <c r="J1106">
        <v>37.04</v>
      </c>
      <c r="M1106" s="74">
        <v>38032</v>
      </c>
      <c r="N1106" s="77">
        <v>0.33333333333333331</v>
      </c>
      <c r="P1106">
        <v>23</v>
      </c>
      <c r="S1106" s="74">
        <v>34745</v>
      </c>
      <c r="T1106" s="77">
        <v>0.33333333333333331</v>
      </c>
      <c r="V1106">
        <v>24.08</v>
      </c>
      <c r="X1106" s="42"/>
      <c r="AB1106">
        <v>30.8</v>
      </c>
      <c r="AC1106">
        <v>33.08</v>
      </c>
      <c r="AE1106" s="74"/>
      <c r="AF1106" s="77"/>
      <c r="AH1106" s="497">
        <v>20.84</v>
      </c>
      <c r="AJ1106" s="42"/>
      <c r="AK1106" s="74"/>
      <c r="AL1106" s="77"/>
      <c r="AN1106" s="497">
        <v>33.08</v>
      </c>
      <c r="AP1106" s="42"/>
      <c r="AQ1106" s="74"/>
      <c r="AR1106" s="77"/>
      <c r="AT1106" s="497">
        <v>28.94</v>
      </c>
      <c r="AV1106" s="42"/>
      <c r="AW1106" s="74"/>
      <c r="AX1106" s="77"/>
      <c r="BA1106" s="497">
        <v>39.92</v>
      </c>
      <c r="BB1106" s="42"/>
      <c r="BC1106" s="74"/>
      <c r="BD1106" s="77"/>
      <c r="BF1106">
        <v>42.980000000000004</v>
      </c>
      <c r="BH1106" s="42"/>
      <c r="BI1106" s="74"/>
      <c r="BJ1106" s="77"/>
      <c r="BL1106" s="497">
        <v>39.019999999999996</v>
      </c>
      <c r="BN1106" s="42"/>
      <c r="BO1106" s="74"/>
      <c r="BP1106" s="77"/>
      <c r="BR1106" s="497">
        <v>26.96</v>
      </c>
      <c r="BT1106" s="42"/>
    </row>
    <row r="1107" spans="1:72" x14ac:dyDescent="0.25">
      <c r="A1107" s="90">
        <v>34745</v>
      </c>
      <c r="B1107" s="20">
        <v>0.375</v>
      </c>
      <c r="D1107">
        <v>28.04</v>
      </c>
      <c r="E1107" t="str">
        <f t="shared" ref="E1107:E1170" si="70">IF(COUNTIF($DI$18:$DI$22, WEEKDAY(A1107))=1, "WEEKDAY", IF(WEEKDAY(A1107) = 1, "SUNDAY", "SATURDAY"))</f>
        <v>WEEKDAY</v>
      </c>
      <c r="F1107" t="e">
        <f t="shared" si="69"/>
        <v>#N/A</v>
      </c>
      <c r="G1107" s="74">
        <v>32188</v>
      </c>
      <c r="H1107" s="77">
        <v>0.375</v>
      </c>
      <c r="J1107">
        <v>41</v>
      </c>
      <c r="M1107" s="74">
        <v>38032</v>
      </c>
      <c r="N1107" s="77">
        <v>0.375</v>
      </c>
      <c r="P1107">
        <v>19.399999999999999</v>
      </c>
      <c r="S1107" s="74">
        <v>34745</v>
      </c>
      <c r="T1107" s="77">
        <v>0.375</v>
      </c>
      <c r="V1107">
        <v>28.04</v>
      </c>
      <c r="X1107" s="42"/>
      <c r="AB1107">
        <v>31.9</v>
      </c>
      <c r="AC1107">
        <v>33.979999999999997</v>
      </c>
      <c r="AE1107" s="74"/>
      <c r="AF1107" s="77"/>
      <c r="AH1107" s="497">
        <v>23.9</v>
      </c>
      <c r="AJ1107" s="42"/>
      <c r="AK1107" s="74"/>
      <c r="AL1107" s="77"/>
      <c r="AN1107" s="497">
        <v>37.04</v>
      </c>
      <c r="AP1107" s="42"/>
      <c r="AQ1107" s="74"/>
      <c r="AR1107" s="77"/>
      <c r="AT1107" s="497">
        <v>30.92</v>
      </c>
      <c r="AV1107" s="42"/>
      <c r="AW1107" s="74"/>
      <c r="AX1107" s="77"/>
      <c r="BA1107" s="497">
        <v>42.08</v>
      </c>
      <c r="BB1107" s="42"/>
      <c r="BC1107" s="74"/>
      <c r="BD1107" s="77"/>
      <c r="BF1107">
        <v>44.06</v>
      </c>
      <c r="BH1107" s="42"/>
      <c r="BI1107" s="74"/>
      <c r="BJ1107" s="77"/>
      <c r="BL1107" s="497">
        <v>39.019999999999996</v>
      </c>
      <c r="BN1107" s="42"/>
      <c r="BO1107" s="74"/>
      <c r="BP1107" s="77"/>
      <c r="BR1107" s="497">
        <v>33.979999999999997</v>
      </c>
      <c r="BT1107" s="42"/>
    </row>
    <row r="1108" spans="1:72" x14ac:dyDescent="0.25">
      <c r="A1108" s="90">
        <v>34745</v>
      </c>
      <c r="B1108" s="20">
        <v>0.41666666666666669</v>
      </c>
      <c r="D1108">
        <v>30.92</v>
      </c>
      <c r="E1108" t="str">
        <f t="shared" si="70"/>
        <v>WEEKDAY</v>
      </c>
      <c r="F1108" t="e">
        <f t="shared" si="69"/>
        <v>#N/A</v>
      </c>
      <c r="G1108" s="74">
        <v>32188</v>
      </c>
      <c r="H1108" s="77">
        <v>0.41666666666666669</v>
      </c>
      <c r="J1108">
        <v>44.06</v>
      </c>
      <c r="M1108" s="74">
        <v>38032</v>
      </c>
      <c r="N1108" s="77">
        <v>0.41666666666666669</v>
      </c>
      <c r="P1108">
        <v>19.399999999999999</v>
      </c>
      <c r="S1108" s="74">
        <v>34745</v>
      </c>
      <c r="T1108" s="77">
        <v>0.41666666666666669</v>
      </c>
      <c r="V1108">
        <v>32</v>
      </c>
      <c r="X1108" s="42"/>
      <c r="AB1108">
        <v>33.5</v>
      </c>
      <c r="AC1108">
        <v>35.96</v>
      </c>
      <c r="AE1108" s="74"/>
      <c r="AF1108" s="77"/>
      <c r="AH1108" s="497">
        <v>24.98</v>
      </c>
      <c r="AJ1108" s="42"/>
      <c r="AK1108" s="74"/>
      <c r="AL1108" s="77"/>
      <c r="AN1108" s="497">
        <v>39.019999999999996</v>
      </c>
      <c r="AP1108" s="42"/>
      <c r="AQ1108" s="74"/>
      <c r="AR1108" s="77"/>
      <c r="AT1108" s="497">
        <v>33.08</v>
      </c>
      <c r="AV1108" s="42"/>
      <c r="AW1108" s="74"/>
      <c r="AX1108" s="77"/>
      <c r="BA1108" s="497">
        <v>44.06</v>
      </c>
      <c r="BB1108" s="42"/>
      <c r="BC1108" s="74"/>
      <c r="BD1108" s="77"/>
      <c r="BF1108">
        <v>44.06</v>
      </c>
      <c r="BH1108" s="42"/>
      <c r="BI1108" s="74"/>
      <c r="BJ1108" s="77"/>
      <c r="BL1108" s="497">
        <v>39.92</v>
      </c>
      <c r="BN1108" s="42"/>
      <c r="BO1108" s="74"/>
      <c r="BP1108" s="77"/>
      <c r="BR1108" s="497">
        <v>37.94</v>
      </c>
      <c r="BT1108" s="42"/>
    </row>
    <row r="1109" spans="1:72" x14ac:dyDescent="0.25">
      <c r="A1109" s="90">
        <v>34745</v>
      </c>
      <c r="B1109" s="20">
        <v>0.45833333333333331</v>
      </c>
      <c r="D1109">
        <v>32</v>
      </c>
      <c r="E1109" t="str">
        <f t="shared" si="70"/>
        <v>WEEKDAY</v>
      </c>
      <c r="F1109" t="e">
        <f t="shared" si="69"/>
        <v>#N/A</v>
      </c>
      <c r="G1109" s="74">
        <v>32188</v>
      </c>
      <c r="H1109" s="77">
        <v>0.45833333333333331</v>
      </c>
      <c r="J1109">
        <v>46.04</v>
      </c>
      <c r="M1109" s="74">
        <v>38032</v>
      </c>
      <c r="N1109" s="77">
        <v>0.45833333333333331</v>
      </c>
      <c r="P1109">
        <v>19.399999999999999</v>
      </c>
      <c r="S1109" s="74">
        <v>34745</v>
      </c>
      <c r="T1109" s="77">
        <v>0.45833333333333331</v>
      </c>
      <c r="V1109">
        <v>35.06</v>
      </c>
      <c r="X1109" s="42"/>
      <c r="AB1109">
        <v>35</v>
      </c>
      <c r="AC1109">
        <v>37.94</v>
      </c>
      <c r="AE1109" s="74"/>
      <c r="AF1109" s="77"/>
      <c r="AH1109" s="497">
        <v>25.88</v>
      </c>
      <c r="AJ1109" s="42"/>
      <c r="AK1109" s="74"/>
      <c r="AL1109" s="77"/>
      <c r="AN1109" s="497">
        <v>42.08</v>
      </c>
      <c r="AP1109" s="42"/>
      <c r="AQ1109" s="74"/>
      <c r="AR1109" s="77"/>
      <c r="AT1109" s="497">
        <v>35.06</v>
      </c>
      <c r="AV1109" s="42"/>
      <c r="AW1109" s="74"/>
      <c r="AX1109" s="77"/>
      <c r="BA1109" s="497">
        <v>46.04</v>
      </c>
      <c r="BB1109" s="42"/>
      <c r="BC1109" s="74"/>
      <c r="BD1109" s="77"/>
      <c r="BF1109">
        <v>42.980000000000004</v>
      </c>
      <c r="BH1109" s="42"/>
      <c r="BI1109" s="74"/>
      <c r="BJ1109" s="77"/>
      <c r="BL1109" s="497">
        <v>41</v>
      </c>
      <c r="BN1109" s="42"/>
      <c r="BO1109" s="74"/>
      <c r="BP1109" s="77"/>
      <c r="BR1109" s="497">
        <v>39.019999999999996</v>
      </c>
      <c r="BT1109" s="42"/>
    </row>
    <row r="1110" spans="1:72" x14ac:dyDescent="0.25">
      <c r="A1110" s="90">
        <v>34745</v>
      </c>
      <c r="B1110" s="20">
        <v>0.5</v>
      </c>
      <c r="D1110">
        <v>35.06</v>
      </c>
      <c r="E1110" t="str">
        <f t="shared" si="70"/>
        <v>WEEKDAY</v>
      </c>
      <c r="F1110" t="e">
        <f t="shared" si="69"/>
        <v>#N/A</v>
      </c>
      <c r="G1110" s="74">
        <v>32188</v>
      </c>
      <c r="H1110" s="77">
        <v>0.5</v>
      </c>
      <c r="J1110">
        <v>48.019999999999996</v>
      </c>
      <c r="M1110" s="74">
        <v>38032</v>
      </c>
      <c r="N1110" s="77">
        <v>0.5</v>
      </c>
      <c r="P1110">
        <v>19.399999999999999</v>
      </c>
      <c r="S1110" s="74">
        <v>34745</v>
      </c>
      <c r="T1110" s="77">
        <v>0.5</v>
      </c>
      <c r="V1110">
        <v>37.04</v>
      </c>
      <c r="X1110" s="42"/>
      <c r="AB1110">
        <v>36.4</v>
      </c>
      <c r="AC1110">
        <v>39.019999999999996</v>
      </c>
      <c r="AE1110" s="74"/>
      <c r="AF1110" s="77"/>
      <c r="AH1110" s="497">
        <v>26.96</v>
      </c>
      <c r="AJ1110" s="42"/>
      <c r="AK1110" s="74"/>
      <c r="AL1110" s="77"/>
      <c r="AN1110" s="497">
        <v>44.06</v>
      </c>
      <c r="AP1110" s="42"/>
      <c r="AQ1110" s="74"/>
      <c r="AR1110" s="77"/>
      <c r="AT1110" s="497">
        <v>35.96</v>
      </c>
      <c r="AV1110" s="42"/>
      <c r="AW1110" s="74"/>
      <c r="AX1110" s="77"/>
      <c r="BA1110" s="497">
        <v>48.019999999999996</v>
      </c>
      <c r="BB1110" s="42"/>
      <c r="BC1110" s="74"/>
      <c r="BD1110" s="77"/>
      <c r="BF1110">
        <v>35.96</v>
      </c>
      <c r="BH1110" s="42"/>
      <c r="BI1110" s="74"/>
      <c r="BJ1110" s="77"/>
      <c r="BL1110" s="497">
        <v>42.980000000000004</v>
      </c>
      <c r="BN1110" s="42"/>
      <c r="BO1110" s="74"/>
      <c r="BP1110" s="77"/>
      <c r="BR1110" s="497">
        <v>39.019999999999996</v>
      </c>
      <c r="BT1110" s="42"/>
    </row>
    <row r="1111" spans="1:72" x14ac:dyDescent="0.25">
      <c r="A1111" s="90">
        <v>34745</v>
      </c>
      <c r="B1111" s="20">
        <v>0.54166666666666663</v>
      </c>
      <c r="D1111">
        <v>37.04</v>
      </c>
      <c r="E1111" t="str">
        <f t="shared" si="70"/>
        <v>WEEKDAY</v>
      </c>
      <c r="F1111" t="e">
        <f t="shared" si="69"/>
        <v>#N/A</v>
      </c>
      <c r="G1111" s="74">
        <v>32188</v>
      </c>
      <c r="H1111" s="77">
        <v>0.54166666666666663</v>
      </c>
      <c r="J1111">
        <v>48.019999999999996</v>
      </c>
      <c r="M1111" s="74">
        <v>38032</v>
      </c>
      <c r="N1111" s="77">
        <v>0.54166666666666663</v>
      </c>
      <c r="P1111">
        <v>19.399999999999999</v>
      </c>
      <c r="S1111" s="74">
        <v>34745</v>
      </c>
      <c r="T1111" s="77">
        <v>0.54166666666666663</v>
      </c>
      <c r="V1111">
        <v>37.94</v>
      </c>
      <c r="X1111" s="42"/>
      <c r="AB1111">
        <v>37.5</v>
      </c>
      <c r="AC1111">
        <v>41</v>
      </c>
      <c r="AE1111" s="74"/>
      <c r="AF1111" s="77"/>
      <c r="AH1111" s="497">
        <v>28.94</v>
      </c>
      <c r="AJ1111" s="42"/>
      <c r="AK1111" s="74"/>
      <c r="AL1111" s="77"/>
      <c r="AN1111" s="497">
        <v>44.06</v>
      </c>
      <c r="AP1111" s="42"/>
      <c r="AQ1111" s="74"/>
      <c r="AR1111" s="77"/>
      <c r="AT1111" s="497">
        <v>35.96</v>
      </c>
      <c r="AV1111" s="42"/>
      <c r="AW1111" s="74"/>
      <c r="AX1111" s="77"/>
      <c r="BA1111" s="497">
        <v>48.019999999999996</v>
      </c>
      <c r="BB1111" s="42"/>
      <c r="BC1111" s="74"/>
      <c r="BD1111" s="77"/>
      <c r="BF1111">
        <v>35.06</v>
      </c>
      <c r="BH1111" s="42"/>
      <c r="BI1111" s="74"/>
      <c r="BJ1111" s="77"/>
      <c r="BL1111" s="497">
        <v>39.019999999999996</v>
      </c>
      <c r="BN1111" s="42"/>
      <c r="BO1111" s="74"/>
      <c r="BP1111" s="77"/>
      <c r="BR1111" s="497">
        <v>41</v>
      </c>
      <c r="BT1111" s="42"/>
    </row>
    <row r="1112" spans="1:72" x14ac:dyDescent="0.25">
      <c r="A1112" s="90">
        <v>34745</v>
      </c>
      <c r="B1112" s="20">
        <v>0.58333333333333337</v>
      </c>
      <c r="D1112">
        <v>35.96</v>
      </c>
      <c r="E1112" t="str">
        <f t="shared" si="70"/>
        <v>WEEKDAY</v>
      </c>
      <c r="F1112" t="e">
        <f t="shared" si="69"/>
        <v>#N/A</v>
      </c>
      <c r="G1112" s="74">
        <v>32188</v>
      </c>
      <c r="H1112" s="77">
        <v>0.58333333333333337</v>
      </c>
      <c r="J1112">
        <v>50</v>
      </c>
      <c r="M1112" s="74">
        <v>38032</v>
      </c>
      <c r="N1112" s="77">
        <v>0.58333333333333337</v>
      </c>
      <c r="P1112">
        <v>21.2</v>
      </c>
      <c r="S1112" s="74">
        <v>34745</v>
      </c>
      <c r="T1112" s="77">
        <v>0.58333333333333337</v>
      </c>
      <c r="V1112">
        <v>35.06</v>
      </c>
      <c r="X1112" s="42"/>
      <c r="AB1112">
        <v>38.5</v>
      </c>
      <c r="AC1112">
        <v>42.08</v>
      </c>
      <c r="AE1112" s="74"/>
      <c r="AF1112" s="77"/>
      <c r="AH1112" s="497">
        <v>30.92</v>
      </c>
      <c r="AJ1112" s="42"/>
      <c r="AK1112" s="74"/>
      <c r="AL1112" s="77"/>
      <c r="AN1112" s="497">
        <v>44.06</v>
      </c>
      <c r="AP1112" s="42"/>
      <c r="AQ1112" s="74"/>
      <c r="AR1112" s="77"/>
      <c r="AT1112" s="497">
        <v>37.94</v>
      </c>
      <c r="AV1112" s="42"/>
      <c r="AW1112" s="74"/>
      <c r="AX1112" s="77"/>
      <c r="BA1112" s="497">
        <v>48.92</v>
      </c>
      <c r="BB1112" s="42"/>
      <c r="BC1112" s="74"/>
      <c r="BD1112" s="77"/>
      <c r="BF1112">
        <v>35.06</v>
      </c>
      <c r="BH1112" s="42"/>
      <c r="BI1112" s="74"/>
      <c r="BJ1112" s="77"/>
      <c r="BL1112" s="497">
        <v>37.04</v>
      </c>
      <c r="BN1112" s="42"/>
      <c r="BO1112" s="74"/>
      <c r="BP1112" s="77"/>
      <c r="BR1112" s="497">
        <v>42.980000000000004</v>
      </c>
      <c r="BT1112" s="42"/>
    </row>
    <row r="1113" spans="1:72" x14ac:dyDescent="0.25">
      <c r="A1113" s="90">
        <v>34745</v>
      </c>
      <c r="B1113" s="20">
        <v>0.625</v>
      </c>
      <c r="D1113">
        <v>35.96</v>
      </c>
      <c r="E1113" t="str">
        <f t="shared" si="70"/>
        <v>WEEKDAY</v>
      </c>
      <c r="F1113" t="e">
        <f t="shared" si="69"/>
        <v>#N/A</v>
      </c>
      <c r="G1113" s="74">
        <v>32188</v>
      </c>
      <c r="H1113" s="77">
        <v>0.625</v>
      </c>
      <c r="J1113">
        <v>48.92</v>
      </c>
      <c r="M1113" s="74">
        <v>38032</v>
      </c>
      <c r="N1113" s="77">
        <v>0.625</v>
      </c>
      <c r="P1113">
        <v>21.2</v>
      </c>
      <c r="S1113" s="74">
        <v>34745</v>
      </c>
      <c r="T1113" s="77">
        <v>0.625</v>
      </c>
      <c r="V1113">
        <v>35.06</v>
      </c>
      <c r="X1113" s="42"/>
      <c r="AB1113">
        <v>39</v>
      </c>
      <c r="AC1113">
        <v>42.08</v>
      </c>
      <c r="AE1113" s="74"/>
      <c r="AF1113" s="77"/>
      <c r="AH1113" s="497">
        <v>30.92</v>
      </c>
      <c r="AJ1113" s="42"/>
      <c r="AK1113" s="74"/>
      <c r="AL1113" s="77"/>
      <c r="AN1113" s="497">
        <v>46.94</v>
      </c>
      <c r="AP1113" s="42"/>
      <c r="AQ1113" s="74"/>
      <c r="AR1113" s="77"/>
      <c r="AT1113" s="497">
        <v>37.94</v>
      </c>
      <c r="AV1113" s="42"/>
      <c r="AW1113" s="74"/>
      <c r="AX1113" s="77"/>
      <c r="BA1113" s="497">
        <v>50</v>
      </c>
      <c r="BB1113" s="42"/>
      <c r="BC1113" s="74"/>
      <c r="BD1113" s="77"/>
      <c r="BF1113">
        <v>35.06</v>
      </c>
      <c r="BH1113" s="42"/>
      <c r="BI1113" s="74"/>
      <c r="BJ1113" s="77"/>
      <c r="BL1113" s="497">
        <v>37.04</v>
      </c>
      <c r="BN1113" s="42"/>
      <c r="BO1113" s="74"/>
      <c r="BP1113" s="77"/>
      <c r="BR1113" s="497">
        <v>42.980000000000004</v>
      </c>
      <c r="BT1113" s="42"/>
    </row>
    <row r="1114" spans="1:72" x14ac:dyDescent="0.25">
      <c r="A1114" s="90">
        <v>34745</v>
      </c>
      <c r="B1114" s="20">
        <v>0.66666666666666663</v>
      </c>
      <c r="D1114">
        <v>35.96</v>
      </c>
      <c r="E1114" t="str">
        <f t="shared" si="70"/>
        <v>WEEKDAY</v>
      </c>
      <c r="F1114" t="e">
        <f t="shared" si="69"/>
        <v>#N/A</v>
      </c>
      <c r="G1114" s="74">
        <v>32188</v>
      </c>
      <c r="H1114" s="77">
        <v>0.66666666666666663</v>
      </c>
      <c r="J1114">
        <v>48.92</v>
      </c>
      <c r="M1114" s="74">
        <v>38032</v>
      </c>
      <c r="N1114" s="77">
        <v>0.66666666666666663</v>
      </c>
      <c r="P1114">
        <v>21.2</v>
      </c>
      <c r="S1114" s="74">
        <v>34745</v>
      </c>
      <c r="T1114" s="77">
        <v>0.66666666666666663</v>
      </c>
      <c r="V1114">
        <v>35.06</v>
      </c>
      <c r="X1114" s="42"/>
      <c r="AB1114">
        <v>39.200000000000003</v>
      </c>
      <c r="AC1114">
        <v>41</v>
      </c>
      <c r="AE1114" s="74"/>
      <c r="AF1114" s="77"/>
      <c r="AH1114" s="497">
        <v>32.9</v>
      </c>
      <c r="AJ1114" s="42"/>
      <c r="AK1114" s="74"/>
      <c r="AL1114" s="77"/>
      <c r="AN1114" s="497">
        <v>44.96</v>
      </c>
      <c r="AP1114" s="42"/>
      <c r="AQ1114" s="74"/>
      <c r="AR1114" s="77"/>
      <c r="AT1114" s="497">
        <v>37.94</v>
      </c>
      <c r="AV1114" s="42"/>
      <c r="AW1114" s="74"/>
      <c r="AX1114" s="77"/>
      <c r="BA1114" s="497">
        <v>50</v>
      </c>
      <c r="BB1114" s="42"/>
      <c r="BC1114" s="74"/>
      <c r="BD1114" s="77"/>
      <c r="BF1114">
        <v>33.979999999999997</v>
      </c>
      <c r="BH1114" s="42"/>
      <c r="BI1114" s="74"/>
      <c r="BJ1114" s="77"/>
      <c r="BL1114" s="497">
        <v>37.04</v>
      </c>
      <c r="BN1114" s="42"/>
      <c r="BO1114" s="74"/>
      <c r="BP1114" s="77"/>
      <c r="BR1114" s="497">
        <v>42.08</v>
      </c>
      <c r="BT1114" s="42"/>
    </row>
    <row r="1115" spans="1:72" x14ac:dyDescent="0.25">
      <c r="A1115" s="90">
        <v>34745</v>
      </c>
      <c r="B1115" s="20">
        <v>0.70833333333333337</v>
      </c>
      <c r="D1115">
        <v>35.06</v>
      </c>
      <c r="E1115" t="str">
        <f t="shared" si="70"/>
        <v>WEEKDAY</v>
      </c>
      <c r="F1115" t="e">
        <f t="shared" si="69"/>
        <v>#N/A</v>
      </c>
      <c r="G1115" s="74">
        <v>32188</v>
      </c>
      <c r="H1115" s="77">
        <v>0.70833333333333337</v>
      </c>
      <c r="J1115">
        <v>48.92</v>
      </c>
      <c r="M1115" s="74">
        <v>38032</v>
      </c>
      <c r="N1115" s="77">
        <v>0.70833333333333337</v>
      </c>
      <c r="P1115">
        <v>19.399999999999999</v>
      </c>
      <c r="S1115" s="74">
        <v>34745</v>
      </c>
      <c r="T1115" s="77">
        <v>0.70833333333333337</v>
      </c>
      <c r="V1115">
        <v>35.06</v>
      </c>
      <c r="X1115" s="42"/>
      <c r="AB1115">
        <v>38.799999999999997</v>
      </c>
      <c r="AC1115">
        <v>39.019999999999996</v>
      </c>
      <c r="AE1115" s="74"/>
      <c r="AF1115" s="77"/>
      <c r="AH1115" s="497">
        <v>32</v>
      </c>
      <c r="AJ1115" s="42"/>
      <c r="AK1115" s="74"/>
      <c r="AL1115" s="77"/>
      <c r="AN1115" s="497">
        <v>44.06</v>
      </c>
      <c r="AP1115" s="42"/>
      <c r="AQ1115" s="74"/>
      <c r="AR1115" s="77"/>
      <c r="AT1115" s="497">
        <v>39.019999999999996</v>
      </c>
      <c r="AV1115" s="42"/>
      <c r="AW1115" s="74"/>
      <c r="AX1115" s="77"/>
      <c r="BA1115" s="497">
        <v>48.019999999999996</v>
      </c>
      <c r="BB1115" s="42"/>
      <c r="BC1115" s="74"/>
      <c r="BD1115" s="77"/>
      <c r="BF1115">
        <v>33.08</v>
      </c>
      <c r="BH1115" s="42"/>
      <c r="BI1115" s="74"/>
      <c r="BJ1115" s="77"/>
      <c r="BL1115" s="497">
        <v>35.06</v>
      </c>
      <c r="BN1115" s="42"/>
      <c r="BO1115" s="74"/>
      <c r="BP1115" s="77"/>
      <c r="BR1115" s="497">
        <v>41</v>
      </c>
      <c r="BT1115" s="42"/>
    </row>
    <row r="1116" spans="1:72" x14ac:dyDescent="0.25">
      <c r="A1116" s="90">
        <v>34745</v>
      </c>
      <c r="B1116" s="20">
        <v>0.75</v>
      </c>
      <c r="D1116">
        <v>35.96</v>
      </c>
      <c r="E1116" t="str">
        <f t="shared" si="70"/>
        <v>WEEKDAY</v>
      </c>
      <c r="F1116" t="e">
        <f t="shared" si="69"/>
        <v>#N/A</v>
      </c>
      <c r="G1116" s="74">
        <v>32188</v>
      </c>
      <c r="H1116" s="77">
        <v>0.75</v>
      </c>
      <c r="J1116">
        <v>46.94</v>
      </c>
      <c r="M1116" s="74">
        <v>38032</v>
      </c>
      <c r="N1116" s="77">
        <v>0.75</v>
      </c>
      <c r="P1116">
        <v>17.600000000000001</v>
      </c>
      <c r="S1116" s="74">
        <v>34745</v>
      </c>
      <c r="T1116" s="77">
        <v>0.75</v>
      </c>
      <c r="V1116">
        <v>35.96</v>
      </c>
      <c r="X1116" s="42"/>
      <c r="AB1116">
        <v>37.799999999999997</v>
      </c>
      <c r="AC1116">
        <v>35.96</v>
      </c>
      <c r="AE1116" s="74"/>
      <c r="AF1116" s="77"/>
      <c r="AH1116" s="497">
        <v>34.880000000000003</v>
      </c>
      <c r="AJ1116" s="42"/>
      <c r="AK1116" s="74"/>
      <c r="AL1116" s="77"/>
      <c r="AN1116" s="497">
        <v>44.06</v>
      </c>
      <c r="AP1116" s="42"/>
      <c r="AQ1116" s="74"/>
      <c r="AR1116" s="77"/>
      <c r="AT1116" s="497">
        <v>39.019999999999996</v>
      </c>
      <c r="AV1116" s="42"/>
      <c r="AW1116" s="74"/>
      <c r="AX1116" s="77"/>
      <c r="BA1116" s="497">
        <v>44.96</v>
      </c>
      <c r="BB1116" s="42"/>
      <c r="BC1116" s="74"/>
      <c r="BD1116" s="77"/>
      <c r="BF1116">
        <v>33.08</v>
      </c>
      <c r="BH1116" s="42"/>
      <c r="BI1116" s="74"/>
      <c r="BJ1116" s="77"/>
      <c r="BL1116" s="497">
        <v>35.06</v>
      </c>
      <c r="BN1116" s="42"/>
      <c r="BO1116" s="74"/>
      <c r="BP1116" s="77"/>
      <c r="BR1116" s="497">
        <v>39.92</v>
      </c>
      <c r="BT1116" s="42"/>
    </row>
    <row r="1117" spans="1:72" x14ac:dyDescent="0.25">
      <c r="A1117" s="90">
        <v>34745</v>
      </c>
      <c r="B1117" s="20">
        <v>0.79166666666666663</v>
      </c>
      <c r="D1117">
        <v>37.04</v>
      </c>
      <c r="E1117" t="str">
        <f t="shared" si="70"/>
        <v>WEEKDAY</v>
      </c>
      <c r="F1117" t="e">
        <f t="shared" si="69"/>
        <v>#N/A</v>
      </c>
      <c r="G1117" s="74">
        <v>32188</v>
      </c>
      <c r="H1117" s="77">
        <v>0.79166666666666663</v>
      </c>
      <c r="J1117">
        <v>46.94</v>
      </c>
      <c r="M1117" s="74">
        <v>38032</v>
      </c>
      <c r="N1117" s="77">
        <v>0.79166666666666663</v>
      </c>
      <c r="P1117">
        <v>17.600000000000001</v>
      </c>
      <c r="S1117" s="74">
        <v>34745</v>
      </c>
      <c r="T1117" s="77">
        <v>0.79166666666666663</v>
      </c>
      <c r="V1117">
        <v>35.96</v>
      </c>
      <c r="X1117" s="42"/>
      <c r="AB1117">
        <v>36.6</v>
      </c>
      <c r="AC1117">
        <v>33.979999999999997</v>
      </c>
      <c r="AE1117" s="74"/>
      <c r="AF1117" s="77"/>
      <c r="AH1117" s="497">
        <v>26.96</v>
      </c>
      <c r="AJ1117" s="42"/>
      <c r="AK1117" s="74"/>
      <c r="AL1117" s="77"/>
      <c r="AN1117" s="497">
        <v>44.06</v>
      </c>
      <c r="AP1117" s="42"/>
      <c r="AQ1117" s="74"/>
      <c r="AR1117" s="77"/>
      <c r="AT1117" s="497">
        <v>39.019999999999996</v>
      </c>
      <c r="AV1117" s="42"/>
      <c r="AW1117" s="74"/>
      <c r="AX1117" s="77"/>
      <c r="BA1117" s="497">
        <v>42.08</v>
      </c>
      <c r="BB1117" s="42"/>
      <c r="BC1117" s="74"/>
      <c r="BD1117" s="77"/>
      <c r="BF1117">
        <v>32</v>
      </c>
      <c r="BH1117" s="42"/>
      <c r="BI1117" s="74"/>
      <c r="BJ1117" s="77"/>
      <c r="BL1117" s="497">
        <v>33.979999999999997</v>
      </c>
      <c r="BN1117" s="42"/>
      <c r="BO1117" s="74"/>
      <c r="BP1117" s="77"/>
      <c r="BR1117" s="497">
        <v>39.019999999999996</v>
      </c>
      <c r="BT1117" s="42"/>
    </row>
    <row r="1118" spans="1:72" x14ac:dyDescent="0.25">
      <c r="A1118" s="90">
        <v>34745</v>
      </c>
      <c r="B1118" s="20">
        <v>0.83333333333333337</v>
      </c>
      <c r="D1118">
        <v>35.96</v>
      </c>
      <c r="E1118" t="str">
        <f t="shared" si="70"/>
        <v>WEEKDAY</v>
      </c>
      <c r="F1118" t="e">
        <f t="shared" si="69"/>
        <v>#N/A</v>
      </c>
      <c r="G1118" s="74">
        <v>32188</v>
      </c>
      <c r="H1118" s="77">
        <v>0.83333333333333337</v>
      </c>
      <c r="J1118">
        <v>46.94</v>
      </c>
      <c r="M1118" s="74">
        <v>38032</v>
      </c>
      <c r="N1118" s="77">
        <v>0.83333333333333337</v>
      </c>
      <c r="P1118">
        <v>15.8</v>
      </c>
      <c r="S1118" s="74">
        <v>34745</v>
      </c>
      <c r="T1118" s="77">
        <v>0.83333333333333337</v>
      </c>
      <c r="V1118">
        <v>37.04</v>
      </c>
      <c r="X1118" s="42"/>
      <c r="AB1118">
        <v>36.1</v>
      </c>
      <c r="AC1118">
        <v>33.979999999999997</v>
      </c>
      <c r="AE1118" s="74"/>
      <c r="AF1118" s="77"/>
      <c r="AH1118" s="497">
        <v>25.88</v>
      </c>
      <c r="AJ1118" s="42"/>
      <c r="AK1118" s="74"/>
      <c r="AL1118" s="77"/>
      <c r="AN1118" s="497">
        <v>44.96</v>
      </c>
      <c r="AP1118" s="42"/>
      <c r="AQ1118" s="74"/>
      <c r="AR1118" s="77"/>
      <c r="AT1118" s="497">
        <v>39.019999999999996</v>
      </c>
      <c r="AV1118" s="42"/>
      <c r="AW1118" s="74"/>
      <c r="AX1118" s="77"/>
      <c r="BA1118" s="497">
        <v>42.08</v>
      </c>
      <c r="BB1118" s="42"/>
      <c r="BC1118" s="74"/>
      <c r="BD1118" s="77"/>
      <c r="BF1118">
        <v>32</v>
      </c>
      <c r="BH1118" s="42"/>
      <c r="BI1118" s="74"/>
      <c r="BJ1118" s="77"/>
      <c r="BL1118" s="497">
        <v>33.979999999999997</v>
      </c>
      <c r="BN1118" s="42"/>
      <c r="BO1118" s="74"/>
      <c r="BP1118" s="77"/>
      <c r="BR1118" s="497">
        <v>37.94</v>
      </c>
      <c r="BT1118" s="42"/>
    </row>
    <row r="1119" spans="1:72" x14ac:dyDescent="0.25">
      <c r="A1119" s="90">
        <v>34745</v>
      </c>
      <c r="B1119" s="20">
        <v>0.875</v>
      </c>
      <c r="D1119">
        <v>35.06</v>
      </c>
      <c r="E1119" t="str">
        <f t="shared" si="70"/>
        <v>WEEKDAY</v>
      </c>
      <c r="F1119" t="e">
        <f t="shared" si="69"/>
        <v>#N/A</v>
      </c>
      <c r="G1119" s="74">
        <v>32188</v>
      </c>
      <c r="H1119" s="77">
        <v>0.875</v>
      </c>
      <c r="J1119">
        <v>46.94</v>
      </c>
      <c r="M1119" s="74">
        <v>38032</v>
      </c>
      <c r="N1119" s="77">
        <v>0.875</v>
      </c>
      <c r="P1119">
        <v>14</v>
      </c>
      <c r="S1119" s="74">
        <v>34745</v>
      </c>
      <c r="T1119" s="77">
        <v>0.875</v>
      </c>
      <c r="V1119">
        <v>37.94</v>
      </c>
      <c r="X1119" s="42"/>
      <c r="AB1119">
        <v>35.5</v>
      </c>
      <c r="AC1119">
        <v>30.02</v>
      </c>
      <c r="AE1119" s="74"/>
      <c r="AF1119" s="77"/>
      <c r="AH1119" s="497">
        <v>21.92</v>
      </c>
      <c r="AJ1119" s="42"/>
      <c r="AK1119" s="74"/>
      <c r="AL1119" s="77"/>
      <c r="AN1119" s="497">
        <v>44.06</v>
      </c>
      <c r="AP1119" s="42"/>
      <c r="AQ1119" s="74"/>
      <c r="AR1119" s="77"/>
      <c r="AT1119" s="497">
        <v>39.019999999999996</v>
      </c>
      <c r="AV1119" s="42"/>
      <c r="AW1119" s="74"/>
      <c r="AX1119" s="77"/>
      <c r="BA1119" s="497">
        <v>42.08</v>
      </c>
      <c r="BB1119" s="42"/>
      <c r="BC1119" s="74"/>
      <c r="BD1119" s="77"/>
      <c r="BF1119">
        <v>32</v>
      </c>
      <c r="BH1119" s="42"/>
      <c r="BI1119" s="74"/>
      <c r="BJ1119" s="77"/>
      <c r="BL1119" s="497">
        <v>33.08</v>
      </c>
      <c r="BN1119" s="42"/>
      <c r="BO1119" s="74"/>
      <c r="BP1119" s="77"/>
      <c r="BR1119" s="497">
        <v>37.94</v>
      </c>
      <c r="BT1119" s="42"/>
    </row>
    <row r="1120" spans="1:72" x14ac:dyDescent="0.25">
      <c r="A1120" s="90">
        <v>34745</v>
      </c>
      <c r="B1120" s="20">
        <v>0.91666666666666663</v>
      </c>
      <c r="D1120">
        <v>35.06</v>
      </c>
      <c r="E1120" t="str">
        <f t="shared" si="70"/>
        <v>WEEKDAY</v>
      </c>
      <c r="F1120" t="e">
        <f t="shared" si="69"/>
        <v>#N/A</v>
      </c>
      <c r="G1120" s="74">
        <v>32188</v>
      </c>
      <c r="H1120" s="77">
        <v>0.91666666666666663</v>
      </c>
      <c r="J1120">
        <v>46.94</v>
      </c>
      <c r="M1120" s="74">
        <v>38032</v>
      </c>
      <c r="N1120" s="77">
        <v>0.91666666666666663</v>
      </c>
      <c r="P1120">
        <v>12.2</v>
      </c>
      <c r="S1120" s="74">
        <v>34745</v>
      </c>
      <c r="T1120" s="77">
        <v>0.91666666666666663</v>
      </c>
      <c r="V1120">
        <v>37.94</v>
      </c>
      <c r="X1120" s="42"/>
      <c r="AB1120">
        <v>34.9</v>
      </c>
      <c r="AC1120">
        <v>26.96</v>
      </c>
      <c r="AE1120" s="74"/>
      <c r="AF1120" s="77"/>
      <c r="AH1120" s="497">
        <v>23.9</v>
      </c>
      <c r="AJ1120" s="42"/>
      <c r="AK1120" s="74"/>
      <c r="AL1120" s="77"/>
      <c r="AN1120" s="497">
        <v>44.06</v>
      </c>
      <c r="AP1120" s="42"/>
      <c r="AQ1120" s="74"/>
      <c r="AR1120" s="77"/>
      <c r="AT1120" s="497">
        <v>39.019999999999996</v>
      </c>
      <c r="AV1120" s="42"/>
      <c r="AW1120" s="74"/>
      <c r="AX1120" s="77"/>
      <c r="BA1120" s="497">
        <v>41</v>
      </c>
      <c r="BB1120" s="42"/>
      <c r="BC1120" s="74"/>
      <c r="BD1120" s="77"/>
      <c r="BF1120">
        <v>32</v>
      </c>
      <c r="BH1120" s="42"/>
      <c r="BI1120" s="74"/>
      <c r="BJ1120" s="77"/>
      <c r="BL1120" s="497">
        <v>33.08</v>
      </c>
      <c r="BN1120" s="42"/>
      <c r="BO1120" s="74"/>
      <c r="BP1120" s="77"/>
      <c r="BR1120" s="497">
        <v>37.04</v>
      </c>
      <c r="BT1120" s="42"/>
    </row>
    <row r="1121" spans="1:72" x14ac:dyDescent="0.25">
      <c r="A1121" s="90">
        <v>34745</v>
      </c>
      <c r="B1121" s="20">
        <v>0.95833333333333337</v>
      </c>
      <c r="D1121">
        <v>35.96</v>
      </c>
      <c r="E1121" t="str">
        <f t="shared" si="70"/>
        <v>WEEKDAY</v>
      </c>
      <c r="F1121" t="e">
        <f t="shared" si="69"/>
        <v>#N/A</v>
      </c>
      <c r="G1121" s="74">
        <v>32188</v>
      </c>
      <c r="H1121" s="77">
        <v>0.95833333333333337</v>
      </c>
      <c r="J1121">
        <v>44.96</v>
      </c>
      <c r="M1121" s="74">
        <v>38032</v>
      </c>
      <c r="N1121" s="77">
        <v>0.95833333333333337</v>
      </c>
      <c r="P1121">
        <v>12.2</v>
      </c>
      <c r="S1121" s="74">
        <v>34745</v>
      </c>
      <c r="T1121" s="77">
        <v>0.95833333333333337</v>
      </c>
      <c r="V1121">
        <v>37.04</v>
      </c>
      <c r="X1121" s="42"/>
      <c r="AB1121">
        <v>34.4</v>
      </c>
      <c r="AC1121">
        <v>24.98</v>
      </c>
      <c r="AE1121" s="74"/>
      <c r="AF1121" s="77"/>
      <c r="AH1121" s="497">
        <v>25.88</v>
      </c>
      <c r="AJ1121" s="42"/>
      <c r="AK1121" s="74"/>
      <c r="AL1121" s="77"/>
      <c r="AN1121" s="497">
        <v>42.980000000000004</v>
      </c>
      <c r="AP1121" s="42"/>
      <c r="AQ1121" s="74"/>
      <c r="AR1121" s="77"/>
      <c r="AT1121" s="497">
        <v>39.019999999999996</v>
      </c>
      <c r="AV1121" s="42"/>
      <c r="AW1121" s="74"/>
      <c r="AX1121" s="77"/>
      <c r="BA1121" s="497">
        <v>39.92</v>
      </c>
      <c r="BB1121" s="42"/>
      <c r="BC1121" s="74"/>
      <c r="BD1121" s="77"/>
      <c r="BF1121">
        <v>28.94</v>
      </c>
      <c r="BH1121" s="42"/>
      <c r="BI1121" s="74"/>
      <c r="BJ1121" s="77"/>
      <c r="BL1121" s="497">
        <v>32</v>
      </c>
      <c r="BN1121" s="42"/>
      <c r="BO1121" s="74"/>
      <c r="BP1121" s="77"/>
      <c r="BR1121" s="497">
        <v>37.04</v>
      </c>
      <c r="BT1121" s="42"/>
    </row>
    <row r="1122" spans="1:72" x14ac:dyDescent="0.25">
      <c r="A1122" s="90">
        <v>34745</v>
      </c>
      <c r="B1122" s="20">
        <v>1</v>
      </c>
      <c r="D1122">
        <v>37.04</v>
      </c>
      <c r="E1122" t="str">
        <f t="shared" si="70"/>
        <v>WEEKDAY</v>
      </c>
      <c r="F1122" t="e">
        <f t="shared" si="69"/>
        <v>#N/A</v>
      </c>
      <c r="G1122" s="74">
        <v>32188</v>
      </c>
      <c r="H1122" s="77">
        <v>1</v>
      </c>
      <c r="J1122">
        <v>44.06</v>
      </c>
      <c r="M1122" s="74">
        <v>38032</v>
      </c>
      <c r="N1122" s="80">
        <v>1</v>
      </c>
      <c r="P1122">
        <v>12.2</v>
      </c>
      <c r="S1122" s="74">
        <v>34745</v>
      </c>
      <c r="T1122" s="80">
        <v>1</v>
      </c>
      <c r="V1122">
        <v>35.96</v>
      </c>
      <c r="X1122" s="42"/>
      <c r="AB1122">
        <v>33.9</v>
      </c>
      <c r="AC1122">
        <v>23</v>
      </c>
      <c r="AE1122" s="74"/>
      <c r="AF1122" s="80"/>
      <c r="AH1122" s="497">
        <v>23.9</v>
      </c>
      <c r="AJ1122" s="42"/>
      <c r="AK1122" s="74"/>
      <c r="AL1122" s="80"/>
      <c r="AN1122" s="497">
        <v>42.980000000000004</v>
      </c>
      <c r="AP1122" s="42"/>
      <c r="AQ1122" s="74"/>
      <c r="AR1122" s="80"/>
      <c r="AT1122" s="497">
        <v>37.04</v>
      </c>
      <c r="AV1122" s="42"/>
      <c r="AW1122" s="74"/>
      <c r="AX1122" s="80"/>
      <c r="BA1122" s="497">
        <v>39.019999999999996</v>
      </c>
      <c r="BB1122" s="42"/>
      <c r="BC1122" s="74"/>
      <c r="BD1122" s="80"/>
      <c r="BF1122">
        <v>28.04</v>
      </c>
      <c r="BH1122" s="42"/>
      <c r="BI1122" s="74"/>
      <c r="BJ1122" s="80"/>
      <c r="BL1122" s="497">
        <v>28.94</v>
      </c>
      <c r="BN1122" s="42"/>
      <c r="BO1122" s="74"/>
      <c r="BP1122" s="80"/>
      <c r="BR1122" s="497">
        <v>35.96</v>
      </c>
      <c r="BT1122" s="42"/>
    </row>
    <row r="1123" spans="1:72" x14ac:dyDescent="0.25">
      <c r="A1123" s="90">
        <v>34746</v>
      </c>
      <c r="B1123" s="20">
        <v>4.1666666666666664E-2</v>
      </c>
      <c r="D1123">
        <v>39.019999999999996</v>
      </c>
      <c r="E1123" t="str">
        <f t="shared" si="70"/>
        <v>WEEKDAY</v>
      </c>
      <c r="F1123" t="e">
        <f t="shared" si="69"/>
        <v>#N/A</v>
      </c>
      <c r="G1123" s="74">
        <v>32189</v>
      </c>
      <c r="H1123" s="77">
        <v>4.1666666666666664E-2</v>
      </c>
      <c r="J1123">
        <v>44.06</v>
      </c>
      <c r="M1123" s="74">
        <v>38033</v>
      </c>
      <c r="N1123" s="77">
        <v>4.1666666666666664E-2</v>
      </c>
      <c r="P1123">
        <v>10.399999999999999</v>
      </c>
      <c r="S1123" s="74">
        <v>34746</v>
      </c>
      <c r="T1123" s="77">
        <v>4.1666666666666664E-2</v>
      </c>
      <c r="V1123">
        <v>35.96</v>
      </c>
      <c r="X1123" s="42"/>
      <c r="AB1123">
        <v>33.299999999999997</v>
      </c>
      <c r="AC1123">
        <v>23</v>
      </c>
      <c r="AE1123" s="74"/>
      <c r="AF1123" s="77"/>
      <c r="AH1123" s="497">
        <v>18.86</v>
      </c>
      <c r="AJ1123" s="42"/>
      <c r="AK1123" s="74"/>
      <c r="AL1123" s="77"/>
      <c r="AN1123" s="497">
        <v>42.08</v>
      </c>
      <c r="AP1123" s="42"/>
      <c r="AQ1123" s="74"/>
      <c r="AR1123" s="77"/>
      <c r="AT1123" s="497">
        <v>39.019999999999996</v>
      </c>
      <c r="AV1123" s="42"/>
      <c r="AW1123" s="74"/>
      <c r="AX1123" s="77"/>
      <c r="BA1123" s="497">
        <v>41</v>
      </c>
      <c r="BB1123" s="42"/>
      <c r="BC1123" s="74"/>
      <c r="BD1123" s="77"/>
      <c r="BF1123">
        <v>26.96</v>
      </c>
      <c r="BH1123" s="42"/>
      <c r="BI1123" s="74"/>
      <c r="BJ1123" s="77"/>
      <c r="BL1123" s="497">
        <v>28.04</v>
      </c>
      <c r="BN1123" s="42"/>
      <c r="BO1123" s="74"/>
      <c r="BP1123" s="77"/>
      <c r="BR1123" s="497">
        <v>35.96</v>
      </c>
      <c r="BT1123" s="42"/>
    </row>
    <row r="1124" spans="1:72" x14ac:dyDescent="0.25">
      <c r="A1124" s="90">
        <v>34746</v>
      </c>
      <c r="B1124" s="20">
        <v>8.3333333333333329E-2</v>
      </c>
      <c r="D1124">
        <v>37.94</v>
      </c>
      <c r="E1124" t="str">
        <f t="shared" si="70"/>
        <v>WEEKDAY</v>
      </c>
      <c r="F1124" t="e">
        <f t="shared" si="69"/>
        <v>#N/A</v>
      </c>
      <c r="G1124" s="74">
        <v>32189</v>
      </c>
      <c r="H1124" s="77">
        <v>8.3333333333333329E-2</v>
      </c>
      <c r="J1124">
        <v>42.980000000000004</v>
      </c>
      <c r="M1124" s="74">
        <v>38033</v>
      </c>
      <c r="N1124" s="77">
        <v>8.3333333333333329E-2</v>
      </c>
      <c r="P1124">
        <v>10.399999999999999</v>
      </c>
      <c r="S1124" s="74">
        <v>34746</v>
      </c>
      <c r="T1124" s="77">
        <v>8.3333333333333329E-2</v>
      </c>
      <c r="V1124">
        <v>35.06</v>
      </c>
      <c r="X1124" s="42"/>
      <c r="AB1124">
        <v>32.799999999999997</v>
      </c>
      <c r="AC1124">
        <v>21.92</v>
      </c>
      <c r="AE1124" s="74"/>
      <c r="AF1124" s="77"/>
      <c r="AH1124" s="497">
        <v>15.98</v>
      </c>
      <c r="AJ1124" s="42"/>
      <c r="AK1124" s="74"/>
      <c r="AL1124" s="77"/>
      <c r="AN1124" s="497">
        <v>42.08</v>
      </c>
      <c r="AP1124" s="42"/>
      <c r="AQ1124" s="74"/>
      <c r="AR1124" s="77"/>
      <c r="AT1124" s="497">
        <v>37.94</v>
      </c>
      <c r="AV1124" s="42"/>
      <c r="AW1124" s="74"/>
      <c r="AX1124" s="77"/>
      <c r="BA1124" s="497">
        <v>41</v>
      </c>
      <c r="BB1124" s="42"/>
      <c r="BC1124" s="74"/>
      <c r="BD1124" s="77"/>
      <c r="BF1124">
        <v>26.060000000000002</v>
      </c>
      <c r="BH1124" s="42"/>
      <c r="BI1124" s="74"/>
      <c r="BJ1124" s="77"/>
      <c r="BL1124" s="497">
        <v>26.060000000000002</v>
      </c>
      <c r="BN1124" s="42"/>
      <c r="BO1124" s="74"/>
      <c r="BP1124" s="77"/>
      <c r="BR1124" s="497">
        <v>30.92</v>
      </c>
      <c r="BT1124" s="42"/>
    </row>
    <row r="1125" spans="1:72" x14ac:dyDescent="0.25">
      <c r="A1125" s="90">
        <v>34746</v>
      </c>
      <c r="B1125" s="20">
        <v>0.125</v>
      </c>
      <c r="D1125">
        <v>39.019999999999996</v>
      </c>
      <c r="E1125" t="str">
        <f t="shared" si="70"/>
        <v>WEEKDAY</v>
      </c>
      <c r="F1125" t="e">
        <f t="shared" si="69"/>
        <v>#N/A</v>
      </c>
      <c r="G1125" s="74">
        <v>32189</v>
      </c>
      <c r="H1125" s="77">
        <v>0.125</v>
      </c>
      <c r="J1125">
        <v>42.08</v>
      </c>
      <c r="M1125" s="74">
        <v>38033</v>
      </c>
      <c r="N1125" s="77">
        <v>0.125</v>
      </c>
      <c r="P1125">
        <v>10.399999999999999</v>
      </c>
      <c r="S1125" s="74">
        <v>34746</v>
      </c>
      <c r="T1125" s="77">
        <v>0.125</v>
      </c>
      <c r="V1125">
        <v>35.96</v>
      </c>
      <c r="X1125" s="42"/>
      <c r="AB1125">
        <v>32.200000000000003</v>
      </c>
      <c r="AC1125">
        <v>24.08</v>
      </c>
      <c r="AE1125" s="74"/>
      <c r="AF1125" s="77"/>
      <c r="AH1125" s="497">
        <v>15.98</v>
      </c>
      <c r="AJ1125" s="42"/>
      <c r="AK1125" s="74"/>
      <c r="AL1125" s="77"/>
      <c r="AN1125" s="497">
        <v>42.08</v>
      </c>
      <c r="AP1125" s="42"/>
      <c r="AQ1125" s="74"/>
      <c r="AR1125" s="77"/>
      <c r="AT1125" s="497">
        <v>37.04</v>
      </c>
      <c r="AV1125" s="42"/>
      <c r="AW1125" s="74"/>
      <c r="AX1125" s="77"/>
      <c r="BA1125" s="497">
        <v>39.92</v>
      </c>
      <c r="BB1125" s="42"/>
      <c r="BC1125" s="74"/>
      <c r="BD1125" s="77"/>
      <c r="BF1125">
        <v>24.98</v>
      </c>
      <c r="BH1125" s="42"/>
      <c r="BI1125" s="74"/>
      <c r="BJ1125" s="77"/>
      <c r="BL1125" s="497">
        <v>24.98</v>
      </c>
      <c r="BN1125" s="42"/>
      <c r="BO1125" s="74"/>
      <c r="BP1125" s="77"/>
      <c r="BR1125" s="497">
        <v>28.94</v>
      </c>
      <c r="BT1125" s="42"/>
    </row>
    <row r="1126" spans="1:72" x14ac:dyDescent="0.25">
      <c r="A1126" s="90">
        <v>34746</v>
      </c>
      <c r="B1126" s="20">
        <v>0.16666666666666666</v>
      </c>
      <c r="D1126">
        <v>37.94</v>
      </c>
      <c r="E1126" t="str">
        <f t="shared" si="70"/>
        <v>WEEKDAY</v>
      </c>
      <c r="F1126" t="e">
        <f t="shared" si="69"/>
        <v>#N/A</v>
      </c>
      <c r="G1126" s="74">
        <v>32189</v>
      </c>
      <c r="H1126" s="77">
        <v>0.16666666666666666</v>
      </c>
      <c r="J1126">
        <v>41</v>
      </c>
      <c r="M1126" s="74">
        <v>38033</v>
      </c>
      <c r="N1126" s="77">
        <v>0.16666666666666666</v>
      </c>
      <c r="P1126">
        <v>10.399999999999999</v>
      </c>
      <c r="S1126" s="74">
        <v>34746</v>
      </c>
      <c r="T1126" s="77">
        <v>0.16666666666666666</v>
      </c>
      <c r="V1126">
        <v>35.96</v>
      </c>
      <c r="X1126" s="42"/>
      <c r="AB1126">
        <v>31.7</v>
      </c>
      <c r="AC1126">
        <v>26.060000000000002</v>
      </c>
      <c r="AE1126" s="74"/>
      <c r="AF1126" s="77"/>
      <c r="AH1126" s="497">
        <v>15.98</v>
      </c>
      <c r="AJ1126" s="42"/>
      <c r="AK1126" s="74"/>
      <c r="AL1126" s="77"/>
      <c r="AN1126" s="497">
        <v>42.08</v>
      </c>
      <c r="AP1126" s="42"/>
      <c r="AQ1126" s="74"/>
      <c r="AR1126" s="77"/>
      <c r="AT1126" s="497">
        <v>35.96</v>
      </c>
      <c r="AV1126" s="42"/>
      <c r="AW1126" s="74"/>
      <c r="AX1126" s="77"/>
      <c r="BA1126" s="497">
        <v>39.019999999999996</v>
      </c>
      <c r="BB1126" s="42"/>
      <c r="BC1126" s="74"/>
      <c r="BD1126" s="77"/>
      <c r="BF1126">
        <v>24.98</v>
      </c>
      <c r="BH1126" s="42"/>
      <c r="BI1126" s="74"/>
      <c r="BJ1126" s="77"/>
      <c r="BL1126" s="497">
        <v>24.08</v>
      </c>
      <c r="BN1126" s="42"/>
      <c r="BO1126" s="74"/>
      <c r="BP1126" s="77"/>
      <c r="BR1126" s="497">
        <v>26.96</v>
      </c>
      <c r="BT1126" s="42"/>
    </row>
    <row r="1127" spans="1:72" x14ac:dyDescent="0.25">
      <c r="A1127" s="90">
        <v>34746</v>
      </c>
      <c r="B1127" s="20">
        <v>0.20833333333333334</v>
      </c>
      <c r="D1127">
        <v>37.94</v>
      </c>
      <c r="E1127" t="str">
        <f t="shared" si="70"/>
        <v>WEEKDAY</v>
      </c>
      <c r="F1127" t="e">
        <f t="shared" si="69"/>
        <v>#N/A</v>
      </c>
      <c r="G1127" s="74">
        <v>32189</v>
      </c>
      <c r="H1127" s="77">
        <v>0.20833333333333334</v>
      </c>
      <c r="J1127">
        <v>42.08</v>
      </c>
      <c r="M1127" s="74">
        <v>38033</v>
      </c>
      <c r="N1127" s="77">
        <v>0.20833333333333334</v>
      </c>
      <c r="P1127">
        <v>10.399999999999999</v>
      </c>
      <c r="S1127" s="74">
        <v>34746</v>
      </c>
      <c r="T1127" s="77">
        <v>0.20833333333333334</v>
      </c>
      <c r="V1127">
        <v>35.96</v>
      </c>
      <c r="X1127" s="42"/>
      <c r="AB1127">
        <v>31.4</v>
      </c>
      <c r="AC1127">
        <v>28.94</v>
      </c>
      <c r="AE1127" s="74"/>
      <c r="AF1127" s="77"/>
      <c r="AH1127" s="497">
        <v>16.88</v>
      </c>
      <c r="AJ1127" s="42"/>
      <c r="AK1127" s="74"/>
      <c r="AL1127" s="77"/>
      <c r="AN1127" s="497">
        <v>39.92</v>
      </c>
      <c r="AP1127" s="42"/>
      <c r="AQ1127" s="74"/>
      <c r="AR1127" s="77"/>
      <c r="AT1127" s="497">
        <v>35.96</v>
      </c>
      <c r="AV1127" s="42"/>
      <c r="AW1127" s="74"/>
      <c r="AX1127" s="77"/>
      <c r="BA1127" s="497">
        <v>39.019999999999996</v>
      </c>
      <c r="BB1127" s="42"/>
      <c r="BC1127" s="74"/>
      <c r="BD1127" s="77"/>
      <c r="BF1127">
        <v>24.08</v>
      </c>
      <c r="BH1127" s="42"/>
      <c r="BI1127" s="74"/>
      <c r="BJ1127" s="77"/>
      <c r="BL1127" s="497">
        <v>23</v>
      </c>
      <c r="BN1127" s="42"/>
      <c r="BO1127" s="74"/>
      <c r="BP1127" s="77"/>
      <c r="BR1127" s="497">
        <v>24.98</v>
      </c>
      <c r="BT1127" s="42"/>
    </row>
    <row r="1128" spans="1:72" x14ac:dyDescent="0.25">
      <c r="A1128" s="90">
        <v>34746</v>
      </c>
      <c r="B1128" s="20">
        <v>0.25</v>
      </c>
      <c r="D1128">
        <v>37.94</v>
      </c>
      <c r="E1128" t="str">
        <f t="shared" si="70"/>
        <v>WEEKDAY</v>
      </c>
      <c r="F1128" t="e">
        <f t="shared" si="69"/>
        <v>#N/A</v>
      </c>
      <c r="G1128" s="74">
        <v>32189</v>
      </c>
      <c r="H1128" s="77">
        <v>0.25</v>
      </c>
      <c r="J1128">
        <v>42.980000000000004</v>
      </c>
      <c r="M1128" s="74">
        <v>38033</v>
      </c>
      <c r="N1128" s="77">
        <v>0.25</v>
      </c>
      <c r="P1128">
        <v>10.399999999999999</v>
      </c>
      <c r="S1128" s="74">
        <v>34746</v>
      </c>
      <c r="T1128" s="77">
        <v>0.25</v>
      </c>
      <c r="V1128">
        <v>35.06</v>
      </c>
      <c r="X1128" s="42"/>
      <c r="AB1128">
        <v>31.1</v>
      </c>
      <c r="AC1128">
        <v>30.02</v>
      </c>
      <c r="AE1128" s="74"/>
      <c r="AF1128" s="77"/>
      <c r="AH1128" s="497">
        <v>17.96</v>
      </c>
      <c r="AJ1128" s="42"/>
      <c r="AK1128" s="74"/>
      <c r="AL1128" s="77"/>
      <c r="AN1128" s="497">
        <v>37.94</v>
      </c>
      <c r="AP1128" s="42"/>
      <c r="AQ1128" s="74"/>
      <c r="AR1128" s="77"/>
      <c r="AT1128" s="497">
        <v>35.06</v>
      </c>
      <c r="AV1128" s="42"/>
      <c r="AW1128" s="74"/>
      <c r="AX1128" s="77"/>
      <c r="BA1128" s="497">
        <v>37.94</v>
      </c>
      <c r="BB1128" s="42"/>
      <c r="BC1128" s="74"/>
      <c r="BD1128" s="77"/>
      <c r="BF1128">
        <v>24.08</v>
      </c>
      <c r="BH1128" s="42"/>
      <c r="BI1128" s="74"/>
      <c r="BJ1128" s="77"/>
      <c r="BL1128" s="497">
        <v>23</v>
      </c>
      <c r="BN1128" s="42"/>
      <c r="BO1128" s="74"/>
      <c r="BP1128" s="77"/>
      <c r="BR1128" s="497">
        <v>24.08</v>
      </c>
      <c r="BT1128" s="42"/>
    </row>
    <row r="1129" spans="1:72" x14ac:dyDescent="0.25">
      <c r="A1129" s="90">
        <v>34746</v>
      </c>
      <c r="B1129" s="20">
        <v>0.29166666666666669</v>
      </c>
      <c r="D1129">
        <v>37.04</v>
      </c>
      <c r="E1129" t="str">
        <f t="shared" si="70"/>
        <v>WEEKDAY</v>
      </c>
      <c r="F1129" t="e">
        <f t="shared" si="69"/>
        <v>#N/A</v>
      </c>
      <c r="G1129" s="74">
        <v>32189</v>
      </c>
      <c r="H1129" s="77">
        <v>0.29166666666666669</v>
      </c>
      <c r="J1129">
        <v>42.08</v>
      </c>
      <c r="M1129" s="74">
        <v>38033</v>
      </c>
      <c r="N1129" s="77">
        <v>0.29166666666666669</v>
      </c>
      <c r="P1129">
        <v>10.399999999999999</v>
      </c>
      <c r="S1129" s="74">
        <v>34746</v>
      </c>
      <c r="T1129" s="77">
        <v>0.29166666666666669</v>
      </c>
      <c r="V1129">
        <v>33.979999999999997</v>
      </c>
      <c r="X1129" s="42"/>
      <c r="AB1129">
        <v>31</v>
      </c>
      <c r="AC1129">
        <v>32</v>
      </c>
      <c r="AE1129" s="74"/>
      <c r="AF1129" s="77"/>
      <c r="AH1129" s="497">
        <v>16.88</v>
      </c>
      <c r="AJ1129" s="42"/>
      <c r="AK1129" s="74"/>
      <c r="AL1129" s="77"/>
      <c r="AN1129" s="497">
        <v>37.94</v>
      </c>
      <c r="AP1129" s="42"/>
      <c r="AQ1129" s="74"/>
      <c r="AR1129" s="77"/>
      <c r="AT1129" s="497">
        <v>35.06</v>
      </c>
      <c r="AV1129" s="42"/>
      <c r="AW1129" s="74"/>
      <c r="AX1129" s="77"/>
      <c r="BA1129" s="497">
        <v>37.04</v>
      </c>
      <c r="BB1129" s="42"/>
      <c r="BC1129" s="74"/>
      <c r="BD1129" s="77"/>
      <c r="BF1129">
        <v>23</v>
      </c>
      <c r="BH1129" s="42"/>
      <c r="BI1129" s="74"/>
      <c r="BJ1129" s="77"/>
      <c r="BL1129" s="497">
        <v>21.92</v>
      </c>
      <c r="BN1129" s="42"/>
      <c r="BO1129" s="74"/>
      <c r="BP1129" s="77"/>
      <c r="BR1129" s="497">
        <v>21.92</v>
      </c>
      <c r="BT1129" s="42"/>
    </row>
    <row r="1130" spans="1:72" x14ac:dyDescent="0.25">
      <c r="A1130" s="90">
        <v>34746</v>
      </c>
      <c r="B1130" s="20">
        <v>0.33333333333333331</v>
      </c>
      <c r="D1130">
        <v>39.019999999999996</v>
      </c>
      <c r="E1130" t="str">
        <f t="shared" si="70"/>
        <v>WEEKDAY</v>
      </c>
      <c r="F1130" t="e">
        <f t="shared" si="69"/>
        <v>#N/A</v>
      </c>
      <c r="G1130" s="74">
        <v>32189</v>
      </c>
      <c r="H1130" s="77">
        <v>0.33333333333333331</v>
      </c>
      <c r="J1130">
        <v>39.92</v>
      </c>
      <c r="M1130" s="74">
        <v>38033</v>
      </c>
      <c r="N1130" s="77">
        <v>0.33333333333333331</v>
      </c>
      <c r="P1130">
        <v>12.2</v>
      </c>
      <c r="S1130" s="74">
        <v>34746</v>
      </c>
      <c r="T1130" s="77">
        <v>0.33333333333333331</v>
      </c>
      <c r="V1130">
        <v>35.06</v>
      </c>
      <c r="X1130" s="42"/>
      <c r="AB1130">
        <v>31</v>
      </c>
      <c r="AC1130">
        <v>35.96</v>
      </c>
      <c r="AE1130" s="74"/>
      <c r="AF1130" s="77"/>
      <c r="AH1130" s="497">
        <v>17.96</v>
      </c>
      <c r="AJ1130" s="42"/>
      <c r="AK1130" s="74"/>
      <c r="AL1130" s="77"/>
      <c r="AN1130" s="497">
        <v>37.04</v>
      </c>
      <c r="AP1130" s="42"/>
      <c r="AQ1130" s="74"/>
      <c r="AR1130" s="77"/>
      <c r="AT1130" s="497">
        <v>33.979999999999997</v>
      </c>
      <c r="AV1130" s="42"/>
      <c r="AW1130" s="74"/>
      <c r="AX1130" s="77"/>
      <c r="BA1130" s="497">
        <v>35.96</v>
      </c>
      <c r="BB1130" s="42"/>
      <c r="BC1130" s="74"/>
      <c r="BD1130" s="77"/>
      <c r="BF1130">
        <v>21.92</v>
      </c>
      <c r="BH1130" s="42"/>
      <c r="BI1130" s="74"/>
      <c r="BJ1130" s="77"/>
      <c r="BL1130" s="497">
        <v>21.92</v>
      </c>
      <c r="BN1130" s="42"/>
      <c r="BO1130" s="74"/>
      <c r="BP1130" s="77"/>
      <c r="BR1130" s="497">
        <v>21.02</v>
      </c>
      <c r="BT1130" s="42"/>
    </row>
    <row r="1131" spans="1:72" x14ac:dyDescent="0.25">
      <c r="A1131" s="90">
        <v>34746</v>
      </c>
      <c r="B1131" s="20">
        <v>0.375</v>
      </c>
      <c r="D1131">
        <v>41</v>
      </c>
      <c r="E1131" t="str">
        <f t="shared" si="70"/>
        <v>WEEKDAY</v>
      </c>
      <c r="F1131" t="e">
        <f t="shared" ref="F1131:F1194" si="71">IF(E1131="WEEKDAY",VLOOKUP(B1131,$DD$19:$DG$42,2),IF(E1131="SATURDAY",VLOOKUP(B1131,$DD$19:$DG$42,3),VLOOKUP(B1131,$DD$19:$DG$42,4)))</f>
        <v>#N/A</v>
      </c>
      <c r="G1131" s="74">
        <v>32189</v>
      </c>
      <c r="H1131" s="77">
        <v>0.375</v>
      </c>
      <c r="J1131">
        <v>39.019999999999996</v>
      </c>
      <c r="M1131" s="74">
        <v>38033</v>
      </c>
      <c r="N1131" s="77">
        <v>0.375</v>
      </c>
      <c r="P1131">
        <v>17.600000000000001</v>
      </c>
      <c r="S1131" s="74">
        <v>34746</v>
      </c>
      <c r="T1131" s="77">
        <v>0.375</v>
      </c>
      <c r="V1131">
        <v>37.94</v>
      </c>
      <c r="X1131" s="42"/>
      <c r="AB1131">
        <v>32.1</v>
      </c>
      <c r="AC1131">
        <v>37.04</v>
      </c>
      <c r="AE1131" s="74"/>
      <c r="AF1131" s="77"/>
      <c r="AH1131" s="497">
        <v>18.86</v>
      </c>
      <c r="AJ1131" s="42"/>
      <c r="AK1131" s="74"/>
      <c r="AL1131" s="77"/>
      <c r="AN1131" s="497">
        <v>37.04</v>
      </c>
      <c r="AP1131" s="42"/>
      <c r="AQ1131" s="74"/>
      <c r="AR1131" s="77"/>
      <c r="AT1131" s="497">
        <v>33.08</v>
      </c>
      <c r="AV1131" s="42"/>
      <c r="AW1131" s="74"/>
      <c r="AX1131" s="77"/>
      <c r="BA1131" s="497">
        <v>35.96</v>
      </c>
      <c r="BB1131" s="42"/>
      <c r="BC1131" s="74"/>
      <c r="BD1131" s="77"/>
      <c r="BF1131">
        <v>23</v>
      </c>
      <c r="BH1131" s="42"/>
      <c r="BI1131" s="74"/>
      <c r="BJ1131" s="77"/>
      <c r="BL1131" s="497">
        <v>21.92</v>
      </c>
      <c r="BN1131" s="42"/>
      <c r="BO1131" s="74"/>
      <c r="BP1131" s="77"/>
      <c r="BR1131" s="497">
        <v>19.939999999999998</v>
      </c>
      <c r="BT1131" s="42"/>
    </row>
    <row r="1132" spans="1:72" x14ac:dyDescent="0.25">
      <c r="A1132" s="90">
        <v>34746</v>
      </c>
      <c r="B1132" s="20">
        <v>0.41666666666666669</v>
      </c>
      <c r="D1132">
        <v>42.980000000000004</v>
      </c>
      <c r="E1132" t="str">
        <f t="shared" si="70"/>
        <v>WEEKDAY</v>
      </c>
      <c r="F1132" t="e">
        <f t="shared" si="71"/>
        <v>#N/A</v>
      </c>
      <c r="G1132" s="74">
        <v>32189</v>
      </c>
      <c r="H1132" s="77">
        <v>0.41666666666666669</v>
      </c>
      <c r="J1132">
        <v>39.019999999999996</v>
      </c>
      <c r="M1132" s="74">
        <v>38033</v>
      </c>
      <c r="N1132" s="77">
        <v>0.41666666666666669</v>
      </c>
      <c r="P1132">
        <v>19.399999999999999</v>
      </c>
      <c r="S1132" s="74">
        <v>34746</v>
      </c>
      <c r="T1132" s="77">
        <v>0.41666666666666669</v>
      </c>
      <c r="V1132">
        <v>42.08</v>
      </c>
      <c r="X1132" s="42"/>
      <c r="AB1132">
        <v>33.799999999999997</v>
      </c>
      <c r="AC1132">
        <v>39.019999999999996</v>
      </c>
      <c r="AE1132" s="74"/>
      <c r="AF1132" s="77"/>
      <c r="AH1132" s="497">
        <v>19.939999999999998</v>
      </c>
      <c r="AJ1132" s="42"/>
      <c r="AK1132" s="74"/>
      <c r="AL1132" s="77"/>
      <c r="AN1132" s="497">
        <v>37.04</v>
      </c>
      <c r="AP1132" s="42"/>
      <c r="AQ1132" s="74"/>
      <c r="AR1132" s="77"/>
      <c r="AT1132" s="497">
        <v>32</v>
      </c>
      <c r="AV1132" s="42"/>
      <c r="AW1132" s="74"/>
      <c r="AX1132" s="77"/>
      <c r="BA1132" s="497">
        <v>37.94</v>
      </c>
      <c r="BB1132" s="42"/>
      <c r="BC1132" s="74"/>
      <c r="BD1132" s="77"/>
      <c r="BF1132">
        <v>23</v>
      </c>
      <c r="BH1132" s="42"/>
      <c r="BI1132" s="74"/>
      <c r="BJ1132" s="77"/>
      <c r="BL1132" s="497">
        <v>24.08</v>
      </c>
      <c r="BN1132" s="42"/>
      <c r="BO1132" s="74"/>
      <c r="BP1132" s="77"/>
      <c r="BR1132" s="497">
        <v>19.939999999999998</v>
      </c>
      <c r="BT1132" s="42"/>
    </row>
    <row r="1133" spans="1:72" x14ac:dyDescent="0.25">
      <c r="A1133" s="90">
        <v>34746</v>
      </c>
      <c r="B1133" s="20">
        <v>0.45833333333333331</v>
      </c>
      <c r="D1133">
        <v>44.96</v>
      </c>
      <c r="E1133" t="str">
        <f t="shared" si="70"/>
        <v>WEEKDAY</v>
      </c>
      <c r="F1133" t="e">
        <f t="shared" si="71"/>
        <v>#N/A</v>
      </c>
      <c r="G1133" s="74">
        <v>32189</v>
      </c>
      <c r="H1133" s="77">
        <v>0.45833333333333331</v>
      </c>
      <c r="J1133">
        <v>41</v>
      </c>
      <c r="M1133" s="74">
        <v>38033</v>
      </c>
      <c r="N1133" s="77">
        <v>0.45833333333333331</v>
      </c>
      <c r="P1133">
        <v>23</v>
      </c>
      <c r="S1133" s="74">
        <v>34746</v>
      </c>
      <c r="T1133" s="77">
        <v>0.45833333333333331</v>
      </c>
      <c r="V1133">
        <v>46.04</v>
      </c>
      <c r="X1133" s="42"/>
      <c r="AB1133">
        <v>35.299999999999997</v>
      </c>
      <c r="AC1133">
        <v>41</v>
      </c>
      <c r="AE1133" s="74"/>
      <c r="AF1133" s="77"/>
      <c r="AH1133" s="497">
        <v>21.92</v>
      </c>
      <c r="AJ1133" s="42"/>
      <c r="AK1133" s="74"/>
      <c r="AL1133" s="77"/>
      <c r="AN1133" s="497">
        <v>35.96</v>
      </c>
      <c r="AP1133" s="42"/>
      <c r="AQ1133" s="74"/>
      <c r="AR1133" s="77"/>
      <c r="AT1133" s="497">
        <v>30.92</v>
      </c>
      <c r="AV1133" s="42"/>
      <c r="AW1133" s="74"/>
      <c r="AX1133" s="77"/>
      <c r="BA1133" s="497">
        <v>39.019999999999996</v>
      </c>
      <c r="BB1133" s="42"/>
      <c r="BC1133" s="74"/>
      <c r="BD1133" s="77"/>
      <c r="BF1133">
        <v>24.98</v>
      </c>
      <c r="BH1133" s="42"/>
      <c r="BI1133" s="74"/>
      <c r="BJ1133" s="77"/>
      <c r="BL1133" s="497">
        <v>24.08</v>
      </c>
      <c r="BN1133" s="42"/>
      <c r="BO1133" s="74"/>
      <c r="BP1133" s="77"/>
      <c r="BR1133" s="497">
        <v>21.02</v>
      </c>
      <c r="BT1133" s="42"/>
    </row>
    <row r="1134" spans="1:72" x14ac:dyDescent="0.25">
      <c r="A1134" s="90">
        <v>34746</v>
      </c>
      <c r="B1134" s="20">
        <v>0.5</v>
      </c>
      <c r="D1134">
        <v>46.04</v>
      </c>
      <c r="E1134" t="str">
        <f t="shared" si="70"/>
        <v>WEEKDAY</v>
      </c>
      <c r="F1134" t="e">
        <f t="shared" si="71"/>
        <v>#N/A</v>
      </c>
      <c r="G1134" s="74">
        <v>32189</v>
      </c>
      <c r="H1134" s="77">
        <v>0.5</v>
      </c>
      <c r="J1134">
        <v>42.08</v>
      </c>
      <c r="M1134" s="74">
        <v>38033</v>
      </c>
      <c r="N1134" s="77">
        <v>0.5</v>
      </c>
      <c r="P1134">
        <v>24.8</v>
      </c>
      <c r="S1134" s="74">
        <v>34746</v>
      </c>
      <c r="T1134" s="77">
        <v>0.5</v>
      </c>
      <c r="V1134">
        <v>46.94</v>
      </c>
      <c r="X1134" s="42"/>
      <c r="AB1134">
        <v>36.700000000000003</v>
      </c>
      <c r="AC1134">
        <v>44.06</v>
      </c>
      <c r="AE1134" s="74"/>
      <c r="AF1134" s="77"/>
      <c r="AH1134" s="497">
        <v>23</v>
      </c>
      <c r="AJ1134" s="42"/>
      <c r="AK1134" s="74"/>
      <c r="AL1134" s="77"/>
      <c r="AN1134" s="497">
        <v>35.96</v>
      </c>
      <c r="AP1134" s="42"/>
      <c r="AQ1134" s="74"/>
      <c r="AR1134" s="77"/>
      <c r="AT1134" s="497">
        <v>30.92</v>
      </c>
      <c r="AV1134" s="42"/>
      <c r="AW1134" s="74"/>
      <c r="AX1134" s="77"/>
      <c r="BA1134" s="497">
        <v>41</v>
      </c>
      <c r="BB1134" s="42"/>
      <c r="BC1134" s="74"/>
      <c r="BD1134" s="77"/>
      <c r="BF1134">
        <v>28.04</v>
      </c>
      <c r="BH1134" s="42"/>
      <c r="BI1134" s="74"/>
      <c r="BJ1134" s="77"/>
      <c r="BL1134" s="497">
        <v>24.98</v>
      </c>
      <c r="BN1134" s="42"/>
      <c r="BO1134" s="74"/>
      <c r="BP1134" s="77"/>
      <c r="BR1134" s="497">
        <v>21.92</v>
      </c>
      <c r="BT1134" s="42"/>
    </row>
    <row r="1135" spans="1:72" x14ac:dyDescent="0.25">
      <c r="A1135" s="90">
        <v>34746</v>
      </c>
      <c r="B1135" s="20">
        <v>0.54166666666666663</v>
      </c>
      <c r="D1135">
        <v>44.06</v>
      </c>
      <c r="E1135" t="str">
        <f t="shared" si="70"/>
        <v>WEEKDAY</v>
      </c>
      <c r="F1135" t="e">
        <f t="shared" si="71"/>
        <v>#N/A</v>
      </c>
      <c r="G1135" s="74">
        <v>32189</v>
      </c>
      <c r="H1135" s="77">
        <v>0.54166666666666663</v>
      </c>
      <c r="J1135">
        <v>42.980000000000004</v>
      </c>
      <c r="M1135" s="74">
        <v>38033</v>
      </c>
      <c r="N1135" s="77">
        <v>0.54166666666666663</v>
      </c>
      <c r="P1135">
        <v>26.6</v>
      </c>
      <c r="S1135" s="74">
        <v>34746</v>
      </c>
      <c r="T1135" s="77">
        <v>0.54166666666666663</v>
      </c>
      <c r="V1135">
        <v>46.94</v>
      </c>
      <c r="X1135" s="42"/>
      <c r="AB1135">
        <v>37.799999999999997</v>
      </c>
      <c r="AC1135">
        <v>44.96</v>
      </c>
      <c r="AE1135" s="74"/>
      <c r="AF1135" s="77"/>
      <c r="AH1135" s="497">
        <v>19.939999999999998</v>
      </c>
      <c r="AJ1135" s="42"/>
      <c r="AK1135" s="74"/>
      <c r="AL1135" s="77"/>
      <c r="AN1135" s="497">
        <v>37.04</v>
      </c>
      <c r="AP1135" s="42"/>
      <c r="AQ1135" s="74"/>
      <c r="AR1135" s="77"/>
      <c r="AT1135" s="497">
        <v>30.02</v>
      </c>
      <c r="AV1135" s="42"/>
      <c r="AW1135" s="74"/>
      <c r="AX1135" s="77"/>
      <c r="BA1135" s="497">
        <v>41</v>
      </c>
      <c r="BB1135" s="42"/>
      <c r="BC1135" s="74"/>
      <c r="BD1135" s="77"/>
      <c r="BF1135">
        <v>28.04</v>
      </c>
      <c r="BH1135" s="42"/>
      <c r="BI1135" s="74"/>
      <c r="BJ1135" s="77"/>
      <c r="BL1135" s="497">
        <v>26.96</v>
      </c>
      <c r="BN1135" s="42"/>
      <c r="BO1135" s="74"/>
      <c r="BP1135" s="77"/>
      <c r="BR1135" s="497">
        <v>21.92</v>
      </c>
      <c r="BT1135" s="42"/>
    </row>
    <row r="1136" spans="1:72" x14ac:dyDescent="0.25">
      <c r="A1136" s="90">
        <v>34746</v>
      </c>
      <c r="B1136" s="20">
        <v>0.58333333333333337</v>
      </c>
      <c r="D1136">
        <v>44.06</v>
      </c>
      <c r="E1136" t="str">
        <f t="shared" si="70"/>
        <v>WEEKDAY</v>
      </c>
      <c r="F1136" t="e">
        <f t="shared" si="71"/>
        <v>#N/A</v>
      </c>
      <c r="G1136" s="74">
        <v>32189</v>
      </c>
      <c r="H1136" s="77">
        <v>0.58333333333333337</v>
      </c>
      <c r="J1136">
        <v>41</v>
      </c>
      <c r="M1136" s="74">
        <v>38033</v>
      </c>
      <c r="N1136" s="77">
        <v>0.58333333333333337</v>
      </c>
      <c r="P1136">
        <v>26.6</v>
      </c>
      <c r="S1136" s="74">
        <v>34746</v>
      </c>
      <c r="T1136" s="77">
        <v>0.58333333333333337</v>
      </c>
      <c r="V1136">
        <v>46.04</v>
      </c>
      <c r="X1136" s="42"/>
      <c r="AB1136">
        <v>38.799999999999997</v>
      </c>
      <c r="AC1136">
        <v>44.06</v>
      </c>
      <c r="AE1136" s="74"/>
      <c r="AF1136" s="77"/>
      <c r="AH1136" s="497">
        <v>19.939999999999998</v>
      </c>
      <c r="AJ1136" s="42"/>
      <c r="AK1136" s="74"/>
      <c r="AL1136" s="77"/>
      <c r="AN1136" s="497">
        <v>35.96</v>
      </c>
      <c r="AP1136" s="42"/>
      <c r="AQ1136" s="74"/>
      <c r="AR1136" s="77"/>
      <c r="AT1136" s="497">
        <v>30.92</v>
      </c>
      <c r="AV1136" s="42"/>
      <c r="AW1136" s="74"/>
      <c r="AX1136" s="77"/>
      <c r="BA1136" s="497">
        <v>41</v>
      </c>
      <c r="BB1136" s="42"/>
      <c r="BC1136" s="74"/>
      <c r="BD1136" s="77"/>
      <c r="BF1136">
        <v>26.96</v>
      </c>
      <c r="BH1136" s="42"/>
      <c r="BI1136" s="74"/>
      <c r="BJ1136" s="77"/>
      <c r="BL1136" s="497">
        <v>28.04</v>
      </c>
      <c r="BN1136" s="42"/>
      <c r="BO1136" s="74"/>
      <c r="BP1136" s="77"/>
      <c r="BR1136" s="497">
        <v>23</v>
      </c>
      <c r="BT1136" s="42"/>
    </row>
    <row r="1137" spans="1:72" x14ac:dyDescent="0.25">
      <c r="A1137" s="90">
        <v>34746</v>
      </c>
      <c r="B1137" s="20">
        <v>0.625</v>
      </c>
      <c r="D1137">
        <v>42.980000000000004</v>
      </c>
      <c r="E1137" t="str">
        <f t="shared" si="70"/>
        <v>WEEKDAY</v>
      </c>
      <c r="F1137" t="e">
        <f t="shared" si="71"/>
        <v>#N/A</v>
      </c>
      <c r="G1137" s="74">
        <v>32189</v>
      </c>
      <c r="H1137" s="77">
        <v>0.625</v>
      </c>
      <c r="J1137">
        <v>39.92</v>
      </c>
      <c r="M1137" s="74">
        <v>38033</v>
      </c>
      <c r="N1137" s="77">
        <v>0.625</v>
      </c>
      <c r="P1137">
        <v>26.6</v>
      </c>
      <c r="S1137" s="74">
        <v>34746</v>
      </c>
      <c r="T1137" s="77">
        <v>0.625</v>
      </c>
      <c r="V1137">
        <v>46.04</v>
      </c>
      <c r="X1137" s="42"/>
      <c r="AB1137">
        <v>39.299999999999997</v>
      </c>
      <c r="AC1137">
        <v>46.04</v>
      </c>
      <c r="AE1137" s="74"/>
      <c r="AF1137" s="77"/>
      <c r="AH1137" s="497">
        <v>18.86</v>
      </c>
      <c r="AJ1137" s="42"/>
      <c r="AK1137" s="74"/>
      <c r="AL1137" s="77"/>
      <c r="AN1137" s="497">
        <v>37.94</v>
      </c>
      <c r="AP1137" s="42"/>
      <c r="AQ1137" s="74"/>
      <c r="AR1137" s="77"/>
      <c r="AT1137" s="497">
        <v>30.92</v>
      </c>
      <c r="AV1137" s="42"/>
      <c r="AW1137" s="74"/>
      <c r="AX1137" s="77"/>
      <c r="BA1137" s="497">
        <v>41</v>
      </c>
      <c r="BB1137" s="42"/>
      <c r="BC1137" s="74"/>
      <c r="BD1137" s="77"/>
      <c r="BF1137">
        <v>26.96</v>
      </c>
      <c r="BH1137" s="42"/>
      <c r="BI1137" s="74"/>
      <c r="BJ1137" s="77"/>
      <c r="BL1137" s="497">
        <v>26.96</v>
      </c>
      <c r="BN1137" s="42"/>
      <c r="BO1137" s="74"/>
      <c r="BP1137" s="77"/>
      <c r="BR1137" s="497">
        <v>24.08</v>
      </c>
      <c r="BT1137" s="42"/>
    </row>
    <row r="1138" spans="1:72" x14ac:dyDescent="0.25">
      <c r="A1138" s="90">
        <v>34746</v>
      </c>
      <c r="B1138" s="20">
        <v>0.66666666666666663</v>
      </c>
      <c r="D1138">
        <v>42.980000000000004</v>
      </c>
      <c r="E1138" t="str">
        <f t="shared" si="70"/>
        <v>WEEKDAY</v>
      </c>
      <c r="F1138" t="e">
        <f t="shared" si="71"/>
        <v>#N/A</v>
      </c>
      <c r="G1138" s="74">
        <v>32189</v>
      </c>
      <c r="H1138" s="77">
        <v>0.66666666666666663</v>
      </c>
      <c r="J1138">
        <v>39.92</v>
      </c>
      <c r="M1138" s="74">
        <v>38033</v>
      </c>
      <c r="N1138" s="77">
        <v>0.66666666666666663</v>
      </c>
      <c r="P1138">
        <v>26.6</v>
      </c>
      <c r="S1138" s="74">
        <v>34746</v>
      </c>
      <c r="T1138" s="77">
        <v>0.66666666666666663</v>
      </c>
      <c r="V1138">
        <v>44.96</v>
      </c>
      <c r="X1138" s="42"/>
      <c r="AB1138">
        <v>39.5</v>
      </c>
      <c r="AC1138">
        <v>44.96</v>
      </c>
      <c r="AE1138" s="74"/>
      <c r="AF1138" s="77"/>
      <c r="AH1138" s="497">
        <v>18.86</v>
      </c>
      <c r="AJ1138" s="42"/>
      <c r="AK1138" s="74"/>
      <c r="AL1138" s="77"/>
      <c r="AN1138" s="497">
        <v>37.04</v>
      </c>
      <c r="AP1138" s="42"/>
      <c r="AQ1138" s="74"/>
      <c r="AR1138" s="77"/>
      <c r="AT1138" s="497">
        <v>28.94</v>
      </c>
      <c r="AV1138" s="42"/>
      <c r="AW1138" s="74"/>
      <c r="AX1138" s="77"/>
      <c r="BA1138" s="497">
        <v>39.92</v>
      </c>
      <c r="BB1138" s="42"/>
      <c r="BC1138" s="74"/>
      <c r="BD1138" s="77"/>
      <c r="BF1138">
        <v>26.96</v>
      </c>
      <c r="BH1138" s="42"/>
      <c r="BI1138" s="74"/>
      <c r="BJ1138" s="77"/>
      <c r="BL1138" s="497">
        <v>28.04</v>
      </c>
      <c r="BN1138" s="42"/>
      <c r="BO1138" s="74"/>
      <c r="BP1138" s="77"/>
      <c r="BR1138" s="497">
        <v>23</v>
      </c>
      <c r="BT1138" s="42"/>
    </row>
    <row r="1139" spans="1:72" x14ac:dyDescent="0.25">
      <c r="A1139" s="90">
        <v>34746</v>
      </c>
      <c r="B1139" s="20">
        <v>0.70833333333333337</v>
      </c>
      <c r="D1139">
        <v>44.06</v>
      </c>
      <c r="E1139" t="str">
        <f t="shared" si="70"/>
        <v>WEEKDAY</v>
      </c>
      <c r="F1139" t="e">
        <f t="shared" si="71"/>
        <v>#N/A</v>
      </c>
      <c r="G1139" s="74">
        <v>32189</v>
      </c>
      <c r="H1139" s="77">
        <v>0.70833333333333337</v>
      </c>
      <c r="J1139">
        <v>37.94</v>
      </c>
      <c r="M1139" s="74">
        <v>38033</v>
      </c>
      <c r="N1139" s="77">
        <v>0.70833333333333337</v>
      </c>
      <c r="P1139">
        <v>26.6</v>
      </c>
      <c r="S1139" s="74">
        <v>34746</v>
      </c>
      <c r="T1139" s="77">
        <v>0.70833333333333337</v>
      </c>
      <c r="V1139">
        <v>44.06</v>
      </c>
      <c r="X1139" s="42"/>
      <c r="AB1139">
        <v>39.1</v>
      </c>
      <c r="AC1139">
        <v>42.980000000000004</v>
      </c>
      <c r="AE1139" s="74"/>
      <c r="AF1139" s="77"/>
      <c r="AH1139" s="497">
        <v>18.86</v>
      </c>
      <c r="AJ1139" s="42"/>
      <c r="AK1139" s="74"/>
      <c r="AL1139" s="77"/>
      <c r="AN1139" s="497">
        <v>35.96</v>
      </c>
      <c r="AP1139" s="42"/>
      <c r="AQ1139" s="74"/>
      <c r="AR1139" s="77"/>
      <c r="AT1139" s="497">
        <v>28.04</v>
      </c>
      <c r="AV1139" s="42"/>
      <c r="AW1139" s="74"/>
      <c r="AX1139" s="77"/>
      <c r="BA1139" s="497">
        <v>35.96</v>
      </c>
      <c r="BB1139" s="42"/>
      <c r="BC1139" s="74"/>
      <c r="BD1139" s="77"/>
      <c r="BF1139">
        <v>24.98</v>
      </c>
      <c r="BH1139" s="42"/>
      <c r="BI1139" s="74"/>
      <c r="BJ1139" s="77"/>
      <c r="BL1139" s="497">
        <v>28.04</v>
      </c>
      <c r="BN1139" s="42"/>
      <c r="BO1139" s="74"/>
      <c r="BP1139" s="77"/>
      <c r="BR1139" s="497">
        <v>21.92</v>
      </c>
      <c r="BT1139" s="42"/>
    </row>
    <row r="1140" spans="1:72" x14ac:dyDescent="0.25">
      <c r="A1140" s="90">
        <v>34746</v>
      </c>
      <c r="B1140" s="20">
        <v>0.75</v>
      </c>
      <c r="D1140">
        <v>42.980000000000004</v>
      </c>
      <c r="E1140" t="str">
        <f t="shared" si="70"/>
        <v>WEEKDAY</v>
      </c>
      <c r="F1140" t="e">
        <f t="shared" si="71"/>
        <v>#N/A</v>
      </c>
      <c r="G1140" s="74">
        <v>32189</v>
      </c>
      <c r="H1140" s="77">
        <v>0.75</v>
      </c>
      <c r="J1140">
        <v>35.96</v>
      </c>
      <c r="M1140" s="74">
        <v>38033</v>
      </c>
      <c r="N1140" s="77">
        <v>0.75</v>
      </c>
      <c r="P1140">
        <v>24.8</v>
      </c>
      <c r="S1140" s="74">
        <v>34746</v>
      </c>
      <c r="T1140" s="77">
        <v>0.75</v>
      </c>
      <c r="V1140">
        <v>44.06</v>
      </c>
      <c r="X1140" s="42"/>
      <c r="AB1140">
        <v>38.1</v>
      </c>
      <c r="AC1140">
        <v>39.92</v>
      </c>
      <c r="AE1140" s="74"/>
      <c r="AF1140" s="77"/>
      <c r="AH1140" s="497">
        <v>18.86</v>
      </c>
      <c r="AJ1140" s="42"/>
      <c r="AK1140" s="74"/>
      <c r="AL1140" s="77"/>
      <c r="AN1140" s="497">
        <v>33.979999999999997</v>
      </c>
      <c r="AP1140" s="42"/>
      <c r="AQ1140" s="74"/>
      <c r="AR1140" s="77"/>
      <c r="AT1140" s="497">
        <v>26.060000000000002</v>
      </c>
      <c r="AV1140" s="42"/>
      <c r="AW1140" s="74"/>
      <c r="AX1140" s="77"/>
      <c r="BA1140" s="497">
        <v>33.08</v>
      </c>
      <c r="BB1140" s="42"/>
      <c r="BC1140" s="74"/>
      <c r="BD1140" s="77"/>
      <c r="BF1140">
        <v>24.98</v>
      </c>
      <c r="BH1140" s="42"/>
      <c r="BI1140" s="74"/>
      <c r="BJ1140" s="77"/>
      <c r="BL1140" s="497">
        <v>26.96</v>
      </c>
      <c r="BN1140" s="42"/>
      <c r="BO1140" s="74"/>
      <c r="BP1140" s="77"/>
      <c r="BR1140" s="497">
        <v>19.939999999999998</v>
      </c>
      <c r="BT1140" s="42"/>
    </row>
    <row r="1141" spans="1:72" x14ac:dyDescent="0.25">
      <c r="A1141" s="90">
        <v>34746</v>
      </c>
      <c r="B1141" s="20">
        <v>0.79166666666666663</v>
      </c>
      <c r="D1141">
        <v>42.980000000000004</v>
      </c>
      <c r="E1141" t="str">
        <f t="shared" si="70"/>
        <v>WEEKDAY</v>
      </c>
      <c r="F1141" t="e">
        <f t="shared" si="71"/>
        <v>#N/A</v>
      </c>
      <c r="G1141" s="74">
        <v>32189</v>
      </c>
      <c r="H1141" s="77">
        <v>0.79166666666666663</v>
      </c>
      <c r="J1141">
        <v>35.06</v>
      </c>
      <c r="M1141" s="74">
        <v>38033</v>
      </c>
      <c r="N1141" s="77">
        <v>0.79166666666666663</v>
      </c>
      <c r="P1141">
        <v>23</v>
      </c>
      <c r="S1141" s="74">
        <v>34746</v>
      </c>
      <c r="T1141" s="77">
        <v>0.79166666666666663</v>
      </c>
      <c r="V1141">
        <v>44.06</v>
      </c>
      <c r="X1141" s="42"/>
      <c r="AB1141">
        <v>36.799999999999997</v>
      </c>
      <c r="AC1141">
        <v>39.019999999999996</v>
      </c>
      <c r="AE1141" s="74"/>
      <c r="AF1141" s="77"/>
      <c r="AH1141" s="497">
        <v>19.939999999999998</v>
      </c>
      <c r="AJ1141" s="42"/>
      <c r="AK1141" s="74"/>
      <c r="AL1141" s="77"/>
      <c r="AN1141" s="497">
        <v>33.08</v>
      </c>
      <c r="AP1141" s="42"/>
      <c r="AQ1141" s="74"/>
      <c r="AR1141" s="77"/>
      <c r="AT1141" s="497">
        <v>24.98</v>
      </c>
      <c r="AV1141" s="42"/>
      <c r="AW1141" s="74"/>
      <c r="AX1141" s="77"/>
      <c r="BA1141" s="497">
        <v>30.92</v>
      </c>
      <c r="BB1141" s="42"/>
      <c r="BC1141" s="74"/>
      <c r="BD1141" s="77"/>
      <c r="BF1141">
        <v>24.98</v>
      </c>
      <c r="BH1141" s="42"/>
      <c r="BI1141" s="74"/>
      <c r="BJ1141" s="77"/>
      <c r="BL1141" s="497">
        <v>24.98</v>
      </c>
      <c r="BN1141" s="42"/>
      <c r="BO1141" s="74"/>
      <c r="BP1141" s="77"/>
      <c r="BR1141" s="497">
        <v>12.02</v>
      </c>
      <c r="BT1141" s="42"/>
    </row>
    <row r="1142" spans="1:72" x14ac:dyDescent="0.25">
      <c r="A1142" s="90">
        <v>34746</v>
      </c>
      <c r="B1142" s="20">
        <v>0.83333333333333337</v>
      </c>
      <c r="D1142">
        <v>41</v>
      </c>
      <c r="E1142" t="str">
        <f t="shared" si="70"/>
        <v>WEEKDAY</v>
      </c>
      <c r="F1142" t="e">
        <f t="shared" si="71"/>
        <v>#N/A</v>
      </c>
      <c r="G1142" s="74">
        <v>32189</v>
      </c>
      <c r="H1142" s="77">
        <v>0.83333333333333337</v>
      </c>
      <c r="J1142">
        <v>33.979999999999997</v>
      </c>
      <c r="M1142" s="74">
        <v>38033</v>
      </c>
      <c r="N1142" s="77">
        <v>0.83333333333333337</v>
      </c>
      <c r="P1142">
        <v>24.8</v>
      </c>
      <c r="S1142" s="74">
        <v>34746</v>
      </c>
      <c r="T1142" s="77">
        <v>0.83333333333333337</v>
      </c>
      <c r="V1142">
        <v>42.980000000000004</v>
      </c>
      <c r="X1142" s="42"/>
      <c r="AB1142">
        <v>36.299999999999997</v>
      </c>
      <c r="AC1142">
        <v>39.019999999999996</v>
      </c>
      <c r="AE1142" s="74"/>
      <c r="AF1142" s="77"/>
      <c r="AH1142" s="497">
        <v>19.939999999999998</v>
      </c>
      <c r="AJ1142" s="42"/>
      <c r="AK1142" s="74"/>
      <c r="AL1142" s="77"/>
      <c r="AN1142" s="497">
        <v>30.92</v>
      </c>
      <c r="AP1142" s="42"/>
      <c r="AQ1142" s="74"/>
      <c r="AR1142" s="77"/>
      <c r="AT1142" s="497">
        <v>24.08</v>
      </c>
      <c r="AV1142" s="42"/>
      <c r="AW1142" s="74"/>
      <c r="AX1142" s="77"/>
      <c r="BA1142" s="497">
        <v>30.02</v>
      </c>
      <c r="BB1142" s="42"/>
      <c r="BC1142" s="74"/>
      <c r="BD1142" s="77"/>
      <c r="BF1142">
        <v>26.060000000000002</v>
      </c>
      <c r="BH1142" s="42"/>
      <c r="BI1142" s="74"/>
      <c r="BJ1142" s="77"/>
      <c r="BL1142" s="497">
        <v>24.98</v>
      </c>
      <c r="BN1142" s="42"/>
      <c r="BO1142" s="74"/>
      <c r="BP1142" s="77"/>
      <c r="BR1142" s="497">
        <v>10.039999999999999</v>
      </c>
      <c r="BT1142" s="42"/>
    </row>
    <row r="1143" spans="1:72" x14ac:dyDescent="0.25">
      <c r="A1143" s="90">
        <v>34746</v>
      </c>
      <c r="B1143" s="20">
        <v>0.875</v>
      </c>
      <c r="D1143">
        <v>39.019999999999996</v>
      </c>
      <c r="E1143" t="str">
        <f t="shared" si="70"/>
        <v>WEEKDAY</v>
      </c>
      <c r="F1143" t="e">
        <f t="shared" si="71"/>
        <v>#N/A</v>
      </c>
      <c r="G1143" s="74">
        <v>32189</v>
      </c>
      <c r="H1143" s="77">
        <v>0.875</v>
      </c>
      <c r="J1143">
        <v>33.979999999999997</v>
      </c>
      <c r="M1143" s="74">
        <v>38033</v>
      </c>
      <c r="N1143" s="77">
        <v>0.875</v>
      </c>
      <c r="P1143">
        <v>23</v>
      </c>
      <c r="S1143" s="74">
        <v>34746</v>
      </c>
      <c r="T1143" s="77">
        <v>0.875</v>
      </c>
      <c r="V1143">
        <v>39.92</v>
      </c>
      <c r="X1143" s="42"/>
      <c r="AB1143">
        <v>35.799999999999997</v>
      </c>
      <c r="AC1143">
        <v>44.06</v>
      </c>
      <c r="AE1143" s="74"/>
      <c r="AF1143" s="77"/>
      <c r="AH1143" s="497">
        <v>20.84</v>
      </c>
      <c r="AJ1143" s="42"/>
      <c r="AK1143" s="74"/>
      <c r="AL1143" s="77"/>
      <c r="AN1143" s="497">
        <v>30.02</v>
      </c>
      <c r="AP1143" s="42"/>
      <c r="AQ1143" s="74"/>
      <c r="AR1143" s="77"/>
      <c r="AT1143" s="497">
        <v>24.08</v>
      </c>
      <c r="AV1143" s="42"/>
      <c r="AW1143" s="74"/>
      <c r="AX1143" s="77"/>
      <c r="BA1143" s="497">
        <v>28.94</v>
      </c>
      <c r="BB1143" s="42"/>
      <c r="BC1143" s="74"/>
      <c r="BD1143" s="77"/>
      <c r="BF1143">
        <v>26.060000000000002</v>
      </c>
      <c r="BH1143" s="42"/>
      <c r="BI1143" s="74"/>
      <c r="BJ1143" s="77"/>
      <c r="BL1143" s="497">
        <v>24.98</v>
      </c>
      <c r="BN1143" s="42"/>
      <c r="BO1143" s="74"/>
      <c r="BP1143" s="77"/>
      <c r="BR1143" s="497">
        <v>8.0599999999999987</v>
      </c>
      <c r="BT1143" s="42"/>
    </row>
    <row r="1144" spans="1:72" x14ac:dyDescent="0.25">
      <c r="A1144" s="90">
        <v>34746</v>
      </c>
      <c r="B1144" s="20">
        <v>0.91666666666666663</v>
      </c>
      <c r="D1144">
        <v>39.019999999999996</v>
      </c>
      <c r="E1144" t="str">
        <f t="shared" si="70"/>
        <v>WEEKDAY</v>
      </c>
      <c r="F1144" t="e">
        <f t="shared" si="71"/>
        <v>#N/A</v>
      </c>
      <c r="G1144" s="74">
        <v>32189</v>
      </c>
      <c r="H1144" s="77">
        <v>0.91666666666666663</v>
      </c>
      <c r="J1144">
        <v>33.08</v>
      </c>
      <c r="M1144" s="74">
        <v>38033</v>
      </c>
      <c r="N1144" s="77">
        <v>0.91666666666666663</v>
      </c>
      <c r="P1144">
        <v>21.2</v>
      </c>
      <c r="S1144" s="74">
        <v>34746</v>
      </c>
      <c r="T1144" s="77">
        <v>0.91666666666666663</v>
      </c>
      <c r="V1144">
        <v>37.94</v>
      </c>
      <c r="X1144" s="42"/>
      <c r="AB1144">
        <v>35.200000000000003</v>
      </c>
      <c r="AC1144">
        <v>42.08</v>
      </c>
      <c r="AE1144" s="74"/>
      <c r="AF1144" s="77"/>
      <c r="AH1144" s="497">
        <v>20.84</v>
      </c>
      <c r="AJ1144" s="42"/>
      <c r="AK1144" s="74"/>
      <c r="AL1144" s="77"/>
      <c r="AN1144" s="497">
        <v>28.94</v>
      </c>
      <c r="AP1144" s="42"/>
      <c r="AQ1144" s="74"/>
      <c r="AR1144" s="77"/>
      <c r="AT1144" s="497">
        <v>24.08</v>
      </c>
      <c r="AV1144" s="42"/>
      <c r="AW1144" s="74"/>
      <c r="AX1144" s="77"/>
      <c r="BA1144" s="497">
        <v>26.96</v>
      </c>
      <c r="BB1144" s="42"/>
      <c r="BC1144" s="74"/>
      <c r="BD1144" s="77"/>
      <c r="BF1144">
        <v>26.060000000000002</v>
      </c>
      <c r="BH1144" s="42"/>
      <c r="BI1144" s="74"/>
      <c r="BJ1144" s="77"/>
      <c r="BL1144" s="497">
        <v>24.98</v>
      </c>
      <c r="BN1144" s="42"/>
      <c r="BO1144" s="74"/>
      <c r="BP1144" s="77"/>
      <c r="BR1144" s="497">
        <v>6.0799999999999983</v>
      </c>
      <c r="BT1144" s="42"/>
    </row>
    <row r="1145" spans="1:72" x14ac:dyDescent="0.25">
      <c r="A1145" s="90">
        <v>34746</v>
      </c>
      <c r="B1145" s="20">
        <v>0.95833333333333337</v>
      </c>
      <c r="D1145">
        <v>37.94</v>
      </c>
      <c r="E1145" t="str">
        <f t="shared" si="70"/>
        <v>WEEKDAY</v>
      </c>
      <c r="F1145" t="e">
        <f t="shared" si="71"/>
        <v>#N/A</v>
      </c>
      <c r="G1145" s="74">
        <v>32189</v>
      </c>
      <c r="H1145" s="77">
        <v>0.95833333333333337</v>
      </c>
      <c r="J1145">
        <v>33.08</v>
      </c>
      <c r="M1145" s="74">
        <v>38033</v>
      </c>
      <c r="N1145" s="77">
        <v>0.95833333333333337</v>
      </c>
      <c r="P1145">
        <v>21.2</v>
      </c>
      <c r="S1145" s="74">
        <v>34746</v>
      </c>
      <c r="T1145" s="77">
        <v>0.95833333333333337</v>
      </c>
      <c r="V1145">
        <v>37.94</v>
      </c>
      <c r="X1145" s="42"/>
      <c r="AB1145">
        <v>34.6</v>
      </c>
      <c r="AC1145">
        <v>39.92</v>
      </c>
      <c r="AE1145" s="74"/>
      <c r="AF1145" s="77"/>
      <c r="AH1145" s="497">
        <v>20.84</v>
      </c>
      <c r="AJ1145" s="42"/>
      <c r="AK1145" s="74"/>
      <c r="AL1145" s="77"/>
      <c r="AN1145" s="497">
        <v>28.04</v>
      </c>
      <c r="AP1145" s="42"/>
      <c r="AQ1145" s="74"/>
      <c r="AR1145" s="77"/>
      <c r="AT1145" s="497">
        <v>24.08</v>
      </c>
      <c r="AV1145" s="42"/>
      <c r="AW1145" s="74"/>
      <c r="AX1145" s="77"/>
      <c r="BA1145" s="497">
        <v>26.060000000000002</v>
      </c>
      <c r="BB1145" s="42"/>
      <c r="BC1145" s="74"/>
      <c r="BD1145" s="77"/>
      <c r="BF1145">
        <v>26.96</v>
      </c>
      <c r="BH1145" s="42"/>
      <c r="BI1145" s="74"/>
      <c r="BJ1145" s="77"/>
      <c r="BL1145" s="497">
        <v>26.060000000000002</v>
      </c>
      <c r="BN1145" s="42"/>
      <c r="BO1145" s="74"/>
      <c r="BP1145" s="77"/>
      <c r="BR1145" s="497">
        <v>5</v>
      </c>
      <c r="BT1145" s="42"/>
    </row>
    <row r="1146" spans="1:72" x14ac:dyDescent="0.25">
      <c r="A1146" s="90">
        <v>34746</v>
      </c>
      <c r="B1146" s="20">
        <v>1</v>
      </c>
      <c r="D1146">
        <v>37.94</v>
      </c>
      <c r="E1146" t="str">
        <f t="shared" si="70"/>
        <v>WEEKDAY</v>
      </c>
      <c r="F1146" t="e">
        <f t="shared" si="71"/>
        <v>#N/A</v>
      </c>
      <c r="G1146" s="74">
        <v>32189</v>
      </c>
      <c r="H1146" s="77">
        <v>1</v>
      </c>
      <c r="J1146">
        <v>32</v>
      </c>
      <c r="M1146" s="74">
        <v>38033</v>
      </c>
      <c r="N1146" s="80">
        <v>1</v>
      </c>
      <c r="P1146">
        <v>19.399999999999999</v>
      </c>
      <c r="S1146" s="74">
        <v>34746</v>
      </c>
      <c r="T1146" s="80">
        <v>1</v>
      </c>
      <c r="V1146">
        <v>37.94</v>
      </c>
      <c r="X1146" s="42"/>
      <c r="AB1146">
        <v>34.1</v>
      </c>
      <c r="AC1146">
        <v>37.94</v>
      </c>
      <c r="AE1146" s="74"/>
      <c r="AF1146" s="80"/>
      <c r="AH1146" s="497">
        <v>20.84</v>
      </c>
      <c r="AJ1146" s="42"/>
      <c r="AK1146" s="74"/>
      <c r="AL1146" s="80"/>
      <c r="AN1146" s="497">
        <v>28.04</v>
      </c>
      <c r="AP1146" s="42"/>
      <c r="AQ1146" s="74"/>
      <c r="AR1146" s="80"/>
      <c r="AT1146" s="497">
        <v>23</v>
      </c>
      <c r="AV1146" s="42"/>
      <c r="AW1146" s="74"/>
      <c r="AX1146" s="80"/>
      <c r="BA1146" s="497">
        <v>24.98</v>
      </c>
      <c r="BB1146" s="42"/>
      <c r="BC1146" s="74"/>
      <c r="BD1146" s="80"/>
      <c r="BF1146">
        <v>26.96</v>
      </c>
      <c r="BH1146" s="42"/>
      <c r="BI1146" s="74"/>
      <c r="BJ1146" s="80"/>
      <c r="BL1146" s="497">
        <v>26.060000000000002</v>
      </c>
      <c r="BN1146" s="42"/>
      <c r="BO1146" s="74"/>
      <c r="BP1146" s="80"/>
      <c r="BR1146" s="497">
        <v>3.9200000000000017</v>
      </c>
      <c r="BT1146" s="42"/>
    </row>
    <row r="1147" spans="1:72" x14ac:dyDescent="0.25">
      <c r="A1147" s="90">
        <v>34747</v>
      </c>
      <c r="B1147" s="20">
        <v>4.1666666666666664E-2</v>
      </c>
      <c r="D1147">
        <v>37.94</v>
      </c>
      <c r="E1147" t="str">
        <f t="shared" si="70"/>
        <v>WEEKDAY</v>
      </c>
      <c r="F1147" t="e">
        <f t="shared" si="71"/>
        <v>#N/A</v>
      </c>
      <c r="G1147" s="74">
        <v>32190</v>
      </c>
      <c r="H1147" s="77">
        <v>4.1666666666666664E-2</v>
      </c>
      <c r="J1147">
        <v>32</v>
      </c>
      <c r="M1147" s="74">
        <v>38034</v>
      </c>
      <c r="N1147" s="77">
        <v>4.1666666666666664E-2</v>
      </c>
      <c r="P1147">
        <v>19.399999999999999</v>
      </c>
      <c r="S1147" s="74">
        <v>34747</v>
      </c>
      <c r="T1147" s="77">
        <v>4.1666666666666664E-2</v>
      </c>
      <c r="V1147">
        <v>37.04</v>
      </c>
      <c r="X1147" s="42"/>
      <c r="AB1147">
        <v>33.6</v>
      </c>
      <c r="AC1147">
        <v>35.96</v>
      </c>
      <c r="AE1147" s="74"/>
      <c r="AF1147" s="77"/>
      <c r="AH1147" s="497">
        <v>21.92</v>
      </c>
      <c r="AJ1147" s="42"/>
      <c r="AK1147" s="74"/>
      <c r="AL1147" s="77"/>
      <c r="AN1147" s="497">
        <v>26.96</v>
      </c>
      <c r="AP1147" s="42"/>
      <c r="AQ1147" s="74"/>
      <c r="AR1147" s="77"/>
      <c r="AT1147" s="497">
        <v>24.08</v>
      </c>
      <c r="AV1147" s="42"/>
      <c r="AW1147" s="74"/>
      <c r="AX1147" s="77"/>
      <c r="BA1147" s="497">
        <v>24.98</v>
      </c>
      <c r="BB1147" s="42"/>
      <c r="BC1147" s="74"/>
      <c r="BD1147" s="77"/>
      <c r="BF1147">
        <v>28.94</v>
      </c>
      <c r="BH1147" s="42"/>
      <c r="BI1147" s="74"/>
      <c r="BJ1147" s="77"/>
      <c r="BL1147" s="497">
        <v>26.060000000000002</v>
      </c>
      <c r="BN1147" s="42"/>
      <c r="BO1147" s="74"/>
      <c r="BP1147" s="77"/>
      <c r="BR1147" s="497">
        <v>8.0599999999999987</v>
      </c>
      <c r="BT1147" s="42"/>
    </row>
    <row r="1148" spans="1:72" x14ac:dyDescent="0.25">
      <c r="A1148" s="90">
        <v>34747</v>
      </c>
      <c r="B1148" s="20">
        <v>8.3333333333333329E-2</v>
      </c>
      <c r="D1148">
        <v>37.04</v>
      </c>
      <c r="E1148" t="str">
        <f t="shared" si="70"/>
        <v>WEEKDAY</v>
      </c>
      <c r="F1148" t="e">
        <f t="shared" si="71"/>
        <v>#N/A</v>
      </c>
      <c r="G1148" s="74">
        <v>32190</v>
      </c>
      <c r="H1148" s="77">
        <v>8.3333333333333329E-2</v>
      </c>
      <c r="J1148">
        <v>32</v>
      </c>
      <c r="M1148" s="74">
        <v>38034</v>
      </c>
      <c r="N1148" s="77">
        <v>8.3333333333333329E-2</v>
      </c>
      <c r="P1148">
        <v>17.600000000000001</v>
      </c>
      <c r="S1148" s="74">
        <v>34747</v>
      </c>
      <c r="T1148" s="77">
        <v>8.3333333333333329E-2</v>
      </c>
      <c r="V1148">
        <v>37.04</v>
      </c>
      <c r="X1148" s="42"/>
      <c r="AB1148">
        <v>33.1</v>
      </c>
      <c r="AC1148">
        <v>33.979999999999997</v>
      </c>
      <c r="AE1148" s="74"/>
      <c r="AF1148" s="77"/>
      <c r="AH1148" s="497">
        <v>21.92</v>
      </c>
      <c r="AJ1148" s="42"/>
      <c r="AK1148" s="74"/>
      <c r="AL1148" s="77"/>
      <c r="AN1148" s="497">
        <v>26.060000000000002</v>
      </c>
      <c r="AP1148" s="42"/>
      <c r="AQ1148" s="74"/>
      <c r="AR1148" s="77"/>
      <c r="AT1148" s="497">
        <v>21.92</v>
      </c>
      <c r="AV1148" s="42"/>
      <c r="AW1148" s="74"/>
      <c r="AX1148" s="77"/>
      <c r="BA1148" s="497">
        <v>23</v>
      </c>
      <c r="BB1148" s="42"/>
      <c r="BC1148" s="74"/>
      <c r="BD1148" s="77"/>
      <c r="BF1148">
        <v>30.02</v>
      </c>
      <c r="BH1148" s="42"/>
      <c r="BI1148" s="74"/>
      <c r="BJ1148" s="77"/>
      <c r="BL1148" s="497">
        <v>28.04</v>
      </c>
      <c r="BN1148" s="42"/>
      <c r="BO1148" s="74"/>
      <c r="BP1148" s="77"/>
      <c r="BR1148" s="497">
        <v>17.059999999999999</v>
      </c>
      <c r="BT1148" s="42"/>
    </row>
    <row r="1149" spans="1:72" x14ac:dyDescent="0.25">
      <c r="A1149" s="90">
        <v>34747</v>
      </c>
      <c r="B1149" s="20">
        <v>0.125</v>
      </c>
      <c r="D1149">
        <v>35.96</v>
      </c>
      <c r="E1149" t="str">
        <f t="shared" si="70"/>
        <v>WEEKDAY</v>
      </c>
      <c r="F1149" t="e">
        <f t="shared" si="71"/>
        <v>#N/A</v>
      </c>
      <c r="G1149" s="74">
        <v>32190</v>
      </c>
      <c r="H1149" s="77">
        <v>0.125</v>
      </c>
      <c r="J1149">
        <v>32</v>
      </c>
      <c r="M1149" s="74">
        <v>38034</v>
      </c>
      <c r="N1149" s="77">
        <v>0.125</v>
      </c>
      <c r="P1149">
        <v>17.600000000000001</v>
      </c>
      <c r="S1149" s="74">
        <v>34747</v>
      </c>
      <c r="T1149" s="77">
        <v>0.125</v>
      </c>
      <c r="V1149">
        <v>35.96</v>
      </c>
      <c r="X1149" s="42"/>
      <c r="AB1149">
        <v>32.6</v>
      </c>
      <c r="AC1149">
        <v>33.08</v>
      </c>
      <c r="AE1149" s="74"/>
      <c r="AF1149" s="77"/>
      <c r="AH1149" s="497">
        <v>21.92</v>
      </c>
      <c r="AJ1149" s="42"/>
      <c r="AK1149" s="74"/>
      <c r="AL1149" s="77"/>
      <c r="AN1149" s="497">
        <v>26.060000000000002</v>
      </c>
      <c r="AP1149" s="42"/>
      <c r="AQ1149" s="74"/>
      <c r="AR1149" s="77"/>
      <c r="AT1149" s="497">
        <v>24.08</v>
      </c>
      <c r="AV1149" s="42"/>
      <c r="AW1149" s="74"/>
      <c r="AX1149" s="77"/>
      <c r="BA1149" s="497">
        <v>23</v>
      </c>
      <c r="BB1149" s="42"/>
      <c r="BC1149" s="74"/>
      <c r="BD1149" s="77"/>
      <c r="BF1149">
        <v>30.02</v>
      </c>
      <c r="BH1149" s="42"/>
      <c r="BI1149" s="74"/>
      <c r="BJ1149" s="77"/>
      <c r="BL1149" s="497">
        <v>30.02</v>
      </c>
      <c r="BN1149" s="42"/>
      <c r="BO1149" s="74"/>
      <c r="BP1149" s="77"/>
      <c r="BR1149" s="497">
        <v>19.939999999999998</v>
      </c>
      <c r="BT1149" s="42"/>
    </row>
    <row r="1150" spans="1:72" x14ac:dyDescent="0.25">
      <c r="A1150" s="90">
        <v>34747</v>
      </c>
      <c r="B1150" s="20">
        <v>0.16666666666666666</v>
      </c>
      <c r="D1150">
        <v>35.96</v>
      </c>
      <c r="E1150" t="str">
        <f t="shared" si="70"/>
        <v>WEEKDAY</v>
      </c>
      <c r="F1150" t="e">
        <f t="shared" si="71"/>
        <v>#N/A</v>
      </c>
      <c r="G1150" s="74">
        <v>32190</v>
      </c>
      <c r="H1150" s="77">
        <v>0.16666666666666666</v>
      </c>
      <c r="J1150">
        <v>32</v>
      </c>
      <c r="M1150" s="74">
        <v>38034</v>
      </c>
      <c r="N1150" s="77">
        <v>0.16666666666666666</v>
      </c>
      <c r="P1150">
        <v>15.8</v>
      </c>
      <c r="S1150" s="74">
        <v>34747</v>
      </c>
      <c r="T1150" s="77">
        <v>0.16666666666666666</v>
      </c>
      <c r="V1150">
        <v>35.06</v>
      </c>
      <c r="X1150" s="42"/>
      <c r="AB1150">
        <v>32.1</v>
      </c>
      <c r="AC1150">
        <v>30.92</v>
      </c>
      <c r="AE1150" s="74"/>
      <c r="AF1150" s="77"/>
      <c r="AH1150" s="497">
        <v>21.92</v>
      </c>
      <c r="AJ1150" s="42"/>
      <c r="AK1150" s="74"/>
      <c r="AL1150" s="77"/>
      <c r="AN1150" s="497">
        <v>24.98</v>
      </c>
      <c r="AP1150" s="42"/>
      <c r="AQ1150" s="74"/>
      <c r="AR1150" s="77"/>
      <c r="AT1150" s="497">
        <v>24.08</v>
      </c>
      <c r="AV1150" s="42"/>
      <c r="AW1150" s="74"/>
      <c r="AX1150" s="77"/>
      <c r="BA1150" s="497">
        <v>21.92</v>
      </c>
      <c r="BB1150" s="42"/>
      <c r="BC1150" s="74"/>
      <c r="BD1150" s="77"/>
      <c r="BF1150">
        <v>30.92</v>
      </c>
      <c r="BH1150" s="42"/>
      <c r="BI1150" s="74"/>
      <c r="BJ1150" s="77"/>
      <c r="BL1150" s="497">
        <v>30.02</v>
      </c>
      <c r="BN1150" s="42"/>
      <c r="BO1150" s="74"/>
      <c r="BP1150" s="77"/>
      <c r="BR1150" s="497">
        <v>21.02</v>
      </c>
      <c r="BT1150" s="42"/>
    </row>
    <row r="1151" spans="1:72" x14ac:dyDescent="0.25">
      <c r="A1151" s="90">
        <v>34747</v>
      </c>
      <c r="B1151" s="20">
        <v>0.20833333333333334</v>
      </c>
      <c r="D1151">
        <v>35.06</v>
      </c>
      <c r="E1151" t="str">
        <f t="shared" si="70"/>
        <v>WEEKDAY</v>
      </c>
      <c r="F1151" t="e">
        <f t="shared" si="71"/>
        <v>#N/A</v>
      </c>
      <c r="G1151" s="74">
        <v>32190</v>
      </c>
      <c r="H1151" s="77">
        <v>0.20833333333333334</v>
      </c>
      <c r="J1151">
        <v>30.92</v>
      </c>
      <c r="M1151" s="74">
        <v>38034</v>
      </c>
      <c r="N1151" s="77">
        <v>0.20833333333333334</v>
      </c>
      <c r="P1151">
        <v>17.600000000000001</v>
      </c>
      <c r="S1151" s="74">
        <v>34747</v>
      </c>
      <c r="T1151" s="77">
        <v>0.20833333333333334</v>
      </c>
      <c r="V1151">
        <v>33.979999999999997</v>
      </c>
      <c r="X1151" s="42"/>
      <c r="AB1151">
        <v>31.7</v>
      </c>
      <c r="AC1151">
        <v>30.92</v>
      </c>
      <c r="AE1151" s="74"/>
      <c r="AF1151" s="77"/>
      <c r="AH1151" s="497">
        <v>21.740000000000002</v>
      </c>
      <c r="AJ1151" s="42"/>
      <c r="AK1151" s="74"/>
      <c r="AL1151" s="77"/>
      <c r="AN1151" s="497">
        <v>24.08</v>
      </c>
      <c r="AP1151" s="42"/>
      <c r="AQ1151" s="74"/>
      <c r="AR1151" s="77"/>
      <c r="AT1151" s="497">
        <v>21.92</v>
      </c>
      <c r="AV1151" s="42"/>
      <c r="AW1151" s="74"/>
      <c r="AX1151" s="77"/>
      <c r="BA1151" s="497">
        <v>21.92</v>
      </c>
      <c r="BB1151" s="42"/>
      <c r="BC1151" s="74"/>
      <c r="BD1151" s="77"/>
      <c r="BF1151">
        <v>32</v>
      </c>
      <c r="BH1151" s="42"/>
      <c r="BI1151" s="74"/>
      <c r="BJ1151" s="77"/>
      <c r="BL1151" s="497">
        <v>30.02</v>
      </c>
      <c r="BN1151" s="42"/>
      <c r="BO1151" s="74"/>
      <c r="BP1151" s="77"/>
      <c r="BR1151" s="497">
        <v>21.92</v>
      </c>
      <c r="BT1151" s="42"/>
    </row>
    <row r="1152" spans="1:72" x14ac:dyDescent="0.25">
      <c r="A1152" s="90">
        <v>34747</v>
      </c>
      <c r="B1152" s="20">
        <v>0.25</v>
      </c>
      <c r="D1152">
        <v>33.979999999999997</v>
      </c>
      <c r="E1152" t="str">
        <f t="shared" si="70"/>
        <v>WEEKDAY</v>
      </c>
      <c r="F1152" t="e">
        <f t="shared" si="71"/>
        <v>#N/A</v>
      </c>
      <c r="G1152" s="74">
        <v>32190</v>
      </c>
      <c r="H1152" s="77">
        <v>0.25</v>
      </c>
      <c r="J1152">
        <v>30.92</v>
      </c>
      <c r="M1152" s="74">
        <v>38034</v>
      </c>
      <c r="N1152" s="77">
        <v>0.25</v>
      </c>
      <c r="P1152">
        <v>17.600000000000001</v>
      </c>
      <c r="S1152" s="74">
        <v>34747</v>
      </c>
      <c r="T1152" s="77">
        <v>0.25</v>
      </c>
      <c r="V1152">
        <v>33.08</v>
      </c>
      <c r="X1152" s="42"/>
      <c r="AB1152">
        <v>31.5</v>
      </c>
      <c r="AC1152">
        <v>28.94</v>
      </c>
      <c r="AE1152" s="74"/>
      <c r="AF1152" s="77"/>
      <c r="AH1152" s="497">
        <v>21.92</v>
      </c>
      <c r="AJ1152" s="42"/>
      <c r="AK1152" s="74"/>
      <c r="AL1152" s="77"/>
      <c r="AN1152" s="497">
        <v>24.08</v>
      </c>
      <c r="AP1152" s="42"/>
      <c r="AQ1152" s="74"/>
      <c r="AR1152" s="77"/>
      <c r="AT1152" s="497">
        <v>19.939999999999998</v>
      </c>
      <c r="AV1152" s="42"/>
      <c r="AW1152" s="74"/>
      <c r="AX1152" s="77"/>
      <c r="BA1152" s="497">
        <v>23</v>
      </c>
      <c r="BB1152" s="42"/>
      <c r="BC1152" s="74"/>
      <c r="BD1152" s="77"/>
      <c r="BF1152">
        <v>33.979999999999997</v>
      </c>
      <c r="BH1152" s="42"/>
      <c r="BI1152" s="74"/>
      <c r="BJ1152" s="77"/>
      <c r="BL1152" s="497">
        <v>30.92</v>
      </c>
      <c r="BN1152" s="42"/>
      <c r="BO1152" s="74"/>
      <c r="BP1152" s="77"/>
      <c r="BR1152" s="497">
        <v>21.92</v>
      </c>
      <c r="BT1152" s="42"/>
    </row>
    <row r="1153" spans="1:72" x14ac:dyDescent="0.25">
      <c r="A1153" s="90">
        <v>34747</v>
      </c>
      <c r="B1153" s="20">
        <v>0.29166666666666669</v>
      </c>
      <c r="D1153">
        <v>33.08</v>
      </c>
      <c r="E1153" t="str">
        <f t="shared" si="70"/>
        <v>WEEKDAY</v>
      </c>
      <c r="F1153" t="e">
        <f t="shared" si="71"/>
        <v>#N/A</v>
      </c>
      <c r="G1153" s="74">
        <v>32190</v>
      </c>
      <c r="H1153" s="77">
        <v>0.29166666666666669</v>
      </c>
      <c r="J1153">
        <v>30.92</v>
      </c>
      <c r="M1153" s="74">
        <v>38034</v>
      </c>
      <c r="N1153" s="77">
        <v>0.29166666666666669</v>
      </c>
      <c r="P1153">
        <v>17.600000000000001</v>
      </c>
      <c r="S1153" s="74">
        <v>34747</v>
      </c>
      <c r="T1153" s="77">
        <v>0.29166666666666669</v>
      </c>
      <c r="V1153">
        <v>33.08</v>
      </c>
      <c r="X1153" s="42"/>
      <c r="AB1153">
        <v>31.3</v>
      </c>
      <c r="AC1153">
        <v>28.04</v>
      </c>
      <c r="AE1153" s="74"/>
      <c r="AF1153" s="77"/>
      <c r="AH1153" s="497">
        <v>21.92</v>
      </c>
      <c r="AJ1153" s="42"/>
      <c r="AK1153" s="74"/>
      <c r="AL1153" s="77"/>
      <c r="AN1153" s="497">
        <v>24.08</v>
      </c>
      <c r="AP1153" s="42"/>
      <c r="AQ1153" s="74"/>
      <c r="AR1153" s="77"/>
      <c r="AT1153" s="497">
        <v>19.04</v>
      </c>
      <c r="AV1153" s="42"/>
      <c r="AW1153" s="74"/>
      <c r="AX1153" s="77"/>
      <c r="BA1153" s="497">
        <v>21.92</v>
      </c>
      <c r="BB1153" s="42"/>
      <c r="BC1153" s="74"/>
      <c r="BD1153" s="77"/>
      <c r="BF1153">
        <v>33.979999999999997</v>
      </c>
      <c r="BH1153" s="42"/>
      <c r="BI1153" s="74"/>
      <c r="BJ1153" s="77"/>
      <c r="BL1153" s="497">
        <v>30.92</v>
      </c>
      <c r="BN1153" s="42"/>
      <c r="BO1153" s="74"/>
      <c r="BP1153" s="77"/>
      <c r="BR1153" s="497">
        <v>23</v>
      </c>
      <c r="BT1153" s="42"/>
    </row>
    <row r="1154" spans="1:72" x14ac:dyDescent="0.25">
      <c r="A1154" s="90">
        <v>34747</v>
      </c>
      <c r="B1154" s="20">
        <v>0.33333333333333331</v>
      </c>
      <c r="D1154">
        <v>33.08</v>
      </c>
      <c r="E1154" t="str">
        <f t="shared" si="70"/>
        <v>WEEKDAY</v>
      </c>
      <c r="F1154" t="e">
        <f t="shared" si="71"/>
        <v>#N/A</v>
      </c>
      <c r="G1154" s="74">
        <v>32190</v>
      </c>
      <c r="H1154" s="77">
        <v>0.33333333333333331</v>
      </c>
      <c r="J1154">
        <v>35.06</v>
      </c>
      <c r="M1154" s="74">
        <v>38034</v>
      </c>
      <c r="N1154" s="77">
        <v>0.33333333333333331</v>
      </c>
      <c r="P1154">
        <v>17.600000000000001</v>
      </c>
      <c r="S1154" s="74">
        <v>34747</v>
      </c>
      <c r="T1154" s="77">
        <v>0.33333333333333331</v>
      </c>
      <c r="V1154">
        <v>33.08</v>
      </c>
      <c r="X1154" s="42"/>
      <c r="AB1154">
        <v>31.3</v>
      </c>
      <c r="AC1154">
        <v>26.96</v>
      </c>
      <c r="AE1154" s="74"/>
      <c r="AF1154" s="77"/>
      <c r="AH1154" s="497">
        <v>20.84</v>
      </c>
      <c r="AJ1154" s="42"/>
      <c r="AK1154" s="74"/>
      <c r="AL1154" s="77"/>
      <c r="AN1154" s="497">
        <v>23</v>
      </c>
      <c r="AP1154" s="42"/>
      <c r="AQ1154" s="74"/>
      <c r="AR1154" s="77"/>
      <c r="AT1154" s="497">
        <v>21.02</v>
      </c>
      <c r="AV1154" s="42"/>
      <c r="AW1154" s="74"/>
      <c r="AX1154" s="77"/>
      <c r="BA1154" s="497">
        <v>21.02</v>
      </c>
      <c r="BB1154" s="42"/>
      <c r="BC1154" s="74"/>
      <c r="BD1154" s="77"/>
      <c r="BF1154">
        <v>33.979999999999997</v>
      </c>
      <c r="BH1154" s="42"/>
      <c r="BI1154" s="74"/>
      <c r="BJ1154" s="77"/>
      <c r="BL1154" s="497">
        <v>32</v>
      </c>
      <c r="BN1154" s="42"/>
      <c r="BO1154" s="74"/>
      <c r="BP1154" s="77"/>
      <c r="BR1154" s="497">
        <v>24.98</v>
      </c>
      <c r="BT1154" s="42"/>
    </row>
    <row r="1155" spans="1:72" x14ac:dyDescent="0.25">
      <c r="A1155" s="90">
        <v>34747</v>
      </c>
      <c r="B1155" s="20">
        <v>0.375</v>
      </c>
      <c r="D1155">
        <v>35.96</v>
      </c>
      <c r="E1155" t="str">
        <f t="shared" si="70"/>
        <v>WEEKDAY</v>
      </c>
      <c r="F1155" t="e">
        <f t="shared" si="71"/>
        <v>#N/A</v>
      </c>
      <c r="G1155" s="74">
        <v>32190</v>
      </c>
      <c r="H1155" s="77">
        <v>0.375</v>
      </c>
      <c r="J1155">
        <v>37.94</v>
      </c>
      <c r="M1155" s="74">
        <v>38034</v>
      </c>
      <c r="N1155" s="77">
        <v>0.375</v>
      </c>
      <c r="P1155">
        <v>19.399999999999999</v>
      </c>
      <c r="S1155" s="74">
        <v>34747</v>
      </c>
      <c r="T1155" s="77">
        <v>0.375</v>
      </c>
      <c r="V1155">
        <v>37.04</v>
      </c>
      <c r="X1155" s="42"/>
      <c r="AB1155">
        <v>32.5</v>
      </c>
      <c r="AC1155">
        <v>26.060000000000002</v>
      </c>
      <c r="AE1155" s="74"/>
      <c r="AF1155" s="77"/>
      <c r="AH1155" s="497">
        <v>23</v>
      </c>
      <c r="AJ1155" s="42"/>
      <c r="AK1155" s="74"/>
      <c r="AL1155" s="77"/>
      <c r="AN1155" s="497">
        <v>23</v>
      </c>
      <c r="AP1155" s="42"/>
      <c r="AQ1155" s="74"/>
      <c r="AR1155" s="77"/>
      <c r="AT1155" s="497">
        <v>24.08</v>
      </c>
      <c r="AV1155" s="42"/>
      <c r="AW1155" s="74"/>
      <c r="AX1155" s="77"/>
      <c r="BA1155" s="497">
        <v>24.08</v>
      </c>
      <c r="BB1155" s="42"/>
      <c r="BC1155" s="74"/>
      <c r="BD1155" s="77"/>
      <c r="BF1155">
        <v>35.06</v>
      </c>
      <c r="BH1155" s="42"/>
      <c r="BI1155" s="74"/>
      <c r="BJ1155" s="77"/>
      <c r="BL1155" s="497">
        <v>32</v>
      </c>
      <c r="BN1155" s="42"/>
      <c r="BO1155" s="74"/>
      <c r="BP1155" s="77"/>
      <c r="BR1155" s="497">
        <v>28.94</v>
      </c>
      <c r="BT1155" s="42"/>
    </row>
    <row r="1156" spans="1:72" x14ac:dyDescent="0.25">
      <c r="A1156" s="90">
        <v>34747</v>
      </c>
      <c r="B1156" s="20">
        <v>0.41666666666666669</v>
      </c>
      <c r="D1156">
        <v>37.94</v>
      </c>
      <c r="E1156" t="str">
        <f t="shared" si="70"/>
        <v>WEEKDAY</v>
      </c>
      <c r="F1156" t="e">
        <f t="shared" si="71"/>
        <v>#N/A</v>
      </c>
      <c r="G1156" s="74">
        <v>32190</v>
      </c>
      <c r="H1156" s="77">
        <v>0.41666666666666669</v>
      </c>
      <c r="J1156">
        <v>39.92</v>
      </c>
      <c r="M1156" s="74">
        <v>38034</v>
      </c>
      <c r="N1156" s="77">
        <v>0.41666666666666669</v>
      </c>
      <c r="P1156">
        <v>21.2</v>
      </c>
      <c r="S1156" s="74">
        <v>34747</v>
      </c>
      <c r="T1156" s="77">
        <v>0.41666666666666669</v>
      </c>
      <c r="V1156">
        <v>39.92</v>
      </c>
      <c r="X1156" s="42"/>
      <c r="AB1156">
        <v>34.1</v>
      </c>
      <c r="AC1156">
        <v>26.96</v>
      </c>
      <c r="AE1156" s="74"/>
      <c r="AF1156" s="77"/>
      <c r="AH1156" s="497">
        <v>23.9</v>
      </c>
      <c r="AJ1156" s="42"/>
      <c r="AK1156" s="74"/>
      <c r="AL1156" s="77"/>
      <c r="AN1156" s="497">
        <v>24.08</v>
      </c>
      <c r="AP1156" s="42"/>
      <c r="AQ1156" s="74"/>
      <c r="AR1156" s="77"/>
      <c r="AT1156" s="497">
        <v>28.04</v>
      </c>
      <c r="AV1156" s="42"/>
      <c r="AW1156" s="74"/>
      <c r="AX1156" s="77"/>
      <c r="BA1156" s="497">
        <v>26.060000000000002</v>
      </c>
      <c r="BB1156" s="42"/>
      <c r="BC1156" s="74"/>
      <c r="BD1156" s="77"/>
      <c r="BF1156">
        <v>35.96</v>
      </c>
      <c r="BH1156" s="42"/>
      <c r="BI1156" s="74"/>
      <c r="BJ1156" s="77"/>
      <c r="BL1156" s="497">
        <v>33.08</v>
      </c>
      <c r="BN1156" s="42"/>
      <c r="BO1156" s="74"/>
      <c r="BP1156" s="77"/>
      <c r="BR1156" s="497">
        <v>33.08</v>
      </c>
      <c r="BT1156" s="42"/>
    </row>
    <row r="1157" spans="1:72" x14ac:dyDescent="0.25">
      <c r="A1157" s="90">
        <v>34747</v>
      </c>
      <c r="B1157" s="20">
        <v>0.45833333333333331</v>
      </c>
      <c r="D1157">
        <v>39.92</v>
      </c>
      <c r="E1157" t="str">
        <f t="shared" si="70"/>
        <v>WEEKDAY</v>
      </c>
      <c r="F1157" t="e">
        <f t="shared" si="71"/>
        <v>#N/A</v>
      </c>
      <c r="G1157" s="74">
        <v>32190</v>
      </c>
      <c r="H1157" s="77">
        <v>0.45833333333333331</v>
      </c>
      <c r="J1157">
        <v>41</v>
      </c>
      <c r="M1157" s="74">
        <v>38034</v>
      </c>
      <c r="N1157" s="77">
        <v>0.45833333333333331</v>
      </c>
      <c r="P1157">
        <v>26.6</v>
      </c>
      <c r="S1157" s="74">
        <v>34747</v>
      </c>
      <c r="T1157" s="77">
        <v>0.45833333333333331</v>
      </c>
      <c r="V1157">
        <v>42.980000000000004</v>
      </c>
      <c r="X1157" s="42"/>
      <c r="AB1157">
        <v>35.700000000000003</v>
      </c>
      <c r="AC1157">
        <v>28.04</v>
      </c>
      <c r="AE1157" s="74"/>
      <c r="AF1157" s="77"/>
      <c r="AH1157" s="497">
        <v>26.96</v>
      </c>
      <c r="AJ1157" s="42"/>
      <c r="AK1157" s="74"/>
      <c r="AL1157" s="77"/>
      <c r="AN1157" s="497">
        <v>24.98</v>
      </c>
      <c r="AP1157" s="42"/>
      <c r="AQ1157" s="74"/>
      <c r="AR1157" s="77"/>
      <c r="AT1157" s="497">
        <v>30.02</v>
      </c>
      <c r="AV1157" s="42"/>
      <c r="AW1157" s="74"/>
      <c r="AX1157" s="77"/>
      <c r="BA1157" s="497">
        <v>26.96</v>
      </c>
      <c r="BB1157" s="42"/>
      <c r="BC1157" s="74"/>
      <c r="BD1157" s="77"/>
      <c r="BF1157">
        <v>39.019999999999996</v>
      </c>
      <c r="BH1157" s="42"/>
      <c r="BI1157" s="74"/>
      <c r="BJ1157" s="77"/>
      <c r="BL1157" s="497">
        <v>35.96</v>
      </c>
      <c r="BN1157" s="42"/>
      <c r="BO1157" s="74"/>
      <c r="BP1157" s="77"/>
      <c r="BR1157" s="497">
        <v>35.06</v>
      </c>
      <c r="BT1157" s="42"/>
    </row>
    <row r="1158" spans="1:72" x14ac:dyDescent="0.25">
      <c r="A1158" s="90">
        <v>34747</v>
      </c>
      <c r="B1158" s="20">
        <v>0.5</v>
      </c>
      <c r="D1158">
        <v>42.08</v>
      </c>
      <c r="E1158" t="str">
        <f t="shared" si="70"/>
        <v>WEEKDAY</v>
      </c>
      <c r="F1158" t="e">
        <f t="shared" si="71"/>
        <v>#N/A</v>
      </c>
      <c r="G1158" s="74">
        <v>32190</v>
      </c>
      <c r="H1158" s="77">
        <v>0.5</v>
      </c>
      <c r="J1158">
        <v>44.06</v>
      </c>
      <c r="M1158" s="74">
        <v>38034</v>
      </c>
      <c r="N1158" s="77">
        <v>0.5</v>
      </c>
      <c r="P1158">
        <v>26.6</v>
      </c>
      <c r="S1158" s="74">
        <v>34747</v>
      </c>
      <c r="T1158" s="77">
        <v>0.5</v>
      </c>
      <c r="V1158">
        <v>44.96</v>
      </c>
      <c r="X1158" s="42"/>
      <c r="AB1158">
        <v>37.1</v>
      </c>
      <c r="AC1158">
        <v>30.02</v>
      </c>
      <c r="AE1158" s="74"/>
      <c r="AF1158" s="77"/>
      <c r="AH1158" s="497">
        <v>27.86</v>
      </c>
      <c r="AJ1158" s="42"/>
      <c r="AK1158" s="74"/>
      <c r="AL1158" s="77"/>
      <c r="AN1158" s="497">
        <v>26.96</v>
      </c>
      <c r="AP1158" s="42"/>
      <c r="AQ1158" s="74"/>
      <c r="AR1158" s="77"/>
      <c r="AT1158" s="497">
        <v>32</v>
      </c>
      <c r="AV1158" s="42"/>
      <c r="AW1158" s="74"/>
      <c r="AX1158" s="77"/>
      <c r="BA1158" s="497">
        <v>28.04</v>
      </c>
      <c r="BB1158" s="42"/>
      <c r="BC1158" s="74"/>
      <c r="BD1158" s="77"/>
      <c r="BF1158">
        <v>39.92</v>
      </c>
      <c r="BH1158" s="42"/>
      <c r="BI1158" s="74"/>
      <c r="BJ1158" s="77"/>
      <c r="BL1158" s="497">
        <v>37.94</v>
      </c>
      <c r="BN1158" s="42"/>
      <c r="BO1158" s="74"/>
      <c r="BP1158" s="77"/>
      <c r="BR1158" s="497">
        <v>35.96</v>
      </c>
      <c r="BT1158" s="42"/>
    </row>
    <row r="1159" spans="1:72" x14ac:dyDescent="0.25">
      <c r="A1159" s="90">
        <v>34747</v>
      </c>
      <c r="B1159" s="20">
        <v>0.54166666666666663</v>
      </c>
      <c r="D1159">
        <v>44.96</v>
      </c>
      <c r="E1159" t="str">
        <f t="shared" si="70"/>
        <v>WEEKDAY</v>
      </c>
      <c r="F1159" t="e">
        <f t="shared" si="71"/>
        <v>#N/A</v>
      </c>
      <c r="G1159" s="74">
        <v>32190</v>
      </c>
      <c r="H1159" s="77">
        <v>0.54166666666666663</v>
      </c>
      <c r="J1159">
        <v>46.04</v>
      </c>
      <c r="M1159" s="74">
        <v>38034</v>
      </c>
      <c r="N1159" s="77">
        <v>0.54166666666666663</v>
      </c>
      <c r="P1159">
        <v>28.4</v>
      </c>
      <c r="S1159" s="74">
        <v>34747</v>
      </c>
      <c r="T1159" s="77">
        <v>0.54166666666666663</v>
      </c>
      <c r="V1159">
        <v>44.06</v>
      </c>
      <c r="X1159" s="42"/>
      <c r="AB1159">
        <v>38.1</v>
      </c>
      <c r="AC1159">
        <v>30.02</v>
      </c>
      <c r="AE1159" s="74"/>
      <c r="AF1159" s="77"/>
      <c r="AH1159" s="497">
        <v>27.86</v>
      </c>
      <c r="AJ1159" s="42"/>
      <c r="AK1159" s="74"/>
      <c r="AL1159" s="77"/>
      <c r="AN1159" s="497">
        <v>26.96</v>
      </c>
      <c r="AP1159" s="42"/>
      <c r="AQ1159" s="74"/>
      <c r="AR1159" s="77"/>
      <c r="AT1159" s="497">
        <v>33.08</v>
      </c>
      <c r="AV1159" s="42"/>
      <c r="AW1159" s="74"/>
      <c r="AX1159" s="77"/>
      <c r="BA1159" s="497">
        <v>30.02</v>
      </c>
      <c r="BB1159" s="42"/>
      <c r="BC1159" s="74"/>
      <c r="BD1159" s="77"/>
      <c r="BF1159">
        <v>39.019999999999996</v>
      </c>
      <c r="BH1159" s="42"/>
      <c r="BI1159" s="74"/>
      <c r="BJ1159" s="77"/>
      <c r="BL1159" s="497">
        <v>39.92</v>
      </c>
      <c r="BN1159" s="42"/>
      <c r="BO1159" s="74"/>
      <c r="BP1159" s="77"/>
      <c r="BR1159" s="497">
        <v>37.04</v>
      </c>
      <c r="BT1159" s="42"/>
    </row>
    <row r="1160" spans="1:72" x14ac:dyDescent="0.25">
      <c r="A1160" s="90">
        <v>34747</v>
      </c>
      <c r="B1160" s="20">
        <v>0.58333333333333337</v>
      </c>
      <c r="D1160">
        <v>46.04</v>
      </c>
      <c r="E1160" t="str">
        <f t="shared" si="70"/>
        <v>WEEKDAY</v>
      </c>
      <c r="F1160" t="e">
        <f t="shared" si="71"/>
        <v>#N/A</v>
      </c>
      <c r="G1160" s="74">
        <v>32190</v>
      </c>
      <c r="H1160" s="77">
        <v>0.58333333333333337</v>
      </c>
      <c r="J1160">
        <v>48.019999999999996</v>
      </c>
      <c r="M1160" s="74">
        <v>38034</v>
      </c>
      <c r="N1160" s="77">
        <v>0.58333333333333337</v>
      </c>
      <c r="P1160">
        <v>28.4</v>
      </c>
      <c r="S1160" s="74">
        <v>34747</v>
      </c>
      <c r="T1160" s="77">
        <v>0.58333333333333337</v>
      </c>
      <c r="V1160">
        <v>44.06</v>
      </c>
      <c r="X1160" s="42"/>
      <c r="AB1160">
        <v>39</v>
      </c>
      <c r="AC1160">
        <v>30.92</v>
      </c>
      <c r="AE1160" s="74"/>
      <c r="AF1160" s="77"/>
      <c r="AH1160" s="497">
        <v>29.84</v>
      </c>
      <c r="AJ1160" s="42"/>
      <c r="AK1160" s="74"/>
      <c r="AL1160" s="77"/>
      <c r="AN1160" s="497">
        <v>28.94</v>
      </c>
      <c r="AP1160" s="42"/>
      <c r="AQ1160" s="74"/>
      <c r="AR1160" s="77"/>
      <c r="AT1160" s="497">
        <v>33.979999999999997</v>
      </c>
      <c r="AV1160" s="42"/>
      <c r="AW1160" s="74"/>
      <c r="AX1160" s="77"/>
      <c r="BA1160" s="497">
        <v>30.02</v>
      </c>
      <c r="BB1160" s="42"/>
      <c r="BC1160" s="74"/>
      <c r="BD1160" s="77"/>
      <c r="BF1160">
        <v>37.04</v>
      </c>
      <c r="BH1160" s="42"/>
      <c r="BI1160" s="74"/>
      <c r="BJ1160" s="77"/>
      <c r="BL1160" s="497">
        <v>39.92</v>
      </c>
      <c r="BN1160" s="42"/>
      <c r="BO1160" s="74"/>
      <c r="BP1160" s="77"/>
      <c r="BR1160" s="497">
        <v>35.96</v>
      </c>
      <c r="BT1160" s="42"/>
    </row>
    <row r="1161" spans="1:72" x14ac:dyDescent="0.25">
      <c r="A1161" s="90">
        <v>34747</v>
      </c>
      <c r="B1161" s="20">
        <v>0.625</v>
      </c>
      <c r="D1161">
        <v>46.04</v>
      </c>
      <c r="E1161" t="str">
        <f t="shared" si="70"/>
        <v>WEEKDAY</v>
      </c>
      <c r="F1161" t="e">
        <f t="shared" si="71"/>
        <v>#N/A</v>
      </c>
      <c r="G1161" s="74">
        <v>32190</v>
      </c>
      <c r="H1161" s="77">
        <v>0.625</v>
      </c>
      <c r="J1161">
        <v>48.019999999999996</v>
      </c>
      <c r="M1161" s="74">
        <v>38034</v>
      </c>
      <c r="N1161" s="77">
        <v>0.625</v>
      </c>
      <c r="P1161">
        <v>30.2</v>
      </c>
      <c r="S1161" s="74">
        <v>34747</v>
      </c>
      <c r="T1161" s="77">
        <v>0.625</v>
      </c>
      <c r="V1161">
        <v>42.980000000000004</v>
      </c>
      <c r="X1161" s="42"/>
      <c r="AB1161">
        <v>39.6</v>
      </c>
      <c r="AC1161">
        <v>30.92</v>
      </c>
      <c r="AE1161" s="74"/>
      <c r="AF1161" s="77"/>
      <c r="AH1161" s="497">
        <v>29.84</v>
      </c>
      <c r="AJ1161" s="42"/>
      <c r="AK1161" s="74"/>
      <c r="AL1161" s="77"/>
      <c r="AN1161" s="497">
        <v>30.02</v>
      </c>
      <c r="AP1161" s="42"/>
      <c r="AQ1161" s="74"/>
      <c r="AR1161" s="77"/>
      <c r="AT1161" s="497">
        <v>35.96</v>
      </c>
      <c r="AV1161" s="42"/>
      <c r="AW1161" s="74"/>
      <c r="AX1161" s="77"/>
      <c r="BA1161" s="497">
        <v>30.02</v>
      </c>
      <c r="BB1161" s="42"/>
      <c r="BC1161" s="74"/>
      <c r="BD1161" s="77"/>
      <c r="BF1161">
        <v>37.94</v>
      </c>
      <c r="BH1161" s="42"/>
      <c r="BI1161" s="74"/>
      <c r="BJ1161" s="77"/>
      <c r="BL1161" s="497">
        <v>37.94</v>
      </c>
      <c r="BN1161" s="42"/>
      <c r="BO1161" s="74"/>
      <c r="BP1161" s="77"/>
      <c r="BR1161" s="497">
        <v>37.04</v>
      </c>
      <c r="BT1161" s="42"/>
    </row>
    <row r="1162" spans="1:72" x14ac:dyDescent="0.25">
      <c r="A1162" s="90">
        <v>34747</v>
      </c>
      <c r="B1162" s="20">
        <v>0.66666666666666663</v>
      </c>
      <c r="D1162">
        <v>44.96</v>
      </c>
      <c r="E1162" t="str">
        <f t="shared" si="70"/>
        <v>WEEKDAY</v>
      </c>
      <c r="F1162" t="e">
        <f t="shared" si="71"/>
        <v>#N/A</v>
      </c>
      <c r="G1162" s="74">
        <v>32190</v>
      </c>
      <c r="H1162" s="77">
        <v>0.66666666666666663</v>
      </c>
      <c r="J1162">
        <v>48.92</v>
      </c>
      <c r="M1162" s="74">
        <v>38034</v>
      </c>
      <c r="N1162" s="77">
        <v>0.66666666666666663</v>
      </c>
      <c r="P1162">
        <v>28.4</v>
      </c>
      <c r="S1162" s="74">
        <v>34747</v>
      </c>
      <c r="T1162" s="77">
        <v>0.66666666666666663</v>
      </c>
      <c r="V1162">
        <v>42.980000000000004</v>
      </c>
      <c r="X1162" s="42"/>
      <c r="AB1162">
        <v>39.700000000000003</v>
      </c>
      <c r="AC1162">
        <v>30.92</v>
      </c>
      <c r="AE1162" s="74"/>
      <c r="AF1162" s="77"/>
      <c r="AH1162" s="497">
        <v>29.84</v>
      </c>
      <c r="AJ1162" s="42"/>
      <c r="AK1162" s="74"/>
      <c r="AL1162" s="77"/>
      <c r="AN1162" s="497">
        <v>30.02</v>
      </c>
      <c r="AP1162" s="42"/>
      <c r="AQ1162" s="74"/>
      <c r="AR1162" s="77"/>
      <c r="AT1162" s="497">
        <v>37.04</v>
      </c>
      <c r="AV1162" s="42"/>
      <c r="AW1162" s="74"/>
      <c r="AX1162" s="77"/>
      <c r="BA1162" s="497">
        <v>30.02</v>
      </c>
      <c r="BB1162" s="42"/>
      <c r="BC1162" s="74"/>
      <c r="BD1162" s="77"/>
      <c r="BF1162">
        <v>35.96</v>
      </c>
      <c r="BH1162" s="42"/>
      <c r="BI1162" s="74"/>
      <c r="BJ1162" s="77"/>
      <c r="BL1162" s="497">
        <v>37.04</v>
      </c>
      <c r="BN1162" s="42"/>
      <c r="BO1162" s="74"/>
      <c r="BP1162" s="77"/>
      <c r="BR1162" s="497">
        <v>37.04</v>
      </c>
      <c r="BT1162" s="42"/>
    </row>
    <row r="1163" spans="1:72" x14ac:dyDescent="0.25">
      <c r="A1163" s="90">
        <v>34747</v>
      </c>
      <c r="B1163" s="20">
        <v>0.70833333333333337</v>
      </c>
      <c r="D1163">
        <v>44.96</v>
      </c>
      <c r="E1163" t="str">
        <f t="shared" si="70"/>
        <v>WEEKDAY</v>
      </c>
      <c r="F1163" t="e">
        <f t="shared" si="71"/>
        <v>#N/A</v>
      </c>
      <c r="G1163" s="74">
        <v>32190</v>
      </c>
      <c r="H1163" s="77">
        <v>0.70833333333333337</v>
      </c>
      <c r="J1163">
        <v>44.06</v>
      </c>
      <c r="M1163" s="74">
        <v>38034</v>
      </c>
      <c r="N1163" s="77">
        <v>0.70833333333333337</v>
      </c>
      <c r="P1163">
        <v>28.4</v>
      </c>
      <c r="S1163" s="74">
        <v>34747</v>
      </c>
      <c r="T1163" s="77">
        <v>0.70833333333333337</v>
      </c>
      <c r="V1163">
        <v>42.08</v>
      </c>
      <c r="X1163" s="42"/>
      <c r="AB1163">
        <v>39.4</v>
      </c>
      <c r="AC1163">
        <v>28.94</v>
      </c>
      <c r="AE1163" s="74"/>
      <c r="AF1163" s="77"/>
      <c r="AH1163" s="497">
        <v>30.92</v>
      </c>
      <c r="AJ1163" s="42"/>
      <c r="AK1163" s="74"/>
      <c r="AL1163" s="77"/>
      <c r="AN1163" s="497">
        <v>28.94</v>
      </c>
      <c r="AP1163" s="42"/>
      <c r="AQ1163" s="74"/>
      <c r="AR1163" s="77"/>
      <c r="AT1163" s="497">
        <v>37.94</v>
      </c>
      <c r="AV1163" s="42"/>
      <c r="AW1163" s="74"/>
      <c r="AX1163" s="77"/>
      <c r="BA1163" s="497">
        <v>30.02</v>
      </c>
      <c r="BB1163" s="42"/>
      <c r="BC1163" s="74"/>
      <c r="BD1163" s="77"/>
      <c r="BF1163">
        <v>33.979999999999997</v>
      </c>
      <c r="BH1163" s="42"/>
      <c r="BI1163" s="74"/>
      <c r="BJ1163" s="77"/>
      <c r="BL1163" s="497">
        <v>37.04</v>
      </c>
      <c r="BN1163" s="42"/>
      <c r="BO1163" s="74"/>
      <c r="BP1163" s="77"/>
      <c r="BR1163" s="497">
        <v>35.06</v>
      </c>
      <c r="BT1163" s="42"/>
    </row>
    <row r="1164" spans="1:72" x14ac:dyDescent="0.25">
      <c r="A1164" s="90">
        <v>34747</v>
      </c>
      <c r="B1164" s="20">
        <v>0.75</v>
      </c>
      <c r="D1164">
        <v>42.980000000000004</v>
      </c>
      <c r="E1164" t="str">
        <f t="shared" si="70"/>
        <v>WEEKDAY</v>
      </c>
      <c r="F1164" t="e">
        <f t="shared" si="71"/>
        <v>#N/A</v>
      </c>
      <c r="G1164" s="74">
        <v>32190</v>
      </c>
      <c r="H1164" s="77">
        <v>0.75</v>
      </c>
      <c r="J1164">
        <v>42.08</v>
      </c>
      <c r="M1164" s="74">
        <v>38034</v>
      </c>
      <c r="N1164" s="77">
        <v>0.75</v>
      </c>
      <c r="P1164">
        <v>28.4</v>
      </c>
      <c r="S1164" s="74">
        <v>34747</v>
      </c>
      <c r="T1164" s="77">
        <v>0.75</v>
      </c>
      <c r="V1164">
        <v>39.019999999999996</v>
      </c>
      <c r="X1164" s="42"/>
      <c r="AB1164">
        <v>38.299999999999997</v>
      </c>
      <c r="AC1164">
        <v>26.96</v>
      </c>
      <c r="AE1164" s="74"/>
      <c r="AF1164" s="77"/>
      <c r="AH1164" s="497">
        <v>26.96</v>
      </c>
      <c r="AJ1164" s="42"/>
      <c r="AK1164" s="74"/>
      <c r="AL1164" s="77"/>
      <c r="AN1164" s="497">
        <v>28.94</v>
      </c>
      <c r="AP1164" s="42"/>
      <c r="AQ1164" s="74"/>
      <c r="AR1164" s="77"/>
      <c r="AT1164" s="497">
        <v>35.06</v>
      </c>
      <c r="AV1164" s="42"/>
      <c r="AW1164" s="74"/>
      <c r="AX1164" s="77"/>
      <c r="BA1164" s="497">
        <v>28.04</v>
      </c>
      <c r="BB1164" s="42"/>
      <c r="BC1164" s="74"/>
      <c r="BD1164" s="77"/>
      <c r="BF1164">
        <v>33.08</v>
      </c>
      <c r="BH1164" s="42"/>
      <c r="BI1164" s="74"/>
      <c r="BJ1164" s="77"/>
      <c r="BL1164" s="497">
        <v>35.96</v>
      </c>
      <c r="BN1164" s="42"/>
      <c r="BO1164" s="74"/>
      <c r="BP1164" s="77"/>
      <c r="BR1164" s="497">
        <v>33.979999999999997</v>
      </c>
      <c r="BT1164" s="42"/>
    </row>
    <row r="1165" spans="1:72" x14ac:dyDescent="0.25">
      <c r="A1165" s="90">
        <v>34747</v>
      </c>
      <c r="B1165" s="20">
        <v>0.79166666666666663</v>
      </c>
      <c r="D1165">
        <v>42.980000000000004</v>
      </c>
      <c r="E1165" t="str">
        <f t="shared" si="70"/>
        <v>WEEKDAY</v>
      </c>
      <c r="F1165" t="e">
        <f t="shared" si="71"/>
        <v>#N/A</v>
      </c>
      <c r="G1165" s="74">
        <v>32190</v>
      </c>
      <c r="H1165" s="77">
        <v>0.79166666666666663</v>
      </c>
      <c r="J1165">
        <v>41</v>
      </c>
      <c r="M1165" s="74">
        <v>38034</v>
      </c>
      <c r="N1165" s="77">
        <v>0.79166666666666663</v>
      </c>
      <c r="P1165">
        <v>28.4</v>
      </c>
      <c r="S1165" s="74">
        <v>34747</v>
      </c>
      <c r="T1165" s="77">
        <v>0.79166666666666663</v>
      </c>
      <c r="V1165">
        <v>35.96</v>
      </c>
      <c r="X1165" s="42"/>
      <c r="AB1165">
        <v>37.1</v>
      </c>
      <c r="AC1165">
        <v>24.98</v>
      </c>
      <c r="AE1165" s="74"/>
      <c r="AF1165" s="77"/>
      <c r="AH1165" s="497">
        <v>26.96</v>
      </c>
      <c r="AJ1165" s="42"/>
      <c r="AK1165" s="74"/>
      <c r="AL1165" s="77"/>
      <c r="AN1165" s="497">
        <v>26.96</v>
      </c>
      <c r="AP1165" s="42"/>
      <c r="AQ1165" s="74"/>
      <c r="AR1165" s="77"/>
      <c r="AT1165" s="497">
        <v>33.979999999999997</v>
      </c>
      <c r="AV1165" s="42"/>
      <c r="AW1165" s="74"/>
      <c r="AX1165" s="77"/>
      <c r="BA1165" s="497">
        <v>28.04</v>
      </c>
      <c r="BB1165" s="42"/>
      <c r="BC1165" s="74"/>
      <c r="BD1165" s="77"/>
      <c r="BF1165">
        <v>33.08</v>
      </c>
      <c r="BH1165" s="42"/>
      <c r="BI1165" s="74"/>
      <c r="BJ1165" s="77"/>
      <c r="BL1165" s="497">
        <v>35.06</v>
      </c>
      <c r="BN1165" s="42"/>
      <c r="BO1165" s="74"/>
      <c r="BP1165" s="77"/>
      <c r="BR1165" s="497">
        <v>33.979999999999997</v>
      </c>
      <c r="BT1165" s="42"/>
    </row>
    <row r="1166" spans="1:72" x14ac:dyDescent="0.25">
      <c r="A1166" s="90">
        <v>34747</v>
      </c>
      <c r="B1166" s="20">
        <v>0.83333333333333337</v>
      </c>
      <c r="D1166">
        <v>42.980000000000004</v>
      </c>
      <c r="E1166" t="str">
        <f t="shared" si="70"/>
        <v>WEEKDAY</v>
      </c>
      <c r="F1166" t="e">
        <f t="shared" si="71"/>
        <v>#N/A</v>
      </c>
      <c r="G1166" s="74">
        <v>32190</v>
      </c>
      <c r="H1166" s="77">
        <v>0.83333333333333337</v>
      </c>
      <c r="J1166">
        <v>42.08</v>
      </c>
      <c r="M1166" s="74">
        <v>38034</v>
      </c>
      <c r="N1166" s="77">
        <v>0.83333333333333337</v>
      </c>
      <c r="P1166">
        <v>26.6</v>
      </c>
      <c r="S1166" s="74">
        <v>34747</v>
      </c>
      <c r="T1166" s="77">
        <v>0.83333333333333337</v>
      </c>
      <c r="V1166">
        <v>33.979999999999997</v>
      </c>
      <c r="X1166" s="42"/>
      <c r="AB1166">
        <v>36.6</v>
      </c>
      <c r="AC1166">
        <v>23</v>
      </c>
      <c r="AE1166" s="74"/>
      <c r="AF1166" s="77"/>
      <c r="AH1166" s="497">
        <v>24.98</v>
      </c>
      <c r="AJ1166" s="42"/>
      <c r="AK1166" s="74"/>
      <c r="AL1166" s="77"/>
      <c r="AN1166" s="497">
        <v>26.060000000000002</v>
      </c>
      <c r="AP1166" s="42"/>
      <c r="AQ1166" s="74"/>
      <c r="AR1166" s="77"/>
      <c r="AT1166" s="497">
        <v>32</v>
      </c>
      <c r="AV1166" s="42"/>
      <c r="AW1166" s="74"/>
      <c r="AX1166" s="77"/>
      <c r="BA1166" s="497">
        <v>28.04</v>
      </c>
      <c r="BB1166" s="42"/>
      <c r="BC1166" s="74"/>
      <c r="BD1166" s="77"/>
      <c r="BF1166">
        <v>32</v>
      </c>
      <c r="BH1166" s="42"/>
      <c r="BI1166" s="74"/>
      <c r="BJ1166" s="77"/>
      <c r="BL1166" s="497">
        <v>33.08</v>
      </c>
      <c r="BN1166" s="42"/>
      <c r="BO1166" s="74"/>
      <c r="BP1166" s="77"/>
      <c r="BR1166" s="497">
        <v>33.979999999999997</v>
      </c>
      <c r="BT1166" s="42"/>
    </row>
    <row r="1167" spans="1:72" x14ac:dyDescent="0.25">
      <c r="A1167" s="90">
        <v>34747</v>
      </c>
      <c r="B1167" s="20">
        <v>0.875</v>
      </c>
      <c r="D1167">
        <v>41</v>
      </c>
      <c r="E1167" t="str">
        <f t="shared" si="70"/>
        <v>WEEKDAY</v>
      </c>
      <c r="F1167" t="e">
        <f t="shared" si="71"/>
        <v>#N/A</v>
      </c>
      <c r="G1167" s="74">
        <v>32190</v>
      </c>
      <c r="H1167" s="77">
        <v>0.875</v>
      </c>
      <c r="J1167">
        <v>41</v>
      </c>
      <c r="M1167" s="74">
        <v>38034</v>
      </c>
      <c r="N1167" s="77">
        <v>0.875</v>
      </c>
      <c r="P1167">
        <v>26.6</v>
      </c>
      <c r="S1167" s="74">
        <v>34747</v>
      </c>
      <c r="T1167" s="77">
        <v>0.875</v>
      </c>
      <c r="V1167">
        <v>33.979999999999997</v>
      </c>
      <c r="X1167" s="42"/>
      <c r="AB1167">
        <v>36</v>
      </c>
      <c r="AC1167">
        <v>21.02</v>
      </c>
      <c r="AE1167" s="74"/>
      <c r="AF1167" s="77"/>
      <c r="AH1167" s="497">
        <v>25.88</v>
      </c>
      <c r="AJ1167" s="42"/>
      <c r="AK1167" s="74"/>
      <c r="AL1167" s="77"/>
      <c r="AN1167" s="497">
        <v>26.060000000000002</v>
      </c>
      <c r="AP1167" s="42"/>
      <c r="AQ1167" s="74"/>
      <c r="AR1167" s="77"/>
      <c r="AT1167" s="497">
        <v>32</v>
      </c>
      <c r="AV1167" s="42"/>
      <c r="AW1167" s="74"/>
      <c r="AX1167" s="77"/>
      <c r="BA1167" s="497">
        <v>28.04</v>
      </c>
      <c r="BB1167" s="42"/>
      <c r="BC1167" s="74"/>
      <c r="BD1167" s="77"/>
      <c r="BF1167">
        <v>33.08</v>
      </c>
      <c r="BH1167" s="42"/>
      <c r="BI1167" s="74"/>
      <c r="BJ1167" s="77"/>
      <c r="BL1167" s="497">
        <v>33.08</v>
      </c>
      <c r="BN1167" s="42"/>
      <c r="BO1167" s="74"/>
      <c r="BP1167" s="77"/>
      <c r="BR1167" s="497">
        <v>33.979999999999997</v>
      </c>
      <c r="BT1167" s="42"/>
    </row>
    <row r="1168" spans="1:72" x14ac:dyDescent="0.25">
      <c r="A1168" s="90">
        <v>34747</v>
      </c>
      <c r="B1168" s="20">
        <v>0.91666666666666663</v>
      </c>
      <c r="D1168">
        <v>37.94</v>
      </c>
      <c r="E1168" t="str">
        <f t="shared" si="70"/>
        <v>WEEKDAY</v>
      </c>
      <c r="F1168" t="e">
        <f t="shared" si="71"/>
        <v>#N/A</v>
      </c>
      <c r="G1168" s="74">
        <v>32190</v>
      </c>
      <c r="H1168" s="77">
        <v>0.91666666666666663</v>
      </c>
      <c r="J1168">
        <v>41</v>
      </c>
      <c r="M1168" s="74">
        <v>38034</v>
      </c>
      <c r="N1168" s="77">
        <v>0.91666666666666663</v>
      </c>
      <c r="P1168">
        <v>26.6</v>
      </c>
      <c r="S1168" s="74">
        <v>34747</v>
      </c>
      <c r="T1168" s="77">
        <v>0.91666666666666663</v>
      </c>
      <c r="V1168">
        <v>35.96</v>
      </c>
      <c r="X1168" s="42"/>
      <c r="AB1168">
        <v>35.5</v>
      </c>
      <c r="AC1168">
        <v>19.939999999999998</v>
      </c>
      <c r="AE1168" s="74"/>
      <c r="AF1168" s="77"/>
      <c r="AH1168" s="497">
        <v>24.98</v>
      </c>
      <c r="AJ1168" s="42"/>
      <c r="AK1168" s="74"/>
      <c r="AL1168" s="77"/>
      <c r="AN1168" s="497">
        <v>24.98</v>
      </c>
      <c r="AP1168" s="42"/>
      <c r="AQ1168" s="74"/>
      <c r="AR1168" s="77"/>
      <c r="AT1168" s="497">
        <v>30.92</v>
      </c>
      <c r="AV1168" s="42"/>
      <c r="AW1168" s="74"/>
      <c r="AX1168" s="77"/>
      <c r="BA1168" s="497">
        <v>28.04</v>
      </c>
      <c r="BB1168" s="42"/>
      <c r="BC1168" s="74"/>
      <c r="BD1168" s="77"/>
      <c r="BF1168">
        <v>33.08</v>
      </c>
      <c r="BH1168" s="42"/>
      <c r="BI1168" s="74"/>
      <c r="BJ1168" s="77"/>
      <c r="BL1168" s="497">
        <v>32</v>
      </c>
      <c r="BN1168" s="42"/>
      <c r="BO1168" s="74"/>
      <c r="BP1168" s="77"/>
      <c r="BR1168" s="497">
        <v>35.06</v>
      </c>
      <c r="BT1168" s="42"/>
    </row>
    <row r="1169" spans="1:72" x14ac:dyDescent="0.25">
      <c r="A1169" s="90">
        <v>34747</v>
      </c>
      <c r="B1169" s="20">
        <v>0.95833333333333337</v>
      </c>
      <c r="D1169">
        <v>37.04</v>
      </c>
      <c r="E1169" t="str">
        <f t="shared" si="70"/>
        <v>WEEKDAY</v>
      </c>
      <c r="F1169" t="e">
        <f t="shared" si="71"/>
        <v>#N/A</v>
      </c>
      <c r="G1169" s="74">
        <v>32190</v>
      </c>
      <c r="H1169" s="77">
        <v>0.95833333333333337</v>
      </c>
      <c r="J1169">
        <v>41</v>
      </c>
      <c r="M1169" s="74">
        <v>38034</v>
      </c>
      <c r="N1169" s="77">
        <v>0.95833333333333337</v>
      </c>
      <c r="P1169">
        <v>26.6</v>
      </c>
      <c r="S1169" s="74">
        <v>34747</v>
      </c>
      <c r="T1169" s="77">
        <v>0.95833333333333337</v>
      </c>
      <c r="V1169">
        <v>33.979999999999997</v>
      </c>
      <c r="X1169" s="42"/>
      <c r="AB1169">
        <v>34.9</v>
      </c>
      <c r="AC1169">
        <v>19.939999999999998</v>
      </c>
      <c r="AE1169" s="74"/>
      <c r="AF1169" s="77"/>
      <c r="AH1169" s="497">
        <v>23</v>
      </c>
      <c r="AJ1169" s="42"/>
      <c r="AK1169" s="74"/>
      <c r="AL1169" s="77"/>
      <c r="AN1169" s="497">
        <v>24.08</v>
      </c>
      <c r="AP1169" s="42"/>
      <c r="AQ1169" s="74"/>
      <c r="AR1169" s="77"/>
      <c r="AT1169" s="497">
        <v>28.94</v>
      </c>
      <c r="AV1169" s="42"/>
      <c r="AW1169" s="74"/>
      <c r="AX1169" s="77"/>
      <c r="BA1169" s="497">
        <v>28.04</v>
      </c>
      <c r="BB1169" s="42"/>
      <c r="BC1169" s="74"/>
      <c r="BD1169" s="77"/>
      <c r="BF1169">
        <v>32</v>
      </c>
      <c r="BH1169" s="42"/>
      <c r="BI1169" s="74"/>
      <c r="BJ1169" s="77"/>
      <c r="BL1169" s="497">
        <v>32</v>
      </c>
      <c r="BN1169" s="42"/>
      <c r="BO1169" s="74"/>
      <c r="BP1169" s="77"/>
      <c r="BR1169" s="497">
        <v>35.06</v>
      </c>
      <c r="BT1169" s="42"/>
    </row>
    <row r="1170" spans="1:72" x14ac:dyDescent="0.25">
      <c r="A1170" s="90">
        <v>34747</v>
      </c>
      <c r="B1170" s="20">
        <v>1</v>
      </c>
      <c r="D1170">
        <v>39.019999999999996</v>
      </c>
      <c r="E1170" t="str">
        <f t="shared" si="70"/>
        <v>WEEKDAY</v>
      </c>
      <c r="F1170" t="e">
        <f t="shared" si="71"/>
        <v>#N/A</v>
      </c>
      <c r="G1170" s="74">
        <v>32190</v>
      </c>
      <c r="H1170" s="77">
        <v>1</v>
      </c>
      <c r="J1170">
        <v>39.019999999999996</v>
      </c>
      <c r="M1170" s="74">
        <v>38034</v>
      </c>
      <c r="N1170" s="80">
        <v>1</v>
      </c>
      <c r="P1170">
        <v>26.6</v>
      </c>
      <c r="S1170" s="74">
        <v>34747</v>
      </c>
      <c r="T1170" s="80">
        <v>1</v>
      </c>
      <c r="V1170">
        <v>35.06</v>
      </c>
      <c r="X1170" s="42"/>
      <c r="AB1170">
        <v>34.4</v>
      </c>
      <c r="AC1170">
        <v>19.04</v>
      </c>
      <c r="AE1170" s="74"/>
      <c r="AF1170" s="80"/>
      <c r="AH1170" s="497">
        <v>23.9</v>
      </c>
      <c r="AJ1170" s="42"/>
      <c r="AK1170" s="74"/>
      <c r="AL1170" s="80"/>
      <c r="AN1170" s="497">
        <v>24.08</v>
      </c>
      <c r="AP1170" s="42"/>
      <c r="AQ1170" s="74"/>
      <c r="AR1170" s="80"/>
      <c r="AT1170" s="497">
        <v>30.02</v>
      </c>
      <c r="AV1170" s="42"/>
      <c r="AW1170" s="74"/>
      <c r="AX1170" s="80"/>
      <c r="BA1170" s="497">
        <v>26.96</v>
      </c>
      <c r="BB1170" s="42"/>
      <c r="BC1170" s="74"/>
      <c r="BD1170" s="80"/>
      <c r="BF1170">
        <v>32</v>
      </c>
      <c r="BH1170" s="42"/>
      <c r="BI1170" s="74"/>
      <c r="BJ1170" s="80"/>
      <c r="BL1170" s="497">
        <v>32</v>
      </c>
      <c r="BN1170" s="42"/>
      <c r="BO1170" s="74"/>
      <c r="BP1170" s="80"/>
      <c r="BR1170" s="497">
        <v>35.06</v>
      </c>
      <c r="BT1170" s="42"/>
    </row>
    <row r="1171" spans="1:72" x14ac:dyDescent="0.25">
      <c r="A1171" s="90">
        <v>34748</v>
      </c>
      <c r="B1171" s="20">
        <v>4.1666666666666664E-2</v>
      </c>
      <c r="D1171">
        <v>39.019999999999996</v>
      </c>
      <c r="E1171" t="str">
        <f t="shared" ref="E1171:E1234" si="72">IF(COUNTIF($DI$18:$DI$22, WEEKDAY(A1171))=1, "WEEKDAY", IF(WEEKDAY(A1171) = 1, "SUNDAY", "SATURDAY"))</f>
        <v>SATURDAY</v>
      </c>
      <c r="F1171" t="e">
        <f t="shared" si="71"/>
        <v>#N/A</v>
      </c>
      <c r="G1171" s="74">
        <v>32191</v>
      </c>
      <c r="H1171" s="77">
        <v>4.1666666666666664E-2</v>
      </c>
      <c r="J1171">
        <v>39.92</v>
      </c>
      <c r="M1171" s="74">
        <v>38035</v>
      </c>
      <c r="N1171" s="77">
        <v>4.1666666666666664E-2</v>
      </c>
      <c r="P1171">
        <v>26.6</v>
      </c>
      <c r="S1171" s="74">
        <v>34748</v>
      </c>
      <c r="T1171" s="77">
        <v>4.1666666666666664E-2</v>
      </c>
      <c r="V1171">
        <v>33.08</v>
      </c>
      <c r="X1171" s="42"/>
      <c r="AB1171">
        <v>33.799999999999997</v>
      </c>
      <c r="AC1171">
        <v>21.02</v>
      </c>
      <c r="AE1171" s="74"/>
      <c r="AF1171" s="77"/>
      <c r="AH1171" s="497">
        <v>21.92</v>
      </c>
      <c r="AJ1171" s="42"/>
      <c r="AK1171" s="74"/>
      <c r="AL1171" s="77"/>
      <c r="AN1171" s="497">
        <v>24.08</v>
      </c>
      <c r="AP1171" s="42"/>
      <c r="AQ1171" s="74"/>
      <c r="AR1171" s="77"/>
      <c r="AT1171" s="497">
        <v>28.94</v>
      </c>
      <c r="AV1171" s="42"/>
      <c r="AW1171" s="74"/>
      <c r="AX1171" s="77"/>
      <c r="BA1171" s="497">
        <v>26.96</v>
      </c>
      <c r="BB1171" s="42"/>
      <c r="BC1171" s="74"/>
      <c r="BD1171" s="77"/>
      <c r="BF1171">
        <v>30.92</v>
      </c>
      <c r="BH1171" s="42"/>
      <c r="BI1171" s="74"/>
      <c r="BJ1171" s="77"/>
      <c r="BL1171" s="497">
        <v>30.92</v>
      </c>
      <c r="BN1171" s="42"/>
      <c r="BO1171" s="74"/>
      <c r="BP1171" s="77"/>
      <c r="BR1171" s="497">
        <v>33.979999999999997</v>
      </c>
      <c r="BT1171" s="42"/>
    </row>
    <row r="1172" spans="1:72" x14ac:dyDescent="0.25">
      <c r="A1172" s="90">
        <v>34748</v>
      </c>
      <c r="B1172" s="20">
        <v>8.3333333333333329E-2</v>
      </c>
      <c r="D1172">
        <v>35.96</v>
      </c>
      <c r="E1172" t="str">
        <f t="shared" si="72"/>
        <v>SATURDAY</v>
      </c>
      <c r="F1172" t="e">
        <f t="shared" si="71"/>
        <v>#N/A</v>
      </c>
      <c r="G1172" s="74">
        <v>32191</v>
      </c>
      <c r="H1172" s="77">
        <v>8.3333333333333329E-2</v>
      </c>
      <c r="J1172">
        <v>39.019999999999996</v>
      </c>
      <c r="M1172" s="74">
        <v>38035</v>
      </c>
      <c r="N1172" s="77">
        <v>8.3333333333333329E-2</v>
      </c>
      <c r="P1172">
        <v>26.6</v>
      </c>
      <c r="S1172" s="74">
        <v>34748</v>
      </c>
      <c r="T1172" s="77">
        <v>8.3333333333333329E-2</v>
      </c>
      <c r="V1172">
        <v>33.979999999999997</v>
      </c>
      <c r="X1172" s="42"/>
      <c r="AB1172">
        <v>33.299999999999997</v>
      </c>
      <c r="AC1172">
        <v>21.92</v>
      </c>
      <c r="AE1172" s="74"/>
      <c r="AF1172" s="77"/>
      <c r="AH1172" s="497">
        <v>21.92</v>
      </c>
      <c r="AJ1172" s="42"/>
      <c r="AK1172" s="74"/>
      <c r="AL1172" s="77"/>
      <c r="AN1172" s="497">
        <v>24.08</v>
      </c>
      <c r="AP1172" s="42"/>
      <c r="AQ1172" s="74"/>
      <c r="AR1172" s="77"/>
      <c r="AT1172" s="497">
        <v>30.02</v>
      </c>
      <c r="AV1172" s="42"/>
      <c r="AW1172" s="74"/>
      <c r="AX1172" s="77"/>
      <c r="BA1172" s="497">
        <v>26.060000000000002</v>
      </c>
      <c r="BB1172" s="42"/>
      <c r="BC1172" s="74"/>
      <c r="BD1172" s="77"/>
      <c r="BF1172">
        <v>30.02</v>
      </c>
      <c r="BH1172" s="42"/>
      <c r="BI1172" s="74"/>
      <c r="BJ1172" s="77"/>
      <c r="BL1172" s="497">
        <v>28.94</v>
      </c>
      <c r="BN1172" s="42"/>
      <c r="BO1172" s="74"/>
      <c r="BP1172" s="77"/>
      <c r="BR1172" s="497">
        <v>33.979999999999997</v>
      </c>
      <c r="BT1172" s="42"/>
    </row>
    <row r="1173" spans="1:72" x14ac:dyDescent="0.25">
      <c r="A1173" s="90">
        <v>34748</v>
      </c>
      <c r="B1173" s="20">
        <v>0.125</v>
      </c>
      <c r="D1173">
        <v>37.04</v>
      </c>
      <c r="E1173" t="str">
        <f t="shared" si="72"/>
        <v>SATURDAY</v>
      </c>
      <c r="F1173" t="e">
        <f t="shared" si="71"/>
        <v>#N/A</v>
      </c>
      <c r="G1173" s="74">
        <v>32191</v>
      </c>
      <c r="H1173" s="77">
        <v>0.125</v>
      </c>
      <c r="J1173">
        <v>39.019999999999996</v>
      </c>
      <c r="M1173" s="74">
        <v>38035</v>
      </c>
      <c r="N1173" s="77">
        <v>0.125</v>
      </c>
      <c r="P1173">
        <v>26.6</v>
      </c>
      <c r="S1173" s="74">
        <v>34748</v>
      </c>
      <c r="T1173" s="77">
        <v>0.125</v>
      </c>
      <c r="V1173">
        <v>33.979999999999997</v>
      </c>
      <c r="X1173" s="42"/>
      <c r="AB1173">
        <v>32.799999999999997</v>
      </c>
      <c r="AC1173">
        <v>24.98</v>
      </c>
      <c r="AE1173" s="74"/>
      <c r="AF1173" s="77"/>
      <c r="AH1173" s="497">
        <v>23</v>
      </c>
      <c r="AJ1173" s="42"/>
      <c r="AK1173" s="74"/>
      <c r="AL1173" s="77"/>
      <c r="AN1173" s="497">
        <v>24.08</v>
      </c>
      <c r="AP1173" s="42"/>
      <c r="AQ1173" s="74"/>
      <c r="AR1173" s="77"/>
      <c r="AT1173" s="497">
        <v>30.92</v>
      </c>
      <c r="AV1173" s="42"/>
      <c r="AW1173" s="74"/>
      <c r="AX1173" s="77"/>
      <c r="BA1173" s="497">
        <v>26.96</v>
      </c>
      <c r="BB1173" s="42"/>
      <c r="BC1173" s="74"/>
      <c r="BD1173" s="77"/>
      <c r="BF1173">
        <v>28.94</v>
      </c>
      <c r="BH1173" s="42"/>
      <c r="BI1173" s="74"/>
      <c r="BJ1173" s="77"/>
      <c r="BL1173" s="497">
        <v>26.96</v>
      </c>
      <c r="BN1173" s="42"/>
      <c r="BO1173" s="74"/>
      <c r="BP1173" s="77"/>
      <c r="BR1173" s="497">
        <v>33.08</v>
      </c>
      <c r="BT1173" s="42"/>
    </row>
    <row r="1174" spans="1:72" x14ac:dyDescent="0.25">
      <c r="A1174" s="90">
        <v>34748</v>
      </c>
      <c r="B1174" s="20">
        <v>0.16666666666666666</v>
      </c>
      <c r="D1174">
        <v>35.06</v>
      </c>
      <c r="E1174" t="str">
        <f t="shared" si="72"/>
        <v>SATURDAY</v>
      </c>
      <c r="F1174" t="e">
        <f t="shared" si="71"/>
        <v>#N/A</v>
      </c>
      <c r="G1174" s="74">
        <v>32191</v>
      </c>
      <c r="H1174" s="77">
        <v>0.16666666666666666</v>
      </c>
      <c r="J1174">
        <v>37.04</v>
      </c>
      <c r="M1174" s="74">
        <v>38035</v>
      </c>
      <c r="N1174" s="77">
        <v>0.16666666666666666</v>
      </c>
      <c r="P1174">
        <v>26.6</v>
      </c>
      <c r="S1174" s="74">
        <v>34748</v>
      </c>
      <c r="T1174" s="77">
        <v>0.16666666666666666</v>
      </c>
      <c r="V1174">
        <v>30.92</v>
      </c>
      <c r="X1174" s="42"/>
      <c r="AB1174">
        <v>32.200000000000003</v>
      </c>
      <c r="AC1174">
        <v>24.98</v>
      </c>
      <c r="AE1174" s="74"/>
      <c r="AF1174" s="77"/>
      <c r="AH1174" s="497">
        <v>21.92</v>
      </c>
      <c r="AJ1174" s="42"/>
      <c r="AK1174" s="74"/>
      <c r="AL1174" s="77"/>
      <c r="AN1174" s="497">
        <v>24.08</v>
      </c>
      <c r="AP1174" s="42"/>
      <c r="AQ1174" s="74"/>
      <c r="AR1174" s="77"/>
      <c r="AT1174" s="497">
        <v>32</v>
      </c>
      <c r="AV1174" s="42"/>
      <c r="AW1174" s="74"/>
      <c r="AX1174" s="77"/>
      <c r="BA1174" s="497">
        <v>26.060000000000002</v>
      </c>
      <c r="BB1174" s="42"/>
      <c r="BC1174" s="74"/>
      <c r="BD1174" s="77"/>
      <c r="BF1174">
        <v>28.94</v>
      </c>
      <c r="BH1174" s="42"/>
      <c r="BI1174" s="74"/>
      <c r="BJ1174" s="77"/>
      <c r="BL1174" s="497">
        <v>26.060000000000002</v>
      </c>
      <c r="BN1174" s="42"/>
      <c r="BO1174" s="74"/>
      <c r="BP1174" s="77"/>
      <c r="BR1174" s="497">
        <v>30.92</v>
      </c>
      <c r="BT1174" s="42"/>
    </row>
    <row r="1175" spans="1:72" x14ac:dyDescent="0.25">
      <c r="A1175" s="90">
        <v>34748</v>
      </c>
      <c r="B1175" s="20">
        <v>0.20833333333333334</v>
      </c>
      <c r="D1175">
        <v>33.08</v>
      </c>
      <c r="E1175" t="str">
        <f t="shared" si="72"/>
        <v>SATURDAY</v>
      </c>
      <c r="F1175" t="e">
        <f t="shared" si="71"/>
        <v>#N/A</v>
      </c>
      <c r="G1175" s="74">
        <v>32191</v>
      </c>
      <c r="H1175" s="77">
        <v>0.20833333333333334</v>
      </c>
      <c r="J1175">
        <v>39.019999999999996</v>
      </c>
      <c r="M1175" s="74">
        <v>38035</v>
      </c>
      <c r="N1175" s="77">
        <v>0.20833333333333334</v>
      </c>
      <c r="P1175">
        <v>26.6</v>
      </c>
      <c r="S1175" s="74">
        <v>34748</v>
      </c>
      <c r="T1175" s="77">
        <v>0.20833333333333334</v>
      </c>
      <c r="V1175">
        <v>33.08</v>
      </c>
      <c r="X1175" s="42"/>
      <c r="AB1175">
        <v>31.9</v>
      </c>
      <c r="AC1175">
        <v>26.060000000000002</v>
      </c>
      <c r="AE1175" s="74"/>
      <c r="AF1175" s="77"/>
      <c r="AH1175" s="497">
        <v>20.84</v>
      </c>
      <c r="AJ1175" s="42"/>
      <c r="AK1175" s="74"/>
      <c r="AL1175" s="77"/>
      <c r="AN1175" s="497">
        <v>24.08</v>
      </c>
      <c r="AP1175" s="42"/>
      <c r="AQ1175" s="74"/>
      <c r="AR1175" s="77"/>
      <c r="AT1175" s="497">
        <v>33.979999999999997</v>
      </c>
      <c r="AV1175" s="42"/>
      <c r="AW1175" s="74"/>
      <c r="AX1175" s="77"/>
      <c r="BA1175" s="497">
        <v>24.98</v>
      </c>
      <c r="BB1175" s="42"/>
      <c r="BC1175" s="74"/>
      <c r="BD1175" s="77"/>
      <c r="BF1175">
        <v>28.94</v>
      </c>
      <c r="BH1175" s="42"/>
      <c r="BI1175" s="74"/>
      <c r="BJ1175" s="77"/>
      <c r="BL1175" s="497">
        <v>24.08</v>
      </c>
      <c r="BN1175" s="42"/>
      <c r="BO1175" s="74"/>
      <c r="BP1175" s="77"/>
      <c r="BR1175" s="497">
        <v>30.02</v>
      </c>
      <c r="BT1175" s="42"/>
    </row>
    <row r="1176" spans="1:72" x14ac:dyDescent="0.25">
      <c r="A1176" s="90">
        <v>34748</v>
      </c>
      <c r="B1176" s="20">
        <v>0.25</v>
      </c>
      <c r="D1176">
        <v>32</v>
      </c>
      <c r="E1176" t="str">
        <f t="shared" si="72"/>
        <v>SATURDAY</v>
      </c>
      <c r="F1176" t="e">
        <f t="shared" si="71"/>
        <v>#N/A</v>
      </c>
      <c r="G1176" s="74">
        <v>32191</v>
      </c>
      <c r="H1176" s="77">
        <v>0.25</v>
      </c>
      <c r="J1176">
        <v>39.019999999999996</v>
      </c>
      <c r="M1176" s="74">
        <v>38035</v>
      </c>
      <c r="N1176" s="77">
        <v>0.25</v>
      </c>
      <c r="P1176">
        <v>26.6</v>
      </c>
      <c r="S1176" s="74">
        <v>34748</v>
      </c>
      <c r="T1176" s="77">
        <v>0.25</v>
      </c>
      <c r="V1176">
        <v>33.979999999999997</v>
      </c>
      <c r="X1176" s="42"/>
      <c r="AB1176">
        <v>31.6</v>
      </c>
      <c r="AC1176">
        <v>26.96</v>
      </c>
      <c r="AE1176" s="74"/>
      <c r="AF1176" s="77"/>
      <c r="AH1176" s="497">
        <v>19.939999999999998</v>
      </c>
      <c r="AJ1176" s="42"/>
      <c r="AK1176" s="74"/>
      <c r="AL1176" s="77"/>
      <c r="AN1176" s="497">
        <v>24.08</v>
      </c>
      <c r="AP1176" s="42"/>
      <c r="AQ1176" s="74"/>
      <c r="AR1176" s="77"/>
      <c r="AT1176" s="497">
        <v>33.979999999999997</v>
      </c>
      <c r="AV1176" s="42"/>
      <c r="AW1176" s="74"/>
      <c r="AX1176" s="77"/>
      <c r="BA1176" s="497">
        <v>24.08</v>
      </c>
      <c r="BB1176" s="42"/>
      <c r="BC1176" s="74"/>
      <c r="BD1176" s="77"/>
      <c r="BF1176">
        <v>28.94</v>
      </c>
      <c r="BH1176" s="42"/>
      <c r="BI1176" s="74"/>
      <c r="BJ1176" s="77"/>
      <c r="BL1176" s="497">
        <v>21.92</v>
      </c>
      <c r="BN1176" s="42"/>
      <c r="BO1176" s="74"/>
      <c r="BP1176" s="77"/>
      <c r="BR1176" s="497">
        <v>30.02</v>
      </c>
      <c r="BT1176" s="42"/>
    </row>
    <row r="1177" spans="1:72" x14ac:dyDescent="0.25">
      <c r="A1177" s="90">
        <v>34748</v>
      </c>
      <c r="B1177" s="20">
        <v>0.29166666666666669</v>
      </c>
      <c r="D1177">
        <v>33.08</v>
      </c>
      <c r="E1177" t="str">
        <f t="shared" si="72"/>
        <v>SATURDAY</v>
      </c>
      <c r="F1177" t="e">
        <f t="shared" si="71"/>
        <v>#N/A</v>
      </c>
      <c r="G1177" s="74">
        <v>32191</v>
      </c>
      <c r="H1177" s="77">
        <v>0.29166666666666669</v>
      </c>
      <c r="J1177">
        <v>39.92</v>
      </c>
      <c r="M1177" s="74">
        <v>38035</v>
      </c>
      <c r="N1177" s="77">
        <v>0.29166666666666669</v>
      </c>
      <c r="P1177">
        <v>26.6</v>
      </c>
      <c r="S1177" s="74">
        <v>34748</v>
      </c>
      <c r="T1177" s="77">
        <v>0.29166666666666669</v>
      </c>
      <c r="V1177">
        <v>30.92</v>
      </c>
      <c r="X1177" s="42"/>
      <c r="AB1177">
        <v>31.4</v>
      </c>
      <c r="AC1177">
        <v>28.04</v>
      </c>
      <c r="AE1177" s="74"/>
      <c r="AF1177" s="77"/>
      <c r="AH1177" s="497">
        <v>18.86</v>
      </c>
      <c r="AJ1177" s="42"/>
      <c r="AK1177" s="74"/>
      <c r="AL1177" s="77"/>
      <c r="AN1177" s="497">
        <v>23</v>
      </c>
      <c r="AP1177" s="42"/>
      <c r="AQ1177" s="74"/>
      <c r="AR1177" s="77"/>
      <c r="AT1177" s="497">
        <v>33.08</v>
      </c>
      <c r="AV1177" s="42"/>
      <c r="AW1177" s="74"/>
      <c r="AX1177" s="77"/>
      <c r="BA1177" s="497">
        <v>23</v>
      </c>
      <c r="BB1177" s="42"/>
      <c r="BC1177" s="74"/>
      <c r="BD1177" s="77"/>
      <c r="BF1177">
        <v>28.94</v>
      </c>
      <c r="BH1177" s="42"/>
      <c r="BI1177" s="74"/>
      <c r="BJ1177" s="77"/>
      <c r="BL1177" s="497">
        <v>21.92</v>
      </c>
      <c r="BN1177" s="42"/>
      <c r="BO1177" s="74"/>
      <c r="BP1177" s="77"/>
      <c r="BR1177" s="497">
        <v>30.02</v>
      </c>
      <c r="BT1177" s="42"/>
    </row>
    <row r="1178" spans="1:72" x14ac:dyDescent="0.25">
      <c r="A1178" s="90">
        <v>34748</v>
      </c>
      <c r="B1178" s="20">
        <v>0.33333333333333331</v>
      </c>
      <c r="D1178">
        <v>35.96</v>
      </c>
      <c r="E1178" t="str">
        <f t="shared" si="72"/>
        <v>SATURDAY</v>
      </c>
      <c r="F1178" t="e">
        <f t="shared" si="71"/>
        <v>#N/A</v>
      </c>
      <c r="G1178" s="74">
        <v>32191</v>
      </c>
      <c r="H1178" s="77">
        <v>0.33333333333333331</v>
      </c>
      <c r="J1178">
        <v>41</v>
      </c>
      <c r="M1178" s="74">
        <v>38035</v>
      </c>
      <c r="N1178" s="77">
        <v>0.33333333333333331</v>
      </c>
      <c r="P1178">
        <v>26.6</v>
      </c>
      <c r="S1178" s="74">
        <v>34748</v>
      </c>
      <c r="T1178" s="77">
        <v>0.33333333333333331</v>
      </c>
      <c r="V1178">
        <v>33.979999999999997</v>
      </c>
      <c r="X1178" s="42"/>
      <c r="AB1178">
        <v>31.4</v>
      </c>
      <c r="AC1178">
        <v>28.94</v>
      </c>
      <c r="AE1178" s="74"/>
      <c r="AF1178" s="77"/>
      <c r="AH1178" s="497">
        <v>21.92</v>
      </c>
      <c r="AJ1178" s="42"/>
      <c r="AK1178" s="74"/>
      <c r="AL1178" s="77"/>
      <c r="AN1178" s="497">
        <v>23</v>
      </c>
      <c r="AP1178" s="42"/>
      <c r="AQ1178" s="74"/>
      <c r="AR1178" s="77"/>
      <c r="AT1178" s="497">
        <v>33.08</v>
      </c>
      <c r="AV1178" s="42"/>
      <c r="AW1178" s="74"/>
      <c r="AX1178" s="77"/>
      <c r="BA1178" s="497">
        <v>21.92</v>
      </c>
      <c r="BB1178" s="42"/>
      <c r="BC1178" s="74"/>
      <c r="BD1178" s="77"/>
      <c r="BF1178">
        <v>28.94</v>
      </c>
      <c r="BH1178" s="42"/>
      <c r="BI1178" s="74"/>
      <c r="BJ1178" s="77"/>
      <c r="BL1178" s="497">
        <v>23</v>
      </c>
      <c r="BN1178" s="42"/>
      <c r="BO1178" s="74"/>
      <c r="BP1178" s="77"/>
      <c r="BR1178" s="497">
        <v>28.94</v>
      </c>
      <c r="BT1178" s="42"/>
    </row>
    <row r="1179" spans="1:72" x14ac:dyDescent="0.25">
      <c r="A1179" s="90">
        <v>34748</v>
      </c>
      <c r="B1179" s="20">
        <v>0.375</v>
      </c>
      <c r="D1179">
        <v>37.94</v>
      </c>
      <c r="E1179" t="str">
        <f t="shared" si="72"/>
        <v>SATURDAY</v>
      </c>
      <c r="F1179" t="e">
        <f t="shared" si="71"/>
        <v>#N/A</v>
      </c>
      <c r="G1179" s="74">
        <v>32191</v>
      </c>
      <c r="H1179" s="77">
        <v>0.375</v>
      </c>
      <c r="J1179">
        <v>42.08</v>
      </c>
      <c r="M1179" s="74">
        <v>38035</v>
      </c>
      <c r="N1179" s="77">
        <v>0.375</v>
      </c>
      <c r="P1179">
        <v>28.4</v>
      </c>
      <c r="S1179" s="74">
        <v>34748</v>
      </c>
      <c r="T1179" s="77">
        <v>0.375</v>
      </c>
      <c r="V1179">
        <v>41</v>
      </c>
      <c r="X1179" s="42"/>
      <c r="AB1179">
        <v>32.6</v>
      </c>
      <c r="AC1179">
        <v>30.92</v>
      </c>
      <c r="AE1179" s="74"/>
      <c r="AF1179" s="77"/>
      <c r="AH1179" s="497">
        <v>23.9</v>
      </c>
      <c r="AJ1179" s="42"/>
      <c r="AK1179" s="74"/>
      <c r="AL1179" s="77"/>
      <c r="AN1179" s="497">
        <v>24.08</v>
      </c>
      <c r="AP1179" s="42"/>
      <c r="AQ1179" s="74"/>
      <c r="AR1179" s="77"/>
      <c r="AT1179" s="497">
        <v>33.979999999999997</v>
      </c>
      <c r="AV1179" s="42"/>
      <c r="AW1179" s="74"/>
      <c r="AX1179" s="77"/>
      <c r="BA1179" s="497">
        <v>24.98</v>
      </c>
      <c r="BB1179" s="42"/>
      <c r="BC1179" s="74"/>
      <c r="BD1179" s="77"/>
      <c r="BF1179">
        <v>30.02</v>
      </c>
      <c r="BH1179" s="42"/>
      <c r="BI1179" s="74"/>
      <c r="BJ1179" s="77"/>
      <c r="BL1179" s="497">
        <v>28.04</v>
      </c>
      <c r="BN1179" s="42"/>
      <c r="BO1179" s="74"/>
      <c r="BP1179" s="77"/>
      <c r="BR1179" s="497">
        <v>30.92</v>
      </c>
      <c r="BT1179" s="42"/>
    </row>
    <row r="1180" spans="1:72" x14ac:dyDescent="0.25">
      <c r="A1180" s="90">
        <v>34748</v>
      </c>
      <c r="B1180" s="20">
        <v>0.41666666666666669</v>
      </c>
      <c r="D1180">
        <v>42.08</v>
      </c>
      <c r="E1180" t="str">
        <f t="shared" si="72"/>
        <v>SATURDAY</v>
      </c>
      <c r="F1180" t="e">
        <f t="shared" si="71"/>
        <v>#N/A</v>
      </c>
      <c r="G1180" s="74">
        <v>32191</v>
      </c>
      <c r="H1180" s="77">
        <v>0.41666666666666669</v>
      </c>
      <c r="J1180">
        <v>42.980000000000004</v>
      </c>
      <c r="M1180" s="74">
        <v>38035</v>
      </c>
      <c r="N1180" s="77">
        <v>0.41666666666666669</v>
      </c>
      <c r="P1180">
        <v>32</v>
      </c>
      <c r="S1180" s="74">
        <v>34748</v>
      </c>
      <c r="T1180" s="77">
        <v>0.41666666666666669</v>
      </c>
      <c r="V1180">
        <v>42.980000000000004</v>
      </c>
      <c r="X1180" s="42"/>
      <c r="AB1180">
        <v>34.299999999999997</v>
      </c>
      <c r="AC1180">
        <v>32</v>
      </c>
      <c r="AE1180" s="74"/>
      <c r="AF1180" s="77"/>
      <c r="AH1180" s="497">
        <v>26.96</v>
      </c>
      <c r="AJ1180" s="42"/>
      <c r="AK1180" s="74"/>
      <c r="AL1180" s="77"/>
      <c r="AN1180" s="497">
        <v>26.060000000000002</v>
      </c>
      <c r="AP1180" s="42"/>
      <c r="AQ1180" s="74"/>
      <c r="AR1180" s="77"/>
      <c r="AT1180" s="497">
        <v>35.06</v>
      </c>
      <c r="AV1180" s="42"/>
      <c r="AW1180" s="74"/>
      <c r="AX1180" s="77"/>
      <c r="BA1180" s="497">
        <v>28.04</v>
      </c>
      <c r="BB1180" s="42"/>
      <c r="BC1180" s="74"/>
      <c r="BD1180" s="77"/>
      <c r="BF1180">
        <v>30.92</v>
      </c>
      <c r="BH1180" s="42"/>
      <c r="BI1180" s="74"/>
      <c r="BJ1180" s="77"/>
      <c r="BL1180" s="497">
        <v>33.08</v>
      </c>
      <c r="BN1180" s="42"/>
      <c r="BO1180" s="74"/>
      <c r="BP1180" s="77"/>
      <c r="BR1180" s="497">
        <v>32</v>
      </c>
      <c r="BT1180" s="42"/>
    </row>
    <row r="1181" spans="1:72" x14ac:dyDescent="0.25">
      <c r="A1181" s="90">
        <v>34748</v>
      </c>
      <c r="B1181" s="20">
        <v>0.45833333333333331</v>
      </c>
      <c r="D1181">
        <v>42.980000000000004</v>
      </c>
      <c r="E1181" t="str">
        <f t="shared" si="72"/>
        <v>SATURDAY</v>
      </c>
      <c r="F1181" t="e">
        <f t="shared" si="71"/>
        <v>#N/A</v>
      </c>
      <c r="G1181" s="74">
        <v>32191</v>
      </c>
      <c r="H1181" s="77">
        <v>0.45833333333333331</v>
      </c>
      <c r="J1181">
        <v>44.96</v>
      </c>
      <c r="M1181" s="74">
        <v>38035</v>
      </c>
      <c r="N1181" s="77">
        <v>0.45833333333333331</v>
      </c>
      <c r="P1181">
        <v>33.799999999999997</v>
      </c>
      <c r="S1181" s="74">
        <v>34748</v>
      </c>
      <c r="T1181" s="77">
        <v>0.45833333333333331</v>
      </c>
      <c r="V1181">
        <v>44.06</v>
      </c>
      <c r="X1181" s="42"/>
      <c r="AB1181">
        <v>35.799999999999997</v>
      </c>
      <c r="AC1181">
        <v>30.02</v>
      </c>
      <c r="AE1181" s="74"/>
      <c r="AF1181" s="77"/>
      <c r="AH1181" s="497">
        <v>27.86</v>
      </c>
      <c r="AJ1181" s="42"/>
      <c r="AK1181" s="74"/>
      <c r="AL1181" s="77"/>
      <c r="AN1181" s="497">
        <v>26.96</v>
      </c>
      <c r="AP1181" s="42"/>
      <c r="AQ1181" s="74"/>
      <c r="AR1181" s="77"/>
      <c r="AT1181" s="497">
        <v>35.96</v>
      </c>
      <c r="AV1181" s="42"/>
      <c r="AW1181" s="74"/>
      <c r="AX1181" s="77"/>
      <c r="BA1181" s="497">
        <v>30.02</v>
      </c>
      <c r="BB1181" s="42"/>
      <c r="BC1181" s="74"/>
      <c r="BD1181" s="77"/>
      <c r="BF1181">
        <v>32</v>
      </c>
      <c r="BH1181" s="42"/>
      <c r="BI1181" s="74"/>
      <c r="BJ1181" s="77"/>
      <c r="BL1181" s="497">
        <v>35.96</v>
      </c>
      <c r="BN1181" s="42"/>
      <c r="BO1181" s="74"/>
      <c r="BP1181" s="77"/>
      <c r="BR1181" s="497">
        <v>33.979999999999997</v>
      </c>
      <c r="BT1181" s="42"/>
    </row>
    <row r="1182" spans="1:72" x14ac:dyDescent="0.25">
      <c r="A1182" s="90">
        <v>34748</v>
      </c>
      <c r="B1182" s="20">
        <v>0.5</v>
      </c>
      <c r="D1182">
        <v>44.06</v>
      </c>
      <c r="E1182" t="str">
        <f t="shared" si="72"/>
        <v>SATURDAY</v>
      </c>
      <c r="F1182" t="e">
        <f t="shared" si="71"/>
        <v>#N/A</v>
      </c>
      <c r="G1182" s="74">
        <v>32191</v>
      </c>
      <c r="H1182" s="77">
        <v>0.5</v>
      </c>
      <c r="J1182">
        <v>46.94</v>
      </c>
      <c r="M1182" s="74">
        <v>38035</v>
      </c>
      <c r="N1182" s="77">
        <v>0.5</v>
      </c>
      <c r="P1182">
        <v>35.6</v>
      </c>
      <c r="S1182" s="74">
        <v>34748</v>
      </c>
      <c r="T1182" s="77">
        <v>0.5</v>
      </c>
      <c r="V1182">
        <v>46.04</v>
      </c>
      <c r="X1182" s="42"/>
      <c r="AB1182">
        <v>37.200000000000003</v>
      </c>
      <c r="AC1182">
        <v>28.94</v>
      </c>
      <c r="AE1182" s="74"/>
      <c r="AF1182" s="77"/>
      <c r="AH1182" s="497">
        <v>27.86</v>
      </c>
      <c r="AJ1182" s="42"/>
      <c r="AK1182" s="74"/>
      <c r="AL1182" s="77"/>
      <c r="AN1182" s="497">
        <v>28.94</v>
      </c>
      <c r="AP1182" s="42"/>
      <c r="AQ1182" s="74"/>
      <c r="AR1182" s="77"/>
      <c r="AT1182" s="497">
        <v>37.94</v>
      </c>
      <c r="AV1182" s="42"/>
      <c r="AW1182" s="74"/>
      <c r="AX1182" s="77"/>
      <c r="BA1182" s="497">
        <v>33.08</v>
      </c>
      <c r="BB1182" s="42"/>
      <c r="BC1182" s="74"/>
      <c r="BD1182" s="77"/>
      <c r="BF1182">
        <v>33.979999999999997</v>
      </c>
      <c r="BH1182" s="42"/>
      <c r="BI1182" s="74"/>
      <c r="BJ1182" s="77"/>
      <c r="BL1182" s="497">
        <v>37.04</v>
      </c>
      <c r="BN1182" s="42"/>
      <c r="BO1182" s="74"/>
      <c r="BP1182" s="77"/>
      <c r="BR1182" s="497">
        <v>35.96</v>
      </c>
      <c r="BT1182" s="42"/>
    </row>
    <row r="1183" spans="1:72" x14ac:dyDescent="0.25">
      <c r="A1183" s="90">
        <v>34748</v>
      </c>
      <c r="B1183" s="20">
        <v>0.54166666666666663</v>
      </c>
      <c r="D1183">
        <v>46.04</v>
      </c>
      <c r="E1183" t="str">
        <f t="shared" si="72"/>
        <v>SATURDAY</v>
      </c>
      <c r="F1183" t="e">
        <f t="shared" si="71"/>
        <v>#N/A</v>
      </c>
      <c r="G1183" s="74">
        <v>32191</v>
      </c>
      <c r="H1183" s="77">
        <v>0.54166666666666663</v>
      </c>
      <c r="J1183">
        <v>48.019999999999996</v>
      </c>
      <c r="M1183" s="74">
        <v>38035</v>
      </c>
      <c r="N1183" s="77">
        <v>0.54166666666666663</v>
      </c>
      <c r="P1183">
        <v>37.4</v>
      </c>
      <c r="S1183" s="74">
        <v>34748</v>
      </c>
      <c r="T1183" s="77">
        <v>0.54166666666666663</v>
      </c>
      <c r="V1183">
        <v>44.06</v>
      </c>
      <c r="X1183" s="42"/>
      <c r="AB1183">
        <v>38.299999999999997</v>
      </c>
      <c r="AC1183">
        <v>30.92</v>
      </c>
      <c r="AE1183" s="74"/>
      <c r="AF1183" s="77"/>
      <c r="AH1183" s="497">
        <v>27.86</v>
      </c>
      <c r="AJ1183" s="42"/>
      <c r="AK1183" s="74"/>
      <c r="AL1183" s="77"/>
      <c r="AN1183" s="497">
        <v>32</v>
      </c>
      <c r="AP1183" s="42"/>
      <c r="AQ1183" s="74"/>
      <c r="AR1183" s="77"/>
      <c r="AT1183" s="497">
        <v>37.94</v>
      </c>
      <c r="AV1183" s="42"/>
      <c r="AW1183" s="74"/>
      <c r="AX1183" s="77"/>
      <c r="BA1183" s="497">
        <v>33.979999999999997</v>
      </c>
      <c r="BB1183" s="42"/>
      <c r="BC1183" s="74"/>
      <c r="BD1183" s="77"/>
      <c r="BF1183">
        <v>35.06</v>
      </c>
      <c r="BH1183" s="42"/>
      <c r="BI1183" s="74"/>
      <c r="BJ1183" s="77"/>
      <c r="BL1183" s="497">
        <v>39.019999999999996</v>
      </c>
      <c r="BN1183" s="42"/>
      <c r="BO1183" s="74"/>
      <c r="BP1183" s="77"/>
      <c r="BR1183" s="497">
        <v>35.96</v>
      </c>
      <c r="BT1183" s="42"/>
    </row>
    <row r="1184" spans="1:72" x14ac:dyDescent="0.25">
      <c r="A1184" s="90">
        <v>34748</v>
      </c>
      <c r="B1184" s="20">
        <v>0.58333333333333337</v>
      </c>
      <c r="D1184">
        <v>48.92</v>
      </c>
      <c r="E1184" t="str">
        <f t="shared" si="72"/>
        <v>SATURDAY</v>
      </c>
      <c r="F1184" t="e">
        <f t="shared" si="71"/>
        <v>#N/A</v>
      </c>
      <c r="G1184" s="74">
        <v>32191</v>
      </c>
      <c r="H1184" s="77">
        <v>0.58333333333333337</v>
      </c>
      <c r="J1184">
        <v>48.92</v>
      </c>
      <c r="M1184" s="74">
        <v>38035</v>
      </c>
      <c r="N1184" s="77">
        <v>0.58333333333333337</v>
      </c>
      <c r="P1184">
        <v>39.200000000000003</v>
      </c>
      <c r="S1184" s="74">
        <v>34748</v>
      </c>
      <c r="T1184" s="77">
        <v>0.58333333333333337</v>
      </c>
      <c r="V1184">
        <v>44.96</v>
      </c>
      <c r="X1184" s="42"/>
      <c r="AB1184">
        <v>39.200000000000003</v>
      </c>
      <c r="AC1184">
        <v>33.08</v>
      </c>
      <c r="AE1184" s="74"/>
      <c r="AF1184" s="77"/>
      <c r="AH1184" s="497">
        <v>26.96</v>
      </c>
      <c r="AJ1184" s="42"/>
      <c r="AK1184" s="74"/>
      <c r="AL1184" s="77"/>
      <c r="AN1184" s="497">
        <v>33.08</v>
      </c>
      <c r="AP1184" s="42"/>
      <c r="AQ1184" s="74"/>
      <c r="AR1184" s="77"/>
      <c r="AT1184" s="497">
        <v>39.92</v>
      </c>
      <c r="AV1184" s="42"/>
      <c r="AW1184" s="74"/>
      <c r="AX1184" s="77"/>
      <c r="BA1184" s="497">
        <v>35.06</v>
      </c>
      <c r="BB1184" s="42"/>
      <c r="BC1184" s="74"/>
      <c r="BD1184" s="77"/>
      <c r="BF1184">
        <v>37.04</v>
      </c>
      <c r="BH1184" s="42"/>
      <c r="BI1184" s="74"/>
      <c r="BJ1184" s="77"/>
      <c r="BL1184" s="497">
        <v>39.92</v>
      </c>
      <c r="BN1184" s="42"/>
      <c r="BO1184" s="74"/>
      <c r="BP1184" s="77"/>
      <c r="BR1184" s="497">
        <v>35.96</v>
      </c>
      <c r="BT1184" s="42"/>
    </row>
    <row r="1185" spans="1:72" x14ac:dyDescent="0.25">
      <c r="A1185" s="90">
        <v>34748</v>
      </c>
      <c r="B1185" s="20">
        <v>0.625</v>
      </c>
      <c r="D1185">
        <v>50</v>
      </c>
      <c r="E1185" t="str">
        <f t="shared" si="72"/>
        <v>SATURDAY</v>
      </c>
      <c r="F1185" t="e">
        <f t="shared" si="71"/>
        <v>#N/A</v>
      </c>
      <c r="G1185" s="74">
        <v>32191</v>
      </c>
      <c r="H1185" s="77">
        <v>0.625</v>
      </c>
      <c r="J1185">
        <v>48.92</v>
      </c>
      <c r="M1185" s="74">
        <v>38035</v>
      </c>
      <c r="N1185" s="77">
        <v>0.625</v>
      </c>
      <c r="P1185">
        <v>39.200000000000003</v>
      </c>
      <c r="S1185" s="74">
        <v>34748</v>
      </c>
      <c r="T1185" s="77">
        <v>0.625</v>
      </c>
      <c r="V1185">
        <v>44.06</v>
      </c>
      <c r="X1185" s="42"/>
      <c r="AB1185">
        <v>39.799999999999997</v>
      </c>
      <c r="AC1185">
        <v>33.979999999999997</v>
      </c>
      <c r="AE1185" s="74"/>
      <c r="AF1185" s="77"/>
      <c r="AH1185" s="497">
        <v>26.96</v>
      </c>
      <c r="AJ1185" s="42"/>
      <c r="AK1185" s="74"/>
      <c r="AL1185" s="77"/>
      <c r="AN1185" s="497">
        <v>33.979999999999997</v>
      </c>
      <c r="AP1185" s="42"/>
      <c r="AQ1185" s="74"/>
      <c r="AR1185" s="77"/>
      <c r="AT1185" s="497">
        <v>39.92</v>
      </c>
      <c r="AV1185" s="42"/>
      <c r="AW1185" s="74"/>
      <c r="AX1185" s="77"/>
      <c r="BA1185" s="497">
        <v>35.06</v>
      </c>
      <c r="BB1185" s="42"/>
      <c r="BC1185" s="74"/>
      <c r="BD1185" s="77"/>
      <c r="BF1185">
        <v>37.04</v>
      </c>
      <c r="BH1185" s="42"/>
      <c r="BI1185" s="74"/>
      <c r="BJ1185" s="77"/>
      <c r="BL1185" s="497">
        <v>41</v>
      </c>
      <c r="BN1185" s="42"/>
      <c r="BO1185" s="74"/>
      <c r="BP1185" s="77"/>
      <c r="BR1185" s="497">
        <v>37.04</v>
      </c>
      <c r="BT1185" s="42"/>
    </row>
    <row r="1186" spans="1:72" x14ac:dyDescent="0.25">
      <c r="A1186" s="90">
        <v>34748</v>
      </c>
      <c r="B1186" s="20">
        <v>0.66666666666666663</v>
      </c>
      <c r="D1186">
        <v>48.92</v>
      </c>
      <c r="E1186" t="str">
        <f t="shared" si="72"/>
        <v>SATURDAY</v>
      </c>
      <c r="F1186" t="e">
        <f t="shared" si="71"/>
        <v>#N/A</v>
      </c>
      <c r="G1186" s="74">
        <v>32191</v>
      </c>
      <c r="H1186" s="77">
        <v>0.66666666666666663</v>
      </c>
      <c r="J1186">
        <v>48.019999999999996</v>
      </c>
      <c r="M1186" s="74">
        <v>38035</v>
      </c>
      <c r="N1186" s="77">
        <v>0.66666666666666663</v>
      </c>
      <c r="P1186">
        <v>39.200000000000003</v>
      </c>
      <c r="S1186" s="74">
        <v>34748</v>
      </c>
      <c r="T1186" s="77">
        <v>0.66666666666666663</v>
      </c>
      <c r="V1186">
        <v>44.06</v>
      </c>
      <c r="X1186" s="42"/>
      <c r="AB1186">
        <v>39.9</v>
      </c>
      <c r="AC1186">
        <v>33.979999999999997</v>
      </c>
      <c r="AE1186" s="74"/>
      <c r="AF1186" s="77"/>
      <c r="AH1186" s="497">
        <v>25.88</v>
      </c>
      <c r="AJ1186" s="42"/>
      <c r="AK1186" s="74"/>
      <c r="AL1186" s="77"/>
      <c r="AN1186" s="497">
        <v>35.96</v>
      </c>
      <c r="AP1186" s="42"/>
      <c r="AQ1186" s="74"/>
      <c r="AR1186" s="77"/>
      <c r="AT1186" s="497">
        <v>39.92</v>
      </c>
      <c r="AV1186" s="42"/>
      <c r="AW1186" s="74"/>
      <c r="AX1186" s="77"/>
      <c r="BA1186" s="497">
        <v>35.06</v>
      </c>
      <c r="BB1186" s="42"/>
      <c r="BC1186" s="74"/>
      <c r="BD1186" s="77"/>
      <c r="BF1186">
        <v>35.96</v>
      </c>
      <c r="BH1186" s="42"/>
      <c r="BI1186" s="74"/>
      <c r="BJ1186" s="77"/>
      <c r="BL1186" s="497">
        <v>41</v>
      </c>
      <c r="BN1186" s="42"/>
      <c r="BO1186" s="74"/>
      <c r="BP1186" s="77"/>
      <c r="BR1186" s="497">
        <v>37.04</v>
      </c>
      <c r="BT1186" s="42"/>
    </row>
    <row r="1187" spans="1:72" x14ac:dyDescent="0.25">
      <c r="A1187" s="90">
        <v>34748</v>
      </c>
      <c r="B1187" s="20">
        <v>0.70833333333333337</v>
      </c>
      <c r="D1187">
        <v>46.94</v>
      </c>
      <c r="E1187" t="str">
        <f t="shared" si="72"/>
        <v>SATURDAY</v>
      </c>
      <c r="F1187" t="e">
        <f t="shared" si="71"/>
        <v>#N/A</v>
      </c>
      <c r="G1187" s="74">
        <v>32191</v>
      </c>
      <c r="H1187" s="77">
        <v>0.70833333333333337</v>
      </c>
      <c r="J1187">
        <v>48.019999999999996</v>
      </c>
      <c r="M1187" s="74">
        <v>38035</v>
      </c>
      <c r="N1187" s="77">
        <v>0.70833333333333337</v>
      </c>
      <c r="P1187">
        <v>37.4</v>
      </c>
      <c r="S1187" s="74">
        <v>34748</v>
      </c>
      <c r="T1187" s="77">
        <v>0.70833333333333337</v>
      </c>
      <c r="V1187">
        <v>42.08</v>
      </c>
      <c r="X1187" s="42"/>
      <c r="AB1187">
        <v>39.5</v>
      </c>
      <c r="AC1187">
        <v>35.06</v>
      </c>
      <c r="AE1187" s="74"/>
      <c r="AF1187" s="77"/>
      <c r="AH1187" s="497">
        <v>23.9</v>
      </c>
      <c r="AJ1187" s="42"/>
      <c r="AK1187" s="74"/>
      <c r="AL1187" s="77"/>
      <c r="AN1187" s="497">
        <v>33.08</v>
      </c>
      <c r="AP1187" s="42"/>
      <c r="AQ1187" s="74"/>
      <c r="AR1187" s="77"/>
      <c r="AT1187" s="497">
        <v>41</v>
      </c>
      <c r="AV1187" s="42"/>
      <c r="AW1187" s="74"/>
      <c r="AX1187" s="77"/>
      <c r="BA1187" s="497">
        <v>33.979999999999997</v>
      </c>
      <c r="BB1187" s="42"/>
      <c r="BC1187" s="74"/>
      <c r="BD1187" s="77"/>
      <c r="BF1187">
        <v>33.979999999999997</v>
      </c>
      <c r="BH1187" s="42"/>
      <c r="BI1187" s="74"/>
      <c r="BJ1187" s="77"/>
      <c r="BL1187" s="497">
        <v>39.92</v>
      </c>
      <c r="BN1187" s="42"/>
      <c r="BO1187" s="74"/>
      <c r="BP1187" s="77"/>
      <c r="BR1187" s="497">
        <v>35.96</v>
      </c>
      <c r="BT1187" s="42"/>
    </row>
    <row r="1188" spans="1:72" x14ac:dyDescent="0.25">
      <c r="A1188" s="90">
        <v>34748</v>
      </c>
      <c r="B1188" s="20">
        <v>0.75</v>
      </c>
      <c r="D1188">
        <v>44.06</v>
      </c>
      <c r="E1188" t="str">
        <f t="shared" si="72"/>
        <v>SATURDAY</v>
      </c>
      <c r="F1188" t="e">
        <f t="shared" si="71"/>
        <v>#N/A</v>
      </c>
      <c r="G1188" s="74">
        <v>32191</v>
      </c>
      <c r="H1188" s="77">
        <v>0.75</v>
      </c>
      <c r="J1188">
        <v>44.96</v>
      </c>
      <c r="M1188" s="74">
        <v>38035</v>
      </c>
      <c r="N1188" s="77">
        <v>0.75</v>
      </c>
      <c r="P1188">
        <v>35.24</v>
      </c>
      <c r="S1188" s="74">
        <v>34748</v>
      </c>
      <c r="T1188" s="77">
        <v>0.75</v>
      </c>
      <c r="V1188">
        <v>39.019999999999996</v>
      </c>
      <c r="X1188" s="42"/>
      <c r="AB1188">
        <v>38.6</v>
      </c>
      <c r="AC1188">
        <v>35.06</v>
      </c>
      <c r="AE1188" s="74"/>
      <c r="AF1188" s="77"/>
      <c r="AH1188" s="497">
        <v>21.92</v>
      </c>
      <c r="AJ1188" s="42"/>
      <c r="AK1188" s="74"/>
      <c r="AL1188" s="77"/>
      <c r="AN1188" s="497">
        <v>32</v>
      </c>
      <c r="AP1188" s="42"/>
      <c r="AQ1188" s="74"/>
      <c r="AR1188" s="77"/>
      <c r="AT1188" s="497">
        <v>35.96</v>
      </c>
      <c r="AV1188" s="42"/>
      <c r="AW1188" s="74"/>
      <c r="AX1188" s="77"/>
      <c r="BA1188" s="497">
        <v>32</v>
      </c>
      <c r="BB1188" s="42"/>
      <c r="BC1188" s="74"/>
      <c r="BD1188" s="77"/>
      <c r="BF1188">
        <v>30.92</v>
      </c>
      <c r="BH1188" s="42"/>
      <c r="BI1188" s="74"/>
      <c r="BJ1188" s="77"/>
      <c r="BL1188" s="497">
        <v>35.96</v>
      </c>
      <c r="BN1188" s="42"/>
      <c r="BO1188" s="74"/>
      <c r="BP1188" s="77"/>
      <c r="BR1188" s="497">
        <v>33.979999999999997</v>
      </c>
      <c r="BT1188" s="42"/>
    </row>
    <row r="1189" spans="1:72" x14ac:dyDescent="0.25">
      <c r="A1189" s="90">
        <v>34748</v>
      </c>
      <c r="B1189" s="20">
        <v>0.79166666666666663</v>
      </c>
      <c r="D1189">
        <v>41</v>
      </c>
      <c r="E1189" t="str">
        <f t="shared" si="72"/>
        <v>SATURDAY</v>
      </c>
      <c r="F1189" t="e">
        <f t="shared" si="71"/>
        <v>#N/A</v>
      </c>
      <c r="G1189" s="74">
        <v>32191</v>
      </c>
      <c r="H1189" s="77">
        <v>0.79166666666666663</v>
      </c>
      <c r="J1189">
        <v>44.06</v>
      </c>
      <c r="M1189" s="74">
        <v>38035</v>
      </c>
      <c r="N1189" s="77">
        <v>0.79166666666666663</v>
      </c>
      <c r="P1189">
        <v>33.44</v>
      </c>
      <c r="S1189" s="74">
        <v>34748</v>
      </c>
      <c r="T1189" s="77">
        <v>0.79166666666666663</v>
      </c>
      <c r="V1189">
        <v>37.04</v>
      </c>
      <c r="X1189" s="42"/>
      <c r="AB1189">
        <v>37.299999999999997</v>
      </c>
      <c r="AC1189">
        <v>35.06</v>
      </c>
      <c r="AE1189" s="74"/>
      <c r="AF1189" s="77"/>
      <c r="AH1189" s="497">
        <v>20.84</v>
      </c>
      <c r="AJ1189" s="42"/>
      <c r="AK1189" s="74"/>
      <c r="AL1189" s="77"/>
      <c r="AN1189" s="497">
        <v>30.92</v>
      </c>
      <c r="AP1189" s="42"/>
      <c r="AQ1189" s="74"/>
      <c r="AR1189" s="77"/>
      <c r="AT1189" s="497">
        <v>33.979999999999997</v>
      </c>
      <c r="AV1189" s="42"/>
      <c r="AW1189" s="74"/>
      <c r="AX1189" s="77"/>
      <c r="BA1189" s="497">
        <v>30.92</v>
      </c>
      <c r="BB1189" s="42"/>
      <c r="BC1189" s="74"/>
      <c r="BD1189" s="77"/>
      <c r="BF1189">
        <v>30.02</v>
      </c>
      <c r="BH1189" s="42"/>
      <c r="BI1189" s="74"/>
      <c r="BJ1189" s="77"/>
      <c r="BL1189" s="497">
        <v>33.979999999999997</v>
      </c>
      <c r="BN1189" s="42"/>
      <c r="BO1189" s="74"/>
      <c r="BP1189" s="77"/>
      <c r="BR1189" s="497">
        <v>32</v>
      </c>
      <c r="BT1189" s="42"/>
    </row>
    <row r="1190" spans="1:72" x14ac:dyDescent="0.25">
      <c r="A1190" s="90">
        <v>34748</v>
      </c>
      <c r="B1190" s="20">
        <v>0.83333333333333337</v>
      </c>
      <c r="D1190">
        <v>41</v>
      </c>
      <c r="E1190" t="str">
        <f t="shared" si="72"/>
        <v>SATURDAY</v>
      </c>
      <c r="F1190" t="e">
        <f t="shared" si="71"/>
        <v>#N/A</v>
      </c>
      <c r="G1190" s="74">
        <v>32191</v>
      </c>
      <c r="H1190" s="77">
        <v>0.83333333333333337</v>
      </c>
      <c r="J1190">
        <v>42.08</v>
      </c>
      <c r="M1190" s="74">
        <v>38035</v>
      </c>
      <c r="N1190" s="77">
        <v>0.83333333333333337</v>
      </c>
      <c r="P1190">
        <v>31.64</v>
      </c>
      <c r="S1190" s="74">
        <v>34748</v>
      </c>
      <c r="T1190" s="77">
        <v>0.83333333333333337</v>
      </c>
      <c r="V1190">
        <v>35.96</v>
      </c>
      <c r="X1190" s="42"/>
      <c r="AB1190">
        <v>36.799999999999997</v>
      </c>
      <c r="AC1190">
        <v>33.979999999999997</v>
      </c>
      <c r="AE1190" s="74"/>
      <c r="AF1190" s="77"/>
      <c r="AH1190" s="497">
        <v>19.939999999999998</v>
      </c>
      <c r="AJ1190" s="42"/>
      <c r="AK1190" s="74"/>
      <c r="AL1190" s="77"/>
      <c r="AN1190" s="497">
        <v>30.92</v>
      </c>
      <c r="AP1190" s="42"/>
      <c r="AQ1190" s="74"/>
      <c r="AR1190" s="77"/>
      <c r="AT1190" s="497">
        <v>33.979999999999997</v>
      </c>
      <c r="AV1190" s="42"/>
      <c r="AW1190" s="74"/>
      <c r="AX1190" s="77"/>
      <c r="BA1190" s="497">
        <v>30.92</v>
      </c>
      <c r="BB1190" s="42"/>
      <c r="BC1190" s="74"/>
      <c r="BD1190" s="77"/>
      <c r="BF1190">
        <v>30.92</v>
      </c>
      <c r="BH1190" s="42"/>
      <c r="BI1190" s="74"/>
      <c r="BJ1190" s="77"/>
      <c r="BL1190" s="497">
        <v>30.02</v>
      </c>
      <c r="BN1190" s="42"/>
      <c r="BO1190" s="74"/>
      <c r="BP1190" s="77"/>
      <c r="BR1190" s="497">
        <v>30.92</v>
      </c>
      <c r="BT1190" s="42"/>
    </row>
    <row r="1191" spans="1:72" x14ac:dyDescent="0.25">
      <c r="A1191" s="90">
        <v>34748</v>
      </c>
      <c r="B1191" s="20">
        <v>0.875</v>
      </c>
      <c r="D1191">
        <v>41</v>
      </c>
      <c r="E1191" t="str">
        <f t="shared" si="72"/>
        <v>SATURDAY</v>
      </c>
      <c r="F1191" t="e">
        <f t="shared" si="71"/>
        <v>#N/A</v>
      </c>
      <c r="G1191" s="74">
        <v>32191</v>
      </c>
      <c r="H1191" s="77">
        <v>0.875</v>
      </c>
      <c r="J1191">
        <v>41</v>
      </c>
      <c r="M1191" s="74">
        <v>38035</v>
      </c>
      <c r="N1191" s="77">
        <v>0.875</v>
      </c>
      <c r="P1191">
        <v>30.2</v>
      </c>
      <c r="S1191" s="74">
        <v>34748</v>
      </c>
      <c r="T1191" s="77">
        <v>0.875</v>
      </c>
      <c r="V1191">
        <v>35.06</v>
      </c>
      <c r="X1191" s="42"/>
      <c r="AB1191">
        <v>36.299999999999997</v>
      </c>
      <c r="AC1191">
        <v>33.08</v>
      </c>
      <c r="AE1191" s="74"/>
      <c r="AF1191" s="77"/>
      <c r="AH1191" s="497">
        <v>16.88</v>
      </c>
      <c r="AJ1191" s="42"/>
      <c r="AK1191" s="74"/>
      <c r="AL1191" s="77"/>
      <c r="AN1191" s="497">
        <v>30.02</v>
      </c>
      <c r="AP1191" s="42"/>
      <c r="AQ1191" s="74"/>
      <c r="AR1191" s="77"/>
      <c r="AT1191" s="497">
        <v>32</v>
      </c>
      <c r="AV1191" s="42"/>
      <c r="AW1191" s="74"/>
      <c r="AX1191" s="77"/>
      <c r="BA1191" s="497">
        <v>32</v>
      </c>
      <c r="BB1191" s="42"/>
      <c r="BC1191" s="74"/>
      <c r="BD1191" s="77"/>
      <c r="BF1191">
        <v>30.02</v>
      </c>
      <c r="BH1191" s="42"/>
      <c r="BI1191" s="74"/>
      <c r="BJ1191" s="77"/>
      <c r="BL1191" s="497">
        <v>26.96</v>
      </c>
      <c r="BN1191" s="42"/>
      <c r="BO1191" s="74"/>
      <c r="BP1191" s="77"/>
      <c r="BR1191" s="497">
        <v>30.02</v>
      </c>
      <c r="BT1191" s="42"/>
    </row>
    <row r="1192" spans="1:72" x14ac:dyDescent="0.25">
      <c r="A1192" s="90">
        <v>34748</v>
      </c>
      <c r="B1192" s="20">
        <v>0.91666666666666663</v>
      </c>
      <c r="D1192">
        <v>39.019999999999996</v>
      </c>
      <c r="E1192" t="str">
        <f t="shared" si="72"/>
        <v>SATURDAY</v>
      </c>
      <c r="F1192" t="e">
        <f t="shared" si="71"/>
        <v>#N/A</v>
      </c>
      <c r="G1192" s="74">
        <v>32191</v>
      </c>
      <c r="H1192" s="77">
        <v>0.91666666666666663</v>
      </c>
      <c r="J1192">
        <v>39.92</v>
      </c>
      <c r="M1192" s="74">
        <v>38035</v>
      </c>
      <c r="N1192" s="77">
        <v>0.91666666666666663</v>
      </c>
      <c r="P1192">
        <v>28.4</v>
      </c>
      <c r="S1192" s="74">
        <v>34748</v>
      </c>
      <c r="T1192" s="77">
        <v>0.91666666666666663</v>
      </c>
      <c r="V1192">
        <v>33.979999999999997</v>
      </c>
      <c r="X1192" s="42"/>
      <c r="AB1192">
        <v>35.700000000000003</v>
      </c>
      <c r="AC1192">
        <v>33.08</v>
      </c>
      <c r="AE1192" s="74"/>
      <c r="AF1192" s="77"/>
      <c r="AH1192" s="497">
        <v>10.940000000000001</v>
      </c>
      <c r="AJ1192" s="42"/>
      <c r="AK1192" s="74"/>
      <c r="AL1192" s="77"/>
      <c r="AN1192" s="497">
        <v>30.02</v>
      </c>
      <c r="AP1192" s="42"/>
      <c r="AQ1192" s="74"/>
      <c r="AR1192" s="77"/>
      <c r="AT1192" s="497">
        <v>28.94</v>
      </c>
      <c r="AV1192" s="42"/>
      <c r="AW1192" s="74"/>
      <c r="AX1192" s="77"/>
      <c r="BA1192" s="497">
        <v>35.06</v>
      </c>
      <c r="BB1192" s="42"/>
      <c r="BC1192" s="74"/>
      <c r="BD1192" s="77"/>
      <c r="BF1192">
        <v>28.94</v>
      </c>
      <c r="BH1192" s="42"/>
      <c r="BI1192" s="74"/>
      <c r="BJ1192" s="77"/>
      <c r="BL1192" s="497">
        <v>24.98</v>
      </c>
      <c r="BN1192" s="42"/>
      <c r="BO1192" s="74"/>
      <c r="BP1192" s="77"/>
      <c r="BR1192" s="497">
        <v>30.02</v>
      </c>
      <c r="BT1192" s="42"/>
    </row>
    <row r="1193" spans="1:72" x14ac:dyDescent="0.25">
      <c r="A1193" s="90">
        <v>34748</v>
      </c>
      <c r="B1193" s="20">
        <v>0.95833333333333337</v>
      </c>
      <c r="D1193">
        <v>37.04</v>
      </c>
      <c r="E1193" t="str">
        <f t="shared" si="72"/>
        <v>SATURDAY</v>
      </c>
      <c r="F1193" t="e">
        <f t="shared" si="71"/>
        <v>#N/A</v>
      </c>
      <c r="G1193" s="74">
        <v>32191</v>
      </c>
      <c r="H1193" s="77">
        <v>0.95833333333333337</v>
      </c>
      <c r="J1193">
        <v>39.019999999999996</v>
      </c>
      <c r="M1193" s="74">
        <v>38035</v>
      </c>
      <c r="N1193" s="77">
        <v>0.95833333333333337</v>
      </c>
      <c r="P1193">
        <v>28.4</v>
      </c>
      <c r="S1193" s="74">
        <v>34748</v>
      </c>
      <c r="T1193" s="77">
        <v>0.95833333333333337</v>
      </c>
      <c r="V1193">
        <v>33.08</v>
      </c>
      <c r="X1193" s="42"/>
      <c r="AB1193">
        <v>35.1</v>
      </c>
      <c r="AC1193">
        <v>30.02</v>
      </c>
      <c r="AE1193" s="74"/>
      <c r="AF1193" s="77"/>
      <c r="AH1193" s="497">
        <v>6.98</v>
      </c>
      <c r="AJ1193" s="42"/>
      <c r="AK1193" s="74"/>
      <c r="AL1193" s="77"/>
      <c r="AN1193" s="497">
        <v>30.02</v>
      </c>
      <c r="AP1193" s="42"/>
      <c r="AQ1193" s="74"/>
      <c r="AR1193" s="77"/>
      <c r="AT1193" s="497">
        <v>24.98</v>
      </c>
      <c r="AV1193" s="42"/>
      <c r="AW1193" s="74"/>
      <c r="AX1193" s="77"/>
      <c r="BA1193" s="497">
        <v>33.979999999999997</v>
      </c>
      <c r="BB1193" s="42"/>
      <c r="BC1193" s="74"/>
      <c r="BD1193" s="77"/>
      <c r="BF1193">
        <v>30.02</v>
      </c>
      <c r="BH1193" s="42"/>
      <c r="BI1193" s="74"/>
      <c r="BJ1193" s="77"/>
      <c r="BL1193" s="497">
        <v>24.08</v>
      </c>
      <c r="BN1193" s="42"/>
      <c r="BO1193" s="74"/>
      <c r="BP1193" s="77"/>
      <c r="BR1193" s="497">
        <v>30.02</v>
      </c>
      <c r="BT1193" s="42"/>
    </row>
    <row r="1194" spans="1:72" x14ac:dyDescent="0.25">
      <c r="A1194" s="90">
        <v>34748</v>
      </c>
      <c r="B1194" s="20">
        <v>1</v>
      </c>
      <c r="D1194">
        <v>37.04</v>
      </c>
      <c r="E1194" t="str">
        <f t="shared" si="72"/>
        <v>SATURDAY</v>
      </c>
      <c r="F1194" t="e">
        <f t="shared" si="71"/>
        <v>#N/A</v>
      </c>
      <c r="G1194" s="74">
        <v>32191</v>
      </c>
      <c r="H1194" s="77">
        <v>1</v>
      </c>
      <c r="J1194">
        <v>35.06</v>
      </c>
      <c r="M1194" s="74">
        <v>38035</v>
      </c>
      <c r="N1194" s="80">
        <v>1</v>
      </c>
      <c r="P1194">
        <v>28.4</v>
      </c>
      <c r="S1194" s="74">
        <v>34748</v>
      </c>
      <c r="T1194" s="80">
        <v>1</v>
      </c>
      <c r="V1194">
        <v>32</v>
      </c>
      <c r="X1194" s="42"/>
      <c r="AB1194">
        <v>34.5</v>
      </c>
      <c r="AC1194">
        <v>30.02</v>
      </c>
      <c r="AE1194" s="74"/>
      <c r="AF1194" s="80"/>
      <c r="AH1194" s="497">
        <v>3.9200000000000017</v>
      </c>
      <c r="AJ1194" s="42"/>
      <c r="AK1194" s="74"/>
      <c r="AL1194" s="80"/>
      <c r="AN1194" s="497">
        <v>28.94</v>
      </c>
      <c r="AP1194" s="42"/>
      <c r="AQ1194" s="74"/>
      <c r="AR1194" s="80"/>
      <c r="AT1194" s="497">
        <v>21.92</v>
      </c>
      <c r="AV1194" s="42"/>
      <c r="AW1194" s="74"/>
      <c r="AX1194" s="80"/>
      <c r="BA1194" s="497">
        <v>33.08</v>
      </c>
      <c r="BB1194" s="42"/>
      <c r="BC1194" s="74"/>
      <c r="BD1194" s="80"/>
      <c r="BF1194">
        <v>26.96</v>
      </c>
      <c r="BH1194" s="42"/>
      <c r="BI1194" s="74"/>
      <c r="BJ1194" s="80"/>
      <c r="BL1194" s="497">
        <v>23</v>
      </c>
      <c r="BN1194" s="42"/>
      <c r="BO1194" s="74"/>
      <c r="BP1194" s="80"/>
      <c r="BR1194" s="497">
        <v>28.94</v>
      </c>
      <c r="BT1194" s="42"/>
    </row>
    <row r="1195" spans="1:72" x14ac:dyDescent="0.25">
      <c r="A1195" s="90">
        <v>34749</v>
      </c>
      <c r="B1195" s="20">
        <v>4.1666666666666664E-2</v>
      </c>
      <c r="D1195">
        <v>35.06</v>
      </c>
      <c r="E1195" t="str">
        <f t="shared" si="72"/>
        <v>SUNDAY</v>
      </c>
      <c r="F1195" t="e">
        <f t="shared" ref="F1195:F1258" si="73">IF(E1195="WEEKDAY",VLOOKUP(B1195,$DD$19:$DG$42,2),IF(E1195="SATURDAY",VLOOKUP(B1195,$DD$19:$DG$42,3),VLOOKUP(B1195,$DD$19:$DG$42,4)))</f>
        <v>#N/A</v>
      </c>
      <c r="G1195" s="74">
        <v>32192</v>
      </c>
      <c r="H1195" s="77">
        <v>4.1666666666666664E-2</v>
      </c>
      <c r="J1195">
        <v>33.979999999999997</v>
      </c>
      <c r="M1195" s="74">
        <v>38036</v>
      </c>
      <c r="N1195" s="77">
        <v>4.1666666666666664E-2</v>
      </c>
      <c r="P1195">
        <v>26.6</v>
      </c>
      <c r="S1195" s="74">
        <v>34749</v>
      </c>
      <c r="T1195" s="77">
        <v>4.1666666666666664E-2</v>
      </c>
      <c r="V1195">
        <v>30.92</v>
      </c>
      <c r="X1195" s="42"/>
      <c r="AB1195">
        <v>34</v>
      </c>
      <c r="AC1195">
        <v>28.94</v>
      </c>
      <c r="AE1195" s="74"/>
      <c r="AF1195" s="77"/>
      <c r="AH1195" s="497">
        <v>5</v>
      </c>
      <c r="AJ1195" s="42"/>
      <c r="AK1195" s="74"/>
      <c r="AL1195" s="77"/>
      <c r="AN1195" s="497">
        <v>28.04</v>
      </c>
      <c r="AP1195" s="42"/>
      <c r="AQ1195" s="74"/>
      <c r="AR1195" s="77"/>
      <c r="AT1195" s="497">
        <v>21.02</v>
      </c>
      <c r="AV1195" s="42"/>
      <c r="AW1195" s="74"/>
      <c r="AX1195" s="77"/>
      <c r="BA1195" s="497">
        <v>33.08</v>
      </c>
      <c r="BB1195" s="42"/>
      <c r="BC1195" s="74"/>
      <c r="BD1195" s="77"/>
      <c r="BF1195">
        <v>28.04</v>
      </c>
      <c r="BH1195" s="42"/>
      <c r="BI1195" s="74"/>
      <c r="BJ1195" s="77"/>
      <c r="BL1195" s="497">
        <v>23</v>
      </c>
      <c r="BN1195" s="42"/>
      <c r="BO1195" s="74"/>
      <c r="BP1195" s="77"/>
      <c r="BR1195" s="497">
        <v>28.04</v>
      </c>
      <c r="BT1195" s="42"/>
    </row>
    <row r="1196" spans="1:72" x14ac:dyDescent="0.25">
      <c r="A1196" s="90">
        <v>34749</v>
      </c>
      <c r="B1196" s="20">
        <v>8.3333333333333329E-2</v>
      </c>
      <c r="D1196">
        <v>33.979999999999997</v>
      </c>
      <c r="E1196" t="str">
        <f t="shared" si="72"/>
        <v>SUNDAY</v>
      </c>
      <c r="F1196" t="e">
        <f t="shared" si="73"/>
        <v>#N/A</v>
      </c>
      <c r="G1196" s="74">
        <v>32192</v>
      </c>
      <c r="H1196" s="77">
        <v>8.3333333333333329E-2</v>
      </c>
      <c r="J1196">
        <v>33.08</v>
      </c>
      <c r="M1196" s="74">
        <v>38036</v>
      </c>
      <c r="N1196" s="77">
        <v>8.3333333333333329E-2</v>
      </c>
      <c r="P1196">
        <v>24.8</v>
      </c>
      <c r="S1196" s="74">
        <v>34749</v>
      </c>
      <c r="T1196" s="77">
        <v>8.3333333333333329E-2</v>
      </c>
      <c r="V1196">
        <v>30.92</v>
      </c>
      <c r="X1196" s="42"/>
      <c r="AB1196">
        <v>33.4</v>
      </c>
      <c r="AC1196">
        <v>28.94</v>
      </c>
      <c r="AE1196" s="74"/>
      <c r="AF1196" s="77"/>
      <c r="AH1196" s="497">
        <v>5</v>
      </c>
      <c r="AJ1196" s="42"/>
      <c r="AK1196" s="74"/>
      <c r="AL1196" s="77"/>
      <c r="AN1196" s="497">
        <v>28.04</v>
      </c>
      <c r="AP1196" s="42"/>
      <c r="AQ1196" s="74"/>
      <c r="AR1196" s="77"/>
      <c r="AT1196" s="497">
        <v>19.04</v>
      </c>
      <c r="AV1196" s="42"/>
      <c r="AW1196" s="74"/>
      <c r="AX1196" s="77"/>
      <c r="BA1196" s="497">
        <v>33.08</v>
      </c>
      <c r="BB1196" s="42"/>
      <c r="BC1196" s="74"/>
      <c r="BD1196" s="77"/>
      <c r="BF1196">
        <v>24.98</v>
      </c>
      <c r="BH1196" s="42"/>
      <c r="BI1196" s="74"/>
      <c r="BJ1196" s="77"/>
      <c r="BL1196" s="497">
        <v>24.08</v>
      </c>
      <c r="BN1196" s="42"/>
      <c r="BO1196" s="74"/>
      <c r="BP1196" s="77"/>
      <c r="BR1196" s="497">
        <v>21.02</v>
      </c>
      <c r="BT1196" s="42"/>
    </row>
    <row r="1197" spans="1:72" x14ac:dyDescent="0.25">
      <c r="A1197" s="90">
        <v>34749</v>
      </c>
      <c r="B1197" s="20">
        <v>0.125</v>
      </c>
      <c r="D1197">
        <v>32</v>
      </c>
      <c r="E1197" t="str">
        <f t="shared" si="72"/>
        <v>SUNDAY</v>
      </c>
      <c r="F1197" t="e">
        <f t="shared" si="73"/>
        <v>#N/A</v>
      </c>
      <c r="G1197" s="74">
        <v>32192</v>
      </c>
      <c r="H1197" s="77">
        <v>0.125</v>
      </c>
      <c r="J1197">
        <v>32</v>
      </c>
      <c r="M1197" s="74">
        <v>38036</v>
      </c>
      <c r="N1197" s="77">
        <v>0.125</v>
      </c>
      <c r="P1197">
        <v>24.8</v>
      </c>
      <c r="S1197" s="74">
        <v>34749</v>
      </c>
      <c r="T1197" s="77">
        <v>0.125</v>
      </c>
      <c r="V1197">
        <v>28.94</v>
      </c>
      <c r="X1197" s="42"/>
      <c r="AB1197">
        <v>32.799999999999997</v>
      </c>
      <c r="AC1197">
        <v>28.94</v>
      </c>
      <c r="AE1197" s="74"/>
      <c r="AF1197" s="77"/>
      <c r="AH1197" s="497">
        <v>5</v>
      </c>
      <c r="AJ1197" s="42"/>
      <c r="AK1197" s="74"/>
      <c r="AL1197" s="77"/>
      <c r="AN1197" s="497">
        <v>26.96</v>
      </c>
      <c r="AP1197" s="42"/>
      <c r="AQ1197" s="74"/>
      <c r="AR1197" s="77"/>
      <c r="AT1197" s="497">
        <v>15.98</v>
      </c>
      <c r="AV1197" s="42"/>
      <c r="AW1197" s="74"/>
      <c r="AX1197" s="77"/>
      <c r="BA1197" s="497">
        <v>33.08</v>
      </c>
      <c r="BB1197" s="42"/>
      <c r="BC1197" s="74"/>
      <c r="BD1197" s="77"/>
      <c r="BF1197">
        <v>24.98</v>
      </c>
      <c r="BH1197" s="42"/>
      <c r="BI1197" s="74"/>
      <c r="BJ1197" s="77"/>
      <c r="BL1197" s="497">
        <v>21.92</v>
      </c>
      <c r="BN1197" s="42"/>
      <c r="BO1197" s="74"/>
      <c r="BP1197" s="77"/>
      <c r="BR1197" s="497">
        <v>17.059999999999999</v>
      </c>
      <c r="BT1197" s="42"/>
    </row>
    <row r="1198" spans="1:72" x14ac:dyDescent="0.25">
      <c r="A1198" s="90">
        <v>34749</v>
      </c>
      <c r="B1198" s="20">
        <v>0.16666666666666666</v>
      </c>
      <c r="D1198">
        <v>32</v>
      </c>
      <c r="E1198" t="str">
        <f t="shared" si="72"/>
        <v>SUNDAY</v>
      </c>
      <c r="F1198" t="e">
        <f t="shared" si="73"/>
        <v>#N/A</v>
      </c>
      <c r="G1198" s="74">
        <v>32192</v>
      </c>
      <c r="H1198" s="77">
        <v>0.16666666666666666</v>
      </c>
      <c r="J1198">
        <v>32</v>
      </c>
      <c r="M1198" s="74">
        <v>38036</v>
      </c>
      <c r="N1198" s="77">
        <v>0.16666666666666666</v>
      </c>
      <c r="P1198">
        <v>24.8</v>
      </c>
      <c r="S1198" s="74">
        <v>34749</v>
      </c>
      <c r="T1198" s="77">
        <v>0.16666666666666666</v>
      </c>
      <c r="V1198">
        <v>28.94</v>
      </c>
      <c r="X1198" s="42"/>
      <c r="AB1198">
        <v>32.299999999999997</v>
      </c>
      <c r="AC1198">
        <v>30.02</v>
      </c>
      <c r="AE1198" s="74"/>
      <c r="AF1198" s="77"/>
      <c r="AH1198" s="497">
        <v>3.9200000000000017</v>
      </c>
      <c r="AJ1198" s="42"/>
      <c r="AK1198" s="74"/>
      <c r="AL1198" s="77"/>
      <c r="AN1198" s="497">
        <v>26.060000000000002</v>
      </c>
      <c r="AP1198" s="42"/>
      <c r="AQ1198" s="74"/>
      <c r="AR1198" s="77"/>
      <c r="AT1198" s="497">
        <v>15.98</v>
      </c>
      <c r="AV1198" s="42"/>
      <c r="AW1198" s="74"/>
      <c r="AX1198" s="77"/>
      <c r="BA1198" s="497">
        <v>30.92</v>
      </c>
      <c r="BB1198" s="42"/>
      <c r="BC1198" s="74"/>
      <c r="BD1198" s="77"/>
      <c r="BF1198">
        <v>26.96</v>
      </c>
      <c r="BH1198" s="42"/>
      <c r="BI1198" s="74"/>
      <c r="BJ1198" s="77"/>
      <c r="BL1198" s="497">
        <v>24.08</v>
      </c>
      <c r="BN1198" s="42"/>
      <c r="BO1198" s="74"/>
      <c r="BP1198" s="77"/>
      <c r="BR1198" s="497">
        <v>28.04</v>
      </c>
      <c r="BT1198" s="42"/>
    </row>
    <row r="1199" spans="1:72" x14ac:dyDescent="0.25">
      <c r="A1199" s="90">
        <v>34749</v>
      </c>
      <c r="B1199" s="20">
        <v>0.20833333333333334</v>
      </c>
      <c r="D1199">
        <v>30.92</v>
      </c>
      <c r="E1199" t="str">
        <f t="shared" si="72"/>
        <v>SUNDAY</v>
      </c>
      <c r="F1199" t="e">
        <f t="shared" si="73"/>
        <v>#N/A</v>
      </c>
      <c r="G1199" s="74">
        <v>32192</v>
      </c>
      <c r="H1199" s="77">
        <v>0.20833333333333334</v>
      </c>
      <c r="J1199">
        <v>32</v>
      </c>
      <c r="M1199" s="74">
        <v>38036</v>
      </c>
      <c r="N1199" s="77">
        <v>0.20833333333333334</v>
      </c>
      <c r="P1199">
        <v>24.8</v>
      </c>
      <c r="S1199" s="74">
        <v>34749</v>
      </c>
      <c r="T1199" s="77">
        <v>0.20833333333333334</v>
      </c>
      <c r="V1199">
        <v>28.94</v>
      </c>
      <c r="X1199" s="42"/>
      <c r="AB1199">
        <v>32</v>
      </c>
      <c r="AC1199">
        <v>28.94</v>
      </c>
      <c r="AE1199" s="74"/>
      <c r="AF1199" s="77"/>
      <c r="AH1199" s="497">
        <v>0.85999999999999943</v>
      </c>
      <c r="AJ1199" s="42"/>
      <c r="AK1199" s="74"/>
      <c r="AL1199" s="77"/>
      <c r="AN1199" s="497">
        <v>26.060000000000002</v>
      </c>
      <c r="AP1199" s="42"/>
      <c r="AQ1199" s="74"/>
      <c r="AR1199" s="77"/>
      <c r="AT1199" s="497">
        <v>15.98</v>
      </c>
      <c r="AV1199" s="42"/>
      <c r="AW1199" s="74"/>
      <c r="AX1199" s="77"/>
      <c r="BA1199" s="497">
        <v>30.02</v>
      </c>
      <c r="BB1199" s="42"/>
      <c r="BC1199" s="74"/>
      <c r="BD1199" s="77"/>
      <c r="BF1199">
        <v>26.96</v>
      </c>
      <c r="BH1199" s="42"/>
      <c r="BI1199" s="74"/>
      <c r="BJ1199" s="77"/>
      <c r="BL1199" s="497">
        <v>21.92</v>
      </c>
      <c r="BN1199" s="42"/>
      <c r="BO1199" s="74"/>
      <c r="BP1199" s="77"/>
      <c r="BR1199" s="497">
        <v>26.060000000000002</v>
      </c>
      <c r="BT1199" s="42"/>
    </row>
    <row r="1200" spans="1:72" x14ac:dyDescent="0.25">
      <c r="A1200" s="90">
        <v>34749</v>
      </c>
      <c r="B1200" s="20">
        <v>0.25</v>
      </c>
      <c r="D1200">
        <v>32</v>
      </c>
      <c r="E1200" t="str">
        <f t="shared" si="72"/>
        <v>SUNDAY</v>
      </c>
      <c r="F1200" t="e">
        <f t="shared" si="73"/>
        <v>#N/A</v>
      </c>
      <c r="G1200" s="74">
        <v>32192</v>
      </c>
      <c r="H1200" s="77">
        <v>0.25</v>
      </c>
      <c r="J1200">
        <v>32</v>
      </c>
      <c r="M1200" s="74">
        <v>38036</v>
      </c>
      <c r="N1200" s="77">
        <v>0.25</v>
      </c>
      <c r="P1200">
        <v>24.8</v>
      </c>
      <c r="S1200" s="74">
        <v>34749</v>
      </c>
      <c r="T1200" s="77">
        <v>0.25</v>
      </c>
      <c r="V1200">
        <v>28.94</v>
      </c>
      <c r="X1200" s="42"/>
      <c r="AB1200">
        <v>31.7</v>
      </c>
      <c r="AC1200">
        <v>28.94</v>
      </c>
      <c r="AE1200" s="74"/>
      <c r="AF1200" s="77"/>
      <c r="AH1200" s="497">
        <v>5</v>
      </c>
      <c r="AJ1200" s="42"/>
      <c r="AK1200" s="74"/>
      <c r="AL1200" s="77"/>
      <c r="AN1200" s="497">
        <v>26.96</v>
      </c>
      <c r="AP1200" s="42"/>
      <c r="AQ1200" s="74"/>
      <c r="AR1200" s="77"/>
      <c r="AT1200" s="497">
        <v>15.98</v>
      </c>
      <c r="AV1200" s="42"/>
      <c r="AW1200" s="74"/>
      <c r="AX1200" s="77"/>
      <c r="BA1200" s="497">
        <v>30.92</v>
      </c>
      <c r="BB1200" s="42"/>
      <c r="BC1200" s="74"/>
      <c r="BD1200" s="77"/>
      <c r="BF1200">
        <v>28.94</v>
      </c>
      <c r="BH1200" s="42"/>
      <c r="BI1200" s="74"/>
      <c r="BJ1200" s="77"/>
      <c r="BL1200" s="497">
        <v>19.939999999999998</v>
      </c>
      <c r="BN1200" s="42"/>
      <c r="BO1200" s="74"/>
      <c r="BP1200" s="77"/>
      <c r="BR1200" s="497">
        <v>24.98</v>
      </c>
      <c r="BT1200" s="42"/>
    </row>
    <row r="1201" spans="1:72" x14ac:dyDescent="0.25">
      <c r="A1201" s="90">
        <v>34749</v>
      </c>
      <c r="B1201" s="20">
        <v>0.29166666666666669</v>
      </c>
      <c r="D1201">
        <v>30.92</v>
      </c>
      <c r="E1201" t="str">
        <f t="shared" si="72"/>
        <v>SUNDAY</v>
      </c>
      <c r="F1201" t="e">
        <f t="shared" si="73"/>
        <v>#N/A</v>
      </c>
      <c r="G1201" s="74">
        <v>32192</v>
      </c>
      <c r="H1201" s="77">
        <v>0.29166666666666669</v>
      </c>
      <c r="J1201">
        <v>32</v>
      </c>
      <c r="M1201" s="74">
        <v>38036</v>
      </c>
      <c r="N1201" s="77">
        <v>0.29166666666666669</v>
      </c>
      <c r="P1201">
        <v>26.6</v>
      </c>
      <c r="S1201" s="74">
        <v>34749</v>
      </c>
      <c r="T1201" s="77">
        <v>0.29166666666666669</v>
      </c>
      <c r="V1201">
        <v>28.04</v>
      </c>
      <c r="X1201" s="42"/>
      <c r="AB1201">
        <v>31.5</v>
      </c>
      <c r="AC1201">
        <v>30.02</v>
      </c>
      <c r="AE1201" s="74"/>
      <c r="AF1201" s="77"/>
      <c r="AH1201" s="497">
        <v>-1.1199999999999974</v>
      </c>
      <c r="AJ1201" s="42"/>
      <c r="AK1201" s="74"/>
      <c r="AL1201" s="77"/>
      <c r="AN1201" s="497">
        <v>26.96</v>
      </c>
      <c r="AP1201" s="42"/>
      <c r="AQ1201" s="74"/>
      <c r="AR1201" s="77"/>
      <c r="AT1201" s="497">
        <v>14</v>
      </c>
      <c r="AV1201" s="42"/>
      <c r="AW1201" s="74"/>
      <c r="AX1201" s="77"/>
      <c r="BA1201" s="497">
        <v>32</v>
      </c>
      <c r="BB1201" s="42"/>
      <c r="BC1201" s="74"/>
      <c r="BD1201" s="77"/>
      <c r="BF1201">
        <v>28.04</v>
      </c>
      <c r="BH1201" s="42"/>
      <c r="BI1201" s="74"/>
      <c r="BJ1201" s="77"/>
      <c r="BL1201" s="497">
        <v>21.02</v>
      </c>
      <c r="BN1201" s="42"/>
      <c r="BO1201" s="74"/>
      <c r="BP1201" s="77"/>
      <c r="BR1201" s="497">
        <v>17.059999999999999</v>
      </c>
      <c r="BT1201" s="42"/>
    </row>
    <row r="1202" spans="1:72" x14ac:dyDescent="0.25">
      <c r="A1202" s="90">
        <v>34749</v>
      </c>
      <c r="B1202" s="20">
        <v>0.33333333333333331</v>
      </c>
      <c r="D1202">
        <v>33.08</v>
      </c>
      <c r="E1202" t="str">
        <f t="shared" si="72"/>
        <v>SUNDAY</v>
      </c>
      <c r="F1202" t="e">
        <f t="shared" si="73"/>
        <v>#N/A</v>
      </c>
      <c r="G1202" s="74">
        <v>32192</v>
      </c>
      <c r="H1202" s="77">
        <v>0.33333333333333331</v>
      </c>
      <c r="J1202">
        <v>33.08</v>
      </c>
      <c r="M1202" s="74">
        <v>38036</v>
      </c>
      <c r="N1202" s="77">
        <v>0.33333333333333331</v>
      </c>
      <c r="P1202">
        <v>28.4</v>
      </c>
      <c r="S1202" s="74">
        <v>34749</v>
      </c>
      <c r="T1202" s="77">
        <v>0.33333333333333331</v>
      </c>
      <c r="V1202">
        <v>32</v>
      </c>
      <c r="X1202" s="42"/>
      <c r="AB1202">
        <v>31.5</v>
      </c>
      <c r="AC1202">
        <v>30.92</v>
      </c>
      <c r="AE1202" s="74"/>
      <c r="AF1202" s="77"/>
      <c r="AH1202" s="497">
        <v>1.9400000000000013</v>
      </c>
      <c r="AJ1202" s="42"/>
      <c r="AK1202" s="74"/>
      <c r="AL1202" s="77"/>
      <c r="AN1202" s="497">
        <v>28.04</v>
      </c>
      <c r="AP1202" s="42"/>
      <c r="AQ1202" s="74"/>
      <c r="AR1202" s="77"/>
      <c r="AT1202" s="497">
        <v>17.96</v>
      </c>
      <c r="AV1202" s="42"/>
      <c r="AW1202" s="74"/>
      <c r="AX1202" s="77"/>
      <c r="BA1202" s="497">
        <v>30.92</v>
      </c>
      <c r="BB1202" s="42"/>
      <c r="BC1202" s="74"/>
      <c r="BD1202" s="77"/>
      <c r="BF1202">
        <v>30.02</v>
      </c>
      <c r="BH1202" s="42"/>
      <c r="BI1202" s="74"/>
      <c r="BJ1202" s="77"/>
      <c r="BL1202" s="497">
        <v>21.92</v>
      </c>
      <c r="BN1202" s="42"/>
      <c r="BO1202" s="74"/>
      <c r="BP1202" s="77"/>
      <c r="BR1202" s="497">
        <v>23</v>
      </c>
      <c r="BT1202" s="42"/>
    </row>
    <row r="1203" spans="1:72" x14ac:dyDescent="0.25">
      <c r="A1203" s="90">
        <v>34749</v>
      </c>
      <c r="B1203" s="20">
        <v>0.375</v>
      </c>
      <c r="D1203">
        <v>35.96</v>
      </c>
      <c r="E1203" t="str">
        <f t="shared" si="72"/>
        <v>SUNDAY</v>
      </c>
      <c r="F1203" t="e">
        <f t="shared" si="73"/>
        <v>#N/A</v>
      </c>
      <c r="G1203" s="74">
        <v>32192</v>
      </c>
      <c r="H1203" s="77">
        <v>0.375</v>
      </c>
      <c r="J1203">
        <v>35.06</v>
      </c>
      <c r="M1203" s="74">
        <v>38036</v>
      </c>
      <c r="N1203" s="77">
        <v>0.375</v>
      </c>
      <c r="P1203">
        <v>30.2</v>
      </c>
      <c r="S1203" s="74">
        <v>34749</v>
      </c>
      <c r="T1203" s="77">
        <v>0.375</v>
      </c>
      <c r="V1203">
        <v>39.019999999999996</v>
      </c>
      <c r="X1203" s="42"/>
      <c r="AB1203">
        <v>32.700000000000003</v>
      </c>
      <c r="AC1203">
        <v>30.02</v>
      </c>
      <c r="AE1203" s="74"/>
      <c r="AF1203" s="77"/>
      <c r="AH1203" s="497">
        <v>8.9599999999999973</v>
      </c>
      <c r="AJ1203" s="42"/>
      <c r="AK1203" s="74"/>
      <c r="AL1203" s="77"/>
      <c r="AN1203" s="497">
        <v>28.94</v>
      </c>
      <c r="AP1203" s="42"/>
      <c r="AQ1203" s="74"/>
      <c r="AR1203" s="77"/>
      <c r="AT1203" s="497">
        <v>23</v>
      </c>
      <c r="AV1203" s="42"/>
      <c r="AW1203" s="74"/>
      <c r="AX1203" s="77"/>
      <c r="BA1203" s="497">
        <v>32</v>
      </c>
      <c r="BB1203" s="42"/>
      <c r="BC1203" s="74"/>
      <c r="BD1203" s="77"/>
      <c r="BF1203">
        <v>35.06</v>
      </c>
      <c r="BH1203" s="42"/>
      <c r="BI1203" s="74"/>
      <c r="BJ1203" s="77"/>
      <c r="BL1203" s="497">
        <v>30.92</v>
      </c>
      <c r="BN1203" s="42"/>
      <c r="BO1203" s="74"/>
      <c r="BP1203" s="77"/>
      <c r="BR1203" s="497">
        <v>28.94</v>
      </c>
      <c r="BT1203" s="42"/>
    </row>
    <row r="1204" spans="1:72" x14ac:dyDescent="0.25">
      <c r="A1204" s="90">
        <v>34749</v>
      </c>
      <c r="B1204" s="20">
        <v>0.41666666666666669</v>
      </c>
      <c r="D1204">
        <v>39.92</v>
      </c>
      <c r="E1204" t="str">
        <f t="shared" si="72"/>
        <v>SUNDAY</v>
      </c>
      <c r="F1204" t="e">
        <f t="shared" si="73"/>
        <v>#N/A</v>
      </c>
      <c r="G1204" s="74">
        <v>32192</v>
      </c>
      <c r="H1204" s="77">
        <v>0.41666666666666669</v>
      </c>
      <c r="J1204">
        <v>35.06</v>
      </c>
      <c r="M1204" s="74">
        <v>38036</v>
      </c>
      <c r="N1204" s="77">
        <v>0.41666666666666669</v>
      </c>
      <c r="P1204">
        <v>33.799999999999997</v>
      </c>
      <c r="S1204" s="74">
        <v>34749</v>
      </c>
      <c r="T1204" s="77">
        <v>0.41666666666666669</v>
      </c>
      <c r="V1204">
        <v>44.06</v>
      </c>
      <c r="X1204" s="42"/>
      <c r="AB1204">
        <v>34.4</v>
      </c>
      <c r="AC1204">
        <v>28.94</v>
      </c>
      <c r="AE1204" s="74"/>
      <c r="AF1204" s="77"/>
      <c r="AH1204" s="497">
        <v>19.939999999999998</v>
      </c>
      <c r="AJ1204" s="42"/>
      <c r="AK1204" s="74"/>
      <c r="AL1204" s="77"/>
      <c r="AN1204" s="497">
        <v>30.02</v>
      </c>
      <c r="AP1204" s="42"/>
      <c r="AQ1204" s="74"/>
      <c r="AR1204" s="77"/>
      <c r="AT1204" s="497">
        <v>30.02</v>
      </c>
      <c r="AV1204" s="42"/>
      <c r="AW1204" s="74"/>
      <c r="AX1204" s="77"/>
      <c r="BA1204" s="497">
        <v>32</v>
      </c>
      <c r="BB1204" s="42"/>
      <c r="BC1204" s="74"/>
      <c r="BD1204" s="77"/>
      <c r="BF1204">
        <v>39.019999999999996</v>
      </c>
      <c r="BH1204" s="42"/>
      <c r="BI1204" s="74"/>
      <c r="BJ1204" s="77"/>
      <c r="BL1204" s="497">
        <v>37.94</v>
      </c>
      <c r="BN1204" s="42"/>
      <c r="BO1204" s="74"/>
      <c r="BP1204" s="77"/>
      <c r="BR1204" s="497">
        <v>35.06</v>
      </c>
      <c r="BT1204" s="42"/>
    </row>
    <row r="1205" spans="1:72" x14ac:dyDescent="0.25">
      <c r="A1205" s="90">
        <v>34749</v>
      </c>
      <c r="B1205" s="20">
        <v>0.45833333333333331</v>
      </c>
      <c r="D1205">
        <v>42.980000000000004</v>
      </c>
      <c r="E1205" t="str">
        <f t="shared" si="72"/>
        <v>SUNDAY</v>
      </c>
      <c r="F1205" t="e">
        <f t="shared" si="73"/>
        <v>#N/A</v>
      </c>
      <c r="G1205" s="74">
        <v>32192</v>
      </c>
      <c r="H1205" s="77">
        <v>0.45833333333333331</v>
      </c>
      <c r="J1205">
        <v>37.04</v>
      </c>
      <c r="M1205" s="74">
        <v>38036</v>
      </c>
      <c r="N1205" s="77">
        <v>0.45833333333333331</v>
      </c>
      <c r="P1205">
        <v>35.6</v>
      </c>
      <c r="S1205" s="74">
        <v>34749</v>
      </c>
      <c r="T1205" s="77">
        <v>0.45833333333333331</v>
      </c>
      <c r="V1205">
        <v>46.94</v>
      </c>
      <c r="X1205" s="42"/>
      <c r="AB1205">
        <v>35.9</v>
      </c>
      <c r="AC1205">
        <v>30.02</v>
      </c>
      <c r="AE1205" s="74"/>
      <c r="AF1205" s="77"/>
      <c r="AH1205" s="497">
        <v>24.08</v>
      </c>
      <c r="AJ1205" s="42"/>
      <c r="AK1205" s="74"/>
      <c r="AL1205" s="77"/>
      <c r="AN1205" s="497">
        <v>30.02</v>
      </c>
      <c r="AP1205" s="42"/>
      <c r="AQ1205" s="74"/>
      <c r="AR1205" s="77"/>
      <c r="AT1205" s="497">
        <v>33.979999999999997</v>
      </c>
      <c r="AV1205" s="42"/>
      <c r="AW1205" s="74"/>
      <c r="AX1205" s="77"/>
      <c r="BA1205" s="497">
        <v>33.08</v>
      </c>
      <c r="BB1205" s="42"/>
      <c r="BC1205" s="74"/>
      <c r="BD1205" s="77"/>
      <c r="BF1205">
        <v>39.92</v>
      </c>
      <c r="BH1205" s="42"/>
      <c r="BI1205" s="74"/>
      <c r="BJ1205" s="77"/>
      <c r="BL1205" s="497">
        <v>42.980000000000004</v>
      </c>
      <c r="BN1205" s="42"/>
      <c r="BO1205" s="74"/>
      <c r="BP1205" s="77"/>
      <c r="BR1205" s="497">
        <v>44.06</v>
      </c>
      <c r="BT1205" s="42"/>
    </row>
    <row r="1206" spans="1:72" x14ac:dyDescent="0.25">
      <c r="A1206" s="90">
        <v>34749</v>
      </c>
      <c r="B1206" s="20">
        <v>0.5</v>
      </c>
      <c r="D1206">
        <v>48.019999999999996</v>
      </c>
      <c r="E1206" t="str">
        <f t="shared" si="72"/>
        <v>SUNDAY</v>
      </c>
      <c r="F1206" t="e">
        <f t="shared" si="73"/>
        <v>#N/A</v>
      </c>
      <c r="G1206" s="74">
        <v>32192</v>
      </c>
      <c r="H1206" s="77">
        <v>0.5</v>
      </c>
      <c r="J1206">
        <v>37.04</v>
      </c>
      <c r="M1206" s="74">
        <v>38036</v>
      </c>
      <c r="N1206" s="77">
        <v>0.5</v>
      </c>
      <c r="P1206">
        <v>37.4</v>
      </c>
      <c r="S1206" s="74">
        <v>34749</v>
      </c>
      <c r="T1206" s="77">
        <v>0.5</v>
      </c>
      <c r="V1206">
        <v>46.04</v>
      </c>
      <c r="X1206" s="42"/>
      <c r="AB1206">
        <v>37.299999999999997</v>
      </c>
      <c r="AC1206">
        <v>28.94</v>
      </c>
      <c r="AE1206" s="74"/>
      <c r="AF1206" s="77"/>
      <c r="AH1206" s="497">
        <v>27.86</v>
      </c>
      <c r="AJ1206" s="42"/>
      <c r="AK1206" s="74"/>
      <c r="AL1206" s="77"/>
      <c r="AN1206" s="497">
        <v>30.92</v>
      </c>
      <c r="AP1206" s="42"/>
      <c r="AQ1206" s="74"/>
      <c r="AR1206" s="77"/>
      <c r="AT1206" s="497">
        <v>37.94</v>
      </c>
      <c r="AV1206" s="42"/>
      <c r="AW1206" s="74"/>
      <c r="AX1206" s="77"/>
      <c r="BA1206" s="497">
        <v>35.06</v>
      </c>
      <c r="BB1206" s="42"/>
      <c r="BC1206" s="74"/>
      <c r="BD1206" s="77"/>
      <c r="BF1206">
        <v>42.08</v>
      </c>
      <c r="BH1206" s="42"/>
      <c r="BI1206" s="74"/>
      <c r="BJ1206" s="77"/>
      <c r="BL1206" s="497">
        <v>42.980000000000004</v>
      </c>
      <c r="BN1206" s="42"/>
      <c r="BO1206" s="74"/>
      <c r="BP1206" s="77"/>
      <c r="BR1206" s="497">
        <v>46.04</v>
      </c>
      <c r="BT1206" s="42"/>
    </row>
    <row r="1207" spans="1:72" x14ac:dyDescent="0.25">
      <c r="A1207" s="90">
        <v>34749</v>
      </c>
      <c r="B1207" s="20">
        <v>0.54166666666666663</v>
      </c>
      <c r="D1207">
        <v>51.08</v>
      </c>
      <c r="E1207" t="str">
        <f t="shared" si="72"/>
        <v>SUNDAY</v>
      </c>
      <c r="F1207" t="e">
        <f t="shared" si="73"/>
        <v>#N/A</v>
      </c>
      <c r="G1207" s="74">
        <v>32192</v>
      </c>
      <c r="H1207" s="77">
        <v>0.54166666666666663</v>
      </c>
      <c r="J1207">
        <v>37.94</v>
      </c>
      <c r="M1207" s="74">
        <v>38036</v>
      </c>
      <c r="N1207" s="77">
        <v>0.54166666666666663</v>
      </c>
      <c r="P1207">
        <v>39.200000000000003</v>
      </c>
      <c r="S1207" s="74">
        <v>34749</v>
      </c>
      <c r="T1207" s="77">
        <v>0.54166666666666663</v>
      </c>
      <c r="V1207">
        <v>46.94</v>
      </c>
      <c r="X1207" s="42"/>
      <c r="AB1207">
        <v>38.4</v>
      </c>
      <c r="AC1207">
        <v>28.94</v>
      </c>
      <c r="AE1207" s="74"/>
      <c r="AF1207" s="77"/>
      <c r="AH1207" s="497">
        <v>29.84</v>
      </c>
      <c r="AJ1207" s="42"/>
      <c r="AK1207" s="74"/>
      <c r="AL1207" s="77"/>
      <c r="AN1207" s="497">
        <v>30.92</v>
      </c>
      <c r="AP1207" s="42"/>
      <c r="AQ1207" s="74"/>
      <c r="AR1207" s="77"/>
      <c r="AT1207" s="497">
        <v>39.92</v>
      </c>
      <c r="AV1207" s="42"/>
      <c r="AW1207" s="74"/>
      <c r="AX1207" s="77"/>
      <c r="BA1207" s="497">
        <v>35.06</v>
      </c>
      <c r="BB1207" s="42"/>
      <c r="BC1207" s="74"/>
      <c r="BD1207" s="77"/>
      <c r="BF1207">
        <v>41</v>
      </c>
      <c r="BH1207" s="42"/>
      <c r="BI1207" s="74"/>
      <c r="BJ1207" s="77"/>
      <c r="BL1207" s="497">
        <v>39.92</v>
      </c>
      <c r="BN1207" s="42"/>
      <c r="BO1207" s="74"/>
      <c r="BP1207" s="77"/>
      <c r="BR1207" s="497">
        <v>46.94</v>
      </c>
      <c r="BT1207" s="42"/>
    </row>
    <row r="1208" spans="1:72" x14ac:dyDescent="0.25">
      <c r="A1208" s="90">
        <v>34749</v>
      </c>
      <c r="B1208" s="20">
        <v>0.58333333333333337</v>
      </c>
      <c r="D1208">
        <v>53.06</v>
      </c>
      <c r="E1208" t="str">
        <f t="shared" si="72"/>
        <v>SUNDAY</v>
      </c>
      <c r="F1208" t="e">
        <f t="shared" si="73"/>
        <v>#N/A</v>
      </c>
      <c r="G1208" s="74">
        <v>32192</v>
      </c>
      <c r="H1208" s="77">
        <v>0.58333333333333337</v>
      </c>
      <c r="J1208">
        <v>39.019999999999996</v>
      </c>
      <c r="M1208" s="74">
        <v>38036</v>
      </c>
      <c r="N1208" s="77">
        <v>0.58333333333333337</v>
      </c>
      <c r="P1208">
        <v>39.200000000000003</v>
      </c>
      <c r="S1208" s="74">
        <v>34749</v>
      </c>
      <c r="T1208" s="77">
        <v>0.58333333333333337</v>
      </c>
      <c r="V1208">
        <v>46.94</v>
      </c>
      <c r="X1208" s="42"/>
      <c r="AB1208">
        <v>39.299999999999997</v>
      </c>
      <c r="AC1208">
        <v>30.02</v>
      </c>
      <c r="AE1208" s="74"/>
      <c r="AF1208" s="77"/>
      <c r="AH1208" s="497">
        <v>30.92</v>
      </c>
      <c r="AJ1208" s="42"/>
      <c r="AK1208" s="74"/>
      <c r="AL1208" s="77"/>
      <c r="AN1208" s="497">
        <v>30.92</v>
      </c>
      <c r="AP1208" s="42"/>
      <c r="AQ1208" s="74"/>
      <c r="AR1208" s="77"/>
      <c r="AT1208" s="497">
        <v>39.92</v>
      </c>
      <c r="AV1208" s="42"/>
      <c r="AW1208" s="74"/>
      <c r="AX1208" s="77"/>
      <c r="BA1208" s="497">
        <v>35.06</v>
      </c>
      <c r="BB1208" s="42"/>
      <c r="BC1208" s="74"/>
      <c r="BD1208" s="77"/>
      <c r="BF1208">
        <v>37.94</v>
      </c>
      <c r="BH1208" s="42"/>
      <c r="BI1208" s="74"/>
      <c r="BJ1208" s="77"/>
      <c r="BL1208" s="497">
        <v>37.04</v>
      </c>
      <c r="BN1208" s="42"/>
      <c r="BO1208" s="74"/>
      <c r="BP1208" s="77"/>
      <c r="BR1208" s="497">
        <v>48.92</v>
      </c>
      <c r="BT1208" s="42"/>
    </row>
    <row r="1209" spans="1:72" x14ac:dyDescent="0.25">
      <c r="A1209" s="90">
        <v>34749</v>
      </c>
      <c r="B1209" s="20">
        <v>0.625</v>
      </c>
      <c r="D1209">
        <v>53.96</v>
      </c>
      <c r="E1209" t="str">
        <f t="shared" si="72"/>
        <v>SUNDAY</v>
      </c>
      <c r="F1209" t="e">
        <f t="shared" si="73"/>
        <v>#N/A</v>
      </c>
      <c r="G1209" s="74">
        <v>32192</v>
      </c>
      <c r="H1209" s="77">
        <v>0.625</v>
      </c>
      <c r="J1209">
        <v>44.06</v>
      </c>
      <c r="M1209" s="74">
        <v>38036</v>
      </c>
      <c r="N1209" s="77">
        <v>0.625</v>
      </c>
      <c r="P1209">
        <v>39.200000000000003</v>
      </c>
      <c r="S1209" s="74">
        <v>34749</v>
      </c>
      <c r="T1209" s="77">
        <v>0.625</v>
      </c>
      <c r="V1209">
        <v>48.92</v>
      </c>
      <c r="X1209" s="42"/>
      <c r="AB1209">
        <v>40</v>
      </c>
      <c r="AC1209">
        <v>30.02</v>
      </c>
      <c r="AE1209" s="74"/>
      <c r="AF1209" s="77"/>
      <c r="AH1209" s="497">
        <v>32</v>
      </c>
      <c r="AJ1209" s="42"/>
      <c r="AK1209" s="74"/>
      <c r="AL1209" s="77"/>
      <c r="AN1209" s="497">
        <v>30.92</v>
      </c>
      <c r="AP1209" s="42"/>
      <c r="AQ1209" s="74"/>
      <c r="AR1209" s="77"/>
      <c r="AT1209" s="497">
        <v>41</v>
      </c>
      <c r="AV1209" s="42"/>
      <c r="AW1209" s="74"/>
      <c r="AX1209" s="77"/>
      <c r="BA1209" s="497">
        <v>33.979999999999997</v>
      </c>
      <c r="BB1209" s="42"/>
      <c r="BC1209" s="74"/>
      <c r="BD1209" s="77"/>
      <c r="BF1209">
        <v>39.92</v>
      </c>
      <c r="BH1209" s="42"/>
      <c r="BI1209" s="74"/>
      <c r="BJ1209" s="77"/>
      <c r="BL1209" s="497">
        <v>37.04</v>
      </c>
      <c r="BN1209" s="42"/>
      <c r="BO1209" s="74"/>
      <c r="BP1209" s="77"/>
      <c r="BR1209" s="497">
        <v>48.92</v>
      </c>
      <c r="BT1209" s="42"/>
    </row>
    <row r="1210" spans="1:72" x14ac:dyDescent="0.25">
      <c r="A1210" s="90">
        <v>34749</v>
      </c>
      <c r="B1210" s="20">
        <v>0.66666666666666663</v>
      </c>
      <c r="D1210">
        <v>53.06</v>
      </c>
      <c r="E1210" t="str">
        <f t="shared" si="72"/>
        <v>SUNDAY</v>
      </c>
      <c r="F1210" t="e">
        <f t="shared" si="73"/>
        <v>#N/A</v>
      </c>
      <c r="G1210" s="74">
        <v>32192</v>
      </c>
      <c r="H1210" s="77">
        <v>0.66666666666666663</v>
      </c>
      <c r="J1210">
        <v>42.980000000000004</v>
      </c>
      <c r="M1210" s="74">
        <v>38036</v>
      </c>
      <c r="N1210" s="77">
        <v>0.66666666666666663</v>
      </c>
      <c r="P1210">
        <v>41</v>
      </c>
      <c r="S1210" s="74">
        <v>34749</v>
      </c>
      <c r="T1210" s="77">
        <v>0.66666666666666663</v>
      </c>
      <c r="V1210">
        <v>48.92</v>
      </c>
      <c r="X1210" s="42"/>
      <c r="AB1210">
        <v>40</v>
      </c>
      <c r="AC1210">
        <v>30.02</v>
      </c>
      <c r="AE1210" s="74"/>
      <c r="AF1210" s="77"/>
      <c r="AH1210" s="497">
        <v>32</v>
      </c>
      <c r="AJ1210" s="42"/>
      <c r="AK1210" s="74"/>
      <c r="AL1210" s="77"/>
      <c r="AN1210" s="497">
        <v>30.92</v>
      </c>
      <c r="AP1210" s="42"/>
      <c r="AQ1210" s="74"/>
      <c r="AR1210" s="77"/>
      <c r="AT1210" s="497">
        <v>39.92</v>
      </c>
      <c r="AV1210" s="42"/>
      <c r="AW1210" s="74"/>
      <c r="AX1210" s="77"/>
      <c r="BA1210" s="497">
        <v>33.979999999999997</v>
      </c>
      <c r="BB1210" s="42"/>
      <c r="BC1210" s="74"/>
      <c r="BD1210" s="77"/>
      <c r="BF1210">
        <v>39.019999999999996</v>
      </c>
      <c r="BH1210" s="42"/>
      <c r="BI1210" s="74"/>
      <c r="BJ1210" s="77"/>
      <c r="BL1210" s="497">
        <v>37.04</v>
      </c>
      <c r="BN1210" s="42"/>
      <c r="BO1210" s="74"/>
      <c r="BP1210" s="77"/>
      <c r="BR1210" s="497">
        <v>46.94</v>
      </c>
      <c r="BT1210" s="42"/>
    </row>
    <row r="1211" spans="1:72" x14ac:dyDescent="0.25">
      <c r="A1211" s="90">
        <v>34749</v>
      </c>
      <c r="B1211" s="20">
        <v>0.70833333333333337</v>
      </c>
      <c r="D1211">
        <v>51.980000000000004</v>
      </c>
      <c r="E1211" t="str">
        <f t="shared" si="72"/>
        <v>SUNDAY</v>
      </c>
      <c r="F1211" t="e">
        <f t="shared" si="73"/>
        <v>#N/A</v>
      </c>
      <c r="G1211" s="74">
        <v>32192</v>
      </c>
      <c r="H1211" s="77">
        <v>0.70833333333333337</v>
      </c>
      <c r="J1211">
        <v>41</v>
      </c>
      <c r="M1211" s="74">
        <v>38036</v>
      </c>
      <c r="N1211" s="77">
        <v>0.70833333333333337</v>
      </c>
      <c r="P1211">
        <v>39.200000000000003</v>
      </c>
      <c r="S1211" s="74">
        <v>34749</v>
      </c>
      <c r="T1211" s="77">
        <v>0.70833333333333337</v>
      </c>
      <c r="V1211">
        <v>46.04</v>
      </c>
      <c r="X1211" s="42"/>
      <c r="AB1211">
        <v>39.700000000000003</v>
      </c>
      <c r="AC1211">
        <v>30.92</v>
      </c>
      <c r="AE1211" s="74"/>
      <c r="AF1211" s="77"/>
      <c r="AH1211" s="497">
        <v>32.9</v>
      </c>
      <c r="AJ1211" s="42"/>
      <c r="AK1211" s="74"/>
      <c r="AL1211" s="77"/>
      <c r="AN1211" s="497">
        <v>30.92</v>
      </c>
      <c r="AP1211" s="42"/>
      <c r="AQ1211" s="74"/>
      <c r="AR1211" s="77"/>
      <c r="AT1211" s="497">
        <v>39.019999999999996</v>
      </c>
      <c r="AV1211" s="42"/>
      <c r="AW1211" s="74"/>
      <c r="AX1211" s="77"/>
      <c r="BA1211" s="497">
        <v>33.979999999999997</v>
      </c>
      <c r="BB1211" s="42"/>
      <c r="BC1211" s="74"/>
      <c r="BD1211" s="77"/>
      <c r="BF1211">
        <v>35.96</v>
      </c>
      <c r="BH1211" s="42"/>
      <c r="BI1211" s="74"/>
      <c r="BJ1211" s="77"/>
      <c r="BL1211" s="497">
        <v>33.979999999999997</v>
      </c>
      <c r="BN1211" s="42"/>
      <c r="BO1211" s="74"/>
      <c r="BP1211" s="77"/>
      <c r="BR1211" s="497">
        <v>48.019999999999996</v>
      </c>
      <c r="BT1211" s="42"/>
    </row>
    <row r="1212" spans="1:72" x14ac:dyDescent="0.25">
      <c r="A1212" s="90">
        <v>34749</v>
      </c>
      <c r="B1212" s="20">
        <v>0.75</v>
      </c>
      <c r="D1212">
        <v>50</v>
      </c>
      <c r="E1212" t="str">
        <f t="shared" si="72"/>
        <v>SUNDAY</v>
      </c>
      <c r="F1212" t="e">
        <f t="shared" si="73"/>
        <v>#N/A</v>
      </c>
      <c r="G1212" s="74">
        <v>32192</v>
      </c>
      <c r="H1212" s="77">
        <v>0.75</v>
      </c>
      <c r="J1212">
        <v>41</v>
      </c>
      <c r="M1212" s="74">
        <v>38036</v>
      </c>
      <c r="N1212" s="77">
        <v>0.75</v>
      </c>
      <c r="P1212">
        <v>35.6</v>
      </c>
      <c r="S1212" s="74">
        <v>34749</v>
      </c>
      <c r="T1212" s="77">
        <v>0.75</v>
      </c>
      <c r="V1212">
        <v>42.980000000000004</v>
      </c>
      <c r="X1212" s="42"/>
      <c r="AB1212">
        <v>38.700000000000003</v>
      </c>
      <c r="AC1212">
        <v>30.92</v>
      </c>
      <c r="AE1212" s="74"/>
      <c r="AF1212" s="77"/>
      <c r="AH1212" s="497">
        <v>32</v>
      </c>
      <c r="AJ1212" s="42"/>
      <c r="AK1212" s="74"/>
      <c r="AL1212" s="77"/>
      <c r="AN1212" s="497">
        <v>30.92</v>
      </c>
      <c r="AP1212" s="42"/>
      <c r="AQ1212" s="74"/>
      <c r="AR1212" s="77"/>
      <c r="AT1212" s="497">
        <v>37.94</v>
      </c>
      <c r="AV1212" s="42"/>
      <c r="AW1212" s="74"/>
      <c r="AX1212" s="77"/>
      <c r="BA1212" s="497">
        <v>33.979999999999997</v>
      </c>
      <c r="BB1212" s="42"/>
      <c r="BC1212" s="74"/>
      <c r="BD1212" s="77"/>
      <c r="BF1212">
        <v>35.96</v>
      </c>
      <c r="BH1212" s="42"/>
      <c r="BI1212" s="74"/>
      <c r="BJ1212" s="77"/>
      <c r="BL1212" s="497">
        <v>33.08</v>
      </c>
      <c r="BN1212" s="42"/>
      <c r="BO1212" s="74"/>
      <c r="BP1212" s="77"/>
      <c r="BR1212" s="497">
        <v>42.980000000000004</v>
      </c>
      <c r="BT1212" s="42"/>
    </row>
    <row r="1213" spans="1:72" x14ac:dyDescent="0.25">
      <c r="A1213" s="90">
        <v>34749</v>
      </c>
      <c r="B1213" s="20">
        <v>0.79166666666666663</v>
      </c>
      <c r="D1213">
        <v>48.92</v>
      </c>
      <c r="E1213" t="str">
        <f t="shared" si="72"/>
        <v>SUNDAY</v>
      </c>
      <c r="F1213" t="e">
        <f t="shared" si="73"/>
        <v>#N/A</v>
      </c>
      <c r="G1213" s="74">
        <v>32192</v>
      </c>
      <c r="H1213" s="77">
        <v>0.79166666666666663</v>
      </c>
      <c r="J1213">
        <v>41</v>
      </c>
      <c r="M1213" s="74">
        <v>38036</v>
      </c>
      <c r="N1213" s="77">
        <v>0.79166666666666663</v>
      </c>
      <c r="P1213">
        <v>35.6</v>
      </c>
      <c r="S1213" s="74">
        <v>34749</v>
      </c>
      <c r="T1213" s="77">
        <v>0.79166666666666663</v>
      </c>
      <c r="V1213">
        <v>37.94</v>
      </c>
      <c r="X1213" s="42"/>
      <c r="AB1213">
        <v>37.5</v>
      </c>
      <c r="AC1213">
        <v>30.92</v>
      </c>
      <c r="AE1213" s="74"/>
      <c r="AF1213" s="77"/>
      <c r="AH1213" s="497">
        <v>32.9</v>
      </c>
      <c r="AJ1213" s="42"/>
      <c r="AK1213" s="74"/>
      <c r="AL1213" s="77"/>
      <c r="AN1213" s="497">
        <v>32</v>
      </c>
      <c r="AP1213" s="42"/>
      <c r="AQ1213" s="74"/>
      <c r="AR1213" s="77"/>
      <c r="AT1213" s="497">
        <v>39.019999999999996</v>
      </c>
      <c r="AV1213" s="42"/>
      <c r="AW1213" s="74"/>
      <c r="AX1213" s="77"/>
      <c r="BA1213" s="497">
        <v>33.979999999999997</v>
      </c>
      <c r="BB1213" s="42"/>
      <c r="BC1213" s="74"/>
      <c r="BD1213" s="77"/>
      <c r="BF1213">
        <v>35.96</v>
      </c>
      <c r="BH1213" s="42"/>
      <c r="BI1213" s="74"/>
      <c r="BJ1213" s="77"/>
      <c r="BL1213" s="497">
        <v>33.979999999999997</v>
      </c>
      <c r="BN1213" s="42"/>
      <c r="BO1213" s="74"/>
      <c r="BP1213" s="77"/>
      <c r="BR1213" s="497">
        <v>39.92</v>
      </c>
      <c r="BT1213" s="42"/>
    </row>
    <row r="1214" spans="1:72" x14ac:dyDescent="0.25">
      <c r="A1214" s="90">
        <v>34749</v>
      </c>
      <c r="B1214" s="20">
        <v>0.83333333333333337</v>
      </c>
      <c r="D1214">
        <v>48.019999999999996</v>
      </c>
      <c r="E1214" t="str">
        <f t="shared" si="72"/>
        <v>SUNDAY</v>
      </c>
      <c r="F1214" t="e">
        <f t="shared" si="73"/>
        <v>#N/A</v>
      </c>
      <c r="G1214" s="74">
        <v>32192</v>
      </c>
      <c r="H1214" s="77">
        <v>0.83333333333333337</v>
      </c>
      <c r="J1214">
        <v>42.08</v>
      </c>
      <c r="M1214" s="74">
        <v>38036</v>
      </c>
      <c r="N1214" s="77">
        <v>0.83333333333333337</v>
      </c>
      <c r="P1214">
        <v>35.6</v>
      </c>
      <c r="S1214" s="74">
        <v>34749</v>
      </c>
      <c r="T1214" s="77">
        <v>0.83333333333333337</v>
      </c>
      <c r="V1214">
        <v>39.92</v>
      </c>
      <c r="X1214" s="42"/>
      <c r="AB1214">
        <v>36.9</v>
      </c>
      <c r="AC1214">
        <v>30.92</v>
      </c>
      <c r="AE1214" s="74"/>
      <c r="AF1214" s="77"/>
      <c r="AH1214" s="497">
        <v>32</v>
      </c>
      <c r="AJ1214" s="42"/>
      <c r="AK1214" s="74"/>
      <c r="AL1214" s="77"/>
      <c r="AN1214" s="497">
        <v>30.92</v>
      </c>
      <c r="AP1214" s="42"/>
      <c r="AQ1214" s="74"/>
      <c r="AR1214" s="77"/>
      <c r="AT1214" s="497">
        <v>37.94</v>
      </c>
      <c r="AV1214" s="42"/>
      <c r="AW1214" s="74"/>
      <c r="AX1214" s="77"/>
      <c r="BA1214" s="497">
        <v>33.979999999999997</v>
      </c>
      <c r="BB1214" s="42"/>
      <c r="BC1214" s="74"/>
      <c r="BD1214" s="77"/>
      <c r="BF1214">
        <v>37.04</v>
      </c>
      <c r="BH1214" s="42"/>
      <c r="BI1214" s="74"/>
      <c r="BJ1214" s="77"/>
      <c r="BL1214" s="497">
        <v>33.08</v>
      </c>
      <c r="BN1214" s="42"/>
      <c r="BO1214" s="74"/>
      <c r="BP1214" s="77"/>
      <c r="BR1214" s="497">
        <v>37.04</v>
      </c>
      <c r="BT1214" s="42"/>
    </row>
    <row r="1215" spans="1:72" x14ac:dyDescent="0.25">
      <c r="A1215" s="90">
        <v>34749</v>
      </c>
      <c r="B1215" s="20">
        <v>0.875</v>
      </c>
      <c r="D1215">
        <v>48.019999999999996</v>
      </c>
      <c r="E1215" t="str">
        <f t="shared" si="72"/>
        <v>SUNDAY</v>
      </c>
      <c r="F1215" t="e">
        <f t="shared" si="73"/>
        <v>#N/A</v>
      </c>
      <c r="G1215" s="74">
        <v>32192</v>
      </c>
      <c r="H1215" s="77">
        <v>0.875</v>
      </c>
      <c r="J1215">
        <v>42.08</v>
      </c>
      <c r="M1215" s="74">
        <v>38036</v>
      </c>
      <c r="N1215" s="77">
        <v>0.875</v>
      </c>
      <c r="P1215">
        <v>33.799999999999997</v>
      </c>
      <c r="S1215" s="74">
        <v>34749</v>
      </c>
      <c r="T1215" s="77">
        <v>0.875</v>
      </c>
      <c r="V1215">
        <v>39.019999999999996</v>
      </c>
      <c r="X1215" s="42"/>
      <c r="AB1215">
        <v>36.4</v>
      </c>
      <c r="AC1215">
        <v>30.92</v>
      </c>
      <c r="AE1215" s="74"/>
      <c r="AF1215" s="77"/>
      <c r="AH1215" s="497">
        <v>32.9</v>
      </c>
      <c r="AJ1215" s="42"/>
      <c r="AK1215" s="74"/>
      <c r="AL1215" s="77"/>
      <c r="AN1215" s="497">
        <v>30.92</v>
      </c>
      <c r="AP1215" s="42"/>
      <c r="AQ1215" s="74"/>
      <c r="AR1215" s="77"/>
      <c r="AT1215" s="497">
        <v>35.06</v>
      </c>
      <c r="AV1215" s="42"/>
      <c r="AW1215" s="74"/>
      <c r="AX1215" s="77"/>
      <c r="BA1215" s="497">
        <v>33.979999999999997</v>
      </c>
      <c r="BB1215" s="42"/>
      <c r="BC1215" s="74"/>
      <c r="BD1215" s="77"/>
      <c r="BF1215">
        <v>39.019999999999996</v>
      </c>
      <c r="BH1215" s="42"/>
      <c r="BI1215" s="74"/>
      <c r="BJ1215" s="77"/>
      <c r="BL1215" s="497">
        <v>35.06</v>
      </c>
      <c r="BN1215" s="42"/>
      <c r="BO1215" s="74"/>
      <c r="BP1215" s="77"/>
      <c r="BR1215" s="497">
        <v>35.96</v>
      </c>
      <c r="BT1215" s="42"/>
    </row>
    <row r="1216" spans="1:72" x14ac:dyDescent="0.25">
      <c r="A1216" s="90">
        <v>34749</v>
      </c>
      <c r="B1216" s="20">
        <v>0.91666666666666663</v>
      </c>
      <c r="D1216">
        <v>48.019999999999996</v>
      </c>
      <c r="E1216" t="str">
        <f t="shared" si="72"/>
        <v>SUNDAY</v>
      </c>
      <c r="F1216" t="e">
        <f t="shared" si="73"/>
        <v>#N/A</v>
      </c>
      <c r="G1216" s="74">
        <v>32192</v>
      </c>
      <c r="H1216" s="77">
        <v>0.91666666666666663</v>
      </c>
      <c r="J1216">
        <v>41</v>
      </c>
      <c r="M1216" s="74">
        <v>38036</v>
      </c>
      <c r="N1216" s="77">
        <v>0.91666666666666663</v>
      </c>
      <c r="P1216">
        <v>30.2</v>
      </c>
      <c r="S1216" s="74">
        <v>34749</v>
      </c>
      <c r="T1216" s="77">
        <v>0.91666666666666663</v>
      </c>
      <c r="V1216">
        <v>39.92</v>
      </c>
      <c r="X1216" s="42"/>
      <c r="AB1216">
        <v>35.799999999999997</v>
      </c>
      <c r="AC1216">
        <v>30.92</v>
      </c>
      <c r="AE1216" s="74"/>
      <c r="AF1216" s="77"/>
      <c r="AH1216" s="497">
        <v>34.880000000000003</v>
      </c>
      <c r="AJ1216" s="42"/>
      <c r="AK1216" s="74"/>
      <c r="AL1216" s="77"/>
      <c r="AN1216" s="497">
        <v>30.92</v>
      </c>
      <c r="AP1216" s="42"/>
      <c r="AQ1216" s="74"/>
      <c r="AR1216" s="77"/>
      <c r="AT1216" s="497">
        <v>33.979999999999997</v>
      </c>
      <c r="AV1216" s="42"/>
      <c r="AW1216" s="74"/>
      <c r="AX1216" s="77"/>
      <c r="BA1216" s="497">
        <v>33.979999999999997</v>
      </c>
      <c r="BB1216" s="42"/>
      <c r="BC1216" s="74"/>
      <c r="BD1216" s="77"/>
      <c r="BF1216">
        <v>39.92</v>
      </c>
      <c r="BH1216" s="42"/>
      <c r="BI1216" s="74"/>
      <c r="BJ1216" s="77"/>
      <c r="BL1216" s="497">
        <v>37.94</v>
      </c>
      <c r="BN1216" s="42"/>
      <c r="BO1216" s="74"/>
      <c r="BP1216" s="77"/>
      <c r="BR1216" s="497">
        <v>35.96</v>
      </c>
      <c r="BT1216" s="42"/>
    </row>
    <row r="1217" spans="1:72" x14ac:dyDescent="0.25">
      <c r="A1217" s="90">
        <v>34749</v>
      </c>
      <c r="B1217" s="20">
        <v>0.95833333333333337</v>
      </c>
      <c r="D1217">
        <v>46.94</v>
      </c>
      <c r="E1217" t="str">
        <f t="shared" si="72"/>
        <v>SUNDAY</v>
      </c>
      <c r="F1217" t="e">
        <f t="shared" si="73"/>
        <v>#N/A</v>
      </c>
      <c r="G1217" s="74">
        <v>32192</v>
      </c>
      <c r="H1217" s="77">
        <v>0.95833333333333337</v>
      </c>
      <c r="J1217">
        <v>42.980000000000004</v>
      </c>
      <c r="M1217" s="74">
        <v>38036</v>
      </c>
      <c r="N1217" s="77">
        <v>0.95833333333333337</v>
      </c>
      <c r="P1217">
        <v>28.4</v>
      </c>
      <c r="S1217" s="74">
        <v>34749</v>
      </c>
      <c r="T1217" s="77">
        <v>0.95833333333333337</v>
      </c>
      <c r="V1217">
        <v>42.08</v>
      </c>
      <c r="X1217" s="42"/>
      <c r="AB1217">
        <v>35.200000000000003</v>
      </c>
      <c r="AC1217">
        <v>32</v>
      </c>
      <c r="AE1217" s="74"/>
      <c r="AF1217" s="77"/>
      <c r="AH1217" s="497">
        <v>34.880000000000003</v>
      </c>
      <c r="AJ1217" s="42"/>
      <c r="AK1217" s="74"/>
      <c r="AL1217" s="77"/>
      <c r="AN1217" s="497">
        <v>30.92</v>
      </c>
      <c r="AP1217" s="42"/>
      <c r="AQ1217" s="74"/>
      <c r="AR1217" s="77"/>
      <c r="AT1217" s="497">
        <v>33.08</v>
      </c>
      <c r="AV1217" s="42"/>
      <c r="AW1217" s="74"/>
      <c r="AX1217" s="77"/>
      <c r="BA1217" s="497">
        <v>33.979999999999997</v>
      </c>
      <c r="BB1217" s="42"/>
      <c r="BC1217" s="74"/>
      <c r="BD1217" s="77"/>
      <c r="BF1217">
        <v>39.92</v>
      </c>
      <c r="BH1217" s="42"/>
      <c r="BI1217" s="74"/>
      <c r="BJ1217" s="77"/>
      <c r="BL1217" s="497">
        <v>39.019999999999996</v>
      </c>
      <c r="BN1217" s="42"/>
      <c r="BO1217" s="74"/>
      <c r="BP1217" s="77"/>
      <c r="BR1217" s="497">
        <v>35.06</v>
      </c>
      <c r="BT1217" s="42"/>
    </row>
    <row r="1218" spans="1:72" x14ac:dyDescent="0.25">
      <c r="A1218" s="90">
        <v>34749</v>
      </c>
      <c r="B1218" s="20">
        <v>1</v>
      </c>
      <c r="D1218">
        <v>44.96</v>
      </c>
      <c r="E1218" t="str">
        <f t="shared" si="72"/>
        <v>SUNDAY</v>
      </c>
      <c r="F1218" t="e">
        <f t="shared" si="73"/>
        <v>#N/A</v>
      </c>
      <c r="G1218" s="74">
        <v>32192</v>
      </c>
      <c r="H1218" s="77">
        <v>1</v>
      </c>
      <c r="J1218">
        <v>44.06</v>
      </c>
      <c r="M1218" s="74">
        <v>38036</v>
      </c>
      <c r="N1218" s="80">
        <v>1</v>
      </c>
      <c r="P1218">
        <v>26.6</v>
      </c>
      <c r="S1218" s="74">
        <v>34749</v>
      </c>
      <c r="T1218" s="80">
        <v>1</v>
      </c>
      <c r="V1218">
        <v>39.019999999999996</v>
      </c>
      <c r="X1218" s="42"/>
      <c r="AB1218">
        <v>34.700000000000003</v>
      </c>
      <c r="AC1218">
        <v>30.92</v>
      </c>
      <c r="AE1218" s="74"/>
      <c r="AF1218" s="80"/>
      <c r="AH1218" s="497">
        <v>30.92</v>
      </c>
      <c r="AJ1218" s="42"/>
      <c r="AK1218" s="74"/>
      <c r="AL1218" s="80"/>
      <c r="AN1218" s="497">
        <v>30.02</v>
      </c>
      <c r="AP1218" s="42"/>
      <c r="AQ1218" s="74"/>
      <c r="AR1218" s="80"/>
      <c r="AT1218" s="497">
        <v>33.08</v>
      </c>
      <c r="AV1218" s="42"/>
      <c r="AW1218" s="74"/>
      <c r="AX1218" s="80"/>
      <c r="BA1218" s="497">
        <v>33.979999999999997</v>
      </c>
      <c r="BB1218" s="42"/>
      <c r="BC1218" s="74"/>
      <c r="BD1218" s="80"/>
      <c r="BF1218">
        <v>41</v>
      </c>
      <c r="BH1218" s="42"/>
      <c r="BI1218" s="74"/>
      <c r="BJ1218" s="80"/>
      <c r="BL1218" s="497">
        <v>39.019999999999996</v>
      </c>
      <c r="BN1218" s="42"/>
      <c r="BO1218" s="74"/>
      <c r="BP1218" s="80"/>
      <c r="BR1218" s="497">
        <v>35.96</v>
      </c>
      <c r="BT1218" s="42"/>
    </row>
    <row r="1219" spans="1:72" x14ac:dyDescent="0.25">
      <c r="A1219" s="90">
        <v>34750</v>
      </c>
      <c r="B1219" s="20">
        <v>4.1666666666666664E-2</v>
      </c>
      <c r="D1219">
        <v>42.980000000000004</v>
      </c>
      <c r="E1219" t="str">
        <f t="shared" si="72"/>
        <v>WEEKDAY</v>
      </c>
      <c r="F1219" t="e">
        <f t="shared" si="73"/>
        <v>#N/A</v>
      </c>
      <c r="G1219" s="74">
        <v>32193</v>
      </c>
      <c r="H1219" s="77">
        <v>4.1666666666666664E-2</v>
      </c>
      <c r="J1219">
        <v>48.019999999999996</v>
      </c>
      <c r="M1219" s="74">
        <v>38037</v>
      </c>
      <c r="N1219" s="77">
        <v>4.1666666666666664E-2</v>
      </c>
      <c r="P1219">
        <v>28.4</v>
      </c>
      <c r="S1219" s="74">
        <v>34750</v>
      </c>
      <c r="T1219" s="77">
        <v>4.1666666666666664E-2</v>
      </c>
      <c r="V1219">
        <v>37.94</v>
      </c>
      <c r="X1219" s="42"/>
      <c r="AB1219">
        <v>34.1</v>
      </c>
      <c r="AC1219">
        <v>32</v>
      </c>
      <c r="AE1219" s="74"/>
      <c r="AF1219" s="77"/>
      <c r="AH1219" s="497">
        <v>32</v>
      </c>
      <c r="AJ1219" s="42"/>
      <c r="AK1219" s="74"/>
      <c r="AL1219" s="77"/>
      <c r="AN1219" s="497">
        <v>28.94</v>
      </c>
      <c r="AP1219" s="42"/>
      <c r="AQ1219" s="74"/>
      <c r="AR1219" s="77"/>
      <c r="AT1219" s="497">
        <v>33.979999999999997</v>
      </c>
      <c r="AV1219" s="42"/>
      <c r="AW1219" s="74"/>
      <c r="AX1219" s="77"/>
      <c r="BA1219" s="497">
        <v>33.08</v>
      </c>
      <c r="BB1219" s="42"/>
      <c r="BC1219" s="74"/>
      <c r="BD1219" s="77"/>
      <c r="BF1219">
        <v>41</v>
      </c>
      <c r="BH1219" s="42"/>
      <c r="BI1219" s="74"/>
      <c r="BJ1219" s="77"/>
      <c r="BL1219" s="497">
        <v>39.92</v>
      </c>
      <c r="BN1219" s="42"/>
      <c r="BO1219" s="74"/>
      <c r="BP1219" s="77"/>
      <c r="BR1219" s="497">
        <v>35.96</v>
      </c>
      <c r="BT1219" s="42"/>
    </row>
    <row r="1220" spans="1:72" x14ac:dyDescent="0.25">
      <c r="A1220" s="90">
        <v>34750</v>
      </c>
      <c r="B1220" s="20">
        <v>8.3333333333333329E-2</v>
      </c>
      <c r="D1220">
        <v>42.08</v>
      </c>
      <c r="E1220" t="str">
        <f t="shared" si="72"/>
        <v>WEEKDAY</v>
      </c>
      <c r="F1220" t="e">
        <f t="shared" si="73"/>
        <v>#N/A</v>
      </c>
      <c r="G1220" s="74">
        <v>32193</v>
      </c>
      <c r="H1220" s="77">
        <v>8.3333333333333329E-2</v>
      </c>
      <c r="J1220">
        <v>48.019999999999996</v>
      </c>
      <c r="M1220" s="74">
        <v>38037</v>
      </c>
      <c r="N1220" s="77">
        <v>8.3333333333333329E-2</v>
      </c>
      <c r="P1220">
        <v>28.4</v>
      </c>
      <c r="S1220" s="74">
        <v>34750</v>
      </c>
      <c r="T1220" s="77">
        <v>8.3333333333333329E-2</v>
      </c>
      <c r="V1220">
        <v>37.04</v>
      </c>
      <c r="X1220" s="42"/>
      <c r="AB1220">
        <v>33.6</v>
      </c>
      <c r="AC1220">
        <v>32</v>
      </c>
      <c r="AE1220" s="74"/>
      <c r="AF1220" s="77"/>
      <c r="AH1220" s="497">
        <v>32.9</v>
      </c>
      <c r="AJ1220" s="42"/>
      <c r="AK1220" s="74"/>
      <c r="AL1220" s="77"/>
      <c r="AN1220" s="497">
        <v>28.94</v>
      </c>
      <c r="AP1220" s="42"/>
      <c r="AQ1220" s="74"/>
      <c r="AR1220" s="77"/>
      <c r="AT1220" s="497">
        <v>33.979999999999997</v>
      </c>
      <c r="AV1220" s="42"/>
      <c r="AW1220" s="74"/>
      <c r="AX1220" s="77"/>
      <c r="BA1220" s="497">
        <v>32</v>
      </c>
      <c r="BB1220" s="42"/>
      <c r="BC1220" s="74"/>
      <c r="BD1220" s="77"/>
      <c r="BF1220">
        <v>39.92</v>
      </c>
      <c r="BH1220" s="42"/>
      <c r="BI1220" s="74"/>
      <c r="BJ1220" s="77"/>
      <c r="BL1220" s="497">
        <v>39.92</v>
      </c>
      <c r="BN1220" s="42"/>
      <c r="BO1220" s="74"/>
      <c r="BP1220" s="77"/>
      <c r="BR1220" s="497">
        <v>37.04</v>
      </c>
      <c r="BT1220" s="42"/>
    </row>
    <row r="1221" spans="1:72" x14ac:dyDescent="0.25">
      <c r="A1221" s="90">
        <v>34750</v>
      </c>
      <c r="B1221" s="20">
        <v>0.125</v>
      </c>
      <c r="D1221">
        <v>39.92</v>
      </c>
      <c r="E1221" t="str">
        <f t="shared" si="72"/>
        <v>WEEKDAY</v>
      </c>
      <c r="F1221" t="e">
        <f t="shared" si="73"/>
        <v>#N/A</v>
      </c>
      <c r="G1221" s="74">
        <v>32193</v>
      </c>
      <c r="H1221" s="77">
        <v>0.125</v>
      </c>
      <c r="J1221">
        <v>46.94</v>
      </c>
      <c r="M1221" s="74">
        <v>38037</v>
      </c>
      <c r="N1221" s="77">
        <v>0.125</v>
      </c>
      <c r="P1221">
        <v>26.6</v>
      </c>
      <c r="S1221" s="74">
        <v>34750</v>
      </c>
      <c r="T1221" s="77">
        <v>0.125</v>
      </c>
      <c r="V1221">
        <v>37.94</v>
      </c>
      <c r="X1221" s="42"/>
      <c r="AB1221">
        <v>33</v>
      </c>
      <c r="AC1221">
        <v>30.92</v>
      </c>
      <c r="AE1221" s="74"/>
      <c r="AF1221" s="77"/>
      <c r="AH1221" s="497">
        <v>32.9</v>
      </c>
      <c r="AJ1221" s="42"/>
      <c r="AK1221" s="74"/>
      <c r="AL1221" s="77"/>
      <c r="AN1221" s="497">
        <v>28.94</v>
      </c>
      <c r="AP1221" s="42"/>
      <c r="AQ1221" s="74"/>
      <c r="AR1221" s="77"/>
      <c r="AT1221" s="497">
        <v>33.979999999999997</v>
      </c>
      <c r="AV1221" s="42"/>
      <c r="AW1221" s="74"/>
      <c r="AX1221" s="77"/>
      <c r="BA1221" s="497">
        <v>32</v>
      </c>
      <c r="BB1221" s="42"/>
      <c r="BC1221" s="74"/>
      <c r="BD1221" s="77"/>
      <c r="BF1221">
        <v>35.96</v>
      </c>
      <c r="BH1221" s="42"/>
      <c r="BI1221" s="74"/>
      <c r="BJ1221" s="77"/>
      <c r="BL1221" s="497">
        <v>39.92</v>
      </c>
      <c r="BN1221" s="42"/>
      <c r="BO1221" s="74"/>
      <c r="BP1221" s="77"/>
      <c r="BR1221" s="497">
        <v>37.94</v>
      </c>
      <c r="BT1221" s="42"/>
    </row>
    <row r="1222" spans="1:72" x14ac:dyDescent="0.25">
      <c r="A1222" s="90">
        <v>34750</v>
      </c>
      <c r="B1222" s="20">
        <v>0.16666666666666666</v>
      </c>
      <c r="D1222">
        <v>41</v>
      </c>
      <c r="E1222" t="str">
        <f t="shared" si="72"/>
        <v>WEEKDAY</v>
      </c>
      <c r="F1222" t="e">
        <f t="shared" si="73"/>
        <v>#N/A</v>
      </c>
      <c r="G1222" s="74">
        <v>32193</v>
      </c>
      <c r="H1222" s="77">
        <v>0.16666666666666666</v>
      </c>
      <c r="J1222">
        <v>48.019999999999996</v>
      </c>
      <c r="M1222" s="74">
        <v>38037</v>
      </c>
      <c r="N1222" s="77">
        <v>0.16666666666666666</v>
      </c>
      <c r="P1222">
        <v>26.6</v>
      </c>
      <c r="S1222" s="74">
        <v>34750</v>
      </c>
      <c r="T1222" s="77">
        <v>0.16666666666666666</v>
      </c>
      <c r="V1222">
        <v>37.04</v>
      </c>
      <c r="X1222" s="42"/>
      <c r="AB1222">
        <v>32.5</v>
      </c>
      <c r="AC1222">
        <v>30.92</v>
      </c>
      <c r="AE1222" s="74"/>
      <c r="AF1222" s="77"/>
      <c r="AH1222" s="497">
        <v>33.979999999999997</v>
      </c>
      <c r="AJ1222" s="42"/>
      <c r="AK1222" s="74"/>
      <c r="AL1222" s="77"/>
      <c r="AN1222" s="497">
        <v>28.94</v>
      </c>
      <c r="AP1222" s="42"/>
      <c r="AQ1222" s="74"/>
      <c r="AR1222" s="77"/>
      <c r="AT1222" s="497">
        <v>35.06</v>
      </c>
      <c r="AV1222" s="42"/>
      <c r="AW1222" s="74"/>
      <c r="AX1222" s="77"/>
      <c r="BA1222" s="497">
        <v>32</v>
      </c>
      <c r="BB1222" s="42"/>
      <c r="BC1222" s="74"/>
      <c r="BD1222" s="77"/>
      <c r="BF1222">
        <v>33.979999999999997</v>
      </c>
      <c r="BH1222" s="42"/>
      <c r="BI1222" s="74"/>
      <c r="BJ1222" s="77"/>
      <c r="BL1222" s="497">
        <v>39.019999999999996</v>
      </c>
      <c r="BN1222" s="42"/>
      <c r="BO1222" s="74"/>
      <c r="BP1222" s="77"/>
      <c r="BR1222" s="497">
        <v>39.019999999999996</v>
      </c>
      <c r="BT1222" s="42"/>
    </row>
    <row r="1223" spans="1:72" x14ac:dyDescent="0.25">
      <c r="A1223" s="90">
        <v>34750</v>
      </c>
      <c r="B1223" s="20">
        <v>0.20833333333333334</v>
      </c>
      <c r="D1223">
        <v>39.019999999999996</v>
      </c>
      <c r="E1223" t="str">
        <f t="shared" si="72"/>
        <v>WEEKDAY</v>
      </c>
      <c r="F1223" t="e">
        <f t="shared" si="73"/>
        <v>#N/A</v>
      </c>
      <c r="G1223" s="74">
        <v>32193</v>
      </c>
      <c r="H1223" s="77">
        <v>0.20833333333333334</v>
      </c>
      <c r="J1223">
        <v>46.94</v>
      </c>
      <c r="M1223" s="74">
        <v>38037</v>
      </c>
      <c r="N1223" s="77">
        <v>0.20833333333333334</v>
      </c>
      <c r="P1223">
        <v>24.8</v>
      </c>
      <c r="S1223" s="74">
        <v>34750</v>
      </c>
      <c r="T1223" s="77">
        <v>0.20833333333333334</v>
      </c>
      <c r="V1223">
        <v>35.96</v>
      </c>
      <c r="X1223" s="42"/>
      <c r="AB1223">
        <v>32.200000000000003</v>
      </c>
      <c r="AC1223">
        <v>30.92</v>
      </c>
      <c r="AE1223" s="74"/>
      <c r="AF1223" s="77"/>
      <c r="AH1223" s="497">
        <v>39.92</v>
      </c>
      <c r="AJ1223" s="42"/>
      <c r="AK1223" s="74"/>
      <c r="AL1223" s="77"/>
      <c r="AN1223" s="497">
        <v>28.94</v>
      </c>
      <c r="AP1223" s="42"/>
      <c r="AQ1223" s="74"/>
      <c r="AR1223" s="77"/>
      <c r="AT1223" s="497">
        <v>35.06</v>
      </c>
      <c r="AV1223" s="42"/>
      <c r="AW1223" s="74"/>
      <c r="AX1223" s="77"/>
      <c r="BA1223" s="497">
        <v>32</v>
      </c>
      <c r="BB1223" s="42"/>
      <c r="BC1223" s="74"/>
      <c r="BD1223" s="77"/>
      <c r="BF1223">
        <v>33.08</v>
      </c>
      <c r="BH1223" s="42"/>
      <c r="BI1223" s="74"/>
      <c r="BJ1223" s="77"/>
      <c r="BL1223" s="497">
        <v>37.04</v>
      </c>
      <c r="BN1223" s="42"/>
      <c r="BO1223" s="74"/>
      <c r="BP1223" s="77"/>
      <c r="BR1223" s="497">
        <v>37.94</v>
      </c>
      <c r="BT1223" s="42"/>
    </row>
    <row r="1224" spans="1:72" x14ac:dyDescent="0.25">
      <c r="A1224" s="90">
        <v>34750</v>
      </c>
      <c r="B1224" s="20">
        <v>0.25</v>
      </c>
      <c r="D1224">
        <v>37.04</v>
      </c>
      <c r="E1224" t="str">
        <f t="shared" si="72"/>
        <v>WEEKDAY</v>
      </c>
      <c r="F1224" t="e">
        <f t="shared" si="73"/>
        <v>#N/A</v>
      </c>
      <c r="G1224" s="74">
        <v>32193</v>
      </c>
      <c r="H1224" s="77">
        <v>0.25</v>
      </c>
      <c r="J1224">
        <v>46.04</v>
      </c>
      <c r="M1224" s="74">
        <v>38037</v>
      </c>
      <c r="N1224" s="77">
        <v>0.25</v>
      </c>
      <c r="P1224">
        <v>23</v>
      </c>
      <c r="S1224" s="74">
        <v>34750</v>
      </c>
      <c r="T1224" s="77">
        <v>0.25</v>
      </c>
      <c r="V1224">
        <v>37.94</v>
      </c>
      <c r="X1224" s="42"/>
      <c r="AB1224">
        <v>31.9</v>
      </c>
      <c r="AC1224">
        <v>30.92</v>
      </c>
      <c r="AE1224" s="74"/>
      <c r="AF1224" s="77"/>
      <c r="AH1224" s="497">
        <v>41</v>
      </c>
      <c r="AJ1224" s="42"/>
      <c r="AK1224" s="74"/>
      <c r="AL1224" s="77"/>
      <c r="AN1224" s="497">
        <v>28.94</v>
      </c>
      <c r="AP1224" s="42"/>
      <c r="AQ1224" s="74"/>
      <c r="AR1224" s="77"/>
      <c r="AT1224" s="497">
        <v>35.06</v>
      </c>
      <c r="AV1224" s="42"/>
      <c r="AW1224" s="74"/>
      <c r="AX1224" s="77"/>
      <c r="BA1224" s="497">
        <v>32</v>
      </c>
      <c r="BB1224" s="42"/>
      <c r="BC1224" s="74"/>
      <c r="BD1224" s="77"/>
      <c r="BF1224">
        <v>33.979999999999997</v>
      </c>
      <c r="BH1224" s="42"/>
      <c r="BI1224" s="74"/>
      <c r="BJ1224" s="77"/>
      <c r="BL1224" s="497">
        <v>35.06</v>
      </c>
      <c r="BN1224" s="42"/>
      <c r="BO1224" s="74"/>
      <c r="BP1224" s="77"/>
      <c r="BR1224" s="497">
        <v>37.94</v>
      </c>
      <c r="BT1224" s="42"/>
    </row>
    <row r="1225" spans="1:72" x14ac:dyDescent="0.25">
      <c r="A1225" s="90">
        <v>34750</v>
      </c>
      <c r="B1225" s="20">
        <v>0.29166666666666669</v>
      </c>
      <c r="D1225">
        <v>37.04</v>
      </c>
      <c r="E1225" t="str">
        <f t="shared" si="72"/>
        <v>WEEKDAY</v>
      </c>
      <c r="F1225" t="e">
        <f t="shared" si="73"/>
        <v>#N/A</v>
      </c>
      <c r="G1225" s="74">
        <v>32193</v>
      </c>
      <c r="H1225" s="77">
        <v>0.29166666666666669</v>
      </c>
      <c r="J1225">
        <v>46.04</v>
      </c>
      <c r="M1225" s="74">
        <v>38037</v>
      </c>
      <c r="N1225" s="77">
        <v>0.29166666666666669</v>
      </c>
      <c r="P1225">
        <v>26.6</v>
      </c>
      <c r="S1225" s="74">
        <v>34750</v>
      </c>
      <c r="T1225" s="77">
        <v>0.29166666666666669</v>
      </c>
      <c r="V1225">
        <v>37.94</v>
      </c>
      <c r="X1225" s="42"/>
      <c r="AB1225">
        <v>31.7</v>
      </c>
      <c r="AC1225">
        <v>30.92</v>
      </c>
      <c r="AE1225" s="74"/>
      <c r="AF1225" s="77"/>
      <c r="AH1225" s="497">
        <v>41.9</v>
      </c>
      <c r="AJ1225" s="42"/>
      <c r="AK1225" s="74"/>
      <c r="AL1225" s="77"/>
      <c r="AN1225" s="497">
        <v>28.94</v>
      </c>
      <c r="AP1225" s="42"/>
      <c r="AQ1225" s="74"/>
      <c r="AR1225" s="77"/>
      <c r="AT1225" s="497">
        <v>35.06</v>
      </c>
      <c r="AV1225" s="42"/>
      <c r="AW1225" s="74"/>
      <c r="AX1225" s="77"/>
      <c r="BA1225" s="497">
        <v>33.08</v>
      </c>
      <c r="BB1225" s="42"/>
      <c r="BC1225" s="74"/>
      <c r="BD1225" s="77"/>
      <c r="BF1225">
        <v>33.08</v>
      </c>
      <c r="BH1225" s="42"/>
      <c r="BI1225" s="74"/>
      <c r="BJ1225" s="77"/>
      <c r="BL1225" s="497">
        <v>33.979999999999997</v>
      </c>
      <c r="BN1225" s="42"/>
      <c r="BO1225" s="74"/>
      <c r="BP1225" s="77"/>
      <c r="BR1225" s="497">
        <v>41</v>
      </c>
      <c r="BT1225" s="42"/>
    </row>
    <row r="1226" spans="1:72" x14ac:dyDescent="0.25">
      <c r="A1226" s="90">
        <v>34750</v>
      </c>
      <c r="B1226" s="20">
        <v>0.33333333333333331</v>
      </c>
      <c r="D1226">
        <v>39.92</v>
      </c>
      <c r="E1226" t="str">
        <f t="shared" si="72"/>
        <v>WEEKDAY</v>
      </c>
      <c r="F1226" t="e">
        <f t="shared" si="73"/>
        <v>#N/A</v>
      </c>
      <c r="G1226" s="74">
        <v>32193</v>
      </c>
      <c r="H1226" s="77">
        <v>0.33333333333333331</v>
      </c>
      <c r="J1226">
        <v>44.96</v>
      </c>
      <c r="M1226" s="74">
        <v>38037</v>
      </c>
      <c r="N1226" s="77">
        <v>0.33333333333333331</v>
      </c>
      <c r="P1226">
        <v>30.2</v>
      </c>
      <c r="S1226" s="74">
        <v>34750</v>
      </c>
      <c r="T1226" s="77">
        <v>0.33333333333333331</v>
      </c>
      <c r="V1226">
        <v>39.019999999999996</v>
      </c>
      <c r="X1226" s="42"/>
      <c r="AB1226">
        <v>31.7</v>
      </c>
      <c r="AC1226">
        <v>30.92</v>
      </c>
      <c r="AE1226" s="74"/>
      <c r="AF1226" s="77"/>
      <c r="AH1226" s="497">
        <v>42.980000000000004</v>
      </c>
      <c r="AJ1226" s="42"/>
      <c r="AK1226" s="74"/>
      <c r="AL1226" s="77"/>
      <c r="AN1226" s="497">
        <v>28.94</v>
      </c>
      <c r="AP1226" s="42"/>
      <c r="AQ1226" s="74"/>
      <c r="AR1226" s="77"/>
      <c r="AT1226" s="497">
        <v>37.04</v>
      </c>
      <c r="AV1226" s="42"/>
      <c r="AW1226" s="74"/>
      <c r="AX1226" s="77"/>
      <c r="BA1226" s="497">
        <v>33.08</v>
      </c>
      <c r="BB1226" s="42"/>
      <c r="BC1226" s="74"/>
      <c r="BD1226" s="77"/>
      <c r="BF1226">
        <v>33.08</v>
      </c>
      <c r="BH1226" s="42"/>
      <c r="BI1226" s="74"/>
      <c r="BJ1226" s="77"/>
      <c r="BL1226" s="497">
        <v>35.06</v>
      </c>
      <c r="BN1226" s="42"/>
      <c r="BO1226" s="74"/>
      <c r="BP1226" s="77"/>
      <c r="BR1226" s="497">
        <v>41</v>
      </c>
      <c r="BT1226" s="42"/>
    </row>
    <row r="1227" spans="1:72" x14ac:dyDescent="0.25">
      <c r="A1227" s="90">
        <v>34750</v>
      </c>
      <c r="B1227" s="20">
        <v>0.375</v>
      </c>
      <c r="D1227">
        <v>42.08</v>
      </c>
      <c r="E1227" t="str">
        <f t="shared" si="72"/>
        <v>WEEKDAY</v>
      </c>
      <c r="F1227" t="e">
        <f t="shared" si="73"/>
        <v>#N/A</v>
      </c>
      <c r="G1227" s="74">
        <v>32193</v>
      </c>
      <c r="H1227" s="77">
        <v>0.375</v>
      </c>
      <c r="J1227">
        <v>44.96</v>
      </c>
      <c r="M1227" s="74">
        <v>38037</v>
      </c>
      <c r="N1227" s="77">
        <v>0.375</v>
      </c>
      <c r="P1227">
        <v>32</v>
      </c>
      <c r="S1227" s="74">
        <v>34750</v>
      </c>
      <c r="T1227" s="77">
        <v>0.375</v>
      </c>
      <c r="V1227">
        <v>42.08</v>
      </c>
      <c r="X1227" s="42"/>
      <c r="AB1227">
        <v>33</v>
      </c>
      <c r="AC1227">
        <v>30.92</v>
      </c>
      <c r="AE1227" s="74"/>
      <c r="AF1227" s="77"/>
      <c r="AH1227" s="497">
        <v>42.980000000000004</v>
      </c>
      <c r="AJ1227" s="42"/>
      <c r="AK1227" s="74"/>
      <c r="AL1227" s="77"/>
      <c r="AN1227" s="497">
        <v>30.02</v>
      </c>
      <c r="AP1227" s="42"/>
      <c r="AQ1227" s="74"/>
      <c r="AR1227" s="77"/>
      <c r="AT1227" s="497">
        <v>37.04</v>
      </c>
      <c r="AV1227" s="42"/>
      <c r="AW1227" s="74"/>
      <c r="AX1227" s="77"/>
      <c r="BA1227" s="497">
        <v>33.08</v>
      </c>
      <c r="BB1227" s="42"/>
      <c r="BC1227" s="74"/>
      <c r="BD1227" s="77"/>
      <c r="BF1227">
        <v>33.979999999999997</v>
      </c>
      <c r="BH1227" s="42"/>
      <c r="BI1227" s="74"/>
      <c r="BJ1227" s="77"/>
      <c r="BL1227" s="497">
        <v>33.979999999999997</v>
      </c>
      <c r="BN1227" s="42"/>
      <c r="BO1227" s="74"/>
      <c r="BP1227" s="77"/>
      <c r="BR1227" s="497">
        <v>39.019999999999996</v>
      </c>
      <c r="BT1227" s="42"/>
    </row>
    <row r="1228" spans="1:72" x14ac:dyDescent="0.25">
      <c r="A1228" s="90">
        <v>34750</v>
      </c>
      <c r="B1228" s="20">
        <v>0.41666666666666669</v>
      </c>
      <c r="D1228">
        <v>42.980000000000004</v>
      </c>
      <c r="E1228" t="str">
        <f t="shared" si="72"/>
        <v>WEEKDAY</v>
      </c>
      <c r="F1228" t="e">
        <f t="shared" si="73"/>
        <v>#N/A</v>
      </c>
      <c r="G1228" s="74">
        <v>32193</v>
      </c>
      <c r="H1228" s="77">
        <v>0.41666666666666669</v>
      </c>
      <c r="J1228">
        <v>46.04</v>
      </c>
      <c r="M1228" s="74">
        <v>38037</v>
      </c>
      <c r="N1228" s="77">
        <v>0.41666666666666669</v>
      </c>
      <c r="P1228">
        <v>33.799999999999997</v>
      </c>
      <c r="S1228" s="74">
        <v>34750</v>
      </c>
      <c r="T1228" s="77">
        <v>0.41666666666666669</v>
      </c>
      <c r="V1228">
        <v>44.96</v>
      </c>
      <c r="X1228" s="42"/>
      <c r="AB1228">
        <v>34.700000000000003</v>
      </c>
      <c r="AC1228">
        <v>32</v>
      </c>
      <c r="AE1228" s="74"/>
      <c r="AF1228" s="77"/>
      <c r="AH1228" s="497">
        <v>42.980000000000004</v>
      </c>
      <c r="AJ1228" s="42"/>
      <c r="AK1228" s="74"/>
      <c r="AL1228" s="77"/>
      <c r="AN1228" s="497">
        <v>32</v>
      </c>
      <c r="AP1228" s="42"/>
      <c r="AQ1228" s="74"/>
      <c r="AR1228" s="77"/>
      <c r="AT1228" s="497">
        <v>37.94</v>
      </c>
      <c r="AV1228" s="42"/>
      <c r="AW1228" s="74"/>
      <c r="AX1228" s="77"/>
      <c r="BA1228" s="497">
        <v>33.979999999999997</v>
      </c>
      <c r="BB1228" s="42"/>
      <c r="BC1228" s="74"/>
      <c r="BD1228" s="77"/>
      <c r="BF1228">
        <v>33.979999999999997</v>
      </c>
      <c r="BH1228" s="42"/>
      <c r="BI1228" s="74"/>
      <c r="BJ1228" s="77"/>
      <c r="BL1228" s="497">
        <v>35.96</v>
      </c>
      <c r="BN1228" s="42"/>
      <c r="BO1228" s="74"/>
      <c r="BP1228" s="77"/>
      <c r="BR1228" s="497">
        <v>37.94</v>
      </c>
      <c r="BT1228" s="42"/>
    </row>
    <row r="1229" spans="1:72" x14ac:dyDescent="0.25">
      <c r="A1229" s="90">
        <v>34750</v>
      </c>
      <c r="B1229" s="20">
        <v>0.45833333333333331</v>
      </c>
      <c r="D1229">
        <v>44.06</v>
      </c>
      <c r="E1229" t="str">
        <f t="shared" si="72"/>
        <v>WEEKDAY</v>
      </c>
      <c r="F1229" t="e">
        <f t="shared" si="73"/>
        <v>#N/A</v>
      </c>
      <c r="G1229" s="74">
        <v>32193</v>
      </c>
      <c r="H1229" s="77">
        <v>0.45833333333333331</v>
      </c>
      <c r="J1229">
        <v>48.019999999999996</v>
      </c>
      <c r="M1229" s="74">
        <v>38037</v>
      </c>
      <c r="N1229" s="77">
        <v>0.45833333333333331</v>
      </c>
      <c r="P1229">
        <v>35.6</v>
      </c>
      <c r="S1229" s="74">
        <v>34750</v>
      </c>
      <c r="T1229" s="77">
        <v>0.45833333333333331</v>
      </c>
      <c r="V1229">
        <v>46.94</v>
      </c>
      <c r="X1229" s="42"/>
      <c r="AB1229">
        <v>36.299999999999997</v>
      </c>
      <c r="AC1229">
        <v>33.979999999999997</v>
      </c>
      <c r="AE1229" s="74"/>
      <c r="AF1229" s="77"/>
      <c r="AH1229" s="497">
        <v>43.879999999999995</v>
      </c>
      <c r="AJ1229" s="42"/>
      <c r="AK1229" s="74"/>
      <c r="AL1229" s="77"/>
      <c r="AN1229" s="497">
        <v>32</v>
      </c>
      <c r="AP1229" s="42"/>
      <c r="AQ1229" s="74"/>
      <c r="AR1229" s="77"/>
      <c r="AT1229" s="497">
        <v>37.94</v>
      </c>
      <c r="AV1229" s="42"/>
      <c r="AW1229" s="74"/>
      <c r="AX1229" s="77"/>
      <c r="BA1229" s="497">
        <v>33.979999999999997</v>
      </c>
      <c r="BB1229" s="42"/>
      <c r="BC1229" s="74"/>
      <c r="BD1229" s="77"/>
      <c r="BF1229">
        <v>35.96</v>
      </c>
      <c r="BH1229" s="42"/>
      <c r="BI1229" s="74"/>
      <c r="BJ1229" s="77"/>
      <c r="BL1229" s="497">
        <v>39.019999999999996</v>
      </c>
      <c r="BN1229" s="42"/>
      <c r="BO1229" s="74"/>
      <c r="BP1229" s="77"/>
      <c r="BR1229" s="497">
        <v>37.04</v>
      </c>
      <c r="BT1229" s="42"/>
    </row>
    <row r="1230" spans="1:72" x14ac:dyDescent="0.25">
      <c r="A1230" s="90">
        <v>34750</v>
      </c>
      <c r="B1230" s="20">
        <v>0.5</v>
      </c>
      <c r="D1230">
        <v>44.06</v>
      </c>
      <c r="E1230" t="str">
        <f t="shared" si="72"/>
        <v>WEEKDAY</v>
      </c>
      <c r="F1230" t="e">
        <f t="shared" si="73"/>
        <v>#N/A</v>
      </c>
      <c r="G1230" s="74">
        <v>32193</v>
      </c>
      <c r="H1230" s="77">
        <v>0.5</v>
      </c>
      <c r="J1230">
        <v>48.92</v>
      </c>
      <c r="M1230" s="74">
        <v>38037</v>
      </c>
      <c r="N1230" s="77">
        <v>0.5</v>
      </c>
      <c r="P1230">
        <v>35.6</v>
      </c>
      <c r="S1230" s="74">
        <v>34750</v>
      </c>
      <c r="T1230" s="77">
        <v>0.5</v>
      </c>
      <c r="V1230">
        <v>50</v>
      </c>
      <c r="X1230" s="42"/>
      <c r="AB1230">
        <v>37.700000000000003</v>
      </c>
      <c r="AC1230">
        <v>33.979999999999997</v>
      </c>
      <c r="AE1230" s="74"/>
      <c r="AF1230" s="77"/>
      <c r="AH1230" s="497">
        <v>45.86</v>
      </c>
      <c r="AJ1230" s="42"/>
      <c r="AK1230" s="74"/>
      <c r="AL1230" s="77"/>
      <c r="AN1230" s="497">
        <v>33.08</v>
      </c>
      <c r="AP1230" s="42"/>
      <c r="AQ1230" s="74"/>
      <c r="AR1230" s="77"/>
      <c r="AT1230" s="497">
        <v>39.019999999999996</v>
      </c>
      <c r="AV1230" s="42"/>
      <c r="AW1230" s="74"/>
      <c r="AX1230" s="77"/>
      <c r="BA1230" s="497">
        <v>33.979999999999997</v>
      </c>
      <c r="BB1230" s="42"/>
      <c r="BC1230" s="74"/>
      <c r="BD1230" s="77"/>
      <c r="BF1230">
        <v>35.06</v>
      </c>
      <c r="BH1230" s="42"/>
      <c r="BI1230" s="74"/>
      <c r="BJ1230" s="77"/>
      <c r="BL1230" s="497">
        <v>39.019999999999996</v>
      </c>
      <c r="BN1230" s="42"/>
      <c r="BO1230" s="74"/>
      <c r="BP1230" s="77"/>
      <c r="BR1230" s="497">
        <v>37.04</v>
      </c>
      <c r="BT1230" s="42"/>
    </row>
    <row r="1231" spans="1:72" x14ac:dyDescent="0.25">
      <c r="A1231" s="90">
        <v>34750</v>
      </c>
      <c r="B1231" s="20">
        <v>0.54166666666666663</v>
      </c>
      <c r="D1231">
        <v>44.96</v>
      </c>
      <c r="E1231" t="str">
        <f t="shared" si="72"/>
        <v>WEEKDAY</v>
      </c>
      <c r="F1231" t="e">
        <f t="shared" si="73"/>
        <v>#N/A</v>
      </c>
      <c r="G1231" s="74">
        <v>32193</v>
      </c>
      <c r="H1231" s="77">
        <v>0.54166666666666663</v>
      </c>
      <c r="J1231">
        <v>48.92</v>
      </c>
      <c r="M1231" s="74">
        <v>38037</v>
      </c>
      <c r="N1231" s="77">
        <v>0.54166666666666663</v>
      </c>
      <c r="P1231">
        <v>35.6</v>
      </c>
      <c r="S1231" s="74">
        <v>34750</v>
      </c>
      <c r="T1231" s="77">
        <v>0.54166666666666663</v>
      </c>
      <c r="V1231">
        <v>48.92</v>
      </c>
      <c r="X1231" s="42"/>
      <c r="AB1231">
        <v>38.9</v>
      </c>
      <c r="AC1231">
        <v>35.96</v>
      </c>
      <c r="AE1231" s="74"/>
      <c r="AF1231" s="77"/>
      <c r="AH1231" s="497">
        <v>45.86</v>
      </c>
      <c r="AJ1231" s="42"/>
      <c r="AK1231" s="74"/>
      <c r="AL1231" s="77"/>
      <c r="AN1231" s="497">
        <v>33.979999999999997</v>
      </c>
      <c r="AP1231" s="42"/>
      <c r="AQ1231" s="74"/>
      <c r="AR1231" s="77"/>
      <c r="AT1231" s="497">
        <v>39.019999999999996</v>
      </c>
      <c r="AV1231" s="42"/>
      <c r="AW1231" s="74"/>
      <c r="AX1231" s="77"/>
      <c r="BA1231" s="497">
        <v>35.96</v>
      </c>
      <c r="BB1231" s="42"/>
      <c r="BC1231" s="74"/>
      <c r="BD1231" s="77"/>
      <c r="BF1231">
        <v>37.94</v>
      </c>
      <c r="BH1231" s="42"/>
      <c r="BI1231" s="74"/>
      <c r="BJ1231" s="77"/>
      <c r="BL1231" s="497">
        <v>39.019999999999996</v>
      </c>
      <c r="BN1231" s="42"/>
      <c r="BO1231" s="74"/>
      <c r="BP1231" s="77"/>
      <c r="BR1231" s="497">
        <v>37.94</v>
      </c>
      <c r="BT1231" s="42"/>
    </row>
    <row r="1232" spans="1:72" x14ac:dyDescent="0.25">
      <c r="A1232" s="90">
        <v>34750</v>
      </c>
      <c r="B1232" s="20">
        <v>0.58333333333333337</v>
      </c>
      <c r="D1232">
        <v>44.06</v>
      </c>
      <c r="E1232" t="str">
        <f t="shared" si="72"/>
        <v>WEEKDAY</v>
      </c>
      <c r="F1232" t="e">
        <f t="shared" si="73"/>
        <v>#N/A</v>
      </c>
      <c r="G1232" s="74">
        <v>32193</v>
      </c>
      <c r="H1232" s="77">
        <v>0.58333333333333337</v>
      </c>
      <c r="J1232">
        <v>48.92</v>
      </c>
      <c r="M1232" s="74">
        <v>38037</v>
      </c>
      <c r="N1232" s="77">
        <v>0.58333333333333337</v>
      </c>
      <c r="P1232">
        <v>37.4</v>
      </c>
      <c r="S1232" s="74">
        <v>34750</v>
      </c>
      <c r="T1232" s="77">
        <v>0.58333333333333337</v>
      </c>
      <c r="V1232">
        <v>48.019999999999996</v>
      </c>
      <c r="X1232" s="42"/>
      <c r="AB1232">
        <v>39.799999999999997</v>
      </c>
      <c r="AC1232">
        <v>37.04</v>
      </c>
      <c r="AE1232" s="74"/>
      <c r="AF1232" s="77"/>
      <c r="AH1232" s="497">
        <v>47.84</v>
      </c>
      <c r="AJ1232" s="42"/>
      <c r="AK1232" s="74"/>
      <c r="AL1232" s="77"/>
      <c r="AN1232" s="497">
        <v>35.06</v>
      </c>
      <c r="AP1232" s="42"/>
      <c r="AQ1232" s="74"/>
      <c r="AR1232" s="77"/>
      <c r="AT1232" s="497">
        <v>37.94</v>
      </c>
      <c r="AV1232" s="42"/>
      <c r="AW1232" s="74"/>
      <c r="AX1232" s="77"/>
      <c r="BA1232" s="497">
        <v>37.04</v>
      </c>
      <c r="BB1232" s="42"/>
      <c r="BC1232" s="74"/>
      <c r="BD1232" s="77"/>
      <c r="BF1232">
        <v>39.92</v>
      </c>
      <c r="BH1232" s="42"/>
      <c r="BI1232" s="74"/>
      <c r="BJ1232" s="77"/>
      <c r="BL1232" s="497">
        <v>39.92</v>
      </c>
      <c r="BN1232" s="42"/>
      <c r="BO1232" s="74"/>
      <c r="BP1232" s="77"/>
      <c r="BR1232" s="497">
        <v>39.92</v>
      </c>
      <c r="BT1232" s="42"/>
    </row>
    <row r="1233" spans="1:72" x14ac:dyDescent="0.25">
      <c r="A1233" s="90">
        <v>34750</v>
      </c>
      <c r="B1233" s="20">
        <v>0.625</v>
      </c>
      <c r="D1233">
        <v>44.06</v>
      </c>
      <c r="E1233" t="str">
        <f t="shared" si="72"/>
        <v>WEEKDAY</v>
      </c>
      <c r="F1233" t="e">
        <f t="shared" si="73"/>
        <v>#N/A</v>
      </c>
      <c r="G1233" s="74">
        <v>32193</v>
      </c>
      <c r="H1233" s="77">
        <v>0.625</v>
      </c>
      <c r="J1233">
        <v>48.92</v>
      </c>
      <c r="M1233" s="74">
        <v>38037</v>
      </c>
      <c r="N1233" s="77">
        <v>0.625</v>
      </c>
      <c r="P1233">
        <v>37.4</v>
      </c>
      <c r="S1233" s="74">
        <v>34750</v>
      </c>
      <c r="T1233" s="77">
        <v>0.625</v>
      </c>
      <c r="V1233">
        <v>46.94</v>
      </c>
      <c r="X1233" s="42"/>
      <c r="AB1233">
        <v>40.4</v>
      </c>
      <c r="AC1233">
        <v>37.94</v>
      </c>
      <c r="AE1233" s="74"/>
      <c r="AF1233" s="77"/>
      <c r="AH1233" s="497">
        <v>47.84</v>
      </c>
      <c r="AJ1233" s="42"/>
      <c r="AK1233" s="74"/>
      <c r="AL1233" s="77"/>
      <c r="AN1233" s="497">
        <v>33.979999999999997</v>
      </c>
      <c r="AP1233" s="42"/>
      <c r="AQ1233" s="74"/>
      <c r="AR1233" s="77"/>
      <c r="AT1233" s="497">
        <v>44.06</v>
      </c>
      <c r="AV1233" s="42"/>
      <c r="AW1233" s="74"/>
      <c r="AX1233" s="77"/>
      <c r="BA1233" s="497">
        <v>39.019999999999996</v>
      </c>
      <c r="BB1233" s="42"/>
      <c r="BC1233" s="74"/>
      <c r="BD1233" s="77"/>
      <c r="BF1233">
        <v>35.96</v>
      </c>
      <c r="BH1233" s="42"/>
      <c r="BI1233" s="74"/>
      <c r="BJ1233" s="77"/>
      <c r="BL1233" s="497">
        <v>42.980000000000004</v>
      </c>
      <c r="BN1233" s="42"/>
      <c r="BO1233" s="74"/>
      <c r="BP1233" s="77"/>
      <c r="BR1233" s="497">
        <v>39.019999999999996</v>
      </c>
      <c r="BT1233" s="42"/>
    </row>
    <row r="1234" spans="1:72" x14ac:dyDescent="0.25">
      <c r="A1234" s="90">
        <v>34750</v>
      </c>
      <c r="B1234" s="20">
        <v>0.66666666666666663</v>
      </c>
      <c r="D1234">
        <v>44.96</v>
      </c>
      <c r="E1234" t="str">
        <f t="shared" si="72"/>
        <v>WEEKDAY</v>
      </c>
      <c r="F1234" t="e">
        <f t="shared" si="73"/>
        <v>#N/A</v>
      </c>
      <c r="G1234" s="74">
        <v>32193</v>
      </c>
      <c r="H1234" s="77">
        <v>0.66666666666666663</v>
      </c>
      <c r="J1234">
        <v>48.92</v>
      </c>
      <c r="M1234" s="74">
        <v>38037</v>
      </c>
      <c r="N1234" s="77">
        <v>0.66666666666666663</v>
      </c>
      <c r="P1234">
        <v>35.6</v>
      </c>
      <c r="S1234" s="74">
        <v>34750</v>
      </c>
      <c r="T1234" s="77">
        <v>0.66666666666666663</v>
      </c>
      <c r="V1234">
        <v>44.96</v>
      </c>
      <c r="X1234" s="42"/>
      <c r="AB1234">
        <v>40.5</v>
      </c>
      <c r="AC1234">
        <v>37.94</v>
      </c>
      <c r="AE1234" s="74"/>
      <c r="AF1234" s="77"/>
      <c r="AH1234" s="497">
        <v>47.84</v>
      </c>
      <c r="AJ1234" s="42"/>
      <c r="AK1234" s="74"/>
      <c r="AL1234" s="77"/>
      <c r="AN1234" s="497">
        <v>33.979999999999997</v>
      </c>
      <c r="AP1234" s="42"/>
      <c r="AQ1234" s="74"/>
      <c r="AR1234" s="77"/>
      <c r="AT1234" s="497">
        <v>42.980000000000004</v>
      </c>
      <c r="AV1234" s="42"/>
      <c r="AW1234" s="74"/>
      <c r="AX1234" s="77"/>
      <c r="BA1234" s="497">
        <v>35.96</v>
      </c>
      <c r="BB1234" s="42"/>
      <c r="BC1234" s="74"/>
      <c r="BD1234" s="77"/>
      <c r="BF1234">
        <v>33.08</v>
      </c>
      <c r="BH1234" s="42"/>
      <c r="BI1234" s="74"/>
      <c r="BJ1234" s="77"/>
      <c r="BL1234" s="497">
        <v>41</v>
      </c>
      <c r="BN1234" s="42"/>
      <c r="BO1234" s="74"/>
      <c r="BP1234" s="77"/>
      <c r="BR1234" s="497">
        <v>35.96</v>
      </c>
      <c r="BT1234" s="42"/>
    </row>
    <row r="1235" spans="1:72" x14ac:dyDescent="0.25">
      <c r="A1235" s="90">
        <v>34750</v>
      </c>
      <c r="B1235" s="20">
        <v>0.70833333333333337</v>
      </c>
      <c r="D1235">
        <v>44.96</v>
      </c>
      <c r="E1235" t="str">
        <f t="shared" ref="E1235:E1298" si="74">IF(COUNTIF($DI$18:$DI$22, WEEKDAY(A1235))=1, "WEEKDAY", IF(WEEKDAY(A1235) = 1, "SUNDAY", "SATURDAY"))</f>
        <v>WEEKDAY</v>
      </c>
      <c r="F1235" t="e">
        <f t="shared" si="73"/>
        <v>#N/A</v>
      </c>
      <c r="G1235" s="74">
        <v>32193</v>
      </c>
      <c r="H1235" s="77">
        <v>0.70833333333333337</v>
      </c>
      <c r="J1235">
        <v>48.92</v>
      </c>
      <c r="M1235" s="74">
        <v>38037</v>
      </c>
      <c r="N1235" s="77">
        <v>0.70833333333333337</v>
      </c>
      <c r="P1235">
        <v>35.6</v>
      </c>
      <c r="S1235" s="74">
        <v>34750</v>
      </c>
      <c r="T1235" s="77">
        <v>0.70833333333333337</v>
      </c>
      <c r="V1235">
        <v>44.06</v>
      </c>
      <c r="X1235" s="42"/>
      <c r="AB1235">
        <v>40.1</v>
      </c>
      <c r="AC1235">
        <v>37.04</v>
      </c>
      <c r="AE1235" s="74"/>
      <c r="AF1235" s="77"/>
      <c r="AH1235" s="497">
        <v>46.94</v>
      </c>
      <c r="AJ1235" s="42"/>
      <c r="AK1235" s="74"/>
      <c r="AL1235" s="77"/>
      <c r="AN1235" s="497">
        <v>33.08</v>
      </c>
      <c r="AP1235" s="42"/>
      <c r="AQ1235" s="74"/>
      <c r="AR1235" s="77"/>
      <c r="AT1235" s="497">
        <v>41</v>
      </c>
      <c r="AV1235" s="42"/>
      <c r="AW1235" s="74"/>
      <c r="AX1235" s="77"/>
      <c r="BA1235" s="497">
        <v>35.96</v>
      </c>
      <c r="BB1235" s="42"/>
      <c r="BC1235" s="74"/>
      <c r="BD1235" s="77"/>
      <c r="BF1235">
        <v>35.06</v>
      </c>
      <c r="BH1235" s="42"/>
      <c r="BI1235" s="74"/>
      <c r="BJ1235" s="77"/>
      <c r="BL1235" s="497">
        <v>33.08</v>
      </c>
      <c r="BN1235" s="42"/>
      <c r="BO1235" s="74"/>
      <c r="BP1235" s="77"/>
      <c r="BR1235" s="497">
        <v>37.04</v>
      </c>
      <c r="BT1235" s="42"/>
    </row>
    <row r="1236" spans="1:72" x14ac:dyDescent="0.25">
      <c r="A1236" s="90">
        <v>34750</v>
      </c>
      <c r="B1236" s="20">
        <v>0.75</v>
      </c>
      <c r="D1236">
        <v>41</v>
      </c>
      <c r="E1236" t="str">
        <f t="shared" si="74"/>
        <v>WEEKDAY</v>
      </c>
      <c r="F1236" t="e">
        <f t="shared" si="73"/>
        <v>#N/A</v>
      </c>
      <c r="G1236" s="74">
        <v>32193</v>
      </c>
      <c r="H1236" s="77">
        <v>0.75</v>
      </c>
      <c r="J1236">
        <v>48.019999999999996</v>
      </c>
      <c r="M1236" s="74">
        <v>38037</v>
      </c>
      <c r="N1236" s="77">
        <v>0.75</v>
      </c>
      <c r="P1236">
        <v>33.799999999999997</v>
      </c>
      <c r="S1236" s="74">
        <v>34750</v>
      </c>
      <c r="T1236" s="77">
        <v>0.75</v>
      </c>
      <c r="V1236">
        <v>41</v>
      </c>
      <c r="X1236" s="42"/>
      <c r="AB1236">
        <v>39.1</v>
      </c>
      <c r="AC1236">
        <v>33.979999999999997</v>
      </c>
      <c r="AE1236" s="74"/>
      <c r="AF1236" s="77"/>
      <c r="AH1236" s="497">
        <v>47.84</v>
      </c>
      <c r="AJ1236" s="42"/>
      <c r="AK1236" s="74"/>
      <c r="AL1236" s="77"/>
      <c r="AN1236" s="497">
        <v>32</v>
      </c>
      <c r="AP1236" s="42"/>
      <c r="AQ1236" s="74"/>
      <c r="AR1236" s="77"/>
      <c r="AT1236" s="497">
        <v>37.94</v>
      </c>
      <c r="AV1236" s="42"/>
      <c r="AW1236" s="74"/>
      <c r="AX1236" s="77"/>
      <c r="BA1236" s="497">
        <v>35.06</v>
      </c>
      <c r="BB1236" s="42"/>
      <c r="BC1236" s="74"/>
      <c r="BD1236" s="77"/>
      <c r="BF1236">
        <v>33.979999999999997</v>
      </c>
      <c r="BH1236" s="42"/>
      <c r="BI1236" s="74"/>
      <c r="BJ1236" s="77"/>
      <c r="BL1236" s="497">
        <v>35.06</v>
      </c>
      <c r="BN1236" s="42"/>
      <c r="BO1236" s="74"/>
      <c r="BP1236" s="77"/>
      <c r="BR1236" s="497">
        <v>37.04</v>
      </c>
      <c r="BT1236" s="42"/>
    </row>
    <row r="1237" spans="1:72" x14ac:dyDescent="0.25">
      <c r="A1237" s="90">
        <v>34750</v>
      </c>
      <c r="B1237" s="20">
        <v>0.79166666666666663</v>
      </c>
      <c r="D1237">
        <v>39.92</v>
      </c>
      <c r="E1237" t="str">
        <f t="shared" si="74"/>
        <v>WEEKDAY</v>
      </c>
      <c r="F1237" t="e">
        <f t="shared" si="73"/>
        <v>#N/A</v>
      </c>
      <c r="G1237" s="74">
        <v>32193</v>
      </c>
      <c r="H1237" s="77">
        <v>0.79166666666666663</v>
      </c>
      <c r="J1237">
        <v>46.94</v>
      </c>
      <c r="M1237" s="74">
        <v>38037</v>
      </c>
      <c r="N1237" s="77">
        <v>0.79166666666666663</v>
      </c>
      <c r="P1237">
        <v>32</v>
      </c>
      <c r="S1237" s="74">
        <v>34750</v>
      </c>
      <c r="T1237" s="77">
        <v>0.79166666666666663</v>
      </c>
      <c r="V1237">
        <v>39.019999999999996</v>
      </c>
      <c r="X1237" s="42"/>
      <c r="AB1237">
        <v>37.799999999999997</v>
      </c>
      <c r="AC1237">
        <v>33.08</v>
      </c>
      <c r="AE1237" s="74"/>
      <c r="AF1237" s="77"/>
      <c r="AH1237" s="497">
        <v>47.84</v>
      </c>
      <c r="AJ1237" s="42"/>
      <c r="AK1237" s="74"/>
      <c r="AL1237" s="77"/>
      <c r="AN1237" s="497">
        <v>32</v>
      </c>
      <c r="AP1237" s="42"/>
      <c r="AQ1237" s="74"/>
      <c r="AR1237" s="77"/>
      <c r="AT1237" s="497">
        <v>37.94</v>
      </c>
      <c r="AV1237" s="42"/>
      <c r="AW1237" s="74"/>
      <c r="AX1237" s="77"/>
      <c r="BA1237" s="497">
        <v>33.979999999999997</v>
      </c>
      <c r="BB1237" s="42"/>
      <c r="BC1237" s="74"/>
      <c r="BD1237" s="77"/>
      <c r="BF1237">
        <v>30.02</v>
      </c>
      <c r="BH1237" s="42"/>
      <c r="BI1237" s="74"/>
      <c r="BJ1237" s="77"/>
      <c r="BL1237" s="497">
        <v>35.06</v>
      </c>
      <c r="BN1237" s="42"/>
      <c r="BO1237" s="74"/>
      <c r="BP1237" s="77"/>
      <c r="BR1237" s="497">
        <v>37.04</v>
      </c>
      <c r="BT1237" s="42"/>
    </row>
    <row r="1238" spans="1:72" x14ac:dyDescent="0.25">
      <c r="A1238" s="90">
        <v>34750</v>
      </c>
      <c r="B1238" s="20">
        <v>0.83333333333333337</v>
      </c>
      <c r="D1238">
        <v>39.019999999999996</v>
      </c>
      <c r="E1238" t="str">
        <f t="shared" si="74"/>
        <v>WEEKDAY</v>
      </c>
      <c r="F1238" t="e">
        <f t="shared" si="73"/>
        <v>#N/A</v>
      </c>
      <c r="G1238" s="74">
        <v>32193</v>
      </c>
      <c r="H1238" s="77">
        <v>0.83333333333333337</v>
      </c>
      <c r="J1238">
        <v>46.94</v>
      </c>
      <c r="M1238" s="74">
        <v>38037</v>
      </c>
      <c r="N1238" s="77">
        <v>0.83333333333333337</v>
      </c>
      <c r="P1238">
        <v>30.2</v>
      </c>
      <c r="S1238" s="74">
        <v>34750</v>
      </c>
      <c r="T1238" s="77">
        <v>0.83333333333333337</v>
      </c>
      <c r="V1238">
        <v>37.04</v>
      </c>
      <c r="X1238" s="42"/>
      <c r="AB1238">
        <v>37.299999999999997</v>
      </c>
      <c r="AC1238">
        <v>33.979999999999997</v>
      </c>
      <c r="AE1238" s="74"/>
      <c r="AF1238" s="77"/>
      <c r="AH1238" s="497">
        <v>47.84</v>
      </c>
      <c r="AJ1238" s="42"/>
      <c r="AK1238" s="74"/>
      <c r="AL1238" s="77"/>
      <c r="AN1238" s="497">
        <v>32</v>
      </c>
      <c r="AP1238" s="42"/>
      <c r="AQ1238" s="74"/>
      <c r="AR1238" s="77"/>
      <c r="AT1238" s="497">
        <v>35.06</v>
      </c>
      <c r="AV1238" s="42"/>
      <c r="AW1238" s="74"/>
      <c r="AX1238" s="77"/>
      <c r="BA1238" s="497">
        <v>33.979999999999997</v>
      </c>
      <c r="BB1238" s="42"/>
      <c r="BC1238" s="74"/>
      <c r="BD1238" s="77"/>
      <c r="BF1238">
        <v>24.08</v>
      </c>
      <c r="BH1238" s="42"/>
      <c r="BI1238" s="74"/>
      <c r="BJ1238" s="77"/>
      <c r="BL1238" s="497">
        <v>30.02</v>
      </c>
      <c r="BN1238" s="42"/>
      <c r="BO1238" s="74"/>
      <c r="BP1238" s="77"/>
      <c r="BR1238" s="497">
        <v>35.96</v>
      </c>
      <c r="BT1238" s="42"/>
    </row>
    <row r="1239" spans="1:72" x14ac:dyDescent="0.25">
      <c r="A1239" s="90">
        <v>34750</v>
      </c>
      <c r="B1239" s="20">
        <v>0.875</v>
      </c>
      <c r="D1239">
        <v>37.94</v>
      </c>
      <c r="E1239" t="str">
        <f t="shared" si="74"/>
        <v>WEEKDAY</v>
      </c>
      <c r="F1239" t="e">
        <f t="shared" si="73"/>
        <v>#N/A</v>
      </c>
      <c r="G1239" s="74">
        <v>32193</v>
      </c>
      <c r="H1239" s="77">
        <v>0.875</v>
      </c>
      <c r="J1239">
        <v>46.94</v>
      </c>
      <c r="M1239" s="74">
        <v>38037</v>
      </c>
      <c r="N1239" s="77">
        <v>0.875</v>
      </c>
      <c r="P1239">
        <v>32</v>
      </c>
      <c r="S1239" s="74">
        <v>34750</v>
      </c>
      <c r="T1239" s="77">
        <v>0.875</v>
      </c>
      <c r="V1239">
        <v>37.94</v>
      </c>
      <c r="X1239" s="42"/>
      <c r="AB1239">
        <v>36.700000000000003</v>
      </c>
      <c r="AC1239">
        <v>33.08</v>
      </c>
      <c r="AE1239" s="74"/>
      <c r="AF1239" s="77"/>
      <c r="AH1239" s="497">
        <v>48.92</v>
      </c>
      <c r="AJ1239" s="42"/>
      <c r="AK1239" s="74"/>
      <c r="AL1239" s="77"/>
      <c r="AN1239" s="497">
        <v>30.92</v>
      </c>
      <c r="AP1239" s="42"/>
      <c r="AQ1239" s="74"/>
      <c r="AR1239" s="77"/>
      <c r="AT1239" s="497">
        <v>35.06</v>
      </c>
      <c r="AV1239" s="42"/>
      <c r="AW1239" s="74"/>
      <c r="AX1239" s="77"/>
      <c r="BA1239" s="497">
        <v>33.979999999999997</v>
      </c>
      <c r="BB1239" s="42"/>
      <c r="BC1239" s="74"/>
      <c r="BD1239" s="77"/>
      <c r="BF1239">
        <v>21.92</v>
      </c>
      <c r="BH1239" s="42"/>
      <c r="BI1239" s="74"/>
      <c r="BJ1239" s="77"/>
      <c r="BL1239" s="497">
        <v>24.98</v>
      </c>
      <c r="BN1239" s="42"/>
      <c r="BO1239" s="74"/>
      <c r="BP1239" s="77"/>
      <c r="BR1239" s="497">
        <v>35.06</v>
      </c>
      <c r="BT1239" s="42"/>
    </row>
    <row r="1240" spans="1:72" x14ac:dyDescent="0.25">
      <c r="A1240" s="90">
        <v>34750</v>
      </c>
      <c r="B1240" s="20">
        <v>0.91666666666666663</v>
      </c>
      <c r="D1240">
        <v>37.94</v>
      </c>
      <c r="E1240" t="str">
        <f t="shared" si="74"/>
        <v>WEEKDAY</v>
      </c>
      <c r="F1240" t="e">
        <f t="shared" si="73"/>
        <v>#N/A</v>
      </c>
      <c r="G1240" s="74">
        <v>32193</v>
      </c>
      <c r="H1240" s="77">
        <v>0.91666666666666663</v>
      </c>
      <c r="J1240">
        <v>46.94</v>
      </c>
      <c r="M1240" s="74">
        <v>38037</v>
      </c>
      <c r="N1240" s="77">
        <v>0.91666666666666663</v>
      </c>
      <c r="P1240">
        <v>33.799999999999997</v>
      </c>
      <c r="S1240" s="74">
        <v>34750</v>
      </c>
      <c r="T1240" s="77">
        <v>0.91666666666666663</v>
      </c>
      <c r="V1240">
        <v>39.019999999999996</v>
      </c>
      <c r="X1240" s="42"/>
      <c r="AB1240">
        <v>36.1</v>
      </c>
      <c r="AC1240">
        <v>33.08</v>
      </c>
      <c r="AE1240" s="74"/>
      <c r="AF1240" s="77"/>
      <c r="AH1240" s="497">
        <v>48.92</v>
      </c>
      <c r="AJ1240" s="42"/>
      <c r="AK1240" s="74"/>
      <c r="AL1240" s="77"/>
      <c r="AN1240" s="497">
        <v>30.92</v>
      </c>
      <c r="AP1240" s="42"/>
      <c r="AQ1240" s="74"/>
      <c r="AR1240" s="77"/>
      <c r="AT1240" s="497">
        <v>35.96</v>
      </c>
      <c r="AV1240" s="42"/>
      <c r="AW1240" s="74"/>
      <c r="AX1240" s="77"/>
      <c r="BA1240" s="497">
        <v>33.979999999999997</v>
      </c>
      <c r="BB1240" s="42"/>
      <c r="BC1240" s="74"/>
      <c r="BD1240" s="77"/>
      <c r="BF1240">
        <v>19.04</v>
      </c>
      <c r="BH1240" s="42"/>
      <c r="BI1240" s="74"/>
      <c r="BJ1240" s="77"/>
      <c r="BL1240" s="497">
        <v>21.92</v>
      </c>
      <c r="BN1240" s="42"/>
      <c r="BO1240" s="74"/>
      <c r="BP1240" s="77"/>
      <c r="BR1240" s="497">
        <v>35.06</v>
      </c>
      <c r="BT1240" s="42"/>
    </row>
    <row r="1241" spans="1:72" x14ac:dyDescent="0.25">
      <c r="A1241" s="90">
        <v>34750</v>
      </c>
      <c r="B1241" s="20">
        <v>0.95833333333333337</v>
      </c>
      <c r="D1241">
        <v>39.019999999999996</v>
      </c>
      <c r="E1241" t="str">
        <f t="shared" si="74"/>
        <v>WEEKDAY</v>
      </c>
      <c r="F1241" t="e">
        <f t="shared" si="73"/>
        <v>#N/A</v>
      </c>
      <c r="G1241" s="74">
        <v>32193</v>
      </c>
      <c r="H1241" s="77">
        <v>0.95833333333333337</v>
      </c>
      <c r="J1241">
        <v>46.04</v>
      </c>
      <c r="M1241" s="74">
        <v>38037</v>
      </c>
      <c r="N1241" s="77">
        <v>0.95833333333333337</v>
      </c>
      <c r="P1241">
        <v>33.799999999999997</v>
      </c>
      <c r="S1241" s="74">
        <v>34750</v>
      </c>
      <c r="T1241" s="77">
        <v>0.95833333333333337</v>
      </c>
      <c r="V1241">
        <v>37.94</v>
      </c>
      <c r="X1241" s="42"/>
      <c r="AB1241">
        <v>35.5</v>
      </c>
      <c r="AC1241">
        <v>33.08</v>
      </c>
      <c r="AE1241" s="74"/>
      <c r="AF1241" s="77"/>
      <c r="AH1241" s="497">
        <v>50</v>
      </c>
      <c r="AJ1241" s="42"/>
      <c r="AK1241" s="74"/>
      <c r="AL1241" s="77"/>
      <c r="AN1241" s="497">
        <v>30.92</v>
      </c>
      <c r="AP1241" s="42"/>
      <c r="AQ1241" s="74"/>
      <c r="AR1241" s="77"/>
      <c r="AT1241" s="497">
        <v>35.06</v>
      </c>
      <c r="AV1241" s="42"/>
      <c r="AW1241" s="74"/>
      <c r="AX1241" s="77"/>
      <c r="BA1241" s="497">
        <v>33.08</v>
      </c>
      <c r="BB1241" s="42"/>
      <c r="BC1241" s="74"/>
      <c r="BD1241" s="77"/>
      <c r="BF1241">
        <v>17.96</v>
      </c>
      <c r="BH1241" s="42"/>
      <c r="BI1241" s="74"/>
      <c r="BJ1241" s="77"/>
      <c r="BL1241" s="497">
        <v>19.04</v>
      </c>
      <c r="BN1241" s="42"/>
      <c r="BO1241" s="74"/>
      <c r="BP1241" s="77"/>
      <c r="BR1241" s="497">
        <v>35.06</v>
      </c>
      <c r="BT1241" s="42"/>
    </row>
    <row r="1242" spans="1:72" x14ac:dyDescent="0.25">
      <c r="A1242" s="90">
        <v>34750</v>
      </c>
      <c r="B1242" s="20">
        <v>1</v>
      </c>
      <c r="D1242">
        <v>37.94</v>
      </c>
      <c r="E1242" t="str">
        <f t="shared" si="74"/>
        <v>WEEKDAY</v>
      </c>
      <c r="F1242" t="e">
        <f t="shared" si="73"/>
        <v>#N/A</v>
      </c>
      <c r="G1242" s="74">
        <v>32193</v>
      </c>
      <c r="H1242" s="77">
        <v>1</v>
      </c>
      <c r="J1242">
        <v>44.06</v>
      </c>
      <c r="M1242" s="74">
        <v>38037</v>
      </c>
      <c r="N1242" s="80">
        <v>1</v>
      </c>
      <c r="P1242">
        <v>33.799999999999997</v>
      </c>
      <c r="S1242" s="74">
        <v>34750</v>
      </c>
      <c r="T1242" s="80">
        <v>1</v>
      </c>
      <c r="V1242">
        <v>37.04</v>
      </c>
      <c r="X1242" s="42"/>
      <c r="AB1242">
        <v>35</v>
      </c>
      <c r="AC1242">
        <v>32</v>
      </c>
      <c r="AE1242" s="74"/>
      <c r="AF1242" s="80"/>
      <c r="AH1242" s="497">
        <v>50.900000000000006</v>
      </c>
      <c r="AJ1242" s="42"/>
      <c r="AK1242" s="74"/>
      <c r="AL1242" s="80"/>
      <c r="AN1242" s="497">
        <v>30.02</v>
      </c>
      <c r="AP1242" s="42"/>
      <c r="AQ1242" s="74"/>
      <c r="AR1242" s="80"/>
      <c r="AT1242" s="497">
        <v>35.96</v>
      </c>
      <c r="AV1242" s="42"/>
      <c r="AW1242" s="74"/>
      <c r="AX1242" s="80"/>
      <c r="BA1242" s="497">
        <v>33.08</v>
      </c>
      <c r="BB1242" s="42"/>
      <c r="BC1242" s="74"/>
      <c r="BD1242" s="80"/>
      <c r="BF1242">
        <v>15.98</v>
      </c>
      <c r="BH1242" s="42"/>
      <c r="BI1242" s="74"/>
      <c r="BJ1242" s="80"/>
      <c r="BL1242" s="497">
        <v>17.96</v>
      </c>
      <c r="BN1242" s="42"/>
      <c r="BO1242" s="74"/>
      <c r="BP1242" s="80"/>
      <c r="BR1242" s="497">
        <v>30.92</v>
      </c>
      <c r="BT1242" s="42"/>
    </row>
    <row r="1243" spans="1:72" x14ac:dyDescent="0.25">
      <c r="A1243" s="90">
        <v>34751</v>
      </c>
      <c r="B1243" s="20">
        <v>4.1666666666666664E-2</v>
      </c>
      <c r="D1243">
        <v>37.04</v>
      </c>
      <c r="E1243" t="str">
        <f t="shared" si="74"/>
        <v>WEEKDAY</v>
      </c>
      <c r="F1243" t="e">
        <f t="shared" si="73"/>
        <v>#N/A</v>
      </c>
      <c r="G1243" s="74">
        <v>32194</v>
      </c>
      <c r="H1243" s="77">
        <v>4.1666666666666664E-2</v>
      </c>
      <c r="J1243">
        <v>42.08</v>
      </c>
      <c r="M1243" s="74">
        <v>38038</v>
      </c>
      <c r="N1243" s="77">
        <v>4.1666666666666664E-2</v>
      </c>
      <c r="P1243">
        <v>33.799999999999997</v>
      </c>
      <c r="S1243" s="74">
        <v>34751</v>
      </c>
      <c r="T1243" s="77">
        <v>4.1666666666666664E-2</v>
      </c>
      <c r="V1243">
        <v>35.96</v>
      </c>
      <c r="X1243" s="42"/>
      <c r="AB1243">
        <v>34.4</v>
      </c>
      <c r="AC1243">
        <v>30.02</v>
      </c>
      <c r="AE1243" s="74"/>
      <c r="AF1243" s="77"/>
      <c r="AH1243" s="497">
        <v>50.900000000000006</v>
      </c>
      <c r="AJ1243" s="42"/>
      <c r="AK1243" s="74"/>
      <c r="AL1243" s="77"/>
      <c r="AN1243" s="497">
        <v>30.02</v>
      </c>
      <c r="AP1243" s="42"/>
      <c r="AQ1243" s="74"/>
      <c r="AR1243" s="77"/>
      <c r="AT1243" s="497">
        <v>33.08</v>
      </c>
      <c r="AV1243" s="42"/>
      <c r="AW1243" s="74"/>
      <c r="AX1243" s="77"/>
      <c r="BA1243" s="497">
        <v>33.08</v>
      </c>
      <c r="BB1243" s="42"/>
      <c r="BC1243" s="74"/>
      <c r="BD1243" s="77"/>
      <c r="BF1243">
        <v>15.079999999999998</v>
      </c>
      <c r="BH1243" s="42"/>
      <c r="BI1243" s="74"/>
      <c r="BJ1243" s="77"/>
      <c r="BL1243" s="497">
        <v>17.059999999999999</v>
      </c>
      <c r="BN1243" s="42"/>
      <c r="BO1243" s="74"/>
      <c r="BP1243" s="77"/>
      <c r="BR1243" s="497">
        <v>24.08</v>
      </c>
      <c r="BT1243" s="42"/>
    </row>
    <row r="1244" spans="1:72" x14ac:dyDescent="0.25">
      <c r="A1244" s="90">
        <v>34751</v>
      </c>
      <c r="B1244" s="20">
        <v>8.3333333333333329E-2</v>
      </c>
      <c r="D1244">
        <v>37.04</v>
      </c>
      <c r="E1244" t="str">
        <f t="shared" si="74"/>
        <v>WEEKDAY</v>
      </c>
      <c r="F1244" t="e">
        <f t="shared" si="73"/>
        <v>#N/A</v>
      </c>
      <c r="G1244" s="74">
        <v>32194</v>
      </c>
      <c r="H1244" s="77">
        <v>8.3333333333333329E-2</v>
      </c>
      <c r="J1244">
        <v>42.08</v>
      </c>
      <c r="M1244" s="74">
        <v>38038</v>
      </c>
      <c r="N1244" s="77">
        <v>8.3333333333333329E-2</v>
      </c>
      <c r="P1244">
        <v>35.6</v>
      </c>
      <c r="S1244" s="74">
        <v>34751</v>
      </c>
      <c r="T1244" s="77">
        <v>8.3333333333333329E-2</v>
      </c>
      <c r="V1244">
        <v>35.06</v>
      </c>
      <c r="X1244" s="42"/>
      <c r="AB1244">
        <v>33.9</v>
      </c>
      <c r="AC1244">
        <v>30.02</v>
      </c>
      <c r="AE1244" s="74"/>
      <c r="AF1244" s="77"/>
      <c r="AH1244" s="497">
        <v>51.980000000000004</v>
      </c>
      <c r="AJ1244" s="42"/>
      <c r="AK1244" s="74"/>
      <c r="AL1244" s="77"/>
      <c r="AN1244" s="497">
        <v>30.02</v>
      </c>
      <c r="AP1244" s="42"/>
      <c r="AQ1244" s="74"/>
      <c r="AR1244" s="77"/>
      <c r="AT1244" s="497">
        <v>30.02</v>
      </c>
      <c r="AV1244" s="42"/>
      <c r="AW1244" s="74"/>
      <c r="AX1244" s="77"/>
      <c r="BA1244" s="497">
        <v>32</v>
      </c>
      <c r="BB1244" s="42"/>
      <c r="BC1244" s="74"/>
      <c r="BD1244" s="77"/>
      <c r="BF1244">
        <v>12.920000000000002</v>
      </c>
      <c r="BH1244" s="42"/>
      <c r="BI1244" s="74"/>
      <c r="BJ1244" s="77"/>
      <c r="BL1244" s="497">
        <v>15.98</v>
      </c>
      <c r="BN1244" s="42"/>
      <c r="BO1244" s="74"/>
      <c r="BP1244" s="77"/>
      <c r="BR1244" s="497">
        <v>14</v>
      </c>
      <c r="BT1244" s="42"/>
    </row>
    <row r="1245" spans="1:72" x14ac:dyDescent="0.25">
      <c r="A1245" s="90">
        <v>34751</v>
      </c>
      <c r="B1245" s="20">
        <v>0.125</v>
      </c>
      <c r="D1245">
        <v>37.04</v>
      </c>
      <c r="E1245" t="str">
        <f t="shared" si="74"/>
        <v>WEEKDAY</v>
      </c>
      <c r="F1245" t="e">
        <f t="shared" si="73"/>
        <v>#N/A</v>
      </c>
      <c r="G1245" s="74">
        <v>32194</v>
      </c>
      <c r="H1245" s="77">
        <v>0.125</v>
      </c>
      <c r="J1245">
        <v>41</v>
      </c>
      <c r="M1245" s="74">
        <v>38038</v>
      </c>
      <c r="N1245" s="77">
        <v>0.125</v>
      </c>
      <c r="P1245">
        <v>35.6</v>
      </c>
      <c r="S1245" s="74">
        <v>34751</v>
      </c>
      <c r="T1245" s="77">
        <v>0.125</v>
      </c>
      <c r="V1245">
        <v>35.06</v>
      </c>
      <c r="X1245" s="42"/>
      <c r="AB1245">
        <v>33.4</v>
      </c>
      <c r="AC1245">
        <v>28.94</v>
      </c>
      <c r="AE1245" s="74"/>
      <c r="AF1245" s="77"/>
      <c r="AH1245" s="497">
        <v>51.980000000000004</v>
      </c>
      <c r="AJ1245" s="42"/>
      <c r="AK1245" s="74"/>
      <c r="AL1245" s="77"/>
      <c r="AN1245" s="497">
        <v>30.02</v>
      </c>
      <c r="AP1245" s="42"/>
      <c r="AQ1245" s="74"/>
      <c r="AR1245" s="77"/>
      <c r="AT1245" s="497">
        <v>26.96</v>
      </c>
      <c r="AV1245" s="42"/>
      <c r="AW1245" s="74"/>
      <c r="AX1245" s="77"/>
      <c r="BA1245" s="497">
        <v>32</v>
      </c>
      <c r="BB1245" s="42"/>
      <c r="BC1245" s="74"/>
      <c r="BD1245" s="77"/>
      <c r="BF1245">
        <v>12.02</v>
      </c>
      <c r="BH1245" s="42"/>
      <c r="BI1245" s="74"/>
      <c r="BJ1245" s="77"/>
      <c r="BL1245" s="497">
        <v>14</v>
      </c>
      <c r="BN1245" s="42"/>
      <c r="BO1245" s="74"/>
      <c r="BP1245" s="77"/>
      <c r="BR1245" s="497">
        <v>10.039999999999999</v>
      </c>
      <c r="BT1245" s="42"/>
    </row>
    <row r="1246" spans="1:72" x14ac:dyDescent="0.25">
      <c r="A1246" s="90">
        <v>34751</v>
      </c>
      <c r="B1246" s="20">
        <v>0.16666666666666666</v>
      </c>
      <c r="D1246">
        <v>37.04</v>
      </c>
      <c r="E1246" t="str">
        <f t="shared" si="74"/>
        <v>WEEKDAY</v>
      </c>
      <c r="F1246" t="e">
        <f t="shared" si="73"/>
        <v>#N/A</v>
      </c>
      <c r="G1246" s="74">
        <v>32194</v>
      </c>
      <c r="H1246" s="77">
        <v>0.16666666666666666</v>
      </c>
      <c r="J1246">
        <v>39.019999999999996</v>
      </c>
      <c r="M1246" s="74">
        <v>38038</v>
      </c>
      <c r="N1246" s="77">
        <v>0.16666666666666666</v>
      </c>
      <c r="P1246">
        <v>35.6</v>
      </c>
      <c r="S1246" s="74">
        <v>34751</v>
      </c>
      <c r="T1246" s="77">
        <v>0.16666666666666666</v>
      </c>
      <c r="V1246">
        <v>35.06</v>
      </c>
      <c r="X1246" s="42"/>
      <c r="AB1246">
        <v>32.9</v>
      </c>
      <c r="AC1246">
        <v>26.96</v>
      </c>
      <c r="AE1246" s="74"/>
      <c r="AF1246" s="77"/>
      <c r="AH1246" s="497">
        <v>50</v>
      </c>
      <c r="AJ1246" s="42"/>
      <c r="AK1246" s="74"/>
      <c r="AL1246" s="77"/>
      <c r="AN1246" s="497">
        <v>30.02</v>
      </c>
      <c r="AP1246" s="42"/>
      <c r="AQ1246" s="74"/>
      <c r="AR1246" s="77"/>
      <c r="AT1246" s="497">
        <v>24.08</v>
      </c>
      <c r="AV1246" s="42"/>
      <c r="AW1246" s="74"/>
      <c r="AX1246" s="77"/>
      <c r="BA1246" s="497">
        <v>32</v>
      </c>
      <c r="BB1246" s="42"/>
      <c r="BC1246" s="74"/>
      <c r="BD1246" s="77"/>
      <c r="BF1246">
        <v>12.02</v>
      </c>
      <c r="BH1246" s="42"/>
      <c r="BI1246" s="74"/>
      <c r="BJ1246" s="77"/>
      <c r="BL1246" s="497">
        <v>12.920000000000002</v>
      </c>
      <c r="BN1246" s="42"/>
      <c r="BO1246" s="74"/>
      <c r="BP1246" s="77"/>
      <c r="BR1246" s="497">
        <v>5</v>
      </c>
      <c r="BT1246" s="42"/>
    </row>
    <row r="1247" spans="1:72" x14ac:dyDescent="0.25">
      <c r="A1247" s="90">
        <v>34751</v>
      </c>
      <c r="B1247" s="20">
        <v>0.20833333333333334</v>
      </c>
      <c r="D1247">
        <v>37.04</v>
      </c>
      <c r="E1247" t="str">
        <f t="shared" si="74"/>
        <v>WEEKDAY</v>
      </c>
      <c r="F1247" t="e">
        <f t="shared" si="73"/>
        <v>#N/A</v>
      </c>
      <c r="G1247" s="74">
        <v>32194</v>
      </c>
      <c r="H1247" s="77">
        <v>0.20833333333333334</v>
      </c>
      <c r="J1247">
        <v>35.96</v>
      </c>
      <c r="M1247" s="74">
        <v>38038</v>
      </c>
      <c r="N1247" s="77">
        <v>0.20833333333333334</v>
      </c>
      <c r="P1247">
        <v>35.6</v>
      </c>
      <c r="S1247" s="74">
        <v>34751</v>
      </c>
      <c r="T1247" s="77">
        <v>0.20833333333333334</v>
      </c>
      <c r="V1247">
        <v>35.96</v>
      </c>
      <c r="X1247" s="42"/>
      <c r="AB1247">
        <v>32.5</v>
      </c>
      <c r="AC1247">
        <v>26.060000000000002</v>
      </c>
      <c r="AE1247" s="74"/>
      <c r="AF1247" s="77"/>
      <c r="AH1247" s="497">
        <v>48.92</v>
      </c>
      <c r="AJ1247" s="42"/>
      <c r="AK1247" s="74"/>
      <c r="AL1247" s="77"/>
      <c r="AN1247" s="497">
        <v>28.94</v>
      </c>
      <c r="AP1247" s="42"/>
      <c r="AQ1247" s="74"/>
      <c r="AR1247" s="77"/>
      <c r="AT1247" s="497">
        <v>21.02</v>
      </c>
      <c r="AV1247" s="42"/>
      <c r="AW1247" s="74"/>
      <c r="AX1247" s="77"/>
      <c r="BA1247" s="497">
        <v>32</v>
      </c>
      <c r="BB1247" s="42"/>
      <c r="BC1247" s="74"/>
      <c r="BD1247" s="77"/>
      <c r="BF1247">
        <v>10.940000000000001</v>
      </c>
      <c r="BH1247" s="42"/>
      <c r="BI1247" s="74"/>
      <c r="BJ1247" s="77"/>
      <c r="BL1247" s="497">
        <v>10.039999999999999</v>
      </c>
      <c r="BN1247" s="42"/>
      <c r="BO1247" s="74"/>
      <c r="BP1247" s="77"/>
      <c r="BR1247" s="497">
        <v>1.9400000000000013</v>
      </c>
      <c r="BT1247" s="42"/>
    </row>
    <row r="1248" spans="1:72" x14ac:dyDescent="0.25">
      <c r="A1248" s="90">
        <v>34751</v>
      </c>
      <c r="B1248" s="20">
        <v>0.25</v>
      </c>
      <c r="D1248">
        <v>37.04</v>
      </c>
      <c r="E1248" t="str">
        <f t="shared" si="74"/>
        <v>WEEKDAY</v>
      </c>
      <c r="F1248" t="e">
        <f t="shared" si="73"/>
        <v>#N/A</v>
      </c>
      <c r="G1248" s="74">
        <v>32194</v>
      </c>
      <c r="H1248" s="77">
        <v>0.25</v>
      </c>
      <c r="J1248">
        <v>35.06</v>
      </c>
      <c r="M1248" s="74">
        <v>38038</v>
      </c>
      <c r="N1248" s="77">
        <v>0.25</v>
      </c>
      <c r="P1248">
        <v>35.6</v>
      </c>
      <c r="S1248" s="74">
        <v>34751</v>
      </c>
      <c r="T1248" s="77">
        <v>0.25</v>
      </c>
      <c r="V1248">
        <v>35.96</v>
      </c>
      <c r="X1248" s="42"/>
      <c r="AB1248">
        <v>32.200000000000003</v>
      </c>
      <c r="AC1248">
        <v>24.98</v>
      </c>
      <c r="AE1248" s="74"/>
      <c r="AF1248" s="77"/>
      <c r="AH1248" s="497">
        <v>47.84</v>
      </c>
      <c r="AJ1248" s="42"/>
      <c r="AK1248" s="74"/>
      <c r="AL1248" s="77"/>
      <c r="AN1248" s="497">
        <v>30.02</v>
      </c>
      <c r="AP1248" s="42"/>
      <c r="AQ1248" s="74"/>
      <c r="AR1248" s="77"/>
      <c r="AT1248" s="497">
        <v>19.04</v>
      </c>
      <c r="AV1248" s="42"/>
      <c r="AW1248" s="74"/>
      <c r="AX1248" s="77"/>
      <c r="BA1248" s="497">
        <v>32</v>
      </c>
      <c r="BB1248" s="42"/>
      <c r="BC1248" s="74"/>
      <c r="BD1248" s="77"/>
      <c r="BF1248">
        <v>8.0599999999999987</v>
      </c>
      <c r="BH1248" s="42"/>
      <c r="BI1248" s="74"/>
      <c r="BJ1248" s="77"/>
      <c r="BL1248" s="497">
        <v>8.0599999999999987</v>
      </c>
      <c r="BN1248" s="42"/>
      <c r="BO1248" s="74"/>
      <c r="BP1248" s="77"/>
      <c r="BR1248" s="497">
        <v>-0.94000000000000483</v>
      </c>
      <c r="BT1248" s="42"/>
    </row>
    <row r="1249" spans="1:72" x14ac:dyDescent="0.25">
      <c r="A1249" s="90">
        <v>34751</v>
      </c>
      <c r="B1249" s="20">
        <v>0.29166666666666669</v>
      </c>
      <c r="D1249">
        <v>37.04</v>
      </c>
      <c r="E1249" t="str">
        <f t="shared" si="74"/>
        <v>WEEKDAY</v>
      </c>
      <c r="F1249" t="e">
        <f t="shared" si="73"/>
        <v>#N/A</v>
      </c>
      <c r="G1249" s="74">
        <v>32194</v>
      </c>
      <c r="H1249" s="77">
        <v>0.29166666666666669</v>
      </c>
      <c r="J1249">
        <v>32</v>
      </c>
      <c r="M1249" s="74">
        <v>38038</v>
      </c>
      <c r="N1249" s="77">
        <v>0.29166666666666669</v>
      </c>
      <c r="P1249">
        <v>35.6</v>
      </c>
      <c r="S1249" s="74">
        <v>34751</v>
      </c>
      <c r="T1249" s="77">
        <v>0.29166666666666669</v>
      </c>
      <c r="V1249">
        <v>37.04</v>
      </c>
      <c r="X1249" s="42"/>
      <c r="AB1249">
        <v>32</v>
      </c>
      <c r="AC1249">
        <v>24.98</v>
      </c>
      <c r="AE1249" s="74"/>
      <c r="AF1249" s="77"/>
      <c r="AH1249" s="497">
        <v>47.84</v>
      </c>
      <c r="AJ1249" s="42"/>
      <c r="AK1249" s="74"/>
      <c r="AL1249" s="77"/>
      <c r="AN1249" s="497">
        <v>30.02</v>
      </c>
      <c r="AP1249" s="42"/>
      <c r="AQ1249" s="74"/>
      <c r="AR1249" s="77"/>
      <c r="AT1249" s="497">
        <v>17.96</v>
      </c>
      <c r="AV1249" s="42"/>
      <c r="AW1249" s="74"/>
      <c r="AX1249" s="77"/>
      <c r="BA1249" s="497">
        <v>32</v>
      </c>
      <c r="BB1249" s="42"/>
      <c r="BC1249" s="74"/>
      <c r="BD1249" s="77"/>
      <c r="BF1249">
        <v>6.98</v>
      </c>
      <c r="BH1249" s="42"/>
      <c r="BI1249" s="74"/>
      <c r="BJ1249" s="77"/>
      <c r="BL1249" s="497">
        <v>6.98</v>
      </c>
      <c r="BN1249" s="42"/>
      <c r="BO1249" s="74"/>
      <c r="BP1249" s="77"/>
      <c r="BR1249" s="497">
        <v>-2.9200000000000017</v>
      </c>
      <c r="BT1249" s="42"/>
    </row>
    <row r="1250" spans="1:72" x14ac:dyDescent="0.25">
      <c r="A1250" s="90">
        <v>34751</v>
      </c>
      <c r="B1250" s="20">
        <v>0.33333333333333331</v>
      </c>
      <c r="D1250">
        <v>37.04</v>
      </c>
      <c r="E1250" t="str">
        <f t="shared" si="74"/>
        <v>WEEKDAY</v>
      </c>
      <c r="F1250" t="e">
        <f t="shared" si="73"/>
        <v>#N/A</v>
      </c>
      <c r="G1250" s="74">
        <v>32194</v>
      </c>
      <c r="H1250" s="77">
        <v>0.33333333333333331</v>
      </c>
      <c r="J1250">
        <v>30.02</v>
      </c>
      <c r="M1250" s="74">
        <v>38038</v>
      </c>
      <c r="N1250" s="77">
        <v>0.33333333333333331</v>
      </c>
      <c r="P1250">
        <v>35.6</v>
      </c>
      <c r="S1250" s="74">
        <v>34751</v>
      </c>
      <c r="T1250" s="77">
        <v>0.33333333333333331</v>
      </c>
      <c r="V1250">
        <v>37.04</v>
      </c>
      <c r="X1250" s="42"/>
      <c r="AB1250">
        <v>31.9</v>
      </c>
      <c r="AC1250">
        <v>30.02</v>
      </c>
      <c r="AE1250" s="74"/>
      <c r="AF1250" s="77"/>
      <c r="AH1250" s="497">
        <v>47.84</v>
      </c>
      <c r="AJ1250" s="42"/>
      <c r="AK1250" s="74"/>
      <c r="AL1250" s="77"/>
      <c r="AN1250" s="497">
        <v>30.02</v>
      </c>
      <c r="AP1250" s="42"/>
      <c r="AQ1250" s="74"/>
      <c r="AR1250" s="77"/>
      <c r="AT1250" s="497">
        <v>17.059999999999999</v>
      </c>
      <c r="AV1250" s="42"/>
      <c r="AW1250" s="74"/>
      <c r="AX1250" s="77"/>
      <c r="BA1250" s="497">
        <v>32</v>
      </c>
      <c r="BB1250" s="42"/>
      <c r="BC1250" s="74"/>
      <c r="BD1250" s="77"/>
      <c r="BF1250">
        <v>6.98</v>
      </c>
      <c r="BH1250" s="42"/>
      <c r="BI1250" s="74"/>
      <c r="BJ1250" s="77"/>
      <c r="BL1250" s="497">
        <v>6.98</v>
      </c>
      <c r="BN1250" s="42"/>
      <c r="BO1250" s="74"/>
      <c r="BP1250" s="77"/>
      <c r="BR1250" s="497">
        <v>-4</v>
      </c>
      <c r="BT1250" s="42"/>
    </row>
    <row r="1251" spans="1:72" x14ac:dyDescent="0.25">
      <c r="A1251" s="90">
        <v>34751</v>
      </c>
      <c r="B1251" s="20">
        <v>0.375</v>
      </c>
      <c r="D1251">
        <v>35.06</v>
      </c>
      <c r="E1251" t="str">
        <f t="shared" si="74"/>
        <v>WEEKDAY</v>
      </c>
      <c r="F1251" t="e">
        <f t="shared" si="73"/>
        <v>#N/A</v>
      </c>
      <c r="G1251" s="74">
        <v>32194</v>
      </c>
      <c r="H1251" s="77">
        <v>0.375</v>
      </c>
      <c r="J1251">
        <v>30.92</v>
      </c>
      <c r="M1251" s="74">
        <v>38038</v>
      </c>
      <c r="N1251" s="77">
        <v>0.375</v>
      </c>
      <c r="P1251">
        <v>35.6</v>
      </c>
      <c r="S1251" s="74">
        <v>34751</v>
      </c>
      <c r="T1251" s="77">
        <v>0.375</v>
      </c>
      <c r="V1251">
        <v>35.96</v>
      </c>
      <c r="X1251" s="42"/>
      <c r="AB1251">
        <v>33.299999999999997</v>
      </c>
      <c r="AC1251">
        <v>33.979999999999997</v>
      </c>
      <c r="AE1251" s="74"/>
      <c r="AF1251" s="77"/>
      <c r="AH1251" s="497">
        <v>47.84</v>
      </c>
      <c r="AJ1251" s="42"/>
      <c r="AK1251" s="74"/>
      <c r="AL1251" s="77"/>
      <c r="AN1251" s="497">
        <v>30.02</v>
      </c>
      <c r="AP1251" s="42"/>
      <c r="AQ1251" s="74"/>
      <c r="AR1251" s="77"/>
      <c r="AT1251" s="497">
        <v>17.059999999999999</v>
      </c>
      <c r="AV1251" s="42"/>
      <c r="AW1251" s="74"/>
      <c r="AX1251" s="77"/>
      <c r="BA1251" s="497">
        <v>33.08</v>
      </c>
      <c r="BB1251" s="42"/>
      <c r="BC1251" s="74"/>
      <c r="BD1251" s="77"/>
      <c r="BF1251">
        <v>8.0599999999999987</v>
      </c>
      <c r="BH1251" s="42"/>
      <c r="BI1251" s="74"/>
      <c r="BJ1251" s="77"/>
      <c r="BL1251" s="497">
        <v>8.0599999999999987</v>
      </c>
      <c r="BN1251" s="42"/>
      <c r="BO1251" s="74"/>
      <c r="BP1251" s="77"/>
      <c r="BR1251" s="497">
        <v>-4</v>
      </c>
      <c r="BT1251" s="42"/>
    </row>
    <row r="1252" spans="1:72" x14ac:dyDescent="0.25">
      <c r="A1252" s="90">
        <v>34751</v>
      </c>
      <c r="B1252" s="20">
        <v>0.41666666666666669</v>
      </c>
      <c r="D1252">
        <v>37.04</v>
      </c>
      <c r="E1252" t="str">
        <f t="shared" si="74"/>
        <v>WEEKDAY</v>
      </c>
      <c r="F1252" t="e">
        <f t="shared" si="73"/>
        <v>#N/A</v>
      </c>
      <c r="G1252" s="74">
        <v>32194</v>
      </c>
      <c r="H1252" s="77">
        <v>0.41666666666666669</v>
      </c>
      <c r="J1252">
        <v>30.02</v>
      </c>
      <c r="M1252" s="74">
        <v>38038</v>
      </c>
      <c r="N1252" s="77">
        <v>0.41666666666666669</v>
      </c>
      <c r="P1252">
        <v>35.6</v>
      </c>
      <c r="S1252" s="74">
        <v>34751</v>
      </c>
      <c r="T1252" s="77">
        <v>0.41666666666666669</v>
      </c>
      <c r="V1252">
        <v>37.04</v>
      </c>
      <c r="X1252" s="42"/>
      <c r="AB1252">
        <v>35</v>
      </c>
      <c r="AC1252">
        <v>35.96</v>
      </c>
      <c r="AE1252" s="74"/>
      <c r="AF1252" s="77"/>
      <c r="AH1252" s="497">
        <v>47.84</v>
      </c>
      <c r="AJ1252" s="42"/>
      <c r="AK1252" s="74"/>
      <c r="AL1252" s="77"/>
      <c r="AN1252" s="497">
        <v>30.92</v>
      </c>
      <c r="AP1252" s="42"/>
      <c r="AQ1252" s="74"/>
      <c r="AR1252" s="77"/>
      <c r="AT1252" s="497">
        <v>15.98</v>
      </c>
      <c r="AV1252" s="42"/>
      <c r="AW1252" s="74"/>
      <c r="AX1252" s="77"/>
      <c r="BA1252" s="497">
        <v>33.979999999999997</v>
      </c>
      <c r="BB1252" s="42"/>
      <c r="BC1252" s="74"/>
      <c r="BD1252" s="77"/>
      <c r="BF1252">
        <v>10.940000000000001</v>
      </c>
      <c r="BH1252" s="42"/>
      <c r="BI1252" s="74"/>
      <c r="BJ1252" s="77"/>
      <c r="BL1252" s="497">
        <v>8.9599999999999973</v>
      </c>
      <c r="BN1252" s="42"/>
      <c r="BO1252" s="74"/>
      <c r="BP1252" s="77"/>
      <c r="BR1252" s="497">
        <v>-2.9200000000000017</v>
      </c>
      <c r="BT1252" s="42"/>
    </row>
    <row r="1253" spans="1:72" x14ac:dyDescent="0.25">
      <c r="A1253" s="90">
        <v>34751</v>
      </c>
      <c r="B1253" s="20">
        <v>0.45833333333333331</v>
      </c>
      <c r="D1253">
        <v>37.94</v>
      </c>
      <c r="E1253" t="str">
        <f t="shared" si="74"/>
        <v>WEEKDAY</v>
      </c>
      <c r="F1253" t="e">
        <f t="shared" si="73"/>
        <v>#N/A</v>
      </c>
      <c r="G1253" s="74">
        <v>32194</v>
      </c>
      <c r="H1253" s="77">
        <v>0.45833333333333331</v>
      </c>
      <c r="J1253">
        <v>28.04</v>
      </c>
      <c r="M1253" s="74">
        <v>38038</v>
      </c>
      <c r="N1253" s="77">
        <v>0.45833333333333331</v>
      </c>
      <c r="P1253">
        <v>39.200000000000003</v>
      </c>
      <c r="S1253" s="74">
        <v>34751</v>
      </c>
      <c r="T1253" s="77">
        <v>0.45833333333333331</v>
      </c>
      <c r="V1253">
        <v>39.019999999999996</v>
      </c>
      <c r="X1253" s="42"/>
      <c r="AB1253">
        <v>36.700000000000003</v>
      </c>
      <c r="AC1253">
        <v>37.94</v>
      </c>
      <c r="AE1253" s="74"/>
      <c r="AF1253" s="77"/>
      <c r="AH1253" s="497">
        <v>50</v>
      </c>
      <c r="AJ1253" s="42"/>
      <c r="AK1253" s="74"/>
      <c r="AL1253" s="77"/>
      <c r="AN1253" s="497">
        <v>32</v>
      </c>
      <c r="AP1253" s="42"/>
      <c r="AQ1253" s="74"/>
      <c r="AR1253" s="77"/>
      <c r="AT1253" s="497">
        <v>14</v>
      </c>
      <c r="AV1253" s="42"/>
      <c r="AW1253" s="74"/>
      <c r="AX1253" s="77"/>
      <c r="BA1253" s="497">
        <v>35.06</v>
      </c>
      <c r="BB1253" s="42"/>
      <c r="BC1253" s="74"/>
      <c r="BD1253" s="77"/>
      <c r="BF1253">
        <v>12.920000000000002</v>
      </c>
      <c r="BH1253" s="42"/>
      <c r="BI1253" s="74"/>
      <c r="BJ1253" s="77"/>
      <c r="BL1253" s="497">
        <v>10.039999999999999</v>
      </c>
      <c r="BN1253" s="42"/>
      <c r="BO1253" s="74"/>
      <c r="BP1253" s="77"/>
      <c r="BR1253" s="497">
        <v>-3.9999999999999147E-2</v>
      </c>
      <c r="BT1253" s="42"/>
    </row>
    <row r="1254" spans="1:72" x14ac:dyDescent="0.25">
      <c r="A1254" s="90">
        <v>34751</v>
      </c>
      <c r="B1254" s="20">
        <v>0.5</v>
      </c>
      <c r="D1254">
        <v>39.019999999999996</v>
      </c>
      <c r="E1254" t="str">
        <f t="shared" si="74"/>
        <v>WEEKDAY</v>
      </c>
      <c r="F1254" t="e">
        <f t="shared" si="73"/>
        <v>#N/A</v>
      </c>
      <c r="G1254" s="74">
        <v>32194</v>
      </c>
      <c r="H1254" s="77">
        <v>0.5</v>
      </c>
      <c r="J1254">
        <v>26.060000000000002</v>
      </c>
      <c r="M1254" s="74">
        <v>38038</v>
      </c>
      <c r="N1254" s="77">
        <v>0.5</v>
      </c>
      <c r="P1254">
        <v>42.8</v>
      </c>
      <c r="S1254" s="74">
        <v>34751</v>
      </c>
      <c r="T1254" s="77">
        <v>0.5</v>
      </c>
      <c r="V1254">
        <v>39.019999999999996</v>
      </c>
      <c r="X1254" s="42"/>
      <c r="AB1254">
        <v>38.1</v>
      </c>
      <c r="AC1254">
        <v>37.94</v>
      </c>
      <c r="AE1254" s="74"/>
      <c r="AF1254" s="77"/>
      <c r="AH1254" s="497">
        <v>50</v>
      </c>
      <c r="AJ1254" s="42"/>
      <c r="AK1254" s="74"/>
      <c r="AL1254" s="77"/>
      <c r="AN1254" s="497">
        <v>33.08</v>
      </c>
      <c r="AP1254" s="42"/>
      <c r="AQ1254" s="74"/>
      <c r="AR1254" s="77"/>
      <c r="AT1254" s="497">
        <v>14</v>
      </c>
      <c r="AV1254" s="42"/>
      <c r="AW1254" s="74"/>
      <c r="AX1254" s="77"/>
      <c r="BA1254" s="497">
        <v>37.04</v>
      </c>
      <c r="BB1254" s="42"/>
      <c r="BC1254" s="74"/>
      <c r="BD1254" s="77"/>
      <c r="BF1254">
        <v>14</v>
      </c>
      <c r="BH1254" s="42"/>
      <c r="BI1254" s="74"/>
      <c r="BJ1254" s="77"/>
      <c r="BL1254" s="497">
        <v>12.02</v>
      </c>
      <c r="BN1254" s="42"/>
      <c r="BO1254" s="74"/>
      <c r="BP1254" s="77"/>
      <c r="BR1254" s="497">
        <v>1.0399999999999991</v>
      </c>
      <c r="BT1254" s="42"/>
    </row>
    <row r="1255" spans="1:72" x14ac:dyDescent="0.25">
      <c r="A1255" s="90">
        <v>34751</v>
      </c>
      <c r="B1255" s="20">
        <v>0.54166666666666663</v>
      </c>
      <c r="D1255">
        <v>39.019999999999996</v>
      </c>
      <c r="E1255" t="str">
        <f t="shared" si="74"/>
        <v>WEEKDAY</v>
      </c>
      <c r="F1255" t="e">
        <f t="shared" si="73"/>
        <v>#N/A</v>
      </c>
      <c r="G1255" s="74">
        <v>32194</v>
      </c>
      <c r="H1255" s="77">
        <v>0.54166666666666663</v>
      </c>
      <c r="J1255">
        <v>26.060000000000002</v>
      </c>
      <c r="M1255" s="74">
        <v>38038</v>
      </c>
      <c r="N1255" s="77">
        <v>0.54166666666666663</v>
      </c>
      <c r="P1255">
        <v>46.4</v>
      </c>
      <c r="S1255" s="74">
        <v>34751</v>
      </c>
      <c r="T1255" s="77">
        <v>0.54166666666666663</v>
      </c>
      <c r="V1255">
        <v>39.019999999999996</v>
      </c>
      <c r="X1255" s="42"/>
      <c r="AB1255">
        <v>39.299999999999997</v>
      </c>
      <c r="AC1255">
        <v>39.92</v>
      </c>
      <c r="AE1255" s="74"/>
      <c r="AF1255" s="77"/>
      <c r="AH1255" s="497">
        <v>48.92</v>
      </c>
      <c r="AJ1255" s="42"/>
      <c r="AK1255" s="74"/>
      <c r="AL1255" s="77"/>
      <c r="AN1255" s="497">
        <v>33.979999999999997</v>
      </c>
      <c r="AP1255" s="42"/>
      <c r="AQ1255" s="74"/>
      <c r="AR1255" s="77"/>
      <c r="AT1255" s="497">
        <v>14</v>
      </c>
      <c r="AV1255" s="42"/>
      <c r="AW1255" s="74"/>
      <c r="AX1255" s="77"/>
      <c r="BA1255" s="497">
        <v>37.94</v>
      </c>
      <c r="BB1255" s="42"/>
      <c r="BC1255" s="74"/>
      <c r="BD1255" s="77"/>
      <c r="BF1255">
        <v>15.079999999999998</v>
      </c>
      <c r="BH1255" s="42"/>
      <c r="BI1255" s="74"/>
      <c r="BJ1255" s="77"/>
      <c r="BL1255" s="497">
        <v>12.920000000000002</v>
      </c>
      <c r="BN1255" s="42"/>
      <c r="BO1255" s="74"/>
      <c r="BP1255" s="77"/>
      <c r="BR1255" s="497">
        <v>3.019999999999996</v>
      </c>
      <c r="BT1255" s="42"/>
    </row>
    <row r="1256" spans="1:72" x14ac:dyDescent="0.25">
      <c r="A1256" s="90">
        <v>34751</v>
      </c>
      <c r="B1256" s="20">
        <v>0.58333333333333337</v>
      </c>
      <c r="D1256">
        <v>39.92</v>
      </c>
      <c r="E1256" t="str">
        <f t="shared" si="74"/>
        <v>WEEKDAY</v>
      </c>
      <c r="F1256" t="e">
        <f t="shared" si="73"/>
        <v>#N/A</v>
      </c>
      <c r="G1256" s="74">
        <v>32194</v>
      </c>
      <c r="H1256" s="77">
        <v>0.58333333333333337</v>
      </c>
      <c r="J1256">
        <v>26.96</v>
      </c>
      <c r="M1256" s="74">
        <v>38038</v>
      </c>
      <c r="N1256" s="77">
        <v>0.58333333333333337</v>
      </c>
      <c r="P1256">
        <v>48.2</v>
      </c>
      <c r="S1256" s="74">
        <v>34751</v>
      </c>
      <c r="T1256" s="77">
        <v>0.58333333333333337</v>
      </c>
      <c r="V1256">
        <v>39.019999999999996</v>
      </c>
      <c r="X1256" s="42"/>
      <c r="AB1256">
        <v>40.299999999999997</v>
      </c>
      <c r="AC1256">
        <v>39.92</v>
      </c>
      <c r="AE1256" s="74"/>
      <c r="AF1256" s="77"/>
      <c r="AH1256" s="497">
        <v>48.92</v>
      </c>
      <c r="AJ1256" s="42"/>
      <c r="AK1256" s="74"/>
      <c r="AL1256" s="77"/>
      <c r="AN1256" s="497">
        <v>35.06</v>
      </c>
      <c r="AP1256" s="42"/>
      <c r="AQ1256" s="74"/>
      <c r="AR1256" s="77"/>
      <c r="AT1256" s="497">
        <v>14</v>
      </c>
      <c r="AV1256" s="42"/>
      <c r="AW1256" s="74"/>
      <c r="AX1256" s="77"/>
      <c r="BA1256" s="497">
        <v>37.94</v>
      </c>
      <c r="BB1256" s="42"/>
      <c r="BC1256" s="74"/>
      <c r="BD1256" s="77"/>
      <c r="BF1256">
        <v>15.98</v>
      </c>
      <c r="BH1256" s="42"/>
      <c r="BI1256" s="74"/>
      <c r="BJ1256" s="77"/>
      <c r="BL1256" s="497">
        <v>17.059999999999999</v>
      </c>
      <c r="BN1256" s="42"/>
      <c r="BO1256" s="74"/>
      <c r="BP1256" s="77"/>
      <c r="BR1256" s="497">
        <v>6.0799999999999983</v>
      </c>
      <c r="BT1256" s="42"/>
    </row>
    <row r="1257" spans="1:72" x14ac:dyDescent="0.25">
      <c r="A1257" s="90">
        <v>34751</v>
      </c>
      <c r="B1257" s="20">
        <v>0.625</v>
      </c>
      <c r="D1257">
        <v>39.019999999999996</v>
      </c>
      <c r="E1257" t="str">
        <f t="shared" si="74"/>
        <v>WEEKDAY</v>
      </c>
      <c r="F1257" t="e">
        <f t="shared" si="73"/>
        <v>#N/A</v>
      </c>
      <c r="G1257" s="74">
        <v>32194</v>
      </c>
      <c r="H1257" s="77">
        <v>0.625</v>
      </c>
      <c r="J1257">
        <v>28.04</v>
      </c>
      <c r="M1257" s="74">
        <v>38038</v>
      </c>
      <c r="N1257" s="77">
        <v>0.625</v>
      </c>
      <c r="P1257">
        <v>48.2</v>
      </c>
      <c r="S1257" s="74">
        <v>34751</v>
      </c>
      <c r="T1257" s="77">
        <v>0.625</v>
      </c>
      <c r="V1257">
        <v>39.019999999999996</v>
      </c>
      <c r="X1257" s="42"/>
      <c r="AB1257">
        <v>40.799999999999997</v>
      </c>
      <c r="AC1257">
        <v>41</v>
      </c>
      <c r="AE1257" s="74"/>
      <c r="AF1257" s="77"/>
      <c r="AH1257" s="497">
        <v>48.92</v>
      </c>
      <c r="AJ1257" s="42"/>
      <c r="AK1257" s="74"/>
      <c r="AL1257" s="77"/>
      <c r="AN1257" s="497">
        <v>33.979999999999997</v>
      </c>
      <c r="AP1257" s="42"/>
      <c r="AQ1257" s="74"/>
      <c r="AR1257" s="77"/>
      <c r="AT1257" s="497">
        <v>14</v>
      </c>
      <c r="AV1257" s="42"/>
      <c r="AW1257" s="74"/>
      <c r="AX1257" s="77"/>
      <c r="BA1257" s="497">
        <v>39.019999999999996</v>
      </c>
      <c r="BB1257" s="42"/>
      <c r="BC1257" s="74"/>
      <c r="BD1257" s="77"/>
      <c r="BF1257">
        <v>15.079999999999998</v>
      </c>
      <c r="BH1257" s="42"/>
      <c r="BI1257" s="74"/>
      <c r="BJ1257" s="77"/>
      <c r="BL1257" s="497">
        <v>15.079999999999998</v>
      </c>
      <c r="BN1257" s="42"/>
      <c r="BO1257" s="74"/>
      <c r="BP1257" s="77"/>
      <c r="BR1257" s="497">
        <v>6.98</v>
      </c>
      <c r="BT1257" s="42"/>
    </row>
    <row r="1258" spans="1:72" x14ac:dyDescent="0.25">
      <c r="A1258" s="90">
        <v>34751</v>
      </c>
      <c r="B1258" s="20">
        <v>0.66666666666666663</v>
      </c>
      <c r="D1258">
        <v>39.92</v>
      </c>
      <c r="E1258" t="str">
        <f t="shared" si="74"/>
        <v>WEEKDAY</v>
      </c>
      <c r="F1258" t="e">
        <f t="shared" si="73"/>
        <v>#N/A</v>
      </c>
      <c r="G1258" s="74">
        <v>32194</v>
      </c>
      <c r="H1258" s="77">
        <v>0.66666666666666663</v>
      </c>
      <c r="J1258">
        <v>26.96</v>
      </c>
      <c r="M1258" s="74">
        <v>38038</v>
      </c>
      <c r="N1258" s="77">
        <v>0.66666666666666663</v>
      </c>
      <c r="P1258">
        <v>44.6</v>
      </c>
      <c r="S1258" s="74">
        <v>34751</v>
      </c>
      <c r="T1258" s="77">
        <v>0.66666666666666663</v>
      </c>
      <c r="V1258">
        <v>39.019999999999996</v>
      </c>
      <c r="X1258" s="42"/>
      <c r="AB1258">
        <v>40.9</v>
      </c>
      <c r="AC1258">
        <v>41</v>
      </c>
      <c r="AE1258" s="74"/>
      <c r="AF1258" s="77"/>
      <c r="AH1258" s="497">
        <v>48.92</v>
      </c>
      <c r="AJ1258" s="42"/>
      <c r="AK1258" s="74"/>
      <c r="AL1258" s="77"/>
      <c r="AN1258" s="497">
        <v>33.08</v>
      </c>
      <c r="AP1258" s="42"/>
      <c r="AQ1258" s="74"/>
      <c r="AR1258" s="77"/>
      <c r="AT1258" s="497">
        <v>15.079999999999998</v>
      </c>
      <c r="AV1258" s="42"/>
      <c r="AW1258" s="74"/>
      <c r="AX1258" s="77"/>
      <c r="BA1258" s="497">
        <v>39.92</v>
      </c>
      <c r="BB1258" s="42"/>
      <c r="BC1258" s="74"/>
      <c r="BD1258" s="77"/>
      <c r="BF1258">
        <v>14</v>
      </c>
      <c r="BH1258" s="42"/>
      <c r="BI1258" s="74"/>
      <c r="BJ1258" s="77"/>
      <c r="BL1258" s="497">
        <v>14</v>
      </c>
      <c r="BN1258" s="42"/>
      <c r="BO1258" s="74"/>
      <c r="BP1258" s="77"/>
      <c r="BR1258" s="497">
        <v>6.98</v>
      </c>
      <c r="BT1258" s="42"/>
    </row>
    <row r="1259" spans="1:72" x14ac:dyDescent="0.25">
      <c r="A1259" s="90">
        <v>34751</v>
      </c>
      <c r="B1259" s="20">
        <v>0.70833333333333337</v>
      </c>
      <c r="D1259">
        <v>39.92</v>
      </c>
      <c r="E1259" t="str">
        <f t="shared" si="74"/>
        <v>WEEKDAY</v>
      </c>
      <c r="F1259" t="e">
        <f t="shared" ref="F1259:F1322" si="75">IF(E1259="WEEKDAY",VLOOKUP(B1259,$DD$19:$DG$42,2),IF(E1259="SATURDAY",VLOOKUP(B1259,$DD$19:$DG$42,3),VLOOKUP(B1259,$DD$19:$DG$42,4)))</f>
        <v>#N/A</v>
      </c>
      <c r="G1259" s="74">
        <v>32194</v>
      </c>
      <c r="H1259" s="77">
        <v>0.70833333333333337</v>
      </c>
      <c r="J1259">
        <v>26.060000000000002</v>
      </c>
      <c r="M1259" s="74">
        <v>38038</v>
      </c>
      <c r="N1259" s="77">
        <v>0.70833333333333337</v>
      </c>
      <c r="P1259">
        <v>42.8</v>
      </c>
      <c r="S1259" s="74">
        <v>34751</v>
      </c>
      <c r="T1259" s="77">
        <v>0.70833333333333337</v>
      </c>
      <c r="V1259">
        <v>39.92</v>
      </c>
      <c r="X1259" s="42"/>
      <c r="AB1259">
        <v>40.6</v>
      </c>
      <c r="AC1259">
        <v>39.019999999999996</v>
      </c>
      <c r="AE1259" s="74"/>
      <c r="AF1259" s="77"/>
      <c r="AH1259" s="497">
        <v>50</v>
      </c>
      <c r="AJ1259" s="42"/>
      <c r="AK1259" s="74"/>
      <c r="AL1259" s="77"/>
      <c r="AN1259" s="497">
        <v>33.08</v>
      </c>
      <c r="AP1259" s="42"/>
      <c r="AQ1259" s="74"/>
      <c r="AR1259" s="77"/>
      <c r="AT1259" s="497">
        <v>15.079999999999998</v>
      </c>
      <c r="AV1259" s="42"/>
      <c r="AW1259" s="74"/>
      <c r="AX1259" s="77"/>
      <c r="BA1259" s="497">
        <v>37.94</v>
      </c>
      <c r="BB1259" s="42"/>
      <c r="BC1259" s="74"/>
      <c r="BD1259" s="77"/>
      <c r="BF1259">
        <v>15.079999999999998</v>
      </c>
      <c r="BH1259" s="42"/>
      <c r="BI1259" s="74"/>
      <c r="BJ1259" s="77"/>
      <c r="BL1259" s="497">
        <v>14</v>
      </c>
      <c r="BN1259" s="42"/>
      <c r="BO1259" s="74"/>
      <c r="BP1259" s="77"/>
      <c r="BR1259" s="497">
        <v>6.98</v>
      </c>
      <c r="BT1259" s="42"/>
    </row>
    <row r="1260" spans="1:72" x14ac:dyDescent="0.25">
      <c r="A1260" s="90">
        <v>34751</v>
      </c>
      <c r="B1260" s="20">
        <v>0.75</v>
      </c>
      <c r="D1260">
        <v>42.08</v>
      </c>
      <c r="E1260" t="str">
        <f t="shared" si="74"/>
        <v>WEEKDAY</v>
      </c>
      <c r="F1260" t="e">
        <f t="shared" si="75"/>
        <v>#N/A</v>
      </c>
      <c r="G1260" s="74">
        <v>32194</v>
      </c>
      <c r="H1260" s="77">
        <v>0.75</v>
      </c>
      <c r="J1260">
        <v>26.060000000000002</v>
      </c>
      <c r="M1260" s="74">
        <v>38038</v>
      </c>
      <c r="N1260" s="77">
        <v>0.75</v>
      </c>
      <c r="P1260">
        <v>39.200000000000003</v>
      </c>
      <c r="S1260" s="74">
        <v>34751</v>
      </c>
      <c r="T1260" s="77">
        <v>0.75</v>
      </c>
      <c r="V1260">
        <v>41</v>
      </c>
      <c r="X1260" s="42"/>
      <c r="AB1260">
        <v>39.6</v>
      </c>
      <c r="AC1260">
        <v>35.06</v>
      </c>
      <c r="AE1260" s="74"/>
      <c r="AF1260" s="77"/>
      <c r="AH1260" s="497">
        <v>47.84</v>
      </c>
      <c r="AJ1260" s="42"/>
      <c r="AK1260" s="74"/>
      <c r="AL1260" s="77"/>
      <c r="AN1260" s="497">
        <v>32</v>
      </c>
      <c r="AP1260" s="42"/>
      <c r="AQ1260" s="74"/>
      <c r="AR1260" s="77"/>
      <c r="AT1260" s="497">
        <v>14</v>
      </c>
      <c r="AV1260" s="42"/>
      <c r="AW1260" s="74"/>
      <c r="AX1260" s="77"/>
      <c r="BA1260" s="497">
        <v>35.96</v>
      </c>
      <c r="BB1260" s="42"/>
      <c r="BC1260" s="74"/>
      <c r="BD1260" s="77"/>
      <c r="BF1260">
        <v>15.079999999999998</v>
      </c>
      <c r="BH1260" s="42"/>
      <c r="BI1260" s="74"/>
      <c r="BJ1260" s="77"/>
      <c r="BL1260" s="497">
        <v>14</v>
      </c>
      <c r="BN1260" s="42"/>
      <c r="BO1260" s="74"/>
      <c r="BP1260" s="77"/>
      <c r="BR1260" s="497">
        <v>6.0799999999999983</v>
      </c>
      <c r="BT1260" s="42"/>
    </row>
    <row r="1261" spans="1:72" x14ac:dyDescent="0.25">
      <c r="A1261" s="90">
        <v>34751</v>
      </c>
      <c r="B1261" s="20">
        <v>0.79166666666666663</v>
      </c>
      <c r="D1261">
        <v>41</v>
      </c>
      <c r="E1261" t="str">
        <f t="shared" si="74"/>
        <v>WEEKDAY</v>
      </c>
      <c r="F1261" t="e">
        <f t="shared" si="75"/>
        <v>#N/A</v>
      </c>
      <c r="G1261" s="74">
        <v>32194</v>
      </c>
      <c r="H1261" s="77">
        <v>0.79166666666666663</v>
      </c>
      <c r="J1261">
        <v>24.98</v>
      </c>
      <c r="M1261" s="74">
        <v>38038</v>
      </c>
      <c r="N1261" s="77">
        <v>0.79166666666666663</v>
      </c>
      <c r="P1261">
        <v>41</v>
      </c>
      <c r="S1261" s="74">
        <v>34751</v>
      </c>
      <c r="T1261" s="77">
        <v>0.79166666666666663</v>
      </c>
      <c r="V1261">
        <v>42.08</v>
      </c>
      <c r="X1261" s="42"/>
      <c r="AB1261">
        <v>38.200000000000003</v>
      </c>
      <c r="AC1261">
        <v>33.979999999999997</v>
      </c>
      <c r="AE1261" s="74"/>
      <c r="AF1261" s="77"/>
      <c r="AH1261" s="497">
        <v>45.86</v>
      </c>
      <c r="AJ1261" s="42"/>
      <c r="AK1261" s="74"/>
      <c r="AL1261" s="77"/>
      <c r="AN1261" s="497">
        <v>33.08</v>
      </c>
      <c r="AP1261" s="42"/>
      <c r="AQ1261" s="74"/>
      <c r="AR1261" s="77"/>
      <c r="AT1261" s="497">
        <v>12.920000000000002</v>
      </c>
      <c r="AV1261" s="42"/>
      <c r="AW1261" s="74"/>
      <c r="AX1261" s="77"/>
      <c r="BA1261" s="497">
        <v>35.06</v>
      </c>
      <c r="BB1261" s="42"/>
      <c r="BC1261" s="74"/>
      <c r="BD1261" s="77"/>
      <c r="BF1261">
        <v>15.98</v>
      </c>
      <c r="BH1261" s="42"/>
      <c r="BI1261" s="74"/>
      <c r="BJ1261" s="77"/>
      <c r="BL1261" s="497">
        <v>12.920000000000002</v>
      </c>
      <c r="BN1261" s="42"/>
      <c r="BO1261" s="74"/>
      <c r="BP1261" s="77"/>
      <c r="BR1261" s="497">
        <v>6.0799999999999983</v>
      </c>
      <c r="BT1261" s="42"/>
    </row>
    <row r="1262" spans="1:72" x14ac:dyDescent="0.25">
      <c r="A1262" s="90">
        <v>34751</v>
      </c>
      <c r="B1262" s="20">
        <v>0.83333333333333337</v>
      </c>
      <c r="D1262">
        <v>39.92</v>
      </c>
      <c r="E1262" t="str">
        <f t="shared" si="74"/>
        <v>WEEKDAY</v>
      </c>
      <c r="F1262" t="e">
        <f t="shared" si="75"/>
        <v>#N/A</v>
      </c>
      <c r="G1262" s="74">
        <v>32194</v>
      </c>
      <c r="H1262" s="77">
        <v>0.83333333333333337</v>
      </c>
      <c r="J1262">
        <v>24.08</v>
      </c>
      <c r="M1262" s="74">
        <v>38038</v>
      </c>
      <c r="N1262" s="77">
        <v>0.83333333333333337</v>
      </c>
      <c r="P1262">
        <v>39.200000000000003</v>
      </c>
      <c r="S1262" s="74">
        <v>34751</v>
      </c>
      <c r="T1262" s="77">
        <v>0.83333333333333337</v>
      </c>
      <c r="V1262">
        <v>41</v>
      </c>
      <c r="X1262" s="42"/>
      <c r="AB1262">
        <v>37.700000000000003</v>
      </c>
      <c r="AC1262">
        <v>33.979999999999997</v>
      </c>
      <c r="AE1262" s="74"/>
      <c r="AF1262" s="77"/>
      <c r="AH1262" s="497">
        <v>44.96</v>
      </c>
      <c r="AJ1262" s="42"/>
      <c r="AK1262" s="74"/>
      <c r="AL1262" s="77"/>
      <c r="AN1262" s="497">
        <v>32</v>
      </c>
      <c r="AP1262" s="42"/>
      <c r="AQ1262" s="74"/>
      <c r="AR1262" s="77"/>
      <c r="AT1262" s="497">
        <v>12.920000000000002</v>
      </c>
      <c r="AV1262" s="42"/>
      <c r="AW1262" s="74"/>
      <c r="AX1262" s="77"/>
      <c r="BA1262" s="497">
        <v>35.06</v>
      </c>
      <c r="BB1262" s="42"/>
      <c r="BC1262" s="74"/>
      <c r="BD1262" s="77"/>
      <c r="BF1262">
        <v>15.079999999999998</v>
      </c>
      <c r="BH1262" s="42"/>
      <c r="BI1262" s="74"/>
      <c r="BJ1262" s="77"/>
      <c r="BL1262" s="497">
        <v>12.920000000000002</v>
      </c>
      <c r="BN1262" s="42"/>
      <c r="BO1262" s="74"/>
      <c r="BP1262" s="77"/>
      <c r="BR1262" s="497">
        <v>6.98</v>
      </c>
      <c r="BT1262" s="42"/>
    </row>
    <row r="1263" spans="1:72" x14ac:dyDescent="0.25">
      <c r="A1263" s="90">
        <v>34751</v>
      </c>
      <c r="B1263" s="20">
        <v>0.875</v>
      </c>
      <c r="D1263">
        <v>39.92</v>
      </c>
      <c r="E1263" t="str">
        <f t="shared" si="74"/>
        <v>WEEKDAY</v>
      </c>
      <c r="F1263" t="e">
        <f t="shared" si="75"/>
        <v>#N/A</v>
      </c>
      <c r="G1263" s="74">
        <v>32194</v>
      </c>
      <c r="H1263" s="77">
        <v>0.875</v>
      </c>
      <c r="J1263">
        <v>24.08</v>
      </c>
      <c r="M1263" s="74">
        <v>38038</v>
      </c>
      <c r="N1263" s="77">
        <v>0.875</v>
      </c>
      <c r="P1263">
        <v>37.4</v>
      </c>
      <c r="S1263" s="74">
        <v>34751</v>
      </c>
      <c r="T1263" s="77">
        <v>0.875</v>
      </c>
      <c r="V1263">
        <v>39.92</v>
      </c>
      <c r="X1263" s="42"/>
      <c r="AB1263">
        <v>37.1</v>
      </c>
      <c r="AC1263">
        <v>32</v>
      </c>
      <c r="AE1263" s="74"/>
      <c r="AF1263" s="77"/>
      <c r="AH1263" s="497">
        <v>43.879999999999995</v>
      </c>
      <c r="AJ1263" s="42"/>
      <c r="AK1263" s="74"/>
      <c r="AL1263" s="77"/>
      <c r="AN1263" s="497">
        <v>32</v>
      </c>
      <c r="AP1263" s="42"/>
      <c r="AQ1263" s="74"/>
      <c r="AR1263" s="77"/>
      <c r="AT1263" s="497">
        <v>8.9599999999999973</v>
      </c>
      <c r="AV1263" s="42"/>
      <c r="AW1263" s="74"/>
      <c r="AX1263" s="77"/>
      <c r="BA1263" s="497">
        <v>35.06</v>
      </c>
      <c r="BB1263" s="42"/>
      <c r="BC1263" s="74"/>
      <c r="BD1263" s="77"/>
      <c r="BF1263">
        <v>15.079999999999998</v>
      </c>
      <c r="BH1263" s="42"/>
      <c r="BI1263" s="74"/>
      <c r="BJ1263" s="77"/>
      <c r="BL1263" s="497">
        <v>12.920000000000002</v>
      </c>
      <c r="BN1263" s="42"/>
      <c r="BO1263" s="74"/>
      <c r="BP1263" s="77"/>
      <c r="BR1263" s="497">
        <v>8.9599999999999973</v>
      </c>
      <c r="BT1263" s="42"/>
    </row>
    <row r="1264" spans="1:72" x14ac:dyDescent="0.25">
      <c r="A1264" s="90">
        <v>34751</v>
      </c>
      <c r="B1264" s="20">
        <v>0.91666666666666663</v>
      </c>
      <c r="D1264">
        <v>39.019999999999996</v>
      </c>
      <c r="E1264" t="str">
        <f t="shared" si="74"/>
        <v>WEEKDAY</v>
      </c>
      <c r="F1264" t="e">
        <f t="shared" si="75"/>
        <v>#N/A</v>
      </c>
      <c r="G1264" s="74">
        <v>32194</v>
      </c>
      <c r="H1264" s="77">
        <v>0.91666666666666663</v>
      </c>
      <c r="J1264">
        <v>23</v>
      </c>
      <c r="M1264" s="74">
        <v>38038</v>
      </c>
      <c r="N1264" s="77">
        <v>0.91666666666666663</v>
      </c>
      <c r="P1264">
        <v>37.4</v>
      </c>
      <c r="S1264" s="74">
        <v>34751</v>
      </c>
      <c r="T1264" s="77">
        <v>0.91666666666666663</v>
      </c>
      <c r="V1264">
        <v>39.92</v>
      </c>
      <c r="X1264" s="42"/>
      <c r="AB1264">
        <v>36.5</v>
      </c>
      <c r="AC1264">
        <v>30.92</v>
      </c>
      <c r="AE1264" s="74"/>
      <c r="AF1264" s="77"/>
      <c r="AH1264" s="497">
        <v>43.879999999999995</v>
      </c>
      <c r="AJ1264" s="42"/>
      <c r="AK1264" s="74"/>
      <c r="AL1264" s="77"/>
      <c r="AN1264" s="497">
        <v>30.92</v>
      </c>
      <c r="AP1264" s="42"/>
      <c r="AQ1264" s="74"/>
      <c r="AR1264" s="77"/>
      <c r="AT1264" s="497">
        <v>6.98</v>
      </c>
      <c r="AV1264" s="42"/>
      <c r="AW1264" s="74"/>
      <c r="AX1264" s="77"/>
      <c r="BA1264" s="497">
        <v>35.06</v>
      </c>
      <c r="BB1264" s="42"/>
      <c r="BC1264" s="74"/>
      <c r="BD1264" s="77"/>
      <c r="BF1264">
        <v>15.98</v>
      </c>
      <c r="BH1264" s="42"/>
      <c r="BI1264" s="74"/>
      <c r="BJ1264" s="77"/>
      <c r="BL1264" s="497">
        <v>14</v>
      </c>
      <c r="BN1264" s="42"/>
      <c r="BO1264" s="74"/>
      <c r="BP1264" s="77"/>
      <c r="BR1264" s="497">
        <v>10.039999999999999</v>
      </c>
      <c r="BT1264" s="42"/>
    </row>
    <row r="1265" spans="1:72" x14ac:dyDescent="0.25">
      <c r="A1265" s="90">
        <v>34751</v>
      </c>
      <c r="B1265" s="20">
        <v>0.95833333333333337</v>
      </c>
      <c r="D1265">
        <v>37.04</v>
      </c>
      <c r="E1265" t="str">
        <f t="shared" si="74"/>
        <v>WEEKDAY</v>
      </c>
      <c r="F1265" t="e">
        <f t="shared" si="75"/>
        <v>#N/A</v>
      </c>
      <c r="G1265" s="74">
        <v>32194</v>
      </c>
      <c r="H1265" s="77">
        <v>0.95833333333333337</v>
      </c>
      <c r="J1265">
        <v>23</v>
      </c>
      <c r="M1265" s="74">
        <v>38038</v>
      </c>
      <c r="N1265" s="77">
        <v>0.95833333333333337</v>
      </c>
      <c r="P1265">
        <v>35.6</v>
      </c>
      <c r="S1265" s="74">
        <v>34751</v>
      </c>
      <c r="T1265" s="77">
        <v>0.95833333333333337</v>
      </c>
      <c r="V1265">
        <v>37.94</v>
      </c>
      <c r="X1265" s="42"/>
      <c r="AB1265">
        <v>35.9</v>
      </c>
      <c r="AC1265">
        <v>30.02</v>
      </c>
      <c r="AE1265" s="74"/>
      <c r="AF1265" s="77"/>
      <c r="AH1265" s="497">
        <v>42.980000000000004</v>
      </c>
      <c r="AJ1265" s="42"/>
      <c r="AK1265" s="74"/>
      <c r="AL1265" s="77"/>
      <c r="AN1265" s="497">
        <v>30.92</v>
      </c>
      <c r="AP1265" s="42"/>
      <c r="AQ1265" s="74"/>
      <c r="AR1265" s="77"/>
      <c r="AT1265" s="497">
        <v>6.98</v>
      </c>
      <c r="AV1265" s="42"/>
      <c r="AW1265" s="74"/>
      <c r="AX1265" s="77"/>
      <c r="BA1265" s="497">
        <v>35.06</v>
      </c>
      <c r="BB1265" s="42"/>
      <c r="BC1265" s="74"/>
      <c r="BD1265" s="77"/>
      <c r="BF1265">
        <v>17.059999999999999</v>
      </c>
      <c r="BH1265" s="42"/>
      <c r="BI1265" s="74"/>
      <c r="BJ1265" s="77"/>
      <c r="BL1265" s="497">
        <v>15.079999999999998</v>
      </c>
      <c r="BN1265" s="42"/>
      <c r="BO1265" s="74"/>
      <c r="BP1265" s="77"/>
      <c r="BR1265" s="497">
        <v>10.940000000000001</v>
      </c>
      <c r="BT1265" s="42"/>
    </row>
    <row r="1266" spans="1:72" x14ac:dyDescent="0.25">
      <c r="A1266" s="90">
        <v>34751</v>
      </c>
      <c r="B1266" s="20">
        <v>1</v>
      </c>
      <c r="D1266">
        <v>37.04</v>
      </c>
      <c r="E1266" t="str">
        <f t="shared" si="74"/>
        <v>WEEKDAY</v>
      </c>
      <c r="F1266" t="e">
        <f t="shared" si="75"/>
        <v>#N/A</v>
      </c>
      <c r="G1266" s="74">
        <v>32194</v>
      </c>
      <c r="H1266" s="77">
        <v>1</v>
      </c>
      <c r="J1266">
        <v>24.08</v>
      </c>
      <c r="M1266" s="74">
        <v>38038</v>
      </c>
      <c r="N1266" s="80">
        <v>1</v>
      </c>
      <c r="P1266">
        <v>35.6</v>
      </c>
      <c r="S1266" s="74">
        <v>34751</v>
      </c>
      <c r="T1266" s="80">
        <v>1</v>
      </c>
      <c r="V1266">
        <v>37.04</v>
      </c>
      <c r="X1266" s="42"/>
      <c r="AB1266">
        <v>35.299999999999997</v>
      </c>
      <c r="AC1266">
        <v>28.94</v>
      </c>
      <c r="AE1266" s="74"/>
      <c r="AF1266" s="80"/>
      <c r="AH1266" s="497">
        <v>42.980000000000004</v>
      </c>
      <c r="AJ1266" s="42"/>
      <c r="AK1266" s="74"/>
      <c r="AL1266" s="80"/>
      <c r="AN1266" s="497">
        <v>30.02</v>
      </c>
      <c r="AP1266" s="42"/>
      <c r="AQ1266" s="74"/>
      <c r="AR1266" s="80"/>
      <c r="AT1266" s="497">
        <v>6.0799999999999983</v>
      </c>
      <c r="AV1266" s="42"/>
      <c r="AW1266" s="74"/>
      <c r="AX1266" s="80"/>
      <c r="BA1266" s="497">
        <v>33.979999999999997</v>
      </c>
      <c r="BB1266" s="42"/>
      <c r="BC1266" s="74"/>
      <c r="BD1266" s="80"/>
      <c r="BF1266">
        <v>17.96</v>
      </c>
      <c r="BH1266" s="42"/>
      <c r="BI1266" s="74"/>
      <c r="BJ1266" s="80"/>
      <c r="BL1266" s="497">
        <v>15.98</v>
      </c>
      <c r="BN1266" s="42"/>
      <c r="BO1266" s="74"/>
      <c r="BP1266" s="80"/>
      <c r="BR1266" s="497">
        <v>15.079999999999998</v>
      </c>
      <c r="BT1266" s="42"/>
    </row>
    <row r="1267" spans="1:72" x14ac:dyDescent="0.25">
      <c r="A1267" s="90">
        <v>34752</v>
      </c>
      <c r="B1267" s="20">
        <v>4.1666666666666664E-2</v>
      </c>
      <c r="D1267">
        <v>37.04</v>
      </c>
      <c r="E1267" t="str">
        <f t="shared" si="74"/>
        <v>WEEKDAY</v>
      </c>
      <c r="F1267" t="e">
        <f t="shared" si="75"/>
        <v>#N/A</v>
      </c>
      <c r="G1267" s="74">
        <v>32195</v>
      </c>
      <c r="H1267" s="77">
        <v>4.1666666666666664E-2</v>
      </c>
      <c r="J1267">
        <v>23</v>
      </c>
      <c r="M1267" s="74">
        <v>38039</v>
      </c>
      <c r="N1267" s="77">
        <v>4.1666666666666664E-2</v>
      </c>
      <c r="P1267">
        <v>33.799999999999997</v>
      </c>
      <c r="S1267" s="74">
        <v>34752</v>
      </c>
      <c r="T1267" s="77">
        <v>4.1666666666666664E-2</v>
      </c>
      <c r="V1267">
        <v>37.04</v>
      </c>
      <c r="X1267" s="42"/>
      <c r="AB1267">
        <v>34.700000000000003</v>
      </c>
      <c r="AC1267">
        <v>24.98</v>
      </c>
      <c r="AE1267" s="74"/>
      <c r="AF1267" s="77"/>
      <c r="AH1267" s="497">
        <v>42.980000000000004</v>
      </c>
      <c r="AJ1267" s="42"/>
      <c r="AK1267" s="74"/>
      <c r="AL1267" s="77"/>
      <c r="AN1267" s="497">
        <v>30.02</v>
      </c>
      <c r="AP1267" s="42"/>
      <c r="AQ1267" s="74"/>
      <c r="AR1267" s="77"/>
      <c r="AT1267" s="497">
        <v>5</v>
      </c>
      <c r="AV1267" s="42"/>
      <c r="AW1267" s="74"/>
      <c r="AX1267" s="77"/>
      <c r="BA1267" s="497">
        <v>33.979999999999997</v>
      </c>
      <c r="BB1267" s="42"/>
      <c r="BC1267" s="74"/>
      <c r="BD1267" s="77"/>
      <c r="BF1267">
        <v>19.939999999999998</v>
      </c>
      <c r="BH1267" s="42"/>
      <c r="BI1267" s="74"/>
      <c r="BJ1267" s="77"/>
      <c r="BL1267" s="497">
        <v>17.96</v>
      </c>
      <c r="BN1267" s="42"/>
      <c r="BO1267" s="74"/>
      <c r="BP1267" s="77"/>
      <c r="BR1267" s="497">
        <v>15.98</v>
      </c>
      <c r="BT1267" s="42"/>
    </row>
    <row r="1268" spans="1:72" x14ac:dyDescent="0.25">
      <c r="A1268" s="90">
        <v>34752</v>
      </c>
      <c r="B1268" s="20">
        <v>8.3333333333333329E-2</v>
      </c>
      <c r="D1268">
        <v>35.96</v>
      </c>
      <c r="E1268" t="str">
        <f t="shared" si="74"/>
        <v>WEEKDAY</v>
      </c>
      <c r="F1268" t="e">
        <f t="shared" si="75"/>
        <v>#N/A</v>
      </c>
      <c r="G1268" s="74">
        <v>32195</v>
      </c>
      <c r="H1268" s="77">
        <v>8.3333333333333329E-2</v>
      </c>
      <c r="J1268">
        <v>23</v>
      </c>
      <c r="M1268" s="74">
        <v>38039</v>
      </c>
      <c r="N1268" s="77">
        <v>8.3333333333333329E-2</v>
      </c>
      <c r="P1268">
        <v>33.799999999999997</v>
      </c>
      <c r="S1268" s="74">
        <v>34752</v>
      </c>
      <c r="T1268" s="77">
        <v>8.3333333333333329E-2</v>
      </c>
      <c r="V1268">
        <v>35.96</v>
      </c>
      <c r="X1268" s="42"/>
      <c r="AB1268">
        <v>34.200000000000003</v>
      </c>
      <c r="AC1268">
        <v>24.08</v>
      </c>
      <c r="AE1268" s="74"/>
      <c r="AF1268" s="77"/>
      <c r="AH1268" s="497">
        <v>42.980000000000004</v>
      </c>
      <c r="AJ1268" s="42"/>
      <c r="AK1268" s="74"/>
      <c r="AL1268" s="77"/>
      <c r="AN1268" s="497">
        <v>28.94</v>
      </c>
      <c r="AP1268" s="42"/>
      <c r="AQ1268" s="74"/>
      <c r="AR1268" s="77"/>
      <c r="AT1268" s="497">
        <v>8.0599999999999987</v>
      </c>
      <c r="AV1268" s="42"/>
      <c r="AW1268" s="74"/>
      <c r="AX1268" s="77"/>
      <c r="BA1268" s="497">
        <v>30.92</v>
      </c>
      <c r="BB1268" s="42"/>
      <c r="BC1268" s="74"/>
      <c r="BD1268" s="77"/>
      <c r="BF1268">
        <v>19.939999999999998</v>
      </c>
      <c r="BH1268" s="42"/>
      <c r="BI1268" s="74"/>
      <c r="BJ1268" s="77"/>
      <c r="BL1268" s="497">
        <v>19.04</v>
      </c>
      <c r="BN1268" s="42"/>
      <c r="BO1268" s="74"/>
      <c r="BP1268" s="77"/>
      <c r="BR1268" s="497">
        <v>17.059999999999999</v>
      </c>
      <c r="BT1268" s="42"/>
    </row>
    <row r="1269" spans="1:72" x14ac:dyDescent="0.25">
      <c r="A1269" s="90">
        <v>34752</v>
      </c>
      <c r="B1269" s="20">
        <v>0.125</v>
      </c>
      <c r="D1269">
        <v>33.979999999999997</v>
      </c>
      <c r="E1269" t="str">
        <f t="shared" si="74"/>
        <v>WEEKDAY</v>
      </c>
      <c r="F1269" t="e">
        <f t="shared" si="75"/>
        <v>#N/A</v>
      </c>
      <c r="G1269" s="74">
        <v>32195</v>
      </c>
      <c r="H1269" s="77">
        <v>0.125</v>
      </c>
      <c r="J1269">
        <v>23</v>
      </c>
      <c r="M1269" s="74">
        <v>38039</v>
      </c>
      <c r="N1269" s="77">
        <v>0.125</v>
      </c>
      <c r="P1269">
        <v>33.799999999999997</v>
      </c>
      <c r="S1269" s="74">
        <v>34752</v>
      </c>
      <c r="T1269" s="77">
        <v>0.125</v>
      </c>
      <c r="V1269">
        <v>35.06</v>
      </c>
      <c r="X1269" s="42"/>
      <c r="AB1269">
        <v>33.700000000000003</v>
      </c>
      <c r="AC1269">
        <v>24.08</v>
      </c>
      <c r="AE1269" s="74"/>
      <c r="AF1269" s="77"/>
      <c r="AH1269" s="497">
        <v>42.980000000000004</v>
      </c>
      <c r="AJ1269" s="42"/>
      <c r="AK1269" s="74"/>
      <c r="AL1269" s="77"/>
      <c r="AN1269" s="497">
        <v>26.96</v>
      </c>
      <c r="AP1269" s="42"/>
      <c r="AQ1269" s="74"/>
      <c r="AR1269" s="77"/>
      <c r="AT1269" s="497">
        <v>6.0799999999999983</v>
      </c>
      <c r="AV1269" s="42"/>
      <c r="AW1269" s="74"/>
      <c r="AX1269" s="77"/>
      <c r="BA1269" s="497">
        <v>28.04</v>
      </c>
      <c r="BB1269" s="42"/>
      <c r="BC1269" s="74"/>
      <c r="BD1269" s="77"/>
      <c r="BF1269">
        <v>21.02</v>
      </c>
      <c r="BH1269" s="42"/>
      <c r="BI1269" s="74"/>
      <c r="BJ1269" s="77"/>
      <c r="BL1269" s="497">
        <v>19.939999999999998</v>
      </c>
      <c r="BN1269" s="42"/>
      <c r="BO1269" s="74"/>
      <c r="BP1269" s="77"/>
      <c r="BR1269" s="497">
        <v>17.059999999999999</v>
      </c>
      <c r="BT1269" s="42"/>
    </row>
    <row r="1270" spans="1:72" x14ac:dyDescent="0.25">
      <c r="A1270" s="90">
        <v>34752</v>
      </c>
      <c r="B1270" s="20">
        <v>0.16666666666666666</v>
      </c>
      <c r="D1270">
        <v>33.08</v>
      </c>
      <c r="E1270" t="str">
        <f t="shared" si="74"/>
        <v>WEEKDAY</v>
      </c>
      <c r="F1270" t="e">
        <f t="shared" si="75"/>
        <v>#N/A</v>
      </c>
      <c r="G1270" s="74">
        <v>32195</v>
      </c>
      <c r="H1270" s="77">
        <v>0.16666666666666666</v>
      </c>
      <c r="J1270">
        <v>23</v>
      </c>
      <c r="M1270" s="74">
        <v>38039</v>
      </c>
      <c r="N1270" s="77">
        <v>0.16666666666666666</v>
      </c>
      <c r="P1270">
        <v>33.799999999999997</v>
      </c>
      <c r="S1270" s="74">
        <v>34752</v>
      </c>
      <c r="T1270" s="77">
        <v>0.16666666666666666</v>
      </c>
      <c r="V1270">
        <v>33.979999999999997</v>
      </c>
      <c r="X1270" s="42"/>
      <c r="AB1270">
        <v>33.1</v>
      </c>
      <c r="AC1270">
        <v>24.98</v>
      </c>
      <c r="AE1270" s="74"/>
      <c r="AF1270" s="77"/>
      <c r="AH1270" s="497">
        <v>41.9</v>
      </c>
      <c r="AJ1270" s="42"/>
      <c r="AK1270" s="74"/>
      <c r="AL1270" s="77"/>
      <c r="AN1270" s="497">
        <v>28.04</v>
      </c>
      <c r="AP1270" s="42"/>
      <c r="AQ1270" s="74"/>
      <c r="AR1270" s="77"/>
      <c r="AT1270" s="497">
        <v>10.039999999999999</v>
      </c>
      <c r="AV1270" s="42"/>
      <c r="AW1270" s="74"/>
      <c r="AX1270" s="77"/>
      <c r="BA1270" s="497">
        <v>28.94</v>
      </c>
      <c r="BB1270" s="42"/>
      <c r="BC1270" s="74"/>
      <c r="BD1270" s="77"/>
      <c r="BF1270">
        <v>21.92</v>
      </c>
      <c r="BH1270" s="42"/>
      <c r="BI1270" s="74"/>
      <c r="BJ1270" s="77"/>
      <c r="BL1270" s="497">
        <v>19.939999999999998</v>
      </c>
      <c r="BN1270" s="42"/>
      <c r="BO1270" s="74"/>
      <c r="BP1270" s="77"/>
      <c r="BR1270" s="497">
        <v>17.96</v>
      </c>
      <c r="BT1270" s="42"/>
    </row>
    <row r="1271" spans="1:72" x14ac:dyDescent="0.25">
      <c r="A1271" s="90">
        <v>34752</v>
      </c>
      <c r="B1271" s="20">
        <v>0.20833333333333334</v>
      </c>
      <c r="D1271">
        <v>32</v>
      </c>
      <c r="E1271" t="str">
        <f t="shared" si="74"/>
        <v>WEEKDAY</v>
      </c>
      <c r="F1271" t="e">
        <f t="shared" si="75"/>
        <v>#N/A</v>
      </c>
      <c r="G1271" s="74">
        <v>32195</v>
      </c>
      <c r="H1271" s="77">
        <v>0.20833333333333334</v>
      </c>
      <c r="J1271">
        <v>24.08</v>
      </c>
      <c r="M1271" s="74">
        <v>38039</v>
      </c>
      <c r="N1271" s="77">
        <v>0.20833333333333334</v>
      </c>
      <c r="P1271">
        <v>33.799999999999997</v>
      </c>
      <c r="S1271" s="74">
        <v>34752</v>
      </c>
      <c r="T1271" s="77">
        <v>0.20833333333333334</v>
      </c>
      <c r="V1271">
        <v>33.08</v>
      </c>
      <c r="X1271" s="42"/>
      <c r="AB1271">
        <v>32.700000000000003</v>
      </c>
      <c r="AC1271">
        <v>24.98</v>
      </c>
      <c r="AE1271" s="74"/>
      <c r="AF1271" s="77"/>
      <c r="AH1271" s="497">
        <v>41.9</v>
      </c>
      <c r="AJ1271" s="42"/>
      <c r="AK1271" s="74"/>
      <c r="AL1271" s="77"/>
      <c r="AN1271" s="497">
        <v>26.060000000000002</v>
      </c>
      <c r="AP1271" s="42"/>
      <c r="AQ1271" s="74"/>
      <c r="AR1271" s="77"/>
      <c r="AT1271" s="497">
        <v>10.940000000000001</v>
      </c>
      <c r="AV1271" s="42"/>
      <c r="AW1271" s="74"/>
      <c r="AX1271" s="77"/>
      <c r="BA1271" s="497">
        <v>30.02</v>
      </c>
      <c r="BB1271" s="42"/>
      <c r="BC1271" s="74"/>
      <c r="BD1271" s="77"/>
      <c r="BF1271">
        <v>24.08</v>
      </c>
      <c r="BH1271" s="42"/>
      <c r="BI1271" s="74"/>
      <c r="BJ1271" s="77"/>
      <c r="BL1271" s="497">
        <v>21.92</v>
      </c>
      <c r="BN1271" s="42"/>
      <c r="BO1271" s="74"/>
      <c r="BP1271" s="77"/>
      <c r="BR1271" s="497">
        <v>19.939999999999998</v>
      </c>
      <c r="BT1271" s="42"/>
    </row>
    <row r="1272" spans="1:72" x14ac:dyDescent="0.25">
      <c r="A1272" s="90">
        <v>34752</v>
      </c>
      <c r="B1272" s="20">
        <v>0.25</v>
      </c>
      <c r="D1272">
        <v>30.02</v>
      </c>
      <c r="E1272" t="str">
        <f t="shared" si="74"/>
        <v>WEEKDAY</v>
      </c>
      <c r="F1272" t="e">
        <f t="shared" si="75"/>
        <v>#N/A</v>
      </c>
      <c r="G1272" s="74">
        <v>32195</v>
      </c>
      <c r="H1272" s="77">
        <v>0.25</v>
      </c>
      <c r="J1272">
        <v>24.08</v>
      </c>
      <c r="M1272" s="74">
        <v>38039</v>
      </c>
      <c r="N1272" s="77">
        <v>0.25</v>
      </c>
      <c r="P1272">
        <v>33.799999999999997</v>
      </c>
      <c r="S1272" s="74">
        <v>34752</v>
      </c>
      <c r="T1272" s="77">
        <v>0.25</v>
      </c>
      <c r="V1272">
        <v>30.92</v>
      </c>
      <c r="X1272" s="42"/>
      <c r="AB1272">
        <v>32.299999999999997</v>
      </c>
      <c r="AC1272">
        <v>24.08</v>
      </c>
      <c r="AE1272" s="74"/>
      <c r="AF1272" s="77"/>
      <c r="AH1272" s="497">
        <v>42.980000000000004</v>
      </c>
      <c r="AJ1272" s="42"/>
      <c r="AK1272" s="74"/>
      <c r="AL1272" s="77"/>
      <c r="AN1272" s="497">
        <v>24.98</v>
      </c>
      <c r="AP1272" s="42"/>
      <c r="AQ1272" s="74"/>
      <c r="AR1272" s="77"/>
      <c r="AT1272" s="497">
        <v>12.02</v>
      </c>
      <c r="AV1272" s="42"/>
      <c r="AW1272" s="74"/>
      <c r="AX1272" s="77"/>
      <c r="BA1272" s="497">
        <v>28.94</v>
      </c>
      <c r="BB1272" s="42"/>
      <c r="BC1272" s="74"/>
      <c r="BD1272" s="77"/>
      <c r="BF1272">
        <v>26.96</v>
      </c>
      <c r="BH1272" s="42"/>
      <c r="BI1272" s="74"/>
      <c r="BJ1272" s="77"/>
      <c r="BL1272" s="497">
        <v>24.08</v>
      </c>
      <c r="BN1272" s="42"/>
      <c r="BO1272" s="74"/>
      <c r="BP1272" s="77"/>
      <c r="BR1272" s="497">
        <v>21.92</v>
      </c>
      <c r="BT1272" s="42"/>
    </row>
    <row r="1273" spans="1:72" x14ac:dyDescent="0.25">
      <c r="A1273" s="90">
        <v>34752</v>
      </c>
      <c r="B1273" s="20">
        <v>0.29166666666666669</v>
      </c>
      <c r="D1273">
        <v>28.94</v>
      </c>
      <c r="E1273" t="str">
        <f t="shared" si="74"/>
        <v>WEEKDAY</v>
      </c>
      <c r="F1273" t="e">
        <f t="shared" si="75"/>
        <v>#N/A</v>
      </c>
      <c r="G1273" s="74">
        <v>32195</v>
      </c>
      <c r="H1273" s="77">
        <v>0.29166666666666669</v>
      </c>
      <c r="J1273">
        <v>24.98</v>
      </c>
      <c r="M1273" s="74">
        <v>38039</v>
      </c>
      <c r="N1273" s="77">
        <v>0.29166666666666669</v>
      </c>
      <c r="P1273">
        <v>33.799999999999997</v>
      </c>
      <c r="S1273" s="74">
        <v>34752</v>
      </c>
      <c r="T1273" s="77">
        <v>0.29166666666666669</v>
      </c>
      <c r="V1273">
        <v>30.02</v>
      </c>
      <c r="X1273" s="42"/>
      <c r="AB1273">
        <v>32.200000000000003</v>
      </c>
      <c r="AC1273">
        <v>24.08</v>
      </c>
      <c r="AE1273" s="74"/>
      <c r="AF1273" s="77"/>
      <c r="AH1273" s="497">
        <v>42.980000000000004</v>
      </c>
      <c r="AJ1273" s="42"/>
      <c r="AK1273" s="74"/>
      <c r="AL1273" s="77"/>
      <c r="AN1273" s="497">
        <v>24.98</v>
      </c>
      <c r="AP1273" s="42"/>
      <c r="AQ1273" s="74"/>
      <c r="AR1273" s="77"/>
      <c r="AT1273" s="497">
        <v>12.920000000000002</v>
      </c>
      <c r="AV1273" s="42"/>
      <c r="AW1273" s="74"/>
      <c r="AX1273" s="77"/>
      <c r="BA1273" s="497">
        <v>28.04</v>
      </c>
      <c r="BB1273" s="42"/>
      <c r="BC1273" s="74"/>
      <c r="BD1273" s="77"/>
      <c r="BF1273">
        <v>28.94</v>
      </c>
      <c r="BH1273" s="42"/>
      <c r="BI1273" s="74"/>
      <c r="BJ1273" s="77"/>
      <c r="BL1273" s="497">
        <v>26.060000000000002</v>
      </c>
      <c r="BN1273" s="42"/>
      <c r="BO1273" s="74"/>
      <c r="BP1273" s="77"/>
      <c r="BR1273" s="497">
        <v>23</v>
      </c>
      <c r="BT1273" s="42"/>
    </row>
    <row r="1274" spans="1:72" x14ac:dyDescent="0.25">
      <c r="A1274" s="90">
        <v>34752</v>
      </c>
      <c r="B1274" s="20">
        <v>0.33333333333333331</v>
      </c>
      <c r="D1274">
        <v>28.94</v>
      </c>
      <c r="E1274" t="str">
        <f t="shared" si="74"/>
        <v>WEEKDAY</v>
      </c>
      <c r="F1274" t="e">
        <f t="shared" si="75"/>
        <v>#N/A</v>
      </c>
      <c r="G1274" s="74">
        <v>32195</v>
      </c>
      <c r="H1274" s="77">
        <v>0.33333333333333331</v>
      </c>
      <c r="J1274">
        <v>26.060000000000002</v>
      </c>
      <c r="M1274" s="74">
        <v>38039</v>
      </c>
      <c r="N1274" s="77">
        <v>0.33333333333333331</v>
      </c>
      <c r="P1274">
        <v>35.6</v>
      </c>
      <c r="S1274" s="74">
        <v>34752</v>
      </c>
      <c r="T1274" s="77">
        <v>0.33333333333333331</v>
      </c>
      <c r="V1274">
        <v>30.92</v>
      </c>
      <c r="X1274" s="42"/>
      <c r="AB1274">
        <v>32.1</v>
      </c>
      <c r="AC1274">
        <v>33.979999999999997</v>
      </c>
      <c r="AE1274" s="74"/>
      <c r="AF1274" s="77"/>
      <c r="AH1274" s="497">
        <v>42.980000000000004</v>
      </c>
      <c r="AJ1274" s="42"/>
      <c r="AK1274" s="74"/>
      <c r="AL1274" s="77"/>
      <c r="AN1274" s="497">
        <v>24.98</v>
      </c>
      <c r="AP1274" s="42"/>
      <c r="AQ1274" s="74"/>
      <c r="AR1274" s="77"/>
      <c r="AT1274" s="497">
        <v>15.079999999999998</v>
      </c>
      <c r="AV1274" s="42"/>
      <c r="AW1274" s="74"/>
      <c r="AX1274" s="77"/>
      <c r="BA1274" s="497">
        <v>28.04</v>
      </c>
      <c r="BB1274" s="42"/>
      <c r="BC1274" s="74"/>
      <c r="BD1274" s="77"/>
      <c r="BF1274">
        <v>30.92</v>
      </c>
      <c r="BH1274" s="42"/>
      <c r="BI1274" s="74"/>
      <c r="BJ1274" s="77"/>
      <c r="BL1274" s="497">
        <v>28.94</v>
      </c>
      <c r="BN1274" s="42"/>
      <c r="BO1274" s="74"/>
      <c r="BP1274" s="77"/>
      <c r="BR1274" s="497">
        <v>24.98</v>
      </c>
      <c r="BT1274" s="42"/>
    </row>
    <row r="1275" spans="1:72" x14ac:dyDescent="0.25">
      <c r="A1275" s="90">
        <v>34752</v>
      </c>
      <c r="B1275" s="20">
        <v>0.375</v>
      </c>
      <c r="D1275">
        <v>30.02</v>
      </c>
      <c r="E1275" t="str">
        <f t="shared" si="74"/>
        <v>WEEKDAY</v>
      </c>
      <c r="F1275" t="e">
        <f t="shared" si="75"/>
        <v>#N/A</v>
      </c>
      <c r="G1275" s="74">
        <v>32195</v>
      </c>
      <c r="H1275" s="77">
        <v>0.375</v>
      </c>
      <c r="J1275">
        <v>28.94</v>
      </c>
      <c r="M1275" s="74">
        <v>38039</v>
      </c>
      <c r="N1275" s="77">
        <v>0.375</v>
      </c>
      <c r="P1275">
        <v>35.6</v>
      </c>
      <c r="S1275" s="74">
        <v>34752</v>
      </c>
      <c r="T1275" s="77">
        <v>0.375</v>
      </c>
      <c r="V1275">
        <v>32</v>
      </c>
      <c r="X1275" s="42"/>
      <c r="AB1275">
        <v>33.5</v>
      </c>
      <c r="AC1275">
        <v>37.04</v>
      </c>
      <c r="AE1275" s="74"/>
      <c r="AF1275" s="77"/>
      <c r="AH1275" s="497">
        <v>44.96</v>
      </c>
      <c r="AJ1275" s="42"/>
      <c r="AK1275" s="74"/>
      <c r="AL1275" s="77"/>
      <c r="AN1275" s="497">
        <v>26.96</v>
      </c>
      <c r="AP1275" s="42"/>
      <c r="AQ1275" s="74"/>
      <c r="AR1275" s="77"/>
      <c r="AT1275" s="497">
        <v>19.04</v>
      </c>
      <c r="AV1275" s="42"/>
      <c r="AW1275" s="74"/>
      <c r="AX1275" s="77"/>
      <c r="BA1275" s="497">
        <v>30.02</v>
      </c>
      <c r="BB1275" s="42"/>
      <c r="BC1275" s="74"/>
      <c r="BD1275" s="77"/>
      <c r="BF1275">
        <v>33.979999999999997</v>
      </c>
      <c r="BH1275" s="42"/>
      <c r="BI1275" s="74"/>
      <c r="BJ1275" s="77"/>
      <c r="BL1275" s="497">
        <v>30.92</v>
      </c>
      <c r="BN1275" s="42"/>
      <c r="BO1275" s="74"/>
      <c r="BP1275" s="77"/>
      <c r="BR1275" s="497">
        <v>28.94</v>
      </c>
      <c r="BT1275" s="42"/>
    </row>
    <row r="1276" spans="1:72" x14ac:dyDescent="0.25">
      <c r="A1276" s="90">
        <v>34752</v>
      </c>
      <c r="B1276" s="20">
        <v>0.41666666666666669</v>
      </c>
      <c r="D1276">
        <v>30.02</v>
      </c>
      <c r="E1276" t="str">
        <f t="shared" si="74"/>
        <v>WEEKDAY</v>
      </c>
      <c r="F1276" t="e">
        <f t="shared" si="75"/>
        <v>#N/A</v>
      </c>
      <c r="G1276" s="74">
        <v>32195</v>
      </c>
      <c r="H1276" s="77">
        <v>0.41666666666666669</v>
      </c>
      <c r="J1276">
        <v>33.08</v>
      </c>
      <c r="M1276" s="74">
        <v>38039</v>
      </c>
      <c r="N1276" s="77">
        <v>0.41666666666666669</v>
      </c>
      <c r="P1276">
        <v>37.4</v>
      </c>
      <c r="S1276" s="74">
        <v>34752</v>
      </c>
      <c r="T1276" s="77">
        <v>0.41666666666666669</v>
      </c>
      <c r="V1276">
        <v>33.08</v>
      </c>
      <c r="X1276" s="42"/>
      <c r="AB1276">
        <v>35.200000000000003</v>
      </c>
      <c r="AC1276">
        <v>42.08</v>
      </c>
      <c r="AE1276" s="74"/>
      <c r="AF1276" s="77"/>
      <c r="AH1276" s="497">
        <v>44.96</v>
      </c>
      <c r="AJ1276" s="42"/>
      <c r="AK1276" s="74"/>
      <c r="AL1276" s="77"/>
      <c r="AN1276" s="497">
        <v>28.04</v>
      </c>
      <c r="AP1276" s="42"/>
      <c r="AQ1276" s="74"/>
      <c r="AR1276" s="77"/>
      <c r="AT1276" s="497">
        <v>24.08</v>
      </c>
      <c r="AV1276" s="42"/>
      <c r="AW1276" s="74"/>
      <c r="AX1276" s="77"/>
      <c r="BA1276" s="497">
        <v>32</v>
      </c>
      <c r="BB1276" s="42"/>
      <c r="BC1276" s="74"/>
      <c r="BD1276" s="77"/>
      <c r="BF1276">
        <v>35.96</v>
      </c>
      <c r="BH1276" s="42"/>
      <c r="BI1276" s="74"/>
      <c r="BJ1276" s="77"/>
      <c r="BL1276" s="497">
        <v>35.06</v>
      </c>
      <c r="BN1276" s="42"/>
      <c r="BO1276" s="74"/>
      <c r="BP1276" s="77"/>
      <c r="BR1276" s="497">
        <v>30.92</v>
      </c>
      <c r="BT1276" s="42"/>
    </row>
    <row r="1277" spans="1:72" x14ac:dyDescent="0.25">
      <c r="A1277" s="90">
        <v>34752</v>
      </c>
      <c r="B1277" s="20">
        <v>0.45833333333333331</v>
      </c>
      <c r="D1277">
        <v>33.08</v>
      </c>
      <c r="E1277" t="str">
        <f t="shared" si="74"/>
        <v>WEEKDAY</v>
      </c>
      <c r="F1277" t="e">
        <f t="shared" si="75"/>
        <v>#N/A</v>
      </c>
      <c r="G1277" s="74">
        <v>32195</v>
      </c>
      <c r="H1277" s="77">
        <v>0.45833333333333331</v>
      </c>
      <c r="J1277">
        <v>35.96</v>
      </c>
      <c r="M1277" s="74">
        <v>38039</v>
      </c>
      <c r="N1277" s="77">
        <v>0.45833333333333331</v>
      </c>
      <c r="P1277">
        <v>37.4</v>
      </c>
      <c r="S1277" s="74">
        <v>34752</v>
      </c>
      <c r="T1277" s="77">
        <v>0.45833333333333331</v>
      </c>
      <c r="V1277">
        <v>35.96</v>
      </c>
      <c r="X1277" s="42"/>
      <c r="AB1277">
        <v>36.9</v>
      </c>
      <c r="AC1277">
        <v>44.06</v>
      </c>
      <c r="AE1277" s="74"/>
      <c r="AF1277" s="77"/>
      <c r="AH1277" s="497">
        <v>47.84</v>
      </c>
      <c r="AJ1277" s="42"/>
      <c r="AK1277" s="74"/>
      <c r="AL1277" s="77"/>
      <c r="AN1277" s="497">
        <v>28.94</v>
      </c>
      <c r="AP1277" s="42"/>
      <c r="AQ1277" s="74"/>
      <c r="AR1277" s="77"/>
      <c r="AT1277" s="497">
        <v>26.060000000000002</v>
      </c>
      <c r="AV1277" s="42"/>
      <c r="AW1277" s="74"/>
      <c r="AX1277" s="77"/>
      <c r="BA1277" s="497">
        <v>33.08</v>
      </c>
      <c r="BB1277" s="42"/>
      <c r="BC1277" s="74"/>
      <c r="BD1277" s="77"/>
      <c r="BF1277">
        <v>39.92</v>
      </c>
      <c r="BH1277" s="42"/>
      <c r="BI1277" s="74"/>
      <c r="BJ1277" s="77"/>
      <c r="BL1277" s="497">
        <v>39.019999999999996</v>
      </c>
      <c r="BN1277" s="42"/>
      <c r="BO1277" s="74"/>
      <c r="BP1277" s="77"/>
      <c r="BR1277" s="497">
        <v>33.979999999999997</v>
      </c>
      <c r="BT1277" s="42"/>
    </row>
    <row r="1278" spans="1:72" x14ac:dyDescent="0.25">
      <c r="A1278" s="90">
        <v>34752</v>
      </c>
      <c r="B1278" s="20">
        <v>0.5</v>
      </c>
      <c r="D1278">
        <v>33.979999999999997</v>
      </c>
      <c r="E1278" t="str">
        <f t="shared" si="74"/>
        <v>WEEKDAY</v>
      </c>
      <c r="F1278" t="e">
        <f t="shared" si="75"/>
        <v>#N/A</v>
      </c>
      <c r="G1278" s="74">
        <v>32195</v>
      </c>
      <c r="H1278" s="77">
        <v>0.5</v>
      </c>
      <c r="J1278">
        <v>39.019999999999996</v>
      </c>
      <c r="M1278" s="74">
        <v>38039</v>
      </c>
      <c r="N1278" s="77">
        <v>0.5</v>
      </c>
      <c r="P1278">
        <v>39.200000000000003</v>
      </c>
      <c r="S1278" s="74">
        <v>34752</v>
      </c>
      <c r="T1278" s="77">
        <v>0.5</v>
      </c>
      <c r="V1278">
        <v>37.94</v>
      </c>
      <c r="X1278" s="42"/>
      <c r="AB1278">
        <v>38.299999999999997</v>
      </c>
      <c r="AC1278">
        <v>44.06</v>
      </c>
      <c r="AE1278" s="74"/>
      <c r="AF1278" s="77"/>
      <c r="AH1278" s="497">
        <v>48.92</v>
      </c>
      <c r="AJ1278" s="42"/>
      <c r="AK1278" s="74"/>
      <c r="AL1278" s="77"/>
      <c r="AN1278" s="497">
        <v>30.92</v>
      </c>
      <c r="AP1278" s="42"/>
      <c r="AQ1278" s="74"/>
      <c r="AR1278" s="77"/>
      <c r="AT1278" s="497">
        <v>30.02</v>
      </c>
      <c r="AV1278" s="42"/>
      <c r="AW1278" s="74"/>
      <c r="AX1278" s="77"/>
      <c r="BA1278" s="497">
        <v>35.06</v>
      </c>
      <c r="BB1278" s="42"/>
      <c r="BC1278" s="74"/>
      <c r="BD1278" s="77"/>
      <c r="BF1278">
        <v>44.06</v>
      </c>
      <c r="BH1278" s="42"/>
      <c r="BI1278" s="74"/>
      <c r="BJ1278" s="77"/>
      <c r="BL1278" s="497">
        <v>42.980000000000004</v>
      </c>
      <c r="BN1278" s="42"/>
      <c r="BO1278" s="74"/>
      <c r="BP1278" s="77"/>
      <c r="BR1278" s="497">
        <v>37.04</v>
      </c>
      <c r="BT1278" s="42"/>
    </row>
    <row r="1279" spans="1:72" x14ac:dyDescent="0.25">
      <c r="A1279" s="90">
        <v>34752</v>
      </c>
      <c r="B1279" s="20">
        <v>0.54166666666666663</v>
      </c>
      <c r="D1279">
        <v>35.96</v>
      </c>
      <c r="E1279" t="str">
        <f t="shared" si="74"/>
        <v>WEEKDAY</v>
      </c>
      <c r="F1279" t="e">
        <f t="shared" si="75"/>
        <v>#N/A</v>
      </c>
      <c r="G1279" s="74">
        <v>32195</v>
      </c>
      <c r="H1279" s="77">
        <v>0.54166666666666663</v>
      </c>
      <c r="J1279">
        <v>41</v>
      </c>
      <c r="M1279" s="74">
        <v>38039</v>
      </c>
      <c r="N1279" s="77">
        <v>0.54166666666666663</v>
      </c>
      <c r="P1279">
        <v>39.200000000000003</v>
      </c>
      <c r="S1279" s="74">
        <v>34752</v>
      </c>
      <c r="T1279" s="77">
        <v>0.54166666666666663</v>
      </c>
      <c r="V1279">
        <v>39.019999999999996</v>
      </c>
      <c r="X1279" s="42"/>
      <c r="AB1279">
        <v>39.5</v>
      </c>
      <c r="AC1279">
        <v>44.96</v>
      </c>
      <c r="AE1279" s="74"/>
      <c r="AF1279" s="77"/>
      <c r="AH1279" s="497">
        <v>48.92</v>
      </c>
      <c r="AJ1279" s="42"/>
      <c r="AK1279" s="74"/>
      <c r="AL1279" s="77"/>
      <c r="AN1279" s="497">
        <v>30.92</v>
      </c>
      <c r="AP1279" s="42"/>
      <c r="AQ1279" s="74"/>
      <c r="AR1279" s="77"/>
      <c r="AT1279" s="497">
        <v>32</v>
      </c>
      <c r="AV1279" s="42"/>
      <c r="AW1279" s="74"/>
      <c r="AX1279" s="77"/>
      <c r="BA1279" s="497">
        <v>35.96</v>
      </c>
      <c r="BB1279" s="42"/>
      <c r="BC1279" s="74"/>
      <c r="BD1279" s="77"/>
      <c r="BF1279">
        <v>46.04</v>
      </c>
      <c r="BH1279" s="42"/>
      <c r="BI1279" s="74"/>
      <c r="BJ1279" s="77"/>
      <c r="BL1279" s="497">
        <v>46.04</v>
      </c>
      <c r="BN1279" s="42"/>
      <c r="BO1279" s="74"/>
      <c r="BP1279" s="77"/>
      <c r="BR1279" s="497">
        <v>39.019999999999996</v>
      </c>
      <c r="BT1279" s="42"/>
    </row>
    <row r="1280" spans="1:72" x14ac:dyDescent="0.25">
      <c r="A1280" s="90">
        <v>34752</v>
      </c>
      <c r="B1280" s="20">
        <v>0.58333333333333337</v>
      </c>
      <c r="D1280">
        <v>37.94</v>
      </c>
      <c r="E1280" t="str">
        <f t="shared" si="74"/>
        <v>WEEKDAY</v>
      </c>
      <c r="F1280" t="e">
        <f t="shared" si="75"/>
        <v>#N/A</v>
      </c>
      <c r="G1280" s="74">
        <v>32195</v>
      </c>
      <c r="H1280" s="77">
        <v>0.58333333333333337</v>
      </c>
      <c r="J1280">
        <v>44.06</v>
      </c>
      <c r="M1280" s="74">
        <v>38039</v>
      </c>
      <c r="N1280" s="77">
        <v>0.58333333333333337</v>
      </c>
      <c r="P1280">
        <v>39.200000000000003</v>
      </c>
      <c r="S1280" s="74">
        <v>34752</v>
      </c>
      <c r="T1280" s="77">
        <v>0.58333333333333337</v>
      </c>
      <c r="V1280">
        <v>41</v>
      </c>
      <c r="X1280" s="42"/>
      <c r="AB1280">
        <v>40.5</v>
      </c>
      <c r="AC1280">
        <v>44.06</v>
      </c>
      <c r="AE1280" s="74"/>
      <c r="AF1280" s="77"/>
      <c r="AH1280" s="497">
        <v>50</v>
      </c>
      <c r="AJ1280" s="42"/>
      <c r="AK1280" s="74"/>
      <c r="AL1280" s="77"/>
      <c r="AN1280" s="497">
        <v>30.92</v>
      </c>
      <c r="AP1280" s="42"/>
      <c r="AQ1280" s="74"/>
      <c r="AR1280" s="77"/>
      <c r="AT1280" s="497">
        <v>35.06</v>
      </c>
      <c r="AV1280" s="42"/>
      <c r="AW1280" s="74"/>
      <c r="AX1280" s="77"/>
      <c r="BA1280" s="497">
        <v>35.06</v>
      </c>
      <c r="BB1280" s="42"/>
      <c r="BC1280" s="74"/>
      <c r="BD1280" s="77"/>
      <c r="BF1280">
        <v>48.92</v>
      </c>
      <c r="BH1280" s="42"/>
      <c r="BI1280" s="74"/>
      <c r="BJ1280" s="77"/>
      <c r="BL1280" s="497">
        <v>48.019999999999996</v>
      </c>
      <c r="BN1280" s="42"/>
      <c r="BO1280" s="74"/>
      <c r="BP1280" s="77"/>
      <c r="BR1280" s="497">
        <v>42.08</v>
      </c>
      <c r="BT1280" s="42"/>
    </row>
    <row r="1281" spans="1:72" x14ac:dyDescent="0.25">
      <c r="A1281" s="90">
        <v>34752</v>
      </c>
      <c r="B1281" s="20">
        <v>0.625</v>
      </c>
      <c r="D1281">
        <v>37.94</v>
      </c>
      <c r="E1281" t="str">
        <f t="shared" si="74"/>
        <v>WEEKDAY</v>
      </c>
      <c r="F1281" t="e">
        <f t="shared" si="75"/>
        <v>#N/A</v>
      </c>
      <c r="G1281" s="74">
        <v>32195</v>
      </c>
      <c r="H1281" s="77">
        <v>0.625</v>
      </c>
      <c r="J1281">
        <v>44.96</v>
      </c>
      <c r="M1281" s="74">
        <v>38039</v>
      </c>
      <c r="N1281" s="77">
        <v>0.625</v>
      </c>
      <c r="P1281">
        <v>39.200000000000003</v>
      </c>
      <c r="S1281" s="74">
        <v>34752</v>
      </c>
      <c r="T1281" s="77">
        <v>0.625</v>
      </c>
      <c r="V1281">
        <v>39.92</v>
      </c>
      <c r="X1281" s="42"/>
      <c r="AB1281">
        <v>41</v>
      </c>
      <c r="AC1281">
        <v>44.06</v>
      </c>
      <c r="AE1281" s="74"/>
      <c r="AF1281" s="77"/>
      <c r="AH1281" s="497">
        <v>50</v>
      </c>
      <c r="AJ1281" s="42"/>
      <c r="AK1281" s="74"/>
      <c r="AL1281" s="77"/>
      <c r="AN1281" s="497">
        <v>30.92</v>
      </c>
      <c r="AP1281" s="42"/>
      <c r="AQ1281" s="74"/>
      <c r="AR1281" s="77"/>
      <c r="AT1281" s="497">
        <v>35.96</v>
      </c>
      <c r="AV1281" s="42"/>
      <c r="AW1281" s="74"/>
      <c r="AX1281" s="77"/>
      <c r="BA1281" s="497">
        <v>35.96</v>
      </c>
      <c r="BB1281" s="42"/>
      <c r="BC1281" s="74"/>
      <c r="BD1281" s="77"/>
      <c r="BF1281">
        <v>51.08</v>
      </c>
      <c r="BH1281" s="42"/>
      <c r="BI1281" s="74"/>
      <c r="BJ1281" s="77"/>
      <c r="BL1281" s="497">
        <v>51.08</v>
      </c>
      <c r="BN1281" s="42"/>
      <c r="BO1281" s="74"/>
      <c r="BP1281" s="77"/>
      <c r="BR1281" s="497">
        <v>44.96</v>
      </c>
      <c r="BT1281" s="42"/>
    </row>
    <row r="1282" spans="1:72" x14ac:dyDescent="0.25">
      <c r="A1282" s="90">
        <v>34752</v>
      </c>
      <c r="B1282" s="20">
        <v>0.66666666666666663</v>
      </c>
      <c r="D1282">
        <v>39.92</v>
      </c>
      <c r="E1282" t="str">
        <f t="shared" si="74"/>
        <v>WEEKDAY</v>
      </c>
      <c r="F1282" t="e">
        <f t="shared" si="75"/>
        <v>#N/A</v>
      </c>
      <c r="G1282" s="74">
        <v>32195</v>
      </c>
      <c r="H1282" s="77">
        <v>0.66666666666666663</v>
      </c>
      <c r="J1282">
        <v>42.980000000000004</v>
      </c>
      <c r="M1282" s="74">
        <v>38039</v>
      </c>
      <c r="N1282" s="77">
        <v>0.66666666666666663</v>
      </c>
      <c r="P1282">
        <v>37.4</v>
      </c>
      <c r="S1282" s="74">
        <v>34752</v>
      </c>
      <c r="T1282" s="77">
        <v>0.66666666666666663</v>
      </c>
      <c r="V1282">
        <v>39.92</v>
      </c>
      <c r="X1282" s="42"/>
      <c r="AB1282">
        <v>41.2</v>
      </c>
      <c r="AC1282">
        <v>42.08</v>
      </c>
      <c r="AE1282" s="74"/>
      <c r="AF1282" s="77"/>
      <c r="AH1282" s="497">
        <v>50</v>
      </c>
      <c r="AJ1282" s="42"/>
      <c r="AK1282" s="74"/>
      <c r="AL1282" s="77"/>
      <c r="AN1282" s="497">
        <v>30.02</v>
      </c>
      <c r="AP1282" s="42"/>
      <c r="AQ1282" s="74"/>
      <c r="AR1282" s="77"/>
      <c r="AT1282" s="497">
        <v>37.94</v>
      </c>
      <c r="AV1282" s="42"/>
      <c r="AW1282" s="74"/>
      <c r="AX1282" s="77"/>
      <c r="BA1282" s="497">
        <v>35.06</v>
      </c>
      <c r="BB1282" s="42"/>
      <c r="BC1282" s="74"/>
      <c r="BD1282" s="77"/>
      <c r="BF1282">
        <v>51.08</v>
      </c>
      <c r="BH1282" s="42"/>
      <c r="BI1282" s="74"/>
      <c r="BJ1282" s="77"/>
      <c r="BL1282" s="497">
        <v>53.06</v>
      </c>
      <c r="BN1282" s="42"/>
      <c r="BO1282" s="74"/>
      <c r="BP1282" s="77"/>
      <c r="BR1282" s="497">
        <v>44.96</v>
      </c>
      <c r="BT1282" s="42"/>
    </row>
    <row r="1283" spans="1:72" x14ac:dyDescent="0.25">
      <c r="A1283" s="90">
        <v>34752</v>
      </c>
      <c r="B1283" s="20">
        <v>0.70833333333333337</v>
      </c>
      <c r="D1283">
        <v>39.019999999999996</v>
      </c>
      <c r="E1283" t="str">
        <f t="shared" si="74"/>
        <v>WEEKDAY</v>
      </c>
      <c r="F1283" t="e">
        <f t="shared" si="75"/>
        <v>#N/A</v>
      </c>
      <c r="G1283" s="74">
        <v>32195</v>
      </c>
      <c r="H1283" s="77">
        <v>0.70833333333333337</v>
      </c>
      <c r="J1283">
        <v>42.08</v>
      </c>
      <c r="M1283" s="74">
        <v>38039</v>
      </c>
      <c r="N1283" s="77">
        <v>0.70833333333333337</v>
      </c>
      <c r="P1283">
        <v>37.4</v>
      </c>
      <c r="S1283" s="74">
        <v>34752</v>
      </c>
      <c r="T1283" s="77">
        <v>0.70833333333333337</v>
      </c>
      <c r="V1283">
        <v>37.94</v>
      </c>
      <c r="X1283" s="42"/>
      <c r="AB1283">
        <v>40.799999999999997</v>
      </c>
      <c r="AC1283">
        <v>39.92</v>
      </c>
      <c r="AE1283" s="74"/>
      <c r="AF1283" s="77"/>
      <c r="AH1283" s="497">
        <v>48.2</v>
      </c>
      <c r="AJ1283" s="42"/>
      <c r="AK1283" s="74"/>
      <c r="AL1283" s="77"/>
      <c r="AN1283" s="497">
        <v>28.94</v>
      </c>
      <c r="AP1283" s="42"/>
      <c r="AQ1283" s="74"/>
      <c r="AR1283" s="77"/>
      <c r="AT1283" s="497">
        <v>39.019999999999996</v>
      </c>
      <c r="AV1283" s="42"/>
      <c r="AW1283" s="74"/>
      <c r="AX1283" s="77"/>
      <c r="BA1283" s="497">
        <v>33.979999999999997</v>
      </c>
      <c r="BB1283" s="42"/>
      <c r="BC1283" s="74"/>
      <c r="BD1283" s="77"/>
      <c r="BF1283">
        <v>53.06</v>
      </c>
      <c r="BH1283" s="42"/>
      <c r="BI1283" s="74"/>
      <c r="BJ1283" s="77"/>
      <c r="BL1283" s="497">
        <v>53.06</v>
      </c>
      <c r="BN1283" s="42"/>
      <c r="BO1283" s="74"/>
      <c r="BP1283" s="77"/>
      <c r="BR1283" s="497">
        <v>46.04</v>
      </c>
      <c r="BT1283" s="42"/>
    </row>
    <row r="1284" spans="1:72" x14ac:dyDescent="0.25">
      <c r="A1284" s="90">
        <v>34752</v>
      </c>
      <c r="B1284" s="20">
        <v>0.75</v>
      </c>
      <c r="D1284">
        <v>37.94</v>
      </c>
      <c r="E1284" t="str">
        <f t="shared" si="74"/>
        <v>WEEKDAY</v>
      </c>
      <c r="F1284" t="e">
        <f t="shared" si="75"/>
        <v>#N/A</v>
      </c>
      <c r="G1284" s="74">
        <v>32195</v>
      </c>
      <c r="H1284" s="77">
        <v>0.75</v>
      </c>
      <c r="J1284">
        <v>41</v>
      </c>
      <c r="M1284" s="74">
        <v>38039</v>
      </c>
      <c r="N1284" s="77">
        <v>0.75</v>
      </c>
      <c r="P1284">
        <v>35.6</v>
      </c>
      <c r="S1284" s="74">
        <v>34752</v>
      </c>
      <c r="T1284" s="77">
        <v>0.75</v>
      </c>
      <c r="V1284">
        <v>37.04</v>
      </c>
      <c r="X1284" s="42"/>
      <c r="AB1284">
        <v>39.799999999999997</v>
      </c>
      <c r="AC1284">
        <v>37.04</v>
      </c>
      <c r="AE1284" s="74"/>
      <c r="AF1284" s="77"/>
      <c r="AH1284" s="497">
        <v>45.86</v>
      </c>
      <c r="AJ1284" s="42"/>
      <c r="AK1284" s="74"/>
      <c r="AL1284" s="77"/>
      <c r="AN1284" s="497">
        <v>28.94</v>
      </c>
      <c r="AP1284" s="42"/>
      <c r="AQ1284" s="74"/>
      <c r="AR1284" s="77"/>
      <c r="AT1284" s="497">
        <v>39.019999999999996</v>
      </c>
      <c r="AV1284" s="42"/>
      <c r="AW1284" s="74"/>
      <c r="AX1284" s="77"/>
      <c r="BA1284" s="497">
        <v>33.08</v>
      </c>
      <c r="BB1284" s="42"/>
      <c r="BC1284" s="74"/>
      <c r="BD1284" s="77"/>
      <c r="BF1284">
        <v>55.040000000000006</v>
      </c>
      <c r="BH1284" s="42"/>
      <c r="BI1284" s="74"/>
      <c r="BJ1284" s="77"/>
      <c r="BL1284" s="497">
        <v>51.08</v>
      </c>
      <c r="BN1284" s="42"/>
      <c r="BO1284" s="74"/>
      <c r="BP1284" s="77"/>
      <c r="BR1284" s="497">
        <v>46.04</v>
      </c>
      <c r="BT1284" s="42"/>
    </row>
    <row r="1285" spans="1:72" x14ac:dyDescent="0.25">
      <c r="A1285" s="90">
        <v>34752</v>
      </c>
      <c r="B1285" s="20">
        <v>0.79166666666666663</v>
      </c>
      <c r="D1285">
        <v>37.94</v>
      </c>
      <c r="E1285" t="str">
        <f t="shared" si="74"/>
        <v>WEEKDAY</v>
      </c>
      <c r="F1285" t="e">
        <f t="shared" si="75"/>
        <v>#N/A</v>
      </c>
      <c r="G1285" s="74">
        <v>32195</v>
      </c>
      <c r="H1285" s="77">
        <v>0.79166666666666663</v>
      </c>
      <c r="J1285">
        <v>41</v>
      </c>
      <c r="M1285" s="74">
        <v>38039</v>
      </c>
      <c r="N1285" s="77">
        <v>0.79166666666666663</v>
      </c>
      <c r="P1285">
        <v>33.799999999999997</v>
      </c>
      <c r="S1285" s="74">
        <v>34752</v>
      </c>
      <c r="T1285" s="77">
        <v>0.79166666666666663</v>
      </c>
      <c r="V1285">
        <v>37.04</v>
      </c>
      <c r="X1285" s="42"/>
      <c r="AB1285">
        <v>38.5</v>
      </c>
      <c r="AC1285">
        <v>35.96</v>
      </c>
      <c r="AE1285" s="74"/>
      <c r="AF1285" s="77"/>
      <c r="AH1285" s="497">
        <v>45.86</v>
      </c>
      <c r="AJ1285" s="42"/>
      <c r="AK1285" s="74"/>
      <c r="AL1285" s="77"/>
      <c r="AN1285" s="497">
        <v>28.04</v>
      </c>
      <c r="AP1285" s="42"/>
      <c r="AQ1285" s="74"/>
      <c r="AR1285" s="77"/>
      <c r="AT1285" s="497">
        <v>37.94</v>
      </c>
      <c r="AV1285" s="42"/>
      <c r="AW1285" s="74"/>
      <c r="AX1285" s="77"/>
      <c r="BA1285" s="497">
        <v>33.08</v>
      </c>
      <c r="BB1285" s="42"/>
      <c r="BC1285" s="74"/>
      <c r="BD1285" s="77"/>
      <c r="BF1285">
        <v>55.040000000000006</v>
      </c>
      <c r="BH1285" s="42"/>
      <c r="BI1285" s="74"/>
      <c r="BJ1285" s="77"/>
      <c r="BL1285" s="497">
        <v>48.92</v>
      </c>
      <c r="BN1285" s="42"/>
      <c r="BO1285" s="74"/>
      <c r="BP1285" s="77"/>
      <c r="BR1285" s="497">
        <v>46.94</v>
      </c>
      <c r="BT1285" s="42"/>
    </row>
    <row r="1286" spans="1:72" x14ac:dyDescent="0.25">
      <c r="A1286" s="90">
        <v>34752</v>
      </c>
      <c r="B1286" s="20">
        <v>0.83333333333333337</v>
      </c>
      <c r="D1286">
        <v>37.94</v>
      </c>
      <c r="E1286" t="str">
        <f t="shared" si="74"/>
        <v>WEEKDAY</v>
      </c>
      <c r="F1286" t="e">
        <f t="shared" si="75"/>
        <v>#N/A</v>
      </c>
      <c r="G1286" s="74">
        <v>32195</v>
      </c>
      <c r="H1286" s="77">
        <v>0.83333333333333337</v>
      </c>
      <c r="J1286">
        <v>39.92</v>
      </c>
      <c r="M1286" s="74">
        <v>38039</v>
      </c>
      <c r="N1286" s="77">
        <v>0.83333333333333337</v>
      </c>
      <c r="P1286">
        <v>33.799999999999997</v>
      </c>
      <c r="S1286" s="74">
        <v>34752</v>
      </c>
      <c r="T1286" s="77">
        <v>0.83333333333333337</v>
      </c>
      <c r="V1286">
        <v>35.96</v>
      </c>
      <c r="X1286" s="42"/>
      <c r="AB1286">
        <v>37.9</v>
      </c>
      <c r="AC1286">
        <v>30.92</v>
      </c>
      <c r="AE1286" s="74"/>
      <c r="AF1286" s="77"/>
      <c r="AH1286" s="497">
        <v>44.96</v>
      </c>
      <c r="AJ1286" s="42"/>
      <c r="AK1286" s="74"/>
      <c r="AL1286" s="77"/>
      <c r="AN1286" s="497">
        <v>28.04</v>
      </c>
      <c r="AP1286" s="42"/>
      <c r="AQ1286" s="74"/>
      <c r="AR1286" s="77"/>
      <c r="AT1286" s="497">
        <v>39.019999999999996</v>
      </c>
      <c r="AV1286" s="42"/>
      <c r="AW1286" s="74"/>
      <c r="AX1286" s="77"/>
      <c r="BA1286" s="497">
        <v>30.92</v>
      </c>
      <c r="BB1286" s="42"/>
      <c r="BC1286" s="74"/>
      <c r="BD1286" s="77"/>
      <c r="BF1286">
        <v>53.96</v>
      </c>
      <c r="BH1286" s="42"/>
      <c r="BI1286" s="74"/>
      <c r="BJ1286" s="77"/>
      <c r="BL1286" s="497">
        <v>48.92</v>
      </c>
      <c r="BN1286" s="42"/>
      <c r="BO1286" s="74"/>
      <c r="BP1286" s="77"/>
      <c r="BR1286" s="497">
        <v>48.019999999999996</v>
      </c>
      <c r="BT1286" s="42"/>
    </row>
    <row r="1287" spans="1:72" x14ac:dyDescent="0.25">
      <c r="A1287" s="90">
        <v>34752</v>
      </c>
      <c r="B1287" s="20">
        <v>0.875</v>
      </c>
      <c r="D1287">
        <v>37.04</v>
      </c>
      <c r="E1287" t="str">
        <f t="shared" si="74"/>
        <v>WEEKDAY</v>
      </c>
      <c r="F1287" t="e">
        <f t="shared" si="75"/>
        <v>#N/A</v>
      </c>
      <c r="G1287" s="74">
        <v>32195</v>
      </c>
      <c r="H1287" s="77">
        <v>0.875</v>
      </c>
      <c r="J1287">
        <v>41</v>
      </c>
      <c r="M1287" s="74">
        <v>38039</v>
      </c>
      <c r="N1287" s="77">
        <v>0.875</v>
      </c>
      <c r="P1287">
        <v>32</v>
      </c>
      <c r="S1287" s="74">
        <v>34752</v>
      </c>
      <c r="T1287" s="77">
        <v>0.875</v>
      </c>
      <c r="V1287">
        <v>35.06</v>
      </c>
      <c r="X1287" s="42"/>
      <c r="AB1287">
        <v>37.200000000000003</v>
      </c>
      <c r="AC1287">
        <v>30.92</v>
      </c>
      <c r="AE1287" s="74"/>
      <c r="AF1287" s="77"/>
      <c r="AH1287" s="497">
        <v>43.879999999999995</v>
      </c>
      <c r="AJ1287" s="42"/>
      <c r="AK1287" s="74"/>
      <c r="AL1287" s="77"/>
      <c r="AN1287" s="497">
        <v>28.04</v>
      </c>
      <c r="AP1287" s="42"/>
      <c r="AQ1287" s="74"/>
      <c r="AR1287" s="77"/>
      <c r="AT1287" s="497">
        <v>39.019999999999996</v>
      </c>
      <c r="AV1287" s="42"/>
      <c r="AW1287" s="74"/>
      <c r="AX1287" s="77"/>
      <c r="BA1287" s="497">
        <v>30.02</v>
      </c>
      <c r="BB1287" s="42"/>
      <c r="BC1287" s="74"/>
      <c r="BD1287" s="77"/>
      <c r="BF1287">
        <v>48.92</v>
      </c>
      <c r="BH1287" s="42"/>
      <c r="BI1287" s="74"/>
      <c r="BJ1287" s="77"/>
      <c r="BL1287" s="497">
        <v>46.94</v>
      </c>
      <c r="BN1287" s="42"/>
      <c r="BO1287" s="74"/>
      <c r="BP1287" s="77"/>
      <c r="BR1287" s="497">
        <v>48.019999999999996</v>
      </c>
      <c r="BT1287" s="42"/>
    </row>
    <row r="1288" spans="1:72" x14ac:dyDescent="0.25">
      <c r="A1288" s="90">
        <v>34752</v>
      </c>
      <c r="B1288" s="20">
        <v>0.91666666666666663</v>
      </c>
      <c r="D1288">
        <v>37.94</v>
      </c>
      <c r="E1288" t="str">
        <f t="shared" si="74"/>
        <v>WEEKDAY</v>
      </c>
      <c r="F1288" t="e">
        <f t="shared" si="75"/>
        <v>#N/A</v>
      </c>
      <c r="G1288" s="74">
        <v>32195</v>
      </c>
      <c r="H1288" s="77">
        <v>0.91666666666666663</v>
      </c>
      <c r="J1288">
        <v>42.08</v>
      </c>
      <c r="M1288" s="74">
        <v>38039</v>
      </c>
      <c r="N1288" s="77">
        <v>0.91666666666666663</v>
      </c>
      <c r="P1288">
        <v>32</v>
      </c>
      <c r="S1288" s="74">
        <v>34752</v>
      </c>
      <c r="T1288" s="77">
        <v>0.91666666666666663</v>
      </c>
      <c r="V1288">
        <v>35.96</v>
      </c>
      <c r="X1288" s="42"/>
      <c r="AB1288">
        <v>36.700000000000003</v>
      </c>
      <c r="AC1288">
        <v>30.02</v>
      </c>
      <c r="AE1288" s="74"/>
      <c r="AF1288" s="77"/>
      <c r="AH1288" s="497">
        <v>43.879999999999995</v>
      </c>
      <c r="AJ1288" s="42"/>
      <c r="AK1288" s="74"/>
      <c r="AL1288" s="77"/>
      <c r="AN1288" s="497">
        <v>26.96</v>
      </c>
      <c r="AP1288" s="42"/>
      <c r="AQ1288" s="74"/>
      <c r="AR1288" s="77"/>
      <c r="AT1288" s="497">
        <v>37.94</v>
      </c>
      <c r="AV1288" s="42"/>
      <c r="AW1288" s="74"/>
      <c r="AX1288" s="77"/>
      <c r="BA1288" s="497">
        <v>28.94</v>
      </c>
      <c r="BB1288" s="42"/>
      <c r="BC1288" s="74"/>
      <c r="BD1288" s="77"/>
      <c r="BF1288">
        <v>46.04</v>
      </c>
      <c r="BH1288" s="42"/>
      <c r="BI1288" s="74"/>
      <c r="BJ1288" s="77"/>
      <c r="BL1288" s="497">
        <v>50</v>
      </c>
      <c r="BN1288" s="42"/>
      <c r="BO1288" s="74"/>
      <c r="BP1288" s="77"/>
      <c r="BR1288" s="497">
        <v>46.94</v>
      </c>
      <c r="BT1288" s="42"/>
    </row>
    <row r="1289" spans="1:72" x14ac:dyDescent="0.25">
      <c r="A1289" s="90">
        <v>34752</v>
      </c>
      <c r="B1289" s="20">
        <v>0.95833333333333337</v>
      </c>
      <c r="D1289">
        <v>37.94</v>
      </c>
      <c r="E1289" t="str">
        <f t="shared" si="74"/>
        <v>WEEKDAY</v>
      </c>
      <c r="F1289" t="e">
        <f t="shared" si="75"/>
        <v>#N/A</v>
      </c>
      <c r="G1289" s="74">
        <v>32195</v>
      </c>
      <c r="H1289" s="77">
        <v>0.95833333333333337</v>
      </c>
      <c r="J1289">
        <v>41</v>
      </c>
      <c r="M1289" s="74">
        <v>38039</v>
      </c>
      <c r="N1289" s="77">
        <v>0.95833333333333337</v>
      </c>
      <c r="P1289">
        <v>30.2</v>
      </c>
      <c r="S1289" s="74">
        <v>34752</v>
      </c>
      <c r="T1289" s="77">
        <v>0.95833333333333337</v>
      </c>
      <c r="V1289">
        <v>35.96</v>
      </c>
      <c r="X1289" s="42"/>
      <c r="AB1289">
        <v>36.1</v>
      </c>
      <c r="AC1289">
        <v>30.02</v>
      </c>
      <c r="AE1289" s="74"/>
      <c r="AF1289" s="77"/>
      <c r="AH1289" s="497">
        <v>42.980000000000004</v>
      </c>
      <c r="AJ1289" s="42"/>
      <c r="AK1289" s="74"/>
      <c r="AL1289" s="77"/>
      <c r="AN1289" s="497">
        <v>26.96</v>
      </c>
      <c r="AP1289" s="42"/>
      <c r="AQ1289" s="74"/>
      <c r="AR1289" s="77"/>
      <c r="AT1289" s="497">
        <v>37.94</v>
      </c>
      <c r="AV1289" s="42"/>
      <c r="AW1289" s="74"/>
      <c r="AX1289" s="77"/>
      <c r="BA1289" s="497">
        <v>28.04</v>
      </c>
      <c r="BB1289" s="42"/>
      <c r="BC1289" s="74"/>
      <c r="BD1289" s="77"/>
      <c r="BF1289">
        <v>44.96</v>
      </c>
      <c r="BH1289" s="42"/>
      <c r="BI1289" s="74"/>
      <c r="BJ1289" s="77"/>
      <c r="BL1289" s="497">
        <v>46.94</v>
      </c>
      <c r="BN1289" s="42"/>
      <c r="BO1289" s="74"/>
      <c r="BP1289" s="77"/>
      <c r="BR1289" s="497">
        <v>46.04</v>
      </c>
      <c r="BT1289" s="42"/>
    </row>
    <row r="1290" spans="1:72" x14ac:dyDescent="0.25">
      <c r="A1290" s="90">
        <v>34752</v>
      </c>
      <c r="B1290" s="20">
        <v>1</v>
      </c>
      <c r="D1290">
        <v>37.94</v>
      </c>
      <c r="E1290" t="str">
        <f t="shared" si="74"/>
        <v>WEEKDAY</v>
      </c>
      <c r="F1290" t="e">
        <f t="shared" si="75"/>
        <v>#N/A</v>
      </c>
      <c r="G1290" s="74">
        <v>32195</v>
      </c>
      <c r="H1290" s="77">
        <v>1</v>
      </c>
      <c r="J1290">
        <v>41</v>
      </c>
      <c r="M1290" s="74">
        <v>38039</v>
      </c>
      <c r="N1290" s="80">
        <v>1</v>
      </c>
      <c r="P1290">
        <v>28.4</v>
      </c>
      <c r="S1290" s="74">
        <v>34752</v>
      </c>
      <c r="T1290" s="80">
        <v>1</v>
      </c>
      <c r="V1290">
        <v>35.96</v>
      </c>
      <c r="X1290" s="42"/>
      <c r="AB1290">
        <v>35.5</v>
      </c>
      <c r="AC1290">
        <v>28.04</v>
      </c>
      <c r="AE1290" s="74"/>
      <c r="AF1290" s="80"/>
      <c r="AH1290" s="497">
        <v>42.980000000000004</v>
      </c>
      <c r="AJ1290" s="42"/>
      <c r="AK1290" s="74"/>
      <c r="AL1290" s="80"/>
      <c r="AN1290" s="497">
        <v>26.96</v>
      </c>
      <c r="AP1290" s="42"/>
      <c r="AQ1290" s="74"/>
      <c r="AR1290" s="80"/>
      <c r="AT1290" s="497">
        <v>37.94</v>
      </c>
      <c r="AV1290" s="42"/>
      <c r="AW1290" s="74"/>
      <c r="AX1290" s="80"/>
      <c r="BA1290" s="497">
        <v>30.02</v>
      </c>
      <c r="BB1290" s="42"/>
      <c r="BC1290" s="74"/>
      <c r="BD1290" s="80"/>
      <c r="BF1290">
        <v>41</v>
      </c>
      <c r="BH1290" s="42"/>
      <c r="BI1290" s="74"/>
      <c r="BJ1290" s="80"/>
      <c r="BL1290" s="497">
        <v>44.96</v>
      </c>
      <c r="BN1290" s="42"/>
      <c r="BO1290" s="74"/>
      <c r="BP1290" s="80"/>
      <c r="BR1290" s="497">
        <v>42.08</v>
      </c>
      <c r="BT1290" s="42"/>
    </row>
    <row r="1291" spans="1:72" x14ac:dyDescent="0.25">
      <c r="A1291" s="90">
        <v>34753</v>
      </c>
      <c r="B1291" s="20">
        <v>4.1666666666666664E-2</v>
      </c>
      <c r="D1291">
        <v>37.94</v>
      </c>
      <c r="E1291" t="str">
        <f t="shared" si="74"/>
        <v>WEEKDAY</v>
      </c>
      <c r="F1291" t="e">
        <f t="shared" si="75"/>
        <v>#N/A</v>
      </c>
      <c r="G1291" s="74">
        <v>32196</v>
      </c>
      <c r="H1291" s="77">
        <v>4.1666666666666664E-2</v>
      </c>
      <c r="J1291">
        <v>41</v>
      </c>
      <c r="M1291" s="74">
        <v>38040</v>
      </c>
      <c r="N1291" s="77">
        <v>4.1666666666666664E-2</v>
      </c>
      <c r="P1291">
        <v>28.4</v>
      </c>
      <c r="S1291" s="74">
        <v>34753</v>
      </c>
      <c r="T1291" s="77">
        <v>4.1666666666666664E-2</v>
      </c>
      <c r="V1291">
        <v>35.96</v>
      </c>
      <c r="X1291" s="42"/>
      <c r="AB1291">
        <v>35</v>
      </c>
      <c r="AC1291">
        <v>30.02</v>
      </c>
      <c r="AE1291" s="74"/>
      <c r="AF1291" s="77"/>
      <c r="AH1291" s="497">
        <v>41.9</v>
      </c>
      <c r="AJ1291" s="42"/>
      <c r="AK1291" s="74"/>
      <c r="AL1291" s="77"/>
      <c r="AN1291" s="497">
        <v>26.96</v>
      </c>
      <c r="AP1291" s="42"/>
      <c r="AQ1291" s="74"/>
      <c r="AR1291" s="77"/>
      <c r="AT1291" s="497">
        <v>37.94</v>
      </c>
      <c r="AV1291" s="42"/>
      <c r="AW1291" s="74"/>
      <c r="AX1291" s="77"/>
      <c r="BA1291" s="497">
        <v>30.02</v>
      </c>
      <c r="BB1291" s="42"/>
      <c r="BC1291" s="74"/>
      <c r="BD1291" s="77"/>
      <c r="BF1291">
        <v>37.94</v>
      </c>
      <c r="BH1291" s="42"/>
      <c r="BI1291" s="74"/>
      <c r="BJ1291" s="77"/>
      <c r="BL1291" s="497">
        <v>42.980000000000004</v>
      </c>
      <c r="BN1291" s="42"/>
      <c r="BO1291" s="74"/>
      <c r="BP1291" s="77"/>
      <c r="BR1291" s="497">
        <v>39.019999999999996</v>
      </c>
      <c r="BT1291" s="42"/>
    </row>
    <row r="1292" spans="1:72" x14ac:dyDescent="0.25">
      <c r="A1292" s="90">
        <v>34753</v>
      </c>
      <c r="B1292" s="20">
        <v>8.3333333333333329E-2</v>
      </c>
      <c r="D1292">
        <v>37.04</v>
      </c>
      <c r="E1292" t="str">
        <f t="shared" si="74"/>
        <v>WEEKDAY</v>
      </c>
      <c r="F1292" t="e">
        <f t="shared" si="75"/>
        <v>#N/A</v>
      </c>
      <c r="G1292" s="74">
        <v>32196</v>
      </c>
      <c r="H1292" s="77">
        <v>8.3333333333333329E-2</v>
      </c>
      <c r="J1292">
        <v>42.980000000000004</v>
      </c>
      <c r="M1292" s="74">
        <v>38040</v>
      </c>
      <c r="N1292" s="77">
        <v>8.3333333333333329E-2</v>
      </c>
      <c r="P1292">
        <v>26.6</v>
      </c>
      <c r="S1292" s="74">
        <v>34753</v>
      </c>
      <c r="T1292" s="77">
        <v>8.3333333333333329E-2</v>
      </c>
      <c r="V1292">
        <v>35.06</v>
      </c>
      <c r="X1292" s="42"/>
      <c r="AB1292">
        <v>34.4</v>
      </c>
      <c r="AC1292">
        <v>26.96</v>
      </c>
      <c r="AE1292" s="74"/>
      <c r="AF1292" s="77"/>
      <c r="AH1292" s="497">
        <v>41.9</v>
      </c>
      <c r="AJ1292" s="42"/>
      <c r="AK1292" s="74"/>
      <c r="AL1292" s="77"/>
      <c r="AN1292" s="497">
        <v>26.96</v>
      </c>
      <c r="AP1292" s="42"/>
      <c r="AQ1292" s="74"/>
      <c r="AR1292" s="77"/>
      <c r="AT1292" s="497">
        <v>39.019999999999996</v>
      </c>
      <c r="AV1292" s="42"/>
      <c r="AW1292" s="74"/>
      <c r="AX1292" s="77"/>
      <c r="BA1292" s="497">
        <v>30.02</v>
      </c>
      <c r="BB1292" s="42"/>
      <c r="BC1292" s="74"/>
      <c r="BD1292" s="77"/>
      <c r="BF1292">
        <v>35.96</v>
      </c>
      <c r="BH1292" s="42"/>
      <c r="BI1292" s="74"/>
      <c r="BJ1292" s="77"/>
      <c r="BL1292" s="497">
        <v>39.92</v>
      </c>
      <c r="BN1292" s="42"/>
      <c r="BO1292" s="74"/>
      <c r="BP1292" s="77"/>
      <c r="BR1292" s="497">
        <v>39.019999999999996</v>
      </c>
      <c r="BT1292" s="42"/>
    </row>
    <row r="1293" spans="1:72" x14ac:dyDescent="0.25">
      <c r="A1293" s="90">
        <v>34753</v>
      </c>
      <c r="B1293" s="20">
        <v>0.125</v>
      </c>
      <c r="D1293">
        <v>37.94</v>
      </c>
      <c r="E1293" t="str">
        <f t="shared" si="74"/>
        <v>WEEKDAY</v>
      </c>
      <c r="F1293" t="e">
        <f t="shared" si="75"/>
        <v>#N/A</v>
      </c>
      <c r="G1293" s="74">
        <v>32196</v>
      </c>
      <c r="H1293" s="77">
        <v>0.125</v>
      </c>
      <c r="J1293">
        <v>44.06</v>
      </c>
      <c r="M1293" s="74">
        <v>38040</v>
      </c>
      <c r="N1293" s="77">
        <v>0.125</v>
      </c>
      <c r="P1293">
        <v>24.8</v>
      </c>
      <c r="S1293" s="74">
        <v>34753</v>
      </c>
      <c r="T1293" s="77">
        <v>0.125</v>
      </c>
      <c r="V1293">
        <v>37.04</v>
      </c>
      <c r="X1293" s="42"/>
      <c r="AB1293">
        <v>34</v>
      </c>
      <c r="AC1293">
        <v>26.96</v>
      </c>
      <c r="AE1293" s="74"/>
      <c r="AF1293" s="77"/>
      <c r="AH1293" s="497">
        <v>41</v>
      </c>
      <c r="AJ1293" s="42"/>
      <c r="AK1293" s="74"/>
      <c r="AL1293" s="77"/>
      <c r="AN1293" s="497">
        <v>28.04</v>
      </c>
      <c r="AP1293" s="42"/>
      <c r="AQ1293" s="74"/>
      <c r="AR1293" s="77"/>
      <c r="AT1293" s="497">
        <v>39.019999999999996</v>
      </c>
      <c r="AV1293" s="42"/>
      <c r="AW1293" s="74"/>
      <c r="AX1293" s="77"/>
      <c r="BA1293" s="497">
        <v>30.02</v>
      </c>
      <c r="BB1293" s="42"/>
      <c r="BC1293" s="74"/>
      <c r="BD1293" s="77"/>
      <c r="BF1293">
        <v>33.979999999999997</v>
      </c>
      <c r="BH1293" s="42"/>
      <c r="BI1293" s="74"/>
      <c r="BJ1293" s="77"/>
      <c r="BL1293" s="497">
        <v>37.94</v>
      </c>
      <c r="BN1293" s="42"/>
      <c r="BO1293" s="74"/>
      <c r="BP1293" s="77"/>
      <c r="BR1293" s="497">
        <v>39.92</v>
      </c>
      <c r="BT1293" s="42"/>
    </row>
    <row r="1294" spans="1:72" x14ac:dyDescent="0.25">
      <c r="A1294" s="90">
        <v>34753</v>
      </c>
      <c r="B1294" s="20">
        <v>0.16666666666666666</v>
      </c>
      <c r="D1294">
        <v>37.94</v>
      </c>
      <c r="E1294" t="str">
        <f t="shared" si="74"/>
        <v>WEEKDAY</v>
      </c>
      <c r="F1294" t="e">
        <f t="shared" si="75"/>
        <v>#N/A</v>
      </c>
      <c r="G1294" s="74">
        <v>32196</v>
      </c>
      <c r="H1294" s="77">
        <v>0.16666666666666666</v>
      </c>
      <c r="J1294">
        <v>44.06</v>
      </c>
      <c r="M1294" s="74">
        <v>38040</v>
      </c>
      <c r="N1294" s="77">
        <v>0.16666666666666666</v>
      </c>
      <c r="P1294">
        <v>24.8</v>
      </c>
      <c r="S1294" s="74">
        <v>34753</v>
      </c>
      <c r="T1294" s="77">
        <v>0.16666666666666666</v>
      </c>
      <c r="V1294">
        <v>37.04</v>
      </c>
      <c r="X1294" s="42"/>
      <c r="AB1294">
        <v>33.5</v>
      </c>
      <c r="AC1294">
        <v>26.060000000000002</v>
      </c>
      <c r="AE1294" s="74"/>
      <c r="AF1294" s="77"/>
      <c r="AH1294" s="497">
        <v>41</v>
      </c>
      <c r="AJ1294" s="42"/>
      <c r="AK1294" s="74"/>
      <c r="AL1294" s="77"/>
      <c r="AN1294" s="497">
        <v>26.96</v>
      </c>
      <c r="AP1294" s="42"/>
      <c r="AQ1294" s="74"/>
      <c r="AR1294" s="77"/>
      <c r="AT1294" s="497">
        <v>39.92</v>
      </c>
      <c r="AV1294" s="42"/>
      <c r="AW1294" s="74"/>
      <c r="AX1294" s="77"/>
      <c r="BA1294" s="497">
        <v>30.92</v>
      </c>
      <c r="BB1294" s="42"/>
      <c r="BC1294" s="74"/>
      <c r="BD1294" s="77"/>
      <c r="BF1294">
        <v>33.979999999999997</v>
      </c>
      <c r="BH1294" s="42"/>
      <c r="BI1294" s="74"/>
      <c r="BJ1294" s="77"/>
      <c r="BL1294" s="497">
        <v>35.96</v>
      </c>
      <c r="BN1294" s="42"/>
      <c r="BO1294" s="74"/>
      <c r="BP1294" s="77"/>
      <c r="BR1294" s="497">
        <v>39.019999999999996</v>
      </c>
      <c r="BT1294" s="42"/>
    </row>
    <row r="1295" spans="1:72" x14ac:dyDescent="0.25">
      <c r="A1295" s="90">
        <v>34753</v>
      </c>
      <c r="B1295" s="20">
        <v>0.20833333333333334</v>
      </c>
      <c r="D1295">
        <v>37.94</v>
      </c>
      <c r="E1295" t="str">
        <f t="shared" si="74"/>
        <v>WEEKDAY</v>
      </c>
      <c r="F1295" t="e">
        <f t="shared" si="75"/>
        <v>#N/A</v>
      </c>
      <c r="G1295" s="74">
        <v>32196</v>
      </c>
      <c r="H1295" s="77">
        <v>0.20833333333333334</v>
      </c>
      <c r="J1295">
        <v>44.06</v>
      </c>
      <c r="M1295" s="74">
        <v>38040</v>
      </c>
      <c r="N1295" s="77">
        <v>0.20833333333333334</v>
      </c>
      <c r="P1295">
        <v>26.6</v>
      </c>
      <c r="S1295" s="74">
        <v>34753</v>
      </c>
      <c r="T1295" s="77">
        <v>0.20833333333333334</v>
      </c>
      <c r="V1295">
        <v>37.94</v>
      </c>
      <c r="X1295" s="42"/>
      <c r="AB1295">
        <v>33</v>
      </c>
      <c r="AC1295">
        <v>26.060000000000002</v>
      </c>
      <c r="AE1295" s="74"/>
      <c r="AF1295" s="77"/>
      <c r="AH1295" s="497">
        <v>39.92</v>
      </c>
      <c r="AJ1295" s="42"/>
      <c r="AK1295" s="74"/>
      <c r="AL1295" s="77"/>
      <c r="AN1295" s="497">
        <v>26.96</v>
      </c>
      <c r="AP1295" s="42"/>
      <c r="AQ1295" s="74"/>
      <c r="AR1295" s="77"/>
      <c r="AT1295" s="497">
        <v>39.92</v>
      </c>
      <c r="AV1295" s="42"/>
      <c r="AW1295" s="74"/>
      <c r="AX1295" s="77"/>
      <c r="BA1295" s="497">
        <v>30.92</v>
      </c>
      <c r="BB1295" s="42"/>
      <c r="BC1295" s="74"/>
      <c r="BD1295" s="77"/>
      <c r="BF1295">
        <v>35.06</v>
      </c>
      <c r="BH1295" s="42"/>
      <c r="BI1295" s="74"/>
      <c r="BJ1295" s="77"/>
      <c r="BL1295" s="497">
        <v>35.96</v>
      </c>
      <c r="BN1295" s="42"/>
      <c r="BO1295" s="74"/>
      <c r="BP1295" s="77"/>
      <c r="BR1295" s="497">
        <v>39.019999999999996</v>
      </c>
      <c r="BT1295" s="42"/>
    </row>
    <row r="1296" spans="1:72" x14ac:dyDescent="0.25">
      <c r="A1296" s="90">
        <v>34753</v>
      </c>
      <c r="B1296" s="20">
        <v>0.25</v>
      </c>
      <c r="D1296">
        <v>39.019999999999996</v>
      </c>
      <c r="E1296" t="str">
        <f t="shared" si="74"/>
        <v>WEEKDAY</v>
      </c>
      <c r="F1296" t="e">
        <f t="shared" si="75"/>
        <v>#N/A</v>
      </c>
      <c r="G1296" s="74">
        <v>32196</v>
      </c>
      <c r="H1296" s="77">
        <v>0.25</v>
      </c>
      <c r="J1296">
        <v>42.980000000000004</v>
      </c>
      <c r="M1296" s="74">
        <v>38040</v>
      </c>
      <c r="N1296" s="77">
        <v>0.25</v>
      </c>
      <c r="P1296">
        <v>24.8</v>
      </c>
      <c r="S1296" s="74">
        <v>34753</v>
      </c>
      <c r="T1296" s="77">
        <v>0.25</v>
      </c>
      <c r="V1296">
        <v>39.019999999999996</v>
      </c>
      <c r="X1296" s="42"/>
      <c r="AB1296">
        <v>32.700000000000003</v>
      </c>
      <c r="AC1296">
        <v>26.060000000000002</v>
      </c>
      <c r="AE1296" s="74"/>
      <c r="AF1296" s="77"/>
      <c r="AH1296" s="497">
        <v>38.840000000000003</v>
      </c>
      <c r="AJ1296" s="42"/>
      <c r="AK1296" s="74"/>
      <c r="AL1296" s="77"/>
      <c r="AN1296" s="497">
        <v>26.96</v>
      </c>
      <c r="AP1296" s="42"/>
      <c r="AQ1296" s="74"/>
      <c r="AR1296" s="77"/>
      <c r="AT1296" s="497">
        <v>39.92</v>
      </c>
      <c r="AV1296" s="42"/>
      <c r="AW1296" s="74"/>
      <c r="AX1296" s="77"/>
      <c r="BA1296" s="497">
        <v>32</v>
      </c>
      <c r="BB1296" s="42"/>
      <c r="BC1296" s="74"/>
      <c r="BD1296" s="77"/>
      <c r="BF1296">
        <v>35.96</v>
      </c>
      <c r="BH1296" s="42"/>
      <c r="BI1296" s="74"/>
      <c r="BJ1296" s="77"/>
      <c r="BL1296" s="497">
        <v>35.96</v>
      </c>
      <c r="BN1296" s="42"/>
      <c r="BO1296" s="74"/>
      <c r="BP1296" s="77"/>
      <c r="BR1296" s="497">
        <v>39.019999999999996</v>
      </c>
      <c r="BT1296" s="42"/>
    </row>
    <row r="1297" spans="1:72" x14ac:dyDescent="0.25">
      <c r="A1297" s="90">
        <v>34753</v>
      </c>
      <c r="B1297" s="20">
        <v>0.29166666666666669</v>
      </c>
      <c r="D1297">
        <v>39.019999999999996</v>
      </c>
      <c r="E1297" t="str">
        <f t="shared" si="74"/>
        <v>WEEKDAY</v>
      </c>
      <c r="F1297" t="e">
        <f t="shared" si="75"/>
        <v>#N/A</v>
      </c>
      <c r="G1297" s="74">
        <v>32196</v>
      </c>
      <c r="H1297" s="77">
        <v>0.29166666666666669</v>
      </c>
      <c r="J1297">
        <v>44.96</v>
      </c>
      <c r="M1297" s="74">
        <v>38040</v>
      </c>
      <c r="N1297" s="77">
        <v>0.29166666666666669</v>
      </c>
      <c r="P1297">
        <v>26.6</v>
      </c>
      <c r="S1297" s="74">
        <v>34753</v>
      </c>
      <c r="T1297" s="77">
        <v>0.29166666666666669</v>
      </c>
      <c r="V1297">
        <v>39.92</v>
      </c>
      <c r="X1297" s="42"/>
      <c r="AB1297">
        <v>32.5</v>
      </c>
      <c r="AC1297">
        <v>26.060000000000002</v>
      </c>
      <c r="AE1297" s="74"/>
      <c r="AF1297" s="77"/>
      <c r="AH1297" s="497">
        <v>39.92</v>
      </c>
      <c r="AJ1297" s="42"/>
      <c r="AK1297" s="74"/>
      <c r="AL1297" s="77"/>
      <c r="AN1297" s="497">
        <v>28.04</v>
      </c>
      <c r="AP1297" s="42"/>
      <c r="AQ1297" s="74"/>
      <c r="AR1297" s="77"/>
      <c r="AT1297" s="497">
        <v>39.92</v>
      </c>
      <c r="AV1297" s="42"/>
      <c r="AW1297" s="74"/>
      <c r="AX1297" s="77"/>
      <c r="BA1297" s="497">
        <v>33.08</v>
      </c>
      <c r="BB1297" s="42"/>
      <c r="BC1297" s="74"/>
      <c r="BD1297" s="77"/>
      <c r="BF1297">
        <v>37.04</v>
      </c>
      <c r="BH1297" s="42"/>
      <c r="BI1297" s="74"/>
      <c r="BJ1297" s="77"/>
      <c r="BL1297" s="497">
        <v>37.04</v>
      </c>
      <c r="BN1297" s="42"/>
      <c r="BO1297" s="74"/>
      <c r="BP1297" s="77"/>
      <c r="BR1297" s="497">
        <v>37.94</v>
      </c>
      <c r="BT1297" s="42"/>
    </row>
    <row r="1298" spans="1:72" x14ac:dyDescent="0.25">
      <c r="A1298" s="90">
        <v>34753</v>
      </c>
      <c r="B1298" s="20">
        <v>0.33333333333333331</v>
      </c>
      <c r="D1298">
        <v>39.92</v>
      </c>
      <c r="E1298" t="str">
        <f t="shared" si="74"/>
        <v>WEEKDAY</v>
      </c>
      <c r="F1298" t="e">
        <f t="shared" si="75"/>
        <v>#N/A</v>
      </c>
      <c r="G1298" s="74">
        <v>32196</v>
      </c>
      <c r="H1298" s="77">
        <v>0.33333333333333331</v>
      </c>
      <c r="J1298">
        <v>48.019999999999996</v>
      </c>
      <c r="M1298" s="74">
        <v>38040</v>
      </c>
      <c r="N1298" s="77">
        <v>0.33333333333333331</v>
      </c>
      <c r="P1298">
        <v>28.4</v>
      </c>
      <c r="S1298" s="74">
        <v>34753</v>
      </c>
      <c r="T1298" s="77">
        <v>0.33333333333333331</v>
      </c>
      <c r="V1298">
        <v>39.92</v>
      </c>
      <c r="X1298" s="42"/>
      <c r="AB1298">
        <v>32.5</v>
      </c>
      <c r="AC1298">
        <v>32</v>
      </c>
      <c r="AE1298" s="74"/>
      <c r="AF1298" s="77"/>
      <c r="AH1298" s="497">
        <v>39.92</v>
      </c>
      <c r="AJ1298" s="42"/>
      <c r="AK1298" s="74"/>
      <c r="AL1298" s="77"/>
      <c r="AN1298" s="497">
        <v>28.04</v>
      </c>
      <c r="AP1298" s="42"/>
      <c r="AQ1298" s="74"/>
      <c r="AR1298" s="77"/>
      <c r="AT1298" s="497">
        <v>39.92</v>
      </c>
      <c r="AV1298" s="42"/>
      <c r="AW1298" s="74"/>
      <c r="AX1298" s="77"/>
      <c r="BA1298" s="497">
        <v>33.979999999999997</v>
      </c>
      <c r="BB1298" s="42"/>
      <c r="BC1298" s="74"/>
      <c r="BD1298" s="77"/>
      <c r="BF1298">
        <v>37.04</v>
      </c>
      <c r="BH1298" s="42"/>
      <c r="BI1298" s="74"/>
      <c r="BJ1298" s="77"/>
      <c r="BL1298" s="497">
        <v>37.04</v>
      </c>
      <c r="BN1298" s="42"/>
      <c r="BO1298" s="74"/>
      <c r="BP1298" s="77"/>
      <c r="BR1298" s="497">
        <v>37.94</v>
      </c>
      <c r="BT1298" s="42"/>
    </row>
    <row r="1299" spans="1:72" x14ac:dyDescent="0.25">
      <c r="A1299" s="90">
        <v>34753</v>
      </c>
      <c r="B1299" s="20">
        <v>0.375</v>
      </c>
      <c r="D1299">
        <v>41</v>
      </c>
      <c r="E1299" t="str">
        <f t="shared" ref="E1299:E1362" si="76">IF(COUNTIF($DI$18:$DI$22, WEEKDAY(A1299))=1, "WEEKDAY", IF(WEEKDAY(A1299) = 1, "SUNDAY", "SATURDAY"))</f>
        <v>WEEKDAY</v>
      </c>
      <c r="F1299" t="e">
        <f t="shared" si="75"/>
        <v>#N/A</v>
      </c>
      <c r="G1299" s="74">
        <v>32196</v>
      </c>
      <c r="H1299" s="77">
        <v>0.375</v>
      </c>
      <c r="J1299">
        <v>50</v>
      </c>
      <c r="M1299" s="74">
        <v>38040</v>
      </c>
      <c r="N1299" s="77">
        <v>0.375</v>
      </c>
      <c r="P1299">
        <v>30.2</v>
      </c>
      <c r="S1299" s="74">
        <v>34753</v>
      </c>
      <c r="T1299" s="77">
        <v>0.375</v>
      </c>
      <c r="V1299">
        <v>39.92</v>
      </c>
      <c r="X1299" s="42"/>
      <c r="AB1299">
        <v>33.9</v>
      </c>
      <c r="AC1299">
        <v>39.92</v>
      </c>
      <c r="AE1299" s="74"/>
      <c r="AF1299" s="77"/>
      <c r="AH1299" s="497">
        <v>41</v>
      </c>
      <c r="AJ1299" s="42"/>
      <c r="AK1299" s="74"/>
      <c r="AL1299" s="77"/>
      <c r="AN1299" s="497">
        <v>30.92</v>
      </c>
      <c r="AP1299" s="42"/>
      <c r="AQ1299" s="74"/>
      <c r="AR1299" s="77"/>
      <c r="AT1299" s="497">
        <v>41</v>
      </c>
      <c r="AV1299" s="42"/>
      <c r="AW1299" s="74"/>
      <c r="AX1299" s="77"/>
      <c r="BA1299" s="497">
        <v>35.06</v>
      </c>
      <c r="BB1299" s="42"/>
      <c r="BC1299" s="74"/>
      <c r="BD1299" s="77"/>
      <c r="BF1299">
        <v>35.96</v>
      </c>
      <c r="BH1299" s="42"/>
      <c r="BI1299" s="74"/>
      <c r="BJ1299" s="77"/>
      <c r="BL1299" s="497">
        <v>37.04</v>
      </c>
      <c r="BN1299" s="42"/>
      <c r="BO1299" s="74"/>
      <c r="BP1299" s="77"/>
      <c r="BR1299" s="497">
        <v>37.94</v>
      </c>
      <c r="BT1299" s="42"/>
    </row>
    <row r="1300" spans="1:72" x14ac:dyDescent="0.25">
      <c r="A1300" s="90">
        <v>34753</v>
      </c>
      <c r="B1300" s="20">
        <v>0.41666666666666669</v>
      </c>
      <c r="D1300">
        <v>42.08</v>
      </c>
      <c r="E1300" t="str">
        <f t="shared" si="76"/>
        <v>WEEKDAY</v>
      </c>
      <c r="F1300" t="e">
        <f t="shared" si="75"/>
        <v>#N/A</v>
      </c>
      <c r="G1300" s="74">
        <v>32196</v>
      </c>
      <c r="H1300" s="77">
        <v>0.41666666666666669</v>
      </c>
      <c r="J1300">
        <v>53.06</v>
      </c>
      <c r="M1300" s="74">
        <v>38040</v>
      </c>
      <c r="N1300" s="77">
        <v>0.41666666666666669</v>
      </c>
      <c r="P1300">
        <v>35.6</v>
      </c>
      <c r="S1300" s="74">
        <v>34753</v>
      </c>
      <c r="T1300" s="77">
        <v>0.41666666666666669</v>
      </c>
      <c r="V1300">
        <v>42.08</v>
      </c>
      <c r="X1300" s="42"/>
      <c r="AB1300">
        <v>35.6</v>
      </c>
      <c r="AC1300">
        <v>44.96</v>
      </c>
      <c r="AE1300" s="74"/>
      <c r="AF1300" s="77"/>
      <c r="AH1300" s="497">
        <v>41</v>
      </c>
      <c r="AJ1300" s="42"/>
      <c r="AK1300" s="74"/>
      <c r="AL1300" s="77"/>
      <c r="AN1300" s="497">
        <v>32</v>
      </c>
      <c r="AP1300" s="42"/>
      <c r="AQ1300" s="74"/>
      <c r="AR1300" s="77"/>
      <c r="AT1300" s="497">
        <v>42.08</v>
      </c>
      <c r="AV1300" s="42"/>
      <c r="AW1300" s="74"/>
      <c r="AX1300" s="77"/>
      <c r="BA1300" s="497">
        <v>37.04</v>
      </c>
      <c r="BB1300" s="42"/>
      <c r="BC1300" s="74"/>
      <c r="BD1300" s="77"/>
      <c r="BF1300">
        <v>35.96</v>
      </c>
      <c r="BH1300" s="42"/>
      <c r="BI1300" s="74"/>
      <c r="BJ1300" s="77"/>
      <c r="BL1300" s="497">
        <v>37.94</v>
      </c>
      <c r="BN1300" s="42"/>
      <c r="BO1300" s="74"/>
      <c r="BP1300" s="77"/>
      <c r="BR1300" s="497">
        <v>37.04</v>
      </c>
      <c r="BT1300" s="42"/>
    </row>
    <row r="1301" spans="1:72" x14ac:dyDescent="0.25">
      <c r="A1301" s="90">
        <v>34753</v>
      </c>
      <c r="B1301" s="20">
        <v>0.45833333333333331</v>
      </c>
      <c r="D1301">
        <v>44.06</v>
      </c>
      <c r="E1301" t="str">
        <f t="shared" si="76"/>
        <v>WEEKDAY</v>
      </c>
      <c r="F1301" t="e">
        <f t="shared" si="75"/>
        <v>#N/A</v>
      </c>
      <c r="G1301" s="74">
        <v>32196</v>
      </c>
      <c r="H1301" s="77">
        <v>0.45833333333333331</v>
      </c>
      <c r="J1301">
        <v>55.94</v>
      </c>
      <c r="M1301" s="74">
        <v>38040</v>
      </c>
      <c r="N1301" s="77">
        <v>0.45833333333333331</v>
      </c>
      <c r="P1301">
        <v>35.6</v>
      </c>
      <c r="S1301" s="74">
        <v>34753</v>
      </c>
      <c r="T1301" s="77">
        <v>0.45833333333333331</v>
      </c>
      <c r="V1301">
        <v>42.08</v>
      </c>
      <c r="X1301" s="42"/>
      <c r="AB1301">
        <v>37.299999999999997</v>
      </c>
      <c r="AC1301">
        <v>50</v>
      </c>
      <c r="AE1301" s="74"/>
      <c r="AF1301" s="77"/>
      <c r="AH1301" s="497">
        <v>42.980000000000004</v>
      </c>
      <c r="AJ1301" s="42"/>
      <c r="AK1301" s="74"/>
      <c r="AL1301" s="77"/>
      <c r="AN1301" s="497">
        <v>33.08</v>
      </c>
      <c r="AP1301" s="42"/>
      <c r="AQ1301" s="74"/>
      <c r="AR1301" s="77"/>
      <c r="AT1301" s="497">
        <v>42.08</v>
      </c>
      <c r="AV1301" s="42"/>
      <c r="AW1301" s="74"/>
      <c r="AX1301" s="77"/>
      <c r="BA1301" s="497">
        <v>37.94</v>
      </c>
      <c r="BB1301" s="42"/>
      <c r="BC1301" s="74"/>
      <c r="BD1301" s="77"/>
      <c r="BF1301">
        <v>30.92</v>
      </c>
      <c r="BH1301" s="42"/>
      <c r="BI1301" s="74"/>
      <c r="BJ1301" s="77"/>
      <c r="BL1301" s="497">
        <v>30.92</v>
      </c>
      <c r="BN1301" s="42"/>
      <c r="BO1301" s="74"/>
      <c r="BP1301" s="77"/>
      <c r="BR1301" s="497">
        <v>33.08</v>
      </c>
      <c r="BT1301" s="42"/>
    </row>
    <row r="1302" spans="1:72" x14ac:dyDescent="0.25">
      <c r="A1302" s="90">
        <v>34753</v>
      </c>
      <c r="B1302" s="20">
        <v>0.5</v>
      </c>
      <c r="D1302">
        <v>44.06</v>
      </c>
      <c r="E1302" t="str">
        <f t="shared" si="76"/>
        <v>WEEKDAY</v>
      </c>
      <c r="F1302" t="e">
        <f t="shared" si="75"/>
        <v>#N/A</v>
      </c>
      <c r="G1302" s="74">
        <v>32196</v>
      </c>
      <c r="H1302" s="77">
        <v>0.5</v>
      </c>
      <c r="J1302">
        <v>57.92</v>
      </c>
      <c r="M1302" s="74">
        <v>38040</v>
      </c>
      <c r="N1302" s="77">
        <v>0.5</v>
      </c>
      <c r="P1302">
        <v>37.4</v>
      </c>
      <c r="S1302" s="74">
        <v>34753</v>
      </c>
      <c r="T1302" s="77">
        <v>0.5</v>
      </c>
      <c r="V1302">
        <v>42.08</v>
      </c>
      <c r="X1302" s="42"/>
      <c r="AB1302">
        <v>38.700000000000003</v>
      </c>
      <c r="AC1302">
        <v>50</v>
      </c>
      <c r="AE1302" s="74"/>
      <c r="AF1302" s="77"/>
      <c r="AH1302" s="497">
        <v>42.980000000000004</v>
      </c>
      <c r="AJ1302" s="42"/>
      <c r="AK1302" s="74"/>
      <c r="AL1302" s="77"/>
      <c r="AN1302" s="497">
        <v>37.04</v>
      </c>
      <c r="AP1302" s="42"/>
      <c r="AQ1302" s="74"/>
      <c r="AR1302" s="77"/>
      <c r="AT1302" s="497">
        <v>39.019999999999996</v>
      </c>
      <c r="AV1302" s="42"/>
      <c r="AW1302" s="74"/>
      <c r="AX1302" s="77"/>
      <c r="BA1302" s="497">
        <v>39.92</v>
      </c>
      <c r="BB1302" s="42"/>
      <c r="BC1302" s="74"/>
      <c r="BD1302" s="77"/>
      <c r="BF1302">
        <v>30.92</v>
      </c>
      <c r="BH1302" s="42"/>
      <c r="BI1302" s="74"/>
      <c r="BJ1302" s="77"/>
      <c r="BL1302" s="497">
        <v>30.02</v>
      </c>
      <c r="BN1302" s="42"/>
      <c r="BO1302" s="74"/>
      <c r="BP1302" s="77"/>
      <c r="BR1302" s="497">
        <v>33.08</v>
      </c>
      <c r="BT1302" s="42"/>
    </row>
    <row r="1303" spans="1:72" x14ac:dyDescent="0.25">
      <c r="A1303" s="90">
        <v>34753</v>
      </c>
      <c r="B1303" s="20">
        <v>0.54166666666666663</v>
      </c>
      <c r="D1303">
        <v>46.04</v>
      </c>
      <c r="E1303" t="str">
        <f t="shared" si="76"/>
        <v>WEEKDAY</v>
      </c>
      <c r="F1303" t="e">
        <f t="shared" si="75"/>
        <v>#N/A</v>
      </c>
      <c r="G1303" s="74">
        <v>32196</v>
      </c>
      <c r="H1303" s="77">
        <v>0.54166666666666663</v>
      </c>
      <c r="J1303">
        <v>60.08</v>
      </c>
      <c r="M1303" s="74">
        <v>38040</v>
      </c>
      <c r="N1303" s="77">
        <v>0.54166666666666663</v>
      </c>
      <c r="P1303">
        <v>39.200000000000003</v>
      </c>
      <c r="S1303" s="74">
        <v>34753</v>
      </c>
      <c r="T1303" s="77">
        <v>0.54166666666666663</v>
      </c>
      <c r="V1303">
        <v>42.08</v>
      </c>
      <c r="X1303" s="42"/>
      <c r="AB1303">
        <v>39.799999999999997</v>
      </c>
      <c r="AC1303">
        <v>53.06</v>
      </c>
      <c r="AE1303" s="74"/>
      <c r="AF1303" s="77"/>
      <c r="AH1303" s="497">
        <v>43.879999999999995</v>
      </c>
      <c r="AJ1303" s="42"/>
      <c r="AK1303" s="74"/>
      <c r="AL1303" s="77"/>
      <c r="AN1303" s="497">
        <v>39.019999999999996</v>
      </c>
      <c r="AP1303" s="42"/>
      <c r="AQ1303" s="74"/>
      <c r="AR1303" s="77"/>
      <c r="AT1303" s="497">
        <v>39.019999999999996</v>
      </c>
      <c r="AV1303" s="42"/>
      <c r="AW1303" s="74"/>
      <c r="AX1303" s="77"/>
      <c r="BA1303" s="497">
        <v>39.019999999999996</v>
      </c>
      <c r="BB1303" s="42"/>
      <c r="BC1303" s="74"/>
      <c r="BD1303" s="77"/>
      <c r="BF1303">
        <v>32</v>
      </c>
      <c r="BH1303" s="42"/>
      <c r="BI1303" s="74"/>
      <c r="BJ1303" s="77"/>
      <c r="BL1303" s="497">
        <v>32</v>
      </c>
      <c r="BN1303" s="42"/>
      <c r="BO1303" s="74"/>
      <c r="BP1303" s="77"/>
      <c r="BR1303" s="497">
        <v>33.08</v>
      </c>
      <c r="BT1303" s="42"/>
    </row>
    <row r="1304" spans="1:72" x14ac:dyDescent="0.25">
      <c r="A1304" s="90">
        <v>34753</v>
      </c>
      <c r="B1304" s="20">
        <v>0.58333333333333337</v>
      </c>
      <c r="D1304">
        <v>46.04</v>
      </c>
      <c r="E1304" t="str">
        <f t="shared" si="76"/>
        <v>WEEKDAY</v>
      </c>
      <c r="F1304" t="e">
        <f t="shared" si="75"/>
        <v>#N/A</v>
      </c>
      <c r="G1304" s="74">
        <v>32196</v>
      </c>
      <c r="H1304" s="77">
        <v>0.58333333333333337</v>
      </c>
      <c r="J1304">
        <v>60.980000000000004</v>
      </c>
      <c r="M1304" s="74">
        <v>38040</v>
      </c>
      <c r="N1304" s="77">
        <v>0.58333333333333337</v>
      </c>
      <c r="P1304">
        <v>42.8</v>
      </c>
      <c r="S1304" s="74">
        <v>34753</v>
      </c>
      <c r="T1304" s="77">
        <v>0.58333333333333337</v>
      </c>
      <c r="V1304">
        <v>42.08</v>
      </c>
      <c r="X1304" s="42"/>
      <c r="AB1304">
        <v>40.799999999999997</v>
      </c>
      <c r="AC1304">
        <v>51.980000000000004</v>
      </c>
      <c r="AE1304" s="74"/>
      <c r="AF1304" s="77"/>
      <c r="AH1304" s="497">
        <v>45.86</v>
      </c>
      <c r="AJ1304" s="42"/>
      <c r="AK1304" s="74"/>
      <c r="AL1304" s="77"/>
      <c r="AN1304" s="497">
        <v>37.94</v>
      </c>
      <c r="AP1304" s="42"/>
      <c r="AQ1304" s="74"/>
      <c r="AR1304" s="77"/>
      <c r="AT1304" s="497">
        <v>39.92</v>
      </c>
      <c r="AV1304" s="42"/>
      <c r="AW1304" s="74"/>
      <c r="AX1304" s="77"/>
      <c r="BA1304" s="497">
        <v>39.019999999999996</v>
      </c>
      <c r="BB1304" s="42"/>
      <c r="BC1304" s="74"/>
      <c r="BD1304" s="77"/>
      <c r="BF1304">
        <v>30.92</v>
      </c>
      <c r="BH1304" s="42"/>
      <c r="BI1304" s="74"/>
      <c r="BJ1304" s="77"/>
      <c r="BL1304" s="497">
        <v>30.92</v>
      </c>
      <c r="BN1304" s="42"/>
      <c r="BO1304" s="74"/>
      <c r="BP1304" s="77"/>
      <c r="BR1304" s="497">
        <v>32</v>
      </c>
      <c r="BT1304" s="42"/>
    </row>
    <row r="1305" spans="1:72" x14ac:dyDescent="0.25">
      <c r="A1305" s="90">
        <v>34753</v>
      </c>
      <c r="B1305" s="20">
        <v>0.625</v>
      </c>
      <c r="D1305">
        <v>44.06</v>
      </c>
      <c r="E1305" t="str">
        <f t="shared" si="76"/>
        <v>WEEKDAY</v>
      </c>
      <c r="F1305" t="e">
        <f t="shared" si="75"/>
        <v>#N/A</v>
      </c>
      <c r="G1305" s="74">
        <v>32196</v>
      </c>
      <c r="H1305" s="77">
        <v>0.625</v>
      </c>
      <c r="J1305">
        <v>53.06</v>
      </c>
      <c r="M1305" s="74">
        <v>38040</v>
      </c>
      <c r="N1305" s="77">
        <v>0.625</v>
      </c>
      <c r="P1305">
        <v>42.8</v>
      </c>
      <c r="S1305" s="74">
        <v>34753</v>
      </c>
      <c r="T1305" s="77">
        <v>0.625</v>
      </c>
      <c r="V1305">
        <v>41</v>
      </c>
      <c r="X1305" s="42"/>
      <c r="AB1305">
        <v>41.4</v>
      </c>
      <c r="AC1305">
        <v>51.08</v>
      </c>
      <c r="AE1305" s="74"/>
      <c r="AF1305" s="77"/>
      <c r="AH1305" s="497">
        <v>45.86</v>
      </c>
      <c r="AJ1305" s="42"/>
      <c r="AK1305" s="74"/>
      <c r="AL1305" s="77"/>
      <c r="AN1305" s="497">
        <v>37.94</v>
      </c>
      <c r="AP1305" s="42"/>
      <c r="AQ1305" s="74"/>
      <c r="AR1305" s="77"/>
      <c r="AT1305" s="497">
        <v>41</v>
      </c>
      <c r="AV1305" s="42"/>
      <c r="AW1305" s="74"/>
      <c r="AX1305" s="77"/>
      <c r="BA1305" s="497">
        <v>37.94</v>
      </c>
      <c r="BB1305" s="42"/>
      <c r="BC1305" s="74"/>
      <c r="BD1305" s="77"/>
      <c r="BF1305">
        <v>33.08</v>
      </c>
      <c r="BH1305" s="42"/>
      <c r="BI1305" s="74"/>
      <c r="BJ1305" s="77"/>
      <c r="BL1305" s="497">
        <v>30.92</v>
      </c>
      <c r="BN1305" s="42"/>
      <c r="BO1305" s="74"/>
      <c r="BP1305" s="77"/>
      <c r="BR1305" s="497">
        <v>35.06</v>
      </c>
      <c r="BT1305" s="42"/>
    </row>
    <row r="1306" spans="1:72" x14ac:dyDescent="0.25">
      <c r="A1306" s="90">
        <v>34753</v>
      </c>
      <c r="B1306" s="20">
        <v>0.66666666666666663</v>
      </c>
      <c r="D1306">
        <v>42.08</v>
      </c>
      <c r="E1306" t="str">
        <f t="shared" si="76"/>
        <v>WEEKDAY</v>
      </c>
      <c r="F1306" t="e">
        <f t="shared" si="75"/>
        <v>#N/A</v>
      </c>
      <c r="G1306" s="74">
        <v>32196</v>
      </c>
      <c r="H1306" s="77">
        <v>0.66666666666666663</v>
      </c>
      <c r="J1306">
        <v>48.019999999999996</v>
      </c>
      <c r="M1306" s="74">
        <v>38040</v>
      </c>
      <c r="N1306" s="77">
        <v>0.66666666666666663</v>
      </c>
      <c r="P1306">
        <v>42.8</v>
      </c>
      <c r="S1306" s="74">
        <v>34753</v>
      </c>
      <c r="T1306" s="77">
        <v>0.66666666666666663</v>
      </c>
      <c r="V1306">
        <v>41</v>
      </c>
      <c r="X1306" s="42"/>
      <c r="AB1306">
        <v>41.5</v>
      </c>
      <c r="AC1306">
        <v>50</v>
      </c>
      <c r="AE1306" s="74"/>
      <c r="AF1306" s="77"/>
      <c r="AH1306" s="497">
        <v>45.86</v>
      </c>
      <c r="AJ1306" s="42"/>
      <c r="AK1306" s="74"/>
      <c r="AL1306" s="77"/>
      <c r="AN1306" s="497">
        <v>37.94</v>
      </c>
      <c r="AP1306" s="42"/>
      <c r="AQ1306" s="74"/>
      <c r="AR1306" s="77"/>
      <c r="AT1306" s="497">
        <v>39.92</v>
      </c>
      <c r="AV1306" s="42"/>
      <c r="AW1306" s="74"/>
      <c r="AX1306" s="77"/>
      <c r="BA1306" s="497">
        <v>37.04</v>
      </c>
      <c r="BB1306" s="42"/>
      <c r="BC1306" s="74"/>
      <c r="BD1306" s="77"/>
      <c r="BF1306">
        <v>33.08</v>
      </c>
      <c r="BH1306" s="42"/>
      <c r="BI1306" s="74"/>
      <c r="BJ1306" s="77"/>
      <c r="BL1306" s="497">
        <v>30.92</v>
      </c>
      <c r="BN1306" s="42"/>
      <c r="BO1306" s="74"/>
      <c r="BP1306" s="77"/>
      <c r="BR1306" s="497">
        <v>35.06</v>
      </c>
      <c r="BT1306" s="42"/>
    </row>
    <row r="1307" spans="1:72" x14ac:dyDescent="0.25">
      <c r="A1307" s="90">
        <v>34753</v>
      </c>
      <c r="B1307" s="20">
        <v>0.70833333333333337</v>
      </c>
      <c r="D1307">
        <v>42.08</v>
      </c>
      <c r="E1307" t="str">
        <f t="shared" si="76"/>
        <v>WEEKDAY</v>
      </c>
      <c r="F1307" t="e">
        <f t="shared" si="75"/>
        <v>#N/A</v>
      </c>
      <c r="G1307" s="74">
        <v>32196</v>
      </c>
      <c r="H1307" s="77">
        <v>0.70833333333333337</v>
      </c>
      <c r="J1307">
        <v>44.96</v>
      </c>
      <c r="M1307" s="74">
        <v>38040</v>
      </c>
      <c r="N1307" s="77">
        <v>0.70833333333333337</v>
      </c>
      <c r="P1307">
        <v>42.8</v>
      </c>
      <c r="S1307" s="74">
        <v>34753</v>
      </c>
      <c r="T1307" s="77">
        <v>0.70833333333333337</v>
      </c>
      <c r="V1307">
        <v>41</v>
      </c>
      <c r="X1307" s="42"/>
      <c r="AB1307">
        <v>41.1</v>
      </c>
      <c r="AC1307">
        <v>48.019999999999996</v>
      </c>
      <c r="AE1307" s="74"/>
      <c r="AF1307" s="77"/>
      <c r="AH1307" s="497">
        <v>44.96</v>
      </c>
      <c r="AJ1307" s="42"/>
      <c r="AK1307" s="74"/>
      <c r="AL1307" s="77"/>
      <c r="AN1307" s="497">
        <v>35.96</v>
      </c>
      <c r="AP1307" s="42"/>
      <c r="AQ1307" s="74"/>
      <c r="AR1307" s="77"/>
      <c r="AT1307" s="497">
        <v>37.94</v>
      </c>
      <c r="AV1307" s="42"/>
      <c r="AW1307" s="74"/>
      <c r="AX1307" s="77"/>
      <c r="BA1307" s="497">
        <v>37.04</v>
      </c>
      <c r="BB1307" s="42"/>
      <c r="BC1307" s="74"/>
      <c r="BD1307" s="77"/>
      <c r="BF1307">
        <v>30.92</v>
      </c>
      <c r="BH1307" s="42"/>
      <c r="BI1307" s="74"/>
      <c r="BJ1307" s="77"/>
      <c r="BL1307" s="497">
        <v>30.02</v>
      </c>
      <c r="BN1307" s="42"/>
      <c r="BO1307" s="74"/>
      <c r="BP1307" s="77"/>
      <c r="BR1307" s="497">
        <v>35.06</v>
      </c>
      <c r="BT1307" s="42"/>
    </row>
    <row r="1308" spans="1:72" x14ac:dyDescent="0.25">
      <c r="A1308" s="90">
        <v>34753</v>
      </c>
      <c r="B1308" s="20">
        <v>0.75</v>
      </c>
      <c r="D1308">
        <v>42.08</v>
      </c>
      <c r="E1308" t="str">
        <f t="shared" si="76"/>
        <v>WEEKDAY</v>
      </c>
      <c r="F1308" t="e">
        <f t="shared" si="75"/>
        <v>#N/A</v>
      </c>
      <c r="G1308" s="74">
        <v>32196</v>
      </c>
      <c r="H1308" s="77">
        <v>0.75</v>
      </c>
      <c r="J1308">
        <v>44.06</v>
      </c>
      <c r="M1308" s="74">
        <v>38040</v>
      </c>
      <c r="N1308" s="77">
        <v>0.75</v>
      </c>
      <c r="P1308">
        <v>39.200000000000003</v>
      </c>
      <c r="S1308" s="74">
        <v>34753</v>
      </c>
      <c r="T1308" s="77">
        <v>0.75</v>
      </c>
      <c r="V1308">
        <v>41</v>
      </c>
      <c r="X1308" s="42"/>
      <c r="AB1308">
        <v>40.1</v>
      </c>
      <c r="AC1308">
        <v>44.96</v>
      </c>
      <c r="AE1308" s="74"/>
      <c r="AF1308" s="77"/>
      <c r="AH1308" s="497">
        <v>44.96</v>
      </c>
      <c r="AJ1308" s="42"/>
      <c r="AK1308" s="74"/>
      <c r="AL1308" s="77"/>
      <c r="AN1308" s="497">
        <v>33.979999999999997</v>
      </c>
      <c r="AP1308" s="42"/>
      <c r="AQ1308" s="74"/>
      <c r="AR1308" s="77"/>
      <c r="AT1308" s="497">
        <v>37.04</v>
      </c>
      <c r="AV1308" s="42"/>
      <c r="AW1308" s="74"/>
      <c r="AX1308" s="77"/>
      <c r="BA1308" s="497">
        <v>35.96</v>
      </c>
      <c r="BB1308" s="42"/>
      <c r="BC1308" s="74"/>
      <c r="BD1308" s="77"/>
      <c r="BF1308">
        <v>30.92</v>
      </c>
      <c r="BH1308" s="42"/>
      <c r="BI1308" s="74"/>
      <c r="BJ1308" s="77"/>
      <c r="BL1308" s="497">
        <v>28.94</v>
      </c>
      <c r="BN1308" s="42"/>
      <c r="BO1308" s="74"/>
      <c r="BP1308" s="77"/>
      <c r="BR1308" s="497">
        <v>33.08</v>
      </c>
      <c r="BT1308" s="42"/>
    </row>
    <row r="1309" spans="1:72" x14ac:dyDescent="0.25">
      <c r="A1309" s="90">
        <v>34753</v>
      </c>
      <c r="B1309" s="20">
        <v>0.79166666666666663</v>
      </c>
      <c r="D1309">
        <v>42.08</v>
      </c>
      <c r="E1309" t="str">
        <f t="shared" si="76"/>
        <v>WEEKDAY</v>
      </c>
      <c r="F1309" t="e">
        <f t="shared" si="75"/>
        <v>#N/A</v>
      </c>
      <c r="G1309" s="74">
        <v>32196</v>
      </c>
      <c r="H1309" s="77">
        <v>0.79166666666666663</v>
      </c>
      <c r="J1309">
        <v>42.980000000000004</v>
      </c>
      <c r="M1309" s="74">
        <v>38040</v>
      </c>
      <c r="N1309" s="77">
        <v>0.79166666666666663</v>
      </c>
      <c r="P1309">
        <v>35.6</v>
      </c>
      <c r="S1309" s="74">
        <v>34753</v>
      </c>
      <c r="T1309" s="77">
        <v>0.79166666666666663</v>
      </c>
      <c r="V1309">
        <v>41</v>
      </c>
      <c r="X1309" s="42"/>
      <c r="AB1309">
        <v>38.799999999999997</v>
      </c>
      <c r="AC1309">
        <v>42.980000000000004</v>
      </c>
      <c r="AE1309" s="74"/>
      <c r="AF1309" s="77"/>
      <c r="AH1309" s="497">
        <v>42.980000000000004</v>
      </c>
      <c r="AJ1309" s="42"/>
      <c r="AK1309" s="74"/>
      <c r="AL1309" s="77"/>
      <c r="AN1309" s="497">
        <v>33.08</v>
      </c>
      <c r="AP1309" s="42"/>
      <c r="AQ1309" s="74"/>
      <c r="AR1309" s="77"/>
      <c r="AT1309" s="497">
        <v>35.96</v>
      </c>
      <c r="AV1309" s="42"/>
      <c r="AW1309" s="74"/>
      <c r="AX1309" s="77"/>
      <c r="BA1309" s="497">
        <v>35.96</v>
      </c>
      <c r="BB1309" s="42"/>
      <c r="BC1309" s="74"/>
      <c r="BD1309" s="77"/>
      <c r="BF1309">
        <v>30.02</v>
      </c>
      <c r="BH1309" s="42"/>
      <c r="BI1309" s="74"/>
      <c r="BJ1309" s="77"/>
      <c r="BL1309" s="497">
        <v>28.94</v>
      </c>
      <c r="BN1309" s="42"/>
      <c r="BO1309" s="74"/>
      <c r="BP1309" s="77"/>
      <c r="BR1309" s="497">
        <v>30.92</v>
      </c>
      <c r="BT1309" s="42"/>
    </row>
    <row r="1310" spans="1:72" x14ac:dyDescent="0.25">
      <c r="A1310" s="90">
        <v>34753</v>
      </c>
      <c r="B1310" s="20">
        <v>0.83333333333333337</v>
      </c>
      <c r="D1310">
        <v>42.08</v>
      </c>
      <c r="E1310" t="str">
        <f t="shared" si="76"/>
        <v>WEEKDAY</v>
      </c>
      <c r="F1310" t="e">
        <f t="shared" si="75"/>
        <v>#N/A</v>
      </c>
      <c r="G1310" s="74">
        <v>32196</v>
      </c>
      <c r="H1310" s="77">
        <v>0.83333333333333337</v>
      </c>
      <c r="J1310">
        <v>42.980000000000004</v>
      </c>
      <c r="M1310" s="74">
        <v>38040</v>
      </c>
      <c r="N1310" s="77">
        <v>0.83333333333333337</v>
      </c>
      <c r="P1310">
        <v>33.799999999999997</v>
      </c>
      <c r="S1310" s="74">
        <v>34753</v>
      </c>
      <c r="T1310" s="77">
        <v>0.83333333333333337</v>
      </c>
      <c r="V1310">
        <v>41</v>
      </c>
      <c r="X1310" s="42"/>
      <c r="AB1310">
        <v>38.200000000000003</v>
      </c>
      <c r="AC1310">
        <v>42.08</v>
      </c>
      <c r="AE1310" s="74"/>
      <c r="AF1310" s="77"/>
      <c r="AH1310" s="497">
        <v>41.9</v>
      </c>
      <c r="AJ1310" s="42"/>
      <c r="AK1310" s="74"/>
      <c r="AL1310" s="77"/>
      <c r="AN1310" s="497">
        <v>33.08</v>
      </c>
      <c r="AP1310" s="42"/>
      <c r="AQ1310" s="74"/>
      <c r="AR1310" s="77"/>
      <c r="AT1310" s="497">
        <v>33.979999999999997</v>
      </c>
      <c r="AV1310" s="42"/>
      <c r="AW1310" s="74"/>
      <c r="AX1310" s="77"/>
      <c r="BA1310" s="497">
        <v>35.96</v>
      </c>
      <c r="BB1310" s="42"/>
      <c r="BC1310" s="74"/>
      <c r="BD1310" s="77"/>
      <c r="BF1310">
        <v>28.94</v>
      </c>
      <c r="BH1310" s="42"/>
      <c r="BI1310" s="74"/>
      <c r="BJ1310" s="77"/>
      <c r="BL1310" s="497">
        <v>28.04</v>
      </c>
      <c r="BN1310" s="42"/>
      <c r="BO1310" s="74"/>
      <c r="BP1310" s="77"/>
      <c r="BR1310" s="497">
        <v>28.94</v>
      </c>
      <c r="BT1310" s="42"/>
    </row>
    <row r="1311" spans="1:72" x14ac:dyDescent="0.25">
      <c r="A1311" s="90">
        <v>34753</v>
      </c>
      <c r="B1311" s="20">
        <v>0.875</v>
      </c>
      <c r="D1311">
        <v>42.980000000000004</v>
      </c>
      <c r="E1311" t="str">
        <f t="shared" si="76"/>
        <v>WEEKDAY</v>
      </c>
      <c r="F1311" t="e">
        <f t="shared" si="75"/>
        <v>#N/A</v>
      </c>
      <c r="G1311" s="74">
        <v>32196</v>
      </c>
      <c r="H1311" s="77">
        <v>0.875</v>
      </c>
      <c r="J1311">
        <v>42.08</v>
      </c>
      <c r="M1311" s="74">
        <v>38040</v>
      </c>
      <c r="N1311" s="77">
        <v>0.875</v>
      </c>
      <c r="P1311">
        <v>33.799999999999997</v>
      </c>
      <c r="S1311" s="74">
        <v>34753</v>
      </c>
      <c r="T1311" s="77">
        <v>0.875</v>
      </c>
      <c r="V1311">
        <v>41</v>
      </c>
      <c r="X1311" s="42"/>
      <c r="AB1311">
        <v>37.5</v>
      </c>
      <c r="AC1311">
        <v>42.08</v>
      </c>
      <c r="AE1311" s="74"/>
      <c r="AF1311" s="77"/>
      <c r="AH1311" s="497">
        <v>41</v>
      </c>
      <c r="AJ1311" s="42"/>
      <c r="AK1311" s="74"/>
      <c r="AL1311" s="77"/>
      <c r="AN1311" s="497">
        <v>33.08</v>
      </c>
      <c r="AP1311" s="42"/>
      <c r="AQ1311" s="74"/>
      <c r="AR1311" s="77"/>
      <c r="AT1311" s="497">
        <v>32</v>
      </c>
      <c r="AV1311" s="42"/>
      <c r="AW1311" s="74"/>
      <c r="AX1311" s="77"/>
      <c r="BA1311" s="497">
        <v>35.06</v>
      </c>
      <c r="BB1311" s="42"/>
      <c r="BC1311" s="74"/>
      <c r="BD1311" s="77"/>
      <c r="BF1311">
        <v>28.04</v>
      </c>
      <c r="BH1311" s="42"/>
      <c r="BI1311" s="74"/>
      <c r="BJ1311" s="77"/>
      <c r="BL1311" s="497">
        <v>28.04</v>
      </c>
      <c r="BN1311" s="42"/>
      <c r="BO1311" s="74"/>
      <c r="BP1311" s="77"/>
      <c r="BR1311" s="497">
        <v>26.96</v>
      </c>
      <c r="BT1311" s="42"/>
    </row>
    <row r="1312" spans="1:72" x14ac:dyDescent="0.25">
      <c r="A1312" s="90">
        <v>34753</v>
      </c>
      <c r="B1312" s="20">
        <v>0.91666666666666663</v>
      </c>
      <c r="D1312">
        <v>44.06</v>
      </c>
      <c r="E1312" t="str">
        <f t="shared" si="76"/>
        <v>WEEKDAY</v>
      </c>
      <c r="F1312" t="e">
        <f t="shared" si="75"/>
        <v>#N/A</v>
      </c>
      <c r="G1312" s="74">
        <v>32196</v>
      </c>
      <c r="H1312" s="77">
        <v>0.91666666666666663</v>
      </c>
      <c r="J1312">
        <v>42.08</v>
      </c>
      <c r="M1312" s="74">
        <v>38040</v>
      </c>
      <c r="N1312" s="77">
        <v>0.91666666666666663</v>
      </c>
      <c r="P1312">
        <v>32</v>
      </c>
      <c r="S1312" s="74">
        <v>34753</v>
      </c>
      <c r="T1312" s="77">
        <v>0.91666666666666663</v>
      </c>
      <c r="V1312">
        <v>39.92</v>
      </c>
      <c r="X1312" s="42"/>
      <c r="AB1312">
        <v>36.9</v>
      </c>
      <c r="AC1312">
        <v>42.980000000000004</v>
      </c>
      <c r="AE1312" s="74"/>
      <c r="AF1312" s="77"/>
      <c r="AH1312" s="497">
        <v>41.9</v>
      </c>
      <c r="AJ1312" s="42"/>
      <c r="AK1312" s="74"/>
      <c r="AL1312" s="77"/>
      <c r="AN1312" s="497">
        <v>32</v>
      </c>
      <c r="AP1312" s="42"/>
      <c r="AQ1312" s="74"/>
      <c r="AR1312" s="77"/>
      <c r="AT1312" s="497">
        <v>32</v>
      </c>
      <c r="AV1312" s="42"/>
      <c r="AW1312" s="74"/>
      <c r="AX1312" s="77"/>
      <c r="BA1312" s="497">
        <v>33.979999999999997</v>
      </c>
      <c r="BB1312" s="42"/>
      <c r="BC1312" s="74"/>
      <c r="BD1312" s="77"/>
      <c r="BF1312">
        <v>26.96</v>
      </c>
      <c r="BH1312" s="42"/>
      <c r="BI1312" s="74"/>
      <c r="BJ1312" s="77"/>
      <c r="BL1312" s="497">
        <v>26.96</v>
      </c>
      <c r="BN1312" s="42"/>
      <c r="BO1312" s="74"/>
      <c r="BP1312" s="77"/>
      <c r="BR1312" s="497">
        <v>26.060000000000002</v>
      </c>
      <c r="BT1312" s="42"/>
    </row>
    <row r="1313" spans="1:72" x14ac:dyDescent="0.25">
      <c r="A1313" s="90">
        <v>34753</v>
      </c>
      <c r="B1313" s="20">
        <v>0.95833333333333337</v>
      </c>
      <c r="D1313">
        <v>44.06</v>
      </c>
      <c r="E1313" t="str">
        <f t="shared" si="76"/>
        <v>WEEKDAY</v>
      </c>
      <c r="F1313" t="e">
        <f t="shared" si="75"/>
        <v>#N/A</v>
      </c>
      <c r="G1313" s="74">
        <v>32196</v>
      </c>
      <c r="H1313" s="77">
        <v>0.95833333333333337</v>
      </c>
      <c r="J1313">
        <v>42.08</v>
      </c>
      <c r="M1313" s="74">
        <v>38040</v>
      </c>
      <c r="N1313" s="77">
        <v>0.95833333333333337</v>
      </c>
      <c r="P1313">
        <v>30.2</v>
      </c>
      <c r="S1313" s="74">
        <v>34753</v>
      </c>
      <c r="T1313" s="77">
        <v>0.95833333333333337</v>
      </c>
      <c r="V1313">
        <v>41</v>
      </c>
      <c r="X1313" s="42"/>
      <c r="AB1313">
        <v>36.299999999999997</v>
      </c>
      <c r="AC1313">
        <v>42.980000000000004</v>
      </c>
      <c r="AE1313" s="74"/>
      <c r="AF1313" s="77"/>
      <c r="AH1313" s="497">
        <v>42.980000000000004</v>
      </c>
      <c r="AJ1313" s="42"/>
      <c r="AK1313" s="74"/>
      <c r="AL1313" s="77"/>
      <c r="AN1313" s="497">
        <v>30.92</v>
      </c>
      <c r="AP1313" s="42"/>
      <c r="AQ1313" s="74"/>
      <c r="AR1313" s="77"/>
      <c r="AT1313" s="497">
        <v>32</v>
      </c>
      <c r="AV1313" s="42"/>
      <c r="AW1313" s="74"/>
      <c r="AX1313" s="77"/>
      <c r="BA1313" s="497">
        <v>30.02</v>
      </c>
      <c r="BB1313" s="42"/>
      <c r="BC1313" s="74"/>
      <c r="BD1313" s="77"/>
      <c r="BF1313">
        <v>24.98</v>
      </c>
      <c r="BH1313" s="42"/>
      <c r="BI1313" s="74"/>
      <c r="BJ1313" s="77"/>
      <c r="BL1313" s="497">
        <v>24.98</v>
      </c>
      <c r="BN1313" s="42"/>
      <c r="BO1313" s="74"/>
      <c r="BP1313" s="77"/>
      <c r="BR1313" s="497">
        <v>24.98</v>
      </c>
      <c r="BT1313" s="42"/>
    </row>
    <row r="1314" spans="1:72" x14ac:dyDescent="0.25">
      <c r="A1314" s="90">
        <v>34753</v>
      </c>
      <c r="B1314" s="20">
        <v>1</v>
      </c>
      <c r="D1314">
        <v>42.08</v>
      </c>
      <c r="E1314" t="str">
        <f t="shared" si="76"/>
        <v>WEEKDAY</v>
      </c>
      <c r="F1314" t="e">
        <f t="shared" si="75"/>
        <v>#N/A</v>
      </c>
      <c r="G1314" s="74">
        <v>32196</v>
      </c>
      <c r="H1314" s="77">
        <v>1</v>
      </c>
      <c r="J1314">
        <v>42.08</v>
      </c>
      <c r="M1314" s="74">
        <v>38040</v>
      </c>
      <c r="N1314" s="80">
        <v>1</v>
      </c>
      <c r="P1314">
        <v>30.2</v>
      </c>
      <c r="S1314" s="74">
        <v>34753</v>
      </c>
      <c r="T1314" s="80">
        <v>1</v>
      </c>
      <c r="V1314">
        <v>39.92</v>
      </c>
      <c r="X1314" s="42"/>
      <c r="AB1314">
        <v>35.799999999999997</v>
      </c>
      <c r="AC1314">
        <v>39.92</v>
      </c>
      <c r="AE1314" s="74"/>
      <c r="AF1314" s="80"/>
      <c r="AH1314" s="497">
        <v>44.96</v>
      </c>
      <c r="AJ1314" s="42"/>
      <c r="AK1314" s="74"/>
      <c r="AL1314" s="80"/>
      <c r="AN1314" s="497">
        <v>30.02</v>
      </c>
      <c r="AP1314" s="42"/>
      <c r="AQ1314" s="74"/>
      <c r="AR1314" s="80"/>
      <c r="AT1314" s="497">
        <v>30.02</v>
      </c>
      <c r="AV1314" s="42"/>
      <c r="AW1314" s="74"/>
      <c r="AX1314" s="80"/>
      <c r="BA1314" s="497">
        <v>23</v>
      </c>
      <c r="BB1314" s="42"/>
      <c r="BC1314" s="74"/>
      <c r="BD1314" s="80"/>
      <c r="BF1314">
        <v>24.08</v>
      </c>
      <c r="BH1314" s="42"/>
      <c r="BI1314" s="74"/>
      <c r="BJ1314" s="80"/>
      <c r="BL1314" s="497">
        <v>24.08</v>
      </c>
      <c r="BN1314" s="42"/>
      <c r="BO1314" s="74"/>
      <c r="BP1314" s="80"/>
      <c r="BR1314" s="497">
        <v>24.08</v>
      </c>
      <c r="BT1314" s="42"/>
    </row>
    <row r="1315" spans="1:72" x14ac:dyDescent="0.25">
      <c r="A1315" s="90">
        <v>34754</v>
      </c>
      <c r="B1315" s="20">
        <v>4.1666666666666664E-2</v>
      </c>
      <c r="D1315">
        <v>42.08</v>
      </c>
      <c r="E1315" t="str">
        <f t="shared" si="76"/>
        <v>WEEKDAY</v>
      </c>
      <c r="F1315" t="e">
        <f t="shared" si="75"/>
        <v>#N/A</v>
      </c>
      <c r="G1315" s="74">
        <v>32197</v>
      </c>
      <c r="H1315" s="77">
        <v>4.1666666666666664E-2</v>
      </c>
      <c r="J1315">
        <v>41</v>
      </c>
      <c r="M1315" s="74">
        <v>38041</v>
      </c>
      <c r="N1315" s="77">
        <v>4.1666666666666664E-2</v>
      </c>
      <c r="P1315">
        <v>30.2</v>
      </c>
      <c r="S1315" s="74">
        <v>34754</v>
      </c>
      <c r="T1315" s="77">
        <v>4.1666666666666664E-2</v>
      </c>
      <c r="V1315">
        <v>42.08</v>
      </c>
      <c r="X1315" s="42"/>
      <c r="AB1315">
        <v>35.200000000000003</v>
      </c>
      <c r="AC1315">
        <v>39.019999999999996</v>
      </c>
      <c r="AE1315" s="74"/>
      <c r="AF1315" s="77"/>
      <c r="AH1315" s="497">
        <v>44.96</v>
      </c>
      <c r="AJ1315" s="42"/>
      <c r="AK1315" s="74"/>
      <c r="AL1315" s="77"/>
      <c r="AN1315" s="497">
        <v>28.04</v>
      </c>
      <c r="AP1315" s="42"/>
      <c r="AQ1315" s="74"/>
      <c r="AR1315" s="77"/>
      <c r="AT1315" s="497">
        <v>30.92</v>
      </c>
      <c r="AV1315" s="42"/>
      <c r="AW1315" s="74"/>
      <c r="AX1315" s="77"/>
      <c r="BA1315" s="497">
        <v>21.02</v>
      </c>
      <c r="BB1315" s="42"/>
      <c r="BC1315" s="74"/>
      <c r="BD1315" s="77"/>
      <c r="BF1315">
        <v>21.92</v>
      </c>
      <c r="BH1315" s="42"/>
      <c r="BI1315" s="74"/>
      <c r="BJ1315" s="77"/>
      <c r="BL1315" s="497">
        <v>23</v>
      </c>
      <c r="BN1315" s="42"/>
      <c r="BO1315" s="74"/>
      <c r="BP1315" s="77"/>
      <c r="BR1315" s="497">
        <v>23</v>
      </c>
      <c r="BT1315" s="42"/>
    </row>
    <row r="1316" spans="1:72" x14ac:dyDescent="0.25">
      <c r="A1316" s="90">
        <v>34754</v>
      </c>
      <c r="B1316" s="20">
        <v>8.3333333333333329E-2</v>
      </c>
      <c r="D1316">
        <v>44.06</v>
      </c>
      <c r="E1316" t="str">
        <f t="shared" si="76"/>
        <v>WEEKDAY</v>
      </c>
      <c r="F1316" t="e">
        <f t="shared" si="75"/>
        <v>#N/A</v>
      </c>
      <c r="G1316" s="74">
        <v>32197</v>
      </c>
      <c r="H1316" s="77">
        <v>8.3333333333333329E-2</v>
      </c>
      <c r="J1316">
        <v>41</v>
      </c>
      <c r="M1316" s="74">
        <v>38041</v>
      </c>
      <c r="N1316" s="77">
        <v>8.3333333333333329E-2</v>
      </c>
      <c r="P1316">
        <v>30.2</v>
      </c>
      <c r="S1316" s="74">
        <v>34754</v>
      </c>
      <c r="T1316" s="77">
        <v>8.3333333333333329E-2</v>
      </c>
      <c r="V1316">
        <v>41</v>
      </c>
      <c r="X1316" s="42"/>
      <c r="AB1316">
        <v>34.700000000000003</v>
      </c>
      <c r="AC1316">
        <v>37.04</v>
      </c>
      <c r="AE1316" s="74"/>
      <c r="AF1316" s="77"/>
      <c r="AH1316" s="497">
        <v>43.879999999999995</v>
      </c>
      <c r="AJ1316" s="42"/>
      <c r="AK1316" s="74"/>
      <c r="AL1316" s="77"/>
      <c r="AN1316" s="497">
        <v>24.08</v>
      </c>
      <c r="AP1316" s="42"/>
      <c r="AQ1316" s="74"/>
      <c r="AR1316" s="77"/>
      <c r="AT1316" s="497">
        <v>28.04</v>
      </c>
      <c r="AV1316" s="42"/>
      <c r="AW1316" s="74"/>
      <c r="AX1316" s="77"/>
      <c r="BA1316" s="497">
        <v>19.939999999999998</v>
      </c>
      <c r="BB1316" s="42"/>
      <c r="BC1316" s="74"/>
      <c r="BD1316" s="77"/>
      <c r="BF1316">
        <v>21.02</v>
      </c>
      <c r="BH1316" s="42"/>
      <c r="BI1316" s="74"/>
      <c r="BJ1316" s="77"/>
      <c r="BL1316" s="497">
        <v>23</v>
      </c>
      <c r="BN1316" s="42"/>
      <c r="BO1316" s="74"/>
      <c r="BP1316" s="77"/>
      <c r="BR1316" s="497">
        <v>21.92</v>
      </c>
      <c r="BT1316" s="42"/>
    </row>
    <row r="1317" spans="1:72" x14ac:dyDescent="0.25">
      <c r="A1317" s="90">
        <v>34754</v>
      </c>
      <c r="B1317" s="20">
        <v>0.125</v>
      </c>
      <c r="D1317">
        <v>42.980000000000004</v>
      </c>
      <c r="E1317" t="str">
        <f t="shared" si="76"/>
        <v>WEEKDAY</v>
      </c>
      <c r="F1317" t="e">
        <f t="shared" si="75"/>
        <v>#N/A</v>
      </c>
      <c r="G1317" s="74">
        <v>32197</v>
      </c>
      <c r="H1317" s="77">
        <v>0.125</v>
      </c>
      <c r="J1317">
        <v>41</v>
      </c>
      <c r="M1317" s="74">
        <v>38041</v>
      </c>
      <c r="N1317" s="77">
        <v>0.125</v>
      </c>
      <c r="P1317">
        <v>30.2</v>
      </c>
      <c r="S1317" s="74">
        <v>34754</v>
      </c>
      <c r="T1317" s="77">
        <v>0.125</v>
      </c>
      <c r="V1317">
        <v>41</v>
      </c>
      <c r="X1317" s="42"/>
      <c r="AB1317">
        <v>34.200000000000003</v>
      </c>
      <c r="AC1317">
        <v>35.96</v>
      </c>
      <c r="AE1317" s="74"/>
      <c r="AF1317" s="77"/>
      <c r="AH1317" s="497">
        <v>43.879999999999995</v>
      </c>
      <c r="AJ1317" s="42"/>
      <c r="AK1317" s="74"/>
      <c r="AL1317" s="77"/>
      <c r="AN1317" s="497">
        <v>19.939999999999998</v>
      </c>
      <c r="AP1317" s="42"/>
      <c r="AQ1317" s="74"/>
      <c r="AR1317" s="77"/>
      <c r="AT1317" s="497">
        <v>26.060000000000002</v>
      </c>
      <c r="AV1317" s="42"/>
      <c r="AW1317" s="74"/>
      <c r="AX1317" s="77"/>
      <c r="BA1317" s="497">
        <v>17.96</v>
      </c>
      <c r="BB1317" s="42"/>
      <c r="BC1317" s="74"/>
      <c r="BD1317" s="77"/>
      <c r="BF1317">
        <v>19.04</v>
      </c>
      <c r="BH1317" s="42"/>
      <c r="BI1317" s="74"/>
      <c r="BJ1317" s="77"/>
      <c r="BL1317" s="497">
        <v>21.92</v>
      </c>
      <c r="BN1317" s="42"/>
      <c r="BO1317" s="74"/>
      <c r="BP1317" s="77"/>
      <c r="BR1317" s="497">
        <v>19.939999999999998</v>
      </c>
      <c r="BT1317" s="42"/>
    </row>
    <row r="1318" spans="1:72" x14ac:dyDescent="0.25">
      <c r="A1318" s="90">
        <v>34754</v>
      </c>
      <c r="B1318" s="20">
        <v>0.16666666666666666</v>
      </c>
      <c r="D1318">
        <v>41</v>
      </c>
      <c r="E1318" t="str">
        <f t="shared" si="76"/>
        <v>WEEKDAY</v>
      </c>
      <c r="F1318" t="e">
        <f t="shared" si="75"/>
        <v>#N/A</v>
      </c>
      <c r="G1318" s="74">
        <v>32197</v>
      </c>
      <c r="H1318" s="77">
        <v>0.16666666666666666</v>
      </c>
      <c r="J1318">
        <v>39.92</v>
      </c>
      <c r="M1318" s="74">
        <v>38041</v>
      </c>
      <c r="N1318" s="77">
        <v>0.16666666666666666</v>
      </c>
      <c r="P1318">
        <v>30.2</v>
      </c>
      <c r="S1318" s="74">
        <v>34754</v>
      </c>
      <c r="T1318" s="77">
        <v>0.16666666666666666</v>
      </c>
      <c r="V1318">
        <v>39.92</v>
      </c>
      <c r="X1318" s="42"/>
      <c r="AB1318">
        <v>33.799999999999997</v>
      </c>
      <c r="AC1318">
        <v>35.96</v>
      </c>
      <c r="AE1318" s="74"/>
      <c r="AF1318" s="77"/>
      <c r="AH1318" s="497">
        <v>43.879999999999995</v>
      </c>
      <c r="AJ1318" s="42"/>
      <c r="AK1318" s="74"/>
      <c r="AL1318" s="77"/>
      <c r="AN1318" s="497">
        <v>17.96</v>
      </c>
      <c r="AP1318" s="42"/>
      <c r="AQ1318" s="74"/>
      <c r="AR1318" s="77"/>
      <c r="AT1318" s="497">
        <v>28.94</v>
      </c>
      <c r="AV1318" s="42"/>
      <c r="AW1318" s="74"/>
      <c r="AX1318" s="77"/>
      <c r="BA1318" s="497">
        <v>15.98</v>
      </c>
      <c r="BB1318" s="42"/>
      <c r="BC1318" s="74"/>
      <c r="BD1318" s="77"/>
      <c r="BF1318">
        <v>19.04</v>
      </c>
      <c r="BH1318" s="42"/>
      <c r="BI1318" s="74"/>
      <c r="BJ1318" s="77"/>
      <c r="BL1318" s="497">
        <v>21.02</v>
      </c>
      <c r="BN1318" s="42"/>
      <c r="BO1318" s="74"/>
      <c r="BP1318" s="77"/>
      <c r="BR1318" s="497">
        <v>19.939999999999998</v>
      </c>
      <c r="BT1318" s="42"/>
    </row>
    <row r="1319" spans="1:72" x14ac:dyDescent="0.25">
      <c r="A1319" s="90">
        <v>34754</v>
      </c>
      <c r="B1319" s="20">
        <v>0.20833333333333334</v>
      </c>
      <c r="D1319">
        <v>39.92</v>
      </c>
      <c r="E1319" t="str">
        <f t="shared" si="76"/>
        <v>WEEKDAY</v>
      </c>
      <c r="F1319" t="e">
        <f t="shared" si="75"/>
        <v>#N/A</v>
      </c>
      <c r="G1319" s="74">
        <v>32197</v>
      </c>
      <c r="H1319" s="77">
        <v>0.20833333333333334</v>
      </c>
      <c r="J1319">
        <v>39.019999999999996</v>
      </c>
      <c r="M1319" s="74">
        <v>38041</v>
      </c>
      <c r="N1319" s="77">
        <v>0.20833333333333334</v>
      </c>
      <c r="P1319">
        <v>30.2</v>
      </c>
      <c r="S1319" s="74">
        <v>34754</v>
      </c>
      <c r="T1319" s="77">
        <v>0.20833333333333334</v>
      </c>
      <c r="V1319">
        <v>41</v>
      </c>
      <c r="X1319" s="42"/>
      <c r="AB1319">
        <v>33.299999999999997</v>
      </c>
      <c r="AC1319">
        <v>35.96</v>
      </c>
      <c r="AE1319" s="74"/>
      <c r="AF1319" s="77"/>
      <c r="AH1319" s="497">
        <v>42.980000000000004</v>
      </c>
      <c r="AJ1319" s="42"/>
      <c r="AK1319" s="74"/>
      <c r="AL1319" s="77"/>
      <c r="AN1319" s="497">
        <v>17.059999999999999</v>
      </c>
      <c r="AP1319" s="42"/>
      <c r="AQ1319" s="74"/>
      <c r="AR1319" s="77"/>
      <c r="AT1319" s="497">
        <v>26.96</v>
      </c>
      <c r="AV1319" s="42"/>
      <c r="AW1319" s="74"/>
      <c r="AX1319" s="77"/>
      <c r="BA1319" s="497">
        <v>15.079999999999998</v>
      </c>
      <c r="BB1319" s="42"/>
      <c r="BC1319" s="74"/>
      <c r="BD1319" s="77"/>
      <c r="BF1319">
        <v>19.04</v>
      </c>
      <c r="BH1319" s="42"/>
      <c r="BI1319" s="74"/>
      <c r="BJ1319" s="77"/>
      <c r="BL1319" s="497">
        <v>19.939999999999998</v>
      </c>
      <c r="BN1319" s="42"/>
      <c r="BO1319" s="74"/>
      <c r="BP1319" s="77"/>
      <c r="BR1319" s="497">
        <v>19.939999999999998</v>
      </c>
      <c r="BT1319" s="42"/>
    </row>
    <row r="1320" spans="1:72" x14ac:dyDescent="0.25">
      <c r="A1320" s="90">
        <v>34754</v>
      </c>
      <c r="B1320" s="20">
        <v>0.25</v>
      </c>
      <c r="D1320">
        <v>42.980000000000004</v>
      </c>
      <c r="E1320" t="str">
        <f t="shared" si="76"/>
        <v>WEEKDAY</v>
      </c>
      <c r="F1320" t="e">
        <f t="shared" si="75"/>
        <v>#N/A</v>
      </c>
      <c r="G1320" s="74">
        <v>32197</v>
      </c>
      <c r="H1320" s="77">
        <v>0.25</v>
      </c>
      <c r="J1320">
        <v>35.06</v>
      </c>
      <c r="M1320" s="74">
        <v>38041</v>
      </c>
      <c r="N1320" s="77">
        <v>0.25</v>
      </c>
      <c r="P1320">
        <v>30.2</v>
      </c>
      <c r="S1320" s="74">
        <v>34754</v>
      </c>
      <c r="T1320" s="77">
        <v>0.25</v>
      </c>
      <c r="V1320">
        <v>39.92</v>
      </c>
      <c r="X1320" s="42"/>
      <c r="AB1320">
        <v>33</v>
      </c>
      <c r="AC1320">
        <v>35.96</v>
      </c>
      <c r="AE1320" s="74"/>
      <c r="AF1320" s="77"/>
      <c r="AH1320" s="497">
        <v>42.980000000000004</v>
      </c>
      <c r="AJ1320" s="42"/>
      <c r="AK1320" s="74"/>
      <c r="AL1320" s="77"/>
      <c r="AN1320" s="497">
        <v>17.059999999999999</v>
      </c>
      <c r="AP1320" s="42"/>
      <c r="AQ1320" s="74"/>
      <c r="AR1320" s="77"/>
      <c r="AT1320" s="497">
        <v>26.060000000000002</v>
      </c>
      <c r="AV1320" s="42"/>
      <c r="AW1320" s="74"/>
      <c r="AX1320" s="77"/>
      <c r="BA1320" s="497">
        <v>14</v>
      </c>
      <c r="BB1320" s="42"/>
      <c r="BC1320" s="74"/>
      <c r="BD1320" s="77"/>
      <c r="BF1320">
        <v>19.04</v>
      </c>
      <c r="BH1320" s="42"/>
      <c r="BI1320" s="74"/>
      <c r="BJ1320" s="77"/>
      <c r="BL1320" s="497">
        <v>17.059999999999999</v>
      </c>
      <c r="BN1320" s="42"/>
      <c r="BO1320" s="74"/>
      <c r="BP1320" s="77"/>
      <c r="BR1320" s="497">
        <v>19.04</v>
      </c>
      <c r="BT1320" s="42"/>
    </row>
    <row r="1321" spans="1:72" x14ac:dyDescent="0.25">
      <c r="A1321" s="90">
        <v>34754</v>
      </c>
      <c r="B1321" s="20">
        <v>0.29166666666666669</v>
      </c>
      <c r="D1321">
        <v>42.08</v>
      </c>
      <c r="E1321" t="str">
        <f t="shared" si="76"/>
        <v>WEEKDAY</v>
      </c>
      <c r="F1321" t="e">
        <f t="shared" si="75"/>
        <v>#N/A</v>
      </c>
      <c r="G1321" s="74">
        <v>32197</v>
      </c>
      <c r="H1321" s="77">
        <v>0.29166666666666669</v>
      </c>
      <c r="J1321">
        <v>33.979999999999997</v>
      </c>
      <c r="M1321" s="74">
        <v>38041</v>
      </c>
      <c r="N1321" s="77">
        <v>0.29166666666666669</v>
      </c>
      <c r="P1321">
        <v>30.2</v>
      </c>
      <c r="S1321" s="74">
        <v>34754</v>
      </c>
      <c r="T1321" s="77">
        <v>0.29166666666666669</v>
      </c>
      <c r="V1321">
        <v>42.08</v>
      </c>
      <c r="X1321" s="42"/>
      <c r="AB1321">
        <v>32.700000000000003</v>
      </c>
      <c r="AC1321">
        <v>37.04</v>
      </c>
      <c r="AE1321" s="74"/>
      <c r="AF1321" s="77"/>
      <c r="AH1321" s="497">
        <v>41.9</v>
      </c>
      <c r="AJ1321" s="42"/>
      <c r="AK1321" s="74"/>
      <c r="AL1321" s="77"/>
      <c r="AN1321" s="497">
        <v>15.98</v>
      </c>
      <c r="AP1321" s="42"/>
      <c r="AQ1321" s="74"/>
      <c r="AR1321" s="77"/>
      <c r="AT1321" s="497">
        <v>24.08</v>
      </c>
      <c r="AV1321" s="42"/>
      <c r="AW1321" s="74"/>
      <c r="AX1321" s="77"/>
      <c r="BA1321" s="497">
        <v>14</v>
      </c>
      <c r="BB1321" s="42"/>
      <c r="BC1321" s="74"/>
      <c r="BD1321" s="77"/>
      <c r="BF1321">
        <v>19.04</v>
      </c>
      <c r="BH1321" s="42"/>
      <c r="BI1321" s="74"/>
      <c r="BJ1321" s="77"/>
      <c r="BL1321" s="497">
        <v>15.079999999999998</v>
      </c>
      <c r="BN1321" s="42"/>
      <c r="BO1321" s="74"/>
      <c r="BP1321" s="77"/>
      <c r="BR1321" s="497">
        <v>17.96</v>
      </c>
      <c r="BT1321" s="42"/>
    </row>
    <row r="1322" spans="1:72" x14ac:dyDescent="0.25">
      <c r="A1322" s="90">
        <v>34754</v>
      </c>
      <c r="B1322" s="20">
        <v>0.33333333333333331</v>
      </c>
      <c r="D1322">
        <v>42.980000000000004</v>
      </c>
      <c r="E1322" t="str">
        <f t="shared" si="76"/>
        <v>WEEKDAY</v>
      </c>
      <c r="F1322" t="e">
        <f t="shared" si="75"/>
        <v>#N/A</v>
      </c>
      <c r="G1322" s="74">
        <v>32197</v>
      </c>
      <c r="H1322" s="77">
        <v>0.33333333333333331</v>
      </c>
      <c r="J1322">
        <v>33.979999999999997</v>
      </c>
      <c r="M1322" s="74">
        <v>38041</v>
      </c>
      <c r="N1322" s="77">
        <v>0.33333333333333331</v>
      </c>
      <c r="P1322">
        <v>32</v>
      </c>
      <c r="S1322" s="74">
        <v>34754</v>
      </c>
      <c r="T1322" s="77">
        <v>0.33333333333333331</v>
      </c>
      <c r="V1322">
        <v>41</v>
      </c>
      <c r="X1322" s="42"/>
      <c r="AB1322">
        <v>32.700000000000003</v>
      </c>
      <c r="AC1322">
        <v>41</v>
      </c>
      <c r="AE1322" s="74"/>
      <c r="AF1322" s="77"/>
      <c r="AH1322" s="497">
        <v>42.980000000000004</v>
      </c>
      <c r="AJ1322" s="42"/>
      <c r="AK1322" s="74"/>
      <c r="AL1322" s="77"/>
      <c r="AN1322" s="497">
        <v>15.079999999999998</v>
      </c>
      <c r="AP1322" s="42"/>
      <c r="AQ1322" s="74"/>
      <c r="AR1322" s="77"/>
      <c r="AT1322" s="497">
        <v>24.98</v>
      </c>
      <c r="AV1322" s="42"/>
      <c r="AW1322" s="74"/>
      <c r="AX1322" s="77"/>
      <c r="BA1322" s="497">
        <v>14</v>
      </c>
      <c r="BB1322" s="42"/>
      <c r="BC1322" s="74"/>
      <c r="BD1322" s="77"/>
      <c r="BF1322">
        <v>19.04</v>
      </c>
      <c r="BH1322" s="42"/>
      <c r="BI1322" s="74"/>
      <c r="BJ1322" s="77"/>
      <c r="BL1322" s="497">
        <v>17.059999999999999</v>
      </c>
      <c r="BN1322" s="42"/>
      <c r="BO1322" s="74"/>
      <c r="BP1322" s="77"/>
      <c r="BR1322" s="497">
        <v>17.96</v>
      </c>
      <c r="BT1322" s="42"/>
    </row>
    <row r="1323" spans="1:72" x14ac:dyDescent="0.25">
      <c r="A1323" s="90">
        <v>34754</v>
      </c>
      <c r="B1323" s="20">
        <v>0.375</v>
      </c>
      <c r="D1323">
        <v>44.06</v>
      </c>
      <c r="E1323" t="str">
        <f t="shared" si="76"/>
        <v>WEEKDAY</v>
      </c>
      <c r="F1323" t="e">
        <f t="shared" ref="F1323:F1386" si="77">IF(E1323="WEEKDAY",VLOOKUP(B1323,$DD$19:$DG$42,2),IF(E1323="SATURDAY",VLOOKUP(B1323,$DD$19:$DG$42,3),VLOOKUP(B1323,$DD$19:$DG$42,4)))</f>
        <v>#N/A</v>
      </c>
      <c r="G1323" s="74">
        <v>32197</v>
      </c>
      <c r="H1323" s="77">
        <v>0.375</v>
      </c>
      <c r="J1323">
        <v>35.96</v>
      </c>
      <c r="M1323" s="74">
        <v>38041</v>
      </c>
      <c r="N1323" s="77">
        <v>0.375</v>
      </c>
      <c r="P1323">
        <v>33.799999999999997</v>
      </c>
      <c r="S1323" s="74">
        <v>34754</v>
      </c>
      <c r="T1323" s="77">
        <v>0.375</v>
      </c>
      <c r="V1323">
        <v>41</v>
      </c>
      <c r="X1323" s="42"/>
      <c r="AB1323">
        <v>34.200000000000003</v>
      </c>
      <c r="AC1323">
        <v>46.04</v>
      </c>
      <c r="AE1323" s="74"/>
      <c r="AF1323" s="77"/>
      <c r="AH1323" s="497">
        <v>41.9</v>
      </c>
      <c r="AJ1323" s="42"/>
      <c r="AK1323" s="74"/>
      <c r="AL1323" s="77"/>
      <c r="AN1323" s="497">
        <v>15.079999999999998</v>
      </c>
      <c r="AP1323" s="42"/>
      <c r="AQ1323" s="74"/>
      <c r="AR1323" s="77"/>
      <c r="AT1323" s="497">
        <v>26.060000000000002</v>
      </c>
      <c r="AV1323" s="42"/>
      <c r="AW1323" s="74"/>
      <c r="AX1323" s="77"/>
      <c r="BA1323" s="497">
        <v>14</v>
      </c>
      <c r="BB1323" s="42"/>
      <c r="BC1323" s="74"/>
      <c r="BD1323" s="77"/>
      <c r="BF1323">
        <v>21.92</v>
      </c>
      <c r="BH1323" s="42"/>
      <c r="BI1323" s="74"/>
      <c r="BJ1323" s="77"/>
      <c r="BL1323" s="497">
        <v>19.939999999999998</v>
      </c>
      <c r="BN1323" s="42"/>
      <c r="BO1323" s="74"/>
      <c r="BP1323" s="77"/>
      <c r="BR1323" s="497">
        <v>19.04</v>
      </c>
      <c r="BT1323" s="42"/>
    </row>
    <row r="1324" spans="1:72" x14ac:dyDescent="0.25">
      <c r="A1324" s="90">
        <v>34754</v>
      </c>
      <c r="B1324" s="20">
        <v>0.41666666666666669</v>
      </c>
      <c r="D1324">
        <v>44.96</v>
      </c>
      <c r="E1324" t="str">
        <f t="shared" si="76"/>
        <v>WEEKDAY</v>
      </c>
      <c r="F1324" t="e">
        <f t="shared" si="77"/>
        <v>#N/A</v>
      </c>
      <c r="G1324" s="74">
        <v>32197</v>
      </c>
      <c r="H1324" s="77">
        <v>0.41666666666666669</v>
      </c>
      <c r="J1324">
        <v>35.96</v>
      </c>
      <c r="M1324" s="74">
        <v>38041</v>
      </c>
      <c r="N1324" s="77">
        <v>0.41666666666666669</v>
      </c>
      <c r="P1324">
        <v>33.799999999999997</v>
      </c>
      <c r="S1324" s="74">
        <v>34754</v>
      </c>
      <c r="T1324" s="77">
        <v>0.41666666666666669</v>
      </c>
      <c r="V1324">
        <v>44.06</v>
      </c>
      <c r="X1324" s="42"/>
      <c r="AB1324">
        <v>35.799999999999997</v>
      </c>
      <c r="AC1324">
        <v>51.980000000000004</v>
      </c>
      <c r="AE1324" s="74"/>
      <c r="AF1324" s="77"/>
      <c r="AH1324" s="497">
        <v>44.96</v>
      </c>
      <c r="AJ1324" s="42"/>
      <c r="AK1324" s="74"/>
      <c r="AL1324" s="77"/>
      <c r="AN1324" s="497">
        <v>15.98</v>
      </c>
      <c r="AP1324" s="42"/>
      <c r="AQ1324" s="74"/>
      <c r="AR1324" s="77"/>
      <c r="AT1324" s="497">
        <v>26.96</v>
      </c>
      <c r="AV1324" s="42"/>
      <c r="AW1324" s="74"/>
      <c r="AX1324" s="77"/>
      <c r="BA1324" s="497">
        <v>15.079999999999998</v>
      </c>
      <c r="BB1324" s="42"/>
      <c r="BC1324" s="74"/>
      <c r="BD1324" s="77"/>
      <c r="BF1324">
        <v>23</v>
      </c>
      <c r="BH1324" s="42"/>
      <c r="BI1324" s="74"/>
      <c r="BJ1324" s="77"/>
      <c r="BL1324" s="497">
        <v>23</v>
      </c>
      <c r="BN1324" s="42"/>
      <c r="BO1324" s="74"/>
      <c r="BP1324" s="77"/>
      <c r="BR1324" s="497">
        <v>21.92</v>
      </c>
      <c r="BT1324" s="42"/>
    </row>
    <row r="1325" spans="1:72" x14ac:dyDescent="0.25">
      <c r="A1325" s="90">
        <v>34754</v>
      </c>
      <c r="B1325" s="20">
        <v>0.45833333333333331</v>
      </c>
      <c r="D1325">
        <v>42.08</v>
      </c>
      <c r="E1325" t="str">
        <f t="shared" si="76"/>
        <v>WEEKDAY</v>
      </c>
      <c r="F1325" t="e">
        <f t="shared" si="77"/>
        <v>#N/A</v>
      </c>
      <c r="G1325" s="74">
        <v>32197</v>
      </c>
      <c r="H1325" s="77">
        <v>0.45833333333333331</v>
      </c>
      <c r="J1325">
        <v>37.04</v>
      </c>
      <c r="M1325" s="74">
        <v>38041</v>
      </c>
      <c r="N1325" s="77">
        <v>0.45833333333333331</v>
      </c>
      <c r="P1325">
        <v>33.799999999999997</v>
      </c>
      <c r="S1325" s="74">
        <v>34754</v>
      </c>
      <c r="T1325" s="77">
        <v>0.45833333333333331</v>
      </c>
      <c r="V1325">
        <v>42.08</v>
      </c>
      <c r="X1325" s="42"/>
      <c r="AB1325">
        <v>37.4</v>
      </c>
      <c r="AC1325">
        <v>53.96</v>
      </c>
      <c r="AE1325" s="74"/>
      <c r="AF1325" s="77"/>
      <c r="AH1325" s="497">
        <v>50</v>
      </c>
      <c r="AJ1325" s="42"/>
      <c r="AK1325" s="74"/>
      <c r="AL1325" s="77"/>
      <c r="AN1325" s="497">
        <v>17.96</v>
      </c>
      <c r="AP1325" s="42"/>
      <c r="AQ1325" s="74"/>
      <c r="AR1325" s="77"/>
      <c r="AT1325" s="497">
        <v>28.04</v>
      </c>
      <c r="AV1325" s="42"/>
      <c r="AW1325" s="74"/>
      <c r="AX1325" s="77"/>
      <c r="BA1325" s="497">
        <v>17.059999999999999</v>
      </c>
      <c r="BB1325" s="42"/>
      <c r="BC1325" s="74"/>
      <c r="BD1325" s="77"/>
      <c r="BF1325">
        <v>24.08</v>
      </c>
      <c r="BH1325" s="42"/>
      <c r="BI1325" s="74"/>
      <c r="BJ1325" s="77"/>
      <c r="BL1325" s="497">
        <v>24.98</v>
      </c>
      <c r="BN1325" s="42"/>
      <c r="BO1325" s="74"/>
      <c r="BP1325" s="77"/>
      <c r="BR1325" s="497">
        <v>24.08</v>
      </c>
      <c r="BT1325" s="42"/>
    </row>
    <row r="1326" spans="1:72" x14ac:dyDescent="0.25">
      <c r="A1326" s="90">
        <v>34754</v>
      </c>
      <c r="B1326" s="20">
        <v>0.5</v>
      </c>
      <c r="D1326">
        <v>44.96</v>
      </c>
      <c r="E1326" t="str">
        <f t="shared" si="76"/>
        <v>WEEKDAY</v>
      </c>
      <c r="F1326" t="e">
        <f t="shared" si="77"/>
        <v>#N/A</v>
      </c>
      <c r="G1326" s="74">
        <v>32197</v>
      </c>
      <c r="H1326" s="77">
        <v>0.5</v>
      </c>
      <c r="J1326">
        <v>39.019999999999996</v>
      </c>
      <c r="M1326" s="74">
        <v>38041</v>
      </c>
      <c r="N1326" s="77">
        <v>0.5</v>
      </c>
      <c r="P1326">
        <v>32</v>
      </c>
      <c r="S1326" s="74">
        <v>34754</v>
      </c>
      <c r="T1326" s="77">
        <v>0.5</v>
      </c>
      <c r="V1326">
        <v>44.06</v>
      </c>
      <c r="X1326" s="42"/>
      <c r="AB1326">
        <v>38.9</v>
      </c>
      <c r="AC1326">
        <v>57.019999999999996</v>
      </c>
      <c r="AE1326" s="74"/>
      <c r="AF1326" s="77"/>
      <c r="AH1326" s="497">
        <v>53.96</v>
      </c>
      <c r="AJ1326" s="42"/>
      <c r="AK1326" s="74"/>
      <c r="AL1326" s="77"/>
      <c r="AN1326" s="497">
        <v>19.04</v>
      </c>
      <c r="AP1326" s="42"/>
      <c r="AQ1326" s="74"/>
      <c r="AR1326" s="77"/>
      <c r="AT1326" s="497">
        <v>28.94</v>
      </c>
      <c r="AV1326" s="42"/>
      <c r="AW1326" s="74"/>
      <c r="AX1326" s="77"/>
      <c r="BA1326" s="497">
        <v>17.96</v>
      </c>
      <c r="BB1326" s="42"/>
      <c r="BC1326" s="74"/>
      <c r="BD1326" s="77"/>
      <c r="BF1326">
        <v>24.98</v>
      </c>
      <c r="BH1326" s="42"/>
      <c r="BI1326" s="74"/>
      <c r="BJ1326" s="77"/>
      <c r="BL1326" s="497">
        <v>26.060000000000002</v>
      </c>
      <c r="BN1326" s="42"/>
      <c r="BO1326" s="74"/>
      <c r="BP1326" s="77"/>
      <c r="BR1326" s="497">
        <v>26.060000000000002</v>
      </c>
      <c r="BT1326" s="42"/>
    </row>
    <row r="1327" spans="1:72" x14ac:dyDescent="0.25">
      <c r="A1327" s="90">
        <v>34754</v>
      </c>
      <c r="B1327" s="20">
        <v>0.54166666666666663</v>
      </c>
      <c r="D1327">
        <v>46.04</v>
      </c>
      <c r="E1327" t="str">
        <f t="shared" si="76"/>
        <v>WEEKDAY</v>
      </c>
      <c r="F1327" t="e">
        <f t="shared" si="77"/>
        <v>#N/A</v>
      </c>
      <c r="G1327" s="74">
        <v>32197</v>
      </c>
      <c r="H1327" s="77">
        <v>0.54166666666666663</v>
      </c>
      <c r="J1327">
        <v>37.94</v>
      </c>
      <c r="M1327" s="74">
        <v>38041</v>
      </c>
      <c r="N1327" s="77">
        <v>0.54166666666666663</v>
      </c>
      <c r="P1327">
        <v>30.2</v>
      </c>
      <c r="S1327" s="74">
        <v>34754</v>
      </c>
      <c r="T1327" s="77">
        <v>0.54166666666666663</v>
      </c>
      <c r="V1327">
        <v>48.019999999999996</v>
      </c>
      <c r="X1327" s="42"/>
      <c r="AB1327">
        <v>40</v>
      </c>
      <c r="AC1327">
        <v>57.92</v>
      </c>
      <c r="AE1327" s="74"/>
      <c r="AF1327" s="77"/>
      <c r="AH1327" s="497">
        <v>52.879999999999995</v>
      </c>
      <c r="AJ1327" s="42"/>
      <c r="AK1327" s="74"/>
      <c r="AL1327" s="77"/>
      <c r="AN1327" s="497">
        <v>17.96</v>
      </c>
      <c r="AP1327" s="42"/>
      <c r="AQ1327" s="74"/>
      <c r="AR1327" s="77"/>
      <c r="AT1327" s="497">
        <v>28.94</v>
      </c>
      <c r="AV1327" s="42"/>
      <c r="AW1327" s="74"/>
      <c r="AX1327" s="77"/>
      <c r="BA1327" s="497">
        <v>17.96</v>
      </c>
      <c r="BB1327" s="42"/>
      <c r="BC1327" s="74"/>
      <c r="BD1327" s="77"/>
      <c r="BF1327">
        <v>26.96</v>
      </c>
      <c r="BH1327" s="42"/>
      <c r="BI1327" s="74"/>
      <c r="BJ1327" s="77"/>
      <c r="BL1327" s="497">
        <v>26.96</v>
      </c>
      <c r="BN1327" s="42"/>
      <c r="BO1327" s="74"/>
      <c r="BP1327" s="77"/>
      <c r="BR1327" s="497">
        <v>26.060000000000002</v>
      </c>
      <c r="BT1327" s="42"/>
    </row>
    <row r="1328" spans="1:72" x14ac:dyDescent="0.25">
      <c r="A1328" s="90">
        <v>34754</v>
      </c>
      <c r="B1328" s="20">
        <v>0.58333333333333337</v>
      </c>
      <c r="D1328">
        <v>46.94</v>
      </c>
      <c r="E1328" t="str">
        <f t="shared" si="76"/>
        <v>WEEKDAY</v>
      </c>
      <c r="F1328" t="e">
        <f t="shared" si="77"/>
        <v>#N/A</v>
      </c>
      <c r="G1328" s="74">
        <v>32197</v>
      </c>
      <c r="H1328" s="77">
        <v>0.58333333333333337</v>
      </c>
      <c r="J1328">
        <v>37.04</v>
      </c>
      <c r="M1328" s="74">
        <v>38041</v>
      </c>
      <c r="N1328" s="77">
        <v>0.58333333333333337</v>
      </c>
      <c r="P1328">
        <v>30.2</v>
      </c>
      <c r="S1328" s="74">
        <v>34754</v>
      </c>
      <c r="T1328" s="77">
        <v>0.58333333333333337</v>
      </c>
      <c r="V1328">
        <v>48.92</v>
      </c>
      <c r="X1328" s="42"/>
      <c r="AB1328">
        <v>40.9</v>
      </c>
      <c r="AC1328">
        <v>53.96</v>
      </c>
      <c r="AE1328" s="74"/>
      <c r="AF1328" s="77"/>
      <c r="AH1328" s="497">
        <v>50</v>
      </c>
      <c r="AJ1328" s="42"/>
      <c r="AK1328" s="74"/>
      <c r="AL1328" s="77"/>
      <c r="AN1328" s="497">
        <v>19.04</v>
      </c>
      <c r="AP1328" s="42"/>
      <c r="AQ1328" s="74"/>
      <c r="AR1328" s="77"/>
      <c r="AT1328" s="497">
        <v>28.94</v>
      </c>
      <c r="AV1328" s="42"/>
      <c r="AW1328" s="74"/>
      <c r="AX1328" s="77"/>
      <c r="BA1328" s="497">
        <v>19.04</v>
      </c>
      <c r="BB1328" s="42"/>
      <c r="BC1328" s="74"/>
      <c r="BD1328" s="77"/>
      <c r="BF1328">
        <v>24.98</v>
      </c>
      <c r="BH1328" s="42"/>
      <c r="BI1328" s="74"/>
      <c r="BJ1328" s="77"/>
      <c r="BL1328" s="497">
        <v>26.96</v>
      </c>
      <c r="BN1328" s="42"/>
      <c r="BO1328" s="74"/>
      <c r="BP1328" s="77"/>
      <c r="BR1328" s="497">
        <v>26.96</v>
      </c>
      <c r="BT1328" s="42"/>
    </row>
    <row r="1329" spans="1:72" x14ac:dyDescent="0.25">
      <c r="A1329" s="90">
        <v>34754</v>
      </c>
      <c r="B1329" s="20">
        <v>0.625</v>
      </c>
      <c r="D1329">
        <v>46.94</v>
      </c>
      <c r="E1329" t="str">
        <f t="shared" si="76"/>
        <v>WEEKDAY</v>
      </c>
      <c r="F1329" t="e">
        <f t="shared" si="77"/>
        <v>#N/A</v>
      </c>
      <c r="G1329" s="74">
        <v>32197</v>
      </c>
      <c r="H1329" s="77">
        <v>0.625</v>
      </c>
      <c r="J1329">
        <v>37.94</v>
      </c>
      <c r="M1329" s="74">
        <v>38041</v>
      </c>
      <c r="N1329" s="77">
        <v>0.625</v>
      </c>
      <c r="P1329">
        <v>32</v>
      </c>
      <c r="S1329" s="74">
        <v>34754</v>
      </c>
      <c r="T1329" s="77">
        <v>0.625</v>
      </c>
      <c r="V1329">
        <v>46.94</v>
      </c>
      <c r="X1329" s="42"/>
      <c r="AB1329">
        <v>41.4</v>
      </c>
      <c r="AC1329">
        <v>55.040000000000006</v>
      </c>
      <c r="AE1329" s="74"/>
      <c r="AF1329" s="77"/>
      <c r="AH1329" s="497">
        <v>48.92</v>
      </c>
      <c r="AJ1329" s="42"/>
      <c r="AK1329" s="74"/>
      <c r="AL1329" s="77"/>
      <c r="AN1329" s="497">
        <v>19.04</v>
      </c>
      <c r="AP1329" s="42"/>
      <c r="AQ1329" s="74"/>
      <c r="AR1329" s="77"/>
      <c r="AT1329" s="497">
        <v>30.02</v>
      </c>
      <c r="AV1329" s="42"/>
      <c r="AW1329" s="74"/>
      <c r="AX1329" s="77"/>
      <c r="BA1329" s="497">
        <v>19.04</v>
      </c>
      <c r="BB1329" s="42"/>
      <c r="BC1329" s="74"/>
      <c r="BD1329" s="77"/>
      <c r="BF1329">
        <v>26.96</v>
      </c>
      <c r="BH1329" s="42"/>
      <c r="BI1329" s="74"/>
      <c r="BJ1329" s="77"/>
      <c r="BL1329" s="497">
        <v>26.060000000000002</v>
      </c>
      <c r="BN1329" s="42"/>
      <c r="BO1329" s="74"/>
      <c r="BP1329" s="77"/>
      <c r="BR1329" s="497">
        <v>26.96</v>
      </c>
      <c r="BT1329" s="42"/>
    </row>
    <row r="1330" spans="1:72" x14ac:dyDescent="0.25">
      <c r="A1330" s="90">
        <v>34754</v>
      </c>
      <c r="B1330" s="20">
        <v>0.66666666666666663</v>
      </c>
      <c r="D1330">
        <v>44.96</v>
      </c>
      <c r="E1330" t="str">
        <f t="shared" si="76"/>
        <v>WEEKDAY</v>
      </c>
      <c r="F1330" t="e">
        <f t="shared" si="77"/>
        <v>#N/A</v>
      </c>
      <c r="G1330" s="74">
        <v>32197</v>
      </c>
      <c r="H1330" s="77">
        <v>0.66666666666666663</v>
      </c>
      <c r="J1330">
        <v>37.04</v>
      </c>
      <c r="M1330" s="74">
        <v>38041</v>
      </c>
      <c r="N1330" s="77">
        <v>0.66666666666666663</v>
      </c>
      <c r="P1330">
        <v>30.2</v>
      </c>
      <c r="S1330" s="74">
        <v>34754</v>
      </c>
      <c r="T1330" s="77">
        <v>0.66666666666666663</v>
      </c>
      <c r="V1330">
        <v>46.04</v>
      </c>
      <c r="X1330" s="42"/>
      <c r="AB1330">
        <v>41.6</v>
      </c>
      <c r="AC1330">
        <v>53.96</v>
      </c>
      <c r="AE1330" s="74"/>
      <c r="AF1330" s="77"/>
      <c r="AH1330" s="497">
        <v>46.94</v>
      </c>
      <c r="AJ1330" s="42"/>
      <c r="AK1330" s="74"/>
      <c r="AL1330" s="77"/>
      <c r="AN1330" s="497">
        <v>17.96</v>
      </c>
      <c r="AP1330" s="42"/>
      <c r="AQ1330" s="74"/>
      <c r="AR1330" s="77"/>
      <c r="AT1330" s="497">
        <v>28.94</v>
      </c>
      <c r="AV1330" s="42"/>
      <c r="AW1330" s="74"/>
      <c r="AX1330" s="77"/>
      <c r="BA1330" s="497">
        <v>19.939999999999998</v>
      </c>
      <c r="BB1330" s="42"/>
      <c r="BC1330" s="74"/>
      <c r="BD1330" s="77"/>
      <c r="BF1330">
        <v>28.04</v>
      </c>
      <c r="BH1330" s="42"/>
      <c r="BI1330" s="74"/>
      <c r="BJ1330" s="77"/>
      <c r="BL1330" s="497">
        <v>24.08</v>
      </c>
      <c r="BN1330" s="42"/>
      <c r="BO1330" s="74"/>
      <c r="BP1330" s="77"/>
      <c r="BR1330" s="497">
        <v>26.96</v>
      </c>
      <c r="BT1330" s="42"/>
    </row>
    <row r="1331" spans="1:72" x14ac:dyDescent="0.25">
      <c r="A1331" s="90">
        <v>34754</v>
      </c>
      <c r="B1331" s="20">
        <v>0.70833333333333337</v>
      </c>
      <c r="D1331">
        <v>42.08</v>
      </c>
      <c r="E1331" t="str">
        <f t="shared" si="76"/>
        <v>WEEKDAY</v>
      </c>
      <c r="F1331" t="e">
        <f t="shared" si="77"/>
        <v>#N/A</v>
      </c>
      <c r="G1331" s="74">
        <v>32197</v>
      </c>
      <c r="H1331" s="77">
        <v>0.70833333333333337</v>
      </c>
      <c r="J1331">
        <v>35.96</v>
      </c>
      <c r="M1331" s="74">
        <v>38041</v>
      </c>
      <c r="N1331" s="77">
        <v>0.70833333333333337</v>
      </c>
      <c r="P1331">
        <v>28.4</v>
      </c>
      <c r="S1331" s="74">
        <v>34754</v>
      </c>
      <c r="T1331" s="77">
        <v>0.70833333333333337</v>
      </c>
      <c r="V1331">
        <v>44.06</v>
      </c>
      <c r="X1331" s="42"/>
      <c r="AB1331">
        <v>41.2</v>
      </c>
      <c r="AC1331">
        <v>51.980000000000004</v>
      </c>
      <c r="AE1331" s="74"/>
      <c r="AF1331" s="77"/>
      <c r="AH1331" s="497">
        <v>46.94</v>
      </c>
      <c r="AJ1331" s="42"/>
      <c r="AK1331" s="74"/>
      <c r="AL1331" s="77"/>
      <c r="AN1331" s="497">
        <v>17.96</v>
      </c>
      <c r="AP1331" s="42"/>
      <c r="AQ1331" s="74"/>
      <c r="AR1331" s="77"/>
      <c r="AT1331" s="497">
        <v>28.94</v>
      </c>
      <c r="AV1331" s="42"/>
      <c r="AW1331" s="74"/>
      <c r="AX1331" s="77"/>
      <c r="BA1331" s="497">
        <v>19.04</v>
      </c>
      <c r="BB1331" s="42"/>
      <c r="BC1331" s="74"/>
      <c r="BD1331" s="77"/>
      <c r="BF1331">
        <v>26.060000000000002</v>
      </c>
      <c r="BH1331" s="42"/>
      <c r="BI1331" s="74"/>
      <c r="BJ1331" s="77"/>
      <c r="BL1331" s="497">
        <v>24.98</v>
      </c>
      <c r="BN1331" s="42"/>
      <c r="BO1331" s="74"/>
      <c r="BP1331" s="77"/>
      <c r="BR1331" s="497">
        <v>26.060000000000002</v>
      </c>
      <c r="BT1331" s="42"/>
    </row>
    <row r="1332" spans="1:72" x14ac:dyDescent="0.25">
      <c r="A1332" s="90">
        <v>34754</v>
      </c>
      <c r="B1332" s="20">
        <v>0.75</v>
      </c>
      <c r="D1332">
        <v>39.92</v>
      </c>
      <c r="E1332" t="str">
        <f t="shared" si="76"/>
        <v>WEEKDAY</v>
      </c>
      <c r="F1332" t="e">
        <f t="shared" si="77"/>
        <v>#N/A</v>
      </c>
      <c r="G1332" s="74">
        <v>32197</v>
      </c>
      <c r="H1332" s="77">
        <v>0.75</v>
      </c>
      <c r="J1332">
        <v>35.06</v>
      </c>
      <c r="M1332" s="74">
        <v>38041</v>
      </c>
      <c r="N1332" s="77">
        <v>0.75</v>
      </c>
      <c r="P1332">
        <v>28.4</v>
      </c>
      <c r="S1332" s="74">
        <v>34754</v>
      </c>
      <c r="T1332" s="77">
        <v>0.75</v>
      </c>
      <c r="V1332">
        <v>42.08</v>
      </c>
      <c r="X1332" s="42"/>
      <c r="AB1332">
        <v>40.200000000000003</v>
      </c>
      <c r="AC1332">
        <v>48.019999999999996</v>
      </c>
      <c r="AE1332" s="74"/>
      <c r="AF1332" s="77"/>
      <c r="AH1332" s="497">
        <v>43.879999999999995</v>
      </c>
      <c r="AJ1332" s="42"/>
      <c r="AK1332" s="74"/>
      <c r="AL1332" s="77"/>
      <c r="AN1332" s="497">
        <v>15.98</v>
      </c>
      <c r="AP1332" s="42"/>
      <c r="AQ1332" s="74"/>
      <c r="AR1332" s="77"/>
      <c r="AT1332" s="497">
        <v>26.96</v>
      </c>
      <c r="AV1332" s="42"/>
      <c r="AW1332" s="74"/>
      <c r="AX1332" s="77"/>
      <c r="BA1332" s="497">
        <v>19.04</v>
      </c>
      <c r="BB1332" s="42"/>
      <c r="BC1332" s="74"/>
      <c r="BD1332" s="77"/>
      <c r="BF1332">
        <v>24.08</v>
      </c>
      <c r="BH1332" s="42"/>
      <c r="BI1332" s="74"/>
      <c r="BJ1332" s="77"/>
      <c r="BL1332" s="497">
        <v>23</v>
      </c>
      <c r="BN1332" s="42"/>
      <c r="BO1332" s="74"/>
      <c r="BP1332" s="77"/>
      <c r="BR1332" s="497">
        <v>24.98</v>
      </c>
      <c r="BT1332" s="42"/>
    </row>
    <row r="1333" spans="1:72" x14ac:dyDescent="0.25">
      <c r="A1333" s="90">
        <v>34754</v>
      </c>
      <c r="B1333" s="20">
        <v>0.79166666666666663</v>
      </c>
      <c r="D1333">
        <v>37.94</v>
      </c>
      <c r="E1333" t="str">
        <f t="shared" si="76"/>
        <v>WEEKDAY</v>
      </c>
      <c r="F1333" t="e">
        <f t="shared" si="77"/>
        <v>#N/A</v>
      </c>
      <c r="G1333" s="74">
        <v>32197</v>
      </c>
      <c r="H1333" s="77">
        <v>0.79166666666666663</v>
      </c>
      <c r="J1333">
        <v>33.979999999999997</v>
      </c>
      <c r="M1333" s="74">
        <v>38041</v>
      </c>
      <c r="N1333" s="77">
        <v>0.79166666666666663</v>
      </c>
      <c r="P1333">
        <v>28.4</v>
      </c>
      <c r="S1333" s="74">
        <v>34754</v>
      </c>
      <c r="T1333" s="77">
        <v>0.79166666666666663</v>
      </c>
      <c r="V1333">
        <v>37.94</v>
      </c>
      <c r="X1333" s="42"/>
      <c r="AB1333">
        <v>38.9</v>
      </c>
      <c r="AC1333">
        <v>44.96</v>
      </c>
      <c r="AE1333" s="74"/>
      <c r="AF1333" s="77"/>
      <c r="AH1333" s="497">
        <v>44.96</v>
      </c>
      <c r="AJ1333" s="42"/>
      <c r="AK1333" s="74"/>
      <c r="AL1333" s="77"/>
      <c r="AN1333" s="497">
        <v>15.98</v>
      </c>
      <c r="AP1333" s="42"/>
      <c r="AQ1333" s="74"/>
      <c r="AR1333" s="77"/>
      <c r="AT1333" s="497">
        <v>24.98</v>
      </c>
      <c r="AV1333" s="42"/>
      <c r="AW1333" s="74"/>
      <c r="AX1333" s="77"/>
      <c r="BA1333" s="497">
        <v>17.059999999999999</v>
      </c>
      <c r="BB1333" s="42"/>
      <c r="BC1333" s="74"/>
      <c r="BD1333" s="77"/>
      <c r="BF1333">
        <v>23</v>
      </c>
      <c r="BH1333" s="42"/>
      <c r="BI1333" s="74"/>
      <c r="BJ1333" s="77"/>
      <c r="BL1333" s="497">
        <v>23</v>
      </c>
      <c r="BN1333" s="42"/>
      <c r="BO1333" s="74"/>
      <c r="BP1333" s="77"/>
      <c r="BR1333" s="497">
        <v>23</v>
      </c>
      <c r="BT1333" s="42"/>
    </row>
    <row r="1334" spans="1:72" x14ac:dyDescent="0.25">
      <c r="A1334" s="90">
        <v>34754</v>
      </c>
      <c r="B1334" s="20">
        <v>0.83333333333333337</v>
      </c>
      <c r="D1334">
        <v>35.06</v>
      </c>
      <c r="E1334" t="str">
        <f t="shared" si="76"/>
        <v>WEEKDAY</v>
      </c>
      <c r="F1334" t="e">
        <f t="shared" si="77"/>
        <v>#N/A</v>
      </c>
      <c r="G1334" s="74">
        <v>32197</v>
      </c>
      <c r="H1334" s="77">
        <v>0.83333333333333337</v>
      </c>
      <c r="J1334">
        <v>33.08</v>
      </c>
      <c r="M1334" s="74">
        <v>38041</v>
      </c>
      <c r="N1334" s="77">
        <v>0.83333333333333337</v>
      </c>
      <c r="P1334">
        <v>28.4</v>
      </c>
      <c r="S1334" s="74">
        <v>34754</v>
      </c>
      <c r="T1334" s="77">
        <v>0.83333333333333337</v>
      </c>
      <c r="V1334">
        <v>35.96</v>
      </c>
      <c r="X1334" s="42"/>
      <c r="AB1334">
        <v>38.299999999999997</v>
      </c>
      <c r="AC1334">
        <v>44.96</v>
      </c>
      <c r="AE1334" s="74"/>
      <c r="AF1334" s="77"/>
      <c r="AH1334" s="497">
        <v>43.879999999999995</v>
      </c>
      <c r="AJ1334" s="42"/>
      <c r="AK1334" s="74"/>
      <c r="AL1334" s="77"/>
      <c r="AN1334" s="497">
        <v>15.079999999999998</v>
      </c>
      <c r="AP1334" s="42"/>
      <c r="AQ1334" s="74"/>
      <c r="AR1334" s="77"/>
      <c r="AT1334" s="497">
        <v>21.02</v>
      </c>
      <c r="AV1334" s="42"/>
      <c r="AW1334" s="74"/>
      <c r="AX1334" s="77"/>
      <c r="BA1334" s="497">
        <v>17.059999999999999</v>
      </c>
      <c r="BB1334" s="42"/>
      <c r="BC1334" s="74"/>
      <c r="BD1334" s="77"/>
      <c r="BF1334">
        <v>24.08</v>
      </c>
      <c r="BH1334" s="42"/>
      <c r="BI1334" s="74"/>
      <c r="BJ1334" s="77"/>
      <c r="BL1334" s="497">
        <v>23</v>
      </c>
      <c r="BN1334" s="42"/>
      <c r="BO1334" s="74"/>
      <c r="BP1334" s="77"/>
      <c r="BR1334" s="497">
        <v>21.92</v>
      </c>
      <c r="BT1334" s="42"/>
    </row>
    <row r="1335" spans="1:72" x14ac:dyDescent="0.25">
      <c r="A1335" s="90">
        <v>34754</v>
      </c>
      <c r="B1335" s="20">
        <v>0.875</v>
      </c>
      <c r="D1335">
        <v>33.979999999999997</v>
      </c>
      <c r="E1335" t="str">
        <f t="shared" si="76"/>
        <v>WEEKDAY</v>
      </c>
      <c r="F1335" t="e">
        <f t="shared" si="77"/>
        <v>#N/A</v>
      </c>
      <c r="G1335" s="74">
        <v>32197</v>
      </c>
      <c r="H1335" s="77">
        <v>0.875</v>
      </c>
      <c r="J1335">
        <v>33.08</v>
      </c>
      <c r="M1335" s="74">
        <v>38041</v>
      </c>
      <c r="N1335" s="77">
        <v>0.875</v>
      </c>
      <c r="P1335">
        <v>26.6</v>
      </c>
      <c r="S1335" s="74">
        <v>34754</v>
      </c>
      <c r="T1335" s="77">
        <v>0.875</v>
      </c>
      <c r="V1335">
        <v>33.979999999999997</v>
      </c>
      <c r="X1335" s="42"/>
      <c r="AB1335">
        <v>37.700000000000003</v>
      </c>
      <c r="AC1335">
        <v>44.96</v>
      </c>
      <c r="AE1335" s="74"/>
      <c r="AF1335" s="77"/>
      <c r="AH1335" s="497">
        <v>41.9</v>
      </c>
      <c r="AJ1335" s="42"/>
      <c r="AK1335" s="74"/>
      <c r="AL1335" s="77"/>
      <c r="AN1335" s="497">
        <v>15.079999999999998</v>
      </c>
      <c r="AP1335" s="42"/>
      <c r="AQ1335" s="74"/>
      <c r="AR1335" s="77"/>
      <c r="AT1335" s="497">
        <v>19.939999999999998</v>
      </c>
      <c r="AV1335" s="42"/>
      <c r="AW1335" s="74"/>
      <c r="AX1335" s="77"/>
      <c r="BA1335" s="497">
        <v>17.059999999999999</v>
      </c>
      <c r="BB1335" s="42"/>
      <c r="BC1335" s="74"/>
      <c r="BD1335" s="77"/>
      <c r="BF1335">
        <v>23</v>
      </c>
      <c r="BH1335" s="42"/>
      <c r="BI1335" s="74"/>
      <c r="BJ1335" s="77"/>
      <c r="BL1335" s="497">
        <v>21.92</v>
      </c>
      <c r="BN1335" s="42"/>
      <c r="BO1335" s="74"/>
      <c r="BP1335" s="77"/>
      <c r="BR1335" s="497">
        <v>21.92</v>
      </c>
      <c r="BT1335" s="42"/>
    </row>
    <row r="1336" spans="1:72" x14ac:dyDescent="0.25">
      <c r="A1336" s="90">
        <v>34754</v>
      </c>
      <c r="B1336" s="20">
        <v>0.91666666666666663</v>
      </c>
      <c r="D1336">
        <v>32</v>
      </c>
      <c r="E1336" t="str">
        <f t="shared" si="76"/>
        <v>WEEKDAY</v>
      </c>
      <c r="F1336" t="e">
        <f t="shared" si="77"/>
        <v>#N/A</v>
      </c>
      <c r="G1336" s="74">
        <v>32197</v>
      </c>
      <c r="H1336" s="77">
        <v>0.91666666666666663</v>
      </c>
      <c r="J1336">
        <v>32</v>
      </c>
      <c r="M1336" s="74">
        <v>38041</v>
      </c>
      <c r="N1336" s="77">
        <v>0.91666666666666663</v>
      </c>
      <c r="P1336">
        <v>26.6</v>
      </c>
      <c r="S1336" s="74">
        <v>34754</v>
      </c>
      <c r="T1336" s="77">
        <v>0.91666666666666663</v>
      </c>
      <c r="V1336">
        <v>33.08</v>
      </c>
      <c r="X1336" s="42"/>
      <c r="AB1336">
        <v>37.1</v>
      </c>
      <c r="AC1336">
        <v>46.04</v>
      </c>
      <c r="AE1336" s="74"/>
      <c r="AF1336" s="77"/>
      <c r="AH1336" s="497">
        <v>43.879999999999995</v>
      </c>
      <c r="AJ1336" s="42"/>
      <c r="AK1336" s="74"/>
      <c r="AL1336" s="77"/>
      <c r="AN1336" s="497">
        <v>14</v>
      </c>
      <c r="AP1336" s="42"/>
      <c r="AQ1336" s="74"/>
      <c r="AR1336" s="77"/>
      <c r="AT1336" s="497">
        <v>19.939999999999998</v>
      </c>
      <c r="AV1336" s="42"/>
      <c r="AW1336" s="74"/>
      <c r="AX1336" s="77"/>
      <c r="BA1336" s="497">
        <v>15.98</v>
      </c>
      <c r="BB1336" s="42"/>
      <c r="BC1336" s="74"/>
      <c r="BD1336" s="77"/>
      <c r="BF1336">
        <v>21.92</v>
      </c>
      <c r="BH1336" s="42"/>
      <c r="BI1336" s="74"/>
      <c r="BJ1336" s="77"/>
      <c r="BL1336" s="497">
        <v>23</v>
      </c>
      <c r="BN1336" s="42"/>
      <c r="BO1336" s="74"/>
      <c r="BP1336" s="77"/>
      <c r="BR1336" s="497">
        <v>21.92</v>
      </c>
      <c r="BT1336" s="42"/>
    </row>
    <row r="1337" spans="1:72" x14ac:dyDescent="0.25">
      <c r="A1337" s="90">
        <v>34754</v>
      </c>
      <c r="B1337" s="20">
        <v>0.95833333333333337</v>
      </c>
      <c r="D1337">
        <v>30.02</v>
      </c>
      <c r="E1337" t="str">
        <f t="shared" si="76"/>
        <v>WEEKDAY</v>
      </c>
      <c r="F1337" t="e">
        <f t="shared" si="77"/>
        <v>#N/A</v>
      </c>
      <c r="G1337" s="74">
        <v>32197</v>
      </c>
      <c r="H1337" s="77">
        <v>0.95833333333333337</v>
      </c>
      <c r="J1337">
        <v>32</v>
      </c>
      <c r="M1337" s="74">
        <v>38041</v>
      </c>
      <c r="N1337" s="77">
        <v>0.95833333333333337</v>
      </c>
      <c r="P1337">
        <v>24.8</v>
      </c>
      <c r="S1337" s="74">
        <v>34754</v>
      </c>
      <c r="T1337" s="77">
        <v>0.95833333333333337</v>
      </c>
      <c r="V1337">
        <v>30.02</v>
      </c>
      <c r="X1337" s="42"/>
      <c r="AB1337">
        <v>36.5</v>
      </c>
      <c r="AC1337">
        <v>44.06</v>
      </c>
      <c r="AE1337" s="74"/>
      <c r="AF1337" s="77"/>
      <c r="AH1337" s="497">
        <v>44.96</v>
      </c>
      <c r="AJ1337" s="42"/>
      <c r="AK1337" s="74"/>
      <c r="AL1337" s="77"/>
      <c r="AN1337" s="497">
        <v>14</v>
      </c>
      <c r="AP1337" s="42"/>
      <c r="AQ1337" s="74"/>
      <c r="AR1337" s="77"/>
      <c r="AT1337" s="497">
        <v>21.92</v>
      </c>
      <c r="AV1337" s="42"/>
      <c r="AW1337" s="74"/>
      <c r="AX1337" s="77"/>
      <c r="BA1337" s="497">
        <v>15.079999999999998</v>
      </c>
      <c r="BB1337" s="42"/>
      <c r="BC1337" s="74"/>
      <c r="BD1337" s="77"/>
      <c r="BF1337">
        <v>21.02</v>
      </c>
      <c r="BH1337" s="42"/>
      <c r="BI1337" s="74"/>
      <c r="BJ1337" s="77"/>
      <c r="BL1337" s="497">
        <v>21.92</v>
      </c>
      <c r="BN1337" s="42"/>
      <c r="BO1337" s="74"/>
      <c r="BP1337" s="77"/>
      <c r="BR1337" s="497">
        <v>21.92</v>
      </c>
      <c r="BT1337" s="42"/>
    </row>
    <row r="1338" spans="1:72" x14ac:dyDescent="0.25">
      <c r="A1338" s="90">
        <v>34754</v>
      </c>
      <c r="B1338" s="20">
        <v>1</v>
      </c>
      <c r="D1338">
        <v>28.04</v>
      </c>
      <c r="E1338" t="str">
        <f t="shared" si="76"/>
        <v>WEEKDAY</v>
      </c>
      <c r="F1338" t="e">
        <f t="shared" si="77"/>
        <v>#N/A</v>
      </c>
      <c r="G1338" s="74">
        <v>32197</v>
      </c>
      <c r="H1338" s="77">
        <v>1</v>
      </c>
      <c r="J1338">
        <v>32</v>
      </c>
      <c r="M1338" s="74">
        <v>38041</v>
      </c>
      <c r="N1338" s="80">
        <v>1</v>
      </c>
      <c r="P1338">
        <v>24.8</v>
      </c>
      <c r="S1338" s="74">
        <v>34754</v>
      </c>
      <c r="T1338" s="80">
        <v>1</v>
      </c>
      <c r="V1338">
        <v>28.04</v>
      </c>
      <c r="X1338" s="42"/>
      <c r="AB1338">
        <v>35.9</v>
      </c>
      <c r="AC1338">
        <v>42.08</v>
      </c>
      <c r="AE1338" s="74"/>
      <c r="AF1338" s="80"/>
      <c r="AH1338" s="497">
        <v>45.86</v>
      </c>
      <c r="AJ1338" s="42"/>
      <c r="AK1338" s="74"/>
      <c r="AL1338" s="80"/>
      <c r="AN1338" s="497">
        <v>12.02</v>
      </c>
      <c r="AP1338" s="42"/>
      <c r="AQ1338" s="74"/>
      <c r="AR1338" s="80"/>
      <c r="AT1338" s="497">
        <v>21.02</v>
      </c>
      <c r="AV1338" s="42"/>
      <c r="AW1338" s="74"/>
      <c r="AX1338" s="80"/>
      <c r="BA1338" s="497">
        <v>15.079999999999998</v>
      </c>
      <c r="BB1338" s="42"/>
      <c r="BC1338" s="74"/>
      <c r="BD1338" s="80"/>
      <c r="BF1338">
        <v>21.02</v>
      </c>
      <c r="BH1338" s="42"/>
      <c r="BI1338" s="74"/>
      <c r="BJ1338" s="80"/>
      <c r="BL1338" s="497">
        <v>21.02</v>
      </c>
      <c r="BN1338" s="42"/>
      <c r="BO1338" s="74"/>
      <c r="BP1338" s="80"/>
      <c r="BR1338" s="497">
        <v>21.02</v>
      </c>
      <c r="BT1338" s="42"/>
    </row>
    <row r="1339" spans="1:72" x14ac:dyDescent="0.25">
      <c r="A1339" s="90">
        <v>34755</v>
      </c>
      <c r="B1339" s="20">
        <v>4.1666666666666664E-2</v>
      </c>
      <c r="D1339">
        <v>28.04</v>
      </c>
      <c r="E1339" t="str">
        <f t="shared" si="76"/>
        <v>SATURDAY</v>
      </c>
      <c r="F1339" t="e">
        <f t="shared" si="77"/>
        <v>#N/A</v>
      </c>
      <c r="G1339" s="74">
        <v>32198</v>
      </c>
      <c r="H1339" s="77">
        <v>4.1666666666666664E-2</v>
      </c>
      <c r="J1339">
        <v>32</v>
      </c>
      <c r="M1339" s="74">
        <v>38042</v>
      </c>
      <c r="N1339" s="77">
        <v>4.1666666666666664E-2</v>
      </c>
      <c r="P1339">
        <v>24.8</v>
      </c>
      <c r="S1339" s="74">
        <v>34755</v>
      </c>
      <c r="T1339" s="77">
        <v>4.1666666666666664E-2</v>
      </c>
      <c r="V1339">
        <v>26.96</v>
      </c>
      <c r="X1339" s="42"/>
      <c r="AB1339">
        <v>35.4</v>
      </c>
      <c r="AC1339">
        <v>42.08</v>
      </c>
      <c r="AE1339" s="74"/>
      <c r="AF1339" s="77"/>
      <c r="AH1339" s="497">
        <v>45.86</v>
      </c>
      <c r="AJ1339" s="42"/>
      <c r="AK1339" s="74"/>
      <c r="AL1339" s="77"/>
      <c r="AN1339" s="497">
        <v>10.940000000000001</v>
      </c>
      <c r="AP1339" s="42"/>
      <c r="AQ1339" s="74"/>
      <c r="AR1339" s="77"/>
      <c r="AT1339" s="497">
        <v>19.939999999999998</v>
      </c>
      <c r="AV1339" s="42"/>
      <c r="AW1339" s="74"/>
      <c r="AX1339" s="77"/>
      <c r="BA1339" s="497">
        <v>15.079999999999998</v>
      </c>
      <c r="BB1339" s="42"/>
      <c r="BC1339" s="74"/>
      <c r="BD1339" s="77"/>
      <c r="BF1339">
        <v>19.939999999999998</v>
      </c>
      <c r="BH1339" s="42"/>
      <c r="BI1339" s="74"/>
      <c r="BJ1339" s="77"/>
      <c r="BL1339" s="497">
        <v>19.939999999999998</v>
      </c>
      <c r="BN1339" s="42"/>
      <c r="BO1339" s="74"/>
      <c r="BP1339" s="77"/>
      <c r="BR1339" s="497">
        <v>19.939999999999998</v>
      </c>
      <c r="BT1339" s="42"/>
    </row>
    <row r="1340" spans="1:72" x14ac:dyDescent="0.25">
      <c r="A1340" s="90">
        <v>34755</v>
      </c>
      <c r="B1340" s="20">
        <v>8.3333333333333329E-2</v>
      </c>
      <c r="D1340">
        <v>26.96</v>
      </c>
      <c r="E1340" t="str">
        <f t="shared" si="76"/>
        <v>SATURDAY</v>
      </c>
      <c r="F1340" t="e">
        <f t="shared" si="77"/>
        <v>#N/A</v>
      </c>
      <c r="G1340" s="74">
        <v>32198</v>
      </c>
      <c r="H1340" s="77">
        <v>8.3333333333333329E-2</v>
      </c>
      <c r="J1340">
        <v>32</v>
      </c>
      <c r="M1340" s="74">
        <v>38042</v>
      </c>
      <c r="N1340" s="77">
        <v>8.3333333333333329E-2</v>
      </c>
      <c r="P1340">
        <v>24.8</v>
      </c>
      <c r="S1340" s="74">
        <v>34755</v>
      </c>
      <c r="T1340" s="77">
        <v>8.3333333333333329E-2</v>
      </c>
      <c r="V1340">
        <v>26.96</v>
      </c>
      <c r="X1340" s="42"/>
      <c r="AB1340">
        <v>34.9</v>
      </c>
      <c r="AC1340">
        <v>39.92</v>
      </c>
      <c r="AE1340" s="74"/>
      <c r="AF1340" s="77"/>
      <c r="AH1340" s="497">
        <v>46.94</v>
      </c>
      <c r="AJ1340" s="42"/>
      <c r="AK1340" s="74"/>
      <c r="AL1340" s="77"/>
      <c r="AN1340" s="497">
        <v>8.9599999999999973</v>
      </c>
      <c r="AP1340" s="42"/>
      <c r="AQ1340" s="74"/>
      <c r="AR1340" s="77"/>
      <c r="AT1340" s="497">
        <v>17.96</v>
      </c>
      <c r="AV1340" s="42"/>
      <c r="AW1340" s="74"/>
      <c r="AX1340" s="77"/>
      <c r="BA1340" s="497">
        <v>14</v>
      </c>
      <c r="BB1340" s="42"/>
      <c r="BC1340" s="74"/>
      <c r="BD1340" s="77"/>
      <c r="BF1340">
        <v>19.04</v>
      </c>
      <c r="BH1340" s="42"/>
      <c r="BI1340" s="74"/>
      <c r="BJ1340" s="77"/>
      <c r="BL1340" s="497">
        <v>19.939999999999998</v>
      </c>
      <c r="BN1340" s="42"/>
      <c r="BO1340" s="74"/>
      <c r="BP1340" s="77"/>
      <c r="BR1340" s="497">
        <v>19.939999999999998</v>
      </c>
      <c r="BT1340" s="42"/>
    </row>
    <row r="1341" spans="1:72" x14ac:dyDescent="0.25">
      <c r="A1341" s="90">
        <v>34755</v>
      </c>
      <c r="B1341" s="20">
        <v>0.125</v>
      </c>
      <c r="D1341">
        <v>26.060000000000002</v>
      </c>
      <c r="E1341" t="str">
        <f t="shared" si="76"/>
        <v>SATURDAY</v>
      </c>
      <c r="F1341" t="e">
        <f t="shared" si="77"/>
        <v>#N/A</v>
      </c>
      <c r="G1341" s="74">
        <v>32198</v>
      </c>
      <c r="H1341" s="77">
        <v>0.125</v>
      </c>
      <c r="J1341">
        <v>30.92</v>
      </c>
      <c r="M1341" s="74">
        <v>38042</v>
      </c>
      <c r="N1341" s="77">
        <v>0.125</v>
      </c>
      <c r="P1341">
        <v>21.2</v>
      </c>
      <c r="S1341" s="74">
        <v>34755</v>
      </c>
      <c r="T1341" s="77">
        <v>0.125</v>
      </c>
      <c r="V1341">
        <v>26.060000000000002</v>
      </c>
      <c r="X1341" s="42"/>
      <c r="AB1341">
        <v>34.4</v>
      </c>
      <c r="AC1341">
        <v>42.08</v>
      </c>
      <c r="AE1341" s="74"/>
      <c r="AF1341" s="77"/>
      <c r="AH1341" s="497">
        <v>46.94</v>
      </c>
      <c r="AJ1341" s="42"/>
      <c r="AK1341" s="74"/>
      <c r="AL1341" s="77"/>
      <c r="AN1341" s="497">
        <v>8.0599999999999987</v>
      </c>
      <c r="AP1341" s="42"/>
      <c r="AQ1341" s="74"/>
      <c r="AR1341" s="77"/>
      <c r="AT1341" s="497">
        <v>19.04</v>
      </c>
      <c r="AV1341" s="42"/>
      <c r="AW1341" s="74"/>
      <c r="AX1341" s="77"/>
      <c r="BA1341" s="497">
        <v>10.940000000000001</v>
      </c>
      <c r="BB1341" s="42"/>
      <c r="BC1341" s="74"/>
      <c r="BD1341" s="77"/>
      <c r="BF1341">
        <v>17.96</v>
      </c>
      <c r="BH1341" s="42"/>
      <c r="BI1341" s="74"/>
      <c r="BJ1341" s="77"/>
      <c r="BL1341" s="497">
        <v>19.04</v>
      </c>
      <c r="BN1341" s="42"/>
      <c r="BO1341" s="74"/>
      <c r="BP1341" s="77"/>
      <c r="BR1341" s="497">
        <v>19.939999999999998</v>
      </c>
      <c r="BT1341" s="42"/>
    </row>
    <row r="1342" spans="1:72" x14ac:dyDescent="0.25">
      <c r="A1342" s="90">
        <v>34755</v>
      </c>
      <c r="B1342" s="20">
        <v>0.16666666666666666</v>
      </c>
      <c r="D1342">
        <v>24.08</v>
      </c>
      <c r="E1342" t="str">
        <f t="shared" si="76"/>
        <v>SATURDAY</v>
      </c>
      <c r="F1342" t="e">
        <f t="shared" si="77"/>
        <v>#N/A</v>
      </c>
      <c r="G1342" s="74">
        <v>32198</v>
      </c>
      <c r="H1342" s="77">
        <v>0.16666666666666666</v>
      </c>
      <c r="J1342">
        <v>30.02</v>
      </c>
      <c r="M1342" s="74">
        <v>38042</v>
      </c>
      <c r="N1342" s="77">
        <v>0.16666666666666666</v>
      </c>
      <c r="P1342">
        <v>21.2</v>
      </c>
      <c r="S1342" s="74">
        <v>34755</v>
      </c>
      <c r="T1342" s="77">
        <v>0.16666666666666666</v>
      </c>
      <c r="V1342">
        <v>24.98</v>
      </c>
      <c r="X1342" s="42"/>
      <c r="AB1342">
        <v>33.9</v>
      </c>
      <c r="AC1342">
        <v>42.08</v>
      </c>
      <c r="AE1342" s="74"/>
      <c r="AF1342" s="77"/>
      <c r="AH1342" s="497">
        <v>46.94</v>
      </c>
      <c r="AJ1342" s="42"/>
      <c r="AK1342" s="74"/>
      <c r="AL1342" s="77"/>
      <c r="AN1342" s="497">
        <v>6.98</v>
      </c>
      <c r="AP1342" s="42"/>
      <c r="AQ1342" s="74"/>
      <c r="AR1342" s="77"/>
      <c r="AT1342" s="497">
        <v>15.98</v>
      </c>
      <c r="AV1342" s="42"/>
      <c r="AW1342" s="74"/>
      <c r="AX1342" s="77"/>
      <c r="BA1342" s="497">
        <v>10.039999999999999</v>
      </c>
      <c r="BB1342" s="42"/>
      <c r="BC1342" s="74"/>
      <c r="BD1342" s="77"/>
      <c r="BF1342">
        <v>17.059999999999999</v>
      </c>
      <c r="BH1342" s="42"/>
      <c r="BI1342" s="74"/>
      <c r="BJ1342" s="77"/>
      <c r="BL1342" s="497">
        <v>17.96</v>
      </c>
      <c r="BN1342" s="42"/>
      <c r="BO1342" s="74"/>
      <c r="BP1342" s="77"/>
      <c r="BR1342" s="497">
        <v>19.939999999999998</v>
      </c>
      <c r="BT1342" s="42"/>
    </row>
    <row r="1343" spans="1:72" x14ac:dyDescent="0.25">
      <c r="A1343" s="90">
        <v>34755</v>
      </c>
      <c r="B1343" s="20">
        <v>0.20833333333333334</v>
      </c>
      <c r="D1343">
        <v>24.08</v>
      </c>
      <c r="E1343" t="str">
        <f t="shared" si="76"/>
        <v>SATURDAY</v>
      </c>
      <c r="F1343" t="e">
        <f t="shared" si="77"/>
        <v>#N/A</v>
      </c>
      <c r="G1343" s="74">
        <v>32198</v>
      </c>
      <c r="H1343" s="77">
        <v>0.20833333333333334</v>
      </c>
      <c r="J1343">
        <v>28.94</v>
      </c>
      <c r="M1343" s="74">
        <v>38042</v>
      </c>
      <c r="N1343" s="77">
        <v>0.20833333333333334</v>
      </c>
      <c r="P1343">
        <v>19.399999999999999</v>
      </c>
      <c r="S1343" s="74">
        <v>34755</v>
      </c>
      <c r="T1343" s="77">
        <v>0.20833333333333334</v>
      </c>
      <c r="V1343">
        <v>24.98</v>
      </c>
      <c r="X1343" s="42"/>
      <c r="AB1343">
        <v>33.5</v>
      </c>
      <c r="AC1343">
        <v>37.04</v>
      </c>
      <c r="AE1343" s="74"/>
      <c r="AF1343" s="77"/>
      <c r="AH1343" s="497">
        <v>47.84</v>
      </c>
      <c r="AJ1343" s="42"/>
      <c r="AK1343" s="74"/>
      <c r="AL1343" s="77"/>
      <c r="AN1343" s="497">
        <v>6.0799999999999983</v>
      </c>
      <c r="AP1343" s="42"/>
      <c r="AQ1343" s="74"/>
      <c r="AR1343" s="77"/>
      <c r="AT1343" s="497">
        <v>17.059999999999999</v>
      </c>
      <c r="AV1343" s="42"/>
      <c r="AW1343" s="74"/>
      <c r="AX1343" s="77"/>
      <c r="BA1343" s="497">
        <v>8.0599999999999987</v>
      </c>
      <c r="BB1343" s="42"/>
      <c r="BC1343" s="74"/>
      <c r="BD1343" s="77"/>
      <c r="BF1343">
        <v>17.96</v>
      </c>
      <c r="BH1343" s="42"/>
      <c r="BI1343" s="74"/>
      <c r="BJ1343" s="77"/>
      <c r="BL1343" s="497">
        <v>17.059999999999999</v>
      </c>
      <c r="BN1343" s="42"/>
      <c r="BO1343" s="74"/>
      <c r="BP1343" s="77"/>
      <c r="BR1343" s="497">
        <v>17.96</v>
      </c>
      <c r="BT1343" s="42"/>
    </row>
    <row r="1344" spans="1:72" x14ac:dyDescent="0.25">
      <c r="A1344" s="90">
        <v>34755</v>
      </c>
      <c r="B1344" s="20">
        <v>0.25</v>
      </c>
      <c r="D1344">
        <v>24.08</v>
      </c>
      <c r="E1344" t="str">
        <f t="shared" si="76"/>
        <v>SATURDAY</v>
      </c>
      <c r="F1344" t="e">
        <f t="shared" si="77"/>
        <v>#N/A</v>
      </c>
      <c r="G1344" s="74">
        <v>32198</v>
      </c>
      <c r="H1344" s="77">
        <v>0.25</v>
      </c>
      <c r="J1344">
        <v>28.04</v>
      </c>
      <c r="M1344" s="74">
        <v>38042</v>
      </c>
      <c r="N1344" s="77">
        <v>0.25</v>
      </c>
      <c r="P1344">
        <v>19.399999999999999</v>
      </c>
      <c r="S1344" s="74">
        <v>34755</v>
      </c>
      <c r="T1344" s="77">
        <v>0.25</v>
      </c>
      <c r="V1344">
        <v>24.08</v>
      </c>
      <c r="X1344" s="42"/>
      <c r="AB1344">
        <v>33.1</v>
      </c>
      <c r="AC1344">
        <v>39.019999999999996</v>
      </c>
      <c r="AE1344" s="74"/>
      <c r="AF1344" s="77"/>
      <c r="AH1344" s="497">
        <v>46.94</v>
      </c>
      <c r="AJ1344" s="42"/>
      <c r="AK1344" s="74"/>
      <c r="AL1344" s="77"/>
      <c r="AN1344" s="497">
        <v>3.9200000000000017</v>
      </c>
      <c r="AP1344" s="42"/>
      <c r="AQ1344" s="74"/>
      <c r="AR1344" s="77"/>
      <c r="AT1344" s="497">
        <v>14</v>
      </c>
      <c r="AV1344" s="42"/>
      <c r="AW1344" s="74"/>
      <c r="AX1344" s="77"/>
      <c r="BA1344" s="497">
        <v>6.0799999999999983</v>
      </c>
      <c r="BB1344" s="42"/>
      <c r="BC1344" s="74"/>
      <c r="BD1344" s="77"/>
      <c r="BF1344">
        <v>17.059999999999999</v>
      </c>
      <c r="BH1344" s="42"/>
      <c r="BI1344" s="74"/>
      <c r="BJ1344" s="77"/>
      <c r="BL1344" s="497">
        <v>17.96</v>
      </c>
      <c r="BN1344" s="42"/>
      <c r="BO1344" s="74"/>
      <c r="BP1344" s="77"/>
      <c r="BR1344" s="497">
        <v>19.04</v>
      </c>
      <c r="BT1344" s="42"/>
    </row>
    <row r="1345" spans="1:72" x14ac:dyDescent="0.25">
      <c r="A1345" s="90">
        <v>34755</v>
      </c>
      <c r="B1345" s="20">
        <v>0.29166666666666669</v>
      </c>
      <c r="D1345">
        <v>24.08</v>
      </c>
      <c r="E1345" t="str">
        <f t="shared" si="76"/>
        <v>SATURDAY</v>
      </c>
      <c r="F1345" t="e">
        <f t="shared" si="77"/>
        <v>#N/A</v>
      </c>
      <c r="G1345" s="74">
        <v>32198</v>
      </c>
      <c r="H1345" s="77">
        <v>0.29166666666666669</v>
      </c>
      <c r="J1345">
        <v>28.04</v>
      </c>
      <c r="M1345" s="74">
        <v>38042</v>
      </c>
      <c r="N1345" s="77">
        <v>0.29166666666666669</v>
      </c>
      <c r="P1345">
        <v>19.759999999999998</v>
      </c>
      <c r="S1345" s="74">
        <v>34755</v>
      </c>
      <c r="T1345" s="77">
        <v>0.29166666666666669</v>
      </c>
      <c r="V1345">
        <v>24.08</v>
      </c>
      <c r="X1345" s="42"/>
      <c r="AB1345">
        <v>32.9</v>
      </c>
      <c r="AC1345">
        <v>39.92</v>
      </c>
      <c r="AE1345" s="74"/>
      <c r="AF1345" s="77"/>
      <c r="AH1345" s="497">
        <v>45.86</v>
      </c>
      <c r="AJ1345" s="42"/>
      <c r="AK1345" s="74"/>
      <c r="AL1345" s="77"/>
      <c r="AN1345" s="497">
        <v>3.019999999999996</v>
      </c>
      <c r="AP1345" s="42"/>
      <c r="AQ1345" s="74"/>
      <c r="AR1345" s="77"/>
      <c r="AT1345" s="497">
        <v>14</v>
      </c>
      <c r="AV1345" s="42"/>
      <c r="AW1345" s="74"/>
      <c r="AX1345" s="77"/>
      <c r="BA1345" s="497">
        <v>6.0799999999999983</v>
      </c>
      <c r="BB1345" s="42"/>
      <c r="BC1345" s="74"/>
      <c r="BD1345" s="77"/>
      <c r="BF1345">
        <v>15.98</v>
      </c>
      <c r="BH1345" s="42"/>
      <c r="BI1345" s="74"/>
      <c r="BJ1345" s="77"/>
      <c r="BL1345" s="497">
        <v>17.96</v>
      </c>
      <c r="BN1345" s="42"/>
      <c r="BO1345" s="74"/>
      <c r="BP1345" s="77"/>
      <c r="BR1345" s="497">
        <v>17.96</v>
      </c>
      <c r="BT1345" s="42"/>
    </row>
    <row r="1346" spans="1:72" x14ac:dyDescent="0.25">
      <c r="A1346" s="90">
        <v>34755</v>
      </c>
      <c r="B1346" s="20">
        <v>0.33333333333333331</v>
      </c>
      <c r="D1346">
        <v>26.060000000000002</v>
      </c>
      <c r="E1346" t="str">
        <f t="shared" si="76"/>
        <v>SATURDAY</v>
      </c>
      <c r="F1346" t="e">
        <f t="shared" si="77"/>
        <v>#N/A</v>
      </c>
      <c r="G1346" s="74">
        <v>32198</v>
      </c>
      <c r="H1346" s="77">
        <v>0.33333333333333331</v>
      </c>
      <c r="J1346">
        <v>28.94</v>
      </c>
      <c r="M1346" s="74">
        <v>38042</v>
      </c>
      <c r="N1346" s="77">
        <v>0.33333333333333331</v>
      </c>
      <c r="P1346">
        <v>21.2</v>
      </c>
      <c r="S1346" s="74">
        <v>34755</v>
      </c>
      <c r="T1346" s="77">
        <v>0.33333333333333331</v>
      </c>
      <c r="V1346">
        <v>24.98</v>
      </c>
      <c r="X1346" s="42"/>
      <c r="AB1346">
        <v>32.9</v>
      </c>
      <c r="AC1346">
        <v>42.980000000000004</v>
      </c>
      <c r="AE1346" s="74"/>
      <c r="AF1346" s="77"/>
      <c r="AH1346" s="497">
        <v>47.84</v>
      </c>
      <c r="AJ1346" s="42"/>
      <c r="AK1346" s="74"/>
      <c r="AL1346" s="77"/>
      <c r="AN1346" s="497">
        <v>3.9200000000000017</v>
      </c>
      <c r="AP1346" s="42"/>
      <c r="AQ1346" s="74"/>
      <c r="AR1346" s="77"/>
      <c r="AT1346" s="497">
        <v>19.04</v>
      </c>
      <c r="AV1346" s="42"/>
      <c r="AW1346" s="74"/>
      <c r="AX1346" s="77"/>
      <c r="BA1346" s="497">
        <v>6.98</v>
      </c>
      <c r="BB1346" s="42"/>
      <c r="BC1346" s="74"/>
      <c r="BD1346" s="77"/>
      <c r="BF1346">
        <v>17.059999999999999</v>
      </c>
      <c r="BH1346" s="42"/>
      <c r="BI1346" s="74"/>
      <c r="BJ1346" s="77"/>
      <c r="BL1346" s="497">
        <v>17.96</v>
      </c>
      <c r="BN1346" s="42"/>
      <c r="BO1346" s="74"/>
      <c r="BP1346" s="77"/>
      <c r="BR1346" s="497">
        <v>19.04</v>
      </c>
      <c r="BT1346" s="42"/>
    </row>
    <row r="1347" spans="1:72" x14ac:dyDescent="0.25">
      <c r="A1347" s="90">
        <v>34755</v>
      </c>
      <c r="B1347" s="20">
        <v>0.375</v>
      </c>
      <c r="D1347">
        <v>26.96</v>
      </c>
      <c r="E1347" t="str">
        <f t="shared" si="76"/>
        <v>SATURDAY</v>
      </c>
      <c r="F1347" t="e">
        <f t="shared" si="77"/>
        <v>#N/A</v>
      </c>
      <c r="G1347" s="74">
        <v>32198</v>
      </c>
      <c r="H1347" s="77">
        <v>0.375</v>
      </c>
      <c r="J1347">
        <v>30.02</v>
      </c>
      <c r="M1347" s="74">
        <v>38042</v>
      </c>
      <c r="N1347" s="77">
        <v>0.375</v>
      </c>
      <c r="P1347">
        <v>24.8</v>
      </c>
      <c r="S1347" s="74">
        <v>34755</v>
      </c>
      <c r="T1347" s="77">
        <v>0.375</v>
      </c>
      <c r="V1347">
        <v>28.04</v>
      </c>
      <c r="X1347" s="42"/>
      <c r="AB1347">
        <v>34.4</v>
      </c>
      <c r="AC1347">
        <v>46.94</v>
      </c>
      <c r="AE1347" s="74"/>
      <c r="AF1347" s="77"/>
      <c r="AH1347" s="497">
        <v>50</v>
      </c>
      <c r="AJ1347" s="42"/>
      <c r="AK1347" s="74"/>
      <c r="AL1347" s="77"/>
      <c r="AN1347" s="497">
        <v>6.0799999999999983</v>
      </c>
      <c r="AP1347" s="42"/>
      <c r="AQ1347" s="74"/>
      <c r="AR1347" s="77"/>
      <c r="AT1347" s="497">
        <v>21.92</v>
      </c>
      <c r="AV1347" s="42"/>
      <c r="AW1347" s="74"/>
      <c r="AX1347" s="77"/>
      <c r="BA1347" s="497">
        <v>10.039999999999999</v>
      </c>
      <c r="BB1347" s="42"/>
      <c r="BC1347" s="74"/>
      <c r="BD1347" s="77"/>
      <c r="BF1347">
        <v>17.96</v>
      </c>
      <c r="BH1347" s="42"/>
      <c r="BI1347" s="74"/>
      <c r="BJ1347" s="77"/>
      <c r="BL1347" s="497">
        <v>19.04</v>
      </c>
      <c r="BN1347" s="42"/>
      <c r="BO1347" s="74"/>
      <c r="BP1347" s="77"/>
      <c r="BR1347" s="497">
        <v>19.939999999999998</v>
      </c>
      <c r="BT1347" s="42"/>
    </row>
    <row r="1348" spans="1:72" x14ac:dyDescent="0.25">
      <c r="A1348" s="90">
        <v>34755</v>
      </c>
      <c r="B1348" s="20">
        <v>0.41666666666666669</v>
      </c>
      <c r="D1348">
        <v>28.94</v>
      </c>
      <c r="E1348" t="str">
        <f t="shared" si="76"/>
        <v>SATURDAY</v>
      </c>
      <c r="F1348" t="e">
        <f t="shared" si="77"/>
        <v>#N/A</v>
      </c>
      <c r="G1348" s="74">
        <v>32198</v>
      </c>
      <c r="H1348" s="77">
        <v>0.41666666666666669</v>
      </c>
      <c r="J1348">
        <v>33.08</v>
      </c>
      <c r="M1348" s="74">
        <v>38042</v>
      </c>
      <c r="N1348" s="77">
        <v>0.41666666666666669</v>
      </c>
      <c r="P1348">
        <v>28.4</v>
      </c>
      <c r="S1348" s="74">
        <v>34755</v>
      </c>
      <c r="T1348" s="77">
        <v>0.41666666666666669</v>
      </c>
      <c r="V1348">
        <v>30.02</v>
      </c>
      <c r="X1348" s="42"/>
      <c r="AB1348">
        <v>36</v>
      </c>
      <c r="AC1348">
        <v>50</v>
      </c>
      <c r="AE1348" s="74"/>
      <c r="AF1348" s="77"/>
      <c r="AH1348" s="497">
        <v>50.900000000000006</v>
      </c>
      <c r="AJ1348" s="42"/>
      <c r="AK1348" s="74"/>
      <c r="AL1348" s="77"/>
      <c r="AN1348" s="497">
        <v>8.0599999999999987</v>
      </c>
      <c r="AP1348" s="42"/>
      <c r="AQ1348" s="74"/>
      <c r="AR1348" s="77"/>
      <c r="AT1348" s="497">
        <v>24.08</v>
      </c>
      <c r="AV1348" s="42"/>
      <c r="AW1348" s="74"/>
      <c r="AX1348" s="77"/>
      <c r="BA1348" s="497">
        <v>15.079999999999998</v>
      </c>
      <c r="BB1348" s="42"/>
      <c r="BC1348" s="74"/>
      <c r="BD1348" s="77"/>
      <c r="BF1348">
        <v>19.939999999999998</v>
      </c>
      <c r="BH1348" s="42"/>
      <c r="BI1348" s="74"/>
      <c r="BJ1348" s="77"/>
      <c r="BL1348" s="497">
        <v>21.02</v>
      </c>
      <c r="BN1348" s="42"/>
      <c r="BO1348" s="74"/>
      <c r="BP1348" s="77"/>
      <c r="BR1348" s="497">
        <v>19.939999999999998</v>
      </c>
      <c r="BT1348" s="42"/>
    </row>
    <row r="1349" spans="1:72" x14ac:dyDescent="0.25">
      <c r="A1349" s="90">
        <v>34755</v>
      </c>
      <c r="B1349" s="20">
        <v>0.45833333333333331</v>
      </c>
      <c r="D1349">
        <v>30.92</v>
      </c>
      <c r="E1349" t="str">
        <f t="shared" si="76"/>
        <v>SATURDAY</v>
      </c>
      <c r="F1349" t="e">
        <f t="shared" si="77"/>
        <v>#N/A</v>
      </c>
      <c r="G1349" s="74">
        <v>32198</v>
      </c>
      <c r="H1349" s="77">
        <v>0.45833333333333331</v>
      </c>
      <c r="J1349">
        <v>33.08</v>
      </c>
      <c r="M1349" s="74">
        <v>38042</v>
      </c>
      <c r="N1349" s="77">
        <v>0.45833333333333331</v>
      </c>
      <c r="P1349">
        <v>30.2</v>
      </c>
      <c r="S1349" s="74">
        <v>34755</v>
      </c>
      <c r="T1349" s="77">
        <v>0.45833333333333331</v>
      </c>
      <c r="V1349">
        <v>33.08</v>
      </c>
      <c r="X1349" s="42"/>
      <c r="AB1349">
        <v>37.6</v>
      </c>
      <c r="AC1349">
        <v>51.980000000000004</v>
      </c>
      <c r="AE1349" s="74"/>
      <c r="AF1349" s="77"/>
      <c r="AH1349" s="497">
        <v>52.879999999999995</v>
      </c>
      <c r="AJ1349" s="42"/>
      <c r="AK1349" s="74"/>
      <c r="AL1349" s="77"/>
      <c r="AN1349" s="497">
        <v>10.940000000000001</v>
      </c>
      <c r="AP1349" s="42"/>
      <c r="AQ1349" s="74"/>
      <c r="AR1349" s="77"/>
      <c r="AT1349" s="497">
        <v>28.04</v>
      </c>
      <c r="AV1349" s="42"/>
      <c r="AW1349" s="74"/>
      <c r="AX1349" s="77"/>
      <c r="BA1349" s="497">
        <v>15.079999999999998</v>
      </c>
      <c r="BB1349" s="42"/>
      <c r="BC1349" s="74"/>
      <c r="BD1349" s="77"/>
      <c r="BF1349">
        <v>19.04</v>
      </c>
      <c r="BH1349" s="42"/>
      <c r="BI1349" s="74"/>
      <c r="BJ1349" s="77"/>
      <c r="BL1349" s="497">
        <v>21.92</v>
      </c>
      <c r="BN1349" s="42"/>
      <c r="BO1349" s="74"/>
      <c r="BP1349" s="77"/>
      <c r="BR1349" s="497">
        <v>21.02</v>
      </c>
      <c r="BT1349" s="42"/>
    </row>
    <row r="1350" spans="1:72" x14ac:dyDescent="0.25">
      <c r="A1350" s="90">
        <v>34755</v>
      </c>
      <c r="B1350" s="20">
        <v>0.5</v>
      </c>
      <c r="D1350">
        <v>33.979999999999997</v>
      </c>
      <c r="E1350" t="str">
        <f t="shared" si="76"/>
        <v>SATURDAY</v>
      </c>
      <c r="F1350" t="e">
        <f t="shared" si="77"/>
        <v>#N/A</v>
      </c>
      <c r="G1350" s="74">
        <v>32198</v>
      </c>
      <c r="H1350" s="77">
        <v>0.5</v>
      </c>
      <c r="J1350">
        <v>33.08</v>
      </c>
      <c r="M1350" s="74">
        <v>38042</v>
      </c>
      <c r="N1350" s="77">
        <v>0.5</v>
      </c>
      <c r="P1350">
        <v>32</v>
      </c>
      <c r="S1350" s="74">
        <v>34755</v>
      </c>
      <c r="T1350" s="77">
        <v>0.5</v>
      </c>
      <c r="V1350">
        <v>33.979999999999997</v>
      </c>
      <c r="X1350" s="42"/>
      <c r="AB1350">
        <v>39</v>
      </c>
      <c r="AC1350">
        <v>48.019999999999996</v>
      </c>
      <c r="AE1350" s="74"/>
      <c r="AF1350" s="77"/>
      <c r="AH1350" s="497">
        <v>53.96</v>
      </c>
      <c r="AJ1350" s="42"/>
      <c r="AK1350" s="74"/>
      <c r="AL1350" s="77"/>
      <c r="AN1350" s="497">
        <v>15.079999999999998</v>
      </c>
      <c r="AP1350" s="42"/>
      <c r="AQ1350" s="74"/>
      <c r="AR1350" s="77"/>
      <c r="AT1350" s="497">
        <v>28.04</v>
      </c>
      <c r="AV1350" s="42"/>
      <c r="AW1350" s="74"/>
      <c r="AX1350" s="77"/>
      <c r="BA1350" s="497">
        <v>15.98</v>
      </c>
      <c r="BB1350" s="42"/>
      <c r="BC1350" s="74"/>
      <c r="BD1350" s="77"/>
      <c r="BF1350">
        <v>21.92</v>
      </c>
      <c r="BH1350" s="42"/>
      <c r="BI1350" s="74"/>
      <c r="BJ1350" s="77"/>
      <c r="BL1350" s="497">
        <v>23</v>
      </c>
      <c r="BN1350" s="42"/>
      <c r="BO1350" s="74"/>
      <c r="BP1350" s="77"/>
      <c r="BR1350" s="497">
        <v>23</v>
      </c>
      <c r="BT1350" s="42"/>
    </row>
    <row r="1351" spans="1:72" x14ac:dyDescent="0.25">
      <c r="A1351" s="90">
        <v>34755</v>
      </c>
      <c r="B1351" s="20">
        <v>0.54166666666666663</v>
      </c>
      <c r="D1351">
        <v>35.96</v>
      </c>
      <c r="E1351" t="str">
        <f t="shared" si="76"/>
        <v>SATURDAY</v>
      </c>
      <c r="F1351" t="e">
        <f t="shared" si="77"/>
        <v>#N/A</v>
      </c>
      <c r="G1351" s="74">
        <v>32198</v>
      </c>
      <c r="H1351" s="77">
        <v>0.54166666666666663</v>
      </c>
      <c r="J1351">
        <v>33.979999999999997</v>
      </c>
      <c r="M1351" s="74">
        <v>38042</v>
      </c>
      <c r="N1351" s="77">
        <v>0.54166666666666663</v>
      </c>
      <c r="P1351">
        <v>33.799999999999997</v>
      </c>
      <c r="S1351" s="74">
        <v>34755</v>
      </c>
      <c r="T1351" s="77">
        <v>0.54166666666666663</v>
      </c>
      <c r="V1351">
        <v>37.04</v>
      </c>
      <c r="X1351" s="42"/>
      <c r="AB1351">
        <v>40.1</v>
      </c>
      <c r="AC1351">
        <v>42.980000000000004</v>
      </c>
      <c r="AE1351" s="74"/>
      <c r="AF1351" s="77"/>
      <c r="AH1351" s="497">
        <v>55.94</v>
      </c>
      <c r="AJ1351" s="42"/>
      <c r="AK1351" s="74"/>
      <c r="AL1351" s="77"/>
      <c r="AN1351" s="497">
        <v>15.079999999999998</v>
      </c>
      <c r="AP1351" s="42"/>
      <c r="AQ1351" s="74"/>
      <c r="AR1351" s="77"/>
      <c r="AT1351" s="497">
        <v>28.94</v>
      </c>
      <c r="AV1351" s="42"/>
      <c r="AW1351" s="74"/>
      <c r="AX1351" s="77"/>
      <c r="BA1351" s="497">
        <v>17.96</v>
      </c>
      <c r="BB1351" s="42"/>
      <c r="BC1351" s="74"/>
      <c r="BD1351" s="77"/>
      <c r="BF1351">
        <v>21.92</v>
      </c>
      <c r="BH1351" s="42"/>
      <c r="BI1351" s="74"/>
      <c r="BJ1351" s="77"/>
      <c r="BL1351" s="497">
        <v>24.08</v>
      </c>
      <c r="BN1351" s="42"/>
      <c r="BO1351" s="74"/>
      <c r="BP1351" s="77"/>
      <c r="BR1351" s="497">
        <v>24.08</v>
      </c>
      <c r="BT1351" s="42"/>
    </row>
    <row r="1352" spans="1:72" x14ac:dyDescent="0.25">
      <c r="A1352" s="90">
        <v>34755</v>
      </c>
      <c r="B1352" s="20">
        <v>0.58333333333333337</v>
      </c>
      <c r="D1352">
        <v>37.94</v>
      </c>
      <c r="E1352" t="str">
        <f t="shared" si="76"/>
        <v>SATURDAY</v>
      </c>
      <c r="F1352" t="e">
        <f t="shared" si="77"/>
        <v>#N/A</v>
      </c>
      <c r="G1352" s="74">
        <v>32198</v>
      </c>
      <c r="H1352" s="77">
        <v>0.58333333333333337</v>
      </c>
      <c r="J1352">
        <v>35.06</v>
      </c>
      <c r="M1352" s="74">
        <v>38042</v>
      </c>
      <c r="N1352" s="77">
        <v>0.58333333333333337</v>
      </c>
      <c r="P1352">
        <v>35.6</v>
      </c>
      <c r="S1352" s="74">
        <v>34755</v>
      </c>
      <c r="T1352" s="77">
        <v>0.58333333333333337</v>
      </c>
      <c r="V1352">
        <v>37.94</v>
      </c>
      <c r="X1352" s="42"/>
      <c r="AB1352">
        <v>41</v>
      </c>
      <c r="AC1352">
        <v>44.06</v>
      </c>
      <c r="AE1352" s="74"/>
      <c r="AF1352" s="77"/>
      <c r="AH1352" s="497">
        <v>56.84</v>
      </c>
      <c r="AJ1352" s="42"/>
      <c r="AK1352" s="74"/>
      <c r="AL1352" s="77"/>
      <c r="AN1352" s="497">
        <v>15.079999999999998</v>
      </c>
      <c r="AP1352" s="42"/>
      <c r="AQ1352" s="74"/>
      <c r="AR1352" s="77"/>
      <c r="AT1352" s="497">
        <v>28.04</v>
      </c>
      <c r="AV1352" s="42"/>
      <c r="AW1352" s="74"/>
      <c r="AX1352" s="77"/>
      <c r="BA1352" s="497">
        <v>19.939999999999998</v>
      </c>
      <c r="BB1352" s="42"/>
      <c r="BC1352" s="74"/>
      <c r="BD1352" s="77"/>
      <c r="BF1352">
        <v>21.02</v>
      </c>
      <c r="BH1352" s="42"/>
      <c r="BI1352" s="74"/>
      <c r="BJ1352" s="77"/>
      <c r="BL1352" s="497">
        <v>24.08</v>
      </c>
      <c r="BN1352" s="42"/>
      <c r="BO1352" s="74"/>
      <c r="BP1352" s="77"/>
      <c r="BR1352" s="497">
        <v>26.060000000000002</v>
      </c>
      <c r="BT1352" s="42"/>
    </row>
    <row r="1353" spans="1:72" x14ac:dyDescent="0.25">
      <c r="A1353" s="90">
        <v>34755</v>
      </c>
      <c r="B1353" s="20">
        <v>0.625</v>
      </c>
      <c r="D1353">
        <v>37.94</v>
      </c>
      <c r="E1353" t="str">
        <f t="shared" si="76"/>
        <v>SATURDAY</v>
      </c>
      <c r="F1353" t="e">
        <f t="shared" si="77"/>
        <v>#N/A</v>
      </c>
      <c r="G1353" s="74">
        <v>32198</v>
      </c>
      <c r="H1353" s="77">
        <v>0.625</v>
      </c>
      <c r="J1353">
        <v>35.96</v>
      </c>
      <c r="M1353" s="74">
        <v>38042</v>
      </c>
      <c r="N1353" s="77">
        <v>0.625</v>
      </c>
      <c r="P1353">
        <v>37.4</v>
      </c>
      <c r="S1353" s="74">
        <v>34755</v>
      </c>
      <c r="T1353" s="77">
        <v>0.625</v>
      </c>
      <c r="V1353">
        <v>37.94</v>
      </c>
      <c r="X1353" s="42"/>
      <c r="AB1353">
        <v>41.6</v>
      </c>
      <c r="AC1353">
        <v>42.980000000000004</v>
      </c>
      <c r="AE1353" s="74"/>
      <c r="AF1353" s="77"/>
      <c r="AH1353" s="497">
        <v>56.84</v>
      </c>
      <c r="AJ1353" s="42"/>
      <c r="AK1353" s="74"/>
      <c r="AL1353" s="77"/>
      <c r="AN1353" s="497">
        <v>15.98</v>
      </c>
      <c r="AP1353" s="42"/>
      <c r="AQ1353" s="74"/>
      <c r="AR1353" s="77"/>
      <c r="AT1353" s="497">
        <v>28.94</v>
      </c>
      <c r="AV1353" s="42"/>
      <c r="AW1353" s="74"/>
      <c r="AX1353" s="77"/>
      <c r="BA1353" s="497">
        <v>19.939999999999998</v>
      </c>
      <c r="BB1353" s="42"/>
      <c r="BC1353" s="74"/>
      <c r="BD1353" s="77"/>
      <c r="BF1353">
        <v>21.02</v>
      </c>
      <c r="BH1353" s="42"/>
      <c r="BI1353" s="74"/>
      <c r="BJ1353" s="77"/>
      <c r="BL1353" s="497">
        <v>24.08</v>
      </c>
      <c r="BN1353" s="42"/>
      <c r="BO1353" s="74"/>
      <c r="BP1353" s="77"/>
      <c r="BR1353" s="497">
        <v>26.060000000000002</v>
      </c>
      <c r="BT1353" s="42"/>
    </row>
    <row r="1354" spans="1:72" x14ac:dyDescent="0.25">
      <c r="A1354" s="90">
        <v>34755</v>
      </c>
      <c r="B1354" s="20">
        <v>0.66666666666666663</v>
      </c>
      <c r="D1354">
        <v>39.019999999999996</v>
      </c>
      <c r="E1354" t="str">
        <f t="shared" si="76"/>
        <v>SATURDAY</v>
      </c>
      <c r="F1354" t="e">
        <f t="shared" si="77"/>
        <v>#N/A</v>
      </c>
      <c r="G1354" s="74">
        <v>32198</v>
      </c>
      <c r="H1354" s="77">
        <v>0.66666666666666663</v>
      </c>
      <c r="J1354">
        <v>33.08</v>
      </c>
      <c r="M1354" s="74">
        <v>38042</v>
      </c>
      <c r="N1354" s="77">
        <v>0.66666666666666663</v>
      </c>
      <c r="P1354">
        <v>37.4</v>
      </c>
      <c r="S1354" s="74">
        <v>34755</v>
      </c>
      <c r="T1354" s="77">
        <v>0.66666666666666663</v>
      </c>
      <c r="V1354">
        <v>39.019999999999996</v>
      </c>
      <c r="X1354" s="42"/>
      <c r="AB1354">
        <v>41.7</v>
      </c>
      <c r="AC1354">
        <v>42.08</v>
      </c>
      <c r="AE1354" s="74"/>
      <c r="AF1354" s="77"/>
      <c r="AH1354" s="497">
        <v>55.94</v>
      </c>
      <c r="AJ1354" s="42"/>
      <c r="AK1354" s="74"/>
      <c r="AL1354" s="77"/>
      <c r="AN1354" s="497">
        <v>15.98</v>
      </c>
      <c r="AP1354" s="42"/>
      <c r="AQ1354" s="74"/>
      <c r="AR1354" s="77"/>
      <c r="AT1354" s="497">
        <v>28.04</v>
      </c>
      <c r="AV1354" s="42"/>
      <c r="AW1354" s="74"/>
      <c r="AX1354" s="77"/>
      <c r="BA1354" s="497">
        <v>19.939999999999998</v>
      </c>
      <c r="BB1354" s="42"/>
      <c r="BC1354" s="74"/>
      <c r="BD1354" s="77"/>
      <c r="BF1354">
        <v>21.92</v>
      </c>
      <c r="BH1354" s="42"/>
      <c r="BI1354" s="74"/>
      <c r="BJ1354" s="77"/>
      <c r="BL1354" s="497">
        <v>24.08</v>
      </c>
      <c r="BN1354" s="42"/>
      <c r="BO1354" s="74"/>
      <c r="BP1354" s="77"/>
      <c r="BR1354" s="497">
        <v>26.060000000000002</v>
      </c>
      <c r="BT1354" s="42"/>
    </row>
    <row r="1355" spans="1:72" x14ac:dyDescent="0.25">
      <c r="A1355" s="90">
        <v>34755</v>
      </c>
      <c r="B1355" s="20">
        <v>0.70833333333333337</v>
      </c>
      <c r="D1355">
        <v>39.019999999999996</v>
      </c>
      <c r="E1355" t="str">
        <f t="shared" si="76"/>
        <v>SATURDAY</v>
      </c>
      <c r="F1355" t="e">
        <f t="shared" si="77"/>
        <v>#N/A</v>
      </c>
      <c r="G1355" s="74">
        <v>32198</v>
      </c>
      <c r="H1355" s="77">
        <v>0.70833333333333337</v>
      </c>
      <c r="J1355">
        <v>33.08</v>
      </c>
      <c r="M1355" s="74">
        <v>38042</v>
      </c>
      <c r="N1355" s="77">
        <v>0.70833333333333337</v>
      </c>
      <c r="P1355">
        <v>35.6</v>
      </c>
      <c r="S1355" s="74">
        <v>34755</v>
      </c>
      <c r="T1355" s="77">
        <v>0.70833333333333337</v>
      </c>
      <c r="V1355">
        <v>37.94</v>
      </c>
      <c r="X1355" s="42"/>
      <c r="AB1355">
        <v>41.3</v>
      </c>
      <c r="AC1355">
        <v>41</v>
      </c>
      <c r="AE1355" s="74"/>
      <c r="AF1355" s="77"/>
      <c r="AH1355" s="497">
        <v>54.86</v>
      </c>
      <c r="AJ1355" s="42"/>
      <c r="AK1355" s="74"/>
      <c r="AL1355" s="77"/>
      <c r="AN1355" s="497">
        <v>14</v>
      </c>
      <c r="AP1355" s="42"/>
      <c r="AQ1355" s="74"/>
      <c r="AR1355" s="77"/>
      <c r="AT1355" s="497">
        <v>26.96</v>
      </c>
      <c r="AV1355" s="42"/>
      <c r="AW1355" s="74"/>
      <c r="AX1355" s="77"/>
      <c r="BA1355" s="497">
        <v>19.04</v>
      </c>
      <c r="BB1355" s="42"/>
      <c r="BC1355" s="74"/>
      <c r="BD1355" s="77"/>
      <c r="BF1355">
        <v>21.92</v>
      </c>
      <c r="BH1355" s="42"/>
      <c r="BI1355" s="74"/>
      <c r="BJ1355" s="77"/>
      <c r="BL1355" s="497">
        <v>23</v>
      </c>
      <c r="BN1355" s="42"/>
      <c r="BO1355" s="74"/>
      <c r="BP1355" s="77"/>
      <c r="BR1355" s="497">
        <v>26.060000000000002</v>
      </c>
      <c r="BT1355" s="42"/>
    </row>
    <row r="1356" spans="1:72" x14ac:dyDescent="0.25">
      <c r="A1356" s="90">
        <v>34755</v>
      </c>
      <c r="B1356" s="20">
        <v>0.75</v>
      </c>
      <c r="D1356">
        <v>39.019999999999996</v>
      </c>
      <c r="E1356" t="str">
        <f t="shared" si="76"/>
        <v>SATURDAY</v>
      </c>
      <c r="F1356" t="e">
        <f t="shared" si="77"/>
        <v>#N/A</v>
      </c>
      <c r="G1356" s="74">
        <v>32198</v>
      </c>
      <c r="H1356" s="77">
        <v>0.75</v>
      </c>
      <c r="J1356">
        <v>30.92</v>
      </c>
      <c r="M1356" s="74">
        <v>38042</v>
      </c>
      <c r="N1356" s="77">
        <v>0.75</v>
      </c>
      <c r="P1356">
        <v>33.799999999999997</v>
      </c>
      <c r="S1356" s="74">
        <v>34755</v>
      </c>
      <c r="T1356" s="77">
        <v>0.75</v>
      </c>
      <c r="V1356">
        <v>37.94</v>
      </c>
      <c r="X1356" s="42"/>
      <c r="AB1356">
        <v>40.4</v>
      </c>
      <c r="AC1356">
        <v>39.92</v>
      </c>
      <c r="AE1356" s="74"/>
      <c r="AF1356" s="77"/>
      <c r="AH1356" s="497">
        <v>53.96</v>
      </c>
      <c r="AJ1356" s="42"/>
      <c r="AK1356" s="74"/>
      <c r="AL1356" s="77"/>
      <c r="AN1356" s="497">
        <v>10.940000000000001</v>
      </c>
      <c r="AP1356" s="42"/>
      <c r="AQ1356" s="74"/>
      <c r="AR1356" s="77"/>
      <c r="AT1356" s="497">
        <v>26.060000000000002</v>
      </c>
      <c r="AV1356" s="42"/>
      <c r="AW1356" s="74"/>
      <c r="AX1356" s="77"/>
      <c r="BA1356" s="497">
        <v>17.059999999999999</v>
      </c>
      <c r="BB1356" s="42"/>
      <c r="BC1356" s="74"/>
      <c r="BD1356" s="77"/>
      <c r="BF1356">
        <v>21.02</v>
      </c>
      <c r="BH1356" s="42"/>
      <c r="BI1356" s="74"/>
      <c r="BJ1356" s="77"/>
      <c r="BL1356" s="497">
        <v>21.02</v>
      </c>
      <c r="BN1356" s="42"/>
      <c r="BO1356" s="74"/>
      <c r="BP1356" s="77"/>
      <c r="BR1356" s="497">
        <v>24.08</v>
      </c>
      <c r="BT1356" s="42"/>
    </row>
    <row r="1357" spans="1:72" x14ac:dyDescent="0.25">
      <c r="A1357" s="90">
        <v>34755</v>
      </c>
      <c r="B1357" s="20">
        <v>0.79166666666666663</v>
      </c>
      <c r="D1357">
        <v>39.019999999999996</v>
      </c>
      <c r="E1357" t="str">
        <f t="shared" si="76"/>
        <v>SATURDAY</v>
      </c>
      <c r="F1357" t="e">
        <f t="shared" si="77"/>
        <v>#N/A</v>
      </c>
      <c r="G1357" s="74">
        <v>32198</v>
      </c>
      <c r="H1357" s="77">
        <v>0.79166666666666663</v>
      </c>
      <c r="J1357">
        <v>30.92</v>
      </c>
      <c r="M1357" s="74">
        <v>38042</v>
      </c>
      <c r="N1357" s="77">
        <v>0.79166666666666663</v>
      </c>
      <c r="P1357">
        <v>30.2</v>
      </c>
      <c r="S1357" s="74">
        <v>34755</v>
      </c>
      <c r="T1357" s="77">
        <v>0.79166666666666663</v>
      </c>
      <c r="V1357">
        <v>37.94</v>
      </c>
      <c r="X1357" s="42"/>
      <c r="AB1357">
        <v>39.1</v>
      </c>
      <c r="AC1357">
        <v>39.92</v>
      </c>
      <c r="AE1357" s="74"/>
      <c r="AF1357" s="77"/>
      <c r="AH1357" s="497">
        <v>51.980000000000004</v>
      </c>
      <c r="AJ1357" s="42"/>
      <c r="AK1357" s="74"/>
      <c r="AL1357" s="77"/>
      <c r="AN1357" s="497">
        <v>10.039999999999999</v>
      </c>
      <c r="AP1357" s="42"/>
      <c r="AQ1357" s="74"/>
      <c r="AR1357" s="77"/>
      <c r="AT1357" s="497">
        <v>24.08</v>
      </c>
      <c r="AV1357" s="42"/>
      <c r="AW1357" s="74"/>
      <c r="AX1357" s="77"/>
      <c r="BA1357" s="497">
        <v>17.059999999999999</v>
      </c>
      <c r="BB1357" s="42"/>
      <c r="BC1357" s="74"/>
      <c r="BD1357" s="77"/>
      <c r="BF1357">
        <v>19.939999999999998</v>
      </c>
      <c r="BH1357" s="42"/>
      <c r="BI1357" s="74"/>
      <c r="BJ1357" s="77"/>
      <c r="BL1357" s="497">
        <v>19.939999999999998</v>
      </c>
      <c r="BN1357" s="42"/>
      <c r="BO1357" s="74"/>
      <c r="BP1357" s="77"/>
      <c r="BR1357" s="497">
        <v>21.92</v>
      </c>
      <c r="BT1357" s="42"/>
    </row>
    <row r="1358" spans="1:72" x14ac:dyDescent="0.25">
      <c r="A1358" s="90">
        <v>34755</v>
      </c>
      <c r="B1358" s="20">
        <v>0.83333333333333337</v>
      </c>
      <c r="D1358">
        <v>39.019999999999996</v>
      </c>
      <c r="E1358" t="str">
        <f t="shared" si="76"/>
        <v>SATURDAY</v>
      </c>
      <c r="F1358" t="e">
        <f t="shared" si="77"/>
        <v>#N/A</v>
      </c>
      <c r="G1358" s="74">
        <v>32198</v>
      </c>
      <c r="H1358" s="77">
        <v>0.83333333333333337</v>
      </c>
      <c r="J1358">
        <v>30.92</v>
      </c>
      <c r="M1358" s="74">
        <v>38042</v>
      </c>
      <c r="N1358" s="77">
        <v>0.83333333333333337</v>
      </c>
      <c r="P1358">
        <v>30.2</v>
      </c>
      <c r="S1358" s="74">
        <v>34755</v>
      </c>
      <c r="T1358" s="77">
        <v>0.83333333333333337</v>
      </c>
      <c r="V1358">
        <v>37.94</v>
      </c>
      <c r="X1358" s="42"/>
      <c r="AB1358">
        <v>38.5</v>
      </c>
      <c r="AC1358">
        <v>39.019999999999996</v>
      </c>
      <c r="AE1358" s="74"/>
      <c r="AF1358" s="77"/>
      <c r="AH1358" s="497">
        <v>50.900000000000006</v>
      </c>
      <c r="AJ1358" s="42"/>
      <c r="AK1358" s="74"/>
      <c r="AL1358" s="77"/>
      <c r="AN1358" s="497">
        <v>8.9599999999999973</v>
      </c>
      <c r="AP1358" s="42"/>
      <c r="AQ1358" s="74"/>
      <c r="AR1358" s="77"/>
      <c r="AT1358" s="497">
        <v>23</v>
      </c>
      <c r="AV1358" s="42"/>
      <c r="AW1358" s="74"/>
      <c r="AX1358" s="77"/>
      <c r="BA1358" s="497">
        <v>17.059999999999999</v>
      </c>
      <c r="BB1358" s="42"/>
      <c r="BC1358" s="74"/>
      <c r="BD1358" s="77"/>
      <c r="BF1358">
        <v>19.939999999999998</v>
      </c>
      <c r="BH1358" s="42"/>
      <c r="BI1358" s="74"/>
      <c r="BJ1358" s="77"/>
      <c r="BL1358" s="497">
        <v>19.939999999999998</v>
      </c>
      <c r="BN1358" s="42"/>
      <c r="BO1358" s="74"/>
      <c r="BP1358" s="77"/>
      <c r="BR1358" s="497">
        <v>19.939999999999998</v>
      </c>
      <c r="BT1358" s="42"/>
    </row>
    <row r="1359" spans="1:72" x14ac:dyDescent="0.25">
      <c r="A1359" s="90">
        <v>34755</v>
      </c>
      <c r="B1359" s="20">
        <v>0.875</v>
      </c>
      <c r="D1359">
        <v>39.019999999999996</v>
      </c>
      <c r="E1359" t="str">
        <f t="shared" si="76"/>
        <v>SATURDAY</v>
      </c>
      <c r="F1359" t="e">
        <f t="shared" si="77"/>
        <v>#N/A</v>
      </c>
      <c r="G1359" s="74">
        <v>32198</v>
      </c>
      <c r="H1359" s="77">
        <v>0.875</v>
      </c>
      <c r="J1359">
        <v>30.02</v>
      </c>
      <c r="M1359" s="74">
        <v>38042</v>
      </c>
      <c r="N1359" s="77">
        <v>0.875</v>
      </c>
      <c r="P1359">
        <v>28.4</v>
      </c>
      <c r="S1359" s="74">
        <v>34755</v>
      </c>
      <c r="T1359" s="77">
        <v>0.875</v>
      </c>
      <c r="V1359">
        <v>35.96</v>
      </c>
      <c r="X1359" s="42"/>
      <c r="AB1359">
        <v>37.9</v>
      </c>
      <c r="AC1359">
        <v>39.019999999999996</v>
      </c>
      <c r="AE1359" s="74"/>
      <c r="AF1359" s="77"/>
      <c r="AH1359" s="497">
        <v>50.900000000000006</v>
      </c>
      <c r="AJ1359" s="42"/>
      <c r="AK1359" s="74"/>
      <c r="AL1359" s="77"/>
      <c r="AN1359" s="497">
        <v>8.9599999999999973</v>
      </c>
      <c r="AP1359" s="42"/>
      <c r="AQ1359" s="74"/>
      <c r="AR1359" s="77"/>
      <c r="AT1359" s="497">
        <v>21.02</v>
      </c>
      <c r="AV1359" s="42"/>
      <c r="AW1359" s="74"/>
      <c r="AX1359" s="77"/>
      <c r="BA1359" s="497">
        <v>17.059999999999999</v>
      </c>
      <c r="BB1359" s="42"/>
      <c r="BC1359" s="74"/>
      <c r="BD1359" s="77"/>
      <c r="BF1359">
        <v>19.04</v>
      </c>
      <c r="BH1359" s="42"/>
      <c r="BI1359" s="74"/>
      <c r="BJ1359" s="77"/>
      <c r="BL1359" s="497">
        <v>19.939999999999998</v>
      </c>
      <c r="BN1359" s="42"/>
      <c r="BO1359" s="74"/>
      <c r="BP1359" s="77"/>
      <c r="BR1359" s="497">
        <v>21.02</v>
      </c>
      <c r="BT1359" s="42"/>
    </row>
    <row r="1360" spans="1:72" x14ac:dyDescent="0.25">
      <c r="A1360" s="90">
        <v>34755</v>
      </c>
      <c r="B1360" s="20">
        <v>0.91666666666666663</v>
      </c>
      <c r="D1360">
        <v>39.019999999999996</v>
      </c>
      <c r="E1360" t="str">
        <f t="shared" si="76"/>
        <v>SATURDAY</v>
      </c>
      <c r="F1360" t="e">
        <f t="shared" si="77"/>
        <v>#N/A</v>
      </c>
      <c r="G1360" s="74">
        <v>32198</v>
      </c>
      <c r="H1360" s="77">
        <v>0.91666666666666663</v>
      </c>
      <c r="J1360">
        <v>28.94</v>
      </c>
      <c r="M1360" s="74">
        <v>38042</v>
      </c>
      <c r="N1360" s="77">
        <v>0.91666666666666663</v>
      </c>
      <c r="P1360">
        <v>28.4</v>
      </c>
      <c r="S1360" s="74">
        <v>34755</v>
      </c>
      <c r="T1360" s="77">
        <v>0.91666666666666663</v>
      </c>
      <c r="V1360">
        <v>35.96</v>
      </c>
      <c r="X1360" s="42"/>
      <c r="AB1360">
        <v>37.299999999999997</v>
      </c>
      <c r="AC1360">
        <v>39.019999999999996</v>
      </c>
      <c r="AE1360" s="74"/>
      <c r="AF1360" s="77"/>
      <c r="AH1360" s="497">
        <v>48.92</v>
      </c>
      <c r="AJ1360" s="42"/>
      <c r="AK1360" s="74"/>
      <c r="AL1360" s="77"/>
      <c r="AN1360" s="497">
        <v>8.0599999999999987</v>
      </c>
      <c r="AP1360" s="42"/>
      <c r="AQ1360" s="74"/>
      <c r="AR1360" s="77"/>
      <c r="AT1360" s="497">
        <v>19.939999999999998</v>
      </c>
      <c r="AV1360" s="42"/>
      <c r="AW1360" s="74"/>
      <c r="AX1360" s="77"/>
      <c r="BA1360" s="497">
        <v>17.059999999999999</v>
      </c>
      <c r="BB1360" s="42"/>
      <c r="BC1360" s="74"/>
      <c r="BD1360" s="77"/>
      <c r="BF1360">
        <v>19.04</v>
      </c>
      <c r="BH1360" s="42"/>
      <c r="BI1360" s="74"/>
      <c r="BJ1360" s="77"/>
      <c r="BL1360" s="497">
        <v>19.939999999999998</v>
      </c>
      <c r="BN1360" s="42"/>
      <c r="BO1360" s="74"/>
      <c r="BP1360" s="77"/>
      <c r="BR1360" s="497">
        <v>21.92</v>
      </c>
      <c r="BT1360" s="42"/>
    </row>
    <row r="1361" spans="1:72" x14ac:dyDescent="0.25">
      <c r="A1361" s="90">
        <v>34755</v>
      </c>
      <c r="B1361" s="20">
        <v>0.95833333333333337</v>
      </c>
      <c r="D1361">
        <v>37.94</v>
      </c>
      <c r="E1361" t="str">
        <f t="shared" si="76"/>
        <v>SATURDAY</v>
      </c>
      <c r="F1361" t="e">
        <f t="shared" si="77"/>
        <v>#N/A</v>
      </c>
      <c r="G1361" s="74">
        <v>32198</v>
      </c>
      <c r="H1361" s="77">
        <v>0.95833333333333337</v>
      </c>
      <c r="J1361">
        <v>28.04</v>
      </c>
      <c r="M1361" s="74">
        <v>38042</v>
      </c>
      <c r="N1361" s="77">
        <v>0.95833333333333337</v>
      </c>
      <c r="P1361">
        <v>28.4</v>
      </c>
      <c r="S1361" s="74">
        <v>34755</v>
      </c>
      <c r="T1361" s="77">
        <v>0.95833333333333337</v>
      </c>
      <c r="V1361">
        <v>35.96</v>
      </c>
      <c r="X1361" s="42"/>
      <c r="AB1361">
        <v>36.700000000000003</v>
      </c>
      <c r="AC1361">
        <v>37.94</v>
      </c>
      <c r="AE1361" s="74"/>
      <c r="AF1361" s="77"/>
      <c r="AH1361" s="497">
        <v>47.84</v>
      </c>
      <c r="AJ1361" s="42"/>
      <c r="AK1361" s="74"/>
      <c r="AL1361" s="77"/>
      <c r="AN1361" s="497">
        <v>6.98</v>
      </c>
      <c r="AP1361" s="42"/>
      <c r="AQ1361" s="74"/>
      <c r="AR1361" s="77"/>
      <c r="AT1361" s="497">
        <v>15.98</v>
      </c>
      <c r="AV1361" s="42"/>
      <c r="AW1361" s="74"/>
      <c r="AX1361" s="77"/>
      <c r="BA1361" s="497">
        <v>17.96</v>
      </c>
      <c r="BB1361" s="42"/>
      <c r="BC1361" s="74"/>
      <c r="BD1361" s="77"/>
      <c r="BF1361">
        <v>19.04</v>
      </c>
      <c r="BH1361" s="42"/>
      <c r="BI1361" s="74"/>
      <c r="BJ1361" s="77"/>
      <c r="BL1361" s="497">
        <v>19.939999999999998</v>
      </c>
      <c r="BN1361" s="42"/>
      <c r="BO1361" s="74"/>
      <c r="BP1361" s="77"/>
      <c r="BR1361" s="497">
        <v>21.02</v>
      </c>
      <c r="BT1361" s="42"/>
    </row>
    <row r="1362" spans="1:72" x14ac:dyDescent="0.25">
      <c r="A1362" s="90">
        <v>34755</v>
      </c>
      <c r="B1362" s="20">
        <v>1</v>
      </c>
      <c r="D1362">
        <v>39.019999999999996</v>
      </c>
      <c r="E1362" t="str">
        <f t="shared" si="76"/>
        <v>SATURDAY</v>
      </c>
      <c r="F1362" t="e">
        <f t="shared" si="77"/>
        <v>#N/A</v>
      </c>
      <c r="G1362" s="74">
        <v>32198</v>
      </c>
      <c r="H1362" s="77">
        <v>1</v>
      </c>
      <c r="J1362">
        <v>28.04</v>
      </c>
      <c r="M1362" s="74">
        <v>38042</v>
      </c>
      <c r="N1362" s="80">
        <v>1</v>
      </c>
      <c r="P1362">
        <v>26.6</v>
      </c>
      <c r="S1362" s="74">
        <v>34755</v>
      </c>
      <c r="T1362" s="80">
        <v>1</v>
      </c>
      <c r="V1362">
        <v>35.96</v>
      </c>
      <c r="X1362" s="42"/>
      <c r="AB1362">
        <v>36.1</v>
      </c>
      <c r="AC1362">
        <v>37.94</v>
      </c>
      <c r="AE1362" s="74"/>
      <c r="AF1362" s="80"/>
      <c r="AH1362" s="497">
        <v>46.94</v>
      </c>
      <c r="AJ1362" s="42"/>
      <c r="AK1362" s="74"/>
      <c r="AL1362" s="80"/>
      <c r="AN1362" s="497">
        <v>8.0599999999999987</v>
      </c>
      <c r="AP1362" s="42"/>
      <c r="AQ1362" s="74"/>
      <c r="AR1362" s="80"/>
      <c r="AT1362" s="497">
        <v>15.079999999999998</v>
      </c>
      <c r="AV1362" s="42"/>
      <c r="AW1362" s="74"/>
      <c r="AX1362" s="80"/>
      <c r="BA1362" s="497">
        <v>15.98</v>
      </c>
      <c r="BB1362" s="42"/>
      <c r="BC1362" s="74"/>
      <c r="BD1362" s="80"/>
      <c r="BF1362">
        <v>19.04</v>
      </c>
      <c r="BH1362" s="42"/>
      <c r="BI1362" s="74"/>
      <c r="BJ1362" s="80"/>
      <c r="BL1362" s="497">
        <v>19.939999999999998</v>
      </c>
      <c r="BN1362" s="42"/>
      <c r="BO1362" s="74"/>
      <c r="BP1362" s="80"/>
      <c r="BR1362" s="497">
        <v>21.02</v>
      </c>
      <c r="BT1362" s="42"/>
    </row>
    <row r="1363" spans="1:72" x14ac:dyDescent="0.25">
      <c r="A1363" s="90">
        <v>34756</v>
      </c>
      <c r="B1363" s="20">
        <v>4.1666666666666664E-2</v>
      </c>
      <c r="D1363">
        <v>30.02</v>
      </c>
      <c r="E1363" t="str">
        <f t="shared" ref="E1363:E1426" si="78">IF(COUNTIF($DI$18:$DI$22, WEEKDAY(A1363))=1, "WEEKDAY", IF(WEEKDAY(A1363) = 1, "SUNDAY", "SATURDAY"))</f>
        <v>SUNDAY</v>
      </c>
      <c r="F1363" t="e">
        <f t="shared" si="77"/>
        <v>#N/A</v>
      </c>
      <c r="G1363" s="74">
        <v>32199</v>
      </c>
      <c r="H1363" s="77">
        <v>4.1666666666666664E-2</v>
      </c>
      <c r="J1363">
        <v>26.96</v>
      </c>
      <c r="M1363" s="74">
        <v>38043</v>
      </c>
      <c r="N1363" s="77">
        <v>4.1666666666666664E-2</v>
      </c>
      <c r="P1363">
        <v>26.6</v>
      </c>
      <c r="S1363" s="74">
        <v>34756</v>
      </c>
      <c r="T1363" s="77">
        <v>4.1666666666666664E-2</v>
      </c>
      <c r="V1363">
        <v>33.08</v>
      </c>
      <c r="X1363" s="42"/>
      <c r="AB1363">
        <v>35.6</v>
      </c>
      <c r="AC1363">
        <v>37.04</v>
      </c>
      <c r="AE1363" s="74"/>
      <c r="AF1363" s="77"/>
      <c r="AH1363" s="497">
        <v>33.979999999999997</v>
      </c>
      <c r="AJ1363" s="42"/>
      <c r="AK1363" s="74"/>
      <c r="AL1363" s="77"/>
      <c r="AN1363" s="497">
        <v>6.98</v>
      </c>
      <c r="AP1363" s="42"/>
      <c r="AQ1363" s="74"/>
      <c r="AR1363" s="77"/>
      <c r="AT1363" s="497">
        <v>15.079999999999998</v>
      </c>
      <c r="AV1363" s="42"/>
      <c r="AW1363" s="74"/>
      <c r="AX1363" s="77"/>
      <c r="BA1363" s="497">
        <v>15.079999999999998</v>
      </c>
      <c r="BB1363" s="42"/>
      <c r="BC1363" s="74"/>
      <c r="BD1363" s="77"/>
      <c r="BF1363">
        <v>19.939999999999998</v>
      </c>
      <c r="BH1363" s="42"/>
      <c r="BI1363" s="74"/>
      <c r="BJ1363" s="77"/>
      <c r="BL1363" s="497">
        <v>19.939999999999998</v>
      </c>
      <c r="BN1363" s="42"/>
      <c r="BO1363" s="74"/>
      <c r="BP1363" s="77"/>
      <c r="BR1363" s="497">
        <v>19.939999999999998</v>
      </c>
      <c r="BT1363" s="42"/>
    </row>
    <row r="1364" spans="1:72" x14ac:dyDescent="0.25">
      <c r="A1364" s="90">
        <v>34756</v>
      </c>
      <c r="B1364" s="20">
        <v>8.3333333333333329E-2</v>
      </c>
      <c r="D1364">
        <v>28.94</v>
      </c>
      <c r="E1364" t="str">
        <f t="shared" si="78"/>
        <v>SUNDAY</v>
      </c>
      <c r="F1364" t="e">
        <f t="shared" si="77"/>
        <v>#N/A</v>
      </c>
      <c r="G1364" s="74">
        <v>32199</v>
      </c>
      <c r="H1364" s="77">
        <v>8.3333333333333329E-2</v>
      </c>
      <c r="J1364">
        <v>26.060000000000002</v>
      </c>
      <c r="M1364" s="74">
        <v>38043</v>
      </c>
      <c r="N1364" s="77">
        <v>8.3333333333333329E-2</v>
      </c>
      <c r="P1364">
        <v>26.6</v>
      </c>
      <c r="S1364" s="74">
        <v>34756</v>
      </c>
      <c r="T1364" s="77">
        <v>8.3333333333333329E-2</v>
      </c>
      <c r="V1364">
        <v>28.94</v>
      </c>
      <c r="X1364" s="42"/>
      <c r="AB1364">
        <v>35</v>
      </c>
      <c r="AC1364">
        <v>37.04</v>
      </c>
      <c r="AE1364" s="74"/>
      <c r="AF1364" s="77"/>
      <c r="AH1364" s="497">
        <v>32.9</v>
      </c>
      <c r="AJ1364" s="42"/>
      <c r="AK1364" s="74"/>
      <c r="AL1364" s="77"/>
      <c r="AN1364" s="497">
        <v>8.9599999999999973</v>
      </c>
      <c r="AP1364" s="42"/>
      <c r="AQ1364" s="74"/>
      <c r="AR1364" s="77"/>
      <c r="AT1364" s="497">
        <v>12.920000000000002</v>
      </c>
      <c r="AV1364" s="42"/>
      <c r="AW1364" s="74"/>
      <c r="AX1364" s="77"/>
      <c r="BA1364" s="497">
        <v>12.02</v>
      </c>
      <c r="BB1364" s="42"/>
      <c r="BC1364" s="74"/>
      <c r="BD1364" s="77"/>
      <c r="BF1364">
        <v>19.939999999999998</v>
      </c>
      <c r="BH1364" s="42"/>
      <c r="BI1364" s="74"/>
      <c r="BJ1364" s="77"/>
      <c r="BL1364" s="497">
        <v>19.939999999999998</v>
      </c>
      <c r="BN1364" s="42"/>
      <c r="BO1364" s="74"/>
      <c r="BP1364" s="77"/>
      <c r="BR1364" s="497">
        <v>19.04</v>
      </c>
      <c r="BT1364" s="42"/>
    </row>
    <row r="1365" spans="1:72" x14ac:dyDescent="0.25">
      <c r="A1365" s="90">
        <v>34756</v>
      </c>
      <c r="B1365" s="20">
        <v>0.125</v>
      </c>
      <c r="D1365">
        <v>28.04</v>
      </c>
      <c r="E1365" t="str">
        <f t="shared" si="78"/>
        <v>SUNDAY</v>
      </c>
      <c r="F1365" t="e">
        <f t="shared" si="77"/>
        <v>#N/A</v>
      </c>
      <c r="G1365" s="74">
        <v>32199</v>
      </c>
      <c r="H1365" s="77">
        <v>0.125</v>
      </c>
      <c r="J1365">
        <v>26.060000000000002</v>
      </c>
      <c r="M1365" s="74">
        <v>38043</v>
      </c>
      <c r="N1365" s="77">
        <v>0.125</v>
      </c>
      <c r="P1365">
        <v>23</v>
      </c>
      <c r="S1365" s="74">
        <v>34756</v>
      </c>
      <c r="T1365" s="77">
        <v>0.125</v>
      </c>
      <c r="V1365">
        <v>28.04</v>
      </c>
      <c r="X1365" s="42"/>
      <c r="AB1365">
        <v>34.5</v>
      </c>
      <c r="AC1365">
        <v>37.04</v>
      </c>
      <c r="AE1365" s="74"/>
      <c r="AF1365" s="77"/>
      <c r="AH1365" s="497">
        <v>31.1</v>
      </c>
      <c r="AJ1365" s="42"/>
      <c r="AK1365" s="74"/>
      <c r="AL1365" s="77"/>
      <c r="AN1365" s="497">
        <v>8.0599999999999987</v>
      </c>
      <c r="AP1365" s="42"/>
      <c r="AQ1365" s="74"/>
      <c r="AR1365" s="77"/>
      <c r="AT1365" s="497">
        <v>10.039999999999999</v>
      </c>
      <c r="AV1365" s="42"/>
      <c r="AW1365" s="74"/>
      <c r="AX1365" s="77"/>
      <c r="BA1365" s="497">
        <v>14</v>
      </c>
      <c r="BB1365" s="42"/>
      <c r="BC1365" s="74"/>
      <c r="BD1365" s="77"/>
      <c r="BF1365">
        <v>19.939999999999998</v>
      </c>
      <c r="BH1365" s="42"/>
      <c r="BI1365" s="74"/>
      <c r="BJ1365" s="77"/>
      <c r="BL1365" s="497">
        <v>19.04</v>
      </c>
      <c r="BN1365" s="42"/>
      <c r="BO1365" s="74"/>
      <c r="BP1365" s="77"/>
      <c r="BR1365" s="497">
        <v>17.059999999999999</v>
      </c>
      <c r="BT1365" s="42"/>
    </row>
    <row r="1366" spans="1:72" x14ac:dyDescent="0.25">
      <c r="A1366" s="90">
        <v>34756</v>
      </c>
      <c r="B1366" s="20">
        <v>0.16666666666666666</v>
      </c>
      <c r="D1366">
        <v>26.96</v>
      </c>
      <c r="E1366" t="str">
        <f t="shared" si="78"/>
        <v>SUNDAY</v>
      </c>
      <c r="F1366" t="e">
        <f t="shared" si="77"/>
        <v>#N/A</v>
      </c>
      <c r="G1366" s="74">
        <v>32199</v>
      </c>
      <c r="H1366" s="77">
        <v>0.16666666666666666</v>
      </c>
      <c r="J1366">
        <v>24.98</v>
      </c>
      <c r="M1366" s="74">
        <v>38043</v>
      </c>
      <c r="N1366" s="77">
        <v>0.16666666666666666</v>
      </c>
      <c r="P1366">
        <v>23</v>
      </c>
      <c r="S1366" s="74">
        <v>34756</v>
      </c>
      <c r="T1366" s="77">
        <v>0.16666666666666666</v>
      </c>
      <c r="V1366">
        <v>26.96</v>
      </c>
      <c r="X1366" s="42"/>
      <c r="AB1366">
        <v>34.1</v>
      </c>
      <c r="AC1366">
        <v>35.96</v>
      </c>
      <c r="AE1366" s="74"/>
      <c r="AF1366" s="77"/>
      <c r="AH1366" s="497">
        <v>29.84</v>
      </c>
      <c r="AJ1366" s="42"/>
      <c r="AK1366" s="74"/>
      <c r="AL1366" s="77"/>
      <c r="AN1366" s="497">
        <v>8.0599999999999987</v>
      </c>
      <c r="AP1366" s="42"/>
      <c r="AQ1366" s="74"/>
      <c r="AR1366" s="77"/>
      <c r="AT1366" s="497">
        <v>10.940000000000001</v>
      </c>
      <c r="AV1366" s="42"/>
      <c r="AW1366" s="74"/>
      <c r="AX1366" s="77"/>
      <c r="BA1366" s="497">
        <v>14</v>
      </c>
      <c r="BB1366" s="42"/>
      <c r="BC1366" s="74"/>
      <c r="BD1366" s="77"/>
      <c r="BF1366">
        <v>19.939999999999998</v>
      </c>
      <c r="BH1366" s="42"/>
      <c r="BI1366" s="74"/>
      <c r="BJ1366" s="77"/>
      <c r="BL1366" s="497">
        <v>17.96</v>
      </c>
      <c r="BN1366" s="42"/>
      <c r="BO1366" s="74"/>
      <c r="BP1366" s="77"/>
      <c r="BR1366" s="497">
        <v>17.059999999999999</v>
      </c>
      <c r="BT1366" s="42"/>
    </row>
    <row r="1367" spans="1:72" x14ac:dyDescent="0.25">
      <c r="A1367" s="90">
        <v>34756</v>
      </c>
      <c r="B1367" s="20">
        <v>0.20833333333333334</v>
      </c>
      <c r="D1367">
        <v>26.060000000000002</v>
      </c>
      <c r="E1367" t="str">
        <f t="shared" si="78"/>
        <v>SUNDAY</v>
      </c>
      <c r="F1367" t="e">
        <f t="shared" si="77"/>
        <v>#N/A</v>
      </c>
      <c r="G1367" s="74">
        <v>32199</v>
      </c>
      <c r="H1367" s="77">
        <v>0.20833333333333334</v>
      </c>
      <c r="J1367">
        <v>24.98</v>
      </c>
      <c r="M1367" s="74">
        <v>38043</v>
      </c>
      <c r="N1367" s="77">
        <v>0.20833333333333334</v>
      </c>
      <c r="P1367">
        <v>24.8</v>
      </c>
      <c r="S1367" s="74">
        <v>34756</v>
      </c>
      <c r="T1367" s="77">
        <v>0.20833333333333334</v>
      </c>
      <c r="V1367">
        <v>26.060000000000002</v>
      </c>
      <c r="X1367" s="42"/>
      <c r="AB1367">
        <v>33.6</v>
      </c>
      <c r="AC1367">
        <v>35.96</v>
      </c>
      <c r="AE1367" s="74"/>
      <c r="AF1367" s="77"/>
      <c r="AH1367" s="497">
        <v>26.96</v>
      </c>
      <c r="AJ1367" s="42"/>
      <c r="AK1367" s="74"/>
      <c r="AL1367" s="77"/>
      <c r="AN1367" s="497">
        <v>6.98</v>
      </c>
      <c r="AP1367" s="42"/>
      <c r="AQ1367" s="74"/>
      <c r="AR1367" s="77"/>
      <c r="AT1367" s="497">
        <v>12.920000000000002</v>
      </c>
      <c r="AV1367" s="42"/>
      <c r="AW1367" s="74"/>
      <c r="AX1367" s="77"/>
      <c r="BA1367" s="497">
        <v>15.079999999999998</v>
      </c>
      <c r="BB1367" s="42"/>
      <c r="BC1367" s="74"/>
      <c r="BD1367" s="77"/>
      <c r="BF1367">
        <v>19.04</v>
      </c>
      <c r="BH1367" s="42"/>
      <c r="BI1367" s="74"/>
      <c r="BJ1367" s="77"/>
      <c r="BL1367" s="497">
        <v>15.98</v>
      </c>
      <c r="BN1367" s="42"/>
      <c r="BO1367" s="74"/>
      <c r="BP1367" s="77"/>
      <c r="BR1367" s="497">
        <v>15.98</v>
      </c>
      <c r="BT1367" s="42"/>
    </row>
    <row r="1368" spans="1:72" x14ac:dyDescent="0.25">
      <c r="A1368" s="90">
        <v>34756</v>
      </c>
      <c r="B1368" s="20">
        <v>0.25</v>
      </c>
      <c r="D1368">
        <v>24.08</v>
      </c>
      <c r="E1368" t="str">
        <f t="shared" si="78"/>
        <v>SUNDAY</v>
      </c>
      <c r="F1368" t="e">
        <f t="shared" si="77"/>
        <v>#N/A</v>
      </c>
      <c r="G1368" s="74">
        <v>32199</v>
      </c>
      <c r="H1368" s="77">
        <v>0.25</v>
      </c>
      <c r="J1368">
        <v>24.08</v>
      </c>
      <c r="M1368" s="74">
        <v>38043</v>
      </c>
      <c r="N1368" s="77">
        <v>0.25</v>
      </c>
      <c r="P1368">
        <v>21.2</v>
      </c>
      <c r="S1368" s="74">
        <v>34756</v>
      </c>
      <c r="T1368" s="77">
        <v>0.25</v>
      </c>
      <c r="V1368">
        <v>24.98</v>
      </c>
      <c r="X1368" s="42"/>
      <c r="AB1368">
        <v>33.200000000000003</v>
      </c>
      <c r="AC1368">
        <v>35.96</v>
      </c>
      <c r="AE1368" s="74"/>
      <c r="AF1368" s="77"/>
      <c r="AH1368" s="497">
        <v>26.96</v>
      </c>
      <c r="AJ1368" s="42"/>
      <c r="AK1368" s="74"/>
      <c r="AL1368" s="77"/>
      <c r="AN1368" s="497">
        <v>6.0799999999999983</v>
      </c>
      <c r="AP1368" s="42"/>
      <c r="AQ1368" s="74"/>
      <c r="AR1368" s="77"/>
      <c r="AT1368" s="497">
        <v>12.920000000000002</v>
      </c>
      <c r="AV1368" s="42"/>
      <c r="AW1368" s="74"/>
      <c r="AX1368" s="77"/>
      <c r="BA1368" s="497">
        <v>15.98</v>
      </c>
      <c r="BB1368" s="42"/>
      <c r="BC1368" s="74"/>
      <c r="BD1368" s="77"/>
      <c r="BF1368">
        <v>17.059999999999999</v>
      </c>
      <c r="BH1368" s="42"/>
      <c r="BI1368" s="74"/>
      <c r="BJ1368" s="77"/>
      <c r="BL1368" s="497">
        <v>15.98</v>
      </c>
      <c r="BN1368" s="42"/>
      <c r="BO1368" s="74"/>
      <c r="BP1368" s="77"/>
      <c r="BR1368" s="497">
        <v>15.079999999999998</v>
      </c>
      <c r="BT1368" s="42"/>
    </row>
    <row r="1369" spans="1:72" x14ac:dyDescent="0.25">
      <c r="A1369" s="90">
        <v>34756</v>
      </c>
      <c r="B1369" s="20">
        <v>0.29166666666666669</v>
      </c>
      <c r="D1369">
        <v>21.02</v>
      </c>
      <c r="E1369" t="str">
        <f t="shared" si="78"/>
        <v>SUNDAY</v>
      </c>
      <c r="F1369" t="e">
        <f t="shared" si="77"/>
        <v>#N/A</v>
      </c>
      <c r="G1369" s="74">
        <v>32199</v>
      </c>
      <c r="H1369" s="77">
        <v>0.29166666666666669</v>
      </c>
      <c r="J1369">
        <v>24.08</v>
      </c>
      <c r="M1369" s="74">
        <v>38043</v>
      </c>
      <c r="N1369" s="77">
        <v>0.29166666666666669</v>
      </c>
      <c r="P1369">
        <v>21.2</v>
      </c>
      <c r="S1369" s="74">
        <v>34756</v>
      </c>
      <c r="T1369" s="77">
        <v>0.29166666666666669</v>
      </c>
      <c r="V1369">
        <v>21.92</v>
      </c>
      <c r="X1369" s="42"/>
      <c r="AB1369">
        <v>33</v>
      </c>
      <c r="AC1369">
        <v>35.96</v>
      </c>
      <c r="AE1369" s="74"/>
      <c r="AF1369" s="77"/>
      <c r="AH1369" s="497">
        <v>24.98</v>
      </c>
      <c r="AJ1369" s="42"/>
      <c r="AK1369" s="74"/>
      <c r="AL1369" s="77"/>
      <c r="AN1369" s="497">
        <v>3.019999999999996</v>
      </c>
      <c r="AP1369" s="42"/>
      <c r="AQ1369" s="74"/>
      <c r="AR1369" s="77"/>
      <c r="AT1369" s="497">
        <v>12.02</v>
      </c>
      <c r="AV1369" s="42"/>
      <c r="AW1369" s="74"/>
      <c r="AX1369" s="77"/>
      <c r="BA1369" s="497">
        <v>14</v>
      </c>
      <c r="BB1369" s="42"/>
      <c r="BC1369" s="74"/>
      <c r="BD1369" s="77"/>
      <c r="BF1369">
        <v>17.059999999999999</v>
      </c>
      <c r="BH1369" s="42"/>
      <c r="BI1369" s="74"/>
      <c r="BJ1369" s="77"/>
      <c r="BL1369" s="497">
        <v>15.98</v>
      </c>
      <c r="BN1369" s="42"/>
      <c r="BO1369" s="74"/>
      <c r="BP1369" s="77"/>
      <c r="BR1369" s="497">
        <v>12.920000000000002</v>
      </c>
      <c r="BT1369" s="42"/>
    </row>
    <row r="1370" spans="1:72" x14ac:dyDescent="0.25">
      <c r="A1370" s="90">
        <v>34756</v>
      </c>
      <c r="B1370" s="20">
        <v>0.33333333333333331</v>
      </c>
      <c r="D1370">
        <v>19.939999999999998</v>
      </c>
      <c r="E1370" t="str">
        <f t="shared" si="78"/>
        <v>SUNDAY</v>
      </c>
      <c r="F1370" t="e">
        <f t="shared" si="77"/>
        <v>#N/A</v>
      </c>
      <c r="G1370" s="74">
        <v>32199</v>
      </c>
      <c r="H1370" s="77">
        <v>0.33333333333333331</v>
      </c>
      <c r="J1370">
        <v>24.98</v>
      </c>
      <c r="M1370" s="74">
        <v>38043</v>
      </c>
      <c r="N1370" s="77">
        <v>0.33333333333333331</v>
      </c>
      <c r="P1370">
        <v>28.4</v>
      </c>
      <c r="S1370" s="74">
        <v>34756</v>
      </c>
      <c r="T1370" s="77">
        <v>0.33333333333333331</v>
      </c>
      <c r="V1370">
        <v>21.02</v>
      </c>
      <c r="X1370" s="42"/>
      <c r="AB1370">
        <v>33</v>
      </c>
      <c r="AC1370">
        <v>37.04</v>
      </c>
      <c r="AE1370" s="74"/>
      <c r="AF1370" s="77"/>
      <c r="AH1370" s="497">
        <v>30.92</v>
      </c>
      <c r="AJ1370" s="42"/>
      <c r="AK1370" s="74"/>
      <c r="AL1370" s="77"/>
      <c r="AN1370" s="497">
        <v>6.0799999999999983</v>
      </c>
      <c r="AP1370" s="42"/>
      <c r="AQ1370" s="74"/>
      <c r="AR1370" s="77"/>
      <c r="AT1370" s="497">
        <v>14</v>
      </c>
      <c r="AV1370" s="42"/>
      <c r="AW1370" s="74"/>
      <c r="AX1370" s="77"/>
      <c r="BA1370" s="497">
        <v>15.98</v>
      </c>
      <c r="BB1370" s="42"/>
      <c r="BC1370" s="74"/>
      <c r="BD1370" s="77"/>
      <c r="BF1370">
        <v>19.04</v>
      </c>
      <c r="BH1370" s="42"/>
      <c r="BI1370" s="74"/>
      <c r="BJ1370" s="77"/>
      <c r="BL1370" s="497">
        <v>17.96</v>
      </c>
      <c r="BN1370" s="42"/>
      <c r="BO1370" s="74"/>
      <c r="BP1370" s="77"/>
      <c r="BR1370" s="497">
        <v>15.079999999999998</v>
      </c>
      <c r="BT1370" s="42"/>
    </row>
    <row r="1371" spans="1:72" x14ac:dyDescent="0.25">
      <c r="A1371" s="90">
        <v>34756</v>
      </c>
      <c r="B1371" s="20">
        <v>0.375</v>
      </c>
      <c r="D1371">
        <v>19.04</v>
      </c>
      <c r="E1371" t="str">
        <f t="shared" si="78"/>
        <v>SUNDAY</v>
      </c>
      <c r="F1371" t="e">
        <f t="shared" si="77"/>
        <v>#N/A</v>
      </c>
      <c r="G1371" s="74">
        <v>32199</v>
      </c>
      <c r="H1371" s="77">
        <v>0.375</v>
      </c>
      <c r="J1371">
        <v>26.060000000000002</v>
      </c>
      <c r="M1371" s="74">
        <v>38043</v>
      </c>
      <c r="N1371" s="77">
        <v>0.375</v>
      </c>
      <c r="P1371">
        <v>30.2</v>
      </c>
      <c r="S1371" s="74">
        <v>34756</v>
      </c>
      <c r="T1371" s="77">
        <v>0.375</v>
      </c>
      <c r="V1371">
        <v>21.02</v>
      </c>
      <c r="X1371" s="42"/>
      <c r="AB1371">
        <v>34.5</v>
      </c>
      <c r="AC1371">
        <v>37.04</v>
      </c>
      <c r="AE1371" s="74"/>
      <c r="AF1371" s="77"/>
      <c r="AH1371" s="497">
        <v>38.840000000000003</v>
      </c>
      <c r="AJ1371" s="42"/>
      <c r="AK1371" s="74"/>
      <c r="AL1371" s="77"/>
      <c r="AN1371" s="497">
        <v>10.940000000000001</v>
      </c>
      <c r="AP1371" s="42"/>
      <c r="AQ1371" s="74"/>
      <c r="AR1371" s="77"/>
      <c r="AT1371" s="497">
        <v>19.939999999999998</v>
      </c>
      <c r="AV1371" s="42"/>
      <c r="AW1371" s="74"/>
      <c r="AX1371" s="77"/>
      <c r="BA1371" s="497">
        <v>17.059999999999999</v>
      </c>
      <c r="BB1371" s="42"/>
      <c r="BC1371" s="74"/>
      <c r="BD1371" s="77"/>
      <c r="BF1371">
        <v>19.939999999999998</v>
      </c>
      <c r="BH1371" s="42"/>
      <c r="BI1371" s="74"/>
      <c r="BJ1371" s="77"/>
      <c r="BL1371" s="497">
        <v>21.02</v>
      </c>
      <c r="BN1371" s="42"/>
      <c r="BO1371" s="74"/>
      <c r="BP1371" s="77"/>
      <c r="BR1371" s="497">
        <v>17.96</v>
      </c>
      <c r="BT1371" s="42"/>
    </row>
    <row r="1372" spans="1:72" x14ac:dyDescent="0.25">
      <c r="A1372" s="90">
        <v>34756</v>
      </c>
      <c r="B1372" s="20">
        <v>0.41666666666666669</v>
      </c>
      <c r="D1372">
        <v>19.939999999999998</v>
      </c>
      <c r="E1372" t="str">
        <f t="shared" si="78"/>
        <v>SUNDAY</v>
      </c>
      <c r="F1372" t="e">
        <f t="shared" si="77"/>
        <v>#N/A</v>
      </c>
      <c r="G1372" s="74">
        <v>32199</v>
      </c>
      <c r="H1372" s="77">
        <v>0.41666666666666669</v>
      </c>
      <c r="J1372">
        <v>28.04</v>
      </c>
      <c r="M1372" s="74">
        <v>38043</v>
      </c>
      <c r="N1372" s="77">
        <v>0.41666666666666669</v>
      </c>
      <c r="P1372">
        <v>33.799999999999997</v>
      </c>
      <c r="S1372" s="74">
        <v>34756</v>
      </c>
      <c r="T1372" s="77">
        <v>0.41666666666666669</v>
      </c>
      <c r="V1372">
        <v>21.92</v>
      </c>
      <c r="X1372" s="42"/>
      <c r="AB1372">
        <v>36.1</v>
      </c>
      <c r="AC1372">
        <v>37.94</v>
      </c>
      <c r="AE1372" s="74"/>
      <c r="AF1372" s="77"/>
      <c r="AH1372" s="497">
        <v>42.980000000000004</v>
      </c>
      <c r="AJ1372" s="42"/>
      <c r="AK1372" s="74"/>
      <c r="AL1372" s="77"/>
      <c r="AN1372" s="497">
        <v>15.079999999999998</v>
      </c>
      <c r="AP1372" s="42"/>
      <c r="AQ1372" s="74"/>
      <c r="AR1372" s="77"/>
      <c r="AT1372" s="497">
        <v>23</v>
      </c>
      <c r="AV1372" s="42"/>
      <c r="AW1372" s="74"/>
      <c r="AX1372" s="77"/>
      <c r="BA1372" s="497">
        <v>21.02</v>
      </c>
      <c r="BB1372" s="42"/>
      <c r="BC1372" s="74"/>
      <c r="BD1372" s="77"/>
      <c r="BF1372">
        <v>21.92</v>
      </c>
      <c r="BH1372" s="42"/>
      <c r="BI1372" s="74"/>
      <c r="BJ1372" s="77"/>
      <c r="BL1372" s="497">
        <v>24.08</v>
      </c>
      <c r="BN1372" s="42"/>
      <c r="BO1372" s="74"/>
      <c r="BP1372" s="77"/>
      <c r="BR1372" s="497">
        <v>19.939999999999998</v>
      </c>
      <c r="BT1372" s="42"/>
    </row>
    <row r="1373" spans="1:72" x14ac:dyDescent="0.25">
      <c r="A1373" s="90">
        <v>34756</v>
      </c>
      <c r="B1373" s="20">
        <v>0.45833333333333331</v>
      </c>
      <c r="D1373">
        <v>21.02</v>
      </c>
      <c r="E1373" t="str">
        <f t="shared" si="78"/>
        <v>SUNDAY</v>
      </c>
      <c r="F1373" t="e">
        <f t="shared" si="77"/>
        <v>#N/A</v>
      </c>
      <c r="G1373" s="74">
        <v>32199</v>
      </c>
      <c r="H1373" s="77">
        <v>0.45833333333333331</v>
      </c>
      <c r="J1373">
        <v>30.92</v>
      </c>
      <c r="M1373" s="74">
        <v>38043</v>
      </c>
      <c r="N1373" s="77">
        <v>0.45833333333333331</v>
      </c>
      <c r="P1373">
        <v>35.6</v>
      </c>
      <c r="S1373" s="74">
        <v>34756</v>
      </c>
      <c r="T1373" s="77">
        <v>0.45833333333333331</v>
      </c>
      <c r="V1373">
        <v>23</v>
      </c>
      <c r="X1373" s="42"/>
      <c r="AB1373">
        <v>37.700000000000003</v>
      </c>
      <c r="AC1373">
        <v>39.019999999999996</v>
      </c>
      <c r="AE1373" s="74"/>
      <c r="AF1373" s="77"/>
      <c r="AH1373" s="497">
        <v>45.86</v>
      </c>
      <c r="AJ1373" s="42"/>
      <c r="AK1373" s="74"/>
      <c r="AL1373" s="77"/>
      <c r="AN1373" s="497">
        <v>19.04</v>
      </c>
      <c r="AP1373" s="42"/>
      <c r="AQ1373" s="74"/>
      <c r="AR1373" s="77"/>
      <c r="AT1373" s="497">
        <v>26.96</v>
      </c>
      <c r="AV1373" s="42"/>
      <c r="AW1373" s="74"/>
      <c r="AX1373" s="77"/>
      <c r="BA1373" s="497">
        <v>23</v>
      </c>
      <c r="BB1373" s="42"/>
      <c r="BC1373" s="74"/>
      <c r="BD1373" s="77"/>
      <c r="BF1373">
        <v>23</v>
      </c>
      <c r="BH1373" s="42"/>
      <c r="BI1373" s="74"/>
      <c r="BJ1373" s="77"/>
      <c r="BL1373" s="497">
        <v>26.060000000000002</v>
      </c>
      <c r="BN1373" s="42"/>
      <c r="BO1373" s="74"/>
      <c r="BP1373" s="77"/>
      <c r="BR1373" s="497">
        <v>21.92</v>
      </c>
      <c r="BT1373" s="42"/>
    </row>
    <row r="1374" spans="1:72" x14ac:dyDescent="0.25">
      <c r="A1374" s="90">
        <v>34756</v>
      </c>
      <c r="B1374" s="20">
        <v>0.5</v>
      </c>
      <c r="D1374">
        <v>21.92</v>
      </c>
      <c r="E1374" t="str">
        <f t="shared" si="78"/>
        <v>SUNDAY</v>
      </c>
      <c r="F1374" t="e">
        <f t="shared" si="77"/>
        <v>#N/A</v>
      </c>
      <c r="G1374" s="74">
        <v>32199</v>
      </c>
      <c r="H1374" s="77">
        <v>0.5</v>
      </c>
      <c r="J1374">
        <v>33.08</v>
      </c>
      <c r="M1374" s="74">
        <v>38043</v>
      </c>
      <c r="N1374" s="77">
        <v>0.5</v>
      </c>
      <c r="P1374">
        <v>39.200000000000003</v>
      </c>
      <c r="S1374" s="74">
        <v>34756</v>
      </c>
      <c r="T1374" s="77">
        <v>0.5</v>
      </c>
      <c r="V1374">
        <v>21.92</v>
      </c>
      <c r="X1374" s="42"/>
      <c r="AB1374">
        <v>39.1</v>
      </c>
      <c r="AC1374">
        <v>39.92</v>
      </c>
      <c r="AE1374" s="74"/>
      <c r="AF1374" s="77"/>
      <c r="AH1374" s="497">
        <v>48.92</v>
      </c>
      <c r="AJ1374" s="42"/>
      <c r="AK1374" s="74"/>
      <c r="AL1374" s="77"/>
      <c r="AN1374" s="497">
        <v>21.92</v>
      </c>
      <c r="AP1374" s="42"/>
      <c r="AQ1374" s="74"/>
      <c r="AR1374" s="77"/>
      <c r="AT1374" s="497">
        <v>28.94</v>
      </c>
      <c r="AV1374" s="42"/>
      <c r="AW1374" s="74"/>
      <c r="AX1374" s="77"/>
      <c r="BA1374" s="497">
        <v>23</v>
      </c>
      <c r="BB1374" s="42"/>
      <c r="BC1374" s="74"/>
      <c r="BD1374" s="77"/>
      <c r="BF1374">
        <v>24.08</v>
      </c>
      <c r="BH1374" s="42"/>
      <c r="BI1374" s="74"/>
      <c r="BJ1374" s="77"/>
      <c r="BL1374" s="497">
        <v>26.96</v>
      </c>
      <c r="BN1374" s="42"/>
      <c r="BO1374" s="74"/>
      <c r="BP1374" s="77"/>
      <c r="BR1374" s="497">
        <v>24.98</v>
      </c>
      <c r="BT1374" s="42"/>
    </row>
    <row r="1375" spans="1:72" x14ac:dyDescent="0.25">
      <c r="A1375" s="90">
        <v>34756</v>
      </c>
      <c r="B1375" s="20">
        <v>0.54166666666666663</v>
      </c>
      <c r="D1375">
        <v>24.08</v>
      </c>
      <c r="E1375" t="str">
        <f t="shared" si="78"/>
        <v>SUNDAY</v>
      </c>
      <c r="F1375" t="e">
        <f t="shared" si="77"/>
        <v>#N/A</v>
      </c>
      <c r="G1375" s="74">
        <v>32199</v>
      </c>
      <c r="H1375" s="77">
        <v>0.54166666666666663</v>
      </c>
      <c r="J1375">
        <v>32</v>
      </c>
      <c r="M1375" s="74">
        <v>38043</v>
      </c>
      <c r="N1375" s="77">
        <v>0.54166666666666663</v>
      </c>
      <c r="P1375">
        <v>41</v>
      </c>
      <c r="S1375" s="74">
        <v>34756</v>
      </c>
      <c r="T1375" s="77">
        <v>0.54166666666666663</v>
      </c>
      <c r="V1375">
        <v>24.08</v>
      </c>
      <c r="X1375" s="42"/>
      <c r="AB1375">
        <v>40.200000000000003</v>
      </c>
      <c r="AC1375">
        <v>41</v>
      </c>
      <c r="AE1375" s="74"/>
      <c r="AF1375" s="77"/>
      <c r="AH1375" s="497">
        <v>51.980000000000004</v>
      </c>
      <c r="AJ1375" s="42"/>
      <c r="AK1375" s="74"/>
      <c r="AL1375" s="77"/>
      <c r="AN1375" s="497">
        <v>24.08</v>
      </c>
      <c r="AP1375" s="42"/>
      <c r="AQ1375" s="74"/>
      <c r="AR1375" s="77"/>
      <c r="AT1375" s="497">
        <v>28.94</v>
      </c>
      <c r="AV1375" s="42"/>
      <c r="AW1375" s="74"/>
      <c r="AX1375" s="77"/>
      <c r="BA1375" s="497">
        <v>24.98</v>
      </c>
      <c r="BB1375" s="42"/>
      <c r="BC1375" s="74"/>
      <c r="BD1375" s="77"/>
      <c r="BF1375">
        <v>24.08</v>
      </c>
      <c r="BH1375" s="42"/>
      <c r="BI1375" s="74"/>
      <c r="BJ1375" s="77"/>
      <c r="BL1375" s="497">
        <v>26.060000000000002</v>
      </c>
      <c r="BN1375" s="42"/>
      <c r="BO1375" s="74"/>
      <c r="BP1375" s="77"/>
      <c r="BR1375" s="497">
        <v>26.96</v>
      </c>
      <c r="BT1375" s="42"/>
    </row>
    <row r="1376" spans="1:72" x14ac:dyDescent="0.25">
      <c r="A1376" s="90">
        <v>34756</v>
      </c>
      <c r="B1376" s="20">
        <v>0.58333333333333337</v>
      </c>
      <c r="D1376">
        <v>26.060000000000002</v>
      </c>
      <c r="E1376" t="str">
        <f t="shared" si="78"/>
        <v>SUNDAY</v>
      </c>
      <c r="F1376" t="e">
        <f t="shared" si="77"/>
        <v>#N/A</v>
      </c>
      <c r="G1376" s="74">
        <v>32199</v>
      </c>
      <c r="H1376" s="77">
        <v>0.58333333333333337</v>
      </c>
      <c r="J1376">
        <v>33.979999999999997</v>
      </c>
      <c r="M1376" s="74">
        <v>38043</v>
      </c>
      <c r="N1376" s="77">
        <v>0.58333333333333337</v>
      </c>
      <c r="P1376">
        <v>41</v>
      </c>
      <c r="S1376" s="74">
        <v>34756</v>
      </c>
      <c r="T1376" s="77">
        <v>0.58333333333333337</v>
      </c>
      <c r="V1376">
        <v>24.98</v>
      </c>
      <c r="X1376" s="42"/>
      <c r="AB1376">
        <v>41.1</v>
      </c>
      <c r="AC1376">
        <v>39.92</v>
      </c>
      <c r="AE1376" s="74"/>
      <c r="AF1376" s="77"/>
      <c r="AH1376" s="497">
        <v>53.96</v>
      </c>
      <c r="AJ1376" s="42"/>
      <c r="AK1376" s="74"/>
      <c r="AL1376" s="77"/>
      <c r="AN1376" s="497">
        <v>24.98</v>
      </c>
      <c r="AP1376" s="42"/>
      <c r="AQ1376" s="74"/>
      <c r="AR1376" s="77"/>
      <c r="AT1376" s="497">
        <v>28.94</v>
      </c>
      <c r="AV1376" s="42"/>
      <c r="AW1376" s="74"/>
      <c r="AX1376" s="77"/>
      <c r="BA1376" s="497">
        <v>26.060000000000002</v>
      </c>
      <c r="BB1376" s="42"/>
      <c r="BC1376" s="74"/>
      <c r="BD1376" s="77"/>
      <c r="BF1376">
        <v>24.08</v>
      </c>
      <c r="BH1376" s="42"/>
      <c r="BI1376" s="74"/>
      <c r="BJ1376" s="77"/>
      <c r="BL1376" s="497">
        <v>26.060000000000002</v>
      </c>
      <c r="BN1376" s="42"/>
      <c r="BO1376" s="74"/>
      <c r="BP1376" s="77"/>
      <c r="BR1376" s="497">
        <v>26.96</v>
      </c>
      <c r="BT1376" s="42"/>
    </row>
    <row r="1377" spans="1:72" x14ac:dyDescent="0.25">
      <c r="A1377" s="90">
        <v>34756</v>
      </c>
      <c r="B1377" s="20">
        <v>0.625</v>
      </c>
      <c r="D1377">
        <v>26.96</v>
      </c>
      <c r="E1377" t="str">
        <f t="shared" si="78"/>
        <v>SUNDAY</v>
      </c>
      <c r="F1377" t="e">
        <f t="shared" si="77"/>
        <v>#N/A</v>
      </c>
      <c r="G1377" s="74">
        <v>32199</v>
      </c>
      <c r="H1377" s="77">
        <v>0.625</v>
      </c>
      <c r="J1377">
        <v>35.06</v>
      </c>
      <c r="M1377" s="74">
        <v>38043</v>
      </c>
      <c r="N1377" s="77">
        <v>0.625</v>
      </c>
      <c r="P1377">
        <v>39.200000000000003</v>
      </c>
      <c r="S1377" s="74">
        <v>34756</v>
      </c>
      <c r="T1377" s="77">
        <v>0.625</v>
      </c>
      <c r="V1377">
        <v>26.96</v>
      </c>
      <c r="X1377" s="42"/>
      <c r="AB1377">
        <v>41.7</v>
      </c>
      <c r="AC1377">
        <v>39.92</v>
      </c>
      <c r="AE1377" s="74"/>
      <c r="AF1377" s="77"/>
      <c r="AH1377" s="497">
        <v>55.94</v>
      </c>
      <c r="AJ1377" s="42"/>
      <c r="AK1377" s="74"/>
      <c r="AL1377" s="77"/>
      <c r="AN1377" s="497">
        <v>26.060000000000002</v>
      </c>
      <c r="AP1377" s="42"/>
      <c r="AQ1377" s="74"/>
      <c r="AR1377" s="77"/>
      <c r="AT1377" s="497">
        <v>30.02</v>
      </c>
      <c r="AV1377" s="42"/>
      <c r="AW1377" s="74"/>
      <c r="AX1377" s="77"/>
      <c r="BA1377" s="497">
        <v>26.060000000000002</v>
      </c>
      <c r="BB1377" s="42"/>
      <c r="BC1377" s="74"/>
      <c r="BD1377" s="77"/>
      <c r="BF1377">
        <v>26.96</v>
      </c>
      <c r="BH1377" s="42"/>
      <c r="BI1377" s="74"/>
      <c r="BJ1377" s="77"/>
      <c r="BL1377" s="497">
        <v>26.060000000000002</v>
      </c>
      <c r="BN1377" s="42"/>
      <c r="BO1377" s="74"/>
      <c r="BP1377" s="77"/>
      <c r="BR1377" s="497">
        <v>26.96</v>
      </c>
      <c r="BT1377" s="42"/>
    </row>
    <row r="1378" spans="1:72" x14ac:dyDescent="0.25">
      <c r="A1378" s="90">
        <v>34756</v>
      </c>
      <c r="B1378" s="20">
        <v>0.66666666666666663</v>
      </c>
      <c r="D1378">
        <v>28.04</v>
      </c>
      <c r="E1378" t="str">
        <f t="shared" si="78"/>
        <v>SUNDAY</v>
      </c>
      <c r="F1378" t="e">
        <f t="shared" si="77"/>
        <v>#N/A</v>
      </c>
      <c r="G1378" s="74">
        <v>32199</v>
      </c>
      <c r="H1378" s="77">
        <v>0.66666666666666663</v>
      </c>
      <c r="J1378">
        <v>35.06</v>
      </c>
      <c r="M1378" s="74">
        <v>38043</v>
      </c>
      <c r="N1378" s="77">
        <v>0.66666666666666663</v>
      </c>
      <c r="P1378">
        <v>39.200000000000003</v>
      </c>
      <c r="S1378" s="74">
        <v>34756</v>
      </c>
      <c r="T1378" s="77">
        <v>0.66666666666666663</v>
      </c>
      <c r="V1378">
        <v>28.94</v>
      </c>
      <c r="X1378" s="42"/>
      <c r="AB1378">
        <v>41.8</v>
      </c>
      <c r="AC1378">
        <v>39.92</v>
      </c>
      <c r="AE1378" s="74"/>
      <c r="AF1378" s="77"/>
      <c r="AH1378" s="497">
        <v>53.96</v>
      </c>
      <c r="AJ1378" s="42"/>
      <c r="AK1378" s="74"/>
      <c r="AL1378" s="77"/>
      <c r="AN1378" s="497">
        <v>26.060000000000002</v>
      </c>
      <c r="AP1378" s="42"/>
      <c r="AQ1378" s="74"/>
      <c r="AR1378" s="77"/>
      <c r="AT1378" s="497">
        <v>28.94</v>
      </c>
      <c r="AV1378" s="42"/>
      <c r="AW1378" s="74"/>
      <c r="AX1378" s="77"/>
      <c r="BA1378" s="497">
        <v>28.04</v>
      </c>
      <c r="BB1378" s="42"/>
      <c r="BC1378" s="74"/>
      <c r="BD1378" s="77"/>
      <c r="BF1378">
        <v>26.060000000000002</v>
      </c>
      <c r="BH1378" s="42"/>
      <c r="BI1378" s="74"/>
      <c r="BJ1378" s="77"/>
      <c r="BL1378" s="497">
        <v>26.060000000000002</v>
      </c>
      <c r="BN1378" s="42"/>
      <c r="BO1378" s="74"/>
      <c r="BP1378" s="77"/>
      <c r="BR1378" s="497">
        <v>26.96</v>
      </c>
      <c r="BT1378" s="42"/>
    </row>
    <row r="1379" spans="1:72" x14ac:dyDescent="0.25">
      <c r="A1379" s="90">
        <v>34756</v>
      </c>
      <c r="B1379" s="20">
        <v>0.70833333333333337</v>
      </c>
      <c r="D1379">
        <v>28.94</v>
      </c>
      <c r="E1379" t="str">
        <f t="shared" si="78"/>
        <v>SUNDAY</v>
      </c>
      <c r="F1379" t="e">
        <f t="shared" si="77"/>
        <v>#N/A</v>
      </c>
      <c r="G1379" s="74">
        <v>32199</v>
      </c>
      <c r="H1379" s="77">
        <v>0.70833333333333337</v>
      </c>
      <c r="J1379">
        <v>33.979999999999997</v>
      </c>
      <c r="M1379" s="74">
        <v>38043</v>
      </c>
      <c r="N1379" s="77">
        <v>0.70833333333333337</v>
      </c>
      <c r="P1379">
        <v>37.4</v>
      </c>
      <c r="S1379" s="74">
        <v>34756</v>
      </c>
      <c r="T1379" s="77">
        <v>0.70833333333333337</v>
      </c>
      <c r="V1379">
        <v>30.02</v>
      </c>
      <c r="X1379" s="42"/>
      <c r="AB1379">
        <v>41.5</v>
      </c>
      <c r="AC1379">
        <v>39.019999999999996</v>
      </c>
      <c r="AE1379" s="74"/>
      <c r="AF1379" s="77"/>
      <c r="AH1379" s="497">
        <v>51.980000000000004</v>
      </c>
      <c r="AJ1379" s="42"/>
      <c r="AK1379" s="74"/>
      <c r="AL1379" s="77"/>
      <c r="AN1379" s="497">
        <v>26.060000000000002</v>
      </c>
      <c r="AP1379" s="42"/>
      <c r="AQ1379" s="74"/>
      <c r="AR1379" s="77"/>
      <c r="AT1379" s="497">
        <v>28.94</v>
      </c>
      <c r="AV1379" s="42"/>
      <c r="AW1379" s="74"/>
      <c r="AX1379" s="77"/>
      <c r="BA1379" s="497">
        <v>26.060000000000002</v>
      </c>
      <c r="BB1379" s="42"/>
      <c r="BC1379" s="74"/>
      <c r="BD1379" s="77"/>
      <c r="BF1379">
        <v>28.04</v>
      </c>
      <c r="BH1379" s="42"/>
      <c r="BI1379" s="74"/>
      <c r="BJ1379" s="77"/>
      <c r="BL1379" s="497">
        <v>26.060000000000002</v>
      </c>
      <c r="BN1379" s="42"/>
      <c r="BO1379" s="74"/>
      <c r="BP1379" s="77"/>
      <c r="BR1379" s="497">
        <v>26.96</v>
      </c>
      <c r="BT1379" s="42"/>
    </row>
    <row r="1380" spans="1:72" x14ac:dyDescent="0.25">
      <c r="A1380" s="90">
        <v>34756</v>
      </c>
      <c r="B1380" s="20">
        <v>0.75</v>
      </c>
      <c r="D1380">
        <v>30.02</v>
      </c>
      <c r="E1380" t="str">
        <f t="shared" si="78"/>
        <v>SUNDAY</v>
      </c>
      <c r="F1380" t="e">
        <f t="shared" si="77"/>
        <v>#N/A</v>
      </c>
      <c r="G1380" s="74">
        <v>32199</v>
      </c>
      <c r="H1380" s="77">
        <v>0.75</v>
      </c>
      <c r="J1380">
        <v>33.08</v>
      </c>
      <c r="M1380" s="74">
        <v>38043</v>
      </c>
      <c r="N1380" s="77">
        <v>0.75</v>
      </c>
      <c r="P1380">
        <v>35.6</v>
      </c>
      <c r="S1380" s="74">
        <v>34756</v>
      </c>
      <c r="T1380" s="77">
        <v>0.75</v>
      </c>
      <c r="V1380">
        <v>30.02</v>
      </c>
      <c r="X1380" s="42"/>
      <c r="AB1380">
        <v>40.5</v>
      </c>
      <c r="AC1380">
        <v>39.019999999999996</v>
      </c>
      <c r="AE1380" s="74"/>
      <c r="AF1380" s="77"/>
      <c r="AH1380" s="497">
        <v>50.900000000000006</v>
      </c>
      <c r="AJ1380" s="42"/>
      <c r="AK1380" s="74"/>
      <c r="AL1380" s="77"/>
      <c r="AN1380" s="497">
        <v>23</v>
      </c>
      <c r="AP1380" s="42"/>
      <c r="AQ1380" s="74"/>
      <c r="AR1380" s="77"/>
      <c r="AT1380" s="497">
        <v>26.96</v>
      </c>
      <c r="AV1380" s="42"/>
      <c r="AW1380" s="74"/>
      <c r="AX1380" s="77"/>
      <c r="BA1380" s="497">
        <v>26.060000000000002</v>
      </c>
      <c r="BB1380" s="42"/>
      <c r="BC1380" s="74"/>
      <c r="BD1380" s="77"/>
      <c r="BF1380">
        <v>28.04</v>
      </c>
      <c r="BH1380" s="42"/>
      <c r="BI1380" s="74"/>
      <c r="BJ1380" s="77"/>
      <c r="BL1380" s="497">
        <v>24.98</v>
      </c>
      <c r="BN1380" s="42"/>
      <c r="BO1380" s="74"/>
      <c r="BP1380" s="77"/>
      <c r="BR1380" s="497">
        <v>26.060000000000002</v>
      </c>
      <c r="BT1380" s="42"/>
    </row>
    <row r="1381" spans="1:72" x14ac:dyDescent="0.25">
      <c r="A1381" s="90">
        <v>34756</v>
      </c>
      <c r="B1381" s="20">
        <v>0.79166666666666663</v>
      </c>
      <c r="D1381">
        <v>30.02</v>
      </c>
      <c r="E1381" t="str">
        <f t="shared" si="78"/>
        <v>SUNDAY</v>
      </c>
      <c r="F1381" t="e">
        <f t="shared" si="77"/>
        <v>#N/A</v>
      </c>
      <c r="G1381" s="74">
        <v>32199</v>
      </c>
      <c r="H1381" s="77">
        <v>0.79166666666666663</v>
      </c>
      <c r="J1381">
        <v>32</v>
      </c>
      <c r="M1381" s="74">
        <v>38043</v>
      </c>
      <c r="N1381" s="77">
        <v>0.79166666666666663</v>
      </c>
      <c r="P1381">
        <v>33.799999999999997</v>
      </c>
      <c r="S1381" s="74">
        <v>34756</v>
      </c>
      <c r="T1381" s="77">
        <v>0.79166666666666663</v>
      </c>
      <c r="V1381">
        <v>30.02</v>
      </c>
      <c r="X1381" s="42"/>
      <c r="AB1381">
        <v>39.299999999999997</v>
      </c>
      <c r="AC1381">
        <v>39.019999999999996</v>
      </c>
      <c r="AE1381" s="74"/>
      <c r="AF1381" s="77"/>
      <c r="AH1381" s="497">
        <v>41.9</v>
      </c>
      <c r="AJ1381" s="42"/>
      <c r="AK1381" s="74"/>
      <c r="AL1381" s="77"/>
      <c r="AN1381" s="497">
        <v>21.92</v>
      </c>
      <c r="AP1381" s="42"/>
      <c r="AQ1381" s="74"/>
      <c r="AR1381" s="77"/>
      <c r="AT1381" s="497">
        <v>26.060000000000002</v>
      </c>
      <c r="AV1381" s="42"/>
      <c r="AW1381" s="74"/>
      <c r="AX1381" s="77"/>
      <c r="BA1381" s="497">
        <v>24.98</v>
      </c>
      <c r="BB1381" s="42"/>
      <c r="BC1381" s="74"/>
      <c r="BD1381" s="77"/>
      <c r="BF1381">
        <v>26.060000000000002</v>
      </c>
      <c r="BH1381" s="42"/>
      <c r="BI1381" s="74"/>
      <c r="BJ1381" s="77"/>
      <c r="BL1381" s="497">
        <v>26.060000000000002</v>
      </c>
      <c r="BN1381" s="42"/>
      <c r="BO1381" s="74"/>
      <c r="BP1381" s="77"/>
      <c r="BR1381" s="497">
        <v>24.08</v>
      </c>
      <c r="BT1381" s="42"/>
    </row>
    <row r="1382" spans="1:72" x14ac:dyDescent="0.25">
      <c r="A1382" s="90">
        <v>34756</v>
      </c>
      <c r="B1382" s="20">
        <v>0.83333333333333337</v>
      </c>
      <c r="D1382">
        <v>30.02</v>
      </c>
      <c r="E1382" t="str">
        <f t="shared" si="78"/>
        <v>SUNDAY</v>
      </c>
      <c r="F1382" t="e">
        <f t="shared" si="77"/>
        <v>#N/A</v>
      </c>
      <c r="G1382" s="74">
        <v>32199</v>
      </c>
      <c r="H1382" s="77">
        <v>0.83333333333333337</v>
      </c>
      <c r="J1382">
        <v>32</v>
      </c>
      <c r="M1382" s="74">
        <v>38043</v>
      </c>
      <c r="N1382" s="77">
        <v>0.83333333333333337</v>
      </c>
      <c r="P1382">
        <v>33.799999999999997</v>
      </c>
      <c r="S1382" s="74">
        <v>34756</v>
      </c>
      <c r="T1382" s="77">
        <v>0.83333333333333337</v>
      </c>
      <c r="V1382">
        <v>30.02</v>
      </c>
      <c r="X1382" s="42"/>
      <c r="AB1382">
        <v>38.700000000000003</v>
      </c>
      <c r="AC1382">
        <v>39.019999999999996</v>
      </c>
      <c r="AE1382" s="74"/>
      <c r="AF1382" s="77"/>
      <c r="AH1382" s="497">
        <v>35.96</v>
      </c>
      <c r="AJ1382" s="42"/>
      <c r="AK1382" s="74"/>
      <c r="AL1382" s="77"/>
      <c r="AN1382" s="497">
        <v>19.939999999999998</v>
      </c>
      <c r="AP1382" s="42"/>
      <c r="AQ1382" s="74"/>
      <c r="AR1382" s="77"/>
      <c r="AT1382" s="497">
        <v>24.08</v>
      </c>
      <c r="AV1382" s="42"/>
      <c r="AW1382" s="74"/>
      <c r="AX1382" s="77"/>
      <c r="BA1382" s="497">
        <v>21.02</v>
      </c>
      <c r="BB1382" s="42"/>
      <c r="BC1382" s="74"/>
      <c r="BD1382" s="77"/>
      <c r="BF1382">
        <v>26.060000000000002</v>
      </c>
      <c r="BH1382" s="42"/>
      <c r="BI1382" s="74"/>
      <c r="BJ1382" s="77"/>
      <c r="BL1382" s="497">
        <v>24.98</v>
      </c>
      <c r="BN1382" s="42"/>
      <c r="BO1382" s="74"/>
      <c r="BP1382" s="77"/>
      <c r="BR1382" s="497">
        <v>24.08</v>
      </c>
      <c r="BT1382" s="42"/>
    </row>
    <row r="1383" spans="1:72" x14ac:dyDescent="0.25">
      <c r="A1383" s="90">
        <v>34756</v>
      </c>
      <c r="B1383" s="20">
        <v>0.875</v>
      </c>
      <c r="D1383">
        <v>30.02</v>
      </c>
      <c r="E1383" t="str">
        <f t="shared" si="78"/>
        <v>SUNDAY</v>
      </c>
      <c r="F1383" t="e">
        <f t="shared" si="77"/>
        <v>#N/A</v>
      </c>
      <c r="G1383" s="74">
        <v>32199</v>
      </c>
      <c r="H1383" s="77">
        <v>0.875</v>
      </c>
      <c r="J1383">
        <v>32</v>
      </c>
      <c r="M1383" s="74">
        <v>38043</v>
      </c>
      <c r="N1383" s="77">
        <v>0.875</v>
      </c>
      <c r="P1383">
        <v>33.799999999999997</v>
      </c>
      <c r="S1383" s="74">
        <v>34756</v>
      </c>
      <c r="T1383" s="77">
        <v>0.875</v>
      </c>
      <c r="V1383">
        <v>30.02</v>
      </c>
      <c r="X1383" s="42"/>
      <c r="AB1383">
        <v>38.1</v>
      </c>
      <c r="AC1383">
        <v>39.92</v>
      </c>
      <c r="AE1383" s="74"/>
      <c r="AF1383" s="77"/>
      <c r="AH1383" s="497">
        <v>32.9</v>
      </c>
      <c r="AJ1383" s="42"/>
      <c r="AK1383" s="74"/>
      <c r="AL1383" s="77"/>
      <c r="AN1383" s="497">
        <v>19.939999999999998</v>
      </c>
      <c r="AP1383" s="42"/>
      <c r="AQ1383" s="74"/>
      <c r="AR1383" s="77"/>
      <c r="AT1383" s="497">
        <v>24.98</v>
      </c>
      <c r="AV1383" s="42"/>
      <c r="AW1383" s="74"/>
      <c r="AX1383" s="77"/>
      <c r="BA1383" s="497">
        <v>17.96</v>
      </c>
      <c r="BB1383" s="42"/>
      <c r="BC1383" s="74"/>
      <c r="BD1383" s="77"/>
      <c r="BF1383">
        <v>26.96</v>
      </c>
      <c r="BH1383" s="42"/>
      <c r="BI1383" s="74"/>
      <c r="BJ1383" s="77"/>
      <c r="BL1383" s="497">
        <v>24.98</v>
      </c>
      <c r="BN1383" s="42"/>
      <c r="BO1383" s="74"/>
      <c r="BP1383" s="77"/>
      <c r="BR1383" s="497">
        <v>23</v>
      </c>
      <c r="BT1383" s="42"/>
    </row>
    <row r="1384" spans="1:72" x14ac:dyDescent="0.25">
      <c r="A1384" s="90">
        <v>34756</v>
      </c>
      <c r="B1384" s="20">
        <v>0.91666666666666663</v>
      </c>
      <c r="D1384">
        <v>30.92</v>
      </c>
      <c r="E1384" t="str">
        <f t="shared" si="78"/>
        <v>SUNDAY</v>
      </c>
      <c r="F1384" t="e">
        <f t="shared" si="77"/>
        <v>#N/A</v>
      </c>
      <c r="G1384" s="74">
        <v>32199</v>
      </c>
      <c r="H1384" s="77">
        <v>0.91666666666666663</v>
      </c>
      <c r="J1384">
        <v>32</v>
      </c>
      <c r="M1384" s="74">
        <v>38043</v>
      </c>
      <c r="N1384" s="77">
        <v>0.91666666666666663</v>
      </c>
      <c r="P1384">
        <v>33.799999999999997</v>
      </c>
      <c r="S1384" s="74">
        <v>34756</v>
      </c>
      <c r="T1384" s="77">
        <v>0.91666666666666663</v>
      </c>
      <c r="V1384">
        <v>30.02</v>
      </c>
      <c r="X1384" s="42"/>
      <c r="AB1384">
        <v>37.4</v>
      </c>
      <c r="AC1384">
        <v>39.92</v>
      </c>
      <c r="AE1384" s="74"/>
      <c r="AF1384" s="77"/>
      <c r="AH1384" s="497">
        <v>31.28</v>
      </c>
      <c r="AJ1384" s="42"/>
      <c r="AK1384" s="74"/>
      <c r="AL1384" s="77"/>
      <c r="AN1384" s="497">
        <v>19.04</v>
      </c>
      <c r="AP1384" s="42"/>
      <c r="AQ1384" s="74"/>
      <c r="AR1384" s="77"/>
      <c r="AT1384" s="497">
        <v>24.98</v>
      </c>
      <c r="AV1384" s="42"/>
      <c r="AW1384" s="74"/>
      <c r="AX1384" s="77"/>
      <c r="BA1384" s="497">
        <v>17.059999999999999</v>
      </c>
      <c r="BB1384" s="42"/>
      <c r="BC1384" s="74"/>
      <c r="BD1384" s="77"/>
      <c r="BF1384">
        <v>28.04</v>
      </c>
      <c r="BH1384" s="42"/>
      <c r="BI1384" s="74"/>
      <c r="BJ1384" s="77"/>
      <c r="BL1384" s="497">
        <v>24.98</v>
      </c>
      <c r="BN1384" s="42"/>
      <c r="BO1384" s="74"/>
      <c r="BP1384" s="77"/>
      <c r="BR1384" s="497">
        <v>21.02</v>
      </c>
      <c r="BT1384" s="42"/>
    </row>
    <row r="1385" spans="1:72" x14ac:dyDescent="0.25">
      <c r="A1385" s="90">
        <v>34756</v>
      </c>
      <c r="B1385" s="20">
        <v>0.95833333333333337</v>
      </c>
      <c r="D1385">
        <v>30.92</v>
      </c>
      <c r="E1385" t="str">
        <f t="shared" si="78"/>
        <v>SUNDAY</v>
      </c>
      <c r="F1385" t="e">
        <f t="shared" si="77"/>
        <v>#N/A</v>
      </c>
      <c r="G1385" s="74">
        <v>32199</v>
      </c>
      <c r="H1385" s="77">
        <v>0.95833333333333337</v>
      </c>
      <c r="J1385">
        <v>32</v>
      </c>
      <c r="M1385" s="74">
        <v>38043</v>
      </c>
      <c r="N1385" s="77">
        <v>0.95833333333333337</v>
      </c>
      <c r="P1385">
        <v>30.2</v>
      </c>
      <c r="S1385" s="74">
        <v>34756</v>
      </c>
      <c r="T1385" s="77">
        <v>0.95833333333333337</v>
      </c>
      <c r="V1385">
        <v>30.02</v>
      </c>
      <c r="X1385" s="42"/>
      <c r="AB1385">
        <v>36.9</v>
      </c>
      <c r="AC1385">
        <v>39.92</v>
      </c>
      <c r="AE1385" s="74"/>
      <c r="AF1385" s="77"/>
      <c r="AH1385" s="497">
        <v>29.84</v>
      </c>
      <c r="AJ1385" s="42"/>
      <c r="AK1385" s="74"/>
      <c r="AL1385" s="77"/>
      <c r="AN1385" s="497">
        <v>17.059999999999999</v>
      </c>
      <c r="AP1385" s="42"/>
      <c r="AQ1385" s="74"/>
      <c r="AR1385" s="77"/>
      <c r="AT1385" s="497">
        <v>26.060000000000002</v>
      </c>
      <c r="AV1385" s="42"/>
      <c r="AW1385" s="74"/>
      <c r="AX1385" s="77"/>
      <c r="BA1385" s="497">
        <v>19.939999999999998</v>
      </c>
      <c r="BB1385" s="42"/>
      <c r="BC1385" s="74"/>
      <c r="BD1385" s="77"/>
      <c r="BF1385">
        <v>28.04</v>
      </c>
      <c r="BH1385" s="42"/>
      <c r="BI1385" s="74"/>
      <c r="BJ1385" s="77"/>
      <c r="BL1385" s="497">
        <v>24.98</v>
      </c>
      <c r="BN1385" s="42"/>
      <c r="BO1385" s="74"/>
      <c r="BP1385" s="77"/>
      <c r="BR1385" s="497">
        <v>19.04</v>
      </c>
      <c r="BT1385" s="42"/>
    </row>
    <row r="1386" spans="1:72" x14ac:dyDescent="0.25">
      <c r="A1386" s="90">
        <v>34756</v>
      </c>
      <c r="B1386" s="20">
        <v>1</v>
      </c>
      <c r="D1386">
        <v>30.02</v>
      </c>
      <c r="E1386" t="str">
        <f t="shared" si="78"/>
        <v>SUNDAY</v>
      </c>
      <c r="F1386" t="e">
        <f t="shared" si="77"/>
        <v>#N/A</v>
      </c>
      <c r="G1386" s="74">
        <v>32199</v>
      </c>
      <c r="H1386" s="77">
        <v>1</v>
      </c>
      <c r="J1386">
        <v>32</v>
      </c>
      <c r="M1386" s="74">
        <v>38043</v>
      </c>
      <c r="N1386" s="80">
        <v>1</v>
      </c>
      <c r="P1386">
        <v>30.2</v>
      </c>
      <c r="S1386" s="74">
        <v>34756</v>
      </c>
      <c r="T1386" s="80">
        <v>1</v>
      </c>
      <c r="V1386">
        <v>30.02</v>
      </c>
      <c r="X1386" s="42"/>
      <c r="AB1386">
        <v>36.299999999999997</v>
      </c>
      <c r="AC1386">
        <v>39.92</v>
      </c>
      <c r="AE1386" s="74"/>
      <c r="AF1386" s="80"/>
      <c r="AH1386" s="497">
        <v>25.88</v>
      </c>
      <c r="AJ1386" s="42"/>
      <c r="AK1386" s="74"/>
      <c r="AL1386" s="80"/>
      <c r="AN1386" s="497">
        <v>15.98</v>
      </c>
      <c r="AP1386" s="42"/>
      <c r="AQ1386" s="74"/>
      <c r="AR1386" s="80"/>
      <c r="AT1386" s="497">
        <v>26.060000000000002</v>
      </c>
      <c r="AV1386" s="42"/>
      <c r="AW1386" s="74"/>
      <c r="AX1386" s="80"/>
      <c r="BA1386" s="497">
        <v>21.92</v>
      </c>
      <c r="BB1386" s="42"/>
      <c r="BC1386" s="74"/>
      <c r="BD1386" s="80"/>
      <c r="BF1386">
        <v>28.94</v>
      </c>
      <c r="BH1386" s="42"/>
      <c r="BI1386" s="74"/>
      <c r="BJ1386" s="80"/>
      <c r="BL1386" s="497">
        <v>24.98</v>
      </c>
      <c r="BN1386" s="42"/>
      <c r="BO1386" s="74"/>
      <c r="BP1386" s="80"/>
      <c r="BR1386" s="497">
        <v>17.96</v>
      </c>
      <c r="BT1386" s="42"/>
    </row>
    <row r="1387" spans="1:72" x14ac:dyDescent="0.25">
      <c r="A1387" s="90">
        <v>34757</v>
      </c>
      <c r="B1387" s="20">
        <v>4.1666666666666664E-2</v>
      </c>
      <c r="D1387">
        <v>30.92</v>
      </c>
      <c r="E1387" t="str">
        <f t="shared" si="78"/>
        <v>WEEKDAY</v>
      </c>
      <c r="F1387" t="e">
        <f t="shared" ref="F1387:F1450" si="79">IF(E1387="WEEKDAY",VLOOKUP(B1387,$DD$19:$DG$42,2),IF(E1387="SATURDAY",VLOOKUP(B1387,$DD$19:$DG$42,3),VLOOKUP(B1387,$DD$19:$DG$42,4)))</f>
        <v>#N/A</v>
      </c>
      <c r="G1387" s="74">
        <v>32200</v>
      </c>
      <c r="H1387" s="77">
        <v>4.1666666666666664E-2</v>
      </c>
      <c r="J1387">
        <v>30.92</v>
      </c>
      <c r="M1387" s="74">
        <v>38044</v>
      </c>
      <c r="N1387" s="77">
        <v>4.1666666666666664E-2</v>
      </c>
      <c r="P1387">
        <v>30.2</v>
      </c>
      <c r="S1387" s="74">
        <v>34757</v>
      </c>
      <c r="T1387" s="77">
        <v>4.1666666666666664E-2</v>
      </c>
      <c r="V1387">
        <v>30.92</v>
      </c>
      <c r="X1387" s="42"/>
      <c r="AB1387">
        <v>35.799999999999997</v>
      </c>
      <c r="AC1387">
        <v>39.92</v>
      </c>
      <c r="AE1387" s="74"/>
      <c r="AF1387" s="77"/>
      <c r="AH1387" s="497">
        <v>26.96</v>
      </c>
      <c r="AJ1387" s="42"/>
      <c r="AK1387" s="74"/>
      <c r="AL1387" s="77"/>
      <c r="AN1387" s="497">
        <v>15.079999999999998</v>
      </c>
      <c r="AP1387" s="42"/>
      <c r="AQ1387" s="74"/>
      <c r="AR1387" s="77"/>
      <c r="AT1387" s="497">
        <v>24.98</v>
      </c>
      <c r="AV1387" s="42"/>
      <c r="AW1387" s="74"/>
      <c r="AX1387" s="77"/>
      <c r="BA1387" s="497">
        <v>21.92</v>
      </c>
      <c r="BB1387" s="42"/>
      <c r="BC1387" s="74"/>
      <c r="BD1387" s="77"/>
      <c r="BF1387">
        <v>30.02</v>
      </c>
      <c r="BH1387" s="42"/>
      <c r="BI1387" s="74"/>
      <c r="BJ1387" s="77"/>
      <c r="BL1387" s="497">
        <v>24.98</v>
      </c>
      <c r="BN1387" s="42"/>
      <c r="BO1387" s="74"/>
      <c r="BP1387" s="77"/>
      <c r="BR1387" s="497">
        <v>17.059999999999999</v>
      </c>
      <c r="BT1387" s="42"/>
    </row>
    <row r="1388" spans="1:72" x14ac:dyDescent="0.25">
      <c r="A1388" s="90">
        <v>34757</v>
      </c>
      <c r="B1388" s="20">
        <v>8.3333333333333329E-2</v>
      </c>
      <c r="D1388">
        <v>30.92</v>
      </c>
      <c r="E1388" t="str">
        <f t="shared" si="78"/>
        <v>WEEKDAY</v>
      </c>
      <c r="F1388" t="e">
        <f t="shared" si="79"/>
        <v>#N/A</v>
      </c>
      <c r="G1388" s="74">
        <v>32200</v>
      </c>
      <c r="H1388" s="77">
        <v>8.3333333333333329E-2</v>
      </c>
      <c r="J1388">
        <v>30.92</v>
      </c>
      <c r="M1388" s="74">
        <v>38044</v>
      </c>
      <c r="N1388" s="77">
        <v>8.3333333333333329E-2</v>
      </c>
      <c r="P1388">
        <v>26.6</v>
      </c>
      <c r="S1388" s="74">
        <v>34757</v>
      </c>
      <c r="T1388" s="77">
        <v>8.3333333333333329E-2</v>
      </c>
      <c r="V1388">
        <v>30.92</v>
      </c>
      <c r="X1388" s="42"/>
      <c r="AB1388">
        <v>35.200000000000003</v>
      </c>
      <c r="AC1388">
        <v>39.92</v>
      </c>
      <c r="AE1388" s="74"/>
      <c r="AF1388" s="77"/>
      <c r="AH1388" s="497">
        <v>26.96</v>
      </c>
      <c r="AJ1388" s="42"/>
      <c r="AK1388" s="74"/>
      <c r="AL1388" s="77"/>
      <c r="AN1388" s="497">
        <v>15.079999999999998</v>
      </c>
      <c r="AP1388" s="42"/>
      <c r="AQ1388" s="74"/>
      <c r="AR1388" s="77"/>
      <c r="AT1388" s="497">
        <v>23</v>
      </c>
      <c r="AV1388" s="42"/>
      <c r="AW1388" s="74"/>
      <c r="AX1388" s="77"/>
      <c r="BA1388" s="497">
        <v>24.08</v>
      </c>
      <c r="BB1388" s="42"/>
      <c r="BC1388" s="74"/>
      <c r="BD1388" s="77"/>
      <c r="BF1388">
        <v>30.02</v>
      </c>
      <c r="BH1388" s="42"/>
      <c r="BI1388" s="74"/>
      <c r="BJ1388" s="77"/>
      <c r="BL1388" s="497">
        <v>26.060000000000002</v>
      </c>
      <c r="BN1388" s="42"/>
      <c r="BO1388" s="74"/>
      <c r="BP1388" s="77"/>
      <c r="BR1388" s="497">
        <v>19.04</v>
      </c>
      <c r="BT1388" s="42"/>
    </row>
    <row r="1389" spans="1:72" x14ac:dyDescent="0.25">
      <c r="A1389" s="90">
        <v>34757</v>
      </c>
      <c r="B1389" s="20">
        <v>0.125</v>
      </c>
      <c r="D1389">
        <v>30.02</v>
      </c>
      <c r="E1389" t="str">
        <f t="shared" si="78"/>
        <v>WEEKDAY</v>
      </c>
      <c r="F1389" t="e">
        <f t="shared" si="79"/>
        <v>#N/A</v>
      </c>
      <c r="G1389" s="74">
        <v>32200</v>
      </c>
      <c r="H1389" s="77">
        <v>0.125</v>
      </c>
      <c r="J1389">
        <v>30.92</v>
      </c>
      <c r="M1389" s="74">
        <v>38044</v>
      </c>
      <c r="N1389" s="77">
        <v>0.125</v>
      </c>
      <c r="P1389">
        <v>26.6</v>
      </c>
      <c r="S1389" s="74">
        <v>34757</v>
      </c>
      <c r="T1389" s="77">
        <v>0.125</v>
      </c>
      <c r="V1389">
        <v>30.92</v>
      </c>
      <c r="X1389" s="42"/>
      <c r="AB1389">
        <v>34.700000000000003</v>
      </c>
      <c r="AC1389">
        <v>39.92</v>
      </c>
      <c r="AE1389" s="74"/>
      <c r="AF1389" s="77"/>
      <c r="AH1389" s="497">
        <v>24.98</v>
      </c>
      <c r="AJ1389" s="42"/>
      <c r="AK1389" s="74"/>
      <c r="AL1389" s="77"/>
      <c r="AN1389" s="497">
        <v>15.079999999999998</v>
      </c>
      <c r="AP1389" s="42"/>
      <c r="AQ1389" s="74"/>
      <c r="AR1389" s="77"/>
      <c r="AT1389" s="497">
        <v>21.92</v>
      </c>
      <c r="AV1389" s="42"/>
      <c r="AW1389" s="74"/>
      <c r="AX1389" s="77"/>
      <c r="BA1389" s="497">
        <v>24.98</v>
      </c>
      <c r="BB1389" s="42"/>
      <c r="BC1389" s="74"/>
      <c r="BD1389" s="77"/>
      <c r="BF1389">
        <v>30.92</v>
      </c>
      <c r="BH1389" s="42"/>
      <c r="BI1389" s="74"/>
      <c r="BJ1389" s="77"/>
      <c r="BL1389" s="497">
        <v>26.060000000000002</v>
      </c>
      <c r="BN1389" s="42"/>
      <c r="BO1389" s="74"/>
      <c r="BP1389" s="77"/>
      <c r="BR1389" s="497">
        <v>19.939999999999998</v>
      </c>
      <c r="BT1389" s="42"/>
    </row>
    <row r="1390" spans="1:72" x14ac:dyDescent="0.25">
      <c r="A1390" s="90">
        <v>34757</v>
      </c>
      <c r="B1390" s="20">
        <v>0.16666666666666666</v>
      </c>
      <c r="D1390">
        <v>30.02</v>
      </c>
      <c r="E1390" t="str">
        <f t="shared" si="78"/>
        <v>WEEKDAY</v>
      </c>
      <c r="F1390" t="e">
        <f t="shared" si="79"/>
        <v>#N/A</v>
      </c>
      <c r="G1390" s="74">
        <v>32200</v>
      </c>
      <c r="H1390" s="77">
        <v>0.16666666666666666</v>
      </c>
      <c r="J1390">
        <v>30.92</v>
      </c>
      <c r="M1390" s="74">
        <v>38044</v>
      </c>
      <c r="N1390" s="77">
        <v>0.16666666666666666</v>
      </c>
      <c r="P1390">
        <v>24.8</v>
      </c>
      <c r="S1390" s="74">
        <v>34757</v>
      </c>
      <c r="T1390" s="77">
        <v>0.16666666666666666</v>
      </c>
      <c r="V1390">
        <v>30.92</v>
      </c>
      <c r="X1390" s="42"/>
      <c r="AB1390">
        <v>34.200000000000003</v>
      </c>
      <c r="AC1390">
        <v>39.92</v>
      </c>
      <c r="AE1390" s="74"/>
      <c r="AF1390" s="77"/>
      <c r="AH1390" s="497">
        <v>24.98</v>
      </c>
      <c r="AJ1390" s="42"/>
      <c r="AK1390" s="74"/>
      <c r="AL1390" s="77"/>
      <c r="AN1390" s="497">
        <v>15.98</v>
      </c>
      <c r="AP1390" s="42"/>
      <c r="AQ1390" s="74"/>
      <c r="AR1390" s="77"/>
      <c r="AT1390" s="497">
        <v>21.92</v>
      </c>
      <c r="AV1390" s="42"/>
      <c r="AW1390" s="74"/>
      <c r="AX1390" s="77"/>
      <c r="BA1390" s="497">
        <v>24.08</v>
      </c>
      <c r="BB1390" s="42"/>
      <c r="BC1390" s="74"/>
      <c r="BD1390" s="77"/>
      <c r="BF1390">
        <v>30.02</v>
      </c>
      <c r="BH1390" s="42"/>
      <c r="BI1390" s="74"/>
      <c r="BJ1390" s="77"/>
      <c r="BL1390" s="497">
        <v>26.060000000000002</v>
      </c>
      <c r="BN1390" s="42"/>
      <c r="BO1390" s="74"/>
      <c r="BP1390" s="77"/>
      <c r="BR1390" s="497">
        <v>17.96</v>
      </c>
      <c r="BT1390" s="42"/>
    </row>
    <row r="1391" spans="1:72" x14ac:dyDescent="0.25">
      <c r="A1391" s="90">
        <v>34757</v>
      </c>
      <c r="B1391" s="20">
        <v>0.20833333333333334</v>
      </c>
      <c r="D1391">
        <v>28.94</v>
      </c>
      <c r="E1391" t="str">
        <f t="shared" si="78"/>
        <v>WEEKDAY</v>
      </c>
      <c r="F1391" t="e">
        <f t="shared" si="79"/>
        <v>#N/A</v>
      </c>
      <c r="G1391" s="74">
        <v>32200</v>
      </c>
      <c r="H1391" s="77">
        <v>0.20833333333333334</v>
      </c>
      <c r="J1391">
        <v>30.92</v>
      </c>
      <c r="M1391" s="74">
        <v>38044</v>
      </c>
      <c r="N1391" s="77">
        <v>0.20833333333333334</v>
      </c>
      <c r="P1391">
        <v>24.8</v>
      </c>
      <c r="S1391" s="74">
        <v>34757</v>
      </c>
      <c r="T1391" s="77">
        <v>0.20833333333333334</v>
      </c>
      <c r="V1391">
        <v>30.92</v>
      </c>
      <c r="X1391" s="42"/>
      <c r="AB1391">
        <v>33.799999999999997</v>
      </c>
      <c r="AC1391">
        <v>39.92</v>
      </c>
      <c r="AE1391" s="74"/>
      <c r="AF1391" s="77"/>
      <c r="AH1391" s="497">
        <v>24.98</v>
      </c>
      <c r="AJ1391" s="42"/>
      <c r="AK1391" s="74"/>
      <c r="AL1391" s="77"/>
      <c r="AN1391" s="497">
        <v>15.98</v>
      </c>
      <c r="AP1391" s="42"/>
      <c r="AQ1391" s="74"/>
      <c r="AR1391" s="77"/>
      <c r="AT1391" s="497">
        <v>23</v>
      </c>
      <c r="AV1391" s="42"/>
      <c r="AW1391" s="74"/>
      <c r="AX1391" s="77"/>
      <c r="BA1391" s="497">
        <v>23</v>
      </c>
      <c r="BB1391" s="42"/>
      <c r="BC1391" s="74"/>
      <c r="BD1391" s="77"/>
      <c r="BF1391">
        <v>28.04</v>
      </c>
      <c r="BH1391" s="42"/>
      <c r="BI1391" s="74"/>
      <c r="BJ1391" s="77"/>
      <c r="BL1391" s="497">
        <v>26.060000000000002</v>
      </c>
      <c r="BN1391" s="42"/>
      <c r="BO1391" s="74"/>
      <c r="BP1391" s="77"/>
      <c r="BR1391" s="497">
        <v>17.059999999999999</v>
      </c>
      <c r="BT1391" s="42"/>
    </row>
    <row r="1392" spans="1:72" x14ac:dyDescent="0.25">
      <c r="A1392" s="90">
        <v>34757</v>
      </c>
      <c r="B1392" s="20">
        <v>0.25</v>
      </c>
      <c r="D1392">
        <v>28.94</v>
      </c>
      <c r="E1392" t="str">
        <f t="shared" si="78"/>
        <v>WEEKDAY</v>
      </c>
      <c r="F1392" t="e">
        <f t="shared" si="79"/>
        <v>#N/A</v>
      </c>
      <c r="G1392" s="74">
        <v>32200</v>
      </c>
      <c r="H1392" s="77">
        <v>0.25</v>
      </c>
      <c r="J1392">
        <v>30.92</v>
      </c>
      <c r="M1392" s="74">
        <v>38044</v>
      </c>
      <c r="N1392" s="77">
        <v>0.25</v>
      </c>
      <c r="P1392">
        <v>24.8</v>
      </c>
      <c r="S1392" s="74">
        <v>34757</v>
      </c>
      <c r="T1392" s="77">
        <v>0.25</v>
      </c>
      <c r="V1392">
        <v>28.94</v>
      </c>
      <c r="X1392" s="42"/>
      <c r="AB1392">
        <v>33.4</v>
      </c>
      <c r="AC1392">
        <v>41</v>
      </c>
      <c r="AE1392" s="74"/>
      <c r="AF1392" s="77"/>
      <c r="AH1392" s="497">
        <v>21.92</v>
      </c>
      <c r="AJ1392" s="42"/>
      <c r="AK1392" s="74"/>
      <c r="AL1392" s="77"/>
      <c r="AN1392" s="497">
        <v>12.920000000000002</v>
      </c>
      <c r="AP1392" s="42"/>
      <c r="AQ1392" s="74"/>
      <c r="AR1392" s="77"/>
      <c r="AT1392" s="497">
        <v>23</v>
      </c>
      <c r="AV1392" s="42"/>
      <c r="AW1392" s="74"/>
      <c r="AX1392" s="77"/>
      <c r="BA1392" s="497">
        <v>24.08</v>
      </c>
      <c r="BB1392" s="42"/>
      <c r="BC1392" s="74"/>
      <c r="BD1392" s="77"/>
      <c r="BF1392">
        <v>28.04</v>
      </c>
      <c r="BH1392" s="42"/>
      <c r="BI1392" s="74"/>
      <c r="BJ1392" s="77"/>
      <c r="BL1392" s="497">
        <v>26.060000000000002</v>
      </c>
      <c r="BN1392" s="42"/>
      <c r="BO1392" s="74"/>
      <c r="BP1392" s="77"/>
      <c r="BR1392" s="497">
        <v>15.98</v>
      </c>
      <c r="BT1392" s="42"/>
    </row>
    <row r="1393" spans="1:72" x14ac:dyDescent="0.25">
      <c r="A1393" s="90">
        <v>34757</v>
      </c>
      <c r="B1393" s="20">
        <v>0.29166666666666669</v>
      </c>
      <c r="D1393">
        <v>28.94</v>
      </c>
      <c r="E1393" t="str">
        <f t="shared" si="78"/>
        <v>WEEKDAY</v>
      </c>
      <c r="F1393" t="e">
        <f t="shared" si="79"/>
        <v>#N/A</v>
      </c>
      <c r="G1393" s="74">
        <v>32200</v>
      </c>
      <c r="H1393" s="77">
        <v>0.29166666666666669</v>
      </c>
      <c r="J1393">
        <v>30.92</v>
      </c>
      <c r="M1393" s="74">
        <v>38044</v>
      </c>
      <c r="N1393" s="77">
        <v>0.29166666666666669</v>
      </c>
      <c r="P1393">
        <v>24.8</v>
      </c>
      <c r="S1393" s="74">
        <v>34757</v>
      </c>
      <c r="T1393" s="77">
        <v>0.29166666666666669</v>
      </c>
      <c r="V1393">
        <v>28.94</v>
      </c>
      <c r="X1393" s="42"/>
      <c r="AB1393">
        <v>33.1</v>
      </c>
      <c r="AC1393">
        <v>41</v>
      </c>
      <c r="AE1393" s="74"/>
      <c r="AF1393" s="77"/>
      <c r="AH1393" s="497">
        <v>23</v>
      </c>
      <c r="AJ1393" s="42"/>
      <c r="AK1393" s="74"/>
      <c r="AL1393" s="77"/>
      <c r="AN1393" s="497">
        <v>12.920000000000002</v>
      </c>
      <c r="AP1393" s="42"/>
      <c r="AQ1393" s="74"/>
      <c r="AR1393" s="77"/>
      <c r="AT1393" s="497">
        <v>21.92</v>
      </c>
      <c r="AV1393" s="42"/>
      <c r="AW1393" s="74"/>
      <c r="AX1393" s="77"/>
      <c r="BA1393" s="497">
        <v>24.08</v>
      </c>
      <c r="BB1393" s="42"/>
      <c r="BC1393" s="74"/>
      <c r="BD1393" s="77"/>
      <c r="BF1393">
        <v>26.96</v>
      </c>
      <c r="BH1393" s="42"/>
      <c r="BI1393" s="74"/>
      <c r="BJ1393" s="77"/>
      <c r="BL1393" s="497">
        <v>26.96</v>
      </c>
      <c r="BN1393" s="42"/>
      <c r="BO1393" s="74"/>
      <c r="BP1393" s="77"/>
      <c r="BR1393" s="497">
        <v>15.079999999999998</v>
      </c>
      <c r="BT1393" s="42"/>
    </row>
    <row r="1394" spans="1:72" x14ac:dyDescent="0.25">
      <c r="A1394" s="90">
        <v>34757</v>
      </c>
      <c r="B1394" s="20">
        <v>0.33333333333333331</v>
      </c>
      <c r="D1394">
        <v>30.02</v>
      </c>
      <c r="E1394" t="str">
        <f t="shared" si="78"/>
        <v>WEEKDAY</v>
      </c>
      <c r="F1394" t="e">
        <f t="shared" si="79"/>
        <v>#N/A</v>
      </c>
      <c r="G1394" s="74">
        <v>32200</v>
      </c>
      <c r="H1394" s="77">
        <v>0.33333333333333331</v>
      </c>
      <c r="J1394">
        <v>32</v>
      </c>
      <c r="M1394" s="74">
        <v>38044</v>
      </c>
      <c r="N1394" s="77">
        <v>0.33333333333333331</v>
      </c>
      <c r="P1394">
        <v>26.6</v>
      </c>
      <c r="S1394" s="74">
        <v>34757</v>
      </c>
      <c r="T1394" s="77">
        <v>0.33333333333333331</v>
      </c>
      <c r="V1394">
        <v>30.02</v>
      </c>
      <c r="X1394" s="42"/>
      <c r="AB1394">
        <v>33.200000000000003</v>
      </c>
      <c r="AC1394">
        <v>42.08</v>
      </c>
      <c r="AE1394" s="74"/>
      <c r="AF1394" s="77"/>
      <c r="AH1394" s="497">
        <v>26.96</v>
      </c>
      <c r="AJ1394" s="42"/>
      <c r="AK1394" s="74"/>
      <c r="AL1394" s="77"/>
      <c r="AN1394" s="497">
        <v>17.059999999999999</v>
      </c>
      <c r="AP1394" s="42"/>
      <c r="AQ1394" s="74"/>
      <c r="AR1394" s="77"/>
      <c r="AT1394" s="497">
        <v>21.92</v>
      </c>
      <c r="AV1394" s="42"/>
      <c r="AW1394" s="74"/>
      <c r="AX1394" s="77"/>
      <c r="BA1394" s="497">
        <v>24.08</v>
      </c>
      <c r="BB1394" s="42"/>
      <c r="BC1394" s="74"/>
      <c r="BD1394" s="77"/>
      <c r="BF1394">
        <v>26.96</v>
      </c>
      <c r="BH1394" s="42"/>
      <c r="BI1394" s="74"/>
      <c r="BJ1394" s="77"/>
      <c r="BL1394" s="497">
        <v>26.96</v>
      </c>
      <c r="BN1394" s="42"/>
      <c r="BO1394" s="74"/>
      <c r="BP1394" s="77"/>
      <c r="BR1394" s="497">
        <v>15.079999999999998</v>
      </c>
      <c r="BT1394" s="42"/>
    </row>
    <row r="1395" spans="1:72" x14ac:dyDescent="0.25">
      <c r="A1395" s="90">
        <v>34757</v>
      </c>
      <c r="B1395" s="20">
        <v>0.375</v>
      </c>
      <c r="D1395">
        <v>30.92</v>
      </c>
      <c r="E1395" t="str">
        <f t="shared" si="78"/>
        <v>WEEKDAY</v>
      </c>
      <c r="F1395" t="e">
        <f t="shared" si="79"/>
        <v>#N/A</v>
      </c>
      <c r="G1395" s="74">
        <v>32200</v>
      </c>
      <c r="H1395" s="77">
        <v>0.375</v>
      </c>
      <c r="J1395">
        <v>33.979999999999997</v>
      </c>
      <c r="M1395" s="74">
        <v>38044</v>
      </c>
      <c r="N1395" s="77">
        <v>0.375</v>
      </c>
      <c r="P1395">
        <v>30.2</v>
      </c>
      <c r="S1395" s="74">
        <v>34757</v>
      </c>
      <c r="T1395" s="77">
        <v>0.375</v>
      </c>
      <c r="V1395">
        <v>30.02</v>
      </c>
      <c r="X1395" s="42"/>
      <c r="AB1395">
        <v>34.6</v>
      </c>
      <c r="AC1395">
        <v>44.06</v>
      </c>
      <c r="AE1395" s="74"/>
      <c r="AF1395" s="77"/>
      <c r="AH1395" s="497">
        <v>33.979999999999997</v>
      </c>
      <c r="AJ1395" s="42"/>
      <c r="AK1395" s="74"/>
      <c r="AL1395" s="77"/>
      <c r="AN1395" s="497">
        <v>19.939999999999998</v>
      </c>
      <c r="AP1395" s="42"/>
      <c r="AQ1395" s="74"/>
      <c r="AR1395" s="77"/>
      <c r="AT1395" s="497">
        <v>24.08</v>
      </c>
      <c r="AV1395" s="42"/>
      <c r="AW1395" s="74"/>
      <c r="AX1395" s="77"/>
      <c r="BA1395" s="497">
        <v>26.060000000000002</v>
      </c>
      <c r="BB1395" s="42"/>
      <c r="BC1395" s="74"/>
      <c r="BD1395" s="77"/>
      <c r="BF1395">
        <v>26.96</v>
      </c>
      <c r="BH1395" s="42"/>
      <c r="BI1395" s="74"/>
      <c r="BJ1395" s="77"/>
      <c r="BL1395" s="497">
        <v>26.060000000000002</v>
      </c>
      <c r="BN1395" s="42"/>
      <c r="BO1395" s="74"/>
      <c r="BP1395" s="77"/>
      <c r="BR1395" s="497">
        <v>15.98</v>
      </c>
      <c r="BT1395" s="42"/>
    </row>
    <row r="1396" spans="1:72" x14ac:dyDescent="0.25">
      <c r="A1396" s="90">
        <v>34757</v>
      </c>
      <c r="B1396" s="20">
        <v>0.41666666666666669</v>
      </c>
      <c r="D1396">
        <v>28.94</v>
      </c>
      <c r="E1396" t="str">
        <f t="shared" si="78"/>
        <v>WEEKDAY</v>
      </c>
      <c r="F1396" t="e">
        <f t="shared" si="79"/>
        <v>#N/A</v>
      </c>
      <c r="G1396" s="74">
        <v>32200</v>
      </c>
      <c r="H1396" s="77">
        <v>0.41666666666666669</v>
      </c>
      <c r="J1396">
        <v>35.06</v>
      </c>
      <c r="M1396" s="74">
        <v>38044</v>
      </c>
      <c r="N1396" s="77">
        <v>0.41666666666666669</v>
      </c>
      <c r="P1396">
        <v>33.799999999999997</v>
      </c>
      <c r="S1396" s="74">
        <v>34757</v>
      </c>
      <c r="T1396" s="77">
        <v>0.41666666666666669</v>
      </c>
      <c r="V1396">
        <v>30.02</v>
      </c>
      <c r="X1396" s="42"/>
      <c r="AB1396">
        <v>36.200000000000003</v>
      </c>
      <c r="AC1396">
        <v>44.96</v>
      </c>
      <c r="AE1396" s="74"/>
      <c r="AF1396" s="77"/>
      <c r="AH1396" s="497">
        <v>37.94</v>
      </c>
      <c r="AJ1396" s="42"/>
      <c r="AK1396" s="74"/>
      <c r="AL1396" s="77"/>
      <c r="AN1396" s="497">
        <v>21.92</v>
      </c>
      <c r="AP1396" s="42"/>
      <c r="AQ1396" s="74"/>
      <c r="AR1396" s="77"/>
      <c r="AT1396" s="497">
        <v>26.060000000000002</v>
      </c>
      <c r="AV1396" s="42"/>
      <c r="AW1396" s="74"/>
      <c r="AX1396" s="77"/>
      <c r="BA1396" s="497">
        <v>28.94</v>
      </c>
      <c r="BB1396" s="42"/>
      <c r="BC1396" s="74"/>
      <c r="BD1396" s="77"/>
      <c r="BF1396">
        <v>26.96</v>
      </c>
      <c r="BH1396" s="42"/>
      <c r="BI1396" s="74"/>
      <c r="BJ1396" s="77"/>
      <c r="BL1396" s="497">
        <v>26.96</v>
      </c>
      <c r="BN1396" s="42"/>
      <c r="BO1396" s="74"/>
      <c r="BP1396" s="77"/>
      <c r="BR1396" s="497">
        <v>19.04</v>
      </c>
      <c r="BT1396" s="42"/>
    </row>
    <row r="1397" spans="1:72" x14ac:dyDescent="0.25">
      <c r="A1397" s="90">
        <v>34757</v>
      </c>
      <c r="B1397" s="20">
        <v>0.45833333333333331</v>
      </c>
      <c r="D1397">
        <v>28.04</v>
      </c>
      <c r="E1397" t="str">
        <f t="shared" si="78"/>
        <v>WEEKDAY</v>
      </c>
      <c r="F1397" t="e">
        <f t="shared" si="79"/>
        <v>#N/A</v>
      </c>
      <c r="G1397" s="74">
        <v>32200</v>
      </c>
      <c r="H1397" s="77">
        <v>0.45833333333333331</v>
      </c>
      <c r="J1397">
        <v>35.06</v>
      </c>
      <c r="M1397" s="74">
        <v>38044</v>
      </c>
      <c r="N1397" s="77">
        <v>0.45833333333333331</v>
      </c>
      <c r="P1397">
        <v>35.6</v>
      </c>
      <c r="S1397" s="74">
        <v>34757</v>
      </c>
      <c r="T1397" s="77">
        <v>0.45833333333333331</v>
      </c>
      <c r="V1397">
        <v>30.92</v>
      </c>
      <c r="X1397" s="42"/>
      <c r="AB1397">
        <v>37.799999999999997</v>
      </c>
      <c r="AC1397">
        <v>44.96</v>
      </c>
      <c r="AE1397" s="74"/>
      <c r="AF1397" s="77"/>
      <c r="AH1397" s="497">
        <v>41</v>
      </c>
      <c r="AJ1397" s="42"/>
      <c r="AK1397" s="74"/>
      <c r="AL1397" s="77"/>
      <c r="AN1397" s="497">
        <v>24.98</v>
      </c>
      <c r="AP1397" s="42"/>
      <c r="AQ1397" s="74"/>
      <c r="AR1397" s="77"/>
      <c r="AT1397" s="497">
        <v>28.04</v>
      </c>
      <c r="AV1397" s="42"/>
      <c r="AW1397" s="74"/>
      <c r="AX1397" s="77"/>
      <c r="BA1397" s="497">
        <v>30.02</v>
      </c>
      <c r="BB1397" s="42"/>
      <c r="BC1397" s="74"/>
      <c r="BD1397" s="77"/>
      <c r="BF1397">
        <v>26.060000000000002</v>
      </c>
      <c r="BH1397" s="42"/>
      <c r="BI1397" s="74"/>
      <c r="BJ1397" s="77"/>
      <c r="BL1397" s="497">
        <v>26.96</v>
      </c>
      <c r="BN1397" s="42"/>
      <c r="BO1397" s="74"/>
      <c r="BP1397" s="77"/>
      <c r="BR1397" s="497">
        <v>23</v>
      </c>
      <c r="BT1397" s="42"/>
    </row>
    <row r="1398" spans="1:72" x14ac:dyDescent="0.25">
      <c r="A1398" s="90">
        <v>34757</v>
      </c>
      <c r="B1398" s="20">
        <v>0.5</v>
      </c>
      <c r="D1398">
        <v>26.96</v>
      </c>
      <c r="E1398" t="str">
        <f t="shared" si="78"/>
        <v>WEEKDAY</v>
      </c>
      <c r="F1398" t="e">
        <f t="shared" si="79"/>
        <v>#N/A</v>
      </c>
      <c r="G1398" s="74">
        <v>32200</v>
      </c>
      <c r="H1398" s="77">
        <v>0.5</v>
      </c>
      <c r="J1398">
        <v>33.08</v>
      </c>
      <c r="M1398" s="74">
        <v>38044</v>
      </c>
      <c r="N1398" s="77">
        <v>0.5</v>
      </c>
      <c r="P1398">
        <v>37.4</v>
      </c>
      <c r="S1398" s="74">
        <v>34757</v>
      </c>
      <c r="T1398" s="77">
        <v>0.5</v>
      </c>
      <c r="V1398">
        <v>30.92</v>
      </c>
      <c r="X1398" s="42"/>
      <c r="AB1398">
        <v>39.200000000000003</v>
      </c>
      <c r="AC1398">
        <v>44.96</v>
      </c>
      <c r="AE1398" s="74"/>
      <c r="AF1398" s="77"/>
      <c r="AH1398" s="497">
        <v>42.980000000000004</v>
      </c>
      <c r="AJ1398" s="42"/>
      <c r="AK1398" s="74"/>
      <c r="AL1398" s="77"/>
      <c r="AN1398" s="497">
        <v>28.04</v>
      </c>
      <c r="AP1398" s="42"/>
      <c r="AQ1398" s="74"/>
      <c r="AR1398" s="77"/>
      <c r="AT1398" s="497">
        <v>28.94</v>
      </c>
      <c r="AV1398" s="42"/>
      <c r="AW1398" s="74"/>
      <c r="AX1398" s="77"/>
      <c r="BA1398" s="497">
        <v>30.92</v>
      </c>
      <c r="BB1398" s="42"/>
      <c r="BC1398" s="74"/>
      <c r="BD1398" s="77"/>
      <c r="BF1398">
        <v>26.060000000000002</v>
      </c>
      <c r="BH1398" s="42"/>
      <c r="BI1398" s="74"/>
      <c r="BJ1398" s="77"/>
      <c r="BL1398" s="497">
        <v>28.04</v>
      </c>
      <c r="BN1398" s="42"/>
      <c r="BO1398" s="74"/>
      <c r="BP1398" s="77"/>
      <c r="BR1398" s="497">
        <v>24.98</v>
      </c>
      <c r="BT1398" s="42"/>
    </row>
    <row r="1399" spans="1:72" x14ac:dyDescent="0.25">
      <c r="A1399" s="90">
        <v>34757</v>
      </c>
      <c r="B1399" s="20">
        <v>0.54166666666666663</v>
      </c>
      <c r="D1399">
        <v>28.04</v>
      </c>
      <c r="E1399" t="str">
        <f t="shared" si="78"/>
        <v>WEEKDAY</v>
      </c>
      <c r="F1399" t="e">
        <f t="shared" si="79"/>
        <v>#N/A</v>
      </c>
      <c r="G1399" s="74">
        <v>32200</v>
      </c>
      <c r="H1399" s="77">
        <v>0.54166666666666663</v>
      </c>
      <c r="J1399">
        <v>33.08</v>
      </c>
      <c r="M1399" s="74">
        <v>38044</v>
      </c>
      <c r="N1399" s="77">
        <v>0.54166666666666663</v>
      </c>
      <c r="P1399">
        <v>39.200000000000003</v>
      </c>
      <c r="S1399" s="74">
        <v>34757</v>
      </c>
      <c r="T1399" s="77">
        <v>0.54166666666666663</v>
      </c>
      <c r="V1399">
        <v>30.02</v>
      </c>
      <c r="X1399" s="42"/>
      <c r="AB1399">
        <v>40.299999999999997</v>
      </c>
      <c r="AC1399">
        <v>46.04</v>
      </c>
      <c r="AE1399" s="74"/>
      <c r="AF1399" s="77"/>
      <c r="AH1399" s="497">
        <v>45.86</v>
      </c>
      <c r="AJ1399" s="42"/>
      <c r="AK1399" s="74"/>
      <c r="AL1399" s="77"/>
      <c r="AN1399" s="497">
        <v>30.02</v>
      </c>
      <c r="AP1399" s="42"/>
      <c r="AQ1399" s="74"/>
      <c r="AR1399" s="77"/>
      <c r="AT1399" s="497">
        <v>28.94</v>
      </c>
      <c r="AV1399" s="42"/>
      <c r="AW1399" s="74"/>
      <c r="AX1399" s="77"/>
      <c r="BA1399" s="497">
        <v>32</v>
      </c>
      <c r="BB1399" s="42"/>
      <c r="BC1399" s="74"/>
      <c r="BD1399" s="77"/>
      <c r="BF1399">
        <v>24.98</v>
      </c>
      <c r="BH1399" s="42"/>
      <c r="BI1399" s="74"/>
      <c r="BJ1399" s="77"/>
      <c r="BL1399" s="497">
        <v>26.96</v>
      </c>
      <c r="BN1399" s="42"/>
      <c r="BO1399" s="74"/>
      <c r="BP1399" s="77"/>
      <c r="BR1399" s="497">
        <v>26.96</v>
      </c>
      <c r="BT1399" s="42"/>
    </row>
    <row r="1400" spans="1:72" x14ac:dyDescent="0.25">
      <c r="A1400" s="90">
        <v>34757</v>
      </c>
      <c r="B1400" s="20">
        <v>0.58333333333333337</v>
      </c>
      <c r="D1400">
        <v>28.94</v>
      </c>
      <c r="E1400" t="str">
        <f t="shared" si="78"/>
        <v>WEEKDAY</v>
      </c>
      <c r="F1400" t="e">
        <f t="shared" si="79"/>
        <v>#N/A</v>
      </c>
      <c r="G1400" s="74">
        <v>32200</v>
      </c>
      <c r="H1400" s="77">
        <v>0.58333333333333337</v>
      </c>
      <c r="J1400">
        <v>33.08</v>
      </c>
      <c r="M1400" s="74">
        <v>38044</v>
      </c>
      <c r="N1400" s="77">
        <v>0.58333333333333337</v>
      </c>
      <c r="P1400">
        <v>41</v>
      </c>
      <c r="S1400" s="74">
        <v>34757</v>
      </c>
      <c r="T1400" s="77">
        <v>0.58333333333333337</v>
      </c>
      <c r="V1400">
        <v>32</v>
      </c>
      <c r="X1400" s="42"/>
      <c r="AB1400">
        <v>41.2</v>
      </c>
      <c r="AC1400">
        <v>46.94</v>
      </c>
      <c r="AE1400" s="74"/>
      <c r="AF1400" s="77"/>
      <c r="AH1400" s="497">
        <v>47.84</v>
      </c>
      <c r="AJ1400" s="42"/>
      <c r="AK1400" s="74"/>
      <c r="AL1400" s="77"/>
      <c r="AN1400" s="497">
        <v>30.92</v>
      </c>
      <c r="AP1400" s="42"/>
      <c r="AQ1400" s="74"/>
      <c r="AR1400" s="77"/>
      <c r="AT1400" s="497">
        <v>28.94</v>
      </c>
      <c r="AV1400" s="42"/>
      <c r="AW1400" s="74"/>
      <c r="AX1400" s="77"/>
      <c r="BA1400" s="497">
        <v>33.08</v>
      </c>
      <c r="BB1400" s="42"/>
      <c r="BC1400" s="74"/>
      <c r="BD1400" s="77"/>
      <c r="BF1400">
        <v>26.060000000000002</v>
      </c>
      <c r="BH1400" s="42"/>
      <c r="BI1400" s="74"/>
      <c r="BJ1400" s="77"/>
      <c r="BL1400" s="497">
        <v>26.060000000000002</v>
      </c>
      <c r="BN1400" s="42"/>
      <c r="BO1400" s="74"/>
      <c r="BP1400" s="77"/>
      <c r="BR1400" s="497">
        <v>28.04</v>
      </c>
      <c r="BT1400" s="42"/>
    </row>
    <row r="1401" spans="1:72" x14ac:dyDescent="0.25">
      <c r="A1401" s="90">
        <v>34757</v>
      </c>
      <c r="B1401" s="20">
        <v>0.625</v>
      </c>
      <c r="D1401">
        <v>30.02</v>
      </c>
      <c r="E1401" t="str">
        <f t="shared" si="78"/>
        <v>WEEKDAY</v>
      </c>
      <c r="F1401" t="e">
        <f t="shared" si="79"/>
        <v>#N/A</v>
      </c>
      <c r="G1401" s="74">
        <v>32200</v>
      </c>
      <c r="H1401" s="77">
        <v>0.625</v>
      </c>
      <c r="J1401">
        <v>33.08</v>
      </c>
      <c r="M1401" s="74">
        <v>38044</v>
      </c>
      <c r="N1401" s="77">
        <v>0.625</v>
      </c>
      <c r="P1401">
        <v>42.8</v>
      </c>
      <c r="S1401" s="74">
        <v>34757</v>
      </c>
      <c r="T1401" s="77">
        <v>0.625</v>
      </c>
      <c r="V1401">
        <v>32</v>
      </c>
      <c r="X1401" s="42"/>
      <c r="AB1401">
        <v>41.8</v>
      </c>
      <c r="AC1401">
        <v>46.94</v>
      </c>
      <c r="AE1401" s="74"/>
      <c r="AF1401" s="77"/>
      <c r="AH1401" s="497">
        <v>47.84</v>
      </c>
      <c r="AJ1401" s="42"/>
      <c r="AK1401" s="74"/>
      <c r="AL1401" s="77"/>
      <c r="AN1401" s="497">
        <v>32</v>
      </c>
      <c r="AP1401" s="42"/>
      <c r="AQ1401" s="74"/>
      <c r="AR1401" s="77"/>
      <c r="AT1401" s="497">
        <v>30.02</v>
      </c>
      <c r="AV1401" s="42"/>
      <c r="AW1401" s="74"/>
      <c r="AX1401" s="77"/>
      <c r="BA1401" s="497">
        <v>33.08</v>
      </c>
      <c r="BB1401" s="42"/>
      <c r="BC1401" s="74"/>
      <c r="BD1401" s="77"/>
      <c r="BF1401">
        <v>26.060000000000002</v>
      </c>
      <c r="BH1401" s="42"/>
      <c r="BI1401" s="74"/>
      <c r="BJ1401" s="77"/>
      <c r="BL1401" s="497">
        <v>26.060000000000002</v>
      </c>
      <c r="BN1401" s="42"/>
      <c r="BO1401" s="74"/>
      <c r="BP1401" s="77"/>
      <c r="BR1401" s="497">
        <v>28.04</v>
      </c>
      <c r="BT1401" s="42"/>
    </row>
    <row r="1402" spans="1:72" x14ac:dyDescent="0.25">
      <c r="A1402" s="90">
        <v>34757</v>
      </c>
      <c r="B1402" s="20">
        <v>0.66666666666666663</v>
      </c>
      <c r="D1402">
        <v>30.92</v>
      </c>
      <c r="E1402" t="str">
        <f t="shared" si="78"/>
        <v>WEEKDAY</v>
      </c>
      <c r="F1402" t="e">
        <f t="shared" si="79"/>
        <v>#N/A</v>
      </c>
      <c r="G1402" s="74">
        <v>32200</v>
      </c>
      <c r="H1402" s="77">
        <v>0.66666666666666663</v>
      </c>
      <c r="J1402">
        <v>33.08</v>
      </c>
      <c r="M1402" s="74">
        <v>38044</v>
      </c>
      <c r="N1402" s="77">
        <v>0.66666666666666663</v>
      </c>
      <c r="P1402">
        <v>39.200000000000003</v>
      </c>
      <c r="S1402" s="74">
        <v>34757</v>
      </c>
      <c r="T1402" s="77">
        <v>0.66666666666666663</v>
      </c>
      <c r="V1402">
        <v>33.08</v>
      </c>
      <c r="X1402" s="42"/>
      <c r="AB1402">
        <v>41.9</v>
      </c>
      <c r="AC1402">
        <v>46.94</v>
      </c>
      <c r="AE1402" s="74"/>
      <c r="AF1402" s="77"/>
      <c r="AH1402" s="497">
        <v>47.84</v>
      </c>
      <c r="AJ1402" s="42"/>
      <c r="AK1402" s="74"/>
      <c r="AL1402" s="77"/>
      <c r="AN1402" s="497">
        <v>32</v>
      </c>
      <c r="AP1402" s="42"/>
      <c r="AQ1402" s="74"/>
      <c r="AR1402" s="77"/>
      <c r="AT1402" s="497">
        <v>28.94</v>
      </c>
      <c r="AV1402" s="42"/>
      <c r="AW1402" s="74"/>
      <c r="AX1402" s="77"/>
      <c r="BA1402" s="497">
        <v>33.979999999999997</v>
      </c>
      <c r="BB1402" s="42"/>
      <c r="BC1402" s="74"/>
      <c r="BD1402" s="77"/>
      <c r="BF1402">
        <v>26.96</v>
      </c>
      <c r="BH1402" s="42"/>
      <c r="BI1402" s="74"/>
      <c r="BJ1402" s="77"/>
      <c r="BL1402" s="497">
        <v>26.060000000000002</v>
      </c>
      <c r="BN1402" s="42"/>
      <c r="BO1402" s="74"/>
      <c r="BP1402" s="77"/>
      <c r="BR1402" s="497">
        <v>28.94</v>
      </c>
      <c r="BT1402" s="42"/>
    </row>
    <row r="1403" spans="1:72" x14ac:dyDescent="0.25">
      <c r="A1403" s="90">
        <v>34757</v>
      </c>
      <c r="B1403" s="20">
        <v>0.70833333333333337</v>
      </c>
      <c r="D1403">
        <v>32</v>
      </c>
      <c r="E1403" t="str">
        <f t="shared" si="78"/>
        <v>WEEKDAY</v>
      </c>
      <c r="F1403" t="e">
        <f t="shared" si="79"/>
        <v>#N/A</v>
      </c>
      <c r="G1403" s="74">
        <v>32200</v>
      </c>
      <c r="H1403" s="77">
        <v>0.70833333333333337</v>
      </c>
      <c r="J1403">
        <v>33.08</v>
      </c>
      <c r="M1403" s="74">
        <v>38044</v>
      </c>
      <c r="N1403" s="77">
        <v>0.70833333333333337</v>
      </c>
      <c r="P1403">
        <v>37.4</v>
      </c>
      <c r="S1403" s="74">
        <v>34757</v>
      </c>
      <c r="T1403" s="77">
        <v>0.70833333333333337</v>
      </c>
      <c r="V1403">
        <v>33.08</v>
      </c>
      <c r="X1403" s="42"/>
      <c r="AB1403">
        <v>41.5</v>
      </c>
      <c r="AC1403">
        <v>46.94</v>
      </c>
      <c r="AE1403" s="74"/>
      <c r="AF1403" s="77"/>
      <c r="AH1403" s="497">
        <v>44.96</v>
      </c>
      <c r="AJ1403" s="42"/>
      <c r="AK1403" s="74"/>
      <c r="AL1403" s="77"/>
      <c r="AN1403" s="497">
        <v>30.92</v>
      </c>
      <c r="AP1403" s="42"/>
      <c r="AQ1403" s="74"/>
      <c r="AR1403" s="77"/>
      <c r="AT1403" s="497">
        <v>30.02</v>
      </c>
      <c r="AV1403" s="42"/>
      <c r="AW1403" s="74"/>
      <c r="AX1403" s="77"/>
      <c r="BA1403" s="497">
        <v>33.979999999999997</v>
      </c>
      <c r="BB1403" s="42"/>
      <c r="BC1403" s="74"/>
      <c r="BD1403" s="77"/>
      <c r="BF1403">
        <v>26.96</v>
      </c>
      <c r="BH1403" s="42"/>
      <c r="BI1403" s="74"/>
      <c r="BJ1403" s="77"/>
      <c r="BL1403" s="497">
        <v>26.96</v>
      </c>
      <c r="BN1403" s="42"/>
      <c r="BO1403" s="74"/>
      <c r="BP1403" s="77"/>
      <c r="BR1403" s="497">
        <v>28.94</v>
      </c>
      <c r="BT1403" s="42"/>
    </row>
    <row r="1404" spans="1:72" x14ac:dyDescent="0.25">
      <c r="A1404" s="90">
        <v>34757</v>
      </c>
      <c r="B1404" s="20">
        <v>0.75</v>
      </c>
      <c r="D1404">
        <v>32</v>
      </c>
      <c r="E1404" t="str">
        <f t="shared" si="78"/>
        <v>WEEKDAY</v>
      </c>
      <c r="F1404" t="e">
        <f t="shared" si="79"/>
        <v>#N/A</v>
      </c>
      <c r="G1404" s="74">
        <v>32200</v>
      </c>
      <c r="H1404" s="77">
        <v>0.75</v>
      </c>
      <c r="J1404">
        <v>33.08</v>
      </c>
      <c r="M1404" s="74">
        <v>38044</v>
      </c>
      <c r="N1404" s="77">
        <v>0.75</v>
      </c>
      <c r="P1404">
        <v>37.4</v>
      </c>
      <c r="S1404" s="74">
        <v>34757</v>
      </c>
      <c r="T1404" s="77">
        <v>0.75</v>
      </c>
      <c r="V1404">
        <v>33.08</v>
      </c>
      <c r="X1404" s="42"/>
      <c r="AB1404">
        <v>40.6</v>
      </c>
      <c r="AC1404">
        <v>46.94</v>
      </c>
      <c r="AE1404" s="74"/>
      <c r="AF1404" s="77"/>
      <c r="AH1404" s="497">
        <v>43.879999999999995</v>
      </c>
      <c r="AJ1404" s="42"/>
      <c r="AK1404" s="74"/>
      <c r="AL1404" s="77"/>
      <c r="AN1404" s="497">
        <v>28.94</v>
      </c>
      <c r="AP1404" s="42"/>
      <c r="AQ1404" s="74"/>
      <c r="AR1404" s="77"/>
      <c r="AT1404" s="497">
        <v>28.94</v>
      </c>
      <c r="AV1404" s="42"/>
      <c r="AW1404" s="74"/>
      <c r="AX1404" s="77"/>
      <c r="BA1404" s="497">
        <v>35.06</v>
      </c>
      <c r="BB1404" s="42"/>
      <c r="BC1404" s="74"/>
      <c r="BD1404" s="77"/>
      <c r="BF1404">
        <v>26.96</v>
      </c>
      <c r="BH1404" s="42"/>
      <c r="BI1404" s="74"/>
      <c r="BJ1404" s="77"/>
      <c r="BL1404" s="497">
        <v>26.96</v>
      </c>
      <c r="BN1404" s="42"/>
      <c r="BO1404" s="74"/>
      <c r="BP1404" s="77"/>
      <c r="BR1404" s="497">
        <v>26.060000000000002</v>
      </c>
      <c r="BT1404" s="42"/>
    </row>
    <row r="1405" spans="1:72" x14ac:dyDescent="0.25">
      <c r="A1405" s="90">
        <v>34757</v>
      </c>
      <c r="B1405" s="20">
        <v>0.79166666666666663</v>
      </c>
      <c r="D1405">
        <v>32</v>
      </c>
      <c r="E1405" t="str">
        <f t="shared" si="78"/>
        <v>WEEKDAY</v>
      </c>
      <c r="F1405" t="e">
        <f t="shared" si="79"/>
        <v>#N/A</v>
      </c>
      <c r="G1405" s="74">
        <v>32200</v>
      </c>
      <c r="H1405" s="77">
        <v>0.79166666666666663</v>
      </c>
      <c r="J1405">
        <v>32</v>
      </c>
      <c r="M1405" s="74">
        <v>38044</v>
      </c>
      <c r="N1405" s="77">
        <v>0.79166666666666663</v>
      </c>
      <c r="P1405">
        <v>35.6</v>
      </c>
      <c r="S1405" s="74">
        <v>34757</v>
      </c>
      <c r="T1405" s="77">
        <v>0.79166666666666663</v>
      </c>
      <c r="V1405">
        <v>33.08</v>
      </c>
      <c r="X1405" s="42"/>
      <c r="AB1405">
        <v>39.4</v>
      </c>
      <c r="AC1405">
        <v>46.94</v>
      </c>
      <c r="AE1405" s="74"/>
      <c r="AF1405" s="77"/>
      <c r="AH1405" s="497">
        <v>42.980000000000004</v>
      </c>
      <c r="AJ1405" s="42"/>
      <c r="AK1405" s="74"/>
      <c r="AL1405" s="77"/>
      <c r="AN1405" s="497">
        <v>26.060000000000002</v>
      </c>
      <c r="AP1405" s="42"/>
      <c r="AQ1405" s="74"/>
      <c r="AR1405" s="77"/>
      <c r="AT1405" s="497">
        <v>28.04</v>
      </c>
      <c r="AV1405" s="42"/>
      <c r="AW1405" s="74"/>
      <c r="AX1405" s="77"/>
      <c r="BA1405" s="497">
        <v>28.04</v>
      </c>
      <c r="BB1405" s="42"/>
      <c r="BC1405" s="74"/>
      <c r="BD1405" s="77"/>
      <c r="BF1405">
        <v>24.98</v>
      </c>
      <c r="BH1405" s="42"/>
      <c r="BI1405" s="74"/>
      <c r="BJ1405" s="77"/>
      <c r="BL1405" s="497">
        <v>26.96</v>
      </c>
      <c r="BN1405" s="42"/>
      <c r="BO1405" s="74"/>
      <c r="BP1405" s="77"/>
      <c r="BR1405" s="497">
        <v>24.08</v>
      </c>
      <c r="BT1405" s="42"/>
    </row>
    <row r="1406" spans="1:72" x14ac:dyDescent="0.25">
      <c r="A1406" s="90">
        <v>34757</v>
      </c>
      <c r="B1406" s="20">
        <v>0.83333333333333337</v>
      </c>
      <c r="D1406">
        <v>32</v>
      </c>
      <c r="E1406" t="str">
        <f t="shared" si="78"/>
        <v>WEEKDAY</v>
      </c>
      <c r="F1406" t="e">
        <f t="shared" si="79"/>
        <v>#N/A</v>
      </c>
      <c r="G1406" s="74">
        <v>32200</v>
      </c>
      <c r="H1406" s="77">
        <v>0.83333333333333337</v>
      </c>
      <c r="J1406">
        <v>30.92</v>
      </c>
      <c r="M1406" s="74">
        <v>38044</v>
      </c>
      <c r="N1406" s="77">
        <v>0.83333333333333337</v>
      </c>
      <c r="P1406">
        <v>33.799999999999997</v>
      </c>
      <c r="S1406" s="74">
        <v>34757</v>
      </c>
      <c r="T1406" s="77">
        <v>0.83333333333333337</v>
      </c>
      <c r="V1406">
        <v>33.979999999999997</v>
      </c>
      <c r="X1406" s="42"/>
      <c r="AB1406">
        <v>38.700000000000003</v>
      </c>
      <c r="AC1406">
        <v>48.92</v>
      </c>
      <c r="AE1406" s="74"/>
      <c r="AF1406" s="77"/>
      <c r="AH1406" s="497">
        <v>41.9</v>
      </c>
      <c r="AJ1406" s="42"/>
      <c r="AK1406" s="74"/>
      <c r="AL1406" s="77"/>
      <c r="AN1406" s="497">
        <v>24.08</v>
      </c>
      <c r="AP1406" s="42"/>
      <c r="AQ1406" s="74"/>
      <c r="AR1406" s="77"/>
      <c r="AT1406" s="497">
        <v>28.04</v>
      </c>
      <c r="AV1406" s="42"/>
      <c r="AW1406" s="74"/>
      <c r="AX1406" s="77"/>
      <c r="BA1406" s="497">
        <v>26.060000000000002</v>
      </c>
      <c r="BB1406" s="42"/>
      <c r="BC1406" s="74"/>
      <c r="BD1406" s="77"/>
      <c r="BF1406">
        <v>23</v>
      </c>
      <c r="BH1406" s="42"/>
      <c r="BI1406" s="74"/>
      <c r="BJ1406" s="77"/>
      <c r="BL1406" s="497">
        <v>26.96</v>
      </c>
      <c r="BN1406" s="42"/>
      <c r="BO1406" s="74"/>
      <c r="BP1406" s="77"/>
      <c r="BR1406" s="497">
        <v>23</v>
      </c>
      <c r="BT1406" s="42"/>
    </row>
    <row r="1407" spans="1:72" x14ac:dyDescent="0.25">
      <c r="A1407" s="90">
        <v>34757</v>
      </c>
      <c r="B1407" s="20">
        <v>0.875</v>
      </c>
      <c r="D1407">
        <v>30.92</v>
      </c>
      <c r="E1407" t="str">
        <f t="shared" si="78"/>
        <v>WEEKDAY</v>
      </c>
      <c r="F1407" t="e">
        <f t="shared" si="79"/>
        <v>#N/A</v>
      </c>
      <c r="G1407" s="74">
        <v>32200</v>
      </c>
      <c r="H1407" s="77">
        <v>0.875</v>
      </c>
      <c r="J1407">
        <v>30.92</v>
      </c>
      <c r="M1407" s="74">
        <v>38044</v>
      </c>
      <c r="N1407" s="77">
        <v>0.875</v>
      </c>
      <c r="P1407">
        <v>30.2</v>
      </c>
      <c r="S1407" s="74">
        <v>34757</v>
      </c>
      <c r="T1407" s="77">
        <v>0.875</v>
      </c>
      <c r="V1407">
        <v>33.08</v>
      </c>
      <c r="X1407" s="42"/>
      <c r="AB1407">
        <v>38.1</v>
      </c>
      <c r="AC1407">
        <v>48.92</v>
      </c>
      <c r="AE1407" s="74"/>
      <c r="AF1407" s="77"/>
      <c r="AH1407" s="497">
        <v>39.92</v>
      </c>
      <c r="AJ1407" s="42"/>
      <c r="AK1407" s="74"/>
      <c r="AL1407" s="77"/>
      <c r="AN1407" s="497">
        <v>24.08</v>
      </c>
      <c r="AP1407" s="42"/>
      <c r="AQ1407" s="74"/>
      <c r="AR1407" s="77"/>
      <c r="AT1407" s="497">
        <v>26.96</v>
      </c>
      <c r="AV1407" s="42"/>
      <c r="AW1407" s="74"/>
      <c r="AX1407" s="77"/>
      <c r="BA1407" s="497">
        <v>24.98</v>
      </c>
      <c r="BB1407" s="42"/>
      <c r="BC1407" s="74"/>
      <c r="BD1407" s="77"/>
      <c r="BF1407">
        <v>21.02</v>
      </c>
      <c r="BH1407" s="42"/>
      <c r="BI1407" s="74"/>
      <c r="BJ1407" s="77"/>
      <c r="BL1407" s="497">
        <v>26.96</v>
      </c>
      <c r="BN1407" s="42"/>
      <c r="BO1407" s="74"/>
      <c r="BP1407" s="77"/>
      <c r="BR1407" s="497">
        <v>19.939999999999998</v>
      </c>
      <c r="BT1407" s="42"/>
    </row>
    <row r="1408" spans="1:72" x14ac:dyDescent="0.25">
      <c r="A1408" s="90">
        <v>34757</v>
      </c>
      <c r="B1408" s="20">
        <v>0.91666666666666663</v>
      </c>
      <c r="D1408">
        <v>32</v>
      </c>
      <c r="E1408" t="str">
        <f t="shared" si="78"/>
        <v>WEEKDAY</v>
      </c>
      <c r="F1408" t="e">
        <f t="shared" si="79"/>
        <v>#N/A</v>
      </c>
      <c r="G1408" s="74">
        <v>32200</v>
      </c>
      <c r="H1408" s="77">
        <v>0.91666666666666663</v>
      </c>
      <c r="J1408">
        <v>30.92</v>
      </c>
      <c r="M1408" s="74">
        <v>38044</v>
      </c>
      <c r="N1408" s="77">
        <v>0.91666666666666663</v>
      </c>
      <c r="P1408">
        <v>32</v>
      </c>
      <c r="S1408" s="74">
        <v>34757</v>
      </c>
      <c r="T1408" s="77">
        <v>0.91666666666666663</v>
      </c>
      <c r="V1408">
        <v>32</v>
      </c>
      <c r="X1408" s="42"/>
      <c r="AB1408">
        <v>37.5</v>
      </c>
      <c r="AC1408">
        <v>50</v>
      </c>
      <c r="AE1408" s="74"/>
      <c r="AF1408" s="77"/>
      <c r="AH1408" s="497">
        <v>39.92</v>
      </c>
      <c r="AJ1408" s="42"/>
      <c r="AK1408" s="74"/>
      <c r="AL1408" s="77"/>
      <c r="AN1408" s="497">
        <v>21.92</v>
      </c>
      <c r="AP1408" s="42"/>
      <c r="AQ1408" s="74"/>
      <c r="AR1408" s="77"/>
      <c r="AT1408" s="497">
        <v>28.04</v>
      </c>
      <c r="AV1408" s="42"/>
      <c r="AW1408" s="74"/>
      <c r="AX1408" s="77"/>
      <c r="BA1408" s="497">
        <v>21.92</v>
      </c>
      <c r="BB1408" s="42"/>
      <c r="BC1408" s="74"/>
      <c r="BD1408" s="77"/>
      <c r="BF1408">
        <v>17.96</v>
      </c>
      <c r="BH1408" s="42"/>
      <c r="BI1408" s="74"/>
      <c r="BJ1408" s="77"/>
      <c r="BL1408" s="497">
        <v>24.98</v>
      </c>
      <c r="BN1408" s="42"/>
      <c r="BO1408" s="74"/>
      <c r="BP1408" s="77"/>
      <c r="BR1408" s="497">
        <v>15.98</v>
      </c>
      <c r="BT1408" s="42"/>
    </row>
    <row r="1409" spans="1:72" x14ac:dyDescent="0.25">
      <c r="A1409" s="90">
        <v>34757</v>
      </c>
      <c r="B1409" s="20">
        <v>0.95833333333333337</v>
      </c>
      <c r="D1409">
        <v>33.08</v>
      </c>
      <c r="E1409" t="str">
        <f t="shared" si="78"/>
        <v>WEEKDAY</v>
      </c>
      <c r="F1409" t="e">
        <f t="shared" si="79"/>
        <v>#N/A</v>
      </c>
      <c r="G1409" s="74">
        <v>32200</v>
      </c>
      <c r="H1409" s="77">
        <v>0.95833333333333337</v>
      </c>
      <c r="J1409">
        <v>30.92</v>
      </c>
      <c r="M1409" s="74">
        <v>38044</v>
      </c>
      <c r="N1409" s="77">
        <v>0.95833333333333337</v>
      </c>
      <c r="P1409">
        <v>32</v>
      </c>
      <c r="S1409" s="74">
        <v>34757</v>
      </c>
      <c r="T1409" s="77">
        <v>0.95833333333333337</v>
      </c>
      <c r="V1409">
        <v>32</v>
      </c>
      <c r="X1409" s="42"/>
      <c r="AB1409">
        <v>36.9</v>
      </c>
      <c r="AC1409">
        <v>51.08</v>
      </c>
      <c r="AE1409" s="74"/>
      <c r="AF1409" s="77"/>
      <c r="AH1409" s="497">
        <v>39.92</v>
      </c>
      <c r="AJ1409" s="42"/>
      <c r="AK1409" s="74"/>
      <c r="AL1409" s="77"/>
      <c r="AN1409" s="497">
        <v>21.02</v>
      </c>
      <c r="AP1409" s="42"/>
      <c r="AQ1409" s="74"/>
      <c r="AR1409" s="77"/>
      <c r="AT1409" s="497">
        <v>26.060000000000002</v>
      </c>
      <c r="AV1409" s="42"/>
      <c r="AW1409" s="74"/>
      <c r="AX1409" s="77"/>
      <c r="BA1409" s="497">
        <v>21.02</v>
      </c>
      <c r="BB1409" s="42"/>
      <c r="BC1409" s="74"/>
      <c r="BD1409" s="77"/>
      <c r="BF1409">
        <v>19.939999999999998</v>
      </c>
      <c r="BH1409" s="42"/>
      <c r="BI1409" s="74"/>
      <c r="BJ1409" s="77"/>
      <c r="BL1409" s="497">
        <v>23</v>
      </c>
      <c r="BN1409" s="42"/>
      <c r="BO1409" s="74"/>
      <c r="BP1409" s="77"/>
      <c r="BR1409" s="497">
        <v>15.079999999999998</v>
      </c>
      <c r="BT1409" s="42"/>
    </row>
    <row r="1410" spans="1:72" x14ac:dyDescent="0.25">
      <c r="A1410" s="90">
        <v>34757</v>
      </c>
      <c r="B1410" s="20">
        <v>1</v>
      </c>
      <c r="D1410">
        <v>33.08</v>
      </c>
      <c r="E1410" t="str">
        <f t="shared" si="78"/>
        <v>WEEKDAY</v>
      </c>
      <c r="F1410" t="e">
        <f t="shared" si="79"/>
        <v>#N/A</v>
      </c>
      <c r="G1410" s="74">
        <v>32200</v>
      </c>
      <c r="H1410" s="77">
        <v>1</v>
      </c>
      <c r="J1410">
        <v>30.92</v>
      </c>
      <c r="M1410" s="74">
        <v>38044</v>
      </c>
      <c r="N1410" s="80">
        <v>1</v>
      </c>
      <c r="P1410">
        <v>30.2</v>
      </c>
      <c r="S1410" s="74">
        <v>34757</v>
      </c>
      <c r="T1410" s="80">
        <v>1</v>
      </c>
      <c r="V1410">
        <v>32</v>
      </c>
      <c r="X1410" s="42"/>
      <c r="AB1410">
        <v>36.299999999999997</v>
      </c>
      <c r="AC1410">
        <v>50</v>
      </c>
      <c r="AE1410" s="74"/>
      <c r="AF1410" s="80"/>
      <c r="AH1410" s="497">
        <v>39.92</v>
      </c>
      <c r="AJ1410" s="42"/>
      <c r="AK1410" s="74"/>
      <c r="AL1410" s="80"/>
      <c r="AN1410" s="497">
        <v>19.939999999999998</v>
      </c>
      <c r="AP1410" s="42"/>
      <c r="AQ1410" s="74"/>
      <c r="AR1410" s="80"/>
      <c r="AT1410" s="497">
        <v>24.98</v>
      </c>
      <c r="AV1410" s="42"/>
      <c r="AW1410" s="74"/>
      <c r="AX1410" s="80"/>
      <c r="BA1410" s="497">
        <v>21.02</v>
      </c>
      <c r="BB1410" s="42"/>
      <c r="BC1410" s="74"/>
      <c r="BD1410" s="80"/>
      <c r="BF1410">
        <v>17.96</v>
      </c>
      <c r="BH1410" s="42"/>
      <c r="BI1410" s="74"/>
      <c r="BJ1410" s="80"/>
      <c r="BL1410" s="497">
        <v>19.939999999999998</v>
      </c>
      <c r="BN1410" s="42"/>
      <c r="BO1410" s="74"/>
      <c r="BP1410" s="80"/>
      <c r="BR1410" s="497">
        <v>12.920000000000002</v>
      </c>
      <c r="BT1410" s="42"/>
    </row>
    <row r="1411" spans="1:72" x14ac:dyDescent="0.25">
      <c r="A1411" s="90">
        <v>34758</v>
      </c>
      <c r="B1411" s="20">
        <v>4.1666666666666664E-2</v>
      </c>
      <c r="D1411">
        <v>33.08</v>
      </c>
      <c r="E1411" t="str">
        <f t="shared" si="78"/>
        <v>WEEKDAY</v>
      </c>
      <c r="F1411" t="e">
        <f t="shared" si="79"/>
        <v>#N/A</v>
      </c>
      <c r="G1411" s="74">
        <v>32201</v>
      </c>
      <c r="H1411" s="77">
        <v>4.1666666666666664E-2</v>
      </c>
      <c r="J1411">
        <v>30.92</v>
      </c>
      <c r="M1411" s="74">
        <v>38045</v>
      </c>
      <c r="N1411" s="77">
        <v>4.1666666666666664E-2</v>
      </c>
      <c r="P1411">
        <v>30.2</v>
      </c>
      <c r="S1411" s="74">
        <v>34758</v>
      </c>
      <c r="T1411" s="77">
        <v>4.1666666666666664E-2</v>
      </c>
      <c r="V1411">
        <v>32</v>
      </c>
      <c r="X1411" s="42"/>
      <c r="AB1411">
        <v>35.9</v>
      </c>
      <c r="AC1411">
        <v>50</v>
      </c>
      <c r="AE1411" s="74"/>
      <c r="AF1411" s="77"/>
      <c r="AH1411" s="497">
        <v>39.92</v>
      </c>
      <c r="AJ1411" s="42"/>
      <c r="AK1411" s="74"/>
      <c r="AL1411" s="77"/>
      <c r="AN1411" s="497">
        <v>21.02</v>
      </c>
      <c r="AP1411" s="42"/>
      <c r="AQ1411" s="74"/>
      <c r="AR1411" s="77"/>
      <c r="AT1411" s="497">
        <v>24.98</v>
      </c>
      <c r="AV1411" s="42"/>
      <c r="AW1411" s="74"/>
      <c r="AX1411" s="77"/>
      <c r="BA1411" s="497">
        <v>19.939999999999998</v>
      </c>
      <c r="BB1411" s="42"/>
      <c r="BC1411" s="74"/>
      <c r="BD1411" s="77"/>
      <c r="BF1411">
        <v>17.059999999999999</v>
      </c>
      <c r="BH1411" s="42"/>
      <c r="BI1411" s="74"/>
      <c r="BJ1411" s="77"/>
      <c r="BL1411" s="497">
        <v>12.920000000000002</v>
      </c>
      <c r="BN1411" s="42"/>
      <c r="BO1411" s="74"/>
      <c r="BP1411" s="77"/>
      <c r="BR1411" s="497">
        <v>10.940000000000001</v>
      </c>
      <c r="BT1411" s="42"/>
    </row>
    <row r="1412" spans="1:72" x14ac:dyDescent="0.25">
      <c r="A1412" s="90">
        <v>34758</v>
      </c>
      <c r="B1412" s="20">
        <v>8.3333333333333329E-2</v>
      </c>
      <c r="D1412">
        <v>33.08</v>
      </c>
      <c r="E1412" t="str">
        <f t="shared" si="78"/>
        <v>WEEKDAY</v>
      </c>
      <c r="F1412" t="e">
        <f t="shared" si="79"/>
        <v>#N/A</v>
      </c>
      <c r="G1412" s="74">
        <v>32201</v>
      </c>
      <c r="H1412" s="77">
        <v>8.3333333333333329E-2</v>
      </c>
      <c r="J1412">
        <v>30.02</v>
      </c>
      <c r="M1412" s="74">
        <v>38045</v>
      </c>
      <c r="N1412" s="77">
        <v>8.3333333333333329E-2</v>
      </c>
      <c r="P1412">
        <v>30.2</v>
      </c>
      <c r="S1412" s="74">
        <v>34758</v>
      </c>
      <c r="T1412" s="77">
        <v>8.3333333333333329E-2</v>
      </c>
      <c r="V1412">
        <v>33.08</v>
      </c>
      <c r="X1412" s="42"/>
      <c r="AB1412">
        <v>35.200000000000003</v>
      </c>
      <c r="AC1412">
        <v>50</v>
      </c>
      <c r="AE1412" s="74"/>
      <c r="AF1412" s="77"/>
      <c r="AH1412" s="497">
        <v>41</v>
      </c>
      <c r="AJ1412" s="42"/>
      <c r="AK1412" s="74"/>
      <c r="AL1412" s="77"/>
      <c r="AN1412" s="497">
        <v>17.96</v>
      </c>
      <c r="AP1412" s="42"/>
      <c r="AQ1412" s="74"/>
      <c r="AR1412" s="77"/>
      <c r="AT1412" s="497">
        <v>24.08</v>
      </c>
      <c r="AV1412" s="42"/>
      <c r="AW1412" s="74"/>
      <c r="AX1412" s="77"/>
      <c r="BA1412" s="497">
        <v>21.92</v>
      </c>
      <c r="BB1412" s="42"/>
      <c r="BC1412" s="74"/>
      <c r="BD1412" s="77"/>
      <c r="BF1412">
        <v>17.059999999999999</v>
      </c>
      <c r="BH1412" s="42"/>
      <c r="BI1412" s="74"/>
      <c r="BJ1412" s="77"/>
      <c r="BL1412" s="497">
        <v>8.9599999999999973</v>
      </c>
      <c r="BN1412" s="42"/>
      <c r="BO1412" s="74"/>
      <c r="BP1412" s="77"/>
      <c r="BR1412" s="497">
        <v>10.039999999999999</v>
      </c>
      <c r="BT1412" s="42"/>
    </row>
    <row r="1413" spans="1:72" x14ac:dyDescent="0.25">
      <c r="A1413" s="90">
        <v>34758</v>
      </c>
      <c r="B1413" s="20">
        <v>0.125</v>
      </c>
      <c r="D1413">
        <v>33.08</v>
      </c>
      <c r="E1413" t="str">
        <f t="shared" si="78"/>
        <v>WEEKDAY</v>
      </c>
      <c r="F1413" t="e">
        <f t="shared" si="79"/>
        <v>#N/A</v>
      </c>
      <c r="G1413" s="74">
        <v>32201</v>
      </c>
      <c r="H1413" s="77">
        <v>0.125</v>
      </c>
      <c r="J1413">
        <v>28.94</v>
      </c>
      <c r="M1413" s="74">
        <v>38045</v>
      </c>
      <c r="N1413" s="77">
        <v>0.125</v>
      </c>
      <c r="P1413">
        <v>28.4</v>
      </c>
      <c r="S1413" s="74">
        <v>34758</v>
      </c>
      <c r="T1413" s="77">
        <v>0.125</v>
      </c>
      <c r="V1413">
        <v>33.08</v>
      </c>
      <c r="X1413" s="42"/>
      <c r="AB1413">
        <v>34.700000000000003</v>
      </c>
      <c r="AC1413">
        <v>51.08</v>
      </c>
      <c r="AE1413" s="74"/>
      <c r="AF1413" s="77"/>
      <c r="AH1413" s="497">
        <v>41</v>
      </c>
      <c r="AJ1413" s="42"/>
      <c r="AK1413" s="74"/>
      <c r="AL1413" s="77"/>
      <c r="AN1413" s="497">
        <v>17.96</v>
      </c>
      <c r="AP1413" s="42"/>
      <c r="AQ1413" s="74"/>
      <c r="AR1413" s="77"/>
      <c r="AT1413" s="497">
        <v>21.02</v>
      </c>
      <c r="AV1413" s="42"/>
      <c r="AW1413" s="74"/>
      <c r="AX1413" s="77"/>
      <c r="BA1413" s="497">
        <v>23</v>
      </c>
      <c r="BB1413" s="42"/>
      <c r="BC1413" s="74"/>
      <c r="BD1413" s="77"/>
      <c r="BF1413">
        <v>15.98</v>
      </c>
      <c r="BH1413" s="42"/>
      <c r="BI1413" s="74"/>
      <c r="BJ1413" s="77"/>
      <c r="BL1413" s="497">
        <v>10.039999999999999</v>
      </c>
      <c r="BN1413" s="42"/>
      <c r="BO1413" s="74"/>
      <c r="BP1413" s="77"/>
      <c r="BR1413" s="497">
        <v>8.9599999999999973</v>
      </c>
      <c r="BT1413" s="42"/>
    </row>
    <row r="1414" spans="1:72" x14ac:dyDescent="0.25">
      <c r="A1414" s="90">
        <v>34758</v>
      </c>
      <c r="B1414" s="20">
        <v>0.16666666666666666</v>
      </c>
      <c r="D1414">
        <v>33.979999999999997</v>
      </c>
      <c r="E1414" t="str">
        <f t="shared" si="78"/>
        <v>WEEKDAY</v>
      </c>
      <c r="F1414" t="e">
        <f t="shared" si="79"/>
        <v>#N/A</v>
      </c>
      <c r="G1414" s="74">
        <v>32201</v>
      </c>
      <c r="H1414" s="77">
        <v>0.16666666666666666</v>
      </c>
      <c r="J1414">
        <v>28.94</v>
      </c>
      <c r="M1414" s="74">
        <v>38045</v>
      </c>
      <c r="N1414" s="77">
        <v>0.16666666666666666</v>
      </c>
      <c r="P1414">
        <v>28.4</v>
      </c>
      <c r="S1414" s="74">
        <v>34758</v>
      </c>
      <c r="T1414" s="77">
        <v>0.16666666666666666</v>
      </c>
      <c r="V1414">
        <v>33.979999999999997</v>
      </c>
      <c r="X1414" s="42"/>
      <c r="AB1414">
        <v>34.299999999999997</v>
      </c>
      <c r="AC1414">
        <v>48.019999999999996</v>
      </c>
      <c r="AE1414" s="74"/>
      <c r="AF1414" s="77"/>
      <c r="AH1414" s="497">
        <v>41.9</v>
      </c>
      <c r="AJ1414" s="42"/>
      <c r="AK1414" s="74"/>
      <c r="AL1414" s="77"/>
      <c r="AN1414" s="497">
        <v>19.04</v>
      </c>
      <c r="AP1414" s="42"/>
      <c r="AQ1414" s="74"/>
      <c r="AR1414" s="77"/>
      <c r="AT1414" s="497">
        <v>21.92</v>
      </c>
      <c r="AV1414" s="42"/>
      <c r="AW1414" s="74"/>
      <c r="AX1414" s="77"/>
      <c r="BA1414" s="497">
        <v>23</v>
      </c>
      <c r="BB1414" s="42"/>
      <c r="BC1414" s="74"/>
      <c r="BD1414" s="77"/>
      <c r="BF1414">
        <v>12.02</v>
      </c>
      <c r="BH1414" s="42"/>
      <c r="BI1414" s="74"/>
      <c r="BJ1414" s="77"/>
      <c r="BL1414" s="497">
        <v>6.0799999999999983</v>
      </c>
      <c r="BN1414" s="42"/>
      <c r="BO1414" s="74"/>
      <c r="BP1414" s="77"/>
      <c r="BR1414" s="497">
        <v>8.0599999999999987</v>
      </c>
      <c r="BT1414" s="42"/>
    </row>
    <row r="1415" spans="1:72" x14ac:dyDescent="0.25">
      <c r="A1415" s="90">
        <v>34758</v>
      </c>
      <c r="B1415" s="20">
        <v>0.20833333333333334</v>
      </c>
      <c r="D1415">
        <v>33.979999999999997</v>
      </c>
      <c r="E1415" t="str">
        <f t="shared" si="78"/>
        <v>WEEKDAY</v>
      </c>
      <c r="F1415" t="e">
        <f t="shared" si="79"/>
        <v>#N/A</v>
      </c>
      <c r="G1415" s="74">
        <v>32201</v>
      </c>
      <c r="H1415" s="77">
        <v>0.20833333333333334</v>
      </c>
      <c r="J1415">
        <v>28.04</v>
      </c>
      <c r="M1415" s="74">
        <v>38045</v>
      </c>
      <c r="N1415" s="77">
        <v>0.20833333333333334</v>
      </c>
      <c r="P1415">
        <v>26.6</v>
      </c>
      <c r="S1415" s="74">
        <v>34758</v>
      </c>
      <c r="T1415" s="77">
        <v>0.20833333333333334</v>
      </c>
      <c r="V1415">
        <v>33.979999999999997</v>
      </c>
      <c r="X1415" s="42"/>
      <c r="AB1415">
        <v>33.799999999999997</v>
      </c>
      <c r="AC1415">
        <v>46.94</v>
      </c>
      <c r="AE1415" s="74"/>
      <c r="AF1415" s="77"/>
      <c r="AH1415" s="497">
        <v>41.9</v>
      </c>
      <c r="AJ1415" s="42"/>
      <c r="AK1415" s="74"/>
      <c r="AL1415" s="77"/>
      <c r="AN1415" s="497">
        <v>19.939999999999998</v>
      </c>
      <c r="AP1415" s="42"/>
      <c r="AQ1415" s="74"/>
      <c r="AR1415" s="77"/>
      <c r="AT1415" s="497">
        <v>17.96</v>
      </c>
      <c r="AV1415" s="42"/>
      <c r="AW1415" s="74"/>
      <c r="AX1415" s="77"/>
      <c r="BA1415" s="497">
        <v>23</v>
      </c>
      <c r="BB1415" s="42"/>
      <c r="BC1415" s="74"/>
      <c r="BD1415" s="77"/>
      <c r="BF1415">
        <v>12.02</v>
      </c>
      <c r="BH1415" s="42"/>
      <c r="BI1415" s="74"/>
      <c r="BJ1415" s="77"/>
      <c r="BL1415" s="497">
        <v>8.0599999999999987</v>
      </c>
      <c r="BN1415" s="42"/>
      <c r="BO1415" s="74"/>
      <c r="BP1415" s="77"/>
      <c r="BR1415" s="497">
        <v>6.98</v>
      </c>
      <c r="BT1415" s="42"/>
    </row>
    <row r="1416" spans="1:72" x14ac:dyDescent="0.25">
      <c r="A1416" s="90">
        <v>34758</v>
      </c>
      <c r="B1416" s="20">
        <v>0.25</v>
      </c>
      <c r="D1416">
        <v>33.979999999999997</v>
      </c>
      <c r="E1416" t="str">
        <f t="shared" si="78"/>
        <v>WEEKDAY</v>
      </c>
      <c r="F1416" t="e">
        <f t="shared" si="79"/>
        <v>#N/A</v>
      </c>
      <c r="G1416" s="74">
        <v>32201</v>
      </c>
      <c r="H1416" s="77">
        <v>0.25</v>
      </c>
      <c r="J1416">
        <v>28.04</v>
      </c>
      <c r="M1416" s="74">
        <v>38045</v>
      </c>
      <c r="N1416" s="77">
        <v>0.25</v>
      </c>
      <c r="P1416">
        <v>28.4</v>
      </c>
      <c r="S1416" s="74">
        <v>34758</v>
      </c>
      <c r="T1416" s="77">
        <v>0.25</v>
      </c>
      <c r="V1416">
        <v>33.979999999999997</v>
      </c>
      <c r="X1416" s="42"/>
      <c r="AB1416">
        <v>33.4</v>
      </c>
      <c r="AC1416">
        <v>46.04</v>
      </c>
      <c r="AE1416" s="74"/>
      <c r="AF1416" s="77"/>
      <c r="AH1416" s="497">
        <v>39.92</v>
      </c>
      <c r="AJ1416" s="42"/>
      <c r="AK1416" s="74"/>
      <c r="AL1416" s="77"/>
      <c r="AN1416" s="497">
        <v>17.96</v>
      </c>
      <c r="AP1416" s="42"/>
      <c r="AQ1416" s="74"/>
      <c r="AR1416" s="77"/>
      <c r="AT1416" s="497">
        <v>17.059999999999999</v>
      </c>
      <c r="AV1416" s="42"/>
      <c r="AW1416" s="74"/>
      <c r="AX1416" s="77"/>
      <c r="BA1416" s="497">
        <v>21.02</v>
      </c>
      <c r="BB1416" s="42"/>
      <c r="BC1416" s="74"/>
      <c r="BD1416" s="77"/>
      <c r="BF1416">
        <v>10.940000000000001</v>
      </c>
      <c r="BH1416" s="42"/>
      <c r="BI1416" s="74"/>
      <c r="BJ1416" s="77"/>
      <c r="BL1416" s="497">
        <v>8.9599999999999973</v>
      </c>
      <c r="BN1416" s="42"/>
      <c r="BO1416" s="74"/>
      <c r="BP1416" s="77"/>
      <c r="BR1416" s="497">
        <v>6.0799999999999983</v>
      </c>
      <c r="BT1416" s="42"/>
    </row>
    <row r="1417" spans="1:72" x14ac:dyDescent="0.25">
      <c r="A1417" s="90">
        <v>34758</v>
      </c>
      <c r="B1417" s="20">
        <v>0.29166666666666669</v>
      </c>
      <c r="D1417">
        <v>33.979999999999997</v>
      </c>
      <c r="E1417" t="str">
        <f t="shared" si="78"/>
        <v>WEEKDAY</v>
      </c>
      <c r="F1417" t="e">
        <f t="shared" si="79"/>
        <v>#N/A</v>
      </c>
      <c r="G1417" s="74">
        <v>32201</v>
      </c>
      <c r="H1417" s="77">
        <v>0.29166666666666669</v>
      </c>
      <c r="J1417">
        <v>28.04</v>
      </c>
      <c r="M1417" s="74">
        <v>38045</v>
      </c>
      <c r="N1417" s="77">
        <v>0.29166666666666669</v>
      </c>
      <c r="P1417">
        <v>28.4</v>
      </c>
      <c r="S1417" s="74">
        <v>34758</v>
      </c>
      <c r="T1417" s="77">
        <v>0.29166666666666669</v>
      </c>
      <c r="V1417">
        <v>35.06</v>
      </c>
      <c r="X1417" s="42"/>
      <c r="AB1417">
        <v>33.200000000000003</v>
      </c>
      <c r="AC1417">
        <v>44.06</v>
      </c>
      <c r="AE1417" s="74"/>
      <c r="AF1417" s="77"/>
      <c r="AH1417" s="497">
        <v>37.94</v>
      </c>
      <c r="AJ1417" s="42"/>
      <c r="AK1417" s="74"/>
      <c r="AL1417" s="77"/>
      <c r="AN1417" s="497">
        <v>17.96</v>
      </c>
      <c r="AP1417" s="42"/>
      <c r="AQ1417" s="74"/>
      <c r="AR1417" s="77"/>
      <c r="AT1417" s="497">
        <v>15.079999999999998</v>
      </c>
      <c r="AV1417" s="42"/>
      <c r="AW1417" s="74"/>
      <c r="AX1417" s="77"/>
      <c r="BA1417" s="497">
        <v>19.939999999999998</v>
      </c>
      <c r="BB1417" s="42"/>
      <c r="BC1417" s="74"/>
      <c r="BD1417" s="77"/>
      <c r="BF1417">
        <v>10.039999999999999</v>
      </c>
      <c r="BH1417" s="42"/>
      <c r="BI1417" s="74"/>
      <c r="BJ1417" s="77"/>
      <c r="BL1417" s="497">
        <v>8.0599999999999987</v>
      </c>
      <c r="BN1417" s="42"/>
      <c r="BO1417" s="74"/>
      <c r="BP1417" s="77"/>
      <c r="BR1417" s="497">
        <v>6.0799999999999983</v>
      </c>
      <c r="BT1417" s="42"/>
    </row>
    <row r="1418" spans="1:72" x14ac:dyDescent="0.25">
      <c r="A1418" s="90">
        <v>34758</v>
      </c>
      <c r="B1418" s="20">
        <v>0.33333333333333331</v>
      </c>
      <c r="D1418">
        <v>35.06</v>
      </c>
      <c r="E1418" t="str">
        <f t="shared" si="78"/>
        <v>WEEKDAY</v>
      </c>
      <c r="F1418" t="e">
        <f t="shared" si="79"/>
        <v>#N/A</v>
      </c>
      <c r="G1418" s="74">
        <v>32201</v>
      </c>
      <c r="H1418" s="77">
        <v>0.33333333333333331</v>
      </c>
      <c r="J1418">
        <v>28.94</v>
      </c>
      <c r="M1418" s="74">
        <v>38045</v>
      </c>
      <c r="N1418" s="77">
        <v>0.33333333333333331</v>
      </c>
      <c r="P1418">
        <v>33.799999999999997</v>
      </c>
      <c r="S1418" s="74">
        <v>34758</v>
      </c>
      <c r="T1418" s="77">
        <v>0.33333333333333331</v>
      </c>
      <c r="V1418">
        <v>35.96</v>
      </c>
      <c r="X1418" s="42"/>
      <c r="AB1418">
        <v>33.299999999999997</v>
      </c>
      <c r="AC1418">
        <v>42.08</v>
      </c>
      <c r="AE1418" s="74"/>
      <c r="AF1418" s="77"/>
      <c r="AH1418" s="497">
        <v>38.840000000000003</v>
      </c>
      <c r="AJ1418" s="42"/>
      <c r="AK1418" s="74"/>
      <c r="AL1418" s="77"/>
      <c r="AN1418" s="497">
        <v>19.04</v>
      </c>
      <c r="AP1418" s="42"/>
      <c r="AQ1418" s="74"/>
      <c r="AR1418" s="77"/>
      <c r="AT1418" s="497">
        <v>19.939999999999998</v>
      </c>
      <c r="AV1418" s="42"/>
      <c r="AW1418" s="74"/>
      <c r="AX1418" s="77"/>
      <c r="BA1418" s="497">
        <v>19.04</v>
      </c>
      <c r="BB1418" s="42"/>
      <c r="BC1418" s="74"/>
      <c r="BD1418" s="77"/>
      <c r="BF1418">
        <v>12.920000000000002</v>
      </c>
      <c r="BH1418" s="42"/>
      <c r="BI1418" s="74"/>
      <c r="BJ1418" s="77"/>
      <c r="BL1418" s="497">
        <v>10.940000000000001</v>
      </c>
      <c r="BN1418" s="42"/>
      <c r="BO1418" s="74"/>
      <c r="BP1418" s="77"/>
      <c r="BR1418" s="497">
        <v>10.039999999999999</v>
      </c>
      <c r="BT1418" s="42"/>
    </row>
    <row r="1419" spans="1:72" x14ac:dyDescent="0.25">
      <c r="A1419" s="90">
        <v>34758</v>
      </c>
      <c r="B1419" s="20">
        <v>0.375</v>
      </c>
      <c r="D1419">
        <v>35.06</v>
      </c>
      <c r="E1419" t="str">
        <f t="shared" si="78"/>
        <v>WEEKDAY</v>
      </c>
      <c r="F1419" t="e">
        <f t="shared" si="79"/>
        <v>#N/A</v>
      </c>
      <c r="G1419" s="74">
        <v>32201</v>
      </c>
      <c r="H1419" s="77">
        <v>0.375</v>
      </c>
      <c r="J1419">
        <v>30.92</v>
      </c>
      <c r="M1419" s="74">
        <v>38045</v>
      </c>
      <c r="N1419" s="77">
        <v>0.375</v>
      </c>
      <c r="P1419">
        <v>37.4</v>
      </c>
      <c r="S1419" s="74">
        <v>34758</v>
      </c>
      <c r="T1419" s="77">
        <v>0.375</v>
      </c>
      <c r="V1419">
        <v>39.92</v>
      </c>
      <c r="X1419" s="42"/>
      <c r="AB1419">
        <v>34.799999999999997</v>
      </c>
      <c r="AC1419">
        <v>42.08</v>
      </c>
      <c r="AE1419" s="74"/>
      <c r="AF1419" s="77"/>
      <c r="AH1419" s="497">
        <v>39.92</v>
      </c>
      <c r="AJ1419" s="42"/>
      <c r="AK1419" s="74"/>
      <c r="AL1419" s="77"/>
      <c r="AN1419" s="497">
        <v>24.08</v>
      </c>
      <c r="AP1419" s="42"/>
      <c r="AQ1419" s="74"/>
      <c r="AR1419" s="77"/>
      <c r="AT1419" s="497">
        <v>24.08</v>
      </c>
      <c r="AV1419" s="42"/>
      <c r="AW1419" s="74"/>
      <c r="AX1419" s="77"/>
      <c r="BA1419" s="497">
        <v>21.92</v>
      </c>
      <c r="BB1419" s="42"/>
      <c r="BC1419" s="74"/>
      <c r="BD1419" s="77"/>
      <c r="BF1419">
        <v>17.96</v>
      </c>
      <c r="BH1419" s="42"/>
      <c r="BI1419" s="74"/>
      <c r="BJ1419" s="77"/>
      <c r="BL1419" s="497">
        <v>17.96</v>
      </c>
      <c r="BN1419" s="42"/>
      <c r="BO1419" s="74"/>
      <c r="BP1419" s="77"/>
      <c r="BR1419" s="497">
        <v>17.96</v>
      </c>
      <c r="BT1419" s="42"/>
    </row>
    <row r="1420" spans="1:72" x14ac:dyDescent="0.25">
      <c r="A1420" s="90">
        <v>34758</v>
      </c>
      <c r="B1420" s="20">
        <v>0.41666666666666669</v>
      </c>
      <c r="D1420">
        <v>37.94</v>
      </c>
      <c r="E1420" t="str">
        <f t="shared" si="78"/>
        <v>WEEKDAY</v>
      </c>
      <c r="F1420" t="e">
        <f t="shared" si="79"/>
        <v>#N/A</v>
      </c>
      <c r="G1420" s="74">
        <v>32201</v>
      </c>
      <c r="H1420" s="77">
        <v>0.41666666666666669</v>
      </c>
      <c r="J1420">
        <v>33.979999999999997</v>
      </c>
      <c r="M1420" s="74">
        <v>38045</v>
      </c>
      <c r="N1420" s="77">
        <v>0.41666666666666669</v>
      </c>
      <c r="P1420">
        <v>39.200000000000003</v>
      </c>
      <c r="S1420" s="74">
        <v>34758</v>
      </c>
      <c r="T1420" s="77">
        <v>0.41666666666666669</v>
      </c>
      <c r="V1420">
        <v>44.96</v>
      </c>
      <c r="X1420" s="42"/>
      <c r="AB1420">
        <v>36.4</v>
      </c>
      <c r="AC1420">
        <v>42.980000000000004</v>
      </c>
      <c r="AE1420" s="74"/>
      <c r="AF1420" s="77"/>
      <c r="AH1420" s="497">
        <v>44.96</v>
      </c>
      <c r="AJ1420" s="42"/>
      <c r="AK1420" s="74"/>
      <c r="AL1420" s="77"/>
      <c r="AN1420" s="497">
        <v>24.98</v>
      </c>
      <c r="AP1420" s="42"/>
      <c r="AQ1420" s="74"/>
      <c r="AR1420" s="77"/>
      <c r="AT1420" s="497">
        <v>28.04</v>
      </c>
      <c r="AV1420" s="42"/>
      <c r="AW1420" s="74"/>
      <c r="AX1420" s="77"/>
      <c r="BA1420" s="497">
        <v>24.08</v>
      </c>
      <c r="BB1420" s="42"/>
      <c r="BC1420" s="74"/>
      <c r="BD1420" s="77"/>
      <c r="BF1420">
        <v>24.98</v>
      </c>
      <c r="BH1420" s="42"/>
      <c r="BI1420" s="74"/>
      <c r="BJ1420" s="77"/>
      <c r="BL1420" s="497">
        <v>24.08</v>
      </c>
      <c r="BN1420" s="42"/>
      <c r="BO1420" s="74"/>
      <c r="BP1420" s="77"/>
      <c r="BR1420" s="497">
        <v>24.08</v>
      </c>
      <c r="BT1420" s="42"/>
    </row>
    <row r="1421" spans="1:72" x14ac:dyDescent="0.25">
      <c r="A1421" s="90">
        <v>34758</v>
      </c>
      <c r="B1421" s="20">
        <v>0.45833333333333331</v>
      </c>
      <c r="D1421">
        <v>37.94</v>
      </c>
      <c r="E1421" t="str">
        <f t="shared" si="78"/>
        <v>WEEKDAY</v>
      </c>
      <c r="F1421" t="e">
        <f t="shared" si="79"/>
        <v>#N/A</v>
      </c>
      <c r="G1421" s="74">
        <v>32201</v>
      </c>
      <c r="H1421" s="77">
        <v>0.45833333333333331</v>
      </c>
      <c r="J1421">
        <v>33.979999999999997</v>
      </c>
      <c r="M1421" s="74">
        <v>38045</v>
      </c>
      <c r="N1421" s="77">
        <v>0.45833333333333331</v>
      </c>
      <c r="P1421">
        <v>39.200000000000003</v>
      </c>
      <c r="S1421" s="74">
        <v>34758</v>
      </c>
      <c r="T1421" s="77">
        <v>0.45833333333333331</v>
      </c>
      <c r="V1421">
        <v>44.06</v>
      </c>
      <c r="X1421" s="42"/>
      <c r="AB1421">
        <v>37.9</v>
      </c>
      <c r="AC1421">
        <v>46.04</v>
      </c>
      <c r="AE1421" s="74"/>
      <c r="AF1421" s="77"/>
      <c r="AH1421" s="497">
        <v>50.900000000000006</v>
      </c>
      <c r="AJ1421" s="42"/>
      <c r="AK1421" s="74"/>
      <c r="AL1421" s="77"/>
      <c r="AN1421" s="497">
        <v>24.98</v>
      </c>
      <c r="AP1421" s="42"/>
      <c r="AQ1421" s="74"/>
      <c r="AR1421" s="77"/>
      <c r="AT1421" s="497">
        <v>30.02</v>
      </c>
      <c r="AV1421" s="42"/>
      <c r="AW1421" s="74"/>
      <c r="AX1421" s="77"/>
      <c r="BA1421" s="497">
        <v>26.96</v>
      </c>
      <c r="BB1421" s="42"/>
      <c r="BC1421" s="74"/>
      <c r="BD1421" s="77"/>
      <c r="BF1421">
        <v>28.04</v>
      </c>
      <c r="BH1421" s="42"/>
      <c r="BI1421" s="74"/>
      <c r="BJ1421" s="77"/>
      <c r="BL1421" s="497">
        <v>28.94</v>
      </c>
      <c r="BN1421" s="42"/>
      <c r="BO1421" s="74"/>
      <c r="BP1421" s="77"/>
      <c r="BR1421" s="497">
        <v>28.04</v>
      </c>
      <c r="BT1421" s="42"/>
    </row>
    <row r="1422" spans="1:72" x14ac:dyDescent="0.25">
      <c r="A1422" s="90">
        <v>34758</v>
      </c>
      <c r="B1422" s="20">
        <v>0.5</v>
      </c>
      <c r="D1422">
        <v>37.04</v>
      </c>
      <c r="E1422" t="str">
        <f t="shared" si="78"/>
        <v>WEEKDAY</v>
      </c>
      <c r="F1422" t="e">
        <f t="shared" si="79"/>
        <v>#N/A</v>
      </c>
      <c r="G1422" s="74">
        <v>32201</v>
      </c>
      <c r="H1422" s="77">
        <v>0.5</v>
      </c>
      <c r="J1422">
        <v>35.06</v>
      </c>
      <c r="M1422" s="74">
        <v>38045</v>
      </c>
      <c r="N1422" s="77">
        <v>0.5</v>
      </c>
      <c r="P1422">
        <v>44.6</v>
      </c>
      <c r="S1422" s="74">
        <v>34758</v>
      </c>
      <c r="T1422" s="77">
        <v>0.5</v>
      </c>
      <c r="V1422">
        <v>39.92</v>
      </c>
      <c r="X1422" s="42"/>
      <c r="AB1422">
        <v>39.299999999999997</v>
      </c>
      <c r="AC1422">
        <v>50</v>
      </c>
      <c r="AE1422" s="74"/>
      <c r="AF1422" s="77"/>
      <c r="AH1422" s="497">
        <v>54.86</v>
      </c>
      <c r="AJ1422" s="42"/>
      <c r="AK1422" s="74"/>
      <c r="AL1422" s="77"/>
      <c r="AN1422" s="497">
        <v>26.96</v>
      </c>
      <c r="AP1422" s="42"/>
      <c r="AQ1422" s="74"/>
      <c r="AR1422" s="77"/>
      <c r="AT1422" s="497">
        <v>30.92</v>
      </c>
      <c r="AV1422" s="42"/>
      <c r="AW1422" s="74"/>
      <c r="AX1422" s="77"/>
      <c r="BA1422" s="497">
        <v>28.94</v>
      </c>
      <c r="BB1422" s="42"/>
      <c r="BC1422" s="74"/>
      <c r="BD1422" s="77"/>
      <c r="BF1422">
        <v>30.02</v>
      </c>
      <c r="BH1422" s="42"/>
      <c r="BI1422" s="74"/>
      <c r="BJ1422" s="77"/>
      <c r="BL1422" s="497">
        <v>30.92</v>
      </c>
      <c r="BN1422" s="42"/>
      <c r="BO1422" s="74"/>
      <c r="BP1422" s="77"/>
      <c r="BR1422" s="497">
        <v>30.02</v>
      </c>
      <c r="BT1422" s="42"/>
    </row>
    <row r="1423" spans="1:72" x14ac:dyDescent="0.25">
      <c r="A1423" s="90">
        <v>34758</v>
      </c>
      <c r="B1423" s="20">
        <v>0.54166666666666663</v>
      </c>
      <c r="D1423">
        <v>37.94</v>
      </c>
      <c r="E1423" t="str">
        <f t="shared" si="78"/>
        <v>WEEKDAY</v>
      </c>
      <c r="F1423" t="e">
        <f t="shared" si="79"/>
        <v>#N/A</v>
      </c>
      <c r="G1423" s="74">
        <v>32201</v>
      </c>
      <c r="H1423" s="77">
        <v>0.54166666666666663</v>
      </c>
      <c r="J1423">
        <v>37.04</v>
      </c>
      <c r="M1423" s="74">
        <v>38045</v>
      </c>
      <c r="N1423" s="77">
        <v>0.54166666666666663</v>
      </c>
      <c r="P1423">
        <v>48.2</v>
      </c>
      <c r="S1423" s="74">
        <v>34758</v>
      </c>
      <c r="T1423" s="77">
        <v>0.54166666666666663</v>
      </c>
      <c r="V1423">
        <v>42.08</v>
      </c>
      <c r="X1423" s="42"/>
      <c r="AB1423">
        <v>40.4</v>
      </c>
      <c r="AC1423">
        <v>48.019999999999996</v>
      </c>
      <c r="AE1423" s="74"/>
      <c r="AF1423" s="77"/>
      <c r="AH1423" s="497">
        <v>57.92</v>
      </c>
      <c r="AJ1423" s="42"/>
      <c r="AK1423" s="74"/>
      <c r="AL1423" s="77"/>
      <c r="AN1423" s="497">
        <v>28.04</v>
      </c>
      <c r="AP1423" s="42"/>
      <c r="AQ1423" s="74"/>
      <c r="AR1423" s="77"/>
      <c r="AT1423" s="497">
        <v>33.979999999999997</v>
      </c>
      <c r="AV1423" s="42"/>
      <c r="AW1423" s="74"/>
      <c r="AX1423" s="77"/>
      <c r="BA1423" s="497">
        <v>30.02</v>
      </c>
      <c r="BB1423" s="42"/>
      <c r="BC1423" s="74"/>
      <c r="BD1423" s="77"/>
      <c r="BF1423">
        <v>32</v>
      </c>
      <c r="BH1423" s="42"/>
      <c r="BI1423" s="74"/>
      <c r="BJ1423" s="77"/>
      <c r="BL1423" s="497">
        <v>33.08</v>
      </c>
      <c r="BN1423" s="42"/>
      <c r="BO1423" s="74"/>
      <c r="BP1423" s="77"/>
      <c r="BR1423" s="497">
        <v>32</v>
      </c>
      <c r="BT1423" s="42"/>
    </row>
    <row r="1424" spans="1:72" x14ac:dyDescent="0.25">
      <c r="A1424" s="90">
        <v>34758</v>
      </c>
      <c r="B1424" s="20">
        <v>0.58333333333333337</v>
      </c>
      <c r="D1424">
        <v>37.94</v>
      </c>
      <c r="E1424" t="str">
        <f t="shared" si="78"/>
        <v>WEEKDAY</v>
      </c>
      <c r="F1424" t="e">
        <f t="shared" si="79"/>
        <v>#N/A</v>
      </c>
      <c r="G1424" s="74">
        <v>32201</v>
      </c>
      <c r="H1424" s="77">
        <v>0.58333333333333337</v>
      </c>
      <c r="J1424">
        <v>37.94</v>
      </c>
      <c r="M1424" s="74">
        <v>38045</v>
      </c>
      <c r="N1424" s="77">
        <v>0.58333333333333337</v>
      </c>
      <c r="P1424">
        <v>53.6</v>
      </c>
      <c r="S1424" s="74">
        <v>34758</v>
      </c>
      <c r="T1424" s="77">
        <v>0.58333333333333337</v>
      </c>
      <c r="V1424">
        <v>42.980000000000004</v>
      </c>
      <c r="X1424" s="42"/>
      <c r="AB1424">
        <v>41.3</v>
      </c>
      <c r="AC1424">
        <v>46.94</v>
      </c>
      <c r="AE1424" s="74"/>
      <c r="AF1424" s="77"/>
      <c r="AH1424" s="497">
        <v>55.94</v>
      </c>
      <c r="AJ1424" s="42"/>
      <c r="AK1424" s="74"/>
      <c r="AL1424" s="77"/>
      <c r="AN1424" s="497">
        <v>28.94</v>
      </c>
      <c r="AP1424" s="42"/>
      <c r="AQ1424" s="74"/>
      <c r="AR1424" s="77"/>
      <c r="AT1424" s="497">
        <v>33.979999999999997</v>
      </c>
      <c r="AV1424" s="42"/>
      <c r="AW1424" s="74"/>
      <c r="AX1424" s="77"/>
      <c r="BA1424" s="497">
        <v>28.94</v>
      </c>
      <c r="BB1424" s="42"/>
      <c r="BC1424" s="74"/>
      <c r="BD1424" s="77"/>
      <c r="BF1424">
        <v>32</v>
      </c>
      <c r="BH1424" s="42"/>
      <c r="BI1424" s="74"/>
      <c r="BJ1424" s="77"/>
      <c r="BL1424" s="497">
        <v>33.08</v>
      </c>
      <c r="BN1424" s="42"/>
      <c r="BO1424" s="74"/>
      <c r="BP1424" s="77"/>
      <c r="BR1424" s="497">
        <v>32</v>
      </c>
      <c r="BT1424" s="42"/>
    </row>
    <row r="1425" spans="1:72" x14ac:dyDescent="0.25">
      <c r="A1425" s="90">
        <v>34758</v>
      </c>
      <c r="B1425" s="20">
        <v>0.625</v>
      </c>
      <c r="D1425">
        <v>39.019999999999996</v>
      </c>
      <c r="E1425" t="str">
        <f t="shared" si="78"/>
        <v>WEEKDAY</v>
      </c>
      <c r="F1425" t="e">
        <f t="shared" si="79"/>
        <v>#N/A</v>
      </c>
      <c r="G1425" s="74">
        <v>32201</v>
      </c>
      <c r="H1425" s="77">
        <v>0.625</v>
      </c>
      <c r="J1425">
        <v>37.94</v>
      </c>
      <c r="M1425" s="74">
        <v>38045</v>
      </c>
      <c r="N1425" s="77">
        <v>0.625</v>
      </c>
      <c r="P1425">
        <v>55.400000000000006</v>
      </c>
      <c r="S1425" s="74">
        <v>34758</v>
      </c>
      <c r="T1425" s="77">
        <v>0.625</v>
      </c>
      <c r="V1425">
        <v>42.980000000000004</v>
      </c>
      <c r="X1425" s="42"/>
      <c r="AB1425">
        <v>41.9</v>
      </c>
      <c r="AC1425">
        <v>48.92</v>
      </c>
      <c r="AE1425" s="74"/>
      <c r="AF1425" s="77"/>
      <c r="AH1425" s="497">
        <v>54.86</v>
      </c>
      <c r="AJ1425" s="42"/>
      <c r="AK1425" s="74"/>
      <c r="AL1425" s="77"/>
      <c r="AN1425" s="497">
        <v>28.04</v>
      </c>
      <c r="AP1425" s="42"/>
      <c r="AQ1425" s="74"/>
      <c r="AR1425" s="77"/>
      <c r="AT1425" s="497">
        <v>35.06</v>
      </c>
      <c r="AV1425" s="42"/>
      <c r="AW1425" s="74"/>
      <c r="AX1425" s="77"/>
      <c r="BA1425" s="497">
        <v>28.04</v>
      </c>
      <c r="BB1425" s="42"/>
      <c r="BC1425" s="74"/>
      <c r="BD1425" s="77"/>
      <c r="BF1425">
        <v>32</v>
      </c>
      <c r="BH1425" s="42"/>
      <c r="BI1425" s="74"/>
      <c r="BJ1425" s="77"/>
      <c r="BL1425" s="497">
        <v>33.979999999999997</v>
      </c>
      <c r="BN1425" s="42"/>
      <c r="BO1425" s="74"/>
      <c r="BP1425" s="77"/>
      <c r="BR1425" s="497">
        <v>33.08</v>
      </c>
      <c r="BT1425" s="42"/>
    </row>
    <row r="1426" spans="1:72" x14ac:dyDescent="0.25">
      <c r="A1426" s="90">
        <v>34758</v>
      </c>
      <c r="B1426" s="20">
        <v>0.66666666666666663</v>
      </c>
      <c r="D1426">
        <v>39.92</v>
      </c>
      <c r="E1426" t="str">
        <f t="shared" si="78"/>
        <v>WEEKDAY</v>
      </c>
      <c r="F1426" t="e">
        <f t="shared" si="79"/>
        <v>#N/A</v>
      </c>
      <c r="G1426" s="74">
        <v>32201</v>
      </c>
      <c r="H1426" s="77">
        <v>0.66666666666666663</v>
      </c>
      <c r="J1426">
        <v>39.92</v>
      </c>
      <c r="M1426" s="74">
        <v>38045</v>
      </c>
      <c r="N1426" s="77">
        <v>0.66666666666666663</v>
      </c>
      <c r="P1426">
        <v>53.6</v>
      </c>
      <c r="S1426" s="74">
        <v>34758</v>
      </c>
      <c r="T1426" s="77">
        <v>0.66666666666666663</v>
      </c>
      <c r="V1426">
        <v>42.980000000000004</v>
      </c>
      <c r="X1426" s="42"/>
      <c r="AB1426">
        <v>42</v>
      </c>
      <c r="AC1426">
        <v>46.94</v>
      </c>
      <c r="AE1426" s="74"/>
      <c r="AF1426" s="77"/>
      <c r="AH1426" s="497">
        <v>52.879999999999995</v>
      </c>
      <c r="AJ1426" s="42"/>
      <c r="AK1426" s="74"/>
      <c r="AL1426" s="77"/>
      <c r="AN1426" s="497">
        <v>28.94</v>
      </c>
      <c r="AP1426" s="42"/>
      <c r="AQ1426" s="74"/>
      <c r="AR1426" s="77"/>
      <c r="AT1426" s="497">
        <v>35.96</v>
      </c>
      <c r="AV1426" s="42"/>
      <c r="AW1426" s="74"/>
      <c r="AX1426" s="77"/>
      <c r="BA1426" s="497">
        <v>26.060000000000002</v>
      </c>
      <c r="BB1426" s="42"/>
      <c r="BC1426" s="74"/>
      <c r="BD1426" s="77"/>
      <c r="BF1426">
        <v>33.08</v>
      </c>
      <c r="BH1426" s="42"/>
      <c r="BI1426" s="74"/>
      <c r="BJ1426" s="77"/>
      <c r="BL1426" s="497">
        <v>33.979999999999997</v>
      </c>
      <c r="BN1426" s="42"/>
      <c r="BO1426" s="74"/>
      <c r="BP1426" s="77"/>
      <c r="BR1426" s="497">
        <v>33.08</v>
      </c>
      <c r="BT1426" s="42"/>
    </row>
    <row r="1427" spans="1:72" x14ac:dyDescent="0.25">
      <c r="A1427" s="90">
        <v>34758</v>
      </c>
      <c r="B1427" s="20">
        <v>0.70833333333333337</v>
      </c>
      <c r="D1427">
        <v>41</v>
      </c>
      <c r="E1427" t="str">
        <f t="shared" ref="E1427:E1490" si="80">IF(COUNTIF($DI$18:$DI$22, WEEKDAY(A1427))=1, "WEEKDAY", IF(WEEKDAY(A1427) = 1, "SUNDAY", "SATURDAY"))</f>
        <v>WEEKDAY</v>
      </c>
      <c r="F1427" t="e">
        <f t="shared" si="79"/>
        <v>#N/A</v>
      </c>
      <c r="G1427" s="74">
        <v>32201</v>
      </c>
      <c r="H1427" s="77">
        <v>0.70833333333333337</v>
      </c>
      <c r="J1427">
        <v>39.019999999999996</v>
      </c>
      <c r="M1427" s="74">
        <v>38045</v>
      </c>
      <c r="N1427" s="77">
        <v>0.70833333333333337</v>
      </c>
      <c r="P1427">
        <v>53.6</v>
      </c>
      <c r="S1427" s="74">
        <v>34758</v>
      </c>
      <c r="T1427" s="77">
        <v>0.70833333333333337</v>
      </c>
      <c r="V1427">
        <v>42.980000000000004</v>
      </c>
      <c r="X1427" s="42"/>
      <c r="AB1427">
        <v>41.6</v>
      </c>
      <c r="AC1427">
        <v>46.04</v>
      </c>
      <c r="AE1427" s="74"/>
      <c r="AF1427" s="77"/>
      <c r="AH1427" s="497">
        <v>48.92</v>
      </c>
      <c r="AJ1427" s="42"/>
      <c r="AK1427" s="74"/>
      <c r="AL1427" s="77"/>
      <c r="AN1427" s="497">
        <v>26.060000000000002</v>
      </c>
      <c r="AP1427" s="42"/>
      <c r="AQ1427" s="74"/>
      <c r="AR1427" s="77"/>
      <c r="AT1427" s="497">
        <v>33.979999999999997</v>
      </c>
      <c r="AV1427" s="42"/>
      <c r="AW1427" s="74"/>
      <c r="AX1427" s="77"/>
      <c r="BA1427" s="497">
        <v>24.08</v>
      </c>
      <c r="BB1427" s="42"/>
      <c r="BC1427" s="74"/>
      <c r="BD1427" s="77"/>
      <c r="BF1427">
        <v>30.92</v>
      </c>
      <c r="BH1427" s="42"/>
      <c r="BI1427" s="74"/>
      <c r="BJ1427" s="77"/>
      <c r="BL1427" s="497">
        <v>33.979999999999997</v>
      </c>
      <c r="BN1427" s="42"/>
      <c r="BO1427" s="74"/>
      <c r="BP1427" s="77"/>
      <c r="BR1427" s="497">
        <v>32</v>
      </c>
      <c r="BT1427" s="42"/>
    </row>
    <row r="1428" spans="1:72" x14ac:dyDescent="0.25">
      <c r="A1428" s="90">
        <v>34758</v>
      </c>
      <c r="B1428" s="20">
        <v>0.75</v>
      </c>
      <c r="D1428">
        <v>42.08</v>
      </c>
      <c r="E1428" t="str">
        <f t="shared" si="80"/>
        <v>WEEKDAY</v>
      </c>
      <c r="F1428" t="e">
        <f t="shared" si="79"/>
        <v>#N/A</v>
      </c>
      <c r="G1428" s="74">
        <v>32201</v>
      </c>
      <c r="H1428" s="77">
        <v>0.75</v>
      </c>
      <c r="J1428">
        <v>35.96</v>
      </c>
      <c r="M1428" s="74">
        <v>38045</v>
      </c>
      <c r="N1428" s="77">
        <v>0.75</v>
      </c>
      <c r="P1428">
        <v>50</v>
      </c>
      <c r="S1428" s="74">
        <v>34758</v>
      </c>
      <c r="T1428" s="77">
        <v>0.75</v>
      </c>
      <c r="V1428">
        <v>44.06</v>
      </c>
      <c r="X1428" s="42"/>
      <c r="AB1428">
        <v>40.700000000000003</v>
      </c>
      <c r="AC1428">
        <v>42.980000000000004</v>
      </c>
      <c r="AE1428" s="74"/>
      <c r="AF1428" s="77"/>
      <c r="AH1428" s="497">
        <v>46.94</v>
      </c>
      <c r="AJ1428" s="42"/>
      <c r="AK1428" s="74"/>
      <c r="AL1428" s="77"/>
      <c r="AN1428" s="497">
        <v>21.92</v>
      </c>
      <c r="AP1428" s="42"/>
      <c r="AQ1428" s="74"/>
      <c r="AR1428" s="77"/>
      <c r="AT1428" s="497">
        <v>32</v>
      </c>
      <c r="AV1428" s="42"/>
      <c r="AW1428" s="74"/>
      <c r="AX1428" s="77"/>
      <c r="BA1428" s="497">
        <v>19.939999999999998</v>
      </c>
      <c r="BB1428" s="42"/>
      <c r="BC1428" s="74"/>
      <c r="BD1428" s="77"/>
      <c r="BF1428">
        <v>30.02</v>
      </c>
      <c r="BH1428" s="42"/>
      <c r="BI1428" s="74"/>
      <c r="BJ1428" s="77"/>
      <c r="BL1428" s="497">
        <v>30.92</v>
      </c>
      <c r="BN1428" s="42"/>
      <c r="BO1428" s="74"/>
      <c r="BP1428" s="77"/>
      <c r="BR1428" s="497">
        <v>28.94</v>
      </c>
      <c r="BT1428" s="42"/>
    </row>
    <row r="1429" spans="1:72" x14ac:dyDescent="0.25">
      <c r="A1429" s="90">
        <v>34758</v>
      </c>
      <c r="B1429" s="20">
        <v>0.79166666666666663</v>
      </c>
      <c r="D1429">
        <v>41</v>
      </c>
      <c r="E1429" t="str">
        <f t="shared" si="80"/>
        <v>WEEKDAY</v>
      </c>
      <c r="F1429" t="e">
        <f t="shared" si="79"/>
        <v>#N/A</v>
      </c>
      <c r="G1429" s="74">
        <v>32201</v>
      </c>
      <c r="H1429" s="77">
        <v>0.79166666666666663</v>
      </c>
      <c r="J1429">
        <v>35.96</v>
      </c>
      <c r="M1429" s="74">
        <v>38045</v>
      </c>
      <c r="N1429" s="77">
        <v>0.79166666666666663</v>
      </c>
      <c r="P1429">
        <v>46.4</v>
      </c>
      <c r="S1429" s="74">
        <v>34758</v>
      </c>
      <c r="T1429" s="77">
        <v>0.79166666666666663</v>
      </c>
      <c r="V1429">
        <v>42.08</v>
      </c>
      <c r="X1429" s="42"/>
      <c r="AB1429">
        <v>39.4</v>
      </c>
      <c r="AC1429">
        <v>42.980000000000004</v>
      </c>
      <c r="AE1429" s="74"/>
      <c r="AF1429" s="77"/>
      <c r="AH1429" s="497">
        <v>42.26</v>
      </c>
      <c r="AJ1429" s="42"/>
      <c r="AK1429" s="74"/>
      <c r="AL1429" s="77"/>
      <c r="AN1429" s="497">
        <v>19.939999999999998</v>
      </c>
      <c r="AP1429" s="42"/>
      <c r="AQ1429" s="74"/>
      <c r="AR1429" s="77"/>
      <c r="AT1429" s="497">
        <v>30.02</v>
      </c>
      <c r="AV1429" s="42"/>
      <c r="AW1429" s="74"/>
      <c r="AX1429" s="77"/>
      <c r="BA1429" s="497">
        <v>17.059999999999999</v>
      </c>
      <c r="BB1429" s="42"/>
      <c r="BC1429" s="74"/>
      <c r="BD1429" s="77"/>
      <c r="BF1429">
        <v>28.04</v>
      </c>
      <c r="BH1429" s="42"/>
      <c r="BI1429" s="74"/>
      <c r="BJ1429" s="77"/>
      <c r="BL1429" s="497">
        <v>30.02</v>
      </c>
      <c r="BN1429" s="42"/>
      <c r="BO1429" s="74"/>
      <c r="BP1429" s="77"/>
      <c r="BR1429" s="497">
        <v>26.96</v>
      </c>
      <c r="BT1429" s="42"/>
    </row>
    <row r="1430" spans="1:72" x14ac:dyDescent="0.25">
      <c r="A1430" s="90">
        <v>34758</v>
      </c>
      <c r="B1430" s="20">
        <v>0.83333333333333337</v>
      </c>
      <c r="D1430">
        <v>42.08</v>
      </c>
      <c r="E1430" t="str">
        <f t="shared" si="80"/>
        <v>WEEKDAY</v>
      </c>
      <c r="F1430" t="e">
        <f t="shared" si="79"/>
        <v>#N/A</v>
      </c>
      <c r="G1430" s="74">
        <v>32201</v>
      </c>
      <c r="H1430" s="77">
        <v>0.83333333333333337</v>
      </c>
      <c r="J1430">
        <v>35.06</v>
      </c>
      <c r="M1430" s="74">
        <v>38045</v>
      </c>
      <c r="N1430" s="77">
        <v>0.83333333333333337</v>
      </c>
      <c r="P1430">
        <v>44.6</v>
      </c>
      <c r="S1430" s="74">
        <v>34758</v>
      </c>
      <c r="T1430" s="77">
        <v>0.83333333333333337</v>
      </c>
      <c r="V1430">
        <v>42.08</v>
      </c>
      <c r="X1430" s="42"/>
      <c r="AB1430">
        <v>38.799999999999997</v>
      </c>
      <c r="AC1430">
        <v>41</v>
      </c>
      <c r="AE1430" s="74"/>
      <c r="AF1430" s="77"/>
      <c r="AH1430" s="497">
        <v>37.94</v>
      </c>
      <c r="AJ1430" s="42"/>
      <c r="AK1430" s="74"/>
      <c r="AL1430" s="77"/>
      <c r="AN1430" s="497">
        <v>17.96</v>
      </c>
      <c r="AP1430" s="42"/>
      <c r="AQ1430" s="74"/>
      <c r="AR1430" s="77"/>
      <c r="AT1430" s="497">
        <v>24.08</v>
      </c>
      <c r="AV1430" s="42"/>
      <c r="AW1430" s="74"/>
      <c r="AX1430" s="77"/>
      <c r="BA1430" s="497">
        <v>15.079999999999998</v>
      </c>
      <c r="BB1430" s="42"/>
      <c r="BC1430" s="74"/>
      <c r="BD1430" s="77"/>
      <c r="BF1430">
        <v>28.04</v>
      </c>
      <c r="BH1430" s="42"/>
      <c r="BI1430" s="74"/>
      <c r="BJ1430" s="77"/>
      <c r="BL1430" s="497">
        <v>28.94</v>
      </c>
      <c r="BN1430" s="42"/>
      <c r="BO1430" s="74"/>
      <c r="BP1430" s="77"/>
      <c r="BR1430" s="497">
        <v>26.96</v>
      </c>
      <c r="BT1430" s="42"/>
    </row>
    <row r="1431" spans="1:72" x14ac:dyDescent="0.25">
      <c r="A1431" s="90">
        <v>34758</v>
      </c>
      <c r="B1431" s="20">
        <v>0.875</v>
      </c>
      <c r="D1431">
        <v>41</v>
      </c>
      <c r="E1431" t="str">
        <f t="shared" si="80"/>
        <v>WEEKDAY</v>
      </c>
      <c r="F1431" t="e">
        <f t="shared" si="79"/>
        <v>#N/A</v>
      </c>
      <c r="G1431" s="74">
        <v>32201</v>
      </c>
      <c r="H1431" s="77">
        <v>0.875</v>
      </c>
      <c r="J1431">
        <v>35.96</v>
      </c>
      <c r="M1431" s="74">
        <v>38045</v>
      </c>
      <c r="N1431" s="77">
        <v>0.875</v>
      </c>
      <c r="P1431">
        <v>42.8</v>
      </c>
      <c r="S1431" s="74">
        <v>34758</v>
      </c>
      <c r="T1431" s="77">
        <v>0.875</v>
      </c>
      <c r="V1431">
        <v>41</v>
      </c>
      <c r="X1431" s="42"/>
      <c r="AB1431">
        <v>38.299999999999997</v>
      </c>
      <c r="AC1431">
        <v>39.92</v>
      </c>
      <c r="AE1431" s="74"/>
      <c r="AF1431" s="77"/>
      <c r="AH1431" s="497">
        <v>33.979999999999997</v>
      </c>
      <c r="AJ1431" s="42"/>
      <c r="AK1431" s="74"/>
      <c r="AL1431" s="77"/>
      <c r="AN1431" s="497">
        <v>17.059999999999999</v>
      </c>
      <c r="AP1431" s="42"/>
      <c r="AQ1431" s="74"/>
      <c r="AR1431" s="77"/>
      <c r="AT1431" s="497">
        <v>21.92</v>
      </c>
      <c r="AV1431" s="42"/>
      <c r="AW1431" s="74"/>
      <c r="AX1431" s="77"/>
      <c r="BA1431" s="497">
        <v>14</v>
      </c>
      <c r="BB1431" s="42"/>
      <c r="BC1431" s="74"/>
      <c r="BD1431" s="77"/>
      <c r="BF1431">
        <v>26.96</v>
      </c>
      <c r="BH1431" s="42"/>
      <c r="BI1431" s="74"/>
      <c r="BJ1431" s="77"/>
      <c r="BL1431" s="497">
        <v>28.94</v>
      </c>
      <c r="BN1431" s="42"/>
      <c r="BO1431" s="74"/>
      <c r="BP1431" s="77"/>
      <c r="BR1431" s="497">
        <v>26.96</v>
      </c>
      <c r="BT1431" s="42"/>
    </row>
    <row r="1432" spans="1:72" x14ac:dyDescent="0.25">
      <c r="A1432" s="90">
        <v>34758</v>
      </c>
      <c r="B1432" s="20">
        <v>0.91666666666666663</v>
      </c>
      <c r="D1432">
        <v>40.64</v>
      </c>
      <c r="E1432" t="str">
        <f t="shared" si="80"/>
        <v>WEEKDAY</v>
      </c>
      <c r="F1432" t="e">
        <f t="shared" si="79"/>
        <v>#N/A</v>
      </c>
      <c r="G1432" s="74">
        <v>32201</v>
      </c>
      <c r="H1432" s="77">
        <v>0.91666666666666663</v>
      </c>
      <c r="J1432">
        <v>34.520000000000003</v>
      </c>
      <c r="M1432" s="74">
        <v>38045</v>
      </c>
      <c r="N1432" s="77">
        <v>0.91666666666666663</v>
      </c>
      <c r="P1432">
        <v>41.72</v>
      </c>
      <c r="S1432" s="74">
        <v>34758</v>
      </c>
      <c r="T1432" s="77">
        <v>0.91666666666666663</v>
      </c>
      <c r="V1432">
        <v>41.36</v>
      </c>
      <c r="X1432" s="42"/>
      <c r="AB1432">
        <v>37.6</v>
      </c>
      <c r="AC1432">
        <v>39.56</v>
      </c>
      <c r="AE1432" s="74"/>
      <c r="AF1432" s="77"/>
      <c r="AH1432" s="497">
        <v>32.9</v>
      </c>
      <c r="AJ1432" s="42"/>
      <c r="AK1432" s="74"/>
      <c r="AL1432" s="77"/>
      <c r="AN1432" s="497">
        <v>17.240000000000002</v>
      </c>
      <c r="AP1432" s="42"/>
      <c r="AQ1432" s="74"/>
      <c r="AR1432" s="77"/>
      <c r="AT1432" s="497">
        <v>24.98</v>
      </c>
      <c r="AV1432" s="42"/>
      <c r="AW1432" s="74"/>
      <c r="AX1432" s="77"/>
      <c r="BA1432" s="497">
        <v>15.079999999999998</v>
      </c>
      <c r="BB1432" s="42"/>
      <c r="BC1432" s="74"/>
      <c r="BD1432" s="77"/>
      <c r="BF1432">
        <v>25.88</v>
      </c>
      <c r="BH1432" s="42"/>
      <c r="BI1432" s="74"/>
      <c r="BJ1432" s="77"/>
      <c r="BL1432" s="497">
        <v>27.5</v>
      </c>
      <c r="BN1432" s="42"/>
      <c r="BO1432" s="74"/>
      <c r="BP1432" s="77"/>
      <c r="BR1432" s="497">
        <v>28.94</v>
      </c>
      <c r="BT1432" s="42"/>
    </row>
    <row r="1433" spans="1:72" x14ac:dyDescent="0.25">
      <c r="A1433" s="90">
        <v>34758</v>
      </c>
      <c r="B1433" s="20">
        <v>0.95833333333333337</v>
      </c>
      <c r="D1433">
        <v>40.1</v>
      </c>
      <c r="E1433" t="str">
        <f t="shared" si="80"/>
        <v>WEEKDAY</v>
      </c>
      <c r="F1433" t="e">
        <f t="shared" si="79"/>
        <v>#N/A</v>
      </c>
      <c r="G1433" s="74">
        <v>32201</v>
      </c>
      <c r="H1433" s="77">
        <v>0.95833333333333337</v>
      </c>
      <c r="J1433">
        <v>33.08</v>
      </c>
      <c r="M1433" s="74">
        <v>38045</v>
      </c>
      <c r="N1433" s="77">
        <v>0.95833333333333337</v>
      </c>
      <c r="P1433">
        <v>40.82</v>
      </c>
      <c r="S1433" s="74">
        <v>34758</v>
      </c>
      <c r="T1433" s="77">
        <v>0.95833333333333337</v>
      </c>
      <c r="V1433">
        <v>41.54</v>
      </c>
      <c r="X1433" s="42"/>
      <c r="AB1433">
        <v>37</v>
      </c>
      <c r="AC1433">
        <v>39.019999999999996</v>
      </c>
      <c r="AE1433" s="74"/>
      <c r="AF1433" s="77"/>
      <c r="AH1433" s="497">
        <v>32</v>
      </c>
      <c r="AJ1433" s="42"/>
      <c r="AK1433" s="74"/>
      <c r="AL1433" s="77"/>
      <c r="AN1433" s="497">
        <v>17.240000000000002</v>
      </c>
      <c r="AP1433" s="42"/>
      <c r="AQ1433" s="74"/>
      <c r="AR1433" s="77"/>
      <c r="AT1433" s="497">
        <v>27.86</v>
      </c>
      <c r="AV1433" s="42"/>
      <c r="AW1433" s="74"/>
      <c r="AX1433" s="77"/>
      <c r="BA1433" s="497">
        <v>15.8</v>
      </c>
      <c r="BB1433" s="42"/>
      <c r="BC1433" s="74"/>
      <c r="BD1433" s="77"/>
      <c r="BF1433">
        <v>24.62</v>
      </c>
      <c r="BH1433" s="42"/>
      <c r="BI1433" s="74"/>
      <c r="BJ1433" s="77"/>
      <c r="BL1433" s="497">
        <v>26.060000000000002</v>
      </c>
      <c r="BN1433" s="42"/>
      <c r="BO1433" s="74"/>
      <c r="BP1433" s="77"/>
      <c r="BR1433" s="497">
        <v>30.92</v>
      </c>
      <c r="BT1433" s="42"/>
    </row>
    <row r="1434" spans="1:72" x14ac:dyDescent="0.25">
      <c r="A1434" s="90">
        <v>34758</v>
      </c>
      <c r="B1434" s="20">
        <v>1</v>
      </c>
      <c r="D1434">
        <v>39.74</v>
      </c>
      <c r="E1434" t="str">
        <f t="shared" si="80"/>
        <v>WEEKDAY</v>
      </c>
      <c r="F1434" t="e">
        <f t="shared" si="79"/>
        <v>#N/A</v>
      </c>
      <c r="G1434" s="74">
        <v>32201</v>
      </c>
      <c r="H1434" s="77">
        <v>1</v>
      </c>
      <c r="J1434">
        <v>31.82</v>
      </c>
      <c r="M1434" s="74">
        <v>38045</v>
      </c>
      <c r="N1434" s="80">
        <v>1</v>
      </c>
      <c r="P1434">
        <v>39.74</v>
      </c>
      <c r="S1434" s="74">
        <v>34758</v>
      </c>
      <c r="T1434" s="80">
        <v>1</v>
      </c>
      <c r="V1434">
        <v>41.9</v>
      </c>
      <c r="X1434" s="42"/>
      <c r="AB1434">
        <v>36.4</v>
      </c>
      <c r="AC1434">
        <v>38.659999999999997</v>
      </c>
      <c r="AE1434" s="74"/>
      <c r="AF1434" s="80"/>
      <c r="AH1434" s="497">
        <v>30.92</v>
      </c>
      <c r="AJ1434" s="42"/>
      <c r="AK1434" s="74"/>
      <c r="AL1434" s="80"/>
      <c r="AN1434" s="497">
        <v>17.240000000000002</v>
      </c>
      <c r="AP1434" s="42"/>
      <c r="AQ1434" s="74"/>
      <c r="AR1434" s="80"/>
      <c r="AT1434" s="497">
        <v>30.74</v>
      </c>
      <c r="AV1434" s="42"/>
      <c r="AW1434" s="74"/>
      <c r="AX1434" s="80"/>
      <c r="BA1434" s="497">
        <v>16.7</v>
      </c>
      <c r="BB1434" s="42"/>
      <c r="BC1434" s="74"/>
      <c r="BD1434" s="80"/>
      <c r="BF1434">
        <v>23.36</v>
      </c>
      <c r="BH1434" s="42"/>
      <c r="BI1434" s="74"/>
      <c r="BJ1434" s="80"/>
      <c r="BL1434" s="497">
        <v>24.439999999999998</v>
      </c>
      <c r="BN1434" s="42"/>
      <c r="BO1434" s="74"/>
      <c r="BP1434" s="80"/>
      <c r="BR1434" s="497">
        <v>32.54</v>
      </c>
      <c r="BT1434" s="42"/>
    </row>
    <row r="1435" spans="1:72" x14ac:dyDescent="0.25">
      <c r="A1435" s="90">
        <v>38047</v>
      </c>
      <c r="B1435" s="20">
        <v>4.1666666666666664E-2</v>
      </c>
      <c r="D1435">
        <v>39.200000000000003</v>
      </c>
      <c r="E1435" t="str">
        <f t="shared" si="80"/>
        <v>WEEKDAY</v>
      </c>
      <c r="F1435" t="e">
        <f t="shared" si="79"/>
        <v>#N/A</v>
      </c>
      <c r="G1435" s="74">
        <v>32933</v>
      </c>
      <c r="H1435" s="77">
        <v>4.1666666666666664E-2</v>
      </c>
      <c r="J1435">
        <v>30.56</v>
      </c>
      <c r="M1435" s="74">
        <v>36586</v>
      </c>
      <c r="N1435" s="77">
        <v>4.1666666666666664E-2</v>
      </c>
      <c r="P1435">
        <v>38.659999999999997</v>
      </c>
      <c r="S1435" s="74">
        <v>38047</v>
      </c>
      <c r="T1435" s="77">
        <v>4.1666666666666664E-2</v>
      </c>
      <c r="V1435">
        <v>42.08</v>
      </c>
      <c r="X1435" s="42"/>
      <c r="AB1435">
        <v>36</v>
      </c>
      <c r="AC1435">
        <v>38.299999999999997</v>
      </c>
      <c r="AE1435" s="74"/>
      <c r="AF1435" s="77"/>
      <c r="AH1435" s="497">
        <v>30.02</v>
      </c>
      <c r="AJ1435" s="42"/>
      <c r="AK1435" s="74"/>
      <c r="AL1435" s="77"/>
      <c r="AN1435" s="497">
        <v>17.240000000000002</v>
      </c>
      <c r="AP1435" s="42"/>
      <c r="AQ1435" s="74"/>
      <c r="AR1435" s="77"/>
      <c r="AT1435" s="497">
        <v>33.44</v>
      </c>
      <c r="AV1435" s="42"/>
      <c r="AW1435" s="74"/>
      <c r="AX1435" s="77"/>
      <c r="BA1435" s="497">
        <v>17.600000000000001</v>
      </c>
      <c r="BB1435" s="42"/>
      <c r="BC1435" s="74"/>
      <c r="BD1435" s="77"/>
      <c r="BF1435">
        <v>21.92</v>
      </c>
      <c r="BH1435" s="42"/>
      <c r="BI1435" s="74"/>
      <c r="BJ1435" s="77"/>
      <c r="BL1435" s="497">
        <v>22.82</v>
      </c>
      <c r="BN1435" s="42"/>
      <c r="BO1435" s="74"/>
      <c r="BP1435" s="77"/>
      <c r="BR1435" s="497">
        <v>34.340000000000003</v>
      </c>
      <c r="BT1435" s="42"/>
    </row>
    <row r="1436" spans="1:72" x14ac:dyDescent="0.25">
      <c r="A1436" s="90">
        <v>38047</v>
      </c>
      <c r="B1436" s="20">
        <v>8.3333333333333329E-2</v>
      </c>
      <c r="D1436">
        <v>38.840000000000003</v>
      </c>
      <c r="E1436" t="str">
        <f t="shared" si="80"/>
        <v>WEEKDAY</v>
      </c>
      <c r="F1436" t="e">
        <f t="shared" si="79"/>
        <v>#N/A</v>
      </c>
      <c r="G1436" s="74">
        <v>32933</v>
      </c>
      <c r="H1436" s="77">
        <v>8.3333333333333329E-2</v>
      </c>
      <c r="J1436">
        <v>29.12</v>
      </c>
      <c r="M1436" s="74">
        <v>36586</v>
      </c>
      <c r="N1436" s="77">
        <v>8.3333333333333329E-2</v>
      </c>
      <c r="P1436">
        <v>37.58</v>
      </c>
      <c r="S1436" s="74">
        <v>38047</v>
      </c>
      <c r="T1436" s="77">
        <v>8.3333333333333329E-2</v>
      </c>
      <c r="V1436">
        <v>42.44</v>
      </c>
      <c r="X1436" s="42"/>
      <c r="AB1436">
        <v>35.4</v>
      </c>
      <c r="AC1436">
        <v>37.94</v>
      </c>
      <c r="AE1436" s="74"/>
      <c r="AF1436" s="77"/>
      <c r="AH1436" s="497">
        <v>28.94</v>
      </c>
      <c r="AJ1436" s="42"/>
      <c r="AK1436" s="74"/>
      <c r="AL1436" s="77"/>
      <c r="AN1436" s="497">
        <v>17.240000000000002</v>
      </c>
      <c r="AP1436" s="42"/>
      <c r="AQ1436" s="74"/>
      <c r="AR1436" s="77"/>
      <c r="AT1436" s="497">
        <v>36.32</v>
      </c>
      <c r="AV1436" s="42"/>
      <c r="AW1436" s="74"/>
      <c r="AX1436" s="77"/>
      <c r="BA1436" s="497">
        <v>18.5</v>
      </c>
      <c r="BB1436" s="42"/>
      <c r="BC1436" s="74"/>
      <c r="BD1436" s="77"/>
      <c r="BF1436">
        <v>20.66</v>
      </c>
      <c r="BH1436" s="42"/>
      <c r="BI1436" s="74"/>
      <c r="BJ1436" s="77"/>
      <c r="BL1436" s="497">
        <v>21.2</v>
      </c>
      <c r="BN1436" s="42"/>
      <c r="BO1436" s="74"/>
      <c r="BP1436" s="77"/>
      <c r="BR1436" s="497">
        <v>36.14</v>
      </c>
      <c r="BT1436" s="42"/>
    </row>
    <row r="1437" spans="1:72" x14ac:dyDescent="0.25">
      <c r="A1437" s="90">
        <v>38047</v>
      </c>
      <c r="B1437" s="20">
        <v>0.125</v>
      </c>
      <c r="D1437">
        <v>38.299999999999997</v>
      </c>
      <c r="E1437" t="str">
        <f t="shared" si="80"/>
        <v>WEEKDAY</v>
      </c>
      <c r="F1437" t="e">
        <f t="shared" si="79"/>
        <v>#N/A</v>
      </c>
      <c r="G1437" s="74">
        <v>32933</v>
      </c>
      <c r="H1437" s="77">
        <v>0.125</v>
      </c>
      <c r="J1437">
        <v>27.68</v>
      </c>
      <c r="M1437" s="74">
        <v>36586</v>
      </c>
      <c r="N1437" s="77">
        <v>0.125</v>
      </c>
      <c r="P1437">
        <v>36.68</v>
      </c>
      <c r="S1437" s="74">
        <v>38047</v>
      </c>
      <c r="T1437" s="77">
        <v>0.125</v>
      </c>
      <c r="V1437">
        <v>42.620000000000005</v>
      </c>
      <c r="X1437" s="42"/>
      <c r="AB1437">
        <v>34.9</v>
      </c>
      <c r="AC1437">
        <v>37.4</v>
      </c>
      <c r="AE1437" s="74"/>
      <c r="AF1437" s="77"/>
      <c r="AH1437" s="497">
        <v>27.86</v>
      </c>
      <c r="AJ1437" s="42"/>
      <c r="AK1437" s="74"/>
      <c r="AL1437" s="77"/>
      <c r="AN1437" s="497">
        <v>17.240000000000002</v>
      </c>
      <c r="AP1437" s="42"/>
      <c r="AQ1437" s="74"/>
      <c r="AR1437" s="77"/>
      <c r="AT1437" s="497">
        <v>39.200000000000003</v>
      </c>
      <c r="AV1437" s="42"/>
      <c r="AW1437" s="74"/>
      <c r="AX1437" s="77"/>
      <c r="BA1437" s="497">
        <v>19.22</v>
      </c>
      <c r="BB1437" s="42"/>
      <c r="BC1437" s="74"/>
      <c r="BD1437" s="77"/>
      <c r="BF1437">
        <v>19.399999999999999</v>
      </c>
      <c r="BH1437" s="42"/>
      <c r="BI1437" s="74"/>
      <c r="BJ1437" s="77"/>
      <c r="BL1437" s="497">
        <v>19.759999999999998</v>
      </c>
      <c r="BN1437" s="42"/>
      <c r="BO1437" s="74"/>
      <c r="BP1437" s="77"/>
      <c r="BR1437" s="497">
        <v>38.119999999999997</v>
      </c>
      <c r="BT1437" s="42"/>
    </row>
    <row r="1438" spans="1:72" x14ac:dyDescent="0.25">
      <c r="A1438" s="90">
        <v>38047</v>
      </c>
      <c r="B1438" s="20">
        <v>0.16666666666666666</v>
      </c>
      <c r="D1438">
        <v>37.94</v>
      </c>
      <c r="E1438" t="str">
        <f t="shared" si="80"/>
        <v>WEEKDAY</v>
      </c>
      <c r="F1438" t="e">
        <f t="shared" si="79"/>
        <v>#N/A</v>
      </c>
      <c r="G1438" s="74">
        <v>32933</v>
      </c>
      <c r="H1438" s="77">
        <v>0.16666666666666666</v>
      </c>
      <c r="J1438">
        <v>26.060000000000002</v>
      </c>
      <c r="M1438" s="74">
        <v>36586</v>
      </c>
      <c r="N1438" s="77">
        <v>0.16666666666666666</v>
      </c>
      <c r="P1438">
        <v>35.6</v>
      </c>
      <c r="S1438" s="74">
        <v>38047</v>
      </c>
      <c r="T1438" s="77">
        <v>0.16666666666666666</v>
      </c>
      <c r="V1438">
        <v>42.980000000000004</v>
      </c>
      <c r="X1438" s="42"/>
      <c r="AB1438">
        <v>34.5</v>
      </c>
      <c r="AC1438">
        <v>37.04</v>
      </c>
      <c r="AE1438" s="74"/>
      <c r="AF1438" s="77"/>
      <c r="AH1438" s="497">
        <v>26.6</v>
      </c>
      <c r="AJ1438" s="42"/>
      <c r="AK1438" s="74"/>
      <c r="AL1438" s="77"/>
      <c r="AN1438" s="497">
        <v>17.059999999999999</v>
      </c>
      <c r="AP1438" s="42"/>
      <c r="AQ1438" s="74"/>
      <c r="AR1438" s="77"/>
      <c r="AT1438" s="497">
        <v>42.08</v>
      </c>
      <c r="AV1438" s="42"/>
      <c r="AW1438" s="74"/>
      <c r="AX1438" s="77"/>
      <c r="BA1438" s="497">
        <v>19.939999999999998</v>
      </c>
      <c r="BB1438" s="42"/>
      <c r="BC1438" s="74"/>
      <c r="BD1438" s="77"/>
      <c r="BF1438">
        <v>17.96</v>
      </c>
      <c r="BH1438" s="42"/>
      <c r="BI1438" s="74"/>
      <c r="BJ1438" s="77"/>
      <c r="BL1438" s="497">
        <v>17.96</v>
      </c>
      <c r="BN1438" s="42"/>
      <c r="BO1438" s="74"/>
      <c r="BP1438" s="77"/>
      <c r="BR1438" s="497">
        <v>39.92</v>
      </c>
      <c r="BT1438" s="42"/>
    </row>
    <row r="1439" spans="1:72" x14ac:dyDescent="0.25">
      <c r="A1439" s="90">
        <v>38047</v>
      </c>
      <c r="B1439" s="20">
        <v>0.20833333333333334</v>
      </c>
      <c r="D1439">
        <v>37.94</v>
      </c>
      <c r="E1439" t="str">
        <f t="shared" si="80"/>
        <v>WEEKDAY</v>
      </c>
      <c r="F1439" t="e">
        <f t="shared" si="79"/>
        <v>#N/A</v>
      </c>
      <c r="G1439" s="74">
        <v>32933</v>
      </c>
      <c r="H1439" s="77">
        <v>0.20833333333333334</v>
      </c>
      <c r="J1439">
        <v>26.060000000000002</v>
      </c>
      <c r="M1439" s="74">
        <v>36586</v>
      </c>
      <c r="N1439" s="77">
        <v>0.20833333333333334</v>
      </c>
      <c r="P1439">
        <v>33.799999999999997</v>
      </c>
      <c r="S1439" s="74">
        <v>38047</v>
      </c>
      <c r="T1439" s="77">
        <v>0.20833333333333334</v>
      </c>
      <c r="V1439">
        <v>41</v>
      </c>
      <c r="X1439" s="42"/>
      <c r="AB1439">
        <v>34</v>
      </c>
      <c r="AC1439">
        <v>28.94</v>
      </c>
      <c r="AE1439" s="74"/>
      <c r="AF1439" s="77"/>
      <c r="AH1439" s="497">
        <v>24.8</v>
      </c>
      <c r="AJ1439" s="42"/>
      <c r="AK1439" s="74"/>
      <c r="AL1439" s="77"/>
      <c r="AN1439" s="497">
        <v>17.059999999999999</v>
      </c>
      <c r="AP1439" s="42"/>
      <c r="AQ1439" s="74"/>
      <c r="AR1439" s="77"/>
      <c r="AT1439" s="497">
        <v>40.64</v>
      </c>
      <c r="AV1439" s="42"/>
      <c r="AW1439" s="74"/>
      <c r="AX1439" s="77"/>
      <c r="BA1439" s="497">
        <v>19.939999999999998</v>
      </c>
      <c r="BB1439" s="42"/>
      <c r="BC1439" s="74"/>
      <c r="BD1439" s="77"/>
      <c r="BF1439">
        <v>17.059999999999999</v>
      </c>
      <c r="BH1439" s="42"/>
      <c r="BI1439" s="74"/>
      <c r="BJ1439" s="77"/>
      <c r="BL1439" s="497">
        <v>17.059999999999999</v>
      </c>
      <c r="BN1439" s="42"/>
      <c r="BO1439" s="74"/>
      <c r="BP1439" s="77"/>
      <c r="BR1439" s="497">
        <v>39.92</v>
      </c>
      <c r="BT1439" s="42"/>
    </row>
    <row r="1440" spans="1:72" x14ac:dyDescent="0.25">
      <c r="A1440" s="90">
        <v>38047</v>
      </c>
      <c r="B1440" s="20">
        <v>0.25</v>
      </c>
      <c r="D1440">
        <v>37.94</v>
      </c>
      <c r="E1440" t="str">
        <f t="shared" si="80"/>
        <v>WEEKDAY</v>
      </c>
      <c r="F1440" t="e">
        <f t="shared" si="79"/>
        <v>#N/A</v>
      </c>
      <c r="G1440" s="74">
        <v>32933</v>
      </c>
      <c r="H1440" s="77">
        <v>0.25</v>
      </c>
      <c r="J1440">
        <v>24.98</v>
      </c>
      <c r="M1440" s="74">
        <v>36586</v>
      </c>
      <c r="N1440" s="77">
        <v>0.25</v>
      </c>
      <c r="P1440">
        <v>32</v>
      </c>
      <c r="S1440" s="74">
        <v>38047</v>
      </c>
      <c r="T1440" s="77">
        <v>0.25</v>
      </c>
      <c r="V1440">
        <v>39.019999999999996</v>
      </c>
      <c r="X1440" s="42"/>
      <c r="AB1440">
        <v>33.6</v>
      </c>
      <c r="AC1440">
        <v>28.94</v>
      </c>
      <c r="AE1440" s="74"/>
      <c r="AF1440" s="77"/>
      <c r="AH1440" s="497">
        <v>24.8</v>
      </c>
      <c r="AJ1440" s="42"/>
      <c r="AK1440" s="74"/>
      <c r="AL1440" s="77"/>
      <c r="AN1440" s="497">
        <v>17.059999999999999</v>
      </c>
      <c r="AP1440" s="42"/>
      <c r="AQ1440" s="74"/>
      <c r="AR1440" s="77"/>
      <c r="AT1440" s="497">
        <v>39.380000000000003</v>
      </c>
      <c r="AV1440" s="42"/>
      <c r="AW1440" s="74"/>
      <c r="AX1440" s="77"/>
      <c r="BA1440" s="497">
        <v>19.939999999999998</v>
      </c>
      <c r="BB1440" s="42"/>
      <c r="BC1440" s="74"/>
      <c r="BD1440" s="77"/>
      <c r="BF1440">
        <v>17.059999999999999</v>
      </c>
      <c r="BH1440" s="42"/>
      <c r="BI1440" s="74"/>
      <c r="BJ1440" s="77"/>
      <c r="BL1440" s="497">
        <v>15.98</v>
      </c>
      <c r="BN1440" s="42"/>
      <c r="BO1440" s="74"/>
      <c r="BP1440" s="77"/>
      <c r="BR1440" s="497">
        <v>39.92</v>
      </c>
      <c r="BT1440" s="42"/>
    </row>
    <row r="1441" spans="1:72" x14ac:dyDescent="0.25">
      <c r="A1441" s="90">
        <v>38047</v>
      </c>
      <c r="B1441" s="20">
        <v>0.29166666666666669</v>
      </c>
      <c r="D1441">
        <v>37.04</v>
      </c>
      <c r="E1441" t="str">
        <f t="shared" si="80"/>
        <v>WEEKDAY</v>
      </c>
      <c r="F1441" t="e">
        <f t="shared" si="79"/>
        <v>#N/A</v>
      </c>
      <c r="G1441" s="74">
        <v>32933</v>
      </c>
      <c r="H1441" s="77">
        <v>0.29166666666666669</v>
      </c>
      <c r="J1441">
        <v>24.98</v>
      </c>
      <c r="M1441" s="74">
        <v>36586</v>
      </c>
      <c r="N1441" s="77">
        <v>0.29166666666666669</v>
      </c>
      <c r="P1441">
        <v>30.2</v>
      </c>
      <c r="S1441" s="74">
        <v>38047</v>
      </c>
      <c r="T1441" s="77">
        <v>0.29166666666666669</v>
      </c>
      <c r="V1441">
        <v>39.92</v>
      </c>
      <c r="X1441" s="42"/>
      <c r="AB1441">
        <v>33.4</v>
      </c>
      <c r="AC1441">
        <v>30.02</v>
      </c>
      <c r="AE1441" s="74"/>
      <c r="AF1441" s="77"/>
      <c r="AH1441" s="497">
        <v>23</v>
      </c>
      <c r="AJ1441" s="42"/>
      <c r="AK1441" s="74"/>
      <c r="AL1441" s="77"/>
      <c r="AN1441" s="497">
        <v>17.96</v>
      </c>
      <c r="AP1441" s="42"/>
      <c r="AQ1441" s="74"/>
      <c r="AR1441" s="77"/>
      <c r="AT1441" s="497">
        <v>37.94</v>
      </c>
      <c r="AV1441" s="42"/>
      <c r="AW1441" s="74"/>
      <c r="AX1441" s="77"/>
      <c r="BA1441" s="497">
        <v>21.02</v>
      </c>
      <c r="BB1441" s="42"/>
      <c r="BC1441" s="74"/>
      <c r="BD1441" s="77"/>
      <c r="BF1441">
        <v>19.04</v>
      </c>
      <c r="BH1441" s="42"/>
      <c r="BI1441" s="74"/>
      <c r="BJ1441" s="77"/>
      <c r="BL1441" s="497">
        <v>15.079999999999998</v>
      </c>
      <c r="BN1441" s="42"/>
      <c r="BO1441" s="74"/>
      <c r="BP1441" s="77"/>
      <c r="BR1441" s="497">
        <v>39.92</v>
      </c>
      <c r="BT1441" s="42"/>
    </row>
    <row r="1442" spans="1:72" x14ac:dyDescent="0.25">
      <c r="A1442" s="90">
        <v>38047</v>
      </c>
      <c r="B1442" s="20">
        <v>0.33333333333333331</v>
      </c>
      <c r="D1442">
        <v>37.04</v>
      </c>
      <c r="E1442" t="str">
        <f t="shared" si="80"/>
        <v>WEEKDAY</v>
      </c>
      <c r="F1442" t="e">
        <f t="shared" si="79"/>
        <v>#N/A</v>
      </c>
      <c r="G1442" s="74">
        <v>32933</v>
      </c>
      <c r="H1442" s="77">
        <v>0.33333333333333331</v>
      </c>
      <c r="J1442">
        <v>24.98</v>
      </c>
      <c r="M1442" s="74">
        <v>36586</v>
      </c>
      <c r="N1442" s="77">
        <v>0.33333333333333331</v>
      </c>
      <c r="P1442">
        <v>37.4</v>
      </c>
      <c r="S1442" s="74">
        <v>38047</v>
      </c>
      <c r="T1442" s="77">
        <v>0.33333333333333331</v>
      </c>
      <c r="V1442">
        <v>46.04</v>
      </c>
      <c r="X1442" s="42"/>
      <c r="AB1442">
        <v>33.5</v>
      </c>
      <c r="AC1442">
        <v>35.96</v>
      </c>
      <c r="AE1442" s="74"/>
      <c r="AF1442" s="77"/>
      <c r="AH1442" s="497">
        <v>28.22</v>
      </c>
      <c r="AJ1442" s="42"/>
      <c r="AK1442" s="74"/>
      <c r="AL1442" s="77"/>
      <c r="AN1442" s="497">
        <v>21.02</v>
      </c>
      <c r="AP1442" s="42"/>
      <c r="AQ1442" s="74"/>
      <c r="AR1442" s="77"/>
      <c r="AT1442" s="497">
        <v>37.94</v>
      </c>
      <c r="AV1442" s="42"/>
      <c r="AW1442" s="74"/>
      <c r="AX1442" s="77"/>
      <c r="BA1442" s="497">
        <v>19.939999999999998</v>
      </c>
      <c r="BB1442" s="42"/>
      <c r="BC1442" s="74"/>
      <c r="BD1442" s="77"/>
      <c r="BF1442">
        <v>19.939999999999998</v>
      </c>
      <c r="BH1442" s="42"/>
      <c r="BI1442" s="74"/>
      <c r="BJ1442" s="77"/>
      <c r="BL1442" s="497">
        <v>17.059999999999999</v>
      </c>
      <c r="BN1442" s="42"/>
      <c r="BO1442" s="74"/>
      <c r="BP1442" s="77"/>
      <c r="BR1442" s="497">
        <v>39.92</v>
      </c>
      <c r="BT1442" s="42"/>
    </row>
    <row r="1443" spans="1:72" x14ac:dyDescent="0.25">
      <c r="A1443" s="90">
        <v>38047</v>
      </c>
      <c r="B1443" s="20">
        <v>0.375</v>
      </c>
      <c r="D1443">
        <v>37.94</v>
      </c>
      <c r="E1443" t="str">
        <f t="shared" si="80"/>
        <v>WEEKDAY</v>
      </c>
      <c r="F1443" t="e">
        <f t="shared" si="79"/>
        <v>#N/A</v>
      </c>
      <c r="G1443" s="74">
        <v>32933</v>
      </c>
      <c r="H1443" s="77">
        <v>0.375</v>
      </c>
      <c r="J1443">
        <v>26.96</v>
      </c>
      <c r="M1443" s="74">
        <v>36586</v>
      </c>
      <c r="N1443" s="77">
        <v>0.375</v>
      </c>
      <c r="P1443">
        <v>39.380000000000003</v>
      </c>
      <c r="S1443" s="74">
        <v>38047</v>
      </c>
      <c r="T1443" s="77">
        <v>0.375</v>
      </c>
      <c r="V1443">
        <v>51.980000000000004</v>
      </c>
      <c r="X1443" s="42"/>
      <c r="AB1443">
        <v>35.1</v>
      </c>
      <c r="AC1443">
        <v>46.04</v>
      </c>
      <c r="AE1443" s="74"/>
      <c r="AF1443" s="77"/>
      <c r="AH1443" s="497">
        <v>32.72</v>
      </c>
      <c r="AJ1443" s="42"/>
      <c r="AK1443" s="74"/>
      <c r="AL1443" s="77"/>
      <c r="AN1443" s="497">
        <v>23</v>
      </c>
      <c r="AP1443" s="42"/>
      <c r="AQ1443" s="74"/>
      <c r="AR1443" s="77"/>
      <c r="AT1443" s="497">
        <v>37.94</v>
      </c>
      <c r="AV1443" s="42"/>
      <c r="AW1443" s="74"/>
      <c r="AX1443" s="77"/>
      <c r="BA1443" s="497">
        <v>23</v>
      </c>
      <c r="BB1443" s="42"/>
      <c r="BC1443" s="74"/>
      <c r="BD1443" s="77"/>
      <c r="BF1443">
        <v>23</v>
      </c>
      <c r="BH1443" s="42"/>
      <c r="BI1443" s="74"/>
      <c r="BJ1443" s="77"/>
      <c r="BL1443" s="497">
        <v>21.02</v>
      </c>
      <c r="BN1443" s="42"/>
      <c r="BO1443" s="74"/>
      <c r="BP1443" s="77"/>
      <c r="BR1443" s="497">
        <v>39.92</v>
      </c>
      <c r="BT1443" s="42"/>
    </row>
    <row r="1444" spans="1:72" x14ac:dyDescent="0.25">
      <c r="A1444" s="90">
        <v>38047</v>
      </c>
      <c r="B1444" s="20">
        <v>0.41666666666666669</v>
      </c>
      <c r="D1444">
        <v>37.94</v>
      </c>
      <c r="E1444" t="str">
        <f t="shared" si="80"/>
        <v>WEEKDAY</v>
      </c>
      <c r="F1444" t="e">
        <f t="shared" si="79"/>
        <v>#N/A</v>
      </c>
      <c r="G1444" s="74">
        <v>32933</v>
      </c>
      <c r="H1444" s="77">
        <v>0.41666666666666669</v>
      </c>
      <c r="J1444">
        <v>28.94</v>
      </c>
      <c r="M1444" s="74">
        <v>36586</v>
      </c>
      <c r="N1444" s="77">
        <v>0.41666666666666669</v>
      </c>
      <c r="P1444">
        <v>41.36</v>
      </c>
      <c r="S1444" s="74">
        <v>38047</v>
      </c>
      <c r="T1444" s="77">
        <v>0.41666666666666669</v>
      </c>
      <c r="V1444">
        <v>57.019999999999996</v>
      </c>
      <c r="X1444" s="42"/>
      <c r="AB1444">
        <v>36.700000000000003</v>
      </c>
      <c r="AC1444">
        <v>51.08</v>
      </c>
      <c r="AE1444" s="74"/>
      <c r="AF1444" s="77"/>
      <c r="AH1444" s="497">
        <v>37.4</v>
      </c>
      <c r="AJ1444" s="42"/>
      <c r="AK1444" s="74"/>
      <c r="AL1444" s="77"/>
      <c r="AN1444" s="497">
        <v>26.96</v>
      </c>
      <c r="AP1444" s="42"/>
      <c r="AQ1444" s="74"/>
      <c r="AR1444" s="77"/>
      <c r="AT1444" s="497">
        <v>37.94</v>
      </c>
      <c r="AV1444" s="42"/>
      <c r="AW1444" s="74"/>
      <c r="AX1444" s="77"/>
      <c r="BA1444" s="497">
        <v>24.98</v>
      </c>
      <c r="BB1444" s="42"/>
      <c r="BC1444" s="74"/>
      <c r="BD1444" s="77"/>
      <c r="BF1444">
        <v>24.98</v>
      </c>
      <c r="BH1444" s="42"/>
      <c r="BI1444" s="74"/>
      <c r="BJ1444" s="77"/>
      <c r="BL1444" s="497">
        <v>23</v>
      </c>
      <c r="BN1444" s="42"/>
      <c r="BO1444" s="74"/>
      <c r="BP1444" s="77"/>
      <c r="BR1444" s="497">
        <v>42.08</v>
      </c>
      <c r="BT1444" s="42"/>
    </row>
    <row r="1445" spans="1:72" x14ac:dyDescent="0.25">
      <c r="A1445" s="90">
        <v>38047</v>
      </c>
      <c r="B1445" s="20">
        <v>0.45833333333333331</v>
      </c>
      <c r="D1445">
        <v>39.92</v>
      </c>
      <c r="E1445" t="str">
        <f t="shared" si="80"/>
        <v>WEEKDAY</v>
      </c>
      <c r="F1445" t="e">
        <f t="shared" si="79"/>
        <v>#N/A</v>
      </c>
      <c r="G1445" s="74">
        <v>32933</v>
      </c>
      <c r="H1445" s="77">
        <v>0.45833333333333331</v>
      </c>
      <c r="J1445">
        <v>32</v>
      </c>
      <c r="M1445" s="74">
        <v>36586</v>
      </c>
      <c r="N1445" s="77">
        <v>0.45833333333333331</v>
      </c>
      <c r="P1445">
        <v>42.8</v>
      </c>
      <c r="S1445" s="74">
        <v>38047</v>
      </c>
      <c r="T1445" s="77">
        <v>0.45833333333333331</v>
      </c>
      <c r="V1445">
        <v>57.019999999999996</v>
      </c>
      <c r="X1445" s="42"/>
      <c r="AB1445">
        <v>38.299999999999997</v>
      </c>
      <c r="AC1445">
        <v>50</v>
      </c>
      <c r="AE1445" s="74"/>
      <c r="AF1445" s="77"/>
      <c r="AH1445" s="497">
        <v>42.8</v>
      </c>
      <c r="AJ1445" s="42"/>
      <c r="AK1445" s="74"/>
      <c r="AL1445" s="77"/>
      <c r="AN1445" s="497">
        <v>28.94</v>
      </c>
      <c r="AP1445" s="42"/>
      <c r="AQ1445" s="74"/>
      <c r="AR1445" s="77"/>
      <c r="AT1445" s="497">
        <v>37.94</v>
      </c>
      <c r="AV1445" s="42"/>
      <c r="AW1445" s="74"/>
      <c r="AX1445" s="77"/>
      <c r="BA1445" s="497">
        <v>28.04</v>
      </c>
      <c r="BB1445" s="42"/>
      <c r="BC1445" s="74"/>
      <c r="BD1445" s="77"/>
      <c r="BF1445">
        <v>26.96</v>
      </c>
      <c r="BH1445" s="42"/>
      <c r="BI1445" s="74"/>
      <c r="BJ1445" s="77"/>
      <c r="BL1445" s="497">
        <v>24.98</v>
      </c>
      <c r="BN1445" s="42"/>
      <c r="BO1445" s="74"/>
      <c r="BP1445" s="77"/>
      <c r="BR1445" s="497">
        <v>42.980000000000004</v>
      </c>
      <c r="BT1445" s="42"/>
    </row>
    <row r="1446" spans="1:72" x14ac:dyDescent="0.25">
      <c r="A1446" s="90">
        <v>38047</v>
      </c>
      <c r="B1446" s="20">
        <v>0.5</v>
      </c>
      <c r="D1446">
        <v>41</v>
      </c>
      <c r="E1446" t="str">
        <f t="shared" si="80"/>
        <v>WEEKDAY</v>
      </c>
      <c r="F1446" t="e">
        <f t="shared" si="79"/>
        <v>#N/A</v>
      </c>
      <c r="G1446" s="74">
        <v>32933</v>
      </c>
      <c r="H1446" s="77">
        <v>0.5</v>
      </c>
      <c r="J1446">
        <v>33.979999999999997</v>
      </c>
      <c r="M1446" s="74">
        <v>36586</v>
      </c>
      <c r="N1446" s="77">
        <v>0.5</v>
      </c>
      <c r="P1446">
        <v>46.4</v>
      </c>
      <c r="S1446" s="74">
        <v>38047</v>
      </c>
      <c r="T1446" s="77">
        <v>0.5</v>
      </c>
      <c r="V1446">
        <v>57.019999999999996</v>
      </c>
      <c r="X1446" s="42"/>
      <c r="AB1446">
        <v>39.6</v>
      </c>
      <c r="AC1446">
        <v>53.06</v>
      </c>
      <c r="AE1446" s="74"/>
      <c r="AF1446" s="77"/>
      <c r="AH1446" s="497">
        <v>46.4</v>
      </c>
      <c r="AJ1446" s="42"/>
      <c r="AK1446" s="74"/>
      <c r="AL1446" s="77"/>
      <c r="AN1446" s="497">
        <v>32</v>
      </c>
      <c r="AP1446" s="42"/>
      <c r="AQ1446" s="74"/>
      <c r="AR1446" s="77"/>
      <c r="AT1446" s="497">
        <v>37.94</v>
      </c>
      <c r="AV1446" s="42"/>
      <c r="AW1446" s="74"/>
      <c r="AX1446" s="77"/>
      <c r="BA1446" s="497">
        <v>30.02</v>
      </c>
      <c r="BB1446" s="42"/>
      <c r="BC1446" s="74"/>
      <c r="BD1446" s="77"/>
      <c r="BF1446">
        <v>28.04</v>
      </c>
      <c r="BH1446" s="42"/>
      <c r="BI1446" s="74"/>
      <c r="BJ1446" s="77"/>
      <c r="BL1446" s="497">
        <v>26.060000000000002</v>
      </c>
      <c r="BN1446" s="42"/>
      <c r="BO1446" s="74"/>
      <c r="BP1446" s="77"/>
      <c r="BR1446" s="497">
        <v>46.04</v>
      </c>
      <c r="BT1446" s="42"/>
    </row>
    <row r="1447" spans="1:72" x14ac:dyDescent="0.25">
      <c r="A1447" s="90">
        <v>38047</v>
      </c>
      <c r="B1447" s="20">
        <v>0.54166666666666663</v>
      </c>
      <c r="D1447">
        <v>42.08</v>
      </c>
      <c r="E1447" t="str">
        <f t="shared" si="80"/>
        <v>WEEKDAY</v>
      </c>
      <c r="F1447" t="e">
        <f t="shared" si="79"/>
        <v>#N/A</v>
      </c>
      <c r="G1447" s="74">
        <v>32933</v>
      </c>
      <c r="H1447" s="77">
        <v>0.54166666666666663</v>
      </c>
      <c r="J1447">
        <v>35.96</v>
      </c>
      <c r="M1447" s="74">
        <v>36586</v>
      </c>
      <c r="N1447" s="77">
        <v>0.54166666666666663</v>
      </c>
      <c r="P1447">
        <v>48.2</v>
      </c>
      <c r="S1447" s="74">
        <v>38047</v>
      </c>
      <c r="T1447" s="77">
        <v>0.54166666666666663</v>
      </c>
      <c r="V1447">
        <v>57.019999999999996</v>
      </c>
      <c r="X1447" s="42"/>
      <c r="AB1447">
        <v>40.700000000000003</v>
      </c>
      <c r="AC1447">
        <v>53.96</v>
      </c>
      <c r="AE1447" s="74"/>
      <c r="AF1447" s="77"/>
      <c r="AH1447" s="497">
        <v>50</v>
      </c>
      <c r="AJ1447" s="42"/>
      <c r="AK1447" s="74"/>
      <c r="AL1447" s="77"/>
      <c r="AN1447" s="497">
        <v>33.08</v>
      </c>
      <c r="AP1447" s="42"/>
      <c r="AQ1447" s="74"/>
      <c r="AR1447" s="77"/>
      <c r="AT1447" s="497">
        <v>37.94</v>
      </c>
      <c r="AV1447" s="42"/>
      <c r="AW1447" s="74"/>
      <c r="AX1447" s="77"/>
      <c r="BA1447" s="497">
        <v>32</v>
      </c>
      <c r="BB1447" s="42"/>
      <c r="BC1447" s="74"/>
      <c r="BD1447" s="77"/>
      <c r="BF1447">
        <v>30.92</v>
      </c>
      <c r="BH1447" s="42"/>
      <c r="BI1447" s="74"/>
      <c r="BJ1447" s="77"/>
      <c r="BL1447" s="497">
        <v>26.96</v>
      </c>
      <c r="BN1447" s="42"/>
      <c r="BO1447" s="74"/>
      <c r="BP1447" s="77"/>
      <c r="BR1447" s="497">
        <v>48.019999999999996</v>
      </c>
      <c r="BT1447" s="42"/>
    </row>
    <row r="1448" spans="1:72" x14ac:dyDescent="0.25">
      <c r="A1448" s="90">
        <v>38047</v>
      </c>
      <c r="B1448" s="20">
        <v>0.58333333333333337</v>
      </c>
      <c r="D1448">
        <v>42.08</v>
      </c>
      <c r="E1448" t="str">
        <f t="shared" si="80"/>
        <v>WEEKDAY</v>
      </c>
      <c r="F1448" t="e">
        <f t="shared" si="79"/>
        <v>#N/A</v>
      </c>
      <c r="G1448" s="74">
        <v>32933</v>
      </c>
      <c r="H1448" s="77">
        <v>0.58333333333333337</v>
      </c>
      <c r="J1448">
        <v>37.94</v>
      </c>
      <c r="M1448" s="74">
        <v>36586</v>
      </c>
      <c r="N1448" s="77">
        <v>0.58333333333333337</v>
      </c>
      <c r="P1448">
        <v>46.4</v>
      </c>
      <c r="S1448" s="74">
        <v>38047</v>
      </c>
      <c r="T1448" s="77">
        <v>0.58333333333333337</v>
      </c>
      <c r="V1448">
        <v>57.019999999999996</v>
      </c>
      <c r="X1448" s="42"/>
      <c r="AB1448">
        <v>41.5</v>
      </c>
      <c r="AC1448">
        <v>55.040000000000006</v>
      </c>
      <c r="AE1448" s="74"/>
      <c r="AF1448" s="77"/>
      <c r="AH1448" s="497">
        <v>51.8</v>
      </c>
      <c r="AJ1448" s="42"/>
      <c r="AK1448" s="74"/>
      <c r="AL1448" s="77"/>
      <c r="AN1448" s="497">
        <v>33.979999999999997</v>
      </c>
      <c r="AP1448" s="42"/>
      <c r="AQ1448" s="74"/>
      <c r="AR1448" s="77"/>
      <c r="AT1448" s="497">
        <v>37.58</v>
      </c>
      <c r="AV1448" s="42"/>
      <c r="AW1448" s="74"/>
      <c r="AX1448" s="77"/>
      <c r="BA1448" s="497">
        <v>35.06</v>
      </c>
      <c r="BB1448" s="42"/>
      <c r="BC1448" s="74"/>
      <c r="BD1448" s="77"/>
      <c r="BF1448">
        <v>32</v>
      </c>
      <c r="BH1448" s="42"/>
      <c r="BI1448" s="74"/>
      <c r="BJ1448" s="77"/>
      <c r="BL1448" s="497">
        <v>28.04</v>
      </c>
      <c r="BN1448" s="42"/>
      <c r="BO1448" s="74"/>
      <c r="BP1448" s="77"/>
      <c r="BR1448" s="497">
        <v>48.019999999999996</v>
      </c>
      <c r="BT1448" s="42"/>
    </row>
    <row r="1449" spans="1:72" x14ac:dyDescent="0.25">
      <c r="A1449" s="90">
        <v>38047</v>
      </c>
      <c r="B1449" s="20">
        <v>0.625</v>
      </c>
      <c r="D1449">
        <v>42.08</v>
      </c>
      <c r="E1449" t="str">
        <f t="shared" si="80"/>
        <v>WEEKDAY</v>
      </c>
      <c r="F1449" t="e">
        <f t="shared" si="79"/>
        <v>#N/A</v>
      </c>
      <c r="G1449" s="74">
        <v>32933</v>
      </c>
      <c r="H1449" s="77">
        <v>0.625</v>
      </c>
      <c r="J1449">
        <v>39.92</v>
      </c>
      <c r="M1449" s="74">
        <v>36586</v>
      </c>
      <c r="N1449" s="77">
        <v>0.625</v>
      </c>
      <c r="P1449">
        <v>46.4</v>
      </c>
      <c r="S1449" s="74">
        <v>38047</v>
      </c>
      <c r="T1449" s="77">
        <v>0.625</v>
      </c>
      <c r="V1449">
        <v>53.96</v>
      </c>
      <c r="X1449" s="42"/>
      <c r="AB1449">
        <v>42.1</v>
      </c>
      <c r="AC1449">
        <v>51.980000000000004</v>
      </c>
      <c r="AE1449" s="74"/>
      <c r="AF1449" s="77"/>
      <c r="AH1449" s="497">
        <v>51.8</v>
      </c>
      <c r="AJ1449" s="42"/>
      <c r="AK1449" s="74"/>
      <c r="AL1449" s="77"/>
      <c r="AN1449" s="497">
        <v>33.979999999999997</v>
      </c>
      <c r="AP1449" s="42"/>
      <c r="AQ1449" s="74"/>
      <c r="AR1449" s="77"/>
      <c r="AT1449" s="497">
        <v>37.4</v>
      </c>
      <c r="AV1449" s="42"/>
      <c r="AW1449" s="74"/>
      <c r="AX1449" s="77"/>
      <c r="BA1449" s="497">
        <v>37.04</v>
      </c>
      <c r="BB1449" s="42"/>
      <c r="BC1449" s="74"/>
      <c r="BD1449" s="77"/>
      <c r="BF1449">
        <v>33.08</v>
      </c>
      <c r="BH1449" s="42"/>
      <c r="BI1449" s="74"/>
      <c r="BJ1449" s="77"/>
      <c r="BL1449" s="497">
        <v>26.96</v>
      </c>
      <c r="BN1449" s="42"/>
      <c r="BO1449" s="74"/>
      <c r="BP1449" s="77"/>
      <c r="BR1449" s="497">
        <v>48.019999999999996</v>
      </c>
      <c r="BT1449" s="42"/>
    </row>
    <row r="1450" spans="1:72" x14ac:dyDescent="0.25">
      <c r="A1450" s="90">
        <v>38047</v>
      </c>
      <c r="B1450" s="20">
        <v>0.66666666666666663</v>
      </c>
      <c r="D1450">
        <v>42.08</v>
      </c>
      <c r="E1450" t="str">
        <f t="shared" si="80"/>
        <v>WEEKDAY</v>
      </c>
      <c r="F1450" t="e">
        <f t="shared" si="79"/>
        <v>#N/A</v>
      </c>
      <c r="G1450" s="74">
        <v>32933</v>
      </c>
      <c r="H1450" s="77">
        <v>0.66666666666666663</v>
      </c>
      <c r="J1450">
        <v>39.92</v>
      </c>
      <c r="M1450" s="74">
        <v>36586</v>
      </c>
      <c r="N1450" s="77">
        <v>0.66666666666666663</v>
      </c>
      <c r="P1450">
        <v>44.6</v>
      </c>
      <c r="S1450" s="74">
        <v>38047</v>
      </c>
      <c r="T1450" s="77">
        <v>0.66666666666666663</v>
      </c>
      <c r="V1450">
        <v>51.980000000000004</v>
      </c>
      <c r="X1450" s="42"/>
      <c r="AB1450">
        <v>42.2</v>
      </c>
      <c r="AC1450">
        <v>51.980000000000004</v>
      </c>
      <c r="AE1450" s="74"/>
      <c r="AF1450" s="77"/>
      <c r="AH1450" s="497">
        <v>50</v>
      </c>
      <c r="AJ1450" s="42"/>
      <c r="AK1450" s="74"/>
      <c r="AL1450" s="77"/>
      <c r="AN1450" s="497">
        <v>35.96</v>
      </c>
      <c r="AP1450" s="42"/>
      <c r="AQ1450" s="74"/>
      <c r="AR1450" s="77"/>
      <c r="AT1450" s="497">
        <v>37.04</v>
      </c>
      <c r="AV1450" s="42"/>
      <c r="AW1450" s="74"/>
      <c r="AX1450" s="77"/>
      <c r="BA1450" s="497">
        <v>39.019999999999996</v>
      </c>
      <c r="BB1450" s="42"/>
      <c r="BC1450" s="74"/>
      <c r="BD1450" s="77"/>
      <c r="BF1450">
        <v>33.979999999999997</v>
      </c>
      <c r="BH1450" s="42"/>
      <c r="BI1450" s="74"/>
      <c r="BJ1450" s="77"/>
      <c r="BL1450" s="497">
        <v>26.96</v>
      </c>
      <c r="BN1450" s="42"/>
      <c r="BO1450" s="74"/>
      <c r="BP1450" s="77"/>
      <c r="BR1450" s="497">
        <v>48.019999999999996</v>
      </c>
      <c r="BT1450" s="42"/>
    </row>
    <row r="1451" spans="1:72" x14ac:dyDescent="0.25">
      <c r="A1451" s="90">
        <v>38047</v>
      </c>
      <c r="B1451" s="20">
        <v>0.70833333333333337</v>
      </c>
      <c r="D1451">
        <v>42.08</v>
      </c>
      <c r="E1451" t="str">
        <f t="shared" si="80"/>
        <v>WEEKDAY</v>
      </c>
      <c r="F1451" t="e">
        <f t="shared" ref="F1451:F1514" si="81">IF(E1451="WEEKDAY",VLOOKUP(B1451,$DD$19:$DG$42,2),IF(E1451="SATURDAY",VLOOKUP(B1451,$DD$19:$DG$42,3),VLOOKUP(B1451,$DD$19:$DG$42,4)))</f>
        <v>#N/A</v>
      </c>
      <c r="G1451" s="74">
        <v>32933</v>
      </c>
      <c r="H1451" s="77">
        <v>0.70833333333333337</v>
      </c>
      <c r="J1451">
        <v>39.92</v>
      </c>
      <c r="M1451" s="74">
        <v>36586</v>
      </c>
      <c r="N1451" s="77">
        <v>0.70833333333333337</v>
      </c>
      <c r="P1451">
        <v>44.06</v>
      </c>
      <c r="S1451" s="74">
        <v>38047</v>
      </c>
      <c r="T1451" s="77">
        <v>0.70833333333333337</v>
      </c>
      <c r="V1451">
        <v>50</v>
      </c>
      <c r="X1451" s="42"/>
      <c r="AB1451">
        <v>41.8</v>
      </c>
      <c r="AC1451">
        <v>48.92</v>
      </c>
      <c r="AE1451" s="74"/>
      <c r="AF1451" s="77"/>
      <c r="AH1451" s="497">
        <v>49.64</v>
      </c>
      <c r="AJ1451" s="42"/>
      <c r="AK1451" s="74"/>
      <c r="AL1451" s="77"/>
      <c r="AN1451" s="497">
        <v>35.96</v>
      </c>
      <c r="AP1451" s="42"/>
      <c r="AQ1451" s="74"/>
      <c r="AR1451" s="77"/>
      <c r="AT1451" s="497">
        <v>35.06</v>
      </c>
      <c r="AV1451" s="42"/>
      <c r="AW1451" s="74"/>
      <c r="AX1451" s="77"/>
      <c r="BA1451" s="497">
        <v>39.92</v>
      </c>
      <c r="BB1451" s="42"/>
      <c r="BC1451" s="74"/>
      <c r="BD1451" s="77"/>
      <c r="BF1451">
        <v>35.06</v>
      </c>
      <c r="BH1451" s="42"/>
      <c r="BI1451" s="74"/>
      <c r="BJ1451" s="77"/>
      <c r="BL1451" s="497">
        <v>26.060000000000002</v>
      </c>
      <c r="BN1451" s="42"/>
      <c r="BO1451" s="74"/>
      <c r="BP1451" s="77"/>
      <c r="BR1451" s="497">
        <v>48.019999999999996</v>
      </c>
      <c r="BT1451" s="42"/>
    </row>
    <row r="1452" spans="1:72" x14ac:dyDescent="0.25">
      <c r="A1452" s="90">
        <v>38047</v>
      </c>
      <c r="B1452" s="20">
        <v>0.75</v>
      </c>
      <c r="D1452">
        <v>41</v>
      </c>
      <c r="E1452" t="str">
        <f t="shared" si="80"/>
        <v>WEEKDAY</v>
      </c>
      <c r="F1452" t="e">
        <f t="shared" si="81"/>
        <v>#N/A</v>
      </c>
      <c r="G1452" s="74">
        <v>32933</v>
      </c>
      <c r="H1452" s="77">
        <v>0.75</v>
      </c>
      <c r="J1452">
        <v>39.92</v>
      </c>
      <c r="M1452" s="74">
        <v>36586</v>
      </c>
      <c r="N1452" s="77">
        <v>0.75</v>
      </c>
      <c r="P1452">
        <v>42.8</v>
      </c>
      <c r="S1452" s="74">
        <v>38047</v>
      </c>
      <c r="T1452" s="77">
        <v>0.75</v>
      </c>
      <c r="V1452">
        <v>48.019999999999996</v>
      </c>
      <c r="X1452" s="42"/>
      <c r="AB1452">
        <v>40.9</v>
      </c>
      <c r="AC1452">
        <v>48.019999999999996</v>
      </c>
      <c r="AE1452" s="74"/>
      <c r="AF1452" s="77"/>
      <c r="AH1452" s="497">
        <v>48.2</v>
      </c>
      <c r="AJ1452" s="42"/>
      <c r="AK1452" s="74"/>
      <c r="AL1452" s="77"/>
      <c r="AN1452" s="497">
        <v>33.08</v>
      </c>
      <c r="AP1452" s="42"/>
      <c r="AQ1452" s="74"/>
      <c r="AR1452" s="77"/>
      <c r="AT1452" s="497">
        <v>32.9</v>
      </c>
      <c r="AV1452" s="42"/>
      <c r="AW1452" s="74"/>
      <c r="AX1452" s="77"/>
      <c r="BA1452" s="497">
        <v>39.019999999999996</v>
      </c>
      <c r="BB1452" s="42"/>
      <c r="BC1452" s="74"/>
      <c r="BD1452" s="77"/>
      <c r="BF1452">
        <v>33.979999999999997</v>
      </c>
      <c r="BH1452" s="42"/>
      <c r="BI1452" s="74"/>
      <c r="BJ1452" s="77"/>
      <c r="BL1452" s="497">
        <v>24.08</v>
      </c>
      <c r="BN1452" s="42"/>
      <c r="BO1452" s="74"/>
      <c r="BP1452" s="77"/>
      <c r="BR1452" s="497">
        <v>46.04</v>
      </c>
      <c r="BT1452" s="42"/>
    </row>
    <row r="1453" spans="1:72" x14ac:dyDescent="0.25">
      <c r="A1453" s="90">
        <v>38047</v>
      </c>
      <c r="B1453" s="20">
        <v>0.79166666666666663</v>
      </c>
      <c r="D1453">
        <v>41</v>
      </c>
      <c r="E1453" t="str">
        <f t="shared" si="80"/>
        <v>WEEKDAY</v>
      </c>
      <c r="F1453" t="e">
        <f t="shared" si="81"/>
        <v>#N/A</v>
      </c>
      <c r="G1453" s="74">
        <v>32933</v>
      </c>
      <c r="H1453" s="77">
        <v>0.79166666666666663</v>
      </c>
      <c r="J1453">
        <v>39.019999999999996</v>
      </c>
      <c r="M1453" s="74">
        <v>36586</v>
      </c>
      <c r="N1453" s="77">
        <v>0.79166666666666663</v>
      </c>
      <c r="P1453">
        <v>42.8</v>
      </c>
      <c r="S1453" s="74">
        <v>38047</v>
      </c>
      <c r="T1453" s="77">
        <v>0.79166666666666663</v>
      </c>
      <c r="V1453">
        <v>44.96</v>
      </c>
      <c r="X1453" s="42"/>
      <c r="AB1453">
        <v>39.6</v>
      </c>
      <c r="AC1453">
        <v>46.94</v>
      </c>
      <c r="AE1453" s="74"/>
      <c r="AF1453" s="77"/>
      <c r="AH1453" s="497">
        <v>42.8</v>
      </c>
      <c r="AJ1453" s="42"/>
      <c r="AK1453" s="74"/>
      <c r="AL1453" s="77"/>
      <c r="AN1453" s="497">
        <v>32</v>
      </c>
      <c r="AP1453" s="42"/>
      <c r="AQ1453" s="74"/>
      <c r="AR1453" s="77"/>
      <c r="AT1453" s="497">
        <v>30.92</v>
      </c>
      <c r="AV1453" s="42"/>
      <c r="AW1453" s="74"/>
      <c r="AX1453" s="77"/>
      <c r="BA1453" s="497">
        <v>37.04</v>
      </c>
      <c r="BB1453" s="42"/>
      <c r="BC1453" s="74"/>
      <c r="BD1453" s="77"/>
      <c r="BF1453">
        <v>32</v>
      </c>
      <c r="BH1453" s="42"/>
      <c r="BI1453" s="74"/>
      <c r="BJ1453" s="77"/>
      <c r="BL1453" s="497">
        <v>21.92</v>
      </c>
      <c r="BN1453" s="42"/>
      <c r="BO1453" s="74"/>
      <c r="BP1453" s="77"/>
      <c r="BR1453" s="497">
        <v>44.96</v>
      </c>
      <c r="BT1453" s="42"/>
    </row>
    <row r="1454" spans="1:72" x14ac:dyDescent="0.25">
      <c r="A1454" s="90">
        <v>38047</v>
      </c>
      <c r="B1454" s="20">
        <v>0.83333333333333337</v>
      </c>
      <c r="D1454">
        <v>39.92</v>
      </c>
      <c r="E1454" t="str">
        <f t="shared" si="80"/>
        <v>WEEKDAY</v>
      </c>
      <c r="F1454" t="e">
        <f t="shared" si="81"/>
        <v>#N/A</v>
      </c>
      <c r="G1454" s="74">
        <v>32933</v>
      </c>
      <c r="H1454" s="77">
        <v>0.83333333333333337</v>
      </c>
      <c r="J1454">
        <v>39.019999999999996</v>
      </c>
      <c r="M1454" s="74">
        <v>36586</v>
      </c>
      <c r="N1454" s="77">
        <v>0.83333333333333337</v>
      </c>
      <c r="P1454">
        <v>41</v>
      </c>
      <c r="S1454" s="74">
        <v>38047</v>
      </c>
      <c r="T1454" s="77">
        <v>0.83333333333333337</v>
      </c>
      <c r="V1454">
        <v>44.06</v>
      </c>
      <c r="X1454" s="42"/>
      <c r="AB1454">
        <v>39</v>
      </c>
      <c r="AC1454">
        <v>46.94</v>
      </c>
      <c r="AE1454" s="74"/>
      <c r="AF1454" s="77"/>
      <c r="AH1454" s="497">
        <v>42.8</v>
      </c>
      <c r="AJ1454" s="42"/>
      <c r="AK1454" s="74"/>
      <c r="AL1454" s="77"/>
      <c r="AN1454" s="497">
        <v>33.08</v>
      </c>
      <c r="AP1454" s="42"/>
      <c r="AQ1454" s="74"/>
      <c r="AR1454" s="77"/>
      <c r="AT1454" s="497">
        <v>30.02</v>
      </c>
      <c r="AV1454" s="42"/>
      <c r="AW1454" s="74"/>
      <c r="AX1454" s="77"/>
      <c r="BA1454" s="497">
        <v>37.94</v>
      </c>
      <c r="BB1454" s="42"/>
      <c r="BC1454" s="74"/>
      <c r="BD1454" s="77"/>
      <c r="BF1454">
        <v>32</v>
      </c>
      <c r="BH1454" s="42"/>
      <c r="BI1454" s="74"/>
      <c r="BJ1454" s="77"/>
      <c r="BL1454" s="497">
        <v>23</v>
      </c>
      <c r="BN1454" s="42"/>
      <c r="BO1454" s="74"/>
      <c r="BP1454" s="77"/>
      <c r="BR1454" s="497">
        <v>42.980000000000004</v>
      </c>
      <c r="BT1454" s="42"/>
    </row>
    <row r="1455" spans="1:72" x14ac:dyDescent="0.25">
      <c r="A1455" s="90">
        <v>38047</v>
      </c>
      <c r="B1455" s="20">
        <v>0.875</v>
      </c>
      <c r="D1455">
        <v>39.019999999999996</v>
      </c>
      <c r="E1455" t="str">
        <f t="shared" si="80"/>
        <v>WEEKDAY</v>
      </c>
      <c r="F1455" t="e">
        <f t="shared" si="81"/>
        <v>#N/A</v>
      </c>
      <c r="G1455" s="74">
        <v>32933</v>
      </c>
      <c r="H1455" s="77">
        <v>0.875</v>
      </c>
      <c r="J1455">
        <v>37.94</v>
      </c>
      <c r="M1455" s="74">
        <v>36586</v>
      </c>
      <c r="N1455" s="77">
        <v>0.875</v>
      </c>
      <c r="P1455">
        <v>39.200000000000003</v>
      </c>
      <c r="S1455" s="74">
        <v>38047</v>
      </c>
      <c r="T1455" s="77">
        <v>0.875</v>
      </c>
      <c r="V1455">
        <v>42.08</v>
      </c>
      <c r="X1455" s="42"/>
      <c r="AB1455">
        <v>38.4</v>
      </c>
      <c r="AC1455">
        <v>46.04</v>
      </c>
      <c r="AE1455" s="74"/>
      <c r="AF1455" s="77"/>
      <c r="AH1455" s="497">
        <v>41</v>
      </c>
      <c r="AJ1455" s="42"/>
      <c r="AK1455" s="74"/>
      <c r="AL1455" s="77"/>
      <c r="AN1455" s="497">
        <v>33.08</v>
      </c>
      <c r="AP1455" s="42"/>
      <c r="AQ1455" s="74"/>
      <c r="AR1455" s="77"/>
      <c r="AT1455" s="497">
        <v>28.94</v>
      </c>
      <c r="AV1455" s="42"/>
      <c r="AW1455" s="74"/>
      <c r="AX1455" s="77"/>
      <c r="BA1455" s="497">
        <v>39.019999999999996</v>
      </c>
      <c r="BB1455" s="42"/>
      <c r="BC1455" s="74"/>
      <c r="BD1455" s="77"/>
      <c r="BF1455">
        <v>30.92</v>
      </c>
      <c r="BH1455" s="42"/>
      <c r="BI1455" s="74"/>
      <c r="BJ1455" s="77"/>
      <c r="BL1455" s="497">
        <v>21.92</v>
      </c>
      <c r="BN1455" s="42"/>
      <c r="BO1455" s="74"/>
      <c r="BP1455" s="77"/>
      <c r="BR1455" s="497">
        <v>42.08</v>
      </c>
      <c r="BT1455" s="42"/>
    </row>
    <row r="1456" spans="1:72" x14ac:dyDescent="0.25">
      <c r="A1456" s="90">
        <v>38047</v>
      </c>
      <c r="B1456" s="20">
        <v>0.91666666666666663</v>
      </c>
      <c r="D1456">
        <v>39.019999999999996</v>
      </c>
      <c r="E1456" t="str">
        <f t="shared" si="80"/>
        <v>WEEKDAY</v>
      </c>
      <c r="F1456" t="e">
        <f t="shared" si="81"/>
        <v>#N/A</v>
      </c>
      <c r="G1456" s="74">
        <v>32933</v>
      </c>
      <c r="H1456" s="77">
        <v>0.91666666666666663</v>
      </c>
      <c r="J1456">
        <v>37.04</v>
      </c>
      <c r="M1456" s="74">
        <v>36586</v>
      </c>
      <c r="N1456" s="77">
        <v>0.91666666666666663</v>
      </c>
      <c r="P1456">
        <v>41</v>
      </c>
      <c r="S1456" s="74">
        <v>38047</v>
      </c>
      <c r="T1456" s="77">
        <v>0.91666666666666663</v>
      </c>
      <c r="V1456">
        <v>42.08</v>
      </c>
      <c r="X1456" s="42"/>
      <c r="AB1456">
        <v>37.700000000000003</v>
      </c>
      <c r="AC1456">
        <v>46.04</v>
      </c>
      <c r="AE1456" s="74"/>
      <c r="AF1456" s="77"/>
      <c r="AH1456" s="497">
        <v>39.200000000000003</v>
      </c>
      <c r="AJ1456" s="42"/>
      <c r="AK1456" s="74"/>
      <c r="AL1456" s="77"/>
      <c r="AN1456" s="497">
        <v>26.96</v>
      </c>
      <c r="AP1456" s="42"/>
      <c r="AQ1456" s="74"/>
      <c r="AR1456" s="77"/>
      <c r="AT1456" s="497">
        <v>28.04</v>
      </c>
      <c r="AV1456" s="42"/>
      <c r="AW1456" s="74"/>
      <c r="AX1456" s="77"/>
      <c r="BA1456" s="497">
        <v>37.04</v>
      </c>
      <c r="BB1456" s="42"/>
      <c r="BC1456" s="74"/>
      <c r="BD1456" s="77"/>
      <c r="BF1456">
        <v>30.02</v>
      </c>
      <c r="BH1456" s="42"/>
      <c r="BI1456" s="74"/>
      <c r="BJ1456" s="77"/>
      <c r="BL1456" s="497">
        <v>21.02</v>
      </c>
      <c r="BN1456" s="42"/>
      <c r="BO1456" s="74"/>
      <c r="BP1456" s="77"/>
      <c r="BR1456" s="497">
        <v>44.96</v>
      </c>
      <c r="BT1456" s="42"/>
    </row>
    <row r="1457" spans="1:72" x14ac:dyDescent="0.25">
      <c r="A1457" s="90">
        <v>38047</v>
      </c>
      <c r="B1457" s="20">
        <v>0.95833333333333337</v>
      </c>
      <c r="D1457">
        <v>37.04</v>
      </c>
      <c r="E1457" t="str">
        <f t="shared" si="80"/>
        <v>WEEKDAY</v>
      </c>
      <c r="F1457" t="e">
        <f t="shared" si="81"/>
        <v>#N/A</v>
      </c>
      <c r="G1457" s="74">
        <v>32933</v>
      </c>
      <c r="H1457" s="77">
        <v>0.95833333333333337</v>
      </c>
      <c r="J1457">
        <v>35.96</v>
      </c>
      <c r="M1457" s="74">
        <v>36586</v>
      </c>
      <c r="N1457" s="77">
        <v>0.95833333333333337</v>
      </c>
      <c r="P1457">
        <v>41</v>
      </c>
      <c r="S1457" s="74">
        <v>38047</v>
      </c>
      <c r="T1457" s="77">
        <v>0.95833333333333337</v>
      </c>
      <c r="V1457">
        <v>41</v>
      </c>
      <c r="X1457" s="42"/>
      <c r="AB1457">
        <v>37.1</v>
      </c>
      <c r="AC1457">
        <v>48.019999999999996</v>
      </c>
      <c r="AE1457" s="74"/>
      <c r="AF1457" s="77"/>
      <c r="AH1457" s="497">
        <v>39.200000000000003</v>
      </c>
      <c r="AJ1457" s="42"/>
      <c r="AK1457" s="74"/>
      <c r="AL1457" s="77"/>
      <c r="AN1457" s="497">
        <v>26.060000000000002</v>
      </c>
      <c r="AP1457" s="42"/>
      <c r="AQ1457" s="74"/>
      <c r="AR1457" s="77"/>
      <c r="AT1457" s="497">
        <v>26.96</v>
      </c>
      <c r="AV1457" s="42"/>
      <c r="AW1457" s="74"/>
      <c r="AX1457" s="77"/>
      <c r="BA1457" s="497">
        <v>37.94</v>
      </c>
      <c r="BB1457" s="42"/>
      <c r="BC1457" s="74"/>
      <c r="BD1457" s="77"/>
      <c r="BF1457">
        <v>33.979999999999997</v>
      </c>
      <c r="BH1457" s="42"/>
      <c r="BI1457" s="74"/>
      <c r="BJ1457" s="77"/>
      <c r="BL1457" s="497">
        <v>19.939999999999998</v>
      </c>
      <c r="BN1457" s="42"/>
      <c r="BO1457" s="74"/>
      <c r="BP1457" s="77"/>
      <c r="BR1457" s="497">
        <v>39.92</v>
      </c>
      <c r="BT1457" s="42"/>
    </row>
    <row r="1458" spans="1:72" x14ac:dyDescent="0.25">
      <c r="A1458" s="90">
        <v>38047</v>
      </c>
      <c r="B1458" s="20">
        <v>1</v>
      </c>
      <c r="D1458">
        <v>35.96</v>
      </c>
      <c r="E1458" t="str">
        <f t="shared" si="80"/>
        <v>WEEKDAY</v>
      </c>
      <c r="F1458" t="e">
        <f t="shared" si="81"/>
        <v>#N/A</v>
      </c>
      <c r="G1458" s="74">
        <v>32933</v>
      </c>
      <c r="H1458" s="77">
        <v>1</v>
      </c>
      <c r="J1458">
        <v>35.06</v>
      </c>
      <c r="M1458" s="74">
        <v>36586</v>
      </c>
      <c r="N1458" s="80">
        <v>1</v>
      </c>
      <c r="P1458">
        <v>41</v>
      </c>
      <c r="S1458" s="74">
        <v>38047</v>
      </c>
      <c r="T1458" s="80">
        <v>1</v>
      </c>
      <c r="V1458">
        <v>41</v>
      </c>
      <c r="X1458" s="42"/>
      <c r="AB1458">
        <v>36.5</v>
      </c>
      <c r="AC1458">
        <v>50</v>
      </c>
      <c r="AE1458" s="74"/>
      <c r="AF1458" s="80"/>
      <c r="AH1458" s="497">
        <v>39.200000000000003</v>
      </c>
      <c r="AJ1458" s="42"/>
      <c r="AK1458" s="74"/>
      <c r="AL1458" s="80"/>
      <c r="AN1458" s="497">
        <v>26.060000000000002</v>
      </c>
      <c r="AP1458" s="42"/>
      <c r="AQ1458" s="74"/>
      <c r="AR1458" s="80"/>
      <c r="AT1458" s="497">
        <v>26.060000000000002</v>
      </c>
      <c r="AV1458" s="42"/>
      <c r="AW1458" s="74"/>
      <c r="AX1458" s="80"/>
      <c r="BA1458" s="497">
        <v>37.04</v>
      </c>
      <c r="BB1458" s="42"/>
      <c r="BC1458" s="74"/>
      <c r="BD1458" s="80"/>
      <c r="BF1458">
        <v>35.06</v>
      </c>
      <c r="BH1458" s="42"/>
      <c r="BI1458" s="74"/>
      <c r="BJ1458" s="80"/>
      <c r="BL1458" s="497">
        <v>19.939999999999998</v>
      </c>
      <c r="BN1458" s="42"/>
      <c r="BO1458" s="74"/>
      <c r="BP1458" s="80"/>
      <c r="BR1458" s="497">
        <v>39.019999999999996</v>
      </c>
      <c r="BT1458" s="42"/>
    </row>
    <row r="1459" spans="1:72" x14ac:dyDescent="0.25">
      <c r="A1459" s="90">
        <v>38048</v>
      </c>
      <c r="B1459" s="20">
        <v>4.1666666666666664E-2</v>
      </c>
      <c r="D1459">
        <v>35.06</v>
      </c>
      <c r="E1459" t="str">
        <f t="shared" si="80"/>
        <v>WEEKDAY</v>
      </c>
      <c r="F1459" t="e">
        <f t="shared" si="81"/>
        <v>#N/A</v>
      </c>
      <c r="G1459" s="74">
        <v>32934</v>
      </c>
      <c r="H1459" s="77">
        <v>4.1666666666666664E-2</v>
      </c>
      <c r="J1459">
        <v>35.06</v>
      </c>
      <c r="M1459" s="74">
        <v>36587</v>
      </c>
      <c r="N1459" s="77">
        <v>4.1666666666666664E-2</v>
      </c>
      <c r="P1459">
        <v>39.200000000000003</v>
      </c>
      <c r="S1459" s="74">
        <v>38048</v>
      </c>
      <c r="T1459" s="77">
        <v>4.1666666666666664E-2</v>
      </c>
      <c r="V1459">
        <v>42.08</v>
      </c>
      <c r="X1459" s="42"/>
      <c r="AB1459">
        <v>36.1</v>
      </c>
      <c r="AC1459">
        <v>50</v>
      </c>
      <c r="AE1459" s="74"/>
      <c r="AF1459" s="77"/>
      <c r="AH1459" s="497">
        <v>39.200000000000003</v>
      </c>
      <c r="AJ1459" s="42"/>
      <c r="AK1459" s="74"/>
      <c r="AL1459" s="77"/>
      <c r="AN1459" s="497">
        <v>24.98</v>
      </c>
      <c r="AP1459" s="42"/>
      <c r="AQ1459" s="74"/>
      <c r="AR1459" s="77"/>
      <c r="AT1459" s="497">
        <v>24.98</v>
      </c>
      <c r="AV1459" s="42"/>
      <c r="AW1459" s="74"/>
      <c r="AX1459" s="77"/>
      <c r="BA1459" s="497">
        <v>35.06</v>
      </c>
      <c r="BB1459" s="42"/>
      <c r="BC1459" s="74"/>
      <c r="BD1459" s="77"/>
      <c r="BF1459">
        <v>35.06</v>
      </c>
      <c r="BH1459" s="42"/>
      <c r="BI1459" s="74"/>
      <c r="BJ1459" s="77"/>
      <c r="BL1459" s="497">
        <v>19.04</v>
      </c>
      <c r="BN1459" s="42"/>
      <c r="BO1459" s="74"/>
      <c r="BP1459" s="77"/>
      <c r="BR1459" s="497">
        <v>41</v>
      </c>
      <c r="BT1459" s="42"/>
    </row>
    <row r="1460" spans="1:72" x14ac:dyDescent="0.25">
      <c r="A1460" s="90">
        <v>38048</v>
      </c>
      <c r="B1460" s="20">
        <v>8.3333333333333329E-2</v>
      </c>
      <c r="D1460">
        <v>33.08</v>
      </c>
      <c r="E1460" t="str">
        <f t="shared" si="80"/>
        <v>WEEKDAY</v>
      </c>
      <c r="F1460" t="e">
        <f t="shared" si="81"/>
        <v>#N/A</v>
      </c>
      <c r="G1460" s="74">
        <v>32934</v>
      </c>
      <c r="H1460" s="77">
        <v>8.3333333333333329E-2</v>
      </c>
      <c r="J1460">
        <v>33.979999999999997</v>
      </c>
      <c r="M1460" s="74">
        <v>36587</v>
      </c>
      <c r="N1460" s="77">
        <v>8.3333333333333329E-2</v>
      </c>
      <c r="P1460">
        <v>39.200000000000003</v>
      </c>
      <c r="S1460" s="74">
        <v>38048</v>
      </c>
      <c r="T1460" s="77">
        <v>8.3333333333333329E-2</v>
      </c>
      <c r="V1460">
        <v>42.08</v>
      </c>
      <c r="X1460" s="42"/>
      <c r="AB1460">
        <v>35.5</v>
      </c>
      <c r="AC1460">
        <v>50</v>
      </c>
      <c r="AE1460" s="74"/>
      <c r="AF1460" s="77"/>
      <c r="AH1460" s="497">
        <v>37.4</v>
      </c>
      <c r="AJ1460" s="42"/>
      <c r="AK1460" s="74"/>
      <c r="AL1460" s="77"/>
      <c r="AN1460" s="497">
        <v>24.08</v>
      </c>
      <c r="AP1460" s="42"/>
      <c r="AQ1460" s="74"/>
      <c r="AR1460" s="77"/>
      <c r="AT1460" s="497">
        <v>23.72</v>
      </c>
      <c r="AV1460" s="42"/>
      <c r="AW1460" s="74"/>
      <c r="AX1460" s="77"/>
      <c r="BA1460" s="497">
        <v>35.06</v>
      </c>
      <c r="BB1460" s="42"/>
      <c r="BC1460" s="74"/>
      <c r="BD1460" s="77"/>
      <c r="BF1460">
        <v>33.979999999999997</v>
      </c>
      <c r="BH1460" s="42"/>
      <c r="BI1460" s="74"/>
      <c r="BJ1460" s="77"/>
      <c r="BL1460" s="497">
        <v>19.04</v>
      </c>
      <c r="BN1460" s="42"/>
      <c r="BO1460" s="74"/>
      <c r="BP1460" s="77"/>
      <c r="BR1460" s="497">
        <v>41</v>
      </c>
      <c r="BT1460" s="42"/>
    </row>
    <row r="1461" spans="1:72" x14ac:dyDescent="0.25">
      <c r="A1461" s="90">
        <v>38048</v>
      </c>
      <c r="B1461" s="20">
        <v>0.125</v>
      </c>
      <c r="D1461">
        <v>32</v>
      </c>
      <c r="E1461" t="str">
        <f t="shared" si="80"/>
        <v>WEEKDAY</v>
      </c>
      <c r="F1461" t="e">
        <f t="shared" si="81"/>
        <v>#N/A</v>
      </c>
      <c r="G1461" s="74">
        <v>32934</v>
      </c>
      <c r="H1461" s="77">
        <v>0.125</v>
      </c>
      <c r="J1461">
        <v>33.979999999999997</v>
      </c>
      <c r="M1461" s="74">
        <v>36587</v>
      </c>
      <c r="N1461" s="77">
        <v>0.125</v>
      </c>
      <c r="P1461">
        <v>42.8</v>
      </c>
      <c r="S1461" s="74">
        <v>38048</v>
      </c>
      <c r="T1461" s="77">
        <v>0.125</v>
      </c>
      <c r="V1461">
        <v>42.08</v>
      </c>
      <c r="X1461" s="42"/>
      <c r="AB1461">
        <v>34.9</v>
      </c>
      <c r="AC1461">
        <v>50</v>
      </c>
      <c r="AE1461" s="74"/>
      <c r="AF1461" s="77"/>
      <c r="AH1461" s="497">
        <v>42.8</v>
      </c>
      <c r="AJ1461" s="42"/>
      <c r="AK1461" s="74"/>
      <c r="AL1461" s="77"/>
      <c r="AN1461" s="497">
        <v>23</v>
      </c>
      <c r="AP1461" s="42"/>
      <c r="AQ1461" s="74"/>
      <c r="AR1461" s="77"/>
      <c r="AT1461" s="497">
        <v>22.28</v>
      </c>
      <c r="AV1461" s="42"/>
      <c r="AW1461" s="74"/>
      <c r="AX1461" s="77"/>
      <c r="BA1461" s="497">
        <v>35.06</v>
      </c>
      <c r="BB1461" s="42"/>
      <c r="BC1461" s="74"/>
      <c r="BD1461" s="77"/>
      <c r="BF1461">
        <v>33.979999999999997</v>
      </c>
      <c r="BH1461" s="42"/>
      <c r="BI1461" s="74"/>
      <c r="BJ1461" s="77"/>
      <c r="BL1461" s="497">
        <v>21.92</v>
      </c>
      <c r="BN1461" s="42"/>
      <c r="BO1461" s="74"/>
      <c r="BP1461" s="77"/>
      <c r="BR1461" s="497">
        <v>39.92</v>
      </c>
      <c r="BT1461" s="42"/>
    </row>
    <row r="1462" spans="1:72" x14ac:dyDescent="0.25">
      <c r="A1462" s="90">
        <v>38048</v>
      </c>
      <c r="B1462" s="20">
        <v>0.16666666666666666</v>
      </c>
      <c r="D1462">
        <v>30.92</v>
      </c>
      <c r="E1462" t="str">
        <f t="shared" si="80"/>
        <v>WEEKDAY</v>
      </c>
      <c r="F1462" t="e">
        <f t="shared" si="81"/>
        <v>#N/A</v>
      </c>
      <c r="G1462" s="74">
        <v>32934</v>
      </c>
      <c r="H1462" s="77">
        <v>0.16666666666666666</v>
      </c>
      <c r="J1462">
        <v>33.979999999999997</v>
      </c>
      <c r="M1462" s="74">
        <v>36587</v>
      </c>
      <c r="N1462" s="77">
        <v>0.16666666666666666</v>
      </c>
      <c r="P1462">
        <v>42.8</v>
      </c>
      <c r="S1462" s="74">
        <v>38048</v>
      </c>
      <c r="T1462" s="77">
        <v>0.16666666666666666</v>
      </c>
      <c r="V1462">
        <v>42.980000000000004</v>
      </c>
      <c r="X1462" s="42"/>
      <c r="AB1462">
        <v>34.5</v>
      </c>
      <c r="AC1462">
        <v>53.06</v>
      </c>
      <c r="AE1462" s="74"/>
      <c r="AF1462" s="77"/>
      <c r="AH1462" s="497">
        <v>41</v>
      </c>
      <c r="AJ1462" s="42"/>
      <c r="AK1462" s="74"/>
      <c r="AL1462" s="77"/>
      <c r="AN1462" s="497">
        <v>21.92</v>
      </c>
      <c r="AP1462" s="42"/>
      <c r="AQ1462" s="74"/>
      <c r="AR1462" s="77"/>
      <c r="AT1462" s="497">
        <v>21.02</v>
      </c>
      <c r="AV1462" s="42"/>
      <c r="AW1462" s="74"/>
      <c r="AX1462" s="77"/>
      <c r="BA1462" s="497">
        <v>33.979999999999997</v>
      </c>
      <c r="BB1462" s="42"/>
      <c r="BC1462" s="74"/>
      <c r="BD1462" s="77"/>
      <c r="BF1462">
        <v>33.979999999999997</v>
      </c>
      <c r="BH1462" s="42"/>
      <c r="BI1462" s="74"/>
      <c r="BJ1462" s="77"/>
      <c r="BL1462" s="497">
        <v>21.92</v>
      </c>
      <c r="BN1462" s="42"/>
      <c r="BO1462" s="74"/>
      <c r="BP1462" s="77"/>
      <c r="BR1462" s="497">
        <v>39.019999999999996</v>
      </c>
      <c r="BT1462" s="42"/>
    </row>
    <row r="1463" spans="1:72" x14ac:dyDescent="0.25">
      <c r="A1463" s="90">
        <v>38048</v>
      </c>
      <c r="B1463" s="20">
        <v>0.20833333333333334</v>
      </c>
      <c r="D1463">
        <v>30.92</v>
      </c>
      <c r="E1463" t="str">
        <f t="shared" si="80"/>
        <v>WEEKDAY</v>
      </c>
      <c r="F1463" t="e">
        <f t="shared" si="81"/>
        <v>#N/A</v>
      </c>
      <c r="G1463" s="74">
        <v>32934</v>
      </c>
      <c r="H1463" s="77">
        <v>0.20833333333333334</v>
      </c>
      <c r="J1463">
        <v>33.08</v>
      </c>
      <c r="M1463" s="74">
        <v>36587</v>
      </c>
      <c r="N1463" s="77">
        <v>0.20833333333333334</v>
      </c>
      <c r="P1463">
        <v>42.8</v>
      </c>
      <c r="S1463" s="74">
        <v>38048</v>
      </c>
      <c r="T1463" s="77">
        <v>0.20833333333333334</v>
      </c>
      <c r="V1463">
        <v>42.980000000000004</v>
      </c>
      <c r="X1463" s="42"/>
      <c r="AB1463">
        <v>34</v>
      </c>
      <c r="AC1463">
        <v>51.980000000000004</v>
      </c>
      <c r="AE1463" s="74"/>
      <c r="AF1463" s="77"/>
      <c r="AH1463" s="497">
        <v>42.8</v>
      </c>
      <c r="AJ1463" s="42"/>
      <c r="AK1463" s="74"/>
      <c r="AL1463" s="77"/>
      <c r="AN1463" s="497">
        <v>21.02</v>
      </c>
      <c r="AP1463" s="42"/>
      <c r="AQ1463" s="74"/>
      <c r="AR1463" s="77"/>
      <c r="AT1463" s="497">
        <v>19.939999999999998</v>
      </c>
      <c r="AV1463" s="42"/>
      <c r="AW1463" s="74"/>
      <c r="AX1463" s="77"/>
      <c r="BA1463" s="497">
        <v>33.08</v>
      </c>
      <c r="BB1463" s="42"/>
      <c r="BC1463" s="74"/>
      <c r="BD1463" s="77"/>
      <c r="BF1463">
        <v>33.979999999999997</v>
      </c>
      <c r="BH1463" s="42"/>
      <c r="BI1463" s="74"/>
      <c r="BJ1463" s="77"/>
      <c r="BL1463" s="497">
        <v>23</v>
      </c>
      <c r="BN1463" s="42"/>
      <c r="BO1463" s="74"/>
      <c r="BP1463" s="77"/>
      <c r="BR1463" s="497">
        <v>37.94</v>
      </c>
      <c r="BT1463" s="42"/>
    </row>
    <row r="1464" spans="1:72" x14ac:dyDescent="0.25">
      <c r="A1464" s="90">
        <v>38048</v>
      </c>
      <c r="B1464" s="20">
        <v>0.25</v>
      </c>
      <c r="D1464">
        <v>30.02</v>
      </c>
      <c r="E1464" t="str">
        <f t="shared" si="80"/>
        <v>WEEKDAY</v>
      </c>
      <c r="F1464" t="e">
        <f t="shared" si="81"/>
        <v>#N/A</v>
      </c>
      <c r="G1464" s="74">
        <v>32934</v>
      </c>
      <c r="H1464" s="77">
        <v>0.25</v>
      </c>
      <c r="J1464">
        <v>33.08</v>
      </c>
      <c r="M1464" s="74">
        <v>36587</v>
      </c>
      <c r="N1464" s="77">
        <v>0.25</v>
      </c>
      <c r="P1464">
        <v>41</v>
      </c>
      <c r="S1464" s="74">
        <v>38048</v>
      </c>
      <c r="T1464" s="77">
        <v>0.25</v>
      </c>
      <c r="V1464">
        <v>42.980000000000004</v>
      </c>
      <c r="X1464" s="42"/>
      <c r="AB1464">
        <v>33.700000000000003</v>
      </c>
      <c r="AC1464">
        <v>51.980000000000004</v>
      </c>
      <c r="AE1464" s="74"/>
      <c r="AF1464" s="77"/>
      <c r="AH1464" s="497">
        <v>39.200000000000003</v>
      </c>
      <c r="AJ1464" s="42"/>
      <c r="AK1464" s="74"/>
      <c r="AL1464" s="77"/>
      <c r="AN1464" s="497">
        <v>21.02</v>
      </c>
      <c r="AP1464" s="42"/>
      <c r="AQ1464" s="74"/>
      <c r="AR1464" s="77"/>
      <c r="AT1464" s="497">
        <v>19.04</v>
      </c>
      <c r="AV1464" s="42"/>
      <c r="AW1464" s="74"/>
      <c r="AX1464" s="77"/>
      <c r="BA1464" s="497">
        <v>33.08</v>
      </c>
      <c r="BB1464" s="42"/>
      <c r="BC1464" s="74"/>
      <c r="BD1464" s="77"/>
      <c r="BF1464">
        <v>33.979999999999997</v>
      </c>
      <c r="BH1464" s="42"/>
      <c r="BI1464" s="74"/>
      <c r="BJ1464" s="77"/>
      <c r="BL1464" s="497">
        <v>23</v>
      </c>
      <c r="BN1464" s="42"/>
      <c r="BO1464" s="74"/>
      <c r="BP1464" s="77"/>
      <c r="BR1464" s="497">
        <v>39.019999999999996</v>
      </c>
      <c r="BT1464" s="42"/>
    </row>
    <row r="1465" spans="1:72" x14ac:dyDescent="0.25">
      <c r="A1465" s="90">
        <v>38048</v>
      </c>
      <c r="B1465" s="20">
        <v>0.29166666666666669</v>
      </c>
      <c r="D1465">
        <v>30.02</v>
      </c>
      <c r="E1465" t="str">
        <f t="shared" si="80"/>
        <v>WEEKDAY</v>
      </c>
      <c r="F1465" t="e">
        <f t="shared" si="81"/>
        <v>#N/A</v>
      </c>
      <c r="G1465" s="74">
        <v>32934</v>
      </c>
      <c r="H1465" s="77">
        <v>0.29166666666666669</v>
      </c>
      <c r="J1465">
        <v>33.979999999999997</v>
      </c>
      <c r="M1465" s="74">
        <v>36587</v>
      </c>
      <c r="N1465" s="77">
        <v>0.29166666666666669</v>
      </c>
      <c r="P1465">
        <v>41</v>
      </c>
      <c r="S1465" s="74">
        <v>38048</v>
      </c>
      <c r="T1465" s="77">
        <v>0.29166666666666669</v>
      </c>
      <c r="V1465">
        <v>42.980000000000004</v>
      </c>
      <c r="X1465" s="42"/>
      <c r="AB1465">
        <v>33.5</v>
      </c>
      <c r="AC1465">
        <v>53.06</v>
      </c>
      <c r="AE1465" s="74"/>
      <c r="AF1465" s="77"/>
      <c r="AH1465" s="497">
        <v>41</v>
      </c>
      <c r="AJ1465" s="42"/>
      <c r="AK1465" s="74"/>
      <c r="AL1465" s="77"/>
      <c r="AN1465" s="497">
        <v>21.92</v>
      </c>
      <c r="AP1465" s="42"/>
      <c r="AQ1465" s="74"/>
      <c r="AR1465" s="77"/>
      <c r="AT1465" s="497">
        <v>17.96</v>
      </c>
      <c r="AV1465" s="42"/>
      <c r="AW1465" s="74"/>
      <c r="AX1465" s="77"/>
      <c r="BA1465" s="497">
        <v>35.06</v>
      </c>
      <c r="BB1465" s="42"/>
      <c r="BC1465" s="74"/>
      <c r="BD1465" s="77"/>
      <c r="BF1465">
        <v>33.979999999999997</v>
      </c>
      <c r="BH1465" s="42"/>
      <c r="BI1465" s="74"/>
      <c r="BJ1465" s="77"/>
      <c r="BL1465" s="497">
        <v>24.08</v>
      </c>
      <c r="BN1465" s="42"/>
      <c r="BO1465" s="74"/>
      <c r="BP1465" s="77"/>
      <c r="BR1465" s="497">
        <v>37.94</v>
      </c>
      <c r="BT1465" s="42"/>
    </row>
    <row r="1466" spans="1:72" x14ac:dyDescent="0.25">
      <c r="A1466" s="90">
        <v>38048</v>
      </c>
      <c r="B1466" s="20">
        <v>0.33333333333333331</v>
      </c>
      <c r="D1466">
        <v>30.92</v>
      </c>
      <c r="E1466" t="str">
        <f t="shared" si="80"/>
        <v>WEEKDAY</v>
      </c>
      <c r="F1466" t="e">
        <f t="shared" si="81"/>
        <v>#N/A</v>
      </c>
      <c r="G1466" s="74">
        <v>32934</v>
      </c>
      <c r="H1466" s="77">
        <v>0.33333333333333331</v>
      </c>
      <c r="J1466">
        <v>35.06</v>
      </c>
      <c r="M1466" s="74">
        <v>36587</v>
      </c>
      <c r="N1466" s="77">
        <v>0.33333333333333331</v>
      </c>
      <c r="P1466">
        <v>42.8</v>
      </c>
      <c r="S1466" s="74">
        <v>38048</v>
      </c>
      <c r="T1466" s="77">
        <v>0.33333333333333331</v>
      </c>
      <c r="V1466">
        <v>44.06</v>
      </c>
      <c r="X1466" s="42"/>
      <c r="AB1466">
        <v>33.6</v>
      </c>
      <c r="AC1466">
        <v>55.040000000000006</v>
      </c>
      <c r="AE1466" s="74"/>
      <c r="AF1466" s="77"/>
      <c r="AH1466" s="497">
        <v>44.6</v>
      </c>
      <c r="AJ1466" s="42"/>
      <c r="AK1466" s="74"/>
      <c r="AL1466" s="77"/>
      <c r="AN1466" s="497">
        <v>24.98</v>
      </c>
      <c r="AP1466" s="42"/>
      <c r="AQ1466" s="74"/>
      <c r="AR1466" s="77"/>
      <c r="AT1466" s="497">
        <v>17.96</v>
      </c>
      <c r="AV1466" s="42"/>
      <c r="AW1466" s="74"/>
      <c r="AX1466" s="77"/>
      <c r="BA1466" s="497">
        <v>37.04</v>
      </c>
      <c r="BB1466" s="42"/>
      <c r="BC1466" s="74"/>
      <c r="BD1466" s="77"/>
      <c r="BF1466">
        <v>33.979999999999997</v>
      </c>
      <c r="BH1466" s="42"/>
      <c r="BI1466" s="74"/>
      <c r="BJ1466" s="77"/>
      <c r="BL1466" s="497">
        <v>24.98</v>
      </c>
      <c r="BN1466" s="42"/>
      <c r="BO1466" s="74"/>
      <c r="BP1466" s="77"/>
      <c r="BR1466" s="497">
        <v>37.94</v>
      </c>
      <c r="BT1466" s="42"/>
    </row>
    <row r="1467" spans="1:72" x14ac:dyDescent="0.25">
      <c r="A1467" s="90">
        <v>38048</v>
      </c>
      <c r="B1467" s="20">
        <v>0.375</v>
      </c>
      <c r="D1467">
        <v>30.92</v>
      </c>
      <c r="E1467" t="str">
        <f t="shared" si="80"/>
        <v>WEEKDAY</v>
      </c>
      <c r="F1467" t="e">
        <f t="shared" si="81"/>
        <v>#N/A</v>
      </c>
      <c r="G1467" s="74">
        <v>32934</v>
      </c>
      <c r="H1467" s="77">
        <v>0.375</v>
      </c>
      <c r="J1467">
        <v>37.04</v>
      </c>
      <c r="M1467" s="74">
        <v>36587</v>
      </c>
      <c r="N1467" s="77">
        <v>0.375</v>
      </c>
      <c r="P1467">
        <v>42.8</v>
      </c>
      <c r="S1467" s="74">
        <v>38048</v>
      </c>
      <c r="T1467" s="77">
        <v>0.375</v>
      </c>
      <c r="V1467">
        <v>44.96</v>
      </c>
      <c r="X1467" s="42"/>
      <c r="AB1467">
        <v>35.1</v>
      </c>
      <c r="AC1467">
        <v>55.040000000000006</v>
      </c>
      <c r="AE1467" s="74"/>
      <c r="AF1467" s="77"/>
      <c r="AH1467" s="497">
        <v>44.6</v>
      </c>
      <c r="AJ1467" s="42"/>
      <c r="AK1467" s="74"/>
      <c r="AL1467" s="77"/>
      <c r="AN1467" s="497">
        <v>28.04</v>
      </c>
      <c r="AP1467" s="42"/>
      <c r="AQ1467" s="74"/>
      <c r="AR1467" s="77"/>
      <c r="AT1467" s="497">
        <v>17.96</v>
      </c>
      <c r="AV1467" s="42"/>
      <c r="AW1467" s="74"/>
      <c r="AX1467" s="77"/>
      <c r="BA1467" s="497">
        <v>39.92</v>
      </c>
      <c r="BB1467" s="42"/>
      <c r="BC1467" s="74"/>
      <c r="BD1467" s="77"/>
      <c r="BF1467">
        <v>37.04</v>
      </c>
      <c r="BH1467" s="42"/>
      <c r="BI1467" s="74"/>
      <c r="BJ1467" s="77"/>
      <c r="BL1467" s="497">
        <v>26.060000000000002</v>
      </c>
      <c r="BN1467" s="42"/>
      <c r="BO1467" s="74"/>
      <c r="BP1467" s="77"/>
      <c r="BR1467" s="497">
        <v>39.019999999999996</v>
      </c>
      <c r="BT1467" s="42"/>
    </row>
    <row r="1468" spans="1:72" x14ac:dyDescent="0.25">
      <c r="A1468" s="90">
        <v>38048</v>
      </c>
      <c r="B1468" s="20">
        <v>0.41666666666666669</v>
      </c>
      <c r="D1468">
        <v>33.979999999999997</v>
      </c>
      <c r="E1468" t="str">
        <f t="shared" si="80"/>
        <v>WEEKDAY</v>
      </c>
      <c r="F1468" t="e">
        <f t="shared" si="81"/>
        <v>#N/A</v>
      </c>
      <c r="G1468" s="74">
        <v>32934</v>
      </c>
      <c r="H1468" s="77">
        <v>0.41666666666666669</v>
      </c>
      <c r="J1468">
        <v>41</v>
      </c>
      <c r="M1468" s="74">
        <v>36587</v>
      </c>
      <c r="N1468" s="77">
        <v>0.41666666666666669</v>
      </c>
      <c r="P1468">
        <v>44.06</v>
      </c>
      <c r="S1468" s="74">
        <v>38048</v>
      </c>
      <c r="T1468" s="77">
        <v>0.41666666666666669</v>
      </c>
      <c r="V1468">
        <v>46.94</v>
      </c>
      <c r="X1468" s="42"/>
      <c r="AB1468">
        <v>36.799999999999997</v>
      </c>
      <c r="AC1468">
        <v>55.94</v>
      </c>
      <c r="AE1468" s="74"/>
      <c r="AF1468" s="77"/>
      <c r="AH1468" s="497">
        <v>44.96</v>
      </c>
      <c r="AJ1468" s="42"/>
      <c r="AK1468" s="74"/>
      <c r="AL1468" s="77"/>
      <c r="AN1468" s="497">
        <v>33.979999999999997</v>
      </c>
      <c r="AP1468" s="42"/>
      <c r="AQ1468" s="74"/>
      <c r="AR1468" s="77"/>
      <c r="AT1468" s="497">
        <v>17.96</v>
      </c>
      <c r="AV1468" s="42"/>
      <c r="AW1468" s="74"/>
      <c r="AX1468" s="77"/>
      <c r="BA1468" s="497">
        <v>42.980000000000004</v>
      </c>
      <c r="BB1468" s="42"/>
      <c r="BC1468" s="74"/>
      <c r="BD1468" s="77"/>
      <c r="BF1468">
        <v>37.94</v>
      </c>
      <c r="BH1468" s="42"/>
      <c r="BI1468" s="74"/>
      <c r="BJ1468" s="77"/>
      <c r="BL1468" s="497">
        <v>28.04</v>
      </c>
      <c r="BN1468" s="42"/>
      <c r="BO1468" s="74"/>
      <c r="BP1468" s="77"/>
      <c r="BR1468" s="497">
        <v>39.92</v>
      </c>
      <c r="BT1468" s="42"/>
    </row>
    <row r="1469" spans="1:72" x14ac:dyDescent="0.25">
      <c r="A1469" s="90">
        <v>38048</v>
      </c>
      <c r="B1469" s="20">
        <v>0.45833333333333331</v>
      </c>
      <c r="D1469">
        <v>35.06</v>
      </c>
      <c r="E1469" t="str">
        <f t="shared" si="80"/>
        <v>WEEKDAY</v>
      </c>
      <c r="F1469" t="e">
        <f t="shared" si="81"/>
        <v>#N/A</v>
      </c>
      <c r="G1469" s="74">
        <v>32934</v>
      </c>
      <c r="H1469" s="77">
        <v>0.45833333333333331</v>
      </c>
      <c r="J1469">
        <v>44.06</v>
      </c>
      <c r="M1469" s="74">
        <v>36587</v>
      </c>
      <c r="N1469" s="77">
        <v>0.45833333333333331</v>
      </c>
      <c r="P1469">
        <v>44.6</v>
      </c>
      <c r="S1469" s="74">
        <v>38048</v>
      </c>
      <c r="T1469" s="77">
        <v>0.45833333333333331</v>
      </c>
      <c r="V1469">
        <v>46.94</v>
      </c>
      <c r="X1469" s="42"/>
      <c r="AB1469">
        <v>38.4</v>
      </c>
      <c r="AC1469">
        <v>57.92</v>
      </c>
      <c r="AE1469" s="74"/>
      <c r="AF1469" s="77"/>
      <c r="AH1469" s="497">
        <v>44.6</v>
      </c>
      <c r="AJ1469" s="42"/>
      <c r="AK1469" s="74"/>
      <c r="AL1469" s="77"/>
      <c r="AN1469" s="497">
        <v>35.96</v>
      </c>
      <c r="AP1469" s="42"/>
      <c r="AQ1469" s="74"/>
      <c r="AR1469" s="77"/>
      <c r="AT1469" s="497">
        <v>17.96</v>
      </c>
      <c r="AV1469" s="42"/>
      <c r="AW1469" s="74"/>
      <c r="AX1469" s="77"/>
      <c r="BA1469" s="497">
        <v>44.96</v>
      </c>
      <c r="BB1469" s="42"/>
      <c r="BC1469" s="74"/>
      <c r="BD1469" s="77"/>
      <c r="BF1469">
        <v>39.019999999999996</v>
      </c>
      <c r="BH1469" s="42"/>
      <c r="BI1469" s="74"/>
      <c r="BJ1469" s="77"/>
      <c r="BL1469" s="497">
        <v>28.94</v>
      </c>
      <c r="BN1469" s="42"/>
      <c r="BO1469" s="74"/>
      <c r="BP1469" s="77"/>
      <c r="BR1469" s="497">
        <v>41</v>
      </c>
      <c r="BT1469" s="42"/>
    </row>
    <row r="1470" spans="1:72" x14ac:dyDescent="0.25">
      <c r="A1470" s="90">
        <v>38048</v>
      </c>
      <c r="B1470" s="20">
        <v>0.5</v>
      </c>
      <c r="D1470">
        <v>33.979999999999997</v>
      </c>
      <c r="E1470" t="str">
        <f t="shared" si="80"/>
        <v>WEEKDAY</v>
      </c>
      <c r="F1470" t="e">
        <f t="shared" si="81"/>
        <v>#N/A</v>
      </c>
      <c r="G1470" s="74">
        <v>32934</v>
      </c>
      <c r="H1470" s="77">
        <v>0.5</v>
      </c>
      <c r="J1470">
        <v>48.92</v>
      </c>
      <c r="M1470" s="74">
        <v>36587</v>
      </c>
      <c r="N1470" s="77">
        <v>0.5</v>
      </c>
      <c r="P1470">
        <v>44.6</v>
      </c>
      <c r="S1470" s="74">
        <v>38048</v>
      </c>
      <c r="T1470" s="77">
        <v>0.5</v>
      </c>
      <c r="V1470">
        <v>50</v>
      </c>
      <c r="X1470" s="42"/>
      <c r="AB1470">
        <v>39.700000000000003</v>
      </c>
      <c r="AC1470">
        <v>55.94</v>
      </c>
      <c r="AE1470" s="74"/>
      <c r="AF1470" s="77"/>
      <c r="AH1470" s="497">
        <v>42.8</v>
      </c>
      <c r="AJ1470" s="42"/>
      <c r="AK1470" s="74"/>
      <c r="AL1470" s="77"/>
      <c r="AN1470" s="497">
        <v>37.94</v>
      </c>
      <c r="AP1470" s="42"/>
      <c r="AQ1470" s="74"/>
      <c r="AR1470" s="77"/>
      <c r="AT1470" s="497">
        <v>17.96</v>
      </c>
      <c r="AV1470" s="42"/>
      <c r="AW1470" s="74"/>
      <c r="AX1470" s="77"/>
      <c r="BA1470" s="497">
        <v>46.94</v>
      </c>
      <c r="BB1470" s="42"/>
      <c r="BC1470" s="74"/>
      <c r="BD1470" s="77"/>
      <c r="BF1470">
        <v>39.92</v>
      </c>
      <c r="BH1470" s="42"/>
      <c r="BI1470" s="74"/>
      <c r="BJ1470" s="77"/>
      <c r="BL1470" s="497">
        <v>30.92</v>
      </c>
      <c r="BN1470" s="42"/>
      <c r="BO1470" s="74"/>
      <c r="BP1470" s="77"/>
      <c r="BR1470" s="497">
        <v>39.92</v>
      </c>
      <c r="BT1470" s="42"/>
    </row>
    <row r="1471" spans="1:72" x14ac:dyDescent="0.25">
      <c r="A1471" s="90">
        <v>38048</v>
      </c>
      <c r="B1471" s="20">
        <v>0.54166666666666663</v>
      </c>
      <c r="D1471">
        <v>37.04</v>
      </c>
      <c r="E1471" t="str">
        <f t="shared" si="80"/>
        <v>WEEKDAY</v>
      </c>
      <c r="F1471" t="e">
        <f t="shared" si="81"/>
        <v>#N/A</v>
      </c>
      <c r="G1471" s="74">
        <v>32934</v>
      </c>
      <c r="H1471" s="77">
        <v>0.54166666666666663</v>
      </c>
      <c r="J1471">
        <v>50</v>
      </c>
      <c r="M1471" s="74">
        <v>36587</v>
      </c>
      <c r="N1471" s="77">
        <v>0.54166666666666663</v>
      </c>
      <c r="P1471">
        <v>44.6</v>
      </c>
      <c r="S1471" s="74">
        <v>38048</v>
      </c>
      <c r="T1471" s="77">
        <v>0.54166666666666663</v>
      </c>
      <c r="V1471">
        <v>55.94</v>
      </c>
      <c r="X1471" s="42"/>
      <c r="AB1471">
        <v>40.799999999999997</v>
      </c>
      <c r="AC1471">
        <v>55.040000000000006</v>
      </c>
      <c r="AE1471" s="74"/>
      <c r="AF1471" s="77"/>
      <c r="AH1471" s="497">
        <v>42.8</v>
      </c>
      <c r="AJ1471" s="42"/>
      <c r="AK1471" s="74"/>
      <c r="AL1471" s="77"/>
      <c r="AN1471" s="497">
        <v>39.019999999999996</v>
      </c>
      <c r="AP1471" s="42"/>
      <c r="AQ1471" s="74"/>
      <c r="AR1471" s="77"/>
      <c r="AT1471" s="497">
        <v>17.96</v>
      </c>
      <c r="AV1471" s="42"/>
      <c r="AW1471" s="74"/>
      <c r="AX1471" s="77"/>
      <c r="BA1471" s="497">
        <v>48.92</v>
      </c>
      <c r="BB1471" s="42"/>
      <c r="BC1471" s="74"/>
      <c r="BD1471" s="77"/>
      <c r="BF1471">
        <v>39.92</v>
      </c>
      <c r="BH1471" s="42"/>
      <c r="BI1471" s="74"/>
      <c r="BJ1471" s="77"/>
      <c r="BL1471" s="497">
        <v>30.02</v>
      </c>
      <c r="BN1471" s="42"/>
      <c r="BO1471" s="74"/>
      <c r="BP1471" s="77"/>
      <c r="BR1471" s="497">
        <v>39.92</v>
      </c>
      <c r="BT1471" s="42"/>
    </row>
    <row r="1472" spans="1:72" x14ac:dyDescent="0.25">
      <c r="A1472" s="90">
        <v>38048</v>
      </c>
      <c r="B1472" s="20">
        <v>0.58333333333333337</v>
      </c>
      <c r="D1472">
        <v>37.04</v>
      </c>
      <c r="E1472" t="str">
        <f t="shared" si="80"/>
        <v>WEEKDAY</v>
      </c>
      <c r="F1472" t="e">
        <f t="shared" si="81"/>
        <v>#N/A</v>
      </c>
      <c r="G1472" s="74">
        <v>32934</v>
      </c>
      <c r="H1472" s="77">
        <v>0.58333333333333337</v>
      </c>
      <c r="J1472">
        <v>50</v>
      </c>
      <c r="M1472" s="74">
        <v>36587</v>
      </c>
      <c r="N1472" s="77">
        <v>0.58333333333333337</v>
      </c>
      <c r="P1472">
        <v>42.8</v>
      </c>
      <c r="S1472" s="74">
        <v>38048</v>
      </c>
      <c r="T1472" s="77">
        <v>0.58333333333333337</v>
      </c>
      <c r="V1472">
        <v>55.94</v>
      </c>
      <c r="X1472" s="42"/>
      <c r="AB1472">
        <v>41.6</v>
      </c>
      <c r="AC1472">
        <v>53.96</v>
      </c>
      <c r="AE1472" s="74"/>
      <c r="AF1472" s="77"/>
      <c r="AH1472" s="497">
        <v>42.8</v>
      </c>
      <c r="AJ1472" s="42"/>
      <c r="AK1472" s="74"/>
      <c r="AL1472" s="77"/>
      <c r="AN1472" s="497">
        <v>39.019999999999996</v>
      </c>
      <c r="AP1472" s="42"/>
      <c r="AQ1472" s="74"/>
      <c r="AR1472" s="77"/>
      <c r="AT1472" s="497">
        <v>17.96</v>
      </c>
      <c r="AV1472" s="42"/>
      <c r="AW1472" s="74"/>
      <c r="AX1472" s="77"/>
      <c r="BA1472" s="497">
        <v>50</v>
      </c>
      <c r="BB1472" s="42"/>
      <c r="BC1472" s="74"/>
      <c r="BD1472" s="77"/>
      <c r="BF1472">
        <v>39.92</v>
      </c>
      <c r="BH1472" s="42"/>
      <c r="BI1472" s="74"/>
      <c r="BJ1472" s="77"/>
      <c r="BL1472" s="497">
        <v>30.92</v>
      </c>
      <c r="BN1472" s="42"/>
      <c r="BO1472" s="74"/>
      <c r="BP1472" s="77"/>
      <c r="BR1472" s="497">
        <v>42.08</v>
      </c>
      <c r="BT1472" s="42"/>
    </row>
    <row r="1473" spans="1:72" x14ac:dyDescent="0.25">
      <c r="A1473" s="90">
        <v>38048</v>
      </c>
      <c r="B1473" s="20">
        <v>0.625</v>
      </c>
      <c r="D1473">
        <v>37.94</v>
      </c>
      <c r="E1473" t="str">
        <f t="shared" si="80"/>
        <v>WEEKDAY</v>
      </c>
      <c r="F1473" t="e">
        <f t="shared" si="81"/>
        <v>#N/A</v>
      </c>
      <c r="G1473" s="74">
        <v>32934</v>
      </c>
      <c r="H1473" s="77">
        <v>0.625</v>
      </c>
      <c r="J1473">
        <v>48.92</v>
      </c>
      <c r="M1473" s="74">
        <v>36587</v>
      </c>
      <c r="N1473" s="77">
        <v>0.625</v>
      </c>
      <c r="P1473">
        <v>42.8</v>
      </c>
      <c r="S1473" s="74">
        <v>38048</v>
      </c>
      <c r="T1473" s="77">
        <v>0.625</v>
      </c>
      <c r="V1473">
        <v>55.040000000000006</v>
      </c>
      <c r="X1473" s="42"/>
      <c r="AB1473">
        <v>42.2</v>
      </c>
      <c r="AC1473">
        <v>53.06</v>
      </c>
      <c r="AE1473" s="74"/>
      <c r="AF1473" s="77"/>
      <c r="AH1473" s="497">
        <v>39.200000000000003</v>
      </c>
      <c r="AJ1473" s="42"/>
      <c r="AK1473" s="74"/>
      <c r="AL1473" s="77"/>
      <c r="AN1473" s="497">
        <v>39.92</v>
      </c>
      <c r="AP1473" s="42"/>
      <c r="AQ1473" s="74"/>
      <c r="AR1473" s="77"/>
      <c r="AT1473" s="497">
        <v>17.96</v>
      </c>
      <c r="AV1473" s="42"/>
      <c r="AW1473" s="74"/>
      <c r="AX1473" s="77"/>
      <c r="BA1473" s="497">
        <v>51.980000000000004</v>
      </c>
      <c r="BB1473" s="42"/>
      <c r="BC1473" s="74"/>
      <c r="BD1473" s="77"/>
      <c r="BF1473">
        <v>39.019999999999996</v>
      </c>
      <c r="BH1473" s="42"/>
      <c r="BI1473" s="74"/>
      <c r="BJ1473" s="77"/>
      <c r="BL1473" s="497">
        <v>32</v>
      </c>
      <c r="BN1473" s="42"/>
      <c r="BO1473" s="74"/>
      <c r="BP1473" s="77"/>
      <c r="BR1473" s="497">
        <v>37.04</v>
      </c>
      <c r="BT1473" s="42"/>
    </row>
    <row r="1474" spans="1:72" x14ac:dyDescent="0.25">
      <c r="A1474" s="90">
        <v>38048</v>
      </c>
      <c r="B1474" s="20">
        <v>0.66666666666666663</v>
      </c>
      <c r="D1474">
        <v>37.04</v>
      </c>
      <c r="E1474" t="str">
        <f t="shared" si="80"/>
        <v>WEEKDAY</v>
      </c>
      <c r="F1474" t="e">
        <f t="shared" si="81"/>
        <v>#N/A</v>
      </c>
      <c r="G1474" s="74">
        <v>32934</v>
      </c>
      <c r="H1474" s="77">
        <v>0.66666666666666663</v>
      </c>
      <c r="J1474">
        <v>50</v>
      </c>
      <c r="M1474" s="74">
        <v>36587</v>
      </c>
      <c r="N1474" s="77">
        <v>0.66666666666666663</v>
      </c>
      <c r="P1474">
        <v>41</v>
      </c>
      <c r="S1474" s="74">
        <v>38048</v>
      </c>
      <c r="T1474" s="77">
        <v>0.66666666666666663</v>
      </c>
      <c r="V1474">
        <v>60.08</v>
      </c>
      <c r="X1474" s="42"/>
      <c r="AB1474">
        <v>42.3</v>
      </c>
      <c r="AC1474">
        <v>55.94</v>
      </c>
      <c r="AE1474" s="74"/>
      <c r="AF1474" s="77"/>
      <c r="AH1474" s="497">
        <v>39.200000000000003</v>
      </c>
      <c r="AJ1474" s="42"/>
      <c r="AK1474" s="74"/>
      <c r="AL1474" s="77"/>
      <c r="AN1474" s="497">
        <v>39.92</v>
      </c>
      <c r="AP1474" s="42"/>
      <c r="AQ1474" s="74"/>
      <c r="AR1474" s="77"/>
      <c r="AT1474" s="497">
        <v>17.96</v>
      </c>
      <c r="AV1474" s="42"/>
      <c r="AW1474" s="74"/>
      <c r="AX1474" s="77"/>
      <c r="BA1474" s="497">
        <v>53.06</v>
      </c>
      <c r="BB1474" s="42"/>
      <c r="BC1474" s="74"/>
      <c r="BD1474" s="77"/>
      <c r="BF1474">
        <v>39.019999999999996</v>
      </c>
      <c r="BH1474" s="42"/>
      <c r="BI1474" s="74"/>
      <c r="BJ1474" s="77"/>
      <c r="BL1474" s="497">
        <v>32</v>
      </c>
      <c r="BN1474" s="42"/>
      <c r="BO1474" s="74"/>
      <c r="BP1474" s="77"/>
      <c r="BR1474" s="497">
        <v>35.96</v>
      </c>
      <c r="BT1474" s="42"/>
    </row>
    <row r="1475" spans="1:72" x14ac:dyDescent="0.25">
      <c r="A1475" s="90">
        <v>38048</v>
      </c>
      <c r="B1475" s="20">
        <v>0.70833333333333337</v>
      </c>
      <c r="D1475">
        <v>37.04</v>
      </c>
      <c r="E1475" t="str">
        <f t="shared" si="80"/>
        <v>WEEKDAY</v>
      </c>
      <c r="F1475" t="e">
        <f t="shared" si="81"/>
        <v>#N/A</v>
      </c>
      <c r="G1475" s="74">
        <v>32934</v>
      </c>
      <c r="H1475" s="77">
        <v>0.70833333333333337</v>
      </c>
      <c r="J1475">
        <v>48.92</v>
      </c>
      <c r="M1475" s="74">
        <v>36587</v>
      </c>
      <c r="N1475" s="77">
        <v>0.70833333333333337</v>
      </c>
      <c r="P1475">
        <v>37.4</v>
      </c>
      <c r="S1475" s="74">
        <v>38048</v>
      </c>
      <c r="T1475" s="77">
        <v>0.70833333333333337</v>
      </c>
      <c r="V1475">
        <v>59</v>
      </c>
      <c r="X1475" s="42"/>
      <c r="AB1475">
        <v>42</v>
      </c>
      <c r="AC1475">
        <v>53.96</v>
      </c>
      <c r="AE1475" s="74"/>
      <c r="AF1475" s="77"/>
      <c r="AH1475" s="497">
        <v>37.4</v>
      </c>
      <c r="AJ1475" s="42"/>
      <c r="AK1475" s="74"/>
      <c r="AL1475" s="77"/>
      <c r="AN1475" s="497">
        <v>39.019999999999996</v>
      </c>
      <c r="AP1475" s="42"/>
      <c r="AQ1475" s="74"/>
      <c r="AR1475" s="77"/>
      <c r="AT1475" s="497">
        <v>17.600000000000001</v>
      </c>
      <c r="AV1475" s="42"/>
      <c r="AW1475" s="74"/>
      <c r="AX1475" s="77"/>
      <c r="BA1475" s="497">
        <v>50</v>
      </c>
      <c r="BB1475" s="42"/>
      <c r="BC1475" s="74"/>
      <c r="BD1475" s="77"/>
      <c r="BF1475">
        <v>37.04</v>
      </c>
      <c r="BH1475" s="42"/>
      <c r="BI1475" s="74"/>
      <c r="BJ1475" s="77"/>
      <c r="BL1475" s="497">
        <v>32</v>
      </c>
      <c r="BN1475" s="42"/>
      <c r="BO1475" s="74"/>
      <c r="BP1475" s="77"/>
      <c r="BR1475" s="497">
        <v>33.08</v>
      </c>
      <c r="BT1475" s="42"/>
    </row>
    <row r="1476" spans="1:72" x14ac:dyDescent="0.25">
      <c r="A1476" s="90">
        <v>38048</v>
      </c>
      <c r="B1476" s="20">
        <v>0.75</v>
      </c>
      <c r="D1476">
        <v>35.96</v>
      </c>
      <c r="E1476" t="str">
        <f t="shared" si="80"/>
        <v>WEEKDAY</v>
      </c>
      <c r="F1476" t="e">
        <f t="shared" si="81"/>
        <v>#N/A</v>
      </c>
      <c r="G1476" s="74">
        <v>32934</v>
      </c>
      <c r="H1476" s="77">
        <v>0.75</v>
      </c>
      <c r="J1476">
        <v>48.019999999999996</v>
      </c>
      <c r="M1476" s="74">
        <v>36587</v>
      </c>
      <c r="N1476" s="77">
        <v>0.75</v>
      </c>
      <c r="P1476">
        <v>35.6</v>
      </c>
      <c r="S1476" s="74">
        <v>38048</v>
      </c>
      <c r="T1476" s="77">
        <v>0.75</v>
      </c>
      <c r="V1476">
        <v>55.040000000000006</v>
      </c>
      <c r="X1476" s="42"/>
      <c r="AB1476">
        <v>41</v>
      </c>
      <c r="AC1476">
        <v>50</v>
      </c>
      <c r="AE1476" s="74"/>
      <c r="AF1476" s="77"/>
      <c r="AH1476" s="497">
        <v>35.6</v>
      </c>
      <c r="AJ1476" s="42"/>
      <c r="AK1476" s="74"/>
      <c r="AL1476" s="77"/>
      <c r="AN1476" s="497">
        <v>37.94</v>
      </c>
      <c r="AP1476" s="42"/>
      <c r="AQ1476" s="74"/>
      <c r="AR1476" s="77"/>
      <c r="AT1476" s="497">
        <v>17.420000000000002</v>
      </c>
      <c r="AV1476" s="42"/>
      <c r="AW1476" s="74"/>
      <c r="AX1476" s="77"/>
      <c r="BA1476" s="497">
        <v>46.94</v>
      </c>
      <c r="BB1476" s="42"/>
      <c r="BC1476" s="74"/>
      <c r="BD1476" s="77"/>
      <c r="BF1476">
        <v>35.96</v>
      </c>
      <c r="BH1476" s="42"/>
      <c r="BI1476" s="74"/>
      <c r="BJ1476" s="77"/>
      <c r="BL1476" s="497">
        <v>30.92</v>
      </c>
      <c r="BN1476" s="42"/>
      <c r="BO1476" s="74"/>
      <c r="BP1476" s="77"/>
      <c r="BR1476" s="497">
        <v>30.02</v>
      </c>
      <c r="BT1476" s="42"/>
    </row>
    <row r="1477" spans="1:72" x14ac:dyDescent="0.25">
      <c r="A1477" s="90">
        <v>38048</v>
      </c>
      <c r="B1477" s="20">
        <v>0.79166666666666663</v>
      </c>
      <c r="D1477">
        <v>35.06</v>
      </c>
      <c r="E1477" t="str">
        <f t="shared" si="80"/>
        <v>WEEKDAY</v>
      </c>
      <c r="F1477" t="e">
        <f t="shared" si="81"/>
        <v>#N/A</v>
      </c>
      <c r="G1477" s="74">
        <v>32934</v>
      </c>
      <c r="H1477" s="77">
        <v>0.79166666666666663</v>
      </c>
      <c r="J1477">
        <v>48.019999999999996</v>
      </c>
      <c r="M1477" s="74">
        <v>36587</v>
      </c>
      <c r="N1477" s="77">
        <v>0.79166666666666663</v>
      </c>
      <c r="P1477">
        <v>35.6</v>
      </c>
      <c r="S1477" s="74">
        <v>38048</v>
      </c>
      <c r="T1477" s="77">
        <v>0.79166666666666663</v>
      </c>
      <c r="V1477">
        <v>55.94</v>
      </c>
      <c r="X1477" s="42"/>
      <c r="AB1477">
        <v>39.700000000000003</v>
      </c>
      <c r="AC1477">
        <v>48.019999999999996</v>
      </c>
      <c r="AE1477" s="74"/>
      <c r="AF1477" s="77"/>
      <c r="AH1477" s="497">
        <v>35.6</v>
      </c>
      <c r="AJ1477" s="42"/>
      <c r="AK1477" s="74"/>
      <c r="AL1477" s="77"/>
      <c r="AN1477" s="497">
        <v>39.019999999999996</v>
      </c>
      <c r="AP1477" s="42"/>
      <c r="AQ1477" s="74"/>
      <c r="AR1477" s="77"/>
      <c r="AT1477" s="497">
        <v>17.059999999999999</v>
      </c>
      <c r="AV1477" s="42"/>
      <c r="AW1477" s="74"/>
      <c r="AX1477" s="77"/>
      <c r="BA1477" s="497">
        <v>42.08</v>
      </c>
      <c r="BB1477" s="42"/>
      <c r="BC1477" s="74"/>
      <c r="BD1477" s="77"/>
      <c r="BF1477">
        <v>35.06</v>
      </c>
      <c r="BH1477" s="42"/>
      <c r="BI1477" s="74"/>
      <c r="BJ1477" s="77"/>
      <c r="BL1477" s="497">
        <v>28.94</v>
      </c>
      <c r="BN1477" s="42"/>
      <c r="BO1477" s="74"/>
      <c r="BP1477" s="77"/>
      <c r="BR1477" s="497">
        <v>30.02</v>
      </c>
      <c r="BT1477" s="42"/>
    </row>
    <row r="1478" spans="1:72" x14ac:dyDescent="0.25">
      <c r="A1478" s="90">
        <v>38048</v>
      </c>
      <c r="B1478" s="20">
        <v>0.83333333333333337</v>
      </c>
      <c r="D1478">
        <v>33.979999999999997</v>
      </c>
      <c r="E1478" t="str">
        <f t="shared" si="80"/>
        <v>WEEKDAY</v>
      </c>
      <c r="F1478" t="e">
        <f t="shared" si="81"/>
        <v>#N/A</v>
      </c>
      <c r="G1478" s="74">
        <v>32934</v>
      </c>
      <c r="H1478" s="77">
        <v>0.83333333333333337</v>
      </c>
      <c r="J1478">
        <v>48.019999999999996</v>
      </c>
      <c r="M1478" s="74">
        <v>36587</v>
      </c>
      <c r="N1478" s="77">
        <v>0.83333333333333337</v>
      </c>
      <c r="P1478">
        <v>33.799999999999997</v>
      </c>
      <c r="S1478" s="74">
        <v>38048</v>
      </c>
      <c r="T1478" s="77">
        <v>0.83333333333333337</v>
      </c>
      <c r="V1478">
        <v>62.06</v>
      </c>
      <c r="X1478" s="42"/>
      <c r="AB1478">
        <v>39.1</v>
      </c>
      <c r="AC1478">
        <v>48.92</v>
      </c>
      <c r="AE1478" s="74"/>
      <c r="AF1478" s="77"/>
      <c r="AH1478" s="497">
        <v>35.6</v>
      </c>
      <c r="AJ1478" s="42"/>
      <c r="AK1478" s="74"/>
      <c r="AL1478" s="77"/>
      <c r="AN1478" s="497">
        <v>37.04</v>
      </c>
      <c r="AP1478" s="42"/>
      <c r="AQ1478" s="74"/>
      <c r="AR1478" s="77"/>
      <c r="AT1478" s="497">
        <v>17.420000000000002</v>
      </c>
      <c r="AV1478" s="42"/>
      <c r="AW1478" s="74"/>
      <c r="AX1478" s="77"/>
      <c r="BA1478" s="497">
        <v>37.94</v>
      </c>
      <c r="BB1478" s="42"/>
      <c r="BC1478" s="74"/>
      <c r="BD1478" s="77"/>
      <c r="BF1478">
        <v>33.979999999999997</v>
      </c>
      <c r="BH1478" s="42"/>
      <c r="BI1478" s="74"/>
      <c r="BJ1478" s="77"/>
      <c r="BL1478" s="497">
        <v>28.04</v>
      </c>
      <c r="BN1478" s="42"/>
      <c r="BO1478" s="74"/>
      <c r="BP1478" s="77"/>
      <c r="BR1478" s="497">
        <v>30.02</v>
      </c>
      <c r="BT1478" s="42"/>
    </row>
    <row r="1479" spans="1:72" x14ac:dyDescent="0.25">
      <c r="A1479" s="90">
        <v>38048</v>
      </c>
      <c r="B1479" s="20">
        <v>0.875</v>
      </c>
      <c r="D1479">
        <v>32</v>
      </c>
      <c r="E1479" t="str">
        <f t="shared" si="80"/>
        <v>WEEKDAY</v>
      </c>
      <c r="F1479" t="e">
        <f t="shared" si="81"/>
        <v>#N/A</v>
      </c>
      <c r="G1479" s="74">
        <v>32934</v>
      </c>
      <c r="H1479" s="77">
        <v>0.875</v>
      </c>
      <c r="J1479">
        <v>46.94</v>
      </c>
      <c r="M1479" s="74">
        <v>36587</v>
      </c>
      <c r="N1479" s="77">
        <v>0.875</v>
      </c>
      <c r="P1479">
        <v>33.799999999999997</v>
      </c>
      <c r="S1479" s="74">
        <v>38048</v>
      </c>
      <c r="T1479" s="77">
        <v>0.875</v>
      </c>
      <c r="V1479">
        <v>60.08</v>
      </c>
      <c r="X1479" s="42"/>
      <c r="AB1479">
        <v>38.6</v>
      </c>
      <c r="AC1479">
        <v>51.980000000000004</v>
      </c>
      <c r="AE1479" s="74"/>
      <c r="AF1479" s="77"/>
      <c r="AH1479" s="497">
        <v>35.6</v>
      </c>
      <c r="AJ1479" s="42"/>
      <c r="AK1479" s="74"/>
      <c r="AL1479" s="77"/>
      <c r="AN1479" s="497">
        <v>37.04</v>
      </c>
      <c r="AP1479" s="42"/>
      <c r="AQ1479" s="74"/>
      <c r="AR1479" s="77"/>
      <c r="AT1479" s="497">
        <v>17.600000000000001</v>
      </c>
      <c r="AV1479" s="42"/>
      <c r="AW1479" s="74"/>
      <c r="AX1479" s="77"/>
      <c r="BA1479" s="497">
        <v>39.92</v>
      </c>
      <c r="BB1479" s="42"/>
      <c r="BC1479" s="74"/>
      <c r="BD1479" s="77"/>
      <c r="BF1479">
        <v>33.08</v>
      </c>
      <c r="BH1479" s="42"/>
      <c r="BI1479" s="74"/>
      <c r="BJ1479" s="77"/>
      <c r="BL1479" s="497">
        <v>28.04</v>
      </c>
      <c r="BN1479" s="42"/>
      <c r="BO1479" s="74"/>
      <c r="BP1479" s="77"/>
      <c r="BR1479" s="497">
        <v>28.04</v>
      </c>
      <c r="BT1479" s="42"/>
    </row>
    <row r="1480" spans="1:72" x14ac:dyDescent="0.25">
      <c r="A1480" s="90">
        <v>38048</v>
      </c>
      <c r="B1480" s="20">
        <v>0.91666666666666663</v>
      </c>
      <c r="D1480">
        <v>32</v>
      </c>
      <c r="E1480" t="str">
        <f t="shared" si="80"/>
        <v>WEEKDAY</v>
      </c>
      <c r="F1480" t="e">
        <f t="shared" si="81"/>
        <v>#N/A</v>
      </c>
      <c r="G1480" s="74">
        <v>32934</v>
      </c>
      <c r="H1480" s="77">
        <v>0.91666666666666663</v>
      </c>
      <c r="J1480">
        <v>46.04</v>
      </c>
      <c r="M1480" s="74">
        <v>36587</v>
      </c>
      <c r="N1480" s="77">
        <v>0.91666666666666663</v>
      </c>
      <c r="P1480">
        <v>33.799999999999997</v>
      </c>
      <c r="S1480" s="74">
        <v>38048</v>
      </c>
      <c r="T1480" s="77">
        <v>0.91666666666666663</v>
      </c>
      <c r="V1480">
        <v>57.019999999999996</v>
      </c>
      <c r="X1480" s="42"/>
      <c r="AB1480">
        <v>37.799999999999997</v>
      </c>
      <c r="AC1480">
        <v>50</v>
      </c>
      <c r="AE1480" s="74"/>
      <c r="AF1480" s="77"/>
      <c r="AH1480" s="497">
        <v>35.6</v>
      </c>
      <c r="AJ1480" s="42"/>
      <c r="AK1480" s="74"/>
      <c r="AL1480" s="77"/>
      <c r="AN1480" s="497">
        <v>37.94</v>
      </c>
      <c r="AP1480" s="42"/>
      <c r="AQ1480" s="74"/>
      <c r="AR1480" s="77"/>
      <c r="AT1480" s="497">
        <v>17.96</v>
      </c>
      <c r="AV1480" s="42"/>
      <c r="AW1480" s="74"/>
      <c r="AX1480" s="77"/>
      <c r="BA1480" s="497">
        <v>37.04</v>
      </c>
      <c r="BB1480" s="42"/>
      <c r="BC1480" s="74"/>
      <c r="BD1480" s="77"/>
      <c r="BF1480">
        <v>33.08</v>
      </c>
      <c r="BH1480" s="42"/>
      <c r="BI1480" s="74"/>
      <c r="BJ1480" s="77"/>
      <c r="BL1480" s="497">
        <v>26.96</v>
      </c>
      <c r="BN1480" s="42"/>
      <c r="BO1480" s="74"/>
      <c r="BP1480" s="77"/>
      <c r="BR1480" s="497">
        <v>26.060000000000002</v>
      </c>
      <c r="BT1480" s="42"/>
    </row>
    <row r="1481" spans="1:72" x14ac:dyDescent="0.25">
      <c r="A1481" s="90">
        <v>38048</v>
      </c>
      <c r="B1481" s="20">
        <v>0.95833333333333337</v>
      </c>
      <c r="D1481">
        <v>30.92</v>
      </c>
      <c r="E1481" t="str">
        <f t="shared" si="80"/>
        <v>WEEKDAY</v>
      </c>
      <c r="F1481" t="e">
        <f t="shared" si="81"/>
        <v>#N/A</v>
      </c>
      <c r="G1481" s="74">
        <v>32934</v>
      </c>
      <c r="H1481" s="77">
        <v>0.95833333333333337</v>
      </c>
      <c r="J1481">
        <v>46.04</v>
      </c>
      <c r="M1481" s="74">
        <v>36587</v>
      </c>
      <c r="N1481" s="77">
        <v>0.95833333333333337</v>
      </c>
      <c r="P1481">
        <v>33.799999999999997</v>
      </c>
      <c r="S1481" s="74">
        <v>38048</v>
      </c>
      <c r="T1481" s="77">
        <v>0.95833333333333337</v>
      </c>
      <c r="V1481">
        <v>55.040000000000006</v>
      </c>
      <c r="X1481" s="42"/>
      <c r="AB1481">
        <v>37.200000000000003</v>
      </c>
      <c r="AC1481">
        <v>50</v>
      </c>
      <c r="AE1481" s="74"/>
      <c r="AF1481" s="77"/>
      <c r="AH1481" s="497">
        <v>35.6</v>
      </c>
      <c r="AJ1481" s="42"/>
      <c r="AK1481" s="74"/>
      <c r="AL1481" s="77"/>
      <c r="AN1481" s="497">
        <v>39.92</v>
      </c>
      <c r="AP1481" s="42"/>
      <c r="AQ1481" s="74"/>
      <c r="AR1481" s="77"/>
      <c r="AT1481" s="497">
        <v>17.96</v>
      </c>
      <c r="AV1481" s="42"/>
      <c r="AW1481" s="74"/>
      <c r="AX1481" s="77"/>
      <c r="BA1481" s="497">
        <v>35.06</v>
      </c>
      <c r="BB1481" s="42"/>
      <c r="BC1481" s="74"/>
      <c r="BD1481" s="77"/>
      <c r="BF1481">
        <v>32</v>
      </c>
      <c r="BH1481" s="42"/>
      <c r="BI1481" s="74"/>
      <c r="BJ1481" s="77"/>
      <c r="BL1481" s="497">
        <v>26.060000000000002</v>
      </c>
      <c r="BN1481" s="42"/>
      <c r="BO1481" s="74"/>
      <c r="BP1481" s="77"/>
      <c r="BR1481" s="497">
        <v>23</v>
      </c>
      <c r="BT1481" s="42"/>
    </row>
    <row r="1482" spans="1:72" x14ac:dyDescent="0.25">
      <c r="A1482" s="90">
        <v>38048</v>
      </c>
      <c r="B1482" s="20">
        <v>1</v>
      </c>
      <c r="D1482">
        <v>30.92</v>
      </c>
      <c r="E1482" t="str">
        <f t="shared" si="80"/>
        <v>WEEKDAY</v>
      </c>
      <c r="F1482" t="e">
        <f t="shared" si="81"/>
        <v>#N/A</v>
      </c>
      <c r="G1482" s="74">
        <v>32934</v>
      </c>
      <c r="H1482" s="77">
        <v>1</v>
      </c>
      <c r="J1482">
        <v>44.96</v>
      </c>
      <c r="M1482" s="74">
        <v>36587</v>
      </c>
      <c r="N1482" s="80">
        <v>1</v>
      </c>
      <c r="P1482">
        <v>33.799999999999997</v>
      </c>
      <c r="S1482" s="74">
        <v>38048</v>
      </c>
      <c r="T1482" s="80">
        <v>1</v>
      </c>
      <c r="V1482">
        <v>53.06</v>
      </c>
      <c r="X1482" s="42"/>
      <c r="AB1482">
        <v>36.6</v>
      </c>
      <c r="AC1482">
        <v>50</v>
      </c>
      <c r="AE1482" s="74"/>
      <c r="AF1482" s="80"/>
      <c r="AH1482" s="497">
        <v>35.6</v>
      </c>
      <c r="AJ1482" s="42"/>
      <c r="AK1482" s="74"/>
      <c r="AL1482" s="80"/>
      <c r="AN1482" s="497">
        <v>41</v>
      </c>
      <c r="AP1482" s="42"/>
      <c r="AQ1482" s="74"/>
      <c r="AR1482" s="80"/>
      <c r="AT1482" s="497">
        <v>17.96</v>
      </c>
      <c r="AV1482" s="42"/>
      <c r="AW1482" s="74"/>
      <c r="AX1482" s="80"/>
      <c r="BA1482" s="497">
        <v>35.06</v>
      </c>
      <c r="BB1482" s="42"/>
      <c r="BC1482" s="74"/>
      <c r="BD1482" s="80"/>
      <c r="BF1482">
        <v>32</v>
      </c>
      <c r="BH1482" s="42"/>
      <c r="BI1482" s="74"/>
      <c r="BJ1482" s="80"/>
      <c r="BL1482" s="497">
        <v>24.98</v>
      </c>
      <c r="BN1482" s="42"/>
      <c r="BO1482" s="74"/>
      <c r="BP1482" s="80"/>
      <c r="BR1482" s="497">
        <v>21.02</v>
      </c>
      <c r="BT1482" s="42"/>
    </row>
    <row r="1483" spans="1:72" x14ac:dyDescent="0.25">
      <c r="A1483" s="90">
        <v>38049</v>
      </c>
      <c r="B1483" s="20">
        <v>4.1666666666666664E-2</v>
      </c>
      <c r="D1483">
        <v>30.02</v>
      </c>
      <c r="E1483" t="str">
        <f t="shared" si="80"/>
        <v>WEEKDAY</v>
      </c>
      <c r="F1483" t="e">
        <f t="shared" si="81"/>
        <v>#N/A</v>
      </c>
      <c r="G1483" s="74">
        <v>32935</v>
      </c>
      <c r="H1483" s="77">
        <v>4.1666666666666664E-2</v>
      </c>
      <c r="J1483">
        <v>44.96</v>
      </c>
      <c r="M1483" s="74">
        <v>36588</v>
      </c>
      <c r="N1483" s="77">
        <v>4.1666666666666664E-2</v>
      </c>
      <c r="P1483">
        <v>33.799999999999997</v>
      </c>
      <c r="S1483" s="74">
        <v>38049</v>
      </c>
      <c r="T1483" s="77">
        <v>4.1666666666666664E-2</v>
      </c>
      <c r="V1483">
        <v>51.08</v>
      </c>
      <c r="X1483" s="42"/>
      <c r="AB1483">
        <v>36.1</v>
      </c>
      <c r="AC1483">
        <v>50</v>
      </c>
      <c r="AE1483" s="74"/>
      <c r="AF1483" s="77"/>
      <c r="AH1483" s="497">
        <v>33.799999999999997</v>
      </c>
      <c r="AJ1483" s="42"/>
      <c r="AK1483" s="74"/>
      <c r="AL1483" s="77"/>
      <c r="AN1483" s="497">
        <v>41</v>
      </c>
      <c r="AP1483" s="42"/>
      <c r="AQ1483" s="74"/>
      <c r="AR1483" s="77"/>
      <c r="AT1483" s="497">
        <v>17.96</v>
      </c>
      <c r="AV1483" s="42"/>
      <c r="AW1483" s="74"/>
      <c r="AX1483" s="77"/>
      <c r="BA1483" s="497">
        <v>35.06</v>
      </c>
      <c r="BB1483" s="42"/>
      <c r="BC1483" s="74"/>
      <c r="BD1483" s="77"/>
      <c r="BF1483">
        <v>33.08</v>
      </c>
      <c r="BH1483" s="42"/>
      <c r="BI1483" s="74"/>
      <c r="BJ1483" s="77"/>
      <c r="BL1483" s="497">
        <v>21.92</v>
      </c>
      <c r="BN1483" s="42"/>
      <c r="BO1483" s="74"/>
      <c r="BP1483" s="77"/>
      <c r="BR1483" s="497">
        <v>19.939999999999998</v>
      </c>
      <c r="BT1483" s="42"/>
    </row>
    <row r="1484" spans="1:72" x14ac:dyDescent="0.25">
      <c r="A1484" s="90">
        <v>38049</v>
      </c>
      <c r="B1484" s="20">
        <v>8.3333333333333329E-2</v>
      </c>
      <c r="D1484">
        <v>30.02</v>
      </c>
      <c r="E1484" t="str">
        <f t="shared" si="80"/>
        <v>WEEKDAY</v>
      </c>
      <c r="F1484" t="e">
        <f t="shared" si="81"/>
        <v>#N/A</v>
      </c>
      <c r="G1484" s="74">
        <v>32935</v>
      </c>
      <c r="H1484" s="77">
        <v>8.3333333333333329E-2</v>
      </c>
      <c r="J1484">
        <v>44.06</v>
      </c>
      <c r="M1484" s="74">
        <v>36588</v>
      </c>
      <c r="N1484" s="77">
        <v>8.3333333333333329E-2</v>
      </c>
      <c r="P1484">
        <v>35.6</v>
      </c>
      <c r="S1484" s="74">
        <v>38049</v>
      </c>
      <c r="T1484" s="77">
        <v>8.3333333333333329E-2</v>
      </c>
      <c r="V1484">
        <v>51.08</v>
      </c>
      <c r="X1484" s="42"/>
      <c r="AB1484">
        <v>35.6</v>
      </c>
      <c r="AC1484">
        <v>48.019999999999996</v>
      </c>
      <c r="AE1484" s="74"/>
      <c r="AF1484" s="77"/>
      <c r="AH1484" s="497">
        <v>33.799999999999997</v>
      </c>
      <c r="AJ1484" s="42"/>
      <c r="AK1484" s="74"/>
      <c r="AL1484" s="77"/>
      <c r="AN1484" s="497">
        <v>42.08</v>
      </c>
      <c r="AP1484" s="42"/>
      <c r="AQ1484" s="74"/>
      <c r="AR1484" s="77"/>
      <c r="AT1484" s="497">
        <v>17.240000000000002</v>
      </c>
      <c r="AV1484" s="42"/>
      <c r="AW1484" s="74"/>
      <c r="AX1484" s="77"/>
      <c r="BA1484" s="497">
        <v>33.979999999999997</v>
      </c>
      <c r="BB1484" s="42"/>
      <c r="BC1484" s="74"/>
      <c r="BD1484" s="77"/>
      <c r="BF1484">
        <v>32</v>
      </c>
      <c r="BH1484" s="42"/>
      <c r="BI1484" s="74"/>
      <c r="BJ1484" s="77"/>
      <c r="BL1484" s="497">
        <v>21.92</v>
      </c>
      <c r="BN1484" s="42"/>
      <c r="BO1484" s="74"/>
      <c r="BP1484" s="77"/>
      <c r="BR1484" s="497">
        <v>17.059999999999999</v>
      </c>
      <c r="BT1484" s="42"/>
    </row>
    <row r="1485" spans="1:72" x14ac:dyDescent="0.25">
      <c r="A1485" s="90">
        <v>38049</v>
      </c>
      <c r="B1485" s="20">
        <v>0.125</v>
      </c>
      <c r="D1485">
        <v>28.94</v>
      </c>
      <c r="E1485" t="str">
        <f t="shared" si="80"/>
        <v>WEEKDAY</v>
      </c>
      <c r="F1485" t="e">
        <f t="shared" si="81"/>
        <v>#N/A</v>
      </c>
      <c r="G1485" s="74">
        <v>32935</v>
      </c>
      <c r="H1485" s="77">
        <v>0.125</v>
      </c>
      <c r="J1485">
        <v>42.980000000000004</v>
      </c>
      <c r="M1485" s="74">
        <v>36588</v>
      </c>
      <c r="N1485" s="77">
        <v>0.125</v>
      </c>
      <c r="P1485">
        <v>33.799999999999997</v>
      </c>
      <c r="S1485" s="74">
        <v>38049</v>
      </c>
      <c r="T1485" s="77">
        <v>0.125</v>
      </c>
      <c r="V1485">
        <v>48.019999999999996</v>
      </c>
      <c r="X1485" s="42"/>
      <c r="AB1485">
        <v>35.1</v>
      </c>
      <c r="AC1485">
        <v>46.94</v>
      </c>
      <c r="AE1485" s="74"/>
      <c r="AF1485" s="77"/>
      <c r="AH1485" s="497">
        <v>32</v>
      </c>
      <c r="AJ1485" s="42"/>
      <c r="AK1485" s="74"/>
      <c r="AL1485" s="77"/>
      <c r="AN1485" s="497">
        <v>42.980000000000004</v>
      </c>
      <c r="AP1485" s="42"/>
      <c r="AQ1485" s="74"/>
      <c r="AR1485" s="77"/>
      <c r="AT1485" s="497">
        <v>16.7</v>
      </c>
      <c r="AV1485" s="42"/>
      <c r="AW1485" s="74"/>
      <c r="AX1485" s="77"/>
      <c r="BA1485" s="497">
        <v>33.979999999999997</v>
      </c>
      <c r="BB1485" s="42"/>
      <c r="BC1485" s="74"/>
      <c r="BD1485" s="77"/>
      <c r="BF1485">
        <v>30.92</v>
      </c>
      <c r="BH1485" s="42"/>
      <c r="BI1485" s="74"/>
      <c r="BJ1485" s="77"/>
      <c r="BL1485" s="497">
        <v>23</v>
      </c>
      <c r="BN1485" s="42"/>
      <c r="BO1485" s="74"/>
      <c r="BP1485" s="77"/>
      <c r="BR1485" s="497">
        <v>15.98</v>
      </c>
      <c r="BT1485" s="42"/>
    </row>
    <row r="1486" spans="1:72" x14ac:dyDescent="0.25">
      <c r="A1486" s="90">
        <v>38049</v>
      </c>
      <c r="B1486" s="20">
        <v>0.16666666666666666</v>
      </c>
      <c r="D1486">
        <v>28.94</v>
      </c>
      <c r="E1486" t="str">
        <f t="shared" si="80"/>
        <v>WEEKDAY</v>
      </c>
      <c r="F1486" t="e">
        <f t="shared" si="81"/>
        <v>#N/A</v>
      </c>
      <c r="G1486" s="74">
        <v>32935</v>
      </c>
      <c r="H1486" s="77">
        <v>0.16666666666666666</v>
      </c>
      <c r="J1486">
        <v>44.06</v>
      </c>
      <c r="M1486" s="74">
        <v>36588</v>
      </c>
      <c r="N1486" s="77">
        <v>0.16666666666666666</v>
      </c>
      <c r="P1486">
        <v>33.799999999999997</v>
      </c>
      <c r="S1486" s="74">
        <v>38049</v>
      </c>
      <c r="T1486" s="77">
        <v>0.16666666666666666</v>
      </c>
      <c r="V1486">
        <v>48.019999999999996</v>
      </c>
      <c r="X1486" s="42"/>
      <c r="AB1486">
        <v>34.700000000000003</v>
      </c>
      <c r="AC1486">
        <v>46.94</v>
      </c>
      <c r="AE1486" s="74"/>
      <c r="AF1486" s="77"/>
      <c r="AH1486" s="497">
        <v>32</v>
      </c>
      <c r="AJ1486" s="42"/>
      <c r="AK1486" s="74"/>
      <c r="AL1486" s="77"/>
      <c r="AN1486" s="497">
        <v>44.06</v>
      </c>
      <c r="AP1486" s="42"/>
      <c r="AQ1486" s="74"/>
      <c r="AR1486" s="77"/>
      <c r="AT1486" s="497">
        <v>15.98</v>
      </c>
      <c r="AV1486" s="42"/>
      <c r="AW1486" s="74"/>
      <c r="AX1486" s="77"/>
      <c r="BA1486" s="497">
        <v>33.979999999999997</v>
      </c>
      <c r="BB1486" s="42"/>
      <c r="BC1486" s="74"/>
      <c r="BD1486" s="77"/>
      <c r="BF1486">
        <v>26.96</v>
      </c>
      <c r="BH1486" s="42"/>
      <c r="BI1486" s="74"/>
      <c r="BJ1486" s="77"/>
      <c r="BL1486" s="497">
        <v>21.92</v>
      </c>
      <c r="BN1486" s="42"/>
      <c r="BO1486" s="74"/>
      <c r="BP1486" s="77"/>
      <c r="BR1486" s="497">
        <v>14</v>
      </c>
      <c r="BT1486" s="42"/>
    </row>
    <row r="1487" spans="1:72" x14ac:dyDescent="0.25">
      <c r="A1487" s="90">
        <v>38049</v>
      </c>
      <c r="B1487" s="20">
        <v>0.20833333333333334</v>
      </c>
      <c r="D1487">
        <v>28.94</v>
      </c>
      <c r="E1487" t="str">
        <f t="shared" si="80"/>
        <v>WEEKDAY</v>
      </c>
      <c r="F1487" t="e">
        <f t="shared" si="81"/>
        <v>#N/A</v>
      </c>
      <c r="G1487" s="74">
        <v>32935</v>
      </c>
      <c r="H1487" s="77">
        <v>0.20833333333333334</v>
      </c>
      <c r="J1487">
        <v>42.980000000000004</v>
      </c>
      <c r="M1487" s="74">
        <v>36588</v>
      </c>
      <c r="N1487" s="77">
        <v>0.20833333333333334</v>
      </c>
      <c r="P1487">
        <v>33.799999999999997</v>
      </c>
      <c r="S1487" s="74">
        <v>38049</v>
      </c>
      <c r="T1487" s="77">
        <v>0.20833333333333334</v>
      </c>
      <c r="V1487">
        <v>46.94</v>
      </c>
      <c r="X1487" s="42"/>
      <c r="AB1487">
        <v>34.1</v>
      </c>
      <c r="AC1487">
        <v>46.04</v>
      </c>
      <c r="AE1487" s="74"/>
      <c r="AF1487" s="77"/>
      <c r="AH1487" s="497">
        <v>32.9</v>
      </c>
      <c r="AJ1487" s="42"/>
      <c r="AK1487" s="74"/>
      <c r="AL1487" s="77"/>
      <c r="AN1487" s="497">
        <v>46.04</v>
      </c>
      <c r="AP1487" s="42"/>
      <c r="AQ1487" s="74"/>
      <c r="AR1487" s="77"/>
      <c r="AT1487" s="497">
        <v>17.059999999999999</v>
      </c>
      <c r="AV1487" s="42"/>
      <c r="AW1487" s="74"/>
      <c r="AX1487" s="77"/>
      <c r="BA1487" s="497">
        <v>33.08</v>
      </c>
      <c r="BB1487" s="42"/>
      <c r="BC1487" s="74"/>
      <c r="BD1487" s="77"/>
      <c r="BF1487">
        <v>24.98</v>
      </c>
      <c r="BH1487" s="42"/>
      <c r="BI1487" s="74"/>
      <c r="BJ1487" s="77"/>
      <c r="BL1487" s="497">
        <v>21.02</v>
      </c>
      <c r="BN1487" s="42"/>
      <c r="BO1487" s="74"/>
      <c r="BP1487" s="77"/>
      <c r="BR1487" s="497">
        <v>12.920000000000002</v>
      </c>
      <c r="BT1487" s="42"/>
    </row>
    <row r="1488" spans="1:72" x14ac:dyDescent="0.25">
      <c r="A1488" s="90">
        <v>38049</v>
      </c>
      <c r="B1488" s="20">
        <v>0.25</v>
      </c>
      <c r="D1488">
        <v>28.04</v>
      </c>
      <c r="E1488" t="str">
        <f t="shared" si="80"/>
        <v>WEEKDAY</v>
      </c>
      <c r="F1488" t="e">
        <f t="shared" si="81"/>
        <v>#N/A</v>
      </c>
      <c r="G1488" s="74">
        <v>32935</v>
      </c>
      <c r="H1488" s="77">
        <v>0.25</v>
      </c>
      <c r="J1488">
        <v>42.08</v>
      </c>
      <c r="M1488" s="74">
        <v>36588</v>
      </c>
      <c r="N1488" s="77">
        <v>0.25</v>
      </c>
      <c r="P1488">
        <v>33.799999999999997</v>
      </c>
      <c r="S1488" s="74">
        <v>38049</v>
      </c>
      <c r="T1488" s="77">
        <v>0.25</v>
      </c>
      <c r="V1488">
        <v>48.019999999999996</v>
      </c>
      <c r="X1488" s="42"/>
      <c r="AB1488">
        <v>33.799999999999997</v>
      </c>
      <c r="AC1488">
        <v>46.04</v>
      </c>
      <c r="AE1488" s="74"/>
      <c r="AF1488" s="77"/>
      <c r="AH1488" s="497">
        <v>33.799999999999997</v>
      </c>
      <c r="AJ1488" s="42"/>
      <c r="AK1488" s="74"/>
      <c r="AL1488" s="77"/>
      <c r="AN1488" s="497">
        <v>46.94</v>
      </c>
      <c r="AP1488" s="42"/>
      <c r="AQ1488" s="74"/>
      <c r="AR1488" s="77"/>
      <c r="AT1488" s="497">
        <v>17.96</v>
      </c>
      <c r="AV1488" s="42"/>
      <c r="AW1488" s="74"/>
      <c r="AX1488" s="77"/>
      <c r="BA1488" s="497">
        <v>30.02</v>
      </c>
      <c r="BB1488" s="42"/>
      <c r="BC1488" s="74"/>
      <c r="BD1488" s="77"/>
      <c r="BF1488">
        <v>24.98</v>
      </c>
      <c r="BH1488" s="42"/>
      <c r="BI1488" s="74"/>
      <c r="BJ1488" s="77"/>
      <c r="BL1488" s="497">
        <v>19.04</v>
      </c>
      <c r="BN1488" s="42"/>
      <c r="BO1488" s="74"/>
      <c r="BP1488" s="77"/>
      <c r="BR1488" s="497">
        <v>12.02</v>
      </c>
      <c r="BT1488" s="42"/>
    </row>
    <row r="1489" spans="1:72" x14ac:dyDescent="0.25">
      <c r="A1489" s="90">
        <v>38049</v>
      </c>
      <c r="B1489" s="20">
        <v>0.29166666666666669</v>
      </c>
      <c r="D1489">
        <v>28.04</v>
      </c>
      <c r="E1489" t="str">
        <f t="shared" si="80"/>
        <v>WEEKDAY</v>
      </c>
      <c r="F1489" t="e">
        <f t="shared" si="81"/>
        <v>#N/A</v>
      </c>
      <c r="G1489" s="74">
        <v>32935</v>
      </c>
      <c r="H1489" s="77">
        <v>0.29166666666666669</v>
      </c>
      <c r="J1489">
        <v>41</v>
      </c>
      <c r="M1489" s="74">
        <v>36588</v>
      </c>
      <c r="N1489" s="77">
        <v>0.29166666666666669</v>
      </c>
      <c r="P1489">
        <v>33.799999999999997</v>
      </c>
      <c r="S1489" s="74">
        <v>38049</v>
      </c>
      <c r="T1489" s="77">
        <v>0.29166666666666669</v>
      </c>
      <c r="V1489">
        <v>48.019999999999996</v>
      </c>
      <c r="X1489" s="42"/>
      <c r="AB1489">
        <v>33.6</v>
      </c>
      <c r="AC1489">
        <v>44.96</v>
      </c>
      <c r="AE1489" s="74"/>
      <c r="AF1489" s="77"/>
      <c r="AH1489" s="497">
        <v>33.799999999999997</v>
      </c>
      <c r="AJ1489" s="42"/>
      <c r="AK1489" s="74"/>
      <c r="AL1489" s="77"/>
      <c r="AN1489" s="497">
        <v>48.019999999999996</v>
      </c>
      <c r="AP1489" s="42"/>
      <c r="AQ1489" s="74"/>
      <c r="AR1489" s="77"/>
      <c r="AT1489" s="497">
        <v>19.04</v>
      </c>
      <c r="AV1489" s="42"/>
      <c r="AW1489" s="74"/>
      <c r="AX1489" s="77"/>
      <c r="BA1489" s="497">
        <v>28.94</v>
      </c>
      <c r="BB1489" s="42"/>
      <c r="BC1489" s="74"/>
      <c r="BD1489" s="77"/>
      <c r="BF1489">
        <v>24.08</v>
      </c>
      <c r="BH1489" s="42"/>
      <c r="BI1489" s="74"/>
      <c r="BJ1489" s="77"/>
      <c r="BL1489" s="497">
        <v>19.04</v>
      </c>
      <c r="BN1489" s="42"/>
      <c r="BO1489" s="74"/>
      <c r="BP1489" s="77"/>
      <c r="BR1489" s="497">
        <v>10.940000000000001</v>
      </c>
      <c r="BT1489" s="42"/>
    </row>
    <row r="1490" spans="1:72" x14ac:dyDescent="0.25">
      <c r="A1490" s="90">
        <v>38049</v>
      </c>
      <c r="B1490" s="20">
        <v>0.33333333333333331</v>
      </c>
      <c r="D1490">
        <v>30.92</v>
      </c>
      <c r="E1490" t="str">
        <f t="shared" si="80"/>
        <v>WEEKDAY</v>
      </c>
      <c r="F1490" t="e">
        <f t="shared" si="81"/>
        <v>#N/A</v>
      </c>
      <c r="G1490" s="74">
        <v>32935</v>
      </c>
      <c r="H1490" s="77">
        <v>0.33333333333333331</v>
      </c>
      <c r="J1490">
        <v>42.980000000000004</v>
      </c>
      <c r="M1490" s="74">
        <v>36588</v>
      </c>
      <c r="N1490" s="77">
        <v>0.33333333333333331</v>
      </c>
      <c r="P1490">
        <v>33.799999999999997</v>
      </c>
      <c r="S1490" s="74">
        <v>38049</v>
      </c>
      <c r="T1490" s="77">
        <v>0.33333333333333331</v>
      </c>
      <c r="V1490">
        <v>48.92</v>
      </c>
      <c r="X1490" s="42"/>
      <c r="AB1490">
        <v>33.700000000000003</v>
      </c>
      <c r="AC1490">
        <v>48.019999999999996</v>
      </c>
      <c r="AE1490" s="74"/>
      <c r="AF1490" s="77"/>
      <c r="AH1490" s="497">
        <v>35.6</v>
      </c>
      <c r="AJ1490" s="42"/>
      <c r="AK1490" s="74"/>
      <c r="AL1490" s="77"/>
      <c r="AN1490" s="497">
        <v>48.92</v>
      </c>
      <c r="AP1490" s="42"/>
      <c r="AQ1490" s="74"/>
      <c r="AR1490" s="77"/>
      <c r="AT1490" s="497">
        <v>20.66</v>
      </c>
      <c r="AV1490" s="42"/>
      <c r="AW1490" s="74"/>
      <c r="AX1490" s="77"/>
      <c r="BA1490" s="497">
        <v>30.92</v>
      </c>
      <c r="BB1490" s="42"/>
      <c r="BC1490" s="74"/>
      <c r="BD1490" s="77"/>
      <c r="BF1490">
        <v>24.98</v>
      </c>
      <c r="BH1490" s="42"/>
      <c r="BI1490" s="74"/>
      <c r="BJ1490" s="77"/>
      <c r="BL1490" s="497">
        <v>24.08</v>
      </c>
      <c r="BN1490" s="42"/>
      <c r="BO1490" s="74"/>
      <c r="BP1490" s="77"/>
      <c r="BR1490" s="497">
        <v>14</v>
      </c>
      <c r="BT1490" s="42"/>
    </row>
    <row r="1491" spans="1:72" x14ac:dyDescent="0.25">
      <c r="A1491" s="90">
        <v>38049</v>
      </c>
      <c r="B1491" s="20">
        <v>0.375</v>
      </c>
      <c r="D1491">
        <v>32</v>
      </c>
      <c r="E1491" t="str">
        <f t="shared" ref="E1491:E1554" si="82">IF(COUNTIF($DI$18:$DI$22, WEEKDAY(A1491))=1, "WEEKDAY", IF(WEEKDAY(A1491) = 1, "SUNDAY", "SATURDAY"))</f>
        <v>WEEKDAY</v>
      </c>
      <c r="F1491" t="e">
        <f t="shared" si="81"/>
        <v>#N/A</v>
      </c>
      <c r="G1491" s="74">
        <v>32935</v>
      </c>
      <c r="H1491" s="77">
        <v>0.375</v>
      </c>
      <c r="J1491">
        <v>42.980000000000004</v>
      </c>
      <c r="M1491" s="74">
        <v>36588</v>
      </c>
      <c r="N1491" s="77">
        <v>0.375</v>
      </c>
      <c r="P1491">
        <v>35.6</v>
      </c>
      <c r="S1491" s="74">
        <v>38049</v>
      </c>
      <c r="T1491" s="77">
        <v>0.375</v>
      </c>
      <c r="V1491">
        <v>51.08</v>
      </c>
      <c r="X1491" s="42"/>
      <c r="AB1491">
        <v>35.299999999999997</v>
      </c>
      <c r="AC1491">
        <v>55.94</v>
      </c>
      <c r="AE1491" s="74"/>
      <c r="AF1491" s="77"/>
      <c r="AH1491" s="497">
        <v>37.4</v>
      </c>
      <c r="AJ1491" s="42"/>
      <c r="AK1491" s="74"/>
      <c r="AL1491" s="77"/>
      <c r="AN1491" s="497">
        <v>50</v>
      </c>
      <c r="AP1491" s="42"/>
      <c r="AQ1491" s="74"/>
      <c r="AR1491" s="77"/>
      <c r="AT1491" s="497">
        <v>22.46</v>
      </c>
      <c r="AV1491" s="42"/>
      <c r="AW1491" s="74"/>
      <c r="AX1491" s="77"/>
      <c r="BA1491" s="497">
        <v>33.08</v>
      </c>
      <c r="BB1491" s="42"/>
      <c r="BC1491" s="74"/>
      <c r="BD1491" s="77"/>
      <c r="BF1491">
        <v>24.98</v>
      </c>
      <c r="BH1491" s="42"/>
      <c r="BI1491" s="74"/>
      <c r="BJ1491" s="77"/>
      <c r="BL1491" s="497">
        <v>28.04</v>
      </c>
      <c r="BN1491" s="42"/>
      <c r="BO1491" s="74"/>
      <c r="BP1491" s="77"/>
      <c r="BR1491" s="497">
        <v>15.079999999999998</v>
      </c>
      <c r="BT1491" s="42"/>
    </row>
    <row r="1492" spans="1:72" x14ac:dyDescent="0.25">
      <c r="A1492" s="90">
        <v>38049</v>
      </c>
      <c r="B1492" s="20">
        <v>0.41666666666666669</v>
      </c>
      <c r="D1492">
        <v>32</v>
      </c>
      <c r="E1492" t="str">
        <f t="shared" si="82"/>
        <v>WEEKDAY</v>
      </c>
      <c r="F1492" t="e">
        <f t="shared" si="81"/>
        <v>#N/A</v>
      </c>
      <c r="G1492" s="74">
        <v>32935</v>
      </c>
      <c r="H1492" s="77">
        <v>0.41666666666666669</v>
      </c>
      <c r="J1492">
        <v>44.06</v>
      </c>
      <c r="M1492" s="74">
        <v>36588</v>
      </c>
      <c r="N1492" s="77">
        <v>0.41666666666666669</v>
      </c>
      <c r="P1492">
        <v>37.4</v>
      </c>
      <c r="S1492" s="74">
        <v>38049</v>
      </c>
      <c r="T1492" s="77">
        <v>0.41666666666666669</v>
      </c>
      <c r="V1492">
        <v>53.06</v>
      </c>
      <c r="X1492" s="42"/>
      <c r="AB1492">
        <v>37</v>
      </c>
      <c r="AC1492">
        <v>57.92</v>
      </c>
      <c r="AE1492" s="74"/>
      <c r="AF1492" s="77"/>
      <c r="AH1492" s="497">
        <v>37.4</v>
      </c>
      <c r="AJ1492" s="42"/>
      <c r="AK1492" s="74"/>
      <c r="AL1492" s="77"/>
      <c r="AN1492" s="497">
        <v>50</v>
      </c>
      <c r="AP1492" s="42"/>
      <c r="AQ1492" s="74"/>
      <c r="AR1492" s="77"/>
      <c r="AT1492" s="497">
        <v>24.08</v>
      </c>
      <c r="AV1492" s="42"/>
      <c r="AW1492" s="74"/>
      <c r="AX1492" s="77"/>
      <c r="BA1492" s="497">
        <v>33.08</v>
      </c>
      <c r="BB1492" s="42"/>
      <c r="BC1492" s="74"/>
      <c r="BD1492" s="77"/>
      <c r="BF1492">
        <v>26.96</v>
      </c>
      <c r="BH1492" s="42"/>
      <c r="BI1492" s="74"/>
      <c r="BJ1492" s="77"/>
      <c r="BL1492" s="497">
        <v>33.08</v>
      </c>
      <c r="BN1492" s="42"/>
      <c r="BO1492" s="74"/>
      <c r="BP1492" s="77"/>
      <c r="BR1492" s="497">
        <v>15.079999999999998</v>
      </c>
      <c r="BT1492" s="42"/>
    </row>
    <row r="1493" spans="1:72" x14ac:dyDescent="0.25">
      <c r="A1493" s="90">
        <v>38049</v>
      </c>
      <c r="B1493" s="20">
        <v>0.45833333333333331</v>
      </c>
      <c r="D1493">
        <v>33.08</v>
      </c>
      <c r="E1493" t="str">
        <f t="shared" si="82"/>
        <v>WEEKDAY</v>
      </c>
      <c r="F1493" t="e">
        <f t="shared" si="81"/>
        <v>#N/A</v>
      </c>
      <c r="G1493" s="74">
        <v>32935</v>
      </c>
      <c r="H1493" s="77">
        <v>0.45833333333333331</v>
      </c>
      <c r="J1493">
        <v>44.06</v>
      </c>
      <c r="M1493" s="74">
        <v>36588</v>
      </c>
      <c r="N1493" s="77">
        <v>0.45833333333333331</v>
      </c>
      <c r="P1493">
        <v>39.200000000000003</v>
      </c>
      <c r="S1493" s="74">
        <v>38049</v>
      </c>
      <c r="T1493" s="77">
        <v>0.45833333333333331</v>
      </c>
      <c r="V1493">
        <v>55.040000000000006</v>
      </c>
      <c r="X1493" s="42"/>
      <c r="AB1493">
        <v>38.700000000000003</v>
      </c>
      <c r="AC1493">
        <v>57.019999999999996</v>
      </c>
      <c r="AE1493" s="74"/>
      <c r="AF1493" s="77"/>
      <c r="AH1493" s="497">
        <v>39.200000000000003</v>
      </c>
      <c r="AJ1493" s="42"/>
      <c r="AK1493" s="74"/>
      <c r="AL1493" s="77"/>
      <c r="AN1493" s="497">
        <v>51.980000000000004</v>
      </c>
      <c r="AP1493" s="42"/>
      <c r="AQ1493" s="74"/>
      <c r="AR1493" s="77"/>
      <c r="AT1493" s="497">
        <v>26.060000000000002</v>
      </c>
      <c r="AV1493" s="42"/>
      <c r="AW1493" s="74"/>
      <c r="AX1493" s="77"/>
      <c r="BA1493" s="497">
        <v>35.06</v>
      </c>
      <c r="BB1493" s="42"/>
      <c r="BC1493" s="74"/>
      <c r="BD1493" s="77"/>
      <c r="BF1493">
        <v>26.96</v>
      </c>
      <c r="BH1493" s="42"/>
      <c r="BI1493" s="74"/>
      <c r="BJ1493" s="77"/>
      <c r="BL1493" s="497">
        <v>37.04</v>
      </c>
      <c r="BN1493" s="42"/>
      <c r="BO1493" s="74"/>
      <c r="BP1493" s="77"/>
      <c r="BR1493" s="497">
        <v>17.059999999999999</v>
      </c>
      <c r="BT1493" s="42"/>
    </row>
    <row r="1494" spans="1:72" x14ac:dyDescent="0.25">
      <c r="A1494" s="90">
        <v>38049</v>
      </c>
      <c r="B1494" s="20">
        <v>0.5</v>
      </c>
      <c r="D1494">
        <v>33.979999999999997</v>
      </c>
      <c r="E1494" t="str">
        <f t="shared" si="82"/>
        <v>WEEKDAY</v>
      </c>
      <c r="F1494" t="e">
        <f t="shared" si="81"/>
        <v>#N/A</v>
      </c>
      <c r="G1494" s="74">
        <v>32935</v>
      </c>
      <c r="H1494" s="77">
        <v>0.5</v>
      </c>
      <c r="J1494">
        <v>46.04</v>
      </c>
      <c r="M1494" s="74">
        <v>36588</v>
      </c>
      <c r="N1494" s="77">
        <v>0.5</v>
      </c>
      <c r="P1494">
        <v>41.36</v>
      </c>
      <c r="S1494" s="74">
        <v>38049</v>
      </c>
      <c r="T1494" s="77">
        <v>0.5</v>
      </c>
      <c r="V1494">
        <v>57.019999999999996</v>
      </c>
      <c r="X1494" s="42"/>
      <c r="AB1494">
        <v>40</v>
      </c>
      <c r="AC1494">
        <v>60.980000000000004</v>
      </c>
      <c r="AE1494" s="74"/>
      <c r="AF1494" s="77"/>
      <c r="AH1494" s="497">
        <v>39.200000000000003</v>
      </c>
      <c r="AJ1494" s="42"/>
      <c r="AK1494" s="74"/>
      <c r="AL1494" s="77"/>
      <c r="AN1494" s="497">
        <v>53.96</v>
      </c>
      <c r="AP1494" s="42"/>
      <c r="AQ1494" s="74"/>
      <c r="AR1494" s="77"/>
      <c r="AT1494" s="497">
        <v>28.04</v>
      </c>
      <c r="AV1494" s="42"/>
      <c r="AW1494" s="74"/>
      <c r="AX1494" s="77"/>
      <c r="BA1494" s="497">
        <v>35.96</v>
      </c>
      <c r="BB1494" s="42"/>
      <c r="BC1494" s="74"/>
      <c r="BD1494" s="77"/>
      <c r="BF1494">
        <v>28.04</v>
      </c>
      <c r="BH1494" s="42"/>
      <c r="BI1494" s="74"/>
      <c r="BJ1494" s="77"/>
      <c r="BL1494" s="497">
        <v>39.92</v>
      </c>
      <c r="BN1494" s="42"/>
      <c r="BO1494" s="74"/>
      <c r="BP1494" s="77"/>
      <c r="BR1494" s="497">
        <v>17.96</v>
      </c>
      <c r="BT1494" s="42"/>
    </row>
    <row r="1495" spans="1:72" x14ac:dyDescent="0.25">
      <c r="A1495" s="90">
        <v>38049</v>
      </c>
      <c r="B1495" s="20">
        <v>0.54166666666666663</v>
      </c>
      <c r="D1495">
        <v>35.96</v>
      </c>
      <c r="E1495" t="str">
        <f t="shared" si="82"/>
        <v>WEEKDAY</v>
      </c>
      <c r="F1495" t="e">
        <f t="shared" si="81"/>
        <v>#N/A</v>
      </c>
      <c r="G1495" s="74">
        <v>32935</v>
      </c>
      <c r="H1495" s="77">
        <v>0.54166666666666663</v>
      </c>
      <c r="J1495">
        <v>48.019999999999996</v>
      </c>
      <c r="M1495" s="74">
        <v>36588</v>
      </c>
      <c r="N1495" s="77">
        <v>0.54166666666666663</v>
      </c>
      <c r="P1495">
        <v>42.8</v>
      </c>
      <c r="S1495" s="74">
        <v>38049</v>
      </c>
      <c r="T1495" s="77">
        <v>0.54166666666666663</v>
      </c>
      <c r="V1495">
        <v>57.92</v>
      </c>
      <c r="X1495" s="42"/>
      <c r="AB1495">
        <v>41</v>
      </c>
      <c r="AC1495">
        <v>66.02</v>
      </c>
      <c r="AE1495" s="74"/>
      <c r="AF1495" s="77"/>
      <c r="AH1495" s="497">
        <v>44.6</v>
      </c>
      <c r="AJ1495" s="42"/>
      <c r="AK1495" s="74"/>
      <c r="AL1495" s="77"/>
      <c r="AN1495" s="497">
        <v>53.96</v>
      </c>
      <c r="AP1495" s="42"/>
      <c r="AQ1495" s="74"/>
      <c r="AR1495" s="77"/>
      <c r="AT1495" s="497">
        <v>30.02</v>
      </c>
      <c r="AV1495" s="42"/>
      <c r="AW1495" s="74"/>
      <c r="AX1495" s="77"/>
      <c r="BA1495" s="497">
        <v>35.96</v>
      </c>
      <c r="BB1495" s="42"/>
      <c r="BC1495" s="74"/>
      <c r="BD1495" s="77"/>
      <c r="BF1495">
        <v>26.96</v>
      </c>
      <c r="BH1495" s="42"/>
      <c r="BI1495" s="74"/>
      <c r="BJ1495" s="77"/>
      <c r="BL1495" s="497">
        <v>42.08</v>
      </c>
      <c r="BN1495" s="42"/>
      <c r="BO1495" s="74"/>
      <c r="BP1495" s="77"/>
      <c r="BR1495" s="497">
        <v>19.939999999999998</v>
      </c>
      <c r="BT1495" s="42"/>
    </row>
    <row r="1496" spans="1:72" x14ac:dyDescent="0.25">
      <c r="A1496" s="90">
        <v>38049</v>
      </c>
      <c r="B1496" s="20">
        <v>0.58333333333333337</v>
      </c>
      <c r="D1496">
        <v>35.96</v>
      </c>
      <c r="E1496" t="str">
        <f t="shared" si="82"/>
        <v>WEEKDAY</v>
      </c>
      <c r="F1496" t="e">
        <f t="shared" si="81"/>
        <v>#N/A</v>
      </c>
      <c r="G1496" s="74">
        <v>32935</v>
      </c>
      <c r="H1496" s="77">
        <v>0.58333333333333337</v>
      </c>
      <c r="J1496">
        <v>48.92</v>
      </c>
      <c r="M1496" s="74">
        <v>36588</v>
      </c>
      <c r="N1496" s="77">
        <v>0.58333333333333337</v>
      </c>
      <c r="P1496">
        <v>42.8</v>
      </c>
      <c r="S1496" s="74">
        <v>38049</v>
      </c>
      <c r="T1496" s="77">
        <v>0.58333333333333337</v>
      </c>
      <c r="V1496">
        <v>59</v>
      </c>
      <c r="X1496" s="42"/>
      <c r="AB1496">
        <v>41.9</v>
      </c>
      <c r="AC1496">
        <v>60.08</v>
      </c>
      <c r="AE1496" s="74"/>
      <c r="AF1496" s="77"/>
      <c r="AH1496" s="497">
        <v>44.6</v>
      </c>
      <c r="AJ1496" s="42"/>
      <c r="AK1496" s="74"/>
      <c r="AL1496" s="77"/>
      <c r="AN1496" s="497">
        <v>55.040000000000006</v>
      </c>
      <c r="AP1496" s="42"/>
      <c r="AQ1496" s="74"/>
      <c r="AR1496" s="77"/>
      <c r="AT1496" s="497">
        <v>30.02</v>
      </c>
      <c r="AV1496" s="42"/>
      <c r="AW1496" s="74"/>
      <c r="AX1496" s="77"/>
      <c r="BA1496" s="497">
        <v>33.979999999999997</v>
      </c>
      <c r="BB1496" s="42"/>
      <c r="BC1496" s="74"/>
      <c r="BD1496" s="77"/>
      <c r="BF1496">
        <v>26.060000000000002</v>
      </c>
      <c r="BH1496" s="42"/>
      <c r="BI1496" s="74"/>
      <c r="BJ1496" s="77"/>
      <c r="BL1496" s="497">
        <v>42.980000000000004</v>
      </c>
      <c r="BN1496" s="42"/>
      <c r="BO1496" s="74"/>
      <c r="BP1496" s="77"/>
      <c r="BR1496" s="497">
        <v>19.939999999999998</v>
      </c>
      <c r="BT1496" s="42"/>
    </row>
    <row r="1497" spans="1:72" x14ac:dyDescent="0.25">
      <c r="A1497" s="90">
        <v>38049</v>
      </c>
      <c r="B1497" s="20">
        <v>0.625</v>
      </c>
      <c r="D1497">
        <v>37.04</v>
      </c>
      <c r="E1497" t="str">
        <f t="shared" si="82"/>
        <v>WEEKDAY</v>
      </c>
      <c r="F1497" t="e">
        <f t="shared" si="81"/>
        <v>#N/A</v>
      </c>
      <c r="G1497" s="74">
        <v>32935</v>
      </c>
      <c r="H1497" s="77">
        <v>0.625</v>
      </c>
      <c r="J1497">
        <v>48.92</v>
      </c>
      <c r="M1497" s="74">
        <v>36588</v>
      </c>
      <c r="N1497" s="77">
        <v>0.625</v>
      </c>
      <c r="P1497">
        <v>44.6</v>
      </c>
      <c r="S1497" s="74">
        <v>38049</v>
      </c>
      <c r="T1497" s="77">
        <v>0.625</v>
      </c>
      <c r="V1497">
        <v>59</v>
      </c>
      <c r="X1497" s="42"/>
      <c r="AB1497">
        <v>42.4</v>
      </c>
      <c r="AC1497">
        <v>57.019999999999996</v>
      </c>
      <c r="AE1497" s="74"/>
      <c r="AF1497" s="77"/>
      <c r="AH1497" s="497">
        <v>44.6</v>
      </c>
      <c r="AJ1497" s="42"/>
      <c r="AK1497" s="74"/>
      <c r="AL1497" s="77"/>
      <c r="AN1497" s="497">
        <v>44.96</v>
      </c>
      <c r="AP1497" s="42"/>
      <c r="AQ1497" s="74"/>
      <c r="AR1497" s="77"/>
      <c r="AT1497" s="497">
        <v>30.02</v>
      </c>
      <c r="AV1497" s="42"/>
      <c r="AW1497" s="74"/>
      <c r="AX1497" s="77"/>
      <c r="BA1497" s="497">
        <v>33.979999999999997</v>
      </c>
      <c r="BB1497" s="42"/>
      <c r="BC1497" s="74"/>
      <c r="BD1497" s="77"/>
      <c r="BF1497">
        <v>24.98</v>
      </c>
      <c r="BH1497" s="42"/>
      <c r="BI1497" s="74"/>
      <c r="BJ1497" s="77"/>
      <c r="BL1497" s="497">
        <v>39.92</v>
      </c>
      <c r="BN1497" s="42"/>
      <c r="BO1497" s="74"/>
      <c r="BP1497" s="77"/>
      <c r="BR1497" s="497">
        <v>19.939999999999998</v>
      </c>
      <c r="BT1497" s="42"/>
    </row>
    <row r="1498" spans="1:72" x14ac:dyDescent="0.25">
      <c r="A1498" s="90">
        <v>38049</v>
      </c>
      <c r="B1498" s="20">
        <v>0.66666666666666663</v>
      </c>
      <c r="D1498">
        <v>37.04</v>
      </c>
      <c r="E1498" t="str">
        <f t="shared" si="82"/>
        <v>WEEKDAY</v>
      </c>
      <c r="F1498" t="e">
        <f t="shared" si="81"/>
        <v>#N/A</v>
      </c>
      <c r="G1498" s="74">
        <v>32935</v>
      </c>
      <c r="H1498" s="77">
        <v>0.66666666666666663</v>
      </c>
      <c r="J1498">
        <v>48.92</v>
      </c>
      <c r="M1498" s="74">
        <v>36588</v>
      </c>
      <c r="N1498" s="77">
        <v>0.66666666666666663</v>
      </c>
      <c r="P1498">
        <v>42.8</v>
      </c>
      <c r="S1498" s="74">
        <v>38049</v>
      </c>
      <c r="T1498" s="77">
        <v>0.66666666666666663</v>
      </c>
      <c r="V1498">
        <v>57.92</v>
      </c>
      <c r="X1498" s="42"/>
      <c r="AB1498">
        <v>42.5</v>
      </c>
      <c r="AC1498">
        <v>57.019999999999996</v>
      </c>
      <c r="AE1498" s="74"/>
      <c r="AF1498" s="77"/>
      <c r="AH1498" s="497">
        <v>44.6</v>
      </c>
      <c r="AJ1498" s="42"/>
      <c r="AK1498" s="74"/>
      <c r="AL1498" s="77"/>
      <c r="AN1498" s="497">
        <v>39.92</v>
      </c>
      <c r="AP1498" s="42"/>
      <c r="AQ1498" s="74"/>
      <c r="AR1498" s="77"/>
      <c r="AT1498" s="497">
        <v>30.02</v>
      </c>
      <c r="AV1498" s="42"/>
      <c r="AW1498" s="74"/>
      <c r="AX1498" s="77"/>
      <c r="BA1498" s="497">
        <v>30.92</v>
      </c>
      <c r="BB1498" s="42"/>
      <c r="BC1498" s="74"/>
      <c r="BD1498" s="77"/>
      <c r="BF1498">
        <v>24.98</v>
      </c>
      <c r="BH1498" s="42"/>
      <c r="BI1498" s="74"/>
      <c r="BJ1498" s="77"/>
      <c r="BL1498" s="497">
        <v>39.019999999999996</v>
      </c>
      <c r="BN1498" s="42"/>
      <c r="BO1498" s="74"/>
      <c r="BP1498" s="77"/>
      <c r="BR1498" s="497">
        <v>19.04</v>
      </c>
      <c r="BT1498" s="42"/>
    </row>
    <row r="1499" spans="1:72" x14ac:dyDescent="0.25">
      <c r="A1499" s="90">
        <v>38049</v>
      </c>
      <c r="B1499" s="20">
        <v>0.70833333333333337</v>
      </c>
      <c r="D1499">
        <v>37.94</v>
      </c>
      <c r="E1499" t="str">
        <f t="shared" si="82"/>
        <v>WEEKDAY</v>
      </c>
      <c r="F1499" t="e">
        <f t="shared" si="81"/>
        <v>#N/A</v>
      </c>
      <c r="G1499" s="74">
        <v>32935</v>
      </c>
      <c r="H1499" s="77">
        <v>0.70833333333333337</v>
      </c>
      <c r="J1499">
        <v>48.92</v>
      </c>
      <c r="M1499" s="74">
        <v>36588</v>
      </c>
      <c r="N1499" s="77">
        <v>0.70833333333333337</v>
      </c>
      <c r="P1499">
        <v>42.8</v>
      </c>
      <c r="S1499" s="74">
        <v>38049</v>
      </c>
      <c r="T1499" s="77">
        <v>0.70833333333333337</v>
      </c>
      <c r="V1499">
        <v>57.2</v>
      </c>
      <c r="X1499" s="42"/>
      <c r="AB1499">
        <v>42.2</v>
      </c>
      <c r="AC1499">
        <v>53.06</v>
      </c>
      <c r="AE1499" s="74"/>
      <c r="AF1499" s="77"/>
      <c r="AH1499" s="497">
        <v>42.8</v>
      </c>
      <c r="AJ1499" s="42"/>
      <c r="AK1499" s="74"/>
      <c r="AL1499" s="77"/>
      <c r="AN1499" s="497">
        <v>39.92</v>
      </c>
      <c r="AP1499" s="42"/>
      <c r="AQ1499" s="74"/>
      <c r="AR1499" s="77"/>
      <c r="AT1499" s="497">
        <v>30.38</v>
      </c>
      <c r="AV1499" s="42"/>
      <c r="AW1499" s="74"/>
      <c r="AX1499" s="77"/>
      <c r="BA1499" s="497">
        <v>28.94</v>
      </c>
      <c r="BB1499" s="42"/>
      <c r="BC1499" s="74"/>
      <c r="BD1499" s="77"/>
      <c r="BF1499">
        <v>23</v>
      </c>
      <c r="BH1499" s="42"/>
      <c r="BI1499" s="74"/>
      <c r="BJ1499" s="77"/>
      <c r="BL1499" s="497">
        <v>35.96</v>
      </c>
      <c r="BN1499" s="42"/>
      <c r="BO1499" s="74"/>
      <c r="BP1499" s="77"/>
      <c r="BR1499" s="497">
        <v>17.96</v>
      </c>
      <c r="BT1499" s="42"/>
    </row>
    <row r="1500" spans="1:72" x14ac:dyDescent="0.25">
      <c r="A1500" s="90">
        <v>38049</v>
      </c>
      <c r="B1500" s="20">
        <v>0.75</v>
      </c>
      <c r="D1500">
        <v>37.04</v>
      </c>
      <c r="E1500" t="str">
        <f t="shared" si="82"/>
        <v>WEEKDAY</v>
      </c>
      <c r="F1500" t="e">
        <f t="shared" si="81"/>
        <v>#N/A</v>
      </c>
      <c r="G1500" s="74">
        <v>32935</v>
      </c>
      <c r="H1500" s="77">
        <v>0.75</v>
      </c>
      <c r="J1500">
        <v>46.94</v>
      </c>
      <c r="M1500" s="74">
        <v>36588</v>
      </c>
      <c r="N1500" s="77">
        <v>0.75</v>
      </c>
      <c r="P1500">
        <v>42.8</v>
      </c>
      <c r="S1500" s="74">
        <v>38049</v>
      </c>
      <c r="T1500" s="77">
        <v>0.75</v>
      </c>
      <c r="V1500">
        <v>55.040000000000006</v>
      </c>
      <c r="X1500" s="42"/>
      <c r="AB1500">
        <v>41.3</v>
      </c>
      <c r="AC1500">
        <v>53.06</v>
      </c>
      <c r="AE1500" s="74"/>
      <c r="AF1500" s="77"/>
      <c r="AH1500" s="497">
        <v>41</v>
      </c>
      <c r="AJ1500" s="42"/>
      <c r="AK1500" s="74"/>
      <c r="AL1500" s="77"/>
      <c r="AN1500" s="497">
        <v>37.94</v>
      </c>
      <c r="AP1500" s="42"/>
      <c r="AQ1500" s="74"/>
      <c r="AR1500" s="77"/>
      <c r="AT1500" s="497">
        <v>30.56</v>
      </c>
      <c r="AV1500" s="42"/>
      <c r="AW1500" s="74"/>
      <c r="AX1500" s="77"/>
      <c r="BA1500" s="497">
        <v>26.96</v>
      </c>
      <c r="BB1500" s="42"/>
      <c r="BC1500" s="74"/>
      <c r="BD1500" s="77"/>
      <c r="BF1500">
        <v>21.92</v>
      </c>
      <c r="BH1500" s="42"/>
      <c r="BI1500" s="74"/>
      <c r="BJ1500" s="77"/>
      <c r="BL1500" s="497">
        <v>33.08</v>
      </c>
      <c r="BN1500" s="42"/>
      <c r="BO1500" s="74"/>
      <c r="BP1500" s="77"/>
      <c r="BR1500" s="497">
        <v>15.079999999999998</v>
      </c>
      <c r="BT1500" s="42"/>
    </row>
    <row r="1501" spans="1:72" x14ac:dyDescent="0.25">
      <c r="A1501" s="90">
        <v>38049</v>
      </c>
      <c r="B1501" s="20">
        <v>0.79166666666666663</v>
      </c>
      <c r="D1501">
        <v>35.96</v>
      </c>
      <c r="E1501" t="str">
        <f t="shared" si="82"/>
        <v>WEEKDAY</v>
      </c>
      <c r="F1501" t="e">
        <f t="shared" si="81"/>
        <v>#N/A</v>
      </c>
      <c r="G1501" s="74">
        <v>32935</v>
      </c>
      <c r="H1501" s="77">
        <v>0.79166666666666663</v>
      </c>
      <c r="J1501">
        <v>46.94</v>
      </c>
      <c r="M1501" s="74">
        <v>36588</v>
      </c>
      <c r="N1501" s="77">
        <v>0.79166666666666663</v>
      </c>
      <c r="P1501">
        <v>41</v>
      </c>
      <c r="S1501" s="74">
        <v>38049</v>
      </c>
      <c r="T1501" s="77">
        <v>0.79166666666666663</v>
      </c>
      <c r="V1501">
        <v>53.96</v>
      </c>
      <c r="X1501" s="42"/>
      <c r="AB1501">
        <v>40</v>
      </c>
      <c r="AC1501">
        <v>51.980000000000004</v>
      </c>
      <c r="AE1501" s="74"/>
      <c r="AF1501" s="77"/>
      <c r="AH1501" s="497">
        <v>35.6</v>
      </c>
      <c r="AJ1501" s="42"/>
      <c r="AK1501" s="74"/>
      <c r="AL1501" s="77"/>
      <c r="AN1501" s="497">
        <v>33.979999999999997</v>
      </c>
      <c r="AP1501" s="42"/>
      <c r="AQ1501" s="74"/>
      <c r="AR1501" s="77"/>
      <c r="AT1501" s="497">
        <v>30.92</v>
      </c>
      <c r="AV1501" s="42"/>
      <c r="AW1501" s="74"/>
      <c r="AX1501" s="77"/>
      <c r="BA1501" s="497">
        <v>24.98</v>
      </c>
      <c r="BB1501" s="42"/>
      <c r="BC1501" s="74"/>
      <c r="BD1501" s="77"/>
      <c r="BF1501">
        <v>21.02</v>
      </c>
      <c r="BH1501" s="42"/>
      <c r="BI1501" s="74"/>
      <c r="BJ1501" s="77"/>
      <c r="BL1501" s="497">
        <v>30.92</v>
      </c>
      <c r="BN1501" s="42"/>
      <c r="BO1501" s="74"/>
      <c r="BP1501" s="77"/>
      <c r="BR1501" s="497">
        <v>14</v>
      </c>
      <c r="BT1501" s="42"/>
    </row>
    <row r="1502" spans="1:72" x14ac:dyDescent="0.25">
      <c r="A1502" s="90">
        <v>38049</v>
      </c>
      <c r="B1502" s="20">
        <v>0.83333333333333337</v>
      </c>
      <c r="D1502">
        <v>35.06</v>
      </c>
      <c r="E1502" t="str">
        <f t="shared" si="82"/>
        <v>WEEKDAY</v>
      </c>
      <c r="F1502" t="e">
        <f t="shared" si="81"/>
        <v>#N/A</v>
      </c>
      <c r="G1502" s="74">
        <v>32935</v>
      </c>
      <c r="H1502" s="77">
        <v>0.83333333333333337</v>
      </c>
      <c r="J1502">
        <v>46.04</v>
      </c>
      <c r="M1502" s="74">
        <v>36588</v>
      </c>
      <c r="N1502" s="77">
        <v>0.83333333333333337</v>
      </c>
      <c r="P1502">
        <v>39.200000000000003</v>
      </c>
      <c r="S1502" s="74">
        <v>38049</v>
      </c>
      <c r="T1502" s="77">
        <v>0.83333333333333337</v>
      </c>
      <c r="V1502">
        <v>53.06</v>
      </c>
      <c r="X1502" s="42"/>
      <c r="AB1502">
        <v>39.299999999999997</v>
      </c>
      <c r="AC1502">
        <v>51.980000000000004</v>
      </c>
      <c r="AE1502" s="74"/>
      <c r="AF1502" s="77"/>
      <c r="AH1502" s="497">
        <v>37.4</v>
      </c>
      <c r="AJ1502" s="42"/>
      <c r="AK1502" s="74"/>
      <c r="AL1502" s="77"/>
      <c r="AN1502" s="497">
        <v>32</v>
      </c>
      <c r="AP1502" s="42"/>
      <c r="AQ1502" s="74"/>
      <c r="AR1502" s="77"/>
      <c r="AT1502" s="497">
        <v>31.28</v>
      </c>
      <c r="AV1502" s="42"/>
      <c r="AW1502" s="74"/>
      <c r="AX1502" s="77"/>
      <c r="BA1502" s="497">
        <v>23</v>
      </c>
      <c r="BB1502" s="42"/>
      <c r="BC1502" s="74"/>
      <c r="BD1502" s="77"/>
      <c r="BF1502">
        <v>19.04</v>
      </c>
      <c r="BH1502" s="42"/>
      <c r="BI1502" s="74"/>
      <c r="BJ1502" s="77"/>
      <c r="BL1502" s="497">
        <v>28.94</v>
      </c>
      <c r="BN1502" s="42"/>
      <c r="BO1502" s="74"/>
      <c r="BP1502" s="77"/>
      <c r="BR1502" s="497">
        <v>12.920000000000002</v>
      </c>
      <c r="BT1502" s="42"/>
    </row>
    <row r="1503" spans="1:72" x14ac:dyDescent="0.25">
      <c r="A1503" s="90">
        <v>38049</v>
      </c>
      <c r="B1503" s="20">
        <v>0.875</v>
      </c>
      <c r="D1503">
        <v>35.96</v>
      </c>
      <c r="E1503" t="str">
        <f t="shared" si="82"/>
        <v>WEEKDAY</v>
      </c>
      <c r="F1503" t="e">
        <f t="shared" si="81"/>
        <v>#N/A</v>
      </c>
      <c r="G1503" s="74">
        <v>32935</v>
      </c>
      <c r="H1503" s="77">
        <v>0.875</v>
      </c>
      <c r="J1503">
        <v>44.06</v>
      </c>
      <c r="M1503" s="74">
        <v>36588</v>
      </c>
      <c r="N1503" s="77">
        <v>0.875</v>
      </c>
      <c r="P1503">
        <v>37.4</v>
      </c>
      <c r="S1503" s="74">
        <v>38049</v>
      </c>
      <c r="T1503" s="77">
        <v>0.875</v>
      </c>
      <c r="V1503">
        <v>51.980000000000004</v>
      </c>
      <c r="X1503" s="42"/>
      <c r="AB1503">
        <v>38.799999999999997</v>
      </c>
      <c r="AC1503">
        <v>53.06</v>
      </c>
      <c r="AE1503" s="74"/>
      <c r="AF1503" s="77"/>
      <c r="AH1503" s="497">
        <v>35.6</v>
      </c>
      <c r="AJ1503" s="42"/>
      <c r="AK1503" s="74"/>
      <c r="AL1503" s="77"/>
      <c r="AN1503" s="497">
        <v>30.02</v>
      </c>
      <c r="AP1503" s="42"/>
      <c r="AQ1503" s="74"/>
      <c r="AR1503" s="77"/>
      <c r="AT1503" s="497">
        <v>31.64</v>
      </c>
      <c r="AV1503" s="42"/>
      <c r="AW1503" s="74"/>
      <c r="AX1503" s="77"/>
      <c r="BA1503" s="497">
        <v>21.92</v>
      </c>
      <c r="BB1503" s="42"/>
      <c r="BC1503" s="74"/>
      <c r="BD1503" s="77"/>
      <c r="BF1503">
        <v>19.04</v>
      </c>
      <c r="BH1503" s="42"/>
      <c r="BI1503" s="74"/>
      <c r="BJ1503" s="77"/>
      <c r="BL1503" s="497">
        <v>26.96</v>
      </c>
      <c r="BN1503" s="42"/>
      <c r="BO1503" s="74"/>
      <c r="BP1503" s="77"/>
      <c r="BR1503" s="497">
        <v>12.02</v>
      </c>
      <c r="BT1503" s="42"/>
    </row>
    <row r="1504" spans="1:72" x14ac:dyDescent="0.25">
      <c r="A1504" s="90">
        <v>38049</v>
      </c>
      <c r="B1504" s="20">
        <v>0.91666666666666663</v>
      </c>
      <c r="D1504">
        <v>33.979999999999997</v>
      </c>
      <c r="E1504" t="str">
        <f t="shared" si="82"/>
        <v>WEEKDAY</v>
      </c>
      <c r="F1504" t="e">
        <f t="shared" si="81"/>
        <v>#N/A</v>
      </c>
      <c r="G1504" s="74">
        <v>32935</v>
      </c>
      <c r="H1504" s="77">
        <v>0.91666666666666663</v>
      </c>
      <c r="J1504">
        <v>42.08</v>
      </c>
      <c r="M1504" s="74">
        <v>36588</v>
      </c>
      <c r="N1504" s="77">
        <v>0.91666666666666663</v>
      </c>
      <c r="P1504">
        <v>36.68</v>
      </c>
      <c r="S1504" s="74">
        <v>38049</v>
      </c>
      <c r="T1504" s="77">
        <v>0.91666666666666663</v>
      </c>
      <c r="V1504">
        <v>51.08</v>
      </c>
      <c r="X1504" s="42"/>
      <c r="AB1504">
        <v>38</v>
      </c>
      <c r="AC1504">
        <v>51.08</v>
      </c>
      <c r="AE1504" s="74"/>
      <c r="AF1504" s="77"/>
      <c r="AH1504" s="497">
        <v>33.799999999999997</v>
      </c>
      <c r="AJ1504" s="42"/>
      <c r="AK1504" s="74"/>
      <c r="AL1504" s="77"/>
      <c r="AN1504" s="497">
        <v>28.04</v>
      </c>
      <c r="AP1504" s="42"/>
      <c r="AQ1504" s="74"/>
      <c r="AR1504" s="77"/>
      <c r="AT1504" s="497">
        <v>32</v>
      </c>
      <c r="AV1504" s="42"/>
      <c r="AW1504" s="74"/>
      <c r="AX1504" s="77"/>
      <c r="BA1504" s="497">
        <v>21.02</v>
      </c>
      <c r="BB1504" s="42"/>
      <c r="BC1504" s="74"/>
      <c r="BD1504" s="77"/>
      <c r="BF1504">
        <v>17.059999999999999</v>
      </c>
      <c r="BH1504" s="42"/>
      <c r="BI1504" s="74"/>
      <c r="BJ1504" s="77"/>
      <c r="BL1504" s="497">
        <v>28.04</v>
      </c>
      <c r="BN1504" s="42"/>
      <c r="BO1504" s="74"/>
      <c r="BP1504" s="77"/>
      <c r="BR1504" s="497">
        <v>10.039999999999999</v>
      </c>
      <c r="BT1504" s="42"/>
    </row>
    <row r="1505" spans="1:72" x14ac:dyDescent="0.25">
      <c r="A1505" s="90">
        <v>38049</v>
      </c>
      <c r="B1505" s="20">
        <v>0.95833333333333337</v>
      </c>
      <c r="D1505">
        <v>33.979999999999997</v>
      </c>
      <c r="E1505" t="str">
        <f t="shared" si="82"/>
        <v>WEEKDAY</v>
      </c>
      <c r="F1505" t="e">
        <f t="shared" si="81"/>
        <v>#N/A</v>
      </c>
      <c r="G1505" s="74">
        <v>32935</v>
      </c>
      <c r="H1505" s="77">
        <v>0.95833333333333337</v>
      </c>
      <c r="J1505">
        <v>39.92</v>
      </c>
      <c r="M1505" s="74">
        <v>36588</v>
      </c>
      <c r="N1505" s="77">
        <v>0.95833333333333337</v>
      </c>
      <c r="P1505">
        <v>35.6</v>
      </c>
      <c r="S1505" s="74">
        <v>38049</v>
      </c>
      <c r="T1505" s="77">
        <v>0.95833333333333337</v>
      </c>
      <c r="V1505">
        <v>50</v>
      </c>
      <c r="X1505" s="42"/>
      <c r="AB1505">
        <v>37.5</v>
      </c>
      <c r="AC1505">
        <v>50</v>
      </c>
      <c r="AE1505" s="74"/>
      <c r="AF1505" s="77"/>
      <c r="AH1505" s="497">
        <v>33.799999999999997</v>
      </c>
      <c r="AJ1505" s="42"/>
      <c r="AK1505" s="74"/>
      <c r="AL1505" s="77"/>
      <c r="AN1505" s="497">
        <v>26.96</v>
      </c>
      <c r="AP1505" s="42"/>
      <c r="AQ1505" s="74"/>
      <c r="AR1505" s="77"/>
      <c r="AT1505" s="497">
        <v>32</v>
      </c>
      <c r="AV1505" s="42"/>
      <c r="AW1505" s="74"/>
      <c r="AX1505" s="77"/>
      <c r="BA1505" s="497">
        <v>19.939999999999998</v>
      </c>
      <c r="BB1505" s="42"/>
      <c r="BC1505" s="74"/>
      <c r="BD1505" s="77"/>
      <c r="BF1505">
        <v>15.98</v>
      </c>
      <c r="BH1505" s="42"/>
      <c r="BI1505" s="74"/>
      <c r="BJ1505" s="77"/>
      <c r="BL1505" s="497">
        <v>26.96</v>
      </c>
      <c r="BN1505" s="42"/>
      <c r="BO1505" s="74"/>
      <c r="BP1505" s="77"/>
      <c r="BR1505" s="497">
        <v>8.0599999999999987</v>
      </c>
      <c r="BT1505" s="42"/>
    </row>
    <row r="1506" spans="1:72" x14ac:dyDescent="0.25">
      <c r="A1506" s="90">
        <v>38049</v>
      </c>
      <c r="B1506" s="20">
        <v>1</v>
      </c>
      <c r="D1506">
        <v>33.979999999999997</v>
      </c>
      <c r="E1506" t="str">
        <f t="shared" si="82"/>
        <v>WEEKDAY</v>
      </c>
      <c r="F1506" t="e">
        <f t="shared" si="81"/>
        <v>#N/A</v>
      </c>
      <c r="G1506" s="74">
        <v>32935</v>
      </c>
      <c r="H1506" s="77">
        <v>1</v>
      </c>
      <c r="J1506">
        <v>39.92</v>
      </c>
      <c r="M1506" s="74">
        <v>36588</v>
      </c>
      <c r="N1506" s="80">
        <v>1</v>
      </c>
      <c r="P1506">
        <v>33.799999999999997</v>
      </c>
      <c r="S1506" s="74">
        <v>38049</v>
      </c>
      <c r="T1506" s="80">
        <v>1</v>
      </c>
      <c r="V1506">
        <v>48.019999999999996</v>
      </c>
      <c r="X1506" s="42"/>
      <c r="AB1506">
        <v>36.9</v>
      </c>
      <c r="AC1506">
        <v>48.92</v>
      </c>
      <c r="AE1506" s="74"/>
      <c r="AF1506" s="80"/>
      <c r="AH1506" s="497">
        <v>32</v>
      </c>
      <c r="AJ1506" s="42"/>
      <c r="AK1506" s="74"/>
      <c r="AL1506" s="80"/>
      <c r="AN1506" s="497">
        <v>26.060000000000002</v>
      </c>
      <c r="AP1506" s="42"/>
      <c r="AQ1506" s="74"/>
      <c r="AR1506" s="80"/>
      <c r="AT1506" s="497">
        <v>32</v>
      </c>
      <c r="AV1506" s="42"/>
      <c r="AW1506" s="74"/>
      <c r="AX1506" s="80"/>
      <c r="BA1506" s="497">
        <v>19.04</v>
      </c>
      <c r="BB1506" s="42"/>
      <c r="BC1506" s="74"/>
      <c r="BD1506" s="80"/>
      <c r="BF1506">
        <v>15.079999999999998</v>
      </c>
      <c r="BH1506" s="42"/>
      <c r="BI1506" s="74"/>
      <c r="BJ1506" s="80"/>
      <c r="BL1506" s="497">
        <v>26.060000000000002</v>
      </c>
      <c r="BN1506" s="42"/>
      <c r="BO1506" s="74"/>
      <c r="BP1506" s="80"/>
      <c r="BR1506" s="497">
        <v>8.0599999999999987</v>
      </c>
      <c r="BT1506" s="42"/>
    </row>
    <row r="1507" spans="1:72" x14ac:dyDescent="0.25">
      <c r="A1507" s="90">
        <v>38050</v>
      </c>
      <c r="B1507" s="20">
        <v>4.1666666666666664E-2</v>
      </c>
      <c r="D1507">
        <v>33.979999999999997</v>
      </c>
      <c r="E1507" t="str">
        <f t="shared" si="82"/>
        <v>WEEKDAY</v>
      </c>
      <c r="F1507" t="e">
        <f t="shared" si="81"/>
        <v>#N/A</v>
      </c>
      <c r="G1507" s="74">
        <v>32936</v>
      </c>
      <c r="H1507" s="77">
        <v>4.1666666666666664E-2</v>
      </c>
      <c r="J1507">
        <v>37.94</v>
      </c>
      <c r="M1507" s="74">
        <v>36589</v>
      </c>
      <c r="N1507" s="77">
        <v>4.1666666666666664E-2</v>
      </c>
      <c r="P1507">
        <v>33.799999999999997</v>
      </c>
      <c r="S1507" s="74">
        <v>38050</v>
      </c>
      <c r="T1507" s="77">
        <v>4.1666666666666664E-2</v>
      </c>
      <c r="V1507">
        <v>46.04</v>
      </c>
      <c r="X1507" s="42"/>
      <c r="AB1507">
        <v>36.4</v>
      </c>
      <c r="AC1507">
        <v>51.980000000000004</v>
      </c>
      <c r="AE1507" s="74"/>
      <c r="AF1507" s="77"/>
      <c r="AH1507" s="497">
        <v>30.2</v>
      </c>
      <c r="AJ1507" s="42"/>
      <c r="AK1507" s="74"/>
      <c r="AL1507" s="77"/>
      <c r="AN1507" s="497">
        <v>24.08</v>
      </c>
      <c r="AP1507" s="42"/>
      <c r="AQ1507" s="74"/>
      <c r="AR1507" s="77"/>
      <c r="AT1507" s="497">
        <v>32</v>
      </c>
      <c r="AV1507" s="42"/>
      <c r="AW1507" s="74"/>
      <c r="AX1507" s="77"/>
      <c r="BA1507" s="497">
        <v>17.96</v>
      </c>
      <c r="BB1507" s="42"/>
      <c r="BC1507" s="74"/>
      <c r="BD1507" s="77"/>
      <c r="BF1507">
        <v>15.079999999999998</v>
      </c>
      <c r="BH1507" s="42"/>
      <c r="BI1507" s="74"/>
      <c r="BJ1507" s="77"/>
      <c r="BL1507" s="497">
        <v>26.060000000000002</v>
      </c>
      <c r="BN1507" s="42"/>
      <c r="BO1507" s="74"/>
      <c r="BP1507" s="77"/>
      <c r="BR1507" s="497">
        <v>6.0799999999999983</v>
      </c>
      <c r="BT1507" s="42"/>
    </row>
    <row r="1508" spans="1:72" x14ac:dyDescent="0.25">
      <c r="A1508" s="90">
        <v>38050</v>
      </c>
      <c r="B1508" s="20">
        <v>8.3333333333333329E-2</v>
      </c>
      <c r="D1508">
        <v>33.979999999999997</v>
      </c>
      <c r="E1508" t="str">
        <f t="shared" si="82"/>
        <v>WEEKDAY</v>
      </c>
      <c r="F1508" t="e">
        <f t="shared" si="81"/>
        <v>#N/A</v>
      </c>
      <c r="G1508" s="74">
        <v>32936</v>
      </c>
      <c r="H1508" s="77">
        <v>8.3333333333333329E-2</v>
      </c>
      <c r="J1508">
        <v>33.979999999999997</v>
      </c>
      <c r="M1508" s="74">
        <v>36589</v>
      </c>
      <c r="N1508" s="77">
        <v>8.3333333333333329E-2</v>
      </c>
      <c r="P1508">
        <v>33.799999999999997</v>
      </c>
      <c r="S1508" s="74">
        <v>38050</v>
      </c>
      <c r="T1508" s="77">
        <v>8.3333333333333329E-2</v>
      </c>
      <c r="V1508">
        <v>46.94</v>
      </c>
      <c r="X1508" s="42"/>
      <c r="AB1508">
        <v>35.799999999999997</v>
      </c>
      <c r="AC1508">
        <v>48.92</v>
      </c>
      <c r="AE1508" s="74"/>
      <c r="AF1508" s="77"/>
      <c r="AH1508" s="497">
        <v>28.4</v>
      </c>
      <c r="AJ1508" s="42"/>
      <c r="AK1508" s="74"/>
      <c r="AL1508" s="77"/>
      <c r="AN1508" s="497">
        <v>21.92</v>
      </c>
      <c r="AP1508" s="42"/>
      <c r="AQ1508" s="74"/>
      <c r="AR1508" s="77"/>
      <c r="AT1508" s="497">
        <v>32.72</v>
      </c>
      <c r="AV1508" s="42"/>
      <c r="AW1508" s="74"/>
      <c r="AX1508" s="77"/>
      <c r="BA1508" s="497">
        <v>17.96</v>
      </c>
      <c r="BB1508" s="42"/>
      <c r="BC1508" s="74"/>
      <c r="BD1508" s="77"/>
      <c r="BF1508">
        <v>14</v>
      </c>
      <c r="BH1508" s="42"/>
      <c r="BI1508" s="74"/>
      <c r="BJ1508" s="77"/>
      <c r="BL1508" s="497">
        <v>24.98</v>
      </c>
      <c r="BN1508" s="42"/>
      <c r="BO1508" s="74"/>
      <c r="BP1508" s="77"/>
      <c r="BR1508" s="497">
        <v>6.98</v>
      </c>
      <c r="BT1508" s="42"/>
    </row>
    <row r="1509" spans="1:72" x14ac:dyDescent="0.25">
      <c r="A1509" s="90">
        <v>38050</v>
      </c>
      <c r="B1509" s="20">
        <v>0.125</v>
      </c>
      <c r="D1509">
        <v>33.979999999999997</v>
      </c>
      <c r="E1509" t="str">
        <f t="shared" si="82"/>
        <v>WEEKDAY</v>
      </c>
      <c r="F1509" t="e">
        <f t="shared" si="81"/>
        <v>#N/A</v>
      </c>
      <c r="G1509" s="74">
        <v>32936</v>
      </c>
      <c r="H1509" s="77">
        <v>0.125</v>
      </c>
      <c r="J1509">
        <v>32</v>
      </c>
      <c r="M1509" s="74">
        <v>36589</v>
      </c>
      <c r="N1509" s="77">
        <v>0.125</v>
      </c>
      <c r="P1509">
        <v>32</v>
      </c>
      <c r="S1509" s="74">
        <v>38050</v>
      </c>
      <c r="T1509" s="77">
        <v>0.125</v>
      </c>
      <c r="V1509">
        <v>46.94</v>
      </c>
      <c r="X1509" s="42"/>
      <c r="AB1509">
        <v>35.299999999999997</v>
      </c>
      <c r="AC1509">
        <v>46.94</v>
      </c>
      <c r="AE1509" s="74"/>
      <c r="AF1509" s="77"/>
      <c r="AH1509" s="497">
        <v>30.2</v>
      </c>
      <c r="AJ1509" s="42"/>
      <c r="AK1509" s="74"/>
      <c r="AL1509" s="77"/>
      <c r="AN1509" s="497">
        <v>19.939999999999998</v>
      </c>
      <c r="AP1509" s="42"/>
      <c r="AQ1509" s="74"/>
      <c r="AR1509" s="77"/>
      <c r="AT1509" s="497">
        <v>33.26</v>
      </c>
      <c r="AV1509" s="42"/>
      <c r="AW1509" s="74"/>
      <c r="AX1509" s="77"/>
      <c r="BA1509" s="497">
        <v>17.059999999999999</v>
      </c>
      <c r="BB1509" s="42"/>
      <c r="BC1509" s="74"/>
      <c r="BD1509" s="77"/>
      <c r="BF1509">
        <v>15.079999999999998</v>
      </c>
      <c r="BH1509" s="42"/>
      <c r="BI1509" s="74"/>
      <c r="BJ1509" s="77"/>
      <c r="BL1509" s="497">
        <v>24.98</v>
      </c>
      <c r="BN1509" s="42"/>
      <c r="BO1509" s="74"/>
      <c r="BP1509" s="77"/>
      <c r="BR1509" s="497">
        <v>5</v>
      </c>
      <c r="BT1509" s="42"/>
    </row>
    <row r="1510" spans="1:72" x14ac:dyDescent="0.25">
      <c r="A1510" s="90">
        <v>38050</v>
      </c>
      <c r="B1510" s="20">
        <v>0.16666666666666666</v>
      </c>
      <c r="D1510">
        <v>33.979999999999997</v>
      </c>
      <c r="E1510" t="str">
        <f t="shared" si="82"/>
        <v>WEEKDAY</v>
      </c>
      <c r="F1510" t="e">
        <f t="shared" si="81"/>
        <v>#N/A</v>
      </c>
      <c r="G1510" s="74">
        <v>32936</v>
      </c>
      <c r="H1510" s="77">
        <v>0.16666666666666666</v>
      </c>
      <c r="J1510">
        <v>28.94</v>
      </c>
      <c r="M1510" s="74">
        <v>36589</v>
      </c>
      <c r="N1510" s="77">
        <v>0.16666666666666666</v>
      </c>
      <c r="P1510">
        <v>32</v>
      </c>
      <c r="S1510" s="74">
        <v>38050</v>
      </c>
      <c r="T1510" s="77">
        <v>0.16666666666666666</v>
      </c>
      <c r="V1510">
        <v>44.96</v>
      </c>
      <c r="X1510" s="42"/>
      <c r="AB1510">
        <v>34.9</v>
      </c>
      <c r="AC1510">
        <v>46.04</v>
      </c>
      <c r="AE1510" s="74"/>
      <c r="AF1510" s="77"/>
      <c r="AH1510" s="497">
        <v>30.2</v>
      </c>
      <c r="AJ1510" s="42"/>
      <c r="AK1510" s="74"/>
      <c r="AL1510" s="77"/>
      <c r="AN1510" s="497">
        <v>17.96</v>
      </c>
      <c r="AP1510" s="42"/>
      <c r="AQ1510" s="74"/>
      <c r="AR1510" s="77"/>
      <c r="AT1510" s="497">
        <v>33.979999999999997</v>
      </c>
      <c r="AV1510" s="42"/>
      <c r="AW1510" s="74"/>
      <c r="AX1510" s="77"/>
      <c r="BA1510" s="497">
        <v>17.059999999999999</v>
      </c>
      <c r="BB1510" s="42"/>
      <c r="BC1510" s="74"/>
      <c r="BD1510" s="77"/>
      <c r="BF1510">
        <v>14</v>
      </c>
      <c r="BH1510" s="42"/>
      <c r="BI1510" s="74"/>
      <c r="BJ1510" s="77"/>
      <c r="BL1510" s="497">
        <v>26.060000000000002</v>
      </c>
      <c r="BN1510" s="42"/>
      <c r="BO1510" s="74"/>
      <c r="BP1510" s="77"/>
      <c r="BR1510" s="497">
        <v>5</v>
      </c>
      <c r="BT1510" s="42"/>
    </row>
    <row r="1511" spans="1:72" x14ac:dyDescent="0.25">
      <c r="A1511" s="90">
        <v>38050</v>
      </c>
      <c r="B1511" s="20">
        <v>0.20833333333333334</v>
      </c>
      <c r="D1511">
        <v>33.979999999999997</v>
      </c>
      <c r="E1511" t="str">
        <f t="shared" si="82"/>
        <v>WEEKDAY</v>
      </c>
      <c r="F1511" t="e">
        <f t="shared" si="81"/>
        <v>#N/A</v>
      </c>
      <c r="G1511" s="74">
        <v>32936</v>
      </c>
      <c r="H1511" s="77">
        <v>0.20833333333333334</v>
      </c>
      <c r="J1511">
        <v>26.060000000000002</v>
      </c>
      <c r="M1511" s="74">
        <v>36589</v>
      </c>
      <c r="N1511" s="77">
        <v>0.20833333333333334</v>
      </c>
      <c r="P1511">
        <v>32</v>
      </c>
      <c r="S1511" s="74">
        <v>38050</v>
      </c>
      <c r="T1511" s="77">
        <v>0.20833333333333334</v>
      </c>
      <c r="V1511">
        <v>46.04</v>
      </c>
      <c r="X1511" s="42"/>
      <c r="AB1511">
        <v>34.4</v>
      </c>
      <c r="AC1511">
        <v>46.04</v>
      </c>
      <c r="AE1511" s="74"/>
      <c r="AF1511" s="77"/>
      <c r="AH1511" s="497">
        <v>30.2</v>
      </c>
      <c r="AJ1511" s="42"/>
      <c r="AK1511" s="74"/>
      <c r="AL1511" s="77"/>
      <c r="AN1511" s="497">
        <v>17.96</v>
      </c>
      <c r="AP1511" s="42"/>
      <c r="AQ1511" s="74"/>
      <c r="AR1511" s="77"/>
      <c r="AT1511" s="497">
        <v>34.340000000000003</v>
      </c>
      <c r="AV1511" s="42"/>
      <c r="AW1511" s="74"/>
      <c r="AX1511" s="77"/>
      <c r="BA1511" s="497">
        <v>15.98</v>
      </c>
      <c r="BB1511" s="42"/>
      <c r="BC1511" s="74"/>
      <c r="BD1511" s="77"/>
      <c r="BF1511">
        <v>14</v>
      </c>
      <c r="BH1511" s="42"/>
      <c r="BI1511" s="74"/>
      <c r="BJ1511" s="77"/>
      <c r="BL1511" s="497">
        <v>26.96</v>
      </c>
      <c r="BN1511" s="42"/>
      <c r="BO1511" s="74"/>
      <c r="BP1511" s="77"/>
      <c r="BR1511" s="497">
        <v>5</v>
      </c>
      <c r="BT1511" s="42"/>
    </row>
    <row r="1512" spans="1:72" x14ac:dyDescent="0.25">
      <c r="A1512" s="90">
        <v>38050</v>
      </c>
      <c r="B1512" s="20">
        <v>0.25</v>
      </c>
      <c r="D1512">
        <v>35.06</v>
      </c>
      <c r="E1512" t="str">
        <f t="shared" si="82"/>
        <v>WEEKDAY</v>
      </c>
      <c r="F1512" t="e">
        <f t="shared" si="81"/>
        <v>#N/A</v>
      </c>
      <c r="G1512" s="74">
        <v>32936</v>
      </c>
      <c r="H1512" s="77">
        <v>0.25</v>
      </c>
      <c r="J1512">
        <v>24.98</v>
      </c>
      <c r="M1512" s="74">
        <v>36589</v>
      </c>
      <c r="N1512" s="77">
        <v>0.25</v>
      </c>
      <c r="P1512">
        <v>32</v>
      </c>
      <c r="S1512" s="74">
        <v>38050</v>
      </c>
      <c r="T1512" s="77">
        <v>0.25</v>
      </c>
      <c r="V1512">
        <v>44.96</v>
      </c>
      <c r="X1512" s="42"/>
      <c r="AB1512">
        <v>34</v>
      </c>
      <c r="AC1512">
        <v>46.94</v>
      </c>
      <c r="AE1512" s="74"/>
      <c r="AF1512" s="77"/>
      <c r="AH1512" s="497">
        <v>23</v>
      </c>
      <c r="AJ1512" s="42"/>
      <c r="AK1512" s="74"/>
      <c r="AL1512" s="77"/>
      <c r="AN1512" s="497">
        <v>17.059999999999999</v>
      </c>
      <c r="AP1512" s="42"/>
      <c r="AQ1512" s="74"/>
      <c r="AR1512" s="77"/>
      <c r="AT1512" s="497">
        <v>34.700000000000003</v>
      </c>
      <c r="AV1512" s="42"/>
      <c r="AW1512" s="74"/>
      <c r="AX1512" s="77"/>
      <c r="BA1512" s="497">
        <v>12.02</v>
      </c>
      <c r="BB1512" s="42"/>
      <c r="BC1512" s="74"/>
      <c r="BD1512" s="77"/>
      <c r="BF1512">
        <v>12.920000000000002</v>
      </c>
      <c r="BH1512" s="42"/>
      <c r="BI1512" s="74"/>
      <c r="BJ1512" s="77"/>
      <c r="BL1512" s="497">
        <v>26.96</v>
      </c>
      <c r="BN1512" s="42"/>
      <c r="BO1512" s="74"/>
      <c r="BP1512" s="77"/>
      <c r="BR1512" s="497">
        <v>5</v>
      </c>
      <c r="BT1512" s="42"/>
    </row>
    <row r="1513" spans="1:72" x14ac:dyDescent="0.25">
      <c r="A1513" s="90">
        <v>38050</v>
      </c>
      <c r="B1513" s="20">
        <v>0.29166666666666669</v>
      </c>
      <c r="D1513">
        <v>35.06</v>
      </c>
      <c r="E1513" t="str">
        <f t="shared" si="82"/>
        <v>WEEKDAY</v>
      </c>
      <c r="F1513" t="e">
        <f t="shared" si="81"/>
        <v>#N/A</v>
      </c>
      <c r="G1513" s="74">
        <v>32936</v>
      </c>
      <c r="H1513" s="77">
        <v>0.29166666666666669</v>
      </c>
      <c r="J1513">
        <v>24.98</v>
      </c>
      <c r="M1513" s="74">
        <v>36589</v>
      </c>
      <c r="N1513" s="77">
        <v>0.29166666666666669</v>
      </c>
      <c r="P1513">
        <v>32</v>
      </c>
      <c r="S1513" s="74">
        <v>38050</v>
      </c>
      <c r="T1513" s="77">
        <v>0.29166666666666669</v>
      </c>
      <c r="V1513">
        <v>44.96</v>
      </c>
      <c r="X1513" s="42"/>
      <c r="AB1513">
        <v>33.799999999999997</v>
      </c>
      <c r="AC1513">
        <v>48.92</v>
      </c>
      <c r="AE1513" s="74"/>
      <c r="AF1513" s="77"/>
      <c r="AH1513" s="497">
        <v>21.2</v>
      </c>
      <c r="AJ1513" s="42"/>
      <c r="AK1513" s="74"/>
      <c r="AL1513" s="77"/>
      <c r="AN1513" s="497">
        <v>17.059999999999999</v>
      </c>
      <c r="AP1513" s="42"/>
      <c r="AQ1513" s="74"/>
      <c r="AR1513" s="77"/>
      <c r="AT1513" s="497">
        <v>35.06</v>
      </c>
      <c r="AV1513" s="42"/>
      <c r="AW1513" s="74"/>
      <c r="AX1513" s="77"/>
      <c r="BA1513" s="497">
        <v>10.039999999999999</v>
      </c>
      <c r="BB1513" s="42"/>
      <c r="BC1513" s="74"/>
      <c r="BD1513" s="77"/>
      <c r="BF1513">
        <v>12.920000000000002</v>
      </c>
      <c r="BH1513" s="42"/>
      <c r="BI1513" s="74"/>
      <c r="BJ1513" s="77"/>
      <c r="BL1513" s="497">
        <v>28.04</v>
      </c>
      <c r="BN1513" s="42"/>
      <c r="BO1513" s="74"/>
      <c r="BP1513" s="77"/>
      <c r="BR1513" s="497">
        <v>6.0799999999999983</v>
      </c>
      <c r="BT1513" s="42"/>
    </row>
    <row r="1514" spans="1:72" x14ac:dyDescent="0.25">
      <c r="A1514" s="90">
        <v>38050</v>
      </c>
      <c r="B1514" s="20">
        <v>0.33333333333333331</v>
      </c>
      <c r="D1514">
        <v>35.06</v>
      </c>
      <c r="E1514" t="str">
        <f t="shared" si="82"/>
        <v>WEEKDAY</v>
      </c>
      <c r="F1514" t="e">
        <f t="shared" si="81"/>
        <v>#N/A</v>
      </c>
      <c r="G1514" s="74">
        <v>32936</v>
      </c>
      <c r="H1514" s="77">
        <v>0.33333333333333331</v>
      </c>
      <c r="J1514">
        <v>24.08</v>
      </c>
      <c r="M1514" s="74">
        <v>36589</v>
      </c>
      <c r="N1514" s="77">
        <v>0.33333333333333331</v>
      </c>
      <c r="P1514">
        <v>32</v>
      </c>
      <c r="S1514" s="74">
        <v>38050</v>
      </c>
      <c r="T1514" s="77">
        <v>0.33333333333333331</v>
      </c>
      <c r="V1514">
        <v>44.06</v>
      </c>
      <c r="X1514" s="42"/>
      <c r="AB1514">
        <v>34</v>
      </c>
      <c r="AC1514">
        <v>53.06</v>
      </c>
      <c r="AE1514" s="74"/>
      <c r="AF1514" s="77"/>
      <c r="AH1514" s="497">
        <v>30.2</v>
      </c>
      <c r="AJ1514" s="42"/>
      <c r="AK1514" s="74"/>
      <c r="AL1514" s="77"/>
      <c r="AN1514" s="497">
        <v>17.059999999999999</v>
      </c>
      <c r="AP1514" s="42"/>
      <c r="AQ1514" s="74"/>
      <c r="AR1514" s="77"/>
      <c r="AT1514" s="497">
        <v>35.78</v>
      </c>
      <c r="AV1514" s="42"/>
      <c r="AW1514" s="74"/>
      <c r="AX1514" s="77"/>
      <c r="BA1514" s="497">
        <v>14</v>
      </c>
      <c r="BB1514" s="42"/>
      <c r="BC1514" s="74"/>
      <c r="BD1514" s="77"/>
      <c r="BF1514">
        <v>15.079999999999998</v>
      </c>
      <c r="BH1514" s="42"/>
      <c r="BI1514" s="74"/>
      <c r="BJ1514" s="77"/>
      <c r="BL1514" s="497">
        <v>28.94</v>
      </c>
      <c r="BN1514" s="42"/>
      <c r="BO1514" s="74"/>
      <c r="BP1514" s="77"/>
      <c r="BR1514" s="497">
        <v>5</v>
      </c>
      <c r="BT1514" s="42"/>
    </row>
    <row r="1515" spans="1:72" x14ac:dyDescent="0.25">
      <c r="A1515" s="90">
        <v>38050</v>
      </c>
      <c r="B1515" s="20">
        <v>0.375</v>
      </c>
      <c r="D1515">
        <v>35.06</v>
      </c>
      <c r="E1515" t="str">
        <f t="shared" si="82"/>
        <v>WEEKDAY</v>
      </c>
      <c r="F1515" t="e">
        <f t="shared" ref="F1515:F1578" si="83">IF(E1515="WEEKDAY",VLOOKUP(B1515,$DD$19:$DG$42,2),IF(E1515="SATURDAY",VLOOKUP(B1515,$DD$19:$DG$42,3),VLOOKUP(B1515,$DD$19:$DG$42,4)))</f>
        <v>#N/A</v>
      </c>
      <c r="G1515" s="74">
        <v>32936</v>
      </c>
      <c r="H1515" s="77">
        <v>0.375</v>
      </c>
      <c r="J1515">
        <v>24.98</v>
      </c>
      <c r="M1515" s="74">
        <v>36589</v>
      </c>
      <c r="N1515" s="77">
        <v>0.375</v>
      </c>
      <c r="P1515">
        <v>35.6</v>
      </c>
      <c r="S1515" s="74">
        <v>38050</v>
      </c>
      <c r="T1515" s="77">
        <v>0.375</v>
      </c>
      <c r="V1515">
        <v>44.06</v>
      </c>
      <c r="X1515" s="42"/>
      <c r="AB1515">
        <v>35.6</v>
      </c>
      <c r="AC1515">
        <v>53.06</v>
      </c>
      <c r="AE1515" s="74"/>
      <c r="AF1515" s="77"/>
      <c r="AH1515" s="497">
        <v>33.799999999999997</v>
      </c>
      <c r="AJ1515" s="42"/>
      <c r="AK1515" s="74"/>
      <c r="AL1515" s="77"/>
      <c r="AN1515" s="497">
        <v>17.059999999999999</v>
      </c>
      <c r="AP1515" s="42"/>
      <c r="AQ1515" s="74"/>
      <c r="AR1515" s="77"/>
      <c r="AT1515" s="497">
        <v>36.32</v>
      </c>
      <c r="AV1515" s="42"/>
      <c r="AW1515" s="74"/>
      <c r="AX1515" s="77"/>
      <c r="BA1515" s="497">
        <v>15.98</v>
      </c>
      <c r="BB1515" s="42"/>
      <c r="BC1515" s="74"/>
      <c r="BD1515" s="77"/>
      <c r="BF1515">
        <v>17.96</v>
      </c>
      <c r="BH1515" s="42"/>
      <c r="BI1515" s="74"/>
      <c r="BJ1515" s="77"/>
      <c r="BL1515" s="497">
        <v>32</v>
      </c>
      <c r="BN1515" s="42"/>
      <c r="BO1515" s="74"/>
      <c r="BP1515" s="77"/>
      <c r="BR1515" s="497">
        <v>5</v>
      </c>
      <c r="BT1515" s="42"/>
    </row>
    <row r="1516" spans="1:72" x14ac:dyDescent="0.25">
      <c r="A1516" s="90">
        <v>38050</v>
      </c>
      <c r="B1516" s="20">
        <v>0.41666666666666669</v>
      </c>
      <c r="D1516">
        <v>35.06</v>
      </c>
      <c r="E1516" t="str">
        <f t="shared" si="82"/>
        <v>WEEKDAY</v>
      </c>
      <c r="F1516" t="e">
        <f t="shared" si="83"/>
        <v>#N/A</v>
      </c>
      <c r="G1516" s="74">
        <v>32936</v>
      </c>
      <c r="H1516" s="77">
        <v>0.41666666666666669</v>
      </c>
      <c r="J1516">
        <v>24.98</v>
      </c>
      <c r="M1516" s="74">
        <v>36589</v>
      </c>
      <c r="N1516" s="77">
        <v>0.41666666666666669</v>
      </c>
      <c r="P1516">
        <v>39.200000000000003</v>
      </c>
      <c r="S1516" s="74">
        <v>38050</v>
      </c>
      <c r="T1516" s="77">
        <v>0.41666666666666669</v>
      </c>
      <c r="V1516">
        <v>44.06</v>
      </c>
      <c r="X1516" s="42"/>
      <c r="AB1516">
        <v>37.4</v>
      </c>
      <c r="AC1516">
        <v>53.96</v>
      </c>
      <c r="AE1516" s="74"/>
      <c r="AF1516" s="77"/>
      <c r="AH1516" s="497">
        <v>39.200000000000003</v>
      </c>
      <c r="AJ1516" s="42"/>
      <c r="AK1516" s="74"/>
      <c r="AL1516" s="77"/>
      <c r="AN1516" s="497">
        <v>17.96</v>
      </c>
      <c r="AP1516" s="42"/>
      <c r="AQ1516" s="74"/>
      <c r="AR1516" s="77"/>
      <c r="AT1516" s="497">
        <v>37.04</v>
      </c>
      <c r="AV1516" s="42"/>
      <c r="AW1516" s="74"/>
      <c r="AX1516" s="77"/>
      <c r="BA1516" s="497">
        <v>17.059999999999999</v>
      </c>
      <c r="BB1516" s="42"/>
      <c r="BC1516" s="74"/>
      <c r="BD1516" s="77"/>
      <c r="BF1516">
        <v>19.04</v>
      </c>
      <c r="BH1516" s="42"/>
      <c r="BI1516" s="74"/>
      <c r="BJ1516" s="77"/>
      <c r="BL1516" s="497">
        <v>35.96</v>
      </c>
      <c r="BN1516" s="42"/>
      <c r="BO1516" s="74"/>
      <c r="BP1516" s="77"/>
      <c r="BR1516" s="497">
        <v>5</v>
      </c>
      <c r="BT1516" s="42"/>
    </row>
    <row r="1517" spans="1:72" x14ac:dyDescent="0.25">
      <c r="A1517" s="90">
        <v>38050</v>
      </c>
      <c r="B1517" s="20">
        <v>0.45833333333333331</v>
      </c>
      <c r="D1517">
        <v>35.96</v>
      </c>
      <c r="E1517" t="str">
        <f t="shared" si="82"/>
        <v>WEEKDAY</v>
      </c>
      <c r="F1517" t="e">
        <f t="shared" si="83"/>
        <v>#N/A</v>
      </c>
      <c r="G1517" s="74">
        <v>32936</v>
      </c>
      <c r="H1517" s="77">
        <v>0.45833333333333331</v>
      </c>
      <c r="J1517">
        <v>26.96</v>
      </c>
      <c r="M1517" s="74">
        <v>36589</v>
      </c>
      <c r="N1517" s="77">
        <v>0.45833333333333331</v>
      </c>
      <c r="P1517">
        <v>42.8</v>
      </c>
      <c r="S1517" s="74">
        <v>38050</v>
      </c>
      <c r="T1517" s="77">
        <v>0.45833333333333331</v>
      </c>
      <c r="V1517">
        <v>44.06</v>
      </c>
      <c r="X1517" s="42"/>
      <c r="AB1517">
        <v>39</v>
      </c>
      <c r="AC1517">
        <v>53.06</v>
      </c>
      <c r="AE1517" s="74"/>
      <c r="AF1517" s="77"/>
      <c r="AH1517" s="497">
        <v>41</v>
      </c>
      <c r="AJ1517" s="42"/>
      <c r="AK1517" s="74"/>
      <c r="AL1517" s="77"/>
      <c r="AN1517" s="497">
        <v>19.04</v>
      </c>
      <c r="AP1517" s="42"/>
      <c r="AQ1517" s="74"/>
      <c r="AR1517" s="77"/>
      <c r="AT1517" s="497">
        <v>37.4</v>
      </c>
      <c r="AV1517" s="42"/>
      <c r="AW1517" s="74"/>
      <c r="AX1517" s="77"/>
      <c r="BA1517" s="497">
        <v>19.04</v>
      </c>
      <c r="BB1517" s="42"/>
      <c r="BC1517" s="74"/>
      <c r="BD1517" s="77"/>
      <c r="BF1517">
        <v>19.04</v>
      </c>
      <c r="BH1517" s="42"/>
      <c r="BI1517" s="74"/>
      <c r="BJ1517" s="77"/>
      <c r="BL1517" s="497">
        <v>37.94</v>
      </c>
      <c r="BN1517" s="42"/>
      <c r="BO1517" s="74"/>
      <c r="BP1517" s="77"/>
      <c r="BR1517" s="497">
        <v>6.0799999999999983</v>
      </c>
      <c r="BT1517" s="42"/>
    </row>
    <row r="1518" spans="1:72" x14ac:dyDescent="0.25">
      <c r="A1518" s="90">
        <v>38050</v>
      </c>
      <c r="B1518" s="20">
        <v>0.5</v>
      </c>
      <c r="D1518">
        <v>35.96</v>
      </c>
      <c r="E1518" t="str">
        <f t="shared" si="82"/>
        <v>WEEKDAY</v>
      </c>
      <c r="F1518" t="e">
        <f t="shared" si="83"/>
        <v>#N/A</v>
      </c>
      <c r="G1518" s="74">
        <v>32936</v>
      </c>
      <c r="H1518" s="77">
        <v>0.5</v>
      </c>
      <c r="J1518">
        <v>28.04</v>
      </c>
      <c r="M1518" s="74">
        <v>36589</v>
      </c>
      <c r="N1518" s="77">
        <v>0.5</v>
      </c>
      <c r="P1518">
        <v>44.6</v>
      </c>
      <c r="S1518" s="74">
        <v>38050</v>
      </c>
      <c r="T1518" s="77">
        <v>0.5</v>
      </c>
      <c r="V1518">
        <v>44.06</v>
      </c>
      <c r="X1518" s="42"/>
      <c r="AB1518">
        <v>40.299999999999997</v>
      </c>
      <c r="AC1518">
        <v>55.94</v>
      </c>
      <c r="AE1518" s="74"/>
      <c r="AF1518" s="77"/>
      <c r="AH1518" s="497">
        <v>44.6</v>
      </c>
      <c r="AJ1518" s="42"/>
      <c r="AK1518" s="74"/>
      <c r="AL1518" s="77"/>
      <c r="AN1518" s="497">
        <v>19.04</v>
      </c>
      <c r="AP1518" s="42"/>
      <c r="AQ1518" s="74"/>
      <c r="AR1518" s="77"/>
      <c r="AT1518" s="497">
        <v>37.58</v>
      </c>
      <c r="AV1518" s="42"/>
      <c r="AW1518" s="74"/>
      <c r="AX1518" s="77"/>
      <c r="BA1518" s="497">
        <v>19.04</v>
      </c>
      <c r="BB1518" s="42"/>
      <c r="BC1518" s="74"/>
      <c r="BD1518" s="77"/>
      <c r="BF1518">
        <v>21.02</v>
      </c>
      <c r="BH1518" s="42"/>
      <c r="BI1518" s="74"/>
      <c r="BJ1518" s="77"/>
      <c r="BL1518" s="497">
        <v>39.019999999999996</v>
      </c>
      <c r="BN1518" s="42"/>
      <c r="BO1518" s="74"/>
      <c r="BP1518" s="77"/>
      <c r="BR1518" s="497">
        <v>6.98</v>
      </c>
      <c r="BT1518" s="42"/>
    </row>
    <row r="1519" spans="1:72" x14ac:dyDescent="0.25">
      <c r="A1519" s="90">
        <v>38050</v>
      </c>
      <c r="B1519" s="20">
        <v>0.54166666666666663</v>
      </c>
      <c r="D1519">
        <v>37.04</v>
      </c>
      <c r="E1519" t="str">
        <f t="shared" si="82"/>
        <v>WEEKDAY</v>
      </c>
      <c r="F1519" t="e">
        <f t="shared" si="83"/>
        <v>#N/A</v>
      </c>
      <c r="G1519" s="74">
        <v>32936</v>
      </c>
      <c r="H1519" s="77">
        <v>0.54166666666666663</v>
      </c>
      <c r="J1519">
        <v>30.02</v>
      </c>
      <c r="M1519" s="74">
        <v>36589</v>
      </c>
      <c r="N1519" s="77">
        <v>0.54166666666666663</v>
      </c>
      <c r="P1519">
        <v>46.4</v>
      </c>
      <c r="S1519" s="74">
        <v>38050</v>
      </c>
      <c r="T1519" s="77">
        <v>0.54166666666666663</v>
      </c>
      <c r="V1519">
        <v>44.96</v>
      </c>
      <c r="X1519" s="42"/>
      <c r="AB1519">
        <v>41.4</v>
      </c>
      <c r="AC1519">
        <v>53.96</v>
      </c>
      <c r="AE1519" s="74"/>
      <c r="AF1519" s="77"/>
      <c r="AH1519" s="497">
        <v>46.58</v>
      </c>
      <c r="AJ1519" s="42"/>
      <c r="AK1519" s="74"/>
      <c r="AL1519" s="77"/>
      <c r="AN1519" s="497">
        <v>19.04</v>
      </c>
      <c r="AP1519" s="42"/>
      <c r="AQ1519" s="74"/>
      <c r="AR1519" s="77"/>
      <c r="AT1519" s="497">
        <v>37.94</v>
      </c>
      <c r="AV1519" s="42"/>
      <c r="AW1519" s="74"/>
      <c r="AX1519" s="77"/>
      <c r="BA1519" s="497">
        <v>19.939999999999998</v>
      </c>
      <c r="BB1519" s="42"/>
      <c r="BC1519" s="74"/>
      <c r="BD1519" s="77"/>
      <c r="BF1519">
        <v>21.92</v>
      </c>
      <c r="BH1519" s="42"/>
      <c r="BI1519" s="74"/>
      <c r="BJ1519" s="77"/>
      <c r="BL1519" s="497">
        <v>37.94</v>
      </c>
      <c r="BN1519" s="42"/>
      <c r="BO1519" s="74"/>
      <c r="BP1519" s="77"/>
      <c r="BR1519" s="497">
        <v>6.98</v>
      </c>
      <c r="BT1519" s="42"/>
    </row>
    <row r="1520" spans="1:72" x14ac:dyDescent="0.25">
      <c r="A1520" s="90">
        <v>38050</v>
      </c>
      <c r="B1520" s="20">
        <v>0.58333333333333337</v>
      </c>
      <c r="D1520">
        <v>37.04</v>
      </c>
      <c r="E1520" t="str">
        <f t="shared" si="82"/>
        <v>WEEKDAY</v>
      </c>
      <c r="F1520" t="e">
        <f t="shared" si="83"/>
        <v>#N/A</v>
      </c>
      <c r="G1520" s="74">
        <v>32936</v>
      </c>
      <c r="H1520" s="77">
        <v>0.58333333333333337</v>
      </c>
      <c r="J1520">
        <v>32</v>
      </c>
      <c r="M1520" s="74">
        <v>36589</v>
      </c>
      <c r="N1520" s="77">
        <v>0.58333333333333337</v>
      </c>
      <c r="P1520">
        <v>48.2</v>
      </c>
      <c r="S1520" s="74">
        <v>38050</v>
      </c>
      <c r="T1520" s="77">
        <v>0.58333333333333337</v>
      </c>
      <c r="V1520">
        <v>44.96</v>
      </c>
      <c r="X1520" s="42"/>
      <c r="AB1520">
        <v>42.2</v>
      </c>
      <c r="AC1520">
        <v>53.96</v>
      </c>
      <c r="AE1520" s="74"/>
      <c r="AF1520" s="77"/>
      <c r="AH1520" s="497">
        <v>48.2</v>
      </c>
      <c r="AJ1520" s="42"/>
      <c r="AK1520" s="74"/>
      <c r="AL1520" s="77"/>
      <c r="AN1520" s="497">
        <v>19.939999999999998</v>
      </c>
      <c r="AP1520" s="42"/>
      <c r="AQ1520" s="74"/>
      <c r="AR1520" s="77"/>
      <c r="AT1520" s="497">
        <v>38.659999999999997</v>
      </c>
      <c r="AV1520" s="42"/>
      <c r="AW1520" s="74"/>
      <c r="AX1520" s="77"/>
      <c r="BA1520" s="497">
        <v>21.92</v>
      </c>
      <c r="BB1520" s="42"/>
      <c r="BC1520" s="74"/>
      <c r="BD1520" s="77"/>
      <c r="BF1520">
        <v>24.08</v>
      </c>
      <c r="BH1520" s="42"/>
      <c r="BI1520" s="74"/>
      <c r="BJ1520" s="77"/>
      <c r="BL1520" s="497">
        <v>37.04</v>
      </c>
      <c r="BN1520" s="42"/>
      <c r="BO1520" s="74"/>
      <c r="BP1520" s="77"/>
      <c r="BR1520" s="497">
        <v>6.0799999999999983</v>
      </c>
      <c r="BT1520" s="42"/>
    </row>
    <row r="1521" spans="1:72" x14ac:dyDescent="0.25">
      <c r="A1521" s="90">
        <v>38050</v>
      </c>
      <c r="B1521" s="20">
        <v>0.625</v>
      </c>
      <c r="D1521">
        <v>37.04</v>
      </c>
      <c r="E1521" t="str">
        <f t="shared" si="82"/>
        <v>WEEKDAY</v>
      </c>
      <c r="F1521" t="e">
        <f t="shared" si="83"/>
        <v>#N/A</v>
      </c>
      <c r="G1521" s="74">
        <v>32936</v>
      </c>
      <c r="H1521" s="77">
        <v>0.625</v>
      </c>
      <c r="J1521">
        <v>33.979999999999997</v>
      </c>
      <c r="M1521" s="74">
        <v>36589</v>
      </c>
      <c r="N1521" s="77">
        <v>0.625</v>
      </c>
      <c r="P1521">
        <v>50</v>
      </c>
      <c r="S1521" s="74">
        <v>38050</v>
      </c>
      <c r="T1521" s="77">
        <v>0.625</v>
      </c>
      <c r="V1521">
        <v>46.04</v>
      </c>
      <c r="X1521" s="42"/>
      <c r="AB1521">
        <v>42.7</v>
      </c>
      <c r="AC1521">
        <v>53.06</v>
      </c>
      <c r="AE1521" s="74"/>
      <c r="AF1521" s="77"/>
      <c r="AH1521" s="497">
        <v>49.46</v>
      </c>
      <c r="AJ1521" s="42"/>
      <c r="AK1521" s="74"/>
      <c r="AL1521" s="77"/>
      <c r="AN1521" s="497">
        <v>17.96</v>
      </c>
      <c r="AP1521" s="42"/>
      <c r="AQ1521" s="74"/>
      <c r="AR1521" s="77"/>
      <c r="AT1521" s="497">
        <v>39.200000000000003</v>
      </c>
      <c r="AV1521" s="42"/>
      <c r="AW1521" s="74"/>
      <c r="AX1521" s="77"/>
      <c r="BA1521" s="497">
        <v>21.92</v>
      </c>
      <c r="BB1521" s="42"/>
      <c r="BC1521" s="74"/>
      <c r="BD1521" s="77"/>
      <c r="BF1521">
        <v>23</v>
      </c>
      <c r="BH1521" s="42"/>
      <c r="BI1521" s="74"/>
      <c r="BJ1521" s="77"/>
      <c r="BL1521" s="497">
        <v>35.96</v>
      </c>
      <c r="BN1521" s="42"/>
      <c r="BO1521" s="74"/>
      <c r="BP1521" s="77"/>
      <c r="BR1521" s="497">
        <v>5</v>
      </c>
      <c r="BT1521" s="42"/>
    </row>
    <row r="1522" spans="1:72" x14ac:dyDescent="0.25">
      <c r="A1522" s="90">
        <v>38050</v>
      </c>
      <c r="B1522" s="20">
        <v>0.66666666666666663</v>
      </c>
      <c r="D1522">
        <v>37.94</v>
      </c>
      <c r="E1522" t="str">
        <f t="shared" si="82"/>
        <v>WEEKDAY</v>
      </c>
      <c r="F1522" t="e">
        <f t="shared" si="83"/>
        <v>#N/A</v>
      </c>
      <c r="G1522" s="74">
        <v>32936</v>
      </c>
      <c r="H1522" s="77">
        <v>0.66666666666666663</v>
      </c>
      <c r="J1522">
        <v>33.979999999999997</v>
      </c>
      <c r="M1522" s="74">
        <v>36589</v>
      </c>
      <c r="N1522" s="77">
        <v>0.66666666666666663</v>
      </c>
      <c r="P1522">
        <v>50</v>
      </c>
      <c r="S1522" s="74">
        <v>38050</v>
      </c>
      <c r="T1522" s="77">
        <v>0.66666666666666663</v>
      </c>
      <c r="V1522">
        <v>46.04</v>
      </c>
      <c r="X1522" s="42"/>
      <c r="AB1522">
        <v>42.9</v>
      </c>
      <c r="AC1522">
        <v>53.96</v>
      </c>
      <c r="AE1522" s="74"/>
      <c r="AF1522" s="77"/>
      <c r="AH1522" s="497">
        <v>50</v>
      </c>
      <c r="AJ1522" s="42"/>
      <c r="AK1522" s="74"/>
      <c r="AL1522" s="77"/>
      <c r="AN1522" s="497">
        <v>17.96</v>
      </c>
      <c r="AP1522" s="42"/>
      <c r="AQ1522" s="74"/>
      <c r="AR1522" s="77"/>
      <c r="AT1522" s="497">
        <v>39.92</v>
      </c>
      <c r="AV1522" s="42"/>
      <c r="AW1522" s="74"/>
      <c r="AX1522" s="77"/>
      <c r="BA1522" s="497">
        <v>21.92</v>
      </c>
      <c r="BB1522" s="42"/>
      <c r="BC1522" s="74"/>
      <c r="BD1522" s="77"/>
      <c r="BF1522">
        <v>24.08</v>
      </c>
      <c r="BH1522" s="42"/>
      <c r="BI1522" s="74"/>
      <c r="BJ1522" s="77"/>
      <c r="BL1522" s="497">
        <v>35.96</v>
      </c>
      <c r="BN1522" s="42"/>
      <c r="BO1522" s="74"/>
      <c r="BP1522" s="77"/>
      <c r="BR1522" s="497">
        <v>6.0799999999999983</v>
      </c>
      <c r="BT1522" s="42"/>
    </row>
    <row r="1523" spans="1:72" x14ac:dyDescent="0.25">
      <c r="A1523" s="90">
        <v>38050</v>
      </c>
      <c r="B1523" s="20">
        <v>0.70833333333333337</v>
      </c>
      <c r="D1523">
        <v>37.94</v>
      </c>
      <c r="E1523" t="str">
        <f t="shared" si="82"/>
        <v>WEEKDAY</v>
      </c>
      <c r="F1523" t="e">
        <f t="shared" si="83"/>
        <v>#N/A</v>
      </c>
      <c r="G1523" s="74">
        <v>32936</v>
      </c>
      <c r="H1523" s="77">
        <v>0.70833333333333337</v>
      </c>
      <c r="J1523">
        <v>33.979999999999997</v>
      </c>
      <c r="M1523" s="74">
        <v>36589</v>
      </c>
      <c r="N1523" s="77">
        <v>0.70833333333333337</v>
      </c>
      <c r="P1523">
        <v>48.2</v>
      </c>
      <c r="S1523" s="74">
        <v>38050</v>
      </c>
      <c r="T1523" s="77">
        <v>0.70833333333333337</v>
      </c>
      <c r="V1523">
        <v>44.96</v>
      </c>
      <c r="X1523" s="42"/>
      <c r="AB1523">
        <v>42.6</v>
      </c>
      <c r="AC1523">
        <v>53.96</v>
      </c>
      <c r="AE1523" s="74"/>
      <c r="AF1523" s="77"/>
      <c r="AH1523" s="497">
        <v>50</v>
      </c>
      <c r="AJ1523" s="42"/>
      <c r="AK1523" s="74"/>
      <c r="AL1523" s="77"/>
      <c r="AN1523" s="497">
        <v>17.96</v>
      </c>
      <c r="AP1523" s="42"/>
      <c r="AQ1523" s="74"/>
      <c r="AR1523" s="77"/>
      <c r="AT1523" s="497">
        <v>39.019999999999996</v>
      </c>
      <c r="AV1523" s="42"/>
      <c r="AW1523" s="74"/>
      <c r="AX1523" s="77"/>
      <c r="BA1523" s="497">
        <v>21.02</v>
      </c>
      <c r="BB1523" s="42"/>
      <c r="BC1523" s="74"/>
      <c r="BD1523" s="77"/>
      <c r="BF1523">
        <v>23</v>
      </c>
      <c r="BH1523" s="42"/>
      <c r="BI1523" s="74"/>
      <c r="BJ1523" s="77"/>
      <c r="BL1523" s="497">
        <v>35.06</v>
      </c>
      <c r="BN1523" s="42"/>
      <c r="BO1523" s="74"/>
      <c r="BP1523" s="77"/>
      <c r="BR1523" s="497">
        <v>5</v>
      </c>
      <c r="BT1523" s="42"/>
    </row>
    <row r="1524" spans="1:72" x14ac:dyDescent="0.25">
      <c r="A1524" s="90">
        <v>38050</v>
      </c>
      <c r="B1524" s="20">
        <v>0.75</v>
      </c>
      <c r="D1524">
        <v>37.94</v>
      </c>
      <c r="E1524" t="str">
        <f t="shared" si="82"/>
        <v>WEEKDAY</v>
      </c>
      <c r="F1524" t="e">
        <f t="shared" si="83"/>
        <v>#N/A</v>
      </c>
      <c r="G1524" s="74">
        <v>32936</v>
      </c>
      <c r="H1524" s="77">
        <v>0.75</v>
      </c>
      <c r="J1524">
        <v>33.08</v>
      </c>
      <c r="M1524" s="74">
        <v>36589</v>
      </c>
      <c r="N1524" s="77">
        <v>0.75</v>
      </c>
      <c r="P1524">
        <v>44.6</v>
      </c>
      <c r="S1524" s="74">
        <v>38050</v>
      </c>
      <c r="T1524" s="77">
        <v>0.75</v>
      </c>
      <c r="V1524">
        <v>44.96</v>
      </c>
      <c r="X1524" s="42"/>
      <c r="AB1524">
        <v>41.6</v>
      </c>
      <c r="AC1524">
        <v>51.08</v>
      </c>
      <c r="AE1524" s="74"/>
      <c r="AF1524" s="77"/>
      <c r="AH1524" s="497">
        <v>46.4</v>
      </c>
      <c r="AJ1524" s="42"/>
      <c r="AK1524" s="74"/>
      <c r="AL1524" s="77"/>
      <c r="AN1524" s="497">
        <v>15.98</v>
      </c>
      <c r="AP1524" s="42"/>
      <c r="AQ1524" s="74"/>
      <c r="AR1524" s="77"/>
      <c r="AT1524" s="497">
        <v>37.94</v>
      </c>
      <c r="AV1524" s="42"/>
      <c r="AW1524" s="74"/>
      <c r="AX1524" s="77"/>
      <c r="BA1524" s="497">
        <v>17.96</v>
      </c>
      <c r="BB1524" s="42"/>
      <c r="BC1524" s="74"/>
      <c r="BD1524" s="77"/>
      <c r="BF1524">
        <v>23</v>
      </c>
      <c r="BH1524" s="42"/>
      <c r="BI1524" s="74"/>
      <c r="BJ1524" s="77"/>
      <c r="BL1524" s="497">
        <v>33.08</v>
      </c>
      <c r="BN1524" s="42"/>
      <c r="BO1524" s="74"/>
      <c r="BP1524" s="77"/>
      <c r="BR1524" s="497">
        <v>6.0799999999999983</v>
      </c>
      <c r="BT1524" s="42"/>
    </row>
    <row r="1525" spans="1:72" x14ac:dyDescent="0.25">
      <c r="A1525" s="90">
        <v>38050</v>
      </c>
      <c r="B1525" s="20">
        <v>0.79166666666666663</v>
      </c>
      <c r="D1525">
        <v>37.94</v>
      </c>
      <c r="E1525" t="str">
        <f t="shared" si="82"/>
        <v>WEEKDAY</v>
      </c>
      <c r="F1525" t="e">
        <f t="shared" si="83"/>
        <v>#N/A</v>
      </c>
      <c r="G1525" s="74">
        <v>32936</v>
      </c>
      <c r="H1525" s="77">
        <v>0.79166666666666663</v>
      </c>
      <c r="J1525">
        <v>32</v>
      </c>
      <c r="M1525" s="74">
        <v>36589</v>
      </c>
      <c r="N1525" s="77">
        <v>0.79166666666666663</v>
      </c>
      <c r="P1525">
        <v>44.6</v>
      </c>
      <c r="S1525" s="74">
        <v>38050</v>
      </c>
      <c r="T1525" s="77">
        <v>0.79166666666666663</v>
      </c>
      <c r="V1525">
        <v>44.06</v>
      </c>
      <c r="X1525" s="42"/>
      <c r="AB1525">
        <v>40.200000000000003</v>
      </c>
      <c r="AC1525">
        <v>50</v>
      </c>
      <c r="AE1525" s="74"/>
      <c r="AF1525" s="77"/>
      <c r="AH1525" s="497">
        <v>44.6</v>
      </c>
      <c r="AJ1525" s="42"/>
      <c r="AK1525" s="74"/>
      <c r="AL1525" s="77"/>
      <c r="AN1525" s="497">
        <v>15.079999999999998</v>
      </c>
      <c r="AP1525" s="42"/>
      <c r="AQ1525" s="74"/>
      <c r="AR1525" s="77"/>
      <c r="AT1525" s="497">
        <v>37.04</v>
      </c>
      <c r="AV1525" s="42"/>
      <c r="AW1525" s="74"/>
      <c r="AX1525" s="77"/>
      <c r="BA1525" s="497">
        <v>17.059999999999999</v>
      </c>
      <c r="BB1525" s="42"/>
      <c r="BC1525" s="74"/>
      <c r="BD1525" s="77"/>
      <c r="BF1525">
        <v>23</v>
      </c>
      <c r="BH1525" s="42"/>
      <c r="BI1525" s="74"/>
      <c r="BJ1525" s="77"/>
      <c r="BL1525" s="497">
        <v>33.08</v>
      </c>
      <c r="BN1525" s="42"/>
      <c r="BO1525" s="74"/>
      <c r="BP1525" s="77"/>
      <c r="BR1525" s="497">
        <v>6.0799999999999983</v>
      </c>
      <c r="BT1525" s="42"/>
    </row>
    <row r="1526" spans="1:72" x14ac:dyDescent="0.25">
      <c r="A1526" s="90">
        <v>38050</v>
      </c>
      <c r="B1526" s="20">
        <v>0.83333333333333337</v>
      </c>
      <c r="D1526">
        <v>35.96</v>
      </c>
      <c r="E1526" t="str">
        <f t="shared" si="82"/>
        <v>WEEKDAY</v>
      </c>
      <c r="F1526" t="e">
        <f t="shared" si="83"/>
        <v>#N/A</v>
      </c>
      <c r="G1526" s="74">
        <v>32936</v>
      </c>
      <c r="H1526" s="77">
        <v>0.83333333333333337</v>
      </c>
      <c r="J1526">
        <v>30.92</v>
      </c>
      <c r="M1526" s="74">
        <v>36589</v>
      </c>
      <c r="N1526" s="77">
        <v>0.83333333333333337</v>
      </c>
      <c r="P1526">
        <v>44.6</v>
      </c>
      <c r="S1526" s="74">
        <v>38050</v>
      </c>
      <c r="T1526" s="77">
        <v>0.83333333333333337</v>
      </c>
      <c r="V1526">
        <v>44.06</v>
      </c>
      <c r="X1526" s="42"/>
      <c r="AB1526">
        <v>39.6</v>
      </c>
      <c r="AC1526">
        <v>50</v>
      </c>
      <c r="AE1526" s="74"/>
      <c r="AF1526" s="77"/>
      <c r="AH1526" s="497">
        <v>42.8</v>
      </c>
      <c r="AJ1526" s="42"/>
      <c r="AK1526" s="74"/>
      <c r="AL1526" s="77"/>
      <c r="AN1526" s="497">
        <v>14</v>
      </c>
      <c r="AP1526" s="42"/>
      <c r="AQ1526" s="74"/>
      <c r="AR1526" s="77"/>
      <c r="AT1526" s="497">
        <v>38.659999999999997</v>
      </c>
      <c r="AV1526" s="42"/>
      <c r="AW1526" s="74"/>
      <c r="AX1526" s="77"/>
      <c r="BA1526" s="497">
        <v>15.98</v>
      </c>
      <c r="BB1526" s="42"/>
      <c r="BC1526" s="74"/>
      <c r="BD1526" s="77"/>
      <c r="BF1526">
        <v>21.92</v>
      </c>
      <c r="BH1526" s="42"/>
      <c r="BI1526" s="74"/>
      <c r="BJ1526" s="77"/>
      <c r="BL1526" s="497">
        <v>33.08</v>
      </c>
      <c r="BN1526" s="42"/>
      <c r="BO1526" s="74"/>
      <c r="BP1526" s="77"/>
      <c r="BR1526" s="497">
        <v>6.98</v>
      </c>
      <c r="BT1526" s="42"/>
    </row>
    <row r="1527" spans="1:72" x14ac:dyDescent="0.25">
      <c r="A1527" s="90">
        <v>38050</v>
      </c>
      <c r="B1527" s="20">
        <v>0.875</v>
      </c>
      <c r="D1527">
        <v>35.96</v>
      </c>
      <c r="E1527" t="str">
        <f t="shared" si="82"/>
        <v>WEEKDAY</v>
      </c>
      <c r="F1527" t="e">
        <f t="shared" si="83"/>
        <v>#N/A</v>
      </c>
      <c r="G1527" s="74">
        <v>32936</v>
      </c>
      <c r="H1527" s="77">
        <v>0.875</v>
      </c>
      <c r="J1527">
        <v>30.02</v>
      </c>
      <c r="M1527" s="74">
        <v>36589</v>
      </c>
      <c r="N1527" s="77">
        <v>0.875</v>
      </c>
      <c r="P1527">
        <v>44.6</v>
      </c>
      <c r="S1527" s="74">
        <v>38050</v>
      </c>
      <c r="T1527" s="77">
        <v>0.875</v>
      </c>
      <c r="V1527">
        <v>44.06</v>
      </c>
      <c r="X1527" s="42"/>
      <c r="AB1527">
        <v>39</v>
      </c>
      <c r="AC1527">
        <v>48.019999999999996</v>
      </c>
      <c r="AE1527" s="74"/>
      <c r="AF1527" s="77"/>
      <c r="AH1527" s="497">
        <v>35.6</v>
      </c>
      <c r="AJ1527" s="42"/>
      <c r="AK1527" s="74"/>
      <c r="AL1527" s="77"/>
      <c r="AN1527" s="497">
        <v>12.920000000000002</v>
      </c>
      <c r="AP1527" s="42"/>
      <c r="AQ1527" s="74"/>
      <c r="AR1527" s="77"/>
      <c r="AT1527" s="497">
        <v>40.46</v>
      </c>
      <c r="AV1527" s="42"/>
      <c r="AW1527" s="74"/>
      <c r="AX1527" s="77"/>
      <c r="BA1527" s="497">
        <v>17.96</v>
      </c>
      <c r="BB1527" s="42"/>
      <c r="BC1527" s="74"/>
      <c r="BD1527" s="77"/>
      <c r="BF1527">
        <v>21.92</v>
      </c>
      <c r="BH1527" s="42"/>
      <c r="BI1527" s="74"/>
      <c r="BJ1527" s="77"/>
      <c r="BL1527" s="497">
        <v>33.08</v>
      </c>
      <c r="BN1527" s="42"/>
      <c r="BO1527" s="74"/>
      <c r="BP1527" s="77"/>
      <c r="BR1527" s="497">
        <v>8.9599999999999973</v>
      </c>
      <c r="BT1527" s="42"/>
    </row>
    <row r="1528" spans="1:72" x14ac:dyDescent="0.25">
      <c r="A1528" s="90">
        <v>38050</v>
      </c>
      <c r="B1528" s="20">
        <v>0.91666666666666663</v>
      </c>
      <c r="D1528">
        <v>35.96</v>
      </c>
      <c r="E1528" t="str">
        <f t="shared" si="82"/>
        <v>WEEKDAY</v>
      </c>
      <c r="F1528" t="e">
        <f t="shared" si="83"/>
        <v>#N/A</v>
      </c>
      <c r="G1528" s="74">
        <v>32936</v>
      </c>
      <c r="H1528" s="77">
        <v>0.91666666666666663</v>
      </c>
      <c r="J1528">
        <v>28.94</v>
      </c>
      <c r="M1528" s="74">
        <v>36589</v>
      </c>
      <c r="N1528" s="77">
        <v>0.91666666666666663</v>
      </c>
      <c r="P1528">
        <v>42.8</v>
      </c>
      <c r="S1528" s="74">
        <v>38050</v>
      </c>
      <c r="T1528" s="77">
        <v>0.91666666666666663</v>
      </c>
      <c r="V1528">
        <v>44.96</v>
      </c>
      <c r="X1528" s="42"/>
      <c r="AB1528">
        <v>38.200000000000003</v>
      </c>
      <c r="AC1528">
        <v>46.04</v>
      </c>
      <c r="AE1528" s="74"/>
      <c r="AF1528" s="77"/>
      <c r="AH1528" s="497">
        <v>37.4</v>
      </c>
      <c r="AJ1528" s="42"/>
      <c r="AK1528" s="74"/>
      <c r="AL1528" s="77"/>
      <c r="AN1528" s="497">
        <v>12.920000000000002</v>
      </c>
      <c r="AP1528" s="42"/>
      <c r="AQ1528" s="74"/>
      <c r="AR1528" s="77"/>
      <c r="AT1528" s="497">
        <v>42.08</v>
      </c>
      <c r="AV1528" s="42"/>
      <c r="AW1528" s="74"/>
      <c r="AX1528" s="77"/>
      <c r="BA1528" s="497">
        <v>17.96</v>
      </c>
      <c r="BB1528" s="42"/>
      <c r="BC1528" s="74"/>
      <c r="BD1528" s="77"/>
      <c r="BF1528">
        <v>21.92</v>
      </c>
      <c r="BH1528" s="42"/>
      <c r="BI1528" s="74"/>
      <c r="BJ1528" s="77"/>
      <c r="BL1528" s="497">
        <v>33.08</v>
      </c>
      <c r="BN1528" s="42"/>
      <c r="BO1528" s="74"/>
      <c r="BP1528" s="77"/>
      <c r="BR1528" s="497">
        <v>10.940000000000001</v>
      </c>
      <c r="BT1528" s="42"/>
    </row>
    <row r="1529" spans="1:72" x14ac:dyDescent="0.25">
      <c r="A1529" s="90">
        <v>38050</v>
      </c>
      <c r="B1529" s="20">
        <v>0.95833333333333337</v>
      </c>
      <c r="D1529">
        <v>35.96</v>
      </c>
      <c r="E1529" t="str">
        <f t="shared" si="82"/>
        <v>WEEKDAY</v>
      </c>
      <c r="F1529" t="e">
        <f t="shared" si="83"/>
        <v>#N/A</v>
      </c>
      <c r="G1529" s="74">
        <v>32936</v>
      </c>
      <c r="H1529" s="77">
        <v>0.95833333333333337</v>
      </c>
      <c r="J1529">
        <v>28.94</v>
      </c>
      <c r="M1529" s="74">
        <v>36589</v>
      </c>
      <c r="N1529" s="77">
        <v>0.95833333333333337</v>
      </c>
      <c r="P1529">
        <v>42.8</v>
      </c>
      <c r="S1529" s="74">
        <v>38050</v>
      </c>
      <c r="T1529" s="77">
        <v>0.95833333333333337</v>
      </c>
      <c r="V1529">
        <v>44.06</v>
      </c>
      <c r="X1529" s="42"/>
      <c r="AB1529">
        <v>37.700000000000003</v>
      </c>
      <c r="AC1529">
        <v>44.06</v>
      </c>
      <c r="AE1529" s="74"/>
      <c r="AF1529" s="77"/>
      <c r="AH1529" s="497">
        <v>35.6</v>
      </c>
      <c r="AJ1529" s="42"/>
      <c r="AK1529" s="74"/>
      <c r="AL1529" s="77"/>
      <c r="AN1529" s="497">
        <v>12.02</v>
      </c>
      <c r="AP1529" s="42"/>
      <c r="AQ1529" s="74"/>
      <c r="AR1529" s="77"/>
      <c r="AT1529" s="497">
        <v>42.08</v>
      </c>
      <c r="AV1529" s="42"/>
      <c r="AW1529" s="74"/>
      <c r="AX1529" s="77"/>
      <c r="BA1529" s="497">
        <v>19.04</v>
      </c>
      <c r="BB1529" s="42"/>
      <c r="BC1529" s="74"/>
      <c r="BD1529" s="77"/>
      <c r="BF1529">
        <v>21.92</v>
      </c>
      <c r="BH1529" s="42"/>
      <c r="BI1529" s="74"/>
      <c r="BJ1529" s="77"/>
      <c r="BL1529" s="497">
        <v>32</v>
      </c>
      <c r="BN1529" s="42"/>
      <c r="BO1529" s="74"/>
      <c r="BP1529" s="77"/>
      <c r="BR1529" s="497">
        <v>12.02</v>
      </c>
      <c r="BT1529" s="42"/>
    </row>
    <row r="1530" spans="1:72" x14ac:dyDescent="0.25">
      <c r="A1530" s="90">
        <v>38050</v>
      </c>
      <c r="B1530" s="20">
        <v>1</v>
      </c>
      <c r="D1530">
        <v>35.06</v>
      </c>
      <c r="E1530" t="str">
        <f t="shared" si="82"/>
        <v>WEEKDAY</v>
      </c>
      <c r="F1530" t="e">
        <f t="shared" si="83"/>
        <v>#N/A</v>
      </c>
      <c r="G1530" s="74">
        <v>32936</v>
      </c>
      <c r="H1530" s="77">
        <v>1</v>
      </c>
      <c r="J1530">
        <v>28.94</v>
      </c>
      <c r="M1530" s="74">
        <v>36589</v>
      </c>
      <c r="N1530" s="80">
        <v>1</v>
      </c>
      <c r="P1530">
        <v>42.8</v>
      </c>
      <c r="S1530" s="74">
        <v>38050</v>
      </c>
      <c r="T1530" s="80">
        <v>1</v>
      </c>
      <c r="V1530">
        <v>44.06</v>
      </c>
      <c r="X1530" s="42"/>
      <c r="AB1530">
        <v>37.1</v>
      </c>
      <c r="AC1530">
        <v>42.980000000000004</v>
      </c>
      <c r="AE1530" s="74"/>
      <c r="AF1530" s="80"/>
      <c r="AH1530" s="497">
        <v>35.6</v>
      </c>
      <c r="AJ1530" s="42"/>
      <c r="AK1530" s="74"/>
      <c r="AL1530" s="80"/>
      <c r="AN1530" s="497">
        <v>10.940000000000001</v>
      </c>
      <c r="AP1530" s="42"/>
      <c r="AQ1530" s="74"/>
      <c r="AR1530" s="80"/>
      <c r="AT1530" s="497">
        <v>42.08</v>
      </c>
      <c r="AV1530" s="42"/>
      <c r="AW1530" s="74"/>
      <c r="AX1530" s="80"/>
      <c r="BA1530" s="497">
        <v>17.96</v>
      </c>
      <c r="BB1530" s="42"/>
      <c r="BC1530" s="74"/>
      <c r="BD1530" s="80"/>
      <c r="BF1530">
        <v>21.02</v>
      </c>
      <c r="BH1530" s="42"/>
      <c r="BI1530" s="74"/>
      <c r="BJ1530" s="80"/>
      <c r="BL1530" s="497">
        <v>32</v>
      </c>
      <c r="BN1530" s="42"/>
      <c r="BO1530" s="74"/>
      <c r="BP1530" s="80"/>
      <c r="BR1530" s="497">
        <v>12.920000000000002</v>
      </c>
      <c r="BT1530" s="42"/>
    </row>
    <row r="1531" spans="1:72" x14ac:dyDescent="0.25">
      <c r="A1531" s="90">
        <v>38051</v>
      </c>
      <c r="B1531" s="20">
        <v>4.1666666666666664E-2</v>
      </c>
      <c r="D1531">
        <v>35.06</v>
      </c>
      <c r="E1531" t="str">
        <f t="shared" si="82"/>
        <v>WEEKDAY</v>
      </c>
      <c r="F1531" t="e">
        <f t="shared" si="83"/>
        <v>#N/A</v>
      </c>
      <c r="G1531" s="74">
        <v>32937</v>
      </c>
      <c r="H1531" s="77">
        <v>4.1666666666666664E-2</v>
      </c>
      <c r="J1531">
        <v>28.94</v>
      </c>
      <c r="M1531" s="74">
        <v>36590</v>
      </c>
      <c r="N1531" s="77">
        <v>4.1666666666666664E-2</v>
      </c>
      <c r="P1531">
        <v>41</v>
      </c>
      <c r="S1531" s="74">
        <v>38051</v>
      </c>
      <c r="T1531" s="77">
        <v>4.1666666666666664E-2</v>
      </c>
      <c r="V1531">
        <v>44.06</v>
      </c>
      <c r="X1531" s="42"/>
      <c r="AB1531">
        <v>36.6</v>
      </c>
      <c r="AC1531">
        <v>41</v>
      </c>
      <c r="AE1531" s="74"/>
      <c r="AF1531" s="77"/>
      <c r="AH1531" s="497">
        <v>33.799999999999997</v>
      </c>
      <c r="AJ1531" s="42"/>
      <c r="AK1531" s="74"/>
      <c r="AL1531" s="77"/>
      <c r="AN1531" s="497">
        <v>10.940000000000001</v>
      </c>
      <c r="AP1531" s="42"/>
      <c r="AQ1531" s="74"/>
      <c r="AR1531" s="77"/>
      <c r="AT1531" s="497">
        <v>42.08</v>
      </c>
      <c r="AV1531" s="42"/>
      <c r="AW1531" s="74"/>
      <c r="AX1531" s="77"/>
      <c r="BA1531" s="497">
        <v>15.079999999999998</v>
      </c>
      <c r="BB1531" s="42"/>
      <c r="BC1531" s="74"/>
      <c r="BD1531" s="77"/>
      <c r="BF1531">
        <v>19.04</v>
      </c>
      <c r="BH1531" s="42"/>
      <c r="BI1531" s="74"/>
      <c r="BJ1531" s="77"/>
      <c r="BL1531" s="497">
        <v>30.92</v>
      </c>
      <c r="BN1531" s="42"/>
      <c r="BO1531" s="74"/>
      <c r="BP1531" s="77"/>
      <c r="BR1531" s="497">
        <v>15.079999999999998</v>
      </c>
      <c r="BT1531" s="42"/>
    </row>
    <row r="1532" spans="1:72" x14ac:dyDescent="0.25">
      <c r="A1532" s="90">
        <v>38051</v>
      </c>
      <c r="B1532" s="20">
        <v>8.3333333333333329E-2</v>
      </c>
      <c r="D1532">
        <v>35.06</v>
      </c>
      <c r="E1532" t="str">
        <f t="shared" si="82"/>
        <v>WEEKDAY</v>
      </c>
      <c r="F1532" t="e">
        <f t="shared" si="83"/>
        <v>#N/A</v>
      </c>
      <c r="G1532" s="74">
        <v>32937</v>
      </c>
      <c r="H1532" s="77">
        <v>8.3333333333333329E-2</v>
      </c>
      <c r="J1532">
        <v>26.96</v>
      </c>
      <c r="M1532" s="74">
        <v>36590</v>
      </c>
      <c r="N1532" s="77">
        <v>8.3333333333333329E-2</v>
      </c>
      <c r="P1532">
        <v>42.8</v>
      </c>
      <c r="S1532" s="74">
        <v>38051</v>
      </c>
      <c r="T1532" s="77">
        <v>8.3333333333333329E-2</v>
      </c>
      <c r="V1532">
        <v>44.06</v>
      </c>
      <c r="X1532" s="42"/>
      <c r="AB1532">
        <v>36</v>
      </c>
      <c r="AC1532">
        <v>41</v>
      </c>
      <c r="AE1532" s="74"/>
      <c r="AF1532" s="77"/>
      <c r="AH1532" s="497">
        <v>33.799999999999997</v>
      </c>
      <c r="AJ1532" s="42"/>
      <c r="AK1532" s="74"/>
      <c r="AL1532" s="77"/>
      <c r="AN1532" s="497">
        <v>10.039999999999999</v>
      </c>
      <c r="AP1532" s="42"/>
      <c r="AQ1532" s="74"/>
      <c r="AR1532" s="77"/>
      <c r="AT1532" s="497">
        <v>42.44</v>
      </c>
      <c r="AV1532" s="42"/>
      <c r="AW1532" s="74"/>
      <c r="AX1532" s="77"/>
      <c r="BA1532" s="497">
        <v>12.920000000000002</v>
      </c>
      <c r="BB1532" s="42"/>
      <c r="BC1532" s="74"/>
      <c r="BD1532" s="77"/>
      <c r="BF1532">
        <v>17.059999999999999</v>
      </c>
      <c r="BH1532" s="42"/>
      <c r="BI1532" s="74"/>
      <c r="BJ1532" s="77"/>
      <c r="BL1532" s="497">
        <v>28.94</v>
      </c>
      <c r="BN1532" s="42"/>
      <c r="BO1532" s="74"/>
      <c r="BP1532" s="77"/>
      <c r="BR1532" s="497">
        <v>17.059999999999999</v>
      </c>
      <c r="BT1532" s="42"/>
    </row>
    <row r="1533" spans="1:72" x14ac:dyDescent="0.25">
      <c r="A1533" s="90">
        <v>38051</v>
      </c>
      <c r="B1533" s="20">
        <v>0.125</v>
      </c>
      <c r="D1533">
        <v>33.979999999999997</v>
      </c>
      <c r="E1533" t="str">
        <f t="shared" si="82"/>
        <v>WEEKDAY</v>
      </c>
      <c r="F1533" t="e">
        <f t="shared" si="83"/>
        <v>#N/A</v>
      </c>
      <c r="G1533" s="74">
        <v>32937</v>
      </c>
      <c r="H1533" s="77">
        <v>0.125</v>
      </c>
      <c r="J1533">
        <v>26.060000000000002</v>
      </c>
      <c r="M1533" s="74">
        <v>36590</v>
      </c>
      <c r="N1533" s="77">
        <v>0.125</v>
      </c>
      <c r="P1533">
        <v>41</v>
      </c>
      <c r="S1533" s="74">
        <v>38051</v>
      </c>
      <c r="T1533" s="77">
        <v>0.125</v>
      </c>
      <c r="V1533">
        <v>44.06</v>
      </c>
      <c r="X1533" s="42"/>
      <c r="AB1533">
        <v>35.5</v>
      </c>
      <c r="AC1533">
        <v>39.92</v>
      </c>
      <c r="AE1533" s="74"/>
      <c r="AF1533" s="77"/>
      <c r="AH1533" s="497">
        <v>32</v>
      </c>
      <c r="AJ1533" s="42"/>
      <c r="AK1533" s="74"/>
      <c r="AL1533" s="77"/>
      <c r="AN1533" s="497">
        <v>8.9599999999999973</v>
      </c>
      <c r="AP1533" s="42"/>
      <c r="AQ1533" s="74"/>
      <c r="AR1533" s="77"/>
      <c r="AT1533" s="497">
        <v>42.620000000000005</v>
      </c>
      <c r="AV1533" s="42"/>
      <c r="AW1533" s="74"/>
      <c r="AX1533" s="77"/>
      <c r="BA1533" s="497">
        <v>15.079999999999998</v>
      </c>
      <c r="BB1533" s="42"/>
      <c r="BC1533" s="74"/>
      <c r="BD1533" s="77"/>
      <c r="BF1533">
        <v>15.98</v>
      </c>
      <c r="BH1533" s="42"/>
      <c r="BI1533" s="74"/>
      <c r="BJ1533" s="77"/>
      <c r="BL1533" s="497">
        <v>26.96</v>
      </c>
      <c r="BN1533" s="42"/>
      <c r="BO1533" s="74"/>
      <c r="BP1533" s="77"/>
      <c r="BR1533" s="497">
        <v>17.96</v>
      </c>
      <c r="BT1533" s="42"/>
    </row>
    <row r="1534" spans="1:72" x14ac:dyDescent="0.25">
      <c r="A1534" s="90">
        <v>38051</v>
      </c>
      <c r="B1534" s="20">
        <v>0.16666666666666666</v>
      </c>
      <c r="D1534">
        <v>33.08</v>
      </c>
      <c r="E1534" t="str">
        <f t="shared" si="82"/>
        <v>WEEKDAY</v>
      </c>
      <c r="F1534" t="e">
        <f t="shared" si="83"/>
        <v>#N/A</v>
      </c>
      <c r="G1534" s="74">
        <v>32937</v>
      </c>
      <c r="H1534" s="77">
        <v>0.16666666666666666</v>
      </c>
      <c r="J1534">
        <v>24.98</v>
      </c>
      <c r="M1534" s="74">
        <v>36590</v>
      </c>
      <c r="N1534" s="77">
        <v>0.16666666666666666</v>
      </c>
      <c r="P1534">
        <v>41</v>
      </c>
      <c r="S1534" s="74">
        <v>38051</v>
      </c>
      <c r="T1534" s="77">
        <v>0.16666666666666666</v>
      </c>
      <c r="V1534">
        <v>44.06</v>
      </c>
      <c r="X1534" s="42"/>
      <c r="AB1534">
        <v>35.1</v>
      </c>
      <c r="AC1534">
        <v>37.94</v>
      </c>
      <c r="AE1534" s="74"/>
      <c r="AF1534" s="77"/>
      <c r="AH1534" s="497">
        <v>32</v>
      </c>
      <c r="AJ1534" s="42"/>
      <c r="AK1534" s="74"/>
      <c r="AL1534" s="77"/>
      <c r="AN1534" s="497">
        <v>8.0599999999999987</v>
      </c>
      <c r="AP1534" s="42"/>
      <c r="AQ1534" s="74"/>
      <c r="AR1534" s="77"/>
      <c r="AT1534" s="497">
        <v>42.980000000000004</v>
      </c>
      <c r="AV1534" s="42"/>
      <c r="AW1534" s="74"/>
      <c r="AX1534" s="77"/>
      <c r="BA1534" s="497">
        <v>15.98</v>
      </c>
      <c r="BB1534" s="42"/>
      <c r="BC1534" s="74"/>
      <c r="BD1534" s="77"/>
      <c r="BF1534">
        <v>14</v>
      </c>
      <c r="BH1534" s="42"/>
      <c r="BI1534" s="74"/>
      <c r="BJ1534" s="77"/>
      <c r="BL1534" s="497">
        <v>28.94</v>
      </c>
      <c r="BN1534" s="42"/>
      <c r="BO1534" s="74"/>
      <c r="BP1534" s="77"/>
      <c r="BR1534" s="497">
        <v>19.939999999999998</v>
      </c>
      <c r="BT1534" s="42"/>
    </row>
    <row r="1535" spans="1:72" x14ac:dyDescent="0.25">
      <c r="A1535" s="90">
        <v>38051</v>
      </c>
      <c r="B1535" s="20">
        <v>0.20833333333333334</v>
      </c>
      <c r="D1535">
        <v>33.08</v>
      </c>
      <c r="E1535" t="str">
        <f t="shared" si="82"/>
        <v>WEEKDAY</v>
      </c>
      <c r="F1535" t="e">
        <f t="shared" si="83"/>
        <v>#N/A</v>
      </c>
      <c r="G1535" s="74">
        <v>32937</v>
      </c>
      <c r="H1535" s="77">
        <v>0.20833333333333334</v>
      </c>
      <c r="J1535">
        <v>24.98</v>
      </c>
      <c r="M1535" s="74">
        <v>36590</v>
      </c>
      <c r="N1535" s="77">
        <v>0.20833333333333334</v>
      </c>
      <c r="P1535">
        <v>41</v>
      </c>
      <c r="S1535" s="74">
        <v>38051</v>
      </c>
      <c r="T1535" s="77">
        <v>0.20833333333333334</v>
      </c>
      <c r="V1535">
        <v>44.06</v>
      </c>
      <c r="X1535" s="42"/>
      <c r="AB1535">
        <v>34.5</v>
      </c>
      <c r="AC1535">
        <v>37.94</v>
      </c>
      <c r="AE1535" s="74"/>
      <c r="AF1535" s="77"/>
      <c r="AH1535" s="497">
        <v>30.2</v>
      </c>
      <c r="AJ1535" s="42"/>
      <c r="AK1535" s="74"/>
      <c r="AL1535" s="77"/>
      <c r="AN1535" s="497">
        <v>8.0599999999999987</v>
      </c>
      <c r="AP1535" s="42"/>
      <c r="AQ1535" s="74"/>
      <c r="AR1535" s="77"/>
      <c r="AT1535" s="497">
        <v>42.980000000000004</v>
      </c>
      <c r="AV1535" s="42"/>
      <c r="AW1535" s="74"/>
      <c r="AX1535" s="77"/>
      <c r="BA1535" s="497">
        <v>15.98</v>
      </c>
      <c r="BB1535" s="42"/>
      <c r="BC1535" s="74"/>
      <c r="BD1535" s="77"/>
      <c r="BF1535">
        <v>12.920000000000002</v>
      </c>
      <c r="BH1535" s="42"/>
      <c r="BI1535" s="74"/>
      <c r="BJ1535" s="77"/>
      <c r="BL1535" s="497">
        <v>30.02</v>
      </c>
      <c r="BN1535" s="42"/>
      <c r="BO1535" s="74"/>
      <c r="BP1535" s="77"/>
      <c r="BR1535" s="497">
        <v>21.02</v>
      </c>
      <c r="BT1535" s="42"/>
    </row>
    <row r="1536" spans="1:72" x14ac:dyDescent="0.25">
      <c r="A1536" s="90">
        <v>38051</v>
      </c>
      <c r="B1536" s="20">
        <v>0.25</v>
      </c>
      <c r="D1536">
        <v>33.08</v>
      </c>
      <c r="E1536" t="str">
        <f t="shared" si="82"/>
        <v>WEEKDAY</v>
      </c>
      <c r="F1536" t="e">
        <f t="shared" si="83"/>
        <v>#N/A</v>
      </c>
      <c r="G1536" s="74">
        <v>32937</v>
      </c>
      <c r="H1536" s="77">
        <v>0.25</v>
      </c>
      <c r="J1536">
        <v>26.060000000000002</v>
      </c>
      <c r="M1536" s="74">
        <v>36590</v>
      </c>
      <c r="N1536" s="77">
        <v>0.25</v>
      </c>
      <c r="P1536">
        <v>42.8</v>
      </c>
      <c r="S1536" s="74">
        <v>38051</v>
      </c>
      <c r="T1536" s="77">
        <v>0.25</v>
      </c>
      <c r="V1536">
        <v>44.06</v>
      </c>
      <c r="X1536" s="42"/>
      <c r="AB1536">
        <v>34.200000000000003</v>
      </c>
      <c r="AC1536">
        <v>37.04</v>
      </c>
      <c r="AE1536" s="74"/>
      <c r="AF1536" s="77"/>
      <c r="AH1536" s="497">
        <v>28.4</v>
      </c>
      <c r="AJ1536" s="42"/>
      <c r="AK1536" s="74"/>
      <c r="AL1536" s="77"/>
      <c r="AN1536" s="497">
        <v>8.0599999999999987</v>
      </c>
      <c r="AP1536" s="42"/>
      <c r="AQ1536" s="74"/>
      <c r="AR1536" s="77"/>
      <c r="AT1536" s="497">
        <v>42.980000000000004</v>
      </c>
      <c r="AV1536" s="42"/>
      <c r="AW1536" s="74"/>
      <c r="AX1536" s="77"/>
      <c r="BA1536" s="497">
        <v>15.079999999999998</v>
      </c>
      <c r="BB1536" s="42"/>
      <c r="BC1536" s="74"/>
      <c r="BD1536" s="77"/>
      <c r="BF1536">
        <v>12.02</v>
      </c>
      <c r="BH1536" s="42"/>
      <c r="BI1536" s="74"/>
      <c r="BJ1536" s="77"/>
      <c r="BL1536" s="497">
        <v>30.92</v>
      </c>
      <c r="BN1536" s="42"/>
      <c r="BO1536" s="74"/>
      <c r="BP1536" s="77"/>
      <c r="BR1536" s="497">
        <v>21.02</v>
      </c>
      <c r="BT1536" s="42"/>
    </row>
    <row r="1537" spans="1:72" x14ac:dyDescent="0.25">
      <c r="A1537" s="90">
        <v>38051</v>
      </c>
      <c r="B1537" s="20">
        <v>0.29166666666666669</v>
      </c>
      <c r="D1537">
        <v>33.979999999999997</v>
      </c>
      <c r="E1537" t="str">
        <f t="shared" si="82"/>
        <v>WEEKDAY</v>
      </c>
      <c r="F1537" t="e">
        <f t="shared" si="83"/>
        <v>#N/A</v>
      </c>
      <c r="G1537" s="74">
        <v>32937</v>
      </c>
      <c r="H1537" s="77">
        <v>0.29166666666666669</v>
      </c>
      <c r="J1537">
        <v>26.060000000000002</v>
      </c>
      <c r="M1537" s="74">
        <v>36590</v>
      </c>
      <c r="N1537" s="77">
        <v>0.29166666666666669</v>
      </c>
      <c r="P1537">
        <v>42.8</v>
      </c>
      <c r="S1537" s="74">
        <v>38051</v>
      </c>
      <c r="T1537" s="77">
        <v>0.29166666666666669</v>
      </c>
      <c r="V1537">
        <v>44.06</v>
      </c>
      <c r="X1537" s="42"/>
      <c r="AB1537">
        <v>34</v>
      </c>
      <c r="AC1537">
        <v>37.94</v>
      </c>
      <c r="AE1537" s="74"/>
      <c r="AF1537" s="77"/>
      <c r="AH1537" s="497">
        <v>28.4</v>
      </c>
      <c r="AJ1537" s="42"/>
      <c r="AK1537" s="74"/>
      <c r="AL1537" s="77"/>
      <c r="AN1537" s="497">
        <v>8.9599999999999973</v>
      </c>
      <c r="AP1537" s="42"/>
      <c r="AQ1537" s="74"/>
      <c r="AR1537" s="77"/>
      <c r="AT1537" s="497">
        <v>42.980000000000004</v>
      </c>
      <c r="AV1537" s="42"/>
      <c r="AW1537" s="74"/>
      <c r="AX1537" s="77"/>
      <c r="BA1537" s="497">
        <v>15.98</v>
      </c>
      <c r="BB1537" s="42"/>
      <c r="BC1537" s="74"/>
      <c r="BD1537" s="77"/>
      <c r="BF1537">
        <v>10.940000000000001</v>
      </c>
      <c r="BH1537" s="42"/>
      <c r="BI1537" s="74"/>
      <c r="BJ1537" s="77"/>
      <c r="BL1537" s="497">
        <v>30.92</v>
      </c>
      <c r="BN1537" s="42"/>
      <c r="BO1537" s="74"/>
      <c r="BP1537" s="77"/>
      <c r="BR1537" s="497">
        <v>19.939999999999998</v>
      </c>
      <c r="BT1537" s="42"/>
    </row>
    <row r="1538" spans="1:72" x14ac:dyDescent="0.25">
      <c r="A1538" s="90">
        <v>38051</v>
      </c>
      <c r="B1538" s="20">
        <v>0.33333333333333331</v>
      </c>
      <c r="D1538">
        <v>35.06</v>
      </c>
      <c r="E1538" t="str">
        <f t="shared" si="82"/>
        <v>WEEKDAY</v>
      </c>
      <c r="F1538" t="e">
        <f t="shared" si="83"/>
        <v>#N/A</v>
      </c>
      <c r="G1538" s="74">
        <v>32937</v>
      </c>
      <c r="H1538" s="77">
        <v>0.33333333333333331</v>
      </c>
      <c r="J1538">
        <v>26.96</v>
      </c>
      <c r="M1538" s="74">
        <v>36590</v>
      </c>
      <c r="N1538" s="77">
        <v>0.33333333333333331</v>
      </c>
      <c r="P1538">
        <v>42.8</v>
      </c>
      <c r="S1538" s="74">
        <v>38051</v>
      </c>
      <c r="T1538" s="77">
        <v>0.33333333333333331</v>
      </c>
      <c r="V1538">
        <v>44.06</v>
      </c>
      <c r="X1538" s="42"/>
      <c r="AB1538">
        <v>34.200000000000003</v>
      </c>
      <c r="AC1538">
        <v>39.019999999999996</v>
      </c>
      <c r="AE1538" s="74"/>
      <c r="AF1538" s="77"/>
      <c r="AH1538" s="497">
        <v>42.8</v>
      </c>
      <c r="AJ1538" s="42"/>
      <c r="AK1538" s="74"/>
      <c r="AL1538" s="77"/>
      <c r="AN1538" s="497">
        <v>8.9599999999999973</v>
      </c>
      <c r="AP1538" s="42"/>
      <c r="AQ1538" s="74"/>
      <c r="AR1538" s="77"/>
      <c r="AT1538" s="497">
        <v>44.06</v>
      </c>
      <c r="AV1538" s="42"/>
      <c r="AW1538" s="74"/>
      <c r="AX1538" s="77"/>
      <c r="BA1538" s="497">
        <v>14</v>
      </c>
      <c r="BB1538" s="42"/>
      <c r="BC1538" s="74"/>
      <c r="BD1538" s="77"/>
      <c r="BF1538">
        <v>14</v>
      </c>
      <c r="BH1538" s="42"/>
      <c r="BI1538" s="74"/>
      <c r="BJ1538" s="77"/>
      <c r="BL1538" s="497">
        <v>32</v>
      </c>
      <c r="BN1538" s="42"/>
      <c r="BO1538" s="74"/>
      <c r="BP1538" s="77"/>
      <c r="BR1538" s="497">
        <v>19.939999999999998</v>
      </c>
      <c r="BT1538" s="42"/>
    </row>
    <row r="1539" spans="1:72" x14ac:dyDescent="0.25">
      <c r="A1539" s="90">
        <v>38051</v>
      </c>
      <c r="B1539" s="20">
        <v>0.375</v>
      </c>
      <c r="D1539">
        <v>35.96</v>
      </c>
      <c r="E1539" t="str">
        <f t="shared" si="82"/>
        <v>WEEKDAY</v>
      </c>
      <c r="F1539" t="e">
        <f t="shared" si="83"/>
        <v>#N/A</v>
      </c>
      <c r="G1539" s="74">
        <v>32937</v>
      </c>
      <c r="H1539" s="77">
        <v>0.375</v>
      </c>
      <c r="J1539">
        <v>26.96</v>
      </c>
      <c r="M1539" s="74">
        <v>36590</v>
      </c>
      <c r="N1539" s="77">
        <v>0.375</v>
      </c>
      <c r="P1539">
        <v>44.6</v>
      </c>
      <c r="S1539" s="74">
        <v>38051</v>
      </c>
      <c r="T1539" s="77">
        <v>0.375</v>
      </c>
      <c r="V1539">
        <v>42.980000000000004</v>
      </c>
      <c r="X1539" s="42"/>
      <c r="AB1539">
        <v>35.9</v>
      </c>
      <c r="AC1539">
        <v>39.92</v>
      </c>
      <c r="AE1539" s="74"/>
      <c r="AF1539" s="77"/>
      <c r="AH1539" s="497">
        <v>46.4</v>
      </c>
      <c r="AJ1539" s="42"/>
      <c r="AK1539" s="74"/>
      <c r="AL1539" s="77"/>
      <c r="AN1539" s="497">
        <v>12.02</v>
      </c>
      <c r="AP1539" s="42"/>
      <c r="AQ1539" s="74"/>
      <c r="AR1539" s="77"/>
      <c r="AT1539" s="497">
        <v>44.96</v>
      </c>
      <c r="AV1539" s="42"/>
      <c r="AW1539" s="74"/>
      <c r="AX1539" s="77"/>
      <c r="BA1539" s="497">
        <v>17.96</v>
      </c>
      <c r="BB1539" s="42"/>
      <c r="BC1539" s="74"/>
      <c r="BD1539" s="77"/>
      <c r="BF1539">
        <v>17.059999999999999</v>
      </c>
      <c r="BH1539" s="42"/>
      <c r="BI1539" s="74"/>
      <c r="BJ1539" s="77"/>
      <c r="BL1539" s="497">
        <v>33.979999999999997</v>
      </c>
      <c r="BN1539" s="42"/>
      <c r="BO1539" s="74"/>
      <c r="BP1539" s="77"/>
      <c r="BR1539" s="497">
        <v>24.98</v>
      </c>
      <c r="BT1539" s="42"/>
    </row>
    <row r="1540" spans="1:72" x14ac:dyDescent="0.25">
      <c r="A1540" s="90">
        <v>38051</v>
      </c>
      <c r="B1540" s="20">
        <v>0.41666666666666669</v>
      </c>
      <c r="D1540">
        <v>37.04</v>
      </c>
      <c r="E1540" t="str">
        <f t="shared" si="82"/>
        <v>WEEKDAY</v>
      </c>
      <c r="F1540" t="e">
        <f t="shared" si="83"/>
        <v>#N/A</v>
      </c>
      <c r="G1540" s="74">
        <v>32937</v>
      </c>
      <c r="H1540" s="77">
        <v>0.41666666666666669</v>
      </c>
      <c r="J1540">
        <v>28.04</v>
      </c>
      <c r="M1540" s="74">
        <v>36590</v>
      </c>
      <c r="N1540" s="77">
        <v>0.41666666666666669</v>
      </c>
      <c r="P1540">
        <v>46.4</v>
      </c>
      <c r="S1540" s="74">
        <v>38051</v>
      </c>
      <c r="T1540" s="77">
        <v>0.41666666666666669</v>
      </c>
      <c r="V1540">
        <v>42.980000000000004</v>
      </c>
      <c r="X1540" s="42"/>
      <c r="AB1540">
        <v>37.6</v>
      </c>
      <c r="AC1540">
        <v>42.08</v>
      </c>
      <c r="AE1540" s="74"/>
      <c r="AF1540" s="77"/>
      <c r="AH1540" s="497">
        <v>46.4</v>
      </c>
      <c r="AJ1540" s="42"/>
      <c r="AK1540" s="74"/>
      <c r="AL1540" s="77"/>
      <c r="AN1540" s="497">
        <v>14</v>
      </c>
      <c r="AP1540" s="42"/>
      <c r="AQ1540" s="74"/>
      <c r="AR1540" s="77"/>
      <c r="AT1540" s="497">
        <v>46.04</v>
      </c>
      <c r="AV1540" s="42"/>
      <c r="AW1540" s="74"/>
      <c r="AX1540" s="77"/>
      <c r="BA1540" s="497">
        <v>21.92</v>
      </c>
      <c r="BB1540" s="42"/>
      <c r="BC1540" s="74"/>
      <c r="BD1540" s="77"/>
      <c r="BF1540">
        <v>19.04</v>
      </c>
      <c r="BH1540" s="42"/>
      <c r="BI1540" s="74"/>
      <c r="BJ1540" s="77"/>
      <c r="BL1540" s="497">
        <v>33.979999999999997</v>
      </c>
      <c r="BN1540" s="42"/>
      <c r="BO1540" s="74"/>
      <c r="BP1540" s="77"/>
      <c r="BR1540" s="497">
        <v>30.02</v>
      </c>
      <c r="BT1540" s="42"/>
    </row>
    <row r="1541" spans="1:72" x14ac:dyDescent="0.25">
      <c r="A1541" s="90">
        <v>38051</v>
      </c>
      <c r="B1541" s="20">
        <v>0.45833333333333331</v>
      </c>
      <c r="D1541">
        <v>39.019999999999996</v>
      </c>
      <c r="E1541" t="str">
        <f t="shared" si="82"/>
        <v>WEEKDAY</v>
      </c>
      <c r="F1541" t="e">
        <f t="shared" si="83"/>
        <v>#N/A</v>
      </c>
      <c r="G1541" s="74">
        <v>32937</v>
      </c>
      <c r="H1541" s="77">
        <v>0.45833333333333331</v>
      </c>
      <c r="J1541">
        <v>28.94</v>
      </c>
      <c r="M1541" s="74">
        <v>36590</v>
      </c>
      <c r="N1541" s="77">
        <v>0.45833333333333331</v>
      </c>
      <c r="P1541">
        <v>48.2</v>
      </c>
      <c r="S1541" s="74">
        <v>38051</v>
      </c>
      <c r="T1541" s="77">
        <v>0.45833333333333331</v>
      </c>
      <c r="V1541">
        <v>44.06</v>
      </c>
      <c r="X1541" s="42"/>
      <c r="AB1541">
        <v>39.200000000000003</v>
      </c>
      <c r="AC1541">
        <v>44.06</v>
      </c>
      <c r="AE1541" s="74"/>
      <c r="AF1541" s="77"/>
      <c r="AH1541" s="497">
        <v>48.2</v>
      </c>
      <c r="AJ1541" s="42"/>
      <c r="AK1541" s="74"/>
      <c r="AL1541" s="77"/>
      <c r="AN1541" s="497">
        <v>17.059999999999999</v>
      </c>
      <c r="AP1541" s="42"/>
      <c r="AQ1541" s="74"/>
      <c r="AR1541" s="77"/>
      <c r="AT1541" s="497">
        <v>51.08</v>
      </c>
      <c r="AV1541" s="42"/>
      <c r="AW1541" s="74"/>
      <c r="AX1541" s="77"/>
      <c r="BA1541" s="497">
        <v>23</v>
      </c>
      <c r="BB1541" s="42"/>
      <c r="BC1541" s="74"/>
      <c r="BD1541" s="77"/>
      <c r="BF1541">
        <v>21.02</v>
      </c>
      <c r="BH1541" s="42"/>
      <c r="BI1541" s="74"/>
      <c r="BJ1541" s="77"/>
      <c r="BL1541" s="497">
        <v>35.96</v>
      </c>
      <c r="BN1541" s="42"/>
      <c r="BO1541" s="74"/>
      <c r="BP1541" s="77"/>
      <c r="BR1541" s="497">
        <v>32</v>
      </c>
      <c r="BT1541" s="42"/>
    </row>
    <row r="1542" spans="1:72" x14ac:dyDescent="0.25">
      <c r="A1542" s="90">
        <v>38051</v>
      </c>
      <c r="B1542" s="20">
        <v>0.5</v>
      </c>
      <c r="D1542">
        <v>41</v>
      </c>
      <c r="E1542" t="str">
        <f t="shared" si="82"/>
        <v>WEEKDAY</v>
      </c>
      <c r="F1542" t="e">
        <f t="shared" si="83"/>
        <v>#N/A</v>
      </c>
      <c r="G1542" s="74">
        <v>32937</v>
      </c>
      <c r="H1542" s="77">
        <v>0.5</v>
      </c>
      <c r="J1542">
        <v>32</v>
      </c>
      <c r="M1542" s="74">
        <v>36590</v>
      </c>
      <c r="N1542" s="77">
        <v>0.5</v>
      </c>
      <c r="P1542">
        <v>50</v>
      </c>
      <c r="S1542" s="74">
        <v>38051</v>
      </c>
      <c r="T1542" s="77">
        <v>0.5</v>
      </c>
      <c r="V1542">
        <v>44.06</v>
      </c>
      <c r="X1542" s="42"/>
      <c r="AB1542">
        <v>40.6</v>
      </c>
      <c r="AC1542">
        <v>44.96</v>
      </c>
      <c r="AE1542" s="74"/>
      <c r="AF1542" s="77"/>
      <c r="AH1542" s="497">
        <v>46.4</v>
      </c>
      <c r="AJ1542" s="42"/>
      <c r="AK1542" s="74"/>
      <c r="AL1542" s="77"/>
      <c r="AN1542" s="497">
        <v>19.04</v>
      </c>
      <c r="AP1542" s="42"/>
      <c r="AQ1542" s="74"/>
      <c r="AR1542" s="77"/>
      <c r="AT1542" s="497">
        <v>55.94</v>
      </c>
      <c r="AV1542" s="42"/>
      <c r="AW1542" s="74"/>
      <c r="AX1542" s="77"/>
      <c r="BA1542" s="497">
        <v>24.08</v>
      </c>
      <c r="BB1542" s="42"/>
      <c r="BC1542" s="74"/>
      <c r="BD1542" s="77"/>
      <c r="BF1542">
        <v>21.92</v>
      </c>
      <c r="BH1542" s="42"/>
      <c r="BI1542" s="74"/>
      <c r="BJ1542" s="77"/>
      <c r="BL1542" s="497">
        <v>35.96</v>
      </c>
      <c r="BN1542" s="42"/>
      <c r="BO1542" s="74"/>
      <c r="BP1542" s="77"/>
      <c r="BR1542" s="497">
        <v>33.08</v>
      </c>
      <c r="BT1542" s="42"/>
    </row>
    <row r="1543" spans="1:72" x14ac:dyDescent="0.25">
      <c r="A1543" s="90">
        <v>38051</v>
      </c>
      <c r="B1543" s="20">
        <v>0.54166666666666663</v>
      </c>
      <c r="D1543">
        <v>42.08</v>
      </c>
      <c r="E1543" t="str">
        <f t="shared" si="82"/>
        <v>WEEKDAY</v>
      </c>
      <c r="F1543" t="e">
        <f t="shared" si="83"/>
        <v>#N/A</v>
      </c>
      <c r="G1543" s="74">
        <v>32937</v>
      </c>
      <c r="H1543" s="77">
        <v>0.54166666666666663</v>
      </c>
      <c r="J1543">
        <v>33.08</v>
      </c>
      <c r="M1543" s="74">
        <v>36590</v>
      </c>
      <c r="N1543" s="77">
        <v>0.54166666666666663</v>
      </c>
      <c r="P1543">
        <v>48.2</v>
      </c>
      <c r="S1543" s="74">
        <v>38051</v>
      </c>
      <c r="T1543" s="77">
        <v>0.54166666666666663</v>
      </c>
      <c r="V1543">
        <v>44.06</v>
      </c>
      <c r="X1543" s="42"/>
      <c r="AB1543">
        <v>41.6</v>
      </c>
      <c r="AC1543">
        <v>48.019999999999996</v>
      </c>
      <c r="AE1543" s="74"/>
      <c r="AF1543" s="77"/>
      <c r="AH1543" s="497">
        <v>46.4</v>
      </c>
      <c r="AJ1543" s="42"/>
      <c r="AK1543" s="74"/>
      <c r="AL1543" s="77"/>
      <c r="AN1543" s="497">
        <v>21.02</v>
      </c>
      <c r="AP1543" s="42"/>
      <c r="AQ1543" s="74"/>
      <c r="AR1543" s="77"/>
      <c r="AT1543" s="497">
        <v>60.980000000000004</v>
      </c>
      <c r="AV1543" s="42"/>
      <c r="AW1543" s="74"/>
      <c r="AX1543" s="77"/>
      <c r="BA1543" s="497">
        <v>24.08</v>
      </c>
      <c r="BB1543" s="42"/>
      <c r="BC1543" s="74"/>
      <c r="BD1543" s="77"/>
      <c r="BF1543">
        <v>24.08</v>
      </c>
      <c r="BH1543" s="42"/>
      <c r="BI1543" s="74"/>
      <c r="BJ1543" s="77"/>
      <c r="BL1543" s="497">
        <v>39.019999999999996</v>
      </c>
      <c r="BN1543" s="42"/>
      <c r="BO1543" s="74"/>
      <c r="BP1543" s="77"/>
      <c r="BR1543" s="497">
        <v>33.979999999999997</v>
      </c>
      <c r="BT1543" s="42"/>
    </row>
    <row r="1544" spans="1:72" x14ac:dyDescent="0.25">
      <c r="A1544" s="90">
        <v>38051</v>
      </c>
      <c r="B1544" s="20">
        <v>0.58333333333333337</v>
      </c>
      <c r="D1544">
        <v>42.980000000000004</v>
      </c>
      <c r="E1544" t="str">
        <f t="shared" si="82"/>
        <v>WEEKDAY</v>
      </c>
      <c r="F1544" t="e">
        <f t="shared" si="83"/>
        <v>#N/A</v>
      </c>
      <c r="G1544" s="74">
        <v>32937</v>
      </c>
      <c r="H1544" s="77">
        <v>0.58333333333333337</v>
      </c>
      <c r="J1544">
        <v>35.06</v>
      </c>
      <c r="M1544" s="74">
        <v>36590</v>
      </c>
      <c r="N1544" s="77">
        <v>0.58333333333333337</v>
      </c>
      <c r="P1544">
        <v>48.2</v>
      </c>
      <c r="S1544" s="74">
        <v>38051</v>
      </c>
      <c r="T1544" s="77">
        <v>0.58333333333333337</v>
      </c>
      <c r="V1544">
        <v>44.06</v>
      </c>
      <c r="X1544" s="42"/>
      <c r="AB1544">
        <v>42.5</v>
      </c>
      <c r="AC1544">
        <v>48.019999999999996</v>
      </c>
      <c r="AE1544" s="74"/>
      <c r="AF1544" s="77"/>
      <c r="AH1544" s="497">
        <v>46.4</v>
      </c>
      <c r="AJ1544" s="42"/>
      <c r="AK1544" s="74"/>
      <c r="AL1544" s="77"/>
      <c r="AN1544" s="497">
        <v>21.92</v>
      </c>
      <c r="AP1544" s="42"/>
      <c r="AQ1544" s="74"/>
      <c r="AR1544" s="77"/>
      <c r="AT1544" s="497">
        <v>61.7</v>
      </c>
      <c r="AV1544" s="42"/>
      <c r="AW1544" s="74"/>
      <c r="AX1544" s="77"/>
      <c r="BA1544" s="497">
        <v>24.08</v>
      </c>
      <c r="BB1544" s="42"/>
      <c r="BC1544" s="74"/>
      <c r="BD1544" s="77"/>
      <c r="BF1544">
        <v>24.08</v>
      </c>
      <c r="BH1544" s="42"/>
      <c r="BI1544" s="74"/>
      <c r="BJ1544" s="77"/>
      <c r="BL1544" s="497">
        <v>39.019999999999996</v>
      </c>
      <c r="BN1544" s="42"/>
      <c r="BO1544" s="74"/>
      <c r="BP1544" s="77"/>
      <c r="BR1544" s="497">
        <v>33.979999999999997</v>
      </c>
      <c r="BT1544" s="42"/>
    </row>
    <row r="1545" spans="1:72" x14ac:dyDescent="0.25">
      <c r="A1545" s="90">
        <v>38051</v>
      </c>
      <c r="B1545" s="20">
        <v>0.625</v>
      </c>
      <c r="D1545">
        <v>44.06</v>
      </c>
      <c r="E1545" t="str">
        <f t="shared" si="82"/>
        <v>WEEKDAY</v>
      </c>
      <c r="F1545" t="e">
        <f t="shared" si="83"/>
        <v>#N/A</v>
      </c>
      <c r="G1545" s="74">
        <v>32937</v>
      </c>
      <c r="H1545" s="77">
        <v>0.625</v>
      </c>
      <c r="J1545">
        <v>35.06</v>
      </c>
      <c r="M1545" s="74">
        <v>36590</v>
      </c>
      <c r="N1545" s="77">
        <v>0.625</v>
      </c>
      <c r="P1545">
        <v>48.2</v>
      </c>
      <c r="S1545" s="74">
        <v>38051</v>
      </c>
      <c r="T1545" s="77">
        <v>0.625</v>
      </c>
      <c r="V1545">
        <v>44.96</v>
      </c>
      <c r="X1545" s="42"/>
      <c r="AB1545">
        <v>43</v>
      </c>
      <c r="AC1545">
        <v>50</v>
      </c>
      <c r="AE1545" s="74"/>
      <c r="AF1545" s="77"/>
      <c r="AH1545" s="497">
        <v>46.4</v>
      </c>
      <c r="AJ1545" s="42"/>
      <c r="AK1545" s="74"/>
      <c r="AL1545" s="77"/>
      <c r="AN1545" s="497">
        <v>23</v>
      </c>
      <c r="AP1545" s="42"/>
      <c r="AQ1545" s="74"/>
      <c r="AR1545" s="77"/>
      <c r="AT1545" s="497">
        <v>62.24</v>
      </c>
      <c r="AV1545" s="42"/>
      <c r="AW1545" s="74"/>
      <c r="AX1545" s="77"/>
      <c r="BA1545" s="497">
        <v>26.96</v>
      </c>
      <c r="BB1545" s="42"/>
      <c r="BC1545" s="74"/>
      <c r="BD1545" s="77"/>
      <c r="BF1545">
        <v>24.98</v>
      </c>
      <c r="BH1545" s="42"/>
      <c r="BI1545" s="74"/>
      <c r="BJ1545" s="77"/>
      <c r="BL1545" s="497">
        <v>35.96</v>
      </c>
      <c r="BN1545" s="42"/>
      <c r="BO1545" s="74"/>
      <c r="BP1545" s="77"/>
      <c r="BR1545" s="497">
        <v>33.979999999999997</v>
      </c>
      <c r="BT1545" s="42"/>
    </row>
    <row r="1546" spans="1:72" x14ac:dyDescent="0.25">
      <c r="A1546" s="90">
        <v>38051</v>
      </c>
      <c r="B1546" s="20">
        <v>0.66666666666666663</v>
      </c>
      <c r="D1546">
        <v>44.06</v>
      </c>
      <c r="E1546" t="str">
        <f t="shared" si="82"/>
        <v>WEEKDAY</v>
      </c>
      <c r="F1546" t="e">
        <f t="shared" si="83"/>
        <v>#N/A</v>
      </c>
      <c r="G1546" s="74">
        <v>32937</v>
      </c>
      <c r="H1546" s="77">
        <v>0.66666666666666663</v>
      </c>
      <c r="J1546">
        <v>33.979999999999997</v>
      </c>
      <c r="M1546" s="74">
        <v>36590</v>
      </c>
      <c r="N1546" s="77">
        <v>0.66666666666666663</v>
      </c>
      <c r="P1546">
        <v>46.4</v>
      </c>
      <c r="S1546" s="74">
        <v>38051</v>
      </c>
      <c r="T1546" s="77">
        <v>0.66666666666666663</v>
      </c>
      <c r="V1546">
        <v>44.96</v>
      </c>
      <c r="X1546" s="42"/>
      <c r="AB1546">
        <v>43.2</v>
      </c>
      <c r="AC1546">
        <v>51.08</v>
      </c>
      <c r="AE1546" s="74"/>
      <c r="AF1546" s="77"/>
      <c r="AH1546" s="497">
        <v>44.6</v>
      </c>
      <c r="AJ1546" s="42"/>
      <c r="AK1546" s="74"/>
      <c r="AL1546" s="77"/>
      <c r="AN1546" s="497">
        <v>24.08</v>
      </c>
      <c r="AP1546" s="42"/>
      <c r="AQ1546" s="74"/>
      <c r="AR1546" s="77"/>
      <c r="AT1546" s="497">
        <v>62.96</v>
      </c>
      <c r="AV1546" s="42"/>
      <c r="AW1546" s="74"/>
      <c r="AX1546" s="77"/>
      <c r="BA1546" s="497">
        <v>26.96</v>
      </c>
      <c r="BB1546" s="42"/>
      <c r="BC1546" s="74"/>
      <c r="BD1546" s="77"/>
      <c r="BF1546">
        <v>23</v>
      </c>
      <c r="BH1546" s="42"/>
      <c r="BI1546" s="74"/>
      <c r="BJ1546" s="77"/>
      <c r="BL1546" s="497">
        <v>35.96</v>
      </c>
      <c r="BN1546" s="42"/>
      <c r="BO1546" s="74"/>
      <c r="BP1546" s="77"/>
      <c r="BR1546" s="497">
        <v>33.08</v>
      </c>
      <c r="BT1546" s="42"/>
    </row>
    <row r="1547" spans="1:72" x14ac:dyDescent="0.25">
      <c r="A1547" s="90">
        <v>38051</v>
      </c>
      <c r="B1547" s="20">
        <v>0.70833333333333337</v>
      </c>
      <c r="D1547">
        <v>42.980000000000004</v>
      </c>
      <c r="E1547" t="str">
        <f t="shared" si="82"/>
        <v>WEEKDAY</v>
      </c>
      <c r="F1547" t="e">
        <f t="shared" si="83"/>
        <v>#N/A</v>
      </c>
      <c r="G1547" s="74">
        <v>32937</v>
      </c>
      <c r="H1547" s="77">
        <v>0.70833333333333337</v>
      </c>
      <c r="J1547">
        <v>33.979999999999997</v>
      </c>
      <c r="M1547" s="74">
        <v>36590</v>
      </c>
      <c r="N1547" s="77">
        <v>0.70833333333333337</v>
      </c>
      <c r="P1547">
        <v>46.4</v>
      </c>
      <c r="S1547" s="74">
        <v>38051</v>
      </c>
      <c r="T1547" s="77">
        <v>0.70833333333333337</v>
      </c>
      <c r="V1547">
        <v>44.06</v>
      </c>
      <c r="X1547" s="42"/>
      <c r="AB1547">
        <v>42.8</v>
      </c>
      <c r="AC1547">
        <v>50</v>
      </c>
      <c r="AE1547" s="74"/>
      <c r="AF1547" s="77"/>
      <c r="AH1547" s="497">
        <v>44.6</v>
      </c>
      <c r="AJ1547" s="42"/>
      <c r="AK1547" s="74"/>
      <c r="AL1547" s="77"/>
      <c r="AN1547" s="497">
        <v>23</v>
      </c>
      <c r="AP1547" s="42"/>
      <c r="AQ1547" s="74"/>
      <c r="AR1547" s="77"/>
      <c r="AT1547" s="497">
        <v>60.26</v>
      </c>
      <c r="AV1547" s="42"/>
      <c r="AW1547" s="74"/>
      <c r="AX1547" s="77"/>
      <c r="BA1547" s="497">
        <v>24.08</v>
      </c>
      <c r="BB1547" s="42"/>
      <c r="BC1547" s="74"/>
      <c r="BD1547" s="77"/>
      <c r="BF1547">
        <v>23</v>
      </c>
      <c r="BH1547" s="42"/>
      <c r="BI1547" s="74"/>
      <c r="BJ1547" s="77"/>
      <c r="BL1547" s="497">
        <v>35.06</v>
      </c>
      <c r="BN1547" s="42"/>
      <c r="BO1547" s="74"/>
      <c r="BP1547" s="77"/>
      <c r="BR1547" s="497">
        <v>30.92</v>
      </c>
      <c r="BT1547" s="42"/>
    </row>
    <row r="1548" spans="1:72" x14ac:dyDescent="0.25">
      <c r="A1548" s="90">
        <v>38051</v>
      </c>
      <c r="B1548" s="20">
        <v>0.75</v>
      </c>
      <c r="D1548">
        <v>42.08</v>
      </c>
      <c r="E1548" t="str">
        <f t="shared" si="82"/>
        <v>WEEKDAY</v>
      </c>
      <c r="F1548" t="e">
        <f t="shared" si="83"/>
        <v>#N/A</v>
      </c>
      <c r="G1548" s="74">
        <v>32937</v>
      </c>
      <c r="H1548" s="77">
        <v>0.75</v>
      </c>
      <c r="J1548">
        <v>33.979999999999997</v>
      </c>
      <c r="M1548" s="74">
        <v>36590</v>
      </c>
      <c r="N1548" s="77">
        <v>0.75</v>
      </c>
      <c r="P1548">
        <v>44.6</v>
      </c>
      <c r="S1548" s="74">
        <v>38051</v>
      </c>
      <c r="T1548" s="77">
        <v>0.75</v>
      </c>
      <c r="V1548">
        <v>44.06</v>
      </c>
      <c r="X1548" s="42"/>
      <c r="AB1548">
        <v>41.8</v>
      </c>
      <c r="AC1548">
        <v>48.019999999999996</v>
      </c>
      <c r="AE1548" s="74"/>
      <c r="AF1548" s="77"/>
      <c r="AH1548" s="497">
        <v>44.6</v>
      </c>
      <c r="AJ1548" s="42"/>
      <c r="AK1548" s="74"/>
      <c r="AL1548" s="77"/>
      <c r="AN1548" s="497">
        <v>23</v>
      </c>
      <c r="AP1548" s="42"/>
      <c r="AQ1548" s="74"/>
      <c r="AR1548" s="77"/>
      <c r="AT1548" s="497">
        <v>57.74</v>
      </c>
      <c r="AV1548" s="42"/>
      <c r="AW1548" s="74"/>
      <c r="AX1548" s="77"/>
      <c r="BA1548" s="497">
        <v>21.02</v>
      </c>
      <c r="BB1548" s="42"/>
      <c r="BC1548" s="74"/>
      <c r="BD1548" s="77"/>
      <c r="BF1548">
        <v>21.02</v>
      </c>
      <c r="BH1548" s="42"/>
      <c r="BI1548" s="74"/>
      <c r="BJ1548" s="77"/>
      <c r="BL1548" s="497">
        <v>32</v>
      </c>
      <c r="BN1548" s="42"/>
      <c r="BO1548" s="74"/>
      <c r="BP1548" s="77"/>
      <c r="BR1548" s="497">
        <v>26.060000000000002</v>
      </c>
      <c r="BT1548" s="42"/>
    </row>
    <row r="1549" spans="1:72" x14ac:dyDescent="0.25">
      <c r="A1549" s="90">
        <v>38051</v>
      </c>
      <c r="B1549" s="20">
        <v>0.79166666666666663</v>
      </c>
      <c r="D1549">
        <v>42.980000000000004</v>
      </c>
      <c r="E1549" t="str">
        <f t="shared" si="82"/>
        <v>WEEKDAY</v>
      </c>
      <c r="F1549" t="e">
        <f t="shared" si="83"/>
        <v>#N/A</v>
      </c>
      <c r="G1549" s="74">
        <v>32937</v>
      </c>
      <c r="H1549" s="77">
        <v>0.79166666666666663</v>
      </c>
      <c r="J1549">
        <v>33.979999999999997</v>
      </c>
      <c r="M1549" s="74">
        <v>36590</v>
      </c>
      <c r="N1549" s="77">
        <v>0.79166666666666663</v>
      </c>
      <c r="P1549">
        <v>41</v>
      </c>
      <c r="S1549" s="74">
        <v>38051</v>
      </c>
      <c r="T1549" s="77">
        <v>0.79166666666666663</v>
      </c>
      <c r="V1549">
        <v>44.06</v>
      </c>
      <c r="X1549" s="42"/>
      <c r="AB1549">
        <v>40.4</v>
      </c>
      <c r="AC1549">
        <v>44.96</v>
      </c>
      <c r="AE1549" s="74"/>
      <c r="AF1549" s="77"/>
      <c r="AH1549" s="497">
        <v>42.8</v>
      </c>
      <c r="AJ1549" s="42"/>
      <c r="AK1549" s="74"/>
      <c r="AL1549" s="77"/>
      <c r="AN1549" s="497">
        <v>21.92</v>
      </c>
      <c r="AP1549" s="42"/>
      <c r="AQ1549" s="74"/>
      <c r="AR1549" s="77"/>
      <c r="AT1549" s="497">
        <v>55.040000000000006</v>
      </c>
      <c r="AV1549" s="42"/>
      <c r="AW1549" s="74"/>
      <c r="AX1549" s="77"/>
      <c r="BA1549" s="497">
        <v>17.96</v>
      </c>
      <c r="BB1549" s="42"/>
      <c r="BC1549" s="74"/>
      <c r="BD1549" s="77"/>
      <c r="BF1549">
        <v>19.04</v>
      </c>
      <c r="BH1549" s="42"/>
      <c r="BI1549" s="74"/>
      <c r="BJ1549" s="77"/>
      <c r="BL1549" s="497">
        <v>28.94</v>
      </c>
      <c r="BN1549" s="42"/>
      <c r="BO1549" s="74"/>
      <c r="BP1549" s="77"/>
      <c r="BR1549" s="497">
        <v>24.98</v>
      </c>
      <c r="BT1549" s="42"/>
    </row>
    <row r="1550" spans="1:72" x14ac:dyDescent="0.25">
      <c r="A1550" s="90">
        <v>38051</v>
      </c>
      <c r="B1550" s="20">
        <v>0.83333333333333337</v>
      </c>
      <c r="D1550">
        <v>42.980000000000004</v>
      </c>
      <c r="E1550" t="str">
        <f t="shared" si="82"/>
        <v>WEEKDAY</v>
      </c>
      <c r="F1550" t="e">
        <f t="shared" si="83"/>
        <v>#N/A</v>
      </c>
      <c r="G1550" s="74">
        <v>32937</v>
      </c>
      <c r="H1550" s="77">
        <v>0.83333333333333337</v>
      </c>
      <c r="J1550">
        <v>35.06</v>
      </c>
      <c r="M1550" s="74">
        <v>36590</v>
      </c>
      <c r="N1550" s="77">
        <v>0.83333333333333337</v>
      </c>
      <c r="P1550">
        <v>42.8</v>
      </c>
      <c r="S1550" s="74">
        <v>38051</v>
      </c>
      <c r="T1550" s="77">
        <v>0.83333333333333337</v>
      </c>
      <c r="V1550">
        <v>44.96</v>
      </c>
      <c r="X1550" s="42"/>
      <c r="AB1550">
        <v>39.700000000000003</v>
      </c>
      <c r="AC1550">
        <v>42.980000000000004</v>
      </c>
      <c r="AE1550" s="74"/>
      <c r="AF1550" s="77"/>
      <c r="AH1550" s="497">
        <v>42.8</v>
      </c>
      <c r="AJ1550" s="42"/>
      <c r="AK1550" s="74"/>
      <c r="AL1550" s="77"/>
      <c r="AN1550" s="497">
        <v>23</v>
      </c>
      <c r="AP1550" s="42"/>
      <c r="AQ1550" s="74"/>
      <c r="AR1550" s="77"/>
      <c r="AT1550" s="497">
        <v>52.7</v>
      </c>
      <c r="AV1550" s="42"/>
      <c r="AW1550" s="74"/>
      <c r="AX1550" s="77"/>
      <c r="BA1550" s="497">
        <v>15.98</v>
      </c>
      <c r="BB1550" s="42"/>
      <c r="BC1550" s="74"/>
      <c r="BD1550" s="77"/>
      <c r="BF1550">
        <v>17.96</v>
      </c>
      <c r="BH1550" s="42"/>
      <c r="BI1550" s="74"/>
      <c r="BJ1550" s="77"/>
      <c r="BL1550" s="497">
        <v>26.96</v>
      </c>
      <c r="BN1550" s="42"/>
      <c r="BO1550" s="74"/>
      <c r="BP1550" s="77"/>
      <c r="BR1550" s="497">
        <v>21.02</v>
      </c>
      <c r="BT1550" s="42"/>
    </row>
    <row r="1551" spans="1:72" x14ac:dyDescent="0.25">
      <c r="A1551" s="90">
        <v>38051</v>
      </c>
      <c r="B1551" s="20">
        <v>0.875</v>
      </c>
      <c r="D1551">
        <v>42.08</v>
      </c>
      <c r="E1551" t="str">
        <f t="shared" si="82"/>
        <v>WEEKDAY</v>
      </c>
      <c r="F1551" t="e">
        <f t="shared" si="83"/>
        <v>#N/A</v>
      </c>
      <c r="G1551" s="74">
        <v>32937</v>
      </c>
      <c r="H1551" s="77">
        <v>0.875</v>
      </c>
      <c r="J1551">
        <v>33.979999999999997</v>
      </c>
      <c r="M1551" s="74">
        <v>36590</v>
      </c>
      <c r="N1551" s="77">
        <v>0.875</v>
      </c>
      <c r="P1551">
        <v>42.8</v>
      </c>
      <c r="S1551" s="74">
        <v>38051</v>
      </c>
      <c r="T1551" s="77">
        <v>0.875</v>
      </c>
      <c r="V1551">
        <v>44.96</v>
      </c>
      <c r="X1551" s="42"/>
      <c r="AB1551">
        <v>39.200000000000003</v>
      </c>
      <c r="AC1551">
        <v>37.04</v>
      </c>
      <c r="AE1551" s="74"/>
      <c r="AF1551" s="77"/>
      <c r="AH1551" s="497">
        <v>42.8</v>
      </c>
      <c r="AJ1551" s="42"/>
      <c r="AK1551" s="74"/>
      <c r="AL1551" s="77"/>
      <c r="AN1551" s="497">
        <v>23</v>
      </c>
      <c r="AP1551" s="42"/>
      <c r="AQ1551" s="74"/>
      <c r="AR1551" s="77"/>
      <c r="AT1551" s="497">
        <v>50.36</v>
      </c>
      <c r="AV1551" s="42"/>
      <c r="AW1551" s="74"/>
      <c r="AX1551" s="77"/>
      <c r="BA1551" s="497">
        <v>15.079999999999998</v>
      </c>
      <c r="BB1551" s="42"/>
      <c r="BC1551" s="74"/>
      <c r="BD1551" s="77"/>
      <c r="BF1551">
        <v>15.98</v>
      </c>
      <c r="BH1551" s="42"/>
      <c r="BI1551" s="74"/>
      <c r="BJ1551" s="77"/>
      <c r="BL1551" s="497">
        <v>26.060000000000002</v>
      </c>
      <c r="BN1551" s="42"/>
      <c r="BO1551" s="74"/>
      <c r="BP1551" s="77"/>
      <c r="BR1551" s="497">
        <v>19.04</v>
      </c>
      <c r="BT1551" s="42"/>
    </row>
    <row r="1552" spans="1:72" x14ac:dyDescent="0.25">
      <c r="A1552" s="90">
        <v>38051</v>
      </c>
      <c r="B1552" s="20">
        <v>0.91666666666666663</v>
      </c>
      <c r="D1552">
        <v>39.92</v>
      </c>
      <c r="E1552" t="str">
        <f t="shared" si="82"/>
        <v>WEEKDAY</v>
      </c>
      <c r="F1552" t="e">
        <f t="shared" si="83"/>
        <v>#N/A</v>
      </c>
      <c r="G1552" s="74">
        <v>32937</v>
      </c>
      <c r="H1552" s="77">
        <v>0.91666666666666663</v>
      </c>
      <c r="J1552">
        <v>33.08</v>
      </c>
      <c r="M1552" s="74">
        <v>36590</v>
      </c>
      <c r="N1552" s="77">
        <v>0.91666666666666663</v>
      </c>
      <c r="P1552">
        <v>41</v>
      </c>
      <c r="S1552" s="74">
        <v>38051</v>
      </c>
      <c r="T1552" s="77">
        <v>0.91666666666666663</v>
      </c>
      <c r="V1552">
        <v>44.06</v>
      </c>
      <c r="X1552" s="42"/>
      <c r="AB1552">
        <v>38.4</v>
      </c>
      <c r="AC1552">
        <v>33.08</v>
      </c>
      <c r="AE1552" s="74"/>
      <c r="AF1552" s="77"/>
      <c r="AH1552" s="497">
        <v>42.8</v>
      </c>
      <c r="AJ1552" s="42"/>
      <c r="AK1552" s="74"/>
      <c r="AL1552" s="77"/>
      <c r="AN1552" s="497">
        <v>23</v>
      </c>
      <c r="AP1552" s="42"/>
      <c r="AQ1552" s="74"/>
      <c r="AR1552" s="77"/>
      <c r="AT1552" s="497">
        <v>48.019999999999996</v>
      </c>
      <c r="AV1552" s="42"/>
      <c r="AW1552" s="74"/>
      <c r="AX1552" s="77"/>
      <c r="BA1552" s="497">
        <v>15.98</v>
      </c>
      <c r="BB1552" s="42"/>
      <c r="BC1552" s="74"/>
      <c r="BD1552" s="77"/>
      <c r="BF1552">
        <v>15.98</v>
      </c>
      <c r="BH1552" s="42"/>
      <c r="BI1552" s="74"/>
      <c r="BJ1552" s="77"/>
      <c r="BL1552" s="497">
        <v>28.04</v>
      </c>
      <c r="BN1552" s="42"/>
      <c r="BO1552" s="74"/>
      <c r="BP1552" s="77"/>
      <c r="BR1552" s="497">
        <v>17.96</v>
      </c>
      <c r="BT1552" s="42"/>
    </row>
    <row r="1553" spans="1:72" x14ac:dyDescent="0.25">
      <c r="A1553" s="90">
        <v>38051</v>
      </c>
      <c r="B1553" s="20">
        <v>0.95833333333333337</v>
      </c>
      <c r="D1553">
        <v>39.019999999999996</v>
      </c>
      <c r="E1553" t="str">
        <f t="shared" si="82"/>
        <v>WEEKDAY</v>
      </c>
      <c r="F1553" t="e">
        <f t="shared" si="83"/>
        <v>#N/A</v>
      </c>
      <c r="G1553" s="74">
        <v>32937</v>
      </c>
      <c r="H1553" s="77">
        <v>0.95833333333333337</v>
      </c>
      <c r="J1553">
        <v>33.08</v>
      </c>
      <c r="M1553" s="74">
        <v>36590</v>
      </c>
      <c r="N1553" s="77">
        <v>0.95833333333333337</v>
      </c>
      <c r="P1553">
        <v>41</v>
      </c>
      <c r="S1553" s="74">
        <v>38051</v>
      </c>
      <c r="T1553" s="77">
        <v>0.95833333333333337</v>
      </c>
      <c r="V1553">
        <v>44.06</v>
      </c>
      <c r="X1553" s="42"/>
      <c r="AB1553">
        <v>37.9</v>
      </c>
      <c r="AC1553">
        <v>35.06</v>
      </c>
      <c r="AE1553" s="74"/>
      <c r="AF1553" s="77"/>
      <c r="AH1553" s="497">
        <v>42.8</v>
      </c>
      <c r="AJ1553" s="42"/>
      <c r="AK1553" s="74"/>
      <c r="AL1553" s="77"/>
      <c r="AN1553" s="497">
        <v>23</v>
      </c>
      <c r="AP1553" s="42"/>
      <c r="AQ1553" s="74"/>
      <c r="AR1553" s="77"/>
      <c r="AT1553" s="497">
        <v>44.6</v>
      </c>
      <c r="AV1553" s="42"/>
      <c r="AW1553" s="74"/>
      <c r="AX1553" s="77"/>
      <c r="BA1553" s="497">
        <v>15.98</v>
      </c>
      <c r="BB1553" s="42"/>
      <c r="BC1553" s="74"/>
      <c r="BD1553" s="77"/>
      <c r="BF1553">
        <v>15.079999999999998</v>
      </c>
      <c r="BH1553" s="42"/>
      <c r="BI1553" s="74"/>
      <c r="BJ1553" s="77"/>
      <c r="BL1553" s="497">
        <v>28.94</v>
      </c>
      <c r="BN1553" s="42"/>
      <c r="BO1553" s="74"/>
      <c r="BP1553" s="77"/>
      <c r="BR1553" s="497">
        <v>15.079999999999998</v>
      </c>
      <c r="BT1553" s="42"/>
    </row>
    <row r="1554" spans="1:72" x14ac:dyDescent="0.25">
      <c r="A1554" s="90">
        <v>38051</v>
      </c>
      <c r="B1554" s="20">
        <v>1</v>
      </c>
      <c r="D1554">
        <v>37.94</v>
      </c>
      <c r="E1554" t="str">
        <f t="shared" si="82"/>
        <v>WEEKDAY</v>
      </c>
      <c r="F1554" t="e">
        <f t="shared" si="83"/>
        <v>#N/A</v>
      </c>
      <c r="G1554" s="74">
        <v>32937</v>
      </c>
      <c r="H1554" s="77">
        <v>1</v>
      </c>
      <c r="J1554">
        <v>33.08</v>
      </c>
      <c r="M1554" s="74">
        <v>36590</v>
      </c>
      <c r="N1554" s="80">
        <v>1</v>
      </c>
      <c r="P1554">
        <v>41</v>
      </c>
      <c r="S1554" s="74">
        <v>38051</v>
      </c>
      <c r="T1554" s="80">
        <v>1</v>
      </c>
      <c r="V1554">
        <v>44.06</v>
      </c>
      <c r="X1554" s="42"/>
      <c r="AB1554">
        <v>37.299999999999997</v>
      </c>
      <c r="AC1554">
        <v>32</v>
      </c>
      <c r="AE1554" s="74"/>
      <c r="AF1554" s="80"/>
      <c r="AH1554" s="497">
        <v>41</v>
      </c>
      <c r="AJ1554" s="42"/>
      <c r="AK1554" s="74"/>
      <c r="AL1554" s="80"/>
      <c r="AN1554" s="497">
        <v>24.08</v>
      </c>
      <c r="AP1554" s="42"/>
      <c r="AQ1554" s="74"/>
      <c r="AR1554" s="80"/>
      <c r="AT1554" s="497">
        <v>41.36</v>
      </c>
      <c r="AV1554" s="42"/>
      <c r="AW1554" s="74"/>
      <c r="AX1554" s="80"/>
      <c r="BA1554" s="497">
        <v>15.079999999999998</v>
      </c>
      <c r="BB1554" s="42"/>
      <c r="BC1554" s="74"/>
      <c r="BD1554" s="80"/>
      <c r="BF1554">
        <v>14</v>
      </c>
      <c r="BH1554" s="42"/>
      <c r="BI1554" s="74"/>
      <c r="BJ1554" s="80"/>
      <c r="BL1554" s="497">
        <v>28.04</v>
      </c>
      <c r="BN1554" s="42"/>
      <c r="BO1554" s="74"/>
      <c r="BP1554" s="80"/>
      <c r="BR1554" s="497">
        <v>14</v>
      </c>
      <c r="BT1554" s="42"/>
    </row>
    <row r="1555" spans="1:72" x14ac:dyDescent="0.25">
      <c r="A1555" s="90">
        <v>38052</v>
      </c>
      <c r="B1555" s="20">
        <v>4.1666666666666664E-2</v>
      </c>
      <c r="D1555">
        <v>37.94</v>
      </c>
      <c r="E1555" t="str">
        <f t="shared" ref="E1555:E1618" si="84">IF(COUNTIF($DI$18:$DI$22, WEEKDAY(A1555))=1, "WEEKDAY", IF(WEEKDAY(A1555) = 1, "SUNDAY", "SATURDAY"))</f>
        <v>SATURDAY</v>
      </c>
      <c r="F1555" t="e">
        <f t="shared" si="83"/>
        <v>#N/A</v>
      </c>
      <c r="G1555" s="74">
        <v>32938</v>
      </c>
      <c r="H1555" s="77">
        <v>4.1666666666666664E-2</v>
      </c>
      <c r="J1555">
        <v>32</v>
      </c>
      <c r="M1555" s="74">
        <v>36591</v>
      </c>
      <c r="N1555" s="77">
        <v>4.1666666666666664E-2</v>
      </c>
      <c r="P1555">
        <v>41</v>
      </c>
      <c r="S1555" s="74">
        <v>38052</v>
      </c>
      <c r="T1555" s="77">
        <v>4.1666666666666664E-2</v>
      </c>
      <c r="V1555">
        <v>44.96</v>
      </c>
      <c r="X1555" s="42"/>
      <c r="AB1555">
        <v>36.799999999999997</v>
      </c>
      <c r="AC1555">
        <v>30.92</v>
      </c>
      <c r="AE1555" s="74"/>
      <c r="AF1555" s="77"/>
      <c r="AH1555" s="497">
        <v>41</v>
      </c>
      <c r="AJ1555" s="42"/>
      <c r="AK1555" s="74"/>
      <c r="AL1555" s="77"/>
      <c r="AN1555" s="497">
        <v>24.98</v>
      </c>
      <c r="AP1555" s="42"/>
      <c r="AQ1555" s="74"/>
      <c r="AR1555" s="77"/>
      <c r="AT1555" s="497">
        <v>37.94</v>
      </c>
      <c r="AV1555" s="42"/>
      <c r="AW1555" s="74"/>
      <c r="AX1555" s="77"/>
      <c r="BA1555" s="497">
        <v>15.079999999999998</v>
      </c>
      <c r="BB1555" s="42"/>
      <c r="BC1555" s="74"/>
      <c r="BD1555" s="77"/>
      <c r="BF1555">
        <v>12.920000000000002</v>
      </c>
      <c r="BH1555" s="42"/>
      <c r="BI1555" s="74"/>
      <c r="BJ1555" s="77"/>
      <c r="BL1555" s="497">
        <v>26.96</v>
      </c>
      <c r="BN1555" s="42"/>
      <c r="BO1555" s="74"/>
      <c r="BP1555" s="77"/>
      <c r="BR1555" s="497">
        <v>10.940000000000001</v>
      </c>
      <c r="BT1555" s="42"/>
    </row>
    <row r="1556" spans="1:72" x14ac:dyDescent="0.25">
      <c r="A1556" s="90">
        <v>38052</v>
      </c>
      <c r="B1556" s="20">
        <v>8.3333333333333329E-2</v>
      </c>
      <c r="D1556">
        <v>37.94</v>
      </c>
      <c r="E1556" t="str">
        <f t="shared" si="84"/>
        <v>SATURDAY</v>
      </c>
      <c r="F1556" t="e">
        <f t="shared" si="83"/>
        <v>#N/A</v>
      </c>
      <c r="G1556" s="74">
        <v>32938</v>
      </c>
      <c r="H1556" s="77">
        <v>8.3333333333333329E-2</v>
      </c>
      <c r="J1556">
        <v>32</v>
      </c>
      <c r="M1556" s="74">
        <v>36591</v>
      </c>
      <c r="N1556" s="77">
        <v>8.3333333333333329E-2</v>
      </c>
      <c r="P1556">
        <v>41</v>
      </c>
      <c r="S1556" s="74">
        <v>38052</v>
      </c>
      <c r="T1556" s="77">
        <v>8.3333333333333329E-2</v>
      </c>
      <c r="V1556">
        <v>44.96</v>
      </c>
      <c r="X1556" s="42"/>
      <c r="AB1556">
        <v>36.1</v>
      </c>
      <c r="AC1556">
        <v>30.02</v>
      </c>
      <c r="AE1556" s="74"/>
      <c r="AF1556" s="77"/>
      <c r="AH1556" s="497">
        <v>39.200000000000003</v>
      </c>
      <c r="AJ1556" s="42"/>
      <c r="AK1556" s="74"/>
      <c r="AL1556" s="77"/>
      <c r="AN1556" s="497">
        <v>24.98</v>
      </c>
      <c r="AP1556" s="42"/>
      <c r="AQ1556" s="74"/>
      <c r="AR1556" s="77"/>
      <c r="AT1556" s="497">
        <v>37.58</v>
      </c>
      <c r="AV1556" s="42"/>
      <c r="AW1556" s="74"/>
      <c r="AX1556" s="77"/>
      <c r="BA1556" s="497">
        <v>15.079999999999998</v>
      </c>
      <c r="BB1556" s="42"/>
      <c r="BC1556" s="74"/>
      <c r="BD1556" s="77"/>
      <c r="BF1556">
        <v>12.920000000000002</v>
      </c>
      <c r="BH1556" s="42"/>
      <c r="BI1556" s="74"/>
      <c r="BJ1556" s="77"/>
      <c r="BL1556" s="497">
        <v>26.96</v>
      </c>
      <c r="BN1556" s="42"/>
      <c r="BO1556" s="74"/>
      <c r="BP1556" s="77"/>
      <c r="BR1556" s="497">
        <v>8.0599999999999987</v>
      </c>
      <c r="BT1556" s="42"/>
    </row>
    <row r="1557" spans="1:72" x14ac:dyDescent="0.25">
      <c r="A1557" s="90">
        <v>38052</v>
      </c>
      <c r="B1557" s="20">
        <v>0.125</v>
      </c>
      <c r="D1557">
        <v>37.94</v>
      </c>
      <c r="E1557" t="str">
        <f t="shared" si="84"/>
        <v>SATURDAY</v>
      </c>
      <c r="F1557" t="e">
        <f t="shared" si="83"/>
        <v>#N/A</v>
      </c>
      <c r="G1557" s="74">
        <v>32938</v>
      </c>
      <c r="H1557" s="77">
        <v>0.125</v>
      </c>
      <c r="J1557">
        <v>32</v>
      </c>
      <c r="M1557" s="74">
        <v>36591</v>
      </c>
      <c r="N1557" s="77">
        <v>0.125</v>
      </c>
      <c r="P1557">
        <v>39.200000000000003</v>
      </c>
      <c r="S1557" s="74">
        <v>38052</v>
      </c>
      <c r="T1557" s="77">
        <v>0.125</v>
      </c>
      <c r="V1557">
        <v>46.94</v>
      </c>
      <c r="X1557" s="42"/>
      <c r="AB1557">
        <v>35.6</v>
      </c>
      <c r="AC1557">
        <v>28.94</v>
      </c>
      <c r="AE1557" s="74"/>
      <c r="AF1557" s="77"/>
      <c r="AH1557" s="497">
        <v>35.6</v>
      </c>
      <c r="AJ1557" s="42"/>
      <c r="AK1557" s="74"/>
      <c r="AL1557" s="77"/>
      <c r="AN1557" s="497">
        <v>26.060000000000002</v>
      </c>
      <c r="AP1557" s="42"/>
      <c r="AQ1557" s="74"/>
      <c r="AR1557" s="77"/>
      <c r="AT1557" s="497">
        <v>37.4</v>
      </c>
      <c r="AV1557" s="42"/>
      <c r="AW1557" s="74"/>
      <c r="AX1557" s="77"/>
      <c r="BA1557" s="497">
        <v>14</v>
      </c>
      <c r="BB1557" s="42"/>
      <c r="BC1557" s="74"/>
      <c r="BD1557" s="77"/>
      <c r="BF1557">
        <v>12.920000000000002</v>
      </c>
      <c r="BH1557" s="42"/>
      <c r="BI1557" s="74"/>
      <c r="BJ1557" s="77"/>
      <c r="BL1557" s="497">
        <v>26.060000000000002</v>
      </c>
      <c r="BN1557" s="42"/>
      <c r="BO1557" s="74"/>
      <c r="BP1557" s="77"/>
      <c r="BR1557" s="497">
        <v>8.0599999999999987</v>
      </c>
      <c r="BT1557" s="42"/>
    </row>
    <row r="1558" spans="1:72" x14ac:dyDescent="0.25">
      <c r="A1558" s="90">
        <v>38052</v>
      </c>
      <c r="B1558" s="20">
        <v>0.16666666666666666</v>
      </c>
      <c r="D1558">
        <v>37.94</v>
      </c>
      <c r="E1558" t="str">
        <f t="shared" si="84"/>
        <v>SATURDAY</v>
      </c>
      <c r="F1558" t="e">
        <f t="shared" si="83"/>
        <v>#N/A</v>
      </c>
      <c r="G1558" s="74">
        <v>32938</v>
      </c>
      <c r="H1558" s="77">
        <v>0.16666666666666666</v>
      </c>
      <c r="J1558">
        <v>32</v>
      </c>
      <c r="M1558" s="74">
        <v>36591</v>
      </c>
      <c r="N1558" s="77">
        <v>0.16666666666666666</v>
      </c>
      <c r="P1558">
        <v>37.4</v>
      </c>
      <c r="S1558" s="74">
        <v>38052</v>
      </c>
      <c r="T1558" s="77">
        <v>0.16666666666666666</v>
      </c>
      <c r="V1558">
        <v>46.94</v>
      </c>
      <c r="X1558" s="42"/>
      <c r="AB1558">
        <v>35.200000000000003</v>
      </c>
      <c r="AC1558">
        <v>28.94</v>
      </c>
      <c r="AE1558" s="74"/>
      <c r="AF1558" s="77"/>
      <c r="AH1558" s="497">
        <v>32</v>
      </c>
      <c r="AJ1558" s="42"/>
      <c r="AK1558" s="74"/>
      <c r="AL1558" s="77"/>
      <c r="AN1558" s="497">
        <v>24.98</v>
      </c>
      <c r="AP1558" s="42"/>
      <c r="AQ1558" s="74"/>
      <c r="AR1558" s="77"/>
      <c r="AT1558" s="497">
        <v>37.04</v>
      </c>
      <c r="AV1558" s="42"/>
      <c r="AW1558" s="74"/>
      <c r="AX1558" s="77"/>
      <c r="BA1558" s="497">
        <v>14</v>
      </c>
      <c r="BB1558" s="42"/>
      <c r="BC1558" s="74"/>
      <c r="BD1558" s="77"/>
      <c r="BF1558">
        <v>12.02</v>
      </c>
      <c r="BH1558" s="42"/>
      <c r="BI1558" s="74"/>
      <c r="BJ1558" s="77"/>
      <c r="BL1558" s="497">
        <v>24.98</v>
      </c>
      <c r="BN1558" s="42"/>
      <c r="BO1558" s="74"/>
      <c r="BP1558" s="77"/>
      <c r="BR1558" s="497">
        <v>6.0799999999999983</v>
      </c>
      <c r="BT1558" s="42"/>
    </row>
    <row r="1559" spans="1:72" x14ac:dyDescent="0.25">
      <c r="A1559" s="90">
        <v>38052</v>
      </c>
      <c r="B1559" s="20">
        <v>0.20833333333333334</v>
      </c>
      <c r="D1559">
        <v>37.94</v>
      </c>
      <c r="E1559" t="str">
        <f t="shared" si="84"/>
        <v>SATURDAY</v>
      </c>
      <c r="F1559" t="e">
        <f t="shared" si="83"/>
        <v>#N/A</v>
      </c>
      <c r="G1559" s="74">
        <v>32938</v>
      </c>
      <c r="H1559" s="77">
        <v>0.20833333333333334</v>
      </c>
      <c r="J1559">
        <v>32</v>
      </c>
      <c r="M1559" s="74">
        <v>36591</v>
      </c>
      <c r="N1559" s="77">
        <v>0.20833333333333334</v>
      </c>
      <c r="P1559">
        <v>35.6</v>
      </c>
      <c r="S1559" s="74">
        <v>38052</v>
      </c>
      <c r="T1559" s="77">
        <v>0.20833333333333334</v>
      </c>
      <c r="V1559">
        <v>48.019999999999996</v>
      </c>
      <c r="X1559" s="42"/>
      <c r="AB1559">
        <v>34.700000000000003</v>
      </c>
      <c r="AC1559">
        <v>30.02</v>
      </c>
      <c r="AE1559" s="74"/>
      <c r="AF1559" s="77"/>
      <c r="AH1559" s="497">
        <v>28.4</v>
      </c>
      <c r="AJ1559" s="42"/>
      <c r="AK1559" s="74"/>
      <c r="AL1559" s="77"/>
      <c r="AN1559" s="497">
        <v>24.98</v>
      </c>
      <c r="AP1559" s="42"/>
      <c r="AQ1559" s="74"/>
      <c r="AR1559" s="77"/>
      <c r="AT1559" s="497">
        <v>36.32</v>
      </c>
      <c r="AV1559" s="42"/>
      <c r="AW1559" s="74"/>
      <c r="AX1559" s="77"/>
      <c r="BA1559" s="497">
        <v>12.920000000000002</v>
      </c>
      <c r="BB1559" s="42"/>
      <c r="BC1559" s="74"/>
      <c r="BD1559" s="77"/>
      <c r="BF1559">
        <v>12.02</v>
      </c>
      <c r="BH1559" s="42"/>
      <c r="BI1559" s="74"/>
      <c r="BJ1559" s="77"/>
      <c r="BL1559" s="497">
        <v>24.98</v>
      </c>
      <c r="BN1559" s="42"/>
      <c r="BO1559" s="74"/>
      <c r="BP1559" s="77"/>
      <c r="BR1559" s="497">
        <v>6.0799999999999983</v>
      </c>
      <c r="BT1559" s="42"/>
    </row>
    <row r="1560" spans="1:72" x14ac:dyDescent="0.25">
      <c r="A1560" s="90">
        <v>38052</v>
      </c>
      <c r="B1560" s="20">
        <v>0.25</v>
      </c>
      <c r="D1560">
        <v>39.019999999999996</v>
      </c>
      <c r="E1560" t="str">
        <f t="shared" si="84"/>
        <v>SATURDAY</v>
      </c>
      <c r="F1560" t="e">
        <f t="shared" si="83"/>
        <v>#N/A</v>
      </c>
      <c r="G1560" s="74">
        <v>32938</v>
      </c>
      <c r="H1560" s="77">
        <v>0.25</v>
      </c>
      <c r="J1560">
        <v>32</v>
      </c>
      <c r="M1560" s="74">
        <v>36591</v>
      </c>
      <c r="N1560" s="77">
        <v>0.25</v>
      </c>
      <c r="P1560">
        <v>35.6</v>
      </c>
      <c r="S1560" s="74">
        <v>38052</v>
      </c>
      <c r="T1560" s="77">
        <v>0.25</v>
      </c>
      <c r="V1560">
        <v>46.94</v>
      </c>
      <c r="X1560" s="42"/>
      <c r="AB1560">
        <v>34.4</v>
      </c>
      <c r="AC1560">
        <v>28.04</v>
      </c>
      <c r="AE1560" s="74"/>
      <c r="AF1560" s="77"/>
      <c r="AH1560" s="497">
        <v>26.6</v>
      </c>
      <c r="AJ1560" s="42"/>
      <c r="AK1560" s="74"/>
      <c r="AL1560" s="77"/>
      <c r="AN1560" s="497">
        <v>26.96</v>
      </c>
      <c r="AP1560" s="42"/>
      <c r="AQ1560" s="74"/>
      <c r="AR1560" s="77"/>
      <c r="AT1560" s="497">
        <v>35.78</v>
      </c>
      <c r="AV1560" s="42"/>
      <c r="AW1560" s="74"/>
      <c r="AX1560" s="77"/>
      <c r="BA1560" s="497">
        <v>12.02</v>
      </c>
      <c r="BB1560" s="42"/>
      <c r="BC1560" s="74"/>
      <c r="BD1560" s="77"/>
      <c r="BF1560">
        <v>12.02</v>
      </c>
      <c r="BH1560" s="42"/>
      <c r="BI1560" s="74"/>
      <c r="BJ1560" s="77"/>
      <c r="BL1560" s="497">
        <v>24.98</v>
      </c>
      <c r="BN1560" s="42"/>
      <c r="BO1560" s="74"/>
      <c r="BP1560" s="77"/>
      <c r="BR1560" s="497">
        <v>3.019999999999996</v>
      </c>
      <c r="BT1560" s="42"/>
    </row>
    <row r="1561" spans="1:72" x14ac:dyDescent="0.25">
      <c r="A1561" s="90">
        <v>38052</v>
      </c>
      <c r="B1561" s="20">
        <v>0.29166666666666669</v>
      </c>
      <c r="D1561">
        <v>41</v>
      </c>
      <c r="E1561" t="str">
        <f t="shared" si="84"/>
        <v>SATURDAY</v>
      </c>
      <c r="F1561" t="e">
        <f t="shared" si="83"/>
        <v>#N/A</v>
      </c>
      <c r="G1561" s="74">
        <v>32938</v>
      </c>
      <c r="H1561" s="77">
        <v>0.29166666666666669</v>
      </c>
      <c r="J1561">
        <v>32</v>
      </c>
      <c r="M1561" s="74">
        <v>36591</v>
      </c>
      <c r="N1561" s="77">
        <v>0.29166666666666669</v>
      </c>
      <c r="P1561">
        <v>35.6</v>
      </c>
      <c r="S1561" s="74">
        <v>38052</v>
      </c>
      <c r="T1561" s="77">
        <v>0.29166666666666669</v>
      </c>
      <c r="V1561">
        <v>46.94</v>
      </c>
      <c r="X1561" s="42"/>
      <c r="AB1561">
        <v>34.200000000000003</v>
      </c>
      <c r="AC1561">
        <v>28.94</v>
      </c>
      <c r="AE1561" s="74"/>
      <c r="AF1561" s="77"/>
      <c r="AH1561" s="497">
        <v>26.6</v>
      </c>
      <c r="AJ1561" s="42"/>
      <c r="AK1561" s="74"/>
      <c r="AL1561" s="77"/>
      <c r="AN1561" s="497">
        <v>28.94</v>
      </c>
      <c r="AP1561" s="42"/>
      <c r="AQ1561" s="74"/>
      <c r="AR1561" s="77"/>
      <c r="AT1561" s="497">
        <v>35.06</v>
      </c>
      <c r="AV1561" s="42"/>
      <c r="AW1561" s="74"/>
      <c r="AX1561" s="77"/>
      <c r="BA1561" s="497">
        <v>8.9599999999999973</v>
      </c>
      <c r="BB1561" s="42"/>
      <c r="BC1561" s="74"/>
      <c r="BD1561" s="77"/>
      <c r="BF1561">
        <v>12.02</v>
      </c>
      <c r="BH1561" s="42"/>
      <c r="BI1561" s="74"/>
      <c r="BJ1561" s="77"/>
      <c r="BL1561" s="497">
        <v>26.060000000000002</v>
      </c>
      <c r="BN1561" s="42"/>
      <c r="BO1561" s="74"/>
      <c r="BP1561" s="77"/>
      <c r="BR1561" s="497">
        <v>1.0399999999999991</v>
      </c>
      <c r="BT1561" s="42"/>
    </row>
    <row r="1562" spans="1:72" x14ac:dyDescent="0.25">
      <c r="A1562" s="90">
        <v>38052</v>
      </c>
      <c r="B1562" s="20">
        <v>0.33333333333333331</v>
      </c>
      <c r="D1562">
        <v>42.08</v>
      </c>
      <c r="E1562" t="str">
        <f t="shared" si="84"/>
        <v>SATURDAY</v>
      </c>
      <c r="F1562" t="e">
        <f t="shared" si="83"/>
        <v>#N/A</v>
      </c>
      <c r="G1562" s="74">
        <v>32938</v>
      </c>
      <c r="H1562" s="77">
        <v>0.33333333333333331</v>
      </c>
      <c r="J1562">
        <v>32</v>
      </c>
      <c r="M1562" s="74">
        <v>36591</v>
      </c>
      <c r="N1562" s="77">
        <v>0.33333333333333331</v>
      </c>
      <c r="P1562">
        <v>39.200000000000003</v>
      </c>
      <c r="S1562" s="74">
        <v>38052</v>
      </c>
      <c r="T1562" s="77">
        <v>0.33333333333333331</v>
      </c>
      <c r="V1562">
        <v>50</v>
      </c>
      <c r="X1562" s="42"/>
      <c r="AB1562">
        <v>34.5</v>
      </c>
      <c r="AC1562">
        <v>42.08</v>
      </c>
      <c r="AE1562" s="74"/>
      <c r="AF1562" s="77"/>
      <c r="AH1562" s="497">
        <v>35.6</v>
      </c>
      <c r="AJ1562" s="42"/>
      <c r="AK1562" s="74"/>
      <c r="AL1562" s="77"/>
      <c r="AN1562" s="497">
        <v>30.92</v>
      </c>
      <c r="AP1562" s="42"/>
      <c r="AQ1562" s="74"/>
      <c r="AR1562" s="77"/>
      <c r="AT1562" s="497">
        <v>35.78</v>
      </c>
      <c r="AV1562" s="42"/>
      <c r="AW1562" s="74"/>
      <c r="AX1562" s="77"/>
      <c r="BA1562" s="497">
        <v>14</v>
      </c>
      <c r="BB1562" s="42"/>
      <c r="BC1562" s="74"/>
      <c r="BD1562" s="77"/>
      <c r="BF1562">
        <v>15.079999999999998</v>
      </c>
      <c r="BH1562" s="42"/>
      <c r="BI1562" s="74"/>
      <c r="BJ1562" s="77"/>
      <c r="BL1562" s="497">
        <v>26.060000000000002</v>
      </c>
      <c r="BN1562" s="42"/>
      <c r="BO1562" s="74"/>
      <c r="BP1562" s="77"/>
      <c r="BR1562" s="497">
        <v>5</v>
      </c>
      <c r="BT1562" s="42"/>
    </row>
    <row r="1563" spans="1:72" x14ac:dyDescent="0.25">
      <c r="A1563" s="90">
        <v>38052</v>
      </c>
      <c r="B1563" s="20">
        <v>0.375</v>
      </c>
      <c r="D1563">
        <v>44.96</v>
      </c>
      <c r="E1563" t="str">
        <f t="shared" si="84"/>
        <v>SATURDAY</v>
      </c>
      <c r="F1563" t="e">
        <f t="shared" si="83"/>
        <v>#N/A</v>
      </c>
      <c r="G1563" s="74">
        <v>32938</v>
      </c>
      <c r="H1563" s="77">
        <v>0.375</v>
      </c>
      <c r="J1563">
        <v>30.92</v>
      </c>
      <c r="M1563" s="74">
        <v>36591</v>
      </c>
      <c r="N1563" s="77">
        <v>0.375</v>
      </c>
      <c r="P1563">
        <v>42.8</v>
      </c>
      <c r="S1563" s="74">
        <v>38052</v>
      </c>
      <c r="T1563" s="77">
        <v>0.375</v>
      </c>
      <c r="V1563">
        <v>51.980000000000004</v>
      </c>
      <c r="X1563" s="42"/>
      <c r="AB1563">
        <v>36.200000000000003</v>
      </c>
      <c r="AC1563">
        <v>48.019999999999996</v>
      </c>
      <c r="AE1563" s="74"/>
      <c r="AF1563" s="77"/>
      <c r="AH1563" s="497">
        <v>42.8</v>
      </c>
      <c r="AJ1563" s="42"/>
      <c r="AK1563" s="74"/>
      <c r="AL1563" s="77"/>
      <c r="AN1563" s="497">
        <v>33.08</v>
      </c>
      <c r="AP1563" s="42"/>
      <c r="AQ1563" s="74"/>
      <c r="AR1563" s="77"/>
      <c r="AT1563" s="497">
        <v>36.32</v>
      </c>
      <c r="AV1563" s="42"/>
      <c r="AW1563" s="74"/>
      <c r="AX1563" s="77"/>
      <c r="BA1563" s="497">
        <v>15.98</v>
      </c>
      <c r="BB1563" s="42"/>
      <c r="BC1563" s="74"/>
      <c r="BD1563" s="77"/>
      <c r="BF1563">
        <v>17.059999999999999</v>
      </c>
      <c r="BH1563" s="42"/>
      <c r="BI1563" s="74"/>
      <c r="BJ1563" s="77"/>
      <c r="BL1563" s="497">
        <v>28.04</v>
      </c>
      <c r="BN1563" s="42"/>
      <c r="BO1563" s="74"/>
      <c r="BP1563" s="77"/>
      <c r="BR1563" s="497">
        <v>8.0599999999999987</v>
      </c>
      <c r="BT1563" s="42"/>
    </row>
    <row r="1564" spans="1:72" x14ac:dyDescent="0.25">
      <c r="A1564" s="90">
        <v>38052</v>
      </c>
      <c r="B1564" s="20">
        <v>0.41666666666666669</v>
      </c>
      <c r="D1564">
        <v>46.04</v>
      </c>
      <c r="E1564" t="str">
        <f t="shared" si="84"/>
        <v>SATURDAY</v>
      </c>
      <c r="F1564" t="e">
        <f t="shared" si="83"/>
        <v>#N/A</v>
      </c>
      <c r="G1564" s="74">
        <v>32938</v>
      </c>
      <c r="H1564" s="77">
        <v>0.41666666666666669</v>
      </c>
      <c r="J1564">
        <v>30.92</v>
      </c>
      <c r="M1564" s="74">
        <v>36591</v>
      </c>
      <c r="N1564" s="77">
        <v>0.41666666666666669</v>
      </c>
      <c r="P1564">
        <v>42.8</v>
      </c>
      <c r="S1564" s="74">
        <v>38052</v>
      </c>
      <c r="T1564" s="77">
        <v>0.41666666666666669</v>
      </c>
      <c r="V1564">
        <v>53.06</v>
      </c>
      <c r="X1564" s="42"/>
      <c r="AB1564">
        <v>37.9</v>
      </c>
      <c r="AC1564">
        <v>51.08</v>
      </c>
      <c r="AE1564" s="74"/>
      <c r="AF1564" s="77"/>
      <c r="AH1564" s="497">
        <v>44.6</v>
      </c>
      <c r="AJ1564" s="42"/>
      <c r="AK1564" s="74"/>
      <c r="AL1564" s="77"/>
      <c r="AN1564" s="497">
        <v>37.04</v>
      </c>
      <c r="AP1564" s="42"/>
      <c r="AQ1564" s="74"/>
      <c r="AR1564" s="77"/>
      <c r="AT1564" s="497">
        <v>37.04</v>
      </c>
      <c r="AV1564" s="42"/>
      <c r="AW1564" s="74"/>
      <c r="AX1564" s="77"/>
      <c r="BA1564" s="497">
        <v>17.96</v>
      </c>
      <c r="BB1564" s="42"/>
      <c r="BC1564" s="74"/>
      <c r="BD1564" s="77"/>
      <c r="BF1564">
        <v>19.04</v>
      </c>
      <c r="BH1564" s="42"/>
      <c r="BI1564" s="74"/>
      <c r="BJ1564" s="77"/>
      <c r="BL1564" s="497">
        <v>28.94</v>
      </c>
      <c r="BN1564" s="42"/>
      <c r="BO1564" s="74"/>
      <c r="BP1564" s="77"/>
      <c r="BR1564" s="497">
        <v>12.02</v>
      </c>
      <c r="BT1564" s="42"/>
    </row>
    <row r="1565" spans="1:72" x14ac:dyDescent="0.25">
      <c r="A1565" s="90">
        <v>38052</v>
      </c>
      <c r="B1565" s="20">
        <v>0.45833333333333331</v>
      </c>
      <c r="D1565">
        <v>46.04</v>
      </c>
      <c r="E1565" t="str">
        <f t="shared" si="84"/>
        <v>SATURDAY</v>
      </c>
      <c r="F1565" t="e">
        <f t="shared" si="83"/>
        <v>#N/A</v>
      </c>
      <c r="G1565" s="74">
        <v>32938</v>
      </c>
      <c r="H1565" s="77">
        <v>0.45833333333333331</v>
      </c>
      <c r="J1565">
        <v>30.02</v>
      </c>
      <c r="M1565" s="74">
        <v>36591</v>
      </c>
      <c r="N1565" s="77">
        <v>0.45833333333333331</v>
      </c>
      <c r="P1565">
        <v>46.4</v>
      </c>
      <c r="S1565" s="74">
        <v>38052</v>
      </c>
      <c r="T1565" s="77">
        <v>0.45833333333333331</v>
      </c>
      <c r="V1565">
        <v>51.08</v>
      </c>
      <c r="X1565" s="42"/>
      <c r="AB1565">
        <v>39.6</v>
      </c>
      <c r="AC1565">
        <v>53.06</v>
      </c>
      <c r="AE1565" s="74"/>
      <c r="AF1565" s="77"/>
      <c r="AH1565" s="497">
        <v>44.6</v>
      </c>
      <c r="AJ1565" s="42"/>
      <c r="AK1565" s="74"/>
      <c r="AL1565" s="77"/>
      <c r="AN1565" s="497">
        <v>41</v>
      </c>
      <c r="AP1565" s="42"/>
      <c r="AQ1565" s="74"/>
      <c r="AR1565" s="77"/>
      <c r="AT1565" s="497">
        <v>37.94</v>
      </c>
      <c r="AV1565" s="42"/>
      <c r="AW1565" s="74"/>
      <c r="AX1565" s="77"/>
      <c r="BA1565" s="497">
        <v>19.04</v>
      </c>
      <c r="BB1565" s="42"/>
      <c r="BC1565" s="74"/>
      <c r="BD1565" s="77"/>
      <c r="BF1565">
        <v>19.939999999999998</v>
      </c>
      <c r="BH1565" s="42"/>
      <c r="BI1565" s="74"/>
      <c r="BJ1565" s="77"/>
      <c r="BL1565" s="497">
        <v>30.92</v>
      </c>
      <c r="BN1565" s="42"/>
      <c r="BO1565" s="74"/>
      <c r="BP1565" s="77"/>
      <c r="BR1565" s="497">
        <v>14</v>
      </c>
      <c r="BT1565" s="42"/>
    </row>
    <row r="1566" spans="1:72" x14ac:dyDescent="0.25">
      <c r="A1566" s="90">
        <v>38052</v>
      </c>
      <c r="B1566" s="20">
        <v>0.5</v>
      </c>
      <c r="D1566">
        <v>50</v>
      </c>
      <c r="E1566" t="str">
        <f t="shared" si="84"/>
        <v>SATURDAY</v>
      </c>
      <c r="F1566" t="e">
        <f t="shared" si="83"/>
        <v>#N/A</v>
      </c>
      <c r="G1566" s="74">
        <v>32938</v>
      </c>
      <c r="H1566" s="77">
        <v>0.5</v>
      </c>
      <c r="J1566">
        <v>28.04</v>
      </c>
      <c r="M1566" s="74">
        <v>36591</v>
      </c>
      <c r="N1566" s="77">
        <v>0.5</v>
      </c>
      <c r="P1566">
        <v>48.2</v>
      </c>
      <c r="S1566" s="74">
        <v>38052</v>
      </c>
      <c r="T1566" s="77">
        <v>0.5</v>
      </c>
      <c r="V1566">
        <v>50</v>
      </c>
      <c r="X1566" s="42"/>
      <c r="AB1566">
        <v>41</v>
      </c>
      <c r="AC1566">
        <v>53.06</v>
      </c>
      <c r="AE1566" s="74"/>
      <c r="AF1566" s="77"/>
      <c r="AH1566" s="497">
        <v>48.2</v>
      </c>
      <c r="AJ1566" s="42"/>
      <c r="AK1566" s="74"/>
      <c r="AL1566" s="77"/>
      <c r="AN1566" s="497">
        <v>44.96</v>
      </c>
      <c r="AP1566" s="42"/>
      <c r="AQ1566" s="74"/>
      <c r="AR1566" s="77"/>
      <c r="AT1566" s="497">
        <v>39.019999999999996</v>
      </c>
      <c r="AV1566" s="42"/>
      <c r="AW1566" s="74"/>
      <c r="AX1566" s="77"/>
      <c r="BA1566" s="497">
        <v>21.92</v>
      </c>
      <c r="BB1566" s="42"/>
      <c r="BC1566" s="74"/>
      <c r="BD1566" s="77"/>
      <c r="BF1566">
        <v>19.939999999999998</v>
      </c>
      <c r="BH1566" s="42"/>
      <c r="BI1566" s="74"/>
      <c r="BJ1566" s="77"/>
      <c r="BL1566" s="497">
        <v>32</v>
      </c>
      <c r="BN1566" s="42"/>
      <c r="BO1566" s="74"/>
      <c r="BP1566" s="77"/>
      <c r="BR1566" s="497">
        <v>17.96</v>
      </c>
      <c r="BT1566" s="42"/>
    </row>
    <row r="1567" spans="1:72" x14ac:dyDescent="0.25">
      <c r="A1567" s="90">
        <v>38052</v>
      </c>
      <c r="B1567" s="20">
        <v>0.54166666666666663</v>
      </c>
      <c r="D1567">
        <v>51.08</v>
      </c>
      <c r="E1567" t="str">
        <f t="shared" si="84"/>
        <v>SATURDAY</v>
      </c>
      <c r="F1567" t="e">
        <f t="shared" si="83"/>
        <v>#N/A</v>
      </c>
      <c r="G1567" s="74">
        <v>32938</v>
      </c>
      <c r="H1567" s="77">
        <v>0.54166666666666663</v>
      </c>
      <c r="J1567">
        <v>26.96</v>
      </c>
      <c r="M1567" s="74">
        <v>36591</v>
      </c>
      <c r="N1567" s="77">
        <v>0.54166666666666663</v>
      </c>
      <c r="P1567">
        <v>50</v>
      </c>
      <c r="S1567" s="74">
        <v>38052</v>
      </c>
      <c r="T1567" s="77">
        <v>0.54166666666666663</v>
      </c>
      <c r="V1567">
        <v>53.06</v>
      </c>
      <c r="X1567" s="42"/>
      <c r="AB1567">
        <v>42</v>
      </c>
      <c r="AC1567">
        <v>53.06</v>
      </c>
      <c r="AE1567" s="74"/>
      <c r="AF1567" s="77"/>
      <c r="AH1567" s="497">
        <v>50</v>
      </c>
      <c r="AJ1567" s="42"/>
      <c r="AK1567" s="74"/>
      <c r="AL1567" s="77"/>
      <c r="AN1567" s="497">
        <v>48.019999999999996</v>
      </c>
      <c r="AP1567" s="42"/>
      <c r="AQ1567" s="74"/>
      <c r="AR1567" s="77"/>
      <c r="AT1567" s="497">
        <v>39.92</v>
      </c>
      <c r="AV1567" s="42"/>
      <c r="AW1567" s="74"/>
      <c r="AX1567" s="77"/>
      <c r="BA1567" s="497">
        <v>24.08</v>
      </c>
      <c r="BB1567" s="42"/>
      <c r="BC1567" s="74"/>
      <c r="BD1567" s="77"/>
      <c r="BF1567">
        <v>19.939999999999998</v>
      </c>
      <c r="BH1567" s="42"/>
      <c r="BI1567" s="74"/>
      <c r="BJ1567" s="77"/>
      <c r="BL1567" s="497">
        <v>35.06</v>
      </c>
      <c r="BN1567" s="42"/>
      <c r="BO1567" s="74"/>
      <c r="BP1567" s="77"/>
      <c r="BR1567" s="497">
        <v>19.939999999999998</v>
      </c>
      <c r="BT1567" s="42"/>
    </row>
    <row r="1568" spans="1:72" x14ac:dyDescent="0.25">
      <c r="A1568" s="90">
        <v>38052</v>
      </c>
      <c r="B1568" s="20">
        <v>0.58333333333333337</v>
      </c>
      <c r="D1568">
        <v>53.06</v>
      </c>
      <c r="E1568" t="str">
        <f t="shared" si="84"/>
        <v>SATURDAY</v>
      </c>
      <c r="F1568" t="e">
        <f t="shared" si="83"/>
        <v>#N/A</v>
      </c>
      <c r="G1568" s="74">
        <v>32938</v>
      </c>
      <c r="H1568" s="77">
        <v>0.58333333333333337</v>
      </c>
      <c r="J1568">
        <v>26.96</v>
      </c>
      <c r="M1568" s="74">
        <v>36591</v>
      </c>
      <c r="N1568" s="77">
        <v>0.58333333333333337</v>
      </c>
      <c r="P1568">
        <v>51.8</v>
      </c>
      <c r="S1568" s="74">
        <v>38052</v>
      </c>
      <c r="T1568" s="77">
        <v>0.58333333333333337</v>
      </c>
      <c r="V1568">
        <v>55.94</v>
      </c>
      <c r="X1568" s="42"/>
      <c r="AB1568">
        <v>42.8</v>
      </c>
      <c r="AC1568">
        <v>55.040000000000006</v>
      </c>
      <c r="AE1568" s="74"/>
      <c r="AF1568" s="77"/>
      <c r="AH1568" s="497">
        <v>50</v>
      </c>
      <c r="AJ1568" s="42"/>
      <c r="AK1568" s="74"/>
      <c r="AL1568" s="77"/>
      <c r="AN1568" s="497">
        <v>51.08</v>
      </c>
      <c r="AP1568" s="42"/>
      <c r="AQ1568" s="74"/>
      <c r="AR1568" s="77"/>
      <c r="AT1568" s="497">
        <v>39.019999999999996</v>
      </c>
      <c r="AV1568" s="42"/>
      <c r="AW1568" s="74"/>
      <c r="AX1568" s="77"/>
      <c r="BA1568" s="497">
        <v>23</v>
      </c>
      <c r="BB1568" s="42"/>
      <c r="BC1568" s="74"/>
      <c r="BD1568" s="77"/>
      <c r="BF1568">
        <v>19.939999999999998</v>
      </c>
      <c r="BH1568" s="42"/>
      <c r="BI1568" s="74"/>
      <c r="BJ1568" s="77"/>
      <c r="BL1568" s="497">
        <v>33.979999999999997</v>
      </c>
      <c r="BN1568" s="42"/>
      <c r="BO1568" s="74"/>
      <c r="BP1568" s="77"/>
      <c r="BR1568" s="497">
        <v>21.02</v>
      </c>
      <c r="BT1568" s="42"/>
    </row>
    <row r="1569" spans="1:72" x14ac:dyDescent="0.25">
      <c r="A1569" s="90">
        <v>38052</v>
      </c>
      <c r="B1569" s="20">
        <v>0.625</v>
      </c>
      <c r="D1569">
        <v>53.96</v>
      </c>
      <c r="E1569" t="str">
        <f t="shared" si="84"/>
        <v>SATURDAY</v>
      </c>
      <c r="F1569" t="e">
        <f t="shared" si="83"/>
        <v>#N/A</v>
      </c>
      <c r="G1569" s="74">
        <v>32938</v>
      </c>
      <c r="H1569" s="77">
        <v>0.625</v>
      </c>
      <c r="J1569">
        <v>28.04</v>
      </c>
      <c r="M1569" s="74">
        <v>36591</v>
      </c>
      <c r="N1569" s="77">
        <v>0.625</v>
      </c>
      <c r="P1569">
        <v>51.8</v>
      </c>
      <c r="S1569" s="74">
        <v>38052</v>
      </c>
      <c r="T1569" s="77">
        <v>0.625</v>
      </c>
      <c r="V1569">
        <v>59</v>
      </c>
      <c r="X1569" s="42"/>
      <c r="AB1569">
        <v>43.3</v>
      </c>
      <c r="AC1569">
        <v>53.06</v>
      </c>
      <c r="AE1569" s="74"/>
      <c r="AF1569" s="77"/>
      <c r="AH1569" s="497">
        <v>51.8</v>
      </c>
      <c r="AJ1569" s="42"/>
      <c r="AK1569" s="74"/>
      <c r="AL1569" s="77"/>
      <c r="AN1569" s="497">
        <v>53.06</v>
      </c>
      <c r="AP1569" s="42"/>
      <c r="AQ1569" s="74"/>
      <c r="AR1569" s="77"/>
      <c r="AT1569" s="497">
        <v>37.94</v>
      </c>
      <c r="AV1569" s="42"/>
      <c r="AW1569" s="74"/>
      <c r="AX1569" s="77"/>
      <c r="BA1569" s="497">
        <v>21.92</v>
      </c>
      <c r="BB1569" s="42"/>
      <c r="BC1569" s="74"/>
      <c r="BD1569" s="77"/>
      <c r="BF1569">
        <v>19.939999999999998</v>
      </c>
      <c r="BH1569" s="42"/>
      <c r="BI1569" s="74"/>
      <c r="BJ1569" s="77"/>
      <c r="BL1569" s="497">
        <v>35.96</v>
      </c>
      <c r="BN1569" s="42"/>
      <c r="BO1569" s="74"/>
      <c r="BP1569" s="77"/>
      <c r="BR1569" s="497">
        <v>21.92</v>
      </c>
      <c r="BT1569" s="42"/>
    </row>
    <row r="1570" spans="1:72" x14ac:dyDescent="0.25">
      <c r="A1570" s="90">
        <v>38052</v>
      </c>
      <c r="B1570" s="20">
        <v>0.66666666666666663</v>
      </c>
      <c r="D1570">
        <v>51.980000000000004</v>
      </c>
      <c r="E1570" t="str">
        <f t="shared" si="84"/>
        <v>SATURDAY</v>
      </c>
      <c r="F1570" t="e">
        <f t="shared" si="83"/>
        <v>#N/A</v>
      </c>
      <c r="G1570" s="74">
        <v>32938</v>
      </c>
      <c r="H1570" s="77">
        <v>0.66666666666666663</v>
      </c>
      <c r="J1570">
        <v>28.94</v>
      </c>
      <c r="M1570" s="74">
        <v>36591</v>
      </c>
      <c r="N1570" s="77">
        <v>0.66666666666666663</v>
      </c>
      <c r="P1570">
        <v>51.8</v>
      </c>
      <c r="S1570" s="74">
        <v>38052</v>
      </c>
      <c r="T1570" s="77">
        <v>0.66666666666666663</v>
      </c>
      <c r="V1570">
        <v>60.08</v>
      </c>
      <c r="X1570" s="42"/>
      <c r="AB1570">
        <v>43.5</v>
      </c>
      <c r="AC1570">
        <v>51.980000000000004</v>
      </c>
      <c r="AE1570" s="74"/>
      <c r="AF1570" s="77"/>
      <c r="AH1570" s="497">
        <v>50</v>
      </c>
      <c r="AJ1570" s="42"/>
      <c r="AK1570" s="74"/>
      <c r="AL1570" s="77"/>
      <c r="AN1570" s="497">
        <v>53.96</v>
      </c>
      <c r="AP1570" s="42"/>
      <c r="AQ1570" s="74"/>
      <c r="AR1570" s="77"/>
      <c r="AT1570" s="497">
        <v>37.04</v>
      </c>
      <c r="AV1570" s="42"/>
      <c r="AW1570" s="74"/>
      <c r="AX1570" s="77"/>
      <c r="BA1570" s="497">
        <v>21.02</v>
      </c>
      <c r="BB1570" s="42"/>
      <c r="BC1570" s="74"/>
      <c r="BD1570" s="77"/>
      <c r="BF1570">
        <v>19.939999999999998</v>
      </c>
      <c r="BH1570" s="42"/>
      <c r="BI1570" s="74"/>
      <c r="BJ1570" s="77"/>
      <c r="BL1570" s="497">
        <v>33.08</v>
      </c>
      <c r="BN1570" s="42"/>
      <c r="BO1570" s="74"/>
      <c r="BP1570" s="77"/>
      <c r="BR1570" s="497">
        <v>24.08</v>
      </c>
      <c r="BT1570" s="42"/>
    </row>
    <row r="1571" spans="1:72" x14ac:dyDescent="0.25">
      <c r="A1571" s="90">
        <v>38052</v>
      </c>
      <c r="B1571" s="20">
        <v>0.70833333333333337</v>
      </c>
      <c r="D1571">
        <v>55.040000000000006</v>
      </c>
      <c r="E1571" t="str">
        <f t="shared" si="84"/>
        <v>SATURDAY</v>
      </c>
      <c r="F1571" t="e">
        <f t="shared" si="83"/>
        <v>#N/A</v>
      </c>
      <c r="G1571" s="74">
        <v>32938</v>
      </c>
      <c r="H1571" s="77">
        <v>0.70833333333333337</v>
      </c>
      <c r="J1571">
        <v>30.02</v>
      </c>
      <c r="M1571" s="74">
        <v>36591</v>
      </c>
      <c r="N1571" s="77">
        <v>0.70833333333333337</v>
      </c>
      <c r="P1571">
        <v>51.8</v>
      </c>
      <c r="S1571" s="74">
        <v>38052</v>
      </c>
      <c r="T1571" s="77">
        <v>0.70833333333333337</v>
      </c>
      <c r="V1571">
        <v>59</v>
      </c>
      <c r="X1571" s="42"/>
      <c r="AB1571">
        <v>43.1</v>
      </c>
      <c r="AC1571">
        <v>48.92</v>
      </c>
      <c r="AE1571" s="74"/>
      <c r="AF1571" s="77"/>
      <c r="AH1571" s="497">
        <v>48.2</v>
      </c>
      <c r="AJ1571" s="42"/>
      <c r="AK1571" s="74"/>
      <c r="AL1571" s="77"/>
      <c r="AN1571" s="497">
        <v>53.06</v>
      </c>
      <c r="AP1571" s="42"/>
      <c r="AQ1571" s="74"/>
      <c r="AR1571" s="77"/>
      <c r="AT1571" s="497">
        <v>35.06</v>
      </c>
      <c r="AV1571" s="42"/>
      <c r="AW1571" s="74"/>
      <c r="AX1571" s="77"/>
      <c r="BA1571" s="497">
        <v>19.939999999999998</v>
      </c>
      <c r="BB1571" s="42"/>
      <c r="BC1571" s="74"/>
      <c r="BD1571" s="77"/>
      <c r="BF1571">
        <v>19.04</v>
      </c>
      <c r="BH1571" s="42"/>
      <c r="BI1571" s="74"/>
      <c r="BJ1571" s="77"/>
      <c r="BL1571" s="497">
        <v>33.08</v>
      </c>
      <c r="BN1571" s="42"/>
      <c r="BO1571" s="74"/>
      <c r="BP1571" s="77"/>
      <c r="BR1571" s="497">
        <v>24.08</v>
      </c>
      <c r="BT1571" s="42"/>
    </row>
    <row r="1572" spans="1:72" x14ac:dyDescent="0.25">
      <c r="A1572" s="90">
        <v>38052</v>
      </c>
      <c r="B1572" s="20">
        <v>0.75</v>
      </c>
      <c r="D1572">
        <v>48.92</v>
      </c>
      <c r="E1572" t="str">
        <f t="shared" si="84"/>
        <v>SATURDAY</v>
      </c>
      <c r="F1572" t="e">
        <f t="shared" si="83"/>
        <v>#N/A</v>
      </c>
      <c r="G1572" s="74">
        <v>32938</v>
      </c>
      <c r="H1572" s="77">
        <v>0.75</v>
      </c>
      <c r="J1572">
        <v>28.94</v>
      </c>
      <c r="M1572" s="74">
        <v>36591</v>
      </c>
      <c r="N1572" s="77">
        <v>0.75</v>
      </c>
      <c r="P1572">
        <v>50</v>
      </c>
      <c r="S1572" s="74">
        <v>38052</v>
      </c>
      <c r="T1572" s="77">
        <v>0.75</v>
      </c>
      <c r="V1572">
        <v>57.019999999999996</v>
      </c>
      <c r="X1572" s="42"/>
      <c r="AB1572">
        <v>42.2</v>
      </c>
      <c r="AC1572">
        <v>48.92</v>
      </c>
      <c r="AE1572" s="74"/>
      <c r="AF1572" s="77"/>
      <c r="AH1572" s="497">
        <v>44.6</v>
      </c>
      <c r="AJ1572" s="42"/>
      <c r="AK1572" s="74"/>
      <c r="AL1572" s="77"/>
      <c r="AN1572" s="497">
        <v>46.94</v>
      </c>
      <c r="AP1572" s="42"/>
      <c r="AQ1572" s="74"/>
      <c r="AR1572" s="77"/>
      <c r="AT1572" s="497">
        <v>32.9</v>
      </c>
      <c r="AV1572" s="42"/>
      <c r="AW1572" s="74"/>
      <c r="AX1572" s="77"/>
      <c r="BA1572" s="497">
        <v>17.059999999999999</v>
      </c>
      <c r="BB1572" s="42"/>
      <c r="BC1572" s="74"/>
      <c r="BD1572" s="77"/>
      <c r="BF1572">
        <v>17.059999999999999</v>
      </c>
      <c r="BH1572" s="42"/>
      <c r="BI1572" s="74"/>
      <c r="BJ1572" s="77"/>
      <c r="BL1572" s="497">
        <v>32</v>
      </c>
      <c r="BN1572" s="42"/>
      <c r="BO1572" s="74"/>
      <c r="BP1572" s="77"/>
      <c r="BR1572" s="497">
        <v>21.02</v>
      </c>
      <c r="BT1572" s="42"/>
    </row>
    <row r="1573" spans="1:72" x14ac:dyDescent="0.25">
      <c r="A1573" s="90">
        <v>38052</v>
      </c>
      <c r="B1573" s="20">
        <v>0.79166666666666663</v>
      </c>
      <c r="D1573">
        <v>50</v>
      </c>
      <c r="E1573" t="str">
        <f t="shared" si="84"/>
        <v>SATURDAY</v>
      </c>
      <c r="F1573" t="e">
        <f t="shared" si="83"/>
        <v>#N/A</v>
      </c>
      <c r="G1573" s="74">
        <v>32938</v>
      </c>
      <c r="H1573" s="77">
        <v>0.79166666666666663</v>
      </c>
      <c r="J1573">
        <v>28.04</v>
      </c>
      <c r="M1573" s="74">
        <v>36591</v>
      </c>
      <c r="N1573" s="77">
        <v>0.79166666666666663</v>
      </c>
      <c r="P1573">
        <v>44.6</v>
      </c>
      <c r="S1573" s="74">
        <v>38052</v>
      </c>
      <c r="T1573" s="77">
        <v>0.79166666666666663</v>
      </c>
      <c r="V1573">
        <v>59</v>
      </c>
      <c r="X1573" s="42"/>
      <c r="AB1573">
        <v>40.700000000000003</v>
      </c>
      <c r="AC1573">
        <v>48.92</v>
      </c>
      <c r="AE1573" s="74"/>
      <c r="AF1573" s="77"/>
      <c r="AH1573" s="497">
        <v>42.8</v>
      </c>
      <c r="AJ1573" s="42"/>
      <c r="AK1573" s="74"/>
      <c r="AL1573" s="77"/>
      <c r="AN1573" s="497">
        <v>39.019999999999996</v>
      </c>
      <c r="AP1573" s="42"/>
      <c r="AQ1573" s="74"/>
      <c r="AR1573" s="77"/>
      <c r="AT1573" s="497">
        <v>30.92</v>
      </c>
      <c r="AV1573" s="42"/>
      <c r="AW1573" s="74"/>
      <c r="AX1573" s="77"/>
      <c r="BA1573" s="497">
        <v>14</v>
      </c>
      <c r="BB1573" s="42"/>
      <c r="BC1573" s="74"/>
      <c r="BD1573" s="77"/>
      <c r="BF1573">
        <v>15.079999999999998</v>
      </c>
      <c r="BH1573" s="42"/>
      <c r="BI1573" s="74"/>
      <c r="BJ1573" s="77"/>
      <c r="BL1573" s="497">
        <v>26.96</v>
      </c>
      <c r="BN1573" s="42"/>
      <c r="BO1573" s="74"/>
      <c r="BP1573" s="77"/>
      <c r="BR1573" s="497">
        <v>19.04</v>
      </c>
      <c r="BT1573" s="42"/>
    </row>
    <row r="1574" spans="1:72" x14ac:dyDescent="0.25">
      <c r="A1574" s="90">
        <v>38052</v>
      </c>
      <c r="B1574" s="20">
        <v>0.83333333333333337</v>
      </c>
      <c r="D1574">
        <v>51.08</v>
      </c>
      <c r="E1574" t="str">
        <f t="shared" si="84"/>
        <v>SATURDAY</v>
      </c>
      <c r="F1574" t="e">
        <f t="shared" si="83"/>
        <v>#N/A</v>
      </c>
      <c r="G1574" s="74">
        <v>32938</v>
      </c>
      <c r="H1574" s="77">
        <v>0.83333333333333337</v>
      </c>
      <c r="J1574">
        <v>28.04</v>
      </c>
      <c r="M1574" s="74">
        <v>36591</v>
      </c>
      <c r="N1574" s="77">
        <v>0.83333333333333337</v>
      </c>
      <c r="P1574">
        <v>44.6</v>
      </c>
      <c r="S1574" s="74">
        <v>38052</v>
      </c>
      <c r="T1574" s="77">
        <v>0.83333333333333337</v>
      </c>
      <c r="V1574">
        <v>51.980000000000004</v>
      </c>
      <c r="X1574" s="42"/>
      <c r="AB1574">
        <v>40</v>
      </c>
      <c r="AC1574">
        <v>48.019999999999996</v>
      </c>
      <c r="AE1574" s="74"/>
      <c r="AF1574" s="77"/>
      <c r="AH1574" s="497">
        <v>37.4</v>
      </c>
      <c r="AJ1574" s="42"/>
      <c r="AK1574" s="74"/>
      <c r="AL1574" s="77"/>
      <c r="AN1574" s="497">
        <v>35.96</v>
      </c>
      <c r="AP1574" s="42"/>
      <c r="AQ1574" s="74"/>
      <c r="AR1574" s="77"/>
      <c r="AT1574" s="497">
        <v>29.3</v>
      </c>
      <c r="AV1574" s="42"/>
      <c r="AW1574" s="74"/>
      <c r="AX1574" s="77"/>
      <c r="BA1574" s="497">
        <v>14</v>
      </c>
      <c r="BB1574" s="42"/>
      <c r="BC1574" s="74"/>
      <c r="BD1574" s="77"/>
      <c r="BF1574">
        <v>14</v>
      </c>
      <c r="BH1574" s="42"/>
      <c r="BI1574" s="74"/>
      <c r="BJ1574" s="77"/>
      <c r="BL1574" s="497">
        <v>26.060000000000002</v>
      </c>
      <c r="BN1574" s="42"/>
      <c r="BO1574" s="74"/>
      <c r="BP1574" s="77"/>
      <c r="BR1574" s="497">
        <v>15.98</v>
      </c>
      <c r="BT1574" s="42"/>
    </row>
    <row r="1575" spans="1:72" x14ac:dyDescent="0.25">
      <c r="A1575" s="90">
        <v>38052</v>
      </c>
      <c r="B1575" s="20">
        <v>0.875</v>
      </c>
      <c r="D1575">
        <v>50</v>
      </c>
      <c r="E1575" t="str">
        <f t="shared" si="84"/>
        <v>SATURDAY</v>
      </c>
      <c r="F1575" t="e">
        <f t="shared" si="83"/>
        <v>#N/A</v>
      </c>
      <c r="G1575" s="74">
        <v>32938</v>
      </c>
      <c r="H1575" s="77">
        <v>0.875</v>
      </c>
      <c r="J1575">
        <v>26.96</v>
      </c>
      <c r="M1575" s="74">
        <v>36591</v>
      </c>
      <c r="N1575" s="77">
        <v>0.875</v>
      </c>
      <c r="P1575">
        <v>42.8</v>
      </c>
      <c r="S1575" s="74">
        <v>38052</v>
      </c>
      <c r="T1575" s="77">
        <v>0.875</v>
      </c>
      <c r="V1575">
        <v>50</v>
      </c>
      <c r="X1575" s="42"/>
      <c r="AB1575">
        <v>39.5</v>
      </c>
      <c r="AC1575">
        <v>48.019999999999996</v>
      </c>
      <c r="AE1575" s="74"/>
      <c r="AF1575" s="77"/>
      <c r="AH1575" s="497">
        <v>32</v>
      </c>
      <c r="AJ1575" s="42"/>
      <c r="AK1575" s="74"/>
      <c r="AL1575" s="77"/>
      <c r="AN1575" s="497">
        <v>37.04</v>
      </c>
      <c r="AP1575" s="42"/>
      <c r="AQ1575" s="74"/>
      <c r="AR1575" s="77"/>
      <c r="AT1575" s="497">
        <v>27.68</v>
      </c>
      <c r="AV1575" s="42"/>
      <c r="AW1575" s="74"/>
      <c r="AX1575" s="77"/>
      <c r="BA1575" s="497">
        <v>12.02</v>
      </c>
      <c r="BB1575" s="42"/>
      <c r="BC1575" s="74"/>
      <c r="BD1575" s="77"/>
      <c r="BF1575">
        <v>12.920000000000002</v>
      </c>
      <c r="BH1575" s="42"/>
      <c r="BI1575" s="74"/>
      <c r="BJ1575" s="77"/>
      <c r="BL1575" s="497">
        <v>24.08</v>
      </c>
      <c r="BN1575" s="42"/>
      <c r="BO1575" s="74"/>
      <c r="BP1575" s="77"/>
      <c r="BR1575" s="497">
        <v>14</v>
      </c>
      <c r="BT1575" s="42"/>
    </row>
    <row r="1576" spans="1:72" x14ac:dyDescent="0.25">
      <c r="A1576" s="90">
        <v>38052</v>
      </c>
      <c r="B1576" s="20">
        <v>0.91666666666666663</v>
      </c>
      <c r="D1576">
        <v>48.92</v>
      </c>
      <c r="E1576" t="str">
        <f t="shared" si="84"/>
        <v>SATURDAY</v>
      </c>
      <c r="F1576" t="e">
        <f t="shared" si="83"/>
        <v>#N/A</v>
      </c>
      <c r="G1576" s="74">
        <v>32938</v>
      </c>
      <c r="H1576" s="77">
        <v>0.91666666666666663</v>
      </c>
      <c r="J1576">
        <v>26.060000000000002</v>
      </c>
      <c r="M1576" s="74">
        <v>36591</v>
      </c>
      <c r="N1576" s="77">
        <v>0.91666666666666663</v>
      </c>
      <c r="P1576">
        <v>41</v>
      </c>
      <c r="S1576" s="74">
        <v>38052</v>
      </c>
      <c r="T1576" s="77">
        <v>0.91666666666666663</v>
      </c>
      <c r="V1576">
        <v>50</v>
      </c>
      <c r="X1576" s="42"/>
      <c r="AB1576">
        <v>38.799999999999997</v>
      </c>
      <c r="AC1576">
        <v>48.92</v>
      </c>
      <c r="AE1576" s="74"/>
      <c r="AF1576" s="77"/>
      <c r="AH1576" s="497">
        <v>32</v>
      </c>
      <c r="AJ1576" s="42"/>
      <c r="AK1576" s="74"/>
      <c r="AL1576" s="77"/>
      <c r="AN1576" s="497">
        <v>35.96</v>
      </c>
      <c r="AP1576" s="42"/>
      <c r="AQ1576" s="74"/>
      <c r="AR1576" s="77"/>
      <c r="AT1576" s="497">
        <v>26.060000000000002</v>
      </c>
      <c r="AV1576" s="42"/>
      <c r="AW1576" s="74"/>
      <c r="AX1576" s="77"/>
      <c r="BA1576" s="497">
        <v>10.039999999999999</v>
      </c>
      <c r="BB1576" s="42"/>
      <c r="BC1576" s="74"/>
      <c r="BD1576" s="77"/>
      <c r="BF1576">
        <v>12.02</v>
      </c>
      <c r="BH1576" s="42"/>
      <c r="BI1576" s="74"/>
      <c r="BJ1576" s="77"/>
      <c r="BL1576" s="497">
        <v>24.08</v>
      </c>
      <c r="BN1576" s="42"/>
      <c r="BO1576" s="74"/>
      <c r="BP1576" s="77"/>
      <c r="BR1576" s="497">
        <v>12.02</v>
      </c>
      <c r="BT1576" s="42"/>
    </row>
    <row r="1577" spans="1:72" x14ac:dyDescent="0.25">
      <c r="A1577" s="90">
        <v>38052</v>
      </c>
      <c r="B1577" s="20">
        <v>0.95833333333333337</v>
      </c>
      <c r="D1577">
        <v>46.04</v>
      </c>
      <c r="E1577" t="str">
        <f t="shared" si="84"/>
        <v>SATURDAY</v>
      </c>
      <c r="F1577" t="e">
        <f t="shared" si="83"/>
        <v>#N/A</v>
      </c>
      <c r="G1577" s="74">
        <v>32938</v>
      </c>
      <c r="H1577" s="77">
        <v>0.95833333333333337</v>
      </c>
      <c r="J1577">
        <v>24.98</v>
      </c>
      <c r="M1577" s="74">
        <v>36591</v>
      </c>
      <c r="N1577" s="77">
        <v>0.95833333333333337</v>
      </c>
      <c r="P1577">
        <v>41</v>
      </c>
      <c r="S1577" s="74">
        <v>38052</v>
      </c>
      <c r="T1577" s="77">
        <v>0.95833333333333337</v>
      </c>
      <c r="V1577">
        <v>48.019999999999996</v>
      </c>
      <c r="X1577" s="42"/>
      <c r="AB1577">
        <v>38.299999999999997</v>
      </c>
      <c r="AC1577">
        <v>48.92</v>
      </c>
      <c r="AE1577" s="74"/>
      <c r="AF1577" s="77"/>
      <c r="AH1577" s="497">
        <v>28.4</v>
      </c>
      <c r="AJ1577" s="42"/>
      <c r="AK1577" s="74"/>
      <c r="AL1577" s="77"/>
      <c r="AN1577" s="497">
        <v>35.96</v>
      </c>
      <c r="AP1577" s="42"/>
      <c r="AQ1577" s="74"/>
      <c r="AR1577" s="77"/>
      <c r="AT1577" s="497">
        <v>26.060000000000002</v>
      </c>
      <c r="AV1577" s="42"/>
      <c r="AW1577" s="74"/>
      <c r="AX1577" s="77"/>
      <c r="BA1577" s="497">
        <v>8.9599999999999973</v>
      </c>
      <c r="BB1577" s="42"/>
      <c r="BC1577" s="74"/>
      <c r="BD1577" s="77"/>
      <c r="BF1577">
        <v>12.02</v>
      </c>
      <c r="BH1577" s="42"/>
      <c r="BI1577" s="74"/>
      <c r="BJ1577" s="77"/>
      <c r="BL1577" s="497">
        <v>23</v>
      </c>
      <c r="BN1577" s="42"/>
      <c r="BO1577" s="74"/>
      <c r="BP1577" s="77"/>
      <c r="BR1577" s="497">
        <v>10.940000000000001</v>
      </c>
      <c r="BT1577" s="42"/>
    </row>
    <row r="1578" spans="1:72" x14ac:dyDescent="0.25">
      <c r="A1578" s="90">
        <v>38052</v>
      </c>
      <c r="B1578" s="20">
        <v>1</v>
      </c>
      <c r="D1578">
        <v>41</v>
      </c>
      <c r="E1578" t="str">
        <f t="shared" si="84"/>
        <v>SATURDAY</v>
      </c>
      <c r="F1578" t="e">
        <f t="shared" si="83"/>
        <v>#N/A</v>
      </c>
      <c r="G1578" s="74">
        <v>32938</v>
      </c>
      <c r="H1578" s="77">
        <v>1</v>
      </c>
      <c r="J1578">
        <v>23</v>
      </c>
      <c r="M1578" s="74">
        <v>36591</v>
      </c>
      <c r="N1578" s="80">
        <v>1</v>
      </c>
      <c r="P1578">
        <v>39.200000000000003</v>
      </c>
      <c r="S1578" s="74">
        <v>38052</v>
      </c>
      <c r="T1578" s="80">
        <v>1</v>
      </c>
      <c r="V1578">
        <v>46.04</v>
      </c>
      <c r="X1578" s="42"/>
      <c r="AB1578">
        <v>37.700000000000003</v>
      </c>
      <c r="AC1578">
        <v>48.92</v>
      </c>
      <c r="AE1578" s="74"/>
      <c r="AF1578" s="80"/>
      <c r="AH1578" s="497">
        <v>28.4</v>
      </c>
      <c r="AJ1578" s="42"/>
      <c r="AK1578" s="74"/>
      <c r="AL1578" s="80"/>
      <c r="AN1578" s="497">
        <v>35.06</v>
      </c>
      <c r="AP1578" s="42"/>
      <c r="AQ1578" s="74"/>
      <c r="AR1578" s="80"/>
      <c r="AT1578" s="497">
        <v>26.060000000000002</v>
      </c>
      <c r="AV1578" s="42"/>
      <c r="AW1578" s="74"/>
      <c r="AX1578" s="80"/>
      <c r="BA1578" s="497">
        <v>8.0599999999999987</v>
      </c>
      <c r="BB1578" s="42"/>
      <c r="BC1578" s="74"/>
      <c r="BD1578" s="80"/>
      <c r="BF1578">
        <v>10.940000000000001</v>
      </c>
      <c r="BH1578" s="42"/>
      <c r="BI1578" s="74"/>
      <c r="BJ1578" s="80"/>
      <c r="BL1578" s="497">
        <v>23</v>
      </c>
      <c r="BN1578" s="42"/>
      <c r="BO1578" s="74"/>
      <c r="BP1578" s="80"/>
      <c r="BR1578" s="497">
        <v>10.940000000000001</v>
      </c>
      <c r="BT1578" s="42"/>
    </row>
    <row r="1579" spans="1:72" x14ac:dyDescent="0.25">
      <c r="A1579" s="90">
        <v>38053</v>
      </c>
      <c r="B1579" s="20">
        <v>4.1666666666666664E-2</v>
      </c>
      <c r="D1579">
        <v>41</v>
      </c>
      <c r="E1579" t="str">
        <f t="shared" si="84"/>
        <v>SUNDAY</v>
      </c>
      <c r="F1579" t="e">
        <f t="shared" ref="F1579:F1642" si="85">IF(E1579="WEEKDAY",VLOOKUP(B1579,$DD$19:$DG$42,2),IF(E1579="SATURDAY",VLOOKUP(B1579,$DD$19:$DG$42,3),VLOOKUP(B1579,$DD$19:$DG$42,4)))</f>
        <v>#N/A</v>
      </c>
      <c r="G1579" s="74">
        <v>32939</v>
      </c>
      <c r="H1579" s="77">
        <v>4.1666666666666664E-2</v>
      </c>
      <c r="J1579">
        <v>19.939999999999998</v>
      </c>
      <c r="M1579" s="74">
        <v>36592</v>
      </c>
      <c r="N1579" s="77">
        <v>4.1666666666666664E-2</v>
      </c>
      <c r="P1579">
        <v>37.4</v>
      </c>
      <c r="S1579" s="74">
        <v>38053</v>
      </c>
      <c r="T1579" s="77">
        <v>4.1666666666666664E-2</v>
      </c>
      <c r="V1579">
        <v>44.06</v>
      </c>
      <c r="X1579" s="42"/>
      <c r="AB1579">
        <v>37.1</v>
      </c>
      <c r="AC1579">
        <v>50</v>
      </c>
      <c r="AE1579" s="74"/>
      <c r="AF1579" s="77"/>
      <c r="AH1579" s="497">
        <v>24.8</v>
      </c>
      <c r="AJ1579" s="42"/>
      <c r="AK1579" s="74"/>
      <c r="AL1579" s="77"/>
      <c r="AN1579" s="497">
        <v>35.06</v>
      </c>
      <c r="AP1579" s="42"/>
      <c r="AQ1579" s="74"/>
      <c r="AR1579" s="77"/>
      <c r="AT1579" s="497">
        <v>26.060000000000002</v>
      </c>
      <c r="AV1579" s="42"/>
      <c r="AW1579" s="74"/>
      <c r="AX1579" s="77"/>
      <c r="BA1579" s="497">
        <v>6.98</v>
      </c>
      <c r="BB1579" s="42"/>
      <c r="BC1579" s="74"/>
      <c r="BD1579" s="77"/>
      <c r="BF1579">
        <v>10.039999999999999</v>
      </c>
      <c r="BH1579" s="42"/>
      <c r="BI1579" s="74"/>
      <c r="BJ1579" s="77"/>
      <c r="BL1579" s="497">
        <v>21.92</v>
      </c>
      <c r="BN1579" s="42"/>
      <c r="BO1579" s="74"/>
      <c r="BP1579" s="77"/>
      <c r="BR1579" s="497">
        <v>10.039999999999999</v>
      </c>
      <c r="BT1579" s="42"/>
    </row>
    <row r="1580" spans="1:72" x14ac:dyDescent="0.25">
      <c r="A1580" s="90">
        <v>38053</v>
      </c>
      <c r="B1580" s="20">
        <v>8.3333333333333329E-2</v>
      </c>
      <c r="D1580">
        <v>41</v>
      </c>
      <c r="E1580" t="str">
        <f t="shared" si="84"/>
        <v>SUNDAY</v>
      </c>
      <c r="F1580" t="e">
        <f t="shared" si="85"/>
        <v>#N/A</v>
      </c>
      <c r="G1580" s="74">
        <v>32939</v>
      </c>
      <c r="H1580" s="77">
        <v>8.3333333333333329E-2</v>
      </c>
      <c r="J1580">
        <v>17.96</v>
      </c>
      <c r="M1580" s="74">
        <v>36592</v>
      </c>
      <c r="N1580" s="77">
        <v>8.3333333333333329E-2</v>
      </c>
      <c r="P1580">
        <v>32</v>
      </c>
      <c r="S1580" s="74">
        <v>38053</v>
      </c>
      <c r="T1580" s="77">
        <v>8.3333333333333329E-2</v>
      </c>
      <c r="V1580">
        <v>44.06</v>
      </c>
      <c r="X1580" s="42"/>
      <c r="AB1580">
        <v>36.5</v>
      </c>
      <c r="AC1580">
        <v>50</v>
      </c>
      <c r="AE1580" s="74"/>
      <c r="AF1580" s="77"/>
      <c r="AH1580" s="497">
        <v>23.36</v>
      </c>
      <c r="AJ1580" s="42"/>
      <c r="AK1580" s="74"/>
      <c r="AL1580" s="77"/>
      <c r="AN1580" s="497">
        <v>32</v>
      </c>
      <c r="AP1580" s="42"/>
      <c r="AQ1580" s="74"/>
      <c r="AR1580" s="77"/>
      <c r="AT1580" s="497">
        <v>26.78</v>
      </c>
      <c r="AV1580" s="42"/>
      <c r="AW1580" s="74"/>
      <c r="AX1580" s="77"/>
      <c r="BA1580" s="497">
        <v>6.0799999999999983</v>
      </c>
      <c r="BB1580" s="42"/>
      <c r="BC1580" s="74"/>
      <c r="BD1580" s="77"/>
      <c r="BF1580">
        <v>8.9599999999999973</v>
      </c>
      <c r="BH1580" s="42"/>
      <c r="BI1580" s="74"/>
      <c r="BJ1580" s="77"/>
      <c r="BL1580" s="497">
        <v>19.939999999999998</v>
      </c>
      <c r="BN1580" s="42"/>
      <c r="BO1580" s="74"/>
      <c r="BP1580" s="77"/>
      <c r="BR1580" s="497">
        <v>10.039999999999999</v>
      </c>
      <c r="BT1580" s="42"/>
    </row>
    <row r="1581" spans="1:72" x14ac:dyDescent="0.25">
      <c r="A1581" s="90">
        <v>38053</v>
      </c>
      <c r="B1581" s="20">
        <v>0.125</v>
      </c>
      <c r="D1581">
        <v>41</v>
      </c>
      <c r="E1581" t="str">
        <f t="shared" si="84"/>
        <v>SUNDAY</v>
      </c>
      <c r="F1581" t="e">
        <f t="shared" si="85"/>
        <v>#N/A</v>
      </c>
      <c r="G1581" s="74">
        <v>32939</v>
      </c>
      <c r="H1581" s="77">
        <v>0.125</v>
      </c>
      <c r="J1581">
        <v>17.059999999999999</v>
      </c>
      <c r="M1581" s="74">
        <v>36592</v>
      </c>
      <c r="N1581" s="77">
        <v>0.125</v>
      </c>
      <c r="P1581">
        <v>31.28</v>
      </c>
      <c r="S1581" s="74">
        <v>38053</v>
      </c>
      <c r="T1581" s="77">
        <v>0.125</v>
      </c>
      <c r="V1581">
        <v>44.06</v>
      </c>
      <c r="X1581" s="42"/>
      <c r="AB1581">
        <v>36</v>
      </c>
      <c r="AC1581">
        <v>50</v>
      </c>
      <c r="AE1581" s="74"/>
      <c r="AF1581" s="77"/>
      <c r="AH1581" s="497">
        <v>22.1</v>
      </c>
      <c r="AJ1581" s="42"/>
      <c r="AK1581" s="74"/>
      <c r="AL1581" s="77"/>
      <c r="AN1581" s="497">
        <v>30.02</v>
      </c>
      <c r="AP1581" s="42"/>
      <c r="AQ1581" s="74"/>
      <c r="AR1581" s="77"/>
      <c r="AT1581" s="497">
        <v>27.32</v>
      </c>
      <c r="AV1581" s="42"/>
      <c r="AW1581" s="74"/>
      <c r="AX1581" s="77"/>
      <c r="BA1581" s="497">
        <v>6.0799999999999983</v>
      </c>
      <c r="BB1581" s="42"/>
      <c r="BC1581" s="74"/>
      <c r="BD1581" s="77"/>
      <c r="BF1581">
        <v>8.9599999999999973</v>
      </c>
      <c r="BH1581" s="42"/>
      <c r="BI1581" s="74"/>
      <c r="BJ1581" s="77"/>
      <c r="BL1581" s="497">
        <v>17.96</v>
      </c>
      <c r="BN1581" s="42"/>
      <c r="BO1581" s="74"/>
      <c r="BP1581" s="77"/>
      <c r="BR1581" s="497">
        <v>5</v>
      </c>
      <c r="BT1581" s="42"/>
    </row>
    <row r="1582" spans="1:72" x14ac:dyDescent="0.25">
      <c r="A1582" s="90">
        <v>38053</v>
      </c>
      <c r="B1582" s="20">
        <v>0.16666666666666666</v>
      </c>
      <c r="D1582">
        <v>39.92</v>
      </c>
      <c r="E1582" t="str">
        <f t="shared" si="84"/>
        <v>SUNDAY</v>
      </c>
      <c r="F1582" t="e">
        <f t="shared" si="85"/>
        <v>#N/A</v>
      </c>
      <c r="G1582" s="74">
        <v>32939</v>
      </c>
      <c r="H1582" s="77">
        <v>0.16666666666666666</v>
      </c>
      <c r="J1582">
        <v>15.079999999999998</v>
      </c>
      <c r="M1582" s="74">
        <v>36592</v>
      </c>
      <c r="N1582" s="77">
        <v>0.16666666666666666</v>
      </c>
      <c r="P1582">
        <v>30.2</v>
      </c>
      <c r="S1582" s="74">
        <v>38053</v>
      </c>
      <c r="T1582" s="77">
        <v>0.16666666666666666</v>
      </c>
      <c r="V1582">
        <v>42.980000000000004</v>
      </c>
      <c r="X1582" s="42"/>
      <c r="AB1582">
        <v>35.6</v>
      </c>
      <c r="AC1582">
        <v>50</v>
      </c>
      <c r="AE1582" s="74"/>
      <c r="AF1582" s="77"/>
      <c r="AH1582" s="497">
        <v>21.2</v>
      </c>
      <c r="AJ1582" s="42"/>
      <c r="AK1582" s="74"/>
      <c r="AL1582" s="77"/>
      <c r="AN1582" s="497">
        <v>28.94</v>
      </c>
      <c r="AP1582" s="42"/>
      <c r="AQ1582" s="74"/>
      <c r="AR1582" s="77"/>
      <c r="AT1582" s="497">
        <v>28.04</v>
      </c>
      <c r="AV1582" s="42"/>
      <c r="AW1582" s="74"/>
      <c r="AX1582" s="77"/>
      <c r="BA1582" s="497">
        <v>3.9200000000000017</v>
      </c>
      <c r="BB1582" s="42"/>
      <c r="BC1582" s="74"/>
      <c r="BD1582" s="77"/>
      <c r="BF1582">
        <v>8.9599999999999973</v>
      </c>
      <c r="BH1582" s="42"/>
      <c r="BI1582" s="74"/>
      <c r="BJ1582" s="77"/>
      <c r="BL1582" s="497">
        <v>17.059999999999999</v>
      </c>
      <c r="BN1582" s="42"/>
      <c r="BO1582" s="74"/>
      <c r="BP1582" s="77"/>
      <c r="BR1582" s="497">
        <v>-3.9999999999999147E-2</v>
      </c>
      <c r="BT1582" s="42"/>
    </row>
    <row r="1583" spans="1:72" x14ac:dyDescent="0.25">
      <c r="A1583" s="90">
        <v>38053</v>
      </c>
      <c r="B1583" s="20">
        <v>0.20833333333333334</v>
      </c>
      <c r="D1583">
        <v>39.92</v>
      </c>
      <c r="E1583" t="str">
        <f t="shared" si="84"/>
        <v>SUNDAY</v>
      </c>
      <c r="F1583" t="e">
        <f t="shared" si="85"/>
        <v>#N/A</v>
      </c>
      <c r="G1583" s="74">
        <v>32939</v>
      </c>
      <c r="H1583" s="77">
        <v>0.20833333333333334</v>
      </c>
      <c r="J1583">
        <v>14</v>
      </c>
      <c r="M1583" s="74">
        <v>36592</v>
      </c>
      <c r="N1583" s="77">
        <v>0.20833333333333334</v>
      </c>
      <c r="P1583">
        <v>28.4</v>
      </c>
      <c r="S1583" s="74">
        <v>38053</v>
      </c>
      <c r="T1583" s="77">
        <v>0.20833333333333334</v>
      </c>
      <c r="V1583">
        <v>42.08</v>
      </c>
      <c r="X1583" s="42"/>
      <c r="AB1583">
        <v>35</v>
      </c>
      <c r="AC1583">
        <v>50</v>
      </c>
      <c r="AE1583" s="74"/>
      <c r="AF1583" s="77"/>
      <c r="AH1583" s="497">
        <v>24.8</v>
      </c>
      <c r="AJ1583" s="42"/>
      <c r="AK1583" s="74"/>
      <c r="AL1583" s="77"/>
      <c r="AN1583" s="497">
        <v>28.04</v>
      </c>
      <c r="AP1583" s="42"/>
      <c r="AQ1583" s="74"/>
      <c r="AR1583" s="77"/>
      <c r="AT1583" s="497">
        <v>27.68</v>
      </c>
      <c r="AV1583" s="42"/>
      <c r="AW1583" s="74"/>
      <c r="AX1583" s="77"/>
      <c r="BA1583" s="497">
        <v>3.019999999999996</v>
      </c>
      <c r="BB1583" s="42"/>
      <c r="BC1583" s="74"/>
      <c r="BD1583" s="77"/>
      <c r="BF1583">
        <v>8.0599999999999987</v>
      </c>
      <c r="BH1583" s="42"/>
      <c r="BI1583" s="74"/>
      <c r="BJ1583" s="77"/>
      <c r="BL1583" s="497">
        <v>15.079999999999998</v>
      </c>
      <c r="BN1583" s="42"/>
      <c r="BO1583" s="74"/>
      <c r="BP1583" s="77"/>
      <c r="BR1583" s="497">
        <v>1.0399999999999991</v>
      </c>
      <c r="BT1583" s="42"/>
    </row>
    <row r="1584" spans="1:72" x14ac:dyDescent="0.25">
      <c r="A1584" s="90">
        <v>38053</v>
      </c>
      <c r="B1584" s="20">
        <v>0.25</v>
      </c>
      <c r="D1584">
        <v>39.019999999999996</v>
      </c>
      <c r="E1584" t="str">
        <f t="shared" si="84"/>
        <v>SUNDAY</v>
      </c>
      <c r="F1584" t="e">
        <f t="shared" si="85"/>
        <v>#N/A</v>
      </c>
      <c r="G1584" s="74">
        <v>32939</v>
      </c>
      <c r="H1584" s="77">
        <v>0.25</v>
      </c>
      <c r="J1584">
        <v>14</v>
      </c>
      <c r="M1584" s="74">
        <v>36592</v>
      </c>
      <c r="N1584" s="77">
        <v>0.25</v>
      </c>
      <c r="P1584">
        <v>28.94</v>
      </c>
      <c r="S1584" s="74">
        <v>38053</v>
      </c>
      <c r="T1584" s="77">
        <v>0.25</v>
      </c>
      <c r="V1584">
        <v>41</v>
      </c>
      <c r="X1584" s="42"/>
      <c r="AB1584">
        <v>34.700000000000003</v>
      </c>
      <c r="AC1584">
        <v>48.92</v>
      </c>
      <c r="AE1584" s="74"/>
      <c r="AF1584" s="77"/>
      <c r="AH1584" s="497">
        <v>23.36</v>
      </c>
      <c r="AJ1584" s="42"/>
      <c r="AK1584" s="74"/>
      <c r="AL1584" s="77"/>
      <c r="AN1584" s="497">
        <v>26.96</v>
      </c>
      <c r="AP1584" s="42"/>
      <c r="AQ1584" s="74"/>
      <c r="AR1584" s="77"/>
      <c r="AT1584" s="497">
        <v>27.32</v>
      </c>
      <c r="AV1584" s="42"/>
      <c r="AW1584" s="74"/>
      <c r="AX1584" s="77"/>
      <c r="BA1584" s="497">
        <v>1.9400000000000013</v>
      </c>
      <c r="BB1584" s="42"/>
      <c r="BC1584" s="74"/>
      <c r="BD1584" s="77"/>
      <c r="BF1584">
        <v>8.0599999999999987</v>
      </c>
      <c r="BH1584" s="42"/>
      <c r="BI1584" s="74"/>
      <c r="BJ1584" s="77"/>
      <c r="BL1584" s="497">
        <v>14</v>
      </c>
      <c r="BN1584" s="42"/>
      <c r="BO1584" s="74"/>
      <c r="BP1584" s="77"/>
      <c r="BR1584" s="497">
        <v>3.019999999999996</v>
      </c>
      <c r="BT1584" s="42"/>
    </row>
    <row r="1585" spans="1:72" x14ac:dyDescent="0.25">
      <c r="A1585" s="90">
        <v>38053</v>
      </c>
      <c r="B1585" s="20">
        <v>0.29166666666666669</v>
      </c>
      <c r="D1585">
        <v>39.92</v>
      </c>
      <c r="E1585" t="str">
        <f t="shared" si="84"/>
        <v>SUNDAY</v>
      </c>
      <c r="F1585" t="e">
        <f t="shared" si="85"/>
        <v>#N/A</v>
      </c>
      <c r="G1585" s="74">
        <v>32939</v>
      </c>
      <c r="H1585" s="77">
        <v>0.29166666666666669</v>
      </c>
      <c r="J1585">
        <v>14</v>
      </c>
      <c r="M1585" s="74">
        <v>36592</v>
      </c>
      <c r="N1585" s="77">
        <v>0.29166666666666669</v>
      </c>
      <c r="P1585">
        <v>30.2</v>
      </c>
      <c r="S1585" s="74">
        <v>38053</v>
      </c>
      <c r="T1585" s="77">
        <v>0.29166666666666669</v>
      </c>
      <c r="V1585">
        <v>41</v>
      </c>
      <c r="X1585" s="42"/>
      <c r="AB1585">
        <v>34.5</v>
      </c>
      <c r="AC1585">
        <v>48.019999999999996</v>
      </c>
      <c r="AE1585" s="74"/>
      <c r="AF1585" s="77"/>
      <c r="AH1585" s="497">
        <v>23</v>
      </c>
      <c r="AJ1585" s="42"/>
      <c r="AK1585" s="74"/>
      <c r="AL1585" s="77"/>
      <c r="AN1585" s="497">
        <v>26.96</v>
      </c>
      <c r="AP1585" s="42"/>
      <c r="AQ1585" s="74"/>
      <c r="AR1585" s="77"/>
      <c r="AT1585" s="497">
        <v>26.96</v>
      </c>
      <c r="AV1585" s="42"/>
      <c r="AW1585" s="74"/>
      <c r="AX1585" s="77"/>
      <c r="BA1585" s="497">
        <v>1.9400000000000013</v>
      </c>
      <c r="BB1585" s="42"/>
      <c r="BC1585" s="74"/>
      <c r="BD1585" s="77"/>
      <c r="BF1585">
        <v>8.0599999999999987</v>
      </c>
      <c r="BH1585" s="42"/>
      <c r="BI1585" s="74"/>
      <c r="BJ1585" s="77"/>
      <c r="BL1585" s="497">
        <v>12.920000000000002</v>
      </c>
      <c r="BN1585" s="42"/>
      <c r="BO1585" s="74"/>
      <c r="BP1585" s="77"/>
      <c r="BR1585" s="497">
        <v>12.02</v>
      </c>
      <c r="BT1585" s="42"/>
    </row>
    <row r="1586" spans="1:72" x14ac:dyDescent="0.25">
      <c r="A1586" s="90">
        <v>38053</v>
      </c>
      <c r="B1586" s="20">
        <v>0.33333333333333331</v>
      </c>
      <c r="D1586">
        <v>41</v>
      </c>
      <c r="E1586" t="str">
        <f t="shared" si="84"/>
        <v>SUNDAY</v>
      </c>
      <c r="F1586" t="e">
        <f t="shared" si="85"/>
        <v>#N/A</v>
      </c>
      <c r="G1586" s="74">
        <v>32939</v>
      </c>
      <c r="H1586" s="77">
        <v>0.33333333333333331</v>
      </c>
      <c r="J1586">
        <v>15.98</v>
      </c>
      <c r="M1586" s="74">
        <v>36592</v>
      </c>
      <c r="N1586" s="77">
        <v>0.33333333333333331</v>
      </c>
      <c r="P1586">
        <v>37.4</v>
      </c>
      <c r="S1586" s="74">
        <v>38053</v>
      </c>
      <c r="T1586" s="77">
        <v>0.33333333333333331</v>
      </c>
      <c r="V1586">
        <v>41</v>
      </c>
      <c r="X1586" s="42"/>
      <c r="AB1586">
        <v>34.799999999999997</v>
      </c>
      <c r="AC1586">
        <v>50</v>
      </c>
      <c r="AE1586" s="74"/>
      <c r="AF1586" s="77"/>
      <c r="AH1586" s="497">
        <v>30.2</v>
      </c>
      <c r="AJ1586" s="42"/>
      <c r="AK1586" s="74"/>
      <c r="AL1586" s="77"/>
      <c r="AN1586" s="497">
        <v>26.96</v>
      </c>
      <c r="AP1586" s="42"/>
      <c r="AQ1586" s="74"/>
      <c r="AR1586" s="77"/>
      <c r="AT1586" s="497">
        <v>30.38</v>
      </c>
      <c r="AV1586" s="42"/>
      <c r="AW1586" s="74"/>
      <c r="AX1586" s="77"/>
      <c r="BA1586" s="497">
        <v>10.039999999999999</v>
      </c>
      <c r="BB1586" s="42"/>
      <c r="BC1586" s="74"/>
      <c r="BD1586" s="77"/>
      <c r="BF1586">
        <v>12.02</v>
      </c>
      <c r="BH1586" s="42"/>
      <c r="BI1586" s="74"/>
      <c r="BJ1586" s="77"/>
      <c r="BL1586" s="497">
        <v>12.02</v>
      </c>
      <c r="BN1586" s="42"/>
      <c r="BO1586" s="74"/>
      <c r="BP1586" s="77"/>
      <c r="BR1586" s="497">
        <v>14</v>
      </c>
      <c r="BT1586" s="42"/>
    </row>
    <row r="1587" spans="1:72" x14ac:dyDescent="0.25">
      <c r="A1587" s="90">
        <v>38053</v>
      </c>
      <c r="B1587" s="20">
        <v>0.375</v>
      </c>
      <c r="D1587">
        <v>42.980000000000004</v>
      </c>
      <c r="E1587" t="str">
        <f t="shared" si="84"/>
        <v>SUNDAY</v>
      </c>
      <c r="F1587" t="e">
        <f t="shared" si="85"/>
        <v>#N/A</v>
      </c>
      <c r="G1587" s="74">
        <v>32939</v>
      </c>
      <c r="H1587" s="77">
        <v>0.375</v>
      </c>
      <c r="J1587">
        <v>19.04</v>
      </c>
      <c r="M1587" s="74">
        <v>36592</v>
      </c>
      <c r="N1587" s="77">
        <v>0.375</v>
      </c>
      <c r="P1587">
        <v>44.6</v>
      </c>
      <c r="S1587" s="74">
        <v>38053</v>
      </c>
      <c r="T1587" s="77">
        <v>0.375</v>
      </c>
      <c r="V1587">
        <v>42.980000000000004</v>
      </c>
      <c r="X1587" s="42"/>
      <c r="AB1587">
        <v>36.6</v>
      </c>
      <c r="AC1587">
        <v>55.94</v>
      </c>
      <c r="AE1587" s="74"/>
      <c r="AF1587" s="77"/>
      <c r="AH1587" s="497">
        <v>33.799999999999997</v>
      </c>
      <c r="AJ1587" s="42"/>
      <c r="AK1587" s="74"/>
      <c r="AL1587" s="77"/>
      <c r="AN1587" s="497">
        <v>28.04</v>
      </c>
      <c r="AP1587" s="42"/>
      <c r="AQ1587" s="74"/>
      <c r="AR1587" s="77"/>
      <c r="AT1587" s="497">
        <v>33.619999999999997</v>
      </c>
      <c r="AV1587" s="42"/>
      <c r="AW1587" s="74"/>
      <c r="AX1587" s="77"/>
      <c r="BA1587" s="497">
        <v>14</v>
      </c>
      <c r="BB1587" s="42"/>
      <c r="BC1587" s="74"/>
      <c r="BD1587" s="77"/>
      <c r="BF1587">
        <v>15.079999999999998</v>
      </c>
      <c r="BH1587" s="42"/>
      <c r="BI1587" s="74"/>
      <c r="BJ1587" s="77"/>
      <c r="BL1587" s="497">
        <v>12.02</v>
      </c>
      <c r="BN1587" s="42"/>
      <c r="BO1587" s="74"/>
      <c r="BP1587" s="77"/>
      <c r="BR1587" s="497">
        <v>19.939999999999998</v>
      </c>
      <c r="BT1587" s="42"/>
    </row>
    <row r="1588" spans="1:72" x14ac:dyDescent="0.25">
      <c r="A1588" s="90">
        <v>38053</v>
      </c>
      <c r="B1588" s="20">
        <v>0.41666666666666669</v>
      </c>
      <c r="D1588">
        <v>46.04</v>
      </c>
      <c r="E1588" t="str">
        <f t="shared" si="84"/>
        <v>SUNDAY</v>
      </c>
      <c r="F1588" t="e">
        <f t="shared" si="85"/>
        <v>#N/A</v>
      </c>
      <c r="G1588" s="74">
        <v>32939</v>
      </c>
      <c r="H1588" s="77">
        <v>0.41666666666666669</v>
      </c>
      <c r="J1588">
        <v>21.92</v>
      </c>
      <c r="M1588" s="74">
        <v>36592</v>
      </c>
      <c r="N1588" s="77">
        <v>0.41666666666666669</v>
      </c>
      <c r="P1588">
        <v>48.2</v>
      </c>
      <c r="S1588" s="74">
        <v>38053</v>
      </c>
      <c r="T1588" s="77">
        <v>0.41666666666666669</v>
      </c>
      <c r="V1588">
        <v>46.04</v>
      </c>
      <c r="X1588" s="42"/>
      <c r="AB1588">
        <v>38.299999999999997</v>
      </c>
      <c r="AC1588">
        <v>57.019999999999996</v>
      </c>
      <c r="AE1588" s="74"/>
      <c r="AF1588" s="77"/>
      <c r="AH1588" s="497">
        <v>44.6</v>
      </c>
      <c r="AJ1588" s="42"/>
      <c r="AK1588" s="74"/>
      <c r="AL1588" s="77"/>
      <c r="AN1588" s="497">
        <v>28.94</v>
      </c>
      <c r="AP1588" s="42"/>
      <c r="AQ1588" s="74"/>
      <c r="AR1588" s="77"/>
      <c r="AT1588" s="497">
        <v>37.04</v>
      </c>
      <c r="AV1588" s="42"/>
      <c r="AW1588" s="74"/>
      <c r="AX1588" s="77"/>
      <c r="BA1588" s="497">
        <v>17.96</v>
      </c>
      <c r="BB1588" s="42"/>
      <c r="BC1588" s="74"/>
      <c r="BD1588" s="77"/>
      <c r="BF1588">
        <v>19.04</v>
      </c>
      <c r="BH1588" s="42"/>
      <c r="BI1588" s="74"/>
      <c r="BJ1588" s="77"/>
      <c r="BL1588" s="497">
        <v>10.940000000000001</v>
      </c>
      <c r="BN1588" s="42"/>
      <c r="BO1588" s="74"/>
      <c r="BP1588" s="77"/>
      <c r="BR1588" s="497">
        <v>30.92</v>
      </c>
      <c r="BT1588" s="42"/>
    </row>
    <row r="1589" spans="1:72" x14ac:dyDescent="0.25">
      <c r="A1589" s="90">
        <v>38053</v>
      </c>
      <c r="B1589" s="20">
        <v>0.45833333333333331</v>
      </c>
      <c r="D1589">
        <v>51.980000000000004</v>
      </c>
      <c r="E1589" t="str">
        <f t="shared" si="84"/>
        <v>SUNDAY</v>
      </c>
      <c r="F1589" t="e">
        <f t="shared" si="85"/>
        <v>#N/A</v>
      </c>
      <c r="G1589" s="74">
        <v>32939</v>
      </c>
      <c r="H1589" s="77">
        <v>0.45833333333333331</v>
      </c>
      <c r="J1589">
        <v>23</v>
      </c>
      <c r="M1589" s="74">
        <v>36592</v>
      </c>
      <c r="N1589" s="77">
        <v>0.45833333333333331</v>
      </c>
      <c r="P1589">
        <v>53.6</v>
      </c>
      <c r="S1589" s="74">
        <v>38053</v>
      </c>
      <c r="T1589" s="77">
        <v>0.45833333333333331</v>
      </c>
      <c r="V1589">
        <v>46.04</v>
      </c>
      <c r="X1589" s="42"/>
      <c r="AB1589">
        <v>39.9</v>
      </c>
      <c r="AC1589">
        <v>55.94</v>
      </c>
      <c r="AE1589" s="74"/>
      <c r="AF1589" s="77"/>
      <c r="AH1589" s="497">
        <v>49.1</v>
      </c>
      <c r="AJ1589" s="42"/>
      <c r="AK1589" s="74"/>
      <c r="AL1589" s="77"/>
      <c r="AN1589" s="497">
        <v>30.02</v>
      </c>
      <c r="AP1589" s="42"/>
      <c r="AQ1589" s="74"/>
      <c r="AR1589" s="77"/>
      <c r="AT1589" s="497">
        <v>37.04</v>
      </c>
      <c r="AV1589" s="42"/>
      <c r="AW1589" s="74"/>
      <c r="AX1589" s="77"/>
      <c r="BA1589" s="497">
        <v>21.02</v>
      </c>
      <c r="BB1589" s="42"/>
      <c r="BC1589" s="74"/>
      <c r="BD1589" s="77"/>
      <c r="BF1589">
        <v>21.02</v>
      </c>
      <c r="BH1589" s="42"/>
      <c r="BI1589" s="74"/>
      <c r="BJ1589" s="77"/>
      <c r="BL1589" s="497">
        <v>10.940000000000001</v>
      </c>
      <c r="BN1589" s="42"/>
      <c r="BO1589" s="74"/>
      <c r="BP1589" s="77"/>
      <c r="BR1589" s="497">
        <v>35.06</v>
      </c>
      <c r="BT1589" s="42"/>
    </row>
    <row r="1590" spans="1:72" x14ac:dyDescent="0.25">
      <c r="A1590" s="90">
        <v>38053</v>
      </c>
      <c r="B1590" s="20">
        <v>0.5</v>
      </c>
      <c r="D1590">
        <v>51.08</v>
      </c>
      <c r="E1590" t="str">
        <f t="shared" si="84"/>
        <v>SUNDAY</v>
      </c>
      <c r="F1590" t="e">
        <f t="shared" si="85"/>
        <v>#N/A</v>
      </c>
      <c r="G1590" s="74">
        <v>32939</v>
      </c>
      <c r="H1590" s="77">
        <v>0.5</v>
      </c>
      <c r="J1590">
        <v>24.98</v>
      </c>
      <c r="M1590" s="74">
        <v>36592</v>
      </c>
      <c r="N1590" s="77">
        <v>0.5</v>
      </c>
      <c r="P1590">
        <v>57.2</v>
      </c>
      <c r="S1590" s="74">
        <v>38053</v>
      </c>
      <c r="T1590" s="77">
        <v>0.5</v>
      </c>
      <c r="V1590">
        <v>46.94</v>
      </c>
      <c r="X1590" s="42"/>
      <c r="AB1590">
        <v>41.3</v>
      </c>
      <c r="AC1590">
        <v>55.94</v>
      </c>
      <c r="AE1590" s="74"/>
      <c r="AF1590" s="77"/>
      <c r="AH1590" s="497">
        <v>53.6</v>
      </c>
      <c r="AJ1590" s="42"/>
      <c r="AK1590" s="74"/>
      <c r="AL1590" s="77"/>
      <c r="AN1590" s="497">
        <v>33.979999999999997</v>
      </c>
      <c r="AP1590" s="42"/>
      <c r="AQ1590" s="74"/>
      <c r="AR1590" s="77"/>
      <c r="AT1590" s="497">
        <v>37.04</v>
      </c>
      <c r="AV1590" s="42"/>
      <c r="AW1590" s="74"/>
      <c r="AX1590" s="77"/>
      <c r="BA1590" s="497">
        <v>23</v>
      </c>
      <c r="BB1590" s="42"/>
      <c r="BC1590" s="74"/>
      <c r="BD1590" s="77"/>
      <c r="BF1590">
        <v>24.08</v>
      </c>
      <c r="BH1590" s="42"/>
      <c r="BI1590" s="74"/>
      <c r="BJ1590" s="77"/>
      <c r="BL1590" s="497">
        <v>8.9599999999999973</v>
      </c>
      <c r="BN1590" s="42"/>
      <c r="BO1590" s="74"/>
      <c r="BP1590" s="77"/>
      <c r="BR1590" s="497">
        <v>37.04</v>
      </c>
      <c r="BT1590" s="42"/>
    </row>
    <row r="1591" spans="1:72" x14ac:dyDescent="0.25">
      <c r="A1591" s="90">
        <v>38053</v>
      </c>
      <c r="B1591" s="20">
        <v>0.54166666666666663</v>
      </c>
      <c r="D1591">
        <v>50</v>
      </c>
      <c r="E1591" t="str">
        <f t="shared" si="84"/>
        <v>SUNDAY</v>
      </c>
      <c r="F1591" t="e">
        <f t="shared" si="85"/>
        <v>#N/A</v>
      </c>
      <c r="G1591" s="74">
        <v>32939</v>
      </c>
      <c r="H1591" s="77">
        <v>0.54166666666666663</v>
      </c>
      <c r="J1591">
        <v>26.96</v>
      </c>
      <c r="M1591" s="74">
        <v>36592</v>
      </c>
      <c r="N1591" s="77">
        <v>0.54166666666666663</v>
      </c>
      <c r="P1591">
        <v>59</v>
      </c>
      <c r="S1591" s="74">
        <v>38053</v>
      </c>
      <c r="T1591" s="77">
        <v>0.54166666666666663</v>
      </c>
      <c r="V1591">
        <v>48.92</v>
      </c>
      <c r="X1591" s="42"/>
      <c r="AB1591">
        <v>42.2</v>
      </c>
      <c r="AC1591">
        <v>55.040000000000006</v>
      </c>
      <c r="AE1591" s="74"/>
      <c r="AF1591" s="77"/>
      <c r="AH1591" s="497">
        <v>59</v>
      </c>
      <c r="AJ1591" s="42"/>
      <c r="AK1591" s="74"/>
      <c r="AL1591" s="77"/>
      <c r="AN1591" s="497">
        <v>35.96</v>
      </c>
      <c r="AP1591" s="42"/>
      <c r="AQ1591" s="74"/>
      <c r="AR1591" s="77"/>
      <c r="AT1591" s="497">
        <v>37.04</v>
      </c>
      <c r="AV1591" s="42"/>
      <c r="AW1591" s="74"/>
      <c r="AX1591" s="77"/>
      <c r="BA1591" s="497">
        <v>26.060000000000002</v>
      </c>
      <c r="BB1591" s="42"/>
      <c r="BC1591" s="74"/>
      <c r="BD1591" s="77"/>
      <c r="BF1591">
        <v>26.060000000000002</v>
      </c>
      <c r="BH1591" s="42"/>
      <c r="BI1591" s="74"/>
      <c r="BJ1591" s="77"/>
      <c r="BL1591" s="497">
        <v>10.039999999999999</v>
      </c>
      <c r="BN1591" s="42"/>
      <c r="BO1591" s="74"/>
      <c r="BP1591" s="77"/>
      <c r="BR1591" s="497">
        <v>37.94</v>
      </c>
      <c r="BT1591" s="42"/>
    </row>
    <row r="1592" spans="1:72" x14ac:dyDescent="0.25">
      <c r="A1592" s="90">
        <v>38053</v>
      </c>
      <c r="B1592" s="20">
        <v>0.58333333333333337</v>
      </c>
      <c r="D1592">
        <v>50</v>
      </c>
      <c r="E1592" t="str">
        <f t="shared" si="84"/>
        <v>SUNDAY</v>
      </c>
      <c r="F1592" t="e">
        <f t="shared" si="85"/>
        <v>#N/A</v>
      </c>
      <c r="G1592" s="74">
        <v>32939</v>
      </c>
      <c r="H1592" s="77">
        <v>0.58333333333333337</v>
      </c>
      <c r="J1592">
        <v>28.94</v>
      </c>
      <c r="M1592" s="74">
        <v>36592</v>
      </c>
      <c r="N1592" s="77">
        <v>0.58333333333333337</v>
      </c>
      <c r="P1592">
        <v>62.6</v>
      </c>
      <c r="S1592" s="74">
        <v>38053</v>
      </c>
      <c r="T1592" s="77">
        <v>0.58333333333333337</v>
      </c>
      <c r="V1592">
        <v>50</v>
      </c>
      <c r="X1592" s="42"/>
      <c r="AB1592">
        <v>43</v>
      </c>
      <c r="AC1592">
        <v>50</v>
      </c>
      <c r="AE1592" s="74"/>
      <c r="AF1592" s="77"/>
      <c r="AH1592" s="497">
        <v>62.6</v>
      </c>
      <c r="AJ1592" s="42"/>
      <c r="AK1592" s="74"/>
      <c r="AL1592" s="77"/>
      <c r="AN1592" s="497">
        <v>39.019999999999996</v>
      </c>
      <c r="AP1592" s="42"/>
      <c r="AQ1592" s="74"/>
      <c r="AR1592" s="77"/>
      <c r="AT1592" s="497">
        <v>36.32</v>
      </c>
      <c r="AV1592" s="42"/>
      <c r="AW1592" s="74"/>
      <c r="AX1592" s="77"/>
      <c r="BA1592" s="497">
        <v>28.04</v>
      </c>
      <c r="BB1592" s="42"/>
      <c r="BC1592" s="74"/>
      <c r="BD1592" s="77"/>
      <c r="BF1592">
        <v>26.96</v>
      </c>
      <c r="BH1592" s="42"/>
      <c r="BI1592" s="74"/>
      <c r="BJ1592" s="77"/>
      <c r="BL1592" s="497">
        <v>10.940000000000001</v>
      </c>
      <c r="BN1592" s="42"/>
      <c r="BO1592" s="74"/>
      <c r="BP1592" s="77"/>
      <c r="BR1592" s="497">
        <v>41</v>
      </c>
      <c r="BT1592" s="42"/>
    </row>
    <row r="1593" spans="1:72" x14ac:dyDescent="0.25">
      <c r="A1593" s="90">
        <v>38053</v>
      </c>
      <c r="B1593" s="20">
        <v>0.625</v>
      </c>
      <c r="D1593">
        <v>50</v>
      </c>
      <c r="E1593" t="str">
        <f t="shared" si="84"/>
        <v>SUNDAY</v>
      </c>
      <c r="F1593" t="e">
        <f t="shared" si="85"/>
        <v>#N/A</v>
      </c>
      <c r="G1593" s="74">
        <v>32939</v>
      </c>
      <c r="H1593" s="77">
        <v>0.625</v>
      </c>
      <c r="J1593">
        <v>30.02</v>
      </c>
      <c r="M1593" s="74">
        <v>36592</v>
      </c>
      <c r="N1593" s="77">
        <v>0.625</v>
      </c>
      <c r="P1593">
        <v>62.6</v>
      </c>
      <c r="S1593" s="74">
        <v>38053</v>
      </c>
      <c r="T1593" s="77">
        <v>0.625</v>
      </c>
      <c r="V1593">
        <v>50</v>
      </c>
      <c r="X1593" s="42"/>
      <c r="AB1593">
        <v>43.5</v>
      </c>
      <c r="AC1593">
        <v>48.019999999999996</v>
      </c>
      <c r="AE1593" s="74"/>
      <c r="AF1593" s="77"/>
      <c r="AH1593" s="497">
        <v>64.400000000000006</v>
      </c>
      <c r="AJ1593" s="42"/>
      <c r="AK1593" s="74"/>
      <c r="AL1593" s="77"/>
      <c r="AN1593" s="497">
        <v>39.019999999999996</v>
      </c>
      <c r="AP1593" s="42"/>
      <c r="AQ1593" s="74"/>
      <c r="AR1593" s="77"/>
      <c r="AT1593" s="497">
        <v>35.78</v>
      </c>
      <c r="AV1593" s="42"/>
      <c r="AW1593" s="74"/>
      <c r="AX1593" s="77"/>
      <c r="BA1593" s="497">
        <v>28.04</v>
      </c>
      <c r="BB1593" s="42"/>
      <c r="BC1593" s="74"/>
      <c r="BD1593" s="77"/>
      <c r="BF1593">
        <v>28.04</v>
      </c>
      <c r="BH1593" s="42"/>
      <c r="BI1593" s="74"/>
      <c r="BJ1593" s="77"/>
      <c r="BL1593" s="497">
        <v>10.039999999999999</v>
      </c>
      <c r="BN1593" s="42"/>
      <c r="BO1593" s="74"/>
      <c r="BP1593" s="77"/>
      <c r="BR1593" s="497">
        <v>39.92</v>
      </c>
      <c r="BT1593" s="42"/>
    </row>
    <row r="1594" spans="1:72" x14ac:dyDescent="0.25">
      <c r="A1594" s="90">
        <v>38053</v>
      </c>
      <c r="B1594" s="20">
        <v>0.66666666666666663</v>
      </c>
      <c r="D1594">
        <v>51.980000000000004</v>
      </c>
      <c r="E1594" t="str">
        <f t="shared" si="84"/>
        <v>SUNDAY</v>
      </c>
      <c r="F1594" t="e">
        <f t="shared" si="85"/>
        <v>#N/A</v>
      </c>
      <c r="G1594" s="74">
        <v>32939</v>
      </c>
      <c r="H1594" s="77">
        <v>0.66666666666666663</v>
      </c>
      <c r="J1594">
        <v>32</v>
      </c>
      <c r="M1594" s="74">
        <v>36592</v>
      </c>
      <c r="N1594" s="77">
        <v>0.66666666666666663</v>
      </c>
      <c r="P1594">
        <v>64.400000000000006</v>
      </c>
      <c r="S1594" s="74">
        <v>38053</v>
      </c>
      <c r="T1594" s="77">
        <v>0.66666666666666663</v>
      </c>
      <c r="V1594">
        <v>46.94</v>
      </c>
      <c r="X1594" s="42"/>
      <c r="AB1594">
        <v>43.7</v>
      </c>
      <c r="AC1594">
        <v>50</v>
      </c>
      <c r="AE1594" s="74"/>
      <c r="AF1594" s="77"/>
      <c r="AH1594" s="497">
        <v>62.6</v>
      </c>
      <c r="AJ1594" s="42"/>
      <c r="AK1594" s="74"/>
      <c r="AL1594" s="77"/>
      <c r="AN1594" s="497">
        <v>39.92</v>
      </c>
      <c r="AP1594" s="42"/>
      <c r="AQ1594" s="74"/>
      <c r="AR1594" s="77"/>
      <c r="AT1594" s="497">
        <v>35.06</v>
      </c>
      <c r="AV1594" s="42"/>
      <c r="AW1594" s="74"/>
      <c r="AX1594" s="77"/>
      <c r="BA1594" s="497">
        <v>28.94</v>
      </c>
      <c r="BB1594" s="42"/>
      <c r="BC1594" s="74"/>
      <c r="BD1594" s="77"/>
      <c r="BF1594">
        <v>28.94</v>
      </c>
      <c r="BH1594" s="42"/>
      <c r="BI1594" s="74"/>
      <c r="BJ1594" s="77"/>
      <c r="BL1594" s="497">
        <v>10.039999999999999</v>
      </c>
      <c r="BN1594" s="42"/>
      <c r="BO1594" s="74"/>
      <c r="BP1594" s="77"/>
      <c r="BR1594" s="497">
        <v>37.04</v>
      </c>
      <c r="BT1594" s="42"/>
    </row>
    <row r="1595" spans="1:72" x14ac:dyDescent="0.25">
      <c r="A1595" s="90">
        <v>38053</v>
      </c>
      <c r="B1595" s="20">
        <v>0.70833333333333337</v>
      </c>
      <c r="D1595">
        <v>51.08</v>
      </c>
      <c r="E1595" t="str">
        <f t="shared" si="84"/>
        <v>SUNDAY</v>
      </c>
      <c r="F1595" t="e">
        <f t="shared" si="85"/>
        <v>#N/A</v>
      </c>
      <c r="G1595" s="74">
        <v>32939</v>
      </c>
      <c r="H1595" s="77">
        <v>0.70833333333333337</v>
      </c>
      <c r="J1595">
        <v>32</v>
      </c>
      <c r="M1595" s="74">
        <v>36592</v>
      </c>
      <c r="N1595" s="77">
        <v>0.70833333333333337</v>
      </c>
      <c r="P1595">
        <v>62.6</v>
      </c>
      <c r="S1595" s="74">
        <v>38053</v>
      </c>
      <c r="T1595" s="77">
        <v>0.70833333333333337</v>
      </c>
      <c r="V1595">
        <v>42.980000000000004</v>
      </c>
      <c r="X1595" s="42"/>
      <c r="AB1595">
        <v>43.3</v>
      </c>
      <c r="AC1595">
        <v>48.019999999999996</v>
      </c>
      <c r="AE1595" s="74"/>
      <c r="AF1595" s="77"/>
      <c r="AH1595" s="497">
        <v>62.6</v>
      </c>
      <c r="AJ1595" s="42"/>
      <c r="AK1595" s="74"/>
      <c r="AL1595" s="77"/>
      <c r="AN1595" s="497">
        <v>39.92</v>
      </c>
      <c r="AP1595" s="42"/>
      <c r="AQ1595" s="74"/>
      <c r="AR1595" s="77"/>
      <c r="AT1595" s="497">
        <v>33.08</v>
      </c>
      <c r="AV1595" s="42"/>
      <c r="AW1595" s="74"/>
      <c r="AX1595" s="77"/>
      <c r="BA1595" s="497">
        <v>28.04</v>
      </c>
      <c r="BB1595" s="42"/>
      <c r="BC1595" s="74"/>
      <c r="BD1595" s="77"/>
      <c r="BF1595">
        <v>28.04</v>
      </c>
      <c r="BH1595" s="42"/>
      <c r="BI1595" s="74"/>
      <c r="BJ1595" s="77"/>
      <c r="BL1595" s="497">
        <v>8.9599999999999973</v>
      </c>
      <c r="BN1595" s="42"/>
      <c r="BO1595" s="74"/>
      <c r="BP1595" s="77"/>
      <c r="BR1595" s="497">
        <v>35.06</v>
      </c>
      <c r="BT1595" s="42"/>
    </row>
    <row r="1596" spans="1:72" x14ac:dyDescent="0.25">
      <c r="A1596" s="90">
        <v>38053</v>
      </c>
      <c r="B1596" s="20">
        <v>0.75</v>
      </c>
      <c r="D1596">
        <v>51.08</v>
      </c>
      <c r="E1596" t="str">
        <f t="shared" si="84"/>
        <v>SUNDAY</v>
      </c>
      <c r="F1596" t="e">
        <f t="shared" si="85"/>
        <v>#N/A</v>
      </c>
      <c r="G1596" s="74">
        <v>32939</v>
      </c>
      <c r="H1596" s="77">
        <v>0.75</v>
      </c>
      <c r="J1596">
        <v>32</v>
      </c>
      <c r="M1596" s="74">
        <v>36592</v>
      </c>
      <c r="N1596" s="77">
        <v>0.75</v>
      </c>
      <c r="P1596">
        <v>55.400000000000006</v>
      </c>
      <c r="S1596" s="74">
        <v>38053</v>
      </c>
      <c r="T1596" s="77">
        <v>0.75</v>
      </c>
      <c r="V1596">
        <v>42.08</v>
      </c>
      <c r="X1596" s="42"/>
      <c r="AB1596">
        <v>42.4</v>
      </c>
      <c r="AC1596">
        <v>44.06</v>
      </c>
      <c r="AE1596" s="74"/>
      <c r="AF1596" s="77"/>
      <c r="AH1596" s="497">
        <v>60.8</v>
      </c>
      <c r="AJ1596" s="42"/>
      <c r="AK1596" s="74"/>
      <c r="AL1596" s="77"/>
      <c r="AN1596" s="497">
        <v>39.019999999999996</v>
      </c>
      <c r="AP1596" s="42"/>
      <c r="AQ1596" s="74"/>
      <c r="AR1596" s="77"/>
      <c r="AT1596" s="497">
        <v>30.92</v>
      </c>
      <c r="AV1596" s="42"/>
      <c r="AW1596" s="74"/>
      <c r="AX1596" s="77"/>
      <c r="BA1596" s="497">
        <v>24.98</v>
      </c>
      <c r="BB1596" s="42"/>
      <c r="BC1596" s="74"/>
      <c r="BD1596" s="77"/>
      <c r="BF1596">
        <v>26.060000000000002</v>
      </c>
      <c r="BH1596" s="42"/>
      <c r="BI1596" s="74"/>
      <c r="BJ1596" s="77"/>
      <c r="BL1596" s="497">
        <v>8.0599999999999987</v>
      </c>
      <c r="BN1596" s="42"/>
      <c r="BO1596" s="74"/>
      <c r="BP1596" s="77"/>
      <c r="BR1596" s="497">
        <v>33.979999999999997</v>
      </c>
      <c r="BT1596" s="42"/>
    </row>
    <row r="1597" spans="1:72" x14ac:dyDescent="0.25">
      <c r="A1597" s="90">
        <v>38053</v>
      </c>
      <c r="B1597" s="20">
        <v>0.79166666666666663</v>
      </c>
      <c r="D1597">
        <v>51.08</v>
      </c>
      <c r="E1597" t="str">
        <f t="shared" si="84"/>
        <v>SUNDAY</v>
      </c>
      <c r="F1597" t="e">
        <f t="shared" si="85"/>
        <v>#N/A</v>
      </c>
      <c r="G1597" s="74">
        <v>32939</v>
      </c>
      <c r="H1597" s="77">
        <v>0.79166666666666663</v>
      </c>
      <c r="J1597">
        <v>32</v>
      </c>
      <c r="M1597" s="74">
        <v>36592</v>
      </c>
      <c r="N1597" s="77">
        <v>0.79166666666666663</v>
      </c>
      <c r="P1597">
        <v>53.6</v>
      </c>
      <c r="S1597" s="74">
        <v>38053</v>
      </c>
      <c r="T1597" s="77">
        <v>0.79166666666666663</v>
      </c>
      <c r="V1597">
        <v>42.08</v>
      </c>
      <c r="X1597" s="42"/>
      <c r="AB1597">
        <v>41</v>
      </c>
      <c r="AC1597">
        <v>42.08</v>
      </c>
      <c r="AE1597" s="74"/>
      <c r="AF1597" s="77"/>
      <c r="AH1597" s="497">
        <v>60.8</v>
      </c>
      <c r="AJ1597" s="42"/>
      <c r="AK1597" s="74"/>
      <c r="AL1597" s="77"/>
      <c r="AN1597" s="497">
        <v>37.04</v>
      </c>
      <c r="AP1597" s="42"/>
      <c r="AQ1597" s="74"/>
      <c r="AR1597" s="77"/>
      <c r="AT1597" s="497">
        <v>28.94</v>
      </c>
      <c r="AV1597" s="42"/>
      <c r="AW1597" s="74"/>
      <c r="AX1597" s="77"/>
      <c r="BA1597" s="497">
        <v>21.92</v>
      </c>
      <c r="BB1597" s="42"/>
      <c r="BC1597" s="74"/>
      <c r="BD1597" s="77"/>
      <c r="BF1597">
        <v>21.92</v>
      </c>
      <c r="BH1597" s="42"/>
      <c r="BI1597" s="74"/>
      <c r="BJ1597" s="77"/>
      <c r="BL1597" s="497">
        <v>8.9599999999999973</v>
      </c>
      <c r="BN1597" s="42"/>
      <c r="BO1597" s="74"/>
      <c r="BP1597" s="77"/>
      <c r="BR1597" s="497">
        <v>33.08</v>
      </c>
      <c r="BT1597" s="42"/>
    </row>
    <row r="1598" spans="1:72" x14ac:dyDescent="0.25">
      <c r="A1598" s="90">
        <v>38053</v>
      </c>
      <c r="B1598" s="20">
        <v>0.83333333333333337</v>
      </c>
      <c r="D1598">
        <v>50</v>
      </c>
      <c r="E1598" t="str">
        <f t="shared" si="84"/>
        <v>SUNDAY</v>
      </c>
      <c r="F1598" t="e">
        <f t="shared" si="85"/>
        <v>#N/A</v>
      </c>
      <c r="G1598" s="74">
        <v>32939</v>
      </c>
      <c r="H1598" s="77">
        <v>0.83333333333333337</v>
      </c>
      <c r="J1598">
        <v>30.92</v>
      </c>
      <c r="M1598" s="74">
        <v>36592</v>
      </c>
      <c r="N1598" s="77">
        <v>0.83333333333333337</v>
      </c>
      <c r="P1598">
        <v>51.8</v>
      </c>
      <c r="S1598" s="74">
        <v>38053</v>
      </c>
      <c r="T1598" s="77">
        <v>0.83333333333333337</v>
      </c>
      <c r="V1598">
        <v>41</v>
      </c>
      <c r="X1598" s="42"/>
      <c r="AB1598">
        <v>40.299999999999997</v>
      </c>
      <c r="AC1598">
        <v>41</v>
      </c>
      <c r="AE1598" s="74"/>
      <c r="AF1598" s="77"/>
      <c r="AH1598" s="497">
        <v>57.019999999999996</v>
      </c>
      <c r="AJ1598" s="42"/>
      <c r="AK1598" s="74"/>
      <c r="AL1598" s="77"/>
      <c r="AN1598" s="497">
        <v>35.96</v>
      </c>
      <c r="AP1598" s="42"/>
      <c r="AQ1598" s="74"/>
      <c r="AR1598" s="77"/>
      <c r="AT1598" s="497">
        <v>28.04</v>
      </c>
      <c r="AV1598" s="42"/>
      <c r="AW1598" s="74"/>
      <c r="AX1598" s="77"/>
      <c r="BA1598" s="497">
        <v>19.939999999999998</v>
      </c>
      <c r="BB1598" s="42"/>
      <c r="BC1598" s="74"/>
      <c r="BD1598" s="77"/>
      <c r="BF1598">
        <v>19.939999999999998</v>
      </c>
      <c r="BH1598" s="42"/>
      <c r="BI1598" s="74"/>
      <c r="BJ1598" s="77"/>
      <c r="BL1598" s="497">
        <v>8.0599999999999987</v>
      </c>
      <c r="BN1598" s="42"/>
      <c r="BO1598" s="74"/>
      <c r="BP1598" s="77"/>
      <c r="BR1598" s="497">
        <v>33.08</v>
      </c>
      <c r="BT1598" s="42"/>
    </row>
    <row r="1599" spans="1:72" x14ac:dyDescent="0.25">
      <c r="A1599" s="90">
        <v>38053</v>
      </c>
      <c r="B1599" s="20">
        <v>0.875</v>
      </c>
      <c r="D1599">
        <v>48.019999999999996</v>
      </c>
      <c r="E1599" t="str">
        <f t="shared" si="84"/>
        <v>SUNDAY</v>
      </c>
      <c r="F1599" t="e">
        <f t="shared" si="85"/>
        <v>#N/A</v>
      </c>
      <c r="G1599" s="74">
        <v>32939</v>
      </c>
      <c r="H1599" s="77">
        <v>0.875</v>
      </c>
      <c r="J1599">
        <v>30.92</v>
      </c>
      <c r="M1599" s="74">
        <v>36592</v>
      </c>
      <c r="N1599" s="77">
        <v>0.875</v>
      </c>
      <c r="P1599">
        <v>51.8</v>
      </c>
      <c r="S1599" s="74">
        <v>38053</v>
      </c>
      <c r="T1599" s="77">
        <v>0.875</v>
      </c>
      <c r="V1599">
        <v>42.08</v>
      </c>
      <c r="X1599" s="42"/>
      <c r="AB1599">
        <v>39.700000000000003</v>
      </c>
      <c r="AC1599">
        <v>39.019999999999996</v>
      </c>
      <c r="AE1599" s="74"/>
      <c r="AF1599" s="77"/>
      <c r="AH1599" s="497">
        <v>53.6</v>
      </c>
      <c r="AJ1599" s="42"/>
      <c r="AK1599" s="74"/>
      <c r="AL1599" s="77"/>
      <c r="AN1599" s="497">
        <v>35.06</v>
      </c>
      <c r="AP1599" s="42"/>
      <c r="AQ1599" s="74"/>
      <c r="AR1599" s="77"/>
      <c r="AT1599" s="497">
        <v>26.96</v>
      </c>
      <c r="AV1599" s="42"/>
      <c r="AW1599" s="74"/>
      <c r="AX1599" s="77"/>
      <c r="BA1599" s="497">
        <v>17.96</v>
      </c>
      <c r="BB1599" s="42"/>
      <c r="BC1599" s="74"/>
      <c r="BD1599" s="77"/>
      <c r="BF1599">
        <v>19.939999999999998</v>
      </c>
      <c r="BH1599" s="42"/>
      <c r="BI1599" s="74"/>
      <c r="BJ1599" s="77"/>
      <c r="BL1599" s="497">
        <v>8.0599999999999987</v>
      </c>
      <c r="BN1599" s="42"/>
      <c r="BO1599" s="74"/>
      <c r="BP1599" s="77"/>
      <c r="BR1599" s="497">
        <v>33.08</v>
      </c>
      <c r="BT1599" s="42"/>
    </row>
    <row r="1600" spans="1:72" x14ac:dyDescent="0.25">
      <c r="A1600" s="90">
        <v>38053</v>
      </c>
      <c r="B1600" s="20">
        <v>0.91666666666666663</v>
      </c>
      <c r="D1600">
        <v>48.019999999999996</v>
      </c>
      <c r="E1600" t="str">
        <f t="shared" si="84"/>
        <v>SUNDAY</v>
      </c>
      <c r="F1600" t="e">
        <f t="shared" si="85"/>
        <v>#N/A</v>
      </c>
      <c r="G1600" s="74">
        <v>32939</v>
      </c>
      <c r="H1600" s="77">
        <v>0.91666666666666663</v>
      </c>
      <c r="J1600">
        <v>30.02</v>
      </c>
      <c r="M1600" s="74">
        <v>36592</v>
      </c>
      <c r="N1600" s="77">
        <v>0.91666666666666663</v>
      </c>
      <c r="P1600">
        <v>48.2</v>
      </c>
      <c r="S1600" s="74">
        <v>38053</v>
      </c>
      <c r="T1600" s="77">
        <v>0.91666666666666663</v>
      </c>
      <c r="V1600">
        <v>41</v>
      </c>
      <c r="X1600" s="42"/>
      <c r="AB1600">
        <v>39</v>
      </c>
      <c r="AC1600">
        <v>37.94</v>
      </c>
      <c r="AE1600" s="74"/>
      <c r="AF1600" s="77"/>
      <c r="AH1600" s="497">
        <v>51.8</v>
      </c>
      <c r="AJ1600" s="42"/>
      <c r="AK1600" s="74"/>
      <c r="AL1600" s="77"/>
      <c r="AN1600" s="497">
        <v>33.979999999999997</v>
      </c>
      <c r="AP1600" s="42"/>
      <c r="AQ1600" s="74"/>
      <c r="AR1600" s="77"/>
      <c r="AT1600" s="497">
        <v>26.060000000000002</v>
      </c>
      <c r="AV1600" s="42"/>
      <c r="AW1600" s="74"/>
      <c r="AX1600" s="77"/>
      <c r="BA1600" s="497">
        <v>17.96</v>
      </c>
      <c r="BB1600" s="42"/>
      <c r="BC1600" s="74"/>
      <c r="BD1600" s="77"/>
      <c r="BF1600">
        <v>17.96</v>
      </c>
      <c r="BH1600" s="42"/>
      <c r="BI1600" s="74"/>
      <c r="BJ1600" s="77"/>
      <c r="BL1600" s="497">
        <v>8.0599999999999987</v>
      </c>
      <c r="BN1600" s="42"/>
      <c r="BO1600" s="74"/>
      <c r="BP1600" s="77"/>
      <c r="BR1600" s="497">
        <v>35.06</v>
      </c>
      <c r="BT1600" s="42"/>
    </row>
    <row r="1601" spans="1:72" x14ac:dyDescent="0.25">
      <c r="A1601" s="90">
        <v>38053</v>
      </c>
      <c r="B1601" s="20">
        <v>0.95833333333333337</v>
      </c>
      <c r="D1601">
        <v>48.019999999999996</v>
      </c>
      <c r="E1601" t="str">
        <f t="shared" si="84"/>
        <v>SUNDAY</v>
      </c>
      <c r="F1601" t="e">
        <f t="shared" si="85"/>
        <v>#N/A</v>
      </c>
      <c r="G1601" s="74">
        <v>32939</v>
      </c>
      <c r="H1601" s="77">
        <v>0.95833333333333337</v>
      </c>
      <c r="J1601">
        <v>28.94</v>
      </c>
      <c r="M1601" s="74">
        <v>36592</v>
      </c>
      <c r="N1601" s="77">
        <v>0.95833333333333337</v>
      </c>
      <c r="P1601">
        <v>46.4</v>
      </c>
      <c r="S1601" s="74">
        <v>38053</v>
      </c>
      <c r="T1601" s="77">
        <v>0.95833333333333337</v>
      </c>
      <c r="V1601">
        <v>41</v>
      </c>
      <c r="X1601" s="42"/>
      <c r="AB1601">
        <v>38.5</v>
      </c>
      <c r="AC1601">
        <v>35.96</v>
      </c>
      <c r="AE1601" s="74"/>
      <c r="AF1601" s="77"/>
      <c r="AH1601" s="497">
        <v>51.8</v>
      </c>
      <c r="AJ1601" s="42"/>
      <c r="AK1601" s="74"/>
      <c r="AL1601" s="77"/>
      <c r="AN1601" s="497">
        <v>33.08</v>
      </c>
      <c r="AP1601" s="42"/>
      <c r="AQ1601" s="74"/>
      <c r="AR1601" s="77"/>
      <c r="AT1601" s="497">
        <v>26.060000000000002</v>
      </c>
      <c r="AV1601" s="42"/>
      <c r="AW1601" s="74"/>
      <c r="AX1601" s="77"/>
      <c r="BA1601" s="497">
        <v>15.98</v>
      </c>
      <c r="BB1601" s="42"/>
      <c r="BC1601" s="74"/>
      <c r="BD1601" s="77"/>
      <c r="BF1601">
        <v>17.96</v>
      </c>
      <c r="BH1601" s="42"/>
      <c r="BI1601" s="74"/>
      <c r="BJ1601" s="77"/>
      <c r="BL1601" s="497">
        <v>8.9599999999999973</v>
      </c>
      <c r="BN1601" s="42"/>
      <c r="BO1601" s="74"/>
      <c r="BP1601" s="77"/>
      <c r="BR1601" s="497">
        <v>33.979999999999997</v>
      </c>
      <c r="BT1601" s="42"/>
    </row>
    <row r="1602" spans="1:72" x14ac:dyDescent="0.25">
      <c r="A1602" s="90">
        <v>38053</v>
      </c>
      <c r="B1602" s="20">
        <v>1</v>
      </c>
      <c r="D1602">
        <v>48.019999999999996</v>
      </c>
      <c r="E1602" t="str">
        <f t="shared" si="84"/>
        <v>SUNDAY</v>
      </c>
      <c r="F1602" t="e">
        <f t="shared" si="85"/>
        <v>#N/A</v>
      </c>
      <c r="G1602" s="74">
        <v>32939</v>
      </c>
      <c r="H1602" s="77">
        <v>1</v>
      </c>
      <c r="J1602">
        <v>28.94</v>
      </c>
      <c r="M1602" s="74">
        <v>36592</v>
      </c>
      <c r="N1602" s="80">
        <v>1</v>
      </c>
      <c r="P1602">
        <v>46.4</v>
      </c>
      <c r="S1602" s="74">
        <v>38053</v>
      </c>
      <c r="T1602" s="80">
        <v>1</v>
      </c>
      <c r="V1602">
        <v>41</v>
      </c>
      <c r="X1602" s="42"/>
      <c r="AB1602">
        <v>38</v>
      </c>
      <c r="AC1602">
        <v>33.979999999999997</v>
      </c>
      <c r="AE1602" s="74"/>
      <c r="AF1602" s="80"/>
      <c r="AH1602" s="497">
        <v>50</v>
      </c>
      <c r="AJ1602" s="42"/>
      <c r="AK1602" s="74"/>
      <c r="AL1602" s="80"/>
      <c r="AN1602" s="497">
        <v>33.979999999999997</v>
      </c>
      <c r="AP1602" s="42"/>
      <c r="AQ1602" s="74"/>
      <c r="AR1602" s="80"/>
      <c r="AT1602" s="497">
        <v>26.060000000000002</v>
      </c>
      <c r="AV1602" s="42"/>
      <c r="AW1602" s="74"/>
      <c r="AX1602" s="80"/>
      <c r="BA1602" s="497">
        <v>15.079999999999998</v>
      </c>
      <c r="BB1602" s="42"/>
      <c r="BC1602" s="74"/>
      <c r="BD1602" s="80"/>
      <c r="BF1602">
        <v>17.059999999999999</v>
      </c>
      <c r="BH1602" s="42"/>
      <c r="BI1602" s="74"/>
      <c r="BJ1602" s="80"/>
      <c r="BL1602" s="497">
        <v>8.9599999999999973</v>
      </c>
      <c r="BN1602" s="42"/>
      <c r="BO1602" s="74"/>
      <c r="BP1602" s="80"/>
      <c r="BR1602" s="497">
        <v>33.979999999999997</v>
      </c>
      <c r="BT1602" s="42"/>
    </row>
    <row r="1603" spans="1:72" x14ac:dyDescent="0.25">
      <c r="A1603" s="90">
        <v>38054</v>
      </c>
      <c r="B1603" s="20">
        <v>4.1666666666666664E-2</v>
      </c>
      <c r="D1603">
        <v>48.92</v>
      </c>
      <c r="E1603" t="str">
        <f t="shared" si="84"/>
        <v>WEEKDAY</v>
      </c>
      <c r="F1603" t="e">
        <f t="shared" si="85"/>
        <v>#N/A</v>
      </c>
      <c r="G1603" s="74">
        <v>32940</v>
      </c>
      <c r="H1603" s="77">
        <v>4.1666666666666664E-2</v>
      </c>
      <c r="J1603">
        <v>28.04</v>
      </c>
      <c r="M1603" s="74">
        <v>36593</v>
      </c>
      <c r="N1603" s="77">
        <v>4.1666666666666664E-2</v>
      </c>
      <c r="P1603">
        <v>48.2</v>
      </c>
      <c r="S1603" s="74">
        <v>38054</v>
      </c>
      <c r="T1603" s="77">
        <v>4.1666666666666664E-2</v>
      </c>
      <c r="V1603">
        <v>39.92</v>
      </c>
      <c r="X1603" s="42"/>
      <c r="AB1603">
        <v>37.4</v>
      </c>
      <c r="AC1603">
        <v>32</v>
      </c>
      <c r="AE1603" s="74"/>
      <c r="AF1603" s="77"/>
      <c r="AH1603" s="497">
        <v>46.4</v>
      </c>
      <c r="AJ1603" s="42"/>
      <c r="AK1603" s="74"/>
      <c r="AL1603" s="77"/>
      <c r="AN1603" s="497">
        <v>32</v>
      </c>
      <c r="AP1603" s="42"/>
      <c r="AQ1603" s="74"/>
      <c r="AR1603" s="77"/>
      <c r="AT1603" s="497">
        <v>26.060000000000002</v>
      </c>
      <c r="AV1603" s="42"/>
      <c r="AW1603" s="74"/>
      <c r="AX1603" s="77"/>
      <c r="BA1603" s="497">
        <v>12.920000000000002</v>
      </c>
      <c r="BB1603" s="42"/>
      <c r="BC1603" s="74"/>
      <c r="BD1603" s="77"/>
      <c r="BF1603">
        <v>15.98</v>
      </c>
      <c r="BH1603" s="42"/>
      <c r="BI1603" s="74"/>
      <c r="BJ1603" s="77"/>
      <c r="BL1603" s="497">
        <v>8.0599999999999987</v>
      </c>
      <c r="BN1603" s="42"/>
      <c r="BO1603" s="74"/>
      <c r="BP1603" s="77"/>
      <c r="BR1603" s="497">
        <v>35.06</v>
      </c>
      <c r="BT1603" s="42"/>
    </row>
    <row r="1604" spans="1:72" x14ac:dyDescent="0.25">
      <c r="A1604" s="90">
        <v>38054</v>
      </c>
      <c r="B1604" s="20">
        <v>8.3333333333333329E-2</v>
      </c>
      <c r="D1604">
        <v>48.92</v>
      </c>
      <c r="E1604" t="str">
        <f t="shared" si="84"/>
        <v>WEEKDAY</v>
      </c>
      <c r="F1604" t="e">
        <f t="shared" si="85"/>
        <v>#N/A</v>
      </c>
      <c r="G1604" s="74">
        <v>32940</v>
      </c>
      <c r="H1604" s="77">
        <v>8.3333333333333329E-2</v>
      </c>
      <c r="J1604">
        <v>28.04</v>
      </c>
      <c r="M1604" s="74">
        <v>36593</v>
      </c>
      <c r="N1604" s="77">
        <v>8.3333333333333329E-2</v>
      </c>
      <c r="P1604">
        <v>42.8</v>
      </c>
      <c r="S1604" s="74">
        <v>38054</v>
      </c>
      <c r="T1604" s="77">
        <v>8.3333333333333329E-2</v>
      </c>
      <c r="V1604">
        <v>39.92</v>
      </c>
      <c r="X1604" s="42"/>
      <c r="AB1604">
        <v>36.799999999999997</v>
      </c>
      <c r="AC1604">
        <v>30.92</v>
      </c>
      <c r="AE1604" s="74"/>
      <c r="AF1604" s="77"/>
      <c r="AH1604" s="497">
        <v>41</v>
      </c>
      <c r="AJ1604" s="42"/>
      <c r="AK1604" s="74"/>
      <c r="AL1604" s="77"/>
      <c r="AN1604" s="497">
        <v>30.92</v>
      </c>
      <c r="AP1604" s="42"/>
      <c r="AQ1604" s="74"/>
      <c r="AR1604" s="77"/>
      <c r="AT1604" s="497">
        <v>24.98</v>
      </c>
      <c r="AV1604" s="42"/>
      <c r="AW1604" s="74"/>
      <c r="AX1604" s="77"/>
      <c r="BA1604" s="497">
        <v>12.920000000000002</v>
      </c>
      <c r="BB1604" s="42"/>
      <c r="BC1604" s="74"/>
      <c r="BD1604" s="77"/>
      <c r="BF1604">
        <v>15.98</v>
      </c>
      <c r="BH1604" s="42"/>
      <c r="BI1604" s="74"/>
      <c r="BJ1604" s="77"/>
      <c r="BL1604" s="497">
        <v>6.98</v>
      </c>
      <c r="BN1604" s="42"/>
      <c r="BO1604" s="74"/>
      <c r="BP1604" s="77"/>
      <c r="BR1604" s="497">
        <v>35.96</v>
      </c>
      <c r="BT1604" s="42"/>
    </row>
    <row r="1605" spans="1:72" x14ac:dyDescent="0.25">
      <c r="A1605" s="90">
        <v>38054</v>
      </c>
      <c r="B1605" s="20">
        <v>0.125</v>
      </c>
      <c r="D1605">
        <v>50</v>
      </c>
      <c r="E1605" t="str">
        <f t="shared" si="84"/>
        <v>WEEKDAY</v>
      </c>
      <c r="F1605" t="e">
        <f t="shared" si="85"/>
        <v>#N/A</v>
      </c>
      <c r="G1605" s="74">
        <v>32940</v>
      </c>
      <c r="H1605" s="77">
        <v>0.125</v>
      </c>
      <c r="J1605">
        <v>28.04</v>
      </c>
      <c r="M1605" s="74">
        <v>36593</v>
      </c>
      <c r="N1605" s="77">
        <v>0.125</v>
      </c>
      <c r="P1605">
        <v>39.200000000000003</v>
      </c>
      <c r="S1605" s="74">
        <v>38054</v>
      </c>
      <c r="T1605" s="77">
        <v>0.125</v>
      </c>
      <c r="V1605">
        <v>39.019999999999996</v>
      </c>
      <c r="X1605" s="42"/>
      <c r="AB1605">
        <v>36.200000000000003</v>
      </c>
      <c r="AC1605">
        <v>30.92</v>
      </c>
      <c r="AE1605" s="74"/>
      <c r="AF1605" s="77"/>
      <c r="AH1605" s="497">
        <v>37.4</v>
      </c>
      <c r="AJ1605" s="42"/>
      <c r="AK1605" s="74"/>
      <c r="AL1605" s="77"/>
      <c r="AN1605" s="497">
        <v>33.08</v>
      </c>
      <c r="AP1605" s="42"/>
      <c r="AQ1605" s="74"/>
      <c r="AR1605" s="77"/>
      <c r="AT1605" s="497">
        <v>24.08</v>
      </c>
      <c r="AV1605" s="42"/>
      <c r="AW1605" s="74"/>
      <c r="AX1605" s="77"/>
      <c r="BA1605" s="497">
        <v>12.920000000000002</v>
      </c>
      <c r="BB1605" s="42"/>
      <c r="BC1605" s="74"/>
      <c r="BD1605" s="77"/>
      <c r="BF1605">
        <v>15.079999999999998</v>
      </c>
      <c r="BH1605" s="42"/>
      <c r="BI1605" s="74"/>
      <c r="BJ1605" s="77"/>
      <c r="BL1605" s="497">
        <v>6.0799999999999983</v>
      </c>
      <c r="BN1605" s="42"/>
      <c r="BO1605" s="74"/>
      <c r="BP1605" s="77"/>
      <c r="BR1605" s="497">
        <v>35.06</v>
      </c>
      <c r="BT1605" s="42"/>
    </row>
    <row r="1606" spans="1:72" x14ac:dyDescent="0.25">
      <c r="A1606" s="90">
        <v>38054</v>
      </c>
      <c r="B1606" s="20">
        <v>0.16666666666666666</v>
      </c>
      <c r="D1606">
        <v>48.019999999999996</v>
      </c>
      <c r="E1606" t="str">
        <f t="shared" si="84"/>
        <v>WEEKDAY</v>
      </c>
      <c r="F1606" t="e">
        <f t="shared" si="85"/>
        <v>#N/A</v>
      </c>
      <c r="G1606" s="74">
        <v>32940</v>
      </c>
      <c r="H1606" s="77">
        <v>0.16666666666666666</v>
      </c>
      <c r="J1606">
        <v>26.96</v>
      </c>
      <c r="M1606" s="74">
        <v>36593</v>
      </c>
      <c r="N1606" s="77">
        <v>0.16666666666666666</v>
      </c>
      <c r="P1606">
        <v>39.200000000000003</v>
      </c>
      <c r="S1606" s="74">
        <v>38054</v>
      </c>
      <c r="T1606" s="77">
        <v>0.16666666666666666</v>
      </c>
      <c r="V1606">
        <v>39.019999999999996</v>
      </c>
      <c r="X1606" s="42"/>
      <c r="AB1606">
        <v>35.799999999999997</v>
      </c>
      <c r="AC1606">
        <v>30.02</v>
      </c>
      <c r="AE1606" s="74"/>
      <c r="AF1606" s="77"/>
      <c r="AH1606" s="497">
        <v>35.6</v>
      </c>
      <c r="AJ1606" s="42"/>
      <c r="AK1606" s="74"/>
      <c r="AL1606" s="77"/>
      <c r="AN1606" s="497">
        <v>33.08</v>
      </c>
      <c r="AP1606" s="42"/>
      <c r="AQ1606" s="74"/>
      <c r="AR1606" s="77"/>
      <c r="AT1606" s="497">
        <v>23</v>
      </c>
      <c r="AV1606" s="42"/>
      <c r="AW1606" s="74"/>
      <c r="AX1606" s="77"/>
      <c r="BA1606" s="497">
        <v>12.02</v>
      </c>
      <c r="BB1606" s="42"/>
      <c r="BC1606" s="74"/>
      <c r="BD1606" s="77"/>
      <c r="BF1606">
        <v>12.920000000000002</v>
      </c>
      <c r="BH1606" s="42"/>
      <c r="BI1606" s="74"/>
      <c r="BJ1606" s="77"/>
      <c r="BL1606" s="497">
        <v>6.98</v>
      </c>
      <c r="BN1606" s="42"/>
      <c r="BO1606" s="74"/>
      <c r="BP1606" s="77"/>
      <c r="BR1606" s="497">
        <v>35.06</v>
      </c>
      <c r="BT1606" s="42"/>
    </row>
    <row r="1607" spans="1:72" x14ac:dyDescent="0.25">
      <c r="A1607" s="90">
        <v>38054</v>
      </c>
      <c r="B1607" s="20">
        <v>0.20833333333333334</v>
      </c>
      <c r="D1607">
        <v>48.019999999999996</v>
      </c>
      <c r="E1607" t="str">
        <f t="shared" si="84"/>
        <v>WEEKDAY</v>
      </c>
      <c r="F1607" t="e">
        <f t="shared" si="85"/>
        <v>#N/A</v>
      </c>
      <c r="G1607" s="74">
        <v>32940</v>
      </c>
      <c r="H1607" s="77">
        <v>0.20833333333333334</v>
      </c>
      <c r="J1607">
        <v>26.060000000000002</v>
      </c>
      <c r="M1607" s="74">
        <v>36593</v>
      </c>
      <c r="N1607" s="77">
        <v>0.20833333333333334</v>
      </c>
      <c r="P1607">
        <v>37.4</v>
      </c>
      <c r="S1607" s="74">
        <v>38054</v>
      </c>
      <c r="T1607" s="77">
        <v>0.20833333333333334</v>
      </c>
      <c r="V1607">
        <v>37.94</v>
      </c>
      <c r="X1607" s="42"/>
      <c r="AB1607">
        <v>35.299999999999997</v>
      </c>
      <c r="AC1607">
        <v>28.94</v>
      </c>
      <c r="AE1607" s="74"/>
      <c r="AF1607" s="77"/>
      <c r="AH1607" s="497">
        <v>33.799999999999997</v>
      </c>
      <c r="AJ1607" s="42"/>
      <c r="AK1607" s="74"/>
      <c r="AL1607" s="77"/>
      <c r="AN1607" s="497">
        <v>33.08</v>
      </c>
      <c r="AP1607" s="42"/>
      <c r="AQ1607" s="74"/>
      <c r="AR1607" s="77"/>
      <c r="AT1607" s="497">
        <v>22.64</v>
      </c>
      <c r="AV1607" s="42"/>
      <c r="AW1607" s="74"/>
      <c r="AX1607" s="77"/>
      <c r="BA1607" s="497">
        <v>10.039999999999999</v>
      </c>
      <c r="BB1607" s="42"/>
      <c r="BC1607" s="74"/>
      <c r="BD1607" s="77"/>
      <c r="BF1607">
        <v>12.920000000000002</v>
      </c>
      <c r="BH1607" s="42"/>
      <c r="BI1607" s="74"/>
      <c r="BJ1607" s="77"/>
      <c r="BL1607" s="497">
        <v>6.0799999999999983</v>
      </c>
      <c r="BN1607" s="42"/>
      <c r="BO1607" s="74"/>
      <c r="BP1607" s="77"/>
      <c r="BR1607" s="497">
        <v>35.96</v>
      </c>
      <c r="BT1607" s="42"/>
    </row>
    <row r="1608" spans="1:72" x14ac:dyDescent="0.25">
      <c r="A1608" s="90">
        <v>38054</v>
      </c>
      <c r="B1608" s="20">
        <v>0.25</v>
      </c>
      <c r="D1608">
        <v>48.92</v>
      </c>
      <c r="E1608" t="str">
        <f t="shared" si="84"/>
        <v>WEEKDAY</v>
      </c>
      <c r="F1608" t="e">
        <f t="shared" si="85"/>
        <v>#N/A</v>
      </c>
      <c r="G1608" s="74">
        <v>32940</v>
      </c>
      <c r="H1608" s="77">
        <v>0.25</v>
      </c>
      <c r="J1608">
        <v>26.060000000000002</v>
      </c>
      <c r="M1608" s="74">
        <v>36593</v>
      </c>
      <c r="N1608" s="77">
        <v>0.25</v>
      </c>
      <c r="P1608">
        <v>39.200000000000003</v>
      </c>
      <c r="S1608" s="74">
        <v>38054</v>
      </c>
      <c r="T1608" s="77">
        <v>0.25</v>
      </c>
      <c r="V1608">
        <v>35.96</v>
      </c>
      <c r="X1608" s="42"/>
      <c r="AB1608">
        <v>35</v>
      </c>
      <c r="AC1608">
        <v>28.94</v>
      </c>
      <c r="AE1608" s="74"/>
      <c r="AF1608" s="77"/>
      <c r="AH1608" s="497">
        <v>32</v>
      </c>
      <c r="AJ1608" s="42"/>
      <c r="AK1608" s="74"/>
      <c r="AL1608" s="77"/>
      <c r="AN1608" s="497">
        <v>33.979999999999997</v>
      </c>
      <c r="AP1608" s="42"/>
      <c r="AQ1608" s="74"/>
      <c r="AR1608" s="77"/>
      <c r="AT1608" s="497">
        <v>22.28</v>
      </c>
      <c r="AV1608" s="42"/>
      <c r="AW1608" s="74"/>
      <c r="AX1608" s="77"/>
      <c r="BA1608" s="497">
        <v>8.9599999999999973</v>
      </c>
      <c r="BB1608" s="42"/>
      <c r="BC1608" s="74"/>
      <c r="BD1608" s="77"/>
      <c r="BF1608">
        <v>10.940000000000001</v>
      </c>
      <c r="BH1608" s="42"/>
      <c r="BI1608" s="74"/>
      <c r="BJ1608" s="77"/>
      <c r="BL1608" s="497">
        <v>5</v>
      </c>
      <c r="BN1608" s="42"/>
      <c r="BO1608" s="74"/>
      <c r="BP1608" s="77"/>
      <c r="BR1608" s="497">
        <v>35.96</v>
      </c>
      <c r="BT1608" s="42"/>
    </row>
    <row r="1609" spans="1:72" x14ac:dyDescent="0.25">
      <c r="A1609" s="90">
        <v>38054</v>
      </c>
      <c r="B1609" s="20">
        <v>0.29166666666666669</v>
      </c>
      <c r="D1609">
        <v>51.08</v>
      </c>
      <c r="E1609" t="str">
        <f t="shared" si="84"/>
        <v>WEEKDAY</v>
      </c>
      <c r="F1609" t="e">
        <f t="shared" si="85"/>
        <v>#N/A</v>
      </c>
      <c r="G1609" s="74">
        <v>32940</v>
      </c>
      <c r="H1609" s="77">
        <v>0.29166666666666669</v>
      </c>
      <c r="J1609">
        <v>26.060000000000002</v>
      </c>
      <c r="M1609" s="74">
        <v>36593</v>
      </c>
      <c r="N1609" s="77">
        <v>0.29166666666666669</v>
      </c>
      <c r="P1609">
        <v>39.200000000000003</v>
      </c>
      <c r="S1609" s="74">
        <v>38054</v>
      </c>
      <c r="T1609" s="77">
        <v>0.29166666666666669</v>
      </c>
      <c r="V1609">
        <v>33.979999999999997</v>
      </c>
      <c r="X1609" s="42"/>
      <c r="AB1609">
        <v>34.9</v>
      </c>
      <c r="AC1609">
        <v>28.04</v>
      </c>
      <c r="AE1609" s="74"/>
      <c r="AF1609" s="77"/>
      <c r="AH1609" s="497">
        <v>32</v>
      </c>
      <c r="AJ1609" s="42"/>
      <c r="AK1609" s="74"/>
      <c r="AL1609" s="77"/>
      <c r="AN1609" s="497">
        <v>35.06</v>
      </c>
      <c r="AP1609" s="42"/>
      <c r="AQ1609" s="74"/>
      <c r="AR1609" s="77"/>
      <c r="AT1609" s="497">
        <v>21.92</v>
      </c>
      <c r="AV1609" s="42"/>
      <c r="AW1609" s="74"/>
      <c r="AX1609" s="77"/>
      <c r="BA1609" s="497">
        <v>8.9599999999999973</v>
      </c>
      <c r="BB1609" s="42"/>
      <c r="BC1609" s="74"/>
      <c r="BD1609" s="77"/>
      <c r="BF1609">
        <v>15.079999999999998</v>
      </c>
      <c r="BH1609" s="42"/>
      <c r="BI1609" s="74"/>
      <c r="BJ1609" s="77"/>
      <c r="BL1609" s="497">
        <v>3.019999999999996</v>
      </c>
      <c r="BN1609" s="42"/>
      <c r="BO1609" s="74"/>
      <c r="BP1609" s="77"/>
      <c r="BR1609" s="497">
        <v>35.96</v>
      </c>
      <c r="BT1609" s="42"/>
    </row>
    <row r="1610" spans="1:72" x14ac:dyDescent="0.25">
      <c r="A1610" s="90">
        <v>38054</v>
      </c>
      <c r="B1610" s="20">
        <v>0.33333333333333331</v>
      </c>
      <c r="D1610">
        <v>53.06</v>
      </c>
      <c r="E1610" t="str">
        <f t="shared" si="84"/>
        <v>WEEKDAY</v>
      </c>
      <c r="F1610" t="e">
        <f t="shared" si="85"/>
        <v>#N/A</v>
      </c>
      <c r="G1610" s="74">
        <v>32940</v>
      </c>
      <c r="H1610" s="77">
        <v>0.33333333333333331</v>
      </c>
      <c r="J1610">
        <v>28.04</v>
      </c>
      <c r="M1610" s="74">
        <v>36593</v>
      </c>
      <c r="N1610" s="77">
        <v>0.33333333333333331</v>
      </c>
      <c r="P1610">
        <v>44.6</v>
      </c>
      <c r="S1610" s="74">
        <v>38054</v>
      </c>
      <c r="T1610" s="77">
        <v>0.33333333333333331</v>
      </c>
      <c r="V1610">
        <v>33.979999999999997</v>
      </c>
      <c r="X1610" s="42"/>
      <c r="AB1610">
        <v>35.299999999999997</v>
      </c>
      <c r="AC1610">
        <v>30.02</v>
      </c>
      <c r="AE1610" s="74"/>
      <c r="AF1610" s="77"/>
      <c r="AH1610" s="497">
        <v>35.6</v>
      </c>
      <c r="AJ1610" s="42"/>
      <c r="AK1610" s="74"/>
      <c r="AL1610" s="77"/>
      <c r="AN1610" s="497">
        <v>37.94</v>
      </c>
      <c r="AP1610" s="42"/>
      <c r="AQ1610" s="74"/>
      <c r="AR1610" s="77"/>
      <c r="AT1610" s="497">
        <v>24.259999999999998</v>
      </c>
      <c r="AV1610" s="42"/>
      <c r="AW1610" s="74"/>
      <c r="AX1610" s="77"/>
      <c r="BA1610" s="497">
        <v>17.96</v>
      </c>
      <c r="BB1610" s="42"/>
      <c r="BC1610" s="74"/>
      <c r="BD1610" s="77"/>
      <c r="BF1610">
        <v>19.939999999999998</v>
      </c>
      <c r="BH1610" s="42"/>
      <c r="BI1610" s="74"/>
      <c r="BJ1610" s="77"/>
      <c r="BL1610" s="497">
        <v>3.9200000000000017</v>
      </c>
      <c r="BN1610" s="42"/>
      <c r="BO1610" s="74"/>
      <c r="BP1610" s="77"/>
      <c r="BR1610" s="497">
        <v>37.04</v>
      </c>
      <c r="BT1610" s="42"/>
    </row>
    <row r="1611" spans="1:72" x14ac:dyDescent="0.25">
      <c r="A1611" s="90">
        <v>38054</v>
      </c>
      <c r="B1611" s="20">
        <v>0.375</v>
      </c>
      <c r="D1611">
        <v>53.96</v>
      </c>
      <c r="E1611" t="str">
        <f t="shared" si="84"/>
        <v>WEEKDAY</v>
      </c>
      <c r="F1611" t="e">
        <f t="shared" si="85"/>
        <v>#N/A</v>
      </c>
      <c r="G1611" s="74">
        <v>32940</v>
      </c>
      <c r="H1611" s="77">
        <v>0.375</v>
      </c>
      <c r="J1611">
        <v>30.02</v>
      </c>
      <c r="M1611" s="74">
        <v>36593</v>
      </c>
      <c r="N1611" s="77">
        <v>0.375</v>
      </c>
      <c r="P1611">
        <v>51.8</v>
      </c>
      <c r="S1611" s="74">
        <v>38054</v>
      </c>
      <c r="T1611" s="77">
        <v>0.375</v>
      </c>
      <c r="V1611">
        <v>35.96</v>
      </c>
      <c r="X1611" s="42"/>
      <c r="AB1611">
        <v>37</v>
      </c>
      <c r="AC1611">
        <v>32</v>
      </c>
      <c r="AE1611" s="74"/>
      <c r="AF1611" s="77"/>
      <c r="AH1611" s="497">
        <v>43.7</v>
      </c>
      <c r="AJ1611" s="42"/>
      <c r="AK1611" s="74"/>
      <c r="AL1611" s="77"/>
      <c r="AN1611" s="497">
        <v>42.980000000000004</v>
      </c>
      <c r="AP1611" s="42"/>
      <c r="AQ1611" s="74"/>
      <c r="AR1611" s="77"/>
      <c r="AT1611" s="497">
        <v>26.6</v>
      </c>
      <c r="AV1611" s="42"/>
      <c r="AW1611" s="74"/>
      <c r="AX1611" s="77"/>
      <c r="BA1611" s="497">
        <v>21.02</v>
      </c>
      <c r="BB1611" s="42"/>
      <c r="BC1611" s="74"/>
      <c r="BD1611" s="77"/>
      <c r="BF1611">
        <v>26.060000000000002</v>
      </c>
      <c r="BH1611" s="42"/>
      <c r="BI1611" s="74"/>
      <c r="BJ1611" s="77"/>
      <c r="BL1611" s="497">
        <v>6.98</v>
      </c>
      <c r="BN1611" s="42"/>
      <c r="BO1611" s="74"/>
      <c r="BP1611" s="77"/>
      <c r="BR1611" s="497">
        <v>37.94</v>
      </c>
      <c r="BT1611" s="42"/>
    </row>
    <row r="1612" spans="1:72" x14ac:dyDescent="0.25">
      <c r="A1612" s="90">
        <v>38054</v>
      </c>
      <c r="B1612" s="20">
        <v>0.41666666666666669</v>
      </c>
      <c r="D1612">
        <v>55.94</v>
      </c>
      <c r="E1612" t="str">
        <f t="shared" si="84"/>
        <v>WEEKDAY</v>
      </c>
      <c r="F1612" t="e">
        <f t="shared" si="85"/>
        <v>#N/A</v>
      </c>
      <c r="G1612" s="74">
        <v>32940</v>
      </c>
      <c r="H1612" s="77">
        <v>0.41666666666666669</v>
      </c>
      <c r="J1612">
        <v>32</v>
      </c>
      <c r="M1612" s="74">
        <v>36593</v>
      </c>
      <c r="N1612" s="77">
        <v>0.41666666666666669</v>
      </c>
      <c r="P1612">
        <v>59</v>
      </c>
      <c r="S1612" s="74">
        <v>38054</v>
      </c>
      <c r="T1612" s="77">
        <v>0.41666666666666669</v>
      </c>
      <c r="V1612">
        <v>35.96</v>
      </c>
      <c r="X1612" s="42"/>
      <c r="AB1612">
        <v>38.700000000000003</v>
      </c>
      <c r="AC1612">
        <v>33.979999999999997</v>
      </c>
      <c r="AE1612" s="74"/>
      <c r="AF1612" s="77"/>
      <c r="AH1612" s="497">
        <v>51.8</v>
      </c>
      <c r="AJ1612" s="42"/>
      <c r="AK1612" s="74"/>
      <c r="AL1612" s="77"/>
      <c r="AN1612" s="497">
        <v>50</v>
      </c>
      <c r="AP1612" s="42"/>
      <c r="AQ1612" s="74"/>
      <c r="AR1612" s="77"/>
      <c r="AT1612" s="497">
        <v>28.94</v>
      </c>
      <c r="AV1612" s="42"/>
      <c r="AW1612" s="74"/>
      <c r="AX1612" s="77"/>
      <c r="BA1612" s="497">
        <v>26.96</v>
      </c>
      <c r="BB1612" s="42"/>
      <c r="BC1612" s="74"/>
      <c r="BD1612" s="77"/>
      <c r="BF1612">
        <v>33.979999999999997</v>
      </c>
      <c r="BH1612" s="42"/>
      <c r="BI1612" s="74"/>
      <c r="BJ1612" s="77"/>
      <c r="BL1612" s="497">
        <v>10.039999999999999</v>
      </c>
      <c r="BN1612" s="42"/>
      <c r="BO1612" s="74"/>
      <c r="BP1612" s="77"/>
      <c r="BR1612" s="497">
        <v>37.94</v>
      </c>
      <c r="BT1612" s="42"/>
    </row>
    <row r="1613" spans="1:72" x14ac:dyDescent="0.25">
      <c r="A1613" s="90">
        <v>38054</v>
      </c>
      <c r="B1613" s="20">
        <v>0.45833333333333331</v>
      </c>
      <c r="D1613">
        <v>60.08</v>
      </c>
      <c r="E1613" t="str">
        <f t="shared" si="84"/>
        <v>WEEKDAY</v>
      </c>
      <c r="F1613" t="e">
        <f t="shared" si="85"/>
        <v>#N/A</v>
      </c>
      <c r="G1613" s="74">
        <v>32940</v>
      </c>
      <c r="H1613" s="77">
        <v>0.45833333333333331</v>
      </c>
      <c r="J1613">
        <v>33.08</v>
      </c>
      <c r="M1613" s="74">
        <v>36593</v>
      </c>
      <c r="N1613" s="77">
        <v>0.45833333333333331</v>
      </c>
      <c r="P1613">
        <v>57.2</v>
      </c>
      <c r="S1613" s="74">
        <v>38054</v>
      </c>
      <c r="T1613" s="77">
        <v>0.45833333333333331</v>
      </c>
      <c r="V1613">
        <v>35.96</v>
      </c>
      <c r="X1613" s="42"/>
      <c r="AB1613">
        <v>40.299999999999997</v>
      </c>
      <c r="AC1613">
        <v>35.06</v>
      </c>
      <c r="AE1613" s="74"/>
      <c r="AF1613" s="77"/>
      <c r="AH1613" s="497">
        <v>59</v>
      </c>
      <c r="AJ1613" s="42"/>
      <c r="AK1613" s="74"/>
      <c r="AL1613" s="77"/>
      <c r="AN1613" s="497">
        <v>55.94</v>
      </c>
      <c r="AP1613" s="42"/>
      <c r="AQ1613" s="74"/>
      <c r="AR1613" s="77"/>
      <c r="AT1613" s="497">
        <v>29.3</v>
      </c>
      <c r="AV1613" s="42"/>
      <c r="AW1613" s="74"/>
      <c r="AX1613" s="77"/>
      <c r="BA1613" s="497">
        <v>32</v>
      </c>
      <c r="BB1613" s="42"/>
      <c r="BC1613" s="74"/>
      <c r="BD1613" s="77"/>
      <c r="BF1613">
        <v>37.94</v>
      </c>
      <c r="BH1613" s="42"/>
      <c r="BI1613" s="74"/>
      <c r="BJ1613" s="77"/>
      <c r="BL1613" s="497">
        <v>10.940000000000001</v>
      </c>
      <c r="BN1613" s="42"/>
      <c r="BO1613" s="74"/>
      <c r="BP1613" s="77"/>
      <c r="BR1613" s="497">
        <v>37.94</v>
      </c>
      <c r="BT1613" s="42"/>
    </row>
    <row r="1614" spans="1:72" x14ac:dyDescent="0.25">
      <c r="A1614" s="90">
        <v>38054</v>
      </c>
      <c r="B1614" s="20">
        <v>0.5</v>
      </c>
      <c r="D1614">
        <v>60.08</v>
      </c>
      <c r="E1614" t="str">
        <f t="shared" si="84"/>
        <v>WEEKDAY</v>
      </c>
      <c r="F1614" t="e">
        <f t="shared" si="85"/>
        <v>#N/A</v>
      </c>
      <c r="G1614" s="74">
        <v>32940</v>
      </c>
      <c r="H1614" s="77">
        <v>0.5</v>
      </c>
      <c r="J1614">
        <v>37.04</v>
      </c>
      <c r="M1614" s="74">
        <v>36593</v>
      </c>
      <c r="N1614" s="77">
        <v>0.5</v>
      </c>
      <c r="P1614">
        <v>55.400000000000006</v>
      </c>
      <c r="S1614" s="74">
        <v>38054</v>
      </c>
      <c r="T1614" s="77">
        <v>0.5</v>
      </c>
      <c r="V1614">
        <v>35.06</v>
      </c>
      <c r="X1614" s="42"/>
      <c r="AB1614">
        <v>41.6</v>
      </c>
      <c r="AC1614">
        <v>37.04</v>
      </c>
      <c r="AE1614" s="74"/>
      <c r="AF1614" s="77"/>
      <c r="AH1614" s="497">
        <v>62.6</v>
      </c>
      <c r="AJ1614" s="42"/>
      <c r="AK1614" s="74"/>
      <c r="AL1614" s="77"/>
      <c r="AN1614" s="497">
        <v>59</v>
      </c>
      <c r="AP1614" s="42"/>
      <c r="AQ1614" s="74"/>
      <c r="AR1614" s="77"/>
      <c r="AT1614" s="497">
        <v>29.66</v>
      </c>
      <c r="AV1614" s="42"/>
      <c r="AW1614" s="74"/>
      <c r="AX1614" s="77"/>
      <c r="BA1614" s="497">
        <v>37.04</v>
      </c>
      <c r="BB1614" s="42"/>
      <c r="BC1614" s="74"/>
      <c r="BD1614" s="77"/>
      <c r="BF1614">
        <v>41</v>
      </c>
      <c r="BH1614" s="42"/>
      <c r="BI1614" s="74"/>
      <c r="BJ1614" s="77"/>
      <c r="BL1614" s="497">
        <v>12.920000000000002</v>
      </c>
      <c r="BN1614" s="42"/>
      <c r="BO1614" s="74"/>
      <c r="BP1614" s="77"/>
      <c r="BR1614" s="497">
        <v>37.94</v>
      </c>
      <c r="BT1614" s="42"/>
    </row>
    <row r="1615" spans="1:72" x14ac:dyDescent="0.25">
      <c r="A1615" s="90">
        <v>38054</v>
      </c>
      <c r="B1615" s="20">
        <v>0.54166666666666663</v>
      </c>
      <c r="D1615">
        <v>60.980000000000004</v>
      </c>
      <c r="E1615" t="str">
        <f t="shared" si="84"/>
        <v>WEEKDAY</v>
      </c>
      <c r="F1615" t="e">
        <f t="shared" si="85"/>
        <v>#N/A</v>
      </c>
      <c r="G1615" s="74">
        <v>32940</v>
      </c>
      <c r="H1615" s="77">
        <v>0.54166666666666663</v>
      </c>
      <c r="J1615">
        <v>37.94</v>
      </c>
      <c r="M1615" s="74">
        <v>36593</v>
      </c>
      <c r="N1615" s="77">
        <v>0.54166666666666663</v>
      </c>
      <c r="P1615">
        <v>57.2</v>
      </c>
      <c r="S1615" s="74">
        <v>38054</v>
      </c>
      <c r="T1615" s="77">
        <v>0.54166666666666663</v>
      </c>
      <c r="V1615">
        <v>35.96</v>
      </c>
      <c r="X1615" s="42"/>
      <c r="AB1615">
        <v>42.7</v>
      </c>
      <c r="AC1615">
        <v>39.019999999999996</v>
      </c>
      <c r="AE1615" s="74"/>
      <c r="AF1615" s="77"/>
      <c r="AH1615" s="497">
        <v>64.400000000000006</v>
      </c>
      <c r="AJ1615" s="42"/>
      <c r="AK1615" s="74"/>
      <c r="AL1615" s="77"/>
      <c r="AN1615" s="497">
        <v>62.06</v>
      </c>
      <c r="AP1615" s="42"/>
      <c r="AQ1615" s="74"/>
      <c r="AR1615" s="77"/>
      <c r="AT1615" s="497">
        <v>30.02</v>
      </c>
      <c r="AV1615" s="42"/>
      <c r="AW1615" s="74"/>
      <c r="AX1615" s="77"/>
      <c r="BA1615" s="497">
        <v>41</v>
      </c>
      <c r="BB1615" s="42"/>
      <c r="BC1615" s="74"/>
      <c r="BD1615" s="77"/>
      <c r="BF1615">
        <v>42.980000000000004</v>
      </c>
      <c r="BH1615" s="42"/>
      <c r="BI1615" s="74"/>
      <c r="BJ1615" s="77"/>
      <c r="BL1615" s="497">
        <v>14</v>
      </c>
      <c r="BN1615" s="42"/>
      <c r="BO1615" s="74"/>
      <c r="BP1615" s="77"/>
      <c r="BR1615" s="497">
        <v>37.94</v>
      </c>
      <c r="BT1615" s="42"/>
    </row>
    <row r="1616" spans="1:72" x14ac:dyDescent="0.25">
      <c r="A1616" s="90">
        <v>38054</v>
      </c>
      <c r="B1616" s="20">
        <v>0.58333333333333337</v>
      </c>
      <c r="D1616">
        <v>59</v>
      </c>
      <c r="E1616" t="str">
        <f t="shared" si="84"/>
        <v>WEEKDAY</v>
      </c>
      <c r="F1616" t="e">
        <f t="shared" si="85"/>
        <v>#N/A</v>
      </c>
      <c r="G1616" s="74">
        <v>32940</v>
      </c>
      <c r="H1616" s="77">
        <v>0.58333333333333337</v>
      </c>
      <c r="J1616">
        <v>39.92</v>
      </c>
      <c r="M1616" s="74">
        <v>36593</v>
      </c>
      <c r="N1616" s="77">
        <v>0.58333333333333337</v>
      </c>
      <c r="P1616">
        <v>56.480000000000004</v>
      </c>
      <c r="S1616" s="74">
        <v>38054</v>
      </c>
      <c r="T1616" s="77">
        <v>0.58333333333333337</v>
      </c>
      <c r="V1616">
        <v>35.96</v>
      </c>
      <c r="X1616" s="42"/>
      <c r="AB1616">
        <v>43.4</v>
      </c>
      <c r="AC1616">
        <v>46.94</v>
      </c>
      <c r="AE1616" s="74"/>
      <c r="AF1616" s="77"/>
      <c r="AH1616" s="497">
        <v>66.38</v>
      </c>
      <c r="AJ1616" s="42"/>
      <c r="AK1616" s="74"/>
      <c r="AL1616" s="77"/>
      <c r="AN1616" s="497">
        <v>62.96</v>
      </c>
      <c r="AP1616" s="42"/>
      <c r="AQ1616" s="74"/>
      <c r="AR1616" s="77"/>
      <c r="AT1616" s="497">
        <v>30.02</v>
      </c>
      <c r="AV1616" s="42"/>
      <c r="AW1616" s="74"/>
      <c r="AX1616" s="77"/>
      <c r="BA1616" s="497">
        <v>41</v>
      </c>
      <c r="BB1616" s="42"/>
      <c r="BC1616" s="74"/>
      <c r="BD1616" s="77"/>
      <c r="BF1616">
        <v>44.06</v>
      </c>
      <c r="BH1616" s="42"/>
      <c r="BI1616" s="74"/>
      <c r="BJ1616" s="77"/>
      <c r="BL1616" s="497">
        <v>15.98</v>
      </c>
      <c r="BN1616" s="42"/>
      <c r="BO1616" s="74"/>
      <c r="BP1616" s="77"/>
      <c r="BR1616" s="497">
        <v>41</v>
      </c>
      <c r="BT1616" s="42"/>
    </row>
    <row r="1617" spans="1:72" x14ac:dyDescent="0.25">
      <c r="A1617" s="90">
        <v>38054</v>
      </c>
      <c r="B1617" s="20">
        <v>0.625</v>
      </c>
      <c r="D1617">
        <v>57.92</v>
      </c>
      <c r="E1617" t="str">
        <f t="shared" si="84"/>
        <v>WEEKDAY</v>
      </c>
      <c r="F1617" t="e">
        <f t="shared" si="85"/>
        <v>#N/A</v>
      </c>
      <c r="G1617" s="74">
        <v>32940</v>
      </c>
      <c r="H1617" s="77">
        <v>0.625</v>
      </c>
      <c r="J1617">
        <v>42.980000000000004</v>
      </c>
      <c r="M1617" s="74">
        <v>36593</v>
      </c>
      <c r="N1617" s="77">
        <v>0.625</v>
      </c>
      <c r="P1617">
        <v>55.400000000000006</v>
      </c>
      <c r="S1617" s="74">
        <v>38054</v>
      </c>
      <c r="T1617" s="77">
        <v>0.625</v>
      </c>
      <c r="V1617">
        <v>37.04</v>
      </c>
      <c r="X1617" s="42"/>
      <c r="AB1617">
        <v>43.9</v>
      </c>
      <c r="AC1617">
        <v>41</v>
      </c>
      <c r="AE1617" s="74"/>
      <c r="AF1617" s="77"/>
      <c r="AH1617" s="497">
        <v>68</v>
      </c>
      <c r="AJ1617" s="42"/>
      <c r="AK1617" s="74"/>
      <c r="AL1617" s="77"/>
      <c r="AN1617" s="497">
        <v>64.039999999999992</v>
      </c>
      <c r="AP1617" s="42"/>
      <c r="AQ1617" s="74"/>
      <c r="AR1617" s="77"/>
      <c r="AT1617" s="497">
        <v>30.02</v>
      </c>
      <c r="AV1617" s="42"/>
      <c r="AW1617" s="74"/>
      <c r="AX1617" s="77"/>
      <c r="BA1617" s="497">
        <v>42.08</v>
      </c>
      <c r="BB1617" s="42"/>
      <c r="BC1617" s="74"/>
      <c r="BD1617" s="77"/>
      <c r="BF1617">
        <v>44.96</v>
      </c>
      <c r="BH1617" s="42"/>
      <c r="BI1617" s="74"/>
      <c r="BJ1617" s="77"/>
      <c r="BL1617" s="497">
        <v>17.96</v>
      </c>
      <c r="BN1617" s="42"/>
      <c r="BO1617" s="74"/>
      <c r="BP1617" s="77"/>
      <c r="BR1617" s="497">
        <v>39.92</v>
      </c>
      <c r="BT1617" s="42"/>
    </row>
    <row r="1618" spans="1:72" x14ac:dyDescent="0.25">
      <c r="A1618" s="90">
        <v>38054</v>
      </c>
      <c r="B1618" s="20">
        <v>0.66666666666666663</v>
      </c>
      <c r="D1618">
        <v>57.92</v>
      </c>
      <c r="E1618" t="str">
        <f t="shared" si="84"/>
        <v>WEEKDAY</v>
      </c>
      <c r="F1618" t="e">
        <f t="shared" si="85"/>
        <v>#N/A</v>
      </c>
      <c r="G1618" s="74">
        <v>32940</v>
      </c>
      <c r="H1618" s="77">
        <v>0.66666666666666663</v>
      </c>
      <c r="J1618">
        <v>44.06</v>
      </c>
      <c r="M1618" s="74">
        <v>36593</v>
      </c>
      <c r="N1618" s="77">
        <v>0.66666666666666663</v>
      </c>
      <c r="P1618">
        <v>53.6</v>
      </c>
      <c r="S1618" s="74">
        <v>38054</v>
      </c>
      <c r="T1618" s="77">
        <v>0.66666666666666663</v>
      </c>
      <c r="V1618">
        <v>35.96</v>
      </c>
      <c r="X1618" s="42"/>
      <c r="AB1618">
        <v>44</v>
      </c>
      <c r="AC1618">
        <v>41</v>
      </c>
      <c r="AE1618" s="74"/>
      <c r="AF1618" s="77"/>
      <c r="AH1618" s="497">
        <v>66.2</v>
      </c>
      <c r="AJ1618" s="42"/>
      <c r="AK1618" s="74"/>
      <c r="AL1618" s="77"/>
      <c r="AN1618" s="497">
        <v>62.06</v>
      </c>
      <c r="AP1618" s="42"/>
      <c r="AQ1618" s="74"/>
      <c r="AR1618" s="77"/>
      <c r="AT1618" s="497">
        <v>30.02</v>
      </c>
      <c r="AV1618" s="42"/>
      <c r="AW1618" s="74"/>
      <c r="AX1618" s="77"/>
      <c r="BA1618" s="497">
        <v>42.08</v>
      </c>
      <c r="BB1618" s="42"/>
      <c r="BC1618" s="74"/>
      <c r="BD1618" s="77"/>
      <c r="BF1618">
        <v>44.96</v>
      </c>
      <c r="BH1618" s="42"/>
      <c r="BI1618" s="74"/>
      <c r="BJ1618" s="77"/>
      <c r="BL1618" s="497">
        <v>19.04</v>
      </c>
      <c r="BN1618" s="42"/>
      <c r="BO1618" s="74"/>
      <c r="BP1618" s="77"/>
      <c r="BR1618" s="497">
        <v>39.92</v>
      </c>
      <c r="BT1618" s="42"/>
    </row>
    <row r="1619" spans="1:72" x14ac:dyDescent="0.25">
      <c r="A1619" s="90">
        <v>38054</v>
      </c>
      <c r="B1619" s="20">
        <v>0.70833333333333337</v>
      </c>
      <c r="D1619">
        <v>57.92</v>
      </c>
      <c r="E1619" t="str">
        <f t="shared" ref="E1619:E1682" si="86">IF(COUNTIF($DI$18:$DI$22, WEEKDAY(A1619))=1, "WEEKDAY", IF(WEEKDAY(A1619) = 1, "SUNDAY", "SATURDAY"))</f>
        <v>WEEKDAY</v>
      </c>
      <c r="F1619" t="e">
        <f t="shared" si="85"/>
        <v>#N/A</v>
      </c>
      <c r="G1619" s="74">
        <v>32940</v>
      </c>
      <c r="H1619" s="77">
        <v>0.70833333333333337</v>
      </c>
      <c r="J1619">
        <v>39.92</v>
      </c>
      <c r="M1619" s="74">
        <v>36593</v>
      </c>
      <c r="N1619" s="77">
        <v>0.70833333333333337</v>
      </c>
      <c r="P1619">
        <v>53.6</v>
      </c>
      <c r="S1619" s="74">
        <v>38054</v>
      </c>
      <c r="T1619" s="77">
        <v>0.70833333333333337</v>
      </c>
      <c r="V1619">
        <v>35.96</v>
      </c>
      <c r="X1619" s="42"/>
      <c r="AB1619">
        <v>43.6</v>
      </c>
      <c r="AC1619">
        <v>39.92</v>
      </c>
      <c r="AE1619" s="74"/>
      <c r="AF1619" s="77"/>
      <c r="AH1619" s="497">
        <v>62.6</v>
      </c>
      <c r="AJ1619" s="42"/>
      <c r="AK1619" s="74"/>
      <c r="AL1619" s="77"/>
      <c r="AN1619" s="497">
        <v>60.08</v>
      </c>
      <c r="AP1619" s="42"/>
      <c r="AQ1619" s="74"/>
      <c r="AR1619" s="77"/>
      <c r="AT1619" s="497">
        <v>28.04</v>
      </c>
      <c r="AV1619" s="42"/>
      <c r="AW1619" s="74"/>
      <c r="AX1619" s="77"/>
      <c r="BA1619" s="497">
        <v>42.08</v>
      </c>
      <c r="BB1619" s="42"/>
      <c r="BC1619" s="74"/>
      <c r="BD1619" s="77"/>
      <c r="BF1619">
        <v>44.06</v>
      </c>
      <c r="BH1619" s="42"/>
      <c r="BI1619" s="74"/>
      <c r="BJ1619" s="77"/>
      <c r="BL1619" s="497">
        <v>19.939999999999998</v>
      </c>
      <c r="BN1619" s="42"/>
      <c r="BO1619" s="74"/>
      <c r="BP1619" s="77"/>
      <c r="BR1619" s="497">
        <v>39.92</v>
      </c>
      <c r="BT1619" s="42"/>
    </row>
    <row r="1620" spans="1:72" x14ac:dyDescent="0.25">
      <c r="A1620" s="90">
        <v>38054</v>
      </c>
      <c r="B1620" s="20">
        <v>0.75</v>
      </c>
      <c r="D1620">
        <v>57.019999999999996</v>
      </c>
      <c r="E1620" t="str">
        <f t="shared" si="86"/>
        <v>WEEKDAY</v>
      </c>
      <c r="F1620" t="e">
        <f t="shared" si="85"/>
        <v>#N/A</v>
      </c>
      <c r="G1620" s="74">
        <v>32940</v>
      </c>
      <c r="H1620" s="77">
        <v>0.75</v>
      </c>
      <c r="J1620">
        <v>37.94</v>
      </c>
      <c r="M1620" s="74">
        <v>36593</v>
      </c>
      <c r="N1620" s="77">
        <v>0.75</v>
      </c>
      <c r="P1620">
        <v>50</v>
      </c>
      <c r="S1620" s="74">
        <v>38054</v>
      </c>
      <c r="T1620" s="77">
        <v>0.75</v>
      </c>
      <c r="V1620">
        <v>35.06</v>
      </c>
      <c r="X1620" s="42"/>
      <c r="AB1620">
        <v>42.7</v>
      </c>
      <c r="AC1620">
        <v>37.94</v>
      </c>
      <c r="AE1620" s="74"/>
      <c r="AF1620" s="77"/>
      <c r="AH1620" s="497">
        <v>57.2</v>
      </c>
      <c r="AJ1620" s="42"/>
      <c r="AK1620" s="74"/>
      <c r="AL1620" s="77"/>
      <c r="AN1620" s="497">
        <v>57.92</v>
      </c>
      <c r="AP1620" s="42"/>
      <c r="AQ1620" s="74"/>
      <c r="AR1620" s="77"/>
      <c r="AT1620" s="497">
        <v>26.060000000000002</v>
      </c>
      <c r="AV1620" s="42"/>
      <c r="AW1620" s="74"/>
      <c r="AX1620" s="77"/>
      <c r="BA1620" s="497">
        <v>37.94</v>
      </c>
      <c r="BB1620" s="42"/>
      <c r="BC1620" s="74"/>
      <c r="BD1620" s="77"/>
      <c r="BF1620">
        <v>41</v>
      </c>
      <c r="BH1620" s="42"/>
      <c r="BI1620" s="74"/>
      <c r="BJ1620" s="77"/>
      <c r="BL1620" s="497">
        <v>19.04</v>
      </c>
      <c r="BN1620" s="42"/>
      <c r="BO1620" s="74"/>
      <c r="BP1620" s="77"/>
      <c r="BR1620" s="497">
        <v>37.04</v>
      </c>
      <c r="BT1620" s="42"/>
    </row>
    <row r="1621" spans="1:72" x14ac:dyDescent="0.25">
      <c r="A1621" s="90">
        <v>38054</v>
      </c>
      <c r="B1621" s="20">
        <v>0.79166666666666663</v>
      </c>
      <c r="D1621">
        <v>57.92</v>
      </c>
      <c r="E1621" t="str">
        <f t="shared" si="86"/>
        <v>WEEKDAY</v>
      </c>
      <c r="F1621" t="e">
        <f t="shared" si="85"/>
        <v>#N/A</v>
      </c>
      <c r="G1621" s="74">
        <v>32940</v>
      </c>
      <c r="H1621" s="77">
        <v>0.79166666666666663</v>
      </c>
      <c r="J1621">
        <v>35.96</v>
      </c>
      <c r="M1621" s="74">
        <v>36593</v>
      </c>
      <c r="N1621" s="77">
        <v>0.79166666666666663</v>
      </c>
      <c r="P1621">
        <v>46.4</v>
      </c>
      <c r="S1621" s="74">
        <v>38054</v>
      </c>
      <c r="T1621" s="77">
        <v>0.79166666666666663</v>
      </c>
      <c r="V1621">
        <v>35.06</v>
      </c>
      <c r="X1621" s="42"/>
      <c r="AB1621">
        <v>41.3</v>
      </c>
      <c r="AC1621">
        <v>35.96</v>
      </c>
      <c r="AE1621" s="74"/>
      <c r="AF1621" s="77"/>
      <c r="AH1621" s="497">
        <v>53.6</v>
      </c>
      <c r="AJ1621" s="42"/>
      <c r="AK1621" s="74"/>
      <c r="AL1621" s="77"/>
      <c r="AN1621" s="497">
        <v>55.94</v>
      </c>
      <c r="AP1621" s="42"/>
      <c r="AQ1621" s="74"/>
      <c r="AR1621" s="77"/>
      <c r="AT1621" s="497">
        <v>24.08</v>
      </c>
      <c r="AV1621" s="42"/>
      <c r="AW1621" s="74"/>
      <c r="AX1621" s="77"/>
      <c r="BA1621" s="497">
        <v>30.92</v>
      </c>
      <c r="BB1621" s="42"/>
      <c r="BC1621" s="74"/>
      <c r="BD1621" s="77"/>
      <c r="BF1621">
        <v>33.979999999999997</v>
      </c>
      <c r="BH1621" s="42"/>
      <c r="BI1621" s="74"/>
      <c r="BJ1621" s="77"/>
      <c r="BL1621" s="497">
        <v>19.04</v>
      </c>
      <c r="BN1621" s="42"/>
      <c r="BO1621" s="74"/>
      <c r="BP1621" s="77"/>
      <c r="BR1621" s="497">
        <v>37.04</v>
      </c>
      <c r="BT1621" s="42"/>
    </row>
    <row r="1622" spans="1:72" x14ac:dyDescent="0.25">
      <c r="A1622" s="90">
        <v>38054</v>
      </c>
      <c r="B1622" s="20">
        <v>0.83333333333333337</v>
      </c>
      <c r="D1622">
        <v>44.06</v>
      </c>
      <c r="E1622" t="str">
        <f t="shared" si="86"/>
        <v>WEEKDAY</v>
      </c>
      <c r="F1622" t="e">
        <f t="shared" si="85"/>
        <v>#N/A</v>
      </c>
      <c r="G1622" s="74">
        <v>32940</v>
      </c>
      <c r="H1622" s="77">
        <v>0.83333333333333337</v>
      </c>
      <c r="J1622">
        <v>37.94</v>
      </c>
      <c r="M1622" s="74">
        <v>36593</v>
      </c>
      <c r="N1622" s="77">
        <v>0.83333333333333337</v>
      </c>
      <c r="P1622">
        <v>44.6</v>
      </c>
      <c r="S1622" s="74">
        <v>38054</v>
      </c>
      <c r="T1622" s="77">
        <v>0.83333333333333337</v>
      </c>
      <c r="V1622">
        <v>33.979999999999997</v>
      </c>
      <c r="X1622" s="42"/>
      <c r="AB1622">
        <v>40.6</v>
      </c>
      <c r="AC1622">
        <v>35.06</v>
      </c>
      <c r="AE1622" s="74"/>
      <c r="AF1622" s="77"/>
      <c r="AH1622" s="497">
        <v>50</v>
      </c>
      <c r="AJ1622" s="42"/>
      <c r="AK1622" s="74"/>
      <c r="AL1622" s="77"/>
      <c r="AN1622" s="497">
        <v>53.96</v>
      </c>
      <c r="AP1622" s="42"/>
      <c r="AQ1622" s="74"/>
      <c r="AR1622" s="77"/>
      <c r="AT1622" s="497">
        <v>22.1</v>
      </c>
      <c r="AV1622" s="42"/>
      <c r="AW1622" s="74"/>
      <c r="AX1622" s="77"/>
      <c r="BA1622" s="497">
        <v>28.04</v>
      </c>
      <c r="BB1622" s="42"/>
      <c r="BC1622" s="74"/>
      <c r="BD1622" s="77"/>
      <c r="BF1622">
        <v>33.08</v>
      </c>
      <c r="BH1622" s="42"/>
      <c r="BI1622" s="74"/>
      <c r="BJ1622" s="77"/>
      <c r="BL1622" s="497">
        <v>19.939999999999998</v>
      </c>
      <c r="BN1622" s="42"/>
      <c r="BO1622" s="74"/>
      <c r="BP1622" s="77"/>
      <c r="BR1622" s="497">
        <v>37.04</v>
      </c>
      <c r="BT1622" s="42"/>
    </row>
    <row r="1623" spans="1:72" x14ac:dyDescent="0.25">
      <c r="A1623" s="90">
        <v>38054</v>
      </c>
      <c r="B1623" s="20">
        <v>0.875</v>
      </c>
      <c r="D1623">
        <v>42.980000000000004</v>
      </c>
      <c r="E1623" t="str">
        <f t="shared" si="86"/>
        <v>WEEKDAY</v>
      </c>
      <c r="F1623" t="e">
        <f t="shared" si="85"/>
        <v>#N/A</v>
      </c>
      <c r="G1623" s="74">
        <v>32940</v>
      </c>
      <c r="H1623" s="77">
        <v>0.875</v>
      </c>
      <c r="J1623">
        <v>37.94</v>
      </c>
      <c r="M1623" s="74">
        <v>36593</v>
      </c>
      <c r="N1623" s="77">
        <v>0.875</v>
      </c>
      <c r="P1623">
        <v>44.6</v>
      </c>
      <c r="S1623" s="74">
        <v>38054</v>
      </c>
      <c r="T1623" s="77">
        <v>0.875</v>
      </c>
      <c r="V1623">
        <v>33.979999999999997</v>
      </c>
      <c r="X1623" s="42"/>
      <c r="AB1623">
        <v>40</v>
      </c>
      <c r="AC1623">
        <v>33.08</v>
      </c>
      <c r="AE1623" s="74"/>
      <c r="AF1623" s="77"/>
      <c r="AH1623" s="497">
        <v>48.2</v>
      </c>
      <c r="AJ1623" s="42"/>
      <c r="AK1623" s="74"/>
      <c r="AL1623" s="77"/>
      <c r="AN1623" s="497">
        <v>53.06</v>
      </c>
      <c r="AP1623" s="42"/>
      <c r="AQ1623" s="74"/>
      <c r="AR1623" s="77"/>
      <c r="AT1623" s="497">
        <v>19.939999999999998</v>
      </c>
      <c r="AV1623" s="42"/>
      <c r="AW1623" s="74"/>
      <c r="AX1623" s="77"/>
      <c r="BA1623" s="497">
        <v>26.96</v>
      </c>
      <c r="BB1623" s="42"/>
      <c r="BC1623" s="74"/>
      <c r="BD1623" s="77"/>
      <c r="BF1623">
        <v>33.08</v>
      </c>
      <c r="BH1623" s="42"/>
      <c r="BI1623" s="74"/>
      <c r="BJ1623" s="77"/>
      <c r="BL1623" s="497">
        <v>19.04</v>
      </c>
      <c r="BN1623" s="42"/>
      <c r="BO1623" s="74"/>
      <c r="BP1623" s="77"/>
      <c r="BR1623" s="497">
        <v>37.04</v>
      </c>
      <c r="BT1623" s="42"/>
    </row>
    <row r="1624" spans="1:72" x14ac:dyDescent="0.25">
      <c r="A1624" s="90">
        <v>38054</v>
      </c>
      <c r="B1624" s="20">
        <v>0.91666666666666663</v>
      </c>
      <c r="D1624">
        <v>42.08</v>
      </c>
      <c r="E1624" t="str">
        <f t="shared" si="86"/>
        <v>WEEKDAY</v>
      </c>
      <c r="F1624" t="e">
        <f t="shared" si="85"/>
        <v>#N/A</v>
      </c>
      <c r="G1624" s="74">
        <v>32940</v>
      </c>
      <c r="H1624" s="77">
        <v>0.91666666666666663</v>
      </c>
      <c r="J1624">
        <v>35.96</v>
      </c>
      <c r="M1624" s="74">
        <v>36593</v>
      </c>
      <c r="N1624" s="77">
        <v>0.91666666666666663</v>
      </c>
      <c r="P1624">
        <v>42.8</v>
      </c>
      <c r="S1624" s="74">
        <v>38054</v>
      </c>
      <c r="T1624" s="77">
        <v>0.91666666666666663</v>
      </c>
      <c r="V1624">
        <v>33.979999999999997</v>
      </c>
      <c r="X1624" s="42"/>
      <c r="AB1624">
        <v>39.4</v>
      </c>
      <c r="AC1624">
        <v>32</v>
      </c>
      <c r="AE1624" s="74"/>
      <c r="AF1624" s="77"/>
      <c r="AH1624" s="497">
        <v>46.4</v>
      </c>
      <c r="AJ1624" s="42"/>
      <c r="AK1624" s="74"/>
      <c r="AL1624" s="77"/>
      <c r="AN1624" s="497">
        <v>51.980000000000004</v>
      </c>
      <c r="AP1624" s="42"/>
      <c r="AQ1624" s="74"/>
      <c r="AR1624" s="77"/>
      <c r="AT1624" s="497">
        <v>17.96</v>
      </c>
      <c r="AV1624" s="42"/>
      <c r="AW1624" s="74"/>
      <c r="AX1624" s="77"/>
      <c r="BA1624" s="497">
        <v>28.04</v>
      </c>
      <c r="BB1624" s="42"/>
      <c r="BC1624" s="74"/>
      <c r="BD1624" s="77"/>
      <c r="BF1624">
        <v>33.08</v>
      </c>
      <c r="BH1624" s="42"/>
      <c r="BI1624" s="74"/>
      <c r="BJ1624" s="77"/>
      <c r="BL1624" s="497">
        <v>19.04</v>
      </c>
      <c r="BN1624" s="42"/>
      <c r="BO1624" s="74"/>
      <c r="BP1624" s="77"/>
      <c r="BR1624" s="497">
        <v>37.04</v>
      </c>
      <c r="BT1624" s="42"/>
    </row>
    <row r="1625" spans="1:72" x14ac:dyDescent="0.25">
      <c r="A1625" s="90">
        <v>38054</v>
      </c>
      <c r="B1625" s="20">
        <v>0.95833333333333337</v>
      </c>
      <c r="D1625">
        <v>41</v>
      </c>
      <c r="E1625" t="str">
        <f t="shared" si="86"/>
        <v>WEEKDAY</v>
      </c>
      <c r="F1625" t="e">
        <f t="shared" si="85"/>
        <v>#N/A</v>
      </c>
      <c r="G1625" s="74">
        <v>32940</v>
      </c>
      <c r="H1625" s="77">
        <v>0.95833333333333337</v>
      </c>
      <c r="J1625">
        <v>35.96</v>
      </c>
      <c r="M1625" s="74">
        <v>36593</v>
      </c>
      <c r="N1625" s="77">
        <v>0.95833333333333337</v>
      </c>
      <c r="P1625">
        <v>42.8</v>
      </c>
      <c r="S1625" s="74">
        <v>38054</v>
      </c>
      <c r="T1625" s="77">
        <v>0.95833333333333337</v>
      </c>
      <c r="V1625">
        <v>33.979999999999997</v>
      </c>
      <c r="X1625" s="42"/>
      <c r="AB1625">
        <v>38.799999999999997</v>
      </c>
      <c r="AC1625">
        <v>30.92</v>
      </c>
      <c r="AE1625" s="74"/>
      <c r="AF1625" s="77"/>
      <c r="AH1625" s="497">
        <v>46.4</v>
      </c>
      <c r="AJ1625" s="42"/>
      <c r="AK1625" s="74"/>
      <c r="AL1625" s="77"/>
      <c r="AN1625" s="497">
        <v>51.08</v>
      </c>
      <c r="AP1625" s="42"/>
      <c r="AQ1625" s="74"/>
      <c r="AR1625" s="77"/>
      <c r="AT1625" s="497">
        <v>16.7</v>
      </c>
      <c r="AV1625" s="42"/>
      <c r="AW1625" s="74"/>
      <c r="AX1625" s="77"/>
      <c r="BA1625" s="497">
        <v>26.060000000000002</v>
      </c>
      <c r="BB1625" s="42"/>
      <c r="BC1625" s="74"/>
      <c r="BD1625" s="77"/>
      <c r="BF1625">
        <v>33.08</v>
      </c>
      <c r="BH1625" s="42"/>
      <c r="BI1625" s="74"/>
      <c r="BJ1625" s="77"/>
      <c r="BL1625" s="497">
        <v>17.96</v>
      </c>
      <c r="BN1625" s="42"/>
      <c r="BO1625" s="74"/>
      <c r="BP1625" s="77"/>
      <c r="BR1625" s="497">
        <v>37.04</v>
      </c>
      <c r="BT1625" s="42"/>
    </row>
    <row r="1626" spans="1:72" x14ac:dyDescent="0.25">
      <c r="A1626" s="90">
        <v>38054</v>
      </c>
      <c r="B1626" s="20">
        <v>1</v>
      </c>
      <c r="D1626">
        <v>39.92</v>
      </c>
      <c r="E1626" t="str">
        <f t="shared" si="86"/>
        <v>WEEKDAY</v>
      </c>
      <c r="F1626" t="e">
        <f t="shared" si="85"/>
        <v>#N/A</v>
      </c>
      <c r="G1626" s="74">
        <v>32940</v>
      </c>
      <c r="H1626" s="77">
        <v>1</v>
      </c>
      <c r="J1626">
        <v>35.96</v>
      </c>
      <c r="M1626" s="74">
        <v>36593</v>
      </c>
      <c r="N1626" s="80">
        <v>1</v>
      </c>
      <c r="P1626">
        <v>42.8</v>
      </c>
      <c r="S1626" s="74">
        <v>38054</v>
      </c>
      <c r="T1626" s="80">
        <v>1</v>
      </c>
      <c r="V1626">
        <v>35.06</v>
      </c>
      <c r="X1626" s="42"/>
      <c r="AB1626">
        <v>38.299999999999997</v>
      </c>
      <c r="AC1626">
        <v>28.94</v>
      </c>
      <c r="AE1626" s="74"/>
      <c r="AF1626" s="80"/>
      <c r="AH1626" s="497">
        <v>46.58</v>
      </c>
      <c r="AJ1626" s="42"/>
      <c r="AK1626" s="74"/>
      <c r="AL1626" s="80"/>
      <c r="AN1626" s="497">
        <v>51.08</v>
      </c>
      <c r="AP1626" s="42"/>
      <c r="AQ1626" s="74"/>
      <c r="AR1626" s="80"/>
      <c r="AT1626" s="497">
        <v>15.259999999999998</v>
      </c>
      <c r="AV1626" s="42"/>
      <c r="AW1626" s="74"/>
      <c r="AX1626" s="80"/>
      <c r="BA1626" s="497">
        <v>24.98</v>
      </c>
      <c r="BB1626" s="42"/>
      <c r="BC1626" s="74"/>
      <c r="BD1626" s="80"/>
      <c r="BF1626">
        <v>33.979999999999997</v>
      </c>
      <c r="BH1626" s="42"/>
      <c r="BI1626" s="74"/>
      <c r="BJ1626" s="80"/>
      <c r="BL1626" s="497">
        <v>19.04</v>
      </c>
      <c r="BN1626" s="42"/>
      <c r="BO1626" s="74"/>
      <c r="BP1626" s="80"/>
      <c r="BR1626" s="497">
        <v>35.96</v>
      </c>
      <c r="BT1626" s="42"/>
    </row>
    <row r="1627" spans="1:72" x14ac:dyDescent="0.25">
      <c r="A1627" s="90">
        <v>38055</v>
      </c>
      <c r="B1627" s="20">
        <v>4.1666666666666664E-2</v>
      </c>
      <c r="D1627">
        <v>37.04</v>
      </c>
      <c r="E1627" t="str">
        <f t="shared" si="86"/>
        <v>WEEKDAY</v>
      </c>
      <c r="F1627" t="e">
        <f t="shared" si="85"/>
        <v>#N/A</v>
      </c>
      <c r="G1627" s="74">
        <v>32941</v>
      </c>
      <c r="H1627" s="77">
        <v>4.1666666666666664E-2</v>
      </c>
      <c r="J1627">
        <v>35.96</v>
      </c>
      <c r="M1627" s="74">
        <v>36594</v>
      </c>
      <c r="N1627" s="77">
        <v>4.1666666666666664E-2</v>
      </c>
      <c r="P1627">
        <v>42.8</v>
      </c>
      <c r="S1627" s="74">
        <v>38055</v>
      </c>
      <c r="T1627" s="77">
        <v>4.1666666666666664E-2</v>
      </c>
      <c r="V1627">
        <v>35.06</v>
      </c>
      <c r="X1627" s="42"/>
      <c r="AB1627">
        <v>37.700000000000003</v>
      </c>
      <c r="AC1627">
        <v>28.04</v>
      </c>
      <c r="AE1627" s="74"/>
      <c r="AF1627" s="77"/>
      <c r="AH1627" s="497">
        <v>46.4</v>
      </c>
      <c r="AJ1627" s="42"/>
      <c r="AK1627" s="74"/>
      <c r="AL1627" s="77"/>
      <c r="AN1627" s="497">
        <v>48.92</v>
      </c>
      <c r="AP1627" s="42"/>
      <c r="AQ1627" s="74"/>
      <c r="AR1627" s="77"/>
      <c r="AT1627" s="497">
        <v>14</v>
      </c>
      <c r="AV1627" s="42"/>
      <c r="AW1627" s="74"/>
      <c r="AX1627" s="77"/>
      <c r="BA1627" s="497">
        <v>24.08</v>
      </c>
      <c r="BB1627" s="42"/>
      <c r="BC1627" s="74"/>
      <c r="BD1627" s="77"/>
      <c r="BF1627">
        <v>33.979999999999997</v>
      </c>
      <c r="BH1627" s="42"/>
      <c r="BI1627" s="74"/>
      <c r="BJ1627" s="77"/>
      <c r="BL1627" s="497">
        <v>19.939999999999998</v>
      </c>
      <c r="BN1627" s="42"/>
      <c r="BO1627" s="74"/>
      <c r="BP1627" s="77"/>
      <c r="BR1627" s="497">
        <v>35.96</v>
      </c>
      <c r="BT1627" s="42"/>
    </row>
    <row r="1628" spans="1:72" x14ac:dyDescent="0.25">
      <c r="A1628" s="90">
        <v>38055</v>
      </c>
      <c r="B1628" s="20">
        <v>8.3333333333333329E-2</v>
      </c>
      <c r="D1628">
        <v>37.04</v>
      </c>
      <c r="E1628" t="str">
        <f t="shared" si="86"/>
        <v>WEEKDAY</v>
      </c>
      <c r="F1628" t="e">
        <f t="shared" si="85"/>
        <v>#N/A</v>
      </c>
      <c r="G1628" s="74">
        <v>32941</v>
      </c>
      <c r="H1628" s="77">
        <v>8.3333333333333329E-2</v>
      </c>
      <c r="J1628">
        <v>37.04</v>
      </c>
      <c r="M1628" s="74">
        <v>36594</v>
      </c>
      <c r="N1628" s="77">
        <v>8.3333333333333329E-2</v>
      </c>
      <c r="P1628">
        <v>42.8</v>
      </c>
      <c r="S1628" s="74">
        <v>38055</v>
      </c>
      <c r="T1628" s="77">
        <v>8.3333333333333329E-2</v>
      </c>
      <c r="V1628">
        <v>35.06</v>
      </c>
      <c r="X1628" s="42"/>
      <c r="AB1628">
        <v>37.1</v>
      </c>
      <c r="AC1628">
        <v>28.04</v>
      </c>
      <c r="AE1628" s="74"/>
      <c r="AF1628" s="77"/>
      <c r="AH1628" s="497">
        <v>46.4</v>
      </c>
      <c r="AJ1628" s="42"/>
      <c r="AK1628" s="74"/>
      <c r="AL1628" s="77"/>
      <c r="AN1628" s="497">
        <v>48.019999999999996</v>
      </c>
      <c r="AP1628" s="42"/>
      <c r="AQ1628" s="74"/>
      <c r="AR1628" s="77"/>
      <c r="AT1628" s="497">
        <v>13.64</v>
      </c>
      <c r="AV1628" s="42"/>
      <c r="AW1628" s="74"/>
      <c r="AX1628" s="77"/>
      <c r="BA1628" s="497">
        <v>21.92</v>
      </c>
      <c r="BB1628" s="42"/>
      <c r="BC1628" s="74"/>
      <c r="BD1628" s="77"/>
      <c r="BF1628">
        <v>37.04</v>
      </c>
      <c r="BH1628" s="42"/>
      <c r="BI1628" s="74"/>
      <c r="BJ1628" s="77"/>
      <c r="BL1628" s="497">
        <v>21.02</v>
      </c>
      <c r="BN1628" s="42"/>
      <c r="BO1628" s="74"/>
      <c r="BP1628" s="77"/>
      <c r="BR1628" s="497">
        <v>35.06</v>
      </c>
      <c r="BT1628" s="42"/>
    </row>
    <row r="1629" spans="1:72" x14ac:dyDescent="0.25">
      <c r="A1629" s="90">
        <v>38055</v>
      </c>
      <c r="B1629" s="20">
        <v>0.125</v>
      </c>
      <c r="D1629">
        <v>33.979999999999997</v>
      </c>
      <c r="E1629" t="str">
        <f t="shared" si="86"/>
        <v>WEEKDAY</v>
      </c>
      <c r="F1629" t="e">
        <f t="shared" si="85"/>
        <v>#N/A</v>
      </c>
      <c r="G1629" s="74">
        <v>32941</v>
      </c>
      <c r="H1629" s="77">
        <v>0.125</v>
      </c>
      <c r="J1629">
        <v>35.96</v>
      </c>
      <c r="M1629" s="74">
        <v>36594</v>
      </c>
      <c r="N1629" s="77">
        <v>0.125</v>
      </c>
      <c r="P1629">
        <v>42.980000000000004</v>
      </c>
      <c r="S1629" s="74">
        <v>38055</v>
      </c>
      <c r="T1629" s="77">
        <v>0.125</v>
      </c>
      <c r="V1629">
        <v>35.06</v>
      </c>
      <c r="X1629" s="42"/>
      <c r="AB1629">
        <v>36.5</v>
      </c>
      <c r="AC1629">
        <v>26.96</v>
      </c>
      <c r="AE1629" s="74"/>
      <c r="AF1629" s="77"/>
      <c r="AH1629" s="497">
        <v>46.4</v>
      </c>
      <c r="AJ1629" s="42"/>
      <c r="AK1629" s="74"/>
      <c r="AL1629" s="77"/>
      <c r="AN1629" s="497">
        <v>46.94</v>
      </c>
      <c r="AP1629" s="42"/>
      <c r="AQ1629" s="74"/>
      <c r="AR1629" s="77"/>
      <c r="AT1629" s="497">
        <v>13.279999999999998</v>
      </c>
      <c r="AV1629" s="42"/>
      <c r="AW1629" s="74"/>
      <c r="AX1629" s="77"/>
      <c r="BA1629" s="497">
        <v>21.92</v>
      </c>
      <c r="BB1629" s="42"/>
      <c r="BC1629" s="74"/>
      <c r="BD1629" s="77"/>
      <c r="BF1629">
        <v>35.06</v>
      </c>
      <c r="BH1629" s="42"/>
      <c r="BI1629" s="74"/>
      <c r="BJ1629" s="77"/>
      <c r="BL1629" s="497">
        <v>21.92</v>
      </c>
      <c r="BN1629" s="42"/>
      <c r="BO1629" s="74"/>
      <c r="BP1629" s="77"/>
      <c r="BR1629" s="497">
        <v>35.06</v>
      </c>
      <c r="BT1629" s="42"/>
    </row>
    <row r="1630" spans="1:72" x14ac:dyDescent="0.25">
      <c r="A1630" s="90">
        <v>38055</v>
      </c>
      <c r="B1630" s="20">
        <v>0.16666666666666666</v>
      </c>
      <c r="D1630">
        <v>32</v>
      </c>
      <c r="E1630" t="str">
        <f t="shared" si="86"/>
        <v>WEEKDAY</v>
      </c>
      <c r="F1630" t="e">
        <f t="shared" si="85"/>
        <v>#N/A</v>
      </c>
      <c r="G1630" s="74">
        <v>32941</v>
      </c>
      <c r="H1630" s="77">
        <v>0.16666666666666666</v>
      </c>
      <c r="J1630">
        <v>35.06</v>
      </c>
      <c r="M1630" s="74">
        <v>36594</v>
      </c>
      <c r="N1630" s="77">
        <v>0.16666666666666666</v>
      </c>
      <c r="P1630">
        <v>42.8</v>
      </c>
      <c r="S1630" s="74">
        <v>38055</v>
      </c>
      <c r="T1630" s="77">
        <v>0.16666666666666666</v>
      </c>
      <c r="V1630">
        <v>35.96</v>
      </c>
      <c r="X1630" s="42"/>
      <c r="AB1630">
        <v>36</v>
      </c>
      <c r="AC1630">
        <v>26.060000000000002</v>
      </c>
      <c r="AE1630" s="74"/>
      <c r="AF1630" s="77"/>
      <c r="AH1630" s="497">
        <v>46.4</v>
      </c>
      <c r="AJ1630" s="42"/>
      <c r="AK1630" s="74"/>
      <c r="AL1630" s="77"/>
      <c r="AN1630" s="497">
        <v>46.04</v>
      </c>
      <c r="AP1630" s="42"/>
      <c r="AQ1630" s="74"/>
      <c r="AR1630" s="77"/>
      <c r="AT1630" s="497">
        <v>12.920000000000002</v>
      </c>
      <c r="AV1630" s="42"/>
      <c r="AW1630" s="74"/>
      <c r="AX1630" s="77"/>
      <c r="BA1630" s="497">
        <v>21.02</v>
      </c>
      <c r="BB1630" s="42"/>
      <c r="BC1630" s="74"/>
      <c r="BD1630" s="77"/>
      <c r="BF1630">
        <v>35.96</v>
      </c>
      <c r="BH1630" s="42"/>
      <c r="BI1630" s="74"/>
      <c r="BJ1630" s="77"/>
      <c r="BL1630" s="497">
        <v>21.92</v>
      </c>
      <c r="BN1630" s="42"/>
      <c r="BO1630" s="74"/>
      <c r="BP1630" s="77"/>
      <c r="BR1630" s="497">
        <v>33.979999999999997</v>
      </c>
      <c r="BT1630" s="42"/>
    </row>
    <row r="1631" spans="1:72" x14ac:dyDescent="0.25">
      <c r="A1631" s="90">
        <v>38055</v>
      </c>
      <c r="B1631" s="20">
        <v>0.20833333333333334</v>
      </c>
      <c r="D1631">
        <v>32</v>
      </c>
      <c r="E1631" t="str">
        <f t="shared" si="86"/>
        <v>WEEKDAY</v>
      </c>
      <c r="F1631" t="e">
        <f t="shared" si="85"/>
        <v>#N/A</v>
      </c>
      <c r="G1631" s="74">
        <v>32941</v>
      </c>
      <c r="H1631" s="77">
        <v>0.20833333333333334</v>
      </c>
      <c r="J1631">
        <v>35.06</v>
      </c>
      <c r="M1631" s="74">
        <v>36594</v>
      </c>
      <c r="N1631" s="77">
        <v>0.20833333333333334</v>
      </c>
      <c r="P1631">
        <v>42.8</v>
      </c>
      <c r="S1631" s="74">
        <v>38055</v>
      </c>
      <c r="T1631" s="77">
        <v>0.20833333333333334</v>
      </c>
      <c r="V1631">
        <v>35.96</v>
      </c>
      <c r="X1631" s="42"/>
      <c r="AB1631">
        <v>35.6</v>
      </c>
      <c r="AC1631">
        <v>26.96</v>
      </c>
      <c r="AE1631" s="74"/>
      <c r="AF1631" s="77"/>
      <c r="AH1631" s="497">
        <v>44.6</v>
      </c>
      <c r="AJ1631" s="42"/>
      <c r="AK1631" s="74"/>
      <c r="AL1631" s="77"/>
      <c r="AN1631" s="497">
        <v>46.04</v>
      </c>
      <c r="AP1631" s="42"/>
      <c r="AQ1631" s="74"/>
      <c r="AR1631" s="77"/>
      <c r="AT1631" s="497">
        <v>14</v>
      </c>
      <c r="AV1631" s="42"/>
      <c r="AW1631" s="74"/>
      <c r="AX1631" s="77"/>
      <c r="BA1631" s="497">
        <v>19.04</v>
      </c>
      <c r="BB1631" s="42"/>
      <c r="BC1631" s="74"/>
      <c r="BD1631" s="77"/>
      <c r="BF1631">
        <v>35.96</v>
      </c>
      <c r="BH1631" s="42"/>
      <c r="BI1631" s="74"/>
      <c r="BJ1631" s="77"/>
      <c r="BL1631" s="497">
        <v>24.08</v>
      </c>
      <c r="BN1631" s="42"/>
      <c r="BO1631" s="74"/>
      <c r="BP1631" s="77"/>
      <c r="BR1631" s="497">
        <v>33.08</v>
      </c>
      <c r="BT1631" s="42"/>
    </row>
    <row r="1632" spans="1:72" x14ac:dyDescent="0.25">
      <c r="A1632" s="90">
        <v>38055</v>
      </c>
      <c r="B1632" s="20">
        <v>0.25</v>
      </c>
      <c r="D1632">
        <v>32</v>
      </c>
      <c r="E1632" t="str">
        <f t="shared" si="86"/>
        <v>WEEKDAY</v>
      </c>
      <c r="F1632" t="e">
        <f t="shared" si="85"/>
        <v>#N/A</v>
      </c>
      <c r="G1632" s="74">
        <v>32941</v>
      </c>
      <c r="H1632" s="77">
        <v>0.25</v>
      </c>
      <c r="J1632">
        <v>33.979999999999997</v>
      </c>
      <c r="M1632" s="74">
        <v>36594</v>
      </c>
      <c r="N1632" s="77">
        <v>0.25</v>
      </c>
      <c r="P1632">
        <v>42.8</v>
      </c>
      <c r="S1632" s="74">
        <v>38055</v>
      </c>
      <c r="T1632" s="77">
        <v>0.25</v>
      </c>
      <c r="V1632">
        <v>35.96</v>
      </c>
      <c r="X1632" s="42"/>
      <c r="AB1632">
        <v>35.299999999999997</v>
      </c>
      <c r="AC1632">
        <v>26.060000000000002</v>
      </c>
      <c r="AE1632" s="74"/>
      <c r="AF1632" s="77"/>
      <c r="AH1632" s="497">
        <v>44.06</v>
      </c>
      <c r="AJ1632" s="42"/>
      <c r="AK1632" s="74"/>
      <c r="AL1632" s="77"/>
      <c r="AN1632" s="497">
        <v>46.04</v>
      </c>
      <c r="AP1632" s="42"/>
      <c r="AQ1632" s="74"/>
      <c r="AR1632" s="77"/>
      <c r="AT1632" s="497">
        <v>14.899999999999999</v>
      </c>
      <c r="AV1632" s="42"/>
      <c r="AW1632" s="74"/>
      <c r="AX1632" s="77"/>
      <c r="BA1632" s="497">
        <v>19.04</v>
      </c>
      <c r="BB1632" s="42"/>
      <c r="BC1632" s="74"/>
      <c r="BD1632" s="77"/>
      <c r="BF1632">
        <v>35.96</v>
      </c>
      <c r="BH1632" s="42"/>
      <c r="BI1632" s="74"/>
      <c r="BJ1632" s="77"/>
      <c r="BL1632" s="497">
        <v>24.98</v>
      </c>
      <c r="BN1632" s="42"/>
      <c r="BO1632" s="74"/>
      <c r="BP1632" s="77"/>
      <c r="BR1632" s="497">
        <v>33.08</v>
      </c>
      <c r="BT1632" s="42"/>
    </row>
    <row r="1633" spans="1:72" x14ac:dyDescent="0.25">
      <c r="A1633" s="90">
        <v>38055</v>
      </c>
      <c r="B1633" s="20">
        <v>0.29166666666666669</v>
      </c>
      <c r="D1633">
        <v>30.02</v>
      </c>
      <c r="E1633" t="str">
        <f t="shared" si="86"/>
        <v>WEEKDAY</v>
      </c>
      <c r="F1633" t="e">
        <f t="shared" si="85"/>
        <v>#N/A</v>
      </c>
      <c r="G1633" s="74">
        <v>32941</v>
      </c>
      <c r="H1633" s="77">
        <v>0.29166666666666669</v>
      </c>
      <c r="J1633">
        <v>35.06</v>
      </c>
      <c r="M1633" s="74">
        <v>36594</v>
      </c>
      <c r="N1633" s="77">
        <v>0.29166666666666669</v>
      </c>
      <c r="P1633">
        <v>44.6</v>
      </c>
      <c r="S1633" s="74">
        <v>38055</v>
      </c>
      <c r="T1633" s="77">
        <v>0.29166666666666669</v>
      </c>
      <c r="V1633">
        <v>35.96</v>
      </c>
      <c r="X1633" s="42"/>
      <c r="AB1633">
        <v>35.1</v>
      </c>
      <c r="AC1633">
        <v>26.96</v>
      </c>
      <c r="AE1633" s="74"/>
      <c r="AF1633" s="77"/>
      <c r="AH1633" s="497">
        <v>44.6</v>
      </c>
      <c r="AJ1633" s="42"/>
      <c r="AK1633" s="74"/>
      <c r="AL1633" s="77"/>
      <c r="AN1633" s="497">
        <v>46.94</v>
      </c>
      <c r="AP1633" s="42"/>
      <c r="AQ1633" s="74"/>
      <c r="AR1633" s="77"/>
      <c r="AT1633" s="497">
        <v>15.98</v>
      </c>
      <c r="AV1633" s="42"/>
      <c r="AW1633" s="74"/>
      <c r="AX1633" s="77"/>
      <c r="BA1633" s="497">
        <v>19.939999999999998</v>
      </c>
      <c r="BB1633" s="42"/>
      <c r="BC1633" s="74"/>
      <c r="BD1633" s="77"/>
      <c r="BF1633">
        <v>37.94</v>
      </c>
      <c r="BH1633" s="42"/>
      <c r="BI1633" s="74"/>
      <c r="BJ1633" s="77"/>
      <c r="BL1633" s="497">
        <v>26.060000000000002</v>
      </c>
      <c r="BN1633" s="42"/>
      <c r="BO1633" s="74"/>
      <c r="BP1633" s="77"/>
      <c r="BR1633" s="497">
        <v>32</v>
      </c>
      <c r="BT1633" s="42"/>
    </row>
    <row r="1634" spans="1:72" x14ac:dyDescent="0.25">
      <c r="A1634" s="90">
        <v>38055</v>
      </c>
      <c r="B1634" s="20">
        <v>0.33333333333333331</v>
      </c>
      <c r="D1634">
        <v>28.04</v>
      </c>
      <c r="E1634" t="str">
        <f t="shared" si="86"/>
        <v>WEEKDAY</v>
      </c>
      <c r="F1634" t="e">
        <f t="shared" si="85"/>
        <v>#N/A</v>
      </c>
      <c r="G1634" s="74">
        <v>32941</v>
      </c>
      <c r="H1634" s="77">
        <v>0.33333333333333331</v>
      </c>
      <c r="J1634">
        <v>37.94</v>
      </c>
      <c r="M1634" s="74">
        <v>36594</v>
      </c>
      <c r="N1634" s="77">
        <v>0.33333333333333331</v>
      </c>
      <c r="P1634">
        <v>44.6</v>
      </c>
      <c r="S1634" s="74">
        <v>38055</v>
      </c>
      <c r="T1634" s="77">
        <v>0.33333333333333331</v>
      </c>
      <c r="V1634">
        <v>37.04</v>
      </c>
      <c r="X1634" s="42"/>
      <c r="AB1634">
        <v>35.5</v>
      </c>
      <c r="AC1634">
        <v>28.94</v>
      </c>
      <c r="AE1634" s="74"/>
      <c r="AF1634" s="77"/>
      <c r="AH1634" s="497">
        <v>44.6</v>
      </c>
      <c r="AJ1634" s="42"/>
      <c r="AK1634" s="74"/>
      <c r="AL1634" s="77"/>
      <c r="AN1634" s="497">
        <v>50</v>
      </c>
      <c r="AP1634" s="42"/>
      <c r="AQ1634" s="74"/>
      <c r="AR1634" s="77"/>
      <c r="AT1634" s="497">
        <v>19.579999999999998</v>
      </c>
      <c r="AV1634" s="42"/>
      <c r="AW1634" s="74"/>
      <c r="AX1634" s="77"/>
      <c r="BA1634" s="497">
        <v>26.96</v>
      </c>
      <c r="BB1634" s="42"/>
      <c r="BC1634" s="74"/>
      <c r="BD1634" s="77"/>
      <c r="BF1634">
        <v>35.96</v>
      </c>
      <c r="BH1634" s="42"/>
      <c r="BI1634" s="74"/>
      <c r="BJ1634" s="77"/>
      <c r="BL1634" s="497">
        <v>30.02</v>
      </c>
      <c r="BN1634" s="42"/>
      <c r="BO1634" s="74"/>
      <c r="BP1634" s="77"/>
      <c r="BR1634" s="497">
        <v>30.92</v>
      </c>
      <c r="BT1634" s="42"/>
    </row>
    <row r="1635" spans="1:72" x14ac:dyDescent="0.25">
      <c r="A1635" s="90">
        <v>38055</v>
      </c>
      <c r="B1635" s="20">
        <v>0.375</v>
      </c>
      <c r="D1635">
        <v>28.04</v>
      </c>
      <c r="E1635" t="str">
        <f t="shared" si="86"/>
        <v>WEEKDAY</v>
      </c>
      <c r="F1635" t="e">
        <f t="shared" si="85"/>
        <v>#N/A</v>
      </c>
      <c r="G1635" s="74">
        <v>32941</v>
      </c>
      <c r="H1635" s="77">
        <v>0.375</v>
      </c>
      <c r="J1635">
        <v>42.980000000000004</v>
      </c>
      <c r="M1635" s="74">
        <v>36594</v>
      </c>
      <c r="N1635" s="77">
        <v>0.375</v>
      </c>
      <c r="P1635">
        <v>46.4</v>
      </c>
      <c r="S1635" s="74">
        <v>38055</v>
      </c>
      <c r="T1635" s="77">
        <v>0.375</v>
      </c>
      <c r="V1635">
        <v>39.019999999999996</v>
      </c>
      <c r="X1635" s="42"/>
      <c r="AB1635">
        <v>37.200000000000003</v>
      </c>
      <c r="AC1635">
        <v>30.02</v>
      </c>
      <c r="AE1635" s="74"/>
      <c r="AF1635" s="77"/>
      <c r="AH1635" s="497">
        <v>46.4</v>
      </c>
      <c r="AJ1635" s="42"/>
      <c r="AK1635" s="74"/>
      <c r="AL1635" s="77"/>
      <c r="AN1635" s="497">
        <v>51.980000000000004</v>
      </c>
      <c r="AP1635" s="42"/>
      <c r="AQ1635" s="74"/>
      <c r="AR1635" s="77"/>
      <c r="AT1635" s="497">
        <v>23.36</v>
      </c>
      <c r="AV1635" s="42"/>
      <c r="AW1635" s="74"/>
      <c r="AX1635" s="77"/>
      <c r="BA1635" s="497">
        <v>32</v>
      </c>
      <c r="BB1635" s="42"/>
      <c r="BC1635" s="74"/>
      <c r="BD1635" s="77"/>
      <c r="BF1635">
        <v>35.06</v>
      </c>
      <c r="BH1635" s="42"/>
      <c r="BI1635" s="74"/>
      <c r="BJ1635" s="77"/>
      <c r="BL1635" s="497">
        <v>30.02</v>
      </c>
      <c r="BN1635" s="42"/>
      <c r="BO1635" s="74"/>
      <c r="BP1635" s="77"/>
      <c r="BR1635" s="497">
        <v>30.92</v>
      </c>
      <c r="BT1635" s="42"/>
    </row>
    <row r="1636" spans="1:72" x14ac:dyDescent="0.25">
      <c r="A1636" s="90">
        <v>38055</v>
      </c>
      <c r="B1636" s="20">
        <v>0.41666666666666669</v>
      </c>
      <c r="D1636">
        <v>28.94</v>
      </c>
      <c r="E1636" t="str">
        <f t="shared" si="86"/>
        <v>WEEKDAY</v>
      </c>
      <c r="F1636" t="e">
        <f t="shared" si="85"/>
        <v>#N/A</v>
      </c>
      <c r="G1636" s="74">
        <v>32941</v>
      </c>
      <c r="H1636" s="77">
        <v>0.41666666666666669</v>
      </c>
      <c r="J1636">
        <v>44.06</v>
      </c>
      <c r="M1636" s="74">
        <v>36594</v>
      </c>
      <c r="N1636" s="77">
        <v>0.41666666666666669</v>
      </c>
      <c r="P1636">
        <v>51.8</v>
      </c>
      <c r="S1636" s="74">
        <v>38055</v>
      </c>
      <c r="T1636" s="77">
        <v>0.41666666666666669</v>
      </c>
      <c r="V1636">
        <v>39.019999999999996</v>
      </c>
      <c r="X1636" s="42"/>
      <c r="AB1636">
        <v>38.9</v>
      </c>
      <c r="AC1636">
        <v>32</v>
      </c>
      <c r="AE1636" s="74"/>
      <c r="AF1636" s="77"/>
      <c r="AH1636" s="497">
        <v>51.26</v>
      </c>
      <c r="AJ1636" s="42"/>
      <c r="AK1636" s="74"/>
      <c r="AL1636" s="77"/>
      <c r="AN1636" s="497">
        <v>55.94</v>
      </c>
      <c r="AP1636" s="42"/>
      <c r="AQ1636" s="74"/>
      <c r="AR1636" s="77"/>
      <c r="AT1636" s="497">
        <v>26.96</v>
      </c>
      <c r="AV1636" s="42"/>
      <c r="AW1636" s="74"/>
      <c r="AX1636" s="77"/>
      <c r="BA1636" s="497">
        <v>35.96</v>
      </c>
      <c r="BB1636" s="42"/>
      <c r="BC1636" s="74"/>
      <c r="BD1636" s="77"/>
      <c r="BF1636">
        <v>37.04</v>
      </c>
      <c r="BH1636" s="42"/>
      <c r="BI1636" s="74"/>
      <c r="BJ1636" s="77"/>
      <c r="BL1636" s="497">
        <v>32</v>
      </c>
      <c r="BN1636" s="42"/>
      <c r="BO1636" s="74"/>
      <c r="BP1636" s="77"/>
      <c r="BR1636" s="497">
        <v>33.08</v>
      </c>
      <c r="BT1636" s="42"/>
    </row>
    <row r="1637" spans="1:72" x14ac:dyDescent="0.25">
      <c r="A1637" s="90">
        <v>38055</v>
      </c>
      <c r="B1637" s="20">
        <v>0.45833333333333331</v>
      </c>
      <c r="D1637">
        <v>30.92</v>
      </c>
      <c r="E1637" t="str">
        <f t="shared" si="86"/>
        <v>WEEKDAY</v>
      </c>
      <c r="F1637" t="e">
        <f t="shared" si="85"/>
        <v>#N/A</v>
      </c>
      <c r="G1637" s="74">
        <v>32941</v>
      </c>
      <c r="H1637" s="77">
        <v>0.45833333333333331</v>
      </c>
      <c r="J1637">
        <v>44.96</v>
      </c>
      <c r="M1637" s="74">
        <v>36594</v>
      </c>
      <c r="N1637" s="77">
        <v>0.45833333333333331</v>
      </c>
      <c r="P1637">
        <v>57.2</v>
      </c>
      <c r="S1637" s="74">
        <v>38055</v>
      </c>
      <c r="T1637" s="77">
        <v>0.45833333333333331</v>
      </c>
      <c r="V1637">
        <v>42.08</v>
      </c>
      <c r="X1637" s="42"/>
      <c r="AB1637">
        <v>40.5</v>
      </c>
      <c r="AC1637">
        <v>33.979999999999997</v>
      </c>
      <c r="AE1637" s="74"/>
      <c r="AF1637" s="77"/>
      <c r="AH1637" s="497">
        <v>55.400000000000006</v>
      </c>
      <c r="AJ1637" s="42"/>
      <c r="AK1637" s="74"/>
      <c r="AL1637" s="77"/>
      <c r="AN1637" s="497">
        <v>55.040000000000006</v>
      </c>
      <c r="AP1637" s="42"/>
      <c r="AQ1637" s="74"/>
      <c r="AR1637" s="77"/>
      <c r="AT1637" s="497">
        <v>28.94</v>
      </c>
      <c r="AV1637" s="42"/>
      <c r="AW1637" s="74"/>
      <c r="AX1637" s="77"/>
      <c r="BA1637" s="497">
        <v>39.019999999999996</v>
      </c>
      <c r="BB1637" s="42"/>
      <c r="BC1637" s="74"/>
      <c r="BD1637" s="77"/>
      <c r="BF1637">
        <v>39.019999999999996</v>
      </c>
      <c r="BH1637" s="42"/>
      <c r="BI1637" s="74"/>
      <c r="BJ1637" s="77"/>
      <c r="BL1637" s="497">
        <v>33.08</v>
      </c>
      <c r="BN1637" s="42"/>
      <c r="BO1637" s="74"/>
      <c r="BP1637" s="77"/>
      <c r="BR1637" s="497">
        <v>33.979999999999997</v>
      </c>
      <c r="BT1637" s="42"/>
    </row>
    <row r="1638" spans="1:72" x14ac:dyDescent="0.25">
      <c r="A1638" s="90">
        <v>38055</v>
      </c>
      <c r="B1638" s="20">
        <v>0.5</v>
      </c>
      <c r="D1638">
        <v>30.92</v>
      </c>
      <c r="E1638" t="str">
        <f t="shared" si="86"/>
        <v>WEEKDAY</v>
      </c>
      <c r="F1638" t="e">
        <f t="shared" si="85"/>
        <v>#N/A</v>
      </c>
      <c r="G1638" s="74">
        <v>32941</v>
      </c>
      <c r="H1638" s="77">
        <v>0.5</v>
      </c>
      <c r="J1638">
        <v>46.94</v>
      </c>
      <c r="M1638" s="74">
        <v>36594</v>
      </c>
      <c r="N1638" s="77">
        <v>0.5</v>
      </c>
      <c r="P1638">
        <v>62.6</v>
      </c>
      <c r="S1638" s="74">
        <v>38055</v>
      </c>
      <c r="T1638" s="77">
        <v>0.5</v>
      </c>
      <c r="V1638">
        <v>42.08</v>
      </c>
      <c r="X1638" s="42"/>
      <c r="AB1638">
        <v>41.9</v>
      </c>
      <c r="AC1638">
        <v>37.04</v>
      </c>
      <c r="AE1638" s="74"/>
      <c r="AF1638" s="77"/>
      <c r="AH1638" s="497">
        <v>62.6</v>
      </c>
      <c r="AJ1638" s="42"/>
      <c r="AK1638" s="74"/>
      <c r="AL1638" s="77"/>
      <c r="AN1638" s="497">
        <v>55.94</v>
      </c>
      <c r="AP1638" s="42"/>
      <c r="AQ1638" s="74"/>
      <c r="AR1638" s="77"/>
      <c r="AT1638" s="497">
        <v>31.1</v>
      </c>
      <c r="AV1638" s="42"/>
      <c r="AW1638" s="74"/>
      <c r="AX1638" s="77"/>
      <c r="BA1638" s="497">
        <v>42.980000000000004</v>
      </c>
      <c r="BB1638" s="42"/>
      <c r="BC1638" s="74"/>
      <c r="BD1638" s="77"/>
      <c r="BF1638">
        <v>42.08</v>
      </c>
      <c r="BH1638" s="42"/>
      <c r="BI1638" s="74"/>
      <c r="BJ1638" s="77"/>
      <c r="BL1638" s="497">
        <v>33.08</v>
      </c>
      <c r="BN1638" s="42"/>
      <c r="BO1638" s="74"/>
      <c r="BP1638" s="77"/>
      <c r="BR1638" s="497">
        <v>35.06</v>
      </c>
      <c r="BT1638" s="42"/>
    </row>
    <row r="1639" spans="1:72" x14ac:dyDescent="0.25">
      <c r="A1639" s="90">
        <v>38055</v>
      </c>
      <c r="B1639" s="20">
        <v>0.54166666666666663</v>
      </c>
      <c r="D1639">
        <v>32</v>
      </c>
      <c r="E1639" t="str">
        <f t="shared" si="86"/>
        <v>WEEKDAY</v>
      </c>
      <c r="F1639" t="e">
        <f t="shared" si="85"/>
        <v>#N/A</v>
      </c>
      <c r="G1639" s="74">
        <v>32941</v>
      </c>
      <c r="H1639" s="77">
        <v>0.54166666666666663</v>
      </c>
      <c r="J1639">
        <v>46.04</v>
      </c>
      <c r="M1639" s="74">
        <v>36594</v>
      </c>
      <c r="N1639" s="77">
        <v>0.54166666666666663</v>
      </c>
      <c r="P1639">
        <v>66.2</v>
      </c>
      <c r="S1639" s="74">
        <v>38055</v>
      </c>
      <c r="T1639" s="77">
        <v>0.54166666666666663</v>
      </c>
      <c r="V1639">
        <v>41</v>
      </c>
      <c r="X1639" s="42"/>
      <c r="AB1639">
        <v>42.9</v>
      </c>
      <c r="AC1639">
        <v>37.94</v>
      </c>
      <c r="AE1639" s="74"/>
      <c r="AF1639" s="77"/>
      <c r="AH1639" s="497">
        <v>66.2</v>
      </c>
      <c r="AJ1639" s="42"/>
      <c r="AK1639" s="74"/>
      <c r="AL1639" s="77"/>
      <c r="AN1639" s="497">
        <v>59</v>
      </c>
      <c r="AP1639" s="42"/>
      <c r="AQ1639" s="74"/>
      <c r="AR1639" s="77"/>
      <c r="AT1639" s="497">
        <v>33.08</v>
      </c>
      <c r="AV1639" s="42"/>
      <c r="AW1639" s="74"/>
      <c r="AX1639" s="77"/>
      <c r="BA1639" s="497">
        <v>44.06</v>
      </c>
      <c r="BB1639" s="42"/>
      <c r="BC1639" s="74"/>
      <c r="BD1639" s="77"/>
      <c r="BF1639">
        <v>42.980000000000004</v>
      </c>
      <c r="BH1639" s="42"/>
      <c r="BI1639" s="74"/>
      <c r="BJ1639" s="77"/>
      <c r="BL1639" s="497">
        <v>32</v>
      </c>
      <c r="BN1639" s="42"/>
      <c r="BO1639" s="74"/>
      <c r="BP1639" s="77"/>
      <c r="BR1639" s="497">
        <v>37.04</v>
      </c>
      <c r="BT1639" s="42"/>
    </row>
    <row r="1640" spans="1:72" x14ac:dyDescent="0.25">
      <c r="A1640" s="90">
        <v>38055</v>
      </c>
      <c r="B1640" s="20">
        <v>0.58333333333333337</v>
      </c>
      <c r="D1640">
        <v>33.08</v>
      </c>
      <c r="E1640" t="str">
        <f t="shared" si="86"/>
        <v>WEEKDAY</v>
      </c>
      <c r="F1640" t="e">
        <f t="shared" si="85"/>
        <v>#N/A</v>
      </c>
      <c r="G1640" s="74">
        <v>32941</v>
      </c>
      <c r="H1640" s="77">
        <v>0.58333333333333337</v>
      </c>
      <c r="J1640">
        <v>46.94</v>
      </c>
      <c r="M1640" s="74">
        <v>36594</v>
      </c>
      <c r="N1640" s="77">
        <v>0.58333333333333337</v>
      </c>
      <c r="P1640">
        <v>66.2</v>
      </c>
      <c r="S1640" s="74">
        <v>38055</v>
      </c>
      <c r="T1640" s="77">
        <v>0.58333333333333337</v>
      </c>
      <c r="V1640">
        <v>37.94</v>
      </c>
      <c r="X1640" s="42"/>
      <c r="AB1640">
        <v>43.7</v>
      </c>
      <c r="AC1640">
        <v>39.92</v>
      </c>
      <c r="AE1640" s="74"/>
      <c r="AF1640" s="77"/>
      <c r="AH1640" s="497">
        <v>68</v>
      </c>
      <c r="AJ1640" s="42"/>
      <c r="AK1640" s="74"/>
      <c r="AL1640" s="77"/>
      <c r="AN1640" s="497">
        <v>60.08</v>
      </c>
      <c r="AP1640" s="42"/>
      <c r="AQ1640" s="74"/>
      <c r="AR1640" s="77"/>
      <c r="AT1640" s="497">
        <v>32.72</v>
      </c>
      <c r="AV1640" s="42"/>
      <c r="AW1640" s="74"/>
      <c r="AX1640" s="77"/>
      <c r="BA1640" s="497">
        <v>44.96</v>
      </c>
      <c r="BB1640" s="42"/>
      <c r="BC1640" s="74"/>
      <c r="BD1640" s="77"/>
      <c r="BF1640">
        <v>44.06</v>
      </c>
      <c r="BH1640" s="42"/>
      <c r="BI1640" s="74"/>
      <c r="BJ1640" s="77"/>
      <c r="BL1640" s="497">
        <v>30.02</v>
      </c>
      <c r="BN1640" s="42"/>
      <c r="BO1640" s="74"/>
      <c r="BP1640" s="77"/>
      <c r="BR1640" s="497">
        <v>39.019999999999996</v>
      </c>
      <c r="BT1640" s="42"/>
    </row>
    <row r="1641" spans="1:72" x14ac:dyDescent="0.25">
      <c r="A1641" s="90">
        <v>38055</v>
      </c>
      <c r="B1641" s="20">
        <v>0.625</v>
      </c>
      <c r="D1641">
        <v>33.979999999999997</v>
      </c>
      <c r="E1641" t="str">
        <f t="shared" si="86"/>
        <v>WEEKDAY</v>
      </c>
      <c r="F1641" t="e">
        <f t="shared" si="85"/>
        <v>#N/A</v>
      </c>
      <c r="G1641" s="74">
        <v>32941</v>
      </c>
      <c r="H1641" s="77">
        <v>0.625</v>
      </c>
      <c r="J1641">
        <v>46.94</v>
      </c>
      <c r="M1641" s="74">
        <v>36594</v>
      </c>
      <c r="N1641" s="77">
        <v>0.625</v>
      </c>
      <c r="P1641">
        <v>68</v>
      </c>
      <c r="S1641" s="74">
        <v>38055</v>
      </c>
      <c r="T1641" s="77">
        <v>0.625</v>
      </c>
      <c r="V1641">
        <v>37.04</v>
      </c>
      <c r="X1641" s="42"/>
      <c r="AB1641">
        <v>44.1</v>
      </c>
      <c r="AC1641">
        <v>41</v>
      </c>
      <c r="AE1641" s="74"/>
      <c r="AF1641" s="77"/>
      <c r="AH1641" s="497">
        <v>57.2</v>
      </c>
      <c r="AJ1641" s="42"/>
      <c r="AK1641" s="74"/>
      <c r="AL1641" s="77"/>
      <c r="AN1641" s="497">
        <v>57.92</v>
      </c>
      <c r="AP1641" s="42"/>
      <c r="AQ1641" s="74"/>
      <c r="AR1641" s="77"/>
      <c r="AT1641" s="497">
        <v>32.36</v>
      </c>
      <c r="AV1641" s="42"/>
      <c r="AW1641" s="74"/>
      <c r="AX1641" s="77"/>
      <c r="BA1641" s="497">
        <v>44.96</v>
      </c>
      <c r="BB1641" s="42"/>
      <c r="BC1641" s="74"/>
      <c r="BD1641" s="77"/>
      <c r="BF1641">
        <v>42.980000000000004</v>
      </c>
      <c r="BH1641" s="42"/>
      <c r="BI1641" s="74"/>
      <c r="BJ1641" s="77"/>
      <c r="BL1641" s="497">
        <v>28.94</v>
      </c>
      <c r="BN1641" s="42"/>
      <c r="BO1641" s="74"/>
      <c r="BP1641" s="77"/>
      <c r="BR1641" s="497">
        <v>39.92</v>
      </c>
      <c r="BT1641" s="42"/>
    </row>
    <row r="1642" spans="1:72" x14ac:dyDescent="0.25">
      <c r="A1642" s="90">
        <v>38055</v>
      </c>
      <c r="B1642" s="20">
        <v>0.66666666666666663</v>
      </c>
      <c r="D1642">
        <v>33.08</v>
      </c>
      <c r="E1642" t="str">
        <f t="shared" si="86"/>
        <v>WEEKDAY</v>
      </c>
      <c r="F1642" t="e">
        <f t="shared" si="85"/>
        <v>#N/A</v>
      </c>
      <c r="G1642" s="74">
        <v>32941</v>
      </c>
      <c r="H1642" s="77">
        <v>0.66666666666666663</v>
      </c>
      <c r="J1642">
        <v>46.04</v>
      </c>
      <c r="M1642" s="74">
        <v>36594</v>
      </c>
      <c r="N1642" s="77">
        <v>0.66666666666666663</v>
      </c>
      <c r="P1642">
        <v>68</v>
      </c>
      <c r="S1642" s="74">
        <v>38055</v>
      </c>
      <c r="T1642" s="77">
        <v>0.66666666666666663</v>
      </c>
      <c r="V1642">
        <v>37.94</v>
      </c>
      <c r="X1642" s="42"/>
      <c r="AB1642">
        <v>44.2</v>
      </c>
      <c r="AC1642">
        <v>42.08</v>
      </c>
      <c r="AE1642" s="74"/>
      <c r="AF1642" s="77"/>
      <c r="AH1642" s="497">
        <v>62.6</v>
      </c>
      <c r="AJ1642" s="42"/>
      <c r="AK1642" s="74"/>
      <c r="AL1642" s="77"/>
      <c r="AN1642" s="497">
        <v>55.94</v>
      </c>
      <c r="AP1642" s="42"/>
      <c r="AQ1642" s="74"/>
      <c r="AR1642" s="77"/>
      <c r="AT1642" s="497">
        <v>32</v>
      </c>
      <c r="AV1642" s="42"/>
      <c r="AW1642" s="74"/>
      <c r="AX1642" s="77"/>
      <c r="BA1642" s="497">
        <v>44.06</v>
      </c>
      <c r="BB1642" s="42"/>
      <c r="BC1642" s="74"/>
      <c r="BD1642" s="77"/>
      <c r="BF1642">
        <v>44.06</v>
      </c>
      <c r="BH1642" s="42"/>
      <c r="BI1642" s="74"/>
      <c r="BJ1642" s="77"/>
      <c r="BL1642" s="497">
        <v>30.02</v>
      </c>
      <c r="BN1642" s="42"/>
      <c r="BO1642" s="74"/>
      <c r="BP1642" s="77"/>
      <c r="BR1642" s="497">
        <v>39.92</v>
      </c>
      <c r="BT1642" s="42"/>
    </row>
    <row r="1643" spans="1:72" x14ac:dyDescent="0.25">
      <c r="A1643" s="90">
        <v>38055</v>
      </c>
      <c r="B1643" s="20">
        <v>0.70833333333333337</v>
      </c>
      <c r="D1643">
        <v>33.08</v>
      </c>
      <c r="E1643" t="str">
        <f t="shared" si="86"/>
        <v>WEEKDAY</v>
      </c>
      <c r="F1643" t="e">
        <f t="shared" ref="F1643:F1706" si="87">IF(E1643="WEEKDAY",VLOOKUP(B1643,$DD$19:$DG$42,2),IF(E1643="SATURDAY",VLOOKUP(B1643,$DD$19:$DG$42,3),VLOOKUP(B1643,$DD$19:$DG$42,4)))</f>
        <v>#N/A</v>
      </c>
      <c r="G1643" s="74">
        <v>32941</v>
      </c>
      <c r="H1643" s="77">
        <v>0.70833333333333337</v>
      </c>
      <c r="J1643">
        <v>46.04</v>
      </c>
      <c r="M1643" s="74">
        <v>36594</v>
      </c>
      <c r="N1643" s="77">
        <v>0.70833333333333337</v>
      </c>
      <c r="P1643">
        <v>69.800000000000011</v>
      </c>
      <c r="S1643" s="74">
        <v>38055</v>
      </c>
      <c r="T1643" s="77">
        <v>0.70833333333333337</v>
      </c>
      <c r="V1643">
        <v>37.04</v>
      </c>
      <c r="X1643" s="42"/>
      <c r="AB1643">
        <v>43.8</v>
      </c>
      <c r="AC1643">
        <v>42.08</v>
      </c>
      <c r="AE1643" s="74"/>
      <c r="AF1643" s="77"/>
      <c r="AH1643" s="497">
        <v>66.2</v>
      </c>
      <c r="AJ1643" s="42"/>
      <c r="AK1643" s="74"/>
      <c r="AL1643" s="77"/>
      <c r="AN1643" s="497">
        <v>57.019999999999996</v>
      </c>
      <c r="AP1643" s="42"/>
      <c r="AQ1643" s="74"/>
      <c r="AR1643" s="77"/>
      <c r="AT1643" s="497">
        <v>30.02</v>
      </c>
      <c r="AV1643" s="42"/>
      <c r="AW1643" s="74"/>
      <c r="AX1643" s="77"/>
      <c r="BA1643" s="497">
        <v>44.96</v>
      </c>
      <c r="BB1643" s="42"/>
      <c r="BC1643" s="74"/>
      <c r="BD1643" s="77"/>
      <c r="BF1643">
        <v>44.96</v>
      </c>
      <c r="BH1643" s="42"/>
      <c r="BI1643" s="74"/>
      <c r="BJ1643" s="77"/>
      <c r="BL1643" s="497">
        <v>30.02</v>
      </c>
      <c r="BN1643" s="42"/>
      <c r="BO1643" s="74"/>
      <c r="BP1643" s="77"/>
      <c r="BR1643" s="497">
        <v>35.96</v>
      </c>
      <c r="BT1643" s="42"/>
    </row>
    <row r="1644" spans="1:72" x14ac:dyDescent="0.25">
      <c r="A1644" s="90">
        <v>38055</v>
      </c>
      <c r="B1644" s="20">
        <v>0.75</v>
      </c>
      <c r="D1644">
        <v>30.92</v>
      </c>
      <c r="E1644" t="str">
        <f t="shared" si="86"/>
        <v>WEEKDAY</v>
      </c>
      <c r="F1644" t="e">
        <f t="shared" si="87"/>
        <v>#N/A</v>
      </c>
      <c r="G1644" s="74">
        <v>32941</v>
      </c>
      <c r="H1644" s="77">
        <v>0.75</v>
      </c>
      <c r="J1644">
        <v>44.06</v>
      </c>
      <c r="M1644" s="74">
        <v>36594</v>
      </c>
      <c r="N1644" s="77">
        <v>0.75</v>
      </c>
      <c r="P1644">
        <v>64.400000000000006</v>
      </c>
      <c r="S1644" s="74">
        <v>38055</v>
      </c>
      <c r="T1644" s="77">
        <v>0.75</v>
      </c>
      <c r="V1644">
        <v>37.04</v>
      </c>
      <c r="X1644" s="42"/>
      <c r="AB1644">
        <v>42.8</v>
      </c>
      <c r="AC1644">
        <v>39.92</v>
      </c>
      <c r="AE1644" s="74"/>
      <c r="AF1644" s="77"/>
      <c r="AH1644" s="497">
        <v>66.2</v>
      </c>
      <c r="AJ1644" s="42"/>
      <c r="AK1644" s="74"/>
      <c r="AL1644" s="77"/>
      <c r="AN1644" s="497">
        <v>57.92</v>
      </c>
      <c r="AP1644" s="42"/>
      <c r="AQ1644" s="74"/>
      <c r="AR1644" s="77"/>
      <c r="AT1644" s="497">
        <v>28.04</v>
      </c>
      <c r="AV1644" s="42"/>
      <c r="AW1644" s="74"/>
      <c r="AX1644" s="77"/>
      <c r="BA1644" s="497">
        <v>44.06</v>
      </c>
      <c r="BB1644" s="42"/>
      <c r="BC1644" s="74"/>
      <c r="BD1644" s="77"/>
      <c r="BF1644">
        <v>44.06</v>
      </c>
      <c r="BH1644" s="42"/>
      <c r="BI1644" s="74"/>
      <c r="BJ1644" s="77"/>
      <c r="BL1644" s="497">
        <v>30.02</v>
      </c>
      <c r="BN1644" s="42"/>
      <c r="BO1644" s="74"/>
      <c r="BP1644" s="77"/>
      <c r="BR1644" s="497">
        <v>35.06</v>
      </c>
      <c r="BT1644" s="42"/>
    </row>
    <row r="1645" spans="1:72" x14ac:dyDescent="0.25">
      <c r="A1645" s="90">
        <v>38055</v>
      </c>
      <c r="B1645" s="20">
        <v>0.79166666666666663</v>
      </c>
      <c r="D1645">
        <v>28.94</v>
      </c>
      <c r="E1645" t="str">
        <f t="shared" si="86"/>
        <v>WEEKDAY</v>
      </c>
      <c r="F1645" t="e">
        <f t="shared" si="87"/>
        <v>#N/A</v>
      </c>
      <c r="G1645" s="74">
        <v>32941</v>
      </c>
      <c r="H1645" s="77">
        <v>0.79166666666666663</v>
      </c>
      <c r="J1645">
        <v>44.06</v>
      </c>
      <c r="M1645" s="74">
        <v>36594</v>
      </c>
      <c r="N1645" s="77">
        <v>0.79166666666666663</v>
      </c>
      <c r="P1645">
        <v>60.8</v>
      </c>
      <c r="S1645" s="74">
        <v>38055</v>
      </c>
      <c r="T1645" s="77">
        <v>0.79166666666666663</v>
      </c>
      <c r="V1645">
        <v>37.04</v>
      </c>
      <c r="X1645" s="42"/>
      <c r="AB1645">
        <v>41.4</v>
      </c>
      <c r="AC1645">
        <v>35.06</v>
      </c>
      <c r="AE1645" s="74"/>
      <c r="AF1645" s="77"/>
      <c r="AH1645" s="497">
        <v>64.400000000000006</v>
      </c>
      <c r="AJ1645" s="42"/>
      <c r="AK1645" s="74"/>
      <c r="AL1645" s="77"/>
      <c r="AN1645" s="497">
        <v>55.94</v>
      </c>
      <c r="AP1645" s="42"/>
      <c r="AQ1645" s="74"/>
      <c r="AR1645" s="77"/>
      <c r="AT1645" s="497">
        <v>26.060000000000002</v>
      </c>
      <c r="AV1645" s="42"/>
      <c r="AW1645" s="74"/>
      <c r="AX1645" s="77"/>
      <c r="BA1645" s="497">
        <v>41</v>
      </c>
      <c r="BB1645" s="42"/>
      <c r="BC1645" s="74"/>
      <c r="BD1645" s="77"/>
      <c r="BF1645">
        <v>42.980000000000004</v>
      </c>
      <c r="BH1645" s="42"/>
      <c r="BI1645" s="74"/>
      <c r="BJ1645" s="77"/>
      <c r="BL1645" s="497">
        <v>30.02</v>
      </c>
      <c r="BN1645" s="42"/>
      <c r="BO1645" s="74"/>
      <c r="BP1645" s="77"/>
      <c r="BR1645" s="497">
        <v>33.08</v>
      </c>
      <c r="BT1645" s="42"/>
    </row>
    <row r="1646" spans="1:72" x14ac:dyDescent="0.25">
      <c r="A1646" s="90">
        <v>38055</v>
      </c>
      <c r="B1646" s="20">
        <v>0.83333333333333337</v>
      </c>
      <c r="D1646">
        <v>26.96</v>
      </c>
      <c r="E1646" t="str">
        <f t="shared" si="86"/>
        <v>WEEKDAY</v>
      </c>
      <c r="F1646" t="e">
        <f t="shared" si="87"/>
        <v>#N/A</v>
      </c>
      <c r="G1646" s="74">
        <v>32941</v>
      </c>
      <c r="H1646" s="77">
        <v>0.83333333333333337</v>
      </c>
      <c r="J1646">
        <v>44.96</v>
      </c>
      <c r="M1646" s="74">
        <v>36594</v>
      </c>
      <c r="N1646" s="77">
        <v>0.83333333333333337</v>
      </c>
      <c r="P1646">
        <v>60.8</v>
      </c>
      <c r="S1646" s="74">
        <v>38055</v>
      </c>
      <c r="T1646" s="77">
        <v>0.83333333333333337</v>
      </c>
      <c r="V1646">
        <v>37.04</v>
      </c>
      <c r="X1646" s="42"/>
      <c r="AB1646">
        <v>40.6</v>
      </c>
      <c r="AC1646">
        <v>35.06</v>
      </c>
      <c r="AE1646" s="74"/>
      <c r="AF1646" s="77"/>
      <c r="AH1646" s="497">
        <v>64.400000000000006</v>
      </c>
      <c r="AJ1646" s="42"/>
      <c r="AK1646" s="74"/>
      <c r="AL1646" s="77"/>
      <c r="AN1646" s="497">
        <v>55.94</v>
      </c>
      <c r="AP1646" s="42"/>
      <c r="AQ1646" s="74"/>
      <c r="AR1646" s="77"/>
      <c r="AT1646" s="497">
        <v>25.34</v>
      </c>
      <c r="AV1646" s="42"/>
      <c r="AW1646" s="74"/>
      <c r="AX1646" s="77"/>
      <c r="BA1646" s="497">
        <v>42.08</v>
      </c>
      <c r="BB1646" s="42"/>
      <c r="BC1646" s="74"/>
      <c r="BD1646" s="77"/>
      <c r="BF1646">
        <v>42.980000000000004</v>
      </c>
      <c r="BH1646" s="42"/>
      <c r="BI1646" s="74"/>
      <c r="BJ1646" s="77"/>
      <c r="BL1646" s="497">
        <v>30.02</v>
      </c>
      <c r="BN1646" s="42"/>
      <c r="BO1646" s="74"/>
      <c r="BP1646" s="77"/>
      <c r="BR1646" s="497">
        <v>32</v>
      </c>
      <c r="BT1646" s="42"/>
    </row>
    <row r="1647" spans="1:72" x14ac:dyDescent="0.25">
      <c r="A1647" s="90">
        <v>38055</v>
      </c>
      <c r="B1647" s="20">
        <v>0.875</v>
      </c>
      <c r="D1647">
        <v>26.060000000000002</v>
      </c>
      <c r="E1647" t="str">
        <f t="shared" si="86"/>
        <v>WEEKDAY</v>
      </c>
      <c r="F1647" t="e">
        <f t="shared" si="87"/>
        <v>#N/A</v>
      </c>
      <c r="G1647" s="74">
        <v>32941</v>
      </c>
      <c r="H1647" s="77">
        <v>0.875</v>
      </c>
      <c r="J1647">
        <v>46.04</v>
      </c>
      <c r="M1647" s="74">
        <v>36594</v>
      </c>
      <c r="N1647" s="77">
        <v>0.875</v>
      </c>
      <c r="P1647">
        <v>59</v>
      </c>
      <c r="S1647" s="74">
        <v>38055</v>
      </c>
      <c r="T1647" s="77">
        <v>0.875</v>
      </c>
      <c r="V1647">
        <v>37.94</v>
      </c>
      <c r="X1647" s="42"/>
      <c r="AB1647">
        <v>40.1</v>
      </c>
      <c r="AC1647">
        <v>33.979999999999997</v>
      </c>
      <c r="AE1647" s="74"/>
      <c r="AF1647" s="77"/>
      <c r="AH1647" s="497">
        <v>59</v>
      </c>
      <c r="AJ1647" s="42"/>
      <c r="AK1647" s="74"/>
      <c r="AL1647" s="77"/>
      <c r="AN1647" s="497">
        <v>57.92</v>
      </c>
      <c r="AP1647" s="42"/>
      <c r="AQ1647" s="74"/>
      <c r="AR1647" s="77"/>
      <c r="AT1647" s="497">
        <v>24.8</v>
      </c>
      <c r="AV1647" s="42"/>
      <c r="AW1647" s="74"/>
      <c r="AX1647" s="77"/>
      <c r="BA1647" s="497">
        <v>42.08</v>
      </c>
      <c r="BB1647" s="42"/>
      <c r="BC1647" s="74"/>
      <c r="BD1647" s="77"/>
      <c r="BF1647">
        <v>42.980000000000004</v>
      </c>
      <c r="BH1647" s="42"/>
      <c r="BI1647" s="74"/>
      <c r="BJ1647" s="77"/>
      <c r="BL1647" s="497">
        <v>30.92</v>
      </c>
      <c r="BN1647" s="42"/>
      <c r="BO1647" s="74"/>
      <c r="BP1647" s="77"/>
      <c r="BR1647" s="497">
        <v>32</v>
      </c>
      <c r="BT1647" s="42"/>
    </row>
    <row r="1648" spans="1:72" x14ac:dyDescent="0.25">
      <c r="A1648" s="90">
        <v>38055</v>
      </c>
      <c r="B1648" s="20">
        <v>0.91666666666666663</v>
      </c>
      <c r="D1648">
        <v>24.98</v>
      </c>
      <c r="E1648" t="str">
        <f t="shared" si="86"/>
        <v>WEEKDAY</v>
      </c>
      <c r="F1648" t="e">
        <f t="shared" si="87"/>
        <v>#N/A</v>
      </c>
      <c r="G1648" s="74">
        <v>32941</v>
      </c>
      <c r="H1648" s="77">
        <v>0.91666666666666663</v>
      </c>
      <c r="J1648">
        <v>44.96</v>
      </c>
      <c r="M1648" s="74">
        <v>36594</v>
      </c>
      <c r="N1648" s="77">
        <v>0.91666666666666663</v>
      </c>
      <c r="P1648">
        <v>59</v>
      </c>
      <c r="S1648" s="74">
        <v>38055</v>
      </c>
      <c r="T1648" s="77">
        <v>0.91666666666666663</v>
      </c>
      <c r="V1648">
        <v>37.94</v>
      </c>
      <c r="X1648" s="42"/>
      <c r="AB1648">
        <v>39.4</v>
      </c>
      <c r="AC1648">
        <v>30.92</v>
      </c>
      <c r="AE1648" s="74"/>
      <c r="AF1648" s="77"/>
      <c r="AH1648" s="497">
        <v>59</v>
      </c>
      <c r="AJ1648" s="42"/>
      <c r="AK1648" s="74"/>
      <c r="AL1648" s="77"/>
      <c r="AN1648" s="497">
        <v>59</v>
      </c>
      <c r="AP1648" s="42"/>
      <c r="AQ1648" s="74"/>
      <c r="AR1648" s="77"/>
      <c r="AT1648" s="497">
        <v>24.08</v>
      </c>
      <c r="AV1648" s="42"/>
      <c r="AW1648" s="74"/>
      <c r="AX1648" s="77"/>
      <c r="BA1648" s="497">
        <v>35.06</v>
      </c>
      <c r="BB1648" s="42"/>
      <c r="BC1648" s="74"/>
      <c r="BD1648" s="77"/>
      <c r="BF1648">
        <v>39.92</v>
      </c>
      <c r="BH1648" s="42"/>
      <c r="BI1648" s="74"/>
      <c r="BJ1648" s="77"/>
      <c r="BL1648" s="497">
        <v>30.92</v>
      </c>
      <c r="BN1648" s="42"/>
      <c r="BO1648" s="74"/>
      <c r="BP1648" s="77"/>
      <c r="BR1648" s="497">
        <v>32</v>
      </c>
      <c r="BT1648" s="42"/>
    </row>
    <row r="1649" spans="1:72" x14ac:dyDescent="0.25">
      <c r="A1649" s="90">
        <v>38055</v>
      </c>
      <c r="B1649" s="20">
        <v>0.95833333333333337</v>
      </c>
      <c r="D1649">
        <v>24.98</v>
      </c>
      <c r="E1649" t="str">
        <f t="shared" si="86"/>
        <v>WEEKDAY</v>
      </c>
      <c r="F1649" t="e">
        <f t="shared" si="87"/>
        <v>#N/A</v>
      </c>
      <c r="G1649" s="74">
        <v>32941</v>
      </c>
      <c r="H1649" s="77">
        <v>0.95833333333333337</v>
      </c>
      <c r="J1649">
        <v>44.06</v>
      </c>
      <c r="M1649" s="74">
        <v>36594</v>
      </c>
      <c r="N1649" s="77">
        <v>0.95833333333333337</v>
      </c>
      <c r="P1649">
        <v>57.2</v>
      </c>
      <c r="S1649" s="74">
        <v>38055</v>
      </c>
      <c r="T1649" s="77">
        <v>0.95833333333333337</v>
      </c>
      <c r="V1649">
        <v>37.94</v>
      </c>
      <c r="X1649" s="42"/>
      <c r="AB1649">
        <v>38.9</v>
      </c>
      <c r="AC1649">
        <v>30.02</v>
      </c>
      <c r="AE1649" s="74"/>
      <c r="AF1649" s="77"/>
      <c r="AH1649" s="497">
        <v>53.6</v>
      </c>
      <c r="AJ1649" s="42"/>
      <c r="AK1649" s="74"/>
      <c r="AL1649" s="77"/>
      <c r="AN1649" s="497">
        <v>59</v>
      </c>
      <c r="AP1649" s="42"/>
      <c r="AQ1649" s="74"/>
      <c r="AR1649" s="77"/>
      <c r="AT1649" s="497">
        <v>24.08</v>
      </c>
      <c r="AV1649" s="42"/>
      <c r="AW1649" s="74"/>
      <c r="AX1649" s="77"/>
      <c r="BA1649" s="497">
        <v>33.08</v>
      </c>
      <c r="BB1649" s="42"/>
      <c r="BC1649" s="74"/>
      <c r="BD1649" s="77"/>
      <c r="BF1649">
        <v>39.019999999999996</v>
      </c>
      <c r="BH1649" s="42"/>
      <c r="BI1649" s="74"/>
      <c r="BJ1649" s="77"/>
      <c r="BL1649" s="497">
        <v>32</v>
      </c>
      <c r="BN1649" s="42"/>
      <c r="BO1649" s="74"/>
      <c r="BP1649" s="77"/>
      <c r="BR1649" s="497">
        <v>30.92</v>
      </c>
      <c r="BT1649" s="42"/>
    </row>
    <row r="1650" spans="1:72" x14ac:dyDescent="0.25">
      <c r="A1650" s="90">
        <v>38055</v>
      </c>
      <c r="B1650" s="20">
        <v>1</v>
      </c>
      <c r="D1650">
        <v>24.08</v>
      </c>
      <c r="E1650" t="str">
        <f t="shared" si="86"/>
        <v>WEEKDAY</v>
      </c>
      <c r="F1650" t="e">
        <f t="shared" si="87"/>
        <v>#N/A</v>
      </c>
      <c r="G1650" s="74">
        <v>32941</v>
      </c>
      <c r="H1650" s="77">
        <v>1</v>
      </c>
      <c r="J1650">
        <v>42.980000000000004</v>
      </c>
      <c r="M1650" s="74">
        <v>36594</v>
      </c>
      <c r="N1650" s="80">
        <v>1</v>
      </c>
      <c r="P1650">
        <v>56.480000000000004</v>
      </c>
      <c r="S1650" s="74">
        <v>38055</v>
      </c>
      <c r="T1650" s="80">
        <v>1</v>
      </c>
      <c r="V1650">
        <v>37.94</v>
      </c>
      <c r="X1650" s="42"/>
      <c r="AB1650">
        <v>38.299999999999997</v>
      </c>
      <c r="AC1650">
        <v>26.060000000000002</v>
      </c>
      <c r="AE1650" s="74"/>
      <c r="AF1650" s="80"/>
      <c r="AH1650" s="497">
        <v>53.6</v>
      </c>
      <c r="AJ1650" s="42"/>
      <c r="AK1650" s="74"/>
      <c r="AL1650" s="80"/>
      <c r="AN1650" s="497">
        <v>48.019999999999996</v>
      </c>
      <c r="AP1650" s="42"/>
      <c r="AQ1650" s="74"/>
      <c r="AR1650" s="80"/>
      <c r="AT1650" s="497">
        <v>24.08</v>
      </c>
      <c r="AV1650" s="42"/>
      <c r="AW1650" s="74"/>
      <c r="AX1650" s="80"/>
      <c r="BA1650" s="497">
        <v>33.08</v>
      </c>
      <c r="BB1650" s="42"/>
      <c r="BC1650" s="74"/>
      <c r="BD1650" s="80"/>
      <c r="BF1650">
        <v>37.94</v>
      </c>
      <c r="BH1650" s="42"/>
      <c r="BI1650" s="74"/>
      <c r="BJ1650" s="80"/>
      <c r="BL1650" s="497">
        <v>32</v>
      </c>
      <c r="BN1650" s="42"/>
      <c r="BO1650" s="74"/>
      <c r="BP1650" s="80"/>
      <c r="BR1650" s="497">
        <v>30.92</v>
      </c>
      <c r="BT1650" s="42"/>
    </row>
    <row r="1651" spans="1:72" x14ac:dyDescent="0.25">
      <c r="A1651" s="90">
        <v>38056</v>
      </c>
      <c r="B1651" s="20">
        <v>4.1666666666666664E-2</v>
      </c>
      <c r="D1651">
        <v>24.08</v>
      </c>
      <c r="E1651" t="str">
        <f t="shared" si="86"/>
        <v>WEEKDAY</v>
      </c>
      <c r="F1651" t="e">
        <f t="shared" si="87"/>
        <v>#N/A</v>
      </c>
      <c r="G1651" s="74">
        <v>32942</v>
      </c>
      <c r="H1651" s="77">
        <v>4.1666666666666664E-2</v>
      </c>
      <c r="J1651">
        <v>41</v>
      </c>
      <c r="M1651" s="74">
        <v>36595</v>
      </c>
      <c r="N1651" s="77">
        <v>4.1666666666666664E-2</v>
      </c>
      <c r="P1651">
        <v>55.400000000000006</v>
      </c>
      <c r="S1651" s="74">
        <v>38056</v>
      </c>
      <c r="T1651" s="77">
        <v>4.1666666666666664E-2</v>
      </c>
      <c r="V1651">
        <v>37.04</v>
      </c>
      <c r="X1651" s="42"/>
      <c r="AB1651">
        <v>37.700000000000003</v>
      </c>
      <c r="AC1651">
        <v>30.92</v>
      </c>
      <c r="AE1651" s="74"/>
      <c r="AF1651" s="77"/>
      <c r="AH1651" s="497">
        <v>55.400000000000006</v>
      </c>
      <c r="AJ1651" s="42"/>
      <c r="AK1651" s="74"/>
      <c r="AL1651" s="77"/>
      <c r="AN1651" s="497">
        <v>39.019999999999996</v>
      </c>
      <c r="AP1651" s="42"/>
      <c r="AQ1651" s="74"/>
      <c r="AR1651" s="77"/>
      <c r="AT1651" s="497">
        <v>24.08</v>
      </c>
      <c r="AV1651" s="42"/>
      <c r="AW1651" s="74"/>
      <c r="AX1651" s="77"/>
      <c r="BA1651" s="497">
        <v>35.96</v>
      </c>
      <c r="BB1651" s="42"/>
      <c r="BC1651" s="74"/>
      <c r="BD1651" s="77"/>
      <c r="BF1651">
        <v>37.04</v>
      </c>
      <c r="BH1651" s="42"/>
      <c r="BI1651" s="74"/>
      <c r="BJ1651" s="77"/>
      <c r="BL1651" s="497">
        <v>32</v>
      </c>
      <c r="BN1651" s="42"/>
      <c r="BO1651" s="74"/>
      <c r="BP1651" s="77"/>
      <c r="BR1651" s="497">
        <v>30.02</v>
      </c>
      <c r="BT1651" s="42"/>
    </row>
    <row r="1652" spans="1:72" x14ac:dyDescent="0.25">
      <c r="A1652" s="90">
        <v>38056</v>
      </c>
      <c r="B1652" s="20">
        <v>8.3333333333333329E-2</v>
      </c>
      <c r="D1652">
        <v>24.08</v>
      </c>
      <c r="E1652" t="str">
        <f t="shared" si="86"/>
        <v>WEEKDAY</v>
      </c>
      <c r="F1652" t="e">
        <f t="shared" si="87"/>
        <v>#N/A</v>
      </c>
      <c r="G1652" s="74">
        <v>32942</v>
      </c>
      <c r="H1652" s="77">
        <v>8.3333333333333329E-2</v>
      </c>
      <c r="J1652">
        <v>39.92</v>
      </c>
      <c r="M1652" s="74">
        <v>36595</v>
      </c>
      <c r="N1652" s="77">
        <v>8.3333333333333329E-2</v>
      </c>
      <c r="P1652">
        <v>55.400000000000006</v>
      </c>
      <c r="S1652" s="74">
        <v>38056</v>
      </c>
      <c r="T1652" s="77">
        <v>8.3333333333333329E-2</v>
      </c>
      <c r="V1652">
        <v>37.94</v>
      </c>
      <c r="X1652" s="42"/>
      <c r="AB1652">
        <v>37.1</v>
      </c>
      <c r="AC1652">
        <v>30.92</v>
      </c>
      <c r="AE1652" s="74"/>
      <c r="AF1652" s="77"/>
      <c r="AH1652" s="497">
        <v>55.400000000000006</v>
      </c>
      <c r="AJ1652" s="42"/>
      <c r="AK1652" s="74"/>
      <c r="AL1652" s="77"/>
      <c r="AN1652" s="497">
        <v>35.06</v>
      </c>
      <c r="AP1652" s="42"/>
      <c r="AQ1652" s="74"/>
      <c r="AR1652" s="77"/>
      <c r="AT1652" s="497">
        <v>22.64</v>
      </c>
      <c r="AV1652" s="42"/>
      <c r="AW1652" s="74"/>
      <c r="AX1652" s="77"/>
      <c r="BA1652" s="497">
        <v>35.96</v>
      </c>
      <c r="BB1652" s="42"/>
      <c r="BC1652" s="74"/>
      <c r="BD1652" s="77"/>
      <c r="BF1652">
        <v>35.96</v>
      </c>
      <c r="BH1652" s="42"/>
      <c r="BI1652" s="74"/>
      <c r="BJ1652" s="77"/>
      <c r="BL1652" s="497">
        <v>32</v>
      </c>
      <c r="BN1652" s="42"/>
      <c r="BO1652" s="74"/>
      <c r="BP1652" s="77"/>
      <c r="BR1652" s="497">
        <v>28.94</v>
      </c>
      <c r="BT1652" s="42"/>
    </row>
    <row r="1653" spans="1:72" x14ac:dyDescent="0.25">
      <c r="A1653" s="90">
        <v>38056</v>
      </c>
      <c r="B1653" s="20">
        <v>0.125</v>
      </c>
      <c r="D1653">
        <v>23</v>
      </c>
      <c r="E1653" t="str">
        <f t="shared" si="86"/>
        <v>WEEKDAY</v>
      </c>
      <c r="F1653" t="e">
        <f t="shared" si="87"/>
        <v>#N/A</v>
      </c>
      <c r="G1653" s="74">
        <v>32942</v>
      </c>
      <c r="H1653" s="77">
        <v>0.125</v>
      </c>
      <c r="J1653">
        <v>39.92</v>
      </c>
      <c r="M1653" s="74">
        <v>36595</v>
      </c>
      <c r="N1653" s="77">
        <v>0.125</v>
      </c>
      <c r="P1653">
        <v>55.400000000000006</v>
      </c>
      <c r="S1653" s="74">
        <v>38056</v>
      </c>
      <c r="T1653" s="77">
        <v>0.125</v>
      </c>
      <c r="V1653">
        <v>35.96</v>
      </c>
      <c r="X1653" s="42"/>
      <c r="AB1653">
        <v>36.5</v>
      </c>
      <c r="AC1653">
        <v>30.92</v>
      </c>
      <c r="AE1653" s="74"/>
      <c r="AF1653" s="77"/>
      <c r="AH1653" s="497">
        <v>55.400000000000006</v>
      </c>
      <c r="AJ1653" s="42"/>
      <c r="AK1653" s="74"/>
      <c r="AL1653" s="77"/>
      <c r="AN1653" s="497">
        <v>32</v>
      </c>
      <c r="AP1653" s="42"/>
      <c r="AQ1653" s="74"/>
      <c r="AR1653" s="77"/>
      <c r="AT1653" s="497">
        <v>21.38</v>
      </c>
      <c r="AV1653" s="42"/>
      <c r="AW1653" s="74"/>
      <c r="AX1653" s="77"/>
      <c r="BA1653" s="497">
        <v>37.04</v>
      </c>
      <c r="BB1653" s="42"/>
      <c r="BC1653" s="74"/>
      <c r="BD1653" s="77"/>
      <c r="BF1653">
        <v>35.06</v>
      </c>
      <c r="BH1653" s="42"/>
      <c r="BI1653" s="74"/>
      <c r="BJ1653" s="77"/>
      <c r="BL1653" s="497">
        <v>30.92</v>
      </c>
      <c r="BN1653" s="42"/>
      <c r="BO1653" s="74"/>
      <c r="BP1653" s="77"/>
      <c r="BR1653" s="497">
        <v>28.04</v>
      </c>
      <c r="BT1653" s="42"/>
    </row>
    <row r="1654" spans="1:72" x14ac:dyDescent="0.25">
      <c r="A1654" s="90">
        <v>38056</v>
      </c>
      <c r="B1654" s="20">
        <v>0.16666666666666666</v>
      </c>
      <c r="D1654">
        <v>23</v>
      </c>
      <c r="E1654" t="str">
        <f t="shared" si="86"/>
        <v>WEEKDAY</v>
      </c>
      <c r="F1654" t="e">
        <f t="shared" si="87"/>
        <v>#N/A</v>
      </c>
      <c r="G1654" s="74">
        <v>32942</v>
      </c>
      <c r="H1654" s="77">
        <v>0.16666666666666666</v>
      </c>
      <c r="J1654">
        <v>39.019999999999996</v>
      </c>
      <c r="M1654" s="74">
        <v>36595</v>
      </c>
      <c r="N1654" s="77">
        <v>0.16666666666666666</v>
      </c>
      <c r="P1654">
        <v>53.6</v>
      </c>
      <c r="S1654" s="74">
        <v>38056</v>
      </c>
      <c r="T1654" s="77">
        <v>0.16666666666666666</v>
      </c>
      <c r="V1654">
        <v>35.96</v>
      </c>
      <c r="X1654" s="42"/>
      <c r="AB1654">
        <v>36</v>
      </c>
      <c r="AC1654">
        <v>28.94</v>
      </c>
      <c r="AE1654" s="74"/>
      <c r="AF1654" s="77"/>
      <c r="AH1654" s="497">
        <v>55.400000000000006</v>
      </c>
      <c r="AJ1654" s="42"/>
      <c r="AK1654" s="74"/>
      <c r="AL1654" s="77"/>
      <c r="AN1654" s="497">
        <v>30.02</v>
      </c>
      <c r="AP1654" s="42"/>
      <c r="AQ1654" s="74"/>
      <c r="AR1654" s="77"/>
      <c r="AT1654" s="497">
        <v>19.939999999999998</v>
      </c>
      <c r="AV1654" s="42"/>
      <c r="AW1654" s="74"/>
      <c r="AX1654" s="77"/>
      <c r="BA1654" s="497">
        <v>39.019999999999996</v>
      </c>
      <c r="BB1654" s="42"/>
      <c r="BC1654" s="74"/>
      <c r="BD1654" s="77"/>
      <c r="BF1654">
        <v>35.06</v>
      </c>
      <c r="BH1654" s="42"/>
      <c r="BI1654" s="74"/>
      <c r="BJ1654" s="77"/>
      <c r="BL1654" s="497">
        <v>32</v>
      </c>
      <c r="BN1654" s="42"/>
      <c r="BO1654" s="74"/>
      <c r="BP1654" s="77"/>
      <c r="BR1654" s="497">
        <v>28.04</v>
      </c>
      <c r="BT1654" s="42"/>
    </row>
    <row r="1655" spans="1:72" x14ac:dyDescent="0.25">
      <c r="A1655" s="90">
        <v>38056</v>
      </c>
      <c r="B1655" s="20">
        <v>0.20833333333333334</v>
      </c>
      <c r="D1655">
        <v>21.92</v>
      </c>
      <c r="E1655" t="str">
        <f t="shared" si="86"/>
        <v>WEEKDAY</v>
      </c>
      <c r="F1655" t="e">
        <f t="shared" si="87"/>
        <v>#N/A</v>
      </c>
      <c r="G1655" s="74">
        <v>32942</v>
      </c>
      <c r="H1655" s="77">
        <v>0.20833333333333334</v>
      </c>
      <c r="J1655">
        <v>39.019999999999996</v>
      </c>
      <c r="M1655" s="74">
        <v>36595</v>
      </c>
      <c r="N1655" s="77">
        <v>0.20833333333333334</v>
      </c>
      <c r="P1655">
        <v>51.8</v>
      </c>
      <c r="S1655" s="74">
        <v>38056</v>
      </c>
      <c r="T1655" s="77">
        <v>0.20833333333333334</v>
      </c>
      <c r="V1655">
        <v>35.06</v>
      </c>
      <c r="X1655" s="42"/>
      <c r="AB1655">
        <v>35.5</v>
      </c>
      <c r="AC1655">
        <v>28.04</v>
      </c>
      <c r="AE1655" s="74"/>
      <c r="AF1655" s="77"/>
      <c r="AH1655" s="497">
        <v>55.400000000000006</v>
      </c>
      <c r="AJ1655" s="42"/>
      <c r="AK1655" s="74"/>
      <c r="AL1655" s="77"/>
      <c r="AN1655" s="497">
        <v>28.94</v>
      </c>
      <c r="AP1655" s="42"/>
      <c r="AQ1655" s="74"/>
      <c r="AR1655" s="77"/>
      <c r="AT1655" s="497">
        <v>19.939999999999998</v>
      </c>
      <c r="AV1655" s="42"/>
      <c r="AW1655" s="74"/>
      <c r="AX1655" s="77"/>
      <c r="BA1655" s="497">
        <v>37.94</v>
      </c>
      <c r="BB1655" s="42"/>
      <c r="BC1655" s="74"/>
      <c r="BD1655" s="77"/>
      <c r="BF1655">
        <v>35.96</v>
      </c>
      <c r="BH1655" s="42"/>
      <c r="BI1655" s="74"/>
      <c r="BJ1655" s="77"/>
      <c r="BL1655" s="497">
        <v>30.92</v>
      </c>
      <c r="BN1655" s="42"/>
      <c r="BO1655" s="74"/>
      <c r="BP1655" s="77"/>
      <c r="BR1655" s="497">
        <v>26.96</v>
      </c>
      <c r="BT1655" s="42"/>
    </row>
    <row r="1656" spans="1:72" x14ac:dyDescent="0.25">
      <c r="A1656" s="90">
        <v>38056</v>
      </c>
      <c r="B1656" s="20">
        <v>0.25</v>
      </c>
      <c r="D1656">
        <v>21.92</v>
      </c>
      <c r="E1656" t="str">
        <f t="shared" si="86"/>
        <v>WEEKDAY</v>
      </c>
      <c r="F1656" t="e">
        <f t="shared" si="87"/>
        <v>#N/A</v>
      </c>
      <c r="G1656" s="74">
        <v>32942</v>
      </c>
      <c r="H1656" s="77">
        <v>0.25</v>
      </c>
      <c r="J1656">
        <v>39.019999999999996</v>
      </c>
      <c r="M1656" s="74">
        <v>36595</v>
      </c>
      <c r="N1656" s="77">
        <v>0.25</v>
      </c>
      <c r="P1656">
        <v>51.8</v>
      </c>
      <c r="S1656" s="74">
        <v>38056</v>
      </c>
      <c r="T1656" s="77">
        <v>0.25</v>
      </c>
      <c r="V1656">
        <v>33.979999999999997</v>
      </c>
      <c r="X1656" s="42"/>
      <c r="AB1656">
        <v>35.200000000000003</v>
      </c>
      <c r="AC1656">
        <v>26.96</v>
      </c>
      <c r="AE1656" s="74"/>
      <c r="AF1656" s="77"/>
      <c r="AH1656" s="497">
        <v>54.86</v>
      </c>
      <c r="AJ1656" s="42"/>
      <c r="AK1656" s="74"/>
      <c r="AL1656" s="77"/>
      <c r="AN1656" s="497">
        <v>26.96</v>
      </c>
      <c r="AP1656" s="42"/>
      <c r="AQ1656" s="74"/>
      <c r="AR1656" s="77"/>
      <c r="AT1656" s="497">
        <v>19.939999999999998</v>
      </c>
      <c r="AV1656" s="42"/>
      <c r="AW1656" s="74"/>
      <c r="AX1656" s="77"/>
      <c r="BA1656" s="497">
        <v>35.96</v>
      </c>
      <c r="BB1656" s="42"/>
      <c r="BC1656" s="74"/>
      <c r="BD1656" s="77"/>
      <c r="BF1656">
        <v>35.96</v>
      </c>
      <c r="BH1656" s="42"/>
      <c r="BI1656" s="74"/>
      <c r="BJ1656" s="77"/>
      <c r="BL1656" s="497">
        <v>35.06</v>
      </c>
      <c r="BN1656" s="42"/>
      <c r="BO1656" s="74"/>
      <c r="BP1656" s="77"/>
      <c r="BR1656" s="497">
        <v>26.060000000000002</v>
      </c>
      <c r="BT1656" s="42"/>
    </row>
    <row r="1657" spans="1:72" x14ac:dyDescent="0.25">
      <c r="A1657" s="90">
        <v>38056</v>
      </c>
      <c r="B1657" s="20">
        <v>0.29166666666666669</v>
      </c>
      <c r="D1657">
        <v>23</v>
      </c>
      <c r="E1657" t="str">
        <f t="shared" si="86"/>
        <v>WEEKDAY</v>
      </c>
      <c r="F1657" t="e">
        <f t="shared" si="87"/>
        <v>#N/A</v>
      </c>
      <c r="G1657" s="74">
        <v>32942</v>
      </c>
      <c r="H1657" s="77">
        <v>0.29166666666666669</v>
      </c>
      <c r="J1657">
        <v>39.019999999999996</v>
      </c>
      <c r="M1657" s="74">
        <v>36595</v>
      </c>
      <c r="N1657" s="77">
        <v>0.29166666666666669</v>
      </c>
      <c r="P1657">
        <v>50</v>
      </c>
      <c r="S1657" s="74">
        <v>38056</v>
      </c>
      <c r="T1657" s="77">
        <v>0.29166666666666669</v>
      </c>
      <c r="V1657">
        <v>35.06</v>
      </c>
      <c r="X1657" s="42"/>
      <c r="AB1657">
        <v>35</v>
      </c>
      <c r="AC1657">
        <v>28.04</v>
      </c>
      <c r="AE1657" s="74"/>
      <c r="AF1657" s="77"/>
      <c r="AH1657" s="497">
        <v>55.400000000000006</v>
      </c>
      <c r="AJ1657" s="42"/>
      <c r="AK1657" s="74"/>
      <c r="AL1657" s="77"/>
      <c r="AN1657" s="497">
        <v>26.060000000000002</v>
      </c>
      <c r="AP1657" s="42"/>
      <c r="AQ1657" s="74"/>
      <c r="AR1657" s="77"/>
      <c r="AT1657" s="497">
        <v>19.939999999999998</v>
      </c>
      <c r="AV1657" s="42"/>
      <c r="AW1657" s="74"/>
      <c r="AX1657" s="77"/>
      <c r="BA1657" s="497">
        <v>35.06</v>
      </c>
      <c r="BB1657" s="42"/>
      <c r="BC1657" s="74"/>
      <c r="BD1657" s="77"/>
      <c r="BF1657">
        <v>35.06</v>
      </c>
      <c r="BH1657" s="42"/>
      <c r="BI1657" s="74"/>
      <c r="BJ1657" s="77"/>
      <c r="BL1657" s="497">
        <v>42.08</v>
      </c>
      <c r="BN1657" s="42"/>
      <c r="BO1657" s="74"/>
      <c r="BP1657" s="77"/>
      <c r="BR1657" s="497">
        <v>21.02</v>
      </c>
      <c r="BT1657" s="42"/>
    </row>
    <row r="1658" spans="1:72" x14ac:dyDescent="0.25">
      <c r="A1658" s="90">
        <v>38056</v>
      </c>
      <c r="B1658" s="20">
        <v>0.33333333333333331</v>
      </c>
      <c r="D1658">
        <v>23</v>
      </c>
      <c r="E1658" t="str">
        <f t="shared" si="86"/>
        <v>WEEKDAY</v>
      </c>
      <c r="F1658" t="e">
        <f t="shared" si="87"/>
        <v>#N/A</v>
      </c>
      <c r="G1658" s="74">
        <v>32942</v>
      </c>
      <c r="H1658" s="77">
        <v>0.33333333333333331</v>
      </c>
      <c r="J1658">
        <v>39.019999999999996</v>
      </c>
      <c r="M1658" s="74">
        <v>36595</v>
      </c>
      <c r="N1658" s="77">
        <v>0.33333333333333331</v>
      </c>
      <c r="P1658">
        <v>50</v>
      </c>
      <c r="S1658" s="74">
        <v>38056</v>
      </c>
      <c r="T1658" s="77">
        <v>0.33333333333333331</v>
      </c>
      <c r="V1658">
        <v>35.96</v>
      </c>
      <c r="X1658" s="42"/>
      <c r="AB1658">
        <v>35.4</v>
      </c>
      <c r="AC1658">
        <v>30.02</v>
      </c>
      <c r="AE1658" s="74"/>
      <c r="AF1658" s="77"/>
      <c r="AH1658" s="497">
        <v>41</v>
      </c>
      <c r="AJ1658" s="42"/>
      <c r="AK1658" s="74"/>
      <c r="AL1658" s="77"/>
      <c r="AN1658" s="497">
        <v>26.96</v>
      </c>
      <c r="AP1658" s="42"/>
      <c r="AQ1658" s="74"/>
      <c r="AR1658" s="77"/>
      <c r="AT1658" s="497">
        <v>24.62</v>
      </c>
      <c r="AV1658" s="42"/>
      <c r="AW1658" s="74"/>
      <c r="AX1658" s="77"/>
      <c r="BA1658" s="497">
        <v>37.04</v>
      </c>
      <c r="BB1658" s="42"/>
      <c r="BC1658" s="74"/>
      <c r="BD1658" s="77"/>
      <c r="BF1658">
        <v>35.06</v>
      </c>
      <c r="BH1658" s="42"/>
      <c r="BI1658" s="74"/>
      <c r="BJ1658" s="77"/>
      <c r="BL1658" s="497">
        <v>44.96</v>
      </c>
      <c r="BN1658" s="42"/>
      <c r="BO1658" s="74"/>
      <c r="BP1658" s="77"/>
      <c r="BR1658" s="497">
        <v>30.02</v>
      </c>
      <c r="BT1658" s="42"/>
    </row>
    <row r="1659" spans="1:72" x14ac:dyDescent="0.25">
      <c r="A1659" s="90">
        <v>38056</v>
      </c>
      <c r="B1659" s="20">
        <v>0.375</v>
      </c>
      <c r="D1659">
        <v>24.98</v>
      </c>
      <c r="E1659" t="str">
        <f t="shared" si="86"/>
        <v>WEEKDAY</v>
      </c>
      <c r="F1659" t="e">
        <f t="shared" si="87"/>
        <v>#N/A</v>
      </c>
      <c r="G1659" s="74">
        <v>32942</v>
      </c>
      <c r="H1659" s="77">
        <v>0.375</v>
      </c>
      <c r="J1659">
        <v>39.92</v>
      </c>
      <c r="M1659" s="74">
        <v>36595</v>
      </c>
      <c r="N1659" s="77">
        <v>0.375</v>
      </c>
      <c r="P1659">
        <v>50</v>
      </c>
      <c r="S1659" s="74">
        <v>38056</v>
      </c>
      <c r="T1659" s="77">
        <v>0.375</v>
      </c>
      <c r="V1659">
        <v>37.04</v>
      </c>
      <c r="X1659" s="42"/>
      <c r="AB1659">
        <v>37.200000000000003</v>
      </c>
      <c r="AC1659">
        <v>32</v>
      </c>
      <c r="AE1659" s="74"/>
      <c r="AF1659" s="77"/>
      <c r="AH1659" s="497">
        <v>39.200000000000003</v>
      </c>
      <c r="AJ1659" s="42"/>
      <c r="AK1659" s="74"/>
      <c r="AL1659" s="77"/>
      <c r="AN1659" s="497">
        <v>26.96</v>
      </c>
      <c r="AP1659" s="42"/>
      <c r="AQ1659" s="74"/>
      <c r="AR1659" s="77"/>
      <c r="AT1659" s="497">
        <v>29.3</v>
      </c>
      <c r="AV1659" s="42"/>
      <c r="AW1659" s="74"/>
      <c r="AX1659" s="77"/>
      <c r="BA1659" s="497">
        <v>39.92</v>
      </c>
      <c r="BB1659" s="42"/>
      <c r="BC1659" s="74"/>
      <c r="BD1659" s="77"/>
      <c r="BF1659">
        <v>37.04</v>
      </c>
      <c r="BH1659" s="42"/>
      <c r="BI1659" s="74"/>
      <c r="BJ1659" s="77"/>
      <c r="BL1659" s="497">
        <v>48.019999999999996</v>
      </c>
      <c r="BN1659" s="42"/>
      <c r="BO1659" s="74"/>
      <c r="BP1659" s="77"/>
      <c r="BR1659" s="497">
        <v>35.06</v>
      </c>
      <c r="BT1659" s="42"/>
    </row>
    <row r="1660" spans="1:72" x14ac:dyDescent="0.25">
      <c r="A1660" s="90">
        <v>38056</v>
      </c>
      <c r="B1660" s="20">
        <v>0.41666666666666669</v>
      </c>
      <c r="D1660">
        <v>28.04</v>
      </c>
      <c r="E1660" t="str">
        <f t="shared" si="86"/>
        <v>WEEKDAY</v>
      </c>
      <c r="F1660" t="e">
        <f t="shared" si="87"/>
        <v>#N/A</v>
      </c>
      <c r="G1660" s="74">
        <v>32942</v>
      </c>
      <c r="H1660" s="77">
        <v>0.41666666666666669</v>
      </c>
      <c r="J1660">
        <v>39.92</v>
      </c>
      <c r="M1660" s="74">
        <v>36595</v>
      </c>
      <c r="N1660" s="77">
        <v>0.41666666666666669</v>
      </c>
      <c r="P1660">
        <v>51.8</v>
      </c>
      <c r="S1660" s="74">
        <v>38056</v>
      </c>
      <c r="T1660" s="77">
        <v>0.41666666666666669</v>
      </c>
      <c r="V1660">
        <v>39.92</v>
      </c>
      <c r="X1660" s="42"/>
      <c r="AB1660">
        <v>39</v>
      </c>
      <c r="AC1660">
        <v>33.979999999999997</v>
      </c>
      <c r="AE1660" s="74"/>
      <c r="AF1660" s="77"/>
      <c r="AH1660" s="497">
        <v>41</v>
      </c>
      <c r="AJ1660" s="42"/>
      <c r="AK1660" s="74"/>
      <c r="AL1660" s="77"/>
      <c r="AN1660" s="497">
        <v>26.96</v>
      </c>
      <c r="AP1660" s="42"/>
      <c r="AQ1660" s="74"/>
      <c r="AR1660" s="77"/>
      <c r="AT1660" s="497">
        <v>33.979999999999997</v>
      </c>
      <c r="AV1660" s="42"/>
      <c r="AW1660" s="74"/>
      <c r="AX1660" s="77"/>
      <c r="BA1660" s="497">
        <v>42.08</v>
      </c>
      <c r="BB1660" s="42"/>
      <c r="BC1660" s="74"/>
      <c r="BD1660" s="77"/>
      <c r="BF1660">
        <v>37.94</v>
      </c>
      <c r="BH1660" s="42"/>
      <c r="BI1660" s="74"/>
      <c r="BJ1660" s="77"/>
      <c r="BL1660" s="497">
        <v>51.980000000000004</v>
      </c>
      <c r="BN1660" s="42"/>
      <c r="BO1660" s="74"/>
      <c r="BP1660" s="77"/>
      <c r="BR1660" s="497">
        <v>37.04</v>
      </c>
      <c r="BT1660" s="42"/>
    </row>
    <row r="1661" spans="1:72" x14ac:dyDescent="0.25">
      <c r="A1661" s="90">
        <v>38056</v>
      </c>
      <c r="B1661" s="20">
        <v>0.45833333333333331</v>
      </c>
      <c r="D1661">
        <v>30.02</v>
      </c>
      <c r="E1661" t="str">
        <f t="shared" si="86"/>
        <v>WEEKDAY</v>
      </c>
      <c r="F1661" t="e">
        <f t="shared" si="87"/>
        <v>#N/A</v>
      </c>
      <c r="G1661" s="74">
        <v>32942</v>
      </c>
      <c r="H1661" s="77">
        <v>0.45833333333333331</v>
      </c>
      <c r="J1661">
        <v>39.92</v>
      </c>
      <c r="M1661" s="74">
        <v>36595</v>
      </c>
      <c r="N1661" s="77">
        <v>0.45833333333333331</v>
      </c>
      <c r="P1661">
        <v>50</v>
      </c>
      <c r="S1661" s="74">
        <v>38056</v>
      </c>
      <c r="T1661" s="77">
        <v>0.45833333333333331</v>
      </c>
      <c r="V1661">
        <v>39.92</v>
      </c>
      <c r="X1661" s="42"/>
      <c r="AB1661">
        <v>40.700000000000003</v>
      </c>
      <c r="AC1661">
        <v>35.96</v>
      </c>
      <c r="AE1661" s="74"/>
      <c r="AF1661" s="77"/>
      <c r="AH1661" s="497">
        <v>39.200000000000003</v>
      </c>
      <c r="AJ1661" s="42"/>
      <c r="AK1661" s="74"/>
      <c r="AL1661" s="77"/>
      <c r="AN1661" s="497">
        <v>28.04</v>
      </c>
      <c r="AP1661" s="42"/>
      <c r="AQ1661" s="74"/>
      <c r="AR1661" s="77"/>
      <c r="AT1661" s="497">
        <v>36.32</v>
      </c>
      <c r="AV1661" s="42"/>
      <c r="AW1661" s="74"/>
      <c r="AX1661" s="77"/>
      <c r="BA1661" s="497">
        <v>44.96</v>
      </c>
      <c r="BB1661" s="42"/>
      <c r="BC1661" s="74"/>
      <c r="BD1661" s="77"/>
      <c r="BF1661">
        <v>39.92</v>
      </c>
      <c r="BH1661" s="42"/>
      <c r="BI1661" s="74"/>
      <c r="BJ1661" s="77"/>
      <c r="BL1661" s="497">
        <v>55.94</v>
      </c>
      <c r="BN1661" s="42"/>
      <c r="BO1661" s="74"/>
      <c r="BP1661" s="77"/>
      <c r="BR1661" s="497">
        <v>39.92</v>
      </c>
      <c r="BT1661" s="42"/>
    </row>
    <row r="1662" spans="1:72" x14ac:dyDescent="0.25">
      <c r="A1662" s="90">
        <v>38056</v>
      </c>
      <c r="B1662" s="20">
        <v>0.5</v>
      </c>
      <c r="D1662">
        <v>32</v>
      </c>
      <c r="E1662" t="str">
        <f t="shared" si="86"/>
        <v>WEEKDAY</v>
      </c>
      <c r="F1662" t="e">
        <f t="shared" si="87"/>
        <v>#N/A</v>
      </c>
      <c r="G1662" s="74">
        <v>32942</v>
      </c>
      <c r="H1662" s="77">
        <v>0.5</v>
      </c>
      <c r="J1662">
        <v>42.980000000000004</v>
      </c>
      <c r="M1662" s="74">
        <v>36595</v>
      </c>
      <c r="N1662" s="77">
        <v>0.5</v>
      </c>
      <c r="P1662">
        <v>50</v>
      </c>
      <c r="S1662" s="74">
        <v>38056</v>
      </c>
      <c r="T1662" s="77">
        <v>0.5</v>
      </c>
      <c r="V1662">
        <v>41</v>
      </c>
      <c r="X1662" s="42"/>
      <c r="AB1662">
        <v>42.1</v>
      </c>
      <c r="AC1662">
        <v>37.94</v>
      </c>
      <c r="AE1662" s="74"/>
      <c r="AF1662" s="77"/>
      <c r="AH1662" s="497">
        <v>41</v>
      </c>
      <c r="AJ1662" s="42"/>
      <c r="AK1662" s="74"/>
      <c r="AL1662" s="77"/>
      <c r="AN1662" s="497">
        <v>26.96</v>
      </c>
      <c r="AP1662" s="42"/>
      <c r="AQ1662" s="74"/>
      <c r="AR1662" s="77"/>
      <c r="AT1662" s="497">
        <v>38.659999999999997</v>
      </c>
      <c r="AV1662" s="42"/>
      <c r="AW1662" s="74"/>
      <c r="AX1662" s="77"/>
      <c r="BA1662" s="497">
        <v>46.04</v>
      </c>
      <c r="BB1662" s="42"/>
      <c r="BC1662" s="74"/>
      <c r="BD1662" s="77"/>
      <c r="BF1662">
        <v>39.92</v>
      </c>
      <c r="BH1662" s="42"/>
      <c r="BI1662" s="74"/>
      <c r="BJ1662" s="77"/>
      <c r="BL1662" s="497">
        <v>57.019999999999996</v>
      </c>
      <c r="BN1662" s="42"/>
      <c r="BO1662" s="74"/>
      <c r="BP1662" s="77"/>
      <c r="BR1662" s="497">
        <v>41</v>
      </c>
      <c r="BT1662" s="42"/>
    </row>
    <row r="1663" spans="1:72" x14ac:dyDescent="0.25">
      <c r="A1663" s="90">
        <v>38056</v>
      </c>
      <c r="B1663" s="20">
        <v>0.54166666666666663</v>
      </c>
      <c r="D1663">
        <v>33.979999999999997</v>
      </c>
      <c r="E1663" t="str">
        <f t="shared" si="86"/>
        <v>WEEKDAY</v>
      </c>
      <c r="F1663" t="e">
        <f t="shared" si="87"/>
        <v>#N/A</v>
      </c>
      <c r="G1663" s="74">
        <v>32942</v>
      </c>
      <c r="H1663" s="77">
        <v>0.54166666666666663</v>
      </c>
      <c r="J1663">
        <v>46.94</v>
      </c>
      <c r="M1663" s="74">
        <v>36595</v>
      </c>
      <c r="N1663" s="77">
        <v>0.54166666666666663</v>
      </c>
      <c r="P1663">
        <v>50</v>
      </c>
      <c r="S1663" s="74">
        <v>38056</v>
      </c>
      <c r="T1663" s="77">
        <v>0.54166666666666663</v>
      </c>
      <c r="V1663">
        <v>41</v>
      </c>
      <c r="X1663" s="42"/>
      <c r="AB1663">
        <v>43.1</v>
      </c>
      <c r="AC1663">
        <v>41</v>
      </c>
      <c r="AE1663" s="74"/>
      <c r="AF1663" s="77"/>
      <c r="AH1663" s="497">
        <v>42.8</v>
      </c>
      <c r="AJ1663" s="42"/>
      <c r="AK1663" s="74"/>
      <c r="AL1663" s="77"/>
      <c r="AN1663" s="497">
        <v>26.96</v>
      </c>
      <c r="AP1663" s="42"/>
      <c r="AQ1663" s="74"/>
      <c r="AR1663" s="77"/>
      <c r="AT1663" s="497">
        <v>41</v>
      </c>
      <c r="AV1663" s="42"/>
      <c r="AW1663" s="74"/>
      <c r="AX1663" s="77"/>
      <c r="BA1663" s="497">
        <v>46.94</v>
      </c>
      <c r="BB1663" s="42"/>
      <c r="BC1663" s="74"/>
      <c r="BD1663" s="77"/>
      <c r="BF1663">
        <v>41</v>
      </c>
      <c r="BH1663" s="42"/>
      <c r="BI1663" s="74"/>
      <c r="BJ1663" s="77"/>
      <c r="BL1663" s="497">
        <v>57.92</v>
      </c>
      <c r="BN1663" s="42"/>
      <c r="BO1663" s="74"/>
      <c r="BP1663" s="77"/>
      <c r="BR1663" s="497">
        <v>44.06</v>
      </c>
      <c r="BT1663" s="42"/>
    </row>
    <row r="1664" spans="1:72" x14ac:dyDescent="0.25">
      <c r="A1664" s="90">
        <v>38056</v>
      </c>
      <c r="B1664" s="20">
        <v>0.58333333333333337</v>
      </c>
      <c r="D1664">
        <v>35.06</v>
      </c>
      <c r="E1664" t="str">
        <f t="shared" si="86"/>
        <v>WEEKDAY</v>
      </c>
      <c r="F1664" t="e">
        <f t="shared" si="87"/>
        <v>#N/A</v>
      </c>
      <c r="G1664" s="74">
        <v>32942</v>
      </c>
      <c r="H1664" s="77">
        <v>0.58333333333333337</v>
      </c>
      <c r="J1664">
        <v>51.980000000000004</v>
      </c>
      <c r="M1664" s="74">
        <v>36595</v>
      </c>
      <c r="N1664" s="77">
        <v>0.58333333333333337</v>
      </c>
      <c r="P1664">
        <v>50</v>
      </c>
      <c r="S1664" s="74">
        <v>38056</v>
      </c>
      <c r="T1664" s="77">
        <v>0.58333333333333337</v>
      </c>
      <c r="V1664">
        <v>44.06</v>
      </c>
      <c r="X1664" s="42"/>
      <c r="AB1664">
        <v>43.9</v>
      </c>
      <c r="AC1664">
        <v>41</v>
      </c>
      <c r="AE1664" s="74"/>
      <c r="AF1664" s="77"/>
      <c r="AH1664" s="497">
        <v>42.8</v>
      </c>
      <c r="AJ1664" s="42"/>
      <c r="AK1664" s="74"/>
      <c r="AL1664" s="77"/>
      <c r="AN1664" s="497">
        <v>26.96</v>
      </c>
      <c r="AP1664" s="42"/>
      <c r="AQ1664" s="74"/>
      <c r="AR1664" s="77"/>
      <c r="AT1664" s="497">
        <v>40.64</v>
      </c>
      <c r="AV1664" s="42"/>
      <c r="AW1664" s="74"/>
      <c r="AX1664" s="77"/>
      <c r="BA1664" s="497">
        <v>48.92</v>
      </c>
      <c r="BB1664" s="42"/>
      <c r="BC1664" s="74"/>
      <c r="BD1664" s="77"/>
      <c r="BF1664">
        <v>42.980000000000004</v>
      </c>
      <c r="BH1664" s="42"/>
      <c r="BI1664" s="74"/>
      <c r="BJ1664" s="77"/>
      <c r="BL1664" s="497">
        <v>62.06</v>
      </c>
      <c r="BN1664" s="42"/>
      <c r="BO1664" s="74"/>
      <c r="BP1664" s="77"/>
      <c r="BR1664" s="497">
        <v>44.06</v>
      </c>
      <c r="BT1664" s="42"/>
    </row>
    <row r="1665" spans="1:72" x14ac:dyDescent="0.25">
      <c r="A1665" s="90">
        <v>38056</v>
      </c>
      <c r="B1665" s="20">
        <v>0.625</v>
      </c>
      <c r="D1665">
        <v>37.04</v>
      </c>
      <c r="E1665" t="str">
        <f t="shared" si="86"/>
        <v>WEEKDAY</v>
      </c>
      <c r="F1665" t="e">
        <f t="shared" si="87"/>
        <v>#N/A</v>
      </c>
      <c r="G1665" s="74">
        <v>32942</v>
      </c>
      <c r="H1665" s="77">
        <v>0.625</v>
      </c>
      <c r="J1665">
        <v>51.980000000000004</v>
      </c>
      <c r="M1665" s="74">
        <v>36595</v>
      </c>
      <c r="N1665" s="77">
        <v>0.625</v>
      </c>
      <c r="P1665">
        <v>50</v>
      </c>
      <c r="S1665" s="74">
        <v>38056</v>
      </c>
      <c r="T1665" s="77">
        <v>0.625</v>
      </c>
      <c r="V1665">
        <v>42.980000000000004</v>
      </c>
      <c r="X1665" s="42"/>
      <c r="AB1665">
        <v>44.3</v>
      </c>
      <c r="AC1665">
        <v>41</v>
      </c>
      <c r="AE1665" s="74"/>
      <c r="AF1665" s="77"/>
      <c r="AH1665" s="497">
        <v>42.8</v>
      </c>
      <c r="AJ1665" s="42"/>
      <c r="AK1665" s="74"/>
      <c r="AL1665" s="77"/>
      <c r="AN1665" s="497">
        <v>23</v>
      </c>
      <c r="AP1665" s="42"/>
      <c r="AQ1665" s="74"/>
      <c r="AR1665" s="77"/>
      <c r="AT1665" s="497">
        <v>40.28</v>
      </c>
      <c r="AV1665" s="42"/>
      <c r="AW1665" s="74"/>
      <c r="AX1665" s="77"/>
      <c r="BA1665" s="497">
        <v>50</v>
      </c>
      <c r="BB1665" s="42"/>
      <c r="BC1665" s="74"/>
      <c r="BD1665" s="77"/>
      <c r="BF1665">
        <v>44.06</v>
      </c>
      <c r="BH1665" s="42"/>
      <c r="BI1665" s="74"/>
      <c r="BJ1665" s="77"/>
      <c r="BL1665" s="497">
        <v>64.039999999999992</v>
      </c>
      <c r="BN1665" s="42"/>
      <c r="BO1665" s="74"/>
      <c r="BP1665" s="77"/>
      <c r="BR1665" s="497">
        <v>46.94</v>
      </c>
      <c r="BT1665" s="42"/>
    </row>
    <row r="1666" spans="1:72" x14ac:dyDescent="0.25">
      <c r="A1666" s="90">
        <v>38056</v>
      </c>
      <c r="B1666" s="20">
        <v>0.66666666666666663</v>
      </c>
      <c r="D1666">
        <v>37.94</v>
      </c>
      <c r="E1666" t="str">
        <f t="shared" si="86"/>
        <v>WEEKDAY</v>
      </c>
      <c r="F1666" t="e">
        <f t="shared" si="87"/>
        <v>#N/A</v>
      </c>
      <c r="G1666" s="74">
        <v>32942</v>
      </c>
      <c r="H1666" s="77">
        <v>0.66666666666666663</v>
      </c>
      <c r="J1666">
        <v>50</v>
      </c>
      <c r="M1666" s="74">
        <v>36595</v>
      </c>
      <c r="N1666" s="77">
        <v>0.66666666666666663</v>
      </c>
      <c r="P1666">
        <v>50</v>
      </c>
      <c r="S1666" s="74">
        <v>38056</v>
      </c>
      <c r="T1666" s="77">
        <v>0.66666666666666663</v>
      </c>
      <c r="V1666">
        <v>42.08</v>
      </c>
      <c r="X1666" s="42"/>
      <c r="AB1666">
        <v>44.4</v>
      </c>
      <c r="AC1666">
        <v>41</v>
      </c>
      <c r="AE1666" s="74"/>
      <c r="AF1666" s="77"/>
      <c r="AH1666" s="497">
        <v>42.8</v>
      </c>
      <c r="AJ1666" s="42"/>
      <c r="AK1666" s="74"/>
      <c r="AL1666" s="77"/>
      <c r="AN1666" s="497">
        <v>21.92</v>
      </c>
      <c r="AP1666" s="42"/>
      <c r="AQ1666" s="74"/>
      <c r="AR1666" s="77"/>
      <c r="AT1666" s="497">
        <v>39.92</v>
      </c>
      <c r="AV1666" s="42"/>
      <c r="AW1666" s="74"/>
      <c r="AX1666" s="77"/>
      <c r="BA1666" s="497">
        <v>48.019999999999996</v>
      </c>
      <c r="BB1666" s="42"/>
      <c r="BC1666" s="74"/>
      <c r="BD1666" s="77"/>
      <c r="BF1666">
        <v>44.06</v>
      </c>
      <c r="BH1666" s="42"/>
      <c r="BI1666" s="74"/>
      <c r="BJ1666" s="77"/>
      <c r="BL1666" s="497">
        <v>66.02</v>
      </c>
      <c r="BN1666" s="42"/>
      <c r="BO1666" s="74"/>
      <c r="BP1666" s="77"/>
      <c r="BR1666" s="497">
        <v>46.94</v>
      </c>
      <c r="BT1666" s="42"/>
    </row>
    <row r="1667" spans="1:72" x14ac:dyDescent="0.25">
      <c r="A1667" s="90">
        <v>38056</v>
      </c>
      <c r="B1667" s="20">
        <v>0.70833333333333337</v>
      </c>
      <c r="D1667">
        <v>37.94</v>
      </c>
      <c r="E1667" t="str">
        <f t="shared" si="86"/>
        <v>WEEKDAY</v>
      </c>
      <c r="F1667" t="e">
        <f t="shared" si="87"/>
        <v>#N/A</v>
      </c>
      <c r="G1667" s="74">
        <v>32942</v>
      </c>
      <c r="H1667" s="77">
        <v>0.70833333333333337</v>
      </c>
      <c r="J1667">
        <v>48.92</v>
      </c>
      <c r="M1667" s="74">
        <v>36595</v>
      </c>
      <c r="N1667" s="77">
        <v>0.70833333333333337</v>
      </c>
      <c r="P1667">
        <v>50</v>
      </c>
      <c r="S1667" s="74">
        <v>38056</v>
      </c>
      <c r="T1667" s="77">
        <v>0.70833333333333337</v>
      </c>
      <c r="V1667">
        <v>42.980000000000004</v>
      </c>
      <c r="X1667" s="42"/>
      <c r="AB1667">
        <v>44</v>
      </c>
      <c r="AC1667">
        <v>37.94</v>
      </c>
      <c r="AE1667" s="74"/>
      <c r="AF1667" s="77"/>
      <c r="AH1667" s="497">
        <v>42.8</v>
      </c>
      <c r="AJ1667" s="42"/>
      <c r="AK1667" s="74"/>
      <c r="AL1667" s="77"/>
      <c r="AN1667" s="497">
        <v>21.92</v>
      </c>
      <c r="AP1667" s="42"/>
      <c r="AQ1667" s="74"/>
      <c r="AR1667" s="77"/>
      <c r="AT1667" s="497">
        <v>38.299999999999997</v>
      </c>
      <c r="AV1667" s="42"/>
      <c r="AW1667" s="74"/>
      <c r="AX1667" s="77"/>
      <c r="BA1667" s="497">
        <v>46.04</v>
      </c>
      <c r="BB1667" s="42"/>
      <c r="BC1667" s="74"/>
      <c r="BD1667" s="77"/>
      <c r="BF1667">
        <v>44.06</v>
      </c>
      <c r="BH1667" s="42"/>
      <c r="BI1667" s="74"/>
      <c r="BJ1667" s="77"/>
      <c r="BL1667" s="497">
        <v>64.94</v>
      </c>
      <c r="BN1667" s="42"/>
      <c r="BO1667" s="74"/>
      <c r="BP1667" s="77"/>
      <c r="BR1667" s="497">
        <v>44.96</v>
      </c>
      <c r="BT1667" s="42"/>
    </row>
    <row r="1668" spans="1:72" x14ac:dyDescent="0.25">
      <c r="A1668" s="90">
        <v>38056</v>
      </c>
      <c r="B1668" s="20">
        <v>0.75</v>
      </c>
      <c r="D1668">
        <v>37.04</v>
      </c>
      <c r="E1668" t="str">
        <f t="shared" si="86"/>
        <v>WEEKDAY</v>
      </c>
      <c r="F1668" t="e">
        <f t="shared" si="87"/>
        <v>#N/A</v>
      </c>
      <c r="G1668" s="74">
        <v>32942</v>
      </c>
      <c r="H1668" s="77">
        <v>0.75</v>
      </c>
      <c r="J1668">
        <v>44.96</v>
      </c>
      <c r="M1668" s="74">
        <v>36595</v>
      </c>
      <c r="N1668" s="77">
        <v>0.75</v>
      </c>
      <c r="P1668">
        <v>48.2</v>
      </c>
      <c r="S1668" s="74">
        <v>38056</v>
      </c>
      <c r="T1668" s="77">
        <v>0.75</v>
      </c>
      <c r="V1668">
        <v>42.08</v>
      </c>
      <c r="X1668" s="42"/>
      <c r="AB1668">
        <v>43</v>
      </c>
      <c r="AC1668">
        <v>37.04</v>
      </c>
      <c r="AE1668" s="74"/>
      <c r="AF1668" s="77"/>
      <c r="AH1668" s="497">
        <v>41</v>
      </c>
      <c r="AJ1668" s="42"/>
      <c r="AK1668" s="74"/>
      <c r="AL1668" s="77"/>
      <c r="AN1668" s="497">
        <v>21.02</v>
      </c>
      <c r="AP1668" s="42"/>
      <c r="AQ1668" s="74"/>
      <c r="AR1668" s="77"/>
      <c r="AT1668" s="497">
        <v>36.68</v>
      </c>
      <c r="AV1668" s="42"/>
      <c r="AW1668" s="74"/>
      <c r="AX1668" s="77"/>
      <c r="BA1668" s="497">
        <v>44.06</v>
      </c>
      <c r="BB1668" s="42"/>
      <c r="BC1668" s="74"/>
      <c r="BD1668" s="77"/>
      <c r="BF1668">
        <v>44.96</v>
      </c>
      <c r="BH1668" s="42"/>
      <c r="BI1668" s="74"/>
      <c r="BJ1668" s="77"/>
      <c r="BL1668" s="497">
        <v>62.96</v>
      </c>
      <c r="BN1668" s="42"/>
      <c r="BO1668" s="74"/>
      <c r="BP1668" s="77"/>
      <c r="BR1668" s="497">
        <v>42.08</v>
      </c>
      <c r="BT1668" s="42"/>
    </row>
    <row r="1669" spans="1:72" x14ac:dyDescent="0.25">
      <c r="A1669" s="90">
        <v>38056</v>
      </c>
      <c r="B1669" s="20">
        <v>0.79166666666666663</v>
      </c>
      <c r="D1669">
        <v>35.96</v>
      </c>
      <c r="E1669" t="str">
        <f t="shared" si="86"/>
        <v>WEEKDAY</v>
      </c>
      <c r="F1669" t="e">
        <f t="shared" si="87"/>
        <v>#N/A</v>
      </c>
      <c r="G1669" s="74">
        <v>32942</v>
      </c>
      <c r="H1669" s="77">
        <v>0.79166666666666663</v>
      </c>
      <c r="J1669">
        <v>44.06</v>
      </c>
      <c r="M1669" s="74">
        <v>36595</v>
      </c>
      <c r="N1669" s="77">
        <v>0.79166666666666663</v>
      </c>
      <c r="P1669">
        <v>46.4</v>
      </c>
      <c r="S1669" s="74">
        <v>38056</v>
      </c>
      <c r="T1669" s="77">
        <v>0.79166666666666663</v>
      </c>
      <c r="V1669">
        <v>39.92</v>
      </c>
      <c r="X1669" s="42"/>
      <c r="AB1669">
        <v>41.5</v>
      </c>
      <c r="AC1669">
        <v>37.04</v>
      </c>
      <c r="AE1669" s="74"/>
      <c r="AF1669" s="77"/>
      <c r="AH1669" s="497">
        <v>39.200000000000003</v>
      </c>
      <c r="AJ1669" s="42"/>
      <c r="AK1669" s="74"/>
      <c r="AL1669" s="77"/>
      <c r="AN1669" s="497">
        <v>19.939999999999998</v>
      </c>
      <c r="AP1669" s="42"/>
      <c r="AQ1669" s="74"/>
      <c r="AR1669" s="77"/>
      <c r="AT1669" s="497">
        <v>35.06</v>
      </c>
      <c r="AV1669" s="42"/>
      <c r="AW1669" s="74"/>
      <c r="AX1669" s="77"/>
      <c r="BA1669" s="497">
        <v>42.980000000000004</v>
      </c>
      <c r="BB1669" s="42"/>
      <c r="BC1669" s="74"/>
      <c r="BD1669" s="77"/>
      <c r="BF1669">
        <v>44.06</v>
      </c>
      <c r="BH1669" s="42"/>
      <c r="BI1669" s="74"/>
      <c r="BJ1669" s="77"/>
      <c r="BL1669" s="497">
        <v>60.980000000000004</v>
      </c>
      <c r="BN1669" s="42"/>
      <c r="BO1669" s="74"/>
      <c r="BP1669" s="77"/>
      <c r="BR1669" s="497">
        <v>39.019999999999996</v>
      </c>
      <c r="BT1669" s="42"/>
    </row>
    <row r="1670" spans="1:72" x14ac:dyDescent="0.25">
      <c r="A1670" s="90">
        <v>38056</v>
      </c>
      <c r="B1670" s="20">
        <v>0.83333333333333337</v>
      </c>
      <c r="D1670">
        <v>35.06</v>
      </c>
      <c r="E1670" t="str">
        <f t="shared" si="86"/>
        <v>WEEKDAY</v>
      </c>
      <c r="F1670" t="e">
        <f t="shared" si="87"/>
        <v>#N/A</v>
      </c>
      <c r="G1670" s="74">
        <v>32942</v>
      </c>
      <c r="H1670" s="77">
        <v>0.83333333333333337</v>
      </c>
      <c r="J1670">
        <v>44.96</v>
      </c>
      <c r="M1670" s="74">
        <v>36595</v>
      </c>
      <c r="N1670" s="77">
        <v>0.83333333333333337</v>
      </c>
      <c r="P1670">
        <v>46.4</v>
      </c>
      <c r="S1670" s="74">
        <v>38056</v>
      </c>
      <c r="T1670" s="77">
        <v>0.83333333333333337</v>
      </c>
      <c r="V1670">
        <v>39.019999999999996</v>
      </c>
      <c r="X1670" s="42"/>
      <c r="AB1670">
        <v>40.799999999999997</v>
      </c>
      <c r="AC1670">
        <v>35.96</v>
      </c>
      <c r="AE1670" s="74"/>
      <c r="AF1670" s="77"/>
      <c r="AH1670" s="497">
        <v>39.200000000000003</v>
      </c>
      <c r="AJ1670" s="42"/>
      <c r="AK1670" s="74"/>
      <c r="AL1670" s="77"/>
      <c r="AN1670" s="497">
        <v>19.04</v>
      </c>
      <c r="AP1670" s="42"/>
      <c r="AQ1670" s="74"/>
      <c r="AR1670" s="77"/>
      <c r="AT1670" s="497">
        <v>34.700000000000003</v>
      </c>
      <c r="AV1670" s="42"/>
      <c r="AW1670" s="74"/>
      <c r="AX1670" s="77"/>
      <c r="BA1670" s="497">
        <v>42.980000000000004</v>
      </c>
      <c r="BB1670" s="42"/>
      <c r="BC1670" s="74"/>
      <c r="BD1670" s="77"/>
      <c r="BF1670">
        <v>44.06</v>
      </c>
      <c r="BH1670" s="42"/>
      <c r="BI1670" s="74"/>
      <c r="BJ1670" s="77"/>
      <c r="BL1670" s="497">
        <v>53.06</v>
      </c>
      <c r="BN1670" s="42"/>
      <c r="BO1670" s="74"/>
      <c r="BP1670" s="77"/>
      <c r="BR1670" s="497">
        <v>35.96</v>
      </c>
      <c r="BT1670" s="42"/>
    </row>
    <row r="1671" spans="1:72" x14ac:dyDescent="0.25">
      <c r="A1671" s="90">
        <v>38056</v>
      </c>
      <c r="B1671" s="20">
        <v>0.875</v>
      </c>
      <c r="D1671">
        <v>35.06</v>
      </c>
      <c r="E1671" t="str">
        <f t="shared" si="86"/>
        <v>WEEKDAY</v>
      </c>
      <c r="F1671" t="e">
        <f t="shared" si="87"/>
        <v>#N/A</v>
      </c>
      <c r="G1671" s="74">
        <v>32942</v>
      </c>
      <c r="H1671" s="77">
        <v>0.875</v>
      </c>
      <c r="J1671">
        <v>44.96</v>
      </c>
      <c r="M1671" s="74">
        <v>36595</v>
      </c>
      <c r="N1671" s="77">
        <v>0.875</v>
      </c>
      <c r="P1671">
        <v>46.4</v>
      </c>
      <c r="S1671" s="74">
        <v>38056</v>
      </c>
      <c r="T1671" s="77">
        <v>0.875</v>
      </c>
      <c r="V1671">
        <v>39.019999999999996</v>
      </c>
      <c r="X1671" s="42"/>
      <c r="AB1671">
        <v>40.200000000000003</v>
      </c>
      <c r="AC1671">
        <v>35.06</v>
      </c>
      <c r="AE1671" s="74"/>
      <c r="AF1671" s="77"/>
      <c r="AH1671" s="497">
        <v>38.119999999999997</v>
      </c>
      <c r="AJ1671" s="42"/>
      <c r="AK1671" s="74"/>
      <c r="AL1671" s="77"/>
      <c r="AN1671" s="497">
        <v>19.04</v>
      </c>
      <c r="AP1671" s="42"/>
      <c r="AQ1671" s="74"/>
      <c r="AR1671" s="77"/>
      <c r="AT1671" s="497">
        <v>34.340000000000003</v>
      </c>
      <c r="AV1671" s="42"/>
      <c r="AW1671" s="74"/>
      <c r="AX1671" s="77"/>
      <c r="BA1671" s="497">
        <v>42.08</v>
      </c>
      <c r="BB1671" s="42"/>
      <c r="BC1671" s="74"/>
      <c r="BD1671" s="77"/>
      <c r="BF1671">
        <v>44.06</v>
      </c>
      <c r="BH1671" s="42"/>
      <c r="BI1671" s="74"/>
      <c r="BJ1671" s="77"/>
      <c r="BL1671" s="497">
        <v>51.980000000000004</v>
      </c>
      <c r="BN1671" s="42"/>
      <c r="BO1671" s="74"/>
      <c r="BP1671" s="77"/>
      <c r="BR1671" s="497">
        <v>37.94</v>
      </c>
      <c r="BT1671" s="42"/>
    </row>
    <row r="1672" spans="1:72" x14ac:dyDescent="0.25">
      <c r="A1672" s="90">
        <v>38056</v>
      </c>
      <c r="B1672" s="20">
        <v>0.91666666666666663</v>
      </c>
      <c r="D1672">
        <v>33.979999999999997</v>
      </c>
      <c r="E1672" t="str">
        <f t="shared" si="86"/>
        <v>WEEKDAY</v>
      </c>
      <c r="F1672" t="e">
        <f t="shared" si="87"/>
        <v>#N/A</v>
      </c>
      <c r="G1672" s="74">
        <v>32942</v>
      </c>
      <c r="H1672" s="77">
        <v>0.91666666666666663</v>
      </c>
      <c r="J1672">
        <v>46.04</v>
      </c>
      <c r="M1672" s="74">
        <v>36595</v>
      </c>
      <c r="N1672" s="77">
        <v>0.91666666666666663</v>
      </c>
      <c r="P1672">
        <v>42.8</v>
      </c>
      <c r="S1672" s="74">
        <v>38056</v>
      </c>
      <c r="T1672" s="77">
        <v>0.91666666666666663</v>
      </c>
      <c r="V1672">
        <v>39.019999999999996</v>
      </c>
      <c r="X1672" s="42"/>
      <c r="AB1672">
        <v>39.6</v>
      </c>
      <c r="AC1672">
        <v>33.979999999999997</v>
      </c>
      <c r="AE1672" s="74"/>
      <c r="AF1672" s="77"/>
      <c r="AH1672" s="497">
        <v>37.4</v>
      </c>
      <c r="AJ1672" s="42"/>
      <c r="AK1672" s="74"/>
      <c r="AL1672" s="77"/>
      <c r="AN1672" s="497">
        <v>17.96</v>
      </c>
      <c r="AP1672" s="42"/>
      <c r="AQ1672" s="74"/>
      <c r="AR1672" s="77"/>
      <c r="AT1672" s="497">
        <v>33.979999999999997</v>
      </c>
      <c r="AV1672" s="42"/>
      <c r="AW1672" s="74"/>
      <c r="AX1672" s="77"/>
      <c r="BA1672" s="497">
        <v>42.980000000000004</v>
      </c>
      <c r="BB1672" s="42"/>
      <c r="BC1672" s="74"/>
      <c r="BD1672" s="77"/>
      <c r="BF1672">
        <v>42.980000000000004</v>
      </c>
      <c r="BH1672" s="42"/>
      <c r="BI1672" s="74"/>
      <c r="BJ1672" s="77"/>
      <c r="BL1672" s="497">
        <v>50</v>
      </c>
      <c r="BN1672" s="42"/>
      <c r="BO1672" s="74"/>
      <c r="BP1672" s="77"/>
      <c r="BR1672" s="497">
        <v>39.019999999999996</v>
      </c>
      <c r="BT1672" s="42"/>
    </row>
    <row r="1673" spans="1:72" x14ac:dyDescent="0.25">
      <c r="A1673" s="90">
        <v>38056</v>
      </c>
      <c r="B1673" s="20">
        <v>0.95833333333333337</v>
      </c>
      <c r="D1673">
        <v>33.979999999999997</v>
      </c>
      <c r="E1673" t="str">
        <f t="shared" si="86"/>
        <v>WEEKDAY</v>
      </c>
      <c r="F1673" t="e">
        <f t="shared" si="87"/>
        <v>#N/A</v>
      </c>
      <c r="G1673" s="74">
        <v>32942</v>
      </c>
      <c r="H1673" s="77">
        <v>0.95833333333333337</v>
      </c>
      <c r="J1673">
        <v>46.04</v>
      </c>
      <c r="M1673" s="74">
        <v>36595</v>
      </c>
      <c r="N1673" s="77">
        <v>0.95833333333333337</v>
      </c>
      <c r="P1673">
        <v>42.8</v>
      </c>
      <c r="S1673" s="74">
        <v>38056</v>
      </c>
      <c r="T1673" s="77">
        <v>0.95833333333333337</v>
      </c>
      <c r="V1673">
        <v>37.94</v>
      </c>
      <c r="X1673" s="42"/>
      <c r="AB1673">
        <v>39</v>
      </c>
      <c r="AC1673">
        <v>30.92</v>
      </c>
      <c r="AE1673" s="74"/>
      <c r="AF1673" s="77"/>
      <c r="AH1673" s="497">
        <v>37.4</v>
      </c>
      <c r="AJ1673" s="42"/>
      <c r="AK1673" s="74"/>
      <c r="AL1673" s="77"/>
      <c r="AN1673" s="497">
        <v>17.96</v>
      </c>
      <c r="AP1673" s="42"/>
      <c r="AQ1673" s="74"/>
      <c r="AR1673" s="77"/>
      <c r="AT1673" s="497">
        <v>33.619999999999997</v>
      </c>
      <c r="AV1673" s="42"/>
      <c r="AW1673" s="74"/>
      <c r="AX1673" s="77"/>
      <c r="BA1673" s="497">
        <v>42.08</v>
      </c>
      <c r="BB1673" s="42"/>
      <c r="BC1673" s="74"/>
      <c r="BD1673" s="77"/>
      <c r="BF1673">
        <v>44.06</v>
      </c>
      <c r="BH1673" s="42"/>
      <c r="BI1673" s="74"/>
      <c r="BJ1673" s="77"/>
      <c r="BL1673" s="497">
        <v>50</v>
      </c>
      <c r="BN1673" s="42"/>
      <c r="BO1673" s="74"/>
      <c r="BP1673" s="77"/>
      <c r="BR1673" s="497">
        <v>37.04</v>
      </c>
      <c r="BT1673" s="42"/>
    </row>
    <row r="1674" spans="1:72" x14ac:dyDescent="0.25">
      <c r="A1674" s="90">
        <v>38056</v>
      </c>
      <c r="B1674" s="20">
        <v>1</v>
      </c>
      <c r="D1674">
        <v>33.979999999999997</v>
      </c>
      <c r="E1674" t="str">
        <f t="shared" si="86"/>
        <v>WEEKDAY</v>
      </c>
      <c r="F1674" t="e">
        <f t="shared" si="87"/>
        <v>#N/A</v>
      </c>
      <c r="G1674" s="74">
        <v>32942</v>
      </c>
      <c r="H1674" s="77">
        <v>1</v>
      </c>
      <c r="J1674">
        <v>46.94</v>
      </c>
      <c r="M1674" s="74">
        <v>36595</v>
      </c>
      <c r="N1674" s="80">
        <v>1</v>
      </c>
      <c r="P1674">
        <v>41</v>
      </c>
      <c r="S1674" s="74">
        <v>38056</v>
      </c>
      <c r="T1674" s="80">
        <v>1</v>
      </c>
      <c r="V1674">
        <v>37.04</v>
      </c>
      <c r="X1674" s="42"/>
      <c r="AB1674">
        <v>38.4</v>
      </c>
      <c r="AC1674">
        <v>28.94</v>
      </c>
      <c r="AE1674" s="74"/>
      <c r="AF1674" s="80"/>
      <c r="AH1674" s="497">
        <v>36.68</v>
      </c>
      <c r="AJ1674" s="42"/>
      <c r="AK1674" s="74"/>
      <c r="AL1674" s="80"/>
      <c r="AN1674" s="497">
        <v>17.059999999999999</v>
      </c>
      <c r="AP1674" s="42"/>
      <c r="AQ1674" s="74"/>
      <c r="AR1674" s="80"/>
      <c r="AT1674" s="497">
        <v>33.44</v>
      </c>
      <c r="AV1674" s="42"/>
      <c r="AW1674" s="74"/>
      <c r="AX1674" s="80"/>
      <c r="BA1674" s="497">
        <v>42.08</v>
      </c>
      <c r="BB1674" s="42"/>
      <c r="BC1674" s="74"/>
      <c r="BD1674" s="80"/>
      <c r="BF1674">
        <v>46.04</v>
      </c>
      <c r="BH1674" s="42"/>
      <c r="BI1674" s="74"/>
      <c r="BJ1674" s="80"/>
      <c r="BL1674" s="497">
        <v>48.019999999999996</v>
      </c>
      <c r="BN1674" s="42"/>
      <c r="BO1674" s="74"/>
      <c r="BP1674" s="80"/>
      <c r="BR1674" s="497">
        <v>35.96</v>
      </c>
      <c r="BT1674" s="42"/>
    </row>
    <row r="1675" spans="1:72" x14ac:dyDescent="0.25">
      <c r="A1675" s="90">
        <v>38057</v>
      </c>
      <c r="B1675" s="20">
        <v>4.1666666666666664E-2</v>
      </c>
      <c r="D1675">
        <v>33.979999999999997</v>
      </c>
      <c r="E1675" t="str">
        <f t="shared" si="86"/>
        <v>WEEKDAY</v>
      </c>
      <c r="F1675" t="e">
        <f t="shared" si="87"/>
        <v>#N/A</v>
      </c>
      <c r="G1675" s="74">
        <v>32943</v>
      </c>
      <c r="H1675" s="77">
        <v>4.1666666666666664E-2</v>
      </c>
      <c r="J1675">
        <v>46.04</v>
      </c>
      <c r="M1675" s="74">
        <v>36596</v>
      </c>
      <c r="N1675" s="77">
        <v>4.1666666666666664E-2</v>
      </c>
      <c r="P1675">
        <v>41</v>
      </c>
      <c r="S1675" s="74">
        <v>38057</v>
      </c>
      <c r="T1675" s="77">
        <v>4.1666666666666664E-2</v>
      </c>
      <c r="V1675">
        <v>37.94</v>
      </c>
      <c r="X1675" s="42"/>
      <c r="AB1675">
        <v>37.799999999999997</v>
      </c>
      <c r="AC1675">
        <v>26.96</v>
      </c>
      <c r="AE1675" s="74"/>
      <c r="AF1675" s="77"/>
      <c r="AH1675" s="497">
        <v>35.6</v>
      </c>
      <c r="AJ1675" s="42"/>
      <c r="AK1675" s="74"/>
      <c r="AL1675" s="77"/>
      <c r="AN1675" s="497">
        <v>17.059999999999999</v>
      </c>
      <c r="AP1675" s="42"/>
      <c r="AQ1675" s="74"/>
      <c r="AR1675" s="77"/>
      <c r="AT1675" s="497">
        <v>33.08</v>
      </c>
      <c r="AV1675" s="42"/>
      <c r="AW1675" s="74"/>
      <c r="AX1675" s="77"/>
      <c r="BA1675" s="497">
        <v>42.08</v>
      </c>
      <c r="BB1675" s="42"/>
      <c r="BC1675" s="74"/>
      <c r="BD1675" s="77"/>
      <c r="BF1675">
        <v>48.92</v>
      </c>
      <c r="BH1675" s="42"/>
      <c r="BI1675" s="74"/>
      <c r="BJ1675" s="77"/>
      <c r="BL1675" s="497">
        <v>51.980000000000004</v>
      </c>
      <c r="BN1675" s="42"/>
      <c r="BO1675" s="74"/>
      <c r="BP1675" s="77"/>
      <c r="BR1675" s="497">
        <v>30.92</v>
      </c>
      <c r="BT1675" s="42"/>
    </row>
    <row r="1676" spans="1:72" x14ac:dyDescent="0.25">
      <c r="A1676" s="90">
        <v>38057</v>
      </c>
      <c r="B1676" s="20">
        <v>8.3333333333333329E-2</v>
      </c>
      <c r="D1676">
        <v>33.08</v>
      </c>
      <c r="E1676" t="str">
        <f t="shared" si="86"/>
        <v>WEEKDAY</v>
      </c>
      <c r="F1676" t="e">
        <f t="shared" si="87"/>
        <v>#N/A</v>
      </c>
      <c r="G1676" s="74">
        <v>32943</v>
      </c>
      <c r="H1676" s="77">
        <v>8.3333333333333329E-2</v>
      </c>
      <c r="J1676">
        <v>46.04</v>
      </c>
      <c r="M1676" s="74">
        <v>36596</v>
      </c>
      <c r="N1676" s="77">
        <v>8.3333333333333329E-2</v>
      </c>
      <c r="P1676">
        <v>39.200000000000003</v>
      </c>
      <c r="S1676" s="74">
        <v>38057</v>
      </c>
      <c r="T1676" s="77">
        <v>8.3333333333333329E-2</v>
      </c>
      <c r="V1676">
        <v>37.94</v>
      </c>
      <c r="X1676" s="42"/>
      <c r="AB1676">
        <v>37.200000000000003</v>
      </c>
      <c r="AC1676">
        <v>26.96</v>
      </c>
      <c r="AE1676" s="74"/>
      <c r="AF1676" s="77"/>
      <c r="AH1676" s="497">
        <v>35.6</v>
      </c>
      <c r="AJ1676" s="42"/>
      <c r="AK1676" s="74"/>
      <c r="AL1676" s="77"/>
      <c r="AN1676" s="497">
        <v>17.059999999999999</v>
      </c>
      <c r="AP1676" s="42"/>
      <c r="AQ1676" s="74"/>
      <c r="AR1676" s="77"/>
      <c r="AT1676" s="497">
        <v>32.72</v>
      </c>
      <c r="AV1676" s="42"/>
      <c r="AW1676" s="74"/>
      <c r="AX1676" s="77"/>
      <c r="BA1676" s="497">
        <v>42.08</v>
      </c>
      <c r="BB1676" s="42"/>
      <c r="BC1676" s="74"/>
      <c r="BD1676" s="77"/>
      <c r="BF1676">
        <v>48.92</v>
      </c>
      <c r="BH1676" s="42"/>
      <c r="BI1676" s="74"/>
      <c r="BJ1676" s="77"/>
      <c r="BL1676" s="497">
        <v>51.980000000000004</v>
      </c>
      <c r="BN1676" s="42"/>
      <c r="BO1676" s="74"/>
      <c r="BP1676" s="77"/>
      <c r="BR1676" s="497">
        <v>28.04</v>
      </c>
      <c r="BT1676" s="42"/>
    </row>
    <row r="1677" spans="1:72" x14ac:dyDescent="0.25">
      <c r="A1677" s="90">
        <v>38057</v>
      </c>
      <c r="B1677" s="20">
        <v>0.125</v>
      </c>
      <c r="D1677">
        <v>33.08</v>
      </c>
      <c r="E1677" t="str">
        <f t="shared" si="86"/>
        <v>WEEKDAY</v>
      </c>
      <c r="F1677" t="e">
        <f t="shared" si="87"/>
        <v>#N/A</v>
      </c>
      <c r="G1677" s="74">
        <v>32943</v>
      </c>
      <c r="H1677" s="77">
        <v>0.125</v>
      </c>
      <c r="J1677">
        <v>46.94</v>
      </c>
      <c r="M1677" s="74">
        <v>36596</v>
      </c>
      <c r="N1677" s="77">
        <v>0.125</v>
      </c>
      <c r="P1677">
        <v>39.200000000000003</v>
      </c>
      <c r="S1677" s="74">
        <v>38057</v>
      </c>
      <c r="T1677" s="77">
        <v>0.125</v>
      </c>
      <c r="V1677">
        <v>37.94</v>
      </c>
      <c r="X1677" s="42"/>
      <c r="AB1677">
        <v>36.5</v>
      </c>
      <c r="AC1677">
        <v>26.060000000000002</v>
      </c>
      <c r="AE1677" s="74"/>
      <c r="AF1677" s="77"/>
      <c r="AH1677" s="497">
        <v>32</v>
      </c>
      <c r="AJ1677" s="42"/>
      <c r="AK1677" s="74"/>
      <c r="AL1677" s="77"/>
      <c r="AN1677" s="497">
        <v>15.98</v>
      </c>
      <c r="AP1677" s="42"/>
      <c r="AQ1677" s="74"/>
      <c r="AR1677" s="77"/>
      <c r="AT1677" s="497">
        <v>32.36</v>
      </c>
      <c r="AV1677" s="42"/>
      <c r="AW1677" s="74"/>
      <c r="AX1677" s="77"/>
      <c r="BA1677" s="497">
        <v>41</v>
      </c>
      <c r="BB1677" s="42"/>
      <c r="BC1677" s="74"/>
      <c r="BD1677" s="77"/>
      <c r="BF1677">
        <v>42.08</v>
      </c>
      <c r="BH1677" s="42"/>
      <c r="BI1677" s="74"/>
      <c r="BJ1677" s="77"/>
      <c r="BL1677" s="497">
        <v>44.06</v>
      </c>
      <c r="BN1677" s="42"/>
      <c r="BO1677" s="74"/>
      <c r="BP1677" s="77"/>
      <c r="BR1677" s="497">
        <v>26.96</v>
      </c>
      <c r="BT1677" s="42"/>
    </row>
    <row r="1678" spans="1:72" x14ac:dyDescent="0.25">
      <c r="A1678" s="90">
        <v>38057</v>
      </c>
      <c r="B1678" s="20">
        <v>0.16666666666666666</v>
      </c>
      <c r="D1678">
        <v>32</v>
      </c>
      <c r="E1678" t="str">
        <f t="shared" si="86"/>
        <v>WEEKDAY</v>
      </c>
      <c r="F1678" t="e">
        <f t="shared" si="87"/>
        <v>#N/A</v>
      </c>
      <c r="G1678" s="74">
        <v>32943</v>
      </c>
      <c r="H1678" s="77">
        <v>0.16666666666666666</v>
      </c>
      <c r="J1678">
        <v>46.94</v>
      </c>
      <c r="M1678" s="74">
        <v>36596</v>
      </c>
      <c r="N1678" s="77">
        <v>0.16666666666666666</v>
      </c>
      <c r="P1678">
        <v>37.4</v>
      </c>
      <c r="S1678" s="74">
        <v>38057</v>
      </c>
      <c r="T1678" s="77">
        <v>0.16666666666666666</v>
      </c>
      <c r="V1678">
        <v>35.96</v>
      </c>
      <c r="X1678" s="42"/>
      <c r="AB1678">
        <v>36.1</v>
      </c>
      <c r="AC1678">
        <v>26.060000000000002</v>
      </c>
      <c r="AE1678" s="74"/>
      <c r="AF1678" s="77"/>
      <c r="AH1678" s="497">
        <v>32</v>
      </c>
      <c r="AJ1678" s="42"/>
      <c r="AK1678" s="74"/>
      <c r="AL1678" s="77"/>
      <c r="AN1678" s="497">
        <v>15.98</v>
      </c>
      <c r="AP1678" s="42"/>
      <c r="AQ1678" s="74"/>
      <c r="AR1678" s="77"/>
      <c r="AT1678" s="497">
        <v>32</v>
      </c>
      <c r="AV1678" s="42"/>
      <c r="AW1678" s="74"/>
      <c r="AX1678" s="77"/>
      <c r="BA1678" s="497">
        <v>41</v>
      </c>
      <c r="BB1678" s="42"/>
      <c r="BC1678" s="74"/>
      <c r="BD1678" s="77"/>
      <c r="BF1678">
        <v>39.92</v>
      </c>
      <c r="BH1678" s="42"/>
      <c r="BI1678" s="74"/>
      <c r="BJ1678" s="77"/>
      <c r="BL1678" s="497">
        <v>39.019999999999996</v>
      </c>
      <c r="BN1678" s="42"/>
      <c r="BO1678" s="74"/>
      <c r="BP1678" s="77"/>
      <c r="BR1678" s="497">
        <v>23</v>
      </c>
      <c r="BT1678" s="42"/>
    </row>
    <row r="1679" spans="1:72" x14ac:dyDescent="0.25">
      <c r="A1679" s="90">
        <v>38057</v>
      </c>
      <c r="B1679" s="20">
        <v>0.20833333333333334</v>
      </c>
      <c r="D1679">
        <v>32</v>
      </c>
      <c r="E1679" t="str">
        <f t="shared" si="86"/>
        <v>WEEKDAY</v>
      </c>
      <c r="F1679" t="e">
        <f t="shared" si="87"/>
        <v>#N/A</v>
      </c>
      <c r="G1679" s="74">
        <v>32943</v>
      </c>
      <c r="H1679" s="77">
        <v>0.20833333333333334</v>
      </c>
      <c r="J1679">
        <v>46.94</v>
      </c>
      <c r="M1679" s="74">
        <v>36596</v>
      </c>
      <c r="N1679" s="77">
        <v>0.20833333333333334</v>
      </c>
      <c r="P1679">
        <v>37.4</v>
      </c>
      <c r="S1679" s="74">
        <v>38057</v>
      </c>
      <c r="T1679" s="77">
        <v>0.20833333333333334</v>
      </c>
      <c r="V1679">
        <v>35.96</v>
      </c>
      <c r="X1679" s="42"/>
      <c r="AB1679">
        <v>35.6</v>
      </c>
      <c r="AC1679">
        <v>26.060000000000002</v>
      </c>
      <c r="AE1679" s="74"/>
      <c r="AF1679" s="77"/>
      <c r="AH1679" s="497">
        <v>32</v>
      </c>
      <c r="AJ1679" s="42"/>
      <c r="AK1679" s="74"/>
      <c r="AL1679" s="77"/>
      <c r="AN1679" s="497">
        <v>15.98</v>
      </c>
      <c r="AP1679" s="42"/>
      <c r="AQ1679" s="74"/>
      <c r="AR1679" s="77"/>
      <c r="AT1679" s="497">
        <v>32.36</v>
      </c>
      <c r="AV1679" s="42"/>
      <c r="AW1679" s="74"/>
      <c r="AX1679" s="77"/>
      <c r="BA1679" s="497">
        <v>41</v>
      </c>
      <c r="BB1679" s="42"/>
      <c r="BC1679" s="74"/>
      <c r="BD1679" s="77"/>
      <c r="BF1679">
        <v>39.92</v>
      </c>
      <c r="BH1679" s="42"/>
      <c r="BI1679" s="74"/>
      <c r="BJ1679" s="77"/>
      <c r="BL1679" s="497">
        <v>37.94</v>
      </c>
      <c r="BN1679" s="42"/>
      <c r="BO1679" s="74"/>
      <c r="BP1679" s="77"/>
      <c r="BR1679" s="497">
        <v>23</v>
      </c>
      <c r="BT1679" s="42"/>
    </row>
    <row r="1680" spans="1:72" x14ac:dyDescent="0.25">
      <c r="A1680" s="90">
        <v>38057</v>
      </c>
      <c r="B1680" s="20">
        <v>0.25</v>
      </c>
      <c r="D1680">
        <v>32</v>
      </c>
      <c r="E1680" t="str">
        <f t="shared" si="86"/>
        <v>WEEKDAY</v>
      </c>
      <c r="F1680" t="e">
        <f t="shared" si="87"/>
        <v>#N/A</v>
      </c>
      <c r="G1680" s="74">
        <v>32943</v>
      </c>
      <c r="H1680" s="77">
        <v>0.25</v>
      </c>
      <c r="J1680">
        <v>46.94</v>
      </c>
      <c r="M1680" s="74">
        <v>36596</v>
      </c>
      <c r="N1680" s="77">
        <v>0.25</v>
      </c>
      <c r="P1680">
        <v>37.4</v>
      </c>
      <c r="S1680" s="74">
        <v>38057</v>
      </c>
      <c r="T1680" s="77">
        <v>0.25</v>
      </c>
      <c r="V1680">
        <v>35.06</v>
      </c>
      <c r="X1680" s="42"/>
      <c r="AB1680">
        <v>35.299999999999997</v>
      </c>
      <c r="AC1680">
        <v>26.060000000000002</v>
      </c>
      <c r="AE1680" s="74"/>
      <c r="AF1680" s="77"/>
      <c r="AH1680" s="497">
        <v>32</v>
      </c>
      <c r="AJ1680" s="42"/>
      <c r="AK1680" s="74"/>
      <c r="AL1680" s="77"/>
      <c r="AN1680" s="497">
        <v>15.98</v>
      </c>
      <c r="AP1680" s="42"/>
      <c r="AQ1680" s="74"/>
      <c r="AR1680" s="77"/>
      <c r="AT1680" s="497">
        <v>32.72</v>
      </c>
      <c r="AV1680" s="42"/>
      <c r="AW1680" s="74"/>
      <c r="AX1680" s="77"/>
      <c r="BA1680" s="497">
        <v>41</v>
      </c>
      <c r="BB1680" s="42"/>
      <c r="BC1680" s="74"/>
      <c r="BD1680" s="77"/>
      <c r="BF1680">
        <v>39.019999999999996</v>
      </c>
      <c r="BH1680" s="42"/>
      <c r="BI1680" s="74"/>
      <c r="BJ1680" s="77"/>
      <c r="BL1680" s="497">
        <v>37.04</v>
      </c>
      <c r="BN1680" s="42"/>
      <c r="BO1680" s="74"/>
      <c r="BP1680" s="77"/>
      <c r="BR1680" s="497">
        <v>24.08</v>
      </c>
      <c r="BT1680" s="42"/>
    </row>
    <row r="1681" spans="1:72" x14ac:dyDescent="0.25">
      <c r="A1681" s="90">
        <v>38057</v>
      </c>
      <c r="B1681" s="20">
        <v>0.29166666666666669</v>
      </c>
      <c r="D1681">
        <v>33.08</v>
      </c>
      <c r="E1681" t="str">
        <f t="shared" si="86"/>
        <v>WEEKDAY</v>
      </c>
      <c r="F1681" t="e">
        <f t="shared" si="87"/>
        <v>#N/A</v>
      </c>
      <c r="G1681" s="74">
        <v>32943</v>
      </c>
      <c r="H1681" s="77">
        <v>0.29166666666666669</v>
      </c>
      <c r="J1681">
        <v>46.94</v>
      </c>
      <c r="M1681" s="74">
        <v>36596</v>
      </c>
      <c r="N1681" s="77">
        <v>0.29166666666666669</v>
      </c>
      <c r="P1681">
        <v>37.4</v>
      </c>
      <c r="S1681" s="74">
        <v>38057</v>
      </c>
      <c r="T1681" s="77">
        <v>0.29166666666666669</v>
      </c>
      <c r="V1681">
        <v>35.96</v>
      </c>
      <c r="X1681" s="42"/>
      <c r="AB1681">
        <v>35.1</v>
      </c>
      <c r="AC1681">
        <v>26.060000000000002</v>
      </c>
      <c r="AE1681" s="74"/>
      <c r="AF1681" s="77"/>
      <c r="AH1681" s="497">
        <v>32</v>
      </c>
      <c r="AJ1681" s="42"/>
      <c r="AK1681" s="74"/>
      <c r="AL1681" s="77"/>
      <c r="AN1681" s="497">
        <v>15.98</v>
      </c>
      <c r="AP1681" s="42"/>
      <c r="AQ1681" s="74"/>
      <c r="AR1681" s="77"/>
      <c r="AT1681" s="497">
        <v>33.08</v>
      </c>
      <c r="AV1681" s="42"/>
      <c r="AW1681" s="74"/>
      <c r="AX1681" s="77"/>
      <c r="BA1681" s="497">
        <v>39.92</v>
      </c>
      <c r="BB1681" s="42"/>
      <c r="BC1681" s="74"/>
      <c r="BD1681" s="77"/>
      <c r="BF1681">
        <v>39.019999999999996</v>
      </c>
      <c r="BH1681" s="42"/>
      <c r="BI1681" s="74"/>
      <c r="BJ1681" s="77"/>
      <c r="BL1681" s="497">
        <v>35.06</v>
      </c>
      <c r="BN1681" s="42"/>
      <c r="BO1681" s="74"/>
      <c r="BP1681" s="77"/>
      <c r="BR1681" s="497">
        <v>26.060000000000002</v>
      </c>
      <c r="BT1681" s="42"/>
    </row>
    <row r="1682" spans="1:72" x14ac:dyDescent="0.25">
      <c r="A1682" s="90">
        <v>38057</v>
      </c>
      <c r="B1682" s="20">
        <v>0.33333333333333331</v>
      </c>
      <c r="D1682">
        <v>33.979999999999997</v>
      </c>
      <c r="E1682" t="str">
        <f t="shared" si="86"/>
        <v>WEEKDAY</v>
      </c>
      <c r="F1682" t="e">
        <f t="shared" si="87"/>
        <v>#N/A</v>
      </c>
      <c r="G1682" s="74">
        <v>32943</v>
      </c>
      <c r="H1682" s="77">
        <v>0.33333333333333331</v>
      </c>
      <c r="J1682">
        <v>46.94</v>
      </c>
      <c r="M1682" s="74">
        <v>36596</v>
      </c>
      <c r="N1682" s="77">
        <v>0.33333333333333331</v>
      </c>
      <c r="P1682">
        <v>37.4</v>
      </c>
      <c r="S1682" s="74">
        <v>38057</v>
      </c>
      <c r="T1682" s="77">
        <v>0.33333333333333331</v>
      </c>
      <c r="V1682">
        <v>37.94</v>
      </c>
      <c r="X1682" s="42"/>
      <c r="AB1682">
        <v>35.6</v>
      </c>
      <c r="AC1682">
        <v>26.96</v>
      </c>
      <c r="AE1682" s="74"/>
      <c r="AF1682" s="77"/>
      <c r="AH1682" s="497">
        <v>33.799999999999997</v>
      </c>
      <c r="AJ1682" s="42"/>
      <c r="AK1682" s="74"/>
      <c r="AL1682" s="77"/>
      <c r="AN1682" s="497">
        <v>17.96</v>
      </c>
      <c r="AP1682" s="42"/>
      <c r="AQ1682" s="74"/>
      <c r="AR1682" s="77"/>
      <c r="AT1682" s="497">
        <v>33.799999999999997</v>
      </c>
      <c r="AV1682" s="42"/>
      <c r="AW1682" s="74"/>
      <c r="AX1682" s="77"/>
      <c r="BA1682" s="497">
        <v>41</v>
      </c>
      <c r="BB1682" s="42"/>
      <c r="BC1682" s="74"/>
      <c r="BD1682" s="77"/>
      <c r="BF1682">
        <v>39.019999999999996</v>
      </c>
      <c r="BH1682" s="42"/>
      <c r="BI1682" s="74"/>
      <c r="BJ1682" s="77"/>
      <c r="BL1682" s="497">
        <v>33.08</v>
      </c>
      <c r="BN1682" s="42"/>
      <c r="BO1682" s="74"/>
      <c r="BP1682" s="77"/>
      <c r="BR1682" s="497">
        <v>33.08</v>
      </c>
      <c r="BT1682" s="42"/>
    </row>
    <row r="1683" spans="1:72" x14ac:dyDescent="0.25">
      <c r="A1683" s="90">
        <v>38057</v>
      </c>
      <c r="B1683" s="20">
        <v>0.375</v>
      </c>
      <c r="D1683">
        <v>35.06</v>
      </c>
      <c r="E1683" t="str">
        <f t="shared" ref="E1683:E1746" si="88">IF(COUNTIF($DI$18:$DI$22, WEEKDAY(A1683))=1, "WEEKDAY", IF(WEEKDAY(A1683) = 1, "SUNDAY", "SATURDAY"))</f>
        <v>WEEKDAY</v>
      </c>
      <c r="F1683" t="e">
        <f t="shared" si="87"/>
        <v>#N/A</v>
      </c>
      <c r="G1683" s="74">
        <v>32943</v>
      </c>
      <c r="H1683" s="77">
        <v>0.375</v>
      </c>
      <c r="J1683">
        <v>48.92</v>
      </c>
      <c r="M1683" s="74">
        <v>36596</v>
      </c>
      <c r="N1683" s="77">
        <v>0.375</v>
      </c>
      <c r="P1683">
        <v>37.4</v>
      </c>
      <c r="S1683" s="74">
        <v>38057</v>
      </c>
      <c r="T1683" s="77">
        <v>0.375</v>
      </c>
      <c r="V1683">
        <v>42.08</v>
      </c>
      <c r="X1683" s="42"/>
      <c r="AB1683">
        <v>37.5</v>
      </c>
      <c r="AC1683">
        <v>28.94</v>
      </c>
      <c r="AE1683" s="74"/>
      <c r="AF1683" s="77"/>
      <c r="AH1683" s="497">
        <v>33.799999999999997</v>
      </c>
      <c r="AJ1683" s="42"/>
      <c r="AK1683" s="74"/>
      <c r="AL1683" s="77"/>
      <c r="AN1683" s="497">
        <v>21.02</v>
      </c>
      <c r="AP1683" s="42"/>
      <c r="AQ1683" s="74"/>
      <c r="AR1683" s="77"/>
      <c r="AT1683" s="497">
        <v>34.340000000000003</v>
      </c>
      <c r="AV1683" s="42"/>
      <c r="AW1683" s="74"/>
      <c r="AX1683" s="77"/>
      <c r="BA1683" s="497">
        <v>42.08</v>
      </c>
      <c r="BB1683" s="42"/>
      <c r="BC1683" s="74"/>
      <c r="BD1683" s="77"/>
      <c r="BF1683">
        <v>41</v>
      </c>
      <c r="BH1683" s="42"/>
      <c r="BI1683" s="74"/>
      <c r="BJ1683" s="77"/>
      <c r="BL1683" s="497">
        <v>32</v>
      </c>
      <c r="BN1683" s="42"/>
      <c r="BO1683" s="74"/>
      <c r="BP1683" s="77"/>
      <c r="BR1683" s="497">
        <v>41</v>
      </c>
      <c r="BT1683" s="42"/>
    </row>
    <row r="1684" spans="1:72" x14ac:dyDescent="0.25">
      <c r="A1684" s="90">
        <v>38057</v>
      </c>
      <c r="B1684" s="20">
        <v>0.41666666666666669</v>
      </c>
      <c r="D1684">
        <v>37.04</v>
      </c>
      <c r="E1684" t="str">
        <f t="shared" si="88"/>
        <v>WEEKDAY</v>
      </c>
      <c r="F1684" t="e">
        <f t="shared" si="87"/>
        <v>#N/A</v>
      </c>
      <c r="G1684" s="74">
        <v>32943</v>
      </c>
      <c r="H1684" s="77">
        <v>0.41666666666666669</v>
      </c>
      <c r="J1684">
        <v>48.92</v>
      </c>
      <c r="M1684" s="74">
        <v>36596</v>
      </c>
      <c r="N1684" s="77">
        <v>0.41666666666666669</v>
      </c>
      <c r="P1684">
        <v>37.4</v>
      </c>
      <c r="S1684" s="74">
        <v>38057</v>
      </c>
      <c r="T1684" s="77">
        <v>0.41666666666666669</v>
      </c>
      <c r="V1684">
        <v>44.96</v>
      </c>
      <c r="X1684" s="42"/>
      <c r="AB1684">
        <v>39.299999999999997</v>
      </c>
      <c r="AC1684">
        <v>28.94</v>
      </c>
      <c r="AE1684" s="74"/>
      <c r="AF1684" s="77"/>
      <c r="AH1684" s="497">
        <v>35.6</v>
      </c>
      <c r="AJ1684" s="42"/>
      <c r="AK1684" s="74"/>
      <c r="AL1684" s="77"/>
      <c r="AN1684" s="497">
        <v>23</v>
      </c>
      <c r="AP1684" s="42"/>
      <c r="AQ1684" s="74"/>
      <c r="AR1684" s="77"/>
      <c r="AT1684" s="497">
        <v>35.06</v>
      </c>
      <c r="AV1684" s="42"/>
      <c r="AW1684" s="74"/>
      <c r="AX1684" s="77"/>
      <c r="BA1684" s="497">
        <v>44.06</v>
      </c>
      <c r="BB1684" s="42"/>
      <c r="BC1684" s="74"/>
      <c r="BD1684" s="77"/>
      <c r="BF1684">
        <v>42.08</v>
      </c>
      <c r="BH1684" s="42"/>
      <c r="BI1684" s="74"/>
      <c r="BJ1684" s="77"/>
      <c r="BL1684" s="497">
        <v>30.02</v>
      </c>
      <c r="BN1684" s="42"/>
      <c r="BO1684" s="74"/>
      <c r="BP1684" s="77"/>
      <c r="BR1684" s="497">
        <v>51.08</v>
      </c>
      <c r="BT1684" s="42"/>
    </row>
    <row r="1685" spans="1:72" x14ac:dyDescent="0.25">
      <c r="A1685" s="90">
        <v>38057</v>
      </c>
      <c r="B1685" s="20">
        <v>0.45833333333333331</v>
      </c>
      <c r="D1685">
        <v>39.019999999999996</v>
      </c>
      <c r="E1685" t="str">
        <f t="shared" si="88"/>
        <v>WEEKDAY</v>
      </c>
      <c r="F1685" t="e">
        <f t="shared" si="87"/>
        <v>#N/A</v>
      </c>
      <c r="G1685" s="74">
        <v>32943</v>
      </c>
      <c r="H1685" s="77">
        <v>0.45833333333333331</v>
      </c>
      <c r="J1685">
        <v>51.08</v>
      </c>
      <c r="M1685" s="74">
        <v>36596</v>
      </c>
      <c r="N1685" s="77">
        <v>0.45833333333333331</v>
      </c>
      <c r="P1685">
        <v>37.4</v>
      </c>
      <c r="S1685" s="74">
        <v>38057</v>
      </c>
      <c r="T1685" s="77">
        <v>0.45833333333333331</v>
      </c>
      <c r="V1685">
        <v>46.94</v>
      </c>
      <c r="X1685" s="42"/>
      <c r="AB1685">
        <v>41</v>
      </c>
      <c r="AC1685">
        <v>33.08</v>
      </c>
      <c r="AE1685" s="74"/>
      <c r="AF1685" s="77"/>
      <c r="AH1685" s="497">
        <v>35.6</v>
      </c>
      <c r="AJ1685" s="42"/>
      <c r="AK1685" s="74"/>
      <c r="AL1685" s="77"/>
      <c r="AN1685" s="497">
        <v>24.98</v>
      </c>
      <c r="AP1685" s="42"/>
      <c r="AQ1685" s="74"/>
      <c r="AR1685" s="77"/>
      <c r="AT1685" s="497">
        <v>35.96</v>
      </c>
      <c r="AV1685" s="42"/>
      <c r="AW1685" s="74"/>
      <c r="AX1685" s="77"/>
      <c r="BA1685" s="497">
        <v>48.019999999999996</v>
      </c>
      <c r="BB1685" s="42"/>
      <c r="BC1685" s="74"/>
      <c r="BD1685" s="77"/>
      <c r="BF1685">
        <v>44.06</v>
      </c>
      <c r="BH1685" s="42"/>
      <c r="BI1685" s="74"/>
      <c r="BJ1685" s="77"/>
      <c r="BL1685" s="497">
        <v>30.02</v>
      </c>
      <c r="BN1685" s="42"/>
      <c r="BO1685" s="74"/>
      <c r="BP1685" s="77"/>
      <c r="BR1685" s="497">
        <v>53.06</v>
      </c>
      <c r="BT1685" s="42"/>
    </row>
    <row r="1686" spans="1:72" x14ac:dyDescent="0.25">
      <c r="A1686" s="90">
        <v>38057</v>
      </c>
      <c r="B1686" s="20">
        <v>0.5</v>
      </c>
      <c r="D1686">
        <v>39.92</v>
      </c>
      <c r="E1686" t="str">
        <f t="shared" si="88"/>
        <v>WEEKDAY</v>
      </c>
      <c r="F1686" t="e">
        <f t="shared" si="87"/>
        <v>#N/A</v>
      </c>
      <c r="G1686" s="74">
        <v>32943</v>
      </c>
      <c r="H1686" s="77">
        <v>0.5</v>
      </c>
      <c r="J1686">
        <v>53.96</v>
      </c>
      <c r="M1686" s="74">
        <v>36596</v>
      </c>
      <c r="N1686" s="77">
        <v>0.5</v>
      </c>
      <c r="P1686">
        <v>37.4</v>
      </c>
      <c r="S1686" s="74">
        <v>38057</v>
      </c>
      <c r="T1686" s="77">
        <v>0.5</v>
      </c>
      <c r="V1686">
        <v>51.08</v>
      </c>
      <c r="X1686" s="42"/>
      <c r="AB1686">
        <v>42.4</v>
      </c>
      <c r="AC1686">
        <v>35.06</v>
      </c>
      <c r="AE1686" s="74"/>
      <c r="AF1686" s="77"/>
      <c r="AH1686" s="497">
        <v>35.6</v>
      </c>
      <c r="AJ1686" s="42"/>
      <c r="AK1686" s="74"/>
      <c r="AL1686" s="77"/>
      <c r="AN1686" s="497">
        <v>26.060000000000002</v>
      </c>
      <c r="AP1686" s="42"/>
      <c r="AQ1686" s="74"/>
      <c r="AR1686" s="77"/>
      <c r="AT1686" s="497">
        <v>37.04</v>
      </c>
      <c r="AV1686" s="42"/>
      <c r="AW1686" s="74"/>
      <c r="AX1686" s="77"/>
      <c r="BA1686" s="497">
        <v>50</v>
      </c>
      <c r="BB1686" s="42"/>
      <c r="BC1686" s="74"/>
      <c r="BD1686" s="77"/>
      <c r="BF1686">
        <v>44.06</v>
      </c>
      <c r="BH1686" s="42"/>
      <c r="BI1686" s="74"/>
      <c r="BJ1686" s="77"/>
      <c r="BL1686" s="497">
        <v>30.92</v>
      </c>
      <c r="BN1686" s="42"/>
      <c r="BO1686" s="74"/>
      <c r="BP1686" s="77"/>
      <c r="BR1686" s="497">
        <v>55.040000000000006</v>
      </c>
      <c r="BT1686" s="42"/>
    </row>
    <row r="1687" spans="1:72" x14ac:dyDescent="0.25">
      <c r="A1687" s="90">
        <v>38057</v>
      </c>
      <c r="B1687" s="20">
        <v>0.54166666666666663</v>
      </c>
      <c r="D1687">
        <v>41</v>
      </c>
      <c r="E1687" t="str">
        <f t="shared" si="88"/>
        <v>WEEKDAY</v>
      </c>
      <c r="F1687" t="e">
        <f t="shared" si="87"/>
        <v>#N/A</v>
      </c>
      <c r="G1687" s="74">
        <v>32943</v>
      </c>
      <c r="H1687" s="77">
        <v>0.54166666666666663</v>
      </c>
      <c r="J1687">
        <v>59</v>
      </c>
      <c r="M1687" s="74">
        <v>36596</v>
      </c>
      <c r="N1687" s="77">
        <v>0.54166666666666663</v>
      </c>
      <c r="P1687">
        <v>37.4</v>
      </c>
      <c r="S1687" s="74">
        <v>38057</v>
      </c>
      <c r="T1687" s="77">
        <v>0.54166666666666663</v>
      </c>
      <c r="V1687">
        <v>53.06</v>
      </c>
      <c r="X1687" s="42"/>
      <c r="AB1687">
        <v>43.5</v>
      </c>
      <c r="AC1687">
        <v>37.94</v>
      </c>
      <c r="AE1687" s="74"/>
      <c r="AF1687" s="77"/>
      <c r="AH1687" s="497">
        <v>35.6</v>
      </c>
      <c r="AJ1687" s="42"/>
      <c r="AK1687" s="74"/>
      <c r="AL1687" s="77"/>
      <c r="AN1687" s="497">
        <v>28.94</v>
      </c>
      <c r="AP1687" s="42"/>
      <c r="AQ1687" s="74"/>
      <c r="AR1687" s="77"/>
      <c r="AT1687" s="497">
        <v>37.94</v>
      </c>
      <c r="AV1687" s="42"/>
      <c r="AW1687" s="74"/>
      <c r="AX1687" s="77"/>
      <c r="BA1687" s="497">
        <v>51.08</v>
      </c>
      <c r="BB1687" s="42"/>
      <c r="BC1687" s="74"/>
      <c r="BD1687" s="77"/>
      <c r="BF1687">
        <v>46.04</v>
      </c>
      <c r="BH1687" s="42"/>
      <c r="BI1687" s="74"/>
      <c r="BJ1687" s="77"/>
      <c r="BL1687" s="497">
        <v>32</v>
      </c>
      <c r="BN1687" s="42"/>
      <c r="BO1687" s="74"/>
      <c r="BP1687" s="77"/>
      <c r="BR1687" s="497">
        <v>55.94</v>
      </c>
      <c r="BT1687" s="42"/>
    </row>
    <row r="1688" spans="1:72" x14ac:dyDescent="0.25">
      <c r="A1688" s="90">
        <v>38057</v>
      </c>
      <c r="B1688" s="20">
        <v>0.58333333333333337</v>
      </c>
      <c r="D1688">
        <v>42.980000000000004</v>
      </c>
      <c r="E1688" t="str">
        <f t="shared" si="88"/>
        <v>WEEKDAY</v>
      </c>
      <c r="F1688" t="e">
        <f t="shared" si="87"/>
        <v>#N/A</v>
      </c>
      <c r="G1688" s="74">
        <v>32943</v>
      </c>
      <c r="H1688" s="77">
        <v>0.58333333333333337</v>
      </c>
      <c r="J1688">
        <v>62.06</v>
      </c>
      <c r="M1688" s="74">
        <v>36596</v>
      </c>
      <c r="N1688" s="77">
        <v>0.58333333333333337</v>
      </c>
      <c r="P1688">
        <v>37.4</v>
      </c>
      <c r="S1688" s="74">
        <v>38057</v>
      </c>
      <c r="T1688" s="77">
        <v>0.58333333333333337</v>
      </c>
      <c r="V1688">
        <v>53.96</v>
      </c>
      <c r="X1688" s="42"/>
      <c r="AB1688">
        <v>44.3</v>
      </c>
      <c r="AC1688">
        <v>37.94</v>
      </c>
      <c r="AE1688" s="74"/>
      <c r="AF1688" s="77"/>
      <c r="AH1688" s="497">
        <v>35.6</v>
      </c>
      <c r="AJ1688" s="42"/>
      <c r="AK1688" s="74"/>
      <c r="AL1688" s="77"/>
      <c r="AN1688" s="497">
        <v>30.02</v>
      </c>
      <c r="AP1688" s="42"/>
      <c r="AQ1688" s="74"/>
      <c r="AR1688" s="77"/>
      <c r="AT1688" s="497">
        <v>37.58</v>
      </c>
      <c r="AV1688" s="42"/>
      <c r="AW1688" s="74"/>
      <c r="AX1688" s="77"/>
      <c r="BA1688" s="497">
        <v>51.980000000000004</v>
      </c>
      <c r="BB1688" s="42"/>
      <c r="BC1688" s="74"/>
      <c r="BD1688" s="77"/>
      <c r="BF1688">
        <v>46.04</v>
      </c>
      <c r="BH1688" s="42"/>
      <c r="BI1688" s="74"/>
      <c r="BJ1688" s="77"/>
      <c r="BL1688" s="497">
        <v>33.08</v>
      </c>
      <c r="BN1688" s="42"/>
      <c r="BO1688" s="74"/>
      <c r="BP1688" s="77"/>
      <c r="BR1688" s="497">
        <v>60.08</v>
      </c>
      <c r="BT1688" s="42"/>
    </row>
    <row r="1689" spans="1:72" x14ac:dyDescent="0.25">
      <c r="A1689" s="90">
        <v>38057</v>
      </c>
      <c r="B1689" s="20">
        <v>0.625</v>
      </c>
      <c r="D1689">
        <v>44.06</v>
      </c>
      <c r="E1689" t="str">
        <f t="shared" si="88"/>
        <v>WEEKDAY</v>
      </c>
      <c r="F1689" t="e">
        <f t="shared" si="87"/>
        <v>#N/A</v>
      </c>
      <c r="G1689" s="74">
        <v>32943</v>
      </c>
      <c r="H1689" s="77">
        <v>0.625</v>
      </c>
      <c r="J1689">
        <v>62.96</v>
      </c>
      <c r="M1689" s="74">
        <v>36596</v>
      </c>
      <c r="N1689" s="77">
        <v>0.625</v>
      </c>
      <c r="P1689">
        <v>37.4</v>
      </c>
      <c r="S1689" s="74">
        <v>38057</v>
      </c>
      <c r="T1689" s="77">
        <v>0.625</v>
      </c>
      <c r="V1689">
        <v>55.040000000000006</v>
      </c>
      <c r="X1689" s="42"/>
      <c r="AB1689">
        <v>44.7</v>
      </c>
      <c r="AC1689">
        <v>39.019999999999996</v>
      </c>
      <c r="AE1689" s="74"/>
      <c r="AF1689" s="77"/>
      <c r="AH1689" s="497">
        <v>35.6</v>
      </c>
      <c r="AJ1689" s="42"/>
      <c r="AK1689" s="74"/>
      <c r="AL1689" s="77"/>
      <c r="AN1689" s="497">
        <v>30.92</v>
      </c>
      <c r="AP1689" s="42"/>
      <c r="AQ1689" s="74"/>
      <c r="AR1689" s="77"/>
      <c r="AT1689" s="497">
        <v>37.4</v>
      </c>
      <c r="AV1689" s="42"/>
      <c r="AW1689" s="74"/>
      <c r="AX1689" s="77"/>
      <c r="BA1689" s="497">
        <v>53.06</v>
      </c>
      <c r="BB1689" s="42"/>
      <c r="BC1689" s="74"/>
      <c r="BD1689" s="77"/>
      <c r="BF1689">
        <v>46.04</v>
      </c>
      <c r="BH1689" s="42"/>
      <c r="BI1689" s="74"/>
      <c r="BJ1689" s="77"/>
      <c r="BL1689" s="497">
        <v>35.06</v>
      </c>
      <c r="BN1689" s="42"/>
      <c r="BO1689" s="74"/>
      <c r="BP1689" s="77"/>
      <c r="BR1689" s="497">
        <v>57.92</v>
      </c>
      <c r="BT1689" s="42"/>
    </row>
    <row r="1690" spans="1:72" x14ac:dyDescent="0.25">
      <c r="A1690" s="90">
        <v>38057</v>
      </c>
      <c r="B1690" s="20">
        <v>0.66666666666666663</v>
      </c>
      <c r="D1690">
        <v>42.08</v>
      </c>
      <c r="E1690" t="str">
        <f t="shared" si="88"/>
        <v>WEEKDAY</v>
      </c>
      <c r="F1690" t="e">
        <f t="shared" si="87"/>
        <v>#N/A</v>
      </c>
      <c r="G1690" s="74">
        <v>32943</v>
      </c>
      <c r="H1690" s="77">
        <v>0.66666666666666663</v>
      </c>
      <c r="J1690">
        <v>64.039999999999992</v>
      </c>
      <c r="M1690" s="74">
        <v>36596</v>
      </c>
      <c r="N1690" s="77">
        <v>0.66666666666666663</v>
      </c>
      <c r="P1690">
        <v>37.4</v>
      </c>
      <c r="S1690" s="74">
        <v>38057</v>
      </c>
      <c r="T1690" s="77">
        <v>0.66666666666666663</v>
      </c>
      <c r="V1690">
        <v>51.980000000000004</v>
      </c>
      <c r="X1690" s="42"/>
      <c r="AB1690">
        <v>44.8</v>
      </c>
      <c r="AC1690">
        <v>37.94</v>
      </c>
      <c r="AE1690" s="74"/>
      <c r="AF1690" s="77"/>
      <c r="AH1690" s="497">
        <v>35.6</v>
      </c>
      <c r="AJ1690" s="42"/>
      <c r="AK1690" s="74"/>
      <c r="AL1690" s="77"/>
      <c r="AN1690" s="497">
        <v>30.92</v>
      </c>
      <c r="AP1690" s="42"/>
      <c r="AQ1690" s="74"/>
      <c r="AR1690" s="77"/>
      <c r="AT1690" s="497">
        <v>37.04</v>
      </c>
      <c r="AV1690" s="42"/>
      <c r="AW1690" s="74"/>
      <c r="AX1690" s="77"/>
      <c r="BA1690" s="497">
        <v>57.019999999999996</v>
      </c>
      <c r="BB1690" s="42"/>
      <c r="BC1690" s="74"/>
      <c r="BD1690" s="77"/>
      <c r="BF1690">
        <v>44.96</v>
      </c>
      <c r="BH1690" s="42"/>
      <c r="BI1690" s="74"/>
      <c r="BJ1690" s="77"/>
      <c r="BL1690" s="497">
        <v>35.96</v>
      </c>
      <c r="BN1690" s="42"/>
      <c r="BO1690" s="74"/>
      <c r="BP1690" s="77"/>
      <c r="BR1690" s="497">
        <v>57.019999999999996</v>
      </c>
      <c r="BT1690" s="42"/>
    </row>
    <row r="1691" spans="1:72" x14ac:dyDescent="0.25">
      <c r="A1691" s="90">
        <v>38057</v>
      </c>
      <c r="B1691" s="20">
        <v>0.70833333333333337</v>
      </c>
      <c r="D1691">
        <v>41</v>
      </c>
      <c r="E1691" t="str">
        <f t="shared" si="88"/>
        <v>WEEKDAY</v>
      </c>
      <c r="F1691" t="e">
        <f t="shared" si="87"/>
        <v>#N/A</v>
      </c>
      <c r="G1691" s="74">
        <v>32943</v>
      </c>
      <c r="H1691" s="77">
        <v>0.70833333333333337</v>
      </c>
      <c r="J1691">
        <v>66.02</v>
      </c>
      <c r="M1691" s="74">
        <v>36596</v>
      </c>
      <c r="N1691" s="77">
        <v>0.70833333333333337</v>
      </c>
      <c r="P1691">
        <v>37.4</v>
      </c>
      <c r="S1691" s="74">
        <v>38057</v>
      </c>
      <c r="T1691" s="77">
        <v>0.70833333333333337</v>
      </c>
      <c r="V1691">
        <v>53.06</v>
      </c>
      <c r="X1691" s="42"/>
      <c r="AB1691">
        <v>44.3</v>
      </c>
      <c r="AC1691">
        <v>37.04</v>
      </c>
      <c r="AE1691" s="74"/>
      <c r="AF1691" s="77"/>
      <c r="AH1691" s="497">
        <v>35.6</v>
      </c>
      <c r="AJ1691" s="42"/>
      <c r="AK1691" s="74"/>
      <c r="AL1691" s="77"/>
      <c r="AN1691" s="497">
        <v>30.92</v>
      </c>
      <c r="AP1691" s="42"/>
      <c r="AQ1691" s="74"/>
      <c r="AR1691" s="77"/>
      <c r="AT1691" s="497">
        <v>34.700000000000003</v>
      </c>
      <c r="AV1691" s="42"/>
      <c r="AW1691" s="74"/>
      <c r="AX1691" s="77"/>
      <c r="BA1691" s="497">
        <v>53.06</v>
      </c>
      <c r="BB1691" s="42"/>
      <c r="BC1691" s="74"/>
      <c r="BD1691" s="77"/>
      <c r="BF1691">
        <v>44.06</v>
      </c>
      <c r="BH1691" s="42"/>
      <c r="BI1691" s="74"/>
      <c r="BJ1691" s="77"/>
      <c r="BL1691" s="497">
        <v>33.979999999999997</v>
      </c>
      <c r="BN1691" s="42"/>
      <c r="BO1691" s="74"/>
      <c r="BP1691" s="77"/>
      <c r="BR1691" s="497">
        <v>53.06</v>
      </c>
      <c r="BT1691" s="42"/>
    </row>
    <row r="1692" spans="1:72" x14ac:dyDescent="0.25">
      <c r="A1692" s="90">
        <v>38057</v>
      </c>
      <c r="B1692" s="20">
        <v>0.75</v>
      </c>
      <c r="D1692">
        <v>39.92</v>
      </c>
      <c r="E1692" t="str">
        <f t="shared" si="88"/>
        <v>WEEKDAY</v>
      </c>
      <c r="F1692" t="e">
        <f t="shared" si="87"/>
        <v>#N/A</v>
      </c>
      <c r="G1692" s="74">
        <v>32943</v>
      </c>
      <c r="H1692" s="77">
        <v>0.75</v>
      </c>
      <c r="J1692">
        <v>60.980000000000004</v>
      </c>
      <c r="M1692" s="74">
        <v>36596</v>
      </c>
      <c r="N1692" s="77">
        <v>0.75</v>
      </c>
      <c r="P1692">
        <v>39.200000000000003</v>
      </c>
      <c r="S1692" s="74">
        <v>38057</v>
      </c>
      <c r="T1692" s="77">
        <v>0.75</v>
      </c>
      <c r="V1692">
        <v>44.06</v>
      </c>
      <c r="X1692" s="42"/>
      <c r="AB1692">
        <v>43.3</v>
      </c>
      <c r="AC1692">
        <v>35.96</v>
      </c>
      <c r="AE1692" s="74"/>
      <c r="AF1692" s="77"/>
      <c r="AH1692" s="497">
        <v>35.6</v>
      </c>
      <c r="AJ1692" s="42"/>
      <c r="AK1692" s="74"/>
      <c r="AL1692" s="77"/>
      <c r="AN1692" s="497">
        <v>30.02</v>
      </c>
      <c r="AP1692" s="42"/>
      <c r="AQ1692" s="74"/>
      <c r="AR1692" s="77"/>
      <c r="AT1692" s="497">
        <v>32.36</v>
      </c>
      <c r="AV1692" s="42"/>
      <c r="AW1692" s="74"/>
      <c r="AX1692" s="77"/>
      <c r="BA1692" s="497">
        <v>51.980000000000004</v>
      </c>
      <c r="BB1692" s="42"/>
      <c r="BC1692" s="74"/>
      <c r="BD1692" s="77"/>
      <c r="BF1692">
        <v>44.06</v>
      </c>
      <c r="BH1692" s="42"/>
      <c r="BI1692" s="74"/>
      <c r="BJ1692" s="77"/>
      <c r="BL1692" s="497">
        <v>33.08</v>
      </c>
      <c r="BN1692" s="42"/>
      <c r="BO1692" s="74"/>
      <c r="BP1692" s="77"/>
      <c r="BR1692" s="497">
        <v>44.96</v>
      </c>
      <c r="BT1692" s="42"/>
    </row>
    <row r="1693" spans="1:72" x14ac:dyDescent="0.25">
      <c r="A1693" s="90">
        <v>38057</v>
      </c>
      <c r="B1693" s="20">
        <v>0.79166666666666663</v>
      </c>
      <c r="D1693">
        <v>39.019999999999996</v>
      </c>
      <c r="E1693" t="str">
        <f t="shared" si="88"/>
        <v>WEEKDAY</v>
      </c>
      <c r="F1693" t="e">
        <f t="shared" si="87"/>
        <v>#N/A</v>
      </c>
      <c r="G1693" s="74">
        <v>32943</v>
      </c>
      <c r="H1693" s="77">
        <v>0.79166666666666663</v>
      </c>
      <c r="J1693">
        <v>57.92</v>
      </c>
      <c r="M1693" s="74">
        <v>36596</v>
      </c>
      <c r="N1693" s="77">
        <v>0.79166666666666663</v>
      </c>
      <c r="P1693">
        <v>39.200000000000003</v>
      </c>
      <c r="S1693" s="74">
        <v>38057</v>
      </c>
      <c r="T1693" s="77">
        <v>0.79166666666666663</v>
      </c>
      <c r="V1693">
        <v>44.06</v>
      </c>
      <c r="X1693" s="42"/>
      <c r="AB1693">
        <v>41.8</v>
      </c>
      <c r="AC1693">
        <v>33.979999999999997</v>
      </c>
      <c r="AE1693" s="74"/>
      <c r="AF1693" s="77"/>
      <c r="AH1693" s="497">
        <v>35.6</v>
      </c>
      <c r="AJ1693" s="42"/>
      <c r="AK1693" s="74"/>
      <c r="AL1693" s="77"/>
      <c r="AN1693" s="497">
        <v>28.94</v>
      </c>
      <c r="AP1693" s="42"/>
      <c r="AQ1693" s="74"/>
      <c r="AR1693" s="77"/>
      <c r="AT1693" s="497">
        <v>30.02</v>
      </c>
      <c r="AV1693" s="42"/>
      <c r="AW1693" s="74"/>
      <c r="AX1693" s="77"/>
      <c r="BA1693" s="497">
        <v>50</v>
      </c>
      <c r="BB1693" s="42"/>
      <c r="BC1693" s="74"/>
      <c r="BD1693" s="77"/>
      <c r="BF1693">
        <v>44.06</v>
      </c>
      <c r="BH1693" s="42"/>
      <c r="BI1693" s="74"/>
      <c r="BJ1693" s="77"/>
      <c r="BL1693" s="497">
        <v>30.92</v>
      </c>
      <c r="BN1693" s="42"/>
      <c r="BO1693" s="74"/>
      <c r="BP1693" s="77"/>
      <c r="BR1693" s="497">
        <v>42.980000000000004</v>
      </c>
      <c r="BT1693" s="42"/>
    </row>
    <row r="1694" spans="1:72" x14ac:dyDescent="0.25">
      <c r="A1694" s="90">
        <v>38057</v>
      </c>
      <c r="B1694" s="20">
        <v>0.83333333333333337</v>
      </c>
      <c r="D1694">
        <v>39.019999999999996</v>
      </c>
      <c r="E1694" t="str">
        <f t="shared" si="88"/>
        <v>WEEKDAY</v>
      </c>
      <c r="F1694" t="e">
        <f t="shared" si="87"/>
        <v>#N/A</v>
      </c>
      <c r="G1694" s="74">
        <v>32943</v>
      </c>
      <c r="H1694" s="77">
        <v>0.83333333333333337</v>
      </c>
      <c r="J1694">
        <v>60.08</v>
      </c>
      <c r="M1694" s="74">
        <v>36596</v>
      </c>
      <c r="N1694" s="77">
        <v>0.83333333333333337</v>
      </c>
      <c r="P1694">
        <v>39.200000000000003</v>
      </c>
      <c r="S1694" s="74">
        <v>38057</v>
      </c>
      <c r="T1694" s="77">
        <v>0.83333333333333337</v>
      </c>
      <c r="V1694">
        <v>44.06</v>
      </c>
      <c r="X1694" s="42"/>
      <c r="AB1694">
        <v>41</v>
      </c>
      <c r="AC1694">
        <v>33.08</v>
      </c>
      <c r="AE1694" s="74"/>
      <c r="AF1694" s="77"/>
      <c r="AH1694" s="497">
        <v>35.6</v>
      </c>
      <c r="AJ1694" s="42"/>
      <c r="AK1694" s="74"/>
      <c r="AL1694" s="77"/>
      <c r="AN1694" s="497">
        <v>28.94</v>
      </c>
      <c r="AP1694" s="42"/>
      <c r="AQ1694" s="74"/>
      <c r="AR1694" s="77"/>
      <c r="AT1694" s="497">
        <v>28.4</v>
      </c>
      <c r="AV1694" s="42"/>
      <c r="AW1694" s="74"/>
      <c r="AX1694" s="77"/>
      <c r="BA1694" s="497">
        <v>48.019999999999996</v>
      </c>
      <c r="BB1694" s="42"/>
      <c r="BC1694" s="74"/>
      <c r="BD1694" s="77"/>
      <c r="BF1694">
        <v>44.06</v>
      </c>
      <c r="BH1694" s="42"/>
      <c r="BI1694" s="74"/>
      <c r="BJ1694" s="77"/>
      <c r="BL1694" s="497">
        <v>30.02</v>
      </c>
      <c r="BN1694" s="42"/>
      <c r="BO1694" s="74"/>
      <c r="BP1694" s="77"/>
      <c r="BR1694" s="497">
        <v>42.980000000000004</v>
      </c>
      <c r="BT1694" s="42"/>
    </row>
    <row r="1695" spans="1:72" x14ac:dyDescent="0.25">
      <c r="A1695" s="90">
        <v>38057</v>
      </c>
      <c r="B1695" s="20">
        <v>0.875</v>
      </c>
      <c r="D1695">
        <v>39.019999999999996</v>
      </c>
      <c r="E1695" t="str">
        <f t="shared" si="88"/>
        <v>WEEKDAY</v>
      </c>
      <c r="F1695" t="e">
        <f t="shared" si="87"/>
        <v>#N/A</v>
      </c>
      <c r="G1695" s="74">
        <v>32943</v>
      </c>
      <c r="H1695" s="77">
        <v>0.875</v>
      </c>
      <c r="J1695">
        <v>57.019999999999996</v>
      </c>
      <c r="M1695" s="74">
        <v>36596</v>
      </c>
      <c r="N1695" s="77">
        <v>0.875</v>
      </c>
      <c r="P1695">
        <v>39.200000000000003</v>
      </c>
      <c r="S1695" s="74">
        <v>38057</v>
      </c>
      <c r="T1695" s="77">
        <v>0.875</v>
      </c>
      <c r="V1695">
        <v>46.94</v>
      </c>
      <c r="X1695" s="42"/>
      <c r="AB1695">
        <v>40.4</v>
      </c>
      <c r="AC1695">
        <v>32</v>
      </c>
      <c r="AE1695" s="74"/>
      <c r="AF1695" s="77"/>
      <c r="AH1695" s="497">
        <v>35.6</v>
      </c>
      <c r="AJ1695" s="42"/>
      <c r="AK1695" s="74"/>
      <c r="AL1695" s="77"/>
      <c r="AN1695" s="497">
        <v>28.94</v>
      </c>
      <c r="AP1695" s="42"/>
      <c r="AQ1695" s="74"/>
      <c r="AR1695" s="77"/>
      <c r="AT1695" s="497">
        <v>26.6</v>
      </c>
      <c r="AV1695" s="42"/>
      <c r="AW1695" s="74"/>
      <c r="AX1695" s="77"/>
      <c r="BA1695" s="497">
        <v>42.980000000000004</v>
      </c>
      <c r="BB1695" s="42"/>
      <c r="BC1695" s="74"/>
      <c r="BD1695" s="77"/>
      <c r="BF1695">
        <v>44.06</v>
      </c>
      <c r="BH1695" s="42"/>
      <c r="BI1695" s="74"/>
      <c r="BJ1695" s="77"/>
      <c r="BL1695" s="497">
        <v>28.94</v>
      </c>
      <c r="BN1695" s="42"/>
      <c r="BO1695" s="74"/>
      <c r="BP1695" s="77"/>
      <c r="BR1695" s="497">
        <v>48.92</v>
      </c>
      <c r="BT1695" s="42"/>
    </row>
    <row r="1696" spans="1:72" x14ac:dyDescent="0.25">
      <c r="A1696" s="90">
        <v>38057</v>
      </c>
      <c r="B1696" s="20">
        <v>0.91666666666666663</v>
      </c>
      <c r="D1696">
        <v>39.019999999999996</v>
      </c>
      <c r="E1696" t="str">
        <f t="shared" si="88"/>
        <v>WEEKDAY</v>
      </c>
      <c r="F1696" t="e">
        <f t="shared" si="87"/>
        <v>#N/A</v>
      </c>
      <c r="G1696" s="74">
        <v>32943</v>
      </c>
      <c r="H1696" s="77">
        <v>0.91666666666666663</v>
      </c>
      <c r="J1696">
        <v>55.94</v>
      </c>
      <c r="M1696" s="74">
        <v>36596</v>
      </c>
      <c r="N1696" s="77">
        <v>0.91666666666666663</v>
      </c>
      <c r="P1696">
        <v>39.200000000000003</v>
      </c>
      <c r="S1696" s="74">
        <v>38057</v>
      </c>
      <c r="T1696" s="77">
        <v>0.91666666666666663</v>
      </c>
      <c r="V1696">
        <v>46.94</v>
      </c>
      <c r="X1696" s="42"/>
      <c r="AB1696">
        <v>39.799999999999997</v>
      </c>
      <c r="AC1696">
        <v>30.02</v>
      </c>
      <c r="AE1696" s="74"/>
      <c r="AF1696" s="77"/>
      <c r="AH1696" s="497">
        <v>35.6</v>
      </c>
      <c r="AJ1696" s="42"/>
      <c r="AK1696" s="74"/>
      <c r="AL1696" s="77"/>
      <c r="AN1696" s="497">
        <v>28.94</v>
      </c>
      <c r="AP1696" s="42"/>
      <c r="AQ1696" s="74"/>
      <c r="AR1696" s="77"/>
      <c r="AT1696" s="497">
        <v>24.98</v>
      </c>
      <c r="AV1696" s="42"/>
      <c r="AW1696" s="74"/>
      <c r="AX1696" s="77"/>
      <c r="BA1696" s="497">
        <v>42.980000000000004</v>
      </c>
      <c r="BB1696" s="42"/>
      <c r="BC1696" s="74"/>
      <c r="BD1696" s="77"/>
      <c r="BF1696">
        <v>42.980000000000004</v>
      </c>
      <c r="BH1696" s="42"/>
      <c r="BI1696" s="74"/>
      <c r="BJ1696" s="77"/>
      <c r="BL1696" s="497">
        <v>28.94</v>
      </c>
      <c r="BN1696" s="42"/>
      <c r="BO1696" s="74"/>
      <c r="BP1696" s="77"/>
      <c r="BR1696" s="497">
        <v>46.04</v>
      </c>
      <c r="BT1696" s="42"/>
    </row>
    <row r="1697" spans="1:72" x14ac:dyDescent="0.25">
      <c r="A1697" s="90">
        <v>38057</v>
      </c>
      <c r="B1697" s="20">
        <v>0.95833333333333337</v>
      </c>
      <c r="D1697">
        <v>37.94</v>
      </c>
      <c r="E1697" t="str">
        <f t="shared" si="88"/>
        <v>WEEKDAY</v>
      </c>
      <c r="F1697" t="e">
        <f t="shared" si="87"/>
        <v>#N/A</v>
      </c>
      <c r="G1697" s="74">
        <v>32943</v>
      </c>
      <c r="H1697" s="77">
        <v>0.95833333333333337</v>
      </c>
      <c r="J1697">
        <v>53.96</v>
      </c>
      <c r="M1697" s="74">
        <v>36596</v>
      </c>
      <c r="N1697" s="77">
        <v>0.95833333333333337</v>
      </c>
      <c r="P1697">
        <v>39.200000000000003</v>
      </c>
      <c r="S1697" s="74">
        <v>38057</v>
      </c>
      <c r="T1697" s="77">
        <v>0.95833333333333337</v>
      </c>
      <c r="V1697">
        <v>44.96</v>
      </c>
      <c r="X1697" s="42"/>
      <c r="AB1697">
        <v>39.200000000000003</v>
      </c>
      <c r="AC1697">
        <v>30.02</v>
      </c>
      <c r="AE1697" s="74"/>
      <c r="AF1697" s="77"/>
      <c r="AH1697" s="497">
        <v>35.6</v>
      </c>
      <c r="AJ1697" s="42"/>
      <c r="AK1697" s="74"/>
      <c r="AL1697" s="77"/>
      <c r="AN1697" s="497">
        <v>28.04</v>
      </c>
      <c r="AP1697" s="42"/>
      <c r="AQ1697" s="74"/>
      <c r="AR1697" s="77"/>
      <c r="AT1697" s="497">
        <v>23.36</v>
      </c>
      <c r="AV1697" s="42"/>
      <c r="AW1697" s="74"/>
      <c r="AX1697" s="77"/>
      <c r="BA1697" s="497">
        <v>42.980000000000004</v>
      </c>
      <c r="BB1697" s="42"/>
      <c r="BC1697" s="74"/>
      <c r="BD1697" s="77"/>
      <c r="BF1697">
        <v>44.06</v>
      </c>
      <c r="BH1697" s="42"/>
      <c r="BI1697" s="74"/>
      <c r="BJ1697" s="77"/>
      <c r="BL1697" s="497">
        <v>28.04</v>
      </c>
      <c r="BN1697" s="42"/>
      <c r="BO1697" s="74"/>
      <c r="BP1697" s="77"/>
      <c r="BR1697" s="497">
        <v>42.980000000000004</v>
      </c>
      <c r="BT1697" s="42"/>
    </row>
    <row r="1698" spans="1:72" x14ac:dyDescent="0.25">
      <c r="A1698" s="90">
        <v>38057</v>
      </c>
      <c r="B1698" s="20">
        <v>1</v>
      </c>
      <c r="D1698">
        <v>37.04</v>
      </c>
      <c r="E1698" t="str">
        <f t="shared" si="88"/>
        <v>WEEKDAY</v>
      </c>
      <c r="F1698" t="e">
        <f t="shared" si="87"/>
        <v>#N/A</v>
      </c>
      <c r="G1698" s="74">
        <v>32943</v>
      </c>
      <c r="H1698" s="77">
        <v>1</v>
      </c>
      <c r="J1698">
        <v>48.92</v>
      </c>
      <c r="M1698" s="74">
        <v>36596</v>
      </c>
      <c r="N1698" s="80">
        <v>1</v>
      </c>
      <c r="P1698">
        <v>41</v>
      </c>
      <c r="S1698" s="74">
        <v>38057</v>
      </c>
      <c r="T1698" s="80">
        <v>1</v>
      </c>
      <c r="V1698">
        <v>44.96</v>
      </c>
      <c r="X1698" s="42"/>
      <c r="AB1698">
        <v>38.6</v>
      </c>
      <c r="AC1698">
        <v>28.94</v>
      </c>
      <c r="AE1698" s="74"/>
      <c r="AF1698" s="80"/>
      <c r="AH1698" s="497">
        <v>35.6</v>
      </c>
      <c r="AJ1698" s="42"/>
      <c r="AK1698" s="74"/>
      <c r="AL1698" s="80"/>
      <c r="AN1698" s="497">
        <v>28.94</v>
      </c>
      <c r="AP1698" s="42"/>
      <c r="AQ1698" s="74"/>
      <c r="AR1698" s="80"/>
      <c r="AT1698" s="497">
        <v>21.560000000000002</v>
      </c>
      <c r="AV1698" s="42"/>
      <c r="AW1698" s="74"/>
      <c r="AX1698" s="80"/>
      <c r="BA1698" s="497">
        <v>44.96</v>
      </c>
      <c r="BB1698" s="42"/>
      <c r="BC1698" s="74"/>
      <c r="BD1698" s="80"/>
      <c r="BF1698">
        <v>48.019999999999996</v>
      </c>
      <c r="BH1698" s="42"/>
      <c r="BI1698" s="74"/>
      <c r="BJ1698" s="80"/>
      <c r="BL1698" s="497">
        <v>26.96</v>
      </c>
      <c r="BN1698" s="42"/>
      <c r="BO1698" s="74"/>
      <c r="BP1698" s="80"/>
      <c r="BR1698" s="497">
        <v>42.980000000000004</v>
      </c>
      <c r="BT1698" s="42"/>
    </row>
    <row r="1699" spans="1:72" x14ac:dyDescent="0.25">
      <c r="A1699" s="90">
        <v>38058</v>
      </c>
      <c r="B1699" s="20">
        <v>4.1666666666666664E-2</v>
      </c>
      <c r="D1699">
        <v>37.04</v>
      </c>
      <c r="E1699" t="str">
        <f t="shared" si="88"/>
        <v>WEEKDAY</v>
      </c>
      <c r="F1699" t="e">
        <f t="shared" si="87"/>
        <v>#N/A</v>
      </c>
      <c r="G1699" s="74">
        <v>32944</v>
      </c>
      <c r="H1699" s="77">
        <v>4.1666666666666664E-2</v>
      </c>
      <c r="J1699">
        <v>48.019999999999996</v>
      </c>
      <c r="M1699" s="74">
        <v>36597</v>
      </c>
      <c r="N1699" s="77">
        <v>4.1666666666666664E-2</v>
      </c>
      <c r="P1699">
        <v>39.200000000000003</v>
      </c>
      <c r="S1699" s="74">
        <v>38058</v>
      </c>
      <c r="T1699" s="77">
        <v>4.1666666666666664E-2</v>
      </c>
      <c r="V1699">
        <v>44.96</v>
      </c>
      <c r="X1699" s="42"/>
      <c r="AB1699">
        <v>38</v>
      </c>
      <c r="AC1699">
        <v>28.04</v>
      </c>
      <c r="AE1699" s="74"/>
      <c r="AF1699" s="77"/>
      <c r="AH1699" s="497">
        <v>35.6</v>
      </c>
      <c r="AJ1699" s="42"/>
      <c r="AK1699" s="74"/>
      <c r="AL1699" s="77"/>
      <c r="AN1699" s="497">
        <v>30.02</v>
      </c>
      <c r="AP1699" s="42"/>
      <c r="AQ1699" s="74"/>
      <c r="AR1699" s="77"/>
      <c r="AT1699" s="497">
        <v>19.939999999999998</v>
      </c>
      <c r="AV1699" s="42"/>
      <c r="AW1699" s="74"/>
      <c r="AX1699" s="77"/>
      <c r="BA1699" s="497">
        <v>44.96</v>
      </c>
      <c r="BB1699" s="42"/>
      <c r="BC1699" s="74"/>
      <c r="BD1699" s="77"/>
      <c r="BF1699">
        <v>51.08</v>
      </c>
      <c r="BH1699" s="42"/>
      <c r="BI1699" s="74"/>
      <c r="BJ1699" s="77"/>
      <c r="BL1699" s="497">
        <v>26.060000000000002</v>
      </c>
      <c r="BN1699" s="42"/>
      <c r="BO1699" s="74"/>
      <c r="BP1699" s="77"/>
      <c r="BR1699" s="497">
        <v>42.980000000000004</v>
      </c>
      <c r="BT1699" s="42"/>
    </row>
    <row r="1700" spans="1:72" x14ac:dyDescent="0.25">
      <c r="A1700" s="90">
        <v>38058</v>
      </c>
      <c r="B1700" s="20">
        <v>8.3333333333333329E-2</v>
      </c>
      <c r="D1700">
        <v>37.04</v>
      </c>
      <c r="E1700" t="str">
        <f t="shared" si="88"/>
        <v>WEEKDAY</v>
      </c>
      <c r="F1700" t="e">
        <f t="shared" si="87"/>
        <v>#N/A</v>
      </c>
      <c r="G1700" s="74">
        <v>32944</v>
      </c>
      <c r="H1700" s="77">
        <v>8.3333333333333329E-2</v>
      </c>
      <c r="J1700">
        <v>48.92</v>
      </c>
      <c r="M1700" s="74">
        <v>36597</v>
      </c>
      <c r="N1700" s="77">
        <v>8.3333333333333329E-2</v>
      </c>
      <c r="P1700">
        <v>41</v>
      </c>
      <c r="S1700" s="74">
        <v>38058</v>
      </c>
      <c r="T1700" s="77">
        <v>8.3333333333333329E-2</v>
      </c>
      <c r="V1700">
        <v>41</v>
      </c>
      <c r="X1700" s="42"/>
      <c r="AB1700">
        <v>37.4</v>
      </c>
      <c r="AC1700">
        <v>28.04</v>
      </c>
      <c r="AE1700" s="74"/>
      <c r="AF1700" s="77"/>
      <c r="AH1700" s="497">
        <v>35.6</v>
      </c>
      <c r="AJ1700" s="42"/>
      <c r="AK1700" s="74"/>
      <c r="AL1700" s="77"/>
      <c r="AN1700" s="497">
        <v>30.92</v>
      </c>
      <c r="AP1700" s="42"/>
      <c r="AQ1700" s="74"/>
      <c r="AR1700" s="77"/>
      <c r="AT1700" s="497">
        <v>19.04</v>
      </c>
      <c r="AV1700" s="42"/>
      <c r="AW1700" s="74"/>
      <c r="AX1700" s="77"/>
      <c r="BA1700" s="497">
        <v>42.980000000000004</v>
      </c>
      <c r="BB1700" s="42"/>
      <c r="BC1700" s="74"/>
      <c r="BD1700" s="77"/>
      <c r="BF1700">
        <v>44.06</v>
      </c>
      <c r="BH1700" s="42"/>
      <c r="BI1700" s="74"/>
      <c r="BJ1700" s="77"/>
      <c r="BL1700" s="497">
        <v>26.060000000000002</v>
      </c>
      <c r="BN1700" s="42"/>
      <c r="BO1700" s="74"/>
      <c r="BP1700" s="77"/>
      <c r="BR1700" s="497">
        <v>42.980000000000004</v>
      </c>
      <c r="BT1700" s="42"/>
    </row>
    <row r="1701" spans="1:72" x14ac:dyDescent="0.25">
      <c r="A1701" s="90">
        <v>38058</v>
      </c>
      <c r="B1701" s="20">
        <v>0.125</v>
      </c>
      <c r="D1701">
        <v>35.96</v>
      </c>
      <c r="E1701" t="str">
        <f t="shared" si="88"/>
        <v>WEEKDAY</v>
      </c>
      <c r="F1701" t="e">
        <f t="shared" si="87"/>
        <v>#N/A</v>
      </c>
      <c r="G1701" s="74">
        <v>32944</v>
      </c>
      <c r="H1701" s="77">
        <v>0.125</v>
      </c>
      <c r="J1701">
        <v>48.92</v>
      </c>
      <c r="M1701" s="74">
        <v>36597</v>
      </c>
      <c r="N1701" s="77">
        <v>0.125</v>
      </c>
      <c r="P1701">
        <v>41</v>
      </c>
      <c r="S1701" s="74">
        <v>38058</v>
      </c>
      <c r="T1701" s="77">
        <v>0.125</v>
      </c>
      <c r="V1701">
        <v>39.92</v>
      </c>
      <c r="X1701" s="42"/>
      <c r="AB1701">
        <v>36.700000000000003</v>
      </c>
      <c r="AC1701">
        <v>28.04</v>
      </c>
      <c r="AE1701" s="74"/>
      <c r="AF1701" s="77"/>
      <c r="AH1701" s="497">
        <v>35.6</v>
      </c>
      <c r="AJ1701" s="42"/>
      <c r="AK1701" s="74"/>
      <c r="AL1701" s="77"/>
      <c r="AN1701" s="497">
        <v>32</v>
      </c>
      <c r="AP1701" s="42"/>
      <c r="AQ1701" s="74"/>
      <c r="AR1701" s="77"/>
      <c r="AT1701" s="497">
        <v>17.96</v>
      </c>
      <c r="AV1701" s="42"/>
      <c r="AW1701" s="74"/>
      <c r="AX1701" s="77"/>
      <c r="BA1701" s="497">
        <v>41</v>
      </c>
      <c r="BB1701" s="42"/>
      <c r="BC1701" s="74"/>
      <c r="BD1701" s="77"/>
      <c r="BF1701">
        <v>41</v>
      </c>
      <c r="BH1701" s="42"/>
      <c r="BI1701" s="74"/>
      <c r="BJ1701" s="77"/>
      <c r="BL1701" s="497">
        <v>24.98</v>
      </c>
      <c r="BN1701" s="42"/>
      <c r="BO1701" s="74"/>
      <c r="BP1701" s="77"/>
      <c r="BR1701" s="497">
        <v>42.980000000000004</v>
      </c>
      <c r="BT1701" s="42"/>
    </row>
    <row r="1702" spans="1:72" x14ac:dyDescent="0.25">
      <c r="A1702" s="90">
        <v>38058</v>
      </c>
      <c r="B1702" s="20">
        <v>0.16666666666666666</v>
      </c>
      <c r="D1702">
        <v>35.96</v>
      </c>
      <c r="E1702" t="str">
        <f t="shared" si="88"/>
        <v>WEEKDAY</v>
      </c>
      <c r="F1702" t="e">
        <f t="shared" si="87"/>
        <v>#N/A</v>
      </c>
      <c r="G1702" s="74">
        <v>32944</v>
      </c>
      <c r="H1702" s="77">
        <v>0.16666666666666666</v>
      </c>
      <c r="J1702">
        <v>48.92</v>
      </c>
      <c r="M1702" s="74">
        <v>36597</v>
      </c>
      <c r="N1702" s="77">
        <v>0.16666666666666666</v>
      </c>
      <c r="P1702">
        <v>41</v>
      </c>
      <c r="S1702" s="74">
        <v>38058</v>
      </c>
      <c r="T1702" s="77">
        <v>0.16666666666666666</v>
      </c>
      <c r="V1702">
        <v>41</v>
      </c>
      <c r="X1702" s="42"/>
      <c r="AB1702">
        <v>36.200000000000003</v>
      </c>
      <c r="AC1702">
        <v>28.04</v>
      </c>
      <c r="AE1702" s="74"/>
      <c r="AF1702" s="77"/>
      <c r="AH1702" s="497">
        <v>35.6</v>
      </c>
      <c r="AJ1702" s="42"/>
      <c r="AK1702" s="74"/>
      <c r="AL1702" s="77"/>
      <c r="AN1702" s="497">
        <v>32</v>
      </c>
      <c r="AP1702" s="42"/>
      <c r="AQ1702" s="74"/>
      <c r="AR1702" s="77"/>
      <c r="AT1702" s="497">
        <v>17.059999999999999</v>
      </c>
      <c r="AV1702" s="42"/>
      <c r="AW1702" s="74"/>
      <c r="AX1702" s="77"/>
      <c r="BA1702" s="497">
        <v>39.92</v>
      </c>
      <c r="BB1702" s="42"/>
      <c r="BC1702" s="74"/>
      <c r="BD1702" s="77"/>
      <c r="BF1702">
        <v>41</v>
      </c>
      <c r="BH1702" s="42"/>
      <c r="BI1702" s="74"/>
      <c r="BJ1702" s="77"/>
      <c r="BL1702" s="497">
        <v>24.08</v>
      </c>
      <c r="BN1702" s="42"/>
      <c r="BO1702" s="74"/>
      <c r="BP1702" s="77"/>
      <c r="BR1702" s="497">
        <v>44.06</v>
      </c>
      <c r="BT1702" s="42"/>
    </row>
    <row r="1703" spans="1:72" x14ac:dyDescent="0.25">
      <c r="A1703" s="90">
        <v>38058</v>
      </c>
      <c r="B1703" s="20">
        <v>0.20833333333333334</v>
      </c>
      <c r="D1703">
        <v>35.96</v>
      </c>
      <c r="E1703" t="str">
        <f t="shared" si="88"/>
        <v>WEEKDAY</v>
      </c>
      <c r="F1703" t="e">
        <f t="shared" si="87"/>
        <v>#N/A</v>
      </c>
      <c r="G1703" s="74">
        <v>32944</v>
      </c>
      <c r="H1703" s="77">
        <v>0.20833333333333334</v>
      </c>
      <c r="J1703">
        <v>48.019999999999996</v>
      </c>
      <c r="M1703" s="74">
        <v>36597</v>
      </c>
      <c r="N1703" s="77">
        <v>0.20833333333333334</v>
      </c>
      <c r="P1703">
        <v>41</v>
      </c>
      <c r="S1703" s="74">
        <v>38058</v>
      </c>
      <c r="T1703" s="77">
        <v>0.20833333333333334</v>
      </c>
      <c r="V1703">
        <v>37.94</v>
      </c>
      <c r="X1703" s="42"/>
      <c r="AB1703">
        <v>35.799999999999997</v>
      </c>
      <c r="AC1703">
        <v>28.04</v>
      </c>
      <c r="AE1703" s="74"/>
      <c r="AF1703" s="77"/>
      <c r="AH1703" s="497">
        <v>48.2</v>
      </c>
      <c r="AJ1703" s="42"/>
      <c r="AK1703" s="74"/>
      <c r="AL1703" s="77"/>
      <c r="AN1703" s="497">
        <v>32</v>
      </c>
      <c r="AP1703" s="42"/>
      <c r="AQ1703" s="74"/>
      <c r="AR1703" s="77"/>
      <c r="AT1703" s="497">
        <v>17.059999999999999</v>
      </c>
      <c r="AV1703" s="42"/>
      <c r="AW1703" s="74"/>
      <c r="AX1703" s="77"/>
      <c r="BA1703" s="497">
        <v>39.92</v>
      </c>
      <c r="BB1703" s="42"/>
      <c r="BC1703" s="74"/>
      <c r="BD1703" s="77"/>
      <c r="BF1703">
        <v>42.08</v>
      </c>
      <c r="BH1703" s="42"/>
      <c r="BI1703" s="74"/>
      <c r="BJ1703" s="77"/>
      <c r="BL1703" s="497">
        <v>24.98</v>
      </c>
      <c r="BN1703" s="42"/>
      <c r="BO1703" s="74"/>
      <c r="BP1703" s="77"/>
      <c r="BR1703" s="497">
        <v>44.06</v>
      </c>
      <c r="BT1703" s="42"/>
    </row>
    <row r="1704" spans="1:72" x14ac:dyDescent="0.25">
      <c r="A1704" s="90">
        <v>38058</v>
      </c>
      <c r="B1704" s="20">
        <v>0.25</v>
      </c>
      <c r="D1704">
        <v>35.06</v>
      </c>
      <c r="E1704" t="str">
        <f t="shared" si="88"/>
        <v>WEEKDAY</v>
      </c>
      <c r="F1704" t="e">
        <f t="shared" si="87"/>
        <v>#N/A</v>
      </c>
      <c r="G1704" s="74">
        <v>32944</v>
      </c>
      <c r="H1704" s="77">
        <v>0.25</v>
      </c>
      <c r="J1704">
        <v>46.04</v>
      </c>
      <c r="M1704" s="74">
        <v>36597</v>
      </c>
      <c r="N1704" s="77">
        <v>0.25</v>
      </c>
      <c r="P1704">
        <v>41</v>
      </c>
      <c r="S1704" s="74">
        <v>38058</v>
      </c>
      <c r="T1704" s="77">
        <v>0.25</v>
      </c>
      <c r="V1704">
        <v>39.019999999999996</v>
      </c>
      <c r="X1704" s="42"/>
      <c r="AB1704">
        <v>35.5</v>
      </c>
      <c r="AC1704">
        <v>28.04</v>
      </c>
      <c r="AE1704" s="74"/>
      <c r="AF1704" s="77"/>
      <c r="AH1704" s="497">
        <v>35.6</v>
      </c>
      <c r="AJ1704" s="42"/>
      <c r="AK1704" s="74"/>
      <c r="AL1704" s="77"/>
      <c r="AN1704" s="497">
        <v>33.08</v>
      </c>
      <c r="AP1704" s="42"/>
      <c r="AQ1704" s="74"/>
      <c r="AR1704" s="77"/>
      <c r="AT1704" s="497">
        <v>17.059999999999999</v>
      </c>
      <c r="AV1704" s="42"/>
      <c r="AW1704" s="74"/>
      <c r="AX1704" s="77"/>
      <c r="BA1704" s="497">
        <v>41</v>
      </c>
      <c r="BB1704" s="42"/>
      <c r="BC1704" s="74"/>
      <c r="BD1704" s="77"/>
      <c r="BF1704">
        <v>42.08</v>
      </c>
      <c r="BH1704" s="42"/>
      <c r="BI1704" s="74"/>
      <c r="BJ1704" s="77"/>
      <c r="BL1704" s="497">
        <v>24.08</v>
      </c>
      <c r="BN1704" s="42"/>
      <c r="BO1704" s="74"/>
      <c r="BP1704" s="77"/>
      <c r="BR1704" s="497">
        <v>44.06</v>
      </c>
      <c r="BT1704" s="42"/>
    </row>
    <row r="1705" spans="1:72" x14ac:dyDescent="0.25">
      <c r="A1705" s="90">
        <v>38058</v>
      </c>
      <c r="B1705" s="20">
        <v>0.29166666666666669</v>
      </c>
      <c r="D1705">
        <v>35.06</v>
      </c>
      <c r="E1705" t="str">
        <f t="shared" si="88"/>
        <v>WEEKDAY</v>
      </c>
      <c r="F1705" t="e">
        <f t="shared" si="87"/>
        <v>#N/A</v>
      </c>
      <c r="G1705" s="74">
        <v>32944</v>
      </c>
      <c r="H1705" s="77">
        <v>0.29166666666666669</v>
      </c>
      <c r="J1705">
        <v>44.96</v>
      </c>
      <c r="M1705" s="74">
        <v>36597</v>
      </c>
      <c r="N1705" s="77">
        <v>0.29166666666666669</v>
      </c>
      <c r="P1705">
        <v>42.8</v>
      </c>
      <c r="S1705" s="74">
        <v>38058</v>
      </c>
      <c r="T1705" s="77">
        <v>0.29166666666666669</v>
      </c>
      <c r="V1705">
        <v>44.06</v>
      </c>
      <c r="X1705" s="42"/>
      <c r="AB1705">
        <v>35.4</v>
      </c>
      <c r="AC1705">
        <v>28.94</v>
      </c>
      <c r="AE1705" s="74"/>
      <c r="AF1705" s="77"/>
      <c r="AH1705" s="497">
        <v>35.6</v>
      </c>
      <c r="AJ1705" s="42"/>
      <c r="AK1705" s="74"/>
      <c r="AL1705" s="77"/>
      <c r="AN1705" s="497">
        <v>33.08</v>
      </c>
      <c r="AP1705" s="42"/>
      <c r="AQ1705" s="74"/>
      <c r="AR1705" s="77"/>
      <c r="AT1705" s="497">
        <v>17.059999999999999</v>
      </c>
      <c r="AV1705" s="42"/>
      <c r="AW1705" s="74"/>
      <c r="AX1705" s="77"/>
      <c r="BA1705" s="497">
        <v>41</v>
      </c>
      <c r="BB1705" s="42"/>
      <c r="BC1705" s="74"/>
      <c r="BD1705" s="77"/>
      <c r="BF1705">
        <v>42.980000000000004</v>
      </c>
      <c r="BH1705" s="42"/>
      <c r="BI1705" s="74"/>
      <c r="BJ1705" s="77"/>
      <c r="BL1705" s="497">
        <v>24.08</v>
      </c>
      <c r="BN1705" s="42"/>
      <c r="BO1705" s="74"/>
      <c r="BP1705" s="77"/>
      <c r="BR1705" s="497">
        <v>41</v>
      </c>
      <c r="BT1705" s="42"/>
    </row>
    <row r="1706" spans="1:72" x14ac:dyDescent="0.25">
      <c r="A1706" s="90">
        <v>38058</v>
      </c>
      <c r="B1706" s="20">
        <v>0.33333333333333331</v>
      </c>
      <c r="D1706">
        <v>37.94</v>
      </c>
      <c r="E1706" t="str">
        <f t="shared" si="88"/>
        <v>WEEKDAY</v>
      </c>
      <c r="F1706" t="e">
        <f t="shared" si="87"/>
        <v>#N/A</v>
      </c>
      <c r="G1706" s="74">
        <v>32944</v>
      </c>
      <c r="H1706" s="77">
        <v>0.33333333333333331</v>
      </c>
      <c r="J1706">
        <v>46.94</v>
      </c>
      <c r="M1706" s="74">
        <v>36597</v>
      </c>
      <c r="N1706" s="77">
        <v>0.33333333333333331</v>
      </c>
      <c r="P1706">
        <v>42.8</v>
      </c>
      <c r="S1706" s="74">
        <v>38058</v>
      </c>
      <c r="T1706" s="77">
        <v>0.33333333333333331</v>
      </c>
      <c r="V1706">
        <v>46.04</v>
      </c>
      <c r="X1706" s="42"/>
      <c r="AB1706">
        <v>35.9</v>
      </c>
      <c r="AC1706">
        <v>30.02</v>
      </c>
      <c r="AE1706" s="74"/>
      <c r="AF1706" s="77"/>
      <c r="AH1706" s="497">
        <v>36.86</v>
      </c>
      <c r="AJ1706" s="42"/>
      <c r="AK1706" s="74"/>
      <c r="AL1706" s="77"/>
      <c r="AN1706" s="497">
        <v>28.94</v>
      </c>
      <c r="AP1706" s="42"/>
      <c r="AQ1706" s="74"/>
      <c r="AR1706" s="77"/>
      <c r="AT1706" s="497">
        <v>20.299999999999997</v>
      </c>
      <c r="AV1706" s="42"/>
      <c r="AW1706" s="74"/>
      <c r="AX1706" s="77"/>
      <c r="BA1706" s="497">
        <v>42.08</v>
      </c>
      <c r="BB1706" s="42"/>
      <c r="BC1706" s="74"/>
      <c r="BD1706" s="77"/>
      <c r="BF1706">
        <v>44.96</v>
      </c>
      <c r="BH1706" s="42"/>
      <c r="BI1706" s="74"/>
      <c r="BJ1706" s="77"/>
      <c r="BL1706" s="497">
        <v>28.04</v>
      </c>
      <c r="BN1706" s="42"/>
      <c r="BO1706" s="74"/>
      <c r="BP1706" s="77"/>
      <c r="BR1706" s="497">
        <v>39.92</v>
      </c>
      <c r="BT1706" s="42"/>
    </row>
    <row r="1707" spans="1:72" x14ac:dyDescent="0.25">
      <c r="A1707" s="90">
        <v>38058</v>
      </c>
      <c r="B1707" s="20">
        <v>0.375</v>
      </c>
      <c r="D1707">
        <v>39.92</v>
      </c>
      <c r="E1707" t="str">
        <f t="shared" si="88"/>
        <v>WEEKDAY</v>
      </c>
      <c r="F1707" t="e">
        <f t="shared" ref="F1707:F1770" si="89">IF(E1707="WEEKDAY",VLOOKUP(B1707,$DD$19:$DG$42,2),IF(E1707="SATURDAY",VLOOKUP(B1707,$DD$19:$DG$42,3),VLOOKUP(B1707,$DD$19:$DG$42,4)))</f>
        <v>#N/A</v>
      </c>
      <c r="G1707" s="74">
        <v>32944</v>
      </c>
      <c r="H1707" s="77">
        <v>0.375</v>
      </c>
      <c r="J1707">
        <v>46.94</v>
      </c>
      <c r="M1707" s="74">
        <v>36597</v>
      </c>
      <c r="N1707" s="77">
        <v>0.375</v>
      </c>
      <c r="P1707">
        <v>42.8</v>
      </c>
      <c r="S1707" s="74">
        <v>38058</v>
      </c>
      <c r="T1707" s="77">
        <v>0.375</v>
      </c>
      <c r="V1707">
        <v>44.06</v>
      </c>
      <c r="X1707" s="42"/>
      <c r="AB1707">
        <v>37.799999999999997</v>
      </c>
      <c r="AC1707">
        <v>33.08</v>
      </c>
      <c r="AE1707" s="74"/>
      <c r="AF1707" s="77"/>
      <c r="AH1707" s="497">
        <v>37.4</v>
      </c>
      <c r="AJ1707" s="42"/>
      <c r="AK1707" s="74"/>
      <c r="AL1707" s="77"/>
      <c r="AN1707" s="497">
        <v>28.94</v>
      </c>
      <c r="AP1707" s="42"/>
      <c r="AQ1707" s="74"/>
      <c r="AR1707" s="77"/>
      <c r="AT1707" s="497">
        <v>23.72</v>
      </c>
      <c r="AV1707" s="42"/>
      <c r="AW1707" s="74"/>
      <c r="AX1707" s="77"/>
      <c r="BA1707" s="497">
        <v>42.08</v>
      </c>
      <c r="BB1707" s="42"/>
      <c r="BC1707" s="74"/>
      <c r="BD1707" s="77"/>
      <c r="BF1707">
        <v>46.94</v>
      </c>
      <c r="BH1707" s="42"/>
      <c r="BI1707" s="74"/>
      <c r="BJ1707" s="77"/>
      <c r="BL1707" s="497">
        <v>30.92</v>
      </c>
      <c r="BN1707" s="42"/>
      <c r="BO1707" s="74"/>
      <c r="BP1707" s="77"/>
      <c r="BR1707" s="497">
        <v>39.92</v>
      </c>
      <c r="BT1707" s="42"/>
    </row>
    <row r="1708" spans="1:72" x14ac:dyDescent="0.25">
      <c r="A1708" s="90">
        <v>38058</v>
      </c>
      <c r="B1708" s="20">
        <v>0.41666666666666669</v>
      </c>
      <c r="D1708">
        <v>42.08</v>
      </c>
      <c r="E1708" t="str">
        <f t="shared" si="88"/>
        <v>WEEKDAY</v>
      </c>
      <c r="F1708" t="e">
        <f t="shared" si="89"/>
        <v>#N/A</v>
      </c>
      <c r="G1708" s="74">
        <v>32944</v>
      </c>
      <c r="H1708" s="77">
        <v>0.41666666666666669</v>
      </c>
      <c r="J1708">
        <v>44.96</v>
      </c>
      <c r="M1708" s="74">
        <v>36597</v>
      </c>
      <c r="N1708" s="77">
        <v>0.41666666666666669</v>
      </c>
      <c r="P1708">
        <v>42.8</v>
      </c>
      <c r="S1708" s="74">
        <v>38058</v>
      </c>
      <c r="T1708" s="77">
        <v>0.41666666666666669</v>
      </c>
      <c r="V1708">
        <v>42.980000000000004</v>
      </c>
      <c r="X1708" s="42"/>
      <c r="AB1708">
        <v>39.6</v>
      </c>
      <c r="AC1708">
        <v>35.96</v>
      </c>
      <c r="AE1708" s="74"/>
      <c r="AF1708" s="77"/>
      <c r="AH1708" s="497">
        <v>39.200000000000003</v>
      </c>
      <c r="AJ1708" s="42"/>
      <c r="AK1708" s="74"/>
      <c r="AL1708" s="77"/>
      <c r="AN1708" s="497">
        <v>30.02</v>
      </c>
      <c r="AP1708" s="42"/>
      <c r="AQ1708" s="74"/>
      <c r="AR1708" s="77"/>
      <c r="AT1708" s="497">
        <v>26.96</v>
      </c>
      <c r="AV1708" s="42"/>
      <c r="AW1708" s="74"/>
      <c r="AX1708" s="77"/>
      <c r="BA1708" s="497">
        <v>41</v>
      </c>
      <c r="BB1708" s="42"/>
      <c r="BC1708" s="74"/>
      <c r="BD1708" s="77"/>
      <c r="BF1708">
        <v>51.980000000000004</v>
      </c>
      <c r="BH1708" s="42"/>
      <c r="BI1708" s="74"/>
      <c r="BJ1708" s="77"/>
      <c r="BL1708" s="497">
        <v>33.08</v>
      </c>
      <c r="BN1708" s="42"/>
      <c r="BO1708" s="74"/>
      <c r="BP1708" s="77"/>
      <c r="BR1708" s="497">
        <v>41</v>
      </c>
      <c r="BT1708" s="42"/>
    </row>
    <row r="1709" spans="1:72" x14ac:dyDescent="0.25">
      <c r="A1709" s="90">
        <v>38058</v>
      </c>
      <c r="B1709" s="20">
        <v>0.45833333333333331</v>
      </c>
      <c r="D1709">
        <v>46.94</v>
      </c>
      <c r="E1709" t="str">
        <f t="shared" si="88"/>
        <v>WEEKDAY</v>
      </c>
      <c r="F1709" t="e">
        <f t="shared" si="89"/>
        <v>#N/A</v>
      </c>
      <c r="G1709" s="74">
        <v>32944</v>
      </c>
      <c r="H1709" s="77">
        <v>0.45833333333333331</v>
      </c>
      <c r="J1709">
        <v>44.96</v>
      </c>
      <c r="M1709" s="74">
        <v>36597</v>
      </c>
      <c r="N1709" s="77">
        <v>0.45833333333333331</v>
      </c>
      <c r="P1709">
        <v>44.6</v>
      </c>
      <c r="S1709" s="74">
        <v>38058</v>
      </c>
      <c r="T1709" s="77">
        <v>0.45833333333333331</v>
      </c>
      <c r="V1709">
        <v>44.06</v>
      </c>
      <c r="X1709" s="42"/>
      <c r="AB1709">
        <v>41.3</v>
      </c>
      <c r="AC1709">
        <v>37.94</v>
      </c>
      <c r="AE1709" s="74"/>
      <c r="AF1709" s="77"/>
      <c r="AH1709" s="497">
        <v>41</v>
      </c>
      <c r="AJ1709" s="42"/>
      <c r="AK1709" s="74"/>
      <c r="AL1709" s="77"/>
      <c r="AN1709" s="497">
        <v>30.02</v>
      </c>
      <c r="AP1709" s="42"/>
      <c r="AQ1709" s="74"/>
      <c r="AR1709" s="77"/>
      <c r="AT1709" s="497">
        <v>29.66</v>
      </c>
      <c r="AV1709" s="42"/>
      <c r="AW1709" s="74"/>
      <c r="AX1709" s="77"/>
      <c r="BA1709" s="497">
        <v>41</v>
      </c>
      <c r="BB1709" s="42"/>
      <c r="BC1709" s="74"/>
      <c r="BD1709" s="77"/>
      <c r="BF1709">
        <v>53.96</v>
      </c>
      <c r="BH1709" s="42"/>
      <c r="BI1709" s="74"/>
      <c r="BJ1709" s="77"/>
      <c r="BL1709" s="497">
        <v>35.96</v>
      </c>
      <c r="BN1709" s="42"/>
      <c r="BO1709" s="74"/>
      <c r="BP1709" s="77"/>
      <c r="BR1709" s="497">
        <v>41</v>
      </c>
      <c r="BT1709" s="42"/>
    </row>
    <row r="1710" spans="1:72" x14ac:dyDescent="0.25">
      <c r="A1710" s="90">
        <v>38058</v>
      </c>
      <c r="B1710" s="20">
        <v>0.5</v>
      </c>
      <c r="D1710">
        <v>48.92</v>
      </c>
      <c r="E1710" t="str">
        <f t="shared" si="88"/>
        <v>WEEKDAY</v>
      </c>
      <c r="F1710" t="e">
        <f t="shared" si="89"/>
        <v>#N/A</v>
      </c>
      <c r="G1710" s="74">
        <v>32944</v>
      </c>
      <c r="H1710" s="77">
        <v>0.5</v>
      </c>
      <c r="J1710">
        <v>44.96</v>
      </c>
      <c r="M1710" s="74">
        <v>36597</v>
      </c>
      <c r="N1710" s="77">
        <v>0.5</v>
      </c>
      <c r="P1710">
        <v>46.4</v>
      </c>
      <c r="S1710" s="74">
        <v>38058</v>
      </c>
      <c r="T1710" s="77">
        <v>0.5</v>
      </c>
      <c r="V1710">
        <v>42.08</v>
      </c>
      <c r="X1710" s="42"/>
      <c r="AB1710">
        <v>42.7</v>
      </c>
      <c r="AC1710">
        <v>41</v>
      </c>
      <c r="AE1710" s="74"/>
      <c r="AF1710" s="77"/>
      <c r="AH1710" s="497">
        <v>39.200000000000003</v>
      </c>
      <c r="AJ1710" s="42"/>
      <c r="AK1710" s="74"/>
      <c r="AL1710" s="77"/>
      <c r="AN1710" s="497">
        <v>30.92</v>
      </c>
      <c r="AP1710" s="42"/>
      <c r="AQ1710" s="74"/>
      <c r="AR1710" s="77"/>
      <c r="AT1710" s="497">
        <v>32.36</v>
      </c>
      <c r="AV1710" s="42"/>
      <c r="AW1710" s="74"/>
      <c r="AX1710" s="77"/>
      <c r="BA1710" s="497">
        <v>42.08</v>
      </c>
      <c r="BB1710" s="42"/>
      <c r="BC1710" s="74"/>
      <c r="BD1710" s="77"/>
      <c r="BF1710">
        <v>51.980000000000004</v>
      </c>
      <c r="BH1710" s="42"/>
      <c r="BI1710" s="74"/>
      <c r="BJ1710" s="77"/>
      <c r="BL1710" s="497">
        <v>37.04</v>
      </c>
      <c r="BN1710" s="42"/>
      <c r="BO1710" s="74"/>
      <c r="BP1710" s="77"/>
      <c r="BR1710" s="497">
        <v>37.94</v>
      </c>
      <c r="BT1710" s="42"/>
    </row>
    <row r="1711" spans="1:72" x14ac:dyDescent="0.25">
      <c r="A1711" s="90">
        <v>38058</v>
      </c>
      <c r="B1711" s="20">
        <v>0.54166666666666663</v>
      </c>
      <c r="D1711">
        <v>44.96</v>
      </c>
      <c r="E1711" t="str">
        <f t="shared" si="88"/>
        <v>WEEKDAY</v>
      </c>
      <c r="F1711" t="e">
        <f t="shared" si="89"/>
        <v>#N/A</v>
      </c>
      <c r="G1711" s="74">
        <v>32944</v>
      </c>
      <c r="H1711" s="77">
        <v>0.54166666666666663</v>
      </c>
      <c r="J1711">
        <v>44.96</v>
      </c>
      <c r="M1711" s="74">
        <v>36597</v>
      </c>
      <c r="N1711" s="77">
        <v>0.54166666666666663</v>
      </c>
      <c r="P1711">
        <v>48.2</v>
      </c>
      <c r="S1711" s="74">
        <v>38058</v>
      </c>
      <c r="T1711" s="77">
        <v>0.54166666666666663</v>
      </c>
      <c r="V1711">
        <v>42.980000000000004</v>
      </c>
      <c r="X1711" s="42"/>
      <c r="AB1711">
        <v>43.8</v>
      </c>
      <c r="AC1711">
        <v>42.08</v>
      </c>
      <c r="AE1711" s="74"/>
      <c r="AF1711" s="77"/>
      <c r="AH1711" s="497">
        <v>41</v>
      </c>
      <c r="AJ1711" s="42"/>
      <c r="AK1711" s="74"/>
      <c r="AL1711" s="77"/>
      <c r="AN1711" s="497">
        <v>33.979999999999997</v>
      </c>
      <c r="AP1711" s="42"/>
      <c r="AQ1711" s="74"/>
      <c r="AR1711" s="77"/>
      <c r="AT1711" s="497">
        <v>35.06</v>
      </c>
      <c r="AV1711" s="42"/>
      <c r="AW1711" s="74"/>
      <c r="AX1711" s="77"/>
      <c r="BA1711" s="497">
        <v>42.980000000000004</v>
      </c>
      <c r="BB1711" s="42"/>
      <c r="BC1711" s="74"/>
      <c r="BD1711" s="77"/>
      <c r="BF1711">
        <v>64.039999999999992</v>
      </c>
      <c r="BH1711" s="42"/>
      <c r="BI1711" s="74"/>
      <c r="BJ1711" s="77"/>
      <c r="BL1711" s="497">
        <v>37.04</v>
      </c>
      <c r="BN1711" s="42"/>
      <c r="BO1711" s="74"/>
      <c r="BP1711" s="77"/>
      <c r="BR1711" s="497">
        <v>37.94</v>
      </c>
      <c r="BT1711" s="42"/>
    </row>
    <row r="1712" spans="1:72" x14ac:dyDescent="0.25">
      <c r="A1712" s="90">
        <v>38058</v>
      </c>
      <c r="B1712" s="20">
        <v>0.58333333333333337</v>
      </c>
      <c r="D1712">
        <v>44.06</v>
      </c>
      <c r="E1712" t="str">
        <f t="shared" si="88"/>
        <v>WEEKDAY</v>
      </c>
      <c r="F1712" t="e">
        <f t="shared" si="89"/>
        <v>#N/A</v>
      </c>
      <c r="G1712" s="74">
        <v>32944</v>
      </c>
      <c r="H1712" s="77">
        <v>0.58333333333333337</v>
      </c>
      <c r="J1712">
        <v>44.06</v>
      </c>
      <c r="M1712" s="74">
        <v>36597</v>
      </c>
      <c r="N1712" s="77">
        <v>0.58333333333333337</v>
      </c>
      <c r="P1712">
        <v>46.4</v>
      </c>
      <c r="S1712" s="74">
        <v>38058</v>
      </c>
      <c r="T1712" s="77">
        <v>0.58333333333333337</v>
      </c>
      <c r="V1712">
        <v>39.92</v>
      </c>
      <c r="X1712" s="42"/>
      <c r="AB1712">
        <v>44.6</v>
      </c>
      <c r="AC1712">
        <v>42.980000000000004</v>
      </c>
      <c r="AE1712" s="74"/>
      <c r="AF1712" s="77"/>
      <c r="AH1712" s="497">
        <v>41</v>
      </c>
      <c r="AJ1712" s="42"/>
      <c r="AK1712" s="74"/>
      <c r="AL1712" s="77"/>
      <c r="AN1712" s="497">
        <v>37.04</v>
      </c>
      <c r="AP1712" s="42"/>
      <c r="AQ1712" s="74"/>
      <c r="AR1712" s="77"/>
      <c r="AT1712" s="497">
        <v>35.06</v>
      </c>
      <c r="AV1712" s="42"/>
      <c r="AW1712" s="74"/>
      <c r="AX1712" s="77"/>
      <c r="BA1712" s="497">
        <v>44.06</v>
      </c>
      <c r="BB1712" s="42"/>
      <c r="BC1712" s="74"/>
      <c r="BD1712" s="77"/>
      <c r="BF1712">
        <v>57.92</v>
      </c>
      <c r="BH1712" s="42"/>
      <c r="BI1712" s="74"/>
      <c r="BJ1712" s="77"/>
      <c r="BL1712" s="497">
        <v>37.94</v>
      </c>
      <c r="BN1712" s="42"/>
      <c r="BO1712" s="74"/>
      <c r="BP1712" s="77"/>
      <c r="BR1712" s="497">
        <v>37.94</v>
      </c>
      <c r="BT1712" s="42"/>
    </row>
    <row r="1713" spans="1:72" x14ac:dyDescent="0.25">
      <c r="A1713" s="90">
        <v>38058</v>
      </c>
      <c r="B1713" s="20">
        <v>0.625</v>
      </c>
      <c r="D1713">
        <v>44.06</v>
      </c>
      <c r="E1713" t="str">
        <f t="shared" si="88"/>
        <v>WEEKDAY</v>
      </c>
      <c r="F1713" t="e">
        <f t="shared" si="89"/>
        <v>#N/A</v>
      </c>
      <c r="G1713" s="74">
        <v>32944</v>
      </c>
      <c r="H1713" s="77">
        <v>0.625</v>
      </c>
      <c r="J1713">
        <v>44.06</v>
      </c>
      <c r="M1713" s="74">
        <v>36597</v>
      </c>
      <c r="N1713" s="77">
        <v>0.625</v>
      </c>
      <c r="P1713">
        <v>42.8</v>
      </c>
      <c r="S1713" s="74">
        <v>38058</v>
      </c>
      <c r="T1713" s="77">
        <v>0.625</v>
      </c>
      <c r="V1713">
        <v>39.92</v>
      </c>
      <c r="X1713" s="42"/>
      <c r="AB1713">
        <v>45</v>
      </c>
      <c r="AC1713">
        <v>44.96</v>
      </c>
      <c r="AE1713" s="74"/>
      <c r="AF1713" s="77"/>
      <c r="AH1713" s="497">
        <v>39.200000000000003</v>
      </c>
      <c r="AJ1713" s="42"/>
      <c r="AK1713" s="74"/>
      <c r="AL1713" s="77"/>
      <c r="AN1713" s="497">
        <v>39.92</v>
      </c>
      <c r="AP1713" s="42"/>
      <c r="AQ1713" s="74"/>
      <c r="AR1713" s="77"/>
      <c r="AT1713" s="497">
        <v>35.06</v>
      </c>
      <c r="AV1713" s="42"/>
      <c r="AW1713" s="74"/>
      <c r="AX1713" s="77"/>
      <c r="BA1713" s="497">
        <v>42.980000000000004</v>
      </c>
      <c r="BB1713" s="42"/>
      <c r="BC1713" s="74"/>
      <c r="BD1713" s="77"/>
      <c r="BF1713">
        <v>59</v>
      </c>
      <c r="BH1713" s="42"/>
      <c r="BI1713" s="74"/>
      <c r="BJ1713" s="77"/>
      <c r="BL1713" s="497">
        <v>37.04</v>
      </c>
      <c r="BN1713" s="42"/>
      <c r="BO1713" s="74"/>
      <c r="BP1713" s="77"/>
      <c r="BR1713" s="497">
        <v>37.94</v>
      </c>
      <c r="BT1713" s="42"/>
    </row>
    <row r="1714" spans="1:72" x14ac:dyDescent="0.25">
      <c r="A1714" s="90">
        <v>38058</v>
      </c>
      <c r="B1714" s="20">
        <v>0.66666666666666663</v>
      </c>
      <c r="D1714">
        <v>42.08</v>
      </c>
      <c r="E1714" t="str">
        <f t="shared" si="88"/>
        <v>WEEKDAY</v>
      </c>
      <c r="F1714" t="e">
        <f t="shared" si="89"/>
        <v>#N/A</v>
      </c>
      <c r="G1714" s="74">
        <v>32944</v>
      </c>
      <c r="H1714" s="77">
        <v>0.66666666666666663</v>
      </c>
      <c r="J1714">
        <v>46.94</v>
      </c>
      <c r="M1714" s="74">
        <v>36597</v>
      </c>
      <c r="N1714" s="77">
        <v>0.66666666666666663</v>
      </c>
      <c r="P1714">
        <v>42.26</v>
      </c>
      <c r="S1714" s="74">
        <v>38058</v>
      </c>
      <c r="T1714" s="77">
        <v>0.66666666666666663</v>
      </c>
      <c r="V1714">
        <v>39.92</v>
      </c>
      <c r="X1714" s="42"/>
      <c r="AB1714">
        <v>45.1</v>
      </c>
      <c r="AC1714">
        <v>44.96</v>
      </c>
      <c r="AE1714" s="74"/>
      <c r="AF1714" s="77"/>
      <c r="AH1714" s="497">
        <v>39.200000000000003</v>
      </c>
      <c r="AJ1714" s="42"/>
      <c r="AK1714" s="74"/>
      <c r="AL1714" s="77"/>
      <c r="AN1714" s="497">
        <v>39.92</v>
      </c>
      <c r="AP1714" s="42"/>
      <c r="AQ1714" s="74"/>
      <c r="AR1714" s="77"/>
      <c r="AT1714" s="497">
        <v>35.06</v>
      </c>
      <c r="AV1714" s="42"/>
      <c r="AW1714" s="74"/>
      <c r="AX1714" s="77"/>
      <c r="BA1714" s="497">
        <v>44.06</v>
      </c>
      <c r="BB1714" s="42"/>
      <c r="BC1714" s="74"/>
      <c r="BD1714" s="77"/>
      <c r="BF1714">
        <v>57.92</v>
      </c>
      <c r="BH1714" s="42"/>
      <c r="BI1714" s="74"/>
      <c r="BJ1714" s="77"/>
      <c r="BL1714" s="497">
        <v>37.94</v>
      </c>
      <c r="BN1714" s="42"/>
      <c r="BO1714" s="74"/>
      <c r="BP1714" s="77"/>
      <c r="BR1714" s="497">
        <v>39.019999999999996</v>
      </c>
      <c r="BT1714" s="42"/>
    </row>
    <row r="1715" spans="1:72" x14ac:dyDescent="0.25">
      <c r="A1715" s="90">
        <v>38058</v>
      </c>
      <c r="B1715" s="20">
        <v>0.70833333333333337</v>
      </c>
      <c r="D1715">
        <v>42.08</v>
      </c>
      <c r="E1715" t="str">
        <f t="shared" si="88"/>
        <v>WEEKDAY</v>
      </c>
      <c r="F1715" t="e">
        <f t="shared" si="89"/>
        <v>#N/A</v>
      </c>
      <c r="G1715" s="74">
        <v>32944</v>
      </c>
      <c r="H1715" s="77">
        <v>0.70833333333333337</v>
      </c>
      <c r="J1715">
        <v>46.04</v>
      </c>
      <c r="M1715" s="74">
        <v>36597</v>
      </c>
      <c r="N1715" s="77">
        <v>0.70833333333333337</v>
      </c>
      <c r="P1715">
        <v>41</v>
      </c>
      <c r="S1715" s="74">
        <v>38058</v>
      </c>
      <c r="T1715" s="77">
        <v>0.70833333333333337</v>
      </c>
      <c r="V1715">
        <v>39.92</v>
      </c>
      <c r="X1715" s="42"/>
      <c r="AB1715">
        <v>44.6</v>
      </c>
      <c r="AC1715">
        <v>44.96</v>
      </c>
      <c r="AE1715" s="74"/>
      <c r="AF1715" s="77"/>
      <c r="AH1715" s="497">
        <v>39.200000000000003</v>
      </c>
      <c r="AJ1715" s="42"/>
      <c r="AK1715" s="74"/>
      <c r="AL1715" s="77"/>
      <c r="AN1715" s="497">
        <v>39.019999999999996</v>
      </c>
      <c r="AP1715" s="42"/>
      <c r="AQ1715" s="74"/>
      <c r="AR1715" s="77"/>
      <c r="AT1715" s="497">
        <v>33.979999999999997</v>
      </c>
      <c r="AV1715" s="42"/>
      <c r="AW1715" s="74"/>
      <c r="AX1715" s="77"/>
      <c r="BA1715" s="497">
        <v>44.96</v>
      </c>
      <c r="BB1715" s="42"/>
      <c r="BC1715" s="74"/>
      <c r="BD1715" s="77"/>
      <c r="BF1715">
        <v>59</v>
      </c>
      <c r="BH1715" s="42"/>
      <c r="BI1715" s="74"/>
      <c r="BJ1715" s="77"/>
      <c r="BL1715" s="497">
        <v>33.979999999999997</v>
      </c>
      <c r="BN1715" s="42"/>
      <c r="BO1715" s="74"/>
      <c r="BP1715" s="77"/>
      <c r="BR1715" s="497">
        <v>37.04</v>
      </c>
      <c r="BT1715" s="42"/>
    </row>
    <row r="1716" spans="1:72" x14ac:dyDescent="0.25">
      <c r="A1716" s="90">
        <v>38058</v>
      </c>
      <c r="B1716" s="20">
        <v>0.75</v>
      </c>
      <c r="D1716">
        <v>41</v>
      </c>
      <c r="E1716" t="str">
        <f t="shared" si="88"/>
        <v>WEEKDAY</v>
      </c>
      <c r="F1716" t="e">
        <f t="shared" si="89"/>
        <v>#N/A</v>
      </c>
      <c r="G1716" s="74">
        <v>32944</v>
      </c>
      <c r="H1716" s="77">
        <v>0.75</v>
      </c>
      <c r="J1716">
        <v>44.96</v>
      </c>
      <c r="M1716" s="74">
        <v>36597</v>
      </c>
      <c r="N1716" s="77">
        <v>0.75</v>
      </c>
      <c r="P1716">
        <v>38.299999999999997</v>
      </c>
      <c r="S1716" s="74">
        <v>38058</v>
      </c>
      <c r="T1716" s="77">
        <v>0.75</v>
      </c>
      <c r="V1716">
        <v>39.92</v>
      </c>
      <c r="X1716" s="42"/>
      <c r="AB1716">
        <v>43.6</v>
      </c>
      <c r="AC1716">
        <v>42.08</v>
      </c>
      <c r="AE1716" s="74"/>
      <c r="AF1716" s="77"/>
      <c r="AH1716" s="497">
        <v>36.5</v>
      </c>
      <c r="AJ1716" s="42"/>
      <c r="AK1716" s="74"/>
      <c r="AL1716" s="77"/>
      <c r="AN1716" s="497">
        <v>37.94</v>
      </c>
      <c r="AP1716" s="42"/>
      <c r="AQ1716" s="74"/>
      <c r="AR1716" s="77"/>
      <c r="AT1716" s="497">
        <v>33.08</v>
      </c>
      <c r="AV1716" s="42"/>
      <c r="AW1716" s="74"/>
      <c r="AX1716" s="77"/>
      <c r="BA1716" s="497">
        <v>44.06</v>
      </c>
      <c r="BB1716" s="42"/>
      <c r="BC1716" s="74"/>
      <c r="BD1716" s="77"/>
      <c r="BF1716">
        <v>55.94</v>
      </c>
      <c r="BH1716" s="42"/>
      <c r="BI1716" s="74"/>
      <c r="BJ1716" s="77"/>
      <c r="BL1716" s="497">
        <v>33.08</v>
      </c>
      <c r="BN1716" s="42"/>
      <c r="BO1716" s="74"/>
      <c r="BP1716" s="77"/>
      <c r="BR1716" s="497">
        <v>37.04</v>
      </c>
      <c r="BT1716" s="42"/>
    </row>
    <row r="1717" spans="1:72" x14ac:dyDescent="0.25">
      <c r="A1717" s="90">
        <v>38058</v>
      </c>
      <c r="B1717" s="20">
        <v>0.79166666666666663</v>
      </c>
      <c r="D1717">
        <v>42.08</v>
      </c>
      <c r="E1717" t="str">
        <f t="shared" si="88"/>
        <v>WEEKDAY</v>
      </c>
      <c r="F1717" t="e">
        <f t="shared" si="89"/>
        <v>#N/A</v>
      </c>
      <c r="G1717" s="74">
        <v>32944</v>
      </c>
      <c r="H1717" s="77">
        <v>0.79166666666666663</v>
      </c>
      <c r="J1717">
        <v>42.980000000000004</v>
      </c>
      <c r="M1717" s="74">
        <v>36597</v>
      </c>
      <c r="N1717" s="77">
        <v>0.79166666666666663</v>
      </c>
      <c r="P1717">
        <v>35.6</v>
      </c>
      <c r="S1717" s="74">
        <v>38058</v>
      </c>
      <c r="T1717" s="77">
        <v>0.79166666666666663</v>
      </c>
      <c r="V1717">
        <v>39.92</v>
      </c>
      <c r="X1717" s="42"/>
      <c r="AB1717">
        <v>42</v>
      </c>
      <c r="AC1717">
        <v>39.92</v>
      </c>
      <c r="AE1717" s="74"/>
      <c r="AF1717" s="77"/>
      <c r="AH1717" s="497">
        <v>33.799999999999997</v>
      </c>
      <c r="AJ1717" s="42"/>
      <c r="AK1717" s="74"/>
      <c r="AL1717" s="77"/>
      <c r="AN1717" s="497">
        <v>37.94</v>
      </c>
      <c r="AP1717" s="42"/>
      <c r="AQ1717" s="74"/>
      <c r="AR1717" s="77"/>
      <c r="AT1717" s="497">
        <v>32</v>
      </c>
      <c r="AV1717" s="42"/>
      <c r="AW1717" s="74"/>
      <c r="AX1717" s="77"/>
      <c r="BA1717" s="497">
        <v>42.08</v>
      </c>
      <c r="BB1717" s="42"/>
      <c r="BC1717" s="74"/>
      <c r="BD1717" s="77"/>
      <c r="BF1717">
        <v>51.08</v>
      </c>
      <c r="BH1717" s="42"/>
      <c r="BI1717" s="74"/>
      <c r="BJ1717" s="77"/>
      <c r="BL1717" s="497">
        <v>33.08</v>
      </c>
      <c r="BN1717" s="42"/>
      <c r="BO1717" s="74"/>
      <c r="BP1717" s="77"/>
      <c r="BR1717" s="497">
        <v>33.979999999999997</v>
      </c>
      <c r="BT1717" s="42"/>
    </row>
    <row r="1718" spans="1:72" x14ac:dyDescent="0.25">
      <c r="A1718" s="90">
        <v>38058</v>
      </c>
      <c r="B1718" s="20">
        <v>0.83333333333333337</v>
      </c>
      <c r="D1718">
        <v>41</v>
      </c>
      <c r="E1718" t="str">
        <f t="shared" si="88"/>
        <v>WEEKDAY</v>
      </c>
      <c r="F1718" t="e">
        <f t="shared" si="89"/>
        <v>#N/A</v>
      </c>
      <c r="G1718" s="74">
        <v>32944</v>
      </c>
      <c r="H1718" s="77">
        <v>0.83333333333333337</v>
      </c>
      <c r="J1718">
        <v>42.08</v>
      </c>
      <c r="M1718" s="74">
        <v>36597</v>
      </c>
      <c r="N1718" s="77">
        <v>0.83333333333333337</v>
      </c>
      <c r="P1718">
        <v>33.799999999999997</v>
      </c>
      <c r="S1718" s="74">
        <v>38058</v>
      </c>
      <c r="T1718" s="77">
        <v>0.83333333333333337</v>
      </c>
      <c r="V1718">
        <v>39.019999999999996</v>
      </c>
      <c r="X1718" s="42"/>
      <c r="AB1718">
        <v>41.2</v>
      </c>
      <c r="AC1718">
        <v>37.04</v>
      </c>
      <c r="AE1718" s="74"/>
      <c r="AF1718" s="77"/>
      <c r="AH1718" s="497">
        <v>33.799999999999997</v>
      </c>
      <c r="AJ1718" s="42"/>
      <c r="AK1718" s="74"/>
      <c r="AL1718" s="77"/>
      <c r="AN1718" s="497">
        <v>35.96</v>
      </c>
      <c r="AP1718" s="42"/>
      <c r="AQ1718" s="74"/>
      <c r="AR1718" s="77"/>
      <c r="AT1718" s="497">
        <v>30.74</v>
      </c>
      <c r="AV1718" s="42"/>
      <c r="AW1718" s="74"/>
      <c r="AX1718" s="77"/>
      <c r="BA1718" s="497">
        <v>42.08</v>
      </c>
      <c r="BB1718" s="42"/>
      <c r="BC1718" s="74"/>
      <c r="BD1718" s="77"/>
      <c r="BF1718">
        <v>51.980000000000004</v>
      </c>
      <c r="BH1718" s="42"/>
      <c r="BI1718" s="74"/>
      <c r="BJ1718" s="77"/>
      <c r="BL1718" s="497">
        <v>33.08</v>
      </c>
      <c r="BN1718" s="42"/>
      <c r="BO1718" s="74"/>
      <c r="BP1718" s="77"/>
      <c r="BR1718" s="497">
        <v>33.979999999999997</v>
      </c>
      <c r="BT1718" s="42"/>
    </row>
    <row r="1719" spans="1:72" x14ac:dyDescent="0.25">
      <c r="A1719" s="90">
        <v>38058</v>
      </c>
      <c r="B1719" s="20">
        <v>0.875</v>
      </c>
      <c r="D1719">
        <v>39.92</v>
      </c>
      <c r="E1719" t="str">
        <f t="shared" si="88"/>
        <v>WEEKDAY</v>
      </c>
      <c r="F1719" t="e">
        <f t="shared" si="89"/>
        <v>#N/A</v>
      </c>
      <c r="G1719" s="74">
        <v>32944</v>
      </c>
      <c r="H1719" s="77">
        <v>0.875</v>
      </c>
      <c r="J1719">
        <v>42.08</v>
      </c>
      <c r="M1719" s="74">
        <v>36597</v>
      </c>
      <c r="N1719" s="77">
        <v>0.875</v>
      </c>
      <c r="P1719">
        <v>33.799999999999997</v>
      </c>
      <c r="S1719" s="74">
        <v>38058</v>
      </c>
      <c r="T1719" s="77">
        <v>0.875</v>
      </c>
      <c r="V1719">
        <v>37.94</v>
      </c>
      <c r="X1719" s="42"/>
      <c r="AB1719">
        <v>40.700000000000003</v>
      </c>
      <c r="AC1719">
        <v>35.96</v>
      </c>
      <c r="AE1719" s="74"/>
      <c r="AF1719" s="77"/>
      <c r="AH1719" s="497">
        <v>33.799999999999997</v>
      </c>
      <c r="AJ1719" s="42"/>
      <c r="AK1719" s="74"/>
      <c r="AL1719" s="77"/>
      <c r="AN1719" s="497">
        <v>35.06</v>
      </c>
      <c r="AP1719" s="42"/>
      <c r="AQ1719" s="74"/>
      <c r="AR1719" s="77"/>
      <c r="AT1719" s="497">
        <v>29.3</v>
      </c>
      <c r="AV1719" s="42"/>
      <c r="AW1719" s="74"/>
      <c r="AX1719" s="77"/>
      <c r="BA1719" s="497">
        <v>41</v>
      </c>
      <c r="BB1719" s="42"/>
      <c r="BC1719" s="74"/>
      <c r="BD1719" s="77"/>
      <c r="BF1719">
        <v>50</v>
      </c>
      <c r="BH1719" s="42"/>
      <c r="BI1719" s="74"/>
      <c r="BJ1719" s="77"/>
      <c r="BL1719" s="497">
        <v>33.08</v>
      </c>
      <c r="BN1719" s="42"/>
      <c r="BO1719" s="74"/>
      <c r="BP1719" s="77"/>
      <c r="BR1719" s="497">
        <v>33.979999999999997</v>
      </c>
      <c r="BT1719" s="42"/>
    </row>
    <row r="1720" spans="1:72" x14ac:dyDescent="0.25">
      <c r="A1720" s="90">
        <v>38058</v>
      </c>
      <c r="B1720" s="20">
        <v>0.91666666666666663</v>
      </c>
      <c r="D1720">
        <v>39.92</v>
      </c>
      <c r="E1720" t="str">
        <f t="shared" si="88"/>
        <v>WEEKDAY</v>
      </c>
      <c r="F1720" t="e">
        <f t="shared" si="89"/>
        <v>#N/A</v>
      </c>
      <c r="G1720" s="74">
        <v>32944</v>
      </c>
      <c r="H1720" s="77">
        <v>0.91666666666666663</v>
      </c>
      <c r="J1720">
        <v>42.08</v>
      </c>
      <c r="M1720" s="74">
        <v>36597</v>
      </c>
      <c r="N1720" s="77">
        <v>0.91666666666666663</v>
      </c>
      <c r="P1720">
        <v>33.799999999999997</v>
      </c>
      <c r="S1720" s="74">
        <v>38058</v>
      </c>
      <c r="T1720" s="77">
        <v>0.91666666666666663</v>
      </c>
      <c r="V1720">
        <v>37.94</v>
      </c>
      <c r="X1720" s="42"/>
      <c r="AB1720">
        <v>40</v>
      </c>
      <c r="AC1720">
        <v>35.96</v>
      </c>
      <c r="AE1720" s="74"/>
      <c r="AF1720" s="77"/>
      <c r="AH1720" s="497">
        <v>33.799999999999997</v>
      </c>
      <c r="AJ1720" s="42"/>
      <c r="AK1720" s="74"/>
      <c r="AL1720" s="77"/>
      <c r="AN1720" s="497">
        <v>33.979999999999997</v>
      </c>
      <c r="AP1720" s="42"/>
      <c r="AQ1720" s="74"/>
      <c r="AR1720" s="77"/>
      <c r="AT1720" s="497">
        <v>28.04</v>
      </c>
      <c r="AV1720" s="42"/>
      <c r="AW1720" s="74"/>
      <c r="AX1720" s="77"/>
      <c r="BA1720" s="497">
        <v>39.92</v>
      </c>
      <c r="BB1720" s="42"/>
      <c r="BC1720" s="74"/>
      <c r="BD1720" s="77"/>
      <c r="BF1720">
        <v>51.08</v>
      </c>
      <c r="BH1720" s="42"/>
      <c r="BI1720" s="74"/>
      <c r="BJ1720" s="77"/>
      <c r="BL1720" s="497">
        <v>33.08</v>
      </c>
      <c r="BN1720" s="42"/>
      <c r="BO1720" s="74"/>
      <c r="BP1720" s="77"/>
      <c r="BR1720" s="497">
        <v>35.06</v>
      </c>
      <c r="BT1720" s="42"/>
    </row>
    <row r="1721" spans="1:72" x14ac:dyDescent="0.25">
      <c r="A1721" s="90">
        <v>38058</v>
      </c>
      <c r="B1721" s="20">
        <v>0.95833333333333337</v>
      </c>
      <c r="D1721">
        <v>39.019999999999996</v>
      </c>
      <c r="E1721" t="str">
        <f t="shared" si="88"/>
        <v>WEEKDAY</v>
      </c>
      <c r="F1721" t="e">
        <f t="shared" si="89"/>
        <v>#N/A</v>
      </c>
      <c r="G1721" s="74">
        <v>32944</v>
      </c>
      <c r="H1721" s="77">
        <v>0.95833333333333337</v>
      </c>
      <c r="J1721">
        <v>42.08</v>
      </c>
      <c r="M1721" s="74">
        <v>36597</v>
      </c>
      <c r="N1721" s="77">
        <v>0.95833333333333337</v>
      </c>
      <c r="P1721">
        <v>33.799999999999997</v>
      </c>
      <c r="S1721" s="74">
        <v>38058</v>
      </c>
      <c r="T1721" s="77">
        <v>0.95833333333333337</v>
      </c>
      <c r="V1721">
        <v>37.04</v>
      </c>
      <c r="X1721" s="42"/>
      <c r="AB1721">
        <v>39.5</v>
      </c>
      <c r="AC1721">
        <v>35.06</v>
      </c>
      <c r="AE1721" s="74"/>
      <c r="AF1721" s="77"/>
      <c r="AH1721" s="497">
        <v>33.799999999999997</v>
      </c>
      <c r="AJ1721" s="42"/>
      <c r="AK1721" s="74"/>
      <c r="AL1721" s="77"/>
      <c r="AN1721" s="497">
        <v>33.08</v>
      </c>
      <c r="AP1721" s="42"/>
      <c r="AQ1721" s="74"/>
      <c r="AR1721" s="77"/>
      <c r="AT1721" s="497">
        <v>28.759999999999998</v>
      </c>
      <c r="AV1721" s="42"/>
      <c r="AW1721" s="74"/>
      <c r="AX1721" s="77"/>
      <c r="BA1721" s="497">
        <v>39.019999999999996</v>
      </c>
      <c r="BB1721" s="42"/>
      <c r="BC1721" s="74"/>
      <c r="BD1721" s="77"/>
      <c r="BF1721">
        <v>53.06</v>
      </c>
      <c r="BH1721" s="42"/>
      <c r="BI1721" s="74"/>
      <c r="BJ1721" s="77"/>
      <c r="BL1721" s="497">
        <v>33.979999999999997</v>
      </c>
      <c r="BN1721" s="42"/>
      <c r="BO1721" s="74"/>
      <c r="BP1721" s="77"/>
      <c r="BR1721" s="497">
        <v>35.96</v>
      </c>
      <c r="BT1721" s="42"/>
    </row>
    <row r="1722" spans="1:72" x14ac:dyDescent="0.25">
      <c r="A1722" s="90">
        <v>38058</v>
      </c>
      <c r="B1722" s="20">
        <v>1</v>
      </c>
      <c r="D1722">
        <v>39.019999999999996</v>
      </c>
      <c r="E1722" t="str">
        <f t="shared" si="88"/>
        <v>WEEKDAY</v>
      </c>
      <c r="F1722" t="e">
        <f t="shared" si="89"/>
        <v>#N/A</v>
      </c>
      <c r="G1722" s="74">
        <v>32944</v>
      </c>
      <c r="H1722" s="77">
        <v>1</v>
      </c>
      <c r="J1722">
        <v>42.08</v>
      </c>
      <c r="M1722" s="74">
        <v>36597</v>
      </c>
      <c r="N1722" s="80">
        <v>1</v>
      </c>
      <c r="P1722">
        <v>33.799999999999997</v>
      </c>
      <c r="S1722" s="74">
        <v>38058</v>
      </c>
      <c r="T1722" s="80">
        <v>1</v>
      </c>
      <c r="V1722">
        <v>35.06</v>
      </c>
      <c r="X1722" s="42"/>
      <c r="AB1722">
        <v>38.799999999999997</v>
      </c>
      <c r="AC1722">
        <v>33.979999999999997</v>
      </c>
      <c r="AE1722" s="74"/>
      <c r="AF1722" s="80"/>
      <c r="AH1722" s="497">
        <v>28.4</v>
      </c>
      <c r="AJ1722" s="42"/>
      <c r="AK1722" s="74"/>
      <c r="AL1722" s="80"/>
      <c r="AN1722" s="497">
        <v>33.08</v>
      </c>
      <c r="AP1722" s="42"/>
      <c r="AQ1722" s="74"/>
      <c r="AR1722" s="80"/>
      <c r="AT1722" s="497">
        <v>29.3</v>
      </c>
      <c r="AV1722" s="42"/>
      <c r="AW1722" s="74"/>
      <c r="AX1722" s="80"/>
      <c r="BA1722" s="497">
        <v>37.94</v>
      </c>
      <c r="BB1722" s="42"/>
      <c r="BC1722" s="74"/>
      <c r="BD1722" s="80"/>
      <c r="BF1722">
        <v>51.08</v>
      </c>
      <c r="BH1722" s="42"/>
      <c r="BI1722" s="74"/>
      <c r="BJ1722" s="80"/>
      <c r="BL1722" s="497">
        <v>35.06</v>
      </c>
      <c r="BN1722" s="42"/>
      <c r="BO1722" s="74"/>
      <c r="BP1722" s="80"/>
      <c r="BR1722" s="497">
        <v>37.04</v>
      </c>
      <c r="BT1722" s="42"/>
    </row>
    <row r="1723" spans="1:72" x14ac:dyDescent="0.25">
      <c r="A1723" s="90">
        <v>38059</v>
      </c>
      <c r="B1723" s="20">
        <v>4.1666666666666664E-2</v>
      </c>
      <c r="D1723">
        <v>39.019999999999996</v>
      </c>
      <c r="E1723" t="str">
        <f t="shared" si="88"/>
        <v>SATURDAY</v>
      </c>
      <c r="F1723" t="e">
        <f t="shared" si="89"/>
        <v>#N/A</v>
      </c>
      <c r="G1723" s="74">
        <v>32945</v>
      </c>
      <c r="H1723" s="77">
        <v>4.1666666666666664E-2</v>
      </c>
      <c r="J1723">
        <v>41</v>
      </c>
      <c r="M1723" s="74">
        <v>36598</v>
      </c>
      <c r="N1723" s="77">
        <v>4.1666666666666664E-2</v>
      </c>
      <c r="P1723">
        <v>33.799999999999997</v>
      </c>
      <c r="S1723" s="74">
        <v>38059</v>
      </c>
      <c r="T1723" s="77">
        <v>4.1666666666666664E-2</v>
      </c>
      <c r="V1723">
        <v>33.979999999999997</v>
      </c>
      <c r="X1723" s="42"/>
      <c r="AB1723">
        <v>38.200000000000003</v>
      </c>
      <c r="AC1723">
        <v>33.08</v>
      </c>
      <c r="AE1723" s="74"/>
      <c r="AF1723" s="77"/>
      <c r="AH1723" s="497">
        <v>30.2</v>
      </c>
      <c r="AJ1723" s="42"/>
      <c r="AK1723" s="74"/>
      <c r="AL1723" s="77"/>
      <c r="AN1723" s="497">
        <v>30.92</v>
      </c>
      <c r="AP1723" s="42"/>
      <c r="AQ1723" s="74"/>
      <c r="AR1723" s="77"/>
      <c r="AT1723" s="497">
        <v>30.02</v>
      </c>
      <c r="AV1723" s="42"/>
      <c r="AW1723" s="74"/>
      <c r="AX1723" s="77"/>
      <c r="BA1723" s="497">
        <v>37.94</v>
      </c>
      <c r="BB1723" s="42"/>
      <c r="BC1723" s="74"/>
      <c r="BD1723" s="77"/>
      <c r="BF1723">
        <v>57.019999999999996</v>
      </c>
      <c r="BH1723" s="42"/>
      <c r="BI1723" s="74"/>
      <c r="BJ1723" s="77"/>
      <c r="BL1723" s="497">
        <v>35.06</v>
      </c>
      <c r="BN1723" s="42"/>
      <c r="BO1723" s="74"/>
      <c r="BP1723" s="77"/>
      <c r="BR1723" s="497">
        <v>37.04</v>
      </c>
      <c r="BT1723" s="42"/>
    </row>
    <row r="1724" spans="1:72" x14ac:dyDescent="0.25">
      <c r="A1724" s="90">
        <v>38059</v>
      </c>
      <c r="B1724" s="20">
        <v>8.3333333333333329E-2</v>
      </c>
      <c r="D1724">
        <v>37.94</v>
      </c>
      <c r="E1724" t="str">
        <f t="shared" si="88"/>
        <v>SATURDAY</v>
      </c>
      <c r="F1724" t="e">
        <f t="shared" si="89"/>
        <v>#N/A</v>
      </c>
      <c r="G1724" s="74">
        <v>32945</v>
      </c>
      <c r="H1724" s="77">
        <v>8.3333333333333329E-2</v>
      </c>
      <c r="J1724">
        <v>39.92</v>
      </c>
      <c r="M1724" s="74">
        <v>36598</v>
      </c>
      <c r="N1724" s="77">
        <v>8.3333333333333329E-2</v>
      </c>
      <c r="P1724">
        <v>32</v>
      </c>
      <c r="S1724" s="74">
        <v>38059</v>
      </c>
      <c r="T1724" s="77">
        <v>8.3333333333333329E-2</v>
      </c>
      <c r="V1724">
        <v>33.08</v>
      </c>
      <c r="X1724" s="42"/>
      <c r="AB1724">
        <v>37.6</v>
      </c>
      <c r="AC1724">
        <v>30.92</v>
      </c>
      <c r="AE1724" s="74"/>
      <c r="AF1724" s="77"/>
      <c r="AH1724" s="497">
        <v>28.4</v>
      </c>
      <c r="AJ1724" s="42"/>
      <c r="AK1724" s="74"/>
      <c r="AL1724" s="77"/>
      <c r="AN1724" s="497">
        <v>30.92</v>
      </c>
      <c r="AP1724" s="42"/>
      <c r="AQ1724" s="74"/>
      <c r="AR1724" s="77"/>
      <c r="AT1724" s="497">
        <v>31.28</v>
      </c>
      <c r="AV1724" s="42"/>
      <c r="AW1724" s="74"/>
      <c r="AX1724" s="77"/>
      <c r="BA1724" s="497">
        <v>37.94</v>
      </c>
      <c r="BB1724" s="42"/>
      <c r="BC1724" s="74"/>
      <c r="BD1724" s="77"/>
      <c r="BF1724">
        <v>53.96</v>
      </c>
      <c r="BH1724" s="42"/>
      <c r="BI1724" s="74"/>
      <c r="BJ1724" s="77"/>
      <c r="BL1724" s="497">
        <v>35.06</v>
      </c>
      <c r="BN1724" s="42"/>
      <c r="BO1724" s="74"/>
      <c r="BP1724" s="77"/>
      <c r="BR1724" s="497">
        <v>37.94</v>
      </c>
      <c r="BT1724" s="42"/>
    </row>
    <row r="1725" spans="1:72" x14ac:dyDescent="0.25">
      <c r="A1725" s="90">
        <v>38059</v>
      </c>
      <c r="B1725" s="20">
        <v>0.125</v>
      </c>
      <c r="D1725">
        <v>37.94</v>
      </c>
      <c r="E1725" t="str">
        <f t="shared" si="88"/>
        <v>SATURDAY</v>
      </c>
      <c r="F1725" t="e">
        <f t="shared" si="89"/>
        <v>#N/A</v>
      </c>
      <c r="G1725" s="74">
        <v>32945</v>
      </c>
      <c r="H1725" s="77">
        <v>0.125</v>
      </c>
      <c r="J1725">
        <v>39.92</v>
      </c>
      <c r="M1725" s="74">
        <v>36598</v>
      </c>
      <c r="N1725" s="77">
        <v>0.125</v>
      </c>
      <c r="P1725">
        <v>32</v>
      </c>
      <c r="S1725" s="74">
        <v>38059</v>
      </c>
      <c r="T1725" s="77">
        <v>0.125</v>
      </c>
      <c r="V1725">
        <v>33.08</v>
      </c>
      <c r="X1725" s="42"/>
      <c r="AB1725">
        <v>37</v>
      </c>
      <c r="AC1725">
        <v>30.02</v>
      </c>
      <c r="AE1725" s="74"/>
      <c r="AF1725" s="77"/>
      <c r="AH1725" s="497">
        <v>24.8</v>
      </c>
      <c r="AJ1725" s="42"/>
      <c r="AK1725" s="74"/>
      <c r="AL1725" s="77"/>
      <c r="AN1725" s="497">
        <v>30.02</v>
      </c>
      <c r="AP1725" s="42"/>
      <c r="AQ1725" s="74"/>
      <c r="AR1725" s="77"/>
      <c r="AT1725" s="497">
        <v>32.72</v>
      </c>
      <c r="AV1725" s="42"/>
      <c r="AW1725" s="74"/>
      <c r="AX1725" s="77"/>
      <c r="BA1725" s="497">
        <v>37.04</v>
      </c>
      <c r="BB1725" s="42"/>
      <c r="BC1725" s="74"/>
      <c r="BD1725" s="77"/>
      <c r="BF1725">
        <v>53.96</v>
      </c>
      <c r="BH1725" s="42"/>
      <c r="BI1725" s="74"/>
      <c r="BJ1725" s="77"/>
      <c r="BL1725" s="497">
        <v>35.96</v>
      </c>
      <c r="BN1725" s="42"/>
      <c r="BO1725" s="74"/>
      <c r="BP1725" s="77"/>
      <c r="BR1725" s="497">
        <v>37.94</v>
      </c>
      <c r="BT1725" s="42"/>
    </row>
    <row r="1726" spans="1:72" x14ac:dyDescent="0.25">
      <c r="A1726" s="90">
        <v>38059</v>
      </c>
      <c r="B1726" s="20">
        <v>0.16666666666666666</v>
      </c>
      <c r="D1726">
        <v>37.94</v>
      </c>
      <c r="E1726" t="str">
        <f t="shared" si="88"/>
        <v>SATURDAY</v>
      </c>
      <c r="F1726" t="e">
        <f t="shared" si="89"/>
        <v>#N/A</v>
      </c>
      <c r="G1726" s="74">
        <v>32945</v>
      </c>
      <c r="H1726" s="77">
        <v>0.16666666666666666</v>
      </c>
      <c r="J1726">
        <v>39.92</v>
      </c>
      <c r="M1726" s="74">
        <v>36598</v>
      </c>
      <c r="N1726" s="77">
        <v>0.16666666666666666</v>
      </c>
      <c r="P1726">
        <v>32</v>
      </c>
      <c r="S1726" s="74">
        <v>38059</v>
      </c>
      <c r="T1726" s="77">
        <v>0.16666666666666666</v>
      </c>
      <c r="V1726">
        <v>32</v>
      </c>
      <c r="X1726" s="42"/>
      <c r="AB1726">
        <v>36.5</v>
      </c>
      <c r="AC1726">
        <v>30.02</v>
      </c>
      <c r="AE1726" s="74"/>
      <c r="AF1726" s="77"/>
      <c r="AH1726" s="497">
        <v>24.8</v>
      </c>
      <c r="AJ1726" s="42"/>
      <c r="AK1726" s="74"/>
      <c r="AL1726" s="77"/>
      <c r="AN1726" s="497">
        <v>30.02</v>
      </c>
      <c r="AP1726" s="42"/>
      <c r="AQ1726" s="74"/>
      <c r="AR1726" s="77"/>
      <c r="AT1726" s="497">
        <v>33.979999999999997</v>
      </c>
      <c r="AV1726" s="42"/>
      <c r="AW1726" s="74"/>
      <c r="AX1726" s="77"/>
      <c r="BA1726" s="497">
        <v>39.019999999999996</v>
      </c>
      <c r="BB1726" s="42"/>
      <c r="BC1726" s="74"/>
      <c r="BD1726" s="77"/>
      <c r="BF1726">
        <v>51.980000000000004</v>
      </c>
      <c r="BH1726" s="42"/>
      <c r="BI1726" s="74"/>
      <c r="BJ1726" s="77"/>
      <c r="BL1726" s="497">
        <v>35.06</v>
      </c>
      <c r="BN1726" s="42"/>
      <c r="BO1726" s="74"/>
      <c r="BP1726" s="77"/>
      <c r="BR1726" s="497">
        <v>37.04</v>
      </c>
      <c r="BT1726" s="42"/>
    </row>
    <row r="1727" spans="1:72" x14ac:dyDescent="0.25">
      <c r="A1727" s="90">
        <v>38059</v>
      </c>
      <c r="B1727" s="20">
        <v>0.20833333333333334</v>
      </c>
      <c r="D1727">
        <v>37.94</v>
      </c>
      <c r="E1727" t="str">
        <f t="shared" si="88"/>
        <v>SATURDAY</v>
      </c>
      <c r="F1727" t="e">
        <f t="shared" si="89"/>
        <v>#N/A</v>
      </c>
      <c r="G1727" s="74">
        <v>32945</v>
      </c>
      <c r="H1727" s="77">
        <v>0.20833333333333334</v>
      </c>
      <c r="J1727">
        <v>39.92</v>
      </c>
      <c r="M1727" s="74">
        <v>36598</v>
      </c>
      <c r="N1727" s="77">
        <v>0.20833333333333334</v>
      </c>
      <c r="P1727">
        <v>30.2</v>
      </c>
      <c r="S1727" s="74">
        <v>38059</v>
      </c>
      <c r="T1727" s="77">
        <v>0.20833333333333334</v>
      </c>
      <c r="V1727">
        <v>30.92</v>
      </c>
      <c r="X1727" s="42"/>
      <c r="AB1727">
        <v>36.1</v>
      </c>
      <c r="AC1727">
        <v>28.94</v>
      </c>
      <c r="AE1727" s="74"/>
      <c r="AF1727" s="77"/>
      <c r="AH1727" s="497">
        <v>24.8</v>
      </c>
      <c r="AJ1727" s="42"/>
      <c r="AK1727" s="74"/>
      <c r="AL1727" s="77"/>
      <c r="AN1727" s="497">
        <v>32</v>
      </c>
      <c r="AP1727" s="42"/>
      <c r="AQ1727" s="74"/>
      <c r="AR1727" s="77"/>
      <c r="AT1727" s="497">
        <v>35.6</v>
      </c>
      <c r="AV1727" s="42"/>
      <c r="AW1727" s="74"/>
      <c r="AX1727" s="77"/>
      <c r="BA1727" s="497">
        <v>39.019999999999996</v>
      </c>
      <c r="BB1727" s="42"/>
      <c r="BC1727" s="74"/>
      <c r="BD1727" s="77"/>
      <c r="BF1727">
        <v>48.019999999999996</v>
      </c>
      <c r="BH1727" s="42"/>
      <c r="BI1727" s="74"/>
      <c r="BJ1727" s="77"/>
      <c r="BL1727" s="497">
        <v>35.96</v>
      </c>
      <c r="BN1727" s="42"/>
      <c r="BO1727" s="74"/>
      <c r="BP1727" s="77"/>
      <c r="BR1727" s="497">
        <v>37.04</v>
      </c>
      <c r="BT1727" s="42"/>
    </row>
    <row r="1728" spans="1:72" x14ac:dyDescent="0.25">
      <c r="A1728" s="90">
        <v>38059</v>
      </c>
      <c r="B1728" s="20">
        <v>0.25</v>
      </c>
      <c r="D1728">
        <v>39.019999999999996</v>
      </c>
      <c r="E1728" t="str">
        <f t="shared" si="88"/>
        <v>SATURDAY</v>
      </c>
      <c r="F1728" t="e">
        <f t="shared" si="89"/>
        <v>#N/A</v>
      </c>
      <c r="G1728" s="74">
        <v>32945</v>
      </c>
      <c r="H1728" s="77">
        <v>0.25</v>
      </c>
      <c r="J1728">
        <v>41</v>
      </c>
      <c r="M1728" s="74">
        <v>36598</v>
      </c>
      <c r="N1728" s="77">
        <v>0.25</v>
      </c>
      <c r="P1728">
        <v>30.2</v>
      </c>
      <c r="S1728" s="74">
        <v>38059</v>
      </c>
      <c r="T1728" s="77">
        <v>0.25</v>
      </c>
      <c r="V1728">
        <v>30.92</v>
      </c>
      <c r="X1728" s="42"/>
      <c r="AB1728">
        <v>35.799999999999997</v>
      </c>
      <c r="AC1728">
        <v>26.96</v>
      </c>
      <c r="AE1728" s="74"/>
      <c r="AF1728" s="77"/>
      <c r="AH1728" s="497">
        <v>23.36</v>
      </c>
      <c r="AJ1728" s="42"/>
      <c r="AK1728" s="74"/>
      <c r="AL1728" s="77"/>
      <c r="AN1728" s="497">
        <v>32</v>
      </c>
      <c r="AP1728" s="42"/>
      <c r="AQ1728" s="74"/>
      <c r="AR1728" s="77"/>
      <c r="AT1728" s="497">
        <v>37.4</v>
      </c>
      <c r="AV1728" s="42"/>
      <c r="AW1728" s="74"/>
      <c r="AX1728" s="77"/>
      <c r="BA1728" s="497">
        <v>39.92</v>
      </c>
      <c r="BB1728" s="42"/>
      <c r="BC1728" s="74"/>
      <c r="BD1728" s="77"/>
      <c r="BF1728">
        <v>46.94</v>
      </c>
      <c r="BH1728" s="42"/>
      <c r="BI1728" s="74"/>
      <c r="BJ1728" s="77"/>
      <c r="BL1728" s="497">
        <v>35.06</v>
      </c>
      <c r="BN1728" s="42"/>
      <c r="BO1728" s="74"/>
      <c r="BP1728" s="77"/>
      <c r="BR1728" s="497">
        <v>37.04</v>
      </c>
      <c r="BT1728" s="42"/>
    </row>
    <row r="1729" spans="1:72" x14ac:dyDescent="0.25">
      <c r="A1729" s="90">
        <v>38059</v>
      </c>
      <c r="B1729" s="20">
        <v>0.29166666666666669</v>
      </c>
      <c r="D1729">
        <v>39.019999999999996</v>
      </c>
      <c r="E1729" t="str">
        <f t="shared" si="88"/>
        <v>SATURDAY</v>
      </c>
      <c r="F1729" t="e">
        <f t="shared" si="89"/>
        <v>#N/A</v>
      </c>
      <c r="G1729" s="74">
        <v>32945</v>
      </c>
      <c r="H1729" s="77">
        <v>0.29166666666666669</v>
      </c>
      <c r="J1729">
        <v>42.08</v>
      </c>
      <c r="M1729" s="74">
        <v>36598</v>
      </c>
      <c r="N1729" s="77">
        <v>0.29166666666666669</v>
      </c>
      <c r="P1729">
        <v>32</v>
      </c>
      <c r="S1729" s="74">
        <v>38059</v>
      </c>
      <c r="T1729" s="77">
        <v>0.29166666666666669</v>
      </c>
      <c r="V1729">
        <v>32</v>
      </c>
      <c r="X1729" s="42"/>
      <c r="AB1729">
        <v>35.6</v>
      </c>
      <c r="AC1729">
        <v>28.04</v>
      </c>
      <c r="AE1729" s="74"/>
      <c r="AF1729" s="77"/>
      <c r="AH1729" s="497">
        <v>23</v>
      </c>
      <c r="AJ1729" s="42"/>
      <c r="AK1729" s="74"/>
      <c r="AL1729" s="77"/>
      <c r="AN1729" s="497">
        <v>33.08</v>
      </c>
      <c r="AP1729" s="42"/>
      <c r="AQ1729" s="74"/>
      <c r="AR1729" s="77"/>
      <c r="AT1729" s="497">
        <v>39.019999999999996</v>
      </c>
      <c r="AV1729" s="42"/>
      <c r="AW1729" s="74"/>
      <c r="AX1729" s="77"/>
      <c r="BA1729" s="497">
        <v>57.92</v>
      </c>
      <c r="BB1729" s="42"/>
      <c r="BC1729" s="74"/>
      <c r="BD1729" s="77"/>
      <c r="BF1729">
        <v>44.06</v>
      </c>
      <c r="BH1729" s="42"/>
      <c r="BI1729" s="74"/>
      <c r="BJ1729" s="77"/>
      <c r="BL1729" s="497">
        <v>35.06</v>
      </c>
      <c r="BN1729" s="42"/>
      <c r="BO1729" s="74"/>
      <c r="BP1729" s="77"/>
      <c r="BR1729" s="497">
        <v>37.04</v>
      </c>
      <c r="BT1729" s="42"/>
    </row>
    <row r="1730" spans="1:72" x14ac:dyDescent="0.25">
      <c r="A1730" s="90">
        <v>38059</v>
      </c>
      <c r="B1730" s="20">
        <v>0.33333333333333331</v>
      </c>
      <c r="D1730">
        <v>41</v>
      </c>
      <c r="E1730" t="str">
        <f t="shared" si="88"/>
        <v>SATURDAY</v>
      </c>
      <c r="F1730" t="e">
        <f t="shared" si="89"/>
        <v>#N/A</v>
      </c>
      <c r="G1730" s="74">
        <v>32945</v>
      </c>
      <c r="H1730" s="77">
        <v>0.33333333333333331</v>
      </c>
      <c r="J1730">
        <v>51.08</v>
      </c>
      <c r="M1730" s="74">
        <v>36598</v>
      </c>
      <c r="N1730" s="77">
        <v>0.33333333333333331</v>
      </c>
      <c r="P1730">
        <v>33.799999999999997</v>
      </c>
      <c r="S1730" s="74">
        <v>38059</v>
      </c>
      <c r="T1730" s="77">
        <v>0.33333333333333331</v>
      </c>
      <c r="V1730">
        <v>32</v>
      </c>
      <c r="X1730" s="42"/>
      <c r="AB1730">
        <v>36.200000000000003</v>
      </c>
      <c r="AC1730">
        <v>33.979999999999997</v>
      </c>
      <c r="AE1730" s="74"/>
      <c r="AF1730" s="77"/>
      <c r="AH1730" s="497">
        <v>30.2</v>
      </c>
      <c r="AJ1730" s="42"/>
      <c r="AK1730" s="74"/>
      <c r="AL1730" s="77"/>
      <c r="AN1730" s="497">
        <v>35.06</v>
      </c>
      <c r="AP1730" s="42"/>
      <c r="AQ1730" s="74"/>
      <c r="AR1730" s="77"/>
      <c r="AT1730" s="497">
        <v>42.620000000000005</v>
      </c>
      <c r="AV1730" s="42"/>
      <c r="AW1730" s="74"/>
      <c r="AX1730" s="77"/>
      <c r="BA1730" s="497">
        <v>62.06</v>
      </c>
      <c r="BB1730" s="42"/>
      <c r="BC1730" s="74"/>
      <c r="BD1730" s="77"/>
      <c r="BF1730">
        <v>44.06</v>
      </c>
      <c r="BH1730" s="42"/>
      <c r="BI1730" s="74"/>
      <c r="BJ1730" s="77"/>
      <c r="BL1730" s="497">
        <v>35.96</v>
      </c>
      <c r="BN1730" s="42"/>
      <c r="BO1730" s="74"/>
      <c r="BP1730" s="77"/>
      <c r="BR1730" s="497">
        <v>37.94</v>
      </c>
      <c r="BT1730" s="42"/>
    </row>
    <row r="1731" spans="1:72" x14ac:dyDescent="0.25">
      <c r="A1731" s="90">
        <v>38059</v>
      </c>
      <c r="B1731" s="20">
        <v>0.375</v>
      </c>
      <c r="D1731">
        <v>44.96</v>
      </c>
      <c r="E1731" t="str">
        <f t="shared" si="88"/>
        <v>SATURDAY</v>
      </c>
      <c r="F1731" t="e">
        <f t="shared" si="89"/>
        <v>#N/A</v>
      </c>
      <c r="G1731" s="74">
        <v>32945</v>
      </c>
      <c r="H1731" s="77">
        <v>0.375</v>
      </c>
      <c r="J1731">
        <v>57.019999999999996</v>
      </c>
      <c r="M1731" s="74">
        <v>36598</v>
      </c>
      <c r="N1731" s="77">
        <v>0.375</v>
      </c>
      <c r="P1731">
        <v>35.6</v>
      </c>
      <c r="S1731" s="74">
        <v>38059</v>
      </c>
      <c r="T1731" s="77">
        <v>0.375</v>
      </c>
      <c r="V1731">
        <v>33.08</v>
      </c>
      <c r="X1731" s="42"/>
      <c r="AB1731">
        <v>38.1</v>
      </c>
      <c r="AC1731">
        <v>35.96</v>
      </c>
      <c r="AE1731" s="74"/>
      <c r="AF1731" s="77"/>
      <c r="AH1731" s="497">
        <v>35.6</v>
      </c>
      <c r="AJ1731" s="42"/>
      <c r="AK1731" s="74"/>
      <c r="AL1731" s="77"/>
      <c r="AN1731" s="497">
        <v>35.96</v>
      </c>
      <c r="AP1731" s="42"/>
      <c r="AQ1731" s="74"/>
      <c r="AR1731" s="77"/>
      <c r="AT1731" s="497">
        <v>46.4</v>
      </c>
      <c r="AV1731" s="42"/>
      <c r="AW1731" s="74"/>
      <c r="AX1731" s="77"/>
      <c r="BA1731" s="497">
        <v>64.039999999999992</v>
      </c>
      <c r="BB1731" s="42"/>
      <c r="BC1731" s="74"/>
      <c r="BD1731" s="77"/>
      <c r="BF1731">
        <v>42.980000000000004</v>
      </c>
      <c r="BH1731" s="42"/>
      <c r="BI1731" s="74"/>
      <c r="BJ1731" s="77"/>
      <c r="BL1731" s="497">
        <v>35.96</v>
      </c>
      <c r="BN1731" s="42"/>
      <c r="BO1731" s="74"/>
      <c r="BP1731" s="77"/>
      <c r="BR1731" s="497">
        <v>35.96</v>
      </c>
      <c r="BT1731" s="42"/>
    </row>
    <row r="1732" spans="1:72" x14ac:dyDescent="0.25">
      <c r="A1732" s="90">
        <v>38059</v>
      </c>
      <c r="B1732" s="20">
        <v>0.41666666666666669</v>
      </c>
      <c r="D1732">
        <v>48.019999999999996</v>
      </c>
      <c r="E1732" t="str">
        <f t="shared" si="88"/>
        <v>SATURDAY</v>
      </c>
      <c r="F1732" t="e">
        <f t="shared" si="89"/>
        <v>#N/A</v>
      </c>
      <c r="G1732" s="74">
        <v>32945</v>
      </c>
      <c r="H1732" s="77">
        <v>0.41666666666666669</v>
      </c>
      <c r="J1732">
        <v>66.92</v>
      </c>
      <c r="M1732" s="74">
        <v>36598</v>
      </c>
      <c r="N1732" s="77">
        <v>0.41666666666666669</v>
      </c>
      <c r="P1732">
        <v>37.4</v>
      </c>
      <c r="S1732" s="74">
        <v>38059</v>
      </c>
      <c r="T1732" s="77">
        <v>0.41666666666666669</v>
      </c>
      <c r="V1732">
        <v>35.96</v>
      </c>
      <c r="X1732" s="42"/>
      <c r="AB1732">
        <v>39.9</v>
      </c>
      <c r="AC1732">
        <v>37.04</v>
      </c>
      <c r="AE1732" s="74"/>
      <c r="AF1732" s="77"/>
      <c r="AH1732" s="497">
        <v>37.4</v>
      </c>
      <c r="AJ1732" s="42"/>
      <c r="AK1732" s="74"/>
      <c r="AL1732" s="77"/>
      <c r="AN1732" s="497">
        <v>37.04</v>
      </c>
      <c r="AP1732" s="42"/>
      <c r="AQ1732" s="74"/>
      <c r="AR1732" s="77"/>
      <c r="AT1732" s="497">
        <v>50</v>
      </c>
      <c r="AV1732" s="42"/>
      <c r="AW1732" s="74"/>
      <c r="AX1732" s="77"/>
      <c r="BA1732" s="497">
        <v>66.92</v>
      </c>
      <c r="BB1732" s="42"/>
      <c r="BC1732" s="74"/>
      <c r="BD1732" s="77"/>
      <c r="BF1732">
        <v>44.96</v>
      </c>
      <c r="BH1732" s="42"/>
      <c r="BI1732" s="74"/>
      <c r="BJ1732" s="77"/>
      <c r="BL1732" s="497">
        <v>37.94</v>
      </c>
      <c r="BN1732" s="42"/>
      <c r="BO1732" s="74"/>
      <c r="BP1732" s="77"/>
      <c r="BR1732" s="497">
        <v>39.019999999999996</v>
      </c>
      <c r="BT1732" s="42"/>
    </row>
    <row r="1733" spans="1:72" x14ac:dyDescent="0.25">
      <c r="A1733" s="90">
        <v>38059</v>
      </c>
      <c r="B1733" s="20">
        <v>0.45833333333333331</v>
      </c>
      <c r="D1733">
        <v>53.96</v>
      </c>
      <c r="E1733" t="str">
        <f t="shared" si="88"/>
        <v>SATURDAY</v>
      </c>
      <c r="F1733" t="e">
        <f t="shared" si="89"/>
        <v>#N/A</v>
      </c>
      <c r="G1733" s="74">
        <v>32945</v>
      </c>
      <c r="H1733" s="77">
        <v>0.45833333333333331</v>
      </c>
      <c r="J1733">
        <v>75.02</v>
      </c>
      <c r="M1733" s="74">
        <v>36598</v>
      </c>
      <c r="N1733" s="77">
        <v>0.45833333333333331</v>
      </c>
      <c r="P1733">
        <v>39.200000000000003</v>
      </c>
      <c r="S1733" s="74">
        <v>38059</v>
      </c>
      <c r="T1733" s="77">
        <v>0.45833333333333331</v>
      </c>
      <c r="V1733">
        <v>37.94</v>
      </c>
      <c r="X1733" s="42"/>
      <c r="AB1733">
        <v>41.6</v>
      </c>
      <c r="AC1733">
        <v>39.92</v>
      </c>
      <c r="AE1733" s="74"/>
      <c r="AF1733" s="77"/>
      <c r="AH1733" s="497">
        <v>37.4</v>
      </c>
      <c r="AJ1733" s="42"/>
      <c r="AK1733" s="74"/>
      <c r="AL1733" s="77"/>
      <c r="AN1733" s="497">
        <v>37.04</v>
      </c>
      <c r="AP1733" s="42"/>
      <c r="AQ1733" s="74"/>
      <c r="AR1733" s="77"/>
      <c r="AT1733" s="497">
        <v>48.92</v>
      </c>
      <c r="AV1733" s="42"/>
      <c r="AW1733" s="74"/>
      <c r="AX1733" s="77"/>
      <c r="BA1733" s="497">
        <v>68</v>
      </c>
      <c r="BB1733" s="42"/>
      <c r="BC1733" s="74"/>
      <c r="BD1733" s="77"/>
      <c r="BF1733">
        <v>46.04</v>
      </c>
      <c r="BH1733" s="42"/>
      <c r="BI1733" s="74"/>
      <c r="BJ1733" s="77"/>
      <c r="BL1733" s="497">
        <v>39.92</v>
      </c>
      <c r="BN1733" s="42"/>
      <c r="BO1733" s="74"/>
      <c r="BP1733" s="77"/>
      <c r="BR1733" s="497">
        <v>39.92</v>
      </c>
      <c r="BT1733" s="42"/>
    </row>
    <row r="1734" spans="1:72" x14ac:dyDescent="0.25">
      <c r="A1734" s="90">
        <v>38059</v>
      </c>
      <c r="B1734" s="20">
        <v>0.5</v>
      </c>
      <c r="D1734">
        <v>60.08</v>
      </c>
      <c r="E1734" t="str">
        <f t="shared" si="88"/>
        <v>SATURDAY</v>
      </c>
      <c r="F1734" t="e">
        <f t="shared" si="89"/>
        <v>#N/A</v>
      </c>
      <c r="G1734" s="74">
        <v>32945</v>
      </c>
      <c r="H1734" s="77">
        <v>0.5</v>
      </c>
      <c r="J1734">
        <v>77</v>
      </c>
      <c r="M1734" s="74">
        <v>36598</v>
      </c>
      <c r="N1734" s="77">
        <v>0.5</v>
      </c>
      <c r="P1734">
        <v>39.200000000000003</v>
      </c>
      <c r="S1734" s="74">
        <v>38059</v>
      </c>
      <c r="T1734" s="77">
        <v>0.5</v>
      </c>
      <c r="V1734">
        <v>39.92</v>
      </c>
      <c r="X1734" s="42"/>
      <c r="AB1734">
        <v>43</v>
      </c>
      <c r="AC1734">
        <v>42.08</v>
      </c>
      <c r="AE1734" s="74"/>
      <c r="AF1734" s="77"/>
      <c r="AH1734" s="497">
        <v>39.200000000000003</v>
      </c>
      <c r="AJ1734" s="42"/>
      <c r="AK1734" s="74"/>
      <c r="AL1734" s="77"/>
      <c r="AN1734" s="497">
        <v>39.019999999999996</v>
      </c>
      <c r="AP1734" s="42"/>
      <c r="AQ1734" s="74"/>
      <c r="AR1734" s="77"/>
      <c r="AT1734" s="497">
        <v>48.019999999999996</v>
      </c>
      <c r="AV1734" s="42"/>
      <c r="AW1734" s="74"/>
      <c r="AX1734" s="77"/>
      <c r="BA1734" s="497">
        <v>69.98</v>
      </c>
      <c r="BB1734" s="42"/>
      <c r="BC1734" s="74"/>
      <c r="BD1734" s="77"/>
      <c r="BF1734">
        <v>46.04</v>
      </c>
      <c r="BH1734" s="42"/>
      <c r="BI1734" s="74"/>
      <c r="BJ1734" s="77"/>
      <c r="BL1734" s="497">
        <v>44.96</v>
      </c>
      <c r="BN1734" s="42"/>
      <c r="BO1734" s="74"/>
      <c r="BP1734" s="77"/>
      <c r="BR1734" s="497">
        <v>39.92</v>
      </c>
      <c r="BT1734" s="42"/>
    </row>
    <row r="1735" spans="1:72" x14ac:dyDescent="0.25">
      <c r="A1735" s="90">
        <v>38059</v>
      </c>
      <c r="B1735" s="20">
        <v>0.54166666666666663</v>
      </c>
      <c r="D1735">
        <v>62.96</v>
      </c>
      <c r="E1735" t="str">
        <f t="shared" si="88"/>
        <v>SATURDAY</v>
      </c>
      <c r="F1735" t="e">
        <f t="shared" si="89"/>
        <v>#N/A</v>
      </c>
      <c r="G1735" s="74">
        <v>32945</v>
      </c>
      <c r="H1735" s="77">
        <v>0.54166666666666663</v>
      </c>
      <c r="J1735">
        <v>78.98</v>
      </c>
      <c r="M1735" s="74">
        <v>36598</v>
      </c>
      <c r="N1735" s="77">
        <v>0.54166666666666663</v>
      </c>
      <c r="P1735">
        <v>41</v>
      </c>
      <c r="S1735" s="74">
        <v>38059</v>
      </c>
      <c r="T1735" s="77">
        <v>0.54166666666666663</v>
      </c>
      <c r="V1735">
        <v>42.08</v>
      </c>
      <c r="X1735" s="42"/>
      <c r="AB1735">
        <v>44.1</v>
      </c>
      <c r="AC1735">
        <v>42.08</v>
      </c>
      <c r="AE1735" s="74"/>
      <c r="AF1735" s="77"/>
      <c r="AH1735" s="497">
        <v>41</v>
      </c>
      <c r="AJ1735" s="42"/>
      <c r="AK1735" s="74"/>
      <c r="AL1735" s="77"/>
      <c r="AN1735" s="497">
        <v>39.92</v>
      </c>
      <c r="AP1735" s="42"/>
      <c r="AQ1735" s="74"/>
      <c r="AR1735" s="77"/>
      <c r="AT1735" s="497">
        <v>46.94</v>
      </c>
      <c r="AV1735" s="42"/>
      <c r="AW1735" s="74"/>
      <c r="AX1735" s="77"/>
      <c r="BA1735" s="497">
        <v>68</v>
      </c>
      <c r="BB1735" s="42"/>
      <c r="BC1735" s="74"/>
      <c r="BD1735" s="77"/>
      <c r="BF1735">
        <v>48.019999999999996</v>
      </c>
      <c r="BH1735" s="42"/>
      <c r="BI1735" s="74"/>
      <c r="BJ1735" s="77"/>
      <c r="BL1735" s="497">
        <v>48.019999999999996</v>
      </c>
      <c r="BN1735" s="42"/>
      <c r="BO1735" s="74"/>
      <c r="BP1735" s="77"/>
      <c r="BR1735" s="497">
        <v>42.08</v>
      </c>
      <c r="BT1735" s="42"/>
    </row>
    <row r="1736" spans="1:72" x14ac:dyDescent="0.25">
      <c r="A1736" s="90">
        <v>38059</v>
      </c>
      <c r="B1736" s="20">
        <v>0.58333333333333337</v>
      </c>
      <c r="D1736">
        <v>66.92</v>
      </c>
      <c r="E1736" t="str">
        <f t="shared" si="88"/>
        <v>SATURDAY</v>
      </c>
      <c r="F1736" t="e">
        <f t="shared" si="89"/>
        <v>#N/A</v>
      </c>
      <c r="G1736" s="74">
        <v>32945</v>
      </c>
      <c r="H1736" s="77">
        <v>0.58333333333333337</v>
      </c>
      <c r="J1736">
        <v>78.98</v>
      </c>
      <c r="M1736" s="74">
        <v>36598</v>
      </c>
      <c r="N1736" s="77">
        <v>0.58333333333333337</v>
      </c>
      <c r="P1736">
        <v>42.8</v>
      </c>
      <c r="S1736" s="74">
        <v>38059</v>
      </c>
      <c r="T1736" s="77">
        <v>0.58333333333333337</v>
      </c>
      <c r="V1736">
        <v>42.980000000000004</v>
      </c>
      <c r="X1736" s="42"/>
      <c r="AB1736">
        <v>44.9</v>
      </c>
      <c r="AC1736">
        <v>41</v>
      </c>
      <c r="AE1736" s="74"/>
      <c r="AF1736" s="77"/>
      <c r="AH1736" s="497">
        <v>42.8</v>
      </c>
      <c r="AJ1736" s="42"/>
      <c r="AK1736" s="74"/>
      <c r="AL1736" s="77"/>
      <c r="AN1736" s="497">
        <v>39.92</v>
      </c>
      <c r="AP1736" s="42"/>
      <c r="AQ1736" s="74"/>
      <c r="AR1736" s="77"/>
      <c r="AT1736" s="497">
        <v>44.6</v>
      </c>
      <c r="AV1736" s="42"/>
      <c r="AW1736" s="74"/>
      <c r="AX1736" s="77"/>
      <c r="BA1736" s="497">
        <v>68</v>
      </c>
      <c r="BB1736" s="42"/>
      <c r="BC1736" s="74"/>
      <c r="BD1736" s="77"/>
      <c r="BF1736">
        <v>50</v>
      </c>
      <c r="BH1736" s="42"/>
      <c r="BI1736" s="74"/>
      <c r="BJ1736" s="77"/>
      <c r="BL1736" s="497">
        <v>48.019999999999996</v>
      </c>
      <c r="BN1736" s="42"/>
      <c r="BO1736" s="74"/>
      <c r="BP1736" s="77"/>
      <c r="BR1736" s="497">
        <v>42.980000000000004</v>
      </c>
      <c r="BT1736" s="42"/>
    </row>
    <row r="1737" spans="1:72" x14ac:dyDescent="0.25">
      <c r="A1737" s="90">
        <v>38059</v>
      </c>
      <c r="B1737" s="20">
        <v>0.625</v>
      </c>
      <c r="D1737">
        <v>71.06</v>
      </c>
      <c r="E1737" t="str">
        <f t="shared" si="88"/>
        <v>SATURDAY</v>
      </c>
      <c r="F1737" t="e">
        <f t="shared" si="89"/>
        <v>#N/A</v>
      </c>
      <c r="G1737" s="74">
        <v>32945</v>
      </c>
      <c r="H1737" s="77">
        <v>0.625</v>
      </c>
      <c r="J1737">
        <v>77</v>
      </c>
      <c r="M1737" s="74">
        <v>36598</v>
      </c>
      <c r="N1737" s="77">
        <v>0.625</v>
      </c>
      <c r="P1737">
        <v>44.6</v>
      </c>
      <c r="S1737" s="74">
        <v>38059</v>
      </c>
      <c r="T1737" s="77">
        <v>0.625</v>
      </c>
      <c r="V1737">
        <v>44.96</v>
      </c>
      <c r="X1737" s="42"/>
      <c r="AB1737">
        <v>45.2</v>
      </c>
      <c r="AC1737">
        <v>39.92</v>
      </c>
      <c r="AE1737" s="74"/>
      <c r="AF1737" s="77"/>
      <c r="AH1737" s="497">
        <v>44.6</v>
      </c>
      <c r="AJ1737" s="42"/>
      <c r="AK1737" s="74"/>
      <c r="AL1737" s="77"/>
      <c r="AN1737" s="497">
        <v>39.92</v>
      </c>
      <c r="AP1737" s="42"/>
      <c r="AQ1737" s="74"/>
      <c r="AR1737" s="77"/>
      <c r="AT1737" s="497">
        <v>42.26</v>
      </c>
      <c r="AV1737" s="42"/>
      <c r="AW1737" s="74"/>
      <c r="AX1737" s="77"/>
      <c r="BA1737" s="497">
        <v>69.080000000000013</v>
      </c>
      <c r="BB1737" s="42"/>
      <c r="BC1737" s="74"/>
      <c r="BD1737" s="77"/>
      <c r="BF1737">
        <v>50</v>
      </c>
      <c r="BH1737" s="42"/>
      <c r="BI1737" s="74"/>
      <c r="BJ1737" s="77"/>
      <c r="BL1737" s="497">
        <v>46.04</v>
      </c>
      <c r="BN1737" s="42"/>
      <c r="BO1737" s="74"/>
      <c r="BP1737" s="77"/>
      <c r="BR1737" s="497">
        <v>42.980000000000004</v>
      </c>
      <c r="BT1737" s="42"/>
    </row>
    <row r="1738" spans="1:72" x14ac:dyDescent="0.25">
      <c r="A1738" s="90">
        <v>38059</v>
      </c>
      <c r="B1738" s="20">
        <v>0.66666666666666663</v>
      </c>
      <c r="D1738">
        <v>71.960000000000008</v>
      </c>
      <c r="E1738" t="str">
        <f t="shared" si="88"/>
        <v>SATURDAY</v>
      </c>
      <c r="F1738" t="e">
        <f t="shared" si="89"/>
        <v>#N/A</v>
      </c>
      <c r="G1738" s="74">
        <v>32945</v>
      </c>
      <c r="H1738" s="77">
        <v>0.66666666666666663</v>
      </c>
      <c r="J1738">
        <v>82.039999999999992</v>
      </c>
      <c r="M1738" s="74">
        <v>36598</v>
      </c>
      <c r="N1738" s="77">
        <v>0.66666666666666663</v>
      </c>
      <c r="P1738">
        <v>44.6</v>
      </c>
      <c r="S1738" s="74">
        <v>38059</v>
      </c>
      <c r="T1738" s="77">
        <v>0.66666666666666663</v>
      </c>
      <c r="V1738">
        <v>44.06</v>
      </c>
      <c r="X1738" s="42"/>
      <c r="AB1738">
        <v>45.3</v>
      </c>
      <c r="AC1738">
        <v>39.92</v>
      </c>
      <c r="AE1738" s="74"/>
      <c r="AF1738" s="77"/>
      <c r="AH1738" s="497">
        <v>44.6</v>
      </c>
      <c r="AJ1738" s="42"/>
      <c r="AK1738" s="74"/>
      <c r="AL1738" s="77"/>
      <c r="AN1738" s="497">
        <v>39.019999999999996</v>
      </c>
      <c r="AP1738" s="42"/>
      <c r="AQ1738" s="74"/>
      <c r="AR1738" s="77"/>
      <c r="AT1738" s="497">
        <v>39.92</v>
      </c>
      <c r="AV1738" s="42"/>
      <c r="AW1738" s="74"/>
      <c r="AX1738" s="77"/>
      <c r="BA1738" s="497">
        <v>68</v>
      </c>
      <c r="BB1738" s="42"/>
      <c r="BC1738" s="74"/>
      <c r="BD1738" s="77"/>
      <c r="BF1738">
        <v>51.08</v>
      </c>
      <c r="BH1738" s="42"/>
      <c r="BI1738" s="74"/>
      <c r="BJ1738" s="77"/>
      <c r="BL1738" s="497">
        <v>44.96</v>
      </c>
      <c r="BN1738" s="42"/>
      <c r="BO1738" s="74"/>
      <c r="BP1738" s="77"/>
      <c r="BR1738" s="497">
        <v>44.06</v>
      </c>
      <c r="BT1738" s="42"/>
    </row>
    <row r="1739" spans="1:72" x14ac:dyDescent="0.25">
      <c r="A1739" s="90">
        <v>38059</v>
      </c>
      <c r="B1739" s="20">
        <v>0.70833333333333337</v>
      </c>
      <c r="D1739">
        <v>71.06</v>
      </c>
      <c r="E1739" t="str">
        <f t="shared" si="88"/>
        <v>SATURDAY</v>
      </c>
      <c r="F1739" t="e">
        <f t="shared" si="89"/>
        <v>#N/A</v>
      </c>
      <c r="G1739" s="74">
        <v>32945</v>
      </c>
      <c r="H1739" s="77">
        <v>0.70833333333333337</v>
      </c>
      <c r="J1739">
        <v>80.960000000000008</v>
      </c>
      <c r="M1739" s="74">
        <v>36598</v>
      </c>
      <c r="N1739" s="77">
        <v>0.70833333333333337</v>
      </c>
      <c r="P1739">
        <v>42.8</v>
      </c>
      <c r="S1739" s="74">
        <v>38059</v>
      </c>
      <c r="T1739" s="77">
        <v>0.70833333333333337</v>
      </c>
      <c r="V1739">
        <v>42.08</v>
      </c>
      <c r="X1739" s="42"/>
      <c r="AB1739">
        <v>44.8</v>
      </c>
      <c r="AC1739">
        <v>37.94</v>
      </c>
      <c r="AE1739" s="74"/>
      <c r="AF1739" s="77"/>
      <c r="AH1739" s="497">
        <v>43.34</v>
      </c>
      <c r="AJ1739" s="42"/>
      <c r="AK1739" s="74"/>
      <c r="AL1739" s="77"/>
      <c r="AN1739" s="497">
        <v>39.019999999999996</v>
      </c>
      <c r="AP1739" s="42"/>
      <c r="AQ1739" s="74"/>
      <c r="AR1739" s="77"/>
      <c r="AT1739" s="497">
        <v>38.659999999999997</v>
      </c>
      <c r="AV1739" s="42"/>
      <c r="AW1739" s="74"/>
      <c r="AX1739" s="77"/>
      <c r="BA1739" s="497">
        <v>64.039999999999992</v>
      </c>
      <c r="BB1739" s="42"/>
      <c r="BC1739" s="74"/>
      <c r="BD1739" s="77"/>
      <c r="BF1739">
        <v>50</v>
      </c>
      <c r="BH1739" s="42"/>
      <c r="BI1739" s="74"/>
      <c r="BJ1739" s="77"/>
      <c r="BL1739" s="497">
        <v>44.06</v>
      </c>
      <c r="BN1739" s="42"/>
      <c r="BO1739" s="74"/>
      <c r="BP1739" s="77"/>
      <c r="BR1739" s="497">
        <v>42.08</v>
      </c>
      <c r="BT1739" s="42"/>
    </row>
    <row r="1740" spans="1:72" x14ac:dyDescent="0.25">
      <c r="A1740" s="90">
        <v>38059</v>
      </c>
      <c r="B1740" s="20">
        <v>0.75</v>
      </c>
      <c r="D1740">
        <v>68</v>
      </c>
      <c r="E1740" t="str">
        <f t="shared" si="88"/>
        <v>SATURDAY</v>
      </c>
      <c r="F1740" t="e">
        <f t="shared" si="89"/>
        <v>#N/A</v>
      </c>
      <c r="G1740" s="74">
        <v>32945</v>
      </c>
      <c r="H1740" s="77">
        <v>0.75</v>
      </c>
      <c r="J1740">
        <v>73.94</v>
      </c>
      <c r="M1740" s="74">
        <v>36598</v>
      </c>
      <c r="N1740" s="77">
        <v>0.75</v>
      </c>
      <c r="P1740">
        <v>41</v>
      </c>
      <c r="S1740" s="74">
        <v>38059</v>
      </c>
      <c r="T1740" s="77">
        <v>0.75</v>
      </c>
      <c r="V1740">
        <v>39.92</v>
      </c>
      <c r="X1740" s="42"/>
      <c r="AB1740">
        <v>43.8</v>
      </c>
      <c r="AC1740">
        <v>37.04</v>
      </c>
      <c r="AE1740" s="74"/>
      <c r="AF1740" s="77"/>
      <c r="AH1740" s="497">
        <v>41</v>
      </c>
      <c r="AJ1740" s="42"/>
      <c r="AK1740" s="74"/>
      <c r="AL1740" s="77"/>
      <c r="AN1740" s="497">
        <v>39.019999999999996</v>
      </c>
      <c r="AP1740" s="42"/>
      <c r="AQ1740" s="74"/>
      <c r="AR1740" s="77"/>
      <c r="AT1740" s="497">
        <v>37.22</v>
      </c>
      <c r="AV1740" s="42"/>
      <c r="AW1740" s="74"/>
      <c r="AX1740" s="77"/>
      <c r="BA1740" s="497">
        <v>59</v>
      </c>
      <c r="BB1740" s="42"/>
      <c r="BC1740" s="74"/>
      <c r="BD1740" s="77"/>
      <c r="BF1740">
        <v>50</v>
      </c>
      <c r="BH1740" s="42"/>
      <c r="BI1740" s="74"/>
      <c r="BJ1740" s="77"/>
      <c r="BL1740" s="497">
        <v>42.980000000000004</v>
      </c>
      <c r="BN1740" s="42"/>
      <c r="BO1740" s="74"/>
      <c r="BP1740" s="77"/>
      <c r="BR1740" s="497">
        <v>42.08</v>
      </c>
      <c r="BT1740" s="42"/>
    </row>
    <row r="1741" spans="1:72" x14ac:dyDescent="0.25">
      <c r="A1741" s="90">
        <v>38059</v>
      </c>
      <c r="B1741" s="20">
        <v>0.79166666666666663</v>
      </c>
      <c r="D1741">
        <v>64.039999999999992</v>
      </c>
      <c r="E1741" t="str">
        <f t="shared" si="88"/>
        <v>SATURDAY</v>
      </c>
      <c r="F1741" t="e">
        <f t="shared" si="89"/>
        <v>#N/A</v>
      </c>
      <c r="G1741" s="74">
        <v>32945</v>
      </c>
      <c r="H1741" s="77">
        <v>0.79166666666666663</v>
      </c>
      <c r="J1741">
        <v>73.039999999999992</v>
      </c>
      <c r="M1741" s="74">
        <v>36598</v>
      </c>
      <c r="N1741" s="77">
        <v>0.79166666666666663</v>
      </c>
      <c r="P1741">
        <v>41</v>
      </c>
      <c r="S1741" s="74">
        <v>38059</v>
      </c>
      <c r="T1741" s="77">
        <v>0.79166666666666663</v>
      </c>
      <c r="V1741">
        <v>37.94</v>
      </c>
      <c r="X1741" s="42"/>
      <c r="AB1741">
        <v>42.3</v>
      </c>
      <c r="AC1741">
        <v>37.04</v>
      </c>
      <c r="AE1741" s="74"/>
      <c r="AF1741" s="77"/>
      <c r="AH1741" s="497">
        <v>37.4</v>
      </c>
      <c r="AJ1741" s="42"/>
      <c r="AK1741" s="74"/>
      <c r="AL1741" s="77"/>
      <c r="AN1741" s="497">
        <v>37.94</v>
      </c>
      <c r="AP1741" s="42"/>
      <c r="AQ1741" s="74"/>
      <c r="AR1741" s="77"/>
      <c r="AT1741" s="497">
        <v>35.96</v>
      </c>
      <c r="AV1741" s="42"/>
      <c r="AW1741" s="74"/>
      <c r="AX1741" s="77"/>
      <c r="BA1741" s="497">
        <v>55.040000000000006</v>
      </c>
      <c r="BB1741" s="42"/>
      <c r="BC1741" s="74"/>
      <c r="BD1741" s="77"/>
      <c r="BF1741">
        <v>51.980000000000004</v>
      </c>
      <c r="BH1741" s="42"/>
      <c r="BI1741" s="74"/>
      <c r="BJ1741" s="77"/>
      <c r="BL1741" s="497">
        <v>42.980000000000004</v>
      </c>
      <c r="BN1741" s="42"/>
      <c r="BO1741" s="74"/>
      <c r="BP1741" s="77"/>
      <c r="BR1741" s="497">
        <v>39.92</v>
      </c>
      <c r="BT1741" s="42"/>
    </row>
    <row r="1742" spans="1:72" x14ac:dyDescent="0.25">
      <c r="A1742" s="90">
        <v>38059</v>
      </c>
      <c r="B1742" s="20">
        <v>0.83333333333333337</v>
      </c>
      <c r="D1742">
        <v>60.08</v>
      </c>
      <c r="E1742" t="str">
        <f t="shared" si="88"/>
        <v>SATURDAY</v>
      </c>
      <c r="F1742" t="e">
        <f t="shared" si="89"/>
        <v>#N/A</v>
      </c>
      <c r="G1742" s="74">
        <v>32945</v>
      </c>
      <c r="H1742" s="77">
        <v>0.83333333333333337</v>
      </c>
      <c r="J1742">
        <v>69.98</v>
      </c>
      <c r="M1742" s="74">
        <v>36598</v>
      </c>
      <c r="N1742" s="77">
        <v>0.83333333333333337</v>
      </c>
      <c r="P1742">
        <v>37.22</v>
      </c>
      <c r="S1742" s="74">
        <v>38059</v>
      </c>
      <c r="T1742" s="77">
        <v>0.83333333333333337</v>
      </c>
      <c r="V1742">
        <v>37.04</v>
      </c>
      <c r="X1742" s="42"/>
      <c r="AB1742">
        <v>41.5</v>
      </c>
      <c r="AC1742">
        <v>37.04</v>
      </c>
      <c r="AE1742" s="74"/>
      <c r="AF1742" s="77"/>
      <c r="AH1742" s="497">
        <v>32</v>
      </c>
      <c r="AJ1742" s="42"/>
      <c r="AK1742" s="74"/>
      <c r="AL1742" s="77"/>
      <c r="AN1742" s="497">
        <v>39.019999999999996</v>
      </c>
      <c r="AP1742" s="42"/>
      <c r="AQ1742" s="74"/>
      <c r="AR1742" s="77"/>
      <c r="AT1742" s="497">
        <v>33.979999999999997</v>
      </c>
      <c r="AV1742" s="42"/>
      <c r="AW1742" s="74"/>
      <c r="AX1742" s="77"/>
      <c r="BA1742" s="497">
        <v>53.96</v>
      </c>
      <c r="BB1742" s="42"/>
      <c r="BC1742" s="74"/>
      <c r="BD1742" s="77"/>
      <c r="BF1742">
        <v>53.06</v>
      </c>
      <c r="BH1742" s="42"/>
      <c r="BI1742" s="74"/>
      <c r="BJ1742" s="77"/>
      <c r="BL1742" s="497">
        <v>42.980000000000004</v>
      </c>
      <c r="BN1742" s="42"/>
      <c r="BO1742" s="74"/>
      <c r="BP1742" s="77"/>
      <c r="BR1742" s="497">
        <v>39.92</v>
      </c>
      <c r="BT1742" s="42"/>
    </row>
    <row r="1743" spans="1:72" x14ac:dyDescent="0.25">
      <c r="A1743" s="90">
        <v>38059</v>
      </c>
      <c r="B1743" s="20">
        <v>0.875</v>
      </c>
      <c r="D1743">
        <v>57.92</v>
      </c>
      <c r="E1743" t="str">
        <f t="shared" si="88"/>
        <v>SATURDAY</v>
      </c>
      <c r="F1743" t="e">
        <f t="shared" si="89"/>
        <v>#N/A</v>
      </c>
      <c r="G1743" s="74">
        <v>32945</v>
      </c>
      <c r="H1743" s="77">
        <v>0.875</v>
      </c>
      <c r="J1743">
        <v>66.92</v>
      </c>
      <c r="M1743" s="74">
        <v>36598</v>
      </c>
      <c r="N1743" s="77">
        <v>0.875</v>
      </c>
      <c r="P1743">
        <v>33.799999999999997</v>
      </c>
      <c r="S1743" s="74">
        <v>38059</v>
      </c>
      <c r="T1743" s="77">
        <v>0.875</v>
      </c>
      <c r="V1743">
        <v>35.96</v>
      </c>
      <c r="X1743" s="42"/>
      <c r="AB1743">
        <v>40.9</v>
      </c>
      <c r="AC1743">
        <v>35.96</v>
      </c>
      <c r="AE1743" s="74"/>
      <c r="AF1743" s="77"/>
      <c r="AH1743" s="497">
        <v>30.2</v>
      </c>
      <c r="AJ1743" s="42"/>
      <c r="AK1743" s="74"/>
      <c r="AL1743" s="77"/>
      <c r="AN1743" s="497">
        <v>39.019999999999996</v>
      </c>
      <c r="AP1743" s="42"/>
      <c r="AQ1743" s="74"/>
      <c r="AR1743" s="77"/>
      <c r="AT1743" s="497">
        <v>32</v>
      </c>
      <c r="AV1743" s="42"/>
      <c r="AW1743" s="74"/>
      <c r="AX1743" s="77"/>
      <c r="BA1743" s="497">
        <v>51.980000000000004</v>
      </c>
      <c r="BB1743" s="42"/>
      <c r="BC1743" s="74"/>
      <c r="BD1743" s="77"/>
      <c r="BF1743">
        <v>53.96</v>
      </c>
      <c r="BH1743" s="42"/>
      <c r="BI1743" s="74"/>
      <c r="BJ1743" s="77"/>
      <c r="BL1743" s="497">
        <v>42.980000000000004</v>
      </c>
      <c r="BN1743" s="42"/>
      <c r="BO1743" s="74"/>
      <c r="BP1743" s="77"/>
      <c r="BR1743" s="497">
        <v>37.94</v>
      </c>
      <c r="BT1743" s="42"/>
    </row>
    <row r="1744" spans="1:72" x14ac:dyDescent="0.25">
      <c r="A1744" s="90">
        <v>38059</v>
      </c>
      <c r="B1744" s="20">
        <v>0.91666666666666663</v>
      </c>
      <c r="D1744">
        <v>60.08</v>
      </c>
      <c r="E1744" t="str">
        <f t="shared" si="88"/>
        <v>SATURDAY</v>
      </c>
      <c r="F1744" t="e">
        <f t="shared" si="89"/>
        <v>#N/A</v>
      </c>
      <c r="G1744" s="74">
        <v>32945</v>
      </c>
      <c r="H1744" s="77">
        <v>0.91666666666666663</v>
      </c>
      <c r="J1744">
        <v>68</v>
      </c>
      <c r="M1744" s="74">
        <v>36598</v>
      </c>
      <c r="N1744" s="77">
        <v>0.91666666666666663</v>
      </c>
      <c r="P1744">
        <v>33.799999999999997</v>
      </c>
      <c r="S1744" s="74">
        <v>38059</v>
      </c>
      <c r="T1744" s="77">
        <v>0.91666666666666663</v>
      </c>
      <c r="V1744">
        <v>33.979999999999997</v>
      </c>
      <c r="X1744" s="42"/>
      <c r="AB1744">
        <v>40.4</v>
      </c>
      <c r="AC1744">
        <v>35.96</v>
      </c>
      <c r="AE1744" s="74"/>
      <c r="AF1744" s="77"/>
      <c r="AH1744" s="497">
        <v>28.4</v>
      </c>
      <c r="AJ1744" s="42"/>
      <c r="AK1744" s="74"/>
      <c r="AL1744" s="77"/>
      <c r="AN1744" s="497">
        <v>39.019999999999996</v>
      </c>
      <c r="AP1744" s="42"/>
      <c r="AQ1744" s="74"/>
      <c r="AR1744" s="77"/>
      <c r="AT1744" s="497">
        <v>30.02</v>
      </c>
      <c r="AV1744" s="42"/>
      <c r="AW1744" s="74"/>
      <c r="AX1744" s="77"/>
      <c r="BA1744" s="497">
        <v>51.980000000000004</v>
      </c>
      <c r="BB1744" s="42"/>
      <c r="BC1744" s="74"/>
      <c r="BD1744" s="77"/>
      <c r="BF1744">
        <v>55.040000000000006</v>
      </c>
      <c r="BH1744" s="42"/>
      <c r="BI1744" s="74"/>
      <c r="BJ1744" s="77"/>
      <c r="BL1744" s="497">
        <v>44.06</v>
      </c>
      <c r="BN1744" s="42"/>
      <c r="BO1744" s="74"/>
      <c r="BP1744" s="77"/>
      <c r="BR1744" s="497">
        <v>37.04</v>
      </c>
      <c r="BT1744" s="42"/>
    </row>
    <row r="1745" spans="1:72" x14ac:dyDescent="0.25">
      <c r="A1745" s="90">
        <v>38059</v>
      </c>
      <c r="B1745" s="20">
        <v>0.95833333333333337</v>
      </c>
      <c r="D1745">
        <v>51.08</v>
      </c>
      <c r="E1745" t="str">
        <f t="shared" si="88"/>
        <v>SATURDAY</v>
      </c>
      <c r="F1745" t="e">
        <f t="shared" si="89"/>
        <v>#N/A</v>
      </c>
      <c r="G1745" s="74">
        <v>32945</v>
      </c>
      <c r="H1745" s="77">
        <v>0.95833333333333337</v>
      </c>
      <c r="J1745">
        <v>64.039999999999992</v>
      </c>
      <c r="M1745" s="74">
        <v>36598</v>
      </c>
      <c r="N1745" s="77">
        <v>0.95833333333333337</v>
      </c>
      <c r="P1745">
        <v>32</v>
      </c>
      <c r="S1745" s="74">
        <v>38059</v>
      </c>
      <c r="T1745" s="77">
        <v>0.95833333333333337</v>
      </c>
      <c r="V1745">
        <v>33.08</v>
      </c>
      <c r="X1745" s="42"/>
      <c r="AB1745">
        <v>39.799999999999997</v>
      </c>
      <c r="AC1745">
        <v>35.96</v>
      </c>
      <c r="AE1745" s="74"/>
      <c r="AF1745" s="77"/>
      <c r="AH1745" s="497">
        <v>26.6</v>
      </c>
      <c r="AJ1745" s="42"/>
      <c r="AK1745" s="74"/>
      <c r="AL1745" s="77"/>
      <c r="AN1745" s="497">
        <v>39.019999999999996</v>
      </c>
      <c r="AP1745" s="42"/>
      <c r="AQ1745" s="74"/>
      <c r="AR1745" s="77"/>
      <c r="AT1745" s="497">
        <v>30.02</v>
      </c>
      <c r="AV1745" s="42"/>
      <c r="AW1745" s="74"/>
      <c r="AX1745" s="77"/>
      <c r="BA1745" s="497">
        <v>51.08</v>
      </c>
      <c r="BB1745" s="42"/>
      <c r="BC1745" s="74"/>
      <c r="BD1745" s="77"/>
      <c r="BF1745">
        <v>55.040000000000006</v>
      </c>
      <c r="BH1745" s="42"/>
      <c r="BI1745" s="74"/>
      <c r="BJ1745" s="77"/>
      <c r="BL1745" s="497">
        <v>42.980000000000004</v>
      </c>
      <c r="BN1745" s="42"/>
      <c r="BO1745" s="74"/>
      <c r="BP1745" s="77"/>
      <c r="BR1745" s="497">
        <v>35.96</v>
      </c>
      <c r="BT1745" s="42"/>
    </row>
    <row r="1746" spans="1:72" x14ac:dyDescent="0.25">
      <c r="A1746" s="90">
        <v>38059</v>
      </c>
      <c r="B1746" s="20">
        <v>1</v>
      </c>
      <c r="D1746">
        <v>48.92</v>
      </c>
      <c r="E1746" t="str">
        <f t="shared" si="88"/>
        <v>SATURDAY</v>
      </c>
      <c r="F1746" t="e">
        <f t="shared" si="89"/>
        <v>#N/A</v>
      </c>
      <c r="G1746" s="74">
        <v>32945</v>
      </c>
      <c r="H1746" s="77">
        <v>1</v>
      </c>
      <c r="J1746">
        <v>57.019999999999996</v>
      </c>
      <c r="M1746" s="74">
        <v>36598</v>
      </c>
      <c r="N1746" s="80">
        <v>1</v>
      </c>
      <c r="P1746">
        <v>32</v>
      </c>
      <c r="S1746" s="74">
        <v>38059</v>
      </c>
      <c r="T1746" s="80">
        <v>1</v>
      </c>
      <c r="V1746">
        <v>32</v>
      </c>
      <c r="X1746" s="42"/>
      <c r="AB1746">
        <v>39.200000000000003</v>
      </c>
      <c r="AC1746">
        <v>35.96</v>
      </c>
      <c r="AE1746" s="74"/>
      <c r="AF1746" s="80"/>
      <c r="AH1746" s="497">
        <v>26.6</v>
      </c>
      <c r="AJ1746" s="42"/>
      <c r="AK1746" s="74"/>
      <c r="AL1746" s="80"/>
      <c r="AN1746" s="497">
        <v>39.019999999999996</v>
      </c>
      <c r="AP1746" s="42"/>
      <c r="AQ1746" s="74"/>
      <c r="AR1746" s="80"/>
      <c r="AT1746" s="497">
        <v>30.02</v>
      </c>
      <c r="AV1746" s="42"/>
      <c r="AW1746" s="74"/>
      <c r="AX1746" s="80"/>
      <c r="BA1746" s="497">
        <v>51.08</v>
      </c>
      <c r="BB1746" s="42"/>
      <c r="BC1746" s="74"/>
      <c r="BD1746" s="80"/>
      <c r="BF1746">
        <v>55.94</v>
      </c>
      <c r="BH1746" s="42"/>
      <c r="BI1746" s="74"/>
      <c r="BJ1746" s="80"/>
      <c r="BL1746" s="497">
        <v>46.04</v>
      </c>
      <c r="BN1746" s="42"/>
      <c r="BO1746" s="74"/>
      <c r="BP1746" s="80"/>
      <c r="BR1746" s="497">
        <v>35.96</v>
      </c>
      <c r="BT1746" s="42"/>
    </row>
    <row r="1747" spans="1:72" x14ac:dyDescent="0.25">
      <c r="A1747" s="90">
        <v>38060</v>
      </c>
      <c r="B1747" s="20">
        <v>4.1666666666666664E-2</v>
      </c>
      <c r="D1747">
        <v>50</v>
      </c>
      <c r="E1747" t="str">
        <f t="shared" ref="E1747:E1810" si="90">IF(COUNTIF($DI$18:$DI$22, WEEKDAY(A1747))=1, "WEEKDAY", IF(WEEKDAY(A1747) = 1, "SUNDAY", "SATURDAY"))</f>
        <v>SUNDAY</v>
      </c>
      <c r="F1747" t="e">
        <f t="shared" si="89"/>
        <v>#N/A</v>
      </c>
      <c r="G1747" s="74">
        <v>32946</v>
      </c>
      <c r="H1747" s="77">
        <v>4.1666666666666664E-2</v>
      </c>
      <c r="J1747">
        <v>57.019999999999996</v>
      </c>
      <c r="M1747" s="74">
        <v>36599</v>
      </c>
      <c r="N1747" s="77">
        <v>4.1666666666666664E-2</v>
      </c>
      <c r="P1747">
        <v>32</v>
      </c>
      <c r="S1747" s="74">
        <v>38060</v>
      </c>
      <c r="T1747" s="77">
        <v>4.1666666666666664E-2</v>
      </c>
      <c r="V1747">
        <v>30.92</v>
      </c>
      <c r="X1747" s="42"/>
      <c r="AB1747">
        <v>38.6</v>
      </c>
      <c r="AC1747">
        <v>37.04</v>
      </c>
      <c r="AE1747" s="74"/>
      <c r="AF1747" s="77"/>
      <c r="AH1747" s="497">
        <v>26.6</v>
      </c>
      <c r="AJ1747" s="42"/>
      <c r="AK1747" s="74"/>
      <c r="AL1747" s="77"/>
      <c r="AN1747" s="497">
        <v>39.019999999999996</v>
      </c>
      <c r="AP1747" s="42"/>
      <c r="AQ1747" s="74"/>
      <c r="AR1747" s="77"/>
      <c r="AT1747" s="497">
        <v>30.02</v>
      </c>
      <c r="AV1747" s="42"/>
      <c r="AW1747" s="74"/>
      <c r="AX1747" s="77"/>
      <c r="BA1747" s="497">
        <v>51.980000000000004</v>
      </c>
      <c r="BB1747" s="42"/>
      <c r="BC1747" s="74"/>
      <c r="BD1747" s="77"/>
      <c r="BF1747">
        <v>55.040000000000006</v>
      </c>
      <c r="BH1747" s="42"/>
      <c r="BI1747" s="74"/>
      <c r="BJ1747" s="77"/>
      <c r="BL1747" s="497">
        <v>46.94</v>
      </c>
      <c r="BN1747" s="42"/>
      <c r="BO1747" s="74"/>
      <c r="BP1747" s="77"/>
      <c r="BR1747" s="497">
        <v>33.979999999999997</v>
      </c>
      <c r="BT1747" s="42"/>
    </row>
    <row r="1748" spans="1:72" x14ac:dyDescent="0.25">
      <c r="A1748" s="90">
        <v>38060</v>
      </c>
      <c r="B1748" s="20">
        <v>8.3333333333333329E-2</v>
      </c>
      <c r="D1748">
        <v>48.92</v>
      </c>
      <c r="E1748" t="str">
        <f t="shared" si="90"/>
        <v>SUNDAY</v>
      </c>
      <c r="F1748" t="e">
        <f t="shared" si="89"/>
        <v>#N/A</v>
      </c>
      <c r="G1748" s="74">
        <v>32946</v>
      </c>
      <c r="H1748" s="77">
        <v>8.3333333333333329E-2</v>
      </c>
      <c r="J1748">
        <v>57.019999999999996</v>
      </c>
      <c r="M1748" s="74">
        <v>36599</v>
      </c>
      <c r="N1748" s="77">
        <v>8.3333333333333329E-2</v>
      </c>
      <c r="P1748">
        <v>32</v>
      </c>
      <c r="S1748" s="74">
        <v>38060</v>
      </c>
      <c r="T1748" s="77">
        <v>8.3333333333333329E-2</v>
      </c>
      <c r="V1748">
        <v>28.94</v>
      </c>
      <c r="X1748" s="42"/>
      <c r="AB1748">
        <v>38</v>
      </c>
      <c r="AC1748">
        <v>37.04</v>
      </c>
      <c r="AE1748" s="74"/>
      <c r="AF1748" s="77"/>
      <c r="AH1748" s="497">
        <v>24.8</v>
      </c>
      <c r="AJ1748" s="42"/>
      <c r="AK1748" s="74"/>
      <c r="AL1748" s="77"/>
      <c r="AN1748" s="497">
        <v>39.92</v>
      </c>
      <c r="AP1748" s="42"/>
      <c r="AQ1748" s="74"/>
      <c r="AR1748" s="77"/>
      <c r="AT1748" s="497">
        <v>29.66</v>
      </c>
      <c r="AV1748" s="42"/>
      <c r="AW1748" s="74"/>
      <c r="AX1748" s="77"/>
      <c r="BA1748" s="497">
        <v>51.980000000000004</v>
      </c>
      <c r="BB1748" s="42"/>
      <c r="BC1748" s="74"/>
      <c r="BD1748" s="77"/>
      <c r="BF1748">
        <v>53.96</v>
      </c>
      <c r="BH1748" s="42"/>
      <c r="BI1748" s="74"/>
      <c r="BJ1748" s="77"/>
      <c r="BL1748" s="497">
        <v>46.94</v>
      </c>
      <c r="BN1748" s="42"/>
      <c r="BO1748" s="74"/>
      <c r="BP1748" s="77"/>
      <c r="BR1748" s="497">
        <v>33.979999999999997</v>
      </c>
      <c r="BT1748" s="42"/>
    </row>
    <row r="1749" spans="1:72" x14ac:dyDescent="0.25">
      <c r="A1749" s="90">
        <v>38060</v>
      </c>
      <c r="B1749" s="20">
        <v>0.125</v>
      </c>
      <c r="D1749">
        <v>46.94</v>
      </c>
      <c r="E1749" t="str">
        <f t="shared" si="90"/>
        <v>SUNDAY</v>
      </c>
      <c r="F1749" t="e">
        <f t="shared" si="89"/>
        <v>#N/A</v>
      </c>
      <c r="G1749" s="74">
        <v>32946</v>
      </c>
      <c r="H1749" s="77">
        <v>0.125</v>
      </c>
      <c r="J1749">
        <v>55.040000000000006</v>
      </c>
      <c r="M1749" s="74">
        <v>36599</v>
      </c>
      <c r="N1749" s="77">
        <v>0.125</v>
      </c>
      <c r="P1749">
        <v>33.799999999999997</v>
      </c>
      <c r="S1749" s="74">
        <v>38060</v>
      </c>
      <c r="T1749" s="77">
        <v>0.125</v>
      </c>
      <c r="V1749">
        <v>30.02</v>
      </c>
      <c r="X1749" s="42"/>
      <c r="AB1749">
        <v>37.299999999999997</v>
      </c>
      <c r="AC1749">
        <v>37.94</v>
      </c>
      <c r="AE1749" s="74"/>
      <c r="AF1749" s="77"/>
      <c r="AH1749" s="497">
        <v>24.8</v>
      </c>
      <c r="AJ1749" s="42"/>
      <c r="AK1749" s="74"/>
      <c r="AL1749" s="77"/>
      <c r="AN1749" s="497">
        <v>37.94</v>
      </c>
      <c r="AP1749" s="42"/>
      <c r="AQ1749" s="74"/>
      <c r="AR1749" s="77"/>
      <c r="AT1749" s="497">
        <v>29.3</v>
      </c>
      <c r="AV1749" s="42"/>
      <c r="AW1749" s="74"/>
      <c r="AX1749" s="77"/>
      <c r="BA1749" s="497">
        <v>51.980000000000004</v>
      </c>
      <c r="BB1749" s="42"/>
      <c r="BC1749" s="74"/>
      <c r="BD1749" s="77"/>
      <c r="BF1749">
        <v>53.06</v>
      </c>
      <c r="BH1749" s="42"/>
      <c r="BI1749" s="74"/>
      <c r="BJ1749" s="77"/>
      <c r="BL1749" s="497">
        <v>46.94</v>
      </c>
      <c r="BN1749" s="42"/>
      <c r="BO1749" s="74"/>
      <c r="BP1749" s="77"/>
      <c r="BR1749" s="497">
        <v>33.08</v>
      </c>
      <c r="BT1749" s="42"/>
    </row>
    <row r="1750" spans="1:72" x14ac:dyDescent="0.25">
      <c r="A1750" s="90">
        <v>38060</v>
      </c>
      <c r="B1750" s="20">
        <v>0.16666666666666666</v>
      </c>
      <c r="D1750">
        <v>44.06</v>
      </c>
      <c r="E1750" t="str">
        <f t="shared" si="90"/>
        <v>SUNDAY</v>
      </c>
      <c r="F1750" t="e">
        <f t="shared" si="89"/>
        <v>#N/A</v>
      </c>
      <c r="G1750" s="74">
        <v>32946</v>
      </c>
      <c r="H1750" s="77">
        <v>0.16666666666666666</v>
      </c>
      <c r="J1750">
        <v>50</v>
      </c>
      <c r="M1750" s="74">
        <v>36599</v>
      </c>
      <c r="N1750" s="77">
        <v>0.16666666666666666</v>
      </c>
      <c r="P1750">
        <v>32</v>
      </c>
      <c r="S1750" s="74">
        <v>38060</v>
      </c>
      <c r="T1750" s="77">
        <v>0.16666666666666666</v>
      </c>
      <c r="V1750">
        <v>28.94</v>
      </c>
      <c r="X1750" s="42"/>
      <c r="AB1750">
        <v>36.9</v>
      </c>
      <c r="AC1750">
        <v>37.94</v>
      </c>
      <c r="AE1750" s="74"/>
      <c r="AF1750" s="77"/>
      <c r="AH1750" s="497">
        <v>23.9</v>
      </c>
      <c r="AJ1750" s="42"/>
      <c r="AK1750" s="74"/>
      <c r="AL1750" s="77"/>
      <c r="AN1750" s="497">
        <v>37.94</v>
      </c>
      <c r="AP1750" s="42"/>
      <c r="AQ1750" s="74"/>
      <c r="AR1750" s="77"/>
      <c r="AT1750" s="497">
        <v>28.94</v>
      </c>
      <c r="AV1750" s="42"/>
      <c r="AW1750" s="74"/>
      <c r="AX1750" s="77"/>
      <c r="BA1750" s="497">
        <v>51.08</v>
      </c>
      <c r="BB1750" s="42"/>
      <c r="BC1750" s="74"/>
      <c r="BD1750" s="77"/>
      <c r="BF1750">
        <v>51.980000000000004</v>
      </c>
      <c r="BH1750" s="42"/>
      <c r="BI1750" s="74"/>
      <c r="BJ1750" s="77"/>
      <c r="BL1750" s="497">
        <v>46.04</v>
      </c>
      <c r="BN1750" s="42"/>
      <c r="BO1750" s="74"/>
      <c r="BP1750" s="77"/>
      <c r="BR1750" s="497">
        <v>33.08</v>
      </c>
      <c r="BT1750" s="42"/>
    </row>
    <row r="1751" spans="1:72" x14ac:dyDescent="0.25">
      <c r="A1751" s="90">
        <v>38060</v>
      </c>
      <c r="B1751" s="20">
        <v>0.20833333333333334</v>
      </c>
      <c r="D1751">
        <v>42.980000000000004</v>
      </c>
      <c r="E1751" t="str">
        <f t="shared" si="90"/>
        <v>SUNDAY</v>
      </c>
      <c r="F1751" t="e">
        <f t="shared" si="89"/>
        <v>#N/A</v>
      </c>
      <c r="G1751" s="74">
        <v>32946</v>
      </c>
      <c r="H1751" s="77">
        <v>0.20833333333333334</v>
      </c>
      <c r="J1751">
        <v>44.06</v>
      </c>
      <c r="M1751" s="74">
        <v>36599</v>
      </c>
      <c r="N1751" s="77">
        <v>0.20833333333333334</v>
      </c>
      <c r="P1751">
        <v>32</v>
      </c>
      <c r="S1751" s="74">
        <v>38060</v>
      </c>
      <c r="T1751" s="77">
        <v>0.20833333333333334</v>
      </c>
      <c r="V1751">
        <v>28.94</v>
      </c>
      <c r="X1751" s="42"/>
      <c r="AB1751">
        <v>36.4</v>
      </c>
      <c r="AC1751">
        <v>37.94</v>
      </c>
      <c r="AE1751" s="74"/>
      <c r="AF1751" s="77"/>
      <c r="AH1751" s="497">
        <v>23</v>
      </c>
      <c r="AJ1751" s="42"/>
      <c r="AK1751" s="74"/>
      <c r="AL1751" s="77"/>
      <c r="AN1751" s="497">
        <v>39.019999999999996</v>
      </c>
      <c r="AP1751" s="42"/>
      <c r="AQ1751" s="74"/>
      <c r="AR1751" s="77"/>
      <c r="AT1751" s="497">
        <v>28.04</v>
      </c>
      <c r="AV1751" s="42"/>
      <c r="AW1751" s="74"/>
      <c r="AX1751" s="77"/>
      <c r="BA1751" s="497">
        <v>48.92</v>
      </c>
      <c r="BB1751" s="42"/>
      <c r="BC1751" s="74"/>
      <c r="BD1751" s="77"/>
      <c r="BF1751">
        <v>53.06</v>
      </c>
      <c r="BH1751" s="42"/>
      <c r="BI1751" s="74"/>
      <c r="BJ1751" s="77"/>
      <c r="BL1751" s="497">
        <v>46.04</v>
      </c>
      <c r="BN1751" s="42"/>
      <c r="BO1751" s="74"/>
      <c r="BP1751" s="77"/>
      <c r="BR1751" s="497">
        <v>32</v>
      </c>
      <c r="BT1751" s="42"/>
    </row>
    <row r="1752" spans="1:72" x14ac:dyDescent="0.25">
      <c r="A1752" s="90">
        <v>38060</v>
      </c>
      <c r="B1752" s="20">
        <v>0.25</v>
      </c>
      <c r="D1752">
        <v>42.08</v>
      </c>
      <c r="E1752" t="str">
        <f t="shared" si="90"/>
        <v>SUNDAY</v>
      </c>
      <c r="F1752" t="e">
        <f t="shared" si="89"/>
        <v>#N/A</v>
      </c>
      <c r="G1752" s="74">
        <v>32946</v>
      </c>
      <c r="H1752" s="77">
        <v>0.25</v>
      </c>
      <c r="J1752">
        <v>44.06</v>
      </c>
      <c r="M1752" s="74">
        <v>36599</v>
      </c>
      <c r="N1752" s="77">
        <v>0.25</v>
      </c>
      <c r="P1752">
        <v>32</v>
      </c>
      <c r="S1752" s="74">
        <v>38060</v>
      </c>
      <c r="T1752" s="77">
        <v>0.25</v>
      </c>
      <c r="V1752">
        <v>26.96</v>
      </c>
      <c r="X1752" s="42"/>
      <c r="AB1752">
        <v>36.1</v>
      </c>
      <c r="AC1752">
        <v>37.94</v>
      </c>
      <c r="AE1752" s="74"/>
      <c r="AF1752" s="77"/>
      <c r="AH1752" s="497">
        <v>23</v>
      </c>
      <c r="AJ1752" s="42"/>
      <c r="AK1752" s="74"/>
      <c r="AL1752" s="77"/>
      <c r="AN1752" s="497">
        <v>37.04</v>
      </c>
      <c r="AP1752" s="42"/>
      <c r="AQ1752" s="74"/>
      <c r="AR1752" s="77"/>
      <c r="AT1752" s="497">
        <v>26.96</v>
      </c>
      <c r="AV1752" s="42"/>
      <c r="AW1752" s="74"/>
      <c r="AX1752" s="77"/>
      <c r="BA1752" s="497">
        <v>48.92</v>
      </c>
      <c r="BB1752" s="42"/>
      <c r="BC1752" s="74"/>
      <c r="BD1752" s="77"/>
      <c r="BF1752">
        <v>53.96</v>
      </c>
      <c r="BH1752" s="42"/>
      <c r="BI1752" s="74"/>
      <c r="BJ1752" s="77"/>
      <c r="BL1752" s="497">
        <v>39.92</v>
      </c>
      <c r="BN1752" s="42"/>
      <c r="BO1752" s="74"/>
      <c r="BP1752" s="77"/>
      <c r="BR1752" s="497">
        <v>32</v>
      </c>
      <c r="BT1752" s="42"/>
    </row>
    <row r="1753" spans="1:72" x14ac:dyDescent="0.25">
      <c r="A1753" s="90">
        <v>38060</v>
      </c>
      <c r="B1753" s="20">
        <v>0.29166666666666669</v>
      </c>
      <c r="D1753">
        <v>42.980000000000004</v>
      </c>
      <c r="E1753" t="str">
        <f t="shared" si="90"/>
        <v>SUNDAY</v>
      </c>
      <c r="F1753" t="e">
        <f t="shared" si="89"/>
        <v>#N/A</v>
      </c>
      <c r="G1753" s="74">
        <v>32946</v>
      </c>
      <c r="H1753" s="77">
        <v>0.29166666666666669</v>
      </c>
      <c r="J1753">
        <v>42.980000000000004</v>
      </c>
      <c r="M1753" s="74">
        <v>36599</v>
      </c>
      <c r="N1753" s="77">
        <v>0.29166666666666669</v>
      </c>
      <c r="P1753">
        <v>30.2</v>
      </c>
      <c r="S1753" s="74">
        <v>38060</v>
      </c>
      <c r="T1753" s="77">
        <v>0.29166666666666669</v>
      </c>
      <c r="V1753">
        <v>28.94</v>
      </c>
      <c r="X1753" s="42"/>
      <c r="AB1753">
        <v>35.9</v>
      </c>
      <c r="AC1753">
        <v>35.96</v>
      </c>
      <c r="AE1753" s="74"/>
      <c r="AF1753" s="77"/>
      <c r="AH1753" s="497">
        <v>24.8</v>
      </c>
      <c r="AJ1753" s="42"/>
      <c r="AK1753" s="74"/>
      <c r="AL1753" s="77"/>
      <c r="AN1753" s="497">
        <v>35.96</v>
      </c>
      <c r="AP1753" s="42"/>
      <c r="AQ1753" s="74"/>
      <c r="AR1753" s="77"/>
      <c r="AT1753" s="497">
        <v>26.060000000000002</v>
      </c>
      <c r="AV1753" s="42"/>
      <c r="AW1753" s="74"/>
      <c r="AX1753" s="77"/>
      <c r="BA1753" s="497">
        <v>48.92</v>
      </c>
      <c r="BB1753" s="42"/>
      <c r="BC1753" s="74"/>
      <c r="BD1753" s="77"/>
      <c r="BF1753">
        <v>53.96</v>
      </c>
      <c r="BH1753" s="42"/>
      <c r="BI1753" s="74"/>
      <c r="BJ1753" s="77"/>
      <c r="BL1753" s="497">
        <v>37.94</v>
      </c>
      <c r="BN1753" s="42"/>
      <c r="BO1753" s="74"/>
      <c r="BP1753" s="77"/>
      <c r="BR1753" s="497">
        <v>32</v>
      </c>
      <c r="BT1753" s="42"/>
    </row>
    <row r="1754" spans="1:72" x14ac:dyDescent="0.25">
      <c r="A1754" s="90">
        <v>38060</v>
      </c>
      <c r="B1754" s="20">
        <v>0.33333333333333331</v>
      </c>
      <c r="D1754">
        <v>46.04</v>
      </c>
      <c r="E1754" t="str">
        <f t="shared" si="90"/>
        <v>SUNDAY</v>
      </c>
      <c r="F1754" t="e">
        <f t="shared" si="89"/>
        <v>#N/A</v>
      </c>
      <c r="G1754" s="74">
        <v>32946</v>
      </c>
      <c r="H1754" s="77">
        <v>0.33333333333333331</v>
      </c>
      <c r="J1754">
        <v>44.96</v>
      </c>
      <c r="M1754" s="74">
        <v>36599</v>
      </c>
      <c r="N1754" s="77">
        <v>0.33333333333333331</v>
      </c>
      <c r="P1754">
        <v>35.6</v>
      </c>
      <c r="S1754" s="74">
        <v>38060</v>
      </c>
      <c r="T1754" s="77">
        <v>0.33333333333333331</v>
      </c>
      <c r="V1754">
        <v>32</v>
      </c>
      <c r="X1754" s="42"/>
      <c r="AB1754">
        <v>36.6</v>
      </c>
      <c r="AC1754">
        <v>35.96</v>
      </c>
      <c r="AE1754" s="74"/>
      <c r="AF1754" s="77"/>
      <c r="AH1754" s="497">
        <v>28.4</v>
      </c>
      <c r="AJ1754" s="42"/>
      <c r="AK1754" s="74"/>
      <c r="AL1754" s="77"/>
      <c r="AN1754" s="497">
        <v>35.96</v>
      </c>
      <c r="AP1754" s="42"/>
      <c r="AQ1754" s="74"/>
      <c r="AR1754" s="77"/>
      <c r="AT1754" s="497">
        <v>28.4</v>
      </c>
      <c r="AV1754" s="42"/>
      <c r="AW1754" s="74"/>
      <c r="AX1754" s="77"/>
      <c r="BA1754" s="497">
        <v>50</v>
      </c>
      <c r="BB1754" s="42"/>
      <c r="BC1754" s="74"/>
      <c r="BD1754" s="77"/>
      <c r="BF1754">
        <v>57.019999999999996</v>
      </c>
      <c r="BH1754" s="42"/>
      <c r="BI1754" s="74"/>
      <c r="BJ1754" s="77"/>
      <c r="BL1754" s="497">
        <v>39.92</v>
      </c>
      <c r="BN1754" s="42"/>
      <c r="BO1754" s="74"/>
      <c r="BP1754" s="77"/>
      <c r="BR1754" s="497">
        <v>33.08</v>
      </c>
      <c r="BT1754" s="42"/>
    </row>
    <row r="1755" spans="1:72" x14ac:dyDescent="0.25">
      <c r="A1755" s="90">
        <v>38060</v>
      </c>
      <c r="B1755" s="20">
        <v>0.375</v>
      </c>
      <c r="D1755">
        <v>46.94</v>
      </c>
      <c r="E1755" t="str">
        <f t="shared" si="90"/>
        <v>SUNDAY</v>
      </c>
      <c r="F1755" t="e">
        <f t="shared" si="89"/>
        <v>#N/A</v>
      </c>
      <c r="G1755" s="74">
        <v>32946</v>
      </c>
      <c r="H1755" s="77">
        <v>0.375</v>
      </c>
      <c r="J1755">
        <v>46.94</v>
      </c>
      <c r="M1755" s="74">
        <v>36599</v>
      </c>
      <c r="N1755" s="77">
        <v>0.375</v>
      </c>
      <c r="P1755">
        <v>42.8</v>
      </c>
      <c r="S1755" s="74">
        <v>38060</v>
      </c>
      <c r="T1755" s="77">
        <v>0.375</v>
      </c>
      <c r="V1755">
        <v>33.979999999999997</v>
      </c>
      <c r="X1755" s="42"/>
      <c r="AB1755">
        <v>38.4</v>
      </c>
      <c r="AC1755">
        <v>37.04</v>
      </c>
      <c r="AE1755" s="74"/>
      <c r="AF1755" s="77"/>
      <c r="AH1755" s="497">
        <v>39.200000000000003</v>
      </c>
      <c r="AJ1755" s="42"/>
      <c r="AK1755" s="74"/>
      <c r="AL1755" s="77"/>
      <c r="AN1755" s="497">
        <v>37.04</v>
      </c>
      <c r="AP1755" s="42"/>
      <c r="AQ1755" s="74"/>
      <c r="AR1755" s="77"/>
      <c r="AT1755" s="497">
        <v>30.74</v>
      </c>
      <c r="AV1755" s="42"/>
      <c r="AW1755" s="74"/>
      <c r="AX1755" s="77"/>
      <c r="BA1755" s="497">
        <v>53.96</v>
      </c>
      <c r="BB1755" s="42"/>
      <c r="BC1755" s="74"/>
      <c r="BD1755" s="77"/>
      <c r="BF1755">
        <v>60.08</v>
      </c>
      <c r="BH1755" s="42"/>
      <c r="BI1755" s="74"/>
      <c r="BJ1755" s="77"/>
      <c r="BL1755" s="497">
        <v>42.08</v>
      </c>
      <c r="BN1755" s="42"/>
      <c r="BO1755" s="74"/>
      <c r="BP1755" s="77"/>
      <c r="BR1755" s="497">
        <v>33.979999999999997</v>
      </c>
      <c r="BT1755" s="42"/>
    </row>
    <row r="1756" spans="1:72" x14ac:dyDescent="0.25">
      <c r="A1756" s="90">
        <v>38060</v>
      </c>
      <c r="B1756" s="20">
        <v>0.41666666666666669</v>
      </c>
      <c r="D1756">
        <v>48.019999999999996</v>
      </c>
      <c r="E1756" t="str">
        <f t="shared" si="90"/>
        <v>SUNDAY</v>
      </c>
      <c r="F1756" t="e">
        <f t="shared" si="89"/>
        <v>#N/A</v>
      </c>
      <c r="G1756" s="74">
        <v>32946</v>
      </c>
      <c r="H1756" s="77">
        <v>0.41666666666666669</v>
      </c>
      <c r="J1756">
        <v>48.92</v>
      </c>
      <c r="M1756" s="74">
        <v>36599</v>
      </c>
      <c r="N1756" s="77">
        <v>0.41666666666666669</v>
      </c>
      <c r="P1756">
        <v>46.4</v>
      </c>
      <c r="S1756" s="74">
        <v>38060</v>
      </c>
      <c r="T1756" s="77">
        <v>0.41666666666666669</v>
      </c>
      <c r="V1756">
        <v>37.04</v>
      </c>
      <c r="X1756" s="42"/>
      <c r="AB1756">
        <v>40.200000000000003</v>
      </c>
      <c r="AC1756">
        <v>37.04</v>
      </c>
      <c r="AE1756" s="74"/>
      <c r="AF1756" s="77"/>
      <c r="AH1756" s="497">
        <v>42.8</v>
      </c>
      <c r="AJ1756" s="42"/>
      <c r="AK1756" s="74"/>
      <c r="AL1756" s="77"/>
      <c r="AN1756" s="497">
        <v>39.019999999999996</v>
      </c>
      <c r="AP1756" s="42"/>
      <c r="AQ1756" s="74"/>
      <c r="AR1756" s="77"/>
      <c r="AT1756" s="497">
        <v>33.08</v>
      </c>
      <c r="AV1756" s="42"/>
      <c r="AW1756" s="74"/>
      <c r="AX1756" s="77"/>
      <c r="BA1756" s="497">
        <v>62.06</v>
      </c>
      <c r="BB1756" s="42"/>
      <c r="BC1756" s="74"/>
      <c r="BD1756" s="77"/>
      <c r="BF1756">
        <v>66.92</v>
      </c>
      <c r="BH1756" s="42"/>
      <c r="BI1756" s="74"/>
      <c r="BJ1756" s="77"/>
      <c r="BL1756" s="497">
        <v>44.06</v>
      </c>
      <c r="BN1756" s="42"/>
      <c r="BO1756" s="74"/>
      <c r="BP1756" s="77"/>
      <c r="BR1756" s="497">
        <v>35.06</v>
      </c>
      <c r="BT1756" s="42"/>
    </row>
    <row r="1757" spans="1:72" x14ac:dyDescent="0.25">
      <c r="A1757" s="90">
        <v>38060</v>
      </c>
      <c r="B1757" s="20">
        <v>0.45833333333333331</v>
      </c>
      <c r="D1757">
        <v>50</v>
      </c>
      <c r="E1757" t="str">
        <f t="shared" si="90"/>
        <v>SUNDAY</v>
      </c>
      <c r="F1757" t="e">
        <f t="shared" si="89"/>
        <v>#N/A</v>
      </c>
      <c r="G1757" s="74">
        <v>32946</v>
      </c>
      <c r="H1757" s="77">
        <v>0.45833333333333331</v>
      </c>
      <c r="J1757">
        <v>50</v>
      </c>
      <c r="M1757" s="74">
        <v>36599</v>
      </c>
      <c r="N1757" s="77">
        <v>0.45833333333333331</v>
      </c>
      <c r="P1757">
        <v>48.2</v>
      </c>
      <c r="S1757" s="74">
        <v>38060</v>
      </c>
      <c r="T1757" s="77">
        <v>0.45833333333333331</v>
      </c>
      <c r="V1757">
        <v>35.96</v>
      </c>
      <c r="X1757" s="42"/>
      <c r="AB1757">
        <v>41.9</v>
      </c>
      <c r="AC1757">
        <v>37.04</v>
      </c>
      <c r="AE1757" s="74"/>
      <c r="AF1757" s="77"/>
      <c r="AH1757" s="497">
        <v>48.2</v>
      </c>
      <c r="AJ1757" s="42"/>
      <c r="AK1757" s="74"/>
      <c r="AL1757" s="77"/>
      <c r="AN1757" s="497">
        <v>39.92</v>
      </c>
      <c r="AP1757" s="42"/>
      <c r="AQ1757" s="74"/>
      <c r="AR1757" s="77"/>
      <c r="AT1757" s="497">
        <v>34.700000000000003</v>
      </c>
      <c r="AV1757" s="42"/>
      <c r="AW1757" s="74"/>
      <c r="AX1757" s="77"/>
      <c r="BA1757" s="497">
        <v>66.02</v>
      </c>
      <c r="BB1757" s="42"/>
      <c r="BC1757" s="74"/>
      <c r="BD1757" s="77"/>
      <c r="BF1757">
        <v>71.960000000000008</v>
      </c>
      <c r="BH1757" s="42"/>
      <c r="BI1757" s="74"/>
      <c r="BJ1757" s="77"/>
      <c r="BL1757" s="497">
        <v>42.980000000000004</v>
      </c>
      <c r="BN1757" s="42"/>
      <c r="BO1757" s="74"/>
      <c r="BP1757" s="77"/>
      <c r="BR1757" s="497">
        <v>37.04</v>
      </c>
      <c r="BT1757" s="42"/>
    </row>
    <row r="1758" spans="1:72" x14ac:dyDescent="0.25">
      <c r="A1758" s="90">
        <v>38060</v>
      </c>
      <c r="B1758" s="20">
        <v>0.5</v>
      </c>
      <c r="D1758">
        <v>53.06</v>
      </c>
      <c r="E1758" t="str">
        <f t="shared" si="90"/>
        <v>SUNDAY</v>
      </c>
      <c r="F1758" t="e">
        <f t="shared" si="89"/>
        <v>#N/A</v>
      </c>
      <c r="G1758" s="74">
        <v>32946</v>
      </c>
      <c r="H1758" s="77">
        <v>0.5</v>
      </c>
      <c r="J1758">
        <v>50</v>
      </c>
      <c r="M1758" s="74">
        <v>36599</v>
      </c>
      <c r="N1758" s="77">
        <v>0.5</v>
      </c>
      <c r="P1758">
        <v>50</v>
      </c>
      <c r="S1758" s="74">
        <v>38060</v>
      </c>
      <c r="T1758" s="77">
        <v>0.5</v>
      </c>
      <c r="V1758">
        <v>35.06</v>
      </c>
      <c r="X1758" s="42"/>
      <c r="AB1758">
        <v>43.3</v>
      </c>
      <c r="AC1758">
        <v>37.04</v>
      </c>
      <c r="AE1758" s="74"/>
      <c r="AF1758" s="77"/>
      <c r="AH1758" s="497">
        <v>50</v>
      </c>
      <c r="AJ1758" s="42"/>
      <c r="AK1758" s="74"/>
      <c r="AL1758" s="77"/>
      <c r="AN1758" s="497">
        <v>44.96</v>
      </c>
      <c r="AP1758" s="42"/>
      <c r="AQ1758" s="74"/>
      <c r="AR1758" s="77"/>
      <c r="AT1758" s="497">
        <v>36.32</v>
      </c>
      <c r="AV1758" s="42"/>
      <c r="AW1758" s="74"/>
      <c r="AX1758" s="77"/>
      <c r="BA1758" s="497">
        <v>71.960000000000008</v>
      </c>
      <c r="BB1758" s="42"/>
      <c r="BC1758" s="74"/>
      <c r="BD1758" s="77"/>
      <c r="BF1758">
        <v>75.02</v>
      </c>
      <c r="BH1758" s="42"/>
      <c r="BI1758" s="74"/>
      <c r="BJ1758" s="77"/>
      <c r="BL1758" s="497">
        <v>44.06</v>
      </c>
      <c r="BN1758" s="42"/>
      <c r="BO1758" s="74"/>
      <c r="BP1758" s="77"/>
      <c r="BR1758" s="497">
        <v>39.019999999999996</v>
      </c>
      <c r="BT1758" s="42"/>
    </row>
    <row r="1759" spans="1:72" x14ac:dyDescent="0.25">
      <c r="A1759" s="90">
        <v>38060</v>
      </c>
      <c r="B1759" s="20">
        <v>0.54166666666666663</v>
      </c>
      <c r="D1759">
        <v>55.94</v>
      </c>
      <c r="E1759" t="str">
        <f t="shared" si="90"/>
        <v>SUNDAY</v>
      </c>
      <c r="F1759" t="e">
        <f t="shared" si="89"/>
        <v>#N/A</v>
      </c>
      <c r="G1759" s="74">
        <v>32946</v>
      </c>
      <c r="H1759" s="77">
        <v>0.54166666666666663</v>
      </c>
      <c r="J1759">
        <v>46.94</v>
      </c>
      <c r="M1759" s="74">
        <v>36599</v>
      </c>
      <c r="N1759" s="77">
        <v>0.54166666666666663</v>
      </c>
      <c r="P1759">
        <v>51.8</v>
      </c>
      <c r="S1759" s="74">
        <v>38060</v>
      </c>
      <c r="T1759" s="77">
        <v>0.54166666666666663</v>
      </c>
      <c r="V1759">
        <v>37.04</v>
      </c>
      <c r="X1759" s="42"/>
      <c r="AB1759">
        <v>44.4</v>
      </c>
      <c r="AC1759">
        <v>37.04</v>
      </c>
      <c r="AE1759" s="74"/>
      <c r="AF1759" s="77"/>
      <c r="AH1759" s="497">
        <v>51.8</v>
      </c>
      <c r="AJ1759" s="42"/>
      <c r="AK1759" s="74"/>
      <c r="AL1759" s="77"/>
      <c r="AN1759" s="497">
        <v>46.94</v>
      </c>
      <c r="AP1759" s="42"/>
      <c r="AQ1759" s="74"/>
      <c r="AR1759" s="77"/>
      <c r="AT1759" s="497">
        <v>37.94</v>
      </c>
      <c r="AV1759" s="42"/>
      <c r="AW1759" s="74"/>
      <c r="AX1759" s="77"/>
      <c r="BA1759" s="497">
        <v>77</v>
      </c>
      <c r="BB1759" s="42"/>
      <c r="BC1759" s="74"/>
      <c r="BD1759" s="77"/>
      <c r="BF1759">
        <v>77</v>
      </c>
      <c r="BH1759" s="42"/>
      <c r="BI1759" s="74"/>
      <c r="BJ1759" s="77"/>
      <c r="BL1759" s="497">
        <v>46.94</v>
      </c>
      <c r="BN1759" s="42"/>
      <c r="BO1759" s="74"/>
      <c r="BP1759" s="77"/>
      <c r="BR1759" s="497">
        <v>39.92</v>
      </c>
      <c r="BT1759" s="42"/>
    </row>
    <row r="1760" spans="1:72" x14ac:dyDescent="0.25">
      <c r="A1760" s="90">
        <v>38060</v>
      </c>
      <c r="B1760" s="20">
        <v>0.58333333333333337</v>
      </c>
      <c r="D1760">
        <v>59</v>
      </c>
      <c r="E1760" t="str">
        <f t="shared" si="90"/>
        <v>SUNDAY</v>
      </c>
      <c r="F1760" t="e">
        <f t="shared" si="89"/>
        <v>#N/A</v>
      </c>
      <c r="G1760" s="74">
        <v>32946</v>
      </c>
      <c r="H1760" s="77">
        <v>0.58333333333333337</v>
      </c>
      <c r="J1760">
        <v>48.92</v>
      </c>
      <c r="M1760" s="74">
        <v>36599</v>
      </c>
      <c r="N1760" s="77">
        <v>0.58333333333333337</v>
      </c>
      <c r="P1760">
        <v>48.2</v>
      </c>
      <c r="S1760" s="74">
        <v>38060</v>
      </c>
      <c r="T1760" s="77">
        <v>0.58333333333333337</v>
      </c>
      <c r="V1760">
        <v>39.019999999999996</v>
      </c>
      <c r="X1760" s="42"/>
      <c r="AB1760">
        <v>45.2</v>
      </c>
      <c r="AC1760">
        <v>35.96</v>
      </c>
      <c r="AE1760" s="74"/>
      <c r="AF1760" s="77"/>
      <c r="AH1760" s="497">
        <v>51.8</v>
      </c>
      <c r="AJ1760" s="42"/>
      <c r="AK1760" s="74"/>
      <c r="AL1760" s="77"/>
      <c r="AN1760" s="497">
        <v>51.08</v>
      </c>
      <c r="AP1760" s="42"/>
      <c r="AQ1760" s="74"/>
      <c r="AR1760" s="77"/>
      <c r="AT1760" s="497">
        <v>39.56</v>
      </c>
      <c r="AV1760" s="42"/>
      <c r="AW1760" s="74"/>
      <c r="AX1760" s="77"/>
      <c r="BA1760" s="497">
        <v>82.039999999999992</v>
      </c>
      <c r="BB1760" s="42"/>
      <c r="BC1760" s="74"/>
      <c r="BD1760" s="77"/>
      <c r="BF1760">
        <v>77</v>
      </c>
      <c r="BH1760" s="42"/>
      <c r="BI1760" s="74"/>
      <c r="BJ1760" s="77"/>
      <c r="BL1760" s="497">
        <v>46.04</v>
      </c>
      <c r="BN1760" s="42"/>
      <c r="BO1760" s="74"/>
      <c r="BP1760" s="77"/>
      <c r="BR1760" s="497">
        <v>39.019999999999996</v>
      </c>
      <c r="BT1760" s="42"/>
    </row>
    <row r="1761" spans="1:72" x14ac:dyDescent="0.25">
      <c r="A1761" s="90">
        <v>38060</v>
      </c>
      <c r="B1761" s="20">
        <v>0.625</v>
      </c>
      <c r="D1761">
        <v>53.96</v>
      </c>
      <c r="E1761" t="str">
        <f t="shared" si="90"/>
        <v>SUNDAY</v>
      </c>
      <c r="F1761" t="e">
        <f t="shared" si="89"/>
        <v>#N/A</v>
      </c>
      <c r="G1761" s="74">
        <v>32946</v>
      </c>
      <c r="H1761" s="77">
        <v>0.625</v>
      </c>
      <c r="J1761">
        <v>46.94</v>
      </c>
      <c r="M1761" s="74">
        <v>36599</v>
      </c>
      <c r="N1761" s="77">
        <v>0.625</v>
      </c>
      <c r="P1761">
        <v>50</v>
      </c>
      <c r="S1761" s="74">
        <v>38060</v>
      </c>
      <c r="T1761" s="77">
        <v>0.625</v>
      </c>
      <c r="V1761">
        <v>39.019999999999996</v>
      </c>
      <c r="X1761" s="42"/>
      <c r="AB1761">
        <v>45.5</v>
      </c>
      <c r="AC1761">
        <v>35.96</v>
      </c>
      <c r="AE1761" s="74"/>
      <c r="AF1761" s="77"/>
      <c r="AH1761" s="497">
        <v>50</v>
      </c>
      <c r="AJ1761" s="42"/>
      <c r="AK1761" s="74"/>
      <c r="AL1761" s="77"/>
      <c r="AN1761" s="497">
        <v>51.08</v>
      </c>
      <c r="AP1761" s="42"/>
      <c r="AQ1761" s="74"/>
      <c r="AR1761" s="77"/>
      <c r="AT1761" s="497">
        <v>41.36</v>
      </c>
      <c r="AV1761" s="42"/>
      <c r="AW1761" s="74"/>
      <c r="AX1761" s="77"/>
      <c r="BA1761" s="497">
        <v>82.039999999999992</v>
      </c>
      <c r="BB1761" s="42"/>
      <c r="BC1761" s="74"/>
      <c r="BD1761" s="77"/>
      <c r="BF1761">
        <v>75.92</v>
      </c>
      <c r="BH1761" s="42"/>
      <c r="BI1761" s="74"/>
      <c r="BJ1761" s="77"/>
      <c r="BL1761" s="497">
        <v>44.96</v>
      </c>
      <c r="BN1761" s="42"/>
      <c r="BO1761" s="74"/>
      <c r="BP1761" s="77"/>
      <c r="BR1761" s="497">
        <v>39.019999999999996</v>
      </c>
      <c r="BT1761" s="42"/>
    </row>
    <row r="1762" spans="1:72" x14ac:dyDescent="0.25">
      <c r="A1762" s="90">
        <v>38060</v>
      </c>
      <c r="B1762" s="20">
        <v>0.66666666666666663</v>
      </c>
      <c r="D1762">
        <v>51.08</v>
      </c>
      <c r="E1762" t="str">
        <f t="shared" si="90"/>
        <v>SUNDAY</v>
      </c>
      <c r="F1762" t="e">
        <f t="shared" si="89"/>
        <v>#N/A</v>
      </c>
      <c r="G1762" s="74">
        <v>32946</v>
      </c>
      <c r="H1762" s="77">
        <v>0.66666666666666663</v>
      </c>
      <c r="J1762">
        <v>46.94</v>
      </c>
      <c r="M1762" s="74">
        <v>36599</v>
      </c>
      <c r="N1762" s="77">
        <v>0.66666666666666663</v>
      </c>
      <c r="P1762">
        <v>50</v>
      </c>
      <c r="S1762" s="74">
        <v>38060</v>
      </c>
      <c r="T1762" s="77">
        <v>0.66666666666666663</v>
      </c>
      <c r="V1762">
        <v>39.019999999999996</v>
      </c>
      <c r="X1762" s="42"/>
      <c r="AB1762">
        <v>45.6</v>
      </c>
      <c r="AC1762">
        <v>35.06</v>
      </c>
      <c r="AE1762" s="74"/>
      <c r="AF1762" s="77"/>
      <c r="AH1762" s="497">
        <v>53.6</v>
      </c>
      <c r="AJ1762" s="42"/>
      <c r="AK1762" s="74"/>
      <c r="AL1762" s="77"/>
      <c r="AN1762" s="497">
        <v>51.08</v>
      </c>
      <c r="AP1762" s="42"/>
      <c r="AQ1762" s="74"/>
      <c r="AR1762" s="77"/>
      <c r="AT1762" s="497">
        <v>42.980000000000004</v>
      </c>
      <c r="AV1762" s="42"/>
      <c r="AW1762" s="74"/>
      <c r="AX1762" s="77"/>
      <c r="BA1762" s="497">
        <v>80.06</v>
      </c>
      <c r="BB1762" s="42"/>
      <c r="BC1762" s="74"/>
      <c r="BD1762" s="77"/>
      <c r="BF1762">
        <v>75.02</v>
      </c>
      <c r="BH1762" s="42"/>
      <c r="BI1762" s="74"/>
      <c r="BJ1762" s="77"/>
      <c r="BL1762" s="497">
        <v>46.04</v>
      </c>
      <c r="BN1762" s="42"/>
      <c r="BO1762" s="74"/>
      <c r="BP1762" s="77"/>
      <c r="BR1762" s="497">
        <v>39.019999999999996</v>
      </c>
      <c r="BT1762" s="42"/>
    </row>
    <row r="1763" spans="1:72" x14ac:dyDescent="0.25">
      <c r="A1763" s="90">
        <v>38060</v>
      </c>
      <c r="B1763" s="20">
        <v>0.70833333333333337</v>
      </c>
      <c r="D1763">
        <v>48.92</v>
      </c>
      <c r="E1763" t="str">
        <f t="shared" si="90"/>
        <v>SUNDAY</v>
      </c>
      <c r="F1763" t="e">
        <f t="shared" si="89"/>
        <v>#N/A</v>
      </c>
      <c r="G1763" s="74">
        <v>32946</v>
      </c>
      <c r="H1763" s="77">
        <v>0.70833333333333337</v>
      </c>
      <c r="J1763">
        <v>44.96</v>
      </c>
      <c r="M1763" s="74">
        <v>36599</v>
      </c>
      <c r="N1763" s="77">
        <v>0.70833333333333337</v>
      </c>
      <c r="P1763">
        <v>48.2</v>
      </c>
      <c r="S1763" s="74">
        <v>38060</v>
      </c>
      <c r="T1763" s="77">
        <v>0.70833333333333337</v>
      </c>
      <c r="V1763">
        <v>39.019999999999996</v>
      </c>
      <c r="X1763" s="42"/>
      <c r="AB1763">
        <v>45.1</v>
      </c>
      <c r="AC1763">
        <v>35.96</v>
      </c>
      <c r="AE1763" s="74"/>
      <c r="AF1763" s="77"/>
      <c r="AH1763" s="497">
        <v>51.8</v>
      </c>
      <c r="AJ1763" s="42"/>
      <c r="AK1763" s="74"/>
      <c r="AL1763" s="77"/>
      <c r="AN1763" s="497">
        <v>51.08</v>
      </c>
      <c r="AP1763" s="42"/>
      <c r="AQ1763" s="74"/>
      <c r="AR1763" s="77"/>
      <c r="AT1763" s="497">
        <v>40.28</v>
      </c>
      <c r="AV1763" s="42"/>
      <c r="AW1763" s="74"/>
      <c r="AX1763" s="77"/>
      <c r="BA1763" s="497">
        <v>78.080000000000013</v>
      </c>
      <c r="BB1763" s="42"/>
      <c r="BC1763" s="74"/>
      <c r="BD1763" s="77"/>
      <c r="BF1763">
        <v>73.039999999999992</v>
      </c>
      <c r="BH1763" s="42"/>
      <c r="BI1763" s="74"/>
      <c r="BJ1763" s="77"/>
      <c r="BL1763" s="497">
        <v>46.04</v>
      </c>
      <c r="BN1763" s="42"/>
      <c r="BO1763" s="74"/>
      <c r="BP1763" s="77"/>
      <c r="BR1763" s="497">
        <v>41</v>
      </c>
      <c r="BT1763" s="42"/>
    </row>
    <row r="1764" spans="1:72" x14ac:dyDescent="0.25">
      <c r="A1764" s="90">
        <v>38060</v>
      </c>
      <c r="B1764" s="20">
        <v>0.75</v>
      </c>
      <c r="D1764">
        <v>44.96</v>
      </c>
      <c r="E1764" t="str">
        <f t="shared" si="90"/>
        <v>SUNDAY</v>
      </c>
      <c r="F1764" t="e">
        <f t="shared" si="89"/>
        <v>#N/A</v>
      </c>
      <c r="G1764" s="74">
        <v>32946</v>
      </c>
      <c r="H1764" s="77">
        <v>0.75</v>
      </c>
      <c r="J1764">
        <v>44.96</v>
      </c>
      <c r="M1764" s="74">
        <v>36599</v>
      </c>
      <c r="N1764" s="77">
        <v>0.75</v>
      </c>
      <c r="P1764">
        <v>44.6</v>
      </c>
      <c r="S1764" s="74">
        <v>38060</v>
      </c>
      <c r="T1764" s="77">
        <v>0.75</v>
      </c>
      <c r="V1764">
        <v>39.019999999999996</v>
      </c>
      <c r="X1764" s="42"/>
      <c r="AB1764">
        <v>44.1</v>
      </c>
      <c r="AC1764">
        <v>35.06</v>
      </c>
      <c r="AE1764" s="74"/>
      <c r="AF1764" s="77"/>
      <c r="AH1764" s="497">
        <v>48.2</v>
      </c>
      <c r="AJ1764" s="42"/>
      <c r="AK1764" s="74"/>
      <c r="AL1764" s="77"/>
      <c r="AN1764" s="497">
        <v>48.019999999999996</v>
      </c>
      <c r="AP1764" s="42"/>
      <c r="AQ1764" s="74"/>
      <c r="AR1764" s="77"/>
      <c r="AT1764" s="497">
        <v>37.76</v>
      </c>
      <c r="AV1764" s="42"/>
      <c r="AW1764" s="74"/>
      <c r="AX1764" s="77"/>
      <c r="BA1764" s="497">
        <v>77</v>
      </c>
      <c r="BB1764" s="42"/>
      <c r="BC1764" s="74"/>
      <c r="BD1764" s="77"/>
      <c r="BF1764">
        <v>69.98</v>
      </c>
      <c r="BH1764" s="42"/>
      <c r="BI1764" s="74"/>
      <c r="BJ1764" s="77"/>
      <c r="BL1764" s="497">
        <v>46.04</v>
      </c>
      <c r="BN1764" s="42"/>
      <c r="BO1764" s="74"/>
      <c r="BP1764" s="77"/>
      <c r="BR1764" s="497">
        <v>39.019999999999996</v>
      </c>
      <c r="BT1764" s="42"/>
    </row>
    <row r="1765" spans="1:72" x14ac:dyDescent="0.25">
      <c r="A1765" s="90">
        <v>38060</v>
      </c>
      <c r="B1765" s="20">
        <v>0.79166666666666663</v>
      </c>
      <c r="D1765">
        <v>44.96</v>
      </c>
      <c r="E1765" t="str">
        <f t="shared" si="90"/>
        <v>SUNDAY</v>
      </c>
      <c r="F1765" t="e">
        <f t="shared" si="89"/>
        <v>#N/A</v>
      </c>
      <c r="G1765" s="74">
        <v>32946</v>
      </c>
      <c r="H1765" s="77">
        <v>0.79166666666666663</v>
      </c>
      <c r="J1765">
        <v>44.06</v>
      </c>
      <c r="M1765" s="74">
        <v>36599</v>
      </c>
      <c r="N1765" s="77">
        <v>0.79166666666666663</v>
      </c>
      <c r="P1765">
        <v>42.8</v>
      </c>
      <c r="S1765" s="74">
        <v>38060</v>
      </c>
      <c r="T1765" s="77">
        <v>0.79166666666666663</v>
      </c>
      <c r="V1765">
        <v>39.92</v>
      </c>
      <c r="X1765" s="42"/>
      <c r="AB1765">
        <v>42.6</v>
      </c>
      <c r="AC1765">
        <v>35.96</v>
      </c>
      <c r="AE1765" s="74"/>
      <c r="AF1765" s="77"/>
      <c r="AH1765" s="497">
        <v>46.4</v>
      </c>
      <c r="AJ1765" s="42"/>
      <c r="AK1765" s="74"/>
      <c r="AL1765" s="77"/>
      <c r="AN1765" s="497">
        <v>46.04</v>
      </c>
      <c r="AP1765" s="42"/>
      <c r="AQ1765" s="74"/>
      <c r="AR1765" s="77"/>
      <c r="AT1765" s="497">
        <v>35.06</v>
      </c>
      <c r="AV1765" s="42"/>
      <c r="AW1765" s="74"/>
      <c r="AX1765" s="77"/>
      <c r="BA1765" s="497">
        <v>71.960000000000008</v>
      </c>
      <c r="BB1765" s="42"/>
      <c r="BC1765" s="74"/>
      <c r="BD1765" s="77"/>
      <c r="BF1765">
        <v>66.92</v>
      </c>
      <c r="BH1765" s="42"/>
      <c r="BI1765" s="74"/>
      <c r="BJ1765" s="77"/>
      <c r="BL1765" s="497">
        <v>42.980000000000004</v>
      </c>
      <c r="BN1765" s="42"/>
      <c r="BO1765" s="74"/>
      <c r="BP1765" s="77"/>
      <c r="BR1765" s="497">
        <v>37.94</v>
      </c>
      <c r="BT1765" s="42"/>
    </row>
    <row r="1766" spans="1:72" x14ac:dyDescent="0.25">
      <c r="A1766" s="90">
        <v>38060</v>
      </c>
      <c r="B1766" s="20">
        <v>0.83333333333333337</v>
      </c>
      <c r="D1766">
        <v>44.96</v>
      </c>
      <c r="E1766" t="str">
        <f t="shared" si="90"/>
        <v>SUNDAY</v>
      </c>
      <c r="F1766" t="e">
        <f t="shared" si="89"/>
        <v>#N/A</v>
      </c>
      <c r="G1766" s="74">
        <v>32946</v>
      </c>
      <c r="H1766" s="77">
        <v>0.83333333333333337</v>
      </c>
      <c r="J1766">
        <v>42.980000000000004</v>
      </c>
      <c r="M1766" s="74">
        <v>36599</v>
      </c>
      <c r="N1766" s="77">
        <v>0.83333333333333337</v>
      </c>
      <c r="P1766">
        <v>42.8</v>
      </c>
      <c r="S1766" s="74">
        <v>38060</v>
      </c>
      <c r="T1766" s="77">
        <v>0.83333333333333337</v>
      </c>
      <c r="V1766">
        <v>39.92</v>
      </c>
      <c r="X1766" s="42"/>
      <c r="AB1766">
        <v>41.8</v>
      </c>
      <c r="AC1766">
        <v>35.96</v>
      </c>
      <c r="AE1766" s="74"/>
      <c r="AF1766" s="77"/>
      <c r="AH1766" s="497">
        <v>46.4</v>
      </c>
      <c r="AJ1766" s="42"/>
      <c r="AK1766" s="74"/>
      <c r="AL1766" s="77"/>
      <c r="AN1766" s="497">
        <v>46.04</v>
      </c>
      <c r="AP1766" s="42"/>
      <c r="AQ1766" s="74"/>
      <c r="AR1766" s="77"/>
      <c r="AT1766" s="497">
        <v>32</v>
      </c>
      <c r="AV1766" s="42"/>
      <c r="AW1766" s="74"/>
      <c r="AX1766" s="77"/>
      <c r="BA1766" s="497">
        <v>71.06</v>
      </c>
      <c r="BB1766" s="42"/>
      <c r="BC1766" s="74"/>
      <c r="BD1766" s="77"/>
      <c r="BF1766">
        <v>64.94</v>
      </c>
      <c r="BH1766" s="42"/>
      <c r="BI1766" s="74"/>
      <c r="BJ1766" s="77"/>
      <c r="BL1766" s="497">
        <v>41</v>
      </c>
      <c r="BN1766" s="42"/>
      <c r="BO1766" s="74"/>
      <c r="BP1766" s="77"/>
      <c r="BR1766" s="497">
        <v>39.019999999999996</v>
      </c>
      <c r="BT1766" s="42"/>
    </row>
    <row r="1767" spans="1:72" x14ac:dyDescent="0.25">
      <c r="A1767" s="90">
        <v>38060</v>
      </c>
      <c r="B1767" s="20">
        <v>0.875</v>
      </c>
      <c r="D1767">
        <v>44.06</v>
      </c>
      <c r="E1767" t="str">
        <f t="shared" si="90"/>
        <v>SUNDAY</v>
      </c>
      <c r="F1767" t="e">
        <f t="shared" si="89"/>
        <v>#N/A</v>
      </c>
      <c r="G1767" s="74">
        <v>32946</v>
      </c>
      <c r="H1767" s="77">
        <v>0.875</v>
      </c>
      <c r="J1767">
        <v>42.08</v>
      </c>
      <c r="M1767" s="74">
        <v>36599</v>
      </c>
      <c r="N1767" s="77">
        <v>0.875</v>
      </c>
      <c r="P1767">
        <v>42.8</v>
      </c>
      <c r="S1767" s="74">
        <v>38060</v>
      </c>
      <c r="T1767" s="77">
        <v>0.875</v>
      </c>
      <c r="V1767">
        <v>39.92</v>
      </c>
      <c r="X1767" s="42"/>
      <c r="AB1767">
        <v>41.2</v>
      </c>
      <c r="AC1767">
        <v>35.96</v>
      </c>
      <c r="AE1767" s="74"/>
      <c r="AF1767" s="77"/>
      <c r="AH1767" s="497">
        <v>44.6</v>
      </c>
      <c r="AJ1767" s="42"/>
      <c r="AK1767" s="74"/>
      <c r="AL1767" s="77"/>
      <c r="AN1767" s="497">
        <v>44.96</v>
      </c>
      <c r="AP1767" s="42"/>
      <c r="AQ1767" s="74"/>
      <c r="AR1767" s="77"/>
      <c r="AT1767" s="497">
        <v>29.12</v>
      </c>
      <c r="AV1767" s="42"/>
      <c r="AW1767" s="74"/>
      <c r="AX1767" s="77"/>
      <c r="BA1767" s="497">
        <v>69.98</v>
      </c>
      <c r="BB1767" s="42"/>
      <c r="BC1767" s="74"/>
      <c r="BD1767" s="77"/>
      <c r="BF1767">
        <v>62.96</v>
      </c>
      <c r="BH1767" s="42"/>
      <c r="BI1767" s="74"/>
      <c r="BJ1767" s="77"/>
      <c r="BL1767" s="497">
        <v>42.08</v>
      </c>
      <c r="BN1767" s="42"/>
      <c r="BO1767" s="74"/>
      <c r="BP1767" s="77"/>
      <c r="BR1767" s="497">
        <v>39.019999999999996</v>
      </c>
      <c r="BT1767" s="42"/>
    </row>
    <row r="1768" spans="1:72" x14ac:dyDescent="0.25">
      <c r="A1768" s="90">
        <v>38060</v>
      </c>
      <c r="B1768" s="20">
        <v>0.91666666666666663</v>
      </c>
      <c r="D1768">
        <v>44.06</v>
      </c>
      <c r="E1768" t="str">
        <f t="shared" si="90"/>
        <v>SUNDAY</v>
      </c>
      <c r="F1768" t="e">
        <f t="shared" si="89"/>
        <v>#N/A</v>
      </c>
      <c r="G1768" s="74">
        <v>32946</v>
      </c>
      <c r="H1768" s="77">
        <v>0.91666666666666663</v>
      </c>
      <c r="J1768">
        <v>42.08</v>
      </c>
      <c r="M1768" s="74">
        <v>36599</v>
      </c>
      <c r="N1768" s="77">
        <v>0.91666666666666663</v>
      </c>
      <c r="P1768">
        <v>42.8</v>
      </c>
      <c r="S1768" s="74">
        <v>38060</v>
      </c>
      <c r="T1768" s="77">
        <v>0.91666666666666663</v>
      </c>
      <c r="V1768">
        <v>39.92</v>
      </c>
      <c r="X1768" s="42"/>
      <c r="AB1768">
        <v>40.700000000000003</v>
      </c>
      <c r="AC1768">
        <v>35.96</v>
      </c>
      <c r="AE1768" s="74"/>
      <c r="AF1768" s="77"/>
      <c r="AH1768" s="497">
        <v>42.8</v>
      </c>
      <c r="AJ1768" s="42"/>
      <c r="AK1768" s="74"/>
      <c r="AL1768" s="77"/>
      <c r="AN1768" s="497">
        <v>42.980000000000004</v>
      </c>
      <c r="AP1768" s="42"/>
      <c r="AQ1768" s="74"/>
      <c r="AR1768" s="77"/>
      <c r="AT1768" s="497">
        <v>26.060000000000002</v>
      </c>
      <c r="AV1768" s="42"/>
      <c r="AW1768" s="74"/>
      <c r="AX1768" s="77"/>
      <c r="BA1768" s="497">
        <v>66.92</v>
      </c>
      <c r="BB1768" s="42"/>
      <c r="BC1768" s="74"/>
      <c r="BD1768" s="77"/>
      <c r="BF1768">
        <v>60.980000000000004</v>
      </c>
      <c r="BH1768" s="42"/>
      <c r="BI1768" s="74"/>
      <c r="BJ1768" s="77"/>
      <c r="BL1768" s="497">
        <v>41</v>
      </c>
      <c r="BN1768" s="42"/>
      <c r="BO1768" s="74"/>
      <c r="BP1768" s="77"/>
      <c r="BR1768" s="497">
        <v>39.019999999999996</v>
      </c>
      <c r="BT1768" s="42"/>
    </row>
    <row r="1769" spans="1:72" x14ac:dyDescent="0.25">
      <c r="A1769" s="90">
        <v>38060</v>
      </c>
      <c r="B1769" s="20">
        <v>0.95833333333333337</v>
      </c>
      <c r="D1769">
        <v>44.06</v>
      </c>
      <c r="E1769" t="str">
        <f t="shared" si="90"/>
        <v>SUNDAY</v>
      </c>
      <c r="F1769" t="e">
        <f t="shared" si="89"/>
        <v>#N/A</v>
      </c>
      <c r="G1769" s="74">
        <v>32946</v>
      </c>
      <c r="H1769" s="77">
        <v>0.95833333333333337</v>
      </c>
      <c r="J1769">
        <v>41</v>
      </c>
      <c r="M1769" s="74">
        <v>36599</v>
      </c>
      <c r="N1769" s="77">
        <v>0.95833333333333337</v>
      </c>
      <c r="P1769">
        <v>41</v>
      </c>
      <c r="S1769" s="74">
        <v>38060</v>
      </c>
      <c r="T1769" s="77">
        <v>0.95833333333333337</v>
      </c>
      <c r="V1769">
        <v>41</v>
      </c>
      <c r="X1769" s="42"/>
      <c r="AB1769">
        <v>40.1</v>
      </c>
      <c r="AC1769">
        <v>35.06</v>
      </c>
      <c r="AE1769" s="74"/>
      <c r="AF1769" s="77"/>
      <c r="AH1769" s="497">
        <v>42.8</v>
      </c>
      <c r="AJ1769" s="42"/>
      <c r="AK1769" s="74"/>
      <c r="AL1769" s="77"/>
      <c r="AN1769" s="497">
        <v>41</v>
      </c>
      <c r="AP1769" s="42"/>
      <c r="AQ1769" s="74"/>
      <c r="AR1769" s="77"/>
      <c r="AT1769" s="497">
        <v>26.78</v>
      </c>
      <c r="AV1769" s="42"/>
      <c r="AW1769" s="74"/>
      <c r="AX1769" s="77"/>
      <c r="BA1769" s="497">
        <v>62.96</v>
      </c>
      <c r="BB1769" s="42"/>
      <c r="BC1769" s="74"/>
      <c r="BD1769" s="77"/>
      <c r="BF1769">
        <v>57.019999999999996</v>
      </c>
      <c r="BH1769" s="42"/>
      <c r="BI1769" s="74"/>
      <c r="BJ1769" s="77"/>
      <c r="BL1769" s="497">
        <v>37.94</v>
      </c>
      <c r="BN1769" s="42"/>
      <c r="BO1769" s="74"/>
      <c r="BP1769" s="77"/>
      <c r="BR1769" s="497">
        <v>35.96</v>
      </c>
      <c r="BT1769" s="42"/>
    </row>
    <row r="1770" spans="1:72" x14ac:dyDescent="0.25">
      <c r="A1770" s="90">
        <v>38060</v>
      </c>
      <c r="B1770" s="20">
        <v>1</v>
      </c>
      <c r="D1770">
        <v>44.96</v>
      </c>
      <c r="E1770" t="str">
        <f t="shared" si="90"/>
        <v>SUNDAY</v>
      </c>
      <c r="F1770" t="e">
        <f t="shared" si="89"/>
        <v>#N/A</v>
      </c>
      <c r="G1770" s="74">
        <v>32946</v>
      </c>
      <c r="H1770" s="77">
        <v>1</v>
      </c>
      <c r="J1770">
        <v>41</v>
      </c>
      <c r="M1770" s="74">
        <v>36599</v>
      </c>
      <c r="N1770" s="80">
        <v>1</v>
      </c>
      <c r="P1770">
        <v>42.8</v>
      </c>
      <c r="S1770" s="74">
        <v>38060</v>
      </c>
      <c r="T1770" s="80">
        <v>1</v>
      </c>
      <c r="V1770">
        <v>41</v>
      </c>
      <c r="X1770" s="42"/>
      <c r="AB1770">
        <v>39.4</v>
      </c>
      <c r="AC1770">
        <v>35.06</v>
      </c>
      <c r="AE1770" s="74"/>
      <c r="AF1770" s="80"/>
      <c r="AH1770" s="497">
        <v>37.4</v>
      </c>
      <c r="AJ1770" s="42"/>
      <c r="AK1770" s="74"/>
      <c r="AL1770" s="80"/>
      <c r="AN1770" s="497">
        <v>41</v>
      </c>
      <c r="AP1770" s="42"/>
      <c r="AQ1770" s="74"/>
      <c r="AR1770" s="80"/>
      <c r="AT1770" s="497">
        <v>27.32</v>
      </c>
      <c r="AV1770" s="42"/>
      <c r="AW1770" s="74"/>
      <c r="AX1770" s="80"/>
      <c r="BA1770" s="497">
        <v>57.019999999999996</v>
      </c>
      <c r="BB1770" s="42"/>
      <c r="BC1770" s="74"/>
      <c r="BD1770" s="80"/>
      <c r="BF1770">
        <v>57.92</v>
      </c>
      <c r="BH1770" s="42"/>
      <c r="BI1770" s="74"/>
      <c r="BJ1770" s="80"/>
      <c r="BL1770" s="497">
        <v>37.04</v>
      </c>
      <c r="BN1770" s="42"/>
      <c r="BO1770" s="74"/>
      <c r="BP1770" s="80"/>
      <c r="BR1770" s="497">
        <v>35.06</v>
      </c>
      <c r="BT1770" s="42"/>
    </row>
    <row r="1771" spans="1:72" x14ac:dyDescent="0.25">
      <c r="A1771" s="90">
        <v>38061</v>
      </c>
      <c r="B1771" s="20">
        <v>4.1666666666666664E-2</v>
      </c>
      <c r="D1771">
        <v>44.96</v>
      </c>
      <c r="E1771" t="str">
        <f t="shared" si="90"/>
        <v>WEEKDAY</v>
      </c>
      <c r="F1771" t="e">
        <f t="shared" ref="F1771:F1834" si="91">IF(E1771="WEEKDAY",VLOOKUP(B1771,$DD$19:$DG$42,2),IF(E1771="SATURDAY",VLOOKUP(B1771,$DD$19:$DG$42,3),VLOOKUP(B1771,$DD$19:$DG$42,4)))</f>
        <v>#N/A</v>
      </c>
      <c r="G1771" s="74">
        <v>32947</v>
      </c>
      <c r="H1771" s="77">
        <v>4.1666666666666664E-2</v>
      </c>
      <c r="J1771">
        <v>39.92</v>
      </c>
      <c r="M1771" s="74">
        <v>36600</v>
      </c>
      <c r="N1771" s="77">
        <v>4.1666666666666664E-2</v>
      </c>
      <c r="P1771">
        <v>39.200000000000003</v>
      </c>
      <c r="S1771" s="74">
        <v>38061</v>
      </c>
      <c r="T1771" s="77">
        <v>4.1666666666666664E-2</v>
      </c>
      <c r="V1771">
        <v>42.08</v>
      </c>
      <c r="X1771" s="42"/>
      <c r="AB1771">
        <v>38.799999999999997</v>
      </c>
      <c r="AC1771">
        <v>35.06</v>
      </c>
      <c r="AE1771" s="74"/>
      <c r="AF1771" s="77"/>
      <c r="AH1771" s="497">
        <v>35.6</v>
      </c>
      <c r="AJ1771" s="42"/>
      <c r="AK1771" s="74"/>
      <c r="AL1771" s="77"/>
      <c r="AN1771" s="497">
        <v>46.04</v>
      </c>
      <c r="AP1771" s="42"/>
      <c r="AQ1771" s="74"/>
      <c r="AR1771" s="77"/>
      <c r="AT1771" s="497">
        <v>28.04</v>
      </c>
      <c r="AV1771" s="42"/>
      <c r="AW1771" s="74"/>
      <c r="AX1771" s="77"/>
      <c r="BA1771" s="497">
        <v>55.94</v>
      </c>
      <c r="BB1771" s="42"/>
      <c r="BC1771" s="74"/>
      <c r="BD1771" s="77"/>
      <c r="BF1771">
        <v>57.92</v>
      </c>
      <c r="BH1771" s="42"/>
      <c r="BI1771" s="74"/>
      <c r="BJ1771" s="77"/>
      <c r="BL1771" s="497">
        <v>37.04</v>
      </c>
      <c r="BN1771" s="42"/>
      <c r="BO1771" s="74"/>
      <c r="BP1771" s="77"/>
      <c r="BR1771" s="497">
        <v>33.979999999999997</v>
      </c>
      <c r="BT1771" s="42"/>
    </row>
    <row r="1772" spans="1:72" x14ac:dyDescent="0.25">
      <c r="A1772" s="90">
        <v>38061</v>
      </c>
      <c r="B1772" s="20">
        <v>8.3333333333333329E-2</v>
      </c>
      <c r="D1772">
        <v>44.06</v>
      </c>
      <c r="E1772" t="str">
        <f t="shared" si="90"/>
        <v>WEEKDAY</v>
      </c>
      <c r="F1772" t="e">
        <f t="shared" si="91"/>
        <v>#N/A</v>
      </c>
      <c r="G1772" s="74">
        <v>32947</v>
      </c>
      <c r="H1772" s="77">
        <v>8.3333333333333329E-2</v>
      </c>
      <c r="J1772">
        <v>41</v>
      </c>
      <c r="M1772" s="74">
        <v>36600</v>
      </c>
      <c r="N1772" s="77">
        <v>8.3333333333333329E-2</v>
      </c>
      <c r="P1772">
        <v>35.6</v>
      </c>
      <c r="S1772" s="74">
        <v>38061</v>
      </c>
      <c r="T1772" s="77">
        <v>8.3333333333333329E-2</v>
      </c>
      <c r="V1772">
        <v>42.08</v>
      </c>
      <c r="X1772" s="42"/>
      <c r="AB1772">
        <v>38.200000000000003</v>
      </c>
      <c r="AC1772">
        <v>33.979999999999997</v>
      </c>
      <c r="AE1772" s="74"/>
      <c r="AF1772" s="77"/>
      <c r="AH1772" s="497">
        <v>33.799999999999997</v>
      </c>
      <c r="AJ1772" s="42"/>
      <c r="AK1772" s="74"/>
      <c r="AL1772" s="77"/>
      <c r="AN1772" s="497">
        <v>46.94</v>
      </c>
      <c r="AP1772" s="42"/>
      <c r="AQ1772" s="74"/>
      <c r="AR1772" s="77"/>
      <c r="AT1772" s="497">
        <v>31.64</v>
      </c>
      <c r="AV1772" s="42"/>
      <c r="AW1772" s="74"/>
      <c r="AX1772" s="77"/>
      <c r="BA1772" s="497">
        <v>51.08</v>
      </c>
      <c r="BB1772" s="42"/>
      <c r="BC1772" s="74"/>
      <c r="BD1772" s="77"/>
      <c r="BF1772">
        <v>57.019999999999996</v>
      </c>
      <c r="BH1772" s="42"/>
      <c r="BI1772" s="74"/>
      <c r="BJ1772" s="77"/>
      <c r="BL1772" s="497">
        <v>37.04</v>
      </c>
      <c r="BN1772" s="42"/>
      <c r="BO1772" s="74"/>
      <c r="BP1772" s="77"/>
      <c r="BR1772" s="497">
        <v>33.979999999999997</v>
      </c>
      <c r="BT1772" s="42"/>
    </row>
    <row r="1773" spans="1:72" x14ac:dyDescent="0.25">
      <c r="A1773" s="90">
        <v>38061</v>
      </c>
      <c r="B1773" s="20">
        <v>0.125</v>
      </c>
      <c r="D1773">
        <v>44.96</v>
      </c>
      <c r="E1773" t="str">
        <f t="shared" si="90"/>
        <v>WEEKDAY</v>
      </c>
      <c r="F1773" t="e">
        <f t="shared" si="91"/>
        <v>#N/A</v>
      </c>
      <c r="G1773" s="74">
        <v>32947</v>
      </c>
      <c r="H1773" s="77">
        <v>0.125</v>
      </c>
      <c r="J1773">
        <v>39.92</v>
      </c>
      <c r="M1773" s="74">
        <v>36600</v>
      </c>
      <c r="N1773" s="77">
        <v>0.125</v>
      </c>
      <c r="P1773">
        <v>35.6</v>
      </c>
      <c r="S1773" s="74">
        <v>38061</v>
      </c>
      <c r="T1773" s="77">
        <v>0.125</v>
      </c>
      <c r="V1773">
        <v>42.08</v>
      </c>
      <c r="X1773" s="42"/>
      <c r="AB1773">
        <v>37.6</v>
      </c>
      <c r="AC1773">
        <v>33.979999999999997</v>
      </c>
      <c r="AE1773" s="74"/>
      <c r="AF1773" s="77"/>
      <c r="AH1773" s="497">
        <v>30.2</v>
      </c>
      <c r="AJ1773" s="42"/>
      <c r="AK1773" s="74"/>
      <c r="AL1773" s="77"/>
      <c r="AN1773" s="497">
        <v>48.92</v>
      </c>
      <c r="AP1773" s="42"/>
      <c r="AQ1773" s="74"/>
      <c r="AR1773" s="77"/>
      <c r="AT1773" s="497">
        <v>35.42</v>
      </c>
      <c r="AV1773" s="42"/>
      <c r="AW1773" s="74"/>
      <c r="AX1773" s="77"/>
      <c r="BA1773" s="497">
        <v>50</v>
      </c>
      <c r="BB1773" s="42"/>
      <c r="BC1773" s="74"/>
      <c r="BD1773" s="77"/>
      <c r="BF1773">
        <v>57.92</v>
      </c>
      <c r="BH1773" s="42"/>
      <c r="BI1773" s="74"/>
      <c r="BJ1773" s="77"/>
      <c r="BL1773" s="497">
        <v>37.04</v>
      </c>
      <c r="BN1773" s="42"/>
      <c r="BO1773" s="74"/>
      <c r="BP1773" s="77"/>
      <c r="BR1773" s="497">
        <v>33.979999999999997</v>
      </c>
      <c r="BT1773" s="42"/>
    </row>
    <row r="1774" spans="1:72" x14ac:dyDescent="0.25">
      <c r="A1774" s="90">
        <v>38061</v>
      </c>
      <c r="B1774" s="20">
        <v>0.16666666666666666</v>
      </c>
      <c r="D1774">
        <v>44.96</v>
      </c>
      <c r="E1774" t="str">
        <f t="shared" si="90"/>
        <v>WEEKDAY</v>
      </c>
      <c r="F1774" t="e">
        <f t="shared" si="91"/>
        <v>#N/A</v>
      </c>
      <c r="G1774" s="74">
        <v>32947</v>
      </c>
      <c r="H1774" s="77">
        <v>0.16666666666666666</v>
      </c>
      <c r="J1774">
        <v>41</v>
      </c>
      <c r="M1774" s="74">
        <v>36600</v>
      </c>
      <c r="N1774" s="77">
        <v>0.16666666666666666</v>
      </c>
      <c r="P1774">
        <v>37.4</v>
      </c>
      <c r="S1774" s="74">
        <v>38061</v>
      </c>
      <c r="T1774" s="77">
        <v>0.16666666666666666</v>
      </c>
      <c r="V1774">
        <v>44.06</v>
      </c>
      <c r="X1774" s="42"/>
      <c r="AB1774">
        <v>37.200000000000003</v>
      </c>
      <c r="AC1774">
        <v>35.06</v>
      </c>
      <c r="AE1774" s="74"/>
      <c r="AF1774" s="77"/>
      <c r="AH1774" s="497">
        <v>28.4</v>
      </c>
      <c r="AJ1774" s="42"/>
      <c r="AK1774" s="74"/>
      <c r="AL1774" s="77"/>
      <c r="AN1774" s="497">
        <v>50</v>
      </c>
      <c r="AP1774" s="42"/>
      <c r="AQ1774" s="74"/>
      <c r="AR1774" s="77"/>
      <c r="AT1774" s="497">
        <v>39.019999999999996</v>
      </c>
      <c r="AV1774" s="42"/>
      <c r="AW1774" s="74"/>
      <c r="AX1774" s="77"/>
      <c r="BA1774" s="497">
        <v>50</v>
      </c>
      <c r="BB1774" s="42"/>
      <c r="BC1774" s="74"/>
      <c r="BD1774" s="77"/>
      <c r="BF1774">
        <v>59</v>
      </c>
      <c r="BH1774" s="42"/>
      <c r="BI1774" s="74"/>
      <c r="BJ1774" s="77"/>
      <c r="BL1774" s="497">
        <v>35.06</v>
      </c>
      <c r="BN1774" s="42"/>
      <c r="BO1774" s="74"/>
      <c r="BP1774" s="77"/>
      <c r="BR1774" s="497">
        <v>32</v>
      </c>
      <c r="BT1774" s="42"/>
    </row>
    <row r="1775" spans="1:72" x14ac:dyDescent="0.25">
      <c r="A1775" s="90">
        <v>38061</v>
      </c>
      <c r="B1775" s="20">
        <v>0.20833333333333334</v>
      </c>
      <c r="D1775">
        <v>44.96</v>
      </c>
      <c r="E1775" t="str">
        <f t="shared" si="90"/>
        <v>WEEKDAY</v>
      </c>
      <c r="F1775" t="e">
        <f t="shared" si="91"/>
        <v>#N/A</v>
      </c>
      <c r="G1775" s="74">
        <v>32947</v>
      </c>
      <c r="H1775" s="77">
        <v>0.20833333333333334</v>
      </c>
      <c r="J1775">
        <v>41</v>
      </c>
      <c r="M1775" s="74">
        <v>36600</v>
      </c>
      <c r="N1775" s="77">
        <v>0.20833333333333334</v>
      </c>
      <c r="P1775">
        <v>33.799999999999997</v>
      </c>
      <c r="S1775" s="74">
        <v>38061</v>
      </c>
      <c r="T1775" s="77">
        <v>0.20833333333333334</v>
      </c>
      <c r="V1775">
        <v>42.980000000000004</v>
      </c>
      <c r="X1775" s="42"/>
      <c r="AB1775">
        <v>36.700000000000003</v>
      </c>
      <c r="AC1775">
        <v>33.979999999999997</v>
      </c>
      <c r="AE1775" s="74"/>
      <c r="AF1775" s="77"/>
      <c r="AH1775" s="497">
        <v>28.4</v>
      </c>
      <c r="AJ1775" s="42"/>
      <c r="AK1775" s="74"/>
      <c r="AL1775" s="77"/>
      <c r="AN1775" s="497">
        <v>50</v>
      </c>
      <c r="AP1775" s="42"/>
      <c r="AQ1775" s="74"/>
      <c r="AR1775" s="77"/>
      <c r="AT1775" s="497">
        <v>38.659999999999997</v>
      </c>
      <c r="AV1775" s="42"/>
      <c r="AW1775" s="74"/>
      <c r="AX1775" s="77"/>
      <c r="BA1775" s="497">
        <v>53.06</v>
      </c>
      <c r="BB1775" s="42"/>
      <c r="BC1775" s="74"/>
      <c r="BD1775" s="77"/>
      <c r="BF1775">
        <v>59</v>
      </c>
      <c r="BH1775" s="42"/>
      <c r="BI1775" s="74"/>
      <c r="BJ1775" s="77"/>
      <c r="BL1775" s="497">
        <v>35.06</v>
      </c>
      <c r="BN1775" s="42"/>
      <c r="BO1775" s="74"/>
      <c r="BP1775" s="77"/>
      <c r="BR1775" s="497">
        <v>28.04</v>
      </c>
      <c r="BT1775" s="42"/>
    </row>
    <row r="1776" spans="1:72" x14ac:dyDescent="0.25">
      <c r="A1776" s="90">
        <v>38061</v>
      </c>
      <c r="B1776" s="20">
        <v>0.25</v>
      </c>
      <c r="D1776">
        <v>44.96</v>
      </c>
      <c r="E1776" t="str">
        <f t="shared" si="90"/>
        <v>WEEKDAY</v>
      </c>
      <c r="F1776" t="e">
        <f t="shared" si="91"/>
        <v>#N/A</v>
      </c>
      <c r="G1776" s="74">
        <v>32947</v>
      </c>
      <c r="H1776" s="77">
        <v>0.25</v>
      </c>
      <c r="J1776">
        <v>41</v>
      </c>
      <c r="M1776" s="74">
        <v>36600</v>
      </c>
      <c r="N1776" s="77">
        <v>0.25</v>
      </c>
      <c r="P1776">
        <v>33.799999999999997</v>
      </c>
      <c r="S1776" s="74">
        <v>38061</v>
      </c>
      <c r="T1776" s="77">
        <v>0.25</v>
      </c>
      <c r="V1776">
        <v>39.92</v>
      </c>
      <c r="X1776" s="42"/>
      <c r="AB1776">
        <v>36.4</v>
      </c>
      <c r="AC1776">
        <v>33.08</v>
      </c>
      <c r="AE1776" s="74"/>
      <c r="AF1776" s="77"/>
      <c r="AH1776" s="497">
        <v>26.6</v>
      </c>
      <c r="AJ1776" s="42"/>
      <c r="AK1776" s="74"/>
      <c r="AL1776" s="77"/>
      <c r="AN1776" s="497">
        <v>50</v>
      </c>
      <c r="AP1776" s="42"/>
      <c r="AQ1776" s="74"/>
      <c r="AR1776" s="77"/>
      <c r="AT1776" s="497">
        <v>38.299999999999997</v>
      </c>
      <c r="AV1776" s="42"/>
      <c r="AW1776" s="74"/>
      <c r="AX1776" s="77"/>
      <c r="BA1776" s="497">
        <v>50</v>
      </c>
      <c r="BB1776" s="42"/>
      <c r="BC1776" s="74"/>
      <c r="BD1776" s="77"/>
      <c r="BF1776">
        <v>59</v>
      </c>
      <c r="BH1776" s="42"/>
      <c r="BI1776" s="74"/>
      <c r="BJ1776" s="77"/>
      <c r="BL1776" s="497">
        <v>35.06</v>
      </c>
      <c r="BN1776" s="42"/>
      <c r="BO1776" s="74"/>
      <c r="BP1776" s="77"/>
      <c r="BR1776" s="497">
        <v>24.98</v>
      </c>
      <c r="BT1776" s="42"/>
    </row>
    <row r="1777" spans="1:72" x14ac:dyDescent="0.25">
      <c r="A1777" s="90">
        <v>38061</v>
      </c>
      <c r="B1777" s="20">
        <v>0.29166666666666669</v>
      </c>
      <c r="D1777">
        <v>44.96</v>
      </c>
      <c r="E1777" t="str">
        <f t="shared" si="90"/>
        <v>WEEKDAY</v>
      </c>
      <c r="F1777" t="e">
        <f t="shared" si="91"/>
        <v>#N/A</v>
      </c>
      <c r="G1777" s="74">
        <v>32947</v>
      </c>
      <c r="H1777" s="77">
        <v>0.29166666666666669</v>
      </c>
      <c r="J1777">
        <v>42.08</v>
      </c>
      <c r="M1777" s="74">
        <v>36600</v>
      </c>
      <c r="N1777" s="77">
        <v>0.29166666666666669</v>
      </c>
      <c r="P1777">
        <v>35.6</v>
      </c>
      <c r="S1777" s="74">
        <v>38061</v>
      </c>
      <c r="T1777" s="77">
        <v>0.29166666666666669</v>
      </c>
      <c r="V1777">
        <v>39.92</v>
      </c>
      <c r="X1777" s="42"/>
      <c r="AB1777">
        <v>36.200000000000003</v>
      </c>
      <c r="AC1777">
        <v>33.08</v>
      </c>
      <c r="AE1777" s="74"/>
      <c r="AF1777" s="77"/>
      <c r="AH1777" s="497">
        <v>28.4</v>
      </c>
      <c r="AJ1777" s="42"/>
      <c r="AK1777" s="74"/>
      <c r="AL1777" s="77"/>
      <c r="AN1777" s="497">
        <v>50</v>
      </c>
      <c r="AP1777" s="42"/>
      <c r="AQ1777" s="74"/>
      <c r="AR1777" s="77"/>
      <c r="AT1777" s="497">
        <v>37.94</v>
      </c>
      <c r="AV1777" s="42"/>
      <c r="AW1777" s="74"/>
      <c r="AX1777" s="77"/>
      <c r="BA1777" s="497">
        <v>51.08</v>
      </c>
      <c r="BB1777" s="42"/>
      <c r="BC1777" s="74"/>
      <c r="BD1777" s="77"/>
      <c r="BF1777">
        <v>60.08</v>
      </c>
      <c r="BH1777" s="42"/>
      <c r="BI1777" s="74"/>
      <c r="BJ1777" s="77"/>
      <c r="BL1777" s="497">
        <v>35.96</v>
      </c>
      <c r="BN1777" s="42"/>
      <c r="BO1777" s="74"/>
      <c r="BP1777" s="77"/>
      <c r="BR1777" s="497">
        <v>21.92</v>
      </c>
      <c r="BT1777" s="42"/>
    </row>
    <row r="1778" spans="1:72" x14ac:dyDescent="0.25">
      <c r="A1778" s="90">
        <v>38061</v>
      </c>
      <c r="B1778" s="20">
        <v>0.33333333333333331</v>
      </c>
      <c r="D1778">
        <v>46.04</v>
      </c>
      <c r="E1778" t="str">
        <f t="shared" si="90"/>
        <v>WEEKDAY</v>
      </c>
      <c r="F1778" t="e">
        <f t="shared" si="91"/>
        <v>#N/A</v>
      </c>
      <c r="G1778" s="74">
        <v>32947</v>
      </c>
      <c r="H1778" s="77">
        <v>0.33333333333333331</v>
      </c>
      <c r="J1778">
        <v>44.06</v>
      </c>
      <c r="M1778" s="74">
        <v>36600</v>
      </c>
      <c r="N1778" s="77">
        <v>0.33333333333333331</v>
      </c>
      <c r="P1778">
        <v>41</v>
      </c>
      <c r="S1778" s="74">
        <v>38061</v>
      </c>
      <c r="T1778" s="77">
        <v>0.33333333333333331</v>
      </c>
      <c r="V1778">
        <v>48.019999999999996</v>
      </c>
      <c r="X1778" s="42"/>
      <c r="AB1778">
        <v>36.799999999999997</v>
      </c>
      <c r="AC1778">
        <v>33.08</v>
      </c>
      <c r="AE1778" s="74"/>
      <c r="AF1778" s="77"/>
      <c r="AH1778" s="497">
        <v>35.6</v>
      </c>
      <c r="AJ1778" s="42"/>
      <c r="AK1778" s="74"/>
      <c r="AL1778" s="77"/>
      <c r="AN1778" s="497">
        <v>51.08</v>
      </c>
      <c r="AP1778" s="42"/>
      <c r="AQ1778" s="74"/>
      <c r="AR1778" s="77"/>
      <c r="AT1778" s="497">
        <v>37.94</v>
      </c>
      <c r="AV1778" s="42"/>
      <c r="AW1778" s="74"/>
      <c r="AX1778" s="77"/>
      <c r="BA1778" s="497">
        <v>55.040000000000006</v>
      </c>
      <c r="BB1778" s="42"/>
      <c r="BC1778" s="74"/>
      <c r="BD1778" s="77"/>
      <c r="BF1778">
        <v>60.980000000000004</v>
      </c>
      <c r="BH1778" s="42"/>
      <c r="BI1778" s="74"/>
      <c r="BJ1778" s="77"/>
      <c r="BL1778" s="497">
        <v>37.94</v>
      </c>
      <c r="BN1778" s="42"/>
      <c r="BO1778" s="74"/>
      <c r="BP1778" s="77"/>
      <c r="BR1778" s="497">
        <v>19.939999999999998</v>
      </c>
      <c r="BT1778" s="42"/>
    </row>
    <row r="1779" spans="1:72" x14ac:dyDescent="0.25">
      <c r="A1779" s="90">
        <v>38061</v>
      </c>
      <c r="B1779" s="20">
        <v>0.375</v>
      </c>
      <c r="D1779">
        <v>48.019999999999996</v>
      </c>
      <c r="E1779" t="str">
        <f t="shared" si="90"/>
        <v>WEEKDAY</v>
      </c>
      <c r="F1779" t="e">
        <f t="shared" si="91"/>
        <v>#N/A</v>
      </c>
      <c r="G1779" s="74">
        <v>32947</v>
      </c>
      <c r="H1779" s="77">
        <v>0.375</v>
      </c>
      <c r="J1779">
        <v>48.92</v>
      </c>
      <c r="M1779" s="74">
        <v>36600</v>
      </c>
      <c r="N1779" s="77">
        <v>0.375</v>
      </c>
      <c r="P1779">
        <v>44.6</v>
      </c>
      <c r="S1779" s="74">
        <v>38061</v>
      </c>
      <c r="T1779" s="77">
        <v>0.375</v>
      </c>
      <c r="V1779">
        <v>50</v>
      </c>
      <c r="X1779" s="42"/>
      <c r="AB1779">
        <v>38.6</v>
      </c>
      <c r="AC1779">
        <v>33.08</v>
      </c>
      <c r="AE1779" s="74"/>
      <c r="AF1779" s="77"/>
      <c r="AH1779" s="497">
        <v>42.8</v>
      </c>
      <c r="AJ1779" s="42"/>
      <c r="AK1779" s="74"/>
      <c r="AL1779" s="77"/>
      <c r="AN1779" s="497">
        <v>51.980000000000004</v>
      </c>
      <c r="AP1779" s="42"/>
      <c r="AQ1779" s="74"/>
      <c r="AR1779" s="77"/>
      <c r="AT1779" s="497">
        <v>37.94</v>
      </c>
      <c r="AV1779" s="42"/>
      <c r="AW1779" s="74"/>
      <c r="AX1779" s="77"/>
      <c r="BA1779" s="497">
        <v>60.980000000000004</v>
      </c>
      <c r="BB1779" s="42"/>
      <c r="BC1779" s="74"/>
      <c r="BD1779" s="77"/>
      <c r="BF1779">
        <v>64.94</v>
      </c>
      <c r="BH1779" s="42"/>
      <c r="BI1779" s="74"/>
      <c r="BJ1779" s="77"/>
      <c r="BL1779" s="497">
        <v>39.92</v>
      </c>
      <c r="BN1779" s="42"/>
      <c r="BO1779" s="74"/>
      <c r="BP1779" s="77"/>
      <c r="BR1779" s="497">
        <v>19.939999999999998</v>
      </c>
      <c r="BT1779" s="42"/>
    </row>
    <row r="1780" spans="1:72" x14ac:dyDescent="0.25">
      <c r="A1780" s="90">
        <v>38061</v>
      </c>
      <c r="B1780" s="20">
        <v>0.41666666666666669</v>
      </c>
      <c r="D1780">
        <v>51.980000000000004</v>
      </c>
      <c r="E1780" t="str">
        <f t="shared" si="90"/>
        <v>WEEKDAY</v>
      </c>
      <c r="F1780" t="e">
        <f t="shared" si="91"/>
        <v>#N/A</v>
      </c>
      <c r="G1780" s="74">
        <v>32947</v>
      </c>
      <c r="H1780" s="77">
        <v>0.41666666666666669</v>
      </c>
      <c r="J1780">
        <v>53.06</v>
      </c>
      <c r="M1780" s="74">
        <v>36600</v>
      </c>
      <c r="N1780" s="77">
        <v>0.41666666666666669</v>
      </c>
      <c r="P1780">
        <v>46.4</v>
      </c>
      <c r="S1780" s="74">
        <v>38061</v>
      </c>
      <c r="T1780" s="77">
        <v>0.41666666666666669</v>
      </c>
      <c r="V1780">
        <v>51.980000000000004</v>
      </c>
      <c r="X1780" s="42"/>
      <c r="AB1780">
        <v>40.4</v>
      </c>
      <c r="AC1780">
        <v>33.08</v>
      </c>
      <c r="AE1780" s="74"/>
      <c r="AF1780" s="77"/>
      <c r="AH1780" s="497">
        <v>42.8</v>
      </c>
      <c r="AJ1780" s="42"/>
      <c r="AK1780" s="74"/>
      <c r="AL1780" s="77"/>
      <c r="AN1780" s="497">
        <v>51.980000000000004</v>
      </c>
      <c r="AP1780" s="42"/>
      <c r="AQ1780" s="74"/>
      <c r="AR1780" s="77"/>
      <c r="AT1780" s="497">
        <v>37.94</v>
      </c>
      <c r="AV1780" s="42"/>
      <c r="AW1780" s="74"/>
      <c r="AX1780" s="77"/>
      <c r="BA1780" s="497">
        <v>68</v>
      </c>
      <c r="BB1780" s="42"/>
      <c r="BC1780" s="74"/>
      <c r="BD1780" s="77"/>
      <c r="BF1780">
        <v>71.960000000000008</v>
      </c>
      <c r="BH1780" s="42"/>
      <c r="BI1780" s="74"/>
      <c r="BJ1780" s="77"/>
      <c r="BL1780" s="497">
        <v>42.980000000000004</v>
      </c>
      <c r="BN1780" s="42"/>
      <c r="BO1780" s="74"/>
      <c r="BP1780" s="77"/>
      <c r="BR1780" s="497">
        <v>19.939999999999998</v>
      </c>
      <c r="BT1780" s="42"/>
    </row>
    <row r="1781" spans="1:72" x14ac:dyDescent="0.25">
      <c r="A1781" s="90">
        <v>38061</v>
      </c>
      <c r="B1781" s="20">
        <v>0.45833333333333331</v>
      </c>
      <c r="D1781">
        <v>53.06</v>
      </c>
      <c r="E1781" t="str">
        <f t="shared" si="90"/>
        <v>WEEKDAY</v>
      </c>
      <c r="F1781" t="e">
        <f t="shared" si="91"/>
        <v>#N/A</v>
      </c>
      <c r="G1781" s="74">
        <v>32947</v>
      </c>
      <c r="H1781" s="77">
        <v>0.45833333333333331</v>
      </c>
      <c r="J1781">
        <v>59</v>
      </c>
      <c r="M1781" s="74">
        <v>36600</v>
      </c>
      <c r="N1781" s="77">
        <v>0.45833333333333331</v>
      </c>
      <c r="P1781">
        <v>50</v>
      </c>
      <c r="S1781" s="74">
        <v>38061</v>
      </c>
      <c r="T1781" s="77">
        <v>0.45833333333333331</v>
      </c>
      <c r="V1781">
        <v>53.96</v>
      </c>
      <c r="X1781" s="42"/>
      <c r="AB1781">
        <v>42.1</v>
      </c>
      <c r="AC1781">
        <v>33.08</v>
      </c>
      <c r="AE1781" s="74"/>
      <c r="AF1781" s="77"/>
      <c r="AH1781" s="497">
        <v>48.2</v>
      </c>
      <c r="AJ1781" s="42"/>
      <c r="AK1781" s="74"/>
      <c r="AL1781" s="77"/>
      <c r="AN1781" s="497">
        <v>53.96</v>
      </c>
      <c r="AP1781" s="42"/>
      <c r="AQ1781" s="74"/>
      <c r="AR1781" s="77"/>
      <c r="AT1781" s="497">
        <v>39.380000000000003</v>
      </c>
      <c r="AV1781" s="42"/>
      <c r="AW1781" s="74"/>
      <c r="AX1781" s="77"/>
      <c r="BA1781" s="497">
        <v>71.960000000000008</v>
      </c>
      <c r="BB1781" s="42"/>
      <c r="BC1781" s="74"/>
      <c r="BD1781" s="77"/>
      <c r="BF1781">
        <v>75.02</v>
      </c>
      <c r="BH1781" s="42"/>
      <c r="BI1781" s="74"/>
      <c r="BJ1781" s="77"/>
      <c r="BL1781" s="497">
        <v>44.96</v>
      </c>
      <c r="BN1781" s="42"/>
      <c r="BO1781" s="74"/>
      <c r="BP1781" s="77"/>
      <c r="BR1781" s="497">
        <v>17.96</v>
      </c>
      <c r="BT1781" s="42"/>
    </row>
    <row r="1782" spans="1:72" x14ac:dyDescent="0.25">
      <c r="A1782" s="90">
        <v>38061</v>
      </c>
      <c r="B1782" s="20">
        <v>0.5</v>
      </c>
      <c r="D1782">
        <v>59</v>
      </c>
      <c r="E1782" t="str">
        <f t="shared" si="90"/>
        <v>WEEKDAY</v>
      </c>
      <c r="F1782" t="e">
        <f t="shared" si="91"/>
        <v>#N/A</v>
      </c>
      <c r="G1782" s="74">
        <v>32947</v>
      </c>
      <c r="H1782" s="77">
        <v>0.5</v>
      </c>
      <c r="J1782">
        <v>66.02</v>
      </c>
      <c r="M1782" s="74">
        <v>36600</v>
      </c>
      <c r="N1782" s="77">
        <v>0.5</v>
      </c>
      <c r="P1782">
        <v>51.8</v>
      </c>
      <c r="S1782" s="74">
        <v>38061</v>
      </c>
      <c r="T1782" s="77">
        <v>0.5</v>
      </c>
      <c r="V1782">
        <v>55.94</v>
      </c>
      <c r="X1782" s="42"/>
      <c r="AB1782">
        <v>43.5</v>
      </c>
      <c r="AC1782">
        <v>33.979999999999997</v>
      </c>
      <c r="AE1782" s="74"/>
      <c r="AF1782" s="77"/>
      <c r="AH1782" s="497">
        <v>53.6</v>
      </c>
      <c r="AJ1782" s="42"/>
      <c r="AK1782" s="74"/>
      <c r="AL1782" s="77"/>
      <c r="AN1782" s="497">
        <v>53.96</v>
      </c>
      <c r="AP1782" s="42"/>
      <c r="AQ1782" s="74"/>
      <c r="AR1782" s="77"/>
      <c r="AT1782" s="497">
        <v>40.64</v>
      </c>
      <c r="AV1782" s="42"/>
      <c r="AW1782" s="74"/>
      <c r="AX1782" s="77"/>
      <c r="BA1782" s="497">
        <v>71.06</v>
      </c>
      <c r="BB1782" s="42"/>
      <c r="BC1782" s="74"/>
      <c r="BD1782" s="77"/>
      <c r="BF1782">
        <v>77</v>
      </c>
      <c r="BH1782" s="42"/>
      <c r="BI1782" s="74"/>
      <c r="BJ1782" s="77"/>
      <c r="BL1782" s="497">
        <v>46.04</v>
      </c>
      <c r="BN1782" s="42"/>
      <c r="BO1782" s="74"/>
      <c r="BP1782" s="77"/>
      <c r="BR1782" s="497">
        <v>19.939999999999998</v>
      </c>
      <c r="BT1782" s="42"/>
    </row>
    <row r="1783" spans="1:72" x14ac:dyDescent="0.25">
      <c r="A1783" s="90">
        <v>38061</v>
      </c>
      <c r="B1783" s="20">
        <v>0.54166666666666663</v>
      </c>
      <c r="D1783">
        <v>66.02</v>
      </c>
      <c r="E1783" t="str">
        <f t="shared" si="90"/>
        <v>WEEKDAY</v>
      </c>
      <c r="F1783" t="e">
        <f t="shared" si="91"/>
        <v>#N/A</v>
      </c>
      <c r="G1783" s="74">
        <v>32947</v>
      </c>
      <c r="H1783" s="77">
        <v>0.54166666666666663</v>
      </c>
      <c r="J1783">
        <v>69.080000000000013</v>
      </c>
      <c r="M1783" s="74">
        <v>36600</v>
      </c>
      <c r="N1783" s="77">
        <v>0.54166666666666663</v>
      </c>
      <c r="P1783">
        <v>55.400000000000006</v>
      </c>
      <c r="S1783" s="74">
        <v>38061</v>
      </c>
      <c r="T1783" s="77">
        <v>0.54166666666666663</v>
      </c>
      <c r="V1783">
        <v>55.94</v>
      </c>
      <c r="X1783" s="42"/>
      <c r="AB1783">
        <v>44.6</v>
      </c>
      <c r="AC1783">
        <v>35.06</v>
      </c>
      <c r="AE1783" s="74"/>
      <c r="AF1783" s="77"/>
      <c r="AH1783" s="497">
        <v>59</v>
      </c>
      <c r="AJ1783" s="42"/>
      <c r="AK1783" s="74"/>
      <c r="AL1783" s="77"/>
      <c r="AN1783" s="497">
        <v>55.94</v>
      </c>
      <c r="AP1783" s="42"/>
      <c r="AQ1783" s="74"/>
      <c r="AR1783" s="77"/>
      <c r="AT1783" s="497">
        <v>42.08</v>
      </c>
      <c r="AV1783" s="42"/>
      <c r="AW1783" s="74"/>
      <c r="AX1783" s="77"/>
      <c r="BA1783" s="497">
        <v>78.080000000000013</v>
      </c>
      <c r="BB1783" s="42"/>
      <c r="BC1783" s="74"/>
      <c r="BD1783" s="77"/>
      <c r="BF1783">
        <v>77</v>
      </c>
      <c r="BH1783" s="42"/>
      <c r="BI1783" s="74"/>
      <c r="BJ1783" s="77"/>
      <c r="BL1783" s="497">
        <v>48.019999999999996</v>
      </c>
      <c r="BN1783" s="42"/>
      <c r="BO1783" s="74"/>
      <c r="BP1783" s="77"/>
      <c r="BR1783" s="497">
        <v>19.939999999999998</v>
      </c>
      <c r="BT1783" s="42"/>
    </row>
    <row r="1784" spans="1:72" x14ac:dyDescent="0.25">
      <c r="A1784" s="90">
        <v>38061</v>
      </c>
      <c r="B1784" s="20">
        <v>0.58333333333333337</v>
      </c>
      <c r="D1784">
        <v>69.98</v>
      </c>
      <c r="E1784" t="str">
        <f t="shared" si="90"/>
        <v>WEEKDAY</v>
      </c>
      <c r="F1784" t="e">
        <f t="shared" si="91"/>
        <v>#N/A</v>
      </c>
      <c r="G1784" s="74">
        <v>32947</v>
      </c>
      <c r="H1784" s="77">
        <v>0.58333333333333337</v>
      </c>
      <c r="J1784">
        <v>73.039999999999992</v>
      </c>
      <c r="M1784" s="74">
        <v>36600</v>
      </c>
      <c r="N1784" s="77">
        <v>0.58333333333333337</v>
      </c>
      <c r="P1784">
        <v>57.2</v>
      </c>
      <c r="S1784" s="74">
        <v>38061</v>
      </c>
      <c r="T1784" s="77">
        <v>0.58333333333333337</v>
      </c>
      <c r="V1784">
        <v>57.019999999999996</v>
      </c>
      <c r="X1784" s="42"/>
      <c r="AB1784">
        <v>45.4</v>
      </c>
      <c r="AC1784">
        <v>35.06</v>
      </c>
      <c r="AE1784" s="74"/>
      <c r="AF1784" s="77"/>
      <c r="AH1784" s="497">
        <v>60.8</v>
      </c>
      <c r="AJ1784" s="42"/>
      <c r="AK1784" s="74"/>
      <c r="AL1784" s="77"/>
      <c r="AN1784" s="497">
        <v>55.94</v>
      </c>
      <c r="AP1784" s="42"/>
      <c r="AQ1784" s="74"/>
      <c r="AR1784" s="77"/>
      <c r="AT1784" s="497">
        <v>41.36</v>
      </c>
      <c r="AV1784" s="42"/>
      <c r="AW1784" s="74"/>
      <c r="AX1784" s="77"/>
      <c r="BA1784" s="497">
        <v>75.92</v>
      </c>
      <c r="BB1784" s="42"/>
      <c r="BC1784" s="74"/>
      <c r="BD1784" s="77"/>
      <c r="BF1784">
        <v>78.98</v>
      </c>
      <c r="BH1784" s="42"/>
      <c r="BI1784" s="74"/>
      <c r="BJ1784" s="77"/>
      <c r="BL1784" s="497">
        <v>46.04</v>
      </c>
      <c r="BN1784" s="42"/>
      <c r="BO1784" s="74"/>
      <c r="BP1784" s="77"/>
      <c r="BR1784" s="497">
        <v>19.939999999999998</v>
      </c>
      <c r="BT1784" s="42"/>
    </row>
    <row r="1785" spans="1:72" x14ac:dyDescent="0.25">
      <c r="A1785" s="90">
        <v>38061</v>
      </c>
      <c r="B1785" s="20">
        <v>0.625</v>
      </c>
      <c r="D1785">
        <v>69.080000000000013</v>
      </c>
      <c r="E1785" t="str">
        <f t="shared" si="90"/>
        <v>WEEKDAY</v>
      </c>
      <c r="F1785" t="e">
        <f t="shared" si="91"/>
        <v>#N/A</v>
      </c>
      <c r="G1785" s="74">
        <v>32947</v>
      </c>
      <c r="H1785" s="77">
        <v>0.625</v>
      </c>
      <c r="J1785">
        <v>71.960000000000008</v>
      </c>
      <c r="M1785" s="74">
        <v>36600</v>
      </c>
      <c r="N1785" s="77">
        <v>0.625</v>
      </c>
      <c r="P1785">
        <v>59</v>
      </c>
      <c r="S1785" s="74">
        <v>38061</v>
      </c>
      <c r="T1785" s="77">
        <v>0.625</v>
      </c>
      <c r="V1785">
        <v>59</v>
      </c>
      <c r="X1785" s="42"/>
      <c r="AB1785">
        <v>45.7</v>
      </c>
      <c r="AC1785">
        <v>35.96</v>
      </c>
      <c r="AE1785" s="74"/>
      <c r="AF1785" s="77"/>
      <c r="AH1785" s="497">
        <v>60.8</v>
      </c>
      <c r="AJ1785" s="42"/>
      <c r="AK1785" s="74"/>
      <c r="AL1785" s="77"/>
      <c r="AN1785" s="497">
        <v>59</v>
      </c>
      <c r="AP1785" s="42"/>
      <c r="AQ1785" s="74"/>
      <c r="AR1785" s="77"/>
      <c r="AT1785" s="497">
        <v>40.64</v>
      </c>
      <c r="AV1785" s="42"/>
      <c r="AW1785" s="74"/>
      <c r="AX1785" s="77"/>
      <c r="BA1785" s="497">
        <v>78.080000000000013</v>
      </c>
      <c r="BB1785" s="42"/>
      <c r="BC1785" s="74"/>
      <c r="BD1785" s="77"/>
      <c r="BF1785">
        <v>78.080000000000013</v>
      </c>
      <c r="BH1785" s="42"/>
      <c r="BI1785" s="74"/>
      <c r="BJ1785" s="77"/>
      <c r="BL1785" s="497">
        <v>44.06</v>
      </c>
      <c r="BN1785" s="42"/>
      <c r="BO1785" s="74"/>
      <c r="BP1785" s="77"/>
      <c r="BR1785" s="497">
        <v>21.02</v>
      </c>
      <c r="BT1785" s="42"/>
    </row>
    <row r="1786" spans="1:72" x14ac:dyDescent="0.25">
      <c r="A1786" s="90">
        <v>38061</v>
      </c>
      <c r="B1786" s="20">
        <v>0.66666666666666663</v>
      </c>
      <c r="D1786">
        <v>68</v>
      </c>
      <c r="E1786" t="str">
        <f t="shared" si="90"/>
        <v>WEEKDAY</v>
      </c>
      <c r="F1786" t="e">
        <f t="shared" si="91"/>
        <v>#N/A</v>
      </c>
      <c r="G1786" s="74">
        <v>32947</v>
      </c>
      <c r="H1786" s="77">
        <v>0.66666666666666663</v>
      </c>
      <c r="J1786">
        <v>68</v>
      </c>
      <c r="M1786" s="74">
        <v>36600</v>
      </c>
      <c r="N1786" s="77">
        <v>0.66666666666666663</v>
      </c>
      <c r="P1786">
        <v>59</v>
      </c>
      <c r="S1786" s="74">
        <v>38061</v>
      </c>
      <c r="T1786" s="77">
        <v>0.66666666666666663</v>
      </c>
      <c r="V1786">
        <v>57.92</v>
      </c>
      <c r="X1786" s="42"/>
      <c r="AB1786">
        <v>45.9</v>
      </c>
      <c r="AC1786">
        <v>35.96</v>
      </c>
      <c r="AE1786" s="74"/>
      <c r="AF1786" s="77"/>
      <c r="AH1786" s="497">
        <v>62.6</v>
      </c>
      <c r="AJ1786" s="42"/>
      <c r="AK1786" s="74"/>
      <c r="AL1786" s="77"/>
      <c r="AN1786" s="497">
        <v>60.08</v>
      </c>
      <c r="AP1786" s="42"/>
      <c r="AQ1786" s="74"/>
      <c r="AR1786" s="77"/>
      <c r="AT1786" s="497">
        <v>39.92</v>
      </c>
      <c r="AV1786" s="42"/>
      <c r="AW1786" s="74"/>
      <c r="AX1786" s="77"/>
      <c r="BA1786" s="497">
        <v>75.92</v>
      </c>
      <c r="BB1786" s="42"/>
      <c r="BC1786" s="74"/>
      <c r="BD1786" s="77"/>
      <c r="BF1786">
        <v>77</v>
      </c>
      <c r="BH1786" s="42"/>
      <c r="BI1786" s="74"/>
      <c r="BJ1786" s="77"/>
      <c r="BL1786" s="497">
        <v>42.980000000000004</v>
      </c>
      <c r="BN1786" s="42"/>
      <c r="BO1786" s="74"/>
      <c r="BP1786" s="77"/>
      <c r="BR1786" s="497">
        <v>23</v>
      </c>
      <c r="BT1786" s="42"/>
    </row>
    <row r="1787" spans="1:72" x14ac:dyDescent="0.25">
      <c r="A1787" s="90">
        <v>38061</v>
      </c>
      <c r="B1787" s="20">
        <v>0.70833333333333337</v>
      </c>
      <c r="D1787">
        <v>64.039999999999992</v>
      </c>
      <c r="E1787" t="str">
        <f t="shared" si="90"/>
        <v>WEEKDAY</v>
      </c>
      <c r="F1787" t="e">
        <f t="shared" si="91"/>
        <v>#N/A</v>
      </c>
      <c r="G1787" s="74">
        <v>32947</v>
      </c>
      <c r="H1787" s="77">
        <v>0.70833333333333337</v>
      </c>
      <c r="J1787">
        <v>64.94</v>
      </c>
      <c r="M1787" s="74">
        <v>36600</v>
      </c>
      <c r="N1787" s="77">
        <v>0.70833333333333337</v>
      </c>
      <c r="P1787">
        <v>57.2</v>
      </c>
      <c r="S1787" s="74">
        <v>38061</v>
      </c>
      <c r="T1787" s="77">
        <v>0.70833333333333337</v>
      </c>
      <c r="V1787">
        <v>57.92</v>
      </c>
      <c r="X1787" s="42"/>
      <c r="AB1787">
        <v>45.4</v>
      </c>
      <c r="AC1787">
        <v>35.06</v>
      </c>
      <c r="AE1787" s="74"/>
      <c r="AF1787" s="77"/>
      <c r="AH1787" s="497">
        <v>62.6</v>
      </c>
      <c r="AJ1787" s="42"/>
      <c r="AK1787" s="74"/>
      <c r="AL1787" s="77"/>
      <c r="AN1787" s="497">
        <v>60.980000000000004</v>
      </c>
      <c r="AP1787" s="42"/>
      <c r="AQ1787" s="74"/>
      <c r="AR1787" s="77"/>
      <c r="AT1787" s="497">
        <v>37.58</v>
      </c>
      <c r="AV1787" s="42"/>
      <c r="AW1787" s="74"/>
      <c r="AX1787" s="77"/>
      <c r="BA1787" s="497">
        <v>73.94</v>
      </c>
      <c r="BB1787" s="42"/>
      <c r="BC1787" s="74"/>
      <c r="BD1787" s="77"/>
      <c r="BF1787">
        <v>77</v>
      </c>
      <c r="BH1787" s="42"/>
      <c r="BI1787" s="74"/>
      <c r="BJ1787" s="77"/>
      <c r="BL1787" s="497">
        <v>42.08</v>
      </c>
      <c r="BN1787" s="42"/>
      <c r="BO1787" s="74"/>
      <c r="BP1787" s="77"/>
      <c r="BR1787" s="497">
        <v>24.08</v>
      </c>
      <c r="BT1787" s="42"/>
    </row>
    <row r="1788" spans="1:72" x14ac:dyDescent="0.25">
      <c r="A1788" s="90">
        <v>38061</v>
      </c>
      <c r="B1788" s="20">
        <v>0.75</v>
      </c>
      <c r="D1788">
        <v>55.94</v>
      </c>
      <c r="E1788" t="str">
        <f t="shared" si="90"/>
        <v>WEEKDAY</v>
      </c>
      <c r="F1788" t="e">
        <f t="shared" si="91"/>
        <v>#N/A</v>
      </c>
      <c r="G1788" s="74">
        <v>32947</v>
      </c>
      <c r="H1788" s="77">
        <v>0.75</v>
      </c>
      <c r="J1788">
        <v>64.039999999999992</v>
      </c>
      <c r="M1788" s="74">
        <v>36600</v>
      </c>
      <c r="N1788" s="77">
        <v>0.75</v>
      </c>
      <c r="P1788">
        <v>55.400000000000006</v>
      </c>
      <c r="S1788" s="74">
        <v>38061</v>
      </c>
      <c r="T1788" s="77">
        <v>0.75</v>
      </c>
      <c r="V1788">
        <v>55.94</v>
      </c>
      <c r="X1788" s="42"/>
      <c r="AB1788">
        <v>44.4</v>
      </c>
      <c r="AC1788">
        <v>35.06</v>
      </c>
      <c r="AE1788" s="74"/>
      <c r="AF1788" s="77"/>
      <c r="AH1788" s="497">
        <v>59</v>
      </c>
      <c r="AJ1788" s="42"/>
      <c r="AK1788" s="74"/>
      <c r="AL1788" s="77"/>
      <c r="AN1788" s="497">
        <v>60.980000000000004</v>
      </c>
      <c r="AP1788" s="42"/>
      <c r="AQ1788" s="74"/>
      <c r="AR1788" s="77"/>
      <c r="AT1788" s="497">
        <v>35.42</v>
      </c>
      <c r="AV1788" s="42"/>
      <c r="AW1788" s="74"/>
      <c r="AX1788" s="77"/>
      <c r="BA1788" s="497">
        <v>71.06</v>
      </c>
      <c r="BB1788" s="42"/>
      <c r="BC1788" s="74"/>
      <c r="BD1788" s="77"/>
      <c r="BF1788">
        <v>75.02</v>
      </c>
      <c r="BH1788" s="42"/>
      <c r="BI1788" s="74"/>
      <c r="BJ1788" s="77"/>
      <c r="BL1788" s="497">
        <v>41</v>
      </c>
      <c r="BN1788" s="42"/>
      <c r="BO1788" s="74"/>
      <c r="BP1788" s="77"/>
      <c r="BR1788" s="497">
        <v>21.92</v>
      </c>
      <c r="BT1788" s="42"/>
    </row>
    <row r="1789" spans="1:72" x14ac:dyDescent="0.25">
      <c r="A1789" s="90">
        <v>38061</v>
      </c>
      <c r="B1789" s="20">
        <v>0.79166666666666663</v>
      </c>
      <c r="D1789">
        <v>53.96</v>
      </c>
      <c r="E1789" t="str">
        <f t="shared" si="90"/>
        <v>WEEKDAY</v>
      </c>
      <c r="F1789" t="e">
        <f t="shared" si="91"/>
        <v>#N/A</v>
      </c>
      <c r="G1789" s="74">
        <v>32947</v>
      </c>
      <c r="H1789" s="77">
        <v>0.79166666666666663</v>
      </c>
      <c r="J1789">
        <v>62.06</v>
      </c>
      <c r="M1789" s="74">
        <v>36600</v>
      </c>
      <c r="N1789" s="77">
        <v>0.79166666666666663</v>
      </c>
      <c r="P1789">
        <v>53.6</v>
      </c>
      <c r="S1789" s="74">
        <v>38061</v>
      </c>
      <c r="T1789" s="77">
        <v>0.79166666666666663</v>
      </c>
      <c r="V1789">
        <v>53.96</v>
      </c>
      <c r="X1789" s="42"/>
      <c r="AB1789">
        <v>42.8</v>
      </c>
      <c r="AC1789">
        <v>35.06</v>
      </c>
      <c r="AE1789" s="74"/>
      <c r="AF1789" s="77"/>
      <c r="AH1789" s="497">
        <v>55.400000000000006</v>
      </c>
      <c r="AJ1789" s="42"/>
      <c r="AK1789" s="74"/>
      <c r="AL1789" s="77"/>
      <c r="AN1789" s="497">
        <v>59</v>
      </c>
      <c r="AP1789" s="42"/>
      <c r="AQ1789" s="74"/>
      <c r="AR1789" s="77"/>
      <c r="AT1789" s="497">
        <v>33.08</v>
      </c>
      <c r="AV1789" s="42"/>
      <c r="AW1789" s="74"/>
      <c r="AX1789" s="77"/>
      <c r="BA1789" s="497">
        <v>69.080000000000013</v>
      </c>
      <c r="BB1789" s="42"/>
      <c r="BC1789" s="74"/>
      <c r="BD1789" s="77"/>
      <c r="BF1789">
        <v>69.98</v>
      </c>
      <c r="BH1789" s="42"/>
      <c r="BI1789" s="74"/>
      <c r="BJ1789" s="77"/>
      <c r="BL1789" s="497">
        <v>41</v>
      </c>
      <c r="BN1789" s="42"/>
      <c r="BO1789" s="74"/>
      <c r="BP1789" s="77"/>
      <c r="BR1789" s="497">
        <v>21.02</v>
      </c>
      <c r="BT1789" s="42"/>
    </row>
    <row r="1790" spans="1:72" x14ac:dyDescent="0.25">
      <c r="A1790" s="90">
        <v>38061</v>
      </c>
      <c r="B1790" s="20">
        <v>0.83333333333333337</v>
      </c>
      <c r="D1790">
        <v>53.06</v>
      </c>
      <c r="E1790" t="str">
        <f t="shared" si="90"/>
        <v>WEEKDAY</v>
      </c>
      <c r="F1790" t="e">
        <f t="shared" si="91"/>
        <v>#N/A</v>
      </c>
      <c r="G1790" s="74">
        <v>32947</v>
      </c>
      <c r="H1790" s="77">
        <v>0.83333333333333337</v>
      </c>
      <c r="J1790">
        <v>62.06</v>
      </c>
      <c r="M1790" s="74">
        <v>36600</v>
      </c>
      <c r="N1790" s="77">
        <v>0.83333333333333337</v>
      </c>
      <c r="P1790">
        <v>50</v>
      </c>
      <c r="S1790" s="74">
        <v>38061</v>
      </c>
      <c r="T1790" s="77">
        <v>0.83333333333333337</v>
      </c>
      <c r="V1790">
        <v>53.06</v>
      </c>
      <c r="X1790" s="42"/>
      <c r="AB1790">
        <v>42</v>
      </c>
      <c r="AC1790">
        <v>35.06</v>
      </c>
      <c r="AE1790" s="74"/>
      <c r="AF1790" s="77"/>
      <c r="AH1790" s="497">
        <v>59</v>
      </c>
      <c r="AJ1790" s="42"/>
      <c r="AK1790" s="74"/>
      <c r="AL1790" s="77"/>
      <c r="AN1790" s="497">
        <v>57.019999999999996</v>
      </c>
      <c r="AP1790" s="42"/>
      <c r="AQ1790" s="74"/>
      <c r="AR1790" s="77"/>
      <c r="AT1790" s="497">
        <v>31.64</v>
      </c>
      <c r="AV1790" s="42"/>
      <c r="AW1790" s="74"/>
      <c r="AX1790" s="77"/>
      <c r="BA1790" s="497">
        <v>66.02</v>
      </c>
      <c r="BB1790" s="42"/>
      <c r="BC1790" s="74"/>
      <c r="BD1790" s="77"/>
      <c r="BF1790">
        <v>69.98</v>
      </c>
      <c r="BH1790" s="42"/>
      <c r="BI1790" s="74"/>
      <c r="BJ1790" s="77"/>
      <c r="BL1790" s="497">
        <v>39.019999999999996</v>
      </c>
      <c r="BN1790" s="42"/>
      <c r="BO1790" s="74"/>
      <c r="BP1790" s="77"/>
      <c r="BR1790" s="497">
        <v>21.02</v>
      </c>
      <c r="BT1790" s="42"/>
    </row>
    <row r="1791" spans="1:72" x14ac:dyDescent="0.25">
      <c r="A1791" s="90">
        <v>38061</v>
      </c>
      <c r="B1791" s="20">
        <v>0.875</v>
      </c>
      <c r="D1791">
        <v>51.980000000000004</v>
      </c>
      <c r="E1791" t="str">
        <f t="shared" si="90"/>
        <v>WEEKDAY</v>
      </c>
      <c r="F1791" t="e">
        <f t="shared" si="91"/>
        <v>#N/A</v>
      </c>
      <c r="G1791" s="74">
        <v>32947</v>
      </c>
      <c r="H1791" s="77">
        <v>0.875</v>
      </c>
      <c r="J1791">
        <v>62.06</v>
      </c>
      <c r="M1791" s="74">
        <v>36600</v>
      </c>
      <c r="N1791" s="77">
        <v>0.875</v>
      </c>
      <c r="P1791">
        <v>53.6</v>
      </c>
      <c r="S1791" s="74">
        <v>38061</v>
      </c>
      <c r="T1791" s="77">
        <v>0.875</v>
      </c>
      <c r="V1791">
        <v>50</v>
      </c>
      <c r="X1791" s="42"/>
      <c r="AB1791">
        <v>41.4</v>
      </c>
      <c r="AC1791">
        <v>33.979999999999997</v>
      </c>
      <c r="AE1791" s="74"/>
      <c r="AF1791" s="77"/>
      <c r="AH1791" s="497">
        <v>57.2</v>
      </c>
      <c r="AJ1791" s="42"/>
      <c r="AK1791" s="74"/>
      <c r="AL1791" s="77"/>
      <c r="AN1791" s="497">
        <v>57.019999999999996</v>
      </c>
      <c r="AP1791" s="42"/>
      <c r="AQ1791" s="74"/>
      <c r="AR1791" s="77"/>
      <c r="AT1791" s="497">
        <v>30.38</v>
      </c>
      <c r="AV1791" s="42"/>
      <c r="AW1791" s="74"/>
      <c r="AX1791" s="77"/>
      <c r="BA1791" s="497">
        <v>62.06</v>
      </c>
      <c r="BB1791" s="42"/>
      <c r="BC1791" s="74"/>
      <c r="BD1791" s="77"/>
      <c r="BF1791">
        <v>66.02</v>
      </c>
      <c r="BH1791" s="42"/>
      <c r="BI1791" s="74"/>
      <c r="BJ1791" s="77"/>
      <c r="BL1791" s="497">
        <v>37.94</v>
      </c>
      <c r="BN1791" s="42"/>
      <c r="BO1791" s="74"/>
      <c r="BP1791" s="77"/>
      <c r="BR1791" s="497">
        <v>19.939999999999998</v>
      </c>
      <c r="BT1791" s="42"/>
    </row>
    <row r="1792" spans="1:72" x14ac:dyDescent="0.25">
      <c r="A1792" s="90">
        <v>38061</v>
      </c>
      <c r="B1792" s="20">
        <v>0.91666666666666663</v>
      </c>
      <c r="D1792">
        <v>50</v>
      </c>
      <c r="E1792" t="str">
        <f t="shared" si="90"/>
        <v>WEEKDAY</v>
      </c>
      <c r="F1792" t="e">
        <f t="shared" si="91"/>
        <v>#N/A</v>
      </c>
      <c r="G1792" s="74">
        <v>32947</v>
      </c>
      <c r="H1792" s="77">
        <v>0.91666666666666663</v>
      </c>
      <c r="J1792">
        <v>66.02</v>
      </c>
      <c r="M1792" s="74">
        <v>36600</v>
      </c>
      <c r="N1792" s="77">
        <v>0.91666666666666663</v>
      </c>
      <c r="P1792">
        <v>51.8</v>
      </c>
      <c r="S1792" s="74">
        <v>38061</v>
      </c>
      <c r="T1792" s="77">
        <v>0.91666666666666663</v>
      </c>
      <c r="V1792">
        <v>48.019999999999996</v>
      </c>
      <c r="X1792" s="42"/>
      <c r="AB1792">
        <v>40.799999999999997</v>
      </c>
      <c r="AC1792">
        <v>33.979999999999997</v>
      </c>
      <c r="AE1792" s="74"/>
      <c r="AF1792" s="77"/>
      <c r="AH1792" s="497">
        <v>57.2</v>
      </c>
      <c r="AJ1792" s="42"/>
      <c r="AK1792" s="74"/>
      <c r="AL1792" s="77"/>
      <c r="AN1792" s="497">
        <v>57.92</v>
      </c>
      <c r="AP1792" s="42"/>
      <c r="AQ1792" s="74"/>
      <c r="AR1792" s="77"/>
      <c r="AT1792" s="497">
        <v>28.94</v>
      </c>
      <c r="AV1792" s="42"/>
      <c r="AW1792" s="74"/>
      <c r="AX1792" s="77"/>
      <c r="BA1792" s="497">
        <v>64.039999999999992</v>
      </c>
      <c r="BB1792" s="42"/>
      <c r="BC1792" s="74"/>
      <c r="BD1792" s="77"/>
      <c r="BF1792">
        <v>62.06</v>
      </c>
      <c r="BH1792" s="42"/>
      <c r="BI1792" s="74"/>
      <c r="BJ1792" s="77"/>
      <c r="BL1792" s="497">
        <v>37.04</v>
      </c>
      <c r="BN1792" s="42"/>
      <c r="BO1792" s="74"/>
      <c r="BP1792" s="77"/>
      <c r="BR1792" s="497">
        <v>19.04</v>
      </c>
      <c r="BT1792" s="42"/>
    </row>
    <row r="1793" spans="1:72" x14ac:dyDescent="0.25">
      <c r="A1793" s="90">
        <v>38061</v>
      </c>
      <c r="B1793" s="20">
        <v>0.95833333333333337</v>
      </c>
      <c r="D1793">
        <v>50</v>
      </c>
      <c r="E1793" t="str">
        <f t="shared" si="90"/>
        <v>WEEKDAY</v>
      </c>
      <c r="F1793" t="e">
        <f t="shared" si="91"/>
        <v>#N/A</v>
      </c>
      <c r="G1793" s="74">
        <v>32947</v>
      </c>
      <c r="H1793" s="77">
        <v>0.95833333333333337</v>
      </c>
      <c r="J1793">
        <v>62.96</v>
      </c>
      <c r="M1793" s="74">
        <v>36600</v>
      </c>
      <c r="N1793" s="77">
        <v>0.95833333333333337</v>
      </c>
      <c r="P1793">
        <v>50</v>
      </c>
      <c r="S1793" s="74">
        <v>38061</v>
      </c>
      <c r="T1793" s="77">
        <v>0.95833333333333337</v>
      </c>
      <c r="V1793">
        <v>46.04</v>
      </c>
      <c r="X1793" s="42"/>
      <c r="AB1793">
        <v>40.200000000000003</v>
      </c>
      <c r="AC1793">
        <v>33.979999999999997</v>
      </c>
      <c r="AE1793" s="74"/>
      <c r="AF1793" s="77"/>
      <c r="AH1793" s="497">
        <v>55.400000000000006</v>
      </c>
      <c r="AJ1793" s="42"/>
      <c r="AK1793" s="74"/>
      <c r="AL1793" s="77"/>
      <c r="AN1793" s="497">
        <v>57.019999999999996</v>
      </c>
      <c r="AP1793" s="42"/>
      <c r="AQ1793" s="74"/>
      <c r="AR1793" s="77"/>
      <c r="AT1793" s="497">
        <v>28.04</v>
      </c>
      <c r="AV1793" s="42"/>
      <c r="AW1793" s="74"/>
      <c r="AX1793" s="77"/>
      <c r="BA1793" s="497">
        <v>62.96</v>
      </c>
      <c r="BB1793" s="42"/>
      <c r="BC1793" s="74"/>
      <c r="BD1793" s="77"/>
      <c r="BF1793">
        <v>62.96</v>
      </c>
      <c r="BH1793" s="42"/>
      <c r="BI1793" s="74"/>
      <c r="BJ1793" s="77"/>
      <c r="BL1793" s="497">
        <v>35.96</v>
      </c>
      <c r="BN1793" s="42"/>
      <c r="BO1793" s="74"/>
      <c r="BP1793" s="77"/>
      <c r="BR1793" s="497">
        <v>17.059999999999999</v>
      </c>
      <c r="BT1793" s="42"/>
    </row>
    <row r="1794" spans="1:72" x14ac:dyDescent="0.25">
      <c r="A1794" s="90">
        <v>38061</v>
      </c>
      <c r="B1794" s="20">
        <v>1</v>
      </c>
      <c r="D1794">
        <v>46.04</v>
      </c>
      <c r="E1794" t="str">
        <f t="shared" si="90"/>
        <v>WEEKDAY</v>
      </c>
      <c r="F1794" t="e">
        <f t="shared" si="91"/>
        <v>#N/A</v>
      </c>
      <c r="G1794" s="74">
        <v>32947</v>
      </c>
      <c r="H1794" s="77">
        <v>1</v>
      </c>
      <c r="J1794">
        <v>60.980000000000004</v>
      </c>
      <c r="M1794" s="74">
        <v>36600</v>
      </c>
      <c r="N1794" s="80">
        <v>1</v>
      </c>
      <c r="P1794">
        <v>46.4</v>
      </c>
      <c r="S1794" s="74">
        <v>38061</v>
      </c>
      <c r="T1794" s="80">
        <v>1</v>
      </c>
      <c r="V1794">
        <v>44.06</v>
      </c>
      <c r="X1794" s="42"/>
      <c r="AB1794">
        <v>39.5</v>
      </c>
      <c r="AC1794">
        <v>33.08</v>
      </c>
      <c r="AE1794" s="74"/>
      <c r="AF1794" s="80"/>
      <c r="AH1794" s="497">
        <v>53.6</v>
      </c>
      <c r="AJ1794" s="42"/>
      <c r="AK1794" s="74"/>
      <c r="AL1794" s="80"/>
      <c r="AN1794" s="497">
        <v>57.019999999999996</v>
      </c>
      <c r="AP1794" s="42"/>
      <c r="AQ1794" s="74"/>
      <c r="AR1794" s="80"/>
      <c r="AT1794" s="497">
        <v>26.96</v>
      </c>
      <c r="AV1794" s="42"/>
      <c r="AW1794" s="74"/>
      <c r="AX1794" s="80"/>
      <c r="BA1794" s="497">
        <v>62.96</v>
      </c>
      <c r="BB1794" s="42"/>
      <c r="BC1794" s="74"/>
      <c r="BD1794" s="80"/>
      <c r="BF1794">
        <v>62.96</v>
      </c>
      <c r="BH1794" s="42"/>
      <c r="BI1794" s="74"/>
      <c r="BJ1794" s="80"/>
      <c r="BL1794" s="497">
        <v>37.94</v>
      </c>
      <c r="BN1794" s="42"/>
      <c r="BO1794" s="74"/>
      <c r="BP1794" s="80"/>
      <c r="BR1794" s="497">
        <v>15.98</v>
      </c>
      <c r="BT1794" s="42"/>
    </row>
    <row r="1795" spans="1:72" x14ac:dyDescent="0.25">
      <c r="A1795" s="90">
        <v>38062</v>
      </c>
      <c r="B1795" s="20">
        <v>4.1666666666666664E-2</v>
      </c>
      <c r="D1795">
        <v>46.04</v>
      </c>
      <c r="E1795" t="str">
        <f t="shared" si="90"/>
        <v>WEEKDAY</v>
      </c>
      <c r="F1795" t="e">
        <f t="shared" si="91"/>
        <v>#N/A</v>
      </c>
      <c r="G1795" s="74">
        <v>32948</v>
      </c>
      <c r="H1795" s="77">
        <v>4.1666666666666664E-2</v>
      </c>
      <c r="J1795">
        <v>57.92</v>
      </c>
      <c r="M1795" s="74">
        <v>36601</v>
      </c>
      <c r="N1795" s="77">
        <v>4.1666666666666664E-2</v>
      </c>
      <c r="P1795">
        <v>44.6</v>
      </c>
      <c r="S1795" s="74">
        <v>38062</v>
      </c>
      <c r="T1795" s="77">
        <v>4.1666666666666664E-2</v>
      </c>
      <c r="V1795">
        <v>41</v>
      </c>
      <c r="X1795" s="42"/>
      <c r="AB1795">
        <v>38.9</v>
      </c>
      <c r="AC1795">
        <v>33.08</v>
      </c>
      <c r="AE1795" s="74"/>
      <c r="AF1795" s="77"/>
      <c r="AH1795" s="497">
        <v>50</v>
      </c>
      <c r="AJ1795" s="42"/>
      <c r="AK1795" s="74"/>
      <c r="AL1795" s="77"/>
      <c r="AN1795" s="497">
        <v>53.96</v>
      </c>
      <c r="AP1795" s="42"/>
      <c r="AQ1795" s="74"/>
      <c r="AR1795" s="77"/>
      <c r="AT1795" s="497">
        <v>26.060000000000002</v>
      </c>
      <c r="AV1795" s="42"/>
      <c r="AW1795" s="74"/>
      <c r="AX1795" s="77"/>
      <c r="BA1795" s="497">
        <v>69.98</v>
      </c>
      <c r="BB1795" s="42"/>
      <c r="BC1795" s="74"/>
      <c r="BD1795" s="77"/>
      <c r="BF1795">
        <v>62.96</v>
      </c>
      <c r="BH1795" s="42"/>
      <c r="BI1795" s="74"/>
      <c r="BJ1795" s="77"/>
      <c r="BL1795" s="497">
        <v>37.94</v>
      </c>
      <c r="BN1795" s="42"/>
      <c r="BO1795" s="74"/>
      <c r="BP1795" s="77"/>
      <c r="BR1795" s="497">
        <v>15.079999999999998</v>
      </c>
      <c r="BT1795" s="42"/>
    </row>
    <row r="1796" spans="1:72" x14ac:dyDescent="0.25">
      <c r="A1796" s="90">
        <v>38062</v>
      </c>
      <c r="B1796" s="20">
        <v>8.3333333333333329E-2</v>
      </c>
      <c r="D1796">
        <v>44.96</v>
      </c>
      <c r="E1796" t="str">
        <f t="shared" si="90"/>
        <v>WEEKDAY</v>
      </c>
      <c r="F1796" t="e">
        <f t="shared" si="91"/>
        <v>#N/A</v>
      </c>
      <c r="G1796" s="74">
        <v>32948</v>
      </c>
      <c r="H1796" s="77">
        <v>8.3333333333333329E-2</v>
      </c>
      <c r="J1796">
        <v>55.94</v>
      </c>
      <c r="M1796" s="74">
        <v>36601</v>
      </c>
      <c r="N1796" s="77">
        <v>8.3333333333333329E-2</v>
      </c>
      <c r="P1796">
        <v>48.2</v>
      </c>
      <c r="S1796" s="74">
        <v>38062</v>
      </c>
      <c r="T1796" s="77">
        <v>8.3333333333333329E-2</v>
      </c>
      <c r="V1796">
        <v>37.94</v>
      </c>
      <c r="X1796" s="42"/>
      <c r="AB1796">
        <v>38.299999999999997</v>
      </c>
      <c r="AC1796">
        <v>32</v>
      </c>
      <c r="AE1796" s="74"/>
      <c r="AF1796" s="77"/>
      <c r="AH1796" s="497">
        <v>46.4</v>
      </c>
      <c r="AJ1796" s="42"/>
      <c r="AK1796" s="74"/>
      <c r="AL1796" s="77"/>
      <c r="AN1796" s="497">
        <v>51.08</v>
      </c>
      <c r="AP1796" s="42"/>
      <c r="AQ1796" s="74"/>
      <c r="AR1796" s="77"/>
      <c r="AT1796" s="497">
        <v>25.7</v>
      </c>
      <c r="AV1796" s="42"/>
      <c r="AW1796" s="74"/>
      <c r="AX1796" s="77"/>
      <c r="BA1796" s="497">
        <v>69.080000000000013</v>
      </c>
      <c r="BB1796" s="42"/>
      <c r="BC1796" s="74"/>
      <c r="BD1796" s="77"/>
      <c r="BF1796">
        <v>66.02</v>
      </c>
      <c r="BH1796" s="42"/>
      <c r="BI1796" s="74"/>
      <c r="BJ1796" s="77"/>
      <c r="BL1796" s="497">
        <v>37.94</v>
      </c>
      <c r="BN1796" s="42"/>
      <c r="BO1796" s="74"/>
      <c r="BP1796" s="77"/>
      <c r="BR1796" s="497">
        <v>15.079999999999998</v>
      </c>
      <c r="BT1796" s="42"/>
    </row>
    <row r="1797" spans="1:72" x14ac:dyDescent="0.25">
      <c r="A1797" s="90">
        <v>38062</v>
      </c>
      <c r="B1797" s="20">
        <v>0.125</v>
      </c>
      <c r="D1797">
        <v>44.06</v>
      </c>
      <c r="E1797" t="str">
        <f t="shared" si="90"/>
        <v>WEEKDAY</v>
      </c>
      <c r="F1797" t="e">
        <f t="shared" si="91"/>
        <v>#N/A</v>
      </c>
      <c r="G1797" s="74">
        <v>32948</v>
      </c>
      <c r="H1797" s="77">
        <v>0.125</v>
      </c>
      <c r="J1797">
        <v>55.040000000000006</v>
      </c>
      <c r="M1797" s="74">
        <v>36601</v>
      </c>
      <c r="N1797" s="77">
        <v>0.125</v>
      </c>
      <c r="P1797">
        <v>50</v>
      </c>
      <c r="S1797" s="74">
        <v>38062</v>
      </c>
      <c r="T1797" s="77">
        <v>0.125</v>
      </c>
      <c r="V1797">
        <v>37.04</v>
      </c>
      <c r="X1797" s="42"/>
      <c r="AB1797">
        <v>37.6</v>
      </c>
      <c r="AC1797">
        <v>32</v>
      </c>
      <c r="AE1797" s="74"/>
      <c r="AF1797" s="77"/>
      <c r="AH1797" s="497">
        <v>44.6</v>
      </c>
      <c r="AJ1797" s="42"/>
      <c r="AK1797" s="74"/>
      <c r="AL1797" s="77"/>
      <c r="AN1797" s="497">
        <v>50</v>
      </c>
      <c r="AP1797" s="42"/>
      <c r="AQ1797" s="74"/>
      <c r="AR1797" s="77"/>
      <c r="AT1797" s="497">
        <v>25.34</v>
      </c>
      <c r="AV1797" s="42"/>
      <c r="AW1797" s="74"/>
      <c r="AX1797" s="77"/>
      <c r="BA1797" s="497">
        <v>62.96</v>
      </c>
      <c r="BB1797" s="42"/>
      <c r="BC1797" s="74"/>
      <c r="BD1797" s="77"/>
      <c r="BF1797">
        <v>66.02</v>
      </c>
      <c r="BH1797" s="42"/>
      <c r="BI1797" s="74"/>
      <c r="BJ1797" s="77"/>
      <c r="BL1797" s="497">
        <v>37.04</v>
      </c>
      <c r="BN1797" s="42"/>
      <c r="BO1797" s="74"/>
      <c r="BP1797" s="77"/>
      <c r="BR1797" s="497">
        <v>14</v>
      </c>
      <c r="BT1797" s="42"/>
    </row>
    <row r="1798" spans="1:72" x14ac:dyDescent="0.25">
      <c r="A1798" s="90">
        <v>38062</v>
      </c>
      <c r="B1798" s="20">
        <v>0.16666666666666666</v>
      </c>
      <c r="D1798">
        <v>42.980000000000004</v>
      </c>
      <c r="E1798" t="str">
        <f t="shared" si="90"/>
        <v>WEEKDAY</v>
      </c>
      <c r="F1798" t="e">
        <f t="shared" si="91"/>
        <v>#N/A</v>
      </c>
      <c r="G1798" s="74">
        <v>32948</v>
      </c>
      <c r="H1798" s="77">
        <v>0.16666666666666666</v>
      </c>
      <c r="J1798">
        <v>53.06</v>
      </c>
      <c r="M1798" s="74">
        <v>36601</v>
      </c>
      <c r="N1798" s="77">
        <v>0.16666666666666666</v>
      </c>
      <c r="P1798">
        <v>50</v>
      </c>
      <c r="S1798" s="74">
        <v>38062</v>
      </c>
      <c r="T1798" s="77">
        <v>0.16666666666666666</v>
      </c>
      <c r="V1798">
        <v>35.06</v>
      </c>
      <c r="X1798" s="42"/>
      <c r="AB1798">
        <v>37.200000000000003</v>
      </c>
      <c r="AC1798">
        <v>33.08</v>
      </c>
      <c r="AE1798" s="74"/>
      <c r="AF1798" s="77"/>
      <c r="AH1798" s="497">
        <v>42.8</v>
      </c>
      <c r="AJ1798" s="42"/>
      <c r="AK1798" s="74"/>
      <c r="AL1798" s="77"/>
      <c r="AN1798" s="497">
        <v>48.019999999999996</v>
      </c>
      <c r="AP1798" s="42"/>
      <c r="AQ1798" s="74"/>
      <c r="AR1798" s="77"/>
      <c r="AT1798" s="497">
        <v>24.98</v>
      </c>
      <c r="AV1798" s="42"/>
      <c r="AW1798" s="74"/>
      <c r="AX1798" s="77"/>
      <c r="BA1798" s="497">
        <v>64.039999999999992</v>
      </c>
      <c r="BB1798" s="42"/>
      <c r="BC1798" s="74"/>
      <c r="BD1798" s="77"/>
      <c r="BF1798">
        <v>68</v>
      </c>
      <c r="BH1798" s="42"/>
      <c r="BI1798" s="74"/>
      <c r="BJ1798" s="77"/>
      <c r="BL1798" s="497">
        <v>37.04</v>
      </c>
      <c r="BN1798" s="42"/>
      <c r="BO1798" s="74"/>
      <c r="BP1798" s="77"/>
      <c r="BR1798" s="497">
        <v>14</v>
      </c>
      <c r="BT1798" s="42"/>
    </row>
    <row r="1799" spans="1:72" x14ac:dyDescent="0.25">
      <c r="A1799" s="90">
        <v>38062</v>
      </c>
      <c r="B1799" s="20">
        <v>0.20833333333333334</v>
      </c>
      <c r="D1799">
        <v>42.980000000000004</v>
      </c>
      <c r="E1799" t="str">
        <f t="shared" si="90"/>
        <v>WEEKDAY</v>
      </c>
      <c r="F1799" t="e">
        <f t="shared" si="91"/>
        <v>#N/A</v>
      </c>
      <c r="G1799" s="74">
        <v>32948</v>
      </c>
      <c r="H1799" s="77">
        <v>0.20833333333333334</v>
      </c>
      <c r="J1799">
        <v>53.96</v>
      </c>
      <c r="M1799" s="74">
        <v>36601</v>
      </c>
      <c r="N1799" s="77">
        <v>0.20833333333333334</v>
      </c>
      <c r="P1799">
        <v>46.4</v>
      </c>
      <c r="S1799" s="74">
        <v>38062</v>
      </c>
      <c r="T1799" s="77">
        <v>0.20833333333333334</v>
      </c>
      <c r="V1799">
        <v>35.06</v>
      </c>
      <c r="X1799" s="42"/>
      <c r="AB1799">
        <v>36.700000000000003</v>
      </c>
      <c r="AC1799">
        <v>33.08</v>
      </c>
      <c r="AE1799" s="74"/>
      <c r="AF1799" s="77"/>
      <c r="AH1799" s="497">
        <v>37.4</v>
      </c>
      <c r="AJ1799" s="42"/>
      <c r="AK1799" s="74"/>
      <c r="AL1799" s="77"/>
      <c r="AN1799" s="497">
        <v>42.980000000000004</v>
      </c>
      <c r="AP1799" s="42"/>
      <c r="AQ1799" s="74"/>
      <c r="AR1799" s="77"/>
      <c r="AT1799" s="497">
        <v>23.72</v>
      </c>
      <c r="AV1799" s="42"/>
      <c r="AW1799" s="74"/>
      <c r="AX1799" s="77"/>
      <c r="BA1799" s="497">
        <v>62.06</v>
      </c>
      <c r="BB1799" s="42"/>
      <c r="BC1799" s="74"/>
      <c r="BD1799" s="77"/>
      <c r="BF1799">
        <v>57.92</v>
      </c>
      <c r="BH1799" s="42"/>
      <c r="BI1799" s="74"/>
      <c r="BJ1799" s="77"/>
      <c r="BL1799" s="497">
        <v>37.04</v>
      </c>
      <c r="BN1799" s="42"/>
      <c r="BO1799" s="74"/>
      <c r="BP1799" s="77"/>
      <c r="BR1799" s="497">
        <v>12.920000000000002</v>
      </c>
      <c r="BT1799" s="42"/>
    </row>
    <row r="1800" spans="1:72" x14ac:dyDescent="0.25">
      <c r="A1800" s="90">
        <v>38062</v>
      </c>
      <c r="B1800" s="20">
        <v>0.25</v>
      </c>
      <c r="D1800">
        <v>42.08</v>
      </c>
      <c r="E1800" t="str">
        <f t="shared" si="90"/>
        <v>WEEKDAY</v>
      </c>
      <c r="F1800" t="e">
        <f t="shared" si="91"/>
        <v>#N/A</v>
      </c>
      <c r="G1800" s="74">
        <v>32948</v>
      </c>
      <c r="H1800" s="77">
        <v>0.25</v>
      </c>
      <c r="J1800">
        <v>55.040000000000006</v>
      </c>
      <c r="M1800" s="74">
        <v>36601</v>
      </c>
      <c r="N1800" s="77">
        <v>0.25</v>
      </c>
      <c r="P1800">
        <v>48.2</v>
      </c>
      <c r="S1800" s="74">
        <v>38062</v>
      </c>
      <c r="T1800" s="77">
        <v>0.25</v>
      </c>
      <c r="V1800">
        <v>33.979999999999997</v>
      </c>
      <c r="X1800" s="42"/>
      <c r="AB1800">
        <v>36.4</v>
      </c>
      <c r="AC1800">
        <v>30.92</v>
      </c>
      <c r="AE1800" s="74"/>
      <c r="AF1800" s="77"/>
      <c r="AH1800" s="497">
        <v>37.4</v>
      </c>
      <c r="AJ1800" s="42"/>
      <c r="AK1800" s="74"/>
      <c r="AL1800" s="77"/>
      <c r="AN1800" s="497">
        <v>41</v>
      </c>
      <c r="AP1800" s="42"/>
      <c r="AQ1800" s="74"/>
      <c r="AR1800" s="77"/>
      <c r="AT1800" s="497">
        <v>22.28</v>
      </c>
      <c r="AV1800" s="42"/>
      <c r="AW1800" s="74"/>
      <c r="AX1800" s="77"/>
      <c r="BA1800" s="497">
        <v>62.96</v>
      </c>
      <c r="BB1800" s="42"/>
      <c r="BC1800" s="74"/>
      <c r="BD1800" s="77"/>
      <c r="BF1800">
        <v>53.96</v>
      </c>
      <c r="BH1800" s="42"/>
      <c r="BI1800" s="74"/>
      <c r="BJ1800" s="77"/>
      <c r="BL1800" s="497">
        <v>37.04</v>
      </c>
      <c r="BN1800" s="42"/>
      <c r="BO1800" s="74"/>
      <c r="BP1800" s="77"/>
      <c r="BR1800" s="497">
        <v>12.02</v>
      </c>
      <c r="BT1800" s="42"/>
    </row>
    <row r="1801" spans="1:72" x14ac:dyDescent="0.25">
      <c r="A1801" s="90">
        <v>38062</v>
      </c>
      <c r="B1801" s="20">
        <v>0.29166666666666669</v>
      </c>
      <c r="D1801">
        <v>42.08</v>
      </c>
      <c r="E1801" t="str">
        <f t="shared" si="90"/>
        <v>WEEKDAY</v>
      </c>
      <c r="F1801" t="e">
        <f t="shared" si="91"/>
        <v>#N/A</v>
      </c>
      <c r="G1801" s="74">
        <v>32948</v>
      </c>
      <c r="H1801" s="77">
        <v>0.29166666666666669</v>
      </c>
      <c r="J1801">
        <v>55.040000000000006</v>
      </c>
      <c r="M1801" s="74">
        <v>36601</v>
      </c>
      <c r="N1801" s="77">
        <v>0.29166666666666669</v>
      </c>
      <c r="P1801">
        <v>50</v>
      </c>
      <c r="S1801" s="74">
        <v>38062</v>
      </c>
      <c r="T1801" s="77">
        <v>0.29166666666666669</v>
      </c>
      <c r="V1801">
        <v>35.06</v>
      </c>
      <c r="X1801" s="42"/>
      <c r="AB1801">
        <v>36.299999999999997</v>
      </c>
      <c r="AC1801">
        <v>33.08</v>
      </c>
      <c r="AE1801" s="74"/>
      <c r="AF1801" s="77"/>
      <c r="AH1801" s="497">
        <v>37.4</v>
      </c>
      <c r="AJ1801" s="42"/>
      <c r="AK1801" s="74"/>
      <c r="AL1801" s="77"/>
      <c r="AN1801" s="497">
        <v>39.019999999999996</v>
      </c>
      <c r="AP1801" s="42"/>
      <c r="AQ1801" s="74"/>
      <c r="AR1801" s="77"/>
      <c r="AT1801" s="497">
        <v>21.02</v>
      </c>
      <c r="AV1801" s="42"/>
      <c r="AW1801" s="74"/>
      <c r="AX1801" s="77"/>
      <c r="BA1801" s="497">
        <v>66.92</v>
      </c>
      <c r="BB1801" s="42"/>
      <c r="BC1801" s="74"/>
      <c r="BD1801" s="77"/>
      <c r="BF1801">
        <v>51.08</v>
      </c>
      <c r="BH1801" s="42"/>
      <c r="BI1801" s="74"/>
      <c r="BJ1801" s="77"/>
      <c r="BL1801" s="497">
        <v>35.96</v>
      </c>
      <c r="BN1801" s="42"/>
      <c r="BO1801" s="74"/>
      <c r="BP1801" s="77"/>
      <c r="BR1801" s="497">
        <v>12.920000000000002</v>
      </c>
      <c r="BT1801" s="42"/>
    </row>
    <row r="1802" spans="1:72" x14ac:dyDescent="0.25">
      <c r="A1802" s="90">
        <v>38062</v>
      </c>
      <c r="B1802" s="20">
        <v>0.33333333333333331</v>
      </c>
      <c r="D1802">
        <v>44.96</v>
      </c>
      <c r="E1802" t="str">
        <f t="shared" si="90"/>
        <v>WEEKDAY</v>
      </c>
      <c r="F1802" t="e">
        <f t="shared" si="91"/>
        <v>#N/A</v>
      </c>
      <c r="G1802" s="74">
        <v>32948</v>
      </c>
      <c r="H1802" s="77">
        <v>0.33333333333333331</v>
      </c>
      <c r="J1802">
        <v>57.92</v>
      </c>
      <c r="M1802" s="74">
        <v>36601</v>
      </c>
      <c r="N1802" s="77">
        <v>0.33333333333333331</v>
      </c>
      <c r="P1802">
        <v>51.8</v>
      </c>
      <c r="S1802" s="74">
        <v>38062</v>
      </c>
      <c r="T1802" s="77">
        <v>0.33333333333333331</v>
      </c>
      <c r="V1802">
        <v>35.96</v>
      </c>
      <c r="X1802" s="42"/>
      <c r="AB1802">
        <v>36.9</v>
      </c>
      <c r="AC1802">
        <v>37.94</v>
      </c>
      <c r="AE1802" s="74"/>
      <c r="AF1802" s="77"/>
      <c r="AH1802" s="497">
        <v>44.6</v>
      </c>
      <c r="AJ1802" s="42"/>
      <c r="AK1802" s="74"/>
      <c r="AL1802" s="77"/>
      <c r="AN1802" s="497">
        <v>35.96</v>
      </c>
      <c r="AP1802" s="42"/>
      <c r="AQ1802" s="74"/>
      <c r="AR1802" s="77"/>
      <c r="AT1802" s="497">
        <v>20.66</v>
      </c>
      <c r="AV1802" s="42"/>
      <c r="AW1802" s="74"/>
      <c r="AX1802" s="77"/>
      <c r="BA1802" s="497">
        <v>71.960000000000008</v>
      </c>
      <c r="BB1802" s="42"/>
      <c r="BC1802" s="74"/>
      <c r="BD1802" s="77"/>
      <c r="BF1802">
        <v>51.08</v>
      </c>
      <c r="BH1802" s="42"/>
      <c r="BI1802" s="74"/>
      <c r="BJ1802" s="77"/>
      <c r="BL1802" s="497">
        <v>35.96</v>
      </c>
      <c r="BN1802" s="42"/>
      <c r="BO1802" s="74"/>
      <c r="BP1802" s="77"/>
      <c r="BR1802" s="497">
        <v>15.079999999999998</v>
      </c>
      <c r="BT1802" s="42"/>
    </row>
    <row r="1803" spans="1:72" x14ac:dyDescent="0.25">
      <c r="A1803" s="90">
        <v>38062</v>
      </c>
      <c r="B1803" s="20">
        <v>0.375</v>
      </c>
      <c r="D1803">
        <v>48.019999999999996</v>
      </c>
      <c r="E1803" t="str">
        <f t="shared" si="90"/>
        <v>WEEKDAY</v>
      </c>
      <c r="F1803" t="e">
        <f t="shared" si="91"/>
        <v>#N/A</v>
      </c>
      <c r="G1803" s="74">
        <v>32948</v>
      </c>
      <c r="H1803" s="77">
        <v>0.375</v>
      </c>
      <c r="J1803">
        <v>64.039999999999992</v>
      </c>
      <c r="M1803" s="74">
        <v>36601</v>
      </c>
      <c r="N1803" s="77">
        <v>0.375</v>
      </c>
      <c r="P1803">
        <v>55.400000000000006</v>
      </c>
      <c r="S1803" s="74">
        <v>38062</v>
      </c>
      <c r="T1803" s="77">
        <v>0.375</v>
      </c>
      <c r="V1803">
        <v>37.04</v>
      </c>
      <c r="X1803" s="42"/>
      <c r="AB1803">
        <v>38.700000000000003</v>
      </c>
      <c r="AC1803">
        <v>39.92</v>
      </c>
      <c r="AE1803" s="74"/>
      <c r="AF1803" s="77"/>
      <c r="AH1803" s="497">
        <v>55.400000000000006</v>
      </c>
      <c r="AJ1803" s="42"/>
      <c r="AK1803" s="74"/>
      <c r="AL1803" s="77"/>
      <c r="AN1803" s="497">
        <v>35.96</v>
      </c>
      <c r="AP1803" s="42"/>
      <c r="AQ1803" s="74"/>
      <c r="AR1803" s="77"/>
      <c r="AT1803" s="497">
        <v>20.299999999999997</v>
      </c>
      <c r="AV1803" s="42"/>
      <c r="AW1803" s="74"/>
      <c r="AX1803" s="77"/>
      <c r="BA1803" s="497">
        <v>71.06</v>
      </c>
      <c r="BB1803" s="42"/>
      <c r="BC1803" s="74"/>
      <c r="BD1803" s="77"/>
      <c r="BF1803">
        <v>53.96</v>
      </c>
      <c r="BH1803" s="42"/>
      <c r="BI1803" s="74"/>
      <c r="BJ1803" s="77"/>
      <c r="BL1803" s="497">
        <v>35.96</v>
      </c>
      <c r="BN1803" s="42"/>
      <c r="BO1803" s="74"/>
      <c r="BP1803" s="77"/>
      <c r="BR1803" s="497">
        <v>17.96</v>
      </c>
      <c r="BT1803" s="42"/>
    </row>
    <row r="1804" spans="1:72" x14ac:dyDescent="0.25">
      <c r="A1804" s="90">
        <v>38062</v>
      </c>
      <c r="B1804" s="20">
        <v>0.41666666666666669</v>
      </c>
      <c r="D1804">
        <v>51.08</v>
      </c>
      <c r="E1804" t="str">
        <f t="shared" si="90"/>
        <v>WEEKDAY</v>
      </c>
      <c r="F1804" t="e">
        <f t="shared" si="91"/>
        <v>#N/A</v>
      </c>
      <c r="G1804" s="74">
        <v>32948</v>
      </c>
      <c r="H1804" s="77">
        <v>0.41666666666666669</v>
      </c>
      <c r="J1804">
        <v>68</v>
      </c>
      <c r="M1804" s="74">
        <v>36601</v>
      </c>
      <c r="N1804" s="77">
        <v>0.41666666666666669</v>
      </c>
      <c r="P1804">
        <v>59</v>
      </c>
      <c r="S1804" s="74">
        <v>38062</v>
      </c>
      <c r="T1804" s="77">
        <v>0.41666666666666669</v>
      </c>
      <c r="V1804">
        <v>33.979999999999997</v>
      </c>
      <c r="X1804" s="42"/>
      <c r="AB1804">
        <v>40.5</v>
      </c>
      <c r="AC1804">
        <v>44.06</v>
      </c>
      <c r="AE1804" s="74"/>
      <c r="AF1804" s="77"/>
      <c r="AH1804" s="497">
        <v>58.46</v>
      </c>
      <c r="AJ1804" s="42"/>
      <c r="AK1804" s="74"/>
      <c r="AL1804" s="77"/>
      <c r="AN1804" s="497">
        <v>33.08</v>
      </c>
      <c r="AP1804" s="42"/>
      <c r="AQ1804" s="74"/>
      <c r="AR1804" s="77"/>
      <c r="AT1804" s="497">
        <v>19.939999999999998</v>
      </c>
      <c r="AV1804" s="42"/>
      <c r="AW1804" s="74"/>
      <c r="AX1804" s="77"/>
      <c r="BA1804" s="497">
        <v>77</v>
      </c>
      <c r="BB1804" s="42"/>
      <c r="BC1804" s="74"/>
      <c r="BD1804" s="77"/>
      <c r="BF1804">
        <v>57.019999999999996</v>
      </c>
      <c r="BH1804" s="42"/>
      <c r="BI1804" s="74"/>
      <c r="BJ1804" s="77"/>
      <c r="BL1804" s="497">
        <v>35.96</v>
      </c>
      <c r="BN1804" s="42"/>
      <c r="BO1804" s="74"/>
      <c r="BP1804" s="77"/>
      <c r="BR1804" s="497">
        <v>19.939999999999998</v>
      </c>
      <c r="BT1804" s="42"/>
    </row>
    <row r="1805" spans="1:72" x14ac:dyDescent="0.25">
      <c r="A1805" s="90">
        <v>38062</v>
      </c>
      <c r="B1805" s="20">
        <v>0.45833333333333331</v>
      </c>
      <c r="D1805">
        <v>60.08</v>
      </c>
      <c r="E1805" t="str">
        <f t="shared" si="90"/>
        <v>WEEKDAY</v>
      </c>
      <c r="F1805" t="e">
        <f t="shared" si="91"/>
        <v>#N/A</v>
      </c>
      <c r="G1805" s="74">
        <v>32948</v>
      </c>
      <c r="H1805" s="77">
        <v>0.45833333333333331</v>
      </c>
      <c r="J1805">
        <v>71.960000000000008</v>
      </c>
      <c r="M1805" s="74">
        <v>36601</v>
      </c>
      <c r="N1805" s="77">
        <v>0.45833333333333331</v>
      </c>
      <c r="P1805">
        <v>59.900000000000006</v>
      </c>
      <c r="S1805" s="74">
        <v>38062</v>
      </c>
      <c r="T1805" s="77">
        <v>0.45833333333333331</v>
      </c>
      <c r="V1805">
        <v>32</v>
      </c>
      <c r="X1805" s="42"/>
      <c r="AB1805">
        <v>42.2</v>
      </c>
      <c r="AC1805">
        <v>46.94</v>
      </c>
      <c r="AE1805" s="74"/>
      <c r="AF1805" s="77"/>
      <c r="AH1805" s="497">
        <v>60.8</v>
      </c>
      <c r="AJ1805" s="42"/>
      <c r="AK1805" s="74"/>
      <c r="AL1805" s="77"/>
      <c r="AN1805" s="497">
        <v>30.92</v>
      </c>
      <c r="AP1805" s="42"/>
      <c r="AQ1805" s="74"/>
      <c r="AR1805" s="77"/>
      <c r="AT1805" s="497">
        <v>21.02</v>
      </c>
      <c r="AV1805" s="42"/>
      <c r="AW1805" s="74"/>
      <c r="AX1805" s="77"/>
      <c r="BA1805" s="497">
        <v>80.06</v>
      </c>
      <c r="BB1805" s="42"/>
      <c r="BC1805" s="74"/>
      <c r="BD1805" s="77"/>
      <c r="BF1805">
        <v>55.94</v>
      </c>
      <c r="BH1805" s="42"/>
      <c r="BI1805" s="74"/>
      <c r="BJ1805" s="77"/>
      <c r="BL1805" s="497">
        <v>35.96</v>
      </c>
      <c r="BN1805" s="42"/>
      <c r="BO1805" s="74"/>
      <c r="BP1805" s="77"/>
      <c r="BR1805" s="497">
        <v>21.92</v>
      </c>
      <c r="BT1805" s="42"/>
    </row>
    <row r="1806" spans="1:72" x14ac:dyDescent="0.25">
      <c r="A1806" s="90">
        <v>38062</v>
      </c>
      <c r="B1806" s="20">
        <v>0.5</v>
      </c>
      <c r="D1806">
        <v>59</v>
      </c>
      <c r="E1806" t="str">
        <f t="shared" si="90"/>
        <v>WEEKDAY</v>
      </c>
      <c r="F1806" t="e">
        <f t="shared" si="91"/>
        <v>#N/A</v>
      </c>
      <c r="G1806" s="74">
        <v>32948</v>
      </c>
      <c r="H1806" s="77">
        <v>0.5</v>
      </c>
      <c r="J1806">
        <v>73.94</v>
      </c>
      <c r="M1806" s="74">
        <v>36601</v>
      </c>
      <c r="N1806" s="77">
        <v>0.5</v>
      </c>
      <c r="P1806">
        <v>60.8</v>
      </c>
      <c r="S1806" s="74">
        <v>38062</v>
      </c>
      <c r="T1806" s="77">
        <v>0.5</v>
      </c>
      <c r="V1806">
        <v>32</v>
      </c>
      <c r="X1806" s="42"/>
      <c r="AB1806">
        <v>43.5</v>
      </c>
      <c r="AC1806">
        <v>48.92</v>
      </c>
      <c r="AE1806" s="74"/>
      <c r="AF1806" s="77"/>
      <c r="AH1806" s="497">
        <v>62.6</v>
      </c>
      <c r="AJ1806" s="42"/>
      <c r="AK1806" s="74"/>
      <c r="AL1806" s="77"/>
      <c r="AN1806" s="497">
        <v>30.92</v>
      </c>
      <c r="AP1806" s="42"/>
      <c r="AQ1806" s="74"/>
      <c r="AR1806" s="77"/>
      <c r="AT1806" s="497">
        <v>21.92</v>
      </c>
      <c r="AV1806" s="42"/>
      <c r="AW1806" s="74"/>
      <c r="AX1806" s="77"/>
      <c r="BA1806" s="497">
        <v>78.080000000000013</v>
      </c>
      <c r="BB1806" s="42"/>
      <c r="BC1806" s="74"/>
      <c r="BD1806" s="77"/>
      <c r="BF1806">
        <v>57.019999999999996</v>
      </c>
      <c r="BH1806" s="42"/>
      <c r="BI1806" s="74"/>
      <c r="BJ1806" s="77"/>
      <c r="BL1806" s="497">
        <v>37.04</v>
      </c>
      <c r="BN1806" s="42"/>
      <c r="BO1806" s="74"/>
      <c r="BP1806" s="77"/>
      <c r="BR1806" s="497">
        <v>24.98</v>
      </c>
      <c r="BT1806" s="42"/>
    </row>
    <row r="1807" spans="1:72" x14ac:dyDescent="0.25">
      <c r="A1807" s="90">
        <v>38062</v>
      </c>
      <c r="B1807" s="20">
        <v>0.54166666666666663</v>
      </c>
      <c r="D1807">
        <v>57.019999999999996</v>
      </c>
      <c r="E1807" t="str">
        <f t="shared" si="90"/>
        <v>WEEKDAY</v>
      </c>
      <c r="F1807" t="e">
        <f t="shared" si="91"/>
        <v>#N/A</v>
      </c>
      <c r="G1807" s="74">
        <v>32948</v>
      </c>
      <c r="H1807" s="77">
        <v>0.54166666666666663</v>
      </c>
      <c r="J1807">
        <v>73.039999999999992</v>
      </c>
      <c r="M1807" s="74">
        <v>36601</v>
      </c>
      <c r="N1807" s="77">
        <v>0.54166666666666663</v>
      </c>
      <c r="P1807">
        <v>62.6</v>
      </c>
      <c r="S1807" s="74">
        <v>38062</v>
      </c>
      <c r="T1807" s="77">
        <v>0.54166666666666663</v>
      </c>
      <c r="V1807">
        <v>32</v>
      </c>
      <c r="X1807" s="42"/>
      <c r="AB1807">
        <v>44.7</v>
      </c>
      <c r="AC1807">
        <v>50</v>
      </c>
      <c r="AE1807" s="74"/>
      <c r="AF1807" s="77"/>
      <c r="AH1807" s="497">
        <v>64.400000000000006</v>
      </c>
      <c r="AJ1807" s="42"/>
      <c r="AK1807" s="74"/>
      <c r="AL1807" s="77"/>
      <c r="AN1807" s="497">
        <v>30.92</v>
      </c>
      <c r="AP1807" s="42"/>
      <c r="AQ1807" s="74"/>
      <c r="AR1807" s="77"/>
      <c r="AT1807" s="497">
        <v>23</v>
      </c>
      <c r="AV1807" s="42"/>
      <c r="AW1807" s="74"/>
      <c r="AX1807" s="77"/>
      <c r="BA1807" s="497">
        <v>78.080000000000013</v>
      </c>
      <c r="BB1807" s="42"/>
      <c r="BC1807" s="74"/>
      <c r="BD1807" s="77"/>
      <c r="BF1807">
        <v>57.92</v>
      </c>
      <c r="BH1807" s="42"/>
      <c r="BI1807" s="74"/>
      <c r="BJ1807" s="77"/>
      <c r="BL1807" s="497">
        <v>37.94</v>
      </c>
      <c r="BN1807" s="42"/>
      <c r="BO1807" s="74"/>
      <c r="BP1807" s="77"/>
      <c r="BR1807" s="497">
        <v>28.04</v>
      </c>
      <c r="BT1807" s="42"/>
    </row>
    <row r="1808" spans="1:72" x14ac:dyDescent="0.25">
      <c r="A1808" s="90">
        <v>38062</v>
      </c>
      <c r="B1808" s="20">
        <v>0.58333333333333337</v>
      </c>
      <c r="D1808">
        <v>55.94</v>
      </c>
      <c r="E1808" t="str">
        <f t="shared" si="90"/>
        <v>WEEKDAY</v>
      </c>
      <c r="F1808" t="e">
        <f t="shared" si="91"/>
        <v>#N/A</v>
      </c>
      <c r="G1808" s="74">
        <v>32948</v>
      </c>
      <c r="H1808" s="77">
        <v>0.58333333333333337</v>
      </c>
      <c r="J1808">
        <v>75.02</v>
      </c>
      <c r="M1808" s="74">
        <v>36601</v>
      </c>
      <c r="N1808" s="77">
        <v>0.58333333333333337</v>
      </c>
      <c r="P1808">
        <v>62.6</v>
      </c>
      <c r="S1808" s="74">
        <v>38062</v>
      </c>
      <c r="T1808" s="77">
        <v>0.58333333333333337</v>
      </c>
      <c r="V1808">
        <v>32</v>
      </c>
      <c r="X1808" s="42"/>
      <c r="AB1808">
        <v>45.5</v>
      </c>
      <c r="AC1808">
        <v>51.08</v>
      </c>
      <c r="AE1808" s="74"/>
      <c r="AF1808" s="77"/>
      <c r="AH1808" s="497">
        <v>62.6</v>
      </c>
      <c r="AJ1808" s="42"/>
      <c r="AK1808" s="74"/>
      <c r="AL1808" s="77"/>
      <c r="AN1808" s="497">
        <v>30.92</v>
      </c>
      <c r="AP1808" s="42"/>
      <c r="AQ1808" s="74"/>
      <c r="AR1808" s="77"/>
      <c r="AT1808" s="497">
        <v>23</v>
      </c>
      <c r="AV1808" s="42"/>
      <c r="AW1808" s="74"/>
      <c r="AX1808" s="77"/>
      <c r="BA1808" s="497">
        <v>75.92</v>
      </c>
      <c r="BB1808" s="42"/>
      <c r="BC1808" s="74"/>
      <c r="BD1808" s="77"/>
      <c r="BF1808">
        <v>66.02</v>
      </c>
      <c r="BH1808" s="42"/>
      <c r="BI1808" s="74"/>
      <c r="BJ1808" s="77"/>
      <c r="BL1808" s="497">
        <v>37.94</v>
      </c>
      <c r="BN1808" s="42"/>
      <c r="BO1808" s="74"/>
      <c r="BP1808" s="77"/>
      <c r="BR1808" s="497">
        <v>30.02</v>
      </c>
      <c r="BT1808" s="42"/>
    </row>
    <row r="1809" spans="1:72" x14ac:dyDescent="0.25">
      <c r="A1809" s="90">
        <v>38062</v>
      </c>
      <c r="B1809" s="20">
        <v>0.625</v>
      </c>
      <c r="D1809">
        <v>53.96</v>
      </c>
      <c r="E1809" t="str">
        <f t="shared" si="90"/>
        <v>WEEKDAY</v>
      </c>
      <c r="F1809" t="e">
        <f t="shared" si="91"/>
        <v>#N/A</v>
      </c>
      <c r="G1809" s="74">
        <v>32948</v>
      </c>
      <c r="H1809" s="77">
        <v>0.625</v>
      </c>
      <c r="J1809">
        <v>75.92</v>
      </c>
      <c r="M1809" s="74">
        <v>36601</v>
      </c>
      <c r="N1809" s="77">
        <v>0.625</v>
      </c>
      <c r="P1809">
        <v>60.8</v>
      </c>
      <c r="S1809" s="74">
        <v>38062</v>
      </c>
      <c r="T1809" s="77">
        <v>0.625</v>
      </c>
      <c r="V1809">
        <v>33.08</v>
      </c>
      <c r="X1809" s="42"/>
      <c r="AB1809">
        <v>45.8</v>
      </c>
      <c r="AC1809">
        <v>51.980000000000004</v>
      </c>
      <c r="AE1809" s="74"/>
      <c r="AF1809" s="77"/>
      <c r="AH1809" s="497">
        <v>62.6</v>
      </c>
      <c r="AJ1809" s="42"/>
      <c r="AK1809" s="74"/>
      <c r="AL1809" s="77"/>
      <c r="AN1809" s="497">
        <v>30.02</v>
      </c>
      <c r="AP1809" s="42"/>
      <c r="AQ1809" s="74"/>
      <c r="AR1809" s="77"/>
      <c r="AT1809" s="497">
        <v>23</v>
      </c>
      <c r="AV1809" s="42"/>
      <c r="AW1809" s="74"/>
      <c r="AX1809" s="77"/>
      <c r="BA1809" s="497">
        <v>75.02</v>
      </c>
      <c r="BB1809" s="42"/>
      <c r="BC1809" s="74"/>
      <c r="BD1809" s="77"/>
      <c r="BF1809">
        <v>66.92</v>
      </c>
      <c r="BH1809" s="42"/>
      <c r="BI1809" s="74"/>
      <c r="BJ1809" s="77"/>
      <c r="BL1809" s="497">
        <v>39.019999999999996</v>
      </c>
      <c r="BN1809" s="42"/>
      <c r="BO1809" s="74"/>
      <c r="BP1809" s="77"/>
      <c r="BR1809" s="497">
        <v>30.92</v>
      </c>
      <c r="BT1809" s="42"/>
    </row>
    <row r="1810" spans="1:72" x14ac:dyDescent="0.25">
      <c r="A1810" s="90">
        <v>38062</v>
      </c>
      <c r="B1810" s="20">
        <v>0.66666666666666663</v>
      </c>
      <c r="D1810">
        <v>53.96</v>
      </c>
      <c r="E1810" t="str">
        <f t="shared" si="90"/>
        <v>WEEKDAY</v>
      </c>
      <c r="F1810" t="e">
        <f t="shared" si="91"/>
        <v>#N/A</v>
      </c>
      <c r="G1810" s="74">
        <v>32948</v>
      </c>
      <c r="H1810" s="77">
        <v>0.66666666666666663</v>
      </c>
      <c r="J1810">
        <v>75.92</v>
      </c>
      <c r="M1810" s="74">
        <v>36601</v>
      </c>
      <c r="N1810" s="77">
        <v>0.66666666666666663</v>
      </c>
      <c r="P1810">
        <v>62.6</v>
      </c>
      <c r="S1810" s="74">
        <v>38062</v>
      </c>
      <c r="T1810" s="77">
        <v>0.66666666666666663</v>
      </c>
      <c r="V1810">
        <v>33.979999999999997</v>
      </c>
      <c r="X1810" s="42"/>
      <c r="AB1810">
        <v>46</v>
      </c>
      <c r="AC1810">
        <v>53.06</v>
      </c>
      <c r="AE1810" s="74"/>
      <c r="AF1810" s="77"/>
      <c r="AH1810" s="497">
        <v>59</v>
      </c>
      <c r="AJ1810" s="42"/>
      <c r="AK1810" s="74"/>
      <c r="AL1810" s="77"/>
      <c r="AN1810" s="497">
        <v>28.94</v>
      </c>
      <c r="AP1810" s="42"/>
      <c r="AQ1810" s="74"/>
      <c r="AR1810" s="77"/>
      <c r="AT1810" s="497">
        <v>23</v>
      </c>
      <c r="AV1810" s="42"/>
      <c r="AW1810" s="74"/>
      <c r="AX1810" s="77"/>
      <c r="BA1810" s="497">
        <v>73.94</v>
      </c>
      <c r="BB1810" s="42"/>
      <c r="BC1810" s="74"/>
      <c r="BD1810" s="77"/>
      <c r="BF1810">
        <v>60.08</v>
      </c>
      <c r="BH1810" s="42"/>
      <c r="BI1810" s="74"/>
      <c r="BJ1810" s="77"/>
      <c r="BL1810" s="497">
        <v>37.94</v>
      </c>
      <c r="BN1810" s="42"/>
      <c r="BO1810" s="74"/>
      <c r="BP1810" s="77"/>
      <c r="BR1810" s="497">
        <v>32</v>
      </c>
      <c r="BT1810" s="42"/>
    </row>
    <row r="1811" spans="1:72" x14ac:dyDescent="0.25">
      <c r="A1811" s="90">
        <v>38062</v>
      </c>
      <c r="B1811" s="20">
        <v>0.70833333333333337</v>
      </c>
      <c r="D1811">
        <v>51.980000000000004</v>
      </c>
      <c r="E1811" t="str">
        <f t="shared" ref="E1811:E1874" si="92">IF(COUNTIF($DI$18:$DI$22, WEEKDAY(A1811))=1, "WEEKDAY", IF(WEEKDAY(A1811) = 1, "SUNDAY", "SATURDAY"))</f>
        <v>WEEKDAY</v>
      </c>
      <c r="F1811" t="e">
        <f t="shared" si="91"/>
        <v>#N/A</v>
      </c>
      <c r="G1811" s="74">
        <v>32948</v>
      </c>
      <c r="H1811" s="77">
        <v>0.70833333333333337</v>
      </c>
      <c r="J1811">
        <v>69.98</v>
      </c>
      <c r="M1811" s="74">
        <v>36601</v>
      </c>
      <c r="N1811" s="77">
        <v>0.70833333333333337</v>
      </c>
      <c r="P1811">
        <v>62.6</v>
      </c>
      <c r="S1811" s="74">
        <v>38062</v>
      </c>
      <c r="T1811" s="77">
        <v>0.70833333333333337</v>
      </c>
      <c r="V1811">
        <v>33.08</v>
      </c>
      <c r="X1811" s="42"/>
      <c r="AB1811">
        <v>45.5</v>
      </c>
      <c r="AC1811">
        <v>51.980000000000004</v>
      </c>
      <c r="AE1811" s="74"/>
      <c r="AF1811" s="77"/>
      <c r="AH1811" s="497">
        <v>57.2</v>
      </c>
      <c r="AJ1811" s="42"/>
      <c r="AK1811" s="74"/>
      <c r="AL1811" s="77"/>
      <c r="AN1811" s="497">
        <v>28.94</v>
      </c>
      <c r="AP1811" s="42"/>
      <c r="AQ1811" s="74"/>
      <c r="AR1811" s="77"/>
      <c r="AT1811" s="497">
        <v>23.36</v>
      </c>
      <c r="AV1811" s="42"/>
      <c r="AW1811" s="74"/>
      <c r="AX1811" s="77"/>
      <c r="BA1811" s="497">
        <v>73.94</v>
      </c>
      <c r="BB1811" s="42"/>
      <c r="BC1811" s="74"/>
      <c r="BD1811" s="77"/>
      <c r="BF1811">
        <v>48.92</v>
      </c>
      <c r="BH1811" s="42"/>
      <c r="BI1811" s="74"/>
      <c r="BJ1811" s="77"/>
      <c r="BL1811" s="497">
        <v>35.96</v>
      </c>
      <c r="BN1811" s="42"/>
      <c r="BO1811" s="74"/>
      <c r="BP1811" s="77"/>
      <c r="BR1811" s="497">
        <v>33.08</v>
      </c>
      <c r="BT1811" s="42"/>
    </row>
    <row r="1812" spans="1:72" x14ac:dyDescent="0.25">
      <c r="A1812" s="90">
        <v>38062</v>
      </c>
      <c r="B1812" s="20">
        <v>0.75</v>
      </c>
      <c r="D1812">
        <v>51.980000000000004</v>
      </c>
      <c r="E1812" t="str">
        <f t="shared" si="92"/>
        <v>WEEKDAY</v>
      </c>
      <c r="F1812" t="e">
        <f t="shared" si="91"/>
        <v>#N/A</v>
      </c>
      <c r="G1812" s="74">
        <v>32948</v>
      </c>
      <c r="H1812" s="77">
        <v>0.75</v>
      </c>
      <c r="J1812">
        <v>68</v>
      </c>
      <c r="M1812" s="74">
        <v>36601</v>
      </c>
      <c r="N1812" s="77">
        <v>0.75</v>
      </c>
      <c r="P1812">
        <v>59</v>
      </c>
      <c r="S1812" s="74">
        <v>38062</v>
      </c>
      <c r="T1812" s="77">
        <v>0.75</v>
      </c>
      <c r="V1812">
        <v>33.08</v>
      </c>
      <c r="X1812" s="42"/>
      <c r="AB1812">
        <v>44.5</v>
      </c>
      <c r="AC1812">
        <v>48.92</v>
      </c>
      <c r="AE1812" s="74"/>
      <c r="AF1812" s="77"/>
      <c r="AH1812" s="497">
        <v>53.6</v>
      </c>
      <c r="AJ1812" s="42"/>
      <c r="AK1812" s="74"/>
      <c r="AL1812" s="77"/>
      <c r="AN1812" s="497">
        <v>28.04</v>
      </c>
      <c r="AP1812" s="42"/>
      <c r="AQ1812" s="74"/>
      <c r="AR1812" s="77"/>
      <c r="AT1812" s="497">
        <v>23.72</v>
      </c>
      <c r="AV1812" s="42"/>
      <c r="AW1812" s="74"/>
      <c r="AX1812" s="77"/>
      <c r="BA1812" s="497">
        <v>71.960000000000008</v>
      </c>
      <c r="BB1812" s="42"/>
      <c r="BC1812" s="74"/>
      <c r="BD1812" s="77"/>
      <c r="BF1812">
        <v>50</v>
      </c>
      <c r="BH1812" s="42"/>
      <c r="BI1812" s="74"/>
      <c r="BJ1812" s="77"/>
      <c r="BL1812" s="497">
        <v>35.96</v>
      </c>
      <c r="BN1812" s="42"/>
      <c r="BO1812" s="74"/>
      <c r="BP1812" s="77"/>
      <c r="BR1812" s="497">
        <v>30.02</v>
      </c>
      <c r="BT1812" s="42"/>
    </row>
    <row r="1813" spans="1:72" x14ac:dyDescent="0.25">
      <c r="A1813" s="90">
        <v>38062</v>
      </c>
      <c r="B1813" s="20">
        <v>0.79166666666666663</v>
      </c>
      <c r="D1813">
        <v>51.980000000000004</v>
      </c>
      <c r="E1813" t="str">
        <f t="shared" si="92"/>
        <v>WEEKDAY</v>
      </c>
      <c r="F1813" t="e">
        <f t="shared" si="91"/>
        <v>#N/A</v>
      </c>
      <c r="G1813" s="74">
        <v>32948</v>
      </c>
      <c r="H1813" s="77">
        <v>0.79166666666666663</v>
      </c>
      <c r="J1813">
        <v>64.94</v>
      </c>
      <c r="M1813" s="74">
        <v>36601</v>
      </c>
      <c r="N1813" s="77">
        <v>0.79166666666666663</v>
      </c>
      <c r="P1813">
        <v>57.2</v>
      </c>
      <c r="S1813" s="74">
        <v>38062</v>
      </c>
      <c r="T1813" s="77">
        <v>0.79166666666666663</v>
      </c>
      <c r="V1813">
        <v>33.08</v>
      </c>
      <c r="X1813" s="42"/>
      <c r="AB1813">
        <v>42.9</v>
      </c>
      <c r="AC1813">
        <v>44.96</v>
      </c>
      <c r="AE1813" s="74"/>
      <c r="AF1813" s="77"/>
      <c r="AH1813" s="497">
        <v>51.8</v>
      </c>
      <c r="AJ1813" s="42"/>
      <c r="AK1813" s="74"/>
      <c r="AL1813" s="77"/>
      <c r="AN1813" s="497">
        <v>26.96</v>
      </c>
      <c r="AP1813" s="42"/>
      <c r="AQ1813" s="74"/>
      <c r="AR1813" s="77"/>
      <c r="AT1813" s="497">
        <v>24.08</v>
      </c>
      <c r="AV1813" s="42"/>
      <c r="AW1813" s="74"/>
      <c r="AX1813" s="77"/>
      <c r="BA1813" s="497">
        <v>71.960000000000008</v>
      </c>
      <c r="BB1813" s="42"/>
      <c r="BC1813" s="74"/>
      <c r="BD1813" s="77"/>
      <c r="BF1813">
        <v>51.08</v>
      </c>
      <c r="BH1813" s="42"/>
      <c r="BI1813" s="74"/>
      <c r="BJ1813" s="77"/>
      <c r="BL1813" s="497">
        <v>35.96</v>
      </c>
      <c r="BN1813" s="42"/>
      <c r="BO1813" s="74"/>
      <c r="BP1813" s="77"/>
      <c r="BR1813" s="497">
        <v>28.94</v>
      </c>
      <c r="BT1813" s="42"/>
    </row>
    <row r="1814" spans="1:72" x14ac:dyDescent="0.25">
      <c r="A1814" s="90">
        <v>38062</v>
      </c>
      <c r="B1814" s="20">
        <v>0.83333333333333337</v>
      </c>
      <c r="D1814">
        <v>51.08</v>
      </c>
      <c r="E1814" t="str">
        <f t="shared" si="92"/>
        <v>WEEKDAY</v>
      </c>
      <c r="F1814" t="e">
        <f t="shared" si="91"/>
        <v>#N/A</v>
      </c>
      <c r="G1814" s="74">
        <v>32948</v>
      </c>
      <c r="H1814" s="77">
        <v>0.83333333333333337</v>
      </c>
      <c r="J1814">
        <v>64.94</v>
      </c>
      <c r="M1814" s="74">
        <v>36601</v>
      </c>
      <c r="N1814" s="77">
        <v>0.83333333333333337</v>
      </c>
      <c r="P1814">
        <v>53.6</v>
      </c>
      <c r="S1814" s="74">
        <v>38062</v>
      </c>
      <c r="T1814" s="77">
        <v>0.83333333333333337</v>
      </c>
      <c r="V1814">
        <v>32</v>
      </c>
      <c r="X1814" s="42"/>
      <c r="AB1814">
        <v>42</v>
      </c>
      <c r="AC1814">
        <v>42.980000000000004</v>
      </c>
      <c r="AE1814" s="74"/>
      <c r="AF1814" s="77"/>
      <c r="AH1814" s="497">
        <v>48.2</v>
      </c>
      <c r="AJ1814" s="42"/>
      <c r="AK1814" s="74"/>
      <c r="AL1814" s="77"/>
      <c r="AN1814" s="497">
        <v>24.98</v>
      </c>
      <c r="AP1814" s="42"/>
      <c r="AQ1814" s="74"/>
      <c r="AR1814" s="77"/>
      <c r="AT1814" s="497">
        <v>22.64</v>
      </c>
      <c r="AV1814" s="42"/>
      <c r="AW1814" s="74"/>
      <c r="AX1814" s="77"/>
      <c r="BA1814" s="497">
        <v>71.06</v>
      </c>
      <c r="BB1814" s="42"/>
      <c r="BC1814" s="74"/>
      <c r="BD1814" s="77"/>
      <c r="BF1814">
        <v>51.980000000000004</v>
      </c>
      <c r="BH1814" s="42"/>
      <c r="BI1814" s="74"/>
      <c r="BJ1814" s="77"/>
      <c r="BL1814" s="497">
        <v>35.06</v>
      </c>
      <c r="BN1814" s="42"/>
      <c r="BO1814" s="74"/>
      <c r="BP1814" s="77"/>
      <c r="BR1814" s="497">
        <v>24.98</v>
      </c>
      <c r="BT1814" s="42"/>
    </row>
    <row r="1815" spans="1:72" x14ac:dyDescent="0.25">
      <c r="A1815" s="90">
        <v>38062</v>
      </c>
      <c r="B1815" s="20">
        <v>0.875</v>
      </c>
      <c r="D1815">
        <v>51.08</v>
      </c>
      <c r="E1815" t="str">
        <f t="shared" si="92"/>
        <v>WEEKDAY</v>
      </c>
      <c r="F1815" t="e">
        <f t="shared" si="91"/>
        <v>#N/A</v>
      </c>
      <c r="G1815" s="74">
        <v>32948</v>
      </c>
      <c r="H1815" s="77">
        <v>0.875</v>
      </c>
      <c r="J1815">
        <v>62.06</v>
      </c>
      <c r="M1815" s="74">
        <v>36601</v>
      </c>
      <c r="N1815" s="77">
        <v>0.875</v>
      </c>
      <c r="P1815">
        <v>53.6</v>
      </c>
      <c r="S1815" s="74">
        <v>38062</v>
      </c>
      <c r="T1815" s="77">
        <v>0.875</v>
      </c>
      <c r="V1815">
        <v>32</v>
      </c>
      <c r="X1815" s="42"/>
      <c r="AB1815">
        <v>41.5</v>
      </c>
      <c r="AC1815">
        <v>39.92</v>
      </c>
      <c r="AE1815" s="74"/>
      <c r="AF1815" s="77"/>
      <c r="AH1815" s="497">
        <v>42.8</v>
      </c>
      <c r="AJ1815" s="42"/>
      <c r="AK1815" s="74"/>
      <c r="AL1815" s="77"/>
      <c r="AN1815" s="497">
        <v>24.08</v>
      </c>
      <c r="AP1815" s="42"/>
      <c r="AQ1815" s="74"/>
      <c r="AR1815" s="77"/>
      <c r="AT1815" s="497">
        <v>21.38</v>
      </c>
      <c r="AV1815" s="42"/>
      <c r="AW1815" s="74"/>
      <c r="AX1815" s="77"/>
      <c r="BA1815" s="497">
        <v>71.06</v>
      </c>
      <c r="BB1815" s="42"/>
      <c r="BC1815" s="74"/>
      <c r="BD1815" s="77"/>
      <c r="BF1815">
        <v>53.96</v>
      </c>
      <c r="BH1815" s="42"/>
      <c r="BI1815" s="74"/>
      <c r="BJ1815" s="77"/>
      <c r="BL1815" s="497">
        <v>35.06</v>
      </c>
      <c r="BN1815" s="42"/>
      <c r="BO1815" s="74"/>
      <c r="BP1815" s="77"/>
      <c r="BR1815" s="497">
        <v>24.98</v>
      </c>
      <c r="BT1815" s="42"/>
    </row>
    <row r="1816" spans="1:72" x14ac:dyDescent="0.25">
      <c r="A1816" s="90">
        <v>38062</v>
      </c>
      <c r="B1816" s="20">
        <v>0.91666666666666663</v>
      </c>
      <c r="D1816">
        <v>51.08</v>
      </c>
      <c r="E1816" t="str">
        <f t="shared" si="92"/>
        <v>WEEKDAY</v>
      </c>
      <c r="F1816" t="e">
        <f t="shared" si="91"/>
        <v>#N/A</v>
      </c>
      <c r="G1816" s="74">
        <v>32948</v>
      </c>
      <c r="H1816" s="77">
        <v>0.91666666666666663</v>
      </c>
      <c r="J1816">
        <v>60.980000000000004</v>
      </c>
      <c r="M1816" s="74">
        <v>36601</v>
      </c>
      <c r="N1816" s="77">
        <v>0.91666666666666663</v>
      </c>
      <c r="P1816">
        <v>50</v>
      </c>
      <c r="S1816" s="74">
        <v>38062</v>
      </c>
      <c r="T1816" s="77">
        <v>0.91666666666666663</v>
      </c>
      <c r="V1816">
        <v>32</v>
      </c>
      <c r="X1816" s="42"/>
      <c r="AB1816">
        <v>40.799999999999997</v>
      </c>
      <c r="AC1816">
        <v>35.96</v>
      </c>
      <c r="AE1816" s="74"/>
      <c r="AF1816" s="77"/>
      <c r="AH1816" s="497">
        <v>39.200000000000003</v>
      </c>
      <c r="AJ1816" s="42"/>
      <c r="AK1816" s="74"/>
      <c r="AL1816" s="77"/>
      <c r="AN1816" s="497">
        <v>23</v>
      </c>
      <c r="AP1816" s="42"/>
      <c r="AQ1816" s="74"/>
      <c r="AR1816" s="77"/>
      <c r="AT1816" s="497">
        <v>19.939999999999998</v>
      </c>
      <c r="AV1816" s="42"/>
      <c r="AW1816" s="74"/>
      <c r="AX1816" s="77"/>
      <c r="BA1816" s="497">
        <v>69.080000000000013</v>
      </c>
      <c r="BB1816" s="42"/>
      <c r="BC1816" s="74"/>
      <c r="BD1816" s="77"/>
      <c r="BF1816">
        <v>51.980000000000004</v>
      </c>
      <c r="BH1816" s="42"/>
      <c r="BI1816" s="74"/>
      <c r="BJ1816" s="77"/>
      <c r="BL1816" s="497">
        <v>35.06</v>
      </c>
      <c r="BN1816" s="42"/>
      <c r="BO1816" s="74"/>
      <c r="BP1816" s="77"/>
      <c r="BR1816" s="497">
        <v>24.98</v>
      </c>
      <c r="BT1816" s="42"/>
    </row>
    <row r="1817" spans="1:72" x14ac:dyDescent="0.25">
      <c r="A1817" s="90">
        <v>38062</v>
      </c>
      <c r="B1817" s="20">
        <v>0.95833333333333337</v>
      </c>
      <c r="D1817">
        <v>46.94</v>
      </c>
      <c r="E1817" t="str">
        <f t="shared" si="92"/>
        <v>WEEKDAY</v>
      </c>
      <c r="F1817" t="e">
        <f t="shared" si="91"/>
        <v>#N/A</v>
      </c>
      <c r="G1817" s="74">
        <v>32948</v>
      </c>
      <c r="H1817" s="77">
        <v>0.95833333333333337</v>
      </c>
      <c r="J1817">
        <v>62.06</v>
      </c>
      <c r="M1817" s="74">
        <v>36601</v>
      </c>
      <c r="N1817" s="77">
        <v>0.95833333333333337</v>
      </c>
      <c r="P1817">
        <v>50</v>
      </c>
      <c r="S1817" s="74">
        <v>38062</v>
      </c>
      <c r="T1817" s="77">
        <v>0.95833333333333337</v>
      </c>
      <c r="V1817">
        <v>30.92</v>
      </c>
      <c r="X1817" s="42"/>
      <c r="AB1817">
        <v>40.200000000000003</v>
      </c>
      <c r="AC1817">
        <v>35.96</v>
      </c>
      <c r="AE1817" s="74"/>
      <c r="AF1817" s="77"/>
      <c r="AH1817" s="497">
        <v>37.4</v>
      </c>
      <c r="AJ1817" s="42"/>
      <c r="AK1817" s="74"/>
      <c r="AL1817" s="77"/>
      <c r="AN1817" s="497">
        <v>21.92</v>
      </c>
      <c r="AP1817" s="42"/>
      <c r="AQ1817" s="74"/>
      <c r="AR1817" s="77"/>
      <c r="AT1817" s="497">
        <v>20.299999999999997</v>
      </c>
      <c r="AV1817" s="42"/>
      <c r="AW1817" s="74"/>
      <c r="AX1817" s="77"/>
      <c r="BA1817" s="497">
        <v>68</v>
      </c>
      <c r="BB1817" s="42"/>
      <c r="BC1817" s="74"/>
      <c r="BD1817" s="77"/>
      <c r="BF1817">
        <v>53.06</v>
      </c>
      <c r="BH1817" s="42"/>
      <c r="BI1817" s="74"/>
      <c r="BJ1817" s="77"/>
      <c r="BL1817" s="497">
        <v>35.06</v>
      </c>
      <c r="BN1817" s="42"/>
      <c r="BO1817" s="74"/>
      <c r="BP1817" s="77"/>
      <c r="BR1817" s="497">
        <v>26.96</v>
      </c>
      <c r="BT1817" s="42"/>
    </row>
    <row r="1818" spans="1:72" x14ac:dyDescent="0.25">
      <c r="A1818" s="90">
        <v>38062</v>
      </c>
      <c r="B1818" s="20">
        <v>1</v>
      </c>
      <c r="D1818">
        <v>44.06</v>
      </c>
      <c r="E1818" t="str">
        <f t="shared" si="92"/>
        <v>WEEKDAY</v>
      </c>
      <c r="F1818" t="e">
        <f t="shared" si="91"/>
        <v>#N/A</v>
      </c>
      <c r="G1818" s="74">
        <v>32948</v>
      </c>
      <c r="H1818" s="77">
        <v>1</v>
      </c>
      <c r="J1818">
        <v>60.08</v>
      </c>
      <c r="M1818" s="74">
        <v>36601</v>
      </c>
      <c r="N1818" s="80">
        <v>1</v>
      </c>
      <c r="P1818">
        <v>50</v>
      </c>
      <c r="S1818" s="74">
        <v>38062</v>
      </c>
      <c r="T1818" s="80">
        <v>1</v>
      </c>
      <c r="V1818">
        <v>30.92</v>
      </c>
      <c r="X1818" s="42"/>
      <c r="AB1818">
        <v>39.6</v>
      </c>
      <c r="AC1818">
        <v>30.02</v>
      </c>
      <c r="AE1818" s="74"/>
      <c r="AF1818" s="80"/>
      <c r="AH1818" s="497">
        <v>36.68</v>
      </c>
      <c r="AJ1818" s="42"/>
      <c r="AK1818" s="74"/>
      <c r="AL1818" s="80"/>
      <c r="AN1818" s="497">
        <v>21.92</v>
      </c>
      <c r="AP1818" s="42"/>
      <c r="AQ1818" s="74"/>
      <c r="AR1818" s="80"/>
      <c r="AT1818" s="497">
        <v>20.66</v>
      </c>
      <c r="AV1818" s="42"/>
      <c r="AW1818" s="74"/>
      <c r="AX1818" s="80"/>
      <c r="BA1818" s="497">
        <v>60.08</v>
      </c>
      <c r="BB1818" s="42"/>
      <c r="BC1818" s="74"/>
      <c r="BD1818" s="80"/>
      <c r="BF1818">
        <v>51.08</v>
      </c>
      <c r="BH1818" s="42"/>
      <c r="BI1818" s="74"/>
      <c r="BJ1818" s="80"/>
      <c r="BL1818" s="497">
        <v>33.979999999999997</v>
      </c>
      <c r="BN1818" s="42"/>
      <c r="BO1818" s="74"/>
      <c r="BP1818" s="80"/>
      <c r="BR1818" s="497">
        <v>26.060000000000002</v>
      </c>
      <c r="BT1818" s="42"/>
    </row>
    <row r="1819" spans="1:72" x14ac:dyDescent="0.25">
      <c r="A1819" s="90">
        <v>38063</v>
      </c>
      <c r="B1819" s="20">
        <v>4.1666666666666664E-2</v>
      </c>
      <c r="D1819">
        <v>46.04</v>
      </c>
      <c r="E1819" t="str">
        <f t="shared" si="92"/>
        <v>WEEKDAY</v>
      </c>
      <c r="F1819" t="e">
        <f t="shared" si="91"/>
        <v>#N/A</v>
      </c>
      <c r="G1819" s="74">
        <v>32949</v>
      </c>
      <c r="H1819" s="77">
        <v>4.1666666666666664E-2</v>
      </c>
      <c r="J1819">
        <v>59</v>
      </c>
      <c r="M1819" s="74">
        <v>36602</v>
      </c>
      <c r="N1819" s="77">
        <v>4.1666666666666664E-2</v>
      </c>
      <c r="P1819">
        <v>50</v>
      </c>
      <c r="S1819" s="74">
        <v>38063</v>
      </c>
      <c r="T1819" s="77">
        <v>4.1666666666666664E-2</v>
      </c>
      <c r="V1819">
        <v>30.02</v>
      </c>
      <c r="X1819" s="42"/>
      <c r="AB1819">
        <v>39</v>
      </c>
      <c r="AC1819">
        <v>33.08</v>
      </c>
      <c r="AE1819" s="74"/>
      <c r="AF1819" s="77"/>
      <c r="AH1819" s="497">
        <v>35.6</v>
      </c>
      <c r="AJ1819" s="42"/>
      <c r="AK1819" s="74"/>
      <c r="AL1819" s="77"/>
      <c r="AN1819" s="497">
        <v>21.02</v>
      </c>
      <c r="AP1819" s="42"/>
      <c r="AQ1819" s="74"/>
      <c r="AR1819" s="77"/>
      <c r="AT1819" s="497">
        <v>21.02</v>
      </c>
      <c r="AV1819" s="42"/>
      <c r="AW1819" s="74"/>
      <c r="AX1819" s="77"/>
      <c r="BA1819" s="497">
        <v>59</v>
      </c>
      <c r="BB1819" s="42"/>
      <c r="BC1819" s="74"/>
      <c r="BD1819" s="77"/>
      <c r="BF1819">
        <v>51.08</v>
      </c>
      <c r="BH1819" s="42"/>
      <c r="BI1819" s="74"/>
      <c r="BJ1819" s="77"/>
      <c r="BL1819" s="497">
        <v>33.979999999999997</v>
      </c>
      <c r="BN1819" s="42"/>
      <c r="BO1819" s="74"/>
      <c r="BP1819" s="77"/>
      <c r="BR1819" s="497">
        <v>24.98</v>
      </c>
      <c r="BT1819" s="42"/>
    </row>
    <row r="1820" spans="1:72" x14ac:dyDescent="0.25">
      <c r="A1820" s="90">
        <v>38063</v>
      </c>
      <c r="B1820" s="20">
        <v>8.3333333333333329E-2</v>
      </c>
      <c r="D1820">
        <v>46.04</v>
      </c>
      <c r="E1820" t="str">
        <f t="shared" si="92"/>
        <v>WEEKDAY</v>
      </c>
      <c r="F1820" t="e">
        <f t="shared" si="91"/>
        <v>#N/A</v>
      </c>
      <c r="G1820" s="74">
        <v>32949</v>
      </c>
      <c r="H1820" s="77">
        <v>8.3333333333333329E-2</v>
      </c>
      <c r="J1820">
        <v>57.92</v>
      </c>
      <c r="M1820" s="74">
        <v>36602</v>
      </c>
      <c r="N1820" s="77">
        <v>8.3333333333333329E-2</v>
      </c>
      <c r="P1820">
        <v>50</v>
      </c>
      <c r="S1820" s="74">
        <v>38063</v>
      </c>
      <c r="T1820" s="77">
        <v>8.3333333333333329E-2</v>
      </c>
      <c r="V1820">
        <v>30.02</v>
      </c>
      <c r="X1820" s="42"/>
      <c r="AB1820">
        <v>38.299999999999997</v>
      </c>
      <c r="AC1820">
        <v>33.08</v>
      </c>
      <c r="AE1820" s="74"/>
      <c r="AF1820" s="77"/>
      <c r="AH1820" s="497">
        <v>35.6</v>
      </c>
      <c r="AJ1820" s="42"/>
      <c r="AK1820" s="74"/>
      <c r="AL1820" s="77"/>
      <c r="AN1820" s="497">
        <v>19.939999999999998</v>
      </c>
      <c r="AP1820" s="42"/>
      <c r="AQ1820" s="74"/>
      <c r="AR1820" s="77"/>
      <c r="AT1820" s="497">
        <v>19.399999999999999</v>
      </c>
      <c r="AV1820" s="42"/>
      <c r="AW1820" s="74"/>
      <c r="AX1820" s="77"/>
      <c r="BA1820" s="497">
        <v>66.02</v>
      </c>
      <c r="BB1820" s="42"/>
      <c r="BC1820" s="74"/>
      <c r="BD1820" s="77"/>
      <c r="BF1820">
        <v>51.08</v>
      </c>
      <c r="BH1820" s="42"/>
      <c r="BI1820" s="74"/>
      <c r="BJ1820" s="77"/>
      <c r="BL1820" s="497">
        <v>33.08</v>
      </c>
      <c r="BN1820" s="42"/>
      <c r="BO1820" s="74"/>
      <c r="BP1820" s="77"/>
      <c r="BR1820" s="497">
        <v>26.060000000000002</v>
      </c>
      <c r="BT1820" s="42"/>
    </row>
    <row r="1821" spans="1:72" x14ac:dyDescent="0.25">
      <c r="A1821" s="90">
        <v>38063</v>
      </c>
      <c r="B1821" s="20">
        <v>0.125</v>
      </c>
      <c r="D1821">
        <v>44.96</v>
      </c>
      <c r="E1821" t="str">
        <f t="shared" si="92"/>
        <v>WEEKDAY</v>
      </c>
      <c r="F1821" t="e">
        <f t="shared" si="91"/>
        <v>#N/A</v>
      </c>
      <c r="G1821" s="74">
        <v>32949</v>
      </c>
      <c r="H1821" s="77">
        <v>0.125</v>
      </c>
      <c r="J1821">
        <v>57.019999999999996</v>
      </c>
      <c r="M1821" s="74">
        <v>36602</v>
      </c>
      <c r="N1821" s="77">
        <v>0.125</v>
      </c>
      <c r="P1821">
        <v>44.6</v>
      </c>
      <c r="S1821" s="74">
        <v>38063</v>
      </c>
      <c r="T1821" s="77">
        <v>0.125</v>
      </c>
      <c r="V1821">
        <v>30.02</v>
      </c>
      <c r="X1821" s="42"/>
      <c r="AB1821">
        <v>37.700000000000003</v>
      </c>
      <c r="AC1821">
        <v>30.02</v>
      </c>
      <c r="AE1821" s="74"/>
      <c r="AF1821" s="77"/>
      <c r="AH1821" s="497">
        <v>35.6</v>
      </c>
      <c r="AJ1821" s="42"/>
      <c r="AK1821" s="74"/>
      <c r="AL1821" s="77"/>
      <c r="AN1821" s="497">
        <v>19.04</v>
      </c>
      <c r="AP1821" s="42"/>
      <c r="AQ1821" s="74"/>
      <c r="AR1821" s="77"/>
      <c r="AT1821" s="497">
        <v>17.600000000000001</v>
      </c>
      <c r="AV1821" s="42"/>
      <c r="AW1821" s="74"/>
      <c r="AX1821" s="77"/>
      <c r="BA1821" s="497">
        <v>66.02</v>
      </c>
      <c r="BB1821" s="42"/>
      <c r="BC1821" s="74"/>
      <c r="BD1821" s="77"/>
      <c r="BF1821">
        <v>51.980000000000004</v>
      </c>
      <c r="BH1821" s="42"/>
      <c r="BI1821" s="74"/>
      <c r="BJ1821" s="77"/>
      <c r="BL1821" s="497">
        <v>33.08</v>
      </c>
      <c r="BN1821" s="42"/>
      <c r="BO1821" s="74"/>
      <c r="BP1821" s="77"/>
      <c r="BR1821" s="497">
        <v>24.98</v>
      </c>
      <c r="BT1821" s="42"/>
    </row>
    <row r="1822" spans="1:72" x14ac:dyDescent="0.25">
      <c r="A1822" s="90">
        <v>38063</v>
      </c>
      <c r="B1822" s="20">
        <v>0.16666666666666666</v>
      </c>
      <c r="D1822">
        <v>44.06</v>
      </c>
      <c r="E1822" t="str">
        <f t="shared" si="92"/>
        <v>WEEKDAY</v>
      </c>
      <c r="F1822" t="e">
        <f t="shared" si="91"/>
        <v>#N/A</v>
      </c>
      <c r="G1822" s="74">
        <v>32949</v>
      </c>
      <c r="H1822" s="77">
        <v>0.16666666666666666</v>
      </c>
      <c r="J1822">
        <v>55.94</v>
      </c>
      <c r="M1822" s="74">
        <v>36602</v>
      </c>
      <c r="N1822" s="77">
        <v>0.16666666666666666</v>
      </c>
      <c r="P1822">
        <v>42.8</v>
      </c>
      <c r="S1822" s="74">
        <v>38063</v>
      </c>
      <c r="T1822" s="77">
        <v>0.16666666666666666</v>
      </c>
      <c r="V1822">
        <v>28.94</v>
      </c>
      <c r="X1822" s="42"/>
      <c r="AB1822">
        <v>37.200000000000003</v>
      </c>
      <c r="AC1822">
        <v>30.02</v>
      </c>
      <c r="AE1822" s="74"/>
      <c r="AF1822" s="77"/>
      <c r="AH1822" s="497">
        <v>34.700000000000003</v>
      </c>
      <c r="AJ1822" s="42"/>
      <c r="AK1822" s="74"/>
      <c r="AL1822" s="77"/>
      <c r="AN1822" s="497">
        <v>19.04</v>
      </c>
      <c r="AP1822" s="42"/>
      <c r="AQ1822" s="74"/>
      <c r="AR1822" s="77"/>
      <c r="AT1822" s="497">
        <v>15.98</v>
      </c>
      <c r="AV1822" s="42"/>
      <c r="AW1822" s="74"/>
      <c r="AX1822" s="77"/>
      <c r="BA1822" s="497">
        <v>57.019999999999996</v>
      </c>
      <c r="BB1822" s="42"/>
      <c r="BC1822" s="74"/>
      <c r="BD1822" s="77"/>
      <c r="BF1822">
        <v>51.08</v>
      </c>
      <c r="BH1822" s="42"/>
      <c r="BI1822" s="74"/>
      <c r="BJ1822" s="77"/>
      <c r="BL1822" s="497">
        <v>30.92</v>
      </c>
      <c r="BN1822" s="42"/>
      <c r="BO1822" s="74"/>
      <c r="BP1822" s="77"/>
      <c r="BR1822" s="497">
        <v>24.08</v>
      </c>
      <c r="BT1822" s="42"/>
    </row>
    <row r="1823" spans="1:72" x14ac:dyDescent="0.25">
      <c r="A1823" s="90">
        <v>38063</v>
      </c>
      <c r="B1823" s="20">
        <v>0.20833333333333334</v>
      </c>
      <c r="D1823">
        <v>44.06</v>
      </c>
      <c r="E1823" t="str">
        <f t="shared" si="92"/>
        <v>WEEKDAY</v>
      </c>
      <c r="F1823" t="e">
        <f t="shared" si="91"/>
        <v>#N/A</v>
      </c>
      <c r="G1823" s="74">
        <v>32949</v>
      </c>
      <c r="H1823" s="77">
        <v>0.20833333333333334</v>
      </c>
      <c r="J1823">
        <v>55.040000000000006</v>
      </c>
      <c r="M1823" s="74">
        <v>36602</v>
      </c>
      <c r="N1823" s="77">
        <v>0.20833333333333334</v>
      </c>
      <c r="P1823">
        <v>41</v>
      </c>
      <c r="S1823" s="74">
        <v>38063</v>
      </c>
      <c r="T1823" s="77">
        <v>0.20833333333333334</v>
      </c>
      <c r="V1823">
        <v>30.02</v>
      </c>
      <c r="X1823" s="42"/>
      <c r="AB1823">
        <v>36.799999999999997</v>
      </c>
      <c r="AC1823">
        <v>28.04</v>
      </c>
      <c r="AE1823" s="74"/>
      <c r="AF1823" s="77"/>
      <c r="AH1823" s="497">
        <v>33.799999999999997</v>
      </c>
      <c r="AJ1823" s="42"/>
      <c r="AK1823" s="74"/>
      <c r="AL1823" s="77"/>
      <c r="AN1823" s="497">
        <v>19.04</v>
      </c>
      <c r="AP1823" s="42"/>
      <c r="AQ1823" s="74"/>
      <c r="AR1823" s="77"/>
      <c r="AT1823" s="497">
        <v>14.899999999999999</v>
      </c>
      <c r="AV1823" s="42"/>
      <c r="AW1823" s="74"/>
      <c r="AX1823" s="77"/>
      <c r="BA1823" s="497">
        <v>55.94</v>
      </c>
      <c r="BB1823" s="42"/>
      <c r="BC1823" s="74"/>
      <c r="BD1823" s="77"/>
      <c r="BF1823">
        <v>51.08</v>
      </c>
      <c r="BH1823" s="42"/>
      <c r="BI1823" s="74"/>
      <c r="BJ1823" s="77"/>
      <c r="BL1823" s="497">
        <v>30.02</v>
      </c>
      <c r="BN1823" s="42"/>
      <c r="BO1823" s="74"/>
      <c r="BP1823" s="77"/>
      <c r="BR1823" s="497">
        <v>21.92</v>
      </c>
      <c r="BT1823" s="42"/>
    </row>
    <row r="1824" spans="1:72" x14ac:dyDescent="0.25">
      <c r="A1824" s="90">
        <v>38063</v>
      </c>
      <c r="B1824" s="20">
        <v>0.25</v>
      </c>
      <c r="D1824">
        <v>44.06</v>
      </c>
      <c r="E1824" t="str">
        <f t="shared" si="92"/>
        <v>WEEKDAY</v>
      </c>
      <c r="F1824" t="e">
        <f t="shared" si="91"/>
        <v>#N/A</v>
      </c>
      <c r="G1824" s="74">
        <v>32949</v>
      </c>
      <c r="H1824" s="77">
        <v>0.25</v>
      </c>
      <c r="J1824">
        <v>55.040000000000006</v>
      </c>
      <c r="M1824" s="74">
        <v>36602</v>
      </c>
      <c r="N1824" s="77">
        <v>0.25</v>
      </c>
      <c r="P1824">
        <v>39.200000000000003</v>
      </c>
      <c r="S1824" s="74">
        <v>38063</v>
      </c>
      <c r="T1824" s="77">
        <v>0.25</v>
      </c>
      <c r="V1824">
        <v>30.02</v>
      </c>
      <c r="X1824" s="42"/>
      <c r="AB1824">
        <v>36.5</v>
      </c>
      <c r="AC1824">
        <v>28.94</v>
      </c>
      <c r="AE1824" s="74"/>
      <c r="AF1824" s="77"/>
      <c r="AH1824" s="497">
        <v>32.36</v>
      </c>
      <c r="AJ1824" s="42"/>
      <c r="AK1824" s="74"/>
      <c r="AL1824" s="77"/>
      <c r="AN1824" s="497">
        <v>19.939999999999998</v>
      </c>
      <c r="AP1824" s="42"/>
      <c r="AQ1824" s="74"/>
      <c r="AR1824" s="77"/>
      <c r="AT1824" s="497">
        <v>14</v>
      </c>
      <c r="AV1824" s="42"/>
      <c r="AW1824" s="74"/>
      <c r="AX1824" s="77"/>
      <c r="BA1824" s="497">
        <v>55.040000000000006</v>
      </c>
      <c r="BB1824" s="42"/>
      <c r="BC1824" s="74"/>
      <c r="BD1824" s="77"/>
      <c r="BF1824">
        <v>50</v>
      </c>
      <c r="BH1824" s="42"/>
      <c r="BI1824" s="74"/>
      <c r="BJ1824" s="77"/>
      <c r="BL1824" s="497">
        <v>28.94</v>
      </c>
      <c r="BN1824" s="42"/>
      <c r="BO1824" s="74"/>
      <c r="BP1824" s="77"/>
      <c r="BR1824" s="497">
        <v>21.02</v>
      </c>
      <c r="BT1824" s="42"/>
    </row>
    <row r="1825" spans="1:72" x14ac:dyDescent="0.25">
      <c r="A1825" s="90">
        <v>38063</v>
      </c>
      <c r="B1825" s="20">
        <v>0.29166666666666669</v>
      </c>
      <c r="D1825">
        <v>44.06</v>
      </c>
      <c r="E1825" t="str">
        <f t="shared" si="92"/>
        <v>WEEKDAY</v>
      </c>
      <c r="F1825" t="e">
        <f t="shared" si="91"/>
        <v>#N/A</v>
      </c>
      <c r="G1825" s="74">
        <v>32949</v>
      </c>
      <c r="H1825" s="77">
        <v>0.29166666666666669</v>
      </c>
      <c r="J1825">
        <v>55.94</v>
      </c>
      <c r="M1825" s="74">
        <v>36602</v>
      </c>
      <c r="N1825" s="77">
        <v>0.29166666666666669</v>
      </c>
      <c r="P1825">
        <v>33.799999999999997</v>
      </c>
      <c r="S1825" s="74">
        <v>38063</v>
      </c>
      <c r="T1825" s="77">
        <v>0.29166666666666669</v>
      </c>
      <c r="V1825">
        <v>30.02</v>
      </c>
      <c r="X1825" s="42"/>
      <c r="AB1825">
        <v>36.299999999999997</v>
      </c>
      <c r="AC1825">
        <v>30.02</v>
      </c>
      <c r="AE1825" s="74"/>
      <c r="AF1825" s="77"/>
      <c r="AH1825" s="497">
        <v>32</v>
      </c>
      <c r="AJ1825" s="42"/>
      <c r="AK1825" s="74"/>
      <c r="AL1825" s="77"/>
      <c r="AN1825" s="497">
        <v>19.939999999999998</v>
      </c>
      <c r="AP1825" s="42"/>
      <c r="AQ1825" s="74"/>
      <c r="AR1825" s="77"/>
      <c r="AT1825" s="497">
        <v>12.920000000000002</v>
      </c>
      <c r="AV1825" s="42"/>
      <c r="AW1825" s="74"/>
      <c r="AX1825" s="77"/>
      <c r="BA1825" s="497">
        <v>53.96</v>
      </c>
      <c r="BB1825" s="42"/>
      <c r="BC1825" s="74"/>
      <c r="BD1825" s="77"/>
      <c r="BF1825">
        <v>48.92</v>
      </c>
      <c r="BH1825" s="42"/>
      <c r="BI1825" s="74"/>
      <c r="BJ1825" s="77"/>
      <c r="BL1825" s="497">
        <v>28.04</v>
      </c>
      <c r="BN1825" s="42"/>
      <c r="BO1825" s="74"/>
      <c r="BP1825" s="77"/>
      <c r="BR1825" s="497">
        <v>21.02</v>
      </c>
      <c r="BT1825" s="42"/>
    </row>
    <row r="1826" spans="1:72" x14ac:dyDescent="0.25">
      <c r="A1826" s="90">
        <v>38063</v>
      </c>
      <c r="B1826" s="20">
        <v>0.33333333333333331</v>
      </c>
      <c r="D1826">
        <v>44.96</v>
      </c>
      <c r="E1826" t="str">
        <f t="shared" si="92"/>
        <v>WEEKDAY</v>
      </c>
      <c r="F1826" t="e">
        <f t="shared" si="91"/>
        <v>#N/A</v>
      </c>
      <c r="G1826" s="74">
        <v>32949</v>
      </c>
      <c r="H1826" s="77">
        <v>0.33333333333333331</v>
      </c>
      <c r="J1826">
        <v>55.94</v>
      </c>
      <c r="M1826" s="74">
        <v>36602</v>
      </c>
      <c r="N1826" s="77">
        <v>0.33333333333333331</v>
      </c>
      <c r="P1826">
        <v>35.6</v>
      </c>
      <c r="S1826" s="74">
        <v>38063</v>
      </c>
      <c r="T1826" s="77">
        <v>0.33333333333333331</v>
      </c>
      <c r="V1826">
        <v>30.02</v>
      </c>
      <c r="X1826" s="42"/>
      <c r="AB1826">
        <v>37.1</v>
      </c>
      <c r="AC1826">
        <v>42.08</v>
      </c>
      <c r="AE1826" s="74"/>
      <c r="AF1826" s="77"/>
      <c r="AH1826" s="497">
        <v>30.2</v>
      </c>
      <c r="AJ1826" s="42"/>
      <c r="AK1826" s="74"/>
      <c r="AL1826" s="77"/>
      <c r="AN1826" s="497">
        <v>21.92</v>
      </c>
      <c r="AP1826" s="42"/>
      <c r="AQ1826" s="74"/>
      <c r="AR1826" s="77"/>
      <c r="AT1826" s="497">
        <v>15.620000000000001</v>
      </c>
      <c r="AV1826" s="42"/>
      <c r="AW1826" s="74"/>
      <c r="AX1826" s="77"/>
      <c r="BA1826" s="497">
        <v>50</v>
      </c>
      <c r="BB1826" s="42"/>
      <c r="BC1826" s="74"/>
      <c r="BD1826" s="77"/>
      <c r="BF1826">
        <v>48.92</v>
      </c>
      <c r="BH1826" s="42"/>
      <c r="BI1826" s="74"/>
      <c r="BJ1826" s="77"/>
      <c r="BL1826" s="497">
        <v>33.08</v>
      </c>
      <c r="BN1826" s="42"/>
      <c r="BO1826" s="74"/>
      <c r="BP1826" s="77"/>
      <c r="BR1826" s="497">
        <v>21.02</v>
      </c>
      <c r="BT1826" s="42"/>
    </row>
    <row r="1827" spans="1:72" x14ac:dyDescent="0.25">
      <c r="A1827" s="90">
        <v>38063</v>
      </c>
      <c r="B1827" s="20">
        <v>0.375</v>
      </c>
      <c r="D1827">
        <v>44.96</v>
      </c>
      <c r="E1827" t="str">
        <f t="shared" si="92"/>
        <v>WEEKDAY</v>
      </c>
      <c r="F1827" t="e">
        <f t="shared" si="91"/>
        <v>#N/A</v>
      </c>
      <c r="G1827" s="74">
        <v>32949</v>
      </c>
      <c r="H1827" s="77">
        <v>0.375</v>
      </c>
      <c r="J1827">
        <v>60.08</v>
      </c>
      <c r="M1827" s="74">
        <v>36602</v>
      </c>
      <c r="N1827" s="77">
        <v>0.375</v>
      </c>
      <c r="P1827">
        <v>32</v>
      </c>
      <c r="S1827" s="74">
        <v>38063</v>
      </c>
      <c r="T1827" s="77">
        <v>0.375</v>
      </c>
      <c r="V1827">
        <v>30.02</v>
      </c>
      <c r="X1827" s="42"/>
      <c r="AB1827">
        <v>38.9</v>
      </c>
      <c r="AC1827">
        <v>48.019999999999996</v>
      </c>
      <c r="AE1827" s="74"/>
      <c r="AF1827" s="77"/>
      <c r="AH1827" s="497">
        <v>26.6</v>
      </c>
      <c r="AJ1827" s="42"/>
      <c r="AK1827" s="74"/>
      <c r="AL1827" s="77"/>
      <c r="AN1827" s="497">
        <v>24.98</v>
      </c>
      <c r="AP1827" s="42"/>
      <c r="AQ1827" s="74"/>
      <c r="AR1827" s="77"/>
      <c r="AT1827" s="497">
        <v>18.32</v>
      </c>
      <c r="AV1827" s="42"/>
      <c r="AW1827" s="74"/>
      <c r="AX1827" s="77"/>
      <c r="BA1827" s="497">
        <v>50</v>
      </c>
      <c r="BB1827" s="42"/>
      <c r="BC1827" s="74"/>
      <c r="BD1827" s="77"/>
      <c r="BF1827">
        <v>48.92</v>
      </c>
      <c r="BH1827" s="42"/>
      <c r="BI1827" s="74"/>
      <c r="BJ1827" s="77"/>
      <c r="BL1827" s="497">
        <v>35.96</v>
      </c>
      <c r="BN1827" s="42"/>
      <c r="BO1827" s="74"/>
      <c r="BP1827" s="77"/>
      <c r="BR1827" s="497">
        <v>19.939999999999998</v>
      </c>
      <c r="BT1827" s="42"/>
    </row>
    <row r="1828" spans="1:72" x14ac:dyDescent="0.25">
      <c r="A1828" s="90">
        <v>38063</v>
      </c>
      <c r="B1828" s="20">
        <v>0.41666666666666669</v>
      </c>
      <c r="D1828">
        <v>46.04</v>
      </c>
      <c r="E1828" t="str">
        <f t="shared" si="92"/>
        <v>WEEKDAY</v>
      </c>
      <c r="F1828" t="e">
        <f t="shared" si="91"/>
        <v>#N/A</v>
      </c>
      <c r="G1828" s="74">
        <v>32949</v>
      </c>
      <c r="H1828" s="77">
        <v>0.41666666666666669</v>
      </c>
      <c r="J1828">
        <v>60.980000000000004</v>
      </c>
      <c r="M1828" s="74">
        <v>36602</v>
      </c>
      <c r="N1828" s="77">
        <v>0.41666666666666669</v>
      </c>
      <c r="P1828">
        <v>32</v>
      </c>
      <c r="S1828" s="74">
        <v>38063</v>
      </c>
      <c r="T1828" s="77">
        <v>0.41666666666666669</v>
      </c>
      <c r="V1828">
        <v>30.02</v>
      </c>
      <c r="X1828" s="42"/>
      <c r="AB1828">
        <v>40.700000000000003</v>
      </c>
      <c r="AC1828">
        <v>51.08</v>
      </c>
      <c r="AE1828" s="74"/>
      <c r="AF1828" s="77"/>
      <c r="AH1828" s="497">
        <v>28.4</v>
      </c>
      <c r="AJ1828" s="42"/>
      <c r="AK1828" s="74"/>
      <c r="AL1828" s="77"/>
      <c r="AN1828" s="497">
        <v>28.04</v>
      </c>
      <c r="AP1828" s="42"/>
      <c r="AQ1828" s="74"/>
      <c r="AR1828" s="77"/>
      <c r="AT1828" s="497">
        <v>21.02</v>
      </c>
      <c r="AV1828" s="42"/>
      <c r="AW1828" s="74"/>
      <c r="AX1828" s="77"/>
      <c r="BA1828" s="497">
        <v>50</v>
      </c>
      <c r="BB1828" s="42"/>
      <c r="BC1828" s="74"/>
      <c r="BD1828" s="77"/>
      <c r="BF1828">
        <v>50</v>
      </c>
      <c r="BH1828" s="42"/>
      <c r="BI1828" s="74"/>
      <c r="BJ1828" s="77"/>
      <c r="BL1828" s="497">
        <v>37.94</v>
      </c>
      <c r="BN1828" s="42"/>
      <c r="BO1828" s="74"/>
      <c r="BP1828" s="77"/>
      <c r="BR1828" s="497">
        <v>19.939999999999998</v>
      </c>
      <c r="BT1828" s="42"/>
    </row>
    <row r="1829" spans="1:72" x14ac:dyDescent="0.25">
      <c r="A1829" s="90">
        <v>38063</v>
      </c>
      <c r="B1829" s="20">
        <v>0.45833333333333331</v>
      </c>
      <c r="D1829">
        <v>48.019999999999996</v>
      </c>
      <c r="E1829" t="str">
        <f t="shared" si="92"/>
        <v>WEEKDAY</v>
      </c>
      <c r="F1829" t="e">
        <f t="shared" si="91"/>
        <v>#N/A</v>
      </c>
      <c r="G1829" s="74">
        <v>32949</v>
      </c>
      <c r="H1829" s="77">
        <v>0.45833333333333331</v>
      </c>
      <c r="J1829">
        <v>64.94</v>
      </c>
      <c r="M1829" s="74">
        <v>36602</v>
      </c>
      <c r="N1829" s="77">
        <v>0.45833333333333331</v>
      </c>
      <c r="P1829">
        <v>30.2</v>
      </c>
      <c r="S1829" s="74">
        <v>38063</v>
      </c>
      <c r="T1829" s="77">
        <v>0.45833333333333331</v>
      </c>
      <c r="V1829">
        <v>30.02</v>
      </c>
      <c r="X1829" s="42"/>
      <c r="AB1829">
        <v>42.4</v>
      </c>
      <c r="AC1829">
        <v>50</v>
      </c>
      <c r="AE1829" s="74"/>
      <c r="AF1829" s="77"/>
      <c r="AH1829" s="497">
        <v>28.4</v>
      </c>
      <c r="AJ1829" s="42"/>
      <c r="AK1829" s="74"/>
      <c r="AL1829" s="77"/>
      <c r="AN1829" s="497">
        <v>30.92</v>
      </c>
      <c r="AP1829" s="42"/>
      <c r="AQ1829" s="74"/>
      <c r="AR1829" s="77"/>
      <c r="AT1829" s="497">
        <v>22.28</v>
      </c>
      <c r="AV1829" s="42"/>
      <c r="AW1829" s="74"/>
      <c r="AX1829" s="77"/>
      <c r="BA1829" s="497">
        <v>50</v>
      </c>
      <c r="BB1829" s="42"/>
      <c r="BC1829" s="74"/>
      <c r="BD1829" s="77"/>
      <c r="BF1829">
        <v>51.980000000000004</v>
      </c>
      <c r="BH1829" s="42"/>
      <c r="BI1829" s="74"/>
      <c r="BJ1829" s="77"/>
      <c r="BL1829" s="497">
        <v>39.92</v>
      </c>
      <c r="BN1829" s="42"/>
      <c r="BO1829" s="74"/>
      <c r="BP1829" s="77"/>
      <c r="BR1829" s="497">
        <v>17.96</v>
      </c>
      <c r="BT1829" s="42"/>
    </row>
    <row r="1830" spans="1:72" x14ac:dyDescent="0.25">
      <c r="A1830" s="90">
        <v>38063</v>
      </c>
      <c r="B1830" s="20">
        <v>0.5</v>
      </c>
      <c r="D1830">
        <v>51.08</v>
      </c>
      <c r="E1830" t="str">
        <f t="shared" si="92"/>
        <v>WEEKDAY</v>
      </c>
      <c r="F1830" t="e">
        <f t="shared" si="91"/>
        <v>#N/A</v>
      </c>
      <c r="G1830" s="74">
        <v>32949</v>
      </c>
      <c r="H1830" s="77">
        <v>0.5</v>
      </c>
      <c r="J1830">
        <v>66.02</v>
      </c>
      <c r="M1830" s="74">
        <v>36602</v>
      </c>
      <c r="N1830" s="77">
        <v>0.5</v>
      </c>
      <c r="P1830">
        <v>30.2</v>
      </c>
      <c r="S1830" s="74">
        <v>38063</v>
      </c>
      <c r="T1830" s="77">
        <v>0.5</v>
      </c>
      <c r="V1830">
        <v>30.02</v>
      </c>
      <c r="X1830" s="42"/>
      <c r="AB1830">
        <v>43.7</v>
      </c>
      <c r="AC1830">
        <v>50</v>
      </c>
      <c r="AE1830" s="74"/>
      <c r="AF1830" s="77"/>
      <c r="AH1830" s="497">
        <v>28.4</v>
      </c>
      <c r="AJ1830" s="42"/>
      <c r="AK1830" s="74"/>
      <c r="AL1830" s="77"/>
      <c r="AN1830" s="497">
        <v>33.08</v>
      </c>
      <c r="AP1830" s="42"/>
      <c r="AQ1830" s="74"/>
      <c r="AR1830" s="77"/>
      <c r="AT1830" s="497">
        <v>23.72</v>
      </c>
      <c r="AV1830" s="42"/>
      <c r="AW1830" s="74"/>
      <c r="AX1830" s="77"/>
      <c r="BA1830" s="497">
        <v>51.08</v>
      </c>
      <c r="BB1830" s="42"/>
      <c r="BC1830" s="74"/>
      <c r="BD1830" s="77"/>
      <c r="BF1830">
        <v>53.96</v>
      </c>
      <c r="BH1830" s="42"/>
      <c r="BI1830" s="74"/>
      <c r="BJ1830" s="77"/>
      <c r="BL1830" s="497">
        <v>41</v>
      </c>
      <c r="BN1830" s="42"/>
      <c r="BO1830" s="74"/>
      <c r="BP1830" s="77"/>
      <c r="BR1830" s="497">
        <v>17.96</v>
      </c>
      <c r="BT1830" s="42"/>
    </row>
    <row r="1831" spans="1:72" x14ac:dyDescent="0.25">
      <c r="A1831" s="90">
        <v>38063</v>
      </c>
      <c r="B1831" s="20">
        <v>0.54166666666666663</v>
      </c>
      <c r="D1831">
        <v>55.94</v>
      </c>
      <c r="E1831" t="str">
        <f t="shared" si="92"/>
        <v>WEEKDAY</v>
      </c>
      <c r="F1831" t="e">
        <f t="shared" si="91"/>
        <v>#N/A</v>
      </c>
      <c r="G1831" s="74">
        <v>32949</v>
      </c>
      <c r="H1831" s="77">
        <v>0.54166666666666663</v>
      </c>
      <c r="J1831">
        <v>66.92</v>
      </c>
      <c r="M1831" s="74">
        <v>36602</v>
      </c>
      <c r="N1831" s="77">
        <v>0.54166666666666663</v>
      </c>
      <c r="P1831">
        <v>28.4</v>
      </c>
      <c r="S1831" s="74">
        <v>38063</v>
      </c>
      <c r="T1831" s="77">
        <v>0.54166666666666663</v>
      </c>
      <c r="V1831">
        <v>30.02</v>
      </c>
      <c r="X1831" s="42"/>
      <c r="AB1831">
        <v>44.9</v>
      </c>
      <c r="AC1831">
        <v>50</v>
      </c>
      <c r="AE1831" s="74"/>
      <c r="AF1831" s="77"/>
      <c r="AH1831" s="497">
        <v>26.6</v>
      </c>
      <c r="AJ1831" s="42"/>
      <c r="AK1831" s="74"/>
      <c r="AL1831" s="77"/>
      <c r="AN1831" s="497">
        <v>35.96</v>
      </c>
      <c r="AP1831" s="42"/>
      <c r="AQ1831" s="74"/>
      <c r="AR1831" s="77"/>
      <c r="AT1831" s="497">
        <v>24.98</v>
      </c>
      <c r="AV1831" s="42"/>
      <c r="AW1831" s="74"/>
      <c r="AX1831" s="77"/>
      <c r="BA1831" s="497">
        <v>51.08</v>
      </c>
      <c r="BB1831" s="42"/>
      <c r="BC1831" s="74"/>
      <c r="BD1831" s="77"/>
      <c r="BF1831">
        <v>53.96</v>
      </c>
      <c r="BH1831" s="42"/>
      <c r="BI1831" s="74"/>
      <c r="BJ1831" s="77"/>
      <c r="BL1831" s="497">
        <v>41</v>
      </c>
      <c r="BN1831" s="42"/>
      <c r="BO1831" s="74"/>
      <c r="BP1831" s="77"/>
      <c r="BR1831" s="497">
        <v>17.96</v>
      </c>
      <c r="BT1831" s="42"/>
    </row>
    <row r="1832" spans="1:72" x14ac:dyDescent="0.25">
      <c r="A1832" s="90">
        <v>38063</v>
      </c>
      <c r="B1832" s="20">
        <v>0.58333333333333337</v>
      </c>
      <c r="D1832">
        <v>59</v>
      </c>
      <c r="E1832" t="str">
        <f t="shared" si="92"/>
        <v>WEEKDAY</v>
      </c>
      <c r="F1832" t="e">
        <f t="shared" si="91"/>
        <v>#N/A</v>
      </c>
      <c r="G1832" s="74">
        <v>32949</v>
      </c>
      <c r="H1832" s="77">
        <v>0.58333333333333337</v>
      </c>
      <c r="J1832">
        <v>66.02</v>
      </c>
      <c r="M1832" s="74">
        <v>36602</v>
      </c>
      <c r="N1832" s="77">
        <v>0.58333333333333337</v>
      </c>
      <c r="P1832">
        <v>28.4</v>
      </c>
      <c r="S1832" s="74">
        <v>38063</v>
      </c>
      <c r="T1832" s="77">
        <v>0.58333333333333337</v>
      </c>
      <c r="V1832">
        <v>30.92</v>
      </c>
      <c r="X1832" s="42"/>
      <c r="AB1832">
        <v>45.7</v>
      </c>
      <c r="AC1832">
        <v>50</v>
      </c>
      <c r="AE1832" s="74"/>
      <c r="AF1832" s="77"/>
      <c r="AH1832" s="497">
        <v>28.4</v>
      </c>
      <c r="AJ1832" s="42"/>
      <c r="AK1832" s="74"/>
      <c r="AL1832" s="77"/>
      <c r="AN1832" s="497">
        <v>37.04</v>
      </c>
      <c r="AP1832" s="42"/>
      <c r="AQ1832" s="74"/>
      <c r="AR1832" s="77"/>
      <c r="AT1832" s="497">
        <v>23.72</v>
      </c>
      <c r="AV1832" s="42"/>
      <c r="AW1832" s="74"/>
      <c r="AX1832" s="77"/>
      <c r="BA1832" s="497">
        <v>51.980000000000004</v>
      </c>
      <c r="BB1832" s="42"/>
      <c r="BC1832" s="74"/>
      <c r="BD1832" s="77"/>
      <c r="BF1832">
        <v>53.06</v>
      </c>
      <c r="BH1832" s="42"/>
      <c r="BI1832" s="74"/>
      <c r="BJ1832" s="77"/>
      <c r="BL1832" s="497">
        <v>41</v>
      </c>
      <c r="BN1832" s="42"/>
      <c r="BO1832" s="74"/>
      <c r="BP1832" s="77"/>
      <c r="BR1832" s="497">
        <v>19.939999999999998</v>
      </c>
      <c r="BT1832" s="42"/>
    </row>
    <row r="1833" spans="1:72" x14ac:dyDescent="0.25">
      <c r="A1833" s="90">
        <v>38063</v>
      </c>
      <c r="B1833" s="20">
        <v>0.625</v>
      </c>
      <c r="D1833">
        <v>55.94</v>
      </c>
      <c r="E1833" t="str">
        <f t="shared" si="92"/>
        <v>WEEKDAY</v>
      </c>
      <c r="F1833" t="e">
        <f t="shared" si="91"/>
        <v>#N/A</v>
      </c>
      <c r="G1833" s="74">
        <v>32949</v>
      </c>
      <c r="H1833" s="77">
        <v>0.625</v>
      </c>
      <c r="J1833">
        <v>64.039999999999992</v>
      </c>
      <c r="M1833" s="74">
        <v>36602</v>
      </c>
      <c r="N1833" s="77">
        <v>0.625</v>
      </c>
      <c r="P1833">
        <v>33.799999999999997</v>
      </c>
      <c r="S1833" s="74">
        <v>38063</v>
      </c>
      <c r="T1833" s="77">
        <v>0.625</v>
      </c>
      <c r="V1833">
        <v>30.92</v>
      </c>
      <c r="X1833" s="42"/>
      <c r="AB1833">
        <v>46</v>
      </c>
      <c r="AC1833">
        <v>48.019999999999996</v>
      </c>
      <c r="AE1833" s="74"/>
      <c r="AF1833" s="77"/>
      <c r="AH1833" s="497">
        <v>30.2</v>
      </c>
      <c r="AJ1833" s="42"/>
      <c r="AK1833" s="74"/>
      <c r="AL1833" s="77"/>
      <c r="AN1833" s="497">
        <v>37.04</v>
      </c>
      <c r="AP1833" s="42"/>
      <c r="AQ1833" s="74"/>
      <c r="AR1833" s="77"/>
      <c r="AT1833" s="497">
        <v>22.28</v>
      </c>
      <c r="AV1833" s="42"/>
      <c r="AW1833" s="74"/>
      <c r="AX1833" s="77"/>
      <c r="BA1833" s="497">
        <v>53.06</v>
      </c>
      <c r="BB1833" s="42"/>
      <c r="BC1833" s="74"/>
      <c r="BD1833" s="77"/>
      <c r="BF1833">
        <v>44.96</v>
      </c>
      <c r="BH1833" s="42"/>
      <c r="BI1833" s="74"/>
      <c r="BJ1833" s="77"/>
      <c r="BL1833" s="497">
        <v>41</v>
      </c>
      <c r="BN1833" s="42"/>
      <c r="BO1833" s="74"/>
      <c r="BP1833" s="77"/>
      <c r="BR1833" s="497">
        <v>19.939999999999998</v>
      </c>
      <c r="BT1833" s="42"/>
    </row>
    <row r="1834" spans="1:72" x14ac:dyDescent="0.25">
      <c r="A1834" s="90">
        <v>38063</v>
      </c>
      <c r="B1834" s="20">
        <v>0.66666666666666663</v>
      </c>
      <c r="D1834">
        <v>55.040000000000006</v>
      </c>
      <c r="E1834" t="str">
        <f t="shared" si="92"/>
        <v>WEEKDAY</v>
      </c>
      <c r="F1834" t="e">
        <f t="shared" si="91"/>
        <v>#N/A</v>
      </c>
      <c r="G1834" s="74">
        <v>32949</v>
      </c>
      <c r="H1834" s="77">
        <v>0.66666666666666663</v>
      </c>
      <c r="J1834">
        <v>62.06</v>
      </c>
      <c r="M1834" s="74">
        <v>36602</v>
      </c>
      <c r="N1834" s="77">
        <v>0.66666666666666663</v>
      </c>
      <c r="P1834">
        <v>32</v>
      </c>
      <c r="S1834" s="74">
        <v>38063</v>
      </c>
      <c r="T1834" s="77">
        <v>0.66666666666666663</v>
      </c>
      <c r="V1834">
        <v>30.92</v>
      </c>
      <c r="X1834" s="42"/>
      <c r="AB1834">
        <v>46.2</v>
      </c>
      <c r="AC1834">
        <v>48.019999999999996</v>
      </c>
      <c r="AE1834" s="74"/>
      <c r="AF1834" s="77"/>
      <c r="AH1834" s="497">
        <v>30.2</v>
      </c>
      <c r="AJ1834" s="42"/>
      <c r="AK1834" s="74"/>
      <c r="AL1834" s="77"/>
      <c r="AN1834" s="497">
        <v>37.04</v>
      </c>
      <c r="AP1834" s="42"/>
      <c r="AQ1834" s="74"/>
      <c r="AR1834" s="77"/>
      <c r="AT1834" s="497">
        <v>21.02</v>
      </c>
      <c r="AV1834" s="42"/>
      <c r="AW1834" s="74"/>
      <c r="AX1834" s="77"/>
      <c r="BA1834" s="497">
        <v>53.06</v>
      </c>
      <c r="BB1834" s="42"/>
      <c r="BC1834" s="74"/>
      <c r="BD1834" s="77"/>
      <c r="BF1834">
        <v>42.980000000000004</v>
      </c>
      <c r="BH1834" s="42"/>
      <c r="BI1834" s="74"/>
      <c r="BJ1834" s="77"/>
      <c r="BL1834" s="497">
        <v>37.94</v>
      </c>
      <c r="BN1834" s="42"/>
      <c r="BO1834" s="74"/>
      <c r="BP1834" s="77"/>
      <c r="BR1834" s="497">
        <v>19.939999999999998</v>
      </c>
      <c r="BT1834" s="42"/>
    </row>
    <row r="1835" spans="1:72" x14ac:dyDescent="0.25">
      <c r="A1835" s="90">
        <v>38063</v>
      </c>
      <c r="B1835" s="20">
        <v>0.70833333333333337</v>
      </c>
      <c r="D1835">
        <v>53.96</v>
      </c>
      <c r="E1835" t="str">
        <f t="shared" si="92"/>
        <v>WEEKDAY</v>
      </c>
      <c r="F1835" t="e">
        <f t="shared" ref="F1835:F1898" si="93">IF(E1835="WEEKDAY",VLOOKUP(B1835,$DD$19:$DG$42,2),IF(E1835="SATURDAY",VLOOKUP(B1835,$DD$19:$DG$42,3),VLOOKUP(B1835,$DD$19:$DG$42,4)))</f>
        <v>#N/A</v>
      </c>
      <c r="G1835" s="74">
        <v>32949</v>
      </c>
      <c r="H1835" s="77">
        <v>0.70833333333333337</v>
      </c>
      <c r="J1835">
        <v>60.08</v>
      </c>
      <c r="M1835" s="74">
        <v>36602</v>
      </c>
      <c r="N1835" s="77">
        <v>0.70833333333333337</v>
      </c>
      <c r="P1835">
        <v>32</v>
      </c>
      <c r="S1835" s="74">
        <v>38063</v>
      </c>
      <c r="T1835" s="77">
        <v>0.70833333333333337</v>
      </c>
      <c r="V1835">
        <v>30.92</v>
      </c>
      <c r="X1835" s="42"/>
      <c r="AB1835">
        <v>45.7</v>
      </c>
      <c r="AC1835">
        <v>46.94</v>
      </c>
      <c r="AE1835" s="74"/>
      <c r="AF1835" s="77"/>
      <c r="AH1835" s="497">
        <v>30.2</v>
      </c>
      <c r="AJ1835" s="42"/>
      <c r="AK1835" s="74"/>
      <c r="AL1835" s="77"/>
      <c r="AN1835" s="497">
        <v>37.04</v>
      </c>
      <c r="AP1835" s="42"/>
      <c r="AQ1835" s="74"/>
      <c r="AR1835" s="77"/>
      <c r="AT1835" s="497">
        <v>19.759999999999998</v>
      </c>
      <c r="AV1835" s="42"/>
      <c r="AW1835" s="74"/>
      <c r="AX1835" s="77"/>
      <c r="BA1835" s="497">
        <v>53.06</v>
      </c>
      <c r="BB1835" s="42"/>
      <c r="BC1835" s="74"/>
      <c r="BD1835" s="77"/>
      <c r="BF1835">
        <v>42.980000000000004</v>
      </c>
      <c r="BH1835" s="42"/>
      <c r="BI1835" s="74"/>
      <c r="BJ1835" s="77"/>
      <c r="BL1835" s="497">
        <v>37.94</v>
      </c>
      <c r="BN1835" s="42"/>
      <c r="BO1835" s="74"/>
      <c r="BP1835" s="77"/>
      <c r="BR1835" s="497">
        <v>21.02</v>
      </c>
      <c r="BT1835" s="42"/>
    </row>
    <row r="1836" spans="1:72" x14ac:dyDescent="0.25">
      <c r="A1836" s="90">
        <v>38063</v>
      </c>
      <c r="B1836" s="20">
        <v>0.75</v>
      </c>
      <c r="D1836">
        <v>55.040000000000006</v>
      </c>
      <c r="E1836" t="str">
        <f t="shared" si="92"/>
        <v>WEEKDAY</v>
      </c>
      <c r="F1836" t="e">
        <f t="shared" si="93"/>
        <v>#N/A</v>
      </c>
      <c r="G1836" s="74">
        <v>32949</v>
      </c>
      <c r="H1836" s="77">
        <v>0.75</v>
      </c>
      <c r="J1836">
        <v>59</v>
      </c>
      <c r="M1836" s="74">
        <v>36602</v>
      </c>
      <c r="N1836" s="77">
        <v>0.75</v>
      </c>
      <c r="P1836">
        <v>32</v>
      </c>
      <c r="S1836" s="74">
        <v>38063</v>
      </c>
      <c r="T1836" s="77">
        <v>0.75</v>
      </c>
      <c r="V1836">
        <v>30.02</v>
      </c>
      <c r="X1836" s="42"/>
      <c r="AB1836">
        <v>44.7</v>
      </c>
      <c r="AC1836">
        <v>42.980000000000004</v>
      </c>
      <c r="AE1836" s="74"/>
      <c r="AF1836" s="77"/>
      <c r="AH1836" s="497">
        <v>28.4</v>
      </c>
      <c r="AJ1836" s="42"/>
      <c r="AK1836" s="74"/>
      <c r="AL1836" s="77"/>
      <c r="AN1836" s="497">
        <v>35.96</v>
      </c>
      <c r="AP1836" s="42"/>
      <c r="AQ1836" s="74"/>
      <c r="AR1836" s="77"/>
      <c r="AT1836" s="497">
        <v>18.32</v>
      </c>
      <c r="AV1836" s="42"/>
      <c r="AW1836" s="74"/>
      <c r="AX1836" s="77"/>
      <c r="BA1836" s="497">
        <v>53.06</v>
      </c>
      <c r="BB1836" s="42"/>
      <c r="BC1836" s="74"/>
      <c r="BD1836" s="77"/>
      <c r="BF1836">
        <v>42.980000000000004</v>
      </c>
      <c r="BH1836" s="42"/>
      <c r="BI1836" s="74"/>
      <c r="BJ1836" s="77"/>
      <c r="BL1836" s="497">
        <v>37.94</v>
      </c>
      <c r="BN1836" s="42"/>
      <c r="BO1836" s="74"/>
      <c r="BP1836" s="77"/>
      <c r="BR1836" s="497">
        <v>19.939999999999998</v>
      </c>
      <c r="BT1836" s="42"/>
    </row>
    <row r="1837" spans="1:72" x14ac:dyDescent="0.25">
      <c r="A1837" s="90">
        <v>38063</v>
      </c>
      <c r="B1837" s="20">
        <v>0.79166666666666663</v>
      </c>
      <c r="D1837">
        <v>51.08</v>
      </c>
      <c r="E1837" t="str">
        <f t="shared" si="92"/>
        <v>WEEKDAY</v>
      </c>
      <c r="F1837" t="e">
        <f t="shared" si="93"/>
        <v>#N/A</v>
      </c>
      <c r="G1837" s="74">
        <v>32949</v>
      </c>
      <c r="H1837" s="77">
        <v>0.79166666666666663</v>
      </c>
      <c r="J1837">
        <v>59</v>
      </c>
      <c r="M1837" s="74">
        <v>36602</v>
      </c>
      <c r="N1837" s="77">
        <v>0.79166666666666663</v>
      </c>
      <c r="P1837">
        <v>30.2</v>
      </c>
      <c r="S1837" s="74">
        <v>38063</v>
      </c>
      <c r="T1837" s="77">
        <v>0.79166666666666663</v>
      </c>
      <c r="V1837">
        <v>30.02</v>
      </c>
      <c r="X1837" s="42"/>
      <c r="AB1837">
        <v>43.2</v>
      </c>
      <c r="AC1837">
        <v>41</v>
      </c>
      <c r="AE1837" s="74"/>
      <c r="AF1837" s="77"/>
      <c r="AH1837" s="497">
        <v>26.6</v>
      </c>
      <c r="AJ1837" s="42"/>
      <c r="AK1837" s="74"/>
      <c r="AL1837" s="77"/>
      <c r="AN1837" s="497">
        <v>35.06</v>
      </c>
      <c r="AP1837" s="42"/>
      <c r="AQ1837" s="74"/>
      <c r="AR1837" s="77"/>
      <c r="AT1837" s="497">
        <v>17.059999999999999</v>
      </c>
      <c r="AV1837" s="42"/>
      <c r="AW1837" s="74"/>
      <c r="AX1837" s="77"/>
      <c r="BA1837" s="497">
        <v>53.96</v>
      </c>
      <c r="BB1837" s="42"/>
      <c r="BC1837" s="74"/>
      <c r="BD1837" s="77"/>
      <c r="BF1837">
        <v>39.92</v>
      </c>
      <c r="BH1837" s="42"/>
      <c r="BI1837" s="74"/>
      <c r="BJ1837" s="77"/>
      <c r="BL1837" s="497">
        <v>37.04</v>
      </c>
      <c r="BN1837" s="42"/>
      <c r="BO1837" s="74"/>
      <c r="BP1837" s="77"/>
      <c r="BR1837" s="497">
        <v>19.939999999999998</v>
      </c>
      <c r="BT1837" s="42"/>
    </row>
    <row r="1838" spans="1:72" x14ac:dyDescent="0.25">
      <c r="A1838" s="90">
        <v>38063</v>
      </c>
      <c r="B1838" s="20">
        <v>0.83333333333333337</v>
      </c>
      <c r="D1838">
        <v>53.96</v>
      </c>
      <c r="E1838" t="str">
        <f t="shared" si="92"/>
        <v>WEEKDAY</v>
      </c>
      <c r="F1838" t="e">
        <f t="shared" si="93"/>
        <v>#N/A</v>
      </c>
      <c r="G1838" s="74">
        <v>32949</v>
      </c>
      <c r="H1838" s="77">
        <v>0.83333333333333337</v>
      </c>
      <c r="J1838">
        <v>62.96</v>
      </c>
      <c r="M1838" s="74">
        <v>36602</v>
      </c>
      <c r="N1838" s="77">
        <v>0.83333333333333337</v>
      </c>
      <c r="P1838">
        <v>28.4</v>
      </c>
      <c r="S1838" s="74">
        <v>38063</v>
      </c>
      <c r="T1838" s="77">
        <v>0.83333333333333337</v>
      </c>
      <c r="V1838">
        <v>28.94</v>
      </c>
      <c r="X1838" s="42"/>
      <c r="AB1838">
        <v>42.3</v>
      </c>
      <c r="AC1838">
        <v>39.019999999999996</v>
      </c>
      <c r="AE1838" s="74"/>
      <c r="AF1838" s="77"/>
      <c r="AH1838" s="497">
        <v>26.6</v>
      </c>
      <c r="AJ1838" s="42"/>
      <c r="AK1838" s="74"/>
      <c r="AL1838" s="77"/>
      <c r="AN1838" s="497">
        <v>33.979999999999997</v>
      </c>
      <c r="AP1838" s="42"/>
      <c r="AQ1838" s="74"/>
      <c r="AR1838" s="77"/>
      <c r="AT1838" s="497">
        <v>16.340000000000003</v>
      </c>
      <c r="AV1838" s="42"/>
      <c r="AW1838" s="74"/>
      <c r="AX1838" s="77"/>
      <c r="BA1838" s="497">
        <v>48.92</v>
      </c>
      <c r="BB1838" s="42"/>
      <c r="BC1838" s="74"/>
      <c r="BD1838" s="77"/>
      <c r="BF1838">
        <v>41</v>
      </c>
      <c r="BH1838" s="42"/>
      <c r="BI1838" s="74"/>
      <c r="BJ1838" s="77"/>
      <c r="BL1838" s="497">
        <v>35.06</v>
      </c>
      <c r="BN1838" s="42"/>
      <c r="BO1838" s="74"/>
      <c r="BP1838" s="77"/>
      <c r="BR1838" s="497">
        <v>17.96</v>
      </c>
      <c r="BT1838" s="42"/>
    </row>
    <row r="1839" spans="1:72" x14ac:dyDescent="0.25">
      <c r="A1839" s="90">
        <v>38063</v>
      </c>
      <c r="B1839" s="20">
        <v>0.875</v>
      </c>
      <c r="D1839">
        <v>51.08</v>
      </c>
      <c r="E1839" t="str">
        <f t="shared" si="92"/>
        <v>WEEKDAY</v>
      </c>
      <c r="F1839" t="e">
        <f t="shared" si="93"/>
        <v>#N/A</v>
      </c>
      <c r="G1839" s="74">
        <v>32949</v>
      </c>
      <c r="H1839" s="77">
        <v>0.875</v>
      </c>
      <c r="J1839">
        <v>62.06</v>
      </c>
      <c r="M1839" s="74">
        <v>36602</v>
      </c>
      <c r="N1839" s="77">
        <v>0.875</v>
      </c>
      <c r="P1839">
        <v>28.4</v>
      </c>
      <c r="S1839" s="74">
        <v>38063</v>
      </c>
      <c r="T1839" s="77">
        <v>0.875</v>
      </c>
      <c r="V1839">
        <v>28.94</v>
      </c>
      <c r="X1839" s="42"/>
      <c r="AB1839">
        <v>41.7</v>
      </c>
      <c r="AC1839">
        <v>41</v>
      </c>
      <c r="AE1839" s="74"/>
      <c r="AF1839" s="77"/>
      <c r="AH1839" s="497">
        <v>24.8</v>
      </c>
      <c r="AJ1839" s="42"/>
      <c r="AK1839" s="74"/>
      <c r="AL1839" s="77"/>
      <c r="AN1839" s="497">
        <v>33.08</v>
      </c>
      <c r="AP1839" s="42"/>
      <c r="AQ1839" s="74"/>
      <c r="AR1839" s="77"/>
      <c r="AT1839" s="497">
        <v>15.8</v>
      </c>
      <c r="AV1839" s="42"/>
      <c r="AW1839" s="74"/>
      <c r="AX1839" s="77"/>
      <c r="BA1839" s="497">
        <v>48.019999999999996</v>
      </c>
      <c r="BB1839" s="42"/>
      <c r="BC1839" s="74"/>
      <c r="BD1839" s="77"/>
      <c r="BF1839">
        <v>41</v>
      </c>
      <c r="BH1839" s="42"/>
      <c r="BI1839" s="74"/>
      <c r="BJ1839" s="77"/>
      <c r="BL1839" s="497">
        <v>33.979999999999997</v>
      </c>
      <c r="BN1839" s="42"/>
      <c r="BO1839" s="74"/>
      <c r="BP1839" s="77"/>
      <c r="BR1839" s="497">
        <v>12.920000000000002</v>
      </c>
      <c r="BT1839" s="42"/>
    </row>
    <row r="1840" spans="1:72" x14ac:dyDescent="0.25">
      <c r="A1840" s="90">
        <v>38063</v>
      </c>
      <c r="B1840" s="20">
        <v>0.91666666666666663</v>
      </c>
      <c r="D1840">
        <v>48.92</v>
      </c>
      <c r="E1840" t="str">
        <f t="shared" si="92"/>
        <v>WEEKDAY</v>
      </c>
      <c r="F1840" t="e">
        <f t="shared" si="93"/>
        <v>#N/A</v>
      </c>
      <c r="G1840" s="74">
        <v>32949</v>
      </c>
      <c r="H1840" s="77">
        <v>0.91666666666666663</v>
      </c>
      <c r="J1840">
        <v>57.92</v>
      </c>
      <c r="M1840" s="74">
        <v>36602</v>
      </c>
      <c r="N1840" s="77">
        <v>0.91666666666666663</v>
      </c>
      <c r="P1840">
        <v>28.4</v>
      </c>
      <c r="S1840" s="74">
        <v>38063</v>
      </c>
      <c r="T1840" s="77">
        <v>0.91666666666666663</v>
      </c>
      <c r="V1840">
        <v>28.94</v>
      </c>
      <c r="X1840" s="42"/>
      <c r="AB1840">
        <v>41.1</v>
      </c>
      <c r="AC1840">
        <v>42.08</v>
      </c>
      <c r="AE1840" s="74"/>
      <c r="AF1840" s="77"/>
      <c r="AH1840" s="497">
        <v>23</v>
      </c>
      <c r="AJ1840" s="42"/>
      <c r="AK1840" s="74"/>
      <c r="AL1840" s="77"/>
      <c r="AN1840" s="497">
        <v>33.08</v>
      </c>
      <c r="AP1840" s="42"/>
      <c r="AQ1840" s="74"/>
      <c r="AR1840" s="77"/>
      <c r="AT1840" s="497">
        <v>15.079999999999998</v>
      </c>
      <c r="AV1840" s="42"/>
      <c r="AW1840" s="74"/>
      <c r="AX1840" s="77"/>
      <c r="BA1840" s="497">
        <v>46.94</v>
      </c>
      <c r="BB1840" s="42"/>
      <c r="BC1840" s="74"/>
      <c r="BD1840" s="77"/>
      <c r="BF1840">
        <v>41</v>
      </c>
      <c r="BH1840" s="42"/>
      <c r="BI1840" s="74"/>
      <c r="BJ1840" s="77"/>
      <c r="BL1840" s="497">
        <v>32</v>
      </c>
      <c r="BN1840" s="42"/>
      <c r="BO1840" s="74"/>
      <c r="BP1840" s="77"/>
      <c r="BR1840" s="497">
        <v>8.9599999999999973</v>
      </c>
      <c r="BT1840" s="42"/>
    </row>
    <row r="1841" spans="1:72" x14ac:dyDescent="0.25">
      <c r="A1841" s="90">
        <v>38063</v>
      </c>
      <c r="B1841" s="20">
        <v>0.95833333333333337</v>
      </c>
      <c r="D1841">
        <v>46.94</v>
      </c>
      <c r="E1841" t="str">
        <f t="shared" si="92"/>
        <v>WEEKDAY</v>
      </c>
      <c r="F1841" t="e">
        <f t="shared" si="93"/>
        <v>#N/A</v>
      </c>
      <c r="G1841" s="74">
        <v>32949</v>
      </c>
      <c r="H1841" s="77">
        <v>0.95833333333333337</v>
      </c>
      <c r="J1841">
        <v>55.040000000000006</v>
      </c>
      <c r="M1841" s="74">
        <v>36602</v>
      </c>
      <c r="N1841" s="77">
        <v>0.95833333333333337</v>
      </c>
      <c r="P1841">
        <v>26.42</v>
      </c>
      <c r="S1841" s="74">
        <v>38063</v>
      </c>
      <c r="T1841" s="77">
        <v>0.95833333333333337</v>
      </c>
      <c r="V1841">
        <v>28.94</v>
      </c>
      <c r="X1841" s="42"/>
      <c r="AB1841">
        <v>40.4</v>
      </c>
      <c r="AC1841">
        <v>42.08</v>
      </c>
      <c r="AE1841" s="74"/>
      <c r="AF1841" s="77"/>
      <c r="AH1841" s="497">
        <v>21.92</v>
      </c>
      <c r="AJ1841" s="42"/>
      <c r="AK1841" s="74"/>
      <c r="AL1841" s="77"/>
      <c r="AN1841" s="497">
        <v>28.94</v>
      </c>
      <c r="AP1841" s="42"/>
      <c r="AQ1841" s="74"/>
      <c r="AR1841" s="77"/>
      <c r="AT1841" s="497">
        <v>14.36</v>
      </c>
      <c r="AV1841" s="42"/>
      <c r="AW1841" s="74"/>
      <c r="AX1841" s="77"/>
      <c r="BA1841" s="497">
        <v>46.04</v>
      </c>
      <c r="BB1841" s="42"/>
      <c r="BC1841" s="74"/>
      <c r="BD1841" s="77"/>
      <c r="BF1841">
        <v>39.92</v>
      </c>
      <c r="BH1841" s="42"/>
      <c r="BI1841" s="74"/>
      <c r="BJ1841" s="77"/>
      <c r="BL1841" s="497">
        <v>32</v>
      </c>
      <c r="BN1841" s="42"/>
      <c r="BO1841" s="74"/>
      <c r="BP1841" s="77"/>
      <c r="BR1841" s="497">
        <v>12.02</v>
      </c>
      <c r="BT1841" s="42"/>
    </row>
    <row r="1842" spans="1:72" x14ac:dyDescent="0.25">
      <c r="A1842" s="90">
        <v>38063</v>
      </c>
      <c r="B1842" s="20">
        <v>1</v>
      </c>
      <c r="D1842">
        <v>44.06</v>
      </c>
      <c r="E1842" t="str">
        <f t="shared" si="92"/>
        <v>WEEKDAY</v>
      </c>
      <c r="F1842" t="e">
        <f t="shared" si="93"/>
        <v>#N/A</v>
      </c>
      <c r="G1842" s="74">
        <v>32949</v>
      </c>
      <c r="H1842" s="77">
        <v>1</v>
      </c>
      <c r="J1842">
        <v>53.96</v>
      </c>
      <c r="M1842" s="74">
        <v>36602</v>
      </c>
      <c r="N1842" s="80">
        <v>1</v>
      </c>
      <c r="P1842">
        <v>24.8</v>
      </c>
      <c r="S1842" s="74">
        <v>38063</v>
      </c>
      <c r="T1842" s="80">
        <v>1</v>
      </c>
      <c r="V1842">
        <v>28.94</v>
      </c>
      <c r="X1842" s="42"/>
      <c r="AB1842">
        <v>39.799999999999997</v>
      </c>
      <c r="AC1842">
        <v>41</v>
      </c>
      <c r="AE1842" s="74"/>
      <c r="AF1842" s="80"/>
      <c r="AH1842" s="497">
        <v>21.2</v>
      </c>
      <c r="AJ1842" s="42"/>
      <c r="AK1842" s="74"/>
      <c r="AL1842" s="80"/>
      <c r="AN1842" s="497">
        <v>26.96</v>
      </c>
      <c r="AP1842" s="42"/>
      <c r="AQ1842" s="74"/>
      <c r="AR1842" s="80"/>
      <c r="AT1842" s="497">
        <v>13.64</v>
      </c>
      <c r="AV1842" s="42"/>
      <c r="AW1842" s="74"/>
      <c r="AX1842" s="80"/>
      <c r="BA1842" s="497">
        <v>46.04</v>
      </c>
      <c r="BB1842" s="42"/>
      <c r="BC1842" s="74"/>
      <c r="BD1842" s="80"/>
      <c r="BF1842">
        <v>37.94</v>
      </c>
      <c r="BH1842" s="42"/>
      <c r="BI1842" s="74"/>
      <c r="BJ1842" s="80"/>
      <c r="BL1842" s="497">
        <v>32</v>
      </c>
      <c r="BN1842" s="42"/>
      <c r="BO1842" s="74"/>
      <c r="BP1842" s="80"/>
      <c r="BR1842" s="497">
        <v>15.079999999999998</v>
      </c>
      <c r="BT1842" s="42"/>
    </row>
    <row r="1843" spans="1:72" x14ac:dyDescent="0.25">
      <c r="A1843" s="90">
        <v>38064</v>
      </c>
      <c r="B1843" s="20">
        <v>4.1666666666666664E-2</v>
      </c>
      <c r="D1843">
        <v>42.980000000000004</v>
      </c>
      <c r="E1843" t="str">
        <f t="shared" si="92"/>
        <v>WEEKDAY</v>
      </c>
      <c r="F1843" t="e">
        <f t="shared" si="93"/>
        <v>#N/A</v>
      </c>
      <c r="G1843" s="74">
        <v>32950</v>
      </c>
      <c r="H1843" s="77">
        <v>4.1666666666666664E-2</v>
      </c>
      <c r="J1843">
        <v>53.06</v>
      </c>
      <c r="M1843" s="74">
        <v>36603</v>
      </c>
      <c r="N1843" s="77">
        <v>4.1666666666666664E-2</v>
      </c>
      <c r="P1843">
        <v>23.18</v>
      </c>
      <c r="S1843" s="74">
        <v>38064</v>
      </c>
      <c r="T1843" s="77">
        <v>4.1666666666666664E-2</v>
      </c>
      <c r="V1843">
        <v>28.94</v>
      </c>
      <c r="X1843" s="42"/>
      <c r="AB1843">
        <v>39.200000000000003</v>
      </c>
      <c r="AC1843">
        <v>42.08</v>
      </c>
      <c r="AE1843" s="74"/>
      <c r="AF1843" s="77"/>
      <c r="AH1843" s="497">
        <v>21.2</v>
      </c>
      <c r="AJ1843" s="42"/>
      <c r="AK1843" s="74"/>
      <c r="AL1843" s="77"/>
      <c r="AN1843" s="497">
        <v>26.96</v>
      </c>
      <c r="AP1843" s="42"/>
      <c r="AQ1843" s="74"/>
      <c r="AR1843" s="77"/>
      <c r="AT1843" s="497">
        <v>12.920000000000002</v>
      </c>
      <c r="AV1843" s="42"/>
      <c r="AW1843" s="74"/>
      <c r="AX1843" s="77"/>
      <c r="BA1843" s="497">
        <v>42.980000000000004</v>
      </c>
      <c r="BB1843" s="42"/>
      <c r="BC1843" s="74"/>
      <c r="BD1843" s="77"/>
      <c r="BF1843">
        <v>37.94</v>
      </c>
      <c r="BH1843" s="42"/>
      <c r="BI1843" s="74"/>
      <c r="BJ1843" s="77"/>
      <c r="BL1843" s="497">
        <v>30.02</v>
      </c>
      <c r="BN1843" s="42"/>
      <c r="BO1843" s="74"/>
      <c r="BP1843" s="77"/>
      <c r="BR1843" s="497">
        <v>12.02</v>
      </c>
      <c r="BT1843" s="42"/>
    </row>
    <row r="1844" spans="1:72" x14ac:dyDescent="0.25">
      <c r="A1844" s="90">
        <v>38064</v>
      </c>
      <c r="B1844" s="20">
        <v>8.3333333333333329E-2</v>
      </c>
      <c r="D1844">
        <v>42.08</v>
      </c>
      <c r="E1844" t="str">
        <f t="shared" si="92"/>
        <v>WEEKDAY</v>
      </c>
      <c r="F1844" t="e">
        <f t="shared" si="93"/>
        <v>#N/A</v>
      </c>
      <c r="G1844" s="74">
        <v>32950</v>
      </c>
      <c r="H1844" s="77">
        <v>8.3333333333333329E-2</v>
      </c>
      <c r="J1844">
        <v>53.06</v>
      </c>
      <c r="M1844" s="74">
        <v>36603</v>
      </c>
      <c r="N1844" s="77">
        <v>8.3333333333333329E-2</v>
      </c>
      <c r="P1844">
        <v>21.92</v>
      </c>
      <c r="S1844" s="74">
        <v>38064</v>
      </c>
      <c r="T1844" s="77">
        <v>8.3333333333333329E-2</v>
      </c>
      <c r="V1844">
        <v>28.94</v>
      </c>
      <c r="X1844" s="42"/>
      <c r="AB1844">
        <v>38.5</v>
      </c>
      <c r="AC1844">
        <v>42.08</v>
      </c>
      <c r="AE1844" s="74"/>
      <c r="AF1844" s="77"/>
      <c r="AH1844" s="497">
        <v>19.22</v>
      </c>
      <c r="AJ1844" s="42"/>
      <c r="AK1844" s="74"/>
      <c r="AL1844" s="77"/>
      <c r="AN1844" s="497">
        <v>26.96</v>
      </c>
      <c r="AP1844" s="42"/>
      <c r="AQ1844" s="74"/>
      <c r="AR1844" s="77"/>
      <c r="AT1844" s="497">
        <v>12.2</v>
      </c>
      <c r="AV1844" s="42"/>
      <c r="AW1844" s="74"/>
      <c r="AX1844" s="77"/>
      <c r="BA1844" s="497">
        <v>41</v>
      </c>
      <c r="BB1844" s="42"/>
      <c r="BC1844" s="74"/>
      <c r="BD1844" s="77"/>
      <c r="BF1844">
        <v>39.019999999999996</v>
      </c>
      <c r="BH1844" s="42"/>
      <c r="BI1844" s="74"/>
      <c r="BJ1844" s="77"/>
      <c r="BL1844" s="497">
        <v>28.94</v>
      </c>
      <c r="BN1844" s="42"/>
      <c r="BO1844" s="74"/>
      <c r="BP1844" s="77"/>
      <c r="BR1844" s="497">
        <v>10.039999999999999</v>
      </c>
      <c r="BT1844" s="42"/>
    </row>
    <row r="1845" spans="1:72" x14ac:dyDescent="0.25">
      <c r="A1845" s="90">
        <v>38064</v>
      </c>
      <c r="B1845" s="20">
        <v>0.125</v>
      </c>
      <c r="D1845">
        <v>42.08</v>
      </c>
      <c r="E1845" t="str">
        <f t="shared" si="92"/>
        <v>WEEKDAY</v>
      </c>
      <c r="F1845" t="e">
        <f t="shared" si="93"/>
        <v>#N/A</v>
      </c>
      <c r="G1845" s="74">
        <v>32950</v>
      </c>
      <c r="H1845" s="77">
        <v>0.125</v>
      </c>
      <c r="J1845">
        <v>51.980000000000004</v>
      </c>
      <c r="M1845" s="74">
        <v>36603</v>
      </c>
      <c r="N1845" s="77">
        <v>0.125</v>
      </c>
      <c r="P1845">
        <v>21.2</v>
      </c>
      <c r="S1845" s="74">
        <v>38064</v>
      </c>
      <c r="T1845" s="77">
        <v>0.125</v>
      </c>
      <c r="V1845">
        <v>28.94</v>
      </c>
      <c r="X1845" s="42"/>
      <c r="AB1845">
        <v>37.9</v>
      </c>
      <c r="AC1845">
        <v>42.980000000000004</v>
      </c>
      <c r="AE1845" s="74"/>
      <c r="AF1845" s="77"/>
      <c r="AH1845" s="497">
        <v>17.600000000000001</v>
      </c>
      <c r="AJ1845" s="42"/>
      <c r="AK1845" s="74"/>
      <c r="AL1845" s="77"/>
      <c r="AN1845" s="497">
        <v>26.96</v>
      </c>
      <c r="AP1845" s="42"/>
      <c r="AQ1845" s="74"/>
      <c r="AR1845" s="77"/>
      <c r="AT1845" s="497">
        <v>11.659999999999997</v>
      </c>
      <c r="AV1845" s="42"/>
      <c r="AW1845" s="74"/>
      <c r="AX1845" s="77"/>
      <c r="BA1845" s="497">
        <v>39.019999999999996</v>
      </c>
      <c r="BB1845" s="42"/>
      <c r="BC1845" s="74"/>
      <c r="BD1845" s="77"/>
      <c r="BF1845">
        <v>37.94</v>
      </c>
      <c r="BH1845" s="42"/>
      <c r="BI1845" s="74"/>
      <c r="BJ1845" s="77"/>
      <c r="BL1845" s="497">
        <v>28.94</v>
      </c>
      <c r="BN1845" s="42"/>
      <c r="BO1845" s="74"/>
      <c r="BP1845" s="77"/>
      <c r="BR1845" s="497">
        <v>8.0599999999999987</v>
      </c>
      <c r="BT1845" s="42"/>
    </row>
    <row r="1846" spans="1:72" x14ac:dyDescent="0.25">
      <c r="A1846" s="90">
        <v>38064</v>
      </c>
      <c r="B1846" s="20">
        <v>0.16666666666666666</v>
      </c>
      <c r="D1846">
        <v>42.08</v>
      </c>
      <c r="E1846" t="str">
        <f t="shared" si="92"/>
        <v>WEEKDAY</v>
      </c>
      <c r="F1846" t="e">
        <f t="shared" si="93"/>
        <v>#N/A</v>
      </c>
      <c r="G1846" s="74">
        <v>32950</v>
      </c>
      <c r="H1846" s="77">
        <v>0.16666666666666666</v>
      </c>
      <c r="J1846">
        <v>51.980000000000004</v>
      </c>
      <c r="M1846" s="74">
        <v>36603</v>
      </c>
      <c r="N1846" s="77">
        <v>0.16666666666666666</v>
      </c>
      <c r="P1846">
        <v>20.12</v>
      </c>
      <c r="S1846" s="74">
        <v>38064</v>
      </c>
      <c r="T1846" s="77">
        <v>0.16666666666666666</v>
      </c>
      <c r="V1846">
        <v>28.94</v>
      </c>
      <c r="X1846" s="42"/>
      <c r="AB1846">
        <v>37.4</v>
      </c>
      <c r="AC1846">
        <v>42.08</v>
      </c>
      <c r="AE1846" s="74"/>
      <c r="AF1846" s="77"/>
      <c r="AH1846" s="497">
        <v>17.600000000000001</v>
      </c>
      <c r="AJ1846" s="42"/>
      <c r="AK1846" s="74"/>
      <c r="AL1846" s="77"/>
      <c r="AN1846" s="497">
        <v>28.04</v>
      </c>
      <c r="AP1846" s="42"/>
      <c r="AQ1846" s="74"/>
      <c r="AR1846" s="77"/>
      <c r="AT1846" s="497">
        <v>10.940000000000001</v>
      </c>
      <c r="AV1846" s="42"/>
      <c r="AW1846" s="74"/>
      <c r="AX1846" s="77"/>
      <c r="BA1846" s="497">
        <v>37.94</v>
      </c>
      <c r="BB1846" s="42"/>
      <c r="BC1846" s="74"/>
      <c r="BD1846" s="77"/>
      <c r="BF1846">
        <v>37.04</v>
      </c>
      <c r="BH1846" s="42"/>
      <c r="BI1846" s="74"/>
      <c r="BJ1846" s="77"/>
      <c r="BL1846" s="497">
        <v>28.04</v>
      </c>
      <c r="BN1846" s="42"/>
      <c r="BO1846" s="74"/>
      <c r="BP1846" s="77"/>
      <c r="BR1846" s="497">
        <v>6.0799999999999983</v>
      </c>
      <c r="BT1846" s="42"/>
    </row>
    <row r="1847" spans="1:72" x14ac:dyDescent="0.25">
      <c r="A1847" s="90">
        <v>38064</v>
      </c>
      <c r="B1847" s="20">
        <v>0.20833333333333334</v>
      </c>
      <c r="D1847">
        <v>41</v>
      </c>
      <c r="E1847" t="str">
        <f t="shared" si="92"/>
        <v>WEEKDAY</v>
      </c>
      <c r="F1847" t="e">
        <f t="shared" si="93"/>
        <v>#N/A</v>
      </c>
      <c r="G1847" s="74">
        <v>32950</v>
      </c>
      <c r="H1847" s="77">
        <v>0.20833333333333334</v>
      </c>
      <c r="J1847">
        <v>48.92</v>
      </c>
      <c r="M1847" s="74">
        <v>36603</v>
      </c>
      <c r="N1847" s="77">
        <v>0.20833333333333334</v>
      </c>
      <c r="P1847">
        <v>19.399999999999999</v>
      </c>
      <c r="S1847" s="74">
        <v>38064</v>
      </c>
      <c r="T1847" s="77">
        <v>0.20833333333333334</v>
      </c>
      <c r="V1847">
        <v>28.94</v>
      </c>
      <c r="X1847" s="42"/>
      <c r="AB1847">
        <v>37</v>
      </c>
      <c r="AC1847">
        <v>42.980000000000004</v>
      </c>
      <c r="AE1847" s="74"/>
      <c r="AF1847" s="77"/>
      <c r="AH1847" s="497">
        <v>17.600000000000001</v>
      </c>
      <c r="AJ1847" s="42"/>
      <c r="AK1847" s="74"/>
      <c r="AL1847" s="77"/>
      <c r="AN1847" s="497">
        <v>28.94</v>
      </c>
      <c r="AP1847" s="42"/>
      <c r="AQ1847" s="74"/>
      <c r="AR1847" s="77"/>
      <c r="AT1847" s="497">
        <v>10.579999999999998</v>
      </c>
      <c r="AV1847" s="42"/>
      <c r="AW1847" s="74"/>
      <c r="AX1847" s="77"/>
      <c r="BA1847" s="497">
        <v>39.019999999999996</v>
      </c>
      <c r="BB1847" s="42"/>
      <c r="BC1847" s="74"/>
      <c r="BD1847" s="77"/>
      <c r="BF1847">
        <v>37.04</v>
      </c>
      <c r="BH1847" s="42"/>
      <c r="BI1847" s="74"/>
      <c r="BJ1847" s="77"/>
      <c r="BL1847" s="497">
        <v>28.04</v>
      </c>
      <c r="BN1847" s="42"/>
      <c r="BO1847" s="74"/>
      <c r="BP1847" s="77"/>
      <c r="BR1847" s="497">
        <v>3.019999999999996</v>
      </c>
      <c r="BT1847" s="42"/>
    </row>
    <row r="1848" spans="1:72" x14ac:dyDescent="0.25">
      <c r="A1848" s="90">
        <v>38064</v>
      </c>
      <c r="B1848" s="20">
        <v>0.25</v>
      </c>
      <c r="D1848">
        <v>41</v>
      </c>
      <c r="E1848" t="str">
        <f t="shared" si="92"/>
        <v>WEEKDAY</v>
      </c>
      <c r="F1848" t="e">
        <f t="shared" si="93"/>
        <v>#N/A</v>
      </c>
      <c r="G1848" s="74">
        <v>32950</v>
      </c>
      <c r="H1848" s="77">
        <v>0.25</v>
      </c>
      <c r="J1848">
        <v>48.019999999999996</v>
      </c>
      <c r="M1848" s="74">
        <v>36603</v>
      </c>
      <c r="N1848" s="77">
        <v>0.25</v>
      </c>
      <c r="P1848">
        <v>19.399999999999999</v>
      </c>
      <c r="S1848" s="74">
        <v>38064</v>
      </c>
      <c r="T1848" s="77">
        <v>0.25</v>
      </c>
      <c r="V1848">
        <v>28.94</v>
      </c>
      <c r="X1848" s="42"/>
      <c r="AB1848">
        <v>36.700000000000003</v>
      </c>
      <c r="AC1848">
        <v>44.06</v>
      </c>
      <c r="AE1848" s="74"/>
      <c r="AF1848" s="77"/>
      <c r="AH1848" s="497">
        <v>17.600000000000001</v>
      </c>
      <c r="AJ1848" s="42"/>
      <c r="AK1848" s="74"/>
      <c r="AL1848" s="77"/>
      <c r="AN1848" s="497">
        <v>30.02</v>
      </c>
      <c r="AP1848" s="42"/>
      <c r="AQ1848" s="74"/>
      <c r="AR1848" s="77"/>
      <c r="AT1848" s="497">
        <v>10.399999999999999</v>
      </c>
      <c r="AV1848" s="42"/>
      <c r="AW1848" s="74"/>
      <c r="AX1848" s="77"/>
      <c r="BA1848" s="497">
        <v>39.019999999999996</v>
      </c>
      <c r="BB1848" s="42"/>
      <c r="BC1848" s="74"/>
      <c r="BD1848" s="77"/>
      <c r="BF1848">
        <v>35.96</v>
      </c>
      <c r="BH1848" s="42"/>
      <c r="BI1848" s="74"/>
      <c r="BJ1848" s="77"/>
      <c r="BL1848" s="497">
        <v>28.04</v>
      </c>
      <c r="BN1848" s="42"/>
      <c r="BO1848" s="74"/>
      <c r="BP1848" s="77"/>
      <c r="BR1848" s="497">
        <v>1.9400000000000013</v>
      </c>
      <c r="BT1848" s="42"/>
    </row>
    <row r="1849" spans="1:72" x14ac:dyDescent="0.25">
      <c r="A1849" s="90">
        <v>38064</v>
      </c>
      <c r="B1849" s="20">
        <v>0.29166666666666669</v>
      </c>
      <c r="D1849">
        <v>41</v>
      </c>
      <c r="E1849" t="str">
        <f t="shared" si="92"/>
        <v>WEEKDAY</v>
      </c>
      <c r="F1849" t="e">
        <f t="shared" si="93"/>
        <v>#N/A</v>
      </c>
      <c r="G1849" s="74">
        <v>32950</v>
      </c>
      <c r="H1849" s="77">
        <v>0.29166666666666669</v>
      </c>
      <c r="J1849">
        <v>48.92</v>
      </c>
      <c r="M1849" s="74">
        <v>36603</v>
      </c>
      <c r="N1849" s="77">
        <v>0.29166666666666669</v>
      </c>
      <c r="P1849">
        <v>19.399999999999999</v>
      </c>
      <c r="S1849" s="74">
        <v>38064</v>
      </c>
      <c r="T1849" s="77">
        <v>0.29166666666666669</v>
      </c>
      <c r="V1849">
        <v>28.94</v>
      </c>
      <c r="X1849" s="42"/>
      <c r="AB1849">
        <v>36.5</v>
      </c>
      <c r="AC1849">
        <v>44.96</v>
      </c>
      <c r="AE1849" s="74"/>
      <c r="AF1849" s="77"/>
      <c r="AH1849" s="497">
        <v>17.600000000000001</v>
      </c>
      <c r="AJ1849" s="42"/>
      <c r="AK1849" s="74"/>
      <c r="AL1849" s="77"/>
      <c r="AN1849" s="497">
        <v>30.02</v>
      </c>
      <c r="AP1849" s="42"/>
      <c r="AQ1849" s="74"/>
      <c r="AR1849" s="77"/>
      <c r="AT1849" s="497">
        <v>10.039999999999999</v>
      </c>
      <c r="AV1849" s="42"/>
      <c r="AW1849" s="74"/>
      <c r="AX1849" s="77"/>
      <c r="BA1849" s="497">
        <v>41</v>
      </c>
      <c r="BB1849" s="42"/>
      <c r="BC1849" s="74"/>
      <c r="BD1849" s="77"/>
      <c r="BF1849">
        <v>35.06</v>
      </c>
      <c r="BH1849" s="42"/>
      <c r="BI1849" s="74"/>
      <c r="BJ1849" s="77"/>
      <c r="BL1849" s="497">
        <v>28.94</v>
      </c>
      <c r="BN1849" s="42"/>
      <c r="BO1849" s="74"/>
      <c r="BP1849" s="77"/>
      <c r="BR1849" s="497">
        <v>3.9200000000000017</v>
      </c>
      <c r="BT1849" s="42"/>
    </row>
    <row r="1850" spans="1:72" x14ac:dyDescent="0.25">
      <c r="A1850" s="90">
        <v>38064</v>
      </c>
      <c r="B1850" s="20">
        <v>0.33333333333333331</v>
      </c>
      <c r="D1850">
        <v>42.980000000000004</v>
      </c>
      <c r="E1850" t="str">
        <f t="shared" si="92"/>
        <v>WEEKDAY</v>
      </c>
      <c r="F1850" t="e">
        <f t="shared" si="93"/>
        <v>#N/A</v>
      </c>
      <c r="G1850" s="74">
        <v>32950</v>
      </c>
      <c r="H1850" s="77">
        <v>0.33333333333333331</v>
      </c>
      <c r="J1850">
        <v>48.92</v>
      </c>
      <c r="M1850" s="74">
        <v>36603</v>
      </c>
      <c r="N1850" s="77">
        <v>0.33333333333333331</v>
      </c>
      <c r="P1850">
        <v>21.2</v>
      </c>
      <c r="S1850" s="74">
        <v>38064</v>
      </c>
      <c r="T1850" s="77">
        <v>0.33333333333333331</v>
      </c>
      <c r="V1850">
        <v>30.02</v>
      </c>
      <c r="X1850" s="42"/>
      <c r="AB1850">
        <v>37.4</v>
      </c>
      <c r="AC1850">
        <v>46.04</v>
      </c>
      <c r="AE1850" s="74"/>
      <c r="AF1850" s="77"/>
      <c r="AH1850" s="497">
        <v>19.399999999999999</v>
      </c>
      <c r="AJ1850" s="42"/>
      <c r="AK1850" s="74"/>
      <c r="AL1850" s="77"/>
      <c r="AN1850" s="497">
        <v>30.02</v>
      </c>
      <c r="AP1850" s="42"/>
      <c r="AQ1850" s="74"/>
      <c r="AR1850" s="77"/>
      <c r="AT1850" s="497">
        <v>12.740000000000002</v>
      </c>
      <c r="AV1850" s="42"/>
      <c r="AW1850" s="74"/>
      <c r="AX1850" s="77"/>
      <c r="BA1850" s="497">
        <v>42.08</v>
      </c>
      <c r="BB1850" s="42"/>
      <c r="BC1850" s="74"/>
      <c r="BD1850" s="77"/>
      <c r="BF1850">
        <v>35.96</v>
      </c>
      <c r="BH1850" s="42"/>
      <c r="BI1850" s="74"/>
      <c r="BJ1850" s="77"/>
      <c r="BL1850" s="497">
        <v>33.08</v>
      </c>
      <c r="BN1850" s="42"/>
      <c r="BO1850" s="74"/>
      <c r="BP1850" s="77"/>
      <c r="BR1850" s="497">
        <v>6.98</v>
      </c>
      <c r="BT1850" s="42"/>
    </row>
    <row r="1851" spans="1:72" x14ac:dyDescent="0.25">
      <c r="A1851" s="90">
        <v>38064</v>
      </c>
      <c r="B1851" s="20">
        <v>0.375</v>
      </c>
      <c r="D1851">
        <v>44.96</v>
      </c>
      <c r="E1851" t="str">
        <f t="shared" si="92"/>
        <v>WEEKDAY</v>
      </c>
      <c r="F1851" t="e">
        <f t="shared" si="93"/>
        <v>#N/A</v>
      </c>
      <c r="G1851" s="74">
        <v>32950</v>
      </c>
      <c r="H1851" s="77">
        <v>0.375</v>
      </c>
      <c r="J1851">
        <v>48.92</v>
      </c>
      <c r="M1851" s="74">
        <v>36603</v>
      </c>
      <c r="N1851" s="77">
        <v>0.375</v>
      </c>
      <c r="P1851">
        <v>24.8</v>
      </c>
      <c r="S1851" s="74">
        <v>38064</v>
      </c>
      <c r="T1851" s="77">
        <v>0.375</v>
      </c>
      <c r="V1851">
        <v>30.02</v>
      </c>
      <c r="X1851" s="42"/>
      <c r="AB1851">
        <v>39.200000000000003</v>
      </c>
      <c r="AC1851">
        <v>46.04</v>
      </c>
      <c r="AE1851" s="74"/>
      <c r="AF1851" s="77"/>
      <c r="AH1851" s="497">
        <v>21.2</v>
      </c>
      <c r="AJ1851" s="42"/>
      <c r="AK1851" s="74"/>
      <c r="AL1851" s="77"/>
      <c r="AN1851" s="497">
        <v>30.02</v>
      </c>
      <c r="AP1851" s="42"/>
      <c r="AQ1851" s="74"/>
      <c r="AR1851" s="77"/>
      <c r="AT1851" s="497">
        <v>15.259999999999998</v>
      </c>
      <c r="AV1851" s="42"/>
      <c r="AW1851" s="74"/>
      <c r="AX1851" s="77"/>
      <c r="BA1851" s="497">
        <v>42.08</v>
      </c>
      <c r="BB1851" s="42"/>
      <c r="BC1851" s="74"/>
      <c r="BD1851" s="77"/>
      <c r="BF1851">
        <v>33.979999999999997</v>
      </c>
      <c r="BH1851" s="42"/>
      <c r="BI1851" s="74"/>
      <c r="BJ1851" s="77"/>
      <c r="BL1851" s="497">
        <v>37.04</v>
      </c>
      <c r="BN1851" s="42"/>
      <c r="BO1851" s="74"/>
      <c r="BP1851" s="77"/>
      <c r="BR1851" s="497">
        <v>10.940000000000001</v>
      </c>
      <c r="BT1851" s="42"/>
    </row>
    <row r="1852" spans="1:72" x14ac:dyDescent="0.25">
      <c r="A1852" s="90">
        <v>38064</v>
      </c>
      <c r="B1852" s="20">
        <v>0.41666666666666669</v>
      </c>
      <c r="D1852">
        <v>46.94</v>
      </c>
      <c r="E1852" t="str">
        <f t="shared" si="92"/>
        <v>WEEKDAY</v>
      </c>
      <c r="F1852" t="e">
        <f t="shared" si="93"/>
        <v>#N/A</v>
      </c>
      <c r="G1852" s="74">
        <v>32950</v>
      </c>
      <c r="H1852" s="77">
        <v>0.41666666666666669</v>
      </c>
      <c r="J1852">
        <v>51.08</v>
      </c>
      <c r="M1852" s="74">
        <v>36603</v>
      </c>
      <c r="N1852" s="77">
        <v>0.41666666666666669</v>
      </c>
      <c r="P1852">
        <v>26.6</v>
      </c>
      <c r="S1852" s="74">
        <v>38064</v>
      </c>
      <c r="T1852" s="77">
        <v>0.41666666666666669</v>
      </c>
      <c r="V1852">
        <v>32</v>
      </c>
      <c r="X1852" s="42"/>
      <c r="AB1852">
        <v>40.9</v>
      </c>
      <c r="AC1852">
        <v>46.04</v>
      </c>
      <c r="AE1852" s="74"/>
      <c r="AF1852" s="77"/>
      <c r="AH1852" s="497">
        <v>23</v>
      </c>
      <c r="AJ1852" s="42"/>
      <c r="AK1852" s="74"/>
      <c r="AL1852" s="77"/>
      <c r="AN1852" s="497">
        <v>30.02</v>
      </c>
      <c r="AP1852" s="42"/>
      <c r="AQ1852" s="74"/>
      <c r="AR1852" s="77"/>
      <c r="AT1852" s="497">
        <v>17.96</v>
      </c>
      <c r="AV1852" s="42"/>
      <c r="AW1852" s="74"/>
      <c r="AX1852" s="77"/>
      <c r="BA1852" s="497">
        <v>37.94</v>
      </c>
      <c r="BB1852" s="42"/>
      <c r="BC1852" s="74"/>
      <c r="BD1852" s="77"/>
      <c r="BF1852">
        <v>32</v>
      </c>
      <c r="BH1852" s="42"/>
      <c r="BI1852" s="74"/>
      <c r="BJ1852" s="77"/>
      <c r="BL1852" s="497">
        <v>39.92</v>
      </c>
      <c r="BN1852" s="42"/>
      <c r="BO1852" s="74"/>
      <c r="BP1852" s="77"/>
      <c r="BR1852" s="497">
        <v>12.920000000000002</v>
      </c>
      <c r="BT1852" s="42"/>
    </row>
    <row r="1853" spans="1:72" x14ac:dyDescent="0.25">
      <c r="A1853" s="90">
        <v>38064</v>
      </c>
      <c r="B1853" s="20">
        <v>0.45833333333333331</v>
      </c>
      <c r="D1853">
        <v>48.92</v>
      </c>
      <c r="E1853" t="str">
        <f t="shared" si="92"/>
        <v>WEEKDAY</v>
      </c>
      <c r="F1853" t="e">
        <f t="shared" si="93"/>
        <v>#N/A</v>
      </c>
      <c r="G1853" s="74">
        <v>32950</v>
      </c>
      <c r="H1853" s="77">
        <v>0.45833333333333331</v>
      </c>
      <c r="J1853">
        <v>53.06</v>
      </c>
      <c r="M1853" s="74">
        <v>36603</v>
      </c>
      <c r="N1853" s="77">
        <v>0.45833333333333331</v>
      </c>
      <c r="P1853">
        <v>30.2</v>
      </c>
      <c r="S1853" s="74">
        <v>38064</v>
      </c>
      <c r="T1853" s="77">
        <v>0.45833333333333331</v>
      </c>
      <c r="V1853">
        <v>33.979999999999997</v>
      </c>
      <c r="X1853" s="42"/>
      <c r="AB1853">
        <v>42.6</v>
      </c>
      <c r="AC1853">
        <v>46.94</v>
      </c>
      <c r="AE1853" s="74"/>
      <c r="AF1853" s="77"/>
      <c r="AH1853" s="497">
        <v>24.8</v>
      </c>
      <c r="AJ1853" s="42"/>
      <c r="AK1853" s="74"/>
      <c r="AL1853" s="77"/>
      <c r="AN1853" s="497">
        <v>30.02</v>
      </c>
      <c r="AP1853" s="42"/>
      <c r="AQ1853" s="74"/>
      <c r="AR1853" s="77"/>
      <c r="AT1853" s="497">
        <v>21.560000000000002</v>
      </c>
      <c r="AV1853" s="42"/>
      <c r="AW1853" s="74"/>
      <c r="AX1853" s="77"/>
      <c r="BA1853" s="497">
        <v>41</v>
      </c>
      <c r="BB1853" s="42"/>
      <c r="BC1853" s="74"/>
      <c r="BD1853" s="77"/>
      <c r="BF1853">
        <v>33.979999999999997</v>
      </c>
      <c r="BH1853" s="42"/>
      <c r="BI1853" s="74"/>
      <c r="BJ1853" s="77"/>
      <c r="BL1853" s="497">
        <v>42.980000000000004</v>
      </c>
      <c r="BN1853" s="42"/>
      <c r="BO1853" s="74"/>
      <c r="BP1853" s="77"/>
      <c r="BR1853" s="497">
        <v>15.079999999999998</v>
      </c>
      <c r="BT1853" s="42"/>
    </row>
    <row r="1854" spans="1:72" x14ac:dyDescent="0.25">
      <c r="A1854" s="90">
        <v>38064</v>
      </c>
      <c r="B1854" s="20">
        <v>0.5</v>
      </c>
      <c r="D1854">
        <v>51.08</v>
      </c>
      <c r="E1854" t="str">
        <f t="shared" si="92"/>
        <v>WEEKDAY</v>
      </c>
      <c r="F1854" t="e">
        <f t="shared" si="93"/>
        <v>#N/A</v>
      </c>
      <c r="G1854" s="74">
        <v>32950</v>
      </c>
      <c r="H1854" s="77">
        <v>0.5</v>
      </c>
      <c r="J1854">
        <v>53.96</v>
      </c>
      <c r="M1854" s="74">
        <v>36603</v>
      </c>
      <c r="N1854" s="77">
        <v>0.5</v>
      </c>
      <c r="P1854">
        <v>32</v>
      </c>
      <c r="S1854" s="74">
        <v>38064</v>
      </c>
      <c r="T1854" s="77">
        <v>0.5</v>
      </c>
      <c r="V1854">
        <v>33.979999999999997</v>
      </c>
      <c r="X1854" s="42"/>
      <c r="AB1854">
        <v>43.9</v>
      </c>
      <c r="AC1854">
        <v>46.94</v>
      </c>
      <c r="AE1854" s="74"/>
      <c r="AF1854" s="77"/>
      <c r="AH1854" s="497">
        <v>28.4</v>
      </c>
      <c r="AJ1854" s="42"/>
      <c r="AK1854" s="74"/>
      <c r="AL1854" s="77"/>
      <c r="AN1854" s="497">
        <v>30.92</v>
      </c>
      <c r="AP1854" s="42"/>
      <c r="AQ1854" s="74"/>
      <c r="AR1854" s="77"/>
      <c r="AT1854" s="497">
        <v>25.34</v>
      </c>
      <c r="AV1854" s="42"/>
      <c r="AW1854" s="74"/>
      <c r="AX1854" s="77"/>
      <c r="BA1854" s="497">
        <v>42.08</v>
      </c>
      <c r="BB1854" s="42"/>
      <c r="BC1854" s="74"/>
      <c r="BD1854" s="77"/>
      <c r="BF1854">
        <v>35.06</v>
      </c>
      <c r="BH1854" s="42"/>
      <c r="BI1854" s="74"/>
      <c r="BJ1854" s="77"/>
      <c r="BL1854" s="497">
        <v>44.06</v>
      </c>
      <c r="BN1854" s="42"/>
      <c r="BO1854" s="74"/>
      <c r="BP1854" s="77"/>
      <c r="BR1854" s="497">
        <v>15.98</v>
      </c>
      <c r="BT1854" s="42"/>
    </row>
    <row r="1855" spans="1:72" x14ac:dyDescent="0.25">
      <c r="A1855" s="90">
        <v>38064</v>
      </c>
      <c r="B1855" s="20">
        <v>0.54166666666666663</v>
      </c>
      <c r="D1855">
        <v>53.06</v>
      </c>
      <c r="E1855" t="str">
        <f t="shared" si="92"/>
        <v>WEEKDAY</v>
      </c>
      <c r="F1855" t="e">
        <f t="shared" si="93"/>
        <v>#N/A</v>
      </c>
      <c r="G1855" s="74">
        <v>32950</v>
      </c>
      <c r="H1855" s="77">
        <v>0.54166666666666663</v>
      </c>
      <c r="J1855">
        <v>55.040000000000006</v>
      </c>
      <c r="M1855" s="74">
        <v>36603</v>
      </c>
      <c r="N1855" s="77">
        <v>0.54166666666666663</v>
      </c>
      <c r="P1855">
        <v>33.799999999999997</v>
      </c>
      <c r="S1855" s="74">
        <v>38064</v>
      </c>
      <c r="T1855" s="77">
        <v>0.54166666666666663</v>
      </c>
      <c r="V1855">
        <v>35.06</v>
      </c>
      <c r="X1855" s="42"/>
      <c r="AB1855">
        <v>45.1</v>
      </c>
      <c r="AC1855">
        <v>48.019999999999996</v>
      </c>
      <c r="AE1855" s="74"/>
      <c r="AF1855" s="77"/>
      <c r="AH1855" s="497">
        <v>30.2</v>
      </c>
      <c r="AJ1855" s="42"/>
      <c r="AK1855" s="74"/>
      <c r="AL1855" s="77"/>
      <c r="AN1855" s="497">
        <v>30.92</v>
      </c>
      <c r="AP1855" s="42"/>
      <c r="AQ1855" s="74"/>
      <c r="AR1855" s="77"/>
      <c r="AT1855" s="497">
        <v>28.94</v>
      </c>
      <c r="AV1855" s="42"/>
      <c r="AW1855" s="74"/>
      <c r="AX1855" s="77"/>
      <c r="BA1855" s="497">
        <v>41</v>
      </c>
      <c r="BB1855" s="42"/>
      <c r="BC1855" s="74"/>
      <c r="BD1855" s="77"/>
      <c r="BF1855">
        <v>35.96</v>
      </c>
      <c r="BH1855" s="42"/>
      <c r="BI1855" s="74"/>
      <c r="BJ1855" s="77"/>
      <c r="BL1855" s="497">
        <v>46.94</v>
      </c>
      <c r="BN1855" s="42"/>
      <c r="BO1855" s="74"/>
      <c r="BP1855" s="77"/>
      <c r="BR1855" s="497">
        <v>17.96</v>
      </c>
      <c r="BT1855" s="42"/>
    </row>
    <row r="1856" spans="1:72" x14ac:dyDescent="0.25">
      <c r="A1856" s="90">
        <v>38064</v>
      </c>
      <c r="B1856" s="20">
        <v>0.58333333333333337</v>
      </c>
      <c r="D1856">
        <v>55.040000000000006</v>
      </c>
      <c r="E1856" t="str">
        <f t="shared" si="92"/>
        <v>WEEKDAY</v>
      </c>
      <c r="F1856" t="e">
        <f t="shared" si="93"/>
        <v>#N/A</v>
      </c>
      <c r="G1856" s="74">
        <v>32950</v>
      </c>
      <c r="H1856" s="77">
        <v>0.58333333333333337</v>
      </c>
      <c r="J1856">
        <v>57.019999999999996</v>
      </c>
      <c r="M1856" s="74">
        <v>36603</v>
      </c>
      <c r="N1856" s="77">
        <v>0.58333333333333337</v>
      </c>
      <c r="P1856">
        <v>33.799999999999997</v>
      </c>
      <c r="S1856" s="74">
        <v>38064</v>
      </c>
      <c r="T1856" s="77">
        <v>0.58333333333333337</v>
      </c>
      <c r="V1856">
        <v>35.96</v>
      </c>
      <c r="X1856" s="42"/>
      <c r="AB1856">
        <v>45.9</v>
      </c>
      <c r="AC1856">
        <v>46.94</v>
      </c>
      <c r="AE1856" s="74"/>
      <c r="AF1856" s="77"/>
      <c r="AH1856" s="497">
        <v>33.799999999999997</v>
      </c>
      <c r="AJ1856" s="42"/>
      <c r="AK1856" s="74"/>
      <c r="AL1856" s="77"/>
      <c r="AN1856" s="497">
        <v>30.92</v>
      </c>
      <c r="AP1856" s="42"/>
      <c r="AQ1856" s="74"/>
      <c r="AR1856" s="77"/>
      <c r="AT1856" s="497">
        <v>30.38</v>
      </c>
      <c r="AV1856" s="42"/>
      <c r="AW1856" s="74"/>
      <c r="AX1856" s="77"/>
      <c r="BA1856" s="497">
        <v>35.96</v>
      </c>
      <c r="BB1856" s="42"/>
      <c r="BC1856" s="74"/>
      <c r="BD1856" s="77"/>
      <c r="BF1856">
        <v>37.04</v>
      </c>
      <c r="BH1856" s="42"/>
      <c r="BI1856" s="74"/>
      <c r="BJ1856" s="77"/>
      <c r="BL1856" s="497">
        <v>48.019999999999996</v>
      </c>
      <c r="BN1856" s="42"/>
      <c r="BO1856" s="74"/>
      <c r="BP1856" s="77"/>
      <c r="BR1856" s="497">
        <v>21.02</v>
      </c>
      <c r="BT1856" s="42"/>
    </row>
    <row r="1857" spans="1:72" x14ac:dyDescent="0.25">
      <c r="A1857" s="90">
        <v>38064</v>
      </c>
      <c r="B1857" s="20">
        <v>0.625</v>
      </c>
      <c r="D1857">
        <v>55.040000000000006</v>
      </c>
      <c r="E1857" t="str">
        <f t="shared" si="92"/>
        <v>WEEKDAY</v>
      </c>
      <c r="F1857" t="e">
        <f t="shared" si="93"/>
        <v>#N/A</v>
      </c>
      <c r="G1857" s="74">
        <v>32950</v>
      </c>
      <c r="H1857" s="77">
        <v>0.625</v>
      </c>
      <c r="J1857">
        <v>57.92</v>
      </c>
      <c r="M1857" s="74">
        <v>36603</v>
      </c>
      <c r="N1857" s="77">
        <v>0.625</v>
      </c>
      <c r="P1857">
        <v>33.799999999999997</v>
      </c>
      <c r="S1857" s="74">
        <v>38064</v>
      </c>
      <c r="T1857" s="77">
        <v>0.625</v>
      </c>
      <c r="V1857">
        <v>37.04</v>
      </c>
      <c r="X1857" s="42"/>
      <c r="AB1857">
        <v>46.2</v>
      </c>
      <c r="AC1857">
        <v>48.019999999999996</v>
      </c>
      <c r="AE1857" s="74"/>
      <c r="AF1857" s="77"/>
      <c r="AH1857" s="497">
        <v>35.6</v>
      </c>
      <c r="AJ1857" s="42"/>
      <c r="AK1857" s="74"/>
      <c r="AL1857" s="77"/>
      <c r="AN1857" s="497">
        <v>32</v>
      </c>
      <c r="AP1857" s="42"/>
      <c r="AQ1857" s="74"/>
      <c r="AR1857" s="77"/>
      <c r="AT1857" s="497">
        <v>31.64</v>
      </c>
      <c r="AV1857" s="42"/>
      <c r="AW1857" s="74"/>
      <c r="AX1857" s="77"/>
      <c r="BA1857" s="497">
        <v>39.92</v>
      </c>
      <c r="BB1857" s="42"/>
      <c r="BC1857" s="74"/>
      <c r="BD1857" s="77"/>
      <c r="BF1857">
        <v>37.04</v>
      </c>
      <c r="BH1857" s="42"/>
      <c r="BI1857" s="74"/>
      <c r="BJ1857" s="77"/>
      <c r="BL1857" s="497">
        <v>50</v>
      </c>
      <c r="BN1857" s="42"/>
      <c r="BO1857" s="74"/>
      <c r="BP1857" s="77"/>
      <c r="BR1857" s="497">
        <v>19.939999999999998</v>
      </c>
      <c r="BT1857" s="42"/>
    </row>
    <row r="1858" spans="1:72" x14ac:dyDescent="0.25">
      <c r="A1858" s="90">
        <v>38064</v>
      </c>
      <c r="B1858" s="20">
        <v>0.66666666666666663</v>
      </c>
      <c r="D1858">
        <v>55.040000000000006</v>
      </c>
      <c r="E1858" t="str">
        <f t="shared" si="92"/>
        <v>WEEKDAY</v>
      </c>
      <c r="F1858" t="e">
        <f t="shared" si="93"/>
        <v>#N/A</v>
      </c>
      <c r="G1858" s="74">
        <v>32950</v>
      </c>
      <c r="H1858" s="77">
        <v>0.66666666666666663</v>
      </c>
      <c r="J1858">
        <v>57.92</v>
      </c>
      <c r="M1858" s="74">
        <v>36603</v>
      </c>
      <c r="N1858" s="77">
        <v>0.66666666666666663</v>
      </c>
      <c r="P1858">
        <v>33.799999999999997</v>
      </c>
      <c r="S1858" s="74">
        <v>38064</v>
      </c>
      <c r="T1858" s="77">
        <v>0.66666666666666663</v>
      </c>
      <c r="V1858">
        <v>37.04</v>
      </c>
      <c r="X1858" s="42"/>
      <c r="AB1858">
        <v>46.3</v>
      </c>
      <c r="AC1858">
        <v>48.92</v>
      </c>
      <c r="AE1858" s="74"/>
      <c r="AF1858" s="77"/>
      <c r="AH1858" s="497">
        <v>35.78</v>
      </c>
      <c r="AJ1858" s="42"/>
      <c r="AK1858" s="74"/>
      <c r="AL1858" s="77"/>
      <c r="AN1858" s="497">
        <v>32</v>
      </c>
      <c r="AP1858" s="42"/>
      <c r="AQ1858" s="74"/>
      <c r="AR1858" s="77"/>
      <c r="AT1858" s="497">
        <v>33.08</v>
      </c>
      <c r="AV1858" s="42"/>
      <c r="AW1858" s="74"/>
      <c r="AX1858" s="77"/>
      <c r="BA1858" s="497">
        <v>39.019999999999996</v>
      </c>
      <c r="BB1858" s="42"/>
      <c r="BC1858" s="74"/>
      <c r="BD1858" s="77"/>
      <c r="BF1858">
        <v>37.04</v>
      </c>
      <c r="BH1858" s="42"/>
      <c r="BI1858" s="74"/>
      <c r="BJ1858" s="77"/>
      <c r="BL1858" s="497">
        <v>51.08</v>
      </c>
      <c r="BN1858" s="42"/>
      <c r="BO1858" s="74"/>
      <c r="BP1858" s="77"/>
      <c r="BR1858" s="497">
        <v>24.08</v>
      </c>
      <c r="BT1858" s="42"/>
    </row>
    <row r="1859" spans="1:72" x14ac:dyDescent="0.25">
      <c r="A1859" s="90">
        <v>38064</v>
      </c>
      <c r="B1859" s="20">
        <v>0.70833333333333337</v>
      </c>
      <c r="D1859">
        <v>55.040000000000006</v>
      </c>
      <c r="E1859" t="str">
        <f t="shared" si="92"/>
        <v>WEEKDAY</v>
      </c>
      <c r="F1859" t="e">
        <f t="shared" si="93"/>
        <v>#N/A</v>
      </c>
      <c r="G1859" s="74">
        <v>32950</v>
      </c>
      <c r="H1859" s="77">
        <v>0.70833333333333337</v>
      </c>
      <c r="J1859">
        <v>57.019999999999996</v>
      </c>
      <c r="M1859" s="74">
        <v>36603</v>
      </c>
      <c r="N1859" s="77">
        <v>0.70833333333333337</v>
      </c>
      <c r="P1859">
        <v>33.799999999999997</v>
      </c>
      <c r="S1859" s="74">
        <v>38064</v>
      </c>
      <c r="T1859" s="77">
        <v>0.70833333333333337</v>
      </c>
      <c r="V1859">
        <v>35.96</v>
      </c>
      <c r="X1859" s="42"/>
      <c r="AB1859">
        <v>45.8</v>
      </c>
      <c r="AC1859">
        <v>50</v>
      </c>
      <c r="AE1859" s="74"/>
      <c r="AF1859" s="77"/>
      <c r="AH1859" s="497">
        <v>35.6</v>
      </c>
      <c r="AJ1859" s="42"/>
      <c r="AK1859" s="74"/>
      <c r="AL1859" s="77"/>
      <c r="AN1859" s="497">
        <v>32</v>
      </c>
      <c r="AP1859" s="42"/>
      <c r="AQ1859" s="74"/>
      <c r="AR1859" s="77"/>
      <c r="AT1859" s="497">
        <v>30.38</v>
      </c>
      <c r="AV1859" s="42"/>
      <c r="AW1859" s="74"/>
      <c r="AX1859" s="77"/>
      <c r="BA1859" s="497">
        <v>39.92</v>
      </c>
      <c r="BB1859" s="42"/>
      <c r="BC1859" s="74"/>
      <c r="BD1859" s="77"/>
      <c r="BF1859">
        <v>37.04</v>
      </c>
      <c r="BH1859" s="42"/>
      <c r="BI1859" s="74"/>
      <c r="BJ1859" s="77"/>
      <c r="BL1859" s="497">
        <v>51.980000000000004</v>
      </c>
      <c r="BN1859" s="42"/>
      <c r="BO1859" s="74"/>
      <c r="BP1859" s="77"/>
      <c r="BR1859" s="497">
        <v>21.92</v>
      </c>
      <c r="BT1859" s="42"/>
    </row>
    <row r="1860" spans="1:72" x14ac:dyDescent="0.25">
      <c r="A1860" s="90">
        <v>38064</v>
      </c>
      <c r="B1860" s="20">
        <v>0.75</v>
      </c>
      <c r="D1860">
        <v>53.96</v>
      </c>
      <c r="E1860" t="str">
        <f t="shared" si="92"/>
        <v>WEEKDAY</v>
      </c>
      <c r="F1860" t="e">
        <f t="shared" si="93"/>
        <v>#N/A</v>
      </c>
      <c r="G1860" s="74">
        <v>32950</v>
      </c>
      <c r="H1860" s="77">
        <v>0.75</v>
      </c>
      <c r="J1860">
        <v>55.94</v>
      </c>
      <c r="M1860" s="74">
        <v>36603</v>
      </c>
      <c r="N1860" s="77">
        <v>0.75</v>
      </c>
      <c r="P1860">
        <v>33.799999999999997</v>
      </c>
      <c r="S1860" s="74">
        <v>38064</v>
      </c>
      <c r="T1860" s="77">
        <v>0.75</v>
      </c>
      <c r="V1860">
        <v>35.96</v>
      </c>
      <c r="X1860" s="42"/>
      <c r="AB1860">
        <v>44.8</v>
      </c>
      <c r="AC1860">
        <v>50</v>
      </c>
      <c r="AE1860" s="74"/>
      <c r="AF1860" s="77"/>
      <c r="AH1860" s="497">
        <v>35.6</v>
      </c>
      <c r="AJ1860" s="42"/>
      <c r="AK1860" s="74"/>
      <c r="AL1860" s="77"/>
      <c r="AN1860" s="497">
        <v>32</v>
      </c>
      <c r="AP1860" s="42"/>
      <c r="AQ1860" s="74"/>
      <c r="AR1860" s="77"/>
      <c r="AT1860" s="497">
        <v>27.68</v>
      </c>
      <c r="AV1860" s="42"/>
      <c r="AW1860" s="74"/>
      <c r="AX1860" s="77"/>
      <c r="BA1860" s="497">
        <v>39.019999999999996</v>
      </c>
      <c r="BB1860" s="42"/>
      <c r="BC1860" s="74"/>
      <c r="BD1860" s="77"/>
      <c r="BF1860">
        <v>35.96</v>
      </c>
      <c r="BH1860" s="42"/>
      <c r="BI1860" s="74"/>
      <c r="BJ1860" s="77"/>
      <c r="BL1860" s="497">
        <v>51.08</v>
      </c>
      <c r="BN1860" s="42"/>
      <c r="BO1860" s="74"/>
      <c r="BP1860" s="77"/>
      <c r="BR1860" s="497">
        <v>19.939999999999998</v>
      </c>
      <c r="BT1860" s="42"/>
    </row>
    <row r="1861" spans="1:72" x14ac:dyDescent="0.25">
      <c r="A1861" s="90">
        <v>38064</v>
      </c>
      <c r="B1861" s="20">
        <v>0.79166666666666663</v>
      </c>
      <c r="D1861">
        <v>51.08</v>
      </c>
      <c r="E1861" t="str">
        <f t="shared" si="92"/>
        <v>WEEKDAY</v>
      </c>
      <c r="F1861" t="e">
        <f t="shared" si="93"/>
        <v>#N/A</v>
      </c>
      <c r="G1861" s="74">
        <v>32950</v>
      </c>
      <c r="H1861" s="77">
        <v>0.79166666666666663</v>
      </c>
      <c r="J1861">
        <v>53.96</v>
      </c>
      <c r="M1861" s="74">
        <v>36603</v>
      </c>
      <c r="N1861" s="77">
        <v>0.79166666666666663</v>
      </c>
      <c r="P1861">
        <v>32</v>
      </c>
      <c r="S1861" s="74">
        <v>38064</v>
      </c>
      <c r="T1861" s="77">
        <v>0.79166666666666663</v>
      </c>
      <c r="V1861">
        <v>35.96</v>
      </c>
      <c r="X1861" s="42"/>
      <c r="AB1861">
        <v>43.3</v>
      </c>
      <c r="AC1861">
        <v>48.92</v>
      </c>
      <c r="AE1861" s="74"/>
      <c r="AF1861" s="77"/>
      <c r="AH1861" s="497">
        <v>32.9</v>
      </c>
      <c r="AJ1861" s="42"/>
      <c r="AK1861" s="74"/>
      <c r="AL1861" s="77"/>
      <c r="AN1861" s="497">
        <v>33.08</v>
      </c>
      <c r="AP1861" s="42"/>
      <c r="AQ1861" s="74"/>
      <c r="AR1861" s="77"/>
      <c r="AT1861" s="497">
        <v>24.98</v>
      </c>
      <c r="AV1861" s="42"/>
      <c r="AW1861" s="74"/>
      <c r="AX1861" s="77"/>
      <c r="BA1861" s="497">
        <v>39.019999999999996</v>
      </c>
      <c r="BB1861" s="42"/>
      <c r="BC1861" s="74"/>
      <c r="BD1861" s="77"/>
      <c r="BF1861">
        <v>35.06</v>
      </c>
      <c r="BH1861" s="42"/>
      <c r="BI1861" s="74"/>
      <c r="BJ1861" s="77"/>
      <c r="BL1861" s="497">
        <v>48.92</v>
      </c>
      <c r="BN1861" s="42"/>
      <c r="BO1861" s="74"/>
      <c r="BP1861" s="77"/>
      <c r="BR1861" s="497">
        <v>15.079999999999998</v>
      </c>
      <c r="BT1861" s="42"/>
    </row>
    <row r="1862" spans="1:72" x14ac:dyDescent="0.25">
      <c r="A1862" s="90">
        <v>38064</v>
      </c>
      <c r="B1862" s="20">
        <v>0.83333333333333337</v>
      </c>
      <c r="D1862">
        <v>50</v>
      </c>
      <c r="E1862" t="str">
        <f t="shared" si="92"/>
        <v>WEEKDAY</v>
      </c>
      <c r="F1862" t="e">
        <f t="shared" si="93"/>
        <v>#N/A</v>
      </c>
      <c r="G1862" s="74">
        <v>32950</v>
      </c>
      <c r="H1862" s="77">
        <v>0.83333333333333337</v>
      </c>
      <c r="J1862">
        <v>51.980000000000004</v>
      </c>
      <c r="M1862" s="74">
        <v>36603</v>
      </c>
      <c r="N1862" s="77">
        <v>0.83333333333333337</v>
      </c>
      <c r="P1862">
        <v>30.2</v>
      </c>
      <c r="S1862" s="74">
        <v>38064</v>
      </c>
      <c r="T1862" s="77">
        <v>0.83333333333333337</v>
      </c>
      <c r="V1862">
        <v>37.04</v>
      </c>
      <c r="X1862" s="42"/>
      <c r="AB1862">
        <v>42.4</v>
      </c>
      <c r="AC1862">
        <v>50</v>
      </c>
      <c r="AE1862" s="74"/>
      <c r="AF1862" s="77"/>
      <c r="AH1862" s="497">
        <v>30.2</v>
      </c>
      <c r="AJ1862" s="42"/>
      <c r="AK1862" s="74"/>
      <c r="AL1862" s="77"/>
      <c r="AN1862" s="497">
        <v>33.08</v>
      </c>
      <c r="AP1862" s="42"/>
      <c r="AQ1862" s="74"/>
      <c r="AR1862" s="77"/>
      <c r="AT1862" s="497">
        <v>22.64</v>
      </c>
      <c r="AV1862" s="42"/>
      <c r="AW1862" s="74"/>
      <c r="AX1862" s="77"/>
      <c r="BA1862" s="497">
        <v>37.94</v>
      </c>
      <c r="BB1862" s="42"/>
      <c r="BC1862" s="74"/>
      <c r="BD1862" s="77"/>
      <c r="BF1862">
        <v>35.96</v>
      </c>
      <c r="BH1862" s="42"/>
      <c r="BI1862" s="74"/>
      <c r="BJ1862" s="77"/>
      <c r="BL1862" s="497">
        <v>48.92</v>
      </c>
      <c r="BN1862" s="42"/>
      <c r="BO1862" s="74"/>
      <c r="BP1862" s="77"/>
      <c r="BR1862" s="497">
        <v>14</v>
      </c>
      <c r="BT1862" s="42"/>
    </row>
    <row r="1863" spans="1:72" x14ac:dyDescent="0.25">
      <c r="A1863" s="90">
        <v>38064</v>
      </c>
      <c r="B1863" s="20">
        <v>0.875</v>
      </c>
      <c r="D1863">
        <v>48.019999999999996</v>
      </c>
      <c r="E1863" t="str">
        <f t="shared" si="92"/>
        <v>WEEKDAY</v>
      </c>
      <c r="F1863" t="e">
        <f t="shared" si="93"/>
        <v>#N/A</v>
      </c>
      <c r="G1863" s="74">
        <v>32950</v>
      </c>
      <c r="H1863" s="77">
        <v>0.875</v>
      </c>
      <c r="J1863">
        <v>50</v>
      </c>
      <c r="M1863" s="74">
        <v>36603</v>
      </c>
      <c r="N1863" s="77">
        <v>0.875</v>
      </c>
      <c r="P1863">
        <v>28.4</v>
      </c>
      <c r="S1863" s="74">
        <v>38064</v>
      </c>
      <c r="T1863" s="77">
        <v>0.875</v>
      </c>
      <c r="V1863">
        <v>37.04</v>
      </c>
      <c r="X1863" s="42"/>
      <c r="AB1863">
        <v>41.8</v>
      </c>
      <c r="AC1863">
        <v>51.08</v>
      </c>
      <c r="AE1863" s="74"/>
      <c r="AF1863" s="77"/>
      <c r="AH1863" s="497">
        <v>28.4</v>
      </c>
      <c r="AJ1863" s="42"/>
      <c r="AK1863" s="74"/>
      <c r="AL1863" s="77"/>
      <c r="AN1863" s="497">
        <v>33.08</v>
      </c>
      <c r="AP1863" s="42"/>
      <c r="AQ1863" s="74"/>
      <c r="AR1863" s="77"/>
      <c r="AT1863" s="497">
        <v>20.299999999999997</v>
      </c>
      <c r="AV1863" s="42"/>
      <c r="AW1863" s="74"/>
      <c r="AX1863" s="77"/>
      <c r="BA1863" s="497">
        <v>37.04</v>
      </c>
      <c r="BB1863" s="42"/>
      <c r="BC1863" s="74"/>
      <c r="BD1863" s="77"/>
      <c r="BF1863">
        <v>37.04</v>
      </c>
      <c r="BH1863" s="42"/>
      <c r="BI1863" s="74"/>
      <c r="BJ1863" s="77"/>
      <c r="BL1863" s="497">
        <v>48.92</v>
      </c>
      <c r="BN1863" s="42"/>
      <c r="BO1863" s="74"/>
      <c r="BP1863" s="77"/>
      <c r="BR1863" s="497">
        <v>10.039999999999999</v>
      </c>
      <c r="BT1863" s="42"/>
    </row>
    <row r="1864" spans="1:72" x14ac:dyDescent="0.25">
      <c r="A1864" s="90">
        <v>38064</v>
      </c>
      <c r="B1864" s="20">
        <v>0.91666666666666663</v>
      </c>
      <c r="D1864">
        <v>48.019999999999996</v>
      </c>
      <c r="E1864" t="str">
        <f t="shared" si="92"/>
        <v>WEEKDAY</v>
      </c>
      <c r="F1864" t="e">
        <f t="shared" si="93"/>
        <v>#N/A</v>
      </c>
      <c r="G1864" s="74">
        <v>32950</v>
      </c>
      <c r="H1864" s="77">
        <v>0.91666666666666663</v>
      </c>
      <c r="J1864">
        <v>50</v>
      </c>
      <c r="M1864" s="74">
        <v>36603</v>
      </c>
      <c r="N1864" s="77">
        <v>0.91666666666666663</v>
      </c>
      <c r="P1864">
        <v>30.2</v>
      </c>
      <c r="S1864" s="74">
        <v>38064</v>
      </c>
      <c r="T1864" s="77">
        <v>0.91666666666666663</v>
      </c>
      <c r="V1864">
        <v>37.04</v>
      </c>
      <c r="X1864" s="42"/>
      <c r="AB1864">
        <v>41.2</v>
      </c>
      <c r="AC1864">
        <v>46.94</v>
      </c>
      <c r="AE1864" s="74"/>
      <c r="AF1864" s="77"/>
      <c r="AH1864" s="497">
        <v>26.6</v>
      </c>
      <c r="AJ1864" s="42"/>
      <c r="AK1864" s="74"/>
      <c r="AL1864" s="77"/>
      <c r="AN1864" s="497">
        <v>33.08</v>
      </c>
      <c r="AP1864" s="42"/>
      <c r="AQ1864" s="74"/>
      <c r="AR1864" s="77"/>
      <c r="AT1864" s="497">
        <v>17.96</v>
      </c>
      <c r="AV1864" s="42"/>
      <c r="AW1864" s="74"/>
      <c r="AX1864" s="77"/>
      <c r="BA1864" s="497">
        <v>37.04</v>
      </c>
      <c r="BB1864" s="42"/>
      <c r="BC1864" s="74"/>
      <c r="BD1864" s="77"/>
      <c r="BF1864">
        <v>37.04</v>
      </c>
      <c r="BH1864" s="42"/>
      <c r="BI1864" s="74"/>
      <c r="BJ1864" s="77"/>
      <c r="BL1864" s="497">
        <v>48.019999999999996</v>
      </c>
      <c r="BN1864" s="42"/>
      <c r="BO1864" s="74"/>
      <c r="BP1864" s="77"/>
      <c r="BR1864" s="497">
        <v>5</v>
      </c>
      <c r="BT1864" s="42"/>
    </row>
    <row r="1865" spans="1:72" x14ac:dyDescent="0.25">
      <c r="A1865" s="90">
        <v>38064</v>
      </c>
      <c r="B1865" s="20">
        <v>0.95833333333333337</v>
      </c>
      <c r="D1865">
        <v>48.019999999999996</v>
      </c>
      <c r="E1865" t="str">
        <f t="shared" si="92"/>
        <v>WEEKDAY</v>
      </c>
      <c r="F1865" t="e">
        <f t="shared" si="93"/>
        <v>#N/A</v>
      </c>
      <c r="G1865" s="74">
        <v>32950</v>
      </c>
      <c r="H1865" s="77">
        <v>0.95833333333333337</v>
      </c>
      <c r="J1865">
        <v>48.92</v>
      </c>
      <c r="M1865" s="74">
        <v>36603</v>
      </c>
      <c r="N1865" s="77">
        <v>0.95833333333333337</v>
      </c>
      <c r="P1865">
        <v>29.12</v>
      </c>
      <c r="S1865" s="74">
        <v>38064</v>
      </c>
      <c r="T1865" s="77">
        <v>0.95833333333333337</v>
      </c>
      <c r="V1865">
        <v>37.04</v>
      </c>
      <c r="X1865" s="42"/>
      <c r="AB1865">
        <v>40.6</v>
      </c>
      <c r="AC1865">
        <v>44.06</v>
      </c>
      <c r="AE1865" s="74"/>
      <c r="AF1865" s="77"/>
      <c r="AH1865" s="497">
        <v>26.42</v>
      </c>
      <c r="AJ1865" s="42"/>
      <c r="AK1865" s="74"/>
      <c r="AL1865" s="77"/>
      <c r="AN1865" s="497">
        <v>33.08</v>
      </c>
      <c r="AP1865" s="42"/>
      <c r="AQ1865" s="74"/>
      <c r="AR1865" s="77"/>
      <c r="AT1865" s="497">
        <v>21.02</v>
      </c>
      <c r="AV1865" s="42"/>
      <c r="AW1865" s="74"/>
      <c r="AX1865" s="77"/>
      <c r="BA1865" s="497">
        <v>33.08</v>
      </c>
      <c r="BB1865" s="42"/>
      <c r="BC1865" s="74"/>
      <c r="BD1865" s="77"/>
      <c r="BF1865">
        <v>35.06</v>
      </c>
      <c r="BH1865" s="42"/>
      <c r="BI1865" s="74"/>
      <c r="BJ1865" s="77"/>
      <c r="BL1865" s="497">
        <v>48.92</v>
      </c>
      <c r="BN1865" s="42"/>
      <c r="BO1865" s="74"/>
      <c r="BP1865" s="77"/>
      <c r="BR1865" s="497">
        <v>1.9400000000000013</v>
      </c>
      <c r="BT1865" s="42"/>
    </row>
    <row r="1866" spans="1:72" x14ac:dyDescent="0.25">
      <c r="A1866" s="90">
        <v>38064</v>
      </c>
      <c r="B1866" s="20">
        <v>1</v>
      </c>
      <c r="D1866">
        <v>46.94</v>
      </c>
      <c r="E1866" t="str">
        <f t="shared" si="92"/>
        <v>WEEKDAY</v>
      </c>
      <c r="F1866" t="e">
        <f t="shared" si="93"/>
        <v>#N/A</v>
      </c>
      <c r="G1866" s="74">
        <v>32950</v>
      </c>
      <c r="H1866" s="77">
        <v>1</v>
      </c>
      <c r="J1866">
        <v>48.019999999999996</v>
      </c>
      <c r="M1866" s="74">
        <v>36603</v>
      </c>
      <c r="N1866" s="80">
        <v>1</v>
      </c>
      <c r="P1866">
        <v>28.4</v>
      </c>
      <c r="S1866" s="74">
        <v>38064</v>
      </c>
      <c r="T1866" s="80">
        <v>1</v>
      </c>
      <c r="V1866">
        <v>37.04</v>
      </c>
      <c r="X1866" s="42"/>
      <c r="AB1866">
        <v>39.9</v>
      </c>
      <c r="AC1866">
        <v>44.96</v>
      </c>
      <c r="AE1866" s="74"/>
      <c r="AF1866" s="80"/>
      <c r="AH1866" s="497">
        <v>26.6</v>
      </c>
      <c r="AJ1866" s="42"/>
      <c r="AK1866" s="74"/>
      <c r="AL1866" s="80"/>
      <c r="AN1866" s="497">
        <v>33.08</v>
      </c>
      <c r="AP1866" s="42"/>
      <c r="AQ1866" s="74"/>
      <c r="AR1866" s="80"/>
      <c r="AT1866" s="497">
        <v>23.9</v>
      </c>
      <c r="AV1866" s="42"/>
      <c r="AW1866" s="74"/>
      <c r="AX1866" s="80"/>
      <c r="BA1866" s="497">
        <v>35.06</v>
      </c>
      <c r="BB1866" s="42"/>
      <c r="BC1866" s="74"/>
      <c r="BD1866" s="80"/>
      <c r="BF1866">
        <v>35.96</v>
      </c>
      <c r="BH1866" s="42"/>
      <c r="BI1866" s="74"/>
      <c r="BJ1866" s="80"/>
      <c r="BL1866" s="497">
        <v>50</v>
      </c>
      <c r="BN1866" s="42"/>
      <c r="BO1866" s="74"/>
      <c r="BP1866" s="80"/>
      <c r="BR1866" s="497">
        <v>1.9400000000000013</v>
      </c>
      <c r="BT1866" s="42"/>
    </row>
    <row r="1867" spans="1:72" x14ac:dyDescent="0.25">
      <c r="A1867" s="90">
        <v>38065</v>
      </c>
      <c r="B1867" s="20">
        <v>4.1666666666666664E-2</v>
      </c>
      <c r="D1867">
        <v>46.04</v>
      </c>
      <c r="E1867" t="str">
        <f t="shared" si="92"/>
        <v>WEEKDAY</v>
      </c>
      <c r="F1867" t="e">
        <f t="shared" si="93"/>
        <v>#N/A</v>
      </c>
      <c r="G1867" s="74">
        <v>32951</v>
      </c>
      <c r="H1867" s="77">
        <v>4.1666666666666664E-2</v>
      </c>
      <c r="J1867">
        <v>46.94</v>
      </c>
      <c r="M1867" s="74">
        <v>36604</v>
      </c>
      <c r="N1867" s="77">
        <v>4.1666666666666664E-2</v>
      </c>
      <c r="P1867">
        <v>28.22</v>
      </c>
      <c r="S1867" s="74">
        <v>38065</v>
      </c>
      <c r="T1867" s="77">
        <v>4.1666666666666664E-2</v>
      </c>
      <c r="V1867">
        <v>37.04</v>
      </c>
      <c r="X1867" s="42"/>
      <c r="AB1867">
        <v>39.299999999999997</v>
      </c>
      <c r="AC1867">
        <v>46.94</v>
      </c>
      <c r="AE1867" s="74"/>
      <c r="AF1867" s="77"/>
      <c r="AH1867" s="497">
        <v>24.8</v>
      </c>
      <c r="AJ1867" s="42"/>
      <c r="AK1867" s="74"/>
      <c r="AL1867" s="77"/>
      <c r="AN1867" s="497">
        <v>32</v>
      </c>
      <c r="AP1867" s="42"/>
      <c r="AQ1867" s="74"/>
      <c r="AR1867" s="77"/>
      <c r="AT1867" s="497">
        <v>26.96</v>
      </c>
      <c r="AV1867" s="42"/>
      <c r="AW1867" s="74"/>
      <c r="AX1867" s="77"/>
      <c r="BA1867" s="497">
        <v>37.04</v>
      </c>
      <c r="BB1867" s="42"/>
      <c r="BC1867" s="74"/>
      <c r="BD1867" s="77"/>
      <c r="BF1867">
        <v>35.96</v>
      </c>
      <c r="BH1867" s="42"/>
      <c r="BI1867" s="74"/>
      <c r="BJ1867" s="77"/>
      <c r="BL1867" s="497">
        <v>50</v>
      </c>
      <c r="BN1867" s="42"/>
      <c r="BO1867" s="74"/>
      <c r="BP1867" s="77"/>
      <c r="BR1867" s="497">
        <v>1.0399999999999991</v>
      </c>
      <c r="BT1867" s="42"/>
    </row>
    <row r="1868" spans="1:72" x14ac:dyDescent="0.25">
      <c r="A1868" s="90">
        <v>38065</v>
      </c>
      <c r="B1868" s="20">
        <v>8.3333333333333329E-2</v>
      </c>
      <c r="D1868">
        <v>44.96</v>
      </c>
      <c r="E1868" t="str">
        <f t="shared" si="92"/>
        <v>WEEKDAY</v>
      </c>
      <c r="F1868" t="e">
        <f t="shared" si="93"/>
        <v>#N/A</v>
      </c>
      <c r="G1868" s="74">
        <v>32951</v>
      </c>
      <c r="H1868" s="77">
        <v>8.3333333333333329E-2</v>
      </c>
      <c r="J1868">
        <v>46.94</v>
      </c>
      <c r="M1868" s="74">
        <v>36604</v>
      </c>
      <c r="N1868" s="77">
        <v>8.3333333333333329E-2</v>
      </c>
      <c r="P1868">
        <v>28.4</v>
      </c>
      <c r="S1868" s="74">
        <v>38065</v>
      </c>
      <c r="T1868" s="77">
        <v>8.3333333333333329E-2</v>
      </c>
      <c r="V1868">
        <v>37.04</v>
      </c>
      <c r="X1868" s="42"/>
      <c r="AB1868">
        <v>38.700000000000003</v>
      </c>
      <c r="AC1868">
        <v>46.04</v>
      </c>
      <c r="AE1868" s="74"/>
      <c r="AF1868" s="77"/>
      <c r="AH1868" s="497">
        <v>23.9</v>
      </c>
      <c r="AJ1868" s="42"/>
      <c r="AK1868" s="74"/>
      <c r="AL1868" s="77"/>
      <c r="AN1868" s="497">
        <v>32</v>
      </c>
      <c r="AP1868" s="42"/>
      <c r="AQ1868" s="74"/>
      <c r="AR1868" s="77"/>
      <c r="AT1868" s="497">
        <v>28.22</v>
      </c>
      <c r="AV1868" s="42"/>
      <c r="AW1868" s="74"/>
      <c r="AX1868" s="77"/>
      <c r="BA1868" s="497">
        <v>37.94</v>
      </c>
      <c r="BB1868" s="42"/>
      <c r="BC1868" s="74"/>
      <c r="BD1868" s="77"/>
      <c r="BF1868">
        <v>35.96</v>
      </c>
      <c r="BH1868" s="42"/>
      <c r="BI1868" s="74"/>
      <c r="BJ1868" s="77"/>
      <c r="BL1868" s="497">
        <v>48.019999999999996</v>
      </c>
      <c r="BN1868" s="42"/>
      <c r="BO1868" s="74"/>
      <c r="BP1868" s="77"/>
      <c r="BR1868" s="497">
        <v>-3.9999999999999147E-2</v>
      </c>
      <c r="BT1868" s="42"/>
    </row>
    <row r="1869" spans="1:72" x14ac:dyDescent="0.25">
      <c r="A1869" s="90">
        <v>38065</v>
      </c>
      <c r="B1869" s="20">
        <v>0.125</v>
      </c>
      <c r="D1869">
        <v>42.980000000000004</v>
      </c>
      <c r="E1869" t="str">
        <f t="shared" si="92"/>
        <v>WEEKDAY</v>
      </c>
      <c r="F1869" t="e">
        <f t="shared" si="93"/>
        <v>#N/A</v>
      </c>
      <c r="G1869" s="74">
        <v>32951</v>
      </c>
      <c r="H1869" s="77">
        <v>0.125</v>
      </c>
      <c r="J1869">
        <v>44.96</v>
      </c>
      <c r="M1869" s="74">
        <v>36604</v>
      </c>
      <c r="N1869" s="77">
        <v>0.125</v>
      </c>
      <c r="P1869">
        <v>28.4</v>
      </c>
      <c r="S1869" s="74">
        <v>38065</v>
      </c>
      <c r="T1869" s="77">
        <v>0.125</v>
      </c>
      <c r="V1869">
        <v>33.979999999999997</v>
      </c>
      <c r="X1869" s="42"/>
      <c r="AB1869">
        <v>38</v>
      </c>
      <c r="AC1869">
        <v>44.96</v>
      </c>
      <c r="AE1869" s="74"/>
      <c r="AF1869" s="77"/>
      <c r="AH1869" s="497">
        <v>23.36</v>
      </c>
      <c r="AJ1869" s="42"/>
      <c r="AK1869" s="74"/>
      <c r="AL1869" s="77"/>
      <c r="AN1869" s="497">
        <v>30.92</v>
      </c>
      <c r="AP1869" s="42"/>
      <c r="AQ1869" s="74"/>
      <c r="AR1869" s="77"/>
      <c r="AT1869" s="497">
        <v>29.66</v>
      </c>
      <c r="AV1869" s="42"/>
      <c r="AW1869" s="74"/>
      <c r="AX1869" s="77"/>
      <c r="BA1869" s="497">
        <v>35.06</v>
      </c>
      <c r="BB1869" s="42"/>
      <c r="BC1869" s="74"/>
      <c r="BD1869" s="77"/>
      <c r="BF1869">
        <v>33.08</v>
      </c>
      <c r="BH1869" s="42"/>
      <c r="BI1869" s="74"/>
      <c r="BJ1869" s="77"/>
      <c r="BL1869" s="497">
        <v>48.019999999999996</v>
      </c>
      <c r="BN1869" s="42"/>
      <c r="BO1869" s="74"/>
      <c r="BP1869" s="77"/>
      <c r="BR1869" s="497">
        <v>-3.9999999999999147E-2</v>
      </c>
      <c r="BT1869" s="42"/>
    </row>
    <row r="1870" spans="1:72" x14ac:dyDescent="0.25">
      <c r="A1870" s="90">
        <v>38065</v>
      </c>
      <c r="B1870" s="20">
        <v>0.16666666666666666</v>
      </c>
      <c r="D1870">
        <v>42.08</v>
      </c>
      <c r="E1870" t="str">
        <f t="shared" si="92"/>
        <v>WEEKDAY</v>
      </c>
      <c r="F1870" t="e">
        <f t="shared" si="93"/>
        <v>#N/A</v>
      </c>
      <c r="G1870" s="74">
        <v>32951</v>
      </c>
      <c r="H1870" s="77">
        <v>0.16666666666666666</v>
      </c>
      <c r="J1870">
        <v>44.06</v>
      </c>
      <c r="M1870" s="74">
        <v>36604</v>
      </c>
      <c r="N1870" s="77">
        <v>0.16666666666666666</v>
      </c>
      <c r="P1870">
        <v>26.6</v>
      </c>
      <c r="S1870" s="74">
        <v>38065</v>
      </c>
      <c r="T1870" s="77">
        <v>0.16666666666666666</v>
      </c>
      <c r="V1870">
        <v>33.979999999999997</v>
      </c>
      <c r="X1870" s="42"/>
      <c r="AB1870">
        <v>37.6</v>
      </c>
      <c r="AC1870">
        <v>46.04</v>
      </c>
      <c r="AE1870" s="74"/>
      <c r="AF1870" s="77"/>
      <c r="AH1870" s="497">
        <v>23</v>
      </c>
      <c r="AJ1870" s="42"/>
      <c r="AK1870" s="74"/>
      <c r="AL1870" s="77"/>
      <c r="AN1870" s="497">
        <v>30.92</v>
      </c>
      <c r="AP1870" s="42"/>
      <c r="AQ1870" s="74"/>
      <c r="AR1870" s="77"/>
      <c r="AT1870" s="497">
        <v>30.92</v>
      </c>
      <c r="AV1870" s="42"/>
      <c r="AW1870" s="74"/>
      <c r="AX1870" s="77"/>
      <c r="BA1870" s="497">
        <v>30.92</v>
      </c>
      <c r="BB1870" s="42"/>
      <c r="BC1870" s="74"/>
      <c r="BD1870" s="77"/>
      <c r="BF1870">
        <v>32</v>
      </c>
      <c r="BH1870" s="42"/>
      <c r="BI1870" s="74"/>
      <c r="BJ1870" s="77"/>
      <c r="BL1870" s="497">
        <v>51.08</v>
      </c>
      <c r="BN1870" s="42"/>
      <c r="BO1870" s="74"/>
      <c r="BP1870" s="77"/>
      <c r="BR1870" s="497">
        <v>3.019999999999996</v>
      </c>
      <c r="BT1870" s="42"/>
    </row>
    <row r="1871" spans="1:72" x14ac:dyDescent="0.25">
      <c r="A1871" s="90">
        <v>38065</v>
      </c>
      <c r="B1871" s="20">
        <v>0.20833333333333334</v>
      </c>
      <c r="D1871">
        <v>42.980000000000004</v>
      </c>
      <c r="E1871" t="str">
        <f t="shared" si="92"/>
        <v>WEEKDAY</v>
      </c>
      <c r="F1871" t="e">
        <f t="shared" si="93"/>
        <v>#N/A</v>
      </c>
      <c r="G1871" s="74">
        <v>32951</v>
      </c>
      <c r="H1871" s="77">
        <v>0.20833333333333334</v>
      </c>
      <c r="J1871">
        <v>44.06</v>
      </c>
      <c r="M1871" s="74">
        <v>36604</v>
      </c>
      <c r="N1871" s="77">
        <v>0.20833333333333334</v>
      </c>
      <c r="P1871">
        <v>26.6</v>
      </c>
      <c r="S1871" s="74">
        <v>38065</v>
      </c>
      <c r="T1871" s="77">
        <v>0.20833333333333334</v>
      </c>
      <c r="V1871">
        <v>33.08</v>
      </c>
      <c r="X1871" s="42"/>
      <c r="AB1871">
        <v>37.200000000000003</v>
      </c>
      <c r="AC1871">
        <v>46.04</v>
      </c>
      <c r="AE1871" s="74"/>
      <c r="AF1871" s="77"/>
      <c r="AH1871" s="497">
        <v>23.9</v>
      </c>
      <c r="AJ1871" s="42"/>
      <c r="AK1871" s="74"/>
      <c r="AL1871" s="77"/>
      <c r="AN1871" s="497">
        <v>30.02</v>
      </c>
      <c r="AP1871" s="42"/>
      <c r="AQ1871" s="74"/>
      <c r="AR1871" s="77"/>
      <c r="AT1871" s="497">
        <v>32.54</v>
      </c>
      <c r="AV1871" s="42"/>
      <c r="AW1871" s="74"/>
      <c r="AX1871" s="77"/>
      <c r="BA1871" s="497">
        <v>33.08</v>
      </c>
      <c r="BB1871" s="42"/>
      <c r="BC1871" s="74"/>
      <c r="BD1871" s="77"/>
      <c r="BF1871">
        <v>32</v>
      </c>
      <c r="BH1871" s="42"/>
      <c r="BI1871" s="74"/>
      <c r="BJ1871" s="77"/>
      <c r="BL1871" s="497">
        <v>50</v>
      </c>
      <c r="BN1871" s="42"/>
      <c r="BO1871" s="74"/>
      <c r="BP1871" s="77"/>
      <c r="BR1871" s="497">
        <v>3.9200000000000017</v>
      </c>
      <c r="BT1871" s="42"/>
    </row>
    <row r="1872" spans="1:72" x14ac:dyDescent="0.25">
      <c r="A1872" s="90">
        <v>38065</v>
      </c>
      <c r="B1872" s="20">
        <v>0.25</v>
      </c>
      <c r="D1872">
        <v>41</v>
      </c>
      <c r="E1872" t="str">
        <f t="shared" si="92"/>
        <v>WEEKDAY</v>
      </c>
      <c r="F1872" t="e">
        <f t="shared" si="93"/>
        <v>#N/A</v>
      </c>
      <c r="G1872" s="74">
        <v>32951</v>
      </c>
      <c r="H1872" s="77">
        <v>0.25</v>
      </c>
      <c r="J1872">
        <v>44.96</v>
      </c>
      <c r="M1872" s="74">
        <v>36604</v>
      </c>
      <c r="N1872" s="77">
        <v>0.25</v>
      </c>
      <c r="P1872">
        <v>26.6</v>
      </c>
      <c r="S1872" s="74">
        <v>38065</v>
      </c>
      <c r="T1872" s="77">
        <v>0.25</v>
      </c>
      <c r="V1872">
        <v>33.08</v>
      </c>
      <c r="X1872" s="42"/>
      <c r="AB1872">
        <v>36.9</v>
      </c>
      <c r="AC1872">
        <v>46.04</v>
      </c>
      <c r="AE1872" s="74"/>
      <c r="AF1872" s="77"/>
      <c r="AH1872" s="497">
        <v>24.8</v>
      </c>
      <c r="AJ1872" s="42"/>
      <c r="AK1872" s="74"/>
      <c r="AL1872" s="77"/>
      <c r="AN1872" s="497">
        <v>30.02</v>
      </c>
      <c r="AP1872" s="42"/>
      <c r="AQ1872" s="74"/>
      <c r="AR1872" s="77"/>
      <c r="AT1872" s="497">
        <v>34.340000000000003</v>
      </c>
      <c r="AV1872" s="42"/>
      <c r="AW1872" s="74"/>
      <c r="AX1872" s="77"/>
      <c r="BA1872" s="497">
        <v>30.02</v>
      </c>
      <c r="BB1872" s="42"/>
      <c r="BC1872" s="74"/>
      <c r="BD1872" s="77"/>
      <c r="BF1872">
        <v>32</v>
      </c>
      <c r="BH1872" s="42"/>
      <c r="BI1872" s="74"/>
      <c r="BJ1872" s="77"/>
      <c r="BL1872" s="497">
        <v>51.980000000000004</v>
      </c>
      <c r="BN1872" s="42"/>
      <c r="BO1872" s="74"/>
      <c r="BP1872" s="77"/>
      <c r="BR1872" s="497">
        <v>10.039999999999999</v>
      </c>
      <c r="BT1872" s="42"/>
    </row>
    <row r="1873" spans="1:72" x14ac:dyDescent="0.25">
      <c r="A1873" s="90">
        <v>38065</v>
      </c>
      <c r="B1873" s="20">
        <v>0.29166666666666669</v>
      </c>
      <c r="D1873">
        <v>42.08</v>
      </c>
      <c r="E1873" t="str">
        <f t="shared" si="92"/>
        <v>WEEKDAY</v>
      </c>
      <c r="F1873" t="e">
        <f t="shared" si="93"/>
        <v>#N/A</v>
      </c>
      <c r="G1873" s="74">
        <v>32951</v>
      </c>
      <c r="H1873" s="77">
        <v>0.29166666666666669</v>
      </c>
      <c r="J1873">
        <v>44.96</v>
      </c>
      <c r="M1873" s="74">
        <v>36604</v>
      </c>
      <c r="N1873" s="77">
        <v>0.29166666666666669</v>
      </c>
      <c r="P1873">
        <v>28.4</v>
      </c>
      <c r="S1873" s="74">
        <v>38065</v>
      </c>
      <c r="T1873" s="77">
        <v>0.29166666666666669</v>
      </c>
      <c r="V1873">
        <v>33.08</v>
      </c>
      <c r="X1873" s="42"/>
      <c r="AB1873">
        <v>36.799999999999997</v>
      </c>
      <c r="AC1873">
        <v>46.04</v>
      </c>
      <c r="AE1873" s="74"/>
      <c r="AF1873" s="77"/>
      <c r="AH1873" s="497">
        <v>24.8</v>
      </c>
      <c r="AJ1873" s="42"/>
      <c r="AK1873" s="74"/>
      <c r="AL1873" s="77"/>
      <c r="AN1873" s="497">
        <v>28.94</v>
      </c>
      <c r="AP1873" s="42"/>
      <c r="AQ1873" s="74"/>
      <c r="AR1873" s="77"/>
      <c r="AT1873" s="497">
        <v>35.96</v>
      </c>
      <c r="AV1873" s="42"/>
      <c r="AW1873" s="74"/>
      <c r="AX1873" s="77"/>
      <c r="BA1873" s="497">
        <v>33.08</v>
      </c>
      <c r="BB1873" s="42"/>
      <c r="BC1873" s="74"/>
      <c r="BD1873" s="77"/>
      <c r="BF1873">
        <v>33.08</v>
      </c>
      <c r="BH1873" s="42"/>
      <c r="BI1873" s="74"/>
      <c r="BJ1873" s="77"/>
      <c r="BL1873" s="497">
        <v>53.06</v>
      </c>
      <c r="BN1873" s="42"/>
      <c r="BO1873" s="74"/>
      <c r="BP1873" s="77"/>
      <c r="BR1873" s="497">
        <v>15.079999999999998</v>
      </c>
      <c r="BT1873" s="42"/>
    </row>
    <row r="1874" spans="1:72" x14ac:dyDescent="0.25">
      <c r="A1874" s="90">
        <v>38065</v>
      </c>
      <c r="B1874" s="20">
        <v>0.33333333333333331</v>
      </c>
      <c r="D1874">
        <v>42.980000000000004</v>
      </c>
      <c r="E1874" t="str">
        <f t="shared" si="92"/>
        <v>WEEKDAY</v>
      </c>
      <c r="F1874" t="e">
        <f t="shared" si="93"/>
        <v>#N/A</v>
      </c>
      <c r="G1874" s="74">
        <v>32951</v>
      </c>
      <c r="H1874" s="77">
        <v>0.33333333333333331</v>
      </c>
      <c r="J1874">
        <v>46.94</v>
      </c>
      <c r="M1874" s="74">
        <v>36604</v>
      </c>
      <c r="N1874" s="77">
        <v>0.33333333333333331</v>
      </c>
      <c r="P1874">
        <v>30.2</v>
      </c>
      <c r="S1874" s="74">
        <v>38065</v>
      </c>
      <c r="T1874" s="77">
        <v>0.33333333333333331</v>
      </c>
      <c r="V1874">
        <v>33.08</v>
      </c>
      <c r="X1874" s="42"/>
      <c r="AB1874">
        <v>37.6</v>
      </c>
      <c r="AC1874">
        <v>46.04</v>
      </c>
      <c r="AE1874" s="74"/>
      <c r="AF1874" s="77"/>
      <c r="AH1874" s="497">
        <v>30.2</v>
      </c>
      <c r="AJ1874" s="42"/>
      <c r="AK1874" s="74"/>
      <c r="AL1874" s="77"/>
      <c r="AN1874" s="497">
        <v>30.02</v>
      </c>
      <c r="AP1874" s="42"/>
      <c r="AQ1874" s="74"/>
      <c r="AR1874" s="77"/>
      <c r="AT1874" s="497">
        <v>37.04</v>
      </c>
      <c r="AV1874" s="42"/>
      <c r="AW1874" s="74"/>
      <c r="AX1874" s="77"/>
      <c r="BA1874" s="497">
        <v>39.019999999999996</v>
      </c>
      <c r="BB1874" s="42"/>
      <c r="BC1874" s="74"/>
      <c r="BD1874" s="77"/>
      <c r="BF1874">
        <v>33.979999999999997</v>
      </c>
      <c r="BH1874" s="42"/>
      <c r="BI1874" s="74"/>
      <c r="BJ1874" s="77"/>
      <c r="BL1874" s="497">
        <v>57.92</v>
      </c>
      <c r="BN1874" s="42"/>
      <c r="BO1874" s="74"/>
      <c r="BP1874" s="77"/>
      <c r="BR1874" s="497">
        <v>21.02</v>
      </c>
      <c r="BT1874" s="42"/>
    </row>
    <row r="1875" spans="1:72" x14ac:dyDescent="0.25">
      <c r="A1875" s="90">
        <v>38065</v>
      </c>
      <c r="B1875" s="20">
        <v>0.375</v>
      </c>
      <c r="D1875">
        <v>44.96</v>
      </c>
      <c r="E1875" t="str">
        <f t="shared" ref="E1875:E1938" si="94">IF(COUNTIF($DI$18:$DI$22, WEEKDAY(A1875))=1, "WEEKDAY", IF(WEEKDAY(A1875) = 1, "SUNDAY", "SATURDAY"))</f>
        <v>WEEKDAY</v>
      </c>
      <c r="F1875" t="e">
        <f t="shared" si="93"/>
        <v>#N/A</v>
      </c>
      <c r="G1875" s="74">
        <v>32951</v>
      </c>
      <c r="H1875" s="77">
        <v>0.375</v>
      </c>
      <c r="J1875">
        <v>50</v>
      </c>
      <c r="M1875" s="74">
        <v>36604</v>
      </c>
      <c r="N1875" s="77">
        <v>0.375</v>
      </c>
      <c r="P1875">
        <v>32</v>
      </c>
      <c r="S1875" s="74">
        <v>38065</v>
      </c>
      <c r="T1875" s="77">
        <v>0.375</v>
      </c>
      <c r="V1875">
        <v>33.08</v>
      </c>
      <c r="X1875" s="42"/>
      <c r="AB1875">
        <v>39.4</v>
      </c>
      <c r="AC1875">
        <v>44.06</v>
      </c>
      <c r="AE1875" s="74"/>
      <c r="AF1875" s="77"/>
      <c r="AH1875" s="497">
        <v>33.799999999999997</v>
      </c>
      <c r="AJ1875" s="42"/>
      <c r="AK1875" s="74"/>
      <c r="AL1875" s="77"/>
      <c r="AN1875" s="497">
        <v>30.02</v>
      </c>
      <c r="AP1875" s="42"/>
      <c r="AQ1875" s="74"/>
      <c r="AR1875" s="77"/>
      <c r="AT1875" s="497">
        <v>37.94</v>
      </c>
      <c r="AV1875" s="42"/>
      <c r="AW1875" s="74"/>
      <c r="AX1875" s="77"/>
      <c r="BA1875" s="497">
        <v>42.980000000000004</v>
      </c>
      <c r="BB1875" s="42"/>
      <c r="BC1875" s="74"/>
      <c r="BD1875" s="77"/>
      <c r="BF1875">
        <v>37.94</v>
      </c>
      <c r="BH1875" s="42"/>
      <c r="BI1875" s="74"/>
      <c r="BJ1875" s="77"/>
      <c r="BL1875" s="497">
        <v>59</v>
      </c>
      <c r="BN1875" s="42"/>
      <c r="BO1875" s="74"/>
      <c r="BP1875" s="77"/>
      <c r="BR1875" s="497">
        <v>26.96</v>
      </c>
      <c r="BT1875" s="42"/>
    </row>
    <row r="1876" spans="1:72" x14ac:dyDescent="0.25">
      <c r="A1876" s="90">
        <v>38065</v>
      </c>
      <c r="B1876" s="20">
        <v>0.41666666666666669</v>
      </c>
      <c r="D1876">
        <v>46.94</v>
      </c>
      <c r="E1876" t="str">
        <f t="shared" si="94"/>
        <v>WEEKDAY</v>
      </c>
      <c r="F1876" t="e">
        <f t="shared" si="93"/>
        <v>#N/A</v>
      </c>
      <c r="G1876" s="74">
        <v>32951</v>
      </c>
      <c r="H1876" s="77">
        <v>0.41666666666666669</v>
      </c>
      <c r="J1876">
        <v>53.06</v>
      </c>
      <c r="M1876" s="74">
        <v>36604</v>
      </c>
      <c r="N1876" s="77">
        <v>0.41666666666666669</v>
      </c>
      <c r="P1876">
        <v>32</v>
      </c>
      <c r="S1876" s="74">
        <v>38065</v>
      </c>
      <c r="T1876" s="77">
        <v>0.41666666666666669</v>
      </c>
      <c r="V1876">
        <v>33.979999999999997</v>
      </c>
      <c r="X1876" s="42"/>
      <c r="AB1876">
        <v>41.2</v>
      </c>
      <c r="AC1876">
        <v>44.96</v>
      </c>
      <c r="AE1876" s="74"/>
      <c r="AF1876" s="77"/>
      <c r="AH1876" s="497">
        <v>35.6</v>
      </c>
      <c r="AJ1876" s="42"/>
      <c r="AK1876" s="74"/>
      <c r="AL1876" s="77"/>
      <c r="AN1876" s="497">
        <v>30.02</v>
      </c>
      <c r="AP1876" s="42"/>
      <c r="AQ1876" s="74"/>
      <c r="AR1876" s="77"/>
      <c r="AT1876" s="497">
        <v>39.019999999999996</v>
      </c>
      <c r="AV1876" s="42"/>
      <c r="AW1876" s="74"/>
      <c r="AX1876" s="77"/>
      <c r="BA1876" s="497">
        <v>46.94</v>
      </c>
      <c r="BB1876" s="42"/>
      <c r="BC1876" s="74"/>
      <c r="BD1876" s="77"/>
      <c r="BF1876">
        <v>37.94</v>
      </c>
      <c r="BH1876" s="42"/>
      <c r="BI1876" s="74"/>
      <c r="BJ1876" s="77"/>
      <c r="BL1876" s="497">
        <v>60.980000000000004</v>
      </c>
      <c r="BN1876" s="42"/>
      <c r="BO1876" s="74"/>
      <c r="BP1876" s="77"/>
      <c r="BR1876" s="497">
        <v>32</v>
      </c>
      <c r="BT1876" s="42"/>
    </row>
    <row r="1877" spans="1:72" x14ac:dyDescent="0.25">
      <c r="A1877" s="90">
        <v>38065</v>
      </c>
      <c r="B1877" s="20">
        <v>0.45833333333333331</v>
      </c>
      <c r="D1877">
        <v>46.94</v>
      </c>
      <c r="E1877" t="str">
        <f t="shared" si="94"/>
        <v>WEEKDAY</v>
      </c>
      <c r="F1877" t="e">
        <f t="shared" si="93"/>
        <v>#N/A</v>
      </c>
      <c r="G1877" s="74">
        <v>32951</v>
      </c>
      <c r="H1877" s="77">
        <v>0.45833333333333331</v>
      </c>
      <c r="J1877">
        <v>53.06</v>
      </c>
      <c r="M1877" s="74">
        <v>36604</v>
      </c>
      <c r="N1877" s="77">
        <v>0.45833333333333331</v>
      </c>
      <c r="P1877">
        <v>35.6</v>
      </c>
      <c r="S1877" s="74">
        <v>38065</v>
      </c>
      <c r="T1877" s="77">
        <v>0.45833333333333331</v>
      </c>
      <c r="V1877">
        <v>33.979999999999997</v>
      </c>
      <c r="X1877" s="42"/>
      <c r="AB1877">
        <v>42.8</v>
      </c>
      <c r="AC1877">
        <v>46.04</v>
      </c>
      <c r="AE1877" s="74"/>
      <c r="AF1877" s="77"/>
      <c r="AH1877" s="497">
        <v>37.4</v>
      </c>
      <c r="AJ1877" s="42"/>
      <c r="AK1877" s="74"/>
      <c r="AL1877" s="77"/>
      <c r="AN1877" s="497">
        <v>30.02</v>
      </c>
      <c r="AP1877" s="42"/>
      <c r="AQ1877" s="74"/>
      <c r="AR1877" s="77"/>
      <c r="AT1877" s="497">
        <v>42.26</v>
      </c>
      <c r="AV1877" s="42"/>
      <c r="AW1877" s="74"/>
      <c r="AX1877" s="77"/>
      <c r="BA1877" s="497">
        <v>46.04</v>
      </c>
      <c r="BB1877" s="42"/>
      <c r="BC1877" s="74"/>
      <c r="BD1877" s="77"/>
      <c r="BF1877">
        <v>37.04</v>
      </c>
      <c r="BH1877" s="42"/>
      <c r="BI1877" s="74"/>
      <c r="BJ1877" s="77"/>
      <c r="BL1877" s="497">
        <v>62.06</v>
      </c>
      <c r="BN1877" s="42"/>
      <c r="BO1877" s="74"/>
      <c r="BP1877" s="77"/>
      <c r="BR1877" s="497">
        <v>35.06</v>
      </c>
      <c r="BT1877" s="42"/>
    </row>
    <row r="1878" spans="1:72" x14ac:dyDescent="0.25">
      <c r="A1878" s="90">
        <v>38065</v>
      </c>
      <c r="B1878" s="20">
        <v>0.5</v>
      </c>
      <c r="D1878">
        <v>48.019999999999996</v>
      </c>
      <c r="E1878" t="str">
        <f t="shared" si="94"/>
        <v>WEEKDAY</v>
      </c>
      <c r="F1878" t="e">
        <f t="shared" si="93"/>
        <v>#N/A</v>
      </c>
      <c r="G1878" s="74">
        <v>32951</v>
      </c>
      <c r="H1878" s="77">
        <v>0.5</v>
      </c>
      <c r="J1878">
        <v>53.06</v>
      </c>
      <c r="M1878" s="74">
        <v>36604</v>
      </c>
      <c r="N1878" s="77">
        <v>0.5</v>
      </c>
      <c r="P1878">
        <v>37.4</v>
      </c>
      <c r="S1878" s="74">
        <v>38065</v>
      </c>
      <c r="T1878" s="77">
        <v>0.5</v>
      </c>
      <c r="V1878">
        <v>35.96</v>
      </c>
      <c r="X1878" s="42"/>
      <c r="AB1878">
        <v>44.2</v>
      </c>
      <c r="AC1878">
        <v>46.04</v>
      </c>
      <c r="AE1878" s="74"/>
      <c r="AF1878" s="77"/>
      <c r="AH1878" s="497">
        <v>39.200000000000003</v>
      </c>
      <c r="AJ1878" s="42"/>
      <c r="AK1878" s="74"/>
      <c r="AL1878" s="77"/>
      <c r="AN1878" s="497">
        <v>30.92</v>
      </c>
      <c r="AP1878" s="42"/>
      <c r="AQ1878" s="74"/>
      <c r="AR1878" s="77"/>
      <c r="AT1878" s="497">
        <v>45.68</v>
      </c>
      <c r="AV1878" s="42"/>
      <c r="AW1878" s="74"/>
      <c r="AX1878" s="77"/>
      <c r="BA1878" s="497">
        <v>42.08</v>
      </c>
      <c r="BB1878" s="42"/>
      <c r="BC1878" s="74"/>
      <c r="BD1878" s="77"/>
      <c r="BF1878">
        <v>37.04</v>
      </c>
      <c r="BH1878" s="42"/>
      <c r="BI1878" s="74"/>
      <c r="BJ1878" s="77"/>
      <c r="BL1878" s="497">
        <v>60.980000000000004</v>
      </c>
      <c r="BN1878" s="42"/>
      <c r="BO1878" s="74"/>
      <c r="BP1878" s="77"/>
      <c r="BR1878" s="497">
        <v>39.019999999999996</v>
      </c>
      <c r="BT1878" s="42"/>
    </row>
    <row r="1879" spans="1:72" x14ac:dyDescent="0.25">
      <c r="A1879" s="90">
        <v>38065</v>
      </c>
      <c r="B1879" s="20">
        <v>0.54166666666666663</v>
      </c>
      <c r="D1879">
        <v>48.92</v>
      </c>
      <c r="E1879" t="str">
        <f t="shared" si="94"/>
        <v>WEEKDAY</v>
      </c>
      <c r="F1879" t="e">
        <f t="shared" si="93"/>
        <v>#N/A</v>
      </c>
      <c r="G1879" s="74">
        <v>32951</v>
      </c>
      <c r="H1879" s="77">
        <v>0.54166666666666663</v>
      </c>
      <c r="J1879">
        <v>53.06</v>
      </c>
      <c r="M1879" s="74">
        <v>36604</v>
      </c>
      <c r="N1879" s="77">
        <v>0.54166666666666663</v>
      </c>
      <c r="P1879">
        <v>39.200000000000003</v>
      </c>
      <c r="S1879" s="74">
        <v>38065</v>
      </c>
      <c r="T1879" s="77">
        <v>0.54166666666666663</v>
      </c>
      <c r="V1879">
        <v>37.94</v>
      </c>
      <c r="X1879" s="42"/>
      <c r="AB1879">
        <v>45.3</v>
      </c>
      <c r="AC1879">
        <v>46.04</v>
      </c>
      <c r="AE1879" s="74"/>
      <c r="AF1879" s="77"/>
      <c r="AH1879" s="497">
        <v>42.8</v>
      </c>
      <c r="AJ1879" s="42"/>
      <c r="AK1879" s="74"/>
      <c r="AL1879" s="77"/>
      <c r="AN1879" s="497">
        <v>32</v>
      </c>
      <c r="AP1879" s="42"/>
      <c r="AQ1879" s="74"/>
      <c r="AR1879" s="77"/>
      <c r="AT1879" s="497">
        <v>48.92</v>
      </c>
      <c r="AV1879" s="42"/>
      <c r="AW1879" s="74"/>
      <c r="AX1879" s="77"/>
      <c r="BA1879" s="497">
        <v>41</v>
      </c>
      <c r="BB1879" s="42"/>
      <c r="BC1879" s="74"/>
      <c r="BD1879" s="77"/>
      <c r="BF1879">
        <v>35.96</v>
      </c>
      <c r="BH1879" s="42"/>
      <c r="BI1879" s="74"/>
      <c r="BJ1879" s="77"/>
      <c r="BL1879" s="497">
        <v>60.08</v>
      </c>
      <c r="BN1879" s="42"/>
      <c r="BO1879" s="74"/>
      <c r="BP1879" s="77"/>
      <c r="BR1879" s="497">
        <v>41</v>
      </c>
      <c r="BT1879" s="42"/>
    </row>
    <row r="1880" spans="1:72" x14ac:dyDescent="0.25">
      <c r="A1880" s="90">
        <v>38065</v>
      </c>
      <c r="B1880" s="20">
        <v>0.58333333333333337</v>
      </c>
      <c r="D1880">
        <v>48.92</v>
      </c>
      <c r="E1880" t="str">
        <f t="shared" si="94"/>
        <v>WEEKDAY</v>
      </c>
      <c r="F1880" t="e">
        <f t="shared" si="93"/>
        <v>#N/A</v>
      </c>
      <c r="G1880" s="74">
        <v>32951</v>
      </c>
      <c r="H1880" s="77">
        <v>0.58333333333333337</v>
      </c>
      <c r="J1880">
        <v>53.96</v>
      </c>
      <c r="M1880" s="74">
        <v>36604</v>
      </c>
      <c r="N1880" s="77">
        <v>0.58333333333333337</v>
      </c>
      <c r="P1880">
        <v>41</v>
      </c>
      <c r="S1880" s="74">
        <v>38065</v>
      </c>
      <c r="T1880" s="77">
        <v>0.58333333333333337</v>
      </c>
      <c r="V1880">
        <v>37.94</v>
      </c>
      <c r="X1880" s="42"/>
      <c r="AB1880">
        <v>46.1</v>
      </c>
      <c r="AC1880">
        <v>48.019999999999996</v>
      </c>
      <c r="AE1880" s="74"/>
      <c r="AF1880" s="77"/>
      <c r="AH1880" s="497">
        <v>44.6</v>
      </c>
      <c r="AJ1880" s="42"/>
      <c r="AK1880" s="74"/>
      <c r="AL1880" s="77"/>
      <c r="AN1880" s="497">
        <v>33.08</v>
      </c>
      <c r="AP1880" s="42"/>
      <c r="AQ1880" s="74"/>
      <c r="AR1880" s="77"/>
      <c r="AT1880" s="497">
        <v>51.26</v>
      </c>
      <c r="AV1880" s="42"/>
      <c r="AW1880" s="74"/>
      <c r="AX1880" s="77"/>
      <c r="BA1880" s="497">
        <v>42.08</v>
      </c>
      <c r="BB1880" s="42"/>
      <c r="BC1880" s="74"/>
      <c r="BD1880" s="77"/>
      <c r="BF1880">
        <v>37.04</v>
      </c>
      <c r="BH1880" s="42"/>
      <c r="BI1880" s="74"/>
      <c r="BJ1880" s="77"/>
      <c r="BL1880" s="497">
        <v>57.019999999999996</v>
      </c>
      <c r="BN1880" s="42"/>
      <c r="BO1880" s="74"/>
      <c r="BP1880" s="77"/>
      <c r="BR1880" s="497">
        <v>42.08</v>
      </c>
      <c r="BT1880" s="42"/>
    </row>
    <row r="1881" spans="1:72" x14ac:dyDescent="0.25">
      <c r="A1881" s="90">
        <v>38065</v>
      </c>
      <c r="B1881" s="20">
        <v>0.625</v>
      </c>
      <c r="D1881">
        <v>50</v>
      </c>
      <c r="E1881" t="str">
        <f t="shared" si="94"/>
        <v>WEEKDAY</v>
      </c>
      <c r="F1881" t="e">
        <f t="shared" si="93"/>
        <v>#N/A</v>
      </c>
      <c r="G1881" s="74">
        <v>32951</v>
      </c>
      <c r="H1881" s="77">
        <v>0.625</v>
      </c>
      <c r="J1881">
        <v>51.980000000000004</v>
      </c>
      <c r="M1881" s="74">
        <v>36604</v>
      </c>
      <c r="N1881" s="77">
        <v>0.625</v>
      </c>
      <c r="P1881">
        <v>41</v>
      </c>
      <c r="S1881" s="74">
        <v>38065</v>
      </c>
      <c r="T1881" s="77">
        <v>0.625</v>
      </c>
      <c r="V1881">
        <v>39.92</v>
      </c>
      <c r="X1881" s="42"/>
      <c r="AB1881">
        <v>46.4</v>
      </c>
      <c r="AC1881">
        <v>51.980000000000004</v>
      </c>
      <c r="AE1881" s="74"/>
      <c r="AF1881" s="77"/>
      <c r="AH1881" s="497">
        <v>46.4</v>
      </c>
      <c r="AJ1881" s="42"/>
      <c r="AK1881" s="74"/>
      <c r="AL1881" s="77"/>
      <c r="AN1881" s="497">
        <v>33.08</v>
      </c>
      <c r="AP1881" s="42"/>
      <c r="AQ1881" s="74"/>
      <c r="AR1881" s="77"/>
      <c r="AT1881" s="497">
        <v>53.6</v>
      </c>
      <c r="AV1881" s="42"/>
      <c r="AW1881" s="74"/>
      <c r="AX1881" s="77"/>
      <c r="BA1881" s="497">
        <v>42.980000000000004</v>
      </c>
      <c r="BB1881" s="42"/>
      <c r="BC1881" s="74"/>
      <c r="BD1881" s="77"/>
      <c r="BF1881">
        <v>37.04</v>
      </c>
      <c r="BH1881" s="42"/>
      <c r="BI1881" s="74"/>
      <c r="BJ1881" s="77"/>
      <c r="BL1881" s="497">
        <v>55.94</v>
      </c>
      <c r="BN1881" s="42"/>
      <c r="BO1881" s="74"/>
      <c r="BP1881" s="77"/>
      <c r="BR1881" s="497">
        <v>42.980000000000004</v>
      </c>
      <c r="BT1881" s="42"/>
    </row>
    <row r="1882" spans="1:72" x14ac:dyDescent="0.25">
      <c r="A1882" s="90">
        <v>38065</v>
      </c>
      <c r="B1882" s="20">
        <v>0.66666666666666663</v>
      </c>
      <c r="D1882">
        <v>48.92</v>
      </c>
      <c r="E1882" t="str">
        <f t="shared" si="94"/>
        <v>WEEKDAY</v>
      </c>
      <c r="F1882" t="e">
        <f t="shared" si="93"/>
        <v>#N/A</v>
      </c>
      <c r="G1882" s="74">
        <v>32951</v>
      </c>
      <c r="H1882" s="77">
        <v>0.66666666666666663</v>
      </c>
      <c r="J1882">
        <v>51.08</v>
      </c>
      <c r="M1882" s="74">
        <v>36604</v>
      </c>
      <c r="N1882" s="77">
        <v>0.66666666666666663</v>
      </c>
      <c r="P1882">
        <v>41</v>
      </c>
      <c r="S1882" s="74">
        <v>38065</v>
      </c>
      <c r="T1882" s="77">
        <v>0.66666666666666663</v>
      </c>
      <c r="V1882">
        <v>39.019999999999996</v>
      </c>
      <c r="X1882" s="42"/>
      <c r="AB1882">
        <v>46.4</v>
      </c>
      <c r="AC1882">
        <v>53.96</v>
      </c>
      <c r="AE1882" s="74"/>
      <c r="AF1882" s="77"/>
      <c r="AH1882" s="497">
        <v>44.6</v>
      </c>
      <c r="AJ1882" s="42"/>
      <c r="AK1882" s="74"/>
      <c r="AL1882" s="77"/>
      <c r="AN1882" s="497">
        <v>33.979999999999997</v>
      </c>
      <c r="AP1882" s="42"/>
      <c r="AQ1882" s="74"/>
      <c r="AR1882" s="77"/>
      <c r="AT1882" s="497">
        <v>55.94</v>
      </c>
      <c r="AV1882" s="42"/>
      <c r="AW1882" s="74"/>
      <c r="AX1882" s="77"/>
      <c r="BA1882" s="497">
        <v>42.08</v>
      </c>
      <c r="BB1882" s="42"/>
      <c r="BC1882" s="74"/>
      <c r="BD1882" s="77"/>
      <c r="BF1882">
        <v>37.04</v>
      </c>
      <c r="BH1882" s="42"/>
      <c r="BI1882" s="74"/>
      <c r="BJ1882" s="77"/>
      <c r="BL1882" s="497">
        <v>51.08</v>
      </c>
      <c r="BN1882" s="42"/>
      <c r="BO1882" s="74"/>
      <c r="BP1882" s="77"/>
      <c r="BR1882" s="497">
        <v>42.980000000000004</v>
      </c>
      <c r="BT1882" s="42"/>
    </row>
    <row r="1883" spans="1:72" x14ac:dyDescent="0.25">
      <c r="A1883" s="90">
        <v>38065</v>
      </c>
      <c r="B1883" s="20">
        <v>0.70833333333333337</v>
      </c>
      <c r="D1883">
        <v>46.94</v>
      </c>
      <c r="E1883" t="str">
        <f t="shared" si="94"/>
        <v>WEEKDAY</v>
      </c>
      <c r="F1883" t="e">
        <f t="shared" si="93"/>
        <v>#N/A</v>
      </c>
      <c r="G1883" s="74">
        <v>32951</v>
      </c>
      <c r="H1883" s="77">
        <v>0.70833333333333337</v>
      </c>
      <c r="J1883">
        <v>51.08</v>
      </c>
      <c r="M1883" s="74">
        <v>36604</v>
      </c>
      <c r="N1883" s="77">
        <v>0.70833333333333337</v>
      </c>
      <c r="P1883">
        <v>39.200000000000003</v>
      </c>
      <c r="S1883" s="74">
        <v>38065</v>
      </c>
      <c r="T1883" s="77">
        <v>0.70833333333333337</v>
      </c>
      <c r="V1883">
        <v>39.92</v>
      </c>
      <c r="X1883" s="42"/>
      <c r="AB1883">
        <v>45.9</v>
      </c>
      <c r="AC1883">
        <v>53.96</v>
      </c>
      <c r="AE1883" s="74"/>
      <c r="AF1883" s="77"/>
      <c r="AH1883" s="497">
        <v>44.6</v>
      </c>
      <c r="AJ1883" s="42"/>
      <c r="AK1883" s="74"/>
      <c r="AL1883" s="77"/>
      <c r="AN1883" s="497">
        <v>33.08</v>
      </c>
      <c r="AP1883" s="42"/>
      <c r="AQ1883" s="74"/>
      <c r="AR1883" s="77"/>
      <c r="AT1883" s="497">
        <v>53.96</v>
      </c>
      <c r="AV1883" s="42"/>
      <c r="AW1883" s="74"/>
      <c r="AX1883" s="77"/>
      <c r="BA1883" s="497">
        <v>41</v>
      </c>
      <c r="BB1883" s="42"/>
      <c r="BC1883" s="74"/>
      <c r="BD1883" s="77"/>
      <c r="BF1883">
        <v>33.979999999999997</v>
      </c>
      <c r="BH1883" s="42"/>
      <c r="BI1883" s="74"/>
      <c r="BJ1883" s="77"/>
      <c r="BL1883" s="497">
        <v>48.019999999999996</v>
      </c>
      <c r="BN1883" s="42"/>
      <c r="BO1883" s="74"/>
      <c r="BP1883" s="77"/>
      <c r="BR1883" s="497">
        <v>42.980000000000004</v>
      </c>
      <c r="BT1883" s="42"/>
    </row>
    <row r="1884" spans="1:72" x14ac:dyDescent="0.25">
      <c r="A1884" s="90">
        <v>38065</v>
      </c>
      <c r="B1884" s="20">
        <v>0.75</v>
      </c>
      <c r="D1884">
        <v>44.96</v>
      </c>
      <c r="E1884" t="str">
        <f t="shared" si="94"/>
        <v>WEEKDAY</v>
      </c>
      <c r="F1884" t="e">
        <f t="shared" si="93"/>
        <v>#N/A</v>
      </c>
      <c r="G1884" s="74">
        <v>32951</v>
      </c>
      <c r="H1884" s="77">
        <v>0.75</v>
      </c>
      <c r="J1884">
        <v>51.08</v>
      </c>
      <c r="M1884" s="74">
        <v>36604</v>
      </c>
      <c r="N1884" s="77">
        <v>0.75</v>
      </c>
      <c r="P1884">
        <v>37.4</v>
      </c>
      <c r="S1884" s="74">
        <v>38065</v>
      </c>
      <c r="T1884" s="77">
        <v>0.75</v>
      </c>
      <c r="V1884">
        <v>39.92</v>
      </c>
      <c r="X1884" s="42"/>
      <c r="AB1884">
        <v>44.9</v>
      </c>
      <c r="AC1884">
        <v>51.980000000000004</v>
      </c>
      <c r="AE1884" s="74"/>
      <c r="AF1884" s="77"/>
      <c r="AH1884" s="497">
        <v>41</v>
      </c>
      <c r="AJ1884" s="42"/>
      <c r="AK1884" s="74"/>
      <c r="AL1884" s="77"/>
      <c r="AN1884" s="497">
        <v>33.979999999999997</v>
      </c>
      <c r="AP1884" s="42"/>
      <c r="AQ1884" s="74"/>
      <c r="AR1884" s="77"/>
      <c r="AT1884" s="497">
        <v>51.980000000000004</v>
      </c>
      <c r="AV1884" s="42"/>
      <c r="AW1884" s="74"/>
      <c r="AX1884" s="77"/>
      <c r="BA1884" s="497">
        <v>39.92</v>
      </c>
      <c r="BB1884" s="42"/>
      <c r="BC1884" s="74"/>
      <c r="BD1884" s="77"/>
      <c r="BF1884">
        <v>33.08</v>
      </c>
      <c r="BH1884" s="42"/>
      <c r="BI1884" s="74"/>
      <c r="BJ1884" s="77"/>
      <c r="BL1884" s="497">
        <v>44.96</v>
      </c>
      <c r="BN1884" s="42"/>
      <c r="BO1884" s="74"/>
      <c r="BP1884" s="77"/>
      <c r="BR1884" s="497">
        <v>39.92</v>
      </c>
      <c r="BT1884" s="42"/>
    </row>
    <row r="1885" spans="1:72" x14ac:dyDescent="0.25">
      <c r="A1885" s="90">
        <v>38065</v>
      </c>
      <c r="B1885" s="20">
        <v>0.79166666666666663</v>
      </c>
      <c r="D1885">
        <v>42.980000000000004</v>
      </c>
      <c r="E1885" t="str">
        <f t="shared" si="94"/>
        <v>WEEKDAY</v>
      </c>
      <c r="F1885" t="e">
        <f t="shared" si="93"/>
        <v>#N/A</v>
      </c>
      <c r="G1885" s="74">
        <v>32951</v>
      </c>
      <c r="H1885" s="77">
        <v>0.79166666666666663</v>
      </c>
      <c r="J1885">
        <v>51.08</v>
      </c>
      <c r="M1885" s="74">
        <v>36604</v>
      </c>
      <c r="N1885" s="77">
        <v>0.79166666666666663</v>
      </c>
      <c r="P1885">
        <v>37.4</v>
      </c>
      <c r="S1885" s="74">
        <v>38065</v>
      </c>
      <c r="T1885" s="77">
        <v>0.79166666666666663</v>
      </c>
      <c r="V1885">
        <v>39.92</v>
      </c>
      <c r="X1885" s="42"/>
      <c r="AB1885">
        <v>43.5</v>
      </c>
      <c r="AC1885">
        <v>50</v>
      </c>
      <c r="AE1885" s="74"/>
      <c r="AF1885" s="77"/>
      <c r="AH1885" s="497">
        <v>39.200000000000003</v>
      </c>
      <c r="AJ1885" s="42"/>
      <c r="AK1885" s="74"/>
      <c r="AL1885" s="77"/>
      <c r="AN1885" s="497">
        <v>32</v>
      </c>
      <c r="AP1885" s="42"/>
      <c r="AQ1885" s="74"/>
      <c r="AR1885" s="77"/>
      <c r="AT1885" s="497">
        <v>50</v>
      </c>
      <c r="AV1885" s="42"/>
      <c r="AW1885" s="74"/>
      <c r="AX1885" s="77"/>
      <c r="BA1885" s="497">
        <v>39.92</v>
      </c>
      <c r="BB1885" s="42"/>
      <c r="BC1885" s="74"/>
      <c r="BD1885" s="77"/>
      <c r="BF1885">
        <v>32</v>
      </c>
      <c r="BH1885" s="42"/>
      <c r="BI1885" s="74"/>
      <c r="BJ1885" s="77"/>
      <c r="BL1885" s="497">
        <v>35.96</v>
      </c>
      <c r="BN1885" s="42"/>
      <c r="BO1885" s="74"/>
      <c r="BP1885" s="77"/>
      <c r="BR1885" s="497">
        <v>39.019999999999996</v>
      </c>
      <c r="BT1885" s="42"/>
    </row>
    <row r="1886" spans="1:72" x14ac:dyDescent="0.25">
      <c r="A1886" s="90">
        <v>38065</v>
      </c>
      <c r="B1886" s="20">
        <v>0.83333333333333337</v>
      </c>
      <c r="D1886">
        <v>42.980000000000004</v>
      </c>
      <c r="E1886" t="str">
        <f t="shared" si="94"/>
        <v>WEEKDAY</v>
      </c>
      <c r="F1886" t="e">
        <f t="shared" si="93"/>
        <v>#N/A</v>
      </c>
      <c r="G1886" s="74">
        <v>32951</v>
      </c>
      <c r="H1886" s="77">
        <v>0.83333333333333337</v>
      </c>
      <c r="J1886">
        <v>51.980000000000004</v>
      </c>
      <c r="M1886" s="74">
        <v>36604</v>
      </c>
      <c r="N1886" s="77">
        <v>0.83333333333333337</v>
      </c>
      <c r="P1886">
        <v>35.6</v>
      </c>
      <c r="S1886" s="74">
        <v>38065</v>
      </c>
      <c r="T1886" s="77">
        <v>0.83333333333333337</v>
      </c>
      <c r="V1886">
        <v>39.019999999999996</v>
      </c>
      <c r="X1886" s="42"/>
      <c r="AB1886">
        <v>42.6</v>
      </c>
      <c r="AC1886">
        <v>48.019999999999996</v>
      </c>
      <c r="AE1886" s="74"/>
      <c r="AF1886" s="77"/>
      <c r="AH1886" s="497">
        <v>37.4</v>
      </c>
      <c r="AJ1886" s="42"/>
      <c r="AK1886" s="74"/>
      <c r="AL1886" s="77"/>
      <c r="AN1886" s="497">
        <v>32</v>
      </c>
      <c r="AP1886" s="42"/>
      <c r="AQ1886" s="74"/>
      <c r="AR1886" s="77"/>
      <c r="AT1886" s="497">
        <v>46.94</v>
      </c>
      <c r="AV1886" s="42"/>
      <c r="AW1886" s="74"/>
      <c r="AX1886" s="77"/>
      <c r="BA1886" s="497">
        <v>39.019999999999996</v>
      </c>
      <c r="BB1886" s="42"/>
      <c r="BC1886" s="74"/>
      <c r="BD1886" s="77"/>
      <c r="BF1886">
        <v>30.02</v>
      </c>
      <c r="BH1886" s="42"/>
      <c r="BI1886" s="74"/>
      <c r="BJ1886" s="77"/>
      <c r="BL1886" s="497">
        <v>32</v>
      </c>
      <c r="BN1886" s="42"/>
      <c r="BO1886" s="74"/>
      <c r="BP1886" s="77"/>
      <c r="BR1886" s="497">
        <v>39.019999999999996</v>
      </c>
      <c r="BT1886" s="42"/>
    </row>
    <row r="1887" spans="1:72" x14ac:dyDescent="0.25">
      <c r="A1887" s="90">
        <v>38065</v>
      </c>
      <c r="B1887" s="20">
        <v>0.875</v>
      </c>
      <c r="D1887">
        <v>42.08</v>
      </c>
      <c r="E1887" t="str">
        <f t="shared" si="94"/>
        <v>WEEKDAY</v>
      </c>
      <c r="F1887" t="e">
        <f t="shared" si="93"/>
        <v>#N/A</v>
      </c>
      <c r="G1887" s="74">
        <v>32951</v>
      </c>
      <c r="H1887" s="77">
        <v>0.875</v>
      </c>
      <c r="J1887">
        <v>46.04</v>
      </c>
      <c r="M1887" s="74">
        <v>36604</v>
      </c>
      <c r="N1887" s="77">
        <v>0.875</v>
      </c>
      <c r="P1887">
        <v>33.799999999999997</v>
      </c>
      <c r="S1887" s="74">
        <v>38065</v>
      </c>
      <c r="T1887" s="77">
        <v>0.875</v>
      </c>
      <c r="V1887">
        <v>37.94</v>
      </c>
      <c r="X1887" s="42"/>
      <c r="AB1887">
        <v>42</v>
      </c>
      <c r="AC1887">
        <v>46.94</v>
      </c>
      <c r="AE1887" s="74"/>
      <c r="AF1887" s="77"/>
      <c r="AH1887" s="497">
        <v>33.619999999999997</v>
      </c>
      <c r="AJ1887" s="42"/>
      <c r="AK1887" s="74"/>
      <c r="AL1887" s="77"/>
      <c r="AN1887" s="497">
        <v>30.92</v>
      </c>
      <c r="AP1887" s="42"/>
      <c r="AQ1887" s="74"/>
      <c r="AR1887" s="77"/>
      <c r="AT1887" s="497">
        <v>44.06</v>
      </c>
      <c r="AV1887" s="42"/>
      <c r="AW1887" s="74"/>
      <c r="AX1887" s="77"/>
      <c r="BA1887" s="497">
        <v>39.019999999999996</v>
      </c>
      <c r="BB1887" s="42"/>
      <c r="BC1887" s="74"/>
      <c r="BD1887" s="77"/>
      <c r="BF1887">
        <v>30.02</v>
      </c>
      <c r="BH1887" s="42"/>
      <c r="BI1887" s="74"/>
      <c r="BJ1887" s="77"/>
      <c r="BL1887" s="497">
        <v>30.02</v>
      </c>
      <c r="BN1887" s="42"/>
      <c r="BO1887" s="74"/>
      <c r="BP1887" s="77"/>
      <c r="BR1887" s="497">
        <v>39.92</v>
      </c>
      <c r="BT1887" s="42"/>
    </row>
    <row r="1888" spans="1:72" x14ac:dyDescent="0.25">
      <c r="A1888" s="90">
        <v>38065</v>
      </c>
      <c r="B1888" s="20">
        <v>0.91666666666666663</v>
      </c>
      <c r="D1888">
        <v>42.980000000000004</v>
      </c>
      <c r="E1888" t="str">
        <f t="shared" si="94"/>
        <v>WEEKDAY</v>
      </c>
      <c r="F1888" t="e">
        <f t="shared" si="93"/>
        <v>#N/A</v>
      </c>
      <c r="G1888" s="74">
        <v>32951</v>
      </c>
      <c r="H1888" s="77">
        <v>0.91666666666666663</v>
      </c>
      <c r="J1888">
        <v>44.96</v>
      </c>
      <c r="M1888" s="74">
        <v>36604</v>
      </c>
      <c r="N1888" s="77">
        <v>0.91666666666666663</v>
      </c>
      <c r="P1888">
        <v>33.799999999999997</v>
      </c>
      <c r="S1888" s="74">
        <v>38065</v>
      </c>
      <c r="T1888" s="77">
        <v>0.91666666666666663</v>
      </c>
      <c r="V1888">
        <v>37.04</v>
      </c>
      <c r="X1888" s="42"/>
      <c r="AB1888">
        <v>41.4</v>
      </c>
      <c r="AC1888">
        <v>46.04</v>
      </c>
      <c r="AE1888" s="74"/>
      <c r="AF1888" s="77"/>
      <c r="AH1888" s="497">
        <v>30.2</v>
      </c>
      <c r="AJ1888" s="42"/>
      <c r="AK1888" s="74"/>
      <c r="AL1888" s="77"/>
      <c r="AN1888" s="497">
        <v>30.92</v>
      </c>
      <c r="AP1888" s="42"/>
      <c r="AQ1888" s="74"/>
      <c r="AR1888" s="77"/>
      <c r="AT1888" s="497">
        <v>41</v>
      </c>
      <c r="AV1888" s="42"/>
      <c r="AW1888" s="74"/>
      <c r="AX1888" s="77"/>
      <c r="BA1888" s="497">
        <v>37.94</v>
      </c>
      <c r="BB1888" s="42"/>
      <c r="BC1888" s="74"/>
      <c r="BD1888" s="77"/>
      <c r="BF1888">
        <v>28.94</v>
      </c>
      <c r="BH1888" s="42"/>
      <c r="BI1888" s="74"/>
      <c r="BJ1888" s="77"/>
      <c r="BL1888" s="497">
        <v>28.94</v>
      </c>
      <c r="BN1888" s="42"/>
      <c r="BO1888" s="74"/>
      <c r="BP1888" s="77"/>
      <c r="BR1888" s="497">
        <v>39.019999999999996</v>
      </c>
      <c r="BT1888" s="42"/>
    </row>
    <row r="1889" spans="1:72" x14ac:dyDescent="0.25">
      <c r="A1889" s="90">
        <v>38065</v>
      </c>
      <c r="B1889" s="20">
        <v>0.95833333333333337</v>
      </c>
      <c r="D1889">
        <v>42.980000000000004</v>
      </c>
      <c r="E1889" t="str">
        <f t="shared" si="94"/>
        <v>WEEKDAY</v>
      </c>
      <c r="F1889" t="e">
        <f t="shared" si="93"/>
        <v>#N/A</v>
      </c>
      <c r="G1889" s="74">
        <v>32951</v>
      </c>
      <c r="H1889" s="77">
        <v>0.95833333333333337</v>
      </c>
      <c r="J1889">
        <v>44.06</v>
      </c>
      <c r="M1889" s="74">
        <v>36604</v>
      </c>
      <c r="N1889" s="77">
        <v>0.95833333333333337</v>
      </c>
      <c r="P1889">
        <v>32</v>
      </c>
      <c r="S1889" s="74">
        <v>38065</v>
      </c>
      <c r="T1889" s="77">
        <v>0.95833333333333337</v>
      </c>
      <c r="V1889">
        <v>35.96</v>
      </c>
      <c r="X1889" s="42"/>
      <c r="AB1889">
        <v>40.799999999999997</v>
      </c>
      <c r="AC1889">
        <v>44.06</v>
      </c>
      <c r="AE1889" s="74"/>
      <c r="AF1889" s="77"/>
      <c r="AH1889" s="497">
        <v>28.4</v>
      </c>
      <c r="AJ1889" s="42"/>
      <c r="AK1889" s="74"/>
      <c r="AL1889" s="77"/>
      <c r="AN1889" s="497">
        <v>30.02</v>
      </c>
      <c r="AP1889" s="42"/>
      <c r="AQ1889" s="74"/>
      <c r="AR1889" s="77"/>
      <c r="AT1889" s="497">
        <v>40.28</v>
      </c>
      <c r="AV1889" s="42"/>
      <c r="AW1889" s="74"/>
      <c r="AX1889" s="77"/>
      <c r="BA1889" s="497">
        <v>37.94</v>
      </c>
      <c r="BB1889" s="42"/>
      <c r="BC1889" s="74"/>
      <c r="BD1889" s="77"/>
      <c r="BF1889">
        <v>28.94</v>
      </c>
      <c r="BH1889" s="42"/>
      <c r="BI1889" s="74"/>
      <c r="BJ1889" s="77"/>
      <c r="BL1889" s="497">
        <v>24.08</v>
      </c>
      <c r="BN1889" s="42"/>
      <c r="BO1889" s="74"/>
      <c r="BP1889" s="77"/>
      <c r="BR1889" s="497">
        <v>39.019999999999996</v>
      </c>
      <c r="BT1889" s="42"/>
    </row>
    <row r="1890" spans="1:72" x14ac:dyDescent="0.25">
      <c r="A1890" s="90">
        <v>38065</v>
      </c>
      <c r="B1890" s="20">
        <v>1</v>
      </c>
      <c r="D1890">
        <v>42.08</v>
      </c>
      <c r="E1890" t="str">
        <f t="shared" si="94"/>
        <v>WEEKDAY</v>
      </c>
      <c r="F1890" t="e">
        <f t="shared" si="93"/>
        <v>#N/A</v>
      </c>
      <c r="G1890" s="74">
        <v>32951</v>
      </c>
      <c r="H1890" s="77">
        <v>1</v>
      </c>
      <c r="J1890">
        <v>44.06</v>
      </c>
      <c r="M1890" s="74">
        <v>36604</v>
      </c>
      <c r="N1890" s="80">
        <v>1</v>
      </c>
      <c r="P1890">
        <v>30.2</v>
      </c>
      <c r="S1890" s="74">
        <v>38065</v>
      </c>
      <c r="T1890" s="80">
        <v>1</v>
      </c>
      <c r="V1890">
        <v>35.06</v>
      </c>
      <c r="X1890" s="42"/>
      <c r="AB1890">
        <v>40.1</v>
      </c>
      <c r="AC1890">
        <v>44.06</v>
      </c>
      <c r="AE1890" s="74"/>
      <c r="AF1890" s="80"/>
      <c r="AH1890" s="497">
        <v>28.4</v>
      </c>
      <c r="AJ1890" s="42"/>
      <c r="AK1890" s="74"/>
      <c r="AL1890" s="80"/>
      <c r="AN1890" s="497">
        <v>30.02</v>
      </c>
      <c r="AP1890" s="42"/>
      <c r="AQ1890" s="74"/>
      <c r="AR1890" s="80"/>
      <c r="AT1890" s="497">
        <v>39.74</v>
      </c>
      <c r="AV1890" s="42"/>
      <c r="AW1890" s="74"/>
      <c r="AX1890" s="80"/>
      <c r="BA1890" s="497">
        <v>37.94</v>
      </c>
      <c r="BB1890" s="42"/>
      <c r="BC1890" s="74"/>
      <c r="BD1890" s="80"/>
      <c r="BF1890">
        <v>28.04</v>
      </c>
      <c r="BH1890" s="42"/>
      <c r="BI1890" s="74"/>
      <c r="BJ1890" s="80"/>
      <c r="BL1890" s="497">
        <v>21.92</v>
      </c>
      <c r="BN1890" s="42"/>
      <c r="BO1890" s="74"/>
      <c r="BP1890" s="80"/>
      <c r="BR1890" s="497">
        <v>37.94</v>
      </c>
      <c r="BT1890" s="42"/>
    </row>
    <row r="1891" spans="1:72" x14ac:dyDescent="0.25">
      <c r="A1891" s="90">
        <v>38066</v>
      </c>
      <c r="B1891" s="20">
        <v>4.1666666666666664E-2</v>
      </c>
      <c r="D1891">
        <v>42.08</v>
      </c>
      <c r="E1891" t="str">
        <f t="shared" si="94"/>
        <v>SATURDAY</v>
      </c>
      <c r="F1891" t="e">
        <f t="shared" si="93"/>
        <v>#N/A</v>
      </c>
      <c r="G1891" s="74">
        <v>32952</v>
      </c>
      <c r="H1891" s="77">
        <v>4.1666666666666664E-2</v>
      </c>
      <c r="J1891">
        <v>44.06</v>
      </c>
      <c r="M1891" s="74">
        <v>36605</v>
      </c>
      <c r="N1891" s="77">
        <v>4.1666666666666664E-2</v>
      </c>
      <c r="P1891">
        <v>30.2</v>
      </c>
      <c r="S1891" s="74">
        <v>38066</v>
      </c>
      <c r="T1891" s="77">
        <v>4.1666666666666664E-2</v>
      </c>
      <c r="V1891">
        <v>32</v>
      </c>
      <c r="X1891" s="42"/>
      <c r="AB1891">
        <v>39.5</v>
      </c>
      <c r="AC1891">
        <v>42.980000000000004</v>
      </c>
      <c r="AE1891" s="74"/>
      <c r="AF1891" s="77"/>
      <c r="AH1891" s="497">
        <v>28.4</v>
      </c>
      <c r="AJ1891" s="42"/>
      <c r="AK1891" s="74"/>
      <c r="AL1891" s="77"/>
      <c r="AN1891" s="497">
        <v>32</v>
      </c>
      <c r="AP1891" s="42"/>
      <c r="AQ1891" s="74"/>
      <c r="AR1891" s="77"/>
      <c r="AT1891" s="497">
        <v>39.019999999999996</v>
      </c>
      <c r="AV1891" s="42"/>
      <c r="AW1891" s="74"/>
      <c r="AX1891" s="77"/>
      <c r="BA1891" s="497">
        <v>37.94</v>
      </c>
      <c r="BB1891" s="42"/>
      <c r="BC1891" s="74"/>
      <c r="BD1891" s="77"/>
      <c r="BF1891">
        <v>28.04</v>
      </c>
      <c r="BH1891" s="42"/>
      <c r="BI1891" s="74"/>
      <c r="BJ1891" s="77"/>
      <c r="BL1891" s="497">
        <v>21.92</v>
      </c>
      <c r="BN1891" s="42"/>
      <c r="BO1891" s="74"/>
      <c r="BP1891" s="77"/>
      <c r="BR1891" s="497">
        <v>37.94</v>
      </c>
      <c r="BT1891" s="42"/>
    </row>
    <row r="1892" spans="1:72" x14ac:dyDescent="0.25">
      <c r="A1892" s="90">
        <v>38066</v>
      </c>
      <c r="B1892" s="20">
        <v>8.3333333333333329E-2</v>
      </c>
      <c r="D1892">
        <v>41</v>
      </c>
      <c r="E1892" t="str">
        <f t="shared" si="94"/>
        <v>SATURDAY</v>
      </c>
      <c r="F1892" t="e">
        <f t="shared" si="93"/>
        <v>#N/A</v>
      </c>
      <c r="G1892" s="74">
        <v>32952</v>
      </c>
      <c r="H1892" s="77">
        <v>8.3333333333333329E-2</v>
      </c>
      <c r="J1892">
        <v>44.96</v>
      </c>
      <c r="M1892" s="74">
        <v>36605</v>
      </c>
      <c r="N1892" s="77">
        <v>8.3333333333333329E-2</v>
      </c>
      <c r="P1892">
        <v>32</v>
      </c>
      <c r="S1892" s="74">
        <v>38066</v>
      </c>
      <c r="T1892" s="77">
        <v>8.3333333333333329E-2</v>
      </c>
      <c r="V1892">
        <v>30.92</v>
      </c>
      <c r="X1892" s="42"/>
      <c r="AB1892">
        <v>39</v>
      </c>
      <c r="AC1892">
        <v>42.08</v>
      </c>
      <c r="AE1892" s="74"/>
      <c r="AF1892" s="77"/>
      <c r="AH1892" s="497">
        <v>26.6</v>
      </c>
      <c r="AJ1892" s="42"/>
      <c r="AK1892" s="74"/>
      <c r="AL1892" s="77"/>
      <c r="AN1892" s="497">
        <v>33.08</v>
      </c>
      <c r="AP1892" s="42"/>
      <c r="AQ1892" s="74"/>
      <c r="AR1892" s="77"/>
      <c r="AT1892" s="497">
        <v>37.94</v>
      </c>
      <c r="AV1892" s="42"/>
      <c r="AW1892" s="74"/>
      <c r="AX1892" s="77"/>
      <c r="BA1892" s="497">
        <v>35.06</v>
      </c>
      <c r="BB1892" s="42"/>
      <c r="BC1892" s="74"/>
      <c r="BD1892" s="77"/>
      <c r="BF1892">
        <v>28.04</v>
      </c>
      <c r="BH1892" s="42"/>
      <c r="BI1892" s="74"/>
      <c r="BJ1892" s="77"/>
      <c r="BL1892" s="497">
        <v>19.939999999999998</v>
      </c>
      <c r="BN1892" s="42"/>
      <c r="BO1892" s="74"/>
      <c r="BP1892" s="77"/>
      <c r="BR1892" s="497">
        <v>37.04</v>
      </c>
      <c r="BT1892" s="42"/>
    </row>
    <row r="1893" spans="1:72" x14ac:dyDescent="0.25">
      <c r="A1893" s="90">
        <v>38066</v>
      </c>
      <c r="B1893" s="20">
        <v>0.125</v>
      </c>
      <c r="D1893">
        <v>41</v>
      </c>
      <c r="E1893" t="str">
        <f t="shared" si="94"/>
        <v>SATURDAY</v>
      </c>
      <c r="F1893" t="e">
        <f t="shared" si="93"/>
        <v>#N/A</v>
      </c>
      <c r="G1893" s="74">
        <v>32952</v>
      </c>
      <c r="H1893" s="77">
        <v>0.125</v>
      </c>
      <c r="J1893">
        <v>46.94</v>
      </c>
      <c r="M1893" s="74">
        <v>36605</v>
      </c>
      <c r="N1893" s="77">
        <v>0.125</v>
      </c>
      <c r="P1893">
        <v>32</v>
      </c>
      <c r="S1893" s="74">
        <v>38066</v>
      </c>
      <c r="T1893" s="77">
        <v>0.125</v>
      </c>
      <c r="V1893">
        <v>32</v>
      </c>
      <c r="X1893" s="42"/>
      <c r="AB1893">
        <v>38.299999999999997</v>
      </c>
      <c r="AC1893">
        <v>41</v>
      </c>
      <c r="AE1893" s="74"/>
      <c r="AF1893" s="77"/>
      <c r="AH1893" s="497">
        <v>26.6</v>
      </c>
      <c r="AJ1893" s="42"/>
      <c r="AK1893" s="74"/>
      <c r="AL1893" s="77"/>
      <c r="AN1893" s="497">
        <v>32</v>
      </c>
      <c r="AP1893" s="42"/>
      <c r="AQ1893" s="74"/>
      <c r="AR1893" s="77"/>
      <c r="AT1893" s="497">
        <v>37.04</v>
      </c>
      <c r="AV1893" s="42"/>
      <c r="AW1893" s="74"/>
      <c r="AX1893" s="77"/>
      <c r="BA1893" s="497">
        <v>33.979999999999997</v>
      </c>
      <c r="BB1893" s="42"/>
      <c r="BC1893" s="74"/>
      <c r="BD1893" s="77"/>
      <c r="BF1893">
        <v>28.04</v>
      </c>
      <c r="BH1893" s="42"/>
      <c r="BI1893" s="74"/>
      <c r="BJ1893" s="77"/>
      <c r="BL1893" s="497">
        <v>19.04</v>
      </c>
      <c r="BN1893" s="42"/>
      <c r="BO1893" s="74"/>
      <c r="BP1893" s="77"/>
      <c r="BR1893" s="497">
        <v>35.06</v>
      </c>
      <c r="BT1893" s="42"/>
    </row>
    <row r="1894" spans="1:72" x14ac:dyDescent="0.25">
      <c r="A1894" s="90">
        <v>38066</v>
      </c>
      <c r="B1894" s="20">
        <v>0.16666666666666666</v>
      </c>
      <c r="D1894">
        <v>39.92</v>
      </c>
      <c r="E1894" t="str">
        <f t="shared" si="94"/>
        <v>SATURDAY</v>
      </c>
      <c r="F1894" t="e">
        <f t="shared" si="93"/>
        <v>#N/A</v>
      </c>
      <c r="G1894" s="74">
        <v>32952</v>
      </c>
      <c r="H1894" s="77">
        <v>0.16666666666666666</v>
      </c>
      <c r="J1894">
        <v>44.96</v>
      </c>
      <c r="M1894" s="74">
        <v>36605</v>
      </c>
      <c r="N1894" s="77">
        <v>0.16666666666666666</v>
      </c>
      <c r="P1894">
        <v>30.2</v>
      </c>
      <c r="S1894" s="74">
        <v>38066</v>
      </c>
      <c r="T1894" s="77">
        <v>0.16666666666666666</v>
      </c>
      <c r="V1894">
        <v>30.92</v>
      </c>
      <c r="X1894" s="42"/>
      <c r="AB1894">
        <v>37.799999999999997</v>
      </c>
      <c r="AC1894">
        <v>41</v>
      </c>
      <c r="AE1894" s="74"/>
      <c r="AF1894" s="77"/>
      <c r="AH1894" s="497">
        <v>30.2</v>
      </c>
      <c r="AJ1894" s="42"/>
      <c r="AK1894" s="74"/>
      <c r="AL1894" s="77"/>
      <c r="AN1894" s="497">
        <v>32</v>
      </c>
      <c r="AP1894" s="42"/>
      <c r="AQ1894" s="74"/>
      <c r="AR1894" s="77"/>
      <c r="AT1894" s="497">
        <v>35.96</v>
      </c>
      <c r="AV1894" s="42"/>
      <c r="AW1894" s="74"/>
      <c r="AX1894" s="77"/>
      <c r="BA1894" s="497">
        <v>33.08</v>
      </c>
      <c r="BB1894" s="42"/>
      <c r="BC1894" s="74"/>
      <c r="BD1894" s="77"/>
      <c r="BF1894">
        <v>26.96</v>
      </c>
      <c r="BH1894" s="42"/>
      <c r="BI1894" s="74"/>
      <c r="BJ1894" s="77"/>
      <c r="BL1894" s="497">
        <v>19.04</v>
      </c>
      <c r="BN1894" s="42"/>
      <c r="BO1894" s="74"/>
      <c r="BP1894" s="77"/>
      <c r="BR1894" s="497">
        <v>33.979999999999997</v>
      </c>
      <c r="BT1894" s="42"/>
    </row>
    <row r="1895" spans="1:72" x14ac:dyDescent="0.25">
      <c r="A1895" s="90">
        <v>38066</v>
      </c>
      <c r="B1895" s="20">
        <v>0.20833333333333334</v>
      </c>
      <c r="D1895">
        <v>41</v>
      </c>
      <c r="E1895" t="str">
        <f t="shared" si="94"/>
        <v>SATURDAY</v>
      </c>
      <c r="F1895" t="e">
        <f t="shared" si="93"/>
        <v>#N/A</v>
      </c>
      <c r="G1895" s="74">
        <v>32952</v>
      </c>
      <c r="H1895" s="77">
        <v>0.20833333333333334</v>
      </c>
      <c r="J1895">
        <v>44.96</v>
      </c>
      <c r="M1895" s="74">
        <v>36605</v>
      </c>
      <c r="N1895" s="77">
        <v>0.20833333333333334</v>
      </c>
      <c r="P1895">
        <v>30.2</v>
      </c>
      <c r="S1895" s="74">
        <v>38066</v>
      </c>
      <c r="T1895" s="77">
        <v>0.20833333333333334</v>
      </c>
      <c r="V1895">
        <v>28.94</v>
      </c>
      <c r="X1895" s="42"/>
      <c r="AB1895">
        <v>37.4</v>
      </c>
      <c r="AC1895">
        <v>42.08</v>
      </c>
      <c r="AE1895" s="74"/>
      <c r="AF1895" s="77"/>
      <c r="AH1895" s="497">
        <v>30.2</v>
      </c>
      <c r="AJ1895" s="42"/>
      <c r="AK1895" s="74"/>
      <c r="AL1895" s="77"/>
      <c r="AN1895" s="497">
        <v>32</v>
      </c>
      <c r="AP1895" s="42"/>
      <c r="AQ1895" s="74"/>
      <c r="AR1895" s="77"/>
      <c r="AT1895" s="497">
        <v>36.68</v>
      </c>
      <c r="AV1895" s="42"/>
      <c r="AW1895" s="74"/>
      <c r="AX1895" s="77"/>
      <c r="BA1895" s="497">
        <v>32</v>
      </c>
      <c r="BB1895" s="42"/>
      <c r="BC1895" s="74"/>
      <c r="BD1895" s="77"/>
      <c r="BF1895">
        <v>26.96</v>
      </c>
      <c r="BH1895" s="42"/>
      <c r="BI1895" s="74"/>
      <c r="BJ1895" s="77"/>
      <c r="BL1895" s="497">
        <v>19.04</v>
      </c>
      <c r="BN1895" s="42"/>
      <c r="BO1895" s="74"/>
      <c r="BP1895" s="77"/>
      <c r="BR1895" s="497">
        <v>33.979999999999997</v>
      </c>
      <c r="BT1895" s="42"/>
    </row>
    <row r="1896" spans="1:72" x14ac:dyDescent="0.25">
      <c r="A1896" s="90">
        <v>38066</v>
      </c>
      <c r="B1896" s="20">
        <v>0.25</v>
      </c>
      <c r="D1896">
        <v>42.08</v>
      </c>
      <c r="E1896" t="str">
        <f t="shared" si="94"/>
        <v>SATURDAY</v>
      </c>
      <c r="F1896" t="e">
        <f t="shared" si="93"/>
        <v>#N/A</v>
      </c>
      <c r="G1896" s="74">
        <v>32952</v>
      </c>
      <c r="H1896" s="77">
        <v>0.25</v>
      </c>
      <c r="J1896">
        <v>46.94</v>
      </c>
      <c r="M1896" s="74">
        <v>36605</v>
      </c>
      <c r="N1896" s="77">
        <v>0.25</v>
      </c>
      <c r="P1896">
        <v>30.2</v>
      </c>
      <c r="S1896" s="74">
        <v>38066</v>
      </c>
      <c r="T1896" s="77">
        <v>0.25</v>
      </c>
      <c r="V1896">
        <v>30.92</v>
      </c>
      <c r="X1896" s="42"/>
      <c r="AB1896">
        <v>37.1</v>
      </c>
      <c r="AC1896">
        <v>39.92</v>
      </c>
      <c r="AE1896" s="74"/>
      <c r="AF1896" s="77"/>
      <c r="AH1896" s="497">
        <v>28.4</v>
      </c>
      <c r="AJ1896" s="42"/>
      <c r="AK1896" s="74"/>
      <c r="AL1896" s="77"/>
      <c r="AN1896" s="497">
        <v>30.92</v>
      </c>
      <c r="AP1896" s="42"/>
      <c r="AQ1896" s="74"/>
      <c r="AR1896" s="77"/>
      <c r="AT1896" s="497">
        <v>37.22</v>
      </c>
      <c r="AV1896" s="42"/>
      <c r="AW1896" s="74"/>
      <c r="AX1896" s="77"/>
      <c r="BA1896" s="497">
        <v>30.92</v>
      </c>
      <c r="BB1896" s="42"/>
      <c r="BC1896" s="74"/>
      <c r="BD1896" s="77"/>
      <c r="BF1896">
        <v>26.96</v>
      </c>
      <c r="BH1896" s="42"/>
      <c r="BI1896" s="74"/>
      <c r="BJ1896" s="77"/>
      <c r="BL1896" s="497">
        <v>17.96</v>
      </c>
      <c r="BN1896" s="42"/>
      <c r="BO1896" s="74"/>
      <c r="BP1896" s="77"/>
      <c r="BR1896" s="497">
        <v>33.08</v>
      </c>
      <c r="BT1896" s="42"/>
    </row>
    <row r="1897" spans="1:72" x14ac:dyDescent="0.25">
      <c r="A1897" s="90">
        <v>38066</v>
      </c>
      <c r="B1897" s="20">
        <v>0.29166666666666669</v>
      </c>
      <c r="D1897">
        <v>42.08</v>
      </c>
      <c r="E1897" t="str">
        <f t="shared" si="94"/>
        <v>SATURDAY</v>
      </c>
      <c r="F1897" t="e">
        <f t="shared" si="93"/>
        <v>#N/A</v>
      </c>
      <c r="G1897" s="74">
        <v>32952</v>
      </c>
      <c r="H1897" s="77">
        <v>0.29166666666666669</v>
      </c>
      <c r="J1897">
        <v>48.019999999999996</v>
      </c>
      <c r="M1897" s="74">
        <v>36605</v>
      </c>
      <c r="N1897" s="77">
        <v>0.29166666666666669</v>
      </c>
      <c r="P1897">
        <v>32</v>
      </c>
      <c r="S1897" s="74">
        <v>38066</v>
      </c>
      <c r="T1897" s="77">
        <v>0.29166666666666669</v>
      </c>
      <c r="V1897">
        <v>30.92</v>
      </c>
      <c r="X1897" s="42"/>
      <c r="AB1897">
        <v>37</v>
      </c>
      <c r="AC1897">
        <v>42.08</v>
      </c>
      <c r="AE1897" s="74"/>
      <c r="AF1897" s="77"/>
      <c r="AH1897" s="497">
        <v>30.2</v>
      </c>
      <c r="AJ1897" s="42"/>
      <c r="AK1897" s="74"/>
      <c r="AL1897" s="77"/>
      <c r="AN1897" s="497">
        <v>30.92</v>
      </c>
      <c r="AP1897" s="42"/>
      <c r="AQ1897" s="74"/>
      <c r="AR1897" s="77"/>
      <c r="AT1897" s="497">
        <v>37.94</v>
      </c>
      <c r="AV1897" s="42"/>
      <c r="AW1897" s="74"/>
      <c r="AX1897" s="77"/>
      <c r="BA1897" s="497">
        <v>30.02</v>
      </c>
      <c r="BB1897" s="42"/>
      <c r="BC1897" s="74"/>
      <c r="BD1897" s="77"/>
      <c r="BF1897">
        <v>26.96</v>
      </c>
      <c r="BH1897" s="42"/>
      <c r="BI1897" s="74"/>
      <c r="BJ1897" s="77"/>
      <c r="BL1897" s="497">
        <v>17.059999999999999</v>
      </c>
      <c r="BN1897" s="42"/>
      <c r="BO1897" s="74"/>
      <c r="BP1897" s="77"/>
      <c r="BR1897" s="497">
        <v>33.979999999999997</v>
      </c>
      <c r="BT1897" s="42"/>
    </row>
    <row r="1898" spans="1:72" x14ac:dyDescent="0.25">
      <c r="A1898" s="90">
        <v>38066</v>
      </c>
      <c r="B1898" s="20">
        <v>0.33333333333333331</v>
      </c>
      <c r="D1898">
        <v>44.96</v>
      </c>
      <c r="E1898" t="str">
        <f t="shared" si="94"/>
        <v>SATURDAY</v>
      </c>
      <c r="F1898" t="e">
        <f t="shared" si="93"/>
        <v>#N/A</v>
      </c>
      <c r="G1898" s="74">
        <v>32952</v>
      </c>
      <c r="H1898" s="77">
        <v>0.33333333333333331</v>
      </c>
      <c r="J1898">
        <v>48.019999999999996</v>
      </c>
      <c r="M1898" s="74">
        <v>36605</v>
      </c>
      <c r="N1898" s="77">
        <v>0.33333333333333331</v>
      </c>
      <c r="P1898">
        <v>33.08</v>
      </c>
      <c r="S1898" s="74">
        <v>38066</v>
      </c>
      <c r="T1898" s="77">
        <v>0.33333333333333331</v>
      </c>
      <c r="V1898">
        <v>35.96</v>
      </c>
      <c r="X1898" s="42"/>
      <c r="AB1898">
        <v>37.9</v>
      </c>
      <c r="AC1898">
        <v>44.96</v>
      </c>
      <c r="AE1898" s="74"/>
      <c r="AF1898" s="77"/>
      <c r="AH1898" s="497">
        <v>34.159999999999997</v>
      </c>
      <c r="AJ1898" s="42"/>
      <c r="AK1898" s="74"/>
      <c r="AL1898" s="77"/>
      <c r="AN1898" s="497">
        <v>30.92</v>
      </c>
      <c r="AP1898" s="42"/>
      <c r="AQ1898" s="74"/>
      <c r="AR1898" s="77"/>
      <c r="AT1898" s="497">
        <v>45.32</v>
      </c>
      <c r="AV1898" s="42"/>
      <c r="AW1898" s="74"/>
      <c r="AX1898" s="77"/>
      <c r="BA1898" s="497">
        <v>30.02</v>
      </c>
      <c r="BB1898" s="42"/>
      <c r="BC1898" s="74"/>
      <c r="BD1898" s="77"/>
      <c r="BF1898">
        <v>26.96</v>
      </c>
      <c r="BH1898" s="42"/>
      <c r="BI1898" s="74"/>
      <c r="BJ1898" s="77"/>
      <c r="BL1898" s="497">
        <v>15.079999999999998</v>
      </c>
      <c r="BN1898" s="42"/>
      <c r="BO1898" s="74"/>
      <c r="BP1898" s="77"/>
      <c r="BR1898" s="497">
        <v>35.06</v>
      </c>
      <c r="BT1898" s="42"/>
    </row>
    <row r="1899" spans="1:72" x14ac:dyDescent="0.25">
      <c r="A1899" s="90">
        <v>38066</v>
      </c>
      <c r="B1899" s="20">
        <v>0.375</v>
      </c>
      <c r="D1899">
        <v>46.94</v>
      </c>
      <c r="E1899" t="str">
        <f t="shared" si="94"/>
        <v>SATURDAY</v>
      </c>
      <c r="F1899" t="e">
        <f t="shared" ref="F1899:F1962" si="95">IF(E1899="WEEKDAY",VLOOKUP(B1899,$DD$19:$DG$42,2),IF(E1899="SATURDAY",VLOOKUP(B1899,$DD$19:$DG$42,3),VLOOKUP(B1899,$DD$19:$DG$42,4)))</f>
        <v>#N/A</v>
      </c>
      <c r="G1899" s="74">
        <v>32952</v>
      </c>
      <c r="H1899" s="77">
        <v>0.375</v>
      </c>
      <c r="J1899">
        <v>48.92</v>
      </c>
      <c r="M1899" s="74">
        <v>36605</v>
      </c>
      <c r="N1899" s="77">
        <v>0.375</v>
      </c>
      <c r="P1899">
        <v>33.799999999999997</v>
      </c>
      <c r="S1899" s="74">
        <v>38066</v>
      </c>
      <c r="T1899" s="77">
        <v>0.375</v>
      </c>
      <c r="V1899">
        <v>37.04</v>
      </c>
      <c r="X1899" s="42"/>
      <c r="AB1899">
        <v>39.700000000000003</v>
      </c>
      <c r="AC1899">
        <v>48.019999999999996</v>
      </c>
      <c r="AE1899" s="74"/>
      <c r="AF1899" s="77"/>
      <c r="AH1899" s="497">
        <v>37.4</v>
      </c>
      <c r="AJ1899" s="42"/>
      <c r="AK1899" s="74"/>
      <c r="AL1899" s="77"/>
      <c r="AN1899" s="497">
        <v>30.92</v>
      </c>
      <c r="AP1899" s="42"/>
      <c r="AQ1899" s="74"/>
      <c r="AR1899" s="77"/>
      <c r="AT1899" s="497">
        <v>52.7</v>
      </c>
      <c r="AV1899" s="42"/>
      <c r="AW1899" s="74"/>
      <c r="AX1899" s="77"/>
      <c r="BA1899" s="497">
        <v>30.92</v>
      </c>
      <c r="BB1899" s="42"/>
      <c r="BC1899" s="74"/>
      <c r="BD1899" s="77"/>
      <c r="BF1899">
        <v>28.04</v>
      </c>
      <c r="BH1899" s="42"/>
      <c r="BI1899" s="74"/>
      <c r="BJ1899" s="77"/>
      <c r="BL1899" s="497">
        <v>15.98</v>
      </c>
      <c r="BN1899" s="42"/>
      <c r="BO1899" s="74"/>
      <c r="BP1899" s="77"/>
      <c r="BR1899" s="497">
        <v>37.94</v>
      </c>
      <c r="BT1899" s="42"/>
    </row>
    <row r="1900" spans="1:72" x14ac:dyDescent="0.25">
      <c r="A1900" s="90">
        <v>38066</v>
      </c>
      <c r="B1900" s="20">
        <v>0.41666666666666669</v>
      </c>
      <c r="D1900">
        <v>50</v>
      </c>
      <c r="E1900" t="str">
        <f t="shared" si="94"/>
        <v>SATURDAY</v>
      </c>
      <c r="F1900" t="e">
        <f t="shared" si="95"/>
        <v>#N/A</v>
      </c>
      <c r="G1900" s="74">
        <v>32952</v>
      </c>
      <c r="H1900" s="77">
        <v>0.41666666666666669</v>
      </c>
      <c r="J1900">
        <v>48.019999999999996</v>
      </c>
      <c r="M1900" s="74">
        <v>36605</v>
      </c>
      <c r="N1900" s="77">
        <v>0.41666666666666669</v>
      </c>
      <c r="P1900">
        <v>37.4</v>
      </c>
      <c r="S1900" s="74">
        <v>38066</v>
      </c>
      <c r="T1900" s="77">
        <v>0.41666666666666669</v>
      </c>
      <c r="V1900">
        <v>39.019999999999996</v>
      </c>
      <c r="X1900" s="42"/>
      <c r="AB1900">
        <v>41.6</v>
      </c>
      <c r="AC1900">
        <v>48.92</v>
      </c>
      <c r="AE1900" s="74"/>
      <c r="AF1900" s="77"/>
      <c r="AH1900" s="497">
        <v>39.200000000000003</v>
      </c>
      <c r="AJ1900" s="42"/>
      <c r="AK1900" s="74"/>
      <c r="AL1900" s="77"/>
      <c r="AN1900" s="497">
        <v>32</v>
      </c>
      <c r="AP1900" s="42"/>
      <c r="AQ1900" s="74"/>
      <c r="AR1900" s="77"/>
      <c r="AT1900" s="497">
        <v>60.08</v>
      </c>
      <c r="AV1900" s="42"/>
      <c r="AW1900" s="74"/>
      <c r="AX1900" s="77"/>
      <c r="BA1900" s="497">
        <v>32</v>
      </c>
      <c r="BB1900" s="42"/>
      <c r="BC1900" s="74"/>
      <c r="BD1900" s="77"/>
      <c r="BF1900">
        <v>28.94</v>
      </c>
      <c r="BH1900" s="42"/>
      <c r="BI1900" s="74"/>
      <c r="BJ1900" s="77"/>
      <c r="BL1900" s="497">
        <v>15.079999999999998</v>
      </c>
      <c r="BN1900" s="42"/>
      <c r="BO1900" s="74"/>
      <c r="BP1900" s="77"/>
      <c r="BR1900" s="497">
        <v>39.92</v>
      </c>
      <c r="BT1900" s="42"/>
    </row>
    <row r="1901" spans="1:72" x14ac:dyDescent="0.25">
      <c r="A1901" s="90">
        <v>38066</v>
      </c>
      <c r="B1901" s="20">
        <v>0.45833333333333331</v>
      </c>
      <c r="D1901">
        <v>50</v>
      </c>
      <c r="E1901" t="str">
        <f t="shared" si="94"/>
        <v>SATURDAY</v>
      </c>
      <c r="F1901" t="e">
        <f t="shared" si="95"/>
        <v>#N/A</v>
      </c>
      <c r="G1901" s="74">
        <v>32952</v>
      </c>
      <c r="H1901" s="77">
        <v>0.45833333333333331</v>
      </c>
      <c r="J1901">
        <v>48.019999999999996</v>
      </c>
      <c r="M1901" s="74">
        <v>36605</v>
      </c>
      <c r="N1901" s="77">
        <v>0.45833333333333331</v>
      </c>
      <c r="P1901">
        <v>39.200000000000003</v>
      </c>
      <c r="S1901" s="74">
        <v>38066</v>
      </c>
      <c r="T1901" s="77">
        <v>0.45833333333333331</v>
      </c>
      <c r="V1901">
        <v>41</v>
      </c>
      <c r="X1901" s="42"/>
      <c r="AB1901">
        <v>43.3</v>
      </c>
      <c r="AC1901">
        <v>50</v>
      </c>
      <c r="AE1901" s="74"/>
      <c r="AF1901" s="77"/>
      <c r="AH1901" s="497">
        <v>41</v>
      </c>
      <c r="AJ1901" s="42"/>
      <c r="AK1901" s="74"/>
      <c r="AL1901" s="77"/>
      <c r="AN1901" s="497">
        <v>32</v>
      </c>
      <c r="AP1901" s="42"/>
      <c r="AQ1901" s="74"/>
      <c r="AR1901" s="77"/>
      <c r="AT1901" s="497">
        <v>63.14</v>
      </c>
      <c r="AV1901" s="42"/>
      <c r="AW1901" s="74"/>
      <c r="AX1901" s="77"/>
      <c r="BA1901" s="497">
        <v>32</v>
      </c>
      <c r="BB1901" s="42"/>
      <c r="BC1901" s="74"/>
      <c r="BD1901" s="77"/>
      <c r="BF1901">
        <v>28.94</v>
      </c>
      <c r="BH1901" s="42"/>
      <c r="BI1901" s="74"/>
      <c r="BJ1901" s="77"/>
      <c r="BL1901" s="497">
        <v>14</v>
      </c>
      <c r="BN1901" s="42"/>
      <c r="BO1901" s="74"/>
      <c r="BP1901" s="77"/>
      <c r="BR1901" s="497">
        <v>41</v>
      </c>
      <c r="BT1901" s="42"/>
    </row>
    <row r="1902" spans="1:72" x14ac:dyDescent="0.25">
      <c r="A1902" s="90">
        <v>38066</v>
      </c>
      <c r="B1902" s="20">
        <v>0.5</v>
      </c>
      <c r="D1902">
        <v>51.08</v>
      </c>
      <c r="E1902" t="str">
        <f t="shared" si="94"/>
        <v>SATURDAY</v>
      </c>
      <c r="F1902" t="e">
        <f t="shared" si="95"/>
        <v>#N/A</v>
      </c>
      <c r="G1902" s="74">
        <v>32952</v>
      </c>
      <c r="H1902" s="77">
        <v>0.5</v>
      </c>
      <c r="J1902">
        <v>46.94</v>
      </c>
      <c r="M1902" s="74">
        <v>36605</v>
      </c>
      <c r="N1902" s="77">
        <v>0.5</v>
      </c>
      <c r="P1902">
        <v>41</v>
      </c>
      <c r="S1902" s="74">
        <v>38066</v>
      </c>
      <c r="T1902" s="77">
        <v>0.5</v>
      </c>
      <c r="V1902">
        <v>42.980000000000004</v>
      </c>
      <c r="X1902" s="42"/>
      <c r="AB1902">
        <v>44.6</v>
      </c>
      <c r="AC1902">
        <v>51.980000000000004</v>
      </c>
      <c r="AE1902" s="74"/>
      <c r="AF1902" s="77"/>
      <c r="AH1902" s="497">
        <v>44.6</v>
      </c>
      <c r="AJ1902" s="42"/>
      <c r="AK1902" s="74"/>
      <c r="AL1902" s="77"/>
      <c r="AN1902" s="497">
        <v>32</v>
      </c>
      <c r="AP1902" s="42"/>
      <c r="AQ1902" s="74"/>
      <c r="AR1902" s="77"/>
      <c r="AT1902" s="497">
        <v>66.02</v>
      </c>
      <c r="AV1902" s="42"/>
      <c r="AW1902" s="74"/>
      <c r="AX1902" s="77"/>
      <c r="BA1902" s="497">
        <v>33.08</v>
      </c>
      <c r="BB1902" s="42"/>
      <c r="BC1902" s="74"/>
      <c r="BD1902" s="77"/>
      <c r="BF1902">
        <v>30.02</v>
      </c>
      <c r="BH1902" s="42"/>
      <c r="BI1902" s="74"/>
      <c r="BJ1902" s="77"/>
      <c r="BL1902" s="497">
        <v>14</v>
      </c>
      <c r="BN1902" s="42"/>
      <c r="BO1902" s="74"/>
      <c r="BP1902" s="77"/>
      <c r="BR1902" s="497">
        <v>42.08</v>
      </c>
      <c r="BT1902" s="42"/>
    </row>
    <row r="1903" spans="1:72" x14ac:dyDescent="0.25">
      <c r="A1903" s="90">
        <v>38066</v>
      </c>
      <c r="B1903" s="20">
        <v>0.54166666666666663</v>
      </c>
      <c r="D1903">
        <v>51.980000000000004</v>
      </c>
      <c r="E1903" t="str">
        <f t="shared" si="94"/>
        <v>SATURDAY</v>
      </c>
      <c r="F1903" t="e">
        <f t="shared" si="95"/>
        <v>#N/A</v>
      </c>
      <c r="G1903" s="74">
        <v>32952</v>
      </c>
      <c r="H1903" s="77">
        <v>0.54166666666666663</v>
      </c>
      <c r="J1903">
        <v>46.94</v>
      </c>
      <c r="M1903" s="74">
        <v>36605</v>
      </c>
      <c r="N1903" s="77">
        <v>0.54166666666666663</v>
      </c>
      <c r="P1903">
        <v>42.8</v>
      </c>
      <c r="S1903" s="74">
        <v>38066</v>
      </c>
      <c r="T1903" s="77">
        <v>0.54166666666666663</v>
      </c>
      <c r="V1903">
        <v>42.980000000000004</v>
      </c>
      <c r="X1903" s="42"/>
      <c r="AB1903">
        <v>45.7</v>
      </c>
      <c r="AC1903">
        <v>53.06</v>
      </c>
      <c r="AE1903" s="74"/>
      <c r="AF1903" s="77"/>
      <c r="AH1903" s="497">
        <v>46.4</v>
      </c>
      <c r="AJ1903" s="42"/>
      <c r="AK1903" s="74"/>
      <c r="AL1903" s="77"/>
      <c r="AN1903" s="497">
        <v>32</v>
      </c>
      <c r="AP1903" s="42"/>
      <c r="AQ1903" s="74"/>
      <c r="AR1903" s="77"/>
      <c r="AT1903" s="497">
        <v>69.080000000000013</v>
      </c>
      <c r="AV1903" s="42"/>
      <c r="AW1903" s="74"/>
      <c r="AX1903" s="77"/>
      <c r="BA1903" s="497">
        <v>33.979999999999997</v>
      </c>
      <c r="BB1903" s="42"/>
      <c r="BC1903" s="74"/>
      <c r="BD1903" s="77"/>
      <c r="BF1903">
        <v>30.92</v>
      </c>
      <c r="BH1903" s="42"/>
      <c r="BI1903" s="74"/>
      <c r="BJ1903" s="77"/>
      <c r="BL1903" s="497">
        <v>14</v>
      </c>
      <c r="BN1903" s="42"/>
      <c r="BO1903" s="74"/>
      <c r="BP1903" s="77"/>
      <c r="BR1903" s="497">
        <v>37.04</v>
      </c>
      <c r="BT1903" s="42"/>
    </row>
    <row r="1904" spans="1:72" x14ac:dyDescent="0.25">
      <c r="A1904" s="90">
        <v>38066</v>
      </c>
      <c r="B1904" s="20">
        <v>0.58333333333333337</v>
      </c>
      <c r="D1904">
        <v>51.980000000000004</v>
      </c>
      <c r="E1904" t="str">
        <f t="shared" si="94"/>
        <v>SATURDAY</v>
      </c>
      <c r="F1904" t="e">
        <f t="shared" si="95"/>
        <v>#N/A</v>
      </c>
      <c r="G1904" s="74">
        <v>32952</v>
      </c>
      <c r="H1904" s="77">
        <v>0.58333333333333337</v>
      </c>
      <c r="J1904">
        <v>42.980000000000004</v>
      </c>
      <c r="M1904" s="74">
        <v>36605</v>
      </c>
      <c r="N1904" s="77">
        <v>0.58333333333333337</v>
      </c>
      <c r="P1904">
        <v>44.6</v>
      </c>
      <c r="S1904" s="74">
        <v>38066</v>
      </c>
      <c r="T1904" s="77">
        <v>0.58333333333333337</v>
      </c>
      <c r="V1904">
        <v>44.96</v>
      </c>
      <c r="X1904" s="42"/>
      <c r="AB1904">
        <v>46.5</v>
      </c>
      <c r="AC1904">
        <v>55.040000000000006</v>
      </c>
      <c r="AE1904" s="74"/>
      <c r="AF1904" s="77"/>
      <c r="AH1904" s="497">
        <v>50</v>
      </c>
      <c r="AJ1904" s="42"/>
      <c r="AK1904" s="74"/>
      <c r="AL1904" s="77"/>
      <c r="AN1904" s="497">
        <v>32</v>
      </c>
      <c r="AP1904" s="42"/>
      <c r="AQ1904" s="74"/>
      <c r="AR1904" s="77"/>
      <c r="AT1904" s="497">
        <v>70.34</v>
      </c>
      <c r="AV1904" s="42"/>
      <c r="AW1904" s="74"/>
      <c r="AX1904" s="77"/>
      <c r="BA1904" s="497">
        <v>33.979999999999997</v>
      </c>
      <c r="BB1904" s="42"/>
      <c r="BC1904" s="74"/>
      <c r="BD1904" s="77"/>
      <c r="BF1904">
        <v>32</v>
      </c>
      <c r="BH1904" s="42"/>
      <c r="BI1904" s="74"/>
      <c r="BJ1904" s="77"/>
      <c r="BL1904" s="497">
        <v>14</v>
      </c>
      <c r="BN1904" s="42"/>
      <c r="BO1904" s="74"/>
      <c r="BP1904" s="77"/>
      <c r="BR1904" s="497">
        <v>37.94</v>
      </c>
      <c r="BT1904" s="42"/>
    </row>
    <row r="1905" spans="1:72" x14ac:dyDescent="0.25">
      <c r="A1905" s="90">
        <v>38066</v>
      </c>
      <c r="B1905" s="20">
        <v>0.625</v>
      </c>
      <c r="D1905">
        <v>51.980000000000004</v>
      </c>
      <c r="E1905" t="str">
        <f t="shared" si="94"/>
        <v>SATURDAY</v>
      </c>
      <c r="F1905" t="e">
        <f t="shared" si="95"/>
        <v>#N/A</v>
      </c>
      <c r="G1905" s="74">
        <v>32952</v>
      </c>
      <c r="H1905" s="77">
        <v>0.625</v>
      </c>
      <c r="J1905">
        <v>42.980000000000004</v>
      </c>
      <c r="M1905" s="74">
        <v>36605</v>
      </c>
      <c r="N1905" s="77">
        <v>0.625</v>
      </c>
      <c r="P1905">
        <v>42.8</v>
      </c>
      <c r="S1905" s="74">
        <v>38066</v>
      </c>
      <c r="T1905" s="77">
        <v>0.625</v>
      </c>
      <c r="V1905">
        <v>42.980000000000004</v>
      </c>
      <c r="X1905" s="42"/>
      <c r="AB1905">
        <v>46.8</v>
      </c>
      <c r="AC1905">
        <v>55.040000000000006</v>
      </c>
      <c r="AE1905" s="74"/>
      <c r="AF1905" s="77"/>
      <c r="AH1905" s="497">
        <v>50</v>
      </c>
      <c r="AJ1905" s="42"/>
      <c r="AK1905" s="74"/>
      <c r="AL1905" s="77"/>
      <c r="AN1905" s="497">
        <v>32</v>
      </c>
      <c r="AP1905" s="42"/>
      <c r="AQ1905" s="74"/>
      <c r="AR1905" s="77"/>
      <c r="AT1905" s="497">
        <v>71.78</v>
      </c>
      <c r="AV1905" s="42"/>
      <c r="AW1905" s="74"/>
      <c r="AX1905" s="77"/>
      <c r="BA1905" s="497">
        <v>33.979999999999997</v>
      </c>
      <c r="BB1905" s="42"/>
      <c r="BC1905" s="74"/>
      <c r="BD1905" s="77"/>
      <c r="BF1905">
        <v>33.08</v>
      </c>
      <c r="BH1905" s="42"/>
      <c r="BI1905" s="74"/>
      <c r="BJ1905" s="77"/>
      <c r="BL1905" s="497">
        <v>15.079999999999998</v>
      </c>
      <c r="BN1905" s="42"/>
      <c r="BO1905" s="74"/>
      <c r="BP1905" s="77"/>
      <c r="BR1905" s="497">
        <v>33.08</v>
      </c>
      <c r="BT1905" s="42"/>
    </row>
    <row r="1906" spans="1:72" x14ac:dyDescent="0.25">
      <c r="A1906" s="90">
        <v>38066</v>
      </c>
      <c r="B1906" s="20">
        <v>0.66666666666666663</v>
      </c>
      <c r="D1906">
        <v>53.06</v>
      </c>
      <c r="E1906" t="str">
        <f t="shared" si="94"/>
        <v>SATURDAY</v>
      </c>
      <c r="F1906" t="e">
        <f t="shared" si="95"/>
        <v>#N/A</v>
      </c>
      <c r="G1906" s="74">
        <v>32952</v>
      </c>
      <c r="H1906" s="77">
        <v>0.66666666666666663</v>
      </c>
      <c r="J1906">
        <v>42.980000000000004</v>
      </c>
      <c r="M1906" s="74">
        <v>36605</v>
      </c>
      <c r="N1906" s="77">
        <v>0.66666666666666663</v>
      </c>
      <c r="P1906">
        <v>44.6</v>
      </c>
      <c r="S1906" s="74">
        <v>38066</v>
      </c>
      <c r="T1906" s="77">
        <v>0.66666666666666663</v>
      </c>
      <c r="V1906">
        <v>44.06</v>
      </c>
      <c r="X1906" s="42"/>
      <c r="AB1906">
        <v>46.9</v>
      </c>
      <c r="AC1906">
        <v>55.040000000000006</v>
      </c>
      <c r="AE1906" s="74"/>
      <c r="AF1906" s="77"/>
      <c r="AH1906" s="497">
        <v>50</v>
      </c>
      <c r="AJ1906" s="42"/>
      <c r="AK1906" s="74"/>
      <c r="AL1906" s="77"/>
      <c r="AN1906" s="497">
        <v>32</v>
      </c>
      <c r="AP1906" s="42"/>
      <c r="AQ1906" s="74"/>
      <c r="AR1906" s="77"/>
      <c r="AT1906" s="497">
        <v>73.039999999999992</v>
      </c>
      <c r="AV1906" s="42"/>
      <c r="AW1906" s="74"/>
      <c r="AX1906" s="77"/>
      <c r="BA1906" s="497">
        <v>33.979999999999997</v>
      </c>
      <c r="BB1906" s="42"/>
      <c r="BC1906" s="74"/>
      <c r="BD1906" s="77"/>
      <c r="BF1906">
        <v>33.979999999999997</v>
      </c>
      <c r="BH1906" s="42"/>
      <c r="BI1906" s="74"/>
      <c r="BJ1906" s="77"/>
      <c r="BL1906" s="497">
        <v>15.079999999999998</v>
      </c>
      <c r="BN1906" s="42"/>
      <c r="BO1906" s="74"/>
      <c r="BP1906" s="77"/>
      <c r="BR1906" s="497">
        <v>35.06</v>
      </c>
      <c r="BT1906" s="42"/>
    </row>
    <row r="1907" spans="1:72" x14ac:dyDescent="0.25">
      <c r="A1907" s="90">
        <v>38066</v>
      </c>
      <c r="B1907" s="20">
        <v>0.70833333333333337</v>
      </c>
      <c r="D1907">
        <v>51.08</v>
      </c>
      <c r="E1907" t="str">
        <f t="shared" si="94"/>
        <v>SATURDAY</v>
      </c>
      <c r="F1907" t="e">
        <f t="shared" si="95"/>
        <v>#N/A</v>
      </c>
      <c r="G1907" s="74">
        <v>32952</v>
      </c>
      <c r="H1907" s="77">
        <v>0.70833333333333337</v>
      </c>
      <c r="J1907">
        <v>41</v>
      </c>
      <c r="M1907" s="74">
        <v>36605</v>
      </c>
      <c r="N1907" s="77">
        <v>0.70833333333333337</v>
      </c>
      <c r="P1907">
        <v>44.6</v>
      </c>
      <c r="S1907" s="74">
        <v>38066</v>
      </c>
      <c r="T1907" s="77">
        <v>0.70833333333333337</v>
      </c>
      <c r="V1907">
        <v>42.08</v>
      </c>
      <c r="X1907" s="42"/>
      <c r="AB1907">
        <v>46.4</v>
      </c>
      <c r="AC1907">
        <v>53.96</v>
      </c>
      <c r="AE1907" s="74"/>
      <c r="AF1907" s="77"/>
      <c r="AH1907" s="497">
        <v>48.2</v>
      </c>
      <c r="AJ1907" s="42"/>
      <c r="AK1907" s="74"/>
      <c r="AL1907" s="77"/>
      <c r="AN1907" s="497">
        <v>32</v>
      </c>
      <c r="AP1907" s="42"/>
      <c r="AQ1907" s="74"/>
      <c r="AR1907" s="77"/>
      <c r="AT1907" s="497">
        <v>70.7</v>
      </c>
      <c r="AV1907" s="42"/>
      <c r="AW1907" s="74"/>
      <c r="AX1907" s="77"/>
      <c r="BA1907" s="497">
        <v>33.979999999999997</v>
      </c>
      <c r="BB1907" s="42"/>
      <c r="BC1907" s="74"/>
      <c r="BD1907" s="77"/>
      <c r="BF1907">
        <v>35.06</v>
      </c>
      <c r="BH1907" s="42"/>
      <c r="BI1907" s="74"/>
      <c r="BJ1907" s="77"/>
      <c r="BL1907" s="497">
        <v>14</v>
      </c>
      <c r="BN1907" s="42"/>
      <c r="BO1907" s="74"/>
      <c r="BP1907" s="77"/>
      <c r="BR1907" s="497">
        <v>33.08</v>
      </c>
      <c r="BT1907" s="42"/>
    </row>
    <row r="1908" spans="1:72" x14ac:dyDescent="0.25">
      <c r="A1908" s="90">
        <v>38066</v>
      </c>
      <c r="B1908" s="20">
        <v>0.75</v>
      </c>
      <c r="D1908">
        <v>50</v>
      </c>
      <c r="E1908" t="str">
        <f t="shared" si="94"/>
        <v>SATURDAY</v>
      </c>
      <c r="F1908" t="e">
        <f t="shared" si="95"/>
        <v>#N/A</v>
      </c>
      <c r="G1908" s="74">
        <v>32952</v>
      </c>
      <c r="H1908" s="77">
        <v>0.75</v>
      </c>
      <c r="J1908">
        <v>42.08</v>
      </c>
      <c r="M1908" s="74">
        <v>36605</v>
      </c>
      <c r="N1908" s="77">
        <v>0.75</v>
      </c>
      <c r="P1908">
        <v>42.8</v>
      </c>
      <c r="S1908" s="74">
        <v>38066</v>
      </c>
      <c r="T1908" s="77">
        <v>0.75</v>
      </c>
      <c r="V1908">
        <v>41</v>
      </c>
      <c r="X1908" s="42"/>
      <c r="AB1908">
        <v>45.4</v>
      </c>
      <c r="AC1908">
        <v>51.08</v>
      </c>
      <c r="AE1908" s="74"/>
      <c r="AF1908" s="77"/>
      <c r="AH1908" s="497">
        <v>48.2</v>
      </c>
      <c r="AJ1908" s="42"/>
      <c r="AK1908" s="74"/>
      <c r="AL1908" s="77"/>
      <c r="AN1908" s="497">
        <v>32</v>
      </c>
      <c r="AP1908" s="42"/>
      <c r="AQ1908" s="74"/>
      <c r="AR1908" s="77"/>
      <c r="AT1908" s="497">
        <v>68.36</v>
      </c>
      <c r="AV1908" s="42"/>
      <c r="AW1908" s="74"/>
      <c r="AX1908" s="77"/>
      <c r="BA1908" s="497">
        <v>33.979999999999997</v>
      </c>
      <c r="BB1908" s="42"/>
      <c r="BC1908" s="74"/>
      <c r="BD1908" s="77"/>
      <c r="BF1908">
        <v>35.96</v>
      </c>
      <c r="BH1908" s="42"/>
      <c r="BI1908" s="74"/>
      <c r="BJ1908" s="77"/>
      <c r="BL1908" s="497">
        <v>12.920000000000002</v>
      </c>
      <c r="BN1908" s="42"/>
      <c r="BO1908" s="74"/>
      <c r="BP1908" s="77"/>
      <c r="BR1908" s="497">
        <v>30.02</v>
      </c>
      <c r="BT1908" s="42"/>
    </row>
    <row r="1909" spans="1:72" x14ac:dyDescent="0.25">
      <c r="A1909" s="90">
        <v>38066</v>
      </c>
      <c r="B1909" s="20">
        <v>0.79166666666666663</v>
      </c>
      <c r="D1909">
        <v>48.92</v>
      </c>
      <c r="E1909" t="str">
        <f t="shared" si="94"/>
        <v>SATURDAY</v>
      </c>
      <c r="F1909" t="e">
        <f t="shared" si="95"/>
        <v>#N/A</v>
      </c>
      <c r="G1909" s="74">
        <v>32952</v>
      </c>
      <c r="H1909" s="77">
        <v>0.79166666666666663</v>
      </c>
      <c r="J1909">
        <v>41</v>
      </c>
      <c r="M1909" s="74">
        <v>36605</v>
      </c>
      <c r="N1909" s="77">
        <v>0.79166666666666663</v>
      </c>
      <c r="P1909">
        <v>42.8</v>
      </c>
      <c r="S1909" s="74">
        <v>38066</v>
      </c>
      <c r="T1909" s="77">
        <v>0.79166666666666663</v>
      </c>
      <c r="V1909">
        <v>41</v>
      </c>
      <c r="X1909" s="42"/>
      <c r="AB1909">
        <v>44</v>
      </c>
      <c r="AC1909">
        <v>48.92</v>
      </c>
      <c r="AE1909" s="74"/>
      <c r="AF1909" s="77"/>
      <c r="AH1909" s="497">
        <v>46.4</v>
      </c>
      <c r="AJ1909" s="42"/>
      <c r="AK1909" s="74"/>
      <c r="AL1909" s="77"/>
      <c r="AN1909" s="497">
        <v>32</v>
      </c>
      <c r="AP1909" s="42"/>
      <c r="AQ1909" s="74"/>
      <c r="AR1909" s="77"/>
      <c r="AT1909" s="497">
        <v>66.02</v>
      </c>
      <c r="AV1909" s="42"/>
      <c r="AW1909" s="74"/>
      <c r="AX1909" s="77"/>
      <c r="BA1909" s="497">
        <v>33.08</v>
      </c>
      <c r="BB1909" s="42"/>
      <c r="BC1909" s="74"/>
      <c r="BD1909" s="77"/>
      <c r="BF1909">
        <v>35.06</v>
      </c>
      <c r="BH1909" s="42"/>
      <c r="BI1909" s="74"/>
      <c r="BJ1909" s="77"/>
      <c r="BL1909" s="497">
        <v>12.920000000000002</v>
      </c>
      <c r="BN1909" s="42"/>
      <c r="BO1909" s="74"/>
      <c r="BP1909" s="77"/>
      <c r="BR1909" s="497">
        <v>26.96</v>
      </c>
      <c r="BT1909" s="42"/>
    </row>
    <row r="1910" spans="1:72" x14ac:dyDescent="0.25">
      <c r="A1910" s="90">
        <v>38066</v>
      </c>
      <c r="B1910" s="20">
        <v>0.83333333333333337</v>
      </c>
      <c r="D1910">
        <v>48.92</v>
      </c>
      <c r="E1910" t="str">
        <f t="shared" si="94"/>
        <v>SATURDAY</v>
      </c>
      <c r="F1910" t="e">
        <f t="shared" si="95"/>
        <v>#N/A</v>
      </c>
      <c r="G1910" s="74">
        <v>32952</v>
      </c>
      <c r="H1910" s="77">
        <v>0.83333333333333337</v>
      </c>
      <c r="J1910">
        <v>39.92</v>
      </c>
      <c r="M1910" s="74">
        <v>36605</v>
      </c>
      <c r="N1910" s="77">
        <v>0.83333333333333337</v>
      </c>
      <c r="P1910">
        <v>41</v>
      </c>
      <c r="S1910" s="74">
        <v>38066</v>
      </c>
      <c r="T1910" s="77">
        <v>0.83333333333333337</v>
      </c>
      <c r="V1910">
        <v>39.92</v>
      </c>
      <c r="X1910" s="42"/>
      <c r="AB1910">
        <v>43</v>
      </c>
      <c r="AC1910">
        <v>48.019999999999996</v>
      </c>
      <c r="AE1910" s="74"/>
      <c r="AF1910" s="77"/>
      <c r="AH1910" s="497">
        <v>46.4</v>
      </c>
      <c r="AJ1910" s="42"/>
      <c r="AK1910" s="74"/>
      <c r="AL1910" s="77"/>
      <c r="AN1910" s="497">
        <v>32</v>
      </c>
      <c r="AP1910" s="42"/>
      <c r="AQ1910" s="74"/>
      <c r="AR1910" s="77"/>
      <c r="AT1910" s="497">
        <v>64.039999999999992</v>
      </c>
      <c r="AV1910" s="42"/>
      <c r="AW1910" s="74"/>
      <c r="AX1910" s="77"/>
      <c r="BA1910" s="497">
        <v>33.08</v>
      </c>
      <c r="BB1910" s="42"/>
      <c r="BC1910" s="74"/>
      <c r="BD1910" s="77"/>
      <c r="BF1910">
        <v>35.96</v>
      </c>
      <c r="BH1910" s="42"/>
      <c r="BI1910" s="74"/>
      <c r="BJ1910" s="77"/>
      <c r="BL1910" s="497">
        <v>12.920000000000002</v>
      </c>
      <c r="BN1910" s="42"/>
      <c r="BO1910" s="74"/>
      <c r="BP1910" s="77"/>
      <c r="BR1910" s="497">
        <v>26.060000000000002</v>
      </c>
      <c r="BT1910" s="42"/>
    </row>
    <row r="1911" spans="1:72" x14ac:dyDescent="0.25">
      <c r="A1911" s="90">
        <v>38066</v>
      </c>
      <c r="B1911" s="20">
        <v>0.875</v>
      </c>
      <c r="D1911">
        <v>48.92</v>
      </c>
      <c r="E1911" t="str">
        <f t="shared" si="94"/>
        <v>SATURDAY</v>
      </c>
      <c r="F1911" t="e">
        <f t="shared" si="95"/>
        <v>#N/A</v>
      </c>
      <c r="G1911" s="74">
        <v>32952</v>
      </c>
      <c r="H1911" s="77">
        <v>0.875</v>
      </c>
      <c r="J1911">
        <v>39.92</v>
      </c>
      <c r="M1911" s="74">
        <v>36605</v>
      </c>
      <c r="N1911" s="77">
        <v>0.875</v>
      </c>
      <c r="P1911">
        <v>39.200000000000003</v>
      </c>
      <c r="S1911" s="74">
        <v>38066</v>
      </c>
      <c r="T1911" s="77">
        <v>0.875</v>
      </c>
      <c r="V1911">
        <v>41</v>
      </c>
      <c r="X1911" s="42"/>
      <c r="AB1911">
        <v>42.5</v>
      </c>
      <c r="AC1911">
        <v>46.04</v>
      </c>
      <c r="AE1911" s="74"/>
      <c r="AF1911" s="77"/>
      <c r="AH1911" s="497">
        <v>44.6</v>
      </c>
      <c r="AJ1911" s="42"/>
      <c r="AK1911" s="74"/>
      <c r="AL1911" s="77"/>
      <c r="AN1911" s="497">
        <v>33.08</v>
      </c>
      <c r="AP1911" s="42"/>
      <c r="AQ1911" s="74"/>
      <c r="AR1911" s="77"/>
      <c r="AT1911" s="497">
        <v>62.06</v>
      </c>
      <c r="AV1911" s="42"/>
      <c r="AW1911" s="74"/>
      <c r="AX1911" s="77"/>
      <c r="BA1911" s="497">
        <v>33.979999999999997</v>
      </c>
      <c r="BB1911" s="42"/>
      <c r="BC1911" s="74"/>
      <c r="BD1911" s="77"/>
      <c r="BF1911">
        <v>33.979999999999997</v>
      </c>
      <c r="BH1911" s="42"/>
      <c r="BI1911" s="74"/>
      <c r="BJ1911" s="77"/>
      <c r="BL1911" s="497">
        <v>12.920000000000002</v>
      </c>
      <c r="BN1911" s="42"/>
      <c r="BO1911" s="74"/>
      <c r="BP1911" s="77"/>
      <c r="BR1911" s="497">
        <v>24.08</v>
      </c>
      <c r="BT1911" s="42"/>
    </row>
    <row r="1912" spans="1:72" x14ac:dyDescent="0.25">
      <c r="A1912" s="90">
        <v>38066</v>
      </c>
      <c r="B1912" s="20">
        <v>0.91666666666666663</v>
      </c>
      <c r="D1912">
        <v>48.92</v>
      </c>
      <c r="E1912" t="str">
        <f t="shared" si="94"/>
        <v>SATURDAY</v>
      </c>
      <c r="F1912" t="e">
        <f t="shared" si="95"/>
        <v>#N/A</v>
      </c>
      <c r="G1912" s="74">
        <v>32952</v>
      </c>
      <c r="H1912" s="77">
        <v>0.91666666666666663</v>
      </c>
      <c r="J1912">
        <v>39.92</v>
      </c>
      <c r="M1912" s="74">
        <v>36605</v>
      </c>
      <c r="N1912" s="77">
        <v>0.91666666666666663</v>
      </c>
      <c r="P1912">
        <v>39.200000000000003</v>
      </c>
      <c r="S1912" s="74">
        <v>38066</v>
      </c>
      <c r="T1912" s="77">
        <v>0.91666666666666663</v>
      </c>
      <c r="V1912">
        <v>41</v>
      </c>
      <c r="X1912" s="42"/>
      <c r="AB1912">
        <v>41.8</v>
      </c>
      <c r="AC1912">
        <v>44.06</v>
      </c>
      <c r="AE1912" s="74"/>
      <c r="AF1912" s="77"/>
      <c r="AH1912" s="497">
        <v>42.8</v>
      </c>
      <c r="AJ1912" s="42"/>
      <c r="AK1912" s="74"/>
      <c r="AL1912" s="77"/>
      <c r="AN1912" s="497">
        <v>33.08</v>
      </c>
      <c r="AP1912" s="42"/>
      <c r="AQ1912" s="74"/>
      <c r="AR1912" s="77"/>
      <c r="AT1912" s="497">
        <v>60.08</v>
      </c>
      <c r="AV1912" s="42"/>
      <c r="AW1912" s="74"/>
      <c r="AX1912" s="77"/>
      <c r="BA1912" s="497">
        <v>33.979999999999997</v>
      </c>
      <c r="BB1912" s="42"/>
      <c r="BC1912" s="74"/>
      <c r="BD1912" s="77"/>
      <c r="BF1912">
        <v>33.08</v>
      </c>
      <c r="BH1912" s="42"/>
      <c r="BI1912" s="74"/>
      <c r="BJ1912" s="77"/>
      <c r="BL1912" s="497">
        <v>12.920000000000002</v>
      </c>
      <c r="BN1912" s="42"/>
      <c r="BO1912" s="74"/>
      <c r="BP1912" s="77"/>
      <c r="BR1912" s="497">
        <v>21.92</v>
      </c>
      <c r="BT1912" s="42"/>
    </row>
    <row r="1913" spans="1:72" x14ac:dyDescent="0.25">
      <c r="A1913" s="90">
        <v>38066</v>
      </c>
      <c r="B1913" s="20">
        <v>0.95833333333333337</v>
      </c>
      <c r="D1913">
        <v>50</v>
      </c>
      <c r="E1913" t="str">
        <f t="shared" si="94"/>
        <v>SATURDAY</v>
      </c>
      <c r="F1913" t="e">
        <f t="shared" si="95"/>
        <v>#N/A</v>
      </c>
      <c r="G1913" s="74">
        <v>32952</v>
      </c>
      <c r="H1913" s="77">
        <v>0.95833333333333337</v>
      </c>
      <c r="J1913">
        <v>39.92</v>
      </c>
      <c r="M1913" s="74">
        <v>36605</v>
      </c>
      <c r="N1913" s="77">
        <v>0.95833333333333337</v>
      </c>
      <c r="P1913">
        <v>37.4</v>
      </c>
      <c r="S1913" s="74">
        <v>38066</v>
      </c>
      <c r="T1913" s="77">
        <v>0.95833333333333337</v>
      </c>
      <c r="V1913">
        <v>42.08</v>
      </c>
      <c r="X1913" s="42"/>
      <c r="AB1913">
        <v>41.2</v>
      </c>
      <c r="AC1913">
        <v>42.08</v>
      </c>
      <c r="AE1913" s="74"/>
      <c r="AF1913" s="77"/>
      <c r="AH1913" s="497">
        <v>42.8</v>
      </c>
      <c r="AJ1913" s="42"/>
      <c r="AK1913" s="74"/>
      <c r="AL1913" s="77"/>
      <c r="AN1913" s="497">
        <v>33.08</v>
      </c>
      <c r="AP1913" s="42"/>
      <c r="AQ1913" s="74"/>
      <c r="AR1913" s="77"/>
      <c r="AT1913" s="497">
        <v>60.08</v>
      </c>
      <c r="AV1913" s="42"/>
      <c r="AW1913" s="74"/>
      <c r="AX1913" s="77"/>
      <c r="BA1913" s="497">
        <v>35.06</v>
      </c>
      <c r="BB1913" s="42"/>
      <c r="BC1913" s="74"/>
      <c r="BD1913" s="77"/>
      <c r="BF1913">
        <v>30.92</v>
      </c>
      <c r="BH1913" s="42"/>
      <c r="BI1913" s="74"/>
      <c r="BJ1913" s="77"/>
      <c r="BL1913" s="497">
        <v>12.02</v>
      </c>
      <c r="BN1913" s="42"/>
      <c r="BO1913" s="74"/>
      <c r="BP1913" s="77"/>
      <c r="BR1913" s="497">
        <v>21.92</v>
      </c>
      <c r="BT1913" s="42"/>
    </row>
    <row r="1914" spans="1:72" x14ac:dyDescent="0.25">
      <c r="A1914" s="90">
        <v>38066</v>
      </c>
      <c r="B1914" s="20">
        <v>1</v>
      </c>
      <c r="D1914">
        <v>50</v>
      </c>
      <c r="E1914" t="str">
        <f t="shared" si="94"/>
        <v>SATURDAY</v>
      </c>
      <c r="F1914" t="e">
        <f t="shared" si="95"/>
        <v>#N/A</v>
      </c>
      <c r="G1914" s="74">
        <v>32952</v>
      </c>
      <c r="H1914" s="77">
        <v>1</v>
      </c>
      <c r="J1914">
        <v>39.92</v>
      </c>
      <c r="M1914" s="74">
        <v>36605</v>
      </c>
      <c r="N1914" s="80">
        <v>1</v>
      </c>
      <c r="P1914">
        <v>37.4</v>
      </c>
      <c r="S1914" s="74">
        <v>38066</v>
      </c>
      <c r="T1914" s="80">
        <v>1</v>
      </c>
      <c r="V1914">
        <v>42.08</v>
      </c>
      <c r="X1914" s="42"/>
      <c r="AB1914">
        <v>40.5</v>
      </c>
      <c r="AC1914">
        <v>39.92</v>
      </c>
      <c r="AE1914" s="74"/>
      <c r="AF1914" s="80"/>
      <c r="AH1914" s="497">
        <v>41</v>
      </c>
      <c r="AJ1914" s="42"/>
      <c r="AK1914" s="74"/>
      <c r="AL1914" s="80"/>
      <c r="AN1914" s="497">
        <v>32</v>
      </c>
      <c r="AP1914" s="42"/>
      <c r="AQ1914" s="74"/>
      <c r="AR1914" s="80"/>
      <c r="AT1914" s="497">
        <v>60.08</v>
      </c>
      <c r="AV1914" s="42"/>
      <c r="AW1914" s="74"/>
      <c r="AX1914" s="80"/>
      <c r="BA1914" s="497">
        <v>35.06</v>
      </c>
      <c r="BB1914" s="42"/>
      <c r="BC1914" s="74"/>
      <c r="BD1914" s="80"/>
      <c r="BF1914">
        <v>30.02</v>
      </c>
      <c r="BH1914" s="42"/>
      <c r="BI1914" s="74"/>
      <c r="BJ1914" s="80"/>
      <c r="BL1914" s="497">
        <v>10.940000000000001</v>
      </c>
      <c r="BN1914" s="42"/>
      <c r="BO1914" s="74"/>
      <c r="BP1914" s="80"/>
      <c r="BR1914" s="497">
        <v>21.02</v>
      </c>
      <c r="BT1914" s="42"/>
    </row>
    <row r="1915" spans="1:72" x14ac:dyDescent="0.25">
      <c r="A1915" s="90">
        <v>38067</v>
      </c>
      <c r="B1915" s="20">
        <v>4.1666666666666664E-2</v>
      </c>
      <c r="D1915">
        <v>48.92</v>
      </c>
      <c r="E1915" t="str">
        <f t="shared" si="94"/>
        <v>SUNDAY</v>
      </c>
      <c r="F1915" t="e">
        <f t="shared" si="95"/>
        <v>#N/A</v>
      </c>
      <c r="G1915" s="74">
        <v>32953</v>
      </c>
      <c r="H1915" s="77">
        <v>4.1666666666666664E-2</v>
      </c>
      <c r="J1915">
        <v>39.92</v>
      </c>
      <c r="M1915" s="74">
        <v>36606</v>
      </c>
      <c r="N1915" s="77">
        <v>4.1666666666666664E-2</v>
      </c>
      <c r="P1915">
        <v>37.4</v>
      </c>
      <c r="S1915" s="74">
        <v>38067</v>
      </c>
      <c r="T1915" s="77">
        <v>4.1666666666666664E-2</v>
      </c>
      <c r="V1915">
        <v>42.08</v>
      </c>
      <c r="X1915" s="42"/>
      <c r="AB1915">
        <v>40</v>
      </c>
      <c r="AC1915">
        <v>37.04</v>
      </c>
      <c r="AE1915" s="74"/>
      <c r="AF1915" s="77"/>
      <c r="AH1915" s="497">
        <v>37.4</v>
      </c>
      <c r="AJ1915" s="42"/>
      <c r="AK1915" s="74"/>
      <c r="AL1915" s="77"/>
      <c r="AN1915" s="497">
        <v>30.92</v>
      </c>
      <c r="AP1915" s="42"/>
      <c r="AQ1915" s="74"/>
      <c r="AR1915" s="77"/>
      <c r="AT1915" s="497">
        <v>60.08</v>
      </c>
      <c r="AV1915" s="42"/>
      <c r="AW1915" s="74"/>
      <c r="AX1915" s="77"/>
      <c r="BA1915" s="497">
        <v>33.979999999999997</v>
      </c>
      <c r="BB1915" s="42"/>
      <c r="BC1915" s="74"/>
      <c r="BD1915" s="77"/>
      <c r="BF1915">
        <v>28.94</v>
      </c>
      <c r="BH1915" s="42"/>
      <c r="BI1915" s="74"/>
      <c r="BJ1915" s="77"/>
      <c r="BL1915" s="497">
        <v>10.039999999999999</v>
      </c>
      <c r="BN1915" s="42"/>
      <c r="BO1915" s="74"/>
      <c r="BP1915" s="77"/>
      <c r="BR1915" s="497">
        <v>19.939999999999998</v>
      </c>
      <c r="BT1915" s="42"/>
    </row>
    <row r="1916" spans="1:72" x14ac:dyDescent="0.25">
      <c r="A1916" s="90">
        <v>38067</v>
      </c>
      <c r="B1916" s="20">
        <v>8.3333333333333329E-2</v>
      </c>
      <c r="D1916">
        <v>48.92</v>
      </c>
      <c r="E1916" t="str">
        <f t="shared" si="94"/>
        <v>SUNDAY</v>
      </c>
      <c r="F1916" t="e">
        <f t="shared" si="95"/>
        <v>#N/A</v>
      </c>
      <c r="G1916" s="74">
        <v>32953</v>
      </c>
      <c r="H1916" s="77">
        <v>8.3333333333333329E-2</v>
      </c>
      <c r="J1916">
        <v>37.94</v>
      </c>
      <c r="M1916" s="74">
        <v>36606</v>
      </c>
      <c r="N1916" s="77">
        <v>8.3333333333333329E-2</v>
      </c>
      <c r="P1916">
        <v>35.6</v>
      </c>
      <c r="S1916" s="74">
        <v>38067</v>
      </c>
      <c r="T1916" s="77">
        <v>8.3333333333333329E-2</v>
      </c>
      <c r="V1916">
        <v>42.08</v>
      </c>
      <c r="X1916" s="42"/>
      <c r="AB1916">
        <v>39.4</v>
      </c>
      <c r="AC1916">
        <v>37.04</v>
      </c>
      <c r="AE1916" s="74"/>
      <c r="AF1916" s="77"/>
      <c r="AH1916" s="497">
        <v>37.4</v>
      </c>
      <c r="AJ1916" s="42"/>
      <c r="AK1916" s="74"/>
      <c r="AL1916" s="77"/>
      <c r="AN1916" s="497">
        <v>30.92</v>
      </c>
      <c r="AP1916" s="42"/>
      <c r="AQ1916" s="74"/>
      <c r="AR1916" s="77"/>
      <c r="AT1916" s="497">
        <v>59.36</v>
      </c>
      <c r="AV1916" s="42"/>
      <c r="AW1916" s="74"/>
      <c r="AX1916" s="77"/>
      <c r="BA1916" s="497">
        <v>33.08</v>
      </c>
      <c r="BB1916" s="42"/>
      <c r="BC1916" s="74"/>
      <c r="BD1916" s="77"/>
      <c r="BF1916">
        <v>28.04</v>
      </c>
      <c r="BH1916" s="42"/>
      <c r="BI1916" s="74"/>
      <c r="BJ1916" s="77"/>
      <c r="BL1916" s="497">
        <v>8.9599999999999973</v>
      </c>
      <c r="BN1916" s="42"/>
      <c r="BO1916" s="74"/>
      <c r="BP1916" s="77"/>
      <c r="BR1916" s="497">
        <v>17.059999999999999</v>
      </c>
      <c r="BT1916" s="42"/>
    </row>
    <row r="1917" spans="1:72" x14ac:dyDescent="0.25">
      <c r="A1917" s="90">
        <v>38067</v>
      </c>
      <c r="B1917" s="20">
        <v>0.125</v>
      </c>
      <c r="D1917">
        <v>48.92</v>
      </c>
      <c r="E1917" t="str">
        <f t="shared" si="94"/>
        <v>SUNDAY</v>
      </c>
      <c r="F1917" t="e">
        <f t="shared" si="95"/>
        <v>#N/A</v>
      </c>
      <c r="G1917" s="74">
        <v>32953</v>
      </c>
      <c r="H1917" s="77">
        <v>0.125</v>
      </c>
      <c r="J1917">
        <v>39.92</v>
      </c>
      <c r="M1917" s="74">
        <v>36606</v>
      </c>
      <c r="N1917" s="77">
        <v>0.125</v>
      </c>
      <c r="P1917">
        <v>35.6</v>
      </c>
      <c r="S1917" s="74">
        <v>38067</v>
      </c>
      <c r="T1917" s="77">
        <v>0.125</v>
      </c>
      <c r="V1917">
        <v>42.08</v>
      </c>
      <c r="X1917" s="42"/>
      <c r="AB1917">
        <v>38.700000000000003</v>
      </c>
      <c r="AC1917">
        <v>35.06</v>
      </c>
      <c r="AE1917" s="74"/>
      <c r="AF1917" s="77"/>
      <c r="AH1917" s="497">
        <v>37.4</v>
      </c>
      <c r="AJ1917" s="42"/>
      <c r="AK1917" s="74"/>
      <c r="AL1917" s="77"/>
      <c r="AN1917" s="497">
        <v>30.92</v>
      </c>
      <c r="AP1917" s="42"/>
      <c r="AQ1917" s="74"/>
      <c r="AR1917" s="77"/>
      <c r="AT1917" s="497">
        <v>58.64</v>
      </c>
      <c r="AV1917" s="42"/>
      <c r="AW1917" s="74"/>
      <c r="AX1917" s="77"/>
      <c r="BA1917" s="497">
        <v>32</v>
      </c>
      <c r="BB1917" s="42"/>
      <c r="BC1917" s="74"/>
      <c r="BD1917" s="77"/>
      <c r="BF1917">
        <v>28.04</v>
      </c>
      <c r="BH1917" s="42"/>
      <c r="BI1917" s="74"/>
      <c r="BJ1917" s="77"/>
      <c r="BL1917" s="497">
        <v>8.0599999999999987</v>
      </c>
      <c r="BN1917" s="42"/>
      <c r="BO1917" s="74"/>
      <c r="BP1917" s="77"/>
      <c r="BR1917" s="497">
        <v>17.96</v>
      </c>
      <c r="BT1917" s="42"/>
    </row>
    <row r="1918" spans="1:72" x14ac:dyDescent="0.25">
      <c r="A1918" s="90">
        <v>38067</v>
      </c>
      <c r="B1918" s="20">
        <v>0.16666666666666666</v>
      </c>
      <c r="D1918">
        <v>48.019999999999996</v>
      </c>
      <c r="E1918" t="str">
        <f t="shared" si="94"/>
        <v>SUNDAY</v>
      </c>
      <c r="F1918" t="e">
        <f t="shared" si="95"/>
        <v>#N/A</v>
      </c>
      <c r="G1918" s="74">
        <v>32953</v>
      </c>
      <c r="H1918" s="77">
        <v>0.16666666666666666</v>
      </c>
      <c r="J1918">
        <v>39.92</v>
      </c>
      <c r="M1918" s="74">
        <v>36606</v>
      </c>
      <c r="N1918" s="77">
        <v>0.16666666666666666</v>
      </c>
      <c r="P1918">
        <v>35.6</v>
      </c>
      <c r="S1918" s="74">
        <v>38067</v>
      </c>
      <c r="T1918" s="77">
        <v>0.16666666666666666</v>
      </c>
      <c r="V1918">
        <v>42.980000000000004</v>
      </c>
      <c r="X1918" s="42"/>
      <c r="AB1918">
        <v>38.299999999999997</v>
      </c>
      <c r="AC1918">
        <v>32</v>
      </c>
      <c r="AE1918" s="74"/>
      <c r="AF1918" s="77"/>
      <c r="AH1918" s="497">
        <v>35.6</v>
      </c>
      <c r="AJ1918" s="42"/>
      <c r="AK1918" s="74"/>
      <c r="AL1918" s="77"/>
      <c r="AN1918" s="497">
        <v>30.02</v>
      </c>
      <c r="AP1918" s="42"/>
      <c r="AQ1918" s="74"/>
      <c r="AR1918" s="77"/>
      <c r="AT1918" s="497">
        <v>57.92</v>
      </c>
      <c r="AV1918" s="42"/>
      <c r="AW1918" s="74"/>
      <c r="AX1918" s="77"/>
      <c r="BA1918" s="497">
        <v>30.92</v>
      </c>
      <c r="BB1918" s="42"/>
      <c r="BC1918" s="74"/>
      <c r="BD1918" s="77"/>
      <c r="BF1918">
        <v>28.04</v>
      </c>
      <c r="BH1918" s="42"/>
      <c r="BI1918" s="74"/>
      <c r="BJ1918" s="77"/>
      <c r="BL1918" s="497">
        <v>8.9599999999999973</v>
      </c>
      <c r="BN1918" s="42"/>
      <c r="BO1918" s="74"/>
      <c r="BP1918" s="77"/>
      <c r="BR1918" s="497">
        <v>17.059999999999999</v>
      </c>
      <c r="BT1918" s="42"/>
    </row>
    <row r="1919" spans="1:72" x14ac:dyDescent="0.25">
      <c r="A1919" s="90">
        <v>38067</v>
      </c>
      <c r="B1919" s="20">
        <v>0.20833333333333334</v>
      </c>
      <c r="D1919">
        <v>48.92</v>
      </c>
      <c r="E1919" t="str">
        <f t="shared" si="94"/>
        <v>SUNDAY</v>
      </c>
      <c r="F1919" t="e">
        <f t="shared" si="95"/>
        <v>#N/A</v>
      </c>
      <c r="G1919" s="74">
        <v>32953</v>
      </c>
      <c r="H1919" s="77">
        <v>0.20833333333333334</v>
      </c>
      <c r="J1919">
        <v>41</v>
      </c>
      <c r="M1919" s="74">
        <v>36606</v>
      </c>
      <c r="N1919" s="77">
        <v>0.20833333333333334</v>
      </c>
      <c r="P1919">
        <v>35.6</v>
      </c>
      <c r="S1919" s="74">
        <v>38067</v>
      </c>
      <c r="T1919" s="77">
        <v>0.20833333333333334</v>
      </c>
      <c r="V1919">
        <v>42.980000000000004</v>
      </c>
      <c r="X1919" s="42"/>
      <c r="AB1919">
        <v>37.9</v>
      </c>
      <c r="AC1919">
        <v>33.08</v>
      </c>
      <c r="AE1919" s="74"/>
      <c r="AF1919" s="77"/>
      <c r="AH1919" s="497">
        <v>35.6</v>
      </c>
      <c r="AJ1919" s="42"/>
      <c r="AK1919" s="74"/>
      <c r="AL1919" s="77"/>
      <c r="AN1919" s="497">
        <v>28.94</v>
      </c>
      <c r="AP1919" s="42"/>
      <c r="AQ1919" s="74"/>
      <c r="AR1919" s="77"/>
      <c r="AT1919" s="497">
        <v>57.92</v>
      </c>
      <c r="AV1919" s="42"/>
      <c r="AW1919" s="74"/>
      <c r="AX1919" s="77"/>
      <c r="BA1919" s="497">
        <v>30.92</v>
      </c>
      <c r="BB1919" s="42"/>
      <c r="BC1919" s="74"/>
      <c r="BD1919" s="77"/>
      <c r="BF1919">
        <v>28.04</v>
      </c>
      <c r="BH1919" s="42"/>
      <c r="BI1919" s="74"/>
      <c r="BJ1919" s="77"/>
      <c r="BL1919" s="497">
        <v>8.0599999999999987</v>
      </c>
      <c r="BN1919" s="42"/>
      <c r="BO1919" s="74"/>
      <c r="BP1919" s="77"/>
      <c r="BR1919" s="497">
        <v>15.079999999999998</v>
      </c>
      <c r="BT1919" s="42"/>
    </row>
    <row r="1920" spans="1:72" x14ac:dyDescent="0.25">
      <c r="A1920" s="90">
        <v>38067</v>
      </c>
      <c r="B1920" s="20">
        <v>0.25</v>
      </c>
      <c r="D1920">
        <v>48.92</v>
      </c>
      <c r="E1920" t="str">
        <f t="shared" si="94"/>
        <v>SUNDAY</v>
      </c>
      <c r="F1920" t="e">
        <f t="shared" si="95"/>
        <v>#N/A</v>
      </c>
      <c r="G1920" s="74">
        <v>32953</v>
      </c>
      <c r="H1920" s="77">
        <v>0.25</v>
      </c>
      <c r="J1920">
        <v>39.92</v>
      </c>
      <c r="M1920" s="74">
        <v>36606</v>
      </c>
      <c r="N1920" s="77">
        <v>0.25</v>
      </c>
      <c r="P1920">
        <v>35.6</v>
      </c>
      <c r="S1920" s="74">
        <v>38067</v>
      </c>
      <c r="T1920" s="77">
        <v>0.25</v>
      </c>
      <c r="V1920">
        <v>42.08</v>
      </c>
      <c r="X1920" s="42"/>
      <c r="AB1920">
        <v>37.6</v>
      </c>
      <c r="AC1920">
        <v>33.979999999999997</v>
      </c>
      <c r="AE1920" s="74"/>
      <c r="AF1920" s="77"/>
      <c r="AH1920" s="497">
        <v>35.96</v>
      </c>
      <c r="AJ1920" s="42"/>
      <c r="AK1920" s="74"/>
      <c r="AL1920" s="77"/>
      <c r="AN1920" s="497">
        <v>28.94</v>
      </c>
      <c r="AP1920" s="42"/>
      <c r="AQ1920" s="74"/>
      <c r="AR1920" s="77"/>
      <c r="AT1920" s="497">
        <v>57.92</v>
      </c>
      <c r="AV1920" s="42"/>
      <c r="AW1920" s="74"/>
      <c r="AX1920" s="77"/>
      <c r="BA1920" s="497">
        <v>30.92</v>
      </c>
      <c r="BB1920" s="42"/>
      <c r="BC1920" s="74"/>
      <c r="BD1920" s="77"/>
      <c r="BF1920">
        <v>28.04</v>
      </c>
      <c r="BH1920" s="42"/>
      <c r="BI1920" s="74"/>
      <c r="BJ1920" s="77"/>
      <c r="BL1920" s="497">
        <v>6.98</v>
      </c>
      <c r="BN1920" s="42"/>
      <c r="BO1920" s="74"/>
      <c r="BP1920" s="77"/>
      <c r="BR1920" s="497">
        <v>15.079999999999998</v>
      </c>
      <c r="BT1920" s="42"/>
    </row>
    <row r="1921" spans="1:72" x14ac:dyDescent="0.25">
      <c r="A1921" s="90">
        <v>38067</v>
      </c>
      <c r="B1921" s="20">
        <v>0.29166666666666669</v>
      </c>
      <c r="D1921">
        <v>48.92</v>
      </c>
      <c r="E1921" t="str">
        <f t="shared" si="94"/>
        <v>SUNDAY</v>
      </c>
      <c r="F1921" t="e">
        <f t="shared" si="95"/>
        <v>#N/A</v>
      </c>
      <c r="G1921" s="74">
        <v>32953</v>
      </c>
      <c r="H1921" s="77">
        <v>0.29166666666666669</v>
      </c>
      <c r="J1921">
        <v>39.92</v>
      </c>
      <c r="M1921" s="74">
        <v>36606</v>
      </c>
      <c r="N1921" s="77">
        <v>0.29166666666666669</v>
      </c>
      <c r="P1921">
        <v>35.6</v>
      </c>
      <c r="S1921" s="74">
        <v>38067</v>
      </c>
      <c r="T1921" s="77">
        <v>0.29166666666666669</v>
      </c>
      <c r="V1921">
        <v>42.08</v>
      </c>
      <c r="X1921" s="42"/>
      <c r="AB1921">
        <v>37.5</v>
      </c>
      <c r="AC1921">
        <v>37.04</v>
      </c>
      <c r="AE1921" s="74"/>
      <c r="AF1921" s="77"/>
      <c r="AH1921" s="497">
        <v>37.4</v>
      </c>
      <c r="AJ1921" s="42"/>
      <c r="AK1921" s="74"/>
      <c r="AL1921" s="77"/>
      <c r="AN1921" s="497">
        <v>28.94</v>
      </c>
      <c r="AP1921" s="42"/>
      <c r="AQ1921" s="74"/>
      <c r="AR1921" s="77"/>
      <c r="AT1921" s="497">
        <v>57.92</v>
      </c>
      <c r="AV1921" s="42"/>
      <c r="AW1921" s="74"/>
      <c r="AX1921" s="77"/>
      <c r="BA1921" s="497">
        <v>32</v>
      </c>
      <c r="BB1921" s="42"/>
      <c r="BC1921" s="74"/>
      <c r="BD1921" s="77"/>
      <c r="BF1921">
        <v>30.02</v>
      </c>
      <c r="BH1921" s="42"/>
      <c r="BI1921" s="74"/>
      <c r="BJ1921" s="77"/>
      <c r="BL1921" s="497">
        <v>8.0599999999999987</v>
      </c>
      <c r="BN1921" s="42"/>
      <c r="BO1921" s="74"/>
      <c r="BP1921" s="77"/>
      <c r="BR1921" s="497">
        <v>14</v>
      </c>
      <c r="BT1921" s="42"/>
    </row>
    <row r="1922" spans="1:72" x14ac:dyDescent="0.25">
      <c r="A1922" s="90">
        <v>38067</v>
      </c>
      <c r="B1922" s="20">
        <v>0.33333333333333331</v>
      </c>
      <c r="D1922">
        <v>51.08</v>
      </c>
      <c r="E1922" t="str">
        <f t="shared" si="94"/>
        <v>SUNDAY</v>
      </c>
      <c r="F1922" t="e">
        <f t="shared" si="95"/>
        <v>#N/A</v>
      </c>
      <c r="G1922" s="74">
        <v>32953</v>
      </c>
      <c r="H1922" s="77">
        <v>0.33333333333333331</v>
      </c>
      <c r="J1922">
        <v>39.92</v>
      </c>
      <c r="M1922" s="74">
        <v>36606</v>
      </c>
      <c r="N1922" s="77">
        <v>0.33333333333333331</v>
      </c>
      <c r="P1922">
        <v>35.6</v>
      </c>
      <c r="S1922" s="74">
        <v>38067</v>
      </c>
      <c r="T1922" s="77">
        <v>0.33333333333333331</v>
      </c>
      <c r="V1922">
        <v>46.04</v>
      </c>
      <c r="X1922" s="42"/>
      <c r="AB1922">
        <v>38.4</v>
      </c>
      <c r="AC1922">
        <v>39.019999999999996</v>
      </c>
      <c r="AE1922" s="74"/>
      <c r="AF1922" s="77"/>
      <c r="AH1922" s="497">
        <v>37.4</v>
      </c>
      <c r="AJ1922" s="42"/>
      <c r="AK1922" s="74"/>
      <c r="AL1922" s="77"/>
      <c r="AN1922" s="497">
        <v>28.94</v>
      </c>
      <c r="AP1922" s="42"/>
      <c r="AQ1922" s="74"/>
      <c r="AR1922" s="77"/>
      <c r="AT1922" s="497">
        <v>59.36</v>
      </c>
      <c r="AV1922" s="42"/>
      <c r="AW1922" s="74"/>
      <c r="AX1922" s="77"/>
      <c r="BA1922" s="497">
        <v>33.08</v>
      </c>
      <c r="BB1922" s="42"/>
      <c r="BC1922" s="74"/>
      <c r="BD1922" s="77"/>
      <c r="BF1922">
        <v>33.08</v>
      </c>
      <c r="BH1922" s="42"/>
      <c r="BI1922" s="74"/>
      <c r="BJ1922" s="77"/>
      <c r="BL1922" s="497">
        <v>12.920000000000002</v>
      </c>
      <c r="BN1922" s="42"/>
      <c r="BO1922" s="74"/>
      <c r="BP1922" s="77"/>
      <c r="BR1922" s="497">
        <v>15.079999999999998</v>
      </c>
      <c r="BT1922" s="42"/>
    </row>
    <row r="1923" spans="1:72" x14ac:dyDescent="0.25">
      <c r="A1923" s="90">
        <v>38067</v>
      </c>
      <c r="B1923" s="20">
        <v>0.375</v>
      </c>
      <c r="D1923">
        <v>50</v>
      </c>
      <c r="E1923" t="str">
        <f t="shared" si="94"/>
        <v>SUNDAY</v>
      </c>
      <c r="F1923" t="e">
        <f t="shared" si="95"/>
        <v>#N/A</v>
      </c>
      <c r="G1923" s="74">
        <v>32953</v>
      </c>
      <c r="H1923" s="77">
        <v>0.375</v>
      </c>
      <c r="J1923">
        <v>42.08</v>
      </c>
      <c r="M1923" s="74">
        <v>36606</v>
      </c>
      <c r="N1923" s="77">
        <v>0.375</v>
      </c>
      <c r="P1923">
        <v>37.4</v>
      </c>
      <c r="S1923" s="74">
        <v>38067</v>
      </c>
      <c r="T1923" s="77">
        <v>0.375</v>
      </c>
      <c r="V1923">
        <v>48.019999999999996</v>
      </c>
      <c r="X1923" s="42"/>
      <c r="AB1923">
        <v>40.299999999999997</v>
      </c>
      <c r="AC1923">
        <v>42.08</v>
      </c>
      <c r="AE1923" s="74"/>
      <c r="AF1923" s="77"/>
      <c r="AH1923" s="497">
        <v>37.4</v>
      </c>
      <c r="AJ1923" s="42"/>
      <c r="AK1923" s="74"/>
      <c r="AL1923" s="77"/>
      <c r="AN1923" s="497">
        <v>30.02</v>
      </c>
      <c r="AP1923" s="42"/>
      <c r="AQ1923" s="74"/>
      <c r="AR1923" s="77"/>
      <c r="AT1923" s="497">
        <v>60.620000000000005</v>
      </c>
      <c r="AV1923" s="42"/>
      <c r="AW1923" s="74"/>
      <c r="AX1923" s="77"/>
      <c r="BA1923" s="497">
        <v>35.06</v>
      </c>
      <c r="BB1923" s="42"/>
      <c r="BC1923" s="74"/>
      <c r="BD1923" s="77"/>
      <c r="BF1923">
        <v>35.06</v>
      </c>
      <c r="BH1923" s="42"/>
      <c r="BI1923" s="74"/>
      <c r="BJ1923" s="77"/>
      <c r="BL1923" s="497">
        <v>15.079999999999998</v>
      </c>
      <c r="BN1923" s="42"/>
      <c r="BO1923" s="74"/>
      <c r="BP1923" s="77"/>
      <c r="BR1923" s="497">
        <v>17.96</v>
      </c>
      <c r="BT1923" s="42"/>
    </row>
    <row r="1924" spans="1:72" x14ac:dyDescent="0.25">
      <c r="A1924" s="90">
        <v>38067</v>
      </c>
      <c r="B1924" s="20">
        <v>0.41666666666666669</v>
      </c>
      <c r="D1924">
        <v>50</v>
      </c>
      <c r="E1924" t="str">
        <f t="shared" si="94"/>
        <v>SUNDAY</v>
      </c>
      <c r="F1924" t="e">
        <f t="shared" si="95"/>
        <v>#N/A</v>
      </c>
      <c r="G1924" s="74">
        <v>32953</v>
      </c>
      <c r="H1924" s="77">
        <v>0.41666666666666669</v>
      </c>
      <c r="J1924">
        <v>42.980000000000004</v>
      </c>
      <c r="M1924" s="74">
        <v>36606</v>
      </c>
      <c r="N1924" s="77">
        <v>0.41666666666666669</v>
      </c>
      <c r="P1924">
        <v>37.4</v>
      </c>
      <c r="S1924" s="74">
        <v>38067</v>
      </c>
      <c r="T1924" s="77">
        <v>0.41666666666666669</v>
      </c>
      <c r="V1924">
        <v>48.92</v>
      </c>
      <c r="X1924" s="42"/>
      <c r="AB1924">
        <v>42.1</v>
      </c>
      <c r="AC1924">
        <v>42.980000000000004</v>
      </c>
      <c r="AE1924" s="74"/>
      <c r="AF1924" s="77"/>
      <c r="AH1924" s="497">
        <v>39.200000000000003</v>
      </c>
      <c r="AJ1924" s="42"/>
      <c r="AK1924" s="74"/>
      <c r="AL1924" s="77"/>
      <c r="AN1924" s="497">
        <v>30.92</v>
      </c>
      <c r="AP1924" s="42"/>
      <c r="AQ1924" s="74"/>
      <c r="AR1924" s="77"/>
      <c r="AT1924" s="497">
        <v>62.06</v>
      </c>
      <c r="AV1924" s="42"/>
      <c r="AW1924" s="74"/>
      <c r="AX1924" s="77"/>
      <c r="BA1924" s="497">
        <v>37.04</v>
      </c>
      <c r="BB1924" s="42"/>
      <c r="BC1924" s="74"/>
      <c r="BD1924" s="77"/>
      <c r="BF1924">
        <v>37.04</v>
      </c>
      <c r="BH1924" s="42"/>
      <c r="BI1924" s="74"/>
      <c r="BJ1924" s="77"/>
      <c r="BL1924" s="497">
        <v>17.059999999999999</v>
      </c>
      <c r="BN1924" s="42"/>
      <c r="BO1924" s="74"/>
      <c r="BP1924" s="77"/>
      <c r="BR1924" s="497">
        <v>19.939999999999998</v>
      </c>
      <c r="BT1924" s="42"/>
    </row>
    <row r="1925" spans="1:72" x14ac:dyDescent="0.25">
      <c r="A1925" s="90">
        <v>38067</v>
      </c>
      <c r="B1925" s="20">
        <v>0.45833333333333331</v>
      </c>
      <c r="D1925">
        <v>50</v>
      </c>
      <c r="E1925" t="str">
        <f t="shared" si="94"/>
        <v>SUNDAY</v>
      </c>
      <c r="F1925" t="e">
        <f t="shared" si="95"/>
        <v>#N/A</v>
      </c>
      <c r="G1925" s="74">
        <v>32953</v>
      </c>
      <c r="H1925" s="77">
        <v>0.45833333333333331</v>
      </c>
      <c r="J1925">
        <v>44.96</v>
      </c>
      <c r="M1925" s="74">
        <v>36606</v>
      </c>
      <c r="N1925" s="77">
        <v>0.45833333333333331</v>
      </c>
      <c r="P1925">
        <v>39.200000000000003</v>
      </c>
      <c r="S1925" s="74">
        <v>38067</v>
      </c>
      <c r="T1925" s="77">
        <v>0.45833333333333331</v>
      </c>
      <c r="V1925">
        <v>48.019999999999996</v>
      </c>
      <c r="X1925" s="42"/>
      <c r="AB1925">
        <v>43.8</v>
      </c>
      <c r="AC1925">
        <v>46.04</v>
      </c>
      <c r="AE1925" s="74"/>
      <c r="AF1925" s="77"/>
      <c r="AH1925" s="497">
        <v>39.200000000000003</v>
      </c>
      <c r="AJ1925" s="42"/>
      <c r="AK1925" s="74"/>
      <c r="AL1925" s="77"/>
      <c r="AN1925" s="497">
        <v>33.08</v>
      </c>
      <c r="AP1925" s="42"/>
      <c r="AQ1925" s="74"/>
      <c r="AR1925" s="77"/>
      <c r="AT1925" s="497">
        <v>62.42</v>
      </c>
      <c r="AV1925" s="42"/>
      <c r="AW1925" s="74"/>
      <c r="AX1925" s="77"/>
      <c r="BA1925" s="497">
        <v>39.019999999999996</v>
      </c>
      <c r="BB1925" s="42"/>
      <c r="BC1925" s="74"/>
      <c r="BD1925" s="77"/>
      <c r="BF1925">
        <v>37.94</v>
      </c>
      <c r="BH1925" s="42"/>
      <c r="BI1925" s="74"/>
      <c r="BJ1925" s="77"/>
      <c r="BL1925" s="497">
        <v>19.04</v>
      </c>
      <c r="BN1925" s="42"/>
      <c r="BO1925" s="74"/>
      <c r="BP1925" s="77"/>
      <c r="BR1925" s="497">
        <v>19.939999999999998</v>
      </c>
      <c r="BT1925" s="42"/>
    </row>
    <row r="1926" spans="1:72" x14ac:dyDescent="0.25">
      <c r="A1926" s="90">
        <v>38067</v>
      </c>
      <c r="B1926" s="20">
        <v>0.5</v>
      </c>
      <c r="D1926">
        <v>51.08</v>
      </c>
      <c r="E1926" t="str">
        <f t="shared" si="94"/>
        <v>SUNDAY</v>
      </c>
      <c r="F1926" t="e">
        <f t="shared" si="95"/>
        <v>#N/A</v>
      </c>
      <c r="G1926" s="74">
        <v>32953</v>
      </c>
      <c r="H1926" s="77">
        <v>0.5</v>
      </c>
      <c r="J1926">
        <v>46.94</v>
      </c>
      <c r="M1926" s="74">
        <v>36606</v>
      </c>
      <c r="N1926" s="77">
        <v>0.5</v>
      </c>
      <c r="P1926">
        <v>41</v>
      </c>
      <c r="S1926" s="74">
        <v>38067</v>
      </c>
      <c r="T1926" s="77">
        <v>0.5</v>
      </c>
      <c r="V1926">
        <v>51.08</v>
      </c>
      <c r="X1926" s="42"/>
      <c r="AB1926">
        <v>45.1</v>
      </c>
      <c r="AC1926">
        <v>46.04</v>
      </c>
      <c r="AE1926" s="74"/>
      <c r="AF1926" s="77"/>
      <c r="AH1926" s="497">
        <v>42.8</v>
      </c>
      <c r="AJ1926" s="42"/>
      <c r="AK1926" s="74"/>
      <c r="AL1926" s="77"/>
      <c r="AN1926" s="497">
        <v>35.96</v>
      </c>
      <c r="AP1926" s="42"/>
      <c r="AQ1926" s="74"/>
      <c r="AR1926" s="77"/>
      <c r="AT1926" s="497">
        <v>62.6</v>
      </c>
      <c r="AV1926" s="42"/>
      <c r="AW1926" s="74"/>
      <c r="AX1926" s="77"/>
      <c r="BA1926" s="497">
        <v>39.92</v>
      </c>
      <c r="BB1926" s="42"/>
      <c r="BC1926" s="74"/>
      <c r="BD1926" s="77"/>
      <c r="BF1926">
        <v>39.019999999999996</v>
      </c>
      <c r="BH1926" s="42"/>
      <c r="BI1926" s="74"/>
      <c r="BJ1926" s="77"/>
      <c r="BL1926" s="497">
        <v>19.939999999999998</v>
      </c>
      <c r="BN1926" s="42"/>
      <c r="BO1926" s="74"/>
      <c r="BP1926" s="77"/>
      <c r="BR1926" s="497">
        <v>21.92</v>
      </c>
      <c r="BT1926" s="42"/>
    </row>
    <row r="1927" spans="1:72" x14ac:dyDescent="0.25">
      <c r="A1927" s="90">
        <v>38067</v>
      </c>
      <c r="B1927" s="20">
        <v>0.54166666666666663</v>
      </c>
      <c r="D1927">
        <v>51.980000000000004</v>
      </c>
      <c r="E1927" t="str">
        <f t="shared" si="94"/>
        <v>SUNDAY</v>
      </c>
      <c r="F1927" t="e">
        <f t="shared" si="95"/>
        <v>#N/A</v>
      </c>
      <c r="G1927" s="74">
        <v>32953</v>
      </c>
      <c r="H1927" s="77">
        <v>0.54166666666666663</v>
      </c>
      <c r="J1927">
        <v>48.019999999999996</v>
      </c>
      <c r="M1927" s="74">
        <v>36606</v>
      </c>
      <c r="N1927" s="77">
        <v>0.54166666666666663</v>
      </c>
      <c r="P1927">
        <v>42.8</v>
      </c>
      <c r="S1927" s="74">
        <v>38067</v>
      </c>
      <c r="T1927" s="77">
        <v>0.54166666666666663</v>
      </c>
      <c r="V1927">
        <v>50</v>
      </c>
      <c r="X1927" s="42"/>
      <c r="AB1927">
        <v>46.2</v>
      </c>
      <c r="AC1927">
        <v>46.94</v>
      </c>
      <c r="AE1927" s="74"/>
      <c r="AF1927" s="77"/>
      <c r="AH1927" s="497">
        <v>44.6</v>
      </c>
      <c r="AJ1927" s="42"/>
      <c r="AK1927" s="74"/>
      <c r="AL1927" s="77"/>
      <c r="AN1927" s="497">
        <v>39.019999999999996</v>
      </c>
      <c r="AP1927" s="42"/>
      <c r="AQ1927" s="74"/>
      <c r="AR1927" s="77"/>
      <c r="AT1927" s="497">
        <v>62.96</v>
      </c>
      <c r="AV1927" s="42"/>
      <c r="AW1927" s="74"/>
      <c r="AX1927" s="77"/>
      <c r="BA1927" s="497">
        <v>41</v>
      </c>
      <c r="BB1927" s="42"/>
      <c r="BC1927" s="74"/>
      <c r="BD1927" s="77"/>
      <c r="BF1927">
        <v>39.92</v>
      </c>
      <c r="BH1927" s="42"/>
      <c r="BI1927" s="74"/>
      <c r="BJ1927" s="77"/>
      <c r="BL1927" s="497">
        <v>21.02</v>
      </c>
      <c r="BN1927" s="42"/>
      <c r="BO1927" s="74"/>
      <c r="BP1927" s="77"/>
      <c r="BR1927" s="497">
        <v>24.08</v>
      </c>
      <c r="BT1927" s="42"/>
    </row>
    <row r="1928" spans="1:72" x14ac:dyDescent="0.25">
      <c r="A1928" s="90">
        <v>38067</v>
      </c>
      <c r="B1928" s="20">
        <v>0.58333333333333337</v>
      </c>
      <c r="D1928">
        <v>55.94</v>
      </c>
      <c r="E1928" t="str">
        <f t="shared" si="94"/>
        <v>SUNDAY</v>
      </c>
      <c r="F1928" t="e">
        <f t="shared" si="95"/>
        <v>#N/A</v>
      </c>
      <c r="G1928" s="74">
        <v>32953</v>
      </c>
      <c r="H1928" s="77">
        <v>0.58333333333333337</v>
      </c>
      <c r="J1928">
        <v>50</v>
      </c>
      <c r="M1928" s="74">
        <v>36606</v>
      </c>
      <c r="N1928" s="77">
        <v>0.58333333333333337</v>
      </c>
      <c r="P1928">
        <v>43.879999999999995</v>
      </c>
      <c r="S1928" s="74">
        <v>38067</v>
      </c>
      <c r="T1928" s="77">
        <v>0.58333333333333337</v>
      </c>
      <c r="V1928">
        <v>48.019999999999996</v>
      </c>
      <c r="X1928" s="42"/>
      <c r="AB1928">
        <v>47</v>
      </c>
      <c r="AC1928">
        <v>46.04</v>
      </c>
      <c r="AE1928" s="74"/>
      <c r="AF1928" s="77"/>
      <c r="AH1928" s="497">
        <v>44.6</v>
      </c>
      <c r="AJ1928" s="42"/>
      <c r="AK1928" s="74"/>
      <c r="AL1928" s="77"/>
      <c r="AN1928" s="497">
        <v>41</v>
      </c>
      <c r="AP1928" s="42"/>
      <c r="AQ1928" s="74"/>
      <c r="AR1928" s="77"/>
      <c r="AT1928" s="497">
        <v>57.379999999999995</v>
      </c>
      <c r="AV1928" s="42"/>
      <c r="AW1928" s="74"/>
      <c r="AX1928" s="77"/>
      <c r="BA1928" s="497">
        <v>42.980000000000004</v>
      </c>
      <c r="BB1928" s="42"/>
      <c r="BC1928" s="74"/>
      <c r="BD1928" s="77"/>
      <c r="BF1928">
        <v>41</v>
      </c>
      <c r="BH1928" s="42"/>
      <c r="BI1928" s="74"/>
      <c r="BJ1928" s="77"/>
      <c r="BL1928" s="497">
        <v>21.02</v>
      </c>
      <c r="BN1928" s="42"/>
      <c r="BO1928" s="74"/>
      <c r="BP1928" s="77"/>
      <c r="BR1928" s="497">
        <v>24.98</v>
      </c>
      <c r="BT1928" s="42"/>
    </row>
    <row r="1929" spans="1:72" x14ac:dyDescent="0.25">
      <c r="A1929" s="90">
        <v>38067</v>
      </c>
      <c r="B1929" s="20">
        <v>0.625</v>
      </c>
      <c r="D1929">
        <v>60.08</v>
      </c>
      <c r="E1929" t="str">
        <f t="shared" si="94"/>
        <v>SUNDAY</v>
      </c>
      <c r="F1929" t="e">
        <f t="shared" si="95"/>
        <v>#N/A</v>
      </c>
      <c r="G1929" s="74">
        <v>32953</v>
      </c>
      <c r="H1929" s="77">
        <v>0.625</v>
      </c>
      <c r="J1929">
        <v>51.08</v>
      </c>
      <c r="M1929" s="74">
        <v>36606</v>
      </c>
      <c r="N1929" s="77">
        <v>0.625</v>
      </c>
      <c r="P1929">
        <v>44.6</v>
      </c>
      <c r="S1929" s="74">
        <v>38067</v>
      </c>
      <c r="T1929" s="77">
        <v>0.625</v>
      </c>
      <c r="V1929">
        <v>51.08</v>
      </c>
      <c r="X1929" s="42"/>
      <c r="AB1929">
        <v>47.3</v>
      </c>
      <c r="AC1929">
        <v>42.980000000000004</v>
      </c>
      <c r="AE1929" s="74"/>
      <c r="AF1929" s="77"/>
      <c r="AH1929" s="497">
        <v>45.86</v>
      </c>
      <c r="AJ1929" s="42"/>
      <c r="AK1929" s="74"/>
      <c r="AL1929" s="77"/>
      <c r="AN1929" s="497">
        <v>44.06</v>
      </c>
      <c r="AP1929" s="42"/>
      <c r="AQ1929" s="74"/>
      <c r="AR1929" s="77"/>
      <c r="AT1929" s="497">
        <v>51.620000000000005</v>
      </c>
      <c r="AV1929" s="42"/>
      <c r="AW1929" s="74"/>
      <c r="AX1929" s="77"/>
      <c r="BA1929" s="497">
        <v>44.06</v>
      </c>
      <c r="BB1929" s="42"/>
      <c r="BC1929" s="74"/>
      <c r="BD1929" s="77"/>
      <c r="BF1929">
        <v>41</v>
      </c>
      <c r="BH1929" s="42"/>
      <c r="BI1929" s="74"/>
      <c r="BJ1929" s="77"/>
      <c r="BL1929" s="497">
        <v>23</v>
      </c>
      <c r="BN1929" s="42"/>
      <c r="BO1929" s="74"/>
      <c r="BP1929" s="77"/>
      <c r="BR1929" s="497">
        <v>26.96</v>
      </c>
      <c r="BT1929" s="42"/>
    </row>
    <row r="1930" spans="1:72" x14ac:dyDescent="0.25">
      <c r="A1930" s="90">
        <v>38067</v>
      </c>
      <c r="B1930" s="20">
        <v>0.66666666666666663</v>
      </c>
      <c r="D1930">
        <v>57.92</v>
      </c>
      <c r="E1930" t="str">
        <f t="shared" si="94"/>
        <v>SUNDAY</v>
      </c>
      <c r="F1930" t="e">
        <f t="shared" si="95"/>
        <v>#N/A</v>
      </c>
      <c r="G1930" s="74">
        <v>32953</v>
      </c>
      <c r="H1930" s="77">
        <v>0.66666666666666663</v>
      </c>
      <c r="J1930">
        <v>51.08</v>
      </c>
      <c r="M1930" s="74">
        <v>36606</v>
      </c>
      <c r="N1930" s="77">
        <v>0.66666666666666663</v>
      </c>
      <c r="P1930">
        <v>44.6</v>
      </c>
      <c r="S1930" s="74">
        <v>38067</v>
      </c>
      <c r="T1930" s="77">
        <v>0.66666666666666663</v>
      </c>
      <c r="V1930">
        <v>48.019999999999996</v>
      </c>
      <c r="X1930" s="42"/>
      <c r="AB1930">
        <v>47.3</v>
      </c>
      <c r="AC1930">
        <v>42.980000000000004</v>
      </c>
      <c r="AE1930" s="74"/>
      <c r="AF1930" s="77"/>
      <c r="AH1930" s="497">
        <v>46.4</v>
      </c>
      <c r="AJ1930" s="42"/>
      <c r="AK1930" s="74"/>
      <c r="AL1930" s="77"/>
      <c r="AN1930" s="497">
        <v>42.08</v>
      </c>
      <c r="AP1930" s="42"/>
      <c r="AQ1930" s="74"/>
      <c r="AR1930" s="77"/>
      <c r="AT1930" s="497">
        <v>46.04</v>
      </c>
      <c r="AV1930" s="42"/>
      <c r="AW1930" s="74"/>
      <c r="AX1930" s="77"/>
      <c r="BA1930" s="497">
        <v>44.06</v>
      </c>
      <c r="BB1930" s="42"/>
      <c r="BC1930" s="74"/>
      <c r="BD1930" s="77"/>
      <c r="BF1930">
        <v>39.92</v>
      </c>
      <c r="BH1930" s="42"/>
      <c r="BI1930" s="74"/>
      <c r="BJ1930" s="77"/>
      <c r="BL1930" s="497">
        <v>24.08</v>
      </c>
      <c r="BN1930" s="42"/>
      <c r="BO1930" s="74"/>
      <c r="BP1930" s="77"/>
      <c r="BR1930" s="497">
        <v>26.96</v>
      </c>
      <c r="BT1930" s="42"/>
    </row>
    <row r="1931" spans="1:72" x14ac:dyDescent="0.25">
      <c r="A1931" s="90">
        <v>38067</v>
      </c>
      <c r="B1931" s="20">
        <v>0.70833333333333337</v>
      </c>
      <c r="D1931">
        <v>57.92</v>
      </c>
      <c r="E1931" t="str">
        <f t="shared" si="94"/>
        <v>SUNDAY</v>
      </c>
      <c r="F1931" t="e">
        <f t="shared" si="95"/>
        <v>#N/A</v>
      </c>
      <c r="G1931" s="74">
        <v>32953</v>
      </c>
      <c r="H1931" s="77">
        <v>0.70833333333333337</v>
      </c>
      <c r="J1931">
        <v>51.08</v>
      </c>
      <c r="M1931" s="74">
        <v>36606</v>
      </c>
      <c r="N1931" s="77">
        <v>0.70833333333333337</v>
      </c>
      <c r="P1931">
        <v>44.6</v>
      </c>
      <c r="S1931" s="74">
        <v>38067</v>
      </c>
      <c r="T1931" s="77">
        <v>0.70833333333333337</v>
      </c>
      <c r="V1931">
        <v>44.96</v>
      </c>
      <c r="X1931" s="42"/>
      <c r="AB1931">
        <v>46.9</v>
      </c>
      <c r="AC1931">
        <v>42.980000000000004</v>
      </c>
      <c r="AE1931" s="74"/>
      <c r="AF1931" s="77"/>
      <c r="AH1931" s="497">
        <v>46.4</v>
      </c>
      <c r="AJ1931" s="42"/>
      <c r="AK1931" s="74"/>
      <c r="AL1931" s="77"/>
      <c r="AN1931" s="497">
        <v>32</v>
      </c>
      <c r="AP1931" s="42"/>
      <c r="AQ1931" s="74"/>
      <c r="AR1931" s="77"/>
      <c r="AT1931" s="497">
        <v>46.04</v>
      </c>
      <c r="AV1931" s="42"/>
      <c r="AW1931" s="74"/>
      <c r="AX1931" s="77"/>
      <c r="BA1931" s="497">
        <v>44.06</v>
      </c>
      <c r="BB1931" s="42"/>
      <c r="BC1931" s="74"/>
      <c r="BD1931" s="77"/>
      <c r="BF1931">
        <v>39.019999999999996</v>
      </c>
      <c r="BH1931" s="42"/>
      <c r="BI1931" s="74"/>
      <c r="BJ1931" s="77"/>
      <c r="BL1931" s="497">
        <v>24.08</v>
      </c>
      <c r="BN1931" s="42"/>
      <c r="BO1931" s="74"/>
      <c r="BP1931" s="77"/>
      <c r="BR1931" s="497">
        <v>26.96</v>
      </c>
      <c r="BT1931" s="42"/>
    </row>
    <row r="1932" spans="1:72" x14ac:dyDescent="0.25">
      <c r="A1932" s="90">
        <v>38067</v>
      </c>
      <c r="B1932" s="20">
        <v>0.75</v>
      </c>
      <c r="D1932">
        <v>57.92</v>
      </c>
      <c r="E1932" t="str">
        <f t="shared" si="94"/>
        <v>SUNDAY</v>
      </c>
      <c r="F1932" t="e">
        <f t="shared" si="95"/>
        <v>#N/A</v>
      </c>
      <c r="G1932" s="74">
        <v>32953</v>
      </c>
      <c r="H1932" s="77">
        <v>0.75</v>
      </c>
      <c r="J1932">
        <v>51.08</v>
      </c>
      <c r="M1932" s="74">
        <v>36606</v>
      </c>
      <c r="N1932" s="77">
        <v>0.75</v>
      </c>
      <c r="P1932">
        <v>42.8</v>
      </c>
      <c r="S1932" s="74">
        <v>38067</v>
      </c>
      <c r="T1932" s="77">
        <v>0.75</v>
      </c>
      <c r="V1932">
        <v>42.08</v>
      </c>
      <c r="X1932" s="42"/>
      <c r="AB1932">
        <v>45.9</v>
      </c>
      <c r="AC1932">
        <v>42.08</v>
      </c>
      <c r="AE1932" s="74"/>
      <c r="AF1932" s="77"/>
      <c r="AH1932" s="497">
        <v>44.6</v>
      </c>
      <c r="AJ1932" s="42"/>
      <c r="AK1932" s="74"/>
      <c r="AL1932" s="77"/>
      <c r="AN1932" s="497">
        <v>28.04</v>
      </c>
      <c r="AP1932" s="42"/>
      <c r="AQ1932" s="74"/>
      <c r="AR1932" s="77"/>
      <c r="AT1932" s="497">
        <v>46.04</v>
      </c>
      <c r="AV1932" s="42"/>
      <c r="AW1932" s="74"/>
      <c r="AX1932" s="77"/>
      <c r="BA1932" s="497">
        <v>42.08</v>
      </c>
      <c r="BB1932" s="42"/>
      <c r="BC1932" s="74"/>
      <c r="BD1932" s="77"/>
      <c r="BF1932">
        <v>37.94</v>
      </c>
      <c r="BH1932" s="42"/>
      <c r="BI1932" s="74"/>
      <c r="BJ1932" s="77"/>
      <c r="BL1932" s="497">
        <v>21.92</v>
      </c>
      <c r="BN1932" s="42"/>
      <c r="BO1932" s="74"/>
      <c r="BP1932" s="77"/>
      <c r="BR1932" s="497">
        <v>24.98</v>
      </c>
      <c r="BT1932" s="42"/>
    </row>
    <row r="1933" spans="1:72" x14ac:dyDescent="0.25">
      <c r="A1933" s="90">
        <v>38067</v>
      </c>
      <c r="B1933" s="20">
        <v>0.79166666666666663</v>
      </c>
      <c r="D1933">
        <v>57.019999999999996</v>
      </c>
      <c r="E1933" t="str">
        <f t="shared" si="94"/>
        <v>SUNDAY</v>
      </c>
      <c r="F1933" t="e">
        <f t="shared" si="95"/>
        <v>#N/A</v>
      </c>
      <c r="G1933" s="74">
        <v>32953</v>
      </c>
      <c r="H1933" s="77">
        <v>0.79166666666666663</v>
      </c>
      <c r="J1933">
        <v>50</v>
      </c>
      <c r="M1933" s="74">
        <v>36606</v>
      </c>
      <c r="N1933" s="77">
        <v>0.79166666666666663</v>
      </c>
      <c r="P1933">
        <v>42.8</v>
      </c>
      <c r="S1933" s="74">
        <v>38067</v>
      </c>
      <c r="T1933" s="77">
        <v>0.79166666666666663</v>
      </c>
      <c r="V1933">
        <v>39.019999999999996</v>
      </c>
      <c r="X1933" s="42"/>
      <c r="AB1933">
        <v>44.4</v>
      </c>
      <c r="AC1933">
        <v>42.08</v>
      </c>
      <c r="AE1933" s="74"/>
      <c r="AF1933" s="77"/>
      <c r="AH1933" s="497">
        <v>42.8</v>
      </c>
      <c r="AJ1933" s="42"/>
      <c r="AK1933" s="74"/>
      <c r="AL1933" s="77"/>
      <c r="AN1933" s="497">
        <v>24.08</v>
      </c>
      <c r="AP1933" s="42"/>
      <c r="AQ1933" s="74"/>
      <c r="AR1933" s="77"/>
      <c r="AT1933" s="497">
        <v>46.04</v>
      </c>
      <c r="AV1933" s="42"/>
      <c r="AW1933" s="74"/>
      <c r="AX1933" s="77"/>
      <c r="BA1933" s="497">
        <v>41</v>
      </c>
      <c r="BB1933" s="42"/>
      <c r="BC1933" s="74"/>
      <c r="BD1933" s="77"/>
      <c r="BF1933">
        <v>35.96</v>
      </c>
      <c r="BH1933" s="42"/>
      <c r="BI1933" s="74"/>
      <c r="BJ1933" s="77"/>
      <c r="BL1933" s="497">
        <v>19.939999999999998</v>
      </c>
      <c r="BN1933" s="42"/>
      <c r="BO1933" s="74"/>
      <c r="BP1933" s="77"/>
      <c r="BR1933" s="497">
        <v>21.92</v>
      </c>
      <c r="BT1933" s="42"/>
    </row>
    <row r="1934" spans="1:72" x14ac:dyDescent="0.25">
      <c r="A1934" s="90">
        <v>38067</v>
      </c>
      <c r="B1934" s="20">
        <v>0.83333333333333337</v>
      </c>
      <c r="D1934">
        <v>55.040000000000006</v>
      </c>
      <c r="E1934" t="str">
        <f t="shared" si="94"/>
        <v>SUNDAY</v>
      </c>
      <c r="F1934" t="e">
        <f t="shared" si="95"/>
        <v>#N/A</v>
      </c>
      <c r="G1934" s="74">
        <v>32953</v>
      </c>
      <c r="H1934" s="77">
        <v>0.83333333333333337</v>
      </c>
      <c r="J1934">
        <v>48.019999999999996</v>
      </c>
      <c r="M1934" s="74">
        <v>36606</v>
      </c>
      <c r="N1934" s="77">
        <v>0.83333333333333337</v>
      </c>
      <c r="P1934">
        <v>41</v>
      </c>
      <c r="S1934" s="74">
        <v>38067</v>
      </c>
      <c r="T1934" s="77">
        <v>0.83333333333333337</v>
      </c>
      <c r="V1934">
        <v>37.04</v>
      </c>
      <c r="X1934" s="42"/>
      <c r="AB1934">
        <v>43.4</v>
      </c>
      <c r="AC1934">
        <v>42.08</v>
      </c>
      <c r="AE1934" s="74"/>
      <c r="AF1934" s="77"/>
      <c r="AH1934" s="497">
        <v>42.8</v>
      </c>
      <c r="AJ1934" s="42"/>
      <c r="AK1934" s="74"/>
      <c r="AL1934" s="77"/>
      <c r="AN1934" s="497">
        <v>19.939999999999998</v>
      </c>
      <c r="AP1934" s="42"/>
      <c r="AQ1934" s="74"/>
      <c r="AR1934" s="77"/>
      <c r="AT1934" s="497">
        <v>44.06</v>
      </c>
      <c r="AV1934" s="42"/>
      <c r="AW1934" s="74"/>
      <c r="AX1934" s="77"/>
      <c r="BA1934" s="497">
        <v>37.04</v>
      </c>
      <c r="BB1934" s="42"/>
      <c r="BC1934" s="74"/>
      <c r="BD1934" s="77"/>
      <c r="BF1934">
        <v>35.96</v>
      </c>
      <c r="BH1934" s="42"/>
      <c r="BI1934" s="74"/>
      <c r="BJ1934" s="77"/>
      <c r="BL1934" s="497">
        <v>19.939999999999998</v>
      </c>
      <c r="BN1934" s="42"/>
      <c r="BO1934" s="74"/>
      <c r="BP1934" s="77"/>
      <c r="BR1934" s="497">
        <v>17.96</v>
      </c>
      <c r="BT1934" s="42"/>
    </row>
    <row r="1935" spans="1:72" x14ac:dyDescent="0.25">
      <c r="A1935" s="90">
        <v>38067</v>
      </c>
      <c r="B1935" s="20">
        <v>0.875</v>
      </c>
      <c r="D1935">
        <v>53.06</v>
      </c>
      <c r="E1935" t="str">
        <f t="shared" si="94"/>
        <v>SUNDAY</v>
      </c>
      <c r="F1935" t="e">
        <f t="shared" si="95"/>
        <v>#N/A</v>
      </c>
      <c r="G1935" s="74">
        <v>32953</v>
      </c>
      <c r="H1935" s="77">
        <v>0.875</v>
      </c>
      <c r="J1935">
        <v>48.019999999999996</v>
      </c>
      <c r="M1935" s="74">
        <v>36606</v>
      </c>
      <c r="N1935" s="77">
        <v>0.875</v>
      </c>
      <c r="P1935">
        <v>39.200000000000003</v>
      </c>
      <c r="S1935" s="74">
        <v>38067</v>
      </c>
      <c r="T1935" s="77">
        <v>0.875</v>
      </c>
      <c r="V1935">
        <v>35.06</v>
      </c>
      <c r="X1935" s="42"/>
      <c r="AB1935">
        <v>42.8</v>
      </c>
      <c r="AC1935">
        <v>41</v>
      </c>
      <c r="AE1935" s="74"/>
      <c r="AF1935" s="77"/>
      <c r="AH1935" s="497">
        <v>42.8</v>
      </c>
      <c r="AJ1935" s="42"/>
      <c r="AK1935" s="74"/>
      <c r="AL1935" s="77"/>
      <c r="AN1935" s="497">
        <v>17.96</v>
      </c>
      <c r="AP1935" s="42"/>
      <c r="AQ1935" s="74"/>
      <c r="AR1935" s="77"/>
      <c r="AT1935" s="497">
        <v>41.9</v>
      </c>
      <c r="AV1935" s="42"/>
      <c r="AW1935" s="74"/>
      <c r="AX1935" s="77"/>
      <c r="BA1935" s="497">
        <v>35.96</v>
      </c>
      <c r="BB1935" s="42"/>
      <c r="BC1935" s="74"/>
      <c r="BD1935" s="77"/>
      <c r="BF1935">
        <v>35.96</v>
      </c>
      <c r="BH1935" s="42"/>
      <c r="BI1935" s="74"/>
      <c r="BJ1935" s="77"/>
      <c r="BL1935" s="497">
        <v>19.04</v>
      </c>
      <c r="BN1935" s="42"/>
      <c r="BO1935" s="74"/>
      <c r="BP1935" s="77"/>
      <c r="BR1935" s="497">
        <v>15.079999999999998</v>
      </c>
      <c r="BT1935" s="42"/>
    </row>
    <row r="1936" spans="1:72" x14ac:dyDescent="0.25">
      <c r="A1936" s="90">
        <v>38067</v>
      </c>
      <c r="B1936" s="20">
        <v>0.91666666666666663</v>
      </c>
      <c r="D1936">
        <v>51.08</v>
      </c>
      <c r="E1936" t="str">
        <f t="shared" si="94"/>
        <v>SUNDAY</v>
      </c>
      <c r="F1936" t="e">
        <f t="shared" si="95"/>
        <v>#N/A</v>
      </c>
      <c r="G1936" s="74">
        <v>32953</v>
      </c>
      <c r="H1936" s="77">
        <v>0.91666666666666663</v>
      </c>
      <c r="J1936">
        <v>46.04</v>
      </c>
      <c r="M1936" s="74">
        <v>36606</v>
      </c>
      <c r="N1936" s="77">
        <v>0.91666666666666663</v>
      </c>
      <c r="P1936">
        <v>39.200000000000003</v>
      </c>
      <c r="S1936" s="74">
        <v>38067</v>
      </c>
      <c r="T1936" s="77">
        <v>0.91666666666666663</v>
      </c>
      <c r="V1936">
        <v>33.08</v>
      </c>
      <c r="X1936" s="42"/>
      <c r="AB1936">
        <v>42.2</v>
      </c>
      <c r="AC1936">
        <v>41</v>
      </c>
      <c r="AE1936" s="74"/>
      <c r="AF1936" s="77"/>
      <c r="AH1936" s="497">
        <v>41</v>
      </c>
      <c r="AJ1936" s="42"/>
      <c r="AK1936" s="74"/>
      <c r="AL1936" s="77"/>
      <c r="AN1936" s="497">
        <v>17.059999999999999</v>
      </c>
      <c r="AP1936" s="42"/>
      <c r="AQ1936" s="74"/>
      <c r="AR1936" s="77"/>
      <c r="AT1936" s="497">
        <v>39.92</v>
      </c>
      <c r="AV1936" s="42"/>
      <c r="AW1936" s="74"/>
      <c r="AX1936" s="77"/>
      <c r="BA1936" s="497">
        <v>33.979999999999997</v>
      </c>
      <c r="BB1936" s="42"/>
      <c r="BC1936" s="74"/>
      <c r="BD1936" s="77"/>
      <c r="BF1936">
        <v>35.96</v>
      </c>
      <c r="BH1936" s="42"/>
      <c r="BI1936" s="74"/>
      <c r="BJ1936" s="77"/>
      <c r="BL1936" s="497">
        <v>19.04</v>
      </c>
      <c r="BN1936" s="42"/>
      <c r="BO1936" s="74"/>
      <c r="BP1936" s="77"/>
      <c r="BR1936" s="497">
        <v>12.02</v>
      </c>
      <c r="BT1936" s="42"/>
    </row>
    <row r="1937" spans="1:72" x14ac:dyDescent="0.25">
      <c r="A1937" s="90">
        <v>38067</v>
      </c>
      <c r="B1937" s="20">
        <v>0.95833333333333337</v>
      </c>
      <c r="D1937">
        <v>50</v>
      </c>
      <c r="E1937" t="str">
        <f t="shared" si="94"/>
        <v>SUNDAY</v>
      </c>
      <c r="F1937" t="e">
        <f t="shared" si="95"/>
        <v>#N/A</v>
      </c>
      <c r="G1937" s="74">
        <v>32953</v>
      </c>
      <c r="H1937" s="77">
        <v>0.95833333333333337</v>
      </c>
      <c r="J1937">
        <v>46.04</v>
      </c>
      <c r="M1937" s="74">
        <v>36606</v>
      </c>
      <c r="N1937" s="77">
        <v>0.95833333333333337</v>
      </c>
      <c r="P1937">
        <v>39.200000000000003</v>
      </c>
      <c r="S1937" s="74">
        <v>38067</v>
      </c>
      <c r="T1937" s="77">
        <v>0.95833333333333337</v>
      </c>
      <c r="V1937">
        <v>30.92</v>
      </c>
      <c r="X1937" s="42"/>
      <c r="AB1937">
        <v>41.5</v>
      </c>
      <c r="AC1937">
        <v>41</v>
      </c>
      <c r="AE1937" s="74"/>
      <c r="AF1937" s="77"/>
      <c r="AH1937" s="497">
        <v>39.200000000000003</v>
      </c>
      <c r="AJ1937" s="42"/>
      <c r="AK1937" s="74"/>
      <c r="AL1937" s="77"/>
      <c r="AN1937" s="497">
        <v>15.079999999999998</v>
      </c>
      <c r="AP1937" s="42"/>
      <c r="AQ1937" s="74"/>
      <c r="AR1937" s="77"/>
      <c r="AT1937" s="497">
        <v>36.86</v>
      </c>
      <c r="AV1937" s="42"/>
      <c r="AW1937" s="74"/>
      <c r="AX1937" s="77"/>
      <c r="BA1937" s="497">
        <v>32</v>
      </c>
      <c r="BB1937" s="42"/>
      <c r="BC1937" s="74"/>
      <c r="BD1937" s="77"/>
      <c r="BF1937">
        <v>35.06</v>
      </c>
      <c r="BH1937" s="42"/>
      <c r="BI1937" s="74"/>
      <c r="BJ1937" s="77"/>
      <c r="BL1937" s="497">
        <v>19.04</v>
      </c>
      <c r="BN1937" s="42"/>
      <c r="BO1937" s="74"/>
      <c r="BP1937" s="77"/>
      <c r="BR1937" s="497">
        <v>12.02</v>
      </c>
      <c r="BT1937" s="42"/>
    </row>
    <row r="1938" spans="1:72" x14ac:dyDescent="0.25">
      <c r="A1938" s="90">
        <v>38067</v>
      </c>
      <c r="B1938" s="20">
        <v>1</v>
      </c>
      <c r="D1938">
        <v>50</v>
      </c>
      <c r="E1938" t="str">
        <f t="shared" si="94"/>
        <v>SUNDAY</v>
      </c>
      <c r="F1938" t="e">
        <f t="shared" si="95"/>
        <v>#N/A</v>
      </c>
      <c r="G1938" s="74">
        <v>32953</v>
      </c>
      <c r="H1938" s="77">
        <v>1</v>
      </c>
      <c r="J1938">
        <v>44.96</v>
      </c>
      <c r="M1938" s="74">
        <v>36606</v>
      </c>
      <c r="N1938" s="80">
        <v>1</v>
      </c>
      <c r="P1938">
        <v>37.4</v>
      </c>
      <c r="S1938" s="74">
        <v>38067</v>
      </c>
      <c r="T1938" s="80">
        <v>1</v>
      </c>
      <c r="V1938">
        <v>30.02</v>
      </c>
      <c r="X1938" s="42"/>
      <c r="AB1938">
        <v>40.9</v>
      </c>
      <c r="AC1938">
        <v>39.019999999999996</v>
      </c>
      <c r="AE1938" s="74"/>
      <c r="AF1938" s="80"/>
      <c r="AH1938" s="497">
        <v>39.200000000000003</v>
      </c>
      <c r="AJ1938" s="42"/>
      <c r="AK1938" s="74"/>
      <c r="AL1938" s="80"/>
      <c r="AN1938" s="497">
        <v>14</v>
      </c>
      <c r="AP1938" s="42"/>
      <c r="AQ1938" s="74"/>
      <c r="AR1938" s="80"/>
      <c r="AT1938" s="497">
        <v>33.979999999999997</v>
      </c>
      <c r="AV1938" s="42"/>
      <c r="AW1938" s="74"/>
      <c r="AX1938" s="80"/>
      <c r="BA1938" s="497">
        <v>30.92</v>
      </c>
      <c r="BB1938" s="42"/>
      <c r="BC1938" s="74"/>
      <c r="BD1938" s="80"/>
      <c r="BF1938">
        <v>37.04</v>
      </c>
      <c r="BH1938" s="42"/>
      <c r="BI1938" s="74"/>
      <c r="BJ1938" s="80"/>
      <c r="BL1938" s="497">
        <v>19.04</v>
      </c>
      <c r="BN1938" s="42"/>
      <c r="BO1938" s="74"/>
      <c r="BP1938" s="80"/>
      <c r="BR1938" s="497">
        <v>10.940000000000001</v>
      </c>
      <c r="BT1938" s="42"/>
    </row>
    <row r="1939" spans="1:72" x14ac:dyDescent="0.25">
      <c r="A1939" s="90">
        <v>38068</v>
      </c>
      <c r="B1939" s="20">
        <v>4.1666666666666664E-2</v>
      </c>
      <c r="D1939">
        <v>50</v>
      </c>
      <c r="E1939" t="str">
        <f t="shared" ref="E1939:E2002" si="96">IF(COUNTIF($DI$18:$DI$22, WEEKDAY(A1939))=1, "WEEKDAY", IF(WEEKDAY(A1939) = 1, "SUNDAY", "SATURDAY"))</f>
        <v>WEEKDAY</v>
      </c>
      <c r="F1939" t="e">
        <f t="shared" si="95"/>
        <v>#N/A</v>
      </c>
      <c r="G1939" s="74">
        <v>32954</v>
      </c>
      <c r="H1939" s="77">
        <v>4.1666666666666664E-2</v>
      </c>
      <c r="J1939">
        <v>44.06</v>
      </c>
      <c r="M1939" s="74">
        <v>36607</v>
      </c>
      <c r="N1939" s="77">
        <v>4.1666666666666664E-2</v>
      </c>
      <c r="P1939">
        <v>37.4</v>
      </c>
      <c r="S1939" s="74">
        <v>38068</v>
      </c>
      <c r="T1939" s="77">
        <v>4.1666666666666664E-2</v>
      </c>
      <c r="V1939">
        <v>30.02</v>
      </c>
      <c r="X1939" s="42"/>
      <c r="AB1939">
        <v>40.299999999999997</v>
      </c>
      <c r="AC1939">
        <v>37.04</v>
      </c>
      <c r="AE1939" s="74"/>
      <c r="AF1939" s="77"/>
      <c r="AH1939" s="497">
        <v>39.200000000000003</v>
      </c>
      <c r="AJ1939" s="42"/>
      <c r="AK1939" s="74"/>
      <c r="AL1939" s="77"/>
      <c r="AN1939" s="497">
        <v>12.920000000000002</v>
      </c>
      <c r="AP1939" s="42"/>
      <c r="AQ1939" s="74"/>
      <c r="AR1939" s="77"/>
      <c r="AT1939" s="497">
        <v>30.92</v>
      </c>
      <c r="AV1939" s="42"/>
      <c r="AW1939" s="74"/>
      <c r="AX1939" s="77"/>
      <c r="BA1939" s="497">
        <v>30.02</v>
      </c>
      <c r="BB1939" s="42"/>
      <c r="BC1939" s="74"/>
      <c r="BD1939" s="77"/>
      <c r="BF1939">
        <v>37.04</v>
      </c>
      <c r="BH1939" s="42"/>
      <c r="BI1939" s="74"/>
      <c r="BJ1939" s="77"/>
      <c r="BL1939" s="497">
        <v>19.04</v>
      </c>
      <c r="BN1939" s="42"/>
      <c r="BO1939" s="74"/>
      <c r="BP1939" s="77"/>
      <c r="BR1939" s="497">
        <v>10.039999999999999</v>
      </c>
      <c r="BT1939" s="42"/>
    </row>
    <row r="1940" spans="1:72" x14ac:dyDescent="0.25">
      <c r="A1940" s="90">
        <v>38068</v>
      </c>
      <c r="B1940" s="20">
        <v>8.3333333333333329E-2</v>
      </c>
      <c r="D1940">
        <v>48.92</v>
      </c>
      <c r="E1940" t="str">
        <f t="shared" si="96"/>
        <v>WEEKDAY</v>
      </c>
      <c r="F1940" t="e">
        <f t="shared" si="95"/>
        <v>#N/A</v>
      </c>
      <c r="G1940" s="74">
        <v>32954</v>
      </c>
      <c r="H1940" s="77">
        <v>8.3333333333333329E-2</v>
      </c>
      <c r="J1940">
        <v>46.04</v>
      </c>
      <c r="M1940" s="74">
        <v>36607</v>
      </c>
      <c r="N1940" s="77">
        <v>8.3333333333333329E-2</v>
      </c>
      <c r="P1940">
        <v>37.4</v>
      </c>
      <c r="S1940" s="74">
        <v>38068</v>
      </c>
      <c r="T1940" s="77">
        <v>8.3333333333333329E-2</v>
      </c>
      <c r="V1940">
        <v>30.02</v>
      </c>
      <c r="X1940" s="42"/>
      <c r="AB1940">
        <v>39.700000000000003</v>
      </c>
      <c r="AC1940">
        <v>37.94</v>
      </c>
      <c r="AE1940" s="74"/>
      <c r="AF1940" s="77"/>
      <c r="AH1940" s="497">
        <v>37.4</v>
      </c>
      <c r="AJ1940" s="42"/>
      <c r="AK1940" s="74"/>
      <c r="AL1940" s="77"/>
      <c r="AN1940" s="497">
        <v>12.02</v>
      </c>
      <c r="AP1940" s="42"/>
      <c r="AQ1940" s="74"/>
      <c r="AR1940" s="77"/>
      <c r="AT1940" s="497">
        <v>28.58</v>
      </c>
      <c r="AV1940" s="42"/>
      <c r="AW1940" s="74"/>
      <c r="AX1940" s="77"/>
      <c r="BA1940" s="497">
        <v>32</v>
      </c>
      <c r="BB1940" s="42"/>
      <c r="BC1940" s="74"/>
      <c r="BD1940" s="77"/>
      <c r="BF1940">
        <v>39.019999999999996</v>
      </c>
      <c r="BH1940" s="42"/>
      <c r="BI1940" s="74"/>
      <c r="BJ1940" s="77"/>
      <c r="BL1940" s="497">
        <v>17.96</v>
      </c>
      <c r="BN1940" s="42"/>
      <c r="BO1940" s="74"/>
      <c r="BP1940" s="77"/>
      <c r="BR1940" s="497">
        <v>10.039999999999999</v>
      </c>
      <c r="BT1940" s="42"/>
    </row>
    <row r="1941" spans="1:72" x14ac:dyDescent="0.25">
      <c r="A1941" s="90">
        <v>38068</v>
      </c>
      <c r="B1941" s="20">
        <v>0.125</v>
      </c>
      <c r="D1941">
        <v>48.019999999999996</v>
      </c>
      <c r="E1941" t="str">
        <f t="shared" si="96"/>
        <v>WEEKDAY</v>
      </c>
      <c r="F1941" t="e">
        <f t="shared" si="95"/>
        <v>#N/A</v>
      </c>
      <c r="G1941" s="74">
        <v>32954</v>
      </c>
      <c r="H1941" s="77">
        <v>0.125</v>
      </c>
      <c r="J1941">
        <v>42.980000000000004</v>
      </c>
      <c r="M1941" s="74">
        <v>36607</v>
      </c>
      <c r="N1941" s="77">
        <v>0.125</v>
      </c>
      <c r="P1941">
        <v>37.4</v>
      </c>
      <c r="S1941" s="74">
        <v>38068</v>
      </c>
      <c r="T1941" s="77">
        <v>0.125</v>
      </c>
      <c r="V1941">
        <v>28.94</v>
      </c>
      <c r="X1941" s="42"/>
      <c r="AB1941">
        <v>39.1</v>
      </c>
      <c r="AC1941">
        <v>37.94</v>
      </c>
      <c r="AE1941" s="74"/>
      <c r="AF1941" s="77"/>
      <c r="AH1941" s="497">
        <v>37.4</v>
      </c>
      <c r="AJ1941" s="42"/>
      <c r="AK1941" s="74"/>
      <c r="AL1941" s="77"/>
      <c r="AN1941" s="497">
        <v>12.02</v>
      </c>
      <c r="AP1941" s="42"/>
      <c r="AQ1941" s="74"/>
      <c r="AR1941" s="77"/>
      <c r="AT1941" s="497">
        <v>26.42</v>
      </c>
      <c r="AV1941" s="42"/>
      <c r="AW1941" s="74"/>
      <c r="AX1941" s="77"/>
      <c r="BA1941" s="497">
        <v>33.979999999999997</v>
      </c>
      <c r="BB1941" s="42"/>
      <c r="BC1941" s="74"/>
      <c r="BD1941" s="77"/>
      <c r="BF1941">
        <v>39.019999999999996</v>
      </c>
      <c r="BH1941" s="42"/>
      <c r="BI1941" s="74"/>
      <c r="BJ1941" s="77"/>
      <c r="BL1941" s="497">
        <v>19.04</v>
      </c>
      <c r="BN1941" s="42"/>
      <c r="BO1941" s="74"/>
      <c r="BP1941" s="77"/>
      <c r="BR1941" s="497">
        <v>8.0599999999999987</v>
      </c>
      <c r="BT1941" s="42"/>
    </row>
    <row r="1942" spans="1:72" x14ac:dyDescent="0.25">
      <c r="A1942" s="90">
        <v>38068</v>
      </c>
      <c r="B1942" s="20">
        <v>0.16666666666666666</v>
      </c>
      <c r="D1942">
        <v>48.019999999999996</v>
      </c>
      <c r="E1942" t="str">
        <f t="shared" si="96"/>
        <v>WEEKDAY</v>
      </c>
      <c r="F1942" t="e">
        <f t="shared" si="95"/>
        <v>#N/A</v>
      </c>
      <c r="G1942" s="74">
        <v>32954</v>
      </c>
      <c r="H1942" s="77">
        <v>0.16666666666666666</v>
      </c>
      <c r="J1942">
        <v>41</v>
      </c>
      <c r="M1942" s="74">
        <v>36607</v>
      </c>
      <c r="N1942" s="77">
        <v>0.16666666666666666</v>
      </c>
      <c r="P1942">
        <v>37.4</v>
      </c>
      <c r="S1942" s="74">
        <v>38068</v>
      </c>
      <c r="T1942" s="77">
        <v>0.16666666666666666</v>
      </c>
      <c r="V1942">
        <v>28.94</v>
      </c>
      <c r="X1942" s="42"/>
      <c r="AB1942">
        <v>38.6</v>
      </c>
      <c r="AC1942">
        <v>37.94</v>
      </c>
      <c r="AE1942" s="74"/>
      <c r="AF1942" s="77"/>
      <c r="AH1942" s="497">
        <v>37.4</v>
      </c>
      <c r="AJ1942" s="42"/>
      <c r="AK1942" s="74"/>
      <c r="AL1942" s="77"/>
      <c r="AN1942" s="497">
        <v>10.940000000000001</v>
      </c>
      <c r="AP1942" s="42"/>
      <c r="AQ1942" s="74"/>
      <c r="AR1942" s="77"/>
      <c r="AT1942" s="497">
        <v>24.08</v>
      </c>
      <c r="AV1942" s="42"/>
      <c r="AW1942" s="74"/>
      <c r="AX1942" s="77"/>
      <c r="BA1942" s="497">
        <v>35.96</v>
      </c>
      <c r="BB1942" s="42"/>
      <c r="BC1942" s="74"/>
      <c r="BD1942" s="77"/>
      <c r="BF1942">
        <v>39.019999999999996</v>
      </c>
      <c r="BH1942" s="42"/>
      <c r="BI1942" s="74"/>
      <c r="BJ1942" s="77"/>
      <c r="BL1942" s="497">
        <v>19.939999999999998</v>
      </c>
      <c r="BN1942" s="42"/>
      <c r="BO1942" s="74"/>
      <c r="BP1942" s="77"/>
      <c r="BR1942" s="497">
        <v>8.0599999999999987</v>
      </c>
      <c r="BT1942" s="42"/>
    </row>
    <row r="1943" spans="1:72" x14ac:dyDescent="0.25">
      <c r="A1943" s="90">
        <v>38068</v>
      </c>
      <c r="B1943" s="20">
        <v>0.20833333333333334</v>
      </c>
      <c r="D1943">
        <v>46.94</v>
      </c>
      <c r="E1943" t="str">
        <f t="shared" si="96"/>
        <v>WEEKDAY</v>
      </c>
      <c r="F1943" t="e">
        <f t="shared" si="95"/>
        <v>#N/A</v>
      </c>
      <c r="G1943" s="74">
        <v>32954</v>
      </c>
      <c r="H1943" s="77">
        <v>0.20833333333333334</v>
      </c>
      <c r="J1943">
        <v>39.92</v>
      </c>
      <c r="M1943" s="74">
        <v>36607</v>
      </c>
      <c r="N1943" s="77">
        <v>0.20833333333333334</v>
      </c>
      <c r="P1943">
        <v>37.4</v>
      </c>
      <c r="S1943" s="74">
        <v>38068</v>
      </c>
      <c r="T1943" s="77">
        <v>0.20833333333333334</v>
      </c>
      <c r="V1943">
        <v>28.04</v>
      </c>
      <c r="X1943" s="42"/>
      <c r="AB1943">
        <v>38.299999999999997</v>
      </c>
      <c r="AC1943">
        <v>37.94</v>
      </c>
      <c r="AE1943" s="74"/>
      <c r="AF1943" s="77"/>
      <c r="AH1943" s="497">
        <v>37.4</v>
      </c>
      <c r="AJ1943" s="42"/>
      <c r="AK1943" s="74"/>
      <c r="AL1943" s="77"/>
      <c r="AN1943" s="497">
        <v>10.940000000000001</v>
      </c>
      <c r="AP1943" s="42"/>
      <c r="AQ1943" s="74"/>
      <c r="AR1943" s="77"/>
      <c r="AT1943" s="497">
        <v>22.64</v>
      </c>
      <c r="AV1943" s="42"/>
      <c r="AW1943" s="74"/>
      <c r="AX1943" s="77"/>
      <c r="BA1943" s="497">
        <v>37.04</v>
      </c>
      <c r="BB1943" s="42"/>
      <c r="BC1943" s="74"/>
      <c r="BD1943" s="77"/>
      <c r="BF1943">
        <v>41</v>
      </c>
      <c r="BH1943" s="42"/>
      <c r="BI1943" s="74"/>
      <c r="BJ1943" s="77"/>
      <c r="BL1943" s="497">
        <v>19.939999999999998</v>
      </c>
      <c r="BN1943" s="42"/>
      <c r="BO1943" s="74"/>
      <c r="BP1943" s="77"/>
      <c r="BR1943" s="497">
        <v>6.98</v>
      </c>
      <c r="BT1943" s="42"/>
    </row>
    <row r="1944" spans="1:72" x14ac:dyDescent="0.25">
      <c r="A1944" s="90">
        <v>38068</v>
      </c>
      <c r="B1944" s="20">
        <v>0.25</v>
      </c>
      <c r="D1944">
        <v>46.94</v>
      </c>
      <c r="E1944" t="str">
        <f t="shared" si="96"/>
        <v>WEEKDAY</v>
      </c>
      <c r="F1944" t="e">
        <f t="shared" si="95"/>
        <v>#N/A</v>
      </c>
      <c r="G1944" s="74">
        <v>32954</v>
      </c>
      <c r="H1944" s="77">
        <v>0.25</v>
      </c>
      <c r="J1944">
        <v>42.980000000000004</v>
      </c>
      <c r="M1944" s="74">
        <v>36607</v>
      </c>
      <c r="N1944" s="77">
        <v>0.25</v>
      </c>
      <c r="P1944">
        <v>37.4</v>
      </c>
      <c r="S1944" s="74">
        <v>38068</v>
      </c>
      <c r="T1944" s="77">
        <v>0.25</v>
      </c>
      <c r="V1944">
        <v>26.96</v>
      </c>
      <c r="X1944" s="42"/>
      <c r="AB1944">
        <v>38</v>
      </c>
      <c r="AC1944">
        <v>39.019999999999996</v>
      </c>
      <c r="AE1944" s="74"/>
      <c r="AF1944" s="77"/>
      <c r="AH1944" s="497">
        <v>37.4</v>
      </c>
      <c r="AJ1944" s="42"/>
      <c r="AK1944" s="74"/>
      <c r="AL1944" s="77"/>
      <c r="AN1944" s="497">
        <v>10.039999999999999</v>
      </c>
      <c r="AP1944" s="42"/>
      <c r="AQ1944" s="74"/>
      <c r="AR1944" s="77"/>
      <c r="AT1944" s="497">
        <v>21.38</v>
      </c>
      <c r="AV1944" s="42"/>
      <c r="AW1944" s="74"/>
      <c r="AX1944" s="77"/>
      <c r="BA1944" s="497">
        <v>39.92</v>
      </c>
      <c r="BB1944" s="42"/>
      <c r="BC1944" s="74"/>
      <c r="BD1944" s="77"/>
      <c r="BF1944">
        <v>44.96</v>
      </c>
      <c r="BH1944" s="42"/>
      <c r="BI1944" s="74"/>
      <c r="BJ1944" s="77"/>
      <c r="BL1944" s="497">
        <v>21.92</v>
      </c>
      <c r="BN1944" s="42"/>
      <c r="BO1944" s="74"/>
      <c r="BP1944" s="77"/>
      <c r="BR1944" s="497">
        <v>8.0599999999999987</v>
      </c>
      <c r="BT1944" s="42"/>
    </row>
    <row r="1945" spans="1:72" x14ac:dyDescent="0.25">
      <c r="A1945" s="90">
        <v>38068</v>
      </c>
      <c r="B1945" s="20">
        <v>0.29166666666666669</v>
      </c>
      <c r="D1945">
        <v>48.019999999999996</v>
      </c>
      <c r="E1945" t="str">
        <f t="shared" si="96"/>
        <v>WEEKDAY</v>
      </c>
      <c r="F1945" t="e">
        <f t="shared" si="95"/>
        <v>#N/A</v>
      </c>
      <c r="G1945" s="74">
        <v>32954</v>
      </c>
      <c r="H1945" s="77">
        <v>0.29166666666666669</v>
      </c>
      <c r="J1945">
        <v>44.96</v>
      </c>
      <c r="M1945" s="74">
        <v>36607</v>
      </c>
      <c r="N1945" s="77">
        <v>0.29166666666666669</v>
      </c>
      <c r="P1945">
        <v>39.200000000000003</v>
      </c>
      <c r="S1945" s="74">
        <v>38068</v>
      </c>
      <c r="T1945" s="77">
        <v>0.29166666666666669</v>
      </c>
      <c r="V1945">
        <v>26.96</v>
      </c>
      <c r="X1945" s="42"/>
      <c r="AB1945">
        <v>37.9</v>
      </c>
      <c r="AC1945">
        <v>39.92</v>
      </c>
      <c r="AE1945" s="74"/>
      <c r="AF1945" s="77"/>
      <c r="AH1945" s="497">
        <v>39.200000000000003</v>
      </c>
      <c r="AJ1945" s="42"/>
      <c r="AK1945" s="74"/>
      <c r="AL1945" s="77"/>
      <c r="AN1945" s="497">
        <v>10.940000000000001</v>
      </c>
      <c r="AP1945" s="42"/>
      <c r="AQ1945" s="74"/>
      <c r="AR1945" s="77"/>
      <c r="AT1945" s="497">
        <v>19.939999999999998</v>
      </c>
      <c r="AV1945" s="42"/>
      <c r="AW1945" s="74"/>
      <c r="AX1945" s="77"/>
      <c r="BA1945" s="497">
        <v>39.019999999999996</v>
      </c>
      <c r="BB1945" s="42"/>
      <c r="BC1945" s="74"/>
      <c r="BD1945" s="77"/>
      <c r="BF1945">
        <v>46.04</v>
      </c>
      <c r="BH1945" s="42"/>
      <c r="BI1945" s="74"/>
      <c r="BJ1945" s="77"/>
      <c r="BL1945" s="497">
        <v>24.08</v>
      </c>
      <c r="BN1945" s="42"/>
      <c r="BO1945" s="74"/>
      <c r="BP1945" s="77"/>
      <c r="BR1945" s="497">
        <v>12.02</v>
      </c>
      <c r="BT1945" s="42"/>
    </row>
    <row r="1946" spans="1:72" x14ac:dyDescent="0.25">
      <c r="A1946" s="90">
        <v>38068</v>
      </c>
      <c r="B1946" s="20">
        <v>0.33333333333333331</v>
      </c>
      <c r="D1946">
        <v>48.019999999999996</v>
      </c>
      <c r="E1946" t="str">
        <f t="shared" si="96"/>
        <v>WEEKDAY</v>
      </c>
      <c r="F1946" t="e">
        <f t="shared" si="95"/>
        <v>#N/A</v>
      </c>
      <c r="G1946" s="74">
        <v>32954</v>
      </c>
      <c r="H1946" s="77">
        <v>0.33333333333333331</v>
      </c>
      <c r="J1946">
        <v>46.94</v>
      </c>
      <c r="M1946" s="74">
        <v>36607</v>
      </c>
      <c r="N1946" s="77">
        <v>0.33333333333333331</v>
      </c>
      <c r="P1946">
        <v>37.4</v>
      </c>
      <c r="S1946" s="74">
        <v>38068</v>
      </c>
      <c r="T1946" s="77">
        <v>0.33333333333333331</v>
      </c>
      <c r="V1946">
        <v>28.04</v>
      </c>
      <c r="X1946" s="42"/>
      <c r="AB1946">
        <v>38.9</v>
      </c>
      <c r="AC1946">
        <v>42.08</v>
      </c>
      <c r="AE1946" s="74"/>
      <c r="AF1946" s="77"/>
      <c r="AH1946" s="497">
        <v>39.200000000000003</v>
      </c>
      <c r="AJ1946" s="42"/>
      <c r="AK1946" s="74"/>
      <c r="AL1946" s="77"/>
      <c r="AN1946" s="497">
        <v>12.02</v>
      </c>
      <c r="AP1946" s="42"/>
      <c r="AQ1946" s="74"/>
      <c r="AR1946" s="77"/>
      <c r="AT1946" s="497">
        <v>21.92</v>
      </c>
      <c r="AV1946" s="42"/>
      <c r="AW1946" s="74"/>
      <c r="AX1946" s="77"/>
      <c r="BA1946" s="497">
        <v>44.06</v>
      </c>
      <c r="BB1946" s="42"/>
      <c r="BC1946" s="74"/>
      <c r="BD1946" s="77"/>
      <c r="BF1946">
        <v>46.94</v>
      </c>
      <c r="BH1946" s="42"/>
      <c r="BI1946" s="74"/>
      <c r="BJ1946" s="77"/>
      <c r="BL1946" s="497">
        <v>26.96</v>
      </c>
      <c r="BN1946" s="42"/>
      <c r="BO1946" s="74"/>
      <c r="BP1946" s="77"/>
      <c r="BR1946" s="497">
        <v>19.939999999999998</v>
      </c>
      <c r="BT1946" s="42"/>
    </row>
    <row r="1947" spans="1:72" x14ac:dyDescent="0.25">
      <c r="A1947" s="90">
        <v>38068</v>
      </c>
      <c r="B1947" s="20">
        <v>0.375</v>
      </c>
      <c r="D1947">
        <v>48.019999999999996</v>
      </c>
      <c r="E1947" t="str">
        <f t="shared" si="96"/>
        <v>WEEKDAY</v>
      </c>
      <c r="F1947" t="e">
        <f t="shared" si="95"/>
        <v>#N/A</v>
      </c>
      <c r="G1947" s="74">
        <v>32954</v>
      </c>
      <c r="H1947" s="77">
        <v>0.375</v>
      </c>
      <c r="J1947">
        <v>51.980000000000004</v>
      </c>
      <c r="M1947" s="74">
        <v>36607</v>
      </c>
      <c r="N1947" s="77">
        <v>0.375</v>
      </c>
      <c r="P1947">
        <v>39.200000000000003</v>
      </c>
      <c r="S1947" s="74">
        <v>38068</v>
      </c>
      <c r="T1947" s="77">
        <v>0.375</v>
      </c>
      <c r="V1947">
        <v>30.02</v>
      </c>
      <c r="X1947" s="42"/>
      <c r="AB1947">
        <v>40.700000000000003</v>
      </c>
      <c r="AC1947">
        <v>44.96</v>
      </c>
      <c r="AE1947" s="74"/>
      <c r="AF1947" s="77"/>
      <c r="AH1947" s="497">
        <v>39.200000000000003</v>
      </c>
      <c r="AJ1947" s="42"/>
      <c r="AK1947" s="74"/>
      <c r="AL1947" s="77"/>
      <c r="AN1947" s="497">
        <v>15.079999999999998</v>
      </c>
      <c r="AP1947" s="42"/>
      <c r="AQ1947" s="74"/>
      <c r="AR1947" s="77"/>
      <c r="AT1947" s="497">
        <v>24.08</v>
      </c>
      <c r="AV1947" s="42"/>
      <c r="AW1947" s="74"/>
      <c r="AX1947" s="77"/>
      <c r="BA1947" s="497">
        <v>50</v>
      </c>
      <c r="BB1947" s="42"/>
      <c r="BC1947" s="74"/>
      <c r="BD1947" s="77"/>
      <c r="BF1947">
        <v>51.980000000000004</v>
      </c>
      <c r="BH1947" s="42"/>
      <c r="BI1947" s="74"/>
      <c r="BJ1947" s="77"/>
      <c r="BL1947" s="497">
        <v>32</v>
      </c>
      <c r="BN1947" s="42"/>
      <c r="BO1947" s="74"/>
      <c r="BP1947" s="77"/>
      <c r="BR1947" s="497">
        <v>26.96</v>
      </c>
      <c r="BT1947" s="42"/>
    </row>
    <row r="1948" spans="1:72" x14ac:dyDescent="0.25">
      <c r="A1948" s="90">
        <v>38068</v>
      </c>
      <c r="B1948" s="20">
        <v>0.41666666666666669</v>
      </c>
      <c r="D1948">
        <v>48.019999999999996</v>
      </c>
      <c r="E1948" t="str">
        <f t="shared" si="96"/>
        <v>WEEKDAY</v>
      </c>
      <c r="F1948" t="e">
        <f t="shared" si="95"/>
        <v>#N/A</v>
      </c>
      <c r="G1948" s="74">
        <v>32954</v>
      </c>
      <c r="H1948" s="77">
        <v>0.41666666666666669</v>
      </c>
      <c r="J1948">
        <v>51.980000000000004</v>
      </c>
      <c r="M1948" s="74">
        <v>36607</v>
      </c>
      <c r="N1948" s="77">
        <v>0.41666666666666669</v>
      </c>
      <c r="P1948">
        <v>41</v>
      </c>
      <c r="S1948" s="74">
        <v>38068</v>
      </c>
      <c r="T1948" s="77">
        <v>0.41666666666666669</v>
      </c>
      <c r="V1948">
        <v>30.92</v>
      </c>
      <c r="X1948" s="42"/>
      <c r="AB1948">
        <v>42.5</v>
      </c>
      <c r="AC1948">
        <v>44.96</v>
      </c>
      <c r="AE1948" s="74"/>
      <c r="AF1948" s="77"/>
      <c r="AH1948" s="497">
        <v>42.8</v>
      </c>
      <c r="AJ1948" s="42"/>
      <c r="AK1948" s="74"/>
      <c r="AL1948" s="77"/>
      <c r="AN1948" s="497">
        <v>17.059999999999999</v>
      </c>
      <c r="AP1948" s="42"/>
      <c r="AQ1948" s="74"/>
      <c r="AR1948" s="77"/>
      <c r="AT1948" s="497">
        <v>26.060000000000002</v>
      </c>
      <c r="AV1948" s="42"/>
      <c r="AW1948" s="74"/>
      <c r="AX1948" s="77"/>
      <c r="BA1948" s="497">
        <v>51.08</v>
      </c>
      <c r="BB1948" s="42"/>
      <c r="BC1948" s="74"/>
      <c r="BD1948" s="77"/>
      <c r="BF1948">
        <v>53.96</v>
      </c>
      <c r="BH1948" s="42"/>
      <c r="BI1948" s="74"/>
      <c r="BJ1948" s="77"/>
      <c r="BL1948" s="497">
        <v>33.979999999999997</v>
      </c>
      <c r="BN1948" s="42"/>
      <c r="BO1948" s="74"/>
      <c r="BP1948" s="77"/>
      <c r="BR1948" s="497">
        <v>32</v>
      </c>
      <c r="BT1948" s="42"/>
    </row>
    <row r="1949" spans="1:72" x14ac:dyDescent="0.25">
      <c r="A1949" s="90">
        <v>38068</v>
      </c>
      <c r="B1949" s="20">
        <v>0.45833333333333331</v>
      </c>
      <c r="D1949">
        <v>48.019999999999996</v>
      </c>
      <c r="E1949" t="str">
        <f t="shared" si="96"/>
        <v>WEEKDAY</v>
      </c>
      <c r="F1949" t="e">
        <f t="shared" si="95"/>
        <v>#N/A</v>
      </c>
      <c r="G1949" s="74">
        <v>32954</v>
      </c>
      <c r="H1949" s="77">
        <v>0.45833333333333331</v>
      </c>
      <c r="J1949">
        <v>53.96</v>
      </c>
      <c r="M1949" s="74">
        <v>36607</v>
      </c>
      <c r="N1949" s="77">
        <v>0.45833333333333331</v>
      </c>
      <c r="P1949">
        <v>44.6</v>
      </c>
      <c r="S1949" s="74">
        <v>38068</v>
      </c>
      <c r="T1949" s="77">
        <v>0.45833333333333331</v>
      </c>
      <c r="V1949">
        <v>33.08</v>
      </c>
      <c r="X1949" s="42"/>
      <c r="AB1949">
        <v>44.2</v>
      </c>
      <c r="AC1949">
        <v>44.96</v>
      </c>
      <c r="AE1949" s="74"/>
      <c r="AF1949" s="77"/>
      <c r="AH1949" s="497">
        <v>44.6</v>
      </c>
      <c r="AJ1949" s="42"/>
      <c r="AK1949" s="74"/>
      <c r="AL1949" s="77"/>
      <c r="AN1949" s="497">
        <v>19.04</v>
      </c>
      <c r="AP1949" s="42"/>
      <c r="AQ1949" s="74"/>
      <c r="AR1949" s="77"/>
      <c r="AT1949" s="497">
        <v>27.68</v>
      </c>
      <c r="AV1949" s="42"/>
      <c r="AW1949" s="74"/>
      <c r="AX1949" s="77"/>
      <c r="BA1949" s="497">
        <v>51.08</v>
      </c>
      <c r="BB1949" s="42"/>
      <c r="BC1949" s="74"/>
      <c r="BD1949" s="77"/>
      <c r="BF1949">
        <v>57.019999999999996</v>
      </c>
      <c r="BH1949" s="42"/>
      <c r="BI1949" s="74"/>
      <c r="BJ1949" s="77"/>
      <c r="BL1949" s="497">
        <v>37.04</v>
      </c>
      <c r="BN1949" s="42"/>
      <c r="BO1949" s="74"/>
      <c r="BP1949" s="77"/>
      <c r="BR1949" s="497">
        <v>35.06</v>
      </c>
      <c r="BT1949" s="42"/>
    </row>
    <row r="1950" spans="1:72" x14ac:dyDescent="0.25">
      <c r="A1950" s="90">
        <v>38068</v>
      </c>
      <c r="B1950" s="20">
        <v>0.5</v>
      </c>
      <c r="D1950">
        <v>48.019999999999996</v>
      </c>
      <c r="E1950" t="str">
        <f t="shared" si="96"/>
        <v>WEEKDAY</v>
      </c>
      <c r="F1950" t="e">
        <f t="shared" si="95"/>
        <v>#N/A</v>
      </c>
      <c r="G1950" s="74">
        <v>32954</v>
      </c>
      <c r="H1950" s="77">
        <v>0.5</v>
      </c>
      <c r="J1950">
        <v>53.96</v>
      </c>
      <c r="M1950" s="74">
        <v>36607</v>
      </c>
      <c r="N1950" s="77">
        <v>0.5</v>
      </c>
      <c r="P1950">
        <v>44.6</v>
      </c>
      <c r="S1950" s="74">
        <v>38068</v>
      </c>
      <c r="T1950" s="77">
        <v>0.5</v>
      </c>
      <c r="V1950">
        <v>33.979999999999997</v>
      </c>
      <c r="X1950" s="42"/>
      <c r="AB1950">
        <v>45.6</v>
      </c>
      <c r="AC1950">
        <v>46.04</v>
      </c>
      <c r="AE1950" s="74"/>
      <c r="AF1950" s="77"/>
      <c r="AH1950" s="497">
        <v>46.4</v>
      </c>
      <c r="AJ1950" s="42"/>
      <c r="AK1950" s="74"/>
      <c r="AL1950" s="77"/>
      <c r="AN1950" s="497">
        <v>19.04</v>
      </c>
      <c r="AP1950" s="42"/>
      <c r="AQ1950" s="74"/>
      <c r="AR1950" s="77"/>
      <c r="AT1950" s="497">
        <v>29.3</v>
      </c>
      <c r="AV1950" s="42"/>
      <c r="AW1950" s="74"/>
      <c r="AX1950" s="77"/>
      <c r="BA1950" s="497">
        <v>53.06</v>
      </c>
      <c r="BB1950" s="42"/>
      <c r="BC1950" s="74"/>
      <c r="BD1950" s="77"/>
      <c r="BF1950">
        <v>60.980000000000004</v>
      </c>
      <c r="BH1950" s="42"/>
      <c r="BI1950" s="74"/>
      <c r="BJ1950" s="77"/>
      <c r="BL1950" s="497">
        <v>37.94</v>
      </c>
      <c r="BN1950" s="42"/>
      <c r="BO1950" s="74"/>
      <c r="BP1950" s="77"/>
      <c r="BR1950" s="497">
        <v>37.04</v>
      </c>
      <c r="BT1950" s="42"/>
    </row>
    <row r="1951" spans="1:72" x14ac:dyDescent="0.25">
      <c r="A1951" s="90">
        <v>38068</v>
      </c>
      <c r="B1951" s="20">
        <v>0.54166666666666663</v>
      </c>
      <c r="D1951">
        <v>48.019999999999996</v>
      </c>
      <c r="E1951" t="str">
        <f t="shared" si="96"/>
        <v>WEEKDAY</v>
      </c>
      <c r="F1951" t="e">
        <f t="shared" si="95"/>
        <v>#N/A</v>
      </c>
      <c r="G1951" s="74">
        <v>32954</v>
      </c>
      <c r="H1951" s="77">
        <v>0.54166666666666663</v>
      </c>
      <c r="J1951">
        <v>55.040000000000006</v>
      </c>
      <c r="M1951" s="74">
        <v>36607</v>
      </c>
      <c r="N1951" s="77">
        <v>0.54166666666666663</v>
      </c>
      <c r="P1951">
        <v>46.4</v>
      </c>
      <c r="S1951" s="74">
        <v>38068</v>
      </c>
      <c r="T1951" s="77">
        <v>0.54166666666666663</v>
      </c>
      <c r="V1951">
        <v>35.06</v>
      </c>
      <c r="X1951" s="42"/>
      <c r="AB1951">
        <v>46.7</v>
      </c>
      <c r="AC1951">
        <v>46.04</v>
      </c>
      <c r="AE1951" s="74"/>
      <c r="AF1951" s="77"/>
      <c r="AH1951" s="497">
        <v>50</v>
      </c>
      <c r="AJ1951" s="42"/>
      <c r="AK1951" s="74"/>
      <c r="AL1951" s="77"/>
      <c r="AN1951" s="497">
        <v>21.02</v>
      </c>
      <c r="AP1951" s="42"/>
      <c r="AQ1951" s="74"/>
      <c r="AR1951" s="77"/>
      <c r="AT1951" s="497">
        <v>30.92</v>
      </c>
      <c r="AV1951" s="42"/>
      <c r="AW1951" s="74"/>
      <c r="AX1951" s="77"/>
      <c r="BA1951" s="497">
        <v>55.94</v>
      </c>
      <c r="BB1951" s="42"/>
      <c r="BC1951" s="74"/>
      <c r="BD1951" s="77"/>
      <c r="BF1951">
        <v>62.96</v>
      </c>
      <c r="BH1951" s="42"/>
      <c r="BI1951" s="74"/>
      <c r="BJ1951" s="77"/>
      <c r="BL1951" s="497">
        <v>41</v>
      </c>
      <c r="BN1951" s="42"/>
      <c r="BO1951" s="74"/>
      <c r="BP1951" s="77"/>
      <c r="BR1951" s="497">
        <v>39.92</v>
      </c>
      <c r="BT1951" s="42"/>
    </row>
    <row r="1952" spans="1:72" x14ac:dyDescent="0.25">
      <c r="A1952" s="90">
        <v>38068</v>
      </c>
      <c r="B1952" s="20">
        <v>0.58333333333333337</v>
      </c>
      <c r="D1952">
        <v>48.019999999999996</v>
      </c>
      <c r="E1952" t="str">
        <f t="shared" si="96"/>
        <v>WEEKDAY</v>
      </c>
      <c r="F1952" t="e">
        <f t="shared" si="95"/>
        <v>#N/A</v>
      </c>
      <c r="G1952" s="74">
        <v>32954</v>
      </c>
      <c r="H1952" s="77">
        <v>0.58333333333333337</v>
      </c>
      <c r="J1952">
        <v>55.040000000000006</v>
      </c>
      <c r="M1952" s="74">
        <v>36607</v>
      </c>
      <c r="N1952" s="77">
        <v>0.58333333333333337</v>
      </c>
      <c r="P1952">
        <v>48.2</v>
      </c>
      <c r="S1952" s="74">
        <v>38068</v>
      </c>
      <c r="T1952" s="77">
        <v>0.58333333333333337</v>
      </c>
      <c r="V1952">
        <v>35.06</v>
      </c>
      <c r="X1952" s="42"/>
      <c r="AB1952">
        <v>47.4</v>
      </c>
      <c r="AC1952">
        <v>44.96</v>
      </c>
      <c r="AE1952" s="74"/>
      <c r="AF1952" s="77"/>
      <c r="AH1952" s="497">
        <v>50</v>
      </c>
      <c r="AJ1952" s="42"/>
      <c r="AK1952" s="74"/>
      <c r="AL1952" s="77"/>
      <c r="AN1952" s="497">
        <v>19.939999999999998</v>
      </c>
      <c r="AP1952" s="42"/>
      <c r="AQ1952" s="74"/>
      <c r="AR1952" s="77"/>
      <c r="AT1952" s="497">
        <v>31.28</v>
      </c>
      <c r="AV1952" s="42"/>
      <c r="AW1952" s="74"/>
      <c r="AX1952" s="77"/>
      <c r="BA1952" s="497">
        <v>57.92</v>
      </c>
      <c r="BB1952" s="42"/>
      <c r="BC1952" s="74"/>
      <c r="BD1952" s="77"/>
      <c r="BF1952">
        <v>62.06</v>
      </c>
      <c r="BH1952" s="42"/>
      <c r="BI1952" s="74"/>
      <c r="BJ1952" s="77"/>
      <c r="BL1952" s="497">
        <v>41</v>
      </c>
      <c r="BN1952" s="42"/>
      <c r="BO1952" s="74"/>
      <c r="BP1952" s="77"/>
      <c r="BR1952" s="497">
        <v>42.980000000000004</v>
      </c>
      <c r="BT1952" s="42"/>
    </row>
    <row r="1953" spans="1:72" x14ac:dyDescent="0.25">
      <c r="A1953" s="90">
        <v>38068</v>
      </c>
      <c r="B1953" s="20">
        <v>0.625</v>
      </c>
      <c r="D1953">
        <v>50</v>
      </c>
      <c r="E1953" t="str">
        <f t="shared" si="96"/>
        <v>WEEKDAY</v>
      </c>
      <c r="F1953" t="e">
        <f t="shared" si="95"/>
        <v>#N/A</v>
      </c>
      <c r="G1953" s="74">
        <v>32954</v>
      </c>
      <c r="H1953" s="77">
        <v>0.625</v>
      </c>
      <c r="J1953">
        <v>55.94</v>
      </c>
      <c r="M1953" s="74">
        <v>36607</v>
      </c>
      <c r="N1953" s="77">
        <v>0.625</v>
      </c>
      <c r="P1953">
        <v>46.4</v>
      </c>
      <c r="S1953" s="74">
        <v>38068</v>
      </c>
      <c r="T1953" s="77">
        <v>0.625</v>
      </c>
      <c r="V1953">
        <v>35.96</v>
      </c>
      <c r="X1953" s="42"/>
      <c r="AB1953">
        <v>47.7</v>
      </c>
      <c r="AC1953">
        <v>46.04</v>
      </c>
      <c r="AE1953" s="74"/>
      <c r="AF1953" s="77"/>
      <c r="AH1953" s="497">
        <v>51.8</v>
      </c>
      <c r="AJ1953" s="42"/>
      <c r="AK1953" s="74"/>
      <c r="AL1953" s="77"/>
      <c r="AN1953" s="497">
        <v>19.939999999999998</v>
      </c>
      <c r="AP1953" s="42"/>
      <c r="AQ1953" s="74"/>
      <c r="AR1953" s="77"/>
      <c r="AT1953" s="497">
        <v>31.64</v>
      </c>
      <c r="AV1953" s="42"/>
      <c r="AW1953" s="74"/>
      <c r="AX1953" s="77"/>
      <c r="BA1953" s="497">
        <v>60.08</v>
      </c>
      <c r="BB1953" s="42"/>
      <c r="BC1953" s="74"/>
      <c r="BD1953" s="77"/>
      <c r="BF1953">
        <v>59</v>
      </c>
      <c r="BH1953" s="42"/>
      <c r="BI1953" s="74"/>
      <c r="BJ1953" s="77"/>
      <c r="BL1953" s="497">
        <v>42.08</v>
      </c>
      <c r="BN1953" s="42"/>
      <c r="BO1953" s="74"/>
      <c r="BP1953" s="77"/>
      <c r="BR1953" s="497">
        <v>42.980000000000004</v>
      </c>
      <c r="BT1953" s="42"/>
    </row>
    <row r="1954" spans="1:72" x14ac:dyDescent="0.25">
      <c r="A1954" s="90">
        <v>38068</v>
      </c>
      <c r="B1954" s="20">
        <v>0.66666666666666663</v>
      </c>
      <c r="D1954">
        <v>50</v>
      </c>
      <c r="E1954" t="str">
        <f t="shared" si="96"/>
        <v>WEEKDAY</v>
      </c>
      <c r="F1954" t="e">
        <f t="shared" si="95"/>
        <v>#N/A</v>
      </c>
      <c r="G1954" s="74">
        <v>32954</v>
      </c>
      <c r="H1954" s="77">
        <v>0.66666666666666663</v>
      </c>
      <c r="J1954">
        <v>53.96</v>
      </c>
      <c r="M1954" s="74">
        <v>36607</v>
      </c>
      <c r="N1954" s="77">
        <v>0.66666666666666663</v>
      </c>
      <c r="P1954">
        <v>46.4</v>
      </c>
      <c r="S1954" s="74">
        <v>38068</v>
      </c>
      <c r="T1954" s="77">
        <v>0.66666666666666663</v>
      </c>
      <c r="V1954">
        <v>35.06</v>
      </c>
      <c r="X1954" s="42"/>
      <c r="AB1954">
        <v>47.8</v>
      </c>
      <c r="AC1954">
        <v>46.04</v>
      </c>
      <c r="AE1954" s="74"/>
      <c r="AF1954" s="77"/>
      <c r="AH1954" s="497">
        <v>53.6</v>
      </c>
      <c r="AJ1954" s="42"/>
      <c r="AK1954" s="74"/>
      <c r="AL1954" s="77"/>
      <c r="AN1954" s="497">
        <v>21.02</v>
      </c>
      <c r="AP1954" s="42"/>
      <c r="AQ1954" s="74"/>
      <c r="AR1954" s="77"/>
      <c r="AT1954" s="497">
        <v>32</v>
      </c>
      <c r="AV1954" s="42"/>
      <c r="AW1954" s="74"/>
      <c r="AX1954" s="77"/>
      <c r="BA1954" s="497">
        <v>60.08</v>
      </c>
      <c r="BB1954" s="42"/>
      <c r="BC1954" s="74"/>
      <c r="BD1954" s="77"/>
      <c r="BF1954">
        <v>57.019999999999996</v>
      </c>
      <c r="BH1954" s="42"/>
      <c r="BI1954" s="74"/>
      <c r="BJ1954" s="77"/>
      <c r="BL1954" s="497">
        <v>42.980000000000004</v>
      </c>
      <c r="BN1954" s="42"/>
      <c r="BO1954" s="74"/>
      <c r="BP1954" s="77"/>
      <c r="BR1954" s="497">
        <v>44.06</v>
      </c>
      <c r="BT1954" s="42"/>
    </row>
    <row r="1955" spans="1:72" x14ac:dyDescent="0.25">
      <c r="A1955" s="90">
        <v>38068</v>
      </c>
      <c r="B1955" s="20">
        <v>0.70833333333333337</v>
      </c>
      <c r="D1955">
        <v>46.94</v>
      </c>
      <c r="E1955" t="str">
        <f t="shared" si="96"/>
        <v>WEEKDAY</v>
      </c>
      <c r="F1955" t="e">
        <f t="shared" si="95"/>
        <v>#N/A</v>
      </c>
      <c r="G1955" s="74">
        <v>32954</v>
      </c>
      <c r="H1955" s="77">
        <v>0.70833333333333337</v>
      </c>
      <c r="J1955">
        <v>51.980000000000004</v>
      </c>
      <c r="M1955" s="74">
        <v>36607</v>
      </c>
      <c r="N1955" s="77">
        <v>0.70833333333333337</v>
      </c>
      <c r="P1955">
        <v>44.6</v>
      </c>
      <c r="S1955" s="74">
        <v>38068</v>
      </c>
      <c r="T1955" s="77">
        <v>0.70833333333333337</v>
      </c>
      <c r="V1955">
        <v>35.06</v>
      </c>
      <c r="X1955" s="42"/>
      <c r="AB1955">
        <v>47.3</v>
      </c>
      <c r="AC1955">
        <v>44.06</v>
      </c>
      <c r="AE1955" s="74"/>
      <c r="AF1955" s="77"/>
      <c r="AH1955" s="497">
        <v>53.6</v>
      </c>
      <c r="AJ1955" s="42"/>
      <c r="AK1955" s="74"/>
      <c r="AL1955" s="77"/>
      <c r="AN1955" s="497">
        <v>21.02</v>
      </c>
      <c r="AP1955" s="42"/>
      <c r="AQ1955" s="74"/>
      <c r="AR1955" s="77"/>
      <c r="AT1955" s="497">
        <v>29.66</v>
      </c>
      <c r="AV1955" s="42"/>
      <c r="AW1955" s="74"/>
      <c r="AX1955" s="77"/>
      <c r="BA1955" s="497">
        <v>60.08</v>
      </c>
      <c r="BB1955" s="42"/>
      <c r="BC1955" s="74"/>
      <c r="BD1955" s="77"/>
      <c r="BF1955">
        <v>51.980000000000004</v>
      </c>
      <c r="BH1955" s="42"/>
      <c r="BI1955" s="74"/>
      <c r="BJ1955" s="77"/>
      <c r="BL1955" s="497">
        <v>42.08</v>
      </c>
      <c r="BN1955" s="42"/>
      <c r="BO1955" s="74"/>
      <c r="BP1955" s="77"/>
      <c r="BR1955" s="497">
        <v>44.06</v>
      </c>
      <c r="BT1955" s="42"/>
    </row>
    <row r="1956" spans="1:72" x14ac:dyDescent="0.25">
      <c r="A1956" s="90">
        <v>38068</v>
      </c>
      <c r="B1956" s="20">
        <v>0.75</v>
      </c>
      <c r="D1956">
        <v>46.94</v>
      </c>
      <c r="E1956" t="str">
        <f t="shared" si="96"/>
        <v>WEEKDAY</v>
      </c>
      <c r="F1956" t="e">
        <f t="shared" si="95"/>
        <v>#N/A</v>
      </c>
      <c r="G1956" s="74">
        <v>32954</v>
      </c>
      <c r="H1956" s="77">
        <v>0.75</v>
      </c>
      <c r="J1956">
        <v>51.08</v>
      </c>
      <c r="M1956" s="74">
        <v>36607</v>
      </c>
      <c r="N1956" s="77">
        <v>0.75</v>
      </c>
      <c r="P1956">
        <v>42.8</v>
      </c>
      <c r="S1956" s="74">
        <v>38068</v>
      </c>
      <c r="T1956" s="77">
        <v>0.75</v>
      </c>
      <c r="V1956">
        <v>33.08</v>
      </c>
      <c r="X1956" s="42"/>
      <c r="AB1956">
        <v>46.3</v>
      </c>
      <c r="AC1956">
        <v>42.980000000000004</v>
      </c>
      <c r="AE1956" s="74"/>
      <c r="AF1956" s="77"/>
      <c r="AH1956" s="497">
        <v>51.8</v>
      </c>
      <c r="AJ1956" s="42"/>
      <c r="AK1956" s="74"/>
      <c r="AL1956" s="77"/>
      <c r="AN1956" s="497">
        <v>19.04</v>
      </c>
      <c r="AP1956" s="42"/>
      <c r="AQ1956" s="74"/>
      <c r="AR1956" s="77"/>
      <c r="AT1956" s="497">
        <v>27.32</v>
      </c>
      <c r="AV1956" s="42"/>
      <c r="AW1956" s="74"/>
      <c r="AX1956" s="77"/>
      <c r="BA1956" s="497">
        <v>60.980000000000004</v>
      </c>
      <c r="BB1956" s="42"/>
      <c r="BC1956" s="74"/>
      <c r="BD1956" s="77"/>
      <c r="BF1956">
        <v>51.980000000000004</v>
      </c>
      <c r="BH1956" s="42"/>
      <c r="BI1956" s="74"/>
      <c r="BJ1956" s="77"/>
      <c r="BL1956" s="497">
        <v>39.92</v>
      </c>
      <c r="BN1956" s="42"/>
      <c r="BO1956" s="74"/>
      <c r="BP1956" s="77"/>
      <c r="BR1956" s="497">
        <v>39.019999999999996</v>
      </c>
      <c r="BT1956" s="42"/>
    </row>
    <row r="1957" spans="1:72" x14ac:dyDescent="0.25">
      <c r="A1957" s="90">
        <v>38068</v>
      </c>
      <c r="B1957" s="20">
        <v>0.79166666666666663</v>
      </c>
      <c r="D1957">
        <v>46.04</v>
      </c>
      <c r="E1957" t="str">
        <f t="shared" si="96"/>
        <v>WEEKDAY</v>
      </c>
      <c r="F1957" t="e">
        <f t="shared" si="95"/>
        <v>#N/A</v>
      </c>
      <c r="G1957" s="74">
        <v>32954</v>
      </c>
      <c r="H1957" s="77">
        <v>0.79166666666666663</v>
      </c>
      <c r="J1957">
        <v>50</v>
      </c>
      <c r="M1957" s="74">
        <v>36607</v>
      </c>
      <c r="N1957" s="77">
        <v>0.79166666666666663</v>
      </c>
      <c r="P1957">
        <v>41</v>
      </c>
      <c r="S1957" s="74">
        <v>38068</v>
      </c>
      <c r="T1957" s="77">
        <v>0.79166666666666663</v>
      </c>
      <c r="V1957">
        <v>32</v>
      </c>
      <c r="X1957" s="42"/>
      <c r="AB1957">
        <v>44.8</v>
      </c>
      <c r="AC1957">
        <v>42.08</v>
      </c>
      <c r="AE1957" s="74"/>
      <c r="AF1957" s="77"/>
      <c r="AH1957" s="497">
        <v>48.2</v>
      </c>
      <c r="AJ1957" s="42"/>
      <c r="AK1957" s="74"/>
      <c r="AL1957" s="77"/>
      <c r="AN1957" s="497">
        <v>17.96</v>
      </c>
      <c r="AP1957" s="42"/>
      <c r="AQ1957" s="74"/>
      <c r="AR1957" s="77"/>
      <c r="AT1957" s="497">
        <v>24.98</v>
      </c>
      <c r="AV1957" s="42"/>
      <c r="AW1957" s="74"/>
      <c r="AX1957" s="77"/>
      <c r="BA1957" s="497">
        <v>60.08</v>
      </c>
      <c r="BB1957" s="42"/>
      <c r="BC1957" s="74"/>
      <c r="BD1957" s="77"/>
      <c r="BF1957">
        <v>51.980000000000004</v>
      </c>
      <c r="BH1957" s="42"/>
      <c r="BI1957" s="74"/>
      <c r="BJ1957" s="77"/>
      <c r="BL1957" s="497">
        <v>37.04</v>
      </c>
      <c r="BN1957" s="42"/>
      <c r="BO1957" s="74"/>
      <c r="BP1957" s="77"/>
      <c r="BR1957" s="497">
        <v>30.92</v>
      </c>
      <c r="BT1957" s="42"/>
    </row>
    <row r="1958" spans="1:72" x14ac:dyDescent="0.25">
      <c r="A1958" s="90">
        <v>38068</v>
      </c>
      <c r="B1958" s="20">
        <v>0.83333333333333337</v>
      </c>
      <c r="D1958">
        <v>46.04</v>
      </c>
      <c r="E1958" t="str">
        <f t="shared" si="96"/>
        <v>WEEKDAY</v>
      </c>
      <c r="F1958" t="e">
        <f t="shared" si="95"/>
        <v>#N/A</v>
      </c>
      <c r="G1958" s="74">
        <v>32954</v>
      </c>
      <c r="H1958" s="77">
        <v>0.83333333333333337</v>
      </c>
      <c r="J1958">
        <v>48.92</v>
      </c>
      <c r="M1958" s="74">
        <v>36607</v>
      </c>
      <c r="N1958" s="77">
        <v>0.83333333333333337</v>
      </c>
      <c r="P1958">
        <v>37.4</v>
      </c>
      <c r="S1958" s="74">
        <v>38068</v>
      </c>
      <c r="T1958" s="77">
        <v>0.83333333333333337</v>
      </c>
      <c r="V1958">
        <v>30.92</v>
      </c>
      <c r="X1958" s="42"/>
      <c r="AB1958">
        <v>43.8</v>
      </c>
      <c r="AC1958">
        <v>42.08</v>
      </c>
      <c r="AE1958" s="74"/>
      <c r="AF1958" s="77"/>
      <c r="AH1958" s="497">
        <v>46.4</v>
      </c>
      <c r="AJ1958" s="42"/>
      <c r="AK1958" s="74"/>
      <c r="AL1958" s="77"/>
      <c r="AN1958" s="497">
        <v>17.96</v>
      </c>
      <c r="AP1958" s="42"/>
      <c r="AQ1958" s="74"/>
      <c r="AR1958" s="77"/>
      <c r="AT1958" s="497">
        <v>23.36</v>
      </c>
      <c r="AV1958" s="42"/>
      <c r="AW1958" s="74"/>
      <c r="AX1958" s="77"/>
      <c r="BA1958" s="497">
        <v>60.980000000000004</v>
      </c>
      <c r="BB1958" s="42"/>
      <c r="BC1958" s="74"/>
      <c r="BD1958" s="77"/>
      <c r="BF1958">
        <v>53.06</v>
      </c>
      <c r="BH1958" s="42"/>
      <c r="BI1958" s="74"/>
      <c r="BJ1958" s="77"/>
      <c r="BL1958" s="497">
        <v>33.979999999999997</v>
      </c>
      <c r="BN1958" s="42"/>
      <c r="BO1958" s="74"/>
      <c r="BP1958" s="77"/>
      <c r="BR1958" s="497">
        <v>30.02</v>
      </c>
      <c r="BT1958" s="42"/>
    </row>
    <row r="1959" spans="1:72" x14ac:dyDescent="0.25">
      <c r="A1959" s="90">
        <v>38068</v>
      </c>
      <c r="B1959" s="20">
        <v>0.875</v>
      </c>
      <c r="D1959">
        <v>46.04</v>
      </c>
      <c r="E1959" t="str">
        <f t="shared" si="96"/>
        <v>WEEKDAY</v>
      </c>
      <c r="F1959" t="e">
        <f t="shared" si="95"/>
        <v>#N/A</v>
      </c>
      <c r="G1959" s="74">
        <v>32954</v>
      </c>
      <c r="H1959" s="77">
        <v>0.875</v>
      </c>
      <c r="J1959">
        <v>48.92</v>
      </c>
      <c r="M1959" s="74">
        <v>36607</v>
      </c>
      <c r="N1959" s="77">
        <v>0.875</v>
      </c>
      <c r="P1959">
        <v>37.4</v>
      </c>
      <c r="S1959" s="74">
        <v>38068</v>
      </c>
      <c r="T1959" s="77">
        <v>0.875</v>
      </c>
      <c r="V1959">
        <v>30.02</v>
      </c>
      <c r="X1959" s="42"/>
      <c r="AB1959">
        <v>43.3</v>
      </c>
      <c r="AC1959">
        <v>41</v>
      </c>
      <c r="AE1959" s="74"/>
      <c r="AF1959" s="77"/>
      <c r="AH1959" s="497">
        <v>44.6</v>
      </c>
      <c r="AJ1959" s="42"/>
      <c r="AK1959" s="74"/>
      <c r="AL1959" s="77"/>
      <c r="AN1959" s="497">
        <v>17.059999999999999</v>
      </c>
      <c r="AP1959" s="42"/>
      <c r="AQ1959" s="74"/>
      <c r="AR1959" s="77"/>
      <c r="AT1959" s="497">
        <v>21.560000000000002</v>
      </c>
      <c r="AV1959" s="42"/>
      <c r="AW1959" s="74"/>
      <c r="AX1959" s="77"/>
      <c r="BA1959" s="497">
        <v>59</v>
      </c>
      <c r="BB1959" s="42"/>
      <c r="BC1959" s="74"/>
      <c r="BD1959" s="77"/>
      <c r="BF1959">
        <v>50</v>
      </c>
      <c r="BH1959" s="42"/>
      <c r="BI1959" s="74"/>
      <c r="BJ1959" s="77"/>
      <c r="BL1959" s="497">
        <v>33.979999999999997</v>
      </c>
      <c r="BN1959" s="42"/>
      <c r="BO1959" s="74"/>
      <c r="BP1959" s="77"/>
      <c r="BR1959" s="497">
        <v>24.98</v>
      </c>
      <c r="BT1959" s="42"/>
    </row>
    <row r="1960" spans="1:72" x14ac:dyDescent="0.25">
      <c r="A1960" s="90">
        <v>38068</v>
      </c>
      <c r="B1960" s="20">
        <v>0.91666666666666663</v>
      </c>
      <c r="D1960">
        <v>44.96</v>
      </c>
      <c r="E1960" t="str">
        <f t="shared" si="96"/>
        <v>WEEKDAY</v>
      </c>
      <c r="F1960" t="e">
        <f t="shared" si="95"/>
        <v>#N/A</v>
      </c>
      <c r="G1960" s="74">
        <v>32954</v>
      </c>
      <c r="H1960" s="77">
        <v>0.91666666666666663</v>
      </c>
      <c r="J1960">
        <v>48.92</v>
      </c>
      <c r="M1960" s="74">
        <v>36607</v>
      </c>
      <c r="N1960" s="77">
        <v>0.91666666666666663</v>
      </c>
      <c r="P1960">
        <v>35.6</v>
      </c>
      <c r="S1960" s="74">
        <v>38068</v>
      </c>
      <c r="T1960" s="77">
        <v>0.91666666666666663</v>
      </c>
      <c r="V1960">
        <v>28.94</v>
      </c>
      <c r="X1960" s="42"/>
      <c r="AB1960">
        <v>42.6</v>
      </c>
      <c r="AC1960">
        <v>39.92</v>
      </c>
      <c r="AE1960" s="74"/>
      <c r="AF1960" s="77"/>
      <c r="AH1960" s="497">
        <v>39.200000000000003</v>
      </c>
      <c r="AJ1960" s="42"/>
      <c r="AK1960" s="74"/>
      <c r="AL1960" s="77"/>
      <c r="AN1960" s="497">
        <v>17.059999999999999</v>
      </c>
      <c r="AP1960" s="42"/>
      <c r="AQ1960" s="74"/>
      <c r="AR1960" s="77"/>
      <c r="AT1960" s="497">
        <v>19.939999999999998</v>
      </c>
      <c r="AV1960" s="42"/>
      <c r="AW1960" s="74"/>
      <c r="AX1960" s="77"/>
      <c r="BA1960" s="497">
        <v>59</v>
      </c>
      <c r="BB1960" s="42"/>
      <c r="BC1960" s="74"/>
      <c r="BD1960" s="77"/>
      <c r="BF1960">
        <v>48.92</v>
      </c>
      <c r="BH1960" s="42"/>
      <c r="BI1960" s="74"/>
      <c r="BJ1960" s="77"/>
      <c r="BL1960" s="497">
        <v>32</v>
      </c>
      <c r="BN1960" s="42"/>
      <c r="BO1960" s="74"/>
      <c r="BP1960" s="77"/>
      <c r="BR1960" s="497">
        <v>21.92</v>
      </c>
      <c r="BT1960" s="42"/>
    </row>
    <row r="1961" spans="1:72" x14ac:dyDescent="0.25">
      <c r="A1961" s="90">
        <v>38068</v>
      </c>
      <c r="B1961" s="20">
        <v>0.95833333333333337</v>
      </c>
      <c r="D1961">
        <v>44.06</v>
      </c>
      <c r="E1961" t="str">
        <f t="shared" si="96"/>
        <v>WEEKDAY</v>
      </c>
      <c r="F1961" t="e">
        <f t="shared" si="95"/>
        <v>#N/A</v>
      </c>
      <c r="G1961" s="74">
        <v>32954</v>
      </c>
      <c r="H1961" s="77">
        <v>0.95833333333333337</v>
      </c>
      <c r="J1961">
        <v>48.019999999999996</v>
      </c>
      <c r="M1961" s="74">
        <v>36607</v>
      </c>
      <c r="N1961" s="77">
        <v>0.95833333333333337</v>
      </c>
      <c r="P1961">
        <v>33.799999999999997</v>
      </c>
      <c r="S1961" s="74">
        <v>38068</v>
      </c>
      <c r="T1961" s="77">
        <v>0.95833333333333337</v>
      </c>
      <c r="V1961">
        <v>28.04</v>
      </c>
      <c r="X1961" s="42"/>
      <c r="AB1961">
        <v>42</v>
      </c>
      <c r="AC1961">
        <v>39.019999999999996</v>
      </c>
      <c r="AE1961" s="74"/>
      <c r="AF1961" s="77"/>
      <c r="AH1961" s="497">
        <v>37.4</v>
      </c>
      <c r="AJ1961" s="42"/>
      <c r="AK1961" s="74"/>
      <c r="AL1961" s="77"/>
      <c r="AN1961" s="497">
        <v>15.98</v>
      </c>
      <c r="AP1961" s="42"/>
      <c r="AQ1961" s="74"/>
      <c r="AR1961" s="77"/>
      <c r="AT1961" s="497">
        <v>18.68</v>
      </c>
      <c r="AV1961" s="42"/>
      <c r="AW1961" s="74"/>
      <c r="AX1961" s="77"/>
      <c r="BA1961" s="497">
        <v>57.92</v>
      </c>
      <c r="BB1961" s="42"/>
      <c r="BC1961" s="74"/>
      <c r="BD1961" s="77"/>
      <c r="BF1961">
        <v>46.94</v>
      </c>
      <c r="BH1961" s="42"/>
      <c r="BI1961" s="74"/>
      <c r="BJ1961" s="77"/>
      <c r="BL1961" s="497">
        <v>32</v>
      </c>
      <c r="BN1961" s="42"/>
      <c r="BO1961" s="74"/>
      <c r="BP1961" s="77"/>
      <c r="BR1961" s="497">
        <v>23</v>
      </c>
      <c r="BT1961" s="42"/>
    </row>
    <row r="1962" spans="1:72" x14ac:dyDescent="0.25">
      <c r="A1962" s="90">
        <v>38068</v>
      </c>
      <c r="B1962" s="20">
        <v>1</v>
      </c>
      <c r="D1962">
        <v>44.06</v>
      </c>
      <c r="E1962" t="str">
        <f t="shared" si="96"/>
        <v>WEEKDAY</v>
      </c>
      <c r="F1962" t="e">
        <f t="shared" si="95"/>
        <v>#N/A</v>
      </c>
      <c r="G1962" s="74">
        <v>32954</v>
      </c>
      <c r="H1962" s="77">
        <v>1</v>
      </c>
      <c r="J1962">
        <v>48.019999999999996</v>
      </c>
      <c r="M1962" s="74">
        <v>36607</v>
      </c>
      <c r="N1962" s="80">
        <v>1</v>
      </c>
      <c r="P1962">
        <v>35.6</v>
      </c>
      <c r="S1962" s="74">
        <v>38068</v>
      </c>
      <c r="T1962" s="80">
        <v>1</v>
      </c>
      <c r="V1962">
        <v>26.96</v>
      </c>
      <c r="X1962" s="42"/>
      <c r="AB1962">
        <v>41.3</v>
      </c>
      <c r="AC1962">
        <v>39.019999999999996</v>
      </c>
      <c r="AE1962" s="74"/>
      <c r="AF1962" s="80"/>
      <c r="AH1962" s="497">
        <v>35.6</v>
      </c>
      <c r="AJ1962" s="42"/>
      <c r="AK1962" s="74"/>
      <c r="AL1962" s="80"/>
      <c r="AN1962" s="497">
        <v>17.059999999999999</v>
      </c>
      <c r="AP1962" s="42"/>
      <c r="AQ1962" s="74"/>
      <c r="AR1962" s="80"/>
      <c r="AT1962" s="497">
        <v>17.240000000000002</v>
      </c>
      <c r="AV1962" s="42"/>
      <c r="AW1962" s="74"/>
      <c r="AX1962" s="80"/>
      <c r="BA1962" s="497">
        <v>57.92</v>
      </c>
      <c r="BB1962" s="42"/>
      <c r="BC1962" s="74"/>
      <c r="BD1962" s="80"/>
      <c r="BF1962">
        <v>46.94</v>
      </c>
      <c r="BH1962" s="42"/>
      <c r="BI1962" s="74"/>
      <c r="BJ1962" s="80"/>
      <c r="BL1962" s="497">
        <v>33.979999999999997</v>
      </c>
      <c r="BN1962" s="42"/>
      <c r="BO1962" s="74"/>
      <c r="BP1962" s="80"/>
      <c r="BR1962" s="497">
        <v>24.98</v>
      </c>
      <c r="BT1962" s="42"/>
    </row>
    <row r="1963" spans="1:72" x14ac:dyDescent="0.25">
      <c r="A1963" s="90">
        <v>38069</v>
      </c>
      <c r="B1963" s="20">
        <v>4.1666666666666664E-2</v>
      </c>
      <c r="D1963">
        <v>44.06</v>
      </c>
      <c r="E1963" t="str">
        <f t="shared" si="96"/>
        <v>WEEKDAY</v>
      </c>
      <c r="F1963" t="e">
        <f t="shared" ref="F1963:F2026" si="97">IF(E1963="WEEKDAY",VLOOKUP(B1963,$DD$19:$DG$42,2),IF(E1963="SATURDAY",VLOOKUP(B1963,$DD$19:$DG$42,3),VLOOKUP(B1963,$DD$19:$DG$42,4)))</f>
        <v>#N/A</v>
      </c>
      <c r="G1963" s="74">
        <v>32955</v>
      </c>
      <c r="H1963" s="77">
        <v>4.1666666666666664E-2</v>
      </c>
      <c r="J1963">
        <v>48.019999999999996</v>
      </c>
      <c r="M1963" s="74">
        <v>36608</v>
      </c>
      <c r="N1963" s="77">
        <v>4.1666666666666664E-2</v>
      </c>
      <c r="P1963">
        <v>35.6</v>
      </c>
      <c r="S1963" s="74">
        <v>38069</v>
      </c>
      <c r="T1963" s="77">
        <v>4.1666666666666664E-2</v>
      </c>
      <c r="V1963">
        <v>26.060000000000002</v>
      </c>
      <c r="X1963" s="42"/>
      <c r="AB1963">
        <v>40.700000000000003</v>
      </c>
      <c r="AC1963">
        <v>37.94</v>
      </c>
      <c r="AE1963" s="74"/>
      <c r="AF1963" s="77"/>
      <c r="AH1963" s="497">
        <v>32</v>
      </c>
      <c r="AJ1963" s="42"/>
      <c r="AK1963" s="74"/>
      <c r="AL1963" s="77"/>
      <c r="AN1963" s="497">
        <v>15.98</v>
      </c>
      <c r="AP1963" s="42"/>
      <c r="AQ1963" s="74"/>
      <c r="AR1963" s="77"/>
      <c r="AT1963" s="497">
        <v>15.98</v>
      </c>
      <c r="AV1963" s="42"/>
      <c r="AW1963" s="74"/>
      <c r="AX1963" s="77"/>
      <c r="BA1963" s="497">
        <v>55.94</v>
      </c>
      <c r="BB1963" s="42"/>
      <c r="BC1963" s="74"/>
      <c r="BD1963" s="77"/>
      <c r="BF1963">
        <v>44.96</v>
      </c>
      <c r="BH1963" s="42"/>
      <c r="BI1963" s="74"/>
      <c r="BJ1963" s="77"/>
      <c r="BL1963" s="497">
        <v>33.979999999999997</v>
      </c>
      <c r="BN1963" s="42"/>
      <c r="BO1963" s="74"/>
      <c r="BP1963" s="77"/>
      <c r="BR1963" s="497">
        <v>19.939999999999998</v>
      </c>
      <c r="BT1963" s="42"/>
    </row>
    <row r="1964" spans="1:72" x14ac:dyDescent="0.25">
      <c r="A1964" s="90">
        <v>38069</v>
      </c>
      <c r="B1964" s="20">
        <v>8.3333333333333329E-2</v>
      </c>
      <c r="D1964">
        <v>44.96</v>
      </c>
      <c r="E1964" t="str">
        <f t="shared" si="96"/>
        <v>WEEKDAY</v>
      </c>
      <c r="F1964" t="e">
        <f t="shared" si="97"/>
        <v>#N/A</v>
      </c>
      <c r="G1964" s="74">
        <v>32955</v>
      </c>
      <c r="H1964" s="77">
        <v>8.3333333333333329E-2</v>
      </c>
      <c r="J1964">
        <v>48.92</v>
      </c>
      <c r="M1964" s="74">
        <v>36608</v>
      </c>
      <c r="N1964" s="77">
        <v>8.3333333333333329E-2</v>
      </c>
      <c r="P1964">
        <v>33.799999999999997</v>
      </c>
      <c r="S1964" s="74">
        <v>38069</v>
      </c>
      <c r="T1964" s="77">
        <v>8.3333333333333329E-2</v>
      </c>
      <c r="V1964">
        <v>24.98</v>
      </c>
      <c r="X1964" s="42"/>
      <c r="AB1964">
        <v>40.1</v>
      </c>
      <c r="AC1964">
        <v>37.94</v>
      </c>
      <c r="AE1964" s="74"/>
      <c r="AF1964" s="77"/>
      <c r="AH1964" s="497">
        <v>30.2</v>
      </c>
      <c r="AJ1964" s="42"/>
      <c r="AK1964" s="74"/>
      <c r="AL1964" s="77"/>
      <c r="AN1964" s="497">
        <v>17.059999999999999</v>
      </c>
      <c r="AP1964" s="42"/>
      <c r="AQ1964" s="74"/>
      <c r="AR1964" s="77"/>
      <c r="AT1964" s="497">
        <v>15.620000000000001</v>
      </c>
      <c r="AV1964" s="42"/>
      <c r="AW1964" s="74"/>
      <c r="AX1964" s="77"/>
      <c r="BA1964" s="497">
        <v>53.06</v>
      </c>
      <c r="BB1964" s="42"/>
      <c r="BC1964" s="74"/>
      <c r="BD1964" s="77"/>
      <c r="BF1964">
        <v>44.06</v>
      </c>
      <c r="BH1964" s="42"/>
      <c r="BI1964" s="74"/>
      <c r="BJ1964" s="77"/>
      <c r="BL1964" s="497">
        <v>35.06</v>
      </c>
      <c r="BN1964" s="42"/>
      <c r="BO1964" s="74"/>
      <c r="BP1964" s="77"/>
      <c r="BR1964" s="497">
        <v>19.04</v>
      </c>
      <c r="BT1964" s="42"/>
    </row>
    <row r="1965" spans="1:72" x14ac:dyDescent="0.25">
      <c r="A1965" s="90">
        <v>38069</v>
      </c>
      <c r="B1965" s="20">
        <v>0.125</v>
      </c>
      <c r="D1965">
        <v>44.06</v>
      </c>
      <c r="E1965" t="str">
        <f t="shared" si="96"/>
        <v>WEEKDAY</v>
      </c>
      <c r="F1965" t="e">
        <f t="shared" si="97"/>
        <v>#N/A</v>
      </c>
      <c r="G1965" s="74">
        <v>32955</v>
      </c>
      <c r="H1965" s="77">
        <v>0.125</v>
      </c>
      <c r="J1965">
        <v>48.019999999999996</v>
      </c>
      <c r="M1965" s="74">
        <v>36608</v>
      </c>
      <c r="N1965" s="77">
        <v>0.125</v>
      </c>
      <c r="P1965">
        <v>32</v>
      </c>
      <c r="S1965" s="74">
        <v>38069</v>
      </c>
      <c r="T1965" s="77">
        <v>0.125</v>
      </c>
      <c r="V1965">
        <v>24.98</v>
      </c>
      <c r="X1965" s="42"/>
      <c r="AB1965">
        <v>39.5</v>
      </c>
      <c r="AC1965">
        <v>37.94</v>
      </c>
      <c r="AE1965" s="74"/>
      <c r="AF1965" s="77"/>
      <c r="AH1965" s="497">
        <v>28.4</v>
      </c>
      <c r="AJ1965" s="42"/>
      <c r="AK1965" s="74"/>
      <c r="AL1965" s="77"/>
      <c r="AN1965" s="497">
        <v>17.059999999999999</v>
      </c>
      <c r="AP1965" s="42"/>
      <c r="AQ1965" s="74"/>
      <c r="AR1965" s="77"/>
      <c r="AT1965" s="497">
        <v>15.440000000000001</v>
      </c>
      <c r="AV1965" s="42"/>
      <c r="AW1965" s="74"/>
      <c r="AX1965" s="77"/>
      <c r="BA1965" s="497">
        <v>51.08</v>
      </c>
      <c r="BB1965" s="42"/>
      <c r="BC1965" s="74"/>
      <c r="BD1965" s="77"/>
      <c r="BF1965">
        <v>42.980000000000004</v>
      </c>
      <c r="BH1965" s="42"/>
      <c r="BI1965" s="74"/>
      <c r="BJ1965" s="77"/>
      <c r="BL1965" s="497">
        <v>35.96</v>
      </c>
      <c r="BN1965" s="42"/>
      <c r="BO1965" s="74"/>
      <c r="BP1965" s="77"/>
      <c r="BR1965" s="497">
        <v>17.96</v>
      </c>
      <c r="BT1965" s="42"/>
    </row>
    <row r="1966" spans="1:72" x14ac:dyDescent="0.25">
      <c r="A1966" s="90">
        <v>38069</v>
      </c>
      <c r="B1966" s="20">
        <v>0.16666666666666666</v>
      </c>
      <c r="D1966">
        <v>44.06</v>
      </c>
      <c r="E1966" t="str">
        <f t="shared" si="96"/>
        <v>WEEKDAY</v>
      </c>
      <c r="F1966" t="e">
        <f t="shared" si="97"/>
        <v>#N/A</v>
      </c>
      <c r="G1966" s="74">
        <v>32955</v>
      </c>
      <c r="H1966" s="77">
        <v>0.16666666666666666</v>
      </c>
      <c r="J1966">
        <v>48.019999999999996</v>
      </c>
      <c r="M1966" s="74">
        <v>36608</v>
      </c>
      <c r="N1966" s="77">
        <v>0.16666666666666666</v>
      </c>
      <c r="P1966">
        <v>32</v>
      </c>
      <c r="S1966" s="74">
        <v>38069</v>
      </c>
      <c r="T1966" s="77">
        <v>0.16666666666666666</v>
      </c>
      <c r="V1966">
        <v>23</v>
      </c>
      <c r="X1966" s="42"/>
      <c r="AB1966">
        <v>39</v>
      </c>
      <c r="AC1966">
        <v>37.94</v>
      </c>
      <c r="AE1966" s="74"/>
      <c r="AF1966" s="77"/>
      <c r="AH1966" s="497">
        <v>28.4</v>
      </c>
      <c r="AJ1966" s="42"/>
      <c r="AK1966" s="74"/>
      <c r="AL1966" s="77"/>
      <c r="AN1966" s="497">
        <v>17.059999999999999</v>
      </c>
      <c r="AP1966" s="42"/>
      <c r="AQ1966" s="74"/>
      <c r="AR1966" s="77"/>
      <c r="AT1966" s="497">
        <v>15.079999999999998</v>
      </c>
      <c r="AV1966" s="42"/>
      <c r="AW1966" s="74"/>
      <c r="AX1966" s="77"/>
      <c r="BA1966" s="497">
        <v>42.08</v>
      </c>
      <c r="BB1966" s="42"/>
      <c r="BC1966" s="74"/>
      <c r="BD1966" s="77"/>
      <c r="BF1966">
        <v>42.08</v>
      </c>
      <c r="BH1966" s="42"/>
      <c r="BI1966" s="74"/>
      <c r="BJ1966" s="77"/>
      <c r="BL1966" s="497">
        <v>35.96</v>
      </c>
      <c r="BN1966" s="42"/>
      <c r="BO1966" s="74"/>
      <c r="BP1966" s="77"/>
      <c r="BR1966" s="497">
        <v>17.059999999999999</v>
      </c>
      <c r="BT1966" s="42"/>
    </row>
    <row r="1967" spans="1:72" x14ac:dyDescent="0.25">
      <c r="A1967" s="90">
        <v>38069</v>
      </c>
      <c r="B1967" s="20">
        <v>0.20833333333333334</v>
      </c>
      <c r="D1967">
        <v>44.06</v>
      </c>
      <c r="E1967" t="str">
        <f t="shared" si="96"/>
        <v>WEEKDAY</v>
      </c>
      <c r="F1967" t="e">
        <f t="shared" si="97"/>
        <v>#N/A</v>
      </c>
      <c r="G1967" s="74">
        <v>32955</v>
      </c>
      <c r="H1967" s="77">
        <v>0.20833333333333334</v>
      </c>
      <c r="J1967">
        <v>48.019999999999996</v>
      </c>
      <c r="M1967" s="74">
        <v>36608</v>
      </c>
      <c r="N1967" s="77">
        <v>0.20833333333333334</v>
      </c>
      <c r="P1967">
        <v>33.799999999999997</v>
      </c>
      <c r="S1967" s="74">
        <v>38069</v>
      </c>
      <c r="T1967" s="77">
        <v>0.20833333333333334</v>
      </c>
      <c r="V1967">
        <v>23</v>
      </c>
      <c r="X1967" s="42"/>
      <c r="AB1967">
        <v>38.6</v>
      </c>
      <c r="AC1967">
        <v>39.019999999999996</v>
      </c>
      <c r="AE1967" s="74"/>
      <c r="AF1967" s="77"/>
      <c r="AH1967" s="497">
        <v>28.4</v>
      </c>
      <c r="AJ1967" s="42"/>
      <c r="AK1967" s="74"/>
      <c r="AL1967" s="77"/>
      <c r="AN1967" s="497">
        <v>17.059999999999999</v>
      </c>
      <c r="AP1967" s="42"/>
      <c r="AQ1967" s="74"/>
      <c r="AR1967" s="77"/>
      <c r="AT1967" s="497">
        <v>16.340000000000003</v>
      </c>
      <c r="AV1967" s="42"/>
      <c r="AW1967" s="74"/>
      <c r="AX1967" s="77"/>
      <c r="BA1967" s="497">
        <v>39.92</v>
      </c>
      <c r="BB1967" s="42"/>
      <c r="BC1967" s="74"/>
      <c r="BD1967" s="77"/>
      <c r="BF1967">
        <v>41</v>
      </c>
      <c r="BH1967" s="42"/>
      <c r="BI1967" s="74"/>
      <c r="BJ1967" s="77"/>
      <c r="BL1967" s="497">
        <v>37.04</v>
      </c>
      <c r="BN1967" s="42"/>
      <c r="BO1967" s="74"/>
      <c r="BP1967" s="77"/>
      <c r="BR1967" s="497">
        <v>15.98</v>
      </c>
      <c r="BT1967" s="42"/>
    </row>
    <row r="1968" spans="1:72" x14ac:dyDescent="0.25">
      <c r="A1968" s="90">
        <v>38069</v>
      </c>
      <c r="B1968" s="20">
        <v>0.25</v>
      </c>
      <c r="D1968">
        <v>44.06</v>
      </c>
      <c r="E1968" t="str">
        <f t="shared" si="96"/>
        <v>WEEKDAY</v>
      </c>
      <c r="F1968" t="e">
        <f t="shared" si="97"/>
        <v>#N/A</v>
      </c>
      <c r="G1968" s="74">
        <v>32955</v>
      </c>
      <c r="H1968" s="77">
        <v>0.25</v>
      </c>
      <c r="J1968">
        <v>50</v>
      </c>
      <c r="M1968" s="74">
        <v>36608</v>
      </c>
      <c r="N1968" s="77">
        <v>0.25</v>
      </c>
      <c r="P1968">
        <v>32</v>
      </c>
      <c r="S1968" s="74">
        <v>38069</v>
      </c>
      <c r="T1968" s="77">
        <v>0.25</v>
      </c>
      <c r="V1968">
        <v>23</v>
      </c>
      <c r="X1968" s="42"/>
      <c r="AB1968">
        <v>38.299999999999997</v>
      </c>
      <c r="AC1968">
        <v>39.019999999999996</v>
      </c>
      <c r="AE1968" s="74"/>
      <c r="AF1968" s="77"/>
      <c r="AH1968" s="497">
        <v>27.86</v>
      </c>
      <c r="AJ1968" s="42"/>
      <c r="AK1968" s="74"/>
      <c r="AL1968" s="77"/>
      <c r="AN1968" s="497">
        <v>17.96</v>
      </c>
      <c r="AP1968" s="42"/>
      <c r="AQ1968" s="74"/>
      <c r="AR1968" s="77"/>
      <c r="AT1968" s="497">
        <v>17.78</v>
      </c>
      <c r="AV1968" s="42"/>
      <c r="AW1968" s="74"/>
      <c r="AX1968" s="77"/>
      <c r="BA1968" s="497">
        <v>39.019999999999996</v>
      </c>
      <c r="BB1968" s="42"/>
      <c r="BC1968" s="74"/>
      <c r="BD1968" s="77"/>
      <c r="BF1968">
        <v>37.94</v>
      </c>
      <c r="BH1968" s="42"/>
      <c r="BI1968" s="74"/>
      <c r="BJ1968" s="77"/>
      <c r="BL1968" s="497">
        <v>37.04</v>
      </c>
      <c r="BN1968" s="42"/>
      <c r="BO1968" s="74"/>
      <c r="BP1968" s="77"/>
      <c r="BR1968" s="497">
        <v>19.04</v>
      </c>
      <c r="BT1968" s="42"/>
    </row>
    <row r="1969" spans="1:72" x14ac:dyDescent="0.25">
      <c r="A1969" s="90">
        <v>38069</v>
      </c>
      <c r="B1969" s="20">
        <v>0.29166666666666669</v>
      </c>
      <c r="D1969">
        <v>44.06</v>
      </c>
      <c r="E1969" t="str">
        <f t="shared" si="96"/>
        <v>WEEKDAY</v>
      </c>
      <c r="F1969" t="e">
        <f t="shared" si="97"/>
        <v>#N/A</v>
      </c>
      <c r="G1969" s="74">
        <v>32955</v>
      </c>
      <c r="H1969" s="77">
        <v>0.29166666666666669</v>
      </c>
      <c r="J1969">
        <v>53.96</v>
      </c>
      <c r="M1969" s="74">
        <v>36608</v>
      </c>
      <c r="N1969" s="77">
        <v>0.29166666666666669</v>
      </c>
      <c r="P1969">
        <v>32</v>
      </c>
      <c r="S1969" s="74">
        <v>38069</v>
      </c>
      <c r="T1969" s="77">
        <v>0.29166666666666669</v>
      </c>
      <c r="V1969">
        <v>26.060000000000002</v>
      </c>
      <c r="X1969" s="42"/>
      <c r="AB1969">
        <v>38.200000000000003</v>
      </c>
      <c r="AC1969">
        <v>39.92</v>
      </c>
      <c r="AE1969" s="74"/>
      <c r="AF1969" s="77"/>
      <c r="AH1969" s="497">
        <v>28.4</v>
      </c>
      <c r="AJ1969" s="42"/>
      <c r="AK1969" s="74"/>
      <c r="AL1969" s="77"/>
      <c r="AN1969" s="497">
        <v>19.04</v>
      </c>
      <c r="AP1969" s="42"/>
      <c r="AQ1969" s="74"/>
      <c r="AR1969" s="77"/>
      <c r="AT1969" s="497">
        <v>19.04</v>
      </c>
      <c r="AV1969" s="42"/>
      <c r="AW1969" s="74"/>
      <c r="AX1969" s="77"/>
      <c r="BA1969" s="497">
        <v>39.019999999999996</v>
      </c>
      <c r="BB1969" s="42"/>
      <c r="BC1969" s="74"/>
      <c r="BD1969" s="77"/>
      <c r="BF1969">
        <v>39.019999999999996</v>
      </c>
      <c r="BH1969" s="42"/>
      <c r="BI1969" s="74"/>
      <c r="BJ1969" s="77"/>
      <c r="BL1969" s="497">
        <v>37.04</v>
      </c>
      <c r="BN1969" s="42"/>
      <c r="BO1969" s="74"/>
      <c r="BP1969" s="77"/>
      <c r="BR1969" s="497">
        <v>24.08</v>
      </c>
      <c r="BT1969" s="42"/>
    </row>
    <row r="1970" spans="1:72" x14ac:dyDescent="0.25">
      <c r="A1970" s="90">
        <v>38069</v>
      </c>
      <c r="B1970" s="20">
        <v>0.33333333333333331</v>
      </c>
      <c r="D1970">
        <v>44.96</v>
      </c>
      <c r="E1970" t="str">
        <f t="shared" si="96"/>
        <v>WEEKDAY</v>
      </c>
      <c r="F1970" t="e">
        <f t="shared" si="97"/>
        <v>#N/A</v>
      </c>
      <c r="G1970" s="74">
        <v>32955</v>
      </c>
      <c r="H1970" s="77">
        <v>0.33333333333333331</v>
      </c>
      <c r="J1970">
        <v>55.94</v>
      </c>
      <c r="M1970" s="74">
        <v>36608</v>
      </c>
      <c r="N1970" s="77">
        <v>0.33333333333333331</v>
      </c>
      <c r="P1970">
        <v>37.4</v>
      </c>
      <c r="S1970" s="74">
        <v>38069</v>
      </c>
      <c r="T1970" s="77">
        <v>0.33333333333333331</v>
      </c>
      <c r="V1970">
        <v>30.02</v>
      </c>
      <c r="X1970" s="42"/>
      <c r="AB1970">
        <v>39.200000000000003</v>
      </c>
      <c r="AC1970">
        <v>39.92</v>
      </c>
      <c r="AE1970" s="74"/>
      <c r="AF1970" s="77"/>
      <c r="AH1970" s="497">
        <v>35.6</v>
      </c>
      <c r="AJ1970" s="42"/>
      <c r="AK1970" s="74"/>
      <c r="AL1970" s="77"/>
      <c r="AN1970" s="497">
        <v>21.02</v>
      </c>
      <c r="AP1970" s="42"/>
      <c r="AQ1970" s="74"/>
      <c r="AR1970" s="77"/>
      <c r="AT1970" s="497">
        <v>24.08</v>
      </c>
      <c r="AV1970" s="42"/>
      <c r="AW1970" s="74"/>
      <c r="AX1970" s="77"/>
      <c r="BA1970" s="497">
        <v>41</v>
      </c>
      <c r="BB1970" s="42"/>
      <c r="BC1970" s="74"/>
      <c r="BD1970" s="77"/>
      <c r="BF1970">
        <v>32</v>
      </c>
      <c r="BH1970" s="42"/>
      <c r="BI1970" s="74"/>
      <c r="BJ1970" s="77"/>
      <c r="BL1970" s="497">
        <v>39.019999999999996</v>
      </c>
      <c r="BN1970" s="42"/>
      <c r="BO1970" s="74"/>
      <c r="BP1970" s="77"/>
      <c r="BR1970" s="497">
        <v>30.92</v>
      </c>
      <c r="BT1970" s="42"/>
    </row>
    <row r="1971" spans="1:72" x14ac:dyDescent="0.25">
      <c r="A1971" s="90">
        <v>38069</v>
      </c>
      <c r="B1971" s="20">
        <v>0.375</v>
      </c>
      <c r="D1971">
        <v>46.94</v>
      </c>
      <c r="E1971" t="str">
        <f t="shared" si="96"/>
        <v>WEEKDAY</v>
      </c>
      <c r="F1971" t="e">
        <f t="shared" si="97"/>
        <v>#N/A</v>
      </c>
      <c r="G1971" s="74">
        <v>32955</v>
      </c>
      <c r="H1971" s="77">
        <v>0.375</v>
      </c>
      <c r="J1971">
        <v>59</v>
      </c>
      <c r="M1971" s="74">
        <v>36608</v>
      </c>
      <c r="N1971" s="77">
        <v>0.375</v>
      </c>
      <c r="P1971">
        <v>46.4</v>
      </c>
      <c r="S1971" s="74">
        <v>38069</v>
      </c>
      <c r="T1971" s="77">
        <v>0.375</v>
      </c>
      <c r="V1971">
        <v>33.08</v>
      </c>
      <c r="X1971" s="42"/>
      <c r="AB1971">
        <v>41.1</v>
      </c>
      <c r="AC1971">
        <v>39.92</v>
      </c>
      <c r="AE1971" s="74"/>
      <c r="AF1971" s="77"/>
      <c r="AH1971" s="497">
        <v>41.9</v>
      </c>
      <c r="AJ1971" s="42"/>
      <c r="AK1971" s="74"/>
      <c r="AL1971" s="77"/>
      <c r="AN1971" s="497">
        <v>24.08</v>
      </c>
      <c r="AP1971" s="42"/>
      <c r="AQ1971" s="74"/>
      <c r="AR1971" s="77"/>
      <c r="AT1971" s="497">
        <v>28.94</v>
      </c>
      <c r="AV1971" s="42"/>
      <c r="AW1971" s="74"/>
      <c r="AX1971" s="77"/>
      <c r="BA1971" s="497">
        <v>42.980000000000004</v>
      </c>
      <c r="BB1971" s="42"/>
      <c r="BC1971" s="74"/>
      <c r="BD1971" s="77"/>
      <c r="BF1971">
        <v>30.02</v>
      </c>
      <c r="BH1971" s="42"/>
      <c r="BI1971" s="74"/>
      <c r="BJ1971" s="77"/>
      <c r="BL1971" s="497">
        <v>39.92</v>
      </c>
      <c r="BN1971" s="42"/>
      <c r="BO1971" s="74"/>
      <c r="BP1971" s="77"/>
      <c r="BR1971" s="497">
        <v>39.019999999999996</v>
      </c>
      <c r="BT1971" s="42"/>
    </row>
    <row r="1972" spans="1:72" x14ac:dyDescent="0.25">
      <c r="A1972" s="90">
        <v>38069</v>
      </c>
      <c r="B1972" s="20">
        <v>0.41666666666666669</v>
      </c>
      <c r="D1972">
        <v>48.019999999999996</v>
      </c>
      <c r="E1972" t="str">
        <f t="shared" si="96"/>
        <v>WEEKDAY</v>
      </c>
      <c r="F1972" t="e">
        <f t="shared" si="97"/>
        <v>#N/A</v>
      </c>
      <c r="G1972" s="74">
        <v>32955</v>
      </c>
      <c r="H1972" s="77">
        <v>0.41666666666666669</v>
      </c>
      <c r="J1972">
        <v>62.06</v>
      </c>
      <c r="M1972" s="74">
        <v>36608</v>
      </c>
      <c r="N1972" s="77">
        <v>0.41666666666666669</v>
      </c>
      <c r="P1972">
        <v>51.26</v>
      </c>
      <c r="S1972" s="74">
        <v>38069</v>
      </c>
      <c r="T1972" s="77">
        <v>0.41666666666666669</v>
      </c>
      <c r="V1972">
        <v>35.96</v>
      </c>
      <c r="X1972" s="42"/>
      <c r="AB1972">
        <v>42.9</v>
      </c>
      <c r="AC1972">
        <v>39.019999999999996</v>
      </c>
      <c r="AE1972" s="74"/>
      <c r="AF1972" s="77"/>
      <c r="AH1972" s="497">
        <v>48.2</v>
      </c>
      <c r="AJ1972" s="42"/>
      <c r="AK1972" s="74"/>
      <c r="AL1972" s="77"/>
      <c r="AN1972" s="497">
        <v>26.060000000000002</v>
      </c>
      <c r="AP1972" s="42"/>
      <c r="AQ1972" s="74"/>
      <c r="AR1972" s="77"/>
      <c r="AT1972" s="497">
        <v>33.979999999999997</v>
      </c>
      <c r="AV1972" s="42"/>
      <c r="AW1972" s="74"/>
      <c r="AX1972" s="77"/>
      <c r="BA1972" s="497">
        <v>32</v>
      </c>
      <c r="BB1972" s="42"/>
      <c r="BC1972" s="74"/>
      <c r="BD1972" s="77"/>
      <c r="BF1972">
        <v>32</v>
      </c>
      <c r="BH1972" s="42"/>
      <c r="BI1972" s="74"/>
      <c r="BJ1972" s="77"/>
      <c r="BL1972" s="497">
        <v>41</v>
      </c>
      <c r="BN1972" s="42"/>
      <c r="BO1972" s="74"/>
      <c r="BP1972" s="77"/>
      <c r="BR1972" s="497">
        <v>44.06</v>
      </c>
      <c r="BT1972" s="42"/>
    </row>
    <row r="1973" spans="1:72" x14ac:dyDescent="0.25">
      <c r="A1973" s="90">
        <v>38069</v>
      </c>
      <c r="B1973" s="20">
        <v>0.45833333333333331</v>
      </c>
      <c r="D1973">
        <v>48.019999999999996</v>
      </c>
      <c r="E1973" t="str">
        <f t="shared" si="96"/>
        <v>WEEKDAY</v>
      </c>
      <c r="F1973" t="e">
        <f t="shared" si="97"/>
        <v>#N/A</v>
      </c>
      <c r="G1973" s="74">
        <v>32955</v>
      </c>
      <c r="H1973" s="77">
        <v>0.45833333333333331</v>
      </c>
      <c r="J1973">
        <v>64.039999999999992</v>
      </c>
      <c r="M1973" s="74">
        <v>36608</v>
      </c>
      <c r="N1973" s="77">
        <v>0.45833333333333331</v>
      </c>
      <c r="P1973">
        <v>55.400000000000006</v>
      </c>
      <c r="S1973" s="74">
        <v>38069</v>
      </c>
      <c r="T1973" s="77">
        <v>0.45833333333333331</v>
      </c>
      <c r="V1973">
        <v>37.94</v>
      </c>
      <c r="X1973" s="42"/>
      <c r="AB1973">
        <v>44.6</v>
      </c>
      <c r="AC1973">
        <v>37.94</v>
      </c>
      <c r="AE1973" s="74"/>
      <c r="AF1973" s="77"/>
      <c r="AH1973" s="497">
        <v>53.6</v>
      </c>
      <c r="AJ1973" s="42"/>
      <c r="AK1973" s="74"/>
      <c r="AL1973" s="77"/>
      <c r="AN1973" s="497">
        <v>28.94</v>
      </c>
      <c r="AP1973" s="42"/>
      <c r="AQ1973" s="74"/>
      <c r="AR1973" s="77"/>
      <c r="AT1973" s="497">
        <v>38.299999999999997</v>
      </c>
      <c r="AV1973" s="42"/>
      <c r="AW1973" s="74"/>
      <c r="AX1973" s="77"/>
      <c r="BA1973" s="497">
        <v>30.02</v>
      </c>
      <c r="BB1973" s="42"/>
      <c r="BC1973" s="74"/>
      <c r="BD1973" s="77"/>
      <c r="BF1973">
        <v>32</v>
      </c>
      <c r="BH1973" s="42"/>
      <c r="BI1973" s="74"/>
      <c r="BJ1973" s="77"/>
      <c r="BL1973" s="497">
        <v>44.06</v>
      </c>
      <c r="BN1973" s="42"/>
      <c r="BO1973" s="74"/>
      <c r="BP1973" s="77"/>
      <c r="BR1973" s="497">
        <v>46.04</v>
      </c>
      <c r="BT1973" s="42"/>
    </row>
    <row r="1974" spans="1:72" x14ac:dyDescent="0.25">
      <c r="A1974" s="90">
        <v>38069</v>
      </c>
      <c r="B1974" s="20">
        <v>0.5</v>
      </c>
      <c r="D1974">
        <v>48.019999999999996</v>
      </c>
      <c r="E1974" t="str">
        <f t="shared" si="96"/>
        <v>WEEKDAY</v>
      </c>
      <c r="F1974" t="e">
        <f t="shared" si="97"/>
        <v>#N/A</v>
      </c>
      <c r="G1974" s="74">
        <v>32955</v>
      </c>
      <c r="H1974" s="77">
        <v>0.5</v>
      </c>
      <c r="J1974">
        <v>64.94</v>
      </c>
      <c r="M1974" s="74">
        <v>36608</v>
      </c>
      <c r="N1974" s="77">
        <v>0.5</v>
      </c>
      <c r="P1974">
        <v>59</v>
      </c>
      <c r="S1974" s="74">
        <v>38069</v>
      </c>
      <c r="T1974" s="77">
        <v>0.5</v>
      </c>
      <c r="V1974">
        <v>39.92</v>
      </c>
      <c r="X1974" s="42"/>
      <c r="AB1974">
        <v>45.9</v>
      </c>
      <c r="AC1974">
        <v>37.94</v>
      </c>
      <c r="AE1974" s="74"/>
      <c r="AF1974" s="77"/>
      <c r="AH1974" s="497">
        <v>57.2</v>
      </c>
      <c r="AJ1974" s="42"/>
      <c r="AK1974" s="74"/>
      <c r="AL1974" s="77"/>
      <c r="AN1974" s="497">
        <v>33.08</v>
      </c>
      <c r="AP1974" s="42"/>
      <c r="AQ1974" s="74"/>
      <c r="AR1974" s="77"/>
      <c r="AT1974" s="497">
        <v>42.620000000000005</v>
      </c>
      <c r="AV1974" s="42"/>
      <c r="AW1974" s="74"/>
      <c r="AX1974" s="77"/>
      <c r="BA1974" s="497">
        <v>33.979999999999997</v>
      </c>
      <c r="BB1974" s="42"/>
      <c r="BC1974" s="74"/>
      <c r="BD1974" s="77"/>
      <c r="BF1974">
        <v>35.96</v>
      </c>
      <c r="BH1974" s="42"/>
      <c r="BI1974" s="74"/>
      <c r="BJ1974" s="77"/>
      <c r="BL1974" s="497">
        <v>46.04</v>
      </c>
      <c r="BN1974" s="42"/>
      <c r="BO1974" s="74"/>
      <c r="BP1974" s="77"/>
      <c r="BR1974" s="497">
        <v>48.019999999999996</v>
      </c>
      <c r="BT1974" s="42"/>
    </row>
    <row r="1975" spans="1:72" x14ac:dyDescent="0.25">
      <c r="A1975" s="90">
        <v>38069</v>
      </c>
      <c r="B1975" s="20">
        <v>0.54166666666666663</v>
      </c>
      <c r="D1975">
        <v>48.019999999999996</v>
      </c>
      <c r="E1975" t="str">
        <f t="shared" si="96"/>
        <v>WEEKDAY</v>
      </c>
      <c r="F1975" t="e">
        <f t="shared" si="97"/>
        <v>#N/A</v>
      </c>
      <c r="G1975" s="74">
        <v>32955</v>
      </c>
      <c r="H1975" s="77">
        <v>0.54166666666666663</v>
      </c>
      <c r="J1975">
        <v>66.02</v>
      </c>
      <c r="M1975" s="74">
        <v>36608</v>
      </c>
      <c r="N1975" s="77">
        <v>0.54166666666666663</v>
      </c>
      <c r="P1975">
        <v>59</v>
      </c>
      <c r="S1975" s="74">
        <v>38069</v>
      </c>
      <c r="T1975" s="77">
        <v>0.54166666666666663</v>
      </c>
      <c r="V1975">
        <v>42.08</v>
      </c>
      <c r="X1975" s="42"/>
      <c r="AB1975">
        <v>47</v>
      </c>
      <c r="AC1975">
        <v>37.94</v>
      </c>
      <c r="AE1975" s="74"/>
      <c r="AF1975" s="77"/>
      <c r="AH1975" s="497">
        <v>62.6</v>
      </c>
      <c r="AJ1975" s="42"/>
      <c r="AK1975" s="74"/>
      <c r="AL1975" s="77"/>
      <c r="AN1975" s="497">
        <v>35.06</v>
      </c>
      <c r="AP1975" s="42"/>
      <c r="AQ1975" s="74"/>
      <c r="AR1975" s="77"/>
      <c r="AT1975" s="497">
        <v>46.94</v>
      </c>
      <c r="AV1975" s="42"/>
      <c r="AW1975" s="74"/>
      <c r="AX1975" s="77"/>
      <c r="BA1975" s="497">
        <v>33.08</v>
      </c>
      <c r="BB1975" s="42"/>
      <c r="BC1975" s="74"/>
      <c r="BD1975" s="77"/>
      <c r="BF1975">
        <v>33.979999999999997</v>
      </c>
      <c r="BH1975" s="42"/>
      <c r="BI1975" s="74"/>
      <c r="BJ1975" s="77"/>
      <c r="BL1975" s="497">
        <v>46.94</v>
      </c>
      <c r="BN1975" s="42"/>
      <c r="BO1975" s="74"/>
      <c r="BP1975" s="77"/>
      <c r="BR1975" s="497">
        <v>48.019999999999996</v>
      </c>
      <c r="BT1975" s="42"/>
    </row>
    <row r="1976" spans="1:72" x14ac:dyDescent="0.25">
      <c r="A1976" s="90">
        <v>38069</v>
      </c>
      <c r="B1976" s="20">
        <v>0.58333333333333337</v>
      </c>
      <c r="D1976">
        <v>48.92</v>
      </c>
      <c r="E1976" t="str">
        <f t="shared" si="96"/>
        <v>WEEKDAY</v>
      </c>
      <c r="F1976" t="e">
        <f t="shared" si="97"/>
        <v>#N/A</v>
      </c>
      <c r="G1976" s="74">
        <v>32955</v>
      </c>
      <c r="H1976" s="77">
        <v>0.58333333333333337</v>
      </c>
      <c r="J1976">
        <v>64.039999999999992</v>
      </c>
      <c r="M1976" s="74">
        <v>36608</v>
      </c>
      <c r="N1976" s="77">
        <v>0.58333333333333337</v>
      </c>
      <c r="P1976">
        <v>59</v>
      </c>
      <c r="S1976" s="74">
        <v>38069</v>
      </c>
      <c r="T1976" s="77">
        <v>0.58333333333333337</v>
      </c>
      <c r="V1976">
        <v>41</v>
      </c>
      <c r="X1976" s="42"/>
      <c r="AB1976">
        <v>47.8</v>
      </c>
      <c r="AC1976">
        <v>37.94</v>
      </c>
      <c r="AE1976" s="74"/>
      <c r="AF1976" s="77"/>
      <c r="AH1976" s="497">
        <v>64.400000000000006</v>
      </c>
      <c r="AJ1976" s="42"/>
      <c r="AK1976" s="74"/>
      <c r="AL1976" s="77"/>
      <c r="AN1976" s="497">
        <v>37.04</v>
      </c>
      <c r="AP1976" s="42"/>
      <c r="AQ1976" s="74"/>
      <c r="AR1976" s="77"/>
      <c r="AT1976" s="497">
        <v>48.92</v>
      </c>
      <c r="AV1976" s="42"/>
      <c r="AW1976" s="74"/>
      <c r="AX1976" s="77"/>
      <c r="BA1976" s="497">
        <v>33.979999999999997</v>
      </c>
      <c r="BB1976" s="42"/>
      <c r="BC1976" s="74"/>
      <c r="BD1976" s="77"/>
      <c r="BF1976">
        <v>33.08</v>
      </c>
      <c r="BH1976" s="42"/>
      <c r="BI1976" s="74"/>
      <c r="BJ1976" s="77"/>
      <c r="BL1976" s="497">
        <v>48.019999999999996</v>
      </c>
      <c r="BN1976" s="42"/>
      <c r="BO1976" s="74"/>
      <c r="BP1976" s="77"/>
      <c r="BR1976" s="497">
        <v>46.94</v>
      </c>
      <c r="BT1976" s="42"/>
    </row>
    <row r="1977" spans="1:72" x14ac:dyDescent="0.25">
      <c r="A1977" s="90">
        <v>38069</v>
      </c>
      <c r="B1977" s="20">
        <v>0.625</v>
      </c>
      <c r="D1977">
        <v>48.92</v>
      </c>
      <c r="E1977" t="str">
        <f t="shared" si="96"/>
        <v>WEEKDAY</v>
      </c>
      <c r="F1977" t="e">
        <f t="shared" si="97"/>
        <v>#N/A</v>
      </c>
      <c r="G1977" s="74">
        <v>32955</v>
      </c>
      <c r="H1977" s="77">
        <v>0.625</v>
      </c>
      <c r="J1977">
        <v>60.980000000000004</v>
      </c>
      <c r="M1977" s="74">
        <v>36608</v>
      </c>
      <c r="N1977" s="77">
        <v>0.625</v>
      </c>
      <c r="P1977">
        <v>59</v>
      </c>
      <c r="S1977" s="74">
        <v>38069</v>
      </c>
      <c r="T1977" s="77">
        <v>0.625</v>
      </c>
      <c r="V1977">
        <v>41</v>
      </c>
      <c r="X1977" s="42"/>
      <c r="AB1977">
        <v>48.1</v>
      </c>
      <c r="AC1977">
        <v>37.94</v>
      </c>
      <c r="AE1977" s="74"/>
      <c r="AF1977" s="77"/>
      <c r="AH1977" s="497">
        <v>64.400000000000006</v>
      </c>
      <c r="AJ1977" s="42"/>
      <c r="AK1977" s="74"/>
      <c r="AL1977" s="77"/>
      <c r="AN1977" s="497">
        <v>37.94</v>
      </c>
      <c r="AP1977" s="42"/>
      <c r="AQ1977" s="74"/>
      <c r="AR1977" s="77"/>
      <c r="AT1977" s="497">
        <v>51.08</v>
      </c>
      <c r="AV1977" s="42"/>
      <c r="AW1977" s="74"/>
      <c r="AX1977" s="77"/>
      <c r="BA1977" s="497">
        <v>35.06</v>
      </c>
      <c r="BB1977" s="42"/>
      <c r="BC1977" s="74"/>
      <c r="BD1977" s="77"/>
      <c r="BF1977">
        <v>33.08</v>
      </c>
      <c r="BH1977" s="42"/>
      <c r="BI1977" s="74"/>
      <c r="BJ1977" s="77"/>
      <c r="BL1977" s="497">
        <v>51.08</v>
      </c>
      <c r="BN1977" s="42"/>
      <c r="BO1977" s="74"/>
      <c r="BP1977" s="77"/>
      <c r="BR1977" s="497">
        <v>48.019999999999996</v>
      </c>
      <c r="BT1977" s="42"/>
    </row>
    <row r="1978" spans="1:72" x14ac:dyDescent="0.25">
      <c r="A1978" s="90">
        <v>38069</v>
      </c>
      <c r="B1978" s="20">
        <v>0.66666666666666663</v>
      </c>
      <c r="D1978">
        <v>48.92</v>
      </c>
      <c r="E1978" t="str">
        <f t="shared" si="96"/>
        <v>WEEKDAY</v>
      </c>
      <c r="F1978" t="e">
        <f t="shared" si="97"/>
        <v>#N/A</v>
      </c>
      <c r="G1978" s="74">
        <v>32955</v>
      </c>
      <c r="H1978" s="77">
        <v>0.66666666666666663</v>
      </c>
      <c r="J1978">
        <v>51.980000000000004</v>
      </c>
      <c r="M1978" s="74">
        <v>36608</v>
      </c>
      <c r="N1978" s="77">
        <v>0.66666666666666663</v>
      </c>
      <c r="P1978">
        <v>60.8</v>
      </c>
      <c r="S1978" s="74">
        <v>38069</v>
      </c>
      <c r="T1978" s="77">
        <v>0.66666666666666663</v>
      </c>
      <c r="V1978">
        <v>42.08</v>
      </c>
      <c r="X1978" s="42"/>
      <c r="AB1978">
        <v>48.1</v>
      </c>
      <c r="AC1978">
        <v>37.94</v>
      </c>
      <c r="AE1978" s="74"/>
      <c r="AF1978" s="77"/>
      <c r="AH1978" s="497">
        <v>64.400000000000006</v>
      </c>
      <c r="AJ1978" s="42"/>
      <c r="AK1978" s="74"/>
      <c r="AL1978" s="77"/>
      <c r="AN1978" s="497">
        <v>39.92</v>
      </c>
      <c r="AP1978" s="42"/>
      <c r="AQ1978" s="74"/>
      <c r="AR1978" s="77"/>
      <c r="AT1978" s="497">
        <v>53.06</v>
      </c>
      <c r="AV1978" s="42"/>
      <c r="AW1978" s="74"/>
      <c r="AX1978" s="77"/>
      <c r="BA1978" s="497">
        <v>33.979999999999997</v>
      </c>
      <c r="BB1978" s="42"/>
      <c r="BC1978" s="74"/>
      <c r="BD1978" s="77"/>
      <c r="BF1978">
        <v>33.08</v>
      </c>
      <c r="BH1978" s="42"/>
      <c r="BI1978" s="74"/>
      <c r="BJ1978" s="77"/>
      <c r="BL1978" s="497">
        <v>51.980000000000004</v>
      </c>
      <c r="BN1978" s="42"/>
      <c r="BO1978" s="74"/>
      <c r="BP1978" s="77"/>
      <c r="BR1978" s="497">
        <v>46.94</v>
      </c>
      <c r="BT1978" s="42"/>
    </row>
    <row r="1979" spans="1:72" x14ac:dyDescent="0.25">
      <c r="A1979" s="90">
        <v>38069</v>
      </c>
      <c r="B1979" s="20">
        <v>0.70833333333333337</v>
      </c>
      <c r="D1979">
        <v>48.019999999999996</v>
      </c>
      <c r="E1979" t="str">
        <f t="shared" si="96"/>
        <v>WEEKDAY</v>
      </c>
      <c r="F1979" t="e">
        <f t="shared" si="97"/>
        <v>#N/A</v>
      </c>
      <c r="G1979" s="74">
        <v>32955</v>
      </c>
      <c r="H1979" s="77">
        <v>0.70833333333333337</v>
      </c>
      <c r="J1979">
        <v>48.92</v>
      </c>
      <c r="M1979" s="74">
        <v>36608</v>
      </c>
      <c r="N1979" s="77">
        <v>0.70833333333333337</v>
      </c>
      <c r="P1979">
        <v>59</v>
      </c>
      <c r="S1979" s="74">
        <v>38069</v>
      </c>
      <c r="T1979" s="77">
        <v>0.70833333333333337</v>
      </c>
      <c r="V1979">
        <v>46.04</v>
      </c>
      <c r="X1979" s="42"/>
      <c r="AB1979">
        <v>47.6</v>
      </c>
      <c r="AC1979">
        <v>39.019999999999996</v>
      </c>
      <c r="AE1979" s="74"/>
      <c r="AF1979" s="77"/>
      <c r="AH1979" s="497">
        <v>64.400000000000006</v>
      </c>
      <c r="AJ1979" s="42"/>
      <c r="AK1979" s="74"/>
      <c r="AL1979" s="77"/>
      <c r="AN1979" s="497">
        <v>39.019999999999996</v>
      </c>
      <c r="AP1979" s="42"/>
      <c r="AQ1979" s="74"/>
      <c r="AR1979" s="77"/>
      <c r="AT1979" s="497">
        <v>49.46</v>
      </c>
      <c r="AV1979" s="42"/>
      <c r="AW1979" s="74"/>
      <c r="AX1979" s="77"/>
      <c r="BA1979" s="497">
        <v>32</v>
      </c>
      <c r="BB1979" s="42"/>
      <c r="BC1979" s="74"/>
      <c r="BD1979" s="77"/>
      <c r="BF1979">
        <v>30.92</v>
      </c>
      <c r="BH1979" s="42"/>
      <c r="BI1979" s="74"/>
      <c r="BJ1979" s="77"/>
      <c r="BL1979" s="497">
        <v>51.08</v>
      </c>
      <c r="BN1979" s="42"/>
      <c r="BO1979" s="74"/>
      <c r="BP1979" s="77"/>
      <c r="BR1979" s="497">
        <v>44.06</v>
      </c>
      <c r="BT1979" s="42"/>
    </row>
    <row r="1980" spans="1:72" x14ac:dyDescent="0.25">
      <c r="A1980" s="90">
        <v>38069</v>
      </c>
      <c r="B1980" s="20">
        <v>0.75</v>
      </c>
      <c r="D1980">
        <v>48.019999999999996</v>
      </c>
      <c r="E1980" t="str">
        <f t="shared" si="96"/>
        <v>WEEKDAY</v>
      </c>
      <c r="F1980" t="e">
        <f t="shared" si="97"/>
        <v>#N/A</v>
      </c>
      <c r="G1980" s="74">
        <v>32955</v>
      </c>
      <c r="H1980" s="77">
        <v>0.75</v>
      </c>
      <c r="J1980">
        <v>46.04</v>
      </c>
      <c r="M1980" s="74">
        <v>36608</v>
      </c>
      <c r="N1980" s="77">
        <v>0.75</v>
      </c>
      <c r="P1980">
        <v>55.400000000000006</v>
      </c>
      <c r="S1980" s="74">
        <v>38069</v>
      </c>
      <c r="T1980" s="77">
        <v>0.75</v>
      </c>
      <c r="V1980">
        <v>42.980000000000004</v>
      </c>
      <c r="X1980" s="42"/>
      <c r="AB1980">
        <v>46.6</v>
      </c>
      <c r="AC1980">
        <v>41</v>
      </c>
      <c r="AE1980" s="74"/>
      <c r="AF1980" s="77"/>
      <c r="AH1980" s="497">
        <v>62.6</v>
      </c>
      <c r="AJ1980" s="42"/>
      <c r="AK1980" s="74"/>
      <c r="AL1980" s="77"/>
      <c r="AN1980" s="497">
        <v>37.94</v>
      </c>
      <c r="AP1980" s="42"/>
      <c r="AQ1980" s="74"/>
      <c r="AR1980" s="77"/>
      <c r="AT1980" s="497">
        <v>45.68</v>
      </c>
      <c r="AV1980" s="42"/>
      <c r="AW1980" s="74"/>
      <c r="AX1980" s="77"/>
      <c r="BA1980" s="497">
        <v>30.92</v>
      </c>
      <c r="BB1980" s="42"/>
      <c r="BC1980" s="74"/>
      <c r="BD1980" s="77"/>
      <c r="BF1980">
        <v>30.92</v>
      </c>
      <c r="BH1980" s="42"/>
      <c r="BI1980" s="74"/>
      <c r="BJ1980" s="77"/>
      <c r="BL1980" s="497">
        <v>48.019999999999996</v>
      </c>
      <c r="BN1980" s="42"/>
      <c r="BO1980" s="74"/>
      <c r="BP1980" s="77"/>
      <c r="BR1980" s="497">
        <v>42.08</v>
      </c>
      <c r="BT1980" s="42"/>
    </row>
    <row r="1981" spans="1:72" x14ac:dyDescent="0.25">
      <c r="A1981" s="90">
        <v>38069</v>
      </c>
      <c r="B1981" s="20">
        <v>0.79166666666666663</v>
      </c>
      <c r="D1981">
        <v>46.94</v>
      </c>
      <c r="E1981" t="str">
        <f t="shared" si="96"/>
        <v>WEEKDAY</v>
      </c>
      <c r="F1981" t="e">
        <f t="shared" si="97"/>
        <v>#N/A</v>
      </c>
      <c r="G1981" s="74">
        <v>32955</v>
      </c>
      <c r="H1981" s="77">
        <v>0.79166666666666663</v>
      </c>
      <c r="J1981">
        <v>44.06</v>
      </c>
      <c r="M1981" s="74">
        <v>36608</v>
      </c>
      <c r="N1981" s="77">
        <v>0.79166666666666663</v>
      </c>
      <c r="P1981">
        <v>51.8</v>
      </c>
      <c r="S1981" s="74">
        <v>38069</v>
      </c>
      <c r="T1981" s="77">
        <v>0.79166666666666663</v>
      </c>
      <c r="V1981">
        <v>42.08</v>
      </c>
      <c r="X1981" s="42"/>
      <c r="AB1981">
        <v>45.2</v>
      </c>
      <c r="AC1981">
        <v>42.08</v>
      </c>
      <c r="AE1981" s="74"/>
      <c r="AF1981" s="77"/>
      <c r="AH1981" s="497">
        <v>53.6</v>
      </c>
      <c r="AJ1981" s="42"/>
      <c r="AK1981" s="74"/>
      <c r="AL1981" s="77"/>
      <c r="AN1981" s="497">
        <v>35.96</v>
      </c>
      <c r="AP1981" s="42"/>
      <c r="AQ1981" s="74"/>
      <c r="AR1981" s="77"/>
      <c r="AT1981" s="497">
        <v>42.08</v>
      </c>
      <c r="AV1981" s="42"/>
      <c r="AW1981" s="74"/>
      <c r="AX1981" s="77"/>
      <c r="BA1981" s="497">
        <v>30.02</v>
      </c>
      <c r="BB1981" s="42"/>
      <c r="BC1981" s="74"/>
      <c r="BD1981" s="77"/>
      <c r="BF1981">
        <v>30.02</v>
      </c>
      <c r="BH1981" s="42"/>
      <c r="BI1981" s="74"/>
      <c r="BJ1981" s="77"/>
      <c r="BL1981" s="497">
        <v>44.96</v>
      </c>
      <c r="BN1981" s="42"/>
      <c r="BO1981" s="74"/>
      <c r="BP1981" s="77"/>
      <c r="BR1981" s="497">
        <v>37.04</v>
      </c>
      <c r="BT1981" s="42"/>
    </row>
    <row r="1982" spans="1:72" x14ac:dyDescent="0.25">
      <c r="A1982" s="90">
        <v>38069</v>
      </c>
      <c r="B1982" s="20">
        <v>0.83333333333333337</v>
      </c>
      <c r="D1982">
        <v>46.94</v>
      </c>
      <c r="E1982" t="str">
        <f t="shared" si="96"/>
        <v>WEEKDAY</v>
      </c>
      <c r="F1982" t="e">
        <f t="shared" si="97"/>
        <v>#N/A</v>
      </c>
      <c r="G1982" s="74">
        <v>32955</v>
      </c>
      <c r="H1982" s="77">
        <v>0.83333333333333337</v>
      </c>
      <c r="J1982">
        <v>42.980000000000004</v>
      </c>
      <c r="M1982" s="74">
        <v>36608</v>
      </c>
      <c r="N1982" s="77">
        <v>0.83333333333333337</v>
      </c>
      <c r="P1982">
        <v>50</v>
      </c>
      <c r="S1982" s="74">
        <v>38069</v>
      </c>
      <c r="T1982" s="77">
        <v>0.83333333333333337</v>
      </c>
      <c r="V1982">
        <v>41</v>
      </c>
      <c r="X1982" s="42"/>
      <c r="AB1982">
        <v>44.2</v>
      </c>
      <c r="AC1982">
        <v>44.06</v>
      </c>
      <c r="AE1982" s="74"/>
      <c r="AF1982" s="77"/>
      <c r="AH1982" s="497">
        <v>57.2</v>
      </c>
      <c r="AJ1982" s="42"/>
      <c r="AK1982" s="74"/>
      <c r="AL1982" s="77"/>
      <c r="AN1982" s="497">
        <v>35.96</v>
      </c>
      <c r="AP1982" s="42"/>
      <c r="AQ1982" s="74"/>
      <c r="AR1982" s="77"/>
      <c r="AT1982" s="497">
        <v>38.299999999999997</v>
      </c>
      <c r="AV1982" s="42"/>
      <c r="AW1982" s="74"/>
      <c r="AX1982" s="77"/>
      <c r="BA1982" s="497">
        <v>28.04</v>
      </c>
      <c r="BB1982" s="42"/>
      <c r="BC1982" s="74"/>
      <c r="BD1982" s="77"/>
      <c r="BF1982">
        <v>28.94</v>
      </c>
      <c r="BH1982" s="42"/>
      <c r="BI1982" s="74"/>
      <c r="BJ1982" s="77"/>
      <c r="BL1982" s="497">
        <v>42.980000000000004</v>
      </c>
      <c r="BN1982" s="42"/>
      <c r="BO1982" s="74"/>
      <c r="BP1982" s="77"/>
      <c r="BR1982" s="497">
        <v>33.979999999999997</v>
      </c>
      <c r="BT1982" s="42"/>
    </row>
    <row r="1983" spans="1:72" x14ac:dyDescent="0.25">
      <c r="A1983" s="90">
        <v>38069</v>
      </c>
      <c r="B1983" s="20">
        <v>0.875</v>
      </c>
      <c r="D1983">
        <v>46.04</v>
      </c>
      <c r="E1983" t="str">
        <f t="shared" si="96"/>
        <v>WEEKDAY</v>
      </c>
      <c r="F1983" t="e">
        <f t="shared" si="97"/>
        <v>#N/A</v>
      </c>
      <c r="G1983" s="74">
        <v>32955</v>
      </c>
      <c r="H1983" s="77">
        <v>0.875</v>
      </c>
      <c r="J1983">
        <v>42.08</v>
      </c>
      <c r="M1983" s="74">
        <v>36608</v>
      </c>
      <c r="N1983" s="77">
        <v>0.875</v>
      </c>
      <c r="P1983">
        <v>46.4</v>
      </c>
      <c r="S1983" s="74">
        <v>38069</v>
      </c>
      <c r="T1983" s="77">
        <v>0.875</v>
      </c>
      <c r="V1983">
        <v>39.92</v>
      </c>
      <c r="X1983" s="42"/>
      <c r="AB1983">
        <v>43.6</v>
      </c>
      <c r="AC1983">
        <v>42.08</v>
      </c>
      <c r="AE1983" s="74"/>
      <c r="AF1983" s="77"/>
      <c r="AH1983" s="497">
        <v>57.2</v>
      </c>
      <c r="AJ1983" s="42"/>
      <c r="AK1983" s="74"/>
      <c r="AL1983" s="77"/>
      <c r="AN1983" s="497">
        <v>35.06</v>
      </c>
      <c r="AP1983" s="42"/>
      <c r="AQ1983" s="74"/>
      <c r="AR1983" s="77"/>
      <c r="AT1983" s="497">
        <v>34.700000000000003</v>
      </c>
      <c r="AV1983" s="42"/>
      <c r="AW1983" s="74"/>
      <c r="AX1983" s="77"/>
      <c r="BA1983" s="497">
        <v>26.96</v>
      </c>
      <c r="BB1983" s="42"/>
      <c r="BC1983" s="74"/>
      <c r="BD1983" s="77"/>
      <c r="BF1983">
        <v>28.04</v>
      </c>
      <c r="BH1983" s="42"/>
      <c r="BI1983" s="74"/>
      <c r="BJ1983" s="77"/>
      <c r="BL1983" s="497">
        <v>44.06</v>
      </c>
      <c r="BN1983" s="42"/>
      <c r="BO1983" s="74"/>
      <c r="BP1983" s="77"/>
      <c r="BR1983" s="497">
        <v>32</v>
      </c>
      <c r="BT1983" s="42"/>
    </row>
    <row r="1984" spans="1:72" x14ac:dyDescent="0.25">
      <c r="A1984" s="90">
        <v>38069</v>
      </c>
      <c r="B1984" s="20">
        <v>0.91666666666666663</v>
      </c>
      <c r="D1984">
        <v>44.96</v>
      </c>
      <c r="E1984" t="str">
        <f t="shared" si="96"/>
        <v>WEEKDAY</v>
      </c>
      <c r="F1984" t="e">
        <f t="shared" si="97"/>
        <v>#N/A</v>
      </c>
      <c r="G1984" s="74">
        <v>32955</v>
      </c>
      <c r="H1984" s="77">
        <v>0.91666666666666663</v>
      </c>
      <c r="J1984">
        <v>39.019999999999996</v>
      </c>
      <c r="M1984" s="74">
        <v>36608</v>
      </c>
      <c r="N1984" s="77">
        <v>0.91666666666666663</v>
      </c>
      <c r="P1984">
        <v>44.6</v>
      </c>
      <c r="S1984" s="74">
        <v>38069</v>
      </c>
      <c r="T1984" s="77">
        <v>0.91666666666666663</v>
      </c>
      <c r="V1984">
        <v>39.92</v>
      </c>
      <c r="X1984" s="42"/>
      <c r="AB1984">
        <v>42.9</v>
      </c>
      <c r="AC1984">
        <v>39.92</v>
      </c>
      <c r="AE1984" s="74"/>
      <c r="AF1984" s="77"/>
      <c r="AH1984" s="497">
        <v>57.2</v>
      </c>
      <c r="AJ1984" s="42"/>
      <c r="AK1984" s="74"/>
      <c r="AL1984" s="77"/>
      <c r="AN1984" s="497">
        <v>35.96</v>
      </c>
      <c r="AP1984" s="42"/>
      <c r="AQ1984" s="74"/>
      <c r="AR1984" s="77"/>
      <c r="AT1984" s="497">
        <v>30.92</v>
      </c>
      <c r="AV1984" s="42"/>
      <c r="AW1984" s="74"/>
      <c r="AX1984" s="77"/>
      <c r="BA1984" s="497">
        <v>26.96</v>
      </c>
      <c r="BB1984" s="42"/>
      <c r="BC1984" s="74"/>
      <c r="BD1984" s="77"/>
      <c r="BF1984">
        <v>26.96</v>
      </c>
      <c r="BH1984" s="42"/>
      <c r="BI1984" s="74"/>
      <c r="BJ1984" s="77"/>
      <c r="BL1984" s="497">
        <v>44.06</v>
      </c>
      <c r="BN1984" s="42"/>
      <c r="BO1984" s="74"/>
      <c r="BP1984" s="77"/>
      <c r="BR1984" s="497">
        <v>28.94</v>
      </c>
      <c r="BT1984" s="42"/>
    </row>
    <row r="1985" spans="1:72" x14ac:dyDescent="0.25">
      <c r="A1985" s="90">
        <v>38069</v>
      </c>
      <c r="B1985" s="20">
        <v>0.95833333333333337</v>
      </c>
      <c r="D1985">
        <v>44.96</v>
      </c>
      <c r="E1985" t="str">
        <f t="shared" si="96"/>
        <v>WEEKDAY</v>
      </c>
      <c r="F1985" t="e">
        <f t="shared" si="97"/>
        <v>#N/A</v>
      </c>
      <c r="G1985" s="74">
        <v>32955</v>
      </c>
      <c r="H1985" s="77">
        <v>0.95833333333333337</v>
      </c>
      <c r="J1985">
        <v>37.94</v>
      </c>
      <c r="M1985" s="74">
        <v>36608</v>
      </c>
      <c r="N1985" s="77">
        <v>0.95833333333333337</v>
      </c>
      <c r="P1985">
        <v>41</v>
      </c>
      <c r="S1985" s="74">
        <v>38069</v>
      </c>
      <c r="T1985" s="77">
        <v>0.95833333333333337</v>
      </c>
      <c r="V1985">
        <v>39.019999999999996</v>
      </c>
      <c r="X1985" s="42"/>
      <c r="AB1985">
        <v>42.3</v>
      </c>
      <c r="AC1985">
        <v>37.94</v>
      </c>
      <c r="AE1985" s="74"/>
      <c r="AF1985" s="77"/>
      <c r="AH1985" s="497">
        <v>42.8</v>
      </c>
      <c r="AJ1985" s="42"/>
      <c r="AK1985" s="74"/>
      <c r="AL1985" s="77"/>
      <c r="AN1985" s="497">
        <v>30.02</v>
      </c>
      <c r="AP1985" s="42"/>
      <c r="AQ1985" s="74"/>
      <c r="AR1985" s="77"/>
      <c r="AT1985" s="497">
        <v>32.9</v>
      </c>
      <c r="AV1985" s="42"/>
      <c r="AW1985" s="74"/>
      <c r="AX1985" s="77"/>
      <c r="BA1985" s="497">
        <v>26.96</v>
      </c>
      <c r="BB1985" s="42"/>
      <c r="BC1985" s="74"/>
      <c r="BD1985" s="77"/>
      <c r="BF1985">
        <v>26.96</v>
      </c>
      <c r="BH1985" s="42"/>
      <c r="BI1985" s="74"/>
      <c r="BJ1985" s="77"/>
      <c r="BL1985" s="497">
        <v>42.08</v>
      </c>
      <c r="BN1985" s="42"/>
      <c r="BO1985" s="74"/>
      <c r="BP1985" s="77"/>
      <c r="BR1985" s="497">
        <v>30.02</v>
      </c>
      <c r="BT1985" s="42"/>
    </row>
    <row r="1986" spans="1:72" x14ac:dyDescent="0.25">
      <c r="A1986" s="90">
        <v>38069</v>
      </c>
      <c r="B1986" s="20">
        <v>1</v>
      </c>
      <c r="D1986">
        <v>44.96</v>
      </c>
      <c r="E1986" t="str">
        <f t="shared" si="96"/>
        <v>WEEKDAY</v>
      </c>
      <c r="F1986" t="e">
        <f t="shared" si="97"/>
        <v>#N/A</v>
      </c>
      <c r="G1986" s="74">
        <v>32955</v>
      </c>
      <c r="H1986" s="77">
        <v>1</v>
      </c>
      <c r="J1986">
        <v>37.04</v>
      </c>
      <c r="M1986" s="74">
        <v>36608</v>
      </c>
      <c r="N1986" s="80">
        <v>1</v>
      </c>
      <c r="P1986">
        <v>41</v>
      </c>
      <c r="S1986" s="74">
        <v>38069</v>
      </c>
      <c r="T1986" s="80">
        <v>1</v>
      </c>
      <c r="V1986">
        <v>37.94</v>
      </c>
      <c r="X1986" s="42"/>
      <c r="AB1986">
        <v>41.6</v>
      </c>
      <c r="AC1986">
        <v>37.04</v>
      </c>
      <c r="AE1986" s="74"/>
      <c r="AF1986" s="80"/>
      <c r="AH1986" s="497">
        <v>41</v>
      </c>
      <c r="AJ1986" s="42"/>
      <c r="AK1986" s="74"/>
      <c r="AL1986" s="80"/>
      <c r="AN1986" s="497">
        <v>28.04</v>
      </c>
      <c r="AP1986" s="42"/>
      <c r="AQ1986" s="74"/>
      <c r="AR1986" s="80"/>
      <c r="AT1986" s="497">
        <v>35.06</v>
      </c>
      <c r="AV1986" s="42"/>
      <c r="AW1986" s="74"/>
      <c r="AX1986" s="80"/>
      <c r="BA1986" s="497">
        <v>26.96</v>
      </c>
      <c r="BB1986" s="42"/>
      <c r="BC1986" s="74"/>
      <c r="BD1986" s="80"/>
      <c r="BF1986">
        <v>24.98</v>
      </c>
      <c r="BH1986" s="42"/>
      <c r="BI1986" s="74"/>
      <c r="BJ1986" s="80"/>
      <c r="BL1986" s="497">
        <v>37.94</v>
      </c>
      <c r="BN1986" s="42"/>
      <c r="BO1986" s="74"/>
      <c r="BP1986" s="80"/>
      <c r="BR1986" s="497">
        <v>28.04</v>
      </c>
      <c r="BT1986" s="42"/>
    </row>
    <row r="1987" spans="1:72" x14ac:dyDescent="0.25">
      <c r="A1987" s="90">
        <v>38070</v>
      </c>
      <c r="B1987" s="20">
        <v>4.1666666666666664E-2</v>
      </c>
      <c r="D1987">
        <v>44.06</v>
      </c>
      <c r="E1987" t="str">
        <f t="shared" si="96"/>
        <v>WEEKDAY</v>
      </c>
      <c r="F1987" t="e">
        <f t="shared" si="97"/>
        <v>#N/A</v>
      </c>
      <c r="G1987" s="74">
        <v>32956</v>
      </c>
      <c r="H1987" s="77">
        <v>4.1666666666666664E-2</v>
      </c>
      <c r="J1987">
        <v>35.96</v>
      </c>
      <c r="M1987" s="74">
        <v>36609</v>
      </c>
      <c r="N1987" s="77">
        <v>4.1666666666666664E-2</v>
      </c>
      <c r="P1987">
        <v>46.4</v>
      </c>
      <c r="S1987" s="74">
        <v>38070</v>
      </c>
      <c r="T1987" s="77">
        <v>4.1666666666666664E-2</v>
      </c>
      <c r="V1987">
        <v>37.94</v>
      </c>
      <c r="X1987" s="42"/>
      <c r="AB1987">
        <v>41</v>
      </c>
      <c r="AC1987">
        <v>37.04</v>
      </c>
      <c r="AE1987" s="74"/>
      <c r="AF1987" s="77"/>
      <c r="AH1987" s="497">
        <v>41</v>
      </c>
      <c r="AJ1987" s="42"/>
      <c r="AK1987" s="74"/>
      <c r="AL1987" s="77"/>
      <c r="AN1987" s="497">
        <v>28.04</v>
      </c>
      <c r="AP1987" s="42"/>
      <c r="AQ1987" s="74"/>
      <c r="AR1987" s="77"/>
      <c r="AT1987" s="497">
        <v>37.04</v>
      </c>
      <c r="AV1987" s="42"/>
      <c r="AW1987" s="74"/>
      <c r="AX1987" s="77"/>
      <c r="BA1987" s="497">
        <v>26.96</v>
      </c>
      <c r="BB1987" s="42"/>
      <c r="BC1987" s="74"/>
      <c r="BD1987" s="77"/>
      <c r="BF1987">
        <v>24.98</v>
      </c>
      <c r="BH1987" s="42"/>
      <c r="BI1987" s="74"/>
      <c r="BJ1987" s="77"/>
      <c r="BL1987" s="497">
        <v>35.06</v>
      </c>
      <c r="BN1987" s="42"/>
      <c r="BO1987" s="74"/>
      <c r="BP1987" s="77"/>
      <c r="BR1987" s="497">
        <v>24.98</v>
      </c>
      <c r="BT1987" s="42"/>
    </row>
    <row r="1988" spans="1:72" x14ac:dyDescent="0.25">
      <c r="A1988" s="90">
        <v>38070</v>
      </c>
      <c r="B1988" s="20">
        <v>8.3333333333333329E-2</v>
      </c>
      <c r="D1988">
        <v>44.06</v>
      </c>
      <c r="E1988" t="str">
        <f t="shared" si="96"/>
        <v>WEEKDAY</v>
      </c>
      <c r="F1988" t="e">
        <f t="shared" si="97"/>
        <v>#N/A</v>
      </c>
      <c r="G1988" s="74">
        <v>32956</v>
      </c>
      <c r="H1988" s="77">
        <v>8.3333333333333329E-2</v>
      </c>
      <c r="J1988">
        <v>35.96</v>
      </c>
      <c r="M1988" s="74">
        <v>36609</v>
      </c>
      <c r="N1988" s="77">
        <v>8.3333333333333329E-2</v>
      </c>
      <c r="P1988">
        <v>48.2</v>
      </c>
      <c r="S1988" s="74">
        <v>38070</v>
      </c>
      <c r="T1988" s="77">
        <v>8.3333333333333329E-2</v>
      </c>
      <c r="V1988">
        <v>37.94</v>
      </c>
      <c r="X1988" s="42"/>
      <c r="AB1988">
        <v>40.5</v>
      </c>
      <c r="AC1988">
        <v>37.04</v>
      </c>
      <c r="AE1988" s="74"/>
      <c r="AF1988" s="77"/>
      <c r="AH1988" s="497">
        <v>41</v>
      </c>
      <c r="AJ1988" s="42"/>
      <c r="AK1988" s="74"/>
      <c r="AL1988" s="77"/>
      <c r="AN1988" s="497">
        <v>26.060000000000002</v>
      </c>
      <c r="AP1988" s="42"/>
      <c r="AQ1988" s="74"/>
      <c r="AR1988" s="77"/>
      <c r="AT1988" s="497">
        <v>37.04</v>
      </c>
      <c r="AV1988" s="42"/>
      <c r="AW1988" s="74"/>
      <c r="AX1988" s="77"/>
      <c r="BA1988" s="497">
        <v>24.08</v>
      </c>
      <c r="BB1988" s="42"/>
      <c r="BC1988" s="74"/>
      <c r="BD1988" s="77"/>
      <c r="BF1988">
        <v>24.08</v>
      </c>
      <c r="BH1988" s="42"/>
      <c r="BI1988" s="74"/>
      <c r="BJ1988" s="77"/>
      <c r="BL1988" s="497">
        <v>33.979999999999997</v>
      </c>
      <c r="BN1988" s="42"/>
      <c r="BO1988" s="74"/>
      <c r="BP1988" s="77"/>
      <c r="BR1988" s="497">
        <v>24.98</v>
      </c>
      <c r="BT1988" s="42"/>
    </row>
    <row r="1989" spans="1:72" x14ac:dyDescent="0.25">
      <c r="A1989" s="90">
        <v>38070</v>
      </c>
      <c r="B1989" s="20">
        <v>0.125</v>
      </c>
      <c r="D1989">
        <v>42.08</v>
      </c>
      <c r="E1989" t="str">
        <f t="shared" si="96"/>
        <v>WEEKDAY</v>
      </c>
      <c r="F1989" t="e">
        <f t="shared" si="97"/>
        <v>#N/A</v>
      </c>
      <c r="G1989" s="74">
        <v>32956</v>
      </c>
      <c r="H1989" s="77">
        <v>0.125</v>
      </c>
      <c r="J1989">
        <v>35.06</v>
      </c>
      <c r="M1989" s="74">
        <v>36609</v>
      </c>
      <c r="N1989" s="77">
        <v>0.125</v>
      </c>
      <c r="P1989">
        <v>48.2</v>
      </c>
      <c r="S1989" s="74">
        <v>38070</v>
      </c>
      <c r="T1989" s="77">
        <v>0.125</v>
      </c>
      <c r="V1989">
        <v>37.04</v>
      </c>
      <c r="X1989" s="42"/>
      <c r="AB1989">
        <v>39.799999999999997</v>
      </c>
      <c r="AC1989">
        <v>37.94</v>
      </c>
      <c r="AE1989" s="74"/>
      <c r="AF1989" s="77"/>
      <c r="AH1989" s="497">
        <v>41</v>
      </c>
      <c r="AJ1989" s="42"/>
      <c r="AK1989" s="74"/>
      <c r="AL1989" s="77"/>
      <c r="AN1989" s="497">
        <v>24.98</v>
      </c>
      <c r="AP1989" s="42"/>
      <c r="AQ1989" s="74"/>
      <c r="AR1989" s="77"/>
      <c r="AT1989" s="497">
        <v>37.04</v>
      </c>
      <c r="AV1989" s="42"/>
      <c r="AW1989" s="74"/>
      <c r="AX1989" s="77"/>
      <c r="BA1989" s="497">
        <v>24.08</v>
      </c>
      <c r="BB1989" s="42"/>
      <c r="BC1989" s="74"/>
      <c r="BD1989" s="77"/>
      <c r="BF1989">
        <v>23</v>
      </c>
      <c r="BH1989" s="42"/>
      <c r="BI1989" s="74"/>
      <c r="BJ1989" s="77"/>
      <c r="BL1989" s="497">
        <v>33.08</v>
      </c>
      <c r="BN1989" s="42"/>
      <c r="BO1989" s="74"/>
      <c r="BP1989" s="77"/>
      <c r="BR1989" s="497">
        <v>26.96</v>
      </c>
      <c r="BT1989" s="42"/>
    </row>
    <row r="1990" spans="1:72" x14ac:dyDescent="0.25">
      <c r="A1990" s="90">
        <v>38070</v>
      </c>
      <c r="B1990" s="20">
        <v>0.16666666666666666</v>
      </c>
      <c r="D1990">
        <v>41</v>
      </c>
      <c r="E1990" t="str">
        <f t="shared" si="96"/>
        <v>WEEKDAY</v>
      </c>
      <c r="F1990" t="e">
        <f t="shared" si="97"/>
        <v>#N/A</v>
      </c>
      <c r="G1990" s="74">
        <v>32956</v>
      </c>
      <c r="H1990" s="77">
        <v>0.16666666666666666</v>
      </c>
      <c r="J1990">
        <v>35.06</v>
      </c>
      <c r="M1990" s="74">
        <v>36609</v>
      </c>
      <c r="N1990" s="77">
        <v>0.16666666666666666</v>
      </c>
      <c r="P1990">
        <v>48.2</v>
      </c>
      <c r="S1990" s="74">
        <v>38070</v>
      </c>
      <c r="T1990" s="77">
        <v>0.16666666666666666</v>
      </c>
      <c r="V1990">
        <v>35.96</v>
      </c>
      <c r="X1990" s="42"/>
      <c r="AB1990">
        <v>39.4</v>
      </c>
      <c r="AC1990">
        <v>37.94</v>
      </c>
      <c r="AE1990" s="74"/>
      <c r="AF1990" s="77"/>
      <c r="AH1990" s="497">
        <v>41</v>
      </c>
      <c r="AJ1990" s="42"/>
      <c r="AK1990" s="74"/>
      <c r="AL1990" s="77"/>
      <c r="AN1990" s="497">
        <v>24.08</v>
      </c>
      <c r="AP1990" s="42"/>
      <c r="AQ1990" s="74"/>
      <c r="AR1990" s="77"/>
      <c r="AT1990" s="497">
        <v>37.04</v>
      </c>
      <c r="AV1990" s="42"/>
      <c r="AW1990" s="74"/>
      <c r="AX1990" s="77"/>
      <c r="BA1990" s="497">
        <v>23</v>
      </c>
      <c r="BB1990" s="42"/>
      <c r="BC1990" s="74"/>
      <c r="BD1990" s="77"/>
      <c r="BF1990">
        <v>21.02</v>
      </c>
      <c r="BH1990" s="42"/>
      <c r="BI1990" s="74"/>
      <c r="BJ1990" s="77"/>
      <c r="BL1990" s="497">
        <v>30.02</v>
      </c>
      <c r="BN1990" s="42"/>
      <c r="BO1990" s="74"/>
      <c r="BP1990" s="77"/>
      <c r="BR1990" s="497">
        <v>30.92</v>
      </c>
      <c r="BT1990" s="42"/>
    </row>
    <row r="1991" spans="1:72" x14ac:dyDescent="0.25">
      <c r="A1991" s="90">
        <v>38070</v>
      </c>
      <c r="B1991" s="20">
        <v>0.20833333333333334</v>
      </c>
      <c r="D1991">
        <v>41</v>
      </c>
      <c r="E1991" t="str">
        <f t="shared" si="96"/>
        <v>WEEKDAY</v>
      </c>
      <c r="F1991" t="e">
        <f t="shared" si="97"/>
        <v>#N/A</v>
      </c>
      <c r="G1991" s="74">
        <v>32956</v>
      </c>
      <c r="H1991" s="77">
        <v>0.20833333333333334</v>
      </c>
      <c r="J1991">
        <v>33.979999999999997</v>
      </c>
      <c r="M1991" s="74">
        <v>36609</v>
      </c>
      <c r="N1991" s="77">
        <v>0.20833333333333334</v>
      </c>
      <c r="P1991">
        <v>46.4</v>
      </c>
      <c r="S1991" s="74">
        <v>38070</v>
      </c>
      <c r="T1991" s="77">
        <v>0.20833333333333334</v>
      </c>
      <c r="V1991">
        <v>33.979999999999997</v>
      </c>
      <c r="X1991" s="42"/>
      <c r="AB1991">
        <v>39</v>
      </c>
      <c r="AC1991">
        <v>37.94</v>
      </c>
      <c r="AE1991" s="74"/>
      <c r="AF1991" s="77"/>
      <c r="AH1991" s="497">
        <v>37.4</v>
      </c>
      <c r="AJ1991" s="42"/>
      <c r="AK1991" s="74"/>
      <c r="AL1991" s="77"/>
      <c r="AN1991" s="497">
        <v>24.08</v>
      </c>
      <c r="AP1991" s="42"/>
      <c r="AQ1991" s="74"/>
      <c r="AR1991" s="77"/>
      <c r="AT1991" s="497">
        <v>37.4</v>
      </c>
      <c r="AV1991" s="42"/>
      <c r="AW1991" s="74"/>
      <c r="AX1991" s="77"/>
      <c r="BA1991" s="497">
        <v>21.02</v>
      </c>
      <c r="BB1991" s="42"/>
      <c r="BC1991" s="74"/>
      <c r="BD1991" s="77"/>
      <c r="BF1991">
        <v>21.92</v>
      </c>
      <c r="BH1991" s="42"/>
      <c r="BI1991" s="74"/>
      <c r="BJ1991" s="77"/>
      <c r="BL1991" s="497">
        <v>28.94</v>
      </c>
      <c r="BN1991" s="42"/>
      <c r="BO1991" s="74"/>
      <c r="BP1991" s="77"/>
      <c r="BR1991" s="497">
        <v>32</v>
      </c>
      <c r="BT1991" s="42"/>
    </row>
    <row r="1992" spans="1:72" x14ac:dyDescent="0.25">
      <c r="A1992" s="90">
        <v>38070</v>
      </c>
      <c r="B1992" s="20">
        <v>0.25</v>
      </c>
      <c r="D1992">
        <v>39.92</v>
      </c>
      <c r="E1992" t="str">
        <f t="shared" si="96"/>
        <v>WEEKDAY</v>
      </c>
      <c r="F1992" t="e">
        <f t="shared" si="97"/>
        <v>#N/A</v>
      </c>
      <c r="G1992" s="74">
        <v>32956</v>
      </c>
      <c r="H1992" s="77">
        <v>0.25</v>
      </c>
      <c r="J1992">
        <v>33.979999999999997</v>
      </c>
      <c r="M1992" s="74">
        <v>36609</v>
      </c>
      <c r="N1992" s="77">
        <v>0.25</v>
      </c>
      <c r="P1992">
        <v>46.4</v>
      </c>
      <c r="S1992" s="74">
        <v>38070</v>
      </c>
      <c r="T1992" s="77">
        <v>0.25</v>
      </c>
      <c r="V1992">
        <v>33.979999999999997</v>
      </c>
      <c r="X1992" s="42"/>
      <c r="AB1992">
        <v>38.700000000000003</v>
      </c>
      <c r="AC1992">
        <v>37.94</v>
      </c>
      <c r="AE1992" s="74"/>
      <c r="AF1992" s="77"/>
      <c r="AH1992" s="497">
        <v>35.06</v>
      </c>
      <c r="AJ1992" s="42"/>
      <c r="AK1992" s="74"/>
      <c r="AL1992" s="77"/>
      <c r="AN1992" s="497">
        <v>24.08</v>
      </c>
      <c r="AP1992" s="42"/>
      <c r="AQ1992" s="74"/>
      <c r="AR1992" s="77"/>
      <c r="AT1992" s="497">
        <v>37.58</v>
      </c>
      <c r="AV1992" s="42"/>
      <c r="AW1992" s="74"/>
      <c r="AX1992" s="77"/>
      <c r="BA1992" s="497">
        <v>23</v>
      </c>
      <c r="BB1992" s="42"/>
      <c r="BC1992" s="74"/>
      <c r="BD1992" s="77"/>
      <c r="BF1992">
        <v>23</v>
      </c>
      <c r="BH1992" s="42"/>
      <c r="BI1992" s="74"/>
      <c r="BJ1992" s="77"/>
      <c r="BL1992" s="497">
        <v>28.94</v>
      </c>
      <c r="BN1992" s="42"/>
      <c r="BO1992" s="74"/>
      <c r="BP1992" s="77"/>
      <c r="BR1992" s="497">
        <v>30.92</v>
      </c>
      <c r="BT1992" s="42"/>
    </row>
    <row r="1993" spans="1:72" x14ac:dyDescent="0.25">
      <c r="A1993" s="90">
        <v>38070</v>
      </c>
      <c r="B1993" s="20">
        <v>0.29166666666666669</v>
      </c>
      <c r="D1993">
        <v>39.92</v>
      </c>
      <c r="E1993" t="str">
        <f t="shared" si="96"/>
        <v>WEEKDAY</v>
      </c>
      <c r="F1993" t="e">
        <f t="shared" si="97"/>
        <v>#N/A</v>
      </c>
      <c r="G1993" s="74">
        <v>32956</v>
      </c>
      <c r="H1993" s="77">
        <v>0.29166666666666669</v>
      </c>
      <c r="J1993">
        <v>33.979999999999997</v>
      </c>
      <c r="M1993" s="74">
        <v>36609</v>
      </c>
      <c r="N1993" s="77">
        <v>0.29166666666666669</v>
      </c>
      <c r="P1993">
        <v>48.2</v>
      </c>
      <c r="S1993" s="74">
        <v>38070</v>
      </c>
      <c r="T1993" s="77">
        <v>0.29166666666666669</v>
      </c>
      <c r="V1993">
        <v>37.04</v>
      </c>
      <c r="X1993" s="42"/>
      <c r="AB1993">
        <v>38.6</v>
      </c>
      <c r="AC1993">
        <v>37.94</v>
      </c>
      <c r="AE1993" s="74"/>
      <c r="AF1993" s="77"/>
      <c r="AH1993" s="497">
        <v>33.799999999999997</v>
      </c>
      <c r="AJ1993" s="42"/>
      <c r="AK1993" s="74"/>
      <c r="AL1993" s="77"/>
      <c r="AN1993" s="497">
        <v>24.98</v>
      </c>
      <c r="AP1993" s="42"/>
      <c r="AQ1993" s="74"/>
      <c r="AR1993" s="77"/>
      <c r="AT1993" s="497">
        <v>37.94</v>
      </c>
      <c r="AV1993" s="42"/>
      <c r="AW1993" s="74"/>
      <c r="AX1993" s="77"/>
      <c r="BA1993" s="497">
        <v>24.08</v>
      </c>
      <c r="BB1993" s="42"/>
      <c r="BC1993" s="74"/>
      <c r="BD1993" s="77"/>
      <c r="BF1993">
        <v>21.92</v>
      </c>
      <c r="BH1993" s="42"/>
      <c r="BI1993" s="74"/>
      <c r="BJ1993" s="77"/>
      <c r="BL1993" s="497">
        <v>28.94</v>
      </c>
      <c r="BN1993" s="42"/>
      <c r="BO1993" s="74"/>
      <c r="BP1993" s="77"/>
      <c r="BR1993" s="497">
        <v>30.92</v>
      </c>
      <c r="BT1993" s="42"/>
    </row>
    <row r="1994" spans="1:72" x14ac:dyDescent="0.25">
      <c r="A1994" s="90">
        <v>38070</v>
      </c>
      <c r="B1994" s="20">
        <v>0.33333333333333331</v>
      </c>
      <c r="D1994">
        <v>42.08</v>
      </c>
      <c r="E1994" t="str">
        <f t="shared" si="96"/>
        <v>WEEKDAY</v>
      </c>
      <c r="F1994" t="e">
        <f t="shared" si="97"/>
        <v>#N/A</v>
      </c>
      <c r="G1994" s="74">
        <v>32956</v>
      </c>
      <c r="H1994" s="77">
        <v>0.33333333333333331</v>
      </c>
      <c r="J1994">
        <v>33.979999999999997</v>
      </c>
      <c r="M1994" s="74">
        <v>36609</v>
      </c>
      <c r="N1994" s="77">
        <v>0.33333333333333331</v>
      </c>
      <c r="P1994">
        <v>51.8</v>
      </c>
      <c r="S1994" s="74">
        <v>38070</v>
      </c>
      <c r="T1994" s="77">
        <v>0.33333333333333331</v>
      </c>
      <c r="V1994">
        <v>42.08</v>
      </c>
      <c r="X1994" s="42"/>
      <c r="AB1994">
        <v>39.6</v>
      </c>
      <c r="AC1994">
        <v>39.019999999999996</v>
      </c>
      <c r="AE1994" s="74"/>
      <c r="AF1994" s="77"/>
      <c r="AH1994" s="497">
        <v>42.8</v>
      </c>
      <c r="AJ1994" s="42"/>
      <c r="AK1994" s="74"/>
      <c r="AL1994" s="77"/>
      <c r="AN1994" s="497">
        <v>28.04</v>
      </c>
      <c r="AP1994" s="42"/>
      <c r="AQ1994" s="74"/>
      <c r="AR1994" s="77"/>
      <c r="AT1994" s="497">
        <v>42.980000000000004</v>
      </c>
      <c r="AV1994" s="42"/>
      <c r="AW1994" s="74"/>
      <c r="AX1994" s="77"/>
      <c r="BA1994" s="497">
        <v>24.08</v>
      </c>
      <c r="BB1994" s="42"/>
      <c r="BC1994" s="74"/>
      <c r="BD1994" s="77"/>
      <c r="BF1994">
        <v>24.08</v>
      </c>
      <c r="BH1994" s="42"/>
      <c r="BI1994" s="74"/>
      <c r="BJ1994" s="77"/>
      <c r="BL1994" s="497">
        <v>28.94</v>
      </c>
      <c r="BN1994" s="42"/>
      <c r="BO1994" s="74"/>
      <c r="BP1994" s="77"/>
      <c r="BR1994" s="497">
        <v>33.08</v>
      </c>
      <c r="BT1994" s="42"/>
    </row>
    <row r="1995" spans="1:72" x14ac:dyDescent="0.25">
      <c r="A1995" s="90">
        <v>38070</v>
      </c>
      <c r="B1995" s="20">
        <v>0.375</v>
      </c>
      <c r="D1995">
        <v>42.980000000000004</v>
      </c>
      <c r="E1995" t="str">
        <f t="shared" si="96"/>
        <v>WEEKDAY</v>
      </c>
      <c r="F1995" t="e">
        <f t="shared" si="97"/>
        <v>#N/A</v>
      </c>
      <c r="G1995" s="74">
        <v>32956</v>
      </c>
      <c r="H1995" s="77">
        <v>0.375</v>
      </c>
      <c r="J1995">
        <v>35.06</v>
      </c>
      <c r="M1995" s="74">
        <v>36609</v>
      </c>
      <c r="N1995" s="77">
        <v>0.375</v>
      </c>
      <c r="P1995">
        <v>55.400000000000006</v>
      </c>
      <c r="S1995" s="74">
        <v>38070</v>
      </c>
      <c r="T1995" s="77">
        <v>0.375</v>
      </c>
      <c r="V1995">
        <v>44.96</v>
      </c>
      <c r="X1995" s="42"/>
      <c r="AB1995">
        <v>41.5</v>
      </c>
      <c r="AC1995">
        <v>41</v>
      </c>
      <c r="AE1995" s="74"/>
      <c r="AF1995" s="77"/>
      <c r="AH1995" s="497">
        <v>53.6</v>
      </c>
      <c r="AJ1995" s="42"/>
      <c r="AK1995" s="74"/>
      <c r="AL1995" s="77"/>
      <c r="AN1995" s="497">
        <v>28.94</v>
      </c>
      <c r="AP1995" s="42"/>
      <c r="AQ1995" s="74"/>
      <c r="AR1995" s="77"/>
      <c r="AT1995" s="497">
        <v>48.019999999999996</v>
      </c>
      <c r="AV1995" s="42"/>
      <c r="AW1995" s="74"/>
      <c r="AX1995" s="77"/>
      <c r="BA1995" s="497">
        <v>26.060000000000002</v>
      </c>
      <c r="BB1995" s="42"/>
      <c r="BC1995" s="74"/>
      <c r="BD1995" s="77"/>
      <c r="BF1995">
        <v>24.98</v>
      </c>
      <c r="BH1995" s="42"/>
      <c r="BI1995" s="74"/>
      <c r="BJ1995" s="77"/>
      <c r="BL1995" s="497">
        <v>30.92</v>
      </c>
      <c r="BN1995" s="42"/>
      <c r="BO1995" s="74"/>
      <c r="BP1995" s="77"/>
      <c r="BR1995" s="497">
        <v>33.08</v>
      </c>
      <c r="BT1995" s="42"/>
    </row>
    <row r="1996" spans="1:72" x14ac:dyDescent="0.25">
      <c r="A1996" s="90">
        <v>38070</v>
      </c>
      <c r="B1996" s="20">
        <v>0.41666666666666669</v>
      </c>
      <c r="D1996">
        <v>44.96</v>
      </c>
      <c r="E1996" t="str">
        <f t="shared" si="96"/>
        <v>WEEKDAY</v>
      </c>
      <c r="F1996" t="e">
        <f t="shared" si="97"/>
        <v>#N/A</v>
      </c>
      <c r="G1996" s="74">
        <v>32956</v>
      </c>
      <c r="H1996" s="77">
        <v>0.41666666666666669</v>
      </c>
      <c r="J1996">
        <v>35.96</v>
      </c>
      <c r="M1996" s="74">
        <v>36609</v>
      </c>
      <c r="N1996" s="77">
        <v>0.41666666666666669</v>
      </c>
      <c r="P1996">
        <v>59</v>
      </c>
      <c r="S1996" s="74">
        <v>38070</v>
      </c>
      <c r="T1996" s="77">
        <v>0.41666666666666669</v>
      </c>
      <c r="V1996">
        <v>48.92</v>
      </c>
      <c r="X1996" s="42"/>
      <c r="AB1996">
        <v>43.4</v>
      </c>
      <c r="AC1996">
        <v>42.08</v>
      </c>
      <c r="AE1996" s="74"/>
      <c r="AF1996" s="77"/>
      <c r="AH1996" s="497">
        <v>55.400000000000006</v>
      </c>
      <c r="AJ1996" s="42"/>
      <c r="AK1996" s="74"/>
      <c r="AL1996" s="77"/>
      <c r="AN1996" s="497">
        <v>30.02</v>
      </c>
      <c r="AP1996" s="42"/>
      <c r="AQ1996" s="74"/>
      <c r="AR1996" s="77"/>
      <c r="AT1996" s="497">
        <v>53.06</v>
      </c>
      <c r="AV1996" s="42"/>
      <c r="AW1996" s="74"/>
      <c r="AX1996" s="77"/>
      <c r="BA1996" s="497">
        <v>26.060000000000002</v>
      </c>
      <c r="BB1996" s="42"/>
      <c r="BC1996" s="74"/>
      <c r="BD1996" s="77"/>
      <c r="BF1996">
        <v>26.060000000000002</v>
      </c>
      <c r="BH1996" s="42"/>
      <c r="BI1996" s="74"/>
      <c r="BJ1996" s="77"/>
      <c r="BL1996" s="497">
        <v>32</v>
      </c>
      <c r="BN1996" s="42"/>
      <c r="BO1996" s="74"/>
      <c r="BP1996" s="77"/>
      <c r="BR1996" s="497">
        <v>35.06</v>
      </c>
      <c r="BT1996" s="42"/>
    </row>
    <row r="1997" spans="1:72" x14ac:dyDescent="0.25">
      <c r="A1997" s="90">
        <v>38070</v>
      </c>
      <c r="B1997" s="20">
        <v>0.45833333333333331</v>
      </c>
      <c r="D1997">
        <v>44.06</v>
      </c>
      <c r="E1997" t="str">
        <f t="shared" si="96"/>
        <v>WEEKDAY</v>
      </c>
      <c r="F1997" t="e">
        <f t="shared" si="97"/>
        <v>#N/A</v>
      </c>
      <c r="G1997" s="74">
        <v>32956</v>
      </c>
      <c r="H1997" s="77">
        <v>0.45833333333333331</v>
      </c>
      <c r="J1997">
        <v>37.04</v>
      </c>
      <c r="M1997" s="74">
        <v>36609</v>
      </c>
      <c r="N1997" s="77">
        <v>0.45833333333333331</v>
      </c>
      <c r="P1997">
        <v>60.8</v>
      </c>
      <c r="S1997" s="74">
        <v>38070</v>
      </c>
      <c r="T1997" s="77">
        <v>0.45833333333333331</v>
      </c>
      <c r="V1997">
        <v>48.92</v>
      </c>
      <c r="X1997" s="42"/>
      <c r="AB1997">
        <v>45</v>
      </c>
      <c r="AC1997">
        <v>42.980000000000004</v>
      </c>
      <c r="AE1997" s="74"/>
      <c r="AF1997" s="77"/>
      <c r="AH1997" s="497">
        <v>59</v>
      </c>
      <c r="AJ1997" s="42"/>
      <c r="AK1997" s="74"/>
      <c r="AL1997" s="77"/>
      <c r="AN1997" s="497">
        <v>33.979999999999997</v>
      </c>
      <c r="AP1997" s="42"/>
      <c r="AQ1997" s="74"/>
      <c r="AR1997" s="77"/>
      <c r="AT1997" s="497">
        <v>57.019999999999996</v>
      </c>
      <c r="AV1997" s="42"/>
      <c r="AW1997" s="74"/>
      <c r="AX1997" s="77"/>
      <c r="BA1997" s="497">
        <v>26.060000000000002</v>
      </c>
      <c r="BB1997" s="42"/>
      <c r="BC1997" s="74"/>
      <c r="BD1997" s="77"/>
      <c r="BF1997">
        <v>28.04</v>
      </c>
      <c r="BH1997" s="42"/>
      <c r="BI1997" s="74"/>
      <c r="BJ1997" s="77"/>
      <c r="BL1997" s="497">
        <v>33.979999999999997</v>
      </c>
      <c r="BN1997" s="42"/>
      <c r="BO1997" s="74"/>
      <c r="BP1997" s="77"/>
      <c r="BR1997" s="497">
        <v>37.94</v>
      </c>
      <c r="BT1997" s="42"/>
    </row>
    <row r="1998" spans="1:72" x14ac:dyDescent="0.25">
      <c r="A1998" s="90">
        <v>38070</v>
      </c>
      <c r="B1998" s="20">
        <v>0.5</v>
      </c>
      <c r="D1998">
        <v>44.06</v>
      </c>
      <c r="E1998" t="str">
        <f t="shared" si="96"/>
        <v>WEEKDAY</v>
      </c>
      <c r="F1998" t="e">
        <f t="shared" si="97"/>
        <v>#N/A</v>
      </c>
      <c r="G1998" s="74">
        <v>32956</v>
      </c>
      <c r="H1998" s="77">
        <v>0.5</v>
      </c>
      <c r="J1998">
        <v>37.04</v>
      </c>
      <c r="M1998" s="74">
        <v>36609</v>
      </c>
      <c r="N1998" s="77">
        <v>0.5</v>
      </c>
      <c r="P1998">
        <v>64.400000000000006</v>
      </c>
      <c r="S1998" s="74">
        <v>38070</v>
      </c>
      <c r="T1998" s="77">
        <v>0.5</v>
      </c>
      <c r="V1998">
        <v>51.980000000000004</v>
      </c>
      <c r="X1998" s="42"/>
      <c r="AB1998">
        <v>46.3</v>
      </c>
      <c r="AC1998">
        <v>44.06</v>
      </c>
      <c r="AE1998" s="74"/>
      <c r="AF1998" s="77"/>
      <c r="AH1998" s="497">
        <v>60.8</v>
      </c>
      <c r="AJ1998" s="42"/>
      <c r="AK1998" s="74"/>
      <c r="AL1998" s="77"/>
      <c r="AN1998" s="497">
        <v>35.96</v>
      </c>
      <c r="AP1998" s="42"/>
      <c r="AQ1998" s="74"/>
      <c r="AR1998" s="77"/>
      <c r="AT1998" s="497">
        <v>60.980000000000004</v>
      </c>
      <c r="AV1998" s="42"/>
      <c r="AW1998" s="74"/>
      <c r="AX1998" s="77"/>
      <c r="BA1998" s="497">
        <v>28.04</v>
      </c>
      <c r="BB1998" s="42"/>
      <c r="BC1998" s="74"/>
      <c r="BD1998" s="77"/>
      <c r="BF1998">
        <v>30.02</v>
      </c>
      <c r="BH1998" s="42"/>
      <c r="BI1998" s="74"/>
      <c r="BJ1998" s="77"/>
      <c r="BL1998" s="497">
        <v>35.06</v>
      </c>
      <c r="BN1998" s="42"/>
      <c r="BO1998" s="74"/>
      <c r="BP1998" s="77"/>
      <c r="BR1998" s="497">
        <v>39.019999999999996</v>
      </c>
      <c r="BT1998" s="42"/>
    </row>
    <row r="1999" spans="1:72" x14ac:dyDescent="0.25">
      <c r="A1999" s="90">
        <v>38070</v>
      </c>
      <c r="B1999" s="20">
        <v>0.54166666666666663</v>
      </c>
      <c r="D1999">
        <v>42.08</v>
      </c>
      <c r="E1999" t="str">
        <f t="shared" si="96"/>
        <v>WEEKDAY</v>
      </c>
      <c r="F1999" t="e">
        <f t="shared" si="97"/>
        <v>#N/A</v>
      </c>
      <c r="G1999" s="74">
        <v>32956</v>
      </c>
      <c r="H1999" s="77">
        <v>0.54166666666666663</v>
      </c>
      <c r="J1999">
        <v>35.96</v>
      </c>
      <c r="M1999" s="74">
        <v>36609</v>
      </c>
      <c r="N1999" s="77">
        <v>0.54166666666666663</v>
      </c>
      <c r="P1999">
        <v>66.2</v>
      </c>
      <c r="S1999" s="74">
        <v>38070</v>
      </c>
      <c r="T1999" s="77">
        <v>0.54166666666666663</v>
      </c>
      <c r="V1999">
        <v>51.08</v>
      </c>
      <c r="X1999" s="42"/>
      <c r="AB1999">
        <v>47.4</v>
      </c>
      <c r="AC1999">
        <v>44.06</v>
      </c>
      <c r="AE1999" s="74"/>
      <c r="AF1999" s="77"/>
      <c r="AH1999" s="497">
        <v>62.6</v>
      </c>
      <c r="AJ1999" s="42"/>
      <c r="AK1999" s="74"/>
      <c r="AL1999" s="77"/>
      <c r="AN1999" s="497">
        <v>37.94</v>
      </c>
      <c r="AP1999" s="42"/>
      <c r="AQ1999" s="74"/>
      <c r="AR1999" s="77"/>
      <c r="AT1999" s="497">
        <v>64.94</v>
      </c>
      <c r="AV1999" s="42"/>
      <c r="AW1999" s="74"/>
      <c r="AX1999" s="77"/>
      <c r="BA1999" s="497">
        <v>28.04</v>
      </c>
      <c r="BB1999" s="42"/>
      <c r="BC1999" s="74"/>
      <c r="BD1999" s="77"/>
      <c r="BF1999">
        <v>30.92</v>
      </c>
      <c r="BH1999" s="42"/>
      <c r="BI1999" s="74"/>
      <c r="BJ1999" s="77"/>
      <c r="BL1999" s="497">
        <v>37.04</v>
      </c>
      <c r="BN1999" s="42"/>
      <c r="BO1999" s="74"/>
      <c r="BP1999" s="77"/>
      <c r="BR1999" s="497">
        <v>39.92</v>
      </c>
      <c r="BT1999" s="42"/>
    </row>
    <row r="2000" spans="1:72" x14ac:dyDescent="0.25">
      <c r="A2000" s="90">
        <v>38070</v>
      </c>
      <c r="B2000" s="20">
        <v>0.58333333333333337</v>
      </c>
      <c r="D2000">
        <v>42.980000000000004</v>
      </c>
      <c r="E2000" t="str">
        <f t="shared" si="96"/>
        <v>WEEKDAY</v>
      </c>
      <c r="F2000" t="e">
        <f t="shared" si="97"/>
        <v>#N/A</v>
      </c>
      <c r="G2000" s="74">
        <v>32956</v>
      </c>
      <c r="H2000" s="77">
        <v>0.58333333333333337</v>
      </c>
      <c r="J2000">
        <v>37.04</v>
      </c>
      <c r="M2000" s="74">
        <v>36609</v>
      </c>
      <c r="N2000" s="77">
        <v>0.58333333333333337</v>
      </c>
      <c r="P2000">
        <v>66.2</v>
      </c>
      <c r="S2000" s="74">
        <v>38070</v>
      </c>
      <c r="T2000" s="77">
        <v>0.58333333333333337</v>
      </c>
      <c r="V2000">
        <v>51.980000000000004</v>
      </c>
      <c r="X2000" s="42"/>
      <c r="AB2000">
        <v>48.2</v>
      </c>
      <c r="AC2000">
        <v>44.06</v>
      </c>
      <c r="AE2000" s="74"/>
      <c r="AF2000" s="77"/>
      <c r="AH2000" s="497">
        <v>64.400000000000006</v>
      </c>
      <c r="AJ2000" s="42"/>
      <c r="AK2000" s="74"/>
      <c r="AL2000" s="77"/>
      <c r="AN2000" s="497">
        <v>39.019999999999996</v>
      </c>
      <c r="AP2000" s="42"/>
      <c r="AQ2000" s="74"/>
      <c r="AR2000" s="77"/>
      <c r="AT2000" s="497">
        <v>66.02</v>
      </c>
      <c r="AV2000" s="42"/>
      <c r="AW2000" s="74"/>
      <c r="AX2000" s="77"/>
      <c r="BA2000" s="497">
        <v>30.02</v>
      </c>
      <c r="BB2000" s="42"/>
      <c r="BC2000" s="74"/>
      <c r="BD2000" s="77"/>
      <c r="BF2000">
        <v>30.92</v>
      </c>
      <c r="BH2000" s="42"/>
      <c r="BI2000" s="74"/>
      <c r="BJ2000" s="77"/>
      <c r="BL2000" s="497">
        <v>37.04</v>
      </c>
      <c r="BN2000" s="42"/>
      <c r="BO2000" s="74"/>
      <c r="BP2000" s="77"/>
      <c r="BR2000" s="497">
        <v>39.019999999999996</v>
      </c>
      <c r="BT2000" s="42"/>
    </row>
    <row r="2001" spans="1:72" x14ac:dyDescent="0.25">
      <c r="A2001" s="90">
        <v>38070</v>
      </c>
      <c r="B2001" s="20">
        <v>0.625</v>
      </c>
      <c r="D2001">
        <v>44.06</v>
      </c>
      <c r="E2001" t="str">
        <f t="shared" si="96"/>
        <v>WEEKDAY</v>
      </c>
      <c r="F2001" t="e">
        <f t="shared" si="97"/>
        <v>#N/A</v>
      </c>
      <c r="G2001" s="74">
        <v>32956</v>
      </c>
      <c r="H2001" s="77">
        <v>0.625</v>
      </c>
      <c r="J2001">
        <v>37.04</v>
      </c>
      <c r="M2001" s="74">
        <v>36609</v>
      </c>
      <c r="N2001" s="77">
        <v>0.625</v>
      </c>
      <c r="P2001">
        <v>66.2</v>
      </c>
      <c r="S2001" s="74">
        <v>38070</v>
      </c>
      <c r="T2001" s="77">
        <v>0.625</v>
      </c>
      <c r="V2001">
        <v>50</v>
      </c>
      <c r="X2001" s="42"/>
      <c r="AB2001">
        <v>48.5</v>
      </c>
      <c r="AC2001">
        <v>44.06</v>
      </c>
      <c r="AE2001" s="74"/>
      <c r="AF2001" s="77"/>
      <c r="AH2001" s="497">
        <v>66.2</v>
      </c>
      <c r="AJ2001" s="42"/>
      <c r="AK2001" s="74"/>
      <c r="AL2001" s="77"/>
      <c r="AN2001" s="497">
        <v>37.04</v>
      </c>
      <c r="AP2001" s="42"/>
      <c r="AQ2001" s="74"/>
      <c r="AR2001" s="77"/>
      <c r="AT2001" s="497">
        <v>66.92</v>
      </c>
      <c r="AV2001" s="42"/>
      <c r="AW2001" s="74"/>
      <c r="AX2001" s="77"/>
      <c r="BA2001" s="497">
        <v>30.02</v>
      </c>
      <c r="BB2001" s="42"/>
      <c r="BC2001" s="74"/>
      <c r="BD2001" s="77"/>
      <c r="BF2001">
        <v>32</v>
      </c>
      <c r="BH2001" s="42"/>
      <c r="BI2001" s="74"/>
      <c r="BJ2001" s="77"/>
      <c r="BL2001" s="497">
        <v>39.019999999999996</v>
      </c>
      <c r="BN2001" s="42"/>
      <c r="BO2001" s="74"/>
      <c r="BP2001" s="77"/>
      <c r="BR2001" s="497">
        <v>39.92</v>
      </c>
      <c r="BT2001" s="42"/>
    </row>
    <row r="2002" spans="1:72" x14ac:dyDescent="0.25">
      <c r="A2002" s="90">
        <v>38070</v>
      </c>
      <c r="B2002" s="20">
        <v>0.66666666666666663</v>
      </c>
      <c r="D2002">
        <v>44.06</v>
      </c>
      <c r="E2002" t="str">
        <f t="shared" si="96"/>
        <v>WEEKDAY</v>
      </c>
      <c r="F2002" t="e">
        <f t="shared" si="97"/>
        <v>#N/A</v>
      </c>
      <c r="G2002" s="74">
        <v>32956</v>
      </c>
      <c r="H2002" s="77">
        <v>0.66666666666666663</v>
      </c>
      <c r="J2002">
        <v>37.04</v>
      </c>
      <c r="M2002" s="74">
        <v>36609</v>
      </c>
      <c r="N2002" s="77">
        <v>0.66666666666666663</v>
      </c>
      <c r="P2002">
        <v>68</v>
      </c>
      <c r="S2002" s="74">
        <v>38070</v>
      </c>
      <c r="T2002" s="77">
        <v>0.66666666666666663</v>
      </c>
      <c r="V2002">
        <v>48.92</v>
      </c>
      <c r="X2002" s="42"/>
      <c r="AB2002">
        <v>48.4</v>
      </c>
      <c r="AC2002">
        <v>46.94</v>
      </c>
      <c r="AE2002" s="74"/>
      <c r="AF2002" s="77"/>
      <c r="AH2002" s="497">
        <v>66.2</v>
      </c>
      <c r="AJ2002" s="42"/>
      <c r="AK2002" s="74"/>
      <c r="AL2002" s="77"/>
      <c r="AN2002" s="497">
        <v>35.06</v>
      </c>
      <c r="AP2002" s="42"/>
      <c r="AQ2002" s="74"/>
      <c r="AR2002" s="77"/>
      <c r="AT2002" s="497">
        <v>68</v>
      </c>
      <c r="AV2002" s="42"/>
      <c r="AW2002" s="74"/>
      <c r="AX2002" s="77"/>
      <c r="BA2002" s="497">
        <v>30.02</v>
      </c>
      <c r="BB2002" s="42"/>
      <c r="BC2002" s="74"/>
      <c r="BD2002" s="77"/>
      <c r="BF2002">
        <v>33.08</v>
      </c>
      <c r="BH2002" s="42"/>
      <c r="BI2002" s="74"/>
      <c r="BJ2002" s="77"/>
      <c r="BL2002" s="497">
        <v>37.04</v>
      </c>
      <c r="BN2002" s="42"/>
      <c r="BO2002" s="74"/>
      <c r="BP2002" s="77"/>
      <c r="BR2002" s="497">
        <v>39.92</v>
      </c>
      <c r="BT2002" s="42"/>
    </row>
    <row r="2003" spans="1:72" x14ac:dyDescent="0.25">
      <c r="A2003" s="90">
        <v>38070</v>
      </c>
      <c r="B2003" s="20">
        <v>0.70833333333333337</v>
      </c>
      <c r="D2003">
        <v>44.06</v>
      </c>
      <c r="E2003" t="str">
        <f t="shared" ref="E2003:E2066" si="98">IF(COUNTIF($DI$18:$DI$22, WEEKDAY(A2003))=1, "WEEKDAY", IF(WEEKDAY(A2003) = 1, "SUNDAY", "SATURDAY"))</f>
        <v>WEEKDAY</v>
      </c>
      <c r="F2003" t="e">
        <f t="shared" si="97"/>
        <v>#N/A</v>
      </c>
      <c r="G2003" s="74">
        <v>32956</v>
      </c>
      <c r="H2003" s="77">
        <v>0.70833333333333337</v>
      </c>
      <c r="J2003">
        <v>37.04</v>
      </c>
      <c r="M2003" s="74">
        <v>36609</v>
      </c>
      <c r="N2003" s="77">
        <v>0.70833333333333337</v>
      </c>
      <c r="P2003">
        <v>66.2</v>
      </c>
      <c r="S2003" s="74">
        <v>38070</v>
      </c>
      <c r="T2003" s="77">
        <v>0.70833333333333337</v>
      </c>
      <c r="V2003">
        <v>46.04</v>
      </c>
      <c r="X2003" s="42"/>
      <c r="AB2003">
        <v>47.9</v>
      </c>
      <c r="AC2003">
        <v>46.04</v>
      </c>
      <c r="AE2003" s="74"/>
      <c r="AF2003" s="77"/>
      <c r="AH2003" s="497">
        <v>66.2</v>
      </c>
      <c r="AJ2003" s="42"/>
      <c r="AK2003" s="74"/>
      <c r="AL2003" s="77"/>
      <c r="AN2003" s="497">
        <v>35.06</v>
      </c>
      <c r="AP2003" s="42"/>
      <c r="AQ2003" s="74"/>
      <c r="AR2003" s="77"/>
      <c r="AT2003" s="497">
        <v>65.300000000000011</v>
      </c>
      <c r="AV2003" s="42"/>
      <c r="AW2003" s="74"/>
      <c r="AX2003" s="77"/>
      <c r="BA2003" s="497">
        <v>30.92</v>
      </c>
      <c r="BB2003" s="42"/>
      <c r="BC2003" s="74"/>
      <c r="BD2003" s="77"/>
      <c r="BF2003">
        <v>30.02</v>
      </c>
      <c r="BH2003" s="42"/>
      <c r="BI2003" s="74"/>
      <c r="BJ2003" s="77"/>
      <c r="BL2003" s="497">
        <v>35.96</v>
      </c>
      <c r="BN2003" s="42"/>
      <c r="BO2003" s="74"/>
      <c r="BP2003" s="77"/>
      <c r="BR2003" s="497">
        <v>37.04</v>
      </c>
      <c r="BT2003" s="42"/>
    </row>
    <row r="2004" spans="1:72" x14ac:dyDescent="0.25">
      <c r="A2004" s="90">
        <v>38070</v>
      </c>
      <c r="B2004" s="20">
        <v>0.75</v>
      </c>
      <c r="D2004">
        <v>42.980000000000004</v>
      </c>
      <c r="E2004" t="str">
        <f t="shared" si="98"/>
        <v>WEEKDAY</v>
      </c>
      <c r="F2004" t="e">
        <f t="shared" si="97"/>
        <v>#N/A</v>
      </c>
      <c r="G2004" s="74">
        <v>32956</v>
      </c>
      <c r="H2004" s="77">
        <v>0.75</v>
      </c>
      <c r="J2004">
        <v>37.04</v>
      </c>
      <c r="M2004" s="74">
        <v>36609</v>
      </c>
      <c r="N2004" s="77">
        <v>0.75</v>
      </c>
      <c r="P2004">
        <v>64.400000000000006</v>
      </c>
      <c r="S2004" s="74">
        <v>38070</v>
      </c>
      <c r="T2004" s="77">
        <v>0.75</v>
      </c>
      <c r="V2004">
        <v>42.980000000000004</v>
      </c>
      <c r="X2004" s="42"/>
      <c r="AB2004">
        <v>46.9</v>
      </c>
      <c r="AC2004">
        <v>42.980000000000004</v>
      </c>
      <c r="AE2004" s="74"/>
      <c r="AF2004" s="77"/>
      <c r="AH2004" s="497">
        <v>62.6</v>
      </c>
      <c r="AJ2004" s="42"/>
      <c r="AK2004" s="74"/>
      <c r="AL2004" s="77"/>
      <c r="AN2004" s="497">
        <v>33.08</v>
      </c>
      <c r="AP2004" s="42"/>
      <c r="AQ2004" s="74"/>
      <c r="AR2004" s="77"/>
      <c r="AT2004" s="497">
        <v>62.78</v>
      </c>
      <c r="AV2004" s="42"/>
      <c r="AW2004" s="74"/>
      <c r="AX2004" s="77"/>
      <c r="BA2004" s="497">
        <v>28.94</v>
      </c>
      <c r="BB2004" s="42"/>
      <c r="BC2004" s="74"/>
      <c r="BD2004" s="77"/>
      <c r="BF2004">
        <v>28.94</v>
      </c>
      <c r="BH2004" s="42"/>
      <c r="BI2004" s="74"/>
      <c r="BJ2004" s="77"/>
      <c r="BL2004" s="497">
        <v>33.979999999999997</v>
      </c>
      <c r="BN2004" s="42"/>
      <c r="BO2004" s="74"/>
      <c r="BP2004" s="77"/>
      <c r="BR2004" s="497">
        <v>33.979999999999997</v>
      </c>
      <c r="BT2004" s="42"/>
    </row>
    <row r="2005" spans="1:72" x14ac:dyDescent="0.25">
      <c r="A2005" s="90">
        <v>38070</v>
      </c>
      <c r="B2005" s="20">
        <v>0.79166666666666663</v>
      </c>
      <c r="D2005">
        <v>42.08</v>
      </c>
      <c r="E2005" t="str">
        <f t="shared" si="98"/>
        <v>WEEKDAY</v>
      </c>
      <c r="F2005" t="e">
        <f t="shared" si="97"/>
        <v>#N/A</v>
      </c>
      <c r="G2005" s="74">
        <v>32956</v>
      </c>
      <c r="H2005" s="77">
        <v>0.79166666666666663</v>
      </c>
      <c r="J2005">
        <v>37.04</v>
      </c>
      <c r="M2005" s="74">
        <v>36609</v>
      </c>
      <c r="N2005" s="77">
        <v>0.79166666666666663</v>
      </c>
      <c r="P2005">
        <v>57.2</v>
      </c>
      <c r="S2005" s="74">
        <v>38070</v>
      </c>
      <c r="T2005" s="77">
        <v>0.79166666666666663</v>
      </c>
      <c r="V2005">
        <v>44.06</v>
      </c>
      <c r="X2005" s="42"/>
      <c r="AB2005">
        <v>45.5</v>
      </c>
      <c r="AC2005">
        <v>42.08</v>
      </c>
      <c r="AE2005" s="74"/>
      <c r="AF2005" s="77"/>
      <c r="AH2005" s="497">
        <v>57.2</v>
      </c>
      <c r="AJ2005" s="42"/>
      <c r="AK2005" s="74"/>
      <c r="AL2005" s="77"/>
      <c r="AN2005" s="497">
        <v>30.02</v>
      </c>
      <c r="AP2005" s="42"/>
      <c r="AQ2005" s="74"/>
      <c r="AR2005" s="77"/>
      <c r="AT2005" s="497">
        <v>60.08</v>
      </c>
      <c r="AV2005" s="42"/>
      <c r="AW2005" s="74"/>
      <c r="AX2005" s="77"/>
      <c r="BA2005" s="497">
        <v>26.96</v>
      </c>
      <c r="BB2005" s="42"/>
      <c r="BC2005" s="74"/>
      <c r="BD2005" s="77"/>
      <c r="BF2005">
        <v>28.04</v>
      </c>
      <c r="BH2005" s="42"/>
      <c r="BI2005" s="74"/>
      <c r="BJ2005" s="77"/>
      <c r="BL2005" s="497">
        <v>30.92</v>
      </c>
      <c r="BN2005" s="42"/>
      <c r="BO2005" s="74"/>
      <c r="BP2005" s="77"/>
      <c r="BR2005" s="497">
        <v>30.92</v>
      </c>
      <c r="BT2005" s="42"/>
    </row>
    <row r="2006" spans="1:72" x14ac:dyDescent="0.25">
      <c r="A2006" s="90">
        <v>38070</v>
      </c>
      <c r="B2006" s="20">
        <v>0.83333333333333337</v>
      </c>
      <c r="D2006">
        <v>41</v>
      </c>
      <c r="E2006" t="str">
        <f t="shared" si="98"/>
        <v>WEEKDAY</v>
      </c>
      <c r="F2006" t="e">
        <f t="shared" si="97"/>
        <v>#N/A</v>
      </c>
      <c r="G2006" s="74">
        <v>32956</v>
      </c>
      <c r="H2006" s="77">
        <v>0.83333333333333337</v>
      </c>
      <c r="J2006">
        <v>37.04</v>
      </c>
      <c r="M2006" s="74">
        <v>36609</v>
      </c>
      <c r="N2006" s="77">
        <v>0.83333333333333337</v>
      </c>
      <c r="P2006">
        <v>53.6</v>
      </c>
      <c r="S2006" s="74">
        <v>38070</v>
      </c>
      <c r="T2006" s="77">
        <v>0.83333333333333337</v>
      </c>
      <c r="V2006">
        <v>44.06</v>
      </c>
      <c r="X2006" s="42"/>
      <c r="AB2006">
        <v>44.5</v>
      </c>
      <c r="AC2006">
        <v>42.08</v>
      </c>
      <c r="AE2006" s="74"/>
      <c r="AF2006" s="77"/>
      <c r="AH2006" s="497">
        <v>50</v>
      </c>
      <c r="AJ2006" s="42"/>
      <c r="AK2006" s="74"/>
      <c r="AL2006" s="77"/>
      <c r="AN2006" s="497">
        <v>30.02</v>
      </c>
      <c r="AP2006" s="42"/>
      <c r="AQ2006" s="74"/>
      <c r="AR2006" s="77"/>
      <c r="AT2006" s="497">
        <v>57.379999999999995</v>
      </c>
      <c r="AV2006" s="42"/>
      <c r="AW2006" s="74"/>
      <c r="AX2006" s="77"/>
      <c r="BA2006" s="497">
        <v>26.060000000000002</v>
      </c>
      <c r="BB2006" s="42"/>
      <c r="BC2006" s="74"/>
      <c r="BD2006" s="77"/>
      <c r="BF2006">
        <v>28.04</v>
      </c>
      <c r="BH2006" s="42"/>
      <c r="BI2006" s="74"/>
      <c r="BJ2006" s="77"/>
      <c r="BL2006" s="497">
        <v>28.94</v>
      </c>
      <c r="BN2006" s="42"/>
      <c r="BO2006" s="74"/>
      <c r="BP2006" s="77"/>
      <c r="BR2006" s="497">
        <v>28.94</v>
      </c>
      <c r="BT2006" s="42"/>
    </row>
    <row r="2007" spans="1:72" x14ac:dyDescent="0.25">
      <c r="A2007" s="90">
        <v>38070</v>
      </c>
      <c r="B2007" s="20">
        <v>0.875</v>
      </c>
      <c r="D2007">
        <v>39.92</v>
      </c>
      <c r="E2007" t="str">
        <f t="shared" si="98"/>
        <v>WEEKDAY</v>
      </c>
      <c r="F2007" t="e">
        <f t="shared" si="97"/>
        <v>#N/A</v>
      </c>
      <c r="G2007" s="74">
        <v>32956</v>
      </c>
      <c r="H2007" s="77">
        <v>0.875</v>
      </c>
      <c r="J2007">
        <v>37.04</v>
      </c>
      <c r="M2007" s="74">
        <v>36609</v>
      </c>
      <c r="N2007" s="77">
        <v>0.875</v>
      </c>
      <c r="P2007">
        <v>53.6</v>
      </c>
      <c r="S2007" s="74">
        <v>38070</v>
      </c>
      <c r="T2007" s="77">
        <v>0.875</v>
      </c>
      <c r="V2007">
        <v>42.980000000000004</v>
      </c>
      <c r="X2007" s="42"/>
      <c r="AB2007">
        <v>43.9</v>
      </c>
      <c r="AC2007">
        <v>42.980000000000004</v>
      </c>
      <c r="AE2007" s="74"/>
      <c r="AF2007" s="77"/>
      <c r="AH2007" s="497">
        <v>46.4</v>
      </c>
      <c r="AJ2007" s="42"/>
      <c r="AK2007" s="74"/>
      <c r="AL2007" s="77"/>
      <c r="AN2007" s="497">
        <v>30.02</v>
      </c>
      <c r="AP2007" s="42"/>
      <c r="AQ2007" s="74"/>
      <c r="AR2007" s="77"/>
      <c r="AT2007" s="497">
        <v>54.68</v>
      </c>
      <c r="AV2007" s="42"/>
      <c r="AW2007" s="74"/>
      <c r="AX2007" s="77"/>
      <c r="BA2007" s="497">
        <v>24.08</v>
      </c>
      <c r="BB2007" s="42"/>
      <c r="BC2007" s="74"/>
      <c r="BD2007" s="77"/>
      <c r="BF2007">
        <v>26.96</v>
      </c>
      <c r="BH2007" s="42"/>
      <c r="BI2007" s="74"/>
      <c r="BJ2007" s="77"/>
      <c r="BL2007" s="497">
        <v>30.02</v>
      </c>
      <c r="BN2007" s="42"/>
      <c r="BO2007" s="74"/>
      <c r="BP2007" s="77"/>
      <c r="BR2007" s="497">
        <v>24.98</v>
      </c>
      <c r="BT2007" s="42"/>
    </row>
    <row r="2008" spans="1:72" x14ac:dyDescent="0.25">
      <c r="A2008" s="90">
        <v>38070</v>
      </c>
      <c r="B2008" s="20">
        <v>0.91666666666666663</v>
      </c>
      <c r="D2008">
        <v>39.92</v>
      </c>
      <c r="E2008" t="str">
        <f t="shared" si="98"/>
        <v>WEEKDAY</v>
      </c>
      <c r="F2008" t="e">
        <f t="shared" si="97"/>
        <v>#N/A</v>
      </c>
      <c r="G2008" s="74">
        <v>32956</v>
      </c>
      <c r="H2008" s="77">
        <v>0.91666666666666663</v>
      </c>
      <c r="J2008">
        <v>37.04</v>
      </c>
      <c r="M2008" s="74">
        <v>36609</v>
      </c>
      <c r="N2008" s="77">
        <v>0.91666666666666663</v>
      </c>
      <c r="P2008">
        <v>48.2</v>
      </c>
      <c r="S2008" s="74">
        <v>38070</v>
      </c>
      <c r="T2008" s="77">
        <v>0.91666666666666663</v>
      </c>
      <c r="V2008">
        <v>42.980000000000004</v>
      </c>
      <c r="X2008" s="42"/>
      <c r="AB2008">
        <v>43.2</v>
      </c>
      <c r="AC2008">
        <v>42.980000000000004</v>
      </c>
      <c r="AE2008" s="74"/>
      <c r="AF2008" s="77"/>
      <c r="AH2008" s="497">
        <v>44.6</v>
      </c>
      <c r="AJ2008" s="42"/>
      <c r="AK2008" s="74"/>
      <c r="AL2008" s="77"/>
      <c r="AN2008" s="497">
        <v>30.02</v>
      </c>
      <c r="AP2008" s="42"/>
      <c r="AQ2008" s="74"/>
      <c r="AR2008" s="77"/>
      <c r="AT2008" s="497">
        <v>51.980000000000004</v>
      </c>
      <c r="AV2008" s="42"/>
      <c r="AW2008" s="74"/>
      <c r="AX2008" s="77"/>
      <c r="BA2008" s="497">
        <v>23</v>
      </c>
      <c r="BB2008" s="42"/>
      <c r="BC2008" s="74"/>
      <c r="BD2008" s="77"/>
      <c r="BF2008">
        <v>26.060000000000002</v>
      </c>
      <c r="BH2008" s="42"/>
      <c r="BI2008" s="74"/>
      <c r="BJ2008" s="77"/>
      <c r="BL2008" s="497">
        <v>30.02</v>
      </c>
      <c r="BN2008" s="42"/>
      <c r="BO2008" s="74"/>
      <c r="BP2008" s="77"/>
      <c r="BR2008" s="497">
        <v>21.92</v>
      </c>
      <c r="BT2008" s="42"/>
    </row>
    <row r="2009" spans="1:72" x14ac:dyDescent="0.25">
      <c r="A2009" s="90">
        <v>38070</v>
      </c>
      <c r="B2009" s="20">
        <v>0.95833333333333337</v>
      </c>
      <c r="D2009">
        <v>37.94</v>
      </c>
      <c r="E2009" t="str">
        <f t="shared" si="98"/>
        <v>WEEKDAY</v>
      </c>
      <c r="F2009" t="e">
        <f t="shared" si="97"/>
        <v>#N/A</v>
      </c>
      <c r="G2009" s="74">
        <v>32956</v>
      </c>
      <c r="H2009" s="77">
        <v>0.95833333333333337</v>
      </c>
      <c r="J2009">
        <v>37.04</v>
      </c>
      <c r="M2009" s="74">
        <v>36609</v>
      </c>
      <c r="N2009" s="77">
        <v>0.95833333333333337</v>
      </c>
      <c r="P2009">
        <v>46.4</v>
      </c>
      <c r="S2009" s="74">
        <v>38070</v>
      </c>
      <c r="T2009" s="77">
        <v>0.95833333333333337</v>
      </c>
      <c r="V2009">
        <v>44.06</v>
      </c>
      <c r="X2009" s="42"/>
      <c r="AB2009">
        <v>42.6</v>
      </c>
      <c r="AC2009">
        <v>41</v>
      </c>
      <c r="AE2009" s="74"/>
      <c r="AF2009" s="77"/>
      <c r="AH2009" s="497">
        <v>39.200000000000003</v>
      </c>
      <c r="AJ2009" s="42"/>
      <c r="AK2009" s="74"/>
      <c r="AL2009" s="77"/>
      <c r="AN2009" s="497">
        <v>28.94</v>
      </c>
      <c r="AP2009" s="42"/>
      <c r="AQ2009" s="74"/>
      <c r="AR2009" s="77"/>
      <c r="AT2009" s="497">
        <v>50.36</v>
      </c>
      <c r="AV2009" s="42"/>
      <c r="AW2009" s="74"/>
      <c r="AX2009" s="77"/>
      <c r="BA2009" s="497">
        <v>21.92</v>
      </c>
      <c r="BB2009" s="42"/>
      <c r="BC2009" s="74"/>
      <c r="BD2009" s="77"/>
      <c r="BF2009">
        <v>24.98</v>
      </c>
      <c r="BH2009" s="42"/>
      <c r="BI2009" s="74"/>
      <c r="BJ2009" s="77"/>
      <c r="BL2009" s="497">
        <v>28.94</v>
      </c>
      <c r="BN2009" s="42"/>
      <c r="BO2009" s="74"/>
      <c r="BP2009" s="77"/>
      <c r="BR2009" s="497">
        <v>21.92</v>
      </c>
      <c r="BT2009" s="42"/>
    </row>
    <row r="2010" spans="1:72" x14ac:dyDescent="0.25">
      <c r="A2010" s="90">
        <v>38070</v>
      </c>
      <c r="B2010" s="20">
        <v>1</v>
      </c>
      <c r="D2010">
        <v>37.04</v>
      </c>
      <c r="E2010" t="str">
        <f t="shared" si="98"/>
        <v>WEEKDAY</v>
      </c>
      <c r="F2010" t="e">
        <f t="shared" si="97"/>
        <v>#N/A</v>
      </c>
      <c r="G2010" s="74">
        <v>32956</v>
      </c>
      <c r="H2010" s="77">
        <v>1</v>
      </c>
      <c r="J2010">
        <v>37.04</v>
      </c>
      <c r="M2010" s="74">
        <v>36609</v>
      </c>
      <c r="N2010" s="80">
        <v>1</v>
      </c>
      <c r="P2010">
        <v>42.8</v>
      </c>
      <c r="S2010" s="74">
        <v>38070</v>
      </c>
      <c r="T2010" s="80">
        <v>1</v>
      </c>
      <c r="V2010">
        <v>44.06</v>
      </c>
      <c r="X2010" s="42"/>
      <c r="AB2010">
        <v>41.9</v>
      </c>
      <c r="AC2010">
        <v>41</v>
      </c>
      <c r="AE2010" s="74"/>
      <c r="AF2010" s="80"/>
      <c r="AH2010" s="497">
        <v>39.200000000000003</v>
      </c>
      <c r="AJ2010" s="42"/>
      <c r="AK2010" s="74"/>
      <c r="AL2010" s="80"/>
      <c r="AN2010" s="497">
        <v>26.96</v>
      </c>
      <c r="AP2010" s="42"/>
      <c r="AQ2010" s="74"/>
      <c r="AR2010" s="80"/>
      <c r="AT2010" s="497">
        <v>48.56</v>
      </c>
      <c r="AV2010" s="42"/>
      <c r="AW2010" s="74"/>
      <c r="AX2010" s="80"/>
      <c r="BA2010" s="497">
        <v>21.02</v>
      </c>
      <c r="BB2010" s="42"/>
      <c r="BC2010" s="74"/>
      <c r="BD2010" s="80"/>
      <c r="BF2010">
        <v>24.08</v>
      </c>
      <c r="BH2010" s="42"/>
      <c r="BI2010" s="74"/>
      <c r="BJ2010" s="80"/>
      <c r="BL2010" s="497">
        <v>28.04</v>
      </c>
      <c r="BN2010" s="42"/>
      <c r="BO2010" s="74"/>
      <c r="BP2010" s="80"/>
      <c r="BR2010" s="497">
        <v>26.060000000000002</v>
      </c>
      <c r="BT2010" s="42"/>
    </row>
    <row r="2011" spans="1:72" x14ac:dyDescent="0.25">
      <c r="A2011" s="90">
        <v>38071</v>
      </c>
      <c r="B2011" s="20">
        <v>4.1666666666666664E-2</v>
      </c>
      <c r="D2011">
        <v>37.04</v>
      </c>
      <c r="E2011" t="str">
        <f t="shared" si="98"/>
        <v>WEEKDAY</v>
      </c>
      <c r="F2011" t="e">
        <f t="shared" si="97"/>
        <v>#N/A</v>
      </c>
      <c r="G2011" s="74">
        <v>32957</v>
      </c>
      <c r="H2011" s="77">
        <v>4.1666666666666664E-2</v>
      </c>
      <c r="J2011">
        <v>37.04</v>
      </c>
      <c r="M2011" s="74">
        <v>36610</v>
      </c>
      <c r="N2011" s="77">
        <v>4.1666666666666664E-2</v>
      </c>
      <c r="P2011">
        <v>42.8</v>
      </c>
      <c r="S2011" s="74">
        <v>38071</v>
      </c>
      <c r="T2011" s="77">
        <v>4.1666666666666664E-2</v>
      </c>
      <c r="V2011">
        <v>42.980000000000004</v>
      </c>
      <c r="X2011" s="42"/>
      <c r="AB2011">
        <v>41.4</v>
      </c>
      <c r="AC2011">
        <v>41</v>
      </c>
      <c r="AE2011" s="74"/>
      <c r="AF2011" s="77"/>
      <c r="AH2011" s="497">
        <v>37.4</v>
      </c>
      <c r="AJ2011" s="42"/>
      <c r="AK2011" s="74"/>
      <c r="AL2011" s="77"/>
      <c r="AN2011" s="497">
        <v>26.060000000000002</v>
      </c>
      <c r="AP2011" s="42"/>
      <c r="AQ2011" s="74"/>
      <c r="AR2011" s="77"/>
      <c r="AT2011" s="497">
        <v>46.94</v>
      </c>
      <c r="AV2011" s="42"/>
      <c r="AW2011" s="74"/>
      <c r="AX2011" s="77"/>
      <c r="BA2011" s="497">
        <v>19.939999999999998</v>
      </c>
      <c r="BB2011" s="42"/>
      <c r="BC2011" s="74"/>
      <c r="BD2011" s="77"/>
      <c r="BF2011">
        <v>24.08</v>
      </c>
      <c r="BH2011" s="42"/>
      <c r="BI2011" s="74"/>
      <c r="BJ2011" s="77"/>
      <c r="BL2011" s="497">
        <v>28.94</v>
      </c>
      <c r="BN2011" s="42"/>
      <c r="BO2011" s="74"/>
      <c r="BP2011" s="77"/>
      <c r="BR2011" s="497">
        <v>24.08</v>
      </c>
      <c r="BT2011" s="42"/>
    </row>
    <row r="2012" spans="1:72" x14ac:dyDescent="0.25">
      <c r="A2012" s="90">
        <v>38071</v>
      </c>
      <c r="B2012" s="20">
        <v>8.3333333333333329E-2</v>
      </c>
      <c r="D2012">
        <v>35.96</v>
      </c>
      <c r="E2012" t="str">
        <f t="shared" si="98"/>
        <v>WEEKDAY</v>
      </c>
      <c r="F2012" t="e">
        <f t="shared" si="97"/>
        <v>#N/A</v>
      </c>
      <c r="G2012" s="74">
        <v>32957</v>
      </c>
      <c r="H2012" s="77">
        <v>8.3333333333333329E-2</v>
      </c>
      <c r="J2012">
        <v>37.04</v>
      </c>
      <c r="M2012" s="74">
        <v>36610</v>
      </c>
      <c r="N2012" s="77">
        <v>8.3333333333333329E-2</v>
      </c>
      <c r="P2012">
        <v>39.200000000000003</v>
      </c>
      <c r="S2012" s="74">
        <v>38071</v>
      </c>
      <c r="T2012" s="77">
        <v>8.3333333333333329E-2</v>
      </c>
      <c r="V2012">
        <v>42.980000000000004</v>
      </c>
      <c r="X2012" s="42"/>
      <c r="AB2012">
        <v>40.799999999999997</v>
      </c>
      <c r="AC2012">
        <v>39.92</v>
      </c>
      <c r="AE2012" s="74"/>
      <c r="AF2012" s="77"/>
      <c r="AH2012" s="497">
        <v>37.4</v>
      </c>
      <c r="AJ2012" s="42"/>
      <c r="AK2012" s="74"/>
      <c r="AL2012" s="77"/>
      <c r="AN2012" s="497">
        <v>24.98</v>
      </c>
      <c r="AP2012" s="42"/>
      <c r="AQ2012" s="74"/>
      <c r="AR2012" s="77"/>
      <c r="AT2012" s="497">
        <v>46.22</v>
      </c>
      <c r="AV2012" s="42"/>
      <c r="AW2012" s="74"/>
      <c r="AX2012" s="77"/>
      <c r="BA2012" s="497">
        <v>21.92</v>
      </c>
      <c r="BB2012" s="42"/>
      <c r="BC2012" s="74"/>
      <c r="BD2012" s="77"/>
      <c r="BF2012">
        <v>23</v>
      </c>
      <c r="BH2012" s="42"/>
      <c r="BI2012" s="74"/>
      <c r="BJ2012" s="77"/>
      <c r="BL2012" s="497">
        <v>28.94</v>
      </c>
      <c r="BN2012" s="42"/>
      <c r="BO2012" s="74"/>
      <c r="BP2012" s="77"/>
      <c r="BR2012" s="497">
        <v>23</v>
      </c>
      <c r="BT2012" s="42"/>
    </row>
    <row r="2013" spans="1:72" x14ac:dyDescent="0.25">
      <c r="A2013" s="90">
        <v>38071</v>
      </c>
      <c r="B2013" s="20">
        <v>0.125</v>
      </c>
      <c r="D2013">
        <v>35.96</v>
      </c>
      <c r="E2013" t="str">
        <f t="shared" si="98"/>
        <v>WEEKDAY</v>
      </c>
      <c r="F2013" t="e">
        <f t="shared" si="97"/>
        <v>#N/A</v>
      </c>
      <c r="G2013" s="74">
        <v>32957</v>
      </c>
      <c r="H2013" s="77">
        <v>0.125</v>
      </c>
      <c r="J2013">
        <v>35.96</v>
      </c>
      <c r="M2013" s="74">
        <v>36610</v>
      </c>
      <c r="N2013" s="77">
        <v>0.125</v>
      </c>
      <c r="P2013">
        <v>39.200000000000003</v>
      </c>
      <c r="S2013" s="74">
        <v>38071</v>
      </c>
      <c r="T2013" s="77">
        <v>0.125</v>
      </c>
      <c r="V2013">
        <v>42.980000000000004</v>
      </c>
      <c r="X2013" s="42"/>
      <c r="AB2013">
        <v>40.200000000000003</v>
      </c>
      <c r="AC2013">
        <v>41</v>
      </c>
      <c r="AE2013" s="74"/>
      <c r="AF2013" s="77"/>
      <c r="AH2013" s="497">
        <v>35.6</v>
      </c>
      <c r="AJ2013" s="42"/>
      <c r="AK2013" s="74"/>
      <c r="AL2013" s="77"/>
      <c r="AN2013" s="497">
        <v>24.08</v>
      </c>
      <c r="AP2013" s="42"/>
      <c r="AQ2013" s="74"/>
      <c r="AR2013" s="77"/>
      <c r="AT2013" s="497">
        <v>45.68</v>
      </c>
      <c r="AV2013" s="42"/>
      <c r="AW2013" s="74"/>
      <c r="AX2013" s="77"/>
      <c r="BA2013" s="497">
        <v>21.92</v>
      </c>
      <c r="BB2013" s="42"/>
      <c r="BC2013" s="74"/>
      <c r="BD2013" s="77"/>
      <c r="BF2013">
        <v>23</v>
      </c>
      <c r="BH2013" s="42"/>
      <c r="BI2013" s="74"/>
      <c r="BJ2013" s="77"/>
      <c r="BL2013" s="497">
        <v>30.92</v>
      </c>
      <c r="BN2013" s="42"/>
      <c r="BO2013" s="74"/>
      <c r="BP2013" s="77"/>
      <c r="BR2013" s="497">
        <v>21.92</v>
      </c>
      <c r="BT2013" s="42"/>
    </row>
    <row r="2014" spans="1:72" x14ac:dyDescent="0.25">
      <c r="A2014" s="90">
        <v>38071</v>
      </c>
      <c r="B2014" s="20">
        <v>0.16666666666666666</v>
      </c>
      <c r="D2014">
        <v>35.06</v>
      </c>
      <c r="E2014" t="str">
        <f t="shared" si="98"/>
        <v>WEEKDAY</v>
      </c>
      <c r="F2014" t="e">
        <f t="shared" si="97"/>
        <v>#N/A</v>
      </c>
      <c r="G2014" s="74">
        <v>32957</v>
      </c>
      <c r="H2014" s="77">
        <v>0.16666666666666666</v>
      </c>
      <c r="J2014">
        <v>37.04</v>
      </c>
      <c r="M2014" s="74">
        <v>36610</v>
      </c>
      <c r="N2014" s="77">
        <v>0.16666666666666666</v>
      </c>
      <c r="P2014">
        <v>39.200000000000003</v>
      </c>
      <c r="S2014" s="74">
        <v>38071</v>
      </c>
      <c r="T2014" s="77">
        <v>0.16666666666666666</v>
      </c>
      <c r="V2014">
        <v>44.06</v>
      </c>
      <c r="X2014" s="42"/>
      <c r="AB2014">
        <v>39.799999999999997</v>
      </c>
      <c r="AC2014">
        <v>41</v>
      </c>
      <c r="AE2014" s="74"/>
      <c r="AF2014" s="77"/>
      <c r="AH2014" s="497">
        <v>33.799999999999997</v>
      </c>
      <c r="AJ2014" s="42"/>
      <c r="AK2014" s="74"/>
      <c r="AL2014" s="77"/>
      <c r="AN2014" s="497">
        <v>24.98</v>
      </c>
      <c r="AP2014" s="42"/>
      <c r="AQ2014" s="74"/>
      <c r="AR2014" s="77"/>
      <c r="AT2014" s="497">
        <v>44.96</v>
      </c>
      <c r="AV2014" s="42"/>
      <c r="AW2014" s="74"/>
      <c r="AX2014" s="77"/>
      <c r="BA2014" s="497">
        <v>21.92</v>
      </c>
      <c r="BB2014" s="42"/>
      <c r="BC2014" s="74"/>
      <c r="BD2014" s="77"/>
      <c r="BF2014">
        <v>23</v>
      </c>
      <c r="BH2014" s="42"/>
      <c r="BI2014" s="74"/>
      <c r="BJ2014" s="77"/>
      <c r="BL2014" s="497">
        <v>33.08</v>
      </c>
      <c r="BN2014" s="42"/>
      <c r="BO2014" s="74"/>
      <c r="BP2014" s="77"/>
      <c r="BR2014" s="497">
        <v>21.02</v>
      </c>
      <c r="BT2014" s="42"/>
    </row>
    <row r="2015" spans="1:72" x14ac:dyDescent="0.25">
      <c r="A2015" s="90">
        <v>38071</v>
      </c>
      <c r="B2015" s="20">
        <v>0.20833333333333334</v>
      </c>
      <c r="D2015">
        <v>35.06</v>
      </c>
      <c r="E2015" t="str">
        <f t="shared" si="98"/>
        <v>WEEKDAY</v>
      </c>
      <c r="F2015" t="e">
        <f t="shared" si="97"/>
        <v>#N/A</v>
      </c>
      <c r="G2015" s="74">
        <v>32957</v>
      </c>
      <c r="H2015" s="77">
        <v>0.20833333333333334</v>
      </c>
      <c r="J2015">
        <v>37.04</v>
      </c>
      <c r="M2015" s="74">
        <v>36610</v>
      </c>
      <c r="N2015" s="77">
        <v>0.20833333333333334</v>
      </c>
      <c r="P2015">
        <v>39.200000000000003</v>
      </c>
      <c r="S2015" s="74">
        <v>38071</v>
      </c>
      <c r="T2015" s="77">
        <v>0.20833333333333334</v>
      </c>
      <c r="V2015">
        <v>44.06</v>
      </c>
      <c r="X2015" s="42"/>
      <c r="AB2015">
        <v>39.4</v>
      </c>
      <c r="AC2015">
        <v>41</v>
      </c>
      <c r="AE2015" s="74"/>
      <c r="AF2015" s="77"/>
      <c r="AH2015" s="497">
        <v>33.799999999999997</v>
      </c>
      <c r="AJ2015" s="42"/>
      <c r="AK2015" s="74"/>
      <c r="AL2015" s="77"/>
      <c r="AN2015" s="497">
        <v>24.98</v>
      </c>
      <c r="AP2015" s="42"/>
      <c r="AQ2015" s="74"/>
      <c r="AR2015" s="77"/>
      <c r="AT2015" s="497">
        <v>45.32</v>
      </c>
      <c r="AV2015" s="42"/>
      <c r="AW2015" s="74"/>
      <c r="AX2015" s="77"/>
      <c r="BA2015" s="497">
        <v>23</v>
      </c>
      <c r="BB2015" s="42"/>
      <c r="BC2015" s="74"/>
      <c r="BD2015" s="77"/>
      <c r="BF2015">
        <v>23</v>
      </c>
      <c r="BH2015" s="42"/>
      <c r="BI2015" s="74"/>
      <c r="BJ2015" s="77"/>
      <c r="BL2015" s="497">
        <v>33.979999999999997</v>
      </c>
      <c r="BN2015" s="42"/>
      <c r="BO2015" s="74"/>
      <c r="BP2015" s="77"/>
      <c r="BR2015" s="497">
        <v>19.04</v>
      </c>
      <c r="BT2015" s="42"/>
    </row>
    <row r="2016" spans="1:72" x14ac:dyDescent="0.25">
      <c r="A2016" s="90">
        <v>38071</v>
      </c>
      <c r="B2016" s="20">
        <v>0.25</v>
      </c>
      <c r="D2016">
        <v>35.06</v>
      </c>
      <c r="E2016" t="str">
        <f t="shared" si="98"/>
        <v>WEEKDAY</v>
      </c>
      <c r="F2016" t="e">
        <f t="shared" si="97"/>
        <v>#N/A</v>
      </c>
      <c r="G2016" s="74">
        <v>32957</v>
      </c>
      <c r="H2016" s="77">
        <v>0.25</v>
      </c>
      <c r="J2016">
        <v>37.04</v>
      </c>
      <c r="M2016" s="74">
        <v>36610</v>
      </c>
      <c r="N2016" s="77">
        <v>0.25</v>
      </c>
      <c r="P2016">
        <v>41</v>
      </c>
      <c r="S2016" s="74">
        <v>38071</v>
      </c>
      <c r="T2016" s="77">
        <v>0.25</v>
      </c>
      <c r="V2016">
        <v>44.96</v>
      </c>
      <c r="X2016" s="42"/>
      <c r="AB2016">
        <v>39.1</v>
      </c>
      <c r="AC2016">
        <v>39.92</v>
      </c>
      <c r="AE2016" s="74"/>
      <c r="AF2016" s="77"/>
      <c r="AH2016" s="497">
        <v>32</v>
      </c>
      <c r="AJ2016" s="42"/>
      <c r="AK2016" s="74"/>
      <c r="AL2016" s="77"/>
      <c r="AN2016" s="497">
        <v>24.98</v>
      </c>
      <c r="AP2016" s="42"/>
      <c r="AQ2016" s="74"/>
      <c r="AR2016" s="77"/>
      <c r="AT2016" s="497">
        <v>45.68</v>
      </c>
      <c r="AV2016" s="42"/>
      <c r="AW2016" s="74"/>
      <c r="AX2016" s="77"/>
      <c r="BA2016" s="497">
        <v>23</v>
      </c>
      <c r="BB2016" s="42"/>
      <c r="BC2016" s="74"/>
      <c r="BD2016" s="77"/>
      <c r="BF2016">
        <v>21.92</v>
      </c>
      <c r="BH2016" s="42"/>
      <c r="BI2016" s="74"/>
      <c r="BJ2016" s="77"/>
      <c r="BL2016" s="497">
        <v>37.04</v>
      </c>
      <c r="BN2016" s="42"/>
      <c r="BO2016" s="74"/>
      <c r="BP2016" s="77"/>
      <c r="BR2016" s="497">
        <v>17.96</v>
      </c>
      <c r="BT2016" s="42"/>
    </row>
    <row r="2017" spans="1:72" x14ac:dyDescent="0.25">
      <c r="A2017" s="90">
        <v>38071</v>
      </c>
      <c r="B2017" s="20">
        <v>0.29166666666666669</v>
      </c>
      <c r="D2017">
        <v>35.06</v>
      </c>
      <c r="E2017" t="str">
        <f t="shared" si="98"/>
        <v>WEEKDAY</v>
      </c>
      <c r="F2017" t="e">
        <f t="shared" si="97"/>
        <v>#N/A</v>
      </c>
      <c r="G2017" s="74">
        <v>32957</v>
      </c>
      <c r="H2017" s="77">
        <v>0.29166666666666669</v>
      </c>
      <c r="J2017">
        <v>37.04</v>
      </c>
      <c r="M2017" s="74">
        <v>36610</v>
      </c>
      <c r="N2017" s="77">
        <v>0.29166666666666669</v>
      </c>
      <c r="P2017">
        <v>42.8</v>
      </c>
      <c r="S2017" s="74">
        <v>38071</v>
      </c>
      <c r="T2017" s="77">
        <v>0.29166666666666669</v>
      </c>
      <c r="V2017">
        <v>44.06</v>
      </c>
      <c r="X2017" s="42"/>
      <c r="AB2017">
        <v>39</v>
      </c>
      <c r="AC2017">
        <v>39.92</v>
      </c>
      <c r="AE2017" s="74"/>
      <c r="AF2017" s="77"/>
      <c r="AH2017" s="497">
        <v>32</v>
      </c>
      <c r="AJ2017" s="42"/>
      <c r="AK2017" s="74"/>
      <c r="AL2017" s="77"/>
      <c r="AN2017" s="497">
        <v>24.98</v>
      </c>
      <c r="AP2017" s="42"/>
      <c r="AQ2017" s="74"/>
      <c r="AR2017" s="77"/>
      <c r="AT2017" s="497">
        <v>46.04</v>
      </c>
      <c r="AV2017" s="42"/>
      <c r="AW2017" s="74"/>
      <c r="AX2017" s="77"/>
      <c r="BA2017" s="497">
        <v>23</v>
      </c>
      <c r="BB2017" s="42"/>
      <c r="BC2017" s="74"/>
      <c r="BD2017" s="77"/>
      <c r="BF2017">
        <v>23</v>
      </c>
      <c r="BH2017" s="42"/>
      <c r="BI2017" s="74"/>
      <c r="BJ2017" s="77"/>
      <c r="BL2017" s="497">
        <v>37.94</v>
      </c>
      <c r="BN2017" s="42"/>
      <c r="BO2017" s="74"/>
      <c r="BP2017" s="77"/>
      <c r="BR2017" s="497">
        <v>21.02</v>
      </c>
      <c r="BT2017" s="42"/>
    </row>
    <row r="2018" spans="1:72" x14ac:dyDescent="0.25">
      <c r="A2018" s="90">
        <v>38071</v>
      </c>
      <c r="B2018" s="20">
        <v>0.33333333333333331</v>
      </c>
      <c r="D2018">
        <v>37.04</v>
      </c>
      <c r="E2018" t="str">
        <f t="shared" si="98"/>
        <v>WEEKDAY</v>
      </c>
      <c r="F2018" t="e">
        <f t="shared" si="97"/>
        <v>#N/A</v>
      </c>
      <c r="G2018" s="74">
        <v>32957</v>
      </c>
      <c r="H2018" s="77">
        <v>0.33333333333333331</v>
      </c>
      <c r="J2018">
        <v>37.94</v>
      </c>
      <c r="M2018" s="74">
        <v>36610</v>
      </c>
      <c r="N2018" s="77">
        <v>0.33333333333333331</v>
      </c>
      <c r="P2018">
        <v>44.6</v>
      </c>
      <c r="S2018" s="74">
        <v>38071</v>
      </c>
      <c r="T2018" s="77">
        <v>0.33333333333333331</v>
      </c>
      <c r="V2018">
        <v>44.06</v>
      </c>
      <c r="X2018" s="42"/>
      <c r="AB2018">
        <v>40.1</v>
      </c>
      <c r="AC2018">
        <v>39.92</v>
      </c>
      <c r="AE2018" s="74"/>
      <c r="AF2018" s="77"/>
      <c r="AH2018" s="497">
        <v>41</v>
      </c>
      <c r="AJ2018" s="42"/>
      <c r="AK2018" s="74"/>
      <c r="AL2018" s="77"/>
      <c r="AN2018" s="497">
        <v>24.98</v>
      </c>
      <c r="AP2018" s="42"/>
      <c r="AQ2018" s="74"/>
      <c r="AR2018" s="77"/>
      <c r="AT2018" s="497">
        <v>48.019999999999996</v>
      </c>
      <c r="AV2018" s="42"/>
      <c r="AW2018" s="74"/>
      <c r="AX2018" s="77"/>
      <c r="BA2018" s="497">
        <v>28.94</v>
      </c>
      <c r="BB2018" s="42"/>
      <c r="BC2018" s="74"/>
      <c r="BD2018" s="77"/>
      <c r="BF2018">
        <v>24.98</v>
      </c>
      <c r="BH2018" s="42"/>
      <c r="BI2018" s="74"/>
      <c r="BJ2018" s="77"/>
      <c r="BL2018" s="497">
        <v>44.06</v>
      </c>
      <c r="BN2018" s="42"/>
      <c r="BO2018" s="74"/>
      <c r="BP2018" s="77"/>
      <c r="BR2018" s="497">
        <v>24.08</v>
      </c>
      <c r="BT2018" s="42"/>
    </row>
    <row r="2019" spans="1:72" x14ac:dyDescent="0.25">
      <c r="A2019" s="90">
        <v>38071</v>
      </c>
      <c r="B2019" s="20">
        <v>0.375</v>
      </c>
      <c r="D2019">
        <v>33.979999999999997</v>
      </c>
      <c r="E2019" t="str">
        <f t="shared" si="98"/>
        <v>WEEKDAY</v>
      </c>
      <c r="F2019" t="e">
        <f t="shared" si="97"/>
        <v>#N/A</v>
      </c>
      <c r="G2019" s="74">
        <v>32957</v>
      </c>
      <c r="H2019" s="77">
        <v>0.375</v>
      </c>
      <c r="J2019">
        <v>39.92</v>
      </c>
      <c r="M2019" s="74">
        <v>36610</v>
      </c>
      <c r="N2019" s="77">
        <v>0.375</v>
      </c>
      <c r="P2019">
        <v>50</v>
      </c>
      <c r="S2019" s="74">
        <v>38071</v>
      </c>
      <c r="T2019" s="77">
        <v>0.375</v>
      </c>
      <c r="V2019">
        <v>44.06</v>
      </c>
      <c r="X2019" s="42"/>
      <c r="AB2019">
        <v>42</v>
      </c>
      <c r="AC2019">
        <v>41</v>
      </c>
      <c r="AE2019" s="74"/>
      <c r="AF2019" s="77"/>
      <c r="AH2019" s="497">
        <v>49.1</v>
      </c>
      <c r="AJ2019" s="42"/>
      <c r="AK2019" s="74"/>
      <c r="AL2019" s="77"/>
      <c r="AN2019" s="497">
        <v>26.060000000000002</v>
      </c>
      <c r="AP2019" s="42"/>
      <c r="AQ2019" s="74"/>
      <c r="AR2019" s="77"/>
      <c r="AT2019" s="497">
        <v>50</v>
      </c>
      <c r="AV2019" s="42"/>
      <c r="AW2019" s="74"/>
      <c r="AX2019" s="77"/>
      <c r="BA2019" s="497">
        <v>30.92</v>
      </c>
      <c r="BB2019" s="42"/>
      <c r="BC2019" s="74"/>
      <c r="BD2019" s="77"/>
      <c r="BF2019">
        <v>30.92</v>
      </c>
      <c r="BH2019" s="42"/>
      <c r="BI2019" s="74"/>
      <c r="BJ2019" s="77"/>
      <c r="BL2019" s="497">
        <v>48.019999999999996</v>
      </c>
      <c r="BN2019" s="42"/>
      <c r="BO2019" s="74"/>
      <c r="BP2019" s="77"/>
      <c r="BR2019" s="497">
        <v>26.96</v>
      </c>
      <c r="BT2019" s="42"/>
    </row>
    <row r="2020" spans="1:72" x14ac:dyDescent="0.25">
      <c r="A2020" s="90">
        <v>38071</v>
      </c>
      <c r="B2020" s="20">
        <v>0.41666666666666669</v>
      </c>
      <c r="D2020">
        <v>41</v>
      </c>
      <c r="E2020" t="str">
        <f t="shared" si="98"/>
        <v>WEEKDAY</v>
      </c>
      <c r="F2020" t="e">
        <f t="shared" si="97"/>
        <v>#N/A</v>
      </c>
      <c r="G2020" s="74">
        <v>32957</v>
      </c>
      <c r="H2020" s="77">
        <v>0.41666666666666669</v>
      </c>
      <c r="J2020">
        <v>42.980000000000004</v>
      </c>
      <c r="M2020" s="74">
        <v>36610</v>
      </c>
      <c r="N2020" s="77">
        <v>0.41666666666666669</v>
      </c>
      <c r="P2020">
        <v>55.400000000000006</v>
      </c>
      <c r="S2020" s="74">
        <v>38071</v>
      </c>
      <c r="T2020" s="77">
        <v>0.41666666666666669</v>
      </c>
      <c r="V2020">
        <v>44.96</v>
      </c>
      <c r="X2020" s="42"/>
      <c r="AB2020">
        <v>43.8</v>
      </c>
      <c r="AC2020">
        <v>42.08</v>
      </c>
      <c r="AE2020" s="74"/>
      <c r="AF2020" s="77"/>
      <c r="AH2020" s="497">
        <v>57.2</v>
      </c>
      <c r="AJ2020" s="42"/>
      <c r="AK2020" s="74"/>
      <c r="AL2020" s="77"/>
      <c r="AN2020" s="497">
        <v>26.96</v>
      </c>
      <c r="AP2020" s="42"/>
      <c r="AQ2020" s="74"/>
      <c r="AR2020" s="77"/>
      <c r="AT2020" s="497">
        <v>51.980000000000004</v>
      </c>
      <c r="AV2020" s="42"/>
      <c r="AW2020" s="74"/>
      <c r="AX2020" s="77"/>
      <c r="BA2020" s="497">
        <v>33.979999999999997</v>
      </c>
      <c r="BB2020" s="42"/>
      <c r="BC2020" s="74"/>
      <c r="BD2020" s="77"/>
      <c r="BF2020">
        <v>33.08</v>
      </c>
      <c r="BH2020" s="42"/>
      <c r="BI2020" s="74"/>
      <c r="BJ2020" s="77"/>
      <c r="BL2020" s="497">
        <v>53.06</v>
      </c>
      <c r="BN2020" s="42"/>
      <c r="BO2020" s="74"/>
      <c r="BP2020" s="77"/>
      <c r="BR2020" s="497">
        <v>28.04</v>
      </c>
      <c r="BT2020" s="42"/>
    </row>
    <row r="2021" spans="1:72" x14ac:dyDescent="0.25">
      <c r="A2021" s="90">
        <v>38071</v>
      </c>
      <c r="B2021" s="20">
        <v>0.45833333333333331</v>
      </c>
      <c r="D2021">
        <v>44.06</v>
      </c>
      <c r="E2021" t="str">
        <f t="shared" si="98"/>
        <v>WEEKDAY</v>
      </c>
      <c r="F2021" t="e">
        <f t="shared" si="97"/>
        <v>#N/A</v>
      </c>
      <c r="G2021" s="74">
        <v>32957</v>
      </c>
      <c r="H2021" s="77">
        <v>0.45833333333333331</v>
      </c>
      <c r="J2021">
        <v>42.980000000000004</v>
      </c>
      <c r="M2021" s="74">
        <v>36610</v>
      </c>
      <c r="N2021" s="77">
        <v>0.45833333333333331</v>
      </c>
      <c r="P2021">
        <v>59</v>
      </c>
      <c r="S2021" s="74">
        <v>38071</v>
      </c>
      <c r="T2021" s="77">
        <v>0.45833333333333331</v>
      </c>
      <c r="V2021">
        <v>44.96</v>
      </c>
      <c r="X2021" s="42"/>
      <c r="AB2021">
        <v>45.4</v>
      </c>
      <c r="AC2021">
        <v>44.06</v>
      </c>
      <c r="AE2021" s="74"/>
      <c r="AF2021" s="77"/>
      <c r="AH2021" s="497">
        <v>59</v>
      </c>
      <c r="AJ2021" s="42"/>
      <c r="AK2021" s="74"/>
      <c r="AL2021" s="77"/>
      <c r="AN2021" s="497">
        <v>28.04</v>
      </c>
      <c r="AP2021" s="42"/>
      <c r="AQ2021" s="74"/>
      <c r="AR2021" s="77"/>
      <c r="AT2021" s="497">
        <v>55.040000000000006</v>
      </c>
      <c r="AV2021" s="42"/>
      <c r="AW2021" s="74"/>
      <c r="AX2021" s="77"/>
      <c r="BA2021" s="497">
        <v>35.06</v>
      </c>
      <c r="BB2021" s="42"/>
      <c r="BC2021" s="74"/>
      <c r="BD2021" s="77"/>
      <c r="BF2021">
        <v>33.979999999999997</v>
      </c>
      <c r="BH2021" s="42"/>
      <c r="BI2021" s="74"/>
      <c r="BJ2021" s="77"/>
      <c r="BL2021" s="497">
        <v>59</v>
      </c>
      <c r="BN2021" s="42"/>
      <c r="BO2021" s="74"/>
      <c r="BP2021" s="77"/>
      <c r="BR2021" s="497">
        <v>30.02</v>
      </c>
      <c r="BT2021" s="42"/>
    </row>
    <row r="2022" spans="1:72" x14ac:dyDescent="0.25">
      <c r="A2022" s="90">
        <v>38071</v>
      </c>
      <c r="B2022" s="20">
        <v>0.5</v>
      </c>
      <c r="D2022">
        <v>46.04</v>
      </c>
      <c r="E2022" t="str">
        <f t="shared" si="98"/>
        <v>WEEKDAY</v>
      </c>
      <c r="F2022" t="e">
        <f t="shared" si="97"/>
        <v>#N/A</v>
      </c>
      <c r="G2022" s="74">
        <v>32957</v>
      </c>
      <c r="H2022" s="77">
        <v>0.5</v>
      </c>
      <c r="J2022">
        <v>46.04</v>
      </c>
      <c r="M2022" s="74">
        <v>36610</v>
      </c>
      <c r="N2022" s="77">
        <v>0.5</v>
      </c>
      <c r="P2022">
        <v>59</v>
      </c>
      <c r="S2022" s="74">
        <v>38071</v>
      </c>
      <c r="T2022" s="77">
        <v>0.5</v>
      </c>
      <c r="V2022">
        <v>44.96</v>
      </c>
      <c r="X2022" s="42"/>
      <c r="AB2022">
        <v>46.7</v>
      </c>
      <c r="AC2022">
        <v>44.96</v>
      </c>
      <c r="AE2022" s="74"/>
      <c r="AF2022" s="77"/>
      <c r="AH2022" s="497">
        <v>64.400000000000006</v>
      </c>
      <c r="AJ2022" s="42"/>
      <c r="AK2022" s="74"/>
      <c r="AL2022" s="77"/>
      <c r="AN2022" s="497">
        <v>30.02</v>
      </c>
      <c r="AP2022" s="42"/>
      <c r="AQ2022" s="74"/>
      <c r="AR2022" s="77"/>
      <c r="AT2022" s="497">
        <v>57.92</v>
      </c>
      <c r="AV2022" s="42"/>
      <c r="AW2022" s="74"/>
      <c r="AX2022" s="77"/>
      <c r="BA2022" s="497">
        <v>37.94</v>
      </c>
      <c r="BB2022" s="42"/>
      <c r="BC2022" s="74"/>
      <c r="BD2022" s="77"/>
      <c r="BF2022">
        <v>33.979999999999997</v>
      </c>
      <c r="BH2022" s="42"/>
      <c r="BI2022" s="74"/>
      <c r="BJ2022" s="77"/>
      <c r="BL2022" s="497">
        <v>64.039999999999992</v>
      </c>
      <c r="BN2022" s="42"/>
      <c r="BO2022" s="74"/>
      <c r="BP2022" s="77"/>
      <c r="BR2022" s="497">
        <v>30.92</v>
      </c>
      <c r="BT2022" s="42"/>
    </row>
    <row r="2023" spans="1:72" x14ac:dyDescent="0.25">
      <c r="A2023" s="90">
        <v>38071</v>
      </c>
      <c r="B2023" s="20">
        <v>0.54166666666666663</v>
      </c>
      <c r="D2023">
        <v>48.92</v>
      </c>
      <c r="E2023" t="str">
        <f t="shared" si="98"/>
        <v>WEEKDAY</v>
      </c>
      <c r="F2023" t="e">
        <f t="shared" si="97"/>
        <v>#N/A</v>
      </c>
      <c r="G2023" s="74">
        <v>32957</v>
      </c>
      <c r="H2023" s="77">
        <v>0.54166666666666663</v>
      </c>
      <c r="J2023">
        <v>46.04</v>
      </c>
      <c r="M2023" s="74">
        <v>36610</v>
      </c>
      <c r="N2023" s="77">
        <v>0.54166666666666663</v>
      </c>
      <c r="P2023">
        <v>60.8</v>
      </c>
      <c r="S2023" s="74">
        <v>38071</v>
      </c>
      <c r="T2023" s="77">
        <v>0.54166666666666663</v>
      </c>
      <c r="V2023">
        <v>44.96</v>
      </c>
      <c r="X2023" s="42"/>
      <c r="AB2023">
        <v>47.7</v>
      </c>
      <c r="AC2023">
        <v>46.94</v>
      </c>
      <c r="AE2023" s="74"/>
      <c r="AF2023" s="77"/>
      <c r="AH2023" s="497">
        <v>64.400000000000006</v>
      </c>
      <c r="AJ2023" s="42"/>
      <c r="AK2023" s="74"/>
      <c r="AL2023" s="77"/>
      <c r="AN2023" s="497">
        <v>30.92</v>
      </c>
      <c r="AP2023" s="42"/>
      <c r="AQ2023" s="74"/>
      <c r="AR2023" s="77"/>
      <c r="AT2023" s="497">
        <v>60.980000000000004</v>
      </c>
      <c r="AV2023" s="42"/>
      <c r="AW2023" s="74"/>
      <c r="AX2023" s="77"/>
      <c r="BA2023" s="497">
        <v>41</v>
      </c>
      <c r="BB2023" s="42"/>
      <c r="BC2023" s="74"/>
      <c r="BD2023" s="77"/>
      <c r="BF2023">
        <v>35.06</v>
      </c>
      <c r="BH2023" s="42"/>
      <c r="BI2023" s="74"/>
      <c r="BJ2023" s="77"/>
      <c r="BL2023" s="497">
        <v>71.960000000000008</v>
      </c>
      <c r="BN2023" s="42"/>
      <c r="BO2023" s="74"/>
      <c r="BP2023" s="77"/>
      <c r="BR2023" s="497">
        <v>32</v>
      </c>
      <c r="BT2023" s="42"/>
    </row>
    <row r="2024" spans="1:72" x14ac:dyDescent="0.25">
      <c r="A2024" s="90">
        <v>38071</v>
      </c>
      <c r="B2024" s="20">
        <v>0.58333333333333337</v>
      </c>
      <c r="D2024">
        <v>51.08</v>
      </c>
      <c r="E2024" t="str">
        <f t="shared" si="98"/>
        <v>WEEKDAY</v>
      </c>
      <c r="F2024" t="e">
        <f t="shared" si="97"/>
        <v>#N/A</v>
      </c>
      <c r="G2024" s="74">
        <v>32957</v>
      </c>
      <c r="H2024" s="77">
        <v>0.58333333333333337</v>
      </c>
      <c r="J2024">
        <v>46.04</v>
      </c>
      <c r="M2024" s="74">
        <v>36610</v>
      </c>
      <c r="N2024" s="77">
        <v>0.58333333333333337</v>
      </c>
      <c r="P2024">
        <v>57.2</v>
      </c>
      <c r="S2024" s="74">
        <v>38071</v>
      </c>
      <c r="T2024" s="77">
        <v>0.58333333333333337</v>
      </c>
      <c r="V2024">
        <v>44.96</v>
      </c>
      <c r="X2024" s="42"/>
      <c r="AB2024">
        <v>48.5</v>
      </c>
      <c r="AC2024">
        <v>46.04</v>
      </c>
      <c r="AE2024" s="74"/>
      <c r="AF2024" s="77"/>
      <c r="AH2024" s="497">
        <v>60.8</v>
      </c>
      <c r="AJ2024" s="42"/>
      <c r="AK2024" s="74"/>
      <c r="AL2024" s="77"/>
      <c r="AN2024" s="497">
        <v>30.92</v>
      </c>
      <c r="AP2024" s="42"/>
      <c r="AQ2024" s="74"/>
      <c r="AR2024" s="77"/>
      <c r="AT2024" s="497">
        <v>59.72</v>
      </c>
      <c r="AV2024" s="42"/>
      <c r="AW2024" s="74"/>
      <c r="AX2024" s="77"/>
      <c r="BA2024" s="497">
        <v>39.92</v>
      </c>
      <c r="BB2024" s="42"/>
      <c r="BC2024" s="74"/>
      <c r="BD2024" s="77"/>
      <c r="BF2024">
        <v>35.96</v>
      </c>
      <c r="BH2024" s="42"/>
      <c r="BI2024" s="74"/>
      <c r="BJ2024" s="77"/>
      <c r="BL2024" s="497">
        <v>71.960000000000008</v>
      </c>
      <c r="BN2024" s="42"/>
      <c r="BO2024" s="74"/>
      <c r="BP2024" s="77"/>
      <c r="BR2024" s="497">
        <v>33.979999999999997</v>
      </c>
      <c r="BT2024" s="42"/>
    </row>
    <row r="2025" spans="1:72" x14ac:dyDescent="0.25">
      <c r="A2025" s="90">
        <v>38071</v>
      </c>
      <c r="B2025" s="20">
        <v>0.625</v>
      </c>
      <c r="D2025">
        <v>51.980000000000004</v>
      </c>
      <c r="E2025" t="str">
        <f t="shared" si="98"/>
        <v>WEEKDAY</v>
      </c>
      <c r="F2025" t="e">
        <f t="shared" si="97"/>
        <v>#N/A</v>
      </c>
      <c r="G2025" s="74">
        <v>32957</v>
      </c>
      <c r="H2025" s="77">
        <v>0.625</v>
      </c>
      <c r="J2025">
        <v>46.04</v>
      </c>
      <c r="M2025" s="74">
        <v>36610</v>
      </c>
      <c r="N2025" s="77">
        <v>0.625</v>
      </c>
      <c r="P2025">
        <v>55.400000000000006</v>
      </c>
      <c r="S2025" s="74">
        <v>38071</v>
      </c>
      <c r="T2025" s="77">
        <v>0.625</v>
      </c>
      <c r="V2025">
        <v>44.96</v>
      </c>
      <c r="X2025" s="42"/>
      <c r="AB2025">
        <v>48.8</v>
      </c>
      <c r="AC2025">
        <v>44.06</v>
      </c>
      <c r="AE2025" s="74"/>
      <c r="AF2025" s="77"/>
      <c r="AH2025" s="497">
        <v>64.400000000000006</v>
      </c>
      <c r="AJ2025" s="42"/>
      <c r="AK2025" s="74"/>
      <c r="AL2025" s="77"/>
      <c r="AN2025" s="497">
        <v>30.92</v>
      </c>
      <c r="AP2025" s="42"/>
      <c r="AQ2025" s="74"/>
      <c r="AR2025" s="77"/>
      <c r="AT2025" s="497">
        <v>58.28</v>
      </c>
      <c r="AV2025" s="42"/>
      <c r="AW2025" s="74"/>
      <c r="AX2025" s="77"/>
      <c r="BA2025" s="497">
        <v>44.06</v>
      </c>
      <c r="BB2025" s="42"/>
      <c r="BC2025" s="74"/>
      <c r="BD2025" s="77"/>
      <c r="BF2025">
        <v>35.06</v>
      </c>
      <c r="BH2025" s="42"/>
      <c r="BI2025" s="74"/>
      <c r="BJ2025" s="77"/>
      <c r="BL2025" s="497">
        <v>73.039999999999992</v>
      </c>
      <c r="BN2025" s="42"/>
      <c r="BO2025" s="74"/>
      <c r="BP2025" s="77"/>
      <c r="BR2025" s="497">
        <v>35.06</v>
      </c>
      <c r="BT2025" s="42"/>
    </row>
    <row r="2026" spans="1:72" x14ac:dyDescent="0.25">
      <c r="A2026" s="90">
        <v>38071</v>
      </c>
      <c r="B2026" s="20">
        <v>0.66666666666666663</v>
      </c>
      <c r="D2026">
        <v>53.06</v>
      </c>
      <c r="E2026" t="str">
        <f t="shared" si="98"/>
        <v>WEEKDAY</v>
      </c>
      <c r="F2026" t="e">
        <f t="shared" si="97"/>
        <v>#N/A</v>
      </c>
      <c r="G2026" s="74">
        <v>32957</v>
      </c>
      <c r="H2026" s="77">
        <v>0.66666666666666663</v>
      </c>
      <c r="J2026">
        <v>46.94</v>
      </c>
      <c r="M2026" s="74">
        <v>36610</v>
      </c>
      <c r="N2026" s="77">
        <v>0.66666666666666663</v>
      </c>
      <c r="P2026">
        <v>53.6</v>
      </c>
      <c r="S2026" s="74">
        <v>38071</v>
      </c>
      <c r="T2026" s="77">
        <v>0.66666666666666663</v>
      </c>
      <c r="V2026">
        <v>46.04</v>
      </c>
      <c r="X2026" s="42"/>
      <c r="AB2026">
        <v>48.7</v>
      </c>
      <c r="AC2026">
        <v>42.08</v>
      </c>
      <c r="AE2026" s="74"/>
      <c r="AF2026" s="77"/>
      <c r="AH2026" s="497">
        <v>64.400000000000006</v>
      </c>
      <c r="AJ2026" s="42"/>
      <c r="AK2026" s="74"/>
      <c r="AL2026" s="77"/>
      <c r="AN2026" s="497">
        <v>26.96</v>
      </c>
      <c r="AP2026" s="42"/>
      <c r="AQ2026" s="74"/>
      <c r="AR2026" s="77"/>
      <c r="AT2026" s="497">
        <v>57.019999999999996</v>
      </c>
      <c r="AV2026" s="42"/>
      <c r="AW2026" s="74"/>
      <c r="AX2026" s="77"/>
      <c r="BA2026" s="497">
        <v>44.96</v>
      </c>
      <c r="BB2026" s="42"/>
      <c r="BC2026" s="74"/>
      <c r="BD2026" s="77"/>
      <c r="BF2026">
        <v>35.96</v>
      </c>
      <c r="BH2026" s="42"/>
      <c r="BI2026" s="74"/>
      <c r="BJ2026" s="77"/>
      <c r="BL2026" s="497">
        <v>73.039999999999992</v>
      </c>
      <c r="BN2026" s="42"/>
      <c r="BO2026" s="74"/>
      <c r="BP2026" s="77"/>
      <c r="BR2026" s="497">
        <v>35.06</v>
      </c>
      <c r="BT2026" s="42"/>
    </row>
    <row r="2027" spans="1:72" x14ac:dyDescent="0.25">
      <c r="A2027" s="90">
        <v>38071</v>
      </c>
      <c r="B2027" s="20">
        <v>0.70833333333333337</v>
      </c>
      <c r="D2027">
        <v>53.96</v>
      </c>
      <c r="E2027" t="str">
        <f t="shared" si="98"/>
        <v>WEEKDAY</v>
      </c>
      <c r="F2027" t="e">
        <f t="shared" ref="F2027:F2090" si="99">IF(E2027="WEEKDAY",VLOOKUP(B2027,$DD$19:$DG$42,2),IF(E2027="SATURDAY",VLOOKUP(B2027,$DD$19:$DG$42,3),VLOOKUP(B2027,$DD$19:$DG$42,4)))</f>
        <v>#N/A</v>
      </c>
      <c r="G2027" s="74">
        <v>32957</v>
      </c>
      <c r="H2027" s="77">
        <v>0.70833333333333337</v>
      </c>
      <c r="J2027">
        <v>46.04</v>
      </c>
      <c r="M2027" s="74">
        <v>36610</v>
      </c>
      <c r="N2027" s="77">
        <v>0.70833333333333337</v>
      </c>
      <c r="P2027">
        <v>53.6</v>
      </c>
      <c r="S2027" s="74">
        <v>38071</v>
      </c>
      <c r="T2027" s="77">
        <v>0.70833333333333337</v>
      </c>
      <c r="V2027">
        <v>46.04</v>
      </c>
      <c r="X2027" s="42"/>
      <c r="AB2027">
        <v>48.3</v>
      </c>
      <c r="AC2027">
        <v>41</v>
      </c>
      <c r="AE2027" s="74"/>
      <c r="AF2027" s="77"/>
      <c r="AH2027" s="497">
        <v>62.6</v>
      </c>
      <c r="AJ2027" s="42"/>
      <c r="AK2027" s="74"/>
      <c r="AL2027" s="77"/>
      <c r="AN2027" s="497">
        <v>26.060000000000002</v>
      </c>
      <c r="AP2027" s="42"/>
      <c r="AQ2027" s="74"/>
      <c r="AR2027" s="77"/>
      <c r="AT2027" s="497">
        <v>55.94</v>
      </c>
      <c r="AV2027" s="42"/>
      <c r="AW2027" s="74"/>
      <c r="AX2027" s="77"/>
      <c r="BA2027" s="497">
        <v>44.06</v>
      </c>
      <c r="BB2027" s="42"/>
      <c r="BC2027" s="74"/>
      <c r="BD2027" s="77"/>
      <c r="BF2027">
        <v>35.06</v>
      </c>
      <c r="BH2027" s="42"/>
      <c r="BI2027" s="74"/>
      <c r="BJ2027" s="77"/>
      <c r="BL2027" s="497">
        <v>71.06</v>
      </c>
      <c r="BN2027" s="42"/>
      <c r="BO2027" s="74"/>
      <c r="BP2027" s="77"/>
      <c r="BR2027" s="497">
        <v>35.06</v>
      </c>
      <c r="BT2027" s="42"/>
    </row>
    <row r="2028" spans="1:72" x14ac:dyDescent="0.25">
      <c r="A2028" s="90">
        <v>38071</v>
      </c>
      <c r="B2028" s="20">
        <v>0.75</v>
      </c>
      <c r="D2028">
        <v>51.980000000000004</v>
      </c>
      <c r="E2028" t="str">
        <f t="shared" si="98"/>
        <v>WEEKDAY</v>
      </c>
      <c r="F2028" t="e">
        <f t="shared" si="99"/>
        <v>#N/A</v>
      </c>
      <c r="G2028" s="74">
        <v>32957</v>
      </c>
      <c r="H2028" s="77">
        <v>0.75</v>
      </c>
      <c r="J2028">
        <v>46.04</v>
      </c>
      <c r="M2028" s="74">
        <v>36610</v>
      </c>
      <c r="N2028" s="77">
        <v>0.75</v>
      </c>
      <c r="P2028">
        <v>51.8</v>
      </c>
      <c r="S2028" s="74">
        <v>38071</v>
      </c>
      <c r="T2028" s="77">
        <v>0.75</v>
      </c>
      <c r="V2028">
        <v>44.96</v>
      </c>
      <c r="X2028" s="42"/>
      <c r="AB2028">
        <v>47.2</v>
      </c>
      <c r="AC2028">
        <v>41</v>
      </c>
      <c r="AE2028" s="74"/>
      <c r="AF2028" s="77"/>
      <c r="AH2028" s="497">
        <v>60.8</v>
      </c>
      <c r="AJ2028" s="42"/>
      <c r="AK2028" s="74"/>
      <c r="AL2028" s="77"/>
      <c r="AN2028" s="497">
        <v>26.060000000000002</v>
      </c>
      <c r="AP2028" s="42"/>
      <c r="AQ2028" s="74"/>
      <c r="AR2028" s="77"/>
      <c r="AT2028" s="497">
        <v>55.040000000000006</v>
      </c>
      <c r="AV2028" s="42"/>
      <c r="AW2028" s="74"/>
      <c r="AX2028" s="77"/>
      <c r="BA2028" s="497">
        <v>41</v>
      </c>
      <c r="BB2028" s="42"/>
      <c r="BC2028" s="74"/>
      <c r="BD2028" s="77"/>
      <c r="BF2028">
        <v>35.06</v>
      </c>
      <c r="BH2028" s="42"/>
      <c r="BI2028" s="74"/>
      <c r="BJ2028" s="77"/>
      <c r="BL2028" s="497">
        <v>66.92</v>
      </c>
      <c r="BN2028" s="42"/>
      <c r="BO2028" s="74"/>
      <c r="BP2028" s="77"/>
      <c r="BR2028" s="497">
        <v>30.92</v>
      </c>
      <c r="BT2028" s="42"/>
    </row>
    <row r="2029" spans="1:72" x14ac:dyDescent="0.25">
      <c r="A2029" s="90">
        <v>38071</v>
      </c>
      <c r="B2029" s="20">
        <v>0.79166666666666663</v>
      </c>
      <c r="D2029">
        <v>50</v>
      </c>
      <c r="E2029" t="str">
        <f t="shared" si="98"/>
        <v>WEEKDAY</v>
      </c>
      <c r="F2029" t="e">
        <f t="shared" si="99"/>
        <v>#N/A</v>
      </c>
      <c r="G2029" s="74">
        <v>32957</v>
      </c>
      <c r="H2029" s="77">
        <v>0.79166666666666663</v>
      </c>
      <c r="J2029">
        <v>44.96</v>
      </c>
      <c r="M2029" s="74">
        <v>36610</v>
      </c>
      <c r="N2029" s="77">
        <v>0.79166666666666663</v>
      </c>
      <c r="P2029">
        <v>50</v>
      </c>
      <c r="S2029" s="74">
        <v>38071</v>
      </c>
      <c r="T2029" s="77">
        <v>0.79166666666666663</v>
      </c>
      <c r="V2029">
        <v>44.96</v>
      </c>
      <c r="X2029" s="42"/>
      <c r="AB2029">
        <v>45.9</v>
      </c>
      <c r="AC2029">
        <v>41</v>
      </c>
      <c r="AE2029" s="74"/>
      <c r="AF2029" s="77"/>
      <c r="AH2029" s="497">
        <v>57.2</v>
      </c>
      <c r="AJ2029" s="42"/>
      <c r="AK2029" s="74"/>
      <c r="AL2029" s="77"/>
      <c r="AN2029" s="497">
        <v>26.96</v>
      </c>
      <c r="AP2029" s="42"/>
      <c r="AQ2029" s="74"/>
      <c r="AR2029" s="77"/>
      <c r="AT2029" s="497">
        <v>53.96</v>
      </c>
      <c r="AV2029" s="42"/>
      <c r="AW2029" s="74"/>
      <c r="AX2029" s="77"/>
      <c r="BA2029" s="497">
        <v>35.06</v>
      </c>
      <c r="BB2029" s="42"/>
      <c r="BC2029" s="74"/>
      <c r="BD2029" s="77"/>
      <c r="BF2029">
        <v>33.08</v>
      </c>
      <c r="BH2029" s="42"/>
      <c r="BI2029" s="74"/>
      <c r="BJ2029" s="77"/>
      <c r="BL2029" s="497">
        <v>64.039999999999992</v>
      </c>
      <c r="BN2029" s="42"/>
      <c r="BO2029" s="74"/>
      <c r="BP2029" s="77"/>
      <c r="BR2029" s="497">
        <v>30.02</v>
      </c>
      <c r="BT2029" s="42"/>
    </row>
    <row r="2030" spans="1:72" x14ac:dyDescent="0.25">
      <c r="A2030" s="90">
        <v>38071</v>
      </c>
      <c r="B2030" s="20">
        <v>0.83333333333333337</v>
      </c>
      <c r="D2030">
        <v>48.92</v>
      </c>
      <c r="E2030" t="str">
        <f t="shared" si="98"/>
        <v>WEEKDAY</v>
      </c>
      <c r="F2030" t="e">
        <f t="shared" si="99"/>
        <v>#N/A</v>
      </c>
      <c r="G2030" s="74">
        <v>32957</v>
      </c>
      <c r="H2030" s="77">
        <v>0.83333333333333337</v>
      </c>
      <c r="J2030">
        <v>44.96</v>
      </c>
      <c r="M2030" s="74">
        <v>36610</v>
      </c>
      <c r="N2030" s="77">
        <v>0.83333333333333337</v>
      </c>
      <c r="P2030">
        <v>48.2</v>
      </c>
      <c r="S2030" s="74">
        <v>38071</v>
      </c>
      <c r="T2030" s="77">
        <v>0.83333333333333337</v>
      </c>
      <c r="V2030">
        <v>44.96</v>
      </c>
      <c r="X2030" s="42"/>
      <c r="AB2030">
        <v>44.9</v>
      </c>
      <c r="AC2030">
        <v>41</v>
      </c>
      <c r="AE2030" s="74"/>
      <c r="AF2030" s="77"/>
      <c r="AH2030" s="497">
        <v>55.400000000000006</v>
      </c>
      <c r="AJ2030" s="42"/>
      <c r="AK2030" s="74"/>
      <c r="AL2030" s="77"/>
      <c r="AN2030" s="497">
        <v>26.060000000000002</v>
      </c>
      <c r="AP2030" s="42"/>
      <c r="AQ2030" s="74"/>
      <c r="AR2030" s="77"/>
      <c r="AT2030" s="497">
        <v>50.36</v>
      </c>
      <c r="AV2030" s="42"/>
      <c r="AW2030" s="74"/>
      <c r="AX2030" s="77"/>
      <c r="BA2030" s="497">
        <v>33.08</v>
      </c>
      <c r="BB2030" s="42"/>
      <c r="BC2030" s="74"/>
      <c r="BD2030" s="77"/>
      <c r="BF2030">
        <v>33.08</v>
      </c>
      <c r="BH2030" s="42"/>
      <c r="BI2030" s="74"/>
      <c r="BJ2030" s="77"/>
      <c r="BL2030" s="497">
        <v>62.06</v>
      </c>
      <c r="BN2030" s="42"/>
      <c r="BO2030" s="74"/>
      <c r="BP2030" s="77"/>
      <c r="BR2030" s="497">
        <v>28.04</v>
      </c>
      <c r="BT2030" s="42"/>
    </row>
    <row r="2031" spans="1:72" x14ac:dyDescent="0.25">
      <c r="A2031" s="90">
        <v>38071</v>
      </c>
      <c r="B2031" s="20">
        <v>0.875</v>
      </c>
      <c r="D2031">
        <v>46.94</v>
      </c>
      <c r="E2031" t="str">
        <f t="shared" si="98"/>
        <v>WEEKDAY</v>
      </c>
      <c r="F2031" t="e">
        <f t="shared" si="99"/>
        <v>#N/A</v>
      </c>
      <c r="G2031" s="74">
        <v>32957</v>
      </c>
      <c r="H2031" s="77">
        <v>0.875</v>
      </c>
      <c r="J2031">
        <v>44.96</v>
      </c>
      <c r="M2031" s="74">
        <v>36610</v>
      </c>
      <c r="N2031" s="77">
        <v>0.875</v>
      </c>
      <c r="P2031">
        <v>48.2</v>
      </c>
      <c r="S2031" s="74">
        <v>38071</v>
      </c>
      <c r="T2031" s="77">
        <v>0.875</v>
      </c>
      <c r="V2031">
        <v>44.96</v>
      </c>
      <c r="X2031" s="42"/>
      <c r="AB2031">
        <v>44.3</v>
      </c>
      <c r="AC2031">
        <v>41</v>
      </c>
      <c r="AE2031" s="74"/>
      <c r="AF2031" s="77"/>
      <c r="AH2031" s="497">
        <v>55.400000000000006</v>
      </c>
      <c r="AJ2031" s="42"/>
      <c r="AK2031" s="74"/>
      <c r="AL2031" s="77"/>
      <c r="AN2031" s="497">
        <v>26.060000000000002</v>
      </c>
      <c r="AP2031" s="42"/>
      <c r="AQ2031" s="74"/>
      <c r="AR2031" s="77"/>
      <c r="AT2031" s="497">
        <v>46.58</v>
      </c>
      <c r="AV2031" s="42"/>
      <c r="AW2031" s="74"/>
      <c r="AX2031" s="77"/>
      <c r="BA2031" s="497">
        <v>28.94</v>
      </c>
      <c r="BB2031" s="42"/>
      <c r="BC2031" s="74"/>
      <c r="BD2031" s="77"/>
      <c r="BF2031">
        <v>33.979999999999997</v>
      </c>
      <c r="BH2031" s="42"/>
      <c r="BI2031" s="74"/>
      <c r="BJ2031" s="77"/>
      <c r="BL2031" s="497">
        <v>60.980000000000004</v>
      </c>
      <c r="BN2031" s="42"/>
      <c r="BO2031" s="74"/>
      <c r="BP2031" s="77"/>
      <c r="BR2031" s="497">
        <v>26.96</v>
      </c>
      <c r="BT2031" s="42"/>
    </row>
    <row r="2032" spans="1:72" x14ac:dyDescent="0.25">
      <c r="A2032" s="90">
        <v>38071</v>
      </c>
      <c r="B2032" s="20">
        <v>0.91666666666666663</v>
      </c>
      <c r="D2032">
        <v>46.94</v>
      </c>
      <c r="E2032" t="str">
        <f t="shared" si="98"/>
        <v>WEEKDAY</v>
      </c>
      <c r="F2032" t="e">
        <f t="shared" si="99"/>
        <v>#N/A</v>
      </c>
      <c r="G2032" s="74">
        <v>32957</v>
      </c>
      <c r="H2032" s="77">
        <v>0.91666666666666663</v>
      </c>
      <c r="J2032">
        <v>42.980000000000004</v>
      </c>
      <c r="M2032" s="74">
        <v>36610</v>
      </c>
      <c r="N2032" s="77">
        <v>0.91666666666666663</v>
      </c>
      <c r="P2032">
        <v>50</v>
      </c>
      <c r="S2032" s="74">
        <v>38071</v>
      </c>
      <c r="T2032" s="77">
        <v>0.91666666666666663</v>
      </c>
      <c r="V2032">
        <v>44.96</v>
      </c>
      <c r="X2032" s="42"/>
      <c r="AB2032">
        <v>43.7</v>
      </c>
      <c r="AC2032">
        <v>41</v>
      </c>
      <c r="AE2032" s="74"/>
      <c r="AF2032" s="77"/>
      <c r="AH2032" s="497">
        <v>53.6</v>
      </c>
      <c r="AJ2032" s="42"/>
      <c r="AK2032" s="74"/>
      <c r="AL2032" s="77"/>
      <c r="AN2032" s="497">
        <v>26.060000000000002</v>
      </c>
      <c r="AP2032" s="42"/>
      <c r="AQ2032" s="74"/>
      <c r="AR2032" s="77"/>
      <c r="AT2032" s="497">
        <v>42.980000000000004</v>
      </c>
      <c r="AV2032" s="42"/>
      <c r="AW2032" s="74"/>
      <c r="AX2032" s="77"/>
      <c r="BA2032" s="497">
        <v>30.92</v>
      </c>
      <c r="BB2032" s="42"/>
      <c r="BC2032" s="74"/>
      <c r="BD2032" s="77"/>
      <c r="BF2032">
        <v>35.06</v>
      </c>
      <c r="BH2032" s="42"/>
      <c r="BI2032" s="74"/>
      <c r="BJ2032" s="77"/>
      <c r="BL2032" s="497">
        <v>62.06</v>
      </c>
      <c r="BN2032" s="42"/>
      <c r="BO2032" s="74"/>
      <c r="BP2032" s="77"/>
      <c r="BR2032" s="497">
        <v>26.96</v>
      </c>
      <c r="BT2032" s="42"/>
    </row>
    <row r="2033" spans="1:72" x14ac:dyDescent="0.25">
      <c r="A2033" s="90">
        <v>38071</v>
      </c>
      <c r="B2033" s="20">
        <v>0.95833333333333337</v>
      </c>
      <c r="D2033">
        <v>46.04</v>
      </c>
      <c r="E2033" t="str">
        <f t="shared" si="98"/>
        <v>WEEKDAY</v>
      </c>
      <c r="F2033" t="e">
        <f t="shared" si="99"/>
        <v>#N/A</v>
      </c>
      <c r="G2033" s="74">
        <v>32957</v>
      </c>
      <c r="H2033" s="77">
        <v>0.95833333333333337</v>
      </c>
      <c r="J2033">
        <v>42.980000000000004</v>
      </c>
      <c r="M2033" s="74">
        <v>36610</v>
      </c>
      <c r="N2033" s="77">
        <v>0.95833333333333337</v>
      </c>
      <c r="P2033">
        <v>50</v>
      </c>
      <c r="S2033" s="74">
        <v>38071</v>
      </c>
      <c r="T2033" s="77">
        <v>0.95833333333333337</v>
      </c>
      <c r="V2033">
        <v>44.96</v>
      </c>
      <c r="X2033" s="42"/>
      <c r="AB2033">
        <v>43.1</v>
      </c>
      <c r="AC2033">
        <v>41</v>
      </c>
      <c r="AE2033" s="74"/>
      <c r="AF2033" s="77"/>
      <c r="AH2033" s="497">
        <v>53.6</v>
      </c>
      <c r="AJ2033" s="42"/>
      <c r="AK2033" s="74"/>
      <c r="AL2033" s="77"/>
      <c r="AN2033" s="497">
        <v>26.060000000000002</v>
      </c>
      <c r="AP2033" s="42"/>
      <c r="AQ2033" s="74"/>
      <c r="AR2033" s="77"/>
      <c r="AT2033" s="497">
        <v>42.620000000000005</v>
      </c>
      <c r="AV2033" s="42"/>
      <c r="AW2033" s="74"/>
      <c r="AX2033" s="77"/>
      <c r="BA2033" s="497">
        <v>30.92</v>
      </c>
      <c r="BB2033" s="42"/>
      <c r="BC2033" s="74"/>
      <c r="BD2033" s="77"/>
      <c r="BF2033">
        <v>35.06</v>
      </c>
      <c r="BH2033" s="42"/>
      <c r="BI2033" s="74"/>
      <c r="BJ2033" s="77"/>
      <c r="BL2033" s="497">
        <v>60.08</v>
      </c>
      <c r="BN2033" s="42"/>
      <c r="BO2033" s="74"/>
      <c r="BP2033" s="77"/>
      <c r="BR2033" s="497">
        <v>24.98</v>
      </c>
      <c r="BT2033" s="42"/>
    </row>
    <row r="2034" spans="1:72" x14ac:dyDescent="0.25">
      <c r="A2034" s="90">
        <v>38071</v>
      </c>
      <c r="B2034" s="20">
        <v>1</v>
      </c>
      <c r="D2034">
        <v>44.96</v>
      </c>
      <c r="E2034" t="str">
        <f t="shared" si="98"/>
        <v>WEEKDAY</v>
      </c>
      <c r="F2034" t="e">
        <f t="shared" si="99"/>
        <v>#N/A</v>
      </c>
      <c r="G2034" s="74">
        <v>32957</v>
      </c>
      <c r="H2034" s="77">
        <v>1</v>
      </c>
      <c r="J2034">
        <v>42.980000000000004</v>
      </c>
      <c r="M2034" s="74">
        <v>36610</v>
      </c>
      <c r="N2034" s="80">
        <v>1</v>
      </c>
      <c r="P2034">
        <v>48.2</v>
      </c>
      <c r="S2034" s="74">
        <v>38071</v>
      </c>
      <c r="T2034" s="80">
        <v>1</v>
      </c>
      <c r="V2034">
        <v>44.96</v>
      </c>
      <c r="X2034" s="42"/>
      <c r="AB2034">
        <v>42.4</v>
      </c>
      <c r="AC2034">
        <v>39.92</v>
      </c>
      <c r="AE2034" s="74"/>
      <c r="AF2034" s="80"/>
      <c r="AH2034" s="497">
        <v>53.6</v>
      </c>
      <c r="AJ2034" s="42"/>
      <c r="AK2034" s="74"/>
      <c r="AL2034" s="80"/>
      <c r="AN2034" s="497">
        <v>26.060000000000002</v>
      </c>
      <c r="AP2034" s="42"/>
      <c r="AQ2034" s="74"/>
      <c r="AR2034" s="80"/>
      <c r="AT2034" s="497">
        <v>42.44</v>
      </c>
      <c r="AV2034" s="42"/>
      <c r="AW2034" s="74"/>
      <c r="AX2034" s="80"/>
      <c r="BA2034" s="497">
        <v>30.92</v>
      </c>
      <c r="BB2034" s="42"/>
      <c r="BC2034" s="74"/>
      <c r="BD2034" s="80"/>
      <c r="BF2034">
        <v>35.06</v>
      </c>
      <c r="BH2034" s="42"/>
      <c r="BI2034" s="74"/>
      <c r="BJ2034" s="80"/>
      <c r="BL2034" s="497">
        <v>59</v>
      </c>
      <c r="BN2034" s="42"/>
      <c r="BO2034" s="74"/>
      <c r="BP2034" s="80"/>
      <c r="BR2034" s="497">
        <v>24.08</v>
      </c>
      <c r="BT2034" s="42"/>
    </row>
    <row r="2035" spans="1:72" x14ac:dyDescent="0.25">
      <c r="A2035" s="90">
        <v>38072</v>
      </c>
      <c r="B2035" s="20">
        <v>4.1666666666666664E-2</v>
      </c>
      <c r="D2035">
        <v>44.96</v>
      </c>
      <c r="E2035" t="str">
        <f t="shared" si="98"/>
        <v>WEEKDAY</v>
      </c>
      <c r="F2035" t="e">
        <f t="shared" si="99"/>
        <v>#N/A</v>
      </c>
      <c r="G2035" s="74">
        <v>32958</v>
      </c>
      <c r="H2035" s="77">
        <v>4.1666666666666664E-2</v>
      </c>
      <c r="J2035">
        <v>41</v>
      </c>
      <c r="M2035" s="74">
        <v>36611</v>
      </c>
      <c r="N2035" s="77">
        <v>4.1666666666666664E-2</v>
      </c>
      <c r="P2035">
        <v>55.400000000000006</v>
      </c>
      <c r="S2035" s="74">
        <v>38072</v>
      </c>
      <c r="T2035" s="77">
        <v>4.1666666666666664E-2</v>
      </c>
      <c r="V2035">
        <v>44.06</v>
      </c>
      <c r="X2035" s="42"/>
      <c r="AB2035">
        <v>41.9</v>
      </c>
      <c r="AC2035">
        <v>39.92</v>
      </c>
      <c r="AE2035" s="74"/>
      <c r="AF2035" s="77"/>
      <c r="AH2035" s="497">
        <v>48.2</v>
      </c>
      <c r="AJ2035" s="42"/>
      <c r="AK2035" s="74"/>
      <c r="AL2035" s="77"/>
      <c r="AN2035" s="497">
        <v>26.96</v>
      </c>
      <c r="AP2035" s="42"/>
      <c r="AQ2035" s="74"/>
      <c r="AR2035" s="77"/>
      <c r="AT2035" s="497">
        <v>42.08</v>
      </c>
      <c r="AV2035" s="42"/>
      <c r="AW2035" s="74"/>
      <c r="AX2035" s="77"/>
      <c r="BA2035" s="497">
        <v>33.979999999999997</v>
      </c>
      <c r="BB2035" s="42"/>
      <c r="BC2035" s="74"/>
      <c r="BD2035" s="77"/>
      <c r="BF2035">
        <v>35.06</v>
      </c>
      <c r="BH2035" s="42"/>
      <c r="BI2035" s="74"/>
      <c r="BJ2035" s="77"/>
      <c r="BL2035" s="497">
        <v>57.019999999999996</v>
      </c>
      <c r="BN2035" s="42"/>
      <c r="BO2035" s="74"/>
      <c r="BP2035" s="77"/>
      <c r="BR2035" s="497">
        <v>24.08</v>
      </c>
      <c r="BT2035" s="42"/>
    </row>
    <row r="2036" spans="1:72" x14ac:dyDescent="0.25">
      <c r="A2036" s="90">
        <v>38072</v>
      </c>
      <c r="B2036" s="20">
        <v>8.3333333333333329E-2</v>
      </c>
      <c r="D2036">
        <v>44.06</v>
      </c>
      <c r="E2036" t="str">
        <f t="shared" si="98"/>
        <v>WEEKDAY</v>
      </c>
      <c r="F2036" t="e">
        <f t="shared" si="99"/>
        <v>#N/A</v>
      </c>
      <c r="G2036" s="74">
        <v>32958</v>
      </c>
      <c r="H2036" s="77">
        <v>8.3333333333333329E-2</v>
      </c>
      <c r="J2036">
        <v>42.08</v>
      </c>
      <c r="M2036" s="74">
        <v>36611</v>
      </c>
      <c r="N2036" s="77">
        <v>8.3333333333333329E-2</v>
      </c>
      <c r="P2036">
        <v>52.519999999999996</v>
      </c>
      <c r="S2036" s="74">
        <v>38072</v>
      </c>
      <c r="T2036" s="77">
        <v>8.3333333333333329E-2</v>
      </c>
      <c r="V2036">
        <v>44.96</v>
      </c>
      <c r="X2036" s="42"/>
      <c r="AB2036">
        <v>41.3</v>
      </c>
      <c r="AC2036">
        <v>41</v>
      </c>
      <c r="AE2036" s="74"/>
      <c r="AF2036" s="77"/>
      <c r="AH2036" s="497">
        <v>48.019999999999996</v>
      </c>
      <c r="AJ2036" s="42"/>
      <c r="AK2036" s="74"/>
      <c r="AL2036" s="77"/>
      <c r="AN2036" s="497">
        <v>26.96</v>
      </c>
      <c r="AP2036" s="42"/>
      <c r="AQ2036" s="74"/>
      <c r="AR2036" s="77"/>
      <c r="AT2036" s="497">
        <v>42.08</v>
      </c>
      <c r="AV2036" s="42"/>
      <c r="AW2036" s="74"/>
      <c r="AX2036" s="77"/>
      <c r="BA2036" s="497">
        <v>33.08</v>
      </c>
      <c r="BB2036" s="42"/>
      <c r="BC2036" s="74"/>
      <c r="BD2036" s="77"/>
      <c r="BF2036">
        <v>33.979999999999997</v>
      </c>
      <c r="BH2036" s="42"/>
      <c r="BI2036" s="74"/>
      <c r="BJ2036" s="77"/>
      <c r="BL2036" s="497">
        <v>57.019999999999996</v>
      </c>
      <c r="BN2036" s="42"/>
      <c r="BO2036" s="74"/>
      <c r="BP2036" s="77"/>
      <c r="BR2036" s="497">
        <v>21.02</v>
      </c>
      <c r="BT2036" s="42"/>
    </row>
    <row r="2037" spans="1:72" x14ac:dyDescent="0.25">
      <c r="A2037" s="90">
        <v>38072</v>
      </c>
      <c r="B2037" s="20">
        <v>0.125</v>
      </c>
      <c r="D2037">
        <v>44.06</v>
      </c>
      <c r="E2037" t="str">
        <f t="shared" si="98"/>
        <v>WEEKDAY</v>
      </c>
      <c r="F2037" t="e">
        <f t="shared" si="99"/>
        <v>#N/A</v>
      </c>
      <c r="G2037" s="74">
        <v>32958</v>
      </c>
      <c r="H2037" s="77">
        <v>0.125</v>
      </c>
      <c r="J2037">
        <v>41</v>
      </c>
      <c r="M2037" s="74">
        <v>36611</v>
      </c>
      <c r="N2037" s="77">
        <v>0.125</v>
      </c>
      <c r="P2037">
        <v>50</v>
      </c>
      <c r="S2037" s="74">
        <v>38072</v>
      </c>
      <c r="T2037" s="77">
        <v>0.125</v>
      </c>
      <c r="V2037">
        <v>44.06</v>
      </c>
      <c r="X2037" s="42"/>
      <c r="AB2037">
        <v>40.700000000000003</v>
      </c>
      <c r="AC2037">
        <v>39.92</v>
      </c>
      <c r="AE2037" s="74"/>
      <c r="AF2037" s="77"/>
      <c r="AH2037" s="497">
        <v>48.2</v>
      </c>
      <c r="AJ2037" s="42"/>
      <c r="AK2037" s="74"/>
      <c r="AL2037" s="77"/>
      <c r="AN2037" s="497">
        <v>28.04</v>
      </c>
      <c r="AP2037" s="42"/>
      <c r="AQ2037" s="74"/>
      <c r="AR2037" s="77"/>
      <c r="AT2037" s="497">
        <v>42.08</v>
      </c>
      <c r="AV2037" s="42"/>
      <c r="AW2037" s="74"/>
      <c r="AX2037" s="77"/>
      <c r="BA2037" s="497">
        <v>33.979999999999997</v>
      </c>
      <c r="BB2037" s="42"/>
      <c r="BC2037" s="74"/>
      <c r="BD2037" s="77"/>
      <c r="BF2037">
        <v>33.979999999999997</v>
      </c>
      <c r="BH2037" s="42"/>
      <c r="BI2037" s="74"/>
      <c r="BJ2037" s="77"/>
      <c r="BL2037" s="497">
        <v>55.94</v>
      </c>
      <c r="BN2037" s="42"/>
      <c r="BO2037" s="74"/>
      <c r="BP2037" s="77"/>
      <c r="BR2037" s="497">
        <v>19.939999999999998</v>
      </c>
      <c r="BT2037" s="42"/>
    </row>
    <row r="2038" spans="1:72" x14ac:dyDescent="0.25">
      <c r="A2038" s="90">
        <v>38072</v>
      </c>
      <c r="B2038" s="20">
        <v>0.16666666666666666</v>
      </c>
      <c r="D2038">
        <v>42.980000000000004</v>
      </c>
      <c r="E2038" t="str">
        <f t="shared" si="98"/>
        <v>WEEKDAY</v>
      </c>
      <c r="F2038" t="e">
        <f t="shared" si="99"/>
        <v>#N/A</v>
      </c>
      <c r="G2038" s="74">
        <v>32958</v>
      </c>
      <c r="H2038" s="77">
        <v>0.16666666666666666</v>
      </c>
      <c r="J2038">
        <v>41</v>
      </c>
      <c r="M2038" s="74">
        <v>36611</v>
      </c>
      <c r="N2038" s="77">
        <v>0.16666666666666666</v>
      </c>
      <c r="P2038">
        <v>51.8</v>
      </c>
      <c r="S2038" s="74">
        <v>38072</v>
      </c>
      <c r="T2038" s="77">
        <v>0.16666666666666666</v>
      </c>
      <c r="V2038">
        <v>44.96</v>
      </c>
      <c r="X2038" s="42"/>
      <c r="AB2038">
        <v>40.200000000000003</v>
      </c>
      <c r="AC2038">
        <v>39.92</v>
      </c>
      <c r="AE2038" s="74"/>
      <c r="AF2038" s="77"/>
      <c r="AH2038" s="497">
        <v>46.4</v>
      </c>
      <c r="AJ2038" s="42"/>
      <c r="AK2038" s="74"/>
      <c r="AL2038" s="77"/>
      <c r="AN2038" s="497">
        <v>28.94</v>
      </c>
      <c r="AP2038" s="42"/>
      <c r="AQ2038" s="74"/>
      <c r="AR2038" s="77"/>
      <c r="AT2038" s="497">
        <v>42.08</v>
      </c>
      <c r="AV2038" s="42"/>
      <c r="AW2038" s="74"/>
      <c r="AX2038" s="77"/>
      <c r="BA2038" s="497">
        <v>33.979999999999997</v>
      </c>
      <c r="BB2038" s="42"/>
      <c r="BC2038" s="74"/>
      <c r="BD2038" s="77"/>
      <c r="BF2038">
        <v>33.979999999999997</v>
      </c>
      <c r="BH2038" s="42"/>
      <c r="BI2038" s="74"/>
      <c r="BJ2038" s="77"/>
      <c r="BL2038" s="497">
        <v>57.92</v>
      </c>
      <c r="BN2038" s="42"/>
      <c r="BO2038" s="74"/>
      <c r="BP2038" s="77"/>
      <c r="BR2038" s="497">
        <v>17.059999999999999</v>
      </c>
      <c r="BT2038" s="42"/>
    </row>
    <row r="2039" spans="1:72" x14ac:dyDescent="0.25">
      <c r="A2039" s="90">
        <v>38072</v>
      </c>
      <c r="B2039" s="20">
        <v>0.20833333333333334</v>
      </c>
      <c r="D2039">
        <v>42.08</v>
      </c>
      <c r="E2039" t="str">
        <f t="shared" si="98"/>
        <v>WEEKDAY</v>
      </c>
      <c r="F2039" t="e">
        <f t="shared" si="99"/>
        <v>#N/A</v>
      </c>
      <c r="G2039" s="74">
        <v>32958</v>
      </c>
      <c r="H2039" s="77">
        <v>0.20833333333333334</v>
      </c>
      <c r="J2039">
        <v>39.92</v>
      </c>
      <c r="M2039" s="74">
        <v>36611</v>
      </c>
      <c r="N2039" s="77">
        <v>0.20833333333333334</v>
      </c>
      <c r="P2039">
        <v>51.8</v>
      </c>
      <c r="S2039" s="74">
        <v>38072</v>
      </c>
      <c r="T2039" s="77">
        <v>0.20833333333333334</v>
      </c>
      <c r="V2039">
        <v>44.96</v>
      </c>
      <c r="X2039" s="42"/>
      <c r="AB2039">
        <v>39.799999999999997</v>
      </c>
      <c r="AC2039">
        <v>39.019999999999996</v>
      </c>
      <c r="AE2039" s="74"/>
      <c r="AF2039" s="77"/>
      <c r="AH2039" s="497">
        <v>44.6</v>
      </c>
      <c r="AJ2039" s="42"/>
      <c r="AK2039" s="74"/>
      <c r="AL2039" s="77"/>
      <c r="AN2039" s="497">
        <v>28.94</v>
      </c>
      <c r="AP2039" s="42"/>
      <c r="AQ2039" s="74"/>
      <c r="AR2039" s="77"/>
      <c r="AT2039" s="497">
        <v>41.36</v>
      </c>
      <c r="AV2039" s="42"/>
      <c r="AW2039" s="74"/>
      <c r="AX2039" s="77"/>
      <c r="BA2039" s="497">
        <v>33.08</v>
      </c>
      <c r="BB2039" s="42"/>
      <c r="BC2039" s="74"/>
      <c r="BD2039" s="77"/>
      <c r="BF2039">
        <v>33.979999999999997</v>
      </c>
      <c r="BH2039" s="42"/>
      <c r="BI2039" s="74"/>
      <c r="BJ2039" s="77"/>
      <c r="BL2039" s="497">
        <v>57.019999999999996</v>
      </c>
      <c r="BN2039" s="42"/>
      <c r="BO2039" s="74"/>
      <c r="BP2039" s="77"/>
      <c r="BR2039" s="497">
        <v>12.02</v>
      </c>
      <c r="BT2039" s="42"/>
    </row>
    <row r="2040" spans="1:72" x14ac:dyDescent="0.25">
      <c r="A2040" s="90">
        <v>38072</v>
      </c>
      <c r="B2040" s="20">
        <v>0.25</v>
      </c>
      <c r="D2040">
        <v>41</v>
      </c>
      <c r="E2040" t="str">
        <f t="shared" si="98"/>
        <v>WEEKDAY</v>
      </c>
      <c r="F2040" t="e">
        <f t="shared" si="99"/>
        <v>#N/A</v>
      </c>
      <c r="G2040" s="74">
        <v>32958</v>
      </c>
      <c r="H2040" s="77">
        <v>0.25</v>
      </c>
      <c r="J2040">
        <v>41</v>
      </c>
      <c r="M2040" s="74">
        <v>36611</v>
      </c>
      <c r="N2040" s="77">
        <v>0.25</v>
      </c>
      <c r="P2040">
        <v>53.6</v>
      </c>
      <c r="S2040" s="74">
        <v>38072</v>
      </c>
      <c r="T2040" s="77">
        <v>0.25</v>
      </c>
      <c r="V2040">
        <v>44.06</v>
      </c>
      <c r="X2040" s="42"/>
      <c r="AB2040">
        <v>39.5</v>
      </c>
      <c r="AC2040">
        <v>35.96</v>
      </c>
      <c r="AE2040" s="74"/>
      <c r="AF2040" s="77"/>
      <c r="AH2040" s="497">
        <v>44.6</v>
      </c>
      <c r="AJ2040" s="42"/>
      <c r="AK2040" s="74"/>
      <c r="AL2040" s="77"/>
      <c r="AN2040" s="497">
        <v>28.94</v>
      </c>
      <c r="AP2040" s="42"/>
      <c r="AQ2040" s="74"/>
      <c r="AR2040" s="77"/>
      <c r="AT2040" s="497">
        <v>40.64</v>
      </c>
      <c r="AV2040" s="42"/>
      <c r="AW2040" s="74"/>
      <c r="AX2040" s="77"/>
      <c r="BA2040" s="497">
        <v>33.08</v>
      </c>
      <c r="BB2040" s="42"/>
      <c r="BC2040" s="74"/>
      <c r="BD2040" s="77"/>
      <c r="BF2040">
        <v>33.979999999999997</v>
      </c>
      <c r="BH2040" s="42"/>
      <c r="BI2040" s="74"/>
      <c r="BJ2040" s="77"/>
      <c r="BL2040" s="497">
        <v>57.92</v>
      </c>
      <c r="BN2040" s="42"/>
      <c r="BO2040" s="74"/>
      <c r="BP2040" s="77"/>
      <c r="BR2040" s="497">
        <v>12.02</v>
      </c>
      <c r="BT2040" s="42"/>
    </row>
    <row r="2041" spans="1:72" x14ac:dyDescent="0.25">
      <c r="A2041" s="90">
        <v>38072</v>
      </c>
      <c r="B2041" s="20">
        <v>0.29166666666666669</v>
      </c>
      <c r="D2041">
        <v>42.980000000000004</v>
      </c>
      <c r="E2041" t="str">
        <f t="shared" si="98"/>
        <v>WEEKDAY</v>
      </c>
      <c r="F2041" t="e">
        <f t="shared" si="99"/>
        <v>#N/A</v>
      </c>
      <c r="G2041" s="74">
        <v>32958</v>
      </c>
      <c r="H2041" s="77">
        <v>0.29166666666666669</v>
      </c>
      <c r="J2041">
        <v>42.08</v>
      </c>
      <c r="M2041" s="74">
        <v>36611</v>
      </c>
      <c r="N2041" s="77">
        <v>0.29166666666666669</v>
      </c>
      <c r="P2041">
        <v>51.8</v>
      </c>
      <c r="S2041" s="74">
        <v>38072</v>
      </c>
      <c r="T2041" s="77">
        <v>0.29166666666666669</v>
      </c>
      <c r="V2041">
        <v>44.96</v>
      </c>
      <c r="X2041" s="42"/>
      <c r="AB2041">
        <v>39.4</v>
      </c>
      <c r="AC2041">
        <v>37.94</v>
      </c>
      <c r="AE2041" s="74"/>
      <c r="AF2041" s="77"/>
      <c r="AH2041" s="497">
        <v>44.6</v>
      </c>
      <c r="AJ2041" s="42"/>
      <c r="AK2041" s="74"/>
      <c r="AL2041" s="77"/>
      <c r="AN2041" s="497">
        <v>28.94</v>
      </c>
      <c r="AP2041" s="42"/>
      <c r="AQ2041" s="74"/>
      <c r="AR2041" s="77"/>
      <c r="AT2041" s="497">
        <v>39.92</v>
      </c>
      <c r="AV2041" s="42"/>
      <c r="AW2041" s="74"/>
      <c r="AX2041" s="77"/>
      <c r="BA2041" s="497">
        <v>35.06</v>
      </c>
      <c r="BB2041" s="42"/>
      <c r="BC2041" s="74"/>
      <c r="BD2041" s="77"/>
      <c r="BF2041">
        <v>35.06</v>
      </c>
      <c r="BH2041" s="42"/>
      <c r="BI2041" s="74"/>
      <c r="BJ2041" s="77"/>
      <c r="BL2041" s="497">
        <v>57.92</v>
      </c>
      <c r="BN2041" s="42"/>
      <c r="BO2041" s="74"/>
      <c r="BP2041" s="77"/>
      <c r="BR2041" s="497">
        <v>17.96</v>
      </c>
      <c r="BT2041" s="42"/>
    </row>
    <row r="2042" spans="1:72" x14ac:dyDescent="0.25">
      <c r="A2042" s="90">
        <v>38072</v>
      </c>
      <c r="B2042" s="20">
        <v>0.33333333333333331</v>
      </c>
      <c r="D2042">
        <v>44.06</v>
      </c>
      <c r="E2042" t="str">
        <f t="shared" si="98"/>
        <v>WEEKDAY</v>
      </c>
      <c r="F2042" t="e">
        <f t="shared" si="99"/>
        <v>#N/A</v>
      </c>
      <c r="G2042" s="74">
        <v>32958</v>
      </c>
      <c r="H2042" s="77">
        <v>0.33333333333333331</v>
      </c>
      <c r="J2042">
        <v>42.980000000000004</v>
      </c>
      <c r="M2042" s="74">
        <v>36611</v>
      </c>
      <c r="N2042" s="77">
        <v>0.33333333333333331</v>
      </c>
      <c r="P2042">
        <v>51.8</v>
      </c>
      <c r="S2042" s="74">
        <v>38072</v>
      </c>
      <c r="T2042" s="77">
        <v>0.33333333333333331</v>
      </c>
      <c r="V2042">
        <v>46.94</v>
      </c>
      <c r="X2042" s="42"/>
      <c r="AB2042">
        <v>40.6</v>
      </c>
      <c r="AC2042">
        <v>42.980000000000004</v>
      </c>
      <c r="AE2042" s="74"/>
      <c r="AF2042" s="77"/>
      <c r="AH2042" s="497">
        <v>53.6</v>
      </c>
      <c r="AJ2042" s="42"/>
      <c r="AK2042" s="74"/>
      <c r="AL2042" s="77"/>
      <c r="AN2042" s="497">
        <v>30.02</v>
      </c>
      <c r="AP2042" s="42"/>
      <c r="AQ2042" s="74"/>
      <c r="AR2042" s="77"/>
      <c r="AT2042" s="497">
        <v>43.879999999999995</v>
      </c>
      <c r="AV2042" s="42"/>
      <c r="AW2042" s="74"/>
      <c r="AX2042" s="77"/>
      <c r="BA2042" s="497">
        <v>37.94</v>
      </c>
      <c r="BB2042" s="42"/>
      <c r="BC2042" s="74"/>
      <c r="BD2042" s="77"/>
      <c r="BF2042">
        <v>35.06</v>
      </c>
      <c r="BH2042" s="42"/>
      <c r="BI2042" s="74"/>
      <c r="BJ2042" s="77"/>
      <c r="BL2042" s="497">
        <v>60.08</v>
      </c>
      <c r="BN2042" s="42"/>
      <c r="BO2042" s="74"/>
      <c r="BP2042" s="77"/>
      <c r="BR2042" s="497">
        <v>24.98</v>
      </c>
      <c r="BT2042" s="42"/>
    </row>
    <row r="2043" spans="1:72" x14ac:dyDescent="0.25">
      <c r="A2043" s="90">
        <v>38072</v>
      </c>
      <c r="B2043" s="20">
        <v>0.375</v>
      </c>
      <c r="D2043">
        <v>46.04</v>
      </c>
      <c r="E2043" t="str">
        <f t="shared" si="98"/>
        <v>WEEKDAY</v>
      </c>
      <c r="F2043" t="e">
        <f t="shared" si="99"/>
        <v>#N/A</v>
      </c>
      <c r="G2043" s="74">
        <v>32958</v>
      </c>
      <c r="H2043" s="77">
        <v>0.375</v>
      </c>
      <c r="J2043">
        <v>44.06</v>
      </c>
      <c r="M2043" s="74">
        <v>36611</v>
      </c>
      <c r="N2043" s="77">
        <v>0.375</v>
      </c>
      <c r="P2043">
        <v>55.400000000000006</v>
      </c>
      <c r="S2043" s="74">
        <v>38072</v>
      </c>
      <c r="T2043" s="77">
        <v>0.375</v>
      </c>
      <c r="V2043">
        <v>51.08</v>
      </c>
      <c r="X2043" s="42"/>
      <c r="AB2043">
        <v>42.4</v>
      </c>
      <c r="AC2043">
        <v>46.94</v>
      </c>
      <c r="AE2043" s="74"/>
      <c r="AF2043" s="77"/>
      <c r="AH2043" s="497">
        <v>55.400000000000006</v>
      </c>
      <c r="AJ2043" s="42"/>
      <c r="AK2043" s="74"/>
      <c r="AL2043" s="77"/>
      <c r="AN2043" s="497">
        <v>30.02</v>
      </c>
      <c r="AP2043" s="42"/>
      <c r="AQ2043" s="74"/>
      <c r="AR2043" s="77"/>
      <c r="AT2043" s="497">
        <v>48.019999999999996</v>
      </c>
      <c r="AV2043" s="42"/>
      <c r="AW2043" s="74"/>
      <c r="AX2043" s="77"/>
      <c r="BA2043" s="497">
        <v>37.94</v>
      </c>
      <c r="BB2043" s="42"/>
      <c r="BC2043" s="74"/>
      <c r="BD2043" s="77"/>
      <c r="BF2043">
        <v>30.02</v>
      </c>
      <c r="BH2043" s="42"/>
      <c r="BI2043" s="74"/>
      <c r="BJ2043" s="77"/>
      <c r="BL2043" s="497">
        <v>62.96</v>
      </c>
      <c r="BN2043" s="42"/>
      <c r="BO2043" s="74"/>
      <c r="BP2043" s="77"/>
      <c r="BR2043" s="497">
        <v>30.02</v>
      </c>
      <c r="BT2043" s="42"/>
    </row>
    <row r="2044" spans="1:72" x14ac:dyDescent="0.25">
      <c r="A2044" s="90">
        <v>38072</v>
      </c>
      <c r="B2044" s="20">
        <v>0.41666666666666669</v>
      </c>
      <c r="D2044">
        <v>46.94</v>
      </c>
      <c r="E2044" t="str">
        <f t="shared" si="98"/>
        <v>WEEKDAY</v>
      </c>
      <c r="F2044" t="e">
        <f t="shared" si="99"/>
        <v>#N/A</v>
      </c>
      <c r="G2044" s="74">
        <v>32958</v>
      </c>
      <c r="H2044" s="77">
        <v>0.41666666666666669</v>
      </c>
      <c r="J2044">
        <v>46.04</v>
      </c>
      <c r="M2044" s="74">
        <v>36611</v>
      </c>
      <c r="N2044" s="77">
        <v>0.41666666666666669</v>
      </c>
      <c r="P2044">
        <v>57.2</v>
      </c>
      <c r="S2044" s="74">
        <v>38072</v>
      </c>
      <c r="T2044" s="77">
        <v>0.41666666666666669</v>
      </c>
      <c r="V2044">
        <v>51.08</v>
      </c>
      <c r="X2044" s="42"/>
      <c r="AB2044">
        <v>44.2</v>
      </c>
      <c r="AC2044">
        <v>48.92</v>
      </c>
      <c r="AE2044" s="74"/>
      <c r="AF2044" s="77"/>
      <c r="AH2044" s="497">
        <v>57.2</v>
      </c>
      <c r="AJ2044" s="42"/>
      <c r="AK2044" s="74"/>
      <c r="AL2044" s="77"/>
      <c r="AN2044" s="497">
        <v>30.02</v>
      </c>
      <c r="AP2044" s="42"/>
      <c r="AQ2044" s="74"/>
      <c r="AR2044" s="77"/>
      <c r="AT2044" s="497">
        <v>51.980000000000004</v>
      </c>
      <c r="AV2044" s="42"/>
      <c r="AW2044" s="74"/>
      <c r="AX2044" s="77"/>
      <c r="BA2044" s="497">
        <v>32</v>
      </c>
      <c r="BB2044" s="42"/>
      <c r="BC2044" s="74"/>
      <c r="BD2044" s="77"/>
      <c r="BF2044">
        <v>30.02</v>
      </c>
      <c r="BH2044" s="42"/>
      <c r="BI2044" s="74"/>
      <c r="BJ2044" s="77"/>
      <c r="BL2044" s="497">
        <v>69.080000000000013</v>
      </c>
      <c r="BN2044" s="42"/>
      <c r="BO2044" s="74"/>
      <c r="BP2044" s="77"/>
      <c r="BR2044" s="497">
        <v>32</v>
      </c>
      <c r="BT2044" s="42"/>
    </row>
    <row r="2045" spans="1:72" x14ac:dyDescent="0.25">
      <c r="A2045" s="90">
        <v>38072</v>
      </c>
      <c r="B2045" s="20">
        <v>0.45833333333333331</v>
      </c>
      <c r="D2045">
        <v>50</v>
      </c>
      <c r="E2045" t="str">
        <f t="shared" si="98"/>
        <v>WEEKDAY</v>
      </c>
      <c r="F2045" t="e">
        <f t="shared" si="99"/>
        <v>#N/A</v>
      </c>
      <c r="G2045" s="74">
        <v>32958</v>
      </c>
      <c r="H2045" s="77">
        <v>0.45833333333333331</v>
      </c>
      <c r="J2045">
        <v>48.019999999999996</v>
      </c>
      <c r="M2045" s="74">
        <v>36611</v>
      </c>
      <c r="N2045" s="77">
        <v>0.45833333333333331</v>
      </c>
      <c r="P2045">
        <v>59</v>
      </c>
      <c r="S2045" s="74">
        <v>38072</v>
      </c>
      <c r="T2045" s="77">
        <v>0.45833333333333331</v>
      </c>
      <c r="V2045">
        <v>48.92</v>
      </c>
      <c r="X2045" s="42"/>
      <c r="AB2045">
        <v>45.7</v>
      </c>
      <c r="AC2045">
        <v>50</v>
      </c>
      <c r="AE2045" s="74"/>
      <c r="AF2045" s="77"/>
      <c r="AH2045" s="497">
        <v>59</v>
      </c>
      <c r="AJ2045" s="42"/>
      <c r="AK2045" s="74"/>
      <c r="AL2045" s="77"/>
      <c r="AN2045" s="497">
        <v>30.02</v>
      </c>
      <c r="AP2045" s="42"/>
      <c r="AQ2045" s="74"/>
      <c r="AR2045" s="77"/>
      <c r="AT2045" s="497">
        <v>53.96</v>
      </c>
      <c r="AV2045" s="42"/>
      <c r="AW2045" s="74"/>
      <c r="AX2045" s="77"/>
      <c r="BA2045" s="497">
        <v>35.06</v>
      </c>
      <c r="BB2045" s="42"/>
      <c r="BC2045" s="74"/>
      <c r="BD2045" s="77"/>
      <c r="BF2045">
        <v>32</v>
      </c>
      <c r="BH2045" s="42"/>
      <c r="BI2045" s="74"/>
      <c r="BJ2045" s="77"/>
      <c r="BL2045" s="497">
        <v>73.94</v>
      </c>
      <c r="BN2045" s="42"/>
      <c r="BO2045" s="74"/>
      <c r="BP2045" s="77"/>
      <c r="BR2045" s="497">
        <v>35.06</v>
      </c>
      <c r="BT2045" s="42"/>
    </row>
    <row r="2046" spans="1:72" x14ac:dyDescent="0.25">
      <c r="A2046" s="90">
        <v>38072</v>
      </c>
      <c r="B2046" s="20">
        <v>0.5</v>
      </c>
      <c r="D2046">
        <v>51.08</v>
      </c>
      <c r="E2046" t="str">
        <f t="shared" si="98"/>
        <v>WEEKDAY</v>
      </c>
      <c r="F2046" t="e">
        <f t="shared" si="99"/>
        <v>#N/A</v>
      </c>
      <c r="G2046" s="74">
        <v>32958</v>
      </c>
      <c r="H2046" s="77">
        <v>0.5</v>
      </c>
      <c r="J2046">
        <v>50</v>
      </c>
      <c r="M2046" s="74">
        <v>36611</v>
      </c>
      <c r="N2046" s="77">
        <v>0.5</v>
      </c>
      <c r="P2046">
        <v>59</v>
      </c>
      <c r="S2046" s="74">
        <v>38072</v>
      </c>
      <c r="T2046" s="77">
        <v>0.5</v>
      </c>
      <c r="V2046">
        <v>53.96</v>
      </c>
      <c r="X2046" s="42"/>
      <c r="AB2046">
        <v>47.1</v>
      </c>
      <c r="AC2046">
        <v>50</v>
      </c>
      <c r="AE2046" s="74"/>
      <c r="AF2046" s="77"/>
      <c r="AH2046" s="497">
        <v>59</v>
      </c>
      <c r="AJ2046" s="42"/>
      <c r="AK2046" s="74"/>
      <c r="AL2046" s="77"/>
      <c r="AN2046" s="497">
        <v>30.02</v>
      </c>
      <c r="AP2046" s="42"/>
      <c r="AQ2046" s="74"/>
      <c r="AR2046" s="77"/>
      <c r="AT2046" s="497">
        <v>55.94</v>
      </c>
      <c r="AV2046" s="42"/>
      <c r="AW2046" s="74"/>
      <c r="AX2046" s="77"/>
      <c r="BA2046" s="497">
        <v>33.979999999999997</v>
      </c>
      <c r="BB2046" s="42"/>
      <c r="BC2046" s="74"/>
      <c r="BD2046" s="77"/>
      <c r="BF2046">
        <v>30.02</v>
      </c>
      <c r="BH2046" s="42"/>
      <c r="BI2046" s="74"/>
      <c r="BJ2046" s="77"/>
      <c r="BL2046" s="497">
        <v>73.94</v>
      </c>
      <c r="BN2046" s="42"/>
      <c r="BO2046" s="74"/>
      <c r="BP2046" s="77"/>
      <c r="BR2046" s="497">
        <v>37.94</v>
      </c>
      <c r="BT2046" s="42"/>
    </row>
    <row r="2047" spans="1:72" x14ac:dyDescent="0.25">
      <c r="A2047" s="90">
        <v>38072</v>
      </c>
      <c r="B2047" s="20">
        <v>0.54166666666666663</v>
      </c>
      <c r="D2047">
        <v>53.96</v>
      </c>
      <c r="E2047" t="str">
        <f t="shared" si="98"/>
        <v>WEEKDAY</v>
      </c>
      <c r="F2047" t="e">
        <f t="shared" si="99"/>
        <v>#N/A</v>
      </c>
      <c r="G2047" s="74">
        <v>32958</v>
      </c>
      <c r="H2047" s="77">
        <v>0.54166666666666663</v>
      </c>
      <c r="J2047">
        <v>51.08</v>
      </c>
      <c r="M2047" s="74">
        <v>36611</v>
      </c>
      <c r="N2047" s="77">
        <v>0.54166666666666663</v>
      </c>
      <c r="P2047">
        <v>59</v>
      </c>
      <c r="S2047" s="74">
        <v>38072</v>
      </c>
      <c r="T2047" s="77">
        <v>0.54166666666666663</v>
      </c>
      <c r="V2047">
        <v>57.019999999999996</v>
      </c>
      <c r="X2047" s="42"/>
      <c r="AB2047">
        <v>48.1</v>
      </c>
      <c r="AC2047">
        <v>53.06</v>
      </c>
      <c r="AE2047" s="74"/>
      <c r="AF2047" s="77"/>
      <c r="AH2047" s="497">
        <v>62.6</v>
      </c>
      <c r="AJ2047" s="42"/>
      <c r="AK2047" s="74"/>
      <c r="AL2047" s="77"/>
      <c r="AN2047" s="497">
        <v>30.92</v>
      </c>
      <c r="AP2047" s="42"/>
      <c r="AQ2047" s="74"/>
      <c r="AR2047" s="77"/>
      <c r="AT2047" s="497">
        <v>57.92</v>
      </c>
      <c r="AV2047" s="42"/>
      <c r="AW2047" s="74"/>
      <c r="AX2047" s="77"/>
      <c r="BA2047" s="497">
        <v>30.02</v>
      </c>
      <c r="BB2047" s="42"/>
      <c r="BC2047" s="74"/>
      <c r="BD2047" s="77"/>
      <c r="BF2047">
        <v>30.92</v>
      </c>
      <c r="BH2047" s="42"/>
      <c r="BI2047" s="74"/>
      <c r="BJ2047" s="77"/>
      <c r="BL2047" s="497">
        <v>73.039999999999992</v>
      </c>
      <c r="BN2047" s="42"/>
      <c r="BO2047" s="74"/>
      <c r="BP2047" s="77"/>
      <c r="BR2047" s="497">
        <v>41</v>
      </c>
      <c r="BT2047" s="42"/>
    </row>
    <row r="2048" spans="1:72" x14ac:dyDescent="0.25">
      <c r="A2048" s="90">
        <v>38072</v>
      </c>
      <c r="B2048" s="20">
        <v>0.58333333333333337</v>
      </c>
      <c r="D2048">
        <v>57.019999999999996</v>
      </c>
      <c r="E2048" t="str">
        <f t="shared" si="98"/>
        <v>WEEKDAY</v>
      </c>
      <c r="F2048" t="e">
        <f t="shared" si="99"/>
        <v>#N/A</v>
      </c>
      <c r="G2048" s="74">
        <v>32958</v>
      </c>
      <c r="H2048" s="77">
        <v>0.58333333333333337</v>
      </c>
      <c r="J2048">
        <v>53.06</v>
      </c>
      <c r="M2048" s="74">
        <v>36611</v>
      </c>
      <c r="N2048" s="77">
        <v>0.58333333333333337</v>
      </c>
      <c r="P2048">
        <v>59</v>
      </c>
      <c r="S2048" s="74">
        <v>38072</v>
      </c>
      <c r="T2048" s="77">
        <v>0.58333333333333337</v>
      </c>
      <c r="V2048">
        <v>55.94</v>
      </c>
      <c r="X2048" s="42"/>
      <c r="AB2048">
        <v>48.9</v>
      </c>
      <c r="AC2048">
        <v>53.06</v>
      </c>
      <c r="AE2048" s="74"/>
      <c r="AF2048" s="77"/>
      <c r="AH2048" s="497">
        <v>60.8</v>
      </c>
      <c r="AJ2048" s="42"/>
      <c r="AK2048" s="74"/>
      <c r="AL2048" s="77"/>
      <c r="AN2048" s="497">
        <v>30.92</v>
      </c>
      <c r="AP2048" s="42"/>
      <c r="AQ2048" s="74"/>
      <c r="AR2048" s="77"/>
      <c r="AT2048" s="497">
        <v>59.540000000000006</v>
      </c>
      <c r="AV2048" s="42"/>
      <c r="AW2048" s="74"/>
      <c r="AX2048" s="77"/>
      <c r="BA2048" s="497">
        <v>32</v>
      </c>
      <c r="BB2048" s="42"/>
      <c r="BC2048" s="74"/>
      <c r="BD2048" s="77"/>
      <c r="BF2048">
        <v>30.92</v>
      </c>
      <c r="BH2048" s="42"/>
      <c r="BI2048" s="74"/>
      <c r="BJ2048" s="77"/>
      <c r="BL2048" s="497">
        <v>75.02</v>
      </c>
      <c r="BN2048" s="42"/>
      <c r="BO2048" s="74"/>
      <c r="BP2048" s="77"/>
      <c r="BR2048" s="497">
        <v>44.96</v>
      </c>
      <c r="BT2048" s="42"/>
    </row>
    <row r="2049" spans="1:72" x14ac:dyDescent="0.25">
      <c r="A2049" s="90">
        <v>38072</v>
      </c>
      <c r="B2049" s="20">
        <v>0.625</v>
      </c>
      <c r="D2049">
        <v>59</v>
      </c>
      <c r="E2049" t="str">
        <f t="shared" si="98"/>
        <v>WEEKDAY</v>
      </c>
      <c r="F2049" t="e">
        <f t="shared" si="99"/>
        <v>#N/A</v>
      </c>
      <c r="G2049" s="74">
        <v>32958</v>
      </c>
      <c r="H2049" s="77">
        <v>0.625</v>
      </c>
      <c r="J2049">
        <v>51.980000000000004</v>
      </c>
      <c r="M2049" s="74">
        <v>36611</v>
      </c>
      <c r="N2049" s="77">
        <v>0.625</v>
      </c>
      <c r="P2049">
        <v>57.2</v>
      </c>
      <c r="S2049" s="74">
        <v>38072</v>
      </c>
      <c r="T2049" s="77">
        <v>0.625</v>
      </c>
      <c r="V2049">
        <v>53.96</v>
      </c>
      <c r="X2049" s="42"/>
      <c r="AB2049">
        <v>49.1</v>
      </c>
      <c r="AC2049">
        <v>51.08</v>
      </c>
      <c r="AE2049" s="74"/>
      <c r="AF2049" s="77"/>
      <c r="AH2049" s="497">
        <v>62.6</v>
      </c>
      <c r="AJ2049" s="42"/>
      <c r="AK2049" s="74"/>
      <c r="AL2049" s="77"/>
      <c r="AN2049" s="497">
        <v>30.92</v>
      </c>
      <c r="AP2049" s="42"/>
      <c r="AQ2049" s="74"/>
      <c r="AR2049" s="77"/>
      <c r="AT2049" s="497">
        <v>61.34</v>
      </c>
      <c r="AV2049" s="42"/>
      <c r="AW2049" s="74"/>
      <c r="AX2049" s="77"/>
      <c r="BA2049" s="497">
        <v>28.94</v>
      </c>
      <c r="BB2049" s="42"/>
      <c r="BC2049" s="74"/>
      <c r="BD2049" s="77"/>
      <c r="BF2049">
        <v>30.02</v>
      </c>
      <c r="BH2049" s="42"/>
      <c r="BI2049" s="74"/>
      <c r="BJ2049" s="77"/>
      <c r="BL2049" s="497">
        <v>73.94</v>
      </c>
      <c r="BN2049" s="42"/>
      <c r="BO2049" s="74"/>
      <c r="BP2049" s="77"/>
      <c r="BR2049" s="497">
        <v>44.96</v>
      </c>
      <c r="BT2049" s="42"/>
    </row>
    <row r="2050" spans="1:72" x14ac:dyDescent="0.25">
      <c r="A2050" s="90">
        <v>38072</v>
      </c>
      <c r="B2050" s="20">
        <v>0.66666666666666663</v>
      </c>
      <c r="D2050">
        <v>59</v>
      </c>
      <c r="E2050" t="str">
        <f t="shared" si="98"/>
        <v>WEEKDAY</v>
      </c>
      <c r="F2050" t="e">
        <f t="shared" si="99"/>
        <v>#N/A</v>
      </c>
      <c r="G2050" s="74">
        <v>32958</v>
      </c>
      <c r="H2050" s="77">
        <v>0.66666666666666663</v>
      </c>
      <c r="J2050">
        <v>51.08</v>
      </c>
      <c r="M2050" s="74">
        <v>36611</v>
      </c>
      <c r="N2050" s="77">
        <v>0.66666666666666663</v>
      </c>
      <c r="P2050">
        <v>59</v>
      </c>
      <c r="S2050" s="74">
        <v>38072</v>
      </c>
      <c r="T2050" s="77">
        <v>0.66666666666666663</v>
      </c>
      <c r="V2050">
        <v>53.06</v>
      </c>
      <c r="X2050" s="42"/>
      <c r="AB2050">
        <v>49.1</v>
      </c>
      <c r="AC2050">
        <v>48.92</v>
      </c>
      <c r="AE2050" s="74"/>
      <c r="AF2050" s="77"/>
      <c r="AH2050" s="497">
        <v>60.8</v>
      </c>
      <c r="AJ2050" s="42"/>
      <c r="AK2050" s="74"/>
      <c r="AL2050" s="77"/>
      <c r="AN2050" s="497">
        <v>32</v>
      </c>
      <c r="AP2050" s="42"/>
      <c r="AQ2050" s="74"/>
      <c r="AR2050" s="77"/>
      <c r="AT2050" s="497">
        <v>62.96</v>
      </c>
      <c r="AV2050" s="42"/>
      <c r="AW2050" s="74"/>
      <c r="AX2050" s="77"/>
      <c r="BA2050" s="497">
        <v>30.92</v>
      </c>
      <c r="BB2050" s="42"/>
      <c r="BC2050" s="74"/>
      <c r="BD2050" s="77"/>
      <c r="BF2050">
        <v>30.02</v>
      </c>
      <c r="BH2050" s="42"/>
      <c r="BI2050" s="74"/>
      <c r="BJ2050" s="77"/>
      <c r="BL2050" s="497">
        <v>69.98</v>
      </c>
      <c r="BN2050" s="42"/>
      <c r="BO2050" s="74"/>
      <c r="BP2050" s="77"/>
      <c r="BR2050" s="497">
        <v>48.019999999999996</v>
      </c>
      <c r="BT2050" s="42"/>
    </row>
    <row r="2051" spans="1:72" x14ac:dyDescent="0.25">
      <c r="A2051" s="90">
        <v>38072</v>
      </c>
      <c r="B2051" s="20">
        <v>0.70833333333333337</v>
      </c>
      <c r="D2051">
        <v>59</v>
      </c>
      <c r="E2051" t="str">
        <f t="shared" si="98"/>
        <v>WEEKDAY</v>
      </c>
      <c r="F2051" t="e">
        <f t="shared" si="99"/>
        <v>#N/A</v>
      </c>
      <c r="G2051" s="74">
        <v>32958</v>
      </c>
      <c r="H2051" s="77">
        <v>0.70833333333333337</v>
      </c>
      <c r="J2051">
        <v>46.94</v>
      </c>
      <c r="M2051" s="74">
        <v>36611</v>
      </c>
      <c r="N2051" s="77">
        <v>0.70833333333333337</v>
      </c>
      <c r="P2051">
        <v>59</v>
      </c>
      <c r="S2051" s="74">
        <v>38072</v>
      </c>
      <c r="T2051" s="77">
        <v>0.70833333333333337</v>
      </c>
      <c r="V2051">
        <v>51.08</v>
      </c>
      <c r="X2051" s="42"/>
      <c r="AB2051">
        <v>48.7</v>
      </c>
      <c r="AC2051">
        <v>46.94</v>
      </c>
      <c r="AE2051" s="74"/>
      <c r="AF2051" s="77"/>
      <c r="AH2051" s="497">
        <v>57.2</v>
      </c>
      <c r="AJ2051" s="42"/>
      <c r="AK2051" s="74"/>
      <c r="AL2051" s="77"/>
      <c r="AN2051" s="497">
        <v>30.92</v>
      </c>
      <c r="AP2051" s="42"/>
      <c r="AQ2051" s="74"/>
      <c r="AR2051" s="77"/>
      <c r="AT2051" s="497">
        <v>59.36</v>
      </c>
      <c r="AV2051" s="42"/>
      <c r="AW2051" s="74"/>
      <c r="AX2051" s="77"/>
      <c r="BA2051" s="497">
        <v>28.94</v>
      </c>
      <c r="BB2051" s="42"/>
      <c r="BC2051" s="74"/>
      <c r="BD2051" s="77"/>
      <c r="BF2051">
        <v>28.04</v>
      </c>
      <c r="BH2051" s="42"/>
      <c r="BI2051" s="74"/>
      <c r="BJ2051" s="77"/>
      <c r="BL2051" s="497">
        <v>66.02</v>
      </c>
      <c r="BN2051" s="42"/>
      <c r="BO2051" s="74"/>
      <c r="BP2051" s="77"/>
      <c r="BR2051" s="497">
        <v>44.06</v>
      </c>
      <c r="BT2051" s="42"/>
    </row>
    <row r="2052" spans="1:72" x14ac:dyDescent="0.25">
      <c r="A2052" s="90">
        <v>38072</v>
      </c>
      <c r="B2052" s="20">
        <v>0.75</v>
      </c>
      <c r="D2052">
        <v>57.92</v>
      </c>
      <c r="E2052" t="str">
        <f t="shared" si="98"/>
        <v>WEEKDAY</v>
      </c>
      <c r="F2052" t="e">
        <f t="shared" si="99"/>
        <v>#N/A</v>
      </c>
      <c r="G2052" s="74">
        <v>32958</v>
      </c>
      <c r="H2052" s="77">
        <v>0.75</v>
      </c>
      <c r="J2052">
        <v>44.96</v>
      </c>
      <c r="M2052" s="74">
        <v>36611</v>
      </c>
      <c r="N2052" s="77">
        <v>0.75</v>
      </c>
      <c r="P2052">
        <v>55.400000000000006</v>
      </c>
      <c r="S2052" s="74">
        <v>38072</v>
      </c>
      <c r="T2052" s="77">
        <v>0.75</v>
      </c>
      <c r="V2052">
        <v>50</v>
      </c>
      <c r="X2052" s="42"/>
      <c r="AB2052">
        <v>47.6</v>
      </c>
      <c r="AC2052">
        <v>44.96</v>
      </c>
      <c r="AE2052" s="74"/>
      <c r="AF2052" s="77"/>
      <c r="AH2052" s="497">
        <v>56.3</v>
      </c>
      <c r="AJ2052" s="42"/>
      <c r="AK2052" s="74"/>
      <c r="AL2052" s="77"/>
      <c r="AN2052" s="497">
        <v>32</v>
      </c>
      <c r="AP2052" s="42"/>
      <c r="AQ2052" s="74"/>
      <c r="AR2052" s="77"/>
      <c r="AT2052" s="497">
        <v>55.58</v>
      </c>
      <c r="AV2052" s="42"/>
      <c r="AW2052" s="74"/>
      <c r="AX2052" s="77"/>
      <c r="BA2052" s="497">
        <v>26.96</v>
      </c>
      <c r="BB2052" s="42"/>
      <c r="BC2052" s="74"/>
      <c r="BD2052" s="77"/>
      <c r="BF2052">
        <v>26.96</v>
      </c>
      <c r="BH2052" s="42"/>
      <c r="BI2052" s="74"/>
      <c r="BJ2052" s="77"/>
      <c r="BL2052" s="497">
        <v>62.06</v>
      </c>
      <c r="BN2052" s="42"/>
      <c r="BO2052" s="74"/>
      <c r="BP2052" s="77"/>
      <c r="BR2052" s="497">
        <v>42.08</v>
      </c>
      <c r="BT2052" s="42"/>
    </row>
    <row r="2053" spans="1:72" x14ac:dyDescent="0.25">
      <c r="A2053" s="90">
        <v>38072</v>
      </c>
      <c r="B2053" s="20">
        <v>0.79166666666666663</v>
      </c>
      <c r="D2053">
        <v>55.94</v>
      </c>
      <c r="E2053" t="str">
        <f t="shared" si="98"/>
        <v>WEEKDAY</v>
      </c>
      <c r="F2053" t="e">
        <f t="shared" si="99"/>
        <v>#N/A</v>
      </c>
      <c r="G2053" s="74">
        <v>32958</v>
      </c>
      <c r="H2053" s="77">
        <v>0.79166666666666663</v>
      </c>
      <c r="J2053">
        <v>42.980000000000004</v>
      </c>
      <c r="M2053" s="74">
        <v>36611</v>
      </c>
      <c r="N2053" s="77">
        <v>0.79166666666666663</v>
      </c>
      <c r="P2053">
        <v>51.8</v>
      </c>
      <c r="S2053" s="74">
        <v>38072</v>
      </c>
      <c r="T2053" s="77">
        <v>0.79166666666666663</v>
      </c>
      <c r="V2053">
        <v>50</v>
      </c>
      <c r="X2053" s="42"/>
      <c r="AB2053">
        <v>46.3</v>
      </c>
      <c r="AC2053">
        <v>44.06</v>
      </c>
      <c r="AE2053" s="74"/>
      <c r="AF2053" s="77"/>
      <c r="AH2053" s="497">
        <v>55.400000000000006</v>
      </c>
      <c r="AJ2053" s="42"/>
      <c r="AK2053" s="74"/>
      <c r="AL2053" s="77"/>
      <c r="AN2053" s="497">
        <v>32</v>
      </c>
      <c r="AP2053" s="42"/>
      <c r="AQ2053" s="74"/>
      <c r="AR2053" s="77"/>
      <c r="AT2053" s="497">
        <v>51.980000000000004</v>
      </c>
      <c r="AV2053" s="42"/>
      <c r="AW2053" s="74"/>
      <c r="AX2053" s="77"/>
      <c r="BA2053" s="497">
        <v>24.98</v>
      </c>
      <c r="BB2053" s="42"/>
      <c r="BC2053" s="74"/>
      <c r="BD2053" s="77"/>
      <c r="BF2053">
        <v>24.98</v>
      </c>
      <c r="BH2053" s="42"/>
      <c r="BI2053" s="74"/>
      <c r="BJ2053" s="77"/>
      <c r="BL2053" s="497">
        <v>53.06</v>
      </c>
      <c r="BN2053" s="42"/>
      <c r="BO2053" s="74"/>
      <c r="BP2053" s="77"/>
      <c r="BR2053" s="497">
        <v>41</v>
      </c>
      <c r="BT2053" s="42"/>
    </row>
    <row r="2054" spans="1:72" x14ac:dyDescent="0.25">
      <c r="A2054" s="90">
        <v>38072</v>
      </c>
      <c r="B2054" s="20">
        <v>0.83333333333333337</v>
      </c>
      <c r="D2054">
        <v>53.96</v>
      </c>
      <c r="E2054" t="str">
        <f t="shared" si="98"/>
        <v>WEEKDAY</v>
      </c>
      <c r="F2054" t="e">
        <f t="shared" si="99"/>
        <v>#N/A</v>
      </c>
      <c r="G2054" s="74">
        <v>32958</v>
      </c>
      <c r="H2054" s="77">
        <v>0.83333333333333337</v>
      </c>
      <c r="J2054">
        <v>39.92</v>
      </c>
      <c r="M2054" s="74">
        <v>36611</v>
      </c>
      <c r="N2054" s="77">
        <v>0.83333333333333337</v>
      </c>
      <c r="P2054">
        <v>51.8</v>
      </c>
      <c r="S2054" s="74">
        <v>38072</v>
      </c>
      <c r="T2054" s="77">
        <v>0.83333333333333337</v>
      </c>
      <c r="V2054">
        <v>50</v>
      </c>
      <c r="X2054" s="42"/>
      <c r="AB2054">
        <v>45.3</v>
      </c>
      <c r="AC2054">
        <v>44.06</v>
      </c>
      <c r="AE2054" s="74"/>
      <c r="AF2054" s="77"/>
      <c r="AH2054" s="497">
        <v>48.2</v>
      </c>
      <c r="AJ2054" s="42"/>
      <c r="AK2054" s="74"/>
      <c r="AL2054" s="77"/>
      <c r="AN2054" s="497">
        <v>32</v>
      </c>
      <c r="AP2054" s="42"/>
      <c r="AQ2054" s="74"/>
      <c r="AR2054" s="77"/>
      <c r="AT2054" s="497">
        <v>48.379999999999995</v>
      </c>
      <c r="AV2054" s="42"/>
      <c r="AW2054" s="74"/>
      <c r="AX2054" s="77"/>
      <c r="BA2054" s="497">
        <v>24.08</v>
      </c>
      <c r="BB2054" s="42"/>
      <c r="BC2054" s="74"/>
      <c r="BD2054" s="77"/>
      <c r="BF2054">
        <v>23</v>
      </c>
      <c r="BH2054" s="42"/>
      <c r="BI2054" s="74"/>
      <c r="BJ2054" s="77"/>
      <c r="BL2054" s="497">
        <v>53.06</v>
      </c>
      <c r="BN2054" s="42"/>
      <c r="BO2054" s="74"/>
      <c r="BP2054" s="77"/>
      <c r="BR2054" s="497">
        <v>39.92</v>
      </c>
      <c r="BT2054" s="42"/>
    </row>
    <row r="2055" spans="1:72" x14ac:dyDescent="0.25">
      <c r="A2055" s="90">
        <v>38072</v>
      </c>
      <c r="B2055" s="20">
        <v>0.875</v>
      </c>
      <c r="D2055">
        <v>53.06</v>
      </c>
      <c r="E2055" t="str">
        <f t="shared" si="98"/>
        <v>WEEKDAY</v>
      </c>
      <c r="F2055" t="e">
        <f t="shared" si="99"/>
        <v>#N/A</v>
      </c>
      <c r="G2055" s="74">
        <v>32958</v>
      </c>
      <c r="H2055" s="77">
        <v>0.875</v>
      </c>
      <c r="J2055">
        <v>37.94</v>
      </c>
      <c r="M2055" s="74">
        <v>36611</v>
      </c>
      <c r="N2055" s="77">
        <v>0.875</v>
      </c>
      <c r="P2055">
        <v>51.8</v>
      </c>
      <c r="S2055" s="74">
        <v>38072</v>
      </c>
      <c r="T2055" s="77">
        <v>0.875</v>
      </c>
      <c r="V2055">
        <v>48.019999999999996</v>
      </c>
      <c r="X2055" s="42"/>
      <c r="AB2055">
        <v>44.7</v>
      </c>
      <c r="AC2055">
        <v>44.06</v>
      </c>
      <c r="AE2055" s="74"/>
      <c r="AF2055" s="77"/>
      <c r="AH2055" s="497">
        <v>46.4</v>
      </c>
      <c r="AJ2055" s="42"/>
      <c r="AK2055" s="74"/>
      <c r="AL2055" s="77"/>
      <c r="AN2055" s="497">
        <v>32</v>
      </c>
      <c r="AP2055" s="42"/>
      <c r="AQ2055" s="74"/>
      <c r="AR2055" s="77"/>
      <c r="AT2055" s="497">
        <v>44.6</v>
      </c>
      <c r="AV2055" s="42"/>
      <c r="AW2055" s="74"/>
      <c r="AX2055" s="77"/>
      <c r="BA2055" s="497">
        <v>23</v>
      </c>
      <c r="BB2055" s="42"/>
      <c r="BC2055" s="74"/>
      <c r="BD2055" s="77"/>
      <c r="BF2055">
        <v>21.92</v>
      </c>
      <c r="BH2055" s="42"/>
      <c r="BI2055" s="74"/>
      <c r="BJ2055" s="77"/>
      <c r="BL2055" s="497">
        <v>51.980000000000004</v>
      </c>
      <c r="BN2055" s="42"/>
      <c r="BO2055" s="74"/>
      <c r="BP2055" s="77"/>
      <c r="BR2055" s="497">
        <v>39.92</v>
      </c>
      <c r="BT2055" s="42"/>
    </row>
    <row r="2056" spans="1:72" x14ac:dyDescent="0.25">
      <c r="A2056" s="90">
        <v>38072</v>
      </c>
      <c r="B2056" s="20">
        <v>0.91666666666666663</v>
      </c>
      <c r="D2056">
        <v>51.08</v>
      </c>
      <c r="E2056" t="str">
        <f t="shared" si="98"/>
        <v>WEEKDAY</v>
      </c>
      <c r="F2056" t="e">
        <f t="shared" si="99"/>
        <v>#N/A</v>
      </c>
      <c r="G2056" s="74">
        <v>32958</v>
      </c>
      <c r="H2056" s="77">
        <v>0.91666666666666663</v>
      </c>
      <c r="J2056">
        <v>37.04</v>
      </c>
      <c r="M2056" s="74">
        <v>36611</v>
      </c>
      <c r="N2056" s="77">
        <v>0.91666666666666663</v>
      </c>
      <c r="P2056">
        <v>51.8</v>
      </c>
      <c r="S2056" s="74">
        <v>38072</v>
      </c>
      <c r="T2056" s="77">
        <v>0.91666666666666663</v>
      </c>
      <c r="V2056">
        <v>46.94</v>
      </c>
      <c r="X2056" s="42"/>
      <c r="AB2056">
        <v>44.1</v>
      </c>
      <c r="AC2056">
        <v>42.980000000000004</v>
      </c>
      <c r="AE2056" s="74"/>
      <c r="AF2056" s="77"/>
      <c r="AH2056" s="497">
        <v>44.6</v>
      </c>
      <c r="AJ2056" s="42"/>
      <c r="AK2056" s="74"/>
      <c r="AL2056" s="77"/>
      <c r="AN2056" s="497">
        <v>33.08</v>
      </c>
      <c r="AP2056" s="42"/>
      <c r="AQ2056" s="74"/>
      <c r="AR2056" s="77"/>
      <c r="AT2056" s="497">
        <v>41</v>
      </c>
      <c r="AV2056" s="42"/>
      <c r="AW2056" s="74"/>
      <c r="AX2056" s="77"/>
      <c r="BA2056" s="497">
        <v>21.92</v>
      </c>
      <c r="BB2056" s="42"/>
      <c r="BC2056" s="74"/>
      <c r="BD2056" s="77"/>
      <c r="BF2056">
        <v>24.08</v>
      </c>
      <c r="BH2056" s="42"/>
      <c r="BI2056" s="74"/>
      <c r="BJ2056" s="77"/>
      <c r="BL2056" s="497">
        <v>51.08</v>
      </c>
      <c r="BN2056" s="42"/>
      <c r="BO2056" s="74"/>
      <c r="BP2056" s="77"/>
      <c r="BR2056" s="497">
        <v>39.92</v>
      </c>
      <c r="BT2056" s="42"/>
    </row>
    <row r="2057" spans="1:72" x14ac:dyDescent="0.25">
      <c r="A2057" s="90">
        <v>38072</v>
      </c>
      <c r="B2057" s="20">
        <v>0.95833333333333337</v>
      </c>
      <c r="D2057">
        <v>50</v>
      </c>
      <c r="E2057" t="str">
        <f t="shared" si="98"/>
        <v>WEEKDAY</v>
      </c>
      <c r="F2057" t="e">
        <f t="shared" si="99"/>
        <v>#N/A</v>
      </c>
      <c r="G2057" s="74">
        <v>32958</v>
      </c>
      <c r="H2057" s="77">
        <v>0.95833333333333337</v>
      </c>
      <c r="J2057">
        <v>35.06</v>
      </c>
      <c r="M2057" s="74">
        <v>36611</v>
      </c>
      <c r="N2057" s="77">
        <v>0.95833333333333337</v>
      </c>
      <c r="P2057">
        <v>46.4</v>
      </c>
      <c r="S2057" s="74">
        <v>38072</v>
      </c>
      <c r="T2057" s="77">
        <v>0.95833333333333337</v>
      </c>
      <c r="V2057">
        <v>46.94</v>
      </c>
      <c r="X2057" s="42"/>
      <c r="AB2057">
        <v>43.4</v>
      </c>
      <c r="AC2057">
        <v>42.980000000000004</v>
      </c>
      <c r="AE2057" s="74"/>
      <c r="AF2057" s="77"/>
      <c r="AH2057" s="497">
        <v>42.8</v>
      </c>
      <c r="AJ2057" s="42"/>
      <c r="AK2057" s="74"/>
      <c r="AL2057" s="77"/>
      <c r="AN2057" s="497">
        <v>33.979999999999997</v>
      </c>
      <c r="AP2057" s="42"/>
      <c r="AQ2057" s="74"/>
      <c r="AR2057" s="77"/>
      <c r="AT2057" s="497">
        <v>44.42</v>
      </c>
      <c r="AV2057" s="42"/>
      <c r="AW2057" s="74"/>
      <c r="AX2057" s="77"/>
      <c r="BA2057" s="497">
        <v>21.92</v>
      </c>
      <c r="BB2057" s="42"/>
      <c r="BC2057" s="74"/>
      <c r="BD2057" s="77"/>
      <c r="BF2057">
        <v>21.92</v>
      </c>
      <c r="BH2057" s="42"/>
      <c r="BI2057" s="74"/>
      <c r="BJ2057" s="77"/>
      <c r="BL2057" s="497">
        <v>48.92</v>
      </c>
      <c r="BN2057" s="42"/>
      <c r="BO2057" s="74"/>
      <c r="BP2057" s="77"/>
      <c r="BR2057" s="497">
        <v>39.92</v>
      </c>
      <c r="BT2057" s="42"/>
    </row>
    <row r="2058" spans="1:72" x14ac:dyDescent="0.25">
      <c r="A2058" s="90">
        <v>38072</v>
      </c>
      <c r="B2058" s="20">
        <v>1</v>
      </c>
      <c r="D2058">
        <v>48.019999999999996</v>
      </c>
      <c r="E2058" t="str">
        <f t="shared" si="98"/>
        <v>WEEKDAY</v>
      </c>
      <c r="F2058" t="e">
        <f t="shared" si="99"/>
        <v>#N/A</v>
      </c>
      <c r="G2058" s="74">
        <v>32958</v>
      </c>
      <c r="H2058" s="77">
        <v>1</v>
      </c>
      <c r="J2058">
        <v>33.979999999999997</v>
      </c>
      <c r="M2058" s="74">
        <v>36611</v>
      </c>
      <c r="N2058" s="80">
        <v>1</v>
      </c>
      <c r="P2058">
        <v>42.8</v>
      </c>
      <c r="S2058" s="74">
        <v>38072</v>
      </c>
      <c r="T2058" s="80">
        <v>1</v>
      </c>
      <c r="V2058">
        <v>48.019999999999996</v>
      </c>
      <c r="X2058" s="42"/>
      <c r="AB2058">
        <v>42.8</v>
      </c>
      <c r="AC2058">
        <v>44.06</v>
      </c>
      <c r="AE2058" s="74"/>
      <c r="AF2058" s="80"/>
      <c r="AH2058" s="497">
        <v>37.4</v>
      </c>
      <c r="AJ2058" s="42"/>
      <c r="AK2058" s="74"/>
      <c r="AL2058" s="80"/>
      <c r="AN2058" s="497">
        <v>35.06</v>
      </c>
      <c r="AP2058" s="42"/>
      <c r="AQ2058" s="74"/>
      <c r="AR2058" s="80"/>
      <c r="AT2058" s="497">
        <v>47.66</v>
      </c>
      <c r="AV2058" s="42"/>
      <c r="AW2058" s="74"/>
      <c r="AX2058" s="80"/>
      <c r="BA2058" s="497">
        <v>21.02</v>
      </c>
      <c r="BB2058" s="42"/>
      <c r="BC2058" s="74"/>
      <c r="BD2058" s="80"/>
      <c r="BF2058">
        <v>21.02</v>
      </c>
      <c r="BH2058" s="42"/>
      <c r="BI2058" s="74"/>
      <c r="BJ2058" s="80"/>
      <c r="BL2058" s="497">
        <v>48.92</v>
      </c>
      <c r="BN2058" s="42"/>
      <c r="BO2058" s="74"/>
      <c r="BP2058" s="80"/>
      <c r="BR2058" s="497">
        <v>37.94</v>
      </c>
      <c r="BT2058" s="42"/>
    </row>
    <row r="2059" spans="1:72" x14ac:dyDescent="0.25">
      <c r="A2059" s="90">
        <v>38073</v>
      </c>
      <c r="B2059" s="20">
        <v>4.1666666666666664E-2</v>
      </c>
      <c r="D2059">
        <v>46.04</v>
      </c>
      <c r="E2059" t="str">
        <f t="shared" si="98"/>
        <v>SATURDAY</v>
      </c>
      <c r="F2059" t="e">
        <f t="shared" si="99"/>
        <v>#N/A</v>
      </c>
      <c r="G2059" s="74">
        <v>32959</v>
      </c>
      <c r="H2059" s="77">
        <v>4.1666666666666664E-2</v>
      </c>
      <c r="J2059">
        <v>33.08</v>
      </c>
      <c r="M2059" s="74">
        <v>36612</v>
      </c>
      <c r="N2059" s="77">
        <v>4.1666666666666664E-2</v>
      </c>
      <c r="P2059">
        <v>41</v>
      </c>
      <c r="S2059" s="74">
        <v>38073</v>
      </c>
      <c r="T2059" s="77">
        <v>4.1666666666666664E-2</v>
      </c>
      <c r="V2059">
        <v>48.019999999999996</v>
      </c>
      <c r="X2059" s="42"/>
      <c r="AB2059">
        <v>42.2</v>
      </c>
      <c r="AC2059">
        <v>44.06</v>
      </c>
      <c r="AE2059" s="74"/>
      <c r="AF2059" s="77"/>
      <c r="AH2059" s="497">
        <v>33.799999999999997</v>
      </c>
      <c r="AJ2059" s="42"/>
      <c r="AK2059" s="74"/>
      <c r="AL2059" s="77"/>
      <c r="AN2059" s="497">
        <v>35.96</v>
      </c>
      <c r="AP2059" s="42"/>
      <c r="AQ2059" s="74"/>
      <c r="AR2059" s="77"/>
      <c r="AT2059" s="497">
        <v>51.08</v>
      </c>
      <c r="AV2059" s="42"/>
      <c r="AW2059" s="74"/>
      <c r="AX2059" s="77"/>
      <c r="BA2059" s="497">
        <v>23</v>
      </c>
      <c r="BB2059" s="42"/>
      <c r="BC2059" s="74"/>
      <c r="BD2059" s="77"/>
      <c r="BF2059">
        <v>19.939999999999998</v>
      </c>
      <c r="BH2059" s="42"/>
      <c r="BI2059" s="74"/>
      <c r="BJ2059" s="77"/>
      <c r="BL2059" s="497">
        <v>48.019999999999996</v>
      </c>
      <c r="BN2059" s="42"/>
      <c r="BO2059" s="74"/>
      <c r="BP2059" s="77"/>
      <c r="BR2059" s="497">
        <v>35.96</v>
      </c>
      <c r="BT2059" s="42"/>
    </row>
    <row r="2060" spans="1:72" x14ac:dyDescent="0.25">
      <c r="A2060" s="90">
        <v>38073</v>
      </c>
      <c r="B2060" s="20">
        <v>8.3333333333333329E-2</v>
      </c>
      <c r="D2060">
        <v>44.96</v>
      </c>
      <c r="E2060" t="str">
        <f t="shared" si="98"/>
        <v>SATURDAY</v>
      </c>
      <c r="F2060" t="e">
        <f t="shared" si="99"/>
        <v>#N/A</v>
      </c>
      <c r="G2060" s="74">
        <v>32959</v>
      </c>
      <c r="H2060" s="77">
        <v>8.3333333333333329E-2</v>
      </c>
      <c r="J2060">
        <v>30.92</v>
      </c>
      <c r="M2060" s="74">
        <v>36612</v>
      </c>
      <c r="N2060" s="77">
        <v>8.3333333333333329E-2</v>
      </c>
      <c r="P2060">
        <v>37.4</v>
      </c>
      <c r="S2060" s="74">
        <v>38073</v>
      </c>
      <c r="T2060" s="77">
        <v>8.3333333333333329E-2</v>
      </c>
      <c r="V2060">
        <v>48.019999999999996</v>
      </c>
      <c r="X2060" s="42"/>
      <c r="AB2060">
        <v>41.6</v>
      </c>
      <c r="AC2060">
        <v>44.06</v>
      </c>
      <c r="AE2060" s="74"/>
      <c r="AF2060" s="77"/>
      <c r="AH2060" s="497">
        <v>33.799999999999997</v>
      </c>
      <c r="AJ2060" s="42"/>
      <c r="AK2060" s="74"/>
      <c r="AL2060" s="77"/>
      <c r="AN2060" s="497">
        <v>35.96</v>
      </c>
      <c r="AP2060" s="42"/>
      <c r="AQ2060" s="74"/>
      <c r="AR2060" s="77"/>
      <c r="AT2060" s="497">
        <v>50.36</v>
      </c>
      <c r="AV2060" s="42"/>
      <c r="AW2060" s="74"/>
      <c r="AX2060" s="77"/>
      <c r="BA2060" s="497">
        <v>23</v>
      </c>
      <c r="BB2060" s="42"/>
      <c r="BC2060" s="74"/>
      <c r="BD2060" s="77"/>
      <c r="BF2060">
        <v>19.939999999999998</v>
      </c>
      <c r="BH2060" s="42"/>
      <c r="BI2060" s="74"/>
      <c r="BJ2060" s="77"/>
      <c r="BL2060" s="497">
        <v>46.94</v>
      </c>
      <c r="BN2060" s="42"/>
      <c r="BO2060" s="74"/>
      <c r="BP2060" s="77"/>
      <c r="BR2060" s="497">
        <v>33.979999999999997</v>
      </c>
      <c r="BT2060" s="42"/>
    </row>
    <row r="2061" spans="1:72" x14ac:dyDescent="0.25">
      <c r="A2061" s="90">
        <v>38073</v>
      </c>
      <c r="B2061" s="20">
        <v>0.125</v>
      </c>
      <c r="D2061">
        <v>44.06</v>
      </c>
      <c r="E2061" t="str">
        <f t="shared" si="98"/>
        <v>SATURDAY</v>
      </c>
      <c r="F2061" t="e">
        <f t="shared" si="99"/>
        <v>#N/A</v>
      </c>
      <c r="G2061" s="74">
        <v>32959</v>
      </c>
      <c r="H2061" s="77">
        <v>0.125</v>
      </c>
      <c r="J2061">
        <v>30.02</v>
      </c>
      <c r="M2061" s="74">
        <v>36612</v>
      </c>
      <c r="N2061" s="77">
        <v>0.125</v>
      </c>
      <c r="P2061">
        <v>37.4</v>
      </c>
      <c r="S2061" s="74">
        <v>38073</v>
      </c>
      <c r="T2061" s="77">
        <v>0.125</v>
      </c>
      <c r="V2061">
        <v>46.94</v>
      </c>
      <c r="X2061" s="42"/>
      <c r="AB2061">
        <v>41.1</v>
      </c>
      <c r="AC2061">
        <v>44.06</v>
      </c>
      <c r="AE2061" s="74"/>
      <c r="AF2061" s="77"/>
      <c r="AH2061" s="497">
        <v>30.2</v>
      </c>
      <c r="AJ2061" s="42"/>
      <c r="AK2061" s="74"/>
      <c r="AL2061" s="77"/>
      <c r="AN2061" s="497">
        <v>35.96</v>
      </c>
      <c r="AP2061" s="42"/>
      <c r="AQ2061" s="74"/>
      <c r="AR2061" s="77"/>
      <c r="AT2061" s="497">
        <v>49.64</v>
      </c>
      <c r="AV2061" s="42"/>
      <c r="AW2061" s="74"/>
      <c r="AX2061" s="77"/>
      <c r="BA2061" s="497">
        <v>21.92</v>
      </c>
      <c r="BB2061" s="42"/>
      <c r="BC2061" s="74"/>
      <c r="BD2061" s="77"/>
      <c r="BF2061">
        <v>21.02</v>
      </c>
      <c r="BH2061" s="42"/>
      <c r="BI2061" s="74"/>
      <c r="BJ2061" s="77"/>
      <c r="BL2061" s="497">
        <v>46.94</v>
      </c>
      <c r="BN2061" s="42"/>
      <c r="BO2061" s="74"/>
      <c r="BP2061" s="77"/>
      <c r="BR2061" s="497">
        <v>33.08</v>
      </c>
      <c r="BT2061" s="42"/>
    </row>
    <row r="2062" spans="1:72" x14ac:dyDescent="0.25">
      <c r="A2062" s="90">
        <v>38073</v>
      </c>
      <c r="B2062" s="20">
        <v>0.16666666666666666</v>
      </c>
      <c r="D2062">
        <v>42.980000000000004</v>
      </c>
      <c r="E2062" t="str">
        <f t="shared" si="98"/>
        <v>SATURDAY</v>
      </c>
      <c r="F2062" t="e">
        <f t="shared" si="99"/>
        <v>#N/A</v>
      </c>
      <c r="G2062" s="74">
        <v>32959</v>
      </c>
      <c r="H2062" s="77">
        <v>0.16666666666666666</v>
      </c>
      <c r="J2062">
        <v>28.94</v>
      </c>
      <c r="M2062" s="74">
        <v>36612</v>
      </c>
      <c r="N2062" s="77">
        <v>0.16666666666666666</v>
      </c>
      <c r="P2062">
        <v>33.799999999999997</v>
      </c>
      <c r="S2062" s="74">
        <v>38073</v>
      </c>
      <c r="T2062" s="77">
        <v>0.16666666666666666</v>
      </c>
      <c r="V2062">
        <v>46.04</v>
      </c>
      <c r="X2062" s="42"/>
      <c r="AB2062">
        <v>40.6</v>
      </c>
      <c r="AC2062">
        <v>44.06</v>
      </c>
      <c r="AE2062" s="74"/>
      <c r="AF2062" s="77"/>
      <c r="AH2062" s="497">
        <v>28.4</v>
      </c>
      <c r="AJ2062" s="42"/>
      <c r="AK2062" s="74"/>
      <c r="AL2062" s="77"/>
      <c r="AN2062" s="497">
        <v>35.06</v>
      </c>
      <c r="AP2062" s="42"/>
      <c r="AQ2062" s="74"/>
      <c r="AR2062" s="77"/>
      <c r="AT2062" s="497">
        <v>48.92</v>
      </c>
      <c r="AV2062" s="42"/>
      <c r="AW2062" s="74"/>
      <c r="AX2062" s="77"/>
      <c r="BA2062" s="497">
        <v>21.92</v>
      </c>
      <c r="BB2062" s="42"/>
      <c r="BC2062" s="74"/>
      <c r="BD2062" s="77"/>
      <c r="BF2062">
        <v>21.92</v>
      </c>
      <c r="BH2062" s="42"/>
      <c r="BI2062" s="74"/>
      <c r="BJ2062" s="77"/>
      <c r="BL2062" s="497">
        <v>46.94</v>
      </c>
      <c r="BN2062" s="42"/>
      <c r="BO2062" s="74"/>
      <c r="BP2062" s="77"/>
      <c r="BR2062" s="497">
        <v>33.08</v>
      </c>
      <c r="BT2062" s="42"/>
    </row>
    <row r="2063" spans="1:72" x14ac:dyDescent="0.25">
      <c r="A2063" s="90">
        <v>38073</v>
      </c>
      <c r="B2063" s="20">
        <v>0.20833333333333334</v>
      </c>
      <c r="D2063">
        <v>42.08</v>
      </c>
      <c r="E2063" t="str">
        <f t="shared" si="98"/>
        <v>SATURDAY</v>
      </c>
      <c r="F2063" t="e">
        <f t="shared" si="99"/>
        <v>#N/A</v>
      </c>
      <c r="G2063" s="74">
        <v>32959</v>
      </c>
      <c r="H2063" s="77">
        <v>0.20833333333333334</v>
      </c>
      <c r="J2063">
        <v>28.94</v>
      </c>
      <c r="M2063" s="74">
        <v>36612</v>
      </c>
      <c r="N2063" s="77">
        <v>0.20833333333333334</v>
      </c>
      <c r="P2063">
        <v>33.799999999999997</v>
      </c>
      <c r="S2063" s="74">
        <v>38073</v>
      </c>
      <c r="T2063" s="77">
        <v>0.20833333333333334</v>
      </c>
      <c r="V2063">
        <v>46.04</v>
      </c>
      <c r="X2063" s="42"/>
      <c r="AB2063">
        <v>40.1</v>
      </c>
      <c r="AC2063">
        <v>44.06</v>
      </c>
      <c r="AE2063" s="74"/>
      <c r="AF2063" s="77"/>
      <c r="AH2063" s="497">
        <v>28.4</v>
      </c>
      <c r="AJ2063" s="42"/>
      <c r="AK2063" s="74"/>
      <c r="AL2063" s="77"/>
      <c r="AN2063" s="497">
        <v>33.08</v>
      </c>
      <c r="AP2063" s="42"/>
      <c r="AQ2063" s="74"/>
      <c r="AR2063" s="77"/>
      <c r="AT2063" s="497">
        <v>49.64</v>
      </c>
      <c r="AV2063" s="42"/>
      <c r="AW2063" s="74"/>
      <c r="AX2063" s="77"/>
      <c r="BA2063" s="497">
        <v>21.02</v>
      </c>
      <c r="BB2063" s="42"/>
      <c r="BC2063" s="74"/>
      <c r="BD2063" s="77"/>
      <c r="BF2063">
        <v>21.02</v>
      </c>
      <c r="BH2063" s="42"/>
      <c r="BI2063" s="74"/>
      <c r="BJ2063" s="77"/>
      <c r="BL2063" s="497">
        <v>44.96</v>
      </c>
      <c r="BN2063" s="42"/>
      <c r="BO2063" s="74"/>
      <c r="BP2063" s="77"/>
      <c r="BR2063" s="497">
        <v>33.979999999999997</v>
      </c>
      <c r="BT2063" s="42"/>
    </row>
    <row r="2064" spans="1:72" x14ac:dyDescent="0.25">
      <c r="A2064" s="90">
        <v>38073</v>
      </c>
      <c r="B2064" s="20">
        <v>0.25</v>
      </c>
      <c r="D2064">
        <v>41</v>
      </c>
      <c r="E2064" t="str">
        <f t="shared" si="98"/>
        <v>SATURDAY</v>
      </c>
      <c r="F2064" t="e">
        <f t="shared" si="99"/>
        <v>#N/A</v>
      </c>
      <c r="G2064" s="74">
        <v>32959</v>
      </c>
      <c r="H2064" s="77">
        <v>0.25</v>
      </c>
      <c r="J2064">
        <v>28.04</v>
      </c>
      <c r="M2064" s="74">
        <v>36612</v>
      </c>
      <c r="N2064" s="77">
        <v>0.25</v>
      </c>
      <c r="P2064">
        <v>33.799999999999997</v>
      </c>
      <c r="S2064" s="74">
        <v>38073</v>
      </c>
      <c r="T2064" s="77">
        <v>0.25</v>
      </c>
      <c r="V2064">
        <v>46.94</v>
      </c>
      <c r="X2064" s="42"/>
      <c r="AB2064">
        <v>39.9</v>
      </c>
      <c r="AC2064">
        <v>44.96</v>
      </c>
      <c r="AE2064" s="74"/>
      <c r="AF2064" s="77"/>
      <c r="AH2064" s="497">
        <v>28.4</v>
      </c>
      <c r="AJ2064" s="42"/>
      <c r="AK2064" s="74"/>
      <c r="AL2064" s="77"/>
      <c r="AN2064" s="497">
        <v>30.92</v>
      </c>
      <c r="AP2064" s="42"/>
      <c r="AQ2064" s="74"/>
      <c r="AR2064" s="77"/>
      <c r="AT2064" s="497">
        <v>50.36</v>
      </c>
      <c r="AV2064" s="42"/>
      <c r="AW2064" s="74"/>
      <c r="AX2064" s="77"/>
      <c r="BA2064" s="497">
        <v>17.96</v>
      </c>
      <c r="BB2064" s="42"/>
      <c r="BC2064" s="74"/>
      <c r="BD2064" s="77"/>
      <c r="BF2064">
        <v>21.02</v>
      </c>
      <c r="BH2064" s="42"/>
      <c r="BI2064" s="74"/>
      <c r="BJ2064" s="77"/>
      <c r="BL2064" s="497">
        <v>46.04</v>
      </c>
      <c r="BN2064" s="42"/>
      <c r="BO2064" s="74"/>
      <c r="BP2064" s="77"/>
      <c r="BR2064" s="497">
        <v>33.979999999999997</v>
      </c>
      <c r="BT2064" s="42"/>
    </row>
    <row r="2065" spans="1:72" x14ac:dyDescent="0.25">
      <c r="A2065" s="90">
        <v>38073</v>
      </c>
      <c r="B2065" s="20">
        <v>0.29166666666666669</v>
      </c>
      <c r="D2065">
        <v>42.980000000000004</v>
      </c>
      <c r="E2065" t="str">
        <f t="shared" si="98"/>
        <v>SATURDAY</v>
      </c>
      <c r="F2065" t="e">
        <f t="shared" si="99"/>
        <v>#N/A</v>
      </c>
      <c r="G2065" s="74">
        <v>32959</v>
      </c>
      <c r="H2065" s="77">
        <v>0.29166666666666669</v>
      </c>
      <c r="J2065">
        <v>28.04</v>
      </c>
      <c r="M2065" s="74">
        <v>36612</v>
      </c>
      <c r="N2065" s="77">
        <v>0.29166666666666669</v>
      </c>
      <c r="P2065">
        <v>39.200000000000003</v>
      </c>
      <c r="S2065" s="74">
        <v>38073</v>
      </c>
      <c r="T2065" s="77">
        <v>0.29166666666666669</v>
      </c>
      <c r="V2065">
        <v>46.94</v>
      </c>
      <c r="X2065" s="42"/>
      <c r="AB2065">
        <v>39.799999999999997</v>
      </c>
      <c r="AC2065">
        <v>44.96</v>
      </c>
      <c r="AE2065" s="74"/>
      <c r="AF2065" s="77"/>
      <c r="AH2065" s="497">
        <v>28.4</v>
      </c>
      <c r="AJ2065" s="42"/>
      <c r="AK2065" s="74"/>
      <c r="AL2065" s="77"/>
      <c r="AN2065" s="497">
        <v>30.02</v>
      </c>
      <c r="AP2065" s="42"/>
      <c r="AQ2065" s="74"/>
      <c r="AR2065" s="77"/>
      <c r="AT2065" s="497">
        <v>51.08</v>
      </c>
      <c r="AV2065" s="42"/>
      <c r="AW2065" s="74"/>
      <c r="AX2065" s="77"/>
      <c r="BA2065" s="497">
        <v>21.92</v>
      </c>
      <c r="BB2065" s="42"/>
      <c r="BC2065" s="74"/>
      <c r="BD2065" s="77"/>
      <c r="BF2065">
        <v>21.92</v>
      </c>
      <c r="BH2065" s="42"/>
      <c r="BI2065" s="74"/>
      <c r="BJ2065" s="77"/>
      <c r="BL2065" s="497">
        <v>44.96</v>
      </c>
      <c r="BN2065" s="42"/>
      <c r="BO2065" s="74"/>
      <c r="BP2065" s="77"/>
      <c r="BR2065" s="497">
        <v>35.96</v>
      </c>
      <c r="BT2065" s="42"/>
    </row>
    <row r="2066" spans="1:72" x14ac:dyDescent="0.25">
      <c r="A2066" s="90">
        <v>38073</v>
      </c>
      <c r="B2066" s="20">
        <v>0.33333333333333331</v>
      </c>
      <c r="D2066">
        <v>44.06</v>
      </c>
      <c r="E2066" t="str">
        <f t="shared" si="98"/>
        <v>SATURDAY</v>
      </c>
      <c r="F2066" t="e">
        <f t="shared" si="99"/>
        <v>#N/A</v>
      </c>
      <c r="G2066" s="74">
        <v>32959</v>
      </c>
      <c r="H2066" s="77">
        <v>0.33333333333333331</v>
      </c>
      <c r="J2066">
        <v>28.04</v>
      </c>
      <c r="M2066" s="74">
        <v>36612</v>
      </c>
      <c r="N2066" s="77">
        <v>0.33333333333333331</v>
      </c>
      <c r="P2066">
        <v>44.6</v>
      </c>
      <c r="S2066" s="74">
        <v>38073</v>
      </c>
      <c r="T2066" s="77">
        <v>0.33333333333333331</v>
      </c>
      <c r="V2066">
        <v>48.92</v>
      </c>
      <c r="X2066" s="42"/>
      <c r="AB2066">
        <v>41</v>
      </c>
      <c r="AC2066">
        <v>44.96</v>
      </c>
      <c r="AE2066" s="74"/>
      <c r="AF2066" s="77"/>
      <c r="AH2066" s="497">
        <v>39.200000000000003</v>
      </c>
      <c r="AJ2066" s="42"/>
      <c r="AK2066" s="74"/>
      <c r="AL2066" s="77"/>
      <c r="AN2066" s="497">
        <v>30.02</v>
      </c>
      <c r="AP2066" s="42"/>
      <c r="AQ2066" s="74"/>
      <c r="AR2066" s="77"/>
      <c r="AT2066" s="497">
        <v>54.32</v>
      </c>
      <c r="AV2066" s="42"/>
      <c r="AW2066" s="74"/>
      <c r="AX2066" s="77"/>
      <c r="BA2066" s="497">
        <v>23</v>
      </c>
      <c r="BB2066" s="42"/>
      <c r="BC2066" s="74"/>
      <c r="BD2066" s="77"/>
      <c r="BF2066">
        <v>24.98</v>
      </c>
      <c r="BH2066" s="42"/>
      <c r="BI2066" s="74"/>
      <c r="BJ2066" s="77"/>
      <c r="BL2066" s="497">
        <v>46.04</v>
      </c>
      <c r="BN2066" s="42"/>
      <c r="BO2066" s="74"/>
      <c r="BP2066" s="77"/>
      <c r="BR2066" s="497">
        <v>42.08</v>
      </c>
      <c r="BT2066" s="42"/>
    </row>
    <row r="2067" spans="1:72" x14ac:dyDescent="0.25">
      <c r="A2067" s="90">
        <v>38073</v>
      </c>
      <c r="B2067" s="20">
        <v>0.375</v>
      </c>
      <c r="D2067">
        <v>46.04</v>
      </c>
      <c r="E2067" t="str">
        <f t="shared" ref="E2067:E2130" si="100">IF(COUNTIF($DI$18:$DI$22, WEEKDAY(A2067))=1, "WEEKDAY", IF(WEEKDAY(A2067) = 1, "SUNDAY", "SATURDAY"))</f>
        <v>SATURDAY</v>
      </c>
      <c r="F2067" t="e">
        <f t="shared" si="99"/>
        <v>#N/A</v>
      </c>
      <c r="G2067" s="74">
        <v>32959</v>
      </c>
      <c r="H2067" s="77">
        <v>0.375</v>
      </c>
      <c r="J2067">
        <v>30.92</v>
      </c>
      <c r="M2067" s="74">
        <v>36612</v>
      </c>
      <c r="N2067" s="77">
        <v>0.375</v>
      </c>
      <c r="P2067">
        <v>48.2</v>
      </c>
      <c r="S2067" s="74">
        <v>38073</v>
      </c>
      <c r="T2067" s="77">
        <v>0.375</v>
      </c>
      <c r="V2067">
        <v>51.980000000000004</v>
      </c>
      <c r="X2067" s="42"/>
      <c r="AB2067">
        <v>42.8</v>
      </c>
      <c r="AC2067">
        <v>46.94</v>
      </c>
      <c r="AE2067" s="74"/>
      <c r="AF2067" s="77"/>
      <c r="AH2067" s="497">
        <v>46.4</v>
      </c>
      <c r="AJ2067" s="42"/>
      <c r="AK2067" s="74"/>
      <c r="AL2067" s="77"/>
      <c r="AN2067" s="497">
        <v>30.02</v>
      </c>
      <c r="AP2067" s="42"/>
      <c r="AQ2067" s="74"/>
      <c r="AR2067" s="77"/>
      <c r="AT2067" s="497">
        <v>57.74</v>
      </c>
      <c r="AV2067" s="42"/>
      <c r="AW2067" s="74"/>
      <c r="AX2067" s="77"/>
      <c r="BA2067" s="497">
        <v>24.08</v>
      </c>
      <c r="BB2067" s="42"/>
      <c r="BC2067" s="74"/>
      <c r="BD2067" s="77"/>
      <c r="BF2067">
        <v>26.060000000000002</v>
      </c>
      <c r="BH2067" s="42"/>
      <c r="BI2067" s="74"/>
      <c r="BJ2067" s="77"/>
      <c r="BL2067" s="497">
        <v>44.96</v>
      </c>
      <c r="BN2067" s="42"/>
      <c r="BO2067" s="74"/>
      <c r="BP2067" s="77"/>
      <c r="BR2067" s="497">
        <v>53.06</v>
      </c>
      <c r="BT2067" s="42"/>
    </row>
    <row r="2068" spans="1:72" x14ac:dyDescent="0.25">
      <c r="A2068" s="90">
        <v>38073</v>
      </c>
      <c r="B2068" s="20">
        <v>0.41666666666666669</v>
      </c>
      <c r="D2068">
        <v>46.04</v>
      </c>
      <c r="E2068" t="str">
        <f t="shared" si="100"/>
        <v>SATURDAY</v>
      </c>
      <c r="F2068" t="e">
        <f t="shared" si="99"/>
        <v>#N/A</v>
      </c>
      <c r="G2068" s="74">
        <v>32959</v>
      </c>
      <c r="H2068" s="77">
        <v>0.41666666666666669</v>
      </c>
      <c r="J2068">
        <v>32</v>
      </c>
      <c r="M2068" s="74">
        <v>36612</v>
      </c>
      <c r="N2068" s="77">
        <v>0.41666666666666669</v>
      </c>
      <c r="P2068">
        <v>50</v>
      </c>
      <c r="S2068" s="74">
        <v>38073</v>
      </c>
      <c r="T2068" s="77">
        <v>0.41666666666666669</v>
      </c>
      <c r="V2068">
        <v>53.06</v>
      </c>
      <c r="X2068" s="42"/>
      <c r="AB2068">
        <v>44.6</v>
      </c>
      <c r="AC2068">
        <v>46.94</v>
      </c>
      <c r="AE2068" s="74"/>
      <c r="AF2068" s="77"/>
      <c r="AH2068" s="497">
        <v>51.8</v>
      </c>
      <c r="AJ2068" s="42"/>
      <c r="AK2068" s="74"/>
      <c r="AL2068" s="77"/>
      <c r="AN2068" s="497">
        <v>28.94</v>
      </c>
      <c r="AP2068" s="42"/>
      <c r="AQ2068" s="74"/>
      <c r="AR2068" s="77"/>
      <c r="AT2068" s="497">
        <v>60.980000000000004</v>
      </c>
      <c r="AV2068" s="42"/>
      <c r="AW2068" s="74"/>
      <c r="AX2068" s="77"/>
      <c r="BA2068" s="497">
        <v>26.060000000000002</v>
      </c>
      <c r="BB2068" s="42"/>
      <c r="BC2068" s="74"/>
      <c r="BD2068" s="77"/>
      <c r="BF2068">
        <v>26.060000000000002</v>
      </c>
      <c r="BH2068" s="42"/>
      <c r="BI2068" s="74"/>
      <c r="BJ2068" s="77"/>
      <c r="BL2068" s="497">
        <v>42.08</v>
      </c>
      <c r="BN2068" s="42"/>
      <c r="BO2068" s="74"/>
      <c r="BP2068" s="77"/>
      <c r="BR2068" s="497">
        <v>57.019999999999996</v>
      </c>
      <c r="BT2068" s="42"/>
    </row>
    <row r="2069" spans="1:72" x14ac:dyDescent="0.25">
      <c r="A2069" s="90">
        <v>38073</v>
      </c>
      <c r="B2069" s="20">
        <v>0.45833333333333331</v>
      </c>
      <c r="D2069">
        <v>46.94</v>
      </c>
      <c r="E2069" t="str">
        <f t="shared" si="100"/>
        <v>SATURDAY</v>
      </c>
      <c r="F2069" t="e">
        <f t="shared" si="99"/>
        <v>#N/A</v>
      </c>
      <c r="G2069" s="74">
        <v>32959</v>
      </c>
      <c r="H2069" s="77">
        <v>0.45833333333333331</v>
      </c>
      <c r="J2069">
        <v>33.979999999999997</v>
      </c>
      <c r="M2069" s="74">
        <v>36612</v>
      </c>
      <c r="N2069" s="77">
        <v>0.45833333333333331</v>
      </c>
      <c r="P2069">
        <v>51.8</v>
      </c>
      <c r="S2069" s="74">
        <v>38073</v>
      </c>
      <c r="T2069" s="77">
        <v>0.45833333333333331</v>
      </c>
      <c r="V2069">
        <v>57.019999999999996</v>
      </c>
      <c r="X2069" s="42"/>
      <c r="AB2069">
        <v>46.2</v>
      </c>
      <c r="AC2069">
        <v>48.019999999999996</v>
      </c>
      <c r="AE2069" s="74"/>
      <c r="AF2069" s="77"/>
      <c r="AH2069" s="497">
        <v>55.400000000000006</v>
      </c>
      <c r="AJ2069" s="42"/>
      <c r="AK2069" s="74"/>
      <c r="AL2069" s="77"/>
      <c r="AN2069" s="497">
        <v>30.02</v>
      </c>
      <c r="AP2069" s="42"/>
      <c r="AQ2069" s="74"/>
      <c r="AR2069" s="77"/>
      <c r="AT2069" s="497">
        <v>62.96</v>
      </c>
      <c r="AV2069" s="42"/>
      <c r="AW2069" s="74"/>
      <c r="AX2069" s="77"/>
      <c r="BA2069" s="497">
        <v>26.96</v>
      </c>
      <c r="BB2069" s="42"/>
      <c r="BC2069" s="74"/>
      <c r="BD2069" s="77"/>
      <c r="BF2069">
        <v>28.04</v>
      </c>
      <c r="BH2069" s="42"/>
      <c r="BI2069" s="74"/>
      <c r="BJ2069" s="77"/>
      <c r="BL2069" s="497">
        <v>41</v>
      </c>
      <c r="BN2069" s="42"/>
      <c r="BO2069" s="74"/>
      <c r="BP2069" s="77"/>
      <c r="BR2069" s="497">
        <v>62.06</v>
      </c>
      <c r="BT2069" s="42"/>
    </row>
    <row r="2070" spans="1:72" x14ac:dyDescent="0.25">
      <c r="A2070" s="90">
        <v>38073</v>
      </c>
      <c r="B2070" s="20">
        <v>0.5</v>
      </c>
      <c r="D2070">
        <v>48.92</v>
      </c>
      <c r="E2070" t="str">
        <f t="shared" si="100"/>
        <v>SATURDAY</v>
      </c>
      <c r="F2070" t="e">
        <f t="shared" si="99"/>
        <v>#N/A</v>
      </c>
      <c r="G2070" s="74">
        <v>32959</v>
      </c>
      <c r="H2070" s="77">
        <v>0.5</v>
      </c>
      <c r="J2070">
        <v>37.04</v>
      </c>
      <c r="M2070" s="74">
        <v>36612</v>
      </c>
      <c r="N2070" s="77">
        <v>0.5</v>
      </c>
      <c r="P2070">
        <v>55.400000000000006</v>
      </c>
      <c r="S2070" s="74">
        <v>38073</v>
      </c>
      <c r="T2070" s="77">
        <v>0.5</v>
      </c>
      <c r="V2070">
        <v>62.06</v>
      </c>
      <c r="X2070" s="42"/>
      <c r="AB2070">
        <v>47.5</v>
      </c>
      <c r="AC2070">
        <v>48.92</v>
      </c>
      <c r="AE2070" s="74"/>
      <c r="AF2070" s="77"/>
      <c r="AH2070" s="497">
        <v>59</v>
      </c>
      <c r="AJ2070" s="42"/>
      <c r="AK2070" s="74"/>
      <c r="AL2070" s="77"/>
      <c r="AN2070" s="497">
        <v>30.02</v>
      </c>
      <c r="AP2070" s="42"/>
      <c r="AQ2070" s="74"/>
      <c r="AR2070" s="77"/>
      <c r="AT2070" s="497">
        <v>64.94</v>
      </c>
      <c r="AV2070" s="42"/>
      <c r="AW2070" s="74"/>
      <c r="AX2070" s="77"/>
      <c r="BA2070" s="497">
        <v>28.94</v>
      </c>
      <c r="BB2070" s="42"/>
      <c r="BC2070" s="74"/>
      <c r="BD2070" s="77"/>
      <c r="BF2070">
        <v>30.02</v>
      </c>
      <c r="BH2070" s="42"/>
      <c r="BI2070" s="74"/>
      <c r="BJ2070" s="77"/>
      <c r="BL2070" s="497">
        <v>41</v>
      </c>
      <c r="BN2070" s="42"/>
      <c r="BO2070" s="74"/>
      <c r="BP2070" s="77"/>
      <c r="BR2070" s="497">
        <v>64.94</v>
      </c>
      <c r="BT2070" s="42"/>
    </row>
    <row r="2071" spans="1:72" x14ac:dyDescent="0.25">
      <c r="A2071" s="90">
        <v>38073</v>
      </c>
      <c r="B2071" s="20">
        <v>0.54166666666666663</v>
      </c>
      <c r="D2071">
        <v>50</v>
      </c>
      <c r="E2071" t="str">
        <f t="shared" si="100"/>
        <v>SATURDAY</v>
      </c>
      <c r="F2071" t="e">
        <f t="shared" si="99"/>
        <v>#N/A</v>
      </c>
      <c r="G2071" s="74">
        <v>32959</v>
      </c>
      <c r="H2071" s="77">
        <v>0.54166666666666663</v>
      </c>
      <c r="J2071">
        <v>37.04</v>
      </c>
      <c r="M2071" s="74">
        <v>36612</v>
      </c>
      <c r="N2071" s="77">
        <v>0.54166666666666663</v>
      </c>
      <c r="P2071">
        <v>55.400000000000006</v>
      </c>
      <c r="S2071" s="74">
        <v>38073</v>
      </c>
      <c r="T2071" s="77">
        <v>0.54166666666666663</v>
      </c>
      <c r="V2071">
        <v>69.080000000000013</v>
      </c>
      <c r="X2071" s="42"/>
      <c r="AB2071">
        <v>48.5</v>
      </c>
      <c r="AC2071">
        <v>50</v>
      </c>
      <c r="AE2071" s="74"/>
      <c r="AF2071" s="77"/>
      <c r="AH2071" s="497">
        <v>57.2</v>
      </c>
      <c r="AJ2071" s="42"/>
      <c r="AK2071" s="74"/>
      <c r="AL2071" s="77"/>
      <c r="AN2071" s="497">
        <v>30.92</v>
      </c>
      <c r="AP2071" s="42"/>
      <c r="AQ2071" s="74"/>
      <c r="AR2071" s="77"/>
      <c r="AT2071" s="497">
        <v>66.92</v>
      </c>
      <c r="AV2071" s="42"/>
      <c r="AW2071" s="74"/>
      <c r="AX2071" s="77"/>
      <c r="BA2071" s="497">
        <v>26.96</v>
      </c>
      <c r="BB2071" s="42"/>
      <c r="BC2071" s="74"/>
      <c r="BD2071" s="77"/>
      <c r="BF2071">
        <v>30.02</v>
      </c>
      <c r="BH2071" s="42"/>
      <c r="BI2071" s="74"/>
      <c r="BJ2071" s="77"/>
      <c r="BL2071" s="497">
        <v>42.980000000000004</v>
      </c>
      <c r="BN2071" s="42"/>
      <c r="BO2071" s="74"/>
      <c r="BP2071" s="77"/>
      <c r="BR2071" s="497">
        <v>66.92</v>
      </c>
      <c r="BT2071" s="42"/>
    </row>
    <row r="2072" spans="1:72" x14ac:dyDescent="0.25">
      <c r="A2072" s="90">
        <v>38073</v>
      </c>
      <c r="B2072" s="20">
        <v>0.58333333333333337</v>
      </c>
      <c r="D2072">
        <v>51.980000000000004</v>
      </c>
      <c r="E2072" t="str">
        <f t="shared" si="100"/>
        <v>SATURDAY</v>
      </c>
      <c r="F2072" t="e">
        <f t="shared" si="99"/>
        <v>#N/A</v>
      </c>
      <c r="G2072" s="74">
        <v>32959</v>
      </c>
      <c r="H2072" s="77">
        <v>0.58333333333333337</v>
      </c>
      <c r="J2072">
        <v>37.94</v>
      </c>
      <c r="M2072" s="74">
        <v>36612</v>
      </c>
      <c r="N2072" s="77">
        <v>0.58333333333333337</v>
      </c>
      <c r="P2072">
        <v>55.400000000000006</v>
      </c>
      <c r="S2072" s="74">
        <v>38073</v>
      </c>
      <c r="T2072" s="77">
        <v>0.58333333333333337</v>
      </c>
      <c r="V2072">
        <v>69.98</v>
      </c>
      <c r="X2072" s="42"/>
      <c r="AB2072">
        <v>49.3</v>
      </c>
      <c r="AC2072">
        <v>50</v>
      </c>
      <c r="AE2072" s="74"/>
      <c r="AF2072" s="77"/>
      <c r="AH2072" s="497">
        <v>59</v>
      </c>
      <c r="AJ2072" s="42"/>
      <c r="AK2072" s="74"/>
      <c r="AL2072" s="77"/>
      <c r="AN2072" s="497">
        <v>32</v>
      </c>
      <c r="AP2072" s="42"/>
      <c r="AQ2072" s="74"/>
      <c r="AR2072" s="77"/>
      <c r="AT2072" s="497">
        <v>68</v>
      </c>
      <c r="AV2072" s="42"/>
      <c r="AW2072" s="74"/>
      <c r="AX2072" s="77"/>
      <c r="BA2072" s="497">
        <v>28.94</v>
      </c>
      <c r="BB2072" s="42"/>
      <c r="BC2072" s="74"/>
      <c r="BD2072" s="77"/>
      <c r="BF2072">
        <v>28.94</v>
      </c>
      <c r="BH2072" s="42"/>
      <c r="BI2072" s="74"/>
      <c r="BJ2072" s="77"/>
      <c r="BL2072" s="497">
        <v>39.019999999999996</v>
      </c>
      <c r="BN2072" s="42"/>
      <c r="BO2072" s="74"/>
      <c r="BP2072" s="77"/>
      <c r="BR2072" s="497">
        <v>68</v>
      </c>
      <c r="BT2072" s="42"/>
    </row>
    <row r="2073" spans="1:72" x14ac:dyDescent="0.25">
      <c r="A2073" s="90">
        <v>38073</v>
      </c>
      <c r="B2073" s="20">
        <v>0.625</v>
      </c>
      <c r="D2073">
        <v>53.06</v>
      </c>
      <c r="E2073" t="str">
        <f t="shared" si="100"/>
        <v>SATURDAY</v>
      </c>
      <c r="F2073" t="e">
        <f t="shared" si="99"/>
        <v>#N/A</v>
      </c>
      <c r="G2073" s="74">
        <v>32959</v>
      </c>
      <c r="H2073" s="77">
        <v>0.625</v>
      </c>
      <c r="J2073">
        <v>39.92</v>
      </c>
      <c r="M2073" s="74">
        <v>36612</v>
      </c>
      <c r="N2073" s="77">
        <v>0.625</v>
      </c>
      <c r="P2073">
        <v>55.400000000000006</v>
      </c>
      <c r="S2073" s="74">
        <v>38073</v>
      </c>
      <c r="T2073" s="77">
        <v>0.625</v>
      </c>
      <c r="V2073">
        <v>66.92</v>
      </c>
      <c r="X2073" s="42"/>
      <c r="AB2073">
        <v>49.5</v>
      </c>
      <c r="AC2073">
        <v>51.08</v>
      </c>
      <c r="AE2073" s="74"/>
      <c r="AF2073" s="77"/>
      <c r="AH2073" s="497">
        <v>57.2</v>
      </c>
      <c r="AJ2073" s="42"/>
      <c r="AK2073" s="74"/>
      <c r="AL2073" s="77"/>
      <c r="AN2073" s="497">
        <v>32</v>
      </c>
      <c r="AP2073" s="42"/>
      <c r="AQ2073" s="74"/>
      <c r="AR2073" s="77"/>
      <c r="AT2073" s="497">
        <v>68.900000000000006</v>
      </c>
      <c r="AV2073" s="42"/>
      <c r="AW2073" s="74"/>
      <c r="AX2073" s="77"/>
      <c r="BA2073" s="497">
        <v>30.02</v>
      </c>
      <c r="BB2073" s="42"/>
      <c r="BC2073" s="74"/>
      <c r="BD2073" s="77"/>
      <c r="BF2073">
        <v>28.94</v>
      </c>
      <c r="BH2073" s="42"/>
      <c r="BI2073" s="74"/>
      <c r="BJ2073" s="77"/>
      <c r="BL2073" s="497">
        <v>39.92</v>
      </c>
      <c r="BN2073" s="42"/>
      <c r="BO2073" s="74"/>
      <c r="BP2073" s="77"/>
      <c r="BR2073" s="497">
        <v>69.080000000000013</v>
      </c>
      <c r="BT2073" s="42"/>
    </row>
    <row r="2074" spans="1:72" x14ac:dyDescent="0.25">
      <c r="A2074" s="90">
        <v>38073</v>
      </c>
      <c r="B2074" s="20">
        <v>0.66666666666666663</v>
      </c>
      <c r="D2074">
        <v>53.06</v>
      </c>
      <c r="E2074" t="str">
        <f t="shared" si="100"/>
        <v>SATURDAY</v>
      </c>
      <c r="F2074" t="e">
        <f t="shared" si="99"/>
        <v>#N/A</v>
      </c>
      <c r="G2074" s="74">
        <v>32959</v>
      </c>
      <c r="H2074" s="77">
        <v>0.66666666666666663</v>
      </c>
      <c r="J2074">
        <v>41</v>
      </c>
      <c r="M2074" s="74">
        <v>36612</v>
      </c>
      <c r="N2074" s="77">
        <v>0.66666666666666663</v>
      </c>
      <c r="P2074">
        <v>55.400000000000006</v>
      </c>
      <c r="S2074" s="74">
        <v>38073</v>
      </c>
      <c r="T2074" s="77">
        <v>0.66666666666666663</v>
      </c>
      <c r="V2074">
        <v>71.960000000000008</v>
      </c>
      <c r="X2074" s="42"/>
      <c r="AB2074">
        <v>49.5</v>
      </c>
      <c r="AC2074">
        <v>51.08</v>
      </c>
      <c r="AE2074" s="74"/>
      <c r="AF2074" s="77"/>
      <c r="AH2074" s="497">
        <v>57.2</v>
      </c>
      <c r="AJ2074" s="42"/>
      <c r="AK2074" s="74"/>
      <c r="AL2074" s="77"/>
      <c r="AN2074" s="497">
        <v>30.92</v>
      </c>
      <c r="AP2074" s="42"/>
      <c r="AQ2074" s="74"/>
      <c r="AR2074" s="77"/>
      <c r="AT2074" s="497">
        <v>69.98</v>
      </c>
      <c r="AV2074" s="42"/>
      <c r="AW2074" s="74"/>
      <c r="AX2074" s="77"/>
      <c r="BA2074" s="497">
        <v>32</v>
      </c>
      <c r="BB2074" s="42"/>
      <c r="BC2074" s="74"/>
      <c r="BD2074" s="77"/>
      <c r="BF2074">
        <v>30.92</v>
      </c>
      <c r="BH2074" s="42"/>
      <c r="BI2074" s="74"/>
      <c r="BJ2074" s="77"/>
      <c r="BL2074" s="497">
        <v>37.94</v>
      </c>
      <c r="BN2074" s="42"/>
      <c r="BO2074" s="74"/>
      <c r="BP2074" s="77"/>
      <c r="BR2074" s="497">
        <v>68</v>
      </c>
      <c r="BT2074" s="42"/>
    </row>
    <row r="2075" spans="1:72" x14ac:dyDescent="0.25">
      <c r="A2075" s="90">
        <v>38073</v>
      </c>
      <c r="B2075" s="20">
        <v>0.70833333333333337</v>
      </c>
      <c r="D2075">
        <v>53.06</v>
      </c>
      <c r="E2075" t="str">
        <f t="shared" si="100"/>
        <v>SATURDAY</v>
      </c>
      <c r="F2075" t="e">
        <f t="shared" si="99"/>
        <v>#N/A</v>
      </c>
      <c r="G2075" s="74">
        <v>32959</v>
      </c>
      <c r="H2075" s="77">
        <v>0.70833333333333337</v>
      </c>
      <c r="J2075">
        <v>39.92</v>
      </c>
      <c r="M2075" s="74">
        <v>36612</v>
      </c>
      <c r="N2075" s="77">
        <v>0.70833333333333337</v>
      </c>
      <c r="P2075">
        <v>53.6</v>
      </c>
      <c r="S2075" s="74">
        <v>38073</v>
      </c>
      <c r="T2075" s="77">
        <v>0.70833333333333337</v>
      </c>
      <c r="V2075">
        <v>69.98</v>
      </c>
      <c r="X2075" s="42"/>
      <c r="AB2075">
        <v>49</v>
      </c>
      <c r="AC2075">
        <v>51.08</v>
      </c>
      <c r="AE2075" s="74"/>
      <c r="AF2075" s="77"/>
      <c r="AH2075" s="497">
        <v>57.2</v>
      </c>
      <c r="AJ2075" s="42"/>
      <c r="AK2075" s="74"/>
      <c r="AL2075" s="77"/>
      <c r="AN2075" s="497">
        <v>30.92</v>
      </c>
      <c r="AP2075" s="42"/>
      <c r="AQ2075" s="74"/>
      <c r="AR2075" s="77"/>
      <c r="AT2075" s="497">
        <v>66.740000000000009</v>
      </c>
      <c r="AV2075" s="42"/>
      <c r="AW2075" s="74"/>
      <c r="AX2075" s="77"/>
      <c r="BA2075" s="497">
        <v>30.92</v>
      </c>
      <c r="BB2075" s="42"/>
      <c r="BC2075" s="74"/>
      <c r="BD2075" s="77"/>
      <c r="BF2075">
        <v>30.02</v>
      </c>
      <c r="BH2075" s="42"/>
      <c r="BI2075" s="74"/>
      <c r="BJ2075" s="77"/>
      <c r="BL2075" s="497">
        <v>37.94</v>
      </c>
      <c r="BN2075" s="42"/>
      <c r="BO2075" s="74"/>
      <c r="BP2075" s="77"/>
      <c r="BR2075" s="497">
        <v>66.02</v>
      </c>
      <c r="BT2075" s="42"/>
    </row>
    <row r="2076" spans="1:72" x14ac:dyDescent="0.25">
      <c r="A2076" s="90">
        <v>38073</v>
      </c>
      <c r="B2076" s="20">
        <v>0.75</v>
      </c>
      <c r="D2076">
        <v>51.980000000000004</v>
      </c>
      <c r="E2076" t="str">
        <f t="shared" si="100"/>
        <v>SATURDAY</v>
      </c>
      <c r="F2076" t="e">
        <f t="shared" si="99"/>
        <v>#N/A</v>
      </c>
      <c r="G2076" s="74">
        <v>32959</v>
      </c>
      <c r="H2076" s="77">
        <v>0.75</v>
      </c>
      <c r="J2076">
        <v>39.019999999999996</v>
      </c>
      <c r="M2076" s="74">
        <v>36612</v>
      </c>
      <c r="N2076" s="77">
        <v>0.75</v>
      </c>
      <c r="P2076">
        <v>51.8</v>
      </c>
      <c r="S2076" s="74">
        <v>38073</v>
      </c>
      <c r="T2076" s="77">
        <v>0.75</v>
      </c>
      <c r="V2076">
        <v>66.02</v>
      </c>
      <c r="X2076" s="42"/>
      <c r="AB2076">
        <v>48</v>
      </c>
      <c r="AC2076">
        <v>50</v>
      </c>
      <c r="AE2076" s="74"/>
      <c r="AF2076" s="77"/>
      <c r="AH2076" s="497">
        <v>55.400000000000006</v>
      </c>
      <c r="AJ2076" s="42"/>
      <c r="AK2076" s="74"/>
      <c r="AL2076" s="77"/>
      <c r="AN2076" s="497">
        <v>30.92</v>
      </c>
      <c r="AP2076" s="42"/>
      <c r="AQ2076" s="74"/>
      <c r="AR2076" s="77"/>
      <c r="AT2076" s="497">
        <v>63.319999999999993</v>
      </c>
      <c r="AV2076" s="42"/>
      <c r="AW2076" s="74"/>
      <c r="AX2076" s="77"/>
      <c r="BA2076" s="497">
        <v>28.94</v>
      </c>
      <c r="BB2076" s="42"/>
      <c r="BC2076" s="74"/>
      <c r="BD2076" s="77"/>
      <c r="BF2076">
        <v>30.92</v>
      </c>
      <c r="BH2076" s="42"/>
      <c r="BI2076" s="74"/>
      <c r="BJ2076" s="77"/>
      <c r="BL2076" s="497">
        <v>39.019999999999996</v>
      </c>
      <c r="BN2076" s="42"/>
      <c r="BO2076" s="74"/>
      <c r="BP2076" s="77"/>
      <c r="BR2076" s="497">
        <v>62.06</v>
      </c>
      <c r="BT2076" s="42"/>
    </row>
    <row r="2077" spans="1:72" x14ac:dyDescent="0.25">
      <c r="A2077" s="90">
        <v>38073</v>
      </c>
      <c r="B2077" s="20">
        <v>0.79166666666666663</v>
      </c>
      <c r="D2077">
        <v>50</v>
      </c>
      <c r="E2077" t="str">
        <f t="shared" si="100"/>
        <v>SATURDAY</v>
      </c>
      <c r="F2077" t="e">
        <f t="shared" si="99"/>
        <v>#N/A</v>
      </c>
      <c r="G2077" s="74">
        <v>32959</v>
      </c>
      <c r="H2077" s="77">
        <v>0.79166666666666663</v>
      </c>
      <c r="J2077">
        <v>37.94</v>
      </c>
      <c r="M2077" s="74">
        <v>36612</v>
      </c>
      <c r="N2077" s="77">
        <v>0.79166666666666663</v>
      </c>
      <c r="P2077">
        <v>51.8</v>
      </c>
      <c r="S2077" s="74">
        <v>38073</v>
      </c>
      <c r="T2077" s="77">
        <v>0.79166666666666663</v>
      </c>
      <c r="V2077">
        <v>64.94</v>
      </c>
      <c r="X2077" s="42"/>
      <c r="AB2077">
        <v>46.7</v>
      </c>
      <c r="AC2077">
        <v>48.92</v>
      </c>
      <c r="AE2077" s="74"/>
      <c r="AF2077" s="77"/>
      <c r="AH2077" s="497">
        <v>53.6</v>
      </c>
      <c r="AJ2077" s="42"/>
      <c r="AK2077" s="74"/>
      <c r="AL2077" s="77"/>
      <c r="AN2077" s="497">
        <v>30.02</v>
      </c>
      <c r="AP2077" s="42"/>
      <c r="AQ2077" s="74"/>
      <c r="AR2077" s="77"/>
      <c r="AT2077" s="497">
        <v>60.08</v>
      </c>
      <c r="AV2077" s="42"/>
      <c r="AW2077" s="74"/>
      <c r="AX2077" s="77"/>
      <c r="BA2077" s="497">
        <v>26.96</v>
      </c>
      <c r="BB2077" s="42"/>
      <c r="BC2077" s="74"/>
      <c r="BD2077" s="77"/>
      <c r="BF2077">
        <v>30.02</v>
      </c>
      <c r="BH2077" s="42"/>
      <c r="BI2077" s="74"/>
      <c r="BJ2077" s="77"/>
      <c r="BL2077" s="497">
        <v>39.019999999999996</v>
      </c>
      <c r="BN2077" s="42"/>
      <c r="BO2077" s="74"/>
      <c r="BP2077" s="77"/>
      <c r="BR2077" s="497">
        <v>53.96</v>
      </c>
      <c r="BT2077" s="42"/>
    </row>
    <row r="2078" spans="1:72" x14ac:dyDescent="0.25">
      <c r="A2078" s="90">
        <v>38073</v>
      </c>
      <c r="B2078" s="20">
        <v>0.83333333333333337</v>
      </c>
      <c r="D2078">
        <v>50</v>
      </c>
      <c r="E2078" t="str">
        <f t="shared" si="100"/>
        <v>SATURDAY</v>
      </c>
      <c r="F2078" t="e">
        <f t="shared" si="99"/>
        <v>#N/A</v>
      </c>
      <c r="G2078" s="74">
        <v>32959</v>
      </c>
      <c r="H2078" s="77">
        <v>0.83333333333333337</v>
      </c>
      <c r="J2078">
        <v>37.04</v>
      </c>
      <c r="M2078" s="74">
        <v>36612</v>
      </c>
      <c r="N2078" s="77">
        <v>0.83333333333333337</v>
      </c>
      <c r="P2078">
        <v>50</v>
      </c>
      <c r="S2078" s="74">
        <v>38073</v>
      </c>
      <c r="T2078" s="77">
        <v>0.83333333333333337</v>
      </c>
      <c r="V2078">
        <v>60.980000000000004</v>
      </c>
      <c r="X2078" s="42"/>
      <c r="AB2078">
        <v>45.6</v>
      </c>
      <c r="AC2078">
        <v>48.019999999999996</v>
      </c>
      <c r="AE2078" s="74"/>
      <c r="AF2078" s="77"/>
      <c r="AH2078" s="497">
        <v>51.8</v>
      </c>
      <c r="AJ2078" s="42"/>
      <c r="AK2078" s="74"/>
      <c r="AL2078" s="77"/>
      <c r="AN2078" s="497">
        <v>30.02</v>
      </c>
      <c r="AP2078" s="42"/>
      <c r="AQ2078" s="74"/>
      <c r="AR2078" s="77"/>
      <c r="AT2078" s="497">
        <v>58.64</v>
      </c>
      <c r="AV2078" s="42"/>
      <c r="AW2078" s="74"/>
      <c r="AX2078" s="77"/>
      <c r="BA2078" s="497">
        <v>24.98</v>
      </c>
      <c r="BB2078" s="42"/>
      <c r="BC2078" s="74"/>
      <c r="BD2078" s="77"/>
      <c r="BF2078">
        <v>28.94</v>
      </c>
      <c r="BH2078" s="42"/>
      <c r="BI2078" s="74"/>
      <c r="BJ2078" s="77"/>
      <c r="BL2078" s="497">
        <v>37.94</v>
      </c>
      <c r="BN2078" s="42"/>
      <c r="BO2078" s="74"/>
      <c r="BP2078" s="77"/>
      <c r="BR2078" s="497">
        <v>57.92</v>
      </c>
      <c r="BT2078" s="42"/>
    </row>
    <row r="2079" spans="1:72" x14ac:dyDescent="0.25">
      <c r="A2079" s="90">
        <v>38073</v>
      </c>
      <c r="B2079" s="20">
        <v>0.875</v>
      </c>
      <c r="D2079">
        <v>48.92</v>
      </c>
      <c r="E2079" t="str">
        <f t="shared" si="100"/>
        <v>SATURDAY</v>
      </c>
      <c r="F2079" t="e">
        <f t="shared" si="99"/>
        <v>#N/A</v>
      </c>
      <c r="G2079" s="74">
        <v>32959</v>
      </c>
      <c r="H2079" s="77">
        <v>0.875</v>
      </c>
      <c r="J2079">
        <v>35.96</v>
      </c>
      <c r="M2079" s="74">
        <v>36612</v>
      </c>
      <c r="N2079" s="77">
        <v>0.875</v>
      </c>
      <c r="P2079">
        <v>50</v>
      </c>
      <c r="S2079" s="74">
        <v>38073</v>
      </c>
      <c r="T2079" s="77">
        <v>0.875</v>
      </c>
      <c r="V2079">
        <v>57.92</v>
      </c>
      <c r="X2079" s="42"/>
      <c r="AB2079">
        <v>45.1</v>
      </c>
      <c r="AC2079">
        <v>48.019999999999996</v>
      </c>
      <c r="AE2079" s="74"/>
      <c r="AF2079" s="77"/>
      <c r="AH2079" s="497">
        <v>51.8</v>
      </c>
      <c r="AJ2079" s="42"/>
      <c r="AK2079" s="74"/>
      <c r="AL2079" s="77"/>
      <c r="AN2079" s="497">
        <v>30.02</v>
      </c>
      <c r="AP2079" s="42"/>
      <c r="AQ2079" s="74"/>
      <c r="AR2079" s="77"/>
      <c r="AT2079" s="497">
        <v>57.379999999999995</v>
      </c>
      <c r="AV2079" s="42"/>
      <c r="AW2079" s="74"/>
      <c r="AX2079" s="77"/>
      <c r="BA2079" s="497">
        <v>24.98</v>
      </c>
      <c r="BB2079" s="42"/>
      <c r="BC2079" s="74"/>
      <c r="BD2079" s="77"/>
      <c r="BF2079">
        <v>28.94</v>
      </c>
      <c r="BH2079" s="42"/>
      <c r="BI2079" s="74"/>
      <c r="BJ2079" s="77"/>
      <c r="BL2079" s="497">
        <v>37.94</v>
      </c>
      <c r="BN2079" s="42"/>
      <c r="BO2079" s="74"/>
      <c r="BP2079" s="77"/>
      <c r="BR2079" s="497">
        <v>55.040000000000006</v>
      </c>
      <c r="BT2079" s="42"/>
    </row>
    <row r="2080" spans="1:72" x14ac:dyDescent="0.25">
      <c r="A2080" s="90">
        <v>38073</v>
      </c>
      <c r="B2080" s="20">
        <v>0.91666666666666663</v>
      </c>
      <c r="D2080">
        <v>48.92</v>
      </c>
      <c r="E2080" t="str">
        <f t="shared" si="100"/>
        <v>SATURDAY</v>
      </c>
      <c r="F2080" t="e">
        <f t="shared" si="99"/>
        <v>#N/A</v>
      </c>
      <c r="G2080" s="74">
        <v>32959</v>
      </c>
      <c r="H2080" s="77">
        <v>0.91666666666666663</v>
      </c>
      <c r="J2080">
        <v>35.96</v>
      </c>
      <c r="M2080" s="74">
        <v>36612</v>
      </c>
      <c r="N2080" s="77">
        <v>0.91666666666666663</v>
      </c>
      <c r="P2080">
        <v>50</v>
      </c>
      <c r="S2080" s="74">
        <v>38073</v>
      </c>
      <c r="T2080" s="77">
        <v>0.91666666666666663</v>
      </c>
      <c r="V2080">
        <v>55.040000000000006</v>
      </c>
      <c r="X2080" s="42"/>
      <c r="AB2080">
        <v>44.5</v>
      </c>
      <c r="AC2080">
        <v>48.019999999999996</v>
      </c>
      <c r="AE2080" s="74"/>
      <c r="AF2080" s="77"/>
      <c r="AH2080" s="497">
        <v>51.8</v>
      </c>
      <c r="AJ2080" s="42"/>
      <c r="AK2080" s="74"/>
      <c r="AL2080" s="77"/>
      <c r="AN2080" s="497">
        <v>28.94</v>
      </c>
      <c r="AP2080" s="42"/>
      <c r="AQ2080" s="74"/>
      <c r="AR2080" s="77"/>
      <c r="AT2080" s="497">
        <v>55.94</v>
      </c>
      <c r="AV2080" s="42"/>
      <c r="AW2080" s="74"/>
      <c r="AX2080" s="77"/>
      <c r="BA2080" s="497">
        <v>24.08</v>
      </c>
      <c r="BB2080" s="42"/>
      <c r="BC2080" s="74"/>
      <c r="BD2080" s="77"/>
      <c r="BF2080">
        <v>28.04</v>
      </c>
      <c r="BH2080" s="42"/>
      <c r="BI2080" s="74"/>
      <c r="BJ2080" s="77"/>
      <c r="BL2080" s="497">
        <v>37.94</v>
      </c>
      <c r="BN2080" s="42"/>
      <c r="BO2080" s="74"/>
      <c r="BP2080" s="77"/>
      <c r="BR2080" s="497">
        <v>53.96</v>
      </c>
      <c r="BT2080" s="42"/>
    </row>
    <row r="2081" spans="1:72" x14ac:dyDescent="0.25">
      <c r="A2081" s="90">
        <v>38073</v>
      </c>
      <c r="B2081" s="20">
        <v>0.95833333333333337</v>
      </c>
      <c r="D2081">
        <v>48.019999999999996</v>
      </c>
      <c r="E2081" t="str">
        <f t="shared" si="100"/>
        <v>SATURDAY</v>
      </c>
      <c r="F2081" t="e">
        <f t="shared" si="99"/>
        <v>#N/A</v>
      </c>
      <c r="G2081" s="74">
        <v>32959</v>
      </c>
      <c r="H2081" s="77">
        <v>0.95833333333333337</v>
      </c>
      <c r="J2081">
        <v>35.06</v>
      </c>
      <c r="M2081" s="74">
        <v>36612</v>
      </c>
      <c r="N2081" s="77">
        <v>0.95833333333333337</v>
      </c>
      <c r="P2081">
        <v>51.8</v>
      </c>
      <c r="S2081" s="74">
        <v>38073</v>
      </c>
      <c r="T2081" s="77">
        <v>0.95833333333333337</v>
      </c>
      <c r="V2081">
        <v>53.06</v>
      </c>
      <c r="X2081" s="42"/>
      <c r="AB2081">
        <v>43.9</v>
      </c>
      <c r="AC2081">
        <v>48.019999999999996</v>
      </c>
      <c r="AE2081" s="74"/>
      <c r="AF2081" s="77"/>
      <c r="AH2081" s="497">
        <v>50</v>
      </c>
      <c r="AJ2081" s="42"/>
      <c r="AK2081" s="74"/>
      <c r="AL2081" s="77"/>
      <c r="AN2081" s="497">
        <v>28.04</v>
      </c>
      <c r="AP2081" s="42"/>
      <c r="AQ2081" s="74"/>
      <c r="AR2081" s="77"/>
      <c r="AT2081" s="497">
        <v>55.22</v>
      </c>
      <c r="AV2081" s="42"/>
      <c r="AW2081" s="74"/>
      <c r="AX2081" s="77"/>
      <c r="BA2081" s="497">
        <v>21.92</v>
      </c>
      <c r="BB2081" s="42"/>
      <c r="BC2081" s="74"/>
      <c r="BD2081" s="77"/>
      <c r="BF2081">
        <v>26.96</v>
      </c>
      <c r="BH2081" s="42"/>
      <c r="BI2081" s="74"/>
      <c r="BJ2081" s="77"/>
      <c r="BL2081" s="497">
        <v>37.04</v>
      </c>
      <c r="BN2081" s="42"/>
      <c r="BO2081" s="74"/>
      <c r="BP2081" s="77"/>
      <c r="BR2081" s="497">
        <v>53.96</v>
      </c>
      <c r="BT2081" s="42"/>
    </row>
    <row r="2082" spans="1:72" x14ac:dyDescent="0.25">
      <c r="A2082" s="90">
        <v>38073</v>
      </c>
      <c r="B2082" s="20">
        <v>1</v>
      </c>
      <c r="D2082">
        <v>46.94</v>
      </c>
      <c r="E2082" t="str">
        <f t="shared" si="100"/>
        <v>SATURDAY</v>
      </c>
      <c r="F2082" t="e">
        <f t="shared" si="99"/>
        <v>#N/A</v>
      </c>
      <c r="G2082" s="74">
        <v>32959</v>
      </c>
      <c r="H2082" s="77">
        <v>1</v>
      </c>
      <c r="J2082">
        <v>33.979999999999997</v>
      </c>
      <c r="M2082" s="74">
        <v>36612</v>
      </c>
      <c r="N2082" s="80">
        <v>1</v>
      </c>
      <c r="P2082">
        <v>53.6</v>
      </c>
      <c r="S2082" s="74">
        <v>38073</v>
      </c>
      <c r="T2082" s="80">
        <v>1</v>
      </c>
      <c r="V2082">
        <v>51.980000000000004</v>
      </c>
      <c r="X2082" s="42"/>
      <c r="AB2082">
        <v>43.3</v>
      </c>
      <c r="AC2082">
        <v>48.92</v>
      </c>
      <c r="AE2082" s="74"/>
      <c r="AF2082" s="80"/>
      <c r="AH2082" s="497">
        <v>50</v>
      </c>
      <c r="AJ2082" s="42"/>
      <c r="AK2082" s="74"/>
      <c r="AL2082" s="80"/>
      <c r="AN2082" s="497">
        <v>26.96</v>
      </c>
      <c r="AP2082" s="42"/>
      <c r="AQ2082" s="74"/>
      <c r="AR2082" s="80"/>
      <c r="AT2082" s="497">
        <v>54.68</v>
      </c>
      <c r="AV2082" s="42"/>
      <c r="AW2082" s="74"/>
      <c r="AX2082" s="80"/>
      <c r="BA2082" s="497">
        <v>23</v>
      </c>
      <c r="BB2082" s="42"/>
      <c r="BC2082" s="74"/>
      <c r="BD2082" s="80"/>
      <c r="BF2082">
        <v>26.96</v>
      </c>
      <c r="BH2082" s="42"/>
      <c r="BI2082" s="74"/>
      <c r="BJ2082" s="80"/>
      <c r="BL2082" s="497">
        <v>37.04</v>
      </c>
      <c r="BN2082" s="42"/>
      <c r="BO2082" s="74"/>
      <c r="BP2082" s="80"/>
      <c r="BR2082" s="497">
        <v>53.96</v>
      </c>
      <c r="BT2082" s="42"/>
    </row>
    <row r="2083" spans="1:72" x14ac:dyDescent="0.25">
      <c r="A2083" s="90">
        <v>38074</v>
      </c>
      <c r="B2083" s="20">
        <v>4.1666666666666664E-2</v>
      </c>
      <c r="D2083">
        <v>46.04</v>
      </c>
      <c r="E2083" t="str">
        <f t="shared" si="100"/>
        <v>SUNDAY</v>
      </c>
      <c r="F2083" t="e">
        <f t="shared" si="99"/>
        <v>#N/A</v>
      </c>
      <c r="G2083" s="74">
        <v>32960</v>
      </c>
      <c r="H2083" s="77">
        <v>4.1666666666666664E-2</v>
      </c>
      <c r="J2083">
        <v>33.979999999999997</v>
      </c>
      <c r="M2083" s="74">
        <v>36613</v>
      </c>
      <c r="N2083" s="77">
        <v>4.1666666666666664E-2</v>
      </c>
      <c r="P2083">
        <v>53.6</v>
      </c>
      <c r="S2083" s="74">
        <v>38074</v>
      </c>
      <c r="T2083" s="77">
        <v>4.1666666666666664E-2</v>
      </c>
      <c r="V2083">
        <v>51.980000000000004</v>
      </c>
      <c r="X2083" s="42"/>
      <c r="AB2083">
        <v>42.7</v>
      </c>
      <c r="AC2083">
        <v>51.08</v>
      </c>
      <c r="AE2083" s="74"/>
      <c r="AF2083" s="77"/>
      <c r="AH2083" s="497">
        <v>53.6</v>
      </c>
      <c r="AJ2083" s="42"/>
      <c r="AK2083" s="74"/>
      <c r="AL2083" s="77"/>
      <c r="AN2083" s="497">
        <v>26.96</v>
      </c>
      <c r="AP2083" s="42"/>
      <c r="AQ2083" s="74"/>
      <c r="AR2083" s="77"/>
      <c r="AT2083" s="497">
        <v>53.96</v>
      </c>
      <c r="AV2083" s="42"/>
      <c r="AW2083" s="74"/>
      <c r="AX2083" s="77"/>
      <c r="BA2083" s="497">
        <v>24.08</v>
      </c>
      <c r="BB2083" s="42"/>
      <c r="BC2083" s="74"/>
      <c r="BD2083" s="77"/>
      <c r="BF2083">
        <v>26.96</v>
      </c>
      <c r="BH2083" s="42"/>
      <c r="BI2083" s="74"/>
      <c r="BJ2083" s="77"/>
      <c r="BL2083" s="497">
        <v>35.96</v>
      </c>
      <c r="BN2083" s="42"/>
      <c r="BO2083" s="74"/>
      <c r="BP2083" s="77"/>
      <c r="BR2083" s="497">
        <v>51.980000000000004</v>
      </c>
      <c r="BT2083" s="42"/>
    </row>
    <row r="2084" spans="1:72" x14ac:dyDescent="0.25">
      <c r="A2084" s="90">
        <v>38074</v>
      </c>
      <c r="B2084" s="20">
        <v>8.3333333333333329E-2</v>
      </c>
      <c r="D2084">
        <v>44.06</v>
      </c>
      <c r="E2084" t="str">
        <f t="shared" si="100"/>
        <v>SUNDAY</v>
      </c>
      <c r="F2084" t="e">
        <f t="shared" si="99"/>
        <v>#N/A</v>
      </c>
      <c r="G2084" s="74">
        <v>32960</v>
      </c>
      <c r="H2084" s="77">
        <v>8.3333333333333329E-2</v>
      </c>
      <c r="J2084">
        <v>33.08</v>
      </c>
      <c r="M2084" s="74">
        <v>36613</v>
      </c>
      <c r="N2084" s="77">
        <v>8.3333333333333329E-2</v>
      </c>
      <c r="P2084">
        <v>53.6</v>
      </c>
      <c r="S2084" s="74">
        <v>38074</v>
      </c>
      <c r="T2084" s="77">
        <v>8.3333333333333329E-2</v>
      </c>
      <c r="V2084">
        <v>51.08</v>
      </c>
      <c r="X2084" s="42"/>
      <c r="AB2084">
        <v>42.1</v>
      </c>
      <c r="AC2084">
        <v>51.08</v>
      </c>
      <c r="AE2084" s="74"/>
      <c r="AF2084" s="77"/>
      <c r="AH2084" s="497">
        <v>51.8</v>
      </c>
      <c r="AJ2084" s="42"/>
      <c r="AK2084" s="74"/>
      <c r="AL2084" s="77"/>
      <c r="AN2084" s="497">
        <v>26.060000000000002</v>
      </c>
      <c r="AP2084" s="42"/>
      <c r="AQ2084" s="74"/>
      <c r="AR2084" s="77"/>
      <c r="AT2084" s="497">
        <v>51.26</v>
      </c>
      <c r="AV2084" s="42"/>
      <c r="AW2084" s="74"/>
      <c r="AX2084" s="77"/>
      <c r="BA2084" s="497">
        <v>24.08</v>
      </c>
      <c r="BB2084" s="42"/>
      <c r="BC2084" s="74"/>
      <c r="BD2084" s="77"/>
      <c r="BF2084">
        <v>26.96</v>
      </c>
      <c r="BH2084" s="42"/>
      <c r="BI2084" s="74"/>
      <c r="BJ2084" s="77"/>
      <c r="BL2084" s="497">
        <v>35.96</v>
      </c>
      <c r="BN2084" s="42"/>
      <c r="BO2084" s="74"/>
      <c r="BP2084" s="77"/>
      <c r="BR2084" s="497">
        <v>51.08</v>
      </c>
      <c r="BT2084" s="42"/>
    </row>
    <row r="2085" spans="1:72" x14ac:dyDescent="0.25">
      <c r="A2085" s="90">
        <v>38074</v>
      </c>
      <c r="B2085" s="20">
        <v>0.125</v>
      </c>
      <c r="D2085">
        <v>42.980000000000004</v>
      </c>
      <c r="E2085" t="str">
        <f t="shared" si="100"/>
        <v>SUNDAY</v>
      </c>
      <c r="F2085" t="e">
        <f t="shared" si="99"/>
        <v>#N/A</v>
      </c>
      <c r="G2085" s="74">
        <v>32960</v>
      </c>
      <c r="H2085" s="77">
        <v>0.125</v>
      </c>
      <c r="J2085">
        <v>33.08</v>
      </c>
      <c r="M2085" s="74">
        <v>36613</v>
      </c>
      <c r="N2085" s="77">
        <v>0.125</v>
      </c>
      <c r="P2085">
        <v>51.8</v>
      </c>
      <c r="S2085" s="74">
        <v>38074</v>
      </c>
      <c r="T2085" s="77">
        <v>0.125</v>
      </c>
      <c r="V2085">
        <v>50</v>
      </c>
      <c r="X2085" s="42"/>
      <c r="AB2085">
        <v>41.5</v>
      </c>
      <c r="AC2085">
        <v>51.08</v>
      </c>
      <c r="AE2085" s="74"/>
      <c r="AF2085" s="77"/>
      <c r="AH2085" s="497">
        <v>51.8</v>
      </c>
      <c r="AJ2085" s="42"/>
      <c r="AK2085" s="74"/>
      <c r="AL2085" s="77"/>
      <c r="AN2085" s="497">
        <v>26.060000000000002</v>
      </c>
      <c r="AP2085" s="42"/>
      <c r="AQ2085" s="74"/>
      <c r="AR2085" s="77"/>
      <c r="AT2085" s="497">
        <v>48.74</v>
      </c>
      <c r="AV2085" s="42"/>
      <c r="AW2085" s="74"/>
      <c r="AX2085" s="77"/>
      <c r="BA2085" s="497">
        <v>24.08</v>
      </c>
      <c r="BB2085" s="42"/>
      <c r="BC2085" s="74"/>
      <c r="BD2085" s="77"/>
      <c r="BF2085">
        <v>26.060000000000002</v>
      </c>
      <c r="BH2085" s="42"/>
      <c r="BI2085" s="74"/>
      <c r="BJ2085" s="77"/>
      <c r="BL2085" s="497">
        <v>35.96</v>
      </c>
      <c r="BN2085" s="42"/>
      <c r="BO2085" s="74"/>
      <c r="BP2085" s="77"/>
      <c r="BR2085" s="497">
        <v>50</v>
      </c>
      <c r="BT2085" s="42"/>
    </row>
    <row r="2086" spans="1:72" x14ac:dyDescent="0.25">
      <c r="A2086" s="90">
        <v>38074</v>
      </c>
      <c r="B2086" s="20">
        <v>0.16666666666666666</v>
      </c>
      <c r="D2086">
        <v>42.08</v>
      </c>
      <c r="E2086" t="str">
        <f t="shared" si="100"/>
        <v>SUNDAY</v>
      </c>
      <c r="F2086" t="e">
        <f t="shared" si="99"/>
        <v>#N/A</v>
      </c>
      <c r="G2086" s="74">
        <v>32960</v>
      </c>
      <c r="H2086" s="77">
        <v>0.16666666666666666</v>
      </c>
      <c r="J2086">
        <v>33.08</v>
      </c>
      <c r="M2086" s="74">
        <v>36613</v>
      </c>
      <c r="N2086" s="77">
        <v>0.16666666666666666</v>
      </c>
      <c r="P2086">
        <v>52.519999999999996</v>
      </c>
      <c r="S2086" s="74">
        <v>38074</v>
      </c>
      <c r="T2086" s="77">
        <v>0.16666666666666666</v>
      </c>
      <c r="V2086">
        <v>50</v>
      </c>
      <c r="X2086" s="42"/>
      <c r="AB2086">
        <v>41</v>
      </c>
      <c r="AC2086">
        <v>51.08</v>
      </c>
      <c r="AE2086" s="74"/>
      <c r="AF2086" s="77"/>
      <c r="AH2086" s="497">
        <v>50</v>
      </c>
      <c r="AJ2086" s="42"/>
      <c r="AK2086" s="74"/>
      <c r="AL2086" s="77"/>
      <c r="AN2086" s="497">
        <v>24.98</v>
      </c>
      <c r="AP2086" s="42"/>
      <c r="AQ2086" s="74"/>
      <c r="AR2086" s="77"/>
      <c r="AT2086" s="497">
        <v>46.04</v>
      </c>
      <c r="AV2086" s="42"/>
      <c r="AW2086" s="74"/>
      <c r="AX2086" s="77"/>
      <c r="BA2086" s="497">
        <v>23</v>
      </c>
      <c r="BB2086" s="42"/>
      <c r="BC2086" s="74"/>
      <c r="BD2086" s="77"/>
      <c r="BF2086">
        <v>26.060000000000002</v>
      </c>
      <c r="BH2086" s="42"/>
      <c r="BI2086" s="74"/>
      <c r="BJ2086" s="77"/>
      <c r="BL2086" s="497">
        <v>35.06</v>
      </c>
      <c r="BN2086" s="42"/>
      <c r="BO2086" s="74"/>
      <c r="BP2086" s="77"/>
      <c r="BR2086" s="497">
        <v>50</v>
      </c>
      <c r="BT2086" s="42"/>
    </row>
    <row r="2087" spans="1:72" x14ac:dyDescent="0.25">
      <c r="A2087" s="90">
        <v>38074</v>
      </c>
      <c r="B2087" s="20">
        <v>0.20833333333333334</v>
      </c>
      <c r="D2087">
        <v>41</v>
      </c>
      <c r="E2087" t="str">
        <f t="shared" si="100"/>
        <v>SUNDAY</v>
      </c>
      <c r="F2087" t="e">
        <f t="shared" si="99"/>
        <v>#N/A</v>
      </c>
      <c r="G2087" s="74">
        <v>32960</v>
      </c>
      <c r="H2087" s="77">
        <v>0.20833333333333334</v>
      </c>
      <c r="J2087">
        <v>33.08</v>
      </c>
      <c r="M2087" s="74">
        <v>36613</v>
      </c>
      <c r="N2087" s="77">
        <v>0.20833333333333334</v>
      </c>
      <c r="P2087">
        <v>53.6</v>
      </c>
      <c r="S2087" s="74">
        <v>38074</v>
      </c>
      <c r="T2087" s="77">
        <v>0.20833333333333334</v>
      </c>
      <c r="V2087">
        <v>48.92</v>
      </c>
      <c r="X2087" s="42"/>
      <c r="AB2087">
        <v>40.6</v>
      </c>
      <c r="AC2087">
        <v>50</v>
      </c>
      <c r="AE2087" s="74"/>
      <c r="AF2087" s="77"/>
      <c r="AH2087" s="497">
        <v>48.2</v>
      </c>
      <c r="AJ2087" s="42"/>
      <c r="AK2087" s="74"/>
      <c r="AL2087" s="77"/>
      <c r="AN2087" s="497">
        <v>24.98</v>
      </c>
      <c r="AP2087" s="42"/>
      <c r="AQ2087" s="74"/>
      <c r="AR2087" s="77"/>
      <c r="AT2087" s="497">
        <v>44.96</v>
      </c>
      <c r="AV2087" s="42"/>
      <c r="AW2087" s="74"/>
      <c r="AX2087" s="77"/>
      <c r="BA2087" s="497">
        <v>24.08</v>
      </c>
      <c r="BB2087" s="42"/>
      <c r="BC2087" s="74"/>
      <c r="BD2087" s="77"/>
      <c r="BF2087">
        <v>26.96</v>
      </c>
      <c r="BH2087" s="42"/>
      <c r="BI2087" s="74"/>
      <c r="BJ2087" s="77"/>
      <c r="BL2087" s="497">
        <v>35.06</v>
      </c>
      <c r="BN2087" s="42"/>
      <c r="BO2087" s="74"/>
      <c r="BP2087" s="77"/>
      <c r="BR2087" s="497">
        <v>48.019999999999996</v>
      </c>
      <c r="BT2087" s="42"/>
    </row>
    <row r="2088" spans="1:72" x14ac:dyDescent="0.25">
      <c r="A2088" s="90">
        <v>38074</v>
      </c>
      <c r="B2088" s="20">
        <v>0.25</v>
      </c>
      <c r="D2088">
        <v>39.92</v>
      </c>
      <c r="E2088" t="str">
        <f t="shared" si="100"/>
        <v>SUNDAY</v>
      </c>
      <c r="F2088" t="e">
        <f t="shared" si="99"/>
        <v>#N/A</v>
      </c>
      <c r="G2088" s="74">
        <v>32960</v>
      </c>
      <c r="H2088" s="77">
        <v>0.25</v>
      </c>
      <c r="J2088">
        <v>33.08</v>
      </c>
      <c r="M2088" s="74">
        <v>36613</v>
      </c>
      <c r="N2088" s="77">
        <v>0.25</v>
      </c>
      <c r="P2088">
        <v>51.8</v>
      </c>
      <c r="S2088" s="74">
        <v>38074</v>
      </c>
      <c r="T2088" s="77">
        <v>0.25</v>
      </c>
      <c r="V2088">
        <v>50</v>
      </c>
      <c r="X2088" s="42"/>
      <c r="AB2088">
        <v>40.4</v>
      </c>
      <c r="AC2088">
        <v>50</v>
      </c>
      <c r="AE2088" s="74"/>
      <c r="AF2088" s="77"/>
      <c r="AH2088" s="497">
        <v>48.2</v>
      </c>
      <c r="AJ2088" s="42"/>
      <c r="AK2088" s="74"/>
      <c r="AL2088" s="77"/>
      <c r="AN2088" s="497">
        <v>24.08</v>
      </c>
      <c r="AP2088" s="42"/>
      <c r="AQ2088" s="74"/>
      <c r="AR2088" s="77"/>
      <c r="AT2088" s="497">
        <v>44.06</v>
      </c>
      <c r="AV2088" s="42"/>
      <c r="AW2088" s="74"/>
      <c r="AX2088" s="77"/>
      <c r="BA2088" s="497">
        <v>24.98</v>
      </c>
      <c r="BB2088" s="42"/>
      <c r="BC2088" s="74"/>
      <c r="BD2088" s="77"/>
      <c r="BF2088">
        <v>28.04</v>
      </c>
      <c r="BH2088" s="42"/>
      <c r="BI2088" s="74"/>
      <c r="BJ2088" s="77"/>
      <c r="BL2088" s="497">
        <v>35.06</v>
      </c>
      <c r="BN2088" s="42"/>
      <c r="BO2088" s="74"/>
      <c r="BP2088" s="77"/>
      <c r="BR2088" s="497">
        <v>46.04</v>
      </c>
      <c r="BT2088" s="42"/>
    </row>
    <row r="2089" spans="1:72" x14ac:dyDescent="0.25">
      <c r="A2089" s="90">
        <v>38074</v>
      </c>
      <c r="B2089" s="20">
        <v>0.29166666666666669</v>
      </c>
      <c r="D2089">
        <v>39.019999999999996</v>
      </c>
      <c r="E2089" t="str">
        <f t="shared" si="100"/>
        <v>SUNDAY</v>
      </c>
      <c r="F2089" t="e">
        <f t="shared" si="99"/>
        <v>#N/A</v>
      </c>
      <c r="G2089" s="74">
        <v>32960</v>
      </c>
      <c r="H2089" s="77">
        <v>0.29166666666666669</v>
      </c>
      <c r="J2089">
        <v>35.06</v>
      </c>
      <c r="M2089" s="74">
        <v>36613</v>
      </c>
      <c r="N2089" s="77">
        <v>0.29166666666666669</v>
      </c>
      <c r="P2089">
        <v>50</v>
      </c>
      <c r="S2089" s="74">
        <v>38074</v>
      </c>
      <c r="T2089" s="77">
        <v>0.29166666666666669</v>
      </c>
      <c r="V2089">
        <v>50</v>
      </c>
      <c r="X2089" s="42"/>
      <c r="AB2089">
        <v>40.200000000000003</v>
      </c>
      <c r="AC2089">
        <v>50</v>
      </c>
      <c r="AE2089" s="74"/>
      <c r="AF2089" s="77"/>
      <c r="AH2089" s="497">
        <v>48.2</v>
      </c>
      <c r="AJ2089" s="42"/>
      <c r="AK2089" s="74"/>
      <c r="AL2089" s="77"/>
      <c r="AN2089" s="497">
        <v>24.98</v>
      </c>
      <c r="AP2089" s="42"/>
      <c r="AQ2089" s="74"/>
      <c r="AR2089" s="77"/>
      <c r="AT2089" s="497">
        <v>42.980000000000004</v>
      </c>
      <c r="AV2089" s="42"/>
      <c r="AW2089" s="74"/>
      <c r="AX2089" s="77"/>
      <c r="BA2089" s="497">
        <v>26.96</v>
      </c>
      <c r="BB2089" s="42"/>
      <c r="BC2089" s="74"/>
      <c r="BD2089" s="77"/>
      <c r="BF2089">
        <v>28.94</v>
      </c>
      <c r="BH2089" s="42"/>
      <c r="BI2089" s="74"/>
      <c r="BJ2089" s="77"/>
      <c r="BL2089" s="497">
        <v>33.979999999999997</v>
      </c>
      <c r="BN2089" s="42"/>
      <c r="BO2089" s="74"/>
      <c r="BP2089" s="77"/>
      <c r="BR2089" s="497">
        <v>46.94</v>
      </c>
      <c r="BT2089" s="42"/>
    </row>
    <row r="2090" spans="1:72" x14ac:dyDescent="0.25">
      <c r="A2090" s="90">
        <v>38074</v>
      </c>
      <c r="B2090" s="20">
        <v>0.33333333333333331</v>
      </c>
      <c r="D2090">
        <v>42.980000000000004</v>
      </c>
      <c r="E2090" t="str">
        <f t="shared" si="100"/>
        <v>SUNDAY</v>
      </c>
      <c r="F2090" t="e">
        <f t="shared" si="99"/>
        <v>#N/A</v>
      </c>
      <c r="G2090" s="74">
        <v>32960</v>
      </c>
      <c r="H2090" s="77">
        <v>0.33333333333333331</v>
      </c>
      <c r="J2090">
        <v>37.04</v>
      </c>
      <c r="M2090" s="74">
        <v>36613</v>
      </c>
      <c r="N2090" s="77">
        <v>0.33333333333333331</v>
      </c>
      <c r="P2090">
        <v>48.2</v>
      </c>
      <c r="S2090" s="74">
        <v>38074</v>
      </c>
      <c r="T2090" s="77">
        <v>0.33333333333333331</v>
      </c>
      <c r="V2090">
        <v>50</v>
      </c>
      <c r="X2090" s="42"/>
      <c r="AB2090">
        <v>41.5</v>
      </c>
      <c r="AC2090">
        <v>53.96</v>
      </c>
      <c r="AE2090" s="74"/>
      <c r="AF2090" s="77"/>
      <c r="AH2090" s="497">
        <v>46.4</v>
      </c>
      <c r="AJ2090" s="42"/>
      <c r="AK2090" s="74"/>
      <c r="AL2090" s="77"/>
      <c r="AN2090" s="497">
        <v>28.04</v>
      </c>
      <c r="AP2090" s="42"/>
      <c r="AQ2090" s="74"/>
      <c r="AR2090" s="77"/>
      <c r="AT2090" s="497">
        <v>41.36</v>
      </c>
      <c r="AV2090" s="42"/>
      <c r="AW2090" s="74"/>
      <c r="AX2090" s="77"/>
      <c r="BA2090" s="497">
        <v>33.979999999999997</v>
      </c>
      <c r="BB2090" s="42"/>
      <c r="BC2090" s="74"/>
      <c r="BD2090" s="77"/>
      <c r="BF2090">
        <v>33.08</v>
      </c>
      <c r="BH2090" s="42"/>
      <c r="BI2090" s="74"/>
      <c r="BJ2090" s="77"/>
      <c r="BL2090" s="497">
        <v>37.04</v>
      </c>
      <c r="BN2090" s="42"/>
      <c r="BO2090" s="74"/>
      <c r="BP2090" s="77"/>
      <c r="BR2090" s="497">
        <v>46.94</v>
      </c>
      <c r="BT2090" s="42"/>
    </row>
    <row r="2091" spans="1:72" x14ac:dyDescent="0.25">
      <c r="A2091" s="90">
        <v>38074</v>
      </c>
      <c r="B2091" s="20">
        <v>0.375</v>
      </c>
      <c r="D2091">
        <v>42.980000000000004</v>
      </c>
      <c r="E2091" t="str">
        <f t="shared" si="100"/>
        <v>SUNDAY</v>
      </c>
      <c r="F2091" t="e">
        <f t="shared" ref="F2091:F2154" si="101">IF(E2091="WEEKDAY",VLOOKUP(B2091,$DD$19:$DG$42,2),IF(E2091="SATURDAY",VLOOKUP(B2091,$DD$19:$DG$42,3),VLOOKUP(B2091,$DD$19:$DG$42,4)))</f>
        <v>#N/A</v>
      </c>
      <c r="G2091" s="74">
        <v>32960</v>
      </c>
      <c r="H2091" s="77">
        <v>0.375</v>
      </c>
      <c r="J2091">
        <v>39.92</v>
      </c>
      <c r="M2091" s="74">
        <v>36613</v>
      </c>
      <c r="N2091" s="77">
        <v>0.375</v>
      </c>
      <c r="P2091">
        <v>51.8</v>
      </c>
      <c r="S2091" s="74">
        <v>38074</v>
      </c>
      <c r="T2091" s="77">
        <v>0.375</v>
      </c>
      <c r="V2091">
        <v>51.08</v>
      </c>
      <c r="X2091" s="42"/>
      <c r="AB2091">
        <v>43.3</v>
      </c>
      <c r="AC2091">
        <v>62.96</v>
      </c>
      <c r="AE2091" s="74"/>
      <c r="AF2091" s="77"/>
      <c r="AH2091" s="497">
        <v>50</v>
      </c>
      <c r="AJ2091" s="42"/>
      <c r="AK2091" s="74"/>
      <c r="AL2091" s="77"/>
      <c r="AN2091" s="497">
        <v>30.02</v>
      </c>
      <c r="AP2091" s="42"/>
      <c r="AQ2091" s="74"/>
      <c r="AR2091" s="77"/>
      <c r="AT2091" s="497">
        <v>39.56</v>
      </c>
      <c r="AV2091" s="42"/>
      <c r="AW2091" s="74"/>
      <c r="AX2091" s="77"/>
      <c r="BA2091" s="497">
        <v>35.96</v>
      </c>
      <c r="BB2091" s="42"/>
      <c r="BC2091" s="74"/>
      <c r="BD2091" s="77"/>
      <c r="BF2091">
        <v>35.96</v>
      </c>
      <c r="BH2091" s="42"/>
      <c r="BI2091" s="74"/>
      <c r="BJ2091" s="77"/>
      <c r="BL2091" s="497">
        <v>39.92</v>
      </c>
      <c r="BN2091" s="42"/>
      <c r="BO2091" s="74"/>
      <c r="BP2091" s="77"/>
      <c r="BR2091" s="497">
        <v>48.019999999999996</v>
      </c>
      <c r="BT2091" s="42"/>
    </row>
    <row r="2092" spans="1:72" x14ac:dyDescent="0.25">
      <c r="A2092" s="90">
        <v>38074</v>
      </c>
      <c r="B2092" s="20">
        <v>0.41666666666666669</v>
      </c>
      <c r="D2092">
        <v>44.96</v>
      </c>
      <c r="E2092" t="str">
        <f t="shared" si="100"/>
        <v>SUNDAY</v>
      </c>
      <c r="F2092" t="e">
        <f t="shared" si="101"/>
        <v>#N/A</v>
      </c>
      <c r="G2092" s="74">
        <v>32960</v>
      </c>
      <c r="H2092" s="77">
        <v>0.41666666666666669</v>
      </c>
      <c r="J2092">
        <v>42.08</v>
      </c>
      <c r="M2092" s="74">
        <v>36613</v>
      </c>
      <c r="N2092" s="77">
        <v>0.41666666666666669</v>
      </c>
      <c r="P2092">
        <v>50</v>
      </c>
      <c r="S2092" s="74">
        <v>38074</v>
      </c>
      <c r="T2092" s="77">
        <v>0.41666666666666669</v>
      </c>
      <c r="V2092">
        <v>51.980000000000004</v>
      </c>
      <c r="X2092" s="42"/>
      <c r="AB2092">
        <v>45</v>
      </c>
      <c r="AC2092">
        <v>66.02</v>
      </c>
      <c r="AE2092" s="74"/>
      <c r="AF2092" s="77"/>
      <c r="AH2092" s="497">
        <v>46.4</v>
      </c>
      <c r="AJ2092" s="42"/>
      <c r="AK2092" s="74"/>
      <c r="AL2092" s="77"/>
      <c r="AN2092" s="497">
        <v>33.08</v>
      </c>
      <c r="AP2092" s="42"/>
      <c r="AQ2092" s="74"/>
      <c r="AR2092" s="77"/>
      <c r="AT2092" s="497">
        <v>37.94</v>
      </c>
      <c r="AV2092" s="42"/>
      <c r="AW2092" s="74"/>
      <c r="AX2092" s="77"/>
      <c r="BA2092" s="497">
        <v>37.94</v>
      </c>
      <c r="BB2092" s="42"/>
      <c r="BC2092" s="74"/>
      <c r="BD2092" s="77"/>
      <c r="BF2092">
        <v>37.94</v>
      </c>
      <c r="BH2092" s="42"/>
      <c r="BI2092" s="74"/>
      <c r="BJ2092" s="77"/>
      <c r="BL2092" s="497">
        <v>44.06</v>
      </c>
      <c r="BN2092" s="42"/>
      <c r="BO2092" s="74"/>
      <c r="BP2092" s="77"/>
      <c r="BR2092" s="497">
        <v>51.08</v>
      </c>
      <c r="BT2092" s="42"/>
    </row>
    <row r="2093" spans="1:72" x14ac:dyDescent="0.25">
      <c r="A2093" s="90">
        <v>38074</v>
      </c>
      <c r="B2093" s="20">
        <v>0.45833333333333331</v>
      </c>
      <c r="D2093">
        <v>46.94</v>
      </c>
      <c r="E2093" t="str">
        <f t="shared" si="100"/>
        <v>SUNDAY</v>
      </c>
      <c r="F2093" t="e">
        <f t="shared" si="101"/>
        <v>#N/A</v>
      </c>
      <c r="G2093" s="74">
        <v>32960</v>
      </c>
      <c r="H2093" s="77">
        <v>0.45833333333333331</v>
      </c>
      <c r="J2093">
        <v>44.06</v>
      </c>
      <c r="M2093" s="74">
        <v>36613</v>
      </c>
      <c r="N2093" s="77">
        <v>0.45833333333333331</v>
      </c>
      <c r="P2093">
        <v>46.4</v>
      </c>
      <c r="S2093" s="74">
        <v>38074</v>
      </c>
      <c r="T2093" s="77">
        <v>0.45833333333333331</v>
      </c>
      <c r="V2093">
        <v>55.040000000000006</v>
      </c>
      <c r="X2093" s="42"/>
      <c r="AB2093">
        <v>46.6</v>
      </c>
      <c r="AC2093">
        <v>71.06</v>
      </c>
      <c r="AE2093" s="74"/>
      <c r="AF2093" s="77"/>
      <c r="AH2093" s="497">
        <v>48.2</v>
      </c>
      <c r="AJ2093" s="42"/>
      <c r="AK2093" s="74"/>
      <c r="AL2093" s="77"/>
      <c r="AN2093" s="497">
        <v>35.96</v>
      </c>
      <c r="AP2093" s="42"/>
      <c r="AQ2093" s="74"/>
      <c r="AR2093" s="77"/>
      <c r="AT2093" s="497">
        <v>39.56</v>
      </c>
      <c r="AV2093" s="42"/>
      <c r="AW2093" s="74"/>
      <c r="AX2093" s="77"/>
      <c r="BA2093" s="497">
        <v>39.92</v>
      </c>
      <c r="BB2093" s="42"/>
      <c r="BC2093" s="74"/>
      <c r="BD2093" s="77"/>
      <c r="BF2093">
        <v>41</v>
      </c>
      <c r="BH2093" s="42"/>
      <c r="BI2093" s="74"/>
      <c r="BJ2093" s="77"/>
      <c r="BL2093" s="497">
        <v>48.92</v>
      </c>
      <c r="BN2093" s="42"/>
      <c r="BO2093" s="74"/>
      <c r="BP2093" s="77"/>
      <c r="BR2093" s="497">
        <v>53.96</v>
      </c>
      <c r="BT2093" s="42"/>
    </row>
    <row r="2094" spans="1:72" x14ac:dyDescent="0.25">
      <c r="A2094" s="90">
        <v>38074</v>
      </c>
      <c r="B2094" s="20">
        <v>0.5</v>
      </c>
      <c r="D2094">
        <v>48.019999999999996</v>
      </c>
      <c r="E2094" t="str">
        <f t="shared" si="100"/>
        <v>SUNDAY</v>
      </c>
      <c r="F2094" t="e">
        <f t="shared" si="101"/>
        <v>#N/A</v>
      </c>
      <c r="G2094" s="74">
        <v>32960</v>
      </c>
      <c r="H2094" s="77">
        <v>0.5</v>
      </c>
      <c r="J2094">
        <v>44.96</v>
      </c>
      <c r="M2094" s="74">
        <v>36613</v>
      </c>
      <c r="N2094" s="77">
        <v>0.5</v>
      </c>
      <c r="P2094">
        <v>50</v>
      </c>
      <c r="S2094" s="74">
        <v>38074</v>
      </c>
      <c r="T2094" s="77">
        <v>0.5</v>
      </c>
      <c r="V2094">
        <v>55.94</v>
      </c>
      <c r="X2094" s="42"/>
      <c r="AB2094">
        <v>48</v>
      </c>
      <c r="AC2094">
        <v>78.98</v>
      </c>
      <c r="AE2094" s="74"/>
      <c r="AF2094" s="77"/>
      <c r="AH2094" s="497">
        <v>46.4</v>
      </c>
      <c r="AJ2094" s="42"/>
      <c r="AK2094" s="74"/>
      <c r="AL2094" s="77"/>
      <c r="AN2094" s="497">
        <v>39.019999999999996</v>
      </c>
      <c r="AP2094" s="42"/>
      <c r="AQ2094" s="74"/>
      <c r="AR2094" s="77"/>
      <c r="AT2094" s="497">
        <v>41.36</v>
      </c>
      <c r="AV2094" s="42"/>
      <c r="AW2094" s="74"/>
      <c r="AX2094" s="77"/>
      <c r="BA2094" s="497">
        <v>42.980000000000004</v>
      </c>
      <c r="BB2094" s="42"/>
      <c r="BC2094" s="74"/>
      <c r="BD2094" s="77"/>
      <c r="BF2094">
        <v>41</v>
      </c>
      <c r="BH2094" s="42"/>
      <c r="BI2094" s="74"/>
      <c r="BJ2094" s="77"/>
      <c r="BL2094" s="497">
        <v>51.980000000000004</v>
      </c>
      <c r="BN2094" s="42"/>
      <c r="BO2094" s="74"/>
      <c r="BP2094" s="77"/>
      <c r="BR2094" s="497">
        <v>55.040000000000006</v>
      </c>
      <c r="BT2094" s="42"/>
    </row>
    <row r="2095" spans="1:72" x14ac:dyDescent="0.25">
      <c r="A2095" s="90">
        <v>38074</v>
      </c>
      <c r="B2095" s="20">
        <v>0.54166666666666663</v>
      </c>
      <c r="D2095">
        <v>50</v>
      </c>
      <c r="E2095" t="str">
        <f t="shared" si="100"/>
        <v>SUNDAY</v>
      </c>
      <c r="F2095" t="e">
        <f t="shared" si="101"/>
        <v>#N/A</v>
      </c>
      <c r="G2095" s="74">
        <v>32960</v>
      </c>
      <c r="H2095" s="77">
        <v>0.54166666666666663</v>
      </c>
      <c r="J2095">
        <v>48.019999999999996</v>
      </c>
      <c r="M2095" s="74">
        <v>36613</v>
      </c>
      <c r="N2095" s="77">
        <v>0.54166666666666663</v>
      </c>
      <c r="P2095">
        <v>50</v>
      </c>
      <c r="S2095" s="74">
        <v>38074</v>
      </c>
      <c r="T2095" s="77">
        <v>0.54166666666666663</v>
      </c>
      <c r="V2095">
        <v>57.019999999999996</v>
      </c>
      <c r="X2095" s="42"/>
      <c r="AB2095">
        <v>48.9</v>
      </c>
      <c r="AC2095">
        <v>78.98</v>
      </c>
      <c r="AE2095" s="74"/>
      <c r="AF2095" s="77"/>
      <c r="AH2095" s="497">
        <v>48.2</v>
      </c>
      <c r="AJ2095" s="42"/>
      <c r="AK2095" s="74"/>
      <c r="AL2095" s="77"/>
      <c r="AN2095" s="497">
        <v>39.92</v>
      </c>
      <c r="AP2095" s="42"/>
      <c r="AQ2095" s="74"/>
      <c r="AR2095" s="77"/>
      <c r="AT2095" s="497">
        <v>42.980000000000004</v>
      </c>
      <c r="AV2095" s="42"/>
      <c r="AW2095" s="74"/>
      <c r="AX2095" s="77"/>
      <c r="BA2095" s="497">
        <v>42.980000000000004</v>
      </c>
      <c r="BB2095" s="42"/>
      <c r="BC2095" s="74"/>
      <c r="BD2095" s="77"/>
      <c r="BF2095">
        <v>42.980000000000004</v>
      </c>
      <c r="BH2095" s="42"/>
      <c r="BI2095" s="74"/>
      <c r="BJ2095" s="77"/>
      <c r="BL2095" s="497">
        <v>55.040000000000006</v>
      </c>
      <c r="BN2095" s="42"/>
      <c r="BO2095" s="74"/>
      <c r="BP2095" s="77"/>
      <c r="BR2095" s="497">
        <v>53.96</v>
      </c>
      <c r="BT2095" s="42"/>
    </row>
    <row r="2096" spans="1:72" x14ac:dyDescent="0.25">
      <c r="A2096" s="90">
        <v>38074</v>
      </c>
      <c r="B2096" s="20">
        <v>0.58333333333333337</v>
      </c>
      <c r="D2096">
        <v>51.980000000000004</v>
      </c>
      <c r="E2096" t="str">
        <f t="shared" si="100"/>
        <v>SUNDAY</v>
      </c>
      <c r="F2096" t="e">
        <f t="shared" si="101"/>
        <v>#N/A</v>
      </c>
      <c r="G2096" s="74">
        <v>32960</v>
      </c>
      <c r="H2096" s="77">
        <v>0.58333333333333337</v>
      </c>
      <c r="J2096">
        <v>48.92</v>
      </c>
      <c r="M2096" s="74">
        <v>36613</v>
      </c>
      <c r="N2096" s="77">
        <v>0.58333333333333337</v>
      </c>
      <c r="P2096">
        <v>53.6</v>
      </c>
      <c r="S2096" s="74">
        <v>38074</v>
      </c>
      <c r="T2096" s="77">
        <v>0.58333333333333337</v>
      </c>
      <c r="V2096">
        <v>55.94</v>
      </c>
      <c r="X2096" s="42"/>
      <c r="AB2096">
        <v>49.7</v>
      </c>
      <c r="AC2096">
        <v>78.080000000000013</v>
      </c>
      <c r="AE2096" s="74"/>
      <c r="AF2096" s="77"/>
      <c r="AH2096" s="497">
        <v>51.8</v>
      </c>
      <c r="AJ2096" s="42"/>
      <c r="AK2096" s="74"/>
      <c r="AL2096" s="77"/>
      <c r="AN2096" s="497">
        <v>42.08</v>
      </c>
      <c r="AP2096" s="42"/>
      <c r="AQ2096" s="74"/>
      <c r="AR2096" s="77"/>
      <c r="AT2096" s="497">
        <v>42.26</v>
      </c>
      <c r="AV2096" s="42"/>
      <c r="AW2096" s="74"/>
      <c r="AX2096" s="77"/>
      <c r="BA2096" s="497">
        <v>44.06</v>
      </c>
      <c r="BB2096" s="42"/>
      <c r="BC2096" s="74"/>
      <c r="BD2096" s="77"/>
      <c r="BF2096">
        <v>44.06</v>
      </c>
      <c r="BH2096" s="42"/>
      <c r="BI2096" s="74"/>
      <c r="BJ2096" s="77"/>
      <c r="BL2096" s="497">
        <v>55.94</v>
      </c>
      <c r="BN2096" s="42"/>
      <c r="BO2096" s="74"/>
      <c r="BP2096" s="77"/>
      <c r="BR2096" s="497">
        <v>53.06</v>
      </c>
      <c r="BT2096" s="42"/>
    </row>
    <row r="2097" spans="1:72" x14ac:dyDescent="0.25">
      <c r="A2097" s="90">
        <v>38074</v>
      </c>
      <c r="B2097" s="20">
        <v>0.625</v>
      </c>
      <c r="D2097">
        <v>51.980000000000004</v>
      </c>
      <c r="E2097" t="str">
        <f t="shared" si="100"/>
        <v>SUNDAY</v>
      </c>
      <c r="F2097" t="e">
        <f t="shared" si="101"/>
        <v>#N/A</v>
      </c>
      <c r="G2097" s="74">
        <v>32960</v>
      </c>
      <c r="H2097" s="77">
        <v>0.625</v>
      </c>
      <c r="J2097">
        <v>50</v>
      </c>
      <c r="M2097" s="74">
        <v>36613</v>
      </c>
      <c r="N2097" s="77">
        <v>0.625</v>
      </c>
      <c r="P2097">
        <v>53.6</v>
      </c>
      <c r="S2097" s="74">
        <v>38074</v>
      </c>
      <c r="T2097" s="77">
        <v>0.625</v>
      </c>
      <c r="V2097">
        <v>55.040000000000006</v>
      </c>
      <c r="X2097" s="42"/>
      <c r="AB2097">
        <v>49.9</v>
      </c>
      <c r="AC2097">
        <v>78.080000000000013</v>
      </c>
      <c r="AE2097" s="74"/>
      <c r="AF2097" s="77"/>
      <c r="AH2097" s="497">
        <v>51.8</v>
      </c>
      <c r="AJ2097" s="42"/>
      <c r="AK2097" s="74"/>
      <c r="AL2097" s="77"/>
      <c r="AN2097" s="497">
        <v>44.06</v>
      </c>
      <c r="AP2097" s="42"/>
      <c r="AQ2097" s="74"/>
      <c r="AR2097" s="77"/>
      <c r="AT2097" s="497">
        <v>41.72</v>
      </c>
      <c r="AV2097" s="42"/>
      <c r="AW2097" s="74"/>
      <c r="AX2097" s="77"/>
      <c r="BA2097" s="497">
        <v>42.980000000000004</v>
      </c>
      <c r="BB2097" s="42"/>
      <c r="BC2097" s="74"/>
      <c r="BD2097" s="77"/>
      <c r="BF2097">
        <v>44.96</v>
      </c>
      <c r="BH2097" s="42"/>
      <c r="BI2097" s="74"/>
      <c r="BJ2097" s="77"/>
      <c r="BL2097" s="497">
        <v>57.92</v>
      </c>
      <c r="BN2097" s="42"/>
      <c r="BO2097" s="74"/>
      <c r="BP2097" s="77"/>
      <c r="BR2097" s="497">
        <v>50</v>
      </c>
      <c r="BT2097" s="42"/>
    </row>
    <row r="2098" spans="1:72" x14ac:dyDescent="0.25">
      <c r="A2098" s="90">
        <v>38074</v>
      </c>
      <c r="B2098" s="20">
        <v>0.66666666666666663</v>
      </c>
      <c r="D2098">
        <v>51.980000000000004</v>
      </c>
      <c r="E2098" t="str">
        <f t="shared" si="100"/>
        <v>SUNDAY</v>
      </c>
      <c r="F2098" t="e">
        <f t="shared" si="101"/>
        <v>#N/A</v>
      </c>
      <c r="G2098" s="74">
        <v>32960</v>
      </c>
      <c r="H2098" s="77">
        <v>0.66666666666666663</v>
      </c>
      <c r="J2098">
        <v>51.08</v>
      </c>
      <c r="M2098" s="74">
        <v>36613</v>
      </c>
      <c r="N2098" s="77">
        <v>0.66666666666666663</v>
      </c>
      <c r="P2098">
        <v>53.6</v>
      </c>
      <c r="S2098" s="74">
        <v>38074</v>
      </c>
      <c r="T2098" s="77">
        <v>0.66666666666666663</v>
      </c>
      <c r="V2098">
        <v>55.040000000000006</v>
      </c>
      <c r="X2098" s="42"/>
      <c r="AB2098">
        <v>49.9</v>
      </c>
      <c r="AC2098">
        <v>75.92</v>
      </c>
      <c r="AE2098" s="74"/>
      <c r="AF2098" s="77"/>
      <c r="AH2098" s="497">
        <v>53.6</v>
      </c>
      <c r="AJ2098" s="42"/>
      <c r="AK2098" s="74"/>
      <c r="AL2098" s="77"/>
      <c r="AN2098" s="497">
        <v>44.96</v>
      </c>
      <c r="AP2098" s="42"/>
      <c r="AQ2098" s="74"/>
      <c r="AR2098" s="77"/>
      <c r="AT2098" s="497">
        <v>41</v>
      </c>
      <c r="AV2098" s="42"/>
      <c r="AW2098" s="74"/>
      <c r="AX2098" s="77"/>
      <c r="BA2098" s="497">
        <v>42.08</v>
      </c>
      <c r="BB2098" s="42"/>
      <c r="BC2098" s="74"/>
      <c r="BD2098" s="77"/>
      <c r="BF2098">
        <v>42.980000000000004</v>
      </c>
      <c r="BH2098" s="42"/>
      <c r="BI2098" s="74"/>
      <c r="BJ2098" s="77"/>
      <c r="BL2098" s="497">
        <v>60.980000000000004</v>
      </c>
      <c r="BN2098" s="42"/>
      <c r="BO2098" s="74"/>
      <c r="BP2098" s="77"/>
      <c r="BR2098" s="497">
        <v>48.92</v>
      </c>
      <c r="BT2098" s="42"/>
    </row>
    <row r="2099" spans="1:72" x14ac:dyDescent="0.25">
      <c r="A2099" s="90">
        <v>38074</v>
      </c>
      <c r="B2099" s="20">
        <v>0.70833333333333337</v>
      </c>
      <c r="D2099">
        <v>51.980000000000004</v>
      </c>
      <c r="E2099" t="str">
        <f t="shared" si="100"/>
        <v>SUNDAY</v>
      </c>
      <c r="F2099" t="e">
        <f t="shared" si="101"/>
        <v>#N/A</v>
      </c>
      <c r="G2099" s="74">
        <v>32960</v>
      </c>
      <c r="H2099" s="77">
        <v>0.70833333333333337</v>
      </c>
      <c r="J2099">
        <v>51.980000000000004</v>
      </c>
      <c r="M2099" s="74">
        <v>36613</v>
      </c>
      <c r="N2099" s="77">
        <v>0.70833333333333337</v>
      </c>
      <c r="P2099">
        <v>55.400000000000006</v>
      </c>
      <c r="S2099" s="74">
        <v>38074</v>
      </c>
      <c r="T2099" s="77">
        <v>0.70833333333333337</v>
      </c>
      <c r="V2099">
        <v>53.06</v>
      </c>
      <c r="X2099" s="42"/>
      <c r="AB2099">
        <v>49.5</v>
      </c>
      <c r="AC2099">
        <v>73.039999999999992</v>
      </c>
      <c r="AE2099" s="74"/>
      <c r="AF2099" s="77"/>
      <c r="AH2099" s="497">
        <v>53.6</v>
      </c>
      <c r="AJ2099" s="42"/>
      <c r="AK2099" s="74"/>
      <c r="AL2099" s="77"/>
      <c r="AN2099" s="497">
        <v>44.06</v>
      </c>
      <c r="AP2099" s="42"/>
      <c r="AQ2099" s="74"/>
      <c r="AR2099" s="77"/>
      <c r="AT2099" s="497">
        <v>39.92</v>
      </c>
      <c r="AV2099" s="42"/>
      <c r="AW2099" s="74"/>
      <c r="AX2099" s="77"/>
      <c r="BA2099" s="497">
        <v>41</v>
      </c>
      <c r="BB2099" s="42"/>
      <c r="BC2099" s="74"/>
      <c r="BD2099" s="77"/>
      <c r="BF2099">
        <v>42.980000000000004</v>
      </c>
      <c r="BH2099" s="42"/>
      <c r="BI2099" s="74"/>
      <c r="BJ2099" s="77"/>
      <c r="BL2099" s="497">
        <v>60.08</v>
      </c>
      <c r="BN2099" s="42"/>
      <c r="BO2099" s="74"/>
      <c r="BP2099" s="77"/>
      <c r="BR2099" s="497">
        <v>46.94</v>
      </c>
      <c r="BT2099" s="42"/>
    </row>
    <row r="2100" spans="1:72" x14ac:dyDescent="0.25">
      <c r="A2100" s="90">
        <v>38074</v>
      </c>
      <c r="B2100" s="20">
        <v>0.75</v>
      </c>
      <c r="D2100">
        <v>51.08</v>
      </c>
      <c r="E2100" t="str">
        <f t="shared" si="100"/>
        <v>SUNDAY</v>
      </c>
      <c r="F2100" t="e">
        <f t="shared" si="101"/>
        <v>#N/A</v>
      </c>
      <c r="G2100" s="74">
        <v>32960</v>
      </c>
      <c r="H2100" s="77">
        <v>0.75</v>
      </c>
      <c r="J2100">
        <v>51.08</v>
      </c>
      <c r="M2100" s="74">
        <v>36613</v>
      </c>
      <c r="N2100" s="77">
        <v>0.75</v>
      </c>
      <c r="P2100">
        <v>55.400000000000006</v>
      </c>
      <c r="S2100" s="74">
        <v>38074</v>
      </c>
      <c r="T2100" s="77">
        <v>0.75</v>
      </c>
      <c r="V2100">
        <v>50</v>
      </c>
      <c r="X2100" s="42"/>
      <c r="AB2100">
        <v>48.4</v>
      </c>
      <c r="AC2100">
        <v>69.98</v>
      </c>
      <c r="AE2100" s="74"/>
      <c r="AF2100" s="77"/>
      <c r="AH2100" s="497">
        <v>51.8</v>
      </c>
      <c r="AJ2100" s="42"/>
      <c r="AK2100" s="74"/>
      <c r="AL2100" s="77"/>
      <c r="AN2100" s="497">
        <v>42.08</v>
      </c>
      <c r="AP2100" s="42"/>
      <c r="AQ2100" s="74"/>
      <c r="AR2100" s="77"/>
      <c r="AT2100" s="497">
        <v>39.019999999999996</v>
      </c>
      <c r="AV2100" s="42"/>
      <c r="AW2100" s="74"/>
      <c r="AX2100" s="77"/>
      <c r="BA2100" s="497">
        <v>37.94</v>
      </c>
      <c r="BB2100" s="42"/>
      <c r="BC2100" s="74"/>
      <c r="BD2100" s="77"/>
      <c r="BF2100">
        <v>42.08</v>
      </c>
      <c r="BH2100" s="42"/>
      <c r="BI2100" s="74"/>
      <c r="BJ2100" s="77"/>
      <c r="BL2100" s="497">
        <v>60.08</v>
      </c>
      <c r="BN2100" s="42"/>
      <c r="BO2100" s="74"/>
      <c r="BP2100" s="77"/>
      <c r="BR2100" s="497">
        <v>46.04</v>
      </c>
      <c r="BT2100" s="42"/>
    </row>
    <row r="2101" spans="1:72" x14ac:dyDescent="0.25">
      <c r="A2101" s="90">
        <v>38074</v>
      </c>
      <c r="B2101" s="20">
        <v>0.79166666666666663</v>
      </c>
      <c r="D2101">
        <v>50</v>
      </c>
      <c r="E2101" t="str">
        <f t="shared" si="100"/>
        <v>SUNDAY</v>
      </c>
      <c r="F2101" t="e">
        <f t="shared" si="101"/>
        <v>#N/A</v>
      </c>
      <c r="G2101" s="74">
        <v>32960</v>
      </c>
      <c r="H2101" s="77">
        <v>0.79166666666666663</v>
      </c>
      <c r="J2101">
        <v>51.08</v>
      </c>
      <c r="M2101" s="74">
        <v>36613</v>
      </c>
      <c r="N2101" s="77">
        <v>0.79166666666666663</v>
      </c>
      <c r="P2101">
        <v>53.6</v>
      </c>
      <c r="S2101" s="74">
        <v>38074</v>
      </c>
      <c r="T2101" s="77">
        <v>0.79166666666666663</v>
      </c>
      <c r="V2101">
        <v>50</v>
      </c>
      <c r="X2101" s="42"/>
      <c r="AB2101">
        <v>47</v>
      </c>
      <c r="AC2101">
        <v>66.92</v>
      </c>
      <c r="AE2101" s="74"/>
      <c r="AF2101" s="77"/>
      <c r="AH2101" s="497">
        <v>50</v>
      </c>
      <c r="AJ2101" s="42"/>
      <c r="AK2101" s="74"/>
      <c r="AL2101" s="77"/>
      <c r="AN2101" s="497">
        <v>42.08</v>
      </c>
      <c r="AP2101" s="42"/>
      <c r="AQ2101" s="74"/>
      <c r="AR2101" s="77"/>
      <c r="AT2101" s="497">
        <v>37.94</v>
      </c>
      <c r="AV2101" s="42"/>
      <c r="AW2101" s="74"/>
      <c r="AX2101" s="77"/>
      <c r="BA2101" s="497">
        <v>35.06</v>
      </c>
      <c r="BB2101" s="42"/>
      <c r="BC2101" s="74"/>
      <c r="BD2101" s="77"/>
      <c r="BF2101">
        <v>39.92</v>
      </c>
      <c r="BH2101" s="42"/>
      <c r="BI2101" s="74"/>
      <c r="BJ2101" s="77"/>
      <c r="BL2101" s="497">
        <v>59</v>
      </c>
      <c r="BN2101" s="42"/>
      <c r="BO2101" s="74"/>
      <c r="BP2101" s="77"/>
      <c r="BR2101" s="497">
        <v>44.96</v>
      </c>
      <c r="BT2101" s="42"/>
    </row>
    <row r="2102" spans="1:72" x14ac:dyDescent="0.25">
      <c r="A2102" s="90">
        <v>38074</v>
      </c>
      <c r="B2102" s="20">
        <v>0.83333333333333337</v>
      </c>
      <c r="D2102">
        <v>50</v>
      </c>
      <c r="E2102" t="str">
        <f t="shared" si="100"/>
        <v>SUNDAY</v>
      </c>
      <c r="F2102" t="e">
        <f t="shared" si="101"/>
        <v>#N/A</v>
      </c>
      <c r="G2102" s="74">
        <v>32960</v>
      </c>
      <c r="H2102" s="77">
        <v>0.83333333333333337</v>
      </c>
      <c r="J2102">
        <v>50</v>
      </c>
      <c r="M2102" s="74">
        <v>36613</v>
      </c>
      <c r="N2102" s="77">
        <v>0.83333333333333337</v>
      </c>
      <c r="P2102">
        <v>51.8</v>
      </c>
      <c r="S2102" s="74">
        <v>38074</v>
      </c>
      <c r="T2102" s="77">
        <v>0.83333333333333337</v>
      </c>
      <c r="V2102">
        <v>48.92</v>
      </c>
      <c r="X2102" s="42"/>
      <c r="AB2102">
        <v>46</v>
      </c>
      <c r="AC2102">
        <v>66.02</v>
      </c>
      <c r="AE2102" s="74"/>
      <c r="AF2102" s="77"/>
      <c r="AH2102" s="497">
        <v>51.8</v>
      </c>
      <c r="AJ2102" s="42"/>
      <c r="AK2102" s="74"/>
      <c r="AL2102" s="77"/>
      <c r="AN2102" s="497">
        <v>41</v>
      </c>
      <c r="AP2102" s="42"/>
      <c r="AQ2102" s="74"/>
      <c r="AR2102" s="77"/>
      <c r="AT2102" s="497">
        <v>37.94</v>
      </c>
      <c r="AV2102" s="42"/>
      <c r="AW2102" s="74"/>
      <c r="AX2102" s="77"/>
      <c r="BA2102" s="497">
        <v>33.979999999999997</v>
      </c>
      <c r="BB2102" s="42"/>
      <c r="BC2102" s="74"/>
      <c r="BD2102" s="77"/>
      <c r="BF2102">
        <v>37.94</v>
      </c>
      <c r="BH2102" s="42"/>
      <c r="BI2102" s="74"/>
      <c r="BJ2102" s="77"/>
      <c r="BL2102" s="497">
        <v>57.019999999999996</v>
      </c>
      <c r="BN2102" s="42"/>
      <c r="BO2102" s="74"/>
      <c r="BP2102" s="77"/>
      <c r="BR2102" s="497">
        <v>44.06</v>
      </c>
      <c r="BT2102" s="42"/>
    </row>
    <row r="2103" spans="1:72" x14ac:dyDescent="0.25">
      <c r="A2103" s="90">
        <v>38074</v>
      </c>
      <c r="B2103" s="20">
        <v>0.875</v>
      </c>
      <c r="D2103">
        <v>46.94</v>
      </c>
      <c r="E2103" t="str">
        <f t="shared" si="100"/>
        <v>SUNDAY</v>
      </c>
      <c r="F2103" t="e">
        <f t="shared" si="101"/>
        <v>#N/A</v>
      </c>
      <c r="G2103" s="74">
        <v>32960</v>
      </c>
      <c r="H2103" s="77">
        <v>0.875</v>
      </c>
      <c r="J2103">
        <v>50</v>
      </c>
      <c r="M2103" s="74">
        <v>36613</v>
      </c>
      <c r="N2103" s="77">
        <v>0.875</v>
      </c>
      <c r="P2103">
        <v>50</v>
      </c>
      <c r="S2103" s="74">
        <v>38074</v>
      </c>
      <c r="T2103" s="77">
        <v>0.875</v>
      </c>
      <c r="V2103">
        <v>46.94</v>
      </c>
      <c r="X2103" s="42"/>
      <c r="AB2103">
        <v>45.4</v>
      </c>
      <c r="AC2103">
        <v>62.96</v>
      </c>
      <c r="AE2103" s="74"/>
      <c r="AF2103" s="77"/>
      <c r="AH2103" s="497">
        <v>51.8</v>
      </c>
      <c r="AJ2103" s="42"/>
      <c r="AK2103" s="74"/>
      <c r="AL2103" s="77"/>
      <c r="AN2103" s="497">
        <v>37.94</v>
      </c>
      <c r="AP2103" s="42"/>
      <c r="AQ2103" s="74"/>
      <c r="AR2103" s="77"/>
      <c r="AT2103" s="497">
        <v>37.94</v>
      </c>
      <c r="AV2103" s="42"/>
      <c r="AW2103" s="74"/>
      <c r="AX2103" s="77"/>
      <c r="BA2103" s="497">
        <v>30.92</v>
      </c>
      <c r="BB2103" s="42"/>
      <c r="BC2103" s="74"/>
      <c r="BD2103" s="77"/>
      <c r="BF2103">
        <v>37.94</v>
      </c>
      <c r="BH2103" s="42"/>
      <c r="BI2103" s="74"/>
      <c r="BJ2103" s="77"/>
      <c r="BL2103" s="497">
        <v>55.94</v>
      </c>
      <c r="BN2103" s="42"/>
      <c r="BO2103" s="74"/>
      <c r="BP2103" s="77"/>
      <c r="BR2103" s="497">
        <v>44.06</v>
      </c>
      <c r="BT2103" s="42"/>
    </row>
    <row r="2104" spans="1:72" x14ac:dyDescent="0.25">
      <c r="A2104" s="90">
        <v>38074</v>
      </c>
      <c r="B2104" s="20">
        <v>0.91666666666666663</v>
      </c>
      <c r="D2104">
        <v>46.04</v>
      </c>
      <c r="E2104" t="str">
        <f t="shared" si="100"/>
        <v>SUNDAY</v>
      </c>
      <c r="F2104" t="e">
        <f t="shared" si="101"/>
        <v>#N/A</v>
      </c>
      <c r="G2104" s="74">
        <v>32960</v>
      </c>
      <c r="H2104" s="77">
        <v>0.91666666666666663</v>
      </c>
      <c r="J2104">
        <v>50</v>
      </c>
      <c r="M2104" s="74">
        <v>36613</v>
      </c>
      <c r="N2104" s="77">
        <v>0.91666666666666663</v>
      </c>
      <c r="P2104">
        <v>48.2</v>
      </c>
      <c r="S2104" s="74">
        <v>38074</v>
      </c>
      <c r="T2104" s="77">
        <v>0.91666666666666663</v>
      </c>
      <c r="V2104">
        <v>46.04</v>
      </c>
      <c r="X2104" s="42"/>
      <c r="AB2104">
        <v>44.7</v>
      </c>
      <c r="AC2104">
        <v>60.980000000000004</v>
      </c>
      <c r="AE2104" s="74"/>
      <c r="AF2104" s="77"/>
      <c r="AH2104" s="497">
        <v>50</v>
      </c>
      <c r="AJ2104" s="42"/>
      <c r="AK2104" s="74"/>
      <c r="AL2104" s="77"/>
      <c r="AN2104" s="497">
        <v>39.019999999999996</v>
      </c>
      <c r="AP2104" s="42"/>
      <c r="AQ2104" s="74"/>
      <c r="AR2104" s="77"/>
      <c r="AT2104" s="497">
        <v>37.94</v>
      </c>
      <c r="AV2104" s="42"/>
      <c r="AW2104" s="74"/>
      <c r="AX2104" s="77"/>
      <c r="BA2104" s="497">
        <v>26.96</v>
      </c>
      <c r="BB2104" s="42"/>
      <c r="BC2104" s="74"/>
      <c r="BD2104" s="77"/>
      <c r="BF2104">
        <v>32</v>
      </c>
      <c r="BH2104" s="42"/>
      <c r="BI2104" s="74"/>
      <c r="BJ2104" s="77"/>
      <c r="BL2104" s="497">
        <v>53.96</v>
      </c>
      <c r="BN2104" s="42"/>
      <c r="BO2104" s="74"/>
      <c r="BP2104" s="77"/>
      <c r="BR2104" s="497">
        <v>42.980000000000004</v>
      </c>
      <c r="BT2104" s="42"/>
    </row>
    <row r="2105" spans="1:72" x14ac:dyDescent="0.25">
      <c r="A2105" s="90">
        <v>38074</v>
      </c>
      <c r="B2105" s="20">
        <v>0.95833333333333337</v>
      </c>
      <c r="D2105">
        <v>46.94</v>
      </c>
      <c r="E2105" t="str">
        <f t="shared" si="100"/>
        <v>SUNDAY</v>
      </c>
      <c r="F2105" t="e">
        <f t="shared" si="101"/>
        <v>#N/A</v>
      </c>
      <c r="G2105" s="74">
        <v>32960</v>
      </c>
      <c r="H2105" s="77">
        <v>0.95833333333333337</v>
      </c>
      <c r="J2105">
        <v>48.019999999999996</v>
      </c>
      <c r="M2105" s="74">
        <v>36613</v>
      </c>
      <c r="N2105" s="77">
        <v>0.95833333333333337</v>
      </c>
      <c r="P2105">
        <v>48.2</v>
      </c>
      <c r="S2105" s="74">
        <v>38074</v>
      </c>
      <c r="T2105" s="77">
        <v>0.95833333333333337</v>
      </c>
      <c r="V2105">
        <v>44.96</v>
      </c>
      <c r="X2105" s="42"/>
      <c r="AB2105">
        <v>44.1</v>
      </c>
      <c r="AC2105">
        <v>57.92</v>
      </c>
      <c r="AE2105" s="74"/>
      <c r="AF2105" s="77"/>
      <c r="AH2105" s="497">
        <v>48.2</v>
      </c>
      <c r="AJ2105" s="42"/>
      <c r="AK2105" s="74"/>
      <c r="AL2105" s="77"/>
      <c r="AN2105" s="497">
        <v>37.94</v>
      </c>
      <c r="AP2105" s="42"/>
      <c r="AQ2105" s="74"/>
      <c r="AR2105" s="77"/>
      <c r="AT2105" s="497">
        <v>37.04</v>
      </c>
      <c r="AV2105" s="42"/>
      <c r="AW2105" s="74"/>
      <c r="AX2105" s="77"/>
      <c r="BA2105" s="497">
        <v>26.96</v>
      </c>
      <c r="BB2105" s="42"/>
      <c r="BC2105" s="74"/>
      <c r="BD2105" s="77"/>
      <c r="BF2105">
        <v>28.94</v>
      </c>
      <c r="BH2105" s="42"/>
      <c r="BI2105" s="74"/>
      <c r="BJ2105" s="77"/>
      <c r="BL2105" s="497">
        <v>53.96</v>
      </c>
      <c r="BN2105" s="42"/>
      <c r="BO2105" s="74"/>
      <c r="BP2105" s="77"/>
      <c r="BR2105" s="497">
        <v>42.980000000000004</v>
      </c>
      <c r="BT2105" s="42"/>
    </row>
    <row r="2106" spans="1:72" x14ac:dyDescent="0.25">
      <c r="A2106" s="90">
        <v>38074</v>
      </c>
      <c r="B2106" s="20">
        <v>1</v>
      </c>
      <c r="D2106">
        <v>46.94</v>
      </c>
      <c r="E2106" t="str">
        <f t="shared" si="100"/>
        <v>SUNDAY</v>
      </c>
      <c r="F2106" t="e">
        <f t="shared" si="101"/>
        <v>#N/A</v>
      </c>
      <c r="G2106" s="74">
        <v>32960</v>
      </c>
      <c r="H2106" s="77">
        <v>1</v>
      </c>
      <c r="J2106">
        <v>44.96</v>
      </c>
      <c r="M2106" s="74">
        <v>36613</v>
      </c>
      <c r="N2106" s="80">
        <v>1</v>
      </c>
      <c r="P2106">
        <v>46.4</v>
      </c>
      <c r="S2106" s="74">
        <v>38074</v>
      </c>
      <c r="T2106" s="80">
        <v>1</v>
      </c>
      <c r="V2106">
        <v>42.08</v>
      </c>
      <c r="X2106" s="42"/>
      <c r="AB2106">
        <v>43.4</v>
      </c>
      <c r="AC2106">
        <v>57.92</v>
      </c>
      <c r="AE2106" s="74"/>
      <c r="AF2106" s="80"/>
      <c r="AH2106" s="497">
        <v>48.2</v>
      </c>
      <c r="AJ2106" s="42"/>
      <c r="AK2106" s="74"/>
      <c r="AL2106" s="80"/>
      <c r="AN2106" s="497">
        <v>33.08</v>
      </c>
      <c r="AP2106" s="42"/>
      <c r="AQ2106" s="74"/>
      <c r="AR2106" s="80"/>
      <c r="AT2106" s="497">
        <v>35.96</v>
      </c>
      <c r="AV2106" s="42"/>
      <c r="AW2106" s="74"/>
      <c r="AX2106" s="80"/>
      <c r="BA2106" s="497">
        <v>26.96</v>
      </c>
      <c r="BB2106" s="42"/>
      <c r="BC2106" s="74"/>
      <c r="BD2106" s="80"/>
      <c r="BF2106">
        <v>28.94</v>
      </c>
      <c r="BH2106" s="42"/>
      <c r="BI2106" s="74"/>
      <c r="BJ2106" s="80"/>
      <c r="BL2106" s="497">
        <v>55.94</v>
      </c>
      <c r="BN2106" s="42"/>
      <c r="BO2106" s="74"/>
      <c r="BP2106" s="80"/>
      <c r="BR2106" s="497">
        <v>42.08</v>
      </c>
      <c r="BT2106" s="42"/>
    </row>
    <row r="2107" spans="1:72" x14ac:dyDescent="0.25">
      <c r="A2107" s="90">
        <v>38075</v>
      </c>
      <c r="B2107" s="20">
        <v>4.1666666666666664E-2</v>
      </c>
      <c r="D2107">
        <v>46.04</v>
      </c>
      <c r="E2107" t="str">
        <f t="shared" si="100"/>
        <v>WEEKDAY</v>
      </c>
      <c r="F2107" t="e">
        <f t="shared" si="101"/>
        <v>#N/A</v>
      </c>
      <c r="G2107" s="74">
        <v>32961</v>
      </c>
      <c r="H2107" s="77">
        <v>4.1666666666666664E-2</v>
      </c>
      <c r="J2107">
        <v>44.06</v>
      </c>
      <c r="M2107" s="74">
        <v>36614</v>
      </c>
      <c r="N2107" s="77">
        <v>4.1666666666666664E-2</v>
      </c>
      <c r="P2107">
        <v>48.2</v>
      </c>
      <c r="S2107" s="74">
        <v>38075</v>
      </c>
      <c r="T2107" s="77">
        <v>4.1666666666666664E-2</v>
      </c>
      <c r="V2107">
        <v>39.92</v>
      </c>
      <c r="X2107" s="42"/>
      <c r="AB2107">
        <v>42.8</v>
      </c>
      <c r="AC2107">
        <v>55.94</v>
      </c>
      <c r="AE2107" s="74"/>
      <c r="AF2107" s="77"/>
      <c r="AH2107" s="497">
        <v>46.4</v>
      </c>
      <c r="AJ2107" s="42"/>
      <c r="AK2107" s="74"/>
      <c r="AL2107" s="77"/>
      <c r="AN2107" s="497">
        <v>32</v>
      </c>
      <c r="AP2107" s="42"/>
      <c r="AQ2107" s="74"/>
      <c r="AR2107" s="77"/>
      <c r="AT2107" s="497">
        <v>35.06</v>
      </c>
      <c r="AV2107" s="42"/>
      <c r="AW2107" s="74"/>
      <c r="AX2107" s="77"/>
      <c r="BA2107" s="497">
        <v>26.060000000000002</v>
      </c>
      <c r="BB2107" s="42"/>
      <c r="BC2107" s="74"/>
      <c r="BD2107" s="77"/>
      <c r="BF2107">
        <v>28.94</v>
      </c>
      <c r="BH2107" s="42"/>
      <c r="BI2107" s="74"/>
      <c r="BJ2107" s="77"/>
      <c r="BL2107" s="497">
        <v>59</v>
      </c>
      <c r="BN2107" s="42"/>
      <c r="BO2107" s="74"/>
      <c r="BP2107" s="77"/>
      <c r="BR2107" s="497">
        <v>39.92</v>
      </c>
      <c r="BT2107" s="42"/>
    </row>
    <row r="2108" spans="1:72" x14ac:dyDescent="0.25">
      <c r="A2108" s="90">
        <v>38075</v>
      </c>
      <c r="B2108" s="20">
        <v>8.3333333333333329E-2</v>
      </c>
      <c r="D2108">
        <v>44.96</v>
      </c>
      <c r="E2108" t="str">
        <f t="shared" si="100"/>
        <v>WEEKDAY</v>
      </c>
      <c r="F2108" t="e">
        <f t="shared" si="101"/>
        <v>#N/A</v>
      </c>
      <c r="G2108" s="74">
        <v>32961</v>
      </c>
      <c r="H2108" s="77">
        <v>8.3333333333333329E-2</v>
      </c>
      <c r="J2108">
        <v>41</v>
      </c>
      <c r="M2108" s="74">
        <v>36614</v>
      </c>
      <c r="N2108" s="77">
        <v>8.3333333333333329E-2</v>
      </c>
      <c r="P2108">
        <v>46.4</v>
      </c>
      <c r="S2108" s="74">
        <v>38075</v>
      </c>
      <c r="T2108" s="77">
        <v>8.3333333333333329E-2</v>
      </c>
      <c r="V2108">
        <v>37.94</v>
      </c>
      <c r="X2108" s="42"/>
      <c r="AB2108">
        <v>42.2</v>
      </c>
      <c r="AC2108">
        <v>51.980000000000004</v>
      </c>
      <c r="AE2108" s="74"/>
      <c r="AF2108" s="77"/>
      <c r="AH2108" s="497">
        <v>46.4</v>
      </c>
      <c r="AJ2108" s="42"/>
      <c r="AK2108" s="74"/>
      <c r="AL2108" s="77"/>
      <c r="AN2108" s="497">
        <v>32</v>
      </c>
      <c r="AP2108" s="42"/>
      <c r="AQ2108" s="74"/>
      <c r="AR2108" s="77"/>
      <c r="AT2108" s="497">
        <v>33.619999999999997</v>
      </c>
      <c r="AV2108" s="42"/>
      <c r="AW2108" s="74"/>
      <c r="AX2108" s="77"/>
      <c r="BA2108" s="497">
        <v>24.08</v>
      </c>
      <c r="BB2108" s="42"/>
      <c r="BC2108" s="74"/>
      <c r="BD2108" s="77"/>
      <c r="BF2108">
        <v>30.02</v>
      </c>
      <c r="BH2108" s="42"/>
      <c r="BI2108" s="74"/>
      <c r="BJ2108" s="77"/>
      <c r="BL2108" s="497">
        <v>57.92</v>
      </c>
      <c r="BN2108" s="42"/>
      <c r="BO2108" s="74"/>
      <c r="BP2108" s="77"/>
      <c r="BR2108" s="497">
        <v>35.06</v>
      </c>
      <c r="BT2108" s="42"/>
    </row>
    <row r="2109" spans="1:72" x14ac:dyDescent="0.25">
      <c r="A2109" s="90">
        <v>38075</v>
      </c>
      <c r="B2109" s="20">
        <v>0.125</v>
      </c>
      <c r="D2109">
        <v>42.980000000000004</v>
      </c>
      <c r="E2109" t="str">
        <f t="shared" si="100"/>
        <v>WEEKDAY</v>
      </c>
      <c r="F2109" t="e">
        <f t="shared" si="101"/>
        <v>#N/A</v>
      </c>
      <c r="G2109" s="74">
        <v>32961</v>
      </c>
      <c r="H2109" s="77">
        <v>0.125</v>
      </c>
      <c r="J2109">
        <v>39.92</v>
      </c>
      <c r="M2109" s="74">
        <v>36614</v>
      </c>
      <c r="N2109" s="77">
        <v>0.125</v>
      </c>
      <c r="P2109">
        <v>46.4</v>
      </c>
      <c r="S2109" s="74">
        <v>38075</v>
      </c>
      <c r="T2109" s="77">
        <v>0.125</v>
      </c>
      <c r="V2109">
        <v>37.04</v>
      </c>
      <c r="X2109" s="42"/>
      <c r="AB2109">
        <v>41.6</v>
      </c>
      <c r="AC2109">
        <v>44.96</v>
      </c>
      <c r="AE2109" s="74"/>
      <c r="AF2109" s="77"/>
      <c r="AH2109" s="497">
        <v>44.6</v>
      </c>
      <c r="AJ2109" s="42"/>
      <c r="AK2109" s="74"/>
      <c r="AL2109" s="77"/>
      <c r="AN2109" s="497">
        <v>33.979999999999997</v>
      </c>
      <c r="AP2109" s="42"/>
      <c r="AQ2109" s="74"/>
      <c r="AR2109" s="77"/>
      <c r="AT2109" s="497">
        <v>32.36</v>
      </c>
      <c r="AV2109" s="42"/>
      <c r="AW2109" s="74"/>
      <c r="AX2109" s="77"/>
      <c r="BA2109" s="497">
        <v>24.08</v>
      </c>
      <c r="BB2109" s="42"/>
      <c r="BC2109" s="74"/>
      <c r="BD2109" s="77"/>
      <c r="BF2109">
        <v>28.94</v>
      </c>
      <c r="BH2109" s="42"/>
      <c r="BI2109" s="74"/>
      <c r="BJ2109" s="77"/>
      <c r="BL2109" s="497">
        <v>59</v>
      </c>
      <c r="BN2109" s="42"/>
      <c r="BO2109" s="74"/>
      <c r="BP2109" s="77"/>
      <c r="BR2109" s="497">
        <v>37.94</v>
      </c>
      <c r="BT2109" s="42"/>
    </row>
    <row r="2110" spans="1:72" x14ac:dyDescent="0.25">
      <c r="A2110" s="90">
        <v>38075</v>
      </c>
      <c r="B2110" s="20">
        <v>0.16666666666666666</v>
      </c>
      <c r="D2110">
        <v>44.06</v>
      </c>
      <c r="E2110" t="str">
        <f t="shared" si="100"/>
        <v>WEEKDAY</v>
      </c>
      <c r="F2110" t="e">
        <f t="shared" si="101"/>
        <v>#N/A</v>
      </c>
      <c r="G2110" s="74">
        <v>32961</v>
      </c>
      <c r="H2110" s="77">
        <v>0.16666666666666666</v>
      </c>
      <c r="J2110">
        <v>39.019999999999996</v>
      </c>
      <c r="M2110" s="74">
        <v>36614</v>
      </c>
      <c r="N2110" s="77">
        <v>0.16666666666666666</v>
      </c>
      <c r="P2110">
        <v>44.6</v>
      </c>
      <c r="S2110" s="74">
        <v>38075</v>
      </c>
      <c r="T2110" s="77">
        <v>0.16666666666666666</v>
      </c>
      <c r="V2110">
        <v>35.96</v>
      </c>
      <c r="X2110" s="42"/>
      <c r="AB2110">
        <v>41.2</v>
      </c>
      <c r="AC2110">
        <v>46.04</v>
      </c>
      <c r="AE2110" s="74"/>
      <c r="AF2110" s="77"/>
      <c r="AH2110" s="497">
        <v>44.6</v>
      </c>
      <c r="AJ2110" s="42"/>
      <c r="AK2110" s="74"/>
      <c r="AL2110" s="77"/>
      <c r="AN2110" s="497">
        <v>33.08</v>
      </c>
      <c r="AP2110" s="42"/>
      <c r="AQ2110" s="74"/>
      <c r="AR2110" s="77"/>
      <c r="AT2110" s="497">
        <v>30.92</v>
      </c>
      <c r="AV2110" s="42"/>
      <c r="AW2110" s="74"/>
      <c r="AX2110" s="77"/>
      <c r="BA2110" s="497">
        <v>23</v>
      </c>
      <c r="BB2110" s="42"/>
      <c r="BC2110" s="74"/>
      <c r="BD2110" s="77"/>
      <c r="BF2110">
        <v>28.94</v>
      </c>
      <c r="BH2110" s="42"/>
      <c r="BI2110" s="74"/>
      <c r="BJ2110" s="77"/>
      <c r="BL2110" s="497">
        <v>59</v>
      </c>
      <c r="BN2110" s="42"/>
      <c r="BO2110" s="74"/>
      <c r="BP2110" s="77"/>
      <c r="BR2110" s="497">
        <v>39.019999999999996</v>
      </c>
      <c r="BT2110" s="42"/>
    </row>
    <row r="2111" spans="1:72" x14ac:dyDescent="0.25">
      <c r="A2111" s="90">
        <v>38075</v>
      </c>
      <c r="B2111" s="20">
        <v>0.20833333333333334</v>
      </c>
      <c r="D2111">
        <v>42.08</v>
      </c>
      <c r="E2111" t="str">
        <f t="shared" si="100"/>
        <v>WEEKDAY</v>
      </c>
      <c r="F2111" t="e">
        <f t="shared" si="101"/>
        <v>#N/A</v>
      </c>
      <c r="G2111" s="74">
        <v>32961</v>
      </c>
      <c r="H2111" s="77">
        <v>0.20833333333333334</v>
      </c>
      <c r="J2111">
        <v>37.94</v>
      </c>
      <c r="M2111" s="74">
        <v>36614</v>
      </c>
      <c r="N2111" s="77">
        <v>0.20833333333333334</v>
      </c>
      <c r="P2111">
        <v>42.8</v>
      </c>
      <c r="S2111" s="74">
        <v>38075</v>
      </c>
      <c r="T2111" s="77">
        <v>0.20833333333333334</v>
      </c>
      <c r="V2111">
        <v>35.96</v>
      </c>
      <c r="X2111" s="42"/>
      <c r="AB2111">
        <v>40.700000000000003</v>
      </c>
      <c r="AC2111">
        <v>46.04</v>
      </c>
      <c r="AE2111" s="74"/>
      <c r="AF2111" s="77"/>
      <c r="AH2111" s="497">
        <v>41</v>
      </c>
      <c r="AJ2111" s="42"/>
      <c r="AK2111" s="74"/>
      <c r="AL2111" s="77"/>
      <c r="AN2111" s="497">
        <v>33.08</v>
      </c>
      <c r="AP2111" s="42"/>
      <c r="AQ2111" s="74"/>
      <c r="AR2111" s="77"/>
      <c r="AT2111" s="497">
        <v>31.28</v>
      </c>
      <c r="AV2111" s="42"/>
      <c r="AW2111" s="74"/>
      <c r="AX2111" s="77"/>
      <c r="BA2111" s="497">
        <v>21.92</v>
      </c>
      <c r="BB2111" s="42"/>
      <c r="BC2111" s="74"/>
      <c r="BD2111" s="77"/>
      <c r="BF2111">
        <v>30.02</v>
      </c>
      <c r="BH2111" s="42"/>
      <c r="BI2111" s="74"/>
      <c r="BJ2111" s="77"/>
      <c r="BL2111" s="497">
        <v>57.92</v>
      </c>
      <c r="BN2111" s="42"/>
      <c r="BO2111" s="74"/>
      <c r="BP2111" s="77"/>
      <c r="BR2111" s="497">
        <v>37.94</v>
      </c>
      <c r="BT2111" s="42"/>
    </row>
    <row r="2112" spans="1:72" x14ac:dyDescent="0.25">
      <c r="A2112" s="90">
        <v>38075</v>
      </c>
      <c r="B2112" s="20">
        <v>0.25</v>
      </c>
      <c r="D2112">
        <v>41</v>
      </c>
      <c r="E2112" t="str">
        <f t="shared" si="100"/>
        <v>WEEKDAY</v>
      </c>
      <c r="F2112" t="e">
        <f t="shared" si="101"/>
        <v>#N/A</v>
      </c>
      <c r="G2112" s="74">
        <v>32961</v>
      </c>
      <c r="H2112" s="77">
        <v>0.25</v>
      </c>
      <c r="J2112">
        <v>37.04</v>
      </c>
      <c r="M2112" s="74">
        <v>36614</v>
      </c>
      <c r="N2112" s="77">
        <v>0.25</v>
      </c>
      <c r="P2112">
        <v>42.8</v>
      </c>
      <c r="S2112" s="74">
        <v>38075</v>
      </c>
      <c r="T2112" s="77">
        <v>0.25</v>
      </c>
      <c r="V2112">
        <v>35.06</v>
      </c>
      <c r="X2112" s="42"/>
      <c r="AB2112">
        <v>40.5</v>
      </c>
      <c r="AC2112">
        <v>42.980000000000004</v>
      </c>
      <c r="AE2112" s="74"/>
      <c r="AF2112" s="77"/>
      <c r="AH2112" s="497">
        <v>41</v>
      </c>
      <c r="AJ2112" s="42"/>
      <c r="AK2112" s="74"/>
      <c r="AL2112" s="77"/>
      <c r="AN2112" s="497">
        <v>33.979999999999997</v>
      </c>
      <c r="AP2112" s="42"/>
      <c r="AQ2112" s="74"/>
      <c r="AR2112" s="77"/>
      <c r="AT2112" s="497">
        <v>31.64</v>
      </c>
      <c r="AV2112" s="42"/>
      <c r="AW2112" s="74"/>
      <c r="AX2112" s="77"/>
      <c r="BA2112" s="497">
        <v>21.92</v>
      </c>
      <c r="BB2112" s="42"/>
      <c r="BC2112" s="74"/>
      <c r="BD2112" s="77"/>
      <c r="BF2112">
        <v>28.94</v>
      </c>
      <c r="BH2112" s="42"/>
      <c r="BI2112" s="74"/>
      <c r="BJ2112" s="77"/>
      <c r="BL2112" s="497">
        <v>59</v>
      </c>
      <c r="BN2112" s="42"/>
      <c r="BO2112" s="74"/>
      <c r="BP2112" s="77"/>
      <c r="BR2112" s="497">
        <v>37.94</v>
      </c>
      <c r="BT2112" s="42"/>
    </row>
    <row r="2113" spans="1:72" x14ac:dyDescent="0.25">
      <c r="A2113" s="90">
        <v>38075</v>
      </c>
      <c r="B2113" s="20">
        <v>0.29166666666666669</v>
      </c>
      <c r="D2113">
        <v>44.06</v>
      </c>
      <c r="E2113" t="str">
        <f t="shared" si="100"/>
        <v>WEEKDAY</v>
      </c>
      <c r="F2113" t="e">
        <f t="shared" si="101"/>
        <v>#N/A</v>
      </c>
      <c r="G2113" s="74">
        <v>32961</v>
      </c>
      <c r="H2113" s="77">
        <v>0.29166666666666669</v>
      </c>
      <c r="J2113">
        <v>37.94</v>
      </c>
      <c r="M2113" s="74">
        <v>36614</v>
      </c>
      <c r="N2113" s="77">
        <v>0.29166666666666669</v>
      </c>
      <c r="P2113">
        <v>42.8</v>
      </c>
      <c r="S2113" s="74">
        <v>38075</v>
      </c>
      <c r="T2113" s="77">
        <v>0.29166666666666669</v>
      </c>
      <c r="V2113">
        <v>37.04</v>
      </c>
      <c r="X2113" s="42"/>
      <c r="AB2113">
        <v>40.4</v>
      </c>
      <c r="AC2113">
        <v>46.04</v>
      </c>
      <c r="AE2113" s="74"/>
      <c r="AF2113" s="77"/>
      <c r="AH2113" s="497">
        <v>42.8</v>
      </c>
      <c r="AJ2113" s="42"/>
      <c r="AK2113" s="74"/>
      <c r="AL2113" s="77"/>
      <c r="AN2113" s="497">
        <v>35.06</v>
      </c>
      <c r="AP2113" s="42"/>
      <c r="AQ2113" s="74"/>
      <c r="AR2113" s="77"/>
      <c r="AT2113" s="497">
        <v>32</v>
      </c>
      <c r="AV2113" s="42"/>
      <c r="AW2113" s="74"/>
      <c r="AX2113" s="77"/>
      <c r="BA2113" s="497">
        <v>24.08</v>
      </c>
      <c r="BB2113" s="42"/>
      <c r="BC2113" s="74"/>
      <c r="BD2113" s="77"/>
      <c r="BF2113">
        <v>30.02</v>
      </c>
      <c r="BH2113" s="42"/>
      <c r="BI2113" s="74"/>
      <c r="BJ2113" s="77"/>
      <c r="BL2113" s="497">
        <v>59</v>
      </c>
      <c r="BN2113" s="42"/>
      <c r="BO2113" s="74"/>
      <c r="BP2113" s="77"/>
      <c r="BR2113" s="497">
        <v>39.019999999999996</v>
      </c>
      <c r="BT2113" s="42"/>
    </row>
    <row r="2114" spans="1:72" x14ac:dyDescent="0.25">
      <c r="A2114" s="90">
        <v>38075</v>
      </c>
      <c r="B2114" s="20">
        <v>0.33333333333333331</v>
      </c>
      <c r="D2114">
        <v>46.04</v>
      </c>
      <c r="E2114" t="str">
        <f t="shared" si="100"/>
        <v>WEEKDAY</v>
      </c>
      <c r="F2114" t="e">
        <f t="shared" si="101"/>
        <v>#N/A</v>
      </c>
      <c r="G2114" s="74">
        <v>32961</v>
      </c>
      <c r="H2114" s="77">
        <v>0.33333333333333331</v>
      </c>
      <c r="J2114">
        <v>39.92</v>
      </c>
      <c r="M2114" s="74">
        <v>36614</v>
      </c>
      <c r="N2114" s="77">
        <v>0.33333333333333331</v>
      </c>
      <c r="P2114">
        <v>46.4</v>
      </c>
      <c r="S2114" s="74">
        <v>38075</v>
      </c>
      <c r="T2114" s="77">
        <v>0.33333333333333331</v>
      </c>
      <c r="V2114">
        <v>39.92</v>
      </c>
      <c r="X2114" s="42"/>
      <c r="AB2114">
        <v>41.7</v>
      </c>
      <c r="AC2114">
        <v>51.980000000000004</v>
      </c>
      <c r="AE2114" s="74"/>
      <c r="AF2114" s="77"/>
      <c r="AH2114" s="497">
        <v>46.4</v>
      </c>
      <c r="AJ2114" s="42"/>
      <c r="AK2114" s="74"/>
      <c r="AL2114" s="77"/>
      <c r="AN2114" s="497">
        <v>39.019999999999996</v>
      </c>
      <c r="AP2114" s="42"/>
      <c r="AQ2114" s="74"/>
      <c r="AR2114" s="77"/>
      <c r="AT2114" s="497">
        <v>34.340000000000003</v>
      </c>
      <c r="AV2114" s="42"/>
      <c r="AW2114" s="74"/>
      <c r="AX2114" s="77"/>
      <c r="BA2114" s="497">
        <v>30.02</v>
      </c>
      <c r="BB2114" s="42"/>
      <c r="BC2114" s="74"/>
      <c r="BD2114" s="77"/>
      <c r="BF2114">
        <v>33.979999999999997</v>
      </c>
      <c r="BH2114" s="42"/>
      <c r="BI2114" s="74"/>
      <c r="BJ2114" s="77"/>
      <c r="BL2114" s="497">
        <v>60.08</v>
      </c>
      <c r="BN2114" s="42"/>
      <c r="BO2114" s="74"/>
      <c r="BP2114" s="77"/>
      <c r="BR2114" s="497">
        <v>39.92</v>
      </c>
      <c r="BT2114" s="42"/>
    </row>
    <row r="2115" spans="1:72" x14ac:dyDescent="0.25">
      <c r="A2115" s="90">
        <v>38075</v>
      </c>
      <c r="B2115" s="20">
        <v>0.375</v>
      </c>
      <c r="D2115">
        <v>46.94</v>
      </c>
      <c r="E2115" t="str">
        <f t="shared" si="100"/>
        <v>WEEKDAY</v>
      </c>
      <c r="F2115" t="e">
        <f t="shared" si="101"/>
        <v>#N/A</v>
      </c>
      <c r="G2115" s="74">
        <v>32961</v>
      </c>
      <c r="H2115" s="77">
        <v>0.375</v>
      </c>
      <c r="J2115">
        <v>42.980000000000004</v>
      </c>
      <c r="M2115" s="74">
        <v>36614</v>
      </c>
      <c r="N2115" s="77">
        <v>0.375</v>
      </c>
      <c r="P2115">
        <v>50</v>
      </c>
      <c r="S2115" s="74">
        <v>38075</v>
      </c>
      <c r="T2115" s="77">
        <v>0.375</v>
      </c>
      <c r="V2115">
        <v>42.08</v>
      </c>
      <c r="X2115" s="42"/>
      <c r="AB2115">
        <v>43.5</v>
      </c>
      <c r="AC2115">
        <v>55.040000000000006</v>
      </c>
      <c r="AE2115" s="74"/>
      <c r="AF2115" s="77"/>
      <c r="AH2115" s="497">
        <v>48.2</v>
      </c>
      <c r="AJ2115" s="42"/>
      <c r="AK2115" s="74"/>
      <c r="AL2115" s="77"/>
      <c r="AN2115" s="497">
        <v>44.06</v>
      </c>
      <c r="AP2115" s="42"/>
      <c r="AQ2115" s="74"/>
      <c r="AR2115" s="77"/>
      <c r="AT2115" s="497">
        <v>36.68</v>
      </c>
      <c r="AV2115" s="42"/>
      <c r="AW2115" s="74"/>
      <c r="AX2115" s="77"/>
      <c r="BA2115" s="497">
        <v>35.96</v>
      </c>
      <c r="BB2115" s="42"/>
      <c r="BC2115" s="74"/>
      <c r="BD2115" s="77"/>
      <c r="BF2115">
        <v>37.94</v>
      </c>
      <c r="BH2115" s="42"/>
      <c r="BI2115" s="74"/>
      <c r="BJ2115" s="77"/>
      <c r="BL2115" s="497">
        <v>64.94</v>
      </c>
      <c r="BN2115" s="42"/>
      <c r="BO2115" s="74"/>
      <c r="BP2115" s="77"/>
      <c r="BR2115" s="497">
        <v>44.96</v>
      </c>
      <c r="BT2115" s="42"/>
    </row>
    <row r="2116" spans="1:72" x14ac:dyDescent="0.25">
      <c r="A2116" s="90">
        <v>38075</v>
      </c>
      <c r="B2116" s="20">
        <v>0.41666666666666669</v>
      </c>
      <c r="D2116">
        <v>48.92</v>
      </c>
      <c r="E2116" t="str">
        <f t="shared" si="100"/>
        <v>WEEKDAY</v>
      </c>
      <c r="F2116" t="e">
        <f t="shared" si="101"/>
        <v>#N/A</v>
      </c>
      <c r="G2116" s="74">
        <v>32961</v>
      </c>
      <c r="H2116" s="77">
        <v>0.41666666666666669</v>
      </c>
      <c r="J2116">
        <v>44.06</v>
      </c>
      <c r="M2116" s="74">
        <v>36614</v>
      </c>
      <c r="N2116" s="77">
        <v>0.41666666666666669</v>
      </c>
      <c r="P2116">
        <v>51.8</v>
      </c>
      <c r="S2116" s="74">
        <v>38075</v>
      </c>
      <c r="T2116" s="77">
        <v>0.41666666666666669</v>
      </c>
      <c r="V2116">
        <v>44.06</v>
      </c>
      <c r="X2116" s="42"/>
      <c r="AB2116">
        <v>45.3</v>
      </c>
      <c r="AC2116">
        <v>57.92</v>
      </c>
      <c r="AE2116" s="74"/>
      <c r="AF2116" s="77"/>
      <c r="AH2116" s="497">
        <v>49.46</v>
      </c>
      <c r="AJ2116" s="42"/>
      <c r="AK2116" s="74"/>
      <c r="AL2116" s="77"/>
      <c r="AN2116" s="497">
        <v>46.94</v>
      </c>
      <c r="AP2116" s="42"/>
      <c r="AQ2116" s="74"/>
      <c r="AR2116" s="77"/>
      <c r="AT2116" s="497">
        <v>39.019999999999996</v>
      </c>
      <c r="AV2116" s="42"/>
      <c r="AW2116" s="74"/>
      <c r="AX2116" s="77"/>
      <c r="BA2116" s="497">
        <v>39.019999999999996</v>
      </c>
      <c r="BB2116" s="42"/>
      <c r="BC2116" s="74"/>
      <c r="BD2116" s="77"/>
      <c r="BF2116">
        <v>41</v>
      </c>
      <c r="BH2116" s="42"/>
      <c r="BI2116" s="74"/>
      <c r="BJ2116" s="77"/>
      <c r="BL2116" s="497">
        <v>66.92</v>
      </c>
      <c r="BN2116" s="42"/>
      <c r="BO2116" s="74"/>
      <c r="BP2116" s="77"/>
      <c r="BR2116" s="497">
        <v>46.94</v>
      </c>
      <c r="BT2116" s="42"/>
    </row>
    <row r="2117" spans="1:72" x14ac:dyDescent="0.25">
      <c r="A2117" s="90">
        <v>38075</v>
      </c>
      <c r="B2117" s="20">
        <v>0.45833333333333331</v>
      </c>
      <c r="D2117">
        <v>51.08</v>
      </c>
      <c r="E2117" t="str">
        <f t="shared" si="100"/>
        <v>WEEKDAY</v>
      </c>
      <c r="F2117" t="e">
        <f t="shared" si="101"/>
        <v>#N/A</v>
      </c>
      <c r="G2117" s="74">
        <v>32961</v>
      </c>
      <c r="H2117" s="77">
        <v>0.45833333333333331</v>
      </c>
      <c r="J2117">
        <v>42.980000000000004</v>
      </c>
      <c r="M2117" s="74">
        <v>36614</v>
      </c>
      <c r="N2117" s="77">
        <v>0.45833333333333331</v>
      </c>
      <c r="P2117">
        <v>51.8</v>
      </c>
      <c r="S2117" s="74">
        <v>38075</v>
      </c>
      <c r="T2117" s="77">
        <v>0.45833333333333331</v>
      </c>
      <c r="V2117">
        <v>48.019999999999996</v>
      </c>
      <c r="X2117" s="42"/>
      <c r="AB2117">
        <v>47</v>
      </c>
      <c r="AC2117">
        <v>57.92</v>
      </c>
      <c r="AE2117" s="74"/>
      <c r="AF2117" s="77"/>
      <c r="AH2117" s="497">
        <v>50</v>
      </c>
      <c r="AJ2117" s="42"/>
      <c r="AK2117" s="74"/>
      <c r="AL2117" s="77"/>
      <c r="AN2117" s="497">
        <v>51.08</v>
      </c>
      <c r="AP2117" s="42"/>
      <c r="AQ2117" s="74"/>
      <c r="AR2117" s="77"/>
      <c r="AT2117" s="497">
        <v>43.34</v>
      </c>
      <c r="AV2117" s="42"/>
      <c r="AW2117" s="74"/>
      <c r="AX2117" s="77"/>
      <c r="BA2117" s="497">
        <v>42.08</v>
      </c>
      <c r="BB2117" s="42"/>
      <c r="BC2117" s="74"/>
      <c r="BD2117" s="77"/>
      <c r="BF2117">
        <v>46.04</v>
      </c>
      <c r="BH2117" s="42"/>
      <c r="BI2117" s="74"/>
      <c r="BJ2117" s="77"/>
      <c r="BL2117" s="497">
        <v>69.98</v>
      </c>
      <c r="BN2117" s="42"/>
      <c r="BO2117" s="74"/>
      <c r="BP2117" s="77"/>
      <c r="BR2117" s="497">
        <v>50</v>
      </c>
      <c r="BT2117" s="42"/>
    </row>
    <row r="2118" spans="1:72" x14ac:dyDescent="0.25">
      <c r="A2118" s="90">
        <v>38075</v>
      </c>
      <c r="B2118" s="20">
        <v>0.5</v>
      </c>
      <c r="D2118">
        <v>51.980000000000004</v>
      </c>
      <c r="E2118" t="str">
        <f t="shared" si="100"/>
        <v>WEEKDAY</v>
      </c>
      <c r="F2118" t="e">
        <f t="shared" si="101"/>
        <v>#N/A</v>
      </c>
      <c r="G2118" s="74">
        <v>32961</v>
      </c>
      <c r="H2118" s="77">
        <v>0.5</v>
      </c>
      <c r="J2118">
        <v>44.96</v>
      </c>
      <c r="M2118" s="74">
        <v>36614</v>
      </c>
      <c r="N2118" s="77">
        <v>0.5</v>
      </c>
      <c r="P2118">
        <v>51.8</v>
      </c>
      <c r="S2118" s="74">
        <v>38075</v>
      </c>
      <c r="T2118" s="77">
        <v>0.5</v>
      </c>
      <c r="V2118">
        <v>46.04</v>
      </c>
      <c r="X2118" s="42"/>
      <c r="AB2118">
        <v>48.3</v>
      </c>
      <c r="AC2118">
        <v>55.040000000000006</v>
      </c>
      <c r="AE2118" s="74"/>
      <c r="AF2118" s="77"/>
      <c r="AH2118" s="497">
        <v>50</v>
      </c>
      <c r="AJ2118" s="42"/>
      <c r="AK2118" s="74"/>
      <c r="AL2118" s="77"/>
      <c r="AN2118" s="497">
        <v>53.06</v>
      </c>
      <c r="AP2118" s="42"/>
      <c r="AQ2118" s="74"/>
      <c r="AR2118" s="77"/>
      <c r="AT2118" s="497">
        <v>47.66</v>
      </c>
      <c r="AV2118" s="42"/>
      <c r="AW2118" s="74"/>
      <c r="AX2118" s="77"/>
      <c r="BA2118" s="497">
        <v>44.96</v>
      </c>
      <c r="BB2118" s="42"/>
      <c r="BC2118" s="74"/>
      <c r="BD2118" s="77"/>
      <c r="BF2118">
        <v>48.92</v>
      </c>
      <c r="BH2118" s="42"/>
      <c r="BI2118" s="74"/>
      <c r="BJ2118" s="77"/>
      <c r="BL2118" s="497">
        <v>71.960000000000008</v>
      </c>
      <c r="BN2118" s="42"/>
      <c r="BO2118" s="74"/>
      <c r="BP2118" s="77"/>
      <c r="BR2118" s="497">
        <v>48.019999999999996</v>
      </c>
      <c r="BT2118" s="42"/>
    </row>
    <row r="2119" spans="1:72" x14ac:dyDescent="0.25">
      <c r="A2119" s="90">
        <v>38075</v>
      </c>
      <c r="B2119" s="20">
        <v>0.54166666666666663</v>
      </c>
      <c r="D2119">
        <v>53.96</v>
      </c>
      <c r="E2119" t="str">
        <f t="shared" si="100"/>
        <v>WEEKDAY</v>
      </c>
      <c r="F2119" t="e">
        <f t="shared" si="101"/>
        <v>#N/A</v>
      </c>
      <c r="G2119" s="74">
        <v>32961</v>
      </c>
      <c r="H2119" s="77">
        <v>0.54166666666666663</v>
      </c>
      <c r="J2119">
        <v>44.96</v>
      </c>
      <c r="M2119" s="74">
        <v>36614</v>
      </c>
      <c r="N2119" s="77">
        <v>0.54166666666666663</v>
      </c>
      <c r="P2119">
        <v>48.2</v>
      </c>
      <c r="S2119" s="74">
        <v>38075</v>
      </c>
      <c r="T2119" s="77">
        <v>0.54166666666666663</v>
      </c>
      <c r="V2119">
        <v>46.04</v>
      </c>
      <c r="X2119" s="42"/>
      <c r="AB2119">
        <v>49.2</v>
      </c>
      <c r="AC2119">
        <v>51.980000000000004</v>
      </c>
      <c r="AE2119" s="74"/>
      <c r="AF2119" s="77"/>
      <c r="AH2119" s="497">
        <v>44.6</v>
      </c>
      <c r="AJ2119" s="42"/>
      <c r="AK2119" s="74"/>
      <c r="AL2119" s="77"/>
      <c r="AN2119" s="497">
        <v>53.96</v>
      </c>
      <c r="AP2119" s="42"/>
      <c r="AQ2119" s="74"/>
      <c r="AR2119" s="77"/>
      <c r="AT2119" s="497">
        <v>51.980000000000004</v>
      </c>
      <c r="AV2119" s="42"/>
      <c r="AW2119" s="74"/>
      <c r="AX2119" s="77"/>
      <c r="BA2119" s="497">
        <v>44.96</v>
      </c>
      <c r="BB2119" s="42"/>
      <c r="BC2119" s="74"/>
      <c r="BD2119" s="77"/>
      <c r="BF2119">
        <v>50</v>
      </c>
      <c r="BH2119" s="42"/>
      <c r="BI2119" s="74"/>
      <c r="BJ2119" s="77"/>
      <c r="BL2119" s="497">
        <v>73.94</v>
      </c>
      <c r="BN2119" s="42"/>
      <c r="BO2119" s="74"/>
      <c r="BP2119" s="77"/>
      <c r="BR2119" s="497">
        <v>50</v>
      </c>
      <c r="BT2119" s="42"/>
    </row>
    <row r="2120" spans="1:72" x14ac:dyDescent="0.25">
      <c r="A2120" s="90">
        <v>38075</v>
      </c>
      <c r="B2120" s="20">
        <v>0.58333333333333337</v>
      </c>
      <c r="D2120">
        <v>57.92</v>
      </c>
      <c r="E2120" t="str">
        <f t="shared" si="100"/>
        <v>WEEKDAY</v>
      </c>
      <c r="F2120" t="e">
        <f t="shared" si="101"/>
        <v>#N/A</v>
      </c>
      <c r="G2120" s="74">
        <v>32961</v>
      </c>
      <c r="H2120" s="77">
        <v>0.58333333333333337</v>
      </c>
      <c r="J2120">
        <v>48.019999999999996</v>
      </c>
      <c r="M2120" s="74">
        <v>36614</v>
      </c>
      <c r="N2120" s="77">
        <v>0.58333333333333337</v>
      </c>
      <c r="P2120">
        <v>50</v>
      </c>
      <c r="S2120" s="74">
        <v>38075</v>
      </c>
      <c r="T2120" s="77">
        <v>0.58333333333333337</v>
      </c>
      <c r="V2120">
        <v>46.04</v>
      </c>
      <c r="X2120" s="42"/>
      <c r="AB2120">
        <v>50.1</v>
      </c>
      <c r="AC2120">
        <v>51.980000000000004</v>
      </c>
      <c r="AE2120" s="74"/>
      <c r="AF2120" s="77"/>
      <c r="AH2120" s="497">
        <v>46.4</v>
      </c>
      <c r="AJ2120" s="42"/>
      <c r="AK2120" s="74"/>
      <c r="AL2120" s="77"/>
      <c r="AN2120" s="497">
        <v>57.019999999999996</v>
      </c>
      <c r="AP2120" s="42"/>
      <c r="AQ2120" s="74"/>
      <c r="AR2120" s="77"/>
      <c r="AT2120" s="497">
        <v>52.7</v>
      </c>
      <c r="AV2120" s="42"/>
      <c r="AW2120" s="74"/>
      <c r="AX2120" s="77"/>
      <c r="BA2120" s="497">
        <v>46.94</v>
      </c>
      <c r="BB2120" s="42"/>
      <c r="BC2120" s="74"/>
      <c r="BD2120" s="77"/>
      <c r="BF2120">
        <v>48.92</v>
      </c>
      <c r="BH2120" s="42"/>
      <c r="BI2120" s="74"/>
      <c r="BJ2120" s="77"/>
      <c r="BL2120" s="497">
        <v>75.02</v>
      </c>
      <c r="BN2120" s="42"/>
      <c r="BO2120" s="74"/>
      <c r="BP2120" s="77"/>
      <c r="BR2120" s="497">
        <v>48.019999999999996</v>
      </c>
      <c r="BT2120" s="42"/>
    </row>
    <row r="2121" spans="1:72" x14ac:dyDescent="0.25">
      <c r="A2121" s="90">
        <v>38075</v>
      </c>
      <c r="B2121" s="20">
        <v>0.625</v>
      </c>
      <c r="D2121">
        <v>55.040000000000006</v>
      </c>
      <c r="E2121" t="str">
        <f t="shared" si="100"/>
        <v>WEEKDAY</v>
      </c>
      <c r="F2121" t="e">
        <f t="shared" si="101"/>
        <v>#N/A</v>
      </c>
      <c r="G2121" s="74">
        <v>32961</v>
      </c>
      <c r="H2121" s="77">
        <v>0.625</v>
      </c>
      <c r="J2121">
        <v>46.04</v>
      </c>
      <c r="M2121" s="74">
        <v>36614</v>
      </c>
      <c r="N2121" s="77">
        <v>0.625</v>
      </c>
      <c r="P2121">
        <v>50</v>
      </c>
      <c r="S2121" s="74">
        <v>38075</v>
      </c>
      <c r="T2121" s="77">
        <v>0.625</v>
      </c>
      <c r="V2121">
        <v>44.96</v>
      </c>
      <c r="X2121" s="42"/>
      <c r="AB2121">
        <v>50.3</v>
      </c>
      <c r="AC2121">
        <v>50</v>
      </c>
      <c r="AE2121" s="74"/>
      <c r="AF2121" s="77"/>
      <c r="AH2121" s="497">
        <v>48.2</v>
      </c>
      <c r="AJ2121" s="42"/>
      <c r="AK2121" s="74"/>
      <c r="AL2121" s="77"/>
      <c r="AN2121" s="497">
        <v>57.92</v>
      </c>
      <c r="AP2121" s="42"/>
      <c r="AQ2121" s="74"/>
      <c r="AR2121" s="77"/>
      <c r="AT2121" s="497">
        <v>53.24</v>
      </c>
      <c r="AV2121" s="42"/>
      <c r="AW2121" s="74"/>
      <c r="AX2121" s="77"/>
      <c r="BA2121" s="497">
        <v>46.94</v>
      </c>
      <c r="BB2121" s="42"/>
      <c r="BC2121" s="74"/>
      <c r="BD2121" s="77"/>
      <c r="BF2121">
        <v>50</v>
      </c>
      <c r="BH2121" s="42"/>
      <c r="BI2121" s="74"/>
      <c r="BJ2121" s="77"/>
      <c r="BL2121" s="497">
        <v>75.92</v>
      </c>
      <c r="BN2121" s="42"/>
      <c r="BO2121" s="74"/>
      <c r="BP2121" s="77"/>
      <c r="BR2121" s="497">
        <v>48.92</v>
      </c>
      <c r="BT2121" s="42"/>
    </row>
    <row r="2122" spans="1:72" x14ac:dyDescent="0.25">
      <c r="A2122" s="90">
        <v>38075</v>
      </c>
      <c r="B2122" s="20">
        <v>0.66666666666666663</v>
      </c>
      <c r="D2122">
        <v>53.96</v>
      </c>
      <c r="E2122" t="str">
        <f t="shared" si="100"/>
        <v>WEEKDAY</v>
      </c>
      <c r="F2122" t="e">
        <f t="shared" si="101"/>
        <v>#N/A</v>
      </c>
      <c r="G2122" s="74">
        <v>32961</v>
      </c>
      <c r="H2122" s="77">
        <v>0.66666666666666663</v>
      </c>
      <c r="J2122">
        <v>46.04</v>
      </c>
      <c r="M2122" s="74">
        <v>36614</v>
      </c>
      <c r="N2122" s="77">
        <v>0.66666666666666663</v>
      </c>
      <c r="P2122">
        <v>50</v>
      </c>
      <c r="S2122" s="74">
        <v>38075</v>
      </c>
      <c r="T2122" s="77">
        <v>0.66666666666666663</v>
      </c>
      <c r="V2122">
        <v>44.96</v>
      </c>
      <c r="X2122" s="42"/>
      <c r="AB2122">
        <v>50.2</v>
      </c>
      <c r="AC2122">
        <v>48.92</v>
      </c>
      <c r="AE2122" s="74"/>
      <c r="AF2122" s="77"/>
      <c r="AH2122" s="497">
        <v>46.4</v>
      </c>
      <c r="AJ2122" s="42"/>
      <c r="AK2122" s="74"/>
      <c r="AL2122" s="77"/>
      <c r="AN2122" s="497">
        <v>57.92</v>
      </c>
      <c r="AP2122" s="42"/>
      <c r="AQ2122" s="74"/>
      <c r="AR2122" s="77"/>
      <c r="AT2122" s="497">
        <v>53.96</v>
      </c>
      <c r="AV2122" s="42"/>
      <c r="AW2122" s="74"/>
      <c r="AX2122" s="77"/>
      <c r="BA2122" s="497">
        <v>46.04</v>
      </c>
      <c r="BB2122" s="42"/>
      <c r="BC2122" s="74"/>
      <c r="BD2122" s="77"/>
      <c r="BF2122">
        <v>46.04</v>
      </c>
      <c r="BH2122" s="42"/>
      <c r="BI2122" s="74"/>
      <c r="BJ2122" s="77"/>
      <c r="BL2122" s="497">
        <v>75.92</v>
      </c>
      <c r="BN2122" s="42"/>
      <c r="BO2122" s="74"/>
      <c r="BP2122" s="77"/>
      <c r="BR2122" s="497">
        <v>50</v>
      </c>
      <c r="BT2122" s="42"/>
    </row>
    <row r="2123" spans="1:72" x14ac:dyDescent="0.25">
      <c r="A2123" s="90">
        <v>38075</v>
      </c>
      <c r="B2123" s="20">
        <v>0.70833333333333337</v>
      </c>
      <c r="D2123">
        <v>51.08</v>
      </c>
      <c r="E2123" t="str">
        <f t="shared" si="100"/>
        <v>WEEKDAY</v>
      </c>
      <c r="F2123" t="e">
        <f t="shared" si="101"/>
        <v>#N/A</v>
      </c>
      <c r="G2123" s="74">
        <v>32961</v>
      </c>
      <c r="H2123" s="77">
        <v>0.70833333333333337</v>
      </c>
      <c r="J2123">
        <v>44.96</v>
      </c>
      <c r="M2123" s="74">
        <v>36614</v>
      </c>
      <c r="N2123" s="77">
        <v>0.70833333333333337</v>
      </c>
      <c r="P2123">
        <v>48.2</v>
      </c>
      <c r="S2123" s="74">
        <v>38075</v>
      </c>
      <c r="T2123" s="77">
        <v>0.70833333333333337</v>
      </c>
      <c r="V2123">
        <v>42.980000000000004</v>
      </c>
      <c r="X2123" s="42"/>
      <c r="AB2123">
        <v>49.8</v>
      </c>
      <c r="AC2123">
        <v>48.019999999999996</v>
      </c>
      <c r="AE2123" s="74"/>
      <c r="AF2123" s="77"/>
      <c r="AH2123" s="497">
        <v>46.4</v>
      </c>
      <c r="AJ2123" s="42"/>
      <c r="AK2123" s="74"/>
      <c r="AL2123" s="77"/>
      <c r="AN2123" s="497">
        <v>57.019999999999996</v>
      </c>
      <c r="AP2123" s="42"/>
      <c r="AQ2123" s="74"/>
      <c r="AR2123" s="77"/>
      <c r="AT2123" s="497">
        <v>51.620000000000005</v>
      </c>
      <c r="AV2123" s="42"/>
      <c r="AW2123" s="74"/>
      <c r="AX2123" s="77"/>
      <c r="BA2123" s="497">
        <v>44.96</v>
      </c>
      <c r="BB2123" s="42"/>
      <c r="BC2123" s="74"/>
      <c r="BD2123" s="77"/>
      <c r="BF2123">
        <v>44.06</v>
      </c>
      <c r="BH2123" s="42"/>
      <c r="BI2123" s="74"/>
      <c r="BJ2123" s="77"/>
      <c r="BL2123" s="497">
        <v>75.92</v>
      </c>
      <c r="BN2123" s="42"/>
      <c r="BO2123" s="74"/>
      <c r="BP2123" s="77"/>
      <c r="BR2123" s="497">
        <v>50</v>
      </c>
      <c r="BT2123" s="42"/>
    </row>
    <row r="2124" spans="1:72" x14ac:dyDescent="0.25">
      <c r="A2124" s="90">
        <v>38075</v>
      </c>
      <c r="B2124" s="20">
        <v>0.75</v>
      </c>
      <c r="D2124">
        <v>48.92</v>
      </c>
      <c r="E2124" t="str">
        <f t="shared" si="100"/>
        <v>WEEKDAY</v>
      </c>
      <c r="F2124" t="e">
        <f t="shared" si="101"/>
        <v>#N/A</v>
      </c>
      <c r="G2124" s="74">
        <v>32961</v>
      </c>
      <c r="H2124" s="77">
        <v>0.75</v>
      </c>
      <c r="J2124">
        <v>44.06</v>
      </c>
      <c r="M2124" s="74">
        <v>36614</v>
      </c>
      <c r="N2124" s="77">
        <v>0.75</v>
      </c>
      <c r="P2124">
        <v>48.2</v>
      </c>
      <c r="S2124" s="74">
        <v>38075</v>
      </c>
      <c r="T2124" s="77">
        <v>0.75</v>
      </c>
      <c r="V2124">
        <v>41</v>
      </c>
      <c r="X2124" s="42"/>
      <c r="AB2124">
        <v>48.7</v>
      </c>
      <c r="AC2124">
        <v>48.019999999999996</v>
      </c>
      <c r="AE2124" s="74"/>
      <c r="AF2124" s="77"/>
      <c r="AH2124" s="497">
        <v>44.6</v>
      </c>
      <c r="AJ2124" s="42"/>
      <c r="AK2124" s="74"/>
      <c r="AL2124" s="77"/>
      <c r="AN2124" s="497">
        <v>55.040000000000006</v>
      </c>
      <c r="AP2124" s="42"/>
      <c r="AQ2124" s="74"/>
      <c r="AR2124" s="77"/>
      <c r="AT2124" s="497">
        <v>49.28</v>
      </c>
      <c r="AV2124" s="42"/>
      <c r="AW2124" s="74"/>
      <c r="AX2124" s="77"/>
      <c r="BA2124" s="497">
        <v>44.06</v>
      </c>
      <c r="BB2124" s="42"/>
      <c r="BC2124" s="74"/>
      <c r="BD2124" s="77"/>
      <c r="BF2124">
        <v>42.980000000000004</v>
      </c>
      <c r="BH2124" s="42"/>
      <c r="BI2124" s="74"/>
      <c r="BJ2124" s="77"/>
      <c r="BL2124" s="497">
        <v>73.039999999999992</v>
      </c>
      <c r="BN2124" s="42"/>
      <c r="BO2124" s="74"/>
      <c r="BP2124" s="77"/>
      <c r="BR2124" s="497">
        <v>50</v>
      </c>
      <c r="BT2124" s="42"/>
    </row>
    <row r="2125" spans="1:72" x14ac:dyDescent="0.25">
      <c r="A2125" s="90">
        <v>38075</v>
      </c>
      <c r="B2125" s="20">
        <v>0.79166666666666663</v>
      </c>
      <c r="D2125">
        <v>46.04</v>
      </c>
      <c r="E2125" t="str">
        <f t="shared" si="100"/>
        <v>WEEKDAY</v>
      </c>
      <c r="F2125" t="e">
        <f t="shared" si="101"/>
        <v>#N/A</v>
      </c>
      <c r="G2125" s="74">
        <v>32961</v>
      </c>
      <c r="H2125" s="77">
        <v>0.79166666666666663</v>
      </c>
      <c r="J2125">
        <v>44.06</v>
      </c>
      <c r="M2125" s="74">
        <v>36614</v>
      </c>
      <c r="N2125" s="77">
        <v>0.79166666666666663</v>
      </c>
      <c r="P2125">
        <v>46.4</v>
      </c>
      <c r="S2125" s="74">
        <v>38075</v>
      </c>
      <c r="T2125" s="77">
        <v>0.79166666666666663</v>
      </c>
      <c r="V2125">
        <v>39.019999999999996</v>
      </c>
      <c r="X2125" s="42"/>
      <c r="AB2125">
        <v>47.3</v>
      </c>
      <c r="AC2125">
        <v>46.94</v>
      </c>
      <c r="AE2125" s="74"/>
      <c r="AF2125" s="77"/>
      <c r="AH2125" s="497">
        <v>46.4</v>
      </c>
      <c r="AJ2125" s="42"/>
      <c r="AK2125" s="74"/>
      <c r="AL2125" s="77"/>
      <c r="AN2125" s="497">
        <v>53.96</v>
      </c>
      <c r="AP2125" s="42"/>
      <c r="AQ2125" s="74"/>
      <c r="AR2125" s="77"/>
      <c r="AT2125" s="497">
        <v>46.94</v>
      </c>
      <c r="AV2125" s="42"/>
      <c r="AW2125" s="74"/>
      <c r="AX2125" s="77"/>
      <c r="BA2125" s="497">
        <v>42.980000000000004</v>
      </c>
      <c r="BB2125" s="42"/>
      <c r="BC2125" s="74"/>
      <c r="BD2125" s="77"/>
      <c r="BF2125">
        <v>39.92</v>
      </c>
      <c r="BH2125" s="42"/>
      <c r="BI2125" s="74"/>
      <c r="BJ2125" s="77"/>
      <c r="BL2125" s="497">
        <v>69.98</v>
      </c>
      <c r="BN2125" s="42"/>
      <c r="BO2125" s="74"/>
      <c r="BP2125" s="77"/>
      <c r="BR2125" s="497">
        <v>48.019999999999996</v>
      </c>
      <c r="BT2125" s="42"/>
    </row>
    <row r="2126" spans="1:72" x14ac:dyDescent="0.25">
      <c r="A2126" s="90">
        <v>38075</v>
      </c>
      <c r="B2126" s="20">
        <v>0.83333333333333337</v>
      </c>
      <c r="D2126">
        <v>46.04</v>
      </c>
      <c r="E2126" t="str">
        <f t="shared" si="100"/>
        <v>WEEKDAY</v>
      </c>
      <c r="F2126" t="e">
        <f t="shared" si="101"/>
        <v>#N/A</v>
      </c>
      <c r="G2126" s="74">
        <v>32961</v>
      </c>
      <c r="H2126" s="77">
        <v>0.83333333333333337</v>
      </c>
      <c r="J2126">
        <v>42.980000000000004</v>
      </c>
      <c r="M2126" s="74">
        <v>36614</v>
      </c>
      <c r="N2126" s="77">
        <v>0.83333333333333337</v>
      </c>
      <c r="P2126">
        <v>46.4</v>
      </c>
      <c r="S2126" s="74">
        <v>38075</v>
      </c>
      <c r="T2126" s="77">
        <v>0.83333333333333337</v>
      </c>
      <c r="V2126">
        <v>39.019999999999996</v>
      </c>
      <c r="X2126" s="42"/>
      <c r="AB2126">
        <v>46.2</v>
      </c>
      <c r="AC2126">
        <v>46.94</v>
      </c>
      <c r="AE2126" s="74"/>
      <c r="AF2126" s="77"/>
      <c r="AH2126" s="497">
        <v>44.6</v>
      </c>
      <c r="AJ2126" s="42"/>
      <c r="AK2126" s="74"/>
      <c r="AL2126" s="77"/>
      <c r="AN2126" s="497">
        <v>51.980000000000004</v>
      </c>
      <c r="AP2126" s="42"/>
      <c r="AQ2126" s="74"/>
      <c r="AR2126" s="77"/>
      <c r="AT2126" s="497">
        <v>44.6</v>
      </c>
      <c r="AV2126" s="42"/>
      <c r="AW2126" s="74"/>
      <c r="AX2126" s="77"/>
      <c r="BA2126" s="497">
        <v>42.08</v>
      </c>
      <c r="BB2126" s="42"/>
      <c r="BC2126" s="74"/>
      <c r="BD2126" s="77"/>
      <c r="BF2126">
        <v>39.019999999999996</v>
      </c>
      <c r="BH2126" s="42"/>
      <c r="BI2126" s="74"/>
      <c r="BJ2126" s="77"/>
      <c r="BL2126" s="497">
        <v>66.02</v>
      </c>
      <c r="BN2126" s="42"/>
      <c r="BO2126" s="74"/>
      <c r="BP2126" s="77"/>
      <c r="BR2126" s="497">
        <v>48.019999999999996</v>
      </c>
      <c r="BT2126" s="42"/>
    </row>
    <row r="2127" spans="1:72" x14ac:dyDescent="0.25">
      <c r="A2127" s="90">
        <v>38075</v>
      </c>
      <c r="B2127" s="20">
        <v>0.875</v>
      </c>
      <c r="D2127">
        <v>44.96</v>
      </c>
      <c r="E2127" t="str">
        <f t="shared" si="100"/>
        <v>WEEKDAY</v>
      </c>
      <c r="F2127" t="e">
        <f t="shared" si="101"/>
        <v>#N/A</v>
      </c>
      <c r="G2127" s="74">
        <v>32961</v>
      </c>
      <c r="H2127" s="77">
        <v>0.875</v>
      </c>
      <c r="J2127">
        <v>42.980000000000004</v>
      </c>
      <c r="M2127" s="74">
        <v>36614</v>
      </c>
      <c r="N2127" s="77">
        <v>0.875</v>
      </c>
      <c r="P2127">
        <v>46.4</v>
      </c>
      <c r="S2127" s="74">
        <v>38075</v>
      </c>
      <c r="T2127" s="77">
        <v>0.875</v>
      </c>
      <c r="V2127">
        <v>37.94</v>
      </c>
      <c r="X2127" s="42"/>
      <c r="AB2127">
        <v>45.6</v>
      </c>
      <c r="AC2127">
        <v>46.94</v>
      </c>
      <c r="AE2127" s="74"/>
      <c r="AF2127" s="77"/>
      <c r="AH2127" s="497">
        <v>44.6</v>
      </c>
      <c r="AJ2127" s="42"/>
      <c r="AK2127" s="74"/>
      <c r="AL2127" s="77"/>
      <c r="AN2127" s="497">
        <v>51.08</v>
      </c>
      <c r="AP2127" s="42"/>
      <c r="AQ2127" s="74"/>
      <c r="AR2127" s="77"/>
      <c r="AT2127" s="497">
        <v>42.26</v>
      </c>
      <c r="AV2127" s="42"/>
      <c r="AW2127" s="74"/>
      <c r="AX2127" s="77"/>
      <c r="BA2127" s="497">
        <v>39.019999999999996</v>
      </c>
      <c r="BB2127" s="42"/>
      <c r="BC2127" s="74"/>
      <c r="BD2127" s="77"/>
      <c r="BF2127">
        <v>39.92</v>
      </c>
      <c r="BH2127" s="42"/>
      <c r="BI2127" s="74"/>
      <c r="BJ2127" s="77"/>
      <c r="BL2127" s="497">
        <v>59</v>
      </c>
      <c r="BN2127" s="42"/>
      <c r="BO2127" s="74"/>
      <c r="BP2127" s="77"/>
      <c r="BR2127" s="497">
        <v>46.94</v>
      </c>
      <c r="BT2127" s="42"/>
    </row>
    <row r="2128" spans="1:72" x14ac:dyDescent="0.25">
      <c r="A2128" s="90">
        <v>38075</v>
      </c>
      <c r="B2128" s="20">
        <v>0.91666666666666663</v>
      </c>
      <c r="D2128">
        <v>44.96</v>
      </c>
      <c r="E2128" t="str">
        <f t="shared" si="100"/>
        <v>WEEKDAY</v>
      </c>
      <c r="F2128" t="e">
        <f t="shared" si="101"/>
        <v>#N/A</v>
      </c>
      <c r="G2128" s="74">
        <v>32961</v>
      </c>
      <c r="H2128" s="77">
        <v>0.91666666666666663</v>
      </c>
      <c r="J2128">
        <v>42.980000000000004</v>
      </c>
      <c r="M2128" s="74">
        <v>36614</v>
      </c>
      <c r="N2128" s="77">
        <v>0.91666666666666663</v>
      </c>
      <c r="P2128">
        <v>46.4</v>
      </c>
      <c r="S2128" s="74">
        <v>38075</v>
      </c>
      <c r="T2128" s="77">
        <v>0.91666666666666663</v>
      </c>
      <c r="V2128">
        <v>37.94</v>
      </c>
      <c r="X2128" s="42"/>
      <c r="AB2128">
        <v>44.9</v>
      </c>
      <c r="AC2128">
        <v>48.019999999999996</v>
      </c>
      <c r="AE2128" s="74"/>
      <c r="AF2128" s="77"/>
      <c r="AH2128" s="497">
        <v>44.6</v>
      </c>
      <c r="AJ2128" s="42"/>
      <c r="AK2128" s="74"/>
      <c r="AL2128" s="77"/>
      <c r="AN2128" s="497">
        <v>51.08</v>
      </c>
      <c r="AP2128" s="42"/>
      <c r="AQ2128" s="74"/>
      <c r="AR2128" s="77"/>
      <c r="AT2128" s="497">
        <v>39.92</v>
      </c>
      <c r="AV2128" s="42"/>
      <c r="AW2128" s="74"/>
      <c r="AX2128" s="77"/>
      <c r="BA2128" s="497">
        <v>39.019999999999996</v>
      </c>
      <c r="BB2128" s="42"/>
      <c r="BC2128" s="74"/>
      <c r="BD2128" s="77"/>
      <c r="BF2128">
        <v>39.92</v>
      </c>
      <c r="BH2128" s="42"/>
      <c r="BI2128" s="74"/>
      <c r="BJ2128" s="77"/>
      <c r="BL2128" s="497">
        <v>62.06</v>
      </c>
      <c r="BN2128" s="42"/>
      <c r="BO2128" s="74"/>
      <c r="BP2128" s="77"/>
      <c r="BR2128" s="497">
        <v>44.06</v>
      </c>
      <c r="BT2128" s="42"/>
    </row>
    <row r="2129" spans="1:72" x14ac:dyDescent="0.25">
      <c r="A2129" s="90">
        <v>38075</v>
      </c>
      <c r="B2129" s="20">
        <v>0.95833333333333337</v>
      </c>
      <c r="D2129">
        <v>44.06</v>
      </c>
      <c r="E2129" t="str">
        <f t="shared" si="100"/>
        <v>WEEKDAY</v>
      </c>
      <c r="F2129" t="e">
        <f t="shared" si="101"/>
        <v>#N/A</v>
      </c>
      <c r="G2129" s="74">
        <v>32961</v>
      </c>
      <c r="H2129" s="77">
        <v>0.95833333333333337</v>
      </c>
      <c r="J2129">
        <v>41</v>
      </c>
      <c r="M2129" s="74">
        <v>36614</v>
      </c>
      <c r="N2129" s="77">
        <v>0.95833333333333337</v>
      </c>
      <c r="P2129">
        <v>44.6</v>
      </c>
      <c r="S2129" s="74">
        <v>38075</v>
      </c>
      <c r="T2129" s="77">
        <v>0.95833333333333337</v>
      </c>
      <c r="V2129">
        <v>37.94</v>
      </c>
      <c r="X2129" s="42"/>
      <c r="AB2129">
        <v>44.2</v>
      </c>
      <c r="AC2129">
        <v>48.019999999999996</v>
      </c>
      <c r="AE2129" s="74"/>
      <c r="AF2129" s="77"/>
      <c r="AH2129" s="497">
        <v>44.6</v>
      </c>
      <c r="AJ2129" s="42"/>
      <c r="AK2129" s="74"/>
      <c r="AL2129" s="77"/>
      <c r="AN2129" s="497">
        <v>51.08</v>
      </c>
      <c r="AP2129" s="42"/>
      <c r="AQ2129" s="74"/>
      <c r="AR2129" s="77"/>
      <c r="AT2129" s="497">
        <v>39.019999999999996</v>
      </c>
      <c r="AV2129" s="42"/>
      <c r="AW2129" s="74"/>
      <c r="AX2129" s="77"/>
      <c r="BA2129" s="497">
        <v>37.04</v>
      </c>
      <c r="BB2129" s="42"/>
      <c r="BC2129" s="74"/>
      <c r="BD2129" s="77"/>
      <c r="BF2129">
        <v>42.08</v>
      </c>
      <c r="BH2129" s="42"/>
      <c r="BI2129" s="74"/>
      <c r="BJ2129" s="77"/>
      <c r="BL2129" s="497">
        <v>62.06</v>
      </c>
      <c r="BN2129" s="42"/>
      <c r="BO2129" s="74"/>
      <c r="BP2129" s="77"/>
      <c r="BR2129" s="497">
        <v>42.08</v>
      </c>
      <c r="BT2129" s="42"/>
    </row>
    <row r="2130" spans="1:72" x14ac:dyDescent="0.25">
      <c r="A2130" s="90">
        <v>38075</v>
      </c>
      <c r="B2130" s="20">
        <v>1</v>
      </c>
      <c r="D2130">
        <v>44.06</v>
      </c>
      <c r="E2130" t="str">
        <f t="shared" si="100"/>
        <v>WEEKDAY</v>
      </c>
      <c r="F2130" t="e">
        <f t="shared" si="101"/>
        <v>#N/A</v>
      </c>
      <c r="G2130" s="74">
        <v>32961</v>
      </c>
      <c r="H2130" s="77">
        <v>1</v>
      </c>
      <c r="J2130">
        <v>39.92</v>
      </c>
      <c r="M2130" s="74">
        <v>36614</v>
      </c>
      <c r="N2130" s="80">
        <v>1</v>
      </c>
      <c r="P2130">
        <v>44.6</v>
      </c>
      <c r="S2130" s="74">
        <v>38075</v>
      </c>
      <c r="T2130" s="80">
        <v>1</v>
      </c>
      <c r="V2130">
        <v>37.04</v>
      </c>
      <c r="X2130" s="42"/>
      <c r="AB2130">
        <v>43.6</v>
      </c>
      <c r="AC2130">
        <v>46.94</v>
      </c>
      <c r="AE2130" s="74"/>
      <c r="AF2130" s="80"/>
      <c r="AH2130" s="497">
        <v>44.6</v>
      </c>
      <c r="AJ2130" s="42"/>
      <c r="AK2130" s="74"/>
      <c r="AL2130" s="80"/>
      <c r="AN2130" s="497">
        <v>50</v>
      </c>
      <c r="AP2130" s="42"/>
      <c r="AQ2130" s="74"/>
      <c r="AR2130" s="80"/>
      <c r="AT2130" s="497">
        <v>37.94</v>
      </c>
      <c r="AV2130" s="42"/>
      <c r="AW2130" s="74"/>
      <c r="AX2130" s="80"/>
      <c r="BA2130" s="497">
        <v>37.04</v>
      </c>
      <c r="BB2130" s="42"/>
      <c r="BC2130" s="74"/>
      <c r="BD2130" s="80"/>
      <c r="BF2130">
        <v>41</v>
      </c>
      <c r="BH2130" s="42"/>
      <c r="BI2130" s="74"/>
      <c r="BJ2130" s="80"/>
      <c r="BL2130" s="497">
        <v>62.06</v>
      </c>
      <c r="BN2130" s="42"/>
      <c r="BO2130" s="74"/>
      <c r="BP2130" s="80"/>
      <c r="BR2130" s="497">
        <v>41</v>
      </c>
      <c r="BT2130" s="42"/>
    </row>
    <row r="2131" spans="1:72" x14ac:dyDescent="0.25">
      <c r="A2131" s="90">
        <v>38076</v>
      </c>
      <c r="B2131" s="20">
        <v>4.1666666666666664E-2</v>
      </c>
      <c r="D2131">
        <v>44.06</v>
      </c>
      <c r="E2131" t="str">
        <f t="shared" ref="E2131:E2194" si="102">IF(COUNTIF($DI$18:$DI$22, WEEKDAY(A2131))=1, "WEEKDAY", IF(WEEKDAY(A2131) = 1, "SUNDAY", "SATURDAY"))</f>
        <v>WEEKDAY</v>
      </c>
      <c r="F2131" t="e">
        <f t="shared" si="101"/>
        <v>#N/A</v>
      </c>
      <c r="G2131" s="74">
        <v>32962</v>
      </c>
      <c r="H2131" s="77">
        <v>4.1666666666666664E-2</v>
      </c>
      <c r="J2131">
        <v>39.92</v>
      </c>
      <c r="M2131" s="74">
        <v>36615</v>
      </c>
      <c r="N2131" s="77">
        <v>4.1666666666666664E-2</v>
      </c>
      <c r="P2131">
        <v>42.8</v>
      </c>
      <c r="S2131" s="74">
        <v>38076</v>
      </c>
      <c r="T2131" s="77">
        <v>4.1666666666666664E-2</v>
      </c>
      <c r="V2131">
        <v>37.04</v>
      </c>
      <c r="X2131" s="42"/>
      <c r="AB2131">
        <v>43</v>
      </c>
      <c r="AC2131">
        <v>42.08</v>
      </c>
      <c r="AE2131" s="74"/>
      <c r="AF2131" s="77"/>
      <c r="AH2131" s="497">
        <v>44.6</v>
      </c>
      <c r="AJ2131" s="42"/>
      <c r="AK2131" s="74"/>
      <c r="AL2131" s="77"/>
      <c r="AN2131" s="497">
        <v>48.92</v>
      </c>
      <c r="AP2131" s="42"/>
      <c r="AQ2131" s="74"/>
      <c r="AR2131" s="77"/>
      <c r="AT2131" s="497">
        <v>37.04</v>
      </c>
      <c r="AV2131" s="42"/>
      <c r="AW2131" s="74"/>
      <c r="AX2131" s="77"/>
      <c r="BA2131" s="497">
        <v>39.92</v>
      </c>
      <c r="BB2131" s="42"/>
      <c r="BC2131" s="74"/>
      <c r="BD2131" s="77"/>
      <c r="BF2131">
        <v>39.92</v>
      </c>
      <c r="BH2131" s="42"/>
      <c r="BI2131" s="74"/>
      <c r="BJ2131" s="77"/>
      <c r="BL2131" s="497">
        <v>62.96</v>
      </c>
      <c r="BN2131" s="42"/>
      <c r="BO2131" s="74"/>
      <c r="BP2131" s="77"/>
      <c r="BR2131" s="497">
        <v>39.92</v>
      </c>
      <c r="BT2131" s="42"/>
    </row>
    <row r="2132" spans="1:72" x14ac:dyDescent="0.25">
      <c r="A2132" s="90">
        <v>38076</v>
      </c>
      <c r="B2132" s="20">
        <v>8.3333333333333329E-2</v>
      </c>
      <c r="D2132">
        <v>44.96</v>
      </c>
      <c r="E2132" t="str">
        <f t="shared" si="102"/>
        <v>WEEKDAY</v>
      </c>
      <c r="F2132" t="e">
        <f t="shared" si="101"/>
        <v>#N/A</v>
      </c>
      <c r="G2132" s="74">
        <v>32962</v>
      </c>
      <c r="H2132" s="77">
        <v>8.3333333333333329E-2</v>
      </c>
      <c r="J2132">
        <v>39.019999999999996</v>
      </c>
      <c r="M2132" s="74">
        <v>36615</v>
      </c>
      <c r="N2132" s="77">
        <v>8.3333333333333329E-2</v>
      </c>
      <c r="P2132">
        <v>42.8</v>
      </c>
      <c r="S2132" s="74">
        <v>38076</v>
      </c>
      <c r="T2132" s="77">
        <v>8.3333333333333329E-2</v>
      </c>
      <c r="V2132">
        <v>35.96</v>
      </c>
      <c r="X2132" s="42"/>
      <c r="AB2132">
        <v>42.3</v>
      </c>
      <c r="AC2132">
        <v>39.92</v>
      </c>
      <c r="AE2132" s="74"/>
      <c r="AF2132" s="77"/>
      <c r="AH2132" s="497">
        <v>44.6</v>
      </c>
      <c r="AJ2132" s="42"/>
      <c r="AK2132" s="74"/>
      <c r="AL2132" s="77"/>
      <c r="AN2132" s="497">
        <v>48.019999999999996</v>
      </c>
      <c r="AP2132" s="42"/>
      <c r="AQ2132" s="74"/>
      <c r="AR2132" s="77"/>
      <c r="AT2132" s="497">
        <v>35.42</v>
      </c>
      <c r="AV2132" s="42"/>
      <c r="AW2132" s="74"/>
      <c r="AX2132" s="77"/>
      <c r="BA2132" s="497">
        <v>37.94</v>
      </c>
      <c r="BB2132" s="42"/>
      <c r="BC2132" s="74"/>
      <c r="BD2132" s="77"/>
      <c r="BF2132">
        <v>39.019999999999996</v>
      </c>
      <c r="BH2132" s="42"/>
      <c r="BI2132" s="74"/>
      <c r="BJ2132" s="77"/>
      <c r="BL2132" s="497">
        <v>62.96</v>
      </c>
      <c r="BN2132" s="42"/>
      <c r="BO2132" s="74"/>
      <c r="BP2132" s="77"/>
      <c r="BR2132" s="497">
        <v>39.019999999999996</v>
      </c>
      <c r="BT2132" s="42"/>
    </row>
    <row r="2133" spans="1:72" x14ac:dyDescent="0.25">
      <c r="A2133" s="90">
        <v>38076</v>
      </c>
      <c r="B2133" s="20">
        <v>0.125</v>
      </c>
      <c r="D2133">
        <v>44.96</v>
      </c>
      <c r="E2133" t="str">
        <f t="shared" si="102"/>
        <v>WEEKDAY</v>
      </c>
      <c r="F2133" t="e">
        <f t="shared" si="101"/>
        <v>#N/A</v>
      </c>
      <c r="G2133" s="74">
        <v>32962</v>
      </c>
      <c r="H2133" s="77">
        <v>0.125</v>
      </c>
      <c r="J2133">
        <v>39.019999999999996</v>
      </c>
      <c r="M2133" s="74">
        <v>36615</v>
      </c>
      <c r="N2133" s="77">
        <v>0.125</v>
      </c>
      <c r="P2133">
        <v>41</v>
      </c>
      <c r="S2133" s="74">
        <v>38076</v>
      </c>
      <c r="T2133" s="77">
        <v>0.125</v>
      </c>
      <c r="V2133">
        <v>35.96</v>
      </c>
      <c r="X2133" s="42"/>
      <c r="AB2133">
        <v>41.8</v>
      </c>
      <c r="AC2133">
        <v>37.94</v>
      </c>
      <c r="AE2133" s="74"/>
      <c r="AF2133" s="77"/>
      <c r="AH2133" s="497">
        <v>44.6</v>
      </c>
      <c r="AJ2133" s="42"/>
      <c r="AK2133" s="74"/>
      <c r="AL2133" s="77"/>
      <c r="AN2133" s="497">
        <v>48.92</v>
      </c>
      <c r="AP2133" s="42"/>
      <c r="AQ2133" s="74"/>
      <c r="AR2133" s="77"/>
      <c r="AT2133" s="497">
        <v>33.619999999999997</v>
      </c>
      <c r="AV2133" s="42"/>
      <c r="AW2133" s="74"/>
      <c r="AX2133" s="77"/>
      <c r="BA2133" s="497">
        <v>37.94</v>
      </c>
      <c r="BB2133" s="42"/>
      <c r="BC2133" s="74"/>
      <c r="BD2133" s="77"/>
      <c r="BF2133">
        <v>39.92</v>
      </c>
      <c r="BH2133" s="42"/>
      <c r="BI2133" s="74"/>
      <c r="BJ2133" s="77"/>
      <c r="BL2133" s="497">
        <v>62.96</v>
      </c>
      <c r="BN2133" s="42"/>
      <c r="BO2133" s="74"/>
      <c r="BP2133" s="77"/>
      <c r="BR2133" s="497">
        <v>37.04</v>
      </c>
      <c r="BT2133" s="42"/>
    </row>
    <row r="2134" spans="1:72" x14ac:dyDescent="0.25">
      <c r="A2134" s="90">
        <v>38076</v>
      </c>
      <c r="B2134" s="20">
        <v>0.16666666666666666</v>
      </c>
      <c r="D2134">
        <v>46.04</v>
      </c>
      <c r="E2134" t="str">
        <f t="shared" si="102"/>
        <v>WEEKDAY</v>
      </c>
      <c r="F2134" t="e">
        <f t="shared" si="101"/>
        <v>#N/A</v>
      </c>
      <c r="G2134" s="74">
        <v>32962</v>
      </c>
      <c r="H2134" s="77">
        <v>0.16666666666666666</v>
      </c>
      <c r="J2134">
        <v>37.94</v>
      </c>
      <c r="M2134" s="74">
        <v>36615</v>
      </c>
      <c r="N2134" s="77">
        <v>0.16666666666666666</v>
      </c>
      <c r="P2134">
        <v>39.200000000000003</v>
      </c>
      <c r="S2134" s="74">
        <v>38076</v>
      </c>
      <c r="T2134" s="77">
        <v>0.16666666666666666</v>
      </c>
      <c r="V2134">
        <v>35.96</v>
      </c>
      <c r="X2134" s="42"/>
      <c r="AB2134">
        <v>41.3</v>
      </c>
      <c r="AC2134">
        <v>37.94</v>
      </c>
      <c r="AE2134" s="74"/>
      <c r="AF2134" s="77"/>
      <c r="AH2134" s="497">
        <v>44.6</v>
      </c>
      <c r="AJ2134" s="42"/>
      <c r="AK2134" s="74"/>
      <c r="AL2134" s="77"/>
      <c r="AN2134" s="497">
        <v>48.92</v>
      </c>
      <c r="AP2134" s="42"/>
      <c r="AQ2134" s="74"/>
      <c r="AR2134" s="77"/>
      <c r="AT2134" s="497">
        <v>32</v>
      </c>
      <c r="AV2134" s="42"/>
      <c r="AW2134" s="74"/>
      <c r="AX2134" s="77"/>
      <c r="BA2134" s="497">
        <v>35.96</v>
      </c>
      <c r="BB2134" s="42"/>
      <c r="BC2134" s="74"/>
      <c r="BD2134" s="77"/>
      <c r="BF2134">
        <v>41</v>
      </c>
      <c r="BH2134" s="42"/>
      <c r="BI2134" s="74"/>
      <c r="BJ2134" s="77"/>
      <c r="BL2134" s="497">
        <v>62.96</v>
      </c>
      <c r="BN2134" s="42"/>
      <c r="BO2134" s="74"/>
      <c r="BP2134" s="77"/>
      <c r="BR2134" s="497">
        <v>35.96</v>
      </c>
      <c r="BT2134" s="42"/>
    </row>
    <row r="2135" spans="1:72" x14ac:dyDescent="0.25">
      <c r="A2135" s="90">
        <v>38076</v>
      </c>
      <c r="B2135" s="20">
        <v>0.20833333333333334</v>
      </c>
      <c r="D2135">
        <v>46.04</v>
      </c>
      <c r="E2135" t="str">
        <f t="shared" si="102"/>
        <v>WEEKDAY</v>
      </c>
      <c r="F2135" t="e">
        <f t="shared" si="101"/>
        <v>#N/A</v>
      </c>
      <c r="G2135" s="74">
        <v>32962</v>
      </c>
      <c r="H2135" s="77">
        <v>0.20833333333333334</v>
      </c>
      <c r="J2135">
        <v>37.04</v>
      </c>
      <c r="M2135" s="74">
        <v>36615</v>
      </c>
      <c r="N2135" s="77">
        <v>0.20833333333333334</v>
      </c>
      <c r="P2135">
        <v>41</v>
      </c>
      <c r="S2135" s="74">
        <v>38076</v>
      </c>
      <c r="T2135" s="77">
        <v>0.20833333333333334</v>
      </c>
      <c r="V2135">
        <v>35.96</v>
      </c>
      <c r="X2135" s="42"/>
      <c r="AB2135">
        <v>40.799999999999997</v>
      </c>
      <c r="AC2135">
        <v>37.94</v>
      </c>
      <c r="AE2135" s="74"/>
      <c r="AF2135" s="77"/>
      <c r="AH2135" s="497">
        <v>42.8</v>
      </c>
      <c r="AJ2135" s="42"/>
      <c r="AK2135" s="74"/>
      <c r="AL2135" s="77"/>
      <c r="AN2135" s="497">
        <v>48.92</v>
      </c>
      <c r="AP2135" s="42"/>
      <c r="AQ2135" s="74"/>
      <c r="AR2135" s="77"/>
      <c r="AT2135" s="497">
        <v>32.36</v>
      </c>
      <c r="AV2135" s="42"/>
      <c r="AW2135" s="74"/>
      <c r="AX2135" s="77"/>
      <c r="BA2135" s="497">
        <v>35.06</v>
      </c>
      <c r="BB2135" s="42"/>
      <c r="BC2135" s="74"/>
      <c r="BD2135" s="77"/>
      <c r="BF2135">
        <v>41</v>
      </c>
      <c r="BH2135" s="42"/>
      <c r="BI2135" s="74"/>
      <c r="BJ2135" s="77"/>
      <c r="BL2135" s="497">
        <v>62.96</v>
      </c>
      <c r="BN2135" s="42"/>
      <c r="BO2135" s="74"/>
      <c r="BP2135" s="77"/>
      <c r="BR2135" s="497">
        <v>35.06</v>
      </c>
      <c r="BT2135" s="42"/>
    </row>
    <row r="2136" spans="1:72" x14ac:dyDescent="0.25">
      <c r="A2136" s="90">
        <v>38076</v>
      </c>
      <c r="B2136" s="20">
        <v>0.25</v>
      </c>
      <c r="D2136">
        <v>46.04</v>
      </c>
      <c r="E2136" t="str">
        <f t="shared" si="102"/>
        <v>WEEKDAY</v>
      </c>
      <c r="F2136" t="e">
        <f t="shared" si="101"/>
        <v>#N/A</v>
      </c>
      <c r="G2136" s="74">
        <v>32962</v>
      </c>
      <c r="H2136" s="77">
        <v>0.25</v>
      </c>
      <c r="J2136">
        <v>35.96</v>
      </c>
      <c r="M2136" s="74">
        <v>36615</v>
      </c>
      <c r="N2136" s="77">
        <v>0.25</v>
      </c>
      <c r="P2136">
        <v>41</v>
      </c>
      <c r="S2136" s="74">
        <v>38076</v>
      </c>
      <c r="T2136" s="77">
        <v>0.25</v>
      </c>
      <c r="V2136">
        <v>35.96</v>
      </c>
      <c r="X2136" s="42"/>
      <c r="AB2136">
        <v>40.700000000000003</v>
      </c>
      <c r="AC2136">
        <v>37.04</v>
      </c>
      <c r="AE2136" s="74"/>
      <c r="AF2136" s="77"/>
      <c r="AH2136" s="497">
        <v>42.26</v>
      </c>
      <c r="AJ2136" s="42"/>
      <c r="AK2136" s="74"/>
      <c r="AL2136" s="77"/>
      <c r="AN2136" s="497">
        <v>44.96</v>
      </c>
      <c r="AP2136" s="42"/>
      <c r="AQ2136" s="74"/>
      <c r="AR2136" s="77"/>
      <c r="AT2136" s="497">
        <v>32.72</v>
      </c>
      <c r="AV2136" s="42"/>
      <c r="AW2136" s="74"/>
      <c r="AX2136" s="77"/>
      <c r="BA2136" s="497">
        <v>33.08</v>
      </c>
      <c r="BB2136" s="42"/>
      <c r="BC2136" s="74"/>
      <c r="BD2136" s="77"/>
      <c r="BF2136">
        <v>39.92</v>
      </c>
      <c r="BH2136" s="42"/>
      <c r="BI2136" s="74"/>
      <c r="BJ2136" s="77"/>
      <c r="BL2136" s="497">
        <v>62.06</v>
      </c>
      <c r="BN2136" s="42"/>
      <c r="BO2136" s="74"/>
      <c r="BP2136" s="77"/>
      <c r="BR2136" s="497">
        <v>35.96</v>
      </c>
      <c r="BT2136" s="42"/>
    </row>
    <row r="2137" spans="1:72" x14ac:dyDescent="0.25">
      <c r="A2137" s="90">
        <v>38076</v>
      </c>
      <c r="B2137" s="20">
        <v>0.29166666666666669</v>
      </c>
      <c r="D2137">
        <v>46.94</v>
      </c>
      <c r="E2137" t="str">
        <f t="shared" si="102"/>
        <v>WEEKDAY</v>
      </c>
      <c r="F2137" t="e">
        <f t="shared" si="101"/>
        <v>#N/A</v>
      </c>
      <c r="G2137" s="74">
        <v>32962</v>
      </c>
      <c r="H2137" s="77">
        <v>0.29166666666666669</v>
      </c>
      <c r="J2137">
        <v>35.96</v>
      </c>
      <c r="M2137" s="74">
        <v>36615</v>
      </c>
      <c r="N2137" s="77">
        <v>0.29166666666666669</v>
      </c>
      <c r="P2137">
        <v>42.8</v>
      </c>
      <c r="S2137" s="74">
        <v>38076</v>
      </c>
      <c r="T2137" s="77">
        <v>0.29166666666666669</v>
      </c>
      <c r="V2137">
        <v>35.96</v>
      </c>
      <c r="X2137" s="42"/>
      <c r="AB2137">
        <v>40.5</v>
      </c>
      <c r="AC2137">
        <v>37.04</v>
      </c>
      <c r="AE2137" s="74"/>
      <c r="AF2137" s="77"/>
      <c r="AH2137" s="497">
        <v>42.8</v>
      </c>
      <c r="AJ2137" s="42"/>
      <c r="AK2137" s="74"/>
      <c r="AL2137" s="77"/>
      <c r="AN2137" s="497">
        <v>44.06</v>
      </c>
      <c r="AP2137" s="42"/>
      <c r="AQ2137" s="74"/>
      <c r="AR2137" s="77"/>
      <c r="AT2137" s="497">
        <v>33.08</v>
      </c>
      <c r="AV2137" s="42"/>
      <c r="AW2137" s="74"/>
      <c r="AX2137" s="77"/>
      <c r="BA2137" s="497">
        <v>33.08</v>
      </c>
      <c r="BB2137" s="42"/>
      <c r="BC2137" s="74"/>
      <c r="BD2137" s="77"/>
      <c r="BF2137">
        <v>39.92</v>
      </c>
      <c r="BH2137" s="42"/>
      <c r="BI2137" s="74"/>
      <c r="BJ2137" s="77"/>
      <c r="BL2137" s="497">
        <v>60.980000000000004</v>
      </c>
      <c r="BN2137" s="42"/>
      <c r="BO2137" s="74"/>
      <c r="BP2137" s="77"/>
      <c r="BR2137" s="497">
        <v>33.08</v>
      </c>
      <c r="BT2137" s="42"/>
    </row>
    <row r="2138" spans="1:72" x14ac:dyDescent="0.25">
      <c r="A2138" s="90">
        <v>38076</v>
      </c>
      <c r="B2138" s="20">
        <v>0.33333333333333331</v>
      </c>
      <c r="D2138">
        <v>48.019999999999996</v>
      </c>
      <c r="E2138" t="str">
        <f t="shared" si="102"/>
        <v>WEEKDAY</v>
      </c>
      <c r="F2138" t="e">
        <f t="shared" si="101"/>
        <v>#N/A</v>
      </c>
      <c r="G2138" s="74">
        <v>32962</v>
      </c>
      <c r="H2138" s="77">
        <v>0.33333333333333331</v>
      </c>
      <c r="J2138">
        <v>37.04</v>
      </c>
      <c r="M2138" s="74">
        <v>36615</v>
      </c>
      <c r="N2138" s="77">
        <v>0.33333333333333331</v>
      </c>
      <c r="P2138">
        <v>44.6</v>
      </c>
      <c r="S2138" s="74">
        <v>38076</v>
      </c>
      <c r="T2138" s="77">
        <v>0.33333333333333331</v>
      </c>
      <c r="V2138">
        <v>37.04</v>
      </c>
      <c r="X2138" s="42"/>
      <c r="AB2138">
        <v>41.9</v>
      </c>
      <c r="AC2138">
        <v>35.06</v>
      </c>
      <c r="AE2138" s="74"/>
      <c r="AF2138" s="77"/>
      <c r="AH2138" s="497">
        <v>42.8</v>
      </c>
      <c r="AJ2138" s="42"/>
      <c r="AK2138" s="74"/>
      <c r="AL2138" s="77"/>
      <c r="AN2138" s="497">
        <v>44.06</v>
      </c>
      <c r="AP2138" s="42"/>
      <c r="AQ2138" s="74"/>
      <c r="AR2138" s="77"/>
      <c r="AT2138" s="497">
        <v>38.659999999999997</v>
      </c>
      <c r="AV2138" s="42"/>
      <c r="AW2138" s="74"/>
      <c r="AX2138" s="77"/>
      <c r="BA2138" s="497">
        <v>33.08</v>
      </c>
      <c r="BB2138" s="42"/>
      <c r="BC2138" s="74"/>
      <c r="BD2138" s="77"/>
      <c r="BF2138">
        <v>39.92</v>
      </c>
      <c r="BH2138" s="42"/>
      <c r="BI2138" s="74"/>
      <c r="BJ2138" s="77"/>
      <c r="BL2138" s="497">
        <v>66.92</v>
      </c>
      <c r="BN2138" s="42"/>
      <c r="BO2138" s="74"/>
      <c r="BP2138" s="77"/>
      <c r="BR2138" s="497">
        <v>33.979999999999997</v>
      </c>
      <c r="BT2138" s="42"/>
    </row>
    <row r="2139" spans="1:72" x14ac:dyDescent="0.25">
      <c r="A2139" s="90">
        <v>38076</v>
      </c>
      <c r="B2139" s="20">
        <v>0.375</v>
      </c>
      <c r="D2139">
        <v>48.019999999999996</v>
      </c>
      <c r="E2139" t="str">
        <f t="shared" si="102"/>
        <v>WEEKDAY</v>
      </c>
      <c r="F2139" t="e">
        <f t="shared" si="101"/>
        <v>#N/A</v>
      </c>
      <c r="G2139" s="74">
        <v>32962</v>
      </c>
      <c r="H2139" s="77">
        <v>0.375</v>
      </c>
      <c r="J2139">
        <v>37.04</v>
      </c>
      <c r="M2139" s="74">
        <v>36615</v>
      </c>
      <c r="N2139" s="77">
        <v>0.375</v>
      </c>
      <c r="P2139">
        <v>46.4</v>
      </c>
      <c r="S2139" s="74">
        <v>38076</v>
      </c>
      <c r="T2139" s="77">
        <v>0.375</v>
      </c>
      <c r="V2139">
        <v>37.04</v>
      </c>
      <c r="X2139" s="42"/>
      <c r="AB2139">
        <v>43.8</v>
      </c>
      <c r="AC2139">
        <v>35.06</v>
      </c>
      <c r="AE2139" s="74"/>
      <c r="AF2139" s="77"/>
      <c r="AH2139" s="497">
        <v>44.6</v>
      </c>
      <c r="AJ2139" s="42"/>
      <c r="AK2139" s="74"/>
      <c r="AL2139" s="77"/>
      <c r="AN2139" s="497">
        <v>46.04</v>
      </c>
      <c r="AP2139" s="42"/>
      <c r="AQ2139" s="74"/>
      <c r="AR2139" s="77"/>
      <c r="AT2139" s="497">
        <v>44.42</v>
      </c>
      <c r="AV2139" s="42"/>
      <c r="AW2139" s="74"/>
      <c r="AX2139" s="77"/>
      <c r="BA2139" s="497">
        <v>33.08</v>
      </c>
      <c r="BB2139" s="42"/>
      <c r="BC2139" s="74"/>
      <c r="BD2139" s="77"/>
      <c r="BF2139">
        <v>41</v>
      </c>
      <c r="BH2139" s="42"/>
      <c r="BI2139" s="74"/>
      <c r="BJ2139" s="77"/>
      <c r="BL2139" s="497">
        <v>71.960000000000008</v>
      </c>
      <c r="BN2139" s="42"/>
      <c r="BO2139" s="74"/>
      <c r="BP2139" s="77"/>
      <c r="BR2139" s="497">
        <v>35.06</v>
      </c>
      <c r="BT2139" s="42"/>
    </row>
    <row r="2140" spans="1:72" x14ac:dyDescent="0.25">
      <c r="A2140" s="90">
        <v>38076</v>
      </c>
      <c r="B2140" s="20">
        <v>0.41666666666666669</v>
      </c>
      <c r="D2140">
        <v>48.019999999999996</v>
      </c>
      <c r="E2140" t="str">
        <f t="shared" si="102"/>
        <v>WEEKDAY</v>
      </c>
      <c r="F2140" t="e">
        <f t="shared" si="101"/>
        <v>#N/A</v>
      </c>
      <c r="G2140" s="74">
        <v>32962</v>
      </c>
      <c r="H2140" s="77">
        <v>0.41666666666666669</v>
      </c>
      <c r="J2140">
        <v>37.94</v>
      </c>
      <c r="M2140" s="74">
        <v>36615</v>
      </c>
      <c r="N2140" s="77">
        <v>0.41666666666666669</v>
      </c>
      <c r="P2140">
        <v>50</v>
      </c>
      <c r="S2140" s="74">
        <v>38076</v>
      </c>
      <c r="T2140" s="77">
        <v>0.41666666666666669</v>
      </c>
      <c r="V2140">
        <v>39.019999999999996</v>
      </c>
      <c r="X2140" s="42"/>
      <c r="AB2140">
        <v>45.6</v>
      </c>
      <c r="AC2140">
        <v>33.979999999999997</v>
      </c>
      <c r="AE2140" s="74"/>
      <c r="AF2140" s="77"/>
      <c r="AH2140" s="497">
        <v>48.2</v>
      </c>
      <c r="AJ2140" s="42"/>
      <c r="AK2140" s="74"/>
      <c r="AL2140" s="77"/>
      <c r="AN2140" s="497">
        <v>46.04</v>
      </c>
      <c r="AP2140" s="42"/>
      <c r="AQ2140" s="74"/>
      <c r="AR2140" s="77"/>
      <c r="AT2140" s="497">
        <v>50</v>
      </c>
      <c r="AV2140" s="42"/>
      <c r="AW2140" s="74"/>
      <c r="AX2140" s="77"/>
      <c r="BA2140" s="497">
        <v>33.979999999999997</v>
      </c>
      <c r="BB2140" s="42"/>
      <c r="BC2140" s="74"/>
      <c r="BD2140" s="77"/>
      <c r="BF2140">
        <v>42.980000000000004</v>
      </c>
      <c r="BH2140" s="42"/>
      <c r="BI2140" s="74"/>
      <c r="BJ2140" s="77"/>
      <c r="BL2140" s="497">
        <v>75.02</v>
      </c>
      <c r="BN2140" s="42"/>
      <c r="BO2140" s="74"/>
      <c r="BP2140" s="77"/>
      <c r="BR2140" s="497">
        <v>37.04</v>
      </c>
      <c r="BT2140" s="42"/>
    </row>
    <row r="2141" spans="1:72" x14ac:dyDescent="0.25">
      <c r="A2141" s="90">
        <v>38076</v>
      </c>
      <c r="B2141" s="20">
        <v>0.45833333333333331</v>
      </c>
      <c r="D2141">
        <v>48.019999999999996</v>
      </c>
      <c r="E2141" t="str">
        <f t="shared" si="102"/>
        <v>WEEKDAY</v>
      </c>
      <c r="F2141" t="e">
        <f t="shared" si="101"/>
        <v>#N/A</v>
      </c>
      <c r="G2141" s="74">
        <v>32962</v>
      </c>
      <c r="H2141" s="77">
        <v>0.45833333333333331</v>
      </c>
      <c r="J2141">
        <v>37.94</v>
      </c>
      <c r="M2141" s="74">
        <v>36615</v>
      </c>
      <c r="N2141" s="77">
        <v>0.45833333333333331</v>
      </c>
      <c r="P2141">
        <v>51.8</v>
      </c>
      <c r="S2141" s="74">
        <v>38076</v>
      </c>
      <c r="T2141" s="77">
        <v>0.45833333333333331</v>
      </c>
      <c r="V2141">
        <v>41</v>
      </c>
      <c r="X2141" s="42"/>
      <c r="AB2141">
        <v>47.3</v>
      </c>
      <c r="AC2141">
        <v>35.06</v>
      </c>
      <c r="AE2141" s="74"/>
      <c r="AF2141" s="77"/>
      <c r="AH2141" s="497">
        <v>48.2</v>
      </c>
      <c r="AJ2141" s="42"/>
      <c r="AK2141" s="74"/>
      <c r="AL2141" s="77"/>
      <c r="AN2141" s="497">
        <v>48.92</v>
      </c>
      <c r="AP2141" s="42"/>
      <c r="AQ2141" s="74"/>
      <c r="AR2141" s="77"/>
      <c r="AT2141" s="497">
        <v>53.6</v>
      </c>
      <c r="AV2141" s="42"/>
      <c r="AW2141" s="74"/>
      <c r="AX2141" s="77"/>
      <c r="BA2141" s="497">
        <v>33.979999999999997</v>
      </c>
      <c r="BB2141" s="42"/>
      <c r="BC2141" s="74"/>
      <c r="BD2141" s="77"/>
      <c r="BF2141">
        <v>42.980000000000004</v>
      </c>
      <c r="BH2141" s="42"/>
      <c r="BI2141" s="74"/>
      <c r="BJ2141" s="77"/>
      <c r="BL2141" s="497">
        <v>78.080000000000013</v>
      </c>
      <c r="BN2141" s="42"/>
      <c r="BO2141" s="74"/>
      <c r="BP2141" s="77"/>
      <c r="BR2141" s="497">
        <v>39.92</v>
      </c>
      <c r="BT2141" s="42"/>
    </row>
    <row r="2142" spans="1:72" x14ac:dyDescent="0.25">
      <c r="A2142" s="90">
        <v>38076</v>
      </c>
      <c r="B2142" s="20">
        <v>0.5</v>
      </c>
      <c r="D2142">
        <v>48.92</v>
      </c>
      <c r="E2142" t="str">
        <f t="shared" si="102"/>
        <v>WEEKDAY</v>
      </c>
      <c r="F2142" t="e">
        <f t="shared" si="101"/>
        <v>#N/A</v>
      </c>
      <c r="G2142" s="74">
        <v>32962</v>
      </c>
      <c r="H2142" s="77">
        <v>0.5</v>
      </c>
      <c r="J2142">
        <v>37.94</v>
      </c>
      <c r="M2142" s="74">
        <v>36615</v>
      </c>
      <c r="N2142" s="77">
        <v>0.5</v>
      </c>
      <c r="P2142">
        <v>53.6</v>
      </c>
      <c r="S2142" s="74">
        <v>38076</v>
      </c>
      <c r="T2142" s="77">
        <v>0.5</v>
      </c>
      <c r="V2142">
        <v>42.08</v>
      </c>
      <c r="X2142" s="42"/>
      <c r="AB2142">
        <v>48.6</v>
      </c>
      <c r="AC2142">
        <v>39.019999999999996</v>
      </c>
      <c r="AE2142" s="74"/>
      <c r="AF2142" s="77"/>
      <c r="AH2142" s="497">
        <v>48.2</v>
      </c>
      <c r="AJ2142" s="42"/>
      <c r="AK2142" s="74"/>
      <c r="AL2142" s="77"/>
      <c r="AN2142" s="497">
        <v>51.980000000000004</v>
      </c>
      <c r="AP2142" s="42"/>
      <c r="AQ2142" s="74"/>
      <c r="AR2142" s="77"/>
      <c r="AT2142" s="497">
        <v>57.379999999999995</v>
      </c>
      <c r="AV2142" s="42"/>
      <c r="AW2142" s="74"/>
      <c r="AX2142" s="77"/>
      <c r="BA2142" s="497">
        <v>35.06</v>
      </c>
      <c r="BB2142" s="42"/>
      <c r="BC2142" s="74"/>
      <c r="BD2142" s="77"/>
      <c r="BF2142">
        <v>44.06</v>
      </c>
      <c r="BH2142" s="42"/>
      <c r="BI2142" s="74"/>
      <c r="BJ2142" s="77"/>
      <c r="BL2142" s="497">
        <v>80.06</v>
      </c>
      <c r="BN2142" s="42"/>
      <c r="BO2142" s="74"/>
      <c r="BP2142" s="77"/>
      <c r="BR2142" s="497">
        <v>39.92</v>
      </c>
      <c r="BT2142" s="42"/>
    </row>
    <row r="2143" spans="1:72" x14ac:dyDescent="0.25">
      <c r="A2143" s="90">
        <v>38076</v>
      </c>
      <c r="B2143" s="20">
        <v>0.54166666666666663</v>
      </c>
      <c r="D2143">
        <v>48.92</v>
      </c>
      <c r="E2143" t="str">
        <f t="shared" si="102"/>
        <v>WEEKDAY</v>
      </c>
      <c r="F2143" t="e">
        <f t="shared" si="101"/>
        <v>#N/A</v>
      </c>
      <c r="G2143" s="74">
        <v>32962</v>
      </c>
      <c r="H2143" s="77">
        <v>0.54166666666666663</v>
      </c>
      <c r="J2143">
        <v>37.94</v>
      </c>
      <c r="M2143" s="74">
        <v>36615</v>
      </c>
      <c r="N2143" s="77">
        <v>0.54166666666666663</v>
      </c>
      <c r="P2143">
        <v>51.8</v>
      </c>
      <c r="S2143" s="74">
        <v>38076</v>
      </c>
      <c r="T2143" s="77">
        <v>0.54166666666666663</v>
      </c>
      <c r="V2143">
        <v>44.06</v>
      </c>
      <c r="X2143" s="42"/>
      <c r="AB2143">
        <v>49.5</v>
      </c>
      <c r="AC2143">
        <v>39.92</v>
      </c>
      <c r="AE2143" s="74"/>
      <c r="AF2143" s="77"/>
      <c r="AH2143" s="497">
        <v>51.8</v>
      </c>
      <c r="AJ2143" s="42"/>
      <c r="AK2143" s="74"/>
      <c r="AL2143" s="77"/>
      <c r="AN2143" s="497">
        <v>53.06</v>
      </c>
      <c r="AP2143" s="42"/>
      <c r="AQ2143" s="74"/>
      <c r="AR2143" s="77"/>
      <c r="AT2143" s="497">
        <v>60.980000000000004</v>
      </c>
      <c r="AV2143" s="42"/>
      <c r="AW2143" s="74"/>
      <c r="AX2143" s="77"/>
      <c r="BA2143" s="497">
        <v>35.96</v>
      </c>
      <c r="BB2143" s="42"/>
      <c r="BC2143" s="74"/>
      <c r="BD2143" s="77"/>
      <c r="BF2143">
        <v>44.06</v>
      </c>
      <c r="BH2143" s="42"/>
      <c r="BI2143" s="74"/>
      <c r="BJ2143" s="77"/>
      <c r="BL2143" s="497">
        <v>82.039999999999992</v>
      </c>
      <c r="BN2143" s="42"/>
      <c r="BO2143" s="74"/>
      <c r="BP2143" s="77"/>
      <c r="BR2143" s="497">
        <v>42.08</v>
      </c>
      <c r="BT2143" s="42"/>
    </row>
    <row r="2144" spans="1:72" x14ac:dyDescent="0.25">
      <c r="A2144" s="90">
        <v>38076</v>
      </c>
      <c r="B2144" s="20">
        <v>0.58333333333333337</v>
      </c>
      <c r="D2144">
        <v>50</v>
      </c>
      <c r="E2144" t="str">
        <f t="shared" si="102"/>
        <v>WEEKDAY</v>
      </c>
      <c r="F2144" t="e">
        <f t="shared" si="101"/>
        <v>#N/A</v>
      </c>
      <c r="G2144" s="74">
        <v>32962</v>
      </c>
      <c r="H2144" s="77">
        <v>0.58333333333333337</v>
      </c>
      <c r="J2144">
        <v>39.019999999999996</v>
      </c>
      <c r="M2144" s="74">
        <v>36615</v>
      </c>
      <c r="N2144" s="77">
        <v>0.58333333333333337</v>
      </c>
      <c r="P2144">
        <v>53.6</v>
      </c>
      <c r="S2144" s="74">
        <v>38076</v>
      </c>
      <c r="T2144" s="77">
        <v>0.58333333333333337</v>
      </c>
      <c r="V2144">
        <v>44.06</v>
      </c>
      <c r="X2144" s="42"/>
      <c r="AB2144">
        <v>50.3</v>
      </c>
      <c r="AC2144">
        <v>42.08</v>
      </c>
      <c r="AE2144" s="74"/>
      <c r="AF2144" s="77"/>
      <c r="AH2144" s="497">
        <v>50</v>
      </c>
      <c r="AJ2144" s="42"/>
      <c r="AK2144" s="74"/>
      <c r="AL2144" s="77"/>
      <c r="AN2144" s="497">
        <v>55.94</v>
      </c>
      <c r="AP2144" s="42"/>
      <c r="AQ2144" s="74"/>
      <c r="AR2144" s="77"/>
      <c r="AT2144" s="497">
        <v>60.620000000000005</v>
      </c>
      <c r="AV2144" s="42"/>
      <c r="AW2144" s="74"/>
      <c r="AX2144" s="77"/>
      <c r="BA2144" s="497">
        <v>37.04</v>
      </c>
      <c r="BB2144" s="42"/>
      <c r="BC2144" s="74"/>
      <c r="BD2144" s="77"/>
      <c r="BF2144">
        <v>44.96</v>
      </c>
      <c r="BH2144" s="42"/>
      <c r="BI2144" s="74"/>
      <c r="BJ2144" s="77"/>
      <c r="BL2144" s="497">
        <v>78.98</v>
      </c>
      <c r="BN2144" s="42"/>
      <c r="BO2144" s="74"/>
      <c r="BP2144" s="77"/>
      <c r="BR2144" s="497">
        <v>42.980000000000004</v>
      </c>
      <c r="BT2144" s="42"/>
    </row>
    <row r="2145" spans="1:72" x14ac:dyDescent="0.25">
      <c r="A2145" s="90">
        <v>38076</v>
      </c>
      <c r="B2145" s="20">
        <v>0.625</v>
      </c>
      <c r="D2145">
        <v>48.92</v>
      </c>
      <c r="E2145" t="str">
        <f t="shared" si="102"/>
        <v>WEEKDAY</v>
      </c>
      <c r="F2145" t="e">
        <f t="shared" si="101"/>
        <v>#N/A</v>
      </c>
      <c r="G2145" s="74">
        <v>32962</v>
      </c>
      <c r="H2145" s="77">
        <v>0.625</v>
      </c>
      <c r="J2145">
        <v>39.019999999999996</v>
      </c>
      <c r="M2145" s="74">
        <v>36615</v>
      </c>
      <c r="N2145" s="77">
        <v>0.625</v>
      </c>
      <c r="P2145">
        <v>55.400000000000006</v>
      </c>
      <c r="S2145" s="74">
        <v>38076</v>
      </c>
      <c r="T2145" s="77">
        <v>0.625</v>
      </c>
      <c r="V2145">
        <v>44.96</v>
      </c>
      <c r="X2145" s="42"/>
      <c r="AB2145">
        <v>50.6</v>
      </c>
      <c r="AC2145">
        <v>44.96</v>
      </c>
      <c r="AE2145" s="74"/>
      <c r="AF2145" s="77"/>
      <c r="AH2145" s="497">
        <v>50.36</v>
      </c>
      <c r="AJ2145" s="42"/>
      <c r="AK2145" s="74"/>
      <c r="AL2145" s="77"/>
      <c r="AN2145" s="497">
        <v>55.94</v>
      </c>
      <c r="AP2145" s="42"/>
      <c r="AQ2145" s="74"/>
      <c r="AR2145" s="77"/>
      <c r="AT2145" s="497">
        <v>60.44</v>
      </c>
      <c r="AV2145" s="42"/>
      <c r="AW2145" s="74"/>
      <c r="AX2145" s="77"/>
      <c r="BA2145" s="497">
        <v>35.96</v>
      </c>
      <c r="BB2145" s="42"/>
      <c r="BC2145" s="74"/>
      <c r="BD2145" s="77"/>
      <c r="BF2145">
        <v>46.04</v>
      </c>
      <c r="BH2145" s="42"/>
      <c r="BI2145" s="74"/>
      <c r="BJ2145" s="77"/>
      <c r="BL2145" s="497">
        <v>75.92</v>
      </c>
      <c r="BN2145" s="42"/>
      <c r="BO2145" s="74"/>
      <c r="BP2145" s="77"/>
      <c r="BR2145" s="497">
        <v>44.06</v>
      </c>
      <c r="BT2145" s="42"/>
    </row>
    <row r="2146" spans="1:72" x14ac:dyDescent="0.25">
      <c r="A2146" s="90">
        <v>38076</v>
      </c>
      <c r="B2146" s="20">
        <v>0.66666666666666663</v>
      </c>
      <c r="D2146">
        <v>48.92</v>
      </c>
      <c r="E2146" t="str">
        <f t="shared" si="102"/>
        <v>WEEKDAY</v>
      </c>
      <c r="F2146" t="e">
        <f t="shared" si="101"/>
        <v>#N/A</v>
      </c>
      <c r="G2146" s="74">
        <v>32962</v>
      </c>
      <c r="H2146" s="77">
        <v>0.66666666666666663</v>
      </c>
      <c r="J2146">
        <v>39.019999999999996</v>
      </c>
      <c r="M2146" s="74">
        <v>36615</v>
      </c>
      <c r="N2146" s="77">
        <v>0.66666666666666663</v>
      </c>
      <c r="P2146">
        <v>53.6</v>
      </c>
      <c r="S2146" s="74">
        <v>38076</v>
      </c>
      <c r="T2146" s="77">
        <v>0.66666666666666663</v>
      </c>
      <c r="V2146">
        <v>44.06</v>
      </c>
      <c r="X2146" s="42"/>
      <c r="AB2146">
        <v>50.6</v>
      </c>
      <c r="AC2146">
        <v>44.06</v>
      </c>
      <c r="AE2146" s="74"/>
      <c r="AF2146" s="77"/>
      <c r="AH2146" s="497">
        <v>50</v>
      </c>
      <c r="AJ2146" s="42"/>
      <c r="AK2146" s="74"/>
      <c r="AL2146" s="77"/>
      <c r="AN2146" s="497">
        <v>55.94</v>
      </c>
      <c r="AP2146" s="42"/>
      <c r="AQ2146" s="74"/>
      <c r="AR2146" s="77"/>
      <c r="AT2146" s="497">
        <v>60.08</v>
      </c>
      <c r="AV2146" s="42"/>
      <c r="AW2146" s="74"/>
      <c r="AX2146" s="77"/>
      <c r="BA2146" s="497">
        <v>37.04</v>
      </c>
      <c r="BB2146" s="42"/>
      <c r="BC2146" s="74"/>
      <c r="BD2146" s="77"/>
      <c r="BF2146">
        <v>46.94</v>
      </c>
      <c r="BH2146" s="42"/>
      <c r="BI2146" s="74"/>
      <c r="BJ2146" s="77"/>
      <c r="BL2146" s="497">
        <v>73.039999999999992</v>
      </c>
      <c r="BN2146" s="42"/>
      <c r="BO2146" s="74"/>
      <c r="BP2146" s="77"/>
      <c r="BR2146" s="497">
        <v>44.06</v>
      </c>
      <c r="BT2146" s="42"/>
    </row>
    <row r="2147" spans="1:72" x14ac:dyDescent="0.25">
      <c r="A2147" s="90">
        <v>38076</v>
      </c>
      <c r="B2147" s="20">
        <v>0.70833333333333337</v>
      </c>
      <c r="D2147">
        <v>48.92</v>
      </c>
      <c r="E2147" t="str">
        <f t="shared" si="102"/>
        <v>WEEKDAY</v>
      </c>
      <c r="F2147" t="e">
        <f t="shared" si="101"/>
        <v>#N/A</v>
      </c>
      <c r="G2147" s="74">
        <v>32962</v>
      </c>
      <c r="H2147" s="77">
        <v>0.70833333333333337</v>
      </c>
      <c r="J2147">
        <v>39.92</v>
      </c>
      <c r="M2147" s="74">
        <v>36615</v>
      </c>
      <c r="N2147" s="77">
        <v>0.70833333333333337</v>
      </c>
      <c r="P2147">
        <v>51.8</v>
      </c>
      <c r="S2147" s="74">
        <v>38076</v>
      </c>
      <c r="T2147" s="77">
        <v>0.70833333333333337</v>
      </c>
      <c r="V2147">
        <v>44.06</v>
      </c>
      <c r="X2147" s="42"/>
      <c r="AB2147">
        <v>50.2</v>
      </c>
      <c r="AC2147">
        <v>42.980000000000004</v>
      </c>
      <c r="AE2147" s="74"/>
      <c r="AF2147" s="77"/>
      <c r="AH2147" s="497">
        <v>48.2</v>
      </c>
      <c r="AJ2147" s="42"/>
      <c r="AK2147" s="74"/>
      <c r="AL2147" s="77"/>
      <c r="AN2147" s="497">
        <v>55.040000000000006</v>
      </c>
      <c r="AP2147" s="42"/>
      <c r="AQ2147" s="74"/>
      <c r="AR2147" s="77"/>
      <c r="AT2147" s="497">
        <v>58.64</v>
      </c>
      <c r="AV2147" s="42"/>
      <c r="AW2147" s="74"/>
      <c r="AX2147" s="77"/>
      <c r="BA2147" s="497">
        <v>37.04</v>
      </c>
      <c r="BB2147" s="42"/>
      <c r="BC2147" s="74"/>
      <c r="BD2147" s="77"/>
      <c r="BF2147">
        <v>46.04</v>
      </c>
      <c r="BH2147" s="42"/>
      <c r="BI2147" s="74"/>
      <c r="BJ2147" s="77"/>
      <c r="BL2147" s="497">
        <v>71.960000000000008</v>
      </c>
      <c r="BN2147" s="42"/>
      <c r="BO2147" s="74"/>
      <c r="BP2147" s="77"/>
      <c r="BR2147" s="497">
        <v>42.980000000000004</v>
      </c>
      <c r="BT2147" s="42"/>
    </row>
    <row r="2148" spans="1:72" x14ac:dyDescent="0.25">
      <c r="A2148" s="90">
        <v>38076</v>
      </c>
      <c r="B2148" s="20">
        <v>0.75</v>
      </c>
      <c r="D2148">
        <v>48.019999999999996</v>
      </c>
      <c r="E2148" t="str">
        <f t="shared" si="102"/>
        <v>WEEKDAY</v>
      </c>
      <c r="F2148" t="e">
        <f t="shared" si="101"/>
        <v>#N/A</v>
      </c>
      <c r="G2148" s="74">
        <v>32962</v>
      </c>
      <c r="H2148" s="77">
        <v>0.75</v>
      </c>
      <c r="J2148">
        <v>39.92</v>
      </c>
      <c r="M2148" s="74">
        <v>36615</v>
      </c>
      <c r="N2148" s="77">
        <v>0.75</v>
      </c>
      <c r="P2148">
        <v>50</v>
      </c>
      <c r="S2148" s="74">
        <v>38076</v>
      </c>
      <c r="T2148" s="77">
        <v>0.75</v>
      </c>
      <c r="V2148">
        <v>42.980000000000004</v>
      </c>
      <c r="X2148" s="42"/>
      <c r="AB2148">
        <v>49.1</v>
      </c>
      <c r="AC2148">
        <v>42.980000000000004</v>
      </c>
      <c r="AE2148" s="74"/>
      <c r="AF2148" s="77"/>
      <c r="AH2148" s="497">
        <v>48.2</v>
      </c>
      <c r="AJ2148" s="42"/>
      <c r="AK2148" s="74"/>
      <c r="AL2148" s="77"/>
      <c r="AN2148" s="497">
        <v>53.96</v>
      </c>
      <c r="AP2148" s="42"/>
      <c r="AQ2148" s="74"/>
      <c r="AR2148" s="77"/>
      <c r="AT2148" s="497">
        <v>57.379999999999995</v>
      </c>
      <c r="AV2148" s="42"/>
      <c r="AW2148" s="74"/>
      <c r="AX2148" s="77"/>
      <c r="BA2148" s="497">
        <v>37.04</v>
      </c>
      <c r="BB2148" s="42"/>
      <c r="BC2148" s="74"/>
      <c r="BD2148" s="77"/>
      <c r="BF2148">
        <v>46.04</v>
      </c>
      <c r="BH2148" s="42"/>
      <c r="BI2148" s="74"/>
      <c r="BJ2148" s="77"/>
      <c r="BL2148" s="497">
        <v>68</v>
      </c>
      <c r="BN2148" s="42"/>
      <c r="BO2148" s="74"/>
      <c r="BP2148" s="77"/>
      <c r="BR2148" s="497">
        <v>39.019999999999996</v>
      </c>
      <c r="BT2148" s="42"/>
    </row>
    <row r="2149" spans="1:72" x14ac:dyDescent="0.25">
      <c r="A2149" s="90">
        <v>38076</v>
      </c>
      <c r="B2149" s="20">
        <v>0.79166666666666663</v>
      </c>
      <c r="D2149">
        <v>48.019999999999996</v>
      </c>
      <c r="E2149" t="str">
        <f t="shared" si="102"/>
        <v>WEEKDAY</v>
      </c>
      <c r="F2149" t="e">
        <f t="shared" si="101"/>
        <v>#N/A</v>
      </c>
      <c r="G2149" s="74">
        <v>32962</v>
      </c>
      <c r="H2149" s="77">
        <v>0.79166666666666663</v>
      </c>
      <c r="J2149">
        <v>39.92</v>
      </c>
      <c r="M2149" s="74">
        <v>36615</v>
      </c>
      <c r="N2149" s="77">
        <v>0.79166666666666663</v>
      </c>
      <c r="P2149">
        <v>48.2</v>
      </c>
      <c r="S2149" s="74">
        <v>38076</v>
      </c>
      <c r="T2149" s="77">
        <v>0.79166666666666663</v>
      </c>
      <c r="V2149">
        <v>42.08</v>
      </c>
      <c r="X2149" s="42"/>
      <c r="AB2149">
        <v>47.7</v>
      </c>
      <c r="AC2149">
        <v>39.019999999999996</v>
      </c>
      <c r="AE2149" s="74"/>
      <c r="AF2149" s="77"/>
      <c r="AH2149" s="497">
        <v>46.4</v>
      </c>
      <c r="AJ2149" s="42"/>
      <c r="AK2149" s="74"/>
      <c r="AL2149" s="77"/>
      <c r="AN2149" s="497">
        <v>51.980000000000004</v>
      </c>
      <c r="AP2149" s="42"/>
      <c r="AQ2149" s="74"/>
      <c r="AR2149" s="77"/>
      <c r="AT2149" s="497">
        <v>55.94</v>
      </c>
      <c r="AV2149" s="42"/>
      <c r="AW2149" s="74"/>
      <c r="AX2149" s="77"/>
      <c r="BA2149" s="497">
        <v>35.96</v>
      </c>
      <c r="BB2149" s="42"/>
      <c r="BC2149" s="74"/>
      <c r="BD2149" s="77"/>
      <c r="BF2149">
        <v>44.96</v>
      </c>
      <c r="BH2149" s="42"/>
      <c r="BI2149" s="74"/>
      <c r="BJ2149" s="77"/>
      <c r="BL2149" s="497">
        <v>64.94</v>
      </c>
      <c r="BN2149" s="42"/>
      <c r="BO2149" s="74"/>
      <c r="BP2149" s="77"/>
      <c r="BR2149" s="497">
        <v>37.04</v>
      </c>
      <c r="BT2149" s="42"/>
    </row>
    <row r="2150" spans="1:72" x14ac:dyDescent="0.25">
      <c r="A2150" s="90">
        <v>38076</v>
      </c>
      <c r="B2150" s="20">
        <v>0.83333333333333337</v>
      </c>
      <c r="D2150">
        <v>48.019999999999996</v>
      </c>
      <c r="E2150" t="str">
        <f t="shared" si="102"/>
        <v>WEEKDAY</v>
      </c>
      <c r="F2150" t="e">
        <f t="shared" si="101"/>
        <v>#N/A</v>
      </c>
      <c r="G2150" s="74">
        <v>32962</v>
      </c>
      <c r="H2150" s="77">
        <v>0.83333333333333337</v>
      </c>
      <c r="J2150">
        <v>39.019999999999996</v>
      </c>
      <c r="M2150" s="74">
        <v>36615</v>
      </c>
      <c r="N2150" s="77">
        <v>0.83333333333333337</v>
      </c>
      <c r="P2150">
        <v>46.4</v>
      </c>
      <c r="S2150" s="74">
        <v>38076</v>
      </c>
      <c r="T2150" s="77">
        <v>0.83333333333333337</v>
      </c>
      <c r="V2150">
        <v>41</v>
      </c>
      <c r="X2150" s="42"/>
      <c r="AB2150">
        <v>46.6</v>
      </c>
      <c r="AC2150">
        <v>37.94</v>
      </c>
      <c r="AE2150" s="74"/>
      <c r="AF2150" s="77"/>
      <c r="AH2150" s="497">
        <v>44.6</v>
      </c>
      <c r="AJ2150" s="42"/>
      <c r="AK2150" s="74"/>
      <c r="AL2150" s="77"/>
      <c r="AN2150" s="497">
        <v>46.94</v>
      </c>
      <c r="AP2150" s="42"/>
      <c r="AQ2150" s="74"/>
      <c r="AR2150" s="77"/>
      <c r="AT2150" s="497">
        <v>54.68</v>
      </c>
      <c r="AV2150" s="42"/>
      <c r="AW2150" s="74"/>
      <c r="AX2150" s="77"/>
      <c r="BA2150" s="497">
        <v>35.06</v>
      </c>
      <c r="BB2150" s="42"/>
      <c r="BC2150" s="74"/>
      <c r="BD2150" s="77"/>
      <c r="BF2150">
        <v>44.06</v>
      </c>
      <c r="BH2150" s="42"/>
      <c r="BI2150" s="74"/>
      <c r="BJ2150" s="77"/>
      <c r="BL2150" s="497">
        <v>57.019999999999996</v>
      </c>
      <c r="BN2150" s="42"/>
      <c r="BO2150" s="74"/>
      <c r="BP2150" s="77"/>
      <c r="BR2150" s="497">
        <v>33.979999999999997</v>
      </c>
      <c r="BT2150" s="42"/>
    </row>
    <row r="2151" spans="1:72" x14ac:dyDescent="0.25">
      <c r="A2151" s="90">
        <v>38076</v>
      </c>
      <c r="B2151" s="20">
        <v>0.875</v>
      </c>
      <c r="D2151">
        <v>48.92</v>
      </c>
      <c r="E2151" t="str">
        <f t="shared" si="102"/>
        <v>WEEKDAY</v>
      </c>
      <c r="F2151" t="e">
        <f t="shared" si="101"/>
        <v>#N/A</v>
      </c>
      <c r="G2151" s="74">
        <v>32962</v>
      </c>
      <c r="H2151" s="77">
        <v>0.875</v>
      </c>
      <c r="J2151">
        <v>37.94</v>
      </c>
      <c r="M2151" s="74">
        <v>36615</v>
      </c>
      <c r="N2151" s="77">
        <v>0.875</v>
      </c>
      <c r="P2151">
        <v>44.6</v>
      </c>
      <c r="S2151" s="74">
        <v>38076</v>
      </c>
      <c r="T2151" s="77">
        <v>0.875</v>
      </c>
      <c r="V2151">
        <v>42.08</v>
      </c>
      <c r="X2151" s="42"/>
      <c r="AB2151">
        <v>45.9</v>
      </c>
      <c r="AC2151">
        <v>39.92</v>
      </c>
      <c r="AE2151" s="74"/>
      <c r="AF2151" s="77"/>
      <c r="AH2151" s="497">
        <v>37.4</v>
      </c>
      <c r="AJ2151" s="42"/>
      <c r="AK2151" s="74"/>
      <c r="AL2151" s="77"/>
      <c r="AN2151" s="497">
        <v>46.04</v>
      </c>
      <c r="AP2151" s="42"/>
      <c r="AQ2151" s="74"/>
      <c r="AR2151" s="77"/>
      <c r="AT2151" s="497">
        <v>53.24</v>
      </c>
      <c r="AV2151" s="42"/>
      <c r="AW2151" s="74"/>
      <c r="AX2151" s="77"/>
      <c r="BA2151" s="497">
        <v>35.06</v>
      </c>
      <c r="BB2151" s="42"/>
      <c r="BC2151" s="74"/>
      <c r="BD2151" s="77"/>
      <c r="BF2151">
        <v>44.96</v>
      </c>
      <c r="BH2151" s="42"/>
      <c r="BI2151" s="74"/>
      <c r="BJ2151" s="77"/>
      <c r="BL2151" s="497">
        <v>51.08</v>
      </c>
      <c r="BN2151" s="42"/>
      <c r="BO2151" s="74"/>
      <c r="BP2151" s="77"/>
      <c r="BR2151" s="497">
        <v>32</v>
      </c>
      <c r="BT2151" s="42"/>
    </row>
    <row r="2152" spans="1:72" x14ac:dyDescent="0.25">
      <c r="A2152" s="90">
        <v>38076</v>
      </c>
      <c r="B2152" s="20">
        <v>0.91666666666666663</v>
      </c>
      <c r="D2152">
        <v>48.92</v>
      </c>
      <c r="E2152" t="str">
        <f t="shared" si="102"/>
        <v>WEEKDAY</v>
      </c>
      <c r="F2152" t="e">
        <f t="shared" si="101"/>
        <v>#N/A</v>
      </c>
      <c r="G2152" s="74">
        <v>32962</v>
      </c>
      <c r="H2152" s="77">
        <v>0.91666666666666663</v>
      </c>
      <c r="J2152">
        <v>39.019999999999996</v>
      </c>
      <c r="M2152" s="74">
        <v>36615</v>
      </c>
      <c r="N2152" s="77">
        <v>0.91666666666666663</v>
      </c>
      <c r="P2152">
        <v>44.6</v>
      </c>
      <c r="S2152" s="74">
        <v>38076</v>
      </c>
      <c r="T2152" s="77">
        <v>0.91666666666666663</v>
      </c>
      <c r="V2152">
        <v>42.08</v>
      </c>
      <c r="X2152" s="42"/>
      <c r="AB2152">
        <v>45.4</v>
      </c>
      <c r="AC2152">
        <v>35.96</v>
      </c>
      <c r="AE2152" s="74"/>
      <c r="AF2152" s="77"/>
      <c r="AH2152" s="497">
        <v>35.6</v>
      </c>
      <c r="AJ2152" s="42"/>
      <c r="AK2152" s="74"/>
      <c r="AL2152" s="77"/>
      <c r="AN2152" s="497">
        <v>44.06</v>
      </c>
      <c r="AP2152" s="42"/>
      <c r="AQ2152" s="74"/>
      <c r="AR2152" s="77"/>
      <c r="AT2152" s="497">
        <v>51.980000000000004</v>
      </c>
      <c r="AV2152" s="42"/>
      <c r="AW2152" s="74"/>
      <c r="AX2152" s="77"/>
      <c r="BA2152" s="497">
        <v>35.06</v>
      </c>
      <c r="BB2152" s="42"/>
      <c r="BC2152" s="74"/>
      <c r="BD2152" s="77"/>
      <c r="BF2152">
        <v>44.06</v>
      </c>
      <c r="BH2152" s="42"/>
      <c r="BI2152" s="74"/>
      <c r="BJ2152" s="77"/>
      <c r="BL2152" s="497">
        <v>46.94</v>
      </c>
      <c r="BN2152" s="42"/>
      <c r="BO2152" s="74"/>
      <c r="BP2152" s="77"/>
      <c r="BR2152" s="497">
        <v>30.92</v>
      </c>
      <c r="BT2152" s="42"/>
    </row>
    <row r="2153" spans="1:72" x14ac:dyDescent="0.25">
      <c r="A2153" s="90">
        <v>38076</v>
      </c>
      <c r="B2153" s="20">
        <v>0.95833333333333337</v>
      </c>
      <c r="D2153">
        <v>48.92</v>
      </c>
      <c r="E2153" t="str">
        <f t="shared" si="102"/>
        <v>WEEKDAY</v>
      </c>
      <c r="F2153" t="e">
        <f t="shared" si="101"/>
        <v>#N/A</v>
      </c>
      <c r="G2153" s="74">
        <v>32962</v>
      </c>
      <c r="H2153" s="77">
        <v>0.95833333333333337</v>
      </c>
      <c r="J2153">
        <v>39.019999999999996</v>
      </c>
      <c r="M2153" s="74">
        <v>36615</v>
      </c>
      <c r="N2153" s="77">
        <v>0.95833333333333337</v>
      </c>
      <c r="P2153">
        <v>42.8</v>
      </c>
      <c r="S2153" s="74">
        <v>38076</v>
      </c>
      <c r="T2153" s="77">
        <v>0.95833333333333337</v>
      </c>
      <c r="V2153">
        <v>42.08</v>
      </c>
      <c r="X2153" s="42"/>
      <c r="AB2153">
        <v>44.7</v>
      </c>
      <c r="AC2153">
        <v>37.04</v>
      </c>
      <c r="AE2153" s="74"/>
      <c r="AF2153" s="77"/>
      <c r="AH2153" s="497">
        <v>33.799999999999997</v>
      </c>
      <c r="AJ2153" s="42"/>
      <c r="AK2153" s="74"/>
      <c r="AL2153" s="77"/>
      <c r="AN2153" s="497">
        <v>42.980000000000004</v>
      </c>
      <c r="AP2153" s="42"/>
      <c r="AQ2153" s="74"/>
      <c r="AR2153" s="77"/>
      <c r="AT2153" s="497">
        <v>49.64</v>
      </c>
      <c r="AV2153" s="42"/>
      <c r="AW2153" s="74"/>
      <c r="AX2153" s="77"/>
      <c r="BA2153" s="497">
        <v>35.96</v>
      </c>
      <c r="BB2153" s="42"/>
      <c r="BC2153" s="74"/>
      <c r="BD2153" s="77"/>
      <c r="BF2153">
        <v>44.06</v>
      </c>
      <c r="BH2153" s="42"/>
      <c r="BI2153" s="74"/>
      <c r="BJ2153" s="77"/>
      <c r="BL2153" s="497">
        <v>46.94</v>
      </c>
      <c r="BN2153" s="42"/>
      <c r="BO2153" s="74"/>
      <c r="BP2153" s="77"/>
      <c r="BR2153" s="497">
        <v>30.02</v>
      </c>
      <c r="BT2153" s="42"/>
    </row>
    <row r="2154" spans="1:72" x14ac:dyDescent="0.25">
      <c r="A2154" s="90">
        <v>38076</v>
      </c>
      <c r="B2154" s="20">
        <v>1</v>
      </c>
      <c r="D2154">
        <v>48.92</v>
      </c>
      <c r="E2154" t="str">
        <f t="shared" si="102"/>
        <v>WEEKDAY</v>
      </c>
      <c r="F2154" t="e">
        <f t="shared" si="101"/>
        <v>#N/A</v>
      </c>
      <c r="G2154" s="74">
        <v>32962</v>
      </c>
      <c r="H2154" s="77">
        <v>1</v>
      </c>
      <c r="J2154">
        <v>39.019999999999996</v>
      </c>
      <c r="M2154" s="74">
        <v>36615</v>
      </c>
      <c r="N2154" s="80">
        <v>1</v>
      </c>
      <c r="P2154">
        <v>39.200000000000003</v>
      </c>
      <c r="S2154" s="74">
        <v>38076</v>
      </c>
      <c r="T2154" s="80">
        <v>1</v>
      </c>
      <c r="V2154">
        <v>41</v>
      </c>
      <c r="X2154" s="42"/>
      <c r="AB2154">
        <v>44.1</v>
      </c>
      <c r="AC2154">
        <v>35.96</v>
      </c>
      <c r="AE2154" s="74"/>
      <c r="AF2154" s="80"/>
      <c r="AH2154" s="497">
        <v>32</v>
      </c>
      <c r="AJ2154" s="42"/>
      <c r="AK2154" s="74"/>
      <c r="AL2154" s="80"/>
      <c r="AN2154" s="497">
        <v>44.06</v>
      </c>
      <c r="AP2154" s="42"/>
      <c r="AQ2154" s="74"/>
      <c r="AR2154" s="80"/>
      <c r="AT2154" s="497">
        <v>47.3</v>
      </c>
      <c r="AV2154" s="42"/>
      <c r="AW2154" s="74"/>
      <c r="AX2154" s="80"/>
      <c r="BA2154" s="497">
        <v>35.96</v>
      </c>
      <c r="BB2154" s="42"/>
      <c r="BC2154" s="74"/>
      <c r="BD2154" s="80"/>
      <c r="BF2154">
        <v>44.06</v>
      </c>
      <c r="BH2154" s="42"/>
      <c r="BI2154" s="74"/>
      <c r="BJ2154" s="80"/>
      <c r="BL2154" s="497">
        <v>44.96</v>
      </c>
      <c r="BN2154" s="42"/>
      <c r="BO2154" s="74"/>
      <c r="BP2154" s="80"/>
      <c r="BR2154" s="497">
        <v>30.02</v>
      </c>
      <c r="BT2154" s="42"/>
    </row>
    <row r="2155" spans="1:72" x14ac:dyDescent="0.25">
      <c r="A2155" s="90">
        <v>38077</v>
      </c>
      <c r="B2155" s="20">
        <v>4.1666666666666664E-2</v>
      </c>
      <c r="D2155">
        <v>48.019999999999996</v>
      </c>
      <c r="E2155" t="str">
        <f t="shared" si="102"/>
        <v>WEEKDAY</v>
      </c>
      <c r="F2155" t="e">
        <f t="shared" ref="F2155:F2218" si="103">IF(E2155="WEEKDAY",VLOOKUP(B2155,$DD$19:$DG$42,2),IF(E2155="SATURDAY",VLOOKUP(B2155,$DD$19:$DG$42,3),VLOOKUP(B2155,$DD$19:$DG$42,4)))</f>
        <v>#N/A</v>
      </c>
      <c r="G2155" s="74">
        <v>32963</v>
      </c>
      <c r="H2155" s="77">
        <v>4.1666666666666664E-2</v>
      </c>
      <c r="J2155">
        <v>39.019999999999996</v>
      </c>
      <c r="M2155" s="74">
        <v>36616</v>
      </c>
      <c r="N2155" s="77">
        <v>4.1666666666666664E-2</v>
      </c>
      <c r="P2155">
        <v>37.4</v>
      </c>
      <c r="S2155" s="74">
        <v>38077</v>
      </c>
      <c r="T2155" s="77">
        <v>4.1666666666666664E-2</v>
      </c>
      <c r="V2155">
        <v>41</v>
      </c>
      <c r="X2155" s="42"/>
      <c r="AB2155">
        <v>43.5</v>
      </c>
      <c r="AC2155">
        <v>33.979999999999997</v>
      </c>
      <c r="AE2155" s="74"/>
      <c r="AF2155" s="77"/>
      <c r="AH2155" s="497">
        <v>30.2</v>
      </c>
      <c r="AJ2155" s="42"/>
      <c r="AK2155" s="74"/>
      <c r="AL2155" s="77"/>
      <c r="AN2155" s="497">
        <v>44.06</v>
      </c>
      <c r="AP2155" s="42"/>
      <c r="AQ2155" s="74"/>
      <c r="AR2155" s="77"/>
      <c r="AT2155" s="497">
        <v>44.96</v>
      </c>
      <c r="AV2155" s="42"/>
      <c r="AW2155" s="74"/>
      <c r="AX2155" s="77"/>
      <c r="BA2155" s="497">
        <v>35.96</v>
      </c>
      <c r="BB2155" s="42"/>
      <c r="BC2155" s="74"/>
      <c r="BD2155" s="77"/>
      <c r="BF2155">
        <v>42.980000000000004</v>
      </c>
      <c r="BH2155" s="42"/>
      <c r="BI2155" s="74"/>
      <c r="BJ2155" s="77"/>
      <c r="BL2155" s="497">
        <v>44.06</v>
      </c>
      <c r="BN2155" s="42"/>
      <c r="BO2155" s="74"/>
      <c r="BP2155" s="77"/>
      <c r="BR2155" s="497">
        <v>28.04</v>
      </c>
      <c r="BT2155" s="42"/>
    </row>
    <row r="2156" spans="1:72" x14ac:dyDescent="0.25">
      <c r="A2156" s="90">
        <v>38077</v>
      </c>
      <c r="B2156" s="20">
        <v>8.3333333333333329E-2</v>
      </c>
      <c r="D2156">
        <v>46.94</v>
      </c>
      <c r="E2156" t="str">
        <f t="shared" si="102"/>
        <v>WEEKDAY</v>
      </c>
      <c r="F2156" t="e">
        <f t="shared" si="103"/>
        <v>#N/A</v>
      </c>
      <c r="G2156" s="74">
        <v>32963</v>
      </c>
      <c r="H2156" s="77">
        <v>8.3333333333333329E-2</v>
      </c>
      <c r="J2156">
        <v>39.019999999999996</v>
      </c>
      <c r="M2156" s="74">
        <v>36616</v>
      </c>
      <c r="N2156" s="77">
        <v>8.3333333333333329E-2</v>
      </c>
      <c r="P2156">
        <v>37.4</v>
      </c>
      <c r="S2156" s="74">
        <v>38077</v>
      </c>
      <c r="T2156" s="77">
        <v>8.3333333333333329E-2</v>
      </c>
      <c r="V2156">
        <v>41</v>
      </c>
      <c r="X2156" s="42"/>
      <c r="AB2156">
        <v>42.9</v>
      </c>
      <c r="AC2156">
        <v>33.08</v>
      </c>
      <c r="AE2156" s="74"/>
      <c r="AF2156" s="77"/>
      <c r="AH2156" s="497">
        <v>26.6</v>
      </c>
      <c r="AJ2156" s="42"/>
      <c r="AK2156" s="74"/>
      <c r="AL2156" s="77"/>
      <c r="AN2156" s="497">
        <v>42.980000000000004</v>
      </c>
      <c r="AP2156" s="42"/>
      <c r="AQ2156" s="74"/>
      <c r="AR2156" s="77"/>
      <c r="AT2156" s="497">
        <v>44.06</v>
      </c>
      <c r="AV2156" s="42"/>
      <c r="AW2156" s="74"/>
      <c r="AX2156" s="77"/>
      <c r="BA2156" s="497">
        <v>35.96</v>
      </c>
      <c r="BB2156" s="42"/>
      <c r="BC2156" s="74"/>
      <c r="BD2156" s="77"/>
      <c r="BF2156">
        <v>42.980000000000004</v>
      </c>
      <c r="BH2156" s="42"/>
      <c r="BI2156" s="74"/>
      <c r="BJ2156" s="77"/>
      <c r="BL2156" s="497">
        <v>39.92</v>
      </c>
      <c r="BN2156" s="42"/>
      <c r="BO2156" s="74"/>
      <c r="BP2156" s="77"/>
      <c r="BR2156" s="497">
        <v>26.96</v>
      </c>
      <c r="BT2156" s="42"/>
    </row>
    <row r="2157" spans="1:72" x14ac:dyDescent="0.25">
      <c r="A2157" s="90">
        <v>38077</v>
      </c>
      <c r="B2157" s="20">
        <v>0.125</v>
      </c>
      <c r="D2157">
        <v>46.04</v>
      </c>
      <c r="E2157" t="str">
        <f t="shared" si="102"/>
        <v>WEEKDAY</v>
      </c>
      <c r="F2157" t="e">
        <f t="shared" si="103"/>
        <v>#N/A</v>
      </c>
      <c r="G2157" s="74">
        <v>32963</v>
      </c>
      <c r="H2157" s="77">
        <v>0.125</v>
      </c>
      <c r="J2157">
        <v>39.019999999999996</v>
      </c>
      <c r="M2157" s="74">
        <v>36616</v>
      </c>
      <c r="N2157" s="77">
        <v>0.125</v>
      </c>
      <c r="P2157">
        <v>35.6</v>
      </c>
      <c r="S2157" s="74">
        <v>38077</v>
      </c>
      <c r="T2157" s="77">
        <v>0.125</v>
      </c>
      <c r="V2157">
        <v>42.08</v>
      </c>
      <c r="X2157" s="42"/>
      <c r="AB2157">
        <v>42.3</v>
      </c>
      <c r="AC2157">
        <v>30.92</v>
      </c>
      <c r="AE2157" s="74"/>
      <c r="AF2157" s="77"/>
      <c r="AH2157" s="497">
        <v>26.6</v>
      </c>
      <c r="AJ2157" s="42"/>
      <c r="AK2157" s="74"/>
      <c r="AL2157" s="77"/>
      <c r="AN2157" s="497">
        <v>42.08</v>
      </c>
      <c r="AP2157" s="42"/>
      <c r="AQ2157" s="74"/>
      <c r="AR2157" s="77"/>
      <c r="AT2157" s="497">
        <v>42.980000000000004</v>
      </c>
      <c r="AV2157" s="42"/>
      <c r="AW2157" s="74"/>
      <c r="AX2157" s="77"/>
      <c r="BA2157" s="497">
        <v>35.96</v>
      </c>
      <c r="BB2157" s="42"/>
      <c r="BC2157" s="74"/>
      <c r="BD2157" s="77"/>
      <c r="BF2157">
        <v>42.980000000000004</v>
      </c>
      <c r="BH2157" s="42"/>
      <c r="BI2157" s="74"/>
      <c r="BJ2157" s="77"/>
      <c r="BL2157" s="497">
        <v>37.94</v>
      </c>
      <c r="BN2157" s="42"/>
      <c r="BO2157" s="74"/>
      <c r="BP2157" s="77"/>
      <c r="BR2157" s="497">
        <v>28.04</v>
      </c>
      <c r="BT2157" s="42"/>
    </row>
    <row r="2158" spans="1:72" x14ac:dyDescent="0.25">
      <c r="A2158" s="90">
        <v>38077</v>
      </c>
      <c r="B2158" s="20">
        <v>0.16666666666666666</v>
      </c>
      <c r="D2158">
        <v>44.96</v>
      </c>
      <c r="E2158" t="str">
        <f t="shared" si="102"/>
        <v>WEEKDAY</v>
      </c>
      <c r="F2158" t="e">
        <f t="shared" si="103"/>
        <v>#N/A</v>
      </c>
      <c r="G2158" s="74">
        <v>32963</v>
      </c>
      <c r="H2158" s="77">
        <v>0.16666666666666666</v>
      </c>
      <c r="J2158">
        <v>39.019999999999996</v>
      </c>
      <c r="M2158" s="74">
        <v>36616</v>
      </c>
      <c r="N2158" s="77">
        <v>0.16666666666666666</v>
      </c>
      <c r="P2158">
        <v>37.4</v>
      </c>
      <c r="S2158" s="74">
        <v>38077</v>
      </c>
      <c r="T2158" s="77">
        <v>0.16666666666666666</v>
      </c>
      <c r="V2158">
        <v>42.08</v>
      </c>
      <c r="X2158" s="42"/>
      <c r="AB2158">
        <v>41.8</v>
      </c>
      <c r="AC2158">
        <v>30.02</v>
      </c>
      <c r="AE2158" s="74"/>
      <c r="AF2158" s="77"/>
      <c r="AH2158" s="497">
        <v>26.6</v>
      </c>
      <c r="AJ2158" s="42"/>
      <c r="AK2158" s="74"/>
      <c r="AL2158" s="77"/>
      <c r="AN2158" s="497">
        <v>42.08</v>
      </c>
      <c r="AP2158" s="42"/>
      <c r="AQ2158" s="74"/>
      <c r="AR2158" s="77"/>
      <c r="AT2158" s="497">
        <v>42.08</v>
      </c>
      <c r="AV2158" s="42"/>
      <c r="AW2158" s="74"/>
      <c r="AX2158" s="77"/>
      <c r="BA2158" s="497">
        <v>35.96</v>
      </c>
      <c r="BB2158" s="42"/>
      <c r="BC2158" s="74"/>
      <c r="BD2158" s="77"/>
      <c r="BF2158">
        <v>42.980000000000004</v>
      </c>
      <c r="BH2158" s="42"/>
      <c r="BI2158" s="74"/>
      <c r="BJ2158" s="77"/>
      <c r="BL2158" s="497">
        <v>37.04</v>
      </c>
      <c r="BN2158" s="42"/>
      <c r="BO2158" s="74"/>
      <c r="BP2158" s="77"/>
      <c r="BR2158" s="497">
        <v>28.04</v>
      </c>
      <c r="BT2158" s="42"/>
    </row>
    <row r="2159" spans="1:72" x14ac:dyDescent="0.25">
      <c r="A2159" s="90">
        <v>38077</v>
      </c>
      <c r="B2159" s="20">
        <v>0.20833333333333334</v>
      </c>
      <c r="D2159">
        <v>44.06</v>
      </c>
      <c r="E2159" t="str">
        <f t="shared" si="102"/>
        <v>WEEKDAY</v>
      </c>
      <c r="F2159" t="e">
        <f t="shared" si="103"/>
        <v>#N/A</v>
      </c>
      <c r="G2159" s="74">
        <v>32963</v>
      </c>
      <c r="H2159" s="77">
        <v>0.20833333333333334</v>
      </c>
      <c r="J2159">
        <v>39.019999999999996</v>
      </c>
      <c r="M2159" s="74">
        <v>36616</v>
      </c>
      <c r="N2159" s="77">
        <v>0.20833333333333334</v>
      </c>
      <c r="P2159">
        <v>35.6</v>
      </c>
      <c r="S2159" s="74">
        <v>38077</v>
      </c>
      <c r="T2159" s="77">
        <v>0.20833333333333334</v>
      </c>
      <c r="V2159">
        <v>41</v>
      </c>
      <c r="X2159" s="42"/>
      <c r="AB2159">
        <v>41.3</v>
      </c>
      <c r="AC2159">
        <v>28.94</v>
      </c>
      <c r="AE2159" s="74"/>
      <c r="AF2159" s="77"/>
      <c r="AH2159" s="497">
        <v>26.6</v>
      </c>
      <c r="AJ2159" s="42"/>
      <c r="AK2159" s="74"/>
      <c r="AL2159" s="77"/>
      <c r="AN2159" s="497">
        <v>42.08</v>
      </c>
      <c r="AP2159" s="42"/>
      <c r="AQ2159" s="74"/>
      <c r="AR2159" s="77"/>
      <c r="AT2159" s="497">
        <v>42.44</v>
      </c>
      <c r="AV2159" s="42"/>
      <c r="AW2159" s="74"/>
      <c r="AX2159" s="77"/>
      <c r="BA2159" s="497">
        <v>35.96</v>
      </c>
      <c r="BB2159" s="42"/>
      <c r="BC2159" s="74"/>
      <c r="BD2159" s="77"/>
      <c r="BF2159">
        <v>42.980000000000004</v>
      </c>
      <c r="BH2159" s="42"/>
      <c r="BI2159" s="74"/>
      <c r="BJ2159" s="77"/>
      <c r="BL2159" s="497">
        <v>35.96</v>
      </c>
      <c r="BN2159" s="42"/>
      <c r="BO2159" s="74"/>
      <c r="BP2159" s="77"/>
      <c r="BR2159" s="497">
        <v>28.04</v>
      </c>
      <c r="BT2159" s="42"/>
    </row>
    <row r="2160" spans="1:72" x14ac:dyDescent="0.25">
      <c r="A2160" s="90">
        <v>38077</v>
      </c>
      <c r="B2160" s="20">
        <v>0.25</v>
      </c>
      <c r="D2160">
        <v>44.06</v>
      </c>
      <c r="E2160" t="str">
        <f t="shared" si="102"/>
        <v>WEEKDAY</v>
      </c>
      <c r="F2160" t="e">
        <f t="shared" si="103"/>
        <v>#N/A</v>
      </c>
      <c r="G2160" s="74">
        <v>32963</v>
      </c>
      <c r="H2160" s="77">
        <v>0.25</v>
      </c>
      <c r="J2160">
        <v>39.019999999999996</v>
      </c>
      <c r="M2160" s="74">
        <v>36616</v>
      </c>
      <c r="N2160" s="77">
        <v>0.25</v>
      </c>
      <c r="P2160">
        <v>35.6</v>
      </c>
      <c r="S2160" s="74">
        <v>38077</v>
      </c>
      <c r="T2160" s="77">
        <v>0.25</v>
      </c>
      <c r="V2160">
        <v>42.08</v>
      </c>
      <c r="X2160" s="42"/>
      <c r="AB2160">
        <v>41.2</v>
      </c>
      <c r="AC2160">
        <v>28.04</v>
      </c>
      <c r="AE2160" s="74"/>
      <c r="AF2160" s="77"/>
      <c r="AH2160" s="497">
        <v>26.6</v>
      </c>
      <c r="AJ2160" s="42"/>
      <c r="AK2160" s="74"/>
      <c r="AL2160" s="77"/>
      <c r="AN2160" s="497">
        <v>39.019999999999996</v>
      </c>
      <c r="AP2160" s="42"/>
      <c r="AQ2160" s="74"/>
      <c r="AR2160" s="77"/>
      <c r="AT2160" s="497">
        <v>42.620000000000005</v>
      </c>
      <c r="AV2160" s="42"/>
      <c r="AW2160" s="74"/>
      <c r="AX2160" s="77"/>
      <c r="BA2160" s="497">
        <v>35.96</v>
      </c>
      <c r="BB2160" s="42"/>
      <c r="BC2160" s="74"/>
      <c r="BD2160" s="77"/>
      <c r="BF2160">
        <v>42.980000000000004</v>
      </c>
      <c r="BH2160" s="42"/>
      <c r="BI2160" s="74"/>
      <c r="BJ2160" s="77"/>
      <c r="BL2160" s="497">
        <v>33.979999999999997</v>
      </c>
      <c r="BN2160" s="42"/>
      <c r="BO2160" s="74"/>
      <c r="BP2160" s="77"/>
      <c r="BR2160" s="497">
        <v>26.96</v>
      </c>
      <c r="BT2160" s="42"/>
    </row>
    <row r="2161" spans="1:72" x14ac:dyDescent="0.25">
      <c r="A2161" s="90">
        <v>38077</v>
      </c>
      <c r="B2161" s="20">
        <v>0.29166666666666669</v>
      </c>
      <c r="D2161">
        <v>44.06</v>
      </c>
      <c r="E2161" t="str">
        <f t="shared" si="102"/>
        <v>WEEKDAY</v>
      </c>
      <c r="F2161" t="e">
        <f t="shared" si="103"/>
        <v>#N/A</v>
      </c>
      <c r="G2161" s="74">
        <v>32963</v>
      </c>
      <c r="H2161" s="77">
        <v>0.29166666666666669</v>
      </c>
      <c r="J2161">
        <v>39.019999999999996</v>
      </c>
      <c r="M2161" s="74">
        <v>36616</v>
      </c>
      <c r="N2161" s="77">
        <v>0.29166666666666669</v>
      </c>
      <c r="P2161">
        <v>37.4</v>
      </c>
      <c r="S2161" s="74">
        <v>38077</v>
      </c>
      <c r="T2161" s="77">
        <v>0.29166666666666669</v>
      </c>
      <c r="V2161">
        <v>42.08</v>
      </c>
      <c r="X2161" s="42"/>
      <c r="AB2161">
        <v>41</v>
      </c>
      <c r="AC2161">
        <v>32</v>
      </c>
      <c r="AE2161" s="74"/>
      <c r="AF2161" s="77"/>
      <c r="AH2161" s="497">
        <v>26.6</v>
      </c>
      <c r="AJ2161" s="42"/>
      <c r="AK2161" s="74"/>
      <c r="AL2161" s="77"/>
      <c r="AN2161" s="497">
        <v>42.08</v>
      </c>
      <c r="AP2161" s="42"/>
      <c r="AQ2161" s="74"/>
      <c r="AR2161" s="77"/>
      <c r="AT2161" s="497">
        <v>42.980000000000004</v>
      </c>
      <c r="AV2161" s="42"/>
      <c r="AW2161" s="74"/>
      <c r="AX2161" s="77"/>
      <c r="BA2161" s="497">
        <v>35.96</v>
      </c>
      <c r="BB2161" s="42"/>
      <c r="BC2161" s="74"/>
      <c r="BD2161" s="77"/>
      <c r="BF2161">
        <v>42.980000000000004</v>
      </c>
      <c r="BH2161" s="42"/>
      <c r="BI2161" s="74"/>
      <c r="BJ2161" s="77"/>
      <c r="BL2161" s="497">
        <v>37.04</v>
      </c>
      <c r="BN2161" s="42"/>
      <c r="BO2161" s="74"/>
      <c r="BP2161" s="77"/>
      <c r="BR2161" s="497">
        <v>28.04</v>
      </c>
      <c r="BT2161" s="42"/>
    </row>
    <row r="2162" spans="1:72" x14ac:dyDescent="0.25">
      <c r="A2162" s="90">
        <v>38077</v>
      </c>
      <c r="B2162" s="20">
        <v>0.33333333333333331</v>
      </c>
      <c r="D2162">
        <v>44.96</v>
      </c>
      <c r="E2162" t="str">
        <f t="shared" si="102"/>
        <v>WEEKDAY</v>
      </c>
      <c r="F2162" t="e">
        <f t="shared" si="103"/>
        <v>#N/A</v>
      </c>
      <c r="G2162" s="74">
        <v>32963</v>
      </c>
      <c r="H2162" s="77">
        <v>0.33333333333333331</v>
      </c>
      <c r="J2162">
        <v>39.92</v>
      </c>
      <c r="M2162" s="74">
        <v>36616</v>
      </c>
      <c r="N2162" s="77">
        <v>0.33333333333333331</v>
      </c>
      <c r="P2162">
        <v>42.8</v>
      </c>
      <c r="S2162" s="74">
        <v>38077</v>
      </c>
      <c r="T2162" s="77">
        <v>0.33333333333333331</v>
      </c>
      <c r="V2162">
        <v>42.980000000000004</v>
      </c>
      <c r="X2162" s="42"/>
      <c r="AB2162">
        <v>42.5</v>
      </c>
      <c r="AC2162">
        <v>35.96</v>
      </c>
      <c r="AE2162" s="74"/>
      <c r="AF2162" s="77"/>
      <c r="AH2162" s="497">
        <v>37.4</v>
      </c>
      <c r="AJ2162" s="42"/>
      <c r="AK2162" s="74"/>
      <c r="AL2162" s="77"/>
      <c r="AN2162" s="497">
        <v>44.96</v>
      </c>
      <c r="AP2162" s="42"/>
      <c r="AQ2162" s="74"/>
      <c r="AR2162" s="77"/>
      <c r="AT2162" s="497">
        <v>44.06</v>
      </c>
      <c r="AV2162" s="42"/>
      <c r="AW2162" s="74"/>
      <c r="AX2162" s="77"/>
      <c r="BA2162" s="497">
        <v>37.04</v>
      </c>
      <c r="BB2162" s="42"/>
      <c r="BC2162" s="74"/>
      <c r="BD2162" s="77"/>
      <c r="BF2162">
        <v>42.980000000000004</v>
      </c>
      <c r="BH2162" s="42"/>
      <c r="BI2162" s="74"/>
      <c r="BJ2162" s="77"/>
      <c r="BL2162" s="497">
        <v>42.980000000000004</v>
      </c>
      <c r="BN2162" s="42"/>
      <c r="BO2162" s="74"/>
      <c r="BP2162" s="77"/>
      <c r="BR2162" s="497">
        <v>28.94</v>
      </c>
      <c r="BT2162" s="42"/>
    </row>
    <row r="2163" spans="1:72" x14ac:dyDescent="0.25">
      <c r="A2163" s="90">
        <v>38077</v>
      </c>
      <c r="B2163" s="20">
        <v>0.375</v>
      </c>
      <c r="D2163">
        <v>46.04</v>
      </c>
      <c r="E2163" t="str">
        <f t="shared" si="102"/>
        <v>WEEKDAY</v>
      </c>
      <c r="F2163" t="e">
        <f t="shared" si="103"/>
        <v>#N/A</v>
      </c>
      <c r="G2163" s="74">
        <v>32963</v>
      </c>
      <c r="H2163" s="77">
        <v>0.375</v>
      </c>
      <c r="J2163">
        <v>39.92</v>
      </c>
      <c r="M2163" s="74">
        <v>36616</v>
      </c>
      <c r="N2163" s="77">
        <v>0.375</v>
      </c>
      <c r="P2163">
        <v>44.6</v>
      </c>
      <c r="S2163" s="74">
        <v>38077</v>
      </c>
      <c r="T2163" s="77">
        <v>0.375</v>
      </c>
      <c r="V2163">
        <v>44.06</v>
      </c>
      <c r="X2163" s="42"/>
      <c r="AB2163">
        <v>44.4</v>
      </c>
      <c r="AC2163">
        <v>39.92</v>
      </c>
      <c r="AE2163" s="74"/>
      <c r="AF2163" s="77"/>
      <c r="AH2163" s="497">
        <v>42.8</v>
      </c>
      <c r="AJ2163" s="42"/>
      <c r="AK2163" s="74"/>
      <c r="AL2163" s="77"/>
      <c r="AN2163" s="497">
        <v>46.94</v>
      </c>
      <c r="AP2163" s="42"/>
      <c r="AQ2163" s="74"/>
      <c r="AR2163" s="77"/>
      <c r="AT2163" s="497">
        <v>44.96</v>
      </c>
      <c r="AV2163" s="42"/>
      <c r="AW2163" s="74"/>
      <c r="AX2163" s="77"/>
      <c r="BA2163" s="497">
        <v>39.019999999999996</v>
      </c>
      <c r="BB2163" s="42"/>
      <c r="BC2163" s="74"/>
      <c r="BD2163" s="77"/>
      <c r="BF2163">
        <v>44.06</v>
      </c>
      <c r="BH2163" s="42"/>
      <c r="BI2163" s="74"/>
      <c r="BJ2163" s="77"/>
      <c r="BL2163" s="497">
        <v>46.94</v>
      </c>
      <c r="BN2163" s="42"/>
      <c r="BO2163" s="74"/>
      <c r="BP2163" s="77"/>
      <c r="BR2163" s="497">
        <v>28.94</v>
      </c>
      <c r="BT2163" s="42"/>
    </row>
    <row r="2164" spans="1:72" x14ac:dyDescent="0.25">
      <c r="A2164" s="90">
        <v>38077</v>
      </c>
      <c r="B2164" s="20">
        <v>0.41666666666666669</v>
      </c>
      <c r="D2164">
        <v>46.94</v>
      </c>
      <c r="E2164" t="str">
        <f t="shared" si="102"/>
        <v>WEEKDAY</v>
      </c>
      <c r="F2164" t="e">
        <f t="shared" si="103"/>
        <v>#N/A</v>
      </c>
      <c r="G2164" s="74">
        <v>32963</v>
      </c>
      <c r="H2164" s="77">
        <v>0.41666666666666669</v>
      </c>
      <c r="J2164">
        <v>42.08</v>
      </c>
      <c r="M2164" s="74">
        <v>36616</v>
      </c>
      <c r="N2164" s="77">
        <v>0.41666666666666669</v>
      </c>
      <c r="P2164">
        <v>48.2</v>
      </c>
      <c r="S2164" s="74">
        <v>38077</v>
      </c>
      <c r="T2164" s="77">
        <v>0.41666666666666669</v>
      </c>
      <c r="V2164">
        <v>44.06</v>
      </c>
      <c r="X2164" s="42"/>
      <c r="AB2164">
        <v>46.2</v>
      </c>
      <c r="AC2164">
        <v>42.08</v>
      </c>
      <c r="AE2164" s="74"/>
      <c r="AF2164" s="77"/>
      <c r="AH2164" s="497">
        <v>46.4</v>
      </c>
      <c r="AJ2164" s="42"/>
      <c r="AK2164" s="74"/>
      <c r="AL2164" s="77"/>
      <c r="AN2164" s="497">
        <v>48.92</v>
      </c>
      <c r="AP2164" s="42"/>
      <c r="AQ2164" s="74"/>
      <c r="AR2164" s="77"/>
      <c r="AT2164" s="497">
        <v>46.04</v>
      </c>
      <c r="AV2164" s="42"/>
      <c r="AW2164" s="74"/>
      <c r="AX2164" s="77"/>
      <c r="BA2164" s="497">
        <v>42.08</v>
      </c>
      <c r="BB2164" s="42"/>
      <c r="BC2164" s="74"/>
      <c r="BD2164" s="77"/>
      <c r="BF2164">
        <v>44.96</v>
      </c>
      <c r="BH2164" s="42"/>
      <c r="BI2164" s="74"/>
      <c r="BJ2164" s="77"/>
      <c r="BL2164" s="497">
        <v>48.92</v>
      </c>
      <c r="BN2164" s="42"/>
      <c r="BO2164" s="74"/>
      <c r="BP2164" s="77"/>
      <c r="BR2164" s="497">
        <v>30.92</v>
      </c>
      <c r="BT2164" s="42"/>
    </row>
    <row r="2165" spans="1:72" x14ac:dyDescent="0.25">
      <c r="A2165" s="90">
        <v>38077</v>
      </c>
      <c r="B2165" s="20">
        <v>0.45833333333333331</v>
      </c>
      <c r="D2165">
        <v>48.019999999999996</v>
      </c>
      <c r="E2165" t="str">
        <f t="shared" si="102"/>
        <v>WEEKDAY</v>
      </c>
      <c r="F2165" t="e">
        <f t="shared" si="103"/>
        <v>#N/A</v>
      </c>
      <c r="G2165" s="74">
        <v>32963</v>
      </c>
      <c r="H2165" s="77">
        <v>0.45833333333333331</v>
      </c>
      <c r="J2165">
        <v>42.08</v>
      </c>
      <c r="M2165" s="74">
        <v>36616</v>
      </c>
      <c r="N2165" s="77">
        <v>0.45833333333333331</v>
      </c>
      <c r="P2165">
        <v>51.8</v>
      </c>
      <c r="S2165" s="74">
        <v>38077</v>
      </c>
      <c r="T2165" s="77">
        <v>0.45833333333333331</v>
      </c>
      <c r="V2165">
        <v>46.04</v>
      </c>
      <c r="X2165" s="42"/>
      <c r="AB2165">
        <v>47.8</v>
      </c>
      <c r="AC2165">
        <v>42.08</v>
      </c>
      <c r="AE2165" s="74"/>
      <c r="AF2165" s="77"/>
      <c r="AH2165" s="497">
        <v>48.2</v>
      </c>
      <c r="AJ2165" s="42"/>
      <c r="AK2165" s="74"/>
      <c r="AL2165" s="77"/>
      <c r="AN2165" s="497">
        <v>51.980000000000004</v>
      </c>
      <c r="AP2165" s="42"/>
      <c r="AQ2165" s="74"/>
      <c r="AR2165" s="77"/>
      <c r="AT2165" s="497">
        <v>49.28</v>
      </c>
      <c r="AV2165" s="42"/>
      <c r="AW2165" s="74"/>
      <c r="AX2165" s="77"/>
      <c r="BA2165" s="497">
        <v>44.96</v>
      </c>
      <c r="BB2165" s="42"/>
      <c r="BC2165" s="74"/>
      <c r="BD2165" s="77"/>
      <c r="BF2165">
        <v>44.96</v>
      </c>
      <c r="BH2165" s="42"/>
      <c r="BI2165" s="74"/>
      <c r="BJ2165" s="77"/>
      <c r="BL2165" s="497">
        <v>51.08</v>
      </c>
      <c r="BN2165" s="42"/>
      <c r="BO2165" s="74"/>
      <c r="BP2165" s="77"/>
      <c r="BR2165" s="497">
        <v>32</v>
      </c>
      <c r="BT2165" s="42"/>
    </row>
    <row r="2166" spans="1:72" x14ac:dyDescent="0.25">
      <c r="A2166" s="90">
        <v>38077</v>
      </c>
      <c r="B2166" s="20">
        <v>0.5</v>
      </c>
      <c r="D2166">
        <v>50</v>
      </c>
      <c r="E2166" t="str">
        <f t="shared" si="102"/>
        <v>WEEKDAY</v>
      </c>
      <c r="F2166" t="e">
        <f t="shared" si="103"/>
        <v>#N/A</v>
      </c>
      <c r="G2166" s="74">
        <v>32963</v>
      </c>
      <c r="H2166" s="77">
        <v>0.5</v>
      </c>
      <c r="J2166">
        <v>44.06</v>
      </c>
      <c r="M2166" s="74">
        <v>36616</v>
      </c>
      <c r="N2166" s="77">
        <v>0.5</v>
      </c>
      <c r="P2166">
        <v>51.8</v>
      </c>
      <c r="S2166" s="74">
        <v>38077</v>
      </c>
      <c r="T2166" s="77">
        <v>0.5</v>
      </c>
      <c r="V2166">
        <v>48.019999999999996</v>
      </c>
      <c r="X2166" s="42"/>
      <c r="AB2166">
        <v>49.1</v>
      </c>
      <c r="AC2166">
        <v>42.980000000000004</v>
      </c>
      <c r="AE2166" s="74"/>
      <c r="AF2166" s="77"/>
      <c r="AH2166" s="497">
        <v>48.2</v>
      </c>
      <c r="AJ2166" s="42"/>
      <c r="AK2166" s="74"/>
      <c r="AL2166" s="77"/>
      <c r="AN2166" s="497">
        <v>51.980000000000004</v>
      </c>
      <c r="AP2166" s="42"/>
      <c r="AQ2166" s="74"/>
      <c r="AR2166" s="77"/>
      <c r="AT2166" s="497">
        <v>52.7</v>
      </c>
      <c r="AV2166" s="42"/>
      <c r="AW2166" s="74"/>
      <c r="AX2166" s="77"/>
      <c r="BA2166" s="497">
        <v>48.019999999999996</v>
      </c>
      <c r="BB2166" s="42"/>
      <c r="BC2166" s="74"/>
      <c r="BD2166" s="77"/>
      <c r="BF2166">
        <v>46.04</v>
      </c>
      <c r="BH2166" s="42"/>
      <c r="BI2166" s="74"/>
      <c r="BJ2166" s="77"/>
      <c r="BL2166" s="497">
        <v>53.06</v>
      </c>
      <c r="BN2166" s="42"/>
      <c r="BO2166" s="74"/>
      <c r="BP2166" s="77"/>
      <c r="BR2166" s="497">
        <v>32</v>
      </c>
      <c r="BT2166" s="42"/>
    </row>
    <row r="2167" spans="1:72" x14ac:dyDescent="0.25">
      <c r="A2167" s="90">
        <v>38077</v>
      </c>
      <c r="B2167" s="20">
        <v>0.54166666666666663</v>
      </c>
      <c r="D2167">
        <v>48.92</v>
      </c>
      <c r="E2167" t="str">
        <f t="shared" si="102"/>
        <v>WEEKDAY</v>
      </c>
      <c r="F2167" t="e">
        <f t="shared" si="103"/>
        <v>#N/A</v>
      </c>
      <c r="G2167" s="74">
        <v>32963</v>
      </c>
      <c r="H2167" s="77">
        <v>0.54166666666666663</v>
      </c>
      <c r="J2167">
        <v>44.06</v>
      </c>
      <c r="M2167" s="74">
        <v>36616</v>
      </c>
      <c r="N2167" s="77">
        <v>0.54166666666666663</v>
      </c>
      <c r="P2167">
        <v>50</v>
      </c>
      <c r="S2167" s="74">
        <v>38077</v>
      </c>
      <c r="T2167" s="77">
        <v>0.54166666666666663</v>
      </c>
      <c r="V2167">
        <v>48.019999999999996</v>
      </c>
      <c r="X2167" s="42"/>
      <c r="AB2167">
        <v>50.1</v>
      </c>
      <c r="AC2167">
        <v>42.08</v>
      </c>
      <c r="AE2167" s="74"/>
      <c r="AF2167" s="77"/>
      <c r="AH2167" s="497">
        <v>50</v>
      </c>
      <c r="AJ2167" s="42"/>
      <c r="AK2167" s="74"/>
      <c r="AL2167" s="77"/>
      <c r="AN2167" s="497">
        <v>53.96</v>
      </c>
      <c r="AP2167" s="42"/>
      <c r="AQ2167" s="74"/>
      <c r="AR2167" s="77"/>
      <c r="AT2167" s="497">
        <v>55.94</v>
      </c>
      <c r="AV2167" s="42"/>
      <c r="AW2167" s="74"/>
      <c r="AX2167" s="77"/>
      <c r="BA2167" s="497">
        <v>48.92</v>
      </c>
      <c r="BB2167" s="42"/>
      <c r="BC2167" s="74"/>
      <c r="BD2167" s="77"/>
      <c r="BF2167">
        <v>46.94</v>
      </c>
      <c r="BH2167" s="42"/>
      <c r="BI2167" s="74"/>
      <c r="BJ2167" s="77"/>
      <c r="BL2167" s="497">
        <v>57.019999999999996</v>
      </c>
      <c r="BN2167" s="42"/>
      <c r="BO2167" s="74"/>
      <c r="BP2167" s="77"/>
      <c r="BR2167" s="497">
        <v>32</v>
      </c>
      <c r="BT2167" s="42"/>
    </row>
    <row r="2168" spans="1:72" x14ac:dyDescent="0.25">
      <c r="A2168" s="90">
        <v>38077</v>
      </c>
      <c r="B2168" s="20">
        <v>0.58333333333333337</v>
      </c>
      <c r="D2168">
        <v>50</v>
      </c>
      <c r="E2168" t="str">
        <f t="shared" si="102"/>
        <v>WEEKDAY</v>
      </c>
      <c r="F2168" t="e">
        <f t="shared" si="103"/>
        <v>#N/A</v>
      </c>
      <c r="G2168" s="74">
        <v>32963</v>
      </c>
      <c r="H2168" s="77">
        <v>0.58333333333333337</v>
      </c>
      <c r="J2168">
        <v>44.96</v>
      </c>
      <c r="M2168" s="74">
        <v>36616</v>
      </c>
      <c r="N2168" s="77">
        <v>0.58333333333333337</v>
      </c>
      <c r="P2168">
        <v>51.8</v>
      </c>
      <c r="S2168" s="74">
        <v>38077</v>
      </c>
      <c r="T2168" s="77">
        <v>0.58333333333333337</v>
      </c>
      <c r="V2168">
        <v>46.94</v>
      </c>
      <c r="X2168" s="42"/>
      <c r="AB2168">
        <v>50.9</v>
      </c>
      <c r="AC2168">
        <v>42.980000000000004</v>
      </c>
      <c r="AE2168" s="74"/>
      <c r="AF2168" s="77"/>
      <c r="AH2168" s="497">
        <v>51.8</v>
      </c>
      <c r="AJ2168" s="42"/>
      <c r="AK2168" s="74"/>
      <c r="AL2168" s="77"/>
      <c r="AN2168" s="497">
        <v>55.040000000000006</v>
      </c>
      <c r="AP2168" s="42"/>
      <c r="AQ2168" s="74"/>
      <c r="AR2168" s="77"/>
      <c r="AT2168" s="497">
        <v>54.68</v>
      </c>
      <c r="AV2168" s="42"/>
      <c r="AW2168" s="74"/>
      <c r="AX2168" s="77"/>
      <c r="BA2168" s="497">
        <v>50</v>
      </c>
      <c r="BB2168" s="42"/>
      <c r="BC2168" s="74"/>
      <c r="BD2168" s="77"/>
      <c r="BF2168">
        <v>48.92</v>
      </c>
      <c r="BH2168" s="42"/>
      <c r="BI2168" s="74"/>
      <c r="BJ2168" s="77"/>
      <c r="BL2168" s="497">
        <v>59</v>
      </c>
      <c r="BN2168" s="42"/>
      <c r="BO2168" s="74"/>
      <c r="BP2168" s="77"/>
      <c r="BR2168" s="497">
        <v>32</v>
      </c>
      <c r="BT2168" s="42"/>
    </row>
    <row r="2169" spans="1:72" x14ac:dyDescent="0.25">
      <c r="A2169" s="90">
        <v>38077</v>
      </c>
      <c r="B2169" s="20">
        <v>0.625</v>
      </c>
      <c r="D2169">
        <v>51.08</v>
      </c>
      <c r="E2169" t="str">
        <f t="shared" si="102"/>
        <v>WEEKDAY</v>
      </c>
      <c r="F2169" t="e">
        <f t="shared" si="103"/>
        <v>#N/A</v>
      </c>
      <c r="G2169" s="74">
        <v>32963</v>
      </c>
      <c r="H2169" s="77">
        <v>0.625</v>
      </c>
      <c r="J2169">
        <v>46.04</v>
      </c>
      <c r="M2169" s="74">
        <v>36616</v>
      </c>
      <c r="N2169" s="77">
        <v>0.625</v>
      </c>
      <c r="P2169">
        <v>53.6</v>
      </c>
      <c r="S2169" s="74">
        <v>38077</v>
      </c>
      <c r="T2169" s="77">
        <v>0.625</v>
      </c>
      <c r="V2169">
        <v>46.94</v>
      </c>
      <c r="X2169" s="42"/>
      <c r="AB2169">
        <v>51.1</v>
      </c>
      <c r="AC2169">
        <v>44.06</v>
      </c>
      <c r="AE2169" s="74"/>
      <c r="AF2169" s="77"/>
      <c r="AH2169" s="497">
        <v>51.8</v>
      </c>
      <c r="AJ2169" s="42"/>
      <c r="AK2169" s="74"/>
      <c r="AL2169" s="77"/>
      <c r="AN2169" s="497">
        <v>55.040000000000006</v>
      </c>
      <c r="AP2169" s="42"/>
      <c r="AQ2169" s="74"/>
      <c r="AR2169" s="77"/>
      <c r="AT2169" s="497">
        <v>53.24</v>
      </c>
      <c r="AV2169" s="42"/>
      <c r="AW2169" s="74"/>
      <c r="AX2169" s="77"/>
      <c r="BA2169" s="497">
        <v>50</v>
      </c>
      <c r="BB2169" s="42"/>
      <c r="BC2169" s="74"/>
      <c r="BD2169" s="77"/>
      <c r="BF2169">
        <v>48.92</v>
      </c>
      <c r="BH2169" s="42"/>
      <c r="BI2169" s="74"/>
      <c r="BJ2169" s="77"/>
      <c r="BL2169" s="497">
        <v>60.08</v>
      </c>
      <c r="BN2169" s="42"/>
      <c r="BO2169" s="74"/>
      <c r="BP2169" s="77"/>
      <c r="BR2169" s="497">
        <v>33.08</v>
      </c>
      <c r="BT2169" s="42"/>
    </row>
    <row r="2170" spans="1:72" x14ac:dyDescent="0.25">
      <c r="A2170" s="90">
        <v>38077</v>
      </c>
      <c r="B2170" s="20">
        <v>0.66666666666666663</v>
      </c>
      <c r="D2170">
        <v>51.08</v>
      </c>
      <c r="E2170" t="str">
        <f t="shared" si="102"/>
        <v>WEEKDAY</v>
      </c>
      <c r="F2170" t="e">
        <f t="shared" si="103"/>
        <v>#N/A</v>
      </c>
      <c r="G2170" s="74">
        <v>32963</v>
      </c>
      <c r="H2170" s="77">
        <v>0.66666666666666663</v>
      </c>
      <c r="J2170">
        <v>48.019999999999996</v>
      </c>
      <c r="M2170" s="74">
        <v>36616</v>
      </c>
      <c r="N2170" s="77">
        <v>0.66666666666666663</v>
      </c>
      <c r="P2170">
        <v>53.6</v>
      </c>
      <c r="S2170" s="74">
        <v>38077</v>
      </c>
      <c r="T2170" s="77">
        <v>0.66666666666666663</v>
      </c>
      <c r="V2170">
        <v>46.94</v>
      </c>
      <c r="X2170" s="42"/>
      <c r="AB2170">
        <v>51.1</v>
      </c>
      <c r="AC2170">
        <v>44.06</v>
      </c>
      <c r="AE2170" s="74"/>
      <c r="AF2170" s="77"/>
      <c r="AH2170" s="497">
        <v>51.26</v>
      </c>
      <c r="AJ2170" s="42"/>
      <c r="AK2170" s="74"/>
      <c r="AL2170" s="77"/>
      <c r="AN2170" s="497">
        <v>53.96</v>
      </c>
      <c r="AP2170" s="42"/>
      <c r="AQ2170" s="74"/>
      <c r="AR2170" s="77"/>
      <c r="AT2170" s="497">
        <v>51.980000000000004</v>
      </c>
      <c r="AV2170" s="42"/>
      <c r="AW2170" s="74"/>
      <c r="AX2170" s="77"/>
      <c r="BA2170" s="497">
        <v>50</v>
      </c>
      <c r="BB2170" s="42"/>
      <c r="BC2170" s="74"/>
      <c r="BD2170" s="77"/>
      <c r="BF2170">
        <v>48.92</v>
      </c>
      <c r="BH2170" s="42"/>
      <c r="BI2170" s="74"/>
      <c r="BJ2170" s="77"/>
      <c r="BL2170" s="497">
        <v>57.019999999999996</v>
      </c>
      <c r="BN2170" s="42"/>
      <c r="BO2170" s="74"/>
      <c r="BP2170" s="77"/>
      <c r="BR2170" s="497">
        <v>32</v>
      </c>
      <c r="BT2170" s="42"/>
    </row>
    <row r="2171" spans="1:72" x14ac:dyDescent="0.25">
      <c r="A2171" s="90">
        <v>38077</v>
      </c>
      <c r="B2171" s="20">
        <v>0.70833333333333337</v>
      </c>
      <c r="D2171">
        <v>50</v>
      </c>
      <c r="E2171" t="str">
        <f t="shared" si="102"/>
        <v>WEEKDAY</v>
      </c>
      <c r="F2171" t="e">
        <f t="shared" si="103"/>
        <v>#N/A</v>
      </c>
      <c r="G2171" s="74">
        <v>32963</v>
      </c>
      <c r="H2171" s="77">
        <v>0.70833333333333337</v>
      </c>
      <c r="J2171">
        <v>46.94</v>
      </c>
      <c r="M2171" s="74">
        <v>36616</v>
      </c>
      <c r="N2171" s="77">
        <v>0.70833333333333337</v>
      </c>
      <c r="P2171">
        <v>53.6</v>
      </c>
      <c r="S2171" s="74">
        <v>38077</v>
      </c>
      <c r="T2171" s="77">
        <v>0.70833333333333337</v>
      </c>
      <c r="V2171">
        <v>46.04</v>
      </c>
      <c r="X2171" s="42"/>
      <c r="AB2171">
        <v>50.6</v>
      </c>
      <c r="AC2171">
        <v>42.08</v>
      </c>
      <c r="AE2171" s="74"/>
      <c r="AF2171" s="77"/>
      <c r="AH2171" s="497">
        <v>50.36</v>
      </c>
      <c r="AJ2171" s="42"/>
      <c r="AK2171" s="74"/>
      <c r="AL2171" s="77"/>
      <c r="AN2171" s="497">
        <v>53.96</v>
      </c>
      <c r="AP2171" s="42"/>
      <c r="AQ2171" s="74"/>
      <c r="AR2171" s="77"/>
      <c r="AT2171" s="497">
        <v>50.72</v>
      </c>
      <c r="AV2171" s="42"/>
      <c r="AW2171" s="74"/>
      <c r="AX2171" s="77"/>
      <c r="BA2171" s="497">
        <v>50</v>
      </c>
      <c r="BB2171" s="42"/>
      <c r="BC2171" s="74"/>
      <c r="BD2171" s="77"/>
      <c r="BF2171">
        <v>48.019999999999996</v>
      </c>
      <c r="BH2171" s="42"/>
      <c r="BI2171" s="74"/>
      <c r="BJ2171" s="77"/>
      <c r="BL2171" s="497">
        <v>55.040000000000006</v>
      </c>
      <c r="BN2171" s="42"/>
      <c r="BO2171" s="74"/>
      <c r="BP2171" s="77"/>
      <c r="BR2171" s="497">
        <v>32</v>
      </c>
      <c r="BT2171" s="42"/>
    </row>
    <row r="2172" spans="1:72" x14ac:dyDescent="0.25">
      <c r="A2172" s="90">
        <v>38077</v>
      </c>
      <c r="B2172" s="20">
        <v>0.75</v>
      </c>
      <c r="D2172">
        <v>50</v>
      </c>
      <c r="E2172" t="str">
        <f t="shared" si="102"/>
        <v>WEEKDAY</v>
      </c>
      <c r="F2172" t="e">
        <f t="shared" si="103"/>
        <v>#N/A</v>
      </c>
      <c r="G2172" s="74">
        <v>32963</v>
      </c>
      <c r="H2172" s="77">
        <v>0.75</v>
      </c>
      <c r="J2172">
        <v>46.94</v>
      </c>
      <c r="M2172" s="74">
        <v>36616</v>
      </c>
      <c r="N2172" s="77">
        <v>0.75</v>
      </c>
      <c r="P2172">
        <v>51.8</v>
      </c>
      <c r="S2172" s="74">
        <v>38077</v>
      </c>
      <c r="T2172" s="77">
        <v>0.75</v>
      </c>
      <c r="V2172">
        <v>46.04</v>
      </c>
      <c r="X2172" s="42"/>
      <c r="AB2172">
        <v>49.5</v>
      </c>
      <c r="AC2172">
        <v>41</v>
      </c>
      <c r="AE2172" s="74"/>
      <c r="AF2172" s="77"/>
      <c r="AH2172" s="497">
        <v>48.2</v>
      </c>
      <c r="AJ2172" s="42"/>
      <c r="AK2172" s="74"/>
      <c r="AL2172" s="77"/>
      <c r="AN2172" s="497">
        <v>51.980000000000004</v>
      </c>
      <c r="AP2172" s="42"/>
      <c r="AQ2172" s="74"/>
      <c r="AR2172" s="77"/>
      <c r="AT2172" s="497">
        <v>49.28</v>
      </c>
      <c r="AV2172" s="42"/>
      <c r="AW2172" s="74"/>
      <c r="AX2172" s="77"/>
      <c r="BA2172" s="497">
        <v>48.92</v>
      </c>
      <c r="BB2172" s="42"/>
      <c r="BC2172" s="74"/>
      <c r="BD2172" s="77"/>
      <c r="BF2172">
        <v>46.94</v>
      </c>
      <c r="BH2172" s="42"/>
      <c r="BI2172" s="74"/>
      <c r="BJ2172" s="77"/>
      <c r="BL2172" s="497">
        <v>53.06</v>
      </c>
      <c r="BN2172" s="42"/>
      <c r="BO2172" s="74"/>
      <c r="BP2172" s="77"/>
      <c r="BR2172" s="497">
        <v>33.08</v>
      </c>
      <c r="BT2172" s="42"/>
    </row>
    <row r="2173" spans="1:72" x14ac:dyDescent="0.25">
      <c r="A2173" s="90">
        <v>38077</v>
      </c>
      <c r="B2173" s="20">
        <v>0.79166666666666663</v>
      </c>
      <c r="D2173">
        <v>50</v>
      </c>
      <c r="E2173" t="str">
        <f t="shared" si="102"/>
        <v>WEEKDAY</v>
      </c>
      <c r="F2173" t="e">
        <f t="shared" si="103"/>
        <v>#N/A</v>
      </c>
      <c r="G2173" s="74">
        <v>32963</v>
      </c>
      <c r="H2173" s="77">
        <v>0.79166666666666663</v>
      </c>
      <c r="J2173">
        <v>44.96</v>
      </c>
      <c r="M2173" s="74">
        <v>36616</v>
      </c>
      <c r="N2173" s="77">
        <v>0.79166666666666663</v>
      </c>
      <c r="P2173">
        <v>50</v>
      </c>
      <c r="S2173" s="74">
        <v>38077</v>
      </c>
      <c r="T2173" s="77">
        <v>0.79166666666666663</v>
      </c>
      <c r="V2173">
        <v>46.04</v>
      </c>
      <c r="X2173" s="42"/>
      <c r="AB2173">
        <v>48.1</v>
      </c>
      <c r="AC2173">
        <v>39.019999999999996</v>
      </c>
      <c r="AE2173" s="74"/>
      <c r="AF2173" s="77"/>
      <c r="AH2173" s="497">
        <v>44.6</v>
      </c>
      <c r="AJ2173" s="42"/>
      <c r="AK2173" s="74"/>
      <c r="AL2173" s="77"/>
      <c r="AN2173" s="497">
        <v>48.019999999999996</v>
      </c>
      <c r="AP2173" s="42"/>
      <c r="AQ2173" s="74"/>
      <c r="AR2173" s="77"/>
      <c r="AT2173" s="497">
        <v>48.019999999999996</v>
      </c>
      <c r="AV2173" s="42"/>
      <c r="AW2173" s="74"/>
      <c r="AX2173" s="77"/>
      <c r="BA2173" s="497">
        <v>48.92</v>
      </c>
      <c r="BB2173" s="42"/>
      <c r="BC2173" s="74"/>
      <c r="BD2173" s="77"/>
      <c r="BF2173">
        <v>46.04</v>
      </c>
      <c r="BH2173" s="42"/>
      <c r="BI2173" s="74"/>
      <c r="BJ2173" s="77"/>
      <c r="BL2173" s="497">
        <v>48.92</v>
      </c>
      <c r="BN2173" s="42"/>
      <c r="BO2173" s="74"/>
      <c r="BP2173" s="77"/>
      <c r="BR2173" s="497">
        <v>30.02</v>
      </c>
      <c r="BT2173" s="42"/>
    </row>
    <row r="2174" spans="1:72" x14ac:dyDescent="0.25">
      <c r="A2174" s="90">
        <v>38077</v>
      </c>
      <c r="B2174" s="20">
        <v>0.83333333333333337</v>
      </c>
      <c r="D2174">
        <v>48.92</v>
      </c>
      <c r="E2174" t="str">
        <f t="shared" si="102"/>
        <v>WEEKDAY</v>
      </c>
      <c r="F2174" t="e">
        <f t="shared" si="103"/>
        <v>#N/A</v>
      </c>
      <c r="G2174" s="74">
        <v>32963</v>
      </c>
      <c r="H2174" s="77">
        <v>0.83333333333333337</v>
      </c>
      <c r="J2174">
        <v>44.06</v>
      </c>
      <c r="M2174" s="74">
        <v>36616</v>
      </c>
      <c r="N2174" s="77">
        <v>0.83333333333333337</v>
      </c>
      <c r="P2174">
        <v>42.8</v>
      </c>
      <c r="S2174" s="74">
        <v>38077</v>
      </c>
      <c r="T2174" s="77">
        <v>0.83333333333333337</v>
      </c>
      <c r="V2174">
        <v>46.04</v>
      </c>
      <c r="X2174" s="42"/>
      <c r="AB2174">
        <v>47.1</v>
      </c>
      <c r="AC2174">
        <v>37.94</v>
      </c>
      <c r="AE2174" s="74"/>
      <c r="AF2174" s="77"/>
      <c r="AH2174" s="497">
        <v>42.8</v>
      </c>
      <c r="AJ2174" s="42"/>
      <c r="AK2174" s="74"/>
      <c r="AL2174" s="77"/>
      <c r="AN2174" s="497">
        <v>46.04</v>
      </c>
      <c r="AP2174" s="42"/>
      <c r="AQ2174" s="74"/>
      <c r="AR2174" s="77"/>
      <c r="AT2174" s="497">
        <v>47.66</v>
      </c>
      <c r="AV2174" s="42"/>
      <c r="AW2174" s="74"/>
      <c r="AX2174" s="77"/>
      <c r="BA2174" s="497">
        <v>48.019999999999996</v>
      </c>
      <c r="BB2174" s="42"/>
      <c r="BC2174" s="74"/>
      <c r="BD2174" s="77"/>
      <c r="BF2174">
        <v>44.96</v>
      </c>
      <c r="BH2174" s="42"/>
      <c r="BI2174" s="74"/>
      <c r="BJ2174" s="77"/>
      <c r="BL2174" s="497">
        <v>48.019999999999996</v>
      </c>
      <c r="BN2174" s="42"/>
      <c r="BO2174" s="74"/>
      <c r="BP2174" s="77"/>
      <c r="BR2174" s="497">
        <v>30.02</v>
      </c>
      <c r="BT2174" s="42"/>
    </row>
    <row r="2175" spans="1:72" x14ac:dyDescent="0.25">
      <c r="A2175" s="90">
        <v>38077</v>
      </c>
      <c r="B2175" s="20">
        <v>0.875</v>
      </c>
      <c r="D2175">
        <v>46.94</v>
      </c>
      <c r="E2175" t="str">
        <f t="shared" si="102"/>
        <v>WEEKDAY</v>
      </c>
      <c r="F2175" t="e">
        <f t="shared" si="103"/>
        <v>#N/A</v>
      </c>
      <c r="G2175" s="74">
        <v>32963</v>
      </c>
      <c r="H2175" s="77">
        <v>0.875</v>
      </c>
      <c r="J2175">
        <v>44.96</v>
      </c>
      <c r="M2175" s="74">
        <v>36616</v>
      </c>
      <c r="N2175" s="77">
        <v>0.875</v>
      </c>
      <c r="P2175">
        <v>44.6</v>
      </c>
      <c r="S2175" s="74">
        <v>38077</v>
      </c>
      <c r="T2175" s="77">
        <v>0.875</v>
      </c>
      <c r="V2175">
        <v>46.04</v>
      </c>
      <c r="X2175" s="42"/>
      <c r="AB2175">
        <v>46.4</v>
      </c>
      <c r="AC2175">
        <v>37.04</v>
      </c>
      <c r="AE2175" s="74"/>
      <c r="AF2175" s="77"/>
      <c r="AH2175" s="497">
        <v>35.6</v>
      </c>
      <c r="AJ2175" s="42"/>
      <c r="AK2175" s="74"/>
      <c r="AL2175" s="77"/>
      <c r="AN2175" s="497">
        <v>42.980000000000004</v>
      </c>
      <c r="AP2175" s="42"/>
      <c r="AQ2175" s="74"/>
      <c r="AR2175" s="77"/>
      <c r="AT2175" s="497">
        <v>47.3</v>
      </c>
      <c r="AV2175" s="42"/>
      <c r="AW2175" s="74"/>
      <c r="AX2175" s="77"/>
      <c r="BA2175" s="497">
        <v>48.019999999999996</v>
      </c>
      <c r="BB2175" s="42"/>
      <c r="BC2175" s="74"/>
      <c r="BD2175" s="77"/>
      <c r="BF2175">
        <v>42.980000000000004</v>
      </c>
      <c r="BH2175" s="42"/>
      <c r="BI2175" s="74"/>
      <c r="BJ2175" s="77"/>
      <c r="BL2175" s="497">
        <v>46.94</v>
      </c>
      <c r="BN2175" s="42"/>
      <c r="BO2175" s="74"/>
      <c r="BP2175" s="77"/>
      <c r="BR2175" s="497">
        <v>32</v>
      </c>
      <c r="BT2175" s="42"/>
    </row>
    <row r="2176" spans="1:72" x14ac:dyDescent="0.25">
      <c r="A2176" s="90">
        <v>38077</v>
      </c>
      <c r="B2176" s="20">
        <v>0.91666666666666663</v>
      </c>
      <c r="D2176">
        <v>46.76</v>
      </c>
      <c r="E2176" t="str">
        <f t="shared" si="102"/>
        <v>WEEKDAY</v>
      </c>
      <c r="F2176" t="e">
        <f t="shared" si="103"/>
        <v>#N/A</v>
      </c>
      <c r="G2176" s="74">
        <v>32963</v>
      </c>
      <c r="H2176" s="77">
        <v>0.91666666666666663</v>
      </c>
      <c r="J2176">
        <v>44.6</v>
      </c>
      <c r="M2176" s="74">
        <v>36616</v>
      </c>
      <c r="N2176" s="77">
        <v>0.91666666666666663</v>
      </c>
      <c r="P2176">
        <v>42.980000000000004</v>
      </c>
      <c r="S2176" s="74">
        <v>38077</v>
      </c>
      <c r="T2176" s="77">
        <v>0.91666666666666663</v>
      </c>
      <c r="V2176">
        <v>44.6</v>
      </c>
      <c r="X2176" s="42"/>
      <c r="AB2176">
        <v>45.8</v>
      </c>
      <c r="AC2176">
        <v>37.58</v>
      </c>
      <c r="AE2176" s="74"/>
      <c r="AF2176" s="77"/>
      <c r="AH2176" s="497">
        <v>34.159999999999997</v>
      </c>
      <c r="AJ2176" s="42"/>
      <c r="AK2176" s="74"/>
      <c r="AL2176" s="77"/>
      <c r="AN2176" s="497">
        <v>41.36</v>
      </c>
      <c r="AP2176" s="42"/>
      <c r="AQ2176" s="74"/>
      <c r="AR2176" s="77"/>
      <c r="AT2176" s="497">
        <v>44.6</v>
      </c>
      <c r="AV2176" s="42"/>
      <c r="AW2176" s="74"/>
      <c r="AX2176" s="77"/>
      <c r="BA2176" s="497">
        <v>46.58</v>
      </c>
      <c r="BB2176" s="42"/>
      <c r="BC2176" s="74"/>
      <c r="BD2176" s="77"/>
      <c r="BF2176">
        <v>41.9</v>
      </c>
      <c r="BH2176" s="42"/>
      <c r="BI2176" s="74"/>
      <c r="BJ2176" s="77"/>
      <c r="BL2176" s="497">
        <v>46.22</v>
      </c>
      <c r="BN2176" s="42"/>
      <c r="BO2176" s="74"/>
      <c r="BP2176" s="77"/>
      <c r="BR2176" s="497">
        <v>32.36</v>
      </c>
      <c r="BT2176" s="42"/>
    </row>
    <row r="2177" spans="1:72" x14ac:dyDescent="0.25">
      <c r="A2177" s="90">
        <v>38077</v>
      </c>
      <c r="B2177" s="20">
        <v>0.95833333333333337</v>
      </c>
      <c r="D2177">
        <v>46.76</v>
      </c>
      <c r="E2177" t="str">
        <f t="shared" si="102"/>
        <v>WEEKDAY</v>
      </c>
      <c r="F2177" t="e">
        <f t="shared" si="103"/>
        <v>#N/A</v>
      </c>
      <c r="G2177" s="74">
        <v>32963</v>
      </c>
      <c r="H2177" s="77">
        <v>0.95833333333333337</v>
      </c>
      <c r="J2177">
        <v>44.06</v>
      </c>
      <c r="M2177" s="74">
        <v>36616</v>
      </c>
      <c r="N2177" s="77">
        <v>0.95833333333333337</v>
      </c>
      <c r="P2177">
        <v>41.36</v>
      </c>
      <c r="S2177" s="74">
        <v>38077</v>
      </c>
      <c r="T2177" s="77">
        <v>0.95833333333333337</v>
      </c>
      <c r="V2177">
        <v>43.16</v>
      </c>
      <c r="X2177" s="42"/>
      <c r="AB2177">
        <v>45.1</v>
      </c>
      <c r="AC2177">
        <v>38.119999999999997</v>
      </c>
      <c r="AE2177" s="74"/>
      <c r="AF2177" s="77"/>
      <c r="AH2177" s="497">
        <v>32.54</v>
      </c>
      <c r="AJ2177" s="42"/>
      <c r="AK2177" s="74"/>
      <c r="AL2177" s="77"/>
      <c r="AN2177" s="497">
        <v>39.92</v>
      </c>
      <c r="AP2177" s="42"/>
      <c r="AQ2177" s="74"/>
      <c r="AR2177" s="77"/>
      <c r="AT2177" s="497">
        <v>42.08</v>
      </c>
      <c r="AV2177" s="42"/>
      <c r="AW2177" s="74"/>
      <c r="AX2177" s="77"/>
      <c r="BA2177" s="497">
        <v>45.14</v>
      </c>
      <c r="BB2177" s="42"/>
      <c r="BC2177" s="74"/>
      <c r="BD2177" s="77"/>
      <c r="BF2177">
        <v>40.64</v>
      </c>
      <c r="BH2177" s="42"/>
      <c r="BI2177" s="74"/>
      <c r="BJ2177" s="77"/>
      <c r="BL2177" s="497">
        <v>45.5</v>
      </c>
      <c r="BN2177" s="42"/>
      <c r="BO2177" s="74"/>
      <c r="BP2177" s="77"/>
      <c r="BR2177" s="497">
        <v>32.9</v>
      </c>
      <c r="BT2177" s="42"/>
    </row>
    <row r="2178" spans="1:72" x14ac:dyDescent="0.25">
      <c r="A2178" s="90">
        <v>38077</v>
      </c>
      <c r="B2178" s="20">
        <v>1</v>
      </c>
      <c r="D2178">
        <v>46.58</v>
      </c>
      <c r="E2178" t="str">
        <f t="shared" si="102"/>
        <v>WEEKDAY</v>
      </c>
      <c r="F2178" t="e">
        <f t="shared" si="103"/>
        <v>#N/A</v>
      </c>
      <c r="G2178" s="74">
        <v>32963</v>
      </c>
      <c r="H2178" s="77">
        <v>1</v>
      </c>
      <c r="J2178">
        <v>43.7</v>
      </c>
      <c r="M2178" s="74">
        <v>36616</v>
      </c>
      <c r="N2178" s="80">
        <v>1</v>
      </c>
      <c r="P2178">
        <v>39.74</v>
      </c>
      <c r="S2178" s="74">
        <v>38077</v>
      </c>
      <c r="T2178" s="80">
        <v>1</v>
      </c>
      <c r="V2178">
        <v>41.72</v>
      </c>
      <c r="X2178" s="42"/>
      <c r="AB2178">
        <v>44.5</v>
      </c>
      <c r="AC2178">
        <v>38.659999999999997</v>
      </c>
      <c r="AE2178" s="74"/>
      <c r="AF2178" s="80"/>
      <c r="AH2178" s="497">
        <v>31.28</v>
      </c>
      <c r="AJ2178" s="42"/>
      <c r="AK2178" s="74"/>
      <c r="AL2178" s="80"/>
      <c r="AN2178" s="497">
        <v>38.299999999999997</v>
      </c>
      <c r="AP2178" s="42"/>
      <c r="AQ2178" s="74"/>
      <c r="AR2178" s="80"/>
      <c r="AT2178" s="497">
        <v>39.380000000000003</v>
      </c>
      <c r="AV2178" s="42"/>
      <c r="AW2178" s="74"/>
      <c r="AX2178" s="80"/>
      <c r="BA2178" s="497">
        <v>43.7</v>
      </c>
      <c r="BB2178" s="42"/>
      <c r="BC2178" s="74"/>
      <c r="BD2178" s="80"/>
      <c r="BF2178">
        <v>39.56</v>
      </c>
      <c r="BH2178" s="42"/>
      <c r="BI2178" s="74"/>
      <c r="BJ2178" s="80"/>
      <c r="BL2178" s="497">
        <v>44.78</v>
      </c>
      <c r="BN2178" s="42"/>
      <c r="BO2178" s="74"/>
      <c r="BP2178" s="80"/>
      <c r="BR2178" s="497">
        <v>33.26</v>
      </c>
      <c r="BT2178" s="42"/>
    </row>
    <row r="2179" spans="1:72" x14ac:dyDescent="0.25">
      <c r="A2179" s="90">
        <v>33329</v>
      </c>
      <c r="B2179" s="20">
        <v>4.1666666666666664E-2</v>
      </c>
      <c r="D2179">
        <v>46.4</v>
      </c>
      <c r="E2179" t="str">
        <f t="shared" si="102"/>
        <v>WEEKDAY</v>
      </c>
      <c r="F2179" t="e">
        <f t="shared" si="103"/>
        <v>#N/A</v>
      </c>
      <c r="G2179" s="74">
        <v>32964</v>
      </c>
      <c r="H2179" s="77">
        <v>4.1666666666666664E-2</v>
      </c>
      <c r="J2179">
        <v>43.34</v>
      </c>
      <c r="M2179" s="74">
        <v>33329</v>
      </c>
      <c r="N2179" s="77">
        <v>4.1666666666666664E-2</v>
      </c>
      <c r="P2179">
        <v>38.299999999999997</v>
      </c>
      <c r="S2179" s="74">
        <v>33329</v>
      </c>
      <c r="T2179" s="77">
        <v>4.1666666666666664E-2</v>
      </c>
      <c r="V2179">
        <v>40.28</v>
      </c>
      <c r="X2179" s="42"/>
      <c r="AB2179">
        <v>43.9</v>
      </c>
      <c r="AC2179">
        <v>39.380000000000003</v>
      </c>
      <c r="AE2179" s="74"/>
      <c r="AF2179" s="77"/>
      <c r="AH2179" s="497">
        <v>29.84</v>
      </c>
      <c r="AJ2179" s="42"/>
      <c r="AK2179" s="74"/>
      <c r="AL2179" s="77"/>
      <c r="AN2179" s="497">
        <v>36.68</v>
      </c>
      <c r="AP2179" s="42"/>
      <c r="AQ2179" s="74"/>
      <c r="AR2179" s="77"/>
      <c r="AT2179" s="497">
        <v>36.86</v>
      </c>
      <c r="AV2179" s="42"/>
      <c r="AW2179" s="74"/>
      <c r="AX2179" s="77"/>
      <c r="BA2179" s="497">
        <v>42.26</v>
      </c>
      <c r="BB2179" s="42"/>
      <c r="BC2179" s="74"/>
      <c r="BD2179" s="77"/>
      <c r="BF2179">
        <v>38.480000000000004</v>
      </c>
      <c r="BH2179" s="42"/>
      <c r="BI2179" s="74"/>
      <c r="BJ2179" s="77"/>
      <c r="BL2179" s="497">
        <v>44.24</v>
      </c>
      <c r="BN2179" s="42"/>
      <c r="BO2179" s="74"/>
      <c r="BP2179" s="77"/>
      <c r="BR2179" s="497">
        <v>33.799999999999997</v>
      </c>
      <c r="BT2179" s="42"/>
    </row>
    <row r="2180" spans="1:72" x14ac:dyDescent="0.25">
      <c r="A2180" s="90">
        <v>33329</v>
      </c>
      <c r="B2180" s="20">
        <v>8.3333333333333329E-2</v>
      </c>
      <c r="D2180">
        <v>46.22</v>
      </c>
      <c r="E2180" t="str">
        <f t="shared" si="102"/>
        <v>WEEKDAY</v>
      </c>
      <c r="F2180" t="e">
        <f t="shared" si="103"/>
        <v>#N/A</v>
      </c>
      <c r="G2180" s="74">
        <v>32964</v>
      </c>
      <c r="H2180" s="77">
        <v>8.3333333333333329E-2</v>
      </c>
      <c r="J2180">
        <v>42.980000000000004</v>
      </c>
      <c r="M2180" s="74">
        <v>33329</v>
      </c>
      <c r="N2180" s="77">
        <v>8.3333333333333329E-2</v>
      </c>
      <c r="P2180">
        <v>36.68</v>
      </c>
      <c r="S2180" s="74">
        <v>33329</v>
      </c>
      <c r="T2180" s="77">
        <v>8.3333333333333329E-2</v>
      </c>
      <c r="V2180">
        <v>38.840000000000003</v>
      </c>
      <c r="X2180" s="42"/>
      <c r="AB2180">
        <v>43.3</v>
      </c>
      <c r="AC2180">
        <v>39.92</v>
      </c>
      <c r="AE2180" s="74"/>
      <c r="AF2180" s="77"/>
      <c r="AH2180" s="497">
        <v>28.4</v>
      </c>
      <c r="AJ2180" s="42"/>
      <c r="AK2180" s="74"/>
      <c r="AL2180" s="77"/>
      <c r="AN2180" s="497">
        <v>35.06</v>
      </c>
      <c r="AP2180" s="42"/>
      <c r="AQ2180" s="74"/>
      <c r="AR2180" s="77"/>
      <c r="AT2180" s="497">
        <v>34.159999999999997</v>
      </c>
      <c r="AV2180" s="42"/>
      <c r="AW2180" s="74"/>
      <c r="AX2180" s="77"/>
      <c r="BA2180" s="497">
        <v>40.82</v>
      </c>
      <c r="BB2180" s="42"/>
      <c r="BC2180" s="74"/>
      <c r="BD2180" s="77"/>
      <c r="BF2180">
        <v>37.4</v>
      </c>
      <c r="BH2180" s="42"/>
      <c r="BI2180" s="74"/>
      <c r="BJ2180" s="77"/>
      <c r="BL2180" s="497">
        <v>43.52</v>
      </c>
      <c r="BN2180" s="42"/>
      <c r="BO2180" s="74"/>
      <c r="BP2180" s="77"/>
      <c r="BR2180" s="497">
        <v>34.159999999999997</v>
      </c>
      <c r="BT2180" s="42"/>
    </row>
    <row r="2181" spans="1:72" x14ac:dyDescent="0.25">
      <c r="A2181" s="90">
        <v>33329</v>
      </c>
      <c r="B2181" s="20">
        <v>0.125</v>
      </c>
      <c r="D2181">
        <v>46.22</v>
      </c>
      <c r="E2181" t="str">
        <f t="shared" si="102"/>
        <v>WEEKDAY</v>
      </c>
      <c r="F2181" t="e">
        <f t="shared" si="103"/>
        <v>#N/A</v>
      </c>
      <c r="G2181" s="74">
        <v>32964</v>
      </c>
      <c r="H2181" s="77">
        <v>0.125</v>
      </c>
      <c r="J2181">
        <v>42.44</v>
      </c>
      <c r="M2181" s="74">
        <v>33329</v>
      </c>
      <c r="N2181" s="77">
        <v>0.125</v>
      </c>
      <c r="P2181">
        <v>35.06</v>
      </c>
      <c r="S2181" s="74">
        <v>33329</v>
      </c>
      <c r="T2181" s="77">
        <v>0.125</v>
      </c>
      <c r="V2181">
        <v>37.4</v>
      </c>
      <c r="X2181" s="42"/>
      <c r="AB2181">
        <v>42.7</v>
      </c>
      <c r="AC2181">
        <v>40.46</v>
      </c>
      <c r="AE2181" s="74"/>
      <c r="AF2181" s="77"/>
      <c r="AH2181" s="497">
        <v>26.78</v>
      </c>
      <c r="AJ2181" s="42"/>
      <c r="AK2181" s="74"/>
      <c r="AL2181" s="77"/>
      <c r="AN2181" s="497">
        <v>33.619999999999997</v>
      </c>
      <c r="AP2181" s="42"/>
      <c r="AQ2181" s="74"/>
      <c r="AR2181" s="77"/>
      <c r="AT2181" s="497">
        <v>31.82</v>
      </c>
      <c r="AV2181" s="42"/>
      <c r="AW2181" s="74"/>
      <c r="AX2181" s="77"/>
      <c r="BA2181" s="497">
        <v>39.380000000000003</v>
      </c>
      <c r="BB2181" s="42"/>
      <c r="BC2181" s="74"/>
      <c r="BD2181" s="77"/>
      <c r="BF2181">
        <v>36.14</v>
      </c>
      <c r="BH2181" s="42"/>
      <c r="BI2181" s="74"/>
      <c r="BJ2181" s="77"/>
      <c r="BL2181" s="497">
        <v>42.8</v>
      </c>
      <c r="BN2181" s="42"/>
      <c r="BO2181" s="74"/>
      <c r="BP2181" s="77"/>
      <c r="BR2181" s="497">
        <v>34.700000000000003</v>
      </c>
      <c r="BT2181" s="42"/>
    </row>
    <row r="2182" spans="1:72" x14ac:dyDescent="0.25">
      <c r="A2182" s="90">
        <v>33329</v>
      </c>
      <c r="B2182" s="20">
        <v>0.16666666666666666</v>
      </c>
      <c r="D2182">
        <v>46.04</v>
      </c>
      <c r="E2182" t="str">
        <f t="shared" si="102"/>
        <v>WEEKDAY</v>
      </c>
      <c r="F2182" t="e">
        <f t="shared" si="103"/>
        <v>#N/A</v>
      </c>
      <c r="G2182" s="74">
        <v>32964</v>
      </c>
      <c r="H2182" s="77">
        <v>0.16666666666666666</v>
      </c>
      <c r="J2182">
        <v>42.08</v>
      </c>
      <c r="M2182" s="74">
        <v>33329</v>
      </c>
      <c r="N2182" s="77">
        <v>0.16666666666666666</v>
      </c>
      <c r="P2182">
        <v>33.44</v>
      </c>
      <c r="S2182" s="74">
        <v>33329</v>
      </c>
      <c r="T2182" s="77">
        <v>0.16666666666666666</v>
      </c>
      <c r="V2182">
        <v>35.96</v>
      </c>
      <c r="X2182" s="42"/>
      <c r="AB2182">
        <v>42.2</v>
      </c>
      <c r="AC2182">
        <v>41</v>
      </c>
      <c r="AE2182" s="74"/>
      <c r="AF2182" s="77"/>
      <c r="AH2182" s="497">
        <v>25.16</v>
      </c>
      <c r="AJ2182" s="42"/>
      <c r="AK2182" s="74"/>
      <c r="AL2182" s="77"/>
      <c r="AN2182" s="497">
        <v>32</v>
      </c>
      <c r="AP2182" s="42"/>
      <c r="AQ2182" s="74"/>
      <c r="AR2182" s="77"/>
      <c r="AT2182" s="497">
        <v>28.94</v>
      </c>
      <c r="AV2182" s="42"/>
      <c r="AW2182" s="74"/>
      <c r="AX2182" s="77"/>
      <c r="BA2182" s="497">
        <v>37.94</v>
      </c>
      <c r="BB2182" s="42"/>
      <c r="BC2182" s="74"/>
      <c r="BD2182" s="77"/>
      <c r="BF2182">
        <v>35.06</v>
      </c>
      <c r="BH2182" s="42"/>
      <c r="BI2182" s="74"/>
      <c r="BJ2182" s="77"/>
      <c r="BL2182" s="497">
        <v>42.08</v>
      </c>
      <c r="BN2182" s="42"/>
      <c r="BO2182" s="74"/>
      <c r="BP2182" s="77"/>
      <c r="BR2182" s="497">
        <v>35.06</v>
      </c>
      <c r="BT2182" s="42"/>
    </row>
    <row r="2183" spans="1:72" x14ac:dyDescent="0.25">
      <c r="A2183" s="90">
        <v>33329</v>
      </c>
      <c r="B2183" s="20">
        <v>0.20833333333333334</v>
      </c>
      <c r="D2183">
        <v>44.06</v>
      </c>
      <c r="E2183" t="str">
        <f t="shared" si="102"/>
        <v>WEEKDAY</v>
      </c>
      <c r="F2183" t="e">
        <f t="shared" si="103"/>
        <v>#N/A</v>
      </c>
      <c r="G2183" s="74">
        <v>32964</v>
      </c>
      <c r="H2183" s="77">
        <v>0.20833333333333334</v>
      </c>
      <c r="J2183">
        <v>42.08</v>
      </c>
      <c r="M2183" s="74">
        <v>33329</v>
      </c>
      <c r="N2183" s="77">
        <v>0.20833333333333334</v>
      </c>
      <c r="P2183">
        <v>33.08</v>
      </c>
      <c r="S2183" s="74">
        <v>33329</v>
      </c>
      <c r="T2183" s="77">
        <v>0.20833333333333334</v>
      </c>
      <c r="V2183">
        <v>37.04</v>
      </c>
      <c r="X2183" s="42"/>
      <c r="AB2183">
        <v>41.8</v>
      </c>
      <c r="AC2183">
        <v>39.019999999999996</v>
      </c>
      <c r="AE2183" s="74"/>
      <c r="AF2183" s="77"/>
      <c r="AH2183" s="497">
        <v>24.259999999999998</v>
      </c>
      <c r="AJ2183" s="42"/>
      <c r="AK2183" s="74"/>
      <c r="AL2183" s="77"/>
      <c r="AN2183" s="497">
        <v>30.92</v>
      </c>
      <c r="AP2183" s="42"/>
      <c r="AQ2183" s="74"/>
      <c r="AR2183" s="77"/>
      <c r="AT2183" s="497">
        <v>26.96</v>
      </c>
      <c r="AV2183" s="42"/>
      <c r="AW2183" s="74"/>
      <c r="AX2183" s="77"/>
      <c r="BA2183" s="497">
        <v>35.96</v>
      </c>
      <c r="BB2183" s="42"/>
      <c r="BC2183" s="74"/>
      <c r="BD2183" s="77"/>
      <c r="BF2183">
        <v>33.08</v>
      </c>
      <c r="BH2183" s="42"/>
      <c r="BI2183" s="74"/>
      <c r="BJ2183" s="77"/>
      <c r="BL2183" s="497">
        <v>41</v>
      </c>
      <c r="BN2183" s="42"/>
      <c r="BO2183" s="74"/>
      <c r="BP2183" s="77"/>
      <c r="BR2183" s="497">
        <v>35.06</v>
      </c>
      <c r="BT2183" s="42"/>
    </row>
    <row r="2184" spans="1:72" x14ac:dyDescent="0.25">
      <c r="A2184" s="90">
        <v>33329</v>
      </c>
      <c r="B2184" s="20">
        <v>0.25</v>
      </c>
      <c r="D2184">
        <v>46.04</v>
      </c>
      <c r="E2184" t="str">
        <f t="shared" si="102"/>
        <v>WEEKDAY</v>
      </c>
      <c r="F2184" t="e">
        <f t="shared" si="103"/>
        <v>#N/A</v>
      </c>
      <c r="G2184" s="74">
        <v>32964</v>
      </c>
      <c r="H2184" s="77">
        <v>0.25</v>
      </c>
      <c r="J2184">
        <v>42.08</v>
      </c>
      <c r="M2184" s="74">
        <v>33329</v>
      </c>
      <c r="N2184" s="77">
        <v>0.25</v>
      </c>
      <c r="P2184">
        <v>33.979999999999997</v>
      </c>
      <c r="S2184" s="74">
        <v>33329</v>
      </c>
      <c r="T2184" s="77">
        <v>0.25</v>
      </c>
      <c r="V2184">
        <v>35.96</v>
      </c>
      <c r="X2184" s="42"/>
      <c r="AB2184">
        <v>41.7</v>
      </c>
      <c r="AC2184">
        <v>39.92</v>
      </c>
      <c r="AE2184" s="74"/>
      <c r="AF2184" s="77"/>
      <c r="AH2184" s="497">
        <v>22.1</v>
      </c>
      <c r="AJ2184" s="42"/>
      <c r="AK2184" s="74"/>
      <c r="AL2184" s="77"/>
      <c r="AN2184" s="497">
        <v>30.92</v>
      </c>
      <c r="AP2184" s="42"/>
      <c r="AQ2184" s="74"/>
      <c r="AR2184" s="77"/>
      <c r="AT2184" s="497">
        <v>26.060000000000002</v>
      </c>
      <c r="AV2184" s="42"/>
      <c r="AW2184" s="74"/>
      <c r="AX2184" s="77"/>
      <c r="BA2184" s="497">
        <v>35.96</v>
      </c>
      <c r="BB2184" s="42"/>
      <c r="BC2184" s="74"/>
      <c r="BD2184" s="77"/>
      <c r="BF2184">
        <v>32</v>
      </c>
      <c r="BH2184" s="42"/>
      <c r="BI2184" s="74"/>
      <c r="BJ2184" s="77"/>
      <c r="BL2184" s="497">
        <v>39.92</v>
      </c>
      <c r="BN2184" s="42"/>
      <c r="BO2184" s="74"/>
      <c r="BP2184" s="77"/>
      <c r="BR2184" s="497">
        <v>35.06</v>
      </c>
      <c r="BT2184" s="42"/>
    </row>
    <row r="2185" spans="1:72" x14ac:dyDescent="0.25">
      <c r="A2185" s="90">
        <v>33329</v>
      </c>
      <c r="B2185" s="20">
        <v>0.29166666666666669</v>
      </c>
      <c r="D2185">
        <v>44.06</v>
      </c>
      <c r="E2185" t="str">
        <f t="shared" si="102"/>
        <v>WEEKDAY</v>
      </c>
      <c r="F2185" t="e">
        <f t="shared" si="103"/>
        <v>#N/A</v>
      </c>
      <c r="G2185" s="74">
        <v>32964</v>
      </c>
      <c r="H2185" s="77">
        <v>0.29166666666666669</v>
      </c>
      <c r="J2185">
        <v>42.08</v>
      </c>
      <c r="M2185" s="74">
        <v>33329</v>
      </c>
      <c r="N2185" s="77">
        <v>0.29166666666666669</v>
      </c>
      <c r="P2185">
        <v>33.979999999999997</v>
      </c>
      <c r="S2185" s="74">
        <v>33329</v>
      </c>
      <c r="T2185" s="77">
        <v>0.29166666666666669</v>
      </c>
      <c r="V2185">
        <v>37.94</v>
      </c>
      <c r="X2185" s="42"/>
      <c r="AB2185">
        <v>41.5</v>
      </c>
      <c r="AC2185">
        <v>39.92</v>
      </c>
      <c r="AE2185" s="74"/>
      <c r="AF2185" s="77"/>
      <c r="AH2185" s="497">
        <v>27.14</v>
      </c>
      <c r="AJ2185" s="42"/>
      <c r="AK2185" s="74"/>
      <c r="AL2185" s="77"/>
      <c r="AN2185" s="497">
        <v>33.08</v>
      </c>
      <c r="AP2185" s="42"/>
      <c r="AQ2185" s="74"/>
      <c r="AR2185" s="77"/>
      <c r="AT2185" s="497">
        <v>32</v>
      </c>
      <c r="AV2185" s="42"/>
      <c r="AW2185" s="74"/>
      <c r="AX2185" s="77"/>
      <c r="BA2185" s="497">
        <v>35.96</v>
      </c>
      <c r="BB2185" s="42"/>
      <c r="BC2185" s="74"/>
      <c r="BD2185" s="77"/>
      <c r="BF2185">
        <v>33.08</v>
      </c>
      <c r="BH2185" s="42"/>
      <c r="BI2185" s="74"/>
      <c r="BJ2185" s="77"/>
      <c r="BL2185" s="497">
        <v>35.96</v>
      </c>
      <c r="BN2185" s="42"/>
      <c r="BO2185" s="74"/>
      <c r="BP2185" s="77"/>
      <c r="BR2185" s="497">
        <v>35.96</v>
      </c>
      <c r="BT2185" s="42"/>
    </row>
    <row r="2186" spans="1:72" x14ac:dyDescent="0.25">
      <c r="A2186" s="90">
        <v>33329</v>
      </c>
      <c r="B2186" s="20">
        <v>0.33333333333333331</v>
      </c>
      <c r="D2186">
        <v>46.94</v>
      </c>
      <c r="E2186" t="str">
        <f t="shared" si="102"/>
        <v>WEEKDAY</v>
      </c>
      <c r="F2186" t="e">
        <f t="shared" si="103"/>
        <v>#N/A</v>
      </c>
      <c r="G2186" s="74">
        <v>32964</v>
      </c>
      <c r="H2186" s="77">
        <v>0.33333333333333331</v>
      </c>
      <c r="J2186">
        <v>42.08</v>
      </c>
      <c r="M2186" s="74">
        <v>33329</v>
      </c>
      <c r="N2186" s="77">
        <v>0.33333333333333331</v>
      </c>
      <c r="P2186">
        <v>37.04</v>
      </c>
      <c r="S2186" s="74">
        <v>33329</v>
      </c>
      <c r="T2186" s="77">
        <v>0.33333333333333331</v>
      </c>
      <c r="V2186">
        <v>41</v>
      </c>
      <c r="X2186" s="42"/>
      <c r="AB2186">
        <v>43</v>
      </c>
      <c r="AC2186">
        <v>42.08</v>
      </c>
      <c r="AE2186" s="74"/>
      <c r="AF2186" s="77"/>
      <c r="AH2186" s="497">
        <v>35.06</v>
      </c>
      <c r="AJ2186" s="42"/>
      <c r="AK2186" s="74"/>
      <c r="AL2186" s="77"/>
      <c r="AN2186" s="497">
        <v>35.06</v>
      </c>
      <c r="AP2186" s="42"/>
      <c r="AQ2186" s="74"/>
      <c r="AR2186" s="77"/>
      <c r="AT2186" s="497">
        <v>39.92</v>
      </c>
      <c r="AV2186" s="42"/>
      <c r="AW2186" s="74"/>
      <c r="AX2186" s="77"/>
      <c r="BA2186" s="497">
        <v>35.06</v>
      </c>
      <c r="BB2186" s="42"/>
      <c r="BC2186" s="74"/>
      <c r="BD2186" s="77"/>
      <c r="BF2186">
        <v>37.04</v>
      </c>
      <c r="BH2186" s="42"/>
      <c r="BI2186" s="74"/>
      <c r="BJ2186" s="77"/>
      <c r="BL2186" s="497">
        <v>35.96</v>
      </c>
      <c r="BN2186" s="42"/>
      <c r="BO2186" s="74"/>
      <c r="BP2186" s="77"/>
      <c r="BR2186" s="497">
        <v>35.96</v>
      </c>
      <c r="BT2186" s="42"/>
    </row>
    <row r="2187" spans="1:72" x14ac:dyDescent="0.25">
      <c r="A2187" s="90">
        <v>33329</v>
      </c>
      <c r="B2187" s="20">
        <v>0.375</v>
      </c>
      <c r="D2187">
        <v>48.92</v>
      </c>
      <c r="E2187" t="str">
        <f t="shared" si="102"/>
        <v>WEEKDAY</v>
      </c>
      <c r="F2187" t="e">
        <f t="shared" si="103"/>
        <v>#N/A</v>
      </c>
      <c r="G2187" s="74">
        <v>32964</v>
      </c>
      <c r="H2187" s="77">
        <v>0.375</v>
      </c>
      <c r="J2187">
        <v>42.980000000000004</v>
      </c>
      <c r="M2187" s="74">
        <v>33329</v>
      </c>
      <c r="N2187" s="77">
        <v>0.375</v>
      </c>
      <c r="P2187">
        <v>39.92</v>
      </c>
      <c r="S2187" s="74">
        <v>33329</v>
      </c>
      <c r="T2187" s="77">
        <v>0.375</v>
      </c>
      <c r="V2187">
        <v>42.980000000000004</v>
      </c>
      <c r="X2187" s="42"/>
      <c r="AB2187">
        <v>44.8</v>
      </c>
      <c r="AC2187">
        <v>48.019999999999996</v>
      </c>
      <c r="AE2187" s="74"/>
      <c r="AF2187" s="77"/>
      <c r="AH2187" s="497">
        <v>41</v>
      </c>
      <c r="AJ2187" s="42"/>
      <c r="AK2187" s="74"/>
      <c r="AL2187" s="77"/>
      <c r="AN2187" s="497">
        <v>37.94</v>
      </c>
      <c r="AP2187" s="42"/>
      <c r="AQ2187" s="74"/>
      <c r="AR2187" s="77"/>
      <c r="AT2187" s="497">
        <v>44.96</v>
      </c>
      <c r="AV2187" s="42"/>
      <c r="AW2187" s="74"/>
      <c r="AX2187" s="77"/>
      <c r="BA2187" s="497">
        <v>35.96</v>
      </c>
      <c r="BB2187" s="42"/>
      <c r="BC2187" s="74"/>
      <c r="BD2187" s="77"/>
      <c r="BF2187">
        <v>41</v>
      </c>
      <c r="BH2187" s="42"/>
      <c r="BI2187" s="74"/>
      <c r="BJ2187" s="77"/>
      <c r="BL2187" s="497">
        <v>37.04</v>
      </c>
      <c r="BN2187" s="42"/>
      <c r="BO2187" s="74"/>
      <c r="BP2187" s="77"/>
      <c r="BR2187" s="497">
        <v>37.94</v>
      </c>
      <c r="BT2187" s="42"/>
    </row>
    <row r="2188" spans="1:72" x14ac:dyDescent="0.25">
      <c r="A2188" s="90">
        <v>33329</v>
      </c>
      <c r="B2188" s="20">
        <v>0.41666666666666669</v>
      </c>
      <c r="D2188">
        <v>51.08</v>
      </c>
      <c r="E2188" t="str">
        <f t="shared" si="102"/>
        <v>WEEKDAY</v>
      </c>
      <c r="F2188" t="e">
        <f t="shared" si="103"/>
        <v>#N/A</v>
      </c>
      <c r="G2188" s="74">
        <v>32964</v>
      </c>
      <c r="H2188" s="77">
        <v>0.41666666666666669</v>
      </c>
      <c r="J2188">
        <v>44.06</v>
      </c>
      <c r="M2188" s="74">
        <v>33329</v>
      </c>
      <c r="N2188" s="77">
        <v>0.41666666666666669</v>
      </c>
      <c r="P2188">
        <v>39.92</v>
      </c>
      <c r="S2188" s="74">
        <v>33329</v>
      </c>
      <c r="T2188" s="77">
        <v>0.41666666666666669</v>
      </c>
      <c r="V2188">
        <v>42.08</v>
      </c>
      <c r="X2188" s="42"/>
      <c r="AB2188">
        <v>46.6</v>
      </c>
      <c r="AC2188">
        <v>44.96</v>
      </c>
      <c r="AE2188" s="74"/>
      <c r="AF2188" s="77"/>
      <c r="AH2188" s="497">
        <v>39.92</v>
      </c>
      <c r="AJ2188" s="42"/>
      <c r="AK2188" s="74"/>
      <c r="AL2188" s="77"/>
      <c r="AN2188" s="497">
        <v>42.08</v>
      </c>
      <c r="AP2188" s="42"/>
      <c r="AQ2188" s="74"/>
      <c r="AR2188" s="77"/>
      <c r="AT2188" s="497">
        <v>46.94</v>
      </c>
      <c r="AV2188" s="42"/>
      <c r="AW2188" s="74"/>
      <c r="AX2188" s="77"/>
      <c r="BA2188" s="497">
        <v>37.04</v>
      </c>
      <c r="BB2188" s="42"/>
      <c r="BC2188" s="74"/>
      <c r="BD2188" s="77"/>
      <c r="BF2188">
        <v>46.04</v>
      </c>
      <c r="BH2188" s="42"/>
      <c r="BI2188" s="74"/>
      <c r="BJ2188" s="77"/>
      <c r="BL2188" s="497">
        <v>39.019999999999996</v>
      </c>
      <c r="BN2188" s="42"/>
      <c r="BO2188" s="74"/>
      <c r="BP2188" s="77"/>
      <c r="BR2188" s="497">
        <v>39.92</v>
      </c>
      <c r="BT2188" s="42"/>
    </row>
    <row r="2189" spans="1:72" x14ac:dyDescent="0.25">
      <c r="A2189" s="90">
        <v>33329</v>
      </c>
      <c r="B2189" s="20">
        <v>0.45833333333333331</v>
      </c>
      <c r="D2189">
        <v>53.06</v>
      </c>
      <c r="E2189" t="str">
        <f t="shared" si="102"/>
        <v>WEEKDAY</v>
      </c>
      <c r="F2189" t="e">
        <f t="shared" si="103"/>
        <v>#N/A</v>
      </c>
      <c r="G2189" s="74">
        <v>32964</v>
      </c>
      <c r="H2189" s="77">
        <v>0.45833333333333331</v>
      </c>
      <c r="J2189">
        <v>44.06</v>
      </c>
      <c r="M2189" s="74">
        <v>33329</v>
      </c>
      <c r="N2189" s="77">
        <v>0.45833333333333331</v>
      </c>
      <c r="P2189">
        <v>42.08</v>
      </c>
      <c r="S2189" s="74">
        <v>33329</v>
      </c>
      <c r="T2189" s="77">
        <v>0.45833333333333331</v>
      </c>
      <c r="V2189">
        <v>41</v>
      </c>
      <c r="X2189" s="42"/>
      <c r="AB2189">
        <v>48.3</v>
      </c>
      <c r="AC2189">
        <v>44.06</v>
      </c>
      <c r="AE2189" s="74"/>
      <c r="AF2189" s="77"/>
      <c r="AH2189" s="497">
        <v>39.92</v>
      </c>
      <c r="AJ2189" s="42"/>
      <c r="AK2189" s="74"/>
      <c r="AL2189" s="77"/>
      <c r="AN2189" s="497">
        <v>44.06</v>
      </c>
      <c r="AP2189" s="42"/>
      <c r="AQ2189" s="74"/>
      <c r="AR2189" s="77"/>
      <c r="AT2189" s="497">
        <v>50</v>
      </c>
      <c r="AV2189" s="42"/>
      <c r="AW2189" s="74"/>
      <c r="AX2189" s="77"/>
      <c r="BA2189" s="497">
        <v>37.94</v>
      </c>
      <c r="BB2189" s="42"/>
      <c r="BC2189" s="74"/>
      <c r="BD2189" s="77"/>
      <c r="BF2189">
        <v>48.92</v>
      </c>
      <c r="BH2189" s="42"/>
      <c r="BI2189" s="74"/>
      <c r="BJ2189" s="77"/>
      <c r="BL2189" s="497">
        <v>39.92</v>
      </c>
      <c r="BN2189" s="42"/>
      <c r="BO2189" s="74"/>
      <c r="BP2189" s="77"/>
      <c r="BR2189" s="497">
        <v>39.92</v>
      </c>
      <c r="BT2189" s="42"/>
    </row>
    <row r="2190" spans="1:72" x14ac:dyDescent="0.25">
      <c r="A2190" s="90">
        <v>33329</v>
      </c>
      <c r="B2190" s="20">
        <v>0.5</v>
      </c>
      <c r="D2190">
        <v>55.040000000000006</v>
      </c>
      <c r="E2190" t="str">
        <f t="shared" si="102"/>
        <v>WEEKDAY</v>
      </c>
      <c r="F2190" t="e">
        <f t="shared" si="103"/>
        <v>#N/A</v>
      </c>
      <c r="G2190" s="74">
        <v>32964</v>
      </c>
      <c r="H2190" s="77">
        <v>0.5</v>
      </c>
      <c r="J2190">
        <v>44.96</v>
      </c>
      <c r="M2190" s="74">
        <v>33329</v>
      </c>
      <c r="N2190" s="77">
        <v>0.5</v>
      </c>
      <c r="P2190">
        <v>39.019999999999996</v>
      </c>
      <c r="S2190" s="74">
        <v>33329</v>
      </c>
      <c r="T2190" s="77">
        <v>0.5</v>
      </c>
      <c r="V2190">
        <v>39.92</v>
      </c>
      <c r="X2190" s="42"/>
      <c r="AB2190">
        <v>49.5</v>
      </c>
      <c r="AC2190">
        <v>44.06</v>
      </c>
      <c r="AE2190" s="74"/>
      <c r="AF2190" s="77"/>
      <c r="AH2190" s="497">
        <v>42.08</v>
      </c>
      <c r="AJ2190" s="42"/>
      <c r="AK2190" s="74"/>
      <c r="AL2190" s="77"/>
      <c r="AN2190" s="497">
        <v>44.06</v>
      </c>
      <c r="AP2190" s="42"/>
      <c r="AQ2190" s="74"/>
      <c r="AR2190" s="77"/>
      <c r="AT2190" s="497">
        <v>51.980000000000004</v>
      </c>
      <c r="AV2190" s="42"/>
      <c r="AW2190" s="74"/>
      <c r="AX2190" s="77"/>
      <c r="BA2190" s="497">
        <v>39.019999999999996</v>
      </c>
      <c r="BB2190" s="42"/>
      <c r="BC2190" s="74"/>
      <c r="BD2190" s="77"/>
      <c r="BF2190">
        <v>50</v>
      </c>
      <c r="BH2190" s="42"/>
      <c r="BI2190" s="74"/>
      <c r="BJ2190" s="77"/>
      <c r="BL2190" s="497">
        <v>42.08</v>
      </c>
      <c r="BN2190" s="42"/>
      <c r="BO2190" s="74"/>
      <c r="BP2190" s="77"/>
      <c r="BR2190" s="497">
        <v>42.08</v>
      </c>
      <c r="BT2190" s="42"/>
    </row>
    <row r="2191" spans="1:72" x14ac:dyDescent="0.25">
      <c r="A2191" s="90">
        <v>33329</v>
      </c>
      <c r="B2191" s="20">
        <v>0.54166666666666663</v>
      </c>
      <c r="D2191">
        <v>57.92</v>
      </c>
      <c r="E2191" t="str">
        <f t="shared" si="102"/>
        <v>WEEKDAY</v>
      </c>
      <c r="F2191" t="e">
        <f t="shared" si="103"/>
        <v>#N/A</v>
      </c>
      <c r="G2191" s="74">
        <v>32964</v>
      </c>
      <c r="H2191" s="77">
        <v>0.54166666666666663</v>
      </c>
      <c r="J2191">
        <v>44.96</v>
      </c>
      <c r="M2191" s="74">
        <v>33329</v>
      </c>
      <c r="N2191" s="77">
        <v>0.54166666666666663</v>
      </c>
      <c r="P2191">
        <v>39.92</v>
      </c>
      <c r="S2191" s="74">
        <v>33329</v>
      </c>
      <c r="T2191" s="77">
        <v>0.54166666666666663</v>
      </c>
      <c r="V2191">
        <v>42.980000000000004</v>
      </c>
      <c r="X2191" s="42"/>
      <c r="AB2191">
        <v>50.4</v>
      </c>
      <c r="AC2191">
        <v>42.08</v>
      </c>
      <c r="AE2191" s="74"/>
      <c r="AF2191" s="77"/>
      <c r="AH2191" s="497">
        <v>41.72</v>
      </c>
      <c r="AJ2191" s="42"/>
      <c r="AK2191" s="74"/>
      <c r="AL2191" s="77"/>
      <c r="AN2191" s="497">
        <v>46.94</v>
      </c>
      <c r="AP2191" s="42"/>
      <c r="AQ2191" s="74"/>
      <c r="AR2191" s="77"/>
      <c r="AT2191" s="497">
        <v>51.980000000000004</v>
      </c>
      <c r="AV2191" s="42"/>
      <c r="AW2191" s="74"/>
      <c r="AX2191" s="77"/>
      <c r="BA2191" s="497">
        <v>42.08</v>
      </c>
      <c r="BB2191" s="42"/>
      <c r="BC2191" s="74"/>
      <c r="BD2191" s="77"/>
      <c r="BF2191">
        <v>53.06</v>
      </c>
      <c r="BH2191" s="42"/>
      <c r="BI2191" s="74"/>
      <c r="BJ2191" s="77"/>
      <c r="BL2191" s="497">
        <v>44.06</v>
      </c>
      <c r="BN2191" s="42"/>
      <c r="BO2191" s="74"/>
      <c r="BP2191" s="77"/>
      <c r="BR2191" s="497">
        <v>42.08</v>
      </c>
      <c r="BT2191" s="42"/>
    </row>
    <row r="2192" spans="1:72" x14ac:dyDescent="0.25">
      <c r="A2192" s="90">
        <v>33329</v>
      </c>
      <c r="B2192" s="20">
        <v>0.58333333333333337</v>
      </c>
      <c r="D2192">
        <v>57.019999999999996</v>
      </c>
      <c r="E2192" t="str">
        <f t="shared" si="102"/>
        <v>WEEKDAY</v>
      </c>
      <c r="F2192" t="e">
        <f t="shared" si="103"/>
        <v>#N/A</v>
      </c>
      <c r="G2192" s="74">
        <v>32964</v>
      </c>
      <c r="H2192" s="77">
        <v>0.58333333333333337</v>
      </c>
      <c r="J2192">
        <v>44.96</v>
      </c>
      <c r="M2192" s="74">
        <v>33329</v>
      </c>
      <c r="N2192" s="77">
        <v>0.58333333333333337</v>
      </c>
      <c r="P2192">
        <v>39.92</v>
      </c>
      <c r="S2192" s="74">
        <v>33329</v>
      </c>
      <c r="T2192" s="77">
        <v>0.58333333333333337</v>
      </c>
      <c r="V2192">
        <v>42.980000000000004</v>
      </c>
      <c r="X2192" s="42"/>
      <c r="AB2192">
        <v>51.2</v>
      </c>
      <c r="AC2192">
        <v>39.92</v>
      </c>
      <c r="AE2192" s="74"/>
      <c r="AF2192" s="77"/>
      <c r="AH2192" s="497">
        <v>41</v>
      </c>
      <c r="AJ2192" s="42"/>
      <c r="AK2192" s="74"/>
      <c r="AL2192" s="77"/>
      <c r="AN2192" s="497">
        <v>48.019999999999996</v>
      </c>
      <c r="AP2192" s="42"/>
      <c r="AQ2192" s="74"/>
      <c r="AR2192" s="77"/>
      <c r="AT2192" s="497">
        <v>53.06</v>
      </c>
      <c r="AV2192" s="42"/>
      <c r="AW2192" s="74"/>
      <c r="AX2192" s="77"/>
      <c r="BA2192" s="497">
        <v>39.019999999999996</v>
      </c>
      <c r="BB2192" s="42"/>
      <c r="BC2192" s="74"/>
      <c r="BD2192" s="77"/>
      <c r="BF2192">
        <v>51.980000000000004</v>
      </c>
      <c r="BH2192" s="42"/>
      <c r="BI2192" s="74"/>
      <c r="BJ2192" s="77"/>
      <c r="BL2192" s="497">
        <v>37.4</v>
      </c>
      <c r="BN2192" s="42"/>
      <c r="BO2192" s="74"/>
      <c r="BP2192" s="77"/>
      <c r="BR2192" s="497">
        <v>42.08</v>
      </c>
      <c r="BT2192" s="42"/>
    </row>
    <row r="2193" spans="1:72" x14ac:dyDescent="0.25">
      <c r="A2193" s="90">
        <v>33329</v>
      </c>
      <c r="B2193" s="20">
        <v>0.625</v>
      </c>
      <c r="D2193">
        <v>57.92</v>
      </c>
      <c r="E2193" t="str">
        <f t="shared" si="102"/>
        <v>WEEKDAY</v>
      </c>
      <c r="F2193" t="e">
        <f t="shared" si="103"/>
        <v>#N/A</v>
      </c>
      <c r="G2193" s="74">
        <v>32964</v>
      </c>
      <c r="H2193" s="77">
        <v>0.625</v>
      </c>
      <c r="J2193">
        <v>44.96</v>
      </c>
      <c r="M2193" s="74">
        <v>33329</v>
      </c>
      <c r="N2193" s="77">
        <v>0.625</v>
      </c>
      <c r="P2193">
        <v>39.92</v>
      </c>
      <c r="S2193" s="74">
        <v>33329</v>
      </c>
      <c r="T2193" s="77">
        <v>0.625</v>
      </c>
      <c r="V2193">
        <v>42.980000000000004</v>
      </c>
      <c r="X2193" s="42"/>
      <c r="AB2193">
        <v>51.4</v>
      </c>
      <c r="AC2193">
        <v>39.92</v>
      </c>
      <c r="AE2193" s="74"/>
      <c r="AF2193" s="77"/>
      <c r="AH2193" s="497">
        <v>41</v>
      </c>
      <c r="AJ2193" s="42"/>
      <c r="AK2193" s="74"/>
      <c r="AL2193" s="77"/>
      <c r="AN2193" s="497">
        <v>48.92</v>
      </c>
      <c r="AP2193" s="42"/>
      <c r="AQ2193" s="74"/>
      <c r="AR2193" s="77"/>
      <c r="AT2193" s="497">
        <v>55.040000000000006</v>
      </c>
      <c r="AV2193" s="42"/>
      <c r="AW2193" s="74"/>
      <c r="AX2193" s="77"/>
      <c r="BA2193" s="497">
        <v>39.92</v>
      </c>
      <c r="BB2193" s="42"/>
      <c r="BC2193" s="74"/>
      <c r="BD2193" s="77"/>
      <c r="BF2193">
        <v>48.92</v>
      </c>
      <c r="BH2193" s="42"/>
      <c r="BI2193" s="74"/>
      <c r="BJ2193" s="77"/>
      <c r="BL2193" s="497">
        <v>39.019999999999996</v>
      </c>
      <c r="BN2193" s="42"/>
      <c r="BO2193" s="74"/>
      <c r="BP2193" s="77"/>
      <c r="BR2193" s="497">
        <v>39.92</v>
      </c>
      <c r="BT2193" s="42"/>
    </row>
    <row r="2194" spans="1:72" x14ac:dyDescent="0.25">
      <c r="A2194" s="90">
        <v>33329</v>
      </c>
      <c r="B2194" s="20">
        <v>0.66666666666666663</v>
      </c>
      <c r="D2194">
        <v>57.92</v>
      </c>
      <c r="E2194" t="str">
        <f t="shared" si="102"/>
        <v>WEEKDAY</v>
      </c>
      <c r="F2194" t="e">
        <f t="shared" si="103"/>
        <v>#N/A</v>
      </c>
      <c r="G2194" s="74">
        <v>32964</v>
      </c>
      <c r="H2194" s="77">
        <v>0.66666666666666663</v>
      </c>
      <c r="J2194">
        <v>44.96</v>
      </c>
      <c r="M2194" s="74">
        <v>33329</v>
      </c>
      <c r="N2194" s="77">
        <v>0.66666666666666663</v>
      </c>
      <c r="P2194">
        <v>39.92</v>
      </c>
      <c r="S2194" s="74">
        <v>33329</v>
      </c>
      <c r="T2194" s="77">
        <v>0.66666666666666663</v>
      </c>
      <c r="V2194">
        <v>44.96</v>
      </c>
      <c r="X2194" s="42"/>
      <c r="AB2194">
        <v>51.4</v>
      </c>
      <c r="AC2194">
        <v>41</v>
      </c>
      <c r="AE2194" s="74"/>
      <c r="AF2194" s="77"/>
      <c r="AH2194" s="497">
        <v>42.08</v>
      </c>
      <c r="AJ2194" s="42"/>
      <c r="AK2194" s="74"/>
      <c r="AL2194" s="77"/>
      <c r="AN2194" s="497">
        <v>50</v>
      </c>
      <c r="AP2194" s="42"/>
      <c r="AQ2194" s="74"/>
      <c r="AR2194" s="77"/>
      <c r="AT2194" s="497">
        <v>53.96</v>
      </c>
      <c r="AV2194" s="42"/>
      <c r="AW2194" s="74"/>
      <c r="AX2194" s="77"/>
      <c r="BA2194" s="497">
        <v>39.019999999999996</v>
      </c>
      <c r="BB2194" s="42"/>
      <c r="BC2194" s="74"/>
      <c r="BD2194" s="77"/>
      <c r="BF2194">
        <v>44.96</v>
      </c>
      <c r="BH2194" s="42"/>
      <c r="BI2194" s="74"/>
      <c r="BJ2194" s="77"/>
      <c r="BL2194" s="497">
        <v>37.94</v>
      </c>
      <c r="BN2194" s="42"/>
      <c r="BO2194" s="74"/>
      <c r="BP2194" s="77"/>
      <c r="BR2194" s="497">
        <v>42.08</v>
      </c>
      <c r="BT2194" s="42"/>
    </row>
    <row r="2195" spans="1:72" x14ac:dyDescent="0.25">
      <c r="A2195" s="90">
        <v>33329</v>
      </c>
      <c r="B2195" s="20">
        <v>0.70833333333333337</v>
      </c>
      <c r="D2195">
        <v>57.92</v>
      </c>
      <c r="E2195" t="str">
        <f t="shared" ref="E2195:E2258" si="104">IF(COUNTIF($DI$18:$DI$22, WEEKDAY(A2195))=1, "WEEKDAY", IF(WEEKDAY(A2195) = 1, "SUNDAY", "SATURDAY"))</f>
        <v>WEEKDAY</v>
      </c>
      <c r="F2195" t="e">
        <f t="shared" si="103"/>
        <v>#N/A</v>
      </c>
      <c r="G2195" s="74">
        <v>32964</v>
      </c>
      <c r="H2195" s="77">
        <v>0.70833333333333337</v>
      </c>
      <c r="J2195">
        <v>44.96</v>
      </c>
      <c r="M2195" s="74">
        <v>33329</v>
      </c>
      <c r="N2195" s="77">
        <v>0.70833333333333337</v>
      </c>
      <c r="P2195">
        <v>42.08</v>
      </c>
      <c r="S2195" s="74">
        <v>33329</v>
      </c>
      <c r="T2195" s="77">
        <v>0.70833333333333337</v>
      </c>
      <c r="V2195">
        <v>44.06</v>
      </c>
      <c r="X2195" s="42"/>
      <c r="AB2195">
        <v>51</v>
      </c>
      <c r="AC2195">
        <v>42.08</v>
      </c>
      <c r="AE2195" s="74"/>
      <c r="AF2195" s="77"/>
      <c r="AH2195" s="497">
        <v>42.980000000000004</v>
      </c>
      <c r="AJ2195" s="42"/>
      <c r="AK2195" s="74"/>
      <c r="AL2195" s="77"/>
      <c r="AN2195" s="497">
        <v>50</v>
      </c>
      <c r="AP2195" s="42"/>
      <c r="AQ2195" s="74"/>
      <c r="AR2195" s="77"/>
      <c r="AT2195" s="497">
        <v>51.980000000000004</v>
      </c>
      <c r="AV2195" s="42"/>
      <c r="AW2195" s="74"/>
      <c r="AX2195" s="77"/>
      <c r="BA2195" s="497">
        <v>39.019999999999996</v>
      </c>
      <c r="BB2195" s="42"/>
      <c r="BC2195" s="74"/>
      <c r="BD2195" s="77"/>
      <c r="BF2195">
        <v>42.980000000000004</v>
      </c>
      <c r="BH2195" s="42"/>
      <c r="BI2195" s="74"/>
      <c r="BJ2195" s="77"/>
      <c r="BL2195" s="497">
        <v>39.019999999999996</v>
      </c>
      <c r="BN2195" s="42"/>
      <c r="BO2195" s="74"/>
      <c r="BP2195" s="77"/>
      <c r="BR2195" s="497">
        <v>39.92</v>
      </c>
      <c r="BT2195" s="42"/>
    </row>
    <row r="2196" spans="1:72" x14ac:dyDescent="0.25">
      <c r="A2196" s="90">
        <v>33329</v>
      </c>
      <c r="B2196" s="20">
        <v>0.75</v>
      </c>
      <c r="D2196">
        <v>55.94</v>
      </c>
      <c r="E2196" t="str">
        <f t="shared" si="104"/>
        <v>WEEKDAY</v>
      </c>
      <c r="F2196" t="e">
        <f t="shared" si="103"/>
        <v>#N/A</v>
      </c>
      <c r="G2196" s="74">
        <v>32964</v>
      </c>
      <c r="H2196" s="77">
        <v>0.75</v>
      </c>
      <c r="J2196">
        <v>44.06</v>
      </c>
      <c r="M2196" s="74">
        <v>33329</v>
      </c>
      <c r="N2196" s="77">
        <v>0.75</v>
      </c>
      <c r="P2196">
        <v>42.08</v>
      </c>
      <c r="S2196" s="74">
        <v>33329</v>
      </c>
      <c r="T2196" s="77">
        <v>0.75</v>
      </c>
      <c r="V2196">
        <v>42.980000000000004</v>
      </c>
      <c r="X2196" s="42"/>
      <c r="AB2196">
        <v>49.9</v>
      </c>
      <c r="AC2196">
        <v>42.08</v>
      </c>
      <c r="AE2196" s="74"/>
      <c r="AF2196" s="77"/>
      <c r="AH2196" s="497">
        <v>41</v>
      </c>
      <c r="AJ2196" s="42"/>
      <c r="AK2196" s="74"/>
      <c r="AL2196" s="77"/>
      <c r="AN2196" s="497">
        <v>46.94</v>
      </c>
      <c r="AP2196" s="42"/>
      <c r="AQ2196" s="74"/>
      <c r="AR2196" s="77"/>
      <c r="AT2196" s="497">
        <v>51.08</v>
      </c>
      <c r="AV2196" s="42"/>
      <c r="AW2196" s="74"/>
      <c r="AX2196" s="77"/>
      <c r="BA2196" s="497">
        <v>37.04</v>
      </c>
      <c r="BB2196" s="42"/>
      <c r="BC2196" s="74"/>
      <c r="BD2196" s="77"/>
      <c r="BF2196">
        <v>42.980000000000004</v>
      </c>
      <c r="BH2196" s="42"/>
      <c r="BI2196" s="74"/>
      <c r="BJ2196" s="77"/>
      <c r="BL2196" s="497">
        <v>37.94</v>
      </c>
      <c r="BN2196" s="42"/>
      <c r="BO2196" s="74"/>
      <c r="BP2196" s="77"/>
      <c r="BR2196" s="497">
        <v>33.979999999999997</v>
      </c>
      <c r="BT2196" s="42"/>
    </row>
    <row r="2197" spans="1:72" x14ac:dyDescent="0.25">
      <c r="A2197" s="90">
        <v>33329</v>
      </c>
      <c r="B2197" s="20">
        <v>0.79166666666666663</v>
      </c>
      <c r="D2197">
        <v>55.040000000000006</v>
      </c>
      <c r="E2197" t="str">
        <f t="shared" si="104"/>
        <v>WEEKDAY</v>
      </c>
      <c r="F2197" t="e">
        <f t="shared" si="103"/>
        <v>#N/A</v>
      </c>
      <c r="G2197" s="74">
        <v>32964</v>
      </c>
      <c r="H2197" s="77">
        <v>0.79166666666666663</v>
      </c>
      <c r="J2197">
        <v>44.06</v>
      </c>
      <c r="M2197" s="74">
        <v>33329</v>
      </c>
      <c r="N2197" s="77">
        <v>0.79166666666666663</v>
      </c>
      <c r="P2197">
        <v>39.92</v>
      </c>
      <c r="S2197" s="74">
        <v>33329</v>
      </c>
      <c r="T2197" s="77">
        <v>0.79166666666666663</v>
      </c>
      <c r="V2197">
        <v>42.980000000000004</v>
      </c>
      <c r="X2197" s="42"/>
      <c r="AB2197">
        <v>48.5</v>
      </c>
      <c r="AC2197">
        <v>42.980000000000004</v>
      </c>
      <c r="AE2197" s="74"/>
      <c r="AF2197" s="77"/>
      <c r="AH2197" s="497">
        <v>39.92</v>
      </c>
      <c r="AJ2197" s="42"/>
      <c r="AK2197" s="74"/>
      <c r="AL2197" s="77"/>
      <c r="AN2197" s="497">
        <v>44.06</v>
      </c>
      <c r="AP2197" s="42"/>
      <c r="AQ2197" s="74"/>
      <c r="AR2197" s="77"/>
      <c r="AT2197" s="497">
        <v>39.019999999999996</v>
      </c>
      <c r="AV2197" s="42"/>
      <c r="AW2197" s="74"/>
      <c r="AX2197" s="77"/>
      <c r="BA2197" s="497">
        <v>37.04</v>
      </c>
      <c r="BB2197" s="42"/>
      <c r="BC2197" s="74"/>
      <c r="BD2197" s="77"/>
      <c r="BF2197">
        <v>42.980000000000004</v>
      </c>
      <c r="BH2197" s="42"/>
      <c r="BI2197" s="74"/>
      <c r="BJ2197" s="77"/>
      <c r="BL2197" s="497">
        <v>37.94</v>
      </c>
      <c r="BN2197" s="42"/>
      <c r="BO2197" s="74"/>
      <c r="BP2197" s="77"/>
      <c r="BR2197" s="497">
        <v>33.979999999999997</v>
      </c>
      <c r="BT2197" s="42"/>
    </row>
    <row r="2198" spans="1:72" x14ac:dyDescent="0.25">
      <c r="A2198" s="90">
        <v>33329</v>
      </c>
      <c r="B2198" s="20">
        <v>0.83333333333333337</v>
      </c>
      <c r="D2198">
        <v>53.96</v>
      </c>
      <c r="E2198" t="str">
        <f t="shared" si="104"/>
        <v>WEEKDAY</v>
      </c>
      <c r="F2198" t="e">
        <f t="shared" si="103"/>
        <v>#N/A</v>
      </c>
      <c r="G2198" s="74">
        <v>32964</v>
      </c>
      <c r="H2198" s="77">
        <v>0.83333333333333337</v>
      </c>
      <c r="J2198">
        <v>44.06</v>
      </c>
      <c r="M2198" s="74">
        <v>33329</v>
      </c>
      <c r="N2198" s="77">
        <v>0.83333333333333337</v>
      </c>
      <c r="P2198">
        <v>37.94</v>
      </c>
      <c r="S2198" s="74">
        <v>33329</v>
      </c>
      <c r="T2198" s="77">
        <v>0.83333333333333337</v>
      </c>
      <c r="V2198">
        <v>42.980000000000004</v>
      </c>
      <c r="X2198" s="42"/>
      <c r="AB2198">
        <v>47.4</v>
      </c>
      <c r="AC2198">
        <v>41</v>
      </c>
      <c r="AE2198" s="74"/>
      <c r="AF2198" s="77"/>
      <c r="AH2198" s="497">
        <v>39.92</v>
      </c>
      <c r="AJ2198" s="42"/>
      <c r="AK2198" s="74"/>
      <c r="AL2198" s="77"/>
      <c r="AN2198" s="497">
        <v>41</v>
      </c>
      <c r="AP2198" s="42"/>
      <c r="AQ2198" s="74"/>
      <c r="AR2198" s="77"/>
      <c r="AT2198" s="497">
        <v>35.06</v>
      </c>
      <c r="AV2198" s="42"/>
      <c r="AW2198" s="74"/>
      <c r="AX2198" s="77"/>
      <c r="BA2198" s="497">
        <v>37.04</v>
      </c>
      <c r="BB2198" s="42"/>
      <c r="BC2198" s="74"/>
      <c r="BD2198" s="77"/>
      <c r="BF2198">
        <v>44.06</v>
      </c>
      <c r="BH2198" s="42"/>
      <c r="BI2198" s="74"/>
      <c r="BJ2198" s="77"/>
      <c r="BL2198" s="497">
        <v>37.94</v>
      </c>
      <c r="BN2198" s="42"/>
      <c r="BO2198" s="74"/>
      <c r="BP2198" s="77"/>
      <c r="BR2198" s="497">
        <v>33.979999999999997</v>
      </c>
      <c r="BT2198" s="42"/>
    </row>
    <row r="2199" spans="1:72" x14ac:dyDescent="0.25">
      <c r="A2199" s="90">
        <v>33329</v>
      </c>
      <c r="B2199" s="20">
        <v>0.875</v>
      </c>
      <c r="D2199">
        <v>55.94</v>
      </c>
      <c r="E2199" t="str">
        <f t="shared" si="104"/>
        <v>WEEKDAY</v>
      </c>
      <c r="F2199" t="e">
        <f t="shared" si="103"/>
        <v>#N/A</v>
      </c>
      <c r="G2199" s="74">
        <v>32964</v>
      </c>
      <c r="H2199" s="77">
        <v>0.875</v>
      </c>
      <c r="J2199">
        <v>44.06</v>
      </c>
      <c r="M2199" s="74">
        <v>33329</v>
      </c>
      <c r="N2199" s="77">
        <v>0.875</v>
      </c>
      <c r="P2199">
        <v>37.94</v>
      </c>
      <c r="S2199" s="74">
        <v>33329</v>
      </c>
      <c r="T2199" s="77">
        <v>0.875</v>
      </c>
      <c r="V2199">
        <v>42.08</v>
      </c>
      <c r="X2199" s="42"/>
      <c r="AB2199">
        <v>46.7</v>
      </c>
      <c r="AC2199">
        <v>42.08</v>
      </c>
      <c r="AE2199" s="74"/>
      <c r="AF2199" s="77"/>
      <c r="AH2199" s="497">
        <v>39.019999999999996</v>
      </c>
      <c r="AJ2199" s="42"/>
      <c r="AK2199" s="74"/>
      <c r="AL2199" s="77"/>
      <c r="AN2199" s="497">
        <v>39.92</v>
      </c>
      <c r="AP2199" s="42"/>
      <c r="AQ2199" s="74"/>
      <c r="AR2199" s="77"/>
      <c r="AT2199" s="497">
        <v>33.08</v>
      </c>
      <c r="AV2199" s="42"/>
      <c r="AW2199" s="74"/>
      <c r="AX2199" s="77"/>
      <c r="BA2199" s="497">
        <v>35.06</v>
      </c>
      <c r="BB2199" s="42"/>
      <c r="BC2199" s="74"/>
      <c r="BD2199" s="77"/>
      <c r="BF2199">
        <v>44.06</v>
      </c>
      <c r="BH2199" s="42"/>
      <c r="BI2199" s="74"/>
      <c r="BJ2199" s="77"/>
      <c r="BL2199" s="497">
        <v>37.04</v>
      </c>
      <c r="BN2199" s="42"/>
      <c r="BO2199" s="74"/>
      <c r="BP2199" s="77"/>
      <c r="BR2199" s="497">
        <v>33.979999999999997</v>
      </c>
      <c r="BT2199" s="42"/>
    </row>
    <row r="2200" spans="1:72" x14ac:dyDescent="0.25">
      <c r="A2200" s="90">
        <v>33329</v>
      </c>
      <c r="B2200" s="20">
        <v>0.91666666666666663</v>
      </c>
      <c r="D2200">
        <v>55.94</v>
      </c>
      <c r="E2200" t="str">
        <f t="shared" si="104"/>
        <v>WEEKDAY</v>
      </c>
      <c r="F2200" t="e">
        <f t="shared" si="103"/>
        <v>#N/A</v>
      </c>
      <c r="G2200" s="74">
        <v>32964</v>
      </c>
      <c r="H2200" s="77">
        <v>0.91666666666666663</v>
      </c>
      <c r="J2200">
        <v>44.06</v>
      </c>
      <c r="M2200" s="74">
        <v>33329</v>
      </c>
      <c r="N2200" s="77">
        <v>0.91666666666666663</v>
      </c>
      <c r="P2200">
        <v>39.019999999999996</v>
      </c>
      <c r="S2200" s="74">
        <v>33329</v>
      </c>
      <c r="T2200" s="77">
        <v>0.91666666666666663</v>
      </c>
      <c r="V2200">
        <v>42.08</v>
      </c>
      <c r="X2200" s="42"/>
      <c r="AB2200">
        <v>46.2</v>
      </c>
      <c r="AC2200">
        <v>42.08</v>
      </c>
      <c r="AE2200" s="74"/>
      <c r="AF2200" s="77"/>
      <c r="AH2200" s="497">
        <v>39.019999999999996</v>
      </c>
      <c r="AJ2200" s="42"/>
      <c r="AK2200" s="74"/>
      <c r="AL2200" s="77"/>
      <c r="AN2200" s="497">
        <v>42.08</v>
      </c>
      <c r="AP2200" s="42"/>
      <c r="AQ2200" s="74"/>
      <c r="AR2200" s="77"/>
      <c r="AT2200" s="497">
        <v>30.92</v>
      </c>
      <c r="AV2200" s="42"/>
      <c r="AW2200" s="74"/>
      <c r="AX2200" s="77"/>
      <c r="BA2200" s="497">
        <v>35.06</v>
      </c>
      <c r="BB2200" s="42"/>
      <c r="BC2200" s="74"/>
      <c r="BD2200" s="77"/>
      <c r="BF2200">
        <v>44.06</v>
      </c>
      <c r="BH2200" s="42"/>
      <c r="BI2200" s="74"/>
      <c r="BJ2200" s="77"/>
      <c r="BL2200" s="497">
        <v>35.96</v>
      </c>
      <c r="BN2200" s="42"/>
      <c r="BO2200" s="74"/>
      <c r="BP2200" s="77"/>
      <c r="BR2200" s="497">
        <v>35.06</v>
      </c>
      <c r="BT2200" s="42"/>
    </row>
    <row r="2201" spans="1:72" x14ac:dyDescent="0.25">
      <c r="A2201" s="90">
        <v>33329</v>
      </c>
      <c r="B2201" s="20">
        <v>0.95833333333333337</v>
      </c>
      <c r="D2201">
        <v>55.040000000000006</v>
      </c>
      <c r="E2201" t="str">
        <f t="shared" si="104"/>
        <v>WEEKDAY</v>
      </c>
      <c r="F2201" t="e">
        <f t="shared" si="103"/>
        <v>#N/A</v>
      </c>
      <c r="G2201" s="74">
        <v>32964</v>
      </c>
      <c r="H2201" s="77">
        <v>0.95833333333333337</v>
      </c>
      <c r="J2201">
        <v>44.06</v>
      </c>
      <c r="M2201" s="74">
        <v>33329</v>
      </c>
      <c r="N2201" s="77">
        <v>0.95833333333333337</v>
      </c>
      <c r="P2201">
        <v>39.92</v>
      </c>
      <c r="S2201" s="74">
        <v>33329</v>
      </c>
      <c r="T2201" s="77">
        <v>0.95833333333333337</v>
      </c>
      <c r="V2201">
        <v>41</v>
      </c>
      <c r="X2201" s="42"/>
      <c r="AB2201">
        <v>45.4</v>
      </c>
      <c r="AC2201">
        <v>39.92</v>
      </c>
      <c r="AE2201" s="74"/>
      <c r="AF2201" s="77"/>
      <c r="AH2201" s="497">
        <v>39.92</v>
      </c>
      <c r="AJ2201" s="42"/>
      <c r="AK2201" s="74"/>
      <c r="AL2201" s="77"/>
      <c r="AN2201" s="497">
        <v>42.08</v>
      </c>
      <c r="AP2201" s="42"/>
      <c r="AQ2201" s="74"/>
      <c r="AR2201" s="77"/>
      <c r="AT2201" s="497">
        <v>30.02</v>
      </c>
      <c r="AV2201" s="42"/>
      <c r="AW2201" s="74"/>
      <c r="AX2201" s="77"/>
      <c r="BA2201" s="497">
        <v>35.06</v>
      </c>
      <c r="BB2201" s="42"/>
      <c r="BC2201" s="74"/>
      <c r="BD2201" s="77"/>
      <c r="BF2201">
        <v>42.980000000000004</v>
      </c>
      <c r="BH2201" s="42"/>
      <c r="BI2201" s="74"/>
      <c r="BJ2201" s="77"/>
      <c r="BL2201" s="497">
        <v>35.06</v>
      </c>
      <c r="BN2201" s="42"/>
      <c r="BO2201" s="74"/>
      <c r="BP2201" s="77"/>
      <c r="BR2201" s="497">
        <v>35.06</v>
      </c>
      <c r="BT2201" s="42"/>
    </row>
    <row r="2202" spans="1:72" x14ac:dyDescent="0.25">
      <c r="A2202" s="90">
        <v>33329</v>
      </c>
      <c r="B2202" s="20">
        <v>1</v>
      </c>
      <c r="D2202">
        <v>53.96</v>
      </c>
      <c r="E2202" t="str">
        <f t="shared" si="104"/>
        <v>WEEKDAY</v>
      </c>
      <c r="F2202" t="e">
        <f t="shared" si="103"/>
        <v>#N/A</v>
      </c>
      <c r="G2202" s="74">
        <v>32964</v>
      </c>
      <c r="H2202" s="77">
        <v>1</v>
      </c>
      <c r="J2202">
        <v>44.06</v>
      </c>
      <c r="M2202" s="74">
        <v>33329</v>
      </c>
      <c r="N2202" s="80">
        <v>1</v>
      </c>
      <c r="P2202">
        <v>39.92</v>
      </c>
      <c r="S2202" s="74">
        <v>33329</v>
      </c>
      <c r="T2202" s="80">
        <v>1</v>
      </c>
      <c r="V2202">
        <v>41</v>
      </c>
      <c r="X2202" s="42"/>
      <c r="AB2202">
        <v>44.8</v>
      </c>
      <c r="AC2202">
        <v>39.019999999999996</v>
      </c>
      <c r="AE2202" s="74"/>
      <c r="AF2202" s="80"/>
      <c r="AH2202" s="497">
        <v>37.94</v>
      </c>
      <c r="AJ2202" s="42"/>
      <c r="AK2202" s="74"/>
      <c r="AL2202" s="80"/>
      <c r="AN2202" s="497">
        <v>42.08</v>
      </c>
      <c r="AP2202" s="42"/>
      <c r="AQ2202" s="74"/>
      <c r="AR2202" s="80"/>
      <c r="AT2202" s="497">
        <v>28.94</v>
      </c>
      <c r="AV2202" s="42"/>
      <c r="AW2202" s="74"/>
      <c r="AX2202" s="80"/>
      <c r="BA2202" s="497">
        <v>35.06</v>
      </c>
      <c r="BB2202" s="42"/>
      <c r="BC2202" s="74"/>
      <c r="BD2202" s="80"/>
      <c r="BF2202">
        <v>42.980000000000004</v>
      </c>
      <c r="BH2202" s="42"/>
      <c r="BI2202" s="74"/>
      <c r="BJ2202" s="80"/>
      <c r="BL2202" s="497">
        <v>33.979999999999997</v>
      </c>
      <c r="BN2202" s="42"/>
      <c r="BO2202" s="74"/>
      <c r="BP2202" s="80"/>
      <c r="BR2202" s="497">
        <v>35.06</v>
      </c>
      <c r="BT2202" s="42"/>
    </row>
    <row r="2203" spans="1:72" x14ac:dyDescent="0.25">
      <c r="A2203" s="90">
        <v>33330</v>
      </c>
      <c r="B2203" s="20">
        <v>4.1666666666666664E-2</v>
      </c>
      <c r="D2203">
        <v>51.980000000000004</v>
      </c>
      <c r="E2203" t="str">
        <f t="shared" si="104"/>
        <v>WEEKDAY</v>
      </c>
      <c r="F2203" t="e">
        <f t="shared" si="103"/>
        <v>#N/A</v>
      </c>
      <c r="G2203" s="74">
        <v>32965</v>
      </c>
      <c r="H2203" s="77">
        <v>4.1666666666666664E-2</v>
      </c>
      <c r="J2203">
        <v>44.06</v>
      </c>
      <c r="M2203" s="74">
        <v>33330</v>
      </c>
      <c r="N2203" s="77">
        <v>4.1666666666666664E-2</v>
      </c>
      <c r="P2203">
        <v>39.019999999999996</v>
      </c>
      <c r="S2203" s="74">
        <v>33330</v>
      </c>
      <c r="T2203" s="77">
        <v>4.1666666666666664E-2</v>
      </c>
      <c r="V2203">
        <v>39.92</v>
      </c>
      <c r="X2203" s="42"/>
      <c r="AB2203">
        <v>44.2</v>
      </c>
      <c r="AC2203">
        <v>39.019999999999996</v>
      </c>
      <c r="AE2203" s="74"/>
      <c r="AF2203" s="77"/>
      <c r="AH2203" s="497">
        <v>39.019999999999996</v>
      </c>
      <c r="AJ2203" s="42"/>
      <c r="AK2203" s="74"/>
      <c r="AL2203" s="77"/>
      <c r="AN2203" s="497">
        <v>41</v>
      </c>
      <c r="AP2203" s="42"/>
      <c r="AQ2203" s="74"/>
      <c r="AR2203" s="77"/>
      <c r="AT2203" s="497">
        <v>28.94</v>
      </c>
      <c r="AV2203" s="42"/>
      <c r="AW2203" s="74"/>
      <c r="AX2203" s="77"/>
      <c r="BA2203" s="497">
        <v>35.06</v>
      </c>
      <c r="BB2203" s="42"/>
      <c r="BC2203" s="74"/>
      <c r="BD2203" s="77"/>
      <c r="BF2203">
        <v>42.08</v>
      </c>
      <c r="BH2203" s="42"/>
      <c r="BI2203" s="74"/>
      <c r="BJ2203" s="77"/>
      <c r="BL2203" s="497">
        <v>30.92</v>
      </c>
      <c r="BN2203" s="42"/>
      <c r="BO2203" s="74"/>
      <c r="BP2203" s="77"/>
      <c r="BR2203" s="497">
        <v>35.96</v>
      </c>
      <c r="BT2203" s="42"/>
    </row>
    <row r="2204" spans="1:72" x14ac:dyDescent="0.25">
      <c r="A2204" s="90">
        <v>33330</v>
      </c>
      <c r="B2204" s="20">
        <v>8.3333333333333329E-2</v>
      </c>
      <c r="D2204">
        <v>51.08</v>
      </c>
      <c r="E2204" t="str">
        <f t="shared" si="104"/>
        <v>WEEKDAY</v>
      </c>
      <c r="F2204" t="e">
        <f t="shared" si="103"/>
        <v>#N/A</v>
      </c>
      <c r="G2204" s="74">
        <v>32965</v>
      </c>
      <c r="H2204" s="77">
        <v>8.3333333333333329E-2</v>
      </c>
      <c r="J2204">
        <v>44.06</v>
      </c>
      <c r="M2204" s="74">
        <v>33330</v>
      </c>
      <c r="N2204" s="77">
        <v>8.3333333333333329E-2</v>
      </c>
      <c r="P2204">
        <v>37.94</v>
      </c>
      <c r="S2204" s="74">
        <v>33330</v>
      </c>
      <c r="T2204" s="77">
        <v>8.3333333333333329E-2</v>
      </c>
      <c r="V2204">
        <v>39.019999999999996</v>
      </c>
      <c r="X2204" s="42"/>
      <c r="AB2204">
        <v>43.6</v>
      </c>
      <c r="AC2204">
        <v>37.04</v>
      </c>
      <c r="AE2204" s="74"/>
      <c r="AF2204" s="77"/>
      <c r="AH2204" s="497">
        <v>37.94</v>
      </c>
      <c r="AJ2204" s="42"/>
      <c r="AK2204" s="74"/>
      <c r="AL2204" s="77"/>
      <c r="AN2204" s="497">
        <v>39.92</v>
      </c>
      <c r="AP2204" s="42"/>
      <c r="AQ2204" s="74"/>
      <c r="AR2204" s="77"/>
      <c r="AT2204" s="497">
        <v>26.96</v>
      </c>
      <c r="AV2204" s="42"/>
      <c r="AW2204" s="74"/>
      <c r="AX2204" s="77"/>
      <c r="BA2204" s="497">
        <v>33.979999999999997</v>
      </c>
      <c r="BB2204" s="42"/>
      <c r="BC2204" s="74"/>
      <c r="BD2204" s="77"/>
      <c r="BF2204">
        <v>42.08</v>
      </c>
      <c r="BH2204" s="42"/>
      <c r="BI2204" s="74"/>
      <c r="BJ2204" s="77"/>
      <c r="BL2204" s="497">
        <v>28.94</v>
      </c>
      <c r="BN2204" s="42"/>
      <c r="BO2204" s="74"/>
      <c r="BP2204" s="77"/>
      <c r="BR2204" s="497">
        <v>35.06</v>
      </c>
      <c r="BT2204" s="42"/>
    </row>
    <row r="2205" spans="1:72" x14ac:dyDescent="0.25">
      <c r="A2205" s="90">
        <v>33330</v>
      </c>
      <c r="B2205" s="20">
        <v>0.125</v>
      </c>
      <c r="D2205">
        <v>48.92</v>
      </c>
      <c r="E2205" t="str">
        <f t="shared" si="104"/>
        <v>WEEKDAY</v>
      </c>
      <c r="F2205" t="e">
        <f t="shared" si="103"/>
        <v>#N/A</v>
      </c>
      <c r="G2205" s="74">
        <v>32965</v>
      </c>
      <c r="H2205" s="77">
        <v>0.125</v>
      </c>
      <c r="J2205">
        <v>44.06</v>
      </c>
      <c r="M2205" s="74">
        <v>33330</v>
      </c>
      <c r="N2205" s="77">
        <v>0.125</v>
      </c>
      <c r="P2205">
        <v>35.96</v>
      </c>
      <c r="S2205" s="74">
        <v>33330</v>
      </c>
      <c r="T2205" s="77">
        <v>0.125</v>
      </c>
      <c r="V2205">
        <v>39.019999999999996</v>
      </c>
      <c r="X2205" s="42"/>
      <c r="AB2205">
        <v>43</v>
      </c>
      <c r="AC2205">
        <v>35.96</v>
      </c>
      <c r="AE2205" s="74"/>
      <c r="AF2205" s="77"/>
      <c r="AH2205" s="497">
        <v>35.96</v>
      </c>
      <c r="AJ2205" s="42"/>
      <c r="AK2205" s="74"/>
      <c r="AL2205" s="77"/>
      <c r="AN2205" s="497">
        <v>41</v>
      </c>
      <c r="AP2205" s="42"/>
      <c r="AQ2205" s="74"/>
      <c r="AR2205" s="77"/>
      <c r="AT2205" s="497">
        <v>26.060000000000002</v>
      </c>
      <c r="AV2205" s="42"/>
      <c r="AW2205" s="74"/>
      <c r="AX2205" s="77"/>
      <c r="BA2205" s="497">
        <v>33.979999999999997</v>
      </c>
      <c r="BB2205" s="42"/>
      <c r="BC2205" s="74"/>
      <c r="BD2205" s="77"/>
      <c r="BF2205">
        <v>41</v>
      </c>
      <c r="BH2205" s="42"/>
      <c r="BI2205" s="74"/>
      <c r="BJ2205" s="77"/>
      <c r="BL2205" s="497">
        <v>32</v>
      </c>
      <c r="BN2205" s="42"/>
      <c r="BO2205" s="74"/>
      <c r="BP2205" s="77"/>
      <c r="BR2205" s="497">
        <v>35.06</v>
      </c>
      <c r="BT2205" s="42"/>
    </row>
    <row r="2206" spans="1:72" x14ac:dyDescent="0.25">
      <c r="A2206" s="90">
        <v>33330</v>
      </c>
      <c r="B2206" s="20">
        <v>0.16666666666666666</v>
      </c>
      <c r="D2206">
        <v>44.96</v>
      </c>
      <c r="E2206" t="str">
        <f t="shared" si="104"/>
        <v>WEEKDAY</v>
      </c>
      <c r="F2206" t="e">
        <f t="shared" si="103"/>
        <v>#N/A</v>
      </c>
      <c r="G2206" s="74">
        <v>32965</v>
      </c>
      <c r="H2206" s="77">
        <v>0.16666666666666666</v>
      </c>
      <c r="J2206">
        <v>44.06</v>
      </c>
      <c r="M2206" s="74">
        <v>33330</v>
      </c>
      <c r="N2206" s="77">
        <v>0.16666666666666666</v>
      </c>
      <c r="P2206">
        <v>35.06</v>
      </c>
      <c r="S2206" s="74">
        <v>33330</v>
      </c>
      <c r="T2206" s="77">
        <v>0.16666666666666666</v>
      </c>
      <c r="V2206">
        <v>39.019999999999996</v>
      </c>
      <c r="X2206" s="42"/>
      <c r="AB2206">
        <v>42.5</v>
      </c>
      <c r="AC2206">
        <v>35.06</v>
      </c>
      <c r="AE2206" s="74"/>
      <c r="AF2206" s="77"/>
      <c r="AH2206" s="497">
        <v>37.04</v>
      </c>
      <c r="AJ2206" s="42"/>
      <c r="AK2206" s="74"/>
      <c r="AL2206" s="77"/>
      <c r="AN2206" s="497">
        <v>41</v>
      </c>
      <c r="AP2206" s="42"/>
      <c r="AQ2206" s="74"/>
      <c r="AR2206" s="77"/>
      <c r="AT2206" s="497">
        <v>26.060000000000002</v>
      </c>
      <c r="AV2206" s="42"/>
      <c r="AW2206" s="74"/>
      <c r="AX2206" s="77"/>
      <c r="BA2206" s="497">
        <v>33.08</v>
      </c>
      <c r="BB2206" s="42"/>
      <c r="BC2206" s="74"/>
      <c r="BD2206" s="77"/>
      <c r="BF2206">
        <v>42.08</v>
      </c>
      <c r="BH2206" s="42"/>
      <c r="BI2206" s="74"/>
      <c r="BJ2206" s="77"/>
      <c r="BL2206" s="497">
        <v>32</v>
      </c>
      <c r="BN2206" s="42"/>
      <c r="BO2206" s="74"/>
      <c r="BP2206" s="77"/>
      <c r="BR2206" s="497">
        <v>35.06</v>
      </c>
      <c r="BT2206" s="42"/>
    </row>
    <row r="2207" spans="1:72" x14ac:dyDescent="0.25">
      <c r="A2207" s="90">
        <v>33330</v>
      </c>
      <c r="B2207" s="20">
        <v>0.20833333333333334</v>
      </c>
      <c r="D2207">
        <v>44.06</v>
      </c>
      <c r="E2207" t="str">
        <f t="shared" si="104"/>
        <v>WEEKDAY</v>
      </c>
      <c r="F2207" t="e">
        <f t="shared" si="103"/>
        <v>#N/A</v>
      </c>
      <c r="G2207" s="74">
        <v>32965</v>
      </c>
      <c r="H2207" s="77">
        <v>0.20833333333333334</v>
      </c>
      <c r="J2207">
        <v>44.06</v>
      </c>
      <c r="M2207" s="74">
        <v>33330</v>
      </c>
      <c r="N2207" s="77">
        <v>0.20833333333333334</v>
      </c>
      <c r="P2207">
        <v>35.06</v>
      </c>
      <c r="S2207" s="74">
        <v>33330</v>
      </c>
      <c r="T2207" s="77">
        <v>0.20833333333333334</v>
      </c>
      <c r="V2207">
        <v>39.019999999999996</v>
      </c>
      <c r="X2207" s="42"/>
      <c r="AB2207">
        <v>42</v>
      </c>
      <c r="AC2207">
        <v>35.06</v>
      </c>
      <c r="AE2207" s="74"/>
      <c r="AF2207" s="77"/>
      <c r="AH2207" s="497">
        <v>37.04</v>
      </c>
      <c r="AJ2207" s="42"/>
      <c r="AK2207" s="74"/>
      <c r="AL2207" s="77"/>
      <c r="AN2207" s="497">
        <v>39.92</v>
      </c>
      <c r="AP2207" s="42"/>
      <c r="AQ2207" s="74"/>
      <c r="AR2207" s="77"/>
      <c r="AT2207" s="497">
        <v>28.04</v>
      </c>
      <c r="AV2207" s="42"/>
      <c r="AW2207" s="74"/>
      <c r="AX2207" s="77"/>
      <c r="BA2207" s="497">
        <v>33.08</v>
      </c>
      <c r="BB2207" s="42"/>
      <c r="BC2207" s="74"/>
      <c r="BD2207" s="77"/>
      <c r="BF2207">
        <v>41</v>
      </c>
      <c r="BH2207" s="42"/>
      <c r="BI2207" s="74"/>
      <c r="BJ2207" s="77"/>
      <c r="BL2207" s="497">
        <v>32</v>
      </c>
      <c r="BN2207" s="42"/>
      <c r="BO2207" s="74"/>
      <c r="BP2207" s="77"/>
      <c r="BR2207" s="497">
        <v>35.06</v>
      </c>
      <c r="BT2207" s="42"/>
    </row>
    <row r="2208" spans="1:72" x14ac:dyDescent="0.25">
      <c r="A2208" s="90">
        <v>33330</v>
      </c>
      <c r="B2208" s="20">
        <v>0.25</v>
      </c>
      <c r="D2208">
        <v>42.980000000000004</v>
      </c>
      <c r="E2208" t="str">
        <f t="shared" si="104"/>
        <v>WEEKDAY</v>
      </c>
      <c r="F2208" t="e">
        <f t="shared" si="103"/>
        <v>#N/A</v>
      </c>
      <c r="G2208" s="74">
        <v>32965</v>
      </c>
      <c r="H2208" s="77">
        <v>0.25</v>
      </c>
      <c r="J2208">
        <v>44.06</v>
      </c>
      <c r="M2208" s="74">
        <v>33330</v>
      </c>
      <c r="N2208" s="77">
        <v>0.25</v>
      </c>
      <c r="P2208">
        <v>33.979999999999997</v>
      </c>
      <c r="S2208" s="74">
        <v>33330</v>
      </c>
      <c r="T2208" s="77">
        <v>0.25</v>
      </c>
      <c r="V2208">
        <v>37.94</v>
      </c>
      <c r="X2208" s="42"/>
      <c r="AB2208">
        <v>41.9</v>
      </c>
      <c r="AC2208">
        <v>35.06</v>
      </c>
      <c r="AE2208" s="74"/>
      <c r="AF2208" s="77"/>
      <c r="AH2208" s="497">
        <v>37.04</v>
      </c>
      <c r="AJ2208" s="42"/>
      <c r="AK2208" s="74"/>
      <c r="AL2208" s="77"/>
      <c r="AN2208" s="497">
        <v>39.92</v>
      </c>
      <c r="AP2208" s="42"/>
      <c r="AQ2208" s="74"/>
      <c r="AR2208" s="77"/>
      <c r="AT2208" s="497">
        <v>28.04</v>
      </c>
      <c r="AV2208" s="42"/>
      <c r="AW2208" s="74"/>
      <c r="AX2208" s="77"/>
      <c r="BA2208" s="497">
        <v>33.08</v>
      </c>
      <c r="BB2208" s="42"/>
      <c r="BC2208" s="74"/>
      <c r="BD2208" s="77"/>
      <c r="BF2208">
        <v>41</v>
      </c>
      <c r="BH2208" s="42"/>
      <c r="BI2208" s="74"/>
      <c r="BJ2208" s="77"/>
      <c r="BL2208" s="497">
        <v>32</v>
      </c>
      <c r="BN2208" s="42"/>
      <c r="BO2208" s="74"/>
      <c r="BP2208" s="77"/>
      <c r="BR2208" s="497">
        <v>33.979999999999997</v>
      </c>
      <c r="BT2208" s="42"/>
    </row>
    <row r="2209" spans="1:72" x14ac:dyDescent="0.25">
      <c r="A2209" s="90">
        <v>33330</v>
      </c>
      <c r="B2209" s="20">
        <v>0.29166666666666669</v>
      </c>
      <c r="D2209">
        <v>42.980000000000004</v>
      </c>
      <c r="E2209" t="str">
        <f t="shared" si="104"/>
        <v>WEEKDAY</v>
      </c>
      <c r="F2209" t="e">
        <f t="shared" si="103"/>
        <v>#N/A</v>
      </c>
      <c r="G2209" s="74">
        <v>32965</v>
      </c>
      <c r="H2209" s="77">
        <v>0.29166666666666669</v>
      </c>
      <c r="J2209">
        <v>44.96</v>
      </c>
      <c r="M2209" s="74">
        <v>33330</v>
      </c>
      <c r="N2209" s="77">
        <v>0.29166666666666669</v>
      </c>
      <c r="P2209">
        <v>37.04</v>
      </c>
      <c r="S2209" s="74">
        <v>33330</v>
      </c>
      <c r="T2209" s="77">
        <v>0.29166666666666669</v>
      </c>
      <c r="V2209">
        <v>39.019999999999996</v>
      </c>
      <c r="X2209" s="42"/>
      <c r="AB2209">
        <v>41.8</v>
      </c>
      <c r="AC2209">
        <v>39.019999999999996</v>
      </c>
      <c r="AE2209" s="74"/>
      <c r="AF2209" s="77"/>
      <c r="AH2209" s="497">
        <v>37.04</v>
      </c>
      <c r="AJ2209" s="42"/>
      <c r="AK2209" s="74"/>
      <c r="AL2209" s="77"/>
      <c r="AN2209" s="497">
        <v>39.92</v>
      </c>
      <c r="AP2209" s="42"/>
      <c r="AQ2209" s="74"/>
      <c r="AR2209" s="77"/>
      <c r="AT2209" s="497">
        <v>28.94</v>
      </c>
      <c r="AV2209" s="42"/>
      <c r="AW2209" s="74"/>
      <c r="AX2209" s="77"/>
      <c r="BA2209" s="497">
        <v>33.08</v>
      </c>
      <c r="BB2209" s="42"/>
      <c r="BC2209" s="74"/>
      <c r="BD2209" s="77"/>
      <c r="BF2209">
        <v>41</v>
      </c>
      <c r="BH2209" s="42"/>
      <c r="BI2209" s="74"/>
      <c r="BJ2209" s="77"/>
      <c r="BL2209" s="497">
        <v>33.979999999999997</v>
      </c>
      <c r="BN2209" s="42"/>
      <c r="BO2209" s="74"/>
      <c r="BP2209" s="77"/>
      <c r="BR2209" s="497">
        <v>33.979999999999997</v>
      </c>
      <c r="BT2209" s="42"/>
    </row>
    <row r="2210" spans="1:72" x14ac:dyDescent="0.25">
      <c r="A2210" s="90">
        <v>33330</v>
      </c>
      <c r="B2210" s="20">
        <v>0.33333333333333331</v>
      </c>
      <c r="D2210">
        <v>44.96</v>
      </c>
      <c r="E2210" t="str">
        <f t="shared" si="104"/>
        <v>WEEKDAY</v>
      </c>
      <c r="F2210" t="e">
        <f t="shared" si="103"/>
        <v>#N/A</v>
      </c>
      <c r="G2210" s="74">
        <v>32965</v>
      </c>
      <c r="H2210" s="77">
        <v>0.33333333333333331</v>
      </c>
      <c r="J2210">
        <v>44.96</v>
      </c>
      <c r="M2210" s="74">
        <v>33330</v>
      </c>
      <c r="N2210" s="77">
        <v>0.33333333333333331</v>
      </c>
      <c r="P2210">
        <v>37.94</v>
      </c>
      <c r="S2210" s="74">
        <v>33330</v>
      </c>
      <c r="T2210" s="77">
        <v>0.33333333333333331</v>
      </c>
      <c r="V2210">
        <v>42.08</v>
      </c>
      <c r="X2210" s="42"/>
      <c r="AB2210">
        <v>43.3</v>
      </c>
      <c r="AC2210">
        <v>42.08</v>
      </c>
      <c r="AE2210" s="74"/>
      <c r="AF2210" s="77"/>
      <c r="AH2210" s="497">
        <v>39.019999999999996</v>
      </c>
      <c r="AJ2210" s="42"/>
      <c r="AK2210" s="74"/>
      <c r="AL2210" s="77"/>
      <c r="AN2210" s="497">
        <v>39.019999999999996</v>
      </c>
      <c r="AP2210" s="42"/>
      <c r="AQ2210" s="74"/>
      <c r="AR2210" s="77"/>
      <c r="AT2210" s="497">
        <v>30.92</v>
      </c>
      <c r="AV2210" s="42"/>
      <c r="AW2210" s="74"/>
      <c r="AX2210" s="77"/>
      <c r="BA2210" s="497">
        <v>33.08</v>
      </c>
      <c r="BB2210" s="42"/>
      <c r="BC2210" s="74"/>
      <c r="BD2210" s="77"/>
      <c r="BF2210">
        <v>41</v>
      </c>
      <c r="BH2210" s="42"/>
      <c r="BI2210" s="74"/>
      <c r="BJ2210" s="77"/>
      <c r="BL2210" s="497">
        <v>35.96</v>
      </c>
      <c r="BN2210" s="42"/>
      <c r="BO2210" s="74"/>
      <c r="BP2210" s="77"/>
      <c r="BR2210" s="497">
        <v>35.06</v>
      </c>
      <c r="BT2210" s="42"/>
    </row>
    <row r="2211" spans="1:72" x14ac:dyDescent="0.25">
      <c r="A2211" s="90">
        <v>33330</v>
      </c>
      <c r="B2211" s="20">
        <v>0.375</v>
      </c>
      <c r="D2211">
        <v>44.06</v>
      </c>
      <c r="E2211" t="str">
        <f t="shared" si="104"/>
        <v>WEEKDAY</v>
      </c>
      <c r="F2211" t="e">
        <f t="shared" si="103"/>
        <v>#N/A</v>
      </c>
      <c r="G2211" s="74">
        <v>32965</v>
      </c>
      <c r="H2211" s="77">
        <v>0.375</v>
      </c>
      <c r="J2211">
        <v>46.94</v>
      </c>
      <c r="M2211" s="74">
        <v>33330</v>
      </c>
      <c r="N2211" s="77">
        <v>0.375</v>
      </c>
      <c r="P2211">
        <v>41</v>
      </c>
      <c r="S2211" s="74">
        <v>33330</v>
      </c>
      <c r="T2211" s="77">
        <v>0.375</v>
      </c>
      <c r="V2211">
        <v>44.06</v>
      </c>
      <c r="X2211" s="42"/>
      <c r="AB2211">
        <v>45.1</v>
      </c>
      <c r="AC2211">
        <v>46.04</v>
      </c>
      <c r="AE2211" s="74"/>
      <c r="AF2211" s="77"/>
      <c r="AH2211" s="497">
        <v>39.019999999999996</v>
      </c>
      <c r="AJ2211" s="42"/>
      <c r="AK2211" s="74"/>
      <c r="AL2211" s="77"/>
      <c r="AN2211" s="497">
        <v>39.019999999999996</v>
      </c>
      <c r="AP2211" s="42"/>
      <c r="AQ2211" s="74"/>
      <c r="AR2211" s="77"/>
      <c r="AT2211" s="497">
        <v>33.979999999999997</v>
      </c>
      <c r="AV2211" s="42"/>
      <c r="AW2211" s="74"/>
      <c r="AX2211" s="77"/>
      <c r="BA2211" s="497">
        <v>33.08</v>
      </c>
      <c r="BB2211" s="42"/>
      <c r="BC2211" s="74"/>
      <c r="BD2211" s="77"/>
      <c r="BF2211">
        <v>41</v>
      </c>
      <c r="BH2211" s="42"/>
      <c r="BI2211" s="74"/>
      <c r="BJ2211" s="77"/>
      <c r="BL2211" s="497">
        <v>39.019999999999996</v>
      </c>
      <c r="BN2211" s="42"/>
      <c r="BO2211" s="74"/>
      <c r="BP2211" s="77"/>
      <c r="BR2211" s="497">
        <v>35.06</v>
      </c>
      <c r="BT2211" s="42"/>
    </row>
    <row r="2212" spans="1:72" x14ac:dyDescent="0.25">
      <c r="A2212" s="90">
        <v>33330</v>
      </c>
      <c r="B2212" s="20">
        <v>0.41666666666666669</v>
      </c>
      <c r="D2212">
        <v>44.06</v>
      </c>
      <c r="E2212" t="str">
        <f t="shared" si="104"/>
        <v>WEEKDAY</v>
      </c>
      <c r="F2212" t="e">
        <f t="shared" si="103"/>
        <v>#N/A</v>
      </c>
      <c r="G2212" s="74">
        <v>32965</v>
      </c>
      <c r="H2212" s="77">
        <v>0.41666666666666669</v>
      </c>
      <c r="J2212">
        <v>46.94</v>
      </c>
      <c r="M2212" s="74">
        <v>33330</v>
      </c>
      <c r="N2212" s="77">
        <v>0.41666666666666669</v>
      </c>
      <c r="P2212">
        <v>42.980000000000004</v>
      </c>
      <c r="S2212" s="74">
        <v>33330</v>
      </c>
      <c r="T2212" s="77">
        <v>0.41666666666666669</v>
      </c>
      <c r="V2212">
        <v>46.94</v>
      </c>
      <c r="X2212" s="42"/>
      <c r="AB2212">
        <v>47</v>
      </c>
      <c r="AC2212">
        <v>46.94</v>
      </c>
      <c r="AE2212" s="74"/>
      <c r="AF2212" s="77"/>
      <c r="AH2212" s="497">
        <v>41</v>
      </c>
      <c r="AJ2212" s="42"/>
      <c r="AK2212" s="74"/>
      <c r="AL2212" s="77"/>
      <c r="AN2212" s="497">
        <v>39.92</v>
      </c>
      <c r="AP2212" s="42"/>
      <c r="AQ2212" s="74"/>
      <c r="AR2212" s="77"/>
      <c r="AT2212" s="497">
        <v>39.019999999999996</v>
      </c>
      <c r="AV2212" s="42"/>
      <c r="AW2212" s="74"/>
      <c r="AX2212" s="77"/>
      <c r="BA2212" s="497">
        <v>35.06</v>
      </c>
      <c r="BB2212" s="42"/>
      <c r="BC2212" s="74"/>
      <c r="BD2212" s="77"/>
      <c r="BF2212">
        <v>42.980000000000004</v>
      </c>
      <c r="BH2212" s="42"/>
      <c r="BI2212" s="74"/>
      <c r="BJ2212" s="77"/>
      <c r="BL2212" s="497">
        <v>39.92</v>
      </c>
      <c r="BN2212" s="42"/>
      <c r="BO2212" s="74"/>
      <c r="BP2212" s="77"/>
      <c r="BR2212" s="497">
        <v>37.04</v>
      </c>
      <c r="BT2212" s="42"/>
    </row>
    <row r="2213" spans="1:72" x14ac:dyDescent="0.25">
      <c r="A2213" s="90">
        <v>33330</v>
      </c>
      <c r="B2213" s="20">
        <v>0.45833333333333331</v>
      </c>
      <c r="D2213">
        <v>44.96</v>
      </c>
      <c r="E2213" t="str">
        <f t="shared" si="104"/>
        <v>WEEKDAY</v>
      </c>
      <c r="F2213" t="e">
        <f t="shared" si="103"/>
        <v>#N/A</v>
      </c>
      <c r="G2213" s="74">
        <v>32965</v>
      </c>
      <c r="H2213" s="77">
        <v>0.45833333333333331</v>
      </c>
      <c r="J2213">
        <v>48.019999999999996</v>
      </c>
      <c r="M2213" s="74">
        <v>33330</v>
      </c>
      <c r="N2213" s="77">
        <v>0.45833333333333331</v>
      </c>
      <c r="P2213">
        <v>46.94</v>
      </c>
      <c r="S2213" s="74">
        <v>33330</v>
      </c>
      <c r="T2213" s="77">
        <v>0.45833333333333331</v>
      </c>
      <c r="V2213">
        <v>48.019999999999996</v>
      </c>
      <c r="X2213" s="42"/>
      <c r="AB2213">
        <v>48.6</v>
      </c>
      <c r="AC2213">
        <v>46.94</v>
      </c>
      <c r="AE2213" s="74"/>
      <c r="AF2213" s="77"/>
      <c r="AH2213" s="497">
        <v>42.08</v>
      </c>
      <c r="AJ2213" s="42"/>
      <c r="AK2213" s="74"/>
      <c r="AL2213" s="77"/>
      <c r="AN2213" s="497">
        <v>42.08</v>
      </c>
      <c r="AP2213" s="42"/>
      <c r="AQ2213" s="74"/>
      <c r="AR2213" s="77"/>
      <c r="AT2213" s="497">
        <v>42.980000000000004</v>
      </c>
      <c r="AV2213" s="42"/>
      <c r="AW2213" s="74"/>
      <c r="AX2213" s="77"/>
      <c r="BA2213" s="497">
        <v>35.96</v>
      </c>
      <c r="BB2213" s="42"/>
      <c r="BC2213" s="74"/>
      <c r="BD2213" s="77"/>
      <c r="BF2213">
        <v>44.06</v>
      </c>
      <c r="BH2213" s="42"/>
      <c r="BI2213" s="74"/>
      <c r="BJ2213" s="77"/>
      <c r="BL2213" s="497">
        <v>41</v>
      </c>
      <c r="BN2213" s="42"/>
      <c r="BO2213" s="74"/>
      <c r="BP2213" s="77"/>
      <c r="BR2213" s="497">
        <v>39.019999999999996</v>
      </c>
      <c r="BT2213" s="42"/>
    </row>
    <row r="2214" spans="1:72" x14ac:dyDescent="0.25">
      <c r="A2214" s="90">
        <v>33330</v>
      </c>
      <c r="B2214" s="20">
        <v>0.5</v>
      </c>
      <c r="D2214">
        <v>44.96</v>
      </c>
      <c r="E2214" t="str">
        <f t="shared" si="104"/>
        <v>WEEKDAY</v>
      </c>
      <c r="F2214" t="e">
        <f t="shared" si="103"/>
        <v>#N/A</v>
      </c>
      <c r="G2214" s="74">
        <v>32965</v>
      </c>
      <c r="H2214" s="77">
        <v>0.5</v>
      </c>
      <c r="J2214">
        <v>48.019999999999996</v>
      </c>
      <c r="M2214" s="74">
        <v>33330</v>
      </c>
      <c r="N2214" s="77">
        <v>0.5</v>
      </c>
      <c r="P2214">
        <v>44.06</v>
      </c>
      <c r="S2214" s="74">
        <v>33330</v>
      </c>
      <c r="T2214" s="77">
        <v>0.5</v>
      </c>
      <c r="V2214">
        <v>46.94</v>
      </c>
      <c r="X2214" s="42"/>
      <c r="AB2214">
        <v>49.9</v>
      </c>
      <c r="AC2214">
        <v>44.96</v>
      </c>
      <c r="AE2214" s="74"/>
      <c r="AF2214" s="77"/>
      <c r="AH2214" s="497">
        <v>46.94</v>
      </c>
      <c r="AJ2214" s="42"/>
      <c r="AK2214" s="74"/>
      <c r="AL2214" s="77"/>
      <c r="AN2214" s="497">
        <v>46.04</v>
      </c>
      <c r="AP2214" s="42"/>
      <c r="AQ2214" s="74"/>
      <c r="AR2214" s="77"/>
      <c r="AT2214" s="497">
        <v>48.019999999999996</v>
      </c>
      <c r="AV2214" s="42"/>
      <c r="AW2214" s="74"/>
      <c r="AX2214" s="77"/>
      <c r="BA2214" s="497">
        <v>32</v>
      </c>
      <c r="BB2214" s="42"/>
      <c r="BC2214" s="74"/>
      <c r="BD2214" s="77"/>
      <c r="BF2214">
        <v>42.980000000000004</v>
      </c>
      <c r="BH2214" s="42"/>
      <c r="BI2214" s="74"/>
      <c r="BJ2214" s="77"/>
      <c r="BL2214" s="497">
        <v>41</v>
      </c>
      <c r="BN2214" s="42"/>
      <c r="BO2214" s="74"/>
      <c r="BP2214" s="77"/>
      <c r="BR2214" s="497">
        <v>39.019999999999996</v>
      </c>
      <c r="BT2214" s="42"/>
    </row>
    <row r="2215" spans="1:72" x14ac:dyDescent="0.25">
      <c r="A2215" s="90">
        <v>33330</v>
      </c>
      <c r="B2215" s="20">
        <v>0.54166666666666663</v>
      </c>
      <c r="D2215">
        <v>48.92</v>
      </c>
      <c r="E2215" t="str">
        <f t="shared" si="104"/>
        <v>WEEKDAY</v>
      </c>
      <c r="F2215" t="e">
        <f t="shared" si="103"/>
        <v>#N/A</v>
      </c>
      <c r="G2215" s="74">
        <v>32965</v>
      </c>
      <c r="H2215" s="77">
        <v>0.54166666666666663</v>
      </c>
      <c r="J2215">
        <v>48.019999999999996</v>
      </c>
      <c r="M2215" s="74">
        <v>33330</v>
      </c>
      <c r="N2215" s="77">
        <v>0.54166666666666663</v>
      </c>
      <c r="P2215">
        <v>46.04</v>
      </c>
      <c r="S2215" s="74">
        <v>33330</v>
      </c>
      <c r="T2215" s="77">
        <v>0.54166666666666663</v>
      </c>
      <c r="V2215">
        <v>50</v>
      </c>
      <c r="X2215" s="42"/>
      <c r="AB2215">
        <v>50.8</v>
      </c>
      <c r="AC2215">
        <v>48.019999999999996</v>
      </c>
      <c r="AE2215" s="74"/>
      <c r="AF2215" s="77"/>
      <c r="AH2215" s="497">
        <v>44.96</v>
      </c>
      <c r="AJ2215" s="42"/>
      <c r="AK2215" s="74"/>
      <c r="AL2215" s="77"/>
      <c r="AN2215" s="497">
        <v>44.96</v>
      </c>
      <c r="AP2215" s="42"/>
      <c r="AQ2215" s="74"/>
      <c r="AR2215" s="77"/>
      <c r="AT2215" s="497">
        <v>50</v>
      </c>
      <c r="AV2215" s="42"/>
      <c r="AW2215" s="74"/>
      <c r="AX2215" s="77"/>
      <c r="BA2215" s="497">
        <v>33.08</v>
      </c>
      <c r="BB2215" s="42"/>
      <c r="BC2215" s="74"/>
      <c r="BD2215" s="77"/>
      <c r="BF2215">
        <v>42.08</v>
      </c>
      <c r="BH2215" s="42"/>
      <c r="BI2215" s="74"/>
      <c r="BJ2215" s="77"/>
      <c r="BL2215" s="497">
        <v>37.94</v>
      </c>
      <c r="BN2215" s="42"/>
      <c r="BO2215" s="74"/>
      <c r="BP2215" s="77"/>
      <c r="BR2215" s="497">
        <v>39.92</v>
      </c>
      <c r="BT2215" s="42"/>
    </row>
    <row r="2216" spans="1:72" x14ac:dyDescent="0.25">
      <c r="A2216" s="90">
        <v>33330</v>
      </c>
      <c r="B2216" s="20">
        <v>0.58333333333333337</v>
      </c>
      <c r="D2216">
        <v>48.019999999999996</v>
      </c>
      <c r="E2216" t="str">
        <f t="shared" si="104"/>
        <v>WEEKDAY</v>
      </c>
      <c r="F2216" t="e">
        <f t="shared" si="103"/>
        <v>#N/A</v>
      </c>
      <c r="G2216" s="74">
        <v>32965</v>
      </c>
      <c r="H2216" s="77">
        <v>0.58333333333333337</v>
      </c>
      <c r="J2216">
        <v>48.019999999999996</v>
      </c>
      <c r="M2216" s="74">
        <v>33330</v>
      </c>
      <c r="N2216" s="77">
        <v>0.58333333333333337</v>
      </c>
      <c r="P2216">
        <v>46.94</v>
      </c>
      <c r="S2216" s="74">
        <v>33330</v>
      </c>
      <c r="T2216" s="77">
        <v>0.58333333333333337</v>
      </c>
      <c r="V2216">
        <v>50</v>
      </c>
      <c r="X2216" s="42"/>
      <c r="AB2216">
        <v>51.6</v>
      </c>
      <c r="AC2216">
        <v>50</v>
      </c>
      <c r="AE2216" s="74"/>
      <c r="AF2216" s="77"/>
      <c r="AH2216" s="497">
        <v>46.04</v>
      </c>
      <c r="AJ2216" s="42"/>
      <c r="AK2216" s="74"/>
      <c r="AL2216" s="77"/>
      <c r="AN2216" s="497">
        <v>42.980000000000004</v>
      </c>
      <c r="AP2216" s="42"/>
      <c r="AQ2216" s="74"/>
      <c r="AR2216" s="77"/>
      <c r="AT2216" s="497">
        <v>51.980000000000004</v>
      </c>
      <c r="AV2216" s="42"/>
      <c r="AW2216" s="74"/>
      <c r="AX2216" s="77"/>
      <c r="BA2216" s="497">
        <v>35.06</v>
      </c>
      <c r="BB2216" s="42"/>
      <c r="BC2216" s="74"/>
      <c r="BD2216" s="77"/>
      <c r="BF2216">
        <v>44.96</v>
      </c>
      <c r="BH2216" s="42"/>
      <c r="BI2216" s="74"/>
      <c r="BJ2216" s="77"/>
      <c r="BL2216" s="497">
        <v>37.04</v>
      </c>
      <c r="BN2216" s="42"/>
      <c r="BO2216" s="74"/>
      <c r="BP2216" s="77"/>
      <c r="BR2216" s="497">
        <v>39.92</v>
      </c>
      <c r="BT2216" s="42"/>
    </row>
    <row r="2217" spans="1:72" x14ac:dyDescent="0.25">
      <c r="A2217" s="90">
        <v>33330</v>
      </c>
      <c r="B2217" s="20">
        <v>0.625</v>
      </c>
      <c r="D2217">
        <v>44.96</v>
      </c>
      <c r="E2217" t="str">
        <f t="shared" si="104"/>
        <v>WEEKDAY</v>
      </c>
      <c r="F2217" t="e">
        <f t="shared" si="103"/>
        <v>#N/A</v>
      </c>
      <c r="G2217" s="74">
        <v>32965</v>
      </c>
      <c r="H2217" s="77">
        <v>0.625</v>
      </c>
      <c r="J2217">
        <v>48.019999999999996</v>
      </c>
      <c r="M2217" s="74">
        <v>33330</v>
      </c>
      <c r="N2217" s="77">
        <v>0.625</v>
      </c>
      <c r="P2217">
        <v>48.92</v>
      </c>
      <c r="S2217" s="74">
        <v>33330</v>
      </c>
      <c r="T2217" s="77">
        <v>0.625</v>
      </c>
      <c r="V2217">
        <v>50</v>
      </c>
      <c r="X2217" s="42"/>
      <c r="AB2217">
        <v>51.8</v>
      </c>
      <c r="AC2217">
        <v>50</v>
      </c>
      <c r="AE2217" s="74"/>
      <c r="AF2217" s="77"/>
      <c r="AH2217" s="497">
        <v>46.94</v>
      </c>
      <c r="AJ2217" s="42"/>
      <c r="AK2217" s="74"/>
      <c r="AL2217" s="77"/>
      <c r="AN2217" s="497">
        <v>44.96</v>
      </c>
      <c r="AP2217" s="42"/>
      <c r="AQ2217" s="74"/>
      <c r="AR2217" s="77"/>
      <c r="AT2217" s="497">
        <v>53.06</v>
      </c>
      <c r="AV2217" s="42"/>
      <c r="AW2217" s="74"/>
      <c r="AX2217" s="77"/>
      <c r="BA2217" s="497">
        <v>32</v>
      </c>
      <c r="BB2217" s="42"/>
      <c r="BC2217" s="74"/>
      <c r="BD2217" s="77"/>
      <c r="BF2217">
        <v>46.94</v>
      </c>
      <c r="BH2217" s="42"/>
      <c r="BI2217" s="74"/>
      <c r="BJ2217" s="77"/>
      <c r="BL2217" s="497">
        <v>37.04</v>
      </c>
      <c r="BN2217" s="42"/>
      <c r="BO2217" s="74"/>
      <c r="BP2217" s="77"/>
      <c r="BR2217" s="497">
        <v>39.019999999999996</v>
      </c>
      <c r="BT2217" s="42"/>
    </row>
    <row r="2218" spans="1:72" x14ac:dyDescent="0.25">
      <c r="A2218" s="90">
        <v>33330</v>
      </c>
      <c r="B2218" s="20">
        <v>0.66666666666666663</v>
      </c>
      <c r="D2218">
        <v>44.96</v>
      </c>
      <c r="E2218" t="str">
        <f t="shared" si="104"/>
        <v>WEEKDAY</v>
      </c>
      <c r="F2218" t="e">
        <f t="shared" si="103"/>
        <v>#N/A</v>
      </c>
      <c r="G2218" s="74">
        <v>32965</v>
      </c>
      <c r="H2218" s="77">
        <v>0.66666666666666663</v>
      </c>
      <c r="J2218">
        <v>48.92</v>
      </c>
      <c r="M2218" s="74">
        <v>33330</v>
      </c>
      <c r="N2218" s="77">
        <v>0.66666666666666663</v>
      </c>
      <c r="P2218">
        <v>46.04</v>
      </c>
      <c r="S2218" s="74">
        <v>33330</v>
      </c>
      <c r="T2218" s="77">
        <v>0.66666666666666663</v>
      </c>
      <c r="V2218">
        <v>48.92</v>
      </c>
      <c r="X2218" s="42"/>
      <c r="AB2218">
        <v>51.8</v>
      </c>
      <c r="AC2218">
        <v>48.92</v>
      </c>
      <c r="AE2218" s="74"/>
      <c r="AF2218" s="77"/>
      <c r="AH2218" s="497">
        <v>44.06</v>
      </c>
      <c r="AJ2218" s="42"/>
      <c r="AK2218" s="74"/>
      <c r="AL2218" s="77"/>
      <c r="AN2218" s="497">
        <v>44.06</v>
      </c>
      <c r="AP2218" s="42"/>
      <c r="AQ2218" s="74"/>
      <c r="AR2218" s="77"/>
      <c r="AT2218" s="497">
        <v>53.96</v>
      </c>
      <c r="AV2218" s="42"/>
      <c r="AW2218" s="74"/>
      <c r="AX2218" s="77"/>
      <c r="BA2218" s="497">
        <v>33.08</v>
      </c>
      <c r="BB2218" s="42"/>
      <c r="BC2218" s="74"/>
      <c r="BD2218" s="77"/>
      <c r="BF2218">
        <v>46.94</v>
      </c>
      <c r="BH2218" s="42"/>
      <c r="BI2218" s="74"/>
      <c r="BJ2218" s="77"/>
      <c r="BL2218" s="497">
        <v>37.94</v>
      </c>
      <c r="BN2218" s="42"/>
      <c r="BO2218" s="74"/>
      <c r="BP2218" s="77"/>
      <c r="BR2218" s="497">
        <v>39.92</v>
      </c>
      <c r="BT2218" s="42"/>
    </row>
    <row r="2219" spans="1:72" x14ac:dyDescent="0.25">
      <c r="A2219" s="90">
        <v>33330</v>
      </c>
      <c r="B2219" s="20">
        <v>0.70833333333333337</v>
      </c>
      <c r="D2219">
        <v>44.06</v>
      </c>
      <c r="E2219" t="str">
        <f t="shared" si="104"/>
        <v>WEEKDAY</v>
      </c>
      <c r="F2219" t="e">
        <f t="shared" ref="F2219:F2282" si="105">IF(E2219="WEEKDAY",VLOOKUP(B2219,$DD$19:$DG$42,2),IF(E2219="SATURDAY",VLOOKUP(B2219,$DD$19:$DG$42,3),VLOOKUP(B2219,$DD$19:$DG$42,4)))</f>
        <v>#N/A</v>
      </c>
      <c r="G2219" s="74">
        <v>32965</v>
      </c>
      <c r="H2219" s="77">
        <v>0.70833333333333337</v>
      </c>
      <c r="J2219">
        <v>48.92</v>
      </c>
      <c r="M2219" s="74">
        <v>33330</v>
      </c>
      <c r="N2219" s="77">
        <v>0.70833333333333337</v>
      </c>
      <c r="P2219">
        <v>44.96</v>
      </c>
      <c r="S2219" s="74">
        <v>33330</v>
      </c>
      <c r="T2219" s="77">
        <v>0.70833333333333337</v>
      </c>
      <c r="V2219">
        <v>48.019999999999996</v>
      </c>
      <c r="X2219" s="42"/>
      <c r="AB2219">
        <v>51.3</v>
      </c>
      <c r="AC2219">
        <v>50</v>
      </c>
      <c r="AE2219" s="74"/>
      <c r="AF2219" s="77"/>
      <c r="AH2219" s="497">
        <v>46.94</v>
      </c>
      <c r="AJ2219" s="42"/>
      <c r="AK2219" s="74"/>
      <c r="AL2219" s="77"/>
      <c r="AN2219" s="497">
        <v>44.06</v>
      </c>
      <c r="AP2219" s="42"/>
      <c r="AQ2219" s="74"/>
      <c r="AR2219" s="77"/>
      <c r="AT2219" s="497">
        <v>53.06</v>
      </c>
      <c r="AV2219" s="42"/>
      <c r="AW2219" s="74"/>
      <c r="AX2219" s="77"/>
      <c r="BA2219" s="497">
        <v>33.08</v>
      </c>
      <c r="BB2219" s="42"/>
      <c r="BC2219" s="74"/>
      <c r="BD2219" s="77"/>
      <c r="BF2219">
        <v>44.06</v>
      </c>
      <c r="BH2219" s="42"/>
      <c r="BI2219" s="74"/>
      <c r="BJ2219" s="77"/>
      <c r="BL2219" s="497">
        <v>39.019999999999996</v>
      </c>
      <c r="BN2219" s="42"/>
      <c r="BO2219" s="74"/>
      <c r="BP2219" s="77"/>
      <c r="BR2219" s="497">
        <v>37.94</v>
      </c>
      <c r="BT2219" s="42"/>
    </row>
    <row r="2220" spans="1:72" x14ac:dyDescent="0.25">
      <c r="A2220" s="90">
        <v>33330</v>
      </c>
      <c r="B2220" s="20">
        <v>0.75</v>
      </c>
      <c r="D2220">
        <v>42.980000000000004</v>
      </c>
      <c r="E2220" t="str">
        <f t="shared" si="104"/>
        <v>WEEKDAY</v>
      </c>
      <c r="F2220" t="e">
        <f t="shared" si="105"/>
        <v>#N/A</v>
      </c>
      <c r="G2220" s="74">
        <v>32965</v>
      </c>
      <c r="H2220" s="77">
        <v>0.75</v>
      </c>
      <c r="J2220">
        <v>48.019999999999996</v>
      </c>
      <c r="M2220" s="74">
        <v>33330</v>
      </c>
      <c r="N2220" s="77">
        <v>0.75</v>
      </c>
      <c r="P2220">
        <v>42.980000000000004</v>
      </c>
      <c r="S2220" s="74">
        <v>33330</v>
      </c>
      <c r="T2220" s="77">
        <v>0.75</v>
      </c>
      <c r="V2220">
        <v>46.04</v>
      </c>
      <c r="X2220" s="42"/>
      <c r="AB2220">
        <v>50.2</v>
      </c>
      <c r="AC2220">
        <v>46.04</v>
      </c>
      <c r="AE2220" s="74"/>
      <c r="AF2220" s="77"/>
      <c r="AH2220" s="497">
        <v>42.980000000000004</v>
      </c>
      <c r="AJ2220" s="42"/>
      <c r="AK2220" s="74"/>
      <c r="AL2220" s="77"/>
      <c r="AN2220" s="497">
        <v>44.06</v>
      </c>
      <c r="AP2220" s="42"/>
      <c r="AQ2220" s="74"/>
      <c r="AR2220" s="77"/>
      <c r="AT2220" s="497">
        <v>50</v>
      </c>
      <c r="AV2220" s="42"/>
      <c r="AW2220" s="74"/>
      <c r="AX2220" s="77"/>
      <c r="BA2220" s="497">
        <v>32</v>
      </c>
      <c r="BB2220" s="42"/>
      <c r="BC2220" s="74"/>
      <c r="BD2220" s="77"/>
      <c r="BF2220">
        <v>42.980000000000004</v>
      </c>
      <c r="BH2220" s="42"/>
      <c r="BI2220" s="74"/>
      <c r="BJ2220" s="77"/>
      <c r="BL2220" s="497">
        <v>39.92</v>
      </c>
      <c r="BN2220" s="42"/>
      <c r="BO2220" s="74"/>
      <c r="BP2220" s="77"/>
      <c r="BR2220" s="497">
        <v>37.04</v>
      </c>
      <c r="BT2220" s="42"/>
    </row>
    <row r="2221" spans="1:72" x14ac:dyDescent="0.25">
      <c r="A2221" s="90">
        <v>33330</v>
      </c>
      <c r="B2221" s="20">
        <v>0.79166666666666663</v>
      </c>
      <c r="D2221">
        <v>42.980000000000004</v>
      </c>
      <c r="E2221" t="str">
        <f t="shared" si="104"/>
        <v>WEEKDAY</v>
      </c>
      <c r="F2221" t="e">
        <f t="shared" si="105"/>
        <v>#N/A</v>
      </c>
      <c r="G2221" s="74">
        <v>32965</v>
      </c>
      <c r="H2221" s="77">
        <v>0.79166666666666663</v>
      </c>
      <c r="J2221">
        <v>48.92</v>
      </c>
      <c r="M2221" s="74">
        <v>33330</v>
      </c>
      <c r="N2221" s="77">
        <v>0.79166666666666663</v>
      </c>
      <c r="P2221">
        <v>42.08</v>
      </c>
      <c r="S2221" s="74">
        <v>33330</v>
      </c>
      <c r="T2221" s="77">
        <v>0.79166666666666663</v>
      </c>
      <c r="V2221">
        <v>46.04</v>
      </c>
      <c r="X2221" s="42"/>
      <c r="AB2221">
        <v>48.8</v>
      </c>
      <c r="AC2221">
        <v>42.980000000000004</v>
      </c>
      <c r="AE2221" s="74"/>
      <c r="AF2221" s="77"/>
      <c r="AH2221" s="497">
        <v>42.08</v>
      </c>
      <c r="AJ2221" s="42"/>
      <c r="AK2221" s="74"/>
      <c r="AL2221" s="77"/>
      <c r="AN2221" s="497">
        <v>42.08</v>
      </c>
      <c r="AP2221" s="42"/>
      <c r="AQ2221" s="74"/>
      <c r="AR2221" s="77"/>
      <c r="AT2221" s="497">
        <v>48.019999999999996</v>
      </c>
      <c r="AV2221" s="42"/>
      <c r="AW2221" s="74"/>
      <c r="AX2221" s="77"/>
      <c r="BA2221" s="497">
        <v>32</v>
      </c>
      <c r="BB2221" s="42"/>
      <c r="BC2221" s="74"/>
      <c r="BD2221" s="77"/>
      <c r="BF2221">
        <v>39.019999999999996</v>
      </c>
      <c r="BH2221" s="42"/>
      <c r="BI2221" s="74"/>
      <c r="BJ2221" s="77"/>
      <c r="BL2221" s="497">
        <v>39.92</v>
      </c>
      <c r="BN2221" s="42"/>
      <c r="BO2221" s="74"/>
      <c r="BP2221" s="77"/>
      <c r="BR2221" s="497">
        <v>35.96</v>
      </c>
      <c r="BT2221" s="42"/>
    </row>
    <row r="2222" spans="1:72" x14ac:dyDescent="0.25">
      <c r="A2222" s="90">
        <v>33330</v>
      </c>
      <c r="B2222" s="20">
        <v>0.83333333333333337</v>
      </c>
      <c r="D2222">
        <v>44.06</v>
      </c>
      <c r="E2222" t="str">
        <f t="shared" si="104"/>
        <v>WEEKDAY</v>
      </c>
      <c r="F2222" t="e">
        <f t="shared" si="105"/>
        <v>#N/A</v>
      </c>
      <c r="G2222" s="74">
        <v>32965</v>
      </c>
      <c r="H2222" s="77">
        <v>0.83333333333333337</v>
      </c>
      <c r="J2222">
        <v>46.94</v>
      </c>
      <c r="M2222" s="74">
        <v>33330</v>
      </c>
      <c r="N2222" s="77">
        <v>0.83333333333333337</v>
      </c>
      <c r="P2222">
        <v>41</v>
      </c>
      <c r="S2222" s="74">
        <v>33330</v>
      </c>
      <c r="T2222" s="77">
        <v>0.83333333333333337</v>
      </c>
      <c r="V2222">
        <v>44.06</v>
      </c>
      <c r="X2222" s="42"/>
      <c r="AB2222">
        <v>47.7</v>
      </c>
      <c r="AC2222">
        <v>41</v>
      </c>
      <c r="AE2222" s="74"/>
      <c r="AF2222" s="77"/>
      <c r="AH2222" s="497">
        <v>39.019999999999996</v>
      </c>
      <c r="AJ2222" s="42"/>
      <c r="AK2222" s="74"/>
      <c r="AL2222" s="77"/>
      <c r="AN2222" s="497">
        <v>41</v>
      </c>
      <c r="AP2222" s="42"/>
      <c r="AQ2222" s="74"/>
      <c r="AR2222" s="77"/>
      <c r="AT2222" s="497">
        <v>44.96</v>
      </c>
      <c r="AV2222" s="42"/>
      <c r="AW2222" s="74"/>
      <c r="AX2222" s="77"/>
      <c r="BA2222" s="497">
        <v>32</v>
      </c>
      <c r="BB2222" s="42"/>
      <c r="BC2222" s="74"/>
      <c r="BD2222" s="77"/>
      <c r="BF2222">
        <v>37.94</v>
      </c>
      <c r="BH2222" s="42"/>
      <c r="BI2222" s="74"/>
      <c r="BJ2222" s="77"/>
      <c r="BL2222" s="497">
        <v>41</v>
      </c>
      <c r="BN2222" s="42"/>
      <c r="BO2222" s="74"/>
      <c r="BP2222" s="77"/>
      <c r="BR2222" s="497">
        <v>35.96</v>
      </c>
      <c r="BT2222" s="42"/>
    </row>
    <row r="2223" spans="1:72" x14ac:dyDescent="0.25">
      <c r="A2223" s="90">
        <v>33330</v>
      </c>
      <c r="B2223" s="20">
        <v>0.875</v>
      </c>
      <c r="D2223">
        <v>42.980000000000004</v>
      </c>
      <c r="E2223" t="str">
        <f t="shared" si="104"/>
        <v>WEEKDAY</v>
      </c>
      <c r="F2223" t="e">
        <f t="shared" si="105"/>
        <v>#N/A</v>
      </c>
      <c r="G2223" s="74">
        <v>32965</v>
      </c>
      <c r="H2223" s="77">
        <v>0.875</v>
      </c>
      <c r="J2223">
        <v>46.94</v>
      </c>
      <c r="M2223" s="74">
        <v>33330</v>
      </c>
      <c r="N2223" s="77">
        <v>0.875</v>
      </c>
      <c r="P2223">
        <v>39.92</v>
      </c>
      <c r="S2223" s="74">
        <v>33330</v>
      </c>
      <c r="T2223" s="77">
        <v>0.875</v>
      </c>
      <c r="V2223">
        <v>42.980000000000004</v>
      </c>
      <c r="X2223" s="42"/>
      <c r="AB2223">
        <v>47</v>
      </c>
      <c r="AC2223">
        <v>39.92</v>
      </c>
      <c r="AE2223" s="74"/>
      <c r="AF2223" s="77"/>
      <c r="AH2223" s="497">
        <v>37.04</v>
      </c>
      <c r="AJ2223" s="42"/>
      <c r="AK2223" s="74"/>
      <c r="AL2223" s="77"/>
      <c r="AN2223" s="497">
        <v>39.019999999999996</v>
      </c>
      <c r="AP2223" s="42"/>
      <c r="AQ2223" s="74"/>
      <c r="AR2223" s="77"/>
      <c r="AT2223" s="497">
        <v>41</v>
      </c>
      <c r="AV2223" s="42"/>
      <c r="AW2223" s="74"/>
      <c r="AX2223" s="77"/>
      <c r="BA2223" s="497">
        <v>32</v>
      </c>
      <c r="BB2223" s="42"/>
      <c r="BC2223" s="74"/>
      <c r="BD2223" s="77"/>
      <c r="BF2223">
        <v>37.94</v>
      </c>
      <c r="BH2223" s="42"/>
      <c r="BI2223" s="74"/>
      <c r="BJ2223" s="77"/>
      <c r="BL2223" s="497">
        <v>41</v>
      </c>
      <c r="BN2223" s="42"/>
      <c r="BO2223" s="74"/>
      <c r="BP2223" s="77"/>
      <c r="BR2223" s="497">
        <v>35.06</v>
      </c>
      <c r="BT2223" s="42"/>
    </row>
    <row r="2224" spans="1:72" x14ac:dyDescent="0.25">
      <c r="A2224" s="90">
        <v>33330</v>
      </c>
      <c r="B2224" s="20">
        <v>0.91666666666666663</v>
      </c>
      <c r="D2224">
        <v>42.980000000000004</v>
      </c>
      <c r="E2224" t="str">
        <f t="shared" si="104"/>
        <v>WEEKDAY</v>
      </c>
      <c r="F2224" t="e">
        <f t="shared" si="105"/>
        <v>#N/A</v>
      </c>
      <c r="G2224" s="74">
        <v>32965</v>
      </c>
      <c r="H2224" s="77">
        <v>0.91666666666666663</v>
      </c>
      <c r="J2224">
        <v>46.04</v>
      </c>
      <c r="M2224" s="74">
        <v>33330</v>
      </c>
      <c r="N2224" s="77">
        <v>0.91666666666666663</v>
      </c>
      <c r="P2224">
        <v>39.019999999999996</v>
      </c>
      <c r="S2224" s="74">
        <v>33330</v>
      </c>
      <c r="T2224" s="77">
        <v>0.91666666666666663</v>
      </c>
      <c r="V2224">
        <v>42.08</v>
      </c>
      <c r="X2224" s="42"/>
      <c r="AB2224">
        <v>46.4</v>
      </c>
      <c r="AC2224">
        <v>39.92</v>
      </c>
      <c r="AE2224" s="74"/>
      <c r="AF2224" s="77"/>
      <c r="AH2224" s="497">
        <v>35.06</v>
      </c>
      <c r="AJ2224" s="42"/>
      <c r="AK2224" s="74"/>
      <c r="AL2224" s="77"/>
      <c r="AN2224" s="497">
        <v>39.019999999999996</v>
      </c>
      <c r="AP2224" s="42"/>
      <c r="AQ2224" s="74"/>
      <c r="AR2224" s="77"/>
      <c r="AT2224" s="497">
        <v>39.92</v>
      </c>
      <c r="AV2224" s="42"/>
      <c r="AW2224" s="74"/>
      <c r="AX2224" s="77"/>
      <c r="BA2224" s="497">
        <v>32</v>
      </c>
      <c r="BB2224" s="42"/>
      <c r="BC2224" s="74"/>
      <c r="BD2224" s="77"/>
      <c r="BF2224">
        <v>37.94</v>
      </c>
      <c r="BH2224" s="42"/>
      <c r="BI2224" s="74"/>
      <c r="BJ2224" s="77"/>
      <c r="BL2224" s="497">
        <v>42.08</v>
      </c>
      <c r="BN2224" s="42"/>
      <c r="BO2224" s="74"/>
      <c r="BP2224" s="77"/>
      <c r="BR2224" s="497">
        <v>35.06</v>
      </c>
      <c r="BT2224" s="42"/>
    </row>
    <row r="2225" spans="1:72" x14ac:dyDescent="0.25">
      <c r="A2225" s="90">
        <v>33330</v>
      </c>
      <c r="B2225" s="20">
        <v>0.95833333333333337</v>
      </c>
      <c r="D2225">
        <v>42.08</v>
      </c>
      <c r="E2225" t="str">
        <f t="shared" si="104"/>
        <v>WEEKDAY</v>
      </c>
      <c r="F2225" t="e">
        <f t="shared" si="105"/>
        <v>#N/A</v>
      </c>
      <c r="G2225" s="74">
        <v>32965</v>
      </c>
      <c r="H2225" s="77">
        <v>0.95833333333333337</v>
      </c>
      <c r="J2225">
        <v>46.04</v>
      </c>
      <c r="M2225" s="74">
        <v>33330</v>
      </c>
      <c r="N2225" s="77">
        <v>0.95833333333333337</v>
      </c>
      <c r="P2225">
        <v>37.94</v>
      </c>
      <c r="S2225" s="74">
        <v>33330</v>
      </c>
      <c r="T2225" s="77">
        <v>0.95833333333333337</v>
      </c>
      <c r="V2225">
        <v>41</v>
      </c>
      <c r="X2225" s="42"/>
      <c r="AB2225">
        <v>45.7</v>
      </c>
      <c r="AC2225">
        <v>39.019999999999996</v>
      </c>
      <c r="AE2225" s="74"/>
      <c r="AF2225" s="77"/>
      <c r="AH2225" s="497">
        <v>32</v>
      </c>
      <c r="AJ2225" s="42"/>
      <c r="AK2225" s="74"/>
      <c r="AL2225" s="77"/>
      <c r="AN2225" s="497">
        <v>37.04</v>
      </c>
      <c r="AP2225" s="42"/>
      <c r="AQ2225" s="74"/>
      <c r="AR2225" s="77"/>
      <c r="AT2225" s="497">
        <v>39.92</v>
      </c>
      <c r="AV2225" s="42"/>
      <c r="AW2225" s="74"/>
      <c r="AX2225" s="77"/>
      <c r="BA2225" s="497">
        <v>30.92</v>
      </c>
      <c r="BB2225" s="42"/>
      <c r="BC2225" s="74"/>
      <c r="BD2225" s="77"/>
      <c r="BF2225">
        <v>37.04</v>
      </c>
      <c r="BH2225" s="42"/>
      <c r="BI2225" s="74"/>
      <c r="BJ2225" s="77"/>
      <c r="BL2225" s="497">
        <v>44.96</v>
      </c>
      <c r="BN2225" s="42"/>
      <c r="BO2225" s="74"/>
      <c r="BP2225" s="77"/>
      <c r="BR2225" s="497">
        <v>35.06</v>
      </c>
      <c r="BT2225" s="42"/>
    </row>
    <row r="2226" spans="1:72" x14ac:dyDescent="0.25">
      <c r="A2226" s="90">
        <v>33330</v>
      </c>
      <c r="B2226" s="20">
        <v>1</v>
      </c>
      <c r="D2226">
        <v>39.92</v>
      </c>
      <c r="E2226" t="str">
        <f t="shared" si="104"/>
        <v>WEEKDAY</v>
      </c>
      <c r="F2226" t="e">
        <f t="shared" si="105"/>
        <v>#N/A</v>
      </c>
      <c r="G2226" s="74">
        <v>32965</v>
      </c>
      <c r="H2226" s="77">
        <v>1</v>
      </c>
      <c r="J2226">
        <v>46.04</v>
      </c>
      <c r="M2226" s="74">
        <v>33330</v>
      </c>
      <c r="N2226" s="80">
        <v>1</v>
      </c>
      <c r="P2226">
        <v>35.96</v>
      </c>
      <c r="S2226" s="74">
        <v>33330</v>
      </c>
      <c r="T2226" s="80">
        <v>1</v>
      </c>
      <c r="V2226">
        <v>39.92</v>
      </c>
      <c r="X2226" s="42"/>
      <c r="AB2226">
        <v>45.1</v>
      </c>
      <c r="AC2226">
        <v>37.94</v>
      </c>
      <c r="AE2226" s="74"/>
      <c r="AF2226" s="80"/>
      <c r="AH2226" s="497">
        <v>29.12</v>
      </c>
      <c r="AJ2226" s="42"/>
      <c r="AK2226" s="74"/>
      <c r="AL2226" s="80"/>
      <c r="AN2226" s="497">
        <v>37.94</v>
      </c>
      <c r="AP2226" s="42"/>
      <c r="AQ2226" s="74"/>
      <c r="AR2226" s="80"/>
      <c r="AT2226" s="497">
        <v>39.92</v>
      </c>
      <c r="AV2226" s="42"/>
      <c r="AW2226" s="74"/>
      <c r="AX2226" s="80"/>
      <c r="BA2226" s="497">
        <v>30.92</v>
      </c>
      <c r="BB2226" s="42"/>
      <c r="BC2226" s="74"/>
      <c r="BD2226" s="80"/>
      <c r="BF2226">
        <v>35.06</v>
      </c>
      <c r="BH2226" s="42"/>
      <c r="BI2226" s="74"/>
      <c r="BJ2226" s="80"/>
      <c r="BL2226" s="497">
        <v>48.2</v>
      </c>
      <c r="BN2226" s="42"/>
      <c r="BO2226" s="74"/>
      <c r="BP2226" s="80"/>
      <c r="BR2226" s="497">
        <v>35.06</v>
      </c>
      <c r="BT2226" s="42"/>
    </row>
    <row r="2227" spans="1:72" x14ac:dyDescent="0.25">
      <c r="A2227" s="90">
        <v>33331</v>
      </c>
      <c r="B2227" s="20">
        <v>4.1666666666666664E-2</v>
      </c>
      <c r="D2227">
        <v>39.92</v>
      </c>
      <c r="E2227" t="str">
        <f t="shared" si="104"/>
        <v>WEEKDAY</v>
      </c>
      <c r="F2227" t="e">
        <f t="shared" si="105"/>
        <v>#N/A</v>
      </c>
      <c r="G2227" s="74">
        <v>32966</v>
      </c>
      <c r="H2227" s="77">
        <v>4.1666666666666664E-2</v>
      </c>
      <c r="J2227">
        <v>46.04</v>
      </c>
      <c r="M2227" s="74">
        <v>33331</v>
      </c>
      <c r="N2227" s="77">
        <v>4.1666666666666664E-2</v>
      </c>
      <c r="P2227">
        <v>35.96</v>
      </c>
      <c r="S2227" s="74">
        <v>33331</v>
      </c>
      <c r="T2227" s="77">
        <v>4.1666666666666664E-2</v>
      </c>
      <c r="V2227">
        <v>39.92</v>
      </c>
      <c r="X2227" s="42"/>
      <c r="AB2227">
        <v>44.4</v>
      </c>
      <c r="AC2227">
        <v>35.06</v>
      </c>
      <c r="AE2227" s="74"/>
      <c r="AF2227" s="77"/>
      <c r="AH2227" s="497">
        <v>27.14</v>
      </c>
      <c r="AJ2227" s="42"/>
      <c r="AK2227" s="74"/>
      <c r="AL2227" s="77"/>
      <c r="AN2227" s="497">
        <v>37.94</v>
      </c>
      <c r="AP2227" s="42"/>
      <c r="AQ2227" s="74"/>
      <c r="AR2227" s="77"/>
      <c r="AT2227" s="497">
        <v>39.92</v>
      </c>
      <c r="AV2227" s="42"/>
      <c r="AW2227" s="74"/>
      <c r="AX2227" s="77"/>
      <c r="BA2227" s="497">
        <v>30.92</v>
      </c>
      <c r="BB2227" s="42"/>
      <c r="BC2227" s="74"/>
      <c r="BD2227" s="77"/>
      <c r="BF2227">
        <v>33.08</v>
      </c>
      <c r="BH2227" s="42"/>
      <c r="BI2227" s="74"/>
      <c r="BJ2227" s="77"/>
      <c r="BL2227" s="497">
        <v>48.92</v>
      </c>
      <c r="BN2227" s="42"/>
      <c r="BO2227" s="74"/>
      <c r="BP2227" s="77"/>
      <c r="BR2227" s="497">
        <v>33.08</v>
      </c>
      <c r="BT2227" s="42"/>
    </row>
    <row r="2228" spans="1:72" x14ac:dyDescent="0.25">
      <c r="A2228" s="90">
        <v>33331</v>
      </c>
      <c r="B2228" s="20">
        <v>8.3333333333333329E-2</v>
      </c>
      <c r="D2228">
        <v>40.46</v>
      </c>
      <c r="E2228" t="str">
        <f t="shared" si="104"/>
        <v>WEEKDAY</v>
      </c>
      <c r="F2228" t="e">
        <f t="shared" si="105"/>
        <v>#N/A</v>
      </c>
      <c r="G2228" s="74">
        <v>32966</v>
      </c>
      <c r="H2228" s="77">
        <v>8.3333333333333329E-2</v>
      </c>
      <c r="J2228">
        <v>42.980000000000004</v>
      </c>
      <c r="M2228" s="74">
        <v>33331</v>
      </c>
      <c r="N2228" s="77">
        <v>8.3333333333333329E-2</v>
      </c>
      <c r="P2228">
        <v>35.06</v>
      </c>
      <c r="S2228" s="74">
        <v>33331</v>
      </c>
      <c r="T2228" s="77">
        <v>8.3333333333333329E-2</v>
      </c>
      <c r="V2228">
        <v>39.019999999999996</v>
      </c>
      <c r="X2228" s="42"/>
      <c r="AB2228">
        <v>43.7</v>
      </c>
      <c r="AC2228">
        <v>35.06</v>
      </c>
      <c r="AE2228" s="74"/>
      <c r="AF2228" s="77"/>
      <c r="AH2228" s="497">
        <v>25.16</v>
      </c>
      <c r="AJ2228" s="42"/>
      <c r="AK2228" s="74"/>
      <c r="AL2228" s="77"/>
      <c r="AN2228" s="497">
        <v>37.04</v>
      </c>
      <c r="AP2228" s="42"/>
      <c r="AQ2228" s="74"/>
      <c r="AR2228" s="77"/>
      <c r="AT2228" s="497">
        <v>40.46</v>
      </c>
      <c r="AV2228" s="42"/>
      <c r="AW2228" s="74"/>
      <c r="AX2228" s="77"/>
      <c r="BA2228" s="497">
        <v>28.94</v>
      </c>
      <c r="BB2228" s="42"/>
      <c r="BC2228" s="74"/>
      <c r="BD2228" s="77"/>
      <c r="BF2228">
        <v>32</v>
      </c>
      <c r="BH2228" s="42"/>
      <c r="BI2228" s="74"/>
      <c r="BJ2228" s="77"/>
      <c r="BL2228" s="497">
        <v>50</v>
      </c>
      <c r="BN2228" s="42"/>
      <c r="BO2228" s="74"/>
      <c r="BP2228" s="77"/>
      <c r="BR2228" s="497">
        <v>33.08</v>
      </c>
      <c r="BT2228" s="42"/>
    </row>
    <row r="2229" spans="1:72" x14ac:dyDescent="0.25">
      <c r="A2229" s="90">
        <v>33331</v>
      </c>
      <c r="B2229" s="20">
        <v>0.125</v>
      </c>
      <c r="D2229">
        <v>41</v>
      </c>
      <c r="E2229" t="str">
        <f t="shared" si="104"/>
        <v>WEEKDAY</v>
      </c>
      <c r="F2229" t="e">
        <f t="shared" si="105"/>
        <v>#N/A</v>
      </c>
      <c r="G2229" s="74">
        <v>32966</v>
      </c>
      <c r="H2229" s="77">
        <v>0.125</v>
      </c>
      <c r="J2229">
        <v>42.08</v>
      </c>
      <c r="M2229" s="74">
        <v>33331</v>
      </c>
      <c r="N2229" s="77">
        <v>0.125</v>
      </c>
      <c r="P2229">
        <v>33.979999999999997</v>
      </c>
      <c r="S2229" s="74">
        <v>33331</v>
      </c>
      <c r="T2229" s="77">
        <v>0.125</v>
      </c>
      <c r="V2229">
        <v>37.94</v>
      </c>
      <c r="X2229" s="42"/>
      <c r="AB2229">
        <v>43.2</v>
      </c>
      <c r="AC2229">
        <v>32</v>
      </c>
      <c r="AE2229" s="74"/>
      <c r="AF2229" s="77"/>
      <c r="AH2229" s="497">
        <v>25.16</v>
      </c>
      <c r="AJ2229" s="42"/>
      <c r="AK2229" s="74"/>
      <c r="AL2229" s="77"/>
      <c r="AN2229" s="497">
        <v>35.06</v>
      </c>
      <c r="AP2229" s="42"/>
      <c r="AQ2229" s="74"/>
      <c r="AR2229" s="77"/>
      <c r="AT2229" s="497">
        <v>41</v>
      </c>
      <c r="AV2229" s="42"/>
      <c r="AW2229" s="74"/>
      <c r="AX2229" s="77"/>
      <c r="BA2229" s="497">
        <v>28.04</v>
      </c>
      <c r="BB2229" s="42"/>
      <c r="BC2229" s="74"/>
      <c r="BD2229" s="77"/>
      <c r="BF2229">
        <v>28.94</v>
      </c>
      <c r="BH2229" s="42"/>
      <c r="BI2229" s="74"/>
      <c r="BJ2229" s="77"/>
      <c r="BL2229" s="497">
        <v>46.94</v>
      </c>
      <c r="BN2229" s="42"/>
      <c r="BO2229" s="74"/>
      <c r="BP2229" s="77"/>
      <c r="BR2229" s="497">
        <v>32</v>
      </c>
      <c r="BT2229" s="42"/>
    </row>
    <row r="2230" spans="1:72" x14ac:dyDescent="0.25">
      <c r="A2230" s="90">
        <v>33331</v>
      </c>
      <c r="B2230" s="20">
        <v>0.16666666666666666</v>
      </c>
      <c r="D2230">
        <v>46.04</v>
      </c>
      <c r="E2230" t="str">
        <f t="shared" si="104"/>
        <v>WEEKDAY</v>
      </c>
      <c r="F2230" t="e">
        <f t="shared" si="105"/>
        <v>#N/A</v>
      </c>
      <c r="G2230" s="74">
        <v>32966</v>
      </c>
      <c r="H2230" s="77">
        <v>0.16666666666666666</v>
      </c>
      <c r="J2230">
        <v>42.08</v>
      </c>
      <c r="M2230" s="74">
        <v>33331</v>
      </c>
      <c r="N2230" s="77">
        <v>0.16666666666666666</v>
      </c>
      <c r="P2230">
        <v>33.979999999999997</v>
      </c>
      <c r="S2230" s="74">
        <v>33331</v>
      </c>
      <c r="T2230" s="77">
        <v>0.16666666666666666</v>
      </c>
      <c r="V2230">
        <v>37.04</v>
      </c>
      <c r="X2230" s="42"/>
      <c r="AB2230">
        <v>42.7</v>
      </c>
      <c r="AC2230">
        <v>33.08</v>
      </c>
      <c r="AE2230" s="74"/>
      <c r="AF2230" s="77"/>
      <c r="AH2230" s="497">
        <v>23.18</v>
      </c>
      <c r="AJ2230" s="42"/>
      <c r="AK2230" s="74"/>
      <c r="AL2230" s="77"/>
      <c r="AN2230" s="497">
        <v>33.979999999999997</v>
      </c>
      <c r="AP2230" s="42"/>
      <c r="AQ2230" s="74"/>
      <c r="AR2230" s="77"/>
      <c r="AT2230" s="497">
        <v>42.08</v>
      </c>
      <c r="AV2230" s="42"/>
      <c r="AW2230" s="74"/>
      <c r="AX2230" s="77"/>
      <c r="BA2230" s="497">
        <v>28.04</v>
      </c>
      <c r="BB2230" s="42"/>
      <c r="BC2230" s="74"/>
      <c r="BD2230" s="77"/>
      <c r="BF2230">
        <v>28.04</v>
      </c>
      <c r="BH2230" s="42"/>
      <c r="BI2230" s="74"/>
      <c r="BJ2230" s="77"/>
      <c r="BL2230" s="497">
        <v>44.96</v>
      </c>
      <c r="BN2230" s="42"/>
      <c r="BO2230" s="74"/>
      <c r="BP2230" s="77"/>
      <c r="BR2230" s="497">
        <v>32</v>
      </c>
      <c r="BT2230" s="42"/>
    </row>
    <row r="2231" spans="1:72" x14ac:dyDescent="0.25">
      <c r="A2231" s="90">
        <v>33331</v>
      </c>
      <c r="B2231" s="20">
        <v>0.20833333333333334</v>
      </c>
      <c r="D2231">
        <v>46.04</v>
      </c>
      <c r="E2231" t="str">
        <f t="shared" si="104"/>
        <v>WEEKDAY</v>
      </c>
      <c r="F2231" t="e">
        <f t="shared" si="105"/>
        <v>#N/A</v>
      </c>
      <c r="G2231" s="74">
        <v>32966</v>
      </c>
      <c r="H2231" s="77">
        <v>0.20833333333333334</v>
      </c>
      <c r="J2231">
        <v>42.08</v>
      </c>
      <c r="M2231" s="74">
        <v>33331</v>
      </c>
      <c r="N2231" s="77">
        <v>0.20833333333333334</v>
      </c>
      <c r="P2231">
        <v>32</v>
      </c>
      <c r="S2231" s="74">
        <v>33331</v>
      </c>
      <c r="T2231" s="77">
        <v>0.20833333333333334</v>
      </c>
      <c r="V2231">
        <v>37.04</v>
      </c>
      <c r="X2231" s="42"/>
      <c r="AB2231">
        <v>42.2</v>
      </c>
      <c r="AC2231">
        <v>32</v>
      </c>
      <c r="AE2231" s="74"/>
      <c r="AF2231" s="77"/>
      <c r="AH2231" s="497">
        <v>23.18</v>
      </c>
      <c r="AJ2231" s="42"/>
      <c r="AK2231" s="74"/>
      <c r="AL2231" s="77"/>
      <c r="AN2231" s="497">
        <v>33.979999999999997</v>
      </c>
      <c r="AP2231" s="42"/>
      <c r="AQ2231" s="74"/>
      <c r="AR2231" s="77"/>
      <c r="AT2231" s="497">
        <v>44.06</v>
      </c>
      <c r="AV2231" s="42"/>
      <c r="AW2231" s="74"/>
      <c r="AX2231" s="77"/>
      <c r="BA2231" s="497">
        <v>26.060000000000002</v>
      </c>
      <c r="BB2231" s="42"/>
      <c r="BC2231" s="74"/>
      <c r="BD2231" s="77"/>
      <c r="BF2231">
        <v>26.96</v>
      </c>
      <c r="BH2231" s="42"/>
      <c r="BI2231" s="74"/>
      <c r="BJ2231" s="77"/>
      <c r="BL2231" s="497">
        <v>42.08</v>
      </c>
      <c r="BN2231" s="42"/>
      <c r="BO2231" s="74"/>
      <c r="BP2231" s="77"/>
      <c r="BR2231" s="497">
        <v>30.92</v>
      </c>
      <c r="BT2231" s="42"/>
    </row>
    <row r="2232" spans="1:72" x14ac:dyDescent="0.25">
      <c r="A2232" s="90">
        <v>33331</v>
      </c>
      <c r="B2232" s="20">
        <v>0.25</v>
      </c>
      <c r="D2232">
        <v>48.019999999999996</v>
      </c>
      <c r="E2232" t="str">
        <f t="shared" si="104"/>
        <v>WEEKDAY</v>
      </c>
      <c r="F2232" t="e">
        <f t="shared" si="105"/>
        <v>#N/A</v>
      </c>
      <c r="G2232" s="74">
        <v>32966</v>
      </c>
      <c r="H2232" s="77">
        <v>0.25</v>
      </c>
      <c r="J2232">
        <v>42.08</v>
      </c>
      <c r="M2232" s="74">
        <v>33331</v>
      </c>
      <c r="N2232" s="77">
        <v>0.25</v>
      </c>
      <c r="P2232">
        <v>29.12</v>
      </c>
      <c r="S2232" s="74">
        <v>33331</v>
      </c>
      <c r="T2232" s="77">
        <v>0.25</v>
      </c>
      <c r="V2232">
        <v>35.96</v>
      </c>
      <c r="X2232" s="42"/>
      <c r="AB2232">
        <v>42.1</v>
      </c>
      <c r="AC2232">
        <v>33.08</v>
      </c>
      <c r="AE2232" s="74"/>
      <c r="AF2232" s="77"/>
      <c r="AH2232" s="497">
        <v>22.1</v>
      </c>
      <c r="AJ2232" s="42"/>
      <c r="AK2232" s="74"/>
      <c r="AL2232" s="77"/>
      <c r="AN2232" s="497">
        <v>33.08</v>
      </c>
      <c r="AP2232" s="42"/>
      <c r="AQ2232" s="74"/>
      <c r="AR2232" s="77"/>
      <c r="AT2232" s="497">
        <v>44.96</v>
      </c>
      <c r="AV2232" s="42"/>
      <c r="AW2232" s="74"/>
      <c r="AX2232" s="77"/>
      <c r="BA2232" s="497">
        <v>30.92</v>
      </c>
      <c r="BB2232" s="42"/>
      <c r="BC2232" s="74"/>
      <c r="BD2232" s="77"/>
      <c r="BF2232">
        <v>26.96</v>
      </c>
      <c r="BH2232" s="42"/>
      <c r="BI2232" s="74"/>
      <c r="BJ2232" s="77"/>
      <c r="BL2232" s="497">
        <v>39.019999999999996</v>
      </c>
      <c r="BN2232" s="42"/>
      <c r="BO2232" s="74"/>
      <c r="BP2232" s="77"/>
      <c r="BR2232" s="497">
        <v>30.92</v>
      </c>
      <c r="BT2232" s="42"/>
    </row>
    <row r="2233" spans="1:72" x14ac:dyDescent="0.25">
      <c r="A2233" s="90">
        <v>33331</v>
      </c>
      <c r="B2233" s="20">
        <v>0.29166666666666669</v>
      </c>
      <c r="D2233">
        <v>48.92</v>
      </c>
      <c r="E2233" t="str">
        <f t="shared" si="104"/>
        <v>WEEKDAY</v>
      </c>
      <c r="F2233" t="e">
        <f t="shared" si="105"/>
        <v>#N/A</v>
      </c>
      <c r="G2233" s="74">
        <v>32966</v>
      </c>
      <c r="H2233" s="77">
        <v>0.29166666666666669</v>
      </c>
      <c r="J2233">
        <v>42.08</v>
      </c>
      <c r="M2233" s="74">
        <v>33331</v>
      </c>
      <c r="N2233" s="77">
        <v>0.29166666666666669</v>
      </c>
      <c r="P2233">
        <v>35.06</v>
      </c>
      <c r="S2233" s="74">
        <v>33331</v>
      </c>
      <c r="T2233" s="77">
        <v>0.29166666666666669</v>
      </c>
      <c r="V2233">
        <v>37.94</v>
      </c>
      <c r="X2233" s="42"/>
      <c r="AB2233">
        <v>41.9</v>
      </c>
      <c r="AC2233">
        <v>37.04</v>
      </c>
      <c r="AE2233" s="74"/>
      <c r="AF2233" s="77"/>
      <c r="AH2233" s="497">
        <v>25.16</v>
      </c>
      <c r="AJ2233" s="42"/>
      <c r="AK2233" s="74"/>
      <c r="AL2233" s="77"/>
      <c r="AN2233" s="497">
        <v>35.06</v>
      </c>
      <c r="AP2233" s="42"/>
      <c r="AQ2233" s="74"/>
      <c r="AR2233" s="77"/>
      <c r="AT2233" s="497">
        <v>46.04</v>
      </c>
      <c r="AV2233" s="42"/>
      <c r="AW2233" s="74"/>
      <c r="AX2233" s="77"/>
      <c r="BA2233" s="497">
        <v>33.08</v>
      </c>
      <c r="BB2233" s="42"/>
      <c r="BC2233" s="74"/>
      <c r="BD2233" s="77"/>
      <c r="BF2233">
        <v>26.96</v>
      </c>
      <c r="BH2233" s="42"/>
      <c r="BI2233" s="74"/>
      <c r="BJ2233" s="77"/>
      <c r="BL2233" s="497">
        <v>39.019999999999996</v>
      </c>
      <c r="BN2233" s="42"/>
      <c r="BO2233" s="74"/>
      <c r="BP2233" s="77"/>
      <c r="BR2233" s="497">
        <v>33.08</v>
      </c>
      <c r="BT2233" s="42"/>
    </row>
    <row r="2234" spans="1:72" x14ac:dyDescent="0.25">
      <c r="A2234" s="90">
        <v>33331</v>
      </c>
      <c r="B2234" s="20">
        <v>0.33333333333333331</v>
      </c>
      <c r="D2234">
        <v>51.08</v>
      </c>
      <c r="E2234" t="str">
        <f t="shared" si="104"/>
        <v>WEEKDAY</v>
      </c>
      <c r="F2234" t="e">
        <f t="shared" si="105"/>
        <v>#N/A</v>
      </c>
      <c r="G2234" s="74">
        <v>32966</v>
      </c>
      <c r="H2234" s="77">
        <v>0.33333333333333331</v>
      </c>
      <c r="J2234">
        <v>42.08</v>
      </c>
      <c r="M2234" s="74">
        <v>33331</v>
      </c>
      <c r="N2234" s="77">
        <v>0.33333333333333331</v>
      </c>
      <c r="P2234">
        <v>39.92</v>
      </c>
      <c r="S2234" s="74">
        <v>33331</v>
      </c>
      <c r="T2234" s="77">
        <v>0.33333333333333331</v>
      </c>
      <c r="V2234">
        <v>42.08</v>
      </c>
      <c r="X2234" s="42"/>
      <c r="AB2234">
        <v>43.5</v>
      </c>
      <c r="AC2234">
        <v>41</v>
      </c>
      <c r="AE2234" s="74"/>
      <c r="AF2234" s="77"/>
      <c r="AH2234" s="497">
        <v>33.08</v>
      </c>
      <c r="AJ2234" s="42"/>
      <c r="AK2234" s="74"/>
      <c r="AL2234" s="77"/>
      <c r="AN2234" s="497">
        <v>37.04</v>
      </c>
      <c r="AP2234" s="42"/>
      <c r="AQ2234" s="74"/>
      <c r="AR2234" s="77"/>
      <c r="AT2234" s="497">
        <v>46.94</v>
      </c>
      <c r="AV2234" s="42"/>
      <c r="AW2234" s="74"/>
      <c r="AX2234" s="77"/>
      <c r="BA2234" s="497">
        <v>35.06</v>
      </c>
      <c r="BB2234" s="42"/>
      <c r="BC2234" s="74"/>
      <c r="BD2234" s="77"/>
      <c r="BF2234">
        <v>32</v>
      </c>
      <c r="BH2234" s="42"/>
      <c r="BI2234" s="74"/>
      <c r="BJ2234" s="77"/>
      <c r="BL2234" s="497">
        <v>37.94</v>
      </c>
      <c r="BN2234" s="42"/>
      <c r="BO2234" s="74"/>
      <c r="BP2234" s="77"/>
      <c r="BR2234" s="497">
        <v>33.979999999999997</v>
      </c>
      <c r="BT2234" s="42"/>
    </row>
    <row r="2235" spans="1:72" x14ac:dyDescent="0.25">
      <c r="A2235" s="90">
        <v>33331</v>
      </c>
      <c r="B2235" s="20">
        <v>0.375</v>
      </c>
      <c r="D2235">
        <v>53.96</v>
      </c>
      <c r="E2235" t="str">
        <f t="shared" si="104"/>
        <v>WEEKDAY</v>
      </c>
      <c r="F2235" t="e">
        <f t="shared" si="105"/>
        <v>#N/A</v>
      </c>
      <c r="G2235" s="74">
        <v>32966</v>
      </c>
      <c r="H2235" s="77">
        <v>0.375</v>
      </c>
      <c r="J2235">
        <v>42.980000000000004</v>
      </c>
      <c r="M2235" s="74">
        <v>33331</v>
      </c>
      <c r="N2235" s="77">
        <v>0.375</v>
      </c>
      <c r="P2235">
        <v>42.08</v>
      </c>
      <c r="S2235" s="74">
        <v>33331</v>
      </c>
      <c r="T2235" s="77">
        <v>0.375</v>
      </c>
      <c r="V2235">
        <v>42.980000000000004</v>
      </c>
      <c r="X2235" s="42"/>
      <c r="AB2235">
        <v>45.3</v>
      </c>
      <c r="AC2235">
        <v>42.980000000000004</v>
      </c>
      <c r="AE2235" s="74"/>
      <c r="AF2235" s="77"/>
      <c r="AH2235" s="497">
        <v>39.019999999999996</v>
      </c>
      <c r="AJ2235" s="42"/>
      <c r="AK2235" s="74"/>
      <c r="AL2235" s="77"/>
      <c r="AN2235" s="497">
        <v>39.019999999999996</v>
      </c>
      <c r="AP2235" s="42"/>
      <c r="AQ2235" s="74"/>
      <c r="AR2235" s="77"/>
      <c r="AT2235" s="497">
        <v>48.019999999999996</v>
      </c>
      <c r="AV2235" s="42"/>
      <c r="AW2235" s="74"/>
      <c r="AX2235" s="77"/>
      <c r="BA2235" s="497">
        <v>35.06</v>
      </c>
      <c r="BB2235" s="42"/>
      <c r="BC2235" s="74"/>
      <c r="BD2235" s="77"/>
      <c r="BF2235">
        <v>37.94</v>
      </c>
      <c r="BH2235" s="42"/>
      <c r="BI2235" s="74"/>
      <c r="BJ2235" s="77"/>
      <c r="BL2235" s="497">
        <v>37.04</v>
      </c>
      <c r="BN2235" s="42"/>
      <c r="BO2235" s="74"/>
      <c r="BP2235" s="77"/>
      <c r="BR2235" s="497">
        <v>33.979999999999997</v>
      </c>
      <c r="BT2235" s="42"/>
    </row>
    <row r="2236" spans="1:72" x14ac:dyDescent="0.25">
      <c r="A2236" s="90">
        <v>33331</v>
      </c>
      <c r="B2236" s="20">
        <v>0.41666666666666669</v>
      </c>
      <c r="D2236">
        <v>57.92</v>
      </c>
      <c r="E2236" t="str">
        <f t="shared" si="104"/>
        <v>WEEKDAY</v>
      </c>
      <c r="F2236" t="e">
        <f t="shared" si="105"/>
        <v>#N/A</v>
      </c>
      <c r="G2236" s="74">
        <v>32966</v>
      </c>
      <c r="H2236" s="77">
        <v>0.41666666666666669</v>
      </c>
      <c r="J2236">
        <v>42.980000000000004</v>
      </c>
      <c r="M2236" s="74">
        <v>33331</v>
      </c>
      <c r="N2236" s="77">
        <v>0.41666666666666669</v>
      </c>
      <c r="P2236">
        <v>44.96</v>
      </c>
      <c r="S2236" s="74">
        <v>33331</v>
      </c>
      <c r="T2236" s="77">
        <v>0.41666666666666669</v>
      </c>
      <c r="V2236">
        <v>46.04</v>
      </c>
      <c r="X2236" s="42"/>
      <c r="AB2236">
        <v>47.2</v>
      </c>
      <c r="AC2236">
        <v>44.96</v>
      </c>
      <c r="AE2236" s="74"/>
      <c r="AF2236" s="77"/>
      <c r="AH2236" s="497">
        <v>42.980000000000004</v>
      </c>
      <c r="AJ2236" s="42"/>
      <c r="AK2236" s="74"/>
      <c r="AL2236" s="77"/>
      <c r="AN2236" s="497">
        <v>42.980000000000004</v>
      </c>
      <c r="AP2236" s="42"/>
      <c r="AQ2236" s="74"/>
      <c r="AR2236" s="77"/>
      <c r="AT2236" s="497">
        <v>50</v>
      </c>
      <c r="AV2236" s="42"/>
      <c r="AW2236" s="74"/>
      <c r="AX2236" s="77"/>
      <c r="BA2236" s="497">
        <v>33.979999999999997</v>
      </c>
      <c r="BB2236" s="42"/>
      <c r="BC2236" s="74"/>
      <c r="BD2236" s="77"/>
      <c r="BF2236">
        <v>42.980000000000004</v>
      </c>
      <c r="BH2236" s="42"/>
      <c r="BI2236" s="74"/>
      <c r="BJ2236" s="77"/>
      <c r="BL2236" s="497">
        <v>37.04</v>
      </c>
      <c r="BN2236" s="42"/>
      <c r="BO2236" s="74"/>
      <c r="BP2236" s="77"/>
      <c r="BR2236" s="497">
        <v>33.979999999999997</v>
      </c>
      <c r="BT2236" s="42"/>
    </row>
    <row r="2237" spans="1:72" x14ac:dyDescent="0.25">
      <c r="A2237" s="90">
        <v>33331</v>
      </c>
      <c r="B2237" s="20">
        <v>0.45833333333333331</v>
      </c>
      <c r="D2237">
        <v>55.040000000000006</v>
      </c>
      <c r="E2237" t="str">
        <f t="shared" si="104"/>
        <v>WEEKDAY</v>
      </c>
      <c r="F2237" t="e">
        <f t="shared" si="105"/>
        <v>#N/A</v>
      </c>
      <c r="G2237" s="74">
        <v>32966</v>
      </c>
      <c r="H2237" s="77">
        <v>0.45833333333333331</v>
      </c>
      <c r="J2237">
        <v>44.06</v>
      </c>
      <c r="M2237" s="74">
        <v>33331</v>
      </c>
      <c r="N2237" s="77">
        <v>0.45833333333333331</v>
      </c>
      <c r="P2237">
        <v>48.92</v>
      </c>
      <c r="S2237" s="74">
        <v>33331</v>
      </c>
      <c r="T2237" s="77">
        <v>0.45833333333333331</v>
      </c>
      <c r="V2237">
        <v>50</v>
      </c>
      <c r="X2237" s="42"/>
      <c r="AB2237">
        <v>48.9</v>
      </c>
      <c r="AC2237">
        <v>46.94</v>
      </c>
      <c r="AE2237" s="74"/>
      <c r="AF2237" s="77"/>
      <c r="AH2237" s="497">
        <v>44.96</v>
      </c>
      <c r="AJ2237" s="42"/>
      <c r="AK2237" s="74"/>
      <c r="AL2237" s="77"/>
      <c r="AN2237" s="497">
        <v>46.04</v>
      </c>
      <c r="AP2237" s="42"/>
      <c r="AQ2237" s="74"/>
      <c r="AR2237" s="77"/>
      <c r="AT2237" s="497">
        <v>51.980000000000004</v>
      </c>
      <c r="AV2237" s="42"/>
      <c r="AW2237" s="74"/>
      <c r="AX2237" s="77"/>
      <c r="BA2237" s="497">
        <v>35.06</v>
      </c>
      <c r="BB2237" s="42"/>
      <c r="BC2237" s="74"/>
      <c r="BD2237" s="77"/>
      <c r="BF2237">
        <v>46.04</v>
      </c>
      <c r="BH2237" s="42"/>
      <c r="BI2237" s="74"/>
      <c r="BJ2237" s="77"/>
      <c r="BL2237" s="497">
        <v>37.94</v>
      </c>
      <c r="BN2237" s="42"/>
      <c r="BO2237" s="74"/>
      <c r="BP2237" s="77"/>
      <c r="BR2237" s="497">
        <v>41</v>
      </c>
      <c r="BT2237" s="42"/>
    </row>
    <row r="2238" spans="1:72" x14ac:dyDescent="0.25">
      <c r="A2238" s="90">
        <v>33331</v>
      </c>
      <c r="B2238" s="20">
        <v>0.5</v>
      </c>
      <c r="D2238">
        <v>55.94</v>
      </c>
      <c r="E2238" t="str">
        <f t="shared" si="104"/>
        <v>WEEKDAY</v>
      </c>
      <c r="F2238" t="e">
        <f t="shared" si="105"/>
        <v>#N/A</v>
      </c>
      <c r="G2238" s="74">
        <v>32966</v>
      </c>
      <c r="H2238" s="77">
        <v>0.5</v>
      </c>
      <c r="J2238">
        <v>44.06</v>
      </c>
      <c r="M2238" s="74">
        <v>33331</v>
      </c>
      <c r="N2238" s="77">
        <v>0.5</v>
      </c>
      <c r="P2238">
        <v>48.92</v>
      </c>
      <c r="S2238" s="74">
        <v>33331</v>
      </c>
      <c r="T2238" s="77">
        <v>0.5</v>
      </c>
      <c r="V2238">
        <v>48.92</v>
      </c>
      <c r="X2238" s="42"/>
      <c r="AB2238">
        <v>50.3</v>
      </c>
      <c r="AC2238">
        <v>48.92</v>
      </c>
      <c r="AE2238" s="74"/>
      <c r="AF2238" s="77"/>
      <c r="AH2238" s="497">
        <v>46.94</v>
      </c>
      <c r="AJ2238" s="42"/>
      <c r="AK2238" s="74"/>
      <c r="AL2238" s="77"/>
      <c r="AN2238" s="497">
        <v>48.92</v>
      </c>
      <c r="AP2238" s="42"/>
      <c r="AQ2238" s="74"/>
      <c r="AR2238" s="77"/>
      <c r="AT2238" s="497">
        <v>53.96</v>
      </c>
      <c r="AV2238" s="42"/>
      <c r="AW2238" s="74"/>
      <c r="AX2238" s="77"/>
      <c r="BA2238" s="497">
        <v>37.94</v>
      </c>
      <c r="BB2238" s="42"/>
      <c r="BC2238" s="74"/>
      <c r="BD2238" s="77"/>
      <c r="BF2238">
        <v>48.019999999999996</v>
      </c>
      <c r="BH2238" s="42"/>
      <c r="BI2238" s="74"/>
      <c r="BJ2238" s="77"/>
      <c r="BL2238" s="497">
        <v>37.94</v>
      </c>
      <c r="BN2238" s="42"/>
      <c r="BO2238" s="74"/>
      <c r="BP2238" s="77"/>
      <c r="BR2238" s="497">
        <v>42.980000000000004</v>
      </c>
      <c r="BT2238" s="42"/>
    </row>
    <row r="2239" spans="1:72" x14ac:dyDescent="0.25">
      <c r="A2239" s="90">
        <v>33331</v>
      </c>
      <c r="B2239" s="20">
        <v>0.54166666666666663</v>
      </c>
      <c r="D2239">
        <v>55.94</v>
      </c>
      <c r="E2239" t="str">
        <f t="shared" si="104"/>
        <v>WEEKDAY</v>
      </c>
      <c r="F2239" t="e">
        <f t="shared" si="105"/>
        <v>#N/A</v>
      </c>
      <c r="G2239" s="74">
        <v>32966</v>
      </c>
      <c r="H2239" s="77">
        <v>0.54166666666666663</v>
      </c>
      <c r="J2239">
        <v>44.06</v>
      </c>
      <c r="M2239" s="74">
        <v>33331</v>
      </c>
      <c r="N2239" s="77">
        <v>0.54166666666666663</v>
      </c>
      <c r="P2239">
        <v>51.980000000000004</v>
      </c>
      <c r="S2239" s="74">
        <v>33331</v>
      </c>
      <c r="T2239" s="77">
        <v>0.54166666666666663</v>
      </c>
      <c r="V2239">
        <v>48.92</v>
      </c>
      <c r="X2239" s="42"/>
      <c r="AB2239">
        <v>51.2</v>
      </c>
      <c r="AC2239">
        <v>50</v>
      </c>
      <c r="AE2239" s="74"/>
      <c r="AF2239" s="77"/>
      <c r="AH2239" s="497">
        <v>50</v>
      </c>
      <c r="AJ2239" s="42"/>
      <c r="AK2239" s="74"/>
      <c r="AL2239" s="77"/>
      <c r="AN2239" s="497">
        <v>51.08</v>
      </c>
      <c r="AP2239" s="42"/>
      <c r="AQ2239" s="74"/>
      <c r="AR2239" s="77"/>
      <c r="AT2239" s="497">
        <v>59</v>
      </c>
      <c r="AV2239" s="42"/>
      <c r="AW2239" s="74"/>
      <c r="AX2239" s="77"/>
      <c r="BA2239" s="497">
        <v>39.019999999999996</v>
      </c>
      <c r="BB2239" s="42"/>
      <c r="BC2239" s="74"/>
      <c r="BD2239" s="77"/>
      <c r="BF2239">
        <v>51.980000000000004</v>
      </c>
      <c r="BH2239" s="42"/>
      <c r="BI2239" s="74"/>
      <c r="BJ2239" s="77"/>
      <c r="BL2239" s="497">
        <v>37.94</v>
      </c>
      <c r="BN2239" s="42"/>
      <c r="BO2239" s="74"/>
      <c r="BP2239" s="77"/>
      <c r="BR2239" s="497">
        <v>41</v>
      </c>
      <c r="BT2239" s="42"/>
    </row>
    <row r="2240" spans="1:72" x14ac:dyDescent="0.25">
      <c r="A2240" s="90">
        <v>33331</v>
      </c>
      <c r="B2240" s="20">
        <v>0.58333333333333337</v>
      </c>
      <c r="D2240">
        <v>55.040000000000006</v>
      </c>
      <c r="E2240" t="str">
        <f t="shared" si="104"/>
        <v>WEEKDAY</v>
      </c>
      <c r="F2240" t="e">
        <f t="shared" si="105"/>
        <v>#N/A</v>
      </c>
      <c r="G2240" s="74">
        <v>32966</v>
      </c>
      <c r="H2240" s="77">
        <v>0.58333333333333337</v>
      </c>
      <c r="J2240">
        <v>44.06</v>
      </c>
      <c r="M2240" s="74">
        <v>33331</v>
      </c>
      <c r="N2240" s="77">
        <v>0.58333333333333337</v>
      </c>
      <c r="P2240">
        <v>51.980000000000004</v>
      </c>
      <c r="S2240" s="74">
        <v>33331</v>
      </c>
      <c r="T2240" s="77">
        <v>0.58333333333333337</v>
      </c>
      <c r="V2240">
        <v>50</v>
      </c>
      <c r="X2240" s="42"/>
      <c r="AB2240">
        <v>52</v>
      </c>
      <c r="AC2240">
        <v>51.980000000000004</v>
      </c>
      <c r="AE2240" s="74"/>
      <c r="AF2240" s="77"/>
      <c r="AH2240" s="497">
        <v>50</v>
      </c>
      <c r="AJ2240" s="42"/>
      <c r="AK2240" s="74"/>
      <c r="AL2240" s="77"/>
      <c r="AN2240" s="497">
        <v>53.06</v>
      </c>
      <c r="AP2240" s="42"/>
      <c r="AQ2240" s="74"/>
      <c r="AR2240" s="77"/>
      <c r="AT2240" s="497">
        <v>59</v>
      </c>
      <c r="AV2240" s="42"/>
      <c r="AW2240" s="74"/>
      <c r="AX2240" s="77"/>
      <c r="BA2240" s="497">
        <v>37.94</v>
      </c>
      <c r="BB2240" s="42"/>
      <c r="BC2240" s="74"/>
      <c r="BD2240" s="77"/>
      <c r="BF2240">
        <v>51.980000000000004</v>
      </c>
      <c r="BH2240" s="42"/>
      <c r="BI2240" s="74"/>
      <c r="BJ2240" s="77"/>
      <c r="BL2240" s="497">
        <v>37.04</v>
      </c>
      <c r="BN2240" s="42"/>
      <c r="BO2240" s="74"/>
      <c r="BP2240" s="77"/>
      <c r="BR2240" s="497">
        <v>41</v>
      </c>
      <c r="BT2240" s="42"/>
    </row>
    <row r="2241" spans="1:72" x14ac:dyDescent="0.25">
      <c r="A2241" s="90">
        <v>33331</v>
      </c>
      <c r="B2241" s="20">
        <v>0.625</v>
      </c>
      <c r="D2241">
        <v>55.040000000000006</v>
      </c>
      <c r="E2241" t="str">
        <f t="shared" si="104"/>
        <v>WEEKDAY</v>
      </c>
      <c r="F2241" t="e">
        <f t="shared" si="105"/>
        <v>#N/A</v>
      </c>
      <c r="G2241" s="74">
        <v>32966</v>
      </c>
      <c r="H2241" s="77">
        <v>0.625</v>
      </c>
      <c r="J2241">
        <v>44.96</v>
      </c>
      <c r="M2241" s="74">
        <v>33331</v>
      </c>
      <c r="N2241" s="77">
        <v>0.625</v>
      </c>
      <c r="P2241">
        <v>53.06</v>
      </c>
      <c r="S2241" s="74">
        <v>33331</v>
      </c>
      <c r="T2241" s="77">
        <v>0.625</v>
      </c>
      <c r="V2241">
        <v>50</v>
      </c>
      <c r="X2241" s="42"/>
      <c r="AB2241">
        <v>52.2</v>
      </c>
      <c r="AC2241">
        <v>50</v>
      </c>
      <c r="AE2241" s="74"/>
      <c r="AF2241" s="77"/>
      <c r="AH2241" s="497">
        <v>51.980000000000004</v>
      </c>
      <c r="AJ2241" s="42"/>
      <c r="AK2241" s="74"/>
      <c r="AL2241" s="77"/>
      <c r="AN2241" s="497">
        <v>55.040000000000006</v>
      </c>
      <c r="AP2241" s="42"/>
      <c r="AQ2241" s="74"/>
      <c r="AR2241" s="77"/>
      <c r="AT2241" s="497">
        <v>51.980000000000004</v>
      </c>
      <c r="AV2241" s="42"/>
      <c r="AW2241" s="74"/>
      <c r="AX2241" s="77"/>
      <c r="BA2241" s="497">
        <v>37.94</v>
      </c>
      <c r="BB2241" s="42"/>
      <c r="BC2241" s="74"/>
      <c r="BD2241" s="77"/>
      <c r="BF2241">
        <v>53.96</v>
      </c>
      <c r="BH2241" s="42"/>
      <c r="BI2241" s="74"/>
      <c r="BJ2241" s="77"/>
      <c r="BL2241" s="497">
        <v>39.019999999999996</v>
      </c>
      <c r="BN2241" s="42"/>
      <c r="BO2241" s="74"/>
      <c r="BP2241" s="77"/>
      <c r="BR2241" s="497">
        <v>39.92</v>
      </c>
      <c r="BT2241" s="42"/>
    </row>
    <row r="2242" spans="1:72" x14ac:dyDescent="0.25">
      <c r="A2242" s="90">
        <v>33331</v>
      </c>
      <c r="B2242" s="20">
        <v>0.66666666666666663</v>
      </c>
      <c r="D2242">
        <v>53.96</v>
      </c>
      <c r="E2242" t="str">
        <f t="shared" si="104"/>
        <v>WEEKDAY</v>
      </c>
      <c r="F2242" t="e">
        <f t="shared" si="105"/>
        <v>#N/A</v>
      </c>
      <c r="G2242" s="74">
        <v>32966</v>
      </c>
      <c r="H2242" s="77">
        <v>0.66666666666666663</v>
      </c>
      <c r="J2242">
        <v>44.96</v>
      </c>
      <c r="M2242" s="74">
        <v>33331</v>
      </c>
      <c r="N2242" s="77">
        <v>0.66666666666666663</v>
      </c>
      <c r="P2242">
        <v>53.06</v>
      </c>
      <c r="S2242" s="74">
        <v>33331</v>
      </c>
      <c r="T2242" s="77">
        <v>0.66666666666666663</v>
      </c>
      <c r="V2242">
        <v>48.019999999999996</v>
      </c>
      <c r="X2242" s="42"/>
      <c r="AB2242">
        <v>52.2</v>
      </c>
      <c r="AC2242">
        <v>48.92</v>
      </c>
      <c r="AE2242" s="74"/>
      <c r="AF2242" s="77"/>
      <c r="AH2242" s="497">
        <v>51.980000000000004</v>
      </c>
      <c r="AJ2242" s="42"/>
      <c r="AK2242" s="74"/>
      <c r="AL2242" s="77"/>
      <c r="AN2242" s="497">
        <v>55.040000000000006</v>
      </c>
      <c r="AP2242" s="42"/>
      <c r="AQ2242" s="74"/>
      <c r="AR2242" s="77"/>
      <c r="AT2242" s="497">
        <v>44.96</v>
      </c>
      <c r="AV2242" s="42"/>
      <c r="AW2242" s="74"/>
      <c r="AX2242" s="77"/>
      <c r="BA2242" s="497">
        <v>41</v>
      </c>
      <c r="BB2242" s="42"/>
      <c r="BC2242" s="74"/>
      <c r="BD2242" s="77"/>
      <c r="BF2242">
        <v>53.06</v>
      </c>
      <c r="BH2242" s="42"/>
      <c r="BI2242" s="74"/>
      <c r="BJ2242" s="77"/>
      <c r="BL2242" s="497">
        <v>37.4</v>
      </c>
      <c r="BN2242" s="42"/>
      <c r="BO2242" s="74"/>
      <c r="BP2242" s="77"/>
      <c r="BR2242" s="497">
        <v>39.92</v>
      </c>
      <c r="BT2242" s="42"/>
    </row>
    <row r="2243" spans="1:72" x14ac:dyDescent="0.25">
      <c r="A2243" s="90">
        <v>33331</v>
      </c>
      <c r="B2243" s="20">
        <v>0.70833333333333337</v>
      </c>
      <c r="D2243">
        <v>51.980000000000004</v>
      </c>
      <c r="E2243" t="str">
        <f t="shared" si="104"/>
        <v>WEEKDAY</v>
      </c>
      <c r="F2243" t="e">
        <f t="shared" si="105"/>
        <v>#N/A</v>
      </c>
      <c r="G2243" s="74">
        <v>32966</v>
      </c>
      <c r="H2243" s="77">
        <v>0.70833333333333337</v>
      </c>
      <c r="J2243">
        <v>44.06</v>
      </c>
      <c r="M2243" s="74">
        <v>33331</v>
      </c>
      <c r="N2243" s="77">
        <v>0.70833333333333337</v>
      </c>
      <c r="P2243">
        <v>53.96</v>
      </c>
      <c r="S2243" s="74">
        <v>33331</v>
      </c>
      <c r="T2243" s="77">
        <v>0.70833333333333337</v>
      </c>
      <c r="V2243">
        <v>46.04</v>
      </c>
      <c r="X2243" s="42"/>
      <c r="AB2243">
        <v>51.7</v>
      </c>
      <c r="AC2243">
        <v>48.019999999999996</v>
      </c>
      <c r="AE2243" s="74"/>
      <c r="AF2243" s="77"/>
      <c r="AH2243" s="497">
        <v>53.06</v>
      </c>
      <c r="AJ2243" s="42"/>
      <c r="AK2243" s="74"/>
      <c r="AL2243" s="77"/>
      <c r="AN2243" s="497">
        <v>53.06</v>
      </c>
      <c r="AP2243" s="42"/>
      <c r="AQ2243" s="74"/>
      <c r="AR2243" s="77"/>
      <c r="AT2243" s="497">
        <v>42.08</v>
      </c>
      <c r="AV2243" s="42"/>
      <c r="AW2243" s="74"/>
      <c r="AX2243" s="77"/>
      <c r="BA2243" s="497">
        <v>41</v>
      </c>
      <c r="BB2243" s="42"/>
      <c r="BC2243" s="74"/>
      <c r="BD2243" s="77"/>
      <c r="BF2243">
        <v>50</v>
      </c>
      <c r="BH2243" s="42"/>
      <c r="BI2243" s="74"/>
      <c r="BJ2243" s="77"/>
      <c r="BL2243" s="497">
        <v>37.94</v>
      </c>
      <c r="BN2243" s="42"/>
      <c r="BO2243" s="74"/>
      <c r="BP2243" s="77"/>
      <c r="BR2243" s="497">
        <v>39.019999999999996</v>
      </c>
      <c r="BT2243" s="42"/>
    </row>
    <row r="2244" spans="1:72" x14ac:dyDescent="0.25">
      <c r="A2244" s="90">
        <v>33331</v>
      </c>
      <c r="B2244" s="20">
        <v>0.75</v>
      </c>
      <c r="D2244">
        <v>51.980000000000004</v>
      </c>
      <c r="E2244" t="str">
        <f t="shared" si="104"/>
        <v>WEEKDAY</v>
      </c>
      <c r="F2244" t="e">
        <f t="shared" si="105"/>
        <v>#N/A</v>
      </c>
      <c r="G2244" s="74">
        <v>32966</v>
      </c>
      <c r="H2244" s="77">
        <v>0.75</v>
      </c>
      <c r="J2244">
        <v>44.06</v>
      </c>
      <c r="M2244" s="74">
        <v>33331</v>
      </c>
      <c r="N2244" s="77">
        <v>0.75</v>
      </c>
      <c r="P2244">
        <v>51.980000000000004</v>
      </c>
      <c r="S2244" s="74">
        <v>33331</v>
      </c>
      <c r="T2244" s="77">
        <v>0.75</v>
      </c>
      <c r="V2244">
        <v>44.06</v>
      </c>
      <c r="X2244" s="42"/>
      <c r="AB2244">
        <v>50.6</v>
      </c>
      <c r="AC2244">
        <v>46.04</v>
      </c>
      <c r="AE2244" s="74"/>
      <c r="AF2244" s="77"/>
      <c r="AH2244" s="497">
        <v>51.980000000000004</v>
      </c>
      <c r="AJ2244" s="42"/>
      <c r="AK2244" s="74"/>
      <c r="AL2244" s="77"/>
      <c r="AN2244" s="497">
        <v>51.08</v>
      </c>
      <c r="AP2244" s="42"/>
      <c r="AQ2244" s="74"/>
      <c r="AR2244" s="77"/>
      <c r="AT2244" s="497">
        <v>39.92</v>
      </c>
      <c r="AV2244" s="42"/>
      <c r="AW2244" s="74"/>
      <c r="AX2244" s="77"/>
      <c r="BA2244" s="497">
        <v>41</v>
      </c>
      <c r="BB2244" s="42"/>
      <c r="BC2244" s="74"/>
      <c r="BD2244" s="77"/>
      <c r="BF2244">
        <v>44.96</v>
      </c>
      <c r="BH2244" s="42"/>
      <c r="BI2244" s="74"/>
      <c r="BJ2244" s="77"/>
      <c r="BL2244" s="497">
        <v>35.06</v>
      </c>
      <c r="BN2244" s="42"/>
      <c r="BO2244" s="74"/>
      <c r="BP2244" s="77"/>
      <c r="BR2244" s="497">
        <v>35.96</v>
      </c>
      <c r="BT2244" s="42"/>
    </row>
    <row r="2245" spans="1:72" x14ac:dyDescent="0.25">
      <c r="A2245" s="90">
        <v>33331</v>
      </c>
      <c r="B2245" s="20">
        <v>0.79166666666666663</v>
      </c>
      <c r="D2245">
        <v>51.980000000000004</v>
      </c>
      <c r="E2245" t="str">
        <f t="shared" si="104"/>
        <v>WEEKDAY</v>
      </c>
      <c r="F2245" t="e">
        <f t="shared" si="105"/>
        <v>#N/A</v>
      </c>
      <c r="G2245" s="74">
        <v>32966</v>
      </c>
      <c r="H2245" s="77">
        <v>0.79166666666666663</v>
      </c>
      <c r="J2245">
        <v>44.06</v>
      </c>
      <c r="M2245" s="74">
        <v>33331</v>
      </c>
      <c r="N2245" s="77">
        <v>0.79166666666666663</v>
      </c>
      <c r="P2245">
        <v>46.94</v>
      </c>
      <c r="S2245" s="74">
        <v>33331</v>
      </c>
      <c r="T2245" s="77">
        <v>0.79166666666666663</v>
      </c>
      <c r="V2245">
        <v>42.980000000000004</v>
      </c>
      <c r="X2245" s="42"/>
      <c r="AB2245">
        <v>49.1</v>
      </c>
      <c r="AC2245">
        <v>42.980000000000004</v>
      </c>
      <c r="AE2245" s="74"/>
      <c r="AF2245" s="77"/>
      <c r="AH2245" s="497">
        <v>46.04</v>
      </c>
      <c r="AJ2245" s="42"/>
      <c r="AK2245" s="74"/>
      <c r="AL2245" s="77"/>
      <c r="AN2245" s="497">
        <v>48.92</v>
      </c>
      <c r="AP2245" s="42"/>
      <c r="AQ2245" s="74"/>
      <c r="AR2245" s="77"/>
      <c r="AT2245" s="497">
        <v>39.019999999999996</v>
      </c>
      <c r="AV2245" s="42"/>
      <c r="AW2245" s="74"/>
      <c r="AX2245" s="77"/>
      <c r="BA2245" s="497">
        <v>39.92</v>
      </c>
      <c r="BB2245" s="42"/>
      <c r="BC2245" s="74"/>
      <c r="BD2245" s="77"/>
      <c r="BF2245">
        <v>44.06</v>
      </c>
      <c r="BH2245" s="42"/>
      <c r="BI2245" s="74"/>
      <c r="BJ2245" s="77"/>
      <c r="BL2245" s="497">
        <v>35.06</v>
      </c>
      <c r="BN2245" s="42"/>
      <c r="BO2245" s="74"/>
      <c r="BP2245" s="77"/>
      <c r="BR2245" s="497">
        <v>35.96</v>
      </c>
      <c r="BT2245" s="42"/>
    </row>
    <row r="2246" spans="1:72" x14ac:dyDescent="0.25">
      <c r="A2246" s="90">
        <v>33331</v>
      </c>
      <c r="B2246" s="20">
        <v>0.83333333333333337</v>
      </c>
      <c r="D2246">
        <v>51.980000000000004</v>
      </c>
      <c r="E2246" t="str">
        <f t="shared" si="104"/>
        <v>WEEKDAY</v>
      </c>
      <c r="F2246" t="e">
        <f t="shared" si="105"/>
        <v>#N/A</v>
      </c>
      <c r="G2246" s="74">
        <v>32966</v>
      </c>
      <c r="H2246" s="77">
        <v>0.83333333333333337</v>
      </c>
      <c r="J2246">
        <v>44.06</v>
      </c>
      <c r="M2246" s="74">
        <v>33331</v>
      </c>
      <c r="N2246" s="77">
        <v>0.83333333333333337</v>
      </c>
      <c r="P2246">
        <v>42.980000000000004</v>
      </c>
      <c r="S2246" s="74">
        <v>33331</v>
      </c>
      <c r="T2246" s="77">
        <v>0.83333333333333337</v>
      </c>
      <c r="V2246">
        <v>42.08</v>
      </c>
      <c r="X2246" s="42"/>
      <c r="AB2246">
        <v>48</v>
      </c>
      <c r="AC2246">
        <v>41</v>
      </c>
      <c r="AE2246" s="74"/>
      <c r="AF2246" s="77"/>
      <c r="AH2246" s="497">
        <v>41</v>
      </c>
      <c r="AJ2246" s="42"/>
      <c r="AK2246" s="74"/>
      <c r="AL2246" s="77"/>
      <c r="AN2246" s="497">
        <v>48.019999999999996</v>
      </c>
      <c r="AP2246" s="42"/>
      <c r="AQ2246" s="74"/>
      <c r="AR2246" s="77"/>
      <c r="AT2246" s="497">
        <v>37.04</v>
      </c>
      <c r="AV2246" s="42"/>
      <c r="AW2246" s="74"/>
      <c r="AX2246" s="77"/>
      <c r="BA2246" s="497">
        <v>37.94</v>
      </c>
      <c r="BB2246" s="42"/>
      <c r="BC2246" s="74"/>
      <c r="BD2246" s="77"/>
      <c r="BF2246">
        <v>42.08</v>
      </c>
      <c r="BH2246" s="42"/>
      <c r="BI2246" s="74"/>
      <c r="BJ2246" s="77"/>
      <c r="BL2246" s="497">
        <v>35.96</v>
      </c>
      <c r="BN2246" s="42"/>
      <c r="BO2246" s="74"/>
      <c r="BP2246" s="77"/>
      <c r="BR2246" s="497">
        <v>35.06</v>
      </c>
      <c r="BT2246" s="42"/>
    </row>
    <row r="2247" spans="1:72" x14ac:dyDescent="0.25">
      <c r="A2247" s="90">
        <v>33331</v>
      </c>
      <c r="B2247" s="20">
        <v>0.875</v>
      </c>
      <c r="D2247">
        <v>51.08</v>
      </c>
      <c r="E2247" t="str">
        <f t="shared" si="104"/>
        <v>WEEKDAY</v>
      </c>
      <c r="F2247" t="e">
        <f t="shared" si="105"/>
        <v>#N/A</v>
      </c>
      <c r="G2247" s="74">
        <v>32966</v>
      </c>
      <c r="H2247" s="77">
        <v>0.875</v>
      </c>
      <c r="J2247">
        <v>44.06</v>
      </c>
      <c r="M2247" s="74">
        <v>33331</v>
      </c>
      <c r="N2247" s="77">
        <v>0.875</v>
      </c>
      <c r="P2247">
        <v>39.92</v>
      </c>
      <c r="S2247" s="74">
        <v>33331</v>
      </c>
      <c r="T2247" s="77">
        <v>0.875</v>
      </c>
      <c r="V2247">
        <v>41</v>
      </c>
      <c r="X2247" s="42"/>
      <c r="AB2247">
        <v>47.3</v>
      </c>
      <c r="AC2247">
        <v>39.019999999999996</v>
      </c>
      <c r="AE2247" s="74"/>
      <c r="AF2247" s="77"/>
      <c r="AH2247" s="497">
        <v>35.06</v>
      </c>
      <c r="AJ2247" s="42"/>
      <c r="AK2247" s="74"/>
      <c r="AL2247" s="77"/>
      <c r="AN2247" s="497">
        <v>46.94</v>
      </c>
      <c r="AP2247" s="42"/>
      <c r="AQ2247" s="74"/>
      <c r="AR2247" s="77"/>
      <c r="AT2247" s="497">
        <v>35.96</v>
      </c>
      <c r="AV2247" s="42"/>
      <c r="AW2247" s="74"/>
      <c r="AX2247" s="77"/>
      <c r="BA2247" s="497">
        <v>37.04</v>
      </c>
      <c r="BB2247" s="42"/>
      <c r="BC2247" s="74"/>
      <c r="BD2247" s="77"/>
      <c r="BF2247">
        <v>42.08</v>
      </c>
      <c r="BH2247" s="42"/>
      <c r="BI2247" s="74"/>
      <c r="BJ2247" s="77"/>
      <c r="BL2247" s="497">
        <v>33.08</v>
      </c>
      <c r="BN2247" s="42"/>
      <c r="BO2247" s="74"/>
      <c r="BP2247" s="77"/>
      <c r="BR2247" s="497">
        <v>35.06</v>
      </c>
      <c r="BT2247" s="42"/>
    </row>
    <row r="2248" spans="1:72" x14ac:dyDescent="0.25">
      <c r="A2248" s="90">
        <v>33331</v>
      </c>
      <c r="B2248" s="20">
        <v>0.91666666666666663</v>
      </c>
      <c r="D2248">
        <v>51.980000000000004</v>
      </c>
      <c r="E2248" t="str">
        <f t="shared" si="104"/>
        <v>WEEKDAY</v>
      </c>
      <c r="F2248" t="e">
        <f t="shared" si="105"/>
        <v>#N/A</v>
      </c>
      <c r="G2248" s="74">
        <v>32966</v>
      </c>
      <c r="H2248" s="77">
        <v>0.91666666666666663</v>
      </c>
      <c r="J2248">
        <v>44.06</v>
      </c>
      <c r="M2248" s="74">
        <v>33331</v>
      </c>
      <c r="N2248" s="77">
        <v>0.91666666666666663</v>
      </c>
      <c r="P2248">
        <v>39.92</v>
      </c>
      <c r="S2248" s="74">
        <v>33331</v>
      </c>
      <c r="T2248" s="77">
        <v>0.91666666666666663</v>
      </c>
      <c r="V2248">
        <v>39.92</v>
      </c>
      <c r="X2248" s="42"/>
      <c r="AB2248">
        <v>46.8</v>
      </c>
      <c r="AC2248">
        <v>37.94</v>
      </c>
      <c r="AE2248" s="74"/>
      <c r="AF2248" s="77"/>
      <c r="AH2248" s="497">
        <v>33.979999999999997</v>
      </c>
      <c r="AJ2248" s="42"/>
      <c r="AK2248" s="74"/>
      <c r="AL2248" s="77"/>
      <c r="AN2248" s="497">
        <v>48.019999999999996</v>
      </c>
      <c r="AP2248" s="42"/>
      <c r="AQ2248" s="74"/>
      <c r="AR2248" s="77"/>
      <c r="AT2248" s="497">
        <v>35.06</v>
      </c>
      <c r="AV2248" s="42"/>
      <c r="AW2248" s="74"/>
      <c r="AX2248" s="77"/>
      <c r="BA2248" s="497">
        <v>35.96</v>
      </c>
      <c r="BB2248" s="42"/>
      <c r="BC2248" s="74"/>
      <c r="BD2248" s="77"/>
      <c r="BF2248">
        <v>42.08</v>
      </c>
      <c r="BH2248" s="42"/>
      <c r="BI2248" s="74"/>
      <c r="BJ2248" s="77"/>
      <c r="BL2248" s="497">
        <v>33.979999999999997</v>
      </c>
      <c r="BN2248" s="42"/>
      <c r="BO2248" s="74"/>
      <c r="BP2248" s="77"/>
      <c r="BR2248" s="497">
        <v>35.96</v>
      </c>
      <c r="BT2248" s="42"/>
    </row>
    <row r="2249" spans="1:72" x14ac:dyDescent="0.25">
      <c r="A2249" s="90">
        <v>33331</v>
      </c>
      <c r="B2249" s="20">
        <v>0.95833333333333337</v>
      </c>
      <c r="D2249">
        <v>51.08</v>
      </c>
      <c r="E2249" t="str">
        <f t="shared" si="104"/>
        <v>WEEKDAY</v>
      </c>
      <c r="F2249" t="e">
        <f t="shared" si="105"/>
        <v>#N/A</v>
      </c>
      <c r="G2249" s="74">
        <v>32966</v>
      </c>
      <c r="H2249" s="77">
        <v>0.95833333333333337</v>
      </c>
      <c r="J2249">
        <v>44.06</v>
      </c>
      <c r="M2249" s="74">
        <v>33331</v>
      </c>
      <c r="N2249" s="77">
        <v>0.95833333333333337</v>
      </c>
      <c r="P2249">
        <v>37.94</v>
      </c>
      <c r="S2249" s="74">
        <v>33331</v>
      </c>
      <c r="T2249" s="77">
        <v>0.95833333333333337</v>
      </c>
      <c r="V2249">
        <v>41</v>
      </c>
      <c r="X2249" s="42"/>
      <c r="AB2249">
        <v>46</v>
      </c>
      <c r="AC2249">
        <v>37.94</v>
      </c>
      <c r="AE2249" s="74"/>
      <c r="AF2249" s="77"/>
      <c r="AH2249" s="497">
        <v>31.1</v>
      </c>
      <c r="AJ2249" s="42"/>
      <c r="AK2249" s="74"/>
      <c r="AL2249" s="77"/>
      <c r="AN2249" s="497">
        <v>48.92</v>
      </c>
      <c r="AP2249" s="42"/>
      <c r="AQ2249" s="74"/>
      <c r="AR2249" s="77"/>
      <c r="AT2249" s="497">
        <v>33.979999999999997</v>
      </c>
      <c r="AV2249" s="42"/>
      <c r="AW2249" s="74"/>
      <c r="AX2249" s="77"/>
      <c r="BA2249" s="497">
        <v>35.96</v>
      </c>
      <c r="BB2249" s="42"/>
      <c r="BC2249" s="74"/>
      <c r="BD2249" s="77"/>
      <c r="BF2249">
        <v>42.980000000000004</v>
      </c>
      <c r="BH2249" s="42"/>
      <c r="BI2249" s="74"/>
      <c r="BJ2249" s="77"/>
      <c r="BL2249" s="497">
        <v>33.08</v>
      </c>
      <c r="BN2249" s="42"/>
      <c r="BO2249" s="74"/>
      <c r="BP2249" s="77"/>
      <c r="BR2249" s="497">
        <v>37.04</v>
      </c>
      <c r="BT2249" s="42"/>
    </row>
    <row r="2250" spans="1:72" x14ac:dyDescent="0.25">
      <c r="A2250" s="90">
        <v>33331</v>
      </c>
      <c r="B2250" s="20">
        <v>1</v>
      </c>
      <c r="D2250">
        <v>50</v>
      </c>
      <c r="E2250" t="str">
        <f t="shared" si="104"/>
        <v>WEEKDAY</v>
      </c>
      <c r="F2250" t="e">
        <f t="shared" si="105"/>
        <v>#N/A</v>
      </c>
      <c r="G2250" s="74">
        <v>32966</v>
      </c>
      <c r="H2250" s="77">
        <v>1</v>
      </c>
      <c r="J2250">
        <v>44.06</v>
      </c>
      <c r="M2250" s="74">
        <v>33331</v>
      </c>
      <c r="N2250" s="80">
        <v>1</v>
      </c>
      <c r="P2250">
        <v>35.96</v>
      </c>
      <c r="S2250" s="74">
        <v>33331</v>
      </c>
      <c r="T2250" s="80">
        <v>1</v>
      </c>
      <c r="V2250">
        <v>39.019999999999996</v>
      </c>
      <c r="X2250" s="42"/>
      <c r="AB2250">
        <v>45.4</v>
      </c>
      <c r="AC2250">
        <v>37.04</v>
      </c>
      <c r="AE2250" s="74"/>
      <c r="AF2250" s="80"/>
      <c r="AH2250" s="497">
        <v>28.22</v>
      </c>
      <c r="AJ2250" s="42"/>
      <c r="AK2250" s="74"/>
      <c r="AL2250" s="80"/>
      <c r="AN2250" s="497">
        <v>50</v>
      </c>
      <c r="AP2250" s="42"/>
      <c r="AQ2250" s="74"/>
      <c r="AR2250" s="80"/>
      <c r="AT2250" s="497">
        <v>33.08</v>
      </c>
      <c r="AV2250" s="42"/>
      <c r="AW2250" s="74"/>
      <c r="AX2250" s="80"/>
      <c r="BA2250" s="497">
        <v>35.96</v>
      </c>
      <c r="BB2250" s="42"/>
      <c r="BC2250" s="74"/>
      <c r="BD2250" s="80"/>
      <c r="BF2250">
        <v>41</v>
      </c>
      <c r="BH2250" s="42"/>
      <c r="BI2250" s="74"/>
      <c r="BJ2250" s="80"/>
      <c r="BL2250" s="497">
        <v>33.08</v>
      </c>
      <c r="BN2250" s="42"/>
      <c r="BO2250" s="74"/>
      <c r="BP2250" s="80"/>
      <c r="BR2250" s="497">
        <v>37.94</v>
      </c>
      <c r="BT2250" s="42"/>
    </row>
    <row r="2251" spans="1:72" x14ac:dyDescent="0.25">
      <c r="A2251" s="90">
        <v>33332</v>
      </c>
      <c r="B2251" s="20">
        <v>4.1666666666666664E-2</v>
      </c>
      <c r="D2251">
        <v>50</v>
      </c>
      <c r="E2251" t="str">
        <f t="shared" si="104"/>
        <v>WEEKDAY</v>
      </c>
      <c r="F2251" t="e">
        <f t="shared" si="105"/>
        <v>#N/A</v>
      </c>
      <c r="G2251" s="74">
        <v>32967</v>
      </c>
      <c r="H2251" s="77">
        <v>4.1666666666666664E-2</v>
      </c>
      <c r="J2251">
        <v>42.980000000000004</v>
      </c>
      <c r="M2251" s="74">
        <v>33332</v>
      </c>
      <c r="N2251" s="77">
        <v>4.1666666666666664E-2</v>
      </c>
      <c r="P2251">
        <v>33.08</v>
      </c>
      <c r="S2251" s="74">
        <v>33332</v>
      </c>
      <c r="T2251" s="77">
        <v>4.1666666666666664E-2</v>
      </c>
      <c r="V2251">
        <v>39.92</v>
      </c>
      <c r="X2251" s="42"/>
      <c r="AB2251">
        <v>44.8</v>
      </c>
      <c r="AC2251">
        <v>39.019999999999996</v>
      </c>
      <c r="AE2251" s="74"/>
      <c r="AF2251" s="77"/>
      <c r="AH2251" s="497">
        <v>29.12</v>
      </c>
      <c r="AJ2251" s="42"/>
      <c r="AK2251" s="74"/>
      <c r="AL2251" s="77"/>
      <c r="AN2251" s="497">
        <v>48.92</v>
      </c>
      <c r="AP2251" s="42"/>
      <c r="AQ2251" s="74"/>
      <c r="AR2251" s="77"/>
      <c r="AT2251" s="497">
        <v>33.08</v>
      </c>
      <c r="AV2251" s="42"/>
      <c r="AW2251" s="74"/>
      <c r="AX2251" s="77"/>
      <c r="BA2251" s="497">
        <v>35.96</v>
      </c>
      <c r="BB2251" s="42"/>
      <c r="BC2251" s="74"/>
      <c r="BD2251" s="77"/>
      <c r="BF2251">
        <v>42.08</v>
      </c>
      <c r="BH2251" s="42"/>
      <c r="BI2251" s="74"/>
      <c r="BJ2251" s="77"/>
      <c r="BL2251" s="497">
        <v>32</v>
      </c>
      <c r="BN2251" s="42"/>
      <c r="BO2251" s="74"/>
      <c r="BP2251" s="77"/>
      <c r="BR2251" s="497">
        <v>39.019999999999996</v>
      </c>
      <c r="BT2251" s="42"/>
    </row>
    <row r="2252" spans="1:72" x14ac:dyDescent="0.25">
      <c r="A2252" s="90">
        <v>33332</v>
      </c>
      <c r="B2252" s="20">
        <v>8.3333333333333329E-2</v>
      </c>
      <c r="D2252">
        <v>48.019999999999996</v>
      </c>
      <c r="E2252" t="str">
        <f t="shared" si="104"/>
        <v>WEEKDAY</v>
      </c>
      <c r="F2252" t="e">
        <f t="shared" si="105"/>
        <v>#N/A</v>
      </c>
      <c r="G2252" s="74">
        <v>32967</v>
      </c>
      <c r="H2252" s="77">
        <v>8.3333333333333329E-2</v>
      </c>
      <c r="J2252">
        <v>42.980000000000004</v>
      </c>
      <c r="M2252" s="74">
        <v>33332</v>
      </c>
      <c r="N2252" s="77">
        <v>8.3333333333333329E-2</v>
      </c>
      <c r="P2252">
        <v>33.08</v>
      </c>
      <c r="S2252" s="74">
        <v>33332</v>
      </c>
      <c r="T2252" s="77">
        <v>8.3333333333333329E-2</v>
      </c>
      <c r="V2252">
        <v>39.019999999999996</v>
      </c>
      <c r="X2252" s="42"/>
      <c r="AB2252">
        <v>44.1</v>
      </c>
      <c r="AC2252">
        <v>37.04</v>
      </c>
      <c r="AE2252" s="74"/>
      <c r="AF2252" s="77"/>
      <c r="AH2252" s="497">
        <v>27.14</v>
      </c>
      <c r="AJ2252" s="42"/>
      <c r="AK2252" s="74"/>
      <c r="AL2252" s="77"/>
      <c r="AN2252" s="497">
        <v>46.94</v>
      </c>
      <c r="AP2252" s="42"/>
      <c r="AQ2252" s="74"/>
      <c r="AR2252" s="77"/>
      <c r="AT2252" s="497">
        <v>33.08</v>
      </c>
      <c r="AV2252" s="42"/>
      <c r="AW2252" s="74"/>
      <c r="AX2252" s="77"/>
      <c r="BA2252" s="497">
        <v>35.96</v>
      </c>
      <c r="BB2252" s="42"/>
      <c r="BC2252" s="74"/>
      <c r="BD2252" s="77"/>
      <c r="BF2252">
        <v>44.06</v>
      </c>
      <c r="BH2252" s="42"/>
      <c r="BI2252" s="74"/>
      <c r="BJ2252" s="77"/>
      <c r="BL2252" s="497">
        <v>30.92</v>
      </c>
      <c r="BN2252" s="42"/>
      <c r="BO2252" s="74"/>
      <c r="BP2252" s="77"/>
      <c r="BR2252" s="497">
        <v>37.94</v>
      </c>
      <c r="BT2252" s="42"/>
    </row>
    <row r="2253" spans="1:72" x14ac:dyDescent="0.25">
      <c r="A2253" s="90">
        <v>33332</v>
      </c>
      <c r="B2253" s="20">
        <v>0.125</v>
      </c>
      <c r="D2253">
        <v>46.94</v>
      </c>
      <c r="E2253" t="str">
        <f t="shared" si="104"/>
        <v>WEEKDAY</v>
      </c>
      <c r="F2253" t="e">
        <f t="shared" si="105"/>
        <v>#N/A</v>
      </c>
      <c r="G2253" s="74">
        <v>32967</v>
      </c>
      <c r="H2253" s="77">
        <v>0.125</v>
      </c>
      <c r="J2253">
        <v>42.980000000000004</v>
      </c>
      <c r="M2253" s="74">
        <v>33332</v>
      </c>
      <c r="N2253" s="77">
        <v>0.125</v>
      </c>
      <c r="P2253">
        <v>32</v>
      </c>
      <c r="S2253" s="74">
        <v>33332</v>
      </c>
      <c r="T2253" s="77">
        <v>0.125</v>
      </c>
      <c r="V2253">
        <v>39.92</v>
      </c>
      <c r="X2253" s="42"/>
      <c r="AB2253">
        <v>43.6</v>
      </c>
      <c r="AC2253">
        <v>35.96</v>
      </c>
      <c r="AE2253" s="74"/>
      <c r="AF2253" s="77"/>
      <c r="AH2253" s="497">
        <v>26.24</v>
      </c>
      <c r="AJ2253" s="42"/>
      <c r="AK2253" s="74"/>
      <c r="AL2253" s="77"/>
      <c r="AN2253" s="497">
        <v>42.980000000000004</v>
      </c>
      <c r="AP2253" s="42"/>
      <c r="AQ2253" s="74"/>
      <c r="AR2253" s="77"/>
      <c r="AT2253" s="497">
        <v>33.979999999999997</v>
      </c>
      <c r="AV2253" s="42"/>
      <c r="AW2253" s="74"/>
      <c r="AX2253" s="77"/>
      <c r="BA2253" s="497">
        <v>35.06</v>
      </c>
      <c r="BB2253" s="42"/>
      <c r="BC2253" s="74"/>
      <c r="BD2253" s="77"/>
      <c r="BF2253">
        <v>44.96</v>
      </c>
      <c r="BH2253" s="42"/>
      <c r="BI2253" s="74"/>
      <c r="BJ2253" s="77"/>
      <c r="BL2253" s="497">
        <v>30.02</v>
      </c>
      <c r="BN2253" s="42"/>
      <c r="BO2253" s="74"/>
      <c r="BP2253" s="77"/>
      <c r="BR2253" s="497">
        <v>37.04</v>
      </c>
      <c r="BT2253" s="42"/>
    </row>
    <row r="2254" spans="1:72" x14ac:dyDescent="0.25">
      <c r="A2254" s="90">
        <v>33332</v>
      </c>
      <c r="B2254" s="20">
        <v>0.16666666666666666</v>
      </c>
      <c r="D2254">
        <v>44.96</v>
      </c>
      <c r="E2254" t="str">
        <f t="shared" si="104"/>
        <v>WEEKDAY</v>
      </c>
      <c r="F2254" t="e">
        <f t="shared" si="105"/>
        <v>#N/A</v>
      </c>
      <c r="G2254" s="74">
        <v>32967</v>
      </c>
      <c r="H2254" s="77">
        <v>0.16666666666666666</v>
      </c>
      <c r="J2254">
        <v>42.980000000000004</v>
      </c>
      <c r="M2254" s="74">
        <v>33332</v>
      </c>
      <c r="N2254" s="77">
        <v>0.16666666666666666</v>
      </c>
      <c r="P2254">
        <v>32</v>
      </c>
      <c r="S2254" s="74">
        <v>33332</v>
      </c>
      <c r="T2254" s="77">
        <v>0.16666666666666666</v>
      </c>
      <c r="V2254">
        <v>39.019999999999996</v>
      </c>
      <c r="X2254" s="42"/>
      <c r="AB2254">
        <v>43.1</v>
      </c>
      <c r="AC2254">
        <v>35.06</v>
      </c>
      <c r="AE2254" s="74"/>
      <c r="AF2254" s="77"/>
      <c r="AH2254" s="497">
        <v>24.259999999999998</v>
      </c>
      <c r="AJ2254" s="42"/>
      <c r="AK2254" s="74"/>
      <c r="AL2254" s="77"/>
      <c r="AN2254" s="497">
        <v>41</v>
      </c>
      <c r="AP2254" s="42"/>
      <c r="AQ2254" s="74"/>
      <c r="AR2254" s="77"/>
      <c r="AT2254" s="497">
        <v>33.979999999999997</v>
      </c>
      <c r="AV2254" s="42"/>
      <c r="AW2254" s="74"/>
      <c r="AX2254" s="77"/>
      <c r="BA2254" s="497">
        <v>33.979999999999997</v>
      </c>
      <c r="BB2254" s="42"/>
      <c r="BC2254" s="74"/>
      <c r="BD2254" s="77"/>
      <c r="BF2254">
        <v>46.04</v>
      </c>
      <c r="BH2254" s="42"/>
      <c r="BI2254" s="74"/>
      <c r="BJ2254" s="77"/>
      <c r="BL2254" s="497">
        <v>30.02</v>
      </c>
      <c r="BN2254" s="42"/>
      <c r="BO2254" s="74"/>
      <c r="BP2254" s="77"/>
      <c r="BR2254" s="497">
        <v>35.96</v>
      </c>
      <c r="BT2254" s="42"/>
    </row>
    <row r="2255" spans="1:72" x14ac:dyDescent="0.25">
      <c r="A2255" s="90">
        <v>33332</v>
      </c>
      <c r="B2255" s="20">
        <v>0.20833333333333334</v>
      </c>
      <c r="D2255">
        <v>42.08</v>
      </c>
      <c r="E2255" t="str">
        <f t="shared" si="104"/>
        <v>WEEKDAY</v>
      </c>
      <c r="F2255" t="e">
        <f t="shared" si="105"/>
        <v>#N/A</v>
      </c>
      <c r="G2255" s="74">
        <v>32967</v>
      </c>
      <c r="H2255" s="77">
        <v>0.20833333333333334</v>
      </c>
      <c r="J2255">
        <v>42.980000000000004</v>
      </c>
      <c r="M2255" s="74">
        <v>33332</v>
      </c>
      <c r="N2255" s="77">
        <v>0.20833333333333334</v>
      </c>
      <c r="P2255">
        <v>32</v>
      </c>
      <c r="S2255" s="74">
        <v>33332</v>
      </c>
      <c r="T2255" s="77">
        <v>0.20833333333333334</v>
      </c>
      <c r="V2255">
        <v>39.019999999999996</v>
      </c>
      <c r="X2255" s="42"/>
      <c r="AB2255">
        <v>42.6</v>
      </c>
      <c r="AC2255">
        <v>35.06</v>
      </c>
      <c r="AE2255" s="74"/>
      <c r="AF2255" s="77"/>
      <c r="AH2255" s="497">
        <v>25.16</v>
      </c>
      <c r="AJ2255" s="42"/>
      <c r="AK2255" s="74"/>
      <c r="AL2255" s="77"/>
      <c r="AN2255" s="497">
        <v>39.92</v>
      </c>
      <c r="AP2255" s="42"/>
      <c r="AQ2255" s="74"/>
      <c r="AR2255" s="77"/>
      <c r="AT2255" s="497">
        <v>33.979999999999997</v>
      </c>
      <c r="AV2255" s="42"/>
      <c r="AW2255" s="74"/>
      <c r="AX2255" s="77"/>
      <c r="BA2255" s="497">
        <v>33.08</v>
      </c>
      <c r="BB2255" s="42"/>
      <c r="BC2255" s="74"/>
      <c r="BD2255" s="77"/>
      <c r="BF2255">
        <v>46.94</v>
      </c>
      <c r="BH2255" s="42"/>
      <c r="BI2255" s="74"/>
      <c r="BJ2255" s="77"/>
      <c r="BL2255" s="497">
        <v>30.02</v>
      </c>
      <c r="BN2255" s="42"/>
      <c r="BO2255" s="74"/>
      <c r="BP2255" s="77"/>
      <c r="BR2255" s="497">
        <v>37.04</v>
      </c>
      <c r="BT2255" s="42"/>
    </row>
    <row r="2256" spans="1:72" x14ac:dyDescent="0.25">
      <c r="A2256" s="90">
        <v>33332</v>
      </c>
      <c r="B2256" s="20">
        <v>0.25</v>
      </c>
      <c r="D2256">
        <v>39.92</v>
      </c>
      <c r="E2256" t="str">
        <f t="shared" si="104"/>
        <v>WEEKDAY</v>
      </c>
      <c r="F2256" t="e">
        <f t="shared" si="105"/>
        <v>#N/A</v>
      </c>
      <c r="G2256" s="74">
        <v>32967</v>
      </c>
      <c r="H2256" s="77">
        <v>0.25</v>
      </c>
      <c r="J2256">
        <v>42.980000000000004</v>
      </c>
      <c r="M2256" s="74">
        <v>33332</v>
      </c>
      <c r="N2256" s="77">
        <v>0.25</v>
      </c>
      <c r="P2256">
        <v>33.08</v>
      </c>
      <c r="S2256" s="74">
        <v>33332</v>
      </c>
      <c r="T2256" s="77">
        <v>0.25</v>
      </c>
      <c r="V2256">
        <v>37.94</v>
      </c>
      <c r="X2256" s="42"/>
      <c r="AB2256">
        <v>42.5</v>
      </c>
      <c r="AC2256">
        <v>35.06</v>
      </c>
      <c r="AE2256" s="74"/>
      <c r="AF2256" s="77"/>
      <c r="AH2256" s="497">
        <v>24.259999999999998</v>
      </c>
      <c r="AJ2256" s="42"/>
      <c r="AK2256" s="74"/>
      <c r="AL2256" s="77"/>
      <c r="AN2256" s="497">
        <v>41</v>
      </c>
      <c r="AP2256" s="42"/>
      <c r="AQ2256" s="74"/>
      <c r="AR2256" s="77"/>
      <c r="AT2256" s="497">
        <v>33.979999999999997</v>
      </c>
      <c r="AV2256" s="42"/>
      <c r="AW2256" s="74"/>
      <c r="AX2256" s="77"/>
      <c r="BA2256" s="497">
        <v>33.979999999999997</v>
      </c>
      <c r="BB2256" s="42"/>
      <c r="BC2256" s="74"/>
      <c r="BD2256" s="77"/>
      <c r="BF2256">
        <v>46.94</v>
      </c>
      <c r="BH2256" s="42"/>
      <c r="BI2256" s="74"/>
      <c r="BJ2256" s="77"/>
      <c r="BL2256" s="497">
        <v>30.02</v>
      </c>
      <c r="BN2256" s="42"/>
      <c r="BO2256" s="74"/>
      <c r="BP2256" s="77"/>
      <c r="BR2256" s="497">
        <v>37.04</v>
      </c>
      <c r="BT2256" s="42"/>
    </row>
    <row r="2257" spans="1:72" x14ac:dyDescent="0.25">
      <c r="A2257" s="90">
        <v>33332</v>
      </c>
      <c r="B2257" s="20">
        <v>0.29166666666666669</v>
      </c>
      <c r="D2257">
        <v>39.019999999999996</v>
      </c>
      <c r="E2257" t="str">
        <f t="shared" si="104"/>
        <v>WEEKDAY</v>
      </c>
      <c r="F2257" t="e">
        <f t="shared" si="105"/>
        <v>#N/A</v>
      </c>
      <c r="G2257" s="74">
        <v>32967</v>
      </c>
      <c r="H2257" s="77">
        <v>0.29166666666666669</v>
      </c>
      <c r="J2257">
        <v>42.980000000000004</v>
      </c>
      <c r="M2257" s="74">
        <v>33332</v>
      </c>
      <c r="N2257" s="77">
        <v>0.29166666666666669</v>
      </c>
      <c r="P2257">
        <v>37.94</v>
      </c>
      <c r="S2257" s="74">
        <v>33332</v>
      </c>
      <c r="T2257" s="77">
        <v>0.29166666666666669</v>
      </c>
      <c r="V2257">
        <v>39.92</v>
      </c>
      <c r="X2257" s="42"/>
      <c r="AB2257">
        <v>42.3</v>
      </c>
      <c r="AC2257">
        <v>39.92</v>
      </c>
      <c r="AE2257" s="74"/>
      <c r="AF2257" s="77"/>
      <c r="AH2257" s="497">
        <v>28.22</v>
      </c>
      <c r="AJ2257" s="42"/>
      <c r="AK2257" s="74"/>
      <c r="AL2257" s="77"/>
      <c r="AN2257" s="497">
        <v>42.08</v>
      </c>
      <c r="AP2257" s="42"/>
      <c r="AQ2257" s="74"/>
      <c r="AR2257" s="77"/>
      <c r="AT2257" s="497">
        <v>33.979999999999997</v>
      </c>
      <c r="AV2257" s="42"/>
      <c r="AW2257" s="74"/>
      <c r="AX2257" s="77"/>
      <c r="BA2257" s="497">
        <v>35.06</v>
      </c>
      <c r="BB2257" s="42"/>
      <c r="BC2257" s="74"/>
      <c r="BD2257" s="77"/>
      <c r="BF2257">
        <v>44.06</v>
      </c>
      <c r="BH2257" s="42"/>
      <c r="BI2257" s="74"/>
      <c r="BJ2257" s="77"/>
      <c r="BL2257" s="497">
        <v>30.02</v>
      </c>
      <c r="BN2257" s="42"/>
      <c r="BO2257" s="74"/>
      <c r="BP2257" s="77"/>
      <c r="BR2257" s="497">
        <v>33.979999999999997</v>
      </c>
      <c r="BT2257" s="42"/>
    </row>
    <row r="2258" spans="1:72" x14ac:dyDescent="0.25">
      <c r="A2258" s="90">
        <v>33332</v>
      </c>
      <c r="B2258" s="20">
        <v>0.33333333333333331</v>
      </c>
      <c r="D2258">
        <v>39.92</v>
      </c>
      <c r="E2258" t="str">
        <f t="shared" si="104"/>
        <v>WEEKDAY</v>
      </c>
      <c r="F2258" t="e">
        <f t="shared" si="105"/>
        <v>#N/A</v>
      </c>
      <c r="G2258" s="74">
        <v>32967</v>
      </c>
      <c r="H2258" s="77">
        <v>0.33333333333333331</v>
      </c>
      <c r="J2258">
        <v>42.980000000000004</v>
      </c>
      <c r="M2258" s="74">
        <v>33332</v>
      </c>
      <c r="N2258" s="77">
        <v>0.33333333333333331</v>
      </c>
      <c r="P2258">
        <v>44.06</v>
      </c>
      <c r="S2258" s="74">
        <v>33332</v>
      </c>
      <c r="T2258" s="77">
        <v>0.33333333333333331</v>
      </c>
      <c r="V2258">
        <v>44.96</v>
      </c>
      <c r="X2258" s="42"/>
      <c r="AB2258">
        <v>43.9</v>
      </c>
      <c r="AC2258">
        <v>46.04</v>
      </c>
      <c r="AE2258" s="74"/>
      <c r="AF2258" s="77"/>
      <c r="AH2258" s="497">
        <v>39.019999999999996</v>
      </c>
      <c r="AJ2258" s="42"/>
      <c r="AK2258" s="74"/>
      <c r="AL2258" s="77"/>
      <c r="AN2258" s="497">
        <v>42.980000000000004</v>
      </c>
      <c r="AP2258" s="42"/>
      <c r="AQ2258" s="74"/>
      <c r="AR2258" s="77"/>
      <c r="AT2258" s="497">
        <v>37.04</v>
      </c>
      <c r="AV2258" s="42"/>
      <c r="AW2258" s="74"/>
      <c r="AX2258" s="77"/>
      <c r="BA2258" s="497">
        <v>37.94</v>
      </c>
      <c r="BB2258" s="42"/>
      <c r="BC2258" s="74"/>
      <c r="BD2258" s="77"/>
      <c r="BF2258">
        <v>42.08</v>
      </c>
      <c r="BH2258" s="42"/>
      <c r="BI2258" s="74"/>
      <c r="BJ2258" s="77"/>
      <c r="BL2258" s="497">
        <v>30.02</v>
      </c>
      <c r="BN2258" s="42"/>
      <c r="BO2258" s="74"/>
      <c r="BP2258" s="77"/>
      <c r="BR2258" s="497">
        <v>35.96</v>
      </c>
      <c r="BT2258" s="42"/>
    </row>
    <row r="2259" spans="1:72" x14ac:dyDescent="0.25">
      <c r="A2259" s="90">
        <v>33332</v>
      </c>
      <c r="B2259" s="20">
        <v>0.375</v>
      </c>
      <c r="D2259">
        <v>42.08</v>
      </c>
      <c r="E2259" t="str">
        <f t="shared" ref="E2259:E2322" si="106">IF(COUNTIF($DI$18:$DI$22, WEEKDAY(A2259))=1, "WEEKDAY", IF(WEEKDAY(A2259) = 1, "SUNDAY", "SATURDAY"))</f>
        <v>WEEKDAY</v>
      </c>
      <c r="F2259" t="e">
        <f t="shared" si="105"/>
        <v>#N/A</v>
      </c>
      <c r="G2259" s="74">
        <v>32967</v>
      </c>
      <c r="H2259" s="77">
        <v>0.375</v>
      </c>
      <c r="J2259">
        <v>44.06</v>
      </c>
      <c r="M2259" s="74">
        <v>33332</v>
      </c>
      <c r="N2259" s="77">
        <v>0.375</v>
      </c>
      <c r="P2259">
        <v>51.08</v>
      </c>
      <c r="S2259" s="74">
        <v>33332</v>
      </c>
      <c r="T2259" s="77">
        <v>0.375</v>
      </c>
      <c r="V2259">
        <v>48.92</v>
      </c>
      <c r="X2259" s="42"/>
      <c r="AB2259">
        <v>45.7</v>
      </c>
      <c r="AC2259">
        <v>51.980000000000004</v>
      </c>
      <c r="AE2259" s="74"/>
      <c r="AF2259" s="77"/>
      <c r="AH2259" s="497">
        <v>48.019999999999996</v>
      </c>
      <c r="AJ2259" s="42"/>
      <c r="AK2259" s="74"/>
      <c r="AL2259" s="77"/>
      <c r="AN2259" s="497">
        <v>44.96</v>
      </c>
      <c r="AP2259" s="42"/>
      <c r="AQ2259" s="74"/>
      <c r="AR2259" s="77"/>
      <c r="AT2259" s="497">
        <v>37.04</v>
      </c>
      <c r="AV2259" s="42"/>
      <c r="AW2259" s="74"/>
      <c r="AX2259" s="77"/>
      <c r="BA2259" s="497">
        <v>39.92</v>
      </c>
      <c r="BB2259" s="42"/>
      <c r="BC2259" s="74"/>
      <c r="BD2259" s="77"/>
      <c r="BF2259">
        <v>41</v>
      </c>
      <c r="BH2259" s="42"/>
      <c r="BI2259" s="74"/>
      <c r="BJ2259" s="77"/>
      <c r="BL2259" s="497">
        <v>32</v>
      </c>
      <c r="BN2259" s="42"/>
      <c r="BO2259" s="74"/>
      <c r="BP2259" s="77"/>
      <c r="BR2259" s="497">
        <v>39.92</v>
      </c>
      <c r="BT2259" s="42"/>
    </row>
    <row r="2260" spans="1:72" x14ac:dyDescent="0.25">
      <c r="A2260" s="90">
        <v>33332</v>
      </c>
      <c r="B2260" s="20">
        <v>0.41666666666666669</v>
      </c>
      <c r="D2260">
        <v>44.96</v>
      </c>
      <c r="E2260" t="str">
        <f t="shared" si="106"/>
        <v>WEEKDAY</v>
      </c>
      <c r="F2260" t="e">
        <f t="shared" si="105"/>
        <v>#N/A</v>
      </c>
      <c r="G2260" s="74">
        <v>32967</v>
      </c>
      <c r="H2260" s="77">
        <v>0.41666666666666669</v>
      </c>
      <c r="J2260">
        <v>44.96</v>
      </c>
      <c r="M2260" s="74">
        <v>33332</v>
      </c>
      <c r="N2260" s="77">
        <v>0.41666666666666669</v>
      </c>
      <c r="P2260">
        <v>55.040000000000006</v>
      </c>
      <c r="S2260" s="74">
        <v>33332</v>
      </c>
      <c r="T2260" s="77">
        <v>0.41666666666666669</v>
      </c>
      <c r="V2260">
        <v>51.08</v>
      </c>
      <c r="X2260" s="42"/>
      <c r="AB2260">
        <v>47.5</v>
      </c>
      <c r="AC2260">
        <v>55.040000000000006</v>
      </c>
      <c r="AE2260" s="74"/>
      <c r="AF2260" s="77"/>
      <c r="AH2260" s="497">
        <v>53.06</v>
      </c>
      <c r="AJ2260" s="42"/>
      <c r="AK2260" s="74"/>
      <c r="AL2260" s="77"/>
      <c r="AN2260" s="497">
        <v>46.04</v>
      </c>
      <c r="AP2260" s="42"/>
      <c r="AQ2260" s="74"/>
      <c r="AR2260" s="77"/>
      <c r="AT2260" s="497">
        <v>37.94</v>
      </c>
      <c r="AV2260" s="42"/>
      <c r="AW2260" s="74"/>
      <c r="AX2260" s="77"/>
      <c r="BA2260" s="497">
        <v>42.08</v>
      </c>
      <c r="BB2260" s="42"/>
      <c r="BC2260" s="74"/>
      <c r="BD2260" s="77"/>
      <c r="BF2260">
        <v>41</v>
      </c>
      <c r="BH2260" s="42"/>
      <c r="BI2260" s="74"/>
      <c r="BJ2260" s="77"/>
      <c r="BL2260" s="497">
        <v>30.2</v>
      </c>
      <c r="BN2260" s="42"/>
      <c r="BO2260" s="74"/>
      <c r="BP2260" s="77"/>
      <c r="BR2260" s="497">
        <v>39.92</v>
      </c>
      <c r="BT2260" s="42"/>
    </row>
    <row r="2261" spans="1:72" x14ac:dyDescent="0.25">
      <c r="A2261" s="90">
        <v>33332</v>
      </c>
      <c r="B2261" s="20">
        <v>0.45833333333333331</v>
      </c>
      <c r="D2261">
        <v>46.04</v>
      </c>
      <c r="E2261" t="str">
        <f t="shared" si="106"/>
        <v>WEEKDAY</v>
      </c>
      <c r="F2261" t="e">
        <f t="shared" si="105"/>
        <v>#N/A</v>
      </c>
      <c r="G2261" s="74">
        <v>32967</v>
      </c>
      <c r="H2261" s="77">
        <v>0.45833333333333331</v>
      </c>
      <c r="J2261">
        <v>46.04</v>
      </c>
      <c r="M2261" s="74">
        <v>33332</v>
      </c>
      <c r="N2261" s="77">
        <v>0.45833333333333331</v>
      </c>
      <c r="P2261">
        <v>57.92</v>
      </c>
      <c r="S2261" s="74">
        <v>33332</v>
      </c>
      <c r="T2261" s="77">
        <v>0.45833333333333331</v>
      </c>
      <c r="V2261">
        <v>53.96</v>
      </c>
      <c r="X2261" s="42"/>
      <c r="AB2261">
        <v>49.2</v>
      </c>
      <c r="AC2261">
        <v>55.94</v>
      </c>
      <c r="AE2261" s="74"/>
      <c r="AF2261" s="77"/>
      <c r="AH2261" s="497">
        <v>57.019999999999996</v>
      </c>
      <c r="AJ2261" s="42"/>
      <c r="AK2261" s="74"/>
      <c r="AL2261" s="77"/>
      <c r="AN2261" s="497">
        <v>48.019999999999996</v>
      </c>
      <c r="AP2261" s="42"/>
      <c r="AQ2261" s="74"/>
      <c r="AR2261" s="77"/>
      <c r="AT2261" s="497">
        <v>41</v>
      </c>
      <c r="AV2261" s="42"/>
      <c r="AW2261" s="74"/>
      <c r="AX2261" s="77"/>
      <c r="BA2261" s="497">
        <v>44.06</v>
      </c>
      <c r="BB2261" s="42"/>
      <c r="BC2261" s="74"/>
      <c r="BD2261" s="77"/>
      <c r="BF2261">
        <v>42.08</v>
      </c>
      <c r="BH2261" s="42"/>
      <c r="BI2261" s="74"/>
      <c r="BJ2261" s="77"/>
      <c r="BL2261" s="497">
        <v>35.06</v>
      </c>
      <c r="BN2261" s="42"/>
      <c r="BO2261" s="74"/>
      <c r="BP2261" s="77"/>
      <c r="BR2261" s="497">
        <v>42.980000000000004</v>
      </c>
      <c r="BT2261" s="42"/>
    </row>
    <row r="2262" spans="1:72" x14ac:dyDescent="0.25">
      <c r="A2262" s="90">
        <v>33332</v>
      </c>
      <c r="B2262" s="20">
        <v>0.5</v>
      </c>
      <c r="D2262">
        <v>48.92</v>
      </c>
      <c r="E2262" t="str">
        <f t="shared" si="106"/>
        <v>WEEKDAY</v>
      </c>
      <c r="F2262" t="e">
        <f t="shared" si="105"/>
        <v>#N/A</v>
      </c>
      <c r="G2262" s="74">
        <v>32967</v>
      </c>
      <c r="H2262" s="77">
        <v>0.5</v>
      </c>
      <c r="J2262">
        <v>46.94</v>
      </c>
      <c r="M2262" s="74">
        <v>33332</v>
      </c>
      <c r="N2262" s="77">
        <v>0.5</v>
      </c>
      <c r="P2262">
        <v>60.08</v>
      </c>
      <c r="S2262" s="74">
        <v>33332</v>
      </c>
      <c r="T2262" s="77">
        <v>0.5</v>
      </c>
      <c r="V2262">
        <v>53.96</v>
      </c>
      <c r="X2262" s="42"/>
      <c r="AB2262">
        <v>50.5</v>
      </c>
      <c r="AC2262">
        <v>55.94</v>
      </c>
      <c r="AE2262" s="74"/>
      <c r="AF2262" s="77"/>
      <c r="AH2262" s="497">
        <v>60.08</v>
      </c>
      <c r="AJ2262" s="42"/>
      <c r="AK2262" s="74"/>
      <c r="AL2262" s="77"/>
      <c r="AN2262" s="497">
        <v>51.08</v>
      </c>
      <c r="AP2262" s="42"/>
      <c r="AQ2262" s="74"/>
      <c r="AR2262" s="77"/>
      <c r="AT2262" s="497">
        <v>44.06</v>
      </c>
      <c r="AV2262" s="42"/>
      <c r="AW2262" s="74"/>
      <c r="AX2262" s="77"/>
      <c r="BA2262" s="497">
        <v>46.04</v>
      </c>
      <c r="BB2262" s="42"/>
      <c r="BC2262" s="74"/>
      <c r="BD2262" s="77"/>
      <c r="BF2262">
        <v>39.92</v>
      </c>
      <c r="BH2262" s="42"/>
      <c r="BI2262" s="74"/>
      <c r="BJ2262" s="77"/>
      <c r="BL2262" s="497">
        <v>33.979999999999997</v>
      </c>
      <c r="BN2262" s="42"/>
      <c r="BO2262" s="74"/>
      <c r="BP2262" s="77"/>
      <c r="BR2262" s="497">
        <v>42.980000000000004</v>
      </c>
      <c r="BT2262" s="42"/>
    </row>
    <row r="2263" spans="1:72" x14ac:dyDescent="0.25">
      <c r="A2263" s="90">
        <v>33332</v>
      </c>
      <c r="B2263" s="20">
        <v>0.54166666666666663</v>
      </c>
      <c r="D2263">
        <v>51.08</v>
      </c>
      <c r="E2263" t="str">
        <f t="shared" si="106"/>
        <v>WEEKDAY</v>
      </c>
      <c r="F2263" t="e">
        <f t="shared" si="105"/>
        <v>#N/A</v>
      </c>
      <c r="G2263" s="74">
        <v>32967</v>
      </c>
      <c r="H2263" s="77">
        <v>0.54166666666666663</v>
      </c>
      <c r="J2263">
        <v>46.94</v>
      </c>
      <c r="M2263" s="74">
        <v>33332</v>
      </c>
      <c r="N2263" s="77">
        <v>0.54166666666666663</v>
      </c>
      <c r="P2263">
        <v>60.980000000000004</v>
      </c>
      <c r="S2263" s="74">
        <v>33332</v>
      </c>
      <c r="T2263" s="77">
        <v>0.54166666666666663</v>
      </c>
      <c r="V2263">
        <v>53.06</v>
      </c>
      <c r="X2263" s="42"/>
      <c r="AB2263">
        <v>51.4</v>
      </c>
      <c r="AC2263">
        <v>55.040000000000006</v>
      </c>
      <c r="AE2263" s="74"/>
      <c r="AF2263" s="77"/>
      <c r="AH2263" s="497">
        <v>62.96</v>
      </c>
      <c r="AJ2263" s="42"/>
      <c r="AK2263" s="74"/>
      <c r="AL2263" s="77"/>
      <c r="AN2263" s="497">
        <v>51.980000000000004</v>
      </c>
      <c r="AP2263" s="42"/>
      <c r="AQ2263" s="74"/>
      <c r="AR2263" s="77"/>
      <c r="AT2263" s="497">
        <v>44.96</v>
      </c>
      <c r="AV2263" s="42"/>
      <c r="AW2263" s="74"/>
      <c r="AX2263" s="77"/>
      <c r="BA2263" s="497">
        <v>46.94</v>
      </c>
      <c r="BB2263" s="42"/>
      <c r="BC2263" s="74"/>
      <c r="BD2263" s="77"/>
      <c r="BF2263">
        <v>41</v>
      </c>
      <c r="BH2263" s="42"/>
      <c r="BI2263" s="74"/>
      <c r="BJ2263" s="77"/>
      <c r="BL2263" s="497">
        <v>35.06</v>
      </c>
      <c r="BN2263" s="42"/>
      <c r="BO2263" s="74"/>
      <c r="BP2263" s="77"/>
      <c r="BR2263" s="497">
        <v>44.96</v>
      </c>
      <c r="BT2263" s="42"/>
    </row>
    <row r="2264" spans="1:72" x14ac:dyDescent="0.25">
      <c r="A2264" s="90">
        <v>33332</v>
      </c>
      <c r="B2264" s="20">
        <v>0.58333333333333337</v>
      </c>
      <c r="D2264">
        <v>53.06</v>
      </c>
      <c r="E2264" t="str">
        <f t="shared" si="106"/>
        <v>WEEKDAY</v>
      </c>
      <c r="F2264" t="e">
        <f t="shared" si="105"/>
        <v>#N/A</v>
      </c>
      <c r="G2264" s="74">
        <v>32967</v>
      </c>
      <c r="H2264" s="77">
        <v>0.58333333333333337</v>
      </c>
      <c r="J2264">
        <v>46.04</v>
      </c>
      <c r="M2264" s="74">
        <v>33332</v>
      </c>
      <c r="N2264" s="77">
        <v>0.58333333333333337</v>
      </c>
      <c r="P2264">
        <v>64.039999999999992</v>
      </c>
      <c r="S2264" s="74">
        <v>33332</v>
      </c>
      <c r="T2264" s="77">
        <v>0.58333333333333337</v>
      </c>
      <c r="V2264">
        <v>53.06</v>
      </c>
      <c r="X2264" s="42"/>
      <c r="AB2264">
        <v>52.1</v>
      </c>
      <c r="AC2264">
        <v>55.040000000000006</v>
      </c>
      <c r="AE2264" s="74"/>
      <c r="AF2264" s="77"/>
      <c r="AH2264" s="497">
        <v>64.039999999999992</v>
      </c>
      <c r="AJ2264" s="42"/>
      <c r="AK2264" s="74"/>
      <c r="AL2264" s="77"/>
      <c r="AN2264" s="497">
        <v>53.96</v>
      </c>
      <c r="AP2264" s="42"/>
      <c r="AQ2264" s="74"/>
      <c r="AR2264" s="77"/>
      <c r="AT2264" s="497">
        <v>46.94</v>
      </c>
      <c r="AV2264" s="42"/>
      <c r="AW2264" s="74"/>
      <c r="AX2264" s="77"/>
      <c r="BA2264" s="497">
        <v>48.019999999999996</v>
      </c>
      <c r="BB2264" s="42"/>
      <c r="BC2264" s="74"/>
      <c r="BD2264" s="77"/>
      <c r="BF2264">
        <v>41</v>
      </c>
      <c r="BH2264" s="42"/>
      <c r="BI2264" s="74"/>
      <c r="BJ2264" s="77"/>
      <c r="BL2264" s="497">
        <v>33.979999999999997</v>
      </c>
      <c r="BN2264" s="42"/>
      <c r="BO2264" s="74"/>
      <c r="BP2264" s="77"/>
      <c r="BR2264" s="497">
        <v>46.94</v>
      </c>
      <c r="BT2264" s="42"/>
    </row>
    <row r="2265" spans="1:72" x14ac:dyDescent="0.25">
      <c r="A2265" s="90">
        <v>33332</v>
      </c>
      <c r="B2265" s="20">
        <v>0.625</v>
      </c>
      <c r="D2265">
        <v>55.94</v>
      </c>
      <c r="E2265" t="str">
        <f t="shared" si="106"/>
        <v>WEEKDAY</v>
      </c>
      <c r="F2265" t="e">
        <f t="shared" si="105"/>
        <v>#N/A</v>
      </c>
      <c r="G2265" s="74">
        <v>32967</v>
      </c>
      <c r="H2265" s="77">
        <v>0.625</v>
      </c>
      <c r="J2265">
        <v>46.94</v>
      </c>
      <c r="M2265" s="74">
        <v>33332</v>
      </c>
      <c r="N2265" s="77">
        <v>0.625</v>
      </c>
      <c r="P2265">
        <v>62.06</v>
      </c>
      <c r="S2265" s="74">
        <v>33332</v>
      </c>
      <c r="T2265" s="77">
        <v>0.625</v>
      </c>
      <c r="V2265">
        <v>53.06</v>
      </c>
      <c r="X2265" s="42"/>
      <c r="AB2265">
        <v>52.3</v>
      </c>
      <c r="AC2265">
        <v>55.040000000000006</v>
      </c>
      <c r="AE2265" s="74"/>
      <c r="AF2265" s="77"/>
      <c r="AH2265" s="497">
        <v>66.02</v>
      </c>
      <c r="AJ2265" s="42"/>
      <c r="AK2265" s="74"/>
      <c r="AL2265" s="77"/>
      <c r="AN2265" s="497">
        <v>55.040000000000006</v>
      </c>
      <c r="AP2265" s="42"/>
      <c r="AQ2265" s="74"/>
      <c r="AR2265" s="77"/>
      <c r="AT2265" s="497">
        <v>48.92</v>
      </c>
      <c r="AV2265" s="42"/>
      <c r="AW2265" s="74"/>
      <c r="AX2265" s="77"/>
      <c r="BA2265" s="497">
        <v>50</v>
      </c>
      <c r="BB2265" s="42"/>
      <c r="BC2265" s="74"/>
      <c r="BD2265" s="77"/>
      <c r="BF2265">
        <v>39.92</v>
      </c>
      <c r="BH2265" s="42"/>
      <c r="BI2265" s="74"/>
      <c r="BJ2265" s="77"/>
      <c r="BL2265" s="497">
        <v>35.06</v>
      </c>
      <c r="BN2265" s="42"/>
      <c r="BO2265" s="74"/>
      <c r="BP2265" s="77"/>
      <c r="BR2265" s="497">
        <v>48.019999999999996</v>
      </c>
      <c r="BT2265" s="42"/>
    </row>
    <row r="2266" spans="1:72" x14ac:dyDescent="0.25">
      <c r="A2266" s="90">
        <v>33332</v>
      </c>
      <c r="B2266" s="20">
        <v>0.66666666666666663</v>
      </c>
      <c r="D2266">
        <v>59</v>
      </c>
      <c r="E2266" t="str">
        <f t="shared" si="106"/>
        <v>WEEKDAY</v>
      </c>
      <c r="F2266" t="e">
        <f t="shared" si="105"/>
        <v>#N/A</v>
      </c>
      <c r="G2266" s="74">
        <v>32967</v>
      </c>
      <c r="H2266" s="77">
        <v>0.66666666666666663</v>
      </c>
      <c r="J2266">
        <v>44.96</v>
      </c>
      <c r="M2266" s="74">
        <v>33332</v>
      </c>
      <c r="N2266" s="77">
        <v>0.66666666666666663</v>
      </c>
      <c r="P2266">
        <v>60.08</v>
      </c>
      <c r="S2266" s="74">
        <v>33332</v>
      </c>
      <c r="T2266" s="77">
        <v>0.66666666666666663</v>
      </c>
      <c r="V2266">
        <v>51.980000000000004</v>
      </c>
      <c r="X2266" s="42"/>
      <c r="AB2266">
        <v>52.2</v>
      </c>
      <c r="AC2266">
        <v>53.06</v>
      </c>
      <c r="AE2266" s="74"/>
      <c r="AF2266" s="77"/>
      <c r="AH2266" s="497">
        <v>64.94</v>
      </c>
      <c r="AJ2266" s="42"/>
      <c r="AK2266" s="74"/>
      <c r="AL2266" s="77"/>
      <c r="AN2266" s="497">
        <v>46.04</v>
      </c>
      <c r="AP2266" s="42"/>
      <c r="AQ2266" s="74"/>
      <c r="AR2266" s="77"/>
      <c r="AT2266" s="497">
        <v>48.92</v>
      </c>
      <c r="AV2266" s="42"/>
      <c r="AW2266" s="74"/>
      <c r="AX2266" s="77"/>
      <c r="BA2266" s="497">
        <v>48.019999999999996</v>
      </c>
      <c r="BB2266" s="42"/>
      <c r="BC2266" s="74"/>
      <c r="BD2266" s="77"/>
      <c r="BF2266">
        <v>39.019999999999996</v>
      </c>
      <c r="BH2266" s="42"/>
      <c r="BI2266" s="74"/>
      <c r="BJ2266" s="77"/>
      <c r="BL2266" s="497">
        <v>35.96</v>
      </c>
      <c r="BN2266" s="42"/>
      <c r="BO2266" s="74"/>
      <c r="BP2266" s="77"/>
      <c r="BR2266" s="497">
        <v>48.92</v>
      </c>
      <c r="BT2266" s="42"/>
    </row>
    <row r="2267" spans="1:72" x14ac:dyDescent="0.25">
      <c r="A2267" s="90">
        <v>33332</v>
      </c>
      <c r="B2267" s="20">
        <v>0.70833333333333337</v>
      </c>
      <c r="D2267">
        <v>59</v>
      </c>
      <c r="E2267" t="str">
        <f t="shared" si="106"/>
        <v>WEEKDAY</v>
      </c>
      <c r="F2267" t="e">
        <f t="shared" si="105"/>
        <v>#N/A</v>
      </c>
      <c r="G2267" s="74">
        <v>32967</v>
      </c>
      <c r="H2267" s="77">
        <v>0.70833333333333337</v>
      </c>
      <c r="J2267">
        <v>44.06</v>
      </c>
      <c r="M2267" s="74">
        <v>33332</v>
      </c>
      <c r="N2267" s="77">
        <v>0.70833333333333337</v>
      </c>
      <c r="P2267">
        <v>57.92</v>
      </c>
      <c r="S2267" s="74">
        <v>33332</v>
      </c>
      <c r="T2267" s="77">
        <v>0.70833333333333337</v>
      </c>
      <c r="V2267">
        <v>50</v>
      </c>
      <c r="X2267" s="42"/>
      <c r="AB2267">
        <v>51.7</v>
      </c>
      <c r="AC2267">
        <v>51.08</v>
      </c>
      <c r="AE2267" s="74"/>
      <c r="AF2267" s="77"/>
      <c r="AH2267" s="497">
        <v>64.94</v>
      </c>
      <c r="AJ2267" s="42"/>
      <c r="AK2267" s="74"/>
      <c r="AL2267" s="77"/>
      <c r="AN2267" s="497">
        <v>46.04</v>
      </c>
      <c r="AP2267" s="42"/>
      <c r="AQ2267" s="74"/>
      <c r="AR2267" s="77"/>
      <c r="AT2267" s="497">
        <v>50</v>
      </c>
      <c r="AV2267" s="42"/>
      <c r="AW2267" s="74"/>
      <c r="AX2267" s="77"/>
      <c r="BA2267" s="497">
        <v>46.94</v>
      </c>
      <c r="BB2267" s="42"/>
      <c r="BC2267" s="74"/>
      <c r="BD2267" s="77"/>
      <c r="BF2267">
        <v>37.04</v>
      </c>
      <c r="BH2267" s="42"/>
      <c r="BI2267" s="74"/>
      <c r="BJ2267" s="77"/>
      <c r="BL2267" s="497">
        <v>35.06</v>
      </c>
      <c r="BN2267" s="42"/>
      <c r="BO2267" s="74"/>
      <c r="BP2267" s="77"/>
      <c r="BR2267" s="497">
        <v>46.94</v>
      </c>
      <c r="BT2267" s="42"/>
    </row>
    <row r="2268" spans="1:72" x14ac:dyDescent="0.25">
      <c r="A2268" s="90">
        <v>33332</v>
      </c>
      <c r="B2268" s="20">
        <v>0.75</v>
      </c>
      <c r="D2268">
        <v>57.019999999999996</v>
      </c>
      <c r="E2268" t="str">
        <f t="shared" si="106"/>
        <v>WEEKDAY</v>
      </c>
      <c r="F2268" t="e">
        <f t="shared" si="105"/>
        <v>#N/A</v>
      </c>
      <c r="G2268" s="74">
        <v>32967</v>
      </c>
      <c r="H2268" s="77">
        <v>0.75</v>
      </c>
      <c r="J2268">
        <v>42.980000000000004</v>
      </c>
      <c r="M2268" s="74">
        <v>33332</v>
      </c>
      <c r="N2268" s="77">
        <v>0.75</v>
      </c>
      <c r="P2268">
        <v>53.06</v>
      </c>
      <c r="S2268" s="74">
        <v>33332</v>
      </c>
      <c r="T2268" s="77">
        <v>0.75</v>
      </c>
      <c r="V2268">
        <v>46.94</v>
      </c>
      <c r="X2268" s="42"/>
      <c r="AB2268">
        <v>50.6</v>
      </c>
      <c r="AC2268">
        <v>48.019999999999996</v>
      </c>
      <c r="AE2268" s="74"/>
      <c r="AF2268" s="77"/>
      <c r="AH2268" s="497">
        <v>60.980000000000004</v>
      </c>
      <c r="AJ2268" s="42"/>
      <c r="AK2268" s="74"/>
      <c r="AL2268" s="77"/>
      <c r="AN2268" s="497">
        <v>46.94</v>
      </c>
      <c r="AP2268" s="42"/>
      <c r="AQ2268" s="74"/>
      <c r="AR2268" s="77"/>
      <c r="AT2268" s="497">
        <v>46.94</v>
      </c>
      <c r="AV2268" s="42"/>
      <c r="AW2268" s="74"/>
      <c r="AX2268" s="77"/>
      <c r="BA2268" s="497">
        <v>46.04</v>
      </c>
      <c r="BB2268" s="42"/>
      <c r="BC2268" s="74"/>
      <c r="BD2268" s="77"/>
      <c r="BF2268">
        <v>35.96</v>
      </c>
      <c r="BH2268" s="42"/>
      <c r="BI2268" s="74"/>
      <c r="BJ2268" s="77"/>
      <c r="BL2268" s="497">
        <v>35.06</v>
      </c>
      <c r="BN2268" s="42"/>
      <c r="BO2268" s="74"/>
      <c r="BP2268" s="77"/>
      <c r="BR2268" s="497">
        <v>44.06</v>
      </c>
      <c r="BT2268" s="42"/>
    </row>
    <row r="2269" spans="1:72" x14ac:dyDescent="0.25">
      <c r="A2269" s="90">
        <v>33332</v>
      </c>
      <c r="B2269" s="20">
        <v>0.79166666666666663</v>
      </c>
      <c r="D2269">
        <v>55.040000000000006</v>
      </c>
      <c r="E2269" t="str">
        <f t="shared" si="106"/>
        <v>WEEKDAY</v>
      </c>
      <c r="F2269" t="e">
        <f t="shared" si="105"/>
        <v>#N/A</v>
      </c>
      <c r="G2269" s="74">
        <v>32967</v>
      </c>
      <c r="H2269" s="77">
        <v>0.79166666666666663</v>
      </c>
      <c r="J2269">
        <v>42.08</v>
      </c>
      <c r="M2269" s="74">
        <v>33332</v>
      </c>
      <c r="N2269" s="77">
        <v>0.79166666666666663</v>
      </c>
      <c r="P2269">
        <v>48.92</v>
      </c>
      <c r="S2269" s="74">
        <v>33332</v>
      </c>
      <c r="T2269" s="77">
        <v>0.79166666666666663</v>
      </c>
      <c r="V2269">
        <v>46.94</v>
      </c>
      <c r="X2269" s="42"/>
      <c r="AB2269">
        <v>49.2</v>
      </c>
      <c r="AC2269">
        <v>46.04</v>
      </c>
      <c r="AE2269" s="74"/>
      <c r="AF2269" s="77"/>
      <c r="AH2269" s="497">
        <v>60.08</v>
      </c>
      <c r="AJ2269" s="42"/>
      <c r="AK2269" s="74"/>
      <c r="AL2269" s="77"/>
      <c r="AN2269" s="497">
        <v>44.06</v>
      </c>
      <c r="AP2269" s="42"/>
      <c r="AQ2269" s="74"/>
      <c r="AR2269" s="77"/>
      <c r="AT2269" s="497">
        <v>42.980000000000004</v>
      </c>
      <c r="AV2269" s="42"/>
      <c r="AW2269" s="74"/>
      <c r="AX2269" s="77"/>
      <c r="BA2269" s="497">
        <v>44.96</v>
      </c>
      <c r="BB2269" s="42"/>
      <c r="BC2269" s="74"/>
      <c r="BD2269" s="77"/>
      <c r="BF2269">
        <v>35.06</v>
      </c>
      <c r="BH2269" s="42"/>
      <c r="BI2269" s="74"/>
      <c r="BJ2269" s="77"/>
      <c r="BL2269" s="497">
        <v>33.08</v>
      </c>
      <c r="BN2269" s="42"/>
      <c r="BO2269" s="74"/>
      <c r="BP2269" s="77"/>
      <c r="BR2269" s="497">
        <v>42.980000000000004</v>
      </c>
      <c r="BT2269" s="42"/>
    </row>
    <row r="2270" spans="1:72" x14ac:dyDescent="0.25">
      <c r="A2270" s="90">
        <v>33332</v>
      </c>
      <c r="B2270" s="20">
        <v>0.83333333333333337</v>
      </c>
      <c r="D2270">
        <v>55.040000000000006</v>
      </c>
      <c r="E2270" t="str">
        <f t="shared" si="106"/>
        <v>WEEKDAY</v>
      </c>
      <c r="F2270" t="e">
        <f t="shared" si="105"/>
        <v>#N/A</v>
      </c>
      <c r="G2270" s="74">
        <v>32967</v>
      </c>
      <c r="H2270" s="77">
        <v>0.83333333333333337</v>
      </c>
      <c r="J2270">
        <v>42.08</v>
      </c>
      <c r="M2270" s="74">
        <v>33332</v>
      </c>
      <c r="N2270" s="77">
        <v>0.83333333333333337</v>
      </c>
      <c r="P2270">
        <v>48.019999999999996</v>
      </c>
      <c r="S2270" s="74">
        <v>33332</v>
      </c>
      <c r="T2270" s="77">
        <v>0.83333333333333337</v>
      </c>
      <c r="V2270">
        <v>46.94</v>
      </c>
      <c r="X2270" s="42"/>
      <c r="AB2270">
        <v>48.1</v>
      </c>
      <c r="AC2270">
        <v>46.04</v>
      </c>
      <c r="AE2270" s="74"/>
      <c r="AF2270" s="77"/>
      <c r="AH2270" s="497">
        <v>55.94</v>
      </c>
      <c r="AJ2270" s="42"/>
      <c r="AK2270" s="74"/>
      <c r="AL2270" s="77"/>
      <c r="AN2270" s="497">
        <v>44.06</v>
      </c>
      <c r="AP2270" s="42"/>
      <c r="AQ2270" s="74"/>
      <c r="AR2270" s="77"/>
      <c r="AT2270" s="497">
        <v>39.019999999999996</v>
      </c>
      <c r="AV2270" s="42"/>
      <c r="AW2270" s="74"/>
      <c r="AX2270" s="77"/>
      <c r="BA2270" s="497">
        <v>42.980000000000004</v>
      </c>
      <c r="BB2270" s="42"/>
      <c r="BC2270" s="74"/>
      <c r="BD2270" s="77"/>
      <c r="BF2270">
        <v>35.96</v>
      </c>
      <c r="BH2270" s="42"/>
      <c r="BI2270" s="74"/>
      <c r="BJ2270" s="77"/>
      <c r="BL2270" s="497">
        <v>32</v>
      </c>
      <c r="BN2270" s="42"/>
      <c r="BO2270" s="74"/>
      <c r="BP2270" s="77"/>
      <c r="BR2270" s="497">
        <v>42.980000000000004</v>
      </c>
      <c r="BT2270" s="42"/>
    </row>
    <row r="2271" spans="1:72" x14ac:dyDescent="0.25">
      <c r="A2271" s="90">
        <v>33332</v>
      </c>
      <c r="B2271" s="20">
        <v>0.875</v>
      </c>
      <c r="D2271">
        <v>53.96</v>
      </c>
      <c r="E2271" t="str">
        <f t="shared" si="106"/>
        <v>WEEKDAY</v>
      </c>
      <c r="F2271" t="e">
        <f t="shared" si="105"/>
        <v>#N/A</v>
      </c>
      <c r="G2271" s="74">
        <v>32967</v>
      </c>
      <c r="H2271" s="77">
        <v>0.875</v>
      </c>
      <c r="J2271">
        <v>42.08</v>
      </c>
      <c r="M2271" s="74">
        <v>33332</v>
      </c>
      <c r="N2271" s="77">
        <v>0.875</v>
      </c>
      <c r="P2271">
        <v>46.94</v>
      </c>
      <c r="S2271" s="74">
        <v>33332</v>
      </c>
      <c r="T2271" s="77">
        <v>0.875</v>
      </c>
      <c r="V2271">
        <v>46.94</v>
      </c>
      <c r="X2271" s="42"/>
      <c r="AB2271">
        <v>47.5</v>
      </c>
      <c r="AC2271">
        <v>46.04</v>
      </c>
      <c r="AE2271" s="74"/>
      <c r="AF2271" s="77"/>
      <c r="AH2271" s="497">
        <v>51.980000000000004</v>
      </c>
      <c r="AJ2271" s="42"/>
      <c r="AK2271" s="74"/>
      <c r="AL2271" s="77"/>
      <c r="AN2271" s="497">
        <v>42.08</v>
      </c>
      <c r="AP2271" s="42"/>
      <c r="AQ2271" s="74"/>
      <c r="AR2271" s="77"/>
      <c r="AT2271" s="497">
        <v>35.96</v>
      </c>
      <c r="AV2271" s="42"/>
      <c r="AW2271" s="74"/>
      <c r="AX2271" s="77"/>
      <c r="BA2271" s="497">
        <v>42.08</v>
      </c>
      <c r="BB2271" s="42"/>
      <c r="BC2271" s="74"/>
      <c r="BD2271" s="77"/>
      <c r="BF2271">
        <v>35.96</v>
      </c>
      <c r="BH2271" s="42"/>
      <c r="BI2271" s="74"/>
      <c r="BJ2271" s="77"/>
      <c r="BL2271" s="497">
        <v>32</v>
      </c>
      <c r="BN2271" s="42"/>
      <c r="BO2271" s="74"/>
      <c r="BP2271" s="77"/>
      <c r="BR2271" s="497">
        <v>42.980000000000004</v>
      </c>
      <c r="BT2271" s="42"/>
    </row>
    <row r="2272" spans="1:72" x14ac:dyDescent="0.25">
      <c r="A2272" s="90">
        <v>33332</v>
      </c>
      <c r="B2272" s="20">
        <v>0.91666666666666663</v>
      </c>
      <c r="D2272">
        <v>50</v>
      </c>
      <c r="E2272" t="str">
        <f t="shared" si="106"/>
        <v>WEEKDAY</v>
      </c>
      <c r="F2272" t="e">
        <f t="shared" si="105"/>
        <v>#N/A</v>
      </c>
      <c r="G2272" s="74">
        <v>32967</v>
      </c>
      <c r="H2272" s="77">
        <v>0.91666666666666663</v>
      </c>
      <c r="J2272">
        <v>42.08</v>
      </c>
      <c r="M2272" s="74">
        <v>33332</v>
      </c>
      <c r="N2272" s="77">
        <v>0.91666666666666663</v>
      </c>
      <c r="P2272">
        <v>46.04</v>
      </c>
      <c r="S2272" s="74">
        <v>33332</v>
      </c>
      <c r="T2272" s="77">
        <v>0.91666666666666663</v>
      </c>
      <c r="V2272">
        <v>48.019999999999996</v>
      </c>
      <c r="X2272" s="42"/>
      <c r="AB2272">
        <v>46.9</v>
      </c>
      <c r="AC2272">
        <v>46.04</v>
      </c>
      <c r="AE2272" s="74"/>
      <c r="AF2272" s="77"/>
      <c r="AH2272" s="497">
        <v>50</v>
      </c>
      <c r="AJ2272" s="42"/>
      <c r="AK2272" s="74"/>
      <c r="AL2272" s="77"/>
      <c r="AN2272" s="497">
        <v>39.019999999999996</v>
      </c>
      <c r="AP2272" s="42"/>
      <c r="AQ2272" s="74"/>
      <c r="AR2272" s="77"/>
      <c r="AT2272" s="497">
        <v>37.04</v>
      </c>
      <c r="AV2272" s="42"/>
      <c r="AW2272" s="74"/>
      <c r="AX2272" s="77"/>
      <c r="BA2272" s="497">
        <v>42.08</v>
      </c>
      <c r="BB2272" s="42"/>
      <c r="BC2272" s="74"/>
      <c r="BD2272" s="77"/>
      <c r="BF2272">
        <v>35.06</v>
      </c>
      <c r="BH2272" s="42"/>
      <c r="BI2272" s="74"/>
      <c r="BJ2272" s="77"/>
      <c r="BL2272" s="497">
        <v>32</v>
      </c>
      <c r="BN2272" s="42"/>
      <c r="BO2272" s="74"/>
      <c r="BP2272" s="77"/>
      <c r="BR2272" s="497">
        <v>42.08</v>
      </c>
      <c r="BT2272" s="42"/>
    </row>
    <row r="2273" spans="1:72" x14ac:dyDescent="0.25">
      <c r="A2273" s="90">
        <v>33332</v>
      </c>
      <c r="B2273" s="20">
        <v>0.95833333333333337</v>
      </c>
      <c r="D2273">
        <v>48.92</v>
      </c>
      <c r="E2273" t="str">
        <f t="shared" si="106"/>
        <v>WEEKDAY</v>
      </c>
      <c r="F2273" t="e">
        <f t="shared" si="105"/>
        <v>#N/A</v>
      </c>
      <c r="G2273" s="74">
        <v>32967</v>
      </c>
      <c r="H2273" s="77">
        <v>0.95833333333333337</v>
      </c>
      <c r="J2273">
        <v>42.980000000000004</v>
      </c>
      <c r="M2273" s="74">
        <v>33332</v>
      </c>
      <c r="N2273" s="77">
        <v>0.95833333333333337</v>
      </c>
      <c r="P2273">
        <v>46.04</v>
      </c>
      <c r="S2273" s="74">
        <v>33332</v>
      </c>
      <c r="T2273" s="77">
        <v>0.95833333333333337</v>
      </c>
      <c r="V2273">
        <v>44.96</v>
      </c>
      <c r="X2273" s="42"/>
      <c r="AB2273">
        <v>46.2</v>
      </c>
      <c r="AC2273">
        <v>46.04</v>
      </c>
      <c r="AE2273" s="74"/>
      <c r="AF2273" s="77"/>
      <c r="AH2273" s="497">
        <v>48.019999999999996</v>
      </c>
      <c r="AJ2273" s="42"/>
      <c r="AK2273" s="74"/>
      <c r="AL2273" s="77"/>
      <c r="AN2273" s="497">
        <v>37.04</v>
      </c>
      <c r="AP2273" s="42"/>
      <c r="AQ2273" s="74"/>
      <c r="AR2273" s="77"/>
      <c r="AT2273" s="497">
        <v>32</v>
      </c>
      <c r="AV2273" s="42"/>
      <c r="AW2273" s="74"/>
      <c r="AX2273" s="77"/>
      <c r="BA2273" s="497">
        <v>42.08</v>
      </c>
      <c r="BB2273" s="42"/>
      <c r="BC2273" s="74"/>
      <c r="BD2273" s="77"/>
      <c r="BF2273">
        <v>35.06</v>
      </c>
      <c r="BH2273" s="42"/>
      <c r="BI2273" s="74"/>
      <c r="BJ2273" s="77"/>
      <c r="BL2273" s="497">
        <v>30.2</v>
      </c>
      <c r="BN2273" s="42"/>
      <c r="BO2273" s="74"/>
      <c r="BP2273" s="77"/>
      <c r="BR2273" s="497">
        <v>41</v>
      </c>
      <c r="BT2273" s="42"/>
    </row>
    <row r="2274" spans="1:72" x14ac:dyDescent="0.25">
      <c r="A2274" s="90">
        <v>33332</v>
      </c>
      <c r="B2274" s="20">
        <v>1</v>
      </c>
      <c r="D2274">
        <v>48.019999999999996</v>
      </c>
      <c r="E2274" t="str">
        <f t="shared" si="106"/>
        <v>WEEKDAY</v>
      </c>
      <c r="F2274" t="e">
        <f t="shared" si="105"/>
        <v>#N/A</v>
      </c>
      <c r="G2274" s="74">
        <v>32967</v>
      </c>
      <c r="H2274" s="77">
        <v>1</v>
      </c>
      <c r="J2274">
        <v>44.96</v>
      </c>
      <c r="M2274" s="74">
        <v>33332</v>
      </c>
      <c r="N2274" s="80">
        <v>1</v>
      </c>
      <c r="P2274">
        <v>46.04</v>
      </c>
      <c r="S2274" s="74">
        <v>33332</v>
      </c>
      <c r="T2274" s="80">
        <v>1</v>
      </c>
      <c r="V2274">
        <v>44.96</v>
      </c>
      <c r="X2274" s="42"/>
      <c r="AB2274">
        <v>45.6</v>
      </c>
      <c r="AC2274">
        <v>44.96</v>
      </c>
      <c r="AE2274" s="74"/>
      <c r="AF2274" s="80"/>
      <c r="AH2274" s="497">
        <v>41</v>
      </c>
      <c r="AJ2274" s="42"/>
      <c r="AK2274" s="74"/>
      <c r="AL2274" s="80"/>
      <c r="AN2274" s="497">
        <v>35.06</v>
      </c>
      <c r="AP2274" s="42"/>
      <c r="AQ2274" s="74"/>
      <c r="AR2274" s="80"/>
      <c r="AT2274" s="497">
        <v>30.02</v>
      </c>
      <c r="AV2274" s="42"/>
      <c r="AW2274" s="74"/>
      <c r="AX2274" s="80"/>
      <c r="BA2274" s="497">
        <v>42.08</v>
      </c>
      <c r="BB2274" s="42"/>
      <c r="BC2274" s="74"/>
      <c r="BD2274" s="80"/>
      <c r="BF2274">
        <v>33.979999999999997</v>
      </c>
      <c r="BH2274" s="42"/>
      <c r="BI2274" s="74"/>
      <c r="BJ2274" s="80"/>
      <c r="BL2274" s="497">
        <v>30.02</v>
      </c>
      <c r="BN2274" s="42"/>
      <c r="BO2274" s="74"/>
      <c r="BP2274" s="80"/>
      <c r="BR2274" s="497">
        <v>41</v>
      </c>
      <c r="BT2274" s="42"/>
    </row>
    <row r="2275" spans="1:72" x14ac:dyDescent="0.25">
      <c r="A2275" s="90">
        <v>33333</v>
      </c>
      <c r="B2275" s="20">
        <v>4.1666666666666664E-2</v>
      </c>
      <c r="D2275">
        <v>46.94</v>
      </c>
      <c r="E2275" t="str">
        <f t="shared" si="106"/>
        <v>WEEKDAY</v>
      </c>
      <c r="F2275" t="e">
        <f t="shared" si="105"/>
        <v>#N/A</v>
      </c>
      <c r="G2275" s="74">
        <v>32968</v>
      </c>
      <c r="H2275" s="77">
        <v>4.1666666666666664E-2</v>
      </c>
      <c r="J2275">
        <v>44.96</v>
      </c>
      <c r="M2275" s="74">
        <v>33333</v>
      </c>
      <c r="N2275" s="77">
        <v>4.1666666666666664E-2</v>
      </c>
      <c r="P2275">
        <v>42.980000000000004</v>
      </c>
      <c r="S2275" s="74">
        <v>33333</v>
      </c>
      <c r="T2275" s="77">
        <v>4.1666666666666664E-2</v>
      </c>
      <c r="V2275">
        <v>44.06</v>
      </c>
      <c r="X2275" s="42"/>
      <c r="AB2275">
        <v>44.9</v>
      </c>
      <c r="AC2275">
        <v>44.96</v>
      </c>
      <c r="AE2275" s="74"/>
      <c r="AF2275" s="77"/>
      <c r="AH2275" s="497">
        <v>39.92</v>
      </c>
      <c r="AJ2275" s="42"/>
      <c r="AK2275" s="74"/>
      <c r="AL2275" s="77"/>
      <c r="AN2275" s="497">
        <v>35.06</v>
      </c>
      <c r="AP2275" s="42"/>
      <c r="AQ2275" s="74"/>
      <c r="AR2275" s="77"/>
      <c r="AT2275" s="497">
        <v>28.04</v>
      </c>
      <c r="AV2275" s="42"/>
      <c r="AW2275" s="74"/>
      <c r="AX2275" s="77"/>
      <c r="BA2275" s="497">
        <v>44.96</v>
      </c>
      <c r="BB2275" s="42"/>
      <c r="BC2275" s="74"/>
      <c r="BD2275" s="77"/>
      <c r="BF2275">
        <v>33.979999999999997</v>
      </c>
      <c r="BH2275" s="42"/>
      <c r="BI2275" s="74"/>
      <c r="BJ2275" s="77"/>
      <c r="BL2275" s="497">
        <v>28.94</v>
      </c>
      <c r="BN2275" s="42"/>
      <c r="BO2275" s="74"/>
      <c r="BP2275" s="77"/>
      <c r="BR2275" s="497">
        <v>37.04</v>
      </c>
      <c r="BT2275" s="42"/>
    </row>
    <row r="2276" spans="1:72" x14ac:dyDescent="0.25">
      <c r="A2276" s="90">
        <v>33333</v>
      </c>
      <c r="B2276" s="20">
        <v>8.3333333333333329E-2</v>
      </c>
      <c r="D2276">
        <v>46.04</v>
      </c>
      <c r="E2276" t="str">
        <f t="shared" si="106"/>
        <v>WEEKDAY</v>
      </c>
      <c r="F2276" t="e">
        <f t="shared" si="105"/>
        <v>#N/A</v>
      </c>
      <c r="G2276" s="74">
        <v>32968</v>
      </c>
      <c r="H2276" s="77">
        <v>8.3333333333333329E-2</v>
      </c>
      <c r="J2276">
        <v>46.04</v>
      </c>
      <c r="M2276" s="74">
        <v>33333</v>
      </c>
      <c r="N2276" s="77">
        <v>8.3333333333333329E-2</v>
      </c>
      <c r="P2276">
        <v>42.08</v>
      </c>
      <c r="S2276" s="74">
        <v>33333</v>
      </c>
      <c r="T2276" s="77">
        <v>8.3333333333333329E-2</v>
      </c>
      <c r="V2276">
        <v>44.06</v>
      </c>
      <c r="X2276" s="42"/>
      <c r="AB2276">
        <v>44.3</v>
      </c>
      <c r="AC2276">
        <v>44.06</v>
      </c>
      <c r="AE2276" s="74"/>
      <c r="AF2276" s="77"/>
      <c r="AH2276" s="497">
        <v>37.94</v>
      </c>
      <c r="AJ2276" s="42"/>
      <c r="AK2276" s="74"/>
      <c r="AL2276" s="77"/>
      <c r="AN2276" s="497">
        <v>33.979999999999997</v>
      </c>
      <c r="AP2276" s="42"/>
      <c r="AQ2276" s="74"/>
      <c r="AR2276" s="77"/>
      <c r="AT2276" s="497">
        <v>26.060000000000002</v>
      </c>
      <c r="AV2276" s="42"/>
      <c r="AW2276" s="74"/>
      <c r="AX2276" s="77"/>
      <c r="BA2276" s="497">
        <v>46.04</v>
      </c>
      <c r="BB2276" s="42"/>
      <c r="BC2276" s="74"/>
      <c r="BD2276" s="77"/>
      <c r="BF2276">
        <v>33.979999999999997</v>
      </c>
      <c r="BH2276" s="42"/>
      <c r="BI2276" s="74"/>
      <c r="BJ2276" s="77"/>
      <c r="BL2276" s="497">
        <v>30.02</v>
      </c>
      <c r="BN2276" s="42"/>
      <c r="BO2276" s="74"/>
      <c r="BP2276" s="77"/>
      <c r="BR2276" s="497">
        <v>35.06</v>
      </c>
      <c r="BT2276" s="42"/>
    </row>
    <row r="2277" spans="1:72" x14ac:dyDescent="0.25">
      <c r="A2277" s="90">
        <v>33333</v>
      </c>
      <c r="B2277" s="20">
        <v>0.125</v>
      </c>
      <c r="D2277">
        <v>44.96</v>
      </c>
      <c r="E2277" t="str">
        <f t="shared" si="106"/>
        <v>WEEKDAY</v>
      </c>
      <c r="F2277" t="e">
        <f t="shared" si="105"/>
        <v>#N/A</v>
      </c>
      <c r="G2277" s="74">
        <v>32968</v>
      </c>
      <c r="H2277" s="77">
        <v>0.125</v>
      </c>
      <c r="J2277">
        <v>44.96</v>
      </c>
      <c r="M2277" s="74">
        <v>33333</v>
      </c>
      <c r="N2277" s="77">
        <v>0.125</v>
      </c>
      <c r="P2277">
        <v>44.06</v>
      </c>
      <c r="S2277" s="74">
        <v>33333</v>
      </c>
      <c r="T2277" s="77">
        <v>0.125</v>
      </c>
      <c r="V2277">
        <v>44.06</v>
      </c>
      <c r="X2277" s="42"/>
      <c r="AB2277">
        <v>43.8</v>
      </c>
      <c r="AC2277">
        <v>44.96</v>
      </c>
      <c r="AE2277" s="74"/>
      <c r="AF2277" s="77"/>
      <c r="AH2277" s="497">
        <v>37.94</v>
      </c>
      <c r="AJ2277" s="42"/>
      <c r="AK2277" s="74"/>
      <c r="AL2277" s="77"/>
      <c r="AN2277" s="497">
        <v>33.979999999999997</v>
      </c>
      <c r="AP2277" s="42"/>
      <c r="AQ2277" s="74"/>
      <c r="AR2277" s="77"/>
      <c r="AT2277" s="497">
        <v>26.96</v>
      </c>
      <c r="AV2277" s="42"/>
      <c r="AW2277" s="74"/>
      <c r="AX2277" s="77"/>
      <c r="BA2277" s="497">
        <v>48.92</v>
      </c>
      <c r="BB2277" s="42"/>
      <c r="BC2277" s="74"/>
      <c r="BD2277" s="77"/>
      <c r="BF2277">
        <v>35.96</v>
      </c>
      <c r="BH2277" s="42"/>
      <c r="BI2277" s="74"/>
      <c r="BJ2277" s="77"/>
      <c r="BL2277" s="497">
        <v>28.94</v>
      </c>
      <c r="BN2277" s="42"/>
      <c r="BO2277" s="74"/>
      <c r="BP2277" s="77"/>
      <c r="BR2277" s="497">
        <v>35.06</v>
      </c>
      <c r="BT2277" s="42"/>
    </row>
    <row r="2278" spans="1:72" x14ac:dyDescent="0.25">
      <c r="A2278" s="90">
        <v>33333</v>
      </c>
      <c r="B2278" s="20">
        <v>0.16666666666666666</v>
      </c>
      <c r="D2278">
        <v>44.06</v>
      </c>
      <c r="E2278" t="str">
        <f t="shared" si="106"/>
        <v>WEEKDAY</v>
      </c>
      <c r="F2278" t="e">
        <f t="shared" si="105"/>
        <v>#N/A</v>
      </c>
      <c r="G2278" s="74">
        <v>32968</v>
      </c>
      <c r="H2278" s="77">
        <v>0.16666666666666666</v>
      </c>
      <c r="J2278">
        <v>44.96</v>
      </c>
      <c r="M2278" s="74">
        <v>33333</v>
      </c>
      <c r="N2278" s="77">
        <v>0.16666666666666666</v>
      </c>
      <c r="P2278">
        <v>44.06</v>
      </c>
      <c r="S2278" s="74">
        <v>33333</v>
      </c>
      <c r="T2278" s="77">
        <v>0.16666666666666666</v>
      </c>
      <c r="V2278">
        <v>42.980000000000004</v>
      </c>
      <c r="X2278" s="42"/>
      <c r="AB2278">
        <v>43.3</v>
      </c>
      <c r="AC2278">
        <v>44.06</v>
      </c>
      <c r="AE2278" s="74"/>
      <c r="AF2278" s="77"/>
      <c r="AH2278" s="497">
        <v>37.94</v>
      </c>
      <c r="AJ2278" s="42"/>
      <c r="AK2278" s="74"/>
      <c r="AL2278" s="77"/>
      <c r="AN2278" s="497">
        <v>32</v>
      </c>
      <c r="AP2278" s="42"/>
      <c r="AQ2278" s="74"/>
      <c r="AR2278" s="77"/>
      <c r="AT2278" s="497">
        <v>26.060000000000002</v>
      </c>
      <c r="AV2278" s="42"/>
      <c r="AW2278" s="74"/>
      <c r="AX2278" s="77"/>
      <c r="BA2278" s="497">
        <v>44.96</v>
      </c>
      <c r="BB2278" s="42"/>
      <c r="BC2278" s="74"/>
      <c r="BD2278" s="77"/>
      <c r="BF2278">
        <v>35.96</v>
      </c>
      <c r="BH2278" s="42"/>
      <c r="BI2278" s="74"/>
      <c r="BJ2278" s="77"/>
      <c r="BL2278" s="497">
        <v>28.94</v>
      </c>
      <c r="BN2278" s="42"/>
      <c r="BO2278" s="74"/>
      <c r="BP2278" s="77"/>
      <c r="BR2278" s="497">
        <v>33.979999999999997</v>
      </c>
      <c r="BT2278" s="42"/>
    </row>
    <row r="2279" spans="1:72" x14ac:dyDescent="0.25">
      <c r="A2279" s="90">
        <v>33333</v>
      </c>
      <c r="B2279" s="20">
        <v>0.20833333333333334</v>
      </c>
      <c r="D2279">
        <v>42.980000000000004</v>
      </c>
      <c r="E2279" t="str">
        <f t="shared" si="106"/>
        <v>WEEKDAY</v>
      </c>
      <c r="F2279" t="e">
        <f t="shared" si="105"/>
        <v>#N/A</v>
      </c>
      <c r="G2279" s="74">
        <v>32968</v>
      </c>
      <c r="H2279" s="77">
        <v>0.20833333333333334</v>
      </c>
      <c r="J2279">
        <v>44.06</v>
      </c>
      <c r="M2279" s="74">
        <v>33333</v>
      </c>
      <c r="N2279" s="77">
        <v>0.20833333333333334</v>
      </c>
      <c r="P2279">
        <v>44.06</v>
      </c>
      <c r="S2279" s="74">
        <v>33333</v>
      </c>
      <c r="T2279" s="77">
        <v>0.20833333333333334</v>
      </c>
      <c r="V2279">
        <v>42.980000000000004</v>
      </c>
      <c r="X2279" s="42"/>
      <c r="AB2279">
        <v>42.8</v>
      </c>
      <c r="AC2279">
        <v>44.96</v>
      </c>
      <c r="AE2279" s="74"/>
      <c r="AF2279" s="77"/>
      <c r="AH2279" s="497">
        <v>44.96</v>
      </c>
      <c r="AJ2279" s="42"/>
      <c r="AK2279" s="74"/>
      <c r="AL2279" s="77"/>
      <c r="AN2279" s="497">
        <v>33.08</v>
      </c>
      <c r="AP2279" s="42"/>
      <c r="AQ2279" s="74"/>
      <c r="AR2279" s="77"/>
      <c r="AT2279" s="497">
        <v>24.98</v>
      </c>
      <c r="AV2279" s="42"/>
      <c r="AW2279" s="74"/>
      <c r="AX2279" s="77"/>
      <c r="BA2279" s="497">
        <v>42.08</v>
      </c>
      <c r="BB2279" s="42"/>
      <c r="BC2279" s="74"/>
      <c r="BD2279" s="77"/>
      <c r="BF2279">
        <v>35.06</v>
      </c>
      <c r="BH2279" s="42"/>
      <c r="BI2279" s="74"/>
      <c r="BJ2279" s="77"/>
      <c r="BL2279" s="497">
        <v>28.04</v>
      </c>
      <c r="BN2279" s="42"/>
      <c r="BO2279" s="74"/>
      <c r="BP2279" s="77"/>
      <c r="BR2279" s="497">
        <v>33.979999999999997</v>
      </c>
      <c r="BT2279" s="42"/>
    </row>
    <row r="2280" spans="1:72" x14ac:dyDescent="0.25">
      <c r="A2280" s="90">
        <v>33333</v>
      </c>
      <c r="B2280" s="20">
        <v>0.25</v>
      </c>
      <c r="D2280">
        <v>44.06</v>
      </c>
      <c r="E2280" t="str">
        <f t="shared" si="106"/>
        <v>WEEKDAY</v>
      </c>
      <c r="F2280" t="e">
        <f t="shared" si="105"/>
        <v>#N/A</v>
      </c>
      <c r="G2280" s="74">
        <v>32968</v>
      </c>
      <c r="H2280" s="77">
        <v>0.25</v>
      </c>
      <c r="J2280">
        <v>44.96</v>
      </c>
      <c r="M2280" s="74">
        <v>33333</v>
      </c>
      <c r="N2280" s="77">
        <v>0.25</v>
      </c>
      <c r="P2280">
        <v>42.980000000000004</v>
      </c>
      <c r="S2280" s="74">
        <v>33333</v>
      </c>
      <c r="T2280" s="77">
        <v>0.25</v>
      </c>
      <c r="V2280">
        <v>44.06</v>
      </c>
      <c r="X2280" s="42"/>
      <c r="AB2280">
        <v>42.7</v>
      </c>
      <c r="AC2280">
        <v>44.96</v>
      </c>
      <c r="AE2280" s="74"/>
      <c r="AF2280" s="77"/>
      <c r="AH2280" s="497">
        <v>42.08</v>
      </c>
      <c r="AJ2280" s="42"/>
      <c r="AK2280" s="74"/>
      <c r="AL2280" s="77"/>
      <c r="AN2280" s="497">
        <v>33.08</v>
      </c>
      <c r="AP2280" s="42"/>
      <c r="AQ2280" s="74"/>
      <c r="AR2280" s="77"/>
      <c r="AT2280" s="497">
        <v>24.98</v>
      </c>
      <c r="AV2280" s="42"/>
      <c r="AW2280" s="74"/>
      <c r="AX2280" s="77"/>
      <c r="BA2280" s="497">
        <v>42.980000000000004</v>
      </c>
      <c r="BB2280" s="42"/>
      <c r="BC2280" s="74"/>
      <c r="BD2280" s="77"/>
      <c r="BF2280">
        <v>33.979999999999997</v>
      </c>
      <c r="BH2280" s="42"/>
      <c r="BI2280" s="74"/>
      <c r="BJ2280" s="77"/>
      <c r="BL2280" s="497">
        <v>28.04</v>
      </c>
      <c r="BN2280" s="42"/>
      <c r="BO2280" s="74"/>
      <c r="BP2280" s="77"/>
      <c r="BR2280" s="497">
        <v>33.979999999999997</v>
      </c>
      <c r="BT2280" s="42"/>
    </row>
    <row r="2281" spans="1:72" x14ac:dyDescent="0.25">
      <c r="A2281" s="90">
        <v>33333</v>
      </c>
      <c r="B2281" s="20">
        <v>0.29166666666666669</v>
      </c>
      <c r="D2281">
        <v>46.04</v>
      </c>
      <c r="E2281" t="str">
        <f t="shared" si="106"/>
        <v>WEEKDAY</v>
      </c>
      <c r="F2281" t="e">
        <f t="shared" si="105"/>
        <v>#N/A</v>
      </c>
      <c r="G2281" s="74">
        <v>32968</v>
      </c>
      <c r="H2281" s="77">
        <v>0.29166666666666669</v>
      </c>
      <c r="J2281">
        <v>46.04</v>
      </c>
      <c r="M2281" s="74">
        <v>33333</v>
      </c>
      <c r="N2281" s="77">
        <v>0.29166666666666669</v>
      </c>
      <c r="P2281">
        <v>44.96</v>
      </c>
      <c r="S2281" s="74">
        <v>33333</v>
      </c>
      <c r="T2281" s="77">
        <v>0.29166666666666669</v>
      </c>
      <c r="V2281">
        <v>46.94</v>
      </c>
      <c r="X2281" s="42"/>
      <c r="AB2281">
        <v>42.6</v>
      </c>
      <c r="AC2281">
        <v>48.019999999999996</v>
      </c>
      <c r="AE2281" s="74"/>
      <c r="AF2281" s="77"/>
      <c r="AH2281" s="497">
        <v>46.04</v>
      </c>
      <c r="AJ2281" s="42"/>
      <c r="AK2281" s="74"/>
      <c r="AL2281" s="77"/>
      <c r="AN2281" s="497">
        <v>33.08</v>
      </c>
      <c r="AP2281" s="42"/>
      <c r="AQ2281" s="74"/>
      <c r="AR2281" s="77"/>
      <c r="AT2281" s="497">
        <v>30.92</v>
      </c>
      <c r="AV2281" s="42"/>
      <c r="AW2281" s="74"/>
      <c r="AX2281" s="77"/>
      <c r="BA2281" s="497">
        <v>42.980000000000004</v>
      </c>
      <c r="BB2281" s="42"/>
      <c r="BC2281" s="74"/>
      <c r="BD2281" s="77"/>
      <c r="BF2281">
        <v>35.06</v>
      </c>
      <c r="BH2281" s="42"/>
      <c r="BI2281" s="74"/>
      <c r="BJ2281" s="77"/>
      <c r="BL2281" s="497">
        <v>28.04</v>
      </c>
      <c r="BN2281" s="42"/>
      <c r="BO2281" s="74"/>
      <c r="BP2281" s="77"/>
      <c r="BR2281" s="497">
        <v>35.06</v>
      </c>
      <c r="BT2281" s="42"/>
    </row>
    <row r="2282" spans="1:72" x14ac:dyDescent="0.25">
      <c r="A2282" s="90">
        <v>33333</v>
      </c>
      <c r="B2282" s="20">
        <v>0.33333333333333331</v>
      </c>
      <c r="D2282">
        <v>51.980000000000004</v>
      </c>
      <c r="E2282" t="str">
        <f t="shared" si="106"/>
        <v>WEEKDAY</v>
      </c>
      <c r="F2282" t="e">
        <f t="shared" si="105"/>
        <v>#N/A</v>
      </c>
      <c r="G2282" s="74">
        <v>32968</v>
      </c>
      <c r="H2282" s="77">
        <v>0.33333333333333331</v>
      </c>
      <c r="J2282">
        <v>46.04</v>
      </c>
      <c r="M2282" s="74">
        <v>33333</v>
      </c>
      <c r="N2282" s="77">
        <v>0.33333333333333331</v>
      </c>
      <c r="P2282">
        <v>48.019999999999996</v>
      </c>
      <c r="S2282" s="74">
        <v>33333</v>
      </c>
      <c r="T2282" s="77">
        <v>0.33333333333333331</v>
      </c>
      <c r="V2282">
        <v>48.92</v>
      </c>
      <c r="X2282" s="42"/>
      <c r="AB2282">
        <v>44.2</v>
      </c>
      <c r="AC2282">
        <v>50</v>
      </c>
      <c r="AE2282" s="74"/>
      <c r="AF2282" s="77"/>
      <c r="AH2282" s="497">
        <v>50</v>
      </c>
      <c r="AJ2282" s="42"/>
      <c r="AK2282" s="74"/>
      <c r="AL2282" s="77"/>
      <c r="AN2282" s="497">
        <v>33.08</v>
      </c>
      <c r="AP2282" s="42"/>
      <c r="AQ2282" s="74"/>
      <c r="AR2282" s="77"/>
      <c r="AT2282" s="497">
        <v>39.019999999999996</v>
      </c>
      <c r="AV2282" s="42"/>
      <c r="AW2282" s="74"/>
      <c r="AX2282" s="77"/>
      <c r="BA2282" s="497">
        <v>44.96</v>
      </c>
      <c r="BB2282" s="42"/>
      <c r="BC2282" s="74"/>
      <c r="BD2282" s="77"/>
      <c r="BF2282">
        <v>37.94</v>
      </c>
      <c r="BH2282" s="42"/>
      <c r="BI2282" s="74"/>
      <c r="BJ2282" s="77"/>
      <c r="BL2282" s="497">
        <v>28.94</v>
      </c>
      <c r="BN2282" s="42"/>
      <c r="BO2282" s="74"/>
      <c r="BP2282" s="77"/>
      <c r="BR2282" s="497">
        <v>37.04</v>
      </c>
      <c r="BT2282" s="42"/>
    </row>
    <row r="2283" spans="1:72" x14ac:dyDescent="0.25">
      <c r="A2283" s="90">
        <v>33333</v>
      </c>
      <c r="B2283" s="20">
        <v>0.375</v>
      </c>
      <c r="D2283">
        <v>55.040000000000006</v>
      </c>
      <c r="E2283" t="str">
        <f t="shared" si="106"/>
        <v>WEEKDAY</v>
      </c>
      <c r="F2283" t="e">
        <f t="shared" ref="F2283:F2346" si="107">IF(E2283="WEEKDAY",VLOOKUP(B2283,$DD$19:$DG$42,2),IF(E2283="SATURDAY",VLOOKUP(B2283,$DD$19:$DG$42,3),VLOOKUP(B2283,$DD$19:$DG$42,4)))</f>
        <v>#N/A</v>
      </c>
      <c r="G2283" s="74">
        <v>32968</v>
      </c>
      <c r="H2283" s="77">
        <v>0.375</v>
      </c>
      <c r="J2283">
        <v>46.94</v>
      </c>
      <c r="M2283" s="74">
        <v>33333</v>
      </c>
      <c r="N2283" s="77">
        <v>0.375</v>
      </c>
      <c r="P2283">
        <v>55.040000000000006</v>
      </c>
      <c r="S2283" s="74">
        <v>33333</v>
      </c>
      <c r="T2283" s="77">
        <v>0.375</v>
      </c>
      <c r="V2283">
        <v>51.980000000000004</v>
      </c>
      <c r="X2283" s="42"/>
      <c r="AB2283">
        <v>46</v>
      </c>
      <c r="AC2283">
        <v>51.980000000000004</v>
      </c>
      <c r="AE2283" s="74"/>
      <c r="AF2283" s="77"/>
      <c r="AH2283" s="497">
        <v>55.040000000000006</v>
      </c>
      <c r="AJ2283" s="42"/>
      <c r="AK2283" s="74"/>
      <c r="AL2283" s="77"/>
      <c r="AN2283" s="497">
        <v>33.979999999999997</v>
      </c>
      <c r="AP2283" s="42"/>
      <c r="AQ2283" s="74"/>
      <c r="AR2283" s="77"/>
      <c r="AT2283" s="497">
        <v>44.96</v>
      </c>
      <c r="AV2283" s="42"/>
      <c r="AW2283" s="74"/>
      <c r="AX2283" s="77"/>
      <c r="BA2283" s="497">
        <v>50</v>
      </c>
      <c r="BB2283" s="42"/>
      <c r="BC2283" s="74"/>
      <c r="BD2283" s="77"/>
      <c r="BF2283">
        <v>41</v>
      </c>
      <c r="BH2283" s="42"/>
      <c r="BI2283" s="74"/>
      <c r="BJ2283" s="77"/>
      <c r="BL2283" s="497">
        <v>30.02</v>
      </c>
      <c r="BN2283" s="42"/>
      <c r="BO2283" s="74"/>
      <c r="BP2283" s="77"/>
      <c r="BR2283" s="497">
        <v>37.94</v>
      </c>
      <c r="BT2283" s="42"/>
    </row>
    <row r="2284" spans="1:72" x14ac:dyDescent="0.25">
      <c r="A2284" s="90">
        <v>33333</v>
      </c>
      <c r="B2284" s="20">
        <v>0.41666666666666669</v>
      </c>
      <c r="D2284">
        <v>57.019999999999996</v>
      </c>
      <c r="E2284" t="str">
        <f t="shared" si="106"/>
        <v>WEEKDAY</v>
      </c>
      <c r="F2284" t="e">
        <f t="shared" si="107"/>
        <v>#N/A</v>
      </c>
      <c r="G2284" s="74">
        <v>32968</v>
      </c>
      <c r="H2284" s="77">
        <v>0.41666666666666669</v>
      </c>
      <c r="J2284">
        <v>48.92</v>
      </c>
      <c r="M2284" s="74">
        <v>33333</v>
      </c>
      <c r="N2284" s="77">
        <v>0.41666666666666669</v>
      </c>
      <c r="P2284">
        <v>57.92</v>
      </c>
      <c r="S2284" s="74">
        <v>33333</v>
      </c>
      <c r="T2284" s="77">
        <v>0.41666666666666669</v>
      </c>
      <c r="V2284">
        <v>53.96</v>
      </c>
      <c r="X2284" s="42"/>
      <c r="AB2284">
        <v>47.8</v>
      </c>
      <c r="AC2284">
        <v>55.94</v>
      </c>
      <c r="AE2284" s="74"/>
      <c r="AF2284" s="77"/>
      <c r="AH2284" s="497">
        <v>60.08</v>
      </c>
      <c r="AJ2284" s="42"/>
      <c r="AK2284" s="74"/>
      <c r="AL2284" s="77"/>
      <c r="AN2284" s="497">
        <v>39.019999999999996</v>
      </c>
      <c r="AP2284" s="42"/>
      <c r="AQ2284" s="74"/>
      <c r="AR2284" s="77"/>
      <c r="AT2284" s="497">
        <v>46.94</v>
      </c>
      <c r="AV2284" s="42"/>
      <c r="AW2284" s="74"/>
      <c r="AX2284" s="77"/>
      <c r="BA2284" s="497">
        <v>59</v>
      </c>
      <c r="BB2284" s="42"/>
      <c r="BC2284" s="74"/>
      <c r="BD2284" s="77"/>
      <c r="BF2284">
        <v>44.96</v>
      </c>
      <c r="BH2284" s="42"/>
      <c r="BI2284" s="74"/>
      <c r="BJ2284" s="77"/>
      <c r="BL2284" s="497">
        <v>30.02</v>
      </c>
      <c r="BN2284" s="42"/>
      <c r="BO2284" s="74"/>
      <c r="BP2284" s="77"/>
      <c r="BR2284" s="497">
        <v>44.96</v>
      </c>
      <c r="BT2284" s="42"/>
    </row>
    <row r="2285" spans="1:72" x14ac:dyDescent="0.25">
      <c r="A2285" s="90">
        <v>33333</v>
      </c>
      <c r="B2285" s="20">
        <v>0.45833333333333331</v>
      </c>
      <c r="D2285">
        <v>57.019999999999996</v>
      </c>
      <c r="E2285" t="str">
        <f t="shared" si="106"/>
        <v>WEEKDAY</v>
      </c>
      <c r="F2285" t="e">
        <f t="shared" si="107"/>
        <v>#N/A</v>
      </c>
      <c r="G2285" s="74">
        <v>32968</v>
      </c>
      <c r="H2285" s="77">
        <v>0.45833333333333331</v>
      </c>
      <c r="J2285">
        <v>48.92</v>
      </c>
      <c r="M2285" s="74">
        <v>33333</v>
      </c>
      <c r="N2285" s="77">
        <v>0.45833333333333331</v>
      </c>
      <c r="P2285">
        <v>64.039999999999992</v>
      </c>
      <c r="S2285" s="74">
        <v>33333</v>
      </c>
      <c r="T2285" s="77">
        <v>0.45833333333333331</v>
      </c>
      <c r="V2285">
        <v>57.019999999999996</v>
      </c>
      <c r="X2285" s="42"/>
      <c r="AB2285">
        <v>49.5</v>
      </c>
      <c r="AC2285">
        <v>57.92</v>
      </c>
      <c r="AE2285" s="74"/>
      <c r="AF2285" s="77"/>
      <c r="AH2285" s="497">
        <v>64.039999999999992</v>
      </c>
      <c r="AJ2285" s="42"/>
      <c r="AK2285" s="74"/>
      <c r="AL2285" s="77"/>
      <c r="AN2285" s="497">
        <v>42.980000000000004</v>
      </c>
      <c r="AP2285" s="42"/>
      <c r="AQ2285" s="74"/>
      <c r="AR2285" s="77"/>
      <c r="AT2285" s="497">
        <v>51.980000000000004</v>
      </c>
      <c r="AV2285" s="42"/>
      <c r="AW2285" s="74"/>
      <c r="AX2285" s="77"/>
      <c r="BA2285" s="497">
        <v>62.96</v>
      </c>
      <c r="BB2285" s="42"/>
      <c r="BC2285" s="74"/>
      <c r="BD2285" s="77"/>
      <c r="BF2285">
        <v>48.019999999999996</v>
      </c>
      <c r="BH2285" s="42"/>
      <c r="BI2285" s="74"/>
      <c r="BJ2285" s="77"/>
      <c r="BL2285" s="497">
        <v>32</v>
      </c>
      <c r="BN2285" s="42"/>
      <c r="BO2285" s="74"/>
      <c r="BP2285" s="77"/>
      <c r="BR2285" s="497">
        <v>42.08</v>
      </c>
      <c r="BT2285" s="42"/>
    </row>
    <row r="2286" spans="1:72" x14ac:dyDescent="0.25">
      <c r="A2286" s="90">
        <v>33333</v>
      </c>
      <c r="B2286" s="20">
        <v>0.5</v>
      </c>
      <c r="D2286">
        <v>57.019999999999996</v>
      </c>
      <c r="E2286" t="str">
        <f t="shared" si="106"/>
        <v>WEEKDAY</v>
      </c>
      <c r="F2286" t="e">
        <f t="shared" si="107"/>
        <v>#N/A</v>
      </c>
      <c r="G2286" s="74">
        <v>32968</v>
      </c>
      <c r="H2286" s="77">
        <v>0.5</v>
      </c>
      <c r="J2286">
        <v>51.08</v>
      </c>
      <c r="M2286" s="74">
        <v>33333</v>
      </c>
      <c r="N2286" s="77">
        <v>0.5</v>
      </c>
      <c r="P2286">
        <v>64.039999999999992</v>
      </c>
      <c r="S2286" s="74">
        <v>33333</v>
      </c>
      <c r="T2286" s="77">
        <v>0.5</v>
      </c>
      <c r="V2286">
        <v>55.040000000000006</v>
      </c>
      <c r="X2286" s="42"/>
      <c r="AB2286">
        <v>50.8</v>
      </c>
      <c r="AC2286">
        <v>60.08</v>
      </c>
      <c r="AE2286" s="74"/>
      <c r="AF2286" s="77"/>
      <c r="AH2286" s="497">
        <v>66.02</v>
      </c>
      <c r="AJ2286" s="42"/>
      <c r="AK2286" s="74"/>
      <c r="AL2286" s="77"/>
      <c r="AN2286" s="497">
        <v>46.04</v>
      </c>
      <c r="AP2286" s="42"/>
      <c r="AQ2286" s="74"/>
      <c r="AR2286" s="77"/>
      <c r="AT2286" s="497">
        <v>53.06</v>
      </c>
      <c r="AV2286" s="42"/>
      <c r="AW2286" s="74"/>
      <c r="AX2286" s="77"/>
      <c r="BA2286" s="497">
        <v>66.02</v>
      </c>
      <c r="BB2286" s="42"/>
      <c r="BC2286" s="74"/>
      <c r="BD2286" s="77"/>
      <c r="BF2286">
        <v>46.04</v>
      </c>
      <c r="BH2286" s="42"/>
      <c r="BI2286" s="74"/>
      <c r="BJ2286" s="77"/>
      <c r="BL2286" s="497">
        <v>33.979999999999997</v>
      </c>
      <c r="BN2286" s="42"/>
      <c r="BO2286" s="74"/>
      <c r="BP2286" s="77"/>
      <c r="BR2286" s="497">
        <v>44.96</v>
      </c>
      <c r="BT2286" s="42"/>
    </row>
    <row r="2287" spans="1:72" x14ac:dyDescent="0.25">
      <c r="A2287" s="90">
        <v>33333</v>
      </c>
      <c r="B2287" s="20">
        <v>0.54166666666666663</v>
      </c>
      <c r="D2287">
        <v>55.94</v>
      </c>
      <c r="E2287" t="str">
        <f t="shared" si="106"/>
        <v>WEEKDAY</v>
      </c>
      <c r="F2287" t="e">
        <f t="shared" si="107"/>
        <v>#N/A</v>
      </c>
      <c r="G2287" s="74">
        <v>32968</v>
      </c>
      <c r="H2287" s="77">
        <v>0.54166666666666663</v>
      </c>
      <c r="J2287">
        <v>51.980000000000004</v>
      </c>
      <c r="M2287" s="74">
        <v>33333</v>
      </c>
      <c r="N2287" s="77">
        <v>0.54166666666666663</v>
      </c>
      <c r="P2287">
        <v>64.039999999999992</v>
      </c>
      <c r="S2287" s="74">
        <v>33333</v>
      </c>
      <c r="T2287" s="77">
        <v>0.54166666666666663</v>
      </c>
      <c r="V2287">
        <v>57.019999999999996</v>
      </c>
      <c r="X2287" s="42"/>
      <c r="AB2287">
        <v>51.7</v>
      </c>
      <c r="AC2287">
        <v>55.040000000000006</v>
      </c>
      <c r="AE2287" s="74"/>
      <c r="AF2287" s="77"/>
      <c r="AH2287" s="497">
        <v>62.96</v>
      </c>
      <c r="AJ2287" s="42"/>
      <c r="AK2287" s="74"/>
      <c r="AL2287" s="77"/>
      <c r="AN2287" s="497">
        <v>46.04</v>
      </c>
      <c r="AP2287" s="42"/>
      <c r="AQ2287" s="74"/>
      <c r="AR2287" s="77"/>
      <c r="AT2287" s="497">
        <v>55.94</v>
      </c>
      <c r="AV2287" s="42"/>
      <c r="AW2287" s="74"/>
      <c r="AX2287" s="77"/>
      <c r="BA2287" s="497">
        <v>62.06</v>
      </c>
      <c r="BB2287" s="42"/>
      <c r="BC2287" s="74"/>
      <c r="BD2287" s="77"/>
      <c r="BF2287">
        <v>42.980000000000004</v>
      </c>
      <c r="BH2287" s="42"/>
      <c r="BI2287" s="74"/>
      <c r="BJ2287" s="77"/>
      <c r="BL2287" s="497">
        <v>33.08</v>
      </c>
      <c r="BN2287" s="42"/>
      <c r="BO2287" s="74"/>
      <c r="BP2287" s="77"/>
      <c r="BR2287" s="497">
        <v>44.96</v>
      </c>
      <c r="BT2287" s="42"/>
    </row>
    <row r="2288" spans="1:72" x14ac:dyDescent="0.25">
      <c r="A2288" s="90">
        <v>33333</v>
      </c>
      <c r="B2288" s="20">
        <v>0.58333333333333337</v>
      </c>
      <c r="D2288">
        <v>55.94</v>
      </c>
      <c r="E2288" t="str">
        <f t="shared" si="106"/>
        <v>WEEKDAY</v>
      </c>
      <c r="F2288" t="e">
        <f t="shared" si="107"/>
        <v>#N/A</v>
      </c>
      <c r="G2288" s="74">
        <v>32968</v>
      </c>
      <c r="H2288" s="77">
        <v>0.58333333333333337</v>
      </c>
      <c r="J2288">
        <v>53.96</v>
      </c>
      <c r="M2288" s="74">
        <v>33333</v>
      </c>
      <c r="N2288" s="77">
        <v>0.58333333333333337</v>
      </c>
      <c r="P2288">
        <v>60.980000000000004</v>
      </c>
      <c r="S2288" s="74">
        <v>33333</v>
      </c>
      <c r="T2288" s="77">
        <v>0.58333333333333337</v>
      </c>
      <c r="V2288">
        <v>57.019999999999996</v>
      </c>
      <c r="X2288" s="42"/>
      <c r="AB2288">
        <v>52.4</v>
      </c>
      <c r="AC2288">
        <v>55.040000000000006</v>
      </c>
      <c r="AE2288" s="74"/>
      <c r="AF2288" s="77"/>
      <c r="AH2288" s="497">
        <v>64.039999999999992</v>
      </c>
      <c r="AJ2288" s="42"/>
      <c r="AK2288" s="74"/>
      <c r="AL2288" s="77"/>
      <c r="AN2288" s="497">
        <v>46.94</v>
      </c>
      <c r="AP2288" s="42"/>
      <c r="AQ2288" s="74"/>
      <c r="AR2288" s="77"/>
      <c r="AT2288" s="497">
        <v>60.980000000000004</v>
      </c>
      <c r="AV2288" s="42"/>
      <c r="AW2288" s="74"/>
      <c r="AX2288" s="77"/>
      <c r="BA2288" s="497">
        <v>64.039999999999992</v>
      </c>
      <c r="BB2288" s="42"/>
      <c r="BC2288" s="74"/>
      <c r="BD2288" s="77"/>
      <c r="BF2288">
        <v>44.96</v>
      </c>
      <c r="BH2288" s="42"/>
      <c r="BI2288" s="74"/>
      <c r="BJ2288" s="77"/>
      <c r="BL2288" s="497">
        <v>32</v>
      </c>
      <c r="BN2288" s="42"/>
      <c r="BO2288" s="74"/>
      <c r="BP2288" s="77"/>
      <c r="BR2288" s="497">
        <v>44.96</v>
      </c>
      <c r="BT2288" s="42"/>
    </row>
    <row r="2289" spans="1:72" x14ac:dyDescent="0.25">
      <c r="A2289" s="90">
        <v>33333</v>
      </c>
      <c r="B2289" s="20">
        <v>0.625</v>
      </c>
      <c r="D2289">
        <v>55.040000000000006</v>
      </c>
      <c r="E2289" t="str">
        <f t="shared" si="106"/>
        <v>WEEKDAY</v>
      </c>
      <c r="F2289" t="e">
        <f t="shared" si="107"/>
        <v>#N/A</v>
      </c>
      <c r="G2289" s="74">
        <v>32968</v>
      </c>
      <c r="H2289" s="77">
        <v>0.625</v>
      </c>
      <c r="J2289">
        <v>55.040000000000006</v>
      </c>
      <c r="M2289" s="74">
        <v>33333</v>
      </c>
      <c r="N2289" s="77">
        <v>0.625</v>
      </c>
      <c r="P2289">
        <v>60.980000000000004</v>
      </c>
      <c r="S2289" s="74">
        <v>33333</v>
      </c>
      <c r="T2289" s="77">
        <v>0.625</v>
      </c>
      <c r="V2289">
        <v>55.94</v>
      </c>
      <c r="X2289" s="42"/>
      <c r="AB2289">
        <v>52.6</v>
      </c>
      <c r="AC2289">
        <v>53.96</v>
      </c>
      <c r="AE2289" s="74"/>
      <c r="AF2289" s="77"/>
      <c r="AH2289" s="497">
        <v>62.96</v>
      </c>
      <c r="AJ2289" s="42"/>
      <c r="AK2289" s="74"/>
      <c r="AL2289" s="77"/>
      <c r="AN2289" s="497">
        <v>50</v>
      </c>
      <c r="AP2289" s="42"/>
      <c r="AQ2289" s="74"/>
      <c r="AR2289" s="77"/>
      <c r="AT2289" s="497">
        <v>64.039999999999992</v>
      </c>
      <c r="AV2289" s="42"/>
      <c r="AW2289" s="74"/>
      <c r="AX2289" s="77"/>
      <c r="BA2289" s="497">
        <v>68</v>
      </c>
      <c r="BB2289" s="42"/>
      <c r="BC2289" s="74"/>
      <c r="BD2289" s="77"/>
      <c r="BF2289">
        <v>44.06</v>
      </c>
      <c r="BH2289" s="42"/>
      <c r="BI2289" s="74"/>
      <c r="BJ2289" s="77"/>
      <c r="BL2289" s="497">
        <v>30.92</v>
      </c>
      <c r="BN2289" s="42"/>
      <c r="BO2289" s="74"/>
      <c r="BP2289" s="77"/>
      <c r="BR2289" s="497">
        <v>42.08</v>
      </c>
      <c r="BT2289" s="42"/>
    </row>
    <row r="2290" spans="1:72" x14ac:dyDescent="0.25">
      <c r="A2290" s="90">
        <v>33333</v>
      </c>
      <c r="B2290" s="20">
        <v>0.66666666666666663</v>
      </c>
      <c r="D2290">
        <v>53.96</v>
      </c>
      <c r="E2290" t="str">
        <f t="shared" si="106"/>
        <v>WEEKDAY</v>
      </c>
      <c r="F2290" t="e">
        <f t="shared" si="107"/>
        <v>#N/A</v>
      </c>
      <c r="G2290" s="74">
        <v>32968</v>
      </c>
      <c r="H2290" s="77">
        <v>0.66666666666666663</v>
      </c>
      <c r="J2290">
        <v>55.94</v>
      </c>
      <c r="M2290" s="74">
        <v>33333</v>
      </c>
      <c r="N2290" s="77">
        <v>0.66666666666666663</v>
      </c>
      <c r="P2290">
        <v>57.92</v>
      </c>
      <c r="S2290" s="74">
        <v>33333</v>
      </c>
      <c r="T2290" s="77">
        <v>0.66666666666666663</v>
      </c>
      <c r="V2290">
        <v>55.94</v>
      </c>
      <c r="X2290" s="42"/>
      <c r="AB2290">
        <v>52.6</v>
      </c>
      <c r="AC2290">
        <v>51.980000000000004</v>
      </c>
      <c r="AE2290" s="74"/>
      <c r="AF2290" s="77"/>
      <c r="AH2290" s="497">
        <v>60.08</v>
      </c>
      <c r="AJ2290" s="42"/>
      <c r="AK2290" s="74"/>
      <c r="AL2290" s="77"/>
      <c r="AN2290" s="497">
        <v>51.08</v>
      </c>
      <c r="AP2290" s="42"/>
      <c r="AQ2290" s="74"/>
      <c r="AR2290" s="77"/>
      <c r="AT2290" s="497">
        <v>64.039999999999992</v>
      </c>
      <c r="AV2290" s="42"/>
      <c r="AW2290" s="74"/>
      <c r="AX2290" s="77"/>
      <c r="BA2290" s="497">
        <v>69.98</v>
      </c>
      <c r="BB2290" s="42"/>
      <c r="BC2290" s="74"/>
      <c r="BD2290" s="77"/>
      <c r="BF2290">
        <v>42.980000000000004</v>
      </c>
      <c r="BH2290" s="42"/>
      <c r="BI2290" s="74"/>
      <c r="BJ2290" s="77"/>
      <c r="BL2290" s="497">
        <v>33.979999999999997</v>
      </c>
      <c r="BN2290" s="42"/>
      <c r="BO2290" s="74"/>
      <c r="BP2290" s="77"/>
      <c r="BR2290" s="497">
        <v>42.08</v>
      </c>
      <c r="BT2290" s="42"/>
    </row>
    <row r="2291" spans="1:72" x14ac:dyDescent="0.25">
      <c r="A2291" s="90">
        <v>33333</v>
      </c>
      <c r="B2291" s="20">
        <v>0.70833333333333337</v>
      </c>
      <c r="D2291">
        <v>53.06</v>
      </c>
      <c r="E2291" t="str">
        <f t="shared" si="106"/>
        <v>WEEKDAY</v>
      </c>
      <c r="F2291" t="e">
        <f t="shared" si="107"/>
        <v>#N/A</v>
      </c>
      <c r="G2291" s="74">
        <v>32968</v>
      </c>
      <c r="H2291" s="77">
        <v>0.70833333333333337</v>
      </c>
      <c r="J2291">
        <v>57.019999999999996</v>
      </c>
      <c r="M2291" s="74">
        <v>33333</v>
      </c>
      <c r="N2291" s="77">
        <v>0.70833333333333337</v>
      </c>
      <c r="P2291">
        <v>55.94</v>
      </c>
      <c r="S2291" s="74">
        <v>33333</v>
      </c>
      <c r="T2291" s="77">
        <v>0.70833333333333337</v>
      </c>
      <c r="V2291">
        <v>51.980000000000004</v>
      </c>
      <c r="X2291" s="42"/>
      <c r="AB2291">
        <v>52</v>
      </c>
      <c r="AC2291">
        <v>51.980000000000004</v>
      </c>
      <c r="AE2291" s="74"/>
      <c r="AF2291" s="77"/>
      <c r="AH2291" s="497">
        <v>57.92</v>
      </c>
      <c r="AJ2291" s="42"/>
      <c r="AK2291" s="74"/>
      <c r="AL2291" s="77"/>
      <c r="AN2291" s="497">
        <v>50</v>
      </c>
      <c r="AP2291" s="42"/>
      <c r="AQ2291" s="74"/>
      <c r="AR2291" s="77"/>
      <c r="AT2291" s="497">
        <v>62.96</v>
      </c>
      <c r="AV2291" s="42"/>
      <c r="AW2291" s="74"/>
      <c r="AX2291" s="77"/>
      <c r="BA2291" s="497">
        <v>71.06</v>
      </c>
      <c r="BB2291" s="42"/>
      <c r="BC2291" s="74"/>
      <c r="BD2291" s="77"/>
      <c r="BF2291">
        <v>42.980000000000004</v>
      </c>
      <c r="BH2291" s="42"/>
      <c r="BI2291" s="74"/>
      <c r="BJ2291" s="77"/>
      <c r="BL2291" s="497">
        <v>35.06</v>
      </c>
      <c r="BN2291" s="42"/>
      <c r="BO2291" s="74"/>
      <c r="BP2291" s="77"/>
      <c r="BR2291" s="497">
        <v>42.08</v>
      </c>
      <c r="BT2291" s="42"/>
    </row>
    <row r="2292" spans="1:72" x14ac:dyDescent="0.25">
      <c r="A2292" s="90">
        <v>33333</v>
      </c>
      <c r="B2292" s="20">
        <v>0.75</v>
      </c>
      <c r="D2292">
        <v>51.08</v>
      </c>
      <c r="E2292" t="str">
        <f t="shared" si="106"/>
        <v>WEEKDAY</v>
      </c>
      <c r="F2292" t="e">
        <f t="shared" si="107"/>
        <v>#N/A</v>
      </c>
      <c r="G2292" s="74">
        <v>32968</v>
      </c>
      <c r="H2292" s="77">
        <v>0.75</v>
      </c>
      <c r="J2292">
        <v>55.94</v>
      </c>
      <c r="M2292" s="74">
        <v>33333</v>
      </c>
      <c r="N2292" s="77">
        <v>0.75</v>
      </c>
      <c r="P2292">
        <v>55.94</v>
      </c>
      <c r="S2292" s="74">
        <v>33333</v>
      </c>
      <c r="T2292" s="77">
        <v>0.75</v>
      </c>
      <c r="V2292">
        <v>55.94</v>
      </c>
      <c r="X2292" s="42"/>
      <c r="AB2292">
        <v>50.9</v>
      </c>
      <c r="AC2292">
        <v>51.980000000000004</v>
      </c>
      <c r="AE2292" s="74"/>
      <c r="AF2292" s="77"/>
      <c r="AH2292" s="497">
        <v>57.019999999999996</v>
      </c>
      <c r="AJ2292" s="42"/>
      <c r="AK2292" s="74"/>
      <c r="AL2292" s="77"/>
      <c r="AN2292" s="497">
        <v>48.019999999999996</v>
      </c>
      <c r="AP2292" s="42"/>
      <c r="AQ2292" s="74"/>
      <c r="AR2292" s="77"/>
      <c r="AT2292" s="497">
        <v>62.06</v>
      </c>
      <c r="AV2292" s="42"/>
      <c r="AW2292" s="74"/>
      <c r="AX2292" s="77"/>
      <c r="BA2292" s="497">
        <v>71.06</v>
      </c>
      <c r="BB2292" s="42"/>
      <c r="BC2292" s="74"/>
      <c r="BD2292" s="77"/>
      <c r="BF2292">
        <v>41</v>
      </c>
      <c r="BH2292" s="42"/>
      <c r="BI2292" s="74"/>
      <c r="BJ2292" s="77"/>
      <c r="BL2292" s="497">
        <v>33.979999999999997</v>
      </c>
      <c r="BN2292" s="42"/>
      <c r="BO2292" s="74"/>
      <c r="BP2292" s="77"/>
      <c r="BR2292" s="497">
        <v>41</v>
      </c>
      <c r="BT2292" s="42"/>
    </row>
    <row r="2293" spans="1:72" x14ac:dyDescent="0.25">
      <c r="A2293" s="90">
        <v>33333</v>
      </c>
      <c r="B2293" s="20">
        <v>0.79166666666666663</v>
      </c>
      <c r="D2293">
        <v>48.92</v>
      </c>
      <c r="E2293" t="str">
        <f t="shared" si="106"/>
        <v>WEEKDAY</v>
      </c>
      <c r="F2293" t="e">
        <f t="shared" si="107"/>
        <v>#N/A</v>
      </c>
      <c r="G2293" s="74">
        <v>32968</v>
      </c>
      <c r="H2293" s="77">
        <v>0.79166666666666663</v>
      </c>
      <c r="J2293">
        <v>55.040000000000006</v>
      </c>
      <c r="M2293" s="74">
        <v>33333</v>
      </c>
      <c r="N2293" s="77">
        <v>0.79166666666666663</v>
      </c>
      <c r="P2293">
        <v>55.94</v>
      </c>
      <c r="S2293" s="74">
        <v>33333</v>
      </c>
      <c r="T2293" s="77">
        <v>0.79166666666666663</v>
      </c>
      <c r="V2293">
        <v>53.96</v>
      </c>
      <c r="X2293" s="42"/>
      <c r="AB2293">
        <v>49.5</v>
      </c>
      <c r="AC2293">
        <v>51.980000000000004</v>
      </c>
      <c r="AE2293" s="74"/>
      <c r="AF2293" s="77"/>
      <c r="AH2293" s="497">
        <v>57.019999999999996</v>
      </c>
      <c r="AJ2293" s="42"/>
      <c r="AK2293" s="74"/>
      <c r="AL2293" s="77"/>
      <c r="AN2293" s="497">
        <v>46.04</v>
      </c>
      <c r="AP2293" s="42"/>
      <c r="AQ2293" s="74"/>
      <c r="AR2293" s="77"/>
      <c r="AT2293" s="497">
        <v>60.08</v>
      </c>
      <c r="AV2293" s="42"/>
      <c r="AW2293" s="74"/>
      <c r="AX2293" s="77"/>
      <c r="BA2293" s="497">
        <v>66.02</v>
      </c>
      <c r="BB2293" s="42"/>
      <c r="BC2293" s="74"/>
      <c r="BD2293" s="77"/>
      <c r="BF2293">
        <v>39.019999999999996</v>
      </c>
      <c r="BH2293" s="42"/>
      <c r="BI2293" s="74"/>
      <c r="BJ2293" s="77"/>
      <c r="BL2293" s="497">
        <v>33.08</v>
      </c>
      <c r="BN2293" s="42"/>
      <c r="BO2293" s="74"/>
      <c r="BP2293" s="77"/>
      <c r="BR2293" s="497">
        <v>42.08</v>
      </c>
      <c r="BT2293" s="42"/>
    </row>
    <row r="2294" spans="1:72" x14ac:dyDescent="0.25">
      <c r="A2294" s="90">
        <v>33333</v>
      </c>
      <c r="B2294" s="20">
        <v>0.83333333333333337</v>
      </c>
      <c r="D2294">
        <v>48.92</v>
      </c>
      <c r="E2294" t="str">
        <f t="shared" si="106"/>
        <v>WEEKDAY</v>
      </c>
      <c r="F2294" t="e">
        <f t="shared" si="107"/>
        <v>#N/A</v>
      </c>
      <c r="G2294" s="74">
        <v>32968</v>
      </c>
      <c r="H2294" s="77">
        <v>0.83333333333333337</v>
      </c>
      <c r="J2294">
        <v>53.96</v>
      </c>
      <c r="M2294" s="74">
        <v>33333</v>
      </c>
      <c r="N2294" s="77">
        <v>0.83333333333333337</v>
      </c>
      <c r="P2294">
        <v>55.94</v>
      </c>
      <c r="S2294" s="74">
        <v>33333</v>
      </c>
      <c r="T2294" s="77">
        <v>0.83333333333333337</v>
      </c>
      <c r="V2294">
        <v>55.040000000000006</v>
      </c>
      <c r="X2294" s="42"/>
      <c r="AB2294">
        <v>48.4</v>
      </c>
      <c r="AC2294">
        <v>53.06</v>
      </c>
      <c r="AE2294" s="74"/>
      <c r="AF2294" s="77"/>
      <c r="AH2294" s="497">
        <v>55.94</v>
      </c>
      <c r="AJ2294" s="42"/>
      <c r="AK2294" s="74"/>
      <c r="AL2294" s="77"/>
      <c r="AN2294" s="497">
        <v>44.06</v>
      </c>
      <c r="AP2294" s="42"/>
      <c r="AQ2294" s="74"/>
      <c r="AR2294" s="77"/>
      <c r="AT2294" s="497">
        <v>57.92</v>
      </c>
      <c r="AV2294" s="42"/>
      <c r="AW2294" s="74"/>
      <c r="AX2294" s="77"/>
      <c r="BA2294" s="497">
        <v>64.94</v>
      </c>
      <c r="BB2294" s="42"/>
      <c r="BC2294" s="74"/>
      <c r="BD2294" s="77"/>
      <c r="BF2294">
        <v>37.94</v>
      </c>
      <c r="BH2294" s="42"/>
      <c r="BI2294" s="74"/>
      <c r="BJ2294" s="77"/>
      <c r="BL2294" s="497">
        <v>30.92</v>
      </c>
      <c r="BN2294" s="42"/>
      <c r="BO2294" s="74"/>
      <c r="BP2294" s="77"/>
      <c r="BR2294" s="497">
        <v>41</v>
      </c>
      <c r="BT2294" s="42"/>
    </row>
    <row r="2295" spans="1:72" x14ac:dyDescent="0.25">
      <c r="A2295" s="90">
        <v>33333</v>
      </c>
      <c r="B2295" s="20">
        <v>0.875</v>
      </c>
      <c r="D2295">
        <v>48.92</v>
      </c>
      <c r="E2295" t="str">
        <f t="shared" si="106"/>
        <v>WEEKDAY</v>
      </c>
      <c r="F2295" t="e">
        <f t="shared" si="107"/>
        <v>#N/A</v>
      </c>
      <c r="G2295" s="74">
        <v>32968</v>
      </c>
      <c r="H2295" s="77">
        <v>0.875</v>
      </c>
      <c r="J2295">
        <v>53.96</v>
      </c>
      <c r="M2295" s="74">
        <v>33333</v>
      </c>
      <c r="N2295" s="77">
        <v>0.875</v>
      </c>
      <c r="P2295">
        <v>55.94</v>
      </c>
      <c r="S2295" s="74">
        <v>33333</v>
      </c>
      <c r="T2295" s="77">
        <v>0.875</v>
      </c>
      <c r="V2295">
        <v>53.06</v>
      </c>
      <c r="X2295" s="42"/>
      <c r="AB2295">
        <v>47.7</v>
      </c>
      <c r="AC2295">
        <v>51.08</v>
      </c>
      <c r="AE2295" s="74"/>
      <c r="AF2295" s="77"/>
      <c r="AH2295" s="497">
        <v>55.040000000000006</v>
      </c>
      <c r="AJ2295" s="42"/>
      <c r="AK2295" s="74"/>
      <c r="AL2295" s="77"/>
      <c r="AN2295" s="497">
        <v>42.980000000000004</v>
      </c>
      <c r="AP2295" s="42"/>
      <c r="AQ2295" s="74"/>
      <c r="AR2295" s="77"/>
      <c r="AT2295" s="497">
        <v>57.019999999999996</v>
      </c>
      <c r="AV2295" s="42"/>
      <c r="AW2295" s="74"/>
      <c r="AX2295" s="77"/>
      <c r="BA2295" s="497">
        <v>64.039999999999992</v>
      </c>
      <c r="BB2295" s="42"/>
      <c r="BC2295" s="74"/>
      <c r="BD2295" s="77"/>
      <c r="BF2295">
        <v>37.04</v>
      </c>
      <c r="BH2295" s="42"/>
      <c r="BI2295" s="74"/>
      <c r="BJ2295" s="77"/>
      <c r="BL2295" s="497">
        <v>30.02</v>
      </c>
      <c r="BN2295" s="42"/>
      <c r="BO2295" s="74"/>
      <c r="BP2295" s="77"/>
      <c r="BR2295" s="497">
        <v>37.94</v>
      </c>
      <c r="BT2295" s="42"/>
    </row>
    <row r="2296" spans="1:72" x14ac:dyDescent="0.25">
      <c r="A2296" s="90">
        <v>33333</v>
      </c>
      <c r="B2296" s="20">
        <v>0.91666666666666663</v>
      </c>
      <c r="D2296">
        <v>50</v>
      </c>
      <c r="E2296" t="str">
        <f t="shared" si="106"/>
        <v>WEEKDAY</v>
      </c>
      <c r="F2296" t="e">
        <f t="shared" si="107"/>
        <v>#N/A</v>
      </c>
      <c r="G2296" s="74">
        <v>32968</v>
      </c>
      <c r="H2296" s="77">
        <v>0.91666666666666663</v>
      </c>
      <c r="J2296">
        <v>50</v>
      </c>
      <c r="M2296" s="74">
        <v>33333</v>
      </c>
      <c r="N2296" s="77">
        <v>0.91666666666666663</v>
      </c>
      <c r="P2296">
        <v>55.94</v>
      </c>
      <c r="S2296" s="74">
        <v>33333</v>
      </c>
      <c r="T2296" s="77">
        <v>0.91666666666666663</v>
      </c>
      <c r="V2296">
        <v>51.980000000000004</v>
      </c>
      <c r="X2296" s="42"/>
      <c r="AB2296">
        <v>47.2</v>
      </c>
      <c r="AC2296">
        <v>51.08</v>
      </c>
      <c r="AE2296" s="74"/>
      <c r="AF2296" s="77"/>
      <c r="AH2296" s="497">
        <v>53.96</v>
      </c>
      <c r="AJ2296" s="42"/>
      <c r="AK2296" s="74"/>
      <c r="AL2296" s="77"/>
      <c r="AN2296" s="497">
        <v>42.980000000000004</v>
      </c>
      <c r="AP2296" s="42"/>
      <c r="AQ2296" s="74"/>
      <c r="AR2296" s="77"/>
      <c r="AT2296" s="497">
        <v>55.040000000000006</v>
      </c>
      <c r="AV2296" s="42"/>
      <c r="AW2296" s="74"/>
      <c r="AX2296" s="77"/>
      <c r="BA2296" s="497">
        <v>64.94</v>
      </c>
      <c r="BB2296" s="42"/>
      <c r="BC2296" s="74"/>
      <c r="BD2296" s="77"/>
      <c r="BF2296">
        <v>35.96</v>
      </c>
      <c r="BH2296" s="42"/>
      <c r="BI2296" s="74"/>
      <c r="BJ2296" s="77"/>
      <c r="BL2296" s="497">
        <v>28.94</v>
      </c>
      <c r="BN2296" s="42"/>
      <c r="BO2296" s="74"/>
      <c r="BP2296" s="77"/>
      <c r="BR2296" s="497">
        <v>39.019999999999996</v>
      </c>
      <c r="BT2296" s="42"/>
    </row>
    <row r="2297" spans="1:72" x14ac:dyDescent="0.25">
      <c r="A2297" s="90">
        <v>33333</v>
      </c>
      <c r="B2297" s="20">
        <v>0.95833333333333337</v>
      </c>
      <c r="D2297">
        <v>48.92</v>
      </c>
      <c r="E2297" t="str">
        <f t="shared" si="106"/>
        <v>WEEKDAY</v>
      </c>
      <c r="F2297" t="e">
        <f t="shared" si="107"/>
        <v>#N/A</v>
      </c>
      <c r="G2297" s="74">
        <v>32968</v>
      </c>
      <c r="H2297" s="77">
        <v>0.95833333333333337</v>
      </c>
      <c r="J2297">
        <v>50</v>
      </c>
      <c r="M2297" s="74">
        <v>33333</v>
      </c>
      <c r="N2297" s="77">
        <v>0.95833333333333337</v>
      </c>
      <c r="P2297">
        <v>55.040000000000006</v>
      </c>
      <c r="S2297" s="74">
        <v>33333</v>
      </c>
      <c r="T2297" s="77">
        <v>0.95833333333333337</v>
      </c>
      <c r="V2297">
        <v>50</v>
      </c>
      <c r="X2297" s="42"/>
      <c r="AB2297">
        <v>46.4</v>
      </c>
      <c r="AC2297">
        <v>50</v>
      </c>
      <c r="AE2297" s="74"/>
      <c r="AF2297" s="77"/>
      <c r="AH2297" s="497">
        <v>55.040000000000006</v>
      </c>
      <c r="AJ2297" s="42"/>
      <c r="AK2297" s="74"/>
      <c r="AL2297" s="77"/>
      <c r="AN2297" s="497">
        <v>42.08</v>
      </c>
      <c r="AP2297" s="42"/>
      <c r="AQ2297" s="74"/>
      <c r="AR2297" s="77"/>
      <c r="AT2297" s="497">
        <v>51.08</v>
      </c>
      <c r="AV2297" s="42"/>
      <c r="AW2297" s="74"/>
      <c r="AX2297" s="77"/>
      <c r="BA2297" s="497">
        <v>64.94</v>
      </c>
      <c r="BB2297" s="42"/>
      <c r="BC2297" s="74"/>
      <c r="BD2297" s="77"/>
      <c r="BF2297">
        <v>35.96</v>
      </c>
      <c r="BH2297" s="42"/>
      <c r="BI2297" s="74"/>
      <c r="BJ2297" s="77"/>
      <c r="BL2297" s="497">
        <v>28.94</v>
      </c>
      <c r="BN2297" s="42"/>
      <c r="BO2297" s="74"/>
      <c r="BP2297" s="77"/>
      <c r="BR2297" s="497">
        <v>39.019999999999996</v>
      </c>
      <c r="BT2297" s="42"/>
    </row>
    <row r="2298" spans="1:72" x14ac:dyDescent="0.25">
      <c r="A2298" s="90">
        <v>33333</v>
      </c>
      <c r="B2298" s="20">
        <v>1</v>
      </c>
      <c r="D2298">
        <v>48.019999999999996</v>
      </c>
      <c r="E2298" t="str">
        <f t="shared" si="106"/>
        <v>WEEKDAY</v>
      </c>
      <c r="F2298" t="e">
        <f t="shared" si="107"/>
        <v>#N/A</v>
      </c>
      <c r="G2298" s="74">
        <v>32968</v>
      </c>
      <c r="H2298" s="77">
        <v>1</v>
      </c>
      <c r="J2298">
        <v>51.980000000000004</v>
      </c>
      <c r="M2298" s="74">
        <v>33333</v>
      </c>
      <c r="N2298" s="80">
        <v>1</v>
      </c>
      <c r="P2298">
        <v>55.040000000000006</v>
      </c>
      <c r="S2298" s="74">
        <v>33333</v>
      </c>
      <c r="T2298" s="80">
        <v>1</v>
      </c>
      <c r="V2298">
        <v>51.980000000000004</v>
      </c>
      <c r="X2298" s="42"/>
      <c r="AB2298">
        <v>45.8</v>
      </c>
      <c r="AC2298">
        <v>50</v>
      </c>
      <c r="AE2298" s="74"/>
      <c r="AF2298" s="80"/>
      <c r="AH2298" s="497">
        <v>55.040000000000006</v>
      </c>
      <c r="AJ2298" s="42"/>
      <c r="AK2298" s="74"/>
      <c r="AL2298" s="80"/>
      <c r="AN2298" s="497">
        <v>41</v>
      </c>
      <c r="AP2298" s="42"/>
      <c r="AQ2298" s="74"/>
      <c r="AR2298" s="80"/>
      <c r="AT2298" s="497">
        <v>51.08</v>
      </c>
      <c r="AV2298" s="42"/>
      <c r="AW2298" s="74"/>
      <c r="AX2298" s="80"/>
      <c r="BA2298" s="497">
        <v>64.94</v>
      </c>
      <c r="BB2298" s="42"/>
      <c r="BC2298" s="74"/>
      <c r="BD2298" s="80"/>
      <c r="BF2298">
        <v>35.96</v>
      </c>
      <c r="BH2298" s="42"/>
      <c r="BI2298" s="74"/>
      <c r="BJ2298" s="80"/>
      <c r="BL2298" s="497">
        <v>28.94</v>
      </c>
      <c r="BN2298" s="42"/>
      <c r="BO2298" s="74"/>
      <c r="BP2298" s="80"/>
      <c r="BR2298" s="497">
        <v>37.94</v>
      </c>
      <c r="BT2298" s="42"/>
    </row>
    <row r="2299" spans="1:72" x14ac:dyDescent="0.25">
      <c r="A2299" s="90">
        <v>33334</v>
      </c>
      <c r="B2299" s="20">
        <v>4.1666666666666664E-2</v>
      </c>
      <c r="D2299">
        <v>46.94</v>
      </c>
      <c r="E2299" t="str">
        <f t="shared" si="106"/>
        <v>SATURDAY</v>
      </c>
      <c r="F2299" t="e">
        <f t="shared" si="107"/>
        <v>#N/A</v>
      </c>
      <c r="G2299" s="74">
        <v>32969</v>
      </c>
      <c r="H2299" s="77">
        <v>4.1666666666666664E-2</v>
      </c>
      <c r="J2299">
        <v>53.06</v>
      </c>
      <c r="M2299" s="74">
        <v>33334</v>
      </c>
      <c r="N2299" s="77">
        <v>4.1666666666666664E-2</v>
      </c>
      <c r="P2299">
        <v>53.06</v>
      </c>
      <c r="S2299" s="74">
        <v>33334</v>
      </c>
      <c r="T2299" s="77">
        <v>4.1666666666666664E-2</v>
      </c>
      <c r="V2299">
        <v>51.980000000000004</v>
      </c>
      <c r="X2299" s="42"/>
      <c r="AB2299">
        <v>45.1</v>
      </c>
      <c r="AC2299">
        <v>50</v>
      </c>
      <c r="AE2299" s="74"/>
      <c r="AF2299" s="77"/>
      <c r="AH2299" s="497">
        <v>53.96</v>
      </c>
      <c r="AJ2299" s="42"/>
      <c r="AK2299" s="74"/>
      <c r="AL2299" s="77"/>
      <c r="AN2299" s="497">
        <v>39.019999999999996</v>
      </c>
      <c r="AP2299" s="42"/>
      <c r="AQ2299" s="74"/>
      <c r="AR2299" s="77"/>
      <c r="AT2299" s="497">
        <v>50</v>
      </c>
      <c r="AV2299" s="42"/>
      <c r="AW2299" s="74"/>
      <c r="AX2299" s="77"/>
      <c r="BA2299" s="497">
        <v>64.039999999999992</v>
      </c>
      <c r="BB2299" s="42"/>
      <c r="BC2299" s="74"/>
      <c r="BD2299" s="77"/>
      <c r="BF2299">
        <v>37.04</v>
      </c>
      <c r="BH2299" s="42"/>
      <c r="BI2299" s="74"/>
      <c r="BJ2299" s="77"/>
      <c r="BL2299" s="497">
        <v>26.96</v>
      </c>
      <c r="BN2299" s="42"/>
      <c r="BO2299" s="74"/>
      <c r="BP2299" s="77"/>
      <c r="BR2299" s="497">
        <v>39.92</v>
      </c>
      <c r="BT2299" s="42"/>
    </row>
    <row r="2300" spans="1:72" x14ac:dyDescent="0.25">
      <c r="A2300" s="90">
        <v>33334</v>
      </c>
      <c r="B2300" s="20">
        <v>8.3333333333333329E-2</v>
      </c>
      <c r="D2300">
        <v>46.04</v>
      </c>
      <c r="E2300" t="str">
        <f t="shared" si="106"/>
        <v>SATURDAY</v>
      </c>
      <c r="F2300" t="e">
        <f t="shared" si="107"/>
        <v>#N/A</v>
      </c>
      <c r="G2300" s="74">
        <v>32969</v>
      </c>
      <c r="H2300" s="77">
        <v>8.3333333333333329E-2</v>
      </c>
      <c r="J2300">
        <v>50</v>
      </c>
      <c r="M2300" s="74">
        <v>33334</v>
      </c>
      <c r="N2300" s="77">
        <v>8.3333333333333329E-2</v>
      </c>
      <c r="P2300">
        <v>53.06</v>
      </c>
      <c r="S2300" s="74">
        <v>33334</v>
      </c>
      <c r="T2300" s="77">
        <v>8.3333333333333329E-2</v>
      </c>
      <c r="V2300">
        <v>53.06</v>
      </c>
      <c r="X2300" s="42"/>
      <c r="AB2300">
        <v>44.5</v>
      </c>
      <c r="AC2300">
        <v>48.92</v>
      </c>
      <c r="AE2300" s="74"/>
      <c r="AF2300" s="77"/>
      <c r="AH2300" s="497">
        <v>51.980000000000004</v>
      </c>
      <c r="AJ2300" s="42"/>
      <c r="AK2300" s="74"/>
      <c r="AL2300" s="77"/>
      <c r="AN2300" s="497">
        <v>37.94</v>
      </c>
      <c r="AP2300" s="42"/>
      <c r="AQ2300" s="74"/>
      <c r="AR2300" s="77"/>
      <c r="AT2300" s="497">
        <v>50</v>
      </c>
      <c r="AV2300" s="42"/>
      <c r="AW2300" s="74"/>
      <c r="AX2300" s="77"/>
      <c r="BA2300" s="497">
        <v>62.96</v>
      </c>
      <c r="BB2300" s="42"/>
      <c r="BC2300" s="74"/>
      <c r="BD2300" s="77"/>
      <c r="BF2300">
        <v>37.04</v>
      </c>
      <c r="BH2300" s="42"/>
      <c r="BI2300" s="74"/>
      <c r="BJ2300" s="77"/>
      <c r="BL2300" s="497">
        <v>28.04</v>
      </c>
      <c r="BN2300" s="42"/>
      <c r="BO2300" s="74"/>
      <c r="BP2300" s="77"/>
      <c r="BR2300" s="497">
        <v>39.92</v>
      </c>
      <c r="BT2300" s="42"/>
    </row>
    <row r="2301" spans="1:72" x14ac:dyDescent="0.25">
      <c r="A2301" s="90">
        <v>33334</v>
      </c>
      <c r="B2301" s="20">
        <v>0.125</v>
      </c>
      <c r="D2301">
        <v>44.96</v>
      </c>
      <c r="E2301" t="str">
        <f t="shared" si="106"/>
        <v>SATURDAY</v>
      </c>
      <c r="F2301" t="e">
        <f t="shared" si="107"/>
        <v>#N/A</v>
      </c>
      <c r="G2301" s="74">
        <v>32969</v>
      </c>
      <c r="H2301" s="77">
        <v>0.125</v>
      </c>
      <c r="J2301">
        <v>48.92</v>
      </c>
      <c r="M2301" s="74">
        <v>33334</v>
      </c>
      <c r="N2301" s="77">
        <v>0.125</v>
      </c>
      <c r="P2301">
        <v>51.980000000000004</v>
      </c>
      <c r="S2301" s="74">
        <v>33334</v>
      </c>
      <c r="T2301" s="77">
        <v>0.125</v>
      </c>
      <c r="V2301">
        <v>51.08</v>
      </c>
      <c r="X2301" s="42"/>
      <c r="AB2301">
        <v>44.1</v>
      </c>
      <c r="AC2301">
        <v>48.019999999999996</v>
      </c>
      <c r="AE2301" s="74"/>
      <c r="AF2301" s="77"/>
      <c r="AH2301" s="497">
        <v>51.08</v>
      </c>
      <c r="AJ2301" s="42"/>
      <c r="AK2301" s="74"/>
      <c r="AL2301" s="77"/>
      <c r="AN2301" s="497">
        <v>35.96</v>
      </c>
      <c r="AP2301" s="42"/>
      <c r="AQ2301" s="74"/>
      <c r="AR2301" s="77"/>
      <c r="AT2301" s="497">
        <v>48.92</v>
      </c>
      <c r="AV2301" s="42"/>
      <c r="AW2301" s="74"/>
      <c r="AX2301" s="77"/>
      <c r="BA2301" s="497">
        <v>64.039999999999992</v>
      </c>
      <c r="BB2301" s="42"/>
      <c r="BC2301" s="74"/>
      <c r="BD2301" s="77"/>
      <c r="BF2301">
        <v>35.96</v>
      </c>
      <c r="BH2301" s="42"/>
      <c r="BI2301" s="74"/>
      <c r="BJ2301" s="77"/>
      <c r="BL2301" s="497">
        <v>28.4</v>
      </c>
      <c r="BN2301" s="42"/>
      <c r="BO2301" s="74"/>
      <c r="BP2301" s="77"/>
      <c r="BR2301" s="497">
        <v>39.019999999999996</v>
      </c>
      <c r="BT2301" s="42"/>
    </row>
    <row r="2302" spans="1:72" x14ac:dyDescent="0.25">
      <c r="A2302" s="90">
        <v>33334</v>
      </c>
      <c r="B2302" s="20">
        <v>0.16666666666666666</v>
      </c>
      <c r="D2302">
        <v>44.96</v>
      </c>
      <c r="E2302" t="str">
        <f t="shared" si="106"/>
        <v>SATURDAY</v>
      </c>
      <c r="F2302" t="e">
        <f t="shared" si="107"/>
        <v>#N/A</v>
      </c>
      <c r="G2302" s="74">
        <v>32969</v>
      </c>
      <c r="H2302" s="77">
        <v>0.16666666666666666</v>
      </c>
      <c r="J2302">
        <v>48.92</v>
      </c>
      <c r="M2302" s="74">
        <v>33334</v>
      </c>
      <c r="N2302" s="77">
        <v>0.16666666666666666</v>
      </c>
      <c r="P2302">
        <v>51.08</v>
      </c>
      <c r="S2302" s="74">
        <v>33334</v>
      </c>
      <c r="T2302" s="77">
        <v>0.16666666666666666</v>
      </c>
      <c r="V2302">
        <v>50</v>
      </c>
      <c r="X2302" s="42"/>
      <c r="AB2302">
        <v>43.5</v>
      </c>
      <c r="AC2302">
        <v>48.019999999999996</v>
      </c>
      <c r="AE2302" s="74"/>
      <c r="AF2302" s="77"/>
      <c r="AH2302" s="497">
        <v>46.94</v>
      </c>
      <c r="AJ2302" s="42"/>
      <c r="AK2302" s="74"/>
      <c r="AL2302" s="77"/>
      <c r="AN2302" s="497">
        <v>35.06</v>
      </c>
      <c r="AP2302" s="42"/>
      <c r="AQ2302" s="74"/>
      <c r="AR2302" s="77"/>
      <c r="AT2302" s="497">
        <v>48.92</v>
      </c>
      <c r="AV2302" s="42"/>
      <c r="AW2302" s="74"/>
      <c r="AX2302" s="77"/>
      <c r="BA2302" s="497">
        <v>64.039999999999992</v>
      </c>
      <c r="BB2302" s="42"/>
      <c r="BC2302" s="74"/>
      <c r="BD2302" s="77"/>
      <c r="BF2302">
        <v>35.06</v>
      </c>
      <c r="BH2302" s="42"/>
      <c r="BI2302" s="74"/>
      <c r="BJ2302" s="77"/>
      <c r="BL2302" s="497">
        <v>28.94</v>
      </c>
      <c r="BN2302" s="42"/>
      <c r="BO2302" s="74"/>
      <c r="BP2302" s="77"/>
      <c r="BR2302" s="497">
        <v>39.92</v>
      </c>
      <c r="BT2302" s="42"/>
    </row>
    <row r="2303" spans="1:72" x14ac:dyDescent="0.25">
      <c r="A2303" s="90">
        <v>33334</v>
      </c>
      <c r="B2303" s="20">
        <v>0.20833333333333334</v>
      </c>
      <c r="D2303">
        <v>44.06</v>
      </c>
      <c r="E2303" t="str">
        <f t="shared" si="106"/>
        <v>SATURDAY</v>
      </c>
      <c r="F2303" t="e">
        <f t="shared" si="107"/>
        <v>#N/A</v>
      </c>
      <c r="G2303" s="74">
        <v>32969</v>
      </c>
      <c r="H2303" s="77">
        <v>0.20833333333333334</v>
      </c>
      <c r="J2303">
        <v>48.92</v>
      </c>
      <c r="M2303" s="74">
        <v>33334</v>
      </c>
      <c r="N2303" s="77">
        <v>0.20833333333333334</v>
      </c>
      <c r="P2303">
        <v>48.92</v>
      </c>
      <c r="S2303" s="74">
        <v>33334</v>
      </c>
      <c r="T2303" s="77">
        <v>0.20833333333333334</v>
      </c>
      <c r="V2303">
        <v>50</v>
      </c>
      <c r="X2303" s="42"/>
      <c r="AB2303">
        <v>43</v>
      </c>
      <c r="AC2303">
        <v>48.92</v>
      </c>
      <c r="AE2303" s="74"/>
      <c r="AF2303" s="77"/>
      <c r="AH2303" s="497">
        <v>42.980000000000004</v>
      </c>
      <c r="AJ2303" s="42"/>
      <c r="AK2303" s="74"/>
      <c r="AL2303" s="77"/>
      <c r="AN2303" s="497">
        <v>35.96</v>
      </c>
      <c r="AP2303" s="42"/>
      <c r="AQ2303" s="74"/>
      <c r="AR2303" s="77"/>
      <c r="AT2303" s="497">
        <v>48.019999999999996</v>
      </c>
      <c r="AV2303" s="42"/>
      <c r="AW2303" s="74"/>
      <c r="AX2303" s="77"/>
      <c r="BA2303" s="497">
        <v>64.039999999999992</v>
      </c>
      <c r="BB2303" s="42"/>
      <c r="BC2303" s="74"/>
      <c r="BD2303" s="77"/>
      <c r="BF2303">
        <v>33.979999999999997</v>
      </c>
      <c r="BH2303" s="42"/>
      <c r="BI2303" s="74"/>
      <c r="BJ2303" s="77"/>
      <c r="BL2303" s="497">
        <v>28.4</v>
      </c>
      <c r="BN2303" s="42"/>
      <c r="BO2303" s="74"/>
      <c r="BP2303" s="77"/>
      <c r="BR2303" s="497">
        <v>41</v>
      </c>
      <c r="BT2303" s="42"/>
    </row>
    <row r="2304" spans="1:72" x14ac:dyDescent="0.25">
      <c r="A2304" s="90">
        <v>33334</v>
      </c>
      <c r="B2304" s="20">
        <v>0.25</v>
      </c>
      <c r="D2304">
        <v>44.96</v>
      </c>
      <c r="E2304" t="str">
        <f t="shared" si="106"/>
        <v>SATURDAY</v>
      </c>
      <c r="F2304" t="e">
        <f t="shared" si="107"/>
        <v>#N/A</v>
      </c>
      <c r="G2304" s="74">
        <v>32969</v>
      </c>
      <c r="H2304" s="77">
        <v>0.25</v>
      </c>
      <c r="J2304">
        <v>48.92</v>
      </c>
      <c r="M2304" s="74">
        <v>33334</v>
      </c>
      <c r="N2304" s="77">
        <v>0.25</v>
      </c>
      <c r="P2304">
        <v>51.980000000000004</v>
      </c>
      <c r="S2304" s="74">
        <v>33334</v>
      </c>
      <c r="T2304" s="77">
        <v>0.25</v>
      </c>
      <c r="V2304">
        <v>48.92</v>
      </c>
      <c r="X2304" s="42"/>
      <c r="AB2304">
        <v>42.8</v>
      </c>
      <c r="AC2304">
        <v>48.92</v>
      </c>
      <c r="AE2304" s="74"/>
      <c r="AF2304" s="77"/>
      <c r="AH2304" s="497">
        <v>42.08</v>
      </c>
      <c r="AJ2304" s="42"/>
      <c r="AK2304" s="74"/>
      <c r="AL2304" s="77"/>
      <c r="AN2304" s="497">
        <v>35.06</v>
      </c>
      <c r="AP2304" s="42"/>
      <c r="AQ2304" s="74"/>
      <c r="AR2304" s="77"/>
      <c r="AT2304" s="497">
        <v>46.94</v>
      </c>
      <c r="AV2304" s="42"/>
      <c r="AW2304" s="74"/>
      <c r="AX2304" s="77"/>
      <c r="BA2304" s="497">
        <v>48.92</v>
      </c>
      <c r="BB2304" s="42"/>
      <c r="BC2304" s="74"/>
      <c r="BD2304" s="77"/>
      <c r="BF2304">
        <v>33.979999999999997</v>
      </c>
      <c r="BH2304" s="42"/>
      <c r="BI2304" s="74"/>
      <c r="BJ2304" s="77"/>
      <c r="BL2304" s="497">
        <v>30.2</v>
      </c>
      <c r="BN2304" s="42"/>
      <c r="BO2304" s="74"/>
      <c r="BP2304" s="77"/>
      <c r="BR2304" s="497">
        <v>42.980000000000004</v>
      </c>
      <c r="BT2304" s="42"/>
    </row>
    <row r="2305" spans="1:72" x14ac:dyDescent="0.25">
      <c r="A2305" s="90">
        <v>33334</v>
      </c>
      <c r="B2305" s="20">
        <v>0.29166666666666669</v>
      </c>
      <c r="D2305">
        <v>44.06</v>
      </c>
      <c r="E2305" t="str">
        <f t="shared" si="106"/>
        <v>SATURDAY</v>
      </c>
      <c r="F2305" t="e">
        <f t="shared" si="107"/>
        <v>#N/A</v>
      </c>
      <c r="G2305" s="74">
        <v>32969</v>
      </c>
      <c r="H2305" s="77">
        <v>0.29166666666666669</v>
      </c>
      <c r="J2305">
        <v>46.94</v>
      </c>
      <c r="M2305" s="74">
        <v>33334</v>
      </c>
      <c r="N2305" s="77">
        <v>0.29166666666666669</v>
      </c>
      <c r="P2305">
        <v>53.06</v>
      </c>
      <c r="S2305" s="74">
        <v>33334</v>
      </c>
      <c r="T2305" s="77">
        <v>0.29166666666666669</v>
      </c>
      <c r="V2305">
        <v>51.08</v>
      </c>
      <c r="X2305" s="42"/>
      <c r="AB2305">
        <v>42.8</v>
      </c>
      <c r="AC2305">
        <v>51.08</v>
      </c>
      <c r="AE2305" s="74"/>
      <c r="AF2305" s="77"/>
      <c r="AH2305" s="497">
        <v>42.980000000000004</v>
      </c>
      <c r="AJ2305" s="42"/>
      <c r="AK2305" s="74"/>
      <c r="AL2305" s="77"/>
      <c r="AN2305" s="497">
        <v>37.94</v>
      </c>
      <c r="AP2305" s="42"/>
      <c r="AQ2305" s="74"/>
      <c r="AR2305" s="77"/>
      <c r="AT2305" s="497">
        <v>46.94</v>
      </c>
      <c r="AV2305" s="42"/>
      <c r="AW2305" s="74"/>
      <c r="AX2305" s="77"/>
      <c r="BA2305" s="497">
        <v>46.94</v>
      </c>
      <c r="BB2305" s="42"/>
      <c r="BC2305" s="74"/>
      <c r="BD2305" s="77"/>
      <c r="BF2305">
        <v>35.06</v>
      </c>
      <c r="BH2305" s="42"/>
      <c r="BI2305" s="74"/>
      <c r="BJ2305" s="77"/>
      <c r="BL2305" s="497">
        <v>28.04</v>
      </c>
      <c r="BN2305" s="42"/>
      <c r="BO2305" s="74"/>
      <c r="BP2305" s="77"/>
      <c r="BR2305" s="497">
        <v>51.980000000000004</v>
      </c>
      <c r="BT2305" s="42"/>
    </row>
    <row r="2306" spans="1:72" x14ac:dyDescent="0.25">
      <c r="A2306" s="90">
        <v>33334</v>
      </c>
      <c r="B2306" s="20">
        <v>0.33333333333333331</v>
      </c>
      <c r="D2306">
        <v>44.96</v>
      </c>
      <c r="E2306" t="str">
        <f t="shared" si="106"/>
        <v>SATURDAY</v>
      </c>
      <c r="F2306" t="e">
        <f t="shared" si="107"/>
        <v>#N/A</v>
      </c>
      <c r="G2306" s="74">
        <v>32969</v>
      </c>
      <c r="H2306" s="77">
        <v>0.33333333333333331</v>
      </c>
      <c r="J2306">
        <v>48.019999999999996</v>
      </c>
      <c r="M2306" s="74">
        <v>33334</v>
      </c>
      <c r="N2306" s="77">
        <v>0.33333333333333331</v>
      </c>
      <c r="P2306">
        <v>57.92</v>
      </c>
      <c r="S2306" s="74">
        <v>33334</v>
      </c>
      <c r="T2306" s="77">
        <v>0.33333333333333331</v>
      </c>
      <c r="V2306">
        <v>55.94</v>
      </c>
      <c r="X2306" s="42"/>
      <c r="AB2306">
        <v>44.5</v>
      </c>
      <c r="AC2306">
        <v>55.94</v>
      </c>
      <c r="AE2306" s="74"/>
      <c r="AF2306" s="77"/>
      <c r="AH2306" s="497">
        <v>48.019999999999996</v>
      </c>
      <c r="AJ2306" s="42"/>
      <c r="AK2306" s="74"/>
      <c r="AL2306" s="77"/>
      <c r="AN2306" s="497">
        <v>42.08</v>
      </c>
      <c r="AP2306" s="42"/>
      <c r="AQ2306" s="74"/>
      <c r="AR2306" s="77"/>
      <c r="AT2306" s="497">
        <v>48.019999999999996</v>
      </c>
      <c r="AV2306" s="42"/>
      <c r="AW2306" s="74"/>
      <c r="AX2306" s="77"/>
      <c r="BA2306" s="497">
        <v>46.94</v>
      </c>
      <c r="BB2306" s="42"/>
      <c r="BC2306" s="74"/>
      <c r="BD2306" s="77"/>
      <c r="BF2306">
        <v>39.92</v>
      </c>
      <c r="BH2306" s="42"/>
      <c r="BI2306" s="74"/>
      <c r="BJ2306" s="77"/>
      <c r="BL2306" s="497">
        <v>28.94</v>
      </c>
      <c r="BN2306" s="42"/>
      <c r="BO2306" s="74"/>
      <c r="BP2306" s="77"/>
      <c r="BR2306" s="497">
        <v>48.019999999999996</v>
      </c>
      <c r="BT2306" s="42"/>
    </row>
    <row r="2307" spans="1:72" x14ac:dyDescent="0.25">
      <c r="A2307" s="90">
        <v>33334</v>
      </c>
      <c r="B2307" s="20">
        <v>0.375</v>
      </c>
      <c r="D2307">
        <v>44.96</v>
      </c>
      <c r="E2307" t="str">
        <f t="shared" si="106"/>
        <v>SATURDAY</v>
      </c>
      <c r="F2307" t="e">
        <f t="shared" si="107"/>
        <v>#N/A</v>
      </c>
      <c r="G2307" s="74">
        <v>32969</v>
      </c>
      <c r="H2307" s="77">
        <v>0.375</v>
      </c>
      <c r="J2307">
        <v>48.019999999999996</v>
      </c>
      <c r="M2307" s="74">
        <v>33334</v>
      </c>
      <c r="N2307" s="77">
        <v>0.375</v>
      </c>
      <c r="P2307">
        <v>62.06</v>
      </c>
      <c r="S2307" s="74">
        <v>33334</v>
      </c>
      <c r="T2307" s="77">
        <v>0.375</v>
      </c>
      <c r="V2307">
        <v>62.96</v>
      </c>
      <c r="X2307" s="42"/>
      <c r="AB2307">
        <v>46.2</v>
      </c>
      <c r="AC2307">
        <v>62.96</v>
      </c>
      <c r="AE2307" s="74"/>
      <c r="AF2307" s="77"/>
      <c r="AH2307" s="497">
        <v>59</v>
      </c>
      <c r="AJ2307" s="42"/>
      <c r="AK2307" s="74"/>
      <c r="AL2307" s="77"/>
      <c r="AN2307" s="497">
        <v>44.96</v>
      </c>
      <c r="AP2307" s="42"/>
      <c r="AQ2307" s="74"/>
      <c r="AR2307" s="77"/>
      <c r="AT2307" s="497">
        <v>46.94</v>
      </c>
      <c r="AV2307" s="42"/>
      <c r="AW2307" s="74"/>
      <c r="AX2307" s="77"/>
      <c r="BA2307" s="497">
        <v>48.019999999999996</v>
      </c>
      <c r="BB2307" s="42"/>
      <c r="BC2307" s="74"/>
      <c r="BD2307" s="77"/>
      <c r="BF2307">
        <v>42.08</v>
      </c>
      <c r="BH2307" s="42"/>
      <c r="BI2307" s="74"/>
      <c r="BJ2307" s="77"/>
      <c r="BL2307" s="497">
        <v>30.02</v>
      </c>
      <c r="BN2307" s="42"/>
      <c r="BO2307" s="74"/>
      <c r="BP2307" s="77"/>
      <c r="BR2307" s="497">
        <v>44.96</v>
      </c>
      <c r="BT2307" s="42"/>
    </row>
    <row r="2308" spans="1:72" x14ac:dyDescent="0.25">
      <c r="A2308" s="90">
        <v>33334</v>
      </c>
      <c r="B2308" s="20">
        <v>0.41666666666666669</v>
      </c>
      <c r="D2308">
        <v>44.96</v>
      </c>
      <c r="E2308" t="str">
        <f t="shared" si="106"/>
        <v>SATURDAY</v>
      </c>
      <c r="F2308" t="e">
        <f t="shared" si="107"/>
        <v>#N/A</v>
      </c>
      <c r="G2308" s="74">
        <v>32969</v>
      </c>
      <c r="H2308" s="77">
        <v>0.41666666666666669</v>
      </c>
      <c r="J2308">
        <v>48.92</v>
      </c>
      <c r="M2308" s="74">
        <v>33334</v>
      </c>
      <c r="N2308" s="77">
        <v>0.41666666666666669</v>
      </c>
      <c r="P2308">
        <v>66.92</v>
      </c>
      <c r="S2308" s="74">
        <v>33334</v>
      </c>
      <c r="T2308" s="77">
        <v>0.41666666666666669</v>
      </c>
      <c r="V2308">
        <v>66.02</v>
      </c>
      <c r="X2308" s="42"/>
      <c r="AB2308">
        <v>48.1</v>
      </c>
      <c r="AC2308">
        <v>64.94</v>
      </c>
      <c r="AE2308" s="74"/>
      <c r="AF2308" s="77"/>
      <c r="AH2308" s="497">
        <v>64.94</v>
      </c>
      <c r="AJ2308" s="42"/>
      <c r="AK2308" s="74"/>
      <c r="AL2308" s="77"/>
      <c r="AN2308" s="497">
        <v>46.94</v>
      </c>
      <c r="AP2308" s="42"/>
      <c r="AQ2308" s="74"/>
      <c r="AR2308" s="77"/>
      <c r="AT2308" s="497">
        <v>46.04</v>
      </c>
      <c r="AV2308" s="42"/>
      <c r="AW2308" s="74"/>
      <c r="AX2308" s="77"/>
      <c r="BA2308" s="497">
        <v>51.08</v>
      </c>
      <c r="BB2308" s="42"/>
      <c r="BC2308" s="74"/>
      <c r="BD2308" s="77"/>
      <c r="BF2308">
        <v>46.04</v>
      </c>
      <c r="BH2308" s="42"/>
      <c r="BI2308" s="74"/>
      <c r="BJ2308" s="77"/>
      <c r="BL2308" s="497">
        <v>30.92</v>
      </c>
      <c r="BN2308" s="42"/>
      <c r="BO2308" s="74"/>
      <c r="BP2308" s="77"/>
      <c r="BR2308" s="497">
        <v>44.96</v>
      </c>
      <c r="BT2308" s="42"/>
    </row>
    <row r="2309" spans="1:72" x14ac:dyDescent="0.25">
      <c r="A2309" s="90">
        <v>33334</v>
      </c>
      <c r="B2309" s="20">
        <v>0.45833333333333331</v>
      </c>
      <c r="D2309">
        <v>50</v>
      </c>
      <c r="E2309" t="str">
        <f t="shared" si="106"/>
        <v>SATURDAY</v>
      </c>
      <c r="F2309" t="e">
        <f t="shared" si="107"/>
        <v>#N/A</v>
      </c>
      <c r="G2309" s="74">
        <v>32969</v>
      </c>
      <c r="H2309" s="77">
        <v>0.45833333333333331</v>
      </c>
      <c r="J2309">
        <v>48.92</v>
      </c>
      <c r="M2309" s="74">
        <v>33334</v>
      </c>
      <c r="N2309" s="77">
        <v>0.45833333333333331</v>
      </c>
      <c r="P2309">
        <v>69.080000000000013</v>
      </c>
      <c r="S2309" s="74">
        <v>33334</v>
      </c>
      <c r="T2309" s="77">
        <v>0.45833333333333331</v>
      </c>
      <c r="V2309">
        <v>66.92</v>
      </c>
      <c r="X2309" s="42"/>
      <c r="AB2309">
        <v>49.8</v>
      </c>
      <c r="AC2309">
        <v>69.080000000000013</v>
      </c>
      <c r="AE2309" s="74"/>
      <c r="AF2309" s="77"/>
      <c r="AH2309" s="497">
        <v>68</v>
      </c>
      <c r="AJ2309" s="42"/>
      <c r="AK2309" s="74"/>
      <c r="AL2309" s="77"/>
      <c r="AN2309" s="497">
        <v>48.92</v>
      </c>
      <c r="AP2309" s="42"/>
      <c r="AQ2309" s="74"/>
      <c r="AR2309" s="77"/>
      <c r="AT2309" s="497">
        <v>46.04</v>
      </c>
      <c r="AV2309" s="42"/>
      <c r="AW2309" s="74"/>
      <c r="AX2309" s="77"/>
      <c r="BA2309" s="497">
        <v>53.06</v>
      </c>
      <c r="BB2309" s="42"/>
      <c r="BC2309" s="74"/>
      <c r="BD2309" s="77"/>
      <c r="BF2309">
        <v>48.019999999999996</v>
      </c>
      <c r="BH2309" s="42"/>
      <c r="BI2309" s="74"/>
      <c r="BJ2309" s="77"/>
      <c r="BL2309" s="497">
        <v>32</v>
      </c>
      <c r="BN2309" s="42"/>
      <c r="BO2309" s="74"/>
      <c r="BP2309" s="77"/>
      <c r="BR2309" s="497">
        <v>48.92</v>
      </c>
      <c r="BT2309" s="42"/>
    </row>
    <row r="2310" spans="1:72" x14ac:dyDescent="0.25">
      <c r="A2310" s="90">
        <v>33334</v>
      </c>
      <c r="B2310" s="20">
        <v>0.5</v>
      </c>
      <c r="D2310">
        <v>51.980000000000004</v>
      </c>
      <c r="E2310" t="str">
        <f t="shared" si="106"/>
        <v>SATURDAY</v>
      </c>
      <c r="F2310" t="e">
        <f t="shared" si="107"/>
        <v>#N/A</v>
      </c>
      <c r="G2310" s="74">
        <v>32969</v>
      </c>
      <c r="H2310" s="77">
        <v>0.5</v>
      </c>
      <c r="J2310">
        <v>50</v>
      </c>
      <c r="M2310" s="74">
        <v>33334</v>
      </c>
      <c r="N2310" s="77">
        <v>0.5</v>
      </c>
      <c r="P2310">
        <v>71.06</v>
      </c>
      <c r="S2310" s="74">
        <v>33334</v>
      </c>
      <c r="T2310" s="77">
        <v>0.5</v>
      </c>
      <c r="V2310">
        <v>66.92</v>
      </c>
      <c r="X2310" s="42"/>
      <c r="AB2310">
        <v>51</v>
      </c>
      <c r="AC2310">
        <v>69.98</v>
      </c>
      <c r="AE2310" s="74"/>
      <c r="AF2310" s="77"/>
      <c r="AH2310" s="497">
        <v>71.06</v>
      </c>
      <c r="AJ2310" s="42"/>
      <c r="AK2310" s="74"/>
      <c r="AL2310" s="77"/>
      <c r="AN2310" s="497">
        <v>51.08</v>
      </c>
      <c r="AP2310" s="42"/>
      <c r="AQ2310" s="74"/>
      <c r="AR2310" s="77"/>
      <c r="AT2310" s="497">
        <v>46.04</v>
      </c>
      <c r="AV2310" s="42"/>
      <c r="AW2310" s="74"/>
      <c r="AX2310" s="77"/>
      <c r="BA2310" s="497">
        <v>53.96</v>
      </c>
      <c r="BB2310" s="42"/>
      <c r="BC2310" s="74"/>
      <c r="BD2310" s="77"/>
      <c r="BF2310">
        <v>53.06</v>
      </c>
      <c r="BH2310" s="42"/>
      <c r="BI2310" s="74"/>
      <c r="BJ2310" s="77"/>
      <c r="BL2310" s="497">
        <v>32</v>
      </c>
      <c r="BN2310" s="42"/>
      <c r="BO2310" s="74"/>
      <c r="BP2310" s="77"/>
      <c r="BR2310" s="497">
        <v>51.980000000000004</v>
      </c>
      <c r="BT2310" s="42"/>
    </row>
    <row r="2311" spans="1:72" x14ac:dyDescent="0.25">
      <c r="A2311" s="90">
        <v>33334</v>
      </c>
      <c r="B2311" s="20">
        <v>0.54166666666666663</v>
      </c>
      <c r="D2311">
        <v>51.08</v>
      </c>
      <c r="E2311" t="str">
        <f t="shared" si="106"/>
        <v>SATURDAY</v>
      </c>
      <c r="F2311" t="e">
        <f t="shared" si="107"/>
        <v>#N/A</v>
      </c>
      <c r="G2311" s="74">
        <v>32969</v>
      </c>
      <c r="H2311" s="77">
        <v>0.54166666666666663</v>
      </c>
      <c r="J2311">
        <v>51.08</v>
      </c>
      <c r="M2311" s="74">
        <v>33334</v>
      </c>
      <c r="N2311" s="77">
        <v>0.54166666666666663</v>
      </c>
      <c r="P2311">
        <v>75.02</v>
      </c>
      <c r="S2311" s="74">
        <v>33334</v>
      </c>
      <c r="T2311" s="77">
        <v>0.54166666666666663</v>
      </c>
      <c r="V2311">
        <v>66.02</v>
      </c>
      <c r="X2311" s="42"/>
      <c r="AB2311">
        <v>52</v>
      </c>
      <c r="AC2311">
        <v>69.080000000000013</v>
      </c>
      <c r="AE2311" s="74"/>
      <c r="AF2311" s="77"/>
      <c r="AH2311" s="497">
        <v>73.039999999999992</v>
      </c>
      <c r="AJ2311" s="42"/>
      <c r="AK2311" s="74"/>
      <c r="AL2311" s="77"/>
      <c r="AN2311" s="497">
        <v>53.06</v>
      </c>
      <c r="AP2311" s="42"/>
      <c r="AQ2311" s="74"/>
      <c r="AR2311" s="77"/>
      <c r="AT2311" s="497">
        <v>44.06</v>
      </c>
      <c r="AV2311" s="42"/>
      <c r="AW2311" s="74"/>
      <c r="AX2311" s="77"/>
      <c r="BA2311" s="497">
        <v>55.94</v>
      </c>
      <c r="BB2311" s="42"/>
      <c r="BC2311" s="74"/>
      <c r="BD2311" s="77"/>
      <c r="BF2311">
        <v>53.96</v>
      </c>
      <c r="BH2311" s="42"/>
      <c r="BI2311" s="74"/>
      <c r="BJ2311" s="77"/>
      <c r="BL2311" s="497">
        <v>33.08</v>
      </c>
      <c r="BN2311" s="42"/>
      <c r="BO2311" s="74"/>
      <c r="BP2311" s="77"/>
      <c r="BR2311" s="497">
        <v>55.040000000000006</v>
      </c>
      <c r="BT2311" s="42"/>
    </row>
    <row r="2312" spans="1:72" x14ac:dyDescent="0.25">
      <c r="A2312" s="90">
        <v>33334</v>
      </c>
      <c r="B2312" s="20">
        <v>0.58333333333333337</v>
      </c>
      <c r="D2312">
        <v>51.08</v>
      </c>
      <c r="E2312" t="str">
        <f t="shared" si="106"/>
        <v>SATURDAY</v>
      </c>
      <c r="F2312" t="e">
        <f t="shared" si="107"/>
        <v>#N/A</v>
      </c>
      <c r="G2312" s="74">
        <v>32969</v>
      </c>
      <c r="H2312" s="77">
        <v>0.58333333333333337</v>
      </c>
      <c r="J2312">
        <v>51.08</v>
      </c>
      <c r="M2312" s="74">
        <v>33334</v>
      </c>
      <c r="N2312" s="77">
        <v>0.58333333333333337</v>
      </c>
      <c r="P2312">
        <v>75.02</v>
      </c>
      <c r="S2312" s="74">
        <v>33334</v>
      </c>
      <c r="T2312" s="77">
        <v>0.58333333333333337</v>
      </c>
      <c r="V2312">
        <v>66.02</v>
      </c>
      <c r="X2312" s="42"/>
      <c r="AB2312">
        <v>52.7</v>
      </c>
      <c r="AC2312">
        <v>69.080000000000013</v>
      </c>
      <c r="AE2312" s="74"/>
      <c r="AF2312" s="77"/>
      <c r="AH2312" s="497">
        <v>75.02</v>
      </c>
      <c r="AJ2312" s="42"/>
      <c r="AK2312" s="74"/>
      <c r="AL2312" s="77"/>
      <c r="AN2312" s="497">
        <v>53.96</v>
      </c>
      <c r="AP2312" s="42"/>
      <c r="AQ2312" s="74"/>
      <c r="AR2312" s="77"/>
      <c r="AT2312" s="497">
        <v>42.08</v>
      </c>
      <c r="AV2312" s="42"/>
      <c r="AW2312" s="74"/>
      <c r="AX2312" s="77"/>
      <c r="BA2312" s="497">
        <v>55.94</v>
      </c>
      <c r="BB2312" s="42"/>
      <c r="BC2312" s="74"/>
      <c r="BD2312" s="77"/>
      <c r="BF2312">
        <v>55.94</v>
      </c>
      <c r="BH2312" s="42"/>
      <c r="BI2312" s="74"/>
      <c r="BJ2312" s="77"/>
      <c r="BL2312" s="497">
        <v>33.979999999999997</v>
      </c>
      <c r="BN2312" s="42"/>
      <c r="BO2312" s="74"/>
      <c r="BP2312" s="77"/>
      <c r="BR2312" s="497">
        <v>53.96</v>
      </c>
      <c r="BT2312" s="42"/>
    </row>
    <row r="2313" spans="1:72" x14ac:dyDescent="0.25">
      <c r="A2313" s="90">
        <v>33334</v>
      </c>
      <c r="B2313" s="20">
        <v>0.625</v>
      </c>
      <c r="D2313">
        <v>51.980000000000004</v>
      </c>
      <c r="E2313" t="str">
        <f t="shared" si="106"/>
        <v>SATURDAY</v>
      </c>
      <c r="F2313" t="e">
        <f t="shared" si="107"/>
        <v>#N/A</v>
      </c>
      <c r="G2313" s="74">
        <v>32969</v>
      </c>
      <c r="H2313" s="77">
        <v>0.625</v>
      </c>
      <c r="J2313">
        <v>51.08</v>
      </c>
      <c r="M2313" s="74">
        <v>33334</v>
      </c>
      <c r="N2313" s="77">
        <v>0.625</v>
      </c>
      <c r="P2313">
        <v>75.92</v>
      </c>
      <c r="S2313" s="74">
        <v>33334</v>
      </c>
      <c r="T2313" s="77">
        <v>0.625</v>
      </c>
      <c r="V2313">
        <v>62.96</v>
      </c>
      <c r="X2313" s="42"/>
      <c r="AB2313">
        <v>52.9</v>
      </c>
      <c r="AC2313">
        <v>69.080000000000013</v>
      </c>
      <c r="AE2313" s="74"/>
      <c r="AF2313" s="77"/>
      <c r="AH2313" s="497">
        <v>77</v>
      </c>
      <c r="AJ2313" s="42"/>
      <c r="AK2313" s="74"/>
      <c r="AL2313" s="77"/>
      <c r="AN2313" s="497">
        <v>53.96</v>
      </c>
      <c r="AP2313" s="42"/>
      <c r="AQ2313" s="74"/>
      <c r="AR2313" s="77"/>
      <c r="AT2313" s="497">
        <v>42.08</v>
      </c>
      <c r="AV2313" s="42"/>
      <c r="AW2313" s="74"/>
      <c r="AX2313" s="77"/>
      <c r="BA2313" s="497">
        <v>53.96</v>
      </c>
      <c r="BB2313" s="42"/>
      <c r="BC2313" s="74"/>
      <c r="BD2313" s="77"/>
      <c r="BF2313">
        <v>57.92</v>
      </c>
      <c r="BH2313" s="42"/>
      <c r="BI2313" s="74"/>
      <c r="BJ2313" s="77"/>
      <c r="BL2313" s="497">
        <v>33.979999999999997</v>
      </c>
      <c r="BN2313" s="42"/>
      <c r="BO2313" s="74"/>
      <c r="BP2313" s="77"/>
      <c r="BR2313" s="497">
        <v>53.96</v>
      </c>
      <c r="BT2313" s="42"/>
    </row>
    <row r="2314" spans="1:72" x14ac:dyDescent="0.25">
      <c r="A2314" s="90">
        <v>33334</v>
      </c>
      <c r="B2314" s="20">
        <v>0.66666666666666663</v>
      </c>
      <c r="D2314">
        <v>53.06</v>
      </c>
      <c r="E2314" t="str">
        <f t="shared" si="106"/>
        <v>SATURDAY</v>
      </c>
      <c r="F2314" t="e">
        <f t="shared" si="107"/>
        <v>#N/A</v>
      </c>
      <c r="G2314" s="74">
        <v>32969</v>
      </c>
      <c r="H2314" s="77">
        <v>0.66666666666666663</v>
      </c>
      <c r="J2314">
        <v>50</v>
      </c>
      <c r="M2314" s="74">
        <v>33334</v>
      </c>
      <c r="N2314" s="77">
        <v>0.66666666666666663</v>
      </c>
      <c r="P2314">
        <v>75.02</v>
      </c>
      <c r="S2314" s="74">
        <v>33334</v>
      </c>
      <c r="T2314" s="77">
        <v>0.66666666666666663</v>
      </c>
      <c r="V2314">
        <v>60.08</v>
      </c>
      <c r="X2314" s="42"/>
      <c r="AB2314">
        <v>52.9</v>
      </c>
      <c r="AC2314">
        <v>69.98</v>
      </c>
      <c r="AE2314" s="74"/>
      <c r="AF2314" s="77"/>
      <c r="AH2314" s="497">
        <v>77</v>
      </c>
      <c r="AJ2314" s="42"/>
      <c r="AK2314" s="74"/>
      <c r="AL2314" s="77"/>
      <c r="AN2314" s="497">
        <v>53.96</v>
      </c>
      <c r="AP2314" s="42"/>
      <c r="AQ2314" s="74"/>
      <c r="AR2314" s="77"/>
      <c r="AT2314" s="497">
        <v>39.92</v>
      </c>
      <c r="AV2314" s="42"/>
      <c r="AW2314" s="74"/>
      <c r="AX2314" s="77"/>
      <c r="BA2314" s="497">
        <v>51.08</v>
      </c>
      <c r="BB2314" s="42"/>
      <c r="BC2314" s="74"/>
      <c r="BD2314" s="77"/>
      <c r="BF2314">
        <v>59</v>
      </c>
      <c r="BH2314" s="42"/>
      <c r="BI2314" s="74"/>
      <c r="BJ2314" s="77"/>
      <c r="BL2314" s="497">
        <v>35.06</v>
      </c>
      <c r="BN2314" s="42"/>
      <c r="BO2314" s="74"/>
      <c r="BP2314" s="77"/>
      <c r="BR2314" s="497">
        <v>51.980000000000004</v>
      </c>
      <c r="BT2314" s="42"/>
    </row>
    <row r="2315" spans="1:72" x14ac:dyDescent="0.25">
      <c r="A2315" s="90">
        <v>33334</v>
      </c>
      <c r="B2315" s="20">
        <v>0.70833333333333337</v>
      </c>
      <c r="D2315">
        <v>53.96</v>
      </c>
      <c r="E2315" t="str">
        <f t="shared" si="106"/>
        <v>SATURDAY</v>
      </c>
      <c r="F2315" t="e">
        <f t="shared" si="107"/>
        <v>#N/A</v>
      </c>
      <c r="G2315" s="74">
        <v>32969</v>
      </c>
      <c r="H2315" s="77">
        <v>0.70833333333333337</v>
      </c>
      <c r="J2315">
        <v>50</v>
      </c>
      <c r="M2315" s="74">
        <v>33334</v>
      </c>
      <c r="N2315" s="77">
        <v>0.70833333333333337</v>
      </c>
      <c r="P2315">
        <v>73.039999999999992</v>
      </c>
      <c r="S2315" s="74">
        <v>33334</v>
      </c>
      <c r="T2315" s="77">
        <v>0.70833333333333337</v>
      </c>
      <c r="V2315">
        <v>60.08</v>
      </c>
      <c r="X2315" s="42"/>
      <c r="AB2315">
        <v>52.3</v>
      </c>
      <c r="AC2315">
        <v>64.94</v>
      </c>
      <c r="AE2315" s="74"/>
      <c r="AF2315" s="77"/>
      <c r="AH2315" s="497">
        <v>75.92</v>
      </c>
      <c r="AJ2315" s="42"/>
      <c r="AK2315" s="74"/>
      <c r="AL2315" s="77"/>
      <c r="AN2315" s="497">
        <v>53.96</v>
      </c>
      <c r="AP2315" s="42"/>
      <c r="AQ2315" s="74"/>
      <c r="AR2315" s="77"/>
      <c r="AT2315" s="497">
        <v>39.92</v>
      </c>
      <c r="AV2315" s="42"/>
      <c r="AW2315" s="74"/>
      <c r="AX2315" s="77"/>
      <c r="BA2315" s="497">
        <v>44.96</v>
      </c>
      <c r="BB2315" s="42"/>
      <c r="BC2315" s="74"/>
      <c r="BD2315" s="77"/>
      <c r="BF2315">
        <v>57.92</v>
      </c>
      <c r="BH2315" s="42"/>
      <c r="BI2315" s="74"/>
      <c r="BJ2315" s="77"/>
      <c r="BL2315" s="497">
        <v>35.06</v>
      </c>
      <c r="BN2315" s="42"/>
      <c r="BO2315" s="74"/>
      <c r="BP2315" s="77"/>
      <c r="BR2315" s="497">
        <v>46.94</v>
      </c>
      <c r="BT2315" s="42"/>
    </row>
    <row r="2316" spans="1:72" x14ac:dyDescent="0.25">
      <c r="A2316" s="90">
        <v>33334</v>
      </c>
      <c r="B2316" s="20">
        <v>0.75</v>
      </c>
      <c r="D2316">
        <v>57.019999999999996</v>
      </c>
      <c r="E2316" t="str">
        <f t="shared" si="106"/>
        <v>SATURDAY</v>
      </c>
      <c r="F2316" t="e">
        <f t="shared" si="107"/>
        <v>#N/A</v>
      </c>
      <c r="G2316" s="74">
        <v>32969</v>
      </c>
      <c r="H2316" s="77">
        <v>0.75</v>
      </c>
      <c r="J2316">
        <v>50</v>
      </c>
      <c r="M2316" s="74">
        <v>33334</v>
      </c>
      <c r="N2316" s="77">
        <v>0.75</v>
      </c>
      <c r="P2316">
        <v>69.080000000000013</v>
      </c>
      <c r="S2316" s="74">
        <v>33334</v>
      </c>
      <c r="T2316" s="77">
        <v>0.75</v>
      </c>
      <c r="V2316">
        <v>57.019999999999996</v>
      </c>
      <c r="X2316" s="42"/>
      <c r="AB2316">
        <v>51.1</v>
      </c>
      <c r="AC2316">
        <v>60.08</v>
      </c>
      <c r="AE2316" s="74"/>
      <c r="AF2316" s="77"/>
      <c r="AH2316" s="497">
        <v>75.02</v>
      </c>
      <c r="AJ2316" s="42"/>
      <c r="AK2316" s="74"/>
      <c r="AL2316" s="77"/>
      <c r="AN2316" s="497">
        <v>51.980000000000004</v>
      </c>
      <c r="AP2316" s="42"/>
      <c r="AQ2316" s="74"/>
      <c r="AR2316" s="77"/>
      <c r="AT2316" s="497">
        <v>37.94</v>
      </c>
      <c r="AV2316" s="42"/>
      <c r="AW2316" s="74"/>
      <c r="AX2316" s="77"/>
      <c r="BA2316" s="497">
        <v>44.96</v>
      </c>
      <c r="BB2316" s="42"/>
      <c r="BC2316" s="74"/>
      <c r="BD2316" s="77"/>
      <c r="BF2316">
        <v>53.06</v>
      </c>
      <c r="BH2316" s="42"/>
      <c r="BI2316" s="74"/>
      <c r="BJ2316" s="77"/>
      <c r="BL2316" s="497">
        <v>33.979999999999997</v>
      </c>
      <c r="BN2316" s="42"/>
      <c r="BO2316" s="74"/>
      <c r="BP2316" s="77"/>
      <c r="BR2316" s="497">
        <v>44.96</v>
      </c>
      <c r="BT2316" s="42"/>
    </row>
    <row r="2317" spans="1:72" x14ac:dyDescent="0.25">
      <c r="A2317" s="90">
        <v>33334</v>
      </c>
      <c r="B2317" s="20">
        <v>0.79166666666666663</v>
      </c>
      <c r="D2317">
        <v>55.040000000000006</v>
      </c>
      <c r="E2317" t="str">
        <f t="shared" si="106"/>
        <v>SATURDAY</v>
      </c>
      <c r="F2317" t="e">
        <f t="shared" si="107"/>
        <v>#N/A</v>
      </c>
      <c r="G2317" s="74">
        <v>32969</v>
      </c>
      <c r="H2317" s="77">
        <v>0.79166666666666663</v>
      </c>
      <c r="J2317">
        <v>48.92</v>
      </c>
      <c r="M2317" s="74">
        <v>33334</v>
      </c>
      <c r="N2317" s="77">
        <v>0.79166666666666663</v>
      </c>
      <c r="P2317">
        <v>66.02</v>
      </c>
      <c r="S2317" s="74">
        <v>33334</v>
      </c>
      <c r="T2317" s="77">
        <v>0.79166666666666663</v>
      </c>
      <c r="V2317">
        <v>53.96</v>
      </c>
      <c r="X2317" s="42"/>
      <c r="AB2317">
        <v>49.8</v>
      </c>
      <c r="AC2317">
        <v>57.019999999999996</v>
      </c>
      <c r="AE2317" s="74"/>
      <c r="AF2317" s="77"/>
      <c r="AH2317" s="497">
        <v>66.92</v>
      </c>
      <c r="AJ2317" s="42"/>
      <c r="AK2317" s="74"/>
      <c r="AL2317" s="77"/>
      <c r="AN2317" s="497">
        <v>48.019999999999996</v>
      </c>
      <c r="AP2317" s="42"/>
      <c r="AQ2317" s="74"/>
      <c r="AR2317" s="77"/>
      <c r="AT2317" s="497">
        <v>37.04</v>
      </c>
      <c r="AV2317" s="42"/>
      <c r="AW2317" s="74"/>
      <c r="AX2317" s="77"/>
      <c r="BA2317" s="497">
        <v>44.06</v>
      </c>
      <c r="BB2317" s="42"/>
      <c r="BC2317" s="74"/>
      <c r="BD2317" s="77"/>
      <c r="BF2317">
        <v>50</v>
      </c>
      <c r="BH2317" s="42"/>
      <c r="BI2317" s="74"/>
      <c r="BJ2317" s="77"/>
      <c r="BL2317" s="497">
        <v>32</v>
      </c>
      <c r="BN2317" s="42"/>
      <c r="BO2317" s="74"/>
      <c r="BP2317" s="77"/>
      <c r="BR2317" s="497">
        <v>44.96</v>
      </c>
      <c r="BT2317" s="42"/>
    </row>
    <row r="2318" spans="1:72" x14ac:dyDescent="0.25">
      <c r="A2318" s="90">
        <v>33334</v>
      </c>
      <c r="B2318" s="20">
        <v>0.83333333333333337</v>
      </c>
      <c r="D2318">
        <v>53.96</v>
      </c>
      <c r="E2318" t="str">
        <f t="shared" si="106"/>
        <v>SATURDAY</v>
      </c>
      <c r="F2318" t="e">
        <f t="shared" si="107"/>
        <v>#N/A</v>
      </c>
      <c r="G2318" s="74">
        <v>32969</v>
      </c>
      <c r="H2318" s="77">
        <v>0.83333333333333337</v>
      </c>
      <c r="J2318">
        <v>46.04</v>
      </c>
      <c r="M2318" s="74">
        <v>33334</v>
      </c>
      <c r="N2318" s="77">
        <v>0.83333333333333337</v>
      </c>
      <c r="P2318">
        <v>66.92</v>
      </c>
      <c r="S2318" s="74">
        <v>33334</v>
      </c>
      <c r="T2318" s="77">
        <v>0.83333333333333337</v>
      </c>
      <c r="V2318">
        <v>53.96</v>
      </c>
      <c r="X2318" s="42"/>
      <c r="AB2318">
        <v>48.6</v>
      </c>
      <c r="AC2318">
        <v>55.040000000000006</v>
      </c>
      <c r="AE2318" s="74"/>
      <c r="AF2318" s="77"/>
      <c r="AH2318" s="497">
        <v>64.039999999999992</v>
      </c>
      <c r="AJ2318" s="42"/>
      <c r="AK2318" s="74"/>
      <c r="AL2318" s="77"/>
      <c r="AN2318" s="497">
        <v>46.04</v>
      </c>
      <c r="AP2318" s="42"/>
      <c r="AQ2318" s="74"/>
      <c r="AR2318" s="77"/>
      <c r="AT2318" s="497">
        <v>37.04</v>
      </c>
      <c r="AV2318" s="42"/>
      <c r="AW2318" s="74"/>
      <c r="AX2318" s="77"/>
      <c r="BA2318" s="497">
        <v>42.980000000000004</v>
      </c>
      <c r="BB2318" s="42"/>
      <c r="BC2318" s="74"/>
      <c r="BD2318" s="77"/>
      <c r="BF2318">
        <v>46.94</v>
      </c>
      <c r="BH2318" s="42"/>
      <c r="BI2318" s="74"/>
      <c r="BJ2318" s="77"/>
      <c r="BL2318" s="497">
        <v>30.92</v>
      </c>
      <c r="BN2318" s="42"/>
      <c r="BO2318" s="74"/>
      <c r="BP2318" s="77"/>
      <c r="BR2318" s="497">
        <v>42.980000000000004</v>
      </c>
      <c r="BT2318" s="42"/>
    </row>
    <row r="2319" spans="1:72" x14ac:dyDescent="0.25">
      <c r="A2319" s="90">
        <v>33334</v>
      </c>
      <c r="B2319" s="20">
        <v>0.875</v>
      </c>
      <c r="D2319">
        <v>53.06</v>
      </c>
      <c r="E2319" t="str">
        <f t="shared" si="106"/>
        <v>SATURDAY</v>
      </c>
      <c r="F2319" t="e">
        <f t="shared" si="107"/>
        <v>#N/A</v>
      </c>
      <c r="G2319" s="74">
        <v>32969</v>
      </c>
      <c r="H2319" s="77">
        <v>0.875</v>
      </c>
      <c r="J2319">
        <v>44.06</v>
      </c>
      <c r="M2319" s="74">
        <v>33334</v>
      </c>
      <c r="N2319" s="77">
        <v>0.875</v>
      </c>
      <c r="P2319">
        <v>64.039999999999992</v>
      </c>
      <c r="S2319" s="74">
        <v>33334</v>
      </c>
      <c r="T2319" s="77">
        <v>0.875</v>
      </c>
      <c r="V2319">
        <v>62.06</v>
      </c>
      <c r="X2319" s="42"/>
      <c r="AB2319">
        <v>47.9</v>
      </c>
      <c r="AC2319">
        <v>57.019999999999996</v>
      </c>
      <c r="AE2319" s="74"/>
      <c r="AF2319" s="77"/>
      <c r="AH2319" s="497">
        <v>60.980000000000004</v>
      </c>
      <c r="AJ2319" s="42"/>
      <c r="AK2319" s="74"/>
      <c r="AL2319" s="77"/>
      <c r="AN2319" s="497">
        <v>44.96</v>
      </c>
      <c r="AP2319" s="42"/>
      <c r="AQ2319" s="74"/>
      <c r="AR2319" s="77"/>
      <c r="AT2319" s="497">
        <v>35.96</v>
      </c>
      <c r="AV2319" s="42"/>
      <c r="AW2319" s="74"/>
      <c r="AX2319" s="77"/>
      <c r="BA2319" s="497">
        <v>42.980000000000004</v>
      </c>
      <c r="BB2319" s="42"/>
      <c r="BC2319" s="74"/>
      <c r="BD2319" s="77"/>
      <c r="BF2319">
        <v>44.96</v>
      </c>
      <c r="BH2319" s="42"/>
      <c r="BI2319" s="74"/>
      <c r="BJ2319" s="77"/>
      <c r="BL2319" s="497">
        <v>30.02</v>
      </c>
      <c r="BN2319" s="42"/>
      <c r="BO2319" s="74"/>
      <c r="BP2319" s="77"/>
      <c r="BR2319" s="497">
        <v>41</v>
      </c>
      <c r="BT2319" s="42"/>
    </row>
    <row r="2320" spans="1:72" x14ac:dyDescent="0.25">
      <c r="A2320" s="90">
        <v>33334</v>
      </c>
      <c r="B2320" s="20">
        <v>0.91666666666666663</v>
      </c>
      <c r="D2320">
        <v>51.980000000000004</v>
      </c>
      <c r="E2320" t="str">
        <f t="shared" si="106"/>
        <v>SATURDAY</v>
      </c>
      <c r="F2320" t="e">
        <f t="shared" si="107"/>
        <v>#N/A</v>
      </c>
      <c r="G2320" s="74">
        <v>32969</v>
      </c>
      <c r="H2320" s="77">
        <v>0.91666666666666663</v>
      </c>
      <c r="J2320">
        <v>42.980000000000004</v>
      </c>
      <c r="M2320" s="74">
        <v>33334</v>
      </c>
      <c r="N2320" s="77">
        <v>0.91666666666666663</v>
      </c>
      <c r="P2320">
        <v>60.08</v>
      </c>
      <c r="S2320" s="74">
        <v>33334</v>
      </c>
      <c r="T2320" s="77">
        <v>0.91666666666666663</v>
      </c>
      <c r="V2320">
        <v>60.980000000000004</v>
      </c>
      <c r="X2320" s="42"/>
      <c r="AB2320">
        <v>47.4</v>
      </c>
      <c r="AC2320">
        <v>57.92</v>
      </c>
      <c r="AE2320" s="74"/>
      <c r="AF2320" s="77"/>
      <c r="AH2320" s="497">
        <v>60.980000000000004</v>
      </c>
      <c r="AJ2320" s="42"/>
      <c r="AK2320" s="74"/>
      <c r="AL2320" s="77"/>
      <c r="AN2320" s="497">
        <v>44.06</v>
      </c>
      <c r="AP2320" s="42"/>
      <c r="AQ2320" s="74"/>
      <c r="AR2320" s="77"/>
      <c r="AT2320" s="497">
        <v>35.06</v>
      </c>
      <c r="AV2320" s="42"/>
      <c r="AW2320" s="74"/>
      <c r="AX2320" s="77"/>
      <c r="BA2320" s="497">
        <v>42.980000000000004</v>
      </c>
      <c r="BB2320" s="42"/>
      <c r="BC2320" s="74"/>
      <c r="BD2320" s="77"/>
      <c r="BF2320">
        <v>44.06</v>
      </c>
      <c r="BH2320" s="42"/>
      <c r="BI2320" s="74"/>
      <c r="BJ2320" s="77"/>
      <c r="BL2320" s="497">
        <v>26.96</v>
      </c>
      <c r="BN2320" s="42"/>
      <c r="BO2320" s="74"/>
      <c r="BP2320" s="77"/>
      <c r="BR2320" s="497">
        <v>39.92</v>
      </c>
      <c r="BT2320" s="42"/>
    </row>
    <row r="2321" spans="1:72" x14ac:dyDescent="0.25">
      <c r="A2321" s="90">
        <v>33334</v>
      </c>
      <c r="B2321" s="20">
        <v>0.95833333333333337</v>
      </c>
      <c r="D2321">
        <v>51.980000000000004</v>
      </c>
      <c r="E2321" t="str">
        <f t="shared" si="106"/>
        <v>SATURDAY</v>
      </c>
      <c r="F2321" t="e">
        <f t="shared" si="107"/>
        <v>#N/A</v>
      </c>
      <c r="G2321" s="74">
        <v>32969</v>
      </c>
      <c r="H2321" s="77">
        <v>0.95833333333333337</v>
      </c>
      <c r="J2321">
        <v>42.08</v>
      </c>
      <c r="M2321" s="74">
        <v>33334</v>
      </c>
      <c r="N2321" s="77">
        <v>0.95833333333333337</v>
      </c>
      <c r="P2321">
        <v>60.980000000000004</v>
      </c>
      <c r="S2321" s="74">
        <v>33334</v>
      </c>
      <c r="T2321" s="77">
        <v>0.95833333333333337</v>
      </c>
      <c r="V2321">
        <v>57.019999999999996</v>
      </c>
      <c r="X2321" s="42"/>
      <c r="AB2321">
        <v>46.6</v>
      </c>
      <c r="AC2321">
        <v>57.019999999999996</v>
      </c>
      <c r="AE2321" s="74"/>
      <c r="AF2321" s="77"/>
      <c r="AH2321" s="497">
        <v>60.980000000000004</v>
      </c>
      <c r="AJ2321" s="42"/>
      <c r="AK2321" s="74"/>
      <c r="AL2321" s="77"/>
      <c r="AN2321" s="497">
        <v>42.980000000000004</v>
      </c>
      <c r="AP2321" s="42"/>
      <c r="AQ2321" s="74"/>
      <c r="AR2321" s="77"/>
      <c r="AT2321" s="497">
        <v>35.06</v>
      </c>
      <c r="AV2321" s="42"/>
      <c r="AW2321" s="74"/>
      <c r="AX2321" s="77"/>
      <c r="BA2321" s="497">
        <v>41</v>
      </c>
      <c r="BB2321" s="42"/>
      <c r="BC2321" s="74"/>
      <c r="BD2321" s="77"/>
      <c r="BF2321">
        <v>42.980000000000004</v>
      </c>
      <c r="BH2321" s="42"/>
      <c r="BI2321" s="74"/>
      <c r="BJ2321" s="77"/>
      <c r="BL2321" s="497">
        <v>26.96</v>
      </c>
      <c r="BN2321" s="42"/>
      <c r="BO2321" s="74"/>
      <c r="BP2321" s="77"/>
      <c r="BR2321" s="497">
        <v>39.019999999999996</v>
      </c>
      <c r="BT2321" s="42"/>
    </row>
    <row r="2322" spans="1:72" x14ac:dyDescent="0.25">
      <c r="A2322" s="90">
        <v>33334</v>
      </c>
      <c r="B2322" s="20">
        <v>1</v>
      </c>
      <c r="D2322">
        <v>53.06</v>
      </c>
      <c r="E2322" t="str">
        <f t="shared" si="106"/>
        <v>SATURDAY</v>
      </c>
      <c r="F2322" t="e">
        <f t="shared" si="107"/>
        <v>#N/A</v>
      </c>
      <c r="G2322" s="74">
        <v>32969</v>
      </c>
      <c r="H2322" s="77">
        <v>1</v>
      </c>
      <c r="J2322">
        <v>42.08</v>
      </c>
      <c r="M2322" s="74">
        <v>33334</v>
      </c>
      <c r="N2322" s="80">
        <v>1</v>
      </c>
      <c r="P2322">
        <v>62.06</v>
      </c>
      <c r="S2322" s="74">
        <v>33334</v>
      </c>
      <c r="T2322" s="80">
        <v>1</v>
      </c>
      <c r="V2322">
        <v>57.92</v>
      </c>
      <c r="X2322" s="42"/>
      <c r="AB2322">
        <v>46</v>
      </c>
      <c r="AC2322">
        <v>57.019999999999996</v>
      </c>
      <c r="AE2322" s="74"/>
      <c r="AF2322" s="80"/>
      <c r="AH2322" s="497">
        <v>60.980000000000004</v>
      </c>
      <c r="AJ2322" s="42"/>
      <c r="AK2322" s="74"/>
      <c r="AL2322" s="80"/>
      <c r="AN2322" s="497">
        <v>39.92</v>
      </c>
      <c r="AP2322" s="42"/>
      <c r="AQ2322" s="74"/>
      <c r="AR2322" s="80"/>
      <c r="AT2322" s="497">
        <v>33.979999999999997</v>
      </c>
      <c r="AV2322" s="42"/>
      <c r="AW2322" s="74"/>
      <c r="AX2322" s="80"/>
      <c r="BA2322" s="497">
        <v>39.92</v>
      </c>
      <c r="BB2322" s="42"/>
      <c r="BC2322" s="74"/>
      <c r="BD2322" s="80"/>
      <c r="BF2322">
        <v>42.980000000000004</v>
      </c>
      <c r="BH2322" s="42"/>
      <c r="BI2322" s="74"/>
      <c r="BJ2322" s="80"/>
      <c r="BL2322" s="497">
        <v>26.060000000000002</v>
      </c>
      <c r="BN2322" s="42"/>
      <c r="BO2322" s="74"/>
      <c r="BP2322" s="80"/>
      <c r="BR2322" s="497">
        <v>39.92</v>
      </c>
      <c r="BT2322" s="42"/>
    </row>
    <row r="2323" spans="1:72" x14ac:dyDescent="0.25">
      <c r="A2323" s="90">
        <v>33335</v>
      </c>
      <c r="B2323" s="20">
        <v>4.1666666666666664E-2</v>
      </c>
      <c r="D2323">
        <v>53.96</v>
      </c>
      <c r="E2323" t="str">
        <f t="shared" ref="E2323:E2386" si="108">IF(COUNTIF($DI$18:$DI$22, WEEKDAY(A2323))=1, "WEEKDAY", IF(WEEKDAY(A2323) = 1, "SUNDAY", "SATURDAY"))</f>
        <v>SUNDAY</v>
      </c>
      <c r="F2323" t="e">
        <f t="shared" si="107"/>
        <v>#N/A</v>
      </c>
      <c r="G2323" s="74">
        <v>32970</v>
      </c>
      <c r="H2323" s="77">
        <v>4.1666666666666664E-2</v>
      </c>
      <c r="J2323">
        <v>41</v>
      </c>
      <c r="M2323" s="74">
        <v>33335</v>
      </c>
      <c r="N2323" s="77">
        <v>4.1666666666666664E-2</v>
      </c>
      <c r="P2323">
        <v>62.06</v>
      </c>
      <c r="S2323" s="74">
        <v>33335</v>
      </c>
      <c r="T2323" s="77">
        <v>4.1666666666666664E-2</v>
      </c>
      <c r="V2323">
        <v>60.08</v>
      </c>
      <c r="X2323" s="42"/>
      <c r="AB2323">
        <v>45.3</v>
      </c>
      <c r="AC2323">
        <v>57.019999999999996</v>
      </c>
      <c r="AE2323" s="74"/>
      <c r="AF2323" s="77"/>
      <c r="AH2323" s="497">
        <v>60.08</v>
      </c>
      <c r="AJ2323" s="42"/>
      <c r="AK2323" s="74"/>
      <c r="AL2323" s="77"/>
      <c r="AN2323" s="497">
        <v>41</v>
      </c>
      <c r="AP2323" s="42"/>
      <c r="AQ2323" s="74"/>
      <c r="AR2323" s="77"/>
      <c r="AT2323" s="497">
        <v>33.08</v>
      </c>
      <c r="AV2323" s="42"/>
      <c r="AW2323" s="74"/>
      <c r="AX2323" s="77"/>
      <c r="BA2323" s="497">
        <v>39.92</v>
      </c>
      <c r="BB2323" s="42"/>
      <c r="BC2323" s="74"/>
      <c r="BD2323" s="77"/>
      <c r="BF2323">
        <v>44.96</v>
      </c>
      <c r="BH2323" s="42"/>
      <c r="BI2323" s="74"/>
      <c r="BJ2323" s="77"/>
      <c r="BL2323" s="497">
        <v>26.060000000000002</v>
      </c>
      <c r="BN2323" s="42"/>
      <c r="BO2323" s="74"/>
      <c r="BP2323" s="77"/>
      <c r="BR2323" s="497">
        <v>39.92</v>
      </c>
      <c r="BT2323" s="42"/>
    </row>
    <row r="2324" spans="1:72" x14ac:dyDescent="0.25">
      <c r="A2324" s="90">
        <v>33335</v>
      </c>
      <c r="B2324" s="20">
        <v>8.3333333333333329E-2</v>
      </c>
      <c r="D2324">
        <v>53.06</v>
      </c>
      <c r="E2324" t="str">
        <f t="shared" si="108"/>
        <v>SUNDAY</v>
      </c>
      <c r="F2324" t="e">
        <f t="shared" si="107"/>
        <v>#N/A</v>
      </c>
      <c r="G2324" s="74">
        <v>32970</v>
      </c>
      <c r="H2324" s="77">
        <v>8.3333333333333329E-2</v>
      </c>
      <c r="J2324">
        <v>39.019999999999996</v>
      </c>
      <c r="M2324" s="74">
        <v>33335</v>
      </c>
      <c r="N2324" s="77">
        <v>8.3333333333333329E-2</v>
      </c>
      <c r="P2324">
        <v>62.24</v>
      </c>
      <c r="S2324" s="74">
        <v>33335</v>
      </c>
      <c r="T2324" s="77">
        <v>8.3333333333333329E-2</v>
      </c>
      <c r="V2324">
        <v>58.1</v>
      </c>
      <c r="X2324" s="42"/>
      <c r="AB2324">
        <v>44.7</v>
      </c>
      <c r="AC2324">
        <v>57.56</v>
      </c>
      <c r="AE2324" s="74"/>
      <c r="AF2324" s="77"/>
      <c r="AH2324" s="497">
        <v>58.82</v>
      </c>
      <c r="AJ2324" s="42"/>
      <c r="AK2324" s="74"/>
      <c r="AL2324" s="77"/>
      <c r="AN2324" s="497">
        <v>42.08</v>
      </c>
      <c r="AP2324" s="42"/>
      <c r="AQ2324" s="74"/>
      <c r="AR2324" s="77"/>
      <c r="AT2324" s="497">
        <v>33.08</v>
      </c>
      <c r="AV2324" s="42"/>
      <c r="AW2324" s="74"/>
      <c r="AX2324" s="77"/>
      <c r="BA2324" s="497">
        <v>39.92</v>
      </c>
      <c r="BB2324" s="42"/>
      <c r="BC2324" s="74"/>
      <c r="BD2324" s="77"/>
      <c r="BF2324">
        <v>44.06</v>
      </c>
      <c r="BH2324" s="42"/>
      <c r="BI2324" s="74"/>
      <c r="BJ2324" s="77"/>
      <c r="BL2324" s="497">
        <v>25.52</v>
      </c>
      <c r="BN2324" s="42"/>
      <c r="BO2324" s="74"/>
      <c r="BP2324" s="77"/>
      <c r="BR2324" s="497">
        <v>39.92</v>
      </c>
      <c r="BT2324" s="42"/>
    </row>
    <row r="2325" spans="1:72" x14ac:dyDescent="0.25">
      <c r="A2325" s="90">
        <v>33335</v>
      </c>
      <c r="B2325" s="20">
        <v>0.125</v>
      </c>
      <c r="D2325">
        <v>51.980000000000004</v>
      </c>
      <c r="E2325" t="str">
        <f t="shared" si="108"/>
        <v>SUNDAY</v>
      </c>
      <c r="F2325" t="e">
        <f t="shared" si="107"/>
        <v>#N/A</v>
      </c>
      <c r="G2325" s="74">
        <v>32970</v>
      </c>
      <c r="H2325" s="77">
        <v>0.125</v>
      </c>
      <c r="J2325">
        <v>35.06</v>
      </c>
      <c r="M2325" s="74">
        <v>33335</v>
      </c>
      <c r="N2325" s="77">
        <v>0.125</v>
      </c>
      <c r="P2325">
        <v>61.88</v>
      </c>
      <c r="S2325" s="74">
        <v>33335</v>
      </c>
      <c r="T2325" s="77">
        <v>0.125</v>
      </c>
      <c r="V2325">
        <v>55.94</v>
      </c>
      <c r="X2325" s="42"/>
      <c r="AB2325">
        <v>44.3</v>
      </c>
      <c r="AC2325">
        <v>57.92</v>
      </c>
      <c r="AE2325" s="74"/>
      <c r="AF2325" s="77"/>
      <c r="AH2325" s="497">
        <v>57.92</v>
      </c>
      <c r="AJ2325" s="42"/>
      <c r="AK2325" s="74"/>
      <c r="AL2325" s="77"/>
      <c r="AN2325" s="497">
        <v>42.08</v>
      </c>
      <c r="AP2325" s="42"/>
      <c r="AQ2325" s="74"/>
      <c r="AR2325" s="77"/>
      <c r="AT2325" s="497">
        <v>33.08</v>
      </c>
      <c r="AV2325" s="42"/>
      <c r="AW2325" s="74"/>
      <c r="AX2325" s="77"/>
      <c r="BA2325" s="497">
        <v>37.04</v>
      </c>
      <c r="BB2325" s="42"/>
      <c r="BC2325" s="74"/>
      <c r="BD2325" s="77"/>
      <c r="BF2325">
        <v>42.08</v>
      </c>
      <c r="BH2325" s="42"/>
      <c r="BI2325" s="74"/>
      <c r="BJ2325" s="77"/>
      <c r="BL2325" s="497">
        <v>24.98</v>
      </c>
      <c r="BN2325" s="42"/>
      <c r="BO2325" s="74"/>
      <c r="BP2325" s="77"/>
      <c r="BR2325" s="497">
        <v>37.94</v>
      </c>
      <c r="BT2325" s="42"/>
    </row>
    <row r="2326" spans="1:72" x14ac:dyDescent="0.25">
      <c r="A2326" s="90">
        <v>33335</v>
      </c>
      <c r="B2326" s="20">
        <v>0.16666666666666666</v>
      </c>
      <c r="D2326">
        <v>55.040000000000006</v>
      </c>
      <c r="E2326" t="str">
        <f t="shared" si="108"/>
        <v>SUNDAY</v>
      </c>
      <c r="F2326" t="e">
        <f t="shared" si="107"/>
        <v>#N/A</v>
      </c>
      <c r="G2326" s="74">
        <v>32970</v>
      </c>
      <c r="H2326" s="77">
        <v>0.16666666666666666</v>
      </c>
      <c r="J2326">
        <v>33.979999999999997</v>
      </c>
      <c r="M2326" s="74">
        <v>33335</v>
      </c>
      <c r="N2326" s="77">
        <v>0.16666666666666666</v>
      </c>
      <c r="P2326">
        <v>61.88</v>
      </c>
      <c r="S2326" s="74">
        <v>33335</v>
      </c>
      <c r="T2326" s="77">
        <v>0.16666666666666666</v>
      </c>
      <c r="V2326">
        <v>55.94</v>
      </c>
      <c r="X2326" s="42"/>
      <c r="AB2326">
        <v>43.7</v>
      </c>
      <c r="AC2326">
        <v>55.94</v>
      </c>
      <c r="AE2326" s="74"/>
      <c r="AF2326" s="77"/>
      <c r="AH2326" s="497">
        <v>53.96</v>
      </c>
      <c r="AJ2326" s="42"/>
      <c r="AK2326" s="74"/>
      <c r="AL2326" s="77"/>
      <c r="AN2326" s="497">
        <v>41</v>
      </c>
      <c r="AP2326" s="42"/>
      <c r="AQ2326" s="74"/>
      <c r="AR2326" s="77"/>
      <c r="AT2326" s="497">
        <v>33.08</v>
      </c>
      <c r="AV2326" s="42"/>
      <c r="AW2326" s="74"/>
      <c r="AX2326" s="77"/>
      <c r="BA2326" s="497">
        <v>37.94</v>
      </c>
      <c r="BB2326" s="42"/>
      <c r="BC2326" s="74"/>
      <c r="BD2326" s="77"/>
      <c r="BF2326">
        <v>42.980000000000004</v>
      </c>
      <c r="BH2326" s="42"/>
      <c r="BI2326" s="74"/>
      <c r="BJ2326" s="77"/>
      <c r="BL2326" s="497">
        <v>24.08</v>
      </c>
      <c r="BN2326" s="42"/>
      <c r="BO2326" s="74"/>
      <c r="BP2326" s="77"/>
      <c r="BR2326" s="497">
        <v>39.019999999999996</v>
      </c>
      <c r="BT2326" s="42"/>
    </row>
    <row r="2327" spans="1:72" x14ac:dyDescent="0.25">
      <c r="A2327" s="90">
        <v>33335</v>
      </c>
      <c r="B2327" s="20">
        <v>0.20833333333333334</v>
      </c>
      <c r="D2327">
        <v>55.94</v>
      </c>
      <c r="E2327" t="str">
        <f t="shared" si="108"/>
        <v>SUNDAY</v>
      </c>
      <c r="F2327" t="e">
        <f t="shared" si="107"/>
        <v>#N/A</v>
      </c>
      <c r="G2327" s="74">
        <v>32970</v>
      </c>
      <c r="H2327" s="77">
        <v>0.20833333333333334</v>
      </c>
      <c r="J2327">
        <v>33.979999999999997</v>
      </c>
      <c r="M2327" s="74">
        <v>33335</v>
      </c>
      <c r="N2327" s="77">
        <v>0.20833333333333334</v>
      </c>
      <c r="P2327">
        <v>62.06</v>
      </c>
      <c r="S2327" s="74">
        <v>33335</v>
      </c>
      <c r="T2327" s="77">
        <v>0.20833333333333334</v>
      </c>
      <c r="V2327">
        <v>59</v>
      </c>
      <c r="X2327" s="42"/>
      <c r="AB2327">
        <v>43.2</v>
      </c>
      <c r="AC2327">
        <v>55.94</v>
      </c>
      <c r="AE2327" s="74"/>
      <c r="AF2327" s="77"/>
      <c r="AH2327" s="497">
        <v>53.06</v>
      </c>
      <c r="AJ2327" s="42"/>
      <c r="AK2327" s="74"/>
      <c r="AL2327" s="77"/>
      <c r="AN2327" s="497">
        <v>42.08</v>
      </c>
      <c r="AP2327" s="42"/>
      <c r="AQ2327" s="74"/>
      <c r="AR2327" s="77"/>
      <c r="AT2327" s="497">
        <v>33.979999999999997</v>
      </c>
      <c r="AV2327" s="42"/>
      <c r="AW2327" s="74"/>
      <c r="AX2327" s="77"/>
      <c r="BA2327" s="497">
        <v>37.04</v>
      </c>
      <c r="BB2327" s="42"/>
      <c r="BC2327" s="74"/>
      <c r="BD2327" s="77"/>
      <c r="BF2327">
        <v>51.08</v>
      </c>
      <c r="BH2327" s="42"/>
      <c r="BI2327" s="74"/>
      <c r="BJ2327" s="77"/>
      <c r="BL2327" s="497">
        <v>23</v>
      </c>
      <c r="BN2327" s="42"/>
      <c r="BO2327" s="74"/>
      <c r="BP2327" s="77"/>
      <c r="BR2327" s="497">
        <v>37.94</v>
      </c>
      <c r="BT2327" s="42"/>
    </row>
    <row r="2328" spans="1:72" x14ac:dyDescent="0.25">
      <c r="A2328" s="90">
        <v>33335</v>
      </c>
      <c r="B2328" s="20">
        <v>0.25</v>
      </c>
      <c r="D2328">
        <v>57.019999999999996</v>
      </c>
      <c r="E2328" t="str">
        <f t="shared" si="108"/>
        <v>SUNDAY</v>
      </c>
      <c r="F2328" t="e">
        <f t="shared" si="107"/>
        <v>#N/A</v>
      </c>
      <c r="G2328" s="74">
        <v>32970</v>
      </c>
      <c r="H2328" s="77">
        <v>0.25</v>
      </c>
      <c r="J2328">
        <v>33.08</v>
      </c>
      <c r="M2328" s="74">
        <v>33335</v>
      </c>
      <c r="N2328" s="77">
        <v>0.25</v>
      </c>
      <c r="P2328">
        <v>57.92</v>
      </c>
      <c r="S2328" s="74">
        <v>33335</v>
      </c>
      <c r="T2328" s="77">
        <v>0.25</v>
      </c>
      <c r="V2328">
        <v>57.019999999999996</v>
      </c>
      <c r="X2328" s="42"/>
      <c r="AB2328">
        <v>43.1</v>
      </c>
      <c r="AC2328">
        <v>53.96</v>
      </c>
      <c r="AE2328" s="74"/>
      <c r="AF2328" s="77"/>
      <c r="AH2328" s="497">
        <v>51.08</v>
      </c>
      <c r="AJ2328" s="42"/>
      <c r="AK2328" s="74"/>
      <c r="AL2328" s="77"/>
      <c r="AN2328" s="497">
        <v>41</v>
      </c>
      <c r="AP2328" s="42"/>
      <c r="AQ2328" s="74"/>
      <c r="AR2328" s="77"/>
      <c r="AT2328" s="497">
        <v>33.08</v>
      </c>
      <c r="AV2328" s="42"/>
      <c r="AW2328" s="74"/>
      <c r="AX2328" s="77"/>
      <c r="BA2328" s="497">
        <v>35.96</v>
      </c>
      <c r="BB2328" s="42"/>
      <c r="BC2328" s="74"/>
      <c r="BD2328" s="77"/>
      <c r="BF2328">
        <v>51.08</v>
      </c>
      <c r="BH2328" s="42"/>
      <c r="BI2328" s="74"/>
      <c r="BJ2328" s="77"/>
      <c r="BL2328" s="497">
        <v>23</v>
      </c>
      <c r="BN2328" s="42"/>
      <c r="BO2328" s="74"/>
      <c r="BP2328" s="77"/>
      <c r="BR2328" s="497">
        <v>37.04</v>
      </c>
      <c r="BT2328" s="42"/>
    </row>
    <row r="2329" spans="1:72" x14ac:dyDescent="0.25">
      <c r="A2329" s="90">
        <v>33335</v>
      </c>
      <c r="B2329" s="20">
        <v>0.29166666666666669</v>
      </c>
      <c r="D2329">
        <v>53.96</v>
      </c>
      <c r="E2329" t="str">
        <f t="shared" si="108"/>
        <v>SUNDAY</v>
      </c>
      <c r="F2329" t="e">
        <f t="shared" si="107"/>
        <v>#N/A</v>
      </c>
      <c r="G2329" s="74">
        <v>32970</v>
      </c>
      <c r="H2329" s="77">
        <v>0.29166666666666669</v>
      </c>
      <c r="J2329">
        <v>33.979999999999997</v>
      </c>
      <c r="M2329" s="74">
        <v>33335</v>
      </c>
      <c r="N2329" s="77">
        <v>0.29166666666666669</v>
      </c>
      <c r="P2329">
        <v>64.94</v>
      </c>
      <c r="S2329" s="74">
        <v>33335</v>
      </c>
      <c r="T2329" s="77">
        <v>0.29166666666666669</v>
      </c>
      <c r="V2329">
        <v>60.08</v>
      </c>
      <c r="X2329" s="42"/>
      <c r="AB2329">
        <v>43.1</v>
      </c>
      <c r="AC2329">
        <v>57.019999999999996</v>
      </c>
      <c r="AE2329" s="74"/>
      <c r="AF2329" s="77"/>
      <c r="AH2329" s="497">
        <v>59</v>
      </c>
      <c r="AJ2329" s="42"/>
      <c r="AK2329" s="74"/>
      <c r="AL2329" s="77"/>
      <c r="AN2329" s="497">
        <v>44.96</v>
      </c>
      <c r="AP2329" s="42"/>
      <c r="AQ2329" s="74"/>
      <c r="AR2329" s="77"/>
      <c r="AT2329" s="497">
        <v>33.08</v>
      </c>
      <c r="AV2329" s="42"/>
      <c r="AW2329" s="74"/>
      <c r="AX2329" s="77"/>
      <c r="BA2329" s="497">
        <v>37.04</v>
      </c>
      <c r="BB2329" s="42"/>
      <c r="BC2329" s="74"/>
      <c r="BD2329" s="77"/>
      <c r="BF2329">
        <v>51.980000000000004</v>
      </c>
      <c r="BH2329" s="42"/>
      <c r="BI2329" s="74"/>
      <c r="BJ2329" s="77"/>
      <c r="BL2329" s="497">
        <v>26.060000000000002</v>
      </c>
      <c r="BN2329" s="42"/>
      <c r="BO2329" s="74"/>
      <c r="BP2329" s="77"/>
      <c r="BR2329" s="497">
        <v>37.94</v>
      </c>
      <c r="BT2329" s="42"/>
    </row>
    <row r="2330" spans="1:72" x14ac:dyDescent="0.25">
      <c r="A2330" s="90">
        <v>33335</v>
      </c>
      <c r="B2330" s="20">
        <v>0.33333333333333331</v>
      </c>
      <c r="D2330">
        <v>55.040000000000006</v>
      </c>
      <c r="E2330" t="str">
        <f t="shared" si="108"/>
        <v>SUNDAY</v>
      </c>
      <c r="F2330" t="e">
        <f t="shared" si="107"/>
        <v>#N/A</v>
      </c>
      <c r="G2330" s="74">
        <v>32970</v>
      </c>
      <c r="H2330" s="77">
        <v>0.33333333333333331</v>
      </c>
      <c r="J2330">
        <v>33.08</v>
      </c>
      <c r="M2330" s="74">
        <v>33335</v>
      </c>
      <c r="N2330" s="77">
        <v>0.33333333333333331</v>
      </c>
      <c r="P2330">
        <v>68</v>
      </c>
      <c r="S2330" s="74">
        <v>33335</v>
      </c>
      <c r="T2330" s="77">
        <v>0.33333333333333331</v>
      </c>
      <c r="V2330">
        <v>62.96</v>
      </c>
      <c r="X2330" s="42"/>
      <c r="AB2330">
        <v>44.8</v>
      </c>
      <c r="AC2330">
        <v>60.980000000000004</v>
      </c>
      <c r="AE2330" s="74"/>
      <c r="AF2330" s="77"/>
      <c r="AH2330" s="497">
        <v>64.039999999999992</v>
      </c>
      <c r="AJ2330" s="42"/>
      <c r="AK2330" s="74"/>
      <c r="AL2330" s="77"/>
      <c r="AN2330" s="497">
        <v>48.019999999999996</v>
      </c>
      <c r="AP2330" s="42"/>
      <c r="AQ2330" s="74"/>
      <c r="AR2330" s="77"/>
      <c r="AT2330" s="497">
        <v>35.06</v>
      </c>
      <c r="AV2330" s="42"/>
      <c r="AW2330" s="74"/>
      <c r="AX2330" s="77"/>
      <c r="BA2330" s="497">
        <v>39.92</v>
      </c>
      <c r="BB2330" s="42"/>
      <c r="BC2330" s="74"/>
      <c r="BD2330" s="77"/>
      <c r="BF2330">
        <v>55.94</v>
      </c>
      <c r="BH2330" s="42"/>
      <c r="BI2330" s="74"/>
      <c r="BJ2330" s="77"/>
      <c r="BL2330" s="497">
        <v>30.02</v>
      </c>
      <c r="BN2330" s="42"/>
      <c r="BO2330" s="74"/>
      <c r="BP2330" s="77"/>
      <c r="BR2330" s="497">
        <v>39.92</v>
      </c>
      <c r="BT2330" s="42"/>
    </row>
    <row r="2331" spans="1:72" x14ac:dyDescent="0.25">
      <c r="A2331" s="90">
        <v>33335</v>
      </c>
      <c r="B2331" s="20">
        <v>0.375</v>
      </c>
      <c r="D2331">
        <v>57.92</v>
      </c>
      <c r="E2331" t="str">
        <f t="shared" si="108"/>
        <v>SUNDAY</v>
      </c>
      <c r="F2331" t="e">
        <f t="shared" si="107"/>
        <v>#N/A</v>
      </c>
      <c r="G2331" s="74">
        <v>32970</v>
      </c>
      <c r="H2331" s="77">
        <v>0.375</v>
      </c>
      <c r="J2331">
        <v>35.06</v>
      </c>
      <c r="M2331" s="74">
        <v>33335</v>
      </c>
      <c r="N2331" s="77">
        <v>0.375</v>
      </c>
      <c r="P2331">
        <v>73.039999999999992</v>
      </c>
      <c r="S2331" s="74">
        <v>33335</v>
      </c>
      <c r="T2331" s="77">
        <v>0.375</v>
      </c>
      <c r="V2331">
        <v>66.92</v>
      </c>
      <c r="X2331" s="42"/>
      <c r="AB2331">
        <v>46.6</v>
      </c>
      <c r="AC2331">
        <v>64.039999999999992</v>
      </c>
      <c r="AE2331" s="74"/>
      <c r="AF2331" s="77"/>
      <c r="AH2331" s="497">
        <v>69.98</v>
      </c>
      <c r="AJ2331" s="42"/>
      <c r="AK2331" s="74"/>
      <c r="AL2331" s="77"/>
      <c r="AN2331" s="497">
        <v>53.06</v>
      </c>
      <c r="AP2331" s="42"/>
      <c r="AQ2331" s="74"/>
      <c r="AR2331" s="77"/>
      <c r="AT2331" s="497">
        <v>35.96</v>
      </c>
      <c r="AV2331" s="42"/>
      <c r="AW2331" s="74"/>
      <c r="AX2331" s="77"/>
      <c r="BA2331" s="497">
        <v>42.980000000000004</v>
      </c>
      <c r="BB2331" s="42"/>
      <c r="BC2331" s="74"/>
      <c r="BD2331" s="77"/>
      <c r="BF2331">
        <v>60.08</v>
      </c>
      <c r="BH2331" s="42"/>
      <c r="BI2331" s="74"/>
      <c r="BJ2331" s="77"/>
      <c r="BL2331" s="497">
        <v>33.08</v>
      </c>
      <c r="BN2331" s="42"/>
      <c r="BO2331" s="74"/>
      <c r="BP2331" s="77"/>
      <c r="BR2331" s="497">
        <v>41</v>
      </c>
      <c r="BT2331" s="42"/>
    </row>
    <row r="2332" spans="1:72" x14ac:dyDescent="0.25">
      <c r="A2332" s="90">
        <v>33335</v>
      </c>
      <c r="B2332" s="20">
        <v>0.41666666666666669</v>
      </c>
      <c r="D2332">
        <v>51.980000000000004</v>
      </c>
      <c r="E2332" t="str">
        <f t="shared" si="108"/>
        <v>SUNDAY</v>
      </c>
      <c r="F2332" t="e">
        <f t="shared" si="107"/>
        <v>#N/A</v>
      </c>
      <c r="G2332" s="74">
        <v>32970</v>
      </c>
      <c r="H2332" s="77">
        <v>0.41666666666666669</v>
      </c>
      <c r="J2332">
        <v>37.04</v>
      </c>
      <c r="M2332" s="74">
        <v>33335</v>
      </c>
      <c r="N2332" s="77">
        <v>0.41666666666666669</v>
      </c>
      <c r="P2332">
        <v>75.92</v>
      </c>
      <c r="S2332" s="74">
        <v>33335</v>
      </c>
      <c r="T2332" s="77">
        <v>0.41666666666666669</v>
      </c>
      <c r="V2332">
        <v>71.06</v>
      </c>
      <c r="X2332" s="42"/>
      <c r="AB2332">
        <v>48.5</v>
      </c>
      <c r="AC2332">
        <v>71.960000000000008</v>
      </c>
      <c r="AE2332" s="74"/>
      <c r="AF2332" s="77"/>
      <c r="AH2332" s="497">
        <v>71.960000000000008</v>
      </c>
      <c r="AJ2332" s="42"/>
      <c r="AK2332" s="74"/>
      <c r="AL2332" s="77"/>
      <c r="AN2332" s="497">
        <v>57.92</v>
      </c>
      <c r="AP2332" s="42"/>
      <c r="AQ2332" s="74"/>
      <c r="AR2332" s="77"/>
      <c r="AT2332" s="497">
        <v>37.04</v>
      </c>
      <c r="AV2332" s="42"/>
      <c r="AW2332" s="74"/>
      <c r="AX2332" s="77"/>
      <c r="BA2332" s="497">
        <v>44.06</v>
      </c>
      <c r="BB2332" s="42"/>
      <c r="BC2332" s="74"/>
      <c r="BD2332" s="77"/>
      <c r="BF2332">
        <v>60.980000000000004</v>
      </c>
      <c r="BH2332" s="42"/>
      <c r="BI2332" s="74"/>
      <c r="BJ2332" s="77"/>
      <c r="BL2332" s="497">
        <v>35.96</v>
      </c>
      <c r="BN2332" s="42"/>
      <c r="BO2332" s="74"/>
      <c r="BP2332" s="77"/>
      <c r="BR2332" s="497">
        <v>42.980000000000004</v>
      </c>
      <c r="BT2332" s="42"/>
    </row>
    <row r="2333" spans="1:72" x14ac:dyDescent="0.25">
      <c r="A2333" s="90">
        <v>33335</v>
      </c>
      <c r="B2333" s="20">
        <v>0.45833333333333331</v>
      </c>
      <c r="D2333">
        <v>50</v>
      </c>
      <c r="E2333" t="str">
        <f t="shared" si="108"/>
        <v>SUNDAY</v>
      </c>
      <c r="F2333" t="e">
        <f t="shared" si="107"/>
        <v>#N/A</v>
      </c>
      <c r="G2333" s="74">
        <v>32970</v>
      </c>
      <c r="H2333" s="77">
        <v>0.45833333333333331</v>
      </c>
      <c r="J2333">
        <v>39.019999999999996</v>
      </c>
      <c r="M2333" s="74">
        <v>33335</v>
      </c>
      <c r="N2333" s="77">
        <v>0.45833333333333331</v>
      </c>
      <c r="P2333">
        <v>77</v>
      </c>
      <c r="S2333" s="74">
        <v>33335</v>
      </c>
      <c r="T2333" s="77">
        <v>0.45833333333333331</v>
      </c>
      <c r="V2333">
        <v>73.94</v>
      </c>
      <c r="X2333" s="42"/>
      <c r="AB2333">
        <v>50.2</v>
      </c>
      <c r="AC2333">
        <v>73.039999999999992</v>
      </c>
      <c r="AE2333" s="74"/>
      <c r="AF2333" s="77"/>
      <c r="AH2333" s="497">
        <v>77</v>
      </c>
      <c r="AJ2333" s="42"/>
      <c r="AK2333" s="74"/>
      <c r="AL2333" s="77"/>
      <c r="AN2333" s="497">
        <v>60.980000000000004</v>
      </c>
      <c r="AP2333" s="42"/>
      <c r="AQ2333" s="74"/>
      <c r="AR2333" s="77"/>
      <c r="AT2333" s="497">
        <v>37.04</v>
      </c>
      <c r="AV2333" s="42"/>
      <c r="AW2333" s="74"/>
      <c r="AX2333" s="77"/>
      <c r="BA2333" s="497">
        <v>46.04</v>
      </c>
      <c r="BB2333" s="42"/>
      <c r="BC2333" s="74"/>
      <c r="BD2333" s="77"/>
      <c r="BF2333">
        <v>64.94</v>
      </c>
      <c r="BH2333" s="42"/>
      <c r="BI2333" s="74"/>
      <c r="BJ2333" s="77"/>
      <c r="BL2333" s="497">
        <v>39.019999999999996</v>
      </c>
      <c r="BN2333" s="42"/>
      <c r="BO2333" s="74"/>
      <c r="BP2333" s="77"/>
      <c r="BR2333" s="497">
        <v>44.06</v>
      </c>
      <c r="BT2333" s="42"/>
    </row>
    <row r="2334" spans="1:72" x14ac:dyDescent="0.25">
      <c r="A2334" s="90">
        <v>33335</v>
      </c>
      <c r="B2334" s="20">
        <v>0.5</v>
      </c>
      <c r="D2334">
        <v>50</v>
      </c>
      <c r="E2334" t="str">
        <f t="shared" si="108"/>
        <v>SUNDAY</v>
      </c>
      <c r="F2334" t="e">
        <f t="shared" si="107"/>
        <v>#N/A</v>
      </c>
      <c r="G2334" s="74">
        <v>32970</v>
      </c>
      <c r="H2334" s="77">
        <v>0.5</v>
      </c>
      <c r="J2334">
        <v>41</v>
      </c>
      <c r="M2334" s="74">
        <v>33335</v>
      </c>
      <c r="N2334" s="77">
        <v>0.5</v>
      </c>
      <c r="P2334">
        <v>80.06</v>
      </c>
      <c r="S2334" s="74">
        <v>33335</v>
      </c>
      <c r="T2334" s="77">
        <v>0.5</v>
      </c>
      <c r="V2334">
        <v>78.080000000000013</v>
      </c>
      <c r="X2334" s="42"/>
      <c r="AB2334">
        <v>51.5</v>
      </c>
      <c r="AC2334">
        <v>77</v>
      </c>
      <c r="AE2334" s="74"/>
      <c r="AF2334" s="77"/>
      <c r="AH2334" s="497">
        <v>80.06</v>
      </c>
      <c r="AJ2334" s="42"/>
      <c r="AK2334" s="74"/>
      <c r="AL2334" s="77"/>
      <c r="AN2334" s="497">
        <v>62.06</v>
      </c>
      <c r="AP2334" s="42"/>
      <c r="AQ2334" s="74"/>
      <c r="AR2334" s="77"/>
      <c r="AT2334" s="497">
        <v>37.04</v>
      </c>
      <c r="AV2334" s="42"/>
      <c r="AW2334" s="74"/>
      <c r="AX2334" s="77"/>
      <c r="BA2334" s="497">
        <v>46.94</v>
      </c>
      <c r="BB2334" s="42"/>
      <c r="BC2334" s="74"/>
      <c r="BD2334" s="77"/>
      <c r="BF2334">
        <v>66.92</v>
      </c>
      <c r="BH2334" s="42"/>
      <c r="BI2334" s="74"/>
      <c r="BJ2334" s="77"/>
      <c r="BL2334" s="497">
        <v>39.019999999999996</v>
      </c>
      <c r="BN2334" s="42"/>
      <c r="BO2334" s="74"/>
      <c r="BP2334" s="77"/>
      <c r="BR2334" s="497">
        <v>44.96</v>
      </c>
      <c r="BT2334" s="42"/>
    </row>
    <row r="2335" spans="1:72" x14ac:dyDescent="0.25">
      <c r="A2335" s="90">
        <v>33335</v>
      </c>
      <c r="B2335" s="20">
        <v>0.54166666666666663</v>
      </c>
      <c r="D2335">
        <v>48.92</v>
      </c>
      <c r="E2335" t="str">
        <f t="shared" si="108"/>
        <v>SUNDAY</v>
      </c>
      <c r="F2335" t="e">
        <f t="shared" si="107"/>
        <v>#N/A</v>
      </c>
      <c r="G2335" s="74">
        <v>32970</v>
      </c>
      <c r="H2335" s="77">
        <v>0.54166666666666663</v>
      </c>
      <c r="J2335">
        <v>42.980000000000004</v>
      </c>
      <c r="M2335" s="74">
        <v>33335</v>
      </c>
      <c r="N2335" s="77">
        <v>0.54166666666666663</v>
      </c>
      <c r="P2335">
        <v>82.039999999999992</v>
      </c>
      <c r="S2335" s="74">
        <v>33335</v>
      </c>
      <c r="T2335" s="77">
        <v>0.54166666666666663</v>
      </c>
      <c r="V2335">
        <v>80.06</v>
      </c>
      <c r="X2335" s="42"/>
      <c r="AB2335">
        <v>52.4</v>
      </c>
      <c r="AC2335">
        <v>78.98</v>
      </c>
      <c r="AE2335" s="74"/>
      <c r="AF2335" s="77"/>
      <c r="AH2335" s="497">
        <v>84.02</v>
      </c>
      <c r="AJ2335" s="42"/>
      <c r="AK2335" s="74"/>
      <c r="AL2335" s="77"/>
      <c r="AN2335" s="497">
        <v>60.980000000000004</v>
      </c>
      <c r="AP2335" s="42"/>
      <c r="AQ2335" s="74"/>
      <c r="AR2335" s="77"/>
      <c r="AT2335" s="497">
        <v>37.94</v>
      </c>
      <c r="AV2335" s="42"/>
      <c r="AW2335" s="74"/>
      <c r="AX2335" s="77"/>
      <c r="BA2335" s="497">
        <v>48.019999999999996</v>
      </c>
      <c r="BB2335" s="42"/>
      <c r="BC2335" s="74"/>
      <c r="BD2335" s="77"/>
      <c r="BF2335">
        <v>68</v>
      </c>
      <c r="BH2335" s="42"/>
      <c r="BI2335" s="74"/>
      <c r="BJ2335" s="77"/>
      <c r="BL2335" s="497">
        <v>39.92</v>
      </c>
      <c r="BN2335" s="42"/>
      <c r="BO2335" s="74"/>
      <c r="BP2335" s="77"/>
      <c r="BR2335" s="497">
        <v>48.019999999999996</v>
      </c>
      <c r="BT2335" s="42"/>
    </row>
    <row r="2336" spans="1:72" x14ac:dyDescent="0.25">
      <c r="A2336" s="90">
        <v>33335</v>
      </c>
      <c r="B2336" s="20">
        <v>0.58333333333333337</v>
      </c>
      <c r="D2336">
        <v>48.019999999999996</v>
      </c>
      <c r="E2336" t="str">
        <f t="shared" si="108"/>
        <v>SUNDAY</v>
      </c>
      <c r="F2336" t="e">
        <f t="shared" si="107"/>
        <v>#N/A</v>
      </c>
      <c r="G2336" s="74">
        <v>32970</v>
      </c>
      <c r="H2336" s="77">
        <v>0.58333333333333337</v>
      </c>
      <c r="J2336">
        <v>46.94</v>
      </c>
      <c r="M2336" s="74">
        <v>33335</v>
      </c>
      <c r="N2336" s="77">
        <v>0.58333333333333337</v>
      </c>
      <c r="P2336">
        <v>84.92</v>
      </c>
      <c r="S2336" s="74">
        <v>33335</v>
      </c>
      <c r="T2336" s="77">
        <v>0.58333333333333337</v>
      </c>
      <c r="V2336">
        <v>78.98</v>
      </c>
      <c r="X2336" s="42"/>
      <c r="AB2336">
        <v>53.1</v>
      </c>
      <c r="AC2336">
        <v>80.06</v>
      </c>
      <c r="AE2336" s="74"/>
      <c r="AF2336" s="77"/>
      <c r="AH2336" s="497">
        <v>87.080000000000013</v>
      </c>
      <c r="AJ2336" s="42"/>
      <c r="AK2336" s="74"/>
      <c r="AL2336" s="77"/>
      <c r="AN2336" s="497">
        <v>60.980000000000004</v>
      </c>
      <c r="AP2336" s="42"/>
      <c r="AQ2336" s="74"/>
      <c r="AR2336" s="77"/>
      <c r="AT2336" s="497">
        <v>37.94</v>
      </c>
      <c r="AV2336" s="42"/>
      <c r="AW2336" s="74"/>
      <c r="AX2336" s="77"/>
      <c r="BA2336" s="497">
        <v>50</v>
      </c>
      <c r="BB2336" s="42"/>
      <c r="BC2336" s="74"/>
      <c r="BD2336" s="77"/>
      <c r="BF2336">
        <v>68</v>
      </c>
      <c r="BH2336" s="42"/>
      <c r="BI2336" s="74"/>
      <c r="BJ2336" s="77"/>
      <c r="BL2336" s="497">
        <v>42.08</v>
      </c>
      <c r="BN2336" s="42"/>
      <c r="BO2336" s="74"/>
      <c r="BP2336" s="77"/>
      <c r="BR2336" s="497">
        <v>48.019999999999996</v>
      </c>
      <c r="BT2336" s="42"/>
    </row>
    <row r="2337" spans="1:72" x14ac:dyDescent="0.25">
      <c r="A2337" s="90">
        <v>33335</v>
      </c>
      <c r="B2337" s="20">
        <v>0.625</v>
      </c>
      <c r="D2337">
        <v>46.94</v>
      </c>
      <c r="E2337" t="str">
        <f t="shared" si="108"/>
        <v>SUNDAY</v>
      </c>
      <c r="F2337" t="e">
        <f t="shared" si="107"/>
        <v>#N/A</v>
      </c>
      <c r="G2337" s="74">
        <v>32970</v>
      </c>
      <c r="H2337" s="77">
        <v>0.625</v>
      </c>
      <c r="J2337">
        <v>46.94</v>
      </c>
      <c r="M2337" s="74">
        <v>33335</v>
      </c>
      <c r="N2337" s="77">
        <v>0.625</v>
      </c>
      <c r="P2337">
        <v>84.92</v>
      </c>
      <c r="S2337" s="74">
        <v>33335</v>
      </c>
      <c r="T2337" s="77">
        <v>0.625</v>
      </c>
      <c r="V2337">
        <v>78.080000000000013</v>
      </c>
      <c r="X2337" s="42"/>
      <c r="AB2337">
        <v>53.3</v>
      </c>
      <c r="AC2337">
        <v>77</v>
      </c>
      <c r="AE2337" s="74"/>
      <c r="AF2337" s="77"/>
      <c r="AH2337" s="497">
        <v>87.98</v>
      </c>
      <c r="AJ2337" s="42"/>
      <c r="AK2337" s="74"/>
      <c r="AL2337" s="77"/>
      <c r="AN2337" s="497">
        <v>60.980000000000004</v>
      </c>
      <c r="AP2337" s="42"/>
      <c r="AQ2337" s="74"/>
      <c r="AR2337" s="77"/>
      <c r="AT2337" s="497">
        <v>39.019999999999996</v>
      </c>
      <c r="AV2337" s="42"/>
      <c r="AW2337" s="74"/>
      <c r="AX2337" s="77"/>
      <c r="BA2337" s="497">
        <v>48.92</v>
      </c>
      <c r="BB2337" s="42"/>
      <c r="BC2337" s="74"/>
      <c r="BD2337" s="77"/>
      <c r="BF2337">
        <v>64.94</v>
      </c>
      <c r="BH2337" s="42"/>
      <c r="BI2337" s="74"/>
      <c r="BJ2337" s="77"/>
      <c r="BL2337" s="497">
        <v>44.06</v>
      </c>
      <c r="BN2337" s="42"/>
      <c r="BO2337" s="74"/>
      <c r="BP2337" s="77"/>
      <c r="BR2337" s="497">
        <v>50</v>
      </c>
      <c r="BT2337" s="42"/>
    </row>
    <row r="2338" spans="1:72" x14ac:dyDescent="0.25">
      <c r="A2338" s="90">
        <v>33335</v>
      </c>
      <c r="B2338" s="20">
        <v>0.66666666666666663</v>
      </c>
      <c r="D2338">
        <v>48.92</v>
      </c>
      <c r="E2338" t="str">
        <f t="shared" si="108"/>
        <v>SUNDAY</v>
      </c>
      <c r="F2338" t="e">
        <f t="shared" si="107"/>
        <v>#N/A</v>
      </c>
      <c r="G2338" s="74">
        <v>32970</v>
      </c>
      <c r="H2338" s="77">
        <v>0.66666666666666663</v>
      </c>
      <c r="J2338">
        <v>48.92</v>
      </c>
      <c r="M2338" s="74">
        <v>33335</v>
      </c>
      <c r="N2338" s="77">
        <v>0.66666666666666663</v>
      </c>
      <c r="P2338">
        <v>84.92</v>
      </c>
      <c r="S2338" s="74">
        <v>33335</v>
      </c>
      <c r="T2338" s="77">
        <v>0.66666666666666663</v>
      </c>
      <c r="V2338">
        <v>78.080000000000013</v>
      </c>
      <c r="X2338" s="42"/>
      <c r="AB2338">
        <v>53.3</v>
      </c>
      <c r="AC2338">
        <v>75.02</v>
      </c>
      <c r="AE2338" s="74"/>
      <c r="AF2338" s="77"/>
      <c r="AH2338" s="497">
        <v>87.080000000000013</v>
      </c>
      <c r="AJ2338" s="42"/>
      <c r="AK2338" s="74"/>
      <c r="AL2338" s="77"/>
      <c r="AN2338" s="497">
        <v>60.08</v>
      </c>
      <c r="AP2338" s="42"/>
      <c r="AQ2338" s="74"/>
      <c r="AR2338" s="77"/>
      <c r="AT2338" s="497">
        <v>39.019999999999996</v>
      </c>
      <c r="AV2338" s="42"/>
      <c r="AW2338" s="74"/>
      <c r="AX2338" s="77"/>
      <c r="BA2338" s="497">
        <v>48.019999999999996</v>
      </c>
      <c r="BB2338" s="42"/>
      <c r="BC2338" s="74"/>
      <c r="BD2338" s="77"/>
      <c r="BF2338">
        <v>64.039999999999992</v>
      </c>
      <c r="BH2338" s="42"/>
      <c r="BI2338" s="74"/>
      <c r="BJ2338" s="77"/>
      <c r="BL2338" s="497">
        <v>46.04</v>
      </c>
      <c r="BN2338" s="42"/>
      <c r="BO2338" s="74"/>
      <c r="BP2338" s="77"/>
      <c r="BR2338" s="497">
        <v>48.019999999999996</v>
      </c>
      <c r="BT2338" s="42"/>
    </row>
    <row r="2339" spans="1:72" x14ac:dyDescent="0.25">
      <c r="A2339" s="90">
        <v>33335</v>
      </c>
      <c r="B2339" s="20">
        <v>0.70833333333333337</v>
      </c>
      <c r="D2339">
        <v>46.94</v>
      </c>
      <c r="E2339" t="str">
        <f t="shared" si="108"/>
        <v>SUNDAY</v>
      </c>
      <c r="F2339" t="e">
        <f t="shared" si="107"/>
        <v>#N/A</v>
      </c>
      <c r="G2339" s="74">
        <v>32970</v>
      </c>
      <c r="H2339" s="77">
        <v>0.70833333333333337</v>
      </c>
      <c r="J2339">
        <v>46.94</v>
      </c>
      <c r="M2339" s="74">
        <v>33335</v>
      </c>
      <c r="N2339" s="77">
        <v>0.70833333333333337</v>
      </c>
      <c r="P2339">
        <v>84.02</v>
      </c>
      <c r="S2339" s="74">
        <v>33335</v>
      </c>
      <c r="T2339" s="77">
        <v>0.70833333333333337</v>
      </c>
      <c r="V2339">
        <v>78.98</v>
      </c>
      <c r="X2339" s="42"/>
      <c r="AB2339">
        <v>52.7</v>
      </c>
      <c r="AC2339">
        <v>73.039999999999992</v>
      </c>
      <c r="AE2339" s="74"/>
      <c r="AF2339" s="77"/>
      <c r="AH2339" s="497">
        <v>87.080000000000013</v>
      </c>
      <c r="AJ2339" s="42"/>
      <c r="AK2339" s="74"/>
      <c r="AL2339" s="77"/>
      <c r="AN2339" s="497">
        <v>57.92</v>
      </c>
      <c r="AP2339" s="42"/>
      <c r="AQ2339" s="74"/>
      <c r="AR2339" s="77"/>
      <c r="AT2339" s="497">
        <v>39.019999999999996</v>
      </c>
      <c r="AV2339" s="42"/>
      <c r="AW2339" s="74"/>
      <c r="AX2339" s="77"/>
      <c r="BA2339" s="497">
        <v>44.96</v>
      </c>
      <c r="BB2339" s="42"/>
      <c r="BC2339" s="74"/>
      <c r="BD2339" s="77"/>
      <c r="BF2339">
        <v>62.06</v>
      </c>
      <c r="BH2339" s="42"/>
      <c r="BI2339" s="74"/>
      <c r="BJ2339" s="77"/>
      <c r="BL2339" s="497">
        <v>46.04</v>
      </c>
      <c r="BN2339" s="42"/>
      <c r="BO2339" s="74"/>
      <c r="BP2339" s="77"/>
      <c r="BR2339" s="497">
        <v>48.019999999999996</v>
      </c>
      <c r="BT2339" s="42"/>
    </row>
    <row r="2340" spans="1:72" x14ac:dyDescent="0.25">
      <c r="A2340" s="90">
        <v>33335</v>
      </c>
      <c r="B2340" s="20">
        <v>0.75</v>
      </c>
      <c r="D2340">
        <v>46.04</v>
      </c>
      <c r="E2340" t="str">
        <f t="shared" si="108"/>
        <v>SUNDAY</v>
      </c>
      <c r="F2340" t="e">
        <f t="shared" si="107"/>
        <v>#N/A</v>
      </c>
      <c r="G2340" s="74">
        <v>32970</v>
      </c>
      <c r="H2340" s="77">
        <v>0.75</v>
      </c>
      <c r="J2340">
        <v>48.019999999999996</v>
      </c>
      <c r="M2340" s="74">
        <v>33335</v>
      </c>
      <c r="N2340" s="77">
        <v>0.75</v>
      </c>
      <c r="P2340">
        <v>80.960000000000008</v>
      </c>
      <c r="S2340" s="74">
        <v>33335</v>
      </c>
      <c r="T2340" s="77">
        <v>0.75</v>
      </c>
      <c r="V2340">
        <v>73.039999999999992</v>
      </c>
      <c r="X2340" s="42"/>
      <c r="AB2340">
        <v>51.5</v>
      </c>
      <c r="AC2340">
        <v>64.039999999999992</v>
      </c>
      <c r="AE2340" s="74"/>
      <c r="AF2340" s="77"/>
      <c r="AH2340" s="497">
        <v>84.02</v>
      </c>
      <c r="AJ2340" s="42"/>
      <c r="AK2340" s="74"/>
      <c r="AL2340" s="77"/>
      <c r="AN2340" s="497">
        <v>55.040000000000006</v>
      </c>
      <c r="AP2340" s="42"/>
      <c r="AQ2340" s="74"/>
      <c r="AR2340" s="77"/>
      <c r="AT2340" s="497">
        <v>37.94</v>
      </c>
      <c r="AV2340" s="42"/>
      <c r="AW2340" s="74"/>
      <c r="AX2340" s="77"/>
      <c r="BA2340" s="497">
        <v>44.06</v>
      </c>
      <c r="BB2340" s="42"/>
      <c r="BC2340" s="74"/>
      <c r="BD2340" s="77"/>
      <c r="BF2340">
        <v>60.980000000000004</v>
      </c>
      <c r="BH2340" s="42"/>
      <c r="BI2340" s="74"/>
      <c r="BJ2340" s="77"/>
      <c r="BL2340" s="497">
        <v>44.96</v>
      </c>
      <c r="BN2340" s="42"/>
      <c r="BO2340" s="74"/>
      <c r="BP2340" s="77"/>
      <c r="BR2340" s="497">
        <v>44.96</v>
      </c>
      <c r="BT2340" s="42"/>
    </row>
    <row r="2341" spans="1:72" x14ac:dyDescent="0.25">
      <c r="A2341" s="90">
        <v>33335</v>
      </c>
      <c r="B2341" s="20">
        <v>0.79166666666666663</v>
      </c>
      <c r="D2341">
        <v>44.06</v>
      </c>
      <c r="E2341" t="str">
        <f t="shared" si="108"/>
        <v>SUNDAY</v>
      </c>
      <c r="F2341" t="e">
        <f t="shared" si="107"/>
        <v>#N/A</v>
      </c>
      <c r="G2341" s="74">
        <v>32970</v>
      </c>
      <c r="H2341" s="77">
        <v>0.79166666666666663</v>
      </c>
      <c r="J2341">
        <v>46.94</v>
      </c>
      <c r="M2341" s="74">
        <v>33335</v>
      </c>
      <c r="N2341" s="77">
        <v>0.79166666666666663</v>
      </c>
      <c r="P2341">
        <v>78.98</v>
      </c>
      <c r="S2341" s="74">
        <v>33335</v>
      </c>
      <c r="T2341" s="77">
        <v>0.79166666666666663</v>
      </c>
      <c r="V2341">
        <v>75.02</v>
      </c>
      <c r="X2341" s="42"/>
      <c r="AB2341">
        <v>50.1</v>
      </c>
      <c r="AC2341">
        <v>62.96</v>
      </c>
      <c r="AE2341" s="74"/>
      <c r="AF2341" s="77"/>
      <c r="AH2341" s="497">
        <v>78.080000000000013</v>
      </c>
      <c r="AJ2341" s="42"/>
      <c r="AK2341" s="74"/>
      <c r="AL2341" s="77"/>
      <c r="AN2341" s="497">
        <v>53.06</v>
      </c>
      <c r="AP2341" s="42"/>
      <c r="AQ2341" s="74"/>
      <c r="AR2341" s="77"/>
      <c r="AT2341" s="497">
        <v>37.04</v>
      </c>
      <c r="AV2341" s="42"/>
      <c r="AW2341" s="74"/>
      <c r="AX2341" s="77"/>
      <c r="BA2341" s="497">
        <v>41</v>
      </c>
      <c r="BB2341" s="42"/>
      <c r="BC2341" s="74"/>
      <c r="BD2341" s="77"/>
      <c r="BF2341">
        <v>60.980000000000004</v>
      </c>
      <c r="BH2341" s="42"/>
      <c r="BI2341" s="74"/>
      <c r="BJ2341" s="77"/>
      <c r="BL2341" s="497">
        <v>46.94</v>
      </c>
      <c r="BN2341" s="42"/>
      <c r="BO2341" s="74"/>
      <c r="BP2341" s="77"/>
      <c r="BR2341" s="497">
        <v>42.980000000000004</v>
      </c>
      <c r="BT2341" s="42"/>
    </row>
    <row r="2342" spans="1:72" x14ac:dyDescent="0.25">
      <c r="A2342" s="90">
        <v>33335</v>
      </c>
      <c r="B2342" s="20">
        <v>0.83333333333333337</v>
      </c>
      <c r="D2342">
        <v>44.06</v>
      </c>
      <c r="E2342" t="str">
        <f t="shared" si="108"/>
        <v>SUNDAY</v>
      </c>
      <c r="F2342" t="e">
        <f t="shared" si="107"/>
        <v>#N/A</v>
      </c>
      <c r="G2342" s="74">
        <v>32970</v>
      </c>
      <c r="H2342" s="77">
        <v>0.83333333333333337</v>
      </c>
      <c r="J2342">
        <v>46.04</v>
      </c>
      <c r="M2342" s="74">
        <v>33335</v>
      </c>
      <c r="N2342" s="77">
        <v>0.83333333333333337</v>
      </c>
      <c r="P2342">
        <v>77</v>
      </c>
      <c r="S2342" s="74">
        <v>33335</v>
      </c>
      <c r="T2342" s="77">
        <v>0.83333333333333337</v>
      </c>
      <c r="V2342">
        <v>71.06</v>
      </c>
      <c r="X2342" s="42"/>
      <c r="AB2342">
        <v>48.8</v>
      </c>
      <c r="AC2342">
        <v>60.08</v>
      </c>
      <c r="AE2342" s="74"/>
      <c r="AF2342" s="77"/>
      <c r="AH2342" s="497">
        <v>75.92</v>
      </c>
      <c r="AJ2342" s="42"/>
      <c r="AK2342" s="74"/>
      <c r="AL2342" s="77"/>
      <c r="AN2342" s="497">
        <v>51.08</v>
      </c>
      <c r="AP2342" s="42"/>
      <c r="AQ2342" s="74"/>
      <c r="AR2342" s="77"/>
      <c r="AT2342" s="497">
        <v>35.96</v>
      </c>
      <c r="AV2342" s="42"/>
      <c r="AW2342" s="74"/>
      <c r="AX2342" s="77"/>
      <c r="BA2342" s="497">
        <v>39.92</v>
      </c>
      <c r="BB2342" s="42"/>
      <c r="BC2342" s="74"/>
      <c r="BD2342" s="77"/>
      <c r="BF2342">
        <v>62.96</v>
      </c>
      <c r="BH2342" s="42"/>
      <c r="BI2342" s="74"/>
      <c r="BJ2342" s="77"/>
      <c r="BL2342" s="497">
        <v>44.06</v>
      </c>
      <c r="BN2342" s="42"/>
      <c r="BO2342" s="74"/>
      <c r="BP2342" s="77"/>
      <c r="BR2342" s="497">
        <v>39.92</v>
      </c>
      <c r="BT2342" s="42"/>
    </row>
    <row r="2343" spans="1:72" x14ac:dyDescent="0.25">
      <c r="A2343" s="90">
        <v>33335</v>
      </c>
      <c r="B2343" s="20">
        <v>0.875</v>
      </c>
      <c r="D2343">
        <v>42.980000000000004</v>
      </c>
      <c r="E2343" t="str">
        <f t="shared" si="108"/>
        <v>SUNDAY</v>
      </c>
      <c r="F2343" t="e">
        <f t="shared" si="107"/>
        <v>#N/A</v>
      </c>
      <c r="G2343" s="74">
        <v>32970</v>
      </c>
      <c r="H2343" s="77">
        <v>0.875</v>
      </c>
      <c r="J2343">
        <v>44.96</v>
      </c>
      <c r="M2343" s="74">
        <v>33335</v>
      </c>
      <c r="N2343" s="77">
        <v>0.875</v>
      </c>
      <c r="P2343">
        <v>75.02</v>
      </c>
      <c r="S2343" s="74">
        <v>33335</v>
      </c>
      <c r="T2343" s="77">
        <v>0.875</v>
      </c>
      <c r="V2343">
        <v>66.92</v>
      </c>
      <c r="X2343" s="42"/>
      <c r="AB2343">
        <v>48.1</v>
      </c>
      <c r="AC2343">
        <v>60.08</v>
      </c>
      <c r="AE2343" s="74"/>
      <c r="AF2343" s="77"/>
      <c r="AH2343" s="497">
        <v>73.94</v>
      </c>
      <c r="AJ2343" s="42"/>
      <c r="AK2343" s="74"/>
      <c r="AL2343" s="77"/>
      <c r="AN2343" s="497">
        <v>48.92</v>
      </c>
      <c r="AP2343" s="42"/>
      <c r="AQ2343" s="74"/>
      <c r="AR2343" s="77"/>
      <c r="AT2343" s="497">
        <v>35.96</v>
      </c>
      <c r="AV2343" s="42"/>
      <c r="AW2343" s="74"/>
      <c r="AX2343" s="77"/>
      <c r="BA2343" s="497">
        <v>39.92</v>
      </c>
      <c r="BB2343" s="42"/>
      <c r="BC2343" s="74"/>
      <c r="BD2343" s="77"/>
      <c r="BF2343">
        <v>60.980000000000004</v>
      </c>
      <c r="BH2343" s="42"/>
      <c r="BI2343" s="74"/>
      <c r="BJ2343" s="77"/>
      <c r="BL2343" s="497">
        <v>44.96</v>
      </c>
      <c r="BN2343" s="42"/>
      <c r="BO2343" s="74"/>
      <c r="BP2343" s="77"/>
      <c r="BR2343" s="497">
        <v>37.94</v>
      </c>
      <c r="BT2343" s="42"/>
    </row>
    <row r="2344" spans="1:72" x14ac:dyDescent="0.25">
      <c r="A2344" s="90">
        <v>33335</v>
      </c>
      <c r="B2344" s="20">
        <v>0.91666666666666663</v>
      </c>
      <c r="D2344">
        <v>41</v>
      </c>
      <c r="E2344" t="str">
        <f t="shared" si="108"/>
        <v>SUNDAY</v>
      </c>
      <c r="F2344" t="e">
        <f t="shared" si="107"/>
        <v>#N/A</v>
      </c>
      <c r="G2344" s="74">
        <v>32970</v>
      </c>
      <c r="H2344" s="77">
        <v>0.91666666666666663</v>
      </c>
      <c r="J2344">
        <v>44.06</v>
      </c>
      <c r="M2344" s="74">
        <v>33335</v>
      </c>
      <c r="N2344" s="77">
        <v>0.91666666666666663</v>
      </c>
      <c r="P2344">
        <v>73.039999999999992</v>
      </c>
      <c r="S2344" s="74">
        <v>33335</v>
      </c>
      <c r="T2344" s="77">
        <v>0.91666666666666663</v>
      </c>
      <c r="V2344">
        <v>64.94</v>
      </c>
      <c r="X2344" s="42"/>
      <c r="AB2344">
        <v>47.6</v>
      </c>
      <c r="AC2344">
        <v>60.980000000000004</v>
      </c>
      <c r="AE2344" s="74"/>
      <c r="AF2344" s="77"/>
      <c r="AH2344" s="497">
        <v>69.98</v>
      </c>
      <c r="AJ2344" s="42"/>
      <c r="AK2344" s="74"/>
      <c r="AL2344" s="77"/>
      <c r="AN2344" s="497">
        <v>48.019999999999996</v>
      </c>
      <c r="AP2344" s="42"/>
      <c r="AQ2344" s="74"/>
      <c r="AR2344" s="77"/>
      <c r="AT2344" s="497">
        <v>35.96</v>
      </c>
      <c r="AV2344" s="42"/>
      <c r="AW2344" s="74"/>
      <c r="AX2344" s="77"/>
      <c r="BA2344" s="497">
        <v>39.92</v>
      </c>
      <c r="BB2344" s="42"/>
      <c r="BC2344" s="74"/>
      <c r="BD2344" s="77"/>
      <c r="BF2344">
        <v>59</v>
      </c>
      <c r="BH2344" s="42"/>
      <c r="BI2344" s="74"/>
      <c r="BJ2344" s="77"/>
      <c r="BL2344" s="497">
        <v>44.06</v>
      </c>
      <c r="BN2344" s="42"/>
      <c r="BO2344" s="74"/>
      <c r="BP2344" s="77"/>
      <c r="BR2344" s="497">
        <v>37.04</v>
      </c>
      <c r="BT2344" s="42"/>
    </row>
    <row r="2345" spans="1:72" x14ac:dyDescent="0.25">
      <c r="A2345" s="90">
        <v>33335</v>
      </c>
      <c r="B2345" s="20">
        <v>0.95833333333333337</v>
      </c>
      <c r="D2345">
        <v>39.92</v>
      </c>
      <c r="E2345" t="str">
        <f t="shared" si="108"/>
        <v>SUNDAY</v>
      </c>
      <c r="F2345" t="e">
        <f t="shared" si="107"/>
        <v>#N/A</v>
      </c>
      <c r="G2345" s="74">
        <v>32970</v>
      </c>
      <c r="H2345" s="77">
        <v>0.95833333333333337</v>
      </c>
      <c r="J2345">
        <v>42.08</v>
      </c>
      <c r="M2345" s="74">
        <v>33335</v>
      </c>
      <c r="N2345" s="77">
        <v>0.95833333333333337</v>
      </c>
      <c r="P2345">
        <v>71.960000000000008</v>
      </c>
      <c r="S2345" s="74">
        <v>33335</v>
      </c>
      <c r="T2345" s="77">
        <v>0.95833333333333337</v>
      </c>
      <c r="V2345">
        <v>64.039999999999992</v>
      </c>
      <c r="X2345" s="42"/>
      <c r="AB2345">
        <v>46.9</v>
      </c>
      <c r="AC2345">
        <v>62.06</v>
      </c>
      <c r="AE2345" s="74"/>
      <c r="AF2345" s="77"/>
      <c r="AH2345" s="497">
        <v>69.080000000000013</v>
      </c>
      <c r="AJ2345" s="42"/>
      <c r="AK2345" s="74"/>
      <c r="AL2345" s="77"/>
      <c r="AN2345" s="497">
        <v>46.04</v>
      </c>
      <c r="AP2345" s="42"/>
      <c r="AQ2345" s="74"/>
      <c r="AR2345" s="77"/>
      <c r="AT2345" s="497">
        <v>33.979999999999997</v>
      </c>
      <c r="AV2345" s="42"/>
      <c r="AW2345" s="74"/>
      <c r="AX2345" s="77"/>
      <c r="BA2345" s="497">
        <v>39.019999999999996</v>
      </c>
      <c r="BB2345" s="42"/>
      <c r="BC2345" s="74"/>
      <c r="BD2345" s="77"/>
      <c r="BF2345">
        <v>57.92</v>
      </c>
      <c r="BH2345" s="42"/>
      <c r="BI2345" s="74"/>
      <c r="BJ2345" s="77"/>
      <c r="BL2345" s="497">
        <v>44.06</v>
      </c>
      <c r="BN2345" s="42"/>
      <c r="BO2345" s="74"/>
      <c r="BP2345" s="77"/>
      <c r="BR2345" s="497">
        <v>35.06</v>
      </c>
      <c r="BT2345" s="42"/>
    </row>
    <row r="2346" spans="1:72" x14ac:dyDescent="0.25">
      <c r="A2346" s="90">
        <v>33335</v>
      </c>
      <c r="B2346" s="20">
        <v>1</v>
      </c>
      <c r="D2346">
        <v>39.019999999999996</v>
      </c>
      <c r="E2346" t="str">
        <f t="shared" si="108"/>
        <v>SUNDAY</v>
      </c>
      <c r="F2346" t="e">
        <f t="shared" si="107"/>
        <v>#N/A</v>
      </c>
      <c r="G2346" s="74">
        <v>32970</v>
      </c>
      <c r="H2346" s="77">
        <v>1</v>
      </c>
      <c r="J2346">
        <v>39.92</v>
      </c>
      <c r="M2346" s="74">
        <v>33335</v>
      </c>
      <c r="N2346" s="80">
        <v>1</v>
      </c>
      <c r="P2346">
        <v>68</v>
      </c>
      <c r="S2346" s="74">
        <v>33335</v>
      </c>
      <c r="T2346" s="80">
        <v>1</v>
      </c>
      <c r="V2346">
        <v>62.96</v>
      </c>
      <c r="X2346" s="42"/>
      <c r="AB2346">
        <v>46.3</v>
      </c>
      <c r="AC2346">
        <v>62.06</v>
      </c>
      <c r="AE2346" s="74"/>
      <c r="AF2346" s="80"/>
      <c r="AH2346" s="497">
        <v>64.94</v>
      </c>
      <c r="AJ2346" s="42"/>
      <c r="AK2346" s="74"/>
      <c r="AL2346" s="80"/>
      <c r="AN2346" s="497">
        <v>46.04</v>
      </c>
      <c r="AP2346" s="42"/>
      <c r="AQ2346" s="74"/>
      <c r="AR2346" s="80"/>
      <c r="AT2346" s="497">
        <v>33.979999999999997</v>
      </c>
      <c r="AV2346" s="42"/>
      <c r="AW2346" s="74"/>
      <c r="AX2346" s="80"/>
      <c r="BA2346" s="497">
        <v>35.96</v>
      </c>
      <c r="BB2346" s="42"/>
      <c r="BC2346" s="74"/>
      <c r="BD2346" s="80"/>
      <c r="BF2346">
        <v>57.019999999999996</v>
      </c>
      <c r="BH2346" s="42"/>
      <c r="BI2346" s="74"/>
      <c r="BJ2346" s="80"/>
      <c r="BL2346" s="497">
        <v>44.96</v>
      </c>
      <c r="BN2346" s="42"/>
      <c r="BO2346" s="74"/>
      <c r="BP2346" s="80"/>
      <c r="BR2346" s="497">
        <v>33.979999999999997</v>
      </c>
      <c r="BT2346" s="42"/>
    </row>
    <row r="2347" spans="1:72" x14ac:dyDescent="0.25">
      <c r="A2347" s="90">
        <v>33336</v>
      </c>
      <c r="B2347" s="20">
        <v>4.1666666666666664E-2</v>
      </c>
      <c r="D2347">
        <v>39.019999999999996</v>
      </c>
      <c r="E2347" t="str">
        <f t="shared" si="108"/>
        <v>WEEKDAY</v>
      </c>
      <c r="F2347" t="e">
        <f t="shared" ref="F2347:F2410" si="109">IF(E2347="WEEKDAY",VLOOKUP(B2347,$DD$19:$DG$42,2),IF(E2347="SATURDAY",VLOOKUP(B2347,$DD$19:$DG$42,3),VLOOKUP(B2347,$DD$19:$DG$42,4)))</f>
        <v>#N/A</v>
      </c>
      <c r="G2347" s="74">
        <v>32971</v>
      </c>
      <c r="H2347" s="77">
        <v>4.1666666666666664E-2</v>
      </c>
      <c r="J2347">
        <v>39.019999999999996</v>
      </c>
      <c r="M2347" s="74">
        <v>33336</v>
      </c>
      <c r="N2347" s="77">
        <v>4.1666666666666664E-2</v>
      </c>
      <c r="P2347">
        <v>68</v>
      </c>
      <c r="S2347" s="74">
        <v>33336</v>
      </c>
      <c r="T2347" s="77">
        <v>4.1666666666666664E-2</v>
      </c>
      <c r="V2347">
        <v>60.980000000000004</v>
      </c>
      <c r="X2347" s="42"/>
      <c r="AB2347">
        <v>45.6</v>
      </c>
      <c r="AC2347">
        <v>60.08</v>
      </c>
      <c r="AE2347" s="74"/>
      <c r="AF2347" s="77"/>
      <c r="AH2347" s="497">
        <v>57.019999999999996</v>
      </c>
      <c r="AJ2347" s="42"/>
      <c r="AK2347" s="74"/>
      <c r="AL2347" s="77"/>
      <c r="AN2347" s="497">
        <v>46.04</v>
      </c>
      <c r="AP2347" s="42"/>
      <c r="AQ2347" s="74"/>
      <c r="AR2347" s="77"/>
      <c r="AT2347" s="497">
        <v>33.08</v>
      </c>
      <c r="AV2347" s="42"/>
      <c r="AW2347" s="74"/>
      <c r="AX2347" s="77"/>
      <c r="BA2347" s="497">
        <v>33.08</v>
      </c>
      <c r="BB2347" s="42"/>
      <c r="BC2347" s="74"/>
      <c r="BD2347" s="77"/>
      <c r="BF2347">
        <v>57.019999999999996</v>
      </c>
      <c r="BH2347" s="42"/>
      <c r="BI2347" s="74"/>
      <c r="BJ2347" s="77"/>
      <c r="BL2347" s="497">
        <v>46.94</v>
      </c>
      <c r="BN2347" s="42"/>
      <c r="BO2347" s="74"/>
      <c r="BP2347" s="77"/>
      <c r="BR2347" s="497">
        <v>33.08</v>
      </c>
      <c r="BT2347" s="42"/>
    </row>
    <row r="2348" spans="1:72" x14ac:dyDescent="0.25">
      <c r="A2348" s="90">
        <v>33336</v>
      </c>
      <c r="B2348" s="20">
        <v>8.3333333333333329E-2</v>
      </c>
      <c r="D2348">
        <v>39.019999999999996</v>
      </c>
      <c r="E2348" t="str">
        <f t="shared" si="108"/>
        <v>WEEKDAY</v>
      </c>
      <c r="F2348" t="e">
        <f t="shared" si="109"/>
        <v>#N/A</v>
      </c>
      <c r="G2348" s="74">
        <v>32971</v>
      </c>
      <c r="H2348" s="77">
        <v>8.3333333333333329E-2</v>
      </c>
      <c r="J2348">
        <v>37.94</v>
      </c>
      <c r="M2348" s="74">
        <v>33336</v>
      </c>
      <c r="N2348" s="77">
        <v>8.3333333333333329E-2</v>
      </c>
      <c r="P2348">
        <v>64.94</v>
      </c>
      <c r="S2348" s="74">
        <v>33336</v>
      </c>
      <c r="T2348" s="77">
        <v>8.3333333333333329E-2</v>
      </c>
      <c r="V2348">
        <v>62.06</v>
      </c>
      <c r="X2348" s="42"/>
      <c r="AB2348">
        <v>45</v>
      </c>
      <c r="AC2348">
        <v>60.08</v>
      </c>
      <c r="AE2348" s="74"/>
      <c r="AF2348" s="77"/>
      <c r="AH2348" s="497">
        <v>57.92</v>
      </c>
      <c r="AJ2348" s="42"/>
      <c r="AK2348" s="74"/>
      <c r="AL2348" s="77"/>
      <c r="AN2348" s="497">
        <v>46.04</v>
      </c>
      <c r="AP2348" s="42"/>
      <c r="AQ2348" s="74"/>
      <c r="AR2348" s="77"/>
      <c r="AT2348" s="497">
        <v>32</v>
      </c>
      <c r="AV2348" s="42"/>
      <c r="AW2348" s="74"/>
      <c r="AX2348" s="77"/>
      <c r="BA2348" s="497">
        <v>32</v>
      </c>
      <c r="BB2348" s="42"/>
      <c r="BC2348" s="74"/>
      <c r="BD2348" s="77"/>
      <c r="BF2348">
        <v>55.94</v>
      </c>
      <c r="BH2348" s="42"/>
      <c r="BI2348" s="74"/>
      <c r="BJ2348" s="77"/>
      <c r="BL2348" s="497">
        <v>46.94</v>
      </c>
      <c r="BN2348" s="42"/>
      <c r="BO2348" s="74"/>
      <c r="BP2348" s="77"/>
      <c r="BR2348" s="497">
        <v>30.92</v>
      </c>
      <c r="BT2348" s="42"/>
    </row>
    <row r="2349" spans="1:72" x14ac:dyDescent="0.25">
      <c r="A2349" s="90">
        <v>33336</v>
      </c>
      <c r="B2349" s="20">
        <v>0.125</v>
      </c>
      <c r="D2349">
        <v>37.94</v>
      </c>
      <c r="E2349" t="str">
        <f t="shared" si="108"/>
        <v>WEEKDAY</v>
      </c>
      <c r="F2349" t="e">
        <f t="shared" si="109"/>
        <v>#N/A</v>
      </c>
      <c r="G2349" s="74">
        <v>32971</v>
      </c>
      <c r="H2349" s="77">
        <v>0.125</v>
      </c>
      <c r="J2349">
        <v>37.94</v>
      </c>
      <c r="M2349" s="74">
        <v>33336</v>
      </c>
      <c r="N2349" s="77">
        <v>0.125</v>
      </c>
      <c r="P2349">
        <v>62.96</v>
      </c>
      <c r="S2349" s="74">
        <v>33336</v>
      </c>
      <c r="T2349" s="77">
        <v>0.125</v>
      </c>
      <c r="V2349">
        <v>60.08</v>
      </c>
      <c r="X2349" s="42"/>
      <c r="AB2349">
        <v>44.6</v>
      </c>
      <c r="AC2349">
        <v>57.019999999999996</v>
      </c>
      <c r="AE2349" s="74"/>
      <c r="AF2349" s="77"/>
      <c r="AH2349" s="497">
        <v>55.040000000000006</v>
      </c>
      <c r="AJ2349" s="42"/>
      <c r="AK2349" s="74"/>
      <c r="AL2349" s="77"/>
      <c r="AN2349" s="497">
        <v>46.04</v>
      </c>
      <c r="AP2349" s="42"/>
      <c r="AQ2349" s="74"/>
      <c r="AR2349" s="77"/>
      <c r="AT2349" s="497">
        <v>30.92</v>
      </c>
      <c r="AV2349" s="42"/>
      <c r="AW2349" s="74"/>
      <c r="AX2349" s="77"/>
      <c r="BA2349" s="497">
        <v>32</v>
      </c>
      <c r="BB2349" s="42"/>
      <c r="BC2349" s="74"/>
      <c r="BD2349" s="77"/>
      <c r="BF2349">
        <v>55.94</v>
      </c>
      <c r="BH2349" s="42"/>
      <c r="BI2349" s="74"/>
      <c r="BJ2349" s="77"/>
      <c r="BL2349" s="497">
        <v>46.94</v>
      </c>
      <c r="BN2349" s="42"/>
      <c r="BO2349" s="74"/>
      <c r="BP2349" s="77"/>
      <c r="BR2349" s="497">
        <v>28.94</v>
      </c>
      <c r="BT2349" s="42"/>
    </row>
    <row r="2350" spans="1:72" x14ac:dyDescent="0.25">
      <c r="A2350" s="90">
        <v>33336</v>
      </c>
      <c r="B2350" s="20">
        <v>0.16666666666666666</v>
      </c>
      <c r="D2350">
        <v>37.04</v>
      </c>
      <c r="E2350" t="str">
        <f t="shared" si="108"/>
        <v>WEEKDAY</v>
      </c>
      <c r="F2350" t="e">
        <f t="shared" si="109"/>
        <v>#N/A</v>
      </c>
      <c r="G2350" s="74">
        <v>32971</v>
      </c>
      <c r="H2350" s="77">
        <v>0.16666666666666666</v>
      </c>
      <c r="J2350">
        <v>37.04</v>
      </c>
      <c r="M2350" s="74">
        <v>33336</v>
      </c>
      <c r="N2350" s="77">
        <v>0.16666666666666666</v>
      </c>
      <c r="P2350">
        <v>64.94</v>
      </c>
      <c r="S2350" s="74">
        <v>33336</v>
      </c>
      <c r="T2350" s="77">
        <v>0.16666666666666666</v>
      </c>
      <c r="V2350">
        <v>57.92</v>
      </c>
      <c r="X2350" s="42"/>
      <c r="AB2350">
        <v>44</v>
      </c>
      <c r="AC2350">
        <v>55.94</v>
      </c>
      <c r="AE2350" s="74"/>
      <c r="AF2350" s="77"/>
      <c r="AH2350" s="497">
        <v>51.08</v>
      </c>
      <c r="AJ2350" s="42"/>
      <c r="AK2350" s="74"/>
      <c r="AL2350" s="77"/>
      <c r="AN2350" s="497">
        <v>44.96</v>
      </c>
      <c r="AP2350" s="42"/>
      <c r="AQ2350" s="74"/>
      <c r="AR2350" s="77"/>
      <c r="AT2350" s="497">
        <v>30.02</v>
      </c>
      <c r="AV2350" s="42"/>
      <c r="AW2350" s="74"/>
      <c r="AX2350" s="77"/>
      <c r="BA2350" s="497">
        <v>30.02</v>
      </c>
      <c r="BB2350" s="42"/>
      <c r="BC2350" s="74"/>
      <c r="BD2350" s="77"/>
      <c r="BF2350">
        <v>55.040000000000006</v>
      </c>
      <c r="BH2350" s="42"/>
      <c r="BI2350" s="74"/>
      <c r="BJ2350" s="77"/>
      <c r="BL2350" s="497">
        <v>46.04</v>
      </c>
      <c r="BN2350" s="42"/>
      <c r="BO2350" s="74"/>
      <c r="BP2350" s="77"/>
      <c r="BR2350" s="497">
        <v>24.98</v>
      </c>
      <c r="BT2350" s="42"/>
    </row>
    <row r="2351" spans="1:72" x14ac:dyDescent="0.25">
      <c r="A2351" s="90">
        <v>33336</v>
      </c>
      <c r="B2351" s="20">
        <v>0.20833333333333334</v>
      </c>
      <c r="D2351">
        <v>35.96</v>
      </c>
      <c r="E2351" t="str">
        <f t="shared" si="108"/>
        <v>WEEKDAY</v>
      </c>
      <c r="F2351" t="e">
        <f t="shared" si="109"/>
        <v>#N/A</v>
      </c>
      <c r="G2351" s="74">
        <v>32971</v>
      </c>
      <c r="H2351" s="77">
        <v>0.20833333333333334</v>
      </c>
      <c r="J2351">
        <v>37.04</v>
      </c>
      <c r="M2351" s="74">
        <v>33336</v>
      </c>
      <c r="N2351" s="77">
        <v>0.20833333333333334</v>
      </c>
      <c r="P2351">
        <v>64.94</v>
      </c>
      <c r="S2351" s="74">
        <v>33336</v>
      </c>
      <c r="T2351" s="77">
        <v>0.20833333333333334</v>
      </c>
      <c r="V2351">
        <v>57.92</v>
      </c>
      <c r="X2351" s="42"/>
      <c r="AB2351">
        <v>43.5</v>
      </c>
      <c r="AC2351">
        <v>53.96</v>
      </c>
      <c r="AE2351" s="74"/>
      <c r="AF2351" s="77"/>
      <c r="AH2351" s="497">
        <v>51.08</v>
      </c>
      <c r="AJ2351" s="42"/>
      <c r="AK2351" s="74"/>
      <c r="AL2351" s="77"/>
      <c r="AN2351" s="497">
        <v>44.96</v>
      </c>
      <c r="AP2351" s="42"/>
      <c r="AQ2351" s="74"/>
      <c r="AR2351" s="77"/>
      <c r="AT2351" s="497">
        <v>30.02</v>
      </c>
      <c r="AV2351" s="42"/>
      <c r="AW2351" s="74"/>
      <c r="AX2351" s="77"/>
      <c r="BA2351" s="497">
        <v>30.02</v>
      </c>
      <c r="BB2351" s="42"/>
      <c r="BC2351" s="74"/>
      <c r="BD2351" s="77"/>
      <c r="BF2351">
        <v>53.06</v>
      </c>
      <c r="BH2351" s="42"/>
      <c r="BI2351" s="74"/>
      <c r="BJ2351" s="77"/>
      <c r="BL2351" s="497">
        <v>46.94</v>
      </c>
      <c r="BN2351" s="42"/>
      <c r="BO2351" s="74"/>
      <c r="BP2351" s="77"/>
      <c r="BR2351" s="497">
        <v>24.98</v>
      </c>
      <c r="BT2351" s="42"/>
    </row>
    <row r="2352" spans="1:72" x14ac:dyDescent="0.25">
      <c r="A2352" s="90">
        <v>33336</v>
      </c>
      <c r="B2352" s="20">
        <v>0.25</v>
      </c>
      <c r="D2352">
        <v>35.96</v>
      </c>
      <c r="E2352" t="str">
        <f t="shared" si="108"/>
        <v>WEEKDAY</v>
      </c>
      <c r="F2352" t="e">
        <f t="shared" si="109"/>
        <v>#N/A</v>
      </c>
      <c r="G2352" s="74">
        <v>32971</v>
      </c>
      <c r="H2352" s="77">
        <v>0.25</v>
      </c>
      <c r="J2352">
        <v>37.04</v>
      </c>
      <c r="M2352" s="74">
        <v>33336</v>
      </c>
      <c r="N2352" s="77">
        <v>0.25</v>
      </c>
      <c r="P2352">
        <v>60.08</v>
      </c>
      <c r="S2352" s="74">
        <v>33336</v>
      </c>
      <c r="T2352" s="77">
        <v>0.25</v>
      </c>
      <c r="V2352">
        <v>57.019999999999996</v>
      </c>
      <c r="X2352" s="42"/>
      <c r="AB2352">
        <v>43.4</v>
      </c>
      <c r="AC2352">
        <v>51.08</v>
      </c>
      <c r="AE2352" s="74"/>
      <c r="AF2352" s="77"/>
      <c r="AH2352" s="497">
        <v>50</v>
      </c>
      <c r="AJ2352" s="42"/>
      <c r="AK2352" s="74"/>
      <c r="AL2352" s="77"/>
      <c r="AN2352" s="497">
        <v>44.96</v>
      </c>
      <c r="AP2352" s="42"/>
      <c r="AQ2352" s="74"/>
      <c r="AR2352" s="77"/>
      <c r="AT2352" s="497">
        <v>30.92</v>
      </c>
      <c r="AV2352" s="42"/>
      <c r="AW2352" s="74"/>
      <c r="AX2352" s="77"/>
      <c r="BA2352" s="497">
        <v>30.02</v>
      </c>
      <c r="BB2352" s="42"/>
      <c r="BC2352" s="74"/>
      <c r="BD2352" s="77"/>
      <c r="BF2352">
        <v>53.06</v>
      </c>
      <c r="BH2352" s="42"/>
      <c r="BI2352" s="74"/>
      <c r="BJ2352" s="77"/>
      <c r="BL2352" s="497">
        <v>48.019999999999996</v>
      </c>
      <c r="BN2352" s="42"/>
      <c r="BO2352" s="74"/>
      <c r="BP2352" s="77"/>
      <c r="BR2352" s="497">
        <v>28.04</v>
      </c>
      <c r="BT2352" s="42"/>
    </row>
    <row r="2353" spans="1:72" x14ac:dyDescent="0.25">
      <c r="A2353" s="90">
        <v>33336</v>
      </c>
      <c r="B2353" s="20">
        <v>0.29166666666666669</v>
      </c>
      <c r="D2353">
        <v>37.04</v>
      </c>
      <c r="E2353" t="str">
        <f t="shared" si="108"/>
        <v>WEEKDAY</v>
      </c>
      <c r="F2353" t="e">
        <f t="shared" si="109"/>
        <v>#N/A</v>
      </c>
      <c r="G2353" s="74">
        <v>32971</v>
      </c>
      <c r="H2353" s="77">
        <v>0.29166666666666669</v>
      </c>
      <c r="J2353">
        <v>37.94</v>
      </c>
      <c r="M2353" s="74">
        <v>33336</v>
      </c>
      <c r="N2353" s="77">
        <v>0.29166666666666669</v>
      </c>
      <c r="P2353">
        <v>62.96</v>
      </c>
      <c r="S2353" s="74">
        <v>33336</v>
      </c>
      <c r="T2353" s="77">
        <v>0.29166666666666669</v>
      </c>
      <c r="V2353">
        <v>60.980000000000004</v>
      </c>
      <c r="X2353" s="42"/>
      <c r="AB2353">
        <v>43.4</v>
      </c>
      <c r="AC2353">
        <v>60.08</v>
      </c>
      <c r="AE2353" s="74"/>
      <c r="AF2353" s="77"/>
      <c r="AH2353" s="497">
        <v>55.040000000000006</v>
      </c>
      <c r="AJ2353" s="42"/>
      <c r="AK2353" s="74"/>
      <c r="AL2353" s="77"/>
      <c r="AN2353" s="497">
        <v>46.04</v>
      </c>
      <c r="AP2353" s="42"/>
      <c r="AQ2353" s="74"/>
      <c r="AR2353" s="77"/>
      <c r="AT2353" s="497">
        <v>33.08</v>
      </c>
      <c r="AV2353" s="42"/>
      <c r="AW2353" s="74"/>
      <c r="AX2353" s="77"/>
      <c r="BA2353" s="497">
        <v>32</v>
      </c>
      <c r="BB2353" s="42"/>
      <c r="BC2353" s="74"/>
      <c r="BD2353" s="77"/>
      <c r="BF2353">
        <v>53.96</v>
      </c>
      <c r="BH2353" s="42"/>
      <c r="BI2353" s="74"/>
      <c r="BJ2353" s="77"/>
      <c r="BL2353" s="497">
        <v>48.019999999999996</v>
      </c>
      <c r="BN2353" s="42"/>
      <c r="BO2353" s="74"/>
      <c r="BP2353" s="77"/>
      <c r="BR2353" s="497">
        <v>32</v>
      </c>
      <c r="BT2353" s="42"/>
    </row>
    <row r="2354" spans="1:72" x14ac:dyDescent="0.25">
      <c r="A2354" s="90">
        <v>33336</v>
      </c>
      <c r="B2354" s="20">
        <v>0.33333333333333331</v>
      </c>
      <c r="D2354">
        <v>41</v>
      </c>
      <c r="E2354" t="str">
        <f t="shared" si="108"/>
        <v>WEEKDAY</v>
      </c>
      <c r="F2354" t="e">
        <f t="shared" si="109"/>
        <v>#N/A</v>
      </c>
      <c r="G2354" s="74">
        <v>32971</v>
      </c>
      <c r="H2354" s="77">
        <v>0.33333333333333331</v>
      </c>
      <c r="J2354">
        <v>39.019999999999996</v>
      </c>
      <c r="M2354" s="74">
        <v>33336</v>
      </c>
      <c r="N2354" s="77">
        <v>0.33333333333333331</v>
      </c>
      <c r="P2354">
        <v>71.06</v>
      </c>
      <c r="S2354" s="74">
        <v>33336</v>
      </c>
      <c r="T2354" s="77">
        <v>0.33333333333333331</v>
      </c>
      <c r="V2354">
        <v>68</v>
      </c>
      <c r="X2354" s="42"/>
      <c r="AB2354">
        <v>45.2</v>
      </c>
      <c r="AC2354">
        <v>69.98</v>
      </c>
      <c r="AE2354" s="74"/>
      <c r="AF2354" s="77"/>
      <c r="AH2354" s="497">
        <v>69.080000000000013</v>
      </c>
      <c r="AJ2354" s="42"/>
      <c r="AK2354" s="74"/>
      <c r="AL2354" s="77"/>
      <c r="AN2354" s="497">
        <v>48.92</v>
      </c>
      <c r="AP2354" s="42"/>
      <c r="AQ2354" s="74"/>
      <c r="AR2354" s="77"/>
      <c r="AT2354" s="497">
        <v>35.96</v>
      </c>
      <c r="AV2354" s="42"/>
      <c r="AW2354" s="74"/>
      <c r="AX2354" s="77"/>
      <c r="BA2354" s="497">
        <v>39.019999999999996</v>
      </c>
      <c r="BB2354" s="42"/>
      <c r="BC2354" s="74"/>
      <c r="BD2354" s="77"/>
      <c r="BF2354">
        <v>57.019999999999996</v>
      </c>
      <c r="BH2354" s="42"/>
      <c r="BI2354" s="74"/>
      <c r="BJ2354" s="77"/>
      <c r="BL2354" s="497">
        <v>44.96</v>
      </c>
      <c r="BN2354" s="42"/>
      <c r="BO2354" s="74"/>
      <c r="BP2354" s="77"/>
      <c r="BR2354" s="497">
        <v>39.019999999999996</v>
      </c>
      <c r="BT2354" s="42"/>
    </row>
    <row r="2355" spans="1:72" x14ac:dyDescent="0.25">
      <c r="A2355" s="90">
        <v>33336</v>
      </c>
      <c r="B2355" s="20">
        <v>0.375</v>
      </c>
      <c r="D2355">
        <v>44.96</v>
      </c>
      <c r="E2355" t="str">
        <f t="shared" si="108"/>
        <v>WEEKDAY</v>
      </c>
      <c r="F2355" t="e">
        <f t="shared" si="109"/>
        <v>#N/A</v>
      </c>
      <c r="G2355" s="74">
        <v>32971</v>
      </c>
      <c r="H2355" s="77">
        <v>0.375</v>
      </c>
      <c r="J2355">
        <v>41</v>
      </c>
      <c r="M2355" s="74">
        <v>33336</v>
      </c>
      <c r="N2355" s="77">
        <v>0.375</v>
      </c>
      <c r="P2355">
        <v>78.98</v>
      </c>
      <c r="S2355" s="74">
        <v>33336</v>
      </c>
      <c r="T2355" s="77">
        <v>0.375</v>
      </c>
      <c r="V2355">
        <v>71.06</v>
      </c>
      <c r="X2355" s="42"/>
      <c r="AB2355">
        <v>46.9</v>
      </c>
      <c r="AC2355">
        <v>77</v>
      </c>
      <c r="AE2355" s="74"/>
      <c r="AF2355" s="77"/>
      <c r="AH2355" s="497">
        <v>73.94</v>
      </c>
      <c r="AJ2355" s="42"/>
      <c r="AK2355" s="74"/>
      <c r="AL2355" s="77"/>
      <c r="AN2355" s="497">
        <v>48.92</v>
      </c>
      <c r="AP2355" s="42"/>
      <c r="AQ2355" s="74"/>
      <c r="AR2355" s="77"/>
      <c r="AT2355" s="497">
        <v>39.019999999999996</v>
      </c>
      <c r="AV2355" s="42"/>
      <c r="AW2355" s="74"/>
      <c r="AX2355" s="77"/>
      <c r="BA2355" s="497">
        <v>37.94</v>
      </c>
      <c r="BB2355" s="42"/>
      <c r="BC2355" s="74"/>
      <c r="BD2355" s="77"/>
      <c r="BF2355">
        <v>62.06</v>
      </c>
      <c r="BH2355" s="42"/>
      <c r="BI2355" s="74"/>
      <c r="BJ2355" s="77"/>
      <c r="BL2355" s="497">
        <v>46.94</v>
      </c>
      <c r="BN2355" s="42"/>
      <c r="BO2355" s="74"/>
      <c r="BP2355" s="77"/>
      <c r="BR2355" s="497">
        <v>39.92</v>
      </c>
      <c r="BT2355" s="42"/>
    </row>
    <row r="2356" spans="1:72" x14ac:dyDescent="0.25">
      <c r="A2356" s="90">
        <v>33336</v>
      </c>
      <c r="B2356" s="20">
        <v>0.41666666666666669</v>
      </c>
      <c r="D2356">
        <v>48.019999999999996</v>
      </c>
      <c r="E2356" t="str">
        <f t="shared" si="108"/>
        <v>WEEKDAY</v>
      </c>
      <c r="F2356" t="e">
        <f t="shared" si="109"/>
        <v>#N/A</v>
      </c>
      <c r="G2356" s="74">
        <v>32971</v>
      </c>
      <c r="H2356" s="77">
        <v>0.41666666666666669</v>
      </c>
      <c r="J2356">
        <v>41</v>
      </c>
      <c r="M2356" s="74">
        <v>33336</v>
      </c>
      <c r="N2356" s="77">
        <v>0.41666666666666669</v>
      </c>
      <c r="P2356">
        <v>82.039999999999992</v>
      </c>
      <c r="S2356" s="74">
        <v>33336</v>
      </c>
      <c r="T2356" s="77">
        <v>0.41666666666666669</v>
      </c>
      <c r="V2356">
        <v>78.98</v>
      </c>
      <c r="X2356" s="42"/>
      <c r="AB2356">
        <v>48.8</v>
      </c>
      <c r="AC2356">
        <v>82.039999999999992</v>
      </c>
      <c r="AE2356" s="74"/>
      <c r="AF2356" s="77"/>
      <c r="AH2356" s="497">
        <v>78.080000000000013</v>
      </c>
      <c r="AJ2356" s="42"/>
      <c r="AK2356" s="74"/>
      <c r="AL2356" s="77"/>
      <c r="AN2356" s="497">
        <v>51.980000000000004</v>
      </c>
      <c r="AP2356" s="42"/>
      <c r="AQ2356" s="74"/>
      <c r="AR2356" s="77"/>
      <c r="AT2356" s="497">
        <v>42.08</v>
      </c>
      <c r="AV2356" s="42"/>
      <c r="AW2356" s="74"/>
      <c r="AX2356" s="77"/>
      <c r="BA2356" s="497">
        <v>35.96</v>
      </c>
      <c r="BB2356" s="42"/>
      <c r="BC2356" s="74"/>
      <c r="BD2356" s="77"/>
      <c r="BF2356">
        <v>64.039999999999992</v>
      </c>
      <c r="BH2356" s="42"/>
      <c r="BI2356" s="74"/>
      <c r="BJ2356" s="77"/>
      <c r="BL2356" s="497">
        <v>51.08</v>
      </c>
      <c r="BN2356" s="42"/>
      <c r="BO2356" s="74"/>
      <c r="BP2356" s="77"/>
      <c r="BR2356" s="497">
        <v>42.980000000000004</v>
      </c>
      <c r="BT2356" s="42"/>
    </row>
    <row r="2357" spans="1:72" x14ac:dyDescent="0.25">
      <c r="A2357" s="90">
        <v>33336</v>
      </c>
      <c r="B2357" s="20">
        <v>0.45833333333333331</v>
      </c>
      <c r="D2357">
        <v>50</v>
      </c>
      <c r="E2357" t="str">
        <f t="shared" si="108"/>
        <v>WEEKDAY</v>
      </c>
      <c r="F2357" t="e">
        <f t="shared" si="109"/>
        <v>#N/A</v>
      </c>
      <c r="G2357" s="74">
        <v>32971</v>
      </c>
      <c r="H2357" s="77">
        <v>0.45833333333333331</v>
      </c>
      <c r="J2357">
        <v>42.08</v>
      </c>
      <c r="M2357" s="74">
        <v>33336</v>
      </c>
      <c r="N2357" s="77">
        <v>0.45833333333333331</v>
      </c>
      <c r="P2357">
        <v>82.94</v>
      </c>
      <c r="S2357" s="74">
        <v>33336</v>
      </c>
      <c r="T2357" s="77">
        <v>0.45833333333333331</v>
      </c>
      <c r="V2357">
        <v>73.039999999999992</v>
      </c>
      <c r="X2357" s="42"/>
      <c r="AB2357">
        <v>50.5</v>
      </c>
      <c r="AC2357">
        <v>82.039999999999992</v>
      </c>
      <c r="AE2357" s="74"/>
      <c r="AF2357" s="77"/>
      <c r="AH2357" s="497">
        <v>81.14</v>
      </c>
      <c r="AJ2357" s="42"/>
      <c r="AK2357" s="74"/>
      <c r="AL2357" s="77"/>
      <c r="AN2357" s="497">
        <v>55.94</v>
      </c>
      <c r="AP2357" s="42"/>
      <c r="AQ2357" s="74"/>
      <c r="AR2357" s="77"/>
      <c r="AT2357" s="497">
        <v>42.980000000000004</v>
      </c>
      <c r="AV2357" s="42"/>
      <c r="AW2357" s="74"/>
      <c r="AX2357" s="77"/>
      <c r="BA2357" s="497">
        <v>39.019999999999996</v>
      </c>
      <c r="BB2357" s="42"/>
      <c r="BC2357" s="74"/>
      <c r="BD2357" s="77"/>
      <c r="BF2357">
        <v>66.92</v>
      </c>
      <c r="BH2357" s="42"/>
      <c r="BI2357" s="74"/>
      <c r="BJ2357" s="77"/>
      <c r="BL2357" s="497">
        <v>55.94</v>
      </c>
      <c r="BN2357" s="42"/>
      <c r="BO2357" s="74"/>
      <c r="BP2357" s="77"/>
      <c r="BR2357" s="497">
        <v>44.96</v>
      </c>
      <c r="BT2357" s="42"/>
    </row>
    <row r="2358" spans="1:72" x14ac:dyDescent="0.25">
      <c r="A2358" s="90">
        <v>33336</v>
      </c>
      <c r="B2358" s="20">
        <v>0.5</v>
      </c>
      <c r="D2358">
        <v>51.980000000000004</v>
      </c>
      <c r="E2358" t="str">
        <f t="shared" si="108"/>
        <v>WEEKDAY</v>
      </c>
      <c r="F2358" t="e">
        <f t="shared" si="109"/>
        <v>#N/A</v>
      </c>
      <c r="G2358" s="74">
        <v>32971</v>
      </c>
      <c r="H2358" s="77">
        <v>0.5</v>
      </c>
      <c r="J2358">
        <v>42.08</v>
      </c>
      <c r="M2358" s="74">
        <v>33336</v>
      </c>
      <c r="N2358" s="77">
        <v>0.5</v>
      </c>
      <c r="P2358">
        <v>84.02</v>
      </c>
      <c r="S2358" s="74">
        <v>33336</v>
      </c>
      <c r="T2358" s="77">
        <v>0.5</v>
      </c>
      <c r="V2358">
        <v>75.92</v>
      </c>
      <c r="X2358" s="42"/>
      <c r="AB2358">
        <v>51.8</v>
      </c>
      <c r="AC2358">
        <v>84.02</v>
      </c>
      <c r="AE2358" s="74"/>
      <c r="AF2358" s="77"/>
      <c r="AH2358" s="497">
        <v>84.02</v>
      </c>
      <c r="AJ2358" s="42"/>
      <c r="AK2358" s="74"/>
      <c r="AL2358" s="77"/>
      <c r="AN2358" s="497">
        <v>57.019999999999996</v>
      </c>
      <c r="AP2358" s="42"/>
      <c r="AQ2358" s="74"/>
      <c r="AR2358" s="77"/>
      <c r="AT2358" s="497">
        <v>46.04</v>
      </c>
      <c r="AV2358" s="42"/>
      <c r="AW2358" s="74"/>
      <c r="AX2358" s="77"/>
      <c r="BA2358" s="497">
        <v>35.06</v>
      </c>
      <c r="BB2358" s="42"/>
      <c r="BC2358" s="74"/>
      <c r="BD2358" s="77"/>
      <c r="BF2358">
        <v>66.92</v>
      </c>
      <c r="BH2358" s="42"/>
      <c r="BI2358" s="74"/>
      <c r="BJ2358" s="77"/>
      <c r="BL2358" s="497">
        <v>57.92</v>
      </c>
      <c r="BN2358" s="42"/>
      <c r="BO2358" s="74"/>
      <c r="BP2358" s="77"/>
      <c r="BR2358" s="497">
        <v>42.08</v>
      </c>
      <c r="BT2358" s="42"/>
    </row>
    <row r="2359" spans="1:72" x14ac:dyDescent="0.25">
      <c r="A2359" s="90">
        <v>33336</v>
      </c>
      <c r="B2359" s="20">
        <v>0.54166666666666663</v>
      </c>
      <c r="D2359">
        <v>53.96</v>
      </c>
      <c r="E2359" t="str">
        <f t="shared" si="108"/>
        <v>WEEKDAY</v>
      </c>
      <c r="F2359" t="e">
        <f t="shared" si="109"/>
        <v>#N/A</v>
      </c>
      <c r="G2359" s="74">
        <v>32971</v>
      </c>
      <c r="H2359" s="77">
        <v>0.54166666666666663</v>
      </c>
      <c r="J2359">
        <v>42.980000000000004</v>
      </c>
      <c r="M2359" s="74">
        <v>33336</v>
      </c>
      <c r="N2359" s="77">
        <v>0.54166666666666663</v>
      </c>
      <c r="P2359">
        <v>86</v>
      </c>
      <c r="S2359" s="74">
        <v>33336</v>
      </c>
      <c r="T2359" s="77">
        <v>0.54166666666666663</v>
      </c>
      <c r="V2359">
        <v>73.039999999999992</v>
      </c>
      <c r="X2359" s="42"/>
      <c r="AB2359">
        <v>52.7</v>
      </c>
      <c r="AC2359">
        <v>82.94</v>
      </c>
      <c r="AE2359" s="74"/>
      <c r="AF2359" s="77"/>
      <c r="AH2359" s="497">
        <v>82.039999999999992</v>
      </c>
      <c r="AJ2359" s="42"/>
      <c r="AK2359" s="74"/>
      <c r="AL2359" s="77"/>
      <c r="AN2359" s="497">
        <v>60.08</v>
      </c>
      <c r="AP2359" s="42"/>
      <c r="AQ2359" s="74"/>
      <c r="AR2359" s="77"/>
      <c r="AT2359" s="497">
        <v>46.94</v>
      </c>
      <c r="AV2359" s="42"/>
      <c r="AW2359" s="74"/>
      <c r="AX2359" s="77"/>
      <c r="BA2359" s="497">
        <v>39.92</v>
      </c>
      <c r="BB2359" s="42"/>
      <c r="BC2359" s="74"/>
      <c r="BD2359" s="77"/>
      <c r="BF2359">
        <v>69.98</v>
      </c>
      <c r="BH2359" s="42"/>
      <c r="BI2359" s="74"/>
      <c r="BJ2359" s="77"/>
      <c r="BL2359" s="497">
        <v>59</v>
      </c>
      <c r="BN2359" s="42"/>
      <c r="BO2359" s="74"/>
      <c r="BP2359" s="77"/>
      <c r="BR2359" s="497">
        <v>44.06</v>
      </c>
      <c r="BT2359" s="42"/>
    </row>
    <row r="2360" spans="1:72" x14ac:dyDescent="0.25">
      <c r="A2360" s="90">
        <v>33336</v>
      </c>
      <c r="B2360" s="20">
        <v>0.58333333333333337</v>
      </c>
      <c r="D2360">
        <v>55.040000000000006</v>
      </c>
      <c r="E2360" t="str">
        <f t="shared" si="108"/>
        <v>WEEKDAY</v>
      </c>
      <c r="F2360" t="e">
        <f t="shared" si="109"/>
        <v>#N/A</v>
      </c>
      <c r="G2360" s="74">
        <v>32971</v>
      </c>
      <c r="H2360" s="77">
        <v>0.58333333333333337</v>
      </c>
      <c r="J2360">
        <v>44.96</v>
      </c>
      <c r="M2360" s="74">
        <v>33336</v>
      </c>
      <c r="N2360" s="77">
        <v>0.58333333333333337</v>
      </c>
      <c r="P2360">
        <v>86</v>
      </c>
      <c r="S2360" s="74">
        <v>33336</v>
      </c>
      <c r="T2360" s="77">
        <v>0.58333333333333337</v>
      </c>
      <c r="V2360">
        <v>69.080000000000013</v>
      </c>
      <c r="X2360" s="42"/>
      <c r="AB2360">
        <v>53.5</v>
      </c>
      <c r="AC2360">
        <v>80.960000000000008</v>
      </c>
      <c r="AE2360" s="74"/>
      <c r="AF2360" s="77"/>
      <c r="AH2360" s="497">
        <v>82.94</v>
      </c>
      <c r="AJ2360" s="42"/>
      <c r="AK2360" s="74"/>
      <c r="AL2360" s="77"/>
      <c r="AN2360" s="497">
        <v>59</v>
      </c>
      <c r="AP2360" s="42"/>
      <c r="AQ2360" s="74"/>
      <c r="AR2360" s="77"/>
      <c r="AT2360" s="497">
        <v>48.92</v>
      </c>
      <c r="AV2360" s="42"/>
      <c r="AW2360" s="74"/>
      <c r="AX2360" s="77"/>
      <c r="BA2360" s="497">
        <v>39.92</v>
      </c>
      <c r="BB2360" s="42"/>
      <c r="BC2360" s="74"/>
      <c r="BD2360" s="77"/>
      <c r="BF2360">
        <v>69.080000000000013</v>
      </c>
      <c r="BH2360" s="42"/>
      <c r="BI2360" s="74"/>
      <c r="BJ2360" s="77"/>
      <c r="BL2360" s="497">
        <v>55.94</v>
      </c>
      <c r="BN2360" s="42"/>
      <c r="BO2360" s="74"/>
      <c r="BP2360" s="77"/>
      <c r="BR2360" s="497">
        <v>41</v>
      </c>
      <c r="BT2360" s="42"/>
    </row>
    <row r="2361" spans="1:72" x14ac:dyDescent="0.25">
      <c r="A2361" s="90">
        <v>33336</v>
      </c>
      <c r="B2361" s="20">
        <v>0.625</v>
      </c>
      <c r="D2361">
        <v>57.019999999999996</v>
      </c>
      <c r="E2361" t="str">
        <f t="shared" si="108"/>
        <v>WEEKDAY</v>
      </c>
      <c r="F2361" t="e">
        <f t="shared" si="109"/>
        <v>#N/A</v>
      </c>
      <c r="G2361" s="74">
        <v>32971</v>
      </c>
      <c r="H2361" s="77">
        <v>0.625</v>
      </c>
      <c r="J2361">
        <v>46.94</v>
      </c>
      <c r="M2361" s="74">
        <v>33336</v>
      </c>
      <c r="N2361" s="77">
        <v>0.625</v>
      </c>
      <c r="P2361">
        <v>84.92</v>
      </c>
      <c r="S2361" s="74">
        <v>33336</v>
      </c>
      <c r="T2361" s="77">
        <v>0.625</v>
      </c>
      <c r="V2361">
        <v>71.06</v>
      </c>
      <c r="X2361" s="42"/>
      <c r="AB2361">
        <v>53.7</v>
      </c>
      <c r="AC2361">
        <v>75.92</v>
      </c>
      <c r="AE2361" s="74"/>
      <c r="AF2361" s="77"/>
      <c r="AH2361" s="497">
        <v>82.94</v>
      </c>
      <c r="AJ2361" s="42"/>
      <c r="AK2361" s="74"/>
      <c r="AL2361" s="77"/>
      <c r="AN2361" s="497">
        <v>57.92</v>
      </c>
      <c r="AP2361" s="42"/>
      <c r="AQ2361" s="74"/>
      <c r="AR2361" s="77"/>
      <c r="AT2361" s="497">
        <v>48.92</v>
      </c>
      <c r="AV2361" s="42"/>
      <c r="AW2361" s="74"/>
      <c r="AX2361" s="77"/>
      <c r="BA2361" s="497">
        <v>41</v>
      </c>
      <c r="BB2361" s="42"/>
      <c r="BC2361" s="74"/>
      <c r="BD2361" s="77"/>
      <c r="BF2361">
        <v>66.92</v>
      </c>
      <c r="BH2361" s="42"/>
      <c r="BI2361" s="74"/>
      <c r="BJ2361" s="77"/>
      <c r="BL2361" s="497">
        <v>53.06</v>
      </c>
      <c r="BN2361" s="42"/>
      <c r="BO2361" s="74"/>
      <c r="BP2361" s="77"/>
      <c r="BR2361" s="497">
        <v>41</v>
      </c>
      <c r="BT2361" s="42"/>
    </row>
    <row r="2362" spans="1:72" x14ac:dyDescent="0.25">
      <c r="A2362" s="90">
        <v>33336</v>
      </c>
      <c r="B2362" s="20">
        <v>0.66666666666666663</v>
      </c>
      <c r="D2362">
        <v>57.019999999999996</v>
      </c>
      <c r="E2362" t="str">
        <f t="shared" si="108"/>
        <v>WEEKDAY</v>
      </c>
      <c r="F2362" t="e">
        <f t="shared" si="109"/>
        <v>#N/A</v>
      </c>
      <c r="G2362" s="74">
        <v>32971</v>
      </c>
      <c r="H2362" s="77">
        <v>0.66666666666666663</v>
      </c>
      <c r="J2362">
        <v>48.019999999999996</v>
      </c>
      <c r="M2362" s="74">
        <v>33336</v>
      </c>
      <c r="N2362" s="77">
        <v>0.66666666666666663</v>
      </c>
      <c r="P2362">
        <v>84.92</v>
      </c>
      <c r="S2362" s="74">
        <v>33336</v>
      </c>
      <c r="T2362" s="77">
        <v>0.66666666666666663</v>
      </c>
      <c r="V2362">
        <v>62.96</v>
      </c>
      <c r="X2362" s="42"/>
      <c r="AB2362">
        <v>53.8</v>
      </c>
      <c r="AC2362">
        <v>71.06</v>
      </c>
      <c r="AE2362" s="74"/>
      <c r="AF2362" s="77"/>
      <c r="AH2362" s="497">
        <v>84.02</v>
      </c>
      <c r="AJ2362" s="42"/>
      <c r="AK2362" s="74"/>
      <c r="AL2362" s="77"/>
      <c r="AN2362" s="497">
        <v>57.92</v>
      </c>
      <c r="AP2362" s="42"/>
      <c r="AQ2362" s="74"/>
      <c r="AR2362" s="77"/>
      <c r="AT2362" s="497">
        <v>48.92</v>
      </c>
      <c r="AV2362" s="42"/>
      <c r="AW2362" s="74"/>
      <c r="AX2362" s="77"/>
      <c r="BA2362" s="497">
        <v>41</v>
      </c>
      <c r="BB2362" s="42"/>
      <c r="BC2362" s="74"/>
      <c r="BD2362" s="77"/>
      <c r="BF2362">
        <v>64.039999999999992</v>
      </c>
      <c r="BH2362" s="42"/>
      <c r="BI2362" s="74"/>
      <c r="BJ2362" s="77"/>
      <c r="BL2362" s="497">
        <v>51.980000000000004</v>
      </c>
      <c r="BN2362" s="42"/>
      <c r="BO2362" s="74"/>
      <c r="BP2362" s="77"/>
      <c r="BR2362" s="497">
        <v>41</v>
      </c>
      <c r="BT2362" s="42"/>
    </row>
    <row r="2363" spans="1:72" x14ac:dyDescent="0.25">
      <c r="A2363" s="90">
        <v>33336</v>
      </c>
      <c r="B2363" s="20">
        <v>0.70833333333333337</v>
      </c>
      <c r="D2363">
        <v>57.019999999999996</v>
      </c>
      <c r="E2363" t="str">
        <f t="shared" si="108"/>
        <v>WEEKDAY</v>
      </c>
      <c r="F2363" t="e">
        <f t="shared" si="109"/>
        <v>#N/A</v>
      </c>
      <c r="G2363" s="74">
        <v>32971</v>
      </c>
      <c r="H2363" s="77">
        <v>0.70833333333333337</v>
      </c>
      <c r="J2363">
        <v>48.019999999999996</v>
      </c>
      <c r="M2363" s="74">
        <v>33336</v>
      </c>
      <c r="N2363" s="77">
        <v>0.70833333333333337</v>
      </c>
      <c r="P2363">
        <v>84.02</v>
      </c>
      <c r="S2363" s="74">
        <v>33336</v>
      </c>
      <c r="T2363" s="77">
        <v>0.70833333333333337</v>
      </c>
      <c r="V2363">
        <v>62.96</v>
      </c>
      <c r="X2363" s="42"/>
      <c r="AB2363">
        <v>53.1</v>
      </c>
      <c r="AC2363">
        <v>66.02</v>
      </c>
      <c r="AE2363" s="74"/>
      <c r="AF2363" s="77"/>
      <c r="AH2363" s="497">
        <v>82.039999999999992</v>
      </c>
      <c r="AJ2363" s="42"/>
      <c r="AK2363" s="74"/>
      <c r="AL2363" s="77"/>
      <c r="AN2363" s="497">
        <v>59</v>
      </c>
      <c r="AP2363" s="42"/>
      <c r="AQ2363" s="74"/>
      <c r="AR2363" s="77"/>
      <c r="AT2363" s="497">
        <v>50</v>
      </c>
      <c r="AV2363" s="42"/>
      <c r="AW2363" s="74"/>
      <c r="AX2363" s="77"/>
      <c r="BA2363" s="497">
        <v>39.019999999999996</v>
      </c>
      <c r="BB2363" s="42"/>
      <c r="BC2363" s="74"/>
      <c r="BD2363" s="77"/>
      <c r="BF2363">
        <v>60.980000000000004</v>
      </c>
      <c r="BH2363" s="42"/>
      <c r="BI2363" s="74"/>
      <c r="BJ2363" s="77"/>
      <c r="BL2363" s="497">
        <v>51.980000000000004</v>
      </c>
      <c r="BN2363" s="42"/>
      <c r="BO2363" s="74"/>
      <c r="BP2363" s="77"/>
      <c r="BR2363" s="497">
        <v>39.92</v>
      </c>
      <c r="BT2363" s="42"/>
    </row>
    <row r="2364" spans="1:72" x14ac:dyDescent="0.25">
      <c r="A2364" s="90">
        <v>33336</v>
      </c>
      <c r="B2364" s="20">
        <v>0.75</v>
      </c>
      <c r="D2364">
        <v>51.08</v>
      </c>
      <c r="E2364" t="str">
        <f t="shared" si="108"/>
        <v>WEEKDAY</v>
      </c>
      <c r="F2364" t="e">
        <f t="shared" si="109"/>
        <v>#N/A</v>
      </c>
      <c r="G2364" s="74">
        <v>32971</v>
      </c>
      <c r="H2364" s="77">
        <v>0.75</v>
      </c>
      <c r="J2364">
        <v>46.94</v>
      </c>
      <c r="M2364" s="74">
        <v>33336</v>
      </c>
      <c r="N2364" s="77">
        <v>0.75</v>
      </c>
      <c r="P2364">
        <v>84.02</v>
      </c>
      <c r="S2364" s="74">
        <v>33336</v>
      </c>
      <c r="T2364" s="77">
        <v>0.75</v>
      </c>
      <c r="V2364">
        <v>60.08</v>
      </c>
      <c r="X2364" s="42"/>
      <c r="AB2364">
        <v>51.9</v>
      </c>
      <c r="AC2364">
        <v>62.96</v>
      </c>
      <c r="AE2364" s="74"/>
      <c r="AF2364" s="77"/>
      <c r="AH2364" s="497">
        <v>78.98</v>
      </c>
      <c r="AJ2364" s="42"/>
      <c r="AK2364" s="74"/>
      <c r="AL2364" s="77"/>
      <c r="AN2364" s="497">
        <v>57.019999999999996</v>
      </c>
      <c r="AP2364" s="42"/>
      <c r="AQ2364" s="74"/>
      <c r="AR2364" s="77"/>
      <c r="AT2364" s="497">
        <v>48.019999999999996</v>
      </c>
      <c r="AV2364" s="42"/>
      <c r="AW2364" s="74"/>
      <c r="AX2364" s="77"/>
      <c r="BA2364" s="497">
        <v>37.04</v>
      </c>
      <c r="BB2364" s="42"/>
      <c r="BC2364" s="74"/>
      <c r="BD2364" s="77"/>
      <c r="BF2364">
        <v>62.06</v>
      </c>
      <c r="BH2364" s="42"/>
      <c r="BI2364" s="74"/>
      <c r="BJ2364" s="77"/>
      <c r="BL2364" s="497">
        <v>51.980000000000004</v>
      </c>
      <c r="BN2364" s="42"/>
      <c r="BO2364" s="74"/>
      <c r="BP2364" s="77"/>
      <c r="BR2364" s="497">
        <v>35.06</v>
      </c>
      <c r="BT2364" s="42"/>
    </row>
    <row r="2365" spans="1:72" x14ac:dyDescent="0.25">
      <c r="A2365" s="90">
        <v>33336</v>
      </c>
      <c r="B2365" s="20">
        <v>0.79166666666666663</v>
      </c>
      <c r="D2365">
        <v>48.92</v>
      </c>
      <c r="E2365" t="str">
        <f t="shared" si="108"/>
        <v>WEEKDAY</v>
      </c>
      <c r="F2365" t="e">
        <f t="shared" si="109"/>
        <v>#N/A</v>
      </c>
      <c r="G2365" s="74">
        <v>32971</v>
      </c>
      <c r="H2365" s="77">
        <v>0.79166666666666663</v>
      </c>
      <c r="J2365">
        <v>46.94</v>
      </c>
      <c r="M2365" s="74">
        <v>33336</v>
      </c>
      <c r="N2365" s="77">
        <v>0.79166666666666663</v>
      </c>
      <c r="P2365">
        <v>78.98</v>
      </c>
      <c r="S2365" s="74">
        <v>33336</v>
      </c>
      <c r="T2365" s="77">
        <v>0.79166666666666663</v>
      </c>
      <c r="V2365">
        <v>57.92</v>
      </c>
      <c r="X2365" s="42"/>
      <c r="AB2365">
        <v>50.4</v>
      </c>
      <c r="AC2365">
        <v>62.96</v>
      </c>
      <c r="AE2365" s="74"/>
      <c r="AF2365" s="77"/>
      <c r="AH2365" s="497">
        <v>78.080000000000013</v>
      </c>
      <c r="AJ2365" s="42"/>
      <c r="AK2365" s="74"/>
      <c r="AL2365" s="77"/>
      <c r="AN2365" s="497">
        <v>55.040000000000006</v>
      </c>
      <c r="AP2365" s="42"/>
      <c r="AQ2365" s="74"/>
      <c r="AR2365" s="77"/>
      <c r="AT2365" s="497">
        <v>44.96</v>
      </c>
      <c r="AV2365" s="42"/>
      <c r="AW2365" s="74"/>
      <c r="AX2365" s="77"/>
      <c r="BA2365" s="497">
        <v>35.06</v>
      </c>
      <c r="BB2365" s="42"/>
      <c r="BC2365" s="74"/>
      <c r="BD2365" s="77"/>
      <c r="BF2365">
        <v>62.06</v>
      </c>
      <c r="BH2365" s="42"/>
      <c r="BI2365" s="74"/>
      <c r="BJ2365" s="77"/>
      <c r="BL2365" s="497">
        <v>51.980000000000004</v>
      </c>
      <c r="BN2365" s="42"/>
      <c r="BO2365" s="74"/>
      <c r="BP2365" s="77"/>
      <c r="BR2365" s="497">
        <v>35.06</v>
      </c>
      <c r="BT2365" s="42"/>
    </row>
    <row r="2366" spans="1:72" x14ac:dyDescent="0.25">
      <c r="A2366" s="90">
        <v>33336</v>
      </c>
      <c r="B2366" s="20">
        <v>0.83333333333333337</v>
      </c>
      <c r="D2366">
        <v>48.019999999999996</v>
      </c>
      <c r="E2366" t="str">
        <f t="shared" si="108"/>
        <v>WEEKDAY</v>
      </c>
      <c r="F2366" t="e">
        <f t="shared" si="109"/>
        <v>#N/A</v>
      </c>
      <c r="G2366" s="74">
        <v>32971</v>
      </c>
      <c r="H2366" s="77">
        <v>0.83333333333333337</v>
      </c>
      <c r="J2366">
        <v>46.04</v>
      </c>
      <c r="M2366" s="74">
        <v>33336</v>
      </c>
      <c r="N2366" s="77">
        <v>0.83333333333333337</v>
      </c>
      <c r="P2366">
        <v>80.06</v>
      </c>
      <c r="S2366" s="74">
        <v>33336</v>
      </c>
      <c r="T2366" s="77">
        <v>0.83333333333333337</v>
      </c>
      <c r="V2366">
        <v>60.08</v>
      </c>
      <c r="X2366" s="42"/>
      <c r="AB2366">
        <v>49.2</v>
      </c>
      <c r="AC2366">
        <v>64.039999999999992</v>
      </c>
      <c r="AE2366" s="74"/>
      <c r="AF2366" s="77"/>
      <c r="AH2366" s="497">
        <v>77</v>
      </c>
      <c r="AJ2366" s="42"/>
      <c r="AK2366" s="74"/>
      <c r="AL2366" s="77"/>
      <c r="AN2366" s="497">
        <v>53.96</v>
      </c>
      <c r="AP2366" s="42"/>
      <c r="AQ2366" s="74"/>
      <c r="AR2366" s="77"/>
      <c r="AT2366" s="497">
        <v>39.019999999999996</v>
      </c>
      <c r="AV2366" s="42"/>
      <c r="AW2366" s="74"/>
      <c r="AX2366" s="77"/>
      <c r="BA2366" s="497">
        <v>33.08</v>
      </c>
      <c r="BB2366" s="42"/>
      <c r="BC2366" s="74"/>
      <c r="BD2366" s="77"/>
      <c r="BF2366">
        <v>60.980000000000004</v>
      </c>
      <c r="BH2366" s="42"/>
      <c r="BI2366" s="74"/>
      <c r="BJ2366" s="77"/>
      <c r="BL2366" s="497">
        <v>50</v>
      </c>
      <c r="BN2366" s="42"/>
      <c r="BO2366" s="74"/>
      <c r="BP2366" s="77"/>
      <c r="BR2366" s="497">
        <v>33.979999999999997</v>
      </c>
      <c r="BT2366" s="42"/>
    </row>
    <row r="2367" spans="1:72" x14ac:dyDescent="0.25">
      <c r="A2367" s="90">
        <v>33336</v>
      </c>
      <c r="B2367" s="20">
        <v>0.875</v>
      </c>
      <c r="D2367">
        <v>46.04</v>
      </c>
      <c r="E2367" t="str">
        <f t="shared" si="108"/>
        <v>WEEKDAY</v>
      </c>
      <c r="F2367" t="e">
        <f t="shared" si="109"/>
        <v>#N/A</v>
      </c>
      <c r="G2367" s="74">
        <v>32971</v>
      </c>
      <c r="H2367" s="77">
        <v>0.875</v>
      </c>
      <c r="J2367">
        <v>46.04</v>
      </c>
      <c r="M2367" s="74">
        <v>33336</v>
      </c>
      <c r="N2367" s="77">
        <v>0.875</v>
      </c>
      <c r="P2367">
        <v>71.06</v>
      </c>
      <c r="S2367" s="74">
        <v>33336</v>
      </c>
      <c r="T2367" s="77">
        <v>0.875</v>
      </c>
      <c r="V2367">
        <v>57.92</v>
      </c>
      <c r="X2367" s="42"/>
      <c r="AB2367">
        <v>48.4</v>
      </c>
      <c r="AC2367">
        <v>62.06</v>
      </c>
      <c r="AE2367" s="74"/>
      <c r="AF2367" s="77"/>
      <c r="AH2367" s="497">
        <v>73.94</v>
      </c>
      <c r="AJ2367" s="42"/>
      <c r="AK2367" s="74"/>
      <c r="AL2367" s="77"/>
      <c r="AN2367" s="497">
        <v>51.980000000000004</v>
      </c>
      <c r="AP2367" s="42"/>
      <c r="AQ2367" s="74"/>
      <c r="AR2367" s="77"/>
      <c r="AT2367" s="497">
        <v>35.06</v>
      </c>
      <c r="AV2367" s="42"/>
      <c r="AW2367" s="74"/>
      <c r="AX2367" s="77"/>
      <c r="BA2367" s="497">
        <v>30.92</v>
      </c>
      <c r="BB2367" s="42"/>
      <c r="BC2367" s="74"/>
      <c r="BD2367" s="77"/>
      <c r="BF2367">
        <v>60.08</v>
      </c>
      <c r="BH2367" s="42"/>
      <c r="BI2367" s="74"/>
      <c r="BJ2367" s="77"/>
      <c r="BL2367" s="497">
        <v>51.08</v>
      </c>
      <c r="BN2367" s="42"/>
      <c r="BO2367" s="74"/>
      <c r="BP2367" s="77"/>
      <c r="BR2367" s="497">
        <v>33.08</v>
      </c>
      <c r="BT2367" s="42"/>
    </row>
    <row r="2368" spans="1:72" x14ac:dyDescent="0.25">
      <c r="A2368" s="90">
        <v>33336</v>
      </c>
      <c r="B2368" s="20">
        <v>0.91666666666666663</v>
      </c>
      <c r="D2368">
        <v>44.96</v>
      </c>
      <c r="E2368" t="str">
        <f t="shared" si="108"/>
        <v>WEEKDAY</v>
      </c>
      <c r="F2368" t="e">
        <f t="shared" si="109"/>
        <v>#N/A</v>
      </c>
      <c r="G2368" s="74">
        <v>32971</v>
      </c>
      <c r="H2368" s="77">
        <v>0.91666666666666663</v>
      </c>
      <c r="J2368">
        <v>46.04</v>
      </c>
      <c r="M2368" s="74">
        <v>33336</v>
      </c>
      <c r="N2368" s="77">
        <v>0.91666666666666663</v>
      </c>
      <c r="P2368">
        <v>71.960000000000008</v>
      </c>
      <c r="S2368" s="74">
        <v>33336</v>
      </c>
      <c r="T2368" s="77">
        <v>0.91666666666666663</v>
      </c>
      <c r="V2368">
        <v>57.019999999999996</v>
      </c>
      <c r="X2368" s="42"/>
      <c r="AB2368">
        <v>47.9</v>
      </c>
      <c r="AC2368">
        <v>60.08</v>
      </c>
      <c r="AE2368" s="74"/>
      <c r="AF2368" s="77"/>
      <c r="AH2368" s="497">
        <v>66.92</v>
      </c>
      <c r="AJ2368" s="42"/>
      <c r="AK2368" s="74"/>
      <c r="AL2368" s="77"/>
      <c r="AN2368" s="497">
        <v>51.08</v>
      </c>
      <c r="AP2368" s="42"/>
      <c r="AQ2368" s="74"/>
      <c r="AR2368" s="77"/>
      <c r="AT2368" s="497">
        <v>32</v>
      </c>
      <c r="AV2368" s="42"/>
      <c r="AW2368" s="74"/>
      <c r="AX2368" s="77"/>
      <c r="BA2368" s="497">
        <v>30.02</v>
      </c>
      <c r="BB2368" s="42"/>
      <c r="BC2368" s="74"/>
      <c r="BD2368" s="77"/>
      <c r="BF2368">
        <v>57.019999999999996</v>
      </c>
      <c r="BH2368" s="42"/>
      <c r="BI2368" s="74"/>
      <c r="BJ2368" s="77"/>
      <c r="BL2368" s="497">
        <v>51.980000000000004</v>
      </c>
      <c r="BN2368" s="42"/>
      <c r="BO2368" s="74"/>
      <c r="BP2368" s="77"/>
      <c r="BR2368" s="497">
        <v>32</v>
      </c>
      <c r="BT2368" s="42"/>
    </row>
    <row r="2369" spans="1:72" x14ac:dyDescent="0.25">
      <c r="A2369" s="90">
        <v>33336</v>
      </c>
      <c r="B2369" s="20">
        <v>0.95833333333333337</v>
      </c>
      <c r="D2369">
        <v>44.06</v>
      </c>
      <c r="E2369" t="str">
        <f t="shared" si="108"/>
        <v>WEEKDAY</v>
      </c>
      <c r="F2369" t="e">
        <f t="shared" si="109"/>
        <v>#N/A</v>
      </c>
      <c r="G2369" s="74">
        <v>32971</v>
      </c>
      <c r="H2369" s="77">
        <v>0.95833333333333337</v>
      </c>
      <c r="J2369">
        <v>44.96</v>
      </c>
      <c r="M2369" s="74">
        <v>33336</v>
      </c>
      <c r="N2369" s="77">
        <v>0.95833333333333337</v>
      </c>
      <c r="P2369">
        <v>71.06</v>
      </c>
      <c r="S2369" s="74">
        <v>33336</v>
      </c>
      <c r="T2369" s="77">
        <v>0.95833333333333337</v>
      </c>
      <c r="V2369">
        <v>55.94</v>
      </c>
      <c r="X2369" s="42"/>
      <c r="AB2369">
        <v>47.2</v>
      </c>
      <c r="AC2369">
        <v>57.92</v>
      </c>
      <c r="AE2369" s="74"/>
      <c r="AF2369" s="77"/>
      <c r="AH2369" s="497">
        <v>66.02</v>
      </c>
      <c r="AJ2369" s="42"/>
      <c r="AK2369" s="74"/>
      <c r="AL2369" s="77"/>
      <c r="AN2369" s="497">
        <v>51.08</v>
      </c>
      <c r="AP2369" s="42"/>
      <c r="AQ2369" s="74"/>
      <c r="AR2369" s="77"/>
      <c r="AT2369" s="497">
        <v>30.92</v>
      </c>
      <c r="AV2369" s="42"/>
      <c r="AW2369" s="74"/>
      <c r="AX2369" s="77"/>
      <c r="BA2369" s="497">
        <v>28.04</v>
      </c>
      <c r="BB2369" s="42"/>
      <c r="BC2369" s="74"/>
      <c r="BD2369" s="77"/>
      <c r="BF2369">
        <v>57.92</v>
      </c>
      <c r="BH2369" s="42"/>
      <c r="BI2369" s="74"/>
      <c r="BJ2369" s="77"/>
      <c r="BL2369" s="497">
        <v>53.06</v>
      </c>
      <c r="BN2369" s="42"/>
      <c r="BO2369" s="74"/>
      <c r="BP2369" s="77"/>
      <c r="BR2369" s="497">
        <v>32</v>
      </c>
      <c r="BT2369" s="42"/>
    </row>
    <row r="2370" spans="1:72" x14ac:dyDescent="0.25">
      <c r="A2370" s="90">
        <v>33336</v>
      </c>
      <c r="B2370" s="20">
        <v>1</v>
      </c>
      <c r="D2370">
        <v>44.06</v>
      </c>
      <c r="E2370" t="str">
        <f t="shared" si="108"/>
        <v>WEEKDAY</v>
      </c>
      <c r="F2370" t="e">
        <f t="shared" si="109"/>
        <v>#N/A</v>
      </c>
      <c r="G2370" s="74">
        <v>32971</v>
      </c>
      <c r="H2370" s="77">
        <v>1</v>
      </c>
      <c r="J2370">
        <v>44.06</v>
      </c>
      <c r="M2370" s="74">
        <v>33336</v>
      </c>
      <c r="N2370" s="80">
        <v>1</v>
      </c>
      <c r="P2370">
        <v>70.7</v>
      </c>
      <c r="S2370" s="74">
        <v>33336</v>
      </c>
      <c r="T2370" s="80">
        <v>1</v>
      </c>
      <c r="V2370">
        <v>55.94</v>
      </c>
      <c r="X2370" s="42"/>
      <c r="AB2370">
        <v>46.6</v>
      </c>
      <c r="AC2370">
        <v>57.92</v>
      </c>
      <c r="AE2370" s="74"/>
      <c r="AF2370" s="80"/>
      <c r="AH2370" s="497">
        <v>62.96</v>
      </c>
      <c r="AJ2370" s="42"/>
      <c r="AK2370" s="74"/>
      <c r="AL2370" s="80"/>
      <c r="AN2370" s="497">
        <v>51.08</v>
      </c>
      <c r="AP2370" s="42"/>
      <c r="AQ2370" s="74"/>
      <c r="AR2370" s="80"/>
      <c r="AT2370" s="497">
        <v>30.02</v>
      </c>
      <c r="AV2370" s="42"/>
      <c r="AW2370" s="74"/>
      <c r="AX2370" s="80"/>
      <c r="BA2370" s="497">
        <v>28.04</v>
      </c>
      <c r="BB2370" s="42"/>
      <c r="BC2370" s="74"/>
      <c r="BD2370" s="80"/>
      <c r="BF2370">
        <v>55.040000000000006</v>
      </c>
      <c r="BH2370" s="42"/>
      <c r="BI2370" s="74"/>
      <c r="BJ2370" s="80"/>
      <c r="BL2370" s="497">
        <v>55.94</v>
      </c>
      <c r="BN2370" s="42"/>
      <c r="BO2370" s="74"/>
      <c r="BP2370" s="80"/>
      <c r="BR2370" s="497">
        <v>30.92</v>
      </c>
      <c r="BT2370" s="42"/>
    </row>
    <row r="2371" spans="1:72" x14ac:dyDescent="0.25">
      <c r="A2371" s="90">
        <v>33337</v>
      </c>
      <c r="B2371" s="20">
        <v>4.1666666666666664E-2</v>
      </c>
      <c r="D2371">
        <v>42.980000000000004</v>
      </c>
      <c r="E2371" t="str">
        <f t="shared" si="108"/>
        <v>WEEKDAY</v>
      </c>
      <c r="F2371" t="e">
        <f t="shared" si="109"/>
        <v>#N/A</v>
      </c>
      <c r="G2371" s="74">
        <v>32972</v>
      </c>
      <c r="H2371" s="77">
        <v>4.1666666666666664E-2</v>
      </c>
      <c r="J2371">
        <v>42.980000000000004</v>
      </c>
      <c r="M2371" s="74">
        <v>33337</v>
      </c>
      <c r="N2371" s="77">
        <v>4.1666666666666664E-2</v>
      </c>
      <c r="P2371">
        <v>69.98</v>
      </c>
      <c r="S2371" s="74">
        <v>33337</v>
      </c>
      <c r="T2371" s="77">
        <v>4.1666666666666664E-2</v>
      </c>
      <c r="V2371">
        <v>55.040000000000006</v>
      </c>
      <c r="X2371" s="42"/>
      <c r="AB2371">
        <v>45.9</v>
      </c>
      <c r="AC2371">
        <v>57.019999999999996</v>
      </c>
      <c r="AE2371" s="74"/>
      <c r="AF2371" s="77"/>
      <c r="AH2371" s="497">
        <v>62.96</v>
      </c>
      <c r="AJ2371" s="42"/>
      <c r="AK2371" s="74"/>
      <c r="AL2371" s="77"/>
      <c r="AN2371" s="497">
        <v>51.08</v>
      </c>
      <c r="AP2371" s="42"/>
      <c r="AQ2371" s="74"/>
      <c r="AR2371" s="77"/>
      <c r="AT2371" s="497">
        <v>28.94</v>
      </c>
      <c r="AV2371" s="42"/>
      <c r="AW2371" s="74"/>
      <c r="AX2371" s="77"/>
      <c r="BA2371" s="497">
        <v>26.060000000000002</v>
      </c>
      <c r="BB2371" s="42"/>
      <c r="BC2371" s="74"/>
      <c r="BD2371" s="77"/>
      <c r="BF2371">
        <v>53.06</v>
      </c>
      <c r="BH2371" s="42"/>
      <c r="BI2371" s="74"/>
      <c r="BJ2371" s="77"/>
      <c r="BL2371" s="497">
        <v>59</v>
      </c>
      <c r="BN2371" s="42"/>
      <c r="BO2371" s="74"/>
      <c r="BP2371" s="77"/>
      <c r="BR2371" s="497">
        <v>32</v>
      </c>
      <c r="BT2371" s="42"/>
    </row>
    <row r="2372" spans="1:72" x14ac:dyDescent="0.25">
      <c r="A2372" s="90">
        <v>33337</v>
      </c>
      <c r="B2372" s="20">
        <v>8.3333333333333329E-2</v>
      </c>
      <c r="D2372">
        <v>42.980000000000004</v>
      </c>
      <c r="E2372" t="str">
        <f t="shared" si="108"/>
        <v>WEEKDAY</v>
      </c>
      <c r="F2372" t="e">
        <f t="shared" si="109"/>
        <v>#N/A</v>
      </c>
      <c r="G2372" s="74">
        <v>32972</v>
      </c>
      <c r="H2372" s="77">
        <v>8.3333333333333329E-2</v>
      </c>
      <c r="J2372">
        <v>41</v>
      </c>
      <c r="M2372" s="74">
        <v>33337</v>
      </c>
      <c r="N2372" s="77">
        <v>8.3333333333333329E-2</v>
      </c>
      <c r="P2372">
        <v>64.039999999999992</v>
      </c>
      <c r="S2372" s="74">
        <v>33337</v>
      </c>
      <c r="T2372" s="77">
        <v>8.3333333333333329E-2</v>
      </c>
      <c r="V2372">
        <v>53.96</v>
      </c>
      <c r="X2372" s="42"/>
      <c r="AB2372">
        <v>45.3</v>
      </c>
      <c r="AC2372">
        <v>57.019999999999996</v>
      </c>
      <c r="AE2372" s="74"/>
      <c r="AF2372" s="77"/>
      <c r="AH2372" s="497">
        <v>64.039999999999992</v>
      </c>
      <c r="AJ2372" s="42"/>
      <c r="AK2372" s="74"/>
      <c r="AL2372" s="77"/>
      <c r="AN2372" s="497">
        <v>50</v>
      </c>
      <c r="AP2372" s="42"/>
      <c r="AQ2372" s="74"/>
      <c r="AR2372" s="77"/>
      <c r="AT2372" s="497">
        <v>30.02</v>
      </c>
      <c r="AV2372" s="42"/>
      <c r="AW2372" s="74"/>
      <c r="AX2372" s="77"/>
      <c r="BA2372" s="497">
        <v>28.94</v>
      </c>
      <c r="BB2372" s="42"/>
      <c r="BC2372" s="74"/>
      <c r="BD2372" s="77"/>
      <c r="BF2372">
        <v>53.96</v>
      </c>
      <c r="BH2372" s="42"/>
      <c r="BI2372" s="74"/>
      <c r="BJ2372" s="77"/>
      <c r="BL2372" s="497">
        <v>60.08</v>
      </c>
      <c r="BN2372" s="42"/>
      <c r="BO2372" s="74"/>
      <c r="BP2372" s="77"/>
      <c r="BR2372" s="497">
        <v>30.92</v>
      </c>
      <c r="BT2372" s="42"/>
    </row>
    <row r="2373" spans="1:72" x14ac:dyDescent="0.25">
      <c r="A2373" s="90">
        <v>33337</v>
      </c>
      <c r="B2373" s="20">
        <v>0.125</v>
      </c>
      <c r="D2373">
        <v>42.980000000000004</v>
      </c>
      <c r="E2373" t="str">
        <f t="shared" si="108"/>
        <v>WEEKDAY</v>
      </c>
      <c r="F2373" t="e">
        <f t="shared" si="109"/>
        <v>#N/A</v>
      </c>
      <c r="G2373" s="74">
        <v>32972</v>
      </c>
      <c r="H2373" s="77">
        <v>0.125</v>
      </c>
      <c r="J2373">
        <v>42.08</v>
      </c>
      <c r="M2373" s="74">
        <v>33337</v>
      </c>
      <c r="N2373" s="77">
        <v>0.125</v>
      </c>
      <c r="P2373">
        <v>62.06</v>
      </c>
      <c r="S2373" s="74">
        <v>33337</v>
      </c>
      <c r="T2373" s="77">
        <v>0.125</v>
      </c>
      <c r="V2373">
        <v>53.06</v>
      </c>
      <c r="X2373" s="42"/>
      <c r="AB2373">
        <v>44.9</v>
      </c>
      <c r="AC2373">
        <v>55.94</v>
      </c>
      <c r="AE2373" s="74"/>
      <c r="AF2373" s="77"/>
      <c r="AH2373" s="497">
        <v>62.06</v>
      </c>
      <c r="AJ2373" s="42"/>
      <c r="AK2373" s="74"/>
      <c r="AL2373" s="77"/>
      <c r="AN2373" s="497">
        <v>48.92</v>
      </c>
      <c r="AP2373" s="42"/>
      <c r="AQ2373" s="74"/>
      <c r="AR2373" s="77"/>
      <c r="AT2373" s="497">
        <v>30.92</v>
      </c>
      <c r="AV2373" s="42"/>
      <c r="AW2373" s="74"/>
      <c r="AX2373" s="77"/>
      <c r="BA2373" s="497">
        <v>28.94</v>
      </c>
      <c r="BB2373" s="42"/>
      <c r="BC2373" s="74"/>
      <c r="BD2373" s="77"/>
      <c r="BF2373">
        <v>53.96</v>
      </c>
      <c r="BH2373" s="42"/>
      <c r="BI2373" s="74"/>
      <c r="BJ2373" s="77"/>
      <c r="BL2373" s="497">
        <v>62.06</v>
      </c>
      <c r="BN2373" s="42"/>
      <c r="BO2373" s="74"/>
      <c r="BP2373" s="77"/>
      <c r="BR2373" s="497">
        <v>28.04</v>
      </c>
      <c r="BT2373" s="42"/>
    </row>
    <row r="2374" spans="1:72" x14ac:dyDescent="0.25">
      <c r="A2374" s="90">
        <v>33337</v>
      </c>
      <c r="B2374" s="20">
        <v>0.16666666666666666</v>
      </c>
      <c r="D2374">
        <v>42.08</v>
      </c>
      <c r="E2374" t="str">
        <f t="shared" si="108"/>
        <v>WEEKDAY</v>
      </c>
      <c r="F2374" t="e">
        <f t="shared" si="109"/>
        <v>#N/A</v>
      </c>
      <c r="G2374" s="74">
        <v>32972</v>
      </c>
      <c r="H2374" s="77">
        <v>0.16666666666666666</v>
      </c>
      <c r="J2374">
        <v>41</v>
      </c>
      <c r="M2374" s="74">
        <v>33337</v>
      </c>
      <c r="N2374" s="77">
        <v>0.16666666666666666</v>
      </c>
      <c r="P2374">
        <v>62.06</v>
      </c>
      <c r="S2374" s="74">
        <v>33337</v>
      </c>
      <c r="T2374" s="77">
        <v>0.16666666666666666</v>
      </c>
      <c r="V2374">
        <v>53.06</v>
      </c>
      <c r="X2374" s="42"/>
      <c r="AB2374">
        <v>44.3</v>
      </c>
      <c r="AC2374">
        <v>55.94</v>
      </c>
      <c r="AE2374" s="74"/>
      <c r="AF2374" s="77"/>
      <c r="AH2374" s="497">
        <v>60.08</v>
      </c>
      <c r="AJ2374" s="42"/>
      <c r="AK2374" s="74"/>
      <c r="AL2374" s="77"/>
      <c r="AN2374" s="497">
        <v>48.019999999999996</v>
      </c>
      <c r="AP2374" s="42"/>
      <c r="AQ2374" s="74"/>
      <c r="AR2374" s="77"/>
      <c r="AT2374" s="497">
        <v>32</v>
      </c>
      <c r="AV2374" s="42"/>
      <c r="AW2374" s="74"/>
      <c r="AX2374" s="77"/>
      <c r="BA2374" s="497">
        <v>24.98</v>
      </c>
      <c r="BB2374" s="42"/>
      <c r="BC2374" s="74"/>
      <c r="BD2374" s="77"/>
      <c r="BF2374">
        <v>53.06</v>
      </c>
      <c r="BH2374" s="42"/>
      <c r="BI2374" s="74"/>
      <c r="BJ2374" s="77"/>
      <c r="BL2374" s="497">
        <v>62.06</v>
      </c>
      <c r="BN2374" s="42"/>
      <c r="BO2374" s="74"/>
      <c r="BP2374" s="77"/>
      <c r="BR2374" s="497">
        <v>26.96</v>
      </c>
      <c r="BT2374" s="42"/>
    </row>
    <row r="2375" spans="1:72" x14ac:dyDescent="0.25">
      <c r="A2375" s="90">
        <v>33337</v>
      </c>
      <c r="B2375" s="20">
        <v>0.20833333333333334</v>
      </c>
      <c r="D2375">
        <v>41</v>
      </c>
      <c r="E2375" t="str">
        <f t="shared" si="108"/>
        <v>WEEKDAY</v>
      </c>
      <c r="F2375" t="e">
        <f t="shared" si="109"/>
        <v>#N/A</v>
      </c>
      <c r="G2375" s="74">
        <v>32972</v>
      </c>
      <c r="H2375" s="77">
        <v>0.20833333333333334</v>
      </c>
      <c r="J2375">
        <v>41</v>
      </c>
      <c r="M2375" s="74">
        <v>33337</v>
      </c>
      <c r="N2375" s="77">
        <v>0.20833333333333334</v>
      </c>
      <c r="P2375">
        <v>60.08</v>
      </c>
      <c r="S2375" s="74">
        <v>33337</v>
      </c>
      <c r="T2375" s="77">
        <v>0.20833333333333334</v>
      </c>
      <c r="V2375">
        <v>53.96</v>
      </c>
      <c r="X2375" s="42"/>
      <c r="AB2375">
        <v>43.8</v>
      </c>
      <c r="AC2375">
        <v>55.040000000000006</v>
      </c>
      <c r="AE2375" s="74"/>
      <c r="AF2375" s="77"/>
      <c r="AH2375" s="497">
        <v>59</v>
      </c>
      <c r="AJ2375" s="42"/>
      <c r="AK2375" s="74"/>
      <c r="AL2375" s="77"/>
      <c r="AN2375" s="497">
        <v>48.92</v>
      </c>
      <c r="AP2375" s="42"/>
      <c r="AQ2375" s="74"/>
      <c r="AR2375" s="77"/>
      <c r="AT2375" s="497">
        <v>30.92</v>
      </c>
      <c r="AV2375" s="42"/>
      <c r="AW2375" s="74"/>
      <c r="AX2375" s="77"/>
      <c r="BA2375" s="497">
        <v>24.08</v>
      </c>
      <c r="BB2375" s="42"/>
      <c r="BC2375" s="74"/>
      <c r="BD2375" s="77"/>
      <c r="BF2375">
        <v>53.06</v>
      </c>
      <c r="BH2375" s="42"/>
      <c r="BI2375" s="74"/>
      <c r="BJ2375" s="77"/>
      <c r="BL2375" s="497">
        <v>60.08</v>
      </c>
      <c r="BN2375" s="42"/>
      <c r="BO2375" s="74"/>
      <c r="BP2375" s="77"/>
      <c r="BR2375" s="497">
        <v>23</v>
      </c>
      <c r="BT2375" s="42"/>
    </row>
    <row r="2376" spans="1:72" x14ac:dyDescent="0.25">
      <c r="A2376" s="90">
        <v>33337</v>
      </c>
      <c r="B2376" s="20">
        <v>0.25</v>
      </c>
      <c r="D2376">
        <v>42.08</v>
      </c>
      <c r="E2376" t="str">
        <f t="shared" si="108"/>
        <v>WEEKDAY</v>
      </c>
      <c r="F2376" t="e">
        <f t="shared" si="109"/>
        <v>#N/A</v>
      </c>
      <c r="G2376" s="74">
        <v>32972</v>
      </c>
      <c r="H2376" s="77">
        <v>0.25</v>
      </c>
      <c r="J2376">
        <v>41</v>
      </c>
      <c r="M2376" s="74">
        <v>33337</v>
      </c>
      <c r="N2376" s="77">
        <v>0.25</v>
      </c>
      <c r="P2376">
        <v>60.08</v>
      </c>
      <c r="S2376" s="74">
        <v>33337</v>
      </c>
      <c r="T2376" s="77">
        <v>0.25</v>
      </c>
      <c r="V2376">
        <v>53.96</v>
      </c>
      <c r="X2376" s="42"/>
      <c r="AB2376">
        <v>43.7</v>
      </c>
      <c r="AC2376">
        <v>55.94</v>
      </c>
      <c r="AE2376" s="74"/>
      <c r="AF2376" s="77"/>
      <c r="AH2376" s="497">
        <v>59</v>
      </c>
      <c r="AJ2376" s="42"/>
      <c r="AK2376" s="74"/>
      <c r="AL2376" s="77"/>
      <c r="AN2376" s="497">
        <v>48.92</v>
      </c>
      <c r="AP2376" s="42"/>
      <c r="AQ2376" s="74"/>
      <c r="AR2376" s="77"/>
      <c r="AT2376" s="497">
        <v>30.02</v>
      </c>
      <c r="AV2376" s="42"/>
      <c r="AW2376" s="74"/>
      <c r="AX2376" s="77"/>
      <c r="BA2376" s="497">
        <v>23</v>
      </c>
      <c r="BB2376" s="42"/>
      <c r="BC2376" s="74"/>
      <c r="BD2376" s="77"/>
      <c r="BF2376">
        <v>53.06</v>
      </c>
      <c r="BH2376" s="42"/>
      <c r="BI2376" s="74"/>
      <c r="BJ2376" s="77"/>
      <c r="BL2376" s="497">
        <v>59</v>
      </c>
      <c r="BN2376" s="42"/>
      <c r="BO2376" s="74"/>
      <c r="BP2376" s="77"/>
      <c r="BR2376" s="497">
        <v>23</v>
      </c>
      <c r="BT2376" s="42"/>
    </row>
    <row r="2377" spans="1:72" x14ac:dyDescent="0.25">
      <c r="A2377" s="90">
        <v>33337</v>
      </c>
      <c r="B2377" s="20">
        <v>0.29166666666666669</v>
      </c>
      <c r="D2377">
        <v>42.980000000000004</v>
      </c>
      <c r="E2377" t="str">
        <f t="shared" si="108"/>
        <v>WEEKDAY</v>
      </c>
      <c r="F2377" t="e">
        <f t="shared" si="109"/>
        <v>#N/A</v>
      </c>
      <c r="G2377" s="74">
        <v>32972</v>
      </c>
      <c r="H2377" s="77">
        <v>0.29166666666666669</v>
      </c>
      <c r="J2377">
        <v>46.04</v>
      </c>
      <c r="M2377" s="74">
        <v>33337</v>
      </c>
      <c r="N2377" s="77">
        <v>0.29166666666666669</v>
      </c>
      <c r="P2377">
        <v>66.02</v>
      </c>
      <c r="S2377" s="74">
        <v>33337</v>
      </c>
      <c r="T2377" s="77">
        <v>0.29166666666666669</v>
      </c>
      <c r="V2377">
        <v>55.040000000000006</v>
      </c>
      <c r="X2377" s="42"/>
      <c r="AB2377">
        <v>43.8</v>
      </c>
      <c r="AC2377">
        <v>59</v>
      </c>
      <c r="AE2377" s="74"/>
      <c r="AF2377" s="77"/>
      <c r="AH2377" s="497">
        <v>62.06</v>
      </c>
      <c r="AJ2377" s="42"/>
      <c r="AK2377" s="74"/>
      <c r="AL2377" s="77"/>
      <c r="AN2377" s="497">
        <v>51.08</v>
      </c>
      <c r="AP2377" s="42"/>
      <c r="AQ2377" s="74"/>
      <c r="AR2377" s="77"/>
      <c r="AT2377" s="497">
        <v>35.06</v>
      </c>
      <c r="AV2377" s="42"/>
      <c r="AW2377" s="74"/>
      <c r="AX2377" s="77"/>
      <c r="BA2377" s="497">
        <v>28.04</v>
      </c>
      <c r="BB2377" s="42"/>
      <c r="BC2377" s="74"/>
      <c r="BD2377" s="77"/>
      <c r="BF2377">
        <v>53.06</v>
      </c>
      <c r="BH2377" s="42"/>
      <c r="BI2377" s="74"/>
      <c r="BJ2377" s="77"/>
      <c r="BL2377" s="497">
        <v>60.980000000000004</v>
      </c>
      <c r="BN2377" s="42"/>
      <c r="BO2377" s="74"/>
      <c r="BP2377" s="77"/>
      <c r="BR2377" s="497">
        <v>24.98</v>
      </c>
      <c r="BT2377" s="42"/>
    </row>
    <row r="2378" spans="1:72" x14ac:dyDescent="0.25">
      <c r="A2378" s="90">
        <v>33337</v>
      </c>
      <c r="B2378" s="20">
        <v>0.33333333333333331</v>
      </c>
      <c r="D2378">
        <v>48.019999999999996</v>
      </c>
      <c r="E2378" t="str">
        <f t="shared" si="108"/>
        <v>WEEKDAY</v>
      </c>
      <c r="F2378" t="e">
        <f t="shared" si="109"/>
        <v>#N/A</v>
      </c>
      <c r="G2378" s="74">
        <v>32972</v>
      </c>
      <c r="H2378" s="77">
        <v>0.33333333333333331</v>
      </c>
      <c r="J2378">
        <v>48.92</v>
      </c>
      <c r="M2378" s="74">
        <v>33337</v>
      </c>
      <c r="N2378" s="77">
        <v>0.33333333333333331</v>
      </c>
      <c r="P2378">
        <v>68</v>
      </c>
      <c r="S2378" s="74">
        <v>33337</v>
      </c>
      <c r="T2378" s="77">
        <v>0.33333333333333331</v>
      </c>
      <c r="V2378">
        <v>57.92</v>
      </c>
      <c r="X2378" s="42"/>
      <c r="AB2378">
        <v>45.6</v>
      </c>
      <c r="AC2378">
        <v>60.980000000000004</v>
      </c>
      <c r="AE2378" s="74"/>
      <c r="AF2378" s="77"/>
      <c r="AH2378" s="497">
        <v>66.02</v>
      </c>
      <c r="AJ2378" s="42"/>
      <c r="AK2378" s="74"/>
      <c r="AL2378" s="77"/>
      <c r="AN2378" s="497">
        <v>51.08</v>
      </c>
      <c r="AP2378" s="42"/>
      <c r="AQ2378" s="74"/>
      <c r="AR2378" s="77"/>
      <c r="AT2378" s="497">
        <v>41</v>
      </c>
      <c r="AV2378" s="42"/>
      <c r="AW2378" s="74"/>
      <c r="AX2378" s="77"/>
      <c r="BA2378" s="497">
        <v>32</v>
      </c>
      <c r="BB2378" s="42"/>
      <c r="BC2378" s="74"/>
      <c r="BD2378" s="77"/>
      <c r="BF2378">
        <v>53.96</v>
      </c>
      <c r="BH2378" s="42"/>
      <c r="BI2378" s="74"/>
      <c r="BJ2378" s="77"/>
      <c r="BL2378" s="497">
        <v>64.039999999999992</v>
      </c>
      <c r="BN2378" s="42"/>
      <c r="BO2378" s="74"/>
      <c r="BP2378" s="77"/>
      <c r="BR2378" s="497">
        <v>26.96</v>
      </c>
      <c r="BT2378" s="42"/>
    </row>
    <row r="2379" spans="1:72" x14ac:dyDescent="0.25">
      <c r="A2379" s="90">
        <v>33337</v>
      </c>
      <c r="B2379" s="20">
        <v>0.375</v>
      </c>
      <c r="D2379">
        <v>51.980000000000004</v>
      </c>
      <c r="E2379" t="str">
        <f t="shared" si="108"/>
        <v>WEEKDAY</v>
      </c>
      <c r="F2379" t="e">
        <f t="shared" si="109"/>
        <v>#N/A</v>
      </c>
      <c r="G2379" s="74">
        <v>32972</v>
      </c>
      <c r="H2379" s="77">
        <v>0.375</v>
      </c>
      <c r="J2379">
        <v>51.08</v>
      </c>
      <c r="M2379" s="74">
        <v>33337</v>
      </c>
      <c r="N2379" s="77">
        <v>0.375</v>
      </c>
      <c r="P2379">
        <v>71.06</v>
      </c>
      <c r="S2379" s="74">
        <v>33337</v>
      </c>
      <c r="T2379" s="77">
        <v>0.375</v>
      </c>
      <c r="V2379">
        <v>64.94</v>
      </c>
      <c r="X2379" s="42"/>
      <c r="AB2379">
        <v>47.4</v>
      </c>
      <c r="AC2379">
        <v>64.039999999999992</v>
      </c>
      <c r="AE2379" s="74"/>
      <c r="AF2379" s="77"/>
      <c r="AH2379" s="497">
        <v>69.98</v>
      </c>
      <c r="AJ2379" s="42"/>
      <c r="AK2379" s="74"/>
      <c r="AL2379" s="77"/>
      <c r="AN2379" s="497">
        <v>51.980000000000004</v>
      </c>
      <c r="AP2379" s="42"/>
      <c r="AQ2379" s="74"/>
      <c r="AR2379" s="77"/>
      <c r="AT2379" s="497">
        <v>48.019999999999996</v>
      </c>
      <c r="AV2379" s="42"/>
      <c r="AW2379" s="74"/>
      <c r="AX2379" s="77"/>
      <c r="BA2379" s="497">
        <v>33.979999999999997</v>
      </c>
      <c r="BB2379" s="42"/>
      <c r="BC2379" s="74"/>
      <c r="BD2379" s="77"/>
      <c r="BF2379">
        <v>57.019999999999996</v>
      </c>
      <c r="BH2379" s="42"/>
      <c r="BI2379" s="74"/>
      <c r="BJ2379" s="77"/>
      <c r="BL2379" s="497">
        <v>66.02</v>
      </c>
      <c r="BN2379" s="42"/>
      <c r="BO2379" s="74"/>
      <c r="BP2379" s="77"/>
      <c r="BR2379" s="497">
        <v>26.96</v>
      </c>
      <c r="BT2379" s="42"/>
    </row>
    <row r="2380" spans="1:72" x14ac:dyDescent="0.25">
      <c r="A2380" s="90">
        <v>33337</v>
      </c>
      <c r="B2380" s="20">
        <v>0.41666666666666669</v>
      </c>
      <c r="D2380">
        <v>51.980000000000004</v>
      </c>
      <c r="E2380" t="str">
        <f t="shared" si="108"/>
        <v>WEEKDAY</v>
      </c>
      <c r="F2380" t="e">
        <f t="shared" si="109"/>
        <v>#N/A</v>
      </c>
      <c r="G2380" s="74">
        <v>32972</v>
      </c>
      <c r="H2380" s="77">
        <v>0.41666666666666669</v>
      </c>
      <c r="J2380">
        <v>53.96</v>
      </c>
      <c r="M2380" s="74">
        <v>33337</v>
      </c>
      <c r="N2380" s="77">
        <v>0.41666666666666669</v>
      </c>
      <c r="P2380">
        <v>73.94</v>
      </c>
      <c r="S2380" s="74">
        <v>33337</v>
      </c>
      <c r="T2380" s="77">
        <v>0.41666666666666669</v>
      </c>
      <c r="V2380">
        <v>69.98</v>
      </c>
      <c r="X2380" s="42"/>
      <c r="AB2380">
        <v>49.3</v>
      </c>
      <c r="AC2380">
        <v>66.92</v>
      </c>
      <c r="AE2380" s="74"/>
      <c r="AF2380" s="77"/>
      <c r="AH2380" s="497">
        <v>73.94</v>
      </c>
      <c r="AJ2380" s="42"/>
      <c r="AK2380" s="74"/>
      <c r="AL2380" s="77"/>
      <c r="AN2380" s="497">
        <v>53.96</v>
      </c>
      <c r="AP2380" s="42"/>
      <c r="AQ2380" s="74"/>
      <c r="AR2380" s="77"/>
      <c r="AT2380" s="497">
        <v>51.08</v>
      </c>
      <c r="AV2380" s="42"/>
      <c r="AW2380" s="74"/>
      <c r="AX2380" s="77"/>
      <c r="BA2380" s="497">
        <v>33.979999999999997</v>
      </c>
      <c r="BB2380" s="42"/>
      <c r="BC2380" s="74"/>
      <c r="BD2380" s="77"/>
      <c r="BF2380">
        <v>57.92</v>
      </c>
      <c r="BH2380" s="42"/>
      <c r="BI2380" s="74"/>
      <c r="BJ2380" s="77"/>
      <c r="BL2380" s="497">
        <v>66.92</v>
      </c>
      <c r="BN2380" s="42"/>
      <c r="BO2380" s="74"/>
      <c r="BP2380" s="77"/>
      <c r="BR2380" s="497">
        <v>26.96</v>
      </c>
      <c r="BT2380" s="42"/>
    </row>
    <row r="2381" spans="1:72" x14ac:dyDescent="0.25">
      <c r="A2381" s="90">
        <v>33337</v>
      </c>
      <c r="B2381" s="20">
        <v>0.45833333333333331</v>
      </c>
      <c r="D2381">
        <v>53.96</v>
      </c>
      <c r="E2381" t="str">
        <f t="shared" si="108"/>
        <v>WEEKDAY</v>
      </c>
      <c r="F2381" t="e">
        <f t="shared" si="109"/>
        <v>#N/A</v>
      </c>
      <c r="G2381" s="74">
        <v>32972</v>
      </c>
      <c r="H2381" s="77">
        <v>0.45833333333333331</v>
      </c>
      <c r="J2381">
        <v>53.96</v>
      </c>
      <c r="M2381" s="74">
        <v>33337</v>
      </c>
      <c r="N2381" s="77">
        <v>0.45833333333333331</v>
      </c>
      <c r="P2381">
        <v>77</v>
      </c>
      <c r="S2381" s="74">
        <v>33337</v>
      </c>
      <c r="T2381" s="77">
        <v>0.45833333333333331</v>
      </c>
      <c r="V2381">
        <v>71.06</v>
      </c>
      <c r="X2381" s="42"/>
      <c r="AB2381">
        <v>51</v>
      </c>
      <c r="AC2381">
        <v>66.02</v>
      </c>
      <c r="AE2381" s="74"/>
      <c r="AF2381" s="77"/>
      <c r="AH2381" s="497">
        <v>80.06</v>
      </c>
      <c r="AJ2381" s="42"/>
      <c r="AK2381" s="74"/>
      <c r="AL2381" s="77"/>
      <c r="AN2381" s="497">
        <v>53.06</v>
      </c>
      <c r="AP2381" s="42"/>
      <c r="AQ2381" s="74"/>
      <c r="AR2381" s="77"/>
      <c r="AT2381" s="497">
        <v>51.980000000000004</v>
      </c>
      <c r="AV2381" s="42"/>
      <c r="AW2381" s="74"/>
      <c r="AX2381" s="77"/>
      <c r="BA2381" s="497">
        <v>33.979999999999997</v>
      </c>
      <c r="BB2381" s="42"/>
      <c r="BC2381" s="74"/>
      <c r="BD2381" s="77"/>
      <c r="BF2381">
        <v>59</v>
      </c>
      <c r="BH2381" s="42"/>
      <c r="BI2381" s="74"/>
      <c r="BJ2381" s="77"/>
      <c r="BL2381" s="497">
        <v>66.02</v>
      </c>
      <c r="BN2381" s="42"/>
      <c r="BO2381" s="74"/>
      <c r="BP2381" s="77"/>
      <c r="BR2381" s="497">
        <v>26.96</v>
      </c>
      <c r="BT2381" s="42"/>
    </row>
    <row r="2382" spans="1:72" x14ac:dyDescent="0.25">
      <c r="A2382" s="90">
        <v>33337</v>
      </c>
      <c r="B2382" s="20">
        <v>0.5</v>
      </c>
      <c r="D2382">
        <v>51.08</v>
      </c>
      <c r="E2382" t="str">
        <f t="shared" si="108"/>
        <v>WEEKDAY</v>
      </c>
      <c r="F2382" t="e">
        <f t="shared" si="109"/>
        <v>#N/A</v>
      </c>
      <c r="G2382" s="74">
        <v>32972</v>
      </c>
      <c r="H2382" s="77">
        <v>0.5</v>
      </c>
      <c r="J2382">
        <v>55.94</v>
      </c>
      <c r="M2382" s="74">
        <v>33337</v>
      </c>
      <c r="N2382" s="77">
        <v>0.5</v>
      </c>
      <c r="P2382">
        <v>80.960000000000008</v>
      </c>
      <c r="S2382" s="74">
        <v>33337</v>
      </c>
      <c r="T2382" s="77">
        <v>0.5</v>
      </c>
      <c r="V2382">
        <v>69.98</v>
      </c>
      <c r="X2382" s="42"/>
      <c r="AB2382">
        <v>52.3</v>
      </c>
      <c r="AC2382">
        <v>71.06</v>
      </c>
      <c r="AE2382" s="74"/>
      <c r="AF2382" s="77"/>
      <c r="AH2382" s="497">
        <v>78.98</v>
      </c>
      <c r="AJ2382" s="42"/>
      <c r="AK2382" s="74"/>
      <c r="AL2382" s="77"/>
      <c r="AN2382" s="497">
        <v>53.96</v>
      </c>
      <c r="AP2382" s="42"/>
      <c r="AQ2382" s="74"/>
      <c r="AR2382" s="77"/>
      <c r="AT2382" s="497">
        <v>53.06</v>
      </c>
      <c r="AV2382" s="42"/>
      <c r="AW2382" s="74"/>
      <c r="AX2382" s="77"/>
      <c r="BA2382" s="497">
        <v>35.96</v>
      </c>
      <c r="BB2382" s="42"/>
      <c r="BC2382" s="74"/>
      <c r="BD2382" s="77"/>
      <c r="BF2382">
        <v>60.08</v>
      </c>
      <c r="BH2382" s="42"/>
      <c r="BI2382" s="74"/>
      <c r="BJ2382" s="77"/>
      <c r="BL2382" s="497">
        <v>66.02</v>
      </c>
      <c r="BN2382" s="42"/>
      <c r="BO2382" s="74"/>
      <c r="BP2382" s="77"/>
      <c r="BR2382" s="497">
        <v>28.94</v>
      </c>
      <c r="BT2382" s="42"/>
    </row>
    <row r="2383" spans="1:72" x14ac:dyDescent="0.25">
      <c r="A2383" s="90">
        <v>33337</v>
      </c>
      <c r="B2383" s="20">
        <v>0.54166666666666663</v>
      </c>
      <c r="D2383">
        <v>50</v>
      </c>
      <c r="E2383" t="str">
        <f t="shared" si="108"/>
        <v>WEEKDAY</v>
      </c>
      <c r="F2383" t="e">
        <f t="shared" si="109"/>
        <v>#N/A</v>
      </c>
      <c r="G2383" s="74">
        <v>32972</v>
      </c>
      <c r="H2383" s="77">
        <v>0.54166666666666663</v>
      </c>
      <c r="J2383">
        <v>59</v>
      </c>
      <c r="M2383" s="74">
        <v>33337</v>
      </c>
      <c r="N2383" s="77">
        <v>0.54166666666666663</v>
      </c>
      <c r="P2383">
        <v>80.960000000000008</v>
      </c>
      <c r="S2383" s="74">
        <v>33337</v>
      </c>
      <c r="T2383" s="77">
        <v>0.54166666666666663</v>
      </c>
      <c r="V2383">
        <v>66.92</v>
      </c>
      <c r="X2383" s="42"/>
      <c r="AB2383">
        <v>53.3</v>
      </c>
      <c r="AC2383">
        <v>73.039999999999992</v>
      </c>
      <c r="AE2383" s="74"/>
      <c r="AF2383" s="77"/>
      <c r="AH2383" s="497">
        <v>80.06</v>
      </c>
      <c r="AJ2383" s="42"/>
      <c r="AK2383" s="74"/>
      <c r="AL2383" s="77"/>
      <c r="AN2383" s="497">
        <v>53.06</v>
      </c>
      <c r="AP2383" s="42"/>
      <c r="AQ2383" s="74"/>
      <c r="AR2383" s="77"/>
      <c r="AT2383" s="497">
        <v>55.040000000000006</v>
      </c>
      <c r="AV2383" s="42"/>
      <c r="AW2383" s="74"/>
      <c r="AX2383" s="77"/>
      <c r="BA2383" s="497">
        <v>35.96</v>
      </c>
      <c r="BB2383" s="42"/>
      <c r="BC2383" s="74"/>
      <c r="BD2383" s="77"/>
      <c r="BF2383">
        <v>60.08</v>
      </c>
      <c r="BH2383" s="42"/>
      <c r="BI2383" s="74"/>
      <c r="BJ2383" s="77"/>
      <c r="BL2383" s="497">
        <v>62.96</v>
      </c>
      <c r="BN2383" s="42"/>
      <c r="BO2383" s="74"/>
      <c r="BP2383" s="77"/>
      <c r="BR2383" s="497">
        <v>26.96</v>
      </c>
      <c r="BT2383" s="42"/>
    </row>
    <row r="2384" spans="1:72" x14ac:dyDescent="0.25">
      <c r="A2384" s="90">
        <v>33337</v>
      </c>
      <c r="B2384" s="20">
        <v>0.58333333333333337</v>
      </c>
      <c r="D2384">
        <v>50</v>
      </c>
      <c r="E2384" t="str">
        <f t="shared" si="108"/>
        <v>WEEKDAY</v>
      </c>
      <c r="F2384" t="e">
        <f t="shared" si="109"/>
        <v>#N/A</v>
      </c>
      <c r="G2384" s="74">
        <v>32972</v>
      </c>
      <c r="H2384" s="77">
        <v>0.58333333333333337</v>
      </c>
      <c r="J2384">
        <v>57.019999999999996</v>
      </c>
      <c r="M2384" s="74">
        <v>33337</v>
      </c>
      <c r="N2384" s="77">
        <v>0.58333333333333337</v>
      </c>
      <c r="P2384">
        <v>80.06</v>
      </c>
      <c r="S2384" s="74">
        <v>33337</v>
      </c>
      <c r="T2384" s="77">
        <v>0.58333333333333337</v>
      </c>
      <c r="V2384">
        <v>66.92</v>
      </c>
      <c r="X2384" s="42"/>
      <c r="AB2384">
        <v>54</v>
      </c>
      <c r="AC2384">
        <v>73.039999999999992</v>
      </c>
      <c r="AE2384" s="74"/>
      <c r="AF2384" s="77"/>
      <c r="AH2384" s="497">
        <v>78.98</v>
      </c>
      <c r="AJ2384" s="42"/>
      <c r="AK2384" s="74"/>
      <c r="AL2384" s="77"/>
      <c r="AN2384" s="497">
        <v>53.06</v>
      </c>
      <c r="AP2384" s="42"/>
      <c r="AQ2384" s="74"/>
      <c r="AR2384" s="77"/>
      <c r="AT2384" s="497">
        <v>57.019999999999996</v>
      </c>
      <c r="AV2384" s="42"/>
      <c r="AW2384" s="74"/>
      <c r="AX2384" s="77"/>
      <c r="BA2384" s="497">
        <v>35.06</v>
      </c>
      <c r="BB2384" s="42"/>
      <c r="BC2384" s="74"/>
      <c r="BD2384" s="77"/>
      <c r="BF2384">
        <v>62.96</v>
      </c>
      <c r="BH2384" s="42"/>
      <c r="BI2384" s="74"/>
      <c r="BJ2384" s="77"/>
      <c r="BL2384" s="497">
        <v>60.08</v>
      </c>
      <c r="BN2384" s="42"/>
      <c r="BO2384" s="74"/>
      <c r="BP2384" s="77"/>
      <c r="BR2384" s="497">
        <v>28.04</v>
      </c>
      <c r="BT2384" s="42"/>
    </row>
    <row r="2385" spans="1:72" x14ac:dyDescent="0.25">
      <c r="A2385" s="90">
        <v>33337</v>
      </c>
      <c r="B2385" s="20">
        <v>0.625</v>
      </c>
      <c r="D2385">
        <v>51.980000000000004</v>
      </c>
      <c r="E2385" t="str">
        <f t="shared" si="108"/>
        <v>WEEKDAY</v>
      </c>
      <c r="F2385" t="e">
        <f t="shared" si="109"/>
        <v>#N/A</v>
      </c>
      <c r="G2385" s="74">
        <v>32972</v>
      </c>
      <c r="H2385" s="77">
        <v>0.625</v>
      </c>
      <c r="J2385">
        <v>57.019999999999996</v>
      </c>
      <c r="M2385" s="74">
        <v>33337</v>
      </c>
      <c r="N2385" s="77">
        <v>0.625</v>
      </c>
      <c r="P2385">
        <v>80.06</v>
      </c>
      <c r="S2385" s="74">
        <v>33337</v>
      </c>
      <c r="T2385" s="77">
        <v>0.625</v>
      </c>
      <c r="V2385">
        <v>64.039999999999992</v>
      </c>
      <c r="X2385" s="42"/>
      <c r="AB2385">
        <v>54.2</v>
      </c>
      <c r="AC2385">
        <v>69.98</v>
      </c>
      <c r="AE2385" s="74"/>
      <c r="AF2385" s="77"/>
      <c r="AH2385" s="497">
        <v>78.98</v>
      </c>
      <c r="AJ2385" s="42"/>
      <c r="AK2385" s="74"/>
      <c r="AL2385" s="77"/>
      <c r="AN2385" s="497">
        <v>53.96</v>
      </c>
      <c r="AP2385" s="42"/>
      <c r="AQ2385" s="74"/>
      <c r="AR2385" s="77"/>
      <c r="AT2385" s="497">
        <v>57.019999999999996</v>
      </c>
      <c r="AV2385" s="42"/>
      <c r="AW2385" s="74"/>
      <c r="AX2385" s="77"/>
      <c r="BA2385" s="497">
        <v>33.979999999999997</v>
      </c>
      <c r="BB2385" s="42"/>
      <c r="BC2385" s="74"/>
      <c r="BD2385" s="77"/>
      <c r="BF2385">
        <v>60.980000000000004</v>
      </c>
      <c r="BH2385" s="42"/>
      <c r="BI2385" s="74"/>
      <c r="BJ2385" s="77"/>
      <c r="BL2385" s="497">
        <v>60.08</v>
      </c>
      <c r="BN2385" s="42"/>
      <c r="BO2385" s="74"/>
      <c r="BP2385" s="77"/>
      <c r="BR2385" s="497">
        <v>28.94</v>
      </c>
      <c r="BT2385" s="42"/>
    </row>
    <row r="2386" spans="1:72" x14ac:dyDescent="0.25">
      <c r="A2386" s="90">
        <v>33337</v>
      </c>
      <c r="B2386" s="20">
        <v>0.66666666666666663</v>
      </c>
      <c r="D2386">
        <v>53.06</v>
      </c>
      <c r="E2386" t="str">
        <f t="shared" si="108"/>
        <v>WEEKDAY</v>
      </c>
      <c r="F2386" t="e">
        <f t="shared" si="109"/>
        <v>#N/A</v>
      </c>
      <c r="G2386" s="74">
        <v>32972</v>
      </c>
      <c r="H2386" s="77">
        <v>0.66666666666666663</v>
      </c>
      <c r="J2386">
        <v>55.94</v>
      </c>
      <c r="M2386" s="74">
        <v>33337</v>
      </c>
      <c r="N2386" s="77">
        <v>0.66666666666666663</v>
      </c>
      <c r="P2386">
        <v>80.960000000000008</v>
      </c>
      <c r="S2386" s="74">
        <v>33337</v>
      </c>
      <c r="T2386" s="77">
        <v>0.66666666666666663</v>
      </c>
      <c r="V2386">
        <v>62.96</v>
      </c>
      <c r="X2386" s="42"/>
      <c r="AB2386">
        <v>54.2</v>
      </c>
      <c r="AC2386">
        <v>69.080000000000013</v>
      </c>
      <c r="AE2386" s="74"/>
      <c r="AF2386" s="77"/>
      <c r="AH2386" s="497">
        <v>80.960000000000008</v>
      </c>
      <c r="AJ2386" s="42"/>
      <c r="AK2386" s="74"/>
      <c r="AL2386" s="77"/>
      <c r="AN2386" s="497">
        <v>55.94</v>
      </c>
      <c r="AP2386" s="42"/>
      <c r="AQ2386" s="74"/>
      <c r="AR2386" s="77"/>
      <c r="AT2386" s="497">
        <v>57.92</v>
      </c>
      <c r="AV2386" s="42"/>
      <c r="AW2386" s="74"/>
      <c r="AX2386" s="77"/>
      <c r="BA2386" s="497">
        <v>33.979999999999997</v>
      </c>
      <c r="BB2386" s="42"/>
      <c r="BC2386" s="74"/>
      <c r="BD2386" s="77"/>
      <c r="BF2386">
        <v>60.08</v>
      </c>
      <c r="BH2386" s="42"/>
      <c r="BI2386" s="74"/>
      <c r="BJ2386" s="77"/>
      <c r="BL2386" s="497">
        <v>55.400000000000006</v>
      </c>
      <c r="BN2386" s="42"/>
      <c r="BO2386" s="74"/>
      <c r="BP2386" s="77"/>
      <c r="BR2386" s="497">
        <v>28.94</v>
      </c>
      <c r="BT2386" s="42"/>
    </row>
    <row r="2387" spans="1:72" x14ac:dyDescent="0.25">
      <c r="A2387" s="90">
        <v>33337</v>
      </c>
      <c r="B2387" s="20">
        <v>0.70833333333333337</v>
      </c>
      <c r="D2387">
        <v>53.06</v>
      </c>
      <c r="E2387" t="str">
        <f t="shared" ref="E2387:E2450" si="110">IF(COUNTIF($DI$18:$DI$22, WEEKDAY(A2387))=1, "WEEKDAY", IF(WEEKDAY(A2387) = 1, "SUNDAY", "SATURDAY"))</f>
        <v>WEEKDAY</v>
      </c>
      <c r="F2387" t="e">
        <f t="shared" si="109"/>
        <v>#N/A</v>
      </c>
      <c r="G2387" s="74">
        <v>32972</v>
      </c>
      <c r="H2387" s="77">
        <v>0.70833333333333337</v>
      </c>
      <c r="J2387">
        <v>55.94</v>
      </c>
      <c r="M2387" s="74">
        <v>33337</v>
      </c>
      <c r="N2387" s="77">
        <v>0.70833333333333337</v>
      </c>
      <c r="P2387">
        <v>82.039999999999992</v>
      </c>
      <c r="S2387" s="74">
        <v>33337</v>
      </c>
      <c r="T2387" s="77">
        <v>0.70833333333333337</v>
      </c>
      <c r="V2387">
        <v>60.980000000000004</v>
      </c>
      <c r="X2387" s="42"/>
      <c r="AB2387">
        <v>53.6</v>
      </c>
      <c r="AC2387">
        <v>66.92</v>
      </c>
      <c r="AE2387" s="74"/>
      <c r="AF2387" s="77"/>
      <c r="AH2387" s="497">
        <v>80.06</v>
      </c>
      <c r="AJ2387" s="42"/>
      <c r="AK2387" s="74"/>
      <c r="AL2387" s="77"/>
      <c r="AN2387" s="497">
        <v>55.94</v>
      </c>
      <c r="AP2387" s="42"/>
      <c r="AQ2387" s="74"/>
      <c r="AR2387" s="77"/>
      <c r="AT2387" s="497">
        <v>55.94</v>
      </c>
      <c r="AV2387" s="42"/>
      <c r="AW2387" s="74"/>
      <c r="AX2387" s="77"/>
      <c r="BA2387" s="497">
        <v>32</v>
      </c>
      <c r="BB2387" s="42"/>
      <c r="BC2387" s="74"/>
      <c r="BD2387" s="77"/>
      <c r="BF2387">
        <v>55.94</v>
      </c>
      <c r="BH2387" s="42"/>
      <c r="BI2387" s="74"/>
      <c r="BJ2387" s="77"/>
      <c r="BL2387" s="497">
        <v>51.08</v>
      </c>
      <c r="BN2387" s="42"/>
      <c r="BO2387" s="74"/>
      <c r="BP2387" s="77"/>
      <c r="BR2387" s="497">
        <v>28.94</v>
      </c>
      <c r="BT2387" s="42"/>
    </row>
    <row r="2388" spans="1:72" x14ac:dyDescent="0.25">
      <c r="A2388" s="90">
        <v>33337</v>
      </c>
      <c r="B2388" s="20">
        <v>0.75</v>
      </c>
      <c r="D2388">
        <v>55.040000000000006</v>
      </c>
      <c r="E2388" t="str">
        <f t="shared" si="110"/>
        <v>WEEKDAY</v>
      </c>
      <c r="F2388" t="e">
        <f t="shared" si="109"/>
        <v>#N/A</v>
      </c>
      <c r="G2388" s="74">
        <v>32972</v>
      </c>
      <c r="H2388" s="77">
        <v>0.75</v>
      </c>
      <c r="J2388">
        <v>55.94</v>
      </c>
      <c r="M2388" s="74">
        <v>33337</v>
      </c>
      <c r="N2388" s="77">
        <v>0.75</v>
      </c>
      <c r="P2388">
        <v>79.7</v>
      </c>
      <c r="S2388" s="74">
        <v>33337</v>
      </c>
      <c r="T2388" s="77">
        <v>0.75</v>
      </c>
      <c r="V2388">
        <v>59</v>
      </c>
      <c r="X2388" s="42"/>
      <c r="AB2388">
        <v>52.4</v>
      </c>
      <c r="AC2388">
        <v>62.06</v>
      </c>
      <c r="AE2388" s="74"/>
      <c r="AF2388" s="77"/>
      <c r="AH2388" s="497">
        <v>77</v>
      </c>
      <c r="AJ2388" s="42"/>
      <c r="AK2388" s="74"/>
      <c r="AL2388" s="77"/>
      <c r="AN2388" s="497">
        <v>55.94</v>
      </c>
      <c r="AP2388" s="42"/>
      <c r="AQ2388" s="74"/>
      <c r="AR2388" s="77"/>
      <c r="AT2388" s="497">
        <v>55.94</v>
      </c>
      <c r="AV2388" s="42"/>
      <c r="AW2388" s="74"/>
      <c r="AX2388" s="77"/>
      <c r="BA2388" s="497">
        <v>30.92</v>
      </c>
      <c r="BB2388" s="42"/>
      <c r="BC2388" s="74"/>
      <c r="BD2388" s="77"/>
      <c r="BF2388">
        <v>50</v>
      </c>
      <c r="BH2388" s="42"/>
      <c r="BI2388" s="74"/>
      <c r="BJ2388" s="77"/>
      <c r="BL2388" s="497">
        <v>48.019999999999996</v>
      </c>
      <c r="BN2388" s="42"/>
      <c r="BO2388" s="74"/>
      <c r="BP2388" s="77"/>
      <c r="BR2388" s="497">
        <v>28.94</v>
      </c>
      <c r="BT2388" s="42"/>
    </row>
    <row r="2389" spans="1:72" x14ac:dyDescent="0.25">
      <c r="A2389" s="90">
        <v>33337</v>
      </c>
      <c r="B2389" s="20">
        <v>0.79166666666666663</v>
      </c>
      <c r="D2389">
        <v>53.06</v>
      </c>
      <c r="E2389" t="str">
        <f t="shared" si="110"/>
        <v>WEEKDAY</v>
      </c>
      <c r="F2389" t="e">
        <f t="shared" si="109"/>
        <v>#N/A</v>
      </c>
      <c r="G2389" s="74">
        <v>32972</v>
      </c>
      <c r="H2389" s="77">
        <v>0.79166666666666663</v>
      </c>
      <c r="J2389">
        <v>55.040000000000006</v>
      </c>
      <c r="M2389" s="74">
        <v>33337</v>
      </c>
      <c r="N2389" s="77">
        <v>0.79166666666666663</v>
      </c>
      <c r="P2389">
        <v>77</v>
      </c>
      <c r="S2389" s="74">
        <v>33337</v>
      </c>
      <c r="T2389" s="77">
        <v>0.79166666666666663</v>
      </c>
      <c r="V2389">
        <v>55.94</v>
      </c>
      <c r="X2389" s="42"/>
      <c r="AB2389">
        <v>50.8</v>
      </c>
      <c r="AC2389">
        <v>59</v>
      </c>
      <c r="AE2389" s="74"/>
      <c r="AF2389" s="77"/>
      <c r="AH2389" s="497">
        <v>75.02</v>
      </c>
      <c r="AJ2389" s="42"/>
      <c r="AK2389" s="74"/>
      <c r="AL2389" s="77"/>
      <c r="AN2389" s="497">
        <v>53.96</v>
      </c>
      <c r="AP2389" s="42"/>
      <c r="AQ2389" s="74"/>
      <c r="AR2389" s="77"/>
      <c r="AT2389" s="497">
        <v>53.06</v>
      </c>
      <c r="AV2389" s="42"/>
      <c r="AW2389" s="74"/>
      <c r="AX2389" s="77"/>
      <c r="BA2389" s="497">
        <v>30.02</v>
      </c>
      <c r="BB2389" s="42"/>
      <c r="BC2389" s="74"/>
      <c r="BD2389" s="77"/>
      <c r="BF2389">
        <v>50</v>
      </c>
      <c r="BH2389" s="42"/>
      <c r="BI2389" s="74"/>
      <c r="BJ2389" s="77"/>
      <c r="BL2389" s="497">
        <v>46.04</v>
      </c>
      <c r="BN2389" s="42"/>
      <c r="BO2389" s="74"/>
      <c r="BP2389" s="77"/>
      <c r="BR2389" s="497">
        <v>28.04</v>
      </c>
      <c r="BT2389" s="42"/>
    </row>
    <row r="2390" spans="1:72" x14ac:dyDescent="0.25">
      <c r="A2390" s="90">
        <v>33337</v>
      </c>
      <c r="B2390" s="20">
        <v>0.83333333333333337</v>
      </c>
      <c r="D2390">
        <v>51.980000000000004</v>
      </c>
      <c r="E2390" t="str">
        <f t="shared" si="110"/>
        <v>WEEKDAY</v>
      </c>
      <c r="F2390" t="e">
        <f t="shared" si="109"/>
        <v>#N/A</v>
      </c>
      <c r="G2390" s="74">
        <v>32972</v>
      </c>
      <c r="H2390" s="77">
        <v>0.83333333333333337</v>
      </c>
      <c r="J2390">
        <v>51.980000000000004</v>
      </c>
      <c r="M2390" s="74">
        <v>33337</v>
      </c>
      <c r="N2390" s="77">
        <v>0.83333333333333337</v>
      </c>
      <c r="P2390">
        <v>69.98</v>
      </c>
      <c r="S2390" s="74">
        <v>33337</v>
      </c>
      <c r="T2390" s="77">
        <v>0.83333333333333337</v>
      </c>
      <c r="V2390">
        <v>55.94</v>
      </c>
      <c r="X2390" s="42"/>
      <c r="AB2390">
        <v>49.5</v>
      </c>
      <c r="AC2390">
        <v>59</v>
      </c>
      <c r="AE2390" s="74"/>
      <c r="AF2390" s="77"/>
      <c r="AH2390" s="497">
        <v>73.94</v>
      </c>
      <c r="AJ2390" s="42"/>
      <c r="AK2390" s="74"/>
      <c r="AL2390" s="77"/>
      <c r="AN2390" s="497">
        <v>53.96</v>
      </c>
      <c r="AP2390" s="42"/>
      <c r="AQ2390" s="74"/>
      <c r="AR2390" s="77"/>
      <c r="AT2390" s="497">
        <v>51.08</v>
      </c>
      <c r="AV2390" s="42"/>
      <c r="AW2390" s="74"/>
      <c r="AX2390" s="77"/>
      <c r="BA2390" s="497">
        <v>28.04</v>
      </c>
      <c r="BB2390" s="42"/>
      <c r="BC2390" s="74"/>
      <c r="BD2390" s="77"/>
      <c r="BF2390">
        <v>48.92</v>
      </c>
      <c r="BH2390" s="42"/>
      <c r="BI2390" s="74"/>
      <c r="BJ2390" s="77"/>
      <c r="BL2390" s="497">
        <v>44.06</v>
      </c>
      <c r="BN2390" s="42"/>
      <c r="BO2390" s="74"/>
      <c r="BP2390" s="77"/>
      <c r="BR2390" s="497">
        <v>26.96</v>
      </c>
      <c r="BT2390" s="42"/>
    </row>
    <row r="2391" spans="1:72" x14ac:dyDescent="0.25">
      <c r="A2391" s="90">
        <v>33337</v>
      </c>
      <c r="B2391" s="20">
        <v>0.875</v>
      </c>
      <c r="D2391">
        <v>51.08</v>
      </c>
      <c r="E2391" t="str">
        <f t="shared" si="110"/>
        <v>WEEKDAY</v>
      </c>
      <c r="F2391" t="e">
        <f t="shared" si="109"/>
        <v>#N/A</v>
      </c>
      <c r="G2391" s="74">
        <v>32972</v>
      </c>
      <c r="H2391" s="77">
        <v>0.875</v>
      </c>
      <c r="J2391">
        <v>51.08</v>
      </c>
      <c r="M2391" s="74">
        <v>33337</v>
      </c>
      <c r="N2391" s="77">
        <v>0.875</v>
      </c>
      <c r="P2391">
        <v>66.92</v>
      </c>
      <c r="S2391" s="74">
        <v>33337</v>
      </c>
      <c r="T2391" s="77">
        <v>0.875</v>
      </c>
      <c r="V2391">
        <v>57.019999999999996</v>
      </c>
      <c r="X2391" s="42"/>
      <c r="AB2391">
        <v>48.8</v>
      </c>
      <c r="AC2391">
        <v>60.08</v>
      </c>
      <c r="AE2391" s="74"/>
      <c r="AF2391" s="77"/>
      <c r="AH2391" s="497">
        <v>71.06</v>
      </c>
      <c r="AJ2391" s="42"/>
      <c r="AK2391" s="74"/>
      <c r="AL2391" s="77"/>
      <c r="AN2391" s="497">
        <v>53.96</v>
      </c>
      <c r="AP2391" s="42"/>
      <c r="AQ2391" s="74"/>
      <c r="AR2391" s="77"/>
      <c r="AT2391" s="497">
        <v>50</v>
      </c>
      <c r="AV2391" s="42"/>
      <c r="AW2391" s="74"/>
      <c r="AX2391" s="77"/>
      <c r="BA2391" s="497">
        <v>28.04</v>
      </c>
      <c r="BB2391" s="42"/>
      <c r="BC2391" s="74"/>
      <c r="BD2391" s="77"/>
      <c r="BF2391">
        <v>48.019999999999996</v>
      </c>
      <c r="BH2391" s="42"/>
      <c r="BI2391" s="74"/>
      <c r="BJ2391" s="77"/>
      <c r="BL2391" s="497">
        <v>42.980000000000004</v>
      </c>
      <c r="BN2391" s="42"/>
      <c r="BO2391" s="74"/>
      <c r="BP2391" s="77"/>
      <c r="BR2391" s="497">
        <v>26.060000000000002</v>
      </c>
      <c r="BT2391" s="42"/>
    </row>
    <row r="2392" spans="1:72" x14ac:dyDescent="0.25">
      <c r="A2392" s="90">
        <v>33337</v>
      </c>
      <c r="B2392" s="20">
        <v>0.91666666666666663</v>
      </c>
      <c r="D2392">
        <v>51.980000000000004</v>
      </c>
      <c r="E2392" t="str">
        <f t="shared" si="110"/>
        <v>WEEKDAY</v>
      </c>
      <c r="F2392" t="e">
        <f t="shared" si="109"/>
        <v>#N/A</v>
      </c>
      <c r="G2392" s="74">
        <v>32972</v>
      </c>
      <c r="H2392" s="77">
        <v>0.91666666666666663</v>
      </c>
      <c r="J2392">
        <v>50</v>
      </c>
      <c r="M2392" s="74">
        <v>33337</v>
      </c>
      <c r="N2392" s="77">
        <v>0.91666666666666663</v>
      </c>
      <c r="P2392">
        <v>62.06</v>
      </c>
      <c r="S2392" s="74">
        <v>33337</v>
      </c>
      <c r="T2392" s="77">
        <v>0.91666666666666663</v>
      </c>
      <c r="V2392">
        <v>57.019999999999996</v>
      </c>
      <c r="X2392" s="42"/>
      <c r="AB2392">
        <v>48.2</v>
      </c>
      <c r="AC2392">
        <v>59</v>
      </c>
      <c r="AE2392" s="74"/>
      <c r="AF2392" s="77"/>
      <c r="AH2392" s="497">
        <v>64.039999999999992</v>
      </c>
      <c r="AJ2392" s="42"/>
      <c r="AK2392" s="74"/>
      <c r="AL2392" s="77"/>
      <c r="AN2392" s="497">
        <v>48.019999999999996</v>
      </c>
      <c r="AP2392" s="42"/>
      <c r="AQ2392" s="74"/>
      <c r="AR2392" s="77"/>
      <c r="AT2392" s="497">
        <v>51.08</v>
      </c>
      <c r="AV2392" s="42"/>
      <c r="AW2392" s="74"/>
      <c r="AX2392" s="77"/>
      <c r="BA2392" s="497">
        <v>28.94</v>
      </c>
      <c r="BB2392" s="42"/>
      <c r="BC2392" s="74"/>
      <c r="BD2392" s="77"/>
      <c r="BF2392">
        <v>46.94</v>
      </c>
      <c r="BH2392" s="42"/>
      <c r="BI2392" s="74"/>
      <c r="BJ2392" s="77"/>
      <c r="BL2392" s="497">
        <v>42.08</v>
      </c>
      <c r="BN2392" s="42"/>
      <c r="BO2392" s="74"/>
      <c r="BP2392" s="77"/>
      <c r="BR2392" s="497">
        <v>26.060000000000002</v>
      </c>
      <c r="BT2392" s="42"/>
    </row>
    <row r="2393" spans="1:72" x14ac:dyDescent="0.25">
      <c r="A2393" s="90">
        <v>33337</v>
      </c>
      <c r="B2393" s="20">
        <v>0.95833333333333337</v>
      </c>
      <c r="D2393">
        <v>51.08</v>
      </c>
      <c r="E2393" t="str">
        <f t="shared" si="110"/>
        <v>WEEKDAY</v>
      </c>
      <c r="F2393" t="e">
        <f t="shared" si="109"/>
        <v>#N/A</v>
      </c>
      <c r="G2393" s="74">
        <v>32972</v>
      </c>
      <c r="H2393" s="77">
        <v>0.95833333333333337</v>
      </c>
      <c r="J2393">
        <v>51.08</v>
      </c>
      <c r="M2393" s="74">
        <v>33337</v>
      </c>
      <c r="N2393" s="77">
        <v>0.95833333333333337</v>
      </c>
      <c r="P2393">
        <v>66.02</v>
      </c>
      <c r="S2393" s="74">
        <v>33337</v>
      </c>
      <c r="T2393" s="77">
        <v>0.95833333333333337</v>
      </c>
      <c r="V2393">
        <v>59</v>
      </c>
      <c r="X2393" s="42"/>
      <c r="AB2393">
        <v>47.5</v>
      </c>
      <c r="AC2393">
        <v>59</v>
      </c>
      <c r="AE2393" s="74"/>
      <c r="AF2393" s="77"/>
      <c r="AH2393" s="497">
        <v>60.08</v>
      </c>
      <c r="AJ2393" s="42"/>
      <c r="AK2393" s="74"/>
      <c r="AL2393" s="77"/>
      <c r="AN2393" s="497">
        <v>46.04</v>
      </c>
      <c r="AP2393" s="42"/>
      <c r="AQ2393" s="74"/>
      <c r="AR2393" s="77"/>
      <c r="AT2393" s="497">
        <v>51.08</v>
      </c>
      <c r="AV2393" s="42"/>
      <c r="AW2393" s="74"/>
      <c r="AX2393" s="77"/>
      <c r="BA2393" s="497">
        <v>26.96</v>
      </c>
      <c r="BB2393" s="42"/>
      <c r="BC2393" s="74"/>
      <c r="BD2393" s="77"/>
      <c r="BF2393">
        <v>46.94</v>
      </c>
      <c r="BH2393" s="42"/>
      <c r="BI2393" s="74"/>
      <c r="BJ2393" s="77"/>
      <c r="BL2393" s="497">
        <v>42.980000000000004</v>
      </c>
      <c r="BN2393" s="42"/>
      <c r="BO2393" s="74"/>
      <c r="BP2393" s="77"/>
      <c r="BR2393" s="497">
        <v>24.98</v>
      </c>
      <c r="BT2393" s="42"/>
    </row>
    <row r="2394" spans="1:72" x14ac:dyDescent="0.25">
      <c r="A2394" s="90">
        <v>33337</v>
      </c>
      <c r="B2394" s="20">
        <v>1</v>
      </c>
      <c r="D2394">
        <v>51.08</v>
      </c>
      <c r="E2394" t="str">
        <f t="shared" si="110"/>
        <v>WEEKDAY</v>
      </c>
      <c r="F2394" t="e">
        <f t="shared" si="109"/>
        <v>#N/A</v>
      </c>
      <c r="G2394" s="74">
        <v>32972</v>
      </c>
      <c r="H2394" s="77">
        <v>1</v>
      </c>
      <c r="J2394">
        <v>50</v>
      </c>
      <c r="M2394" s="74">
        <v>33337</v>
      </c>
      <c r="N2394" s="80">
        <v>1</v>
      </c>
      <c r="P2394">
        <v>66.02</v>
      </c>
      <c r="S2394" s="74">
        <v>33337</v>
      </c>
      <c r="T2394" s="80">
        <v>1</v>
      </c>
      <c r="V2394">
        <v>55.94</v>
      </c>
      <c r="X2394" s="42"/>
      <c r="AB2394">
        <v>46.9</v>
      </c>
      <c r="AC2394">
        <v>57.019999999999996</v>
      </c>
      <c r="AE2394" s="74"/>
      <c r="AF2394" s="80"/>
      <c r="AH2394" s="497">
        <v>60.980000000000004</v>
      </c>
      <c r="AJ2394" s="42"/>
      <c r="AK2394" s="74"/>
      <c r="AL2394" s="80"/>
      <c r="AN2394" s="497">
        <v>44.96</v>
      </c>
      <c r="AP2394" s="42"/>
      <c r="AQ2394" s="74"/>
      <c r="AR2394" s="80"/>
      <c r="AT2394" s="497">
        <v>51.08</v>
      </c>
      <c r="AV2394" s="42"/>
      <c r="AW2394" s="74"/>
      <c r="AX2394" s="80"/>
      <c r="BA2394" s="497">
        <v>26.96</v>
      </c>
      <c r="BB2394" s="42"/>
      <c r="BC2394" s="74"/>
      <c r="BD2394" s="80"/>
      <c r="BF2394">
        <v>46.94</v>
      </c>
      <c r="BH2394" s="42"/>
      <c r="BI2394" s="74"/>
      <c r="BJ2394" s="80"/>
      <c r="BL2394" s="497">
        <v>42.08</v>
      </c>
      <c r="BN2394" s="42"/>
      <c r="BO2394" s="74"/>
      <c r="BP2394" s="80"/>
      <c r="BR2394" s="497">
        <v>24.08</v>
      </c>
      <c r="BT2394" s="42"/>
    </row>
    <row r="2395" spans="1:72" x14ac:dyDescent="0.25">
      <c r="A2395" s="90">
        <v>33338</v>
      </c>
      <c r="B2395" s="20">
        <v>4.1666666666666664E-2</v>
      </c>
      <c r="D2395">
        <v>51.08</v>
      </c>
      <c r="E2395" t="str">
        <f t="shared" si="110"/>
        <v>WEEKDAY</v>
      </c>
      <c r="F2395" t="e">
        <f t="shared" si="109"/>
        <v>#N/A</v>
      </c>
      <c r="G2395" s="74">
        <v>32973</v>
      </c>
      <c r="H2395" s="77">
        <v>4.1666666666666664E-2</v>
      </c>
      <c r="J2395">
        <v>50</v>
      </c>
      <c r="M2395" s="74">
        <v>33338</v>
      </c>
      <c r="N2395" s="77">
        <v>4.1666666666666664E-2</v>
      </c>
      <c r="P2395">
        <v>66.02</v>
      </c>
      <c r="S2395" s="74">
        <v>33338</v>
      </c>
      <c r="T2395" s="77">
        <v>4.1666666666666664E-2</v>
      </c>
      <c r="V2395">
        <v>55.040000000000006</v>
      </c>
      <c r="X2395" s="42"/>
      <c r="AB2395">
        <v>46.2</v>
      </c>
      <c r="AC2395">
        <v>57.019999999999996</v>
      </c>
      <c r="AE2395" s="74"/>
      <c r="AF2395" s="77"/>
      <c r="AH2395" s="497">
        <v>69.98</v>
      </c>
      <c r="AJ2395" s="42"/>
      <c r="AK2395" s="74"/>
      <c r="AL2395" s="77"/>
      <c r="AN2395" s="497">
        <v>44.96</v>
      </c>
      <c r="AP2395" s="42"/>
      <c r="AQ2395" s="74"/>
      <c r="AR2395" s="77"/>
      <c r="AT2395" s="497">
        <v>51.08</v>
      </c>
      <c r="AV2395" s="42"/>
      <c r="AW2395" s="74"/>
      <c r="AX2395" s="77"/>
      <c r="BA2395" s="497">
        <v>26.96</v>
      </c>
      <c r="BB2395" s="42"/>
      <c r="BC2395" s="74"/>
      <c r="BD2395" s="77"/>
      <c r="BF2395">
        <v>48.019999999999996</v>
      </c>
      <c r="BH2395" s="42"/>
      <c r="BI2395" s="74"/>
      <c r="BJ2395" s="77"/>
      <c r="BL2395" s="497">
        <v>42.08</v>
      </c>
      <c r="BN2395" s="42"/>
      <c r="BO2395" s="74"/>
      <c r="BP2395" s="77"/>
      <c r="BR2395" s="497">
        <v>19.04</v>
      </c>
      <c r="BT2395" s="42"/>
    </row>
    <row r="2396" spans="1:72" x14ac:dyDescent="0.25">
      <c r="A2396" s="90">
        <v>33338</v>
      </c>
      <c r="B2396" s="20">
        <v>8.3333333333333329E-2</v>
      </c>
      <c r="D2396">
        <v>50</v>
      </c>
      <c r="E2396" t="str">
        <f t="shared" si="110"/>
        <v>WEEKDAY</v>
      </c>
      <c r="F2396" t="e">
        <f t="shared" si="109"/>
        <v>#N/A</v>
      </c>
      <c r="G2396" s="74">
        <v>32973</v>
      </c>
      <c r="H2396" s="77">
        <v>8.3333333333333329E-2</v>
      </c>
      <c r="J2396">
        <v>50</v>
      </c>
      <c r="M2396" s="74">
        <v>33338</v>
      </c>
      <c r="N2396" s="77">
        <v>8.3333333333333329E-2</v>
      </c>
      <c r="P2396">
        <v>64.759999999999991</v>
      </c>
      <c r="S2396" s="74">
        <v>33338</v>
      </c>
      <c r="T2396" s="77">
        <v>8.3333333333333329E-2</v>
      </c>
      <c r="V2396">
        <v>53.96</v>
      </c>
      <c r="X2396" s="42"/>
      <c r="AB2396">
        <v>45.6</v>
      </c>
      <c r="AC2396">
        <v>57.019999999999996</v>
      </c>
      <c r="AE2396" s="74"/>
      <c r="AF2396" s="77"/>
      <c r="AH2396" s="497">
        <v>69.44</v>
      </c>
      <c r="AJ2396" s="42"/>
      <c r="AK2396" s="74"/>
      <c r="AL2396" s="77"/>
      <c r="AN2396" s="497">
        <v>42.980000000000004</v>
      </c>
      <c r="AP2396" s="42"/>
      <c r="AQ2396" s="74"/>
      <c r="AR2396" s="77"/>
      <c r="AT2396" s="497">
        <v>51.980000000000004</v>
      </c>
      <c r="AV2396" s="42"/>
      <c r="AW2396" s="74"/>
      <c r="AX2396" s="77"/>
      <c r="BA2396" s="497">
        <v>26.060000000000002</v>
      </c>
      <c r="BB2396" s="42"/>
      <c r="BC2396" s="74"/>
      <c r="BD2396" s="77"/>
      <c r="BF2396">
        <v>39.92</v>
      </c>
      <c r="BH2396" s="42"/>
      <c r="BI2396" s="74"/>
      <c r="BJ2396" s="77"/>
      <c r="BL2396" s="497">
        <v>42.08</v>
      </c>
      <c r="BN2396" s="42"/>
      <c r="BO2396" s="74"/>
      <c r="BP2396" s="77"/>
      <c r="BR2396" s="497">
        <v>17.059999999999999</v>
      </c>
      <c r="BT2396" s="42"/>
    </row>
    <row r="2397" spans="1:72" x14ac:dyDescent="0.25">
      <c r="A2397" s="90">
        <v>33338</v>
      </c>
      <c r="B2397" s="20">
        <v>0.125</v>
      </c>
      <c r="D2397">
        <v>51.08</v>
      </c>
      <c r="E2397" t="str">
        <f t="shared" si="110"/>
        <v>WEEKDAY</v>
      </c>
      <c r="F2397" t="e">
        <f t="shared" si="109"/>
        <v>#N/A</v>
      </c>
      <c r="G2397" s="74">
        <v>32973</v>
      </c>
      <c r="H2397" s="77">
        <v>0.125</v>
      </c>
      <c r="J2397">
        <v>50</v>
      </c>
      <c r="M2397" s="74">
        <v>33338</v>
      </c>
      <c r="N2397" s="77">
        <v>0.125</v>
      </c>
      <c r="P2397">
        <v>62.96</v>
      </c>
      <c r="S2397" s="74">
        <v>33338</v>
      </c>
      <c r="T2397" s="77">
        <v>0.125</v>
      </c>
      <c r="V2397">
        <v>55.040000000000006</v>
      </c>
      <c r="X2397" s="42"/>
      <c r="AB2397">
        <v>45.2</v>
      </c>
      <c r="AC2397">
        <v>55.94</v>
      </c>
      <c r="AE2397" s="74"/>
      <c r="AF2397" s="77"/>
      <c r="AH2397" s="497">
        <v>69.080000000000013</v>
      </c>
      <c r="AJ2397" s="42"/>
      <c r="AK2397" s="74"/>
      <c r="AL2397" s="77"/>
      <c r="AN2397" s="497">
        <v>42.08</v>
      </c>
      <c r="AP2397" s="42"/>
      <c r="AQ2397" s="74"/>
      <c r="AR2397" s="77"/>
      <c r="AT2397" s="497">
        <v>51.980000000000004</v>
      </c>
      <c r="AV2397" s="42"/>
      <c r="AW2397" s="74"/>
      <c r="AX2397" s="77"/>
      <c r="BA2397" s="497">
        <v>28.04</v>
      </c>
      <c r="BB2397" s="42"/>
      <c r="BC2397" s="74"/>
      <c r="BD2397" s="77"/>
      <c r="BF2397">
        <v>39.019999999999996</v>
      </c>
      <c r="BH2397" s="42"/>
      <c r="BI2397" s="74"/>
      <c r="BJ2397" s="77"/>
      <c r="BL2397" s="497">
        <v>42.08</v>
      </c>
      <c r="BN2397" s="42"/>
      <c r="BO2397" s="74"/>
      <c r="BP2397" s="77"/>
      <c r="BR2397" s="497">
        <v>17.059999999999999</v>
      </c>
      <c r="BT2397" s="42"/>
    </row>
    <row r="2398" spans="1:72" x14ac:dyDescent="0.25">
      <c r="A2398" s="90">
        <v>33338</v>
      </c>
      <c r="B2398" s="20">
        <v>0.16666666666666666</v>
      </c>
      <c r="D2398">
        <v>51.980000000000004</v>
      </c>
      <c r="E2398" t="str">
        <f t="shared" si="110"/>
        <v>WEEKDAY</v>
      </c>
      <c r="F2398" t="e">
        <f t="shared" si="109"/>
        <v>#N/A</v>
      </c>
      <c r="G2398" s="74">
        <v>32973</v>
      </c>
      <c r="H2398" s="77">
        <v>0.16666666666666666</v>
      </c>
      <c r="J2398">
        <v>50</v>
      </c>
      <c r="M2398" s="74">
        <v>33338</v>
      </c>
      <c r="N2398" s="77">
        <v>0.16666666666666666</v>
      </c>
      <c r="P2398">
        <v>62.42</v>
      </c>
      <c r="S2398" s="74">
        <v>33338</v>
      </c>
      <c r="T2398" s="77">
        <v>0.16666666666666666</v>
      </c>
      <c r="V2398">
        <v>53.96</v>
      </c>
      <c r="X2398" s="42"/>
      <c r="AB2398">
        <v>44.7</v>
      </c>
      <c r="AC2398">
        <v>53.96</v>
      </c>
      <c r="AE2398" s="74"/>
      <c r="AF2398" s="77"/>
      <c r="AH2398" s="497">
        <v>65.84</v>
      </c>
      <c r="AJ2398" s="42"/>
      <c r="AK2398" s="74"/>
      <c r="AL2398" s="77"/>
      <c r="AN2398" s="497">
        <v>41</v>
      </c>
      <c r="AP2398" s="42"/>
      <c r="AQ2398" s="74"/>
      <c r="AR2398" s="77"/>
      <c r="AT2398" s="497">
        <v>51.980000000000004</v>
      </c>
      <c r="AV2398" s="42"/>
      <c r="AW2398" s="74"/>
      <c r="AX2398" s="77"/>
      <c r="BA2398" s="497">
        <v>24.98</v>
      </c>
      <c r="BB2398" s="42"/>
      <c r="BC2398" s="74"/>
      <c r="BD2398" s="77"/>
      <c r="BF2398">
        <v>37.94</v>
      </c>
      <c r="BH2398" s="42"/>
      <c r="BI2398" s="74"/>
      <c r="BJ2398" s="77"/>
      <c r="BL2398" s="497">
        <v>42.08</v>
      </c>
      <c r="BN2398" s="42"/>
      <c r="BO2398" s="74"/>
      <c r="BP2398" s="77"/>
      <c r="BR2398" s="497">
        <v>17.96</v>
      </c>
      <c r="BT2398" s="42"/>
    </row>
    <row r="2399" spans="1:72" x14ac:dyDescent="0.25">
      <c r="A2399" s="90">
        <v>33338</v>
      </c>
      <c r="B2399" s="20">
        <v>0.20833333333333334</v>
      </c>
      <c r="D2399">
        <v>53.06</v>
      </c>
      <c r="E2399" t="str">
        <f t="shared" si="110"/>
        <v>WEEKDAY</v>
      </c>
      <c r="F2399" t="e">
        <f t="shared" si="109"/>
        <v>#N/A</v>
      </c>
      <c r="G2399" s="74">
        <v>32973</v>
      </c>
      <c r="H2399" s="77">
        <v>0.20833333333333334</v>
      </c>
      <c r="J2399">
        <v>50</v>
      </c>
      <c r="M2399" s="74">
        <v>33338</v>
      </c>
      <c r="N2399" s="77">
        <v>0.20833333333333334</v>
      </c>
      <c r="P2399">
        <v>62.06</v>
      </c>
      <c r="S2399" s="74">
        <v>33338</v>
      </c>
      <c r="T2399" s="77">
        <v>0.20833333333333334</v>
      </c>
      <c r="V2399">
        <v>59</v>
      </c>
      <c r="X2399" s="42"/>
      <c r="AB2399">
        <v>44.2</v>
      </c>
      <c r="AC2399">
        <v>53.96</v>
      </c>
      <c r="AE2399" s="74"/>
      <c r="AF2399" s="77"/>
      <c r="AH2399" s="497">
        <v>62.96</v>
      </c>
      <c r="AJ2399" s="42"/>
      <c r="AK2399" s="74"/>
      <c r="AL2399" s="77"/>
      <c r="AN2399" s="497">
        <v>42.08</v>
      </c>
      <c r="AP2399" s="42"/>
      <c r="AQ2399" s="74"/>
      <c r="AR2399" s="77"/>
      <c r="AT2399" s="497">
        <v>51.08</v>
      </c>
      <c r="AV2399" s="42"/>
      <c r="AW2399" s="74"/>
      <c r="AX2399" s="77"/>
      <c r="BA2399" s="497">
        <v>24.98</v>
      </c>
      <c r="BB2399" s="42"/>
      <c r="BC2399" s="74"/>
      <c r="BD2399" s="77"/>
      <c r="BF2399">
        <v>39.019999999999996</v>
      </c>
      <c r="BH2399" s="42"/>
      <c r="BI2399" s="74"/>
      <c r="BJ2399" s="77"/>
      <c r="BL2399" s="497">
        <v>41</v>
      </c>
      <c r="BN2399" s="42"/>
      <c r="BO2399" s="74"/>
      <c r="BP2399" s="77"/>
      <c r="BR2399" s="497">
        <v>17.96</v>
      </c>
      <c r="BT2399" s="42"/>
    </row>
    <row r="2400" spans="1:72" x14ac:dyDescent="0.25">
      <c r="A2400" s="90">
        <v>33338</v>
      </c>
      <c r="B2400" s="20">
        <v>0.25</v>
      </c>
      <c r="D2400">
        <v>55.040000000000006</v>
      </c>
      <c r="E2400" t="str">
        <f t="shared" si="110"/>
        <v>WEEKDAY</v>
      </c>
      <c r="F2400" t="e">
        <f t="shared" si="109"/>
        <v>#N/A</v>
      </c>
      <c r="G2400" s="74">
        <v>32973</v>
      </c>
      <c r="H2400" s="77">
        <v>0.25</v>
      </c>
      <c r="J2400">
        <v>50</v>
      </c>
      <c r="M2400" s="74">
        <v>33338</v>
      </c>
      <c r="N2400" s="77">
        <v>0.25</v>
      </c>
      <c r="P2400">
        <v>57.019999999999996</v>
      </c>
      <c r="S2400" s="74">
        <v>33338</v>
      </c>
      <c r="T2400" s="77">
        <v>0.25</v>
      </c>
      <c r="V2400">
        <v>60.08</v>
      </c>
      <c r="X2400" s="42"/>
      <c r="AB2400">
        <v>44.1</v>
      </c>
      <c r="AC2400">
        <v>51.980000000000004</v>
      </c>
      <c r="AE2400" s="74"/>
      <c r="AF2400" s="77"/>
      <c r="AH2400" s="497">
        <v>62.06</v>
      </c>
      <c r="AJ2400" s="42"/>
      <c r="AK2400" s="74"/>
      <c r="AL2400" s="77"/>
      <c r="AN2400" s="497">
        <v>42.980000000000004</v>
      </c>
      <c r="AP2400" s="42"/>
      <c r="AQ2400" s="74"/>
      <c r="AR2400" s="77"/>
      <c r="AT2400" s="497">
        <v>50</v>
      </c>
      <c r="AV2400" s="42"/>
      <c r="AW2400" s="74"/>
      <c r="AX2400" s="77"/>
      <c r="BA2400" s="497">
        <v>24.08</v>
      </c>
      <c r="BB2400" s="42"/>
      <c r="BC2400" s="74"/>
      <c r="BD2400" s="77"/>
      <c r="BF2400">
        <v>39.92</v>
      </c>
      <c r="BH2400" s="42"/>
      <c r="BI2400" s="74"/>
      <c r="BJ2400" s="77"/>
      <c r="BL2400" s="497">
        <v>39.92</v>
      </c>
      <c r="BN2400" s="42"/>
      <c r="BO2400" s="74"/>
      <c r="BP2400" s="77"/>
      <c r="BR2400" s="497">
        <v>17.96</v>
      </c>
      <c r="BT2400" s="42"/>
    </row>
    <row r="2401" spans="1:72" x14ac:dyDescent="0.25">
      <c r="A2401" s="90">
        <v>33338</v>
      </c>
      <c r="B2401" s="20">
        <v>0.29166666666666669</v>
      </c>
      <c r="D2401">
        <v>53.96</v>
      </c>
      <c r="E2401" t="str">
        <f t="shared" si="110"/>
        <v>WEEKDAY</v>
      </c>
      <c r="F2401" t="e">
        <f t="shared" si="109"/>
        <v>#N/A</v>
      </c>
      <c r="G2401" s="74">
        <v>32973</v>
      </c>
      <c r="H2401" s="77">
        <v>0.29166666666666669</v>
      </c>
      <c r="J2401">
        <v>51.08</v>
      </c>
      <c r="M2401" s="74">
        <v>33338</v>
      </c>
      <c r="N2401" s="77">
        <v>0.29166666666666669</v>
      </c>
      <c r="P2401">
        <v>59</v>
      </c>
      <c r="S2401" s="74">
        <v>33338</v>
      </c>
      <c r="T2401" s="77">
        <v>0.29166666666666669</v>
      </c>
      <c r="V2401">
        <v>62.06</v>
      </c>
      <c r="X2401" s="42"/>
      <c r="AB2401">
        <v>44.2</v>
      </c>
      <c r="AC2401">
        <v>59</v>
      </c>
      <c r="AE2401" s="74"/>
      <c r="AF2401" s="77"/>
      <c r="AH2401" s="497">
        <v>64.039999999999992</v>
      </c>
      <c r="AJ2401" s="42"/>
      <c r="AK2401" s="74"/>
      <c r="AL2401" s="77"/>
      <c r="AN2401" s="497">
        <v>44.06</v>
      </c>
      <c r="AP2401" s="42"/>
      <c r="AQ2401" s="74"/>
      <c r="AR2401" s="77"/>
      <c r="AT2401" s="497">
        <v>50</v>
      </c>
      <c r="AV2401" s="42"/>
      <c r="AW2401" s="74"/>
      <c r="AX2401" s="77"/>
      <c r="BA2401" s="497">
        <v>26.96</v>
      </c>
      <c r="BB2401" s="42"/>
      <c r="BC2401" s="74"/>
      <c r="BD2401" s="77"/>
      <c r="BF2401">
        <v>41</v>
      </c>
      <c r="BH2401" s="42"/>
      <c r="BI2401" s="74"/>
      <c r="BJ2401" s="77"/>
      <c r="BL2401" s="497">
        <v>39.019999999999996</v>
      </c>
      <c r="BN2401" s="42"/>
      <c r="BO2401" s="74"/>
      <c r="BP2401" s="77"/>
      <c r="BR2401" s="497">
        <v>21.92</v>
      </c>
      <c r="BT2401" s="42"/>
    </row>
    <row r="2402" spans="1:72" x14ac:dyDescent="0.25">
      <c r="A2402" s="90">
        <v>33338</v>
      </c>
      <c r="B2402" s="20">
        <v>0.33333333333333331</v>
      </c>
      <c r="D2402">
        <v>55.040000000000006</v>
      </c>
      <c r="E2402" t="str">
        <f t="shared" si="110"/>
        <v>WEEKDAY</v>
      </c>
      <c r="F2402" t="e">
        <f t="shared" si="109"/>
        <v>#N/A</v>
      </c>
      <c r="G2402" s="74">
        <v>32973</v>
      </c>
      <c r="H2402" s="77">
        <v>0.33333333333333331</v>
      </c>
      <c r="J2402">
        <v>53.96</v>
      </c>
      <c r="M2402" s="74">
        <v>33338</v>
      </c>
      <c r="N2402" s="77">
        <v>0.33333333333333331</v>
      </c>
      <c r="P2402">
        <v>59.540000000000006</v>
      </c>
      <c r="S2402" s="74">
        <v>33338</v>
      </c>
      <c r="T2402" s="77">
        <v>0.33333333333333331</v>
      </c>
      <c r="V2402">
        <v>64.039999999999992</v>
      </c>
      <c r="X2402" s="42"/>
      <c r="AB2402">
        <v>46.1</v>
      </c>
      <c r="AC2402">
        <v>64.94</v>
      </c>
      <c r="AE2402" s="74"/>
      <c r="AF2402" s="77"/>
      <c r="AH2402" s="497">
        <v>66.02</v>
      </c>
      <c r="AJ2402" s="42"/>
      <c r="AK2402" s="74"/>
      <c r="AL2402" s="77"/>
      <c r="AN2402" s="497">
        <v>48.019999999999996</v>
      </c>
      <c r="AP2402" s="42"/>
      <c r="AQ2402" s="74"/>
      <c r="AR2402" s="77"/>
      <c r="AT2402" s="497">
        <v>50</v>
      </c>
      <c r="AV2402" s="42"/>
      <c r="AW2402" s="74"/>
      <c r="AX2402" s="77"/>
      <c r="BA2402" s="497">
        <v>30.02</v>
      </c>
      <c r="BB2402" s="42"/>
      <c r="BC2402" s="74"/>
      <c r="BD2402" s="77"/>
      <c r="BF2402">
        <v>39.019999999999996</v>
      </c>
      <c r="BH2402" s="42"/>
      <c r="BI2402" s="74"/>
      <c r="BJ2402" s="77"/>
      <c r="BL2402" s="497">
        <v>39.200000000000003</v>
      </c>
      <c r="BN2402" s="42"/>
      <c r="BO2402" s="74"/>
      <c r="BP2402" s="77"/>
      <c r="BR2402" s="497">
        <v>23</v>
      </c>
      <c r="BT2402" s="42"/>
    </row>
    <row r="2403" spans="1:72" x14ac:dyDescent="0.25">
      <c r="A2403" s="90">
        <v>33338</v>
      </c>
      <c r="B2403" s="20">
        <v>0.375</v>
      </c>
      <c r="D2403">
        <v>59</v>
      </c>
      <c r="E2403" t="str">
        <f t="shared" si="110"/>
        <v>WEEKDAY</v>
      </c>
      <c r="F2403" t="e">
        <f t="shared" si="109"/>
        <v>#N/A</v>
      </c>
      <c r="G2403" s="74">
        <v>32973</v>
      </c>
      <c r="H2403" s="77">
        <v>0.375</v>
      </c>
      <c r="J2403">
        <v>57.019999999999996</v>
      </c>
      <c r="M2403" s="74">
        <v>33338</v>
      </c>
      <c r="N2403" s="77">
        <v>0.375</v>
      </c>
      <c r="P2403">
        <v>60.08</v>
      </c>
      <c r="S2403" s="74">
        <v>33338</v>
      </c>
      <c r="T2403" s="77">
        <v>0.375</v>
      </c>
      <c r="V2403">
        <v>69.98</v>
      </c>
      <c r="X2403" s="42"/>
      <c r="AB2403">
        <v>47.9</v>
      </c>
      <c r="AC2403">
        <v>66.02</v>
      </c>
      <c r="AE2403" s="74"/>
      <c r="AF2403" s="77"/>
      <c r="AH2403" s="497">
        <v>67.819999999999993</v>
      </c>
      <c r="AJ2403" s="42"/>
      <c r="AK2403" s="74"/>
      <c r="AL2403" s="77"/>
      <c r="AN2403" s="497">
        <v>51.980000000000004</v>
      </c>
      <c r="AP2403" s="42"/>
      <c r="AQ2403" s="74"/>
      <c r="AR2403" s="77"/>
      <c r="AT2403" s="497">
        <v>50</v>
      </c>
      <c r="AV2403" s="42"/>
      <c r="AW2403" s="74"/>
      <c r="AX2403" s="77"/>
      <c r="BA2403" s="497">
        <v>32</v>
      </c>
      <c r="BB2403" s="42"/>
      <c r="BC2403" s="74"/>
      <c r="BD2403" s="77"/>
      <c r="BF2403">
        <v>39.92</v>
      </c>
      <c r="BH2403" s="42"/>
      <c r="BI2403" s="74"/>
      <c r="BJ2403" s="77"/>
      <c r="BL2403" s="497">
        <v>42.08</v>
      </c>
      <c r="BN2403" s="42"/>
      <c r="BO2403" s="74"/>
      <c r="BP2403" s="77"/>
      <c r="BR2403" s="497">
        <v>30.92</v>
      </c>
      <c r="BT2403" s="42"/>
    </row>
    <row r="2404" spans="1:72" x14ac:dyDescent="0.25">
      <c r="A2404" s="90">
        <v>33338</v>
      </c>
      <c r="B2404" s="20">
        <v>0.41666666666666669</v>
      </c>
      <c r="D2404">
        <v>62.96</v>
      </c>
      <c r="E2404" t="str">
        <f t="shared" si="110"/>
        <v>WEEKDAY</v>
      </c>
      <c r="F2404" t="e">
        <f t="shared" si="109"/>
        <v>#N/A</v>
      </c>
      <c r="G2404" s="74">
        <v>32973</v>
      </c>
      <c r="H2404" s="77">
        <v>0.41666666666666669</v>
      </c>
      <c r="J2404">
        <v>59</v>
      </c>
      <c r="M2404" s="74">
        <v>33338</v>
      </c>
      <c r="N2404" s="77">
        <v>0.41666666666666669</v>
      </c>
      <c r="P2404">
        <v>65.12</v>
      </c>
      <c r="S2404" s="74">
        <v>33338</v>
      </c>
      <c r="T2404" s="77">
        <v>0.41666666666666669</v>
      </c>
      <c r="V2404">
        <v>71.960000000000008</v>
      </c>
      <c r="X2404" s="42"/>
      <c r="AB2404">
        <v>49.8</v>
      </c>
      <c r="AC2404">
        <v>69.98</v>
      </c>
      <c r="AE2404" s="74"/>
      <c r="AF2404" s="77"/>
      <c r="AH2404" s="497">
        <v>68.539999999999992</v>
      </c>
      <c r="AJ2404" s="42"/>
      <c r="AK2404" s="74"/>
      <c r="AL2404" s="77"/>
      <c r="AN2404" s="497">
        <v>53.06</v>
      </c>
      <c r="AP2404" s="42"/>
      <c r="AQ2404" s="74"/>
      <c r="AR2404" s="77"/>
      <c r="AT2404" s="497">
        <v>51.08</v>
      </c>
      <c r="AV2404" s="42"/>
      <c r="AW2404" s="74"/>
      <c r="AX2404" s="77"/>
      <c r="BA2404" s="497">
        <v>33.979999999999997</v>
      </c>
      <c r="BB2404" s="42"/>
      <c r="BC2404" s="74"/>
      <c r="BD2404" s="77"/>
      <c r="BF2404">
        <v>42.980000000000004</v>
      </c>
      <c r="BH2404" s="42"/>
      <c r="BI2404" s="74"/>
      <c r="BJ2404" s="77"/>
      <c r="BL2404" s="497">
        <v>42.08</v>
      </c>
      <c r="BN2404" s="42"/>
      <c r="BO2404" s="74"/>
      <c r="BP2404" s="77"/>
      <c r="BR2404" s="497">
        <v>32</v>
      </c>
      <c r="BT2404" s="42"/>
    </row>
    <row r="2405" spans="1:72" x14ac:dyDescent="0.25">
      <c r="A2405" s="90">
        <v>33338</v>
      </c>
      <c r="B2405" s="20">
        <v>0.45833333333333331</v>
      </c>
      <c r="D2405">
        <v>62.96</v>
      </c>
      <c r="E2405" t="str">
        <f t="shared" si="110"/>
        <v>WEEKDAY</v>
      </c>
      <c r="F2405" t="e">
        <f t="shared" si="109"/>
        <v>#N/A</v>
      </c>
      <c r="G2405" s="74">
        <v>32973</v>
      </c>
      <c r="H2405" s="77">
        <v>0.45833333333333331</v>
      </c>
      <c r="J2405">
        <v>62.96</v>
      </c>
      <c r="M2405" s="74">
        <v>33338</v>
      </c>
      <c r="N2405" s="77">
        <v>0.45833333333333331</v>
      </c>
      <c r="P2405">
        <v>69.98</v>
      </c>
      <c r="S2405" s="74">
        <v>33338</v>
      </c>
      <c r="T2405" s="77">
        <v>0.45833333333333331</v>
      </c>
      <c r="V2405">
        <v>69.98</v>
      </c>
      <c r="X2405" s="42"/>
      <c r="AB2405">
        <v>51.5</v>
      </c>
      <c r="AC2405">
        <v>75.02</v>
      </c>
      <c r="AE2405" s="74"/>
      <c r="AF2405" s="77"/>
      <c r="AH2405" s="497">
        <v>69.080000000000013</v>
      </c>
      <c r="AJ2405" s="42"/>
      <c r="AK2405" s="74"/>
      <c r="AL2405" s="77"/>
      <c r="AN2405" s="497">
        <v>55.040000000000006</v>
      </c>
      <c r="AP2405" s="42"/>
      <c r="AQ2405" s="74"/>
      <c r="AR2405" s="77"/>
      <c r="AT2405" s="497">
        <v>51.08</v>
      </c>
      <c r="AV2405" s="42"/>
      <c r="AW2405" s="74"/>
      <c r="AX2405" s="77"/>
      <c r="BA2405" s="497">
        <v>35.96</v>
      </c>
      <c r="BB2405" s="42"/>
      <c r="BC2405" s="74"/>
      <c r="BD2405" s="77"/>
      <c r="BF2405">
        <v>46.04</v>
      </c>
      <c r="BH2405" s="42"/>
      <c r="BI2405" s="74"/>
      <c r="BJ2405" s="77"/>
      <c r="BL2405" s="497">
        <v>44.96</v>
      </c>
      <c r="BN2405" s="42"/>
      <c r="BO2405" s="74"/>
      <c r="BP2405" s="77"/>
      <c r="BR2405" s="497">
        <v>32</v>
      </c>
      <c r="BT2405" s="42"/>
    </row>
    <row r="2406" spans="1:72" x14ac:dyDescent="0.25">
      <c r="A2406" s="90">
        <v>33338</v>
      </c>
      <c r="B2406" s="20">
        <v>0.5</v>
      </c>
      <c r="D2406">
        <v>62.96</v>
      </c>
      <c r="E2406" t="str">
        <f t="shared" si="110"/>
        <v>WEEKDAY</v>
      </c>
      <c r="F2406" t="e">
        <f t="shared" si="109"/>
        <v>#N/A</v>
      </c>
      <c r="G2406" s="74">
        <v>32973</v>
      </c>
      <c r="H2406" s="77">
        <v>0.5</v>
      </c>
      <c r="J2406">
        <v>64.94</v>
      </c>
      <c r="M2406" s="74">
        <v>33338</v>
      </c>
      <c r="N2406" s="77">
        <v>0.5</v>
      </c>
      <c r="P2406">
        <v>69.080000000000013</v>
      </c>
      <c r="S2406" s="74">
        <v>33338</v>
      </c>
      <c r="T2406" s="77">
        <v>0.5</v>
      </c>
      <c r="V2406">
        <v>71.06</v>
      </c>
      <c r="X2406" s="42"/>
      <c r="AB2406">
        <v>52.8</v>
      </c>
      <c r="AC2406">
        <v>75.92</v>
      </c>
      <c r="AE2406" s="74"/>
      <c r="AF2406" s="77"/>
      <c r="AH2406" s="497">
        <v>68</v>
      </c>
      <c r="AJ2406" s="42"/>
      <c r="AK2406" s="74"/>
      <c r="AL2406" s="77"/>
      <c r="AN2406" s="497">
        <v>55.040000000000006</v>
      </c>
      <c r="AP2406" s="42"/>
      <c r="AQ2406" s="74"/>
      <c r="AR2406" s="77"/>
      <c r="AT2406" s="497">
        <v>51.08</v>
      </c>
      <c r="AV2406" s="42"/>
      <c r="AW2406" s="74"/>
      <c r="AX2406" s="77"/>
      <c r="BA2406" s="497">
        <v>39.019999999999996</v>
      </c>
      <c r="BB2406" s="42"/>
      <c r="BC2406" s="74"/>
      <c r="BD2406" s="77"/>
      <c r="BF2406">
        <v>46.04</v>
      </c>
      <c r="BH2406" s="42"/>
      <c r="BI2406" s="74"/>
      <c r="BJ2406" s="77"/>
      <c r="BL2406" s="497">
        <v>48.019999999999996</v>
      </c>
      <c r="BN2406" s="42"/>
      <c r="BO2406" s="74"/>
      <c r="BP2406" s="77"/>
      <c r="BR2406" s="497">
        <v>28.04</v>
      </c>
      <c r="BT2406" s="42"/>
    </row>
    <row r="2407" spans="1:72" x14ac:dyDescent="0.25">
      <c r="A2407" s="90">
        <v>33338</v>
      </c>
      <c r="B2407" s="20">
        <v>0.54166666666666663</v>
      </c>
      <c r="D2407">
        <v>64.039999999999992</v>
      </c>
      <c r="E2407" t="str">
        <f t="shared" si="110"/>
        <v>WEEKDAY</v>
      </c>
      <c r="F2407" t="e">
        <f t="shared" si="109"/>
        <v>#N/A</v>
      </c>
      <c r="G2407" s="74">
        <v>32973</v>
      </c>
      <c r="H2407" s="77">
        <v>0.54166666666666663</v>
      </c>
      <c r="J2407">
        <v>66.92</v>
      </c>
      <c r="M2407" s="74">
        <v>33338</v>
      </c>
      <c r="N2407" s="77">
        <v>0.54166666666666663</v>
      </c>
      <c r="P2407">
        <v>66.92</v>
      </c>
      <c r="S2407" s="74">
        <v>33338</v>
      </c>
      <c r="T2407" s="77">
        <v>0.54166666666666663</v>
      </c>
      <c r="V2407">
        <v>68</v>
      </c>
      <c r="X2407" s="42"/>
      <c r="AB2407">
        <v>53.7</v>
      </c>
      <c r="AC2407">
        <v>73.94</v>
      </c>
      <c r="AE2407" s="74"/>
      <c r="AF2407" s="77"/>
      <c r="AH2407" s="497">
        <v>69.080000000000013</v>
      </c>
      <c r="AJ2407" s="42"/>
      <c r="AK2407" s="74"/>
      <c r="AL2407" s="77"/>
      <c r="AN2407" s="497">
        <v>53.96</v>
      </c>
      <c r="AP2407" s="42"/>
      <c r="AQ2407" s="74"/>
      <c r="AR2407" s="77"/>
      <c r="AT2407" s="497">
        <v>48.019999999999996</v>
      </c>
      <c r="AV2407" s="42"/>
      <c r="AW2407" s="74"/>
      <c r="AX2407" s="77"/>
      <c r="BA2407" s="497">
        <v>39.019999999999996</v>
      </c>
      <c r="BB2407" s="42"/>
      <c r="BC2407" s="74"/>
      <c r="BD2407" s="77"/>
      <c r="BF2407">
        <v>46.94</v>
      </c>
      <c r="BH2407" s="42"/>
      <c r="BI2407" s="74"/>
      <c r="BJ2407" s="77"/>
      <c r="BL2407" s="497">
        <v>50</v>
      </c>
      <c r="BN2407" s="42"/>
      <c r="BO2407" s="74"/>
      <c r="BP2407" s="77"/>
      <c r="BR2407" s="497">
        <v>37.94</v>
      </c>
      <c r="BT2407" s="42"/>
    </row>
    <row r="2408" spans="1:72" x14ac:dyDescent="0.25">
      <c r="A2408" s="90">
        <v>33338</v>
      </c>
      <c r="B2408" s="20">
        <v>0.58333333333333337</v>
      </c>
      <c r="D2408">
        <v>60.980000000000004</v>
      </c>
      <c r="E2408" t="str">
        <f t="shared" si="110"/>
        <v>WEEKDAY</v>
      </c>
      <c r="F2408" t="e">
        <f t="shared" si="109"/>
        <v>#N/A</v>
      </c>
      <c r="G2408" s="74">
        <v>32973</v>
      </c>
      <c r="H2408" s="77">
        <v>0.58333333333333337</v>
      </c>
      <c r="J2408">
        <v>66.92</v>
      </c>
      <c r="M2408" s="74">
        <v>33338</v>
      </c>
      <c r="N2408" s="77">
        <v>0.58333333333333337</v>
      </c>
      <c r="P2408">
        <v>68</v>
      </c>
      <c r="S2408" s="74">
        <v>33338</v>
      </c>
      <c r="T2408" s="77">
        <v>0.58333333333333337</v>
      </c>
      <c r="V2408">
        <v>69.080000000000013</v>
      </c>
      <c r="X2408" s="42"/>
      <c r="AB2408">
        <v>54.4</v>
      </c>
      <c r="AC2408">
        <v>71.960000000000008</v>
      </c>
      <c r="AE2408" s="74"/>
      <c r="AF2408" s="77"/>
      <c r="AH2408" s="497">
        <v>68</v>
      </c>
      <c r="AJ2408" s="42"/>
      <c r="AK2408" s="74"/>
      <c r="AL2408" s="77"/>
      <c r="AN2408" s="497">
        <v>53.06</v>
      </c>
      <c r="AP2408" s="42"/>
      <c r="AQ2408" s="74"/>
      <c r="AR2408" s="77"/>
      <c r="AT2408" s="497">
        <v>51.08</v>
      </c>
      <c r="AV2408" s="42"/>
      <c r="AW2408" s="74"/>
      <c r="AX2408" s="77"/>
      <c r="BA2408" s="497">
        <v>41</v>
      </c>
      <c r="BB2408" s="42"/>
      <c r="BC2408" s="74"/>
      <c r="BD2408" s="77"/>
      <c r="BF2408">
        <v>42.08</v>
      </c>
      <c r="BH2408" s="42"/>
      <c r="BI2408" s="74"/>
      <c r="BJ2408" s="77"/>
      <c r="BL2408" s="497">
        <v>51.980000000000004</v>
      </c>
      <c r="BN2408" s="42"/>
      <c r="BO2408" s="74"/>
      <c r="BP2408" s="77"/>
      <c r="BR2408" s="497">
        <v>37.94</v>
      </c>
      <c r="BT2408" s="42"/>
    </row>
    <row r="2409" spans="1:72" x14ac:dyDescent="0.25">
      <c r="A2409" s="90">
        <v>33338</v>
      </c>
      <c r="B2409" s="20">
        <v>0.625</v>
      </c>
      <c r="D2409">
        <v>60.08</v>
      </c>
      <c r="E2409" t="str">
        <f t="shared" si="110"/>
        <v>WEEKDAY</v>
      </c>
      <c r="F2409" t="e">
        <f t="shared" si="109"/>
        <v>#N/A</v>
      </c>
      <c r="G2409" s="74">
        <v>32973</v>
      </c>
      <c r="H2409" s="77">
        <v>0.625</v>
      </c>
      <c r="J2409">
        <v>62.96</v>
      </c>
      <c r="M2409" s="74">
        <v>33338</v>
      </c>
      <c r="N2409" s="77">
        <v>0.625</v>
      </c>
      <c r="P2409">
        <v>68</v>
      </c>
      <c r="S2409" s="74">
        <v>33338</v>
      </c>
      <c r="T2409" s="77">
        <v>0.625</v>
      </c>
      <c r="V2409">
        <v>68</v>
      </c>
      <c r="X2409" s="42"/>
      <c r="AB2409">
        <v>54.6</v>
      </c>
      <c r="AC2409">
        <v>71.06</v>
      </c>
      <c r="AE2409" s="74"/>
      <c r="AF2409" s="77"/>
      <c r="AH2409" s="497">
        <v>68</v>
      </c>
      <c r="AJ2409" s="42"/>
      <c r="AK2409" s="74"/>
      <c r="AL2409" s="77"/>
      <c r="AN2409" s="497">
        <v>48.019999999999996</v>
      </c>
      <c r="AP2409" s="42"/>
      <c r="AQ2409" s="74"/>
      <c r="AR2409" s="77"/>
      <c r="AT2409" s="497">
        <v>51.08</v>
      </c>
      <c r="AV2409" s="42"/>
      <c r="AW2409" s="74"/>
      <c r="AX2409" s="77"/>
      <c r="BA2409" s="497">
        <v>41</v>
      </c>
      <c r="BB2409" s="42"/>
      <c r="BC2409" s="74"/>
      <c r="BD2409" s="77"/>
      <c r="BF2409">
        <v>39.019999999999996</v>
      </c>
      <c r="BH2409" s="42"/>
      <c r="BI2409" s="74"/>
      <c r="BJ2409" s="77"/>
      <c r="BL2409" s="497">
        <v>53.96</v>
      </c>
      <c r="BN2409" s="42"/>
      <c r="BO2409" s="74"/>
      <c r="BP2409" s="77"/>
      <c r="BR2409" s="497">
        <v>35.96</v>
      </c>
      <c r="BT2409" s="42"/>
    </row>
    <row r="2410" spans="1:72" x14ac:dyDescent="0.25">
      <c r="A2410" s="90">
        <v>33338</v>
      </c>
      <c r="B2410" s="20">
        <v>0.66666666666666663</v>
      </c>
      <c r="D2410">
        <v>60.08</v>
      </c>
      <c r="E2410" t="str">
        <f t="shared" si="110"/>
        <v>WEEKDAY</v>
      </c>
      <c r="F2410" t="e">
        <f t="shared" si="109"/>
        <v>#N/A</v>
      </c>
      <c r="G2410" s="74">
        <v>32973</v>
      </c>
      <c r="H2410" s="77">
        <v>0.66666666666666663</v>
      </c>
      <c r="J2410">
        <v>62.96</v>
      </c>
      <c r="M2410" s="74">
        <v>33338</v>
      </c>
      <c r="N2410" s="77">
        <v>0.66666666666666663</v>
      </c>
      <c r="P2410">
        <v>69.080000000000013</v>
      </c>
      <c r="S2410" s="74">
        <v>33338</v>
      </c>
      <c r="T2410" s="77">
        <v>0.66666666666666663</v>
      </c>
      <c r="V2410">
        <v>68</v>
      </c>
      <c r="X2410" s="42"/>
      <c r="AB2410">
        <v>54.6</v>
      </c>
      <c r="AC2410">
        <v>69.98</v>
      </c>
      <c r="AE2410" s="74"/>
      <c r="AF2410" s="77"/>
      <c r="AH2410" s="497">
        <v>66.02</v>
      </c>
      <c r="AJ2410" s="42"/>
      <c r="AK2410" s="74"/>
      <c r="AL2410" s="77"/>
      <c r="AN2410" s="497">
        <v>50</v>
      </c>
      <c r="AP2410" s="42"/>
      <c r="AQ2410" s="74"/>
      <c r="AR2410" s="77"/>
      <c r="AT2410" s="497">
        <v>51.980000000000004</v>
      </c>
      <c r="AV2410" s="42"/>
      <c r="AW2410" s="74"/>
      <c r="AX2410" s="77"/>
      <c r="BA2410" s="497">
        <v>42.980000000000004</v>
      </c>
      <c r="BB2410" s="42"/>
      <c r="BC2410" s="74"/>
      <c r="BD2410" s="77"/>
      <c r="BF2410">
        <v>37.94</v>
      </c>
      <c r="BH2410" s="42"/>
      <c r="BI2410" s="74"/>
      <c r="BJ2410" s="77"/>
      <c r="BL2410" s="497">
        <v>51.08</v>
      </c>
      <c r="BN2410" s="42"/>
      <c r="BO2410" s="74"/>
      <c r="BP2410" s="77"/>
      <c r="BR2410" s="497">
        <v>37.04</v>
      </c>
      <c r="BT2410" s="42"/>
    </row>
    <row r="2411" spans="1:72" x14ac:dyDescent="0.25">
      <c r="A2411" s="90">
        <v>33338</v>
      </c>
      <c r="B2411" s="20">
        <v>0.70833333333333337</v>
      </c>
      <c r="D2411">
        <v>60.08</v>
      </c>
      <c r="E2411" t="str">
        <f t="shared" si="110"/>
        <v>WEEKDAY</v>
      </c>
      <c r="F2411" t="e">
        <f t="shared" ref="F2411:F2474" si="111">IF(E2411="WEEKDAY",VLOOKUP(B2411,$DD$19:$DG$42,2),IF(E2411="SATURDAY",VLOOKUP(B2411,$DD$19:$DG$42,3),VLOOKUP(B2411,$DD$19:$DG$42,4)))</f>
        <v>#N/A</v>
      </c>
      <c r="G2411" s="74">
        <v>32973</v>
      </c>
      <c r="H2411" s="77">
        <v>0.70833333333333337</v>
      </c>
      <c r="J2411">
        <v>62.06</v>
      </c>
      <c r="M2411" s="74">
        <v>33338</v>
      </c>
      <c r="N2411" s="77">
        <v>0.70833333333333337</v>
      </c>
      <c r="P2411">
        <v>66.02</v>
      </c>
      <c r="S2411" s="74">
        <v>33338</v>
      </c>
      <c r="T2411" s="77">
        <v>0.70833333333333337</v>
      </c>
      <c r="V2411">
        <v>66.92</v>
      </c>
      <c r="X2411" s="42"/>
      <c r="AB2411">
        <v>53.9</v>
      </c>
      <c r="AC2411">
        <v>69.080000000000013</v>
      </c>
      <c r="AE2411" s="74"/>
      <c r="AF2411" s="77"/>
      <c r="AH2411" s="497">
        <v>66.02</v>
      </c>
      <c r="AJ2411" s="42"/>
      <c r="AK2411" s="74"/>
      <c r="AL2411" s="77"/>
      <c r="AN2411" s="497">
        <v>50</v>
      </c>
      <c r="AP2411" s="42"/>
      <c r="AQ2411" s="74"/>
      <c r="AR2411" s="77"/>
      <c r="AT2411" s="497">
        <v>51.08</v>
      </c>
      <c r="AV2411" s="42"/>
      <c r="AW2411" s="74"/>
      <c r="AX2411" s="77"/>
      <c r="BA2411" s="497">
        <v>42.980000000000004</v>
      </c>
      <c r="BB2411" s="42"/>
      <c r="BC2411" s="74"/>
      <c r="BD2411" s="77"/>
      <c r="BF2411">
        <v>37.04</v>
      </c>
      <c r="BH2411" s="42"/>
      <c r="BI2411" s="74"/>
      <c r="BJ2411" s="77"/>
      <c r="BL2411" s="497">
        <v>50</v>
      </c>
      <c r="BN2411" s="42"/>
      <c r="BO2411" s="74"/>
      <c r="BP2411" s="77"/>
      <c r="BR2411" s="497">
        <v>37.04</v>
      </c>
      <c r="BT2411" s="42"/>
    </row>
    <row r="2412" spans="1:72" x14ac:dyDescent="0.25">
      <c r="A2412" s="90">
        <v>33338</v>
      </c>
      <c r="B2412" s="20">
        <v>0.75</v>
      </c>
      <c r="D2412">
        <v>57.019999999999996</v>
      </c>
      <c r="E2412" t="str">
        <f t="shared" si="110"/>
        <v>WEEKDAY</v>
      </c>
      <c r="F2412" t="e">
        <f t="shared" si="111"/>
        <v>#N/A</v>
      </c>
      <c r="G2412" s="74">
        <v>32973</v>
      </c>
      <c r="H2412" s="77">
        <v>0.75</v>
      </c>
      <c r="J2412">
        <v>57.92</v>
      </c>
      <c r="M2412" s="74">
        <v>33338</v>
      </c>
      <c r="N2412" s="77">
        <v>0.75</v>
      </c>
      <c r="P2412">
        <v>64.94</v>
      </c>
      <c r="S2412" s="74">
        <v>33338</v>
      </c>
      <c r="T2412" s="77">
        <v>0.75</v>
      </c>
      <c r="V2412">
        <v>66.92</v>
      </c>
      <c r="X2412" s="42"/>
      <c r="AB2412">
        <v>52.7</v>
      </c>
      <c r="AC2412">
        <v>66.92</v>
      </c>
      <c r="AE2412" s="74"/>
      <c r="AF2412" s="77"/>
      <c r="AH2412" s="497">
        <v>62.96</v>
      </c>
      <c r="AJ2412" s="42"/>
      <c r="AK2412" s="74"/>
      <c r="AL2412" s="77"/>
      <c r="AN2412" s="497">
        <v>48.92</v>
      </c>
      <c r="AP2412" s="42"/>
      <c r="AQ2412" s="74"/>
      <c r="AR2412" s="77"/>
      <c r="AT2412" s="497">
        <v>50</v>
      </c>
      <c r="AV2412" s="42"/>
      <c r="AW2412" s="74"/>
      <c r="AX2412" s="77"/>
      <c r="BA2412" s="497">
        <v>42.980000000000004</v>
      </c>
      <c r="BB2412" s="42"/>
      <c r="BC2412" s="74"/>
      <c r="BD2412" s="77"/>
      <c r="BF2412">
        <v>37.04</v>
      </c>
      <c r="BH2412" s="42"/>
      <c r="BI2412" s="74"/>
      <c r="BJ2412" s="77"/>
      <c r="BL2412" s="497">
        <v>48.019999999999996</v>
      </c>
      <c r="BN2412" s="42"/>
      <c r="BO2412" s="74"/>
      <c r="BP2412" s="77"/>
      <c r="BR2412" s="497">
        <v>39.019999999999996</v>
      </c>
      <c r="BT2412" s="42"/>
    </row>
    <row r="2413" spans="1:72" x14ac:dyDescent="0.25">
      <c r="A2413" s="90">
        <v>33338</v>
      </c>
      <c r="B2413" s="20">
        <v>0.79166666666666663</v>
      </c>
      <c r="D2413">
        <v>55.040000000000006</v>
      </c>
      <c r="E2413" t="str">
        <f t="shared" si="110"/>
        <v>WEEKDAY</v>
      </c>
      <c r="F2413" t="e">
        <f t="shared" si="111"/>
        <v>#N/A</v>
      </c>
      <c r="G2413" s="74">
        <v>32973</v>
      </c>
      <c r="H2413" s="77">
        <v>0.79166666666666663</v>
      </c>
      <c r="J2413">
        <v>57.92</v>
      </c>
      <c r="M2413" s="74">
        <v>33338</v>
      </c>
      <c r="N2413" s="77">
        <v>0.79166666666666663</v>
      </c>
      <c r="P2413">
        <v>62.96</v>
      </c>
      <c r="S2413" s="74">
        <v>33338</v>
      </c>
      <c r="T2413" s="77">
        <v>0.79166666666666663</v>
      </c>
      <c r="V2413">
        <v>64.94</v>
      </c>
      <c r="X2413" s="42"/>
      <c r="AB2413">
        <v>51.1</v>
      </c>
      <c r="AC2413">
        <v>64.94</v>
      </c>
      <c r="AE2413" s="74"/>
      <c r="AF2413" s="77"/>
      <c r="AH2413" s="497">
        <v>60.08</v>
      </c>
      <c r="AJ2413" s="42"/>
      <c r="AK2413" s="74"/>
      <c r="AL2413" s="77"/>
      <c r="AN2413" s="497">
        <v>46.94</v>
      </c>
      <c r="AP2413" s="42"/>
      <c r="AQ2413" s="74"/>
      <c r="AR2413" s="77"/>
      <c r="AT2413" s="497">
        <v>48.92</v>
      </c>
      <c r="AV2413" s="42"/>
      <c r="AW2413" s="74"/>
      <c r="AX2413" s="77"/>
      <c r="BA2413" s="497">
        <v>42.980000000000004</v>
      </c>
      <c r="BB2413" s="42"/>
      <c r="BC2413" s="74"/>
      <c r="BD2413" s="77"/>
      <c r="BF2413">
        <v>37.04</v>
      </c>
      <c r="BH2413" s="42"/>
      <c r="BI2413" s="74"/>
      <c r="BJ2413" s="77"/>
      <c r="BL2413" s="497">
        <v>46.04</v>
      </c>
      <c r="BN2413" s="42"/>
      <c r="BO2413" s="74"/>
      <c r="BP2413" s="77"/>
      <c r="BR2413" s="497">
        <v>35.96</v>
      </c>
      <c r="BT2413" s="42"/>
    </row>
    <row r="2414" spans="1:72" x14ac:dyDescent="0.25">
      <c r="A2414" s="90">
        <v>33338</v>
      </c>
      <c r="B2414" s="20">
        <v>0.83333333333333337</v>
      </c>
      <c r="D2414">
        <v>55.040000000000006</v>
      </c>
      <c r="E2414" t="str">
        <f t="shared" si="110"/>
        <v>WEEKDAY</v>
      </c>
      <c r="F2414" t="e">
        <f t="shared" si="111"/>
        <v>#N/A</v>
      </c>
      <c r="G2414" s="74">
        <v>32973</v>
      </c>
      <c r="H2414" s="77">
        <v>0.83333333333333337</v>
      </c>
      <c r="J2414">
        <v>57.019999999999996</v>
      </c>
      <c r="M2414" s="74">
        <v>33338</v>
      </c>
      <c r="N2414" s="77">
        <v>0.83333333333333337</v>
      </c>
      <c r="P2414">
        <v>57.92</v>
      </c>
      <c r="S2414" s="74">
        <v>33338</v>
      </c>
      <c r="T2414" s="77">
        <v>0.83333333333333337</v>
      </c>
      <c r="V2414">
        <v>60.08</v>
      </c>
      <c r="X2414" s="42"/>
      <c r="AB2414">
        <v>49.8</v>
      </c>
      <c r="AC2414">
        <v>62.96</v>
      </c>
      <c r="AE2414" s="74"/>
      <c r="AF2414" s="77"/>
      <c r="AH2414" s="497">
        <v>55.040000000000006</v>
      </c>
      <c r="AJ2414" s="42"/>
      <c r="AK2414" s="74"/>
      <c r="AL2414" s="77"/>
      <c r="AN2414" s="497">
        <v>46.04</v>
      </c>
      <c r="AP2414" s="42"/>
      <c r="AQ2414" s="74"/>
      <c r="AR2414" s="77"/>
      <c r="AT2414" s="497">
        <v>46.94</v>
      </c>
      <c r="AV2414" s="42"/>
      <c r="AW2414" s="74"/>
      <c r="AX2414" s="77"/>
      <c r="BA2414" s="497">
        <v>42.980000000000004</v>
      </c>
      <c r="BB2414" s="42"/>
      <c r="BC2414" s="74"/>
      <c r="BD2414" s="77"/>
      <c r="BF2414">
        <v>37.04</v>
      </c>
      <c r="BH2414" s="42"/>
      <c r="BI2414" s="74"/>
      <c r="BJ2414" s="77"/>
      <c r="BL2414" s="497">
        <v>46.04</v>
      </c>
      <c r="BN2414" s="42"/>
      <c r="BO2414" s="74"/>
      <c r="BP2414" s="77"/>
      <c r="BR2414" s="497">
        <v>35.06</v>
      </c>
      <c r="BT2414" s="42"/>
    </row>
    <row r="2415" spans="1:72" x14ac:dyDescent="0.25">
      <c r="A2415" s="90">
        <v>33338</v>
      </c>
      <c r="B2415" s="20">
        <v>0.875</v>
      </c>
      <c r="D2415">
        <v>53.96</v>
      </c>
      <c r="E2415" t="str">
        <f t="shared" si="110"/>
        <v>WEEKDAY</v>
      </c>
      <c r="F2415" t="e">
        <f t="shared" si="111"/>
        <v>#N/A</v>
      </c>
      <c r="G2415" s="74">
        <v>32973</v>
      </c>
      <c r="H2415" s="77">
        <v>0.875</v>
      </c>
      <c r="J2415">
        <v>53.96</v>
      </c>
      <c r="M2415" s="74">
        <v>33338</v>
      </c>
      <c r="N2415" s="77">
        <v>0.875</v>
      </c>
      <c r="P2415">
        <v>53.96</v>
      </c>
      <c r="S2415" s="74">
        <v>33338</v>
      </c>
      <c r="T2415" s="77">
        <v>0.875</v>
      </c>
      <c r="V2415">
        <v>55.94</v>
      </c>
      <c r="X2415" s="42"/>
      <c r="AB2415">
        <v>49.1</v>
      </c>
      <c r="AC2415">
        <v>59</v>
      </c>
      <c r="AE2415" s="74"/>
      <c r="AF2415" s="77"/>
      <c r="AH2415" s="497">
        <v>50</v>
      </c>
      <c r="AJ2415" s="42"/>
      <c r="AK2415" s="74"/>
      <c r="AL2415" s="77"/>
      <c r="AN2415" s="497">
        <v>46.04</v>
      </c>
      <c r="AP2415" s="42"/>
      <c r="AQ2415" s="74"/>
      <c r="AR2415" s="77"/>
      <c r="AT2415" s="497">
        <v>44.06</v>
      </c>
      <c r="AV2415" s="42"/>
      <c r="AW2415" s="74"/>
      <c r="AX2415" s="77"/>
      <c r="BA2415" s="497">
        <v>42.980000000000004</v>
      </c>
      <c r="BB2415" s="42"/>
      <c r="BC2415" s="74"/>
      <c r="BD2415" s="77"/>
      <c r="BF2415">
        <v>37.04</v>
      </c>
      <c r="BH2415" s="42"/>
      <c r="BI2415" s="74"/>
      <c r="BJ2415" s="77"/>
      <c r="BL2415" s="497">
        <v>42.980000000000004</v>
      </c>
      <c r="BN2415" s="42"/>
      <c r="BO2415" s="74"/>
      <c r="BP2415" s="77"/>
      <c r="BR2415" s="497">
        <v>35.06</v>
      </c>
      <c r="BT2415" s="42"/>
    </row>
    <row r="2416" spans="1:72" x14ac:dyDescent="0.25">
      <c r="A2416" s="90">
        <v>33338</v>
      </c>
      <c r="B2416" s="20">
        <v>0.91666666666666663</v>
      </c>
      <c r="D2416">
        <v>53.96</v>
      </c>
      <c r="E2416" t="str">
        <f t="shared" si="110"/>
        <v>WEEKDAY</v>
      </c>
      <c r="F2416" t="e">
        <f t="shared" si="111"/>
        <v>#N/A</v>
      </c>
      <c r="G2416" s="74">
        <v>32973</v>
      </c>
      <c r="H2416" s="77">
        <v>0.91666666666666663</v>
      </c>
      <c r="J2416">
        <v>57.92</v>
      </c>
      <c r="M2416" s="74">
        <v>33338</v>
      </c>
      <c r="N2416" s="77">
        <v>0.91666666666666663</v>
      </c>
      <c r="P2416">
        <v>50</v>
      </c>
      <c r="S2416" s="74">
        <v>33338</v>
      </c>
      <c r="T2416" s="77">
        <v>0.91666666666666663</v>
      </c>
      <c r="V2416">
        <v>51.980000000000004</v>
      </c>
      <c r="X2416" s="42"/>
      <c r="AB2416">
        <v>48.6</v>
      </c>
      <c r="AC2416">
        <v>55.040000000000006</v>
      </c>
      <c r="AE2416" s="74"/>
      <c r="AF2416" s="77"/>
      <c r="AH2416" s="497">
        <v>48.019999999999996</v>
      </c>
      <c r="AJ2416" s="42"/>
      <c r="AK2416" s="74"/>
      <c r="AL2416" s="77"/>
      <c r="AN2416" s="497">
        <v>46.04</v>
      </c>
      <c r="AP2416" s="42"/>
      <c r="AQ2416" s="74"/>
      <c r="AR2416" s="77"/>
      <c r="AT2416" s="497">
        <v>44.96</v>
      </c>
      <c r="AV2416" s="42"/>
      <c r="AW2416" s="74"/>
      <c r="AX2416" s="77"/>
      <c r="BA2416" s="497">
        <v>42.980000000000004</v>
      </c>
      <c r="BB2416" s="42"/>
      <c r="BC2416" s="74"/>
      <c r="BD2416" s="77"/>
      <c r="BF2416">
        <v>37.94</v>
      </c>
      <c r="BH2416" s="42"/>
      <c r="BI2416" s="74"/>
      <c r="BJ2416" s="77"/>
      <c r="BL2416" s="497">
        <v>42.08</v>
      </c>
      <c r="BN2416" s="42"/>
      <c r="BO2416" s="74"/>
      <c r="BP2416" s="77"/>
      <c r="BR2416" s="497">
        <v>35.96</v>
      </c>
      <c r="BT2416" s="42"/>
    </row>
    <row r="2417" spans="1:72" x14ac:dyDescent="0.25">
      <c r="A2417" s="90">
        <v>33338</v>
      </c>
      <c r="B2417" s="20">
        <v>0.95833333333333337</v>
      </c>
      <c r="D2417">
        <v>51.08</v>
      </c>
      <c r="E2417" t="str">
        <f t="shared" si="110"/>
        <v>WEEKDAY</v>
      </c>
      <c r="F2417" t="e">
        <f t="shared" si="111"/>
        <v>#N/A</v>
      </c>
      <c r="G2417" s="74">
        <v>32973</v>
      </c>
      <c r="H2417" s="77">
        <v>0.95833333333333337</v>
      </c>
      <c r="J2417">
        <v>57.92</v>
      </c>
      <c r="M2417" s="74">
        <v>33338</v>
      </c>
      <c r="N2417" s="77">
        <v>0.95833333333333337</v>
      </c>
      <c r="P2417">
        <v>46.94</v>
      </c>
      <c r="S2417" s="74">
        <v>33338</v>
      </c>
      <c r="T2417" s="77">
        <v>0.95833333333333337</v>
      </c>
      <c r="V2417">
        <v>50</v>
      </c>
      <c r="X2417" s="42"/>
      <c r="AB2417">
        <v>47.8</v>
      </c>
      <c r="AC2417">
        <v>51.08</v>
      </c>
      <c r="AE2417" s="74"/>
      <c r="AF2417" s="77"/>
      <c r="AH2417" s="497">
        <v>46.04</v>
      </c>
      <c r="AJ2417" s="42"/>
      <c r="AK2417" s="74"/>
      <c r="AL2417" s="77"/>
      <c r="AN2417" s="497">
        <v>44.96</v>
      </c>
      <c r="AP2417" s="42"/>
      <c r="AQ2417" s="74"/>
      <c r="AR2417" s="77"/>
      <c r="AT2417" s="497">
        <v>44.06</v>
      </c>
      <c r="AV2417" s="42"/>
      <c r="AW2417" s="74"/>
      <c r="AX2417" s="77"/>
      <c r="BA2417" s="497">
        <v>42.08</v>
      </c>
      <c r="BB2417" s="42"/>
      <c r="BC2417" s="74"/>
      <c r="BD2417" s="77"/>
      <c r="BF2417">
        <v>39.019999999999996</v>
      </c>
      <c r="BH2417" s="42"/>
      <c r="BI2417" s="74"/>
      <c r="BJ2417" s="77"/>
      <c r="BL2417" s="497">
        <v>41</v>
      </c>
      <c r="BN2417" s="42"/>
      <c r="BO2417" s="74"/>
      <c r="BP2417" s="77"/>
      <c r="BR2417" s="497">
        <v>37.04</v>
      </c>
      <c r="BT2417" s="42"/>
    </row>
    <row r="2418" spans="1:72" x14ac:dyDescent="0.25">
      <c r="A2418" s="90">
        <v>33338</v>
      </c>
      <c r="B2418" s="20">
        <v>1</v>
      </c>
      <c r="D2418">
        <v>51.08</v>
      </c>
      <c r="E2418" t="str">
        <f t="shared" si="110"/>
        <v>WEEKDAY</v>
      </c>
      <c r="F2418" t="e">
        <f t="shared" si="111"/>
        <v>#N/A</v>
      </c>
      <c r="G2418" s="74">
        <v>32973</v>
      </c>
      <c r="H2418" s="77">
        <v>1</v>
      </c>
      <c r="J2418">
        <v>60.08</v>
      </c>
      <c r="M2418" s="74">
        <v>33338</v>
      </c>
      <c r="N2418" s="80">
        <v>1</v>
      </c>
      <c r="P2418">
        <v>46.94</v>
      </c>
      <c r="S2418" s="74">
        <v>33338</v>
      </c>
      <c r="T2418" s="80">
        <v>1</v>
      </c>
      <c r="V2418">
        <v>48.92</v>
      </c>
      <c r="X2418" s="42"/>
      <c r="AB2418">
        <v>47.2</v>
      </c>
      <c r="AC2418">
        <v>48.019999999999996</v>
      </c>
      <c r="AE2418" s="74"/>
      <c r="AF2418" s="80"/>
      <c r="AH2418" s="497">
        <v>44.06</v>
      </c>
      <c r="AJ2418" s="42"/>
      <c r="AK2418" s="74"/>
      <c r="AL2418" s="80"/>
      <c r="AN2418" s="497">
        <v>42.980000000000004</v>
      </c>
      <c r="AP2418" s="42"/>
      <c r="AQ2418" s="74"/>
      <c r="AR2418" s="80"/>
      <c r="AT2418" s="497">
        <v>44.06</v>
      </c>
      <c r="AV2418" s="42"/>
      <c r="AW2418" s="74"/>
      <c r="AX2418" s="80"/>
      <c r="BA2418" s="497">
        <v>37.94</v>
      </c>
      <c r="BB2418" s="42"/>
      <c r="BC2418" s="74"/>
      <c r="BD2418" s="80"/>
      <c r="BF2418">
        <v>39.92</v>
      </c>
      <c r="BH2418" s="42"/>
      <c r="BI2418" s="74"/>
      <c r="BJ2418" s="80"/>
      <c r="BL2418" s="497">
        <v>37.94</v>
      </c>
      <c r="BN2418" s="42"/>
      <c r="BO2418" s="74"/>
      <c r="BP2418" s="80"/>
      <c r="BR2418" s="497">
        <v>37.94</v>
      </c>
      <c r="BT2418" s="42"/>
    </row>
    <row r="2419" spans="1:72" x14ac:dyDescent="0.25">
      <c r="A2419" s="90">
        <v>33339</v>
      </c>
      <c r="B2419" s="20">
        <v>4.1666666666666664E-2</v>
      </c>
      <c r="D2419">
        <v>50</v>
      </c>
      <c r="E2419" t="str">
        <f t="shared" si="110"/>
        <v>WEEKDAY</v>
      </c>
      <c r="F2419" t="e">
        <f t="shared" si="111"/>
        <v>#N/A</v>
      </c>
      <c r="G2419" s="74">
        <v>32974</v>
      </c>
      <c r="H2419" s="77">
        <v>4.1666666666666664E-2</v>
      </c>
      <c r="J2419">
        <v>62.96</v>
      </c>
      <c r="M2419" s="74">
        <v>33339</v>
      </c>
      <c r="N2419" s="77">
        <v>4.1666666666666664E-2</v>
      </c>
      <c r="P2419">
        <v>44.96</v>
      </c>
      <c r="S2419" s="74">
        <v>33339</v>
      </c>
      <c r="T2419" s="77">
        <v>4.1666666666666664E-2</v>
      </c>
      <c r="V2419">
        <v>48.92</v>
      </c>
      <c r="X2419" s="42"/>
      <c r="AB2419">
        <v>46.5</v>
      </c>
      <c r="AC2419">
        <v>48.019999999999996</v>
      </c>
      <c r="AE2419" s="74"/>
      <c r="AF2419" s="77"/>
      <c r="AH2419" s="497">
        <v>41</v>
      </c>
      <c r="AJ2419" s="42"/>
      <c r="AK2419" s="74"/>
      <c r="AL2419" s="77"/>
      <c r="AN2419" s="497">
        <v>39.92</v>
      </c>
      <c r="AP2419" s="42"/>
      <c r="AQ2419" s="74"/>
      <c r="AR2419" s="77"/>
      <c r="AT2419" s="497">
        <v>42.08</v>
      </c>
      <c r="AV2419" s="42"/>
      <c r="AW2419" s="74"/>
      <c r="AX2419" s="77"/>
      <c r="BA2419" s="497">
        <v>37.04</v>
      </c>
      <c r="BB2419" s="42"/>
      <c r="BC2419" s="74"/>
      <c r="BD2419" s="77"/>
      <c r="BF2419">
        <v>39.019999999999996</v>
      </c>
      <c r="BH2419" s="42"/>
      <c r="BI2419" s="74"/>
      <c r="BJ2419" s="77"/>
      <c r="BL2419" s="497">
        <v>37.94</v>
      </c>
      <c r="BN2419" s="42"/>
      <c r="BO2419" s="74"/>
      <c r="BP2419" s="77"/>
      <c r="BR2419" s="497">
        <v>37.04</v>
      </c>
      <c r="BT2419" s="42"/>
    </row>
    <row r="2420" spans="1:72" x14ac:dyDescent="0.25">
      <c r="A2420" s="90">
        <v>33339</v>
      </c>
      <c r="B2420" s="20">
        <v>8.3333333333333329E-2</v>
      </c>
      <c r="D2420">
        <v>50</v>
      </c>
      <c r="E2420" t="str">
        <f t="shared" si="110"/>
        <v>WEEKDAY</v>
      </c>
      <c r="F2420" t="e">
        <f t="shared" si="111"/>
        <v>#N/A</v>
      </c>
      <c r="G2420" s="74">
        <v>32974</v>
      </c>
      <c r="H2420" s="77">
        <v>8.3333333333333329E-2</v>
      </c>
      <c r="J2420">
        <v>62.06</v>
      </c>
      <c r="M2420" s="74">
        <v>33339</v>
      </c>
      <c r="N2420" s="77">
        <v>8.3333333333333329E-2</v>
      </c>
      <c r="P2420">
        <v>43.34</v>
      </c>
      <c r="S2420" s="74">
        <v>33339</v>
      </c>
      <c r="T2420" s="77">
        <v>8.3333333333333329E-2</v>
      </c>
      <c r="V2420">
        <v>46.94</v>
      </c>
      <c r="X2420" s="42"/>
      <c r="AB2420">
        <v>45.9</v>
      </c>
      <c r="AC2420">
        <v>46.04</v>
      </c>
      <c r="AE2420" s="74"/>
      <c r="AF2420" s="77"/>
      <c r="AH2420" s="497">
        <v>42.08</v>
      </c>
      <c r="AJ2420" s="42"/>
      <c r="AK2420" s="74"/>
      <c r="AL2420" s="77"/>
      <c r="AN2420" s="497">
        <v>39.019999999999996</v>
      </c>
      <c r="AP2420" s="42"/>
      <c r="AQ2420" s="74"/>
      <c r="AR2420" s="77"/>
      <c r="AT2420" s="497">
        <v>39.92</v>
      </c>
      <c r="AV2420" s="42"/>
      <c r="AW2420" s="74"/>
      <c r="AX2420" s="77"/>
      <c r="BA2420" s="497">
        <v>37.04</v>
      </c>
      <c r="BB2420" s="42"/>
      <c r="BC2420" s="74"/>
      <c r="BD2420" s="77"/>
      <c r="BF2420">
        <v>39.92</v>
      </c>
      <c r="BH2420" s="42"/>
      <c r="BI2420" s="74"/>
      <c r="BJ2420" s="77"/>
      <c r="BL2420" s="497">
        <v>39.019999999999996</v>
      </c>
      <c r="BN2420" s="42"/>
      <c r="BO2420" s="74"/>
      <c r="BP2420" s="77"/>
      <c r="BR2420" s="497">
        <v>37.94</v>
      </c>
      <c r="BT2420" s="42"/>
    </row>
    <row r="2421" spans="1:72" x14ac:dyDescent="0.25">
      <c r="A2421" s="90">
        <v>33339</v>
      </c>
      <c r="B2421" s="20">
        <v>0.125</v>
      </c>
      <c r="D2421">
        <v>48.019999999999996</v>
      </c>
      <c r="E2421" t="str">
        <f t="shared" si="110"/>
        <v>WEEKDAY</v>
      </c>
      <c r="F2421" t="e">
        <f t="shared" si="111"/>
        <v>#N/A</v>
      </c>
      <c r="G2421" s="74">
        <v>32974</v>
      </c>
      <c r="H2421" s="77">
        <v>0.125</v>
      </c>
      <c r="J2421">
        <v>60.980000000000004</v>
      </c>
      <c r="M2421" s="74">
        <v>33339</v>
      </c>
      <c r="N2421" s="77">
        <v>0.125</v>
      </c>
      <c r="P2421">
        <v>41</v>
      </c>
      <c r="S2421" s="74">
        <v>33339</v>
      </c>
      <c r="T2421" s="77">
        <v>0.125</v>
      </c>
      <c r="V2421">
        <v>44.06</v>
      </c>
      <c r="X2421" s="42"/>
      <c r="AB2421">
        <v>45.5</v>
      </c>
      <c r="AC2421">
        <v>42.980000000000004</v>
      </c>
      <c r="AE2421" s="74"/>
      <c r="AF2421" s="77"/>
      <c r="AH2421" s="497">
        <v>39.92</v>
      </c>
      <c r="AJ2421" s="42"/>
      <c r="AK2421" s="74"/>
      <c r="AL2421" s="77"/>
      <c r="AN2421" s="497">
        <v>37.94</v>
      </c>
      <c r="AP2421" s="42"/>
      <c r="AQ2421" s="74"/>
      <c r="AR2421" s="77"/>
      <c r="AT2421" s="497">
        <v>39.019999999999996</v>
      </c>
      <c r="AV2421" s="42"/>
      <c r="AW2421" s="74"/>
      <c r="AX2421" s="77"/>
      <c r="BA2421" s="497">
        <v>37.94</v>
      </c>
      <c r="BB2421" s="42"/>
      <c r="BC2421" s="74"/>
      <c r="BD2421" s="77"/>
      <c r="BF2421">
        <v>39.019999999999996</v>
      </c>
      <c r="BH2421" s="42"/>
      <c r="BI2421" s="74"/>
      <c r="BJ2421" s="77"/>
      <c r="BL2421" s="497">
        <v>39.019999999999996</v>
      </c>
      <c r="BN2421" s="42"/>
      <c r="BO2421" s="74"/>
      <c r="BP2421" s="77"/>
      <c r="BR2421" s="497">
        <v>37.94</v>
      </c>
      <c r="BT2421" s="42"/>
    </row>
    <row r="2422" spans="1:72" x14ac:dyDescent="0.25">
      <c r="A2422" s="90">
        <v>33339</v>
      </c>
      <c r="B2422" s="20">
        <v>0.16666666666666666</v>
      </c>
      <c r="D2422">
        <v>46.94</v>
      </c>
      <c r="E2422" t="str">
        <f t="shared" si="110"/>
        <v>WEEKDAY</v>
      </c>
      <c r="F2422" t="e">
        <f t="shared" si="111"/>
        <v>#N/A</v>
      </c>
      <c r="G2422" s="74">
        <v>32974</v>
      </c>
      <c r="H2422" s="77">
        <v>0.16666666666666666</v>
      </c>
      <c r="J2422">
        <v>59</v>
      </c>
      <c r="M2422" s="74">
        <v>33339</v>
      </c>
      <c r="N2422" s="77">
        <v>0.16666666666666666</v>
      </c>
      <c r="P2422">
        <v>41</v>
      </c>
      <c r="S2422" s="74">
        <v>33339</v>
      </c>
      <c r="T2422" s="77">
        <v>0.16666666666666666</v>
      </c>
      <c r="V2422">
        <v>42.980000000000004</v>
      </c>
      <c r="X2422" s="42"/>
      <c r="AB2422">
        <v>45</v>
      </c>
      <c r="AC2422">
        <v>42.08</v>
      </c>
      <c r="AE2422" s="74"/>
      <c r="AF2422" s="77"/>
      <c r="AH2422" s="497">
        <v>39.92</v>
      </c>
      <c r="AJ2422" s="42"/>
      <c r="AK2422" s="74"/>
      <c r="AL2422" s="77"/>
      <c r="AN2422" s="497">
        <v>37.04</v>
      </c>
      <c r="AP2422" s="42"/>
      <c r="AQ2422" s="74"/>
      <c r="AR2422" s="77"/>
      <c r="AT2422" s="497">
        <v>35.06</v>
      </c>
      <c r="AV2422" s="42"/>
      <c r="AW2422" s="74"/>
      <c r="AX2422" s="77"/>
      <c r="BA2422" s="497">
        <v>41</v>
      </c>
      <c r="BB2422" s="42"/>
      <c r="BC2422" s="74"/>
      <c r="BD2422" s="77"/>
      <c r="BF2422">
        <v>39.019999999999996</v>
      </c>
      <c r="BH2422" s="42"/>
      <c r="BI2422" s="74"/>
      <c r="BJ2422" s="77"/>
      <c r="BL2422" s="497">
        <v>41</v>
      </c>
      <c r="BN2422" s="42"/>
      <c r="BO2422" s="74"/>
      <c r="BP2422" s="77"/>
      <c r="BR2422" s="497">
        <v>37.94</v>
      </c>
      <c r="BT2422" s="42"/>
    </row>
    <row r="2423" spans="1:72" x14ac:dyDescent="0.25">
      <c r="A2423" s="90">
        <v>33339</v>
      </c>
      <c r="B2423" s="20">
        <v>0.20833333333333334</v>
      </c>
      <c r="D2423">
        <v>46.94</v>
      </c>
      <c r="E2423" t="str">
        <f t="shared" si="110"/>
        <v>WEEKDAY</v>
      </c>
      <c r="F2423" t="e">
        <f t="shared" si="111"/>
        <v>#N/A</v>
      </c>
      <c r="G2423" s="74">
        <v>32974</v>
      </c>
      <c r="H2423" s="77">
        <v>0.20833333333333334</v>
      </c>
      <c r="J2423">
        <v>59</v>
      </c>
      <c r="M2423" s="74">
        <v>33339</v>
      </c>
      <c r="N2423" s="77">
        <v>0.20833333333333334</v>
      </c>
      <c r="P2423">
        <v>39.92</v>
      </c>
      <c r="S2423" s="74">
        <v>33339</v>
      </c>
      <c r="T2423" s="77">
        <v>0.20833333333333334</v>
      </c>
      <c r="V2423">
        <v>42.980000000000004</v>
      </c>
      <c r="X2423" s="42"/>
      <c r="AB2423">
        <v>44.5</v>
      </c>
      <c r="AC2423">
        <v>42.08</v>
      </c>
      <c r="AE2423" s="74"/>
      <c r="AF2423" s="77"/>
      <c r="AH2423" s="497">
        <v>39.92</v>
      </c>
      <c r="AJ2423" s="42"/>
      <c r="AK2423" s="74"/>
      <c r="AL2423" s="77"/>
      <c r="AN2423" s="497">
        <v>35.06</v>
      </c>
      <c r="AP2423" s="42"/>
      <c r="AQ2423" s="74"/>
      <c r="AR2423" s="77"/>
      <c r="AT2423" s="497">
        <v>35.06</v>
      </c>
      <c r="AV2423" s="42"/>
      <c r="AW2423" s="74"/>
      <c r="AX2423" s="77"/>
      <c r="BA2423" s="497">
        <v>41</v>
      </c>
      <c r="BB2423" s="42"/>
      <c r="BC2423" s="74"/>
      <c r="BD2423" s="77"/>
      <c r="BF2423">
        <v>37.94</v>
      </c>
      <c r="BH2423" s="42"/>
      <c r="BI2423" s="74"/>
      <c r="BJ2423" s="77"/>
      <c r="BL2423" s="497">
        <v>39.92</v>
      </c>
      <c r="BN2423" s="42"/>
      <c r="BO2423" s="74"/>
      <c r="BP2423" s="77"/>
      <c r="BR2423" s="497">
        <v>39.019999999999996</v>
      </c>
      <c r="BT2423" s="42"/>
    </row>
    <row r="2424" spans="1:72" x14ac:dyDescent="0.25">
      <c r="A2424" s="90">
        <v>33339</v>
      </c>
      <c r="B2424" s="20">
        <v>0.25</v>
      </c>
      <c r="D2424">
        <v>46.04</v>
      </c>
      <c r="E2424" t="str">
        <f t="shared" si="110"/>
        <v>WEEKDAY</v>
      </c>
      <c r="F2424" t="e">
        <f t="shared" si="111"/>
        <v>#N/A</v>
      </c>
      <c r="G2424" s="74">
        <v>32974</v>
      </c>
      <c r="H2424" s="77">
        <v>0.25</v>
      </c>
      <c r="J2424">
        <v>59</v>
      </c>
      <c r="M2424" s="74">
        <v>33339</v>
      </c>
      <c r="N2424" s="77">
        <v>0.25</v>
      </c>
      <c r="P2424">
        <v>39.92</v>
      </c>
      <c r="S2424" s="74">
        <v>33339</v>
      </c>
      <c r="T2424" s="77">
        <v>0.25</v>
      </c>
      <c r="V2424">
        <v>42.980000000000004</v>
      </c>
      <c r="X2424" s="42"/>
      <c r="AB2424">
        <v>44.4</v>
      </c>
      <c r="AC2424">
        <v>42.08</v>
      </c>
      <c r="AE2424" s="74"/>
      <c r="AF2424" s="77"/>
      <c r="AH2424" s="497">
        <v>41</v>
      </c>
      <c r="AJ2424" s="42"/>
      <c r="AK2424" s="74"/>
      <c r="AL2424" s="77"/>
      <c r="AN2424" s="497">
        <v>35.06</v>
      </c>
      <c r="AP2424" s="42"/>
      <c r="AQ2424" s="74"/>
      <c r="AR2424" s="77"/>
      <c r="AT2424" s="497">
        <v>37.04</v>
      </c>
      <c r="AV2424" s="42"/>
      <c r="AW2424" s="74"/>
      <c r="AX2424" s="77"/>
      <c r="BA2424" s="497">
        <v>42.08</v>
      </c>
      <c r="BB2424" s="42"/>
      <c r="BC2424" s="74"/>
      <c r="BD2424" s="77"/>
      <c r="BF2424">
        <v>37.94</v>
      </c>
      <c r="BH2424" s="42"/>
      <c r="BI2424" s="74"/>
      <c r="BJ2424" s="77"/>
      <c r="BL2424" s="497">
        <v>39.92</v>
      </c>
      <c r="BN2424" s="42"/>
      <c r="BO2424" s="74"/>
      <c r="BP2424" s="77"/>
      <c r="BR2424" s="497">
        <v>41</v>
      </c>
      <c r="BT2424" s="42"/>
    </row>
    <row r="2425" spans="1:72" x14ac:dyDescent="0.25">
      <c r="A2425" s="90">
        <v>33339</v>
      </c>
      <c r="B2425" s="20">
        <v>0.29166666666666669</v>
      </c>
      <c r="D2425">
        <v>46.94</v>
      </c>
      <c r="E2425" t="str">
        <f t="shared" si="110"/>
        <v>WEEKDAY</v>
      </c>
      <c r="F2425" t="e">
        <f t="shared" si="111"/>
        <v>#N/A</v>
      </c>
      <c r="G2425" s="74">
        <v>32974</v>
      </c>
      <c r="H2425" s="77">
        <v>0.29166666666666669</v>
      </c>
      <c r="J2425">
        <v>57.019999999999996</v>
      </c>
      <c r="M2425" s="74">
        <v>33339</v>
      </c>
      <c r="N2425" s="77">
        <v>0.29166666666666669</v>
      </c>
      <c r="P2425">
        <v>42.980000000000004</v>
      </c>
      <c r="S2425" s="74">
        <v>33339</v>
      </c>
      <c r="T2425" s="77">
        <v>0.29166666666666669</v>
      </c>
      <c r="V2425">
        <v>44.96</v>
      </c>
      <c r="X2425" s="42"/>
      <c r="AB2425">
        <v>44.5</v>
      </c>
      <c r="AC2425">
        <v>44.06</v>
      </c>
      <c r="AE2425" s="74"/>
      <c r="AF2425" s="77"/>
      <c r="AH2425" s="497">
        <v>42.980000000000004</v>
      </c>
      <c r="AJ2425" s="42"/>
      <c r="AK2425" s="74"/>
      <c r="AL2425" s="77"/>
      <c r="AN2425" s="497">
        <v>37.94</v>
      </c>
      <c r="AP2425" s="42"/>
      <c r="AQ2425" s="74"/>
      <c r="AR2425" s="77"/>
      <c r="AT2425" s="497">
        <v>39.92</v>
      </c>
      <c r="AV2425" s="42"/>
      <c r="AW2425" s="74"/>
      <c r="AX2425" s="77"/>
      <c r="BA2425" s="497">
        <v>44.06</v>
      </c>
      <c r="BB2425" s="42"/>
      <c r="BC2425" s="74"/>
      <c r="BD2425" s="77"/>
      <c r="BF2425">
        <v>37.94</v>
      </c>
      <c r="BH2425" s="42"/>
      <c r="BI2425" s="74"/>
      <c r="BJ2425" s="77"/>
      <c r="BL2425" s="497">
        <v>41</v>
      </c>
      <c r="BN2425" s="42"/>
      <c r="BO2425" s="74"/>
      <c r="BP2425" s="77"/>
      <c r="BR2425" s="497">
        <v>39.92</v>
      </c>
      <c r="BT2425" s="42"/>
    </row>
    <row r="2426" spans="1:72" x14ac:dyDescent="0.25">
      <c r="A2426" s="90">
        <v>33339</v>
      </c>
      <c r="B2426" s="20">
        <v>0.33333333333333331</v>
      </c>
      <c r="D2426">
        <v>48.92</v>
      </c>
      <c r="E2426" t="str">
        <f t="shared" si="110"/>
        <v>WEEKDAY</v>
      </c>
      <c r="F2426" t="e">
        <f t="shared" si="111"/>
        <v>#N/A</v>
      </c>
      <c r="G2426" s="74">
        <v>32974</v>
      </c>
      <c r="H2426" s="77">
        <v>0.33333333333333331</v>
      </c>
      <c r="J2426">
        <v>53.06</v>
      </c>
      <c r="M2426" s="74">
        <v>33339</v>
      </c>
      <c r="N2426" s="77">
        <v>0.33333333333333331</v>
      </c>
      <c r="P2426">
        <v>44.06</v>
      </c>
      <c r="S2426" s="74">
        <v>33339</v>
      </c>
      <c r="T2426" s="77">
        <v>0.33333333333333331</v>
      </c>
      <c r="V2426">
        <v>46.94</v>
      </c>
      <c r="X2426" s="42"/>
      <c r="AB2426">
        <v>46.4</v>
      </c>
      <c r="AC2426">
        <v>46.04</v>
      </c>
      <c r="AE2426" s="74"/>
      <c r="AF2426" s="77"/>
      <c r="AH2426" s="497">
        <v>44.96</v>
      </c>
      <c r="AJ2426" s="42"/>
      <c r="AK2426" s="74"/>
      <c r="AL2426" s="77"/>
      <c r="AN2426" s="497">
        <v>41</v>
      </c>
      <c r="AP2426" s="42"/>
      <c r="AQ2426" s="74"/>
      <c r="AR2426" s="77"/>
      <c r="AT2426" s="497">
        <v>42.980000000000004</v>
      </c>
      <c r="AV2426" s="42"/>
      <c r="AW2426" s="74"/>
      <c r="AX2426" s="77"/>
      <c r="BA2426" s="497">
        <v>46.04</v>
      </c>
      <c r="BB2426" s="42"/>
      <c r="BC2426" s="74"/>
      <c r="BD2426" s="77"/>
      <c r="BF2426">
        <v>39.019999999999996</v>
      </c>
      <c r="BH2426" s="42"/>
      <c r="BI2426" s="74"/>
      <c r="BJ2426" s="77"/>
      <c r="BL2426" s="497">
        <v>44.96</v>
      </c>
      <c r="BN2426" s="42"/>
      <c r="BO2426" s="74"/>
      <c r="BP2426" s="77"/>
      <c r="BR2426" s="497">
        <v>42.08</v>
      </c>
      <c r="BT2426" s="42"/>
    </row>
    <row r="2427" spans="1:72" x14ac:dyDescent="0.25">
      <c r="A2427" s="90">
        <v>33339</v>
      </c>
      <c r="B2427" s="20">
        <v>0.375</v>
      </c>
      <c r="D2427">
        <v>51.08</v>
      </c>
      <c r="E2427" t="str">
        <f t="shared" si="110"/>
        <v>WEEKDAY</v>
      </c>
      <c r="F2427" t="e">
        <f t="shared" si="111"/>
        <v>#N/A</v>
      </c>
      <c r="G2427" s="74">
        <v>32974</v>
      </c>
      <c r="H2427" s="77">
        <v>0.375</v>
      </c>
      <c r="J2427">
        <v>53.96</v>
      </c>
      <c r="M2427" s="74">
        <v>33339</v>
      </c>
      <c r="N2427" s="77">
        <v>0.375</v>
      </c>
      <c r="P2427">
        <v>46.04</v>
      </c>
      <c r="S2427" s="74">
        <v>33339</v>
      </c>
      <c r="T2427" s="77">
        <v>0.375</v>
      </c>
      <c r="V2427">
        <v>50</v>
      </c>
      <c r="X2427" s="42"/>
      <c r="AB2427">
        <v>48.3</v>
      </c>
      <c r="AC2427">
        <v>48.92</v>
      </c>
      <c r="AE2427" s="74"/>
      <c r="AF2427" s="77"/>
      <c r="AH2427" s="497">
        <v>46.94</v>
      </c>
      <c r="AJ2427" s="42"/>
      <c r="AK2427" s="74"/>
      <c r="AL2427" s="77"/>
      <c r="AN2427" s="497">
        <v>44.06</v>
      </c>
      <c r="AP2427" s="42"/>
      <c r="AQ2427" s="74"/>
      <c r="AR2427" s="77"/>
      <c r="AT2427" s="497">
        <v>44.96</v>
      </c>
      <c r="AV2427" s="42"/>
      <c r="AW2427" s="74"/>
      <c r="AX2427" s="77"/>
      <c r="BA2427" s="497">
        <v>46.04</v>
      </c>
      <c r="BB2427" s="42"/>
      <c r="BC2427" s="74"/>
      <c r="BD2427" s="77"/>
      <c r="BF2427">
        <v>41</v>
      </c>
      <c r="BH2427" s="42"/>
      <c r="BI2427" s="74"/>
      <c r="BJ2427" s="77"/>
      <c r="BL2427" s="497">
        <v>51.08</v>
      </c>
      <c r="BN2427" s="42"/>
      <c r="BO2427" s="74"/>
      <c r="BP2427" s="77"/>
      <c r="BR2427" s="497">
        <v>41</v>
      </c>
      <c r="BT2427" s="42"/>
    </row>
    <row r="2428" spans="1:72" x14ac:dyDescent="0.25">
      <c r="A2428" s="90">
        <v>33339</v>
      </c>
      <c r="B2428" s="20">
        <v>0.41666666666666669</v>
      </c>
      <c r="D2428">
        <v>53.96</v>
      </c>
      <c r="E2428" t="str">
        <f t="shared" si="110"/>
        <v>WEEKDAY</v>
      </c>
      <c r="F2428" t="e">
        <f t="shared" si="111"/>
        <v>#N/A</v>
      </c>
      <c r="G2428" s="74">
        <v>32974</v>
      </c>
      <c r="H2428" s="77">
        <v>0.41666666666666669</v>
      </c>
      <c r="J2428">
        <v>53.96</v>
      </c>
      <c r="M2428" s="74">
        <v>33339</v>
      </c>
      <c r="N2428" s="77">
        <v>0.41666666666666669</v>
      </c>
      <c r="P2428">
        <v>46.94</v>
      </c>
      <c r="S2428" s="74">
        <v>33339</v>
      </c>
      <c r="T2428" s="77">
        <v>0.41666666666666669</v>
      </c>
      <c r="V2428">
        <v>51.980000000000004</v>
      </c>
      <c r="X2428" s="42"/>
      <c r="AB2428">
        <v>50.2</v>
      </c>
      <c r="AC2428">
        <v>50</v>
      </c>
      <c r="AE2428" s="74"/>
      <c r="AF2428" s="77"/>
      <c r="AH2428" s="497">
        <v>48.019999999999996</v>
      </c>
      <c r="AJ2428" s="42"/>
      <c r="AK2428" s="74"/>
      <c r="AL2428" s="77"/>
      <c r="AN2428" s="497">
        <v>46.04</v>
      </c>
      <c r="AP2428" s="42"/>
      <c r="AQ2428" s="74"/>
      <c r="AR2428" s="77"/>
      <c r="AT2428" s="497">
        <v>46.94</v>
      </c>
      <c r="AV2428" s="42"/>
      <c r="AW2428" s="74"/>
      <c r="AX2428" s="77"/>
      <c r="BA2428" s="497">
        <v>46.04</v>
      </c>
      <c r="BB2428" s="42"/>
      <c r="BC2428" s="74"/>
      <c r="BD2428" s="77"/>
      <c r="BF2428">
        <v>41</v>
      </c>
      <c r="BH2428" s="42"/>
      <c r="BI2428" s="74"/>
      <c r="BJ2428" s="77"/>
      <c r="BL2428" s="497">
        <v>55.94</v>
      </c>
      <c r="BN2428" s="42"/>
      <c r="BO2428" s="74"/>
      <c r="BP2428" s="77"/>
      <c r="BR2428" s="497">
        <v>42.08</v>
      </c>
      <c r="BT2428" s="42"/>
    </row>
    <row r="2429" spans="1:72" x14ac:dyDescent="0.25">
      <c r="A2429" s="90">
        <v>33339</v>
      </c>
      <c r="B2429" s="20">
        <v>0.45833333333333331</v>
      </c>
      <c r="D2429">
        <v>55.94</v>
      </c>
      <c r="E2429" t="str">
        <f t="shared" si="110"/>
        <v>WEEKDAY</v>
      </c>
      <c r="F2429" t="e">
        <f t="shared" si="111"/>
        <v>#N/A</v>
      </c>
      <c r="G2429" s="74">
        <v>32974</v>
      </c>
      <c r="H2429" s="77">
        <v>0.45833333333333331</v>
      </c>
      <c r="J2429">
        <v>53.96</v>
      </c>
      <c r="M2429" s="74">
        <v>33339</v>
      </c>
      <c r="N2429" s="77">
        <v>0.45833333333333331</v>
      </c>
      <c r="P2429">
        <v>48.92</v>
      </c>
      <c r="S2429" s="74">
        <v>33339</v>
      </c>
      <c r="T2429" s="77">
        <v>0.45833333333333331</v>
      </c>
      <c r="V2429">
        <v>53.06</v>
      </c>
      <c r="X2429" s="42"/>
      <c r="AB2429">
        <v>52</v>
      </c>
      <c r="AC2429">
        <v>51.980000000000004</v>
      </c>
      <c r="AE2429" s="74"/>
      <c r="AF2429" s="77"/>
      <c r="AH2429" s="497">
        <v>50</v>
      </c>
      <c r="AJ2429" s="42"/>
      <c r="AK2429" s="74"/>
      <c r="AL2429" s="77"/>
      <c r="AN2429" s="497">
        <v>46.94</v>
      </c>
      <c r="AP2429" s="42"/>
      <c r="AQ2429" s="74"/>
      <c r="AR2429" s="77"/>
      <c r="AT2429" s="497">
        <v>50</v>
      </c>
      <c r="AV2429" s="42"/>
      <c r="AW2429" s="74"/>
      <c r="AX2429" s="77"/>
      <c r="BA2429" s="497">
        <v>44.96</v>
      </c>
      <c r="BB2429" s="42"/>
      <c r="BC2429" s="74"/>
      <c r="BD2429" s="77"/>
      <c r="BF2429">
        <v>42.980000000000004</v>
      </c>
      <c r="BH2429" s="42"/>
      <c r="BI2429" s="74"/>
      <c r="BJ2429" s="77"/>
      <c r="BL2429" s="497">
        <v>62.06</v>
      </c>
      <c r="BN2429" s="42"/>
      <c r="BO2429" s="74"/>
      <c r="BP2429" s="77"/>
      <c r="BR2429" s="497">
        <v>44.96</v>
      </c>
      <c r="BT2429" s="42"/>
    </row>
    <row r="2430" spans="1:72" x14ac:dyDescent="0.25">
      <c r="A2430" s="90">
        <v>33339</v>
      </c>
      <c r="B2430" s="20">
        <v>0.5</v>
      </c>
      <c r="D2430">
        <v>59</v>
      </c>
      <c r="E2430" t="str">
        <f t="shared" si="110"/>
        <v>WEEKDAY</v>
      </c>
      <c r="F2430" t="e">
        <f t="shared" si="111"/>
        <v>#N/A</v>
      </c>
      <c r="G2430" s="74">
        <v>32974</v>
      </c>
      <c r="H2430" s="77">
        <v>0.5</v>
      </c>
      <c r="J2430">
        <v>53.06</v>
      </c>
      <c r="M2430" s="74">
        <v>33339</v>
      </c>
      <c r="N2430" s="77">
        <v>0.5</v>
      </c>
      <c r="P2430">
        <v>51.08</v>
      </c>
      <c r="S2430" s="74">
        <v>33339</v>
      </c>
      <c r="T2430" s="77">
        <v>0.5</v>
      </c>
      <c r="V2430">
        <v>55.94</v>
      </c>
      <c r="X2430" s="42"/>
      <c r="AB2430">
        <v>53.3</v>
      </c>
      <c r="AC2430">
        <v>53.96</v>
      </c>
      <c r="AE2430" s="74"/>
      <c r="AF2430" s="77"/>
      <c r="AH2430" s="497">
        <v>51.980000000000004</v>
      </c>
      <c r="AJ2430" s="42"/>
      <c r="AK2430" s="74"/>
      <c r="AL2430" s="77"/>
      <c r="AN2430" s="497">
        <v>46.94</v>
      </c>
      <c r="AP2430" s="42"/>
      <c r="AQ2430" s="74"/>
      <c r="AR2430" s="77"/>
      <c r="AT2430" s="497">
        <v>51.980000000000004</v>
      </c>
      <c r="AV2430" s="42"/>
      <c r="AW2430" s="74"/>
      <c r="AX2430" s="77"/>
      <c r="BA2430" s="497">
        <v>44.96</v>
      </c>
      <c r="BB2430" s="42"/>
      <c r="BC2430" s="74"/>
      <c r="BD2430" s="77"/>
      <c r="BF2430">
        <v>44.06</v>
      </c>
      <c r="BH2430" s="42"/>
      <c r="BI2430" s="74"/>
      <c r="BJ2430" s="77"/>
      <c r="BL2430" s="497">
        <v>64.94</v>
      </c>
      <c r="BN2430" s="42"/>
      <c r="BO2430" s="74"/>
      <c r="BP2430" s="77"/>
      <c r="BR2430" s="497">
        <v>46.94</v>
      </c>
      <c r="BT2430" s="42"/>
    </row>
    <row r="2431" spans="1:72" x14ac:dyDescent="0.25">
      <c r="A2431" s="90">
        <v>33339</v>
      </c>
      <c r="B2431" s="20">
        <v>0.54166666666666663</v>
      </c>
      <c r="D2431">
        <v>62.06</v>
      </c>
      <c r="E2431" t="str">
        <f t="shared" si="110"/>
        <v>WEEKDAY</v>
      </c>
      <c r="F2431" t="e">
        <f t="shared" si="111"/>
        <v>#N/A</v>
      </c>
      <c r="G2431" s="74">
        <v>32974</v>
      </c>
      <c r="H2431" s="77">
        <v>0.54166666666666663</v>
      </c>
      <c r="J2431">
        <v>53.96</v>
      </c>
      <c r="M2431" s="74">
        <v>33339</v>
      </c>
      <c r="N2431" s="77">
        <v>0.54166666666666663</v>
      </c>
      <c r="P2431">
        <v>51.980000000000004</v>
      </c>
      <c r="S2431" s="74">
        <v>33339</v>
      </c>
      <c r="T2431" s="77">
        <v>0.54166666666666663</v>
      </c>
      <c r="V2431">
        <v>57.019999999999996</v>
      </c>
      <c r="X2431" s="42"/>
      <c r="AB2431">
        <v>54.3</v>
      </c>
      <c r="AC2431">
        <v>55.94</v>
      </c>
      <c r="AE2431" s="74"/>
      <c r="AF2431" s="77"/>
      <c r="AH2431" s="497">
        <v>53.06</v>
      </c>
      <c r="AJ2431" s="42"/>
      <c r="AK2431" s="74"/>
      <c r="AL2431" s="77"/>
      <c r="AN2431" s="497">
        <v>48.019999999999996</v>
      </c>
      <c r="AP2431" s="42"/>
      <c r="AQ2431" s="74"/>
      <c r="AR2431" s="77"/>
      <c r="AT2431" s="497">
        <v>53.06</v>
      </c>
      <c r="AV2431" s="42"/>
      <c r="AW2431" s="74"/>
      <c r="AX2431" s="77"/>
      <c r="BA2431" s="497">
        <v>46.94</v>
      </c>
      <c r="BB2431" s="42"/>
      <c r="BC2431" s="74"/>
      <c r="BD2431" s="77"/>
      <c r="BF2431">
        <v>46.04</v>
      </c>
      <c r="BH2431" s="42"/>
      <c r="BI2431" s="74"/>
      <c r="BJ2431" s="77"/>
      <c r="BL2431" s="497">
        <v>68</v>
      </c>
      <c r="BN2431" s="42"/>
      <c r="BO2431" s="74"/>
      <c r="BP2431" s="77"/>
      <c r="BR2431" s="497">
        <v>48.92</v>
      </c>
      <c r="BT2431" s="42"/>
    </row>
    <row r="2432" spans="1:72" x14ac:dyDescent="0.25">
      <c r="A2432" s="90">
        <v>33339</v>
      </c>
      <c r="B2432" s="20">
        <v>0.58333333333333337</v>
      </c>
      <c r="D2432">
        <v>62.96</v>
      </c>
      <c r="E2432" t="str">
        <f t="shared" si="110"/>
        <v>WEEKDAY</v>
      </c>
      <c r="F2432" t="e">
        <f t="shared" si="111"/>
        <v>#N/A</v>
      </c>
      <c r="G2432" s="74">
        <v>32974</v>
      </c>
      <c r="H2432" s="77">
        <v>0.58333333333333337</v>
      </c>
      <c r="J2432">
        <v>55.040000000000006</v>
      </c>
      <c r="M2432" s="74">
        <v>33339</v>
      </c>
      <c r="N2432" s="77">
        <v>0.58333333333333337</v>
      </c>
      <c r="P2432">
        <v>55.040000000000006</v>
      </c>
      <c r="S2432" s="74">
        <v>33339</v>
      </c>
      <c r="T2432" s="77">
        <v>0.58333333333333337</v>
      </c>
      <c r="V2432">
        <v>59</v>
      </c>
      <c r="X2432" s="42"/>
      <c r="AB2432">
        <v>54.9</v>
      </c>
      <c r="AC2432">
        <v>57.019999999999996</v>
      </c>
      <c r="AE2432" s="74"/>
      <c r="AF2432" s="77"/>
      <c r="AH2432" s="497">
        <v>53.06</v>
      </c>
      <c r="AJ2432" s="42"/>
      <c r="AK2432" s="74"/>
      <c r="AL2432" s="77"/>
      <c r="AN2432" s="497">
        <v>46.94</v>
      </c>
      <c r="AP2432" s="42"/>
      <c r="AQ2432" s="74"/>
      <c r="AR2432" s="77"/>
      <c r="AT2432" s="497">
        <v>53.96</v>
      </c>
      <c r="AV2432" s="42"/>
      <c r="AW2432" s="74"/>
      <c r="AX2432" s="77"/>
      <c r="BA2432" s="497">
        <v>42.980000000000004</v>
      </c>
      <c r="BB2432" s="42"/>
      <c r="BC2432" s="74"/>
      <c r="BD2432" s="77"/>
      <c r="BF2432">
        <v>46.94</v>
      </c>
      <c r="BH2432" s="42"/>
      <c r="BI2432" s="74"/>
      <c r="BJ2432" s="77"/>
      <c r="BL2432" s="497">
        <v>69.98</v>
      </c>
      <c r="BN2432" s="42"/>
      <c r="BO2432" s="74"/>
      <c r="BP2432" s="77"/>
      <c r="BR2432" s="497">
        <v>50</v>
      </c>
      <c r="BT2432" s="42"/>
    </row>
    <row r="2433" spans="1:72" x14ac:dyDescent="0.25">
      <c r="A2433" s="90">
        <v>33339</v>
      </c>
      <c r="B2433" s="20">
        <v>0.625</v>
      </c>
      <c r="D2433">
        <v>64.039999999999992</v>
      </c>
      <c r="E2433" t="str">
        <f t="shared" si="110"/>
        <v>WEEKDAY</v>
      </c>
      <c r="F2433" t="e">
        <f t="shared" si="111"/>
        <v>#N/A</v>
      </c>
      <c r="G2433" s="74">
        <v>32974</v>
      </c>
      <c r="H2433" s="77">
        <v>0.625</v>
      </c>
      <c r="J2433">
        <v>53.06</v>
      </c>
      <c r="M2433" s="74">
        <v>33339</v>
      </c>
      <c r="N2433" s="77">
        <v>0.625</v>
      </c>
      <c r="P2433">
        <v>55.040000000000006</v>
      </c>
      <c r="S2433" s="74">
        <v>33339</v>
      </c>
      <c r="T2433" s="77">
        <v>0.625</v>
      </c>
      <c r="V2433">
        <v>59</v>
      </c>
      <c r="X2433" s="42"/>
      <c r="AB2433">
        <v>55.1</v>
      </c>
      <c r="AC2433">
        <v>57.92</v>
      </c>
      <c r="AE2433" s="74"/>
      <c r="AF2433" s="77"/>
      <c r="AH2433" s="497">
        <v>53.96</v>
      </c>
      <c r="AJ2433" s="42"/>
      <c r="AK2433" s="74"/>
      <c r="AL2433" s="77"/>
      <c r="AN2433" s="497">
        <v>48.019999999999996</v>
      </c>
      <c r="AP2433" s="42"/>
      <c r="AQ2433" s="74"/>
      <c r="AR2433" s="77"/>
      <c r="AT2433" s="497">
        <v>55.040000000000006</v>
      </c>
      <c r="AV2433" s="42"/>
      <c r="AW2433" s="74"/>
      <c r="AX2433" s="77"/>
      <c r="BA2433" s="497">
        <v>48.92</v>
      </c>
      <c r="BB2433" s="42"/>
      <c r="BC2433" s="74"/>
      <c r="BD2433" s="77"/>
      <c r="BF2433">
        <v>48.92</v>
      </c>
      <c r="BH2433" s="42"/>
      <c r="BI2433" s="74"/>
      <c r="BJ2433" s="77"/>
      <c r="BL2433" s="497">
        <v>73.039999999999992</v>
      </c>
      <c r="BN2433" s="42"/>
      <c r="BO2433" s="74"/>
      <c r="BP2433" s="77"/>
      <c r="BR2433" s="497">
        <v>46.94</v>
      </c>
      <c r="BT2433" s="42"/>
    </row>
    <row r="2434" spans="1:72" x14ac:dyDescent="0.25">
      <c r="A2434" s="90">
        <v>33339</v>
      </c>
      <c r="B2434" s="20">
        <v>0.66666666666666663</v>
      </c>
      <c r="D2434">
        <v>64.94</v>
      </c>
      <c r="E2434" t="str">
        <f t="shared" si="110"/>
        <v>WEEKDAY</v>
      </c>
      <c r="F2434" t="e">
        <f t="shared" si="111"/>
        <v>#N/A</v>
      </c>
      <c r="G2434" s="74">
        <v>32974</v>
      </c>
      <c r="H2434" s="77">
        <v>0.66666666666666663</v>
      </c>
      <c r="J2434">
        <v>51.08</v>
      </c>
      <c r="M2434" s="74">
        <v>33339</v>
      </c>
      <c r="N2434" s="77">
        <v>0.66666666666666663</v>
      </c>
      <c r="P2434">
        <v>53.06</v>
      </c>
      <c r="S2434" s="74">
        <v>33339</v>
      </c>
      <c r="T2434" s="77">
        <v>0.66666666666666663</v>
      </c>
      <c r="V2434">
        <v>59</v>
      </c>
      <c r="X2434" s="42"/>
      <c r="AB2434">
        <v>55.1</v>
      </c>
      <c r="AC2434">
        <v>55.94</v>
      </c>
      <c r="AE2434" s="74"/>
      <c r="AF2434" s="77"/>
      <c r="AH2434" s="497">
        <v>53.06</v>
      </c>
      <c r="AJ2434" s="42"/>
      <c r="AK2434" s="74"/>
      <c r="AL2434" s="77"/>
      <c r="AN2434" s="497">
        <v>50</v>
      </c>
      <c r="AP2434" s="42"/>
      <c r="AQ2434" s="74"/>
      <c r="AR2434" s="77"/>
      <c r="AT2434" s="497">
        <v>55.040000000000006</v>
      </c>
      <c r="AV2434" s="42"/>
      <c r="AW2434" s="74"/>
      <c r="AX2434" s="77"/>
      <c r="BA2434" s="497">
        <v>48.92</v>
      </c>
      <c r="BB2434" s="42"/>
      <c r="BC2434" s="74"/>
      <c r="BD2434" s="77"/>
      <c r="BF2434">
        <v>48.92</v>
      </c>
      <c r="BH2434" s="42"/>
      <c r="BI2434" s="74"/>
      <c r="BJ2434" s="77"/>
      <c r="BL2434" s="497">
        <v>73.94</v>
      </c>
      <c r="BN2434" s="42"/>
      <c r="BO2434" s="74"/>
      <c r="BP2434" s="77"/>
      <c r="BR2434" s="497">
        <v>44.96</v>
      </c>
      <c r="BT2434" s="42"/>
    </row>
    <row r="2435" spans="1:72" x14ac:dyDescent="0.25">
      <c r="A2435" s="90">
        <v>33339</v>
      </c>
      <c r="B2435" s="20">
        <v>0.70833333333333337</v>
      </c>
      <c r="D2435">
        <v>62.96</v>
      </c>
      <c r="E2435" t="str">
        <f t="shared" si="110"/>
        <v>WEEKDAY</v>
      </c>
      <c r="F2435" t="e">
        <f t="shared" si="111"/>
        <v>#N/A</v>
      </c>
      <c r="G2435" s="74">
        <v>32974</v>
      </c>
      <c r="H2435" s="77">
        <v>0.70833333333333337</v>
      </c>
      <c r="J2435">
        <v>48.92</v>
      </c>
      <c r="M2435" s="74">
        <v>33339</v>
      </c>
      <c r="N2435" s="77">
        <v>0.70833333333333337</v>
      </c>
      <c r="P2435">
        <v>53.06</v>
      </c>
      <c r="S2435" s="74">
        <v>33339</v>
      </c>
      <c r="T2435" s="77">
        <v>0.70833333333333337</v>
      </c>
      <c r="V2435">
        <v>57.92</v>
      </c>
      <c r="X2435" s="42"/>
      <c r="AB2435">
        <v>54.3</v>
      </c>
      <c r="AC2435">
        <v>55.040000000000006</v>
      </c>
      <c r="AE2435" s="74"/>
      <c r="AF2435" s="77"/>
      <c r="AH2435" s="497">
        <v>51.980000000000004</v>
      </c>
      <c r="AJ2435" s="42"/>
      <c r="AK2435" s="74"/>
      <c r="AL2435" s="77"/>
      <c r="AN2435" s="497">
        <v>48.92</v>
      </c>
      <c r="AP2435" s="42"/>
      <c r="AQ2435" s="74"/>
      <c r="AR2435" s="77"/>
      <c r="AT2435" s="497">
        <v>53.06</v>
      </c>
      <c r="AV2435" s="42"/>
      <c r="AW2435" s="74"/>
      <c r="AX2435" s="77"/>
      <c r="BA2435" s="497">
        <v>50</v>
      </c>
      <c r="BB2435" s="42"/>
      <c r="BC2435" s="74"/>
      <c r="BD2435" s="77"/>
      <c r="BF2435">
        <v>46.94</v>
      </c>
      <c r="BH2435" s="42"/>
      <c r="BI2435" s="74"/>
      <c r="BJ2435" s="77"/>
      <c r="BL2435" s="497">
        <v>73.039999999999992</v>
      </c>
      <c r="BN2435" s="42"/>
      <c r="BO2435" s="74"/>
      <c r="BP2435" s="77"/>
      <c r="BR2435" s="497">
        <v>44.06</v>
      </c>
      <c r="BT2435" s="42"/>
    </row>
    <row r="2436" spans="1:72" x14ac:dyDescent="0.25">
      <c r="A2436" s="90">
        <v>33339</v>
      </c>
      <c r="B2436" s="20">
        <v>0.75</v>
      </c>
      <c r="D2436">
        <v>62.96</v>
      </c>
      <c r="E2436" t="str">
        <f t="shared" si="110"/>
        <v>WEEKDAY</v>
      </c>
      <c r="F2436" t="e">
        <f t="shared" si="111"/>
        <v>#N/A</v>
      </c>
      <c r="G2436" s="74">
        <v>32974</v>
      </c>
      <c r="H2436" s="77">
        <v>0.75</v>
      </c>
      <c r="J2436">
        <v>48.019999999999996</v>
      </c>
      <c r="M2436" s="74">
        <v>33339</v>
      </c>
      <c r="N2436" s="77">
        <v>0.75</v>
      </c>
      <c r="P2436">
        <v>51.08</v>
      </c>
      <c r="S2436" s="74">
        <v>33339</v>
      </c>
      <c r="T2436" s="77">
        <v>0.75</v>
      </c>
      <c r="V2436">
        <v>55.040000000000006</v>
      </c>
      <c r="X2436" s="42"/>
      <c r="AB2436">
        <v>53.1</v>
      </c>
      <c r="AC2436">
        <v>53.06</v>
      </c>
      <c r="AE2436" s="74"/>
      <c r="AF2436" s="77"/>
      <c r="AH2436" s="497">
        <v>48.92</v>
      </c>
      <c r="AJ2436" s="42"/>
      <c r="AK2436" s="74"/>
      <c r="AL2436" s="77"/>
      <c r="AN2436" s="497">
        <v>46.94</v>
      </c>
      <c r="AP2436" s="42"/>
      <c r="AQ2436" s="74"/>
      <c r="AR2436" s="77"/>
      <c r="AT2436" s="497">
        <v>51.08</v>
      </c>
      <c r="AV2436" s="42"/>
      <c r="AW2436" s="74"/>
      <c r="AX2436" s="77"/>
      <c r="BA2436" s="497">
        <v>46.04</v>
      </c>
      <c r="BB2436" s="42"/>
      <c r="BC2436" s="74"/>
      <c r="BD2436" s="77"/>
      <c r="BF2436">
        <v>44.96</v>
      </c>
      <c r="BH2436" s="42"/>
      <c r="BI2436" s="74"/>
      <c r="BJ2436" s="77"/>
      <c r="BL2436" s="497">
        <v>71.06</v>
      </c>
      <c r="BN2436" s="42"/>
      <c r="BO2436" s="74"/>
      <c r="BP2436" s="77"/>
      <c r="BR2436" s="497">
        <v>39.019999999999996</v>
      </c>
      <c r="BT2436" s="42"/>
    </row>
    <row r="2437" spans="1:72" x14ac:dyDescent="0.25">
      <c r="A2437" s="90">
        <v>33339</v>
      </c>
      <c r="B2437" s="20">
        <v>0.79166666666666663</v>
      </c>
      <c r="D2437">
        <v>62.06</v>
      </c>
      <c r="E2437" t="str">
        <f t="shared" si="110"/>
        <v>WEEKDAY</v>
      </c>
      <c r="F2437" t="e">
        <f t="shared" si="111"/>
        <v>#N/A</v>
      </c>
      <c r="G2437" s="74">
        <v>32974</v>
      </c>
      <c r="H2437" s="77">
        <v>0.79166666666666663</v>
      </c>
      <c r="J2437">
        <v>46.04</v>
      </c>
      <c r="M2437" s="74">
        <v>33339</v>
      </c>
      <c r="N2437" s="77">
        <v>0.79166666666666663</v>
      </c>
      <c r="P2437">
        <v>48.92</v>
      </c>
      <c r="S2437" s="74">
        <v>33339</v>
      </c>
      <c r="T2437" s="77">
        <v>0.79166666666666663</v>
      </c>
      <c r="V2437">
        <v>51.980000000000004</v>
      </c>
      <c r="X2437" s="42"/>
      <c r="AB2437">
        <v>51.5</v>
      </c>
      <c r="AC2437">
        <v>50</v>
      </c>
      <c r="AE2437" s="74"/>
      <c r="AF2437" s="77"/>
      <c r="AH2437" s="497">
        <v>46.04</v>
      </c>
      <c r="AJ2437" s="42"/>
      <c r="AK2437" s="74"/>
      <c r="AL2437" s="77"/>
      <c r="AN2437" s="497">
        <v>44.06</v>
      </c>
      <c r="AP2437" s="42"/>
      <c r="AQ2437" s="74"/>
      <c r="AR2437" s="77"/>
      <c r="AT2437" s="497">
        <v>48.92</v>
      </c>
      <c r="AV2437" s="42"/>
      <c r="AW2437" s="74"/>
      <c r="AX2437" s="77"/>
      <c r="BA2437" s="497">
        <v>42.980000000000004</v>
      </c>
      <c r="BB2437" s="42"/>
      <c r="BC2437" s="74"/>
      <c r="BD2437" s="77"/>
      <c r="BF2437">
        <v>41</v>
      </c>
      <c r="BH2437" s="42"/>
      <c r="BI2437" s="74"/>
      <c r="BJ2437" s="77"/>
      <c r="BL2437" s="497">
        <v>66.92</v>
      </c>
      <c r="BN2437" s="42"/>
      <c r="BO2437" s="74"/>
      <c r="BP2437" s="77"/>
      <c r="BR2437" s="497">
        <v>37.04</v>
      </c>
      <c r="BT2437" s="42"/>
    </row>
    <row r="2438" spans="1:72" x14ac:dyDescent="0.25">
      <c r="A2438" s="90">
        <v>33339</v>
      </c>
      <c r="B2438" s="20">
        <v>0.83333333333333337</v>
      </c>
      <c r="D2438">
        <v>57.92</v>
      </c>
      <c r="E2438" t="str">
        <f t="shared" si="110"/>
        <v>WEEKDAY</v>
      </c>
      <c r="F2438" t="e">
        <f t="shared" si="111"/>
        <v>#N/A</v>
      </c>
      <c r="G2438" s="74">
        <v>32974</v>
      </c>
      <c r="H2438" s="77">
        <v>0.83333333333333337</v>
      </c>
      <c r="J2438">
        <v>44.96</v>
      </c>
      <c r="M2438" s="74">
        <v>33339</v>
      </c>
      <c r="N2438" s="77">
        <v>0.83333333333333337</v>
      </c>
      <c r="P2438">
        <v>46.94</v>
      </c>
      <c r="S2438" s="74">
        <v>33339</v>
      </c>
      <c r="T2438" s="77">
        <v>0.83333333333333337</v>
      </c>
      <c r="V2438">
        <v>50</v>
      </c>
      <c r="X2438" s="42"/>
      <c r="AB2438">
        <v>50.2</v>
      </c>
      <c r="AC2438">
        <v>48.92</v>
      </c>
      <c r="AE2438" s="74"/>
      <c r="AF2438" s="77"/>
      <c r="AH2438" s="497">
        <v>42.980000000000004</v>
      </c>
      <c r="AJ2438" s="42"/>
      <c r="AK2438" s="74"/>
      <c r="AL2438" s="77"/>
      <c r="AN2438" s="497">
        <v>42.08</v>
      </c>
      <c r="AP2438" s="42"/>
      <c r="AQ2438" s="74"/>
      <c r="AR2438" s="77"/>
      <c r="AT2438" s="497">
        <v>48.019999999999996</v>
      </c>
      <c r="AV2438" s="42"/>
      <c r="AW2438" s="74"/>
      <c r="AX2438" s="77"/>
      <c r="BA2438" s="497">
        <v>39.019999999999996</v>
      </c>
      <c r="BB2438" s="42"/>
      <c r="BC2438" s="74"/>
      <c r="BD2438" s="77"/>
      <c r="BF2438">
        <v>41</v>
      </c>
      <c r="BH2438" s="42"/>
      <c r="BI2438" s="74"/>
      <c r="BJ2438" s="77"/>
      <c r="BL2438" s="497">
        <v>64.039999999999992</v>
      </c>
      <c r="BN2438" s="42"/>
      <c r="BO2438" s="74"/>
      <c r="BP2438" s="77"/>
      <c r="BR2438" s="497">
        <v>33.08</v>
      </c>
      <c r="BT2438" s="42"/>
    </row>
    <row r="2439" spans="1:72" x14ac:dyDescent="0.25">
      <c r="A2439" s="90">
        <v>33339</v>
      </c>
      <c r="B2439" s="20">
        <v>0.875</v>
      </c>
      <c r="D2439">
        <v>57.92</v>
      </c>
      <c r="E2439" t="str">
        <f t="shared" si="110"/>
        <v>WEEKDAY</v>
      </c>
      <c r="F2439" t="e">
        <f t="shared" si="111"/>
        <v>#N/A</v>
      </c>
      <c r="G2439" s="74">
        <v>32974</v>
      </c>
      <c r="H2439" s="77">
        <v>0.875</v>
      </c>
      <c r="J2439">
        <v>44.06</v>
      </c>
      <c r="M2439" s="74">
        <v>33339</v>
      </c>
      <c r="N2439" s="77">
        <v>0.875</v>
      </c>
      <c r="P2439">
        <v>44.96</v>
      </c>
      <c r="S2439" s="74">
        <v>33339</v>
      </c>
      <c r="T2439" s="77">
        <v>0.875</v>
      </c>
      <c r="V2439">
        <v>48.92</v>
      </c>
      <c r="X2439" s="42"/>
      <c r="AB2439">
        <v>49.4</v>
      </c>
      <c r="AC2439">
        <v>48.019999999999996</v>
      </c>
      <c r="AE2439" s="74"/>
      <c r="AF2439" s="77"/>
      <c r="AH2439" s="497">
        <v>42.08</v>
      </c>
      <c r="AJ2439" s="42"/>
      <c r="AK2439" s="74"/>
      <c r="AL2439" s="77"/>
      <c r="AN2439" s="497">
        <v>41</v>
      </c>
      <c r="AP2439" s="42"/>
      <c r="AQ2439" s="74"/>
      <c r="AR2439" s="77"/>
      <c r="AT2439" s="497">
        <v>46.04</v>
      </c>
      <c r="AV2439" s="42"/>
      <c r="AW2439" s="74"/>
      <c r="AX2439" s="77"/>
      <c r="BA2439" s="497">
        <v>37.94</v>
      </c>
      <c r="BB2439" s="42"/>
      <c r="BC2439" s="74"/>
      <c r="BD2439" s="77"/>
      <c r="BF2439">
        <v>41</v>
      </c>
      <c r="BH2439" s="42"/>
      <c r="BI2439" s="74"/>
      <c r="BJ2439" s="77"/>
      <c r="BL2439" s="497">
        <v>60.980000000000004</v>
      </c>
      <c r="BN2439" s="42"/>
      <c r="BO2439" s="74"/>
      <c r="BP2439" s="77"/>
      <c r="BR2439" s="497">
        <v>30.92</v>
      </c>
      <c r="BT2439" s="42"/>
    </row>
    <row r="2440" spans="1:72" x14ac:dyDescent="0.25">
      <c r="A2440" s="90">
        <v>33339</v>
      </c>
      <c r="B2440" s="20">
        <v>0.91666666666666663</v>
      </c>
      <c r="D2440">
        <v>55.040000000000006</v>
      </c>
      <c r="E2440" t="str">
        <f t="shared" si="110"/>
        <v>WEEKDAY</v>
      </c>
      <c r="F2440" t="e">
        <f t="shared" si="111"/>
        <v>#N/A</v>
      </c>
      <c r="G2440" s="74">
        <v>32974</v>
      </c>
      <c r="H2440" s="77">
        <v>0.91666666666666663</v>
      </c>
      <c r="J2440">
        <v>42.980000000000004</v>
      </c>
      <c r="M2440" s="74">
        <v>33339</v>
      </c>
      <c r="N2440" s="77">
        <v>0.91666666666666663</v>
      </c>
      <c r="P2440">
        <v>44.06</v>
      </c>
      <c r="S2440" s="74">
        <v>33339</v>
      </c>
      <c r="T2440" s="77">
        <v>0.91666666666666663</v>
      </c>
      <c r="V2440">
        <v>46.94</v>
      </c>
      <c r="X2440" s="42"/>
      <c r="AB2440">
        <v>48.8</v>
      </c>
      <c r="AC2440">
        <v>44.06</v>
      </c>
      <c r="AE2440" s="74"/>
      <c r="AF2440" s="77"/>
      <c r="AH2440" s="497">
        <v>41</v>
      </c>
      <c r="AJ2440" s="42"/>
      <c r="AK2440" s="74"/>
      <c r="AL2440" s="77"/>
      <c r="AN2440" s="497">
        <v>41</v>
      </c>
      <c r="AP2440" s="42"/>
      <c r="AQ2440" s="74"/>
      <c r="AR2440" s="77"/>
      <c r="AT2440" s="497">
        <v>44.96</v>
      </c>
      <c r="AV2440" s="42"/>
      <c r="AW2440" s="74"/>
      <c r="AX2440" s="77"/>
      <c r="BA2440" s="497">
        <v>35.06</v>
      </c>
      <c r="BB2440" s="42"/>
      <c r="BC2440" s="74"/>
      <c r="BD2440" s="77"/>
      <c r="BF2440">
        <v>42.08</v>
      </c>
      <c r="BH2440" s="42"/>
      <c r="BI2440" s="74"/>
      <c r="BJ2440" s="77"/>
      <c r="BL2440" s="497">
        <v>59</v>
      </c>
      <c r="BN2440" s="42"/>
      <c r="BO2440" s="74"/>
      <c r="BP2440" s="77"/>
      <c r="BR2440" s="497">
        <v>26.96</v>
      </c>
      <c r="BT2440" s="42"/>
    </row>
    <row r="2441" spans="1:72" x14ac:dyDescent="0.25">
      <c r="A2441" s="90">
        <v>33339</v>
      </c>
      <c r="B2441" s="20">
        <v>0.95833333333333337</v>
      </c>
      <c r="D2441">
        <v>55.94</v>
      </c>
      <c r="E2441" t="str">
        <f t="shared" si="110"/>
        <v>WEEKDAY</v>
      </c>
      <c r="F2441" t="e">
        <f t="shared" si="111"/>
        <v>#N/A</v>
      </c>
      <c r="G2441" s="74">
        <v>32974</v>
      </c>
      <c r="H2441" s="77">
        <v>0.95833333333333337</v>
      </c>
      <c r="J2441">
        <v>42.08</v>
      </c>
      <c r="M2441" s="74">
        <v>33339</v>
      </c>
      <c r="N2441" s="77">
        <v>0.95833333333333337</v>
      </c>
      <c r="P2441">
        <v>41</v>
      </c>
      <c r="S2441" s="74">
        <v>33339</v>
      </c>
      <c r="T2441" s="77">
        <v>0.95833333333333337</v>
      </c>
      <c r="V2441">
        <v>44.96</v>
      </c>
      <c r="X2441" s="42"/>
      <c r="AB2441">
        <v>48</v>
      </c>
      <c r="AC2441">
        <v>42.980000000000004</v>
      </c>
      <c r="AE2441" s="74"/>
      <c r="AF2441" s="77"/>
      <c r="AH2441" s="497">
        <v>39.019999999999996</v>
      </c>
      <c r="AJ2441" s="42"/>
      <c r="AK2441" s="74"/>
      <c r="AL2441" s="77"/>
      <c r="AN2441" s="497">
        <v>41</v>
      </c>
      <c r="AP2441" s="42"/>
      <c r="AQ2441" s="74"/>
      <c r="AR2441" s="77"/>
      <c r="AT2441" s="497">
        <v>44.06</v>
      </c>
      <c r="AV2441" s="42"/>
      <c r="AW2441" s="74"/>
      <c r="AX2441" s="77"/>
      <c r="BA2441" s="497">
        <v>33.08</v>
      </c>
      <c r="BB2441" s="42"/>
      <c r="BC2441" s="74"/>
      <c r="BD2441" s="77"/>
      <c r="BF2441">
        <v>41</v>
      </c>
      <c r="BH2441" s="42"/>
      <c r="BI2441" s="74"/>
      <c r="BJ2441" s="77"/>
      <c r="BL2441" s="497">
        <v>57.92</v>
      </c>
      <c r="BN2441" s="42"/>
      <c r="BO2441" s="74"/>
      <c r="BP2441" s="77"/>
      <c r="BR2441" s="497">
        <v>24.08</v>
      </c>
      <c r="BT2441" s="42"/>
    </row>
    <row r="2442" spans="1:72" x14ac:dyDescent="0.25">
      <c r="A2442" s="90">
        <v>33339</v>
      </c>
      <c r="B2442" s="20">
        <v>1</v>
      </c>
      <c r="D2442">
        <v>55.040000000000006</v>
      </c>
      <c r="E2442" t="str">
        <f t="shared" si="110"/>
        <v>WEEKDAY</v>
      </c>
      <c r="F2442" t="e">
        <f t="shared" si="111"/>
        <v>#N/A</v>
      </c>
      <c r="G2442" s="74">
        <v>32974</v>
      </c>
      <c r="H2442" s="77">
        <v>1</v>
      </c>
      <c r="J2442">
        <v>42.08</v>
      </c>
      <c r="M2442" s="74">
        <v>33339</v>
      </c>
      <c r="N2442" s="80">
        <v>1</v>
      </c>
      <c r="P2442">
        <v>39.92</v>
      </c>
      <c r="S2442" s="74">
        <v>33339</v>
      </c>
      <c r="T2442" s="80">
        <v>1</v>
      </c>
      <c r="V2442">
        <v>44.06</v>
      </c>
      <c r="X2442" s="42"/>
      <c r="AB2442">
        <v>47.5</v>
      </c>
      <c r="AC2442">
        <v>42.08</v>
      </c>
      <c r="AE2442" s="74"/>
      <c r="AF2442" s="80"/>
      <c r="AH2442" s="497">
        <v>37.94</v>
      </c>
      <c r="AJ2442" s="42"/>
      <c r="AK2442" s="74"/>
      <c r="AL2442" s="80"/>
      <c r="AN2442" s="497">
        <v>42.08</v>
      </c>
      <c r="AP2442" s="42"/>
      <c r="AQ2442" s="74"/>
      <c r="AR2442" s="80"/>
      <c r="AT2442" s="497">
        <v>42.980000000000004</v>
      </c>
      <c r="AV2442" s="42"/>
      <c r="AW2442" s="74"/>
      <c r="AX2442" s="80"/>
      <c r="BA2442" s="497">
        <v>30.92</v>
      </c>
      <c r="BB2442" s="42"/>
      <c r="BC2442" s="74"/>
      <c r="BD2442" s="80"/>
      <c r="BF2442">
        <v>41</v>
      </c>
      <c r="BH2442" s="42"/>
      <c r="BI2442" s="74"/>
      <c r="BJ2442" s="80"/>
      <c r="BL2442" s="497">
        <v>57.019999999999996</v>
      </c>
      <c r="BN2442" s="42"/>
      <c r="BO2442" s="74"/>
      <c r="BP2442" s="80"/>
      <c r="BR2442" s="497">
        <v>24.08</v>
      </c>
      <c r="BT2442" s="42"/>
    </row>
    <row r="2443" spans="1:72" x14ac:dyDescent="0.25">
      <c r="A2443" s="90">
        <v>33340</v>
      </c>
      <c r="B2443" s="20">
        <v>4.1666666666666664E-2</v>
      </c>
      <c r="D2443">
        <v>53.96</v>
      </c>
      <c r="E2443" t="str">
        <f t="shared" si="110"/>
        <v>WEEKDAY</v>
      </c>
      <c r="F2443" t="e">
        <f t="shared" si="111"/>
        <v>#N/A</v>
      </c>
      <c r="G2443" s="74">
        <v>32975</v>
      </c>
      <c r="H2443" s="77">
        <v>4.1666666666666664E-2</v>
      </c>
      <c r="J2443">
        <v>42.08</v>
      </c>
      <c r="M2443" s="74">
        <v>33340</v>
      </c>
      <c r="N2443" s="77">
        <v>4.1666666666666664E-2</v>
      </c>
      <c r="P2443">
        <v>39.019999999999996</v>
      </c>
      <c r="S2443" s="74">
        <v>33340</v>
      </c>
      <c r="T2443" s="77">
        <v>4.1666666666666664E-2</v>
      </c>
      <c r="V2443">
        <v>42.980000000000004</v>
      </c>
      <c r="X2443" s="42"/>
      <c r="AB2443">
        <v>46.7</v>
      </c>
      <c r="AC2443">
        <v>41</v>
      </c>
      <c r="AE2443" s="74"/>
      <c r="AF2443" s="77"/>
      <c r="AH2443" s="497">
        <v>37.04</v>
      </c>
      <c r="AJ2443" s="42"/>
      <c r="AK2443" s="74"/>
      <c r="AL2443" s="77"/>
      <c r="AN2443" s="497">
        <v>41</v>
      </c>
      <c r="AP2443" s="42"/>
      <c r="AQ2443" s="74"/>
      <c r="AR2443" s="77"/>
      <c r="AT2443" s="497">
        <v>37.94</v>
      </c>
      <c r="AV2443" s="42"/>
      <c r="AW2443" s="74"/>
      <c r="AX2443" s="77"/>
      <c r="BA2443" s="497">
        <v>30.02</v>
      </c>
      <c r="BB2443" s="42"/>
      <c r="BC2443" s="74"/>
      <c r="BD2443" s="77"/>
      <c r="BF2443">
        <v>41</v>
      </c>
      <c r="BH2443" s="42"/>
      <c r="BI2443" s="74"/>
      <c r="BJ2443" s="77"/>
      <c r="BL2443" s="497">
        <v>57.019999999999996</v>
      </c>
      <c r="BN2443" s="42"/>
      <c r="BO2443" s="74"/>
      <c r="BP2443" s="77"/>
      <c r="BR2443" s="497">
        <v>21.92</v>
      </c>
      <c r="BT2443" s="42"/>
    </row>
    <row r="2444" spans="1:72" x14ac:dyDescent="0.25">
      <c r="A2444" s="90">
        <v>33340</v>
      </c>
      <c r="B2444" s="20">
        <v>8.3333333333333329E-2</v>
      </c>
      <c r="D2444">
        <v>53.06</v>
      </c>
      <c r="E2444" t="str">
        <f t="shared" si="110"/>
        <v>WEEKDAY</v>
      </c>
      <c r="F2444" t="e">
        <f t="shared" si="111"/>
        <v>#N/A</v>
      </c>
      <c r="G2444" s="74">
        <v>32975</v>
      </c>
      <c r="H2444" s="77">
        <v>8.3333333333333329E-2</v>
      </c>
      <c r="J2444">
        <v>42.08</v>
      </c>
      <c r="M2444" s="74">
        <v>33340</v>
      </c>
      <c r="N2444" s="77">
        <v>8.3333333333333329E-2</v>
      </c>
      <c r="P2444">
        <v>37.94</v>
      </c>
      <c r="S2444" s="74">
        <v>33340</v>
      </c>
      <c r="T2444" s="77">
        <v>8.3333333333333329E-2</v>
      </c>
      <c r="V2444">
        <v>42.08</v>
      </c>
      <c r="X2444" s="42"/>
      <c r="AB2444">
        <v>46.1</v>
      </c>
      <c r="AC2444">
        <v>39.92</v>
      </c>
      <c r="AE2444" s="74"/>
      <c r="AF2444" s="77"/>
      <c r="AH2444" s="497">
        <v>35.06</v>
      </c>
      <c r="AJ2444" s="42"/>
      <c r="AK2444" s="74"/>
      <c r="AL2444" s="77"/>
      <c r="AN2444" s="497">
        <v>41</v>
      </c>
      <c r="AP2444" s="42"/>
      <c r="AQ2444" s="74"/>
      <c r="AR2444" s="77"/>
      <c r="AT2444" s="497">
        <v>33.979999999999997</v>
      </c>
      <c r="AV2444" s="42"/>
      <c r="AW2444" s="74"/>
      <c r="AX2444" s="77"/>
      <c r="BA2444" s="497">
        <v>28.04</v>
      </c>
      <c r="BB2444" s="42"/>
      <c r="BC2444" s="74"/>
      <c r="BD2444" s="77"/>
      <c r="BF2444">
        <v>41</v>
      </c>
      <c r="BH2444" s="42"/>
      <c r="BI2444" s="74"/>
      <c r="BJ2444" s="77"/>
      <c r="BL2444" s="497">
        <v>55.94</v>
      </c>
      <c r="BN2444" s="42"/>
      <c r="BO2444" s="74"/>
      <c r="BP2444" s="77"/>
      <c r="BR2444" s="497">
        <v>21.02</v>
      </c>
      <c r="BT2444" s="42"/>
    </row>
    <row r="2445" spans="1:72" x14ac:dyDescent="0.25">
      <c r="A2445" s="90">
        <v>33340</v>
      </c>
      <c r="B2445" s="20">
        <v>0.125</v>
      </c>
      <c r="D2445">
        <v>51.08</v>
      </c>
      <c r="E2445" t="str">
        <f t="shared" si="110"/>
        <v>WEEKDAY</v>
      </c>
      <c r="F2445" t="e">
        <f t="shared" si="111"/>
        <v>#N/A</v>
      </c>
      <c r="G2445" s="74">
        <v>32975</v>
      </c>
      <c r="H2445" s="77">
        <v>0.125</v>
      </c>
      <c r="J2445">
        <v>42.08</v>
      </c>
      <c r="M2445" s="74">
        <v>33340</v>
      </c>
      <c r="N2445" s="77">
        <v>0.125</v>
      </c>
      <c r="P2445">
        <v>37.94</v>
      </c>
      <c r="S2445" s="74">
        <v>33340</v>
      </c>
      <c r="T2445" s="77">
        <v>0.125</v>
      </c>
      <c r="V2445">
        <v>41</v>
      </c>
      <c r="X2445" s="42"/>
      <c r="AB2445">
        <v>45.7</v>
      </c>
      <c r="AC2445">
        <v>39.92</v>
      </c>
      <c r="AE2445" s="74"/>
      <c r="AF2445" s="77"/>
      <c r="AH2445" s="497">
        <v>35.96</v>
      </c>
      <c r="AJ2445" s="42"/>
      <c r="AK2445" s="74"/>
      <c r="AL2445" s="77"/>
      <c r="AN2445" s="497">
        <v>39.92</v>
      </c>
      <c r="AP2445" s="42"/>
      <c r="AQ2445" s="74"/>
      <c r="AR2445" s="77"/>
      <c r="AT2445" s="497">
        <v>33.08</v>
      </c>
      <c r="AV2445" s="42"/>
      <c r="AW2445" s="74"/>
      <c r="AX2445" s="77"/>
      <c r="BA2445" s="497">
        <v>28.94</v>
      </c>
      <c r="BB2445" s="42"/>
      <c r="BC2445" s="74"/>
      <c r="BD2445" s="77"/>
      <c r="BF2445">
        <v>41</v>
      </c>
      <c r="BH2445" s="42"/>
      <c r="BI2445" s="74"/>
      <c r="BJ2445" s="77"/>
      <c r="BL2445" s="497">
        <v>55.040000000000006</v>
      </c>
      <c r="BN2445" s="42"/>
      <c r="BO2445" s="74"/>
      <c r="BP2445" s="77"/>
      <c r="BR2445" s="497">
        <v>19.04</v>
      </c>
      <c r="BT2445" s="42"/>
    </row>
    <row r="2446" spans="1:72" x14ac:dyDescent="0.25">
      <c r="A2446" s="90">
        <v>33340</v>
      </c>
      <c r="B2446" s="20">
        <v>0.16666666666666666</v>
      </c>
      <c r="D2446">
        <v>48.92</v>
      </c>
      <c r="E2446" t="str">
        <f t="shared" si="110"/>
        <v>WEEKDAY</v>
      </c>
      <c r="F2446" t="e">
        <f t="shared" si="111"/>
        <v>#N/A</v>
      </c>
      <c r="G2446" s="74">
        <v>32975</v>
      </c>
      <c r="H2446" s="77">
        <v>0.16666666666666666</v>
      </c>
      <c r="J2446">
        <v>41</v>
      </c>
      <c r="M2446" s="74">
        <v>33340</v>
      </c>
      <c r="N2446" s="77">
        <v>0.16666666666666666</v>
      </c>
      <c r="P2446">
        <v>37.04</v>
      </c>
      <c r="S2446" s="74">
        <v>33340</v>
      </c>
      <c r="T2446" s="77">
        <v>0.16666666666666666</v>
      </c>
      <c r="V2446">
        <v>39.92</v>
      </c>
      <c r="X2446" s="42"/>
      <c r="AB2446">
        <v>45.2</v>
      </c>
      <c r="AC2446">
        <v>39.019999999999996</v>
      </c>
      <c r="AE2446" s="74"/>
      <c r="AF2446" s="77"/>
      <c r="AH2446" s="497">
        <v>35.96</v>
      </c>
      <c r="AJ2446" s="42"/>
      <c r="AK2446" s="74"/>
      <c r="AL2446" s="77"/>
      <c r="AN2446" s="497">
        <v>42.08</v>
      </c>
      <c r="AP2446" s="42"/>
      <c r="AQ2446" s="74"/>
      <c r="AR2446" s="77"/>
      <c r="AT2446" s="497">
        <v>33.08</v>
      </c>
      <c r="AV2446" s="42"/>
      <c r="AW2446" s="74"/>
      <c r="AX2446" s="77"/>
      <c r="BA2446" s="497">
        <v>28.94</v>
      </c>
      <c r="BB2446" s="42"/>
      <c r="BC2446" s="74"/>
      <c r="BD2446" s="77"/>
      <c r="BF2446">
        <v>42.08</v>
      </c>
      <c r="BH2446" s="42"/>
      <c r="BI2446" s="74"/>
      <c r="BJ2446" s="77"/>
      <c r="BL2446" s="497">
        <v>53.96</v>
      </c>
      <c r="BN2446" s="42"/>
      <c r="BO2446" s="74"/>
      <c r="BP2446" s="77"/>
      <c r="BR2446" s="497">
        <v>19.04</v>
      </c>
      <c r="BT2446" s="42"/>
    </row>
    <row r="2447" spans="1:72" x14ac:dyDescent="0.25">
      <c r="A2447" s="90">
        <v>33340</v>
      </c>
      <c r="B2447" s="20">
        <v>0.20833333333333334</v>
      </c>
      <c r="D2447">
        <v>50</v>
      </c>
      <c r="E2447" t="str">
        <f t="shared" si="110"/>
        <v>WEEKDAY</v>
      </c>
      <c r="F2447" t="e">
        <f t="shared" si="111"/>
        <v>#N/A</v>
      </c>
      <c r="G2447" s="74">
        <v>32975</v>
      </c>
      <c r="H2447" s="77">
        <v>0.20833333333333334</v>
      </c>
      <c r="J2447">
        <v>41</v>
      </c>
      <c r="M2447" s="74">
        <v>33340</v>
      </c>
      <c r="N2447" s="77">
        <v>0.20833333333333334</v>
      </c>
      <c r="P2447">
        <v>35.96</v>
      </c>
      <c r="S2447" s="74">
        <v>33340</v>
      </c>
      <c r="T2447" s="77">
        <v>0.20833333333333334</v>
      </c>
      <c r="V2447">
        <v>39.92</v>
      </c>
      <c r="X2447" s="42"/>
      <c r="AB2447">
        <v>44.7</v>
      </c>
      <c r="AC2447">
        <v>37.94</v>
      </c>
      <c r="AE2447" s="74"/>
      <c r="AF2447" s="77"/>
      <c r="AH2447" s="497">
        <v>33.979999999999997</v>
      </c>
      <c r="AJ2447" s="42"/>
      <c r="AK2447" s="74"/>
      <c r="AL2447" s="77"/>
      <c r="AN2447" s="497">
        <v>41</v>
      </c>
      <c r="AP2447" s="42"/>
      <c r="AQ2447" s="74"/>
      <c r="AR2447" s="77"/>
      <c r="AT2447" s="497">
        <v>32</v>
      </c>
      <c r="AV2447" s="42"/>
      <c r="AW2447" s="74"/>
      <c r="AX2447" s="77"/>
      <c r="BA2447" s="497">
        <v>28.94</v>
      </c>
      <c r="BB2447" s="42"/>
      <c r="BC2447" s="74"/>
      <c r="BD2447" s="77"/>
      <c r="BF2447">
        <v>42.08</v>
      </c>
      <c r="BH2447" s="42"/>
      <c r="BI2447" s="74"/>
      <c r="BJ2447" s="77"/>
      <c r="BL2447" s="497">
        <v>53.06</v>
      </c>
      <c r="BN2447" s="42"/>
      <c r="BO2447" s="74"/>
      <c r="BP2447" s="77"/>
      <c r="BR2447" s="497">
        <v>19.04</v>
      </c>
      <c r="BT2447" s="42"/>
    </row>
    <row r="2448" spans="1:72" x14ac:dyDescent="0.25">
      <c r="A2448" s="90">
        <v>33340</v>
      </c>
      <c r="B2448" s="20">
        <v>0.25</v>
      </c>
      <c r="D2448">
        <v>50</v>
      </c>
      <c r="E2448" t="str">
        <f t="shared" si="110"/>
        <v>WEEKDAY</v>
      </c>
      <c r="F2448" t="e">
        <f t="shared" si="111"/>
        <v>#N/A</v>
      </c>
      <c r="G2448" s="74">
        <v>32975</v>
      </c>
      <c r="H2448" s="77">
        <v>0.25</v>
      </c>
      <c r="J2448">
        <v>39.92</v>
      </c>
      <c r="M2448" s="74">
        <v>33340</v>
      </c>
      <c r="N2448" s="77">
        <v>0.25</v>
      </c>
      <c r="P2448">
        <v>35.06</v>
      </c>
      <c r="S2448" s="74">
        <v>33340</v>
      </c>
      <c r="T2448" s="77">
        <v>0.25</v>
      </c>
      <c r="V2448">
        <v>39.019999999999996</v>
      </c>
      <c r="X2448" s="42"/>
      <c r="AB2448">
        <v>44.6</v>
      </c>
      <c r="AC2448">
        <v>37.94</v>
      </c>
      <c r="AE2448" s="74"/>
      <c r="AF2448" s="77"/>
      <c r="AH2448" s="497">
        <v>33.979999999999997</v>
      </c>
      <c r="AJ2448" s="42"/>
      <c r="AK2448" s="74"/>
      <c r="AL2448" s="77"/>
      <c r="AN2448" s="497">
        <v>42.08</v>
      </c>
      <c r="AP2448" s="42"/>
      <c r="AQ2448" s="74"/>
      <c r="AR2448" s="77"/>
      <c r="AT2448" s="497">
        <v>33.08</v>
      </c>
      <c r="AV2448" s="42"/>
      <c r="AW2448" s="74"/>
      <c r="AX2448" s="77"/>
      <c r="BA2448" s="497">
        <v>30.02</v>
      </c>
      <c r="BB2448" s="42"/>
      <c r="BC2448" s="74"/>
      <c r="BD2448" s="77"/>
      <c r="BF2448">
        <v>44.06</v>
      </c>
      <c r="BH2448" s="42"/>
      <c r="BI2448" s="74"/>
      <c r="BJ2448" s="77"/>
      <c r="BL2448" s="497">
        <v>51.980000000000004</v>
      </c>
      <c r="BN2448" s="42"/>
      <c r="BO2448" s="74"/>
      <c r="BP2448" s="77"/>
      <c r="BR2448" s="497">
        <v>19.04</v>
      </c>
      <c r="BT2448" s="42"/>
    </row>
    <row r="2449" spans="1:72" x14ac:dyDescent="0.25">
      <c r="A2449" s="90">
        <v>33340</v>
      </c>
      <c r="B2449" s="20">
        <v>0.29166666666666669</v>
      </c>
      <c r="D2449">
        <v>48.92</v>
      </c>
      <c r="E2449" t="str">
        <f t="shared" si="110"/>
        <v>WEEKDAY</v>
      </c>
      <c r="F2449" t="e">
        <f t="shared" si="111"/>
        <v>#N/A</v>
      </c>
      <c r="G2449" s="74">
        <v>32975</v>
      </c>
      <c r="H2449" s="77">
        <v>0.29166666666666669</v>
      </c>
      <c r="J2449">
        <v>39.92</v>
      </c>
      <c r="M2449" s="74">
        <v>33340</v>
      </c>
      <c r="N2449" s="77">
        <v>0.29166666666666669</v>
      </c>
      <c r="P2449">
        <v>37.04</v>
      </c>
      <c r="S2449" s="74">
        <v>33340</v>
      </c>
      <c r="T2449" s="77">
        <v>0.29166666666666669</v>
      </c>
      <c r="V2449">
        <v>39.92</v>
      </c>
      <c r="X2449" s="42"/>
      <c r="AB2449">
        <v>44.7</v>
      </c>
      <c r="AC2449">
        <v>39.019999999999996</v>
      </c>
      <c r="AE2449" s="74"/>
      <c r="AF2449" s="77"/>
      <c r="AH2449" s="497">
        <v>37.04</v>
      </c>
      <c r="AJ2449" s="42"/>
      <c r="AK2449" s="74"/>
      <c r="AL2449" s="77"/>
      <c r="AN2449" s="497">
        <v>44.06</v>
      </c>
      <c r="AP2449" s="42"/>
      <c r="AQ2449" s="74"/>
      <c r="AR2449" s="77"/>
      <c r="AT2449" s="497">
        <v>37.04</v>
      </c>
      <c r="AV2449" s="42"/>
      <c r="AW2449" s="74"/>
      <c r="AX2449" s="77"/>
      <c r="BA2449" s="497">
        <v>33.08</v>
      </c>
      <c r="BB2449" s="42"/>
      <c r="BC2449" s="74"/>
      <c r="BD2449" s="77"/>
      <c r="BF2449">
        <v>46.94</v>
      </c>
      <c r="BH2449" s="42"/>
      <c r="BI2449" s="74"/>
      <c r="BJ2449" s="77"/>
      <c r="BL2449" s="497">
        <v>53.06</v>
      </c>
      <c r="BN2449" s="42"/>
      <c r="BO2449" s="74"/>
      <c r="BP2449" s="77"/>
      <c r="BR2449" s="497">
        <v>28.04</v>
      </c>
      <c r="BT2449" s="42"/>
    </row>
    <row r="2450" spans="1:72" x14ac:dyDescent="0.25">
      <c r="A2450" s="90">
        <v>33340</v>
      </c>
      <c r="B2450" s="20">
        <v>0.33333333333333331</v>
      </c>
      <c r="D2450">
        <v>50</v>
      </c>
      <c r="E2450" t="str">
        <f t="shared" si="110"/>
        <v>WEEKDAY</v>
      </c>
      <c r="F2450" t="e">
        <f t="shared" si="111"/>
        <v>#N/A</v>
      </c>
      <c r="G2450" s="74">
        <v>32975</v>
      </c>
      <c r="H2450" s="77">
        <v>0.33333333333333331</v>
      </c>
      <c r="J2450">
        <v>39.92</v>
      </c>
      <c r="M2450" s="74">
        <v>33340</v>
      </c>
      <c r="N2450" s="77">
        <v>0.33333333333333331</v>
      </c>
      <c r="P2450">
        <v>39.019999999999996</v>
      </c>
      <c r="S2450" s="74">
        <v>33340</v>
      </c>
      <c r="T2450" s="77">
        <v>0.33333333333333331</v>
      </c>
      <c r="V2450">
        <v>42.08</v>
      </c>
      <c r="X2450" s="42"/>
      <c r="AB2450">
        <v>46.7</v>
      </c>
      <c r="AC2450">
        <v>39.92</v>
      </c>
      <c r="AE2450" s="74"/>
      <c r="AF2450" s="77"/>
      <c r="AH2450" s="497">
        <v>39.019999999999996</v>
      </c>
      <c r="AJ2450" s="42"/>
      <c r="AK2450" s="74"/>
      <c r="AL2450" s="77"/>
      <c r="AN2450" s="497">
        <v>46.04</v>
      </c>
      <c r="AP2450" s="42"/>
      <c r="AQ2450" s="74"/>
      <c r="AR2450" s="77"/>
      <c r="AT2450" s="497">
        <v>39.019999999999996</v>
      </c>
      <c r="AV2450" s="42"/>
      <c r="AW2450" s="74"/>
      <c r="AX2450" s="77"/>
      <c r="BA2450" s="497">
        <v>37.04</v>
      </c>
      <c r="BB2450" s="42"/>
      <c r="BC2450" s="74"/>
      <c r="BD2450" s="77"/>
      <c r="BF2450">
        <v>48.019999999999996</v>
      </c>
      <c r="BH2450" s="42"/>
      <c r="BI2450" s="74"/>
      <c r="BJ2450" s="77"/>
      <c r="BL2450" s="497">
        <v>55.94</v>
      </c>
      <c r="BN2450" s="42"/>
      <c r="BO2450" s="74"/>
      <c r="BP2450" s="77"/>
      <c r="BR2450" s="497">
        <v>33.08</v>
      </c>
      <c r="BT2450" s="42"/>
    </row>
    <row r="2451" spans="1:72" x14ac:dyDescent="0.25">
      <c r="A2451" s="90">
        <v>33340</v>
      </c>
      <c r="B2451" s="20">
        <v>0.375</v>
      </c>
      <c r="D2451">
        <v>50</v>
      </c>
      <c r="E2451" t="str">
        <f t="shared" ref="E2451:E2514" si="112">IF(COUNTIF($DI$18:$DI$22, WEEKDAY(A2451))=1, "WEEKDAY", IF(WEEKDAY(A2451) = 1, "SUNDAY", "SATURDAY"))</f>
        <v>WEEKDAY</v>
      </c>
      <c r="F2451" t="e">
        <f t="shared" si="111"/>
        <v>#N/A</v>
      </c>
      <c r="G2451" s="74">
        <v>32975</v>
      </c>
      <c r="H2451" s="77">
        <v>0.375</v>
      </c>
      <c r="J2451">
        <v>41</v>
      </c>
      <c r="M2451" s="74">
        <v>33340</v>
      </c>
      <c r="N2451" s="77">
        <v>0.375</v>
      </c>
      <c r="P2451">
        <v>41</v>
      </c>
      <c r="S2451" s="74">
        <v>33340</v>
      </c>
      <c r="T2451" s="77">
        <v>0.375</v>
      </c>
      <c r="V2451">
        <v>44.06</v>
      </c>
      <c r="X2451" s="42"/>
      <c r="AB2451">
        <v>48.6</v>
      </c>
      <c r="AC2451">
        <v>42.08</v>
      </c>
      <c r="AE2451" s="74"/>
      <c r="AF2451" s="77"/>
      <c r="AH2451" s="497">
        <v>41</v>
      </c>
      <c r="AJ2451" s="42"/>
      <c r="AK2451" s="74"/>
      <c r="AL2451" s="77"/>
      <c r="AN2451" s="497">
        <v>48.92</v>
      </c>
      <c r="AP2451" s="42"/>
      <c r="AQ2451" s="74"/>
      <c r="AR2451" s="77"/>
      <c r="AT2451" s="497">
        <v>42.08</v>
      </c>
      <c r="AV2451" s="42"/>
      <c r="AW2451" s="74"/>
      <c r="AX2451" s="77"/>
      <c r="BA2451" s="497">
        <v>42.08</v>
      </c>
      <c r="BB2451" s="42"/>
      <c r="BC2451" s="74"/>
      <c r="BD2451" s="77"/>
      <c r="BF2451">
        <v>50</v>
      </c>
      <c r="BH2451" s="42"/>
      <c r="BI2451" s="74"/>
      <c r="BJ2451" s="77"/>
      <c r="BL2451" s="497">
        <v>60.08</v>
      </c>
      <c r="BN2451" s="42"/>
      <c r="BO2451" s="74"/>
      <c r="BP2451" s="77"/>
      <c r="BR2451" s="497">
        <v>37.04</v>
      </c>
      <c r="BT2451" s="42"/>
    </row>
    <row r="2452" spans="1:72" x14ac:dyDescent="0.25">
      <c r="A2452" s="90">
        <v>33340</v>
      </c>
      <c r="B2452" s="20">
        <v>0.41666666666666669</v>
      </c>
      <c r="D2452">
        <v>51.08</v>
      </c>
      <c r="E2452" t="str">
        <f t="shared" si="112"/>
        <v>WEEKDAY</v>
      </c>
      <c r="F2452" t="e">
        <f t="shared" si="111"/>
        <v>#N/A</v>
      </c>
      <c r="G2452" s="74">
        <v>32975</v>
      </c>
      <c r="H2452" s="77">
        <v>0.41666666666666669</v>
      </c>
      <c r="J2452">
        <v>41</v>
      </c>
      <c r="M2452" s="74">
        <v>33340</v>
      </c>
      <c r="N2452" s="77">
        <v>0.41666666666666669</v>
      </c>
      <c r="P2452">
        <v>44.06</v>
      </c>
      <c r="S2452" s="74">
        <v>33340</v>
      </c>
      <c r="T2452" s="77">
        <v>0.41666666666666669</v>
      </c>
      <c r="V2452">
        <v>46.94</v>
      </c>
      <c r="X2452" s="42"/>
      <c r="AB2452">
        <v>50.6</v>
      </c>
      <c r="AC2452">
        <v>44.96</v>
      </c>
      <c r="AE2452" s="74"/>
      <c r="AF2452" s="77"/>
      <c r="AH2452" s="497">
        <v>44.06</v>
      </c>
      <c r="AJ2452" s="42"/>
      <c r="AK2452" s="74"/>
      <c r="AL2452" s="77"/>
      <c r="AN2452" s="497">
        <v>50</v>
      </c>
      <c r="AP2452" s="42"/>
      <c r="AQ2452" s="74"/>
      <c r="AR2452" s="77"/>
      <c r="AT2452" s="497">
        <v>44.96</v>
      </c>
      <c r="AV2452" s="42"/>
      <c r="AW2452" s="74"/>
      <c r="AX2452" s="77"/>
      <c r="BA2452" s="497">
        <v>44.06</v>
      </c>
      <c r="BB2452" s="42"/>
      <c r="BC2452" s="74"/>
      <c r="BD2452" s="77"/>
      <c r="BF2452">
        <v>51.08</v>
      </c>
      <c r="BH2452" s="42"/>
      <c r="BI2452" s="74"/>
      <c r="BJ2452" s="77"/>
      <c r="BL2452" s="497">
        <v>64.94</v>
      </c>
      <c r="BN2452" s="42"/>
      <c r="BO2452" s="74"/>
      <c r="BP2452" s="77"/>
      <c r="BR2452" s="497">
        <v>41</v>
      </c>
      <c r="BT2452" s="42"/>
    </row>
    <row r="2453" spans="1:72" x14ac:dyDescent="0.25">
      <c r="A2453" s="90">
        <v>33340</v>
      </c>
      <c r="B2453" s="20">
        <v>0.45833333333333331</v>
      </c>
      <c r="D2453">
        <v>48.92</v>
      </c>
      <c r="E2453" t="str">
        <f t="shared" si="112"/>
        <v>WEEKDAY</v>
      </c>
      <c r="F2453" t="e">
        <f t="shared" si="111"/>
        <v>#N/A</v>
      </c>
      <c r="G2453" s="74">
        <v>32975</v>
      </c>
      <c r="H2453" s="77">
        <v>0.45833333333333331</v>
      </c>
      <c r="J2453">
        <v>44.06</v>
      </c>
      <c r="M2453" s="74">
        <v>33340</v>
      </c>
      <c r="N2453" s="77">
        <v>0.45833333333333331</v>
      </c>
      <c r="P2453">
        <v>44.96</v>
      </c>
      <c r="S2453" s="74">
        <v>33340</v>
      </c>
      <c r="T2453" s="77">
        <v>0.45833333333333331</v>
      </c>
      <c r="V2453">
        <v>48.019999999999996</v>
      </c>
      <c r="X2453" s="42"/>
      <c r="AB2453">
        <v>52.3</v>
      </c>
      <c r="AC2453">
        <v>46.04</v>
      </c>
      <c r="AE2453" s="74"/>
      <c r="AF2453" s="77"/>
      <c r="AH2453" s="497">
        <v>44.96</v>
      </c>
      <c r="AJ2453" s="42"/>
      <c r="AK2453" s="74"/>
      <c r="AL2453" s="77"/>
      <c r="AN2453" s="497">
        <v>53.06</v>
      </c>
      <c r="AP2453" s="42"/>
      <c r="AQ2453" s="74"/>
      <c r="AR2453" s="77"/>
      <c r="AT2453" s="497">
        <v>48.019999999999996</v>
      </c>
      <c r="AV2453" s="42"/>
      <c r="AW2453" s="74"/>
      <c r="AX2453" s="77"/>
      <c r="BA2453" s="497">
        <v>46.94</v>
      </c>
      <c r="BB2453" s="42"/>
      <c r="BC2453" s="74"/>
      <c r="BD2453" s="77"/>
      <c r="BF2453">
        <v>53.06</v>
      </c>
      <c r="BH2453" s="42"/>
      <c r="BI2453" s="74"/>
      <c r="BJ2453" s="77"/>
      <c r="BL2453" s="497">
        <v>68</v>
      </c>
      <c r="BN2453" s="42"/>
      <c r="BO2453" s="74"/>
      <c r="BP2453" s="77"/>
      <c r="BR2453" s="497">
        <v>42.980000000000004</v>
      </c>
      <c r="BT2453" s="42"/>
    </row>
    <row r="2454" spans="1:72" x14ac:dyDescent="0.25">
      <c r="A2454" s="90">
        <v>33340</v>
      </c>
      <c r="B2454" s="20">
        <v>0.5</v>
      </c>
      <c r="D2454">
        <v>48.019999999999996</v>
      </c>
      <c r="E2454" t="str">
        <f t="shared" si="112"/>
        <v>WEEKDAY</v>
      </c>
      <c r="F2454" t="e">
        <f t="shared" si="111"/>
        <v>#N/A</v>
      </c>
      <c r="G2454" s="74">
        <v>32975</v>
      </c>
      <c r="H2454" s="77">
        <v>0.5</v>
      </c>
      <c r="J2454">
        <v>46.04</v>
      </c>
      <c r="M2454" s="74">
        <v>33340</v>
      </c>
      <c r="N2454" s="77">
        <v>0.5</v>
      </c>
      <c r="P2454">
        <v>48.92</v>
      </c>
      <c r="S2454" s="74">
        <v>33340</v>
      </c>
      <c r="T2454" s="77">
        <v>0.5</v>
      </c>
      <c r="V2454">
        <v>48.92</v>
      </c>
      <c r="X2454" s="42"/>
      <c r="AB2454">
        <v>53.7</v>
      </c>
      <c r="AC2454">
        <v>48.019999999999996</v>
      </c>
      <c r="AE2454" s="74"/>
      <c r="AF2454" s="77"/>
      <c r="AH2454" s="497">
        <v>46.94</v>
      </c>
      <c r="AJ2454" s="42"/>
      <c r="AK2454" s="74"/>
      <c r="AL2454" s="77"/>
      <c r="AN2454" s="497">
        <v>57.019999999999996</v>
      </c>
      <c r="AP2454" s="42"/>
      <c r="AQ2454" s="74"/>
      <c r="AR2454" s="77"/>
      <c r="AT2454" s="497">
        <v>51.08</v>
      </c>
      <c r="AV2454" s="42"/>
      <c r="AW2454" s="74"/>
      <c r="AX2454" s="77"/>
      <c r="BA2454" s="497">
        <v>48.019999999999996</v>
      </c>
      <c r="BB2454" s="42"/>
      <c r="BC2454" s="74"/>
      <c r="BD2454" s="77"/>
      <c r="BF2454">
        <v>51.980000000000004</v>
      </c>
      <c r="BH2454" s="42"/>
      <c r="BI2454" s="74"/>
      <c r="BJ2454" s="77"/>
      <c r="BL2454" s="497">
        <v>69.080000000000013</v>
      </c>
      <c r="BN2454" s="42"/>
      <c r="BO2454" s="74"/>
      <c r="BP2454" s="77"/>
      <c r="BR2454" s="497">
        <v>44.96</v>
      </c>
      <c r="BT2454" s="42"/>
    </row>
    <row r="2455" spans="1:72" x14ac:dyDescent="0.25">
      <c r="A2455" s="90">
        <v>33340</v>
      </c>
      <c r="B2455" s="20">
        <v>0.54166666666666663</v>
      </c>
      <c r="D2455">
        <v>46.04</v>
      </c>
      <c r="E2455" t="str">
        <f t="shared" si="112"/>
        <v>WEEKDAY</v>
      </c>
      <c r="F2455" t="e">
        <f t="shared" si="111"/>
        <v>#N/A</v>
      </c>
      <c r="G2455" s="74">
        <v>32975</v>
      </c>
      <c r="H2455" s="77">
        <v>0.54166666666666663</v>
      </c>
      <c r="J2455">
        <v>48.019999999999996</v>
      </c>
      <c r="M2455" s="74">
        <v>33340</v>
      </c>
      <c r="N2455" s="77">
        <v>0.54166666666666663</v>
      </c>
      <c r="P2455">
        <v>50</v>
      </c>
      <c r="S2455" s="74">
        <v>33340</v>
      </c>
      <c r="T2455" s="77">
        <v>0.54166666666666663</v>
      </c>
      <c r="V2455">
        <v>51.980000000000004</v>
      </c>
      <c r="X2455" s="42"/>
      <c r="AB2455">
        <v>54.7</v>
      </c>
      <c r="AC2455">
        <v>50</v>
      </c>
      <c r="AE2455" s="74"/>
      <c r="AF2455" s="77"/>
      <c r="AH2455" s="497">
        <v>48.92</v>
      </c>
      <c r="AJ2455" s="42"/>
      <c r="AK2455" s="74"/>
      <c r="AL2455" s="77"/>
      <c r="AN2455" s="497">
        <v>60.980000000000004</v>
      </c>
      <c r="AP2455" s="42"/>
      <c r="AQ2455" s="74"/>
      <c r="AR2455" s="77"/>
      <c r="AT2455" s="497">
        <v>50</v>
      </c>
      <c r="AV2455" s="42"/>
      <c r="AW2455" s="74"/>
      <c r="AX2455" s="77"/>
      <c r="BA2455" s="497">
        <v>50</v>
      </c>
      <c r="BB2455" s="42"/>
      <c r="BC2455" s="74"/>
      <c r="BD2455" s="77"/>
      <c r="BF2455">
        <v>53.06</v>
      </c>
      <c r="BH2455" s="42"/>
      <c r="BI2455" s="74"/>
      <c r="BJ2455" s="77"/>
      <c r="BL2455" s="497">
        <v>71.960000000000008</v>
      </c>
      <c r="BN2455" s="42"/>
      <c r="BO2455" s="74"/>
      <c r="BP2455" s="77"/>
      <c r="BR2455" s="497">
        <v>48.019999999999996</v>
      </c>
      <c r="BT2455" s="42"/>
    </row>
    <row r="2456" spans="1:72" x14ac:dyDescent="0.25">
      <c r="A2456" s="90">
        <v>33340</v>
      </c>
      <c r="B2456" s="20">
        <v>0.58333333333333337</v>
      </c>
      <c r="D2456">
        <v>44.96</v>
      </c>
      <c r="E2456" t="str">
        <f t="shared" si="112"/>
        <v>WEEKDAY</v>
      </c>
      <c r="F2456" t="e">
        <f t="shared" si="111"/>
        <v>#N/A</v>
      </c>
      <c r="G2456" s="74">
        <v>32975</v>
      </c>
      <c r="H2456" s="77">
        <v>0.58333333333333337</v>
      </c>
      <c r="J2456">
        <v>48.019999999999996</v>
      </c>
      <c r="M2456" s="74">
        <v>33340</v>
      </c>
      <c r="N2456" s="77">
        <v>0.58333333333333337</v>
      </c>
      <c r="P2456">
        <v>53.06</v>
      </c>
      <c r="S2456" s="74">
        <v>33340</v>
      </c>
      <c r="T2456" s="77">
        <v>0.58333333333333337</v>
      </c>
      <c r="V2456">
        <v>53.96</v>
      </c>
      <c r="X2456" s="42"/>
      <c r="AB2456">
        <v>55.3</v>
      </c>
      <c r="AC2456">
        <v>51.08</v>
      </c>
      <c r="AE2456" s="74"/>
      <c r="AF2456" s="77"/>
      <c r="AH2456" s="497">
        <v>48.92</v>
      </c>
      <c r="AJ2456" s="42"/>
      <c r="AK2456" s="74"/>
      <c r="AL2456" s="77"/>
      <c r="AN2456" s="497">
        <v>62.06</v>
      </c>
      <c r="AP2456" s="42"/>
      <c r="AQ2456" s="74"/>
      <c r="AR2456" s="77"/>
      <c r="AT2456" s="497">
        <v>51.980000000000004</v>
      </c>
      <c r="AV2456" s="42"/>
      <c r="AW2456" s="74"/>
      <c r="AX2456" s="77"/>
      <c r="BA2456" s="497">
        <v>51.08</v>
      </c>
      <c r="BB2456" s="42"/>
      <c r="BC2456" s="74"/>
      <c r="BD2456" s="77"/>
      <c r="BF2456">
        <v>53.06</v>
      </c>
      <c r="BH2456" s="42"/>
      <c r="BI2456" s="74"/>
      <c r="BJ2456" s="77"/>
      <c r="BL2456" s="497">
        <v>73.94</v>
      </c>
      <c r="BN2456" s="42"/>
      <c r="BO2456" s="74"/>
      <c r="BP2456" s="77"/>
      <c r="BR2456" s="497">
        <v>48.92</v>
      </c>
      <c r="BT2456" s="42"/>
    </row>
    <row r="2457" spans="1:72" x14ac:dyDescent="0.25">
      <c r="A2457" s="90">
        <v>33340</v>
      </c>
      <c r="B2457" s="20">
        <v>0.625</v>
      </c>
      <c r="D2457">
        <v>44.96</v>
      </c>
      <c r="E2457" t="str">
        <f t="shared" si="112"/>
        <v>WEEKDAY</v>
      </c>
      <c r="F2457" t="e">
        <f t="shared" si="111"/>
        <v>#N/A</v>
      </c>
      <c r="G2457" s="74">
        <v>32975</v>
      </c>
      <c r="H2457" s="77">
        <v>0.625</v>
      </c>
      <c r="J2457">
        <v>48.92</v>
      </c>
      <c r="M2457" s="74">
        <v>33340</v>
      </c>
      <c r="N2457" s="77">
        <v>0.625</v>
      </c>
      <c r="P2457">
        <v>53.96</v>
      </c>
      <c r="S2457" s="74">
        <v>33340</v>
      </c>
      <c r="T2457" s="77">
        <v>0.625</v>
      </c>
      <c r="V2457">
        <v>55.040000000000006</v>
      </c>
      <c r="X2457" s="42"/>
      <c r="AB2457">
        <v>55.5</v>
      </c>
      <c r="AC2457">
        <v>51.980000000000004</v>
      </c>
      <c r="AE2457" s="74"/>
      <c r="AF2457" s="77"/>
      <c r="AH2457" s="497">
        <v>50</v>
      </c>
      <c r="AJ2457" s="42"/>
      <c r="AK2457" s="74"/>
      <c r="AL2457" s="77"/>
      <c r="AN2457" s="497">
        <v>59</v>
      </c>
      <c r="AP2457" s="42"/>
      <c r="AQ2457" s="74"/>
      <c r="AR2457" s="77"/>
      <c r="AT2457" s="497">
        <v>50</v>
      </c>
      <c r="AV2457" s="42"/>
      <c r="AW2457" s="74"/>
      <c r="AX2457" s="77"/>
      <c r="BA2457" s="497">
        <v>51.980000000000004</v>
      </c>
      <c r="BB2457" s="42"/>
      <c r="BC2457" s="74"/>
      <c r="BD2457" s="77"/>
      <c r="BF2457">
        <v>50</v>
      </c>
      <c r="BH2457" s="42"/>
      <c r="BI2457" s="74"/>
      <c r="BJ2457" s="77"/>
      <c r="BL2457" s="497">
        <v>75.02</v>
      </c>
      <c r="BN2457" s="42"/>
      <c r="BO2457" s="74"/>
      <c r="BP2457" s="77"/>
      <c r="BR2457" s="497">
        <v>48.019999999999996</v>
      </c>
      <c r="BT2457" s="42"/>
    </row>
    <row r="2458" spans="1:72" x14ac:dyDescent="0.25">
      <c r="A2458" s="90">
        <v>33340</v>
      </c>
      <c r="B2458" s="20">
        <v>0.66666666666666663</v>
      </c>
      <c r="D2458">
        <v>46.04</v>
      </c>
      <c r="E2458" t="str">
        <f t="shared" si="112"/>
        <v>WEEKDAY</v>
      </c>
      <c r="F2458" t="e">
        <f t="shared" si="111"/>
        <v>#N/A</v>
      </c>
      <c r="G2458" s="74">
        <v>32975</v>
      </c>
      <c r="H2458" s="77">
        <v>0.66666666666666663</v>
      </c>
      <c r="J2458">
        <v>46.94</v>
      </c>
      <c r="M2458" s="74">
        <v>33340</v>
      </c>
      <c r="N2458" s="77">
        <v>0.66666666666666663</v>
      </c>
      <c r="P2458">
        <v>53.06</v>
      </c>
      <c r="S2458" s="74">
        <v>33340</v>
      </c>
      <c r="T2458" s="77">
        <v>0.66666666666666663</v>
      </c>
      <c r="V2458">
        <v>55.040000000000006</v>
      </c>
      <c r="X2458" s="42"/>
      <c r="AB2458">
        <v>55.5</v>
      </c>
      <c r="AC2458">
        <v>53.06</v>
      </c>
      <c r="AE2458" s="74"/>
      <c r="AF2458" s="77"/>
      <c r="AH2458" s="497">
        <v>51.08</v>
      </c>
      <c r="AJ2458" s="42"/>
      <c r="AK2458" s="74"/>
      <c r="AL2458" s="77"/>
      <c r="AN2458" s="497">
        <v>59</v>
      </c>
      <c r="AP2458" s="42"/>
      <c r="AQ2458" s="74"/>
      <c r="AR2458" s="77"/>
      <c r="AT2458" s="497">
        <v>48.019999999999996</v>
      </c>
      <c r="AV2458" s="42"/>
      <c r="AW2458" s="74"/>
      <c r="AX2458" s="77"/>
      <c r="BA2458" s="497">
        <v>53.06</v>
      </c>
      <c r="BB2458" s="42"/>
      <c r="BC2458" s="74"/>
      <c r="BD2458" s="77"/>
      <c r="BF2458">
        <v>50</v>
      </c>
      <c r="BH2458" s="42"/>
      <c r="BI2458" s="74"/>
      <c r="BJ2458" s="77"/>
      <c r="BL2458" s="497">
        <v>71.960000000000008</v>
      </c>
      <c r="BN2458" s="42"/>
      <c r="BO2458" s="74"/>
      <c r="BP2458" s="77"/>
      <c r="BR2458" s="497">
        <v>51.980000000000004</v>
      </c>
      <c r="BT2458" s="42"/>
    </row>
    <row r="2459" spans="1:72" x14ac:dyDescent="0.25">
      <c r="A2459" s="90">
        <v>33340</v>
      </c>
      <c r="B2459" s="20">
        <v>0.70833333333333337</v>
      </c>
      <c r="D2459">
        <v>46.04</v>
      </c>
      <c r="E2459" t="str">
        <f t="shared" si="112"/>
        <v>WEEKDAY</v>
      </c>
      <c r="F2459" t="e">
        <f t="shared" si="111"/>
        <v>#N/A</v>
      </c>
      <c r="G2459" s="74">
        <v>32975</v>
      </c>
      <c r="H2459" s="77">
        <v>0.70833333333333337</v>
      </c>
      <c r="J2459">
        <v>46.04</v>
      </c>
      <c r="M2459" s="74">
        <v>33340</v>
      </c>
      <c r="N2459" s="77">
        <v>0.70833333333333337</v>
      </c>
      <c r="P2459">
        <v>53.06</v>
      </c>
      <c r="S2459" s="74">
        <v>33340</v>
      </c>
      <c r="T2459" s="77">
        <v>0.70833333333333337</v>
      </c>
      <c r="V2459">
        <v>53.96</v>
      </c>
      <c r="X2459" s="42"/>
      <c r="AB2459">
        <v>54.7</v>
      </c>
      <c r="AC2459">
        <v>51.980000000000004</v>
      </c>
      <c r="AE2459" s="74"/>
      <c r="AF2459" s="77"/>
      <c r="AH2459" s="497">
        <v>50</v>
      </c>
      <c r="AJ2459" s="42"/>
      <c r="AK2459" s="74"/>
      <c r="AL2459" s="77"/>
      <c r="AN2459" s="497">
        <v>59</v>
      </c>
      <c r="AP2459" s="42"/>
      <c r="AQ2459" s="74"/>
      <c r="AR2459" s="77"/>
      <c r="AT2459" s="497">
        <v>44.96</v>
      </c>
      <c r="AV2459" s="42"/>
      <c r="AW2459" s="74"/>
      <c r="AX2459" s="77"/>
      <c r="BA2459" s="497">
        <v>51.980000000000004</v>
      </c>
      <c r="BB2459" s="42"/>
      <c r="BC2459" s="74"/>
      <c r="BD2459" s="77"/>
      <c r="BF2459">
        <v>48.92</v>
      </c>
      <c r="BH2459" s="42"/>
      <c r="BI2459" s="74"/>
      <c r="BJ2459" s="77"/>
      <c r="BL2459" s="497">
        <v>71.960000000000008</v>
      </c>
      <c r="BN2459" s="42"/>
      <c r="BO2459" s="74"/>
      <c r="BP2459" s="77"/>
      <c r="BR2459" s="497">
        <v>51.980000000000004</v>
      </c>
      <c r="BT2459" s="42"/>
    </row>
    <row r="2460" spans="1:72" x14ac:dyDescent="0.25">
      <c r="A2460" s="90">
        <v>33340</v>
      </c>
      <c r="B2460" s="20">
        <v>0.75</v>
      </c>
      <c r="D2460">
        <v>44.96</v>
      </c>
      <c r="E2460" t="str">
        <f t="shared" si="112"/>
        <v>WEEKDAY</v>
      </c>
      <c r="F2460" t="e">
        <f t="shared" si="111"/>
        <v>#N/A</v>
      </c>
      <c r="G2460" s="74">
        <v>32975</v>
      </c>
      <c r="H2460" s="77">
        <v>0.75</v>
      </c>
      <c r="J2460">
        <v>46.04</v>
      </c>
      <c r="M2460" s="74">
        <v>33340</v>
      </c>
      <c r="N2460" s="77">
        <v>0.75</v>
      </c>
      <c r="P2460">
        <v>50</v>
      </c>
      <c r="S2460" s="74">
        <v>33340</v>
      </c>
      <c r="T2460" s="77">
        <v>0.75</v>
      </c>
      <c r="V2460">
        <v>53.06</v>
      </c>
      <c r="X2460" s="42"/>
      <c r="AB2460">
        <v>53.4</v>
      </c>
      <c r="AC2460">
        <v>51.08</v>
      </c>
      <c r="AE2460" s="74"/>
      <c r="AF2460" s="77"/>
      <c r="AH2460" s="497">
        <v>48.92</v>
      </c>
      <c r="AJ2460" s="42"/>
      <c r="AK2460" s="74"/>
      <c r="AL2460" s="77"/>
      <c r="AN2460" s="497">
        <v>53.96</v>
      </c>
      <c r="AP2460" s="42"/>
      <c r="AQ2460" s="74"/>
      <c r="AR2460" s="77"/>
      <c r="AT2460" s="497">
        <v>44.96</v>
      </c>
      <c r="AV2460" s="42"/>
      <c r="AW2460" s="74"/>
      <c r="AX2460" s="77"/>
      <c r="BA2460" s="497">
        <v>48.92</v>
      </c>
      <c r="BB2460" s="42"/>
      <c r="BC2460" s="74"/>
      <c r="BD2460" s="77"/>
      <c r="BF2460">
        <v>44.96</v>
      </c>
      <c r="BH2460" s="42"/>
      <c r="BI2460" s="74"/>
      <c r="BJ2460" s="77"/>
      <c r="BL2460" s="497">
        <v>64.039999999999992</v>
      </c>
      <c r="BN2460" s="42"/>
      <c r="BO2460" s="74"/>
      <c r="BP2460" s="77"/>
      <c r="BR2460" s="497">
        <v>46.94</v>
      </c>
      <c r="BT2460" s="42"/>
    </row>
    <row r="2461" spans="1:72" x14ac:dyDescent="0.25">
      <c r="A2461" s="90">
        <v>33340</v>
      </c>
      <c r="B2461" s="20">
        <v>0.79166666666666663</v>
      </c>
      <c r="D2461">
        <v>44.06</v>
      </c>
      <c r="E2461" t="str">
        <f t="shared" si="112"/>
        <v>WEEKDAY</v>
      </c>
      <c r="F2461" t="e">
        <f t="shared" si="111"/>
        <v>#N/A</v>
      </c>
      <c r="G2461" s="74">
        <v>32975</v>
      </c>
      <c r="H2461" s="77">
        <v>0.79166666666666663</v>
      </c>
      <c r="J2461">
        <v>44.96</v>
      </c>
      <c r="M2461" s="74">
        <v>33340</v>
      </c>
      <c r="N2461" s="77">
        <v>0.79166666666666663</v>
      </c>
      <c r="P2461">
        <v>48.019999999999996</v>
      </c>
      <c r="S2461" s="74">
        <v>33340</v>
      </c>
      <c r="T2461" s="77">
        <v>0.79166666666666663</v>
      </c>
      <c r="V2461">
        <v>50</v>
      </c>
      <c r="X2461" s="42"/>
      <c r="AB2461">
        <v>51.9</v>
      </c>
      <c r="AC2461">
        <v>46.94</v>
      </c>
      <c r="AE2461" s="74"/>
      <c r="AF2461" s="77"/>
      <c r="AH2461" s="497">
        <v>46.94</v>
      </c>
      <c r="AJ2461" s="42"/>
      <c r="AK2461" s="74"/>
      <c r="AL2461" s="77"/>
      <c r="AN2461" s="497">
        <v>53.06</v>
      </c>
      <c r="AP2461" s="42"/>
      <c r="AQ2461" s="74"/>
      <c r="AR2461" s="77"/>
      <c r="AT2461" s="497">
        <v>44.06</v>
      </c>
      <c r="AV2461" s="42"/>
      <c r="AW2461" s="74"/>
      <c r="AX2461" s="77"/>
      <c r="BA2461" s="497">
        <v>44.06</v>
      </c>
      <c r="BB2461" s="42"/>
      <c r="BC2461" s="74"/>
      <c r="BD2461" s="77"/>
      <c r="BF2461">
        <v>39.92</v>
      </c>
      <c r="BH2461" s="42"/>
      <c r="BI2461" s="74"/>
      <c r="BJ2461" s="77"/>
      <c r="BL2461" s="497">
        <v>64.039999999999992</v>
      </c>
      <c r="BN2461" s="42"/>
      <c r="BO2461" s="74"/>
      <c r="BP2461" s="77"/>
      <c r="BR2461" s="497">
        <v>44.06</v>
      </c>
      <c r="BT2461" s="42"/>
    </row>
    <row r="2462" spans="1:72" x14ac:dyDescent="0.25">
      <c r="A2462" s="90">
        <v>33340</v>
      </c>
      <c r="B2462" s="20">
        <v>0.83333333333333337</v>
      </c>
      <c r="D2462">
        <v>44.06</v>
      </c>
      <c r="E2462" t="str">
        <f t="shared" si="112"/>
        <v>WEEKDAY</v>
      </c>
      <c r="F2462" t="e">
        <f t="shared" si="111"/>
        <v>#N/A</v>
      </c>
      <c r="G2462" s="74">
        <v>32975</v>
      </c>
      <c r="H2462" s="77">
        <v>0.83333333333333337</v>
      </c>
      <c r="J2462">
        <v>44.06</v>
      </c>
      <c r="M2462" s="74">
        <v>33340</v>
      </c>
      <c r="N2462" s="77">
        <v>0.83333333333333337</v>
      </c>
      <c r="P2462">
        <v>44.06</v>
      </c>
      <c r="S2462" s="74">
        <v>33340</v>
      </c>
      <c r="T2462" s="77">
        <v>0.83333333333333337</v>
      </c>
      <c r="V2462">
        <v>48.92</v>
      </c>
      <c r="X2462" s="42"/>
      <c r="AB2462">
        <v>50.6</v>
      </c>
      <c r="AC2462">
        <v>44.96</v>
      </c>
      <c r="AE2462" s="74"/>
      <c r="AF2462" s="77"/>
      <c r="AH2462" s="497">
        <v>39.019999999999996</v>
      </c>
      <c r="AJ2462" s="42"/>
      <c r="AK2462" s="74"/>
      <c r="AL2462" s="77"/>
      <c r="AN2462" s="497">
        <v>53.06</v>
      </c>
      <c r="AP2462" s="42"/>
      <c r="AQ2462" s="74"/>
      <c r="AR2462" s="77"/>
      <c r="AT2462" s="497">
        <v>44.06</v>
      </c>
      <c r="AV2462" s="42"/>
      <c r="AW2462" s="74"/>
      <c r="AX2462" s="77"/>
      <c r="BA2462" s="497">
        <v>39.92</v>
      </c>
      <c r="BB2462" s="42"/>
      <c r="BC2462" s="74"/>
      <c r="BD2462" s="77"/>
      <c r="BF2462">
        <v>39.92</v>
      </c>
      <c r="BH2462" s="42"/>
      <c r="BI2462" s="74"/>
      <c r="BJ2462" s="77"/>
      <c r="BL2462" s="497">
        <v>62.06</v>
      </c>
      <c r="BN2462" s="42"/>
      <c r="BO2462" s="74"/>
      <c r="BP2462" s="77"/>
      <c r="BR2462" s="497">
        <v>42.08</v>
      </c>
      <c r="BT2462" s="42"/>
    </row>
    <row r="2463" spans="1:72" x14ac:dyDescent="0.25">
      <c r="A2463" s="90">
        <v>33340</v>
      </c>
      <c r="B2463" s="20">
        <v>0.875</v>
      </c>
      <c r="D2463">
        <v>44.06</v>
      </c>
      <c r="E2463" t="str">
        <f t="shared" si="112"/>
        <v>WEEKDAY</v>
      </c>
      <c r="F2463" t="e">
        <f t="shared" si="111"/>
        <v>#N/A</v>
      </c>
      <c r="G2463" s="74">
        <v>32975</v>
      </c>
      <c r="H2463" s="77">
        <v>0.875</v>
      </c>
      <c r="J2463">
        <v>42.980000000000004</v>
      </c>
      <c r="M2463" s="74">
        <v>33340</v>
      </c>
      <c r="N2463" s="77">
        <v>0.875</v>
      </c>
      <c r="P2463">
        <v>42.980000000000004</v>
      </c>
      <c r="S2463" s="74">
        <v>33340</v>
      </c>
      <c r="T2463" s="77">
        <v>0.875</v>
      </c>
      <c r="V2463">
        <v>46.04</v>
      </c>
      <c r="X2463" s="42"/>
      <c r="AB2463">
        <v>49.8</v>
      </c>
      <c r="AC2463">
        <v>42.980000000000004</v>
      </c>
      <c r="AE2463" s="74"/>
      <c r="AF2463" s="77"/>
      <c r="AH2463" s="497">
        <v>37.04</v>
      </c>
      <c r="AJ2463" s="42"/>
      <c r="AK2463" s="74"/>
      <c r="AL2463" s="77"/>
      <c r="AN2463" s="497">
        <v>51.980000000000004</v>
      </c>
      <c r="AP2463" s="42"/>
      <c r="AQ2463" s="74"/>
      <c r="AR2463" s="77"/>
      <c r="AT2463" s="497">
        <v>44.06</v>
      </c>
      <c r="AV2463" s="42"/>
      <c r="AW2463" s="74"/>
      <c r="AX2463" s="77"/>
      <c r="BA2463" s="497">
        <v>42.08</v>
      </c>
      <c r="BB2463" s="42"/>
      <c r="BC2463" s="74"/>
      <c r="BD2463" s="77"/>
      <c r="BF2463">
        <v>39.92</v>
      </c>
      <c r="BH2463" s="42"/>
      <c r="BI2463" s="74"/>
      <c r="BJ2463" s="77"/>
      <c r="BL2463" s="497">
        <v>66.02</v>
      </c>
      <c r="BN2463" s="42"/>
      <c r="BO2463" s="74"/>
      <c r="BP2463" s="77"/>
      <c r="BR2463" s="497">
        <v>39.92</v>
      </c>
      <c r="BT2463" s="42"/>
    </row>
    <row r="2464" spans="1:72" x14ac:dyDescent="0.25">
      <c r="A2464" s="90">
        <v>33340</v>
      </c>
      <c r="B2464" s="20">
        <v>0.91666666666666663</v>
      </c>
      <c r="D2464">
        <v>44.06</v>
      </c>
      <c r="E2464" t="str">
        <f t="shared" si="112"/>
        <v>WEEKDAY</v>
      </c>
      <c r="F2464" t="e">
        <f t="shared" si="111"/>
        <v>#N/A</v>
      </c>
      <c r="G2464" s="74">
        <v>32975</v>
      </c>
      <c r="H2464" s="77">
        <v>0.91666666666666663</v>
      </c>
      <c r="J2464">
        <v>42.08</v>
      </c>
      <c r="M2464" s="74">
        <v>33340</v>
      </c>
      <c r="N2464" s="77">
        <v>0.91666666666666663</v>
      </c>
      <c r="P2464">
        <v>39.019999999999996</v>
      </c>
      <c r="S2464" s="74">
        <v>33340</v>
      </c>
      <c r="T2464" s="77">
        <v>0.91666666666666663</v>
      </c>
      <c r="V2464">
        <v>44.96</v>
      </c>
      <c r="X2464" s="42"/>
      <c r="AB2464">
        <v>49.2</v>
      </c>
      <c r="AC2464">
        <v>41</v>
      </c>
      <c r="AE2464" s="74"/>
      <c r="AF2464" s="77"/>
      <c r="AH2464" s="497">
        <v>33.979999999999997</v>
      </c>
      <c r="AJ2464" s="42"/>
      <c r="AK2464" s="74"/>
      <c r="AL2464" s="77"/>
      <c r="AN2464" s="497">
        <v>51.980000000000004</v>
      </c>
      <c r="AP2464" s="42"/>
      <c r="AQ2464" s="74"/>
      <c r="AR2464" s="77"/>
      <c r="AT2464" s="497">
        <v>42.980000000000004</v>
      </c>
      <c r="AV2464" s="42"/>
      <c r="AW2464" s="74"/>
      <c r="AX2464" s="77"/>
      <c r="BA2464" s="497">
        <v>41</v>
      </c>
      <c r="BB2464" s="42"/>
      <c r="BC2464" s="74"/>
      <c r="BD2464" s="77"/>
      <c r="BF2464">
        <v>39.019999999999996</v>
      </c>
      <c r="BH2464" s="42"/>
      <c r="BI2464" s="74"/>
      <c r="BJ2464" s="77"/>
      <c r="BL2464" s="497">
        <v>64.94</v>
      </c>
      <c r="BN2464" s="42"/>
      <c r="BO2464" s="74"/>
      <c r="BP2464" s="77"/>
      <c r="BR2464" s="497">
        <v>39.019999999999996</v>
      </c>
      <c r="BT2464" s="42"/>
    </row>
    <row r="2465" spans="1:72" x14ac:dyDescent="0.25">
      <c r="A2465" s="90">
        <v>33340</v>
      </c>
      <c r="B2465" s="20">
        <v>0.95833333333333337</v>
      </c>
      <c r="D2465">
        <v>44.06</v>
      </c>
      <c r="E2465" t="str">
        <f t="shared" si="112"/>
        <v>WEEKDAY</v>
      </c>
      <c r="F2465" t="e">
        <f t="shared" si="111"/>
        <v>#N/A</v>
      </c>
      <c r="G2465" s="74">
        <v>32975</v>
      </c>
      <c r="H2465" s="77">
        <v>0.95833333333333337</v>
      </c>
      <c r="J2465">
        <v>41</v>
      </c>
      <c r="M2465" s="74">
        <v>33340</v>
      </c>
      <c r="N2465" s="77">
        <v>0.95833333333333337</v>
      </c>
      <c r="P2465">
        <v>37.04</v>
      </c>
      <c r="S2465" s="74">
        <v>33340</v>
      </c>
      <c r="T2465" s="77">
        <v>0.95833333333333337</v>
      </c>
      <c r="V2465">
        <v>44.96</v>
      </c>
      <c r="X2465" s="42"/>
      <c r="AB2465">
        <v>48.5</v>
      </c>
      <c r="AC2465">
        <v>35.96</v>
      </c>
      <c r="AE2465" s="74"/>
      <c r="AF2465" s="77"/>
      <c r="AH2465" s="497">
        <v>31.1</v>
      </c>
      <c r="AJ2465" s="42"/>
      <c r="AK2465" s="74"/>
      <c r="AL2465" s="77"/>
      <c r="AN2465" s="497">
        <v>51.980000000000004</v>
      </c>
      <c r="AP2465" s="42"/>
      <c r="AQ2465" s="74"/>
      <c r="AR2465" s="77"/>
      <c r="AT2465" s="497">
        <v>42.980000000000004</v>
      </c>
      <c r="AV2465" s="42"/>
      <c r="AW2465" s="74"/>
      <c r="AX2465" s="77"/>
      <c r="BA2465" s="497">
        <v>39.019999999999996</v>
      </c>
      <c r="BB2465" s="42"/>
      <c r="BC2465" s="74"/>
      <c r="BD2465" s="77"/>
      <c r="BF2465">
        <v>37.94</v>
      </c>
      <c r="BH2465" s="42"/>
      <c r="BI2465" s="74"/>
      <c r="BJ2465" s="77"/>
      <c r="BL2465" s="497">
        <v>64.039999999999992</v>
      </c>
      <c r="BN2465" s="42"/>
      <c r="BO2465" s="74"/>
      <c r="BP2465" s="77"/>
      <c r="BR2465" s="497">
        <v>37.94</v>
      </c>
      <c r="BT2465" s="42"/>
    </row>
    <row r="2466" spans="1:72" x14ac:dyDescent="0.25">
      <c r="A2466" s="90">
        <v>33340</v>
      </c>
      <c r="B2466" s="20">
        <v>1</v>
      </c>
      <c r="D2466">
        <v>44.06</v>
      </c>
      <c r="E2466" t="str">
        <f t="shared" si="112"/>
        <v>WEEKDAY</v>
      </c>
      <c r="F2466" t="e">
        <f t="shared" si="111"/>
        <v>#N/A</v>
      </c>
      <c r="G2466" s="74">
        <v>32975</v>
      </c>
      <c r="H2466" s="77">
        <v>1</v>
      </c>
      <c r="J2466">
        <v>39.019999999999996</v>
      </c>
      <c r="M2466" s="74">
        <v>33340</v>
      </c>
      <c r="N2466" s="80">
        <v>1</v>
      </c>
      <c r="P2466">
        <v>42.980000000000004</v>
      </c>
      <c r="S2466" s="74">
        <v>33340</v>
      </c>
      <c r="T2466" s="80">
        <v>1</v>
      </c>
      <c r="V2466">
        <v>44.06</v>
      </c>
      <c r="X2466" s="42"/>
      <c r="AB2466">
        <v>48</v>
      </c>
      <c r="AC2466">
        <v>35.96</v>
      </c>
      <c r="AE2466" s="74"/>
      <c r="AF2466" s="80"/>
      <c r="AH2466" s="497">
        <v>31.1</v>
      </c>
      <c r="AJ2466" s="42"/>
      <c r="AK2466" s="74"/>
      <c r="AL2466" s="80"/>
      <c r="AN2466" s="497">
        <v>48.019999999999996</v>
      </c>
      <c r="AP2466" s="42"/>
      <c r="AQ2466" s="74"/>
      <c r="AR2466" s="80"/>
      <c r="AT2466" s="497">
        <v>42.980000000000004</v>
      </c>
      <c r="AV2466" s="42"/>
      <c r="AW2466" s="74"/>
      <c r="AX2466" s="80"/>
      <c r="BA2466" s="497">
        <v>37.04</v>
      </c>
      <c r="BB2466" s="42"/>
      <c r="BC2466" s="74"/>
      <c r="BD2466" s="80"/>
      <c r="BF2466">
        <v>39.019999999999996</v>
      </c>
      <c r="BH2466" s="42"/>
      <c r="BI2466" s="74"/>
      <c r="BJ2466" s="80"/>
      <c r="BL2466" s="497">
        <v>59</v>
      </c>
      <c r="BN2466" s="42"/>
      <c r="BO2466" s="74"/>
      <c r="BP2466" s="80"/>
      <c r="BR2466" s="497">
        <v>37.94</v>
      </c>
      <c r="BT2466" s="42"/>
    </row>
    <row r="2467" spans="1:72" x14ac:dyDescent="0.25">
      <c r="A2467" s="90">
        <v>33341</v>
      </c>
      <c r="B2467" s="20">
        <v>4.1666666666666664E-2</v>
      </c>
      <c r="D2467">
        <v>44.06</v>
      </c>
      <c r="E2467" t="str">
        <f t="shared" si="112"/>
        <v>SATURDAY</v>
      </c>
      <c r="F2467" t="e">
        <f t="shared" si="111"/>
        <v>#N/A</v>
      </c>
      <c r="G2467" s="74">
        <v>32976</v>
      </c>
      <c r="H2467" s="77">
        <v>4.1666666666666664E-2</v>
      </c>
      <c r="J2467">
        <v>37.94</v>
      </c>
      <c r="M2467" s="74">
        <v>33341</v>
      </c>
      <c r="N2467" s="77">
        <v>4.1666666666666664E-2</v>
      </c>
      <c r="P2467">
        <v>44.06</v>
      </c>
      <c r="S2467" s="74">
        <v>33341</v>
      </c>
      <c r="T2467" s="77">
        <v>4.1666666666666664E-2</v>
      </c>
      <c r="V2467">
        <v>42.980000000000004</v>
      </c>
      <c r="X2467" s="42"/>
      <c r="AB2467">
        <v>47.3</v>
      </c>
      <c r="AC2467">
        <v>39.019999999999996</v>
      </c>
      <c r="AE2467" s="74"/>
      <c r="AF2467" s="77"/>
      <c r="AH2467" s="497">
        <v>31.1</v>
      </c>
      <c r="AJ2467" s="42"/>
      <c r="AK2467" s="74"/>
      <c r="AL2467" s="77"/>
      <c r="AN2467" s="497">
        <v>44.06</v>
      </c>
      <c r="AP2467" s="42"/>
      <c r="AQ2467" s="74"/>
      <c r="AR2467" s="77"/>
      <c r="AT2467" s="497">
        <v>42.980000000000004</v>
      </c>
      <c r="AV2467" s="42"/>
      <c r="AW2467" s="74"/>
      <c r="AX2467" s="77"/>
      <c r="BA2467" s="497">
        <v>37.94</v>
      </c>
      <c r="BB2467" s="42"/>
      <c r="BC2467" s="74"/>
      <c r="BD2467" s="77"/>
      <c r="BF2467">
        <v>39.019999999999996</v>
      </c>
      <c r="BH2467" s="42"/>
      <c r="BI2467" s="74"/>
      <c r="BJ2467" s="77"/>
      <c r="BL2467" s="497">
        <v>59</v>
      </c>
      <c r="BN2467" s="42"/>
      <c r="BO2467" s="74"/>
      <c r="BP2467" s="77"/>
      <c r="BR2467" s="497">
        <v>35.06</v>
      </c>
      <c r="BT2467" s="42"/>
    </row>
    <row r="2468" spans="1:72" x14ac:dyDescent="0.25">
      <c r="A2468" s="90">
        <v>33341</v>
      </c>
      <c r="B2468" s="20">
        <v>8.3333333333333329E-2</v>
      </c>
      <c r="D2468">
        <v>42.980000000000004</v>
      </c>
      <c r="E2468" t="str">
        <f t="shared" si="112"/>
        <v>SATURDAY</v>
      </c>
      <c r="F2468" t="e">
        <f t="shared" si="111"/>
        <v>#N/A</v>
      </c>
      <c r="G2468" s="74">
        <v>32976</v>
      </c>
      <c r="H2468" s="77">
        <v>8.3333333333333329E-2</v>
      </c>
      <c r="J2468">
        <v>37.04</v>
      </c>
      <c r="M2468" s="74">
        <v>33341</v>
      </c>
      <c r="N2468" s="77">
        <v>8.3333333333333329E-2</v>
      </c>
      <c r="P2468">
        <v>42.08</v>
      </c>
      <c r="S2468" s="74">
        <v>33341</v>
      </c>
      <c r="T2468" s="77">
        <v>8.3333333333333329E-2</v>
      </c>
      <c r="V2468">
        <v>44.06</v>
      </c>
      <c r="X2468" s="42"/>
      <c r="AB2468">
        <v>46.7</v>
      </c>
      <c r="AC2468">
        <v>42.980000000000004</v>
      </c>
      <c r="AE2468" s="74"/>
      <c r="AF2468" s="77"/>
      <c r="AH2468" s="497">
        <v>31.1</v>
      </c>
      <c r="AJ2468" s="42"/>
      <c r="AK2468" s="74"/>
      <c r="AL2468" s="77"/>
      <c r="AN2468" s="497">
        <v>39.92</v>
      </c>
      <c r="AP2468" s="42"/>
      <c r="AQ2468" s="74"/>
      <c r="AR2468" s="77"/>
      <c r="AT2468" s="497">
        <v>42.980000000000004</v>
      </c>
      <c r="AV2468" s="42"/>
      <c r="AW2468" s="74"/>
      <c r="AX2468" s="77"/>
      <c r="BA2468" s="497">
        <v>39.019999999999996</v>
      </c>
      <c r="BB2468" s="42"/>
      <c r="BC2468" s="74"/>
      <c r="BD2468" s="77"/>
      <c r="BF2468">
        <v>39.019999999999996</v>
      </c>
      <c r="BH2468" s="42"/>
      <c r="BI2468" s="74"/>
      <c r="BJ2468" s="77"/>
      <c r="BL2468" s="497">
        <v>59</v>
      </c>
      <c r="BN2468" s="42"/>
      <c r="BO2468" s="74"/>
      <c r="BP2468" s="77"/>
      <c r="BR2468" s="497">
        <v>35.06</v>
      </c>
      <c r="BT2468" s="42"/>
    </row>
    <row r="2469" spans="1:72" x14ac:dyDescent="0.25">
      <c r="A2469" s="90">
        <v>33341</v>
      </c>
      <c r="B2469" s="20">
        <v>0.125</v>
      </c>
      <c r="D2469">
        <v>42.980000000000004</v>
      </c>
      <c r="E2469" t="str">
        <f t="shared" si="112"/>
        <v>SATURDAY</v>
      </c>
      <c r="F2469" t="e">
        <f t="shared" si="111"/>
        <v>#N/A</v>
      </c>
      <c r="G2469" s="74">
        <v>32976</v>
      </c>
      <c r="H2469" s="77">
        <v>0.125</v>
      </c>
      <c r="J2469">
        <v>35.96</v>
      </c>
      <c r="M2469" s="74">
        <v>33341</v>
      </c>
      <c r="N2469" s="77">
        <v>0.125</v>
      </c>
      <c r="P2469">
        <v>41</v>
      </c>
      <c r="S2469" s="74">
        <v>33341</v>
      </c>
      <c r="T2469" s="77">
        <v>0.125</v>
      </c>
      <c r="V2469">
        <v>42.980000000000004</v>
      </c>
      <c r="X2469" s="42"/>
      <c r="AB2469">
        <v>46.3</v>
      </c>
      <c r="AC2469">
        <v>42.980000000000004</v>
      </c>
      <c r="AE2469" s="74"/>
      <c r="AF2469" s="77"/>
      <c r="AH2469" s="497">
        <v>32</v>
      </c>
      <c r="AJ2469" s="42"/>
      <c r="AK2469" s="74"/>
      <c r="AL2469" s="77"/>
      <c r="AN2469" s="497">
        <v>37.94</v>
      </c>
      <c r="AP2469" s="42"/>
      <c r="AQ2469" s="74"/>
      <c r="AR2469" s="77"/>
      <c r="AT2469" s="497">
        <v>42.980000000000004</v>
      </c>
      <c r="AV2469" s="42"/>
      <c r="AW2469" s="74"/>
      <c r="AX2469" s="77"/>
      <c r="BA2469" s="497">
        <v>39.019999999999996</v>
      </c>
      <c r="BB2469" s="42"/>
      <c r="BC2469" s="74"/>
      <c r="BD2469" s="77"/>
      <c r="BF2469">
        <v>39.019999999999996</v>
      </c>
      <c r="BH2469" s="42"/>
      <c r="BI2469" s="74"/>
      <c r="BJ2469" s="77"/>
      <c r="BL2469" s="497">
        <v>60.08</v>
      </c>
      <c r="BN2469" s="42"/>
      <c r="BO2469" s="74"/>
      <c r="BP2469" s="77"/>
      <c r="BR2469" s="497">
        <v>28.94</v>
      </c>
      <c r="BT2469" s="42"/>
    </row>
    <row r="2470" spans="1:72" x14ac:dyDescent="0.25">
      <c r="A2470" s="90">
        <v>33341</v>
      </c>
      <c r="B2470" s="20">
        <v>0.16666666666666666</v>
      </c>
      <c r="D2470">
        <v>42.980000000000004</v>
      </c>
      <c r="E2470" t="str">
        <f t="shared" si="112"/>
        <v>SATURDAY</v>
      </c>
      <c r="F2470" t="e">
        <f t="shared" si="111"/>
        <v>#N/A</v>
      </c>
      <c r="G2470" s="74">
        <v>32976</v>
      </c>
      <c r="H2470" s="77">
        <v>0.16666666666666666</v>
      </c>
      <c r="J2470">
        <v>35.96</v>
      </c>
      <c r="M2470" s="74">
        <v>33341</v>
      </c>
      <c r="N2470" s="77">
        <v>0.16666666666666666</v>
      </c>
      <c r="P2470">
        <v>39.019999999999996</v>
      </c>
      <c r="S2470" s="74">
        <v>33341</v>
      </c>
      <c r="T2470" s="77">
        <v>0.16666666666666666</v>
      </c>
      <c r="V2470">
        <v>42.980000000000004</v>
      </c>
      <c r="X2470" s="42"/>
      <c r="AB2470">
        <v>45.8</v>
      </c>
      <c r="AC2470">
        <v>39.92</v>
      </c>
      <c r="AE2470" s="74"/>
      <c r="AF2470" s="77"/>
      <c r="AH2470" s="497">
        <v>31.1</v>
      </c>
      <c r="AJ2470" s="42"/>
      <c r="AK2470" s="74"/>
      <c r="AL2470" s="77"/>
      <c r="AN2470" s="497">
        <v>37.94</v>
      </c>
      <c r="AP2470" s="42"/>
      <c r="AQ2470" s="74"/>
      <c r="AR2470" s="77"/>
      <c r="AT2470" s="497">
        <v>42.980000000000004</v>
      </c>
      <c r="AV2470" s="42"/>
      <c r="AW2470" s="74"/>
      <c r="AX2470" s="77"/>
      <c r="BA2470" s="497">
        <v>39.019999999999996</v>
      </c>
      <c r="BB2470" s="42"/>
      <c r="BC2470" s="74"/>
      <c r="BD2470" s="77"/>
      <c r="BF2470">
        <v>37.04</v>
      </c>
      <c r="BH2470" s="42"/>
      <c r="BI2470" s="74"/>
      <c r="BJ2470" s="77"/>
      <c r="BL2470" s="497">
        <v>59</v>
      </c>
      <c r="BN2470" s="42"/>
      <c r="BO2470" s="74"/>
      <c r="BP2470" s="77"/>
      <c r="BR2470" s="497">
        <v>32</v>
      </c>
      <c r="BT2470" s="42"/>
    </row>
    <row r="2471" spans="1:72" x14ac:dyDescent="0.25">
      <c r="A2471" s="90">
        <v>33341</v>
      </c>
      <c r="B2471" s="20">
        <v>0.20833333333333334</v>
      </c>
      <c r="D2471">
        <v>42.980000000000004</v>
      </c>
      <c r="E2471" t="str">
        <f t="shared" si="112"/>
        <v>SATURDAY</v>
      </c>
      <c r="F2471" t="e">
        <f t="shared" si="111"/>
        <v>#N/A</v>
      </c>
      <c r="G2471" s="74">
        <v>32976</v>
      </c>
      <c r="H2471" s="77">
        <v>0.20833333333333334</v>
      </c>
      <c r="J2471">
        <v>35.96</v>
      </c>
      <c r="M2471" s="74">
        <v>33341</v>
      </c>
      <c r="N2471" s="77">
        <v>0.20833333333333334</v>
      </c>
      <c r="P2471">
        <v>37.94</v>
      </c>
      <c r="S2471" s="74">
        <v>33341</v>
      </c>
      <c r="T2471" s="77">
        <v>0.20833333333333334</v>
      </c>
      <c r="V2471">
        <v>42.08</v>
      </c>
      <c r="X2471" s="42"/>
      <c r="AB2471">
        <v>45.3</v>
      </c>
      <c r="AC2471">
        <v>37.04</v>
      </c>
      <c r="AE2471" s="74"/>
      <c r="AF2471" s="77"/>
      <c r="AH2471" s="497">
        <v>31.1</v>
      </c>
      <c r="AJ2471" s="42"/>
      <c r="AK2471" s="74"/>
      <c r="AL2471" s="77"/>
      <c r="AN2471" s="497">
        <v>37.04</v>
      </c>
      <c r="AP2471" s="42"/>
      <c r="AQ2471" s="74"/>
      <c r="AR2471" s="77"/>
      <c r="AT2471" s="497">
        <v>42.980000000000004</v>
      </c>
      <c r="AV2471" s="42"/>
      <c r="AW2471" s="74"/>
      <c r="AX2471" s="77"/>
      <c r="BA2471" s="497">
        <v>39.019999999999996</v>
      </c>
      <c r="BB2471" s="42"/>
      <c r="BC2471" s="74"/>
      <c r="BD2471" s="77"/>
      <c r="BF2471">
        <v>37.04</v>
      </c>
      <c r="BH2471" s="42"/>
      <c r="BI2471" s="74"/>
      <c r="BJ2471" s="77"/>
      <c r="BL2471" s="497">
        <v>59</v>
      </c>
      <c r="BN2471" s="42"/>
      <c r="BO2471" s="74"/>
      <c r="BP2471" s="77"/>
      <c r="BR2471" s="497">
        <v>30.02</v>
      </c>
      <c r="BT2471" s="42"/>
    </row>
    <row r="2472" spans="1:72" x14ac:dyDescent="0.25">
      <c r="A2472" s="90">
        <v>33341</v>
      </c>
      <c r="B2472" s="20">
        <v>0.25</v>
      </c>
      <c r="D2472">
        <v>44.06</v>
      </c>
      <c r="E2472" t="str">
        <f t="shared" si="112"/>
        <v>SATURDAY</v>
      </c>
      <c r="F2472" t="e">
        <f t="shared" si="111"/>
        <v>#N/A</v>
      </c>
      <c r="G2472" s="74">
        <v>32976</v>
      </c>
      <c r="H2472" s="77">
        <v>0.25</v>
      </c>
      <c r="J2472">
        <v>35.96</v>
      </c>
      <c r="M2472" s="74">
        <v>33341</v>
      </c>
      <c r="N2472" s="77">
        <v>0.25</v>
      </c>
      <c r="P2472">
        <v>37.04</v>
      </c>
      <c r="S2472" s="74">
        <v>33341</v>
      </c>
      <c r="T2472" s="77">
        <v>0.25</v>
      </c>
      <c r="V2472">
        <v>42.980000000000004</v>
      </c>
      <c r="X2472" s="42"/>
      <c r="AB2472">
        <v>45.2</v>
      </c>
      <c r="AC2472">
        <v>39.019999999999996</v>
      </c>
      <c r="AE2472" s="74"/>
      <c r="AF2472" s="77"/>
      <c r="AH2472" s="497">
        <v>32</v>
      </c>
      <c r="AJ2472" s="42"/>
      <c r="AK2472" s="74"/>
      <c r="AL2472" s="77"/>
      <c r="AN2472" s="497">
        <v>37.94</v>
      </c>
      <c r="AP2472" s="42"/>
      <c r="AQ2472" s="74"/>
      <c r="AR2472" s="77"/>
      <c r="AT2472" s="497">
        <v>42.980000000000004</v>
      </c>
      <c r="AV2472" s="42"/>
      <c r="AW2472" s="74"/>
      <c r="AX2472" s="77"/>
      <c r="BA2472" s="497">
        <v>39.019999999999996</v>
      </c>
      <c r="BB2472" s="42"/>
      <c r="BC2472" s="74"/>
      <c r="BD2472" s="77"/>
      <c r="BF2472">
        <v>35.96</v>
      </c>
      <c r="BH2472" s="42"/>
      <c r="BI2472" s="74"/>
      <c r="BJ2472" s="77"/>
      <c r="BL2472" s="497">
        <v>57.92</v>
      </c>
      <c r="BN2472" s="42"/>
      <c r="BO2472" s="74"/>
      <c r="BP2472" s="77"/>
      <c r="BR2472" s="497">
        <v>30.02</v>
      </c>
      <c r="BT2472" s="42"/>
    </row>
    <row r="2473" spans="1:72" x14ac:dyDescent="0.25">
      <c r="A2473" s="90">
        <v>33341</v>
      </c>
      <c r="B2473" s="20">
        <v>0.29166666666666669</v>
      </c>
      <c r="D2473">
        <v>44.06</v>
      </c>
      <c r="E2473" t="str">
        <f t="shared" si="112"/>
        <v>SATURDAY</v>
      </c>
      <c r="F2473" t="e">
        <f t="shared" si="111"/>
        <v>#N/A</v>
      </c>
      <c r="G2473" s="74">
        <v>32976</v>
      </c>
      <c r="H2473" s="77">
        <v>0.29166666666666669</v>
      </c>
      <c r="J2473">
        <v>37.94</v>
      </c>
      <c r="M2473" s="74">
        <v>33341</v>
      </c>
      <c r="N2473" s="77">
        <v>0.29166666666666669</v>
      </c>
      <c r="P2473">
        <v>41</v>
      </c>
      <c r="S2473" s="74">
        <v>33341</v>
      </c>
      <c r="T2473" s="77">
        <v>0.29166666666666669</v>
      </c>
      <c r="V2473">
        <v>44.06</v>
      </c>
      <c r="X2473" s="42"/>
      <c r="AB2473">
        <v>45.4</v>
      </c>
      <c r="AC2473">
        <v>42.980000000000004</v>
      </c>
      <c r="AE2473" s="74"/>
      <c r="AF2473" s="77"/>
      <c r="AH2473" s="497">
        <v>33.979999999999997</v>
      </c>
      <c r="AJ2473" s="42"/>
      <c r="AK2473" s="74"/>
      <c r="AL2473" s="77"/>
      <c r="AN2473" s="497">
        <v>39.019999999999996</v>
      </c>
      <c r="AP2473" s="42"/>
      <c r="AQ2473" s="74"/>
      <c r="AR2473" s="77"/>
      <c r="AT2473" s="497">
        <v>42.980000000000004</v>
      </c>
      <c r="AV2473" s="42"/>
      <c r="AW2473" s="74"/>
      <c r="AX2473" s="77"/>
      <c r="BA2473" s="497">
        <v>37.94</v>
      </c>
      <c r="BB2473" s="42"/>
      <c r="BC2473" s="74"/>
      <c r="BD2473" s="77"/>
      <c r="BF2473">
        <v>37.04</v>
      </c>
      <c r="BH2473" s="42"/>
      <c r="BI2473" s="74"/>
      <c r="BJ2473" s="77"/>
      <c r="BL2473" s="497">
        <v>57.019999999999996</v>
      </c>
      <c r="BN2473" s="42"/>
      <c r="BO2473" s="74"/>
      <c r="BP2473" s="77"/>
      <c r="BR2473" s="497">
        <v>30.92</v>
      </c>
      <c r="BT2473" s="42"/>
    </row>
    <row r="2474" spans="1:72" x14ac:dyDescent="0.25">
      <c r="A2474" s="90">
        <v>33341</v>
      </c>
      <c r="B2474" s="20">
        <v>0.33333333333333331</v>
      </c>
      <c r="D2474">
        <v>44.06</v>
      </c>
      <c r="E2474" t="str">
        <f t="shared" si="112"/>
        <v>SATURDAY</v>
      </c>
      <c r="F2474" t="e">
        <f t="shared" si="111"/>
        <v>#N/A</v>
      </c>
      <c r="G2474" s="74">
        <v>32976</v>
      </c>
      <c r="H2474" s="77">
        <v>0.33333333333333331</v>
      </c>
      <c r="J2474">
        <v>39.019999999999996</v>
      </c>
      <c r="M2474" s="74">
        <v>33341</v>
      </c>
      <c r="N2474" s="77">
        <v>0.33333333333333331</v>
      </c>
      <c r="P2474">
        <v>44.06</v>
      </c>
      <c r="S2474" s="74">
        <v>33341</v>
      </c>
      <c r="T2474" s="77">
        <v>0.33333333333333331</v>
      </c>
      <c r="V2474">
        <v>44.96</v>
      </c>
      <c r="X2474" s="42"/>
      <c r="AB2474">
        <v>47.4</v>
      </c>
      <c r="AC2474">
        <v>46.94</v>
      </c>
      <c r="AE2474" s="74"/>
      <c r="AF2474" s="77"/>
      <c r="AH2474" s="497">
        <v>42.08</v>
      </c>
      <c r="AJ2474" s="42"/>
      <c r="AK2474" s="74"/>
      <c r="AL2474" s="77"/>
      <c r="AN2474" s="497">
        <v>41</v>
      </c>
      <c r="AP2474" s="42"/>
      <c r="AQ2474" s="74"/>
      <c r="AR2474" s="77"/>
      <c r="AT2474" s="497">
        <v>44.06</v>
      </c>
      <c r="AV2474" s="42"/>
      <c r="AW2474" s="74"/>
      <c r="AX2474" s="77"/>
      <c r="BA2474" s="497">
        <v>39.92</v>
      </c>
      <c r="BB2474" s="42"/>
      <c r="BC2474" s="74"/>
      <c r="BD2474" s="77"/>
      <c r="BF2474">
        <v>39.019999999999996</v>
      </c>
      <c r="BH2474" s="42"/>
      <c r="BI2474" s="74"/>
      <c r="BJ2474" s="77"/>
      <c r="BL2474" s="497">
        <v>57.019999999999996</v>
      </c>
      <c r="BN2474" s="42"/>
      <c r="BO2474" s="74"/>
      <c r="BP2474" s="77"/>
      <c r="BR2474" s="497">
        <v>30.92</v>
      </c>
      <c r="BT2474" s="42"/>
    </row>
    <row r="2475" spans="1:72" x14ac:dyDescent="0.25">
      <c r="A2475" s="90">
        <v>33341</v>
      </c>
      <c r="B2475" s="20">
        <v>0.375</v>
      </c>
      <c r="D2475">
        <v>44.06</v>
      </c>
      <c r="E2475" t="str">
        <f t="shared" si="112"/>
        <v>SATURDAY</v>
      </c>
      <c r="F2475" t="e">
        <f t="shared" ref="F2475:F2538" si="113">IF(E2475="WEEKDAY",VLOOKUP(B2475,$DD$19:$DG$42,2),IF(E2475="SATURDAY",VLOOKUP(B2475,$DD$19:$DG$42,3),VLOOKUP(B2475,$DD$19:$DG$42,4)))</f>
        <v>#N/A</v>
      </c>
      <c r="G2475" s="74">
        <v>32976</v>
      </c>
      <c r="H2475" s="77">
        <v>0.375</v>
      </c>
      <c r="J2475">
        <v>41</v>
      </c>
      <c r="M2475" s="74">
        <v>33341</v>
      </c>
      <c r="N2475" s="77">
        <v>0.375</v>
      </c>
      <c r="P2475">
        <v>44.96</v>
      </c>
      <c r="S2475" s="74">
        <v>33341</v>
      </c>
      <c r="T2475" s="77">
        <v>0.375</v>
      </c>
      <c r="V2475">
        <v>46.04</v>
      </c>
      <c r="X2475" s="42"/>
      <c r="AB2475">
        <v>49.3</v>
      </c>
      <c r="AC2475">
        <v>48.92</v>
      </c>
      <c r="AE2475" s="74"/>
      <c r="AF2475" s="77"/>
      <c r="AH2475" s="497">
        <v>44.06</v>
      </c>
      <c r="AJ2475" s="42"/>
      <c r="AK2475" s="74"/>
      <c r="AL2475" s="77"/>
      <c r="AN2475" s="497">
        <v>42.980000000000004</v>
      </c>
      <c r="AP2475" s="42"/>
      <c r="AQ2475" s="74"/>
      <c r="AR2475" s="77"/>
      <c r="AT2475" s="497">
        <v>44.96</v>
      </c>
      <c r="AV2475" s="42"/>
      <c r="AW2475" s="74"/>
      <c r="AX2475" s="77"/>
      <c r="BA2475" s="497">
        <v>42.08</v>
      </c>
      <c r="BB2475" s="42"/>
      <c r="BC2475" s="74"/>
      <c r="BD2475" s="77"/>
      <c r="BF2475">
        <v>37.94</v>
      </c>
      <c r="BH2475" s="42"/>
      <c r="BI2475" s="74"/>
      <c r="BJ2475" s="77"/>
      <c r="BL2475" s="497">
        <v>57.92</v>
      </c>
      <c r="BN2475" s="42"/>
      <c r="BO2475" s="74"/>
      <c r="BP2475" s="77"/>
      <c r="BR2475" s="497">
        <v>35.06</v>
      </c>
      <c r="BT2475" s="42"/>
    </row>
    <row r="2476" spans="1:72" x14ac:dyDescent="0.25">
      <c r="A2476" s="90">
        <v>33341</v>
      </c>
      <c r="B2476" s="20">
        <v>0.41666666666666669</v>
      </c>
      <c r="D2476">
        <v>44.96</v>
      </c>
      <c r="E2476" t="str">
        <f t="shared" si="112"/>
        <v>SATURDAY</v>
      </c>
      <c r="F2476" t="e">
        <f t="shared" si="113"/>
        <v>#N/A</v>
      </c>
      <c r="G2476" s="74">
        <v>32976</v>
      </c>
      <c r="H2476" s="77">
        <v>0.41666666666666669</v>
      </c>
      <c r="J2476">
        <v>42.08</v>
      </c>
      <c r="M2476" s="74">
        <v>33341</v>
      </c>
      <c r="N2476" s="77">
        <v>0.41666666666666669</v>
      </c>
      <c r="P2476">
        <v>46.94</v>
      </c>
      <c r="S2476" s="74">
        <v>33341</v>
      </c>
      <c r="T2476" s="77">
        <v>0.41666666666666669</v>
      </c>
      <c r="V2476">
        <v>46.94</v>
      </c>
      <c r="X2476" s="42"/>
      <c r="AB2476">
        <v>51.2</v>
      </c>
      <c r="AC2476">
        <v>48.92</v>
      </c>
      <c r="AE2476" s="74"/>
      <c r="AF2476" s="77"/>
      <c r="AH2476" s="497">
        <v>46.94</v>
      </c>
      <c r="AJ2476" s="42"/>
      <c r="AK2476" s="74"/>
      <c r="AL2476" s="77"/>
      <c r="AN2476" s="497">
        <v>46.04</v>
      </c>
      <c r="AP2476" s="42"/>
      <c r="AQ2476" s="74"/>
      <c r="AR2476" s="77"/>
      <c r="AT2476" s="497">
        <v>46.04</v>
      </c>
      <c r="AV2476" s="42"/>
      <c r="AW2476" s="74"/>
      <c r="AX2476" s="77"/>
      <c r="BA2476" s="497">
        <v>42.08</v>
      </c>
      <c r="BB2476" s="42"/>
      <c r="BC2476" s="74"/>
      <c r="BD2476" s="77"/>
      <c r="BF2476">
        <v>39.019999999999996</v>
      </c>
      <c r="BH2476" s="42"/>
      <c r="BI2476" s="74"/>
      <c r="BJ2476" s="77"/>
      <c r="BL2476" s="497">
        <v>59</v>
      </c>
      <c r="BN2476" s="42"/>
      <c r="BO2476" s="74"/>
      <c r="BP2476" s="77"/>
      <c r="BR2476" s="497">
        <v>37.04</v>
      </c>
      <c r="BT2476" s="42"/>
    </row>
    <row r="2477" spans="1:72" x14ac:dyDescent="0.25">
      <c r="A2477" s="90">
        <v>33341</v>
      </c>
      <c r="B2477" s="20">
        <v>0.45833333333333331</v>
      </c>
      <c r="D2477">
        <v>46.04</v>
      </c>
      <c r="E2477" t="str">
        <f t="shared" si="112"/>
        <v>SATURDAY</v>
      </c>
      <c r="F2477" t="e">
        <f t="shared" si="113"/>
        <v>#N/A</v>
      </c>
      <c r="G2477" s="74">
        <v>32976</v>
      </c>
      <c r="H2477" s="77">
        <v>0.45833333333333331</v>
      </c>
      <c r="J2477">
        <v>44.06</v>
      </c>
      <c r="M2477" s="74">
        <v>33341</v>
      </c>
      <c r="N2477" s="77">
        <v>0.45833333333333331</v>
      </c>
      <c r="P2477">
        <v>48.019999999999996</v>
      </c>
      <c r="S2477" s="74">
        <v>33341</v>
      </c>
      <c r="T2477" s="77">
        <v>0.45833333333333331</v>
      </c>
      <c r="V2477">
        <v>48.92</v>
      </c>
      <c r="X2477" s="42"/>
      <c r="AB2477">
        <v>52.9</v>
      </c>
      <c r="AC2477">
        <v>48.92</v>
      </c>
      <c r="AE2477" s="74"/>
      <c r="AF2477" s="77"/>
      <c r="AH2477" s="497">
        <v>48.019999999999996</v>
      </c>
      <c r="AJ2477" s="42"/>
      <c r="AK2477" s="74"/>
      <c r="AL2477" s="77"/>
      <c r="AN2477" s="497">
        <v>46.94</v>
      </c>
      <c r="AP2477" s="42"/>
      <c r="AQ2477" s="74"/>
      <c r="AR2477" s="77"/>
      <c r="AT2477" s="497">
        <v>46.04</v>
      </c>
      <c r="AV2477" s="42"/>
      <c r="AW2477" s="74"/>
      <c r="AX2477" s="77"/>
      <c r="BA2477" s="497">
        <v>42.08</v>
      </c>
      <c r="BB2477" s="42"/>
      <c r="BC2477" s="74"/>
      <c r="BD2477" s="77"/>
      <c r="BF2477">
        <v>41</v>
      </c>
      <c r="BH2477" s="42"/>
      <c r="BI2477" s="74"/>
      <c r="BJ2477" s="77"/>
      <c r="BL2477" s="497">
        <v>55.94</v>
      </c>
      <c r="BN2477" s="42"/>
      <c r="BO2477" s="74"/>
      <c r="BP2477" s="77"/>
      <c r="BR2477" s="497">
        <v>35.06</v>
      </c>
      <c r="BT2477" s="42"/>
    </row>
    <row r="2478" spans="1:72" x14ac:dyDescent="0.25">
      <c r="A2478" s="90">
        <v>33341</v>
      </c>
      <c r="B2478" s="20">
        <v>0.5</v>
      </c>
      <c r="D2478">
        <v>44.96</v>
      </c>
      <c r="E2478" t="str">
        <f t="shared" si="112"/>
        <v>SATURDAY</v>
      </c>
      <c r="F2478" t="e">
        <f t="shared" si="113"/>
        <v>#N/A</v>
      </c>
      <c r="G2478" s="74">
        <v>32976</v>
      </c>
      <c r="H2478" s="77">
        <v>0.5</v>
      </c>
      <c r="J2478">
        <v>46.04</v>
      </c>
      <c r="M2478" s="74">
        <v>33341</v>
      </c>
      <c r="N2478" s="77">
        <v>0.5</v>
      </c>
      <c r="P2478">
        <v>48.92</v>
      </c>
      <c r="S2478" s="74">
        <v>33341</v>
      </c>
      <c r="T2478" s="77">
        <v>0.5</v>
      </c>
      <c r="V2478">
        <v>48.92</v>
      </c>
      <c r="X2478" s="42"/>
      <c r="AB2478">
        <v>54.3</v>
      </c>
      <c r="AC2478">
        <v>50</v>
      </c>
      <c r="AE2478" s="74"/>
      <c r="AF2478" s="77"/>
      <c r="AH2478" s="497">
        <v>48.92</v>
      </c>
      <c r="AJ2478" s="42"/>
      <c r="AK2478" s="74"/>
      <c r="AL2478" s="77"/>
      <c r="AN2478" s="497">
        <v>48.92</v>
      </c>
      <c r="AP2478" s="42"/>
      <c r="AQ2478" s="74"/>
      <c r="AR2478" s="77"/>
      <c r="AT2478" s="497">
        <v>46.04</v>
      </c>
      <c r="AV2478" s="42"/>
      <c r="AW2478" s="74"/>
      <c r="AX2478" s="77"/>
      <c r="BA2478" s="497">
        <v>44.06</v>
      </c>
      <c r="BB2478" s="42"/>
      <c r="BC2478" s="74"/>
      <c r="BD2478" s="77"/>
      <c r="BF2478">
        <v>42.980000000000004</v>
      </c>
      <c r="BH2478" s="42"/>
      <c r="BI2478" s="74"/>
      <c r="BJ2478" s="77"/>
      <c r="BL2478" s="497">
        <v>57.019999999999996</v>
      </c>
      <c r="BN2478" s="42"/>
      <c r="BO2478" s="74"/>
      <c r="BP2478" s="77"/>
      <c r="BR2478" s="497">
        <v>35.96</v>
      </c>
      <c r="BT2478" s="42"/>
    </row>
    <row r="2479" spans="1:72" x14ac:dyDescent="0.25">
      <c r="A2479" s="90">
        <v>33341</v>
      </c>
      <c r="B2479" s="20">
        <v>0.54166666666666663</v>
      </c>
      <c r="D2479">
        <v>44.96</v>
      </c>
      <c r="E2479" t="str">
        <f t="shared" si="112"/>
        <v>SATURDAY</v>
      </c>
      <c r="F2479" t="e">
        <f t="shared" si="113"/>
        <v>#N/A</v>
      </c>
      <c r="G2479" s="74">
        <v>32976</v>
      </c>
      <c r="H2479" s="77">
        <v>0.54166666666666663</v>
      </c>
      <c r="J2479">
        <v>48.019999999999996</v>
      </c>
      <c r="M2479" s="74">
        <v>33341</v>
      </c>
      <c r="N2479" s="77">
        <v>0.54166666666666663</v>
      </c>
      <c r="P2479">
        <v>48.019999999999996</v>
      </c>
      <c r="S2479" s="74">
        <v>33341</v>
      </c>
      <c r="T2479" s="77">
        <v>0.54166666666666663</v>
      </c>
      <c r="V2479">
        <v>46.94</v>
      </c>
      <c r="X2479" s="42"/>
      <c r="AB2479">
        <v>55.3</v>
      </c>
      <c r="AC2479">
        <v>48.92</v>
      </c>
      <c r="AE2479" s="74"/>
      <c r="AF2479" s="77"/>
      <c r="AH2479" s="497">
        <v>48.92</v>
      </c>
      <c r="AJ2479" s="42"/>
      <c r="AK2479" s="74"/>
      <c r="AL2479" s="77"/>
      <c r="AN2479" s="497">
        <v>48.92</v>
      </c>
      <c r="AP2479" s="42"/>
      <c r="AQ2479" s="74"/>
      <c r="AR2479" s="77"/>
      <c r="AT2479" s="497">
        <v>46.04</v>
      </c>
      <c r="AV2479" s="42"/>
      <c r="AW2479" s="74"/>
      <c r="AX2479" s="77"/>
      <c r="BA2479" s="497">
        <v>46.04</v>
      </c>
      <c r="BB2479" s="42"/>
      <c r="BC2479" s="74"/>
      <c r="BD2479" s="77"/>
      <c r="BF2479">
        <v>44.96</v>
      </c>
      <c r="BH2479" s="42"/>
      <c r="BI2479" s="74"/>
      <c r="BJ2479" s="77"/>
      <c r="BL2479" s="497">
        <v>57.019999999999996</v>
      </c>
      <c r="BN2479" s="42"/>
      <c r="BO2479" s="74"/>
      <c r="BP2479" s="77"/>
      <c r="BR2479" s="497">
        <v>37.04</v>
      </c>
      <c r="BT2479" s="42"/>
    </row>
    <row r="2480" spans="1:72" x14ac:dyDescent="0.25">
      <c r="A2480" s="90">
        <v>33341</v>
      </c>
      <c r="B2480" s="20">
        <v>0.58333333333333337</v>
      </c>
      <c r="D2480">
        <v>46.04</v>
      </c>
      <c r="E2480" t="str">
        <f t="shared" si="112"/>
        <v>SATURDAY</v>
      </c>
      <c r="F2480" t="e">
        <f t="shared" si="113"/>
        <v>#N/A</v>
      </c>
      <c r="G2480" s="74">
        <v>32976</v>
      </c>
      <c r="H2480" s="77">
        <v>0.58333333333333337</v>
      </c>
      <c r="J2480">
        <v>50</v>
      </c>
      <c r="M2480" s="74">
        <v>33341</v>
      </c>
      <c r="N2480" s="77">
        <v>0.58333333333333337</v>
      </c>
      <c r="P2480">
        <v>46.04</v>
      </c>
      <c r="S2480" s="74">
        <v>33341</v>
      </c>
      <c r="T2480" s="77">
        <v>0.58333333333333337</v>
      </c>
      <c r="V2480">
        <v>44.06</v>
      </c>
      <c r="X2480" s="42"/>
      <c r="AB2480">
        <v>55.9</v>
      </c>
      <c r="AC2480">
        <v>48.92</v>
      </c>
      <c r="AE2480" s="74"/>
      <c r="AF2480" s="77"/>
      <c r="AH2480" s="497">
        <v>48.019999999999996</v>
      </c>
      <c r="AJ2480" s="42"/>
      <c r="AK2480" s="74"/>
      <c r="AL2480" s="77"/>
      <c r="AN2480" s="497">
        <v>50</v>
      </c>
      <c r="AP2480" s="42"/>
      <c r="AQ2480" s="74"/>
      <c r="AR2480" s="77"/>
      <c r="AT2480" s="497">
        <v>46.94</v>
      </c>
      <c r="AV2480" s="42"/>
      <c r="AW2480" s="74"/>
      <c r="AX2480" s="77"/>
      <c r="BA2480" s="497">
        <v>48.92</v>
      </c>
      <c r="BB2480" s="42"/>
      <c r="BC2480" s="74"/>
      <c r="BD2480" s="77"/>
      <c r="BF2480">
        <v>42.980000000000004</v>
      </c>
      <c r="BH2480" s="42"/>
      <c r="BI2480" s="74"/>
      <c r="BJ2480" s="77"/>
      <c r="BL2480" s="497">
        <v>57.019999999999996</v>
      </c>
      <c r="BN2480" s="42"/>
      <c r="BO2480" s="74"/>
      <c r="BP2480" s="77"/>
      <c r="BR2480" s="497">
        <v>37.94</v>
      </c>
      <c r="BT2480" s="42"/>
    </row>
    <row r="2481" spans="1:72" x14ac:dyDescent="0.25">
      <c r="A2481" s="90">
        <v>33341</v>
      </c>
      <c r="B2481" s="20">
        <v>0.625</v>
      </c>
      <c r="D2481">
        <v>46.94</v>
      </c>
      <c r="E2481" t="str">
        <f t="shared" si="112"/>
        <v>SATURDAY</v>
      </c>
      <c r="F2481" t="e">
        <f t="shared" si="113"/>
        <v>#N/A</v>
      </c>
      <c r="G2481" s="74">
        <v>32976</v>
      </c>
      <c r="H2481" s="77">
        <v>0.625</v>
      </c>
      <c r="J2481">
        <v>51.08</v>
      </c>
      <c r="M2481" s="74">
        <v>33341</v>
      </c>
      <c r="N2481" s="77">
        <v>0.625</v>
      </c>
      <c r="P2481">
        <v>42.08</v>
      </c>
      <c r="S2481" s="74">
        <v>33341</v>
      </c>
      <c r="T2481" s="77">
        <v>0.625</v>
      </c>
      <c r="V2481">
        <v>44.06</v>
      </c>
      <c r="X2481" s="42"/>
      <c r="AB2481">
        <v>56.1</v>
      </c>
      <c r="AC2481">
        <v>44.96</v>
      </c>
      <c r="AE2481" s="74"/>
      <c r="AF2481" s="77"/>
      <c r="AH2481" s="497">
        <v>46.94</v>
      </c>
      <c r="AJ2481" s="42"/>
      <c r="AK2481" s="74"/>
      <c r="AL2481" s="77"/>
      <c r="AN2481" s="497">
        <v>50</v>
      </c>
      <c r="AP2481" s="42"/>
      <c r="AQ2481" s="74"/>
      <c r="AR2481" s="77"/>
      <c r="AT2481" s="497">
        <v>48.019999999999996</v>
      </c>
      <c r="AV2481" s="42"/>
      <c r="AW2481" s="74"/>
      <c r="AX2481" s="77"/>
      <c r="BA2481" s="497">
        <v>51.08</v>
      </c>
      <c r="BB2481" s="42"/>
      <c r="BC2481" s="74"/>
      <c r="BD2481" s="77"/>
      <c r="BF2481">
        <v>42.08</v>
      </c>
      <c r="BH2481" s="42"/>
      <c r="BI2481" s="74"/>
      <c r="BJ2481" s="77"/>
      <c r="BL2481" s="497">
        <v>51.08</v>
      </c>
      <c r="BN2481" s="42"/>
      <c r="BO2481" s="74"/>
      <c r="BP2481" s="77"/>
      <c r="BR2481" s="497">
        <v>37.04</v>
      </c>
      <c r="BT2481" s="42"/>
    </row>
    <row r="2482" spans="1:72" x14ac:dyDescent="0.25">
      <c r="A2482" s="90">
        <v>33341</v>
      </c>
      <c r="B2482" s="20">
        <v>0.66666666666666663</v>
      </c>
      <c r="D2482">
        <v>55.040000000000006</v>
      </c>
      <c r="E2482" t="str">
        <f t="shared" si="112"/>
        <v>SATURDAY</v>
      </c>
      <c r="F2482" t="e">
        <f t="shared" si="113"/>
        <v>#N/A</v>
      </c>
      <c r="G2482" s="74">
        <v>32976</v>
      </c>
      <c r="H2482" s="77">
        <v>0.66666666666666663</v>
      </c>
      <c r="J2482">
        <v>51.08</v>
      </c>
      <c r="M2482" s="74">
        <v>33341</v>
      </c>
      <c r="N2482" s="77">
        <v>0.66666666666666663</v>
      </c>
      <c r="P2482">
        <v>41</v>
      </c>
      <c r="S2482" s="74">
        <v>33341</v>
      </c>
      <c r="T2482" s="77">
        <v>0.66666666666666663</v>
      </c>
      <c r="V2482">
        <v>42.980000000000004</v>
      </c>
      <c r="X2482" s="42"/>
      <c r="AB2482">
        <v>55.9</v>
      </c>
      <c r="AC2482">
        <v>42.980000000000004</v>
      </c>
      <c r="AE2482" s="74"/>
      <c r="AF2482" s="77"/>
      <c r="AH2482" s="497">
        <v>44.06</v>
      </c>
      <c r="AJ2482" s="42"/>
      <c r="AK2482" s="74"/>
      <c r="AL2482" s="77"/>
      <c r="AN2482" s="497">
        <v>48.92</v>
      </c>
      <c r="AP2482" s="42"/>
      <c r="AQ2482" s="74"/>
      <c r="AR2482" s="77"/>
      <c r="AT2482" s="497">
        <v>48.92</v>
      </c>
      <c r="AV2482" s="42"/>
      <c r="AW2482" s="74"/>
      <c r="AX2482" s="77"/>
      <c r="BA2482" s="497">
        <v>50</v>
      </c>
      <c r="BB2482" s="42"/>
      <c r="BC2482" s="74"/>
      <c r="BD2482" s="77"/>
      <c r="BF2482">
        <v>41</v>
      </c>
      <c r="BH2482" s="42"/>
      <c r="BI2482" s="74"/>
      <c r="BJ2482" s="77"/>
      <c r="BL2482" s="497">
        <v>48.92</v>
      </c>
      <c r="BN2482" s="42"/>
      <c r="BO2482" s="74"/>
      <c r="BP2482" s="77"/>
      <c r="BR2482" s="497">
        <v>37.04</v>
      </c>
      <c r="BT2482" s="42"/>
    </row>
    <row r="2483" spans="1:72" x14ac:dyDescent="0.25">
      <c r="A2483" s="90">
        <v>33341</v>
      </c>
      <c r="B2483" s="20">
        <v>0.70833333333333337</v>
      </c>
      <c r="D2483">
        <v>57.019999999999996</v>
      </c>
      <c r="E2483" t="str">
        <f t="shared" si="112"/>
        <v>SATURDAY</v>
      </c>
      <c r="F2483" t="e">
        <f t="shared" si="113"/>
        <v>#N/A</v>
      </c>
      <c r="G2483" s="74">
        <v>32976</v>
      </c>
      <c r="H2483" s="77">
        <v>0.70833333333333337</v>
      </c>
      <c r="J2483">
        <v>48.019999999999996</v>
      </c>
      <c r="M2483" s="74">
        <v>33341</v>
      </c>
      <c r="N2483" s="77">
        <v>0.70833333333333337</v>
      </c>
      <c r="P2483">
        <v>41</v>
      </c>
      <c r="S2483" s="74">
        <v>33341</v>
      </c>
      <c r="T2483" s="77">
        <v>0.70833333333333337</v>
      </c>
      <c r="V2483">
        <v>42.980000000000004</v>
      </c>
      <c r="X2483" s="42"/>
      <c r="AB2483">
        <v>55.1</v>
      </c>
      <c r="AC2483">
        <v>42.08</v>
      </c>
      <c r="AE2483" s="74"/>
      <c r="AF2483" s="77"/>
      <c r="AH2483" s="497">
        <v>42.08</v>
      </c>
      <c r="AJ2483" s="42"/>
      <c r="AK2483" s="74"/>
      <c r="AL2483" s="77"/>
      <c r="AN2483" s="497">
        <v>46.94</v>
      </c>
      <c r="AP2483" s="42"/>
      <c r="AQ2483" s="74"/>
      <c r="AR2483" s="77"/>
      <c r="AT2483" s="497">
        <v>48.92</v>
      </c>
      <c r="AV2483" s="42"/>
      <c r="AW2483" s="74"/>
      <c r="AX2483" s="77"/>
      <c r="BA2483" s="497">
        <v>50</v>
      </c>
      <c r="BB2483" s="42"/>
      <c r="BC2483" s="74"/>
      <c r="BD2483" s="77"/>
      <c r="BF2483">
        <v>42.980000000000004</v>
      </c>
      <c r="BH2483" s="42"/>
      <c r="BI2483" s="74"/>
      <c r="BJ2483" s="77"/>
      <c r="BL2483" s="497">
        <v>50</v>
      </c>
      <c r="BN2483" s="42"/>
      <c r="BO2483" s="74"/>
      <c r="BP2483" s="77"/>
      <c r="BR2483" s="497">
        <v>35.96</v>
      </c>
      <c r="BT2483" s="42"/>
    </row>
    <row r="2484" spans="1:72" x14ac:dyDescent="0.25">
      <c r="A2484" s="90">
        <v>33341</v>
      </c>
      <c r="B2484" s="20">
        <v>0.75</v>
      </c>
      <c r="D2484">
        <v>55.94</v>
      </c>
      <c r="E2484" t="str">
        <f t="shared" si="112"/>
        <v>SATURDAY</v>
      </c>
      <c r="F2484" t="e">
        <f t="shared" si="113"/>
        <v>#N/A</v>
      </c>
      <c r="G2484" s="74">
        <v>32976</v>
      </c>
      <c r="H2484" s="77">
        <v>0.75</v>
      </c>
      <c r="J2484">
        <v>44.96</v>
      </c>
      <c r="M2484" s="74">
        <v>33341</v>
      </c>
      <c r="N2484" s="77">
        <v>0.75</v>
      </c>
      <c r="P2484">
        <v>39.92</v>
      </c>
      <c r="S2484" s="74">
        <v>33341</v>
      </c>
      <c r="T2484" s="77">
        <v>0.75</v>
      </c>
      <c r="V2484">
        <v>42.08</v>
      </c>
      <c r="X2484" s="42"/>
      <c r="AB2484">
        <v>53.9</v>
      </c>
      <c r="AC2484">
        <v>41</v>
      </c>
      <c r="AE2484" s="74"/>
      <c r="AF2484" s="77"/>
      <c r="AH2484" s="497">
        <v>41</v>
      </c>
      <c r="AJ2484" s="42"/>
      <c r="AK2484" s="74"/>
      <c r="AL2484" s="77"/>
      <c r="AN2484" s="497">
        <v>44.06</v>
      </c>
      <c r="AP2484" s="42"/>
      <c r="AQ2484" s="74"/>
      <c r="AR2484" s="77"/>
      <c r="AT2484" s="497">
        <v>48.92</v>
      </c>
      <c r="AV2484" s="42"/>
      <c r="AW2484" s="74"/>
      <c r="AX2484" s="77"/>
      <c r="BA2484" s="497">
        <v>48.92</v>
      </c>
      <c r="BB2484" s="42"/>
      <c r="BC2484" s="74"/>
      <c r="BD2484" s="77"/>
      <c r="BF2484">
        <v>41</v>
      </c>
      <c r="BH2484" s="42"/>
      <c r="BI2484" s="74"/>
      <c r="BJ2484" s="77"/>
      <c r="BL2484" s="497">
        <v>50</v>
      </c>
      <c r="BN2484" s="42"/>
      <c r="BO2484" s="74"/>
      <c r="BP2484" s="77"/>
      <c r="BR2484" s="497">
        <v>35.06</v>
      </c>
      <c r="BT2484" s="42"/>
    </row>
    <row r="2485" spans="1:72" x14ac:dyDescent="0.25">
      <c r="A2485" s="90">
        <v>33341</v>
      </c>
      <c r="B2485" s="20">
        <v>0.79166666666666663</v>
      </c>
      <c r="D2485">
        <v>55.040000000000006</v>
      </c>
      <c r="E2485" t="str">
        <f t="shared" si="112"/>
        <v>SATURDAY</v>
      </c>
      <c r="F2485" t="e">
        <f t="shared" si="113"/>
        <v>#N/A</v>
      </c>
      <c r="G2485" s="74">
        <v>32976</v>
      </c>
      <c r="H2485" s="77">
        <v>0.79166666666666663</v>
      </c>
      <c r="J2485">
        <v>42.980000000000004</v>
      </c>
      <c r="M2485" s="74">
        <v>33341</v>
      </c>
      <c r="N2485" s="77">
        <v>0.79166666666666663</v>
      </c>
      <c r="P2485">
        <v>39.019999999999996</v>
      </c>
      <c r="S2485" s="74">
        <v>33341</v>
      </c>
      <c r="T2485" s="77">
        <v>0.79166666666666663</v>
      </c>
      <c r="V2485">
        <v>41</v>
      </c>
      <c r="X2485" s="42"/>
      <c r="AB2485">
        <v>52.3</v>
      </c>
      <c r="AC2485">
        <v>41</v>
      </c>
      <c r="AE2485" s="74"/>
      <c r="AF2485" s="77"/>
      <c r="AH2485" s="497">
        <v>39.92</v>
      </c>
      <c r="AJ2485" s="42"/>
      <c r="AK2485" s="74"/>
      <c r="AL2485" s="77"/>
      <c r="AN2485" s="497">
        <v>39.92</v>
      </c>
      <c r="AP2485" s="42"/>
      <c r="AQ2485" s="74"/>
      <c r="AR2485" s="77"/>
      <c r="AT2485" s="497">
        <v>50</v>
      </c>
      <c r="AV2485" s="42"/>
      <c r="AW2485" s="74"/>
      <c r="AX2485" s="77"/>
      <c r="BA2485" s="497">
        <v>46.94</v>
      </c>
      <c r="BB2485" s="42"/>
      <c r="BC2485" s="74"/>
      <c r="BD2485" s="77"/>
      <c r="BF2485">
        <v>39.019999999999996</v>
      </c>
      <c r="BH2485" s="42"/>
      <c r="BI2485" s="74"/>
      <c r="BJ2485" s="77"/>
      <c r="BL2485" s="497">
        <v>50</v>
      </c>
      <c r="BN2485" s="42"/>
      <c r="BO2485" s="74"/>
      <c r="BP2485" s="77"/>
      <c r="BR2485" s="497">
        <v>33.979999999999997</v>
      </c>
      <c r="BT2485" s="42"/>
    </row>
    <row r="2486" spans="1:72" x14ac:dyDescent="0.25">
      <c r="A2486" s="90">
        <v>33341</v>
      </c>
      <c r="B2486" s="20">
        <v>0.83333333333333337</v>
      </c>
      <c r="D2486">
        <v>53.96</v>
      </c>
      <c r="E2486" t="str">
        <f t="shared" si="112"/>
        <v>SATURDAY</v>
      </c>
      <c r="F2486" t="e">
        <f t="shared" si="113"/>
        <v>#N/A</v>
      </c>
      <c r="G2486" s="74">
        <v>32976</v>
      </c>
      <c r="H2486" s="77">
        <v>0.83333333333333337</v>
      </c>
      <c r="J2486">
        <v>42.980000000000004</v>
      </c>
      <c r="M2486" s="74">
        <v>33341</v>
      </c>
      <c r="N2486" s="77">
        <v>0.83333333333333337</v>
      </c>
      <c r="P2486">
        <v>37.94</v>
      </c>
      <c r="S2486" s="74">
        <v>33341</v>
      </c>
      <c r="T2486" s="77">
        <v>0.83333333333333337</v>
      </c>
      <c r="V2486">
        <v>41</v>
      </c>
      <c r="X2486" s="42"/>
      <c r="AB2486">
        <v>51</v>
      </c>
      <c r="AC2486">
        <v>39.92</v>
      </c>
      <c r="AE2486" s="74"/>
      <c r="AF2486" s="77"/>
      <c r="AH2486" s="497">
        <v>39.019999999999996</v>
      </c>
      <c r="AJ2486" s="42"/>
      <c r="AK2486" s="74"/>
      <c r="AL2486" s="77"/>
      <c r="AN2486" s="497">
        <v>39.019999999999996</v>
      </c>
      <c r="AP2486" s="42"/>
      <c r="AQ2486" s="74"/>
      <c r="AR2486" s="77"/>
      <c r="AT2486" s="497">
        <v>50</v>
      </c>
      <c r="AV2486" s="42"/>
      <c r="AW2486" s="74"/>
      <c r="AX2486" s="77"/>
      <c r="BA2486" s="497">
        <v>46.04</v>
      </c>
      <c r="BB2486" s="42"/>
      <c r="BC2486" s="74"/>
      <c r="BD2486" s="77"/>
      <c r="BF2486">
        <v>37.94</v>
      </c>
      <c r="BH2486" s="42"/>
      <c r="BI2486" s="74"/>
      <c r="BJ2486" s="77"/>
      <c r="BL2486" s="497">
        <v>50</v>
      </c>
      <c r="BN2486" s="42"/>
      <c r="BO2486" s="74"/>
      <c r="BP2486" s="77"/>
      <c r="BR2486" s="497">
        <v>33.979999999999997</v>
      </c>
      <c r="BT2486" s="42"/>
    </row>
    <row r="2487" spans="1:72" x14ac:dyDescent="0.25">
      <c r="A2487" s="90">
        <v>33341</v>
      </c>
      <c r="B2487" s="20">
        <v>0.875</v>
      </c>
      <c r="D2487">
        <v>55.040000000000006</v>
      </c>
      <c r="E2487" t="str">
        <f t="shared" si="112"/>
        <v>SATURDAY</v>
      </c>
      <c r="F2487" t="e">
        <f t="shared" si="113"/>
        <v>#N/A</v>
      </c>
      <c r="G2487" s="74">
        <v>32976</v>
      </c>
      <c r="H2487" s="77">
        <v>0.875</v>
      </c>
      <c r="J2487">
        <v>42.980000000000004</v>
      </c>
      <c r="M2487" s="74">
        <v>33341</v>
      </c>
      <c r="N2487" s="77">
        <v>0.875</v>
      </c>
      <c r="P2487">
        <v>37.94</v>
      </c>
      <c r="S2487" s="74">
        <v>33341</v>
      </c>
      <c r="T2487" s="77">
        <v>0.875</v>
      </c>
      <c r="V2487">
        <v>41</v>
      </c>
      <c r="X2487" s="42"/>
      <c r="AB2487">
        <v>50.2</v>
      </c>
      <c r="AC2487">
        <v>39.92</v>
      </c>
      <c r="AE2487" s="74"/>
      <c r="AF2487" s="77"/>
      <c r="AH2487" s="497">
        <v>39.019999999999996</v>
      </c>
      <c r="AJ2487" s="42"/>
      <c r="AK2487" s="74"/>
      <c r="AL2487" s="77"/>
      <c r="AN2487" s="497">
        <v>39.019999999999996</v>
      </c>
      <c r="AP2487" s="42"/>
      <c r="AQ2487" s="74"/>
      <c r="AR2487" s="77"/>
      <c r="AT2487" s="497">
        <v>50</v>
      </c>
      <c r="AV2487" s="42"/>
      <c r="AW2487" s="74"/>
      <c r="AX2487" s="77"/>
      <c r="BA2487" s="497">
        <v>44.96</v>
      </c>
      <c r="BB2487" s="42"/>
      <c r="BC2487" s="74"/>
      <c r="BD2487" s="77"/>
      <c r="BF2487">
        <v>37.04</v>
      </c>
      <c r="BH2487" s="42"/>
      <c r="BI2487" s="74"/>
      <c r="BJ2487" s="77"/>
      <c r="BL2487" s="497">
        <v>48.019999999999996</v>
      </c>
      <c r="BN2487" s="42"/>
      <c r="BO2487" s="74"/>
      <c r="BP2487" s="77"/>
      <c r="BR2487" s="497">
        <v>33.08</v>
      </c>
      <c r="BT2487" s="42"/>
    </row>
    <row r="2488" spans="1:72" x14ac:dyDescent="0.25">
      <c r="A2488" s="90">
        <v>33341</v>
      </c>
      <c r="B2488" s="20">
        <v>0.91666666666666663</v>
      </c>
      <c r="D2488">
        <v>53.96</v>
      </c>
      <c r="E2488" t="str">
        <f t="shared" si="112"/>
        <v>SATURDAY</v>
      </c>
      <c r="F2488" t="e">
        <f t="shared" si="113"/>
        <v>#N/A</v>
      </c>
      <c r="G2488" s="74">
        <v>32976</v>
      </c>
      <c r="H2488" s="77">
        <v>0.91666666666666663</v>
      </c>
      <c r="J2488">
        <v>42.980000000000004</v>
      </c>
      <c r="M2488" s="74">
        <v>33341</v>
      </c>
      <c r="N2488" s="77">
        <v>0.91666666666666663</v>
      </c>
      <c r="P2488">
        <v>37.94</v>
      </c>
      <c r="S2488" s="74">
        <v>33341</v>
      </c>
      <c r="T2488" s="77">
        <v>0.91666666666666663</v>
      </c>
      <c r="V2488">
        <v>41</v>
      </c>
      <c r="X2488" s="42"/>
      <c r="AB2488">
        <v>49.6</v>
      </c>
      <c r="AC2488">
        <v>39.92</v>
      </c>
      <c r="AE2488" s="74"/>
      <c r="AF2488" s="77"/>
      <c r="AH2488" s="497">
        <v>39.019999999999996</v>
      </c>
      <c r="AJ2488" s="42"/>
      <c r="AK2488" s="74"/>
      <c r="AL2488" s="77"/>
      <c r="AN2488" s="497">
        <v>37.04</v>
      </c>
      <c r="AP2488" s="42"/>
      <c r="AQ2488" s="74"/>
      <c r="AR2488" s="77"/>
      <c r="AT2488" s="497">
        <v>51.08</v>
      </c>
      <c r="AV2488" s="42"/>
      <c r="AW2488" s="74"/>
      <c r="AX2488" s="77"/>
      <c r="BA2488" s="497">
        <v>44.06</v>
      </c>
      <c r="BB2488" s="42"/>
      <c r="BC2488" s="74"/>
      <c r="BD2488" s="77"/>
      <c r="BF2488">
        <v>35.96</v>
      </c>
      <c r="BH2488" s="42"/>
      <c r="BI2488" s="74"/>
      <c r="BJ2488" s="77"/>
      <c r="BL2488" s="497">
        <v>48.019999999999996</v>
      </c>
      <c r="BN2488" s="42"/>
      <c r="BO2488" s="74"/>
      <c r="BP2488" s="77"/>
      <c r="BR2488" s="497">
        <v>33.08</v>
      </c>
      <c r="BT2488" s="42"/>
    </row>
    <row r="2489" spans="1:72" x14ac:dyDescent="0.25">
      <c r="A2489" s="90">
        <v>33341</v>
      </c>
      <c r="B2489" s="20">
        <v>0.95833333333333337</v>
      </c>
      <c r="D2489">
        <v>53.96</v>
      </c>
      <c r="E2489" t="str">
        <f t="shared" si="112"/>
        <v>SATURDAY</v>
      </c>
      <c r="F2489" t="e">
        <f t="shared" si="113"/>
        <v>#N/A</v>
      </c>
      <c r="G2489" s="74">
        <v>32976</v>
      </c>
      <c r="H2489" s="77">
        <v>0.95833333333333337</v>
      </c>
      <c r="J2489">
        <v>42.980000000000004</v>
      </c>
      <c r="M2489" s="74">
        <v>33341</v>
      </c>
      <c r="N2489" s="77">
        <v>0.95833333333333337</v>
      </c>
      <c r="P2489">
        <v>37.94</v>
      </c>
      <c r="S2489" s="74">
        <v>33341</v>
      </c>
      <c r="T2489" s="77">
        <v>0.95833333333333337</v>
      </c>
      <c r="V2489">
        <v>39.92</v>
      </c>
      <c r="X2489" s="42"/>
      <c r="AB2489">
        <v>49</v>
      </c>
      <c r="AC2489">
        <v>39.92</v>
      </c>
      <c r="AE2489" s="74"/>
      <c r="AF2489" s="77"/>
      <c r="AH2489" s="497">
        <v>37.94</v>
      </c>
      <c r="AJ2489" s="42"/>
      <c r="AK2489" s="74"/>
      <c r="AL2489" s="77"/>
      <c r="AN2489" s="497">
        <v>37.04</v>
      </c>
      <c r="AP2489" s="42"/>
      <c r="AQ2489" s="74"/>
      <c r="AR2489" s="77"/>
      <c r="AT2489" s="497">
        <v>48.92</v>
      </c>
      <c r="AV2489" s="42"/>
      <c r="AW2489" s="74"/>
      <c r="AX2489" s="77"/>
      <c r="BA2489" s="497">
        <v>42.980000000000004</v>
      </c>
      <c r="BB2489" s="42"/>
      <c r="BC2489" s="74"/>
      <c r="BD2489" s="77"/>
      <c r="BF2489">
        <v>35.06</v>
      </c>
      <c r="BH2489" s="42"/>
      <c r="BI2489" s="74"/>
      <c r="BJ2489" s="77"/>
      <c r="BL2489" s="497">
        <v>48.019999999999996</v>
      </c>
      <c r="BN2489" s="42"/>
      <c r="BO2489" s="74"/>
      <c r="BP2489" s="77"/>
      <c r="BR2489" s="497">
        <v>33.979999999999997</v>
      </c>
      <c r="BT2489" s="42"/>
    </row>
    <row r="2490" spans="1:72" x14ac:dyDescent="0.25">
      <c r="A2490" s="90">
        <v>33341</v>
      </c>
      <c r="B2490" s="20">
        <v>1</v>
      </c>
      <c r="D2490">
        <v>55.040000000000006</v>
      </c>
      <c r="E2490" t="str">
        <f t="shared" si="112"/>
        <v>SATURDAY</v>
      </c>
      <c r="F2490" t="e">
        <f t="shared" si="113"/>
        <v>#N/A</v>
      </c>
      <c r="G2490" s="74">
        <v>32976</v>
      </c>
      <c r="H2490" s="77">
        <v>1</v>
      </c>
      <c r="J2490">
        <v>42.980000000000004</v>
      </c>
      <c r="M2490" s="74">
        <v>33341</v>
      </c>
      <c r="N2490" s="80">
        <v>1</v>
      </c>
      <c r="P2490">
        <v>37.94</v>
      </c>
      <c r="S2490" s="74">
        <v>33341</v>
      </c>
      <c r="T2490" s="80">
        <v>1</v>
      </c>
      <c r="V2490">
        <v>39.92</v>
      </c>
      <c r="X2490" s="42"/>
      <c r="AB2490">
        <v>48.4</v>
      </c>
      <c r="AC2490">
        <v>39.92</v>
      </c>
      <c r="AE2490" s="74"/>
      <c r="AF2490" s="80"/>
      <c r="AH2490" s="497">
        <v>37.94</v>
      </c>
      <c r="AJ2490" s="42"/>
      <c r="AK2490" s="74"/>
      <c r="AL2490" s="80"/>
      <c r="AN2490" s="497">
        <v>37.04</v>
      </c>
      <c r="AP2490" s="42"/>
      <c r="AQ2490" s="74"/>
      <c r="AR2490" s="80"/>
      <c r="AT2490" s="497">
        <v>46.04</v>
      </c>
      <c r="AV2490" s="42"/>
      <c r="AW2490" s="74"/>
      <c r="AX2490" s="80"/>
      <c r="BA2490" s="497">
        <v>42.08</v>
      </c>
      <c r="BB2490" s="42"/>
      <c r="BC2490" s="74"/>
      <c r="BD2490" s="80"/>
      <c r="BF2490">
        <v>35.96</v>
      </c>
      <c r="BH2490" s="42"/>
      <c r="BI2490" s="74"/>
      <c r="BJ2490" s="80"/>
      <c r="BL2490" s="497">
        <v>48.92</v>
      </c>
      <c r="BN2490" s="42"/>
      <c r="BO2490" s="74"/>
      <c r="BP2490" s="80"/>
      <c r="BR2490" s="497">
        <v>33.08</v>
      </c>
      <c r="BT2490" s="42"/>
    </row>
    <row r="2491" spans="1:72" x14ac:dyDescent="0.25">
      <c r="A2491" s="90">
        <v>33342</v>
      </c>
      <c r="B2491" s="20">
        <v>4.1666666666666664E-2</v>
      </c>
      <c r="D2491">
        <v>53.96</v>
      </c>
      <c r="E2491" t="str">
        <f t="shared" si="112"/>
        <v>SUNDAY</v>
      </c>
      <c r="F2491" t="e">
        <f t="shared" si="113"/>
        <v>#N/A</v>
      </c>
      <c r="G2491" s="74">
        <v>32977</v>
      </c>
      <c r="H2491" s="77">
        <v>4.1666666666666664E-2</v>
      </c>
      <c r="J2491">
        <v>42.08</v>
      </c>
      <c r="M2491" s="74">
        <v>33342</v>
      </c>
      <c r="N2491" s="77">
        <v>4.1666666666666664E-2</v>
      </c>
      <c r="P2491">
        <v>37.04</v>
      </c>
      <c r="S2491" s="74">
        <v>33342</v>
      </c>
      <c r="T2491" s="77">
        <v>4.1666666666666664E-2</v>
      </c>
      <c r="V2491">
        <v>39.92</v>
      </c>
      <c r="X2491" s="42"/>
      <c r="AB2491">
        <v>47.8</v>
      </c>
      <c r="AC2491">
        <v>39.92</v>
      </c>
      <c r="AE2491" s="74"/>
      <c r="AF2491" s="77"/>
      <c r="AH2491" s="497">
        <v>37.04</v>
      </c>
      <c r="AJ2491" s="42"/>
      <c r="AK2491" s="74"/>
      <c r="AL2491" s="77"/>
      <c r="AN2491" s="497">
        <v>37.04</v>
      </c>
      <c r="AP2491" s="42"/>
      <c r="AQ2491" s="74"/>
      <c r="AR2491" s="77"/>
      <c r="AT2491" s="497">
        <v>42.08</v>
      </c>
      <c r="AV2491" s="42"/>
      <c r="AW2491" s="74"/>
      <c r="AX2491" s="77"/>
      <c r="BA2491" s="497">
        <v>42.08</v>
      </c>
      <c r="BB2491" s="42"/>
      <c r="BC2491" s="74"/>
      <c r="BD2491" s="77"/>
      <c r="BF2491">
        <v>35.06</v>
      </c>
      <c r="BH2491" s="42"/>
      <c r="BI2491" s="74"/>
      <c r="BJ2491" s="77"/>
      <c r="BL2491" s="497">
        <v>48.019999999999996</v>
      </c>
      <c r="BN2491" s="42"/>
      <c r="BO2491" s="74"/>
      <c r="BP2491" s="77"/>
      <c r="BR2491" s="497">
        <v>33.08</v>
      </c>
      <c r="BT2491" s="42"/>
    </row>
    <row r="2492" spans="1:72" x14ac:dyDescent="0.25">
      <c r="A2492" s="90">
        <v>33342</v>
      </c>
      <c r="B2492" s="20">
        <v>8.3333333333333329E-2</v>
      </c>
      <c r="D2492">
        <v>55.040000000000006</v>
      </c>
      <c r="E2492" t="str">
        <f t="shared" si="112"/>
        <v>SUNDAY</v>
      </c>
      <c r="F2492" t="e">
        <f t="shared" si="113"/>
        <v>#N/A</v>
      </c>
      <c r="G2492" s="74">
        <v>32977</v>
      </c>
      <c r="H2492" s="77">
        <v>8.3333333333333329E-2</v>
      </c>
      <c r="J2492">
        <v>41</v>
      </c>
      <c r="M2492" s="74">
        <v>33342</v>
      </c>
      <c r="N2492" s="77">
        <v>8.3333333333333329E-2</v>
      </c>
      <c r="P2492">
        <v>37.04</v>
      </c>
      <c r="S2492" s="74">
        <v>33342</v>
      </c>
      <c r="T2492" s="77">
        <v>8.3333333333333329E-2</v>
      </c>
      <c r="V2492">
        <v>39.92</v>
      </c>
      <c r="X2492" s="42"/>
      <c r="AB2492">
        <v>47.2</v>
      </c>
      <c r="AC2492">
        <v>39.019999999999996</v>
      </c>
      <c r="AE2492" s="74"/>
      <c r="AF2492" s="77"/>
      <c r="AH2492" s="497">
        <v>37.94</v>
      </c>
      <c r="AJ2492" s="42"/>
      <c r="AK2492" s="74"/>
      <c r="AL2492" s="77"/>
      <c r="AN2492" s="497">
        <v>37.04</v>
      </c>
      <c r="AP2492" s="42"/>
      <c r="AQ2492" s="74"/>
      <c r="AR2492" s="77"/>
      <c r="AT2492" s="497">
        <v>42.980000000000004</v>
      </c>
      <c r="AV2492" s="42"/>
      <c r="AW2492" s="74"/>
      <c r="AX2492" s="77"/>
      <c r="BA2492" s="497">
        <v>42.08</v>
      </c>
      <c r="BB2492" s="42"/>
      <c r="BC2492" s="74"/>
      <c r="BD2492" s="77"/>
      <c r="BF2492">
        <v>35.96</v>
      </c>
      <c r="BH2492" s="42"/>
      <c r="BI2492" s="74"/>
      <c r="BJ2492" s="77"/>
      <c r="BL2492" s="497">
        <v>48.019999999999996</v>
      </c>
      <c r="BN2492" s="42"/>
      <c r="BO2492" s="74"/>
      <c r="BP2492" s="77"/>
      <c r="BR2492" s="497">
        <v>33.08</v>
      </c>
      <c r="BT2492" s="42"/>
    </row>
    <row r="2493" spans="1:72" x14ac:dyDescent="0.25">
      <c r="A2493" s="90">
        <v>33342</v>
      </c>
      <c r="B2493" s="20">
        <v>0.125</v>
      </c>
      <c r="D2493">
        <v>55.040000000000006</v>
      </c>
      <c r="E2493" t="str">
        <f t="shared" si="112"/>
        <v>SUNDAY</v>
      </c>
      <c r="F2493" t="e">
        <f t="shared" si="113"/>
        <v>#N/A</v>
      </c>
      <c r="G2493" s="74">
        <v>32977</v>
      </c>
      <c r="H2493" s="77">
        <v>0.125</v>
      </c>
      <c r="J2493">
        <v>41</v>
      </c>
      <c r="M2493" s="74">
        <v>33342</v>
      </c>
      <c r="N2493" s="77">
        <v>0.125</v>
      </c>
      <c r="P2493">
        <v>37.94</v>
      </c>
      <c r="S2493" s="74">
        <v>33342</v>
      </c>
      <c r="T2493" s="77">
        <v>0.125</v>
      </c>
      <c r="V2493">
        <v>39.92</v>
      </c>
      <c r="X2493" s="42"/>
      <c r="AB2493">
        <v>46.8</v>
      </c>
      <c r="AC2493">
        <v>39.92</v>
      </c>
      <c r="AE2493" s="74"/>
      <c r="AF2493" s="77"/>
      <c r="AH2493" s="497">
        <v>37.94</v>
      </c>
      <c r="AJ2493" s="42"/>
      <c r="AK2493" s="74"/>
      <c r="AL2493" s="77"/>
      <c r="AN2493" s="497">
        <v>37.04</v>
      </c>
      <c r="AP2493" s="42"/>
      <c r="AQ2493" s="74"/>
      <c r="AR2493" s="77"/>
      <c r="AT2493" s="497">
        <v>42.08</v>
      </c>
      <c r="AV2493" s="42"/>
      <c r="AW2493" s="74"/>
      <c r="AX2493" s="77"/>
      <c r="BA2493" s="497">
        <v>42.08</v>
      </c>
      <c r="BB2493" s="42"/>
      <c r="BC2493" s="74"/>
      <c r="BD2493" s="77"/>
      <c r="BF2493">
        <v>37.04</v>
      </c>
      <c r="BH2493" s="42"/>
      <c r="BI2493" s="74"/>
      <c r="BJ2493" s="77"/>
      <c r="BL2493" s="497">
        <v>48.92</v>
      </c>
      <c r="BN2493" s="42"/>
      <c r="BO2493" s="74"/>
      <c r="BP2493" s="77"/>
      <c r="BR2493" s="497">
        <v>33.08</v>
      </c>
      <c r="BT2493" s="42"/>
    </row>
    <row r="2494" spans="1:72" x14ac:dyDescent="0.25">
      <c r="A2494" s="90">
        <v>33342</v>
      </c>
      <c r="B2494" s="20">
        <v>0.16666666666666666</v>
      </c>
      <c r="D2494">
        <v>55.040000000000006</v>
      </c>
      <c r="E2494" t="str">
        <f t="shared" si="112"/>
        <v>SUNDAY</v>
      </c>
      <c r="F2494" t="e">
        <f t="shared" si="113"/>
        <v>#N/A</v>
      </c>
      <c r="G2494" s="74">
        <v>32977</v>
      </c>
      <c r="H2494" s="77">
        <v>0.16666666666666666</v>
      </c>
      <c r="J2494">
        <v>41</v>
      </c>
      <c r="M2494" s="74">
        <v>33342</v>
      </c>
      <c r="N2494" s="77">
        <v>0.16666666666666666</v>
      </c>
      <c r="P2494">
        <v>37.94</v>
      </c>
      <c r="S2494" s="74">
        <v>33342</v>
      </c>
      <c r="T2494" s="77">
        <v>0.16666666666666666</v>
      </c>
      <c r="V2494">
        <v>39.92</v>
      </c>
      <c r="X2494" s="42"/>
      <c r="AB2494">
        <v>46.3</v>
      </c>
      <c r="AC2494">
        <v>39.92</v>
      </c>
      <c r="AE2494" s="74"/>
      <c r="AF2494" s="77"/>
      <c r="AH2494" s="497">
        <v>37.04</v>
      </c>
      <c r="AJ2494" s="42"/>
      <c r="AK2494" s="74"/>
      <c r="AL2494" s="77"/>
      <c r="AN2494" s="497">
        <v>35.96</v>
      </c>
      <c r="AP2494" s="42"/>
      <c r="AQ2494" s="74"/>
      <c r="AR2494" s="77"/>
      <c r="AT2494" s="497">
        <v>42.980000000000004</v>
      </c>
      <c r="AV2494" s="42"/>
      <c r="AW2494" s="74"/>
      <c r="AX2494" s="77"/>
      <c r="BA2494" s="497">
        <v>42.08</v>
      </c>
      <c r="BB2494" s="42"/>
      <c r="BC2494" s="74"/>
      <c r="BD2494" s="77"/>
      <c r="BF2494">
        <v>37.04</v>
      </c>
      <c r="BH2494" s="42"/>
      <c r="BI2494" s="74"/>
      <c r="BJ2494" s="77"/>
      <c r="BL2494" s="497">
        <v>48.92</v>
      </c>
      <c r="BN2494" s="42"/>
      <c r="BO2494" s="74"/>
      <c r="BP2494" s="77"/>
      <c r="BR2494" s="497">
        <v>33.08</v>
      </c>
      <c r="BT2494" s="42"/>
    </row>
    <row r="2495" spans="1:72" x14ac:dyDescent="0.25">
      <c r="A2495" s="90">
        <v>33342</v>
      </c>
      <c r="B2495" s="20">
        <v>0.20833333333333334</v>
      </c>
      <c r="D2495">
        <v>55.040000000000006</v>
      </c>
      <c r="E2495" t="str">
        <f t="shared" si="112"/>
        <v>SUNDAY</v>
      </c>
      <c r="F2495" t="e">
        <f t="shared" si="113"/>
        <v>#N/A</v>
      </c>
      <c r="G2495" s="74">
        <v>32977</v>
      </c>
      <c r="H2495" s="77">
        <v>0.20833333333333334</v>
      </c>
      <c r="J2495">
        <v>39.92</v>
      </c>
      <c r="M2495" s="74">
        <v>33342</v>
      </c>
      <c r="N2495" s="77">
        <v>0.20833333333333334</v>
      </c>
      <c r="P2495">
        <v>37.04</v>
      </c>
      <c r="S2495" s="74">
        <v>33342</v>
      </c>
      <c r="T2495" s="77">
        <v>0.20833333333333334</v>
      </c>
      <c r="V2495">
        <v>41</v>
      </c>
      <c r="X2495" s="42"/>
      <c r="AB2495">
        <v>45.8</v>
      </c>
      <c r="AC2495">
        <v>39.92</v>
      </c>
      <c r="AE2495" s="74"/>
      <c r="AF2495" s="77"/>
      <c r="AH2495" s="497">
        <v>33.979999999999997</v>
      </c>
      <c r="AJ2495" s="42"/>
      <c r="AK2495" s="74"/>
      <c r="AL2495" s="77"/>
      <c r="AN2495" s="497">
        <v>35.06</v>
      </c>
      <c r="AP2495" s="42"/>
      <c r="AQ2495" s="74"/>
      <c r="AR2495" s="77"/>
      <c r="AT2495" s="497">
        <v>42.980000000000004</v>
      </c>
      <c r="AV2495" s="42"/>
      <c r="AW2495" s="74"/>
      <c r="AX2495" s="77"/>
      <c r="BA2495" s="497">
        <v>41</v>
      </c>
      <c r="BB2495" s="42"/>
      <c r="BC2495" s="74"/>
      <c r="BD2495" s="77"/>
      <c r="BF2495">
        <v>37.94</v>
      </c>
      <c r="BH2495" s="42"/>
      <c r="BI2495" s="74"/>
      <c r="BJ2495" s="77"/>
      <c r="BL2495" s="497">
        <v>48.92</v>
      </c>
      <c r="BN2495" s="42"/>
      <c r="BO2495" s="74"/>
      <c r="BP2495" s="77"/>
      <c r="BR2495" s="497">
        <v>32</v>
      </c>
      <c r="BT2495" s="42"/>
    </row>
    <row r="2496" spans="1:72" x14ac:dyDescent="0.25">
      <c r="A2496" s="90">
        <v>33342</v>
      </c>
      <c r="B2496" s="20">
        <v>0.25</v>
      </c>
      <c r="D2496">
        <v>55.94</v>
      </c>
      <c r="E2496" t="str">
        <f t="shared" si="112"/>
        <v>SUNDAY</v>
      </c>
      <c r="F2496" t="e">
        <f t="shared" si="113"/>
        <v>#N/A</v>
      </c>
      <c r="G2496" s="74">
        <v>32977</v>
      </c>
      <c r="H2496" s="77">
        <v>0.25</v>
      </c>
      <c r="J2496">
        <v>41</v>
      </c>
      <c r="M2496" s="74">
        <v>33342</v>
      </c>
      <c r="N2496" s="77">
        <v>0.25</v>
      </c>
      <c r="P2496">
        <v>37.04</v>
      </c>
      <c r="S2496" s="74">
        <v>33342</v>
      </c>
      <c r="T2496" s="77">
        <v>0.25</v>
      </c>
      <c r="V2496">
        <v>41</v>
      </c>
      <c r="X2496" s="42"/>
      <c r="AB2496">
        <v>45.7</v>
      </c>
      <c r="AC2496">
        <v>39.92</v>
      </c>
      <c r="AE2496" s="74"/>
      <c r="AF2496" s="77"/>
      <c r="AH2496" s="497">
        <v>33.08</v>
      </c>
      <c r="AJ2496" s="42"/>
      <c r="AK2496" s="74"/>
      <c r="AL2496" s="77"/>
      <c r="AN2496" s="497">
        <v>35.06</v>
      </c>
      <c r="AP2496" s="42"/>
      <c r="AQ2496" s="74"/>
      <c r="AR2496" s="77"/>
      <c r="AT2496" s="497">
        <v>46.04</v>
      </c>
      <c r="AV2496" s="42"/>
      <c r="AW2496" s="74"/>
      <c r="AX2496" s="77"/>
      <c r="BA2496" s="497">
        <v>39.92</v>
      </c>
      <c r="BB2496" s="42"/>
      <c r="BC2496" s="74"/>
      <c r="BD2496" s="77"/>
      <c r="BF2496">
        <v>37.04</v>
      </c>
      <c r="BH2496" s="42"/>
      <c r="BI2496" s="74"/>
      <c r="BJ2496" s="77"/>
      <c r="BL2496" s="497">
        <v>50</v>
      </c>
      <c r="BN2496" s="42"/>
      <c r="BO2496" s="74"/>
      <c r="BP2496" s="77"/>
      <c r="BR2496" s="497">
        <v>33.08</v>
      </c>
      <c r="BT2496" s="42"/>
    </row>
    <row r="2497" spans="1:72" x14ac:dyDescent="0.25">
      <c r="A2497" s="90">
        <v>33342</v>
      </c>
      <c r="B2497" s="20">
        <v>0.29166666666666669</v>
      </c>
      <c r="D2497">
        <v>57.92</v>
      </c>
      <c r="E2497" t="str">
        <f t="shared" si="112"/>
        <v>SUNDAY</v>
      </c>
      <c r="F2497" t="e">
        <f t="shared" si="113"/>
        <v>#N/A</v>
      </c>
      <c r="G2497" s="74">
        <v>32977</v>
      </c>
      <c r="H2497" s="77">
        <v>0.29166666666666669</v>
      </c>
      <c r="J2497">
        <v>44.06</v>
      </c>
      <c r="M2497" s="74">
        <v>33342</v>
      </c>
      <c r="N2497" s="77">
        <v>0.29166666666666669</v>
      </c>
      <c r="P2497">
        <v>37.94</v>
      </c>
      <c r="S2497" s="74">
        <v>33342</v>
      </c>
      <c r="T2497" s="77">
        <v>0.29166666666666669</v>
      </c>
      <c r="V2497">
        <v>41</v>
      </c>
      <c r="X2497" s="42"/>
      <c r="AB2497">
        <v>45.9</v>
      </c>
      <c r="AC2497">
        <v>39.92</v>
      </c>
      <c r="AE2497" s="74"/>
      <c r="AF2497" s="77"/>
      <c r="AH2497" s="497">
        <v>33.08</v>
      </c>
      <c r="AJ2497" s="42"/>
      <c r="AK2497" s="74"/>
      <c r="AL2497" s="77"/>
      <c r="AN2497" s="497">
        <v>35.06</v>
      </c>
      <c r="AP2497" s="42"/>
      <c r="AQ2497" s="74"/>
      <c r="AR2497" s="77"/>
      <c r="AT2497" s="497">
        <v>46.94</v>
      </c>
      <c r="AV2497" s="42"/>
      <c r="AW2497" s="74"/>
      <c r="AX2497" s="77"/>
      <c r="BA2497" s="497">
        <v>41</v>
      </c>
      <c r="BB2497" s="42"/>
      <c r="BC2497" s="74"/>
      <c r="BD2497" s="77"/>
      <c r="BF2497">
        <v>37.04</v>
      </c>
      <c r="BH2497" s="42"/>
      <c r="BI2497" s="74"/>
      <c r="BJ2497" s="77"/>
      <c r="BL2497" s="497">
        <v>50</v>
      </c>
      <c r="BN2497" s="42"/>
      <c r="BO2497" s="74"/>
      <c r="BP2497" s="77"/>
      <c r="BR2497" s="497">
        <v>35.06</v>
      </c>
      <c r="BT2497" s="42"/>
    </row>
    <row r="2498" spans="1:72" x14ac:dyDescent="0.25">
      <c r="A2498" s="90">
        <v>33342</v>
      </c>
      <c r="B2498" s="20">
        <v>0.33333333333333331</v>
      </c>
      <c r="D2498">
        <v>60.08</v>
      </c>
      <c r="E2498" t="str">
        <f t="shared" si="112"/>
        <v>SUNDAY</v>
      </c>
      <c r="F2498" t="e">
        <f t="shared" si="113"/>
        <v>#N/A</v>
      </c>
      <c r="G2498" s="74">
        <v>32977</v>
      </c>
      <c r="H2498" s="77">
        <v>0.33333333333333331</v>
      </c>
      <c r="J2498">
        <v>46.94</v>
      </c>
      <c r="M2498" s="74">
        <v>33342</v>
      </c>
      <c r="N2498" s="77">
        <v>0.33333333333333331</v>
      </c>
      <c r="P2498">
        <v>39.019999999999996</v>
      </c>
      <c r="S2498" s="74">
        <v>33342</v>
      </c>
      <c r="T2498" s="77">
        <v>0.33333333333333331</v>
      </c>
      <c r="V2498">
        <v>42.980000000000004</v>
      </c>
      <c r="X2498" s="42"/>
      <c r="AB2498">
        <v>47.9</v>
      </c>
      <c r="AC2498">
        <v>42.980000000000004</v>
      </c>
      <c r="AE2498" s="74"/>
      <c r="AF2498" s="77"/>
      <c r="AH2498" s="497">
        <v>37.04</v>
      </c>
      <c r="AJ2498" s="42"/>
      <c r="AK2498" s="74"/>
      <c r="AL2498" s="77"/>
      <c r="AN2498" s="497">
        <v>35.06</v>
      </c>
      <c r="AP2498" s="42"/>
      <c r="AQ2498" s="74"/>
      <c r="AR2498" s="77"/>
      <c r="AT2498" s="497">
        <v>50</v>
      </c>
      <c r="AV2498" s="42"/>
      <c r="AW2498" s="74"/>
      <c r="AX2498" s="77"/>
      <c r="BA2498" s="497">
        <v>48.019999999999996</v>
      </c>
      <c r="BB2498" s="42"/>
      <c r="BC2498" s="74"/>
      <c r="BD2498" s="77"/>
      <c r="BF2498">
        <v>37.04</v>
      </c>
      <c r="BH2498" s="42"/>
      <c r="BI2498" s="74"/>
      <c r="BJ2498" s="77"/>
      <c r="BL2498" s="497">
        <v>51.08</v>
      </c>
      <c r="BN2498" s="42"/>
      <c r="BO2498" s="74"/>
      <c r="BP2498" s="77"/>
      <c r="BR2498" s="497">
        <v>35.96</v>
      </c>
      <c r="BT2498" s="42"/>
    </row>
    <row r="2499" spans="1:72" x14ac:dyDescent="0.25">
      <c r="A2499" s="90">
        <v>33342</v>
      </c>
      <c r="B2499" s="20">
        <v>0.375</v>
      </c>
      <c r="D2499">
        <v>60.980000000000004</v>
      </c>
      <c r="E2499" t="str">
        <f t="shared" si="112"/>
        <v>SUNDAY</v>
      </c>
      <c r="F2499" t="e">
        <f t="shared" si="113"/>
        <v>#N/A</v>
      </c>
      <c r="G2499" s="74">
        <v>32977</v>
      </c>
      <c r="H2499" s="77">
        <v>0.375</v>
      </c>
      <c r="J2499">
        <v>50</v>
      </c>
      <c r="M2499" s="74">
        <v>33342</v>
      </c>
      <c r="N2499" s="77">
        <v>0.375</v>
      </c>
      <c r="P2499">
        <v>44.06</v>
      </c>
      <c r="S2499" s="74">
        <v>33342</v>
      </c>
      <c r="T2499" s="77">
        <v>0.375</v>
      </c>
      <c r="V2499">
        <v>44.06</v>
      </c>
      <c r="X2499" s="42"/>
      <c r="AB2499">
        <v>49.8</v>
      </c>
      <c r="AC2499">
        <v>46.94</v>
      </c>
      <c r="AE2499" s="74"/>
      <c r="AF2499" s="77"/>
      <c r="AH2499" s="497">
        <v>41</v>
      </c>
      <c r="AJ2499" s="42"/>
      <c r="AK2499" s="74"/>
      <c r="AL2499" s="77"/>
      <c r="AN2499" s="497">
        <v>35.96</v>
      </c>
      <c r="AP2499" s="42"/>
      <c r="AQ2499" s="74"/>
      <c r="AR2499" s="77"/>
      <c r="AT2499" s="497">
        <v>51.08</v>
      </c>
      <c r="AV2499" s="42"/>
      <c r="AW2499" s="74"/>
      <c r="AX2499" s="77"/>
      <c r="BA2499" s="497">
        <v>50</v>
      </c>
      <c r="BB2499" s="42"/>
      <c r="BC2499" s="74"/>
      <c r="BD2499" s="77"/>
      <c r="BF2499">
        <v>37.04</v>
      </c>
      <c r="BH2499" s="42"/>
      <c r="BI2499" s="74"/>
      <c r="BJ2499" s="77"/>
      <c r="BL2499" s="497">
        <v>55.040000000000006</v>
      </c>
      <c r="BN2499" s="42"/>
      <c r="BO2499" s="74"/>
      <c r="BP2499" s="77"/>
      <c r="BR2499" s="497">
        <v>35.96</v>
      </c>
      <c r="BT2499" s="42"/>
    </row>
    <row r="2500" spans="1:72" x14ac:dyDescent="0.25">
      <c r="A2500" s="90">
        <v>33342</v>
      </c>
      <c r="B2500" s="20">
        <v>0.41666666666666669</v>
      </c>
      <c r="D2500">
        <v>62.06</v>
      </c>
      <c r="E2500" t="str">
        <f t="shared" si="112"/>
        <v>SUNDAY</v>
      </c>
      <c r="F2500" t="e">
        <f t="shared" si="113"/>
        <v>#N/A</v>
      </c>
      <c r="G2500" s="74">
        <v>32977</v>
      </c>
      <c r="H2500" s="77">
        <v>0.41666666666666669</v>
      </c>
      <c r="J2500">
        <v>51.08</v>
      </c>
      <c r="M2500" s="74">
        <v>33342</v>
      </c>
      <c r="N2500" s="77">
        <v>0.41666666666666669</v>
      </c>
      <c r="P2500">
        <v>46.94</v>
      </c>
      <c r="S2500" s="74">
        <v>33342</v>
      </c>
      <c r="T2500" s="77">
        <v>0.41666666666666669</v>
      </c>
      <c r="V2500">
        <v>46.94</v>
      </c>
      <c r="X2500" s="42"/>
      <c r="AB2500">
        <v>51.7</v>
      </c>
      <c r="AC2500">
        <v>46.94</v>
      </c>
      <c r="AE2500" s="74"/>
      <c r="AF2500" s="77"/>
      <c r="AH2500" s="497">
        <v>46.94</v>
      </c>
      <c r="AJ2500" s="42"/>
      <c r="AK2500" s="74"/>
      <c r="AL2500" s="77"/>
      <c r="AN2500" s="497">
        <v>37.04</v>
      </c>
      <c r="AP2500" s="42"/>
      <c r="AQ2500" s="74"/>
      <c r="AR2500" s="77"/>
      <c r="AT2500" s="497">
        <v>53.06</v>
      </c>
      <c r="AV2500" s="42"/>
      <c r="AW2500" s="74"/>
      <c r="AX2500" s="77"/>
      <c r="BA2500" s="497">
        <v>51.980000000000004</v>
      </c>
      <c r="BB2500" s="42"/>
      <c r="BC2500" s="74"/>
      <c r="BD2500" s="77"/>
      <c r="BF2500">
        <v>37.04</v>
      </c>
      <c r="BH2500" s="42"/>
      <c r="BI2500" s="74"/>
      <c r="BJ2500" s="77"/>
      <c r="BL2500" s="497">
        <v>59</v>
      </c>
      <c r="BN2500" s="42"/>
      <c r="BO2500" s="74"/>
      <c r="BP2500" s="77"/>
      <c r="BR2500" s="497">
        <v>37.04</v>
      </c>
      <c r="BT2500" s="42"/>
    </row>
    <row r="2501" spans="1:72" x14ac:dyDescent="0.25">
      <c r="A2501" s="90">
        <v>33342</v>
      </c>
      <c r="B2501" s="20">
        <v>0.45833333333333331</v>
      </c>
      <c r="D2501">
        <v>62.96</v>
      </c>
      <c r="E2501" t="str">
        <f t="shared" si="112"/>
        <v>SUNDAY</v>
      </c>
      <c r="F2501" t="e">
        <f t="shared" si="113"/>
        <v>#N/A</v>
      </c>
      <c r="G2501" s="74">
        <v>32977</v>
      </c>
      <c r="H2501" s="77">
        <v>0.45833333333333331</v>
      </c>
      <c r="J2501">
        <v>50</v>
      </c>
      <c r="M2501" s="74">
        <v>33342</v>
      </c>
      <c r="N2501" s="77">
        <v>0.45833333333333331</v>
      </c>
      <c r="P2501">
        <v>50</v>
      </c>
      <c r="S2501" s="74">
        <v>33342</v>
      </c>
      <c r="T2501" s="77">
        <v>0.45833333333333331</v>
      </c>
      <c r="V2501">
        <v>50</v>
      </c>
      <c r="X2501" s="42"/>
      <c r="AB2501">
        <v>53.4</v>
      </c>
      <c r="AC2501">
        <v>51.08</v>
      </c>
      <c r="AE2501" s="74"/>
      <c r="AF2501" s="77"/>
      <c r="AH2501" s="497">
        <v>50</v>
      </c>
      <c r="AJ2501" s="42"/>
      <c r="AK2501" s="74"/>
      <c r="AL2501" s="77"/>
      <c r="AN2501" s="497">
        <v>37.94</v>
      </c>
      <c r="AP2501" s="42"/>
      <c r="AQ2501" s="74"/>
      <c r="AR2501" s="77"/>
      <c r="AT2501" s="497">
        <v>55.94</v>
      </c>
      <c r="AV2501" s="42"/>
      <c r="AW2501" s="74"/>
      <c r="AX2501" s="77"/>
      <c r="BA2501" s="497">
        <v>53.06</v>
      </c>
      <c r="BB2501" s="42"/>
      <c r="BC2501" s="74"/>
      <c r="BD2501" s="77"/>
      <c r="BF2501">
        <v>37.94</v>
      </c>
      <c r="BH2501" s="42"/>
      <c r="BI2501" s="74"/>
      <c r="BJ2501" s="77"/>
      <c r="BL2501" s="497">
        <v>62.96</v>
      </c>
      <c r="BN2501" s="42"/>
      <c r="BO2501" s="74"/>
      <c r="BP2501" s="77"/>
      <c r="BR2501" s="497">
        <v>42.08</v>
      </c>
      <c r="BT2501" s="42"/>
    </row>
    <row r="2502" spans="1:72" x14ac:dyDescent="0.25">
      <c r="A2502" s="90">
        <v>33342</v>
      </c>
      <c r="B2502" s="20">
        <v>0.5</v>
      </c>
      <c r="D2502">
        <v>64.039999999999992</v>
      </c>
      <c r="E2502" t="str">
        <f t="shared" si="112"/>
        <v>SUNDAY</v>
      </c>
      <c r="F2502" t="e">
        <f t="shared" si="113"/>
        <v>#N/A</v>
      </c>
      <c r="G2502" s="74">
        <v>32977</v>
      </c>
      <c r="H2502" s="77">
        <v>0.5</v>
      </c>
      <c r="J2502">
        <v>51.980000000000004</v>
      </c>
      <c r="M2502" s="74">
        <v>33342</v>
      </c>
      <c r="N2502" s="77">
        <v>0.5</v>
      </c>
      <c r="P2502">
        <v>51.08</v>
      </c>
      <c r="S2502" s="74">
        <v>33342</v>
      </c>
      <c r="T2502" s="77">
        <v>0.5</v>
      </c>
      <c r="V2502">
        <v>51.08</v>
      </c>
      <c r="X2502" s="42"/>
      <c r="AB2502">
        <v>54.8</v>
      </c>
      <c r="AC2502">
        <v>53.96</v>
      </c>
      <c r="AE2502" s="74"/>
      <c r="AF2502" s="77"/>
      <c r="AH2502" s="497">
        <v>53.96</v>
      </c>
      <c r="AJ2502" s="42"/>
      <c r="AK2502" s="74"/>
      <c r="AL2502" s="77"/>
      <c r="AN2502" s="497">
        <v>41</v>
      </c>
      <c r="AP2502" s="42"/>
      <c r="AQ2502" s="74"/>
      <c r="AR2502" s="77"/>
      <c r="AT2502" s="497">
        <v>57.019999999999996</v>
      </c>
      <c r="AV2502" s="42"/>
      <c r="AW2502" s="74"/>
      <c r="AX2502" s="77"/>
      <c r="BA2502" s="497">
        <v>59</v>
      </c>
      <c r="BB2502" s="42"/>
      <c r="BC2502" s="74"/>
      <c r="BD2502" s="77"/>
      <c r="BF2502">
        <v>39.019999999999996</v>
      </c>
      <c r="BH2502" s="42"/>
      <c r="BI2502" s="74"/>
      <c r="BJ2502" s="77"/>
      <c r="BL2502" s="497">
        <v>62.96</v>
      </c>
      <c r="BN2502" s="42"/>
      <c r="BO2502" s="74"/>
      <c r="BP2502" s="77"/>
      <c r="BR2502" s="497">
        <v>46.04</v>
      </c>
      <c r="BT2502" s="42"/>
    </row>
    <row r="2503" spans="1:72" x14ac:dyDescent="0.25">
      <c r="A2503" s="90">
        <v>33342</v>
      </c>
      <c r="B2503" s="20">
        <v>0.54166666666666663</v>
      </c>
      <c r="D2503">
        <v>66.02</v>
      </c>
      <c r="E2503" t="str">
        <f t="shared" si="112"/>
        <v>SUNDAY</v>
      </c>
      <c r="F2503" t="e">
        <f t="shared" si="113"/>
        <v>#N/A</v>
      </c>
      <c r="G2503" s="74">
        <v>32977</v>
      </c>
      <c r="H2503" s="77">
        <v>0.54166666666666663</v>
      </c>
      <c r="J2503">
        <v>51.980000000000004</v>
      </c>
      <c r="M2503" s="74">
        <v>33342</v>
      </c>
      <c r="N2503" s="77">
        <v>0.54166666666666663</v>
      </c>
      <c r="P2503">
        <v>51.980000000000004</v>
      </c>
      <c r="S2503" s="74">
        <v>33342</v>
      </c>
      <c r="T2503" s="77">
        <v>0.54166666666666663</v>
      </c>
      <c r="V2503">
        <v>51.980000000000004</v>
      </c>
      <c r="X2503" s="42"/>
      <c r="AB2503">
        <v>55.7</v>
      </c>
      <c r="AC2503">
        <v>53.96</v>
      </c>
      <c r="AE2503" s="74"/>
      <c r="AF2503" s="77"/>
      <c r="AH2503" s="497">
        <v>57.019999999999996</v>
      </c>
      <c r="AJ2503" s="42"/>
      <c r="AK2503" s="74"/>
      <c r="AL2503" s="77"/>
      <c r="AN2503" s="497">
        <v>41</v>
      </c>
      <c r="AP2503" s="42"/>
      <c r="AQ2503" s="74"/>
      <c r="AR2503" s="77"/>
      <c r="AT2503" s="497">
        <v>57.92</v>
      </c>
      <c r="AV2503" s="42"/>
      <c r="AW2503" s="74"/>
      <c r="AX2503" s="77"/>
      <c r="BA2503" s="497">
        <v>62.06</v>
      </c>
      <c r="BB2503" s="42"/>
      <c r="BC2503" s="74"/>
      <c r="BD2503" s="77"/>
      <c r="BF2503">
        <v>39.92</v>
      </c>
      <c r="BH2503" s="42"/>
      <c r="BI2503" s="74"/>
      <c r="BJ2503" s="77"/>
      <c r="BL2503" s="497">
        <v>64.039999999999992</v>
      </c>
      <c r="BN2503" s="42"/>
      <c r="BO2503" s="74"/>
      <c r="BP2503" s="77"/>
      <c r="BR2503" s="497">
        <v>53.96</v>
      </c>
      <c r="BT2503" s="42"/>
    </row>
    <row r="2504" spans="1:72" x14ac:dyDescent="0.25">
      <c r="A2504" s="90">
        <v>33342</v>
      </c>
      <c r="B2504" s="20">
        <v>0.58333333333333337</v>
      </c>
      <c r="D2504">
        <v>66.92</v>
      </c>
      <c r="E2504" t="str">
        <f t="shared" si="112"/>
        <v>SUNDAY</v>
      </c>
      <c r="F2504" t="e">
        <f t="shared" si="113"/>
        <v>#N/A</v>
      </c>
      <c r="G2504" s="74">
        <v>32977</v>
      </c>
      <c r="H2504" s="77">
        <v>0.58333333333333337</v>
      </c>
      <c r="J2504">
        <v>51.980000000000004</v>
      </c>
      <c r="M2504" s="74">
        <v>33342</v>
      </c>
      <c r="N2504" s="77">
        <v>0.58333333333333337</v>
      </c>
      <c r="P2504">
        <v>53.06</v>
      </c>
      <c r="S2504" s="74">
        <v>33342</v>
      </c>
      <c r="T2504" s="77">
        <v>0.58333333333333337</v>
      </c>
      <c r="V2504">
        <v>51.08</v>
      </c>
      <c r="X2504" s="42"/>
      <c r="AB2504">
        <v>56.4</v>
      </c>
      <c r="AC2504">
        <v>51.980000000000004</v>
      </c>
      <c r="AE2504" s="74"/>
      <c r="AF2504" s="77"/>
      <c r="AH2504" s="497">
        <v>57.019999999999996</v>
      </c>
      <c r="AJ2504" s="42"/>
      <c r="AK2504" s="74"/>
      <c r="AL2504" s="77"/>
      <c r="AN2504" s="497">
        <v>41</v>
      </c>
      <c r="AP2504" s="42"/>
      <c r="AQ2504" s="74"/>
      <c r="AR2504" s="77"/>
      <c r="AT2504" s="497">
        <v>57.92</v>
      </c>
      <c r="AV2504" s="42"/>
      <c r="AW2504" s="74"/>
      <c r="AX2504" s="77"/>
      <c r="BA2504" s="497">
        <v>64.039999999999992</v>
      </c>
      <c r="BB2504" s="42"/>
      <c r="BC2504" s="74"/>
      <c r="BD2504" s="77"/>
      <c r="BF2504">
        <v>42.08</v>
      </c>
      <c r="BH2504" s="42"/>
      <c r="BI2504" s="74"/>
      <c r="BJ2504" s="77"/>
      <c r="BL2504" s="497">
        <v>64.94</v>
      </c>
      <c r="BN2504" s="42"/>
      <c r="BO2504" s="74"/>
      <c r="BP2504" s="77"/>
      <c r="BR2504" s="497">
        <v>57.019999999999996</v>
      </c>
      <c r="BT2504" s="42"/>
    </row>
    <row r="2505" spans="1:72" x14ac:dyDescent="0.25">
      <c r="A2505" s="90">
        <v>33342</v>
      </c>
      <c r="B2505" s="20">
        <v>0.625</v>
      </c>
      <c r="D2505">
        <v>68</v>
      </c>
      <c r="E2505" t="str">
        <f t="shared" si="112"/>
        <v>SUNDAY</v>
      </c>
      <c r="F2505" t="e">
        <f t="shared" si="113"/>
        <v>#N/A</v>
      </c>
      <c r="G2505" s="74">
        <v>32977</v>
      </c>
      <c r="H2505" s="77">
        <v>0.625</v>
      </c>
      <c r="J2505">
        <v>51.980000000000004</v>
      </c>
      <c r="M2505" s="74">
        <v>33342</v>
      </c>
      <c r="N2505" s="77">
        <v>0.625</v>
      </c>
      <c r="P2505">
        <v>53.96</v>
      </c>
      <c r="S2505" s="74">
        <v>33342</v>
      </c>
      <c r="T2505" s="77">
        <v>0.625</v>
      </c>
      <c r="V2505">
        <v>50</v>
      </c>
      <c r="X2505" s="42"/>
      <c r="AB2505">
        <v>56.5</v>
      </c>
      <c r="AC2505">
        <v>51.08</v>
      </c>
      <c r="AE2505" s="74"/>
      <c r="AF2505" s="77"/>
      <c r="AH2505" s="497">
        <v>59</v>
      </c>
      <c r="AJ2505" s="42"/>
      <c r="AK2505" s="74"/>
      <c r="AL2505" s="77"/>
      <c r="AN2505" s="497">
        <v>42.08</v>
      </c>
      <c r="AP2505" s="42"/>
      <c r="AQ2505" s="74"/>
      <c r="AR2505" s="77"/>
      <c r="AT2505" s="497">
        <v>60.08</v>
      </c>
      <c r="AV2505" s="42"/>
      <c r="AW2505" s="74"/>
      <c r="AX2505" s="77"/>
      <c r="BA2505" s="497">
        <v>62.96</v>
      </c>
      <c r="BB2505" s="42"/>
      <c r="BC2505" s="74"/>
      <c r="BD2505" s="77"/>
      <c r="BF2505">
        <v>44.06</v>
      </c>
      <c r="BH2505" s="42"/>
      <c r="BI2505" s="74"/>
      <c r="BJ2505" s="77"/>
      <c r="BL2505" s="497">
        <v>64.039999999999992</v>
      </c>
      <c r="BN2505" s="42"/>
      <c r="BO2505" s="74"/>
      <c r="BP2505" s="77"/>
      <c r="BR2505" s="497">
        <v>59</v>
      </c>
      <c r="BT2505" s="42"/>
    </row>
    <row r="2506" spans="1:72" x14ac:dyDescent="0.25">
      <c r="A2506" s="90">
        <v>33342</v>
      </c>
      <c r="B2506" s="20">
        <v>0.66666666666666663</v>
      </c>
      <c r="D2506">
        <v>69.080000000000013</v>
      </c>
      <c r="E2506" t="str">
        <f t="shared" si="112"/>
        <v>SUNDAY</v>
      </c>
      <c r="F2506" t="e">
        <f t="shared" si="113"/>
        <v>#N/A</v>
      </c>
      <c r="G2506" s="74">
        <v>32977</v>
      </c>
      <c r="H2506" s="77">
        <v>0.66666666666666663</v>
      </c>
      <c r="J2506">
        <v>51.08</v>
      </c>
      <c r="M2506" s="74">
        <v>33342</v>
      </c>
      <c r="N2506" s="77">
        <v>0.66666666666666663</v>
      </c>
      <c r="P2506">
        <v>51.980000000000004</v>
      </c>
      <c r="S2506" s="74">
        <v>33342</v>
      </c>
      <c r="T2506" s="77">
        <v>0.66666666666666663</v>
      </c>
      <c r="V2506">
        <v>48.019999999999996</v>
      </c>
      <c r="X2506" s="42"/>
      <c r="AB2506">
        <v>56.2</v>
      </c>
      <c r="AC2506">
        <v>48.92</v>
      </c>
      <c r="AE2506" s="74"/>
      <c r="AF2506" s="77"/>
      <c r="AH2506" s="497">
        <v>50</v>
      </c>
      <c r="AJ2506" s="42"/>
      <c r="AK2506" s="74"/>
      <c r="AL2506" s="77"/>
      <c r="AN2506" s="497">
        <v>42.08</v>
      </c>
      <c r="AP2506" s="42"/>
      <c r="AQ2506" s="74"/>
      <c r="AR2506" s="77"/>
      <c r="AT2506" s="497">
        <v>60.980000000000004</v>
      </c>
      <c r="AV2506" s="42"/>
      <c r="AW2506" s="74"/>
      <c r="AX2506" s="77"/>
      <c r="BA2506" s="497">
        <v>62.96</v>
      </c>
      <c r="BB2506" s="42"/>
      <c r="BC2506" s="74"/>
      <c r="BD2506" s="77"/>
      <c r="BF2506">
        <v>46.04</v>
      </c>
      <c r="BH2506" s="42"/>
      <c r="BI2506" s="74"/>
      <c r="BJ2506" s="77"/>
      <c r="BL2506" s="497">
        <v>60.08</v>
      </c>
      <c r="BN2506" s="42"/>
      <c r="BO2506" s="74"/>
      <c r="BP2506" s="77"/>
      <c r="BR2506" s="497">
        <v>60.08</v>
      </c>
      <c r="BT2506" s="42"/>
    </row>
    <row r="2507" spans="1:72" x14ac:dyDescent="0.25">
      <c r="A2507" s="90">
        <v>33342</v>
      </c>
      <c r="B2507" s="20">
        <v>0.70833333333333337</v>
      </c>
      <c r="D2507">
        <v>71.06</v>
      </c>
      <c r="E2507" t="str">
        <f t="shared" si="112"/>
        <v>SUNDAY</v>
      </c>
      <c r="F2507" t="e">
        <f t="shared" si="113"/>
        <v>#N/A</v>
      </c>
      <c r="G2507" s="74">
        <v>32977</v>
      </c>
      <c r="H2507" s="77">
        <v>0.70833333333333337</v>
      </c>
      <c r="J2507">
        <v>50</v>
      </c>
      <c r="M2507" s="74">
        <v>33342</v>
      </c>
      <c r="N2507" s="77">
        <v>0.70833333333333337</v>
      </c>
      <c r="P2507">
        <v>51.08</v>
      </c>
      <c r="S2507" s="74">
        <v>33342</v>
      </c>
      <c r="T2507" s="77">
        <v>0.70833333333333337</v>
      </c>
      <c r="V2507">
        <v>46.94</v>
      </c>
      <c r="X2507" s="42"/>
      <c r="AB2507">
        <v>55.3</v>
      </c>
      <c r="AC2507">
        <v>48.019999999999996</v>
      </c>
      <c r="AE2507" s="74"/>
      <c r="AF2507" s="77"/>
      <c r="AH2507" s="497">
        <v>53.96</v>
      </c>
      <c r="AJ2507" s="42"/>
      <c r="AK2507" s="74"/>
      <c r="AL2507" s="77"/>
      <c r="AN2507" s="497">
        <v>42.980000000000004</v>
      </c>
      <c r="AP2507" s="42"/>
      <c r="AQ2507" s="74"/>
      <c r="AR2507" s="77"/>
      <c r="AT2507" s="497">
        <v>62.96</v>
      </c>
      <c r="AV2507" s="42"/>
      <c r="AW2507" s="74"/>
      <c r="AX2507" s="77"/>
      <c r="BA2507" s="497">
        <v>64.039999999999992</v>
      </c>
      <c r="BB2507" s="42"/>
      <c r="BC2507" s="74"/>
      <c r="BD2507" s="77"/>
      <c r="BF2507">
        <v>51.08</v>
      </c>
      <c r="BH2507" s="42"/>
      <c r="BI2507" s="74"/>
      <c r="BJ2507" s="77"/>
      <c r="BL2507" s="497">
        <v>59</v>
      </c>
      <c r="BN2507" s="42"/>
      <c r="BO2507" s="74"/>
      <c r="BP2507" s="77"/>
      <c r="BR2507" s="497">
        <v>57.92</v>
      </c>
      <c r="BT2507" s="42"/>
    </row>
    <row r="2508" spans="1:72" x14ac:dyDescent="0.25">
      <c r="A2508" s="90">
        <v>33342</v>
      </c>
      <c r="B2508" s="20">
        <v>0.75</v>
      </c>
      <c r="D2508">
        <v>66.92</v>
      </c>
      <c r="E2508" t="str">
        <f t="shared" si="112"/>
        <v>SUNDAY</v>
      </c>
      <c r="F2508" t="e">
        <f t="shared" si="113"/>
        <v>#N/A</v>
      </c>
      <c r="G2508" s="74">
        <v>32977</v>
      </c>
      <c r="H2508" s="77">
        <v>0.75</v>
      </c>
      <c r="J2508">
        <v>48.92</v>
      </c>
      <c r="M2508" s="74">
        <v>33342</v>
      </c>
      <c r="N2508" s="77">
        <v>0.75</v>
      </c>
      <c r="P2508">
        <v>48.019999999999996</v>
      </c>
      <c r="S2508" s="74">
        <v>33342</v>
      </c>
      <c r="T2508" s="77">
        <v>0.75</v>
      </c>
      <c r="V2508">
        <v>44.96</v>
      </c>
      <c r="X2508" s="42"/>
      <c r="AB2508">
        <v>54.1</v>
      </c>
      <c r="AC2508">
        <v>46.04</v>
      </c>
      <c r="AE2508" s="74"/>
      <c r="AF2508" s="77"/>
      <c r="AH2508" s="497">
        <v>53.06</v>
      </c>
      <c r="AJ2508" s="42"/>
      <c r="AK2508" s="74"/>
      <c r="AL2508" s="77"/>
      <c r="AN2508" s="497">
        <v>44.96</v>
      </c>
      <c r="AP2508" s="42"/>
      <c r="AQ2508" s="74"/>
      <c r="AR2508" s="77"/>
      <c r="AT2508" s="497">
        <v>60.980000000000004</v>
      </c>
      <c r="AV2508" s="42"/>
      <c r="AW2508" s="74"/>
      <c r="AX2508" s="77"/>
      <c r="BA2508" s="497">
        <v>62.96</v>
      </c>
      <c r="BB2508" s="42"/>
      <c r="BC2508" s="74"/>
      <c r="BD2508" s="77"/>
      <c r="BF2508">
        <v>57.019999999999996</v>
      </c>
      <c r="BH2508" s="42"/>
      <c r="BI2508" s="74"/>
      <c r="BJ2508" s="77"/>
      <c r="BL2508" s="497">
        <v>57.92</v>
      </c>
      <c r="BN2508" s="42"/>
      <c r="BO2508" s="74"/>
      <c r="BP2508" s="77"/>
      <c r="BR2508" s="497">
        <v>55.94</v>
      </c>
      <c r="BT2508" s="42"/>
    </row>
    <row r="2509" spans="1:72" x14ac:dyDescent="0.25">
      <c r="A2509" s="90">
        <v>33342</v>
      </c>
      <c r="B2509" s="20">
        <v>0.79166666666666663</v>
      </c>
      <c r="D2509">
        <v>64.94</v>
      </c>
      <c r="E2509" t="str">
        <f t="shared" si="112"/>
        <v>SUNDAY</v>
      </c>
      <c r="F2509" t="e">
        <f t="shared" si="113"/>
        <v>#N/A</v>
      </c>
      <c r="G2509" s="74">
        <v>32977</v>
      </c>
      <c r="H2509" s="77">
        <v>0.79166666666666663</v>
      </c>
      <c r="J2509">
        <v>48.019999999999996</v>
      </c>
      <c r="M2509" s="74">
        <v>33342</v>
      </c>
      <c r="N2509" s="77">
        <v>0.79166666666666663</v>
      </c>
      <c r="P2509">
        <v>46.04</v>
      </c>
      <c r="S2509" s="74">
        <v>33342</v>
      </c>
      <c r="T2509" s="77">
        <v>0.79166666666666663</v>
      </c>
      <c r="V2509">
        <v>44.06</v>
      </c>
      <c r="X2509" s="42"/>
      <c r="AB2509">
        <v>52.5</v>
      </c>
      <c r="AC2509">
        <v>44.96</v>
      </c>
      <c r="AE2509" s="74"/>
      <c r="AF2509" s="77"/>
      <c r="AH2509" s="497">
        <v>51.08</v>
      </c>
      <c r="AJ2509" s="42"/>
      <c r="AK2509" s="74"/>
      <c r="AL2509" s="77"/>
      <c r="AN2509" s="497">
        <v>44.96</v>
      </c>
      <c r="AP2509" s="42"/>
      <c r="AQ2509" s="74"/>
      <c r="AR2509" s="77"/>
      <c r="AT2509" s="497">
        <v>55.040000000000006</v>
      </c>
      <c r="AV2509" s="42"/>
      <c r="AW2509" s="74"/>
      <c r="AX2509" s="77"/>
      <c r="BA2509" s="497">
        <v>62.06</v>
      </c>
      <c r="BB2509" s="42"/>
      <c r="BC2509" s="74"/>
      <c r="BD2509" s="77"/>
      <c r="BF2509">
        <v>57.92</v>
      </c>
      <c r="BH2509" s="42"/>
      <c r="BI2509" s="74"/>
      <c r="BJ2509" s="77"/>
      <c r="BL2509" s="497">
        <v>57.92</v>
      </c>
      <c r="BN2509" s="42"/>
      <c r="BO2509" s="74"/>
      <c r="BP2509" s="77"/>
      <c r="BR2509" s="497">
        <v>59</v>
      </c>
      <c r="BT2509" s="42"/>
    </row>
    <row r="2510" spans="1:72" x14ac:dyDescent="0.25">
      <c r="A2510" s="90">
        <v>33342</v>
      </c>
      <c r="B2510" s="20">
        <v>0.83333333333333337</v>
      </c>
      <c r="D2510">
        <v>62.96</v>
      </c>
      <c r="E2510" t="str">
        <f t="shared" si="112"/>
        <v>SUNDAY</v>
      </c>
      <c r="F2510" t="e">
        <f t="shared" si="113"/>
        <v>#N/A</v>
      </c>
      <c r="G2510" s="74">
        <v>32977</v>
      </c>
      <c r="H2510" s="77">
        <v>0.83333333333333337</v>
      </c>
      <c r="J2510">
        <v>48.92</v>
      </c>
      <c r="M2510" s="74">
        <v>33342</v>
      </c>
      <c r="N2510" s="77">
        <v>0.83333333333333337</v>
      </c>
      <c r="P2510">
        <v>44.96</v>
      </c>
      <c r="S2510" s="74">
        <v>33342</v>
      </c>
      <c r="T2510" s="77">
        <v>0.83333333333333337</v>
      </c>
      <c r="V2510">
        <v>44.06</v>
      </c>
      <c r="X2510" s="42"/>
      <c r="AB2510">
        <v>51.2</v>
      </c>
      <c r="AC2510">
        <v>44.96</v>
      </c>
      <c r="AE2510" s="74"/>
      <c r="AF2510" s="77"/>
      <c r="AH2510" s="497">
        <v>48.92</v>
      </c>
      <c r="AJ2510" s="42"/>
      <c r="AK2510" s="74"/>
      <c r="AL2510" s="77"/>
      <c r="AN2510" s="497">
        <v>46.94</v>
      </c>
      <c r="AP2510" s="42"/>
      <c r="AQ2510" s="74"/>
      <c r="AR2510" s="77"/>
      <c r="AT2510" s="497">
        <v>51.980000000000004</v>
      </c>
      <c r="AV2510" s="42"/>
      <c r="AW2510" s="74"/>
      <c r="AX2510" s="77"/>
      <c r="BA2510" s="497">
        <v>60.980000000000004</v>
      </c>
      <c r="BB2510" s="42"/>
      <c r="BC2510" s="74"/>
      <c r="BD2510" s="77"/>
      <c r="BF2510">
        <v>57.019999999999996</v>
      </c>
      <c r="BH2510" s="42"/>
      <c r="BI2510" s="74"/>
      <c r="BJ2510" s="77"/>
      <c r="BL2510" s="497">
        <v>57.92</v>
      </c>
      <c r="BN2510" s="42"/>
      <c r="BO2510" s="74"/>
      <c r="BP2510" s="77"/>
      <c r="BR2510" s="497">
        <v>55.040000000000006</v>
      </c>
      <c r="BT2510" s="42"/>
    </row>
    <row r="2511" spans="1:72" x14ac:dyDescent="0.25">
      <c r="A2511" s="90">
        <v>33342</v>
      </c>
      <c r="B2511" s="20">
        <v>0.875</v>
      </c>
      <c r="D2511">
        <v>62.06</v>
      </c>
      <c r="E2511" t="str">
        <f t="shared" si="112"/>
        <v>SUNDAY</v>
      </c>
      <c r="F2511" t="e">
        <f t="shared" si="113"/>
        <v>#N/A</v>
      </c>
      <c r="G2511" s="74">
        <v>32977</v>
      </c>
      <c r="H2511" s="77">
        <v>0.875</v>
      </c>
      <c r="J2511">
        <v>48.92</v>
      </c>
      <c r="M2511" s="74">
        <v>33342</v>
      </c>
      <c r="N2511" s="77">
        <v>0.875</v>
      </c>
      <c r="P2511">
        <v>44.96</v>
      </c>
      <c r="S2511" s="74">
        <v>33342</v>
      </c>
      <c r="T2511" s="77">
        <v>0.875</v>
      </c>
      <c r="V2511">
        <v>44.06</v>
      </c>
      <c r="X2511" s="42"/>
      <c r="AB2511">
        <v>50.5</v>
      </c>
      <c r="AC2511">
        <v>44.06</v>
      </c>
      <c r="AE2511" s="74"/>
      <c r="AF2511" s="77"/>
      <c r="AH2511" s="497">
        <v>48.019999999999996</v>
      </c>
      <c r="AJ2511" s="42"/>
      <c r="AK2511" s="74"/>
      <c r="AL2511" s="77"/>
      <c r="AN2511" s="497">
        <v>48.92</v>
      </c>
      <c r="AP2511" s="42"/>
      <c r="AQ2511" s="74"/>
      <c r="AR2511" s="77"/>
      <c r="AT2511" s="497">
        <v>46.94</v>
      </c>
      <c r="AV2511" s="42"/>
      <c r="AW2511" s="74"/>
      <c r="AX2511" s="77"/>
      <c r="BA2511" s="497">
        <v>60.08</v>
      </c>
      <c r="BB2511" s="42"/>
      <c r="BC2511" s="74"/>
      <c r="BD2511" s="77"/>
      <c r="BF2511">
        <v>48.92</v>
      </c>
      <c r="BH2511" s="42"/>
      <c r="BI2511" s="74"/>
      <c r="BJ2511" s="77"/>
      <c r="BL2511" s="497">
        <v>57.92</v>
      </c>
      <c r="BN2511" s="42"/>
      <c r="BO2511" s="74"/>
      <c r="BP2511" s="77"/>
      <c r="BR2511" s="497">
        <v>53.96</v>
      </c>
      <c r="BT2511" s="42"/>
    </row>
    <row r="2512" spans="1:72" x14ac:dyDescent="0.25">
      <c r="A2512" s="90">
        <v>33342</v>
      </c>
      <c r="B2512" s="20">
        <v>0.91666666666666663</v>
      </c>
      <c r="D2512">
        <v>62.96</v>
      </c>
      <c r="E2512" t="str">
        <f t="shared" si="112"/>
        <v>SUNDAY</v>
      </c>
      <c r="F2512" t="e">
        <f t="shared" si="113"/>
        <v>#N/A</v>
      </c>
      <c r="G2512" s="74">
        <v>32977</v>
      </c>
      <c r="H2512" s="77">
        <v>0.91666666666666663</v>
      </c>
      <c r="J2512">
        <v>48.92</v>
      </c>
      <c r="M2512" s="74">
        <v>33342</v>
      </c>
      <c r="N2512" s="77">
        <v>0.91666666666666663</v>
      </c>
      <c r="P2512">
        <v>44.96</v>
      </c>
      <c r="S2512" s="74">
        <v>33342</v>
      </c>
      <c r="T2512" s="77">
        <v>0.91666666666666663</v>
      </c>
      <c r="V2512">
        <v>44.06</v>
      </c>
      <c r="X2512" s="42"/>
      <c r="AB2512">
        <v>49.8</v>
      </c>
      <c r="AC2512">
        <v>44.06</v>
      </c>
      <c r="AE2512" s="74"/>
      <c r="AF2512" s="77"/>
      <c r="AH2512" s="497">
        <v>46.94</v>
      </c>
      <c r="AJ2512" s="42"/>
      <c r="AK2512" s="74"/>
      <c r="AL2512" s="77"/>
      <c r="AN2512" s="497">
        <v>51.08</v>
      </c>
      <c r="AP2512" s="42"/>
      <c r="AQ2512" s="74"/>
      <c r="AR2512" s="77"/>
      <c r="AT2512" s="497">
        <v>44.96</v>
      </c>
      <c r="AV2512" s="42"/>
      <c r="AW2512" s="74"/>
      <c r="AX2512" s="77"/>
      <c r="BA2512" s="497">
        <v>57.92</v>
      </c>
      <c r="BB2512" s="42"/>
      <c r="BC2512" s="74"/>
      <c r="BD2512" s="77"/>
      <c r="BF2512">
        <v>46.04</v>
      </c>
      <c r="BH2512" s="42"/>
      <c r="BI2512" s="74"/>
      <c r="BJ2512" s="77"/>
      <c r="BL2512" s="497">
        <v>57.92</v>
      </c>
      <c r="BN2512" s="42"/>
      <c r="BO2512" s="74"/>
      <c r="BP2512" s="77"/>
      <c r="BR2512" s="497">
        <v>53.06</v>
      </c>
      <c r="BT2512" s="42"/>
    </row>
    <row r="2513" spans="1:72" x14ac:dyDescent="0.25">
      <c r="A2513" s="90">
        <v>33342</v>
      </c>
      <c r="B2513" s="20">
        <v>0.95833333333333337</v>
      </c>
      <c r="D2513">
        <v>62.06</v>
      </c>
      <c r="E2513" t="str">
        <f t="shared" si="112"/>
        <v>SUNDAY</v>
      </c>
      <c r="F2513" t="e">
        <f t="shared" si="113"/>
        <v>#N/A</v>
      </c>
      <c r="G2513" s="74">
        <v>32977</v>
      </c>
      <c r="H2513" s="77">
        <v>0.95833333333333337</v>
      </c>
      <c r="J2513">
        <v>48.019999999999996</v>
      </c>
      <c r="M2513" s="74">
        <v>33342</v>
      </c>
      <c r="N2513" s="77">
        <v>0.95833333333333337</v>
      </c>
      <c r="P2513">
        <v>44.06</v>
      </c>
      <c r="S2513" s="74">
        <v>33342</v>
      </c>
      <c r="T2513" s="77">
        <v>0.95833333333333337</v>
      </c>
      <c r="V2513">
        <v>44.06</v>
      </c>
      <c r="X2513" s="42"/>
      <c r="AB2513">
        <v>49.2</v>
      </c>
      <c r="AC2513">
        <v>44.06</v>
      </c>
      <c r="AE2513" s="74"/>
      <c r="AF2513" s="77"/>
      <c r="AH2513" s="497">
        <v>46.04</v>
      </c>
      <c r="AJ2513" s="42"/>
      <c r="AK2513" s="74"/>
      <c r="AL2513" s="77"/>
      <c r="AN2513" s="497">
        <v>51.980000000000004</v>
      </c>
      <c r="AP2513" s="42"/>
      <c r="AQ2513" s="74"/>
      <c r="AR2513" s="77"/>
      <c r="AT2513" s="497">
        <v>41</v>
      </c>
      <c r="AV2513" s="42"/>
      <c r="AW2513" s="74"/>
      <c r="AX2513" s="77"/>
      <c r="BA2513" s="497">
        <v>57.019999999999996</v>
      </c>
      <c r="BB2513" s="42"/>
      <c r="BC2513" s="74"/>
      <c r="BD2513" s="77"/>
      <c r="BF2513">
        <v>42.980000000000004</v>
      </c>
      <c r="BH2513" s="42"/>
      <c r="BI2513" s="74"/>
      <c r="BJ2513" s="77"/>
      <c r="BL2513" s="497">
        <v>57.2</v>
      </c>
      <c r="BN2513" s="42"/>
      <c r="BO2513" s="74"/>
      <c r="BP2513" s="77"/>
      <c r="BR2513" s="497">
        <v>55.040000000000006</v>
      </c>
      <c r="BT2513" s="42"/>
    </row>
    <row r="2514" spans="1:72" x14ac:dyDescent="0.25">
      <c r="A2514" s="90">
        <v>33342</v>
      </c>
      <c r="B2514" s="20">
        <v>1</v>
      </c>
      <c r="D2514">
        <v>57.92</v>
      </c>
      <c r="E2514" t="str">
        <f t="shared" si="112"/>
        <v>SUNDAY</v>
      </c>
      <c r="F2514" t="e">
        <f t="shared" si="113"/>
        <v>#N/A</v>
      </c>
      <c r="G2514" s="74">
        <v>32977</v>
      </c>
      <c r="H2514" s="77">
        <v>1</v>
      </c>
      <c r="J2514">
        <v>48.019999999999996</v>
      </c>
      <c r="M2514" s="74">
        <v>33342</v>
      </c>
      <c r="N2514" s="80">
        <v>1</v>
      </c>
      <c r="P2514">
        <v>42.08</v>
      </c>
      <c r="S2514" s="74">
        <v>33342</v>
      </c>
      <c r="T2514" s="80">
        <v>1</v>
      </c>
      <c r="V2514">
        <v>42.980000000000004</v>
      </c>
      <c r="X2514" s="42"/>
      <c r="AB2514">
        <v>48.7</v>
      </c>
      <c r="AC2514">
        <v>44.96</v>
      </c>
      <c r="AE2514" s="74"/>
      <c r="AF2514" s="80"/>
      <c r="AH2514" s="497">
        <v>41</v>
      </c>
      <c r="AJ2514" s="42"/>
      <c r="AK2514" s="74"/>
      <c r="AL2514" s="80"/>
      <c r="AN2514" s="497">
        <v>51.980000000000004</v>
      </c>
      <c r="AP2514" s="42"/>
      <c r="AQ2514" s="74"/>
      <c r="AR2514" s="80"/>
      <c r="AT2514" s="497">
        <v>39.019999999999996</v>
      </c>
      <c r="AV2514" s="42"/>
      <c r="AW2514" s="74"/>
      <c r="AX2514" s="80"/>
      <c r="BA2514" s="497">
        <v>57.019999999999996</v>
      </c>
      <c r="BB2514" s="42"/>
      <c r="BC2514" s="74"/>
      <c r="BD2514" s="80"/>
      <c r="BF2514">
        <v>41</v>
      </c>
      <c r="BH2514" s="42"/>
      <c r="BI2514" s="74"/>
      <c r="BJ2514" s="80"/>
      <c r="BL2514" s="497">
        <v>55.94</v>
      </c>
      <c r="BN2514" s="42"/>
      <c r="BO2514" s="74"/>
      <c r="BP2514" s="80"/>
      <c r="BR2514" s="497">
        <v>55.94</v>
      </c>
      <c r="BT2514" s="42"/>
    </row>
    <row r="2515" spans="1:72" x14ac:dyDescent="0.25">
      <c r="A2515" s="90">
        <v>33343</v>
      </c>
      <c r="B2515" s="20">
        <v>4.1666666666666664E-2</v>
      </c>
      <c r="D2515">
        <v>57.019999999999996</v>
      </c>
      <c r="E2515" t="str">
        <f t="shared" ref="E2515:E2578" si="114">IF(COUNTIF($DI$18:$DI$22, WEEKDAY(A2515))=1, "WEEKDAY", IF(WEEKDAY(A2515) = 1, "SUNDAY", "SATURDAY"))</f>
        <v>WEEKDAY</v>
      </c>
      <c r="F2515" t="e">
        <f t="shared" si="113"/>
        <v>#N/A</v>
      </c>
      <c r="G2515" s="74">
        <v>32978</v>
      </c>
      <c r="H2515" s="77">
        <v>4.1666666666666664E-2</v>
      </c>
      <c r="J2515">
        <v>48.019999999999996</v>
      </c>
      <c r="M2515" s="74">
        <v>33343</v>
      </c>
      <c r="N2515" s="77">
        <v>4.1666666666666664E-2</v>
      </c>
      <c r="P2515">
        <v>41</v>
      </c>
      <c r="S2515" s="74">
        <v>33343</v>
      </c>
      <c r="T2515" s="77">
        <v>4.1666666666666664E-2</v>
      </c>
      <c r="V2515">
        <v>42.980000000000004</v>
      </c>
      <c r="X2515" s="42"/>
      <c r="AB2515">
        <v>48</v>
      </c>
      <c r="AC2515">
        <v>42.980000000000004</v>
      </c>
      <c r="AE2515" s="74"/>
      <c r="AF2515" s="77"/>
      <c r="AH2515" s="497">
        <v>39.92</v>
      </c>
      <c r="AJ2515" s="42"/>
      <c r="AK2515" s="74"/>
      <c r="AL2515" s="77"/>
      <c r="AN2515" s="497">
        <v>55.040000000000006</v>
      </c>
      <c r="AP2515" s="42"/>
      <c r="AQ2515" s="74"/>
      <c r="AR2515" s="77"/>
      <c r="AT2515" s="497">
        <v>37.94</v>
      </c>
      <c r="AV2515" s="42"/>
      <c r="AW2515" s="74"/>
      <c r="AX2515" s="77"/>
      <c r="BA2515" s="497">
        <v>55.94</v>
      </c>
      <c r="BB2515" s="42"/>
      <c r="BC2515" s="74"/>
      <c r="BD2515" s="77"/>
      <c r="BF2515">
        <v>39.92</v>
      </c>
      <c r="BH2515" s="42"/>
      <c r="BI2515" s="74"/>
      <c r="BJ2515" s="77"/>
      <c r="BL2515" s="497">
        <v>55.94</v>
      </c>
      <c r="BN2515" s="42"/>
      <c r="BO2515" s="74"/>
      <c r="BP2515" s="77"/>
      <c r="BR2515" s="497">
        <v>60.08</v>
      </c>
      <c r="BT2515" s="42"/>
    </row>
    <row r="2516" spans="1:72" x14ac:dyDescent="0.25">
      <c r="A2516" s="90">
        <v>33343</v>
      </c>
      <c r="B2516" s="20">
        <v>8.3333333333333329E-2</v>
      </c>
      <c r="D2516">
        <v>53.06</v>
      </c>
      <c r="E2516" t="str">
        <f t="shared" si="114"/>
        <v>WEEKDAY</v>
      </c>
      <c r="F2516" t="e">
        <f t="shared" si="113"/>
        <v>#N/A</v>
      </c>
      <c r="G2516" s="74">
        <v>32978</v>
      </c>
      <c r="H2516" s="77">
        <v>8.3333333333333329E-2</v>
      </c>
      <c r="J2516">
        <v>48.019999999999996</v>
      </c>
      <c r="M2516" s="74">
        <v>33343</v>
      </c>
      <c r="N2516" s="77">
        <v>8.3333333333333329E-2</v>
      </c>
      <c r="P2516">
        <v>41.36</v>
      </c>
      <c r="S2516" s="74">
        <v>33343</v>
      </c>
      <c r="T2516" s="77">
        <v>8.3333333333333329E-2</v>
      </c>
      <c r="V2516">
        <v>42.980000000000004</v>
      </c>
      <c r="X2516" s="42"/>
      <c r="AB2516">
        <v>47.4</v>
      </c>
      <c r="AC2516">
        <v>42.980000000000004</v>
      </c>
      <c r="AE2516" s="74"/>
      <c r="AF2516" s="77"/>
      <c r="AH2516" s="497">
        <v>39.019999999999996</v>
      </c>
      <c r="AJ2516" s="42"/>
      <c r="AK2516" s="74"/>
      <c r="AL2516" s="77"/>
      <c r="AN2516" s="497">
        <v>51.08</v>
      </c>
      <c r="AP2516" s="42"/>
      <c r="AQ2516" s="74"/>
      <c r="AR2516" s="77"/>
      <c r="AT2516" s="497">
        <v>37.94</v>
      </c>
      <c r="AV2516" s="42"/>
      <c r="AW2516" s="74"/>
      <c r="AX2516" s="77"/>
      <c r="BA2516" s="497">
        <v>55.94</v>
      </c>
      <c r="BB2516" s="42"/>
      <c r="BC2516" s="74"/>
      <c r="BD2516" s="77"/>
      <c r="BF2516">
        <v>39.92</v>
      </c>
      <c r="BH2516" s="42"/>
      <c r="BI2516" s="74"/>
      <c r="BJ2516" s="77"/>
      <c r="BL2516" s="497">
        <v>55.94</v>
      </c>
      <c r="BN2516" s="42"/>
      <c r="BO2516" s="74"/>
      <c r="BP2516" s="77"/>
      <c r="BR2516" s="497">
        <v>60.08</v>
      </c>
      <c r="BT2516" s="42"/>
    </row>
    <row r="2517" spans="1:72" x14ac:dyDescent="0.25">
      <c r="A2517" s="90">
        <v>33343</v>
      </c>
      <c r="B2517" s="20">
        <v>0.125</v>
      </c>
      <c r="D2517">
        <v>51.08</v>
      </c>
      <c r="E2517" t="str">
        <f t="shared" si="114"/>
        <v>WEEKDAY</v>
      </c>
      <c r="F2517" t="e">
        <f t="shared" si="113"/>
        <v>#N/A</v>
      </c>
      <c r="G2517" s="74">
        <v>32978</v>
      </c>
      <c r="H2517" s="77">
        <v>0.125</v>
      </c>
      <c r="J2517">
        <v>48.019999999999996</v>
      </c>
      <c r="M2517" s="74">
        <v>33343</v>
      </c>
      <c r="N2517" s="77">
        <v>0.125</v>
      </c>
      <c r="P2517">
        <v>41</v>
      </c>
      <c r="S2517" s="74">
        <v>33343</v>
      </c>
      <c r="T2517" s="77">
        <v>0.125</v>
      </c>
      <c r="V2517">
        <v>42.980000000000004</v>
      </c>
      <c r="X2517" s="42"/>
      <c r="AB2517">
        <v>47</v>
      </c>
      <c r="AC2517">
        <v>42.980000000000004</v>
      </c>
      <c r="AE2517" s="74"/>
      <c r="AF2517" s="77"/>
      <c r="AH2517" s="497">
        <v>39.019999999999996</v>
      </c>
      <c r="AJ2517" s="42"/>
      <c r="AK2517" s="74"/>
      <c r="AL2517" s="77"/>
      <c r="AN2517" s="497">
        <v>46.94</v>
      </c>
      <c r="AP2517" s="42"/>
      <c r="AQ2517" s="74"/>
      <c r="AR2517" s="77"/>
      <c r="AT2517" s="497">
        <v>37.04</v>
      </c>
      <c r="AV2517" s="42"/>
      <c r="AW2517" s="74"/>
      <c r="AX2517" s="77"/>
      <c r="BA2517" s="497">
        <v>55.040000000000006</v>
      </c>
      <c r="BB2517" s="42"/>
      <c r="BC2517" s="74"/>
      <c r="BD2517" s="77"/>
      <c r="BF2517">
        <v>39.92</v>
      </c>
      <c r="BH2517" s="42"/>
      <c r="BI2517" s="74"/>
      <c r="BJ2517" s="77"/>
      <c r="BL2517" s="497">
        <v>55.94</v>
      </c>
      <c r="BN2517" s="42"/>
      <c r="BO2517" s="74"/>
      <c r="BP2517" s="77"/>
      <c r="BR2517" s="497">
        <v>60.08</v>
      </c>
      <c r="BT2517" s="42"/>
    </row>
    <row r="2518" spans="1:72" x14ac:dyDescent="0.25">
      <c r="A2518" s="90">
        <v>33343</v>
      </c>
      <c r="B2518" s="20">
        <v>0.16666666666666666</v>
      </c>
      <c r="D2518">
        <v>48.92</v>
      </c>
      <c r="E2518" t="str">
        <f t="shared" si="114"/>
        <v>WEEKDAY</v>
      </c>
      <c r="F2518" t="e">
        <f t="shared" si="113"/>
        <v>#N/A</v>
      </c>
      <c r="G2518" s="74">
        <v>32978</v>
      </c>
      <c r="H2518" s="77">
        <v>0.16666666666666666</v>
      </c>
      <c r="J2518">
        <v>48.92</v>
      </c>
      <c r="M2518" s="74">
        <v>33343</v>
      </c>
      <c r="N2518" s="77">
        <v>0.16666666666666666</v>
      </c>
      <c r="P2518">
        <v>41</v>
      </c>
      <c r="S2518" s="74">
        <v>33343</v>
      </c>
      <c r="T2518" s="77">
        <v>0.16666666666666666</v>
      </c>
      <c r="V2518">
        <v>44.06</v>
      </c>
      <c r="X2518" s="42"/>
      <c r="AB2518">
        <v>46.6</v>
      </c>
      <c r="AC2518">
        <v>42.08</v>
      </c>
      <c r="AE2518" s="74"/>
      <c r="AF2518" s="77"/>
      <c r="AH2518" s="497">
        <v>37.04</v>
      </c>
      <c r="AJ2518" s="42"/>
      <c r="AK2518" s="74"/>
      <c r="AL2518" s="77"/>
      <c r="AN2518" s="497">
        <v>46.04</v>
      </c>
      <c r="AP2518" s="42"/>
      <c r="AQ2518" s="74"/>
      <c r="AR2518" s="77"/>
      <c r="AT2518" s="497">
        <v>37.94</v>
      </c>
      <c r="AV2518" s="42"/>
      <c r="AW2518" s="74"/>
      <c r="AX2518" s="77"/>
      <c r="BA2518" s="497">
        <v>55.040000000000006</v>
      </c>
      <c r="BB2518" s="42"/>
      <c r="BC2518" s="74"/>
      <c r="BD2518" s="77"/>
      <c r="BF2518">
        <v>39.92</v>
      </c>
      <c r="BH2518" s="42"/>
      <c r="BI2518" s="74"/>
      <c r="BJ2518" s="77"/>
      <c r="BL2518" s="497">
        <v>55.94</v>
      </c>
      <c r="BN2518" s="42"/>
      <c r="BO2518" s="74"/>
      <c r="BP2518" s="77"/>
      <c r="BR2518" s="497">
        <v>60.08</v>
      </c>
      <c r="BT2518" s="42"/>
    </row>
    <row r="2519" spans="1:72" x14ac:dyDescent="0.25">
      <c r="A2519" s="90">
        <v>33343</v>
      </c>
      <c r="B2519" s="20">
        <v>0.20833333333333334</v>
      </c>
      <c r="D2519">
        <v>48.92</v>
      </c>
      <c r="E2519" t="str">
        <f t="shared" si="114"/>
        <v>WEEKDAY</v>
      </c>
      <c r="F2519" t="e">
        <f t="shared" si="113"/>
        <v>#N/A</v>
      </c>
      <c r="G2519" s="74">
        <v>32978</v>
      </c>
      <c r="H2519" s="77">
        <v>0.20833333333333334</v>
      </c>
      <c r="J2519">
        <v>50</v>
      </c>
      <c r="M2519" s="74">
        <v>33343</v>
      </c>
      <c r="N2519" s="77">
        <v>0.20833333333333334</v>
      </c>
      <c r="P2519">
        <v>39.92</v>
      </c>
      <c r="S2519" s="74">
        <v>33343</v>
      </c>
      <c r="T2519" s="77">
        <v>0.20833333333333334</v>
      </c>
      <c r="V2519">
        <v>44.06</v>
      </c>
      <c r="X2519" s="42"/>
      <c r="AB2519">
        <v>46.1</v>
      </c>
      <c r="AC2519">
        <v>42.08</v>
      </c>
      <c r="AE2519" s="74"/>
      <c r="AF2519" s="77"/>
      <c r="AH2519" s="497">
        <v>37.04</v>
      </c>
      <c r="AJ2519" s="42"/>
      <c r="AK2519" s="74"/>
      <c r="AL2519" s="77"/>
      <c r="AN2519" s="497">
        <v>44.06</v>
      </c>
      <c r="AP2519" s="42"/>
      <c r="AQ2519" s="74"/>
      <c r="AR2519" s="77"/>
      <c r="AT2519" s="497">
        <v>35.96</v>
      </c>
      <c r="AV2519" s="42"/>
      <c r="AW2519" s="74"/>
      <c r="AX2519" s="77"/>
      <c r="BA2519" s="497">
        <v>55.040000000000006</v>
      </c>
      <c r="BB2519" s="42"/>
      <c r="BC2519" s="74"/>
      <c r="BD2519" s="77"/>
      <c r="BF2519">
        <v>39.92</v>
      </c>
      <c r="BH2519" s="42"/>
      <c r="BI2519" s="74"/>
      <c r="BJ2519" s="77"/>
      <c r="BL2519" s="497">
        <v>55.400000000000006</v>
      </c>
      <c r="BN2519" s="42"/>
      <c r="BO2519" s="74"/>
      <c r="BP2519" s="77"/>
      <c r="BR2519" s="497">
        <v>60.08</v>
      </c>
      <c r="BT2519" s="42"/>
    </row>
    <row r="2520" spans="1:72" x14ac:dyDescent="0.25">
      <c r="A2520" s="90">
        <v>33343</v>
      </c>
      <c r="B2520" s="20">
        <v>0.25</v>
      </c>
      <c r="D2520">
        <v>48.019999999999996</v>
      </c>
      <c r="E2520" t="str">
        <f t="shared" si="114"/>
        <v>WEEKDAY</v>
      </c>
      <c r="F2520" t="e">
        <f t="shared" si="113"/>
        <v>#N/A</v>
      </c>
      <c r="G2520" s="74">
        <v>32978</v>
      </c>
      <c r="H2520" s="77">
        <v>0.25</v>
      </c>
      <c r="J2520">
        <v>51.980000000000004</v>
      </c>
      <c r="M2520" s="74">
        <v>33343</v>
      </c>
      <c r="N2520" s="77">
        <v>0.25</v>
      </c>
      <c r="P2520">
        <v>41</v>
      </c>
      <c r="S2520" s="74">
        <v>33343</v>
      </c>
      <c r="T2520" s="77">
        <v>0.25</v>
      </c>
      <c r="V2520">
        <v>44.06</v>
      </c>
      <c r="X2520" s="42"/>
      <c r="AB2520">
        <v>45.9</v>
      </c>
      <c r="AC2520">
        <v>42.08</v>
      </c>
      <c r="AE2520" s="74"/>
      <c r="AF2520" s="77"/>
      <c r="AH2520" s="497">
        <v>37.94</v>
      </c>
      <c r="AJ2520" s="42"/>
      <c r="AK2520" s="74"/>
      <c r="AL2520" s="77"/>
      <c r="AN2520" s="497">
        <v>42.980000000000004</v>
      </c>
      <c r="AP2520" s="42"/>
      <c r="AQ2520" s="74"/>
      <c r="AR2520" s="77"/>
      <c r="AT2520" s="497">
        <v>35.96</v>
      </c>
      <c r="AV2520" s="42"/>
      <c r="AW2520" s="74"/>
      <c r="AX2520" s="77"/>
      <c r="BA2520" s="497">
        <v>55.040000000000006</v>
      </c>
      <c r="BB2520" s="42"/>
      <c r="BC2520" s="74"/>
      <c r="BD2520" s="77"/>
      <c r="BF2520">
        <v>39.92</v>
      </c>
      <c r="BH2520" s="42"/>
      <c r="BI2520" s="74"/>
      <c r="BJ2520" s="77"/>
      <c r="BL2520" s="497">
        <v>55.400000000000006</v>
      </c>
      <c r="BN2520" s="42"/>
      <c r="BO2520" s="74"/>
      <c r="BP2520" s="77"/>
      <c r="BR2520" s="497">
        <v>60.08</v>
      </c>
      <c r="BT2520" s="42"/>
    </row>
    <row r="2521" spans="1:72" x14ac:dyDescent="0.25">
      <c r="A2521" s="90">
        <v>33343</v>
      </c>
      <c r="B2521" s="20">
        <v>0.29166666666666669</v>
      </c>
      <c r="D2521">
        <v>51.980000000000004</v>
      </c>
      <c r="E2521" t="str">
        <f t="shared" si="114"/>
        <v>WEEKDAY</v>
      </c>
      <c r="F2521" t="e">
        <f t="shared" si="113"/>
        <v>#N/A</v>
      </c>
      <c r="G2521" s="74">
        <v>32978</v>
      </c>
      <c r="H2521" s="77">
        <v>0.29166666666666669</v>
      </c>
      <c r="J2521">
        <v>53.06</v>
      </c>
      <c r="M2521" s="74">
        <v>33343</v>
      </c>
      <c r="N2521" s="77">
        <v>0.29166666666666669</v>
      </c>
      <c r="P2521">
        <v>41</v>
      </c>
      <c r="S2521" s="74">
        <v>33343</v>
      </c>
      <c r="T2521" s="77">
        <v>0.29166666666666669</v>
      </c>
      <c r="V2521">
        <v>44.06</v>
      </c>
      <c r="X2521" s="42"/>
      <c r="AB2521">
        <v>46.2</v>
      </c>
      <c r="AC2521">
        <v>42.980000000000004</v>
      </c>
      <c r="AE2521" s="74"/>
      <c r="AF2521" s="77"/>
      <c r="AH2521" s="497">
        <v>39.019999999999996</v>
      </c>
      <c r="AJ2521" s="42"/>
      <c r="AK2521" s="74"/>
      <c r="AL2521" s="77"/>
      <c r="AN2521" s="497">
        <v>42.980000000000004</v>
      </c>
      <c r="AP2521" s="42"/>
      <c r="AQ2521" s="74"/>
      <c r="AR2521" s="77"/>
      <c r="AT2521" s="497">
        <v>41</v>
      </c>
      <c r="AV2521" s="42"/>
      <c r="AW2521" s="74"/>
      <c r="AX2521" s="77"/>
      <c r="BA2521" s="497">
        <v>55.040000000000006</v>
      </c>
      <c r="BB2521" s="42"/>
      <c r="BC2521" s="74"/>
      <c r="BD2521" s="77"/>
      <c r="BF2521">
        <v>41</v>
      </c>
      <c r="BH2521" s="42"/>
      <c r="BI2521" s="74"/>
      <c r="BJ2521" s="77"/>
      <c r="BL2521" s="497">
        <v>57.92</v>
      </c>
      <c r="BN2521" s="42"/>
      <c r="BO2521" s="74"/>
      <c r="BP2521" s="77"/>
      <c r="BR2521" s="497">
        <v>60.08</v>
      </c>
      <c r="BT2521" s="42"/>
    </row>
    <row r="2522" spans="1:72" x14ac:dyDescent="0.25">
      <c r="A2522" s="90">
        <v>33343</v>
      </c>
      <c r="B2522" s="20">
        <v>0.33333333333333331</v>
      </c>
      <c r="D2522">
        <v>53.06</v>
      </c>
      <c r="E2522" t="str">
        <f t="shared" si="114"/>
        <v>WEEKDAY</v>
      </c>
      <c r="F2522" t="e">
        <f t="shared" si="113"/>
        <v>#N/A</v>
      </c>
      <c r="G2522" s="74">
        <v>32978</v>
      </c>
      <c r="H2522" s="77">
        <v>0.33333333333333331</v>
      </c>
      <c r="J2522">
        <v>53.96</v>
      </c>
      <c r="M2522" s="74">
        <v>33343</v>
      </c>
      <c r="N2522" s="77">
        <v>0.33333333333333331</v>
      </c>
      <c r="P2522">
        <v>42.08</v>
      </c>
      <c r="S2522" s="74">
        <v>33343</v>
      </c>
      <c r="T2522" s="77">
        <v>0.33333333333333331</v>
      </c>
      <c r="V2522">
        <v>44.96</v>
      </c>
      <c r="X2522" s="42"/>
      <c r="AB2522">
        <v>48.2</v>
      </c>
      <c r="AC2522">
        <v>44.06</v>
      </c>
      <c r="AE2522" s="74"/>
      <c r="AF2522" s="77"/>
      <c r="AH2522" s="497">
        <v>39.92</v>
      </c>
      <c r="AJ2522" s="42"/>
      <c r="AK2522" s="74"/>
      <c r="AL2522" s="77"/>
      <c r="AN2522" s="497">
        <v>44.06</v>
      </c>
      <c r="AP2522" s="42"/>
      <c r="AQ2522" s="74"/>
      <c r="AR2522" s="77"/>
      <c r="AT2522" s="497">
        <v>46.94</v>
      </c>
      <c r="AV2522" s="42"/>
      <c r="AW2522" s="74"/>
      <c r="AX2522" s="77"/>
      <c r="BA2522" s="497">
        <v>57.92</v>
      </c>
      <c r="BB2522" s="42"/>
      <c r="BC2522" s="74"/>
      <c r="BD2522" s="77"/>
      <c r="BF2522">
        <v>42.08</v>
      </c>
      <c r="BH2522" s="42"/>
      <c r="BI2522" s="74"/>
      <c r="BJ2522" s="77"/>
      <c r="BL2522" s="497">
        <v>60.980000000000004</v>
      </c>
      <c r="BN2522" s="42"/>
      <c r="BO2522" s="74"/>
      <c r="BP2522" s="77"/>
      <c r="BR2522" s="497">
        <v>62.96</v>
      </c>
      <c r="BT2522" s="42"/>
    </row>
    <row r="2523" spans="1:72" x14ac:dyDescent="0.25">
      <c r="A2523" s="90">
        <v>33343</v>
      </c>
      <c r="B2523" s="20">
        <v>0.375</v>
      </c>
      <c r="D2523">
        <v>57.019999999999996</v>
      </c>
      <c r="E2523" t="str">
        <f t="shared" si="114"/>
        <v>WEEKDAY</v>
      </c>
      <c r="F2523" t="e">
        <f t="shared" si="113"/>
        <v>#N/A</v>
      </c>
      <c r="G2523" s="74">
        <v>32978</v>
      </c>
      <c r="H2523" s="77">
        <v>0.375</v>
      </c>
      <c r="J2523">
        <v>53.06</v>
      </c>
      <c r="M2523" s="74">
        <v>33343</v>
      </c>
      <c r="N2523" s="77">
        <v>0.375</v>
      </c>
      <c r="P2523">
        <v>42.08</v>
      </c>
      <c r="S2523" s="74">
        <v>33343</v>
      </c>
      <c r="T2523" s="77">
        <v>0.375</v>
      </c>
      <c r="V2523">
        <v>44.96</v>
      </c>
      <c r="X2523" s="42"/>
      <c r="AB2523">
        <v>50.1</v>
      </c>
      <c r="AC2523">
        <v>44.96</v>
      </c>
      <c r="AE2523" s="74"/>
      <c r="AF2523" s="77"/>
      <c r="AH2523" s="497">
        <v>42.980000000000004</v>
      </c>
      <c r="AJ2523" s="42"/>
      <c r="AK2523" s="74"/>
      <c r="AL2523" s="77"/>
      <c r="AN2523" s="497">
        <v>44.96</v>
      </c>
      <c r="AP2523" s="42"/>
      <c r="AQ2523" s="74"/>
      <c r="AR2523" s="77"/>
      <c r="AT2523" s="497">
        <v>53.96</v>
      </c>
      <c r="AV2523" s="42"/>
      <c r="AW2523" s="74"/>
      <c r="AX2523" s="77"/>
      <c r="BA2523" s="497">
        <v>60.08</v>
      </c>
      <c r="BB2523" s="42"/>
      <c r="BC2523" s="74"/>
      <c r="BD2523" s="77"/>
      <c r="BF2523">
        <v>41</v>
      </c>
      <c r="BH2523" s="42"/>
      <c r="BI2523" s="74"/>
      <c r="BJ2523" s="77"/>
      <c r="BL2523" s="497">
        <v>64.039999999999992</v>
      </c>
      <c r="BN2523" s="42"/>
      <c r="BO2523" s="74"/>
      <c r="BP2523" s="77"/>
      <c r="BR2523" s="497">
        <v>62.96</v>
      </c>
      <c r="BT2523" s="42"/>
    </row>
    <row r="2524" spans="1:72" x14ac:dyDescent="0.25">
      <c r="A2524" s="90">
        <v>33343</v>
      </c>
      <c r="B2524" s="20">
        <v>0.41666666666666669</v>
      </c>
      <c r="D2524">
        <v>60.08</v>
      </c>
      <c r="E2524" t="str">
        <f t="shared" si="114"/>
        <v>WEEKDAY</v>
      </c>
      <c r="F2524" t="e">
        <f t="shared" si="113"/>
        <v>#N/A</v>
      </c>
      <c r="G2524" s="74">
        <v>32978</v>
      </c>
      <c r="H2524" s="77">
        <v>0.41666666666666669</v>
      </c>
      <c r="J2524">
        <v>55.040000000000006</v>
      </c>
      <c r="M2524" s="74">
        <v>33343</v>
      </c>
      <c r="N2524" s="77">
        <v>0.41666666666666669</v>
      </c>
      <c r="P2524">
        <v>42.980000000000004</v>
      </c>
      <c r="S2524" s="74">
        <v>33343</v>
      </c>
      <c r="T2524" s="77">
        <v>0.41666666666666669</v>
      </c>
      <c r="V2524">
        <v>44.96</v>
      </c>
      <c r="X2524" s="42"/>
      <c r="AB2524">
        <v>51.9</v>
      </c>
      <c r="AC2524">
        <v>44.96</v>
      </c>
      <c r="AE2524" s="74"/>
      <c r="AF2524" s="77"/>
      <c r="AH2524" s="497">
        <v>44.06</v>
      </c>
      <c r="AJ2524" s="42"/>
      <c r="AK2524" s="74"/>
      <c r="AL2524" s="77"/>
      <c r="AN2524" s="497">
        <v>46.94</v>
      </c>
      <c r="AP2524" s="42"/>
      <c r="AQ2524" s="74"/>
      <c r="AR2524" s="77"/>
      <c r="AT2524" s="497">
        <v>60.980000000000004</v>
      </c>
      <c r="AV2524" s="42"/>
      <c r="AW2524" s="74"/>
      <c r="AX2524" s="77"/>
      <c r="BA2524" s="497">
        <v>62.96</v>
      </c>
      <c r="BB2524" s="42"/>
      <c r="BC2524" s="74"/>
      <c r="BD2524" s="77"/>
      <c r="BF2524">
        <v>39.92</v>
      </c>
      <c r="BH2524" s="42"/>
      <c r="BI2524" s="74"/>
      <c r="BJ2524" s="77"/>
      <c r="BL2524" s="497">
        <v>68</v>
      </c>
      <c r="BN2524" s="42"/>
      <c r="BO2524" s="74"/>
      <c r="BP2524" s="77"/>
      <c r="BR2524" s="497">
        <v>64.94</v>
      </c>
      <c r="BT2524" s="42"/>
    </row>
    <row r="2525" spans="1:72" x14ac:dyDescent="0.25">
      <c r="A2525" s="90">
        <v>33343</v>
      </c>
      <c r="B2525" s="20">
        <v>0.45833333333333331</v>
      </c>
      <c r="D2525">
        <v>64.94</v>
      </c>
      <c r="E2525" t="str">
        <f t="shared" si="114"/>
        <v>WEEKDAY</v>
      </c>
      <c r="F2525" t="e">
        <f t="shared" si="113"/>
        <v>#N/A</v>
      </c>
      <c r="G2525" s="74">
        <v>32978</v>
      </c>
      <c r="H2525" s="77">
        <v>0.45833333333333331</v>
      </c>
      <c r="J2525">
        <v>57.92</v>
      </c>
      <c r="M2525" s="74">
        <v>33343</v>
      </c>
      <c r="N2525" s="77">
        <v>0.45833333333333331</v>
      </c>
      <c r="P2525">
        <v>44.06</v>
      </c>
      <c r="S2525" s="74">
        <v>33343</v>
      </c>
      <c r="T2525" s="77">
        <v>0.45833333333333331</v>
      </c>
      <c r="V2525">
        <v>46.04</v>
      </c>
      <c r="X2525" s="42"/>
      <c r="AB2525">
        <v>53.7</v>
      </c>
      <c r="AC2525">
        <v>46.04</v>
      </c>
      <c r="AE2525" s="74"/>
      <c r="AF2525" s="77"/>
      <c r="AH2525" s="497">
        <v>44.96</v>
      </c>
      <c r="AJ2525" s="42"/>
      <c r="AK2525" s="74"/>
      <c r="AL2525" s="77"/>
      <c r="AN2525" s="497">
        <v>48.92</v>
      </c>
      <c r="AP2525" s="42"/>
      <c r="AQ2525" s="74"/>
      <c r="AR2525" s="77"/>
      <c r="AT2525" s="497">
        <v>66.92</v>
      </c>
      <c r="AV2525" s="42"/>
      <c r="AW2525" s="74"/>
      <c r="AX2525" s="77"/>
      <c r="BA2525" s="497">
        <v>64.94</v>
      </c>
      <c r="BB2525" s="42"/>
      <c r="BC2525" s="74"/>
      <c r="BD2525" s="77"/>
      <c r="BF2525">
        <v>39.92</v>
      </c>
      <c r="BH2525" s="42"/>
      <c r="BI2525" s="74"/>
      <c r="BJ2525" s="77"/>
      <c r="BL2525" s="497">
        <v>69.98</v>
      </c>
      <c r="BN2525" s="42"/>
      <c r="BO2525" s="74"/>
      <c r="BP2525" s="77"/>
      <c r="BR2525" s="497">
        <v>69.080000000000013</v>
      </c>
      <c r="BT2525" s="42"/>
    </row>
    <row r="2526" spans="1:72" x14ac:dyDescent="0.25">
      <c r="A2526" s="90">
        <v>33343</v>
      </c>
      <c r="B2526" s="20">
        <v>0.5</v>
      </c>
      <c r="D2526">
        <v>64.94</v>
      </c>
      <c r="E2526" t="str">
        <f t="shared" si="114"/>
        <v>WEEKDAY</v>
      </c>
      <c r="F2526" t="e">
        <f t="shared" si="113"/>
        <v>#N/A</v>
      </c>
      <c r="G2526" s="74">
        <v>32978</v>
      </c>
      <c r="H2526" s="77">
        <v>0.5</v>
      </c>
      <c r="J2526">
        <v>57.92</v>
      </c>
      <c r="M2526" s="74">
        <v>33343</v>
      </c>
      <c r="N2526" s="77">
        <v>0.5</v>
      </c>
      <c r="P2526">
        <v>44.06</v>
      </c>
      <c r="S2526" s="74">
        <v>33343</v>
      </c>
      <c r="T2526" s="77">
        <v>0.5</v>
      </c>
      <c r="V2526">
        <v>46.94</v>
      </c>
      <c r="X2526" s="42"/>
      <c r="AB2526">
        <v>55.1</v>
      </c>
      <c r="AC2526">
        <v>46.94</v>
      </c>
      <c r="AE2526" s="74"/>
      <c r="AF2526" s="77"/>
      <c r="AH2526" s="497">
        <v>44.06</v>
      </c>
      <c r="AJ2526" s="42"/>
      <c r="AK2526" s="74"/>
      <c r="AL2526" s="77"/>
      <c r="AN2526" s="497">
        <v>48.92</v>
      </c>
      <c r="AP2526" s="42"/>
      <c r="AQ2526" s="74"/>
      <c r="AR2526" s="77"/>
      <c r="AT2526" s="497">
        <v>71.06</v>
      </c>
      <c r="AV2526" s="42"/>
      <c r="AW2526" s="74"/>
      <c r="AX2526" s="77"/>
      <c r="BA2526" s="497">
        <v>66.92</v>
      </c>
      <c r="BB2526" s="42"/>
      <c r="BC2526" s="74"/>
      <c r="BD2526" s="77"/>
      <c r="BF2526">
        <v>39.92</v>
      </c>
      <c r="BH2526" s="42"/>
      <c r="BI2526" s="74"/>
      <c r="BJ2526" s="77"/>
      <c r="BL2526" s="497">
        <v>73.039999999999992</v>
      </c>
      <c r="BN2526" s="42"/>
      <c r="BO2526" s="74"/>
      <c r="BP2526" s="77"/>
      <c r="BR2526" s="497">
        <v>69.98</v>
      </c>
      <c r="BT2526" s="42"/>
    </row>
    <row r="2527" spans="1:72" x14ac:dyDescent="0.25">
      <c r="A2527" s="90">
        <v>33343</v>
      </c>
      <c r="B2527" s="20">
        <v>0.54166666666666663</v>
      </c>
      <c r="D2527">
        <v>66.92</v>
      </c>
      <c r="E2527" t="str">
        <f t="shared" si="114"/>
        <v>WEEKDAY</v>
      </c>
      <c r="F2527" t="e">
        <f t="shared" si="113"/>
        <v>#N/A</v>
      </c>
      <c r="G2527" s="74">
        <v>32978</v>
      </c>
      <c r="H2527" s="77">
        <v>0.54166666666666663</v>
      </c>
      <c r="J2527">
        <v>59</v>
      </c>
      <c r="M2527" s="74">
        <v>33343</v>
      </c>
      <c r="N2527" s="77">
        <v>0.54166666666666663</v>
      </c>
      <c r="P2527">
        <v>44.96</v>
      </c>
      <c r="S2527" s="74">
        <v>33343</v>
      </c>
      <c r="T2527" s="77">
        <v>0.54166666666666663</v>
      </c>
      <c r="V2527">
        <v>48.019999999999996</v>
      </c>
      <c r="X2527" s="42"/>
      <c r="AB2527">
        <v>56</v>
      </c>
      <c r="AC2527">
        <v>46.94</v>
      </c>
      <c r="AE2527" s="74"/>
      <c r="AF2527" s="77"/>
      <c r="AH2527" s="497">
        <v>44.06</v>
      </c>
      <c r="AJ2527" s="42"/>
      <c r="AK2527" s="74"/>
      <c r="AL2527" s="77"/>
      <c r="AN2527" s="497">
        <v>48.019999999999996</v>
      </c>
      <c r="AP2527" s="42"/>
      <c r="AQ2527" s="74"/>
      <c r="AR2527" s="77"/>
      <c r="AT2527" s="497">
        <v>75.02</v>
      </c>
      <c r="AV2527" s="42"/>
      <c r="AW2527" s="74"/>
      <c r="AX2527" s="77"/>
      <c r="BA2527" s="497">
        <v>68</v>
      </c>
      <c r="BB2527" s="42"/>
      <c r="BC2527" s="74"/>
      <c r="BD2527" s="77"/>
      <c r="BF2527">
        <v>41</v>
      </c>
      <c r="BH2527" s="42"/>
      <c r="BI2527" s="74"/>
      <c r="BJ2527" s="77"/>
      <c r="BL2527" s="497">
        <v>73.94</v>
      </c>
      <c r="BN2527" s="42"/>
      <c r="BO2527" s="74"/>
      <c r="BP2527" s="77"/>
      <c r="BR2527" s="497">
        <v>73.039999999999992</v>
      </c>
      <c r="BT2527" s="42"/>
    </row>
    <row r="2528" spans="1:72" x14ac:dyDescent="0.25">
      <c r="A2528" s="90">
        <v>33343</v>
      </c>
      <c r="B2528" s="20">
        <v>0.58333333333333337</v>
      </c>
      <c r="D2528">
        <v>75.02</v>
      </c>
      <c r="E2528" t="str">
        <f t="shared" si="114"/>
        <v>WEEKDAY</v>
      </c>
      <c r="F2528" t="e">
        <f t="shared" si="113"/>
        <v>#N/A</v>
      </c>
      <c r="G2528" s="74">
        <v>32978</v>
      </c>
      <c r="H2528" s="77">
        <v>0.58333333333333337</v>
      </c>
      <c r="J2528">
        <v>60.980000000000004</v>
      </c>
      <c r="M2528" s="74">
        <v>33343</v>
      </c>
      <c r="N2528" s="77">
        <v>0.58333333333333337</v>
      </c>
      <c r="P2528">
        <v>46.04</v>
      </c>
      <c r="S2528" s="74">
        <v>33343</v>
      </c>
      <c r="T2528" s="77">
        <v>0.58333333333333337</v>
      </c>
      <c r="V2528">
        <v>48.92</v>
      </c>
      <c r="X2528" s="42"/>
      <c r="AB2528">
        <v>56.6</v>
      </c>
      <c r="AC2528">
        <v>48.92</v>
      </c>
      <c r="AE2528" s="74"/>
      <c r="AF2528" s="77"/>
      <c r="AH2528" s="497">
        <v>46.94</v>
      </c>
      <c r="AJ2528" s="42"/>
      <c r="AK2528" s="74"/>
      <c r="AL2528" s="77"/>
      <c r="AN2528" s="497">
        <v>46.94</v>
      </c>
      <c r="AP2528" s="42"/>
      <c r="AQ2528" s="74"/>
      <c r="AR2528" s="77"/>
      <c r="AT2528" s="497">
        <v>78.98</v>
      </c>
      <c r="AV2528" s="42"/>
      <c r="AW2528" s="74"/>
      <c r="AX2528" s="77"/>
      <c r="BA2528" s="497">
        <v>69.080000000000013</v>
      </c>
      <c r="BB2528" s="42"/>
      <c r="BC2528" s="74"/>
      <c r="BD2528" s="77"/>
      <c r="BF2528">
        <v>37.94</v>
      </c>
      <c r="BH2528" s="42"/>
      <c r="BI2528" s="74"/>
      <c r="BJ2528" s="77"/>
      <c r="BL2528" s="497">
        <v>73.94</v>
      </c>
      <c r="BN2528" s="42"/>
      <c r="BO2528" s="74"/>
      <c r="BP2528" s="77"/>
      <c r="BR2528" s="497">
        <v>73.039999999999992</v>
      </c>
      <c r="BT2528" s="42"/>
    </row>
    <row r="2529" spans="1:72" x14ac:dyDescent="0.25">
      <c r="A2529" s="90">
        <v>33343</v>
      </c>
      <c r="B2529" s="20">
        <v>0.625</v>
      </c>
      <c r="D2529">
        <v>73.94</v>
      </c>
      <c r="E2529" t="str">
        <f t="shared" si="114"/>
        <v>WEEKDAY</v>
      </c>
      <c r="F2529" t="e">
        <f t="shared" si="113"/>
        <v>#N/A</v>
      </c>
      <c r="G2529" s="74">
        <v>32978</v>
      </c>
      <c r="H2529" s="77">
        <v>0.625</v>
      </c>
      <c r="J2529">
        <v>60.08</v>
      </c>
      <c r="M2529" s="74">
        <v>33343</v>
      </c>
      <c r="N2529" s="77">
        <v>0.625</v>
      </c>
      <c r="P2529">
        <v>46.04</v>
      </c>
      <c r="S2529" s="74">
        <v>33343</v>
      </c>
      <c r="T2529" s="77">
        <v>0.625</v>
      </c>
      <c r="V2529">
        <v>48.92</v>
      </c>
      <c r="X2529" s="42"/>
      <c r="AB2529">
        <v>56.6</v>
      </c>
      <c r="AC2529">
        <v>48.92</v>
      </c>
      <c r="AE2529" s="74"/>
      <c r="AF2529" s="77"/>
      <c r="AH2529" s="497">
        <v>46.94</v>
      </c>
      <c r="AJ2529" s="42"/>
      <c r="AK2529" s="74"/>
      <c r="AL2529" s="77"/>
      <c r="AN2529" s="497">
        <v>48.92</v>
      </c>
      <c r="AP2529" s="42"/>
      <c r="AQ2529" s="74"/>
      <c r="AR2529" s="77"/>
      <c r="AT2529" s="497">
        <v>80.960000000000008</v>
      </c>
      <c r="AV2529" s="42"/>
      <c r="AW2529" s="74"/>
      <c r="AX2529" s="77"/>
      <c r="BA2529" s="497">
        <v>69.080000000000013</v>
      </c>
      <c r="BB2529" s="42"/>
      <c r="BC2529" s="74"/>
      <c r="BD2529" s="77"/>
      <c r="BF2529">
        <v>37.94</v>
      </c>
      <c r="BH2529" s="42"/>
      <c r="BI2529" s="74"/>
      <c r="BJ2529" s="77"/>
      <c r="BL2529" s="497">
        <v>75.02</v>
      </c>
      <c r="BN2529" s="42"/>
      <c r="BO2529" s="74"/>
      <c r="BP2529" s="77"/>
      <c r="BR2529" s="497">
        <v>73.039999999999992</v>
      </c>
      <c r="BT2529" s="42"/>
    </row>
    <row r="2530" spans="1:72" x14ac:dyDescent="0.25">
      <c r="A2530" s="90">
        <v>33343</v>
      </c>
      <c r="B2530" s="20">
        <v>0.66666666666666663</v>
      </c>
      <c r="D2530">
        <v>68</v>
      </c>
      <c r="E2530" t="str">
        <f t="shared" si="114"/>
        <v>WEEKDAY</v>
      </c>
      <c r="F2530" t="e">
        <f t="shared" si="113"/>
        <v>#N/A</v>
      </c>
      <c r="G2530" s="74">
        <v>32978</v>
      </c>
      <c r="H2530" s="77">
        <v>0.66666666666666663</v>
      </c>
      <c r="J2530">
        <v>62.06</v>
      </c>
      <c r="M2530" s="74">
        <v>33343</v>
      </c>
      <c r="N2530" s="77">
        <v>0.66666666666666663</v>
      </c>
      <c r="P2530">
        <v>46.94</v>
      </c>
      <c r="S2530" s="74">
        <v>33343</v>
      </c>
      <c r="T2530" s="77">
        <v>0.66666666666666663</v>
      </c>
      <c r="V2530">
        <v>48.92</v>
      </c>
      <c r="X2530" s="42"/>
      <c r="AB2530">
        <v>56.4</v>
      </c>
      <c r="AC2530">
        <v>50</v>
      </c>
      <c r="AE2530" s="74"/>
      <c r="AF2530" s="77"/>
      <c r="AH2530" s="497">
        <v>48.019999999999996</v>
      </c>
      <c r="AJ2530" s="42"/>
      <c r="AK2530" s="74"/>
      <c r="AL2530" s="77"/>
      <c r="AN2530" s="497">
        <v>48.019999999999996</v>
      </c>
      <c r="AP2530" s="42"/>
      <c r="AQ2530" s="74"/>
      <c r="AR2530" s="77"/>
      <c r="AT2530" s="497">
        <v>82.039999999999992</v>
      </c>
      <c r="AV2530" s="42"/>
      <c r="AW2530" s="74"/>
      <c r="AX2530" s="77"/>
      <c r="BA2530" s="497">
        <v>68</v>
      </c>
      <c r="BB2530" s="42"/>
      <c r="BC2530" s="74"/>
      <c r="BD2530" s="77"/>
      <c r="BF2530">
        <v>37.94</v>
      </c>
      <c r="BH2530" s="42"/>
      <c r="BI2530" s="74"/>
      <c r="BJ2530" s="77"/>
      <c r="BL2530" s="497">
        <v>73.94</v>
      </c>
      <c r="BN2530" s="42"/>
      <c r="BO2530" s="74"/>
      <c r="BP2530" s="77"/>
      <c r="BR2530" s="497">
        <v>75.92</v>
      </c>
      <c r="BT2530" s="42"/>
    </row>
    <row r="2531" spans="1:72" x14ac:dyDescent="0.25">
      <c r="A2531" s="90">
        <v>33343</v>
      </c>
      <c r="B2531" s="20">
        <v>0.70833333333333337</v>
      </c>
      <c r="D2531">
        <v>69.080000000000013</v>
      </c>
      <c r="E2531" t="str">
        <f t="shared" si="114"/>
        <v>WEEKDAY</v>
      </c>
      <c r="F2531" t="e">
        <f t="shared" si="113"/>
        <v>#N/A</v>
      </c>
      <c r="G2531" s="74">
        <v>32978</v>
      </c>
      <c r="H2531" s="77">
        <v>0.70833333333333337</v>
      </c>
      <c r="J2531">
        <v>60.08</v>
      </c>
      <c r="M2531" s="74">
        <v>33343</v>
      </c>
      <c r="N2531" s="77">
        <v>0.70833333333333337</v>
      </c>
      <c r="P2531">
        <v>46.04</v>
      </c>
      <c r="S2531" s="74">
        <v>33343</v>
      </c>
      <c r="T2531" s="77">
        <v>0.70833333333333337</v>
      </c>
      <c r="V2531">
        <v>48.92</v>
      </c>
      <c r="X2531" s="42"/>
      <c r="AB2531">
        <v>55.5</v>
      </c>
      <c r="AC2531">
        <v>48.92</v>
      </c>
      <c r="AE2531" s="74"/>
      <c r="AF2531" s="77"/>
      <c r="AH2531" s="497">
        <v>48.019999999999996</v>
      </c>
      <c r="AJ2531" s="42"/>
      <c r="AK2531" s="74"/>
      <c r="AL2531" s="77"/>
      <c r="AN2531" s="497">
        <v>46.04</v>
      </c>
      <c r="AP2531" s="42"/>
      <c r="AQ2531" s="74"/>
      <c r="AR2531" s="77"/>
      <c r="AT2531" s="497">
        <v>80.960000000000008</v>
      </c>
      <c r="AV2531" s="42"/>
      <c r="AW2531" s="74"/>
      <c r="AX2531" s="77"/>
      <c r="BA2531" s="497">
        <v>66.02</v>
      </c>
      <c r="BB2531" s="42"/>
      <c r="BC2531" s="74"/>
      <c r="BD2531" s="77"/>
      <c r="BF2531">
        <v>37.94</v>
      </c>
      <c r="BH2531" s="42"/>
      <c r="BI2531" s="74"/>
      <c r="BJ2531" s="77"/>
      <c r="BL2531" s="497">
        <v>71.06</v>
      </c>
      <c r="BN2531" s="42"/>
      <c r="BO2531" s="74"/>
      <c r="BP2531" s="77"/>
      <c r="BR2531" s="497">
        <v>75.02</v>
      </c>
      <c r="BT2531" s="42"/>
    </row>
    <row r="2532" spans="1:72" x14ac:dyDescent="0.25">
      <c r="A2532" s="90">
        <v>33343</v>
      </c>
      <c r="B2532" s="20">
        <v>0.75</v>
      </c>
      <c r="D2532">
        <v>68</v>
      </c>
      <c r="E2532" t="str">
        <f t="shared" si="114"/>
        <v>WEEKDAY</v>
      </c>
      <c r="F2532" t="e">
        <f t="shared" si="113"/>
        <v>#N/A</v>
      </c>
      <c r="G2532" s="74">
        <v>32978</v>
      </c>
      <c r="H2532" s="77">
        <v>0.75</v>
      </c>
      <c r="J2532">
        <v>57.019999999999996</v>
      </c>
      <c r="M2532" s="74">
        <v>33343</v>
      </c>
      <c r="N2532" s="77">
        <v>0.75</v>
      </c>
      <c r="P2532">
        <v>46.04</v>
      </c>
      <c r="S2532" s="74">
        <v>33343</v>
      </c>
      <c r="T2532" s="77">
        <v>0.75</v>
      </c>
      <c r="V2532">
        <v>48.92</v>
      </c>
      <c r="X2532" s="42"/>
      <c r="AB2532">
        <v>54.3</v>
      </c>
      <c r="AC2532">
        <v>48.92</v>
      </c>
      <c r="AE2532" s="74"/>
      <c r="AF2532" s="77"/>
      <c r="AH2532" s="497">
        <v>48.019999999999996</v>
      </c>
      <c r="AJ2532" s="42"/>
      <c r="AK2532" s="74"/>
      <c r="AL2532" s="77"/>
      <c r="AN2532" s="497">
        <v>42.980000000000004</v>
      </c>
      <c r="AP2532" s="42"/>
      <c r="AQ2532" s="74"/>
      <c r="AR2532" s="77"/>
      <c r="AT2532" s="497">
        <v>78.080000000000013</v>
      </c>
      <c r="AV2532" s="42"/>
      <c r="AW2532" s="74"/>
      <c r="AX2532" s="77"/>
      <c r="BA2532" s="497">
        <v>64.039999999999992</v>
      </c>
      <c r="BB2532" s="42"/>
      <c r="BC2532" s="74"/>
      <c r="BD2532" s="77"/>
      <c r="BF2532">
        <v>39.019999999999996</v>
      </c>
      <c r="BH2532" s="42"/>
      <c r="BI2532" s="74"/>
      <c r="BJ2532" s="77"/>
      <c r="BL2532" s="497">
        <v>68</v>
      </c>
      <c r="BN2532" s="42"/>
      <c r="BO2532" s="74"/>
      <c r="BP2532" s="77"/>
      <c r="BR2532" s="497">
        <v>69.98</v>
      </c>
      <c r="BT2532" s="42"/>
    </row>
    <row r="2533" spans="1:72" x14ac:dyDescent="0.25">
      <c r="A2533" s="90">
        <v>33343</v>
      </c>
      <c r="B2533" s="20">
        <v>0.79166666666666663</v>
      </c>
      <c r="D2533">
        <v>66.92</v>
      </c>
      <c r="E2533" t="str">
        <f t="shared" si="114"/>
        <v>WEEKDAY</v>
      </c>
      <c r="F2533" t="e">
        <f t="shared" si="113"/>
        <v>#N/A</v>
      </c>
      <c r="G2533" s="74">
        <v>32978</v>
      </c>
      <c r="H2533" s="77">
        <v>0.79166666666666663</v>
      </c>
      <c r="J2533">
        <v>53.06</v>
      </c>
      <c r="M2533" s="74">
        <v>33343</v>
      </c>
      <c r="N2533" s="77">
        <v>0.79166666666666663</v>
      </c>
      <c r="P2533">
        <v>46.04</v>
      </c>
      <c r="S2533" s="74">
        <v>33343</v>
      </c>
      <c r="T2533" s="77">
        <v>0.79166666666666663</v>
      </c>
      <c r="V2533">
        <v>48.92</v>
      </c>
      <c r="X2533" s="42"/>
      <c r="AB2533">
        <v>52.7</v>
      </c>
      <c r="AC2533">
        <v>48.92</v>
      </c>
      <c r="AE2533" s="74"/>
      <c r="AF2533" s="77"/>
      <c r="AH2533" s="497">
        <v>48.019999999999996</v>
      </c>
      <c r="AJ2533" s="42"/>
      <c r="AK2533" s="74"/>
      <c r="AL2533" s="77"/>
      <c r="AN2533" s="497">
        <v>42.08</v>
      </c>
      <c r="AP2533" s="42"/>
      <c r="AQ2533" s="74"/>
      <c r="AR2533" s="77"/>
      <c r="AT2533" s="497">
        <v>73.94</v>
      </c>
      <c r="AV2533" s="42"/>
      <c r="AW2533" s="74"/>
      <c r="AX2533" s="77"/>
      <c r="BA2533" s="497">
        <v>60.980000000000004</v>
      </c>
      <c r="BB2533" s="42"/>
      <c r="BC2533" s="74"/>
      <c r="BD2533" s="77"/>
      <c r="BF2533">
        <v>37.04</v>
      </c>
      <c r="BH2533" s="42"/>
      <c r="BI2533" s="74"/>
      <c r="BJ2533" s="77"/>
      <c r="BL2533" s="497">
        <v>66.02</v>
      </c>
      <c r="BN2533" s="42"/>
      <c r="BO2533" s="74"/>
      <c r="BP2533" s="77"/>
      <c r="BR2533" s="497">
        <v>69.080000000000013</v>
      </c>
      <c r="BT2533" s="42"/>
    </row>
    <row r="2534" spans="1:72" x14ac:dyDescent="0.25">
      <c r="A2534" s="90">
        <v>33343</v>
      </c>
      <c r="B2534" s="20">
        <v>0.83333333333333337</v>
      </c>
      <c r="D2534">
        <v>62.06</v>
      </c>
      <c r="E2534" t="str">
        <f t="shared" si="114"/>
        <v>WEEKDAY</v>
      </c>
      <c r="F2534" t="e">
        <f t="shared" si="113"/>
        <v>#N/A</v>
      </c>
      <c r="G2534" s="74">
        <v>32978</v>
      </c>
      <c r="H2534" s="77">
        <v>0.83333333333333337</v>
      </c>
      <c r="J2534">
        <v>53.06</v>
      </c>
      <c r="M2534" s="74">
        <v>33343</v>
      </c>
      <c r="N2534" s="77">
        <v>0.83333333333333337</v>
      </c>
      <c r="P2534">
        <v>46.04</v>
      </c>
      <c r="S2534" s="74">
        <v>33343</v>
      </c>
      <c r="T2534" s="77">
        <v>0.83333333333333337</v>
      </c>
      <c r="V2534">
        <v>48.92</v>
      </c>
      <c r="X2534" s="42"/>
      <c r="AB2534">
        <v>51.4</v>
      </c>
      <c r="AC2534">
        <v>48.92</v>
      </c>
      <c r="AE2534" s="74"/>
      <c r="AF2534" s="77"/>
      <c r="AH2534" s="497">
        <v>48.019999999999996</v>
      </c>
      <c r="AJ2534" s="42"/>
      <c r="AK2534" s="74"/>
      <c r="AL2534" s="77"/>
      <c r="AN2534" s="497">
        <v>39.92</v>
      </c>
      <c r="AP2534" s="42"/>
      <c r="AQ2534" s="74"/>
      <c r="AR2534" s="77"/>
      <c r="AT2534" s="497">
        <v>71.960000000000008</v>
      </c>
      <c r="AV2534" s="42"/>
      <c r="AW2534" s="74"/>
      <c r="AX2534" s="77"/>
      <c r="BA2534" s="497">
        <v>59</v>
      </c>
      <c r="BB2534" s="42"/>
      <c r="BC2534" s="74"/>
      <c r="BD2534" s="77"/>
      <c r="BF2534">
        <v>35.96</v>
      </c>
      <c r="BH2534" s="42"/>
      <c r="BI2534" s="74"/>
      <c r="BJ2534" s="77"/>
      <c r="BL2534" s="497">
        <v>64.94</v>
      </c>
      <c r="BN2534" s="42"/>
      <c r="BO2534" s="74"/>
      <c r="BP2534" s="77"/>
      <c r="BR2534" s="497">
        <v>66.02</v>
      </c>
      <c r="BT2534" s="42"/>
    </row>
    <row r="2535" spans="1:72" x14ac:dyDescent="0.25">
      <c r="A2535" s="90">
        <v>33343</v>
      </c>
      <c r="B2535" s="20">
        <v>0.875</v>
      </c>
      <c r="D2535">
        <v>57.92</v>
      </c>
      <c r="E2535" t="str">
        <f t="shared" si="114"/>
        <v>WEEKDAY</v>
      </c>
      <c r="F2535" t="e">
        <f t="shared" si="113"/>
        <v>#N/A</v>
      </c>
      <c r="G2535" s="74">
        <v>32978</v>
      </c>
      <c r="H2535" s="77">
        <v>0.875</v>
      </c>
      <c r="J2535">
        <v>53.06</v>
      </c>
      <c r="M2535" s="74">
        <v>33343</v>
      </c>
      <c r="N2535" s="77">
        <v>0.875</v>
      </c>
      <c r="P2535">
        <v>46.94</v>
      </c>
      <c r="S2535" s="74">
        <v>33343</v>
      </c>
      <c r="T2535" s="77">
        <v>0.875</v>
      </c>
      <c r="V2535">
        <v>48.92</v>
      </c>
      <c r="X2535" s="42"/>
      <c r="AB2535">
        <v>50.7</v>
      </c>
      <c r="AC2535">
        <v>50</v>
      </c>
      <c r="AE2535" s="74"/>
      <c r="AF2535" s="77"/>
      <c r="AH2535" s="497">
        <v>48.019999999999996</v>
      </c>
      <c r="AJ2535" s="42"/>
      <c r="AK2535" s="74"/>
      <c r="AL2535" s="77"/>
      <c r="AN2535" s="497">
        <v>37.94</v>
      </c>
      <c r="AP2535" s="42"/>
      <c r="AQ2535" s="74"/>
      <c r="AR2535" s="77"/>
      <c r="AT2535" s="497">
        <v>69.080000000000013</v>
      </c>
      <c r="AV2535" s="42"/>
      <c r="AW2535" s="74"/>
      <c r="AX2535" s="77"/>
      <c r="BA2535" s="497">
        <v>57.019999999999996</v>
      </c>
      <c r="BB2535" s="42"/>
      <c r="BC2535" s="74"/>
      <c r="BD2535" s="77"/>
      <c r="BF2535">
        <v>37.04</v>
      </c>
      <c r="BH2535" s="42"/>
      <c r="BI2535" s="74"/>
      <c r="BJ2535" s="77"/>
      <c r="BL2535" s="497">
        <v>64.039999999999992</v>
      </c>
      <c r="BN2535" s="42"/>
      <c r="BO2535" s="74"/>
      <c r="BP2535" s="77"/>
      <c r="BR2535" s="497">
        <v>60.08</v>
      </c>
      <c r="BT2535" s="42"/>
    </row>
    <row r="2536" spans="1:72" x14ac:dyDescent="0.25">
      <c r="A2536" s="90">
        <v>33343</v>
      </c>
      <c r="B2536" s="20">
        <v>0.91666666666666663</v>
      </c>
      <c r="D2536">
        <v>57.92</v>
      </c>
      <c r="E2536" t="str">
        <f t="shared" si="114"/>
        <v>WEEKDAY</v>
      </c>
      <c r="F2536" t="e">
        <f t="shared" si="113"/>
        <v>#N/A</v>
      </c>
      <c r="G2536" s="74">
        <v>32978</v>
      </c>
      <c r="H2536" s="77">
        <v>0.91666666666666663</v>
      </c>
      <c r="J2536">
        <v>53.06</v>
      </c>
      <c r="M2536" s="74">
        <v>33343</v>
      </c>
      <c r="N2536" s="77">
        <v>0.91666666666666663</v>
      </c>
      <c r="P2536">
        <v>48.379999999999995</v>
      </c>
      <c r="S2536" s="74">
        <v>33343</v>
      </c>
      <c r="T2536" s="77">
        <v>0.91666666666666663</v>
      </c>
      <c r="V2536">
        <v>50</v>
      </c>
      <c r="X2536" s="42"/>
      <c r="AB2536">
        <v>50.1</v>
      </c>
      <c r="AC2536">
        <v>51.08</v>
      </c>
      <c r="AE2536" s="74"/>
      <c r="AF2536" s="77"/>
      <c r="AH2536" s="497">
        <v>48.019999999999996</v>
      </c>
      <c r="AJ2536" s="42"/>
      <c r="AK2536" s="74"/>
      <c r="AL2536" s="77"/>
      <c r="AN2536" s="497">
        <v>39.019999999999996</v>
      </c>
      <c r="AP2536" s="42"/>
      <c r="AQ2536" s="74"/>
      <c r="AR2536" s="77"/>
      <c r="AT2536" s="497">
        <v>66.92</v>
      </c>
      <c r="AV2536" s="42"/>
      <c r="AW2536" s="74"/>
      <c r="AX2536" s="77"/>
      <c r="BA2536" s="497">
        <v>57.019999999999996</v>
      </c>
      <c r="BB2536" s="42"/>
      <c r="BC2536" s="74"/>
      <c r="BD2536" s="77"/>
      <c r="BF2536">
        <v>35.96</v>
      </c>
      <c r="BH2536" s="42"/>
      <c r="BI2536" s="74"/>
      <c r="BJ2536" s="77"/>
      <c r="BL2536" s="497">
        <v>64.039999999999992</v>
      </c>
      <c r="BN2536" s="42"/>
      <c r="BO2536" s="74"/>
      <c r="BP2536" s="77"/>
      <c r="BR2536" s="497">
        <v>57.92</v>
      </c>
      <c r="BT2536" s="42"/>
    </row>
    <row r="2537" spans="1:72" x14ac:dyDescent="0.25">
      <c r="A2537" s="90">
        <v>33343</v>
      </c>
      <c r="B2537" s="20">
        <v>0.95833333333333337</v>
      </c>
      <c r="D2537">
        <v>57.019999999999996</v>
      </c>
      <c r="E2537" t="str">
        <f t="shared" si="114"/>
        <v>WEEKDAY</v>
      </c>
      <c r="F2537" t="e">
        <f t="shared" si="113"/>
        <v>#N/A</v>
      </c>
      <c r="G2537" s="74">
        <v>32978</v>
      </c>
      <c r="H2537" s="77">
        <v>0.95833333333333337</v>
      </c>
      <c r="J2537">
        <v>53.06</v>
      </c>
      <c r="M2537" s="74">
        <v>33343</v>
      </c>
      <c r="N2537" s="77">
        <v>0.95833333333333337</v>
      </c>
      <c r="P2537">
        <v>50</v>
      </c>
      <c r="S2537" s="74">
        <v>33343</v>
      </c>
      <c r="T2537" s="77">
        <v>0.95833333333333337</v>
      </c>
      <c r="V2537">
        <v>51.980000000000004</v>
      </c>
      <c r="X2537" s="42"/>
      <c r="AB2537">
        <v>49.4</v>
      </c>
      <c r="AC2537">
        <v>51.08</v>
      </c>
      <c r="AE2537" s="74"/>
      <c r="AF2537" s="77"/>
      <c r="AH2537" s="497">
        <v>48.92</v>
      </c>
      <c r="AJ2537" s="42"/>
      <c r="AK2537" s="74"/>
      <c r="AL2537" s="77"/>
      <c r="AN2537" s="497">
        <v>39.019999999999996</v>
      </c>
      <c r="AP2537" s="42"/>
      <c r="AQ2537" s="74"/>
      <c r="AR2537" s="77"/>
      <c r="AT2537" s="497">
        <v>64.94</v>
      </c>
      <c r="AV2537" s="42"/>
      <c r="AW2537" s="74"/>
      <c r="AX2537" s="77"/>
      <c r="BA2537" s="497">
        <v>55.94</v>
      </c>
      <c r="BB2537" s="42"/>
      <c r="BC2537" s="74"/>
      <c r="BD2537" s="77"/>
      <c r="BF2537">
        <v>35.96</v>
      </c>
      <c r="BH2537" s="42"/>
      <c r="BI2537" s="74"/>
      <c r="BJ2537" s="77"/>
      <c r="BL2537" s="497">
        <v>62.96</v>
      </c>
      <c r="BN2537" s="42"/>
      <c r="BO2537" s="74"/>
      <c r="BP2537" s="77"/>
      <c r="BR2537" s="497">
        <v>55.94</v>
      </c>
      <c r="BT2537" s="42"/>
    </row>
    <row r="2538" spans="1:72" x14ac:dyDescent="0.25">
      <c r="A2538" s="90">
        <v>33343</v>
      </c>
      <c r="B2538" s="20">
        <v>1</v>
      </c>
      <c r="D2538">
        <v>57.019999999999996</v>
      </c>
      <c r="E2538" t="str">
        <f t="shared" si="114"/>
        <v>WEEKDAY</v>
      </c>
      <c r="F2538" t="e">
        <f t="shared" si="113"/>
        <v>#N/A</v>
      </c>
      <c r="G2538" s="74">
        <v>32978</v>
      </c>
      <c r="H2538" s="77">
        <v>1</v>
      </c>
      <c r="J2538">
        <v>55.94</v>
      </c>
      <c r="M2538" s="74">
        <v>33343</v>
      </c>
      <c r="N2538" s="80">
        <v>1</v>
      </c>
      <c r="P2538">
        <v>48.92</v>
      </c>
      <c r="S2538" s="74">
        <v>33343</v>
      </c>
      <c r="T2538" s="80">
        <v>1</v>
      </c>
      <c r="V2538">
        <v>51.980000000000004</v>
      </c>
      <c r="X2538" s="42"/>
      <c r="AB2538">
        <v>48.9</v>
      </c>
      <c r="AC2538">
        <v>51.08</v>
      </c>
      <c r="AE2538" s="74"/>
      <c r="AF2538" s="80"/>
      <c r="AH2538" s="497">
        <v>48.019999999999996</v>
      </c>
      <c r="AJ2538" s="42"/>
      <c r="AK2538" s="74"/>
      <c r="AL2538" s="80"/>
      <c r="AN2538" s="497">
        <v>37.94</v>
      </c>
      <c r="AP2538" s="42"/>
      <c r="AQ2538" s="74"/>
      <c r="AR2538" s="80"/>
      <c r="AT2538" s="497">
        <v>64.94</v>
      </c>
      <c r="AV2538" s="42"/>
      <c r="AW2538" s="74"/>
      <c r="AX2538" s="80"/>
      <c r="BA2538" s="497">
        <v>53.96</v>
      </c>
      <c r="BB2538" s="42"/>
      <c r="BC2538" s="74"/>
      <c r="BD2538" s="80"/>
      <c r="BF2538">
        <v>35.06</v>
      </c>
      <c r="BH2538" s="42"/>
      <c r="BI2538" s="74"/>
      <c r="BJ2538" s="80"/>
      <c r="BL2538" s="497">
        <v>59</v>
      </c>
      <c r="BN2538" s="42"/>
      <c r="BO2538" s="74"/>
      <c r="BP2538" s="80"/>
      <c r="BR2538" s="497">
        <v>55.040000000000006</v>
      </c>
      <c r="BT2538" s="42"/>
    </row>
    <row r="2539" spans="1:72" x14ac:dyDescent="0.25">
      <c r="A2539" s="90">
        <v>33344</v>
      </c>
      <c r="B2539" s="20">
        <v>4.1666666666666664E-2</v>
      </c>
      <c r="D2539">
        <v>57.92</v>
      </c>
      <c r="E2539" t="str">
        <f t="shared" si="114"/>
        <v>WEEKDAY</v>
      </c>
      <c r="F2539" t="e">
        <f t="shared" ref="F2539:F2602" si="115">IF(E2539="WEEKDAY",VLOOKUP(B2539,$DD$19:$DG$42,2),IF(E2539="SATURDAY",VLOOKUP(B2539,$DD$19:$DG$42,3),VLOOKUP(B2539,$DD$19:$DG$42,4)))</f>
        <v>#N/A</v>
      </c>
      <c r="G2539" s="74">
        <v>32979</v>
      </c>
      <c r="H2539" s="77">
        <v>4.1666666666666664E-2</v>
      </c>
      <c r="J2539">
        <v>53.96</v>
      </c>
      <c r="M2539" s="74">
        <v>33344</v>
      </c>
      <c r="N2539" s="77">
        <v>4.1666666666666664E-2</v>
      </c>
      <c r="P2539">
        <v>48.019999999999996</v>
      </c>
      <c r="S2539" s="74">
        <v>33344</v>
      </c>
      <c r="T2539" s="77">
        <v>4.1666666666666664E-2</v>
      </c>
      <c r="V2539">
        <v>51.08</v>
      </c>
      <c r="X2539" s="42"/>
      <c r="AB2539">
        <v>48.3</v>
      </c>
      <c r="AC2539">
        <v>50</v>
      </c>
      <c r="AE2539" s="74"/>
      <c r="AF2539" s="77"/>
      <c r="AH2539" s="497">
        <v>48.019999999999996</v>
      </c>
      <c r="AJ2539" s="42"/>
      <c r="AK2539" s="74"/>
      <c r="AL2539" s="77"/>
      <c r="AN2539" s="497">
        <v>37.94</v>
      </c>
      <c r="AP2539" s="42"/>
      <c r="AQ2539" s="74"/>
      <c r="AR2539" s="77"/>
      <c r="AT2539" s="497">
        <v>64.039999999999992</v>
      </c>
      <c r="AV2539" s="42"/>
      <c r="AW2539" s="74"/>
      <c r="AX2539" s="77"/>
      <c r="BA2539" s="497">
        <v>53.06</v>
      </c>
      <c r="BB2539" s="42"/>
      <c r="BC2539" s="74"/>
      <c r="BD2539" s="77"/>
      <c r="BF2539">
        <v>35.96</v>
      </c>
      <c r="BH2539" s="42"/>
      <c r="BI2539" s="74"/>
      <c r="BJ2539" s="77"/>
      <c r="BL2539" s="497">
        <v>57.92</v>
      </c>
      <c r="BN2539" s="42"/>
      <c r="BO2539" s="74"/>
      <c r="BP2539" s="77"/>
      <c r="BR2539" s="497">
        <v>57.92</v>
      </c>
      <c r="BT2539" s="42"/>
    </row>
    <row r="2540" spans="1:72" x14ac:dyDescent="0.25">
      <c r="A2540" s="90">
        <v>33344</v>
      </c>
      <c r="B2540" s="20">
        <v>8.3333333333333329E-2</v>
      </c>
      <c r="D2540">
        <v>57.019999999999996</v>
      </c>
      <c r="E2540" t="str">
        <f t="shared" si="114"/>
        <v>WEEKDAY</v>
      </c>
      <c r="F2540" t="e">
        <f t="shared" si="115"/>
        <v>#N/A</v>
      </c>
      <c r="G2540" s="74">
        <v>32979</v>
      </c>
      <c r="H2540" s="77">
        <v>8.3333333333333329E-2</v>
      </c>
      <c r="J2540">
        <v>55.040000000000006</v>
      </c>
      <c r="M2540" s="74">
        <v>33344</v>
      </c>
      <c r="N2540" s="77">
        <v>8.3333333333333329E-2</v>
      </c>
      <c r="P2540">
        <v>48.019999999999996</v>
      </c>
      <c r="S2540" s="74">
        <v>33344</v>
      </c>
      <c r="T2540" s="77">
        <v>8.3333333333333329E-2</v>
      </c>
      <c r="V2540">
        <v>50</v>
      </c>
      <c r="X2540" s="42"/>
      <c r="AB2540">
        <v>47.7</v>
      </c>
      <c r="AC2540">
        <v>48.92</v>
      </c>
      <c r="AE2540" s="74"/>
      <c r="AF2540" s="77"/>
      <c r="AH2540" s="497">
        <v>46.94</v>
      </c>
      <c r="AJ2540" s="42"/>
      <c r="AK2540" s="74"/>
      <c r="AL2540" s="77"/>
      <c r="AN2540" s="497">
        <v>37.94</v>
      </c>
      <c r="AP2540" s="42"/>
      <c r="AQ2540" s="74"/>
      <c r="AR2540" s="77"/>
      <c r="AT2540" s="497">
        <v>62.96</v>
      </c>
      <c r="AV2540" s="42"/>
      <c r="AW2540" s="74"/>
      <c r="AX2540" s="77"/>
      <c r="BA2540" s="497">
        <v>50</v>
      </c>
      <c r="BB2540" s="42"/>
      <c r="BC2540" s="74"/>
      <c r="BD2540" s="77"/>
      <c r="BF2540">
        <v>33.08</v>
      </c>
      <c r="BH2540" s="42"/>
      <c r="BI2540" s="74"/>
      <c r="BJ2540" s="77"/>
      <c r="BL2540" s="497">
        <v>57.92</v>
      </c>
      <c r="BN2540" s="42"/>
      <c r="BO2540" s="74"/>
      <c r="BP2540" s="77"/>
      <c r="BR2540" s="497">
        <v>55.94</v>
      </c>
      <c r="BT2540" s="42"/>
    </row>
    <row r="2541" spans="1:72" x14ac:dyDescent="0.25">
      <c r="A2541" s="90">
        <v>33344</v>
      </c>
      <c r="B2541" s="20">
        <v>0.125</v>
      </c>
      <c r="D2541">
        <v>55.040000000000006</v>
      </c>
      <c r="E2541" t="str">
        <f t="shared" si="114"/>
        <v>WEEKDAY</v>
      </c>
      <c r="F2541" t="e">
        <f t="shared" si="115"/>
        <v>#N/A</v>
      </c>
      <c r="G2541" s="74">
        <v>32979</v>
      </c>
      <c r="H2541" s="77">
        <v>0.125</v>
      </c>
      <c r="J2541">
        <v>53.96</v>
      </c>
      <c r="M2541" s="74">
        <v>33344</v>
      </c>
      <c r="N2541" s="77">
        <v>0.125</v>
      </c>
      <c r="P2541">
        <v>47.3</v>
      </c>
      <c r="S2541" s="74">
        <v>33344</v>
      </c>
      <c r="T2541" s="77">
        <v>0.125</v>
      </c>
      <c r="V2541">
        <v>50</v>
      </c>
      <c r="X2541" s="42"/>
      <c r="AB2541">
        <v>47.3</v>
      </c>
      <c r="AC2541">
        <v>48.019999999999996</v>
      </c>
      <c r="AE2541" s="74"/>
      <c r="AF2541" s="77"/>
      <c r="AH2541" s="497">
        <v>46.94</v>
      </c>
      <c r="AJ2541" s="42"/>
      <c r="AK2541" s="74"/>
      <c r="AL2541" s="77"/>
      <c r="AN2541" s="497">
        <v>37.04</v>
      </c>
      <c r="AP2541" s="42"/>
      <c r="AQ2541" s="74"/>
      <c r="AR2541" s="77"/>
      <c r="AT2541" s="497">
        <v>62.96</v>
      </c>
      <c r="AV2541" s="42"/>
      <c r="AW2541" s="74"/>
      <c r="AX2541" s="77"/>
      <c r="BA2541" s="497">
        <v>48.92</v>
      </c>
      <c r="BB2541" s="42"/>
      <c r="BC2541" s="74"/>
      <c r="BD2541" s="77"/>
      <c r="BF2541">
        <v>30.02</v>
      </c>
      <c r="BH2541" s="42"/>
      <c r="BI2541" s="74"/>
      <c r="BJ2541" s="77"/>
      <c r="BL2541" s="497">
        <v>60.08</v>
      </c>
      <c r="BN2541" s="42"/>
      <c r="BO2541" s="74"/>
      <c r="BP2541" s="77"/>
      <c r="BR2541" s="497">
        <v>57.019999999999996</v>
      </c>
      <c r="BT2541" s="42"/>
    </row>
    <row r="2542" spans="1:72" x14ac:dyDescent="0.25">
      <c r="A2542" s="90">
        <v>33344</v>
      </c>
      <c r="B2542" s="20">
        <v>0.16666666666666666</v>
      </c>
      <c r="D2542">
        <v>53.96</v>
      </c>
      <c r="E2542" t="str">
        <f t="shared" si="114"/>
        <v>WEEKDAY</v>
      </c>
      <c r="F2542" t="e">
        <f t="shared" si="115"/>
        <v>#N/A</v>
      </c>
      <c r="G2542" s="74">
        <v>32979</v>
      </c>
      <c r="H2542" s="77">
        <v>0.16666666666666666</v>
      </c>
      <c r="J2542">
        <v>51.980000000000004</v>
      </c>
      <c r="M2542" s="74">
        <v>33344</v>
      </c>
      <c r="N2542" s="77">
        <v>0.16666666666666666</v>
      </c>
      <c r="P2542">
        <v>46.94</v>
      </c>
      <c r="S2542" s="74">
        <v>33344</v>
      </c>
      <c r="T2542" s="77">
        <v>0.16666666666666666</v>
      </c>
      <c r="V2542">
        <v>48.92</v>
      </c>
      <c r="X2542" s="42"/>
      <c r="AB2542">
        <v>46.9</v>
      </c>
      <c r="AC2542">
        <v>48.92</v>
      </c>
      <c r="AE2542" s="74"/>
      <c r="AF2542" s="77"/>
      <c r="AH2542" s="497">
        <v>46.04</v>
      </c>
      <c r="AJ2542" s="42"/>
      <c r="AK2542" s="74"/>
      <c r="AL2542" s="77"/>
      <c r="AN2542" s="497">
        <v>37.04</v>
      </c>
      <c r="AP2542" s="42"/>
      <c r="AQ2542" s="74"/>
      <c r="AR2542" s="77"/>
      <c r="AT2542" s="497">
        <v>62.06</v>
      </c>
      <c r="AV2542" s="42"/>
      <c r="AW2542" s="74"/>
      <c r="AX2542" s="77"/>
      <c r="BA2542" s="497">
        <v>48.019999999999996</v>
      </c>
      <c r="BB2542" s="42"/>
      <c r="BC2542" s="74"/>
      <c r="BD2542" s="77"/>
      <c r="BF2542">
        <v>28.04</v>
      </c>
      <c r="BH2542" s="42"/>
      <c r="BI2542" s="74"/>
      <c r="BJ2542" s="77"/>
      <c r="BL2542" s="497">
        <v>60.980000000000004</v>
      </c>
      <c r="BN2542" s="42"/>
      <c r="BO2542" s="74"/>
      <c r="BP2542" s="77"/>
      <c r="BR2542" s="497">
        <v>57.019999999999996</v>
      </c>
      <c r="BT2542" s="42"/>
    </row>
    <row r="2543" spans="1:72" x14ac:dyDescent="0.25">
      <c r="A2543" s="90">
        <v>33344</v>
      </c>
      <c r="B2543" s="20">
        <v>0.20833333333333334</v>
      </c>
      <c r="D2543">
        <v>55.040000000000006</v>
      </c>
      <c r="E2543" t="str">
        <f t="shared" si="114"/>
        <v>WEEKDAY</v>
      </c>
      <c r="F2543" t="e">
        <f t="shared" si="115"/>
        <v>#N/A</v>
      </c>
      <c r="G2543" s="74">
        <v>32979</v>
      </c>
      <c r="H2543" s="77">
        <v>0.20833333333333334</v>
      </c>
      <c r="J2543">
        <v>51.08</v>
      </c>
      <c r="M2543" s="74">
        <v>33344</v>
      </c>
      <c r="N2543" s="77">
        <v>0.20833333333333334</v>
      </c>
      <c r="P2543">
        <v>48.92</v>
      </c>
      <c r="S2543" s="74">
        <v>33344</v>
      </c>
      <c r="T2543" s="77">
        <v>0.20833333333333334</v>
      </c>
      <c r="V2543">
        <v>48.92</v>
      </c>
      <c r="X2543" s="42"/>
      <c r="AB2543">
        <v>46.4</v>
      </c>
      <c r="AC2543">
        <v>48.92</v>
      </c>
      <c r="AE2543" s="74"/>
      <c r="AF2543" s="77"/>
      <c r="AH2543" s="497">
        <v>42.08</v>
      </c>
      <c r="AJ2543" s="42"/>
      <c r="AK2543" s="74"/>
      <c r="AL2543" s="77"/>
      <c r="AN2543" s="497">
        <v>35.96</v>
      </c>
      <c r="AP2543" s="42"/>
      <c r="AQ2543" s="74"/>
      <c r="AR2543" s="77"/>
      <c r="AT2543" s="497">
        <v>62.96</v>
      </c>
      <c r="AV2543" s="42"/>
      <c r="AW2543" s="74"/>
      <c r="AX2543" s="77"/>
      <c r="BA2543" s="497">
        <v>46.04</v>
      </c>
      <c r="BB2543" s="42"/>
      <c r="BC2543" s="74"/>
      <c r="BD2543" s="77"/>
      <c r="BF2543">
        <v>28.04</v>
      </c>
      <c r="BH2543" s="42"/>
      <c r="BI2543" s="74"/>
      <c r="BJ2543" s="77"/>
      <c r="BL2543" s="497">
        <v>60.08</v>
      </c>
      <c r="BN2543" s="42"/>
      <c r="BO2543" s="74"/>
      <c r="BP2543" s="77"/>
      <c r="BR2543" s="497">
        <v>55.94</v>
      </c>
      <c r="BT2543" s="42"/>
    </row>
    <row r="2544" spans="1:72" x14ac:dyDescent="0.25">
      <c r="A2544" s="90">
        <v>33344</v>
      </c>
      <c r="B2544" s="20">
        <v>0.25</v>
      </c>
      <c r="D2544">
        <v>57.019999999999996</v>
      </c>
      <c r="E2544" t="str">
        <f t="shared" si="114"/>
        <v>WEEKDAY</v>
      </c>
      <c r="F2544" t="e">
        <f t="shared" si="115"/>
        <v>#N/A</v>
      </c>
      <c r="G2544" s="74">
        <v>32979</v>
      </c>
      <c r="H2544" s="77">
        <v>0.25</v>
      </c>
      <c r="J2544">
        <v>51.08</v>
      </c>
      <c r="M2544" s="74">
        <v>33344</v>
      </c>
      <c r="N2544" s="77">
        <v>0.25</v>
      </c>
      <c r="P2544">
        <v>50</v>
      </c>
      <c r="S2544" s="74">
        <v>33344</v>
      </c>
      <c r="T2544" s="77">
        <v>0.25</v>
      </c>
      <c r="V2544">
        <v>50</v>
      </c>
      <c r="X2544" s="42"/>
      <c r="AB2544">
        <v>46.2</v>
      </c>
      <c r="AC2544">
        <v>48.92</v>
      </c>
      <c r="AE2544" s="74"/>
      <c r="AF2544" s="77"/>
      <c r="AH2544" s="497">
        <v>41</v>
      </c>
      <c r="AJ2544" s="42"/>
      <c r="AK2544" s="74"/>
      <c r="AL2544" s="77"/>
      <c r="AN2544" s="497">
        <v>33.08</v>
      </c>
      <c r="AP2544" s="42"/>
      <c r="AQ2544" s="74"/>
      <c r="AR2544" s="77"/>
      <c r="AT2544" s="497">
        <v>62.06</v>
      </c>
      <c r="AV2544" s="42"/>
      <c r="AW2544" s="74"/>
      <c r="AX2544" s="77"/>
      <c r="BA2544" s="497">
        <v>46.04</v>
      </c>
      <c r="BB2544" s="42"/>
      <c r="BC2544" s="74"/>
      <c r="BD2544" s="77"/>
      <c r="BF2544">
        <v>26.060000000000002</v>
      </c>
      <c r="BH2544" s="42"/>
      <c r="BI2544" s="74"/>
      <c r="BJ2544" s="77"/>
      <c r="BL2544" s="497">
        <v>60.980000000000004</v>
      </c>
      <c r="BN2544" s="42"/>
      <c r="BO2544" s="74"/>
      <c r="BP2544" s="77"/>
      <c r="BR2544" s="497">
        <v>55.040000000000006</v>
      </c>
      <c r="BT2544" s="42"/>
    </row>
    <row r="2545" spans="1:72" x14ac:dyDescent="0.25">
      <c r="A2545" s="90">
        <v>33344</v>
      </c>
      <c r="B2545" s="20">
        <v>0.29166666666666669</v>
      </c>
      <c r="D2545">
        <v>57.019999999999996</v>
      </c>
      <c r="E2545" t="str">
        <f t="shared" si="114"/>
        <v>WEEKDAY</v>
      </c>
      <c r="F2545" t="e">
        <f t="shared" si="115"/>
        <v>#N/A</v>
      </c>
      <c r="G2545" s="74">
        <v>32979</v>
      </c>
      <c r="H2545" s="77">
        <v>0.29166666666666669</v>
      </c>
      <c r="J2545">
        <v>51.980000000000004</v>
      </c>
      <c r="M2545" s="74">
        <v>33344</v>
      </c>
      <c r="N2545" s="77">
        <v>0.29166666666666669</v>
      </c>
      <c r="P2545">
        <v>53.96</v>
      </c>
      <c r="S2545" s="74">
        <v>33344</v>
      </c>
      <c r="T2545" s="77">
        <v>0.29166666666666669</v>
      </c>
      <c r="V2545">
        <v>51.08</v>
      </c>
      <c r="X2545" s="42"/>
      <c r="AB2545">
        <v>46.5</v>
      </c>
      <c r="AC2545">
        <v>51.980000000000004</v>
      </c>
      <c r="AE2545" s="74"/>
      <c r="AF2545" s="77"/>
      <c r="AH2545" s="497">
        <v>48.019999999999996</v>
      </c>
      <c r="AJ2545" s="42"/>
      <c r="AK2545" s="74"/>
      <c r="AL2545" s="77"/>
      <c r="AN2545" s="497">
        <v>32</v>
      </c>
      <c r="AP2545" s="42"/>
      <c r="AQ2545" s="74"/>
      <c r="AR2545" s="77"/>
      <c r="AT2545" s="497">
        <v>62.96</v>
      </c>
      <c r="AV2545" s="42"/>
      <c r="AW2545" s="74"/>
      <c r="AX2545" s="77"/>
      <c r="BA2545" s="497">
        <v>50</v>
      </c>
      <c r="BB2545" s="42"/>
      <c r="BC2545" s="74"/>
      <c r="BD2545" s="77"/>
      <c r="BF2545">
        <v>24.98</v>
      </c>
      <c r="BH2545" s="42"/>
      <c r="BI2545" s="74"/>
      <c r="BJ2545" s="77"/>
      <c r="BL2545" s="497">
        <v>64.039999999999992</v>
      </c>
      <c r="BN2545" s="42"/>
      <c r="BO2545" s="74"/>
      <c r="BP2545" s="77"/>
      <c r="BR2545" s="497">
        <v>60.980000000000004</v>
      </c>
      <c r="BT2545" s="42"/>
    </row>
    <row r="2546" spans="1:72" x14ac:dyDescent="0.25">
      <c r="A2546" s="90">
        <v>33344</v>
      </c>
      <c r="B2546" s="20">
        <v>0.33333333333333331</v>
      </c>
      <c r="D2546">
        <v>55.94</v>
      </c>
      <c r="E2546" t="str">
        <f t="shared" si="114"/>
        <v>WEEKDAY</v>
      </c>
      <c r="F2546" t="e">
        <f t="shared" si="115"/>
        <v>#N/A</v>
      </c>
      <c r="G2546" s="74">
        <v>32979</v>
      </c>
      <c r="H2546" s="77">
        <v>0.33333333333333331</v>
      </c>
      <c r="J2546">
        <v>53.06</v>
      </c>
      <c r="M2546" s="74">
        <v>33344</v>
      </c>
      <c r="N2546" s="77">
        <v>0.33333333333333331</v>
      </c>
      <c r="P2546">
        <v>57.92</v>
      </c>
      <c r="S2546" s="74">
        <v>33344</v>
      </c>
      <c r="T2546" s="77">
        <v>0.33333333333333331</v>
      </c>
      <c r="V2546">
        <v>55.94</v>
      </c>
      <c r="X2546" s="42"/>
      <c r="AB2546">
        <v>48.5</v>
      </c>
      <c r="AC2546">
        <v>60.08</v>
      </c>
      <c r="AE2546" s="74"/>
      <c r="AF2546" s="77"/>
      <c r="AH2546" s="497">
        <v>53.06</v>
      </c>
      <c r="AJ2546" s="42"/>
      <c r="AK2546" s="74"/>
      <c r="AL2546" s="77"/>
      <c r="AN2546" s="497">
        <v>30.02</v>
      </c>
      <c r="AP2546" s="42"/>
      <c r="AQ2546" s="74"/>
      <c r="AR2546" s="77"/>
      <c r="AT2546" s="497">
        <v>60.08</v>
      </c>
      <c r="AV2546" s="42"/>
      <c r="AW2546" s="74"/>
      <c r="AX2546" s="77"/>
      <c r="BA2546" s="497">
        <v>55.94</v>
      </c>
      <c r="BB2546" s="42"/>
      <c r="BC2546" s="74"/>
      <c r="BD2546" s="77"/>
      <c r="BF2546">
        <v>26.96</v>
      </c>
      <c r="BH2546" s="42"/>
      <c r="BI2546" s="74"/>
      <c r="BJ2546" s="77"/>
      <c r="BL2546" s="497">
        <v>73.039999999999992</v>
      </c>
      <c r="BN2546" s="42"/>
      <c r="BO2546" s="74"/>
      <c r="BP2546" s="77"/>
      <c r="BR2546" s="497">
        <v>64.039999999999992</v>
      </c>
      <c r="BT2546" s="42"/>
    </row>
    <row r="2547" spans="1:72" x14ac:dyDescent="0.25">
      <c r="A2547" s="90">
        <v>33344</v>
      </c>
      <c r="B2547" s="20">
        <v>0.375</v>
      </c>
      <c r="D2547">
        <v>55.94</v>
      </c>
      <c r="E2547" t="str">
        <f t="shared" si="114"/>
        <v>WEEKDAY</v>
      </c>
      <c r="F2547" t="e">
        <f t="shared" si="115"/>
        <v>#N/A</v>
      </c>
      <c r="G2547" s="74">
        <v>32979</v>
      </c>
      <c r="H2547" s="77">
        <v>0.375</v>
      </c>
      <c r="J2547">
        <v>53.96</v>
      </c>
      <c r="M2547" s="74">
        <v>33344</v>
      </c>
      <c r="N2547" s="77">
        <v>0.375</v>
      </c>
      <c r="P2547">
        <v>60.980000000000004</v>
      </c>
      <c r="S2547" s="74">
        <v>33344</v>
      </c>
      <c r="T2547" s="77">
        <v>0.375</v>
      </c>
      <c r="V2547">
        <v>60.08</v>
      </c>
      <c r="X2547" s="42"/>
      <c r="AB2547">
        <v>50.4</v>
      </c>
      <c r="AC2547">
        <v>66.02</v>
      </c>
      <c r="AE2547" s="74"/>
      <c r="AF2547" s="77"/>
      <c r="AH2547" s="497">
        <v>57.92</v>
      </c>
      <c r="AJ2547" s="42"/>
      <c r="AK2547" s="74"/>
      <c r="AL2547" s="77"/>
      <c r="AN2547" s="497">
        <v>28.04</v>
      </c>
      <c r="AP2547" s="42"/>
      <c r="AQ2547" s="74"/>
      <c r="AR2547" s="77"/>
      <c r="AT2547" s="497">
        <v>50</v>
      </c>
      <c r="AV2547" s="42"/>
      <c r="AW2547" s="74"/>
      <c r="AX2547" s="77"/>
      <c r="BA2547" s="497">
        <v>62.06</v>
      </c>
      <c r="BB2547" s="42"/>
      <c r="BC2547" s="74"/>
      <c r="BD2547" s="77"/>
      <c r="BF2547">
        <v>26.060000000000002</v>
      </c>
      <c r="BH2547" s="42"/>
      <c r="BI2547" s="74"/>
      <c r="BJ2547" s="77"/>
      <c r="BL2547" s="497">
        <v>77</v>
      </c>
      <c r="BN2547" s="42"/>
      <c r="BO2547" s="74"/>
      <c r="BP2547" s="77"/>
      <c r="BR2547" s="497">
        <v>64.94</v>
      </c>
      <c r="BT2547" s="42"/>
    </row>
    <row r="2548" spans="1:72" x14ac:dyDescent="0.25">
      <c r="A2548" s="90">
        <v>33344</v>
      </c>
      <c r="B2548" s="20">
        <v>0.41666666666666669</v>
      </c>
      <c r="D2548">
        <v>53.96</v>
      </c>
      <c r="E2548" t="str">
        <f t="shared" si="114"/>
        <v>WEEKDAY</v>
      </c>
      <c r="F2548" t="e">
        <f t="shared" si="115"/>
        <v>#N/A</v>
      </c>
      <c r="G2548" s="74">
        <v>32979</v>
      </c>
      <c r="H2548" s="77">
        <v>0.41666666666666669</v>
      </c>
      <c r="J2548">
        <v>55.94</v>
      </c>
      <c r="M2548" s="74">
        <v>33344</v>
      </c>
      <c r="N2548" s="77">
        <v>0.41666666666666669</v>
      </c>
      <c r="P2548">
        <v>64.94</v>
      </c>
      <c r="S2548" s="74">
        <v>33344</v>
      </c>
      <c r="T2548" s="77">
        <v>0.41666666666666669</v>
      </c>
      <c r="V2548">
        <v>62.96</v>
      </c>
      <c r="X2548" s="42"/>
      <c r="AB2548">
        <v>52.3</v>
      </c>
      <c r="AC2548">
        <v>68</v>
      </c>
      <c r="AE2548" s="74"/>
      <c r="AF2548" s="77"/>
      <c r="AH2548" s="497">
        <v>62.96</v>
      </c>
      <c r="AJ2548" s="42"/>
      <c r="AK2548" s="74"/>
      <c r="AL2548" s="77"/>
      <c r="AN2548" s="497">
        <v>28.04</v>
      </c>
      <c r="AP2548" s="42"/>
      <c r="AQ2548" s="74"/>
      <c r="AR2548" s="77"/>
      <c r="AT2548" s="497">
        <v>48.92</v>
      </c>
      <c r="AV2548" s="42"/>
      <c r="AW2548" s="74"/>
      <c r="AX2548" s="77"/>
      <c r="BA2548" s="497">
        <v>64.94</v>
      </c>
      <c r="BB2548" s="42"/>
      <c r="BC2548" s="74"/>
      <c r="BD2548" s="77"/>
      <c r="BF2548">
        <v>26.060000000000002</v>
      </c>
      <c r="BH2548" s="42"/>
      <c r="BI2548" s="74"/>
      <c r="BJ2548" s="77"/>
      <c r="BL2548" s="497">
        <v>78.98</v>
      </c>
      <c r="BN2548" s="42"/>
      <c r="BO2548" s="74"/>
      <c r="BP2548" s="77"/>
      <c r="BR2548" s="497">
        <v>62.96</v>
      </c>
      <c r="BT2548" s="42"/>
    </row>
    <row r="2549" spans="1:72" x14ac:dyDescent="0.25">
      <c r="A2549" s="90">
        <v>33344</v>
      </c>
      <c r="B2549" s="20">
        <v>0.45833333333333331</v>
      </c>
      <c r="D2549">
        <v>53.06</v>
      </c>
      <c r="E2549" t="str">
        <f t="shared" si="114"/>
        <v>WEEKDAY</v>
      </c>
      <c r="F2549" t="e">
        <f t="shared" si="115"/>
        <v>#N/A</v>
      </c>
      <c r="G2549" s="74">
        <v>32979</v>
      </c>
      <c r="H2549" s="77">
        <v>0.45833333333333331</v>
      </c>
      <c r="J2549">
        <v>59</v>
      </c>
      <c r="M2549" s="74">
        <v>33344</v>
      </c>
      <c r="N2549" s="77">
        <v>0.45833333333333331</v>
      </c>
      <c r="P2549">
        <v>66.92</v>
      </c>
      <c r="S2549" s="74">
        <v>33344</v>
      </c>
      <c r="T2549" s="77">
        <v>0.45833333333333331</v>
      </c>
      <c r="V2549">
        <v>66.02</v>
      </c>
      <c r="X2549" s="42"/>
      <c r="AB2549">
        <v>54</v>
      </c>
      <c r="AC2549">
        <v>69.080000000000013</v>
      </c>
      <c r="AE2549" s="74"/>
      <c r="AF2549" s="77"/>
      <c r="AH2549" s="497">
        <v>62.96</v>
      </c>
      <c r="AJ2549" s="42"/>
      <c r="AK2549" s="74"/>
      <c r="AL2549" s="77"/>
      <c r="AN2549" s="497">
        <v>26.96</v>
      </c>
      <c r="AP2549" s="42"/>
      <c r="AQ2549" s="74"/>
      <c r="AR2549" s="77"/>
      <c r="AT2549" s="497">
        <v>48.019999999999996</v>
      </c>
      <c r="AV2549" s="42"/>
      <c r="AW2549" s="74"/>
      <c r="AX2549" s="77"/>
      <c r="BA2549" s="497">
        <v>68</v>
      </c>
      <c r="BB2549" s="42"/>
      <c r="BC2549" s="74"/>
      <c r="BD2549" s="77"/>
      <c r="BF2549">
        <v>26.060000000000002</v>
      </c>
      <c r="BH2549" s="42"/>
      <c r="BI2549" s="74"/>
      <c r="BJ2549" s="77"/>
      <c r="BL2549" s="497">
        <v>80.960000000000008</v>
      </c>
      <c r="BN2549" s="42"/>
      <c r="BO2549" s="74"/>
      <c r="BP2549" s="77"/>
      <c r="BR2549" s="497">
        <v>64.94</v>
      </c>
      <c r="BT2549" s="42"/>
    </row>
    <row r="2550" spans="1:72" x14ac:dyDescent="0.25">
      <c r="A2550" s="90">
        <v>33344</v>
      </c>
      <c r="B2550" s="20">
        <v>0.5</v>
      </c>
      <c r="D2550">
        <v>55.040000000000006</v>
      </c>
      <c r="E2550" t="str">
        <f t="shared" si="114"/>
        <v>WEEKDAY</v>
      </c>
      <c r="F2550" t="e">
        <f t="shared" si="115"/>
        <v>#N/A</v>
      </c>
      <c r="G2550" s="74">
        <v>32979</v>
      </c>
      <c r="H2550" s="77">
        <v>0.5</v>
      </c>
      <c r="J2550">
        <v>60.980000000000004</v>
      </c>
      <c r="M2550" s="74">
        <v>33344</v>
      </c>
      <c r="N2550" s="77">
        <v>0.5</v>
      </c>
      <c r="P2550">
        <v>68</v>
      </c>
      <c r="S2550" s="74">
        <v>33344</v>
      </c>
      <c r="T2550" s="77">
        <v>0.5</v>
      </c>
      <c r="V2550">
        <v>69.080000000000013</v>
      </c>
      <c r="X2550" s="42"/>
      <c r="AB2550">
        <v>55.3</v>
      </c>
      <c r="AC2550">
        <v>71.06</v>
      </c>
      <c r="AE2550" s="74"/>
      <c r="AF2550" s="77"/>
      <c r="AH2550" s="497">
        <v>69.080000000000013</v>
      </c>
      <c r="AJ2550" s="42"/>
      <c r="AK2550" s="74"/>
      <c r="AL2550" s="77"/>
      <c r="AN2550" s="497">
        <v>28.04</v>
      </c>
      <c r="AP2550" s="42"/>
      <c r="AQ2550" s="74"/>
      <c r="AR2550" s="77"/>
      <c r="AT2550" s="497">
        <v>48.92</v>
      </c>
      <c r="AV2550" s="42"/>
      <c r="AW2550" s="74"/>
      <c r="AX2550" s="77"/>
      <c r="BA2550" s="497">
        <v>66.92</v>
      </c>
      <c r="BB2550" s="42"/>
      <c r="BC2550" s="74"/>
      <c r="BD2550" s="77"/>
      <c r="BF2550">
        <v>28.04</v>
      </c>
      <c r="BH2550" s="42"/>
      <c r="BI2550" s="74"/>
      <c r="BJ2550" s="77"/>
      <c r="BL2550" s="497">
        <v>82.94</v>
      </c>
      <c r="BN2550" s="42"/>
      <c r="BO2550" s="74"/>
      <c r="BP2550" s="77"/>
      <c r="BR2550" s="497">
        <v>69.080000000000013</v>
      </c>
      <c r="BT2550" s="42"/>
    </row>
    <row r="2551" spans="1:72" x14ac:dyDescent="0.25">
      <c r="A2551" s="90">
        <v>33344</v>
      </c>
      <c r="B2551" s="20">
        <v>0.54166666666666663</v>
      </c>
      <c r="D2551">
        <v>57.019999999999996</v>
      </c>
      <c r="E2551" t="str">
        <f t="shared" si="114"/>
        <v>WEEKDAY</v>
      </c>
      <c r="F2551" t="e">
        <f t="shared" si="115"/>
        <v>#N/A</v>
      </c>
      <c r="G2551" s="74">
        <v>32979</v>
      </c>
      <c r="H2551" s="77">
        <v>0.54166666666666663</v>
      </c>
      <c r="J2551">
        <v>62.06</v>
      </c>
      <c r="M2551" s="74">
        <v>33344</v>
      </c>
      <c r="N2551" s="77">
        <v>0.54166666666666663</v>
      </c>
      <c r="P2551">
        <v>71.06</v>
      </c>
      <c r="S2551" s="74">
        <v>33344</v>
      </c>
      <c r="T2551" s="77">
        <v>0.54166666666666663</v>
      </c>
      <c r="V2551">
        <v>69.98</v>
      </c>
      <c r="X2551" s="42"/>
      <c r="AB2551">
        <v>56.2</v>
      </c>
      <c r="AC2551">
        <v>71.960000000000008</v>
      </c>
      <c r="AE2551" s="74"/>
      <c r="AF2551" s="77"/>
      <c r="AH2551" s="497">
        <v>71.06</v>
      </c>
      <c r="AJ2551" s="42"/>
      <c r="AK2551" s="74"/>
      <c r="AL2551" s="77"/>
      <c r="AN2551" s="497">
        <v>28.04</v>
      </c>
      <c r="AP2551" s="42"/>
      <c r="AQ2551" s="74"/>
      <c r="AR2551" s="77"/>
      <c r="AT2551" s="497">
        <v>51.980000000000004</v>
      </c>
      <c r="AV2551" s="42"/>
      <c r="AW2551" s="74"/>
      <c r="AX2551" s="77"/>
      <c r="BA2551" s="497">
        <v>69.080000000000013</v>
      </c>
      <c r="BB2551" s="42"/>
      <c r="BC2551" s="74"/>
      <c r="BD2551" s="77"/>
      <c r="BF2551">
        <v>30.92</v>
      </c>
      <c r="BH2551" s="42"/>
      <c r="BI2551" s="74"/>
      <c r="BJ2551" s="77"/>
      <c r="BL2551" s="497">
        <v>82.94</v>
      </c>
      <c r="BN2551" s="42"/>
      <c r="BO2551" s="74"/>
      <c r="BP2551" s="77"/>
      <c r="BR2551" s="497">
        <v>71.06</v>
      </c>
      <c r="BT2551" s="42"/>
    </row>
    <row r="2552" spans="1:72" x14ac:dyDescent="0.25">
      <c r="A2552" s="90">
        <v>33344</v>
      </c>
      <c r="B2552" s="20">
        <v>0.58333333333333337</v>
      </c>
      <c r="D2552">
        <v>59</v>
      </c>
      <c r="E2552" t="str">
        <f t="shared" si="114"/>
        <v>WEEKDAY</v>
      </c>
      <c r="F2552" t="e">
        <f t="shared" si="115"/>
        <v>#N/A</v>
      </c>
      <c r="G2552" s="74">
        <v>32979</v>
      </c>
      <c r="H2552" s="77">
        <v>0.58333333333333337</v>
      </c>
      <c r="J2552">
        <v>64.94</v>
      </c>
      <c r="M2552" s="74">
        <v>33344</v>
      </c>
      <c r="N2552" s="77">
        <v>0.58333333333333337</v>
      </c>
      <c r="P2552">
        <v>69.98</v>
      </c>
      <c r="S2552" s="74">
        <v>33344</v>
      </c>
      <c r="T2552" s="77">
        <v>0.58333333333333337</v>
      </c>
      <c r="V2552">
        <v>71.06</v>
      </c>
      <c r="X2552" s="42"/>
      <c r="AB2552">
        <v>56.8</v>
      </c>
      <c r="AC2552">
        <v>64.039999999999992</v>
      </c>
      <c r="AE2552" s="74"/>
      <c r="AF2552" s="77"/>
      <c r="AH2552" s="497">
        <v>75.02</v>
      </c>
      <c r="AJ2552" s="42"/>
      <c r="AK2552" s="74"/>
      <c r="AL2552" s="77"/>
      <c r="AN2552" s="497">
        <v>26.96</v>
      </c>
      <c r="AP2552" s="42"/>
      <c r="AQ2552" s="74"/>
      <c r="AR2552" s="77"/>
      <c r="AT2552" s="497">
        <v>55.040000000000006</v>
      </c>
      <c r="AV2552" s="42"/>
      <c r="AW2552" s="74"/>
      <c r="AX2552" s="77"/>
      <c r="BA2552" s="497">
        <v>68</v>
      </c>
      <c r="BB2552" s="42"/>
      <c r="BC2552" s="74"/>
      <c r="BD2552" s="77"/>
      <c r="BF2552">
        <v>32</v>
      </c>
      <c r="BH2552" s="42"/>
      <c r="BI2552" s="74"/>
      <c r="BJ2552" s="77"/>
      <c r="BL2552" s="497">
        <v>82.039999999999992</v>
      </c>
      <c r="BN2552" s="42"/>
      <c r="BO2552" s="74"/>
      <c r="BP2552" s="77"/>
      <c r="BR2552" s="497">
        <v>71.06</v>
      </c>
      <c r="BT2552" s="42"/>
    </row>
    <row r="2553" spans="1:72" x14ac:dyDescent="0.25">
      <c r="A2553" s="90">
        <v>33344</v>
      </c>
      <c r="B2553" s="20">
        <v>0.625</v>
      </c>
      <c r="D2553">
        <v>62.06</v>
      </c>
      <c r="E2553" t="str">
        <f t="shared" si="114"/>
        <v>WEEKDAY</v>
      </c>
      <c r="F2553" t="e">
        <f t="shared" si="115"/>
        <v>#N/A</v>
      </c>
      <c r="G2553" s="74">
        <v>32979</v>
      </c>
      <c r="H2553" s="77">
        <v>0.625</v>
      </c>
      <c r="J2553">
        <v>66.02</v>
      </c>
      <c r="M2553" s="74">
        <v>33344</v>
      </c>
      <c r="N2553" s="77">
        <v>0.625</v>
      </c>
      <c r="P2553">
        <v>69.98</v>
      </c>
      <c r="S2553" s="74">
        <v>33344</v>
      </c>
      <c r="T2553" s="77">
        <v>0.625</v>
      </c>
      <c r="V2553">
        <v>71.06</v>
      </c>
      <c r="X2553" s="42"/>
      <c r="AB2553">
        <v>56.8</v>
      </c>
      <c r="AC2553">
        <v>66.02</v>
      </c>
      <c r="AE2553" s="74"/>
      <c r="AF2553" s="77"/>
      <c r="AH2553" s="497">
        <v>80.06</v>
      </c>
      <c r="AJ2553" s="42"/>
      <c r="AK2553" s="74"/>
      <c r="AL2553" s="77"/>
      <c r="AN2553" s="497">
        <v>26.96</v>
      </c>
      <c r="AP2553" s="42"/>
      <c r="AQ2553" s="74"/>
      <c r="AR2553" s="77"/>
      <c r="AT2553" s="497">
        <v>57.92</v>
      </c>
      <c r="AV2553" s="42"/>
      <c r="AW2553" s="74"/>
      <c r="AX2553" s="77"/>
      <c r="BA2553" s="497">
        <v>64.94</v>
      </c>
      <c r="BB2553" s="42"/>
      <c r="BC2553" s="74"/>
      <c r="BD2553" s="77"/>
      <c r="BF2553">
        <v>33.979999999999997</v>
      </c>
      <c r="BH2553" s="42"/>
      <c r="BI2553" s="74"/>
      <c r="BJ2553" s="77"/>
      <c r="BL2553" s="497">
        <v>84.02</v>
      </c>
      <c r="BN2553" s="42"/>
      <c r="BO2553" s="74"/>
      <c r="BP2553" s="77"/>
      <c r="BR2553" s="497">
        <v>69.080000000000013</v>
      </c>
      <c r="BT2553" s="42"/>
    </row>
    <row r="2554" spans="1:72" x14ac:dyDescent="0.25">
      <c r="A2554" s="90">
        <v>33344</v>
      </c>
      <c r="B2554" s="20">
        <v>0.66666666666666663</v>
      </c>
      <c r="D2554">
        <v>66.02</v>
      </c>
      <c r="E2554" t="str">
        <f t="shared" si="114"/>
        <v>WEEKDAY</v>
      </c>
      <c r="F2554" t="e">
        <f t="shared" si="115"/>
        <v>#N/A</v>
      </c>
      <c r="G2554" s="74">
        <v>32979</v>
      </c>
      <c r="H2554" s="77">
        <v>0.66666666666666663</v>
      </c>
      <c r="J2554">
        <v>66.02</v>
      </c>
      <c r="M2554" s="74">
        <v>33344</v>
      </c>
      <c r="N2554" s="77">
        <v>0.66666666666666663</v>
      </c>
      <c r="P2554">
        <v>71.960000000000008</v>
      </c>
      <c r="S2554" s="74">
        <v>33344</v>
      </c>
      <c r="T2554" s="77">
        <v>0.66666666666666663</v>
      </c>
      <c r="V2554">
        <v>69.98</v>
      </c>
      <c r="X2554" s="42"/>
      <c r="AB2554">
        <v>56.5</v>
      </c>
      <c r="AC2554">
        <v>66.02</v>
      </c>
      <c r="AE2554" s="74"/>
      <c r="AF2554" s="77"/>
      <c r="AH2554" s="497">
        <v>73.94</v>
      </c>
      <c r="AJ2554" s="42"/>
      <c r="AK2554" s="74"/>
      <c r="AL2554" s="77"/>
      <c r="AN2554" s="497">
        <v>26.060000000000002</v>
      </c>
      <c r="AP2554" s="42"/>
      <c r="AQ2554" s="74"/>
      <c r="AR2554" s="77"/>
      <c r="AT2554" s="497">
        <v>53.06</v>
      </c>
      <c r="AV2554" s="42"/>
      <c r="AW2554" s="74"/>
      <c r="AX2554" s="77"/>
      <c r="BA2554" s="497">
        <v>62.06</v>
      </c>
      <c r="BB2554" s="42"/>
      <c r="BC2554" s="74"/>
      <c r="BD2554" s="77"/>
      <c r="BF2554">
        <v>35.96</v>
      </c>
      <c r="BH2554" s="42"/>
      <c r="BI2554" s="74"/>
      <c r="BJ2554" s="77"/>
      <c r="BL2554" s="497">
        <v>84.02</v>
      </c>
      <c r="BN2554" s="42"/>
      <c r="BO2554" s="74"/>
      <c r="BP2554" s="77"/>
      <c r="BR2554" s="497">
        <v>60.980000000000004</v>
      </c>
      <c r="BT2554" s="42"/>
    </row>
    <row r="2555" spans="1:72" x14ac:dyDescent="0.25">
      <c r="A2555" s="90">
        <v>33344</v>
      </c>
      <c r="B2555" s="20">
        <v>0.70833333333333337</v>
      </c>
      <c r="D2555">
        <v>66.02</v>
      </c>
      <c r="E2555" t="str">
        <f t="shared" si="114"/>
        <v>WEEKDAY</v>
      </c>
      <c r="F2555" t="e">
        <f t="shared" si="115"/>
        <v>#N/A</v>
      </c>
      <c r="G2555" s="74">
        <v>32979</v>
      </c>
      <c r="H2555" s="77">
        <v>0.70833333333333337</v>
      </c>
      <c r="J2555">
        <v>66.92</v>
      </c>
      <c r="M2555" s="74">
        <v>33344</v>
      </c>
      <c r="N2555" s="77">
        <v>0.70833333333333337</v>
      </c>
      <c r="P2555">
        <v>71.06</v>
      </c>
      <c r="S2555" s="74">
        <v>33344</v>
      </c>
      <c r="T2555" s="77">
        <v>0.70833333333333337</v>
      </c>
      <c r="V2555">
        <v>71.960000000000008</v>
      </c>
      <c r="X2555" s="42"/>
      <c r="AB2555">
        <v>55.7</v>
      </c>
      <c r="AC2555">
        <v>60.08</v>
      </c>
      <c r="AE2555" s="74"/>
      <c r="AF2555" s="77"/>
      <c r="AH2555" s="497">
        <v>71.06</v>
      </c>
      <c r="AJ2555" s="42"/>
      <c r="AK2555" s="74"/>
      <c r="AL2555" s="77"/>
      <c r="AN2555" s="497">
        <v>26.060000000000002</v>
      </c>
      <c r="AP2555" s="42"/>
      <c r="AQ2555" s="74"/>
      <c r="AR2555" s="77"/>
      <c r="AT2555" s="497">
        <v>53.96</v>
      </c>
      <c r="AV2555" s="42"/>
      <c r="AW2555" s="74"/>
      <c r="AX2555" s="77"/>
      <c r="BA2555" s="497">
        <v>57.92</v>
      </c>
      <c r="BB2555" s="42"/>
      <c r="BC2555" s="74"/>
      <c r="BD2555" s="77"/>
      <c r="BF2555">
        <v>35.06</v>
      </c>
      <c r="BH2555" s="42"/>
      <c r="BI2555" s="74"/>
      <c r="BJ2555" s="77"/>
      <c r="BL2555" s="497">
        <v>84.02</v>
      </c>
      <c r="BN2555" s="42"/>
      <c r="BO2555" s="74"/>
      <c r="BP2555" s="77"/>
      <c r="BR2555" s="497">
        <v>55.94</v>
      </c>
      <c r="BT2555" s="42"/>
    </row>
    <row r="2556" spans="1:72" x14ac:dyDescent="0.25">
      <c r="A2556" s="90">
        <v>33344</v>
      </c>
      <c r="B2556" s="20">
        <v>0.75</v>
      </c>
      <c r="D2556">
        <v>62.96</v>
      </c>
      <c r="E2556" t="str">
        <f t="shared" si="114"/>
        <v>WEEKDAY</v>
      </c>
      <c r="F2556" t="e">
        <f t="shared" si="115"/>
        <v>#N/A</v>
      </c>
      <c r="G2556" s="74">
        <v>32979</v>
      </c>
      <c r="H2556" s="77">
        <v>0.75</v>
      </c>
      <c r="J2556">
        <v>60.980000000000004</v>
      </c>
      <c r="M2556" s="74">
        <v>33344</v>
      </c>
      <c r="N2556" s="77">
        <v>0.75</v>
      </c>
      <c r="P2556">
        <v>71.06</v>
      </c>
      <c r="S2556" s="74">
        <v>33344</v>
      </c>
      <c r="T2556" s="77">
        <v>0.75</v>
      </c>
      <c r="V2556">
        <v>69.080000000000013</v>
      </c>
      <c r="X2556" s="42"/>
      <c r="AB2556">
        <v>54.5</v>
      </c>
      <c r="AC2556">
        <v>57.92</v>
      </c>
      <c r="AE2556" s="74"/>
      <c r="AF2556" s="77"/>
      <c r="AH2556" s="497">
        <v>69.080000000000013</v>
      </c>
      <c r="AJ2556" s="42"/>
      <c r="AK2556" s="74"/>
      <c r="AL2556" s="77"/>
      <c r="AN2556" s="497">
        <v>24.98</v>
      </c>
      <c r="AP2556" s="42"/>
      <c r="AQ2556" s="74"/>
      <c r="AR2556" s="77"/>
      <c r="AT2556" s="497">
        <v>51.980000000000004</v>
      </c>
      <c r="AV2556" s="42"/>
      <c r="AW2556" s="74"/>
      <c r="AX2556" s="77"/>
      <c r="BA2556" s="497">
        <v>53.96</v>
      </c>
      <c r="BB2556" s="42"/>
      <c r="BC2556" s="74"/>
      <c r="BD2556" s="77"/>
      <c r="BF2556">
        <v>33.979999999999997</v>
      </c>
      <c r="BH2556" s="42"/>
      <c r="BI2556" s="74"/>
      <c r="BJ2556" s="77"/>
      <c r="BL2556" s="497">
        <v>82.039999999999992</v>
      </c>
      <c r="BN2556" s="42"/>
      <c r="BO2556" s="74"/>
      <c r="BP2556" s="77"/>
      <c r="BR2556" s="497">
        <v>50</v>
      </c>
      <c r="BT2556" s="42"/>
    </row>
    <row r="2557" spans="1:72" x14ac:dyDescent="0.25">
      <c r="A2557" s="90">
        <v>33344</v>
      </c>
      <c r="B2557" s="20">
        <v>0.79166666666666663</v>
      </c>
      <c r="D2557">
        <v>62.06</v>
      </c>
      <c r="E2557" t="str">
        <f t="shared" si="114"/>
        <v>WEEKDAY</v>
      </c>
      <c r="F2557" t="e">
        <f t="shared" si="115"/>
        <v>#N/A</v>
      </c>
      <c r="G2557" s="74">
        <v>32979</v>
      </c>
      <c r="H2557" s="77">
        <v>0.79166666666666663</v>
      </c>
      <c r="J2557">
        <v>57.92</v>
      </c>
      <c r="M2557" s="74">
        <v>33344</v>
      </c>
      <c r="N2557" s="77">
        <v>0.79166666666666663</v>
      </c>
      <c r="P2557">
        <v>68</v>
      </c>
      <c r="S2557" s="74">
        <v>33344</v>
      </c>
      <c r="T2557" s="77">
        <v>0.79166666666666663</v>
      </c>
      <c r="V2557">
        <v>66.02</v>
      </c>
      <c r="X2557" s="42"/>
      <c r="AB2557">
        <v>53</v>
      </c>
      <c r="AC2557">
        <v>55.94</v>
      </c>
      <c r="AE2557" s="74"/>
      <c r="AF2557" s="77"/>
      <c r="AH2557" s="497">
        <v>66.02</v>
      </c>
      <c r="AJ2557" s="42"/>
      <c r="AK2557" s="74"/>
      <c r="AL2557" s="77"/>
      <c r="AN2557" s="497">
        <v>24.08</v>
      </c>
      <c r="AP2557" s="42"/>
      <c r="AQ2557" s="74"/>
      <c r="AR2557" s="77"/>
      <c r="AT2557" s="497">
        <v>51.980000000000004</v>
      </c>
      <c r="AV2557" s="42"/>
      <c r="AW2557" s="74"/>
      <c r="AX2557" s="77"/>
      <c r="BA2557" s="497">
        <v>50</v>
      </c>
      <c r="BB2557" s="42"/>
      <c r="BC2557" s="74"/>
      <c r="BD2557" s="77"/>
      <c r="BF2557">
        <v>30.92</v>
      </c>
      <c r="BH2557" s="42"/>
      <c r="BI2557" s="74"/>
      <c r="BJ2557" s="77"/>
      <c r="BL2557" s="497">
        <v>78.080000000000013</v>
      </c>
      <c r="BN2557" s="42"/>
      <c r="BO2557" s="74"/>
      <c r="BP2557" s="77"/>
      <c r="BR2557" s="497">
        <v>48.019999999999996</v>
      </c>
      <c r="BT2557" s="42"/>
    </row>
    <row r="2558" spans="1:72" x14ac:dyDescent="0.25">
      <c r="A2558" s="90">
        <v>33344</v>
      </c>
      <c r="B2558" s="20">
        <v>0.83333333333333337</v>
      </c>
      <c r="D2558">
        <v>60.980000000000004</v>
      </c>
      <c r="E2558" t="str">
        <f t="shared" si="114"/>
        <v>WEEKDAY</v>
      </c>
      <c r="F2558" t="e">
        <f t="shared" si="115"/>
        <v>#N/A</v>
      </c>
      <c r="G2558" s="74">
        <v>32979</v>
      </c>
      <c r="H2558" s="77">
        <v>0.83333333333333337</v>
      </c>
      <c r="J2558">
        <v>55.94</v>
      </c>
      <c r="M2558" s="74">
        <v>33344</v>
      </c>
      <c r="N2558" s="77">
        <v>0.83333333333333337</v>
      </c>
      <c r="P2558">
        <v>64.94</v>
      </c>
      <c r="S2558" s="74">
        <v>33344</v>
      </c>
      <c r="T2558" s="77">
        <v>0.83333333333333337</v>
      </c>
      <c r="V2558">
        <v>62.06</v>
      </c>
      <c r="X2558" s="42"/>
      <c r="AB2558">
        <v>51.7</v>
      </c>
      <c r="AC2558">
        <v>55.94</v>
      </c>
      <c r="AE2558" s="74"/>
      <c r="AF2558" s="77"/>
      <c r="AH2558" s="497">
        <v>64.94</v>
      </c>
      <c r="AJ2558" s="42"/>
      <c r="AK2558" s="74"/>
      <c r="AL2558" s="77"/>
      <c r="AN2558" s="497">
        <v>24.08</v>
      </c>
      <c r="AP2558" s="42"/>
      <c r="AQ2558" s="74"/>
      <c r="AR2558" s="77"/>
      <c r="AT2558" s="497">
        <v>48.019999999999996</v>
      </c>
      <c r="AV2558" s="42"/>
      <c r="AW2558" s="74"/>
      <c r="AX2558" s="77"/>
      <c r="BA2558" s="497">
        <v>46.04</v>
      </c>
      <c r="BB2558" s="42"/>
      <c r="BC2558" s="74"/>
      <c r="BD2558" s="77"/>
      <c r="BF2558">
        <v>28.94</v>
      </c>
      <c r="BH2558" s="42"/>
      <c r="BI2558" s="74"/>
      <c r="BJ2558" s="77"/>
      <c r="BL2558" s="497">
        <v>75.02</v>
      </c>
      <c r="BN2558" s="42"/>
      <c r="BO2558" s="74"/>
      <c r="BP2558" s="77"/>
      <c r="BR2558" s="497">
        <v>42.08</v>
      </c>
      <c r="BT2558" s="42"/>
    </row>
    <row r="2559" spans="1:72" x14ac:dyDescent="0.25">
      <c r="A2559" s="90">
        <v>33344</v>
      </c>
      <c r="B2559" s="20">
        <v>0.875</v>
      </c>
      <c r="D2559">
        <v>60.08</v>
      </c>
      <c r="E2559" t="str">
        <f t="shared" si="114"/>
        <v>WEEKDAY</v>
      </c>
      <c r="F2559" t="e">
        <f t="shared" si="115"/>
        <v>#N/A</v>
      </c>
      <c r="G2559" s="74">
        <v>32979</v>
      </c>
      <c r="H2559" s="77">
        <v>0.875</v>
      </c>
      <c r="J2559">
        <v>55.040000000000006</v>
      </c>
      <c r="M2559" s="74">
        <v>33344</v>
      </c>
      <c r="N2559" s="77">
        <v>0.875</v>
      </c>
      <c r="P2559">
        <v>60.980000000000004</v>
      </c>
      <c r="S2559" s="74">
        <v>33344</v>
      </c>
      <c r="T2559" s="77">
        <v>0.875</v>
      </c>
      <c r="V2559">
        <v>62.06</v>
      </c>
      <c r="X2559" s="42"/>
      <c r="AB2559">
        <v>50.9</v>
      </c>
      <c r="AC2559">
        <v>53.96</v>
      </c>
      <c r="AE2559" s="74"/>
      <c r="AF2559" s="77"/>
      <c r="AH2559" s="497">
        <v>60.980000000000004</v>
      </c>
      <c r="AJ2559" s="42"/>
      <c r="AK2559" s="74"/>
      <c r="AL2559" s="77"/>
      <c r="AN2559" s="497">
        <v>24.08</v>
      </c>
      <c r="AP2559" s="42"/>
      <c r="AQ2559" s="74"/>
      <c r="AR2559" s="77"/>
      <c r="AT2559" s="497">
        <v>50</v>
      </c>
      <c r="AV2559" s="42"/>
      <c r="AW2559" s="74"/>
      <c r="AX2559" s="77"/>
      <c r="BA2559" s="497">
        <v>44.06</v>
      </c>
      <c r="BB2559" s="42"/>
      <c r="BC2559" s="74"/>
      <c r="BD2559" s="77"/>
      <c r="BF2559">
        <v>28.94</v>
      </c>
      <c r="BH2559" s="42"/>
      <c r="BI2559" s="74"/>
      <c r="BJ2559" s="77"/>
      <c r="BL2559" s="497">
        <v>71.06</v>
      </c>
      <c r="BN2559" s="42"/>
      <c r="BO2559" s="74"/>
      <c r="BP2559" s="77"/>
      <c r="BR2559" s="497">
        <v>37.04</v>
      </c>
      <c r="BT2559" s="42"/>
    </row>
    <row r="2560" spans="1:72" x14ac:dyDescent="0.25">
      <c r="A2560" s="90">
        <v>33344</v>
      </c>
      <c r="B2560" s="20">
        <v>0.91666666666666663</v>
      </c>
      <c r="D2560">
        <v>59</v>
      </c>
      <c r="E2560" t="str">
        <f t="shared" si="114"/>
        <v>WEEKDAY</v>
      </c>
      <c r="F2560" t="e">
        <f t="shared" si="115"/>
        <v>#N/A</v>
      </c>
      <c r="G2560" s="74">
        <v>32979</v>
      </c>
      <c r="H2560" s="77">
        <v>0.91666666666666663</v>
      </c>
      <c r="J2560">
        <v>55.040000000000006</v>
      </c>
      <c r="M2560" s="74">
        <v>33344</v>
      </c>
      <c r="N2560" s="77">
        <v>0.91666666666666663</v>
      </c>
      <c r="P2560">
        <v>62.96</v>
      </c>
      <c r="S2560" s="74">
        <v>33344</v>
      </c>
      <c r="T2560" s="77">
        <v>0.91666666666666663</v>
      </c>
      <c r="V2560">
        <v>60.08</v>
      </c>
      <c r="X2560" s="42"/>
      <c r="AB2560">
        <v>50.3</v>
      </c>
      <c r="AC2560">
        <v>55.94</v>
      </c>
      <c r="AE2560" s="74"/>
      <c r="AF2560" s="77"/>
      <c r="AH2560" s="497">
        <v>60.08</v>
      </c>
      <c r="AJ2560" s="42"/>
      <c r="AK2560" s="74"/>
      <c r="AL2560" s="77"/>
      <c r="AN2560" s="497">
        <v>24.08</v>
      </c>
      <c r="AP2560" s="42"/>
      <c r="AQ2560" s="74"/>
      <c r="AR2560" s="77"/>
      <c r="AT2560" s="497">
        <v>44.96</v>
      </c>
      <c r="AV2560" s="42"/>
      <c r="AW2560" s="74"/>
      <c r="AX2560" s="77"/>
      <c r="BA2560" s="497">
        <v>42.980000000000004</v>
      </c>
      <c r="BB2560" s="42"/>
      <c r="BC2560" s="74"/>
      <c r="BD2560" s="77"/>
      <c r="BF2560">
        <v>28.04</v>
      </c>
      <c r="BH2560" s="42"/>
      <c r="BI2560" s="74"/>
      <c r="BJ2560" s="77"/>
      <c r="BL2560" s="497">
        <v>66.92</v>
      </c>
      <c r="BN2560" s="42"/>
      <c r="BO2560" s="74"/>
      <c r="BP2560" s="77"/>
      <c r="BR2560" s="497">
        <v>33.979999999999997</v>
      </c>
      <c r="BT2560" s="42"/>
    </row>
    <row r="2561" spans="1:72" x14ac:dyDescent="0.25">
      <c r="A2561" s="90">
        <v>33344</v>
      </c>
      <c r="B2561" s="20">
        <v>0.95833333333333337</v>
      </c>
      <c r="D2561">
        <v>57.019999999999996</v>
      </c>
      <c r="E2561" t="str">
        <f t="shared" si="114"/>
        <v>WEEKDAY</v>
      </c>
      <c r="F2561" t="e">
        <f t="shared" si="115"/>
        <v>#N/A</v>
      </c>
      <c r="G2561" s="74">
        <v>32979</v>
      </c>
      <c r="H2561" s="77">
        <v>0.95833333333333337</v>
      </c>
      <c r="J2561">
        <v>53.96</v>
      </c>
      <c r="M2561" s="74">
        <v>33344</v>
      </c>
      <c r="N2561" s="77">
        <v>0.95833333333333337</v>
      </c>
      <c r="P2561">
        <v>57.92</v>
      </c>
      <c r="S2561" s="74">
        <v>33344</v>
      </c>
      <c r="T2561" s="77">
        <v>0.95833333333333337</v>
      </c>
      <c r="V2561">
        <v>62.96</v>
      </c>
      <c r="X2561" s="42"/>
      <c r="AB2561">
        <v>49.7</v>
      </c>
      <c r="AC2561">
        <v>57.019999999999996</v>
      </c>
      <c r="AE2561" s="74"/>
      <c r="AF2561" s="77"/>
      <c r="AH2561" s="497">
        <v>57.92</v>
      </c>
      <c r="AJ2561" s="42"/>
      <c r="AK2561" s="74"/>
      <c r="AL2561" s="77"/>
      <c r="AN2561" s="497">
        <v>24.98</v>
      </c>
      <c r="AP2561" s="42"/>
      <c r="AQ2561" s="74"/>
      <c r="AR2561" s="77"/>
      <c r="AT2561" s="497">
        <v>44.96</v>
      </c>
      <c r="AV2561" s="42"/>
      <c r="AW2561" s="74"/>
      <c r="AX2561" s="77"/>
      <c r="BA2561" s="497">
        <v>39.92</v>
      </c>
      <c r="BB2561" s="42"/>
      <c r="BC2561" s="74"/>
      <c r="BD2561" s="77"/>
      <c r="BF2561">
        <v>26.96</v>
      </c>
      <c r="BH2561" s="42"/>
      <c r="BI2561" s="74"/>
      <c r="BJ2561" s="77"/>
      <c r="BL2561" s="497">
        <v>68</v>
      </c>
      <c r="BN2561" s="42"/>
      <c r="BO2561" s="74"/>
      <c r="BP2561" s="77"/>
      <c r="BR2561" s="497">
        <v>32</v>
      </c>
      <c r="BT2561" s="42"/>
    </row>
    <row r="2562" spans="1:72" x14ac:dyDescent="0.25">
      <c r="A2562" s="90">
        <v>33344</v>
      </c>
      <c r="B2562" s="20">
        <v>1</v>
      </c>
      <c r="D2562">
        <v>55.94</v>
      </c>
      <c r="E2562" t="str">
        <f t="shared" si="114"/>
        <v>WEEKDAY</v>
      </c>
      <c r="F2562" t="e">
        <f t="shared" si="115"/>
        <v>#N/A</v>
      </c>
      <c r="G2562" s="74">
        <v>32979</v>
      </c>
      <c r="H2562" s="77">
        <v>1</v>
      </c>
      <c r="J2562">
        <v>53.06</v>
      </c>
      <c r="M2562" s="74">
        <v>33344</v>
      </c>
      <c r="N2562" s="80">
        <v>1</v>
      </c>
      <c r="P2562">
        <v>60.08</v>
      </c>
      <c r="S2562" s="74">
        <v>33344</v>
      </c>
      <c r="T2562" s="80">
        <v>1</v>
      </c>
      <c r="V2562">
        <v>62.06</v>
      </c>
      <c r="X2562" s="42"/>
      <c r="AB2562">
        <v>49.2</v>
      </c>
      <c r="AC2562">
        <v>60.08</v>
      </c>
      <c r="AE2562" s="74"/>
      <c r="AF2562" s="80"/>
      <c r="AH2562" s="497">
        <v>55.040000000000006</v>
      </c>
      <c r="AJ2562" s="42"/>
      <c r="AK2562" s="74"/>
      <c r="AL2562" s="80"/>
      <c r="AN2562" s="497">
        <v>24.98</v>
      </c>
      <c r="AP2562" s="42"/>
      <c r="AQ2562" s="74"/>
      <c r="AR2562" s="80"/>
      <c r="AT2562" s="497">
        <v>46.04</v>
      </c>
      <c r="AV2562" s="42"/>
      <c r="AW2562" s="74"/>
      <c r="AX2562" s="80"/>
      <c r="BA2562" s="497">
        <v>37.04</v>
      </c>
      <c r="BB2562" s="42"/>
      <c r="BC2562" s="74"/>
      <c r="BD2562" s="80"/>
      <c r="BF2562">
        <v>26.060000000000002</v>
      </c>
      <c r="BH2562" s="42"/>
      <c r="BI2562" s="74"/>
      <c r="BJ2562" s="80"/>
      <c r="BL2562" s="497">
        <v>66.92</v>
      </c>
      <c r="BN2562" s="42"/>
      <c r="BO2562" s="74"/>
      <c r="BP2562" s="80"/>
      <c r="BR2562" s="497">
        <v>30.92</v>
      </c>
      <c r="BT2562" s="42"/>
    </row>
    <row r="2563" spans="1:72" x14ac:dyDescent="0.25">
      <c r="A2563" s="90">
        <v>33345</v>
      </c>
      <c r="B2563" s="20">
        <v>4.1666666666666664E-2</v>
      </c>
      <c r="D2563">
        <v>55.040000000000006</v>
      </c>
      <c r="E2563" t="str">
        <f t="shared" si="114"/>
        <v>WEEKDAY</v>
      </c>
      <c r="F2563" t="e">
        <f t="shared" si="115"/>
        <v>#N/A</v>
      </c>
      <c r="G2563" s="74">
        <v>32980</v>
      </c>
      <c r="H2563" s="77">
        <v>4.1666666666666664E-2</v>
      </c>
      <c r="J2563">
        <v>51.980000000000004</v>
      </c>
      <c r="M2563" s="74">
        <v>33345</v>
      </c>
      <c r="N2563" s="77">
        <v>4.1666666666666664E-2</v>
      </c>
      <c r="P2563">
        <v>59</v>
      </c>
      <c r="S2563" s="74">
        <v>33345</v>
      </c>
      <c r="T2563" s="77">
        <v>4.1666666666666664E-2</v>
      </c>
      <c r="V2563">
        <v>59</v>
      </c>
      <c r="X2563" s="42"/>
      <c r="AB2563">
        <v>48.6</v>
      </c>
      <c r="AC2563">
        <v>57.019999999999996</v>
      </c>
      <c r="AE2563" s="74"/>
      <c r="AF2563" s="77"/>
      <c r="AH2563" s="497">
        <v>53.96</v>
      </c>
      <c r="AJ2563" s="42"/>
      <c r="AK2563" s="74"/>
      <c r="AL2563" s="77"/>
      <c r="AN2563" s="497">
        <v>24.98</v>
      </c>
      <c r="AP2563" s="42"/>
      <c r="AQ2563" s="74"/>
      <c r="AR2563" s="77"/>
      <c r="AT2563" s="497">
        <v>41</v>
      </c>
      <c r="AV2563" s="42"/>
      <c r="AW2563" s="74"/>
      <c r="AX2563" s="77"/>
      <c r="BA2563" s="497">
        <v>35.06</v>
      </c>
      <c r="BB2563" s="42"/>
      <c r="BC2563" s="74"/>
      <c r="BD2563" s="77"/>
      <c r="BF2563">
        <v>26.060000000000002</v>
      </c>
      <c r="BH2563" s="42"/>
      <c r="BI2563" s="74"/>
      <c r="BJ2563" s="77"/>
      <c r="BL2563" s="497">
        <v>66.92</v>
      </c>
      <c r="BN2563" s="42"/>
      <c r="BO2563" s="74"/>
      <c r="BP2563" s="77"/>
      <c r="BR2563" s="497">
        <v>28.04</v>
      </c>
      <c r="BT2563" s="42"/>
    </row>
    <row r="2564" spans="1:72" x14ac:dyDescent="0.25">
      <c r="A2564" s="90">
        <v>33345</v>
      </c>
      <c r="B2564" s="20">
        <v>8.3333333333333329E-2</v>
      </c>
      <c r="D2564">
        <v>53.96</v>
      </c>
      <c r="E2564" t="str">
        <f t="shared" si="114"/>
        <v>WEEKDAY</v>
      </c>
      <c r="F2564" t="e">
        <f t="shared" si="115"/>
        <v>#N/A</v>
      </c>
      <c r="G2564" s="74">
        <v>32980</v>
      </c>
      <c r="H2564" s="77">
        <v>8.3333333333333329E-2</v>
      </c>
      <c r="J2564">
        <v>51.08</v>
      </c>
      <c r="M2564" s="74">
        <v>33345</v>
      </c>
      <c r="N2564" s="77">
        <v>8.3333333333333329E-2</v>
      </c>
      <c r="P2564">
        <v>57.019999999999996</v>
      </c>
      <c r="S2564" s="74">
        <v>33345</v>
      </c>
      <c r="T2564" s="77">
        <v>8.3333333333333329E-2</v>
      </c>
      <c r="V2564">
        <v>55.94</v>
      </c>
      <c r="X2564" s="42"/>
      <c r="AB2564">
        <v>48.1</v>
      </c>
      <c r="AC2564">
        <v>51.980000000000004</v>
      </c>
      <c r="AE2564" s="74"/>
      <c r="AF2564" s="77"/>
      <c r="AH2564" s="497">
        <v>53.06</v>
      </c>
      <c r="AJ2564" s="42"/>
      <c r="AK2564" s="74"/>
      <c r="AL2564" s="77"/>
      <c r="AN2564" s="497">
        <v>24.98</v>
      </c>
      <c r="AP2564" s="42"/>
      <c r="AQ2564" s="74"/>
      <c r="AR2564" s="77"/>
      <c r="AT2564" s="497">
        <v>39.92</v>
      </c>
      <c r="AV2564" s="42"/>
      <c r="AW2564" s="74"/>
      <c r="AX2564" s="77"/>
      <c r="BA2564" s="497">
        <v>32</v>
      </c>
      <c r="BB2564" s="42"/>
      <c r="BC2564" s="74"/>
      <c r="BD2564" s="77"/>
      <c r="BF2564">
        <v>26.060000000000002</v>
      </c>
      <c r="BH2564" s="42"/>
      <c r="BI2564" s="74"/>
      <c r="BJ2564" s="77"/>
      <c r="BL2564" s="497">
        <v>64.039999999999992</v>
      </c>
      <c r="BN2564" s="42"/>
      <c r="BO2564" s="74"/>
      <c r="BP2564" s="77"/>
      <c r="BR2564" s="497">
        <v>26.060000000000002</v>
      </c>
      <c r="BT2564" s="42"/>
    </row>
    <row r="2565" spans="1:72" x14ac:dyDescent="0.25">
      <c r="A2565" s="90">
        <v>33345</v>
      </c>
      <c r="B2565" s="20">
        <v>0.125</v>
      </c>
      <c r="D2565">
        <v>53.06</v>
      </c>
      <c r="E2565" t="str">
        <f t="shared" si="114"/>
        <v>WEEKDAY</v>
      </c>
      <c r="F2565" t="e">
        <f t="shared" si="115"/>
        <v>#N/A</v>
      </c>
      <c r="G2565" s="74">
        <v>32980</v>
      </c>
      <c r="H2565" s="77">
        <v>0.125</v>
      </c>
      <c r="J2565">
        <v>50</v>
      </c>
      <c r="M2565" s="74">
        <v>33345</v>
      </c>
      <c r="N2565" s="77">
        <v>0.125</v>
      </c>
      <c r="P2565">
        <v>51.08</v>
      </c>
      <c r="S2565" s="74">
        <v>33345</v>
      </c>
      <c r="T2565" s="77">
        <v>0.125</v>
      </c>
      <c r="V2565">
        <v>55.94</v>
      </c>
      <c r="X2565" s="42"/>
      <c r="AB2565">
        <v>47.7</v>
      </c>
      <c r="AC2565">
        <v>51.08</v>
      </c>
      <c r="AE2565" s="74"/>
      <c r="AF2565" s="77"/>
      <c r="AH2565" s="497">
        <v>53.06</v>
      </c>
      <c r="AJ2565" s="42"/>
      <c r="AK2565" s="74"/>
      <c r="AL2565" s="77"/>
      <c r="AN2565" s="497">
        <v>24.08</v>
      </c>
      <c r="AP2565" s="42"/>
      <c r="AQ2565" s="74"/>
      <c r="AR2565" s="77"/>
      <c r="AT2565" s="497">
        <v>37.94</v>
      </c>
      <c r="AV2565" s="42"/>
      <c r="AW2565" s="74"/>
      <c r="AX2565" s="77"/>
      <c r="BA2565" s="497">
        <v>30.92</v>
      </c>
      <c r="BB2565" s="42"/>
      <c r="BC2565" s="74"/>
      <c r="BD2565" s="77"/>
      <c r="BF2565">
        <v>26.96</v>
      </c>
      <c r="BH2565" s="42"/>
      <c r="BI2565" s="74"/>
      <c r="BJ2565" s="77"/>
      <c r="BL2565" s="497">
        <v>64.94</v>
      </c>
      <c r="BN2565" s="42"/>
      <c r="BO2565" s="74"/>
      <c r="BP2565" s="77"/>
      <c r="BR2565" s="497">
        <v>24.98</v>
      </c>
      <c r="BT2565" s="42"/>
    </row>
    <row r="2566" spans="1:72" x14ac:dyDescent="0.25">
      <c r="A2566" s="90">
        <v>33345</v>
      </c>
      <c r="B2566" s="20">
        <v>0.16666666666666666</v>
      </c>
      <c r="D2566">
        <v>51.980000000000004</v>
      </c>
      <c r="E2566" t="str">
        <f t="shared" si="114"/>
        <v>WEEKDAY</v>
      </c>
      <c r="F2566" t="e">
        <f t="shared" si="115"/>
        <v>#N/A</v>
      </c>
      <c r="G2566" s="74">
        <v>32980</v>
      </c>
      <c r="H2566" s="77">
        <v>0.16666666666666666</v>
      </c>
      <c r="J2566">
        <v>48.92</v>
      </c>
      <c r="M2566" s="74">
        <v>33345</v>
      </c>
      <c r="N2566" s="77">
        <v>0.16666666666666666</v>
      </c>
      <c r="P2566">
        <v>51.08</v>
      </c>
      <c r="S2566" s="74">
        <v>33345</v>
      </c>
      <c r="T2566" s="77">
        <v>0.16666666666666666</v>
      </c>
      <c r="V2566">
        <v>55.040000000000006</v>
      </c>
      <c r="X2566" s="42"/>
      <c r="AB2566">
        <v>47.2</v>
      </c>
      <c r="AC2566">
        <v>53.06</v>
      </c>
      <c r="AE2566" s="74"/>
      <c r="AF2566" s="77"/>
      <c r="AH2566" s="497">
        <v>51.08</v>
      </c>
      <c r="AJ2566" s="42"/>
      <c r="AK2566" s="74"/>
      <c r="AL2566" s="77"/>
      <c r="AN2566" s="497">
        <v>24.08</v>
      </c>
      <c r="AP2566" s="42"/>
      <c r="AQ2566" s="74"/>
      <c r="AR2566" s="77"/>
      <c r="AT2566" s="497">
        <v>41</v>
      </c>
      <c r="AV2566" s="42"/>
      <c r="AW2566" s="74"/>
      <c r="AX2566" s="77"/>
      <c r="BA2566" s="497">
        <v>28.04</v>
      </c>
      <c r="BB2566" s="42"/>
      <c r="BC2566" s="74"/>
      <c r="BD2566" s="77"/>
      <c r="BF2566">
        <v>26.060000000000002</v>
      </c>
      <c r="BH2566" s="42"/>
      <c r="BI2566" s="74"/>
      <c r="BJ2566" s="77"/>
      <c r="BL2566" s="497">
        <v>62.96</v>
      </c>
      <c r="BN2566" s="42"/>
      <c r="BO2566" s="74"/>
      <c r="BP2566" s="77"/>
      <c r="BR2566" s="497">
        <v>23</v>
      </c>
      <c r="BT2566" s="42"/>
    </row>
    <row r="2567" spans="1:72" x14ac:dyDescent="0.25">
      <c r="A2567" s="90">
        <v>33345</v>
      </c>
      <c r="B2567" s="20">
        <v>0.20833333333333334</v>
      </c>
      <c r="D2567">
        <v>51.980000000000004</v>
      </c>
      <c r="E2567" t="str">
        <f t="shared" si="114"/>
        <v>WEEKDAY</v>
      </c>
      <c r="F2567" t="e">
        <f t="shared" si="115"/>
        <v>#N/A</v>
      </c>
      <c r="G2567" s="74">
        <v>32980</v>
      </c>
      <c r="H2567" s="77">
        <v>0.20833333333333334</v>
      </c>
      <c r="J2567">
        <v>50</v>
      </c>
      <c r="M2567" s="74">
        <v>33345</v>
      </c>
      <c r="N2567" s="77">
        <v>0.20833333333333334</v>
      </c>
      <c r="P2567">
        <v>48.92</v>
      </c>
      <c r="S2567" s="74">
        <v>33345</v>
      </c>
      <c r="T2567" s="77">
        <v>0.20833333333333334</v>
      </c>
      <c r="V2567">
        <v>53.06</v>
      </c>
      <c r="X2567" s="42"/>
      <c r="AB2567">
        <v>46.7</v>
      </c>
      <c r="AC2567">
        <v>51.980000000000004</v>
      </c>
      <c r="AE2567" s="74"/>
      <c r="AF2567" s="77"/>
      <c r="AH2567" s="497">
        <v>51.08</v>
      </c>
      <c r="AJ2567" s="42"/>
      <c r="AK2567" s="74"/>
      <c r="AL2567" s="77"/>
      <c r="AN2567" s="497">
        <v>21.92</v>
      </c>
      <c r="AP2567" s="42"/>
      <c r="AQ2567" s="74"/>
      <c r="AR2567" s="77"/>
      <c r="AT2567" s="497">
        <v>39.92</v>
      </c>
      <c r="AV2567" s="42"/>
      <c r="AW2567" s="74"/>
      <c r="AX2567" s="77"/>
      <c r="BA2567" s="497">
        <v>28.04</v>
      </c>
      <c r="BB2567" s="42"/>
      <c r="BC2567" s="74"/>
      <c r="BD2567" s="77"/>
      <c r="BF2567">
        <v>24.98</v>
      </c>
      <c r="BH2567" s="42"/>
      <c r="BI2567" s="74"/>
      <c r="BJ2567" s="77"/>
      <c r="BL2567" s="497">
        <v>62.96</v>
      </c>
      <c r="BN2567" s="42"/>
      <c r="BO2567" s="74"/>
      <c r="BP2567" s="77"/>
      <c r="BR2567" s="497">
        <v>19.939999999999998</v>
      </c>
      <c r="BT2567" s="42"/>
    </row>
    <row r="2568" spans="1:72" x14ac:dyDescent="0.25">
      <c r="A2568" s="90">
        <v>33345</v>
      </c>
      <c r="B2568" s="20">
        <v>0.25</v>
      </c>
      <c r="D2568">
        <v>50</v>
      </c>
      <c r="E2568" t="str">
        <f t="shared" si="114"/>
        <v>WEEKDAY</v>
      </c>
      <c r="F2568" t="e">
        <f t="shared" si="115"/>
        <v>#N/A</v>
      </c>
      <c r="G2568" s="74">
        <v>32980</v>
      </c>
      <c r="H2568" s="77">
        <v>0.25</v>
      </c>
      <c r="J2568">
        <v>51.08</v>
      </c>
      <c r="M2568" s="74">
        <v>33345</v>
      </c>
      <c r="N2568" s="77">
        <v>0.25</v>
      </c>
      <c r="P2568">
        <v>50</v>
      </c>
      <c r="S2568" s="74">
        <v>33345</v>
      </c>
      <c r="T2568" s="77">
        <v>0.25</v>
      </c>
      <c r="V2568">
        <v>53.06</v>
      </c>
      <c r="X2568" s="42"/>
      <c r="AB2568">
        <v>46.5</v>
      </c>
      <c r="AC2568">
        <v>51.980000000000004</v>
      </c>
      <c r="AE2568" s="74"/>
      <c r="AF2568" s="77"/>
      <c r="AH2568" s="497">
        <v>50</v>
      </c>
      <c r="AJ2568" s="42"/>
      <c r="AK2568" s="74"/>
      <c r="AL2568" s="77"/>
      <c r="AN2568" s="497">
        <v>23</v>
      </c>
      <c r="AP2568" s="42"/>
      <c r="AQ2568" s="74"/>
      <c r="AR2568" s="77"/>
      <c r="AT2568" s="497">
        <v>41</v>
      </c>
      <c r="AV2568" s="42"/>
      <c r="AW2568" s="74"/>
      <c r="AX2568" s="77"/>
      <c r="BA2568" s="497">
        <v>26.96</v>
      </c>
      <c r="BB2568" s="42"/>
      <c r="BC2568" s="74"/>
      <c r="BD2568" s="77"/>
      <c r="BF2568">
        <v>24.08</v>
      </c>
      <c r="BH2568" s="42"/>
      <c r="BI2568" s="74"/>
      <c r="BJ2568" s="77"/>
      <c r="BL2568" s="497">
        <v>62.06</v>
      </c>
      <c r="BN2568" s="42"/>
      <c r="BO2568" s="74"/>
      <c r="BP2568" s="77"/>
      <c r="BR2568" s="497">
        <v>19.939999999999998</v>
      </c>
      <c r="BT2568" s="42"/>
    </row>
    <row r="2569" spans="1:72" x14ac:dyDescent="0.25">
      <c r="A2569" s="90">
        <v>33345</v>
      </c>
      <c r="B2569" s="20">
        <v>0.29166666666666669</v>
      </c>
      <c r="D2569">
        <v>53.06</v>
      </c>
      <c r="E2569" t="str">
        <f t="shared" si="114"/>
        <v>WEEKDAY</v>
      </c>
      <c r="F2569" t="e">
        <f t="shared" si="115"/>
        <v>#N/A</v>
      </c>
      <c r="G2569" s="74">
        <v>32980</v>
      </c>
      <c r="H2569" s="77">
        <v>0.29166666666666669</v>
      </c>
      <c r="J2569">
        <v>51.980000000000004</v>
      </c>
      <c r="M2569" s="74">
        <v>33345</v>
      </c>
      <c r="N2569" s="77">
        <v>0.29166666666666669</v>
      </c>
      <c r="P2569">
        <v>50</v>
      </c>
      <c r="S2569" s="74">
        <v>33345</v>
      </c>
      <c r="T2569" s="77">
        <v>0.29166666666666669</v>
      </c>
      <c r="V2569">
        <v>53.06</v>
      </c>
      <c r="X2569" s="42"/>
      <c r="AB2569">
        <v>46.9</v>
      </c>
      <c r="AC2569">
        <v>51.980000000000004</v>
      </c>
      <c r="AE2569" s="74"/>
      <c r="AF2569" s="77"/>
      <c r="AH2569" s="497">
        <v>50</v>
      </c>
      <c r="AJ2569" s="42"/>
      <c r="AK2569" s="74"/>
      <c r="AL2569" s="77"/>
      <c r="AN2569" s="497">
        <v>26.060000000000002</v>
      </c>
      <c r="AP2569" s="42"/>
      <c r="AQ2569" s="74"/>
      <c r="AR2569" s="77"/>
      <c r="AT2569" s="497">
        <v>44.06</v>
      </c>
      <c r="AV2569" s="42"/>
      <c r="AW2569" s="74"/>
      <c r="AX2569" s="77"/>
      <c r="BA2569" s="497">
        <v>28.94</v>
      </c>
      <c r="BB2569" s="42"/>
      <c r="BC2569" s="74"/>
      <c r="BD2569" s="77"/>
      <c r="BF2569">
        <v>26.060000000000002</v>
      </c>
      <c r="BH2569" s="42"/>
      <c r="BI2569" s="74"/>
      <c r="BJ2569" s="77"/>
      <c r="BL2569" s="497">
        <v>66.92</v>
      </c>
      <c r="BN2569" s="42"/>
      <c r="BO2569" s="74"/>
      <c r="BP2569" s="77"/>
      <c r="BR2569" s="497">
        <v>23</v>
      </c>
      <c r="BT2569" s="42"/>
    </row>
    <row r="2570" spans="1:72" x14ac:dyDescent="0.25">
      <c r="A2570" s="90">
        <v>33345</v>
      </c>
      <c r="B2570" s="20">
        <v>0.33333333333333331</v>
      </c>
      <c r="D2570">
        <v>55.040000000000006</v>
      </c>
      <c r="E2570" t="str">
        <f t="shared" si="114"/>
        <v>WEEKDAY</v>
      </c>
      <c r="F2570" t="e">
        <f t="shared" si="115"/>
        <v>#N/A</v>
      </c>
      <c r="G2570" s="74">
        <v>32980</v>
      </c>
      <c r="H2570" s="77">
        <v>0.33333333333333331</v>
      </c>
      <c r="J2570">
        <v>55.040000000000006</v>
      </c>
      <c r="M2570" s="74">
        <v>33345</v>
      </c>
      <c r="N2570" s="77">
        <v>0.33333333333333331</v>
      </c>
      <c r="P2570">
        <v>50</v>
      </c>
      <c r="S2570" s="74">
        <v>33345</v>
      </c>
      <c r="T2570" s="77">
        <v>0.33333333333333331</v>
      </c>
      <c r="V2570">
        <v>55.040000000000006</v>
      </c>
      <c r="X2570" s="42"/>
      <c r="AB2570">
        <v>48.9</v>
      </c>
      <c r="AC2570">
        <v>51.980000000000004</v>
      </c>
      <c r="AE2570" s="74"/>
      <c r="AF2570" s="77"/>
      <c r="AH2570" s="497">
        <v>48.92</v>
      </c>
      <c r="AJ2570" s="42"/>
      <c r="AK2570" s="74"/>
      <c r="AL2570" s="77"/>
      <c r="AN2570" s="497">
        <v>28.04</v>
      </c>
      <c r="AP2570" s="42"/>
      <c r="AQ2570" s="74"/>
      <c r="AR2570" s="77"/>
      <c r="AT2570" s="497">
        <v>46.04</v>
      </c>
      <c r="AV2570" s="42"/>
      <c r="AW2570" s="74"/>
      <c r="AX2570" s="77"/>
      <c r="BA2570" s="497">
        <v>30.02</v>
      </c>
      <c r="BB2570" s="42"/>
      <c r="BC2570" s="74"/>
      <c r="BD2570" s="77"/>
      <c r="BF2570">
        <v>30.02</v>
      </c>
      <c r="BH2570" s="42"/>
      <c r="BI2570" s="74"/>
      <c r="BJ2570" s="77"/>
      <c r="BL2570" s="497">
        <v>75.02</v>
      </c>
      <c r="BN2570" s="42"/>
      <c r="BO2570" s="74"/>
      <c r="BP2570" s="77"/>
      <c r="BR2570" s="497">
        <v>24.98</v>
      </c>
      <c r="BT2570" s="42"/>
    </row>
    <row r="2571" spans="1:72" x14ac:dyDescent="0.25">
      <c r="A2571" s="90">
        <v>33345</v>
      </c>
      <c r="B2571" s="20">
        <v>0.375</v>
      </c>
      <c r="D2571">
        <v>57.92</v>
      </c>
      <c r="E2571" t="str">
        <f t="shared" si="114"/>
        <v>WEEKDAY</v>
      </c>
      <c r="F2571" t="e">
        <f t="shared" si="115"/>
        <v>#N/A</v>
      </c>
      <c r="G2571" s="74">
        <v>32980</v>
      </c>
      <c r="H2571" s="77">
        <v>0.375</v>
      </c>
      <c r="J2571">
        <v>60.980000000000004</v>
      </c>
      <c r="M2571" s="74">
        <v>33345</v>
      </c>
      <c r="N2571" s="77">
        <v>0.375</v>
      </c>
      <c r="P2571">
        <v>51.08</v>
      </c>
      <c r="S2571" s="74">
        <v>33345</v>
      </c>
      <c r="T2571" s="77">
        <v>0.375</v>
      </c>
      <c r="V2571">
        <v>55.94</v>
      </c>
      <c r="X2571" s="42"/>
      <c r="AB2571">
        <v>50.9</v>
      </c>
      <c r="AC2571">
        <v>51.980000000000004</v>
      </c>
      <c r="AE2571" s="74"/>
      <c r="AF2571" s="77"/>
      <c r="AH2571" s="497">
        <v>50</v>
      </c>
      <c r="AJ2571" s="42"/>
      <c r="AK2571" s="74"/>
      <c r="AL2571" s="77"/>
      <c r="AN2571" s="497">
        <v>30.92</v>
      </c>
      <c r="AP2571" s="42"/>
      <c r="AQ2571" s="74"/>
      <c r="AR2571" s="77"/>
      <c r="AT2571" s="497">
        <v>46.94</v>
      </c>
      <c r="AV2571" s="42"/>
      <c r="AW2571" s="74"/>
      <c r="AX2571" s="77"/>
      <c r="BA2571" s="497">
        <v>33.979999999999997</v>
      </c>
      <c r="BB2571" s="42"/>
      <c r="BC2571" s="74"/>
      <c r="BD2571" s="77"/>
      <c r="BF2571">
        <v>33.08</v>
      </c>
      <c r="BH2571" s="42"/>
      <c r="BI2571" s="74"/>
      <c r="BJ2571" s="77"/>
      <c r="BL2571" s="497">
        <v>78.98</v>
      </c>
      <c r="BN2571" s="42"/>
      <c r="BO2571" s="74"/>
      <c r="BP2571" s="77"/>
      <c r="BR2571" s="497">
        <v>26.060000000000002</v>
      </c>
      <c r="BT2571" s="42"/>
    </row>
    <row r="2572" spans="1:72" x14ac:dyDescent="0.25">
      <c r="A2572" s="90">
        <v>33345</v>
      </c>
      <c r="B2572" s="20">
        <v>0.41666666666666669</v>
      </c>
      <c r="D2572">
        <v>57.92</v>
      </c>
      <c r="E2572" t="str">
        <f t="shared" si="114"/>
        <v>WEEKDAY</v>
      </c>
      <c r="F2572" t="e">
        <f t="shared" si="115"/>
        <v>#N/A</v>
      </c>
      <c r="G2572" s="74">
        <v>32980</v>
      </c>
      <c r="H2572" s="77">
        <v>0.41666666666666669</v>
      </c>
      <c r="J2572">
        <v>62.06</v>
      </c>
      <c r="M2572" s="74">
        <v>33345</v>
      </c>
      <c r="N2572" s="77">
        <v>0.41666666666666669</v>
      </c>
      <c r="P2572">
        <v>51.08</v>
      </c>
      <c r="S2572" s="74">
        <v>33345</v>
      </c>
      <c r="T2572" s="77">
        <v>0.41666666666666669</v>
      </c>
      <c r="V2572">
        <v>55.94</v>
      </c>
      <c r="X2572" s="42"/>
      <c r="AB2572">
        <v>52.7</v>
      </c>
      <c r="AC2572">
        <v>53.06</v>
      </c>
      <c r="AE2572" s="74"/>
      <c r="AF2572" s="77"/>
      <c r="AH2572" s="497">
        <v>53.06</v>
      </c>
      <c r="AJ2572" s="42"/>
      <c r="AK2572" s="74"/>
      <c r="AL2572" s="77"/>
      <c r="AN2572" s="497">
        <v>33.979999999999997</v>
      </c>
      <c r="AP2572" s="42"/>
      <c r="AQ2572" s="74"/>
      <c r="AR2572" s="77"/>
      <c r="AT2572" s="497">
        <v>44.96</v>
      </c>
      <c r="AV2572" s="42"/>
      <c r="AW2572" s="74"/>
      <c r="AX2572" s="77"/>
      <c r="BA2572" s="497">
        <v>35.06</v>
      </c>
      <c r="BB2572" s="42"/>
      <c r="BC2572" s="74"/>
      <c r="BD2572" s="77"/>
      <c r="BF2572">
        <v>35.96</v>
      </c>
      <c r="BH2572" s="42"/>
      <c r="BI2572" s="74"/>
      <c r="BJ2572" s="77"/>
      <c r="BL2572" s="497">
        <v>80.960000000000008</v>
      </c>
      <c r="BN2572" s="42"/>
      <c r="BO2572" s="74"/>
      <c r="BP2572" s="77"/>
      <c r="BR2572" s="497">
        <v>28.94</v>
      </c>
      <c r="BT2572" s="42"/>
    </row>
    <row r="2573" spans="1:72" x14ac:dyDescent="0.25">
      <c r="A2573" s="90">
        <v>33345</v>
      </c>
      <c r="B2573" s="20">
        <v>0.45833333333333331</v>
      </c>
      <c r="D2573">
        <v>60.08</v>
      </c>
      <c r="E2573" t="str">
        <f t="shared" si="114"/>
        <v>WEEKDAY</v>
      </c>
      <c r="F2573" t="e">
        <f t="shared" si="115"/>
        <v>#N/A</v>
      </c>
      <c r="G2573" s="74">
        <v>32980</v>
      </c>
      <c r="H2573" s="77">
        <v>0.45833333333333331</v>
      </c>
      <c r="J2573">
        <v>66.02</v>
      </c>
      <c r="M2573" s="74">
        <v>33345</v>
      </c>
      <c r="N2573" s="77">
        <v>0.45833333333333331</v>
      </c>
      <c r="P2573">
        <v>51.08</v>
      </c>
      <c r="S2573" s="74">
        <v>33345</v>
      </c>
      <c r="T2573" s="77">
        <v>0.45833333333333331</v>
      </c>
      <c r="V2573">
        <v>57.92</v>
      </c>
      <c r="X2573" s="42"/>
      <c r="AB2573">
        <v>54.4</v>
      </c>
      <c r="AC2573">
        <v>51.980000000000004</v>
      </c>
      <c r="AE2573" s="74"/>
      <c r="AF2573" s="77"/>
      <c r="AH2573" s="497">
        <v>55.94</v>
      </c>
      <c r="AJ2573" s="42"/>
      <c r="AK2573" s="74"/>
      <c r="AL2573" s="77"/>
      <c r="AN2573" s="497">
        <v>37.04</v>
      </c>
      <c r="AP2573" s="42"/>
      <c r="AQ2573" s="74"/>
      <c r="AR2573" s="77"/>
      <c r="AT2573" s="497">
        <v>42.08</v>
      </c>
      <c r="AV2573" s="42"/>
      <c r="AW2573" s="74"/>
      <c r="AX2573" s="77"/>
      <c r="BA2573" s="497">
        <v>37.04</v>
      </c>
      <c r="BB2573" s="42"/>
      <c r="BC2573" s="74"/>
      <c r="BD2573" s="77"/>
      <c r="BF2573">
        <v>37.04</v>
      </c>
      <c r="BH2573" s="42"/>
      <c r="BI2573" s="74"/>
      <c r="BJ2573" s="77"/>
      <c r="BL2573" s="497">
        <v>82.94</v>
      </c>
      <c r="BN2573" s="42"/>
      <c r="BO2573" s="74"/>
      <c r="BP2573" s="77"/>
      <c r="BR2573" s="497">
        <v>28.94</v>
      </c>
      <c r="BT2573" s="42"/>
    </row>
    <row r="2574" spans="1:72" x14ac:dyDescent="0.25">
      <c r="A2574" s="90">
        <v>33345</v>
      </c>
      <c r="B2574" s="20">
        <v>0.5</v>
      </c>
      <c r="D2574">
        <v>60.08</v>
      </c>
      <c r="E2574" t="str">
        <f t="shared" si="114"/>
        <v>WEEKDAY</v>
      </c>
      <c r="F2574" t="e">
        <f t="shared" si="115"/>
        <v>#N/A</v>
      </c>
      <c r="G2574" s="74">
        <v>32980</v>
      </c>
      <c r="H2574" s="77">
        <v>0.5</v>
      </c>
      <c r="J2574">
        <v>66.02</v>
      </c>
      <c r="M2574" s="74">
        <v>33345</v>
      </c>
      <c r="N2574" s="77">
        <v>0.5</v>
      </c>
      <c r="P2574">
        <v>51.980000000000004</v>
      </c>
      <c r="S2574" s="74">
        <v>33345</v>
      </c>
      <c r="T2574" s="77">
        <v>0.5</v>
      </c>
      <c r="V2574">
        <v>57.019999999999996</v>
      </c>
      <c r="X2574" s="42"/>
      <c r="AB2574">
        <v>55.8</v>
      </c>
      <c r="AC2574">
        <v>51.980000000000004</v>
      </c>
      <c r="AE2574" s="74"/>
      <c r="AF2574" s="77"/>
      <c r="AH2574" s="497">
        <v>57.019999999999996</v>
      </c>
      <c r="AJ2574" s="42"/>
      <c r="AK2574" s="74"/>
      <c r="AL2574" s="77"/>
      <c r="AN2574" s="497">
        <v>41</v>
      </c>
      <c r="AP2574" s="42"/>
      <c r="AQ2574" s="74"/>
      <c r="AR2574" s="77"/>
      <c r="AT2574" s="497">
        <v>46.04</v>
      </c>
      <c r="AV2574" s="42"/>
      <c r="AW2574" s="74"/>
      <c r="AX2574" s="77"/>
      <c r="BA2574" s="497">
        <v>39.019999999999996</v>
      </c>
      <c r="BB2574" s="42"/>
      <c r="BC2574" s="74"/>
      <c r="BD2574" s="77"/>
      <c r="BF2574">
        <v>37.94</v>
      </c>
      <c r="BH2574" s="42"/>
      <c r="BI2574" s="74"/>
      <c r="BJ2574" s="77"/>
      <c r="BL2574" s="497">
        <v>84.02</v>
      </c>
      <c r="BN2574" s="42"/>
      <c r="BO2574" s="74"/>
      <c r="BP2574" s="77"/>
      <c r="BR2574" s="497">
        <v>33.979999999999997</v>
      </c>
      <c r="BT2574" s="42"/>
    </row>
    <row r="2575" spans="1:72" x14ac:dyDescent="0.25">
      <c r="A2575" s="90">
        <v>33345</v>
      </c>
      <c r="B2575" s="20">
        <v>0.54166666666666663</v>
      </c>
      <c r="D2575">
        <v>57.92</v>
      </c>
      <c r="E2575" t="str">
        <f t="shared" si="114"/>
        <v>WEEKDAY</v>
      </c>
      <c r="F2575" t="e">
        <f t="shared" si="115"/>
        <v>#N/A</v>
      </c>
      <c r="G2575" s="74">
        <v>32980</v>
      </c>
      <c r="H2575" s="77">
        <v>0.54166666666666663</v>
      </c>
      <c r="J2575">
        <v>64.94</v>
      </c>
      <c r="M2575" s="74">
        <v>33345</v>
      </c>
      <c r="N2575" s="77">
        <v>0.54166666666666663</v>
      </c>
      <c r="P2575">
        <v>51.980000000000004</v>
      </c>
      <c r="S2575" s="74">
        <v>33345</v>
      </c>
      <c r="T2575" s="77">
        <v>0.54166666666666663</v>
      </c>
      <c r="V2575">
        <v>57.019999999999996</v>
      </c>
      <c r="X2575" s="42"/>
      <c r="AB2575">
        <v>56.8</v>
      </c>
      <c r="AC2575">
        <v>50</v>
      </c>
      <c r="AE2575" s="74"/>
      <c r="AF2575" s="77"/>
      <c r="AH2575" s="497">
        <v>60.980000000000004</v>
      </c>
      <c r="AJ2575" s="42"/>
      <c r="AK2575" s="74"/>
      <c r="AL2575" s="77"/>
      <c r="AN2575" s="497">
        <v>42.08</v>
      </c>
      <c r="AP2575" s="42"/>
      <c r="AQ2575" s="74"/>
      <c r="AR2575" s="77"/>
      <c r="AT2575" s="497">
        <v>51.08</v>
      </c>
      <c r="AV2575" s="42"/>
      <c r="AW2575" s="74"/>
      <c r="AX2575" s="77"/>
      <c r="BA2575" s="497">
        <v>39.92</v>
      </c>
      <c r="BB2575" s="42"/>
      <c r="BC2575" s="74"/>
      <c r="BD2575" s="77"/>
      <c r="BF2575">
        <v>41</v>
      </c>
      <c r="BH2575" s="42"/>
      <c r="BI2575" s="74"/>
      <c r="BJ2575" s="77"/>
      <c r="BL2575" s="497">
        <v>84.02</v>
      </c>
      <c r="BN2575" s="42"/>
      <c r="BO2575" s="74"/>
      <c r="BP2575" s="77"/>
      <c r="BR2575" s="497">
        <v>35.96</v>
      </c>
      <c r="BT2575" s="42"/>
    </row>
    <row r="2576" spans="1:72" x14ac:dyDescent="0.25">
      <c r="A2576" s="90">
        <v>33345</v>
      </c>
      <c r="B2576" s="20">
        <v>0.58333333333333337</v>
      </c>
      <c r="D2576">
        <v>57.92</v>
      </c>
      <c r="E2576" t="str">
        <f t="shared" si="114"/>
        <v>WEEKDAY</v>
      </c>
      <c r="F2576" t="e">
        <f t="shared" si="115"/>
        <v>#N/A</v>
      </c>
      <c r="G2576" s="74">
        <v>32980</v>
      </c>
      <c r="H2576" s="77">
        <v>0.58333333333333337</v>
      </c>
      <c r="J2576">
        <v>60.08</v>
      </c>
      <c r="M2576" s="74">
        <v>33345</v>
      </c>
      <c r="N2576" s="77">
        <v>0.58333333333333337</v>
      </c>
      <c r="P2576">
        <v>50</v>
      </c>
      <c r="S2576" s="74">
        <v>33345</v>
      </c>
      <c r="T2576" s="77">
        <v>0.58333333333333337</v>
      </c>
      <c r="V2576">
        <v>53.06</v>
      </c>
      <c r="X2576" s="42"/>
      <c r="AB2576">
        <v>57.3</v>
      </c>
      <c r="AC2576">
        <v>51.08</v>
      </c>
      <c r="AE2576" s="74"/>
      <c r="AF2576" s="77"/>
      <c r="AH2576" s="497">
        <v>60.980000000000004</v>
      </c>
      <c r="AJ2576" s="42"/>
      <c r="AK2576" s="74"/>
      <c r="AL2576" s="77"/>
      <c r="AN2576" s="497">
        <v>44.06</v>
      </c>
      <c r="AP2576" s="42"/>
      <c r="AQ2576" s="74"/>
      <c r="AR2576" s="77"/>
      <c r="AT2576" s="497">
        <v>48.92</v>
      </c>
      <c r="AV2576" s="42"/>
      <c r="AW2576" s="74"/>
      <c r="AX2576" s="77"/>
      <c r="BA2576" s="497">
        <v>42.08</v>
      </c>
      <c r="BB2576" s="42"/>
      <c r="BC2576" s="74"/>
      <c r="BD2576" s="77"/>
      <c r="BF2576">
        <v>44.06</v>
      </c>
      <c r="BH2576" s="42"/>
      <c r="BI2576" s="74"/>
      <c r="BJ2576" s="77"/>
      <c r="BL2576" s="497">
        <v>84.02</v>
      </c>
      <c r="BN2576" s="42"/>
      <c r="BO2576" s="74"/>
      <c r="BP2576" s="77"/>
      <c r="BR2576" s="497">
        <v>37.94</v>
      </c>
      <c r="BT2576" s="42"/>
    </row>
    <row r="2577" spans="1:72" x14ac:dyDescent="0.25">
      <c r="A2577" s="90">
        <v>33345</v>
      </c>
      <c r="B2577" s="20">
        <v>0.625</v>
      </c>
      <c r="D2577">
        <v>60.980000000000004</v>
      </c>
      <c r="E2577" t="str">
        <f t="shared" si="114"/>
        <v>WEEKDAY</v>
      </c>
      <c r="F2577" t="e">
        <f t="shared" si="115"/>
        <v>#N/A</v>
      </c>
      <c r="G2577" s="74">
        <v>32980</v>
      </c>
      <c r="H2577" s="77">
        <v>0.625</v>
      </c>
      <c r="J2577">
        <v>50</v>
      </c>
      <c r="M2577" s="74">
        <v>33345</v>
      </c>
      <c r="N2577" s="77">
        <v>0.625</v>
      </c>
      <c r="P2577">
        <v>50</v>
      </c>
      <c r="S2577" s="74">
        <v>33345</v>
      </c>
      <c r="T2577" s="77">
        <v>0.625</v>
      </c>
      <c r="V2577">
        <v>50</v>
      </c>
      <c r="X2577" s="42"/>
      <c r="AB2577">
        <v>57.4</v>
      </c>
      <c r="AC2577">
        <v>51.980000000000004</v>
      </c>
      <c r="AE2577" s="74"/>
      <c r="AF2577" s="77"/>
      <c r="AH2577" s="497">
        <v>60.26</v>
      </c>
      <c r="AJ2577" s="42"/>
      <c r="AK2577" s="74"/>
      <c r="AL2577" s="77"/>
      <c r="AN2577" s="497">
        <v>46.04</v>
      </c>
      <c r="AP2577" s="42"/>
      <c r="AQ2577" s="74"/>
      <c r="AR2577" s="77"/>
      <c r="AT2577" s="497">
        <v>51.08</v>
      </c>
      <c r="AV2577" s="42"/>
      <c r="AW2577" s="74"/>
      <c r="AX2577" s="77"/>
      <c r="BA2577" s="497">
        <v>42.08</v>
      </c>
      <c r="BB2577" s="42"/>
      <c r="BC2577" s="74"/>
      <c r="BD2577" s="77"/>
      <c r="BF2577">
        <v>44.06</v>
      </c>
      <c r="BH2577" s="42"/>
      <c r="BI2577" s="74"/>
      <c r="BJ2577" s="77"/>
      <c r="BL2577" s="497">
        <v>80.960000000000008</v>
      </c>
      <c r="BN2577" s="42"/>
      <c r="BO2577" s="74"/>
      <c r="BP2577" s="77"/>
      <c r="BR2577" s="497">
        <v>41</v>
      </c>
      <c r="BT2577" s="42"/>
    </row>
    <row r="2578" spans="1:72" x14ac:dyDescent="0.25">
      <c r="A2578" s="90">
        <v>33345</v>
      </c>
      <c r="B2578" s="20">
        <v>0.66666666666666663</v>
      </c>
      <c r="D2578">
        <v>59</v>
      </c>
      <c r="E2578" t="str">
        <f t="shared" si="114"/>
        <v>WEEKDAY</v>
      </c>
      <c r="F2578" t="e">
        <f t="shared" si="115"/>
        <v>#N/A</v>
      </c>
      <c r="G2578" s="74">
        <v>32980</v>
      </c>
      <c r="H2578" s="77">
        <v>0.66666666666666663</v>
      </c>
      <c r="J2578">
        <v>48.92</v>
      </c>
      <c r="M2578" s="74">
        <v>33345</v>
      </c>
      <c r="N2578" s="77">
        <v>0.66666666666666663</v>
      </c>
      <c r="P2578">
        <v>50</v>
      </c>
      <c r="S2578" s="74">
        <v>33345</v>
      </c>
      <c r="T2578" s="77">
        <v>0.66666666666666663</v>
      </c>
      <c r="V2578">
        <v>50</v>
      </c>
      <c r="X2578" s="42"/>
      <c r="AB2578">
        <v>57.2</v>
      </c>
      <c r="AC2578">
        <v>50</v>
      </c>
      <c r="AE2578" s="74"/>
      <c r="AF2578" s="77"/>
      <c r="AH2578" s="497">
        <v>59</v>
      </c>
      <c r="AJ2578" s="42"/>
      <c r="AK2578" s="74"/>
      <c r="AL2578" s="77"/>
      <c r="AN2578" s="497">
        <v>46.04</v>
      </c>
      <c r="AP2578" s="42"/>
      <c r="AQ2578" s="74"/>
      <c r="AR2578" s="77"/>
      <c r="AT2578" s="497">
        <v>50</v>
      </c>
      <c r="AV2578" s="42"/>
      <c r="AW2578" s="74"/>
      <c r="AX2578" s="77"/>
      <c r="BA2578" s="497">
        <v>42.08</v>
      </c>
      <c r="BB2578" s="42"/>
      <c r="BC2578" s="74"/>
      <c r="BD2578" s="77"/>
      <c r="BF2578">
        <v>42.08</v>
      </c>
      <c r="BH2578" s="42"/>
      <c r="BI2578" s="74"/>
      <c r="BJ2578" s="77"/>
      <c r="BL2578" s="497">
        <v>80.960000000000008</v>
      </c>
      <c r="BN2578" s="42"/>
      <c r="BO2578" s="74"/>
      <c r="BP2578" s="77"/>
      <c r="BR2578" s="497">
        <v>41</v>
      </c>
      <c r="BT2578" s="42"/>
    </row>
    <row r="2579" spans="1:72" x14ac:dyDescent="0.25">
      <c r="A2579" s="90">
        <v>33345</v>
      </c>
      <c r="B2579" s="20">
        <v>0.70833333333333337</v>
      </c>
      <c r="D2579">
        <v>62.06</v>
      </c>
      <c r="E2579" t="str">
        <f t="shared" ref="E2579:E2642" si="116">IF(COUNTIF($DI$18:$DI$22, WEEKDAY(A2579))=1, "WEEKDAY", IF(WEEKDAY(A2579) = 1, "SUNDAY", "SATURDAY"))</f>
        <v>WEEKDAY</v>
      </c>
      <c r="F2579" t="e">
        <f t="shared" si="115"/>
        <v>#N/A</v>
      </c>
      <c r="G2579" s="74">
        <v>32980</v>
      </c>
      <c r="H2579" s="77">
        <v>0.70833333333333337</v>
      </c>
      <c r="J2579">
        <v>46.04</v>
      </c>
      <c r="M2579" s="74">
        <v>33345</v>
      </c>
      <c r="N2579" s="77">
        <v>0.70833333333333337</v>
      </c>
      <c r="P2579">
        <v>50</v>
      </c>
      <c r="S2579" s="74">
        <v>33345</v>
      </c>
      <c r="T2579" s="77">
        <v>0.70833333333333337</v>
      </c>
      <c r="V2579">
        <v>48.92</v>
      </c>
      <c r="X2579" s="42"/>
      <c r="AB2579">
        <v>56.3</v>
      </c>
      <c r="AC2579">
        <v>48.019999999999996</v>
      </c>
      <c r="AE2579" s="74"/>
      <c r="AF2579" s="77"/>
      <c r="AH2579" s="497">
        <v>55.94</v>
      </c>
      <c r="AJ2579" s="42"/>
      <c r="AK2579" s="74"/>
      <c r="AL2579" s="77"/>
      <c r="AN2579" s="497">
        <v>46.04</v>
      </c>
      <c r="AP2579" s="42"/>
      <c r="AQ2579" s="74"/>
      <c r="AR2579" s="77"/>
      <c r="AT2579" s="497">
        <v>48.019999999999996</v>
      </c>
      <c r="AV2579" s="42"/>
      <c r="AW2579" s="74"/>
      <c r="AX2579" s="77"/>
      <c r="BA2579" s="497">
        <v>41</v>
      </c>
      <c r="BB2579" s="42"/>
      <c r="BC2579" s="74"/>
      <c r="BD2579" s="77"/>
      <c r="BF2579">
        <v>42.08</v>
      </c>
      <c r="BH2579" s="42"/>
      <c r="BI2579" s="74"/>
      <c r="BJ2579" s="77"/>
      <c r="BL2579" s="497">
        <v>80.06</v>
      </c>
      <c r="BN2579" s="42"/>
      <c r="BO2579" s="74"/>
      <c r="BP2579" s="77"/>
      <c r="BR2579" s="497">
        <v>41</v>
      </c>
      <c r="BT2579" s="42"/>
    </row>
    <row r="2580" spans="1:72" x14ac:dyDescent="0.25">
      <c r="A2580" s="90">
        <v>33345</v>
      </c>
      <c r="B2580" s="20">
        <v>0.75</v>
      </c>
      <c r="D2580">
        <v>60.08</v>
      </c>
      <c r="E2580" t="str">
        <f t="shared" si="116"/>
        <v>WEEKDAY</v>
      </c>
      <c r="F2580" t="e">
        <f t="shared" si="115"/>
        <v>#N/A</v>
      </c>
      <c r="G2580" s="74">
        <v>32980</v>
      </c>
      <c r="H2580" s="77">
        <v>0.75</v>
      </c>
      <c r="J2580">
        <v>46.04</v>
      </c>
      <c r="M2580" s="74">
        <v>33345</v>
      </c>
      <c r="N2580" s="77">
        <v>0.75</v>
      </c>
      <c r="P2580">
        <v>48.92</v>
      </c>
      <c r="S2580" s="74">
        <v>33345</v>
      </c>
      <c r="T2580" s="77">
        <v>0.75</v>
      </c>
      <c r="V2580">
        <v>48.019999999999996</v>
      </c>
      <c r="X2580" s="42"/>
      <c r="AB2580">
        <v>55.2</v>
      </c>
      <c r="AC2580">
        <v>46.94</v>
      </c>
      <c r="AE2580" s="74"/>
      <c r="AF2580" s="77"/>
      <c r="AH2580" s="497">
        <v>53.96</v>
      </c>
      <c r="AJ2580" s="42"/>
      <c r="AK2580" s="74"/>
      <c r="AL2580" s="77"/>
      <c r="AN2580" s="497">
        <v>44.06</v>
      </c>
      <c r="AP2580" s="42"/>
      <c r="AQ2580" s="74"/>
      <c r="AR2580" s="77"/>
      <c r="AT2580" s="497">
        <v>48.92</v>
      </c>
      <c r="AV2580" s="42"/>
      <c r="AW2580" s="74"/>
      <c r="AX2580" s="77"/>
      <c r="BA2580" s="497">
        <v>39.92</v>
      </c>
      <c r="BB2580" s="42"/>
      <c r="BC2580" s="74"/>
      <c r="BD2580" s="77"/>
      <c r="BF2580">
        <v>41</v>
      </c>
      <c r="BH2580" s="42"/>
      <c r="BI2580" s="74"/>
      <c r="BJ2580" s="77"/>
      <c r="BL2580" s="497">
        <v>78.98</v>
      </c>
      <c r="BN2580" s="42"/>
      <c r="BO2580" s="74"/>
      <c r="BP2580" s="77"/>
      <c r="BR2580" s="497">
        <v>39.92</v>
      </c>
      <c r="BT2580" s="42"/>
    </row>
    <row r="2581" spans="1:72" x14ac:dyDescent="0.25">
      <c r="A2581" s="90">
        <v>33345</v>
      </c>
      <c r="B2581" s="20">
        <v>0.79166666666666663</v>
      </c>
      <c r="D2581">
        <v>60.980000000000004</v>
      </c>
      <c r="E2581" t="str">
        <f t="shared" si="116"/>
        <v>WEEKDAY</v>
      </c>
      <c r="F2581" t="e">
        <f t="shared" si="115"/>
        <v>#N/A</v>
      </c>
      <c r="G2581" s="74">
        <v>32980</v>
      </c>
      <c r="H2581" s="77">
        <v>0.79166666666666663</v>
      </c>
      <c r="J2581">
        <v>46.94</v>
      </c>
      <c r="M2581" s="74">
        <v>33345</v>
      </c>
      <c r="N2581" s="77">
        <v>0.79166666666666663</v>
      </c>
      <c r="P2581">
        <v>48.019999999999996</v>
      </c>
      <c r="S2581" s="74">
        <v>33345</v>
      </c>
      <c r="T2581" s="77">
        <v>0.79166666666666663</v>
      </c>
      <c r="V2581">
        <v>48.92</v>
      </c>
      <c r="X2581" s="42"/>
      <c r="AB2581">
        <v>53.6</v>
      </c>
      <c r="AC2581">
        <v>46.04</v>
      </c>
      <c r="AE2581" s="74"/>
      <c r="AF2581" s="77"/>
      <c r="AH2581" s="497">
        <v>53.06</v>
      </c>
      <c r="AJ2581" s="42"/>
      <c r="AK2581" s="74"/>
      <c r="AL2581" s="77"/>
      <c r="AN2581" s="497">
        <v>41</v>
      </c>
      <c r="AP2581" s="42"/>
      <c r="AQ2581" s="74"/>
      <c r="AR2581" s="77"/>
      <c r="AT2581" s="497">
        <v>44.96</v>
      </c>
      <c r="AV2581" s="42"/>
      <c r="AW2581" s="74"/>
      <c r="AX2581" s="77"/>
      <c r="BA2581" s="497">
        <v>35.06</v>
      </c>
      <c r="BB2581" s="42"/>
      <c r="BC2581" s="74"/>
      <c r="BD2581" s="77"/>
      <c r="BF2581">
        <v>37.94</v>
      </c>
      <c r="BH2581" s="42"/>
      <c r="BI2581" s="74"/>
      <c r="BJ2581" s="77"/>
      <c r="BL2581" s="497">
        <v>75.02</v>
      </c>
      <c r="BN2581" s="42"/>
      <c r="BO2581" s="74"/>
      <c r="BP2581" s="77"/>
      <c r="BR2581" s="497">
        <v>35.96</v>
      </c>
      <c r="BT2581" s="42"/>
    </row>
    <row r="2582" spans="1:72" x14ac:dyDescent="0.25">
      <c r="A2582" s="90">
        <v>33345</v>
      </c>
      <c r="B2582" s="20">
        <v>0.83333333333333337</v>
      </c>
      <c r="D2582">
        <v>60.08</v>
      </c>
      <c r="E2582" t="str">
        <f t="shared" si="116"/>
        <v>WEEKDAY</v>
      </c>
      <c r="F2582" t="e">
        <f t="shared" si="115"/>
        <v>#N/A</v>
      </c>
      <c r="G2582" s="74">
        <v>32980</v>
      </c>
      <c r="H2582" s="77">
        <v>0.83333333333333337</v>
      </c>
      <c r="J2582">
        <v>46.94</v>
      </c>
      <c r="M2582" s="74">
        <v>33345</v>
      </c>
      <c r="N2582" s="77">
        <v>0.83333333333333337</v>
      </c>
      <c r="P2582">
        <v>44.96</v>
      </c>
      <c r="S2582" s="74">
        <v>33345</v>
      </c>
      <c r="T2582" s="77">
        <v>0.83333333333333337</v>
      </c>
      <c r="V2582">
        <v>48.019999999999996</v>
      </c>
      <c r="X2582" s="42"/>
      <c r="AB2582">
        <v>52.2</v>
      </c>
      <c r="AC2582">
        <v>44.96</v>
      </c>
      <c r="AE2582" s="74"/>
      <c r="AF2582" s="77"/>
      <c r="AH2582" s="497">
        <v>50</v>
      </c>
      <c r="AJ2582" s="42"/>
      <c r="AK2582" s="74"/>
      <c r="AL2582" s="77"/>
      <c r="AN2582" s="497">
        <v>39.019999999999996</v>
      </c>
      <c r="AP2582" s="42"/>
      <c r="AQ2582" s="74"/>
      <c r="AR2582" s="77"/>
      <c r="AT2582" s="497">
        <v>44.96</v>
      </c>
      <c r="AV2582" s="42"/>
      <c r="AW2582" s="74"/>
      <c r="AX2582" s="77"/>
      <c r="BA2582" s="497">
        <v>33.979999999999997</v>
      </c>
      <c r="BB2582" s="42"/>
      <c r="BC2582" s="74"/>
      <c r="BD2582" s="77"/>
      <c r="BF2582">
        <v>39.019999999999996</v>
      </c>
      <c r="BH2582" s="42"/>
      <c r="BI2582" s="74"/>
      <c r="BJ2582" s="77"/>
      <c r="BL2582" s="497">
        <v>73.039999999999992</v>
      </c>
      <c r="BN2582" s="42"/>
      <c r="BO2582" s="74"/>
      <c r="BP2582" s="77"/>
      <c r="BR2582" s="497">
        <v>33.979999999999997</v>
      </c>
      <c r="BT2582" s="42"/>
    </row>
    <row r="2583" spans="1:72" x14ac:dyDescent="0.25">
      <c r="A2583" s="90">
        <v>33345</v>
      </c>
      <c r="B2583" s="20">
        <v>0.875</v>
      </c>
      <c r="D2583">
        <v>60.980000000000004</v>
      </c>
      <c r="E2583" t="str">
        <f t="shared" si="116"/>
        <v>WEEKDAY</v>
      </c>
      <c r="F2583" t="e">
        <f t="shared" si="115"/>
        <v>#N/A</v>
      </c>
      <c r="G2583" s="74">
        <v>32980</v>
      </c>
      <c r="H2583" s="77">
        <v>0.875</v>
      </c>
      <c r="J2583">
        <v>46.94</v>
      </c>
      <c r="M2583" s="74">
        <v>33345</v>
      </c>
      <c r="N2583" s="77">
        <v>0.875</v>
      </c>
      <c r="P2583">
        <v>44.06</v>
      </c>
      <c r="S2583" s="74">
        <v>33345</v>
      </c>
      <c r="T2583" s="77">
        <v>0.875</v>
      </c>
      <c r="V2583">
        <v>46.94</v>
      </c>
      <c r="X2583" s="42"/>
      <c r="AB2583">
        <v>51.4</v>
      </c>
      <c r="AC2583">
        <v>44.96</v>
      </c>
      <c r="AE2583" s="74"/>
      <c r="AF2583" s="77"/>
      <c r="AH2583" s="497">
        <v>50</v>
      </c>
      <c r="AJ2583" s="42"/>
      <c r="AK2583" s="74"/>
      <c r="AL2583" s="77"/>
      <c r="AN2583" s="497">
        <v>37.94</v>
      </c>
      <c r="AP2583" s="42"/>
      <c r="AQ2583" s="74"/>
      <c r="AR2583" s="77"/>
      <c r="AT2583" s="497">
        <v>42.980000000000004</v>
      </c>
      <c r="AV2583" s="42"/>
      <c r="AW2583" s="74"/>
      <c r="AX2583" s="77"/>
      <c r="BA2583" s="497">
        <v>32</v>
      </c>
      <c r="BB2583" s="42"/>
      <c r="BC2583" s="74"/>
      <c r="BD2583" s="77"/>
      <c r="BF2583">
        <v>39.92</v>
      </c>
      <c r="BH2583" s="42"/>
      <c r="BI2583" s="74"/>
      <c r="BJ2583" s="77"/>
      <c r="BL2583" s="497">
        <v>71.960000000000008</v>
      </c>
      <c r="BN2583" s="42"/>
      <c r="BO2583" s="74"/>
      <c r="BP2583" s="77"/>
      <c r="BR2583" s="497">
        <v>30.02</v>
      </c>
      <c r="BT2583" s="42"/>
    </row>
    <row r="2584" spans="1:72" x14ac:dyDescent="0.25">
      <c r="A2584" s="90">
        <v>33345</v>
      </c>
      <c r="B2584" s="20">
        <v>0.91666666666666663</v>
      </c>
      <c r="D2584">
        <v>55.94</v>
      </c>
      <c r="E2584" t="str">
        <f t="shared" si="116"/>
        <v>WEEKDAY</v>
      </c>
      <c r="F2584" t="e">
        <f t="shared" si="115"/>
        <v>#N/A</v>
      </c>
      <c r="G2584" s="74">
        <v>32980</v>
      </c>
      <c r="H2584" s="77">
        <v>0.91666666666666663</v>
      </c>
      <c r="J2584">
        <v>44.96</v>
      </c>
      <c r="M2584" s="74">
        <v>33345</v>
      </c>
      <c r="N2584" s="77">
        <v>0.91666666666666663</v>
      </c>
      <c r="P2584">
        <v>44.06</v>
      </c>
      <c r="S2584" s="74">
        <v>33345</v>
      </c>
      <c r="T2584" s="77">
        <v>0.91666666666666663</v>
      </c>
      <c r="V2584">
        <v>46.04</v>
      </c>
      <c r="X2584" s="42"/>
      <c r="AB2584">
        <v>50.9</v>
      </c>
      <c r="AC2584">
        <v>44.96</v>
      </c>
      <c r="AE2584" s="74"/>
      <c r="AF2584" s="77"/>
      <c r="AH2584" s="497">
        <v>48.019999999999996</v>
      </c>
      <c r="AJ2584" s="42"/>
      <c r="AK2584" s="74"/>
      <c r="AL2584" s="77"/>
      <c r="AN2584" s="497">
        <v>37.94</v>
      </c>
      <c r="AP2584" s="42"/>
      <c r="AQ2584" s="74"/>
      <c r="AR2584" s="77"/>
      <c r="AT2584" s="497">
        <v>41</v>
      </c>
      <c r="AV2584" s="42"/>
      <c r="AW2584" s="74"/>
      <c r="AX2584" s="77"/>
      <c r="BA2584" s="497">
        <v>32</v>
      </c>
      <c r="BB2584" s="42"/>
      <c r="BC2584" s="74"/>
      <c r="BD2584" s="77"/>
      <c r="BF2584">
        <v>39.019999999999996</v>
      </c>
      <c r="BH2584" s="42"/>
      <c r="BI2584" s="74"/>
      <c r="BJ2584" s="77"/>
      <c r="BL2584" s="497">
        <v>71.06</v>
      </c>
      <c r="BN2584" s="42"/>
      <c r="BO2584" s="74"/>
      <c r="BP2584" s="77"/>
      <c r="BR2584" s="497">
        <v>26.060000000000002</v>
      </c>
      <c r="BT2584" s="42"/>
    </row>
    <row r="2585" spans="1:72" x14ac:dyDescent="0.25">
      <c r="A2585" s="90">
        <v>33345</v>
      </c>
      <c r="B2585" s="20">
        <v>0.95833333333333337</v>
      </c>
      <c r="D2585">
        <v>53.96</v>
      </c>
      <c r="E2585" t="str">
        <f t="shared" si="116"/>
        <v>WEEKDAY</v>
      </c>
      <c r="F2585" t="e">
        <f t="shared" si="115"/>
        <v>#N/A</v>
      </c>
      <c r="G2585" s="74">
        <v>32980</v>
      </c>
      <c r="H2585" s="77">
        <v>0.95833333333333337</v>
      </c>
      <c r="J2585">
        <v>42.980000000000004</v>
      </c>
      <c r="M2585" s="74">
        <v>33345</v>
      </c>
      <c r="N2585" s="77">
        <v>0.95833333333333337</v>
      </c>
      <c r="P2585">
        <v>44.06</v>
      </c>
      <c r="S2585" s="74">
        <v>33345</v>
      </c>
      <c r="T2585" s="77">
        <v>0.95833333333333337</v>
      </c>
      <c r="V2585">
        <v>46.04</v>
      </c>
      <c r="X2585" s="42"/>
      <c r="AB2585">
        <v>50.2</v>
      </c>
      <c r="AC2585">
        <v>44.96</v>
      </c>
      <c r="AE2585" s="74"/>
      <c r="AF2585" s="77"/>
      <c r="AH2585" s="497">
        <v>46.04</v>
      </c>
      <c r="AJ2585" s="42"/>
      <c r="AK2585" s="74"/>
      <c r="AL2585" s="77"/>
      <c r="AN2585" s="497">
        <v>37.04</v>
      </c>
      <c r="AP2585" s="42"/>
      <c r="AQ2585" s="74"/>
      <c r="AR2585" s="77"/>
      <c r="AT2585" s="497">
        <v>39.019999999999996</v>
      </c>
      <c r="AV2585" s="42"/>
      <c r="AW2585" s="74"/>
      <c r="AX2585" s="77"/>
      <c r="BA2585" s="497">
        <v>30.02</v>
      </c>
      <c r="BB2585" s="42"/>
      <c r="BC2585" s="74"/>
      <c r="BD2585" s="77"/>
      <c r="BF2585">
        <v>39.019999999999996</v>
      </c>
      <c r="BH2585" s="42"/>
      <c r="BI2585" s="74"/>
      <c r="BJ2585" s="77"/>
      <c r="BL2585" s="497">
        <v>71.06</v>
      </c>
      <c r="BN2585" s="42"/>
      <c r="BO2585" s="74"/>
      <c r="BP2585" s="77"/>
      <c r="BR2585" s="497">
        <v>24.08</v>
      </c>
      <c r="BT2585" s="42"/>
    </row>
    <row r="2586" spans="1:72" x14ac:dyDescent="0.25">
      <c r="A2586" s="90">
        <v>33345</v>
      </c>
      <c r="B2586" s="20">
        <v>1</v>
      </c>
      <c r="D2586">
        <v>53.96</v>
      </c>
      <c r="E2586" t="str">
        <f t="shared" si="116"/>
        <v>WEEKDAY</v>
      </c>
      <c r="F2586" t="e">
        <f t="shared" si="115"/>
        <v>#N/A</v>
      </c>
      <c r="G2586" s="74">
        <v>32980</v>
      </c>
      <c r="H2586" s="77">
        <v>1</v>
      </c>
      <c r="J2586">
        <v>42.08</v>
      </c>
      <c r="M2586" s="74">
        <v>33345</v>
      </c>
      <c r="N2586" s="80">
        <v>1</v>
      </c>
      <c r="P2586">
        <v>44.06</v>
      </c>
      <c r="S2586" s="74">
        <v>33345</v>
      </c>
      <c r="T2586" s="80">
        <v>1</v>
      </c>
      <c r="V2586">
        <v>46.04</v>
      </c>
      <c r="X2586" s="42"/>
      <c r="AB2586">
        <v>49.7</v>
      </c>
      <c r="AC2586">
        <v>44.06</v>
      </c>
      <c r="AE2586" s="74"/>
      <c r="AF2586" s="80"/>
      <c r="AH2586" s="497">
        <v>46.04</v>
      </c>
      <c r="AJ2586" s="42"/>
      <c r="AK2586" s="74"/>
      <c r="AL2586" s="80"/>
      <c r="AN2586" s="497">
        <v>35.96</v>
      </c>
      <c r="AP2586" s="42"/>
      <c r="AQ2586" s="74"/>
      <c r="AR2586" s="80"/>
      <c r="AT2586" s="497">
        <v>37.94</v>
      </c>
      <c r="AV2586" s="42"/>
      <c r="AW2586" s="74"/>
      <c r="AX2586" s="80"/>
      <c r="BA2586" s="497">
        <v>32</v>
      </c>
      <c r="BB2586" s="42"/>
      <c r="BC2586" s="74"/>
      <c r="BD2586" s="80"/>
      <c r="BF2586">
        <v>37.94</v>
      </c>
      <c r="BH2586" s="42"/>
      <c r="BI2586" s="74"/>
      <c r="BJ2586" s="80"/>
      <c r="BL2586" s="497">
        <v>69.98</v>
      </c>
      <c r="BN2586" s="42"/>
      <c r="BO2586" s="74"/>
      <c r="BP2586" s="80"/>
      <c r="BR2586" s="497">
        <v>24.98</v>
      </c>
      <c r="BT2586" s="42"/>
    </row>
    <row r="2587" spans="1:72" x14ac:dyDescent="0.25">
      <c r="A2587" s="90">
        <v>33346</v>
      </c>
      <c r="B2587" s="20">
        <v>4.1666666666666664E-2</v>
      </c>
      <c r="D2587">
        <v>55.040000000000006</v>
      </c>
      <c r="E2587" t="str">
        <f t="shared" si="116"/>
        <v>WEEKDAY</v>
      </c>
      <c r="F2587" t="e">
        <f t="shared" si="115"/>
        <v>#N/A</v>
      </c>
      <c r="G2587" s="74">
        <v>32981</v>
      </c>
      <c r="H2587" s="77">
        <v>4.1666666666666664E-2</v>
      </c>
      <c r="J2587">
        <v>41</v>
      </c>
      <c r="M2587" s="74">
        <v>33346</v>
      </c>
      <c r="N2587" s="77">
        <v>4.1666666666666664E-2</v>
      </c>
      <c r="P2587">
        <v>44.06</v>
      </c>
      <c r="S2587" s="74">
        <v>33346</v>
      </c>
      <c r="T2587" s="77">
        <v>4.1666666666666664E-2</v>
      </c>
      <c r="V2587">
        <v>46.04</v>
      </c>
      <c r="X2587" s="42"/>
      <c r="AB2587">
        <v>49.1</v>
      </c>
      <c r="AC2587">
        <v>44.06</v>
      </c>
      <c r="AE2587" s="74"/>
      <c r="AF2587" s="77"/>
      <c r="AH2587" s="497">
        <v>46.04</v>
      </c>
      <c r="AJ2587" s="42"/>
      <c r="AK2587" s="74"/>
      <c r="AL2587" s="77"/>
      <c r="AN2587" s="497">
        <v>35.06</v>
      </c>
      <c r="AP2587" s="42"/>
      <c r="AQ2587" s="74"/>
      <c r="AR2587" s="77"/>
      <c r="AT2587" s="497">
        <v>39.019999999999996</v>
      </c>
      <c r="AV2587" s="42"/>
      <c r="AW2587" s="74"/>
      <c r="AX2587" s="77"/>
      <c r="BA2587" s="497">
        <v>33.979999999999997</v>
      </c>
      <c r="BB2587" s="42"/>
      <c r="BC2587" s="74"/>
      <c r="BD2587" s="77"/>
      <c r="BF2587">
        <v>39.019999999999996</v>
      </c>
      <c r="BH2587" s="42"/>
      <c r="BI2587" s="74"/>
      <c r="BJ2587" s="77"/>
      <c r="BL2587" s="497">
        <v>66.92</v>
      </c>
      <c r="BN2587" s="42"/>
      <c r="BO2587" s="74"/>
      <c r="BP2587" s="77"/>
      <c r="BR2587" s="497">
        <v>26.060000000000002</v>
      </c>
      <c r="BT2587" s="42"/>
    </row>
    <row r="2588" spans="1:72" x14ac:dyDescent="0.25">
      <c r="A2588" s="90">
        <v>33346</v>
      </c>
      <c r="B2588" s="20">
        <v>8.3333333333333329E-2</v>
      </c>
      <c r="D2588">
        <v>51.980000000000004</v>
      </c>
      <c r="E2588" t="str">
        <f t="shared" si="116"/>
        <v>WEEKDAY</v>
      </c>
      <c r="F2588" t="e">
        <f t="shared" si="115"/>
        <v>#N/A</v>
      </c>
      <c r="G2588" s="74">
        <v>32981</v>
      </c>
      <c r="H2588" s="77">
        <v>8.3333333333333329E-2</v>
      </c>
      <c r="J2588">
        <v>39.92</v>
      </c>
      <c r="M2588" s="74">
        <v>33346</v>
      </c>
      <c r="N2588" s="77">
        <v>8.3333333333333329E-2</v>
      </c>
      <c r="P2588">
        <v>44.06</v>
      </c>
      <c r="S2588" s="74">
        <v>33346</v>
      </c>
      <c r="T2588" s="77">
        <v>8.3333333333333329E-2</v>
      </c>
      <c r="V2588">
        <v>44.96</v>
      </c>
      <c r="X2588" s="42"/>
      <c r="AB2588">
        <v>48.5</v>
      </c>
      <c r="AC2588">
        <v>44.06</v>
      </c>
      <c r="AE2588" s="74"/>
      <c r="AF2588" s="77"/>
      <c r="AH2588" s="497">
        <v>46.04</v>
      </c>
      <c r="AJ2588" s="42"/>
      <c r="AK2588" s="74"/>
      <c r="AL2588" s="77"/>
      <c r="AN2588" s="497">
        <v>33.979999999999997</v>
      </c>
      <c r="AP2588" s="42"/>
      <c r="AQ2588" s="74"/>
      <c r="AR2588" s="77"/>
      <c r="AT2588" s="497">
        <v>37.94</v>
      </c>
      <c r="AV2588" s="42"/>
      <c r="AW2588" s="74"/>
      <c r="AX2588" s="77"/>
      <c r="BA2588" s="497">
        <v>35.06</v>
      </c>
      <c r="BB2588" s="42"/>
      <c r="BC2588" s="74"/>
      <c r="BD2588" s="77"/>
      <c r="BF2588">
        <v>37.94</v>
      </c>
      <c r="BH2588" s="42"/>
      <c r="BI2588" s="74"/>
      <c r="BJ2588" s="77"/>
      <c r="BL2588" s="497">
        <v>68</v>
      </c>
      <c r="BN2588" s="42"/>
      <c r="BO2588" s="74"/>
      <c r="BP2588" s="77"/>
      <c r="BR2588" s="497">
        <v>28.94</v>
      </c>
      <c r="BT2588" s="42"/>
    </row>
    <row r="2589" spans="1:72" x14ac:dyDescent="0.25">
      <c r="A2589" s="90">
        <v>33346</v>
      </c>
      <c r="B2589" s="20">
        <v>0.125</v>
      </c>
      <c r="D2589">
        <v>51.980000000000004</v>
      </c>
      <c r="E2589" t="str">
        <f t="shared" si="116"/>
        <v>WEEKDAY</v>
      </c>
      <c r="F2589" t="e">
        <f t="shared" si="115"/>
        <v>#N/A</v>
      </c>
      <c r="G2589" s="74">
        <v>32981</v>
      </c>
      <c r="H2589" s="77">
        <v>0.125</v>
      </c>
      <c r="J2589">
        <v>39.019999999999996</v>
      </c>
      <c r="M2589" s="74">
        <v>33346</v>
      </c>
      <c r="N2589" s="77">
        <v>0.125</v>
      </c>
      <c r="P2589">
        <v>44.06</v>
      </c>
      <c r="S2589" s="74">
        <v>33346</v>
      </c>
      <c r="T2589" s="77">
        <v>0.125</v>
      </c>
      <c r="V2589">
        <v>44.96</v>
      </c>
      <c r="X2589" s="42"/>
      <c r="AB2589">
        <v>48.1</v>
      </c>
      <c r="AC2589">
        <v>44.06</v>
      </c>
      <c r="AE2589" s="74"/>
      <c r="AF2589" s="77"/>
      <c r="AH2589" s="497">
        <v>46.04</v>
      </c>
      <c r="AJ2589" s="42"/>
      <c r="AK2589" s="74"/>
      <c r="AL2589" s="77"/>
      <c r="AN2589" s="497">
        <v>35.06</v>
      </c>
      <c r="AP2589" s="42"/>
      <c r="AQ2589" s="74"/>
      <c r="AR2589" s="77"/>
      <c r="AT2589" s="497">
        <v>37.04</v>
      </c>
      <c r="AV2589" s="42"/>
      <c r="AW2589" s="74"/>
      <c r="AX2589" s="77"/>
      <c r="BA2589" s="497">
        <v>35.06</v>
      </c>
      <c r="BB2589" s="42"/>
      <c r="BC2589" s="74"/>
      <c r="BD2589" s="77"/>
      <c r="BF2589">
        <v>39.019999999999996</v>
      </c>
      <c r="BH2589" s="42"/>
      <c r="BI2589" s="74"/>
      <c r="BJ2589" s="77"/>
      <c r="BL2589" s="497">
        <v>69.080000000000013</v>
      </c>
      <c r="BN2589" s="42"/>
      <c r="BO2589" s="74"/>
      <c r="BP2589" s="77"/>
      <c r="BR2589" s="497">
        <v>30.92</v>
      </c>
      <c r="BT2589" s="42"/>
    </row>
    <row r="2590" spans="1:72" x14ac:dyDescent="0.25">
      <c r="A2590" s="90">
        <v>33346</v>
      </c>
      <c r="B2590" s="20">
        <v>0.16666666666666666</v>
      </c>
      <c r="D2590">
        <v>51.980000000000004</v>
      </c>
      <c r="E2590" t="str">
        <f t="shared" si="116"/>
        <v>WEEKDAY</v>
      </c>
      <c r="F2590" t="e">
        <f t="shared" si="115"/>
        <v>#N/A</v>
      </c>
      <c r="G2590" s="74">
        <v>32981</v>
      </c>
      <c r="H2590" s="77">
        <v>0.16666666666666666</v>
      </c>
      <c r="J2590">
        <v>39.019999999999996</v>
      </c>
      <c r="M2590" s="74">
        <v>33346</v>
      </c>
      <c r="N2590" s="77">
        <v>0.16666666666666666</v>
      </c>
      <c r="P2590">
        <v>42.980000000000004</v>
      </c>
      <c r="S2590" s="74">
        <v>33346</v>
      </c>
      <c r="T2590" s="77">
        <v>0.16666666666666666</v>
      </c>
      <c r="V2590">
        <v>44.96</v>
      </c>
      <c r="X2590" s="42"/>
      <c r="AB2590">
        <v>47.6</v>
      </c>
      <c r="AC2590">
        <v>44.06</v>
      </c>
      <c r="AE2590" s="74"/>
      <c r="AF2590" s="77"/>
      <c r="AH2590" s="497">
        <v>44.96</v>
      </c>
      <c r="AJ2590" s="42"/>
      <c r="AK2590" s="74"/>
      <c r="AL2590" s="77"/>
      <c r="AN2590" s="497">
        <v>33.08</v>
      </c>
      <c r="AP2590" s="42"/>
      <c r="AQ2590" s="74"/>
      <c r="AR2590" s="77"/>
      <c r="AT2590" s="497">
        <v>37.94</v>
      </c>
      <c r="AV2590" s="42"/>
      <c r="AW2590" s="74"/>
      <c r="AX2590" s="77"/>
      <c r="BA2590" s="497">
        <v>35.96</v>
      </c>
      <c r="BB2590" s="42"/>
      <c r="BC2590" s="74"/>
      <c r="BD2590" s="77"/>
      <c r="BF2590">
        <v>39.019999999999996</v>
      </c>
      <c r="BH2590" s="42"/>
      <c r="BI2590" s="74"/>
      <c r="BJ2590" s="77"/>
      <c r="BL2590" s="497">
        <v>66.92</v>
      </c>
      <c r="BN2590" s="42"/>
      <c r="BO2590" s="74"/>
      <c r="BP2590" s="77"/>
      <c r="BR2590" s="497">
        <v>30.92</v>
      </c>
      <c r="BT2590" s="42"/>
    </row>
    <row r="2591" spans="1:72" x14ac:dyDescent="0.25">
      <c r="A2591" s="90">
        <v>33346</v>
      </c>
      <c r="B2591" s="20">
        <v>0.20833333333333334</v>
      </c>
      <c r="D2591">
        <v>51.980000000000004</v>
      </c>
      <c r="E2591" t="str">
        <f t="shared" si="116"/>
        <v>WEEKDAY</v>
      </c>
      <c r="F2591" t="e">
        <f t="shared" si="115"/>
        <v>#N/A</v>
      </c>
      <c r="G2591" s="74">
        <v>32981</v>
      </c>
      <c r="H2591" s="77">
        <v>0.20833333333333334</v>
      </c>
      <c r="J2591">
        <v>37.94</v>
      </c>
      <c r="M2591" s="74">
        <v>33346</v>
      </c>
      <c r="N2591" s="77">
        <v>0.20833333333333334</v>
      </c>
      <c r="P2591">
        <v>42.980000000000004</v>
      </c>
      <c r="S2591" s="74">
        <v>33346</v>
      </c>
      <c r="T2591" s="77">
        <v>0.20833333333333334</v>
      </c>
      <c r="V2591">
        <v>44.96</v>
      </c>
      <c r="X2591" s="42"/>
      <c r="AB2591">
        <v>47.1</v>
      </c>
      <c r="AC2591">
        <v>42.980000000000004</v>
      </c>
      <c r="AE2591" s="74"/>
      <c r="AF2591" s="77"/>
      <c r="AH2591" s="497">
        <v>44.96</v>
      </c>
      <c r="AJ2591" s="42"/>
      <c r="AK2591" s="74"/>
      <c r="AL2591" s="77"/>
      <c r="AN2591" s="497">
        <v>32</v>
      </c>
      <c r="AP2591" s="42"/>
      <c r="AQ2591" s="74"/>
      <c r="AR2591" s="77"/>
      <c r="AT2591" s="497">
        <v>37.04</v>
      </c>
      <c r="AV2591" s="42"/>
      <c r="AW2591" s="74"/>
      <c r="AX2591" s="77"/>
      <c r="BA2591" s="497">
        <v>33.08</v>
      </c>
      <c r="BB2591" s="42"/>
      <c r="BC2591" s="74"/>
      <c r="BD2591" s="77"/>
      <c r="BF2591">
        <v>39.92</v>
      </c>
      <c r="BH2591" s="42"/>
      <c r="BI2591" s="74"/>
      <c r="BJ2591" s="77"/>
      <c r="BL2591" s="497">
        <v>64.039999999999992</v>
      </c>
      <c r="BN2591" s="42"/>
      <c r="BO2591" s="74"/>
      <c r="BP2591" s="77"/>
      <c r="BR2591" s="497">
        <v>30.92</v>
      </c>
      <c r="BT2591" s="42"/>
    </row>
    <row r="2592" spans="1:72" x14ac:dyDescent="0.25">
      <c r="A2592" s="90">
        <v>33346</v>
      </c>
      <c r="B2592" s="20">
        <v>0.25</v>
      </c>
      <c r="D2592">
        <v>51.980000000000004</v>
      </c>
      <c r="E2592" t="str">
        <f t="shared" si="116"/>
        <v>WEEKDAY</v>
      </c>
      <c r="F2592" t="e">
        <f t="shared" si="115"/>
        <v>#N/A</v>
      </c>
      <c r="G2592" s="74">
        <v>32981</v>
      </c>
      <c r="H2592" s="77">
        <v>0.25</v>
      </c>
      <c r="J2592">
        <v>37.94</v>
      </c>
      <c r="M2592" s="74">
        <v>33346</v>
      </c>
      <c r="N2592" s="77">
        <v>0.25</v>
      </c>
      <c r="P2592">
        <v>42.980000000000004</v>
      </c>
      <c r="S2592" s="74">
        <v>33346</v>
      </c>
      <c r="T2592" s="77">
        <v>0.25</v>
      </c>
      <c r="V2592">
        <v>44.06</v>
      </c>
      <c r="X2592" s="42"/>
      <c r="AB2592">
        <v>46.9</v>
      </c>
      <c r="AC2592">
        <v>42.980000000000004</v>
      </c>
      <c r="AE2592" s="74"/>
      <c r="AF2592" s="77"/>
      <c r="AH2592" s="497">
        <v>44.06</v>
      </c>
      <c r="AJ2592" s="42"/>
      <c r="AK2592" s="74"/>
      <c r="AL2592" s="77"/>
      <c r="AN2592" s="497">
        <v>32</v>
      </c>
      <c r="AP2592" s="42"/>
      <c r="AQ2592" s="74"/>
      <c r="AR2592" s="77"/>
      <c r="AT2592" s="497">
        <v>37.04</v>
      </c>
      <c r="AV2592" s="42"/>
      <c r="AW2592" s="74"/>
      <c r="AX2592" s="77"/>
      <c r="BA2592" s="497">
        <v>33.08</v>
      </c>
      <c r="BB2592" s="42"/>
      <c r="BC2592" s="74"/>
      <c r="BD2592" s="77"/>
      <c r="BF2592">
        <v>41</v>
      </c>
      <c r="BH2592" s="42"/>
      <c r="BI2592" s="74"/>
      <c r="BJ2592" s="77"/>
      <c r="BL2592" s="497">
        <v>62.96</v>
      </c>
      <c r="BN2592" s="42"/>
      <c r="BO2592" s="74"/>
      <c r="BP2592" s="77"/>
      <c r="BR2592" s="497">
        <v>32</v>
      </c>
      <c r="BT2592" s="42"/>
    </row>
    <row r="2593" spans="1:72" x14ac:dyDescent="0.25">
      <c r="A2593" s="90">
        <v>33346</v>
      </c>
      <c r="B2593" s="20">
        <v>0.29166666666666669</v>
      </c>
      <c r="D2593">
        <v>51.08</v>
      </c>
      <c r="E2593" t="str">
        <f t="shared" si="116"/>
        <v>WEEKDAY</v>
      </c>
      <c r="F2593" t="e">
        <f t="shared" si="115"/>
        <v>#N/A</v>
      </c>
      <c r="G2593" s="74">
        <v>32981</v>
      </c>
      <c r="H2593" s="77">
        <v>0.29166666666666669</v>
      </c>
      <c r="J2593">
        <v>39.019999999999996</v>
      </c>
      <c r="M2593" s="74">
        <v>33346</v>
      </c>
      <c r="N2593" s="77">
        <v>0.29166666666666669</v>
      </c>
      <c r="P2593">
        <v>42.980000000000004</v>
      </c>
      <c r="S2593" s="74">
        <v>33346</v>
      </c>
      <c r="T2593" s="77">
        <v>0.29166666666666669</v>
      </c>
      <c r="V2593">
        <v>44.06</v>
      </c>
      <c r="X2593" s="42"/>
      <c r="AB2593">
        <v>47.3</v>
      </c>
      <c r="AC2593">
        <v>42.980000000000004</v>
      </c>
      <c r="AE2593" s="74"/>
      <c r="AF2593" s="77"/>
      <c r="AH2593" s="497">
        <v>44.06</v>
      </c>
      <c r="AJ2593" s="42"/>
      <c r="AK2593" s="74"/>
      <c r="AL2593" s="77"/>
      <c r="AN2593" s="497">
        <v>35.06</v>
      </c>
      <c r="AP2593" s="42"/>
      <c r="AQ2593" s="74"/>
      <c r="AR2593" s="77"/>
      <c r="AT2593" s="497">
        <v>37.94</v>
      </c>
      <c r="AV2593" s="42"/>
      <c r="AW2593" s="74"/>
      <c r="AX2593" s="77"/>
      <c r="BA2593" s="497">
        <v>33.08</v>
      </c>
      <c r="BB2593" s="42"/>
      <c r="BC2593" s="74"/>
      <c r="BD2593" s="77"/>
      <c r="BF2593">
        <v>41</v>
      </c>
      <c r="BH2593" s="42"/>
      <c r="BI2593" s="74"/>
      <c r="BJ2593" s="77"/>
      <c r="BL2593" s="497">
        <v>66.02</v>
      </c>
      <c r="BN2593" s="42"/>
      <c r="BO2593" s="74"/>
      <c r="BP2593" s="77"/>
      <c r="BR2593" s="497">
        <v>33.08</v>
      </c>
      <c r="BT2593" s="42"/>
    </row>
    <row r="2594" spans="1:72" x14ac:dyDescent="0.25">
      <c r="A2594" s="90">
        <v>33346</v>
      </c>
      <c r="B2594" s="20">
        <v>0.33333333333333331</v>
      </c>
      <c r="D2594">
        <v>53.96</v>
      </c>
      <c r="E2594" t="str">
        <f t="shared" si="116"/>
        <v>WEEKDAY</v>
      </c>
      <c r="F2594" t="e">
        <f t="shared" si="115"/>
        <v>#N/A</v>
      </c>
      <c r="G2594" s="74">
        <v>32981</v>
      </c>
      <c r="H2594" s="77">
        <v>0.33333333333333331</v>
      </c>
      <c r="J2594">
        <v>39.92</v>
      </c>
      <c r="M2594" s="74">
        <v>33346</v>
      </c>
      <c r="N2594" s="77">
        <v>0.33333333333333331</v>
      </c>
      <c r="P2594">
        <v>42.980000000000004</v>
      </c>
      <c r="S2594" s="74">
        <v>33346</v>
      </c>
      <c r="T2594" s="77">
        <v>0.33333333333333331</v>
      </c>
      <c r="V2594">
        <v>44.06</v>
      </c>
      <c r="X2594" s="42"/>
      <c r="AB2594">
        <v>49.4</v>
      </c>
      <c r="AC2594">
        <v>42.980000000000004</v>
      </c>
      <c r="AE2594" s="74"/>
      <c r="AF2594" s="77"/>
      <c r="AH2594" s="497">
        <v>44.06</v>
      </c>
      <c r="AJ2594" s="42"/>
      <c r="AK2594" s="74"/>
      <c r="AL2594" s="77"/>
      <c r="AN2594" s="497">
        <v>35.96</v>
      </c>
      <c r="AP2594" s="42"/>
      <c r="AQ2594" s="74"/>
      <c r="AR2594" s="77"/>
      <c r="AT2594" s="497">
        <v>44.06</v>
      </c>
      <c r="AV2594" s="42"/>
      <c r="AW2594" s="74"/>
      <c r="AX2594" s="77"/>
      <c r="BA2594" s="497">
        <v>35.06</v>
      </c>
      <c r="BB2594" s="42"/>
      <c r="BC2594" s="74"/>
      <c r="BD2594" s="77"/>
      <c r="BF2594">
        <v>42.980000000000004</v>
      </c>
      <c r="BH2594" s="42"/>
      <c r="BI2594" s="74"/>
      <c r="BJ2594" s="77"/>
      <c r="BL2594" s="497">
        <v>69.080000000000013</v>
      </c>
      <c r="BN2594" s="42"/>
      <c r="BO2594" s="74"/>
      <c r="BP2594" s="77"/>
      <c r="BR2594" s="497">
        <v>35.96</v>
      </c>
      <c r="BT2594" s="42"/>
    </row>
    <row r="2595" spans="1:72" x14ac:dyDescent="0.25">
      <c r="A2595" s="90">
        <v>33346</v>
      </c>
      <c r="B2595" s="20">
        <v>0.375</v>
      </c>
      <c r="D2595">
        <v>55.040000000000006</v>
      </c>
      <c r="E2595" t="str">
        <f t="shared" si="116"/>
        <v>WEEKDAY</v>
      </c>
      <c r="F2595" t="e">
        <f t="shared" si="115"/>
        <v>#N/A</v>
      </c>
      <c r="G2595" s="74">
        <v>32981</v>
      </c>
      <c r="H2595" s="77">
        <v>0.375</v>
      </c>
      <c r="J2595">
        <v>42.08</v>
      </c>
      <c r="M2595" s="74">
        <v>33346</v>
      </c>
      <c r="N2595" s="77">
        <v>0.375</v>
      </c>
      <c r="P2595">
        <v>44.06</v>
      </c>
      <c r="S2595" s="74">
        <v>33346</v>
      </c>
      <c r="T2595" s="77">
        <v>0.375</v>
      </c>
      <c r="V2595">
        <v>44.06</v>
      </c>
      <c r="X2595" s="42"/>
      <c r="AB2595">
        <v>51.3</v>
      </c>
      <c r="AC2595">
        <v>44.06</v>
      </c>
      <c r="AE2595" s="74"/>
      <c r="AF2595" s="77"/>
      <c r="AH2595" s="497">
        <v>44.06</v>
      </c>
      <c r="AJ2595" s="42"/>
      <c r="AK2595" s="74"/>
      <c r="AL2595" s="77"/>
      <c r="AN2595" s="497">
        <v>42.08</v>
      </c>
      <c r="AP2595" s="42"/>
      <c r="AQ2595" s="74"/>
      <c r="AR2595" s="77"/>
      <c r="AT2595" s="497">
        <v>46.94</v>
      </c>
      <c r="AV2595" s="42"/>
      <c r="AW2595" s="74"/>
      <c r="AX2595" s="77"/>
      <c r="BA2595" s="497">
        <v>37.04</v>
      </c>
      <c r="BB2595" s="42"/>
      <c r="BC2595" s="74"/>
      <c r="BD2595" s="77"/>
      <c r="BF2595">
        <v>42.08</v>
      </c>
      <c r="BH2595" s="42"/>
      <c r="BI2595" s="74"/>
      <c r="BJ2595" s="77"/>
      <c r="BL2595" s="497">
        <v>71.960000000000008</v>
      </c>
      <c r="BN2595" s="42"/>
      <c r="BO2595" s="74"/>
      <c r="BP2595" s="77"/>
      <c r="BR2595" s="497">
        <v>39.019999999999996</v>
      </c>
      <c r="BT2595" s="42"/>
    </row>
    <row r="2596" spans="1:72" x14ac:dyDescent="0.25">
      <c r="A2596" s="90">
        <v>33346</v>
      </c>
      <c r="B2596" s="20">
        <v>0.41666666666666669</v>
      </c>
      <c r="D2596">
        <v>55.94</v>
      </c>
      <c r="E2596" t="str">
        <f t="shared" si="116"/>
        <v>WEEKDAY</v>
      </c>
      <c r="F2596" t="e">
        <f t="shared" si="115"/>
        <v>#N/A</v>
      </c>
      <c r="G2596" s="74">
        <v>32981</v>
      </c>
      <c r="H2596" s="77">
        <v>0.41666666666666669</v>
      </c>
      <c r="J2596">
        <v>44.96</v>
      </c>
      <c r="M2596" s="74">
        <v>33346</v>
      </c>
      <c r="N2596" s="77">
        <v>0.41666666666666669</v>
      </c>
      <c r="P2596">
        <v>44.96</v>
      </c>
      <c r="S2596" s="74">
        <v>33346</v>
      </c>
      <c r="T2596" s="77">
        <v>0.41666666666666669</v>
      </c>
      <c r="V2596">
        <v>46.04</v>
      </c>
      <c r="X2596" s="42"/>
      <c r="AB2596">
        <v>53.1</v>
      </c>
      <c r="AC2596">
        <v>44.06</v>
      </c>
      <c r="AE2596" s="74"/>
      <c r="AF2596" s="77"/>
      <c r="AH2596" s="497">
        <v>44.96</v>
      </c>
      <c r="AJ2596" s="42"/>
      <c r="AK2596" s="74"/>
      <c r="AL2596" s="77"/>
      <c r="AN2596" s="497">
        <v>44.06</v>
      </c>
      <c r="AP2596" s="42"/>
      <c r="AQ2596" s="74"/>
      <c r="AR2596" s="77"/>
      <c r="AT2596" s="497">
        <v>48.019999999999996</v>
      </c>
      <c r="AV2596" s="42"/>
      <c r="AW2596" s="74"/>
      <c r="AX2596" s="77"/>
      <c r="BA2596" s="497">
        <v>39.019999999999996</v>
      </c>
      <c r="BB2596" s="42"/>
      <c r="BC2596" s="74"/>
      <c r="BD2596" s="77"/>
      <c r="BF2596">
        <v>44.96</v>
      </c>
      <c r="BH2596" s="42"/>
      <c r="BI2596" s="74"/>
      <c r="BJ2596" s="77"/>
      <c r="BL2596" s="497">
        <v>75.02</v>
      </c>
      <c r="BN2596" s="42"/>
      <c r="BO2596" s="74"/>
      <c r="BP2596" s="77"/>
      <c r="BR2596" s="497">
        <v>39.019999999999996</v>
      </c>
      <c r="BT2596" s="42"/>
    </row>
    <row r="2597" spans="1:72" x14ac:dyDescent="0.25">
      <c r="A2597" s="90">
        <v>33346</v>
      </c>
      <c r="B2597" s="20">
        <v>0.45833333333333331</v>
      </c>
      <c r="D2597">
        <v>57.92</v>
      </c>
      <c r="E2597" t="str">
        <f t="shared" si="116"/>
        <v>WEEKDAY</v>
      </c>
      <c r="F2597" t="e">
        <f t="shared" si="115"/>
        <v>#N/A</v>
      </c>
      <c r="G2597" s="74">
        <v>32981</v>
      </c>
      <c r="H2597" s="77">
        <v>0.45833333333333331</v>
      </c>
      <c r="J2597">
        <v>46.94</v>
      </c>
      <c r="M2597" s="74">
        <v>33346</v>
      </c>
      <c r="N2597" s="77">
        <v>0.45833333333333331</v>
      </c>
      <c r="P2597">
        <v>46.22</v>
      </c>
      <c r="S2597" s="74">
        <v>33346</v>
      </c>
      <c r="T2597" s="77">
        <v>0.45833333333333331</v>
      </c>
      <c r="V2597">
        <v>46.94</v>
      </c>
      <c r="X2597" s="42"/>
      <c r="AB2597">
        <v>54.8</v>
      </c>
      <c r="AC2597">
        <v>46.04</v>
      </c>
      <c r="AE2597" s="74"/>
      <c r="AF2597" s="77"/>
      <c r="AH2597" s="497">
        <v>46.04</v>
      </c>
      <c r="AJ2597" s="42"/>
      <c r="AK2597" s="74"/>
      <c r="AL2597" s="77"/>
      <c r="AN2597" s="497">
        <v>44.96</v>
      </c>
      <c r="AP2597" s="42"/>
      <c r="AQ2597" s="74"/>
      <c r="AR2597" s="77"/>
      <c r="AT2597" s="497">
        <v>50</v>
      </c>
      <c r="AV2597" s="42"/>
      <c r="AW2597" s="74"/>
      <c r="AX2597" s="77"/>
      <c r="BA2597" s="497">
        <v>39.019999999999996</v>
      </c>
      <c r="BB2597" s="42"/>
      <c r="BC2597" s="74"/>
      <c r="BD2597" s="77"/>
      <c r="BF2597">
        <v>44.96</v>
      </c>
      <c r="BH2597" s="42"/>
      <c r="BI2597" s="74"/>
      <c r="BJ2597" s="77"/>
      <c r="BL2597" s="497">
        <v>78.080000000000013</v>
      </c>
      <c r="BN2597" s="42"/>
      <c r="BO2597" s="74"/>
      <c r="BP2597" s="77"/>
      <c r="BR2597" s="497">
        <v>39.019999999999996</v>
      </c>
      <c r="BT2597" s="42"/>
    </row>
    <row r="2598" spans="1:72" x14ac:dyDescent="0.25">
      <c r="A2598" s="90">
        <v>33346</v>
      </c>
      <c r="B2598" s="20">
        <v>0.5</v>
      </c>
      <c r="D2598">
        <v>60.980000000000004</v>
      </c>
      <c r="E2598" t="str">
        <f t="shared" si="116"/>
        <v>WEEKDAY</v>
      </c>
      <c r="F2598" t="e">
        <f t="shared" si="115"/>
        <v>#N/A</v>
      </c>
      <c r="G2598" s="74">
        <v>32981</v>
      </c>
      <c r="H2598" s="77">
        <v>0.5</v>
      </c>
      <c r="J2598">
        <v>48.019999999999996</v>
      </c>
      <c r="M2598" s="74">
        <v>33346</v>
      </c>
      <c r="N2598" s="77">
        <v>0.5</v>
      </c>
      <c r="P2598">
        <v>46.94</v>
      </c>
      <c r="S2598" s="74">
        <v>33346</v>
      </c>
      <c r="T2598" s="77">
        <v>0.5</v>
      </c>
      <c r="V2598">
        <v>48.92</v>
      </c>
      <c r="X2598" s="42"/>
      <c r="AB2598">
        <v>56.1</v>
      </c>
      <c r="AC2598">
        <v>46.04</v>
      </c>
      <c r="AE2598" s="74"/>
      <c r="AF2598" s="77"/>
      <c r="AH2598" s="497">
        <v>46.94</v>
      </c>
      <c r="AJ2598" s="42"/>
      <c r="AK2598" s="74"/>
      <c r="AL2598" s="77"/>
      <c r="AN2598" s="497">
        <v>48.92</v>
      </c>
      <c r="AP2598" s="42"/>
      <c r="AQ2598" s="74"/>
      <c r="AR2598" s="77"/>
      <c r="AT2598" s="497">
        <v>50</v>
      </c>
      <c r="AV2598" s="42"/>
      <c r="AW2598" s="74"/>
      <c r="AX2598" s="77"/>
      <c r="BA2598" s="497">
        <v>42.980000000000004</v>
      </c>
      <c r="BB2598" s="42"/>
      <c r="BC2598" s="74"/>
      <c r="BD2598" s="77"/>
      <c r="BF2598">
        <v>46.94</v>
      </c>
      <c r="BH2598" s="42"/>
      <c r="BI2598" s="74"/>
      <c r="BJ2598" s="77"/>
      <c r="BL2598" s="497">
        <v>80.06</v>
      </c>
      <c r="BN2598" s="42"/>
      <c r="BO2598" s="74"/>
      <c r="BP2598" s="77"/>
      <c r="BR2598" s="497">
        <v>41</v>
      </c>
      <c r="BT2598" s="42"/>
    </row>
    <row r="2599" spans="1:72" x14ac:dyDescent="0.25">
      <c r="A2599" s="90">
        <v>33346</v>
      </c>
      <c r="B2599" s="20">
        <v>0.54166666666666663</v>
      </c>
      <c r="D2599">
        <v>60.980000000000004</v>
      </c>
      <c r="E2599" t="str">
        <f t="shared" si="116"/>
        <v>WEEKDAY</v>
      </c>
      <c r="F2599" t="e">
        <f t="shared" si="115"/>
        <v>#N/A</v>
      </c>
      <c r="G2599" s="74">
        <v>32981</v>
      </c>
      <c r="H2599" s="77">
        <v>0.54166666666666663</v>
      </c>
      <c r="J2599">
        <v>50</v>
      </c>
      <c r="M2599" s="74">
        <v>33346</v>
      </c>
      <c r="N2599" s="77">
        <v>0.54166666666666663</v>
      </c>
      <c r="P2599">
        <v>48.019999999999996</v>
      </c>
      <c r="S2599" s="74">
        <v>33346</v>
      </c>
      <c r="T2599" s="77">
        <v>0.54166666666666663</v>
      </c>
      <c r="V2599">
        <v>48.92</v>
      </c>
      <c r="X2599" s="42"/>
      <c r="AB2599">
        <v>57</v>
      </c>
      <c r="AC2599">
        <v>46.94</v>
      </c>
      <c r="AE2599" s="74"/>
      <c r="AF2599" s="77"/>
      <c r="AH2599" s="497">
        <v>48.019999999999996</v>
      </c>
      <c r="AJ2599" s="42"/>
      <c r="AK2599" s="74"/>
      <c r="AL2599" s="77"/>
      <c r="AN2599" s="497">
        <v>50</v>
      </c>
      <c r="AP2599" s="42"/>
      <c r="AQ2599" s="74"/>
      <c r="AR2599" s="77"/>
      <c r="AT2599" s="497">
        <v>53.96</v>
      </c>
      <c r="AV2599" s="42"/>
      <c r="AW2599" s="74"/>
      <c r="AX2599" s="77"/>
      <c r="BA2599" s="497">
        <v>42.980000000000004</v>
      </c>
      <c r="BB2599" s="42"/>
      <c r="BC2599" s="74"/>
      <c r="BD2599" s="77"/>
      <c r="BF2599">
        <v>48.019999999999996</v>
      </c>
      <c r="BH2599" s="42"/>
      <c r="BI2599" s="74"/>
      <c r="BJ2599" s="77"/>
      <c r="BL2599" s="497">
        <v>80.960000000000008</v>
      </c>
      <c r="BN2599" s="42"/>
      <c r="BO2599" s="74"/>
      <c r="BP2599" s="77"/>
      <c r="BR2599" s="497">
        <v>44.06</v>
      </c>
      <c r="BT2599" s="42"/>
    </row>
    <row r="2600" spans="1:72" x14ac:dyDescent="0.25">
      <c r="A2600" s="90">
        <v>33346</v>
      </c>
      <c r="B2600" s="20">
        <v>0.58333333333333337</v>
      </c>
      <c r="D2600">
        <v>62.96</v>
      </c>
      <c r="E2600" t="str">
        <f t="shared" si="116"/>
        <v>WEEKDAY</v>
      </c>
      <c r="F2600" t="e">
        <f t="shared" si="115"/>
        <v>#N/A</v>
      </c>
      <c r="G2600" s="74">
        <v>32981</v>
      </c>
      <c r="H2600" s="77">
        <v>0.58333333333333337</v>
      </c>
      <c r="J2600">
        <v>50</v>
      </c>
      <c r="M2600" s="74">
        <v>33346</v>
      </c>
      <c r="N2600" s="77">
        <v>0.58333333333333337</v>
      </c>
      <c r="P2600">
        <v>48.019999999999996</v>
      </c>
      <c r="S2600" s="74">
        <v>33346</v>
      </c>
      <c r="T2600" s="77">
        <v>0.58333333333333337</v>
      </c>
      <c r="V2600">
        <v>48.92</v>
      </c>
      <c r="X2600" s="42"/>
      <c r="AB2600">
        <v>57.5</v>
      </c>
      <c r="AC2600">
        <v>48.92</v>
      </c>
      <c r="AE2600" s="74"/>
      <c r="AF2600" s="77"/>
      <c r="AH2600" s="497">
        <v>48.019999999999996</v>
      </c>
      <c r="AJ2600" s="42"/>
      <c r="AK2600" s="74"/>
      <c r="AL2600" s="77"/>
      <c r="AN2600" s="497">
        <v>51.08</v>
      </c>
      <c r="AP2600" s="42"/>
      <c r="AQ2600" s="74"/>
      <c r="AR2600" s="77"/>
      <c r="AT2600" s="497">
        <v>55.040000000000006</v>
      </c>
      <c r="AV2600" s="42"/>
      <c r="AW2600" s="74"/>
      <c r="AX2600" s="77"/>
      <c r="BA2600" s="497">
        <v>46.94</v>
      </c>
      <c r="BB2600" s="42"/>
      <c r="BC2600" s="74"/>
      <c r="BD2600" s="77"/>
      <c r="BF2600">
        <v>50</v>
      </c>
      <c r="BH2600" s="42"/>
      <c r="BI2600" s="74"/>
      <c r="BJ2600" s="77"/>
      <c r="BL2600" s="497">
        <v>82.94</v>
      </c>
      <c r="BN2600" s="42"/>
      <c r="BO2600" s="74"/>
      <c r="BP2600" s="77"/>
      <c r="BR2600" s="497">
        <v>41</v>
      </c>
      <c r="BT2600" s="42"/>
    </row>
    <row r="2601" spans="1:72" x14ac:dyDescent="0.25">
      <c r="A2601" s="90">
        <v>33346</v>
      </c>
      <c r="B2601" s="20">
        <v>0.625</v>
      </c>
      <c r="D2601">
        <v>64.039999999999992</v>
      </c>
      <c r="E2601" t="str">
        <f t="shared" si="116"/>
        <v>WEEKDAY</v>
      </c>
      <c r="F2601" t="e">
        <f t="shared" si="115"/>
        <v>#N/A</v>
      </c>
      <c r="G2601" s="74">
        <v>32981</v>
      </c>
      <c r="H2601" s="77">
        <v>0.625</v>
      </c>
      <c r="J2601">
        <v>50</v>
      </c>
      <c r="M2601" s="74">
        <v>33346</v>
      </c>
      <c r="N2601" s="77">
        <v>0.625</v>
      </c>
      <c r="P2601">
        <v>48.92</v>
      </c>
      <c r="S2601" s="74">
        <v>33346</v>
      </c>
      <c r="T2601" s="77">
        <v>0.625</v>
      </c>
      <c r="V2601">
        <v>50</v>
      </c>
      <c r="X2601" s="42"/>
      <c r="AB2601">
        <v>57.6</v>
      </c>
      <c r="AC2601">
        <v>50</v>
      </c>
      <c r="AE2601" s="74"/>
      <c r="AF2601" s="77"/>
      <c r="AH2601" s="497">
        <v>50</v>
      </c>
      <c r="AJ2601" s="42"/>
      <c r="AK2601" s="74"/>
      <c r="AL2601" s="77"/>
      <c r="AN2601" s="497">
        <v>51.08</v>
      </c>
      <c r="AP2601" s="42"/>
      <c r="AQ2601" s="74"/>
      <c r="AR2601" s="77"/>
      <c r="AT2601" s="497">
        <v>55.94</v>
      </c>
      <c r="AV2601" s="42"/>
      <c r="AW2601" s="74"/>
      <c r="AX2601" s="77"/>
      <c r="BA2601" s="497">
        <v>50</v>
      </c>
      <c r="BB2601" s="42"/>
      <c r="BC2601" s="74"/>
      <c r="BD2601" s="77"/>
      <c r="BF2601">
        <v>55.94</v>
      </c>
      <c r="BH2601" s="42"/>
      <c r="BI2601" s="74"/>
      <c r="BJ2601" s="77"/>
      <c r="BL2601" s="497">
        <v>80.960000000000008</v>
      </c>
      <c r="BN2601" s="42"/>
      <c r="BO2601" s="74"/>
      <c r="BP2601" s="77"/>
      <c r="BR2601" s="497">
        <v>35.06</v>
      </c>
      <c r="BT2601" s="42"/>
    </row>
    <row r="2602" spans="1:72" x14ac:dyDescent="0.25">
      <c r="A2602" s="90">
        <v>33346</v>
      </c>
      <c r="B2602" s="20">
        <v>0.66666666666666663</v>
      </c>
      <c r="D2602">
        <v>64.94</v>
      </c>
      <c r="E2602" t="str">
        <f t="shared" si="116"/>
        <v>WEEKDAY</v>
      </c>
      <c r="F2602" t="e">
        <f t="shared" si="115"/>
        <v>#N/A</v>
      </c>
      <c r="G2602" s="74">
        <v>32981</v>
      </c>
      <c r="H2602" s="77">
        <v>0.66666666666666663</v>
      </c>
      <c r="J2602">
        <v>51.08</v>
      </c>
      <c r="M2602" s="74">
        <v>33346</v>
      </c>
      <c r="N2602" s="77">
        <v>0.66666666666666663</v>
      </c>
      <c r="P2602">
        <v>48.92</v>
      </c>
      <c r="S2602" s="74">
        <v>33346</v>
      </c>
      <c r="T2602" s="77">
        <v>0.66666666666666663</v>
      </c>
      <c r="V2602">
        <v>50</v>
      </c>
      <c r="X2602" s="42"/>
      <c r="AB2602">
        <v>57.3</v>
      </c>
      <c r="AC2602">
        <v>48.92</v>
      </c>
      <c r="AE2602" s="74"/>
      <c r="AF2602" s="77"/>
      <c r="AH2602" s="497">
        <v>48.92</v>
      </c>
      <c r="AJ2602" s="42"/>
      <c r="AK2602" s="74"/>
      <c r="AL2602" s="77"/>
      <c r="AN2602" s="497">
        <v>51.980000000000004</v>
      </c>
      <c r="AP2602" s="42"/>
      <c r="AQ2602" s="74"/>
      <c r="AR2602" s="77"/>
      <c r="AT2602" s="497">
        <v>55.94</v>
      </c>
      <c r="AV2602" s="42"/>
      <c r="AW2602" s="74"/>
      <c r="AX2602" s="77"/>
      <c r="BA2602" s="497">
        <v>46.94</v>
      </c>
      <c r="BB2602" s="42"/>
      <c r="BC2602" s="74"/>
      <c r="BD2602" s="77"/>
      <c r="BF2602">
        <v>57.92</v>
      </c>
      <c r="BH2602" s="42"/>
      <c r="BI2602" s="74"/>
      <c r="BJ2602" s="77"/>
      <c r="BL2602" s="497">
        <v>78.080000000000013</v>
      </c>
      <c r="BN2602" s="42"/>
      <c r="BO2602" s="74"/>
      <c r="BP2602" s="77"/>
      <c r="BR2602" s="497">
        <v>37.04</v>
      </c>
      <c r="BT2602" s="42"/>
    </row>
    <row r="2603" spans="1:72" x14ac:dyDescent="0.25">
      <c r="A2603" s="90">
        <v>33346</v>
      </c>
      <c r="B2603" s="20">
        <v>0.70833333333333337</v>
      </c>
      <c r="D2603">
        <v>66.02</v>
      </c>
      <c r="E2603" t="str">
        <f t="shared" si="116"/>
        <v>WEEKDAY</v>
      </c>
      <c r="F2603" t="e">
        <f t="shared" ref="F2603:F2666" si="117">IF(E2603="WEEKDAY",VLOOKUP(B2603,$DD$19:$DG$42,2),IF(E2603="SATURDAY",VLOOKUP(B2603,$DD$19:$DG$42,3),VLOOKUP(B2603,$DD$19:$DG$42,4)))</f>
        <v>#N/A</v>
      </c>
      <c r="G2603" s="74">
        <v>32981</v>
      </c>
      <c r="H2603" s="77">
        <v>0.70833333333333337</v>
      </c>
      <c r="J2603">
        <v>51.08</v>
      </c>
      <c r="M2603" s="74">
        <v>33346</v>
      </c>
      <c r="N2603" s="77">
        <v>0.70833333333333337</v>
      </c>
      <c r="P2603">
        <v>48.92</v>
      </c>
      <c r="S2603" s="74">
        <v>33346</v>
      </c>
      <c r="T2603" s="77">
        <v>0.70833333333333337</v>
      </c>
      <c r="V2603">
        <v>48.92</v>
      </c>
      <c r="X2603" s="42"/>
      <c r="AB2603">
        <v>56.4</v>
      </c>
      <c r="AC2603">
        <v>48.92</v>
      </c>
      <c r="AE2603" s="74"/>
      <c r="AF2603" s="77"/>
      <c r="AH2603" s="497">
        <v>48.92</v>
      </c>
      <c r="AJ2603" s="42"/>
      <c r="AK2603" s="74"/>
      <c r="AL2603" s="77"/>
      <c r="AN2603" s="497">
        <v>53.06</v>
      </c>
      <c r="AP2603" s="42"/>
      <c r="AQ2603" s="74"/>
      <c r="AR2603" s="77"/>
      <c r="AT2603" s="497">
        <v>55.94</v>
      </c>
      <c r="AV2603" s="42"/>
      <c r="AW2603" s="74"/>
      <c r="AX2603" s="77"/>
      <c r="BA2603" s="497">
        <v>46.94</v>
      </c>
      <c r="BB2603" s="42"/>
      <c r="BC2603" s="74"/>
      <c r="BD2603" s="77"/>
      <c r="BF2603">
        <v>57.019999999999996</v>
      </c>
      <c r="BH2603" s="42"/>
      <c r="BI2603" s="74"/>
      <c r="BJ2603" s="77"/>
      <c r="BL2603" s="497">
        <v>77</v>
      </c>
      <c r="BN2603" s="42"/>
      <c r="BO2603" s="74"/>
      <c r="BP2603" s="77"/>
      <c r="BR2603" s="497">
        <v>42.08</v>
      </c>
      <c r="BT2603" s="42"/>
    </row>
    <row r="2604" spans="1:72" x14ac:dyDescent="0.25">
      <c r="A2604" s="90">
        <v>33346</v>
      </c>
      <c r="B2604" s="20">
        <v>0.75</v>
      </c>
      <c r="D2604">
        <v>66.02</v>
      </c>
      <c r="E2604" t="str">
        <f t="shared" si="116"/>
        <v>WEEKDAY</v>
      </c>
      <c r="F2604" t="e">
        <f t="shared" si="117"/>
        <v>#N/A</v>
      </c>
      <c r="G2604" s="74">
        <v>32981</v>
      </c>
      <c r="H2604" s="77">
        <v>0.75</v>
      </c>
      <c r="J2604">
        <v>50</v>
      </c>
      <c r="M2604" s="74">
        <v>33346</v>
      </c>
      <c r="N2604" s="77">
        <v>0.75</v>
      </c>
      <c r="P2604">
        <v>48.019999999999996</v>
      </c>
      <c r="S2604" s="74">
        <v>33346</v>
      </c>
      <c r="T2604" s="77">
        <v>0.75</v>
      </c>
      <c r="V2604">
        <v>48.92</v>
      </c>
      <c r="X2604" s="42"/>
      <c r="AB2604">
        <v>55.3</v>
      </c>
      <c r="AC2604">
        <v>48.019999999999996</v>
      </c>
      <c r="AE2604" s="74"/>
      <c r="AF2604" s="77"/>
      <c r="AH2604" s="497">
        <v>48.019999999999996</v>
      </c>
      <c r="AJ2604" s="42"/>
      <c r="AK2604" s="74"/>
      <c r="AL2604" s="77"/>
      <c r="AN2604" s="497">
        <v>51.08</v>
      </c>
      <c r="AP2604" s="42"/>
      <c r="AQ2604" s="74"/>
      <c r="AR2604" s="77"/>
      <c r="AT2604" s="497">
        <v>55.040000000000006</v>
      </c>
      <c r="AV2604" s="42"/>
      <c r="AW2604" s="74"/>
      <c r="AX2604" s="77"/>
      <c r="BA2604" s="497">
        <v>46.94</v>
      </c>
      <c r="BB2604" s="42"/>
      <c r="BC2604" s="74"/>
      <c r="BD2604" s="77"/>
      <c r="BF2604">
        <v>50</v>
      </c>
      <c r="BH2604" s="42"/>
      <c r="BI2604" s="74"/>
      <c r="BJ2604" s="77"/>
      <c r="BL2604" s="497">
        <v>75.92</v>
      </c>
      <c r="BN2604" s="42"/>
      <c r="BO2604" s="74"/>
      <c r="BP2604" s="77"/>
      <c r="BR2604" s="497">
        <v>37.04</v>
      </c>
      <c r="BT2604" s="42"/>
    </row>
    <row r="2605" spans="1:72" x14ac:dyDescent="0.25">
      <c r="A2605" s="90">
        <v>33346</v>
      </c>
      <c r="B2605" s="20">
        <v>0.79166666666666663</v>
      </c>
      <c r="D2605">
        <v>66.02</v>
      </c>
      <c r="E2605" t="str">
        <f t="shared" si="116"/>
        <v>WEEKDAY</v>
      </c>
      <c r="F2605" t="e">
        <f t="shared" si="117"/>
        <v>#N/A</v>
      </c>
      <c r="G2605" s="74">
        <v>32981</v>
      </c>
      <c r="H2605" s="77">
        <v>0.79166666666666663</v>
      </c>
      <c r="J2605">
        <v>48.92</v>
      </c>
      <c r="M2605" s="74">
        <v>33346</v>
      </c>
      <c r="N2605" s="77">
        <v>0.79166666666666663</v>
      </c>
      <c r="P2605">
        <v>48.019999999999996</v>
      </c>
      <c r="S2605" s="74">
        <v>33346</v>
      </c>
      <c r="T2605" s="77">
        <v>0.79166666666666663</v>
      </c>
      <c r="V2605">
        <v>48.92</v>
      </c>
      <c r="X2605" s="42"/>
      <c r="AB2605">
        <v>53.8</v>
      </c>
      <c r="AC2605">
        <v>46.94</v>
      </c>
      <c r="AE2605" s="74"/>
      <c r="AF2605" s="77"/>
      <c r="AH2605" s="497">
        <v>46.94</v>
      </c>
      <c r="AJ2605" s="42"/>
      <c r="AK2605" s="74"/>
      <c r="AL2605" s="77"/>
      <c r="AN2605" s="497">
        <v>48.019999999999996</v>
      </c>
      <c r="AP2605" s="42"/>
      <c r="AQ2605" s="74"/>
      <c r="AR2605" s="77"/>
      <c r="AT2605" s="497">
        <v>50</v>
      </c>
      <c r="AV2605" s="42"/>
      <c r="AW2605" s="74"/>
      <c r="AX2605" s="77"/>
      <c r="BA2605" s="497">
        <v>48.019999999999996</v>
      </c>
      <c r="BB2605" s="42"/>
      <c r="BC2605" s="74"/>
      <c r="BD2605" s="77"/>
      <c r="BF2605">
        <v>46.04</v>
      </c>
      <c r="BH2605" s="42"/>
      <c r="BI2605" s="74"/>
      <c r="BJ2605" s="77"/>
      <c r="BL2605" s="497">
        <v>73.94</v>
      </c>
      <c r="BN2605" s="42"/>
      <c r="BO2605" s="74"/>
      <c r="BP2605" s="77"/>
      <c r="BR2605" s="497">
        <v>35.96</v>
      </c>
      <c r="BT2605" s="42"/>
    </row>
    <row r="2606" spans="1:72" x14ac:dyDescent="0.25">
      <c r="A2606" s="90">
        <v>33346</v>
      </c>
      <c r="B2606" s="20">
        <v>0.83333333333333337</v>
      </c>
      <c r="D2606">
        <v>64.039999999999992</v>
      </c>
      <c r="E2606" t="str">
        <f t="shared" si="116"/>
        <v>WEEKDAY</v>
      </c>
      <c r="F2606" t="e">
        <f t="shared" si="117"/>
        <v>#N/A</v>
      </c>
      <c r="G2606" s="74">
        <v>32981</v>
      </c>
      <c r="H2606" s="77">
        <v>0.83333333333333337</v>
      </c>
      <c r="J2606">
        <v>48.019999999999996</v>
      </c>
      <c r="M2606" s="74">
        <v>33346</v>
      </c>
      <c r="N2606" s="77">
        <v>0.83333333333333337</v>
      </c>
      <c r="P2606">
        <v>46.94</v>
      </c>
      <c r="S2606" s="74">
        <v>33346</v>
      </c>
      <c r="T2606" s="77">
        <v>0.83333333333333337</v>
      </c>
      <c r="V2606">
        <v>48.92</v>
      </c>
      <c r="X2606" s="42"/>
      <c r="AB2606">
        <v>52.4</v>
      </c>
      <c r="AC2606">
        <v>44.96</v>
      </c>
      <c r="AE2606" s="74"/>
      <c r="AF2606" s="77"/>
      <c r="AH2606" s="497">
        <v>46.94</v>
      </c>
      <c r="AJ2606" s="42"/>
      <c r="AK2606" s="74"/>
      <c r="AL2606" s="77"/>
      <c r="AN2606" s="497">
        <v>46.04</v>
      </c>
      <c r="AP2606" s="42"/>
      <c r="AQ2606" s="74"/>
      <c r="AR2606" s="77"/>
      <c r="AT2606" s="497">
        <v>44.96</v>
      </c>
      <c r="AV2606" s="42"/>
      <c r="AW2606" s="74"/>
      <c r="AX2606" s="77"/>
      <c r="BA2606" s="497">
        <v>46.04</v>
      </c>
      <c r="BB2606" s="42"/>
      <c r="BC2606" s="74"/>
      <c r="BD2606" s="77"/>
      <c r="BF2606">
        <v>44.06</v>
      </c>
      <c r="BH2606" s="42"/>
      <c r="BI2606" s="74"/>
      <c r="BJ2606" s="77"/>
      <c r="BL2606" s="497">
        <v>71.960000000000008</v>
      </c>
      <c r="BN2606" s="42"/>
      <c r="BO2606" s="74"/>
      <c r="BP2606" s="77"/>
      <c r="BR2606" s="497">
        <v>35.96</v>
      </c>
      <c r="BT2606" s="42"/>
    </row>
    <row r="2607" spans="1:72" x14ac:dyDescent="0.25">
      <c r="A2607" s="90">
        <v>33346</v>
      </c>
      <c r="B2607" s="20">
        <v>0.875</v>
      </c>
      <c r="D2607">
        <v>62.96</v>
      </c>
      <c r="E2607" t="str">
        <f t="shared" si="116"/>
        <v>WEEKDAY</v>
      </c>
      <c r="F2607" t="e">
        <f t="shared" si="117"/>
        <v>#N/A</v>
      </c>
      <c r="G2607" s="74">
        <v>32981</v>
      </c>
      <c r="H2607" s="77">
        <v>0.875</v>
      </c>
      <c r="J2607">
        <v>46.94</v>
      </c>
      <c r="M2607" s="74">
        <v>33346</v>
      </c>
      <c r="N2607" s="77">
        <v>0.875</v>
      </c>
      <c r="P2607">
        <v>46.04</v>
      </c>
      <c r="S2607" s="74">
        <v>33346</v>
      </c>
      <c r="T2607" s="77">
        <v>0.875</v>
      </c>
      <c r="V2607">
        <v>44.96</v>
      </c>
      <c r="X2607" s="42"/>
      <c r="AB2607">
        <v>51.6</v>
      </c>
      <c r="AC2607">
        <v>44.06</v>
      </c>
      <c r="AE2607" s="74"/>
      <c r="AF2607" s="77"/>
      <c r="AH2607" s="497">
        <v>46.04</v>
      </c>
      <c r="AJ2607" s="42"/>
      <c r="AK2607" s="74"/>
      <c r="AL2607" s="77"/>
      <c r="AN2607" s="497">
        <v>46.04</v>
      </c>
      <c r="AP2607" s="42"/>
      <c r="AQ2607" s="74"/>
      <c r="AR2607" s="77"/>
      <c r="AT2607" s="497">
        <v>42.980000000000004</v>
      </c>
      <c r="AV2607" s="42"/>
      <c r="AW2607" s="74"/>
      <c r="AX2607" s="77"/>
      <c r="BA2607" s="497">
        <v>46.04</v>
      </c>
      <c r="BB2607" s="42"/>
      <c r="BC2607" s="74"/>
      <c r="BD2607" s="77"/>
      <c r="BF2607">
        <v>42.980000000000004</v>
      </c>
      <c r="BH2607" s="42"/>
      <c r="BI2607" s="74"/>
      <c r="BJ2607" s="77"/>
      <c r="BL2607" s="497">
        <v>71.06</v>
      </c>
      <c r="BN2607" s="42"/>
      <c r="BO2607" s="74"/>
      <c r="BP2607" s="77"/>
      <c r="BR2607" s="497">
        <v>37.04</v>
      </c>
      <c r="BT2607" s="42"/>
    </row>
    <row r="2608" spans="1:72" x14ac:dyDescent="0.25">
      <c r="A2608" s="90">
        <v>33346</v>
      </c>
      <c r="B2608" s="20">
        <v>0.91666666666666663</v>
      </c>
      <c r="D2608">
        <v>62.96</v>
      </c>
      <c r="E2608" t="str">
        <f t="shared" si="116"/>
        <v>WEEKDAY</v>
      </c>
      <c r="F2608" t="e">
        <f t="shared" si="117"/>
        <v>#N/A</v>
      </c>
      <c r="G2608" s="74">
        <v>32981</v>
      </c>
      <c r="H2608" s="77">
        <v>0.91666666666666663</v>
      </c>
      <c r="J2608">
        <v>46.04</v>
      </c>
      <c r="M2608" s="74">
        <v>33346</v>
      </c>
      <c r="N2608" s="77">
        <v>0.91666666666666663</v>
      </c>
      <c r="P2608">
        <v>44.96</v>
      </c>
      <c r="S2608" s="74">
        <v>33346</v>
      </c>
      <c r="T2608" s="77">
        <v>0.91666666666666663</v>
      </c>
      <c r="V2608">
        <v>44.96</v>
      </c>
      <c r="X2608" s="42"/>
      <c r="AB2608">
        <v>51</v>
      </c>
      <c r="AC2608">
        <v>42.08</v>
      </c>
      <c r="AE2608" s="74"/>
      <c r="AF2608" s="77"/>
      <c r="AH2608" s="497">
        <v>44.96</v>
      </c>
      <c r="AJ2608" s="42"/>
      <c r="AK2608" s="74"/>
      <c r="AL2608" s="77"/>
      <c r="AN2608" s="497">
        <v>44.96</v>
      </c>
      <c r="AP2608" s="42"/>
      <c r="AQ2608" s="74"/>
      <c r="AR2608" s="77"/>
      <c r="AT2608" s="497">
        <v>42.08</v>
      </c>
      <c r="AV2608" s="42"/>
      <c r="AW2608" s="74"/>
      <c r="AX2608" s="77"/>
      <c r="BA2608" s="497">
        <v>46.04</v>
      </c>
      <c r="BB2608" s="42"/>
      <c r="BC2608" s="74"/>
      <c r="BD2608" s="77"/>
      <c r="BF2608">
        <v>44.06</v>
      </c>
      <c r="BH2608" s="42"/>
      <c r="BI2608" s="74"/>
      <c r="BJ2608" s="77"/>
      <c r="BL2608" s="497">
        <v>68</v>
      </c>
      <c r="BN2608" s="42"/>
      <c r="BO2608" s="74"/>
      <c r="BP2608" s="77"/>
      <c r="BR2608" s="497">
        <v>35.06</v>
      </c>
      <c r="BT2608" s="42"/>
    </row>
    <row r="2609" spans="1:72" x14ac:dyDescent="0.25">
      <c r="A2609" s="90">
        <v>33346</v>
      </c>
      <c r="B2609" s="20">
        <v>0.95833333333333337</v>
      </c>
      <c r="D2609">
        <v>62.06</v>
      </c>
      <c r="E2609" t="str">
        <f t="shared" si="116"/>
        <v>WEEKDAY</v>
      </c>
      <c r="F2609" t="e">
        <f t="shared" si="117"/>
        <v>#N/A</v>
      </c>
      <c r="G2609" s="74">
        <v>32981</v>
      </c>
      <c r="H2609" s="77">
        <v>0.95833333333333337</v>
      </c>
      <c r="J2609">
        <v>44.96</v>
      </c>
      <c r="M2609" s="74">
        <v>33346</v>
      </c>
      <c r="N2609" s="77">
        <v>0.95833333333333337</v>
      </c>
      <c r="P2609">
        <v>44.06</v>
      </c>
      <c r="S2609" s="74">
        <v>33346</v>
      </c>
      <c r="T2609" s="77">
        <v>0.95833333333333337</v>
      </c>
      <c r="V2609">
        <v>46.04</v>
      </c>
      <c r="X2609" s="42"/>
      <c r="AB2609">
        <v>50.4</v>
      </c>
      <c r="AC2609">
        <v>39.019999999999996</v>
      </c>
      <c r="AE2609" s="74"/>
      <c r="AF2609" s="77"/>
      <c r="AH2609" s="497">
        <v>44.06</v>
      </c>
      <c r="AJ2609" s="42"/>
      <c r="AK2609" s="74"/>
      <c r="AL2609" s="77"/>
      <c r="AN2609" s="497">
        <v>42.08</v>
      </c>
      <c r="AP2609" s="42"/>
      <c r="AQ2609" s="74"/>
      <c r="AR2609" s="77"/>
      <c r="AT2609" s="497">
        <v>39.92</v>
      </c>
      <c r="AV2609" s="42"/>
      <c r="AW2609" s="74"/>
      <c r="AX2609" s="77"/>
      <c r="BA2609" s="497">
        <v>44.96</v>
      </c>
      <c r="BB2609" s="42"/>
      <c r="BC2609" s="74"/>
      <c r="BD2609" s="77"/>
      <c r="BF2609">
        <v>42.980000000000004</v>
      </c>
      <c r="BH2609" s="42"/>
      <c r="BI2609" s="74"/>
      <c r="BJ2609" s="77"/>
      <c r="BL2609" s="497">
        <v>66.92</v>
      </c>
      <c r="BN2609" s="42"/>
      <c r="BO2609" s="74"/>
      <c r="BP2609" s="77"/>
      <c r="BR2609" s="497">
        <v>35.96</v>
      </c>
      <c r="BT2609" s="42"/>
    </row>
    <row r="2610" spans="1:72" x14ac:dyDescent="0.25">
      <c r="A2610" s="90">
        <v>33346</v>
      </c>
      <c r="B2610" s="20">
        <v>1</v>
      </c>
      <c r="D2610">
        <v>62.06</v>
      </c>
      <c r="E2610" t="str">
        <f t="shared" si="116"/>
        <v>WEEKDAY</v>
      </c>
      <c r="F2610" t="e">
        <f t="shared" si="117"/>
        <v>#N/A</v>
      </c>
      <c r="G2610" s="74">
        <v>32981</v>
      </c>
      <c r="H2610" s="77">
        <v>1</v>
      </c>
      <c r="J2610">
        <v>44.96</v>
      </c>
      <c r="M2610" s="74">
        <v>33346</v>
      </c>
      <c r="N2610" s="80">
        <v>1</v>
      </c>
      <c r="P2610">
        <v>44.06</v>
      </c>
      <c r="S2610" s="74">
        <v>33346</v>
      </c>
      <c r="T2610" s="80">
        <v>1</v>
      </c>
      <c r="V2610">
        <v>44.06</v>
      </c>
      <c r="X2610" s="42"/>
      <c r="AB2610">
        <v>49.9</v>
      </c>
      <c r="AC2610">
        <v>37.94</v>
      </c>
      <c r="AE2610" s="74"/>
      <c r="AF2610" s="80"/>
      <c r="AH2610" s="497">
        <v>44.06</v>
      </c>
      <c r="AJ2610" s="42"/>
      <c r="AK2610" s="74"/>
      <c r="AL2610" s="80"/>
      <c r="AN2610" s="497">
        <v>41</v>
      </c>
      <c r="AP2610" s="42"/>
      <c r="AQ2610" s="74"/>
      <c r="AR2610" s="80"/>
      <c r="AT2610" s="497">
        <v>39.92</v>
      </c>
      <c r="AV2610" s="42"/>
      <c r="AW2610" s="74"/>
      <c r="AX2610" s="80"/>
      <c r="BA2610" s="497">
        <v>44.96</v>
      </c>
      <c r="BB2610" s="42"/>
      <c r="BC2610" s="74"/>
      <c r="BD2610" s="80"/>
      <c r="BF2610">
        <v>41</v>
      </c>
      <c r="BH2610" s="42"/>
      <c r="BI2610" s="74"/>
      <c r="BJ2610" s="80"/>
      <c r="BL2610" s="497">
        <v>64.94</v>
      </c>
      <c r="BN2610" s="42"/>
      <c r="BO2610" s="74"/>
      <c r="BP2610" s="80"/>
      <c r="BR2610" s="497">
        <v>35.96</v>
      </c>
      <c r="BT2610" s="42"/>
    </row>
    <row r="2611" spans="1:72" x14ac:dyDescent="0.25">
      <c r="A2611" s="90">
        <v>33347</v>
      </c>
      <c r="B2611" s="20">
        <v>4.1666666666666664E-2</v>
      </c>
      <c r="D2611">
        <v>60.980000000000004</v>
      </c>
      <c r="E2611" t="str">
        <f t="shared" si="116"/>
        <v>WEEKDAY</v>
      </c>
      <c r="F2611" t="e">
        <f t="shared" si="117"/>
        <v>#N/A</v>
      </c>
      <c r="G2611" s="74">
        <v>32982</v>
      </c>
      <c r="H2611" s="77">
        <v>4.1666666666666664E-2</v>
      </c>
      <c r="J2611">
        <v>44.06</v>
      </c>
      <c r="M2611" s="74">
        <v>33347</v>
      </c>
      <c r="N2611" s="77">
        <v>4.1666666666666664E-2</v>
      </c>
      <c r="P2611">
        <v>41.36</v>
      </c>
      <c r="S2611" s="74">
        <v>33347</v>
      </c>
      <c r="T2611" s="77">
        <v>4.1666666666666664E-2</v>
      </c>
      <c r="V2611">
        <v>42.08</v>
      </c>
      <c r="X2611" s="42"/>
      <c r="AB2611">
        <v>49.3</v>
      </c>
      <c r="AC2611">
        <v>39.019999999999996</v>
      </c>
      <c r="AE2611" s="74"/>
      <c r="AF2611" s="77"/>
      <c r="AH2611" s="497">
        <v>42.08</v>
      </c>
      <c r="AJ2611" s="42"/>
      <c r="AK2611" s="74"/>
      <c r="AL2611" s="77"/>
      <c r="AN2611" s="497">
        <v>39.92</v>
      </c>
      <c r="AP2611" s="42"/>
      <c r="AQ2611" s="74"/>
      <c r="AR2611" s="77"/>
      <c r="AT2611" s="497">
        <v>46.94</v>
      </c>
      <c r="AV2611" s="42"/>
      <c r="AW2611" s="74"/>
      <c r="AX2611" s="77"/>
      <c r="BA2611" s="497">
        <v>42.980000000000004</v>
      </c>
      <c r="BB2611" s="42"/>
      <c r="BC2611" s="74"/>
      <c r="BD2611" s="77"/>
      <c r="BF2611">
        <v>41</v>
      </c>
      <c r="BH2611" s="42"/>
      <c r="BI2611" s="74"/>
      <c r="BJ2611" s="77"/>
      <c r="BL2611" s="497">
        <v>66.02</v>
      </c>
      <c r="BN2611" s="42"/>
      <c r="BO2611" s="74"/>
      <c r="BP2611" s="77"/>
      <c r="BR2611" s="497">
        <v>37.04</v>
      </c>
      <c r="BT2611" s="42"/>
    </row>
    <row r="2612" spans="1:72" x14ac:dyDescent="0.25">
      <c r="A2612" s="90">
        <v>33347</v>
      </c>
      <c r="B2612" s="20">
        <v>8.3333333333333329E-2</v>
      </c>
      <c r="D2612">
        <v>57.019999999999996</v>
      </c>
      <c r="E2612" t="str">
        <f t="shared" si="116"/>
        <v>WEEKDAY</v>
      </c>
      <c r="F2612" t="e">
        <f t="shared" si="117"/>
        <v>#N/A</v>
      </c>
      <c r="G2612" s="74">
        <v>32982</v>
      </c>
      <c r="H2612" s="77">
        <v>8.3333333333333329E-2</v>
      </c>
      <c r="J2612">
        <v>44.06</v>
      </c>
      <c r="M2612" s="74">
        <v>33347</v>
      </c>
      <c r="N2612" s="77">
        <v>8.3333333333333329E-2</v>
      </c>
      <c r="P2612">
        <v>39.56</v>
      </c>
      <c r="S2612" s="74">
        <v>33347</v>
      </c>
      <c r="T2612" s="77">
        <v>8.3333333333333329E-2</v>
      </c>
      <c r="V2612">
        <v>39.92</v>
      </c>
      <c r="X2612" s="42"/>
      <c r="AB2612">
        <v>48.8</v>
      </c>
      <c r="AC2612">
        <v>37.94</v>
      </c>
      <c r="AE2612" s="74"/>
      <c r="AF2612" s="77"/>
      <c r="AH2612" s="497">
        <v>42.08</v>
      </c>
      <c r="AJ2612" s="42"/>
      <c r="AK2612" s="74"/>
      <c r="AL2612" s="77"/>
      <c r="AN2612" s="497">
        <v>37.94</v>
      </c>
      <c r="AP2612" s="42"/>
      <c r="AQ2612" s="74"/>
      <c r="AR2612" s="77"/>
      <c r="AT2612" s="497">
        <v>50</v>
      </c>
      <c r="AV2612" s="42"/>
      <c r="AW2612" s="74"/>
      <c r="AX2612" s="77"/>
      <c r="BA2612" s="497">
        <v>42.08</v>
      </c>
      <c r="BB2612" s="42"/>
      <c r="BC2612" s="74"/>
      <c r="BD2612" s="77"/>
      <c r="BF2612">
        <v>39.019999999999996</v>
      </c>
      <c r="BH2612" s="42"/>
      <c r="BI2612" s="74"/>
      <c r="BJ2612" s="77"/>
      <c r="BL2612" s="497">
        <v>68</v>
      </c>
      <c r="BN2612" s="42"/>
      <c r="BO2612" s="74"/>
      <c r="BP2612" s="77"/>
      <c r="BR2612" s="497">
        <v>35.96</v>
      </c>
      <c r="BT2612" s="42"/>
    </row>
    <row r="2613" spans="1:72" x14ac:dyDescent="0.25">
      <c r="A2613" s="90">
        <v>33347</v>
      </c>
      <c r="B2613" s="20">
        <v>0.125</v>
      </c>
      <c r="D2613">
        <v>55.040000000000006</v>
      </c>
      <c r="E2613" t="str">
        <f t="shared" si="116"/>
        <v>WEEKDAY</v>
      </c>
      <c r="F2613" t="e">
        <f t="shared" si="117"/>
        <v>#N/A</v>
      </c>
      <c r="G2613" s="74">
        <v>32982</v>
      </c>
      <c r="H2613" s="77">
        <v>0.125</v>
      </c>
      <c r="J2613">
        <v>42.980000000000004</v>
      </c>
      <c r="M2613" s="74">
        <v>33347</v>
      </c>
      <c r="N2613" s="77">
        <v>0.125</v>
      </c>
      <c r="P2613">
        <v>37.04</v>
      </c>
      <c r="S2613" s="74">
        <v>33347</v>
      </c>
      <c r="T2613" s="77">
        <v>0.125</v>
      </c>
      <c r="V2613">
        <v>39.92</v>
      </c>
      <c r="X2613" s="42"/>
      <c r="AB2613">
        <v>48.4</v>
      </c>
      <c r="AC2613">
        <v>35.06</v>
      </c>
      <c r="AE2613" s="74"/>
      <c r="AF2613" s="77"/>
      <c r="AH2613" s="497">
        <v>39.019999999999996</v>
      </c>
      <c r="AJ2613" s="42"/>
      <c r="AK2613" s="74"/>
      <c r="AL2613" s="77"/>
      <c r="AN2613" s="497">
        <v>37.94</v>
      </c>
      <c r="AP2613" s="42"/>
      <c r="AQ2613" s="74"/>
      <c r="AR2613" s="77"/>
      <c r="AT2613" s="497">
        <v>46.94</v>
      </c>
      <c r="AV2613" s="42"/>
      <c r="AW2613" s="74"/>
      <c r="AX2613" s="77"/>
      <c r="BA2613" s="497">
        <v>42.08</v>
      </c>
      <c r="BB2613" s="42"/>
      <c r="BC2613" s="74"/>
      <c r="BD2613" s="77"/>
      <c r="BF2613">
        <v>37.04</v>
      </c>
      <c r="BH2613" s="42"/>
      <c r="BI2613" s="74"/>
      <c r="BJ2613" s="77"/>
      <c r="BL2613" s="497">
        <v>68</v>
      </c>
      <c r="BN2613" s="42"/>
      <c r="BO2613" s="74"/>
      <c r="BP2613" s="77"/>
      <c r="BR2613" s="497">
        <v>35.06</v>
      </c>
      <c r="BT2613" s="42"/>
    </row>
    <row r="2614" spans="1:72" x14ac:dyDescent="0.25">
      <c r="A2614" s="90">
        <v>33347</v>
      </c>
      <c r="B2614" s="20">
        <v>0.16666666666666666</v>
      </c>
      <c r="D2614">
        <v>53.96</v>
      </c>
      <c r="E2614" t="str">
        <f t="shared" si="116"/>
        <v>WEEKDAY</v>
      </c>
      <c r="F2614" t="e">
        <f t="shared" si="117"/>
        <v>#N/A</v>
      </c>
      <c r="G2614" s="74">
        <v>32982</v>
      </c>
      <c r="H2614" s="77">
        <v>0.16666666666666666</v>
      </c>
      <c r="J2614">
        <v>42.980000000000004</v>
      </c>
      <c r="M2614" s="74">
        <v>33347</v>
      </c>
      <c r="N2614" s="77">
        <v>0.16666666666666666</v>
      </c>
      <c r="P2614">
        <v>35.06</v>
      </c>
      <c r="S2614" s="74">
        <v>33347</v>
      </c>
      <c r="T2614" s="77">
        <v>0.16666666666666666</v>
      </c>
      <c r="V2614">
        <v>37.94</v>
      </c>
      <c r="X2614" s="42"/>
      <c r="AB2614">
        <v>47.9</v>
      </c>
      <c r="AC2614">
        <v>35.06</v>
      </c>
      <c r="AE2614" s="74"/>
      <c r="AF2614" s="77"/>
      <c r="AH2614" s="497">
        <v>37.04</v>
      </c>
      <c r="AJ2614" s="42"/>
      <c r="AK2614" s="74"/>
      <c r="AL2614" s="77"/>
      <c r="AN2614" s="497">
        <v>37.94</v>
      </c>
      <c r="AP2614" s="42"/>
      <c r="AQ2614" s="74"/>
      <c r="AR2614" s="77"/>
      <c r="AT2614" s="497">
        <v>46.94</v>
      </c>
      <c r="AV2614" s="42"/>
      <c r="AW2614" s="74"/>
      <c r="AX2614" s="77"/>
      <c r="BA2614" s="497">
        <v>39.92</v>
      </c>
      <c r="BB2614" s="42"/>
      <c r="BC2614" s="74"/>
      <c r="BD2614" s="77"/>
      <c r="BF2614">
        <v>35.96</v>
      </c>
      <c r="BH2614" s="42"/>
      <c r="BI2614" s="74"/>
      <c r="BJ2614" s="77"/>
      <c r="BL2614" s="497">
        <v>69.080000000000013</v>
      </c>
      <c r="BN2614" s="42"/>
      <c r="BO2614" s="74"/>
      <c r="BP2614" s="77"/>
      <c r="BR2614" s="497">
        <v>33.979999999999997</v>
      </c>
      <c r="BT2614" s="42"/>
    </row>
    <row r="2615" spans="1:72" x14ac:dyDescent="0.25">
      <c r="A2615" s="90">
        <v>33347</v>
      </c>
      <c r="B2615" s="20">
        <v>0.20833333333333334</v>
      </c>
      <c r="D2615">
        <v>53.06</v>
      </c>
      <c r="E2615" t="str">
        <f t="shared" si="116"/>
        <v>WEEKDAY</v>
      </c>
      <c r="F2615" t="e">
        <f t="shared" si="117"/>
        <v>#N/A</v>
      </c>
      <c r="G2615" s="74">
        <v>32982</v>
      </c>
      <c r="H2615" s="77">
        <v>0.20833333333333334</v>
      </c>
      <c r="J2615">
        <v>42.08</v>
      </c>
      <c r="M2615" s="74">
        <v>33347</v>
      </c>
      <c r="N2615" s="77">
        <v>0.20833333333333334</v>
      </c>
      <c r="P2615">
        <v>35.06</v>
      </c>
      <c r="S2615" s="74">
        <v>33347</v>
      </c>
      <c r="T2615" s="77">
        <v>0.20833333333333334</v>
      </c>
      <c r="V2615">
        <v>37.94</v>
      </c>
      <c r="X2615" s="42"/>
      <c r="AB2615">
        <v>47.4</v>
      </c>
      <c r="AC2615">
        <v>33.979999999999997</v>
      </c>
      <c r="AE2615" s="74"/>
      <c r="AF2615" s="77"/>
      <c r="AH2615" s="497">
        <v>33.979999999999997</v>
      </c>
      <c r="AJ2615" s="42"/>
      <c r="AK2615" s="74"/>
      <c r="AL2615" s="77"/>
      <c r="AN2615" s="497">
        <v>37.04</v>
      </c>
      <c r="AP2615" s="42"/>
      <c r="AQ2615" s="74"/>
      <c r="AR2615" s="77"/>
      <c r="AT2615" s="497">
        <v>48.92</v>
      </c>
      <c r="AV2615" s="42"/>
      <c r="AW2615" s="74"/>
      <c r="AX2615" s="77"/>
      <c r="BA2615" s="497">
        <v>39.92</v>
      </c>
      <c r="BB2615" s="42"/>
      <c r="BC2615" s="74"/>
      <c r="BD2615" s="77"/>
      <c r="BF2615">
        <v>35.96</v>
      </c>
      <c r="BH2615" s="42"/>
      <c r="BI2615" s="74"/>
      <c r="BJ2615" s="77"/>
      <c r="BL2615" s="497">
        <v>69.080000000000013</v>
      </c>
      <c r="BN2615" s="42"/>
      <c r="BO2615" s="74"/>
      <c r="BP2615" s="77"/>
      <c r="BR2615" s="497">
        <v>35.06</v>
      </c>
      <c r="BT2615" s="42"/>
    </row>
    <row r="2616" spans="1:72" x14ac:dyDescent="0.25">
      <c r="A2616" s="90">
        <v>33347</v>
      </c>
      <c r="B2616" s="20">
        <v>0.25</v>
      </c>
      <c r="D2616">
        <v>51.980000000000004</v>
      </c>
      <c r="E2616" t="str">
        <f t="shared" si="116"/>
        <v>WEEKDAY</v>
      </c>
      <c r="F2616" t="e">
        <f t="shared" si="117"/>
        <v>#N/A</v>
      </c>
      <c r="G2616" s="74">
        <v>32982</v>
      </c>
      <c r="H2616" s="77">
        <v>0.25</v>
      </c>
      <c r="J2616">
        <v>44.06</v>
      </c>
      <c r="M2616" s="74">
        <v>33347</v>
      </c>
      <c r="N2616" s="77">
        <v>0.25</v>
      </c>
      <c r="P2616">
        <v>35.96</v>
      </c>
      <c r="S2616" s="74">
        <v>33347</v>
      </c>
      <c r="T2616" s="77">
        <v>0.25</v>
      </c>
      <c r="V2616">
        <v>39.019999999999996</v>
      </c>
      <c r="X2616" s="42"/>
      <c r="AB2616">
        <v>47.2</v>
      </c>
      <c r="AC2616">
        <v>37.04</v>
      </c>
      <c r="AE2616" s="74"/>
      <c r="AF2616" s="77"/>
      <c r="AH2616" s="497">
        <v>31.1</v>
      </c>
      <c r="AJ2616" s="42"/>
      <c r="AK2616" s="74"/>
      <c r="AL2616" s="77"/>
      <c r="AN2616" s="497">
        <v>37.04</v>
      </c>
      <c r="AP2616" s="42"/>
      <c r="AQ2616" s="74"/>
      <c r="AR2616" s="77"/>
      <c r="AT2616" s="497">
        <v>50</v>
      </c>
      <c r="AV2616" s="42"/>
      <c r="AW2616" s="74"/>
      <c r="AX2616" s="77"/>
      <c r="BA2616" s="497">
        <v>39.92</v>
      </c>
      <c r="BB2616" s="42"/>
      <c r="BC2616" s="74"/>
      <c r="BD2616" s="77"/>
      <c r="BF2616">
        <v>35.06</v>
      </c>
      <c r="BH2616" s="42"/>
      <c r="BI2616" s="74"/>
      <c r="BJ2616" s="77"/>
      <c r="BL2616" s="497">
        <v>69.080000000000013</v>
      </c>
      <c r="BN2616" s="42"/>
      <c r="BO2616" s="74"/>
      <c r="BP2616" s="77"/>
      <c r="BR2616" s="497">
        <v>37.04</v>
      </c>
      <c r="BT2616" s="42"/>
    </row>
    <row r="2617" spans="1:72" x14ac:dyDescent="0.25">
      <c r="A2617" s="90">
        <v>33347</v>
      </c>
      <c r="B2617" s="20">
        <v>0.29166666666666669</v>
      </c>
      <c r="D2617">
        <v>55.94</v>
      </c>
      <c r="E2617" t="str">
        <f t="shared" si="116"/>
        <v>WEEKDAY</v>
      </c>
      <c r="F2617" t="e">
        <f t="shared" si="117"/>
        <v>#N/A</v>
      </c>
      <c r="G2617" s="74">
        <v>32982</v>
      </c>
      <c r="H2617" s="77">
        <v>0.29166666666666669</v>
      </c>
      <c r="J2617">
        <v>48.019999999999996</v>
      </c>
      <c r="M2617" s="74">
        <v>33347</v>
      </c>
      <c r="N2617" s="77">
        <v>0.29166666666666669</v>
      </c>
      <c r="P2617">
        <v>39.92</v>
      </c>
      <c r="S2617" s="74">
        <v>33347</v>
      </c>
      <c r="T2617" s="77">
        <v>0.29166666666666669</v>
      </c>
      <c r="V2617">
        <v>41</v>
      </c>
      <c r="X2617" s="42"/>
      <c r="AB2617">
        <v>47.6</v>
      </c>
      <c r="AC2617">
        <v>39.92</v>
      </c>
      <c r="AE2617" s="74"/>
      <c r="AF2617" s="77"/>
      <c r="AH2617" s="497">
        <v>31.1</v>
      </c>
      <c r="AJ2617" s="42"/>
      <c r="AK2617" s="74"/>
      <c r="AL2617" s="77"/>
      <c r="AN2617" s="497">
        <v>39.019999999999996</v>
      </c>
      <c r="AP2617" s="42"/>
      <c r="AQ2617" s="74"/>
      <c r="AR2617" s="77"/>
      <c r="AT2617" s="497">
        <v>51.980000000000004</v>
      </c>
      <c r="AV2617" s="42"/>
      <c r="AW2617" s="74"/>
      <c r="AX2617" s="77"/>
      <c r="BA2617" s="497">
        <v>42.08</v>
      </c>
      <c r="BB2617" s="42"/>
      <c r="BC2617" s="74"/>
      <c r="BD2617" s="77"/>
      <c r="BF2617">
        <v>39.019999999999996</v>
      </c>
      <c r="BH2617" s="42"/>
      <c r="BI2617" s="74"/>
      <c r="BJ2617" s="77"/>
      <c r="BL2617" s="497">
        <v>71.06</v>
      </c>
      <c r="BN2617" s="42"/>
      <c r="BO2617" s="74"/>
      <c r="BP2617" s="77"/>
      <c r="BR2617" s="497">
        <v>37.04</v>
      </c>
      <c r="BT2617" s="42"/>
    </row>
    <row r="2618" spans="1:72" x14ac:dyDescent="0.25">
      <c r="A2618" s="90">
        <v>33347</v>
      </c>
      <c r="B2618" s="20">
        <v>0.33333333333333331</v>
      </c>
      <c r="D2618">
        <v>62.06</v>
      </c>
      <c r="E2618" t="str">
        <f t="shared" si="116"/>
        <v>WEEKDAY</v>
      </c>
      <c r="F2618" t="e">
        <f t="shared" si="117"/>
        <v>#N/A</v>
      </c>
      <c r="G2618" s="74">
        <v>32982</v>
      </c>
      <c r="H2618" s="77">
        <v>0.33333333333333331</v>
      </c>
      <c r="J2618">
        <v>50</v>
      </c>
      <c r="M2618" s="74">
        <v>33347</v>
      </c>
      <c r="N2618" s="77">
        <v>0.33333333333333331</v>
      </c>
      <c r="P2618">
        <v>42.980000000000004</v>
      </c>
      <c r="S2618" s="74">
        <v>33347</v>
      </c>
      <c r="T2618" s="77">
        <v>0.33333333333333331</v>
      </c>
      <c r="V2618">
        <v>42.980000000000004</v>
      </c>
      <c r="X2618" s="42"/>
      <c r="AB2618">
        <v>49.7</v>
      </c>
      <c r="AC2618">
        <v>44.06</v>
      </c>
      <c r="AE2618" s="74"/>
      <c r="AF2618" s="77"/>
      <c r="AH2618" s="497">
        <v>39.019999999999996</v>
      </c>
      <c r="AJ2618" s="42"/>
      <c r="AK2618" s="74"/>
      <c r="AL2618" s="77"/>
      <c r="AN2618" s="497">
        <v>44.06</v>
      </c>
      <c r="AP2618" s="42"/>
      <c r="AQ2618" s="74"/>
      <c r="AR2618" s="77"/>
      <c r="AT2618" s="497">
        <v>53.96</v>
      </c>
      <c r="AV2618" s="42"/>
      <c r="AW2618" s="74"/>
      <c r="AX2618" s="77"/>
      <c r="BA2618" s="497">
        <v>46.04</v>
      </c>
      <c r="BB2618" s="42"/>
      <c r="BC2618" s="74"/>
      <c r="BD2618" s="77"/>
      <c r="BF2618">
        <v>44.06</v>
      </c>
      <c r="BH2618" s="42"/>
      <c r="BI2618" s="74"/>
      <c r="BJ2618" s="77"/>
      <c r="BL2618" s="497">
        <v>69.800000000000011</v>
      </c>
      <c r="BN2618" s="42"/>
      <c r="BO2618" s="74"/>
      <c r="BP2618" s="77"/>
      <c r="BR2618" s="497">
        <v>37.04</v>
      </c>
      <c r="BT2618" s="42"/>
    </row>
    <row r="2619" spans="1:72" x14ac:dyDescent="0.25">
      <c r="A2619" s="90">
        <v>33347</v>
      </c>
      <c r="B2619" s="20">
        <v>0.375</v>
      </c>
      <c r="D2619">
        <v>69.080000000000013</v>
      </c>
      <c r="E2619" t="str">
        <f t="shared" si="116"/>
        <v>WEEKDAY</v>
      </c>
      <c r="F2619" t="e">
        <f t="shared" si="117"/>
        <v>#N/A</v>
      </c>
      <c r="G2619" s="74">
        <v>32982</v>
      </c>
      <c r="H2619" s="77">
        <v>0.375</v>
      </c>
      <c r="J2619">
        <v>51.08</v>
      </c>
      <c r="M2619" s="74">
        <v>33347</v>
      </c>
      <c r="N2619" s="77">
        <v>0.375</v>
      </c>
      <c r="P2619">
        <v>44.96</v>
      </c>
      <c r="S2619" s="74">
        <v>33347</v>
      </c>
      <c r="T2619" s="77">
        <v>0.375</v>
      </c>
      <c r="V2619">
        <v>44.96</v>
      </c>
      <c r="X2619" s="42"/>
      <c r="AB2619">
        <v>51.7</v>
      </c>
      <c r="AC2619">
        <v>46.94</v>
      </c>
      <c r="AE2619" s="74"/>
      <c r="AF2619" s="77"/>
      <c r="AH2619" s="497">
        <v>42.08</v>
      </c>
      <c r="AJ2619" s="42"/>
      <c r="AK2619" s="74"/>
      <c r="AL2619" s="77"/>
      <c r="AN2619" s="497">
        <v>50</v>
      </c>
      <c r="AP2619" s="42"/>
      <c r="AQ2619" s="74"/>
      <c r="AR2619" s="77"/>
      <c r="AT2619" s="497">
        <v>57.92</v>
      </c>
      <c r="AV2619" s="42"/>
      <c r="AW2619" s="74"/>
      <c r="AX2619" s="77"/>
      <c r="BA2619" s="497">
        <v>48.92</v>
      </c>
      <c r="BB2619" s="42"/>
      <c r="BC2619" s="74"/>
      <c r="BD2619" s="77"/>
      <c r="BF2619">
        <v>46.94</v>
      </c>
      <c r="BH2619" s="42"/>
      <c r="BI2619" s="74"/>
      <c r="BJ2619" s="77"/>
      <c r="BL2619" s="497">
        <v>71.06</v>
      </c>
      <c r="BN2619" s="42"/>
      <c r="BO2619" s="74"/>
      <c r="BP2619" s="77"/>
      <c r="BR2619" s="497">
        <v>39.92</v>
      </c>
      <c r="BT2619" s="42"/>
    </row>
    <row r="2620" spans="1:72" x14ac:dyDescent="0.25">
      <c r="A2620" s="90">
        <v>33347</v>
      </c>
      <c r="B2620" s="20">
        <v>0.41666666666666669</v>
      </c>
      <c r="D2620">
        <v>69.98</v>
      </c>
      <c r="E2620" t="str">
        <f t="shared" si="116"/>
        <v>WEEKDAY</v>
      </c>
      <c r="F2620" t="e">
        <f t="shared" si="117"/>
        <v>#N/A</v>
      </c>
      <c r="G2620" s="74">
        <v>32982</v>
      </c>
      <c r="H2620" s="77">
        <v>0.41666666666666669</v>
      </c>
      <c r="J2620">
        <v>53.06</v>
      </c>
      <c r="M2620" s="74">
        <v>33347</v>
      </c>
      <c r="N2620" s="77">
        <v>0.41666666666666669</v>
      </c>
      <c r="P2620">
        <v>48.019999999999996</v>
      </c>
      <c r="S2620" s="74">
        <v>33347</v>
      </c>
      <c r="T2620" s="77">
        <v>0.41666666666666669</v>
      </c>
      <c r="V2620">
        <v>48.019999999999996</v>
      </c>
      <c r="X2620" s="42"/>
      <c r="AB2620">
        <v>53.5</v>
      </c>
      <c r="AC2620">
        <v>50</v>
      </c>
      <c r="AE2620" s="74"/>
      <c r="AF2620" s="77"/>
      <c r="AH2620" s="497">
        <v>51.08</v>
      </c>
      <c r="AJ2620" s="42"/>
      <c r="AK2620" s="74"/>
      <c r="AL2620" s="77"/>
      <c r="AN2620" s="497">
        <v>53.06</v>
      </c>
      <c r="AP2620" s="42"/>
      <c r="AQ2620" s="74"/>
      <c r="AR2620" s="77"/>
      <c r="AT2620" s="497">
        <v>55.94</v>
      </c>
      <c r="AV2620" s="42"/>
      <c r="AW2620" s="74"/>
      <c r="AX2620" s="77"/>
      <c r="BA2620" s="497">
        <v>48.019999999999996</v>
      </c>
      <c r="BB2620" s="42"/>
      <c r="BC2620" s="74"/>
      <c r="BD2620" s="77"/>
      <c r="BF2620">
        <v>51.08</v>
      </c>
      <c r="BH2620" s="42"/>
      <c r="BI2620" s="74"/>
      <c r="BJ2620" s="77"/>
      <c r="BL2620" s="497">
        <v>75.02</v>
      </c>
      <c r="BN2620" s="42"/>
      <c r="BO2620" s="74"/>
      <c r="BP2620" s="77"/>
      <c r="BR2620" s="497">
        <v>42.08</v>
      </c>
      <c r="BT2620" s="42"/>
    </row>
    <row r="2621" spans="1:72" x14ac:dyDescent="0.25">
      <c r="A2621" s="90">
        <v>33347</v>
      </c>
      <c r="B2621" s="20">
        <v>0.45833333333333331</v>
      </c>
      <c r="D2621">
        <v>75.92</v>
      </c>
      <c r="E2621" t="str">
        <f t="shared" si="116"/>
        <v>WEEKDAY</v>
      </c>
      <c r="F2621" t="e">
        <f t="shared" si="117"/>
        <v>#N/A</v>
      </c>
      <c r="G2621" s="74">
        <v>32982</v>
      </c>
      <c r="H2621" s="77">
        <v>0.45833333333333331</v>
      </c>
      <c r="J2621">
        <v>55.040000000000006</v>
      </c>
      <c r="M2621" s="74">
        <v>33347</v>
      </c>
      <c r="N2621" s="77">
        <v>0.45833333333333331</v>
      </c>
      <c r="P2621">
        <v>50</v>
      </c>
      <c r="S2621" s="74">
        <v>33347</v>
      </c>
      <c r="T2621" s="77">
        <v>0.45833333333333331</v>
      </c>
      <c r="V2621">
        <v>48.92</v>
      </c>
      <c r="X2621" s="42"/>
      <c r="AB2621">
        <v>55.2</v>
      </c>
      <c r="AC2621">
        <v>51.980000000000004</v>
      </c>
      <c r="AE2621" s="74"/>
      <c r="AF2621" s="77"/>
      <c r="AH2621" s="497">
        <v>53.96</v>
      </c>
      <c r="AJ2621" s="42"/>
      <c r="AK2621" s="74"/>
      <c r="AL2621" s="77"/>
      <c r="AN2621" s="497">
        <v>55.94</v>
      </c>
      <c r="AP2621" s="42"/>
      <c r="AQ2621" s="74"/>
      <c r="AR2621" s="77"/>
      <c r="AT2621" s="497">
        <v>62.96</v>
      </c>
      <c r="AV2621" s="42"/>
      <c r="AW2621" s="74"/>
      <c r="AX2621" s="77"/>
      <c r="BA2621" s="497">
        <v>48.92</v>
      </c>
      <c r="BB2621" s="42"/>
      <c r="BC2621" s="74"/>
      <c r="BD2621" s="77"/>
      <c r="BF2621">
        <v>55.040000000000006</v>
      </c>
      <c r="BH2621" s="42"/>
      <c r="BI2621" s="74"/>
      <c r="BJ2621" s="77"/>
      <c r="BL2621" s="497">
        <v>78.98</v>
      </c>
      <c r="BN2621" s="42"/>
      <c r="BO2621" s="74"/>
      <c r="BP2621" s="77"/>
      <c r="BR2621" s="497">
        <v>44.96</v>
      </c>
      <c r="BT2621" s="42"/>
    </row>
    <row r="2622" spans="1:72" x14ac:dyDescent="0.25">
      <c r="A2622" s="90">
        <v>33347</v>
      </c>
      <c r="B2622" s="20">
        <v>0.5</v>
      </c>
      <c r="D2622">
        <v>78.98</v>
      </c>
      <c r="E2622" t="str">
        <f t="shared" si="116"/>
        <v>WEEKDAY</v>
      </c>
      <c r="F2622" t="e">
        <f t="shared" si="117"/>
        <v>#N/A</v>
      </c>
      <c r="G2622" s="74">
        <v>32982</v>
      </c>
      <c r="H2622" s="77">
        <v>0.5</v>
      </c>
      <c r="J2622">
        <v>57.019999999999996</v>
      </c>
      <c r="M2622" s="74">
        <v>33347</v>
      </c>
      <c r="N2622" s="77">
        <v>0.5</v>
      </c>
      <c r="P2622">
        <v>51.08</v>
      </c>
      <c r="S2622" s="74">
        <v>33347</v>
      </c>
      <c r="T2622" s="77">
        <v>0.5</v>
      </c>
      <c r="V2622">
        <v>48.92</v>
      </c>
      <c r="X2622" s="42"/>
      <c r="AB2622">
        <v>56.4</v>
      </c>
      <c r="AC2622">
        <v>51.980000000000004</v>
      </c>
      <c r="AE2622" s="74"/>
      <c r="AF2622" s="77"/>
      <c r="AH2622" s="497">
        <v>55.94</v>
      </c>
      <c r="AJ2622" s="42"/>
      <c r="AK2622" s="74"/>
      <c r="AL2622" s="77"/>
      <c r="AN2622" s="497">
        <v>57.92</v>
      </c>
      <c r="AP2622" s="42"/>
      <c r="AQ2622" s="74"/>
      <c r="AR2622" s="77"/>
      <c r="AT2622" s="497">
        <v>64.94</v>
      </c>
      <c r="AV2622" s="42"/>
      <c r="AW2622" s="74"/>
      <c r="AX2622" s="77"/>
      <c r="BA2622" s="497">
        <v>50</v>
      </c>
      <c r="BB2622" s="42"/>
      <c r="BC2622" s="74"/>
      <c r="BD2622" s="77"/>
      <c r="BF2622">
        <v>57.92</v>
      </c>
      <c r="BH2622" s="42"/>
      <c r="BI2622" s="74"/>
      <c r="BJ2622" s="77"/>
      <c r="BL2622" s="497">
        <v>80.06</v>
      </c>
      <c r="BN2622" s="42"/>
      <c r="BO2622" s="74"/>
      <c r="BP2622" s="77"/>
      <c r="BR2622" s="497">
        <v>48.019999999999996</v>
      </c>
      <c r="BT2622" s="42"/>
    </row>
    <row r="2623" spans="1:72" x14ac:dyDescent="0.25">
      <c r="A2623" s="90">
        <v>33347</v>
      </c>
      <c r="B2623" s="20">
        <v>0.54166666666666663</v>
      </c>
      <c r="D2623">
        <v>80.06</v>
      </c>
      <c r="E2623" t="str">
        <f t="shared" si="116"/>
        <v>WEEKDAY</v>
      </c>
      <c r="F2623" t="e">
        <f t="shared" si="117"/>
        <v>#N/A</v>
      </c>
      <c r="G2623" s="74">
        <v>32982</v>
      </c>
      <c r="H2623" s="77">
        <v>0.54166666666666663</v>
      </c>
      <c r="J2623">
        <v>57.019999999999996</v>
      </c>
      <c r="M2623" s="74">
        <v>33347</v>
      </c>
      <c r="N2623" s="77">
        <v>0.54166666666666663</v>
      </c>
      <c r="P2623">
        <v>50</v>
      </c>
      <c r="S2623" s="74">
        <v>33347</v>
      </c>
      <c r="T2623" s="77">
        <v>0.54166666666666663</v>
      </c>
      <c r="V2623">
        <v>50</v>
      </c>
      <c r="X2623" s="42"/>
      <c r="AB2623">
        <v>57.3</v>
      </c>
      <c r="AC2623">
        <v>53.96</v>
      </c>
      <c r="AE2623" s="74"/>
      <c r="AF2623" s="77"/>
      <c r="AH2623" s="497">
        <v>57.92</v>
      </c>
      <c r="AJ2623" s="42"/>
      <c r="AK2623" s="74"/>
      <c r="AL2623" s="77"/>
      <c r="AN2623" s="497">
        <v>60.08</v>
      </c>
      <c r="AP2623" s="42"/>
      <c r="AQ2623" s="74"/>
      <c r="AR2623" s="77"/>
      <c r="AT2623" s="497">
        <v>66.92</v>
      </c>
      <c r="AV2623" s="42"/>
      <c r="AW2623" s="74"/>
      <c r="AX2623" s="77"/>
      <c r="BA2623" s="497">
        <v>50</v>
      </c>
      <c r="BB2623" s="42"/>
      <c r="BC2623" s="74"/>
      <c r="BD2623" s="77"/>
      <c r="BF2623">
        <v>59</v>
      </c>
      <c r="BH2623" s="42"/>
      <c r="BI2623" s="74"/>
      <c r="BJ2623" s="77"/>
      <c r="BL2623" s="497">
        <v>78.080000000000013</v>
      </c>
      <c r="BN2623" s="42"/>
      <c r="BO2623" s="74"/>
      <c r="BP2623" s="77"/>
      <c r="BR2623" s="497">
        <v>48.019999999999996</v>
      </c>
      <c r="BT2623" s="42"/>
    </row>
    <row r="2624" spans="1:72" x14ac:dyDescent="0.25">
      <c r="A2624" s="90">
        <v>33347</v>
      </c>
      <c r="B2624" s="20">
        <v>0.58333333333333337</v>
      </c>
      <c r="D2624">
        <v>80.960000000000008</v>
      </c>
      <c r="E2624" t="str">
        <f t="shared" si="116"/>
        <v>WEEKDAY</v>
      </c>
      <c r="F2624" t="e">
        <f t="shared" si="117"/>
        <v>#N/A</v>
      </c>
      <c r="G2624" s="74">
        <v>32982</v>
      </c>
      <c r="H2624" s="77">
        <v>0.58333333333333337</v>
      </c>
      <c r="J2624">
        <v>57.019999999999996</v>
      </c>
      <c r="M2624" s="74">
        <v>33347</v>
      </c>
      <c r="N2624" s="77">
        <v>0.58333333333333337</v>
      </c>
      <c r="P2624">
        <v>51.980000000000004</v>
      </c>
      <c r="S2624" s="74">
        <v>33347</v>
      </c>
      <c r="T2624" s="77">
        <v>0.58333333333333337</v>
      </c>
      <c r="V2624">
        <v>51.08</v>
      </c>
      <c r="X2624" s="42"/>
      <c r="AB2624">
        <v>57.9</v>
      </c>
      <c r="AC2624">
        <v>53.96</v>
      </c>
      <c r="AE2624" s="74"/>
      <c r="AF2624" s="77"/>
      <c r="AH2624" s="497">
        <v>58.28</v>
      </c>
      <c r="AJ2624" s="42"/>
      <c r="AK2624" s="74"/>
      <c r="AL2624" s="77"/>
      <c r="AN2624" s="497">
        <v>62.06</v>
      </c>
      <c r="AP2624" s="42"/>
      <c r="AQ2624" s="74"/>
      <c r="AR2624" s="77"/>
      <c r="AT2624" s="497">
        <v>62.06</v>
      </c>
      <c r="AV2624" s="42"/>
      <c r="AW2624" s="74"/>
      <c r="AX2624" s="77"/>
      <c r="BA2624" s="497">
        <v>50</v>
      </c>
      <c r="BB2624" s="42"/>
      <c r="BC2624" s="74"/>
      <c r="BD2624" s="77"/>
      <c r="BF2624">
        <v>62.96</v>
      </c>
      <c r="BH2624" s="42"/>
      <c r="BI2624" s="74"/>
      <c r="BJ2624" s="77"/>
      <c r="BL2624" s="497">
        <v>78.080000000000013</v>
      </c>
      <c r="BN2624" s="42"/>
      <c r="BO2624" s="74"/>
      <c r="BP2624" s="77"/>
      <c r="BR2624" s="497">
        <v>46.94</v>
      </c>
      <c r="BT2624" s="42"/>
    </row>
    <row r="2625" spans="1:72" x14ac:dyDescent="0.25">
      <c r="A2625" s="90">
        <v>33347</v>
      </c>
      <c r="B2625" s="20">
        <v>0.625</v>
      </c>
      <c r="D2625">
        <v>80.960000000000008</v>
      </c>
      <c r="E2625" t="str">
        <f t="shared" si="116"/>
        <v>WEEKDAY</v>
      </c>
      <c r="F2625" t="e">
        <f t="shared" si="117"/>
        <v>#N/A</v>
      </c>
      <c r="G2625" s="74">
        <v>32982</v>
      </c>
      <c r="H2625" s="77">
        <v>0.625</v>
      </c>
      <c r="J2625">
        <v>55.040000000000006</v>
      </c>
      <c r="M2625" s="74">
        <v>33347</v>
      </c>
      <c r="N2625" s="77">
        <v>0.625</v>
      </c>
      <c r="P2625">
        <v>53.06</v>
      </c>
      <c r="S2625" s="74">
        <v>33347</v>
      </c>
      <c r="T2625" s="77">
        <v>0.625</v>
      </c>
      <c r="V2625">
        <v>51.980000000000004</v>
      </c>
      <c r="X2625" s="42"/>
      <c r="AB2625">
        <v>57.9</v>
      </c>
      <c r="AC2625">
        <v>53.96</v>
      </c>
      <c r="AE2625" s="74"/>
      <c r="AF2625" s="77"/>
      <c r="AH2625" s="497">
        <v>57.92</v>
      </c>
      <c r="AJ2625" s="42"/>
      <c r="AK2625" s="74"/>
      <c r="AL2625" s="77"/>
      <c r="AN2625" s="497">
        <v>64.039999999999992</v>
      </c>
      <c r="AP2625" s="42"/>
      <c r="AQ2625" s="74"/>
      <c r="AR2625" s="77"/>
      <c r="AT2625" s="497">
        <v>64.039999999999992</v>
      </c>
      <c r="AV2625" s="42"/>
      <c r="AW2625" s="74"/>
      <c r="AX2625" s="77"/>
      <c r="BA2625" s="497">
        <v>48.92</v>
      </c>
      <c r="BB2625" s="42"/>
      <c r="BC2625" s="74"/>
      <c r="BD2625" s="77"/>
      <c r="BF2625">
        <v>62.96</v>
      </c>
      <c r="BH2625" s="42"/>
      <c r="BI2625" s="74"/>
      <c r="BJ2625" s="77"/>
      <c r="BL2625" s="497">
        <v>78.98</v>
      </c>
      <c r="BN2625" s="42"/>
      <c r="BO2625" s="74"/>
      <c r="BP2625" s="77"/>
      <c r="BR2625" s="497">
        <v>46.04</v>
      </c>
      <c r="BT2625" s="42"/>
    </row>
    <row r="2626" spans="1:72" x14ac:dyDescent="0.25">
      <c r="A2626" s="90">
        <v>33347</v>
      </c>
      <c r="B2626" s="20">
        <v>0.66666666666666663</v>
      </c>
      <c r="D2626">
        <v>80.06</v>
      </c>
      <c r="E2626" t="str">
        <f t="shared" si="116"/>
        <v>WEEKDAY</v>
      </c>
      <c r="F2626" t="e">
        <f t="shared" si="117"/>
        <v>#N/A</v>
      </c>
      <c r="G2626" s="74">
        <v>32982</v>
      </c>
      <c r="H2626" s="77">
        <v>0.66666666666666663</v>
      </c>
      <c r="J2626">
        <v>55.040000000000006</v>
      </c>
      <c r="M2626" s="74">
        <v>33347</v>
      </c>
      <c r="N2626" s="77">
        <v>0.66666666666666663</v>
      </c>
      <c r="P2626">
        <v>53.96</v>
      </c>
      <c r="S2626" s="74">
        <v>33347</v>
      </c>
      <c r="T2626" s="77">
        <v>0.66666666666666663</v>
      </c>
      <c r="V2626">
        <v>50</v>
      </c>
      <c r="X2626" s="42"/>
      <c r="AB2626">
        <v>57.6</v>
      </c>
      <c r="AC2626">
        <v>51.08</v>
      </c>
      <c r="AE2626" s="74"/>
      <c r="AF2626" s="77"/>
      <c r="AH2626" s="497">
        <v>57.019999999999996</v>
      </c>
      <c r="AJ2626" s="42"/>
      <c r="AK2626" s="74"/>
      <c r="AL2626" s="77"/>
      <c r="AN2626" s="497">
        <v>64.94</v>
      </c>
      <c r="AP2626" s="42"/>
      <c r="AQ2626" s="74"/>
      <c r="AR2626" s="77"/>
      <c r="AT2626" s="497">
        <v>62.06</v>
      </c>
      <c r="AV2626" s="42"/>
      <c r="AW2626" s="74"/>
      <c r="AX2626" s="77"/>
      <c r="BA2626" s="497">
        <v>48.92</v>
      </c>
      <c r="BB2626" s="42"/>
      <c r="BC2626" s="74"/>
      <c r="BD2626" s="77"/>
      <c r="BF2626">
        <v>62.96</v>
      </c>
      <c r="BH2626" s="42"/>
      <c r="BI2626" s="74"/>
      <c r="BJ2626" s="77"/>
      <c r="BL2626" s="497">
        <v>75.92</v>
      </c>
      <c r="BN2626" s="42"/>
      <c r="BO2626" s="74"/>
      <c r="BP2626" s="77"/>
      <c r="BR2626" s="497">
        <v>46.94</v>
      </c>
      <c r="BT2626" s="42"/>
    </row>
    <row r="2627" spans="1:72" x14ac:dyDescent="0.25">
      <c r="A2627" s="90">
        <v>33347</v>
      </c>
      <c r="B2627" s="20">
        <v>0.70833333333333337</v>
      </c>
      <c r="D2627">
        <v>73.94</v>
      </c>
      <c r="E2627" t="str">
        <f t="shared" si="116"/>
        <v>WEEKDAY</v>
      </c>
      <c r="F2627" t="e">
        <f t="shared" si="117"/>
        <v>#N/A</v>
      </c>
      <c r="G2627" s="74">
        <v>32982</v>
      </c>
      <c r="H2627" s="77">
        <v>0.70833333333333337</v>
      </c>
      <c r="J2627">
        <v>55.040000000000006</v>
      </c>
      <c r="M2627" s="74">
        <v>33347</v>
      </c>
      <c r="N2627" s="77">
        <v>0.70833333333333337</v>
      </c>
      <c r="P2627">
        <v>53.06</v>
      </c>
      <c r="S2627" s="74">
        <v>33347</v>
      </c>
      <c r="T2627" s="77">
        <v>0.70833333333333337</v>
      </c>
      <c r="V2627">
        <v>48.019999999999996</v>
      </c>
      <c r="X2627" s="42"/>
      <c r="AB2627">
        <v>56.8</v>
      </c>
      <c r="AC2627">
        <v>51.08</v>
      </c>
      <c r="AE2627" s="74"/>
      <c r="AF2627" s="77"/>
      <c r="AH2627" s="497">
        <v>57.019999999999996</v>
      </c>
      <c r="AJ2627" s="42"/>
      <c r="AK2627" s="74"/>
      <c r="AL2627" s="77"/>
      <c r="AN2627" s="497">
        <v>64.94</v>
      </c>
      <c r="AP2627" s="42"/>
      <c r="AQ2627" s="74"/>
      <c r="AR2627" s="77"/>
      <c r="AT2627" s="497">
        <v>60.08</v>
      </c>
      <c r="AV2627" s="42"/>
      <c r="AW2627" s="74"/>
      <c r="AX2627" s="77"/>
      <c r="BA2627" s="497">
        <v>48.92</v>
      </c>
      <c r="BB2627" s="42"/>
      <c r="BC2627" s="74"/>
      <c r="BD2627" s="77"/>
      <c r="BF2627">
        <v>62.06</v>
      </c>
      <c r="BH2627" s="42"/>
      <c r="BI2627" s="74"/>
      <c r="BJ2627" s="77"/>
      <c r="BL2627" s="497">
        <v>75.02</v>
      </c>
      <c r="BN2627" s="42"/>
      <c r="BO2627" s="74"/>
      <c r="BP2627" s="77"/>
      <c r="BR2627" s="497">
        <v>46.94</v>
      </c>
      <c r="BT2627" s="42"/>
    </row>
    <row r="2628" spans="1:72" x14ac:dyDescent="0.25">
      <c r="A2628" s="90">
        <v>33347</v>
      </c>
      <c r="B2628" s="20">
        <v>0.75</v>
      </c>
      <c r="D2628">
        <v>68</v>
      </c>
      <c r="E2628" t="str">
        <f t="shared" si="116"/>
        <v>WEEKDAY</v>
      </c>
      <c r="F2628" t="e">
        <f t="shared" si="117"/>
        <v>#N/A</v>
      </c>
      <c r="G2628" s="74">
        <v>32982</v>
      </c>
      <c r="H2628" s="77">
        <v>0.75</v>
      </c>
      <c r="J2628">
        <v>53.06</v>
      </c>
      <c r="M2628" s="74">
        <v>33347</v>
      </c>
      <c r="N2628" s="77">
        <v>0.75</v>
      </c>
      <c r="P2628">
        <v>51.08</v>
      </c>
      <c r="S2628" s="74">
        <v>33347</v>
      </c>
      <c r="T2628" s="77">
        <v>0.75</v>
      </c>
      <c r="V2628">
        <v>46.04</v>
      </c>
      <c r="X2628" s="42"/>
      <c r="AB2628">
        <v>55.5</v>
      </c>
      <c r="AC2628">
        <v>46.94</v>
      </c>
      <c r="AE2628" s="74"/>
      <c r="AF2628" s="77"/>
      <c r="AH2628" s="497">
        <v>55.040000000000006</v>
      </c>
      <c r="AJ2628" s="42"/>
      <c r="AK2628" s="74"/>
      <c r="AL2628" s="77"/>
      <c r="AN2628" s="497">
        <v>62.96</v>
      </c>
      <c r="AP2628" s="42"/>
      <c r="AQ2628" s="74"/>
      <c r="AR2628" s="77"/>
      <c r="AT2628" s="497">
        <v>60.980000000000004</v>
      </c>
      <c r="AV2628" s="42"/>
      <c r="AW2628" s="74"/>
      <c r="AX2628" s="77"/>
      <c r="BA2628" s="497">
        <v>50</v>
      </c>
      <c r="BB2628" s="42"/>
      <c r="BC2628" s="74"/>
      <c r="BD2628" s="77"/>
      <c r="BF2628">
        <v>57.92</v>
      </c>
      <c r="BH2628" s="42"/>
      <c r="BI2628" s="74"/>
      <c r="BJ2628" s="77"/>
      <c r="BL2628" s="497">
        <v>69.98</v>
      </c>
      <c r="BN2628" s="42"/>
      <c r="BO2628" s="74"/>
      <c r="BP2628" s="77"/>
      <c r="BR2628" s="497">
        <v>46.94</v>
      </c>
      <c r="BT2628" s="42"/>
    </row>
    <row r="2629" spans="1:72" x14ac:dyDescent="0.25">
      <c r="A2629" s="90">
        <v>33347</v>
      </c>
      <c r="B2629" s="20">
        <v>0.79166666666666663</v>
      </c>
      <c r="D2629">
        <v>66.92</v>
      </c>
      <c r="E2629" t="str">
        <f t="shared" si="116"/>
        <v>WEEKDAY</v>
      </c>
      <c r="F2629" t="e">
        <f t="shared" si="117"/>
        <v>#N/A</v>
      </c>
      <c r="G2629" s="74">
        <v>32982</v>
      </c>
      <c r="H2629" s="77">
        <v>0.79166666666666663</v>
      </c>
      <c r="J2629">
        <v>50</v>
      </c>
      <c r="M2629" s="74">
        <v>33347</v>
      </c>
      <c r="N2629" s="77">
        <v>0.79166666666666663</v>
      </c>
      <c r="P2629">
        <v>46.94</v>
      </c>
      <c r="S2629" s="74">
        <v>33347</v>
      </c>
      <c r="T2629" s="77">
        <v>0.79166666666666663</v>
      </c>
      <c r="V2629">
        <v>44.96</v>
      </c>
      <c r="X2629" s="42"/>
      <c r="AB2629">
        <v>54.1</v>
      </c>
      <c r="AC2629">
        <v>44.96</v>
      </c>
      <c r="AE2629" s="74"/>
      <c r="AF2629" s="77"/>
      <c r="AH2629" s="497">
        <v>51.980000000000004</v>
      </c>
      <c r="AJ2629" s="42"/>
      <c r="AK2629" s="74"/>
      <c r="AL2629" s="77"/>
      <c r="AN2629" s="497">
        <v>60.08</v>
      </c>
      <c r="AP2629" s="42"/>
      <c r="AQ2629" s="74"/>
      <c r="AR2629" s="77"/>
      <c r="AT2629" s="497">
        <v>59</v>
      </c>
      <c r="AV2629" s="42"/>
      <c r="AW2629" s="74"/>
      <c r="AX2629" s="77"/>
      <c r="BA2629" s="497">
        <v>48.92</v>
      </c>
      <c r="BB2629" s="42"/>
      <c r="BC2629" s="74"/>
      <c r="BD2629" s="77"/>
      <c r="BF2629">
        <v>53.96</v>
      </c>
      <c r="BH2629" s="42"/>
      <c r="BI2629" s="74"/>
      <c r="BJ2629" s="77"/>
      <c r="BL2629" s="497">
        <v>66.02</v>
      </c>
      <c r="BN2629" s="42"/>
      <c r="BO2629" s="74"/>
      <c r="BP2629" s="77"/>
      <c r="BR2629" s="497">
        <v>44.96</v>
      </c>
      <c r="BT2629" s="42"/>
    </row>
    <row r="2630" spans="1:72" x14ac:dyDescent="0.25">
      <c r="A2630" s="90">
        <v>33347</v>
      </c>
      <c r="B2630" s="20">
        <v>0.83333333333333337</v>
      </c>
      <c r="D2630">
        <v>66.92</v>
      </c>
      <c r="E2630" t="str">
        <f t="shared" si="116"/>
        <v>WEEKDAY</v>
      </c>
      <c r="F2630" t="e">
        <f t="shared" si="117"/>
        <v>#N/A</v>
      </c>
      <c r="G2630" s="74">
        <v>32982</v>
      </c>
      <c r="H2630" s="77">
        <v>0.83333333333333337</v>
      </c>
      <c r="J2630">
        <v>50</v>
      </c>
      <c r="M2630" s="74">
        <v>33347</v>
      </c>
      <c r="N2630" s="77">
        <v>0.83333333333333337</v>
      </c>
      <c r="P2630">
        <v>44.96</v>
      </c>
      <c r="S2630" s="74">
        <v>33347</v>
      </c>
      <c r="T2630" s="77">
        <v>0.83333333333333337</v>
      </c>
      <c r="V2630">
        <v>44.96</v>
      </c>
      <c r="X2630" s="42"/>
      <c r="AB2630">
        <v>52.6</v>
      </c>
      <c r="AC2630">
        <v>44.96</v>
      </c>
      <c r="AE2630" s="74"/>
      <c r="AF2630" s="77"/>
      <c r="AH2630" s="497">
        <v>48.92</v>
      </c>
      <c r="AJ2630" s="42"/>
      <c r="AK2630" s="74"/>
      <c r="AL2630" s="77"/>
      <c r="AN2630" s="497">
        <v>59</v>
      </c>
      <c r="AP2630" s="42"/>
      <c r="AQ2630" s="74"/>
      <c r="AR2630" s="77"/>
      <c r="AT2630" s="497">
        <v>55.94</v>
      </c>
      <c r="AV2630" s="42"/>
      <c r="AW2630" s="74"/>
      <c r="AX2630" s="77"/>
      <c r="BA2630" s="497">
        <v>48.92</v>
      </c>
      <c r="BB2630" s="42"/>
      <c r="BC2630" s="74"/>
      <c r="BD2630" s="77"/>
      <c r="BF2630">
        <v>53.06</v>
      </c>
      <c r="BH2630" s="42"/>
      <c r="BI2630" s="74"/>
      <c r="BJ2630" s="77"/>
      <c r="BL2630" s="497">
        <v>60.08</v>
      </c>
      <c r="BN2630" s="42"/>
      <c r="BO2630" s="74"/>
      <c r="BP2630" s="77"/>
      <c r="BR2630" s="497">
        <v>44.96</v>
      </c>
      <c r="BT2630" s="42"/>
    </row>
    <row r="2631" spans="1:72" x14ac:dyDescent="0.25">
      <c r="A2631" s="90">
        <v>33347</v>
      </c>
      <c r="B2631" s="20">
        <v>0.875</v>
      </c>
      <c r="D2631">
        <v>66.92</v>
      </c>
      <c r="E2631" t="str">
        <f t="shared" si="116"/>
        <v>WEEKDAY</v>
      </c>
      <c r="F2631" t="e">
        <f t="shared" si="117"/>
        <v>#N/A</v>
      </c>
      <c r="G2631" s="74">
        <v>32982</v>
      </c>
      <c r="H2631" s="77">
        <v>0.875</v>
      </c>
      <c r="J2631">
        <v>50</v>
      </c>
      <c r="M2631" s="74">
        <v>33347</v>
      </c>
      <c r="N2631" s="77">
        <v>0.875</v>
      </c>
      <c r="P2631">
        <v>42.980000000000004</v>
      </c>
      <c r="S2631" s="74">
        <v>33347</v>
      </c>
      <c r="T2631" s="77">
        <v>0.875</v>
      </c>
      <c r="V2631">
        <v>44.06</v>
      </c>
      <c r="X2631" s="42"/>
      <c r="AB2631">
        <v>51.9</v>
      </c>
      <c r="AC2631">
        <v>44.06</v>
      </c>
      <c r="AE2631" s="74"/>
      <c r="AF2631" s="77"/>
      <c r="AH2631" s="497">
        <v>46.94</v>
      </c>
      <c r="AJ2631" s="42"/>
      <c r="AK2631" s="74"/>
      <c r="AL2631" s="77"/>
      <c r="AN2631" s="497">
        <v>55.94</v>
      </c>
      <c r="AP2631" s="42"/>
      <c r="AQ2631" s="74"/>
      <c r="AR2631" s="77"/>
      <c r="AT2631" s="497">
        <v>53.96</v>
      </c>
      <c r="AV2631" s="42"/>
      <c r="AW2631" s="74"/>
      <c r="AX2631" s="77"/>
      <c r="BA2631" s="497">
        <v>48.019999999999996</v>
      </c>
      <c r="BB2631" s="42"/>
      <c r="BC2631" s="74"/>
      <c r="BD2631" s="77"/>
      <c r="BF2631">
        <v>53.06</v>
      </c>
      <c r="BH2631" s="42"/>
      <c r="BI2631" s="74"/>
      <c r="BJ2631" s="77"/>
      <c r="BL2631" s="497">
        <v>55.040000000000006</v>
      </c>
      <c r="BN2631" s="42"/>
      <c r="BO2631" s="74"/>
      <c r="BP2631" s="77"/>
      <c r="BR2631" s="497">
        <v>42.08</v>
      </c>
      <c r="BT2631" s="42"/>
    </row>
    <row r="2632" spans="1:72" x14ac:dyDescent="0.25">
      <c r="A2632" s="90">
        <v>33347</v>
      </c>
      <c r="B2632" s="20">
        <v>0.91666666666666663</v>
      </c>
      <c r="D2632">
        <v>66.92</v>
      </c>
      <c r="E2632" t="str">
        <f t="shared" si="116"/>
        <v>WEEKDAY</v>
      </c>
      <c r="F2632" t="e">
        <f t="shared" si="117"/>
        <v>#N/A</v>
      </c>
      <c r="G2632" s="74">
        <v>32982</v>
      </c>
      <c r="H2632" s="77">
        <v>0.91666666666666663</v>
      </c>
      <c r="J2632">
        <v>50</v>
      </c>
      <c r="M2632" s="74">
        <v>33347</v>
      </c>
      <c r="N2632" s="77">
        <v>0.91666666666666663</v>
      </c>
      <c r="P2632">
        <v>39.92</v>
      </c>
      <c r="S2632" s="74">
        <v>33347</v>
      </c>
      <c r="T2632" s="77">
        <v>0.91666666666666663</v>
      </c>
      <c r="V2632">
        <v>44.06</v>
      </c>
      <c r="X2632" s="42"/>
      <c r="AB2632">
        <v>51.3</v>
      </c>
      <c r="AC2632">
        <v>42.08</v>
      </c>
      <c r="AE2632" s="74"/>
      <c r="AF2632" s="77"/>
      <c r="AH2632" s="497">
        <v>46.04</v>
      </c>
      <c r="AJ2632" s="42"/>
      <c r="AK2632" s="74"/>
      <c r="AL2632" s="77"/>
      <c r="AN2632" s="497">
        <v>55.040000000000006</v>
      </c>
      <c r="AP2632" s="42"/>
      <c r="AQ2632" s="74"/>
      <c r="AR2632" s="77"/>
      <c r="AT2632" s="497">
        <v>51.980000000000004</v>
      </c>
      <c r="AV2632" s="42"/>
      <c r="AW2632" s="74"/>
      <c r="AX2632" s="77"/>
      <c r="BA2632" s="497">
        <v>48.019999999999996</v>
      </c>
      <c r="BB2632" s="42"/>
      <c r="BC2632" s="74"/>
      <c r="BD2632" s="77"/>
      <c r="BF2632">
        <v>53.96</v>
      </c>
      <c r="BH2632" s="42"/>
      <c r="BI2632" s="74"/>
      <c r="BJ2632" s="77"/>
      <c r="BL2632" s="497">
        <v>53.06</v>
      </c>
      <c r="BN2632" s="42"/>
      <c r="BO2632" s="74"/>
      <c r="BP2632" s="77"/>
      <c r="BR2632" s="497">
        <v>42.08</v>
      </c>
      <c r="BT2632" s="42"/>
    </row>
    <row r="2633" spans="1:72" x14ac:dyDescent="0.25">
      <c r="A2633" s="90">
        <v>33347</v>
      </c>
      <c r="B2633" s="20">
        <v>0.95833333333333337</v>
      </c>
      <c r="D2633">
        <v>64.94</v>
      </c>
      <c r="E2633" t="str">
        <f t="shared" si="116"/>
        <v>WEEKDAY</v>
      </c>
      <c r="F2633" t="e">
        <f t="shared" si="117"/>
        <v>#N/A</v>
      </c>
      <c r="G2633" s="74">
        <v>32982</v>
      </c>
      <c r="H2633" s="77">
        <v>0.95833333333333337</v>
      </c>
      <c r="J2633">
        <v>48.92</v>
      </c>
      <c r="M2633" s="74">
        <v>33347</v>
      </c>
      <c r="N2633" s="77">
        <v>0.95833333333333337</v>
      </c>
      <c r="P2633">
        <v>39.019999999999996</v>
      </c>
      <c r="S2633" s="74">
        <v>33347</v>
      </c>
      <c r="T2633" s="77">
        <v>0.95833333333333337</v>
      </c>
      <c r="V2633">
        <v>42.980000000000004</v>
      </c>
      <c r="X2633" s="42"/>
      <c r="AB2633">
        <v>50.7</v>
      </c>
      <c r="AC2633">
        <v>41</v>
      </c>
      <c r="AE2633" s="74"/>
      <c r="AF2633" s="77"/>
      <c r="AH2633" s="497">
        <v>44.06</v>
      </c>
      <c r="AJ2633" s="42"/>
      <c r="AK2633" s="74"/>
      <c r="AL2633" s="77"/>
      <c r="AN2633" s="497">
        <v>53.06</v>
      </c>
      <c r="AP2633" s="42"/>
      <c r="AQ2633" s="74"/>
      <c r="AR2633" s="77"/>
      <c r="AT2633" s="497">
        <v>51.08</v>
      </c>
      <c r="AV2633" s="42"/>
      <c r="AW2633" s="74"/>
      <c r="AX2633" s="77"/>
      <c r="BA2633" s="497">
        <v>48.019999999999996</v>
      </c>
      <c r="BB2633" s="42"/>
      <c r="BC2633" s="74"/>
      <c r="BD2633" s="77"/>
      <c r="BF2633">
        <v>53.06</v>
      </c>
      <c r="BH2633" s="42"/>
      <c r="BI2633" s="74"/>
      <c r="BJ2633" s="77"/>
      <c r="BL2633" s="497">
        <v>51.980000000000004</v>
      </c>
      <c r="BN2633" s="42"/>
      <c r="BO2633" s="74"/>
      <c r="BP2633" s="77"/>
      <c r="BR2633" s="497">
        <v>39.92</v>
      </c>
      <c r="BT2633" s="42"/>
    </row>
    <row r="2634" spans="1:72" x14ac:dyDescent="0.25">
      <c r="A2634" s="90">
        <v>33347</v>
      </c>
      <c r="B2634" s="20">
        <v>1</v>
      </c>
      <c r="D2634">
        <v>60.980000000000004</v>
      </c>
      <c r="E2634" t="str">
        <f t="shared" si="116"/>
        <v>WEEKDAY</v>
      </c>
      <c r="F2634" t="e">
        <f t="shared" si="117"/>
        <v>#N/A</v>
      </c>
      <c r="G2634" s="74">
        <v>32982</v>
      </c>
      <c r="H2634" s="77">
        <v>1</v>
      </c>
      <c r="J2634">
        <v>48.019999999999996</v>
      </c>
      <c r="M2634" s="74">
        <v>33347</v>
      </c>
      <c r="N2634" s="80">
        <v>1</v>
      </c>
      <c r="P2634">
        <v>37.94</v>
      </c>
      <c r="S2634" s="74">
        <v>33347</v>
      </c>
      <c r="T2634" s="80">
        <v>1</v>
      </c>
      <c r="V2634">
        <v>42.980000000000004</v>
      </c>
      <c r="X2634" s="42"/>
      <c r="AB2634">
        <v>50.2</v>
      </c>
      <c r="AC2634">
        <v>41</v>
      </c>
      <c r="AE2634" s="74"/>
      <c r="AF2634" s="80"/>
      <c r="AH2634" s="497">
        <v>39.019999999999996</v>
      </c>
      <c r="AJ2634" s="42"/>
      <c r="AK2634" s="74"/>
      <c r="AL2634" s="80"/>
      <c r="AN2634" s="497">
        <v>53.06</v>
      </c>
      <c r="AP2634" s="42"/>
      <c r="AQ2634" s="74"/>
      <c r="AR2634" s="80"/>
      <c r="AT2634" s="497">
        <v>48.92</v>
      </c>
      <c r="AV2634" s="42"/>
      <c r="AW2634" s="74"/>
      <c r="AX2634" s="80"/>
      <c r="BA2634" s="497">
        <v>46.94</v>
      </c>
      <c r="BB2634" s="42"/>
      <c r="BC2634" s="74"/>
      <c r="BD2634" s="80"/>
      <c r="BF2634">
        <v>53.96</v>
      </c>
      <c r="BH2634" s="42"/>
      <c r="BI2634" s="74"/>
      <c r="BJ2634" s="80"/>
      <c r="BL2634" s="497">
        <v>50</v>
      </c>
      <c r="BN2634" s="42"/>
      <c r="BO2634" s="74"/>
      <c r="BP2634" s="80"/>
      <c r="BR2634" s="497">
        <v>39.92</v>
      </c>
      <c r="BT2634" s="42"/>
    </row>
    <row r="2635" spans="1:72" x14ac:dyDescent="0.25">
      <c r="A2635" s="90">
        <v>33348</v>
      </c>
      <c r="B2635" s="20">
        <v>4.1666666666666664E-2</v>
      </c>
      <c r="D2635">
        <v>60.08</v>
      </c>
      <c r="E2635" t="str">
        <f t="shared" si="116"/>
        <v>SATURDAY</v>
      </c>
      <c r="F2635" t="e">
        <f t="shared" si="117"/>
        <v>#N/A</v>
      </c>
      <c r="G2635" s="74">
        <v>32983</v>
      </c>
      <c r="H2635" s="77">
        <v>4.1666666666666664E-2</v>
      </c>
      <c r="J2635">
        <v>48.019999999999996</v>
      </c>
      <c r="M2635" s="74">
        <v>33348</v>
      </c>
      <c r="N2635" s="77">
        <v>4.1666666666666664E-2</v>
      </c>
      <c r="P2635">
        <v>39.019999999999996</v>
      </c>
      <c r="S2635" s="74">
        <v>33348</v>
      </c>
      <c r="T2635" s="77">
        <v>4.1666666666666664E-2</v>
      </c>
      <c r="V2635">
        <v>42.980000000000004</v>
      </c>
      <c r="X2635" s="42"/>
      <c r="AB2635">
        <v>49.6</v>
      </c>
      <c r="AC2635">
        <v>41</v>
      </c>
      <c r="AE2635" s="74"/>
      <c r="AF2635" s="77"/>
      <c r="AH2635" s="497">
        <v>35.06</v>
      </c>
      <c r="AJ2635" s="42"/>
      <c r="AK2635" s="74"/>
      <c r="AL2635" s="77"/>
      <c r="AN2635" s="497">
        <v>51.08</v>
      </c>
      <c r="AP2635" s="42"/>
      <c r="AQ2635" s="74"/>
      <c r="AR2635" s="77"/>
      <c r="AT2635" s="497">
        <v>46.94</v>
      </c>
      <c r="AV2635" s="42"/>
      <c r="AW2635" s="74"/>
      <c r="AX2635" s="77"/>
      <c r="BA2635" s="497">
        <v>46.94</v>
      </c>
      <c r="BB2635" s="42"/>
      <c r="BC2635" s="74"/>
      <c r="BD2635" s="77"/>
      <c r="BF2635">
        <v>53.06</v>
      </c>
      <c r="BH2635" s="42"/>
      <c r="BI2635" s="74"/>
      <c r="BJ2635" s="77"/>
      <c r="BL2635" s="497">
        <v>48.92</v>
      </c>
      <c r="BN2635" s="42"/>
      <c r="BO2635" s="74"/>
      <c r="BP2635" s="77"/>
      <c r="BR2635" s="497">
        <v>35.96</v>
      </c>
      <c r="BT2635" s="42"/>
    </row>
    <row r="2636" spans="1:72" x14ac:dyDescent="0.25">
      <c r="A2636" s="90">
        <v>33348</v>
      </c>
      <c r="B2636" s="20">
        <v>8.3333333333333329E-2</v>
      </c>
      <c r="D2636">
        <v>57.019999999999996</v>
      </c>
      <c r="E2636" t="str">
        <f t="shared" si="116"/>
        <v>SATURDAY</v>
      </c>
      <c r="F2636" t="e">
        <f t="shared" si="117"/>
        <v>#N/A</v>
      </c>
      <c r="G2636" s="74">
        <v>32983</v>
      </c>
      <c r="H2636" s="77">
        <v>8.3333333333333329E-2</v>
      </c>
      <c r="J2636">
        <v>46.94</v>
      </c>
      <c r="M2636" s="74">
        <v>33348</v>
      </c>
      <c r="N2636" s="77">
        <v>8.3333333333333329E-2</v>
      </c>
      <c r="P2636">
        <v>39.019999999999996</v>
      </c>
      <c r="S2636" s="74">
        <v>33348</v>
      </c>
      <c r="T2636" s="77">
        <v>8.3333333333333329E-2</v>
      </c>
      <c r="V2636">
        <v>44.06</v>
      </c>
      <c r="X2636" s="42"/>
      <c r="AB2636">
        <v>49.1</v>
      </c>
      <c r="AC2636">
        <v>42.980000000000004</v>
      </c>
      <c r="AE2636" s="74"/>
      <c r="AF2636" s="77"/>
      <c r="AH2636" s="497">
        <v>37.04</v>
      </c>
      <c r="AJ2636" s="42"/>
      <c r="AK2636" s="74"/>
      <c r="AL2636" s="77"/>
      <c r="AN2636" s="497">
        <v>51.980000000000004</v>
      </c>
      <c r="AP2636" s="42"/>
      <c r="AQ2636" s="74"/>
      <c r="AR2636" s="77"/>
      <c r="AT2636" s="497">
        <v>46.04</v>
      </c>
      <c r="AV2636" s="42"/>
      <c r="AW2636" s="74"/>
      <c r="AX2636" s="77"/>
      <c r="BA2636" s="497">
        <v>46.94</v>
      </c>
      <c r="BB2636" s="42"/>
      <c r="BC2636" s="74"/>
      <c r="BD2636" s="77"/>
      <c r="BF2636">
        <v>53.06</v>
      </c>
      <c r="BH2636" s="42"/>
      <c r="BI2636" s="74"/>
      <c r="BJ2636" s="77"/>
      <c r="BL2636" s="497">
        <v>48.92</v>
      </c>
      <c r="BN2636" s="42"/>
      <c r="BO2636" s="74"/>
      <c r="BP2636" s="77"/>
      <c r="BR2636" s="497">
        <v>37.04</v>
      </c>
      <c r="BT2636" s="42"/>
    </row>
    <row r="2637" spans="1:72" x14ac:dyDescent="0.25">
      <c r="A2637" s="90">
        <v>33348</v>
      </c>
      <c r="B2637" s="20">
        <v>0.125</v>
      </c>
      <c r="D2637">
        <v>55.040000000000006</v>
      </c>
      <c r="E2637" t="str">
        <f t="shared" si="116"/>
        <v>SATURDAY</v>
      </c>
      <c r="F2637" t="e">
        <f t="shared" si="117"/>
        <v>#N/A</v>
      </c>
      <c r="G2637" s="74">
        <v>32983</v>
      </c>
      <c r="H2637" s="77">
        <v>0.125</v>
      </c>
      <c r="J2637">
        <v>46.94</v>
      </c>
      <c r="M2637" s="74">
        <v>33348</v>
      </c>
      <c r="N2637" s="77">
        <v>0.125</v>
      </c>
      <c r="P2637">
        <v>39.92</v>
      </c>
      <c r="S2637" s="74">
        <v>33348</v>
      </c>
      <c r="T2637" s="77">
        <v>0.125</v>
      </c>
      <c r="V2637">
        <v>42.980000000000004</v>
      </c>
      <c r="X2637" s="42"/>
      <c r="AB2637">
        <v>48.6</v>
      </c>
      <c r="AC2637">
        <v>42.980000000000004</v>
      </c>
      <c r="AE2637" s="74"/>
      <c r="AF2637" s="77"/>
      <c r="AH2637" s="497">
        <v>37.04</v>
      </c>
      <c r="AJ2637" s="42"/>
      <c r="AK2637" s="74"/>
      <c r="AL2637" s="77"/>
      <c r="AN2637" s="497">
        <v>51.08</v>
      </c>
      <c r="AP2637" s="42"/>
      <c r="AQ2637" s="74"/>
      <c r="AR2637" s="77"/>
      <c r="AT2637" s="497">
        <v>39.92</v>
      </c>
      <c r="AV2637" s="42"/>
      <c r="AW2637" s="74"/>
      <c r="AX2637" s="77"/>
      <c r="BA2637" s="497">
        <v>46.04</v>
      </c>
      <c r="BB2637" s="42"/>
      <c r="BC2637" s="74"/>
      <c r="BD2637" s="77"/>
      <c r="BF2637">
        <v>53.96</v>
      </c>
      <c r="BH2637" s="42"/>
      <c r="BI2637" s="74"/>
      <c r="BJ2637" s="77"/>
      <c r="BL2637" s="497">
        <v>48.019999999999996</v>
      </c>
      <c r="BN2637" s="42"/>
      <c r="BO2637" s="74"/>
      <c r="BP2637" s="77"/>
      <c r="BR2637" s="497">
        <v>35.96</v>
      </c>
      <c r="BT2637" s="42"/>
    </row>
    <row r="2638" spans="1:72" x14ac:dyDescent="0.25">
      <c r="A2638" s="90">
        <v>33348</v>
      </c>
      <c r="B2638" s="20">
        <v>0.16666666666666666</v>
      </c>
      <c r="D2638">
        <v>53.96</v>
      </c>
      <c r="E2638" t="str">
        <f t="shared" si="116"/>
        <v>SATURDAY</v>
      </c>
      <c r="F2638" t="e">
        <f t="shared" si="117"/>
        <v>#N/A</v>
      </c>
      <c r="G2638" s="74">
        <v>32983</v>
      </c>
      <c r="H2638" s="77">
        <v>0.16666666666666666</v>
      </c>
      <c r="J2638">
        <v>46.94</v>
      </c>
      <c r="M2638" s="74">
        <v>33348</v>
      </c>
      <c r="N2638" s="77">
        <v>0.16666666666666666</v>
      </c>
      <c r="P2638">
        <v>41</v>
      </c>
      <c r="S2638" s="74">
        <v>33348</v>
      </c>
      <c r="T2638" s="77">
        <v>0.16666666666666666</v>
      </c>
      <c r="V2638">
        <v>42.980000000000004</v>
      </c>
      <c r="X2638" s="42"/>
      <c r="AB2638">
        <v>48.1</v>
      </c>
      <c r="AC2638">
        <v>42.980000000000004</v>
      </c>
      <c r="AE2638" s="74"/>
      <c r="AF2638" s="77"/>
      <c r="AH2638" s="497">
        <v>39.92</v>
      </c>
      <c r="AJ2638" s="42"/>
      <c r="AK2638" s="74"/>
      <c r="AL2638" s="77"/>
      <c r="AN2638" s="497">
        <v>51.08</v>
      </c>
      <c r="AP2638" s="42"/>
      <c r="AQ2638" s="74"/>
      <c r="AR2638" s="77"/>
      <c r="AT2638" s="497">
        <v>42.980000000000004</v>
      </c>
      <c r="AV2638" s="42"/>
      <c r="AW2638" s="74"/>
      <c r="AX2638" s="77"/>
      <c r="BA2638" s="497">
        <v>46.04</v>
      </c>
      <c r="BB2638" s="42"/>
      <c r="BC2638" s="74"/>
      <c r="BD2638" s="77"/>
      <c r="BF2638">
        <v>53.06</v>
      </c>
      <c r="BH2638" s="42"/>
      <c r="BI2638" s="74"/>
      <c r="BJ2638" s="77"/>
      <c r="BL2638" s="497">
        <v>48.92</v>
      </c>
      <c r="BN2638" s="42"/>
      <c r="BO2638" s="74"/>
      <c r="BP2638" s="77"/>
      <c r="BR2638" s="497">
        <v>35.06</v>
      </c>
      <c r="BT2638" s="42"/>
    </row>
    <row r="2639" spans="1:72" x14ac:dyDescent="0.25">
      <c r="A2639" s="90">
        <v>33348</v>
      </c>
      <c r="B2639" s="20">
        <v>0.20833333333333334</v>
      </c>
      <c r="D2639">
        <v>53.96</v>
      </c>
      <c r="E2639" t="str">
        <f t="shared" si="116"/>
        <v>SATURDAY</v>
      </c>
      <c r="F2639" t="e">
        <f t="shared" si="117"/>
        <v>#N/A</v>
      </c>
      <c r="G2639" s="74">
        <v>32983</v>
      </c>
      <c r="H2639" s="77">
        <v>0.20833333333333334</v>
      </c>
      <c r="J2639">
        <v>46.94</v>
      </c>
      <c r="M2639" s="74">
        <v>33348</v>
      </c>
      <c r="N2639" s="77">
        <v>0.20833333333333334</v>
      </c>
      <c r="P2639">
        <v>41</v>
      </c>
      <c r="S2639" s="74">
        <v>33348</v>
      </c>
      <c r="T2639" s="77">
        <v>0.20833333333333334</v>
      </c>
      <c r="V2639">
        <v>44.06</v>
      </c>
      <c r="X2639" s="42"/>
      <c r="AB2639">
        <v>47.6</v>
      </c>
      <c r="AC2639">
        <v>42.980000000000004</v>
      </c>
      <c r="AE2639" s="74"/>
      <c r="AF2639" s="77"/>
      <c r="AH2639" s="497">
        <v>39.92</v>
      </c>
      <c r="AJ2639" s="42"/>
      <c r="AK2639" s="74"/>
      <c r="AL2639" s="77"/>
      <c r="AN2639" s="497">
        <v>50</v>
      </c>
      <c r="AP2639" s="42"/>
      <c r="AQ2639" s="74"/>
      <c r="AR2639" s="77"/>
      <c r="AT2639" s="497">
        <v>44.06</v>
      </c>
      <c r="AV2639" s="42"/>
      <c r="AW2639" s="74"/>
      <c r="AX2639" s="77"/>
      <c r="BA2639" s="497">
        <v>46.04</v>
      </c>
      <c r="BB2639" s="42"/>
      <c r="BC2639" s="74"/>
      <c r="BD2639" s="77"/>
      <c r="BF2639">
        <v>51.980000000000004</v>
      </c>
      <c r="BH2639" s="42"/>
      <c r="BI2639" s="74"/>
      <c r="BJ2639" s="77"/>
      <c r="BL2639" s="497">
        <v>48.019999999999996</v>
      </c>
      <c r="BN2639" s="42"/>
      <c r="BO2639" s="74"/>
      <c r="BP2639" s="77"/>
      <c r="BR2639" s="497">
        <v>35.06</v>
      </c>
      <c r="BT2639" s="42"/>
    </row>
    <row r="2640" spans="1:72" x14ac:dyDescent="0.25">
      <c r="A2640" s="90">
        <v>33348</v>
      </c>
      <c r="B2640" s="20">
        <v>0.25</v>
      </c>
      <c r="D2640">
        <v>55.040000000000006</v>
      </c>
      <c r="E2640" t="str">
        <f t="shared" si="116"/>
        <v>SATURDAY</v>
      </c>
      <c r="F2640" t="e">
        <f t="shared" si="117"/>
        <v>#N/A</v>
      </c>
      <c r="G2640" s="74">
        <v>32983</v>
      </c>
      <c r="H2640" s="77">
        <v>0.25</v>
      </c>
      <c r="J2640">
        <v>46.94</v>
      </c>
      <c r="M2640" s="74">
        <v>33348</v>
      </c>
      <c r="N2640" s="77">
        <v>0.25</v>
      </c>
      <c r="P2640">
        <v>41</v>
      </c>
      <c r="S2640" s="74">
        <v>33348</v>
      </c>
      <c r="T2640" s="77">
        <v>0.25</v>
      </c>
      <c r="V2640">
        <v>44.06</v>
      </c>
      <c r="X2640" s="42"/>
      <c r="AB2640">
        <v>47.4</v>
      </c>
      <c r="AC2640">
        <v>42.980000000000004</v>
      </c>
      <c r="AE2640" s="74"/>
      <c r="AF2640" s="77"/>
      <c r="AH2640" s="497">
        <v>41</v>
      </c>
      <c r="AJ2640" s="42"/>
      <c r="AK2640" s="74"/>
      <c r="AL2640" s="77"/>
      <c r="AN2640" s="497">
        <v>50</v>
      </c>
      <c r="AP2640" s="42"/>
      <c r="AQ2640" s="74"/>
      <c r="AR2640" s="77"/>
      <c r="AT2640" s="497">
        <v>42.980000000000004</v>
      </c>
      <c r="AV2640" s="42"/>
      <c r="AW2640" s="74"/>
      <c r="AX2640" s="77"/>
      <c r="BA2640" s="497">
        <v>46.04</v>
      </c>
      <c r="BB2640" s="42"/>
      <c r="BC2640" s="74"/>
      <c r="BD2640" s="77"/>
      <c r="BF2640">
        <v>46.94</v>
      </c>
      <c r="BH2640" s="42"/>
      <c r="BI2640" s="74"/>
      <c r="BJ2640" s="77"/>
      <c r="BL2640" s="497">
        <v>46.94</v>
      </c>
      <c r="BN2640" s="42"/>
      <c r="BO2640" s="74"/>
      <c r="BP2640" s="77"/>
      <c r="BR2640" s="497">
        <v>37.04</v>
      </c>
      <c r="BT2640" s="42"/>
    </row>
    <row r="2641" spans="1:72" x14ac:dyDescent="0.25">
      <c r="A2641" s="90">
        <v>33348</v>
      </c>
      <c r="B2641" s="20">
        <v>0.29166666666666669</v>
      </c>
      <c r="D2641">
        <v>53.96</v>
      </c>
      <c r="E2641" t="str">
        <f t="shared" si="116"/>
        <v>SATURDAY</v>
      </c>
      <c r="F2641" t="e">
        <f t="shared" si="117"/>
        <v>#N/A</v>
      </c>
      <c r="G2641" s="74">
        <v>32983</v>
      </c>
      <c r="H2641" s="77">
        <v>0.29166666666666669</v>
      </c>
      <c r="J2641">
        <v>48.92</v>
      </c>
      <c r="M2641" s="74">
        <v>33348</v>
      </c>
      <c r="N2641" s="77">
        <v>0.29166666666666669</v>
      </c>
      <c r="P2641">
        <v>42.980000000000004</v>
      </c>
      <c r="S2641" s="74">
        <v>33348</v>
      </c>
      <c r="T2641" s="77">
        <v>0.29166666666666669</v>
      </c>
      <c r="V2641">
        <v>44.06</v>
      </c>
      <c r="X2641" s="42"/>
      <c r="AB2641">
        <v>47.9</v>
      </c>
      <c r="AC2641">
        <v>44.06</v>
      </c>
      <c r="AE2641" s="74"/>
      <c r="AF2641" s="77"/>
      <c r="AH2641" s="497">
        <v>42.08</v>
      </c>
      <c r="AJ2641" s="42"/>
      <c r="AK2641" s="74"/>
      <c r="AL2641" s="77"/>
      <c r="AN2641" s="497">
        <v>51.980000000000004</v>
      </c>
      <c r="AP2641" s="42"/>
      <c r="AQ2641" s="74"/>
      <c r="AR2641" s="77"/>
      <c r="AT2641" s="497">
        <v>44.96</v>
      </c>
      <c r="AV2641" s="42"/>
      <c r="AW2641" s="74"/>
      <c r="AX2641" s="77"/>
      <c r="BA2641" s="497">
        <v>46.04</v>
      </c>
      <c r="BB2641" s="42"/>
      <c r="BC2641" s="74"/>
      <c r="BD2641" s="77"/>
      <c r="BF2641">
        <v>48.92</v>
      </c>
      <c r="BH2641" s="42"/>
      <c r="BI2641" s="74"/>
      <c r="BJ2641" s="77"/>
      <c r="BL2641" s="497">
        <v>44.96</v>
      </c>
      <c r="BN2641" s="42"/>
      <c r="BO2641" s="74"/>
      <c r="BP2641" s="77"/>
      <c r="BR2641" s="497">
        <v>42.08</v>
      </c>
      <c r="BT2641" s="42"/>
    </row>
    <row r="2642" spans="1:72" x14ac:dyDescent="0.25">
      <c r="A2642" s="90">
        <v>33348</v>
      </c>
      <c r="B2642" s="20">
        <v>0.33333333333333331</v>
      </c>
      <c r="D2642">
        <v>55.040000000000006</v>
      </c>
      <c r="E2642" t="str">
        <f t="shared" si="116"/>
        <v>SATURDAY</v>
      </c>
      <c r="F2642" t="e">
        <f t="shared" si="117"/>
        <v>#N/A</v>
      </c>
      <c r="G2642" s="74">
        <v>32983</v>
      </c>
      <c r="H2642" s="77">
        <v>0.33333333333333331</v>
      </c>
      <c r="J2642">
        <v>51.08</v>
      </c>
      <c r="M2642" s="74">
        <v>33348</v>
      </c>
      <c r="N2642" s="77">
        <v>0.33333333333333331</v>
      </c>
      <c r="P2642">
        <v>42.980000000000004</v>
      </c>
      <c r="S2642" s="74">
        <v>33348</v>
      </c>
      <c r="T2642" s="77">
        <v>0.33333333333333331</v>
      </c>
      <c r="V2642">
        <v>44.96</v>
      </c>
      <c r="X2642" s="42"/>
      <c r="AB2642">
        <v>50</v>
      </c>
      <c r="AC2642">
        <v>44.96</v>
      </c>
      <c r="AE2642" s="74"/>
      <c r="AF2642" s="77"/>
      <c r="AH2642" s="497">
        <v>44.06</v>
      </c>
      <c r="AJ2642" s="42"/>
      <c r="AK2642" s="74"/>
      <c r="AL2642" s="77"/>
      <c r="AN2642" s="497">
        <v>55.040000000000006</v>
      </c>
      <c r="AP2642" s="42"/>
      <c r="AQ2642" s="74"/>
      <c r="AR2642" s="77"/>
      <c r="AT2642" s="497">
        <v>44.06</v>
      </c>
      <c r="AV2642" s="42"/>
      <c r="AW2642" s="74"/>
      <c r="AX2642" s="77"/>
      <c r="BA2642" s="497">
        <v>46.04</v>
      </c>
      <c r="BB2642" s="42"/>
      <c r="BC2642" s="74"/>
      <c r="BD2642" s="77"/>
      <c r="BF2642">
        <v>55.040000000000006</v>
      </c>
      <c r="BH2642" s="42"/>
      <c r="BI2642" s="74"/>
      <c r="BJ2642" s="77"/>
      <c r="BL2642" s="497">
        <v>42.980000000000004</v>
      </c>
      <c r="BN2642" s="42"/>
      <c r="BO2642" s="74"/>
      <c r="BP2642" s="77"/>
      <c r="BR2642" s="497">
        <v>46.94</v>
      </c>
      <c r="BT2642" s="42"/>
    </row>
    <row r="2643" spans="1:72" x14ac:dyDescent="0.25">
      <c r="A2643" s="90">
        <v>33348</v>
      </c>
      <c r="B2643" s="20">
        <v>0.375</v>
      </c>
      <c r="D2643">
        <v>55.94</v>
      </c>
      <c r="E2643" t="str">
        <f t="shared" ref="E2643:E2706" si="118">IF(COUNTIF($DI$18:$DI$22, WEEKDAY(A2643))=1, "WEEKDAY", IF(WEEKDAY(A2643) = 1, "SUNDAY", "SATURDAY"))</f>
        <v>SATURDAY</v>
      </c>
      <c r="F2643" t="e">
        <f t="shared" si="117"/>
        <v>#N/A</v>
      </c>
      <c r="G2643" s="74">
        <v>32983</v>
      </c>
      <c r="H2643" s="77">
        <v>0.375</v>
      </c>
      <c r="J2643">
        <v>51.980000000000004</v>
      </c>
      <c r="M2643" s="74">
        <v>33348</v>
      </c>
      <c r="N2643" s="77">
        <v>0.375</v>
      </c>
      <c r="P2643">
        <v>44.96</v>
      </c>
      <c r="S2643" s="74">
        <v>33348</v>
      </c>
      <c r="T2643" s="77">
        <v>0.375</v>
      </c>
      <c r="V2643">
        <v>44.96</v>
      </c>
      <c r="X2643" s="42"/>
      <c r="AB2643">
        <v>51.9</v>
      </c>
      <c r="AC2643">
        <v>46.94</v>
      </c>
      <c r="AE2643" s="74"/>
      <c r="AF2643" s="77"/>
      <c r="AH2643" s="497">
        <v>44.96</v>
      </c>
      <c r="AJ2643" s="42"/>
      <c r="AK2643" s="74"/>
      <c r="AL2643" s="77"/>
      <c r="AN2643" s="497">
        <v>60.08</v>
      </c>
      <c r="AP2643" s="42"/>
      <c r="AQ2643" s="74"/>
      <c r="AR2643" s="77"/>
      <c r="AT2643" s="497">
        <v>46.94</v>
      </c>
      <c r="AV2643" s="42"/>
      <c r="AW2643" s="74"/>
      <c r="AX2643" s="77"/>
      <c r="BA2643" s="497">
        <v>48.92</v>
      </c>
      <c r="BB2643" s="42"/>
      <c r="BC2643" s="74"/>
      <c r="BD2643" s="77"/>
      <c r="BF2643">
        <v>57.92</v>
      </c>
      <c r="BH2643" s="42"/>
      <c r="BI2643" s="74"/>
      <c r="BJ2643" s="77"/>
      <c r="BL2643" s="497">
        <v>44.06</v>
      </c>
      <c r="BN2643" s="42"/>
      <c r="BO2643" s="74"/>
      <c r="BP2643" s="77"/>
      <c r="BR2643" s="497">
        <v>48.019999999999996</v>
      </c>
      <c r="BT2643" s="42"/>
    </row>
    <row r="2644" spans="1:72" x14ac:dyDescent="0.25">
      <c r="A2644" s="90">
        <v>33348</v>
      </c>
      <c r="B2644" s="20">
        <v>0.41666666666666669</v>
      </c>
      <c r="D2644">
        <v>57.019999999999996</v>
      </c>
      <c r="E2644" t="str">
        <f t="shared" si="118"/>
        <v>SATURDAY</v>
      </c>
      <c r="F2644" t="e">
        <f t="shared" si="117"/>
        <v>#N/A</v>
      </c>
      <c r="G2644" s="74">
        <v>32983</v>
      </c>
      <c r="H2644" s="77">
        <v>0.41666666666666669</v>
      </c>
      <c r="J2644">
        <v>53.96</v>
      </c>
      <c r="M2644" s="74">
        <v>33348</v>
      </c>
      <c r="N2644" s="77">
        <v>0.41666666666666669</v>
      </c>
      <c r="P2644">
        <v>44.06</v>
      </c>
      <c r="S2644" s="74">
        <v>33348</v>
      </c>
      <c r="T2644" s="77">
        <v>0.41666666666666669</v>
      </c>
      <c r="V2644">
        <v>46.04</v>
      </c>
      <c r="X2644" s="42"/>
      <c r="AB2644">
        <v>53.7</v>
      </c>
      <c r="AC2644">
        <v>50</v>
      </c>
      <c r="AE2644" s="74"/>
      <c r="AF2644" s="77"/>
      <c r="AH2644" s="497">
        <v>46.94</v>
      </c>
      <c r="AJ2644" s="42"/>
      <c r="AK2644" s="74"/>
      <c r="AL2644" s="77"/>
      <c r="AN2644" s="497">
        <v>62.06</v>
      </c>
      <c r="AP2644" s="42"/>
      <c r="AQ2644" s="74"/>
      <c r="AR2644" s="77"/>
      <c r="AT2644" s="497">
        <v>48.019999999999996</v>
      </c>
      <c r="AV2644" s="42"/>
      <c r="AW2644" s="74"/>
      <c r="AX2644" s="77"/>
      <c r="BA2644" s="497">
        <v>50</v>
      </c>
      <c r="BB2644" s="42"/>
      <c r="BC2644" s="74"/>
      <c r="BD2644" s="77"/>
      <c r="BF2644">
        <v>57.92</v>
      </c>
      <c r="BH2644" s="42"/>
      <c r="BI2644" s="74"/>
      <c r="BJ2644" s="77"/>
      <c r="BL2644" s="497">
        <v>44.06</v>
      </c>
      <c r="BN2644" s="42"/>
      <c r="BO2644" s="74"/>
      <c r="BP2644" s="77"/>
      <c r="BR2644" s="497">
        <v>51.08</v>
      </c>
      <c r="BT2644" s="42"/>
    </row>
    <row r="2645" spans="1:72" x14ac:dyDescent="0.25">
      <c r="A2645" s="90">
        <v>33348</v>
      </c>
      <c r="B2645" s="20">
        <v>0.45833333333333331</v>
      </c>
      <c r="D2645">
        <v>59</v>
      </c>
      <c r="E2645" t="str">
        <f t="shared" si="118"/>
        <v>SATURDAY</v>
      </c>
      <c r="F2645" t="e">
        <f t="shared" si="117"/>
        <v>#N/A</v>
      </c>
      <c r="G2645" s="74">
        <v>32983</v>
      </c>
      <c r="H2645" s="77">
        <v>0.45833333333333331</v>
      </c>
      <c r="J2645">
        <v>57.92</v>
      </c>
      <c r="M2645" s="74">
        <v>33348</v>
      </c>
      <c r="N2645" s="77">
        <v>0.45833333333333331</v>
      </c>
      <c r="P2645">
        <v>46.04</v>
      </c>
      <c r="S2645" s="74">
        <v>33348</v>
      </c>
      <c r="T2645" s="77">
        <v>0.45833333333333331</v>
      </c>
      <c r="V2645">
        <v>46.94</v>
      </c>
      <c r="X2645" s="42"/>
      <c r="AB2645">
        <v>55.4</v>
      </c>
      <c r="AC2645">
        <v>48.92</v>
      </c>
      <c r="AE2645" s="74"/>
      <c r="AF2645" s="77"/>
      <c r="AH2645" s="497">
        <v>48.019999999999996</v>
      </c>
      <c r="AJ2645" s="42"/>
      <c r="AK2645" s="74"/>
      <c r="AL2645" s="77"/>
      <c r="AN2645" s="497">
        <v>62.06</v>
      </c>
      <c r="AP2645" s="42"/>
      <c r="AQ2645" s="74"/>
      <c r="AR2645" s="77"/>
      <c r="AT2645" s="497">
        <v>48.92</v>
      </c>
      <c r="AV2645" s="42"/>
      <c r="AW2645" s="74"/>
      <c r="AX2645" s="77"/>
      <c r="BA2645" s="497">
        <v>53.06</v>
      </c>
      <c r="BB2645" s="42"/>
      <c r="BC2645" s="74"/>
      <c r="BD2645" s="77"/>
      <c r="BF2645">
        <v>60.980000000000004</v>
      </c>
      <c r="BH2645" s="42"/>
      <c r="BI2645" s="74"/>
      <c r="BJ2645" s="77"/>
      <c r="BL2645" s="497">
        <v>48.019999999999996</v>
      </c>
      <c r="BN2645" s="42"/>
      <c r="BO2645" s="74"/>
      <c r="BP2645" s="77"/>
      <c r="BR2645" s="497">
        <v>51.08</v>
      </c>
      <c r="BT2645" s="42"/>
    </row>
    <row r="2646" spans="1:72" x14ac:dyDescent="0.25">
      <c r="A2646" s="90">
        <v>33348</v>
      </c>
      <c r="B2646" s="20">
        <v>0.5</v>
      </c>
      <c r="D2646">
        <v>60.08</v>
      </c>
      <c r="E2646" t="str">
        <f t="shared" si="118"/>
        <v>SATURDAY</v>
      </c>
      <c r="F2646" t="e">
        <f t="shared" si="117"/>
        <v>#N/A</v>
      </c>
      <c r="G2646" s="74">
        <v>32983</v>
      </c>
      <c r="H2646" s="77">
        <v>0.5</v>
      </c>
      <c r="J2646">
        <v>62.06</v>
      </c>
      <c r="M2646" s="74">
        <v>33348</v>
      </c>
      <c r="N2646" s="77">
        <v>0.5</v>
      </c>
      <c r="P2646">
        <v>48.019999999999996</v>
      </c>
      <c r="S2646" s="74">
        <v>33348</v>
      </c>
      <c r="T2646" s="77">
        <v>0.5</v>
      </c>
      <c r="V2646">
        <v>48.019999999999996</v>
      </c>
      <c r="X2646" s="42"/>
      <c r="AB2646">
        <v>56.7</v>
      </c>
      <c r="AC2646">
        <v>51.08</v>
      </c>
      <c r="AE2646" s="74"/>
      <c r="AF2646" s="77"/>
      <c r="AH2646" s="497">
        <v>51.08</v>
      </c>
      <c r="AJ2646" s="42"/>
      <c r="AK2646" s="74"/>
      <c r="AL2646" s="77"/>
      <c r="AN2646" s="497">
        <v>53.06</v>
      </c>
      <c r="AP2646" s="42"/>
      <c r="AQ2646" s="74"/>
      <c r="AR2646" s="77"/>
      <c r="AT2646" s="497">
        <v>50</v>
      </c>
      <c r="AV2646" s="42"/>
      <c r="AW2646" s="74"/>
      <c r="AX2646" s="77"/>
      <c r="BA2646" s="497">
        <v>55.94</v>
      </c>
      <c r="BB2646" s="42"/>
      <c r="BC2646" s="74"/>
      <c r="BD2646" s="77"/>
      <c r="BF2646">
        <v>62.06</v>
      </c>
      <c r="BH2646" s="42"/>
      <c r="BI2646" s="74"/>
      <c r="BJ2646" s="77"/>
      <c r="BL2646" s="497">
        <v>48.92</v>
      </c>
      <c r="BN2646" s="42"/>
      <c r="BO2646" s="74"/>
      <c r="BP2646" s="77"/>
      <c r="BR2646" s="497">
        <v>53.06</v>
      </c>
      <c r="BT2646" s="42"/>
    </row>
    <row r="2647" spans="1:72" x14ac:dyDescent="0.25">
      <c r="A2647" s="90">
        <v>33348</v>
      </c>
      <c r="B2647" s="20">
        <v>0.54166666666666663</v>
      </c>
      <c r="D2647">
        <v>60.08</v>
      </c>
      <c r="E2647" t="str">
        <f t="shared" si="118"/>
        <v>SATURDAY</v>
      </c>
      <c r="F2647" t="e">
        <f t="shared" si="117"/>
        <v>#N/A</v>
      </c>
      <c r="G2647" s="74">
        <v>32983</v>
      </c>
      <c r="H2647" s="77">
        <v>0.54166666666666663</v>
      </c>
      <c r="J2647">
        <v>62.06</v>
      </c>
      <c r="M2647" s="74">
        <v>33348</v>
      </c>
      <c r="N2647" s="77">
        <v>0.54166666666666663</v>
      </c>
      <c r="P2647">
        <v>55.040000000000006</v>
      </c>
      <c r="S2647" s="74">
        <v>33348</v>
      </c>
      <c r="T2647" s="77">
        <v>0.54166666666666663</v>
      </c>
      <c r="V2647">
        <v>48.019999999999996</v>
      </c>
      <c r="X2647" s="42"/>
      <c r="AB2647">
        <v>57.6</v>
      </c>
      <c r="AC2647">
        <v>50</v>
      </c>
      <c r="AE2647" s="74"/>
      <c r="AF2647" s="77"/>
      <c r="AH2647" s="497">
        <v>51.980000000000004</v>
      </c>
      <c r="AJ2647" s="42"/>
      <c r="AK2647" s="74"/>
      <c r="AL2647" s="77"/>
      <c r="AN2647" s="497">
        <v>57.019999999999996</v>
      </c>
      <c r="AP2647" s="42"/>
      <c r="AQ2647" s="74"/>
      <c r="AR2647" s="77"/>
      <c r="AT2647" s="497">
        <v>50</v>
      </c>
      <c r="AV2647" s="42"/>
      <c r="AW2647" s="74"/>
      <c r="AX2647" s="77"/>
      <c r="BA2647" s="497">
        <v>55.94</v>
      </c>
      <c r="BB2647" s="42"/>
      <c r="BC2647" s="74"/>
      <c r="BD2647" s="77"/>
      <c r="BF2647">
        <v>55.040000000000006</v>
      </c>
      <c r="BH2647" s="42"/>
      <c r="BI2647" s="74"/>
      <c r="BJ2647" s="77"/>
      <c r="BL2647" s="497">
        <v>50</v>
      </c>
      <c r="BN2647" s="42"/>
      <c r="BO2647" s="74"/>
      <c r="BP2647" s="77"/>
      <c r="BR2647" s="497">
        <v>57.019999999999996</v>
      </c>
      <c r="BT2647" s="42"/>
    </row>
    <row r="2648" spans="1:72" x14ac:dyDescent="0.25">
      <c r="A2648" s="90">
        <v>33348</v>
      </c>
      <c r="B2648" s="20">
        <v>0.58333333333333337</v>
      </c>
      <c r="D2648">
        <v>60.08</v>
      </c>
      <c r="E2648" t="str">
        <f t="shared" si="118"/>
        <v>SATURDAY</v>
      </c>
      <c r="F2648" t="e">
        <f t="shared" si="117"/>
        <v>#N/A</v>
      </c>
      <c r="G2648" s="74">
        <v>32983</v>
      </c>
      <c r="H2648" s="77">
        <v>0.58333333333333337</v>
      </c>
      <c r="J2648">
        <v>60.08</v>
      </c>
      <c r="M2648" s="74">
        <v>33348</v>
      </c>
      <c r="N2648" s="77">
        <v>0.58333333333333337</v>
      </c>
      <c r="P2648">
        <v>50</v>
      </c>
      <c r="S2648" s="74">
        <v>33348</v>
      </c>
      <c r="T2648" s="77">
        <v>0.58333333333333337</v>
      </c>
      <c r="V2648">
        <v>48.019999999999996</v>
      </c>
      <c r="X2648" s="42"/>
      <c r="AB2648">
        <v>58.1</v>
      </c>
      <c r="AC2648">
        <v>50</v>
      </c>
      <c r="AE2648" s="74"/>
      <c r="AF2648" s="77"/>
      <c r="AH2648" s="497">
        <v>53.06</v>
      </c>
      <c r="AJ2648" s="42"/>
      <c r="AK2648" s="74"/>
      <c r="AL2648" s="77"/>
      <c r="AN2648" s="497">
        <v>64.039999999999992</v>
      </c>
      <c r="AP2648" s="42"/>
      <c r="AQ2648" s="74"/>
      <c r="AR2648" s="77"/>
      <c r="AT2648" s="497">
        <v>50</v>
      </c>
      <c r="AV2648" s="42"/>
      <c r="AW2648" s="74"/>
      <c r="AX2648" s="77"/>
      <c r="BA2648" s="497">
        <v>55.94</v>
      </c>
      <c r="BB2648" s="42"/>
      <c r="BC2648" s="74"/>
      <c r="BD2648" s="77"/>
      <c r="BF2648">
        <v>55.94</v>
      </c>
      <c r="BH2648" s="42"/>
      <c r="BI2648" s="74"/>
      <c r="BJ2648" s="77"/>
      <c r="BL2648" s="497">
        <v>51.980000000000004</v>
      </c>
      <c r="BN2648" s="42"/>
      <c r="BO2648" s="74"/>
      <c r="BP2648" s="77"/>
      <c r="BR2648" s="497">
        <v>59</v>
      </c>
      <c r="BT2648" s="42"/>
    </row>
    <row r="2649" spans="1:72" x14ac:dyDescent="0.25">
      <c r="A2649" s="90">
        <v>33348</v>
      </c>
      <c r="B2649" s="20">
        <v>0.625</v>
      </c>
      <c r="D2649">
        <v>59</v>
      </c>
      <c r="E2649" t="str">
        <f t="shared" si="118"/>
        <v>SATURDAY</v>
      </c>
      <c r="F2649" t="e">
        <f t="shared" si="117"/>
        <v>#N/A</v>
      </c>
      <c r="G2649" s="74">
        <v>32983</v>
      </c>
      <c r="H2649" s="77">
        <v>0.625</v>
      </c>
      <c r="J2649">
        <v>60.980000000000004</v>
      </c>
      <c r="M2649" s="74">
        <v>33348</v>
      </c>
      <c r="N2649" s="77">
        <v>0.625</v>
      </c>
      <c r="P2649">
        <v>50</v>
      </c>
      <c r="S2649" s="74">
        <v>33348</v>
      </c>
      <c r="T2649" s="77">
        <v>0.625</v>
      </c>
      <c r="V2649">
        <v>46.94</v>
      </c>
      <c r="X2649" s="42"/>
      <c r="AB2649">
        <v>58.2</v>
      </c>
      <c r="AC2649">
        <v>48.019999999999996</v>
      </c>
      <c r="AE2649" s="74"/>
      <c r="AF2649" s="77"/>
      <c r="AH2649" s="497">
        <v>53.96</v>
      </c>
      <c r="AJ2649" s="42"/>
      <c r="AK2649" s="74"/>
      <c r="AL2649" s="77"/>
      <c r="AN2649" s="497">
        <v>59</v>
      </c>
      <c r="AP2649" s="42"/>
      <c r="AQ2649" s="74"/>
      <c r="AR2649" s="77"/>
      <c r="AT2649" s="497">
        <v>50</v>
      </c>
      <c r="AV2649" s="42"/>
      <c r="AW2649" s="74"/>
      <c r="AX2649" s="77"/>
      <c r="BA2649" s="497">
        <v>57.92</v>
      </c>
      <c r="BB2649" s="42"/>
      <c r="BC2649" s="74"/>
      <c r="BD2649" s="77"/>
      <c r="BF2649">
        <v>57.92</v>
      </c>
      <c r="BH2649" s="42"/>
      <c r="BI2649" s="74"/>
      <c r="BJ2649" s="77"/>
      <c r="BL2649" s="497">
        <v>53.96</v>
      </c>
      <c r="BN2649" s="42"/>
      <c r="BO2649" s="74"/>
      <c r="BP2649" s="77"/>
      <c r="BR2649" s="497">
        <v>62.06</v>
      </c>
      <c r="BT2649" s="42"/>
    </row>
    <row r="2650" spans="1:72" x14ac:dyDescent="0.25">
      <c r="A2650" s="90">
        <v>33348</v>
      </c>
      <c r="B2650" s="20">
        <v>0.66666666666666663</v>
      </c>
      <c r="D2650">
        <v>60.08</v>
      </c>
      <c r="E2650" t="str">
        <f t="shared" si="118"/>
        <v>SATURDAY</v>
      </c>
      <c r="F2650" t="e">
        <f t="shared" si="117"/>
        <v>#N/A</v>
      </c>
      <c r="G2650" s="74">
        <v>32983</v>
      </c>
      <c r="H2650" s="77">
        <v>0.66666666666666663</v>
      </c>
      <c r="J2650">
        <v>60.980000000000004</v>
      </c>
      <c r="M2650" s="74">
        <v>33348</v>
      </c>
      <c r="N2650" s="77">
        <v>0.66666666666666663</v>
      </c>
      <c r="P2650">
        <v>50</v>
      </c>
      <c r="S2650" s="74">
        <v>33348</v>
      </c>
      <c r="T2650" s="77">
        <v>0.66666666666666663</v>
      </c>
      <c r="V2650">
        <v>48.019999999999996</v>
      </c>
      <c r="X2650" s="42"/>
      <c r="AB2650">
        <v>57.8</v>
      </c>
      <c r="AC2650">
        <v>48.019999999999996</v>
      </c>
      <c r="AE2650" s="74"/>
      <c r="AF2650" s="77"/>
      <c r="AH2650" s="497">
        <v>55.94</v>
      </c>
      <c r="AJ2650" s="42"/>
      <c r="AK2650" s="74"/>
      <c r="AL2650" s="77"/>
      <c r="AN2650" s="497">
        <v>62.06</v>
      </c>
      <c r="AP2650" s="42"/>
      <c r="AQ2650" s="74"/>
      <c r="AR2650" s="77"/>
      <c r="AT2650" s="497">
        <v>48.92</v>
      </c>
      <c r="AV2650" s="42"/>
      <c r="AW2650" s="74"/>
      <c r="AX2650" s="77"/>
      <c r="BA2650" s="497">
        <v>57.92</v>
      </c>
      <c r="BB2650" s="42"/>
      <c r="BC2650" s="74"/>
      <c r="BD2650" s="77"/>
      <c r="BF2650">
        <v>59</v>
      </c>
      <c r="BH2650" s="42"/>
      <c r="BI2650" s="74"/>
      <c r="BJ2650" s="77"/>
      <c r="BL2650" s="497">
        <v>53.96</v>
      </c>
      <c r="BN2650" s="42"/>
      <c r="BO2650" s="74"/>
      <c r="BP2650" s="77"/>
      <c r="BR2650" s="497">
        <v>60.980000000000004</v>
      </c>
      <c r="BT2650" s="42"/>
    </row>
    <row r="2651" spans="1:72" x14ac:dyDescent="0.25">
      <c r="A2651" s="90">
        <v>33348</v>
      </c>
      <c r="B2651" s="20">
        <v>0.70833333333333337</v>
      </c>
      <c r="D2651">
        <v>60.980000000000004</v>
      </c>
      <c r="E2651" t="str">
        <f t="shared" si="118"/>
        <v>SATURDAY</v>
      </c>
      <c r="F2651" t="e">
        <f t="shared" si="117"/>
        <v>#N/A</v>
      </c>
      <c r="G2651" s="74">
        <v>32983</v>
      </c>
      <c r="H2651" s="77">
        <v>0.70833333333333337</v>
      </c>
      <c r="J2651">
        <v>62.06</v>
      </c>
      <c r="M2651" s="74">
        <v>33348</v>
      </c>
      <c r="N2651" s="77">
        <v>0.70833333333333337</v>
      </c>
      <c r="P2651">
        <v>48.92</v>
      </c>
      <c r="S2651" s="74">
        <v>33348</v>
      </c>
      <c r="T2651" s="77">
        <v>0.70833333333333337</v>
      </c>
      <c r="V2651">
        <v>46.94</v>
      </c>
      <c r="X2651" s="42"/>
      <c r="AB2651">
        <v>57</v>
      </c>
      <c r="AC2651">
        <v>48.019999999999996</v>
      </c>
      <c r="AE2651" s="74"/>
      <c r="AF2651" s="77"/>
      <c r="AH2651" s="497">
        <v>53.96</v>
      </c>
      <c r="AJ2651" s="42"/>
      <c r="AK2651" s="74"/>
      <c r="AL2651" s="77"/>
      <c r="AN2651" s="497">
        <v>62.06</v>
      </c>
      <c r="AP2651" s="42"/>
      <c r="AQ2651" s="74"/>
      <c r="AR2651" s="77"/>
      <c r="AT2651" s="497">
        <v>48.92</v>
      </c>
      <c r="AV2651" s="42"/>
      <c r="AW2651" s="74"/>
      <c r="AX2651" s="77"/>
      <c r="BA2651" s="497">
        <v>57.92</v>
      </c>
      <c r="BB2651" s="42"/>
      <c r="BC2651" s="74"/>
      <c r="BD2651" s="77"/>
      <c r="BF2651">
        <v>59</v>
      </c>
      <c r="BH2651" s="42"/>
      <c r="BI2651" s="74"/>
      <c r="BJ2651" s="77"/>
      <c r="BL2651" s="497">
        <v>53.96</v>
      </c>
      <c r="BN2651" s="42"/>
      <c r="BO2651" s="74"/>
      <c r="BP2651" s="77"/>
      <c r="BR2651" s="497">
        <v>62.06</v>
      </c>
      <c r="BT2651" s="42"/>
    </row>
    <row r="2652" spans="1:72" x14ac:dyDescent="0.25">
      <c r="A2652" s="90">
        <v>33348</v>
      </c>
      <c r="B2652" s="20">
        <v>0.75</v>
      </c>
      <c r="D2652">
        <v>59</v>
      </c>
      <c r="E2652" t="str">
        <f t="shared" si="118"/>
        <v>SATURDAY</v>
      </c>
      <c r="F2652" t="e">
        <f t="shared" si="117"/>
        <v>#N/A</v>
      </c>
      <c r="G2652" s="74">
        <v>32983</v>
      </c>
      <c r="H2652" s="77">
        <v>0.75</v>
      </c>
      <c r="J2652">
        <v>60.980000000000004</v>
      </c>
      <c r="M2652" s="74">
        <v>33348</v>
      </c>
      <c r="N2652" s="77">
        <v>0.75</v>
      </c>
      <c r="P2652">
        <v>48.019999999999996</v>
      </c>
      <c r="S2652" s="74">
        <v>33348</v>
      </c>
      <c r="T2652" s="77">
        <v>0.75</v>
      </c>
      <c r="V2652">
        <v>46.94</v>
      </c>
      <c r="X2652" s="42"/>
      <c r="AB2652">
        <v>55.7</v>
      </c>
      <c r="AC2652">
        <v>48.019999999999996</v>
      </c>
      <c r="AE2652" s="74"/>
      <c r="AF2652" s="77"/>
      <c r="AH2652" s="497">
        <v>53.06</v>
      </c>
      <c r="AJ2652" s="42"/>
      <c r="AK2652" s="74"/>
      <c r="AL2652" s="77"/>
      <c r="AN2652" s="497">
        <v>57.92</v>
      </c>
      <c r="AP2652" s="42"/>
      <c r="AQ2652" s="74"/>
      <c r="AR2652" s="77"/>
      <c r="AT2652" s="497">
        <v>46.94</v>
      </c>
      <c r="AV2652" s="42"/>
      <c r="AW2652" s="74"/>
      <c r="AX2652" s="77"/>
      <c r="BA2652" s="497">
        <v>57.92</v>
      </c>
      <c r="BB2652" s="42"/>
      <c r="BC2652" s="74"/>
      <c r="BD2652" s="77"/>
      <c r="BF2652">
        <v>55.040000000000006</v>
      </c>
      <c r="BH2652" s="42"/>
      <c r="BI2652" s="74"/>
      <c r="BJ2652" s="77"/>
      <c r="BL2652" s="497">
        <v>53.06</v>
      </c>
      <c r="BN2652" s="42"/>
      <c r="BO2652" s="74"/>
      <c r="BP2652" s="77"/>
      <c r="BR2652" s="497">
        <v>59</v>
      </c>
      <c r="BT2652" s="42"/>
    </row>
    <row r="2653" spans="1:72" x14ac:dyDescent="0.25">
      <c r="A2653" s="90">
        <v>33348</v>
      </c>
      <c r="B2653" s="20">
        <v>0.79166666666666663</v>
      </c>
      <c r="D2653">
        <v>57.019999999999996</v>
      </c>
      <c r="E2653" t="str">
        <f t="shared" si="118"/>
        <v>SATURDAY</v>
      </c>
      <c r="F2653" t="e">
        <f t="shared" si="117"/>
        <v>#N/A</v>
      </c>
      <c r="G2653" s="74">
        <v>32983</v>
      </c>
      <c r="H2653" s="77">
        <v>0.79166666666666663</v>
      </c>
      <c r="J2653">
        <v>60.08</v>
      </c>
      <c r="M2653" s="74">
        <v>33348</v>
      </c>
      <c r="N2653" s="77">
        <v>0.79166666666666663</v>
      </c>
      <c r="P2653">
        <v>48.019999999999996</v>
      </c>
      <c r="S2653" s="74">
        <v>33348</v>
      </c>
      <c r="T2653" s="77">
        <v>0.79166666666666663</v>
      </c>
      <c r="V2653">
        <v>48.019999999999996</v>
      </c>
      <c r="X2653" s="42"/>
      <c r="AB2653">
        <v>54.3</v>
      </c>
      <c r="AC2653">
        <v>48.019999999999996</v>
      </c>
      <c r="AE2653" s="74"/>
      <c r="AF2653" s="77"/>
      <c r="AH2653" s="497">
        <v>51.980000000000004</v>
      </c>
      <c r="AJ2653" s="42"/>
      <c r="AK2653" s="74"/>
      <c r="AL2653" s="77"/>
      <c r="AN2653" s="497">
        <v>55.94</v>
      </c>
      <c r="AP2653" s="42"/>
      <c r="AQ2653" s="74"/>
      <c r="AR2653" s="77"/>
      <c r="AT2653" s="497">
        <v>44.96</v>
      </c>
      <c r="AV2653" s="42"/>
      <c r="AW2653" s="74"/>
      <c r="AX2653" s="77"/>
      <c r="BA2653" s="497">
        <v>55.040000000000006</v>
      </c>
      <c r="BB2653" s="42"/>
      <c r="BC2653" s="74"/>
      <c r="BD2653" s="77"/>
      <c r="BF2653">
        <v>51.08</v>
      </c>
      <c r="BH2653" s="42"/>
      <c r="BI2653" s="74"/>
      <c r="BJ2653" s="77"/>
      <c r="BL2653" s="497">
        <v>48.92</v>
      </c>
      <c r="BN2653" s="42"/>
      <c r="BO2653" s="74"/>
      <c r="BP2653" s="77"/>
      <c r="BR2653" s="497">
        <v>57.019999999999996</v>
      </c>
      <c r="BT2653" s="42"/>
    </row>
    <row r="2654" spans="1:72" x14ac:dyDescent="0.25">
      <c r="A2654" s="90">
        <v>33348</v>
      </c>
      <c r="B2654" s="20">
        <v>0.83333333333333337</v>
      </c>
      <c r="D2654">
        <v>55.94</v>
      </c>
      <c r="E2654" t="str">
        <f t="shared" si="118"/>
        <v>SATURDAY</v>
      </c>
      <c r="F2654" t="e">
        <f t="shared" si="117"/>
        <v>#N/A</v>
      </c>
      <c r="G2654" s="74">
        <v>32983</v>
      </c>
      <c r="H2654" s="77">
        <v>0.83333333333333337</v>
      </c>
      <c r="J2654">
        <v>60.08</v>
      </c>
      <c r="M2654" s="74">
        <v>33348</v>
      </c>
      <c r="N2654" s="77">
        <v>0.83333333333333337</v>
      </c>
      <c r="P2654">
        <v>46.94</v>
      </c>
      <c r="S2654" s="74">
        <v>33348</v>
      </c>
      <c r="T2654" s="77">
        <v>0.83333333333333337</v>
      </c>
      <c r="V2654">
        <v>48.019999999999996</v>
      </c>
      <c r="X2654" s="42"/>
      <c r="AB2654">
        <v>52.9</v>
      </c>
      <c r="AC2654">
        <v>48.019999999999996</v>
      </c>
      <c r="AE2654" s="74"/>
      <c r="AF2654" s="77"/>
      <c r="AH2654" s="497">
        <v>51.980000000000004</v>
      </c>
      <c r="AJ2654" s="42"/>
      <c r="AK2654" s="74"/>
      <c r="AL2654" s="77"/>
      <c r="AN2654" s="497">
        <v>53.06</v>
      </c>
      <c r="AP2654" s="42"/>
      <c r="AQ2654" s="74"/>
      <c r="AR2654" s="77"/>
      <c r="AT2654" s="497">
        <v>42.980000000000004</v>
      </c>
      <c r="AV2654" s="42"/>
      <c r="AW2654" s="74"/>
      <c r="AX2654" s="77"/>
      <c r="BA2654" s="497">
        <v>51.980000000000004</v>
      </c>
      <c r="BB2654" s="42"/>
      <c r="BC2654" s="74"/>
      <c r="BD2654" s="77"/>
      <c r="BF2654">
        <v>46.04</v>
      </c>
      <c r="BH2654" s="42"/>
      <c r="BI2654" s="74"/>
      <c r="BJ2654" s="77"/>
      <c r="BL2654" s="497">
        <v>46.04</v>
      </c>
      <c r="BN2654" s="42"/>
      <c r="BO2654" s="74"/>
      <c r="BP2654" s="77"/>
      <c r="BR2654" s="497">
        <v>55.040000000000006</v>
      </c>
      <c r="BT2654" s="42"/>
    </row>
    <row r="2655" spans="1:72" x14ac:dyDescent="0.25">
      <c r="A2655" s="90">
        <v>33348</v>
      </c>
      <c r="B2655" s="20">
        <v>0.875</v>
      </c>
      <c r="D2655">
        <v>55.040000000000006</v>
      </c>
      <c r="E2655" t="str">
        <f t="shared" si="118"/>
        <v>SATURDAY</v>
      </c>
      <c r="F2655" t="e">
        <f t="shared" si="117"/>
        <v>#N/A</v>
      </c>
      <c r="G2655" s="74">
        <v>32983</v>
      </c>
      <c r="H2655" s="77">
        <v>0.875</v>
      </c>
      <c r="J2655">
        <v>60.08</v>
      </c>
      <c r="M2655" s="74">
        <v>33348</v>
      </c>
      <c r="N2655" s="77">
        <v>0.875</v>
      </c>
      <c r="P2655">
        <v>46.94</v>
      </c>
      <c r="S2655" s="74">
        <v>33348</v>
      </c>
      <c r="T2655" s="77">
        <v>0.875</v>
      </c>
      <c r="V2655">
        <v>48.92</v>
      </c>
      <c r="X2655" s="42"/>
      <c r="AB2655">
        <v>52</v>
      </c>
      <c r="AC2655">
        <v>48.019999999999996</v>
      </c>
      <c r="AE2655" s="74"/>
      <c r="AF2655" s="77"/>
      <c r="AH2655" s="497">
        <v>51.08</v>
      </c>
      <c r="AJ2655" s="42"/>
      <c r="AK2655" s="74"/>
      <c r="AL2655" s="77"/>
      <c r="AN2655" s="497">
        <v>51.08</v>
      </c>
      <c r="AP2655" s="42"/>
      <c r="AQ2655" s="74"/>
      <c r="AR2655" s="77"/>
      <c r="AT2655" s="497">
        <v>41</v>
      </c>
      <c r="AV2655" s="42"/>
      <c r="AW2655" s="74"/>
      <c r="AX2655" s="77"/>
      <c r="BA2655" s="497">
        <v>51.980000000000004</v>
      </c>
      <c r="BB2655" s="42"/>
      <c r="BC2655" s="74"/>
      <c r="BD2655" s="77"/>
      <c r="BF2655">
        <v>44.06</v>
      </c>
      <c r="BH2655" s="42"/>
      <c r="BI2655" s="74"/>
      <c r="BJ2655" s="77"/>
      <c r="BL2655" s="497">
        <v>42.980000000000004</v>
      </c>
      <c r="BN2655" s="42"/>
      <c r="BO2655" s="74"/>
      <c r="BP2655" s="77"/>
      <c r="BR2655" s="497">
        <v>53.96</v>
      </c>
      <c r="BT2655" s="42"/>
    </row>
    <row r="2656" spans="1:72" x14ac:dyDescent="0.25">
      <c r="A2656" s="90">
        <v>33348</v>
      </c>
      <c r="B2656" s="20">
        <v>0.91666666666666663</v>
      </c>
      <c r="D2656">
        <v>51.980000000000004</v>
      </c>
      <c r="E2656" t="str">
        <f t="shared" si="118"/>
        <v>SATURDAY</v>
      </c>
      <c r="F2656" t="e">
        <f t="shared" si="117"/>
        <v>#N/A</v>
      </c>
      <c r="G2656" s="74">
        <v>32983</v>
      </c>
      <c r="H2656" s="77">
        <v>0.91666666666666663</v>
      </c>
      <c r="J2656">
        <v>62.06</v>
      </c>
      <c r="M2656" s="74">
        <v>33348</v>
      </c>
      <c r="N2656" s="77">
        <v>0.91666666666666663</v>
      </c>
      <c r="P2656">
        <v>46.94</v>
      </c>
      <c r="S2656" s="74">
        <v>33348</v>
      </c>
      <c r="T2656" s="77">
        <v>0.91666666666666663</v>
      </c>
      <c r="V2656">
        <v>48.92</v>
      </c>
      <c r="X2656" s="42"/>
      <c r="AB2656">
        <v>51.5</v>
      </c>
      <c r="AC2656">
        <v>46.94</v>
      </c>
      <c r="AE2656" s="74"/>
      <c r="AF2656" s="77"/>
      <c r="AH2656" s="497">
        <v>51.08</v>
      </c>
      <c r="AJ2656" s="42"/>
      <c r="AK2656" s="74"/>
      <c r="AL2656" s="77"/>
      <c r="AN2656" s="497">
        <v>50</v>
      </c>
      <c r="AP2656" s="42"/>
      <c r="AQ2656" s="74"/>
      <c r="AR2656" s="77"/>
      <c r="AT2656" s="497">
        <v>37.94</v>
      </c>
      <c r="AV2656" s="42"/>
      <c r="AW2656" s="74"/>
      <c r="AX2656" s="77"/>
      <c r="BA2656" s="497">
        <v>48.92</v>
      </c>
      <c r="BB2656" s="42"/>
      <c r="BC2656" s="74"/>
      <c r="BD2656" s="77"/>
      <c r="BF2656">
        <v>44.06</v>
      </c>
      <c r="BH2656" s="42"/>
      <c r="BI2656" s="74"/>
      <c r="BJ2656" s="77"/>
      <c r="BL2656" s="497">
        <v>41</v>
      </c>
      <c r="BN2656" s="42"/>
      <c r="BO2656" s="74"/>
      <c r="BP2656" s="77"/>
      <c r="BR2656" s="497">
        <v>53.96</v>
      </c>
      <c r="BT2656" s="42"/>
    </row>
    <row r="2657" spans="1:72" x14ac:dyDescent="0.25">
      <c r="A2657" s="90">
        <v>33348</v>
      </c>
      <c r="B2657" s="20">
        <v>0.95833333333333337</v>
      </c>
      <c r="D2657">
        <v>51.980000000000004</v>
      </c>
      <c r="E2657" t="str">
        <f t="shared" si="118"/>
        <v>SATURDAY</v>
      </c>
      <c r="F2657" t="e">
        <f t="shared" si="117"/>
        <v>#N/A</v>
      </c>
      <c r="G2657" s="74">
        <v>32983</v>
      </c>
      <c r="H2657" s="77">
        <v>0.95833333333333337</v>
      </c>
      <c r="J2657">
        <v>59</v>
      </c>
      <c r="M2657" s="74">
        <v>33348</v>
      </c>
      <c r="N2657" s="77">
        <v>0.95833333333333337</v>
      </c>
      <c r="P2657">
        <v>46.94</v>
      </c>
      <c r="S2657" s="74">
        <v>33348</v>
      </c>
      <c r="T2657" s="77">
        <v>0.95833333333333337</v>
      </c>
      <c r="V2657">
        <v>46.94</v>
      </c>
      <c r="X2657" s="42"/>
      <c r="AB2657">
        <v>50.9</v>
      </c>
      <c r="AC2657">
        <v>44.96</v>
      </c>
      <c r="AE2657" s="74"/>
      <c r="AF2657" s="77"/>
      <c r="AH2657" s="497">
        <v>51.08</v>
      </c>
      <c r="AJ2657" s="42"/>
      <c r="AK2657" s="74"/>
      <c r="AL2657" s="77"/>
      <c r="AN2657" s="497">
        <v>48.92</v>
      </c>
      <c r="AP2657" s="42"/>
      <c r="AQ2657" s="74"/>
      <c r="AR2657" s="77"/>
      <c r="AT2657" s="497">
        <v>35.96</v>
      </c>
      <c r="AV2657" s="42"/>
      <c r="AW2657" s="74"/>
      <c r="AX2657" s="77"/>
      <c r="BA2657" s="497">
        <v>48.019999999999996</v>
      </c>
      <c r="BB2657" s="42"/>
      <c r="BC2657" s="74"/>
      <c r="BD2657" s="77"/>
      <c r="BF2657">
        <v>44.96</v>
      </c>
      <c r="BH2657" s="42"/>
      <c r="BI2657" s="74"/>
      <c r="BJ2657" s="77"/>
      <c r="BL2657" s="497">
        <v>39.92</v>
      </c>
      <c r="BN2657" s="42"/>
      <c r="BO2657" s="74"/>
      <c r="BP2657" s="77"/>
      <c r="BR2657" s="497">
        <v>51.980000000000004</v>
      </c>
      <c r="BT2657" s="42"/>
    </row>
    <row r="2658" spans="1:72" x14ac:dyDescent="0.25">
      <c r="A2658" s="90">
        <v>33348</v>
      </c>
      <c r="B2658" s="20">
        <v>1</v>
      </c>
      <c r="D2658">
        <v>51.08</v>
      </c>
      <c r="E2658" t="str">
        <f t="shared" si="118"/>
        <v>SATURDAY</v>
      </c>
      <c r="F2658" t="e">
        <f t="shared" si="117"/>
        <v>#N/A</v>
      </c>
      <c r="G2658" s="74">
        <v>32983</v>
      </c>
      <c r="H2658" s="77">
        <v>1</v>
      </c>
      <c r="J2658">
        <v>57.019999999999996</v>
      </c>
      <c r="M2658" s="74">
        <v>33348</v>
      </c>
      <c r="N2658" s="80">
        <v>1</v>
      </c>
      <c r="P2658">
        <v>46.94</v>
      </c>
      <c r="S2658" s="74">
        <v>33348</v>
      </c>
      <c r="T2658" s="80">
        <v>1</v>
      </c>
      <c r="V2658">
        <v>44.96</v>
      </c>
      <c r="X2658" s="42"/>
      <c r="AB2658">
        <v>50.4</v>
      </c>
      <c r="AC2658">
        <v>44.06</v>
      </c>
      <c r="AE2658" s="74"/>
      <c r="AF2658" s="80"/>
      <c r="AH2658" s="497">
        <v>51.08</v>
      </c>
      <c r="AJ2658" s="42"/>
      <c r="AK2658" s="74"/>
      <c r="AL2658" s="80"/>
      <c r="AN2658" s="497">
        <v>46.94</v>
      </c>
      <c r="AP2658" s="42"/>
      <c r="AQ2658" s="74"/>
      <c r="AR2658" s="80"/>
      <c r="AT2658" s="497">
        <v>32</v>
      </c>
      <c r="AV2658" s="42"/>
      <c r="AW2658" s="74"/>
      <c r="AX2658" s="80"/>
      <c r="BA2658" s="497">
        <v>46.94</v>
      </c>
      <c r="BB2658" s="42"/>
      <c r="BC2658" s="74"/>
      <c r="BD2658" s="80"/>
      <c r="BF2658">
        <v>44.06</v>
      </c>
      <c r="BH2658" s="42"/>
      <c r="BI2658" s="74"/>
      <c r="BJ2658" s="80"/>
      <c r="BL2658" s="497">
        <v>39.92</v>
      </c>
      <c r="BN2658" s="42"/>
      <c r="BO2658" s="74"/>
      <c r="BP2658" s="80"/>
      <c r="BR2658" s="497">
        <v>51.980000000000004</v>
      </c>
      <c r="BT2658" s="42"/>
    </row>
    <row r="2659" spans="1:72" x14ac:dyDescent="0.25">
      <c r="A2659" s="90">
        <v>33349</v>
      </c>
      <c r="B2659" s="20">
        <v>4.1666666666666664E-2</v>
      </c>
      <c r="D2659">
        <v>50</v>
      </c>
      <c r="E2659" t="str">
        <f t="shared" si="118"/>
        <v>SUNDAY</v>
      </c>
      <c r="F2659" t="e">
        <f t="shared" si="117"/>
        <v>#N/A</v>
      </c>
      <c r="G2659" s="74">
        <v>32984</v>
      </c>
      <c r="H2659" s="77">
        <v>4.1666666666666664E-2</v>
      </c>
      <c r="J2659">
        <v>55.94</v>
      </c>
      <c r="M2659" s="74">
        <v>33349</v>
      </c>
      <c r="N2659" s="77">
        <v>4.1666666666666664E-2</v>
      </c>
      <c r="P2659">
        <v>46.94</v>
      </c>
      <c r="S2659" s="74">
        <v>33349</v>
      </c>
      <c r="T2659" s="77">
        <v>4.1666666666666664E-2</v>
      </c>
      <c r="V2659">
        <v>44.06</v>
      </c>
      <c r="X2659" s="42"/>
      <c r="AB2659">
        <v>49.8</v>
      </c>
      <c r="AC2659">
        <v>44.06</v>
      </c>
      <c r="AE2659" s="74"/>
      <c r="AF2659" s="77"/>
      <c r="AH2659" s="497">
        <v>46.94</v>
      </c>
      <c r="AJ2659" s="42"/>
      <c r="AK2659" s="74"/>
      <c r="AL2659" s="77"/>
      <c r="AN2659" s="497">
        <v>46.04</v>
      </c>
      <c r="AP2659" s="42"/>
      <c r="AQ2659" s="74"/>
      <c r="AR2659" s="77"/>
      <c r="AT2659" s="497">
        <v>30.02</v>
      </c>
      <c r="AV2659" s="42"/>
      <c r="AW2659" s="74"/>
      <c r="AX2659" s="77"/>
      <c r="BA2659" s="497">
        <v>44.96</v>
      </c>
      <c r="BB2659" s="42"/>
      <c r="BC2659" s="74"/>
      <c r="BD2659" s="77"/>
      <c r="BF2659">
        <v>42.980000000000004</v>
      </c>
      <c r="BH2659" s="42"/>
      <c r="BI2659" s="74"/>
      <c r="BJ2659" s="77"/>
      <c r="BL2659" s="497">
        <v>39.019999999999996</v>
      </c>
      <c r="BN2659" s="42"/>
      <c r="BO2659" s="74"/>
      <c r="BP2659" s="77"/>
      <c r="BR2659" s="497">
        <v>48.019999999999996</v>
      </c>
      <c r="BT2659" s="42"/>
    </row>
    <row r="2660" spans="1:72" x14ac:dyDescent="0.25">
      <c r="A2660" s="90">
        <v>33349</v>
      </c>
      <c r="B2660" s="20">
        <v>8.3333333333333329E-2</v>
      </c>
      <c r="D2660">
        <v>50</v>
      </c>
      <c r="E2660" t="str">
        <f t="shared" si="118"/>
        <v>SUNDAY</v>
      </c>
      <c r="F2660" t="e">
        <f t="shared" si="117"/>
        <v>#N/A</v>
      </c>
      <c r="G2660" s="74">
        <v>32984</v>
      </c>
      <c r="H2660" s="77">
        <v>8.3333333333333329E-2</v>
      </c>
      <c r="J2660">
        <v>55.040000000000006</v>
      </c>
      <c r="M2660" s="74">
        <v>33349</v>
      </c>
      <c r="N2660" s="77">
        <v>8.3333333333333329E-2</v>
      </c>
      <c r="P2660">
        <v>42.08</v>
      </c>
      <c r="S2660" s="74">
        <v>33349</v>
      </c>
      <c r="T2660" s="77">
        <v>8.3333333333333329E-2</v>
      </c>
      <c r="V2660">
        <v>42.980000000000004</v>
      </c>
      <c r="X2660" s="42"/>
      <c r="AB2660">
        <v>49.3</v>
      </c>
      <c r="AC2660">
        <v>44.06</v>
      </c>
      <c r="AE2660" s="74"/>
      <c r="AF2660" s="77"/>
      <c r="AH2660" s="497">
        <v>44.06</v>
      </c>
      <c r="AJ2660" s="42"/>
      <c r="AK2660" s="74"/>
      <c r="AL2660" s="77"/>
      <c r="AN2660" s="497">
        <v>44.06</v>
      </c>
      <c r="AP2660" s="42"/>
      <c r="AQ2660" s="74"/>
      <c r="AR2660" s="77"/>
      <c r="AT2660" s="497">
        <v>33.08</v>
      </c>
      <c r="AV2660" s="42"/>
      <c r="AW2660" s="74"/>
      <c r="AX2660" s="77"/>
      <c r="BA2660" s="497">
        <v>44.06</v>
      </c>
      <c r="BB2660" s="42"/>
      <c r="BC2660" s="74"/>
      <c r="BD2660" s="77"/>
      <c r="BF2660">
        <v>39.019999999999996</v>
      </c>
      <c r="BH2660" s="42"/>
      <c r="BI2660" s="74"/>
      <c r="BJ2660" s="77"/>
      <c r="BL2660" s="497">
        <v>37.94</v>
      </c>
      <c r="BN2660" s="42"/>
      <c r="BO2660" s="74"/>
      <c r="BP2660" s="77"/>
      <c r="BR2660" s="497">
        <v>46.94</v>
      </c>
      <c r="BT2660" s="42"/>
    </row>
    <row r="2661" spans="1:72" x14ac:dyDescent="0.25">
      <c r="A2661" s="90">
        <v>33349</v>
      </c>
      <c r="B2661" s="20">
        <v>0.125</v>
      </c>
      <c r="D2661">
        <v>50</v>
      </c>
      <c r="E2661" t="str">
        <f t="shared" si="118"/>
        <v>SUNDAY</v>
      </c>
      <c r="F2661" t="e">
        <f t="shared" si="117"/>
        <v>#N/A</v>
      </c>
      <c r="G2661" s="74">
        <v>32984</v>
      </c>
      <c r="H2661" s="77">
        <v>0.125</v>
      </c>
      <c r="J2661">
        <v>53.96</v>
      </c>
      <c r="M2661" s="74">
        <v>33349</v>
      </c>
      <c r="N2661" s="77">
        <v>0.125</v>
      </c>
      <c r="P2661">
        <v>42.08</v>
      </c>
      <c r="S2661" s="74">
        <v>33349</v>
      </c>
      <c r="T2661" s="77">
        <v>0.125</v>
      </c>
      <c r="V2661">
        <v>42.08</v>
      </c>
      <c r="X2661" s="42"/>
      <c r="AB2661">
        <v>48.8</v>
      </c>
      <c r="AC2661">
        <v>42.980000000000004</v>
      </c>
      <c r="AE2661" s="74"/>
      <c r="AF2661" s="77"/>
      <c r="AH2661" s="497">
        <v>42.980000000000004</v>
      </c>
      <c r="AJ2661" s="42"/>
      <c r="AK2661" s="74"/>
      <c r="AL2661" s="77"/>
      <c r="AN2661" s="497">
        <v>44.06</v>
      </c>
      <c r="AP2661" s="42"/>
      <c r="AQ2661" s="74"/>
      <c r="AR2661" s="77"/>
      <c r="AT2661" s="497">
        <v>33.979999999999997</v>
      </c>
      <c r="AV2661" s="42"/>
      <c r="AW2661" s="74"/>
      <c r="AX2661" s="77"/>
      <c r="BA2661" s="497">
        <v>44.06</v>
      </c>
      <c r="BB2661" s="42"/>
      <c r="BC2661" s="74"/>
      <c r="BD2661" s="77"/>
      <c r="BF2661">
        <v>39.019999999999996</v>
      </c>
      <c r="BH2661" s="42"/>
      <c r="BI2661" s="74"/>
      <c r="BJ2661" s="77"/>
      <c r="BL2661" s="497">
        <v>37.94</v>
      </c>
      <c r="BN2661" s="42"/>
      <c r="BO2661" s="74"/>
      <c r="BP2661" s="77"/>
      <c r="BR2661" s="497">
        <v>44.96</v>
      </c>
      <c r="BT2661" s="42"/>
    </row>
    <row r="2662" spans="1:72" x14ac:dyDescent="0.25">
      <c r="A2662" s="90">
        <v>33349</v>
      </c>
      <c r="B2662" s="20">
        <v>0.16666666666666666</v>
      </c>
      <c r="D2662">
        <v>48.92</v>
      </c>
      <c r="E2662" t="str">
        <f t="shared" si="118"/>
        <v>SUNDAY</v>
      </c>
      <c r="F2662" t="e">
        <f t="shared" si="117"/>
        <v>#N/A</v>
      </c>
      <c r="G2662" s="74">
        <v>32984</v>
      </c>
      <c r="H2662" s="77">
        <v>0.16666666666666666</v>
      </c>
      <c r="J2662">
        <v>53.06</v>
      </c>
      <c r="M2662" s="74">
        <v>33349</v>
      </c>
      <c r="N2662" s="77">
        <v>0.16666666666666666</v>
      </c>
      <c r="P2662">
        <v>41</v>
      </c>
      <c r="S2662" s="74">
        <v>33349</v>
      </c>
      <c r="T2662" s="77">
        <v>0.16666666666666666</v>
      </c>
      <c r="V2662">
        <v>42.08</v>
      </c>
      <c r="X2662" s="42"/>
      <c r="AB2662">
        <v>48.3</v>
      </c>
      <c r="AC2662">
        <v>42.980000000000004</v>
      </c>
      <c r="AE2662" s="74"/>
      <c r="AF2662" s="77"/>
      <c r="AH2662" s="497">
        <v>42.08</v>
      </c>
      <c r="AJ2662" s="42"/>
      <c r="AK2662" s="74"/>
      <c r="AL2662" s="77"/>
      <c r="AN2662" s="497">
        <v>42.980000000000004</v>
      </c>
      <c r="AP2662" s="42"/>
      <c r="AQ2662" s="74"/>
      <c r="AR2662" s="77"/>
      <c r="AT2662" s="497">
        <v>35.96</v>
      </c>
      <c r="AV2662" s="42"/>
      <c r="AW2662" s="74"/>
      <c r="AX2662" s="77"/>
      <c r="BA2662" s="497">
        <v>44.06</v>
      </c>
      <c r="BB2662" s="42"/>
      <c r="BC2662" s="74"/>
      <c r="BD2662" s="77"/>
      <c r="BF2662">
        <v>37.04</v>
      </c>
      <c r="BH2662" s="42"/>
      <c r="BI2662" s="74"/>
      <c r="BJ2662" s="77"/>
      <c r="BL2662" s="497">
        <v>37.04</v>
      </c>
      <c r="BN2662" s="42"/>
      <c r="BO2662" s="74"/>
      <c r="BP2662" s="77"/>
      <c r="BR2662" s="497">
        <v>42.980000000000004</v>
      </c>
      <c r="BT2662" s="42"/>
    </row>
    <row r="2663" spans="1:72" x14ac:dyDescent="0.25">
      <c r="A2663" s="90">
        <v>33349</v>
      </c>
      <c r="B2663" s="20">
        <v>0.20833333333333334</v>
      </c>
      <c r="D2663">
        <v>48.019999999999996</v>
      </c>
      <c r="E2663" t="str">
        <f t="shared" si="118"/>
        <v>SUNDAY</v>
      </c>
      <c r="F2663" t="e">
        <f t="shared" si="117"/>
        <v>#N/A</v>
      </c>
      <c r="G2663" s="74">
        <v>32984</v>
      </c>
      <c r="H2663" s="77">
        <v>0.20833333333333334</v>
      </c>
      <c r="J2663">
        <v>53.06</v>
      </c>
      <c r="M2663" s="74">
        <v>33349</v>
      </c>
      <c r="N2663" s="77">
        <v>0.20833333333333334</v>
      </c>
      <c r="P2663">
        <v>41</v>
      </c>
      <c r="S2663" s="74">
        <v>33349</v>
      </c>
      <c r="T2663" s="77">
        <v>0.20833333333333334</v>
      </c>
      <c r="V2663">
        <v>42.08</v>
      </c>
      <c r="X2663" s="42"/>
      <c r="AB2663">
        <v>47.9</v>
      </c>
      <c r="AC2663">
        <v>42.980000000000004</v>
      </c>
      <c r="AE2663" s="74"/>
      <c r="AF2663" s="77"/>
      <c r="AH2663" s="497">
        <v>41</v>
      </c>
      <c r="AJ2663" s="42"/>
      <c r="AK2663" s="74"/>
      <c r="AL2663" s="77"/>
      <c r="AN2663" s="497">
        <v>42.980000000000004</v>
      </c>
      <c r="AP2663" s="42"/>
      <c r="AQ2663" s="74"/>
      <c r="AR2663" s="77"/>
      <c r="AT2663" s="497">
        <v>35.06</v>
      </c>
      <c r="AV2663" s="42"/>
      <c r="AW2663" s="74"/>
      <c r="AX2663" s="77"/>
      <c r="BA2663" s="497">
        <v>44.06</v>
      </c>
      <c r="BB2663" s="42"/>
      <c r="BC2663" s="74"/>
      <c r="BD2663" s="77"/>
      <c r="BF2663">
        <v>37.04</v>
      </c>
      <c r="BH2663" s="42"/>
      <c r="BI2663" s="74"/>
      <c r="BJ2663" s="77"/>
      <c r="BL2663" s="497">
        <v>35.96</v>
      </c>
      <c r="BN2663" s="42"/>
      <c r="BO2663" s="74"/>
      <c r="BP2663" s="77"/>
      <c r="BR2663" s="497">
        <v>42.08</v>
      </c>
      <c r="BT2663" s="42"/>
    </row>
    <row r="2664" spans="1:72" x14ac:dyDescent="0.25">
      <c r="A2664" s="90">
        <v>33349</v>
      </c>
      <c r="B2664" s="20">
        <v>0.25</v>
      </c>
      <c r="D2664">
        <v>48.92</v>
      </c>
      <c r="E2664" t="str">
        <f t="shared" si="118"/>
        <v>SUNDAY</v>
      </c>
      <c r="F2664" t="e">
        <f t="shared" si="117"/>
        <v>#N/A</v>
      </c>
      <c r="G2664" s="74">
        <v>32984</v>
      </c>
      <c r="H2664" s="77">
        <v>0.25</v>
      </c>
      <c r="J2664">
        <v>53.06</v>
      </c>
      <c r="M2664" s="74">
        <v>33349</v>
      </c>
      <c r="N2664" s="77">
        <v>0.25</v>
      </c>
      <c r="P2664">
        <v>42.08</v>
      </c>
      <c r="S2664" s="74">
        <v>33349</v>
      </c>
      <c r="T2664" s="77">
        <v>0.25</v>
      </c>
      <c r="V2664">
        <v>42.08</v>
      </c>
      <c r="X2664" s="42"/>
      <c r="AB2664">
        <v>47.7</v>
      </c>
      <c r="AC2664">
        <v>42.980000000000004</v>
      </c>
      <c r="AE2664" s="74"/>
      <c r="AF2664" s="77"/>
      <c r="AH2664" s="497">
        <v>42.08</v>
      </c>
      <c r="AJ2664" s="42"/>
      <c r="AK2664" s="74"/>
      <c r="AL2664" s="77"/>
      <c r="AN2664" s="497">
        <v>44.06</v>
      </c>
      <c r="AP2664" s="42"/>
      <c r="AQ2664" s="74"/>
      <c r="AR2664" s="77"/>
      <c r="AT2664" s="497">
        <v>35.96</v>
      </c>
      <c r="AV2664" s="42"/>
      <c r="AW2664" s="74"/>
      <c r="AX2664" s="77"/>
      <c r="BA2664" s="497">
        <v>42.980000000000004</v>
      </c>
      <c r="BB2664" s="42"/>
      <c r="BC2664" s="74"/>
      <c r="BD2664" s="77"/>
      <c r="BF2664">
        <v>37.04</v>
      </c>
      <c r="BH2664" s="42"/>
      <c r="BI2664" s="74"/>
      <c r="BJ2664" s="77"/>
      <c r="BL2664" s="497">
        <v>35.06</v>
      </c>
      <c r="BN2664" s="42"/>
      <c r="BO2664" s="74"/>
      <c r="BP2664" s="77"/>
      <c r="BR2664" s="497">
        <v>42.980000000000004</v>
      </c>
      <c r="BT2664" s="42"/>
    </row>
    <row r="2665" spans="1:72" x14ac:dyDescent="0.25">
      <c r="A2665" s="90">
        <v>33349</v>
      </c>
      <c r="B2665" s="20">
        <v>0.29166666666666669</v>
      </c>
      <c r="D2665">
        <v>50</v>
      </c>
      <c r="E2665" t="str">
        <f t="shared" si="118"/>
        <v>SUNDAY</v>
      </c>
      <c r="F2665" t="e">
        <f t="shared" si="117"/>
        <v>#N/A</v>
      </c>
      <c r="G2665" s="74">
        <v>32984</v>
      </c>
      <c r="H2665" s="77">
        <v>0.29166666666666669</v>
      </c>
      <c r="J2665">
        <v>53.96</v>
      </c>
      <c r="M2665" s="74">
        <v>33349</v>
      </c>
      <c r="N2665" s="77">
        <v>0.29166666666666669</v>
      </c>
      <c r="P2665">
        <v>42.08</v>
      </c>
      <c r="S2665" s="74">
        <v>33349</v>
      </c>
      <c r="T2665" s="77">
        <v>0.29166666666666669</v>
      </c>
      <c r="V2665">
        <v>42.980000000000004</v>
      </c>
      <c r="X2665" s="42"/>
      <c r="AB2665">
        <v>48.1</v>
      </c>
      <c r="AC2665">
        <v>44.06</v>
      </c>
      <c r="AE2665" s="74"/>
      <c r="AF2665" s="77"/>
      <c r="AH2665" s="497">
        <v>41</v>
      </c>
      <c r="AJ2665" s="42"/>
      <c r="AK2665" s="74"/>
      <c r="AL2665" s="77"/>
      <c r="AN2665" s="497">
        <v>46.04</v>
      </c>
      <c r="AP2665" s="42"/>
      <c r="AQ2665" s="74"/>
      <c r="AR2665" s="77"/>
      <c r="AT2665" s="497">
        <v>39.019999999999996</v>
      </c>
      <c r="AV2665" s="42"/>
      <c r="AW2665" s="74"/>
      <c r="AX2665" s="77"/>
      <c r="BA2665" s="497">
        <v>46.04</v>
      </c>
      <c r="BB2665" s="42"/>
      <c r="BC2665" s="74"/>
      <c r="BD2665" s="77"/>
      <c r="BF2665">
        <v>37.94</v>
      </c>
      <c r="BH2665" s="42"/>
      <c r="BI2665" s="74"/>
      <c r="BJ2665" s="77"/>
      <c r="BL2665" s="497">
        <v>35.96</v>
      </c>
      <c r="BN2665" s="42"/>
      <c r="BO2665" s="74"/>
      <c r="BP2665" s="77"/>
      <c r="BR2665" s="497">
        <v>48.019999999999996</v>
      </c>
      <c r="BT2665" s="42"/>
    </row>
    <row r="2666" spans="1:72" x14ac:dyDescent="0.25">
      <c r="A2666" s="90">
        <v>33349</v>
      </c>
      <c r="B2666" s="20">
        <v>0.33333333333333331</v>
      </c>
      <c r="D2666">
        <v>50</v>
      </c>
      <c r="E2666" t="str">
        <f t="shared" si="118"/>
        <v>SUNDAY</v>
      </c>
      <c r="F2666" t="e">
        <f t="shared" si="117"/>
        <v>#N/A</v>
      </c>
      <c r="G2666" s="74">
        <v>32984</v>
      </c>
      <c r="H2666" s="77">
        <v>0.33333333333333331</v>
      </c>
      <c r="J2666">
        <v>53.96</v>
      </c>
      <c r="M2666" s="74">
        <v>33349</v>
      </c>
      <c r="N2666" s="77">
        <v>0.33333333333333331</v>
      </c>
      <c r="P2666">
        <v>42.08</v>
      </c>
      <c r="S2666" s="74">
        <v>33349</v>
      </c>
      <c r="T2666" s="77">
        <v>0.33333333333333331</v>
      </c>
      <c r="V2666">
        <v>42.980000000000004</v>
      </c>
      <c r="X2666" s="42"/>
      <c r="AB2666">
        <v>50.2</v>
      </c>
      <c r="AC2666">
        <v>44.06</v>
      </c>
      <c r="AE2666" s="74"/>
      <c r="AF2666" s="77"/>
      <c r="AH2666" s="497">
        <v>41</v>
      </c>
      <c r="AJ2666" s="42"/>
      <c r="AK2666" s="74"/>
      <c r="AL2666" s="77"/>
      <c r="AN2666" s="497">
        <v>48.92</v>
      </c>
      <c r="AP2666" s="42"/>
      <c r="AQ2666" s="74"/>
      <c r="AR2666" s="77"/>
      <c r="AT2666" s="497">
        <v>41</v>
      </c>
      <c r="AV2666" s="42"/>
      <c r="AW2666" s="74"/>
      <c r="AX2666" s="77"/>
      <c r="BA2666" s="497">
        <v>51.08</v>
      </c>
      <c r="BB2666" s="42"/>
      <c r="BC2666" s="74"/>
      <c r="BD2666" s="77"/>
      <c r="BF2666">
        <v>44.96</v>
      </c>
      <c r="BH2666" s="42"/>
      <c r="BI2666" s="74"/>
      <c r="BJ2666" s="77"/>
      <c r="BL2666" s="497">
        <v>37.04</v>
      </c>
      <c r="BN2666" s="42"/>
      <c r="BO2666" s="74"/>
      <c r="BP2666" s="77"/>
      <c r="BR2666" s="497">
        <v>55.040000000000006</v>
      </c>
      <c r="BT2666" s="42"/>
    </row>
    <row r="2667" spans="1:72" x14ac:dyDescent="0.25">
      <c r="A2667" s="90">
        <v>33349</v>
      </c>
      <c r="B2667" s="20">
        <v>0.375</v>
      </c>
      <c r="D2667">
        <v>53.96</v>
      </c>
      <c r="E2667" t="str">
        <f t="shared" si="118"/>
        <v>SUNDAY</v>
      </c>
      <c r="F2667" t="e">
        <f t="shared" ref="F2667:F2730" si="119">IF(E2667="WEEKDAY",VLOOKUP(B2667,$DD$19:$DG$42,2),IF(E2667="SATURDAY",VLOOKUP(B2667,$DD$19:$DG$42,3),VLOOKUP(B2667,$DD$19:$DG$42,4)))</f>
        <v>#N/A</v>
      </c>
      <c r="G2667" s="74">
        <v>32984</v>
      </c>
      <c r="H2667" s="77">
        <v>0.375</v>
      </c>
      <c r="J2667">
        <v>57.019999999999996</v>
      </c>
      <c r="M2667" s="74">
        <v>33349</v>
      </c>
      <c r="N2667" s="77">
        <v>0.375</v>
      </c>
      <c r="P2667">
        <v>42.08</v>
      </c>
      <c r="S2667" s="74">
        <v>33349</v>
      </c>
      <c r="T2667" s="77">
        <v>0.375</v>
      </c>
      <c r="V2667">
        <v>42.980000000000004</v>
      </c>
      <c r="X2667" s="42"/>
      <c r="AB2667">
        <v>52.2</v>
      </c>
      <c r="AC2667">
        <v>44.06</v>
      </c>
      <c r="AE2667" s="74"/>
      <c r="AF2667" s="77"/>
      <c r="AH2667" s="497">
        <v>42.08</v>
      </c>
      <c r="AJ2667" s="42"/>
      <c r="AK2667" s="74"/>
      <c r="AL2667" s="77"/>
      <c r="AN2667" s="497">
        <v>53.06</v>
      </c>
      <c r="AP2667" s="42"/>
      <c r="AQ2667" s="74"/>
      <c r="AR2667" s="77"/>
      <c r="AT2667" s="497">
        <v>44.06</v>
      </c>
      <c r="AV2667" s="42"/>
      <c r="AW2667" s="74"/>
      <c r="AX2667" s="77"/>
      <c r="BA2667" s="497">
        <v>55.94</v>
      </c>
      <c r="BB2667" s="42"/>
      <c r="BC2667" s="74"/>
      <c r="BD2667" s="77"/>
      <c r="BF2667">
        <v>50</v>
      </c>
      <c r="BH2667" s="42"/>
      <c r="BI2667" s="74"/>
      <c r="BJ2667" s="77"/>
      <c r="BL2667" s="497">
        <v>37.04</v>
      </c>
      <c r="BN2667" s="42"/>
      <c r="BO2667" s="74"/>
      <c r="BP2667" s="77"/>
      <c r="BR2667" s="497">
        <v>60.08</v>
      </c>
      <c r="BT2667" s="42"/>
    </row>
    <row r="2668" spans="1:72" x14ac:dyDescent="0.25">
      <c r="A2668" s="90">
        <v>33349</v>
      </c>
      <c r="B2668" s="20">
        <v>0.41666666666666669</v>
      </c>
      <c r="D2668">
        <v>55.94</v>
      </c>
      <c r="E2668" t="str">
        <f t="shared" si="118"/>
        <v>SUNDAY</v>
      </c>
      <c r="F2668" t="e">
        <f t="shared" si="119"/>
        <v>#N/A</v>
      </c>
      <c r="G2668" s="74">
        <v>32984</v>
      </c>
      <c r="H2668" s="77">
        <v>0.41666666666666669</v>
      </c>
      <c r="J2668">
        <v>55.94</v>
      </c>
      <c r="M2668" s="74">
        <v>33349</v>
      </c>
      <c r="N2668" s="77">
        <v>0.41666666666666669</v>
      </c>
      <c r="P2668">
        <v>42.980000000000004</v>
      </c>
      <c r="S2668" s="74">
        <v>33349</v>
      </c>
      <c r="T2668" s="77">
        <v>0.41666666666666669</v>
      </c>
      <c r="V2668">
        <v>42.980000000000004</v>
      </c>
      <c r="X2668" s="42"/>
      <c r="AB2668">
        <v>54.1</v>
      </c>
      <c r="AC2668">
        <v>44.96</v>
      </c>
      <c r="AE2668" s="74"/>
      <c r="AF2668" s="77"/>
      <c r="AH2668" s="497">
        <v>42.08</v>
      </c>
      <c r="AJ2668" s="42"/>
      <c r="AK2668" s="74"/>
      <c r="AL2668" s="77"/>
      <c r="AN2668" s="497">
        <v>55.040000000000006</v>
      </c>
      <c r="AP2668" s="42"/>
      <c r="AQ2668" s="74"/>
      <c r="AR2668" s="77"/>
      <c r="AT2668" s="497">
        <v>46.94</v>
      </c>
      <c r="AV2668" s="42"/>
      <c r="AW2668" s="74"/>
      <c r="AX2668" s="77"/>
      <c r="BA2668" s="497">
        <v>62.06</v>
      </c>
      <c r="BB2668" s="42"/>
      <c r="BC2668" s="74"/>
      <c r="BD2668" s="77"/>
      <c r="BF2668">
        <v>53.96</v>
      </c>
      <c r="BH2668" s="42"/>
      <c r="BI2668" s="74"/>
      <c r="BJ2668" s="77"/>
      <c r="BL2668" s="497">
        <v>35.96</v>
      </c>
      <c r="BN2668" s="42"/>
      <c r="BO2668" s="74"/>
      <c r="BP2668" s="77"/>
      <c r="BR2668" s="497">
        <v>66.02</v>
      </c>
      <c r="BT2668" s="42"/>
    </row>
    <row r="2669" spans="1:72" x14ac:dyDescent="0.25">
      <c r="A2669" s="90">
        <v>33349</v>
      </c>
      <c r="B2669" s="20">
        <v>0.45833333333333331</v>
      </c>
      <c r="D2669">
        <v>57.019999999999996</v>
      </c>
      <c r="E2669" t="str">
        <f t="shared" si="118"/>
        <v>SUNDAY</v>
      </c>
      <c r="F2669" t="e">
        <f t="shared" si="119"/>
        <v>#N/A</v>
      </c>
      <c r="G2669" s="74">
        <v>32984</v>
      </c>
      <c r="H2669" s="77">
        <v>0.45833333333333331</v>
      </c>
      <c r="J2669">
        <v>57.019999999999996</v>
      </c>
      <c r="M2669" s="74">
        <v>33349</v>
      </c>
      <c r="N2669" s="77">
        <v>0.45833333333333331</v>
      </c>
      <c r="P2669">
        <v>44.06</v>
      </c>
      <c r="S2669" s="74">
        <v>33349</v>
      </c>
      <c r="T2669" s="77">
        <v>0.45833333333333331</v>
      </c>
      <c r="V2669">
        <v>44.06</v>
      </c>
      <c r="X2669" s="42"/>
      <c r="AB2669">
        <v>55.7</v>
      </c>
      <c r="AC2669">
        <v>44.96</v>
      </c>
      <c r="AE2669" s="74"/>
      <c r="AF2669" s="77"/>
      <c r="AH2669" s="497">
        <v>42.980000000000004</v>
      </c>
      <c r="AJ2669" s="42"/>
      <c r="AK2669" s="74"/>
      <c r="AL2669" s="77"/>
      <c r="AN2669" s="497">
        <v>57.019999999999996</v>
      </c>
      <c r="AP2669" s="42"/>
      <c r="AQ2669" s="74"/>
      <c r="AR2669" s="77"/>
      <c r="AT2669" s="497">
        <v>48.92</v>
      </c>
      <c r="AV2669" s="42"/>
      <c r="AW2669" s="74"/>
      <c r="AX2669" s="77"/>
      <c r="BA2669" s="497">
        <v>69.080000000000013</v>
      </c>
      <c r="BB2669" s="42"/>
      <c r="BC2669" s="74"/>
      <c r="BD2669" s="77"/>
      <c r="BF2669">
        <v>57.019999999999996</v>
      </c>
      <c r="BH2669" s="42"/>
      <c r="BI2669" s="74"/>
      <c r="BJ2669" s="77"/>
      <c r="BL2669" s="497">
        <v>37.94</v>
      </c>
      <c r="BN2669" s="42"/>
      <c r="BO2669" s="74"/>
      <c r="BP2669" s="77"/>
      <c r="BR2669" s="497">
        <v>64.94</v>
      </c>
      <c r="BT2669" s="42"/>
    </row>
    <row r="2670" spans="1:72" x14ac:dyDescent="0.25">
      <c r="A2670" s="90">
        <v>33349</v>
      </c>
      <c r="B2670" s="20">
        <v>0.5</v>
      </c>
      <c r="D2670">
        <v>59</v>
      </c>
      <c r="E2670" t="str">
        <f t="shared" si="118"/>
        <v>SUNDAY</v>
      </c>
      <c r="F2670" t="e">
        <f t="shared" si="119"/>
        <v>#N/A</v>
      </c>
      <c r="G2670" s="74">
        <v>32984</v>
      </c>
      <c r="H2670" s="77">
        <v>0.5</v>
      </c>
      <c r="J2670">
        <v>57.92</v>
      </c>
      <c r="M2670" s="74">
        <v>33349</v>
      </c>
      <c r="N2670" s="77">
        <v>0.5</v>
      </c>
      <c r="P2670">
        <v>42.980000000000004</v>
      </c>
      <c r="S2670" s="74">
        <v>33349</v>
      </c>
      <c r="T2670" s="77">
        <v>0.5</v>
      </c>
      <c r="V2670">
        <v>44.06</v>
      </c>
      <c r="X2670" s="42"/>
      <c r="AB2670">
        <v>57</v>
      </c>
      <c r="AC2670">
        <v>44.96</v>
      </c>
      <c r="AE2670" s="74"/>
      <c r="AF2670" s="77"/>
      <c r="AH2670" s="497">
        <v>42.980000000000004</v>
      </c>
      <c r="AJ2670" s="42"/>
      <c r="AK2670" s="74"/>
      <c r="AL2670" s="77"/>
      <c r="AN2670" s="497">
        <v>59</v>
      </c>
      <c r="AP2670" s="42"/>
      <c r="AQ2670" s="74"/>
      <c r="AR2670" s="77"/>
      <c r="AT2670" s="497">
        <v>48.92</v>
      </c>
      <c r="AV2670" s="42"/>
      <c r="AW2670" s="74"/>
      <c r="AX2670" s="77"/>
      <c r="BA2670" s="497">
        <v>73.039999999999992</v>
      </c>
      <c r="BB2670" s="42"/>
      <c r="BC2670" s="74"/>
      <c r="BD2670" s="77"/>
      <c r="BF2670">
        <v>57.92</v>
      </c>
      <c r="BH2670" s="42"/>
      <c r="BI2670" s="74"/>
      <c r="BJ2670" s="77"/>
      <c r="BL2670" s="497">
        <v>37.94</v>
      </c>
      <c r="BN2670" s="42"/>
      <c r="BO2670" s="74"/>
      <c r="BP2670" s="77"/>
      <c r="BR2670" s="497">
        <v>68</v>
      </c>
      <c r="BT2670" s="42"/>
    </row>
    <row r="2671" spans="1:72" x14ac:dyDescent="0.25">
      <c r="A2671" s="90">
        <v>33349</v>
      </c>
      <c r="B2671" s="20">
        <v>0.54166666666666663</v>
      </c>
      <c r="D2671">
        <v>62.06</v>
      </c>
      <c r="E2671" t="str">
        <f t="shared" si="118"/>
        <v>SUNDAY</v>
      </c>
      <c r="F2671" t="e">
        <f t="shared" si="119"/>
        <v>#N/A</v>
      </c>
      <c r="G2671" s="74">
        <v>32984</v>
      </c>
      <c r="H2671" s="77">
        <v>0.54166666666666663</v>
      </c>
      <c r="J2671">
        <v>59</v>
      </c>
      <c r="M2671" s="74">
        <v>33349</v>
      </c>
      <c r="N2671" s="77">
        <v>0.54166666666666663</v>
      </c>
      <c r="P2671">
        <v>44.06</v>
      </c>
      <c r="S2671" s="74">
        <v>33349</v>
      </c>
      <c r="T2671" s="77">
        <v>0.54166666666666663</v>
      </c>
      <c r="V2671">
        <v>44.06</v>
      </c>
      <c r="X2671" s="42"/>
      <c r="AB2671">
        <v>57.9</v>
      </c>
      <c r="AC2671">
        <v>46.04</v>
      </c>
      <c r="AE2671" s="74"/>
      <c r="AF2671" s="77"/>
      <c r="AH2671" s="497">
        <v>42.980000000000004</v>
      </c>
      <c r="AJ2671" s="42"/>
      <c r="AK2671" s="74"/>
      <c r="AL2671" s="77"/>
      <c r="AN2671" s="497">
        <v>57.92</v>
      </c>
      <c r="AP2671" s="42"/>
      <c r="AQ2671" s="74"/>
      <c r="AR2671" s="77"/>
      <c r="AT2671" s="497">
        <v>51.08</v>
      </c>
      <c r="AV2671" s="42"/>
      <c r="AW2671" s="74"/>
      <c r="AX2671" s="77"/>
      <c r="BA2671" s="497">
        <v>75.02</v>
      </c>
      <c r="BB2671" s="42"/>
      <c r="BC2671" s="74"/>
      <c r="BD2671" s="77"/>
      <c r="BF2671">
        <v>60.08</v>
      </c>
      <c r="BH2671" s="42"/>
      <c r="BI2671" s="74"/>
      <c r="BJ2671" s="77"/>
      <c r="BL2671" s="497">
        <v>39.019999999999996</v>
      </c>
      <c r="BN2671" s="42"/>
      <c r="BO2671" s="74"/>
      <c r="BP2671" s="77"/>
      <c r="BR2671" s="497">
        <v>68</v>
      </c>
      <c r="BT2671" s="42"/>
    </row>
    <row r="2672" spans="1:72" x14ac:dyDescent="0.25">
      <c r="A2672" s="90">
        <v>33349</v>
      </c>
      <c r="B2672" s="20">
        <v>0.58333333333333337</v>
      </c>
      <c r="D2672">
        <v>60.980000000000004</v>
      </c>
      <c r="E2672" t="str">
        <f t="shared" si="118"/>
        <v>SUNDAY</v>
      </c>
      <c r="F2672" t="e">
        <f t="shared" si="119"/>
        <v>#N/A</v>
      </c>
      <c r="G2672" s="74">
        <v>32984</v>
      </c>
      <c r="H2672" s="77">
        <v>0.58333333333333337</v>
      </c>
      <c r="J2672">
        <v>60.08</v>
      </c>
      <c r="M2672" s="74">
        <v>33349</v>
      </c>
      <c r="N2672" s="77">
        <v>0.58333333333333337</v>
      </c>
      <c r="P2672">
        <v>44.06</v>
      </c>
      <c r="S2672" s="74">
        <v>33349</v>
      </c>
      <c r="T2672" s="77">
        <v>0.58333333333333337</v>
      </c>
      <c r="V2672">
        <v>44.96</v>
      </c>
      <c r="X2672" s="42"/>
      <c r="AB2672">
        <v>58.4</v>
      </c>
      <c r="AC2672">
        <v>46.04</v>
      </c>
      <c r="AE2672" s="74"/>
      <c r="AF2672" s="77"/>
      <c r="AH2672" s="497">
        <v>42.980000000000004</v>
      </c>
      <c r="AJ2672" s="42"/>
      <c r="AK2672" s="74"/>
      <c r="AL2672" s="77"/>
      <c r="AN2672" s="497">
        <v>60.08</v>
      </c>
      <c r="AP2672" s="42"/>
      <c r="AQ2672" s="74"/>
      <c r="AR2672" s="77"/>
      <c r="AT2672" s="497">
        <v>50</v>
      </c>
      <c r="AV2672" s="42"/>
      <c r="AW2672" s="74"/>
      <c r="AX2672" s="77"/>
      <c r="BA2672" s="497">
        <v>75.92</v>
      </c>
      <c r="BB2672" s="42"/>
      <c r="BC2672" s="74"/>
      <c r="BD2672" s="77"/>
      <c r="BF2672">
        <v>57.92</v>
      </c>
      <c r="BH2672" s="42"/>
      <c r="BI2672" s="74"/>
      <c r="BJ2672" s="77"/>
      <c r="BL2672" s="497">
        <v>39.92</v>
      </c>
      <c r="BN2672" s="42"/>
      <c r="BO2672" s="74"/>
      <c r="BP2672" s="77"/>
      <c r="BR2672" s="497">
        <v>71.06</v>
      </c>
      <c r="BT2672" s="42"/>
    </row>
    <row r="2673" spans="1:72" x14ac:dyDescent="0.25">
      <c r="A2673" s="90">
        <v>33349</v>
      </c>
      <c r="B2673" s="20">
        <v>0.625</v>
      </c>
      <c r="D2673">
        <v>59</v>
      </c>
      <c r="E2673" t="str">
        <f t="shared" si="118"/>
        <v>SUNDAY</v>
      </c>
      <c r="F2673" t="e">
        <f t="shared" si="119"/>
        <v>#N/A</v>
      </c>
      <c r="G2673" s="74">
        <v>32984</v>
      </c>
      <c r="H2673" s="77">
        <v>0.625</v>
      </c>
      <c r="J2673">
        <v>60.980000000000004</v>
      </c>
      <c r="M2673" s="74">
        <v>33349</v>
      </c>
      <c r="N2673" s="77">
        <v>0.625</v>
      </c>
      <c r="P2673">
        <v>44.06</v>
      </c>
      <c r="S2673" s="74">
        <v>33349</v>
      </c>
      <c r="T2673" s="77">
        <v>0.625</v>
      </c>
      <c r="V2673">
        <v>44.96</v>
      </c>
      <c r="X2673" s="42"/>
      <c r="AB2673">
        <v>58.5</v>
      </c>
      <c r="AC2673">
        <v>46.04</v>
      </c>
      <c r="AE2673" s="74"/>
      <c r="AF2673" s="77"/>
      <c r="AH2673" s="497">
        <v>44.06</v>
      </c>
      <c r="AJ2673" s="42"/>
      <c r="AK2673" s="74"/>
      <c r="AL2673" s="77"/>
      <c r="AN2673" s="497">
        <v>60.08</v>
      </c>
      <c r="AP2673" s="42"/>
      <c r="AQ2673" s="74"/>
      <c r="AR2673" s="77"/>
      <c r="AT2673" s="497">
        <v>48.92</v>
      </c>
      <c r="AV2673" s="42"/>
      <c r="AW2673" s="74"/>
      <c r="AX2673" s="77"/>
      <c r="BA2673" s="497">
        <v>77</v>
      </c>
      <c r="BB2673" s="42"/>
      <c r="BC2673" s="74"/>
      <c r="BD2673" s="77"/>
      <c r="BF2673">
        <v>59</v>
      </c>
      <c r="BH2673" s="42"/>
      <c r="BI2673" s="74"/>
      <c r="BJ2673" s="77"/>
      <c r="BL2673" s="497">
        <v>39.92</v>
      </c>
      <c r="BN2673" s="42"/>
      <c r="BO2673" s="74"/>
      <c r="BP2673" s="77"/>
      <c r="BR2673" s="497">
        <v>71.06</v>
      </c>
      <c r="BT2673" s="42"/>
    </row>
    <row r="2674" spans="1:72" x14ac:dyDescent="0.25">
      <c r="A2674" s="90">
        <v>33349</v>
      </c>
      <c r="B2674" s="20">
        <v>0.66666666666666663</v>
      </c>
      <c r="D2674">
        <v>59</v>
      </c>
      <c r="E2674" t="str">
        <f t="shared" si="118"/>
        <v>SUNDAY</v>
      </c>
      <c r="F2674" t="e">
        <f t="shared" si="119"/>
        <v>#N/A</v>
      </c>
      <c r="G2674" s="74">
        <v>32984</v>
      </c>
      <c r="H2674" s="77">
        <v>0.66666666666666663</v>
      </c>
      <c r="J2674">
        <v>57.92</v>
      </c>
      <c r="M2674" s="74">
        <v>33349</v>
      </c>
      <c r="N2674" s="77">
        <v>0.66666666666666663</v>
      </c>
      <c r="P2674">
        <v>42.980000000000004</v>
      </c>
      <c r="S2674" s="74">
        <v>33349</v>
      </c>
      <c r="T2674" s="77">
        <v>0.66666666666666663</v>
      </c>
      <c r="V2674">
        <v>46.04</v>
      </c>
      <c r="X2674" s="42"/>
      <c r="AB2674">
        <v>58.1</v>
      </c>
      <c r="AC2674">
        <v>46.04</v>
      </c>
      <c r="AE2674" s="74"/>
      <c r="AF2674" s="77"/>
      <c r="AH2674" s="497">
        <v>44.06</v>
      </c>
      <c r="AJ2674" s="42"/>
      <c r="AK2674" s="74"/>
      <c r="AL2674" s="77"/>
      <c r="AN2674" s="497">
        <v>60.980000000000004</v>
      </c>
      <c r="AP2674" s="42"/>
      <c r="AQ2674" s="74"/>
      <c r="AR2674" s="77"/>
      <c r="AT2674" s="497">
        <v>48.92</v>
      </c>
      <c r="AV2674" s="42"/>
      <c r="AW2674" s="74"/>
      <c r="AX2674" s="77"/>
      <c r="BA2674" s="497">
        <v>77</v>
      </c>
      <c r="BB2674" s="42"/>
      <c r="BC2674" s="74"/>
      <c r="BD2674" s="77"/>
      <c r="BF2674">
        <v>55.94</v>
      </c>
      <c r="BH2674" s="42"/>
      <c r="BI2674" s="74"/>
      <c r="BJ2674" s="77"/>
      <c r="BL2674" s="497">
        <v>39.92</v>
      </c>
      <c r="BN2674" s="42"/>
      <c r="BO2674" s="74"/>
      <c r="BP2674" s="77"/>
      <c r="BR2674" s="497">
        <v>69.98</v>
      </c>
      <c r="BT2674" s="42"/>
    </row>
    <row r="2675" spans="1:72" x14ac:dyDescent="0.25">
      <c r="A2675" s="90">
        <v>33349</v>
      </c>
      <c r="B2675" s="20">
        <v>0.70833333333333337</v>
      </c>
      <c r="D2675">
        <v>57.92</v>
      </c>
      <c r="E2675" t="str">
        <f t="shared" si="118"/>
        <v>SUNDAY</v>
      </c>
      <c r="F2675" t="e">
        <f t="shared" si="119"/>
        <v>#N/A</v>
      </c>
      <c r="G2675" s="74">
        <v>32984</v>
      </c>
      <c r="H2675" s="77">
        <v>0.70833333333333337</v>
      </c>
      <c r="J2675">
        <v>57.92</v>
      </c>
      <c r="M2675" s="74">
        <v>33349</v>
      </c>
      <c r="N2675" s="77">
        <v>0.70833333333333337</v>
      </c>
      <c r="P2675">
        <v>44.06</v>
      </c>
      <c r="S2675" s="74">
        <v>33349</v>
      </c>
      <c r="T2675" s="77">
        <v>0.70833333333333337</v>
      </c>
      <c r="V2675">
        <v>46.04</v>
      </c>
      <c r="X2675" s="42"/>
      <c r="AB2675">
        <v>57.2</v>
      </c>
      <c r="AC2675">
        <v>44.96</v>
      </c>
      <c r="AE2675" s="74"/>
      <c r="AF2675" s="77"/>
      <c r="AH2675" s="497">
        <v>44.96</v>
      </c>
      <c r="AJ2675" s="42"/>
      <c r="AK2675" s="74"/>
      <c r="AL2675" s="77"/>
      <c r="AN2675" s="497">
        <v>59</v>
      </c>
      <c r="AP2675" s="42"/>
      <c r="AQ2675" s="74"/>
      <c r="AR2675" s="77"/>
      <c r="AT2675" s="497">
        <v>48.019999999999996</v>
      </c>
      <c r="AV2675" s="42"/>
      <c r="AW2675" s="74"/>
      <c r="AX2675" s="77"/>
      <c r="BA2675" s="497">
        <v>75.02</v>
      </c>
      <c r="BB2675" s="42"/>
      <c r="BC2675" s="74"/>
      <c r="BD2675" s="77"/>
      <c r="BF2675">
        <v>57.019999999999996</v>
      </c>
      <c r="BH2675" s="42"/>
      <c r="BI2675" s="74"/>
      <c r="BJ2675" s="77"/>
      <c r="BL2675" s="497">
        <v>39.92</v>
      </c>
      <c r="BN2675" s="42"/>
      <c r="BO2675" s="74"/>
      <c r="BP2675" s="77"/>
      <c r="BR2675" s="497">
        <v>71.960000000000008</v>
      </c>
      <c r="BT2675" s="42"/>
    </row>
    <row r="2676" spans="1:72" x14ac:dyDescent="0.25">
      <c r="A2676" s="90">
        <v>33349</v>
      </c>
      <c r="B2676" s="20">
        <v>0.75</v>
      </c>
      <c r="D2676">
        <v>55.94</v>
      </c>
      <c r="E2676" t="str">
        <f t="shared" si="118"/>
        <v>SUNDAY</v>
      </c>
      <c r="F2676" t="e">
        <f t="shared" si="119"/>
        <v>#N/A</v>
      </c>
      <c r="G2676" s="74">
        <v>32984</v>
      </c>
      <c r="H2676" s="77">
        <v>0.75</v>
      </c>
      <c r="J2676">
        <v>57.92</v>
      </c>
      <c r="M2676" s="74">
        <v>33349</v>
      </c>
      <c r="N2676" s="77">
        <v>0.75</v>
      </c>
      <c r="P2676">
        <v>44.06</v>
      </c>
      <c r="S2676" s="74">
        <v>33349</v>
      </c>
      <c r="T2676" s="77">
        <v>0.75</v>
      </c>
      <c r="V2676">
        <v>46.04</v>
      </c>
      <c r="X2676" s="42"/>
      <c r="AB2676">
        <v>56</v>
      </c>
      <c r="AC2676">
        <v>44.96</v>
      </c>
      <c r="AE2676" s="74"/>
      <c r="AF2676" s="77"/>
      <c r="AH2676" s="497">
        <v>42.980000000000004</v>
      </c>
      <c r="AJ2676" s="42"/>
      <c r="AK2676" s="74"/>
      <c r="AL2676" s="77"/>
      <c r="AN2676" s="497">
        <v>57.019999999999996</v>
      </c>
      <c r="AP2676" s="42"/>
      <c r="AQ2676" s="74"/>
      <c r="AR2676" s="77"/>
      <c r="AT2676" s="497">
        <v>48.019999999999996</v>
      </c>
      <c r="AV2676" s="42"/>
      <c r="AW2676" s="74"/>
      <c r="AX2676" s="77"/>
      <c r="BA2676" s="497">
        <v>73.039999999999992</v>
      </c>
      <c r="BB2676" s="42"/>
      <c r="BC2676" s="74"/>
      <c r="BD2676" s="77"/>
      <c r="BF2676">
        <v>53.96</v>
      </c>
      <c r="BH2676" s="42"/>
      <c r="BI2676" s="74"/>
      <c r="BJ2676" s="77"/>
      <c r="BL2676" s="497">
        <v>39.019999999999996</v>
      </c>
      <c r="BN2676" s="42"/>
      <c r="BO2676" s="74"/>
      <c r="BP2676" s="77"/>
      <c r="BR2676" s="497">
        <v>69.98</v>
      </c>
      <c r="BT2676" s="42"/>
    </row>
    <row r="2677" spans="1:72" x14ac:dyDescent="0.25">
      <c r="A2677" s="90">
        <v>33349</v>
      </c>
      <c r="B2677" s="20">
        <v>0.79166666666666663</v>
      </c>
      <c r="D2677">
        <v>53.96</v>
      </c>
      <c r="E2677" t="str">
        <f t="shared" si="118"/>
        <v>SUNDAY</v>
      </c>
      <c r="F2677" t="e">
        <f t="shared" si="119"/>
        <v>#N/A</v>
      </c>
      <c r="G2677" s="74">
        <v>32984</v>
      </c>
      <c r="H2677" s="77">
        <v>0.79166666666666663</v>
      </c>
      <c r="J2677">
        <v>57.92</v>
      </c>
      <c r="M2677" s="74">
        <v>33349</v>
      </c>
      <c r="N2677" s="77">
        <v>0.79166666666666663</v>
      </c>
      <c r="P2677">
        <v>44.06</v>
      </c>
      <c r="S2677" s="74">
        <v>33349</v>
      </c>
      <c r="T2677" s="77">
        <v>0.79166666666666663</v>
      </c>
      <c r="V2677">
        <v>46.04</v>
      </c>
      <c r="X2677" s="42"/>
      <c r="AB2677">
        <v>54.5</v>
      </c>
      <c r="AC2677">
        <v>44.96</v>
      </c>
      <c r="AE2677" s="74"/>
      <c r="AF2677" s="77"/>
      <c r="AH2677" s="497">
        <v>44.06</v>
      </c>
      <c r="AJ2677" s="42"/>
      <c r="AK2677" s="74"/>
      <c r="AL2677" s="77"/>
      <c r="AN2677" s="497">
        <v>53.06</v>
      </c>
      <c r="AP2677" s="42"/>
      <c r="AQ2677" s="74"/>
      <c r="AR2677" s="77"/>
      <c r="AT2677" s="497">
        <v>44.06</v>
      </c>
      <c r="AV2677" s="42"/>
      <c r="AW2677" s="74"/>
      <c r="AX2677" s="77"/>
      <c r="BA2677" s="497">
        <v>69.98</v>
      </c>
      <c r="BB2677" s="42"/>
      <c r="BC2677" s="74"/>
      <c r="BD2677" s="77"/>
      <c r="BF2677">
        <v>51.08</v>
      </c>
      <c r="BH2677" s="42"/>
      <c r="BI2677" s="74"/>
      <c r="BJ2677" s="77"/>
      <c r="BL2677" s="497">
        <v>39.019999999999996</v>
      </c>
      <c r="BN2677" s="42"/>
      <c r="BO2677" s="74"/>
      <c r="BP2677" s="77"/>
      <c r="BR2677" s="497">
        <v>66.92</v>
      </c>
      <c r="BT2677" s="42"/>
    </row>
    <row r="2678" spans="1:72" x14ac:dyDescent="0.25">
      <c r="A2678" s="90">
        <v>33349</v>
      </c>
      <c r="B2678" s="20">
        <v>0.83333333333333337</v>
      </c>
      <c r="D2678">
        <v>53.06</v>
      </c>
      <c r="E2678" t="str">
        <f t="shared" si="118"/>
        <v>SUNDAY</v>
      </c>
      <c r="F2678" t="e">
        <f t="shared" si="119"/>
        <v>#N/A</v>
      </c>
      <c r="G2678" s="74">
        <v>32984</v>
      </c>
      <c r="H2678" s="77">
        <v>0.83333333333333337</v>
      </c>
      <c r="J2678">
        <v>57.019999999999996</v>
      </c>
      <c r="M2678" s="74">
        <v>33349</v>
      </c>
      <c r="N2678" s="77">
        <v>0.83333333333333337</v>
      </c>
      <c r="P2678">
        <v>44.06</v>
      </c>
      <c r="S2678" s="74">
        <v>33349</v>
      </c>
      <c r="T2678" s="77">
        <v>0.83333333333333337</v>
      </c>
      <c r="V2678">
        <v>44.06</v>
      </c>
      <c r="X2678" s="42"/>
      <c r="AB2678">
        <v>53.1</v>
      </c>
      <c r="AC2678">
        <v>46.94</v>
      </c>
      <c r="AE2678" s="74"/>
      <c r="AF2678" s="77"/>
      <c r="AH2678" s="497">
        <v>44.06</v>
      </c>
      <c r="AJ2678" s="42"/>
      <c r="AK2678" s="74"/>
      <c r="AL2678" s="77"/>
      <c r="AN2678" s="497">
        <v>48.92</v>
      </c>
      <c r="AP2678" s="42"/>
      <c r="AQ2678" s="74"/>
      <c r="AR2678" s="77"/>
      <c r="AT2678" s="497">
        <v>42.08</v>
      </c>
      <c r="AV2678" s="42"/>
      <c r="AW2678" s="74"/>
      <c r="AX2678" s="77"/>
      <c r="BA2678" s="497">
        <v>64.039999999999992</v>
      </c>
      <c r="BB2678" s="42"/>
      <c r="BC2678" s="74"/>
      <c r="BD2678" s="77"/>
      <c r="BF2678">
        <v>46.04</v>
      </c>
      <c r="BH2678" s="42"/>
      <c r="BI2678" s="74"/>
      <c r="BJ2678" s="77"/>
      <c r="BL2678" s="497">
        <v>39.019999999999996</v>
      </c>
      <c r="BN2678" s="42"/>
      <c r="BO2678" s="74"/>
      <c r="BP2678" s="77"/>
      <c r="BR2678" s="497">
        <v>57.019999999999996</v>
      </c>
      <c r="BT2678" s="42"/>
    </row>
    <row r="2679" spans="1:72" x14ac:dyDescent="0.25">
      <c r="A2679" s="90">
        <v>33349</v>
      </c>
      <c r="B2679" s="20">
        <v>0.875</v>
      </c>
      <c r="D2679">
        <v>51.980000000000004</v>
      </c>
      <c r="E2679" t="str">
        <f t="shared" si="118"/>
        <v>SUNDAY</v>
      </c>
      <c r="F2679" t="e">
        <f t="shared" si="119"/>
        <v>#N/A</v>
      </c>
      <c r="G2679" s="74">
        <v>32984</v>
      </c>
      <c r="H2679" s="77">
        <v>0.875</v>
      </c>
      <c r="J2679">
        <v>53.96</v>
      </c>
      <c r="M2679" s="74">
        <v>33349</v>
      </c>
      <c r="N2679" s="77">
        <v>0.875</v>
      </c>
      <c r="P2679">
        <v>44.06</v>
      </c>
      <c r="S2679" s="74">
        <v>33349</v>
      </c>
      <c r="T2679" s="77">
        <v>0.875</v>
      </c>
      <c r="V2679">
        <v>44.06</v>
      </c>
      <c r="X2679" s="42"/>
      <c r="AB2679">
        <v>52.3</v>
      </c>
      <c r="AC2679">
        <v>44.96</v>
      </c>
      <c r="AE2679" s="74"/>
      <c r="AF2679" s="77"/>
      <c r="AH2679" s="497">
        <v>44.06</v>
      </c>
      <c r="AJ2679" s="42"/>
      <c r="AK2679" s="74"/>
      <c r="AL2679" s="77"/>
      <c r="AN2679" s="497">
        <v>48.92</v>
      </c>
      <c r="AP2679" s="42"/>
      <c r="AQ2679" s="74"/>
      <c r="AR2679" s="77"/>
      <c r="AT2679" s="497">
        <v>41</v>
      </c>
      <c r="AV2679" s="42"/>
      <c r="AW2679" s="74"/>
      <c r="AX2679" s="77"/>
      <c r="BA2679" s="497">
        <v>62.06</v>
      </c>
      <c r="BB2679" s="42"/>
      <c r="BC2679" s="74"/>
      <c r="BD2679" s="77"/>
      <c r="BF2679">
        <v>44.06</v>
      </c>
      <c r="BH2679" s="42"/>
      <c r="BI2679" s="74"/>
      <c r="BJ2679" s="77"/>
      <c r="BL2679" s="497">
        <v>37.94</v>
      </c>
      <c r="BN2679" s="42"/>
      <c r="BO2679" s="74"/>
      <c r="BP2679" s="77"/>
      <c r="BR2679" s="497">
        <v>57.019999999999996</v>
      </c>
      <c r="BT2679" s="42"/>
    </row>
    <row r="2680" spans="1:72" x14ac:dyDescent="0.25">
      <c r="A2680" s="90">
        <v>33349</v>
      </c>
      <c r="B2680" s="20">
        <v>0.91666666666666663</v>
      </c>
      <c r="D2680">
        <v>51.980000000000004</v>
      </c>
      <c r="E2680" t="str">
        <f t="shared" si="118"/>
        <v>SUNDAY</v>
      </c>
      <c r="F2680" t="e">
        <f t="shared" si="119"/>
        <v>#N/A</v>
      </c>
      <c r="G2680" s="74">
        <v>32984</v>
      </c>
      <c r="H2680" s="77">
        <v>0.91666666666666663</v>
      </c>
      <c r="J2680">
        <v>53.06</v>
      </c>
      <c r="M2680" s="74">
        <v>33349</v>
      </c>
      <c r="N2680" s="77">
        <v>0.91666666666666663</v>
      </c>
      <c r="P2680">
        <v>44.06</v>
      </c>
      <c r="S2680" s="74">
        <v>33349</v>
      </c>
      <c r="T2680" s="77">
        <v>0.91666666666666663</v>
      </c>
      <c r="V2680">
        <v>44.06</v>
      </c>
      <c r="X2680" s="42"/>
      <c r="AB2680">
        <v>51.7</v>
      </c>
      <c r="AC2680">
        <v>44.06</v>
      </c>
      <c r="AE2680" s="74"/>
      <c r="AF2680" s="77"/>
      <c r="AH2680" s="497">
        <v>42.980000000000004</v>
      </c>
      <c r="AJ2680" s="42"/>
      <c r="AK2680" s="74"/>
      <c r="AL2680" s="77"/>
      <c r="AN2680" s="497">
        <v>46.94</v>
      </c>
      <c r="AP2680" s="42"/>
      <c r="AQ2680" s="74"/>
      <c r="AR2680" s="77"/>
      <c r="AT2680" s="497">
        <v>39.019999999999996</v>
      </c>
      <c r="AV2680" s="42"/>
      <c r="AW2680" s="74"/>
      <c r="AX2680" s="77"/>
      <c r="BA2680" s="497">
        <v>59</v>
      </c>
      <c r="BB2680" s="42"/>
      <c r="BC2680" s="74"/>
      <c r="BD2680" s="77"/>
      <c r="BF2680">
        <v>42.980000000000004</v>
      </c>
      <c r="BH2680" s="42"/>
      <c r="BI2680" s="74"/>
      <c r="BJ2680" s="77"/>
      <c r="BL2680" s="497">
        <v>37.94</v>
      </c>
      <c r="BN2680" s="42"/>
      <c r="BO2680" s="74"/>
      <c r="BP2680" s="77"/>
      <c r="BR2680" s="497">
        <v>55.040000000000006</v>
      </c>
      <c r="BT2680" s="42"/>
    </row>
    <row r="2681" spans="1:72" x14ac:dyDescent="0.25">
      <c r="A2681" s="90">
        <v>33349</v>
      </c>
      <c r="B2681" s="20">
        <v>0.95833333333333337</v>
      </c>
      <c r="D2681">
        <v>50</v>
      </c>
      <c r="E2681" t="str">
        <f t="shared" si="118"/>
        <v>SUNDAY</v>
      </c>
      <c r="F2681" t="e">
        <f t="shared" si="119"/>
        <v>#N/A</v>
      </c>
      <c r="G2681" s="74">
        <v>32984</v>
      </c>
      <c r="H2681" s="77">
        <v>0.95833333333333337</v>
      </c>
      <c r="J2681">
        <v>55.040000000000006</v>
      </c>
      <c r="M2681" s="74">
        <v>33349</v>
      </c>
      <c r="N2681" s="77">
        <v>0.95833333333333337</v>
      </c>
      <c r="P2681">
        <v>42.980000000000004</v>
      </c>
      <c r="S2681" s="74">
        <v>33349</v>
      </c>
      <c r="T2681" s="77">
        <v>0.95833333333333337</v>
      </c>
      <c r="V2681">
        <v>44.06</v>
      </c>
      <c r="X2681" s="42"/>
      <c r="AB2681">
        <v>51.2</v>
      </c>
      <c r="AC2681">
        <v>44.06</v>
      </c>
      <c r="AE2681" s="74"/>
      <c r="AF2681" s="77"/>
      <c r="AH2681" s="497">
        <v>44.96</v>
      </c>
      <c r="AJ2681" s="42"/>
      <c r="AK2681" s="74"/>
      <c r="AL2681" s="77"/>
      <c r="AN2681" s="497">
        <v>46.04</v>
      </c>
      <c r="AP2681" s="42"/>
      <c r="AQ2681" s="74"/>
      <c r="AR2681" s="77"/>
      <c r="AT2681" s="497">
        <v>37.04</v>
      </c>
      <c r="AV2681" s="42"/>
      <c r="AW2681" s="74"/>
      <c r="AX2681" s="77"/>
      <c r="BA2681" s="497">
        <v>55.94</v>
      </c>
      <c r="BB2681" s="42"/>
      <c r="BC2681" s="74"/>
      <c r="BD2681" s="77"/>
      <c r="BF2681">
        <v>42.08</v>
      </c>
      <c r="BH2681" s="42"/>
      <c r="BI2681" s="74"/>
      <c r="BJ2681" s="77"/>
      <c r="BL2681" s="497">
        <v>37.94</v>
      </c>
      <c r="BN2681" s="42"/>
      <c r="BO2681" s="74"/>
      <c r="BP2681" s="77"/>
      <c r="BR2681" s="497">
        <v>53.96</v>
      </c>
      <c r="BT2681" s="42"/>
    </row>
    <row r="2682" spans="1:72" x14ac:dyDescent="0.25">
      <c r="A2682" s="90">
        <v>33349</v>
      </c>
      <c r="B2682" s="20">
        <v>1</v>
      </c>
      <c r="D2682">
        <v>48.92</v>
      </c>
      <c r="E2682" t="str">
        <f t="shared" si="118"/>
        <v>SUNDAY</v>
      </c>
      <c r="F2682" t="e">
        <f t="shared" si="119"/>
        <v>#N/A</v>
      </c>
      <c r="G2682" s="74">
        <v>32984</v>
      </c>
      <c r="H2682" s="77">
        <v>1</v>
      </c>
      <c r="J2682">
        <v>53.96</v>
      </c>
      <c r="M2682" s="74">
        <v>33349</v>
      </c>
      <c r="N2682" s="80">
        <v>1</v>
      </c>
      <c r="P2682">
        <v>42.08</v>
      </c>
      <c r="S2682" s="74">
        <v>33349</v>
      </c>
      <c r="T2682" s="80">
        <v>1</v>
      </c>
      <c r="V2682">
        <v>42.980000000000004</v>
      </c>
      <c r="X2682" s="42"/>
      <c r="AB2682">
        <v>50.7</v>
      </c>
      <c r="AC2682">
        <v>44.06</v>
      </c>
      <c r="AE2682" s="74"/>
      <c r="AF2682" s="80"/>
      <c r="AH2682" s="497">
        <v>42.980000000000004</v>
      </c>
      <c r="AJ2682" s="42"/>
      <c r="AK2682" s="74"/>
      <c r="AL2682" s="80"/>
      <c r="AN2682" s="497">
        <v>46.04</v>
      </c>
      <c r="AP2682" s="42"/>
      <c r="AQ2682" s="74"/>
      <c r="AR2682" s="80"/>
      <c r="AT2682" s="497">
        <v>33.08</v>
      </c>
      <c r="AV2682" s="42"/>
      <c r="AW2682" s="74"/>
      <c r="AX2682" s="80"/>
      <c r="BA2682" s="497">
        <v>55.94</v>
      </c>
      <c r="BB2682" s="42"/>
      <c r="BC2682" s="74"/>
      <c r="BD2682" s="80"/>
      <c r="BF2682">
        <v>41</v>
      </c>
      <c r="BH2682" s="42"/>
      <c r="BI2682" s="74"/>
      <c r="BJ2682" s="80"/>
      <c r="BL2682" s="497">
        <v>37.94</v>
      </c>
      <c r="BN2682" s="42"/>
      <c r="BO2682" s="74"/>
      <c r="BP2682" s="80"/>
      <c r="BR2682" s="497">
        <v>53.96</v>
      </c>
      <c r="BT2682" s="42"/>
    </row>
    <row r="2683" spans="1:72" x14ac:dyDescent="0.25">
      <c r="A2683" s="90">
        <v>33350</v>
      </c>
      <c r="B2683" s="20">
        <v>4.1666666666666664E-2</v>
      </c>
      <c r="D2683">
        <v>46.94</v>
      </c>
      <c r="E2683" t="str">
        <f t="shared" si="118"/>
        <v>WEEKDAY</v>
      </c>
      <c r="F2683" t="e">
        <f t="shared" si="119"/>
        <v>#N/A</v>
      </c>
      <c r="G2683" s="74">
        <v>32985</v>
      </c>
      <c r="H2683" s="77">
        <v>4.1666666666666664E-2</v>
      </c>
      <c r="J2683">
        <v>53.06</v>
      </c>
      <c r="M2683" s="74">
        <v>33350</v>
      </c>
      <c r="N2683" s="77">
        <v>4.1666666666666664E-2</v>
      </c>
      <c r="P2683">
        <v>41</v>
      </c>
      <c r="S2683" s="74">
        <v>33350</v>
      </c>
      <c r="T2683" s="77">
        <v>4.1666666666666664E-2</v>
      </c>
      <c r="V2683">
        <v>44.06</v>
      </c>
      <c r="X2683" s="42"/>
      <c r="AB2683">
        <v>50.1</v>
      </c>
      <c r="AC2683">
        <v>44.06</v>
      </c>
      <c r="AE2683" s="74"/>
      <c r="AF2683" s="77"/>
      <c r="AH2683" s="497">
        <v>42.980000000000004</v>
      </c>
      <c r="AJ2683" s="42"/>
      <c r="AK2683" s="74"/>
      <c r="AL2683" s="77"/>
      <c r="AN2683" s="497">
        <v>42.980000000000004</v>
      </c>
      <c r="AP2683" s="42"/>
      <c r="AQ2683" s="74"/>
      <c r="AR2683" s="77"/>
      <c r="AT2683" s="497">
        <v>30.92</v>
      </c>
      <c r="AV2683" s="42"/>
      <c r="AW2683" s="74"/>
      <c r="AX2683" s="77"/>
      <c r="BA2683" s="497">
        <v>55.040000000000006</v>
      </c>
      <c r="BB2683" s="42"/>
      <c r="BC2683" s="74"/>
      <c r="BD2683" s="77"/>
      <c r="BF2683">
        <v>41</v>
      </c>
      <c r="BH2683" s="42"/>
      <c r="BI2683" s="74"/>
      <c r="BJ2683" s="77"/>
      <c r="BL2683" s="497">
        <v>37.04</v>
      </c>
      <c r="BN2683" s="42"/>
      <c r="BO2683" s="74"/>
      <c r="BP2683" s="77"/>
      <c r="BR2683" s="497">
        <v>53.96</v>
      </c>
      <c r="BT2683" s="42"/>
    </row>
    <row r="2684" spans="1:72" x14ac:dyDescent="0.25">
      <c r="A2684" s="90">
        <v>33350</v>
      </c>
      <c r="B2684" s="20">
        <v>8.3333333333333329E-2</v>
      </c>
      <c r="D2684">
        <v>46.04</v>
      </c>
      <c r="E2684" t="str">
        <f t="shared" si="118"/>
        <v>WEEKDAY</v>
      </c>
      <c r="F2684" t="e">
        <f t="shared" si="119"/>
        <v>#N/A</v>
      </c>
      <c r="G2684" s="74">
        <v>32985</v>
      </c>
      <c r="H2684" s="77">
        <v>8.3333333333333329E-2</v>
      </c>
      <c r="J2684">
        <v>51.980000000000004</v>
      </c>
      <c r="M2684" s="74">
        <v>33350</v>
      </c>
      <c r="N2684" s="77">
        <v>8.3333333333333329E-2</v>
      </c>
      <c r="P2684">
        <v>41</v>
      </c>
      <c r="S2684" s="74">
        <v>33350</v>
      </c>
      <c r="T2684" s="77">
        <v>8.3333333333333329E-2</v>
      </c>
      <c r="V2684">
        <v>44.06</v>
      </c>
      <c r="X2684" s="42"/>
      <c r="AB2684">
        <v>49.6</v>
      </c>
      <c r="AC2684">
        <v>44.06</v>
      </c>
      <c r="AE2684" s="74"/>
      <c r="AF2684" s="77"/>
      <c r="AH2684" s="497">
        <v>41</v>
      </c>
      <c r="AJ2684" s="42"/>
      <c r="AK2684" s="74"/>
      <c r="AL2684" s="77"/>
      <c r="AN2684" s="497">
        <v>42.08</v>
      </c>
      <c r="AP2684" s="42"/>
      <c r="AQ2684" s="74"/>
      <c r="AR2684" s="77"/>
      <c r="AT2684" s="497">
        <v>33.979999999999997</v>
      </c>
      <c r="AV2684" s="42"/>
      <c r="AW2684" s="74"/>
      <c r="AX2684" s="77"/>
      <c r="BA2684" s="497">
        <v>53.96</v>
      </c>
      <c r="BB2684" s="42"/>
      <c r="BC2684" s="74"/>
      <c r="BD2684" s="77"/>
      <c r="BF2684">
        <v>39.92</v>
      </c>
      <c r="BH2684" s="42"/>
      <c r="BI2684" s="74"/>
      <c r="BJ2684" s="77"/>
      <c r="BL2684" s="497">
        <v>35.96</v>
      </c>
      <c r="BN2684" s="42"/>
      <c r="BO2684" s="74"/>
      <c r="BP2684" s="77"/>
      <c r="BR2684" s="497">
        <v>60.08</v>
      </c>
      <c r="BT2684" s="42"/>
    </row>
    <row r="2685" spans="1:72" x14ac:dyDescent="0.25">
      <c r="A2685" s="90">
        <v>33350</v>
      </c>
      <c r="B2685" s="20">
        <v>0.125</v>
      </c>
      <c r="D2685">
        <v>44.96</v>
      </c>
      <c r="E2685" t="str">
        <f t="shared" si="118"/>
        <v>WEEKDAY</v>
      </c>
      <c r="F2685" t="e">
        <f t="shared" si="119"/>
        <v>#N/A</v>
      </c>
      <c r="G2685" s="74">
        <v>32985</v>
      </c>
      <c r="H2685" s="77">
        <v>0.125</v>
      </c>
      <c r="J2685">
        <v>51.08</v>
      </c>
      <c r="M2685" s="74">
        <v>33350</v>
      </c>
      <c r="N2685" s="77">
        <v>0.125</v>
      </c>
      <c r="P2685">
        <v>41</v>
      </c>
      <c r="S2685" s="74">
        <v>33350</v>
      </c>
      <c r="T2685" s="77">
        <v>0.125</v>
      </c>
      <c r="V2685">
        <v>44.06</v>
      </c>
      <c r="X2685" s="42"/>
      <c r="AB2685">
        <v>49.1</v>
      </c>
      <c r="AC2685">
        <v>44.96</v>
      </c>
      <c r="AE2685" s="74"/>
      <c r="AF2685" s="77"/>
      <c r="AH2685" s="497">
        <v>39.92</v>
      </c>
      <c r="AJ2685" s="42"/>
      <c r="AK2685" s="74"/>
      <c r="AL2685" s="77"/>
      <c r="AN2685" s="497">
        <v>39.92</v>
      </c>
      <c r="AP2685" s="42"/>
      <c r="AQ2685" s="74"/>
      <c r="AR2685" s="77"/>
      <c r="AT2685" s="497">
        <v>33.979999999999997</v>
      </c>
      <c r="AV2685" s="42"/>
      <c r="AW2685" s="74"/>
      <c r="AX2685" s="77"/>
      <c r="BA2685" s="497">
        <v>51.980000000000004</v>
      </c>
      <c r="BB2685" s="42"/>
      <c r="BC2685" s="74"/>
      <c r="BD2685" s="77"/>
      <c r="BF2685">
        <v>39.019999999999996</v>
      </c>
      <c r="BH2685" s="42"/>
      <c r="BI2685" s="74"/>
      <c r="BJ2685" s="77"/>
      <c r="BL2685" s="497">
        <v>33.979999999999997</v>
      </c>
      <c r="BN2685" s="42"/>
      <c r="BO2685" s="74"/>
      <c r="BP2685" s="77"/>
      <c r="BR2685" s="497">
        <v>53.96</v>
      </c>
      <c r="BT2685" s="42"/>
    </row>
    <row r="2686" spans="1:72" x14ac:dyDescent="0.25">
      <c r="A2686" s="90">
        <v>33350</v>
      </c>
      <c r="B2686" s="20">
        <v>0.16666666666666666</v>
      </c>
      <c r="D2686">
        <v>44.06</v>
      </c>
      <c r="E2686" t="str">
        <f t="shared" si="118"/>
        <v>WEEKDAY</v>
      </c>
      <c r="F2686" t="e">
        <f t="shared" si="119"/>
        <v>#N/A</v>
      </c>
      <c r="G2686" s="74">
        <v>32985</v>
      </c>
      <c r="H2686" s="77">
        <v>0.16666666666666666</v>
      </c>
      <c r="J2686">
        <v>51.08</v>
      </c>
      <c r="M2686" s="74">
        <v>33350</v>
      </c>
      <c r="N2686" s="77">
        <v>0.16666666666666666</v>
      </c>
      <c r="P2686">
        <v>41</v>
      </c>
      <c r="S2686" s="74">
        <v>33350</v>
      </c>
      <c r="T2686" s="77">
        <v>0.16666666666666666</v>
      </c>
      <c r="V2686">
        <v>42.08</v>
      </c>
      <c r="X2686" s="42"/>
      <c r="AB2686">
        <v>48.6</v>
      </c>
      <c r="AC2686">
        <v>46.04</v>
      </c>
      <c r="AE2686" s="74"/>
      <c r="AF2686" s="77"/>
      <c r="AH2686" s="497">
        <v>39.019999999999996</v>
      </c>
      <c r="AJ2686" s="42"/>
      <c r="AK2686" s="74"/>
      <c r="AL2686" s="77"/>
      <c r="AN2686" s="497">
        <v>37.94</v>
      </c>
      <c r="AP2686" s="42"/>
      <c r="AQ2686" s="74"/>
      <c r="AR2686" s="77"/>
      <c r="AT2686" s="497">
        <v>33.08</v>
      </c>
      <c r="AV2686" s="42"/>
      <c r="AW2686" s="74"/>
      <c r="AX2686" s="77"/>
      <c r="BA2686" s="497">
        <v>51.08</v>
      </c>
      <c r="BB2686" s="42"/>
      <c r="BC2686" s="74"/>
      <c r="BD2686" s="77"/>
      <c r="BF2686">
        <v>37.94</v>
      </c>
      <c r="BH2686" s="42"/>
      <c r="BI2686" s="74"/>
      <c r="BJ2686" s="77"/>
      <c r="BL2686" s="497">
        <v>35.06</v>
      </c>
      <c r="BN2686" s="42"/>
      <c r="BO2686" s="74"/>
      <c r="BP2686" s="77"/>
      <c r="BR2686" s="497">
        <v>50</v>
      </c>
      <c r="BT2686" s="42"/>
    </row>
    <row r="2687" spans="1:72" x14ac:dyDescent="0.25">
      <c r="A2687" s="90">
        <v>33350</v>
      </c>
      <c r="B2687" s="20">
        <v>0.20833333333333334</v>
      </c>
      <c r="D2687">
        <v>44.96</v>
      </c>
      <c r="E2687" t="str">
        <f t="shared" si="118"/>
        <v>WEEKDAY</v>
      </c>
      <c r="F2687" t="e">
        <f t="shared" si="119"/>
        <v>#N/A</v>
      </c>
      <c r="G2687" s="74">
        <v>32985</v>
      </c>
      <c r="H2687" s="77">
        <v>0.20833333333333334</v>
      </c>
      <c r="J2687">
        <v>51.08</v>
      </c>
      <c r="M2687" s="74">
        <v>33350</v>
      </c>
      <c r="N2687" s="77">
        <v>0.20833333333333334</v>
      </c>
      <c r="P2687">
        <v>41</v>
      </c>
      <c r="S2687" s="74">
        <v>33350</v>
      </c>
      <c r="T2687" s="77">
        <v>0.20833333333333334</v>
      </c>
      <c r="V2687">
        <v>42.08</v>
      </c>
      <c r="X2687" s="42"/>
      <c r="AB2687">
        <v>48.1</v>
      </c>
      <c r="AC2687">
        <v>44.06</v>
      </c>
      <c r="AE2687" s="74"/>
      <c r="AF2687" s="77"/>
      <c r="AH2687" s="497">
        <v>39.92</v>
      </c>
      <c r="AJ2687" s="42"/>
      <c r="AK2687" s="74"/>
      <c r="AL2687" s="77"/>
      <c r="AN2687" s="497">
        <v>35.96</v>
      </c>
      <c r="AP2687" s="42"/>
      <c r="AQ2687" s="74"/>
      <c r="AR2687" s="77"/>
      <c r="AT2687" s="497">
        <v>33.08</v>
      </c>
      <c r="AV2687" s="42"/>
      <c r="AW2687" s="74"/>
      <c r="AX2687" s="77"/>
      <c r="BA2687" s="497">
        <v>51.980000000000004</v>
      </c>
      <c r="BB2687" s="42"/>
      <c r="BC2687" s="74"/>
      <c r="BD2687" s="77"/>
      <c r="BF2687">
        <v>37.04</v>
      </c>
      <c r="BH2687" s="42"/>
      <c r="BI2687" s="74"/>
      <c r="BJ2687" s="77"/>
      <c r="BL2687" s="497">
        <v>35.06</v>
      </c>
      <c r="BN2687" s="42"/>
      <c r="BO2687" s="74"/>
      <c r="BP2687" s="77"/>
      <c r="BR2687" s="497">
        <v>46.94</v>
      </c>
      <c r="BT2687" s="42"/>
    </row>
    <row r="2688" spans="1:72" x14ac:dyDescent="0.25">
      <c r="A2688" s="90">
        <v>33350</v>
      </c>
      <c r="B2688" s="20">
        <v>0.25</v>
      </c>
      <c r="D2688">
        <v>46.04</v>
      </c>
      <c r="E2688" t="str">
        <f t="shared" si="118"/>
        <v>WEEKDAY</v>
      </c>
      <c r="F2688" t="e">
        <f t="shared" si="119"/>
        <v>#N/A</v>
      </c>
      <c r="G2688" s="74">
        <v>32985</v>
      </c>
      <c r="H2688" s="77">
        <v>0.25</v>
      </c>
      <c r="J2688">
        <v>51.08</v>
      </c>
      <c r="M2688" s="74">
        <v>33350</v>
      </c>
      <c r="N2688" s="77">
        <v>0.25</v>
      </c>
      <c r="P2688">
        <v>41</v>
      </c>
      <c r="S2688" s="74">
        <v>33350</v>
      </c>
      <c r="T2688" s="77">
        <v>0.25</v>
      </c>
      <c r="V2688">
        <v>41</v>
      </c>
      <c r="X2688" s="42"/>
      <c r="AB2688">
        <v>47.9</v>
      </c>
      <c r="AC2688">
        <v>42.08</v>
      </c>
      <c r="AE2688" s="74"/>
      <c r="AF2688" s="77"/>
      <c r="AH2688" s="497">
        <v>39.92</v>
      </c>
      <c r="AJ2688" s="42"/>
      <c r="AK2688" s="74"/>
      <c r="AL2688" s="77"/>
      <c r="AN2688" s="497">
        <v>37.04</v>
      </c>
      <c r="AP2688" s="42"/>
      <c r="AQ2688" s="74"/>
      <c r="AR2688" s="77"/>
      <c r="AT2688" s="497">
        <v>35.06</v>
      </c>
      <c r="AV2688" s="42"/>
      <c r="AW2688" s="74"/>
      <c r="AX2688" s="77"/>
      <c r="BA2688" s="497">
        <v>51.980000000000004</v>
      </c>
      <c r="BB2688" s="42"/>
      <c r="BC2688" s="74"/>
      <c r="BD2688" s="77"/>
      <c r="BF2688">
        <v>33.08</v>
      </c>
      <c r="BH2688" s="42"/>
      <c r="BI2688" s="74"/>
      <c r="BJ2688" s="77"/>
      <c r="BL2688" s="497">
        <v>33.979999999999997</v>
      </c>
      <c r="BN2688" s="42"/>
      <c r="BO2688" s="74"/>
      <c r="BP2688" s="77"/>
      <c r="BR2688" s="497">
        <v>48.019999999999996</v>
      </c>
      <c r="BT2688" s="42"/>
    </row>
    <row r="2689" spans="1:72" x14ac:dyDescent="0.25">
      <c r="A2689" s="90">
        <v>33350</v>
      </c>
      <c r="B2689" s="20">
        <v>0.29166666666666669</v>
      </c>
      <c r="D2689">
        <v>46.94</v>
      </c>
      <c r="E2689" t="str">
        <f t="shared" si="118"/>
        <v>WEEKDAY</v>
      </c>
      <c r="F2689" t="e">
        <f t="shared" si="119"/>
        <v>#N/A</v>
      </c>
      <c r="G2689" s="74">
        <v>32985</v>
      </c>
      <c r="H2689" s="77">
        <v>0.29166666666666669</v>
      </c>
      <c r="J2689">
        <v>51.980000000000004</v>
      </c>
      <c r="M2689" s="74">
        <v>33350</v>
      </c>
      <c r="N2689" s="77">
        <v>0.29166666666666669</v>
      </c>
      <c r="P2689">
        <v>39.92</v>
      </c>
      <c r="S2689" s="74">
        <v>33350</v>
      </c>
      <c r="T2689" s="77">
        <v>0.29166666666666669</v>
      </c>
      <c r="V2689">
        <v>41</v>
      </c>
      <c r="X2689" s="42"/>
      <c r="AB2689">
        <v>48.4</v>
      </c>
      <c r="AC2689">
        <v>42.08</v>
      </c>
      <c r="AE2689" s="74"/>
      <c r="AF2689" s="77"/>
      <c r="AH2689" s="497">
        <v>39.019999999999996</v>
      </c>
      <c r="AJ2689" s="42"/>
      <c r="AK2689" s="74"/>
      <c r="AL2689" s="77"/>
      <c r="AN2689" s="497">
        <v>39.92</v>
      </c>
      <c r="AP2689" s="42"/>
      <c r="AQ2689" s="74"/>
      <c r="AR2689" s="77"/>
      <c r="AT2689" s="497">
        <v>37.94</v>
      </c>
      <c r="AV2689" s="42"/>
      <c r="AW2689" s="74"/>
      <c r="AX2689" s="77"/>
      <c r="BA2689" s="497">
        <v>55.94</v>
      </c>
      <c r="BB2689" s="42"/>
      <c r="BC2689" s="74"/>
      <c r="BD2689" s="77"/>
      <c r="BF2689">
        <v>37.94</v>
      </c>
      <c r="BH2689" s="42"/>
      <c r="BI2689" s="74"/>
      <c r="BJ2689" s="77"/>
      <c r="BL2689" s="497">
        <v>33.979999999999997</v>
      </c>
      <c r="BN2689" s="42"/>
      <c r="BO2689" s="74"/>
      <c r="BP2689" s="77"/>
      <c r="BR2689" s="497">
        <v>48.92</v>
      </c>
      <c r="BT2689" s="42"/>
    </row>
    <row r="2690" spans="1:72" x14ac:dyDescent="0.25">
      <c r="A2690" s="90">
        <v>33350</v>
      </c>
      <c r="B2690" s="20">
        <v>0.33333333333333331</v>
      </c>
      <c r="D2690">
        <v>48.92</v>
      </c>
      <c r="E2690" t="str">
        <f t="shared" si="118"/>
        <v>WEEKDAY</v>
      </c>
      <c r="F2690" t="e">
        <f t="shared" si="119"/>
        <v>#N/A</v>
      </c>
      <c r="G2690" s="74">
        <v>32985</v>
      </c>
      <c r="H2690" s="77">
        <v>0.33333333333333331</v>
      </c>
      <c r="J2690">
        <v>55.040000000000006</v>
      </c>
      <c r="M2690" s="74">
        <v>33350</v>
      </c>
      <c r="N2690" s="77">
        <v>0.33333333333333331</v>
      </c>
      <c r="P2690">
        <v>39.92</v>
      </c>
      <c r="S2690" s="74">
        <v>33350</v>
      </c>
      <c r="T2690" s="77">
        <v>0.33333333333333331</v>
      </c>
      <c r="V2690">
        <v>42.08</v>
      </c>
      <c r="X2690" s="42"/>
      <c r="AB2690">
        <v>50.4</v>
      </c>
      <c r="AC2690">
        <v>42.980000000000004</v>
      </c>
      <c r="AE2690" s="74"/>
      <c r="AF2690" s="77"/>
      <c r="AH2690" s="497">
        <v>39.92</v>
      </c>
      <c r="AJ2690" s="42"/>
      <c r="AK2690" s="74"/>
      <c r="AL2690" s="77"/>
      <c r="AN2690" s="497">
        <v>42.08</v>
      </c>
      <c r="AP2690" s="42"/>
      <c r="AQ2690" s="74"/>
      <c r="AR2690" s="77"/>
      <c r="AT2690" s="497">
        <v>41</v>
      </c>
      <c r="AV2690" s="42"/>
      <c r="AW2690" s="74"/>
      <c r="AX2690" s="77"/>
      <c r="BA2690" s="497">
        <v>60.08</v>
      </c>
      <c r="BB2690" s="42"/>
      <c r="BC2690" s="74"/>
      <c r="BD2690" s="77"/>
      <c r="BF2690">
        <v>42.980000000000004</v>
      </c>
      <c r="BH2690" s="42"/>
      <c r="BI2690" s="74"/>
      <c r="BJ2690" s="77"/>
      <c r="BL2690" s="497">
        <v>35.06</v>
      </c>
      <c r="BN2690" s="42"/>
      <c r="BO2690" s="74"/>
      <c r="BP2690" s="77"/>
      <c r="BR2690" s="497">
        <v>51.980000000000004</v>
      </c>
      <c r="BT2690" s="42"/>
    </row>
    <row r="2691" spans="1:72" x14ac:dyDescent="0.25">
      <c r="A2691" s="90">
        <v>33350</v>
      </c>
      <c r="B2691" s="20">
        <v>0.375</v>
      </c>
      <c r="D2691">
        <v>50</v>
      </c>
      <c r="E2691" t="str">
        <f t="shared" si="118"/>
        <v>WEEKDAY</v>
      </c>
      <c r="F2691" t="e">
        <f t="shared" si="119"/>
        <v>#N/A</v>
      </c>
      <c r="G2691" s="74">
        <v>32985</v>
      </c>
      <c r="H2691" s="77">
        <v>0.375</v>
      </c>
      <c r="J2691">
        <v>57.92</v>
      </c>
      <c r="M2691" s="74">
        <v>33350</v>
      </c>
      <c r="N2691" s="77">
        <v>0.375</v>
      </c>
      <c r="P2691">
        <v>39.92</v>
      </c>
      <c r="S2691" s="74">
        <v>33350</v>
      </c>
      <c r="T2691" s="77">
        <v>0.375</v>
      </c>
      <c r="V2691">
        <v>42.980000000000004</v>
      </c>
      <c r="X2691" s="42"/>
      <c r="AB2691">
        <v>52.4</v>
      </c>
      <c r="AC2691">
        <v>42.980000000000004</v>
      </c>
      <c r="AE2691" s="74"/>
      <c r="AF2691" s="77"/>
      <c r="AH2691" s="497">
        <v>39.92</v>
      </c>
      <c r="AJ2691" s="42"/>
      <c r="AK2691" s="74"/>
      <c r="AL2691" s="77"/>
      <c r="AN2691" s="497">
        <v>44.06</v>
      </c>
      <c r="AP2691" s="42"/>
      <c r="AQ2691" s="74"/>
      <c r="AR2691" s="77"/>
      <c r="AT2691" s="497">
        <v>44.06</v>
      </c>
      <c r="AV2691" s="42"/>
      <c r="AW2691" s="74"/>
      <c r="AX2691" s="77"/>
      <c r="BA2691" s="497">
        <v>69.080000000000013</v>
      </c>
      <c r="BB2691" s="42"/>
      <c r="BC2691" s="74"/>
      <c r="BD2691" s="77"/>
      <c r="BF2691">
        <v>48.019999999999996</v>
      </c>
      <c r="BH2691" s="42"/>
      <c r="BI2691" s="74"/>
      <c r="BJ2691" s="77"/>
      <c r="BL2691" s="497">
        <v>35.6</v>
      </c>
      <c r="BN2691" s="42"/>
      <c r="BO2691" s="74"/>
      <c r="BP2691" s="77"/>
      <c r="BR2691" s="497">
        <v>55.94</v>
      </c>
      <c r="BT2691" s="42"/>
    </row>
    <row r="2692" spans="1:72" x14ac:dyDescent="0.25">
      <c r="A2692" s="90">
        <v>33350</v>
      </c>
      <c r="B2692" s="20">
        <v>0.41666666666666669</v>
      </c>
      <c r="D2692">
        <v>51.08</v>
      </c>
      <c r="E2692" t="str">
        <f t="shared" si="118"/>
        <v>WEEKDAY</v>
      </c>
      <c r="F2692" t="e">
        <f t="shared" si="119"/>
        <v>#N/A</v>
      </c>
      <c r="G2692" s="74">
        <v>32985</v>
      </c>
      <c r="H2692" s="77">
        <v>0.41666666666666669</v>
      </c>
      <c r="J2692">
        <v>60.08</v>
      </c>
      <c r="M2692" s="74">
        <v>33350</v>
      </c>
      <c r="N2692" s="77">
        <v>0.41666666666666669</v>
      </c>
      <c r="P2692">
        <v>41</v>
      </c>
      <c r="S2692" s="74">
        <v>33350</v>
      </c>
      <c r="T2692" s="77">
        <v>0.41666666666666669</v>
      </c>
      <c r="V2692">
        <v>42.980000000000004</v>
      </c>
      <c r="X2692" s="42"/>
      <c r="AB2692">
        <v>54.2</v>
      </c>
      <c r="AC2692">
        <v>46.04</v>
      </c>
      <c r="AE2692" s="74"/>
      <c r="AF2692" s="77"/>
      <c r="AH2692" s="497">
        <v>42.980000000000004</v>
      </c>
      <c r="AJ2692" s="42"/>
      <c r="AK2692" s="74"/>
      <c r="AL2692" s="77"/>
      <c r="AN2692" s="497">
        <v>46.04</v>
      </c>
      <c r="AP2692" s="42"/>
      <c r="AQ2692" s="74"/>
      <c r="AR2692" s="77"/>
      <c r="AT2692" s="497">
        <v>44.96</v>
      </c>
      <c r="AV2692" s="42"/>
      <c r="AW2692" s="74"/>
      <c r="AX2692" s="77"/>
      <c r="BA2692" s="497">
        <v>73.039999999999992</v>
      </c>
      <c r="BB2692" s="42"/>
      <c r="BC2692" s="74"/>
      <c r="BD2692" s="77"/>
      <c r="BF2692">
        <v>51.08</v>
      </c>
      <c r="BH2692" s="42"/>
      <c r="BI2692" s="74"/>
      <c r="BJ2692" s="77"/>
      <c r="BL2692" s="497">
        <v>35.96</v>
      </c>
      <c r="BN2692" s="42"/>
      <c r="BO2692" s="74"/>
      <c r="BP2692" s="77"/>
      <c r="BR2692" s="497">
        <v>57.019999999999996</v>
      </c>
      <c r="BT2692" s="42"/>
    </row>
    <row r="2693" spans="1:72" x14ac:dyDescent="0.25">
      <c r="A2693" s="90">
        <v>33350</v>
      </c>
      <c r="B2693" s="20">
        <v>0.45833333333333331</v>
      </c>
      <c r="D2693">
        <v>51.980000000000004</v>
      </c>
      <c r="E2693" t="str">
        <f t="shared" si="118"/>
        <v>WEEKDAY</v>
      </c>
      <c r="F2693" t="e">
        <f t="shared" si="119"/>
        <v>#N/A</v>
      </c>
      <c r="G2693" s="74">
        <v>32985</v>
      </c>
      <c r="H2693" s="77">
        <v>0.45833333333333331</v>
      </c>
      <c r="J2693">
        <v>60.08</v>
      </c>
      <c r="M2693" s="74">
        <v>33350</v>
      </c>
      <c r="N2693" s="77">
        <v>0.45833333333333331</v>
      </c>
      <c r="P2693">
        <v>44.96</v>
      </c>
      <c r="S2693" s="74">
        <v>33350</v>
      </c>
      <c r="T2693" s="77">
        <v>0.45833333333333331</v>
      </c>
      <c r="V2693">
        <v>44.96</v>
      </c>
      <c r="X2693" s="42"/>
      <c r="AB2693">
        <v>55.9</v>
      </c>
      <c r="AC2693">
        <v>48.019999999999996</v>
      </c>
      <c r="AE2693" s="74"/>
      <c r="AF2693" s="77"/>
      <c r="AH2693" s="497">
        <v>44.96</v>
      </c>
      <c r="AJ2693" s="42"/>
      <c r="AK2693" s="74"/>
      <c r="AL2693" s="77"/>
      <c r="AN2693" s="497">
        <v>48.92</v>
      </c>
      <c r="AP2693" s="42"/>
      <c r="AQ2693" s="74"/>
      <c r="AR2693" s="77"/>
      <c r="AT2693" s="497">
        <v>44.96</v>
      </c>
      <c r="AV2693" s="42"/>
      <c r="AW2693" s="74"/>
      <c r="AX2693" s="77"/>
      <c r="BA2693" s="497">
        <v>75.02</v>
      </c>
      <c r="BB2693" s="42"/>
      <c r="BC2693" s="74"/>
      <c r="BD2693" s="77"/>
      <c r="BF2693">
        <v>53.06</v>
      </c>
      <c r="BH2693" s="42"/>
      <c r="BI2693" s="74"/>
      <c r="BJ2693" s="77"/>
      <c r="BL2693" s="497">
        <v>35.96</v>
      </c>
      <c r="BN2693" s="42"/>
      <c r="BO2693" s="74"/>
      <c r="BP2693" s="77"/>
      <c r="BR2693" s="497">
        <v>55.040000000000006</v>
      </c>
      <c r="BT2693" s="42"/>
    </row>
    <row r="2694" spans="1:72" x14ac:dyDescent="0.25">
      <c r="A2694" s="90">
        <v>33350</v>
      </c>
      <c r="B2694" s="20">
        <v>0.5</v>
      </c>
      <c r="D2694">
        <v>53.96</v>
      </c>
      <c r="E2694" t="str">
        <f t="shared" si="118"/>
        <v>WEEKDAY</v>
      </c>
      <c r="F2694" t="e">
        <f t="shared" si="119"/>
        <v>#N/A</v>
      </c>
      <c r="G2694" s="74">
        <v>32985</v>
      </c>
      <c r="H2694" s="77">
        <v>0.5</v>
      </c>
      <c r="J2694">
        <v>62.06</v>
      </c>
      <c r="M2694" s="74">
        <v>33350</v>
      </c>
      <c r="N2694" s="77">
        <v>0.5</v>
      </c>
      <c r="P2694">
        <v>44.96</v>
      </c>
      <c r="S2694" s="74">
        <v>33350</v>
      </c>
      <c r="T2694" s="77">
        <v>0.5</v>
      </c>
      <c r="V2694">
        <v>48.019999999999996</v>
      </c>
      <c r="X2694" s="42"/>
      <c r="AB2694">
        <v>57.2</v>
      </c>
      <c r="AC2694">
        <v>46.94</v>
      </c>
      <c r="AE2694" s="74"/>
      <c r="AF2694" s="77"/>
      <c r="AH2694" s="497">
        <v>44.96</v>
      </c>
      <c r="AJ2694" s="42"/>
      <c r="AK2694" s="74"/>
      <c r="AL2694" s="77"/>
      <c r="AN2694" s="497">
        <v>51.08</v>
      </c>
      <c r="AP2694" s="42"/>
      <c r="AQ2694" s="74"/>
      <c r="AR2694" s="77"/>
      <c r="AT2694" s="497">
        <v>48.92</v>
      </c>
      <c r="AV2694" s="42"/>
      <c r="AW2694" s="74"/>
      <c r="AX2694" s="77"/>
      <c r="BA2694" s="497">
        <v>77</v>
      </c>
      <c r="BB2694" s="42"/>
      <c r="BC2694" s="74"/>
      <c r="BD2694" s="77"/>
      <c r="BF2694">
        <v>55.94</v>
      </c>
      <c r="BH2694" s="42"/>
      <c r="BI2694" s="74"/>
      <c r="BJ2694" s="77"/>
      <c r="BL2694" s="497">
        <v>35.06</v>
      </c>
      <c r="BN2694" s="42"/>
      <c r="BO2694" s="74"/>
      <c r="BP2694" s="77"/>
      <c r="BR2694" s="497">
        <v>57.92</v>
      </c>
      <c r="BT2694" s="42"/>
    </row>
    <row r="2695" spans="1:72" x14ac:dyDescent="0.25">
      <c r="A2695" s="90">
        <v>33350</v>
      </c>
      <c r="B2695" s="20">
        <v>0.54166666666666663</v>
      </c>
      <c r="D2695">
        <v>55.94</v>
      </c>
      <c r="E2695" t="str">
        <f t="shared" si="118"/>
        <v>WEEKDAY</v>
      </c>
      <c r="F2695" t="e">
        <f t="shared" si="119"/>
        <v>#N/A</v>
      </c>
      <c r="G2695" s="74">
        <v>32985</v>
      </c>
      <c r="H2695" s="77">
        <v>0.54166666666666663</v>
      </c>
      <c r="J2695">
        <v>64.039999999999992</v>
      </c>
      <c r="M2695" s="74">
        <v>33350</v>
      </c>
      <c r="N2695" s="77">
        <v>0.54166666666666663</v>
      </c>
      <c r="P2695">
        <v>46.04</v>
      </c>
      <c r="S2695" s="74">
        <v>33350</v>
      </c>
      <c r="T2695" s="77">
        <v>0.54166666666666663</v>
      </c>
      <c r="V2695">
        <v>51.08</v>
      </c>
      <c r="X2695" s="42"/>
      <c r="AB2695">
        <v>58.1</v>
      </c>
      <c r="AC2695">
        <v>48.92</v>
      </c>
      <c r="AE2695" s="74"/>
      <c r="AF2695" s="77"/>
      <c r="AH2695" s="497">
        <v>48.019999999999996</v>
      </c>
      <c r="AJ2695" s="42"/>
      <c r="AK2695" s="74"/>
      <c r="AL2695" s="77"/>
      <c r="AN2695" s="497">
        <v>51.980000000000004</v>
      </c>
      <c r="AP2695" s="42"/>
      <c r="AQ2695" s="74"/>
      <c r="AR2695" s="77"/>
      <c r="AT2695" s="497">
        <v>48.92</v>
      </c>
      <c r="AV2695" s="42"/>
      <c r="AW2695" s="74"/>
      <c r="AX2695" s="77"/>
      <c r="BA2695" s="497">
        <v>78.98</v>
      </c>
      <c r="BB2695" s="42"/>
      <c r="BC2695" s="74"/>
      <c r="BD2695" s="77"/>
      <c r="BF2695">
        <v>57.92</v>
      </c>
      <c r="BH2695" s="42"/>
      <c r="BI2695" s="74"/>
      <c r="BJ2695" s="77"/>
      <c r="BL2695" s="497">
        <v>33.979999999999997</v>
      </c>
      <c r="BN2695" s="42"/>
      <c r="BO2695" s="74"/>
      <c r="BP2695" s="77"/>
      <c r="BR2695" s="497">
        <v>59</v>
      </c>
      <c r="BT2695" s="42"/>
    </row>
    <row r="2696" spans="1:72" x14ac:dyDescent="0.25">
      <c r="A2696" s="90">
        <v>33350</v>
      </c>
      <c r="B2696" s="20">
        <v>0.58333333333333337</v>
      </c>
      <c r="D2696">
        <v>57.019999999999996</v>
      </c>
      <c r="E2696" t="str">
        <f t="shared" si="118"/>
        <v>WEEKDAY</v>
      </c>
      <c r="F2696" t="e">
        <f t="shared" si="119"/>
        <v>#N/A</v>
      </c>
      <c r="G2696" s="74">
        <v>32985</v>
      </c>
      <c r="H2696" s="77">
        <v>0.58333333333333337</v>
      </c>
      <c r="J2696">
        <v>66.02</v>
      </c>
      <c r="M2696" s="74">
        <v>33350</v>
      </c>
      <c r="N2696" s="77">
        <v>0.58333333333333337</v>
      </c>
      <c r="P2696">
        <v>48.019999999999996</v>
      </c>
      <c r="S2696" s="74">
        <v>33350</v>
      </c>
      <c r="T2696" s="77">
        <v>0.58333333333333337</v>
      </c>
      <c r="V2696">
        <v>51.980000000000004</v>
      </c>
      <c r="X2696" s="42"/>
      <c r="AB2696">
        <v>58.6</v>
      </c>
      <c r="AC2696">
        <v>51.08</v>
      </c>
      <c r="AE2696" s="74"/>
      <c r="AF2696" s="77"/>
      <c r="AH2696" s="497">
        <v>48.92</v>
      </c>
      <c r="AJ2696" s="42"/>
      <c r="AK2696" s="74"/>
      <c r="AL2696" s="77"/>
      <c r="AN2696" s="497">
        <v>53.06</v>
      </c>
      <c r="AP2696" s="42"/>
      <c r="AQ2696" s="74"/>
      <c r="AR2696" s="77"/>
      <c r="AT2696" s="497">
        <v>50</v>
      </c>
      <c r="AV2696" s="42"/>
      <c r="AW2696" s="74"/>
      <c r="AX2696" s="77"/>
      <c r="BA2696" s="497">
        <v>82.94</v>
      </c>
      <c r="BB2696" s="42"/>
      <c r="BC2696" s="74"/>
      <c r="BD2696" s="77"/>
      <c r="BF2696">
        <v>60.08</v>
      </c>
      <c r="BH2696" s="42"/>
      <c r="BI2696" s="74"/>
      <c r="BJ2696" s="77"/>
      <c r="BL2696" s="497">
        <v>33.979999999999997</v>
      </c>
      <c r="BN2696" s="42"/>
      <c r="BO2696" s="74"/>
      <c r="BP2696" s="77"/>
      <c r="BR2696" s="497">
        <v>64.039999999999992</v>
      </c>
      <c r="BT2696" s="42"/>
    </row>
    <row r="2697" spans="1:72" x14ac:dyDescent="0.25">
      <c r="A2697" s="90">
        <v>33350</v>
      </c>
      <c r="B2697" s="20">
        <v>0.625</v>
      </c>
      <c r="D2697">
        <v>57.019999999999996</v>
      </c>
      <c r="E2697" t="str">
        <f t="shared" si="118"/>
        <v>WEEKDAY</v>
      </c>
      <c r="F2697" t="e">
        <f t="shared" si="119"/>
        <v>#N/A</v>
      </c>
      <c r="G2697" s="74">
        <v>32985</v>
      </c>
      <c r="H2697" s="77">
        <v>0.625</v>
      </c>
      <c r="J2697">
        <v>68</v>
      </c>
      <c r="M2697" s="74">
        <v>33350</v>
      </c>
      <c r="N2697" s="77">
        <v>0.625</v>
      </c>
      <c r="P2697">
        <v>51.980000000000004</v>
      </c>
      <c r="S2697" s="74">
        <v>33350</v>
      </c>
      <c r="T2697" s="77">
        <v>0.625</v>
      </c>
      <c r="V2697">
        <v>51.08</v>
      </c>
      <c r="X2697" s="42"/>
      <c r="AB2697">
        <v>58.6</v>
      </c>
      <c r="AC2697">
        <v>53.06</v>
      </c>
      <c r="AE2697" s="74"/>
      <c r="AF2697" s="77"/>
      <c r="AH2697" s="497">
        <v>50</v>
      </c>
      <c r="AJ2697" s="42"/>
      <c r="AK2697" s="74"/>
      <c r="AL2697" s="77"/>
      <c r="AN2697" s="497">
        <v>53.96</v>
      </c>
      <c r="AP2697" s="42"/>
      <c r="AQ2697" s="74"/>
      <c r="AR2697" s="77"/>
      <c r="AT2697" s="497">
        <v>50</v>
      </c>
      <c r="AV2697" s="42"/>
      <c r="AW2697" s="74"/>
      <c r="AX2697" s="77"/>
      <c r="BA2697" s="497">
        <v>82.94</v>
      </c>
      <c r="BB2697" s="42"/>
      <c r="BC2697" s="74"/>
      <c r="BD2697" s="77"/>
      <c r="BF2697">
        <v>60.08</v>
      </c>
      <c r="BH2697" s="42"/>
      <c r="BI2697" s="74"/>
      <c r="BJ2697" s="77"/>
      <c r="BL2697" s="497">
        <v>33.979999999999997</v>
      </c>
      <c r="BN2697" s="42"/>
      <c r="BO2697" s="74"/>
      <c r="BP2697" s="77"/>
      <c r="BR2697" s="497">
        <v>64.94</v>
      </c>
      <c r="BT2697" s="42"/>
    </row>
    <row r="2698" spans="1:72" x14ac:dyDescent="0.25">
      <c r="A2698" s="90">
        <v>33350</v>
      </c>
      <c r="B2698" s="20">
        <v>0.66666666666666663</v>
      </c>
      <c r="D2698">
        <v>57.019999999999996</v>
      </c>
      <c r="E2698" t="str">
        <f t="shared" si="118"/>
        <v>WEEKDAY</v>
      </c>
      <c r="F2698" t="e">
        <f t="shared" si="119"/>
        <v>#N/A</v>
      </c>
      <c r="G2698" s="74">
        <v>32985</v>
      </c>
      <c r="H2698" s="77">
        <v>0.66666666666666663</v>
      </c>
      <c r="J2698">
        <v>69.080000000000013</v>
      </c>
      <c r="M2698" s="74">
        <v>33350</v>
      </c>
      <c r="N2698" s="77">
        <v>0.66666666666666663</v>
      </c>
      <c r="P2698">
        <v>51.08</v>
      </c>
      <c r="S2698" s="74">
        <v>33350</v>
      </c>
      <c r="T2698" s="77">
        <v>0.66666666666666663</v>
      </c>
      <c r="V2698">
        <v>51.980000000000004</v>
      </c>
      <c r="X2698" s="42"/>
      <c r="AB2698">
        <v>58.2</v>
      </c>
      <c r="AC2698">
        <v>51.980000000000004</v>
      </c>
      <c r="AE2698" s="74"/>
      <c r="AF2698" s="77"/>
      <c r="AH2698" s="497">
        <v>51.08</v>
      </c>
      <c r="AJ2698" s="42"/>
      <c r="AK2698" s="74"/>
      <c r="AL2698" s="77"/>
      <c r="AN2698" s="497">
        <v>53.96</v>
      </c>
      <c r="AP2698" s="42"/>
      <c r="AQ2698" s="74"/>
      <c r="AR2698" s="77"/>
      <c r="AT2698" s="497">
        <v>50</v>
      </c>
      <c r="AV2698" s="42"/>
      <c r="AW2698" s="74"/>
      <c r="AX2698" s="77"/>
      <c r="BA2698" s="497">
        <v>82.039999999999992</v>
      </c>
      <c r="BB2698" s="42"/>
      <c r="BC2698" s="74"/>
      <c r="BD2698" s="77"/>
      <c r="BF2698">
        <v>60.980000000000004</v>
      </c>
      <c r="BH2698" s="42"/>
      <c r="BI2698" s="74"/>
      <c r="BJ2698" s="77"/>
      <c r="BL2698" s="497">
        <v>33.08</v>
      </c>
      <c r="BN2698" s="42"/>
      <c r="BO2698" s="74"/>
      <c r="BP2698" s="77"/>
      <c r="BR2698" s="497">
        <v>68</v>
      </c>
      <c r="BT2698" s="42"/>
    </row>
    <row r="2699" spans="1:72" x14ac:dyDescent="0.25">
      <c r="A2699" s="90">
        <v>33350</v>
      </c>
      <c r="B2699" s="20">
        <v>0.70833333333333337</v>
      </c>
      <c r="D2699">
        <v>57.019999999999996</v>
      </c>
      <c r="E2699" t="str">
        <f t="shared" si="118"/>
        <v>WEEKDAY</v>
      </c>
      <c r="F2699" t="e">
        <f t="shared" si="119"/>
        <v>#N/A</v>
      </c>
      <c r="G2699" s="74">
        <v>32985</v>
      </c>
      <c r="H2699" s="77">
        <v>0.70833333333333337</v>
      </c>
      <c r="J2699">
        <v>71.960000000000008</v>
      </c>
      <c r="M2699" s="74">
        <v>33350</v>
      </c>
      <c r="N2699" s="77">
        <v>0.70833333333333337</v>
      </c>
      <c r="P2699">
        <v>50.900000000000006</v>
      </c>
      <c r="S2699" s="74">
        <v>33350</v>
      </c>
      <c r="T2699" s="77">
        <v>0.70833333333333337</v>
      </c>
      <c r="V2699">
        <v>51.08</v>
      </c>
      <c r="X2699" s="42"/>
      <c r="AB2699">
        <v>57.4</v>
      </c>
      <c r="AC2699">
        <v>51.980000000000004</v>
      </c>
      <c r="AE2699" s="74"/>
      <c r="AF2699" s="77"/>
      <c r="AH2699" s="497">
        <v>50</v>
      </c>
      <c r="AJ2699" s="42"/>
      <c r="AK2699" s="74"/>
      <c r="AL2699" s="77"/>
      <c r="AN2699" s="497">
        <v>53.06</v>
      </c>
      <c r="AP2699" s="42"/>
      <c r="AQ2699" s="74"/>
      <c r="AR2699" s="77"/>
      <c r="AT2699" s="497">
        <v>48.92</v>
      </c>
      <c r="AV2699" s="42"/>
      <c r="AW2699" s="74"/>
      <c r="AX2699" s="77"/>
      <c r="BA2699" s="497">
        <v>80.960000000000008</v>
      </c>
      <c r="BB2699" s="42"/>
      <c r="BC2699" s="74"/>
      <c r="BD2699" s="77"/>
      <c r="BF2699">
        <v>59</v>
      </c>
      <c r="BH2699" s="42"/>
      <c r="BI2699" s="74"/>
      <c r="BJ2699" s="77"/>
      <c r="BL2699" s="497">
        <v>33.08</v>
      </c>
      <c r="BN2699" s="42"/>
      <c r="BO2699" s="74"/>
      <c r="BP2699" s="77"/>
      <c r="BR2699" s="497">
        <v>68</v>
      </c>
      <c r="BT2699" s="42"/>
    </row>
    <row r="2700" spans="1:72" x14ac:dyDescent="0.25">
      <c r="A2700" s="90">
        <v>33350</v>
      </c>
      <c r="B2700" s="20">
        <v>0.75</v>
      </c>
      <c r="D2700">
        <v>55.94</v>
      </c>
      <c r="E2700" t="str">
        <f t="shared" si="118"/>
        <v>WEEKDAY</v>
      </c>
      <c r="F2700" t="e">
        <f t="shared" si="119"/>
        <v>#N/A</v>
      </c>
      <c r="G2700" s="74">
        <v>32985</v>
      </c>
      <c r="H2700" s="77">
        <v>0.75</v>
      </c>
      <c r="J2700">
        <v>60.980000000000004</v>
      </c>
      <c r="M2700" s="74">
        <v>33350</v>
      </c>
      <c r="N2700" s="77">
        <v>0.75</v>
      </c>
      <c r="P2700">
        <v>50</v>
      </c>
      <c r="S2700" s="74">
        <v>33350</v>
      </c>
      <c r="T2700" s="77">
        <v>0.75</v>
      </c>
      <c r="V2700">
        <v>51.08</v>
      </c>
      <c r="X2700" s="42"/>
      <c r="AB2700">
        <v>56.2</v>
      </c>
      <c r="AC2700">
        <v>51.980000000000004</v>
      </c>
      <c r="AE2700" s="74"/>
      <c r="AF2700" s="77"/>
      <c r="AH2700" s="497">
        <v>50</v>
      </c>
      <c r="AJ2700" s="42"/>
      <c r="AK2700" s="74"/>
      <c r="AL2700" s="77"/>
      <c r="AN2700" s="497">
        <v>50</v>
      </c>
      <c r="AP2700" s="42"/>
      <c r="AQ2700" s="74"/>
      <c r="AR2700" s="77"/>
      <c r="AT2700" s="497">
        <v>46.94</v>
      </c>
      <c r="AV2700" s="42"/>
      <c r="AW2700" s="74"/>
      <c r="AX2700" s="77"/>
      <c r="BA2700" s="497">
        <v>78.080000000000013</v>
      </c>
      <c r="BB2700" s="42"/>
      <c r="BC2700" s="74"/>
      <c r="BD2700" s="77"/>
      <c r="BF2700">
        <v>57.019999999999996</v>
      </c>
      <c r="BH2700" s="42"/>
      <c r="BI2700" s="74"/>
      <c r="BJ2700" s="77"/>
      <c r="BL2700" s="497">
        <v>33.979999999999997</v>
      </c>
      <c r="BN2700" s="42"/>
      <c r="BO2700" s="74"/>
      <c r="BP2700" s="77"/>
      <c r="BR2700" s="497">
        <v>62.96</v>
      </c>
      <c r="BT2700" s="42"/>
    </row>
    <row r="2701" spans="1:72" x14ac:dyDescent="0.25">
      <c r="A2701" s="90">
        <v>33350</v>
      </c>
      <c r="B2701" s="20">
        <v>0.79166666666666663</v>
      </c>
      <c r="D2701">
        <v>53.96</v>
      </c>
      <c r="E2701" t="str">
        <f t="shared" si="118"/>
        <v>WEEKDAY</v>
      </c>
      <c r="F2701" t="e">
        <f t="shared" si="119"/>
        <v>#N/A</v>
      </c>
      <c r="G2701" s="74">
        <v>32985</v>
      </c>
      <c r="H2701" s="77">
        <v>0.79166666666666663</v>
      </c>
      <c r="J2701">
        <v>57.92</v>
      </c>
      <c r="M2701" s="74">
        <v>33350</v>
      </c>
      <c r="N2701" s="77">
        <v>0.79166666666666663</v>
      </c>
      <c r="P2701">
        <v>50</v>
      </c>
      <c r="S2701" s="74">
        <v>33350</v>
      </c>
      <c r="T2701" s="77">
        <v>0.79166666666666663</v>
      </c>
      <c r="V2701">
        <v>51.08</v>
      </c>
      <c r="X2701" s="42"/>
      <c r="AB2701">
        <v>54.7</v>
      </c>
      <c r="AC2701">
        <v>50</v>
      </c>
      <c r="AE2701" s="74"/>
      <c r="AF2701" s="77"/>
      <c r="AH2701" s="497">
        <v>48.92</v>
      </c>
      <c r="AJ2701" s="42"/>
      <c r="AK2701" s="74"/>
      <c r="AL2701" s="77"/>
      <c r="AN2701" s="497">
        <v>46.94</v>
      </c>
      <c r="AP2701" s="42"/>
      <c r="AQ2701" s="74"/>
      <c r="AR2701" s="77"/>
      <c r="AT2701" s="497">
        <v>46.04</v>
      </c>
      <c r="AV2701" s="42"/>
      <c r="AW2701" s="74"/>
      <c r="AX2701" s="77"/>
      <c r="BA2701" s="497">
        <v>71.960000000000008</v>
      </c>
      <c r="BB2701" s="42"/>
      <c r="BC2701" s="74"/>
      <c r="BD2701" s="77"/>
      <c r="BF2701">
        <v>53.06</v>
      </c>
      <c r="BH2701" s="42"/>
      <c r="BI2701" s="74"/>
      <c r="BJ2701" s="77"/>
      <c r="BL2701" s="497">
        <v>33.979999999999997</v>
      </c>
      <c r="BN2701" s="42"/>
      <c r="BO2701" s="74"/>
      <c r="BP2701" s="77"/>
      <c r="BR2701" s="497">
        <v>57.92</v>
      </c>
      <c r="BT2701" s="42"/>
    </row>
    <row r="2702" spans="1:72" x14ac:dyDescent="0.25">
      <c r="A2702" s="90">
        <v>33350</v>
      </c>
      <c r="B2702" s="20">
        <v>0.83333333333333337</v>
      </c>
      <c r="D2702">
        <v>53.06</v>
      </c>
      <c r="E2702" t="str">
        <f t="shared" si="118"/>
        <v>WEEKDAY</v>
      </c>
      <c r="F2702" t="e">
        <f t="shared" si="119"/>
        <v>#N/A</v>
      </c>
      <c r="G2702" s="74">
        <v>32985</v>
      </c>
      <c r="H2702" s="77">
        <v>0.83333333333333337</v>
      </c>
      <c r="J2702">
        <v>57.019999999999996</v>
      </c>
      <c r="M2702" s="74">
        <v>33350</v>
      </c>
      <c r="N2702" s="77">
        <v>0.83333333333333337</v>
      </c>
      <c r="P2702">
        <v>50</v>
      </c>
      <c r="S2702" s="74">
        <v>33350</v>
      </c>
      <c r="T2702" s="77">
        <v>0.83333333333333337</v>
      </c>
      <c r="V2702">
        <v>50</v>
      </c>
      <c r="X2702" s="42"/>
      <c r="AB2702">
        <v>53.3</v>
      </c>
      <c r="AC2702">
        <v>51.08</v>
      </c>
      <c r="AE2702" s="74"/>
      <c r="AF2702" s="77"/>
      <c r="AH2702" s="497">
        <v>48.92</v>
      </c>
      <c r="AJ2702" s="42"/>
      <c r="AK2702" s="74"/>
      <c r="AL2702" s="77"/>
      <c r="AN2702" s="497">
        <v>44.06</v>
      </c>
      <c r="AP2702" s="42"/>
      <c r="AQ2702" s="74"/>
      <c r="AR2702" s="77"/>
      <c r="AT2702" s="497">
        <v>44.06</v>
      </c>
      <c r="AV2702" s="42"/>
      <c r="AW2702" s="74"/>
      <c r="AX2702" s="77"/>
      <c r="BA2702" s="497">
        <v>69.98</v>
      </c>
      <c r="BB2702" s="42"/>
      <c r="BC2702" s="74"/>
      <c r="BD2702" s="77"/>
      <c r="BF2702">
        <v>48.92</v>
      </c>
      <c r="BH2702" s="42"/>
      <c r="BI2702" s="74"/>
      <c r="BJ2702" s="77"/>
      <c r="BL2702" s="497">
        <v>33.979999999999997</v>
      </c>
      <c r="BN2702" s="42"/>
      <c r="BO2702" s="74"/>
      <c r="BP2702" s="77"/>
      <c r="BR2702" s="497">
        <v>55.94</v>
      </c>
      <c r="BT2702" s="42"/>
    </row>
    <row r="2703" spans="1:72" x14ac:dyDescent="0.25">
      <c r="A2703" s="90">
        <v>33350</v>
      </c>
      <c r="B2703" s="20">
        <v>0.875</v>
      </c>
      <c r="D2703">
        <v>51.980000000000004</v>
      </c>
      <c r="E2703" t="str">
        <f t="shared" si="118"/>
        <v>WEEKDAY</v>
      </c>
      <c r="F2703" t="e">
        <f t="shared" si="119"/>
        <v>#N/A</v>
      </c>
      <c r="G2703" s="74">
        <v>32985</v>
      </c>
      <c r="H2703" s="77">
        <v>0.875</v>
      </c>
      <c r="J2703">
        <v>57.019999999999996</v>
      </c>
      <c r="M2703" s="74">
        <v>33350</v>
      </c>
      <c r="N2703" s="77">
        <v>0.875</v>
      </c>
      <c r="P2703">
        <v>50</v>
      </c>
      <c r="S2703" s="74">
        <v>33350</v>
      </c>
      <c r="T2703" s="77">
        <v>0.875</v>
      </c>
      <c r="V2703">
        <v>50</v>
      </c>
      <c r="X2703" s="42"/>
      <c r="AB2703">
        <v>52.5</v>
      </c>
      <c r="AC2703">
        <v>50</v>
      </c>
      <c r="AE2703" s="74"/>
      <c r="AF2703" s="77"/>
      <c r="AH2703" s="497">
        <v>48.019999999999996</v>
      </c>
      <c r="AJ2703" s="42"/>
      <c r="AK2703" s="74"/>
      <c r="AL2703" s="77"/>
      <c r="AN2703" s="497">
        <v>42.08</v>
      </c>
      <c r="AP2703" s="42"/>
      <c r="AQ2703" s="74"/>
      <c r="AR2703" s="77"/>
      <c r="AT2703" s="497">
        <v>41</v>
      </c>
      <c r="AV2703" s="42"/>
      <c r="AW2703" s="74"/>
      <c r="AX2703" s="77"/>
      <c r="BA2703" s="497">
        <v>66.02</v>
      </c>
      <c r="BB2703" s="42"/>
      <c r="BC2703" s="74"/>
      <c r="BD2703" s="77"/>
      <c r="BF2703">
        <v>46.94</v>
      </c>
      <c r="BH2703" s="42"/>
      <c r="BI2703" s="74"/>
      <c r="BJ2703" s="77"/>
      <c r="BL2703" s="497">
        <v>33.979999999999997</v>
      </c>
      <c r="BN2703" s="42"/>
      <c r="BO2703" s="74"/>
      <c r="BP2703" s="77"/>
      <c r="BR2703" s="497">
        <v>55.94</v>
      </c>
      <c r="BT2703" s="42"/>
    </row>
    <row r="2704" spans="1:72" x14ac:dyDescent="0.25">
      <c r="A2704" s="90">
        <v>33350</v>
      </c>
      <c r="B2704" s="20">
        <v>0.91666666666666663</v>
      </c>
      <c r="D2704">
        <v>51.08</v>
      </c>
      <c r="E2704" t="str">
        <f t="shared" si="118"/>
        <v>WEEKDAY</v>
      </c>
      <c r="F2704" t="e">
        <f t="shared" si="119"/>
        <v>#N/A</v>
      </c>
      <c r="G2704" s="74">
        <v>32985</v>
      </c>
      <c r="H2704" s="77">
        <v>0.91666666666666663</v>
      </c>
      <c r="J2704">
        <v>57.019999999999996</v>
      </c>
      <c r="M2704" s="74">
        <v>33350</v>
      </c>
      <c r="N2704" s="77">
        <v>0.91666666666666663</v>
      </c>
      <c r="P2704">
        <v>48.92</v>
      </c>
      <c r="S2704" s="74">
        <v>33350</v>
      </c>
      <c r="T2704" s="77">
        <v>0.91666666666666663</v>
      </c>
      <c r="V2704">
        <v>48.92</v>
      </c>
      <c r="X2704" s="42"/>
      <c r="AB2704">
        <v>51.9</v>
      </c>
      <c r="AC2704">
        <v>48.92</v>
      </c>
      <c r="AE2704" s="74"/>
      <c r="AF2704" s="77"/>
      <c r="AH2704" s="497">
        <v>46.94</v>
      </c>
      <c r="AJ2704" s="42"/>
      <c r="AK2704" s="74"/>
      <c r="AL2704" s="77"/>
      <c r="AN2704" s="497">
        <v>39.92</v>
      </c>
      <c r="AP2704" s="42"/>
      <c r="AQ2704" s="74"/>
      <c r="AR2704" s="77"/>
      <c r="AT2704" s="497">
        <v>39.019999999999996</v>
      </c>
      <c r="AV2704" s="42"/>
      <c r="AW2704" s="74"/>
      <c r="AX2704" s="77"/>
      <c r="BA2704" s="497">
        <v>64.039999999999992</v>
      </c>
      <c r="BB2704" s="42"/>
      <c r="BC2704" s="74"/>
      <c r="BD2704" s="77"/>
      <c r="BF2704">
        <v>46.04</v>
      </c>
      <c r="BH2704" s="42"/>
      <c r="BI2704" s="74"/>
      <c r="BJ2704" s="77"/>
      <c r="BL2704" s="497">
        <v>33.979999999999997</v>
      </c>
      <c r="BN2704" s="42"/>
      <c r="BO2704" s="74"/>
      <c r="BP2704" s="77"/>
      <c r="BR2704" s="497">
        <v>53.96</v>
      </c>
      <c r="BT2704" s="42"/>
    </row>
    <row r="2705" spans="1:72" x14ac:dyDescent="0.25">
      <c r="A2705" s="90">
        <v>33350</v>
      </c>
      <c r="B2705" s="20">
        <v>0.95833333333333337</v>
      </c>
      <c r="D2705">
        <v>50</v>
      </c>
      <c r="E2705" t="str">
        <f t="shared" si="118"/>
        <v>WEEKDAY</v>
      </c>
      <c r="F2705" t="e">
        <f t="shared" si="119"/>
        <v>#N/A</v>
      </c>
      <c r="G2705" s="74">
        <v>32985</v>
      </c>
      <c r="H2705" s="77">
        <v>0.95833333333333337</v>
      </c>
      <c r="J2705">
        <v>57.92</v>
      </c>
      <c r="M2705" s="74">
        <v>33350</v>
      </c>
      <c r="N2705" s="77">
        <v>0.95833333333333337</v>
      </c>
      <c r="P2705">
        <v>50</v>
      </c>
      <c r="S2705" s="74">
        <v>33350</v>
      </c>
      <c r="T2705" s="77">
        <v>0.95833333333333337</v>
      </c>
      <c r="V2705">
        <v>48.019999999999996</v>
      </c>
      <c r="X2705" s="42"/>
      <c r="AB2705">
        <v>51.3</v>
      </c>
      <c r="AC2705">
        <v>48.92</v>
      </c>
      <c r="AE2705" s="74"/>
      <c r="AF2705" s="77"/>
      <c r="AH2705" s="497">
        <v>48.019999999999996</v>
      </c>
      <c r="AJ2705" s="42"/>
      <c r="AK2705" s="74"/>
      <c r="AL2705" s="77"/>
      <c r="AN2705" s="497">
        <v>39.019999999999996</v>
      </c>
      <c r="AP2705" s="42"/>
      <c r="AQ2705" s="74"/>
      <c r="AR2705" s="77"/>
      <c r="AT2705" s="497">
        <v>39.019999999999996</v>
      </c>
      <c r="AV2705" s="42"/>
      <c r="AW2705" s="74"/>
      <c r="AX2705" s="77"/>
      <c r="BA2705" s="497">
        <v>64.039999999999992</v>
      </c>
      <c r="BB2705" s="42"/>
      <c r="BC2705" s="74"/>
      <c r="BD2705" s="77"/>
      <c r="BF2705">
        <v>44.96</v>
      </c>
      <c r="BH2705" s="42"/>
      <c r="BI2705" s="74"/>
      <c r="BJ2705" s="77"/>
      <c r="BL2705" s="497">
        <v>35.06</v>
      </c>
      <c r="BN2705" s="42"/>
      <c r="BO2705" s="74"/>
      <c r="BP2705" s="77"/>
      <c r="BR2705" s="497">
        <v>53.96</v>
      </c>
      <c r="BT2705" s="42"/>
    </row>
    <row r="2706" spans="1:72" x14ac:dyDescent="0.25">
      <c r="A2706" s="90">
        <v>33350</v>
      </c>
      <c r="B2706" s="20">
        <v>1</v>
      </c>
      <c r="D2706">
        <v>48.92</v>
      </c>
      <c r="E2706" t="str">
        <f t="shared" si="118"/>
        <v>WEEKDAY</v>
      </c>
      <c r="F2706" t="e">
        <f t="shared" si="119"/>
        <v>#N/A</v>
      </c>
      <c r="G2706" s="74">
        <v>32985</v>
      </c>
      <c r="H2706" s="77">
        <v>1</v>
      </c>
      <c r="J2706">
        <v>57.92</v>
      </c>
      <c r="M2706" s="74">
        <v>33350</v>
      </c>
      <c r="N2706" s="80">
        <v>1</v>
      </c>
      <c r="P2706">
        <v>50</v>
      </c>
      <c r="S2706" s="74">
        <v>33350</v>
      </c>
      <c r="T2706" s="80">
        <v>1</v>
      </c>
      <c r="V2706">
        <v>48.92</v>
      </c>
      <c r="X2706" s="42"/>
      <c r="AB2706">
        <v>50.8</v>
      </c>
      <c r="AC2706">
        <v>48.92</v>
      </c>
      <c r="AE2706" s="74"/>
      <c r="AF2706" s="80"/>
      <c r="AH2706" s="497">
        <v>46.94</v>
      </c>
      <c r="AJ2706" s="42"/>
      <c r="AK2706" s="74"/>
      <c r="AL2706" s="80"/>
      <c r="AN2706" s="497">
        <v>37.04</v>
      </c>
      <c r="AP2706" s="42"/>
      <c r="AQ2706" s="74"/>
      <c r="AR2706" s="80"/>
      <c r="AT2706" s="497">
        <v>35.96</v>
      </c>
      <c r="AV2706" s="42"/>
      <c r="AW2706" s="74"/>
      <c r="AX2706" s="80"/>
      <c r="BA2706" s="497">
        <v>62.06</v>
      </c>
      <c r="BB2706" s="42"/>
      <c r="BC2706" s="74"/>
      <c r="BD2706" s="80"/>
      <c r="BF2706">
        <v>44.96</v>
      </c>
      <c r="BH2706" s="42"/>
      <c r="BI2706" s="74"/>
      <c r="BJ2706" s="80"/>
      <c r="BL2706" s="497">
        <v>33.979999999999997</v>
      </c>
      <c r="BN2706" s="42"/>
      <c r="BO2706" s="74"/>
      <c r="BP2706" s="80"/>
      <c r="BR2706" s="497">
        <v>53.96</v>
      </c>
      <c r="BT2706" s="42"/>
    </row>
    <row r="2707" spans="1:72" x14ac:dyDescent="0.25">
      <c r="A2707" s="90">
        <v>33351</v>
      </c>
      <c r="B2707" s="20">
        <v>4.1666666666666664E-2</v>
      </c>
      <c r="D2707">
        <v>48.019999999999996</v>
      </c>
      <c r="E2707" t="str">
        <f t="shared" ref="E2707:E2770" si="120">IF(COUNTIF($DI$18:$DI$22, WEEKDAY(A2707))=1, "WEEKDAY", IF(WEEKDAY(A2707) = 1, "SUNDAY", "SATURDAY"))</f>
        <v>WEEKDAY</v>
      </c>
      <c r="F2707" t="e">
        <f t="shared" si="119"/>
        <v>#N/A</v>
      </c>
      <c r="G2707" s="74">
        <v>32986</v>
      </c>
      <c r="H2707" s="77">
        <v>4.1666666666666664E-2</v>
      </c>
      <c r="J2707">
        <v>60.08</v>
      </c>
      <c r="M2707" s="74">
        <v>33351</v>
      </c>
      <c r="N2707" s="77">
        <v>4.1666666666666664E-2</v>
      </c>
      <c r="P2707">
        <v>48.92</v>
      </c>
      <c r="S2707" s="74">
        <v>33351</v>
      </c>
      <c r="T2707" s="77">
        <v>4.1666666666666664E-2</v>
      </c>
      <c r="V2707">
        <v>48.019999999999996</v>
      </c>
      <c r="X2707" s="42"/>
      <c r="AB2707">
        <v>50.3</v>
      </c>
      <c r="AC2707">
        <v>48.92</v>
      </c>
      <c r="AE2707" s="74"/>
      <c r="AF2707" s="77"/>
      <c r="AH2707" s="497">
        <v>48.019999999999996</v>
      </c>
      <c r="AJ2707" s="42"/>
      <c r="AK2707" s="74"/>
      <c r="AL2707" s="77"/>
      <c r="AN2707" s="497">
        <v>35.06</v>
      </c>
      <c r="AP2707" s="42"/>
      <c r="AQ2707" s="74"/>
      <c r="AR2707" s="77"/>
      <c r="AT2707" s="497">
        <v>37.04</v>
      </c>
      <c r="AV2707" s="42"/>
      <c r="AW2707" s="74"/>
      <c r="AX2707" s="77"/>
      <c r="BA2707" s="497">
        <v>60.08</v>
      </c>
      <c r="BB2707" s="42"/>
      <c r="BC2707" s="74"/>
      <c r="BD2707" s="77"/>
      <c r="BF2707">
        <v>44.06</v>
      </c>
      <c r="BH2707" s="42"/>
      <c r="BI2707" s="74"/>
      <c r="BJ2707" s="77"/>
      <c r="BL2707" s="497">
        <v>33.979999999999997</v>
      </c>
      <c r="BN2707" s="42"/>
      <c r="BO2707" s="74"/>
      <c r="BP2707" s="77"/>
      <c r="BR2707" s="497">
        <v>51.08</v>
      </c>
      <c r="BT2707" s="42"/>
    </row>
    <row r="2708" spans="1:72" x14ac:dyDescent="0.25">
      <c r="A2708" s="90">
        <v>33351</v>
      </c>
      <c r="B2708" s="20">
        <v>8.3333333333333329E-2</v>
      </c>
      <c r="D2708">
        <v>46.94</v>
      </c>
      <c r="E2708" t="str">
        <f t="shared" si="120"/>
        <v>WEEKDAY</v>
      </c>
      <c r="F2708" t="e">
        <f t="shared" si="119"/>
        <v>#N/A</v>
      </c>
      <c r="G2708" s="74">
        <v>32986</v>
      </c>
      <c r="H2708" s="77">
        <v>8.3333333333333329E-2</v>
      </c>
      <c r="J2708">
        <v>60.980000000000004</v>
      </c>
      <c r="M2708" s="74">
        <v>33351</v>
      </c>
      <c r="N2708" s="77">
        <v>8.3333333333333329E-2</v>
      </c>
      <c r="P2708">
        <v>46.04</v>
      </c>
      <c r="S2708" s="74">
        <v>33351</v>
      </c>
      <c r="T2708" s="77">
        <v>8.3333333333333329E-2</v>
      </c>
      <c r="V2708">
        <v>48.019999999999996</v>
      </c>
      <c r="X2708" s="42"/>
      <c r="AB2708">
        <v>49.7</v>
      </c>
      <c r="AC2708">
        <v>46.94</v>
      </c>
      <c r="AE2708" s="74"/>
      <c r="AF2708" s="77"/>
      <c r="AH2708" s="497">
        <v>48.92</v>
      </c>
      <c r="AJ2708" s="42"/>
      <c r="AK2708" s="74"/>
      <c r="AL2708" s="77"/>
      <c r="AN2708" s="497">
        <v>33.979999999999997</v>
      </c>
      <c r="AP2708" s="42"/>
      <c r="AQ2708" s="74"/>
      <c r="AR2708" s="77"/>
      <c r="AT2708" s="497">
        <v>35.06</v>
      </c>
      <c r="AV2708" s="42"/>
      <c r="AW2708" s="74"/>
      <c r="AX2708" s="77"/>
      <c r="BA2708" s="497">
        <v>59</v>
      </c>
      <c r="BB2708" s="42"/>
      <c r="BC2708" s="74"/>
      <c r="BD2708" s="77"/>
      <c r="BF2708">
        <v>42.08</v>
      </c>
      <c r="BH2708" s="42"/>
      <c r="BI2708" s="74"/>
      <c r="BJ2708" s="77"/>
      <c r="BL2708" s="497">
        <v>33.08</v>
      </c>
      <c r="BN2708" s="42"/>
      <c r="BO2708" s="74"/>
      <c r="BP2708" s="77"/>
      <c r="BR2708" s="497">
        <v>50</v>
      </c>
      <c r="BT2708" s="42"/>
    </row>
    <row r="2709" spans="1:72" x14ac:dyDescent="0.25">
      <c r="A2709" s="90">
        <v>33351</v>
      </c>
      <c r="B2709" s="20">
        <v>0.125</v>
      </c>
      <c r="D2709">
        <v>46.04</v>
      </c>
      <c r="E2709" t="str">
        <f t="shared" si="120"/>
        <v>WEEKDAY</v>
      </c>
      <c r="F2709" t="e">
        <f t="shared" si="119"/>
        <v>#N/A</v>
      </c>
      <c r="G2709" s="74">
        <v>32986</v>
      </c>
      <c r="H2709" s="77">
        <v>0.125</v>
      </c>
      <c r="J2709">
        <v>60.08</v>
      </c>
      <c r="M2709" s="74">
        <v>33351</v>
      </c>
      <c r="N2709" s="77">
        <v>0.125</v>
      </c>
      <c r="P2709">
        <v>48.019999999999996</v>
      </c>
      <c r="S2709" s="74">
        <v>33351</v>
      </c>
      <c r="T2709" s="77">
        <v>0.125</v>
      </c>
      <c r="V2709">
        <v>46.94</v>
      </c>
      <c r="X2709" s="42"/>
      <c r="AB2709">
        <v>49.2</v>
      </c>
      <c r="AC2709">
        <v>44.96</v>
      </c>
      <c r="AE2709" s="74"/>
      <c r="AF2709" s="77"/>
      <c r="AH2709" s="497">
        <v>48.92</v>
      </c>
      <c r="AJ2709" s="42"/>
      <c r="AK2709" s="74"/>
      <c r="AL2709" s="77"/>
      <c r="AN2709" s="497">
        <v>33.08</v>
      </c>
      <c r="AP2709" s="42"/>
      <c r="AQ2709" s="74"/>
      <c r="AR2709" s="77"/>
      <c r="AT2709" s="497">
        <v>33.979999999999997</v>
      </c>
      <c r="AV2709" s="42"/>
      <c r="AW2709" s="74"/>
      <c r="AX2709" s="77"/>
      <c r="BA2709" s="497">
        <v>57.92</v>
      </c>
      <c r="BB2709" s="42"/>
      <c r="BC2709" s="74"/>
      <c r="BD2709" s="77"/>
      <c r="BF2709">
        <v>41</v>
      </c>
      <c r="BH2709" s="42"/>
      <c r="BI2709" s="74"/>
      <c r="BJ2709" s="77"/>
      <c r="BL2709" s="497">
        <v>33.08</v>
      </c>
      <c r="BN2709" s="42"/>
      <c r="BO2709" s="74"/>
      <c r="BP2709" s="77"/>
      <c r="BR2709" s="497">
        <v>50</v>
      </c>
      <c r="BT2709" s="42"/>
    </row>
    <row r="2710" spans="1:72" x14ac:dyDescent="0.25">
      <c r="A2710" s="90">
        <v>33351</v>
      </c>
      <c r="B2710" s="20">
        <v>0.16666666666666666</v>
      </c>
      <c r="D2710">
        <v>46.04</v>
      </c>
      <c r="E2710" t="str">
        <f t="shared" si="120"/>
        <v>WEEKDAY</v>
      </c>
      <c r="F2710" t="e">
        <f t="shared" si="119"/>
        <v>#N/A</v>
      </c>
      <c r="G2710" s="74">
        <v>32986</v>
      </c>
      <c r="H2710" s="77">
        <v>0.16666666666666666</v>
      </c>
      <c r="J2710">
        <v>60.08</v>
      </c>
      <c r="M2710" s="74">
        <v>33351</v>
      </c>
      <c r="N2710" s="77">
        <v>0.16666666666666666</v>
      </c>
      <c r="P2710">
        <v>46.04</v>
      </c>
      <c r="S2710" s="74">
        <v>33351</v>
      </c>
      <c r="T2710" s="77">
        <v>0.16666666666666666</v>
      </c>
      <c r="V2710">
        <v>46.04</v>
      </c>
      <c r="X2710" s="42"/>
      <c r="AB2710">
        <v>48.7</v>
      </c>
      <c r="AC2710">
        <v>42.980000000000004</v>
      </c>
      <c r="AE2710" s="74"/>
      <c r="AF2710" s="77"/>
      <c r="AH2710" s="497">
        <v>46.94</v>
      </c>
      <c r="AJ2710" s="42"/>
      <c r="AK2710" s="74"/>
      <c r="AL2710" s="77"/>
      <c r="AN2710" s="497">
        <v>33.08</v>
      </c>
      <c r="AP2710" s="42"/>
      <c r="AQ2710" s="74"/>
      <c r="AR2710" s="77"/>
      <c r="AT2710" s="497">
        <v>30.92</v>
      </c>
      <c r="AV2710" s="42"/>
      <c r="AW2710" s="74"/>
      <c r="AX2710" s="77"/>
      <c r="BA2710" s="497">
        <v>55.040000000000006</v>
      </c>
      <c r="BB2710" s="42"/>
      <c r="BC2710" s="74"/>
      <c r="BD2710" s="77"/>
      <c r="BF2710">
        <v>41</v>
      </c>
      <c r="BH2710" s="42"/>
      <c r="BI2710" s="74"/>
      <c r="BJ2710" s="77"/>
      <c r="BL2710" s="497">
        <v>33.08</v>
      </c>
      <c r="BN2710" s="42"/>
      <c r="BO2710" s="74"/>
      <c r="BP2710" s="77"/>
      <c r="BR2710" s="497">
        <v>46.94</v>
      </c>
      <c r="BT2710" s="42"/>
    </row>
    <row r="2711" spans="1:72" x14ac:dyDescent="0.25">
      <c r="A2711" s="90">
        <v>33351</v>
      </c>
      <c r="B2711" s="20">
        <v>0.20833333333333334</v>
      </c>
      <c r="D2711">
        <v>46.04</v>
      </c>
      <c r="E2711" t="str">
        <f t="shared" si="120"/>
        <v>WEEKDAY</v>
      </c>
      <c r="F2711" t="e">
        <f t="shared" si="119"/>
        <v>#N/A</v>
      </c>
      <c r="G2711" s="74">
        <v>32986</v>
      </c>
      <c r="H2711" s="77">
        <v>0.20833333333333334</v>
      </c>
      <c r="J2711">
        <v>60.08</v>
      </c>
      <c r="M2711" s="74">
        <v>33351</v>
      </c>
      <c r="N2711" s="77">
        <v>0.20833333333333334</v>
      </c>
      <c r="P2711">
        <v>44.96</v>
      </c>
      <c r="S2711" s="74">
        <v>33351</v>
      </c>
      <c r="T2711" s="77">
        <v>0.20833333333333334</v>
      </c>
      <c r="V2711">
        <v>48.019999999999996</v>
      </c>
      <c r="X2711" s="42"/>
      <c r="AB2711">
        <v>48.3</v>
      </c>
      <c r="AC2711">
        <v>42.08</v>
      </c>
      <c r="AE2711" s="74"/>
      <c r="AF2711" s="77"/>
      <c r="AH2711" s="497">
        <v>44.96</v>
      </c>
      <c r="AJ2711" s="42"/>
      <c r="AK2711" s="74"/>
      <c r="AL2711" s="77"/>
      <c r="AN2711" s="497">
        <v>32</v>
      </c>
      <c r="AP2711" s="42"/>
      <c r="AQ2711" s="74"/>
      <c r="AR2711" s="77"/>
      <c r="AT2711" s="497">
        <v>33.08</v>
      </c>
      <c r="AV2711" s="42"/>
      <c r="AW2711" s="74"/>
      <c r="AX2711" s="77"/>
      <c r="BA2711" s="497">
        <v>53.96</v>
      </c>
      <c r="BB2711" s="42"/>
      <c r="BC2711" s="74"/>
      <c r="BD2711" s="77"/>
      <c r="BF2711">
        <v>39.019999999999996</v>
      </c>
      <c r="BH2711" s="42"/>
      <c r="BI2711" s="74"/>
      <c r="BJ2711" s="77"/>
      <c r="BL2711" s="497">
        <v>32</v>
      </c>
      <c r="BN2711" s="42"/>
      <c r="BO2711" s="74"/>
      <c r="BP2711" s="77"/>
      <c r="BR2711" s="497">
        <v>46.04</v>
      </c>
      <c r="BT2711" s="42"/>
    </row>
    <row r="2712" spans="1:72" x14ac:dyDescent="0.25">
      <c r="A2712" s="90">
        <v>33351</v>
      </c>
      <c r="B2712" s="20">
        <v>0.25</v>
      </c>
      <c r="D2712">
        <v>44.96</v>
      </c>
      <c r="E2712" t="str">
        <f t="shared" si="120"/>
        <v>WEEKDAY</v>
      </c>
      <c r="F2712" t="e">
        <f t="shared" si="119"/>
        <v>#N/A</v>
      </c>
      <c r="G2712" s="74">
        <v>32986</v>
      </c>
      <c r="H2712" s="77">
        <v>0.25</v>
      </c>
      <c r="J2712">
        <v>59</v>
      </c>
      <c r="M2712" s="74">
        <v>33351</v>
      </c>
      <c r="N2712" s="77">
        <v>0.25</v>
      </c>
      <c r="P2712">
        <v>46.04</v>
      </c>
      <c r="S2712" s="74">
        <v>33351</v>
      </c>
      <c r="T2712" s="77">
        <v>0.25</v>
      </c>
      <c r="V2712">
        <v>46.94</v>
      </c>
      <c r="X2712" s="42"/>
      <c r="AB2712">
        <v>48.1</v>
      </c>
      <c r="AC2712">
        <v>44.06</v>
      </c>
      <c r="AE2712" s="74"/>
      <c r="AF2712" s="77"/>
      <c r="AH2712" s="497">
        <v>44.96</v>
      </c>
      <c r="AJ2712" s="42"/>
      <c r="AK2712" s="74"/>
      <c r="AL2712" s="77"/>
      <c r="AN2712" s="497">
        <v>33.08</v>
      </c>
      <c r="AP2712" s="42"/>
      <c r="AQ2712" s="74"/>
      <c r="AR2712" s="77"/>
      <c r="AT2712" s="497">
        <v>35.06</v>
      </c>
      <c r="AV2712" s="42"/>
      <c r="AW2712" s="74"/>
      <c r="AX2712" s="77"/>
      <c r="BA2712" s="497">
        <v>55.040000000000006</v>
      </c>
      <c r="BB2712" s="42"/>
      <c r="BC2712" s="74"/>
      <c r="BD2712" s="77"/>
      <c r="BF2712">
        <v>39.019999999999996</v>
      </c>
      <c r="BH2712" s="42"/>
      <c r="BI2712" s="74"/>
      <c r="BJ2712" s="77"/>
      <c r="BL2712" s="497">
        <v>32</v>
      </c>
      <c r="BN2712" s="42"/>
      <c r="BO2712" s="74"/>
      <c r="BP2712" s="77"/>
      <c r="BR2712" s="497">
        <v>42.980000000000004</v>
      </c>
      <c r="BT2712" s="42"/>
    </row>
    <row r="2713" spans="1:72" x14ac:dyDescent="0.25">
      <c r="A2713" s="90">
        <v>33351</v>
      </c>
      <c r="B2713" s="20">
        <v>0.29166666666666669</v>
      </c>
      <c r="D2713">
        <v>46.94</v>
      </c>
      <c r="E2713" t="str">
        <f t="shared" si="120"/>
        <v>WEEKDAY</v>
      </c>
      <c r="F2713" t="e">
        <f t="shared" si="119"/>
        <v>#N/A</v>
      </c>
      <c r="G2713" s="74">
        <v>32986</v>
      </c>
      <c r="H2713" s="77">
        <v>0.29166666666666669</v>
      </c>
      <c r="J2713">
        <v>60.980000000000004</v>
      </c>
      <c r="M2713" s="74">
        <v>33351</v>
      </c>
      <c r="N2713" s="77">
        <v>0.29166666666666669</v>
      </c>
      <c r="P2713">
        <v>48.92</v>
      </c>
      <c r="S2713" s="74">
        <v>33351</v>
      </c>
      <c r="T2713" s="77">
        <v>0.29166666666666669</v>
      </c>
      <c r="V2713">
        <v>48.92</v>
      </c>
      <c r="X2713" s="42"/>
      <c r="AB2713">
        <v>48.6</v>
      </c>
      <c r="AC2713">
        <v>48.92</v>
      </c>
      <c r="AE2713" s="74"/>
      <c r="AF2713" s="77"/>
      <c r="AH2713" s="497">
        <v>48.019999999999996</v>
      </c>
      <c r="AJ2713" s="42"/>
      <c r="AK2713" s="74"/>
      <c r="AL2713" s="77"/>
      <c r="AN2713" s="497">
        <v>37.04</v>
      </c>
      <c r="AP2713" s="42"/>
      <c r="AQ2713" s="74"/>
      <c r="AR2713" s="77"/>
      <c r="AT2713" s="497">
        <v>39.92</v>
      </c>
      <c r="AV2713" s="42"/>
      <c r="AW2713" s="74"/>
      <c r="AX2713" s="77"/>
      <c r="BA2713" s="497">
        <v>59</v>
      </c>
      <c r="BB2713" s="42"/>
      <c r="BC2713" s="74"/>
      <c r="BD2713" s="77"/>
      <c r="BF2713">
        <v>44.06</v>
      </c>
      <c r="BH2713" s="42"/>
      <c r="BI2713" s="74"/>
      <c r="BJ2713" s="77"/>
      <c r="BL2713" s="497">
        <v>35.06</v>
      </c>
      <c r="BN2713" s="42"/>
      <c r="BO2713" s="74"/>
      <c r="BP2713" s="77"/>
      <c r="BR2713" s="497">
        <v>44.96</v>
      </c>
      <c r="BT2713" s="42"/>
    </row>
    <row r="2714" spans="1:72" x14ac:dyDescent="0.25">
      <c r="A2714" s="90">
        <v>33351</v>
      </c>
      <c r="B2714" s="20">
        <v>0.33333333333333331</v>
      </c>
      <c r="D2714">
        <v>48.92</v>
      </c>
      <c r="E2714" t="str">
        <f t="shared" si="120"/>
        <v>WEEKDAY</v>
      </c>
      <c r="F2714" t="e">
        <f t="shared" si="119"/>
        <v>#N/A</v>
      </c>
      <c r="G2714" s="74">
        <v>32986</v>
      </c>
      <c r="H2714" s="77">
        <v>0.33333333333333331</v>
      </c>
      <c r="J2714">
        <v>62.96</v>
      </c>
      <c r="M2714" s="74">
        <v>33351</v>
      </c>
      <c r="N2714" s="77">
        <v>0.33333333333333331</v>
      </c>
      <c r="P2714">
        <v>53.06</v>
      </c>
      <c r="S2714" s="74">
        <v>33351</v>
      </c>
      <c r="T2714" s="77">
        <v>0.33333333333333331</v>
      </c>
      <c r="V2714">
        <v>51.08</v>
      </c>
      <c r="X2714" s="42"/>
      <c r="AB2714">
        <v>50.7</v>
      </c>
      <c r="AC2714">
        <v>55.94</v>
      </c>
      <c r="AE2714" s="74"/>
      <c r="AF2714" s="77"/>
      <c r="AH2714" s="497">
        <v>50</v>
      </c>
      <c r="AJ2714" s="42"/>
      <c r="AK2714" s="74"/>
      <c r="AL2714" s="77"/>
      <c r="AN2714" s="497">
        <v>39.92</v>
      </c>
      <c r="AP2714" s="42"/>
      <c r="AQ2714" s="74"/>
      <c r="AR2714" s="77"/>
      <c r="AT2714" s="497">
        <v>44.06</v>
      </c>
      <c r="AV2714" s="42"/>
      <c r="AW2714" s="74"/>
      <c r="AX2714" s="77"/>
      <c r="BA2714" s="497">
        <v>62.96</v>
      </c>
      <c r="BB2714" s="42"/>
      <c r="BC2714" s="74"/>
      <c r="BD2714" s="77"/>
      <c r="BF2714">
        <v>48.019999999999996</v>
      </c>
      <c r="BH2714" s="42"/>
      <c r="BI2714" s="74"/>
      <c r="BJ2714" s="77"/>
      <c r="BL2714" s="497">
        <v>37.94</v>
      </c>
      <c r="BN2714" s="42"/>
      <c r="BO2714" s="74"/>
      <c r="BP2714" s="77"/>
      <c r="BR2714" s="497">
        <v>44.96</v>
      </c>
      <c r="BT2714" s="42"/>
    </row>
    <row r="2715" spans="1:72" x14ac:dyDescent="0.25">
      <c r="A2715" s="90">
        <v>33351</v>
      </c>
      <c r="B2715" s="20">
        <v>0.375</v>
      </c>
      <c r="D2715">
        <v>50</v>
      </c>
      <c r="E2715" t="str">
        <f t="shared" si="120"/>
        <v>WEEKDAY</v>
      </c>
      <c r="F2715" t="e">
        <f t="shared" si="119"/>
        <v>#N/A</v>
      </c>
      <c r="G2715" s="74">
        <v>32986</v>
      </c>
      <c r="H2715" s="77">
        <v>0.375</v>
      </c>
      <c r="J2715">
        <v>64.94</v>
      </c>
      <c r="M2715" s="74">
        <v>33351</v>
      </c>
      <c r="N2715" s="77">
        <v>0.375</v>
      </c>
      <c r="P2715">
        <v>57.019999999999996</v>
      </c>
      <c r="S2715" s="74">
        <v>33351</v>
      </c>
      <c r="T2715" s="77">
        <v>0.375</v>
      </c>
      <c r="V2715">
        <v>53.06</v>
      </c>
      <c r="X2715" s="42"/>
      <c r="AB2715">
        <v>52.7</v>
      </c>
      <c r="AC2715">
        <v>57.92</v>
      </c>
      <c r="AE2715" s="74"/>
      <c r="AF2715" s="77"/>
      <c r="AH2715" s="497">
        <v>53.96</v>
      </c>
      <c r="AJ2715" s="42"/>
      <c r="AK2715" s="74"/>
      <c r="AL2715" s="77"/>
      <c r="AN2715" s="497">
        <v>46.04</v>
      </c>
      <c r="AP2715" s="42"/>
      <c r="AQ2715" s="74"/>
      <c r="AR2715" s="77"/>
      <c r="AT2715" s="497">
        <v>48.019999999999996</v>
      </c>
      <c r="AV2715" s="42"/>
      <c r="AW2715" s="74"/>
      <c r="AX2715" s="77"/>
      <c r="BA2715" s="497">
        <v>68</v>
      </c>
      <c r="BB2715" s="42"/>
      <c r="BC2715" s="74"/>
      <c r="BD2715" s="77"/>
      <c r="BF2715">
        <v>51.980000000000004</v>
      </c>
      <c r="BH2715" s="42"/>
      <c r="BI2715" s="74"/>
      <c r="BJ2715" s="77"/>
      <c r="BL2715" s="497">
        <v>41</v>
      </c>
      <c r="BN2715" s="42"/>
      <c r="BO2715" s="74"/>
      <c r="BP2715" s="77"/>
      <c r="BR2715" s="497">
        <v>50</v>
      </c>
      <c r="BT2715" s="42"/>
    </row>
    <row r="2716" spans="1:72" x14ac:dyDescent="0.25">
      <c r="A2716" s="90">
        <v>33351</v>
      </c>
      <c r="B2716" s="20">
        <v>0.41666666666666669</v>
      </c>
      <c r="D2716">
        <v>53.96</v>
      </c>
      <c r="E2716" t="str">
        <f t="shared" si="120"/>
        <v>WEEKDAY</v>
      </c>
      <c r="F2716" t="e">
        <f t="shared" si="119"/>
        <v>#N/A</v>
      </c>
      <c r="G2716" s="74">
        <v>32986</v>
      </c>
      <c r="H2716" s="77">
        <v>0.41666666666666669</v>
      </c>
      <c r="J2716">
        <v>68</v>
      </c>
      <c r="M2716" s="74">
        <v>33351</v>
      </c>
      <c r="N2716" s="77">
        <v>0.41666666666666669</v>
      </c>
      <c r="P2716">
        <v>60.980000000000004</v>
      </c>
      <c r="S2716" s="74">
        <v>33351</v>
      </c>
      <c r="T2716" s="77">
        <v>0.41666666666666669</v>
      </c>
      <c r="V2716">
        <v>57.019999999999996</v>
      </c>
      <c r="X2716" s="42"/>
      <c r="AB2716">
        <v>54.5</v>
      </c>
      <c r="AC2716">
        <v>60.08</v>
      </c>
      <c r="AE2716" s="74"/>
      <c r="AF2716" s="77"/>
      <c r="AH2716" s="497">
        <v>57.92</v>
      </c>
      <c r="AJ2716" s="42"/>
      <c r="AK2716" s="74"/>
      <c r="AL2716" s="77"/>
      <c r="AN2716" s="497">
        <v>51.08</v>
      </c>
      <c r="AP2716" s="42"/>
      <c r="AQ2716" s="74"/>
      <c r="AR2716" s="77"/>
      <c r="AT2716" s="497">
        <v>51.980000000000004</v>
      </c>
      <c r="AV2716" s="42"/>
      <c r="AW2716" s="74"/>
      <c r="AX2716" s="77"/>
      <c r="BA2716" s="497">
        <v>73.94</v>
      </c>
      <c r="BB2716" s="42"/>
      <c r="BC2716" s="74"/>
      <c r="BD2716" s="77"/>
      <c r="BF2716">
        <v>57.92</v>
      </c>
      <c r="BH2716" s="42"/>
      <c r="BI2716" s="74"/>
      <c r="BJ2716" s="77"/>
      <c r="BL2716" s="497">
        <v>42.980000000000004</v>
      </c>
      <c r="BN2716" s="42"/>
      <c r="BO2716" s="74"/>
      <c r="BP2716" s="77"/>
      <c r="BR2716" s="497">
        <v>53.96</v>
      </c>
      <c r="BT2716" s="42"/>
    </row>
    <row r="2717" spans="1:72" x14ac:dyDescent="0.25">
      <c r="A2717" s="90">
        <v>33351</v>
      </c>
      <c r="B2717" s="20">
        <v>0.45833333333333331</v>
      </c>
      <c r="D2717">
        <v>55.94</v>
      </c>
      <c r="E2717" t="str">
        <f t="shared" si="120"/>
        <v>WEEKDAY</v>
      </c>
      <c r="F2717" t="e">
        <f t="shared" si="119"/>
        <v>#N/A</v>
      </c>
      <c r="G2717" s="74">
        <v>32986</v>
      </c>
      <c r="H2717" s="77">
        <v>0.45833333333333331</v>
      </c>
      <c r="J2717">
        <v>69.080000000000013</v>
      </c>
      <c r="M2717" s="74">
        <v>33351</v>
      </c>
      <c r="N2717" s="77">
        <v>0.45833333333333331</v>
      </c>
      <c r="P2717">
        <v>62.96</v>
      </c>
      <c r="S2717" s="74">
        <v>33351</v>
      </c>
      <c r="T2717" s="77">
        <v>0.45833333333333331</v>
      </c>
      <c r="V2717">
        <v>60.08</v>
      </c>
      <c r="X2717" s="42"/>
      <c r="AB2717">
        <v>56.2</v>
      </c>
      <c r="AC2717">
        <v>60.980000000000004</v>
      </c>
      <c r="AE2717" s="74"/>
      <c r="AF2717" s="77"/>
      <c r="AH2717" s="497">
        <v>62.06</v>
      </c>
      <c r="AJ2717" s="42"/>
      <c r="AK2717" s="74"/>
      <c r="AL2717" s="77"/>
      <c r="AN2717" s="497">
        <v>55.94</v>
      </c>
      <c r="AP2717" s="42"/>
      <c r="AQ2717" s="74"/>
      <c r="AR2717" s="77"/>
      <c r="AT2717" s="497">
        <v>55.040000000000006</v>
      </c>
      <c r="AV2717" s="42"/>
      <c r="AW2717" s="74"/>
      <c r="AX2717" s="77"/>
      <c r="BA2717" s="497">
        <v>77</v>
      </c>
      <c r="BB2717" s="42"/>
      <c r="BC2717" s="74"/>
      <c r="BD2717" s="77"/>
      <c r="BF2717">
        <v>59</v>
      </c>
      <c r="BH2717" s="42"/>
      <c r="BI2717" s="74"/>
      <c r="BJ2717" s="77"/>
      <c r="BL2717" s="497">
        <v>46.04</v>
      </c>
      <c r="BN2717" s="42"/>
      <c r="BO2717" s="74"/>
      <c r="BP2717" s="77"/>
      <c r="BR2717" s="497">
        <v>57.92</v>
      </c>
      <c r="BT2717" s="42"/>
    </row>
    <row r="2718" spans="1:72" x14ac:dyDescent="0.25">
      <c r="A2718" s="90">
        <v>33351</v>
      </c>
      <c r="B2718" s="20">
        <v>0.5</v>
      </c>
      <c r="D2718">
        <v>57.019999999999996</v>
      </c>
      <c r="E2718" t="str">
        <f t="shared" si="120"/>
        <v>WEEKDAY</v>
      </c>
      <c r="F2718" t="e">
        <f t="shared" si="119"/>
        <v>#N/A</v>
      </c>
      <c r="G2718" s="74">
        <v>32986</v>
      </c>
      <c r="H2718" s="77">
        <v>0.5</v>
      </c>
      <c r="J2718">
        <v>71.06</v>
      </c>
      <c r="M2718" s="74">
        <v>33351</v>
      </c>
      <c r="N2718" s="77">
        <v>0.5</v>
      </c>
      <c r="P2718">
        <v>62.96</v>
      </c>
      <c r="S2718" s="74">
        <v>33351</v>
      </c>
      <c r="T2718" s="77">
        <v>0.5</v>
      </c>
      <c r="V2718">
        <v>59</v>
      </c>
      <c r="X2718" s="42"/>
      <c r="AB2718">
        <v>57.5</v>
      </c>
      <c r="AC2718">
        <v>62.96</v>
      </c>
      <c r="AE2718" s="74"/>
      <c r="AF2718" s="77"/>
      <c r="AH2718" s="497">
        <v>62.96</v>
      </c>
      <c r="AJ2718" s="42"/>
      <c r="AK2718" s="74"/>
      <c r="AL2718" s="77"/>
      <c r="AN2718" s="497">
        <v>60.08</v>
      </c>
      <c r="AP2718" s="42"/>
      <c r="AQ2718" s="74"/>
      <c r="AR2718" s="77"/>
      <c r="AT2718" s="497">
        <v>57.019999999999996</v>
      </c>
      <c r="AV2718" s="42"/>
      <c r="AW2718" s="74"/>
      <c r="AX2718" s="77"/>
      <c r="BA2718" s="497">
        <v>78.98</v>
      </c>
      <c r="BB2718" s="42"/>
      <c r="BC2718" s="74"/>
      <c r="BD2718" s="77"/>
      <c r="BF2718">
        <v>60.08</v>
      </c>
      <c r="BH2718" s="42"/>
      <c r="BI2718" s="74"/>
      <c r="BJ2718" s="77"/>
      <c r="BL2718" s="497">
        <v>44.06</v>
      </c>
      <c r="BN2718" s="42"/>
      <c r="BO2718" s="74"/>
      <c r="BP2718" s="77"/>
      <c r="BR2718" s="497">
        <v>62.06</v>
      </c>
      <c r="BT2718" s="42"/>
    </row>
    <row r="2719" spans="1:72" x14ac:dyDescent="0.25">
      <c r="A2719" s="90">
        <v>33351</v>
      </c>
      <c r="B2719" s="20">
        <v>0.54166666666666663</v>
      </c>
      <c r="D2719">
        <v>60.08</v>
      </c>
      <c r="E2719" t="str">
        <f t="shared" si="120"/>
        <v>WEEKDAY</v>
      </c>
      <c r="F2719" t="e">
        <f t="shared" si="119"/>
        <v>#N/A</v>
      </c>
      <c r="G2719" s="74">
        <v>32986</v>
      </c>
      <c r="H2719" s="77">
        <v>0.54166666666666663</v>
      </c>
      <c r="J2719">
        <v>73.039999999999992</v>
      </c>
      <c r="M2719" s="74">
        <v>33351</v>
      </c>
      <c r="N2719" s="77">
        <v>0.54166666666666663</v>
      </c>
      <c r="P2719">
        <v>64.94</v>
      </c>
      <c r="S2719" s="74">
        <v>33351</v>
      </c>
      <c r="T2719" s="77">
        <v>0.54166666666666663</v>
      </c>
      <c r="V2719">
        <v>57.92</v>
      </c>
      <c r="X2719" s="42"/>
      <c r="AB2719">
        <v>58.3</v>
      </c>
      <c r="AC2719">
        <v>62.96</v>
      </c>
      <c r="AE2719" s="74"/>
      <c r="AF2719" s="77"/>
      <c r="AH2719" s="497">
        <v>66.02</v>
      </c>
      <c r="AJ2719" s="42"/>
      <c r="AK2719" s="74"/>
      <c r="AL2719" s="77"/>
      <c r="AN2719" s="497">
        <v>62.06</v>
      </c>
      <c r="AP2719" s="42"/>
      <c r="AQ2719" s="74"/>
      <c r="AR2719" s="77"/>
      <c r="AT2719" s="497">
        <v>57.92</v>
      </c>
      <c r="AV2719" s="42"/>
      <c r="AW2719" s="74"/>
      <c r="AX2719" s="77"/>
      <c r="BA2719" s="497">
        <v>80.960000000000008</v>
      </c>
      <c r="BB2719" s="42"/>
      <c r="BC2719" s="74"/>
      <c r="BD2719" s="77"/>
      <c r="BF2719">
        <v>62.96</v>
      </c>
      <c r="BH2719" s="42"/>
      <c r="BI2719" s="74"/>
      <c r="BJ2719" s="77"/>
      <c r="BL2719" s="497">
        <v>46.94</v>
      </c>
      <c r="BN2719" s="42"/>
      <c r="BO2719" s="74"/>
      <c r="BP2719" s="77"/>
      <c r="BR2719" s="497">
        <v>64.94</v>
      </c>
      <c r="BT2719" s="42"/>
    </row>
    <row r="2720" spans="1:72" x14ac:dyDescent="0.25">
      <c r="A2720" s="90">
        <v>33351</v>
      </c>
      <c r="B2720" s="20">
        <v>0.58333333333333337</v>
      </c>
      <c r="D2720">
        <v>60.08</v>
      </c>
      <c r="E2720" t="str">
        <f t="shared" si="120"/>
        <v>WEEKDAY</v>
      </c>
      <c r="F2720" t="e">
        <f t="shared" si="119"/>
        <v>#N/A</v>
      </c>
      <c r="G2720" s="74">
        <v>32986</v>
      </c>
      <c r="H2720" s="77">
        <v>0.58333333333333337</v>
      </c>
      <c r="J2720">
        <v>75.02</v>
      </c>
      <c r="M2720" s="74">
        <v>33351</v>
      </c>
      <c r="N2720" s="77">
        <v>0.58333333333333337</v>
      </c>
      <c r="P2720">
        <v>66.02</v>
      </c>
      <c r="S2720" s="74">
        <v>33351</v>
      </c>
      <c r="T2720" s="77">
        <v>0.58333333333333337</v>
      </c>
      <c r="V2720">
        <v>57.92</v>
      </c>
      <c r="X2720" s="42"/>
      <c r="AB2720">
        <v>58.8</v>
      </c>
      <c r="AC2720">
        <v>62.06</v>
      </c>
      <c r="AE2720" s="74"/>
      <c r="AF2720" s="77"/>
      <c r="AH2720" s="497">
        <v>66.02</v>
      </c>
      <c r="AJ2720" s="42"/>
      <c r="AK2720" s="74"/>
      <c r="AL2720" s="77"/>
      <c r="AN2720" s="497">
        <v>64.94</v>
      </c>
      <c r="AP2720" s="42"/>
      <c r="AQ2720" s="74"/>
      <c r="AR2720" s="77"/>
      <c r="AT2720" s="497">
        <v>59</v>
      </c>
      <c r="AV2720" s="42"/>
      <c r="AW2720" s="74"/>
      <c r="AX2720" s="77"/>
      <c r="BA2720" s="497">
        <v>82.94</v>
      </c>
      <c r="BB2720" s="42"/>
      <c r="BC2720" s="74"/>
      <c r="BD2720" s="77"/>
      <c r="BF2720">
        <v>60.08</v>
      </c>
      <c r="BH2720" s="42"/>
      <c r="BI2720" s="74"/>
      <c r="BJ2720" s="77"/>
      <c r="BL2720" s="497">
        <v>48.019999999999996</v>
      </c>
      <c r="BN2720" s="42"/>
      <c r="BO2720" s="74"/>
      <c r="BP2720" s="77"/>
      <c r="BR2720" s="497">
        <v>66.02</v>
      </c>
      <c r="BT2720" s="42"/>
    </row>
    <row r="2721" spans="1:72" x14ac:dyDescent="0.25">
      <c r="A2721" s="90">
        <v>33351</v>
      </c>
      <c r="B2721" s="20">
        <v>0.625</v>
      </c>
      <c r="D2721">
        <v>60.08</v>
      </c>
      <c r="E2721" t="str">
        <f t="shared" si="120"/>
        <v>WEEKDAY</v>
      </c>
      <c r="F2721" t="e">
        <f t="shared" si="119"/>
        <v>#N/A</v>
      </c>
      <c r="G2721" s="74">
        <v>32986</v>
      </c>
      <c r="H2721" s="77">
        <v>0.625</v>
      </c>
      <c r="J2721">
        <v>77</v>
      </c>
      <c r="M2721" s="74">
        <v>33351</v>
      </c>
      <c r="N2721" s="77">
        <v>0.625</v>
      </c>
      <c r="P2721">
        <v>66.02</v>
      </c>
      <c r="S2721" s="74">
        <v>33351</v>
      </c>
      <c r="T2721" s="77">
        <v>0.625</v>
      </c>
      <c r="V2721">
        <v>57.019999999999996</v>
      </c>
      <c r="X2721" s="42"/>
      <c r="AB2721">
        <v>58.8</v>
      </c>
      <c r="AC2721">
        <v>60.980000000000004</v>
      </c>
      <c r="AE2721" s="74"/>
      <c r="AF2721" s="77"/>
      <c r="AH2721" s="497">
        <v>69.080000000000013</v>
      </c>
      <c r="AJ2721" s="42"/>
      <c r="AK2721" s="74"/>
      <c r="AL2721" s="77"/>
      <c r="AN2721" s="497">
        <v>66.02</v>
      </c>
      <c r="AP2721" s="42"/>
      <c r="AQ2721" s="74"/>
      <c r="AR2721" s="77"/>
      <c r="AT2721" s="497">
        <v>60.980000000000004</v>
      </c>
      <c r="AV2721" s="42"/>
      <c r="AW2721" s="74"/>
      <c r="AX2721" s="77"/>
      <c r="BA2721" s="497">
        <v>84.02</v>
      </c>
      <c r="BB2721" s="42"/>
      <c r="BC2721" s="74"/>
      <c r="BD2721" s="77"/>
      <c r="BF2721">
        <v>59</v>
      </c>
      <c r="BH2721" s="42"/>
      <c r="BI2721" s="74"/>
      <c r="BJ2721" s="77"/>
      <c r="BL2721" s="497">
        <v>48.92</v>
      </c>
      <c r="BN2721" s="42"/>
      <c r="BO2721" s="74"/>
      <c r="BP2721" s="77"/>
      <c r="BR2721" s="497">
        <v>66.02</v>
      </c>
      <c r="BT2721" s="42"/>
    </row>
    <row r="2722" spans="1:72" x14ac:dyDescent="0.25">
      <c r="A2722" s="90">
        <v>33351</v>
      </c>
      <c r="B2722" s="20">
        <v>0.66666666666666663</v>
      </c>
      <c r="D2722">
        <v>57.019999999999996</v>
      </c>
      <c r="E2722" t="str">
        <f t="shared" si="120"/>
        <v>WEEKDAY</v>
      </c>
      <c r="F2722" t="e">
        <f t="shared" si="119"/>
        <v>#N/A</v>
      </c>
      <c r="G2722" s="74">
        <v>32986</v>
      </c>
      <c r="H2722" s="77">
        <v>0.66666666666666663</v>
      </c>
      <c r="J2722">
        <v>78.080000000000013</v>
      </c>
      <c r="M2722" s="74">
        <v>33351</v>
      </c>
      <c r="N2722" s="77">
        <v>0.66666666666666663</v>
      </c>
      <c r="P2722">
        <v>66.92</v>
      </c>
      <c r="S2722" s="74">
        <v>33351</v>
      </c>
      <c r="T2722" s="77">
        <v>0.66666666666666663</v>
      </c>
      <c r="V2722">
        <v>55.94</v>
      </c>
      <c r="X2722" s="42"/>
      <c r="AB2722">
        <v>58.4</v>
      </c>
      <c r="AC2722">
        <v>57.92</v>
      </c>
      <c r="AE2722" s="74"/>
      <c r="AF2722" s="77"/>
      <c r="AH2722" s="497">
        <v>66.92</v>
      </c>
      <c r="AJ2722" s="42"/>
      <c r="AK2722" s="74"/>
      <c r="AL2722" s="77"/>
      <c r="AN2722" s="497">
        <v>64.94</v>
      </c>
      <c r="AP2722" s="42"/>
      <c r="AQ2722" s="74"/>
      <c r="AR2722" s="77"/>
      <c r="AT2722" s="497">
        <v>60.980000000000004</v>
      </c>
      <c r="AV2722" s="42"/>
      <c r="AW2722" s="74"/>
      <c r="AX2722" s="77"/>
      <c r="BA2722" s="497">
        <v>84.02</v>
      </c>
      <c r="BB2722" s="42"/>
      <c r="BC2722" s="74"/>
      <c r="BD2722" s="77"/>
      <c r="BF2722">
        <v>59</v>
      </c>
      <c r="BH2722" s="42"/>
      <c r="BI2722" s="74"/>
      <c r="BJ2722" s="77"/>
      <c r="BL2722" s="497">
        <v>48.92</v>
      </c>
      <c r="BN2722" s="42"/>
      <c r="BO2722" s="74"/>
      <c r="BP2722" s="77"/>
      <c r="BR2722" s="497">
        <v>66.02</v>
      </c>
      <c r="BT2722" s="42"/>
    </row>
    <row r="2723" spans="1:72" x14ac:dyDescent="0.25">
      <c r="A2723" s="90">
        <v>33351</v>
      </c>
      <c r="B2723" s="20">
        <v>0.70833333333333337</v>
      </c>
      <c r="D2723">
        <v>55.94</v>
      </c>
      <c r="E2723" t="str">
        <f t="shared" si="120"/>
        <v>WEEKDAY</v>
      </c>
      <c r="F2723" t="e">
        <f t="shared" si="119"/>
        <v>#N/A</v>
      </c>
      <c r="G2723" s="74">
        <v>32986</v>
      </c>
      <c r="H2723" s="77">
        <v>0.70833333333333337</v>
      </c>
      <c r="J2723">
        <v>78.080000000000013</v>
      </c>
      <c r="M2723" s="74">
        <v>33351</v>
      </c>
      <c r="N2723" s="77">
        <v>0.70833333333333337</v>
      </c>
      <c r="P2723">
        <v>64.039999999999992</v>
      </c>
      <c r="S2723" s="74">
        <v>33351</v>
      </c>
      <c r="T2723" s="77">
        <v>0.70833333333333337</v>
      </c>
      <c r="V2723">
        <v>55.94</v>
      </c>
      <c r="X2723" s="42"/>
      <c r="AB2723">
        <v>57.5</v>
      </c>
      <c r="AC2723">
        <v>57.92</v>
      </c>
      <c r="AE2723" s="74"/>
      <c r="AF2723" s="77"/>
      <c r="AH2723" s="497">
        <v>68</v>
      </c>
      <c r="AJ2723" s="42"/>
      <c r="AK2723" s="74"/>
      <c r="AL2723" s="77"/>
      <c r="AN2723" s="497">
        <v>66.02</v>
      </c>
      <c r="AP2723" s="42"/>
      <c r="AQ2723" s="74"/>
      <c r="AR2723" s="77"/>
      <c r="AT2723" s="497">
        <v>60.980000000000004</v>
      </c>
      <c r="AV2723" s="42"/>
      <c r="AW2723" s="74"/>
      <c r="AX2723" s="77"/>
      <c r="BA2723" s="497">
        <v>82.039999999999992</v>
      </c>
      <c r="BB2723" s="42"/>
      <c r="BC2723" s="74"/>
      <c r="BD2723" s="77"/>
      <c r="BF2723">
        <v>57.92</v>
      </c>
      <c r="BH2723" s="42"/>
      <c r="BI2723" s="74"/>
      <c r="BJ2723" s="77"/>
      <c r="BL2723" s="497">
        <v>48.92</v>
      </c>
      <c r="BN2723" s="42"/>
      <c r="BO2723" s="74"/>
      <c r="BP2723" s="77"/>
      <c r="BR2723" s="497">
        <v>64.039999999999992</v>
      </c>
      <c r="BT2723" s="42"/>
    </row>
    <row r="2724" spans="1:72" x14ac:dyDescent="0.25">
      <c r="A2724" s="90">
        <v>33351</v>
      </c>
      <c r="B2724" s="20">
        <v>0.75</v>
      </c>
      <c r="D2724">
        <v>53.06</v>
      </c>
      <c r="E2724" t="str">
        <f t="shared" si="120"/>
        <v>WEEKDAY</v>
      </c>
      <c r="F2724" t="e">
        <f t="shared" si="119"/>
        <v>#N/A</v>
      </c>
      <c r="G2724" s="74">
        <v>32986</v>
      </c>
      <c r="H2724" s="77">
        <v>0.75</v>
      </c>
      <c r="J2724">
        <v>75.92</v>
      </c>
      <c r="M2724" s="74">
        <v>33351</v>
      </c>
      <c r="N2724" s="77">
        <v>0.75</v>
      </c>
      <c r="P2724">
        <v>62.06</v>
      </c>
      <c r="S2724" s="74">
        <v>33351</v>
      </c>
      <c r="T2724" s="77">
        <v>0.75</v>
      </c>
      <c r="V2724">
        <v>53.96</v>
      </c>
      <c r="X2724" s="42"/>
      <c r="AB2724">
        <v>56.4</v>
      </c>
      <c r="AC2724">
        <v>55.040000000000006</v>
      </c>
      <c r="AE2724" s="74"/>
      <c r="AF2724" s="77"/>
      <c r="AH2724" s="497">
        <v>66.92</v>
      </c>
      <c r="AJ2724" s="42"/>
      <c r="AK2724" s="74"/>
      <c r="AL2724" s="77"/>
      <c r="AN2724" s="497">
        <v>62.96</v>
      </c>
      <c r="AP2724" s="42"/>
      <c r="AQ2724" s="74"/>
      <c r="AR2724" s="77"/>
      <c r="AT2724" s="497">
        <v>59</v>
      </c>
      <c r="AV2724" s="42"/>
      <c r="AW2724" s="74"/>
      <c r="AX2724" s="77"/>
      <c r="BA2724" s="497">
        <v>78.98</v>
      </c>
      <c r="BB2724" s="42"/>
      <c r="BC2724" s="74"/>
      <c r="BD2724" s="77"/>
      <c r="BF2724">
        <v>55.040000000000006</v>
      </c>
      <c r="BH2724" s="42"/>
      <c r="BI2724" s="74"/>
      <c r="BJ2724" s="77"/>
      <c r="BL2724" s="497">
        <v>48.92</v>
      </c>
      <c r="BN2724" s="42"/>
      <c r="BO2724" s="74"/>
      <c r="BP2724" s="77"/>
      <c r="BR2724" s="497">
        <v>60.980000000000004</v>
      </c>
      <c r="BT2724" s="42"/>
    </row>
    <row r="2725" spans="1:72" x14ac:dyDescent="0.25">
      <c r="A2725" s="90">
        <v>33351</v>
      </c>
      <c r="B2725" s="20">
        <v>0.79166666666666663</v>
      </c>
      <c r="D2725">
        <v>51.980000000000004</v>
      </c>
      <c r="E2725" t="str">
        <f t="shared" si="120"/>
        <v>WEEKDAY</v>
      </c>
      <c r="F2725" t="e">
        <f t="shared" si="119"/>
        <v>#N/A</v>
      </c>
      <c r="G2725" s="74">
        <v>32986</v>
      </c>
      <c r="H2725" s="77">
        <v>0.79166666666666663</v>
      </c>
      <c r="J2725">
        <v>75.02</v>
      </c>
      <c r="M2725" s="74">
        <v>33351</v>
      </c>
      <c r="N2725" s="77">
        <v>0.79166666666666663</v>
      </c>
      <c r="P2725">
        <v>55.94</v>
      </c>
      <c r="S2725" s="74">
        <v>33351</v>
      </c>
      <c r="T2725" s="77">
        <v>0.79166666666666663</v>
      </c>
      <c r="V2725">
        <v>53.06</v>
      </c>
      <c r="X2725" s="42"/>
      <c r="AB2725">
        <v>54.9</v>
      </c>
      <c r="AC2725">
        <v>51.980000000000004</v>
      </c>
      <c r="AE2725" s="74"/>
      <c r="AF2725" s="77"/>
      <c r="AH2725" s="497">
        <v>68</v>
      </c>
      <c r="AJ2725" s="42"/>
      <c r="AK2725" s="74"/>
      <c r="AL2725" s="77"/>
      <c r="AN2725" s="497">
        <v>57.92</v>
      </c>
      <c r="AP2725" s="42"/>
      <c r="AQ2725" s="74"/>
      <c r="AR2725" s="77"/>
      <c r="AT2725" s="497">
        <v>57.019999999999996</v>
      </c>
      <c r="AV2725" s="42"/>
      <c r="AW2725" s="74"/>
      <c r="AX2725" s="77"/>
      <c r="BA2725" s="497">
        <v>75.02</v>
      </c>
      <c r="BB2725" s="42"/>
      <c r="BC2725" s="74"/>
      <c r="BD2725" s="77"/>
      <c r="BF2725">
        <v>53.06</v>
      </c>
      <c r="BH2725" s="42"/>
      <c r="BI2725" s="74"/>
      <c r="BJ2725" s="77"/>
      <c r="BL2725" s="497">
        <v>44.96</v>
      </c>
      <c r="BN2725" s="42"/>
      <c r="BO2725" s="74"/>
      <c r="BP2725" s="77"/>
      <c r="BR2725" s="497">
        <v>57.019999999999996</v>
      </c>
      <c r="BT2725" s="42"/>
    </row>
    <row r="2726" spans="1:72" x14ac:dyDescent="0.25">
      <c r="A2726" s="90">
        <v>33351</v>
      </c>
      <c r="B2726" s="20">
        <v>0.83333333333333337</v>
      </c>
      <c r="D2726">
        <v>53.06</v>
      </c>
      <c r="E2726" t="str">
        <f t="shared" si="120"/>
        <v>WEEKDAY</v>
      </c>
      <c r="F2726" t="e">
        <f t="shared" si="119"/>
        <v>#N/A</v>
      </c>
      <c r="G2726" s="74">
        <v>32986</v>
      </c>
      <c r="H2726" s="77">
        <v>0.83333333333333337</v>
      </c>
      <c r="J2726">
        <v>71.960000000000008</v>
      </c>
      <c r="M2726" s="74">
        <v>33351</v>
      </c>
      <c r="N2726" s="77">
        <v>0.83333333333333337</v>
      </c>
      <c r="P2726">
        <v>53.06</v>
      </c>
      <c r="S2726" s="74">
        <v>33351</v>
      </c>
      <c r="T2726" s="77">
        <v>0.83333333333333337</v>
      </c>
      <c r="V2726">
        <v>53.96</v>
      </c>
      <c r="X2726" s="42"/>
      <c r="AB2726">
        <v>53.5</v>
      </c>
      <c r="AC2726">
        <v>51.980000000000004</v>
      </c>
      <c r="AE2726" s="74"/>
      <c r="AF2726" s="77"/>
      <c r="AH2726" s="497">
        <v>57.92</v>
      </c>
      <c r="AJ2726" s="42"/>
      <c r="AK2726" s="74"/>
      <c r="AL2726" s="77"/>
      <c r="AN2726" s="497">
        <v>53.96</v>
      </c>
      <c r="AP2726" s="42"/>
      <c r="AQ2726" s="74"/>
      <c r="AR2726" s="77"/>
      <c r="AT2726" s="497">
        <v>55.040000000000006</v>
      </c>
      <c r="AV2726" s="42"/>
      <c r="AW2726" s="74"/>
      <c r="AX2726" s="77"/>
      <c r="BA2726" s="497">
        <v>69.98</v>
      </c>
      <c r="BB2726" s="42"/>
      <c r="BC2726" s="74"/>
      <c r="BD2726" s="77"/>
      <c r="BF2726">
        <v>48.92</v>
      </c>
      <c r="BH2726" s="42"/>
      <c r="BI2726" s="74"/>
      <c r="BJ2726" s="77"/>
      <c r="BL2726" s="497">
        <v>42.980000000000004</v>
      </c>
      <c r="BN2726" s="42"/>
      <c r="BO2726" s="74"/>
      <c r="BP2726" s="77"/>
      <c r="BR2726" s="497">
        <v>55.94</v>
      </c>
      <c r="BT2726" s="42"/>
    </row>
    <row r="2727" spans="1:72" x14ac:dyDescent="0.25">
      <c r="A2727" s="90">
        <v>33351</v>
      </c>
      <c r="B2727" s="20">
        <v>0.875</v>
      </c>
      <c r="D2727">
        <v>53.06</v>
      </c>
      <c r="E2727" t="str">
        <f t="shared" si="120"/>
        <v>WEEKDAY</v>
      </c>
      <c r="F2727" t="e">
        <f t="shared" si="119"/>
        <v>#N/A</v>
      </c>
      <c r="G2727" s="74">
        <v>32986</v>
      </c>
      <c r="H2727" s="77">
        <v>0.875</v>
      </c>
      <c r="J2727">
        <v>69.98</v>
      </c>
      <c r="M2727" s="74">
        <v>33351</v>
      </c>
      <c r="N2727" s="77">
        <v>0.875</v>
      </c>
      <c r="P2727">
        <v>51.980000000000004</v>
      </c>
      <c r="S2727" s="74">
        <v>33351</v>
      </c>
      <c r="T2727" s="77">
        <v>0.875</v>
      </c>
      <c r="V2727">
        <v>51.980000000000004</v>
      </c>
      <c r="X2727" s="42"/>
      <c r="AB2727">
        <v>52.7</v>
      </c>
      <c r="AC2727">
        <v>51.980000000000004</v>
      </c>
      <c r="AE2727" s="74"/>
      <c r="AF2727" s="77"/>
      <c r="AH2727" s="497">
        <v>53.06</v>
      </c>
      <c r="AJ2727" s="42"/>
      <c r="AK2727" s="74"/>
      <c r="AL2727" s="77"/>
      <c r="AN2727" s="497">
        <v>51.08</v>
      </c>
      <c r="AP2727" s="42"/>
      <c r="AQ2727" s="74"/>
      <c r="AR2727" s="77"/>
      <c r="AT2727" s="497">
        <v>51.08</v>
      </c>
      <c r="AV2727" s="42"/>
      <c r="AW2727" s="74"/>
      <c r="AX2727" s="77"/>
      <c r="BA2727" s="497">
        <v>66.92</v>
      </c>
      <c r="BB2727" s="42"/>
      <c r="BC2727" s="74"/>
      <c r="BD2727" s="77"/>
      <c r="BF2727">
        <v>44.96</v>
      </c>
      <c r="BH2727" s="42"/>
      <c r="BI2727" s="74"/>
      <c r="BJ2727" s="77"/>
      <c r="BL2727" s="497">
        <v>41</v>
      </c>
      <c r="BN2727" s="42"/>
      <c r="BO2727" s="74"/>
      <c r="BP2727" s="77"/>
      <c r="BR2727" s="497">
        <v>53.96</v>
      </c>
      <c r="BT2727" s="42"/>
    </row>
    <row r="2728" spans="1:72" x14ac:dyDescent="0.25">
      <c r="A2728" s="90">
        <v>33351</v>
      </c>
      <c r="B2728" s="20">
        <v>0.91666666666666663</v>
      </c>
      <c r="D2728">
        <v>53.06</v>
      </c>
      <c r="E2728" t="str">
        <f t="shared" si="120"/>
        <v>WEEKDAY</v>
      </c>
      <c r="F2728" t="e">
        <f t="shared" si="119"/>
        <v>#N/A</v>
      </c>
      <c r="G2728" s="74">
        <v>32986</v>
      </c>
      <c r="H2728" s="77">
        <v>0.91666666666666663</v>
      </c>
      <c r="J2728">
        <v>53.96</v>
      </c>
      <c r="M2728" s="74">
        <v>33351</v>
      </c>
      <c r="N2728" s="77">
        <v>0.91666666666666663</v>
      </c>
      <c r="P2728">
        <v>48.92</v>
      </c>
      <c r="S2728" s="74">
        <v>33351</v>
      </c>
      <c r="T2728" s="77">
        <v>0.91666666666666663</v>
      </c>
      <c r="V2728">
        <v>51.08</v>
      </c>
      <c r="X2728" s="42"/>
      <c r="AB2728">
        <v>52.1</v>
      </c>
      <c r="AC2728">
        <v>51.980000000000004</v>
      </c>
      <c r="AE2728" s="74"/>
      <c r="AF2728" s="77"/>
      <c r="AH2728" s="497">
        <v>50</v>
      </c>
      <c r="AJ2728" s="42"/>
      <c r="AK2728" s="74"/>
      <c r="AL2728" s="77"/>
      <c r="AN2728" s="497">
        <v>46.04</v>
      </c>
      <c r="AP2728" s="42"/>
      <c r="AQ2728" s="74"/>
      <c r="AR2728" s="77"/>
      <c r="AT2728" s="497">
        <v>44.96</v>
      </c>
      <c r="AV2728" s="42"/>
      <c r="AW2728" s="74"/>
      <c r="AX2728" s="77"/>
      <c r="BA2728" s="497">
        <v>66.02</v>
      </c>
      <c r="BB2728" s="42"/>
      <c r="BC2728" s="74"/>
      <c r="BD2728" s="77"/>
      <c r="BF2728">
        <v>44.06</v>
      </c>
      <c r="BH2728" s="42"/>
      <c r="BI2728" s="74"/>
      <c r="BJ2728" s="77"/>
      <c r="BL2728" s="497">
        <v>39.019999999999996</v>
      </c>
      <c r="BN2728" s="42"/>
      <c r="BO2728" s="74"/>
      <c r="BP2728" s="77"/>
      <c r="BR2728" s="497">
        <v>53.06</v>
      </c>
      <c r="BT2728" s="42"/>
    </row>
    <row r="2729" spans="1:72" x14ac:dyDescent="0.25">
      <c r="A2729" s="90">
        <v>33351</v>
      </c>
      <c r="B2729" s="20">
        <v>0.95833333333333337</v>
      </c>
      <c r="D2729">
        <v>53.96</v>
      </c>
      <c r="E2729" t="str">
        <f t="shared" si="120"/>
        <v>WEEKDAY</v>
      </c>
      <c r="F2729" t="e">
        <f t="shared" si="119"/>
        <v>#N/A</v>
      </c>
      <c r="G2729" s="74">
        <v>32986</v>
      </c>
      <c r="H2729" s="77">
        <v>0.95833333333333337</v>
      </c>
      <c r="J2729">
        <v>57.92</v>
      </c>
      <c r="M2729" s="74">
        <v>33351</v>
      </c>
      <c r="N2729" s="77">
        <v>0.95833333333333337</v>
      </c>
      <c r="P2729">
        <v>50</v>
      </c>
      <c r="S2729" s="74">
        <v>33351</v>
      </c>
      <c r="T2729" s="77">
        <v>0.95833333333333337</v>
      </c>
      <c r="V2729">
        <v>48.019999999999996</v>
      </c>
      <c r="X2729" s="42"/>
      <c r="AB2729">
        <v>51.6</v>
      </c>
      <c r="AC2729">
        <v>51.08</v>
      </c>
      <c r="AE2729" s="74"/>
      <c r="AF2729" s="77"/>
      <c r="AH2729" s="497">
        <v>46.04</v>
      </c>
      <c r="AJ2729" s="42"/>
      <c r="AK2729" s="74"/>
      <c r="AL2729" s="77"/>
      <c r="AN2729" s="497">
        <v>42.980000000000004</v>
      </c>
      <c r="AP2729" s="42"/>
      <c r="AQ2729" s="74"/>
      <c r="AR2729" s="77"/>
      <c r="AT2729" s="497">
        <v>46.04</v>
      </c>
      <c r="AV2729" s="42"/>
      <c r="AW2729" s="74"/>
      <c r="AX2729" s="77"/>
      <c r="BA2729" s="497">
        <v>64.039999999999992</v>
      </c>
      <c r="BB2729" s="42"/>
      <c r="BC2729" s="74"/>
      <c r="BD2729" s="77"/>
      <c r="BF2729">
        <v>42.08</v>
      </c>
      <c r="BH2729" s="42"/>
      <c r="BI2729" s="74"/>
      <c r="BJ2729" s="77"/>
      <c r="BL2729" s="497">
        <v>37.94</v>
      </c>
      <c r="BN2729" s="42"/>
      <c r="BO2729" s="74"/>
      <c r="BP2729" s="77"/>
      <c r="BR2729" s="497">
        <v>51.980000000000004</v>
      </c>
      <c r="BT2729" s="42"/>
    </row>
    <row r="2730" spans="1:72" x14ac:dyDescent="0.25">
      <c r="A2730" s="90">
        <v>33351</v>
      </c>
      <c r="B2730" s="20">
        <v>1</v>
      </c>
      <c r="D2730">
        <v>53.06</v>
      </c>
      <c r="E2730" t="str">
        <f t="shared" si="120"/>
        <v>WEEKDAY</v>
      </c>
      <c r="F2730" t="e">
        <f t="shared" si="119"/>
        <v>#N/A</v>
      </c>
      <c r="G2730" s="74">
        <v>32986</v>
      </c>
      <c r="H2730" s="77">
        <v>1</v>
      </c>
      <c r="J2730">
        <v>55.040000000000006</v>
      </c>
      <c r="M2730" s="74">
        <v>33351</v>
      </c>
      <c r="N2730" s="80">
        <v>1</v>
      </c>
      <c r="P2730">
        <v>44.96</v>
      </c>
      <c r="S2730" s="74">
        <v>33351</v>
      </c>
      <c r="T2730" s="80">
        <v>1</v>
      </c>
      <c r="V2730">
        <v>48.019999999999996</v>
      </c>
      <c r="X2730" s="42"/>
      <c r="AB2730">
        <v>51.1</v>
      </c>
      <c r="AC2730">
        <v>50</v>
      </c>
      <c r="AE2730" s="74"/>
      <c r="AF2730" s="80"/>
      <c r="AH2730" s="497">
        <v>44.06</v>
      </c>
      <c r="AJ2730" s="42"/>
      <c r="AK2730" s="74"/>
      <c r="AL2730" s="80"/>
      <c r="AN2730" s="497">
        <v>41</v>
      </c>
      <c r="AP2730" s="42"/>
      <c r="AQ2730" s="74"/>
      <c r="AR2730" s="80"/>
      <c r="AT2730" s="497">
        <v>46.04</v>
      </c>
      <c r="AV2730" s="42"/>
      <c r="AW2730" s="74"/>
      <c r="AX2730" s="80"/>
      <c r="BA2730" s="497">
        <v>64.039999999999992</v>
      </c>
      <c r="BB2730" s="42"/>
      <c r="BC2730" s="74"/>
      <c r="BD2730" s="80"/>
      <c r="BF2730">
        <v>41</v>
      </c>
      <c r="BH2730" s="42"/>
      <c r="BI2730" s="74"/>
      <c r="BJ2730" s="80"/>
      <c r="BL2730" s="497">
        <v>37.04</v>
      </c>
      <c r="BN2730" s="42"/>
      <c r="BO2730" s="74"/>
      <c r="BP2730" s="80"/>
      <c r="BR2730" s="497">
        <v>50</v>
      </c>
      <c r="BT2730" s="42"/>
    </row>
    <row r="2731" spans="1:72" x14ac:dyDescent="0.25">
      <c r="A2731" s="90">
        <v>33352</v>
      </c>
      <c r="B2731" s="20">
        <v>4.1666666666666664E-2</v>
      </c>
      <c r="D2731">
        <v>53.06</v>
      </c>
      <c r="E2731" t="str">
        <f t="shared" si="120"/>
        <v>WEEKDAY</v>
      </c>
      <c r="F2731" t="e">
        <f t="shared" ref="F2731:F2794" si="121">IF(E2731="WEEKDAY",VLOOKUP(B2731,$DD$19:$DG$42,2),IF(E2731="SATURDAY",VLOOKUP(B2731,$DD$19:$DG$42,3),VLOOKUP(B2731,$DD$19:$DG$42,4)))</f>
        <v>#N/A</v>
      </c>
      <c r="G2731" s="74">
        <v>32987</v>
      </c>
      <c r="H2731" s="77">
        <v>4.1666666666666664E-2</v>
      </c>
      <c r="J2731">
        <v>51.980000000000004</v>
      </c>
      <c r="M2731" s="74">
        <v>33352</v>
      </c>
      <c r="N2731" s="77">
        <v>4.1666666666666664E-2</v>
      </c>
      <c r="P2731">
        <v>44.06</v>
      </c>
      <c r="S2731" s="74">
        <v>33352</v>
      </c>
      <c r="T2731" s="77">
        <v>4.1666666666666664E-2</v>
      </c>
      <c r="V2731">
        <v>46.94</v>
      </c>
      <c r="X2731" s="42"/>
      <c r="AB2731">
        <v>50.6</v>
      </c>
      <c r="AC2731">
        <v>48.019999999999996</v>
      </c>
      <c r="AE2731" s="74"/>
      <c r="AF2731" s="77"/>
      <c r="AH2731" s="497">
        <v>42.08</v>
      </c>
      <c r="AJ2731" s="42"/>
      <c r="AK2731" s="74"/>
      <c r="AL2731" s="77"/>
      <c r="AN2731" s="497">
        <v>39.92</v>
      </c>
      <c r="AP2731" s="42"/>
      <c r="AQ2731" s="74"/>
      <c r="AR2731" s="77"/>
      <c r="AT2731" s="497">
        <v>44.96</v>
      </c>
      <c r="AV2731" s="42"/>
      <c r="AW2731" s="74"/>
      <c r="AX2731" s="77"/>
      <c r="BA2731" s="497">
        <v>62.96</v>
      </c>
      <c r="BB2731" s="42"/>
      <c r="BC2731" s="74"/>
      <c r="BD2731" s="77"/>
      <c r="BF2731">
        <v>37.94</v>
      </c>
      <c r="BH2731" s="42"/>
      <c r="BI2731" s="74"/>
      <c r="BJ2731" s="77"/>
      <c r="BL2731" s="497">
        <v>35.06</v>
      </c>
      <c r="BN2731" s="42"/>
      <c r="BO2731" s="74"/>
      <c r="BP2731" s="77"/>
      <c r="BR2731" s="497">
        <v>44.96</v>
      </c>
      <c r="BT2731" s="42"/>
    </row>
    <row r="2732" spans="1:72" x14ac:dyDescent="0.25">
      <c r="A2732" s="90">
        <v>33352</v>
      </c>
      <c r="B2732" s="20">
        <v>8.3333333333333329E-2</v>
      </c>
      <c r="D2732">
        <v>53.06</v>
      </c>
      <c r="E2732" t="str">
        <f t="shared" si="120"/>
        <v>WEEKDAY</v>
      </c>
      <c r="F2732" t="e">
        <f t="shared" si="121"/>
        <v>#N/A</v>
      </c>
      <c r="G2732" s="74">
        <v>32987</v>
      </c>
      <c r="H2732" s="77">
        <v>8.3333333333333329E-2</v>
      </c>
      <c r="J2732">
        <v>50</v>
      </c>
      <c r="M2732" s="74">
        <v>33352</v>
      </c>
      <c r="N2732" s="77">
        <v>8.3333333333333329E-2</v>
      </c>
      <c r="P2732">
        <v>41</v>
      </c>
      <c r="S2732" s="74">
        <v>33352</v>
      </c>
      <c r="T2732" s="77">
        <v>8.3333333333333329E-2</v>
      </c>
      <c r="V2732">
        <v>46.94</v>
      </c>
      <c r="X2732" s="42"/>
      <c r="AB2732">
        <v>50</v>
      </c>
      <c r="AC2732">
        <v>46.04</v>
      </c>
      <c r="AE2732" s="74"/>
      <c r="AF2732" s="77"/>
      <c r="AH2732" s="497">
        <v>39.92</v>
      </c>
      <c r="AJ2732" s="42"/>
      <c r="AK2732" s="74"/>
      <c r="AL2732" s="77"/>
      <c r="AN2732" s="497">
        <v>39.92</v>
      </c>
      <c r="AP2732" s="42"/>
      <c r="AQ2732" s="74"/>
      <c r="AR2732" s="77"/>
      <c r="AT2732" s="497">
        <v>46.94</v>
      </c>
      <c r="AV2732" s="42"/>
      <c r="AW2732" s="74"/>
      <c r="AX2732" s="77"/>
      <c r="BA2732" s="497">
        <v>60.980000000000004</v>
      </c>
      <c r="BB2732" s="42"/>
      <c r="BC2732" s="74"/>
      <c r="BD2732" s="77"/>
      <c r="BF2732">
        <v>37.94</v>
      </c>
      <c r="BH2732" s="42"/>
      <c r="BI2732" s="74"/>
      <c r="BJ2732" s="77"/>
      <c r="BL2732" s="497">
        <v>33.979999999999997</v>
      </c>
      <c r="BN2732" s="42"/>
      <c r="BO2732" s="74"/>
      <c r="BP2732" s="77"/>
      <c r="BR2732" s="497">
        <v>46.04</v>
      </c>
      <c r="BT2732" s="42"/>
    </row>
    <row r="2733" spans="1:72" x14ac:dyDescent="0.25">
      <c r="A2733" s="90">
        <v>33352</v>
      </c>
      <c r="B2733" s="20">
        <v>0.125</v>
      </c>
      <c r="D2733">
        <v>53.06</v>
      </c>
      <c r="E2733" t="str">
        <f t="shared" si="120"/>
        <v>WEEKDAY</v>
      </c>
      <c r="F2733" t="e">
        <f t="shared" si="121"/>
        <v>#N/A</v>
      </c>
      <c r="G2733" s="74">
        <v>32987</v>
      </c>
      <c r="H2733" s="77">
        <v>0.125</v>
      </c>
      <c r="J2733">
        <v>50</v>
      </c>
      <c r="M2733" s="74">
        <v>33352</v>
      </c>
      <c r="N2733" s="77">
        <v>0.125</v>
      </c>
      <c r="P2733">
        <v>41</v>
      </c>
      <c r="S2733" s="74">
        <v>33352</v>
      </c>
      <c r="T2733" s="77">
        <v>0.125</v>
      </c>
      <c r="V2733">
        <v>46.04</v>
      </c>
      <c r="X2733" s="42"/>
      <c r="AB2733">
        <v>49.5</v>
      </c>
      <c r="AC2733">
        <v>46.94</v>
      </c>
      <c r="AE2733" s="74"/>
      <c r="AF2733" s="77"/>
      <c r="AH2733" s="497">
        <v>39.019999999999996</v>
      </c>
      <c r="AJ2733" s="42"/>
      <c r="AK2733" s="74"/>
      <c r="AL2733" s="77"/>
      <c r="AN2733" s="497">
        <v>39.019999999999996</v>
      </c>
      <c r="AP2733" s="42"/>
      <c r="AQ2733" s="74"/>
      <c r="AR2733" s="77"/>
      <c r="AT2733" s="497">
        <v>44.96</v>
      </c>
      <c r="AV2733" s="42"/>
      <c r="AW2733" s="74"/>
      <c r="AX2733" s="77"/>
      <c r="BA2733" s="497">
        <v>59</v>
      </c>
      <c r="BB2733" s="42"/>
      <c r="BC2733" s="74"/>
      <c r="BD2733" s="77"/>
      <c r="BF2733">
        <v>37.04</v>
      </c>
      <c r="BH2733" s="42"/>
      <c r="BI2733" s="74"/>
      <c r="BJ2733" s="77"/>
      <c r="BL2733" s="497">
        <v>33.08</v>
      </c>
      <c r="BN2733" s="42"/>
      <c r="BO2733" s="74"/>
      <c r="BP2733" s="77"/>
      <c r="BR2733" s="497">
        <v>42.980000000000004</v>
      </c>
      <c r="BT2733" s="42"/>
    </row>
    <row r="2734" spans="1:72" x14ac:dyDescent="0.25">
      <c r="A2734" s="90">
        <v>33352</v>
      </c>
      <c r="B2734" s="20">
        <v>0.16666666666666666</v>
      </c>
      <c r="D2734">
        <v>51.980000000000004</v>
      </c>
      <c r="E2734" t="str">
        <f t="shared" si="120"/>
        <v>WEEKDAY</v>
      </c>
      <c r="F2734" t="e">
        <f t="shared" si="121"/>
        <v>#N/A</v>
      </c>
      <c r="G2734" s="74">
        <v>32987</v>
      </c>
      <c r="H2734" s="77">
        <v>0.16666666666666666</v>
      </c>
      <c r="J2734">
        <v>48.92</v>
      </c>
      <c r="M2734" s="74">
        <v>33352</v>
      </c>
      <c r="N2734" s="77">
        <v>0.16666666666666666</v>
      </c>
      <c r="P2734">
        <v>41</v>
      </c>
      <c r="S2734" s="74">
        <v>33352</v>
      </c>
      <c r="T2734" s="77">
        <v>0.16666666666666666</v>
      </c>
      <c r="V2734">
        <v>46.94</v>
      </c>
      <c r="X2734" s="42"/>
      <c r="AB2734">
        <v>49</v>
      </c>
      <c r="AC2734">
        <v>42.08</v>
      </c>
      <c r="AE2734" s="74"/>
      <c r="AF2734" s="77"/>
      <c r="AH2734" s="497">
        <v>39.019999999999996</v>
      </c>
      <c r="AJ2734" s="42"/>
      <c r="AK2734" s="74"/>
      <c r="AL2734" s="77"/>
      <c r="AN2734" s="497">
        <v>39.019999999999996</v>
      </c>
      <c r="AP2734" s="42"/>
      <c r="AQ2734" s="74"/>
      <c r="AR2734" s="77"/>
      <c r="AT2734" s="497">
        <v>46.04</v>
      </c>
      <c r="AV2734" s="42"/>
      <c r="AW2734" s="74"/>
      <c r="AX2734" s="77"/>
      <c r="BA2734" s="497">
        <v>57.019999999999996</v>
      </c>
      <c r="BB2734" s="42"/>
      <c r="BC2734" s="74"/>
      <c r="BD2734" s="77"/>
      <c r="BF2734">
        <v>33.979999999999997</v>
      </c>
      <c r="BH2734" s="42"/>
      <c r="BI2734" s="74"/>
      <c r="BJ2734" s="77"/>
      <c r="BL2734" s="497">
        <v>30.92</v>
      </c>
      <c r="BN2734" s="42"/>
      <c r="BO2734" s="74"/>
      <c r="BP2734" s="77"/>
      <c r="BR2734" s="497">
        <v>42.980000000000004</v>
      </c>
      <c r="BT2734" s="42"/>
    </row>
    <row r="2735" spans="1:72" x14ac:dyDescent="0.25">
      <c r="A2735" s="90">
        <v>33352</v>
      </c>
      <c r="B2735" s="20">
        <v>0.20833333333333334</v>
      </c>
      <c r="D2735">
        <v>51.08</v>
      </c>
      <c r="E2735" t="str">
        <f t="shared" si="120"/>
        <v>WEEKDAY</v>
      </c>
      <c r="F2735" t="e">
        <f t="shared" si="121"/>
        <v>#N/A</v>
      </c>
      <c r="G2735" s="74">
        <v>32987</v>
      </c>
      <c r="H2735" s="77">
        <v>0.20833333333333334</v>
      </c>
      <c r="J2735">
        <v>48.92</v>
      </c>
      <c r="M2735" s="74">
        <v>33352</v>
      </c>
      <c r="N2735" s="77">
        <v>0.20833333333333334</v>
      </c>
      <c r="P2735">
        <v>41</v>
      </c>
      <c r="S2735" s="74">
        <v>33352</v>
      </c>
      <c r="T2735" s="77">
        <v>0.20833333333333334</v>
      </c>
      <c r="V2735">
        <v>46.04</v>
      </c>
      <c r="X2735" s="42"/>
      <c r="AB2735">
        <v>48.6</v>
      </c>
      <c r="AC2735">
        <v>39.92</v>
      </c>
      <c r="AE2735" s="74"/>
      <c r="AF2735" s="77"/>
      <c r="AH2735" s="497">
        <v>37.04</v>
      </c>
      <c r="AJ2735" s="42"/>
      <c r="AK2735" s="74"/>
      <c r="AL2735" s="77"/>
      <c r="AN2735" s="497">
        <v>37.94</v>
      </c>
      <c r="AP2735" s="42"/>
      <c r="AQ2735" s="74"/>
      <c r="AR2735" s="77"/>
      <c r="AT2735" s="497">
        <v>44.96</v>
      </c>
      <c r="AV2735" s="42"/>
      <c r="AW2735" s="74"/>
      <c r="AX2735" s="77"/>
      <c r="BA2735" s="497">
        <v>53.96</v>
      </c>
      <c r="BB2735" s="42"/>
      <c r="BC2735" s="74"/>
      <c r="BD2735" s="77"/>
      <c r="BF2735">
        <v>33.08</v>
      </c>
      <c r="BH2735" s="42"/>
      <c r="BI2735" s="74"/>
      <c r="BJ2735" s="77"/>
      <c r="BL2735" s="497">
        <v>30.92</v>
      </c>
      <c r="BN2735" s="42"/>
      <c r="BO2735" s="74"/>
      <c r="BP2735" s="77"/>
      <c r="BR2735" s="497">
        <v>41</v>
      </c>
      <c r="BT2735" s="42"/>
    </row>
    <row r="2736" spans="1:72" x14ac:dyDescent="0.25">
      <c r="A2736" s="90">
        <v>33352</v>
      </c>
      <c r="B2736" s="20">
        <v>0.25</v>
      </c>
      <c r="D2736">
        <v>51.08</v>
      </c>
      <c r="E2736" t="str">
        <f t="shared" si="120"/>
        <v>WEEKDAY</v>
      </c>
      <c r="F2736" t="e">
        <f t="shared" si="121"/>
        <v>#N/A</v>
      </c>
      <c r="G2736" s="74">
        <v>32987</v>
      </c>
      <c r="H2736" s="77">
        <v>0.25</v>
      </c>
      <c r="J2736">
        <v>48.92</v>
      </c>
      <c r="M2736" s="74">
        <v>33352</v>
      </c>
      <c r="N2736" s="77">
        <v>0.25</v>
      </c>
      <c r="P2736">
        <v>42.980000000000004</v>
      </c>
      <c r="S2736" s="74">
        <v>33352</v>
      </c>
      <c r="T2736" s="77">
        <v>0.25</v>
      </c>
      <c r="V2736">
        <v>48.019999999999996</v>
      </c>
      <c r="X2736" s="42"/>
      <c r="AB2736">
        <v>48.3</v>
      </c>
      <c r="AC2736">
        <v>46.04</v>
      </c>
      <c r="AE2736" s="74"/>
      <c r="AF2736" s="77"/>
      <c r="AH2736" s="497">
        <v>41</v>
      </c>
      <c r="AJ2736" s="42"/>
      <c r="AK2736" s="74"/>
      <c r="AL2736" s="77"/>
      <c r="AN2736" s="497">
        <v>37.94</v>
      </c>
      <c r="AP2736" s="42"/>
      <c r="AQ2736" s="74"/>
      <c r="AR2736" s="77"/>
      <c r="AT2736" s="497">
        <v>46.04</v>
      </c>
      <c r="AV2736" s="42"/>
      <c r="AW2736" s="74"/>
      <c r="AX2736" s="77"/>
      <c r="BA2736" s="497">
        <v>53.96</v>
      </c>
      <c r="BB2736" s="42"/>
      <c r="BC2736" s="74"/>
      <c r="BD2736" s="77"/>
      <c r="BF2736">
        <v>33.979999999999997</v>
      </c>
      <c r="BH2736" s="42"/>
      <c r="BI2736" s="74"/>
      <c r="BJ2736" s="77"/>
      <c r="BL2736" s="497">
        <v>32</v>
      </c>
      <c r="BN2736" s="42"/>
      <c r="BO2736" s="74"/>
      <c r="BP2736" s="77"/>
      <c r="BR2736" s="497">
        <v>42.08</v>
      </c>
      <c r="BT2736" s="42"/>
    </row>
    <row r="2737" spans="1:72" x14ac:dyDescent="0.25">
      <c r="A2737" s="90">
        <v>33352</v>
      </c>
      <c r="B2737" s="20">
        <v>0.29166666666666669</v>
      </c>
      <c r="D2737">
        <v>53.96</v>
      </c>
      <c r="E2737" t="str">
        <f t="shared" si="120"/>
        <v>WEEKDAY</v>
      </c>
      <c r="F2737" t="e">
        <f t="shared" si="121"/>
        <v>#N/A</v>
      </c>
      <c r="G2737" s="74">
        <v>32987</v>
      </c>
      <c r="H2737" s="77">
        <v>0.29166666666666669</v>
      </c>
      <c r="J2737">
        <v>50</v>
      </c>
      <c r="M2737" s="74">
        <v>33352</v>
      </c>
      <c r="N2737" s="77">
        <v>0.29166666666666669</v>
      </c>
      <c r="P2737">
        <v>46.94</v>
      </c>
      <c r="S2737" s="74">
        <v>33352</v>
      </c>
      <c r="T2737" s="77">
        <v>0.29166666666666669</v>
      </c>
      <c r="V2737">
        <v>48.92</v>
      </c>
      <c r="X2737" s="42"/>
      <c r="AB2737">
        <v>48.9</v>
      </c>
      <c r="AC2737">
        <v>51.08</v>
      </c>
      <c r="AE2737" s="74"/>
      <c r="AF2737" s="77"/>
      <c r="AH2737" s="497">
        <v>44.06</v>
      </c>
      <c r="AJ2737" s="42"/>
      <c r="AK2737" s="74"/>
      <c r="AL2737" s="77"/>
      <c r="AN2737" s="497">
        <v>39.92</v>
      </c>
      <c r="AP2737" s="42"/>
      <c r="AQ2737" s="74"/>
      <c r="AR2737" s="77"/>
      <c r="AT2737" s="497">
        <v>51.08</v>
      </c>
      <c r="AV2737" s="42"/>
      <c r="AW2737" s="74"/>
      <c r="AX2737" s="77"/>
      <c r="BA2737" s="497">
        <v>55.94</v>
      </c>
      <c r="BB2737" s="42"/>
      <c r="BC2737" s="74"/>
      <c r="BD2737" s="77"/>
      <c r="BF2737">
        <v>37.04</v>
      </c>
      <c r="BH2737" s="42"/>
      <c r="BI2737" s="74"/>
      <c r="BJ2737" s="77"/>
      <c r="BL2737" s="497">
        <v>37.04</v>
      </c>
      <c r="BN2737" s="42"/>
      <c r="BO2737" s="74"/>
      <c r="BP2737" s="77"/>
      <c r="BR2737" s="497">
        <v>44.06</v>
      </c>
      <c r="BT2737" s="42"/>
    </row>
    <row r="2738" spans="1:72" x14ac:dyDescent="0.25">
      <c r="A2738" s="90">
        <v>33352</v>
      </c>
      <c r="B2738" s="20">
        <v>0.33333333333333331</v>
      </c>
      <c r="D2738">
        <v>57.019999999999996</v>
      </c>
      <c r="E2738" t="str">
        <f t="shared" si="120"/>
        <v>WEEKDAY</v>
      </c>
      <c r="F2738" t="e">
        <f t="shared" si="121"/>
        <v>#N/A</v>
      </c>
      <c r="G2738" s="74">
        <v>32987</v>
      </c>
      <c r="H2738" s="77">
        <v>0.33333333333333331</v>
      </c>
      <c r="J2738">
        <v>51.980000000000004</v>
      </c>
      <c r="M2738" s="74">
        <v>33352</v>
      </c>
      <c r="N2738" s="77">
        <v>0.33333333333333331</v>
      </c>
      <c r="P2738">
        <v>48.019999999999996</v>
      </c>
      <c r="S2738" s="74">
        <v>33352</v>
      </c>
      <c r="T2738" s="77">
        <v>0.33333333333333331</v>
      </c>
      <c r="V2738">
        <v>51.08</v>
      </c>
      <c r="X2738" s="42"/>
      <c r="AB2738">
        <v>51</v>
      </c>
      <c r="AC2738">
        <v>53.06</v>
      </c>
      <c r="AE2738" s="74"/>
      <c r="AF2738" s="77"/>
      <c r="AH2738" s="497">
        <v>48.019999999999996</v>
      </c>
      <c r="AJ2738" s="42"/>
      <c r="AK2738" s="74"/>
      <c r="AL2738" s="77"/>
      <c r="AN2738" s="497">
        <v>44.06</v>
      </c>
      <c r="AP2738" s="42"/>
      <c r="AQ2738" s="74"/>
      <c r="AR2738" s="77"/>
      <c r="AT2738" s="497">
        <v>55.040000000000006</v>
      </c>
      <c r="AV2738" s="42"/>
      <c r="AW2738" s="74"/>
      <c r="AX2738" s="77"/>
      <c r="BA2738" s="497">
        <v>59</v>
      </c>
      <c r="BB2738" s="42"/>
      <c r="BC2738" s="74"/>
      <c r="BD2738" s="77"/>
      <c r="BF2738">
        <v>41</v>
      </c>
      <c r="BH2738" s="42"/>
      <c r="BI2738" s="74"/>
      <c r="BJ2738" s="77"/>
      <c r="BL2738" s="497">
        <v>42.08</v>
      </c>
      <c r="BN2738" s="42"/>
      <c r="BO2738" s="74"/>
      <c r="BP2738" s="77"/>
      <c r="BR2738" s="497">
        <v>44.96</v>
      </c>
      <c r="BT2738" s="42"/>
    </row>
    <row r="2739" spans="1:72" x14ac:dyDescent="0.25">
      <c r="A2739" s="90">
        <v>33352</v>
      </c>
      <c r="B2739" s="20">
        <v>0.375</v>
      </c>
      <c r="D2739">
        <v>62.06</v>
      </c>
      <c r="E2739" t="str">
        <f t="shared" si="120"/>
        <v>WEEKDAY</v>
      </c>
      <c r="F2739" t="e">
        <f t="shared" si="121"/>
        <v>#N/A</v>
      </c>
      <c r="G2739" s="74">
        <v>32987</v>
      </c>
      <c r="H2739" s="77">
        <v>0.375</v>
      </c>
      <c r="J2739">
        <v>53.96</v>
      </c>
      <c r="M2739" s="74">
        <v>33352</v>
      </c>
      <c r="N2739" s="77">
        <v>0.375</v>
      </c>
      <c r="P2739">
        <v>50</v>
      </c>
      <c r="S2739" s="74">
        <v>33352</v>
      </c>
      <c r="T2739" s="77">
        <v>0.375</v>
      </c>
      <c r="V2739">
        <v>55.040000000000006</v>
      </c>
      <c r="X2739" s="42"/>
      <c r="AB2739">
        <v>53</v>
      </c>
      <c r="AC2739">
        <v>55.040000000000006</v>
      </c>
      <c r="AE2739" s="74"/>
      <c r="AF2739" s="77"/>
      <c r="AH2739" s="497">
        <v>53.06</v>
      </c>
      <c r="AJ2739" s="42"/>
      <c r="AK2739" s="74"/>
      <c r="AL2739" s="77"/>
      <c r="AN2739" s="497">
        <v>48.019999999999996</v>
      </c>
      <c r="AP2739" s="42"/>
      <c r="AQ2739" s="74"/>
      <c r="AR2739" s="77"/>
      <c r="AT2739" s="497">
        <v>62.06</v>
      </c>
      <c r="AV2739" s="42"/>
      <c r="AW2739" s="74"/>
      <c r="AX2739" s="77"/>
      <c r="BA2739" s="497">
        <v>62.06</v>
      </c>
      <c r="BB2739" s="42"/>
      <c r="BC2739" s="74"/>
      <c r="BD2739" s="77"/>
      <c r="BF2739">
        <v>42.980000000000004</v>
      </c>
      <c r="BH2739" s="42"/>
      <c r="BI2739" s="74"/>
      <c r="BJ2739" s="77"/>
      <c r="BL2739" s="497">
        <v>46.94</v>
      </c>
      <c r="BN2739" s="42"/>
      <c r="BO2739" s="74"/>
      <c r="BP2739" s="77"/>
      <c r="BR2739" s="497">
        <v>46.94</v>
      </c>
      <c r="BT2739" s="42"/>
    </row>
    <row r="2740" spans="1:72" x14ac:dyDescent="0.25">
      <c r="A2740" s="90">
        <v>33352</v>
      </c>
      <c r="B2740" s="20">
        <v>0.41666666666666669</v>
      </c>
      <c r="D2740">
        <v>66.02</v>
      </c>
      <c r="E2740" t="str">
        <f t="shared" si="120"/>
        <v>WEEKDAY</v>
      </c>
      <c r="F2740" t="e">
        <f t="shared" si="121"/>
        <v>#N/A</v>
      </c>
      <c r="G2740" s="74">
        <v>32987</v>
      </c>
      <c r="H2740" s="77">
        <v>0.41666666666666669</v>
      </c>
      <c r="J2740">
        <v>55.040000000000006</v>
      </c>
      <c r="M2740" s="74">
        <v>33352</v>
      </c>
      <c r="N2740" s="77">
        <v>0.41666666666666669</v>
      </c>
      <c r="P2740">
        <v>55.94</v>
      </c>
      <c r="S2740" s="74">
        <v>33352</v>
      </c>
      <c r="T2740" s="77">
        <v>0.41666666666666669</v>
      </c>
      <c r="V2740">
        <v>55.94</v>
      </c>
      <c r="X2740" s="42"/>
      <c r="AB2740">
        <v>54.8</v>
      </c>
      <c r="AC2740">
        <v>57.92</v>
      </c>
      <c r="AE2740" s="74"/>
      <c r="AF2740" s="77"/>
      <c r="AH2740" s="497">
        <v>60.08</v>
      </c>
      <c r="AJ2740" s="42"/>
      <c r="AK2740" s="74"/>
      <c r="AL2740" s="77"/>
      <c r="AN2740" s="497">
        <v>53.06</v>
      </c>
      <c r="AP2740" s="42"/>
      <c r="AQ2740" s="74"/>
      <c r="AR2740" s="77"/>
      <c r="AT2740" s="497">
        <v>68</v>
      </c>
      <c r="AV2740" s="42"/>
      <c r="AW2740" s="74"/>
      <c r="AX2740" s="77"/>
      <c r="BA2740" s="497">
        <v>64.039999999999992</v>
      </c>
      <c r="BB2740" s="42"/>
      <c r="BC2740" s="74"/>
      <c r="BD2740" s="77"/>
      <c r="BF2740">
        <v>44.96</v>
      </c>
      <c r="BH2740" s="42"/>
      <c r="BI2740" s="74"/>
      <c r="BJ2740" s="77"/>
      <c r="BL2740" s="497">
        <v>48.92</v>
      </c>
      <c r="BN2740" s="42"/>
      <c r="BO2740" s="74"/>
      <c r="BP2740" s="77"/>
      <c r="BR2740" s="497">
        <v>48.92</v>
      </c>
      <c r="BT2740" s="42"/>
    </row>
    <row r="2741" spans="1:72" x14ac:dyDescent="0.25">
      <c r="A2741" s="90">
        <v>33352</v>
      </c>
      <c r="B2741" s="20">
        <v>0.45833333333333331</v>
      </c>
      <c r="D2741">
        <v>69.98</v>
      </c>
      <c r="E2741" t="str">
        <f t="shared" si="120"/>
        <v>WEEKDAY</v>
      </c>
      <c r="F2741" t="e">
        <f t="shared" si="121"/>
        <v>#N/A</v>
      </c>
      <c r="G2741" s="74">
        <v>32987</v>
      </c>
      <c r="H2741" s="77">
        <v>0.45833333333333331</v>
      </c>
      <c r="J2741">
        <v>59</v>
      </c>
      <c r="M2741" s="74">
        <v>33352</v>
      </c>
      <c r="N2741" s="77">
        <v>0.45833333333333331</v>
      </c>
      <c r="P2741">
        <v>60.08</v>
      </c>
      <c r="S2741" s="74">
        <v>33352</v>
      </c>
      <c r="T2741" s="77">
        <v>0.45833333333333331</v>
      </c>
      <c r="V2741">
        <v>53.96</v>
      </c>
      <c r="X2741" s="42"/>
      <c r="AB2741">
        <v>56.4</v>
      </c>
      <c r="AC2741">
        <v>60.980000000000004</v>
      </c>
      <c r="AE2741" s="74"/>
      <c r="AF2741" s="77"/>
      <c r="AH2741" s="497">
        <v>62.06</v>
      </c>
      <c r="AJ2741" s="42"/>
      <c r="AK2741" s="74"/>
      <c r="AL2741" s="77"/>
      <c r="AN2741" s="497">
        <v>55.040000000000006</v>
      </c>
      <c r="AP2741" s="42"/>
      <c r="AQ2741" s="74"/>
      <c r="AR2741" s="77"/>
      <c r="AT2741" s="497">
        <v>71.06</v>
      </c>
      <c r="AV2741" s="42"/>
      <c r="AW2741" s="74"/>
      <c r="AX2741" s="77"/>
      <c r="BA2741" s="497">
        <v>66.02</v>
      </c>
      <c r="BB2741" s="42"/>
      <c r="BC2741" s="74"/>
      <c r="BD2741" s="77"/>
      <c r="BF2741">
        <v>50</v>
      </c>
      <c r="BH2741" s="42"/>
      <c r="BI2741" s="74"/>
      <c r="BJ2741" s="77"/>
      <c r="BL2741" s="497">
        <v>53.06</v>
      </c>
      <c r="BN2741" s="42"/>
      <c r="BO2741" s="74"/>
      <c r="BP2741" s="77"/>
      <c r="BR2741" s="497">
        <v>53.96</v>
      </c>
      <c r="BT2741" s="42"/>
    </row>
    <row r="2742" spans="1:72" x14ac:dyDescent="0.25">
      <c r="A2742" s="90">
        <v>33352</v>
      </c>
      <c r="B2742" s="20">
        <v>0.5</v>
      </c>
      <c r="D2742">
        <v>73.94</v>
      </c>
      <c r="E2742" t="str">
        <f t="shared" si="120"/>
        <v>WEEKDAY</v>
      </c>
      <c r="F2742" t="e">
        <f t="shared" si="121"/>
        <v>#N/A</v>
      </c>
      <c r="G2742" s="74">
        <v>32987</v>
      </c>
      <c r="H2742" s="77">
        <v>0.5</v>
      </c>
      <c r="J2742">
        <v>62.06</v>
      </c>
      <c r="M2742" s="74">
        <v>33352</v>
      </c>
      <c r="N2742" s="77">
        <v>0.5</v>
      </c>
      <c r="P2742">
        <v>60.980000000000004</v>
      </c>
      <c r="S2742" s="74">
        <v>33352</v>
      </c>
      <c r="T2742" s="77">
        <v>0.5</v>
      </c>
      <c r="V2742">
        <v>53.96</v>
      </c>
      <c r="X2742" s="42"/>
      <c r="AB2742">
        <v>57.7</v>
      </c>
      <c r="AC2742">
        <v>60.980000000000004</v>
      </c>
      <c r="AE2742" s="74"/>
      <c r="AF2742" s="77"/>
      <c r="AH2742" s="497">
        <v>64.94</v>
      </c>
      <c r="AJ2742" s="42"/>
      <c r="AK2742" s="74"/>
      <c r="AL2742" s="77"/>
      <c r="AN2742" s="497">
        <v>60.08</v>
      </c>
      <c r="AP2742" s="42"/>
      <c r="AQ2742" s="74"/>
      <c r="AR2742" s="77"/>
      <c r="AT2742" s="497">
        <v>73.039999999999992</v>
      </c>
      <c r="AV2742" s="42"/>
      <c r="AW2742" s="74"/>
      <c r="AX2742" s="77"/>
      <c r="BA2742" s="497">
        <v>68</v>
      </c>
      <c r="BB2742" s="42"/>
      <c r="BC2742" s="74"/>
      <c r="BD2742" s="77"/>
      <c r="BF2742">
        <v>51.08</v>
      </c>
      <c r="BH2742" s="42"/>
      <c r="BI2742" s="74"/>
      <c r="BJ2742" s="77"/>
      <c r="BL2742" s="497">
        <v>53.96</v>
      </c>
      <c r="BN2742" s="42"/>
      <c r="BO2742" s="74"/>
      <c r="BP2742" s="77"/>
      <c r="BR2742" s="497">
        <v>57.019999999999996</v>
      </c>
      <c r="BT2742" s="42"/>
    </row>
    <row r="2743" spans="1:72" x14ac:dyDescent="0.25">
      <c r="A2743" s="90">
        <v>33352</v>
      </c>
      <c r="B2743" s="20">
        <v>0.54166666666666663</v>
      </c>
      <c r="D2743">
        <v>75.02</v>
      </c>
      <c r="E2743" t="str">
        <f t="shared" si="120"/>
        <v>WEEKDAY</v>
      </c>
      <c r="F2743" t="e">
        <f t="shared" si="121"/>
        <v>#N/A</v>
      </c>
      <c r="G2743" s="74">
        <v>32987</v>
      </c>
      <c r="H2743" s="77">
        <v>0.54166666666666663</v>
      </c>
      <c r="J2743">
        <v>62.06</v>
      </c>
      <c r="M2743" s="74">
        <v>33352</v>
      </c>
      <c r="N2743" s="77">
        <v>0.54166666666666663</v>
      </c>
      <c r="P2743">
        <v>60.08</v>
      </c>
      <c r="S2743" s="74">
        <v>33352</v>
      </c>
      <c r="T2743" s="77">
        <v>0.54166666666666663</v>
      </c>
      <c r="V2743">
        <v>51.980000000000004</v>
      </c>
      <c r="X2743" s="42"/>
      <c r="AB2743">
        <v>58.6</v>
      </c>
      <c r="AC2743">
        <v>60.980000000000004</v>
      </c>
      <c r="AE2743" s="74"/>
      <c r="AF2743" s="77"/>
      <c r="AH2743" s="497">
        <v>64.039999999999992</v>
      </c>
      <c r="AJ2743" s="42"/>
      <c r="AK2743" s="74"/>
      <c r="AL2743" s="77"/>
      <c r="AN2743" s="497">
        <v>60.08</v>
      </c>
      <c r="AP2743" s="42"/>
      <c r="AQ2743" s="74"/>
      <c r="AR2743" s="77"/>
      <c r="AT2743" s="497">
        <v>75.02</v>
      </c>
      <c r="AV2743" s="42"/>
      <c r="AW2743" s="74"/>
      <c r="AX2743" s="77"/>
      <c r="BA2743" s="497">
        <v>69.98</v>
      </c>
      <c r="BB2743" s="42"/>
      <c r="BC2743" s="74"/>
      <c r="BD2743" s="77"/>
      <c r="BF2743">
        <v>51.980000000000004</v>
      </c>
      <c r="BH2743" s="42"/>
      <c r="BI2743" s="74"/>
      <c r="BJ2743" s="77"/>
      <c r="BL2743" s="497">
        <v>55.94</v>
      </c>
      <c r="BN2743" s="42"/>
      <c r="BO2743" s="74"/>
      <c r="BP2743" s="77"/>
      <c r="BR2743" s="497">
        <v>60.08</v>
      </c>
      <c r="BT2743" s="42"/>
    </row>
    <row r="2744" spans="1:72" x14ac:dyDescent="0.25">
      <c r="A2744" s="90">
        <v>33352</v>
      </c>
      <c r="B2744" s="20">
        <v>0.58333333333333337</v>
      </c>
      <c r="D2744">
        <v>77</v>
      </c>
      <c r="E2744" t="str">
        <f t="shared" si="120"/>
        <v>WEEKDAY</v>
      </c>
      <c r="F2744" t="e">
        <f t="shared" si="121"/>
        <v>#N/A</v>
      </c>
      <c r="G2744" s="74">
        <v>32987</v>
      </c>
      <c r="H2744" s="77">
        <v>0.58333333333333337</v>
      </c>
      <c r="J2744">
        <v>62.06</v>
      </c>
      <c r="M2744" s="74">
        <v>33352</v>
      </c>
      <c r="N2744" s="77">
        <v>0.58333333333333337</v>
      </c>
      <c r="P2744">
        <v>51.08</v>
      </c>
      <c r="S2744" s="74">
        <v>33352</v>
      </c>
      <c r="T2744" s="77">
        <v>0.58333333333333337</v>
      </c>
      <c r="V2744">
        <v>53.06</v>
      </c>
      <c r="X2744" s="42"/>
      <c r="AB2744">
        <v>59</v>
      </c>
      <c r="AC2744">
        <v>59</v>
      </c>
      <c r="AE2744" s="74"/>
      <c r="AF2744" s="77"/>
      <c r="AH2744" s="497">
        <v>57.019999999999996</v>
      </c>
      <c r="AJ2744" s="42"/>
      <c r="AK2744" s="74"/>
      <c r="AL2744" s="77"/>
      <c r="AN2744" s="497">
        <v>60.980000000000004</v>
      </c>
      <c r="AP2744" s="42"/>
      <c r="AQ2744" s="74"/>
      <c r="AR2744" s="77"/>
      <c r="AT2744" s="497">
        <v>77</v>
      </c>
      <c r="AV2744" s="42"/>
      <c r="AW2744" s="74"/>
      <c r="AX2744" s="77"/>
      <c r="BA2744" s="497">
        <v>71.960000000000008</v>
      </c>
      <c r="BB2744" s="42"/>
      <c r="BC2744" s="74"/>
      <c r="BD2744" s="77"/>
      <c r="BF2744">
        <v>55.040000000000006</v>
      </c>
      <c r="BH2744" s="42"/>
      <c r="BI2744" s="74"/>
      <c r="BJ2744" s="77"/>
      <c r="BL2744" s="497">
        <v>59</v>
      </c>
      <c r="BN2744" s="42"/>
      <c r="BO2744" s="74"/>
      <c r="BP2744" s="77"/>
      <c r="BR2744" s="497">
        <v>64.94</v>
      </c>
      <c r="BT2744" s="42"/>
    </row>
    <row r="2745" spans="1:72" x14ac:dyDescent="0.25">
      <c r="A2745" s="90">
        <v>33352</v>
      </c>
      <c r="B2745" s="20">
        <v>0.625</v>
      </c>
      <c r="D2745">
        <v>78.98</v>
      </c>
      <c r="E2745" t="str">
        <f t="shared" si="120"/>
        <v>WEEKDAY</v>
      </c>
      <c r="F2745" t="e">
        <f t="shared" si="121"/>
        <v>#N/A</v>
      </c>
      <c r="G2745" s="74">
        <v>32987</v>
      </c>
      <c r="H2745" s="77">
        <v>0.625</v>
      </c>
      <c r="J2745">
        <v>59</v>
      </c>
      <c r="M2745" s="74">
        <v>33352</v>
      </c>
      <c r="N2745" s="77">
        <v>0.625</v>
      </c>
      <c r="P2745">
        <v>51.08</v>
      </c>
      <c r="S2745" s="74">
        <v>33352</v>
      </c>
      <c r="T2745" s="77">
        <v>0.625</v>
      </c>
      <c r="V2745">
        <v>55.94</v>
      </c>
      <c r="X2745" s="42"/>
      <c r="AB2745">
        <v>59</v>
      </c>
      <c r="AC2745">
        <v>53.96</v>
      </c>
      <c r="AE2745" s="74"/>
      <c r="AF2745" s="77"/>
      <c r="AH2745" s="497">
        <v>53.96</v>
      </c>
      <c r="AJ2745" s="42"/>
      <c r="AK2745" s="74"/>
      <c r="AL2745" s="77"/>
      <c r="AN2745" s="497">
        <v>62.96</v>
      </c>
      <c r="AP2745" s="42"/>
      <c r="AQ2745" s="74"/>
      <c r="AR2745" s="77"/>
      <c r="AT2745" s="497">
        <v>77</v>
      </c>
      <c r="AV2745" s="42"/>
      <c r="AW2745" s="74"/>
      <c r="AX2745" s="77"/>
      <c r="BA2745" s="497">
        <v>73.039999999999992</v>
      </c>
      <c r="BB2745" s="42"/>
      <c r="BC2745" s="74"/>
      <c r="BD2745" s="77"/>
      <c r="BF2745">
        <v>55.94</v>
      </c>
      <c r="BH2745" s="42"/>
      <c r="BI2745" s="74"/>
      <c r="BJ2745" s="77"/>
      <c r="BL2745" s="497">
        <v>57.92</v>
      </c>
      <c r="BN2745" s="42"/>
      <c r="BO2745" s="74"/>
      <c r="BP2745" s="77"/>
      <c r="BR2745" s="497">
        <v>66.92</v>
      </c>
      <c r="BT2745" s="42"/>
    </row>
    <row r="2746" spans="1:72" x14ac:dyDescent="0.25">
      <c r="A2746" s="90">
        <v>33352</v>
      </c>
      <c r="B2746" s="20">
        <v>0.66666666666666663</v>
      </c>
      <c r="D2746">
        <v>78.98</v>
      </c>
      <c r="E2746" t="str">
        <f t="shared" si="120"/>
        <v>WEEKDAY</v>
      </c>
      <c r="F2746" t="e">
        <f t="shared" si="121"/>
        <v>#N/A</v>
      </c>
      <c r="G2746" s="74">
        <v>32987</v>
      </c>
      <c r="H2746" s="77">
        <v>0.66666666666666663</v>
      </c>
      <c r="J2746">
        <v>57.92</v>
      </c>
      <c r="M2746" s="74">
        <v>33352</v>
      </c>
      <c r="N2746" s="77">
        <v>0.66666666666666663</v>
      </c>
      <c r="P2746">
        <v>51.08</v>
      </c>
      <c r="S2746" s="74">
        <v>33352</v>
      </c>
      <c r="T2746" s="77">
        <v>0.66666666666666663</v>
      </c>
      <c r="V2746">
        <v>53.96</v>
      </c>
      <c r="X2746" s="42"/>
      <c r="AB2746">
        <v>58.5</v>
      </c>
      <c r="AC2746">
        <v>55.040000000000006</v>
      </c>
      <c r="AE2746" s="74"/>
      <c r="AF2746" s="77"/>
      <c r="AH2746" s="497">
        <v>53.06</v>
      </c>
      <c r="AJ2746" s="42"/>
      <c r="AK2746" s="74"/>
      <c r="AL2746" s="77"/>
      <c r="AN2746" s="497">
        <v>64.039999999999992</v>
      </c>
      <c r="AP2746" s="42"/>
      <c r="AQ2746" s="74"/>
      <c r="AR2746" s="77"/>
      <c r="AT2746" s="497">
        <v>75.92</v>
      </c>
      <c r="AV2746" s="42"/>
      <c r="AW2746" s="74"/>
      <c r="AX2746" s="77"/>
      <c r="BA2746" s="497">
        <v>71.960000000000008</v>
      </c>
      <c r="BB2746" s="42"/>
      <c r="BC2746" s="74"/>
      <c r="BD2746" s="77"/>
      <c r="BF2746">
        <v>55.94</v>
      </c>
      <c r="BH2746" s="42"/>
      <c r="BI2746" s="74"/>
      <c r="BJ2746" s="77"/>
      <c r="BL2746" s="497">
        <v>57.019999999999996</v>
      </c>
      <c r="BN2746" s="42"/>
      <c r="BO2746" s="74"/>
      <c r="BP2746" s="77"/>
      <c r="BR2746" s="497">
        <v>69.080000000000013</v>
      </c>
      <c r="BT2746" s="42"/>
    </row>
    <row r="2747" spans="1:72" x14ac:dyDescent="0.25">
      <c r="A2747" s="90">
        <v>33352</v>
      </c>
      <c r="B2747" s="20">
        <v>0.70833333333333337</v>
      </c>
      <c r="D2747">
        <v>80.06</v>
      </c>
      <c r="E2747" t="str">
        <f t="shared" si="120"/>
        <v>WEEKDAY</v>
      </c>
      <c r="F2747" t="e">
        <f t="shared" si="121"/>
        <v>#N/A</v>
      </c>
      <c r="G2747" s="74">
        <v>32987</v>
      </c>
      <c r="H2747" s="77">
        <v>0.70833333333333337</v>
      </c>
      <c r="J2747">
        <v>57.019999999999996</v>
      </c>
      <c r="M2747" s="74">
        <v>33352</v>
      </c>
      <c r="N2747" s="77">
        <v>0.70833333333333337</v>
      </c>
      <c r="P2747">
        <v>51.08</v>
      </c>
      <c r="S2747" s="74">
        <v>33352</v>
      </c>
      <c r="T2747" s="77">
        <v>0.70833333333333337</v>
      </c>
      <c r="V2747">
        <v>53.96</v>
      </c>
      <c r="X2747" s="42"/>
      <c r="AB2747">
        <v>57.7</v>
      </c>
      <c r="AC2747">
        <v>55.040000000000006</v>
      </c>
      <c r="AE2747" s="74"/>
      <c r="AF2747" s="77"/>
      <c r="AH2747" s="497">
        <v>53.06</v>
      </c>
      <c r="AJ2747" s="42"/>
      <c r="AK2747" s="74"/>
      <c r="AL2747" s="77"/>
      <c r="AN2747" s="497">
        <v>66.02</v>
      </c>
      <c r="AP2747" s="42"/>
      <c r="AQ2747" s="74"/>
      <c r="AR2747" s="77"/>
      <c r="AT2747" s="497">
        <v>77</v>
      </c>
      <c r="AV2747" s="42"/>
      <c r="AW2747" s="74"/>
      <c r="AX2747" s="77"/>
      <c r="BA2747" s="497">
        <v>69.98</v>
      </c>
      <c r="BB2747" s="42"/>
      <c r="BC2747" s="74"/>
      <c r="BD2747" s="77"/>
      <c r="BF2747">
        <v>53.06</v>
      </c>
      <c r="BH2747" s="42"/>
      <c r="BI2747" s="74"/>
      <c r="BJ2747" s="77"/>
      <c r="BL2747" s="497">
        <v>57.019999999999996</v>
      </c>
      <c r="BN2747" s="42"/>
      <c r="BO2747" s="74"/>
      <c r="BP2747" s="77"/>
      <c r="BR2747" s="497">
        <v>66.92</v>
      </c>
      <c r="BT2747" s="42"/>
    </row>
    <row r="2748" spans="1:72" x14ac:dyDescent="0.25">
      <c r="A2748" s="90">
        <v>33352</v>
      </c>
      <c r="B2748" s="20">
        <v>0.75</v>
      </c>
      <c r="D2748">
        <v>78.080000000000013</v>
      </c>
      <c r="E2748" t="str">
        <f t="shared" si="120"/>
        <v>WEEKDAY</v>
      </c>
      <c r="F2748" t="e">
        <f t="shared" si="121"/>
        <v>#N/A</v>
      </c>
      <c r="G2748" s="74">
        <v>32987</v>
      </c>
      <c r="H2748" s="77">
        <v>0.75</v>
      </c>
      <c r="J2748">
        <v>55.040000000000006</v>
      </c>
      <c r="M2748" s="74">
        <v>33352</v>
      </c>
      <c r="N2748" s="77">
        <v>0.75</v>
      </c>
      <c r="P2748">
        <v>51.08</v>
      </c>
      <c r="S2748" s="74">
        <v>33352</v>
      </c>
      <c r="T2748" s="77">
        <v>0.75</v>
      </c>
      <c r="V2748">
        <v>51.08</v>
      </c>
      <c r="X2748" s="42"/>
      <c r="AB2748">
        <v>56.5</v>
      </c>
      <c r="AC2748">
        <v>55.040000000000006</v>
      </c>
      <c r="AE2748" s="74"/>
      <c r="AF2748" s="77"/>
      <c r="AH2748" s="497">
        <v>53.06</v>
      </c>
      <c r="AJ2748" s="42"/>
      <c r="AK2748" s="74"/>
      <c r="AL2748" s="77"/>
      <c r="AN2748" s="497">
        <v>64.94</v>
      </c>
      <c r="AP2748" s="42"/>
      <c r="AQ2748" s="74"/>
      <c r="AR2748" s="77"/>
      <c r="AT2748" s="497">
        <v>75.92</v>
      </c>
      <c r="AV2748" s="42"/>
      <c r="AW2748" s="74"/>
      <c r="AX2748" s="77"/>
      <c r="BA2748" s="497">
        <v>64.94</v>
      </c>
      <c r="BB2748" s="42"/>
      <c r="BC2748" s="74"/>
      <c r="BD2748" s="77"/>
      <c r="BF2748">
        <v>53.06</v>
      </c>
      <c r="BH2748" s="42"/>
      <c r="BI2748" s="74"/>
      <c r="BJ2748" s="77"/>
      <c r="BL2748" s="497">
        <v>55.040000000000006</v>
      </c>
      <c r="BN2748" s="42"/>
      <c r="BO2748" s="74"/>
      <c r="BP2748" s="77"/>
      <c r="BR2748" s="497">
        <v>64.94</v>
      </c>
      <c r="BT2748" s="42"/>
    </row>
    <row r="2749" spans="1:72" x14ac:dyDescent="0.25">
      <c r="A2749" s="90">
        <v>33352</v>
      </c>
      <c r="B2749" s="20">
        <v>0.79166666666666663</v>
      </c>
      <c r="D2749">
        <v>75.02</v>
      </c>
      <c r="E2749" t="str">
        <f t="shared" si="120"/>
        <v>WEEKDAY</v>
      </c>
      <c r="F2749" t="e">
        <f t="shared" si="121"/>
        <v>#N/A</v>
      </c>
      <c r="G2749" s="74">
        <v>32987</v>
      </c>
      <c r="H2749" s="77">
        <v>0.79166666666666663</v>
      </c>
      <c r="J2749">
        <v>53.06</v>
      </c>
      <c r="M2749" s="74">
        <v>33352</v>
      </c>
      <c r="N2749" s="77">
        <v>0.79166666666666663</v>
      </c>
      <c r="P2749">
        <v>50</v>
      </c>
      <c r="S2749" s="74">
        <v>33352</v>
      </c>
      <c r="T2749" s="77">
        <v>0.79166666666666663</v>
      </c>
      <c r="V2749">
        <v>48.92</v>
      </c>
      <c r="X2749" s="42"/>
      <c r="AB2749">
        <v>55.1</v>
      </c>
      <c r="AC2749">
        <v>53.06</v>
      </c>
      <c r="AE2749" s="74"/>
      <c r="AF2749" s="77"/>
      <c r="AH2749" s="497">
        <v>53.06</v>
      </c>
      <c r="AJ2749" s="42"/>
      <c r="AK2749" s="74"/>
      <c r="AL2749" s="77"/>
      <c r="AN2749" s="497">
        <v>62.06</v>
      </c>
      <c r="AP2749" s="42"/>
      <c r="AQ2749" s="74"/>
      <c r="AR2749" s="77"/>
      <c r="AT2749" s="497">
        <v>73.039999999999992</v>
      </c>
      <c r="AV2749" s="42"/>
      <c r="AW2749" s="74"/>
      <c r="AX2749" s="77"/>
      <c r="BA2749" s="497">
        <v>62.06</v>
      </c>
      <c r="BB2749" s="42"/>
      <c r="BC2749" s="74"/>
      <c r="BD2749" s="77"/>
      <c r="BF2749">
        <v>48.019999999999996</v>
      </c>
      <c r="BH2749" s="42"/>
      <c r="BI2749" s="74"/>
      <c r="BJ2749" s="77"/>
      <c r="BL2749" s="497">
        <v>53.06</v>
      </c>
      <c r="BN2749" s="42"/>
      <c r="BO2749" s="74"/>
      <c r="BP2749" s="77"/>
      <c r="BR2749" s="497">
        <v>60.08</v>
      </c>
      <c r="BT2749" s="42"/>
    </row>
    <row r="2750" spans="1:72" x14ac:dyDescent="0.25">
      <c r="A2750" s="90">
        <v>33352</v>
      </c>
      <c r="B2750" s="20">
        <v>0.83333333333333337</v>
      </c>
      <c r="D2750">
        <v>73.94</v>
      </c>
      <c r="E2750" t="str">
        <f t="shared" si="120"/>
        <v>WEEKDAY</v>
      </c>
      <c r="F2750" t="e">
        <f t="shared" si="121"/>
        <v>#N/A</v>
      </c>
      <c r="G2750" s="74">
        <v>32987</v>
      </c>
      <c r="H2750" s="77">
        <v>0.83333333333333337</v>
      </c>
      <c r="J2750">
        <v>53.06</v>
      </c>
      <c r="M2750" s="74">
        <v>33352</v>
      </c>
      <c r="N2750" s="77">
        <v>0.83333333333333337</v>
      </c>
      <c r="P2750">
        <v>48.019999999999996</v>
      </c>
      <c r="S2750" s="74">
        <v>33352</v>
      </c>
      <c r="T2750" s="77">
        <v>0.83333333333333337</v>
      </c>
      <c r="V2750">
        <v>48.92</v>
      </c>
      <c r="X2750" s="42"/>
      <c r="AB2750">
        <v>53.7</v>
      </c>
      <c r="AC2750">
        <v>51.980000000000004</v>
      </c>
      <c r="AE2750" s="74"/>
      <c r="AF2750" s="77"/>
      <c r="AH2750" s="497">
        <v>51.980000000000004</v>
      </c>
      <c r="AJ2750" s="42"/>
      <c r="AK2750" s="74"/>
      <c r="AL2750" s="77"/>
      <c r="AN2750" s="497">
        <v>60.08</v>
      </c>
      <c r="AP2750" s="42"/>
      <c r="AQ2750" s="74"/>
      <c r="AR2750" s="77"/>
      <c r="AT2750" s="497">
        <v>71.960000000000008</v>
      </c>
      <c r="AV2750" s="42"/>
      <c r="AW2750" s="74"/>
      <c r="AX2750" s="77"/>
      <c r="BA2750" s="497">
        <v>60.08</v>
      </c>
      <c r="BB2750" s="42"/>
      <c r="BC2750" s="74"/>
      <c r="BD2750" s="77"/>
      <c r="BF2750">
        <v>46.04</v>
      </c>
      <c r="BH2750" s="42"/>
      <c r="BI2750" s="74"/>
      <c r="BJ2750" s="77"/>
      <c r="BL2750" s="497">
        <v>50</v>
      </c>
      <c r="BN2750" s="42"/>
      <c r="BO2750" s="74"/>
      <c r="BP2750" s="77"/>
      <c r="BR2750" s="497">
        <v>57.92</v>
      </c>
      <c r="BT2750" s="42"/>
    </row>
    <row r="2751" spans="1:72" x14ac:dyDescent="0.25">
      <c r="A2751" s="90">
        <v>33352</v>
      </c>
      <c r="B2751" s="20">
        <v>0.875</v>
      </c>
      <c r="D2751">
        <v>73.039999999999992</v>
      </c>
      <c r="E2751" t="str">
        <f t="shared" si="120"/>
        <v>WEEKDAY</v>
      </c>
      <c r="F2751" t="e">
        <f t="shared" si="121"/>
        <v>#N/A</v>
      </c>
      <c r="G2751" s="74">
        <v>32987</v>
      </c>
      <c r="H2751" s="77">
        <v>0.875</v>
      </c>
      <c r="J2751">
        <v>51.980000000000004</v>
      </c>
      <c r="M2751" s="74">
        <v>33352</v>
      </c>
      <c r="N2751" s="77">
        <v>0.875</v>
      </c>
      <c r="P2751">
        <v>48.019999999999996</v>
      </c>
      <c r="S2751" s="74">
        <v>33352</v>
      </c>
      <c r="T2751" s="77">
        <v>0.875</v>
      </c>
      <c r="V2751">
        <v>48.92</v>
      </c>
      <c r="X2751" s="42"/>
      <c r="AB2751">
        <v>52.8</v>
      </c>
      <c r="AC2751">
        <v>51.08</v>
      </c>
      <c r="AE2751" s="74"/>
      <c r="AF2751" s="77"/>
      <c r="AH2751" s="497">
        <v>51.980000000000004</v>
      </c>
      <c r="AJ2751" s="42"/>
      <c r="AK2751" s="74"/>
      <c r="AL2751" s="77"/>
      <c r="AN2751" s="497">
        <v>57.92</v>
      </c>
      <c r="AP2751" s="42"/>
      <c r="AQ2751" s="74"/>
      <c r="AR2751" s="77"/>
      <c r="AT2751" s="497">
        <v>69.98</v>
      </c>
      <c r="AV2751" s="42"/>
      <c r="AW2751" s="74"/>
      <c r="AX2751" s="77"/>
      <c r="BA2751" s="497">
        <v>57.92</v>
      </c>
      <c r="BB2751" s="42"/>
      <c r="BC2751" s="74"/>
      <c r="BD2751" s="77"/>
      <c r="BF2751">
        <v>44.96</v>
      </c>
      <c r="BH2751" s="42"/>
      <c r="BI2751" s="74"/>
      <c r="BJ2751" s="77"/>
      <c r="BL2751" s="497">
        <v>50</v>
      </c>
      <c r="BN2751" s="42"/>
      <c r="BO2751" s="74"/>
      <c r="BP2751" s="77"/>
      <c r="BR2751" s="497">
        <v>55.94</v>
      </c>
      <c r="BT2751" s="42"/>
    </row>
    <row r="2752" spans="1:72" x14ac:dyDescent="0.25">
      <c r="A2752" s="90">
        <v>33352</v>
      </c>
      <c r="B2752" s="20">
        <v>0.91666666666666663</v>
      </c>
      <c r="D2752">
        <v>73.039999999999992</v>
      </c>
      <c r="E2752" t="str">
        <f t="shared" si="120"/>
        <v>WEEKDAY</v>
      </c>
      <c r="F2752" t="e">
        <f t="shared" si="121"/>
        <v>#N/A</v>
      </c>
      <c r="G2752" s="74">
        <v>32987</v>
      </c>
      <c r="H2752" s="77">
        <v>0.91666666666666663</v>
      </c>
      <c r="J2752">
        <v>51.980000000000004</v>
      </c>
      <c r="M2752" s="74">
        <v>33352</v>
      </c>
      <c r="N2752" s="77">
        <v>0.91666666666666663</v>
      </c>
      <c r="P2752">
        <v>47.3</v>
      </c>
      <c r="S2752" s="74">
        <v>33352</v>
      </c>
      <c r="T2752" s="77">
        <v>0.91666666666666663</v>
      </c>
      <c r="V2752">
        <v>48.92</v>
      </c>
      <c r="X2752" s="42"/>
      <c r="AB2752">
        <v>52.3</v>
      </c>
      <c r="AC2752">
        <v>51.08</v>
      </c>
      <c r="AE2752" s="74"/>
      <c r="AF2752" s="77"/>
      <c r="AH2752" s="497">
        <v>50</v>
      </c>
      <c r="AJ2752" s="42"/>
      <c r="AK2752" s="74"/>
      <c r="AL2752" s="77"/>
      <c r="AN2752" s="497">
        <v>55.94</v>
      </c>
      <c r="AP2752" s="42"/>
      <c r="AQ2752" s="74"/>
      <c r="AR2752" s="77"/>
      <c r="AT2752" s="497">
        <v>69.080000000000013</v>
      </c>
      <c r="AV2752" s="42"/>
      <c r="AW2752" s="74"/>
      <c r="AX2752" s="77"/>
      <c r="BA2752" s="497">
        <v>55.94</v>
      </c>
      <c r="BB2752" s="42"/>
      <c r="BC2752" s="74"/>
      <c r="BD2752" s="77"/>
      <c r="BF2752">
        <v>42.980000000000004</v>
      </c>
      <c r="BH2752" s="42"/>
      <c r="BI2752" s="74"/>
      <c r="BJ2752" s="77"/>
      <c r="BL2752" s="497">
        <v>51.08</v>
      </c>
      <c r="BN2752" s="42"/>
      <c r="BO2752" s="74"/>
      <c r="BP2752" s="77"/>
      <c r="BR2752" s="497">
        <v>53.06</v>
      </c>
      <c r="BT2752" s="42"/>
    </row>
    <row r="2753" spans="1:72" x14ac:dyDescent="0.25">
      <c r="A2753" s="90">
        <v>33352</v>
      </c>
      <c r="B2753" s="20">
        <v>0.95833333333333337</v>
      </c>
      <c r="D2753">
        <v>71.960000000000008</v>
      </c>
      <c r="E2753" t="str">
        <f t="shared" si="120"/>
        <v>WEEKDAY</v>
      </c>
      <c r="F2753" t="e">
        <f t="shared" si="121"/>
        <v>#N/A</v>
      </c>
      <c r="G2753" s="74">
        <v>32987</v>
      </c>
      <c r="H2753" s="77">
        <v>0.95833333333333337</v>
      </c>
      <c r="J2753">
        <v>51.08</v>
      </c>
      <c r="M2753" s="74">
        <v>33352</v>
      </c>
      <c r="N2753" s="77">
        <v>0.95833333333333337</v>
      </c>
      <c r="P2753">
        <v>46.94</v>
      </c>
      <c r="S2753" s="74">
        <v>33352</v>
      </c>
      <c r="T2753" s="77">
        <v>0.95833333333333337</v>
      </c>
      <c r="V2753">
        <v>50</v>
      </c>
      <c r="X2753" s="42"/>
      <c r="AB2753">
        <v>51.8</v>
      </c>
      <c r="AC2753">
        <v>51.08</v>
      </c>
      <c r="AE2753" s="74"/>
      <c r="AF2753" s="77"/>
      <c r="AH2753" s="497">
        <v>46.04</v>
      </c>
      <c r="AJ2753" s="42"/>
      <c r="AK2753" s="74"/>
      <c r="AL2753" s="77"/>
      <c r="AN2753" s="497">
        <v>55.040000000000006</v>
      </c>
      <c r="AP2753" s="42"/>
      <c r="AQ2753" s="74"/>
      <c r="AR2753" s="77"/>
      <c r="AT2753" s="497">
        <v>69.98</v>
      </c>
      <c r="AV2753" s="42"/>
      <c r="AW2753" s="74"/>
      <c r="AX2753" s="77"/>
      <c r="BA2753" s="497">
        <v>57.92</v>
      </c>
      <c r="BB2753" s="42"/>
      <c r="BC2753" s="74"/>
      <c r="BD2753" s="77"/>
      <c r="BF2753">
        <v>42.980000000000004</v>
      </c>
      <c r="BH2753" s="42"/>
      <c r="BI2753" s="74"/>
      <c r="BJ2753" s="77"/>
      <c r="BL2753" s="497">
        <v>51.08</v>
      </c>
      <c r="BN2753" s="42"/>
      <c r="BO2753" s="74"/>
      <c r="BP2753" s="77"/>
      <c r="BR2753" s="497">
        <v>50</v>
      </c>
      <c r="BT2753" s="42"/>
    </row>
    <row r="2754" spans="1:72" x14ac:dyDescent="0.25">
      <c r="A2754" s="90">
        <v>33352</v>
      </c>
      <c r="B2754" s="20">
        <v>1</v>
      </c>
      <c r="D2754">
        <v>71.06</v>
      </c>
      <c r="E2754" t="str">
        <f t="shared" si="120"/>
        <v>WEEKDAY</v>
      </c>
      <c r="F2754" t="e">
        <f t="shared" si="121"/>
        <v>#N/A</v>
      </c>
      <c r="G2754" s="74">
        <v>32987</v>
      </c>
      <c r="H2754" s="77">
        <v>1</v>
      </c>
      <c r="J2754">
        <v>51.08</v>
      </c>
      <c r="M2754" s="74">
        <v>33352</v>
      </c>
      <c r="N2754" s="80">
        <v>1</v>
      </c>
      <c r="P2754">
        <v>46.04</v>
      </c>
      <c r="S2754" s="74">
        <v>33352</v>
      </c>
      <c r="T2754" s="80">
        <v>1</v>
      </c>
      <c r="V2754">
        <v>48.92</v>
      </c>
      <c r="X2754" s="42"/>
      <c r="AB2754">
        <v>51.3</v>
      </c>
      <c r="AC2754">
        <v>51.08</v>
      </c>
      <c r="AE2754" s="74"/>
      <c r="AF2754" s="80"/>
      <c r="AH2754" s="497">
        <v>45.68</v>
      </c>
      <c r="AJ2754" s="42"/>
      <c r="AK2754" s="74"/>
      <c r="AL2754" s="80"/>
      <c r="AN2754" s="497">
        <v>53.06</v>
      </c>
      <c r="AP2754" s="42"/>
      <c r="AQ2754" s="74"/>
      <c r="AR2754" s="80"/>
      <c r="AT2754" s="497">
        <v>69.080000000000013</v>
      </c>
      <c r="AV2754" s="42"/>
      <c r="AW2754" s="74"/>
      <c r="AX2754" s="80"/>
      <c r="BA2754" s="497">
        <v>57.019999999999996</v>
      </c>
      <c r="BB2754" s="42"/>
      <c r="BC2754" s="74"/>
      <c r="BD2754" s="80"/>
      <c r="BF2754">
        <v>44.06</v>
      </c>
      <c r="BH2754" s="42"/>
      <c r="BI2754" s="74"/>
      <c r="BJ2754" s="80"/>
      <c r="BL2754" s="497">
        <v>51.980000000000004</v>
      </c>
      <c r="BN2754" s="42"/>
      <c r="BO2754" s="74"/>
      <c r="BP2754" s="80"/>
      <c r="BR2754" s="497">
        <v>50</v>
      </c>
      <c r="BT2754" s="42"/>
    </row>
    <row r="2755" spans="1:72" x14ac:dyDescent="0.25">
      <c r="A2755" s="90">
        <v>33353</v>
      </c>
      <c r="B2755" s="20">
        <v>4.1666666666666664E-2</v>
      </c>
      <c r="D2755">
        <v>73.039999999999992</v>
      </c>
      <c r="E2755" t="str">
        <f t="shared" si="120"/>
        <v>WEEKDAY</v>
      </c>
      <c r="F2755" t="e">
        <f t="shared" si="121"/>
        <v>#N/A</v>
      </c>
      <c r="G2755" s="74">
        <v>32988</v>
      </c>
      <c r="H2755" s="77">
        <v>4.1666666666666664E-2</v>
      </c>
      <c r="J2755">
        <v>50</v>
      </c>
      <c r="M2755" s="74">
        <v>33353</v>
      </c>
      <c r="N2755" s="77">
        <v>4.1666666666666664E-2</v>
      </c>
      <c r="P2755">
        <v>46.94</v>
      </c>
      <c r="S2755" s="74">
        <v>33353</v>
      </c>
      <c r="T2755" s="77">
        <v>4.1666666666666664E-2</v>
      </c>
      <c r="V2755">
        <v>50</v>
      </c>
      <c r="X2755" s="42"/>
      <c r="AB2755">
        <v>50.8</v>
      </c>
      <c r="AC2755">
        <v>51.980000000000004</v>
      </c>
      <c r="AE2755" s="74"/>
      <c r="AF2755" s="77"/>
      <c r="AH2755" s="497">
        <v>44.96</v>
      </c>
      <c r="AJ2755" s="42"/>
      <c r="AK2755" s="74"/>
      <c r="AL2755" s="77"/>
      <c r="AN2755" s="497">
        <v>53.06</v>
      </c>
      <c r="AP2755" s="42"/>
      <c r="AQ2755" s="74"/>
      <c r="AR2755" s="77"/>
      <c r="AT2755" s="497">
        <v>68</v>
      </c>
      <c r="AV2755" s="42"/>
      <c r="AW2755" s="74"/>
      <c r="AX2755" s="77"/>
      <c r="BA2755" s="497">
        <v>55.94</v>
      </c>
      <c r="BB2755" s="42"/>
      <c r="BC2755" s="74"/>
      <c r="BD2755" s="77"/>
      <c r="BF2755">
        <v>44.06</v>
      </c>
      <c r="BH2755" s="42"/>
      <c r="BI2755" s="74"/>
      <c r="BJ2755" s="77"/>
      <c r="BL2755" s="497">
        <v>53.06</v>
      </c>
      <c r="BN2755" s="42"/>
      <c r="BO2755" s="74"/>
      <c r="BP2755" s="77"/>
      <c r="BR2755" s="497">
        <v>46.04</v>
      </c>
      <c r="BT2755" s="42"/>
    </row>
    <row r="2756" spans="1:72" x14ac:dyDescent="0.25">
      <c r="A2756" s="90">
        <v>33353</v>
      </c>
      <c r="B2756" s="20">
        <v>8.3333333333333329E-2</v>
      </c>
      <c r="D2756">
        <v>71.960000000000008</v>
      </c>
      <c r="E2756" t="str">
        <f t="shared" si="120"/>
        <v>WEEKDAY</v>
      </c>
      <c r="F2756" t="e">
        <f t="shared" si="121"/>
        <v>#N/A</v>
      </c>
      <c r="G2756" s="74">
        <v>32988</v>
      </c>
      <c r="H2756" s="77">
        <v>8.3333333333333329E-2</v>
      </c>
      <c r="J2756">
        <v>50</v>
      </c>
      <c r="M2756" s="74">
        <v>33353</v>
      </c>
      <c r="N2756" s="77">
        <v>8.3333333333333329E-2</v>
      </c>
      <c r="P2756">
        <v>50</v>
      </c>
      <c r="S2756" s="74">
        <v>33353</v>
      </c>
      <c r="T2756" s="77">
        <v>8.3333333333333329E-2</v>
      </c>
      <c r="V2756">
        <v>48.92</v>
      </c>
      <c r="X2756" s="42"/>
      <c r="AB2756">
        <v>50.3</v>
      </c>
      <c r="AC2756">
        <v>51.08</v>
      </c>
      <c r="AE2756" s="74"/>
      <c r="AF2756" s="77"/>
      <c r="AH2756" s="497">
        <v>44.96</v>
      </c>
      <c r="AJ2756" s="42"/>
      <c r="AK2756" s="74"/>
      <c r="AL2756" s="77"/>
      <c r="AN2756" s="497">
        <v>51.08</v>
      </c>
      <c r="AP2756" s="42"/>
      <c r="AQ2756" s="74"/>
      <c r="AR2756" s="77"/>
      <c r="AT2756" s="497">
        <v>66.02</v>
      </c>
      <c r="AV2756" s="42"/>
      <c r="AW2756" s="74"/>
      <c r="AX2756" s="77"/>
      <c r="BA2756" s="497">
        <v>53.96</v>
      </c>
      <c r="BB2756" s="42"/>
      <c r="BC2756" s="74"/>
      <c r="BD2756" s="77"/>
      <c r="BF2756">
        <v>44.06</v>
      </c>
      <c r="BH2756" s="42"/>
      <c r="BI2756" s="74"/>
      <c r="BJ2756" s="77"/>
      <c r="BL2756" s="497">
        <v>51.08</v>
      </c>
      <c r="BN2756" s="42"/>
      <c r="BO2756" s="74"/>
      <c r="BP2756" s="77"/>
      <c r="BR2756" s="497">
        <v>44.96</v>
      </c>
      <c r="BT2756" s="42"/>
    </row>
    <row r="2757" spans="1:72" x14ac:dyDescent="0.25">
      <c r="A2757" s="90">
        <v>33353</v>
      </c>
      <c r="B2757" s="20">
        <v>0.125</v>
      </c>
      <c r="D2757">
        <v>69.080000000000013</v>
      </c>
      <c r="E2757" t="str">
        <f t="shared" si="120"/>
        <v>WEEKDAY</v>
      </c>
      <c r="F2757" t="e">
        <f t="shared" si="121"/>
        <v>#N/A</v>
      </c>
      <c r="G2757" s="74">
        <v>32988</v>
      </c>
      <c r="H2757" s="77">
        <v>0.125</v>
      </c>
      <c r="J2757">
        <v>50</v>
      </c>
      <c r="M2757" s="74">
        <v>33353</v>
      </c>
      <c r="N2757" s="77">
        <v>0.125</v>
      </c>
      <c r="P2757">
        <v>48.92</v>
      </c>
      <c r="S2757" s="74">
        <v>33353</v>
      </c>
      <c r="T2757" s="77">
        <v>0.125</v>
      </c>
      <c r="V2757">
        <v>48.92</v>
      </c>
      <c r="X2757" s="42"/>
      <c r="AB2757">
        <v>49.8</v>
      </c>
      <c r="AC2757">
        <v>48.92</v>
      </c>
      <c r="AE2757" s="74"/>
      <c r="AF2757" s="77"/>
      <c r="AH2757" s="497">
        <v>44.06</v>
      </c>
      <c r="AJ2757" s="42"/>
      <c r="AK2757" s="74"/>
      <c r="AL2757" s="77"/>
      <c r="AN2757" s="497">
        <v>51.08</v>
      </c>
      <c r="AP2757" s="42"/>
      <c r="AQ2757" s="74"/>
      <c r="AR2757" s="77"/>
      <c r="AT2757" s="497">
        <v>64.039999999999992</v>
      </c>
      <c r="AV2757" s="42"/>
      <c r="AW2757" s="74"/>
      <c r="AX2757" s="77"/>
      <c r="BA2757" s="497">
        <v>51.08</v>
      </c>
      <c r="BB2757" s="42"/>
      <c r="BC2757" s="74"/>
      <c r="BD2757" s="77"/>
      <c r="BF2757">
        <v>44.06</v>
      </c>
      <c r="BH2757" s="42"/>
      <c r="BI2757" s="74"/>
      <c r="BJ2757" s="77"/>
      <c r="BL2757" s="497">
        <v>53.06</v>
      </c>
      <c r="BN2757" s="42"/>
      <c r="BO2757" s="74"/>
      <c r="BP2757" s="77"/>
      <c r="BR2757" s="497">
        <v>44.96</v>
      </c>
      <c r="BT2757" s="42"/>
    </row>
    <row r="2758" spans="1:72" x14ac:dyDescent="0.25">
      <c r="A2758" s="90">
        <v>33353</v>
      </c>
      <c r="B2758" s="20">
        <v>0.16666666666666666</v>
      </c>
      <c r="D2758">
        <v>64.94</v>
      </c>
      <c r="E2758" t="str">
        <f t="shared" si="120"/>
        <v>WEEKDAY</v>
      </c>
      <c r="F2758" t="e">
        <f t="shared" si="121"/>
        <v>#N/A</v>
      </c>
      <c r="G2758" s="74">
        <v>32988</v>
      </c>
      <c r="H2758" s="77">
        <v>0.16666666666666666</v>
      </c>
      <c r="J2758">
        <v>50</v>
      </c>
      <c r="M2758" s="74">
        <v>33353</v>
      </c>
      <c r="N2758" s="77">
        <v>0.16666666666666666</v>
      </c>
      <c r="P2758">
        <v>48.92</v>
      </c>
      <c r="S2758" s="74">
        <v>33353</v>
      </c>
      <c r="T2758" s="77">
        <v>0.16666666666666666</v>
      </c>
      <c r="V2758">
        <v>50</v>
      </c>
      <c r="X2758" s="42"/>
      <c r="AB2758">
        <v>49.3</v>
      </c>
      <c r="AC2758">
        <v>48.92</v>
      </c>
      <c r="AE2758" s="74"/>
      <c r="AF2758" s="77"/>
      <c r="AH2758" s="497">
        <v>42.980000000000004</v>
      </c>
      <c r="AJ2758" s="42"/>
      <c r="AK2758" s="74"/>
      <c r="AL2758" s="77"/>
      <c r="AN2758" s="497">
        <v>50</v>
      </c>
      <c r="AP2758" s="42"/>
      <c r="AQ2758" s="74"/>
      <c r="AR2758" s="77"/>
      <c r="AT2758" s="497">
        <v>62.96</v>
      </c>
      <c r="AV2758" s="42"/>
      <c r="AW2758" s="74"/>
      <c r="AX2758" s="77"/>
      <c r="BA2758" s="497">
        <v>51.980000000000004</v>
      </c>
      <c r="BB2758" s="42"/>
      <c r="BC2758" s="74"/>
      <c r="BD2758" s="77"/>
      <c r="BF2758">
        <v>44.06</v>
      </c>
      <c r="BH2758" s="42"/>
      <c r="BI2758" s="74"/>
      <c r="BJ2758" s="77"/>
      <c r="BL2758" s="497">
        <v>55.040000000000006</v>
      </c>
      <c r="BN2758" s="42"/>
      <c r="BO2758" s="74"/>
      <c r="BP2758" s="77"/>
      <c r="BR2758" s="497">
        <v>42.08</v>
      </c>
      <c r="BT2758" s="42"/>
    </row>
    <row r="2759" spans="1:72" x14ac:dyDescent="0.25">
      <c r="A2759" s="90">
        <v>33353</v>
      </c>
      <c r="B2759" s="20">
        <v>0.20833333333333334</v>
      </c>
      <c r="D2759">
        <v>66.02</v>
      </c>
      <c r="E2759" t="str">
        <f t="shared" si="120"/>
        <v>WEEKDAY</v>
      </c>
      <c r="F2759" t="e">
        <f t="shared" si="121"/>
        <v>#N/A</v>
      </c>
      <c r="G2759" s="74">
        <v>32988</v>
      </c>
      <c r="H2759" s="77">
        <v>0.20833333333333334</v>
      </c>
      <c r="J2759">
        <v>50</v>
      </c>
      <c r="M2759" s="74">
        <v>33353</v>
      </c>
      <c r="N2759" s="77">
        <v>0.20833333333333334</v>
      </c>
      <c r="P2759">
        <v>48.92</v>
      </c>
      <c r="S2759" s="74">
        <v>33353</v>
      </c>
      <c r="T2759" s="77">
        <v>0.20833333333333334</v>
      </c>
      <c r="V2759">
        <v>48.92</v>
      </c>
      <c r="X2759" s="42"/>
      <c r="AB2759">
        <v>48.9</v>
      </c>
      <c r="AC2759">
        <v>50</v>
      </c>
      <c r="AE2759" s="74"/>
      <c r="AF2759" s="77"/>
      <c r="AH2759" s="497">
        <v>44.96</v>
      </c>
      <c r="AJ2759" s="42"/>
      <c r="AK2759" s="74"/>
      <c r="AL2759" s="77"/>
      <c r="AN2759" s="497">
        <v>50</v>
      </c>
      <c r="AP2759" s="42"/>
      <c r="AQ2759" s="74"/>
      <c r="AR2759" s="77"/>
      <c r="AT2759" s="497">
        <v>62.06</v>
      </c>
      <c r="AV2759" s="42"/>
      <c r="AW2759" s="74"/>
      <c r="AX2759" s="77"/>
      <c r="BA2759" s="497">
        <v>51.980000000000004</v>
      </c>
      <c r="BB2759" s="42"/>
      <c r="BC2759" s="74"/>
      <c r="BD2759" s="77"/>
      <c r="BF2759">
        <v>44.06</v>
      </c>
      <c r="BH2759" s="42"/>
      <c r="BI2759" s="74"/>
      <c r="BJ2759" s="77"/>
      <c r="BL2759" s="497">
        <v>55.040000000000006</v>
      </c>
      <c r="BN2759" s="42"/>
      <c r="BO2759" s="74"/>
      <c r="BP2759" s="77"/>
      <c r="BR2759" s="497">
        <v>39.92</v>
      </c>
      <c r="BT2759" s="42"/>
    </row>
    <row r="2760" spans="1:72" x14ac:dyDescent="0.25">
      <c r="A2760" s="90">
        <v>33353</v>
      </c>
      <c r="B2760" s="20">
        <v>0.25</v>
      </c>
      <c r="D2760">
        <v>66.92</v>
      </c>
      <c r="E2760" t="str">
        <f t="shared" si="120"/>
        <v>WEEKDAY</v>
      </c>
      <c r="F2760" t="e">
        <f t="shared" si="121"/>
        <v>#N/A</v>
      </c>
      <c r="G2760" s="74">
        <v>32988</v>
      </c>
      <c r="H2760" s="77">
        <v>0.25</v>
      </c>
      <c r="J2760">
        <v>51.08</v>
      </c>
      <c r="M2760" s="74">
        <v>33353</v>
      </c>
      <c r="N2760" s="77">
        <v>0.25</v>
      </c>
      <c r="P2760">
        <v>48.92</v>
      </c>
      <c r="S2760" s="74">
        <v>33353</v>
      </c>
      <c r="T2760" s="77">
        <v>0.25</v>
      </c>
      <c r="V2760">
        <v>51.08</v>
      </c>
      <c r="X2760" s="42"/>
      <c r="AB2760">
        <v>48.6</v>
      </c>
      <c r="AC2760">
        <v>50</v>
      </c>
      <c r="AE2760" s="74"/>
      <c r="AF2760" s="77"/>
      <c r="AH2760" s="497">
        <v>44.96</v>
      </c>
      <c r="AJ2760" s="42"/>
      <c r="AK2760" s="74"/>
      <c r="AL2760" s="77"/>
      <c r="AN2760" s="497">
        <v>50</v>
      </c>
      <c r="AP2760" s="42"/>
      <c r="AQ2760" s="74"/>
      <c r="AR2760" s="77"/>
      <c r="AT2760" s="497">
        <v>62.06</v>
      </c>
      <c r="AV2760" s="42"/>
      <c r="AW2760" s="74"/>
      <c r="AX2760" s="77"/>
      <c r="BA2760" s="497">
        <v>51.980000000000004</v>
      </c>
      <c r="BB2760" s="42"/>
      <c r="BC2760" s="74"/>
      <c r="BD2760" s="77"/>
      <c r="BF2760">
        <v>44.06</v>
      </c>
      <c r="BH2760" s="42"/>
      <c r="BI2760" s="74"/>
      <c r="BJ2760" s="77"/>
      <c r="BL2760" s="497">
        <v>53.96</v>
      </c>
      <c r="BN2760" s="42"/>
      <c r="BO2760" s="74"/>
      <c r="BP2760" s="77"/>
      <c r="BR2760" s="497">
        <v>41</v>
      </c>
      <c r="BT2760" s="42"/>
    </row>
    <row r="2761" spans="1:72" x14ac:dyDescent="0.25">
      <c r="A2761" s="90">
        <v>33353</v>
      </c>
      <c r="B2761" s="20">
        <v>0.29166666666666669</v>
      </c>
      <c r="D2761">
        <v>66.92</v>
      </c>
      <c r="E2761" t="str">
        <f t="shared" si="120"/>
        <v>WEEKDAY</v>
      </c>
      <c r="F2761" t="e">
        <f t="shared" si="121"/>
        <v>#N/A</v>
      </c>
      <c r="G2761" s="74">
        <v>32988</v>
      </c>
      <c r="H2761" s="77">
        <v>0.29166666666666669</v>
      </c>
      <c r="J2761">
        <v>51.980000000000004</v>
      </c>
      <c r="M2761" s="74">
        <v>33353</v>
      </c>
      <c r="N2761" s="77">
        <v>0.29166666666666669</v>
      </c>
      <c r="P2761">
        <v>53.06</v>
      </c>
      <c r="S2761" s="74">
        <v>33353</v>
      </c>
      <c r="T2761" s="77">
        <v>0.29166666666666669</v>
      </c>
      <c r="V2761">
        <v>53.96</v>
      </c>
      <c r="X2761" s="42"/>
      <c r="AB2761">
        <v>49.2</v>
      </c>
      <c r="AC2761">
        <v>53.96</v>
      </c>
      <c r="AE2761" s="74"/>
      <c r="AF2761" s="77"/>
      <c r="AH2761" s="497">
        <v>44.96</v>
      </c>
      <c r="AJ2761" s="42"/>
      <c r="AK2761" s="74"/>
      <c r="AL2761" s="77"/>
      <c r="AN2761" s="497">
        <v>50</v>
      </c>
      <c r="AP2761" s="42"/>
      <c r="AQ2761" s="74"/>
      <c r="AR2761" s="77"/>
      <c r="AT2761" s="497">
        <v>62.06</v>
      </c>
      <c r="AV2761" s="42"/>
      <c r="AW2761" s="74"/>
      <c r="AX2761" s="77"/>
      <c r="BA2761" s="497">
        <v>53.96</v>
      </c>
      <c r="BB2761" s="42"/>
      <c r="BC2761" s="74"/>
      <c r="BD2761" s="77"/>
      <c r="BF2761">
        <v>42.980000000000004</v>
      </c>
      <c r="BH2761" s="42"/>
      <c r="BI2761" s="74"/>
      <c r="BJ2761" s="77"/>
      <c r="BL2761" s="497">
        <v>46.94</v>
      </c>
      <c r="BN2761" s="42"/>
      <c r="BO2761" s="74"/>
      <c r="BP2761" s="77"/>
      <c r="BR2761" s="497">
        <v>48.92</v>
      </c>
      <c r="BT2761" s="42"/>
    </row>
    <row r="2762" spans="1:72" x14ac:dyDescent="0.25">
      <c r="A2762" s="90">
        <v>33353</v>
      </c>
      <c r="B2762" s="20">
        <v>0.33333333333333331</v>
      </c>
      <c r="D2762">
        <v>71.960000000000008</v>
      </c>
      <c r="E2762" t="str">
        <f t="shared" si="120"/>
        <v>WEEKDAY</v>
      </c>
      <c r="F2762" t="e">
        <f t="shared" si="121"/>
        <v>#N/A</v>
      </c>
      <c r="G2762" s="74">
        <v>32988</v>
      </c>
      <c r="H2762" s="77">
        <v>0.33333333333333331</v>
      </c>
      <c r="J2762">
        <v>53.06</v>
      </c>
      <c r="M2762" s="74">
        <v>33353</v>
      </c>
      <c r="N2762" s="77">
        <v>0.33333333333333331</v>
      </c>
      <c r="P2762">
        <v>55.94</v>
      </c>
      <c r="S2762" s="74">
        <v>33353</v>
      </c>
      <c r="T2762" s="77">
        <v>0.33333333333333331</v>
      </c>
      <c r="V2762">
        <v>57.92</v>
      </c>
      <c r="X2762" s="42"/>
      <c r="AB2762">
        <v>51.3</v>
      </c>
      <c r="AC2762">
        <v>57.92</v>
      </c>
      <c r="AE2762" s="74"/>
      <c r="AF2762" s="77"/>
      <c r="AH2762" s="497">
        <v>51.08</v>
      </c>
      <c r="AJ2762" s="42"/>
      <c r="AK2762" s="74"/>
      <c r="AL2762" s="77"/>
      <c r="AN2762" s="497">
        <v>51.08</v>
      </c>
      <c r="AP2762" s="42"/>
      <c r="AQ2762" s="74"/>
      <c r="AR2762" s="77"/>
      <c r="AT2762" s="497">
        <v>64.039999999999992</v>
      </c>
      <c r="AV2762" s="42"/>
      <c r="AW2762" s="74"/>
      <c r="AX2762" s="77"/>
      <c r="BA2762" s="497">
        <v>53.96</v>
      </c>
      <c r="BB2762" s="42"/>
      <c r="BC2762" s="74"/>
      <c r="BD2762" s="77"/>
      <c r="BF2762">
        <v>42.980000000000004</v>
      </c>
      <c r="BH2762" s="42"/>
      <c r="BI2762" s="74"/>
      <c r="BJ2762" s="77"/>
      <c r="BL2762" s="497">
        <v>46.4</v>
      </c>
      <c r="BN2762" s="42"/>
      <c r="BO2762" s="74"/>
      <c r="BP2762" s="77"/>
      <c r="BR2762" s="497">
        <v>53.06</v>
      </c>
      <c r="BT2762" s="42"/>
    </row>
    <row r="2763" spans="1:72" x14ac:dyDescent="0.25">
      <c r="A2763" s="90">
        <v>33353</v>
      </c>
      <c r="B2763" s="20">
        <v>0.375</v>
      </c>
      <c r="D2763">
        <v>75.02</v>
      </c>
      <c r="E2763" t="str">
        <f t="shared" si="120"/>
        <v>WEEKDAY</v>
      </c>
      <c r="F2763" t="e">
        <f t="shared" si="121"/>
        <v>#N/A</v>
      </c>
      <c r="G2763" s="74">
        <v>32988</v>
      </c>
      <c r="H2763" s="77">
        <v>0.375</v>
      </c>
      <c r="J2763">
        <v>51.980000000000004</v>
      </c>
      <c r="M2763" s="74">
        <v>33353</v>
      </c>
      <c r="N2763" s="77">
        <v>0.375</v>
      </c>
      <c r="P2763">
        <v>59</v>
      </c>
      <c r="S2763" s="74">
        <v>33353</v>
      </c>
      <c r="T2763" s="77">
        <v>0.375</v>
      </c>
      <c r="V2763">
        <v>60.08</v>
      </c>
      <c r="X2763" s="42"/>
      <c r="AB2763">
        <v>53.3</v>
      </c>
      <c r="AC2763">
        <v>62.06</v>
      </c>
      <c r="AE2763" s="74"/>
      <c r="AF2763" s="77"/>
      <c r="AH2763" s="497">
        <v>55.94</v>
      </c>
      <c r="AJ2763" s="42"/>
      <c r="AK2763" s="74"/>
      <c r="AL2763" s="77"/>
      <c r="AN2763" s="497">
        <v>51.980000000000004</v>
      </c>
      <c r="AP2763" s="42"/>
      <c r="AQ2763" s="74"/>
      <c r="AR2763" s="77"/>
      <c r="AT2763" s="497">
        <v>59</v>
      </c>
      <c r="AV2763" s="42"/>
      <c r="AW2763" s="74"/>
      <c r="AX2763" s="77"/>
      <c r="BA2763" s="497">
        <v>53.96</v>
      </c>
      <c r="BB2763" s="42"/>
      <c r="BC2763" s="74"/>
      <c r="BD2763" s="77"/>
      <c r="BF2763">
        <v>44.96</v>
      </c>
      <c r="BH2763" s="42"/>
      <c r="BI2763" s="74"/>
      <c r="BJ2763" s="77"/>
      <c r="BL2763" s="497">
        <v>44.06</v>
      </c>
      <c r="BN2763" s="42"/>
      <c r="BO2763" s="74"/>
      <c r="BP2763" s="77"/>
      <c r="BR2763" s="497">
        <v>57.92</v>
      </c>
      <c r="BT2763" s="42"/>
    </row>
    <row r="2764" spans="1:72" x14ac:dyDescent="0.25">
      <c r="A2764" s="90">
        <v>33353</v>
      </c>
      <c r="B2764" s="20">
        <v>0.41666666666666669</v>
      </c>
      <c r="D2764">
        <v>71.06</v>
      </c>
      <c r="E2764" t="str">
        <f t="shared" si="120"/>
        <v>WEEKDAY</v>
      </c>
      <c r="F2764" t="e">
        <f t="shared" si="121"/>
        <v>#N/A</v>
      </c>
      <c r="G2764" s="74">
        <v>32988</v>
      </c>
      <c r="H2764" s="77">
        <v>0.41666666666666669</v>
      </c>
      <c r="J2764">
        <v>51.08</v>
      </c>
      <c r="M2764" s="74">
        <v>33353</v>
      </c>
      <c r="N2764" s="77">
        <v>0.41666666666666669</v>
      </c>
      <c r="P2764">
        <v>60.980000000000004</v>
      </c>
      <c r="S2764" s="74">
        <v>33353</v>
      </c>
      <c r="T2764" s="77">
        <v>0.41666666666666669</v>
      </c>
      <c r="V2764">
        <v>62.96</v>
      </c>
      <c r="X2764" s="42"/>
      <c r="AB2764">
        <v>55.2</v>
      </c>
      <c r="AC2764">
        <v>64.94</v>
      </c>
      <c r="AE2764" s="74"/>
      <c r="AF2764" s="77"/>
      <c r="AH2764" s="497">
        <v>60.08</v>
      </c>
      <c r="AJ2764" s="42"/>
      <c r="AK2764" s="74"/>
      <c r="AL2764" s="77"/>
      <c r="AN2764" s="497">
        <v>55.040000000000006</v>
      </c>
      <c r="AP2764" s="42"/>
      <c r="AQ2764" s="74"/>
      <c r="AR2764" s="77"/>
      <c r="AT2764" s="497">
        <v>59</v>
      </c>
      <c r="AV2764" s="42"/>
      <c r="AW2764" s="74"/>
      <c r="AX2764" s="77"/>
      <c r="BA2764" s="497">
        <v>55.040000000000006</v>
      </c>
      <c r="BB2764" s="42"/>
      <c r="BC2764" s="74"/>
      <c r="BD2764" s="77"/>
      <c r="BF2764">
        <v>46.04</v>
      </c>
      <c r="BH2764" s="42"/>
      <c r="BI2764" s="74"/>
      <c r="BJ2764" s="77"/>
      <c r="BL2764" s="497">
        <v>41</v>
      </c>
      <c r="BN2764" s="42"/>
      <c r="BO2764" s="74"/>
      <c r="BP2764" s="77"/>
      <c r="BR2764" s="497">
        <v>62.06</v>
      </c>
      <c r="BT2764" s="42"/>
    </row>
    <row r="2765" spans="1:72" x14ac:dyDescent="0.25">
      <c r="A2765" s="90">
        <v>33353</v>
      </c>
      <c r="B2765" s="20">
        <v>0.45833333333333331</v>
      </c>
      <c r="D2765">
        <v>73.94</v>
      </c>
      <c r="E2765" t="str">
        <f t="shared" si="120"/>
        <v>WEEKDAY</v>
      </c>
      <c r="F2765" t="e">
        <f t="shared" si="121"/>
        <v>#N/A</v>
      </c>
      <c r="G2765" s="74">
        <v>32988</v>
      </c>
      <c r="H2765" s="77">
        <v>0.45833333333333331</v>
      </c>
      <c r="J2765">
        <v>51.08</v>
      </c>
      <c r="M2765" s="74">
        <v>33353</v>
      </c>
      <c r="N2765" s="77">
        <v>0.45833333333333331</v>
      </c>
      <c r="P2765">
        <v>64.039999999999992</v>
      </c>
      <c r="S2765" s="74">
        <v>33353</v>
      </c>
      <c r="T2765" s="77">
        <v>0.45833333333333331</v>
      </c>
      <c r="V2765">
        <v>64.94</v>
      </c>
      <c r="X2765" s="42"/>
      <c r="AB2765">
        <v>56.8</v>
      </c>
      <c r="AC2765">
        <v>66.92</v>
      </c>
      <c r="AE2765" s="74"/>
      <c r="AF2765" s="77"/>
      <c r="AH2765" s="497">
        <v>62.96</v>
      </c>
      <c r="AJ2765" s="42"/>
      <c r="AK2765" s="74"/>
      <c r="AL2765" s="77"/>
      <c r="AN2765" s="497">
        <v>57.019999999999996</v>
      </c>
      <c r="AP2765" s="42"/>
      <c r="AQ2765" s="74"/>
      <c r="AR2765" s="77"/>
      <c r="AT2765" s="497">
        <v>59</v>
      </c>
      <c r="AV2765" s="42"/>
      <c r="AW2765" s="74"/>
      <c r="AX2765" s="77"/>
      <c r="BA2765" s="497">
        <v>55.94</v>
      </c>
      <c r="BB2765" s="42"/>
      <c r="BC2765" s="74"/>
      <c r="BD2765" s="77"/>
      <c r="BF2765">
        <v>44.96</v>
      </c>
      <c r="BH2765" s="42"/>
      <c r="BI2765" s="74"/>
      <c r="BJ2765" s="77"/>
      <c r="BL2765" s="497">
        <v>42.08</v>
      </c>
      <c r="BN2765" s="42"/>
      <c r="BO2765" s="74"/>
      <c r="BP2765" s="77"/>
      <c r="BR2765" s="497">
        <v>64.039999999999992</v>
      </c>
      <c r="BT2765" s="42"/>
    </row>
    <row r="2766" spans="1:72" x14ac:dyDescent="0.25">
      <c r="A2766" s="90">
        <v>33353</v>
      </c>
      <c r="B2766" s="20">
        <v>0.5</v>
      </c>
      <c r="D2766">
        <v>55.040000000000006</v>
      </c>
      <c r="E2766" t="str">
        <f t="shared" si="120"/>
        <v>WEEKDAY</v>
      </c>
      <c r="F2766" t="e">
        <f t="shared" si="121"/>
        <v>#N/A</v>
      </c>
      <c r="G2766" s="74">
        <v>32988</v>
      </c>
      <c r="H2766" s="77">
        <v>0.5</v>
      </c>
      <c r="J2766">
        <v>51.980000000000004</v>
      </c>
      <c r="M2766" s="74">
        <v>33353</v>
      </c>
      <c r="N2766" s="77">
        <v>0.5</v>
      </c>
      <c r="P2766">
        <v>64.94</v>
      </c>
      <c r="S2766" s="74">
        <v>33353</v>
      </c>
      <c r="T2766" s="77">
        <v>0.5</v>
      </c>
      <c r="V2766">
        <v>66.92</v>
      </c>
      <c r="X2766" s="42"/>
      <c r="AB2766">
        <v>58.1</v>
      </c>
      <c r="AC2766">
        <v>68</v>
      </c>
      <c r="AE2766" s="74"/>
      <c r="AF2766" s="77"/>
      <c r="AH2766" s="497">
        <v>66.02</v>
      </c>
      <c r="AJ2766" s="42"/>
      <c r="AK2766" s="74"/>
      <c r="AL2766" s="77"/>
      <c r="AN2766" s="497">
        <v>60.08</v>
      </c>
      <c r="AP2766" s="42"/>
      <c r="AQ2766" s="74"/>
      <c r="AR2766" s="77"/>
      <c r="AT2766" s="497">
        <v>64.94</v>
      </c>
      <c r="AV2766" s="42"/>
      <c r="AW2766" s="74"/>
      <c r="AX2766" s="77"/>
      <c r="BA2766" s="497">
        <v>57.019999999999996</v>
      </c>
      <c r="BB2766" s="42"/>
      <c r="BC2766" s="74"/>
      <c r="BD2766" s="77"/>
      <c r="BF2766">
        <v>44.96</v>
      </c>
      <c r="BH2766" s="42"/>
      <c r="BI2766" s="74"/>
      <c r="BJ2766" s="77"/>
      <c r="BL2766" s="497">
        <v>42.980000000000004</v>
      </c>
      <c r="BN2766" s="42"/>
      <c r="BO2766" s="74"/>
      <c r="BP2766" s="77"/>
      <c r="BR2766" s="497">
        <v>64.94</v>
      </c>
      <c r="BT2766" s="42"/>
    </row>
    <row r="2767" spans="1:72" x14ac:dyDescent="0.25">
      <c r="A2767" s="90">
        <v>33353</v>
      </c>
      <c r="B2767" s="20">
        <v>0.54166666666666663</v>
      </c>
      <c r="D2767">
        <v>53.96</v>
      </c>
      <c r="E2767" t="str">
        <f t="shared" si="120"/>
        <v>WEEKDAY</v>
      </c>
      <c r="F2767" t="e">
        <f t="shared" si="121"/>
        <v>#N/A</v>
      </c>
      <c r="G2767" s="74">
        <v>32988</v>
      </c>
      <c r="H2767" s="77">
        <v>0.54166666666666663</v>
      </c>
      <c r="J2767">
        <v>53.96</v>
      </c>
      <c r="M2767" s="74">
        <v>33353</v>
      </c>
      <c r="N2767" s="77">
        <v>0.54166666666666663</v>
      </c>
      <c r="P2767">
        <v>66.02</v>
      </c>
      <c r="S2767" s="74">
        <v>33353</v>
      </c>
      <c r="T2767" s="77">
        <v>0.54166666666666663</v>
      </c>
      <c r="V2767">
        <v>69.080000000000013</v>
      </c>
      <c r="X2767" s="42"/>
      <c r="AB2767">
        <v>58.9</v>
      </c>
      <c r="AC2767">
        <v>69.080000000000013</v>
      </c>
      <c r="AE2767" s="74"/>
      <c r="AF2767" s="77"/>
      <c r="AH2767" s="497">
        <v>68</v>
      </c>
      <c r="AJ2767" s="42"/>
      <c r="AK2767" s="74"/>
      <c r="AL2767" s="77"/>
      <c r="AN2767" s="497">
        <v>64.039999999999992</v>
      </c>
      <c r="AP2767" s="42"/>
      <c r="AQ2767" s="74"/>
      <c r="AR2767" s="77"/>
      <c r="AT2767" s="497">
        <v>69.080000000000013</v>
      </c>
      <c r="AV2767" s="42"/>
      <c r="AW2767" s="74"/>
      <c r="AX2767" s="77"/>
      <c r="BA2767" s="497">
        <v>57.019999999999996</v>
      </c>
      <c r="BB2767" s="42"/>
      <c r="BC2767" s="74"/>
      <c r="BD2767" s="77"/>
      <c r="BF2767">
        <v>48.92</v>
      </c>
      <c r="BH2767" s="42"/>
      <c r="BI2767" s="74"/>
      <c r="BJ2767" s="77"/>
      <c r="BL2767" s="497">
        <v>44.96</v>
      </c>
      <c r="BN2767" s="42"/>
      <c r="BO2767" s="74"/>
      <c r="BP2767" s="77"/>
      <c r="BR2767" s="497">
        <v>64.039999999999992</v>
      </c>
      <c r="BT2767" s="42"/>
    </row>
    <row r="2768" spans="1:72" x14ac:dyDescent="0.25">
      <c r="A2768" s="90">
        <v>33353</v>
      </c>
      <c r="B2768" s="20">
        <v>0.58333333333333337</v>
      </c>
      <c r="D2768">
        <v>55.040000000000006</v>
      </c>
      <c r="E2768" t="str">
        <f t="shared" si="120"/>
        <v>WEEKDAY</v>
      </c>
      <c r="F2768" t="e">
        <f t="shared" si="121"/>
        <v>#N/A</v>
      </c>
      <c r="G2768" s="74">
        <v>32988</v>
      </c>
      <c r="H2768" s="77">
        <v>0.58333333333333337</v>
      </c>
      <c r="J2768">
        <v>59</v>
      </c>
      <c r="M2768" s="74">
        <v>33353</v>
      </c>
      <c r="N2768" s="77">
        <v>0.58333333333333337</v>
      </c>
      <c r="P2768">
        <v>69.080000000000013</v>
      </c>
      <c r="S2768" s="74">
        <v>33353</v>
      </c>
      <c r="T2768" s="77">
        <v>0.58333333333333337</v>
      </c>
      <c r="V2768">
        <v>69.98</v>
      </c>
      <c r="X2768" s="42"/>
      <c r="AB2768">
        <v>59.4</v>
      </c>
      <c r="AC2768">
        <v>69.98</v>
      </c>
      <c r="AE2768" s="74"/>
      <c r="AF2768" s="77"/>
      <c r="AH2768" s="497">
        <v>66.92</v>
      </c>
      <c r="AJ2768" s="42"/>
      <c r="AK2768" s="74"/>
      <c r="AL2768" s="77"/>
      <c r="AN2768" s="497">
        <v>57.019999999999996</v>
      </c>
      <c r="AP2768" s="42"/>
      <c r="AQ2768" s="74"/>
      <c r="AR2768" s="77"/>
      <c r="AT2768" s="497">
        <v>66.02</v>
      </c>
      <c r="AV2768" s="42"/>
      <c r="AW2768" s="74"/>
      <c r="AX2768" s="77"/>
      <c r="BA2768" s="497">
        <v>59</v>
      </c>
      <c r="BB2768" s="42"/>
      <c r="BC2768" s="74"/>
      <c r="BD2768" s="77"/>
      <c r="BF2768">
        <v>51.980000000000004</v>
      </c>
      <c r="BH2768" s="42"/>
      <c r="BI2768" s="74"/>
      <c r="BJ2768" s="77"/>
      <c r="BL2768" s="497">
        <v>44.96</v>
      </c>
      <c r="BN2768" s="42"/>
      <c r="BO2768" s="74"/>
      <c r="BP2768" s="77"/>
      <c r="BR2768" s="497">
        <v>59</v>
      </c>
      <c r="BT2768" s="42"/>
    </row>
    <row r="2769" spans="1:72" x14ac:dyDescent="0.25">
      <c r="A2769" s="90">
        <v>33353</v>
      </c>
      <c r="B2769" s="20">
        <v>0.625</v>
      </c>
      <c r="D2769">
        <v>57.019999999999996</v>
      </c>
      <c r="E2769" t="str">
        <f t="shared" si="120"/>
        <v>WEEKDAY</v>
      </c>
      <c r="F2769" t="e">
        <f t="shared" si="121"/>
        <v>#N/A</v>
      </c>
      <c r="G2769" s="74">
        <v>32988</v>
      </c>
      <c r="H2769" s="77">
        <v>0.625</v>
      </c>
      <c r="J2769">
        <v>60.08</v>
      </c>
      <c r="M2769" s="74">
        <v>33353</v>
      </c>
      <c r="N2769" s="77">
        <v>0.625</v>
      </c>
      <c r="P2769">
        <v>69.98</v>
      </c>
      <c r="S2769" s="74">
        <v>33353</v>
      </c>
      <c r="T2769" s="77">
        <v>0.625</v>
      </c>
      <c r="V2769">
        <v>64.94</v>
      </c>
      <c r="X2769" s="42"/>
      <c r="AB2769">
        <v>59.4</v>
      </c>
      <c r="AC2769">
        <v>69.98</v>
      </c>
      <c r="AE2769" s="74"/>
      <c r="AF2769" s="77"/>
      <c r="AH2769" s="497">
        <v>68</v>
      </c>
      <c r="AJ2769" s="42"/>
      <c r="AK2769" s="74"/>
      <c r="AL2769" s="77"/>
      <c r="AN2769" s="497">
        <v>53.06</v>
      </c>
      <c r="AP2769" s="42"/>
      <c r="AQ2769" s="74"/>
      <c r="AR2769" s="77"/>
      <c r="AT2769" s="497">
        <v>64.039999999999992</v>
      </c>
      <c r="AV2769" s="42"/>
      <c r="AW2769" s="74"/>
      <c r="AX2769" s="77"/>
      <c r="BA2769" s="497">
        <v>60.08</v>
      </c>
      <c r="BB2769" s="42"/>
      <c r="BC2769" s="74"/>
      <c r="BD2769" s="77"/>
      <c r="BF2769">
        <v>46.94</v>
      </c>
      <c r="BH2769" s="42"/>
      <c r="BI2769" s="74"/>
      <c r="BJ2769" s="77"/>
      <c r="BL2769" s="497">
        <v>44.06</v>
      </c>
      <c r="BN2769" s="42"/>
      <c r="BO2769" s="74"/>
      <c r="BP2769" s="77"/>
      <c r="BR2769" s="497">
        <v>60.08</v>
      </c>
      <c r="BT2769" s="42"/>
    </row>
    <row r="2770" spans="1:72" x14ac:dyDescent="0.25">
      <c r="A2770" s="90">
        <v>33353</v>
      </c>
      <c r="B2770" s="20">
        <v>0.66666666666666663</v>
      </c>
      <c r="D2770">
        <v>51.980000000000004</v>
      </c>
      <c r="E2770" t="str">
        <f t="shared" si="120"/>
        <v>WEEKDAY</v>
      </c>
      <c r="F2770" t="e">
        <f t="shared" si="121"/>
        <v>#N/A</v>
      </c>
      <c r="G2770" s="74">
        <v>32988</v>
      </c>
      <c r="H2770" s="77">
        <v>0.66666666666666663</v>
      </c>
      <c r="J2770">
        <v>62.06</v>
      </c>
      <c r="M2770" s="74">
        <v>33353</v>
      </c>
      <c r="N2770" s="77">
        <v>0.66666666666666663</v>
      </c>
      <c r="P2770">
        <v>69.98</v>
      </c>
      <c r="S2770" s="74">
        <v>33353</v>
      </c>
      <c r="T2770" s="77">
        <v>0.66666666666666663</v>
      </c>
      <c r="V2770">
        <v>64.94</v>
      </c>
      <c r="X2770" s="42"/>
      <c r="AB2770">
        <v>58.9</v>
      </c>
      <c r="AC2770">
        <v>71.06</v>
      </c>
      <c r="AE2770" s="74"/>
      <c r="AF2770" s="77"/>
      <c r="AH2770" s="497">
        <v>69.98</v>
      </c>
      <c r="AJ2770" s="42"/>
      <c r="AK2770" s="74"/>
      <c r="AL2770" s="77"/>
      <c r="AN2770" s="497">
        <v>51.08</v>
      </c>
      <c r="AP2770" s="42"/>
      <c r="AQ2770" s="74"/>
      <c r="AR2770" s="77"/>
      <c r="AT2770" s="497">
        <v>60.980000000000004</v>
      </c>
      <c r="AV2770" s="42"/>
      <c r="AW2770" s="74"/>
      <c r="AX2770" s="77"/>
      <c r="BA2770" s="497">
        <v>60.980000000000004</v>
      </c>
      <c r="BB2770" s="42"/>
      <c r="BC2770" s="74"/>
      <c r="BD2770" s="77"/>
      <c r="BF2770">
        <v>48.92</v>
      </c>
      <c r="BH2770" s="42"/>
      <c r="BI2770" s="74"/>
      <c r="BJ2770" s="77"/>
      <c r="BL2770" s="497">
        <v>42.980000000000004</v>
      </c>
      <c r="BN2770" s="42"/>
      <c r="BO2770" s="74"/>
      <c r="BP2770" s="77"/>
      <c r="BR2770" s="497">
        <v>60.08</v>
      </c>
      <c r="BT2770" s="42"/>
    </row>
    <row r="2771" spans="1:72" x14ac:dyDescent="0.25">
      <c r="A2771" s="90">
        <v>33353</v>
      </c>
      <c r="B2771" s="20">
        <v>0.70833333333333337</v>
      </c>
      <c r="D2771">
        <v>51.980000000000004</v>
      </c>
      <c r="E2771" t="str">
        <f t="shared" ref="E2771:E2834" si="122">IF(COUNTIF($DI$18:$DI$22, WEEKDAY(A2771))=1, "WEEKDAY", IF(WEEKDAY(A2771) = 1, "SUNDAY", "SATURDAY"))</f>
        <v>WEEKDAY</v>
      </c>
      <c r="F2771" t="e">
        <f t="shared" si="121"/>
        <v>#N/A</v>
      </c>
      <c r="G2771" s="74">
        <v>32988</v>
      </c>
      <c r="H2771" s="77">
        <v>0.70833333333333337</v>
      </c>
      <c r="J2771">
        <v>62.06</v>
      </c>
      <c r="M2771" s="74">
        <v>33353</v>
      </c>
      <c r="N2771" s="77">
        <v>0.70833333333333337</v>
      </c>
      <c r="P2771">
        <v>69.98</v>
      </c>
      <c r="S2771" s="74">
        <v>33353</v>
      </c>
      <c r="T2771" s="77">
        <v>0.70833333333333337</v>
      </c>
      <c r="V2771">
        <v>66.02</v>
      </c>
      <c r="X2771" s="42"/>
      <c r="AB2771">
        <v>58.1</v>
      </c>
      <c r="AC2771">
        <v>69.98</v>
      </c>
      <c r="AE2771" s="74"/>
      <c r="AF2771" s="77"/>
      <c r="AH2771" s="497">
        <v>69.080000000000013</v>
      </c>
      <c r="AJ2771" s="42"/>
      <c r="AK2771" s="74"/>
      <c r="AL2771" s="77"/>
      <c r="AN2771" s="497">
        <v>51.08</v>
      </c>
      <c r="AP2771" s="42"/>
      <c r="AQ2771" s="74"/>
      <c r="AR2771" s="77"/>
      <c r="AT2771" s="497">
        <v>60.980000000000004</v>
      </c>
      <c r="AV2771" s="42"/>
      <c r="AW2771" s="74"/>
      <c r="AX2771" s="77"/>
      <c r="BA2771" s="497">
        <v>60.980000000000004</v>
      </c>
      <c r="BB2771" s="42"/>
      <c r="BC2771" s="74"/>
      <c r="BD2771" s="77"/>
      <c r="BF2771">
        <v>50</v>
      </c>
      <c r="BH2771" s="42"/>
      <c r="BI2771" s="74"/>
      <c r="BJ2771" s="77"/>
      <c r="BL2771" s="497">
        <v>44.06</v>
      </c>
      <c r="BN2771" s="42"/>
      <c r="BO2771" s="74"/>
      <c r="BP2771" s="77"/>
      <c r="BR2771" s="497">
        <v>60.08</v>
      </c>
      <c r="BT2771" s="42"/>
    </row>
    <row r="2772" spans="1:72" x14ac:dyDescent="0.25">
      <c r="A2772" s="90">
        <v>33353</v>
      </c>
      <c r="B2772" s="20">
        <v>0.75</v>
      </c>
      <c r="D2772">
        <v>55.040000000000006</v>
      </c>
      <c r="E2772" t="str">
        <f t="shared" si="122"/>
        <v>WEEKDAY</v>
      </c>
      <c r="F2772" t="e">
        <f t="shared" si="121"/>
        <v>#N/A</v>
      </c>
      <c r="G2772" s="74">
        <v>32988</v>
      </c>
      <c r="H2772" s="77">
        <v>0.75</v>
      </c>
      <c r="J2772">
        <v>60.980000000000004</v>
      </c>
      <c r="M2772" s="74">
        <v>33353</v>
      </c>
      <c r="N2772" s="77">
        <v>0.75</v>
      </c>
      <c r="P2772">
        <v>69.080000000000013</v>
      </c>
      <c r="S2772" s="74">
        <v>33353</v>
      </c>
      <c r="T2772" s="77">
        <v>0.75</v>
      </c>
      <c r="V2772">
        <v>62.06</v>
      </c>
      <c r="X2772" s="42"/>
      <c r="AB2772">
        <v>56.9</v>
      </c>
      <c r="AC2772">
        <v>68</v>
      </c>
      <c r="AE2772" s="74"/>
      <c r="AF2772" s="77"/>
      <c r="AH2772" s="497">
        <v>68</v>
      </c>
      <c r="AJ2772" s="42"/>
      <c r="AK2772" s="74"/>
      <c r="AL2772" s="77"/>
      <c r="AN2772" s="497">
        <v>50</v>
      </c>
      <c r="AP2772" s="42"/>
      <c r="AQ2772" s="74"/>
      <c r="AR2772" s="77"/>
      <c r="AT2772" s="497">
        <v>60.08</v>
      </c>
      <c r="AV2772" s="42"/>
      <c r="AW2772" s="74"/>
      <c r="AX2772" s="77"/>
      <c r="BA2772" s="497">
        <v>60.08</v>
      </c>
      <c r="BB2772" s="42"/>
      <c r="BC2772" s="74"/>
      <c r="BD2772" s="77"/>
      <c r="BF2772">
        <v>46.04</v>
      </c>
      <c r="BH2772" s="42"/>
      <c r="BI2772" s="74"/>
      <c r="BJ2772" s="77"/>
      <c r="BL2772" s="497">
        <v>39.019999999999996</v>
      </c>
      <c r="BN2772" s="42"/>
      <c r="BO2772" s="74"/>
      <c r="BP2772" s="77"/>
      <c r="BR2772" s="497">
        <v>59</v>
      </c>
      <c r="BT2772" s="42"/>
    </row>
    <row r="2773" spans="1:72" x14ac:dyDescent="0.25">
      <c r="A2773" s="90">
        <v>33353</v>
      </c>
      <c r="B2773" s="20">
        <v>0.79166666666666663</v>
      </c>
      <c r="D2773">
        <v>53.96</v>
      </c>
      <c r="E2773" t="str">
        <f t="shared" si="122"/>
        <v>WEEKDAY</v>
      </c>
      <c r="F2773" t="e">
        <f t="shared" si="121"/>
        <v>#N/A</v>
      </c>
      <c r="G2773" s="74">
        <v>32988</v>
      </c>
      <c r="H2773" s="77">
        <v>0.79166666666666663</v>
      </c>
      <c r="J2773">
        <v>59</v>
      </c>
      <c r="M2773" s="74">
        <v>33353</v>
      </c>
      <c r="N2773" s="77">
        <v>0.79166666666666663</v>
      </c>
      <c r="P2773">
        <v>62.96</v>
      </c>
      <c r="S2773" s="74">
        <v>33353</v>
      </c>
      <c r="T2773" s="77">
        <v>0.79166666666666663</v>
      </c>
      <c r="V2773">
        <v>57.92</v>
      </c>
      <c r="X2773" s="42"/>
      <c r="AB2773">
        <v>55.5</v>
      </c>
      <c r="AC2773">
        <v>64.039999999999992</v>
      </c>
      <c r="AE2773" s="74"/>
      <c r="AF2773" s="77"/>
      <c r="AH2773" s="497">
        <v>64.039999999999992</v>
      </c>
      <c r="AJ2773" s="42"/>
      <c r="AK2773" s="74"/>
      <c r="AL2773" s="77"/>
      <c r="AN2773" s="497">
        <v>48.92</v>
      </c>
      <c r="AP2773" s="42"/>
      <c r="AQ2773" s="74"/>
      <c r="AR2773" s="77"/>
      <c r="AT2773" s="497">
        <v>57.019999999999996</v>
      </c>
      <c r="AV2773" s="42"/>
      <c r="AW2773" s="74"/>
      <c r="AX2773" s="77"/>
      <c r="BA2773" s="497">
        <v>57.92</v>
      </c>
      <c r="BB2773" s="42"/>
      <c r="BC2773" s="74"/>
      <c r="BD2773" s="77"/>
      <c r="BF2773">
        <v>42.980000000000004</v>
      </c>
      <c r="BH2773" s="42"/>
      <c r="BI2773" s="74"/>
      <c r="BJ2773" s="77"/>
      <c r="BL2773" s="497">
        <v>37.04</v>
      </c>
      <c r="BN2773" s="42"/>
      <c r="BO2773" s="74"/>
      <c r="BP2773" s="77"/>
      <c r="BR2773" s="497">
        <v>57.92</v>
      </c>
      <c r="BT2773" s="42"/>
    </row>
    <row r="2774" spans="1:72" x14ac:dyDescent="0.25">
      <c r="A2774" s="90">
        <v>33353</v>
      </c>
      <c r="B2774" s="20">
        <v>0.83333333333333337</v>
      </c>
      <c r="D2774">
        <v>53.06</v>
      </c>
      <c r="E2774" t="str">
        <f t="shared" si="122"/>
        <v>WEEKDAY</v>
      </c>
      <c r="F2774" t="e">
        <f t="shared" si="121"/>
        <v>#N/A</v>
      </c>
      <c r="G2774" s="74">
        <v>32988</v>
      </c>
      <c r="H2774" s="77">
        <v>0.83333333333333337</v>
      </c>
      <c r="J2774">
        <v>55.040000000000006</v>
      </c>
      <c r="M2774" s="74">
        <v>33353</v>
      </c>
      <c r="N2774" s="77">
        <v>0.83333333333333337</v>
      </c>
      <c r="P2774">
        <v>57.019999999999996</v>
      </c>
      <c r="S2774" s="74">
        <v>33353</v>
      </c>
      <c r="T2774" s="77">
        <v>0.83333333333333337</v>
      </c>
      <c r="V2774">
        <v>57.019999999999996</v>
      </c>
      <c r="X2774" s="42"/>
      <c r="AB2774">
        <v>54.1</v>
      </c>
      <c r="AC2774">
        <v>57.019999999999996</v>
      </c>
      <c r="AE2774" s="74"/>
      <c r="AF2774" s="77"/>
      <c r="AH2774" s="497">
        <v>57.019999999999996</v>
      </c>
      <c r="AJ2774" s="42"/>
      <c r="AK2774" s="74"/>
      <c r="AL2774" s="77"/>
      <c r="AN2774" s="497">
        <v>48.019999999999996</v>
      </c>
      <c r="AP2774" s="42"/>
      <c r="AQ2774" s="74"/>
      <c r="AR2774" s="77"/>
      <c r="AT2774" s="497">
        <v>55.94</v>
      </c>
      <c r="AV2774" s="42"/>
      <c r="AW2774" s="74"/>
      <c r="AX2774" s="77"/>
      <c r="BA2774" s="497">
        <v>57.019999999999996</v>
      </c>
      <c r="BB2774" s="42"/>
      <c r="BC2774" s="74"/>
      <c r="BD2774" s="77"/>
      <c r="BF2774">
        <v>41</v>
      </c>
      <c r="BH2774" s="42"/>
      <c r="BI2774" s="74"/>
      <c r="BJ2774" s="77"/>
      <c r="BL2774" s="497">
        <v>37.04</v>
      </c>
      <c r="BN2774" s="42"/>
      <c r="BO2774" s="74"/>
      <c r="BP2774" s="77"/>
      <c r="BR2774" s="497">
        <v>57.92</v>
      </c>
      <c r="BT2774" s="42"/>
    </row>
    <row r="2775" spans="1:72" x14ac:dyDescent="0.25">
      <c r="A2775" s="90">
        <v>33353</v>
      </c>
      <c r="B2775" s="20">
        <v>0.875</v>
      </c>
      <c r="D2775">
        <v>51.08</v>
      </c>
      <c r="E2775" t="str">
        <f t="shared" si="122"/>
        <v>WEEKDAY</v>
      </c>
      <c r="F2775" t="e">
        <f t="shared" si="121"/>
        <v>#N/A</v>
      </c>
      <c r="G2775" s="74">
        <v>32988</v>
      </c>
      <c r="H2775" s="77">
        <v>0.875</v>
      </c>
      <c r="J2775">
        <v>55.040000000000006</v>
      </c>
      <c r="M2775" s="74">
        <v>33353</v>
      </c>
      <c r="N2775" s="77">
        <v>0.875</v>
      </c>
      <c r="P2775">
        <v>53.96</v>
      </c>
      <c r="S2775" s="74">
        <v>33353</v>
      </c>
      <c r="T2775" s="77">
        <v>0.875</v>
      </c>
      <c r="V2775">
        <v>55.94</v>
      </c>
      <c r="X2775" s="42"/>
      <c r="AB2775">
        <v>53.2</v>
      </c>
      <c r="AC2775">
        <v>55.040000000000006</v>
      </c>
      <c r="AE2775" s="74"/>
      <c r="AF2775" s="77"/>
      <c r="AH2775" s="497">
        <v>51.08</v>
      </c>
      <c r="AJ2775" s="42"/>
      <c r="AK2775" s="74"/>
      <c r="AL2775" s="77"/>
      <c r="AN2775" s="497">
        <v>48.019999999999996</v>
      </c>
      <c r="AP2775" s="42"/>
      <c r="AQ2775" s="74"/>
      <c r="AR2775" s="77"/>
      <c r="AT2775" s="497">
        <v>59</v>
      </c>
      <c r="AV2775" s="42"/>
      <c r="AW2775" s="74"/>
      <c r="AX2775" s="77"/>
      <c r="BA2775" s="497">
        <v>55.94</v>
      </c>
      <c r="BB2775" s="42"/>
      <c r="BC2775" s="74"/>
      <c r="BD2775" s="77"/>
      <c r="BF2775">
        <v>41</v>
      </c>
      <c r="BH2775" s="42"/>
      <c r="BI2775" s="74"/>
      <c r="BJ2775" s="77"/>
      <c r="BL2775" s="497">
        <v>39.019999999999996</v>
      </c>
      <c r="BN2775" s="42"/>
      <c r="BO2775" s="74"/>
      <c r="BP2775" s="77"/>
      <c r="BR2775" s="497">
        <v>57.019999999999996</v>
      </c>
      <c r="BT2775" s="42"/>
    </row>
    <row r="2776" spans="1:72" x14ac:dyDescent="0.25">
      <c r="A2776" s="90">
        <v>33353</v>
      </c>
      <c r="B2776" s="20">
        <v>0.91666666666666663</v>
      </c>
      <c r="D2776">
        <v>50</v>
      </c>
      <c r="E2776" t="str">
        <f t="shared" si="122"/>
        <v>WEEKDAY</v>
      </c>
      <c r="F2776" t="e">
        <f t="shared" si="121"/>
        <v>#N/A</v>
      </c>
      <c r="G2776" s="74">
        <v>32988</v>
      </c>
      <c r="H2776" s="77">
        <v>0.91666666666666663</v>
      </c>
      <c r="J2776">
        <v>53.96</v>
      </c>
      <c r="M2776" s="74">
        <v>33353</v>
      </c>
      <c r="N2776" s="77">
        <v>0.91666666666666663</v>
      </c>
      <c r="P2776">
        <v>53.06</v>
      </c>
      <c r="S2776" s="74">
        <v>33353</v>
      </c>
      <c r="T2776" s="77">
        <v>0.91666666666666663</v>
      </c>
      <c r="V2776">
        <v>53.96</v>
      </c>
      <c r="X2776" s="42"/>
      <c r="AB2776">
        <v>52.6</v>
      </c>
      <c r="AC2776">
        <v>53.96</v>
      </c>
      <c r="AE2776" s="74"/>
      <c r="AF2776" s="77"/>
      <c r="AH2776" s="497">
        <v>48.019999999999996</v>
      </c>
      <c r="AJ2776" s="42"/>
      <c r="AK2776" s="74"/>
      <c r="AL2776" s="77"/>
      <c r="AN2776" s="497">
        <v>46.94</v>
      </c>
      <c r="AP2776" s="42"/>
      <c r="AQ2776" s="74"/>
      <c r="AR2776" s="77"/>
      <c r="AT2776" s="497">
        <v>55.94</v>
      </c>
      <c r="AV2776" s="42"/>
      <c r="AW2776" s="74"/>
      <c r="AX2776" s="77"/>
      <c r="BA2776" s="497">
        <v>53.96</v>
      </c>
      <c r="BB2776" s="42"/>
      <c r="BC2776" s="74"/>
      <c r="BD2776" s="77"/>
      <c r="BF2776">
        <v>41</v>
      </c>
      <c r="BH2776" s="42"/>
      <c r="BI2776" s="74"/>
      <c r="BJ2776" s="77"/>
      <c r="BL2776" s="497">
        <v>39.019999999999996</v>
      </c>
      <c r="BN2776" s="42"/>
      <c r="BO2776" s="74"/>
      <c r="BP2776" s="77"/>
      <c r="BR2776" s="497">
        <v>57.019999999999996</v>
      </c>
      <c r="BT2776" s="42"/>
    </row>
    <row r="2777" spans="1:72" x14ac:dyDescent="0.25">
      <c r="A2777" s="90">
        <v>33353</v>
      </c>
      <c r="B2777" s="20">
        <v>0.95833333333333337</v>
      </c>
      <c r="D2777">
        <v>48.019999999999996</v>
      </c>
      <c r="E2777" t="str">
        <f t="shared" si="122"/>
        <v>WEEKDAY</v>
      </c>
      <c r="F2777" t="e">
        <f t="shared" si="121"/>
        <v>#N/A</v>
      </c>
      <c r="G2777" s="74">
        <v>32988</v>
      </c>
      <c r="H2777" s="77">
        <v>0.95833333333333337</v>
      </c>
      <c r="J2777">
        <v>53.06</v>
      </c>
      <c r="M2777" s="74">
        <v>33353</v>
      </c>
      <c r="N2777" s="77">
        <v>0.95833333333333337</v>
      </c>
      <c r="P2777">
        <v>48.019999999999996</v>
      </c>
      <c r="S2777" s="74">
        <v>33353</v>
      </c>
      <c r="T2777" s="77">
        <v>0.95833333333333337</v>
      </c>
      <c r="V2777">
        <v>51.980000000000004</v>
      </c>
      <c r="X2777" s="42"/>
      <c r="AB2777">
        <v>52.1</v>
      </c>
      <c r="AC2777">
        <v>50</v>
      </c>
      <c r="AE2777" s="74"/>
      <c r="AF2777" s="77"/>
      <c r="AH2777" s="497">
        <v>46.04</v>
      </c>
      <c r="AJ2777" s="42"/>
      <c r="AK2777" s="74"/>
      <c r="AL2777" s="77"/>
      <c r="AN2777" s="497">
        <v>46.04</v>
      </c>
      <c r="AP2777" s="42"/>
      <c r="AQ2777" s="74"/>
      <c r="AR2777" s="77"/>
      <c r="AT2777" s="497">
        <v>53.06</v>
      </c>
      <c r="AV2777" s="42"/>
      <c r="AW2777" s="74"/>
      <c r="AX2777" s="77"/>
      <c r="BA2777" s="497">
        <v>53.06</v>
      </c>
      <c r="BB2777" s="42"/>
      <c r="BC2777" s="74"/>
      <c r="BD2777" s="77"/>
      <c r="BF2777">
        <v>41</v>
      </c>
      <c r="BH2777" s="42"/>
      <c r="BI2777" s="74"/>
      <c r="BJ2777" s="77"/>
      <c r="BL2777" s="497">
        <v>37.94</v>
      </c>
      <c r="BN2777" s="42"/>
      <c r="BO2777" s="74"/>
      <c r="BP2777" s="77"/>
      <c r="BR2777" s="497">
        <v>57.019999999999996</v>
      </c>
      <c r="BT2777" s="42"/>
    </row>
    <row r="2778" spans="1:72" x14ac:dyDescent="0.25">
      <c r="A2778" s="90">
        <v>33353</v>
      </c>
      <c r="B2778" s="20">
        <v>1</v>
      </c>
      <c r="D2778">
        <v>48.019999999999996</v>
      </c>
      <c r="E2778" t="str">
        <f t="shared" si="122"/>
        <v>WEEKDAY</v>
      </c>
      <c r="F2778" t="e">
        <f t="shared" si="121"/>
        <v>#N/A</v>
      </c>
      <c r="G2778" s="74">
        <v>32988</v>
      </c>
      <c r="H2778" s="77">
        <v>1</v>
      </c>
      <c r="J2778">
        <v>51.980000000000004</v>
      </c>
      <c r="M2778" s="74">
        <v>33353</v>
      </c>
      <c r="N2778" s="80">
        <v>1</v>
      </c>
      <c r="P2778">
        <v>46.04</v>
      </c>
      <c r="S2778" s="74">
        <v>33353</v>
      </c>
      <c r="T2778" s="80">
        <v>1</v>
      </c>
      <c r="V2778">
        <v>51.980000000000004</v>
      </c>
      <c r="X2778" s="42"/>
      <c r="AB2778">
        <v>51.6</v>
      </c>
      <c r="AC2778">
        <v>46.04</v>
      </c>
      <c r="AE2778" s="74"/>
      <c r="AF2778" s="80"/>
      <c r="AH2778" s="497">
        <v>41</v>
      </c>
      <c r="AJ2778" s="42"/>
      <c r="AK2778" s="74"/>
      <c r="AL2778" s="80"/>
      <c r="AN2778" s="497">
        <v>44.06</v>
      </c>
      <c r="AP2778" s="42"/>
      <c r="AQ2778" s="74"/>
      <c r="AR2778" s="80"/>
      <c r="AT2778" s="497">
        <v>51.08</v>
      </c>
      <c r="AV2778" s="42"/>
      <c r="AW2778" s="74"/>
      <c r="AX2778" s="80"/>
      <c r="BA2778" s="497">
        <v>51.980000000000004</v>
      </c>
      <c r="BB2778" s="42"/>
      <c r="BC2778" s="74"/>
      <c r="BD2778" s="80"/>
      <c r="BF2778">
        <v>41</v>
      </c>
      <c r="BH2778" s="42"/>
      <c r="BI2778" s="74"/>
      <c r="BJ2778" s="80"/>
      <c r="BL2778" s="497">
        <v>37.04</v>
      </c>
      <c r="BN2778" s="42"/>
      <c r="BO2778" s="74"/>
      <c r="BP2778" s="80"/>
      <c r="BR2778" s="497">
        <v>55.040000000000006</v>
      </c>
      <c r="BT2778" s="42"/>
    </row>
    <row r="2779" spans="1:72" x14ac:dyDescent="0.25">
      <c r="A2779" s="90">
        <v>33354</v>
      </c>
      <c r="B2779" s="20">
        <v>4.1666666666666664E-2</v>
      </c>
      <c r="D2779">
        <v>46.94</v>
      </c>
      <c r="E2779" t="str">
        <f t="shared" si="122"/>
        <v>WEEKDAY</v>
      </c>
      <c r="F2779" t="e">
        <f t="shared" si="121"/>
        <v>#N/A</v>
      </c>
      <c r="G2779" s="74">
        <v>32989</v>
      </c>
      <c r="H2779" s="77">
        <v>4.1666666666666664E-2</v>
      </c>
      <c r="J2779">
        <v>51.08</v>
      </c>
      <c r="M2779" s="74">
        <v>33354</v>
      </c>
      <c r="N2779" s="77">
        <v>4.1666666666666664E-2</v>
      </c>
      <c r="P2779">
        <v>44.96</v>
      </c>
      <c r="S2779" s="74">
        <v>33354</v>
      </c>
      <c r="T2779" s="77">
        <v>4.1666666666666664E-2</v>
      </c>
      <c r="V2779">
        <v>50</v>
      </c>
      <c r="X2779" s="42"/>
      <c r="AB2779">
        <v>51.1</v>
      </c>
      <c r="AC2779">
        <v>44.96</v>
      </c>
      <c r="AE2779" s="74"/>
      <c r="AF2779" s="77"/>
      <c r="AH2779" s="497">
        <v>39.92</v>
      </c>
      <c r="AJ2779" s="42"/>
      <c r="AK2779" s="74"/>
      <c r="AL2779" s="77"/>
      <c r="AN2779" s="497">
        <v>42.980000000000004</v>
      </c>
      <c r="AP2779" s="42"/>
      <c r="AQ2779" s="74"/>
      <c r="AR2779" s="77"/>
      <c r="AT2779" s="497">
        <v>50</v>
      </c>
      <c r="AV2779" s="42"/>
      <c r="AW2779" s="74"/>
      <c r="AX2779" s="77"/>
      <c r="BA2779" s="497">
        <v>51.980000000000004</v>
      </c>
      <c r="BB2779" s="42"/>
      <c r="BC2779" s="74"/>
      <c r="BD2779" s="77"/>
      <c r="BF2779">
        <v>41</v>
      </c>
      <c r="BH2779" s="42"/>
      <c r="BI2779" s="74"/>
      <c r="BJ2779" s="77"/>
      <c r="BL2779" s="497">
        <v>37.04</v>
      </c>
      <c r="BN2779" s="42"/>
      <c r="BO2779" s="74"/>
      <c r="BP2779" s="77"/>
      <c r="BR2779" s="497">
        <v>53.06</v>
      </c>
      <c r="BT2779" s="42"/>
    </row>
    <row r="2780" spans="1:72" x14ac:dyDescent="0.25">
      <c r="A2780" s="90">
        <v>33354</v>
      </c>
      <c r="B2780" s="20">
        <v>8.3333333333333329E-2</v>
      </c>
      <c r="D2780">
        <v>48.019999999999996</v>
      </c>
      <c r="E2780" t="str">
        <f t="shared" si="122"/>
        <v>WEEKDAY</v>
      </c>
      <c r="F2780" t="e">
        <f t="shared" si="121"/>
        <v>#N/A</v>
      </c>
      <c r="G2780" s="74">
        <v>32989</v>
      </c>
      <c r="H2780" s="77">
        <v>8.3333333333333329E-2</v>
      </c>
      <c r="J2780">
        <v>50</v>
      </c>
      <c r="M2780" s="74">
        <v>33354</v>
      </c>
      <c r="N2780" s="77">
        <v>8.3333333333333329E-2</v>
      </c>
      <c r="P2780">
        <v>44.96</v>
      </c>
      <c r="S2780" s="74">
        <v>33354</v>
      </c>
      <c r="T2780" s="77">
        <v>8.3333333333333329E-2</v>
      </c>
      <c r="V2780">
        <v>50</v>
      </c>
      <c r="X2780" s="42"/>
      <c r="AB2780">
        <v>50.6</v>
      </c>
      <c r="AC2780">
        <v>42.08</v>
      </c>
      <c r="AE2780" s="74"/>
      <c r="AF2780" s="77"/>
      <c r="AH2780" s="497">
        <v>37.94</v>
      </c>
      <c r="AJ2780" s="42"/>
      <c r="AK2780" s="74"/>
      <c r="AL2780" s="77"/>
      <c r="AN2780" s="497">
        <v>42.08</v>
      </c>
      <c r="AP2780" s="42"/>
      <c r="AQ2780" s="74"/>
      <c r="AR2780" s="77"/>
      <c r="AT2780" s="497">
        <v>48.92</v>
      </c>
      <c r="AV2780" s="42"/>
      <c r="AW2780" s="74"/>
      <c r="AX2780" s="77"/>
      <c r="BA2780" s="497">
        <v>50</v>
      </c>
      <c r="BB2780" s="42"/>
      <c r="BC2780" s="74"/>
      <c r="BD2780" s="77"/>
      <c r="BF2780">
        <v>42.08</v>
      </c>
      <c r="BH2780" s="42"/>
      <c r="BI2780" s="74"/>
      <c r="BJ2780" s="77"/>
      <c r="BL2780" s="497">
        <v>37.04</v>
      </c>
      <c r="BN2780" s="42"/>
      <c r="BO2780" s="74"/>
      <c r="BP2780" s="77"/>
      <c r="BR2780" s="497">
        <v>48.92</v>
      </c>
      <c r="BT2780" s="42"/>
    </row>
    <row r="2781" spans="1:72" x14ac:dyDescent="0.25">
      <c r="A2781" s="90">
        <v>33354</v>
      </c>
      <c r="B2781" s="20">
        <v>0.125</v>
      </c>
      <c r="D2781">
        <v>48.019999999999996</v>
      </c>
      <c r="E2781" t="str">
        <f t="shared" si="122"/>
        <v>WEEKDAY</v>
      </c>
      <c r="F2781" t="e">
        <f t="shared" si="121"/>
        <v>#N/A</v>
      </c>
      <c r="G2781" s="74">
        <v>32989</v>
      </c>
      <c r="H2781" s="77">
        <v>0.125</v>
      </c>
      <c r="J2781">
        <v>48.92</v>
      </c>
      <c r="M2781" s="74">
        <v>33354</v>
      </c>
      <c r="N2781" s="77">
        <v>0.125</v>
      </c>
      <c r="P2781">
        <v>42.980000000000004</v>
      </c>
      <c r="S2781" s="74">
        <v>33354</v>
      </c>
      <c r="T2781" s="77">
        <v>0.125</v>
      </c>
      <c r="V2781">
        <v>48.92</v>
      </c>
      <c r="X2781" s="42"/>
      <c r="AB2781">
        <v>50.2</v>
      </c>
      <c r="AC2781">
        <v>39.92</v>
      </c>
      <c r="AE2781" s="74"/>
      <c r="AF2781" s="77"/>
      <c r="AH2781" s="497">
        <v>37.58</v>
      </c>
      <c r="AJ2781" s="42"/>
      <c r="AK2781" s="74"/>
      <c r="AL2781" s="77"/>
      <c r="AN2781" s="497">
        <v>42.08</v>
      </c>
      <c r="AP2781" s="42"/>
      <c r="AQ2781" s="74"/>
      <c r="AR2781" s="77"/>
      <c r="AT2781" s="497">
        <v>48.92</v>
      </c>
      <c r="AV2781" s="42"/>
      <c r="AW2781" s="74"/>
      <c r="AX2781" s="77"/>
      <c r="BA2781" s="497">
        <v>50</v>
      </c>
      <c r="BB2781" s="42"/>
      <c r="BC2781" s="74"/>
      <c r="BD2781" s="77"/>
      <c r="BF2781">
        <v>42.08</v>
      </c>
      <c r="BH2781" s="42"/>
      <c r="BI2781" s="74"/>
      <c r="BJ2781" s="77"/>
      <c r="BL2781" s="497">
        <v>35.06</v>
      </c>
      <c r="BN2781" s="42"/>
      <c r="BO2781" s="74"/>
      <c r="BP2781" s="77"/>
      <c r="BR2781" s="497">
        <v>50</v>
      </c>
      <c r="BT2781" s="42"/>
    </row>
    <row r="2782" spans="1:72" x14ac:dyDescent="0.25">
      <c r="A2782" s="90">
        <v>33354</v>
      </c>
      <c r="B2782" s="20">
        <v>0.16666666666666666</v>
      </c>
      <c r="D2782">
        <v>48.019999999999996</v>
      </c>
      <c r="E2782" t="str">
        <f t="shared" si="122"/>
        <v>WEEKDAY</v>
      </c>
      <c r="F2782" t="e">
        <f t="shared" si="121"/>
        <v>#N/A</v>
      </c>
      <c r="G2782" s="74">
        <v>32989</v>
      </c>
      <c r="H2782" s="77">
        <v>0.16666666666666666</v>
      </c>
      <c r="J2782">
        <v>50</v>
      </c>
      <c r="M2782" s="74">
        <v>33354</v>
      </c>
      <c r="N2782" s="77">
        <v>0.16666666666666666</v>
      </c>
      <c r="P2782">
        <v>42.980000000000004</v>
      </c>
      <c r="S2782" s="74">
        <v>33354</v>
      </c>
      <c r="T2782" s="77">
        <v>0.16666666666666666</v>
      </c>
      <c r="V2782">
        <v>50</v>
      </c>
      <c r="X2782" s="42"/>
      <c r="AB2782">
        <v>49.7</v>
      </c>
      <c r="AC2782">
        <v>41</v>
      </c>
      <c r="AE2782" s="74"/>
      <c r="AF2782" s="77"/>
      <c r="AH2782" s="497">
        <v>37.04</v>
      </c>
      <c r="AJ2782" s="42"/>
      <c r="AK2782" s="74"/>
      <c r="AL2782" s="77"/>
      <c r="AN2782" s="497">
        <v>41</v>
      </c>
      <c r="AP2782" s="42"/>
      <c r="AQ2782" s="74"/>
      <c r="AR2782" s="77"/>
      <c r="AT2782" s="497">
        <v>48.019999999999996</v>
      </c>
      <c r="AV2782" s="42"/>
      <c r="AW2782" s="74"/>
      <c r="AX2782" s="77"/>
      <c r="BA2782" s="497">
        <v>51.08</v>
      </c>
      <c r="BB2782" s="42"/>
      <c r="BC2782" s="74"/>
      <c r="BD2782" s="77"/>
      <c r="BF2782">
        <v>41</v>
      </c>
      <c r="BH2782" s="42"/>
      <c r="BI2782" s="74"/>
      <c r="BJ2782" s="77"/>
      <c r="BL2782" s="497">
        <v>35.06</v>
      </c>
      <c r="BN2782" s="42"/>
      <c r="BO2782" s="74"/>
      <c r="BP2782" s="77"/>
      <c r="BR2782" s="497">
        <v>48.019999999999996</v>
      </c>
      <c r="BT2782" s="42"/>
    </row>
    <row r="2783" spans="1:72" x14ac:dyDescent="0.25">
      <c r="A2783" s="90">
        <v>33354</v>
      </c>
      <c r="B2783" s="20">
        <v>0.20833333333333334</v>
      </c>
      <c r="D2783">
        <v>48.019999999999996</v>
      </c>
      <c r="E2783" t="str">
        <f t="shared" si="122"/>
        <v>WEEKDAY</v>
      </c>
      <c r="F2783" t="e">
        <f t="shared" si="121"/>
        <v>#N/A</v>
      </c>
      <c r="G2783" s="74">
        <v>32989</v>
      </c>
      <c r="H2783" s="77">
        <v>0.20833333333333334</v>
      </c>
      <c r="J2783">
        <v>50</v>
      </c>
      <c r="M2783" s="74">
        <v>33354</v>
      </c>
      <c r="N2783" s="77">
        <v>0.20833333333333334</v>
      </c>
      <c r="P2783">
        <v>42.08</v>
      </c>
      <c r="S2783" s="74">
        <v>33354</v>
      </c>
      <c r="T2783" s="77">
        <v>0.20833333333333334</v>
      </c>
      <c r="V2783">
        <v>46.94</v>
      </c>
      <c r="X2783" s="42"/>
      <c r="AB2783">
        <v>49.3</v>
      </c>
      <c r="AC2783">
        <v>42.08</v>
      </c>
      <c r="AE2783" s="74"/>
      <c r="AF2783" s="77"/>
      <c r="AH2783" s="497">
        <v>35.06</v>
      </c>
      <c r="AJ2783" s="42"/>
      <c r="AK2783" s="74"/>
      <c r="AL2783" s="77"/>
      <c r="AN2783" s="497">
        <v>41</v>
      </c>
      <c r="AP2783" s="42"/>
      <c r="AQ2783" s="74"/>
      <c r="AR2783" s="77"/>
      <c r="AT2783" s="497">
        <v>48.019999999999996</v>
      </c>
      <c r="AV2783" s="42"/>
      <c r="AW2783" s="74"/>
      <c r="AX2783" s="77"/>
      <c r="BA2783" s="497">
        <v>48.92</v>
      </c>
      <c r="BB2783" s="42"/>
      <c r="BC2783" s="74"/>
      <c r="BD2783" s="77"/>
      <c r="BF2783">
        <v>39.92</v>
      </c>
      <c r="BH2783" s="42"/>
      <c r="BI2783" s="74"/>
      <c r="BJ2783" s="77"/>
      <c r="BL2783" s="497">
        <v>35.96</v>
      </c>
      <c r="BN2783" s="42"/>
      <c r="BO2783" s="74"/>
      <c r="BP2783" s="77"/>
      <c r="BR2783" s="497">
        <v>46.04</v>
      </c>
      <c r="BT2783" s="42"/>
    </row>
    <row r="2784" spans="1:72" x14ac:dyDescent="0.25">
      <c r="A2784" s="90">
        <v>33354</v>
      </c>
      <c r="B2784" s="20">
        <v>0.25</v>
      </c>
      <c r="D2784">
        <v>46.04</v>
      </c>
      <c r="E2784" t="str">
        <f t="shared" si="122"/>
        <v>WEEKDAY</v>
      </c>
      <c r="F2784" t="e">
        <f t="shared" si="121"/>
        <v>#N/A</v>
      </c>
      <c r="G2784" s="74">
        <v>32989</v>
      </c>
      <c r="H2784" s="77">
        <v>0.25</v>
      </c>
      <c r="J2784">
        <v>50</v>
      </c>
      <c r="M2784" s="74">
        <v>33354</v>
      </c>
      <c r="N2784" s="77">
        <v>0.25</v>
      </c>
      <c r="P2784">
        <v>42.980000000000004</v>
      </c>
      <c r="S2784" s="74">
        <v>33354</v>
      </c>
      <c r="T2784" s="77">
        <v>0.25</v>
      </c>
      <c r="V2784">
        <v>51.08</v>
      </c>
      <c r="X2784" s="42"/>
      <c r="AB2784">
        <v>49</v>
      </c>
      <c r="AC2784">
        <v>42.08</v>
      </c>
      <c r="AE2784" s="74"/>
      <c r="AF2784" s="77"/>
      <c r="AH2784" s="497">
        <v>35.96</v>
      </c>
      <c r="AJ2784" s="42"/>
      <c r="AK2784" s="74"/>
      <c r="AL2784" s="77"/>
      <c r="AN2784" s="497">
        <v>39.92</v>
      </c>
      <c r="AP2784" s="42"/>
      <c r="AQ2784" s="74"/>
      <c r="AR2784" s="77"/>
      <c r="AT2784" s="497">
        <v>46.94</v>
      </c>
      <c r="AV2784" s="42"/>
      <c r="AW2784" s="74"/>
      <c r="AX2784" s="77"/>
      <c r="BA2784" s="497">
        <v>46.94</v>
      </c>
      <c r="BB2784" s="42"/>
      <c r="BC2784" s="74"/>
      <c r="BD2784" s="77"/>
      <c r="BF2784">
        <v>39.92</v>
      </c>
      <c r="BH2784" s="42"/>
      <c r="BI2784" s="74"/>
      <c r="BJ2784" s="77"/>
      <c r="BL2784" s="497">
        <v>35.96</v>
      </c>
      <c r="BN2784" s="42"/>
      <c r="BO2784" s="74"/>
      <c r="BP2784" s="77"/>
      <c r="BR2784" s="497">
        <v>48.019999999999996</v>
      </c>
      <c r="BT2784" s="42"/>
    </row>
    <row r="2785" spans="1:72" x14ac:dyDescent="0.25">
      <c r="A2785" s="90">
        <v>33354</v>
      </c>
      <c r="B2785" s="20">
        <v>0.29166666666666669</v>
      </c>
      <c r="D2785">
        <v>46.04</v>
      </c>
      <c r="E2785" t="str">
        <f t="shared" si="122"/>
        <v>WEEKDAY</v>
      </c>
      <c r="F2785" t="e">
        <f t="shared" si="121"/>
        <v>#N/A</v>
      </c>
      <c r="G2785" s="74">
        <v>32989</v>
      </c>
      <c r="H2785" s="77">
        <v>0.29166666666666669</v>
      </c>
      <c r="J2785">
        <v>51.08</v>
      </c>
      <c r="M2785" s="74">
        <v>33354</v>
      </c>
      <c r="N2785" s="77">
        <v>0.29166666666666669</v>
      </c>
      <c r="P2785">
        <v>51.980000000000004</v>
      </c>
      <c r="S2785" s="74">
        <v>33354</v>
      </c>
      <c r="T2785" s="77">
        <v>0.29166666666666669</v>
      </c>
      <c r="V2785">
        <v>53.06</v>
      </c>
      <c r="X2785" s="42"/>
      <c r="AB2785">
        <v>49.7</v>
      </c>
      <c r="AC2785">
        <v>53.96</v>
      </c>
      <c r="AE2785" s="74"/>
      <c r="AF2785" s="77"/>
      <c r="AH2785" s="497">
        <v>44.06</v>
      </c>
      <c r="AJ2785" s="42"/>
      <c r="AK2785" s="74"/>
      <c r="AL2785" s="77"/>
      <c r="AN2785" s="497">
        <v>44.06</v>
      </c>
      <c r="AP2785" s="42"/>
      <c r="AQ2785" s="74"/>
      <c r="AR2785" s="77"/>
      <c r="AT2785" s="497">
        <v>48.019999999999996</v>
      </c>
      <c r="AV2785" s="42"/>
      <c r="AW2785" s="74"/>
      <c r="AX2785" s="77"/>
      <c r="BA2785" s="497">
        <v>53.96</v>
      </c>
      <c r="BB2785" s="42"/>
      <c r="BC2785" s="74"/>
      <c r="BD2785" s="77"/>
      <c r="BF2785">
        <v>41</v>
      </c>
      <c r="BH2785" s="42"/>
      <c r="BI2785" s="74"/>
      <c r="BJ2785" s="77"/>
      <c r="BL2785" s="497">
        <v>37.04</v>
      </c>
      <c r="BN2785" s="42"/>
      <c r="BO2785" s="74"/>
      <c r="BP2785" s="77"/>
      <c r="BR2785" s="497">
        <v>53.96</v>
      </c>
      <c r="BT2785" s="42"/>
    </row>
    <row r="2786" spans="1:72" x14ac:dyDescent="0.25">
      <c r="A2786" s="90">
        <v>33354</v>
      </c>
      <c r="B2786" s="20">
        <v>0.33333333333333331</v>
      </c>
      <c r="D2786">
        <v>46.04</v>
      </c>
      <c r="E2786" t="str">
        <f t="shared" si="122"/>
        <v>WEEKDAY</v>
      </c>
      <c r="F2786" t="e">
        <f t="shared" si="121"/>
        <v>#N/A</v>
      </c>
      <c r="G2786" s="74">
        <v>32989</v>
      </c>
      <c r="H2786" s="77">
        <v>0.33333333333333331</v>
      </c>
      <c r="J2786">
        <v>55.040000000000006</v>
      </c>
      <c r="M2786" s="74">
        <v>33354</v>
      </c>
      <c r="N2786" s="77">
        <v>0.33333333333333331</v>
      </c>
      <c r="P2786">
        <v>58.46</v>
      </c>
      <c r="S2786" s="74">
        <v>33354</v>
      </c>
      <c r="T2786" s="77">
        <v>0.33333333333333331</v>
      </c>
      <c r="V2786">
        <v>59</v>
      </c>
      <c r="X2786" s="42"/>
      <c r="AB2786">
        <v>51.7</v>
      </c>
      <c r="AC2786">
        <v>62.06</v>
      </c>
      <c r="AE2786" s="74"/>
      <c r="AF2786" s="77"/>
      <c r="AH2786" s="497">
        <v>50</v>
      </c>
      <c r="AJ2786" s="42"/>
      <c r="AK2786" s="74"/>
      <c r="AL2786" s="77"/>
      <c r="AN2786" s="497">
        <v>46.04</v>
      </c>
      <c r="AP2786" s="42"/>
      <c r="AQ2786" s="74"/>
      <c r="AR2786" s="77"/>
      <c r="AT2786" s="497">
        <v>48.92</v>
      </c>
      <c r="AV2786" s="42"/>
      <c r="AW2786" s="74"/>
      <c r="AX2786" s="77"/>
      <c r="BA2786" s="497">
        <v>57.92</v>
      </c>
      <c r="BB2786" s="42"/>
      <c r="BC2786" s="74"/>
      <c r="BD2786" s="77"/>
      <c r="BF2786">
        <v>46.04</v>
      </c>
      <c r="BH2786" s="42"/>
      <c r="BI2786" s="74"/>
      <c r="BJ2786" s="77"/>
      <c r="BL2786" s="497">
        <v>41</v>
      </c>
      <c r="BN2786" s="42"/>
      <c r="BO2786" s="74"/>
      <c r="BP2786" s="77"/>
      <c r="BR2786" s="497">
        <v>57.019999999999996</v>
      </c>
      <c r="BT2786" s="42"/>
    </row>
    <row r="2787" spans="1:72" x14ac:dyDescent="0.25">
      <c r="A2787" s="90">
        <v>33354</v>
      </c>
      <c r="B2787" s="20">
        <v>0.375</v>
      </c>
      <c r="D2787">
        <v>48.019999999999996</v>
      </c>
      <c r="E2787" t="str">
        <f t="shared" si="122"/>
        <v>WEEKDAY</v>
      </c>
      <c r="F2787" t="e">
        <f t="shared" si="121"/>
        <v>#N/A</v>
      </c>
      <c r="G2787" s="74">
        <v>32989</v>
      </c>
      <c r="H2787" s="77">
        <v>0.375</v>
      </c>
      <c r="J2787">
        <v>60.08</v>
      </c>
      <c r="M2787" s="74">
        <v>33354</v>
      </c>
      <c r="N2787" s="77">
        <v>0.375</v>
      </c>
      <c r="P2787">
        <v>64.94</v>
      </c>
      <c r="S2787" s="74">
        <v>33354</v>
      </c>
      <c r="T2787" s="77">
        <v>0.375</v>
      </c>
      <c r="V2787">
        <v>64.039999999999992</v>
      </c>
      <c r="X2787" s="42"/>
      <c r="AB2787">
        <v>53.7</v>
      </c>
      <c r="AC2787">
        <v>66.92</v>
      </c>
      <c r="AE2787" s="74"/>
      <c r="AF2787" s="77"/>
      <c r="AH2787" s="497">
        <v>57.019999999999996</v>
      </c>
      <c r="AJ2787" s="42"/>
      <c r="AK2787" s="74"/>
      <c r="AL2787" s="77"/>
      <c r="AN2787" s="497">
        <v>50</v>
      </c>
      <c r="AP2787" s="42"/>
      <c r="AQ2787" s="74"/>
      <c r="AR2787" s="77"/>
      <c r="AT2787" s="497">
        <v>50</v>
      </c>
      <c r="AV2787" s="42"/>
      <c r="AW2787" s="74"/>
      <c r="AX2787" s="77"/>
      <c r="BA2787" s="497">
        <v>59</v>
      </c>
      <c r="BB2787" s="42"/>
      <c r="BC2787" s="74"/>
      <c r="BD2787" s="77"/>
      <c r="BF2787">
        <v>50</v>
      </c>
      <c r="BH2787" s="42"/>
      <c r="BI2787" s="74"/>
      <c r="BJ2787" s="77"/>
      <c r="BL2787" s="497">
        <v>37.4</v>
      </c>
      <c r="BN2787" s="42"/>
      <c r="BO2787" s="74"/>
      <c r="BP2787" s="77"/>
      <c r="BR2787" s="497">
        <v>59</v>
      </c>
      <c r="BT2787" s="42"/>
    </row>
    <row r="2788" spans="1:72" x14ac:dyDescent="0.25">
      <c r="A2788" s="90">
        <v>33354</v>
      </c>
      <c r="B2788" s="20">
        <v>0.41666666666666669</v>
      </c>
      <c r="D2788">
        <v>46.94</v>
      </c>
      <c r="E2788" t="str">
        <f t="shared" si="122"/>
        <v>WEEKDAY</v>
      </c>
      <c r="F2788" t="e">
        <f t="shared" si="121"/>
        <v>#N/A</v>
      </c>
      <c r="G2788" s="74">
        <v>32989</v>
      </c>
      <c r="H2788" s="77">
        <v>0.41666666666666669</v>
      </c>
      <c r="J2788">
        <v>64.94</v>
      </c>
      <c r="M2788" s="74">
        <v>33354</v>
      </c>
      <c r="N2788" s="77">
        <v>0.41666666666666669</v>
      </c>
      <c r="P2788">
        <v>66.92</v>
      </c>
      <c r="S2788" s="74">
        <v>33354</v>
      </c>
      <c r="T2788" s="77">
        <v>0.41666666666666669</v>
      </c>
      <c r="V2788">
        <v>60.980000000000004</v>
      </c>
      <c r="X2788" s="42"/>
      <c r="AB2788">
        <v>55.5</v>
      </c>
      <c r="AC2788">
        <v>69.080000000000013</v>
      </c>
      <c r="AE2788" s="74"/>
      <c r="AF2788" s="77"/>
      <c r="AH2788" s="497">
        <v>64.039999999999992</v>
      </c>
      <c r="AJ2788" s="42"/>
      <c r="AK2788" s="74"/>
      <c r="AL2788" s="77"/>
      <c r="AN2788" s="497">
        <v>51.980000000000004</v>
      </c>
      <c r="AP2788" s="42"/>
      <c r="AQ2788" s="74"/>
      <c r="AR2788" s="77"/>
      <c r="AT2788" s="497">
        <v>51.08</v>
      </c>
      <c r="AV2788" s="42"/>
      <c r="AW2788" s="74"/>
      <c r="AX2788" s="77"/>
      <c r="BA2788" s="497">
        <v>60.08</v>
      </c>
      <c r="BB2788" s="42"/>
      <c r="BC2788" s="74"/>
      <c r="BD2788" s="77"/>
      <c r="BF2788">
        <v>53.96</v>
      </c>
      <c r="BH2788" s="42"/>
      <c r="BI2788" s="74"/>
      <c r="BJ2788" s="77"/>
      <c r="BL2788" s="497">
        <v>39.92</v>
      </c>
      <c r="BN2788" s="42"/>
      <c r="BO2788" s="74"/>
      <c r="BP2788" s="77"/>
      <c r="BR2788" s="497">
        <v>64.039999999999992</v>
      </c>
      <c r="BT2788" s="42"/>
    </row>
    <row r="2789" spans="1:72" x14ac:dyDescent="0.25">
      <c r="A2789" s="90">
        <v>33354</v>
      </c>
      <c r="B2789" s="20">
        <v>0.45833333333333331</v>
      </c>
      <c r="D2789">
        <v>48.019999999999996</v>
      </c>
      <c r="E2789" t="str">
        <f t="shared" si="122"/>
        <v>WEEKDAY</v>
      </c>
      <c r="F2789" t="e">
        <f t="shared" si="121"/>
        <v>#N/A</v>
      </c>
      <c r="G2789" s="74">
        <v>32989</v>
      </c>
      <c r="H2789" s="77">
        <v>0.45833333333333331</v>
      </c>
      <c r="J2789">
        <v>69.080000000000013</v>
      </c>
      <c r="M2789" s="74">
        <v>33354</v>
      </c>
      <c r="N2789" s="77">
        <v>0.45833333333333331</v>
      </c>
      <c r="P2789">
        <v>66.92</v>
      </c>
      <c r="S2789" s="74">
        <v>33354</v>
      </c>
      <c r="T2789" s="77">
        <v>0.45833333333333331</v>
      </c>
      <c r="V2789">
        <v>66.02</v>
      </c>
      <c r="X2789" s="42"/>
      <c r="AB2789">
        <v>57.1</v>
      </c>
      <c r="AC2789">
        <v>68</v>
      </c>
      <c r="AE2789" s="74"/>
      <c r="AF2789" s="77"/>
      <c r="AH2789" s="497">
        <v>69.98</v>
      </c>
      <c r="AJ2789" s="42"/>
      <c r="AK2789" s="74"/>
      <c r="AL2789" s="77"/>
      <c r="AN2789" s="497">
        <v>55.040000000000006</v>
      </c>
      <c r="AP2789" s="42"/>
      <c r="AQ2789" s="74"/>
      <c r="AR2789" s="77"/>
      <c r="AT2789" s="497">
        <v>53.96</v>
      </c>
      <c r="AV2789" s="42"/>
      <c r="AW2789" s="74"/>
      <c r="AX2789" s="77"/>
      <c r="BA2789" s="497">
        <v>60.980000000000004</v>
      </c>
      <c r="BB2789" s="42"/>
      <c r="BC2789" s="74"/>
      <c r="BD2789" s="77"/>
      <c r="BF2789">
        <v>55.040000000000006</v>
      </c>
      <c r="BH2789" s="42"/>
      <c r="BI2789" s="74"/>
      <c r="BJ2789" s="77"/>
      <c r="BL2789" s="497">
        <v>42.08</v>
      </c>
      <c r="BN2789" s="42"/>
      <c r="BO2789" s="74"/>
      <c r="BP2789" s="77"/>
      <c r="BR2789" s="497">
        <v>62.96</v>
      </c>
      <c r="BT2789" s="42"/>
    </row>
    <row r="2790" spans="1:72" x14ac:dyDescent="0.25">
      <c r="A2790" s="90">
        <v>33354</v>
      </c>
      <c r="B2790" s="20">
        <v>0.5</v>
      </c>
      <c r="D2790">
        <v>48.92</v>
      </c>
      <c r="E2790" t="str">
        <f t="shared" si="122"/>
        <v>WEEKDAY</v>
      </c>
      <c r="F2790" t="e">
        <f t="shared" si="121"/>
        <v>#N/A</v>
      </c>
      <c r="G2790" s="74">
        <v>32989</v>
      </c>
      <c r="H2790" s="77">
        <v>0.5</v>
      </c>
      <c r="J2790">
        <v>71.960000000000008</v>
      </c>
      <c r="M2790" s="74">
        <v>33354</v>
      </c>
      <c r="N2790" s="77">
        <v>0.5</v>
      </c>
      <c r="P2790">
        <v>69.98</v>
      </c>
      <c r="S2790" s="74">
        <v>33354</v>
      </c>
      <c r="T2790" s="77">
        <v>0.5</v>
      </c>
      <c r="V2790">
        <v>66.02</v>
      </c>
      <c r="X2790" s="42"/>
      <c r="AB2790">
        <v>58.3</v>
      </c>
      <c r="AC2790">
        <v>69.98</v>
      </c>
      <c r="AE2790" s="74"/>
      <c r="AF2790" s="77"/>
      <c r="AH2790" s="497">
        <v>73.94</v>
      </c>
      <c r="AJ2790" s="42"/>
      <c r="AK2790" s="74"/>
      <c r="AL2790" s="77"/>
      <c r="AN2790" s="497">
        <v>55.94</v>
      </c>
      <c r="AP2790" s="42"/>
      <c r="AQ2790" s="74"/>
      <c r="AR2790" s="77"/>
      <c r="AT2790" s="497">
        <v>59</v>
      </c>
      <c r="AV2790" s="42"/>
      <c r="AW2790" s="74"/>
      <c r="AX2790" s="77"/>
      <c r="BA2790" s="497">
        <v>60.980000000000004</v>
      </c>
      <c r="BB2790" s="42"/>
      <c r="BC2790" s="74"/>
      <c r="BD2790" s="77"/>
      <c r="BF2790">
        <v>57.92</v>
      </c>
      <c r="BH2790" s="42"/>
      <c r="BI2790" s="74"/>
      <c r="BJ2790" s="77"/>
      <c r="BL2790" s="497">
        <v>42.980000000000004</v>
      </c>
      <c r="BN2790" s="42"/>
      <c r="BO2790" s="74"/>
      <c r="BP2790" s="77"/>
      <c r="BR2790" s="497">
        <v>62.96</v>
      </c>
      <c r="BT2790" s="42"/>
    </row>
    <row r="2791" spans="1:72" x14ac:dyDescent="0.25">
      <c r="A2791" s="90">
        <v>33354</v>
      </c>
      <c r="B2791" s="20">
        <v>0.54166666666666663</v>
      </c>
      <c r="D2791">
        <v>50</v>
      </c>
      <c r="E2791" t="str">
        <f t="shared" si="122"/>
        <v>WEEKDAY</v>
      </c>
      <c r="F2791" t="e">
        <f t="shared" si="121"/>
        <v>#N/A</v>
      </c>
      <c r="G2791" s="74">
        <v>32989</v>
      </c>
      <c r="H2791" s="77">
        <v>0.54166666666666663</v>
      </c>
      <c r="J2791">
        <v>71.960000000000008</v>
      </c>
      <c r="M2791" s="74">
        <v>33354</v>
      </c>
      <c r="N2791" s="77">
        <v>0.54166666666666663</v>
      </c>
      <c r="P2791">
        <v>69.98</v>
      </c>
      <c r="S2791" s="74">
        <v>33354</v>
      </c>
      <c r="T2791" s="77">
        <v>0.54166666666666663</v>
      </c>
      <c r="V2791">
        <v>64.94</v>
      </c>
      <c r="X2791" s="42"/>
      <c r="AB2791">
        <v>59.1</v>
      </c>
      <c r="AC2791">
        <v>69.98</v>
      </c>
      <c r="AE2791" s="74"/>
      <c r="AF2791" s="77"/>
      <c r="AH2791" s="497">
        <v>73.94</v>
      </c>
      <c r="AJ2791" s="42"/>
      <c r="AK2791" s="74"/>
      <c r="AL2791" s="77"/>
      <c r="AN2791" s="497">
        <v>60.08</v>
      </c>
      <c r="AP2791" s="42"/>
      <c r="AQ2791" s="74"/>
      <c r="AR2791" s="77"/>
      <c r="AT2791" s="497">
        <v>62.06</v>
      </c>
      <c r="AV2791" s="42"/>
      <c r="AW2791" s="74"/>
      <c r="AX2791" s="77"/>
      <c r="BA2791" s="497">
        <v>60.980000000000004</v>
      </c>
      <c r="BB2791" s="42"/>
      <c r="BC2791" s="74"/>
      <c r="BD2791" s="77"/>
      <c r="BF2791">
        <v>60.08</v>
      </c>
      <c r="BH2791" s="42"/>
      <c r="BI2791" s="74"/>
      <c r="BJ2791" s="77"/>
      <c r="BL2791" s="497">
        <v>42.980000000000004</v>
      </c>
      <c r="BN2791" s="42"/>
      <c r="BO2791" s="74"/>
      <c r="BP2791" s="77"/>
      <c r="BR2791" s="497">
        <v>64.94</v>
      </c>
      <c r="BT2791" s="42"/>
    </row>
    <row r="2792" spans="1:72" x14ac:dyDescent="0.25">
      <c r="A2792" s="90">
        <v>33354</v>
      </c>
      <c r="B2792" s="20">
        <v>0.58333333333333337</v>
      </c>
      <c r="D2792">
        <v>51.08</v>
      </c>
      <c r="E2792" t="str">
        <f t="shared" si="122"/>
        <v>WEEKDAY</v>
      </c>
      <c r="F2792" t="e">
        <f t="shared" si="121"/>
        <v>#N/A</v>
      </c>
      <c r="G2792" s="74">
        <v>32989</v>
      </c>
      <c r="H2792" s="77">
        <v>0.58333333333333337</v>
      </c>
      <c r="J2792">
        <v>71.06</v>
      </c>
      <c r="M2792" s="74">
        <v>33354</v>
      </c>
      <c r="N2792" s="77">
        <v>0.58333333333333337</v>
      </c>
      <c r="P2792">
        <v>71.960000000000008</v>
      </c>
      <c r="S2792" s="74">
        <v>33354</v>
      </c>
      <c r="T2792" s="77">
        <v>0.58333333333333337</v>
      </c>
      <c r="V2792">
        <v>64.94</v>
      </c>
      <c r="X2792" s="42"/>
      <c r="AB2792">
        <v>59.6</v>
      </c>
      <c r="AC2792">
        <v>69.080000000000013</v>
      </c>
      <c r="AE2792" s="74"/>
      <c r="AF2792" s="77"/>
      <c r="AH2792" s="497">
        <v>73.94</v>
      </c>
      <c r="AJ2792" s="42"/>
      <c r="AK2792" s="74"/>
      <c r="AL2792" s="77"/>
      <c r="AN2792" s="497">
        <v>57.92</v>
      </c>
      <c r="AP2792" s="42"/>
      <c r="AQ2792" s="74"/>
      <c r="AR2792" s="77"/>
      <c r="AT2792" s="497">
        <v>64.94</v>
      </c>
      <c r="AV2792" s="42"/>
      <c r="AW2792" s="74"/>
      <c r="AX2792" s="77"/>
      <c r="BA2792" s="497">
        <v>57.92</v>
      </c>
      <c r="BB2792" s="42"/>
      <c r="BC2792" s="74"/>
      <c r="BD2792" s="77"/>
      <c r="BF2792">
        <v>62.06</v>
      </c>
      <c r="BH2792" s="42"/>
      <c r="BI2792" s="74"/>
      <c r="BJ2792" s="77"/>
      <c r="BL2792" s="497">
        <v>44.06</v>
      </c>
      <c r="BN2792" s="42"/>
      <c r="BO2792" s="74"/>
      <c r="BP2792" s="77"/>
      <c r="BR2792" s="497">
        <v>64.94</v>
      </c>
      <c r="BT2792" s="42"/>
    </row>
    <row r="2793" spans="1:72" x14ac:dyDescent="0.25">
      <c r="A2793" s="90">
        <v>33354</v>
      </c>
      <c r="B2793" s="20">
        <v>0.625</v>
      </c>
      <c r="D2793">
        <v>51.08</v>
      </c>
      <c r="E2793" t="str">
        <f t="shared" si="122"/>
        <v>WEEKDAY</v>
      </c>
      <c r="F2793" t="e">
        <f t="shared" si="121"/>
        <v>#N/A</v>
      </c>
      <c r="G2793" s="74">
        <v>32989</v>
      </c>
      <c r="H2793" s="77">
        <v>0.625</v>
      </c>
      <c r="J2793">
        <v>69.080000000000013</v>
      </c>
      <c r="M2793" s="74">
        <v>33354</v>
      </c>
      <c r="N2793" s="77">
        <v>0.625</v>
      </c>
      <c r="P2793">
        <v>71.06</v>
      </c>
      <c r="S2793" s="74">
        <v>33354</v>
      </c>
      <c r="T2793" s="77">
        <v>0.625</v>
      </c>
      <c r="V2793">
        <v>62.96</v>
      </c>
      <c r="X2793" s="42"/>
      <c r="AB2793">
        <v>59.7</v>
      </c>
      <c r="AC2793">
        <v>66.92</v>
      </c>
      <c r="AE2793" s="74"/>
      <c r="AF2793" s="77"/>
      <c r="AH2793" s="497">
        <v>75.92</v>
      </c>
      <c r="AJ2793" s="42"/>
      <c r="AK2793" s="74"/>
      <c r="AL2793" s="77"/>
      <c r="AN2793" s="497">
        <v>59</v>
      </c>
      <c r="AP2793" s="42"/>
      <c r="AQ2793" s="74"/>
      <c r="AR2793" s="77"/>
      <c r="AT2793" s="497">
        <v>66.92</v>
      </c>
      <c r="AV2793" s="42"/>
      <c r="AW2793" s="74"/>
      <c r="AX2793" s="77"/>
      <c r="BA2793" s="497">
        <v>55.94</v>
      </c>
      <c r="BB2793" s="42"/>
      <c r="BC2793" s="74"/>
      <c r="BD2793" s="77"/>
      <c r="BF2793">
        <v>59</v>
      </c>
      <c r="BH2793" s="42"/>
      <c r="BI2793" s="74"/>
      <c r="BJ2793" s="77"/>
      <c r="BL2793" s="497">
        <v>44.06</v>
      </c>
      <c r="BN2793" s="42"/>
      <c r="BO2793" s="74"/>
      <c r="BP2793" s="77"/>
      <c r="BR2793" s="497">
        <v>66.02</v>
      </c>
      <c r="BT2793" s="42"/>
    </row>
    <row r="2794" spans="1:72" x14ac:dyDescent="0.25">
      <c r="A2794" s="90">
        <v>33354</v>
      </c>
      <c r="B2794" s="20">
        <v>0.66666666666666663</v>
      </c>
      <c r="D2794">
        <v>51.08</v>
      </c>
      <c r="E2794" t="str">
        <f t="shared" si="122"/>
        <v>WEEKDAY</v>
      </c>
      <c r="F2794" t="e">
        <f t="shared" si="121"/>
        <v>#N/A</v>
      </c>
      <c r="G2794" s="74">
        <v>32989</v>
      </c>
      <c r="H2794" s="77">
        <v>0.66666666666666663</v>
      </c>
      <c r="J2794">
        <v>69.080000000000013</v>
      </c>
      <c r="M2794" s="74">
        <v>33354</v>
      </c>
      <c r="N2794" s="77">
        <v>0.66666666666666663</v>
      </c>
      <c r="P2794">
        <v>71.06</v>
      </c>
      <c r="S2794" s="74">
        <v>33354</v>
      </c>
      <c r="T2794" s="77">
        <v>0.66666666666666663</v>
      </c>
      <c r="V2794">
        <v>64.94</v>
      </c>
      <c r="X2794" s="42"/>
      <c r="AB2794">
        <v>59.2</v>
      </c>
      <c r="AC2794">
        <v>64.94</v>
      </c>
      <c r="AE2794" s="74"/>
      <c r="AF2794" s="77"/>
      <c r="AH2794" s="497">
        <v>77</v>
      </c>
      <c r="AJ2794" s="42"/>
      <c r="AK2794" s="74"/>
      <c r="AL2794" s="77"/>
      <c r="AN2794" s="497">
        <v>60.08</v>
      </c>
      <c r="AP2794" s="42"/>
      <c r="AQ2794" s="74"/>
      <c r="AR2794" s="77"/>
      <c r="AT2794" s="497">
        <v>69.080000000000013</v>
      </c>
      <c r="AV2794" s="42"/>
      <c r="AW2794" s="74"/>
      <c r="AX2794" s="77"/>
      <c r="BA2794" s="497">
        <v>55.94</v>
      </c>
      <c r="BB2794" s="42"/>
      <c r="BC2794" s="74"/>
      <c r="BD2794" s="77"/>
      <c r="BF2794">
        <v>57.92</v>
      </c>
      <c r="BH2794" s="42"/>
      <c r="BI2794" s="74"/>
      <c r="BJ2794" s="77"/>
      <c r="BL2794" s="497">
        <v>46.04</v>
      </c>
      <c r="BN2794" s="42"/>
      <c r="BO2794" s="74"/>
      <c r="BP2794" s="77"/>
      <c r="BR2794" s="497">
        <v>66.02</v>
      </c>
      <c r="BT2794" s="42"/>
    </row>
    <row r="2795" spans="1:72" x14ac:dyDescent="0.25">
      <c r="A2795" s="90">
        <v>33354</v>
      </c>
      <c r="B2795" s="20">
        <v>0.70833333333333337</v>
      </c>
      <c r="D2795">
        <v>53.06</v>
      </c>
      <c r="E2795" t="str">
        <f t="shared" si="122"/>
        <v>WEEKDAY</v>
      </c>
      <c r="F2795" t="e">
        <f t="shared" ref="F2795:F2858" si="123">IF(E2795="WEEKDAY",VLOOKUP(B2795,$DD$19:$DG$42,2),IF(E2795="SATURDAY",VLOOKUP(B2795,$DD$19:$DG$42,3),VLOOKUP(B2795,$DD$19:$DG$42,4)))</f>
        <v>#N/A</v>
      </c>
      <c r="G2795" s="74">
        <v>32989</v>
      </c>
      <c r="H2795" s="77">
        <v>0.70833333333333337</v>
      </c>
      <c r="J2795">
        <v>66.02</v>
      </c>
      <c r="M2795" s="74">
        <v>33354</v>
      </c>
      <c r="N2795" s="77">
        <v>0.70833333333333337</v>
      </c>
      <c r="P2795">
        <v>69.080000000000013</v>
      </c>
      <c r="S2795" s="74">
        <v>33354</v>
      </c>
      <c r="T2795" s="77">
        <v>0.70833333333333337</v>
      </c>
      <c r="V2795">
        <v>62.06</v>
      </c>
      <c r="X2795" s="42"/>
      <c r="AB2795">
        <v>58.3</v>
      </c>
      <c r="AC2795">
        <v>64.039999999999992</v>
      </c>
      <c r="AE2795" s="74"/>
      <c r="AF2795" s="77"/>
      <c r="AH2795" s="497">
        <v>77</v>
      </c>
      <c r="AJ2795" s="42"/>
      <c r="AK2795" s="74"/>
      <c r="AL2795" s="77"/>
      <c r="AN2795" s="497">
        <v>57.92</v>
      </c>
      <c r="AP2795" s="42"/>
      <c r="AQ2795" s="74"/>
      <c r="AR2795" s="77"/>
      <c r="AT2795" s="497">
        <v>69.080000000000013</v>
      </c>
      <c r="AV2795" s="42"/>
      <c r="AW2795" s="74"/>
      <c r="AX2795" s="77"/>
      <c r="BA2795" s="497">
        <v>57.92</v>
      </c>
      <c r="BB2795" s="42"/>
      <c r="BC2795" s="74"/>
      <c r="BD2795" s="77"/>
      <c r="BF2795">
        <v>55.040000000000006</v>
      </c>
      <c r="BH2795" s="42"/>
      <c r="BI2795" s="74"/>
      <c r="BJ2795" s="77"/>
      <c r="BL2795" s="497">
        <v>44.96</v>
      </c>
      <c r="BN2795" s="42"/>
      <c r="BO2795" s="74"/>
      <c r="BP2795" s="77"/>
      <c r="BR2795" s="497">
        <v>66.92</v>
      </c>
      <c r="BT2795" s="42"/>
    </row>
    <row r="2796" spans="1:72" x14ac:dyDescent="0.25">
      <c r="A2796" s="90">
        <v>33354</v>
      </c>
      <c r="B2796" s="20">
        <v>0.75</v>
      </c>
      <c r="D2796">
        <v>51.980000000000004</v>
      </c>
      <c r="E2796" t="str">
        <f t="shared" si="122"/>
        <v>WEEKDAY</v>
      </c>
      <c r="F2796" t="e">
        <f t="shared" si="123"/>
        <v>#N/A</v>
      </c>
      <c r="G2796" s="74">
        <v>32989</v>
      </c>
      <c r="H2796" s="77">
        <v>0.75</v>
      </c>
      <c r="J2796">
        <v>64.039999999999992</v>
      </c>
      <c r="M2796" s="74">
        <v>33354</v>
      </c>
      <c r="N2796" s="77">
        <v>0.75</v>
      </c>
      <c r="P2796">
        <v>66.02</v>
      </c>
      <c r="S2796" s="74">
        <v>33354</v>
      </c>
      <c r="T2796" s="77">
        <v>0.75</v>
      </c>
      <c r="V2796">
        <v>57.92</v>
      </c>
      <c r="X2796" s="42"/>
      <c r="AB2796">
        <v>57.2</v>
      </c>
      <c r="AC2796">
        <v>60.08</v>
      </c>
      <c r="AE2796" s="74"/>
      <c r="AF2796" s="77"/>
      <c r="AH2796" s="497">
        <v>73.039999999999992</v>
      </c>
      <c r="AJ2796" s="42"/>
      <c r="AK2796" s="74"/>
      <c r="AL2796" s="77"/>
      <c r="AN2796" s="497">
        <v>57.019999999999996</v>
      </c>
      <c r="AP2796" s="42"/>
      <c r="AQ2796" s="74"/>
      <c r="AR2796" s="77"/>
      <c r="AT2796" s="497">
        <v>66.92</v>
      </c>
      <c r="AV2796" s="42"/>
      <c r="AW2796" s="74"/>
      <c r="AX2796" s="77"/>
      <c r="BA2796" s="497">
        <v>57.92</v>
      </c>
      <c r="BB2796" s="42"/>
      <c r="BC2796" s="74"/>
      <c r="BD2796" s="77"/>
      <c r="BF2796">
        <v>53.96</v>
      </c>
      <c r="BH2796" s="42"/>
      <c r="BI2796" s="74"/>
      <c r="BJ2796" s="77"/>
      <c r="BL2796" s="497">
        <v>44.96</v>
      </c>
      <c r="BN2796" s="42"/>
      <c r="BO2796" s="74"/>
      <c r="BP2796" s="77"/>
      <c r="BR2796" s="497">
        <v>62.06</v>
      </c>
      <c r="BT2796" s="42"/>
    </row>
    <row r="2797" spans="1:72" x14ac:dyDescent="0.25">
      <c r="A2797" s="90">
        <v>33354</v>
      </c>
      <c r="B2797" s="20">
        <v>0.79166666666666663</v>
      </c>
      <c r="D2797">
        <v>50</v>
      </c>
      <c r="E2797" t="str">
        <f t="shared" si="122"/>
        <v>WEEKDAY</v>
      </c>
      <c r="F2797" t="e">
        <f t="shared" si="123"/>
        <v>#N/A</v>
      </c>
      <c r="G2797" s="74">
        <v>32989</v>
      </c>
      <c r="H2797" s="77">
        <v>0.79166666666666663</v>
      </c>
      <c r="J2797">
        <v>60.08</v>
      </c>
      <c r="M2797" s="74">
        <v>33354</v>
      </c>
      <c r="N2797" s="77">
        <v>0.79166666666666663</v>
      </c>
      <c r="P2797">
        <v>62.96</v>
      </c>
      <c r="S2797" s="74">
        <v>33354</v>
      </c>
      <c r="T2797" s="77">
        <v>0.79166666666666663</v>
      </c>
      <c r="V2797">
        <v>57.92</v>
      </c>
      <c r="X2797" s="42"/>
      <c r="AB2797">
        <v>55.8</v>
      </c>
      <c r="AC2797">
        <v>60.08</v>
      </c>
      <c r="AE2797" s="74"/>
      <c r="AF2797" s="77"/>
      <c r="AH2797" s="497">
        <v>69.080000000000013</v>
      </c>
      <c r="AJ2797" s="42"/>
      <c r="AK2797" s="74"/>
      <c r="AL2797" s="77"/>
      <c r="AN2797" s="497">
        <v>55.040000000000006</v>
      </c>
      <c r="AP2797" s="42"/>
      <c r="AQ2797" s="74"/>
      <c r="AR2797" s="77"/>
      <c r="AT2797" s="497">
        <v>62.06</v>
      </c>
      <c r="AV2797" s="42"/>
      <c r="AW2797" s="74"/>
      <c r="AX2797" s="77"/>
      <c r="BA2797" s="497">
        <v>55.94</v>
      </c>
      <c r="BB2797" s="42"/>
      <c r="BC2797" s="74"/>
      <c r="BD2797" s="77"/>
      <c r="BF2797">
        <v>53.06</v>
      </c>
      <c r="BH2797" s="42"/>
      <c r="BI2797" s="74"/>
      <c r="BJ2797" s="77"/>
      <c r="BL2797" s="497">
        <v>42.08</v>
      </c>
      <c r="BN2797" s="42"/>
      <c r="BO2797" s="74"/>
      <c r="BP2797" s="77"/>
      <c r="BR2797" s="497">
        <v>57.92</v>
      </c>
      <c r="BT2797" s="42"/>
    </row>
    <row r="2798" spans="1:72" x14ac:dyDescent="0.25">
      <c r="A2798" s="90">
        <v>33354</v>
      </c>
      <c r="B2798" s="20">
        <v>0.83333333333333337</v>
      </c>
      <c r="D2798">
        <v>48.019999999999996</v>
      </c>
      <c r="E2798" t="str">
        <f t="shared" si="122"/>
        <v>WEEKDAY</v>
      </c>
      <c r="F2798" t="e">
        <f t="shared" si="123"/>
        <v>#N/A</v>
      </c>
      <c r="G2798" s="74">
        <v>32989</v>
      </c>
      <c r="H2798" s="77">
        <v>0.83333333333333337</v>
      </c>
      <c r="J2798">
        <v>60.08</v>
      </c>
      <c r="M2798" s="74">
        <v>33354</v>
      </c>
      <c r="N2798" s="77">
        <v>0.83333333333333337</v>
      </c>
      <c r="P2798">
        <v>60.980000000000004</v>
      </c>
      <c r="S2798" s="74">
        <v>33354</v>
      </c>
      <c r="T2798" s="77">
        <v>0.83333333333333337</v>
      </c>
      <c r="V2798">
        <v>57.92</v>
      </c>
      <c r="X2798" s="42"/>
      <c r="AB2798">
        <v>54.4</v>
      </c>
      <c r="AC2798">
        <v>57.019999999999996</v>
      </c>
      <c r="AE2798" s="74"/>
      <c r="AF2798" s="77"/>
      <c r="AH2798" s="497">
        <v>66.02</v>
      </c>
      <c r="AJ2798" s="42"/>
      <c r="AK2798" s="74"/>
      <c r="AL2798" s="77"/>
      <c r="AN2798" s="497">
        <v>51.980000000000004</v>
      </c>
      <c r="AP2798" s="42"/>
      <c r="AQ2798" s="74"/>
      <c r="AR2798" s="77"/>
      <c r="AT2798" s="497">
        <v>59</v>
      </c>
      <c r="AV2798" s="42"/>
      <c r="AW2798" s="74"/>
      <c r="AX2798" s="77"/>
      <c r="BA2798" s="497">
        <v>55.94</v>
      </c>
      <c r="BB2798" s="42"/>
      <c r="BC2798" s="74"/>
      <c r="BD2798" s="77"/>
      <c r="BF2798">
        <v>50</v>
      </c>
      <c r="BH2798" s="42"/>
      <c r="BI2798" s="74"/>
      <c r="BJ2798" s="77"/>
      <c r="BL2798" s="497">
        <v>41</v>
      </c>
      <c r="BN2798" s="42"/>
      <c r="BO2798" s="74"/>
      <c r="BP2798" s="77"/>
      <c r="BR2798" s="497">
        <v>53.06</v>
      </c>
      <c r="BT2798" s="42"/>
    </row>
    <row r="2799" spans="1:72" x14ac:dyDescent="0.25">
      <c r="A2799" s="90">
        <v>33354</v>
      </c>
      <c r="B2799" s="20">
        <v>0.875</v>
      </c>
      <c r="D2799">
        <v>48.019999999999996</v>
      </c>
      <c r="E2799" t="str">
        <f t="shared" si="122"/>
        <v>WEEKDAY</v>
      </c>
      <c r="F2799" t="e">
        <f t="shared" si="123"/>
        <v>#N/A</v>
      </c>
      <c r="G2799" s="74">
        <v>32989</v>
      </c>
      <c r="H2799" s="77">
        <v>0.875</v>
      </c>
      <c r="J2799">
        <v>57.92</v>
      </c>
      <c r="M2799" s="74">
        <v>33354</v>
      </c>
      <c r="N2799" s="77">
        <v>0.875</v>
      </c>
      <c r="P2799">
        <v>60.980000000000004</v>
      </c>
      <c r="S2799" s="74">
        <v>33354</v>
      </c>
      <c r="T2799" s="77">
        <v>0.875</v>
      </c>
      <c r="V2799">
        <v>57.019999999999996</v>
      </c>
      <c r="X2799" s="42"/>
      <c r="AB2799">
        <v>53.5</v>
      </c>
      <c r="AC2799">
        <v>57.92</v>
      </c>
      <c r="AE2799" s="74"/>
      <c r="AF2799" s="77"/>
      <c r="AH2799" s="497">
        <v>64.039999999999992</v>
      </c>
      <c r="AJ2799" s="42"/>
      <c r="AK2799" s="74"/>
      <c r="AL2799" s="77"/>
      <c r="AN2799" s="497">
        <v>51.08</v>
      </c>
      <c r="AP2799" s="42"/>
      <c r="AQ2799" s="74"/>
      <c r="AR2799" s="77"/>
      <c r="AT2799" s="497">
        <v>57.92</v>
      </c>
      <c r="AV2799" s="42"/>
      <c r="AW2799" s="74"/>
      <c r="AX2799" s="77"/>
      <c r="BA2799" s="497">
        <v>55.94</v>
      </c>
      <c r="BB2799" s="42"/>
      <c r="BC2799" s="74"/>
      <c r="BD2799" s="77"/>
      <c r="BF2799">
        <v>48.92</v>
      </c>
      <c r="BH2799" s="42"/>
      <c r="BI2799" s="74"/>
      <c r="BJ2799" s="77"/>
      <c r="BL2799" s="497">
        <v>39.92</v>
      </c>
      <c r="BN2799" s="42"/>
      <c r="BO2799" s="74"/>
      <c r="BP2799" s="77"/>
      <c r="BR2799" s="497">
        <v>46.04</v>
      </c>
      <c r="BT2799" s="42"/>
    </row>
    <row r="2800" spans="1:72" x14ac:dyDescent="0.25">
      <c r="A2800" s="90">
        <v>33354</v>
      </c>
      <c r="B2800" s="20">
        <v>0.91666666666666663</v>
      </c>
      <c r="D2800">
        <v>48.92</v>
      </c>
      <c r="E2800" t="str">
        <f t="shared" si="122"/>
        <v>WEEKDAY</v>
      </c>
      <c r="F2800" t="e">
        <f t="shared" si="123"/>
        <v>#N/A</v>
      </c>
      <c r="G2800" s="74">
        <v>32989</v>
      </c>
      <c r="H2800" s="77">
        <v>0.91666666666666663</v>
      </c>
      <c r="J2800">
        <v>57.019999999999996</v>
      </c>
      <c r="M2800" s="74">
        <v>33354</v>
      </c>
      <c r="N2800" s="77">
        <v>0.91666666666666663</v>
      </c>
      <c r="P2800">
        <v>57.92</v>
      </c>
      <c r="S2800" s="74">
        <v>33354</v>
      </c>
      <c r="T2800" s="77">
        <v>0.91666666666666663</v>
      </c>
      <c r="V2800">
        <v>55.040000000000006</v>
      </c>
      <c r="X2800" s="42"/>
      <c r="AB2800">
        <v>52.9</v>
      </c>
      <c r="AC2800">
        <v>59</v>
      </c>
      <c r="AE2800" s="74"/>
      <c r="AF2800" s="77"/>
      <c r="AH2800" s="497">
        <v>62.06</v>
      </c>
      <c r="AJ2800" s="42"/>
      <c r="AK2800" s="74"/>
      <c r="AL2800" s="77"/>
      <c r="AN2800" s="497">
        <v>48.92</v>
      </c>
      <c r="AP2800" s="42"/>
      <c r="AQ2800" s="74"/>
      <c r="AR2800" s="77"/>
      <c r="AT2800" s="497">
        <v>57.019999999999996</v>
      </c>
      <c r="AV2800" s="42"/>
      <c r="AW2800" s="74"/>
      <c r="AX2800" s="77"/>
      <c r="BA2800" s="497">
        <v>55.94</v>
      </c>
      <c r="BB2800" s="42"/>
      <c r="BC2800" s="74"/>
      <c r="BD2800" s="77"/>
      <c r="BF2800">
        <v>48.92</v>
      </c>
      <c r="BH2800" s="42"/>
      <c r="BI2800" s="74"/>
      <c r="BJ2800" s="77"/>
      <c r="BL2800" s="497">
        <v>37.94</v>
      </c>
      <c r="BN2800" s="42"/>
      <c r="BO2800" s="74"/>
      <c r="BP2800" s="77"/>
      <c r="BR2800" s="497">
        <v>44.06</v>
      </c>
      <c r="BT2800" s="42"/>
    </row>
    <row r="2801" spans="1:72" x14ac:dyDescent="0.25">
      <c r="A2801" s="90">
        <v>33354</v>
      </c>
      <c r="B2801" s="20">
        <v>0.95833333333333337</v>
      </c>
      <c r="D2801">
        <v>48.019999999999996</v>
      </c>
      <c r="E2801" t="str">
        <f t="shared" si="122"/>
        <v>WEEKDAY</v>
      </c>
      <c r="F2801" t="e">
        <f t="shared" si="123"/>
        <v>#N/A</v>
      </c>
      <c r="G2801" s="74">
        <v>32989</v>
      </c>
      <c r="H2801" s="77">
        <v>0.95833333333333337</v>
      </c>
      <c r="J2801">
        <v>55.94</v>
      </c>
      <c r="M2801" s="74">
        <v>33354</v>
      </c>
      <c r="N2801" s="77">
        <v>0.95833333333333337</v>
      </c>
      <c r="P2801">
        <v>55.94</v>
      </c>
      <c r="S2801" s="74">
        <v>33354</v>
      </c>
      <c r="T2801" s="77">
        <v>0.95833333333333337</v>
      </c>
      <c r="V2801">
        <v>55.040000000000006</v>
      </c>
      <c r="X2801" s="42"/>
      <c r="AB2801">
        <v>52.4</v>
      </c>
      <c r="AC2801">
        <v>55.94</v>
      </c>
      <c r="AE2801" s="74"/>
      <c r="AF2801" s="77"/>
      <c r="AH2801" s="497">
        <v>60.08</v>
      </c>
      <c r="AJ2801" s="42"/>
      <c r="AK2801" s="74"/>
      <c r="AL2801" s="77"/>
      <c r="AN2801" s="497">
        <v>46.94</v>
      </c>
      <c r="AP2801" s="42"/>
      <c r="AQ2801" s="74"/>
      <c r="AR2801" s="77"/>
      <c r="AT2801" s="497">
        <v>57.019999999999996</v>
      </c>
      <c r="AV2801" s="42"/>
      <c r="AW2801" s="74"/>
      <c r="AX2801" s="77"/>
      <c r="BA2801" s="497">
        <v>53.06</v>
      </c>
      <c r="BB2801" s="42"/>
      <c r="BC2801" s="74"/>
      <c r="BD2801" s="77"/>
      <c r="BF2801">
        <v>48.019999999999996</v>
      </c>
      <c r="BH2801" s="42"/>
      <c r="BI2801" s="74"/>
      <c r="BJ2801" s="77"/>
      <c r="BL2801" s="497">
        <v>35.96</v>
      </c>
      <c r="BN2801" s="42"/>
      <c r="BO2801" s="74"/>
      <c r="BP2801" s="77"/>
      <c r="BR2801" s="497">
        <v>42.980000000000004</v>
      </c>
      <c r="BT2801" s="42"/>
    </row>
    <row r="2802" spans="1:72" x14ac:dyDescent="0.25">
      <c r="A2802" s="90">
        <v>33354</v>
      </c>
      <c r="B2802" s="20">
        <v>1</v>
      </c>
      <c r="D2802">
        <v>46.94</v>
      </c>
      <c r="E2802" t="str">
        <f t="shared" si="122"/>
        <v>WEEKDAY</v>
      </c>
      <c r="F2802" t="e">
        <f t="shared" si="123"/>
        <v>#N/A</v>
      </c>
      <c r="G2802" s="74">
        <v>32989</v>
      </c>
      <c r="H2802" s="77">
        <v>1</v>
      </c>
      <c r="J2802">
        <v>55.040000000000006</v>
      </c>
      <c r="M2802" s="74">
        <v>33354</v>
      </c>
      <c r="N2802" s="80">
        <v>1</v>
      </c>
      <c r="P2802">
        <v>57.92</v>
      </c>
      <c r="S2802" s="74">
        <v>33354</v>
      </c>
      <c r="T2802" s="80">
        <v>1</v>
      </c>
      <c r="V2802">
        <v>55.040000000000006</v>
      </c>
      <c r="X2802" s="42"/>
      <c r="AB2802">
        <v>52</v>
      </c>
      <c r="AC2802">
        <v>55.040000000000006</v>
      </c>
      <c r="AE2802" s="74"/>
      <c r="AF2802" s="80"/>
      <c r="AH2802" s="497">
        <v>57.92</v>
      </c>
      <c r="AJ2802" s="42"/>
      <c r="AK2802" s="74"/>
      <c r="AL2802" s="80"/>
      <c r="AN2802" s="497">
        <v>44.96</v>
      </c>
      <c r="AP2802" s="42"/>
      <c r="AQ2802" s="74"/>
      <c r="AR2802" s="80"/>
      <c r="AT2802" s="497">
        <v>57.019999999999996</v>
      </c>
      <c r="AV2802" s="42"/>
      <c r="AW2802" s="74"/>
      <c r="AX2802" s="80"/>
      <c r="BA2802" s="497">
        <v>53.96</v>
      </c>
      <c r="BB2802" s="42"/>
      <c r="BC2802" s="74"/>
      <c r="BD2802" s="80"/>
      <c r="BF2802">
        <v>46.94</v>
      </c>
      <c r="BH2802" s="42"/>
      <c r="BI2802" s="74"/>
      <c r="BJ2802" s="80"/>
      <c r="BL2802" s="497">
        <v>33.979999999999997</v>
      </c>
      <c r="BN2802" s="42"/>
      <c r="BO2802" s="74"/>
      <c r="BP2802" s="80"/>
      <c r="BR2802" s="497">
        <v>44.06</v>
      </c>
      <c r="BT2802" s="42"/>
    </row>
    <row r="2803" spans="1:72" x14ac:dyDescent="0.25">
      <c r="A2803" s="90">
        <v>33355</v>
      </c>
      <c r="B2803" s="20">
        <v>4.1666666666666664E-2</v>
      </c>
      <c r="D2803">
        <v>46.94</v>
      </c>
      <c r="E2803" t="str">
        <f t="shared" si="122"/>
        <v>SATURDAY</v>
      </c>
      <c r="F2803" t="e">
        <f t="shared" si="123"/>
        <v>#N/A</v>
      </c>
      <c r="G2803" s="74">
        <v>32990</v>
      </c>
      <c r="H2803" s="77">
        <v>4.1666666666666664E-2</v>
      </c>
      <c r="J2803">
        <v>53.96</v>
      </c>
      <c r="M2803" s="74">
        <v>33355</v>
      </c>
      <c r="N2803" s="77">
        <v>4.1666666666666664E-2</v>
      </c>
      <c r="P2803">
        <v>57.92</v>
      </c>
      <c r="S2803" s="74">
        <v>33355</v>
      </c>
      <c r="T2803" s="77">
        <v>4.1666666666666664E-2</v>
      </c>
      <c r="V2803">
        <v>55.94</v>
      </c>
      <c r="X2803" s="42"/>
      <c r="AB2803">
        <v>51.5</v>
      </c>
      <c r="AC2803">
        <v>55.040000000000006</v>
      </c>
      <c r="AE2803" s="74"/>
      <c r="AF2803" s="77"/>
      <c r="AH2803" s="497">
        <v>57.92</v>
      </c>
      <c r="AJ2803" s="42"/>
      <c r="AK2803" s="74"/>
      <c r="AL2803" s="77"/>
      <c r="AN2803" s="497">
        <v>44.06</v>
      </c>
      <c r="AP2803" s="42"/>
      <c r="AQ2803" s="74"/>
      <c r="AR2803" s="77"/>
      <c r="AT2803" s="497">
        <v>55.94</v>
      </c>
      <c r="AV2803" s="42"/>
      <c r="AW2803" s="74"/>
      <c r="AX2803" s="77"/>
      <c r="BA2803" s="497">
        <v>51.08</v>
      </c>
      <c r="BB2803" s="42"/>
      <c r="BC2803" s="74"/>
      <c r="BD2803" s="77"/>
      <c r="BF2803">
        <v>44.96</v>
      </c>
      <c r="BH2803" s="42"/>
      <c r="BI2803" s="74"/>
      <c r="BJ2803" s="77"/>
      <c r="BL2803" s="497">
        <v>30.92</v>
      </c>
      <c r="BN2803" s="42"/>
      <c r="BO2803" s="74"/>
      <c r="BP2803" s="77"/>
      <c r="BR2803" s="497">
        <v>42.980000000000004</v>
      </c>
      <c r="BT2803" s="42"/>
    </row>
    <row r="2804" spans="1:72" x14ac:dyDescent="0.25">
      <c r="A2804" s="90">
        <v>33355</v>
      </c>
      <c r="B2804" s="20">
        <v>8.3333333333333329E-2</v>
      </c>
      <c r="D2804">
        <v>48.019999999999996</v>
      </c>
      <c r="E2804" t="str">
        <f t="shared" si="122"/>
        <v>SATURDAY</v>
      </c>
      <c r="F2804" t="e">
        <f t="shared" si="123"/>
        <v>#N/A</v>
      </c>
      <c r="G2804" s="74">
        <v>32990</v>
      </c>
      <c r="H2804" s="77">
        <v>8.3333333333333329E-2</v>
      </c>
      <c r="J2804">
        <v>53.06</v>
      </c>
      <c r="M2804" s="74">
        <v>33355</v>
      </c>
      <c r="N2804" s="77">
        <v>8.3333333333333329E-2</v>
      </c>
      <c r="P2804">
        <v>57.92</v>
      </c>
      <c r="S2804" s="74">
        <v>33355</v>
      </c>
      <c r="T2804" s="77">
        <v>8.3333333333333329E-2</v>
      </c>
      <c r="V2804">
        <v>55.94</v>
      </c>
      <c r="X2804" s="42"/>
      <c r="AB2804">
        <v>51</v>
      </c>
      <c r="AC2804">
        <v>55.94</v>
      </c>
      <c r="AE2804" s="74"/>
      <c r="AF2804" s="77"/>
      <c r="AH2804" s="497">
        <v>59</v>
      </c>
      <c r="AJ2804" s="42"/>
      <c r="AK2804" s="74"/>
      <c r="AL2804" s="77"/>
      <c r="AN2804" s="497">
        <v>42.980000000000004</v>
      </c>
      <c r="AP2804" s="42"/>
      <c r="AQ2804" s="74"/>
      <c r="AR2804" s="77"/>
      <c r="AT2804" s="497">
        <v>55.94</v>
      </c>
      <c r="AV2804" s="42"/>
      <c r="AW2804" s="74"/>
      <c r="AX2804" s="77"/>
      <c r="BA2804" s="497">
        <v>46.04</v>
      </c>
      <c r="BB2804" s="42"/>
      <c r="BC2804" s="74"/>
      <c r="BD2804" s="77"/>
      <c r="BF2804">
        <v>42.980000000000004</v>
      </c>
      <c r="BH2804" s="42"/>
      <c r="BI2804" s="74"/>
      <c r="BJ2804" s="77"/>
      <c r="BL2804" s="497">
        <v>30.02</v>
      </c>
      <c r="BN2804" s="42"/>
      <c r="BO2804" s="74"/>
      <c r="BP2804" s="77"/>
      <c r="BR2804" s="497">
        <v>42.08</v>
      </c>
      <c r="BT2804" s="42"/>
    </row>
    <row r="2805" spans="1:72" x14ac:dyDescent="0.25">
      <c r="A2805" s="90">
        <v>33355</v>
      </c>
      <c r="B2805" s="20">
        <v>0.125</v>
      </c>
      <c r="D2805">
        <v>50</v>
      </c>
      <c r="E2805" t="str">
        <f t="shared" si="122"/>
        <v>SATURDAY</v>
      </c>
      <c r="F2805" t="e">
        <f t="shared" si="123"/>
        <v>#N/A</v>
      </c>
      <c r="G2805" s="74">
        <v>32990</v>
      </c>
      <c r="H2805" s="77">
        <v>0.125</v>
      </c>
      <c r="J2805">
        <v>51.980000000000004</v>
      </c>
      <c r="M2805" s="74">
        <v>33355</v>
      </c>
      <c r="N2805" s="77">
        <v>0.125</v>
      </c>
      <c r="P2805">
        <v>57.019999999999996</v>
      </c>
      <c r="S2805" s="74">
        <v>33355</v>
      </c>
      <c r="T2805" s="77">
        <v>0.125</v>
      </c>
      <c r="V2805">
        <v>55.94</v>
      </c>
      <c r="X2805" s="42"/>
      <c r="AB2805">
        <v>50.6</v>
      </c>
      <c r="AC2805">
        <v>55.94</v>
      </c>
      <c r="AE2805" s="74"/>
      <c r="AF2805" s="77"/>
      <c r="AH2805" s="497">
        <v>57.019999999999996</v>
      </c>
      <c r="AJ2805" s="42"/>
      <c r="AK2805" s="74"/>
      <c r="AL2805" s="77"/>
      <c r="AN2805" s="497">
        <v>42.980000000000004</v>
      </c>
      <c r="AP2805" s="42"/>
      <c r="AQ2805" s="74"/>
      <c r="AR2805" s="77"/>
      <c r="AT2805" s="497">
        <v>55.94</v>
      </c>
      <c r="AV2805" s="42"/>
      <c r="AW2805" s="74"/>
      <c r="AX2805" s="77"/>
      <c r="BA2805" s="497">
        <v>46.04</v>
      </c>
      <c r="BB2805" s="42"/>
      <c r="BC2805" s="74"/>
      <c r="BD2805" s="77"/>
      <c r="BF2805">
        <v>41</v>
      </c>
      <c r="BH2805" s="42"/>
      <c r="BI2805" s="74"/>
      <c r="BJ2805" s="77"/>
      <c r="BL2805" s="497">
        <v>30.02</v>
      </c>
      <c r="BN2805" s="42"/>
      <c r="BO2805" s="74"/>
      <c r="BP2805" s="77"/>
      <c r="BR2805" s="497">
        <v>39.92</v>
      </c>
      <c r="BT2805" s="42"/>
    </row>
    <row r="2806" spans="1:72" x14ac:dyDescent="0.25">
      <c r="A2806" s="90">
        <v>33355</v>
      </c>
      <c r="B2806" s="20">
        <v>0.16666666666666666</v>
      </c>
      <c r="D2806">
        <v>50</v>
      </c>
      <c r="E2806" t="str">
        <f t="shared" si="122"/>
        <v>SATURDAY</v>
      </c>
      <c r="F2806" t="e">
        <f t="shared" si="123"/>
        <v>#N/A</v>
      </c>
      <c r="G2806" s="74">
        <v>32990</v>
      </c>
      <c r="H2806" s="77">
        <v>0.16666666666666666</v>
      </c>
      <c r="J2806">
        <v>51.980000000000004</v>
      </c>
      <c r="M2806" s="74">
        <v>33355</v>
      </c>
      <c r="N2806" s="77">
        <v>0.16666666666666666</v>
      </c>
      <c r="P2806">
        <v>55.94</v>
      </c>
      <c r="S2806" s="74">
        <v>33355</v>
      </c>
      <c r="T2806" s="77">
        <v>0.16666666666666666</v>
      </c>
      <c r="V2806">
        <v>55.040000000000006</v>
      </c>
      <c r="X2806" s="42"/>
      <c r="AB2806">
        <v>50</v>
      </c>
      <c r="AC2806">
        <v>55.94</v>
      </c>
      <c r="AE2806" s="74"/>
      <c r="AF2806" s="77"/>
      <c r="AH2806" s="497">
        <v>57.019999999999996</v>
      </c>
      <c r="AJ2806" s="42"/>
      <c r="AK2806" s="74"/>
      <c r="AL2806" s="77"/>
      <c r="AN2806" s="497">
        <v>42.08</v>
      </c>
      <c r="AP2806" s="42"/>
      <c r="AQ2806" s="74"/>
      <c r="AR2806" s="77"/>
      <c r="AT2806" s="497">
        <v>55.94</v>
      </c>
      <c r="AV2806" s="42"/>
      <c r="AW2806" s="74"/>
      <c r="AX2806" s="77"/>
      <c r="BA2806" s="497">
        <v>46.04</v>
      </c>
      <c r="BB2806" s="42"/>
      <c r="BC2806" s="74"/>
      <c r="BD2806" s="77"/>
      <c r="BF2806">
        <v>41</v>
      </c>
      <c r="BH2806" s="42"/>
      <c r="BI2806" s="74"/>
      <c r="BJ2806" s="77"/>
      <c r="BL2806" s="497">
        <v>30.02</v>
      </c>
      <c r="BN2806" s="42"/>
      <c r="BO2806" s="74"/>
      <c r="BP2806" s="77"/>
      <c r="BR2806" s="497">
        <v>39.019999999999996</v>
      </c>
      <c r="BT2806" s="42"/>
    </row>
    <row r="2807" spans="1:72" x14ac:dyDescent="0.25">
      <c r="A2807" s="90">
        <v>33355</v>
      </c>
      <c r="B2807" s="20">
        <v>0.20833333333333334</v>
      </c>
      <c r="D2807">
        <v>48.92</v>
      </c>
      <c r="E2807" t="str">
        <f t="shared" si="122"/>
        <v>SATURDAY</v>
      </c>
      <c r="F2807" t="e">
        <f t="shared" si="123"/>
        <v>#N/A</v>
      </c>
      <c r="G2807" s="74">
        <v>32990</v>
      </c>
      <c r="H2807" s="77">
        <v>0.20833333333333334</v>
      </c>
      <c r="J2807">
        <v>51.980000000000004</v>
      </c>
      <c r="M2807" s="74">
        <v>33355</v>
      </c>
      <c r="N2807" s="77">
        <v>0.20833333333333334</v>
      </c>
      <c r="P2807">
        <v>55.94</v>
      </c>
      <c r="S2807" s="74">
        <v>33355</v>
      </c>
      <c r="T2807" s="77">
        <v>0.20833333333333334</v>
      </c>
      <c r="V2807">
        <v>53.06</v>
      </c>
      <c r="X2807" s="42"/>
      <c r="AB2807">
        <v>49.6</v>
      </c>
      <c r="AC2807">
        <v>57.92</v>
      </c>
      <c r="AE2807" s="74"/>
      <c r="AF2807" s="77"/>
      <c r="AH2807" s="497">
        <v>57.92</v>
      </c>
      <c r="AJ2807" s="42"/>
      <c r="AK2807" s="74"/>
      <c r="AL2807" s="77"/>
      <c r="AN2807" s="497">
        <v>42.08</v>
      </c>
      <c r="AP2807" s="42"/>
      <c r="AQ2807" s="74"/>
      <c r="AR2807" s="77"/>
      <c r="AT2807" s="497">
        <v>55.040000000000006</v>
      </c>
      <c r="AV2807" s="42"/>
      <c r="AW2807" s="74"/>
      <c r="AX2807" s="77"/>
      <c r="BA2807" s="497">
        <v>44.96</v>
      </c>
      <c r="BB2807" s="42"/>
      <c r="BC2807" s="74"/>
      <c r="BD2807" s="77"/>
      <c r="BF2807">
        <v>41</v>
      </c>
      <c r="BH2807" s="42"/>
      <c r="BI2807" s="74"/>
      <c r="BJ2807" s="77"/>
      <c r="BL2807" s="497">
        <v>30.02</v>
      </c>
      <c r="BN2807" s="42"/>
      <c r="BO2807" s="74"/>
      <c r="BP2807" s="77"/>
      <c r="BR2807" s="497">
        <v>37.94</v>
      </c>
      <c r="BT2807" s="42"/>
    </row>
    <row r="2808" spans="1:72" x14ac:dyDescent="0.25">
      <c r="A2808" s="90">
        <v>33355</v>
      </c>
      <c r="B2808" s="20">
        <v>0.25</v>
      </c>
      <c r="D2808">
        <v>48.92</v>
      </c>
      <c r="E2808" t="str">
        <f t="shared" si="122"/>
        <v>SATURDAY</v>
      </c>
      <c r="F2808" t="e">
        <f t="shared" si="123"/>
        <v>#N/A</v>
      </c>
      <c r="G2808" s="74">
        <v>32990</v>
      </c>
      <c r="H2808" s="77">
        <v>0.25</v>
      </c>
      <c r="J2808">
        <v>50</v>
      </c>
      <c r="M2808" s="74">
        <v>33355</v>
      </c>
      <c r="N2808" s="77">
        <v>0.25</v>
      </c>
      <c r="P2808">
        <v>51.980000000000004</v>
      </c>
      <c r="S2808" s="74">
        <v>33355</v>
      </c>
      <c r="T2808" s="77">
        <v>0.25</v>
      </c>
      <c r="V2808">
        <v>53.06</v>
      </c>
      <c r="X2808" s="42"/>
      <c r="AB2808">
        <v>49.3</v>
      </c>
      <c r="AC2808">
        <v>55.040000000000006</v>
      </c>
      <c r="AE2808" s="74"/>
      <c r="AF2808" s="77"/>
      <c r="AH2808" s="497">
        <v>57.92</v>
      </c>
      <c r="AJ2808" s="42"/>
      <c r="AK2808" s="74"/>
      <c r="AL2808" s="77"/>
      <c r="AN2808" s="497">
        <v>42.980000000000004</v>
      </c>
      <c r="AP2808" s="42"/>
      <c r="AQ2808" s="74"/>
      <c r="AR2808" s="77"/>
      <c r="AT2808" s="497">
        <v>55.040000000000006</v>
      </c>
      <c r="AV2808" s="42"/>
      <c r="AW2808" s="74"/>
      <c r="AX2808" s="77"/>
      <c r="BA2808" s="497">
        <v>42.08</v>
      </c>
      <c r="BB2808" s="42"/>
      <c r="BC2808" s="74"/>
      <c r="BD2808" s="77"/>
      <c r="BF2808">
        <v>41</v>
      </c>
      <c r="BH2808" s="42"/>
      <c r="BI2808" s="74"/>
      <c r="BJ2808" s="77"/>
      <c r="BL2808" s="497">
        <v>28.94</v>
      </c>
      <c r="BN2808" s="42"/>
      <c r="BO2808" s="74"/>
      <c r="BP2808" s="77"/>
      <c r="BR2808" s="497">
        <v>41</v>
      </c>
      <c r="BT2808" s="42"/>
    </row>
    <row r="2809" spans="1:72" x14ac:dyDescent="0.25">
      <c r="A2809" s="90">
        <v>33355</v>
      </c>
      <c r="B2809" s="20">
        <v>0.29166666666666669</v>
      </c>
      <c r="D2809">
        <v>51.980000000000004</v>
      </c>
      <c r="E2809" t="str">
        <f t="shared" si="122"/>
        <v>SATURDAY</v>
      </c>
      <c r="F2809" t="e">
        <f t="shared" si="123"/>
        <v>#N/A</v>
      </c>
      <c r="G2809" s="74">
        <v>32990</v>
      </c>
      <c r="H2809" s="77">
        <v>0.29166666666666669</v>
      </c>
      <c r="J2809">
        <v>53.06</v>
      </c>
      <c r="M2809" s="74">
        <v>33355</v>
      </c>
      <c r="N2809" s="77">
        <v>0.29166666666666669</v>
      </c>
      <c r="P2809">
        <v>57.92</v>
      </c>
      <c r="S2809" s="74">
        <v>33355</v>
      </c>
      <c r="T2809" s="77">
        <v>0.29166666666666669</v>
      </c>
      <c r="V2809">
        <v>55.040000000000006</v>
      </c>
      <c r="X2809" s="42"/>
      <c r="AB2809">
        <v>50.1</v>
      </c>
      <c r="AC2809">
        <v>57.019999999999996</v>
      </c>
      <c r="AE2809" s="74"/>
      <c r="AF2809" s="77"/>
      <c r="AH2809" s="497">
        <v>60.980000000000004</v>
      </c>
      <c r="AJ2809" s="42"/>
      <c r="AK2809" s="74"/>
      <c r="AL2809" s="77"/>
      <c r="AN2809" s="497">
        <v>44.06</v>
      </c>
      <c r="AP2809" s="42"/>
      <c r="AQ2809" s="74"/>
      <c r="AR2809" s="77"/>
      <c r="AT2809" s="497">
        <v>57.019999999999996</v>
      </c>
      <c r="AV2809" s="42"/>
      <c r="AW2809" s="74"/>
      <c r="AX2809" s="77"/>
      <c r="BA2809" s="497">
        <v>42.08</v>
      </c>
      <c r="BB2809" s="42"/>
      <c r="BC2809" s="74"/>
      <c r="BD2809" s="77"/>
      <c r="BF2809">
        <v>44.96</v>
      </c>
      <c r="BH2809" s="42"/>
      <c r="BI2809" s="74"/>
      <c r="BJ2809" s="77"/>
      <c r="BL2809" s="497">
        <v>33.08</v>
      </c>
      <c r="BN2809" s="42"/>
      <c r="BO2809" s="74"/>
      <c r="BP2809" s="77"/>
      <c r="BR2809" s="497">
        <v>42.08</v>
      </c>
      <c r="BT2809" s="42"/>
    </row>
    <row r="2810" spans="1:72" x14ac:dyDescent="0.25">
      <c r="A2810" s="90">
        <v>33355</v>
      </c>
      <c r="B2810" s="20">
        <v>0.33333333333333331</v>
      </c>
      <c r="D2810">
        <v>53.96</v>
      </c>
      <c r="E2810" t="str">
        <f t="shared" si="122"/>
        <v>SATURDAY</v>
      </c>
      <c r="F2810" t="e">
        <f t="shared" si="123"/>
        <v>#N/A</v>
      </c>
      <c r="G2810" s="74">
        <v>32990</v>
      </c>
      <c r="H2810" s="77">
        <v>0.33333333333333331</v>
      </c>
      <c r="J2810">
        <v>59</v>
      </c>
      <c r="M2810" s="74">
        <v>33355</v>
      </c>
      <c r="N2810" s="77">
        <v>0.33333333333333331</v>
      </c>
      <c r="P2810">
        <v>60.08</v>
      </c>
      <c r="S2810" s="74">
        <v>33355</v>
      </c>
      <c r="T2810" s="77">
        <v>0.33333333333333331</v>
      </c>
      <c r="V2810">
        <v>55.94</v>
      </c>
      <c r="X2810" s="42"/>
      <c r="AB2810">
        <v>52.1</v>
      </c>
      <c r="AC2810">
        <v>59</v>
      </c>
      <c r="AE2810" s="74"/>
      <c r="AF2810" s="77"/>
      <c r="AH2810" s="497">
        <v>64.039999999999992</v>
      </c>
      <c r="AJ2810" s="42"/>
      <c r="AK2810" s="74"/>
      <c r="AL2810" s="77"/>
      <c r="AN2810" s="497">
        <v>44.96</v>
      </c>
      <c r="AP2810" s="42"/>
      <c r="AQ2810" s="74"/>
      <c r="AR2810" s="77"/>
      <c r="AT2810" s="497">
        <v>60.08</v>
      </c>
      <c r="AV2810" s="42"/>
      <c r="AW2810" s="74"/>
      <c r="AX2810" s="77"/>
      <c r="BA2810" s="497">
        <v>46.04</v>
      </c>
      <c r="BB2810" s="42"/>
      <c r="BC2810" s="74"/>
      <c r="BD2810" s="77"/>
      <c r="BF2810">
        <v>50</v>
      </c>
      <c r="BH2810" s="42"/>
      <c r="BI2810" s="74"/>
      <c r="BJ2810" s="77"/>
      <c r="BL2810" s="497">
        <v>37.94</v>
      </c>
      <c r="BN2810" s="42"/>
      <c r="BO2810" s="74"/>
      <c r="BP2810" s="77"/>
      <c r="BR2810" s="497">
        <v>42.980000000000004</v>
      </c>
      <c r="BT2810" s="42"/>
    </row>
    <row r="2811" spans="1:72" x14ac:dyDescent="0.25">
      <c r="A2811" s="90">
        <v>33355</v>
      </c>
      <c r="B2811" s="20">
        <v>0.375</v>
      </c>
      <c r="D2811">
        <v>57.019999999999996</v>
      </c>
      <c r="E2811" t="str">
        <f t="shared" si="122"/>
        <v>SATURDAY</v>
      </c>
      <c r="F2811" t="e">
        <f t="shared" si="123"/>
        <v>#N/A</v>
      </c>
      <c r="G2811" s="74">
        <v>32990</v>
      </c>
      <c r="H2811" s="77">
        <v>0.375</v>
      </c>
      <c r="J2811">
        <v>64.94</v>
      </c>
      <c r="M2811" s="74">
        <v>33355</v>
      </c>
      <c r="N2811" s="77">
        <v>0.375</v>
      </c>
      <c r="P2811">
        <v>64.94</v>
      </c>
      <c r="S2811" s="74">
        <v>33355</v>
      </c>
      <c r="T2811" s="77">
        <v>0.375</v>
      </c>
      <c r="V2811">
        <v>60.08</v>
      </c>
      <c r="X2811" s="42"/>
      <c r="AB2811">
        <v>54.1</v>
      </c>
      <c r="AC2811">
        <v>60.980000000000004</v>
      </c>
      <c r="AE2811" s="74"/>
      <c r="AF2811" s="77"/>
      <c r="AH2811" s="497">
        <v>66.02</v>
      </c>
      <c r="AJ2811" s="42"/>
      <c r="AK2811" s="74"/>
      <c r="AL2811" s="77"/>
      <c r="AN2811" s="497">
        <v>46.94</v>
      </c>
      <c r="AP2811" s="42"/>
      <c r="AQ2811" s="74"/>
      <c r="AR2811" s="77"/>
      <c r="AT2811" s="497">
        <v>64.039999999999992</v>
      </c>
      <c r="AV2811" s="42"/>
      <c r="AW2811" s="74"/>
      <c r="AX2811" s="77"/>
      <c r="BA2811" s="497">
        <v>48.019999999999996</v>
      </c>
      <c r="BB2811" s="42"/>
      <c r="BC2811" s="74"/>
      <c r="BD2811" s="77"/>
      <c r="BF2811">
        <v>53.96</v>
      </c>
      <c r="BH2811" s="42"/>
      <c r="BI2811" s="74"/>
      <c r="BJ2811" s="77"/>
      <c r="BL2811" s="497">
        <v>42.08</v>
      </c>
      <c r="BN2811" s="42"/>
      <c r="BO2811" s="74"/>
      <c r="BP2811" s="77"/>
      <c r="BR2811" s="497">
        <v>44.06</v>
      </c>
      <c r="BT2811" s="42"/>
    </row>
    <row r="2812" spans="1:72" x14ac:dyDescent="0.25">
      <c r="A2812" s="90">
        <v>33355</v>
      </c>
      <c r="B2812" s="20">
        <v>0.41666666666666669</v>
      </c>
      <c r="D2812">
        <v>62.96</v>
      </c>
      <c r="E2812" t="str">
        <f t="shared" si="122"/>
        <v>SATURDAY</v>
      </c>
      <c r="F2812" t="e">
        <f t="shared" si="123"/>
        <v>#N/A</v>
      </c>
      <c r="G2812" s="74">
        <v>32990</v>
      </c>
      <c r="H2812" s="77">
        <v>0.41666666666666669</v>
      </c>
      <c r="J2812">
        <v>73.94</v>
      </c>
      <c r="M2812" s="74">
        <v>33355</v>
      </c>
      <c r="N2812" s="77">
        <v>0.41666666666666669</v>
      </c>
      <c r="P2812">
        <v>69.080000000000013</v>
      </c>
      <c r="S2812" s="74">
        <v>33355</v>
      </c>
      <c r="T2812" s="77">
        <v>0.41666666666666669</v>
      </c>
      <c r="V2812">
        <v>60.980000000000004</v>
      </c>
      <c r="X2812" s="42"/>
      <c r="AB2812">
        <v>55.8</v>
      </c>
      <c r="AC2812">
        <v>68</v>
      </c>
      <c r="AE2812" s="74"/>
      <c r="AF2812" s="77"/>
      <c r="AH2812" s="497">
        <v>66.92</v>
      </c>
      <c r="AJ2812" s="42"/>
      <c r="AK2812" s="74"/>
      <c r="AL2812" s="77"/>
      <c r="AN2812" s="497">
        <v>46.04</v>
      </c>
      <c r="AP2812" s="42"/>
      <c r="AQ2812" s="74"/>
      <c r="AR2812" s="77"/>
      <c r="AT2812" s="497">
        <v>71.06</v>
      </c>
      <c r="AV2812" s="42"/>
      <c r="AW2812" s="74"/>
      <c r="AX2812" s="77"/>
      <c r="BA2812" s="497">
        <v>48.92</v>
      </c>
      <c r="BB2812" s="42"/>
      <c r="BC2812" s="74"/>
      <c r="BD2812" s="77"/>
      <c r="BF2812">
        <v>55.94</v>
      </c>
      <c r="BH2812" s="42"/>
      <c r="BI2812" s="74"/>
      <c r="BJ2812" s="77"/>
      <c r="BL2812" s="497">
        <v>44.96</v>
      </c>
      <c r="BN2812" s="42"/>
      <c r="BO2812" s="74"/>
      <c r="BP2812" s="77"/>
      <c r="BR2812" s="497">
        <v>46.04</v>
      </c>
      <c r="BT2812" s="42"/>
    </row>
    <row r="2813" spans="1:72" x14ac:dyDescent="0.25">
      <c r="A2813" s="90">
        <v>33355</v>
      </c>
      <c r="B2813" s="20">
        <v>0.45833333333333331</v>
      </c>
      <c r="D2813">
        <v>71.06</v>
      </c>
      <c r="E2813" t="str">
        <f t="shared" si="122"/>
        <v>SATURDAY</v>
      </c>
      <c r="F2813" t="e">
        <f t="shared" si="123"/>
        <v>#N/A</v>
      </c>
      <c r="G2813" s="74">
        <v>32990</v>
      </c>
      <c r="H2813" s="77">
        <v>0.45833333333333331</v>
      </c>
      <c r="J2813">
        <v>78.98</v>
      </c>
      <c r="M2813" s="74">
        <v>33355</v>
      </c>
      <c r="N2813" s="77">
        <v>0.45833333333333331</v>
      </c>
      <c r="P2813">
        <v>69.98</v>
      </c>
      <c r="S2813" s="74">
        <v>33355</v>
      </c>
      <c r="T2813" s="77">
        <v>0.45833333333333331</v>
      </c>
      <c r="V2813">
        <v>62.06</v>
      </c>
      <c r="X2813" s="42"/>
      <c r="AB2813">
        <v>57.5</v>
      </c>
      <c r="AC2813">
        <v>71.06</v>
      </c>
      <c r="AE2813" s="74"/>
      <c r="AF2813" s="77"/>
      <c r="AH2813" s="497">
        <v>71.960000000000008</v>
      </c>
      <c r="AJ2813" s="42"/>
      <c r="AK2813" s="74"/>
      <c r="AL2813" s="77"/>
      <c r="AN2813" s="497">
        <v>46.94</v>
      </c>
      <c r="AP2813" s="42"/>
      <c r="AQ2813" s="74"/>
      <c r="AR2813" s="77"/>
      <c r="AT2813" s="497">
        <v>73.039999999999992</v>
      </c>
      <c r="AV2813" s="42"/>
      <c r="AW2813" s="74"/>
      <c r="AX2813" s="77"/>
      <c r="BA2813" s="497">
        <v>53.06</v>
      </c>
      <c r="BB2813" s="42"/>
      <c r="BC2813" s="74"/>
      <c r="BD2813" s="77"/>
      <c r="BF2813">
        <v>55.040000000000006</v>
      </c>
      <c r="BH2813" s="42"/>
      <c r="BI2813" s="74"/>
      <c r="BJ2813" s="77"/>
      <c r="BL2813" s="497">
        <v>46.94</v>
      </c>
      <c r="BN2813" s="42"/>
      <c r="BO2813" s="74"/>
      <c r="BP2813" s="77"/>
      <c r="BR2813" s="497">
        <v>51.08</v>
      </c>
      <c r="BT2813" s="42"/>
    </row>
    <row r="2814" spans="1:72" x14ac:dyDescent="0.25">
      <c r="A2814" s="90">
        <v>33355</v>
      </c>
      <c r="B2814" s="20">
        <v>0.5</v>
      </c>
      <c r="D2814">
        <v>75.92</v>
      </c>
      <c r="E2814" t="str">
        <f t="shared" si="122"/>
        <v>SATURDAY</v>
      </c>
      <c r="F2814" t="e">
        <f t="shared" si="123"/>
        <v>#N/A</v>
      </c>
      <c r="G2814" s="74">
        <v>32990</v>
      </c>
      <c r="H2814" s="77">
        <v>0.5</v>
      </c>
      <c r="J2814">
        <v>86</v>
      </c>
      <c r="M2814" s="74">
        <v>33355</v>
      </c>
      <c r="N2814" s="77">
        <v>0.5</v>
      </c>
      <c r="P2814">
        <v>71.06</v>
      </c>
      <c r="S2814" s="74">
        <v>33355</v>
      </c>
      <c r="T2814" s="77">
        <v>0.5</v>
      </c>
      <c r="V2814">
        <v>62.96</v>
      </c>
      <c r="X2814" s="42"/>
      <c r="AB2814">
        <v>58.7</v>
      </c>
      <c r="AC2814">
        <v>68</v>
      </c>
      <c r="AE2814" s="74"/>
      <c r="AF2814" s="77"/>
      <c r="AH2814" s="497">
        <v>75.02</v>
      </c>
      <c r="AJ2814" s="42"/>
      <c r="AK2814" s="74"/>
      <c r="AL2814" s="77"/>
      <c r="AN2814" s="497">
        <v>46.94</v>
      </c>
      <c r="AP2814" s="42"/>
      <c r="AQ2814" s="74"/>
      <c r="AR2814" s="77"/>
      <c r="AT2814" s="497">
        <v>78.98</v>
      </c>
      <c r="AV2814" s="42"/>
      <c r="AW2814" s="74"/>
      <c r="AX2814" s="77"/>
      <c r="BA2814" s="497">
        <v>53.06</v>
      </c>
      <c r="BB2814" s="42"/>
      <c r="BC2814" s="74"/>
      <c r="BD2814" s="77"/>
      <c r="BF2814">
        <v>55.94</v>
      </c>
      <c r="BH2814" s="42"/>
      <c r="BI2814" s="74"/>
      <c r="BJ2814" s="77"/>
      <c r="BL2814" s="497">
        <v>48.92</v>
      </c>
      <c r="BN2814" s="42"/>
      <c r="BO2814" s="74"/>
      <c r="BP2814" s="77"/>
      <c r="BR2814" s="497">
        <v>51.08</v>
      </c>
      <c r="BT2814" s="42"/>
    </row>
    <row r="2815" spans="1:72" x14ac:dyDescent="0.25">
      <c r="A2815" s="90">
        <v>33355</v>
      </c>
      <c r="B2815" s="20">
        <v>0.54166666666666663</v>
      </c>
      <c r="D2815">
        <v>80.06</v>
      </c>
      <c r="E2815" t="str">
        <f t="shared" si="122"/>
        <v>SATURDAY</v>
      </c>
      <c r="F2815" t="e">
        <f t="shared" si="123"/>
        <v>#N/A</v>
      </c>
      <c r="G2815" s="74">
        <v>32990</v>
      </c>
      <c r="H2815" s="77">
        <v>0.54166666666666663</v>
      </c>
      <c r="J2815">
        <v>87.98</v>
      </c>
      <c r="M2815" s="74">
        <v>33355</v>
      </c>
      <c r="N2815" s="77">
        <v>0.54166666666666663</v>
      </c>
      <c r="P2815">
        <v>75.02</v>
      </c>
      <c r="S2815" s="74">
        <v>33355</v>
      </c>
      <c r="T2815" s="77">
        <v>0.54166666666666663</v>
      </c>
      <c r="V2815">
        <v>64.039999999999992</v>
      </c>
      <c r="X2815" s="42"/>
      <c r="AB2815">
        <v>59.5</v>
      </c>
      <c r="AC2815">
        <v>68</v>
      </c>
      <c r="AE2815" s="74"/>
      <c r="AF2815" s="77"/>
      <c r="AH2815" s="497">
        <v>77</v>
      </c>
      <c r="AJ2815" s="42"/>
      <c r="AK2815" s="74"/>
      <c r="AL2815" s="77"/>
      <c r="AN2815" s="497">
        <v>48.019999999999996</v>
      </c>
      <c r="AP2815" s="42"/>
      <c r="AQ2815" s="74"/>
      <c r="AR2815" s="77"/>
      <c r="AT2815" s="497">
        <v>82.94</v>
      </c>
      <c r="AV2815" s="42"/>
      <c r="AW2815" s="74"/>
      <c r="AX2815" s="77"/>
      <c r="BA2815" s="497">
        <v>55.040000000000006</v>
      </c>
      <c r="BB2815" s="42"/>
      <c r="BC2815" s="74"/>
      <c r="BD2815" s="77"/>
      <c r="BF2815">
        <v>55.94</v>
      </c>
      <c r="BH2815" s="42"/>
      <c r="BI2815" s="74"/>
      <c r="BJ2815" s="77"/>
      <c r="BL2815" s="497">
        <v>50</v>
      </c>
      <c r="BN2815" s="42"/>
      <c r="BO2815" s="74"/>
      <c r="BP2815" s="77"/>
      <c r="BR2815" s="497">
        <v>51.980000000000004</v>
      </c>
      <c r="BT2815" s="42"/>
    </row>
    <row r="2816" spans="1:72" x14ac:dyDescent="0.25">
      <c r="A2816" s="90">
        <v>33355</v>
      </c>
      <c r="B2816" s="20">
        <v>0.58333333333333337</v>
      </c>
      <c r="D2816">
        <v>75.02</v>
      </c>
      <c r="E2816" t="str">
        <f t="shared" si="122"/>
        <v>SATURDAY</v>
      </c>
      <c r="F2816" t="e">
        <f t="shared" si="123"/>
        <v>#N/A</v>
      </c>
      <c r="G2816" s="74">
        <v>32990</v>
      </c>
      <c r="H2816" s="77">
        <v>0.58333333333333337</v>
      </c>
      <c r="J2816">
        <v>87.080000000000013</v>
      </c>
      <c r="M2816" s="74">
        <v>33355</v>
      </c>
      <c r="N2816" s="77">
        <v>0.58333333333333337</v>
      </c>
      <c r="P2816">
        <v>77</v>
      </c>
      <c r="S2816" s="74">
        <v>33355</v>
      </c>
      <c r="T2816" s="77">
        <v>0.58333333333333337</v>
      </c>
      <c r="V2816">
        <v>62.96</v>
      </c>
      <c r="X2816" s="42"/>
      <c r="AB2816">
        <v>59.9</v>
      </c>
      <c r="AC2816">
        <v>71.960000000000008</v>
      </c>
      <c r="AE2816" s="74"/>
      <c r="AF2816" s="77"/>
      <c r="AH2816" s="497">
        <v>80.06</v>
      </c>
      <c r="AJ2816" s="42"/>
      <c r="AK2816" s="74"/>
      <c r="AL2816" s="77"/>
      <c r="AN2816" s="497">
        <v>46.94</v>
      </c>
      <c r="AP2816" s="42"/>
      <c r="AQ2816" s="74"/>
      <c r="AR2816" s="77"/>
      <c r="AT2816" s="497">
        <v>86</v>
      </c>
      <c r="AV2816" s="42"/>
      <c r="AW2816" s="74"/>
      <c r="AX2816" s="77"/>
      <c r="BA2816" s="497">
        <v>55.94</v>
      </c>
      <c r="BB2816" s="42"/>
      <c r="BC2816" s="74"/>
      <c r="BD2816" s="77"/>
      <c r="BF2816">
        <v>55.94</v>
      </c>
      <c r="BH2816" s="42"/>
      <c r="BI2816" s="74"/>
      <c r="BJ2816" s="77"/>
      <c r="BL2816" s="497">
        <v>50</v>
      </c>
      <c r="BN2816" s="42"/>
      <c r="BO2816" s="74"/>
      <c r="BP2816" s="77"/>
      <c r="BR2816" s="497">
        <v>53.96</v>
      </c>
      <c r="BT2816" s="42"/>
    </row>
    <row r="2817" spans="1:72" x14ac:dyDescent="0.25">
      <c r="A2817" s="90">
        <v>33355</v>
      </c>
      <c r="B2817" s="20">
        <v>0.625</v>
      </c>
      <c r="D2817">
        <v>78.080000000000013</v>
      </c>
      <c r="E2817" t="str">
        <f t="shared" si="122"/>
        <v>SATURDAY</v>
      </c>
      <c r="F2817" t="e">
        <f t="shared" si="123"/>
        <v>#N/A</v>
      </c>
      <c r="G2817" s="74">
        <v>32990</v>
      </c>
      <c r="H2817" s="77">
        <v>0.625</v>
      </c>
      <c r="J2817">
        <v>87.98</v>
      </c>
      <c r="M2817" s="74">
        <v>33355</v>
      </c>
      <c r="N2817" s="77">
        <v>0.625</v>
      </c>
      <c r="P2817">
        <v>75.02</v>
      </c>
      <c r="S2817" s="74">
        <v>33355</v>
      </c>
      <c r="T2817" s="77">
        <v>0.625</v>
      </c>
      <c r="V2817">
        <v>66.92</v>
      </c>
      <c r="X2817" s="42"/>
      <c r="AB2817">
        <v>60</v>
      </c>
      <c r="AC2817">
        <v>69.98</v>
      </c>
      <c r="AE2817" s="74"/>
      <c r="AF2817" s="77"/>
      <c r="AH2817" s="497">
        <v>82.94</v>
      </c>
      <c r="AJ2817" s="42"/>
      <c r="AK2817" s="74"/>
      <c r="AL2817" s="77"/>
      <c r="AN2817" s="497">
        <v>46.94</v>
      </c>
      <c r="AP2817" s="42"/>
      <c r="AQ2817" s="74"/>
      <c r="AR2817" s="77"/>
      <c r="AT2817" s="497">
        <v>69.98</v>
      </c>
      <c r="AV2817" s="42"/>
      <c r="AW2817" s="74"/>
      <c r="AX2817" s="77"/>
      <c r="BA2817" s="497">
        <v>57.019999999999996</v>
      </c>
      <c r="BB2817" s="42"/>
      <c r="BC2817" s="74"/>
      <c r="BD2817" s="77"/>
      <c r="BF2817">
        <v>55.040000000000006</v>
      </c>
      <c r="BH2817" s="42"/>
      <c r="BI2817" s="74"/>
      <c r="BJ2817" s="77"/>
      <c r="BL2817" s="497">
        <v>51.08</v>
      </c>
      <c r="BN2817" s="42"/>
      <c r="BO2817" s="74"/>
      <c r="BP2817" s="77"/>
      <c r="BR2817" s="497">
        <v>55.94</v>
      </c>
      <c r="BT2817" s="42"/>
    </row>
    <row r="2818" spans="1:72" x14ac:dyDescent="0.25">
      <c r="A2818" s="90">
        <v>33355</v>
      </c>
      <c r="B2818" s="20">
        <v>0.66666666666666663</v>
      </c>
      <c r="D2818">
        <v>80.06</v>
      </c>
      <c r="E2818" t="str">
        <f t="shared" si="122"/>
        <v>SATURDAY</v>
      </c>
      <c r="F2818" t="e">
        <f t="shared" si="123"/>
        <v>#N/A</v>
      </c>
      <c r="G2818" s="74">
        <v>32990</v>
      </c>
      <c r="H2818" s="77">
        <v>0.66666666666666663</v>
      </c>
      <c r="J2818">
        <v>84.02</v>
      </c>
      <c r="M2818" s="74">
        <v>33355</v>
      </c>
      <c r="N2818" s="77">
        <v>0.66666666666666663</v>
      </c>
      <c r="P2818">
        <v>73.039999999999992</v>
      </c>
      <c r="S2818" s="74">
        <v>33355</v>
      </c>
      <c r="T2818" s="77">
        <v>0.66666666666666663</v>
      </c>
      <c r="V2818">
        <v>62.06</v>
      </c>
      <c r="X2818" s="42"/>
      <c r="AB2818">
        <v>59.4</v>
      </c>
      <c r="AC2818">
        <v>68</v>
      </c>
      <c r="AE2818" s="74"/>
      <c r="AF2818" s="77"/>
      <c r="AH2818" s="497">
        <v>80.960000000000008</v>
      </c>
      <c r="AJ2818" s="42"/>
      <c r="AK2818" s="74"/>
      <c r="AL2818" s="77"/>
      <c r="AN2818" s="497">
        <v>46.94</v>
      </c>
      <c r="AP2818" s="42"/>
      <c r="AQ2818" s="74"/>
      <c r="AR2818" s="77"/>
      <c r="AT2818" s="497">
        <v>73.039999999999992</v>
      </c>
      <c r="AV2818" s="42"/>
      <c r="AW2818" s="74"/>
      <c r="AX2818" s="77"/>
      <c r="BA2818" s="497">
        <v>57.019999999999996</v>
      </c>
      <c r="BB2818" s="42"/>
      <c r="BC2818" s="74"/>
      <c r="BD2818" s="77"/>
      <c r="BF2818">
        <v>55.040000000000006</v>
      </c>
      <c r="BH2818" s="42"/>
      <c r="BI2818" s="74"/>
      <c r="BJ2818" s="77"/>
      <c r="BL2818" s="497">
        <v>48.92</v>
      </c>
      <c r="BN2818" s="42"/>
      <c r="BO2818" s="74"/>
      <c r="BP2818" s="77"/>
      <c r="BR2818" s="497">
        <v>57.019999999999996</v>
      </c>
      <c r="BT2818" s="42"/>
    </row>
    <row r="2819" spans="1:72" x14ac:dyDescent="0.25">
      <c r="A2819" s="90">
        <v>33355</v>
      </c>
      <c r="B2819" s="20">
        <v>0.70833333333333337</v>
      </c>
      <c r="D2819">
        <v>71.960000000000008</v>
      </c>
      <c r="E2819" t="str">
        <f t="shared" si="122"/>
        <v>SATURDAY</v>
      </c>
      <c r="F2819" t="e">
        <f t="shared" si="123"/>
        <v>#N/A</v>
      </c>
      <c r="G2819" s="74">
        <v>32990</v>
      </c>
      <c r="H2819" s="77">
        <v>0.70833333333333337</v>
      </c>
      <c r="J2819">
        <v>80.06</v>
      </c>
      <c r="M2819" s="74">
        <v>33355</v>
      </c>
      <c r="N2819" s="77">
        <v>0.70833333333333337</v>
      </c>
      <c r="P2819">
        <v>71.06</v>
      </c>
      <c r="S2819" s="74">
        <v>33355</v>
      </c>
      <c r="T2819" s="77">
        <v>0.70833333333333337</v>
      </c>
      <c r="V2819">
        <v>62.06</v>
      </c>
      <c r="X2819" s="42"/>
      <c r="AB2819">
        <v>58.6</v>
      </c>
      <c r="AC2819">
        <v>66.92</v>
      </c>
      <c r="AE2819" s="74"/>
      <c r="AF2819" s="77"/>
      <c r="AH2819" s="497">
        <v>80.960000000000008</v>
      </c>
      <c r="AJ2819" s="42"/>
      <c r="AK2819" s="74"/>
      <c r="AL2819" s="77"/>
      <c r="AN2819" s="497">
        <v>46.94</v>
      </c>
      <c r="AP2819" s="42"/>
      <c r="AQ2819" s="74"/>
      <c r="AR2819" s="77"/>
      <c r="AT2819" s="497">
        <v>80.06</v>
      </c>
      <c r="AV2819" s="42"/>
      <c r="AW2819" s="74"/>
      <c r="AX2819" s="77"/>
      <c r="BA2819" s="497">
        <v>55.94</v>
      </c>
      <c r="BB2819" s="42"/>
      <c r="BC2819" s="74"/>
      <c r="BD2819" s="77"/>
      <c r="BF2819">
        <v>53.06</v>
      </c>
      <c r="BH2819" s="42"/>
      <c r="BI2819" s="74"/>
      <c r="BJ2819" s="77"/>
      <c r="BL2819" s="497">
        <v>48.019999999999996</v>
      </c>
      <c r="BN2819" s="42"/>
      <c r="BO2819" s="74"/>
      <c r="BP2819" s="77"/>
      <c r="BR2819" s="497">
        <v>57.019999999999996</v>
      </c>
      <c r="BT2819" s="42"/>
    </row>
    <row r="2820" spans="1:72" x14ac:dyDescent="0.25">
      <c r="A2820" s="90">
        <v>33355</v>
      </c>
      <c r="B2820" s="20">
        <v>0.75</v>
      </c>
      <c r="D2820">
        <v>77</v>
      </c>
      <c r="E2820" t="str">
        <f t="shared" si="122"/>
        <v>SATURDAY</v>
      </c>
      <c r="F2820" t="e">
        <f t="shared" si="123"/>
        <v>#N/A</v>
      </c>
      <c r="G2820" s="74">
        <v>32990</v>
      </c>
      <c r="H2820" s="77">
        <v>0.75</v>
      </c>
      <c r="J2820">
        <v>80.06</v>
      </c>
      <c r="M2820" s="74">
        <v>33355</v>
      </c>
      <c r="N2820" s="77">
        <v>0.75</v>
      </c>
      <c r="P2820">
        <v>69.98</v>
      </c>
      <c r="S2820" s="74">
        <v>33355</v>
      </c>
      <c r="T2820" s="77">
        <v>0.75</v>
      </c>
      <c r="V2820">
        <v>59</v>
      </c>
      <c r="X2820" s="42"/>
      <c r="AB2820">
        <v>57.4</v>
      </c>
      <c r="AC2820">
        <v>62.96</v>
      </c>
      <c r="AE2820" s="74"/>
      <c r="AF2820" s="77"/>
      <c r="AH2820" s="497">
        <v>78.080000000000013</v>
      </c>
      <c r="AJ2820" s="42"/>
      <c r="AK2820" s="74"/>
      <c r="AL2820" s="77"/>
      <c r="AN2820" s="497">
        <v>48.019999999999996</v>
      </c>
      <c r="AP2820" s="42"/>
      <c r="AQ2820" s="74"/>
      <c r="AR2820" s="77"/>
      <c r="AT2820" s="497">
        <v>78.080000000000013</v>
      </c>
      <c r="AV2820" s="42"/>
      <c r="AW2820" s="74"/>
      <c r="AX2820" s="77"/>
      <c r="BA2820" s="497">
        <v>53.96</v>
      </c>
      <c r="BB2820" s="42"/>
      <c r="BC2820" s="74"/>
      <c r="BD2820" s="77"/>
      <c r="BF2820">
        <v>51.980000000000004</v>
      </c>
      <c r="BH2820" s="42"/>
      <c r="BI2820" s="74"/>
      <c r="BJ2820" s="77"/>
      <c r="BL2820" s="497">
        <v>46.94</v>
      </c>
      <c r="BN2820" s="42"/>
      <c r="BO2820" s="74"/>
      <c r="BP2820" s="77"/>
      <c r="BR2820" s="497">
        <v>55.94</v>
      </c>
      <c r="BT2820" s="42"/>
    </row>
    <row r="2821" spans="1:72" x14ac:dyDescent="0.25">
      <c r="A2821" s="90">
        <v>33355</v>
      </c>
      <c r="B2821" s="20">
        <v>0.79166666666666663</v>
      </c>
      <c r="D2821">
        <v>73.039999999999992</v>
      </c>
      <c r="E2821" t="str">
        <f t="shared" si="122"/>
        <v>SATURDAY</v>
      </c>
      <c r="F2821" t="e">
        <f t="shared" si="123"/>
        <v>#N/A</v>
      </c>
      <c r="G2821" s="74">
        <v>32990</v>
      </c>
      <c r="H2821" s="77">
        <v>0.79166666666666663</v>
      </c>
      <c r="J2821">
        <v>80.960000000000008</v>
      </c>
      <c r="M2821" s="74">
        <v>33355</v>
      </c>
      <c r="N2821" s="77">
        <v>0.79166666666666663</v>
      </c>
      <c r="P2821">
        <v>66.92</v>
      </c>
      <c r="S2821" s="74">
        <v>33355</v>
      </c>
      <c r="T2821" s="77">
        <v>0.79166666666666663</v>
      </c>
      <c r="V2821">
        <v>57.019999999999996</v>
      </c>
      <c r="X2821" s="42"/>
      <c r="AB2821">
        <v>56</v>
      </c>
      <c r="AC2821">
        <v>60.08</v>
      </c>
      <c r="AE2821" s="74"/>
      <c r="AF2821" s="77"/>
      <c r="AH2821" s="497">
        <v>71.960000000000008</v>
      </c>
      <c r="AJ2821" s="42"/>
      <c r="AK2821" s="74"/>
      <c r="AL2821" s="77"/>
      <c r="AN2821" s="497">
        <v>48.019999999999996</v>
      </c>
      <c r="AP2821" s="42"/>
      <c r="AQ2821" s="74"/>
      <c r="AR2821" s="77"/>
      <c r="AT2821" s="497">
        <v>73.039999999999992</v>
      </c>
      <c r="AV2821" s="42"/>
      <c r="AW2821" s="74"/>
      <c r="AX2821" s="77"/>
      <c r="BA2821" s="497">
        <v>48.92</v>
      </c>
      <c r="BB2821" s="42"/>
      <c r="BC2821" s="74"/>
      <c r="BD2821" s="77"/>
      <c r="BF2821">
        <v>48.92</v>
      </c>
      <c r="BH2821" s="42"/>
      <c r="BI2821" s="74"/>
      <c r="BJ2821" s="77"/>
      <c r="BL2821" s="497">
        <v>46.04</v>
      </c>
      <c r="BN2821" s="42"/>
      <c r="BO2821" s="74"/>
      <c r="BP2821" s="77"/>
      <c r="BR2821" s="497">
        <v>51.980000000000004</v>
      </c>
      <c r="BT2821" s="42"/>
    </row>
    <row r="2822" spans="1:72" x14ac:dyDescent="0.25">
      <c r="A2822" s="90">
        <v>33355</v>
      </c>
      <c r="B2822" s="20">
        <v>0.83333333333333337</v>
      </c>
      <c r="D2822">
        <v>71.06</v>
      </c>
      <c r="E2822" t="str">
        <f t="shared" si="122"/>
        <v>SATURDAY</v>
      </c>
      <c r="F2822" t="e">
        <f t="shared" si="123"/>
        <v>#N/A</v>
      </c>
      <c r="G2822" s="74">
        <v>32990</v>
      </c>
      <c r="H2822" s="77">
        <v>0.83333333333333337</v>
      </c>
      <c r="J2822">
        <v>80.960000000000008</v>
      </c>
      <c r="M2822" s="74">
        <v>33355</v>
      </c>
      <c r="N2822" s="77">
        <v>0.83333333333333337</v>
      </c>
      <c r="P2822">
        <v>62.06</v>
      </c>
      <c r="S2822" s="74">
        <v>33355</v>
      </c>
      <c r="T2822" s="77">
        <v>0.83333333333333337</v>
      </c>
      <c r="V2822">
        <v>57.92</v>
      </c>
      <c r="X2822" s="42"/>
      <c r="AB2822">
        <v>54.6</v>
      </c>
      <c r="AC2822">
        <v>57.92</v>
      </c>
      <c r="AE2822" s="74"/>
      <c r="AF2822" s="77"/>
      <c r="AH2822" s="497">
        <v>66.02</v>
      </c>
      <c r="AJ2822" s="42"/>
      <c r="AK2822" s="74"/>
      <c r="AL2822" s="77"/>
      <c r="AN2822" s="497">
        <v>46.94</v>
      </c>
      <c r="AP2822" s="42"/>
      <c r="AQ2822" s="74"/>
      <c r="AR2822" s="77"/>
      <c r="AT2822" s="497">
        <v>73.94</v>
      </c>
      <c r="AV2822" s="42"/>
      <c r="AW2822" s="74"/>
      <c r="AX2822" s="77"/>
      <c r="BA2822" s="497">
        <v>44.96</v>
      </c>
      <c r="BB2822" s="42"/>
      <c r="BC2822" s="74"/>
      <c r="BD2822" s="77"/>
      <c r="BF2822">
        <v>48.019999999999996</v>
      </c>
      <c r="BH2822" s="42"/>
      <c r="BI2822" s="74"/>
      <c r="BJ2822" s="77"/>
      <c r="BL2822" s="497">
        <v>44.96</v>
      </c>
      <c r="BN2822" s="42"/>
      <c r="BO2822" s="74"/>
      <c r="BP2822" s="77"/>
      <c r="BR2822" s="497">
        <v>46.94</v>
      </c>
      <c r="BT2822" s="42"/>
    </row>
    <row r="2823" spans="1:72" x14ac:dyDescent="0.25">
      <c r="A2823" s="90">
        <v>33355</v>
      </c>
      <c r="B2823" s="20">
        <v>0.875</v>
      </c>
      <c r="D2823">
        <v>71.960000000000008</v>
      </c>
      <c r="E2823" t="str">
        <f t="shared" si="122"/>
        <v>SATURDAY</v>
      </c>
      <c r="F2823" t="e">
        <f t="shared" si="123"/>
        <v>#N/A</v>
      </c>
      <c r="G2823" s="74">
        <v>32990</v>
      </c>
      <c r="H2823" s="77">
        <v>0.875</v>
      </c>
      <c r="J2823">
        <v>80.06</v>
      </c>
      <c r="M2823" s="74">
        <v>33355</v>
      </c>
      <c r="N2823" s="77">
        <v>0.875</v>
      </c>
      <c r="P2823">
        <v>60.08</v>
      </c>
      <c r="S2823" s="74">
        <v>33355</v>
      </c>
      <c r="T2823" s="77">
        <v>0.875</v>
      </c>
      <c r="V2823">
        <v>57.92</v>
      </c>
      <c r="X2823" s="42"/>
      <c r="AB2823">
        <v>53.7</v>
      </c>
      <c r="AC2823">
        <v>57.92</v>
      </c>
      <c r="AE2823" s="74"/>
      <c r="AF2823" s="77"/>
      <c r="AH2823" s="497">
        <v>62.06</v>
      </c>
      <c r="AJ2823" s="42"/>
      <c r="AK2823" s="74"/>
      <c r="AL2823" s="77"/>
      <c r="AN2823" s="497">
        <v>48.019999999999996</v>
      </c>
      <c r="AP2823" s="42"/>
      <c r="AQ2823" s="74"/>
      <c r="AR2823" s="77"/>
      <c r="AT2823" s="497">
        <v>69.98</v>
      </c>
      <c r="AV2823" s="42"/>
      <c r="AW2823" s="74"/>
      <c r="AX2823" s="77"/>
      <c r="BA2823" s="497">
        <v>44.96</v>
      </c>
      <c r="BB2823" s="42"/>
      <c r="BC2823" s="74"/>
      <c r="BD2823" s="77"/>
      <c r="BF2823">
        <v>48.92</v>
      </c>
      <c r="BH2823" s="42"/>
      <c r="BI2823" s="74"/>
      <c r="BJ2823" s="77"/>
      <c r="BL2823" s="497">
        <v>44.96</v>
      </c>
      <c r="BN2823" s="42"/>
      <c r="BO2823" s="74"/>
      <c r="BP2823" s="77"/>
      <c r="BR2823" s="497">
        <v>46.04</v>
      </c>
      <c r="BT2823" s="42"/>
    </row>
    <row r="2824" spans="1:72" x14ac:dyDescent="0.25">
      <c r="A2824" s="90">
        <v>33355</v>
      </c>
      <c r="B2824" s="20">
        <v>0.91666666666666663</v>
      </c>
      <c r="D2824">
        <v>71.960000000000008</v>
      </c>
      <c r="E2824" t="str">
        <f t="shared" si="122"/>
        <v>SATURDAY</v>
      </c>
      <c r="F2824" t="e">
        <f t="shared" si="123"/>
        <v>#N/A</v>
      </c>
      <c r="G2824" s="74">
        <v>32990</v>
      </c>
      <c r="H2824" s="77">
        <v>0.91666666666666663</v>
      </c>
      <c r="J2824">
        <v>78.98</v>
      </c>
      <c r="M2824" s="74">
        <v>33355</v>
      </c>
      <c r="N2824" s="77">
        <v>0.91666666666666663</v>
      </c>
      <c r="P2824">
        <v>55.94</v>
      </c>
      <c r="S2824" s="74">
        <v>33355</v>
      </c>
      <c r="T2824" s="77">
        <v>0.91666666666666663</v>
      </c>
      <c r="V2824">
        <v>57.92</v>
      </c>
      <c r="X2824" s="42"/>
      <c r="AB2824">
        <v>53.1</v>
      </c>
      <c r="AC2824">
        <v>57.019999999999996</v>
      </c>
      <c r="AE2824" s="74"/>
      <c r="AF2824" s="77"/>
      <c r="AH2824" s="497">
        <v>57.92</v>
      </c>
      <c r="AJ2824" s="42"/>
      <c r="AK2824" s="74"/>
      <c r="AL2824" s="77"/>
      <c r="AN2824" s="497">
        <v>48.019999999999996</v>
      </c>
      <c r="AP2824" s="42"/>
      <c r="AQ2824" s="74"/>
      <c r="AR2824" s="77"/>
      <c r="AT2824" s="497">
        <v>66.92</v>
      </c>
      <c r="AV2824" s="42"/>
      <c r="AW2824" s="74"/>
      <c r="AX2824" s="77"/>
      <c r="BA2824" s="497">
        <v>44.06</v>
      </c>
      <c r="BB2824" s="42"/>
      <c r="BC2824" s="74"/>
      <c r="BD2824" s="77"/>
      <c r="BF2824">
        <v>48.92</v>
      </c>
      <c r="BH2824" s="42"/>
      <c r="BI2824" s="74"/>
      <c r="BJ2824" s="77"/>
      <c r="BL2824" s="497">
        <v>44.96</v>
      </c>
      <c r="BN2824" s="42"/>
      <c r="BO2824" s="74"/>
      <c r="BP2824" s="77"/>
      <c r="BR2824" s="497">
        <v>44.06</v>
      </c>
      <c r="BT2824" s="42"/>
    </row>
    <row r="2825" spans="1:72" x14ac:dyDescent="0.25">
      <c r="A2825" s="90">
        <v>33355</v>
      </c>
      <c r="B2825" s="20">
        <v>0.95833333333333337</v>
      </c>
      <c r="D2825">
        <v>71.960000000000008</v>
      </c>
      <c r="E2825" t="str">
        <f t="shared" si="122"/>
        <v>SATURDAY</v>
      </c>
      <c r="F2825" t="e">
        <f t="shared" si="123"/>
        <v>#N/A</v>
      </c>
      <c r="G2825" s="74">
        <v>32990</v>
      </c>
      <c r="H2825" s="77">
        <v>0.95833333333333337</v>
      </c>
      <c r="J2825">
        <v>77</v>
      </c>
      <c r="M2825" s="74">
        <v>33355</v>
      </c>
      <c r="N2825" s="77">
        <v>0.95833333333333337</v>
      </c>
      <c r="P2825">
        <v>55.040000000000006</v>
      </c>
      <c r="S2825" s="74">
        <v>33355</v>
      </c>
      <c r="T2825" s="77">
        <v>0.95833333333333337</v>
      </c>
      <c r="V2825">
        <v>59</v>
      </c>
      <c r="X2825" s="42"/>
      <c r="AB2825">
        <v>52.6</v>
      </c>
      <c r="AC2825">
        <v>55.94</v>
      </c>
      <c r="AE2825" s="74"/>
      <c r="AF2825" s="77"/>
      <c r="AH2825" s="497">
        <v>55.94</v>
      </c>
      <c r="AJ2825" s="42"/>
      <c r="AK2825" s="74"/>
      <c r="AL2825" s="77"/>
      <c r="AN2825" s="497">
        <v>48.019999999999996</v>
      </c>
      <c r="AP2825" s="42"/>
      <c r="AQ2825" s="74"/>
      <c r="AR2825" s="77"/>
      <c r="AT2825" s="497">
        <v>64.94</v>
      </c>
      <c r="AV2825" s="42"/>
      <c r="AW2825" s="74"/>
      <c r="AX2825" s="77"/>
      <c r="BA2825" s="497">
        <v>42.980000000000004</v>
      </c>
      <c r="BB2825" s="42"/>
      <c r="BC2825" s="74"/>
      <c r="BD2825" s="77"/>
      <c r="BF2825">
        <v>48.92</v>
      </c>
      <c r="BH2825" s="42"/>
      <c r="BI2825" s="74"/>
      <c r="BJ2825" s="77"/>
      <c r="BL2825" s="497">
        <v>44.06</v>
      </c>
      <c r="BN2825" s="42"/>
      <c r="BO2825" s="74"/>
      <c r="BP2825" s="77"/>
      <c r="BR2825" s="497">
        <v>44.06</v>
      </c>
      <c r="BT2825" s="42"/>
    </row>
    <row r="2826" spans="1:72" x14ac:dyDescent="0.25">
      <c r="A2826" s="90">
        <v>33355</v>
      </c>
      <c r="B2826" s="20">
        <v>1</v>
      </c>
      <c r="D2826">
        <v>71.06</v>
      </c>
      <c r="E2826" t="str">
        <f t="shared" si="122"/>
        <v>SATURDAY</v>
      </c>
      <c r="F2826" t="e">
        <f t="shared" si="123"/>
        <v>#N/A</v>
      </c>
      <c r="G2826" s="74">
        <v>32990</v>
      </c>
      <c r="H2826" s="77">
        <v>1</v>
      </c>
      <c r="J2826">
        <v>77</v>
      </c>
      <c r="M2826" s="74">
        <v>33355</v>
      </c>
      <c r="N2826" s="80">
        <v>1</v>
      </c>
      <c r="P2826">
        <v>55.040000000000006</v>
      </c>
      <c r="S2826" s="74">
        <v>33355</v>
      </c>
      <c r="T2826" s="80">
        <v>1</v>
      </c>
      <c r="V2826">
        <v>59</v>
      </c>
      <c r="X2826" s="42"/>
      <c r="AB2826">
        <v>52.2</v>
      </c>
      <c r="AC2826">
        <v>53.96</v>
      </c>
      <c r="AE2826" s="74"/>
      <c r="AF2826" s="80"/>
      <c r="AH2826" s="497">
        <v>55.94</v>
      </c>
      <c r="AJ2826" s="42"/>
      <c r="AK2826" s="74"/>
      <c r="AL2826" s="80"/>
      <c r="AN2826" s="497">
        <v>48.019999999999996</v>
      </c>
      <c r="AP2826" s="42"/>
      <c r="AQ2826" s="74"/>
      <c r="AR2826" s="80"/>
      <c r="AT2826" s="497">
        <v>60.980000000000004</v>
      </c>
      <c r="AV2826" s="42"/>
      <c r="AW2826" s="74"/>
      <c r="AX2826" s="80"/>
      <c r="BA2826" s="497">
        <v>44.06</v>
      </c>
      <c r="BB2826" s="42"/>
      <c r="BC2826" s="74"/>
      <c r="BD2826" s="80"/>
      <c r="BF2826">
        <v>48.92</v>
      </c>
      <c r="BH2826" s="42"/>
      <c r="BI2826" s="74"/>
      <c r="BJ2826" s="80"/>
      <c r="BL2826" s="497">
        <v>41</v>
      </c>
      <c r="BN2826" s="42"/>
      <c r="BO2826" s="74"/>
      <c r="BP2826" s="80"/>
      <c r="BR2826" s="497">
        <v>42.980000000000004</v>
      </c>
      <c r="BT2826" s="42"/>
    </row>
    <row r="2827" spans="1:72" x14ac:dyDescent="0.25">
      <c r="A2827" s="90">
        <v>33356</v>
      </c>
      <c r="B2827" s="20">
        <v>4.1666666666666664E-2</v>
      </c>
      <c r="D2827">
        <v>69.080000000000013</v>
      </c>
      <c r="E2827" t="str">
        <f t="shared" si="122"/>
        <v>SUNDAY</v>
      </c>
      <c r="F2827" t="e">
        <f t="shared" si="123"/>
        <v>#N/A</v>
      </c>
      <c r="G2827" s="74">
        <v>32991</v>
      </c>
      <c r="H2827" s="77">
        <v>4.1666666666666664E-2</v>
      </c>
      <c r="J2827">
        <v>75.92</v>
      </c>
      <c r="M2827" s="74">
        <v>33356</v>
      </c>
      <c r="N2827" s="77">
        <v>4.1666666666666664E-2</v>
      </c>
      <c r="P2827">
        <v>53.96</v>
      </c>
      <c r="S2827" s="74">
        <v>33356</v>
      </c>
      <c r="T2827" s="77">
        <v>4.1666666666666664E-2</v>
      </c>
      <c r="V2827">
        <v>59</v>
      </c>
      <c r="X2827" s="42"/>
      <c r="AB2827">
        <v>51.7</v>
      </c>
      <c r="AC2827">
        <v>51.08</v>
      </c>
      <c r="AE2827" s="74"/>
      <c r="AF2827" s="77"/>
      <c r="AH2827" s="497">
        <v>55.94</v>
      </c>
      <c r="AJ2827" s="42"/>
      <c r="AK2827" s="74"/>
      <c r="AL2827" s="77"/>
      <c r="AN2827" s="497">
        <v>48.019999999999996</v>
      </c>
      <c r="AP2827" s="42"/>
      <c r="AQ2827" s="74"/>
      <c r="AR2827" s="77"/>
      <c r="AT2827" s="497">
        <v>57.92</v>
      </c>
      <c r="AV2827" s="42"/>
      <c r="AW2827" s="74"/>
      <c r="AX2827" s="77"/>
      <c r="BA2827" s="497">
        <v>42.08</v>
      </c>
      <c r="BB2827" s="42"/>
      <c r="BC2827" s="74"/>
      <c r="BD2827" s="77"/>
      <c r="BF2827">
        <v>48.92</v>
      </c>
      <c r="BH2827" s="42"/>
      <c r="BI2827" s="74"/>
      <c r="BJ2827" s="77"/>
      <c r="BL2827" s="497">
        <v>39.92</v>
      </c>
      <c r="BN2827" s="42"/>
      <c r="BO2827" s="74"/>
      <c r="BP2827" s="77"/>
      <c r="BR2827" s="497">
        <v>44.06</v>
      </c>
      <c r="BT2827" s="42"/>
    </row>
    <row r="2828" spans="1:72" x14ac:dyDescent="0.25">
      <c r="A2828" s="90">
        <v>33356</v>
      </c>
      <c r="B2828" s="20">
        <v>8.3333333333333329E-2</v>
      </c>
      <c r="D2828">
        <v>66.92</v>
      </c>
      <c r="E2828" t="str">
        <f t="shared" si="122"/>
        <v>SUNDAY</v>
      </c>
      <c r="F2828" t="e">
        <f t="shared" si="123"/>
        <v>#N/A</v>
      </c>
      <c r="G2828" s="74">
        <v>32991</v>
      </c>
      <c r="H2828" s="77">
        <v>8.3333333333333329E-2</v>
      </c>
      <c r="J2828">
        <v>73.94</v>
      </c>
      <c r="M2828" s="74">
        <v>33356</v>
      </c>
      <c r="N2828" s="77">
        <v>8.3333333333333329E-2</v>
      </c>
      <c r="P2828">
        <v>53.96</v>
      </c>
      <c r="S2828" s="74">
        <v>33356</v>
      </c>
      <c r="T2828" s="77">
        <v>8.3333333333333329E-2</v>
      </c>
      <c r="V2828">
        <v>57.92</v>
      </c>
      <c r="X2828" s="42"/>
      <c r="AB2828">
        <v>51.2</v>
      </c>
      <c r="AC2828">
        <v>51.980000000000004</v>
      </c>
      <c r="AE2828" s="74"/>
      <c r="AF2828" s="77"/>
      <c r="AH2828" s="497">
        <v>53.96</v>
      </c>
      <c r="AJ2828" s="42"/>
      <c r="AK2828" s="74"/>
      <c r="AL2828" s="77"/>
      <c r="AN2828" s="497">
        <v>48.019999999999996</v>
      </c>
      <c r="AP2828" s="42"/>
      <c r="AQ2828" s="74"/>
      <c r="AR2828" s="77"/>
      <c r="AT2828" s="497">
        <v>51.980000000000004</v>
      </c>
      <c r="AV2828" s="42"/>
      <c r="AW2828" s="74"/>
      <c r="AX2828" s="77"/>
      <c r="BA2828" s="497">
        <v>42.980000000000004</v>
      </c>
      <c r="BB2828" s="42"/>
      <c r="BC2828" s="74"/>
      <c r="BD2828" s="77"/>
      <c r="BF2828">
        <v>48.92</v>
      </c>
      <c r="BH2828" s="42"/>
      <c r="BI2828" s="74"/>
      <c r="BJ2828" s="77"/>
      <c r="BL2828" s="497">
        <v>39.92</v>
      </c>
      <c r="BN2828" s="42"/>
      <c r="BO2828" s="74"/>
      <c r="BP2828" s="77"/>
      <c r="BR2828" s="497">
        <v>44.06</v>
      </c>
      <c r="BT2828" s="42"/>
    </row>
    <row r="2829" spans="1:72" x14ac:dyDescent="0.25">
      <c r="A2829" s="90">
        <v>33356</v>
      </c>
      <c r="B2829" s="20">
        <v>0.125</v>
      </c>
      <c r="D2829">
        <v>64.94</v>
      </c>
      <c r="E2829" t="str">
        <f t="shared" si="122"/>
        <v>SUNDAY</v>
      </c>
      <c r="F2829" t="e">
        <f t="shared" si="123"/>
        <v>#N/A</v>
      </c>
      <c r="G2829" s="74">
        <v>32991</v>
      </c>
      <c r="H2829" s="77">
        <v>0.125</v>
      </c>
      <c r="J2829">
        <v>69.080000000000013</v>
      </c>
      <c r="M2829" s="74">
        <v>33356</v>
      </c>
      <c r="N2829" s="77">
        <v>0.125</v>
      </c>
      <c r="P2829">
        <v>60.980000000000004</v>
      </c>
      <c r="S2829" s="74">
        <v>33356</v>
      </c>
      <c r="T2829" s="77">
        <v>0.125</v>
      </c>
      <c r="V2829">
        <v>62.06</v>
      </c>
      <c r="X2829" s="42"/>
      <c r="AB2829">
        <v>50.7</v>
      </c>
      <c r="AC2829">
        <v>55.040000000000006</v>
      </c>
      <c r="AE2829" s="74"/>
      <c r="AF2829" s="77"/>
      <c r="AH2829" s="497">
        <v>53.96</v>
      </c>
      <c r="AJ2829" s="42"/>
      <c r="AK2829" s="74"/>
      <c r="AL2829" s="77"/>
      <c r="AN2829" s="497">
        <v>46.94</v>
      </c>
      <c r="AP2829" s="42"/>
      <c r="AQ2829" s="74"/>
      <c r="AR2829" s="77"/>
      <c r="AT2829" s="497">
        <v>51.08</v>
      </c>
      <c r="AV2829" s="42"/>
      <c r="AW2829" s="74"/>
      <c r="AX2829" s="77"/>
      <c r="BA2829" s="497">
        <v>42.08</v>
      </c>
      <c r="BB2829" s="42"/>
      <c r="BC2829" s="74"/>
      <c r="BD2829" s="77"/>
      <c r="BF2829">
        <v>48.92</v>
      </c>
      <c r="BH2829" s="42"/>
      <c r="BI2829" s="74"/>
      <c r="BJ2829" s="77"/>
      <c r="BL2829" s="497">
        <v>39.92</v>
      </c>
      <c r="BN2829" s="42"/>
      <c r="BO2829" s="74"/>
      <c r="BP2829" s="77"/>
      <c r="BR2829" s="497">
        <v>42.980000000000004</v>
      </c>
      <c r="BT2829" s="42"/>
    </row>
    <row r="2830" spans="1:72" x14ac:dyDescent="0.25">
      <c r="A2830" s="90">
        <v>33356</v>
      </c>
      <c r="B2830" s="20">
        <v>0.16666666666666666</v>
      </c>
      <c r="D2830">
        <v>62.96</v>
      </c>
      <c r="E2830" t="str">
        <f t="shared" si="122"/>
        <v>SUNDAY</v>
      </c>
      <c r="F2830" t="e">
        <f t="shared" si="123"/>
        <v>#N/A</v>
      </c>
      <c r="G2830" s="74">
        <v>32991</v>
      </c>
      <c r="H2830" s="77">
        <v>0.16666666666666666</v>
      </c>
      <c r="J2830">
        <v>69.98</v>
      </c>
      <c r="M2830" s="74">
        <v>33356</v>
      </c>
      <c r="N2830" s="77">
        <v>0.16666666666666666</v>
      </c>
      <c r="P2830">
        <v>57.379999999999995</v>
      </c>
      <c r="S2830" s="74">
        <v>33356</v>
      </c>
      <c r="T2830" s="77">
        <v>0.16666666666666666</v>
      </c>
      <c r="V2830">
        <v>57.92</v>
      </c>
      <c r="X2830" s="42"/>
      <c r="AB2830">
        <v>50.2</v>
      </c>
      <c r="AC2830">
        <v>53.06</v>
      </c>
      <c r="AE2830" s="74"/>
      <c r="AF2830" s="77"/>
      <c r="AH2830" s="497">
        <v>51.980000000000004</v>
      </c>
      <c r="AJ2830" s="42"/>
      <c r="AK2830" s="74"/>
      <c r="AL2830" s="77"/>
      <c r="AN2830" s="497">
        <v>46.94</v>
      </c>
      <c r="AP2830" s="42"/>
      <c r="AQ2830" s="74"/>
      <c r="AR2830" s="77"/>
      <c r="AT2830" s="497">
        <v>50</v>
      </c>
      <c r="AV2830" s="42"/>
      <c r="AW2830" s="74"/>
      <c r="AX2830" s="77"/>
      <c r="BA2830" s="497">
        <v>41</v>
      </c>
      <c r="BB2830" s="42"/>
      <c r="BC2830" s="74"/>
      <c r="BD2830" s="77"/>
      <c r="BF2830">
        <v>48.92</v>
      </c>
      <c r="BH2830" s="42"/>
      <c r="BI2830" s="74"/>
      <c r="BJ2830" s="77"/>
      <c r="BL2830" s="497">
        <v>39.92</v>
      </c>
      <c r="BN2830" s="42"/>
      <c r="BO2830" s="74"/>
      <c r="BP2830" s="77"/>
      <c r="BR2830" s="497">
        <v>42.980000000000004</v>
      </c>
      <c r="BT2830" s="42"/>
    </row>
    <row r="2831" spans="1:72" x14ac:dyDescent="0.25">
      <c r="A2831" s="90">
        <v>33356</v>
      </c>
      <c r="B2831" s="20">
        <v>0.20833333333333334</v>
      </c>
      <c r="D2831">
        <v>60.08</v>
      </c>
      <c r="E2831" t="str">
        <f t="shared" si="122"/>
        <v>SUNDAY</v>
      </c>
      <c r="F2831" t="e">
        <f t="shared" si="123"/>
        <v>#N/A</v>
      </c>
      <c r="G2831" s="74">
        <v>32991</v>
      </c>
      <c r="H2831" s="77">
        <v>0.20833333333333334</v>
      </c>
      <c r="J2831">
        <v>66.02</v>
      </c>
      <c r="M2831" s="74">
        <v>33356</v>
      </c>
      <c r="N2831" s="77">
        <v>0.20833333333333334</v>
      </c>
      <c r="P2831">
        <v>53.96</v>
      </c>
      <c r="S2831" s="74">
        <v>33356</v>
      </c>
      <c r="T2831" s="77">
        <v>0.20833333333333334</v>
      </c>
      <c r="V2831">
        <v>55.94</v>
      </c>
      <c r="X2831" s="42"/>
      <c r="AB2831">
        <v>49.8</v>
      </c>
      <c r="AC2831">
        <v>51.08</v>
      </c>
      <c r="AE2831" s="74"/>
      <c r="AF2831" s="77"/>
      <c r="AH2831" s="497">
        <v>51.08</v>
      </c>
      <c r="AJ2831" s="42"/>
      <c r="AK2831" s="74"/>
      <c r="AL2831" s="77"/>
      <c r="AN2831" s="497">
        <v>46.94</v>
      </c>
      <c r="AP2831" s="42"/>
      <c r="AQ2831" s="74"/>
      <c r="AR2831" s="77"/>
      <c r="AT2831" s="497">
        <v>48.92</v>
      </c>
      <c r="AV2831" s="42"/>
      <c r="AW2831" s="74"/>
      <c r="AX2831" s="77"/>
      <c r="BA2831" s="497">
        <v>39.92</v>
      </c>
      <c r="BB2831" s="42"/>
      <c r="BC2831" s="74"/>
      <c r="BD2831" s="77"/>
      <c r="BF2831">
        <v>48.92</v>
      </c>
      <c r="BH2831" s="42"/>
      <c r="BI2831" s="74"/>
      <c r="BJ2831" s="77"/>
      <c r="BL2831" s="497">
        <v>41</v>
      </c>
      <c r="BN2831" s="42"/>
      <c r="BO2831" s="74"/>
      <c r="BP2831" s="77"/>
      <c r="BR2831" s="497">
        <v>41</v>
      </c>
      <c r="BT2831" s="42"/>
    </row>
    <row r="2832" spans="1:72" x14ac:dyDescent="0.25">
      <c r="A2832" s="90">
        <v>33356</v>
      </c>
      <c r="B2832" s="20">
        <v>0.25</v>
      </c>
      <c r="D2832">
        <v>59</v>
      </c>
      <c r="E2832" t="str">
        <f t="shared" si="122"/>
        <v>SUNDAY</v>
      </c>
      <c r="F2832" t="e">
        <f t="shared" si="123"/>
        <v>#N/A</v>
      </c>
      <c r="G2832" s="74">
        <v>32991</v>
      </c>
      <c r="H2832" s="77">
        <v>0.25</v>
      </c>
      <c r="J2832">
        <v>69.98</v>
      </c>
      <c r="M2832" s="74">
        <v>33356</v>
      </c>
      <c r="N2832" s="77">
        <v>0.25</v>
      </c>
      <c r="P2832">
        <v>53.06</v>
      </c>
      <c r="S2832" s="74">
        <v>33356</v>
      </c>
      <c r="T2832" s="77">
        <v>0.25</v>
      </c>
      <c r="V2832">
        <v>53.96</v>
      </c>
      <c r="X2832" s="42"/>
      <c r="AB2832">
        <v>49.5</v>
      </c>
      <c r="AC2832">
        <v>51.08</v>
      </c>
      <c r="AE2832" s="74"/>
      <c r="AF2832" s="77"/>
      <c r="AH2832" s="497">
        <v>51.08</v>
      </c>
      <c r="AJ2832" s="42"/>
      <c r="AK2832" s="74"/>
      <c r="AL2832" s="77"/>
      <c r="AN2832" s="497">
        <v>46.94</v>
      </c>
      <c r="AP2832" s="42"/>
      <c r="AQ2832" s="74"/>
      <c r="AR2832" s="77"/>
      <c r="AT2832" s="497">
        <v>48.92</v>
      </c>
      <c r="AV2832" s="42"/>
      <c r="AW2832" s="74"/>
      <c r="AX2832" s="77"/>
      <c r="BA2832" s="497">
        <v>41</v>
      </c>
      <c r="BB2832" s="42"/>
      <c r="BC2832" s="74"/>
      <c r="BD2832" s="77"/>
      <c r="BF2832">
        <v>48.92</v>
      </c>
      <c r="BH2832" s="42"/>
      <c r="BI2832" s="74"/>
      <c r="BJ2832" s="77"/>
      <c r="BL2832" s="497">
        <v>41</v>
      </c>
      <c r="BN2832" s="42"/>
      <c r="BO2832" s="74"/>
      <c r="BP2832" s="77"/>
      <c r="BR2832" s="497">
        <v>42.08</v>
      </c>
      <c r="BT2832" s="42"/>
    </row>
    <row r="2833" spans="1:72" x14ac:dyDescent="0.25">
      <c r="A2833" s="90">
        <v>33356</v>
      </c>
      <c r="B2833" s="20">
        <v>0.29166666666666669</v>
      </c>
      <c r="D2833">
        <v>57.92</v>
      </c>
      <c r="E2833" t="str">
        <f t="shared" si="122"/>
        <v>SUNDAY</v>
      </c>
      <c r="F2833" t="e">
        <f t="shared" si="123"/>
        <v>#N/A</v>
      </c>
      <c r="G2833" s="74">
        <v>32991</v>
      </c>
      <c r="H2833" s="77">
        <v>0.29166666666666669</v>
      </c>
      <c r="J2833">
        <v>68</v>
      </c>
      <c r="M2833" s="74">
        <v>33356</v>
      </c>
      <c r="N2833" s="77">
        <v>0.29166666666666669</v>
      </c>
      <c r="P2833">
        <v>53.06</v>
      </c>
      <c r="S2833" s="74">
        <v>33356</v>
      </c>
      <c r="T2833" s="77">
        <v>0.29166666666666669</v>
      </c>
      <c r="V2833">
        <v>55.040000000000006</v>
      </c>
      <c r="X2833" s="42"/>
      <c r="AB2833">
        <v>50.3</v>
      </c>
      <c r="AC2833">
        <v>53.96</v>
      </c>
      <c r="AE2833" s="74"/>
      <c r="AF2833" s="77"/>
      <c r="AH2833" s="497">
        <v>53.96</v>
      </c>
      <c r="AJ2833" s="42"/>
      <c r="AK2833" s="74"/>
      <c r="AL2833" s="77"/>
      <c r="AN2833" s="497">
        <v>46.94</v>
      </c>
      <c r="AP2833" s="42"/>
      <c r="AQ2833" s="74"/>
      <c r="AR2833" s="77"/>
      <c r="AT2833" s="497">
        <v>50</v>
      </c>
      <c r="AV2833" s="42"/>
      <c r="AW2833" s="74"/>
      <c r="AX2833" s="77"/>
      <c r="BA2833" s="497">
        <v>44.06</v>
      </c>
      <c r="BB2833" s="42"/>
      <c r="BC2833" s="74"/>
      <c r="BD2833" s="77"/>
      <c r="BF2833">
        <v>48.92</v>
      </c>
      <c r="BH2833" s="42"/>
      <c r="BI2833" s="74"/>
      <c r="BJ2833" s="77"/>
      <c r="BL2833" s="497">
        <v>41</v>
      </c>
      <c r="BN2833" s="42"/>
      <c r="BO2833" s="74"/>
      <c r="BP2833" s="77"/>
      <c r="BR2833" s="497">
        <v>44.06</v>
      </c>
      <c r="BT2833" s="42"/>
    </row>
    <row r="2834" spans="1:72" x14ac:dyDescent="0.25">
      <c r="A2834" s="90">
        <v>33356</v>
      </c>
      <c r="B2834" s="20">
        <v>0.33333333333333331</v>
      </c>
      <c r="D2834">
        <v>59</v>
      </c>
      <c r="E2834" t="str">
        <f t="shared" si="122"/>
        <v>SUNDAY</v>
      </c>
      <c r="F2834" t="e">
        <f t="shared" si="123"/>
        <v>#N/A</v>
      </c>
      <c r="G2834" s="74">
        <v>32991</v>
      </c>
      <c r="H2834" s="77">
        <v>0.33333333333333331</v>
      </c>
      <c r="J2834">
        <v>73.039999999999992</v>
      </c>
      <c r="M2834" s="74">
        <v>33356</v>
      </c>
      <c r="N2834" s="77">
        <v>0.33333333333333331</v>
      </c>
      <c r="P2834">
        <v>55.94</v>
      </c>
      <c r="S2834" s="74">
        <v>33356</v>
      </c>
      <c r="T2834" s="77">
        <v>0.33333333333333331</v>
      </c>
      <c r="V2834">
        <v>57.92</v>
      </c>
      <c r="X2834" s="42"/>
      <c r="AB2834">
        <v>52.4</v>
      </c>
      <c r="AC2834">
        <v>55.94</v>
      </c>
      <c r="AE2834" s="74"/>
      <c r="AF2834" s="77"/>
      <c r="AH2834" s="497">
        <v>57.019999999999996</v>
      </c>
      <c r="AJ2834" s="42"/>
      <c r="AK2834" s="74"/>
      <c r="AL2834" s="77"/>
      <c r="AN2834" s="497">
        <v>48.019999999999996</v>
      </c>
      <c r="AP2834" s="42"/>
      <c r="AQ2834" s="74"/>
      <c r="AR2834" s="77"/>
      <c r="AT2834" s="497">
        <v>48.92</v>
      </c>
      <c r="AV2834" s="42"/>
      <c r="AW2834" s="74"/>
      <c r="AX2834" s="77"/>
      <c r="BA2834" s="497">
        <v>44.06</v>
      </c>
      <c r="BB2834" s="42"/>
      <c r="BC2834" s="74"/>
      <c r="BD2834" s="77"/>
      <c r="BF2834">
        <v>50</v>
      </c>
      <c r="BH2834" s="42"/>
      <c r="BI2834" s="74"/>
      <c r="BJ2834" s="77"/>
      <c r="BL2834" s="497">
        <v>42.08</v>
      </c>
      <c r="BN2834" s="42"/>
      <c r="BO2834" s="74"/>
      <c r="BP2834" s="77"/>
      <c r="BR2834" s="497">
        <v>48.019999999999996</v>
      </c>
      <c r="BT2834" s="42"/>
    </row>
    <row r="2835" spans="1:72" x14ac:dyDescent="0.25">
      <c r="A2835" s="90">
        <v>33356</v>
      </c>
      <c r="B2835" s="20">
        <v>0.375</v>
      </c>
      <c r="D2835">
        <v>62.06</v>
      </c>
      <c r="E2835" t="str">
        <f t="shared" ref="E2835:E2898" si="124">IF(COUNTIF($DI$18:$DI$22, WEEKDAY(A2835))=1, "WEEKDAY", IF(WEEKDAY(A2835) = 1, "SUNDAY", "SATURDAY"))</f>
        <v>SUNDAY</v>
      </c>
      <c r="F2835" t="e">
        <f t="shared" si="123"/>
        <v>#N/A</v>
      </c>
      <c r="G2835" s="74">
        <v>32991</v>
      </c>
      <c r="H2835" s="77">
        <v>0.375</v>
      </c>
      <c r="J2835">
        <v>77</v>
      </c>
      <c r="M2835" s="74">
        <v>33356</v>
      </c>
      <c r="N2835" s="77">
        <v>0.375</v>
      </c>
      <c r="P2835">
        <v>59</v>
      </c>
      <c r="S2835" s="74">
        <v>33356</v>
      </c>
      <c r="T2835" s="77">
        <v>0.375</v>
      </c>
      <c r="V2835">
        <v>60.980000000000004</v>
      </c>
      <c r="X2835" s="42"/>
      <c r="AB2835">
        <v>54.3</v>
      </c>
      <c r="AC2835">
        <v>59</v>
      </c>
      <c r="AE2835" s="74"/>
      <c r="AF2835" s="77"/>
      <c r="AH2835" s="497">
        <v>57.92</v>
      </c>
      <c r="AJ2835" s="42"/>
      <c r="AK2835" s="74"/>
      <c r="AL2835" s="77"/>
      <c r="AN2835" s="497">
        <v>48.019999999999996</v>
      </c>
      <c r="AP2835" s="42"/>
      <c r="AQ2835" s="74"/>
      <c r="AR2835" s="77"/>
      <c r="AT2835" s="497">
        <v>48.92</v>
      </c>
      <c r="AV2835" s="42"/>
      <c r="AW2835" s="74"/>
      <c r="AX2835" s="77"/>
      <c r="BA2835" s="497">
        <v>44.96</v>
      </c>
      <c r="BB2835" s="42"/>
      <c r="BC2835" s="74"/>
      <c r="BD2835" s="77"/>
      <c r="BF2835">
        <v>50</v>
      </c>
      <c r="BH2835" s="42"/>
      <c r="BI2835" s="74"/>
      <c r="BJ2835" s="77"/>
      <c r="BL2835" s="497">
        <v>44.6</v>
      </c>
      <c r="BN2835" s="42"/>
      <c r="BO2835" s="74"/>
      <c r="BP2835" s="77"/>
      <c r="BR2835" s="497">
        <v>46.04</v>
      </c>
      <c r="BT2835" s="42"/>
    </row>
    <row r="2836" spans="1:72" x14ac:dyDescent="0.25">
      <c r="A2836" s="90">
        <v>33356</v>
      </c>
      <c r="B2836" s="20">
        <v>0.41666666666666669</v>
      </c>
      <c r="D2836">
        <v>64.94</v>
      </c>
      <c r="E2836" t="str">
        <f t="shared" si="124"/>
        <v>SUNDAY</v>
      </c>
      <c r="F2836" t="e">
        <f t="shared" si="123"/>
        <v>#N/A</v>
      </c>
      <c r="G2836" s="74">
        <v>32991</v>
      </c>
      <c r="H2836" s="77">
        <v>0.41666666666666669</v>
      </c>
      <c r="J2836">
        <v>87.080000000000013</v>
      </c>
      <c r="M2836" s="74">
        <v>33356</v>
      </c>
      <c r="N2836" s="77">
        <v>0.41666666666666669</v>
      </c>
      <c r="P2836">
        <v>60.08</v>
      </c>
      <c r="S2836" s="74">
        <v>33356</v>
      </c>
      <c r="T2836" s="77">
        <v>0.41666666666666669</v>
      </c>
      <c r="V2836">
        <v>62.96</v>
      </c>
      <c r="X2836" s="42"/>
      <c r="AB2836">
        <v>56.1</v>
      </c>
      <c r="AC2836">
        <v>60.980000000000004</v>
      </c>
      <c r="AE2836" s="74"/>
      <c r="AF2836" s="77"/>
      <c r="AH2836" s="497">
        <v>60.980000000000004</v>
      </c>
      <c r="AJ2836" s="42"/>
      <c r="AK2836" s="74"/>
      <c r="AL2836" s="77"/>
      <c r="AN2836" s="497">
        <v>48.019999999999996</v>
      </c>
      <c r="AP2836" s="42"/>
      <c r="AQ2836" s="74"/>
      <c r="AR2836" s="77"/>
      <c r="AT2836" s="497">
        <v>48.92</v>
      </c>
      <c r="AV2836" s="42"/>
      <c r="AW2836" s="74"/>
      <c r="AX2836" s="77"/>
      <c r="BA2836" s="497">
        <v>46.04</v>
      </c>
      <c r="BB2836" s="42"/>
      <c r="BC2836" s="74"/>
      <c r="BD2836" s="77"/>
      <c r="BF2836">
        <v>50</v>
      </c>
      <c r="BH2836" s="42"/>
      <c r="BI2836" s="74"/>
      <c r="BJ2836" s="77"/>
      <c r="BL2836" s="497">
        <v>46.04</v>
      </c>
      <c r="BN2836" s="42"/>
      <c r="BO2836" s="74"/>
      <c r="BP2836" s="77"/>
      <c r="BR2836" s="497">
        <v>48.019999999999996</v>
      </c>
      <c r="BT2836" s="42"/>
    </row>
    <row r="2837" spans="1:72" x14ac:dyDescent="0.25">
      <c r="A2837" s="90">
        <v>33356</v>
      </c>
      <c r="B2837" s="20">
        <v>0.45833333333333331</v>
      </c>
      <c r="D2837">
        <v>66.02</v>
      </c>
      <c r="E2837" t="str">
        <f t="shared" si="124"/>
        <v>SUNDAY</v>
      </c>
      <c r="F2837" t="e">
        <f t="shared" si="123"/>
        <v>#N/A</v>
      </c>
      <c r="G2837" s="74">
        <v>32991</v>
      </c>
      <c r="H2837" s="77">
        <v>0.45833333333333331</v>
      </c>
      <c r="J2837">
        <v>86</v>
      </c>
      <c r="M2837" s="74">
        <v>33356</v>
      </c>
      <c r="N2837" s="77">
        <v>0.45833333333333331</v>
      </c>
      <c r="P2837">
        <v>57.92</v>
      </c>
      <c r="S2837" s="74">
        <v>33356</v>
      </c>
      <c r="T2837" s="77">
        <v>0.45833333333333331</v>
      </c>
      <c r="V2837">
        <v>64.039999999999992</v>
      </c>
      <c r="X2837" s="42"/>
      <c r="AB2837">
        <v>57.8</v>
      </c>
      <c r="AC2837">
        <v>62.96</v>
      </c>
      <c r="AE2837" s="74"/>
      <c r="AF2837" s="77"/>
      <c r="AH2837" s="497">
        <v>62.06</v>
      </c>
      <c r="AJ2837" s="42"/>
      <c r="AK2837" s="74"/>
      <c r="AL2837" s="77"/>
      <c r="AN2837" s="497">
        <v>46.94</v>
      </c>
      <c r="AP2837" s="42"/>
      <c r="AQ2837" s="74"/>
      <c r="AR2837" s="77"/>
      <c r="AT2837" s="497">
        <v>50</v>
      </c>
      <c r="AV2837" s="42"/>
      <c r="AW2837" s="74"/>
      <c r="AX2837" s="77"/>
      <c r="BA2837" s="497">
        <v>46.04</v>
      </c>
      <c r="BB2837" s="42"/>
      <c r="BC2837" s="74"/>
      <c r="BD2837" s="77"/>
      <c r="BF2837">
        <v>48.92</v>
      </c>
      <c r="BH2837" s="42"/>
      <c r="BI2837" s="74"/>
      <c r="BJ2837" s="77"/>
      <c r="BL2837" s="497">
        <v>48.92</v>
      </c>
      <c r="BN2837" s="42"/>
      <c r="BO2837" s="74"/>
      <c r="BP2837" s="77"/>
      <c r="BR2837" s="497">
        <v>48.92</v>
      </c>
      <c r="BT2837" s="42"/>
    </row>
    <row r="2838" spans="1:72" x14ac:dyDescent="0.25">
      <c r="A2838" s="90">
        <v>33356</v>
      </c>
      <c r="B2838" s="20">
        <v>0.5</v>
      </c>
      <c r="D2838">
        <v>68</v>
      </c>
      <c r="E2838" t="str">
        <f t="shared" si="124"/>
        <v>SUNDAY</v>
      </c>
      <c r="F2838" t="e">
        <f t="shared" si="123"/>
        <v>#N/A</v>
      </c>
      <c r="G2838" s="74">
        <v>32991</v>
      </c>
      <c r="H2838" s="77">
        <v>0.5</v>
      </c>
      <c r="J2838">
        <v>87.080000000000013</v>
      </c>
      <c r="M2838" s="74">
        <v>33356</v>
      </c>
      <c r="N2838" s="77">
        <v>0.5</v>
      </c>
      <c r="P2838">
        <v>59</v>
      </c>
      <c r="S2838" s="74">
        <v>33356</v>
      </c>
      <c r="T2838" s="77">
        <v>0.5</v>
      </c>
      <c r="V2838">
        <v>62.06</v>
      </c>
      <c r="X2838" s="42"/>
      <c r="AB2838">
        <v>59</v>
      </c>
      <c r="AC2838">
        <v>62.06</v>
      </c>
      <c r="AE2838" s="74"/>
      <c r="AF2838" s="77"/>
      <c r="AH2838" s="497">
        <v>64.94</v>
      </c>
      <c r="AJ2838" s="42"/>
      <c r="AK2838" s="74"/>
      <c r="AL2838" s="77"/>
      <c r="AN2838" s="497">
        <v>46.04</v>
      </c>
      <c r="AP2838" s="42"/>
      <c r="AQ2838" s="74"/>
      <c r="AR2838" s="77"/>
      <c r="AT2838" s="497">
        <v>51.980000000000004</v>
      </c>
      <c r="AV2838" s="42"/>
      <c r="AW2838" s="74"/>
      <c r="AX2838" s="77"/>
      <c r="BA2838" s="497">
        <v>44.96</v>
      </c>
      <c r="BB2838" s="42"/>
      <c r="BC2838" s="74"/>
      <c r="BD2838" s="77"/>
      <c r="BF2838">
        <v>50</v>
      </c>
      <c r="BH2838" s="42"/>
      <c r="BI2838" s="74"/>
      <c r="BJ2838" s="77"/>
      <c r="BL2838" s="497">
        <v>55.94</v>
      </c>
      <c r="BN2838" s="42"/>
      <c r="BO2838" s="74"/>
      <c r="BP2838" s="77"/>
      <c r="BR2838" s="497">
        <v>48.92</v>
      </c>
      <c r="BT2838" s="42"/>
    </row>
    <row r="2839" spans="1:72" x14ac:dyDescent="0.25">
      <c r="A2839" s="90">
        <v>33356</v>
      </c>
      <c r="B2839" s="20">
        <v>0.54166666666666663</v>
      </c>
      <c r="D2839">
        <v>71.06</v>
      </c>
      <c r="E2839" t="str">
        <f t="shared" si="124"/>
        <v>SUNDAY</v>
      </c>
      <c r="F2839" t="e">
        <f t="shared" si="123"/>
        <v>#N/A</v>
      </c>
      <c r="G2839" s="74">
        <v>32991</v>
      </c>
      <c r="H2839" s="77">
        <v>0.54166666666666663</v>
      </c>
      <c r="J2839">
        <v>87.080000000000013</v>
      </c>
      <c r="M2839" s="74">
        <v>33356</v>
      </c>
      <c r="N2839" s="77">
        <v>0.54166666666666663</v>
      </c>
      <c r="P2839">
        <v>60.980000000000004</v>
      </c>
      <c r="S2839" s="74">
        <v>33356</v>
      </c>
      <c r="T2839" s="77">
        <v>0.54166666666666663</v>
      </c>
      <c r="V2839">
        <v>60.980000000000004</v>
      </c>
      <c r="X2839" s="42"/>
      <c r="AB2839">
        <v>59.7</v>
      </c>
      <c r="AC2839">
        <v>60.980000000000004</v>
      </c>
      <c r="AE2839" s="74"/>
      <c r="AF2839" s="77"/>
      <c r="AH2839" s="497">
        <v>62.06</v>
      </c>
      <c r="AJ2839" s="42"/>
      <c r="AK2839" s="74"/>
      <c r="AL2839" s="77"/>
      <c r="AN2839" s="497">
        <v>46.04</v>
      </c>
      <c r="AP2839" s="42"/>
      <c r="AQ2839" s="74"/>
      <c r="AR2839" s="77"/>
      <c r="AT2839" s="497">
        <v>55.040000000000006</v>
      </c>
      <c r="AV2839" s="42"/>
      <c r="AW2839" s="74"/>
      <c r="AX2839" s="77"/>
      <c r="BA2839" s="497">
        <v>46.04</v>
      </c>
      <c r="BB2839" s="42"/>
      <c r="BC2839" s="74"/>
      <c r="BD2839" s="77"/>
      <c r="BF2839">
        <v>48.92</v>
      </c>
      <c r="BH2839" s="42"/>
      <c r="BI2839" s="74"/>
      <c r="BJ2839" s="77"/>
      <c r="BL2839" s="497">
        <v>57.92</v>
      </c>
      <c r="BN2839" s="42"/>
      <c r="BO2839" s="74"/>
      <c r="BP2839" s="77"/>
      <c r="BR2839" s="497">
        <v>50</v>
      </c>
      <c r="BT2839" s="42"/>
    </row>
    <row r="2840" spans="1:72" x14ac:dyDescent="0.25">
      <c r="A2840" s="90">
        <v>33356</v>
      </c>
      <c r="B2840" s="20">
        <v>0.58333333333333337</v>
      </c>
      <c r="D2840">
        <v>71.06</v>
      </c>
      <c r="E2840" t="str">
        <f t="shared" si="124"/>
        <v>SUNDAY</v>
      </c>
      <c r="F2840" t="e">
        <f t="shared" si="123"/>
        <v>#N/A</v>
      </c>
      <c r="G2840" s="74">
        <v>32991</v>
      </c>
      <c r="H2840" s="77">
        <v>0.58333333333333337</v>
      </c>
      <c r="J2840">
        <v>84.92</v>
      </c>
      <c r="M2840" s="74">
        <v>33356</v>
      </c>
      <c r="N2840" s="77">
        <v>0.58333333333333337</v>
      </c>
      <c r="P2840">
        <v>62.06</v>
      </c>
      <c r="S2840" s="74">
        <v>33356</v>
      </c>
      <c r="T2840" s="77">
        <v>0.58333333333333337</v>
      </c>
      <c r="V2840">
        <v>60.980000000000004</v>
      </c>
      <c r="X2840" s="42"/>
      <c r="AB2840">
        <v>60.2</v>
      </c>
      <c r="AC2840">
        <v>59</v>
      </c>
      <c r="AE2840" s="74"/>
      <c r="AF2840" s="77"/>
      <c r="AH2840" s="497">
        <v>57.019999999999996</v>
      </c>
      <c r="AJ2840" s="42"/>
      <c r="AK2840" s="74"/>
      <c r="AL2840" s="77"/>
      <c r="AN2840" s="497">
        <v>46.94</v>
      </c>
      <c r="AP2840" s="42"/>
      <c r="AQ2840" s="74"/>
      <c r="AR2840" s="77"/>
      <c r="AT2840" s="497">
        <v>53.96</v>
      </c>
      <c r="AV2840" s="42"/>
      <c r="AW2840" s="74"/>
      <c r="AX2840" s="77"/>
      <c r="BA2840" s="497">
        <v>46.94</v>
      </c>
      <c r="BB2840" s="42"/>
      <c r="BC2840" s="74"/>
      <c r="BD2840" s="77"/>
      <c r="BF2840">
        <v>50</v>
      </c>
      <c r="BH2840" s="42"/>
      <c r="BI2840" s="74"/>
      <c r="BJ2840" s="77"/>
      <c r="BL2840" s="497">
        <v>48.019999999999996</v>
      </c>
      <c r="BN2840" s="42"/>
      <c r="BO2840" s="74"/>
      <c r="BP2840" s="77"/>
      <c r="BR2840" s="497">
        <v>48.92</v>
      </c>
      <c r="BT2840" s="42"/>
    </row>
    <row r="2841" spans="1:72" x14ac:dyDescent="0.25">
      <c r="A2841" s="90">
        <v>33356</v>
      </c>
      <c r="B2841" s="20">
        <v>0.625</v>
      </c>
      <c r="D2841">
        <v>69.98</v>
      </c>
      <c r="E2841" t="str">
        <f t="shared" si="124"/>
        <v>SUNDAY</v>
      </c>
      <c r="F2841" t="e">
        <f t="shared" si="123"/>
        <v>#N/A</v>
      </c>
      <c r="G2841" s="74">
        <v>32991</v>
      </c>
      <c r="H2841" s="77">
        <v>0.625</v>
      </c>
      <c r="J2841">
        <v>82.94</v>
      </c>
      <c r="M2841" s="74">
        <v>33356</v>
      </c>
      <c r="N2841" s="77">
        <v>0.625</v>
      </c>
      <c r="P2841">
        <v>60.980000000000004</v>
      </c>
      <c r="S2841" s="74">
        <v>33356</v>
      </c>
      <c r="T2841" s="77">
        <v>0.625</v>
      </c>
      <c r="V2841">
        <v>57.92</v>
      </c>
      <c r="X2841" s="42"/>
      <c r="AB2841">
        <v>60.3</v>
      </c>
      <c r="AC2841">
        <v>57.92</v>
      </c>
      <c r="AE2841" s="74"/>
      <c r="AF2841" s="77"/>
      <c r="AH2841" s="497">
        <v>57.92</v>
      </c>
      <c r="AJ2841" s="42"/>
      <c r="AK2841" s="74"/>
      <c r="AL2841" s="77"/>
      <c r="AN2841" s="497">
        <v>46.04</v>
      </c>
      <c r="AP2841" s="42"/>
      <c r="AQ2841" s="74"/>
      <c r="AR2841" s="77"/>
      <c r="AT2841" s="497">
        <v>57.019999999999996</v>
      </c>
      <c r="AV2841" s="42"/>
      <c r="AW2841" s="74"/>
      <c r="AX2841" s="77"/>
      <c r="BA2841" s="497">
        <v>48.92</v>
      </c>
      <c r="BB2841" s="42"/>
      <c r="BC2841" s="74"/>
      <c r="BD2841" s="77"/>
      <c r="BF2841">
        <v>48.92</v>
      </c>
      <c r="BH2841" s="42"/>
      <c r="BI2841" s="74"/>
      <c r="BJ2841" s="77"/>
      <c r="BL2841" s="497">
        <v>44.6</v>
      </c>
      <c r="BN2841" s="42"/>
      <c r="BO2841" s="74"/>
      <c r="BP2841" s="77"/>
      <c r="BR2841" s="497">
        <v>48.92</v>
      </c>
      <c r="BT2841" s="42"/>
    </row>
    <row r="2842" spans="1:72" x14ac:dyDescent="0.25">
      <c r="A2842" s="90">
        <v>33356</v>
      </c>
      <c r="B2842" s="20">
        <v>0.66666666666666663</v>
      </c>
      <c r="D2842">
        <v>69.98</v>
      </c>
      <c r="E2842" t="str">
        <f t="shared" si="124"/>
        <v>SUNDAY</v>
      </c>
      <c r="F2842" t="e">
        <f t="shared" si="123"/>
        <v>#N/A</v>
      </c>
      <c r="G2842" s="74">
        <v>32991</v>
      </c>
      <c r="H2842" s="77">
        <v>0.66666666666666663</v>
      </c>
      <c r="J2842">
        <v>82.039999999999992</v>
      </c>
      <c r="M2842" s="74">
        <v>33356</v>
      </c>
      <c r="N2842" s="77">
        <v>0.66666666666666663</v>
      </c>
      <c r="P2842">
        <v>60.08</v>
      </c>
      <c r="S2842" s="74">
        <v>33356</v>
      </c>
      <c r="T2842" s="77">
        <v>0.66666666666666663</v>
      </c>
      <c r="V2842">
        <v>57.019999999999996</v>
      </c>
      <c r="X2842" s="42"/>
      <c r="AB2842">
        <v>59.8</v>
      </c>
      <c r="AC2842">
        <v>57.92</v>
      </c>
      <c r="AE2842" s="74"/>
      <c r="AF2842" s="77"/>
      <c r="AH2842" s="497">
        <v>55.040000000000006</v>
      </c>
      <c r="AJ2842" s="42"/>
      <c r="AK2842" s="74"/>
      <c r="AL2842" s="77"/>
      <c r="AN2842" s="497">
        <v>46.04</v>
      </c>
      <c r="AP2842" s="42"/>
      <c r="AQ2842" s="74"/>
      <c r="AR2842" s="77"/>
      <c r="AT2842" s="497">
        <v>57.019999999999996</v>
      </c>
      <c r="AV2842" s="42"/>
      <c r="AW2842" s="74"/>
      <c r="AX2842" s="77"/>
      <c r="BA2842" s="497">
        <v>46.94</v>
      </c>
      <c r="BB2842" s="42"/>
      <c r="BC2842" s="74"/>
      <c r="BD2842" s="77"/>
      <c r="BF2842">
        <v>48.92</v>
      </c>
      <c r="BH2842" s="42"/>
      <c r="BI2842" s="74"/>
      <c r="BJ2842" s="77"/>
      <c r="BL2842" s="497">
        <v>44.06</v>
      </c>
      <c r="BN2842" s="42"/>
      <c r="BO2842" s="74"/>
      <c r="BP2842" s="77"/>
      <c r="BR2842" s="497">
        <v>48.019999999999996</v>
      </c>
      <c r="BT2842" s="42"/>
    </row>
    <row r="2843" spans="1:72" x14ac:dyDescent="0.25">
      <c r="A2843" s="90">
        <v>33356</v>
      </c>
      <c r="B2843" s="20">
        <v>0.70833333333333337</v>
      </c>
      <c r="D2843">
        <v>71.06</v>
      </c>
      <c r="E2843" t="str">
        <f t="shared" si="124"/>
        <v>SUNDAY</v>
      </c>
      <c r="F2843" t="e">
        <f t="shared" si="123"/>
        <v>#N/A</v>
      </c>
      <c r="G2843" s="74">
        <v>32991</v>
      </c>
      <c r="H2843" s="77">
        <v>0.70833333333333337</v>
      </c>
      <c r="J2843">
        <v>80.06</v>
      </c>
      <c r="M2843" s="74">
        <v>33356</v>
      </c>
      <c r="N2843" s="77">
        <v>0.70833333333333337</v>
      </c>
      <c r="P2843">
        <v>57.92</v>
      </c>
      <c r="S2843" s="74">
        <v>33356</v>
      </c>
      <c r="T2843" s="77">
        <v>0.70833333333333337</v>
      </c>
      <c r="V2843">
        <v>55.040000000000006</v>
      </c>
      <c r="X2843" s="42"/>
      <c r="AB2843">
        <v>58.9</v>
      </c>
      <c r="AC2843">
        <v>55.040000000000006</v>
      </c>
      <c r="AE2843" s="74"/>
      <c r="AF2843" s="77"/>
      <c r="AH2843" s="497">
        <v>59</v>
      </c>
      <c r="AJ2843" s="42"/>
      <c r="AK2843" s="74"/>
      <c r="AL2843" s="77"/>
      <c r="AN2843" s="497">
        <v>46.04</v>
      </c>
      <c r="AP2843" s="42"/>
      <c r="AQ2843" s="74"/>
      <c r="AR2843" s="77"/>
      <c r="AT2843" s="497">
        <v>55.94</v>
      </c>
      <c r="AV2843" s="42"/>
      <c r="AW2843" s="74"/>
      <c r="AX2843" s="77"/>
      <c r="BA2843" s="497">
        <v>46.94</v>
      </c>
      <c r="BB2843" s="42"/>
      <c r="BC2843" s="74"/>
      <c r="BD2843" s="77"/>
      <c r="BF2843">
        <v>48.92</v>
      </c>
      <c r="BH2843" s="42"/>
      <c r="BI2843" s="74"/>
      <c r="BJ2843" s="77"/>
      <c r="BL2843" s="497">
        <v>44.96</v>
      </c>
      <c r="BN2843" s="42"/>
      <c r="BO2843" s="74"/>
      <c r="BP2843" s="77"/>
      <c r="BR2843" s="497">
        <v>46.04</v>
      </c>
      <c r="BT2843" s="42"/>
    </row>
    <row r="2844" spans="1:72" x14ac:dyDescent="0.25">
      <c r="A2844" s="90">
        <v>33356</v>
      </c>
      <c r="B2844" s="20">
        <v>0.75</v>
      </c>
      <c r="D2844">
        <v>69.98</v>
      </c>
      <c r="E2844" t="str">
        <f t="shared" si="124"/>
        <v>SUNDAY</v>
      </c>
      <c r="F2844" t="e">
        <f t="shared" si="123"/>
        <v>#N/A</v>
      </c>
      <c r="G2844" s="74">
        <v>32991</v>
      </c>
      <c r="H2844" s="77">
        <v>0.75</v>
      </c>
      <c r="J2844">
        <v>75.92</v>
      </c>
      <c r="M2844" s="74">
        <v>33356</v>
      </c>
      <c r="N2844" s="77">
        <v>0.75</v>
      </c>
      <c r="P2844">
        <v>57.019999999999996</v>
      </c>
      <c r="S2844" s="74">
        <v>33356</v>
      </c>
      <c r="T2844" s="77">
        <v>0.75</v>
      </c>
      <c r="V2844">
        <v>53.06</v>
      </c>
      <c r="X2844" s="42"/>
      <c r="AB2844">
        <v>57.7</v>
      </c>
      <c r="AC2844">
        <v>53.06</v>
      </c>
      <c r="AE2844" s="74"/>
      <c r="AF2844" s="77"/>
      <c r="AH2844" s="497">
        <v>57.92</v>
      </c>
      <c r="AJ2844" s="42"/>
      <c r="AK2844" s="74"/>
      <c r="AL2844" s="77"/>
      <c r="AN2844" s="497">
        <v>44.96</v>
      </c>
      <c r="AP2844" s="42"/>
      <c r="AQ2844" s="74"/>
      <c r="AR2844" s="77"/>
      <c r="AT2844" s="497">
        <v>55.040000000000006</v>
      </c>
      <c r="AV2844" s="42"/>
      <c r="AW2844" s="74"/>
      <c r="AX2844" s="77"/>
      <c r="BA2844" s="497">
        <v>48.019999999999996</v>
      </c>
      <c r="BB2844" s="42"/>
      <c r="BC2844" s="74"/>
      <c r="BD2844" s="77"/>
      <c r="BF2844">
        <v>48.019999999999996</v>
      </c>
      <c r="BH2844" s="42"/>
      <c r="BI2844" s="74"/>
      <c r="BJ2844" s="77"/>
      <c r="BL2844" s="497">
        <v>42.08</v>
      </c>
      <c r="BN2844" s="42"/>
      <c r="BO2844" s="74"/>
      <c r="BP2844" s="77"/>
      <c r="BR2844" s="497">
        <v>46.04</v>
      </c>
      <c r="BT2844" s="42"/>
    </row>
    <row r="2845" spans="1:72" x14ac:dyDescent="0.25">
      <c r="A2845" s="90">
        <v>33356</v>
      </c>
      <c r="B2845" s="20">
        <v>0.79166666666666663</v>
      </c>
      <c r="D2845">
        <v>64.94</v>
      </c>
      <c r="E2845" t="str">
        <f t="shared" si="124"/>
        <v>SUNDAY</v>
      </c>
      <c r="F2845" t="e">
        <f t="shared" si="123"/>
        <v>#N/A</v>
      </c>
      <c r="G2845" s="74">
        <v>32991</v>
      </c>
      <c r="H2845" s="77">
        <v>0.79166666666666663</v>
      </c>
      <c r="J2845">
        <v>73.94</v>
      </c>
      <c r="M2845" s="74">
        <v>33356</v>
      </c>
      <c r="N2845" s="77">
        <v>0.79166666666666663</v>
      </c>
      <c r="P2845">
        <v>53.96</v>
      </c>
      <c r="S2845" s="74">
        <v>33356</v>
      </c>
      <c r="T2845" s="77">
        <v>0.79166666666666663</v>
      </c>
      <c r="V2845">
        <v>53.06</v>
      </c>
      <c r="X2845" s="42"/>
      <c r="AB2845">
        <v>56.3</v>
      </c>
      <c r="AC2845">
        <v>51.980000000000004</v>
      </c>
      <c r="AE2845" s="74"/>
      <c r="AF2845" s="77"/>
      <c r="AH2845" s="497">
        <v>57.019999999999996</v>
      </c>
      <c r="AJ2845" s="42"/>
      <c r="AK2845" s="74"/>
      <c r="AL2845" s="77"/>
      <c r="AN2845" s="497">
        <v>44.96</v>
      </c>
      <c r="AP2845" s="42"/>
      <c r="AQ2845" s="74"/>
      <c r="AR2845" s="77"/>
      <c r="AT2845" s="497">
        <v>53.06</v>
      </c>
      <c r="AV2845" s="42"/>
      <c r="AW2845" s="74"/>
      <c r="AX2845" s="77"/>
      <c r="BA2845" s="497">
        <v>46.94</v>
      </c>
      <c r="BB2845" s="42"/>
      <c r="BC2845" s="74"/>
      <c r="BD2845" s="77"/>
      <c r="BF2845">
        <v>48.019999999999996</v>
      </c>
      <c r="BH2845" s="42"/>
      <c r="BI2845" s="74"/>
      <c r="BJ2845" s="77"/>
      <c r="BL2845" s="497">
        <v>39.92</v>
      </c>
      <c r="BN2845" s="42"/>
      <c r="BO2845" s="74"/>
      <c r="BP2845" s="77"/>
      <c r="BR2845" s="497">
        <v>46.04</v>
      </c>
      <c r="BT2845" s="42"/>
    </row>
    <row r="2846" spans="1:72" x14ac:dyDescent="0.25">
      <c r="A2846" s="90">
        <v>33356</v>
      </c>
      <c r="B2846" s="20">
        <v>0.83333333333333337</v>
      </c>
      <c r="D2846">
        <v>64.039999999999992</v>
      </c>
      <c r="E2846" t="str">
        <f t="shared" si="124"/>
        <v>SUNDAY</v>
      </c>
      <c r="F2846" t="e">
        <f t="shared" si="123"/>
        <v>#N/A</v>
      </c>
      <c r="G2846" s="74">
        <v>32991</v>
      </c>
      <c r="H2846" s="77">
        <v>0.83333333333333337</v>
      </c>
      <c r="J2846">
        <v>71.960000000000008</v>
      </c>
      <c r="M2846" s="74">
        <v>33356</v>
      </c>
      <c r="N2846" s="77">
        <v>0.83333333333333337</v>
      </c>
      <c r="P2846">
        <v>53.06</v>
      </c>
      <c r="S2846" s="74">
        <v>33356</v>
      </c>
      <c r="T2846" s="77">
        <v>0.83333333333333337</v>
      </c>
      <c r="V2846">
        <v>51.980000000000004</v>
      </c>
      <c r="X2846" s="42"/>
      <c r="AB2846">
        <v>54.8</v>
      </c>
      <c r="AC2846">
        <v>51.08</v>
      </c>
      <c r="AE2846" s="74"/>
      <c r="AF2846" s="77"/>
      <c r="AH2846" s="497">
        <v>55.94</v>
      </c>
      <c r="AJ2846" s="42"/>
      <c r="AK2846" s="74"/>
      <c r="AL2846" s="77"/>
      <c r="AN2846" s="497">
        <v>44.06</v>
      </c>
      <c r="AP2846" s="42"/>
      <c r="AQ2846" s="74"/>
      <c r="AR2846" s="77"/>
      <c r="AT2846" s="497">
        <v>50</v>
      </c>
      <c r="AV2846" s="42"/>
      <c r="AW2846" s="74"/>
      <c r="AX2846" s="77"/>
      <c r="BA2846" s="497">
        <v>46.94</v>
      </c>
      <c r="BB2846" s="42"/>
      <c r="BC2846" s="74"/>
      <c r="BD2846" s="77"/>
      <c r="BF2846">
        <v>48.019999999999996</v>
      </c>
      <c r="BH2846" s="42"/>
      <c r="BI2846" s="74"/>
      <c r="BJ2846" s="77"/>
      <c r="BL2846" s="497">
        <v>39.019999999999996</v>
      </c>
      <c r="BN2846" s="42"/>
      <c r="BO2846" s="74"/>
      <c r="BP2846" s="77"/>
      <c r="BR2846" s="497">
        <v>46.04</v>
      </c>
      <c r="BT2846" s="42"/>
    </row>
    <row r="2847" spans="1:72" x14ac:dyDescent="0.25">
      <c r="A2847" s="90">
        <v>33356</v>
      </c>
      <c r="B2847" s="20">
        <v>0.875</v>
      </c>
      <c r="D2847">
        <v>57.019999999999996</v>
      </c>
      <c r="E2847" t="str">
        <f t="shared" si="124"/>
        <v>SUNDAY</v>
      </c>
      <c r="F2847" t="e">
        <f t="shared" si="123"/>
        <v>#N/A</v>
      </c>
      <c r="G2847" s="74">
        <v>32991</v>
      </c>
      <c r="H2847" s="77">
        <v>0.875</v>
      </c>
      <c r="J2847">
        <v>69.98</v>
      </c>
      <c r="M2847" s="74">
        <v>33356</v>
      </c>
      <c r="N2847" s="77">
        <v>0.875</v>
      </c>
      <c r="P2847">
        <v>51.08</v>
      </c>
      <c r="S2847" s="74">
        <v>33356</v>
      </c>
      <c r="T2847" s="77">
        <v>0.875</v>
      </c>
      <c r="V2847">
        <v>51.08</v>
      </c>
      <c r="X2847" s="42"/>
      <c r="AB2847">
        <v>53.9</v>
      </c>
      <c r="AC2847">
        <v>50</v>
      </c>
      <c r="AE2847" s="74"/>
      <c r="AF2847" s="77"/>
      <c r="AH2847" s="497">
        <v>53.96</v>
      </c>
      <c r="AJ2847" s="42"/>
      <c r="AK2847" s="74"/>
      <c r="AL2847" s="77"/>
      <c r="AN2847" s="497">
        <v>44.06</v>
      </c>
      <c r="AP2847" s="42"/>
      <c r="AQ2847" s="74"/>
      <c r="AR2847" s="77"/>
      <c r="AT2847" s="497">
        <v>48.92</v>
      </c>
      <c r="AV2847" s="42"/>
      <c r="AW2847" s="74"/>
      <c r="AX2847" s="77"/>
      <c r="BA2847" s="497">
        <v>46.94</v>
      </c>
      <c r="BB2847" s="42"/>
      <c r="BC2847" s="74"/>
      <c r="BD2847" s="77"/>
      <c r="BF2847">
        <v>46.94</v>
      </c>
      <c r="BH2847" s="42"/>
      <c r="BI2847" s="74"/>
      <c r="BJ2847" s="77"/>
      <c r="BL2847" s="497">
        <v>37.94</v>
      </c>
      <c r="BN2847" s="42"/>
      <c r="BO2847" s="74"/>
      <c r="BP2847" s="77"/>
      <c r="BR2847" s="497">
        <v>46.94</v>
      </c>
      <c r="BT2847" s="42"/>
    </row>
    <row r="2848" spans="1:72" x14ac:dyDescent="0.25">
      <c r="A2848" s="90">
        <v>33356</v>
      </c>
      <c r="B2848" s="20">
        <v>0.91666666666666663</v>
      </c>
      <c r="D2848">
        <v>55.040000000000006</v>
      </c>
      <c r="E2848" t="str">
        <f t="shared" si="124"/>
        <v>SUNDAY</v>
      </c>
      <c r="F2848" t="e">
        <f t="shared" si="123"/>
        <v>#N/A</v>
      </c>
      <c r="G2848" s="74">
        <v>32991</v>
      </c>
      <c r="H2848" s="77">
        <v>0.91666666666666663</v>
      </c>
      <c r="J2848">
        <v>69.98</v>
      </c>
      <c r="M2848" s="74">
        <v>33356</v>
      </c>
      <c r="N2848" s="77">
        <v>0.91666666666666663</v>
      </c>
      <c r="P2848">
        <v>51.08</v>
      </c>
      <c r="S2848" s="74">
        <v>33356</v>
      </c>
      <c r="T2848" s="77">
        <v>0.91666666666666663</v>
      </c>
      <c r="V2848">
        <v>51.08</v>
      </c>
      <c r="X2848" s="42"/>
      <c r="AB2848">
        <v>53.4</v>
      </c>
      <c r="AC2848">
        <v>50</v>
      </c>
      <c r="AE2848" s="74"/>
      <c r="AF2848" s="77"/>
      <c r="AH2848" s="497">
        <v>53.06</v>
      </c>
      <c r="AJ2848" s="42"/>
      <c r="AK2848" s="74"/>
      <c r="AL2848" s="77"/>
      <c r="AN2848" s="497">
        <v>44.06</v>
      </c>
      <c r="AP2848" s="42"/>
      <c r="AQ2848" s="74"/>
      <c r="AR2848" s="77"/>
      <c r="AT2848" s="497">
        <v>48.019999999999996</v>
      </c>
      <c r="AV2848" s="42"/>
      <c r="AW2848" s="74"/>
      <c r="AX2848" s="77"/>
      <c r="BA2848" s="497">
        <v>46.04</v>
      </c>
      <c r="BB2848" s="42"/>
      <c r="BC2848" s="74"/>
      <c r="BD2848" s="77"/>
      <c r="BF2848">
        <v>46.94</v>
      </c>
      <c r="BH2848" s="42"/>
      <c r="BI2848" s="74"/>
      <c r="BJ2848" s="77"/>
      <c r="BL2848" s="497">
        <v>37.04</v>
      </c>
      <c r="BN2848" s="42"/>
      <c r="BO2848" s="74"/>
      <c r="BP2848" s="77"/>
      <c r="BR2848" s="497">
        <v>46.04</v>
      </c>
      <c r="BT2848" s="42"/>
    </row>
    <row r="2849" spans="1:72" x14ac:dyDescent="0.25">
      <c r="A2849" s="90">
        <v>33356</v>
      </c>
      <c r="B2849" s="20">
        <v>0.95833333333333337</v>
      </c>
      <c r="D2849">
        <v>53.96</v>
      </c>
      <c r="E2849" t="str">
        <f t="shared" si="124"/>
        <v>SUNDAY</v>
      </c>
      <c r="F2849" t="e">
        <f t="shared" si="123"/>
        <v>#N/A</v>
      </c>
      <c r="G2849" s="74">
        <v>32991</v>
      </c>
      <c r="H2849" s="77">
        <v>0.95833333333333337</v>
      </c>
      <c r="J2849">
        <v>69.98</v>
      </c>
      <c r="M2849" s="74">
        <v>33356</v>
      </c>
      <c r="N2849" s="77">
        <v>0.95833333333333337</v>
      </c>
      <c r="P2849">
        <v>50</v>
      </c>
      <c r="S2849" s="74">
        <v>33356</v>
      </c>
      <c r="T2849" s="77">
        <v>0.95833333333333337</v>
      </c>
      <c r="V2849">
        <v>50</v>
      </c>
      <c r="X2849" s="42"/>
      <c r="AB2849">
        <v>52.8</v>
      </c>
      <c r="AC2849">
        <v>50</v>
      </c>
      <c r="AE2849" s="74"/>
      <c r="AF2849" s="77"/>
      <c r="AH2849" s="497">
        <v>53.06</v>
      </c>
      <c r="AJ2849" s="42"/>
      <c r="AK2849" s="74"/>
      <c r="AL2849" s="77"/>
      <c r="AN2849" s="497">
        <v>42.980000000000004</v>
      </c>
      <c r="AP2849" s="42"/>
      <c r="AQ2849" s="74"/>
      <c r="AR2849" s="77"/>
      <c r="AT2849" s="497">
        <v>46.94</v>
      </c>
      <c r="AV2849" s="42"/>
      <c r="AW2849" s="74"/>
      <c r="AX2849" s="77"/>
      <c r="BA2849" s="497">
        <v>44.06</v>
      </c>
      <c r="BB2849" s="42"/>
      <c r="BC2849" s="74"/>
      <c r="BD2849" s="77"/>
      <c r="BF2849">
        <v>46.94</v>
      </c>
      <c r="BH2849" s="42"/>
      <c r="BI2849" s="74"/>
      <c r="BJ2849" s="77"/>
      <c r="BL2849" s="497">
        <v>37.04</v>
      </c>
      <c r="BN2849" s="42"/>
      <c r="BO2849" s="74"/>
      <c r="BP2849" s="77"/>
      <c r="BR2849" s="497">
        <v>44.96</v>
      </c>
      <c r="BT2849" s="42"/>
    </row>
    <row r="2850" spans="1:72" x14ac:dyDescent="0.25">
      <c r="A2850" s="90">
        <v>33356</v>
      </c>
      <c r="B2850" s="20">
        <v>1</v>
      </c>
      <c r="D2850">
        <v>51.980000000000004</v>
      </c>
      <c r="E2850" t="str">
        <f t="shared" si="124"/>
        <v>SUNDAY</v>
      </c>
      <c r="F2850" t="e">
        <f t="shared" si="123"/>
        <v>#N/A</v>
      </c>
      <c r="G2850" s="74">
        <v>32991</v>
      </c>
      <c r="H2850" s="77">
        <v>1</v>
      </c>
      <c r="J2850">
        <v>69.080000000000013</v>
      </c>
      <c r="M2850" s="74">
        <v>33356</v>
      </c>
      <c r="N2850" s="80">
        <v>1</v>
      </c>
      <c r="P2850">
        <v>50</v>
      </c>
      <c r="S2850" s="74">
        <v>33356</v>
      </c>
      <c r="T2850" s="80">
        <v>1</v>
      </c>
      <c r="V2850">
        <v>50</v>
      </c>
      <c r="X2850" s="42"/>
      <c r="AB2850">
        <v>52.4</v>
      </c>
      <c r="AC2850">
        <v>50</v>
      </c>
      <c r="AE2850" s="74"/>
      <c r="AF2850" s="80"/>
      <c r="AH2850" s="497">
        <v>51.980000000000004</v>
      </c>
      <c r="AJ2850" s="42"/>
      <c r="AK2850" s="74"/>
      <c r="AL2850" s="80"/>
      <c r="AN2850" s="497">
        <v>42.980000000000004</v>
      </c>
      <c r="AP2850" s="42"/>
      <c r="AQ2850" s="74"/>
      <c r="AR2850" s="80"/>
      <c r="AT2850" s="497">
        <v>46.04</v>
      </c>
      <c r="AV2850" s="42"/>
      <c r="AW2850" s="74"/>
      <c r="AX2850" s="80"/>
      <c r="BA2850" s="497">
        <v>41</v>
      </c>
      <c r="BB2850" s="42"/>
      <c r="BC2850" s="74"/>
      <c r="BD2850" s="80"/>
      <c r="BF2850">
        <v>46.94</v>
      </c>
      <c r="BH2850" s="42"/>
      <c r="BI2850" s="74"/>
      <c r="BJ2850" s="80"/>
      <c r="BL2850" s="497">
        <v>35.96</v>
      </c>
      <c r="BN2850" s="42"/>
      <c r="BO2850" s="74"/>
      <c r="BP2850" s="80"/>
      <c r="BR2850" s="497">
        <v>44.06</v>
      </c>
      <c r="BT2850" s="42"/>
    </row>
    <row r="2851" spans="1:72" x14ac:dyDescent="0.25">
      <c r="A2851" s="90">
        <v>33357</v>
      </c>
      <c r="B2851" s="20">
        <v>4.1666666666666664E-2</v>
      </c>
      <c r="D2851">
        <v>51.08</v>
      </c>
      <c r="E2851" t="str">
        <f t="shared" si="124"/>
        <v>WEEKDAY</v>
      </c>
      <c r="F2851" t="e">
        <f t="shared" si="123"/>
        <v>#N/A</v>
      </c>
      <c r="G2851" s="74">
        <v>32992</v>
      </c>
      <c r="H2851" s="77">
        <v>4.1666666666666664E-2</v>
      </c>
      <c r="J2851">
        <v>64.039999999999992</v>
      </c>
      <c r="M2851" s="74">
        <v>33357</v>
      </c>
      <c r="N2851" s="77">
        <v>4.1666666666666664E-2</v>
      </c>
      <c r="P2851">
        <v>50</v>
      </c>
      <c r="S2851" s="74">
        <v>33357</v>
      </c>
      <c r="T2851" s="77">
        <v>4.1666666666666664E-2</v>
      </c>
      <c r="V2851">
        <v>50</v>
      </c>
      <c r="X2851" s="42"/>
      <c r="AB2851">
        <v>51.9</v>
      </c>
      <c r="AC2851">
        <v>50</v>
      </c>
      <c r="AE2851" s="74"/>
      <c r="AF2851" s="77"/>
      <c r="AH2851" s="497">
        <v>51.980000000000004</v>
      </c>
      <c r="AJ2851" s="42"/>
      <c r="AK2851" s="74"/>
      <c r="AL2851" s="77"/>
      <c r="AN2851" s="497">
        <v>42.980000000000004</v>
      </c>
      <c r="AP2851" s="42"/>
      <c r="AQ2851" s="74"/>
      <c r="AR2851" s="77"/>
      <c r="AT2851" s="497">
        <v>44.96</v>
      </c>
      <c r="AV2851" s="42"/>
      <c r="AW2851" s="74"/>
      <c r="AX2851" s="77"/>
      <c r="BA2851" s="497">
        <v>39.019999999999996</v>
      </c>
      <c r="BB2851" s="42"/>
      <c r="BC2851" s="74"/>
      <c r="BD2851" s="77"/>
      <c r="BF2851">
        <v>46.94</v>
      </c>
      <c r="BH2851" s="42"/>
      <c r="BI2851" s="74"/>
      <c r="BJ2851" s="77"/>
      <c r="BL2851" s="497">
        <v>35.06</v>
      </c>
      <c r="BN2851" s="42"/>
      <c r="BO2851" s="74"/>
      <c r="BP2851" s="77"/>
      <c r="BR2851" s="497">
        <v>44.06</v>
      </c>
      <c r="BT2851" s="42"/>
    </row>
    <row r="2852" spans="1:72" x14ac:dyDescent="0.25">
      <c r="A2852" s="90">
        <v>33357</v>
      </c>
      <c r="B2852" s="20">
        <v>8.3333333333333329E-2</v>
      </c>
      <c r="D2852">
        <v>50</v>
      </c>
      <c r="E2852" t="str">
        <f t="shared" si="124"/>
        <v>WEEKDAY</v>
      </c>
      <c r="F2852" t="e">
        <f t="shared" si="123"/>
        <v>#N/A</v>
      </c>
      <c r="G2852" s="74">
        <v>32992</v>
      </c>
      <c r="H2852" s="77">
        <v>8.3333333333333329E-2</v>
      </c>
      <c r="J2852">
        <v>57.92</v>
      </c>
      <c r="M2852" s="74">
        <v>33357</v>
      </c>
      <c r="N2852" s="77">
        <v>8.3333333333333329E-2</v>
      </c>
      <c r="P2852">
        <v>48.92</v>
      </c>
      <c r="S2852" s="74">
        <v>33357</v>
      </c>
      <c r="T2852" s="77">
        <v>8.3333333333333329E-2</v>
      </c>
      <c r="V2852">
        <v>50</v>
      </c>
      <c r="X2852" s="42"/>
      <c r="AB2852">
        <v>51.4</v>
      </c>
      <c r="AC2852">
        <v>50</v>
      </c>
      <c r="AE2852" s="74"/>
      <c r="AF2852" s="77"/>
      <c r="AH2852" s="497">
        <v>51.08</v>
      </c>
      <c r="AJ2852" s="42"/>
      <c r="AK2852" s="74"/>
      <c r="AL2852" s="77"/>
      <c r="AN2852" s="497">
        <v>42.08</v>
      </c>
      <c r="AP2852" s="42"/>
      <c r="AQ2852" s="74"/>
      <c r="AR2852" s="77"/>
      <c r="AT2852" s="497">
        <v>42.08</v>
      </c>
      <c r="AV2852" s="42"/>
      <c r="AW2852" s="74"/>
      <c r="AX2852" s="77"/>
      <c r="BA2852" s="497">
        <v>37.04</v>
      </c>
      <c r="BB2852" s="42"/>
      <c r="BC2852" s="74"/>
      <c r="BD2852" s="77"/>
      <c r="BF2852">
        <v>46.04</v>
      </c>
      <c r="BH2852" s="42"/>
      <c r="BI2852" s="74"/>
      <c r="BJ2852" s="77"/>
      <c r="BL2852" s="497">
        <v>35.06</v>
      </c>
      <c r="BN2852" s="42"/>
      <c r="BO2852" s="74"/>
      <c r="BP2852" s="77"/>
      <c r="BR2852" s="497">
        <v>42.08</v>
      </c>
      <c r="BT2852" s="42"/>
    </row>
    <row r="2853" spans="1:72" x14ac:dyDescent="0.25">
      <c r="A2853" s="90">
        <v>33357</v>
      </c>
      <c r="B2853" s="20">
        <v>0.125</v>
      </c>
      <c r="D2853">
        <v>48.92</v>
      </c>
      <c r="E2853" t="str">
        <f t="shared" si="124"/>
        <v>WEEKDAY</v>
      </c>
      <c r="F2853" t="e">
        <f t="shared" si="123"/>
        <v>#N/A</v>
      </c>
      <c r="G2853" s="74">
        <v>32992</v>
      </c>
      <c r="H2853" s="77">
        <v>0.125</v>
      </c>
      <c r="J2853">
        <v>55.94</v>
      </c>
      <c r="M2853" s="74">
        <v>33357</v>
      </c>
      <c r="N2853" s="77">
        <v>0.125</v>
      </c>
      <c r="P2853">
        <v>48.74</v>
      </c>
      <c r="S2853" s="74">
        <v>33357</v>
      </c>
      <c r="T2853" s="77">
        <v>0.125</v>
      </c>
      <c r="V2853">
        <v>50</v>
      </c>
      <c r="X2853" s="42"/>
      <c r="AB2853">
        <v>51</v>
      </c>
      <c r="AC2853">
        <v>50</v>
      </c>
      <c r="AE2853" s="74"/>
      <c r="AF2853" s="77"/>
      <c r="AH2853" s="497">
        <v>50</v>
      </c>
      <c r="AJ2853" s="42"/>
      <c r="AK2853" s="74"/>
      <c r="AL2853" s="77"/>
      <c r="AN2853" s="497">
        <v>42.08</v>
      </c>
      <c r="AP2853" s="42"/>
      <c r="AQ2853" s="74"/>
      <c r="AR2853" s="77"/>
      <c r="AT2853" s="497">
        <v>44.06</v>
      </c>
      <c r="AV2853" s="42"/>
      <c r="AW2853" s="74"/>
      <c r="AX2853" s="77"/>
      <c r="BA2853" s="497">
        <v>37.04</v>
      </c>
      <c r="BB2853" s="42"/>
      <c r="BC2853" s="74"/>
      <c r="BD2853" s="77"/>
      <c r="BF2853">
        <v>46.04</v>
      </c>
      <c r="BH2853" s="42"/>
      <c r="BI2853" s="74"/>
      <c r="BJ2853" s="77"/>
      <c r="BL2853" s="497">
        <v>35.06</v>
      </c>
      <c r="BN2853" s="42"/>
      <c r="BO2853" s="74"/>
      <c r="BP2853" s="77"/>
      <c r="BR2853" s="497">
        <v>39.019999999999996</v>
      </c>
      <c r="BT2853" s="42"/>
    </row>
    <row r="2854" spans="1:72" x14ac:dyDescent="0.25">
      <c r="A2854" s="90">
        <v>33357</v>
      </c>
      <c r="B2854" s="20">
        <v>0.16666666666666666</v>
      </c>
      <c r="D2854">
        <v>48.92</v>
      </c>
      <c r="E2854" t="str">
        <f t="shared" si="124"/>
        <v>WEEKDAY</v>
      </c>
      <c r="F2854" t="e">
        <f t="shared" si="123"/>
        <v>#N/A</v>
      </c>
      <c r="G2854" s="74">
        <v>32992</v>
      </c>
      <c r="H2854" s="77">
        <v>0.16666666666666666</v>
      </c>
      <c r="J2854">
        <v>53.96</v>
      </c>
      <c r="M2854" s="74">
        <v>33357</v>
      </c>
      <c r="N2854" s="77">
        <v>0.16666666666666666</v>
      </c>
      <c r="P2854">
        <v>48.56</v>
      </c>
      <c r="S2854" s="74">
        <v>33357</v>
      </c>
      <c r="T2854" s="77">
        <v>0.16666666666666666</v>
      </c>
      <c r="V2854">
        <v>50</v>
      </c>
      <c r="X2854" s="42"/>
      <c r="AB2854">
        <v>50.4</v>
      </c>
      <c r="AC2854">
        <v>48.92</v>
      </c>
      <c r="AE2854" s="74"/>
      <c r="AF2854" s="77"/>
      <c r="AH2854" s="497">
        <v>50</v>
      </c>
      <c r="AJ2854" s="42"/>
      <c r="AK2854" s="74"/>
      <c r="AL2854" s="77"/>
      <c r="AN2854" s="497">
        <v>42.08</v>
      </c>
      <c r="AP2854" s="42"/>
      <c r="AQ2854" s="74"/>
      <c r="AR2854" s="77"/>
      <c r="AT2854" s="497">
        <v>44.06</v>
      </c>
      <c r="AV2854" s="42"/>
      <c r="AW2854" s="74"/>
      <c r="AX2854" s="77"/>
      <c r="BA2854" s="497">
        <v>35.96</v>
      </c>
      <c r="BB2854" s="42"/>
      <c r="BC2854" s="74"/>
      <c r="BD2854" s="77"/>
      <c r="BF2854">
        <v>44.96</v>
      </c>
      <c r="BH2854" s="42"/>
      <c r="BI2854" s="74"/>
      <c r="BJ2854" s="77"/>
      <c r="BL2854" s="497">
        <v>33.979999999999997</v>
      </c>
      <c r="BN2854" s="42"/>
      <c r="BO2854" s="74"/>
      <c r="BP2854" s="77"/>
      <c r="BR2854" s="497">
        <v>39.019999999999996</v>
      </c>
      <c r="BT2854" s="42"/>
    </row>
    <row r="2855" spans="1:72" x14ac:dyDescent="0.25">
      <c r="A2855" s="90">
        <v>33357</v>
      </c>
      <c r="B2855" s="20">
        <v>0.20833333333333334</v>
      </c>
      <c r="D2855">
        <v>48.019999999999996</v>
      </c>
      <c r="E2855" t="str">
        <f t="shared" si="124"/>
        <v>WEEKDAY</v>
      </c>
      <c r="F2855" t="e">
        <f t="shared" si="123"/>
        <v>#N/A</v>
      </c>
      <c r="G2855" s="74">
        <v>32992</v>
      </c>
      <c r="H2855" s="77">
        <v>0.20833333333333334</v>
      </c>
      <c r="J2855">
        <v>51.980000000000004</v>
      </c>
      <c r="M2855" s="74">
        <v>33357</v>
      </c>
      <c r="N2855" s="77">
        <v>0.20833333333333334</v>
      </c>
      <c r="P2855">
        <v>48.92</v>
      </c>
      <c r="S2855" s="74">
        <v>33357</v>
      </c>
      <c r="T2855" s="77">
        <v>0.20833333333333334</v>
      </c>
      <c r="V2855">
        <v>51.08</v>
      </c>
      <c r="X2855" s="42"/>
      <c r="AB2855">
        <v>50.1</v>
      </c>
      <c r="AC2855">
        <v>48.019999999999996</v>
      </c>
      <c r="AE2855" s="74"/>
      <c r="AF2855" s="77"/>
      <c r="AH2855" s="497">
        <v>51.08</v>
      </c>
      <c r="AJ2855" s="42"/>
      <c r="AK2855" s="74"/>
      <c r="AL2855" s="77"/>
      <c r="AN2855" s="497">
        <v>42.08</v>
      </c>
      <c r="AP2855" s="42"/>
      <c r="AQ2855" s="74"/>
      <c r="AR2855" s="77"/>
      <c r="AT2855" s="497">
        <v>44.06</v>
      </c>
      <c r="AV2855" s="42"/>
      <c r="AW2855" s="74"/>
      <c r="AX2855" s="77"/>
      <c r="BA2855" s="497">
        <v>37.04</v>
      </c>
      <c r="BB2855" s="42"/>
      <c r="BC2855" s="74"/>
      <c r="BD2855" s="77"/>
      <c r="BF2855">
        <v>44.96</v>
      </c>
      <c r="BH2855" s="42"/>
      <c r="BI2855" s="74"/>
      <c r="BJ2855" s="77"/>
      <c r="BL2855" s="497">
        <v>33.979999999999997</v>
      </c>
      <c r="BN2855" s="42"/>
      <c r="BO2855" s="74"/>
      <c r="BP2855" s="77"/>
      <c r="BR2855" s="497">
        <v>37.94</v>
      </c>
      <c r="BT2855" s="42"/>
    </row>
    <row r="2856" spans="1:72" x14ac:dyDescent="0.25">
      <c r="A2856" s="90">
        <v>33357</v>
      </c>
      <c r="B2856" s="20">
        <v>0.25</v>
      </c>
      <c r="D2856">
        <v>48.92</v>
      </c>
      <c r="E2856" t="str">
        <f t="shared" si="124"/>
        <v>WEEKDAY</v>
      </c>
      <c r="F2856" t="e">
        <f t="shared" si="123"/>
        <v>#N/A</v>
      </c>
      <c r="G2856" s="74">
        <v>32992</v>
      </c>
      <c r="H2856" s="77">
        <v>0.25</v>
      </c>
      <c r="J2856">
        <v>51.980000000000004</v>
      </c>
      <c r="M2856" s="74">
        <v>33357</v>
      </c>
      <c r="N2856" s="77">
        <v>0.25</v>
      </c>
      <c r="P2856">
        <v>48.92</v>
      </c>
      <c r="S2856" s="74">
        <v>33357</v>
      </c>
      <c r="T2856" s="77">
        <v>0.25</v>
      </c>
      <c r="V2856">
        <v>50</v>
      </c>
      <c r="X2856" s="42"/>
      <c r="AB2856">
        <v>49.8</v>
      </c>
      <c r="AC2856">
        <v>46.94</v>
      </c>
      <c r="AE2856" s="74"/>
      <c r="AF2856" s="77"/>
      <c r="AH2856" s="497">
        <v>51.08</v>
      </c>
      <c r="AJ2856" s="42"/>
      <c r="AK2856" s="74"/>
      <c r="AL2856" s="77"/>
      <c r="AN2856" s="497">
        <v>42.08</v>
      </c>
      <c r="AP2856" s="42"/>
      <c r="AQ2856" s="74"/>
      <c r="AR2856" s="77"/>
      <c r="AT2856" s="497">
        <v>44.06</v>
      </c>
      <c r="AV2856" s="42"/>
      <c r="AW2856" s="74"/>
      <c r="AX2856" s="77"/>
      <c r="BA2856" s="497">
        <v>42.08</v>
      </c>
      <c r="BB2856" s="42"/>
      <c r="BC2856" s="74"/>
      <c r="BD2856" s="77"/>
      <c r="BF2856">
        <v>44.96</v>
      </c>
      <c r="BH2856" s="42"/>
      <c r="BI2856" s="74"/>
      <c r="BJ2856" s="77"/>
      <c r="BL2856" s="497">
        <v>33.979999999999997</v>
      </c>
      <c r="BN2856" s="42"/>
      <c r="BO2856" s="74"/>
      <c r="BP2856" s="77"/>
      <c r="BR2856" s="497">
        <v>39.92</v>
      </c>
      <c r="BT2856" s="42"/>
    </row>
    <row r="2857" spans="1:72" x14ac:dyDescent="0.25">
      <c r="A2857" s="90">
        <v>33357</v>
      </c>
      <c r="B2857" s="20">
        <v>0.29166666666666669</v>
      </c>
      <c r="D2857">
        <v>48.92</v>
      </c>
      <c r="E2857" t="str">
        <f t="shared" si="124"/>
        <v>WEEKDAY</v>
      </c>
      <c r="F2857" t="e">
        <f t="shared" si="123"/>
        <v>#N/A</v>
      </c>
      <c r="G2857" s="74">
        <v>32992</v>
      </c>
      <c r="H2857" s="77">
        <v>0.29166666666666669</v>
      </c>
      <c r="J2857">
        <v>51.980000000000004</v>
      </c>
      <c r="M2857" s="74">
        <v>33357</v>
      </c>
      <c r="N2857" s="77">
        <v>0.29166666666666669</v>
      </c>
      <c r="P2857">
        <v>48.92</v>
      </c>
      <c r="S2857" s="74">
        <v>33357</v>
      </c>
      <c r="T2857" s="77">
        <v>0.29166666666666669</v>
      </c>
      <c r="V2857">
        <v>51.08</v>
      </c>
      <c r="X2857" s="42"/>
      <c r="AB2857">
        <v>50.6</v>
      </c>
      <c r="AC2857">
        <v>48.019999999999996</v>
      </c>
      <c r="AE2857" s="74"/>
      <c r="AF2857" s="77"/>
      <c r="AH2857" s="497">
        <v>51.980000000000004</v>
      </c>
      <c r="AJ2857" s="42"/>
      <c r="AK2857" s="74"/>
      <c r="AL2857" s="77"/>
      <c r="AN2857" s="497">
        <v>44.06</v>
      </c>
      <c r="AP2857" s="42"/>
      <c r="AQ2857" s="74"/>
      <c r="AR2857" s="77"/>
      <c r="AT2857" s="497">
        <v>44.06</v>
      </c>
      <c r="AV2857" s="42"/>
      <c r="AW2857" s="74"/>
      <c r="AX2857" s="77"/>
      <c r="BA2857" s="497">
        <v>42.08</v>
      </c>
      <c r="BB2857" s="42"/>
      <c r="BC2857" s="74"/>
      <c r="BD2857" s="77"/>
      <c r="BF2857">
        <v>44.96</v>
      </c>
      <c r="BH2857" s="42"/>
      <c r="BI2857" s="74"/>
      <c r="BJ2857" s="77"/>
      <c r="BL2857" s="497">
        <v>35.06</v>
      </c>
      <c r="BN2857" s="42"/>
      <c r="BO2857" s="74"/>
      <c r="BP2857" s="77"/>
      <c r="BR2857" s="497">
        <v>42.980000000000004</v>
      </c>
      <c r="BT2857" s="42"/>
    </row>
    <row r="2858" spans="1:72" x14ac:dyDescent="0.25">
      <c r="A2858" s="90">
        <v>33357</v>
      </c>
      <c r="B2858" s="20">
        <v>0.33333333333333331</v>
      </c>
      <c r="D2858">
        <v>48.92</v>
      </c>
      <c r="E2858" t="str">
        <f t="shared" si="124"/>
        <v>WEEKDAY</v>
      </c>
      <c r="F2858" t="e">
        <f t="shared" si="123"/>
        <v>#N/A</v>
      </c>
      <c r="G2858" s="74">
        <v>32992</v>
      </c>
      <c r="H2858" s="77">
        <v>0.33333333333333331</v>
      </c>
      <c r="J2858">
        <v>51.980000000000004</v>
      </c>
      <c r="M2858" s="74">
        <v>33357</v>
      </c>
      <c r="N2858" s="77">
        <v>0.33333333333333331</v>
      </c>
      <c r="P2858">
        <v>50</v>
      </c>
      <c r="S2858" s="74">
        <v>33357</v>
      </c>
      <c r="T2858" s="77">
        <v>0.33333333333333331</v>
      </c>
      <c r="V2858">
        <v>53.06</v>
      </c>
      <c r="X2858" s="42"/>
      <c r="AB2858">
        <v>52.7</v>
      </c>
      <c r="AC2858">
        <v>50</v>
      </c>
      <c r="AE2858" s="74"/>
      <c r="AF2858" s="77"/>
      <c r="AH2858" s="497">
        <v>53.96</v>
      </c>
      <c r="AJ2858" s="42"/>
      <c r="AK2858" s="74"/>
      <c r="AL2858" s="77"/>
      <c r="AN2858" s="497">
        <v>44.06</v>
      </c>
      <c r="AP2858" s="42"/>
      <c r="AQ2858" s="74"/>
      <c r="AR2858" s="77"/>
      <c r="AT2858" s="497">
        <v>44.96</v>
      </c>
      <c r="AV2858" s="42"/>
      <c r="AW2858" s="74"/>
      <c r="AX2858" s="77"/>
      <c r="BA2858" s="497">
        <v>44.96</v>
      </c>
      <c r="BB2858" s="42"/>
      <c r="BC2858" s="74"/>
      <c r="BD2858" s="77"/>
      <c r="BF2858">
        <v>44.96</v>
      </c>
      <c r="BH2858" s="42"/>
      <c r="BI2858" s="74"/>
      <c r="BJ2858" s="77"/>
      <c r="BL2858" s="497">
        <v>35.06</v>
      </c>
      <c r="BN2858" s="42"/>
      <c r="BO2858" s="74"/>
      <c r="BP2858" s="77"/>
      <c r="BR2858" s="497">
        <v>44.96</v>
      </c>
      <c r="BT2858" s="42"/>
    </row>
    <row r="2859" spans="1:72" x14ac:dyDescent="0.25">
      <c r="A2859" s="90">
        <v>33357</v>
      </c>
      <c r="B2859" s="20">
        <v>0.375</v>
      </c>
      <c r="D2859">
        <v>51.08</v>
      </c>
      <c r="E2859" t="str">
        <f t="shared" si="124"/>
        <v>WEEKDAY</v>
      </c>
      <c r="F2859" t="e">
        <f t="shared" ref="F2859:F2922" si="125">IF(E2859="WEEKDAY",VLOOKUP(B2859,$DD$19:$DG$42,2),IF(E2859="SATURDAY",VLOOKUP(B2859,$DD$19:$DG$42,3),VLOOKUP(B2859,$DD$19:$DG$42,4)))</f>
        <v>#N/A</v>
      </c>
      <c r="G2859" s="74">
        <v>32992</v>
      </c>
      <c r="H2859" s="77">
        <v>0.375</v>
      </c>
      <c r="J2859">
        <v>51.08</v>
      </c>
      <c r="M2859" s="74">
        <v>33357</v>
      </c>
      <c r="N2859" s="77">
        <v>0.375</v>
      </c>
      <c r="P2859">
        <v>51.08</v>
      </c>
      <c r="S2859" s="74">
        <v>33357</v>
      </c>
      <c r="T2859" s="77">
        <v>0.375</v>
      </c>
      <c r="V2859">
        <v>55.040000000000006</v>
      </c>
      <c r="X2859" s="42"/>
      <c r="AB2859">
        <v>54.7</v>
      </c>
      <c r="AC2859">
        <v>51.08</v>
      </c>
      <c r="AE2859" s="74"/>
      <c r="AF2859" s="77"/>
      <c r="AH2859" s="497">
        <v>53.96</v>
      </c>
      <c r="AJ2859" s="42"/>
      <c r="AK2859" s="74"/>
      <c r="AL2859" s="77"/>
      <c r="AN2859" s="497">
        <v>44.96</v>
      </c>
      <c r="AP2859" s="42"/>
      <c r="AQ2859" s="74"/>
      <c r="AR2859" s="77"/>
      <c r="AT2859" s="497">
        <v>48.019999999999996</v>
      </c>
      <c r="AV2859" s="42"/>
      <c r="AW2859" s="74"/>
      <c r="AX2859" s="77"/>
      <c r="BA2859" s="497">
        <v>48.92</v>
      </c>
      <c r="BB2859" s="42"/>
      <c r="BC2859" s="74"/>
      <c r="BD2859" s="77"/>
      <c r="BF2859">
        <v>46.94</v>
      </c>
      <c r="BH2859" s="42"/>
      <c r="BI2859" s="74"/>
      <c r="BJ2859" s="77"/>
      <c r="BL2859" s="497">
        <v>35.6</v>
      </c>
      <c r="BN2859" s="42"/>
      <c r="BO2859" s="74"/>
      <c r="BP2859" s="77"/>
      <c r="BR2859" s="497">
        <v>48.019999999999996</v>
      </c>
      <c r="BT2859" s="42"/>
    </row>
    <row r="2860" spans="1:72" x14ac:dyDescent="0.25">
      <c r="A2860" s="90">
        <v>33357</v>
      </c>
      <c r="B2860" s="20">
        <v>0.41666666666666669</v>
      </c>
      <c r="D2860">
        <v>53.06</v>
      </c>
      <c r="E2860" t="str">
        <f t="shared" si="124"/>
        <v>WEEKDAY</v>
      </c>
      <c r="F2860" t="e">
        <f t="shared" si="125"/>
        <v>#N/A</v>
      </c>
      <c r="G2860" s="74">
        <v>32992</v>
      </c>
      <c r="H2860" s="77">
        <v>0.41666666666666669</v>
      </c>
      <c r="J2860">
        <v>51.980000000000004</v>
      </c>
      <c r="M2860" s="74">
        <v>33357</v>
      </c>
      <c r="N2860" s="77">
        <v>0.41666666666666669</v>
      </c>
      <c r="P2860">
        <v>53.96</v>
      </c>
      <c r="S2860" s="74">
        <v>33357</v>
      </c>
      <c r="T2860" s="77">
        <v>0.41666666666666669</v>
      </c>
      <c r="V2860">
        <v>55.94</v>
      </c>
      <c r="X2860" s="42"/>
      <c r="AB2860">
        <v>56.4</v>
      </c>
      <c r="AC2860">
        <v>53.06</v>
      </c>
      <c r="AE2860" s="74"/>
      <c r="AF2860" s="77"/>
      <c r="AH2860" s="497">
        <v>57.019999999999996</v>
      </c>
      <c r="AJ2860" s="42"/>
      <c r="AK2860" s="74"/>
      <c r="AL2860" s="77"/>
      <c r="AN2860" s="497">
        <v>46.94</v>
      </c>
      <c r="AP2860" s="42"/>
      <c r="AQ2860" s="74"/>
      <c r="AR2860" s="77"/>
      <c r="AT2860" s="497">
        <v>50</v>
      </c>
      <c r="AV2860" s="42"/>
      <c r="AW2860" s="74"/>
      <c r="AX2860" s="77"/>
      <c r="BA2860" s="497">
        <v>51.08</v>
      </c>
      <c r="BB2860" s="42"/>
      <c r="BC2860" s="74"/>
      <c r="BD2860" s="77"/>
      <c r="BF2860">
        <v>48.92</v>
      </c>
      <c r="BH2860" s="42"/>
      <c r="BI2860" s="74"/>
      <c r="BJ2860" s="77"/>
      <c r="BL2860" s="497">
        <v>37.04</v>
      </c>
      <c r="BN2860" s="42"/>
      <c r="BO2860" s="74"/>
      <c r="BP2860" s="77"/>
      <c r="BR2860" s="497">
        <v>48.92</v>
      </c>
      <c r="BT2860" s="42"/>
    </row>
    <row r="2861" spans="1:72" x14ac:dyDescent="0.25">
      <c r="A2861" s="90">
        <v>33357</v>
      </c>
      <c r="B2861" s="20">
        <v>0.45833333333333331</v>
      </c>
      <c r="D2861">
        <v>51.08</v>
      </c>
      <c r="E2861" t="str">
        <f t="shared" si="124"/>
        <v>WEEKDAY</v>
      </c>
      <c r="F2861" t="e">
        <f t="shared" si="125"/>
        <v>#N/A</v>
      </c>
      <c r="G2861" s="74">
        <v>32992</v>
      </c>
      <c r="H2861" s="77">
        <v>0.45833333333333331</v>
      </c>
      <c r="J2861">
        <v>53.06</v>
      </c>
      <c r="M2861" s="74">
        <v>33357</v>
      </c>
      <c r="N2861" s="77">
        <v>0.45833333333333331</v>
      </c>
      <c r="P2861">
        <v>53.96</v>
      </c>
      <c r="S2861" s="74">
        <v>33357</v>
      </c>
      <c r="T2861" s="77">
        <v>0.45833333333333331</v>
      </c>
      <c r="V2861">
        <v>55.040000000000006</v>
      </c>
      <c r="X2861" s="42"/>
      <c r="AB2861">
        <v>58.1</v>
      </c>
      <c r="AC2861">
        <v>55.040000000000006</v>
      </c>
      <c r="AE2861" s="74"/>
      <c r="AF2861" s="77"/>
      <c r="AH2861" s="497">
        <v>57.92</v>
      </c>
      <c r="AJ2861" s="42"/>
      <c r="AK2861" s="74"/>
      <c r="AL2861" s="77"/>
      <c r="AN2861" s="497">
        <v>48.019999999999996</v>
      </c>
      <c r="AP2861" s="42"/>
      <c r="AQ2861" s="74"/>
      <c r="AR2861" s="77"/>
      <c r="AT2861" s="497">
        <v>53.06</v>
      </c>
      <c r="AV2861" s="42"/>
      <c r="AW2861" s="74"/>
      <c r="AX2861" s="77"/>
      <c r="BA2861" s="497">
        <v>53.06</v>
      </c>
      <c r="BB2861" s="42"/>
      <c r="BC2861" s="74"/>
      <c r="BD2861" s="77"/>
      <c r="BF2861">
        <v>51.08</v>
      </c>
      <c r="BH2861" s="42"/>
      <c r="BI2861" s="74"/>
      <c r="BJ2861" s="77"/>
      <c r="BL2861" s="497">
        <v>37.94</v>
      </c>
      <c r="BN2861" s="42"/>
      <c r="BO2861" s="74"/>
      <c r="BP2861" s="77"/>
      <c r="BR2861" s="497">
        <v>51.980000000000004</v>
      </c>
      <c r="BT2861" s="42"/>
    </row>
    <row r="2862" spans="1:72" x14ac:dyDescent="0.25">
      <c r="A2862" s="90">
        <v>33357</v>
      </c>
      <c r="B2862" s="20">
        <v>0.5</v>
      </c>
      <c r="D2862">
        <v>51.980000000000004</v>
      </c>
      <c r="E2862" t="str">
        <f t="shared" si="124"/>
        <v>WEEKDAY</v>
      </c>
      <c r="F2862" t="e">
        <f t="shared" si="125"/>
        <v>#N/A</v>
      </c>
      <c r="G2862" s="74">
        <v>32992</v>
      </c>
      <c r="H2862" s="77">
        <v>0.5</v>
      </c>
      <c r="J2862">
        <v>53.06</v>
      </c>
      <c r="M2862" s="74">
        <v>33357</v>
      </c>
      <c r="N2862" s="77">
        <v>0.5</v>
      </c>
      <c r="P2862">
        <v>53.96</v>
      </c>
      <c r="S2862" s="74">
        <v>33357</v>
      </c>
      <c r="T2862" s="77">
        <v>0.5</v>
      </c>
      <c r="V2862">
        <v>55.94</v>
      </c>
      <c r="X2862" s="42"/>
      <c r="AB2862">
        <v>59.3</v>
      </c>
      <c r="AC2862">
        <v>55.040000000000006</v>
      </c>
      <c r="AE2862" s="74"/>
      <c r="AF2862" s="77"/>
      <c r="AH2862" s="497">
        <v>57.92</v>
      </c>
      <c r="AJ2862" s="42"/>
      <c r="AK2862" s="74"/>
      <c r="AL2862" s="77"/>
      <c r="AN2862" s="497">
        <v>48.92</v>
      </c>
      <c r="AP2862" s="42"/>
      <c r="AQ2862" s="74"/>
      <c r="AR2862" s="77"/>
      <c r="AT2862" s="497">
        <v>51.980000000000004</v>
      </c>
      <c r="AV2862" s="42"/>
      <c r="AW2862" s="74"/>
      <c r="AX2862" s="77"/>
      <c r="BA2862" s="497">
        <v>55.94</v>
      </c>
      <c r="BB2862" s="42"/>
      <c r="BC2862" s="74"/>
      <c r="BD2862" s="77"/>
      <c r="BF2862">
        <v>53.96</v>
      </c>
      <c r="BH2862" s="42"/>
      <c r="BI2862" s="74"/>
      <c r="BJ2862" s="77"/>
      <c r="BL2862" s="497">
        <v>39.019999999999996</v>
      </c>
      <c r="BN2862" s="42"/>
      <c r="BO2862" s="74"/>
      <c r="BP2862" s="77"/>
      <c r="BR2862" s="497">
        <v>55.94</v>
      </c>
      <c r="BT2862" s="42"/>
    </row>
    <row r="2863" spans="1:72" x14ac:dyDescent="0.25">
      <c r="A2863" s="90">
        <v>33357</v>
      </c>
      <c r="B2863" s="20">
        <v>0.54166666666666663</v>
      </c>
      <c r="D2863">
        <v>51.08</v>
      </c>
      <c r="E2863" t="str">
        <f t="shared" si="124"/>
        <v>WEEKDAY</v>
      </c>
      <c r="F2863" t="e">
        <f t="shared" si="125"/>
        <v>#N/A</v>
      </c>
      <c r="G2863" s="74">
        <v>32992</v>
      </c>
      <c r="H2863" s="77">
        <v>0.54166666666666663</v>
      </c>
      <c r="J2863">
        <v>53.96</v>
      </c>
      <c r="M2863" s="74">
        <v>33357</v>
      </c>
      <c r="N2863" s="77">
        <v>0.54166666666666663</v>
      </c>
      <c r="P2863">
        <v>53.96</v>
      </c>
      <c r="S2863" s="74">
        <v>33357</v>
      </c>
      <c r="T2863" s="77">
        <v>0.54166666666666663</v>
      </c>
      <c r="V2863">
        <v>55.040000000000006</v>
      </c>
      <c r="X2863" s="42"/>
      <c r="AB2863">
        <v>60.1</v>
      </c>
      <c r="AC2863">
        <v>55.040000000000006</v>
      </c>
      <c r="AE2863" s="74"/>
      <c r="AF2863" s="77"/>
      <c r="AH2863" s="497">
        <v>60.980000000000004</v>
      </c>
      <c r="AJ2863" s="42"/>
      <c r="AK2863" s="74"/>
      <c r="AL2863" s="77"/>
      <c r="AN2863" s="497">
        <v>50</v>
      </c>
      <c r="AP2863" s="42"/>
      <c r="AQ2863" s="74"/>
      <c r="AR2863" s="77"/>
      <c r="AT2863" s="497">
        <v>55.040000000000006</v>
      </c>
      <c r="AV2863" s="42"/>
      <c r="AW2863" s="74"/>
      <c r="AX2863" s="77"/>
      <c r="BA2863" s="497">
        <v>57.019999999999996</v>
      </c>
      <c r="BB2863" s="42"/>
      <c r="BC2863" s="74"/>
      <c r="BD2863" s="77"/>
      <c r="BF2863">
        <v>57.019999999999996</v>
      </c>
      <c r="BH2863" s="42"/>
      <c r="BI2863" s="74"/>
      <c r="BJ2863" s="77"/>
      <c r="BL2863" s="497">
        <v>39.92</v>
      </c>
      <c r="BN2863" s="42"/>
      <c r="BO2863" s="74"/>
      <c r="BP2863" s="77"/>
      <c r="BR2863" s="497">
        <v>59</v>
      </c>
      <c r="BT2863" s="42"/>
    </row>
    <row r="2864" spans="1:72" x14ac:dyDescent="0.25">
      <c r="A2864" s="90">
        <v>33357</v>
      </c>
      <c r="B2864" s="20">
        <v>0.58333333333333337</v>
      </c>
      <c r="D2864">
        <v>51.980000000000004</v>
      </c>
      <c r="E2864" t="str">
        <f t="shared" si="124"/>
        <v>WEEKDAY</v>
      </c>
      <c r="F2864" t="e">
        <f t="shared" si="125"/>
        <v>#N/A</v>
      </c>
      <c r="G2864" s="74">
        <v>32992</v>
      </c>
      <c r="H2864" s="77">
        <v>0.58333333333333337</v>
      </c>
      <c r="J2864">
        <v>53.96</v>
      </c>
      <c r="M2864" s="74">
        <v>33357</v>
      </c>
      <c r="N2864" s="77">
        <v>0.58333333333333337</v>
      </c>
      <c r="P2864">
        <v>53.96</v>
      </c>
      <c r="S2864" s="74">
        <v>33357</v>
      </c>
      <c r="T2864" s="77">
        <v>0.58333333333333337</v>
      </c>
      <c r="V2864">
        <v>53.96</v>
      </c>
      <c r="X2864" s="42"/>
      <c r="AB2864">
        <v>60.5</v>
      </c>
      <c r="AC2864">
        <v>55.040000000000006</v>
      </c>
      <c r="AE2864" s="74"/>
      <c r="AF2864" s="77"/>
      <c r="AH2864" s="497">
        <v>62.96</v>
      </c>
      <c r="AJ2864" s="42"/>
      <c r="AK2864" s="74"/>
      <c r="AL2864" s="77"/>
      <c r="AN2864" s="497">
        <v>51.08</v>
      </c>
      <c r="AP2864" s="42"/>
      <c r="AQ2864" s="74"/>
      <c r="AR2864" s="77"/>
      <c r="AT2864" s="497">
        <v>59</v>
      </c>
      <c r="AV2864" s="42"/>
      <c r="AW2864" s="74"/>
      <c r="AX2864" s="77"/>
      <c r="BA2864" s="497">
        <v>59</v>
      </c>
      <c r="BB2864" s="42"/>
      <c r="BC2864" s="74"/>
      <c r="BD2864" s="77"/>
      <c r="BF2864">
        <v>55.94</v>
      </c>
      <c r="BH2864" s="42"/>
      <c r="BI2864" s="74"/>
      <c r="BJ2864" s="77"/>
      <c r="BL2864" s="497">
        <v>41</v>
      </c>
      <c r="BN2864" s="42"/>
      <c r="BO2864" s="74"/>
      <c r="BP2864" s="77"/>
      <c r="BR2864" s="497">
        <v>60.08</v>
      </c>
      <c r="BT2864" s="42"/>
    </row>
    <row r="2865" spans="1:72" x14ac:dyDescent="0.25">
      <c r="A2865" s="90">
        <v>33357</v>
      </c>
      <c r="B2865" s="20">
        <v>0.625</v>
      </c>
      <c r="D2865">
        <v>57.019999999999996</v>
      </c>
      <c r="E2865" t="str">
        <f t="shared" si="124"/>
        <v>WEEKDAY</v>
      </c>
      <c r="F2865" t="e">
        <f t="shared" si="125"/>
        <v>#N/A</v>
      </c>
      <c r="G2865" s="74">
        <v>32992</v>
      </c>
      <c r="H2865" s="77">
        <v>0.625</v>
      </c>
      <c r="J2865">
        <v>53.96</v>
      </c>
      <c r="M2865" s="74">
        <v>33357</v>
      </c>
      <c r="N2865" s="77">
        <v>0.625</v>
      </c>
      <c r="P2865">
        <v>53.06</v>
      </c>
      <c r="S2865" s="74">
        <v>33357</v>
      </c>
      <c r="T2865" s="77">
        <v>0.625</v>
      </c>
      <c r="V2865">
        <v>53.96</v>
      </c>
      <c r="X2865" s="42"/>
      <c r="AB2865">
        <v>60.5</v>
      </c>
      <c r="AC2865">
        <v>55.040000000000006</v>
      </c>
      <c r="AE2865" s="74"/>
      <c r="AF2865" s="77"/>
      <c r="AH2865" s="497">
        <v>60.980000000000004</v>
      </c>
      <c r="AJ2865" s="42"/>
      <c r="AK2865" s="74"/>
      <c r="AL2865" s="77"/>
      <c r="AN2865" s="497">
        <v>51.08</v>
      </c>
      <c r="AP2865" s="42"/>
      <c r="AQ2865" s="74"/>
      <c r="AR2865" s="77"/>
      <c r="AT2865" s="497">
        <v>60.08</v>
      </c>
      <c r="AV2865" s="42"/>
      <c r="AW2865" s="74"/>
      <c r="AX2865" s="77"/>
      <c r="BA2865" s="497">
        <v>59</v>
      </c>
      <c r="BB2865" s="42"/>
      <c r="BC2865" s="74"/>
      <c r="BD2865" s="77"/>
      <c r="BF2865">
        <v>48.92</v>
      </c>
      <c r="BH2865" s="42"/>
      <c r="BI2865" s="74"/>
      <c r="BJ2865" s="77"/>
      <c r="BL2865" s="497">
        <v>41</v>
      </c>
      <c r="BN2865" s="42"/>
      <c r="BO2865" s="74"/>
      <c r="BP2865" s="77"/>
      <c r="BR2865" s="497">
        <v>62.96</v>
      </c>
      <c r="BT2865" s="42"/>
    </row>
    <row r="2866" spans="1:72" x14ac:dyDescent="0.25">
      <c r="A2866" s="90">
        <v>33357</v>
      </c>
      <c r="B2866" s="20">
        <v>0.66666666666666663</v>
      </c>
      <c r="D2866">
        <v>53.06</v>
      </c>
      <c r="E2866" t="str">
        <f t="shared" si="124"/>
        <v>WEEKDAY</v>
      </c>
      <c r="F2866" t="e">
        <f t="shared" si="125"/>
        <v>#N/A</v>
      </c>
      <c r="G2866" s="74">
        <v>32992</v>
      </c>
      <c r="H2866" s="77">
        <v>0.66666666666666663</v>
      </c>
      <c r="J2866">
        <v>53.96</v>
      </c>
      <c r="M2866" s="74">
        <v>33357</v>
      </c>
      <c r="N2866" s="77">
        <v>0.66666666666666663</v>
      </c>
      <c r="P2866">
        <v>53.96</v>
      </c>
      <c r="S2866" s="74">
        <v>33357</v>
      </c>
      <c r="T2866" s="77">
        <v>0.66666666666666663</v>
      </c>
      <c r="V2866">
        <v>53.06</v>
      </c>
      <c r="X2866" s="42"/>
      <c r="AB2866">
        <v>60.1</v>
      </c>
      <c r="AC2866">
        <v>53.96</v>
      </c>
      <c r="AE2866" s="74"/>
      <c r="AF2866" s="77"/>
      <c r="AH2866" s="497">
        <v>55.94</v>
      </c>
      <c r="AJ2866" s="42"/>
      <c r="AK2866" s="74"/>
      <c r="AL2866" s="77"/>
      <c r="AN2866" s="497">
        <v>57.019999999999996</v>
      </c>
      <c r="AP2866" s="42"/>
      <c r="AQ2866" s="74"/>
      <c r="AR2866" s="77"/>
      <c r="AT2866" s="497">
        <v>60.08</v>
      </c>
      <c r="AV2866" s="42"/>
      <c r="AW2866" s="74"/>
      <c r="AX2866" s="77"/>
      <c r="BA2866" s="497">
        <v>59</v>
      </c>
      <c r="BB2866" s="42"/>
      <c r="BC2866" s="74"/>
      <c r="BD2866" s="77"/>
      <c r="BF2866">
        <v>48.92</v>
      </c>
      <c r="BH2866" s="42"/>
      <c r="BI2866" s="74"/>
      <c r="BJ2866" s="77"/>
      <c r="BL2866" s="497">
        <v>41</v>
      </c>
      <c r="BN2866" s="42"/>
      <c r="BO2866" s="74"/>
      <c r="BP2866" s="77"/>
      <c r="BR2866" s="497">
        <v>62.96</v>
      </c>
      <c r="BT2866" s="42"/>
    </row>
    <row r="2867" spans="1:72" x14ac:dyDescent="0.25">
      <c r="A2867" s="90">
        <v>33357</v>
      </c>
      <c r="B2867" s="20">
        <v>0.70833333333333337</v>
      </c>
      <c r="D2867">
        <v>51.980000000000004</v>
      </c>
      <c r="E2867" t="str">
        <f t="shared" si="124"/>
        <v>WEEKDAY</v>
      </c>
      <c r="F2867" t="e">
        <f t="shared" si="125"/>
        <v>#N/A</v>
      </c>
      <c r="G2867" s="74">
        <v>32992</v>
      </c>
      <c r="H2867" s="77">
        <v>0.70833333333333337</v>
      </c>
      <c r="J2867">
        <v>53.96</v>
      </c>
      <c r="M2867" s="74">
        <v>33357</v>
      </c>
      <c r="N2867" s="77">
        <v>0.70833333333333337</v>
      </c>
      <c r="P2867">
        <v>53.06</v>
      </c>
      <c r="S2867" s="74">
        <v>33357</v>
      </c>
      <c r="T2867" s="77">
        <v>0.70833333333333337</v>
      </c>
      <c r="V2867">
        <v>53.06</v>
      </c>
      <c r="X2867" s="42"/>
      <c r="AB2867">
        <v>59.2</v>
      </c>
      <c r="AC2867">
        <v>51.980000000000004</v>
      </c>
      <c r="AE2867" s="74"/>
      <c r="AF2867" s="77"/>
      <c r="AH2867" s="497">
        <v>53.96</v>
      </c>
      <c r="AJ2867" s="42"/>
      <c r="AK2867" s="74"/>
      <c r="AL2867" s="77"/>
      <c r="AN2867" s="497">
        <v>50</v>
      </c>
      <c r="AP2867" s="42"/>
      <c r="AQ2867" s="74"/>
      <c r="AR2867" s="77"/>
      <c r="AT2867" s="497">
        <v>60.08</v>
      </c>
      <c r="AV2867" s="42"/>
      <c r="AW2867" s="74"/>
      <c r="AX2867" s="77"/>
      <c r="BA2867" s="497">
        <v>59</v>
      </c>
      <c r="BB2867" s="42"/>
      <c r="BC2867" s="74"/>
      <c r="BD2867" s="77"/>
      <c r="BF2867">
        <v>48.019999999999996</v>
      </c>
      <c r="BH2867" s="42"/>
      <c r="BI2867" s="74"/>
      <c r="BJ2867" s="77"/>
      <c r="BL2867" s="497">
        <v>42.08</v>
      </c>
      <c r="BN2867" s="42"/>
      <c r="BO2867" s="74"/>
      <c r="BP2867" s="77"/>
      <c r="BR2867" s="497">
        <v>64.039999999999992</v>
      </c>
      <c r="BT2867" s="42"/>
    </row>
    <row r="2868" spans="1:72" x14ac:dyDescent="0.25">
      <c r="A2868" s="90">
        <v>33357</v>
      </c>
      <c r="B2868" s="20">
        <v>0.75</v>
      </c>
      <c r="D2868">
        <v>53.06</v>
      </c>
      <c r="E2868" t="str">
        <f t="shared" si="124"/>
        <v>WEEKDAY</v>
      </c>
      <c r="F2868" t="e">
        <f t="shared" si="125"/>
        <v>#N/A</v>
      </c>
      <c r="G2868" s="74">
        <v>32992</v>
      </c>
      <c r="H2868" s="77">
        <v>0.75</v>
      </c>
      <c r="J2868">
        <v>51.980000000000004</v>
      </c>
      <c r="M2868" s="74">
        <v>33357</v>
      </c>
      <c r="N2868" s="77">
        <v>0.75</v>
      </c>
      <c r="P2868">
        <v>51.980000000000004</v>
      </c>
      <c r="S2868" s="74">
        <v>33357</v>
      </c>
      <c r="T2868" s="77">
        <v>0.75</v>
      </c>
      <c r="V2868">
        <v>51.980000000000004</v>
      </c>
      <c r="X2868" s="42"/>
      <c r="AB2868">
        <v>58</v>
      </c>
      <c r="AC2868">
        <v>51.08</v>
      </c>
      <c r="AE2868" s="74"/>
      <c r="AF2868" s="77"/>
      <c r="AH2868" s="497">
        <v>51.980000000000004</v>
      </c>
      <c r="AJ2868" s="42"/>
      <c r="AK2868" s="74"/>
      <c r="AL2868" s="77"/>
      <c r="AN2868" s="497">
        <v>50</v>
      </c>
      <c r="AP2868" s="42"/>
      <c r="AQ2868" s="74"/>
      <c r="AR2868" s="77"/>
      <c r="AT2868" s="497">
        <v>57.92</v>
      </c>
      <c r="AV2868" s="42"/>
      <c r="AW2868" s="74"/>
      <c r="AX2868" s="77"/>
      <c r="BA2868" s="497">
        <v>57.019999999999996</v>
      </c>
      <c r="BB2868" s="42"/>
      <c r="BC2868" s="74"/>
      <c r="BD2868" s="77"/>
      <c r="BF2868">
        <v>48.019999999999996</v>
      </c>
      <c r="BH2868" s="42"/>
      <c r="BI2868" s="74"/>
      <c r="BJ2868" s="77"/>
      <c r="BL2868" s="497">
        <v>42.08</v>
      </c>
      <c r="BN2868" s="42"/>
      <c r="BO2868" s="74"/>
      <c r="BP2868" s="77"/>
      <c r="BR2868" s="497">
        <v>62.06</v>
      </c>
      <c r="BT2868" s="42"/>
    </row>
    <row r="2869" spans="1:72" x14ac:dyDescent="0.25">
      <c r="A2869" s="90">
        <v>33357</v>
      </c>
      <c r="B2869" s="20">
        <v>0.79166666666666663</v>
      </c>
      <c r="D2869">
        <v>53.06</v>
      </c>
      <c r="E2869" t="str">
        <f t="shared" si="124"/>
        <v>WEEKDAY</v>
      </c>
      <c r="F2869" t="e">
        <f t="shared" si="125"/>
        <v>#N/A</v>
      </c>
      <c r="G2869" s="74">
        <v>32992</v>
      </c>
      <c r="H2869" s="77">
        <v>0.79166666666666663</v>
      </c>
      <c r="J2869">
        <v>51.08</v>
      </c>
      <c r="M2869" s="74">
        <v>33357</v>
      </c>
      <c r="N2869" s="77">
        <v>0.79166666666666663</v>
      </c>
      <c r="P2869">
        <v>51.08</v>
      </c>
      <c r="S2869" s="74">
        <v>33357</v>
      </c>
      <c r="T2869" s="77">
        <v>0.79166666666666663</v>
      </c>
      <c r="V2869">
        <v>51.08</v>
      </c>
      <c r="X2869" s="42"/>
      <c r="AB2869">
        <v>56.6</v>
      </c>
      <c r="AC2869">
        <v>51.08</v>
      </c>
      <c r="AE2869" s="74"/>
      <c r="AF2869" s="77"/>
      <c r="AH2869" s="497">
        <v>51.08</v>
      </c>
      <c r="AJ2869" s="42"/>
      <c r="AK2869" s="74"/>
      <c r="AL2869" s="77"/>
      <c r="AN2869" s="497">
        <v>48.92</v>
      </c>
      <c r="AP2869" s="42"/>
      <c r="AQ2869" s="74"/>
      <c r="AR2869" s="77"/>
      <c r="AT2869" s="497">
        <v>57.019999999999996</v>
      </c>
      <c r="AV2869" s="42"/>
      <c r="AW2869" s="74"/>
      <c r="AX2869" s="77"/>
      <c r="BA2869" s="497">
        <v>53.06</v>
      </c>
      <c r="BB2869" s="42"/>
      <c r="BC2869" s="74"/>
      <c r="BD2869" s="77"/>
      <c r="BF2869">
        <v>46.94</v>
      </c>
      <c r="BH2869" s="42"/>
      <c r="BI2869" s="74"/>
      <c r="BJ2869" s="77"/>
      <c r="BL2869" s="497">
        <v>41</v>
      </c>
      <c r="BN2869" s="42"/>
      <c r="BO2869" s="74"/>
      <c r="BP2869" s="77"/>
      <c r="BR2869" s="497">
        <v>57.92</v>
      </c>
      <c r="BT2869" s="42"/>
    </row>
    <row r="2870" spans="1:72" x14ac:dyDescent="0.25">
      <c r="A2870" s="90">
        <v>33357</v>
      </c>
      <c r="B2870" s="20">
        <v>0.83333333333333337</v>
      </c>
      <c r="D2870">
        <v>53.96</v>
      </c>
      <c r="E2870" t="str">
        <f t="shared" si="124"/>
        <v>WEEKDAY</v>
      </c>
      <c r="F2870" t="e">
        <f t="shared" si="125"/>
        <v>#N/A</v>
      </c>
      <c r="G2870" s="74">
        <v>32992</v>
      </c>
      <c r="H2870" s="77">
        <v>0.83333333333333337</v>
      </c>
      <c r="J2870">
        <v>51.980000000000004</v>
      </c>
      <c r="M2870" s="74">
        <v>33357</v>
      </c>
      <c r="N2870" s="77">
        <v>0.83333333333333337</v>
      </c>
      <c r="P2870">
        <v>51.08</v>
      </c>
      <c r="S2870" s="74">
        <v>33357</v>
      </c>
      <c r="T2870" s="77">
        <v>0.83333333333333337</v>
      </c>
      <c r="V2870">
        <v>51.08</v>
      </c>
      <c r="X2870" s="42"/>
      <c r="AB2870">
        <v>55.1</v>
      </c>
      <c r="AC2870">
        <v>51.08</v>
      </c>
      <c r="AE2870" s="74"/>
      <c r="AF2870" s="77"/>
      <c r="AH2870" s="497">
        <v>51.08</v>
      </c>
      <c r="AJ2870" s="42"/>
      <c r="AK2870" s="74"/>
      <c r="AL2870" s="77"/>
      <c r="AN2870" s="497">
        <v>48.019999999999996</v>
      </c>
      <c r="AP2870" s="42"/>
      <c r="AQ2870" s="74"/>
      <c r="AR2870" s="77"/>
      <c r="AT2870" s="497">
        <v>55.94</v>
      </c>
      <c r="AV2870" s="42"/>
      <c r="AW2870" s="74"/>
      <c r="AX2870" s="77"/>
      <c r="BA2870" s="497">
        <v>53.06</v>
      </c>
      <c r="BB2870" s="42"/>
      <c r="BC2870" s="74"/>
      <c r="BD2870" s="77"/>
      <c r="BF2870">
        <v>46.94</v>
      </c>
      <c r="BH2870" s="42"/>
      <c r="BI2870" s="74"/>
      <c r="BJ2870" s="77"/>
      <c r="BL2870" s="497">
        <v>41</v>
      </c>
      <c r="BN2870" s="42"/>
      <c r="BO2870" s="74"/>
      <c r="BP2870" s="77"/>
      <c r="BR2870" s="497">
        <v>53.06</v>
      </c>
      <c r="BT2870" s="42"/>
    </row>
    <row r="2871" spans="1:72" x14ac:dyDescent="0.25">
      <c r="A2871" s="90">
        <v>33357</v>
      </c>
      <c r="B2871" s="20">
        <v>0.875</v>
      </c>
      <c r="D2871">
        <v>53.96</v>
      </c>
      <c r="E2871" t="str">
        <f t="shared" si="124"/>
        <v>WEEKDAY</v>
      </c>
      <c r="F2871" t="e">
        <f t="shared" si="125"/>
        <v>#N/A</v>
      </c>
      <c r="G2871" s="74">
        <v>32992</v>
      </c>
      <c r="H2871" s="77">
        <v>0.875</v>
      </c>
      <c r="J2871">
        <v>50</v>
      </c>
      <c r="M2871" s="74">
        <v>33357</v>
      </c>
      <c r="N2871" s="77">
        <v>0.875</v>
      </c>
      <c r="P2871">
        <v>51.08</v>
      </c>
      <c r="S2871" s="74">
        <v>33357</v>
      </c>
      <c r="T2871" s="77">
        <v>0.875</v>
      </c>
      <c r="V2871">
        <v>51.08</v>
      </c>
      <c r="X2871" s="42"/>
      <c r="AB2871">
        <v>54.2</v>
      </c>
      <c r="AC2871">
        <v>51.08</v>
      </c>
      <c r="AE2871" s="74"/>
      <c r="AF2871" s="77"/>
      <c r="AH2871" s="497">
        <v>51.08</v>
      </c>
      <c r="AJ2871" s="42"/>
      <c r="AK2871" s="74"/>
      <c r="AL2871" s="77"/>
      <c r="AN2871" s="497">
        <v>48.019999999999996</v>
      </c>
      <c r="AP2871" s="42"/>
      <c r="AQ2871" s="74"/>
      <c r="AR2871" s="77"/>
      <c r="AT2871" s="497">
        <v>55.040000000000006</v>
      </c>
      <c r="AV2871" s="42"/>
      <c r="AW2871" s="74"/>
      <c r="AX2871" s="77"/>
      <c r="BA2871" s="497">
        <v>48.92</v>
      </c>
      <c r="BB2871" s="42"/>
      <c r="BC2871" s="74"/>
      <c r="BD2871" s="77"/>
      <c r="BF2871">
        <v>48.019999999999996</v>
      </c>
      <c r="BH2871" s="42"/>
      <c r="BI2871" s="74"/>
      <c r="BJ2871" s="77"/>
      <c r="BL2871" s="497">
        <v>39.92</v>
      </c>
      <c r="BN2871" s="42"/>
      <c r="BO2871" s="74"/>
      <c r="BP2871" s="77"/>
      <c r="BR2871" s="497">
        <v>50</v>
      </c>
      <c r="BT2871" s="42"/>
    </row>
    <row r="2872" spans="1:72" x14ac:dyDescent="0.25">
      <c r="A2872" s="90">
        <v>33357</v>
      </c>
      <c r="B2872" s="20">
        <v>0.91666666666666663</v>
      </c>
      <c r="D2872">
        <v>51.980000000000004</v>
      </c>
      <c r="E2872" t="str">
        <f t="shared" si="124"/>
        <v>WEEKDAY</v>
      </c>
      <c r="F2872" t="e">
        <f t="shared" si="125"/>
        <v>#N/A</v>
      </c>
      <c r="G2872" s="74">
        <v>32992</v>
      </c>
      <c r="H2872" s="77">
        <v>0.91666666666666663</v>
      </c>
      <c r="J2872">
        <v>51.08</v>
      </c>
      <c r="M2872" s="74">
        <v>33357</v>
      </c>
      <c r="N2872" s="77">
        <v>0.91666666666666663</v>
      </c>
      <c r="P2872">
        <v>51.08</v>
      </c>
      <c r="S2872" s="74">
        <v>33357</v>
      </c>
      <c r="T2872" s="77">
        <v>0.91666666666666663</v>
      </c>
      <c r="V2872">
        <v>51.980000000000004</v>
      </c>
      <c r="X2872" s="42"/>
      <c r="AB2872">
        <v>53.6</v>
      </c>
      <c r="AC2872">
        <v>51.08</v>
      </c>
      <c r="AE2872" s="74"/>
      <c r="AF2872" s="77"/>
      <c r="AH2872" s="497">
        <v>50</v>
      </c>
      <c r="AJ2872" s="42"/>
      <c r="AK2872" s="74"/>
      <c r="AL2872" s="77"/>
      <c r="AN2872" s="497">
        <v>48.019999999999996</v>
      </c>
      <c r="AP2872" s="42"/>
      <c r="AQ2872" s="74"/>
      <c r="AR2872" s="77"/>
      <c r="AT2872" s="497">
        <v>53.96</v>
      </c>
      <c r="AV2872" s="42"/>
      <c r="AW2872" s="74"/>
      <c r="AX2872" s="77"/>
      <c r="BA2872" s="497">
        <v>48.019999999999996</v>
      </c>
      <c r="BB2872" s="42"/>
      <c r="BC2872" s="74"/>
      <c r="BD2872" s="77"/>
      <c r="BF2872">
        <v>46.94</v>
      </c>
      <c r="BH2872" s="42"/>
      <c r="BI2872" s="74"/>
      <c r="BJ2872" s="77"/>
      <c r="BL2872" s="497">
        <v>39.92</v>
      </c>
      <c r="BN2872" s="42"/>
      <c r="BO2872" s="74"/>
      <c r="BP2872" s="77"/>
      <c r="BR2872" s="497">
        <v>48.92</v>
      </c>
      <c r="BT2872" s="42"/>
    </row>
    <row r="2873" spans="1:72" x14ac:dyDescent="0.25">
      <c r="A2873" s="90">
        <v>33357</v>
      </c>
      <c r="B2873" s="20">
        <v>0.95833333333333337</v>
      </c>
      <c r="D2873">
        <v>53.06</v>
      </c>
      <c r="E2873" t="str">
        <f t="shared" si="124"/>
        <v>WEEKDAY</v>
      </c>
      <c r="F2873" t="e">
        <f t="shared" si="125"/>
        <v>#N/A</v>
      </c>
      <c r="G2873" s="74">
        <v>32992</v>
      </c>
      <c r="H2873" s="77">
        <v>0.95833333333333337</v>
      </c>
      <c r="J2873">
        <v>50</v>
      </c>
      <c r="M2873" s="74">
        <v>33357</v>
      </c>
      <c r="N2873" s="77">
        <v>0.95833333333333337</v>
      </c>
      <c r="P2873">
        <v>50</v>
      </c>
      <c r="S2873" s="74">
        <v>33357</v>
      </c>
      <c r="T2873" s="77">
        <v>0.95833333333333337</v>
      </c>
      <c r="V2873">
        <v>51.08</v>
      </c>
      <c r="X2873" s="42"/>
      <c r="AB2873">
        <v>53</v>
      </c>
      <c r="AC2873">
        <v>51.08</v>
      </c>
      <c r="AE2873" s="74"/>
      <c r="AF2873" s="77"/>
      <c r="AH2873" s="497">
        <v>50</v>
      </c>
      <c r="AJ2873" s="42"/>
      <c r="AK2873" s="74"/>
      <c r="AL2873" s="77"/>
      <c r="AN2873" s="497">
        <v>48.019999999999996</v>
      </c>
      <c r="AP2873" s="42"/>
      <c r="AQ2873" s="74"/>
      <c r="AR2873" s="77"/>
      <c r="AT2873" s="497">
        <v>53.96</v>
      </c>
      <c r="AV2873" s="42"/>
      <c r="AW2873" s="74"/>
      <c r="AX2873" s="77"/>
      <c r="BA2873" s="497">
        <v>44.96</v>
      </c>
      <c r="BB2873" s="42"/>
      <c r="BC2873" s="74"/>
      <c r="BD2873" s="77"/>
      <c r="BF2873">
        <v>46.94</v>
      </c>
      <c r="BH2873" s="42"/>
      <c r="BI2873" s="74"/>
      <c r="BJ2873" s="77"/>
      <c r="BL2873" s="497">
        <v>41</v>
      </c>
      <c r="BN2873" s="42"/>
      <c r="BO2873" s="74"/>
      <c r="BP2873" s="77"/>
      <c r="BR2873" s="497">
        <v>48.019999999999996</v>
      </c>
      <c r="BT2873" s="42"/>
    </row>
    <row r="2874" spans="1:72" x14ac:dyDescent="0.25">
      <c r="A2874" s="90">
        <v>33357</v>
      </c>
      <c r="B2874" s="20">
        <v>1</v>
      </c>
      <c r="D2874">
        <v>55.040000000000006</v>
      </c>
      <c r="E2874" t="str">
        <f t="shared" si="124"/>
        <v>WEEKDAY</v>
      </c>
      <c r="F2874" t="e">
        <f t="shared" si="125"/>
        <v>#N/A</v>
      </c>
      <c r="G2874" s="74">
        <v>32992</v>
      </c>
      <c r="H2874" s="77">
        <v>1</v>
      </c>
      <c r="J2874">
        <v>50</v>
      </c>
      <c r="M2874" s="74">
        <v>33357</v>
      </c>
      <c r="N2874" s="80">
        <v>1</v>
      </c>
      <c r="P2874">
        <v>50</v>
      </c>
      <c r="S2874" s="74">
        <v>33357</v>
      </c>
      <c r="T2874" s="80">
        <v>1</v>
      </c>
      <c r="V2874">
        <v>51.08</v>
      </c>
      <c r="X2874" s="42"/>
      <c r="AB2874">
        <v>52.6</v>
      </c>
      <c r="AC2874">
        <v>51.08</v>
      </c>
      <c r="AE2874" s="74"/>
      <c r="AF2874" s="80"/>
      <c r="AH2874" s="497">
        <v>50</v>
      </c>
      <c r="AJ2874" s="42"/>
      <c r="AK2874" s="74"/>
      <c r="AL2874" s="80"/>
      <c r="AN2874" s="497">
        <v>46.94</v>
      </c>
      <c r="AP2874" s="42"/>
      <c r="AQ2874" s="74"/>
      <c r="AR2874" s="80"/>
      <c r="AT2874" s="497">
        <v>55.040000000000006</v>
      </c>
      <c r="AV2874" s="42"/>
      <c r="AW2874" s="74"/>
      <c r="AX2874" s="80"/>
      <c r="BA2874" s="497">
        <v>42.980000000000004</v>
      </c>
      <c r="BB2874" s="42"/>
      <c r="BC2874" s="74"/>
      <c r="BD2874" s="80"/>
      <c r="BF2874">
        <v>46.94</v>
      </c>
      <c r="BH2874" s="42"/>
      <c r="BI2874" s="74"/>
      <c r="BJ2874" s="80"/>
      <c r="BL2874" s="497">
        <v>41</v>
      </c>
      <c r="BN2874" s="42"/>
      <c r="BO2874" s="74"/>
      <c r="BP2874" s="80"/>
      <c r="BR2874" s="497">
        <v>48.019999999999996</v>
      </c>
      <c r="BT2874" s="42"/>
    </row>
    <row r="2875" spans="1:72" x14ac:dyDescent="0.25">
      <c r="A2875" s="90">
        <v>33358</v>
      </c>
      <c r="B2875" s="20">
        <v>4.1666666666666664E-2</v>
      </c>
      <c r="D2875">
        <v>53.96</v>
      </c>
      <c r="E2875" t="str">
        <f t="shared" si="124"/>
        <v>WEEKDAY</v>
      </c>
      <c r="F2875" t="e">
        <f t="shared" si="125"/>
        <v>#N/A</v>
      </c>
      <c r="G2875" s="74">
        <v>32993</v>
      </c>
      <c r="H2875" s="77">
        <v>4.1666666666666664E-2</v>
      </c>
      <c r="J2875">
        <v>51.08</v>
      </c>
      <c r="M2875" s="74">
        <v>33358</v>
      </c>
      <c r="N2875" s="77">
        <v>4.1666666666666664E-2</v>
      </c>
      <c r="P2875">
        <v>50</v>
      </c>
      <c r="S2875" s="74">
        <v>33358</v>
      </c>
      <c r="T2875" s="77">
        <v>4.1666666666666664E-2</v>
      </c>
      <c r="V2875">
        <v>51.08</v>
      </c>
      <c r="X2875" s="42"/>
      <c r="AB2875">
        <v>52.1</v>
      </c>
      <c r="AC2875">
        <v>51.08</v>
      </c>
      <c r="AE2875" s="74"/>
      <c r="AF2875" s="77"/>
      <c r="AH2875" s="497">
        <v>50</v>
      </c>
      <c r="AJ2875" s="42"/>
      <c r="AK2875" s="74"/>
      <c r="AL2875" s="77"/>
      <c r="AN2875" s="497">
        <v>46.94</v>
      </c>
      <c r="AP2875" s="42"/>
      <c r="AQ2875" s="74"/>
      <c r="AR2875" s="77"/>
      <c r="AT2875" s="497">
        <v>55.040000000000006</v>
      </c>
      <c r="AV2875" s="42"/>
      <c r="AW2875" s="74"/>
      <c r="AX2875" s="77"/>
      <c r="BA2875" s="497">
        <v>42.980000000000004</v>
      </c>
      <c r="BB2875" s="42"/>
      <c r="BC2875" s="74"/>
      <c r="BD2875" s="77"/>
      <c r="BF2875">
        <v>46.94</v>
      </c>
      <c r="BH2875" s="42"/>
      <c r="BI2875" s="74"/>
      <c r="BJ2875" s="77"/>
      <c r="BL2875" s="497">
        <v>39.019999999999996</v>
      </c>
      <c r="BN2875" s="42"/>
      <c r="BO2875" s="74"/>
      <c r="BP2875" s="77"/>
      <c r="BR2875" s="497">
        <v>48.019999999999996</v>
      </c>
      <c r="BT2875" s="42"/>
    </row>
    <row r="2876" spans="1:72" x14ac:dyDescent="0.25">
      <c r="A2876" s="90">
        <v>33358</v>
      </c>
      <c r="B2876" s="20">
        <v>8.3333333333333329E-2</v>
      </c>
      <c r="D2876">
        <v>55.040000000000006</v>
      </c>
      <c r="E2876" t="str">
        <f t="shared" si="124"/>
        <v>WEEKDAY</v>
      </c>
      <c r="F2876" t="e">
        <f t="shared" si="125"/>
        <v>#N/A</v>
      </c>
      <c r="G2876" s="74">
        <v>32993</v>
      </c>
      <c r="H2876" s="77">
        <v>8.3333333333333329E-2</v>
      </c>
      <c r="J2876">
        <v>50</v>
      </c>
      <c r="M2876" s="74">
        <v>33358</v>
      </c>
      <c r="N2876" s="77">
        <v>8.3333333333333329E-2</v>
      </c>
      <c r="P2876">
        <v>50</v>
      </c>
      <c r="S2876" s="74">
        <v>33358</v>
      </c>
      <c r="T2876" s="77">
        <v>8.3333333333333329E-2</v>
      </c>
      <c r="V2876">
        <v>51.08</v>
      </c>
      <c r="X2876" s="42"/>
      <c r="AB2876">
        <v>51.6</v>
      </c>
      <c r="AC2876">
        <v>51.08</v>
      </c>
      <c r="AE2876" s="74"/>
      <c r="AF2876" s="77"/>
      <c r="AH2876" s="497">
        <v>50</v>
      </c>
      <c r="AJ2876" s="42"/>
      <c r="AK2876" s="74"/>
      <c r="AL2876" s="77"/>
      <c r="AN2876" s="497">
        <v>46.94</v>
      </c>
      <c r="AP2876" s="42"/>
      <c r="AQ2876" s="74"/>
      <c r="AR2876" s="77"/>
      <c r="AT2876" s="497">
        <v>55.040000000000006</v>
      </c>
      <c r="AV2876" s="42"/>
      <c r="AW2876" s="74"/>
      <c r="AX2876" s="77"/>
      <c r="BA2876" s="497">
        <v>41</v>
      </c>
      <c r="BB2876" s="42"/>
      <c r="BC2876" s="74"/>
      <c r="BD2876" s="77"/>
      <c r="BF2876">
        <v>48.019999999999996</v>
      </c>
      <c r="BH2876" s="42"/>
      <c r="BI2876" s="74"/>
      <c r="BJ2876" s="77"/>
      <c r="BL2876" s="497">
        <v>37.94</v>
      </c>
      <c r="BN2876" s="42"/>
      <c r="BO2876" s="74"/>
      <c r="BP2876" s="77"/>
      <c r="BR2876" s="497">
        <v>48.019999999999996</v>
      </c>
      <c r="BT2876" s="42"/>
    </row>
    <row r="2877" spans="1:72" x14ac:dyDescent="0.25">
      <c r="A2877" s="90">
        <v>33358</v>
      </c>
      <c r="B2877" s="20">
        <v>0.125</v>
      </c>
      <c r="D2877">
        <v>57.92</v>
      </c>
      <c r="E2877" t="str">
        <f t="shared" si="124"/>
        <v>WEEKDAY</v>
      </c>
      <c r="F2877" t="e">
        <f t="shared" si="125"/>
        <v>#N/A</v>
      </c>
      <c r="G2877" s="74">
        <v>32993</v>
      </c>
      <c r="H2877" s="77">
        <v>0.125</v>
      </c>
      <c r="J2877">
        <v>50</v>
      </c>
      <c r="M2877" s="74">
        <v>33358</v>
      </c>
      <c r="N2877" s="77">
        <v>0.125</v>
      </c>
      <c r="P2877">
        <v>50</v>
      </c>
      <c r="S2877" s="74">
        <v>33358</v>
      </c>
      <c r="T2877" s="77">
        <v>0.125</v>
      </c>
      <c r="V2877">
        <v>51.08</v>
      </c>
      <c r="X2877" s="42"/>
      <c r="AB2877">
        <v>51.2</v>
      </c>
      <c r="AC2877">
        <v>51.08</v>
      </c>
      <c r="AE2877" s="74"/>
      <c r="AF2877" s="77"/>
      <c r="AH2877" s="497">
        <v>48.019999999999996</v>
      </c>
      <c r="AJ2877" s="42"/>
      <c r="AK2877" s="74"/>
      <c r="AL2877" s="77"/>
      <c r="AN2877" s="497">
        <v>46.94</v>
      </c>
      <c r="AP2877" s="42"/>
      <c r="AQ2877" s="74"/>
      <c r="AR2877" s="77"/>
      <c r="AT2877" s="497">
        <v>55.040000000000006</v>
      </c>
      <c r="AV2877" s="42"/>
      <c r="AW2877" s="74"/>
      <c r="AX2877" s="77"/>
      <c r="BA2877" s="497">
        <v>41</v>
      </c>
      <c r="BB2877" s="42"/>
      <c r="BC2877" s="74"/>
      <c r="BD2877" s="77"/>
      <c r="BF2877">
        <v>48.019999999999996</v>
      </c>
      <c r="BH2877" s="42"/>
      <c r="BI2877" s="74"/>
      <c r="BJ2877" s="77"/>
      <c r="BL2877" s="497">
        <v>39.019999999999996</v>
      </c>
      <c r="BN2877" s="42"/>
      <c r="BO2877" s="74"/>
      <c r="BP2877" s="77"/>
      <c r="BR2877" s="497">
        <v>46.94</v>
      </c>
      <c r="BT2877" s="42"/>
    </row>
    <row r="2878" spans="1:72" x14ac:dyDescent="0.25">
      <c r="A2878" s="90">
        <v>33358</v>
      </c>
      <c r="B2878" s="20">
        <v>0.16666666666666666</v>
      </c>
      <c r="D2878">
        <v>60.08</v>
      </c>
      <c r="E2878" t="str">
        <f t="shared" si="124"/>
        <v>WEEKDAY</v>
      </c>
      <c r="F2878" t="e">
        <f t="shared" si="125"/>
        <v>#N/A</v>
      </c>
      <c r="G2878" s="74">
        <v>32993</v>
      </c>
      <c r="H2878" s="77">
        <v>0.16666666666666666</v>
      </c>
      <c r="J2878">
        <v>50</v>
      </c>
      <c r="M2878" s="74">
        <v>33358</v>
      </c>
      <c r="N2878" s="77">
        <v>0.16666666666666666</v>
      </c>
      <c r="P2878">
        <v>48.92</v>
      </c>
      <c r="S2878" s="74">
        <v>33358</v>
      </c>
      <c r="T2878" s="77">
        <v>0.16666666666666666</v>
      </c>
      <c r="V2878">
        <v>51.08</v>
      </c>
      <c r="X2878" s="42"/>
      <c r="AB2878">
        <v>50.7</v>
      </c>
      <c r="AC2878">
        <v>50</v>
      </c>
      <c r="AE2878" s="74"/>
      <c r="AF2878" s="77"/>
      <c r="AH2878" s="497">
        <v>48.92</v>
      </c>
      <c r="AJ2878" s="42"/>
      <c r="AK2878" s="74"/>
      <c r="AL2878" s="77"/>
      <c r="AN2878" s="497">
        <v>46.04</v>
      </c>
      <c r="AP2878" s="42"/>
      <c r="AQ2878" s="74"/>
      <c r="AR2878" s="77"/>
      <c r="AT2878" s="497">
        <v>53.96</v>
      </c>
      <c r="AV2878" s="42"/>
      <c r="AW2878" s="74"/>
      <c r="AX2878" s="77"/>
      <c r="BA2878" s="497">
        <v>41</v>
      </c>
      <c r="BB2878" s="42"/>
      <c r="BC2878" s="74"/>
      <c r="BD2878" s="77"/>
      <c r="BF2878">
        <v>46.94</v>
      </c>
      <c r="BH2878" s="42"/>
      <c r="BI2878" s="74"/>
      <c r="BJ2878" s="77"/>
      <c r="BL2878" s="497">
        <v>39.92</v>
      </c>
      <c r="BN2878" s="42"/>
      <c r="BO2878" s="74"/>
      <c r="BP2878" s="77"/>
      <c r="BR2878" s="497">
        <v>46.94</v>
      </c>
      <c r="BT2878" s="42"/>
    </row>
    <row r="2879" spans="1:72" x14ac:dyDescent="0.25">
      <c r="A2879" s="90">
        <v>33358</v>
      </c>
      <c r="B2879" s="20">
        <v>0.20833333333333334</v>
      </c>
      <c r="D2879">
        <v>57.019999999999996</v>
      </c>
      <c r="E2879" t="str">
        <f t="shared" si="124"/>
        <v>WEEKDAY</v>
      </c>
      <c r="F2879" t="e">
        <f t="shared" si="125"/>
        <v>#N/A</v>
      </c>
      <c r="G2879" s="74">
        <v>32993</v>
      </c>
      <c r="H2879" s="77">
        <v>0.20833333333333334</v>
      </c>
      <c r="J2879">
        <v>50</v>
      </c>
      <c r="M2879" s="74">
        <v>33358</v>
      </c>
      <c r="N2879" s="77">
        <v>0.20833333333333334</v>
      </c>
      <c r="P2879">
        <v>48.92</v>
      </c>
      <c r="S2879" s="74">
        <v>33358</v>
      </c>
      <c r="T2879" s="77">
        <v>0.20833333333333334</v>
      </c>
      <c r="V2879">
        <v>51.08</v>
      </c>
      <c r="X2879" s="42"/>
      <c r="AB2879">
        <v>50.3</v>
      </c>
      <c r="AC2879">
        <v>51.08</v>
      </c>
      <c r="AE2879" s="74"/>
      <c r="AF2879" s="77"/>
      <c r="AH2879" s="497">
        <v>48.92</v>
      </c>
      <c r="AJ2879" s="42"/>
      <c r="AK2879" s="74"/>
      <c r="AL2879" s="77"/>
      <c r="AN2879" s="497">
        <v>46.04</v>
      </c>
      <c r="AP2879" s="42"/>
      <c r="AQ2879" s="74"/>
      <c r="AR2879" s="77"/>
      <c r="AT2879" s="497">
        <v>51.08</v>
      </c>
      <c r="AV2879" s="42"/>
      <c r="AW2879" s="74"/>
      <c r="AX2879" s="77"/>
      <c r="BA2879" s="497">
        <v>37.94</v>
      </c>
      <c r="BB2879" s="42"/>
      <c r="BC2879" s="74"/>
      <c r="BD2879" s="77"/>
      <c r="BF2879">
        <v>46.94</v>
      </c>
      <c r="BH2879" s="42"/>
      <c r="BI2879" s="74"/>
      <c r="BJ2879" s="77"/>
      <c r="BL2879" s="497">
        <v>39.92</v>
      </c>
      <c r="BN2879" s="42"/>
      <c r="BO2879" s="74"/>
      <c r="BP2879" s="77"/>
      <c r="BR2879" s="497">
        <v>46.94</v>
      </c>
      <c r="BT2879" s="42"/>
    </row>
    <row r="2880" spans="1:72" x14ac:dyDescent="0.25">
      <c r="A2880" s="90">
        <v>33358</v>
      </c>
      <c r="B2880" s="20">
        <v>0.25</v>
      </c>
      <c r="D2880">
        <v>59</v>
      </c>
      <c r="E2880" t="str">
        <f t="shared" si="124"/>
        <v>WEEKDAY</v>
      </c>
      <c r="F2880" t="e">
        <f t="shared" si="125"/>
        <v>#N/A</v>
      </c>
      <c r="G2880" s="74">
        <v>32993</v>
      </c>
      <c r="H2880" s="77">
        <v>0.25</v>
      </c>
      <c r="J2880">
        <v>51.08</v>
      </c>
      <c r="M2880" s="74">
        <v>33358</v>
      </c>
      <c r="N2880" s="77">
        <v>0.25</v>
      </c>
      <c r="P2880">
        <v>48.92</v>
      </c>
      <c r="S2880" s="74">
        <v>33358</v>
      </c>
      <c r="T2880" s="77">
        <v>0.25</v>
      </c>
      <c r="V2880">
        <v>51.08</v>
      </c>
      <c r="X2880" s="42"/>
      <c r="AB2880">
        <v>50</v>
      </c>
      <c r="AC2880">
        <v>50</v>
      </c>
      <c r="AE2880" s="74"/>
      <c r="AF2880" s="77"/>
      <c r="AH2880" s="497">
        <v>48.92</v>
      </c>
      <c r="AJ2880" s="42"/>
      <c r="AK2880" s="74"/>
      <c r="AL2880" s="77"/>
      <c r="AN2880" s="497">
        <v>46.94</v>
      </c>
      <c r="AP2880" s="42"/>
      <c r="AQ2880" s="74"/>
      <c r="AR2880" s="77"/>
      <c r="AT2880" s="497">
        <v>50</v>
      </c>
      <c r="AV2880" s="42"/>
      <c r="AW2880" s="74"/>
      <c r="AX2880" s="77"/>
      <c r="BA2880" s="497">
        <v>39.92</v>
      </c>
      <c r="BB2880" s="42"/>
      <c r="BC2880" s="74"/>
      <c r="BD2880" s="77"/>
      <c r="BF2880">
        <v>46.04</v>
      </c>
      <c r="BH2880" s="42"/>
      <c r="BI2880" s="74"/>
      <c r="BJ2880" s="77"/>
      <c r="BL2880" s="497">
        <v>41</v>
      </c>
      <c r="BN2880" s="42"/>
      <c r="BO2880" s="74"/>
      <c r="BP2880" s="77"/>
      <c r="BR2880" s="497">
        <v>51.980000000000004</v>
      </c>
      <c r="BT2880" s="42"/>
    </row>
    <row r="2881" spans="1:72" x14ac:dyDescent="0.25">
      <c r="A2881" s="90">
        <v>33358</v>
      </c>
      <c r="B2881" s="20">
        <v>0.29166666666666669</v>
      </c>
      <c r="D2881">
        <v>60.980000000000004</v>
      </c>
      <c r="E2881" t="str">
        <f t="shared" si="124"/>
        <v>WEEKDAY</v>
      </c>
      <c r="F2881" t="e">
        <f t="shared" si="125"/>
        <v>#N/A</v>
      </c>
      <c r="G2881" s="74">
        <v>32993</v>
      </c>
      <c r="H2881" s="77">
        <v>0.29166666666666669</v>
      </c>
      <c r="J2881">
        <v>51.08</v>
      </c>
      <c r="M2881" s="74">
        <v>33358</v>
      </c>
      <c r="N2881" s="77">
        <v>0.29166666666666669</v>
      </c>
      <c r="P2881">
        <v>50</v>
      </c>
      <c r="S2881" s="74">
        <v>33358</v>
      </c>
      <c r="T2881" s="77">
        <v>0.29166666666666669</v>
      </c>
      <c r="V2881">
        <v>51.08</v>
      </c>
      <c r="X2881" s="42"/>
      <c r="AB2881">
        <v>50.9</v>
      </c>
      <c r="AC2881">
        <v>50</v>
      </c>
      <c r="AE2881" s="74"/>
      <c r="AF2881" s="77"/>
      <c r="AH2881" s="497">
        <v>48.92</v>
      </c>
      <c r="AJ2881" s="42"/>
      <c r="AK2881" s="74"/>
      <c r="AL2881" s="77"/>
      <c r="AN2881" s="497">
        <v>48.019999999999996</v>
      </c>
      <c r="AP2881" s="42"/>
      <c r="AQ2881" s="74"/>
      <c r="AR2881" s="77"/>
      <c r="AT2881" s="497">
        <v>48.92</v>
      </c>
      <c r="AV2881" s="42"/>
      <c r="AW2881" s="74"/>
      <c r="AX2881" s="77"/>
      <c r="BA2881" s="497">
        <v>48.019999999999996</v>
      </c>
      <c r="BB2881" s="42"/>
      <c r="BC2881" s="74"/>
      <c r="BD2881" s="77"/>
      <c r="BF2881">
        <v>46.04</v>
      </c>
      <c r="BH2881" s="42"/>
      <c r="BI2881" s="74"/>
      <c r="BJ2881" s="77"/>
      <c r="BL2881" s="497">
        <v>42.980000000000004</v>
      </c>
      <c r="BN2881" s="42"/>
      <c r="BO2881" s="74"/>
      <c r="BP2881" s="77"/>
      <c r="BR2881" s="497">
        <v>53.96</v>
      </c>
      <c r="BT2881" s="42"/>
    </row>
    <row r="2882" spans="1:72" x14ac:dyDescent="0.25">
      <c r="A2882" s="90">
        <v>33358</v>
      </c>
      <c r="B2882" s="20">
        <v>0.33333333333333331</v>
      </c>
      <c r="D2882">
        <v>64.039999999999992</v>
      </c>
      <c r="E2882" t="str">
        <f t="shared" si="124"/>
        <v>WEEKDAY</v>
      </c>
      <c r="F2882" t="e">
        <f t="shared" si="125"/>
        <v>#N/A</v>
      </c>
      <c r="G2882" s="74">
        <v>32993</v>
      </c>
      <c r="H2882" s="77">
        <v>0.33333333333333331</v>
      </c>
      <c r="J2882">
        <v>51.980000000000004</v>
      </c>
      <c r="M2882" s="74">
        <v>33358</v>
      </c>
      <c r="N2882" s="77">
        <v>0.33333333333333331</v>
      </c>
      <c r="P2882">
        <v>50</v>
      </c>
      <c r="S2882" s="74">
        <v>33358</v>
      </c>
      <c r="T2882" s="77">
        <v>0.33333333333333331</v>
      </c>
      <c r="V2882">
        <v>51.980000000000004</v>
      </c>
      <c r="X2882" s="42"/>
      <c r="AB2882">
        <v>53</v>
      </c>
      <c r="AC2882">
        <v>51.980000000000004</v>
      </c>
      <c r="AE2882" s="74"/>
      <c r="AF2882" s="77"/>
      <c r="AH2882" s="497">
        <v>50</v>
      </c>
      <c r="AJ2882" s="42"/>
      <c r="AK2882" s="74"/>
      <c r="AL2882" s="77"/>
      <c r="AN2882" s="497">
        <v>48.92</v>
      </c>
      <c r="AP2882" s="42"/>
      <c r="AQ2882" s="74"/>
      <c r="AR2882" s="77"/>
      <c r="AT2882" s="497">
        <v>50</v>
      </c>
      <c r="AV2882" s="42"/>
      <c r="AW2882" s="74"/>
      <c r="AX2882" s="77"/>
      <c r="BA2882" s="497">
        <v>55.94</v>
      </c>
      <c r="BB2882" s="42"/>
      <c r="BC2882" s="74"/>
      <c r="BD2882" s="77"/>
      <c r="BF2882">
        <v>44.96</v>
      </c>
      <c r="BH2882" s="42"/>
      <c r="BI2882" s="74"/>
      <c r="BJ2882" s="77"/>
      <c r="BL2882" s="497">
        <v>42.980000000000004</v>
      </c>
      <c r="BN2882" s="42"/>
      <c r="BO2882" s="74"/>
      <c r="BP2882" s="77"/>
      <c r="BR2882" s="497">
        <v>57.92</v>
      </c>
      <c r="BT2882" s="42"/>
    </row>
    <row r="2883" spans="1:72" x14ac:dyDescent="0.25">
      <c r="A2883" s="90">
        <v>33358</v>
      </c>
      <c r="B2883" s="20">
        <v>0.375</v>
      </c>
      <c r="D2883">
        <v>66.92</v>
      </c>
      <c r="E2883" t="str">
        <f t="shared" si="124"/>
        <v>WEEKDAY</v>
      </c>
      <c r="F2883" t="e">
        <f t="shared" si="125"/>
        <v>#N/A</v>
      </c>
      <c r="G2883" s="74">
        <v>32993</v>
      </c>
      <c r="H2883" s="77">
        <v>0.375</v>
      </c>
      <c r="J2883">
        <v>53.06</v>
      </c>
      <c r="M2883" s="74">
        <v>33358</v>
      </c>
      <c r="N2883" s="77">
        <v>0.375</v>
      </c>
      <c r="P2883">
        <v>51.08</v>
      </c>
      <c r="S2883" s="74">
        <v>33358</v>
      </c>
      <c r="T2883" s="77">
        <v>0.375</v>
      </c>
      <c r="V2883">
        <v>53.06</v>
      </c>
      <c r="X2883" s="42"/>
      <c r="AB2883">
        <v>55</v>
      </c>
      <c r="AC2883">
        <v>53.06</v>
      </c>
      <c r="AE2883" s="74"/>
      <c r="AF2883" s="77"/>
      <c r="AH2883" s="497">
        <v>50</v>
      </c>
      <c r="AJ2883" s="42"/>
      <c r="AK2883" s="74"/>
      <c r="AL2883" s="77"/>
      <c r="AN2883" s="497">
        <v>50</v>
      </c>
      <c r="AP2883" s="42"/>
      <c r="AQ2883" s="74"/>
      <c r="AR2883" s="77"/>
      <c r="AT2883" s="497">
        <v>51.980000000000004</v>
      </c>
      <c r="AV2883" s="42"/>
      <c r="AW2883" s="74"/>
      <c r="AX2883" s="77"/>
      <c r="BA2883" s="497">
        <v>62.06</v>
      </c>
      <c r="BB2883" s="42"/>
      <c r="BC2883" s="74"/>
      <c r="BD2883" s="77"/>
      <c r="BF2883">
        <v>44.96</v>
      </c>
      <c r="BH2883" s="42"/>
      <c r="BI2883" s="74"/>
      <c r="BJ2883" s="77"/>
      <c r="BL2883" s="497">
        <v>42.980000000000004</v>
      </c>
      <c r="BN2883" s="42"/>
      <c r="BO2883" s="74"/>
      <c r="BP2883" s="77"/>
      <c r="BR2883" s="497">
        <v>62.06</v>
      </c>
      <c r="BT2883" s="42"/>
    </row>
    <row r="2884" spans="1:72" x14ac:dyDescent="0.25">
      <c r="A2884" s="90">
        <v>33358</v>
      </c>
      <c r="B2884" s="20">
        <v>0.41666666666666669</v>
      </c>
      <c r="D2884">
        <v>68</v>
      </c>
      <c r="E2884" t="str">
        <f t="shared" si="124"/>
        <v>WEEKDAY</v>
      </c>
      <c r="F2884" t="e">
        <f t="shared" si="125"/>
        <v>#N/A</v>
      </c>
      <c r="G2884" s="74">
        <v>32993</v>
      </c>
      <c r="H2884" s="77">
        <v>0.41666666666666669</v>
      </c>
      <c r="J2884">
        <v>53.06</v>
      </c>
      <c r="M2884" s="74">
        <v>33358</v>
      </c>
      <c r="N2884" s="77">
        <v>0.41666666666666669</v>
      </c>
      <c r="P2884">
        <v>51.08</v>
      </c>
      <c r="S2884" s="74">
        <v>33358</v>
      </c>
      <c r="T2884" s="77">
        <v>0.41666666666666669</v>
      </c>
      <c r="V2884">
        <v>55.040000000000006</v>
      </c>
      <c r="X2884" s="42"/>
      <c r="AB2884">
        <v>56.8</v>
      </c>
      <c r="AC2884">
        <v>55.040000000000006</v>
      </c>
      <c r="AE2884" s="74"/>
      <c r="AF2884" s="77"/>
      <c r="AH2884" s="497">
        <v>51.980000000000004</v>
      </c>
      <c r="AJ2884" s="42"/>
      <c r="AK2884" s="74"/>
      <c r="AL2884" s="77"/>
      <c r="AN2884" s="497">
        <v>53.06</v>
      </c>
      <c r="AP2884" s="42"/>
      <c r="AQ2884" s="74"/>
      <c r="AR2884" s="77"/>
      <c r="AT2884" s="497">
        <v>53.96</v>
      </c>
      <c r="AV2884" s="42"/>
      <c r="AW2884" s="74"/>
      <c r="AX2884" s="77"/>
      <c r="BA2884" s="497">
        <v>66.02</v>
      </c>
      <c r="BB2884" s="42"/>
      <c r="BC2884" s="74"/>
      <c r="BD2884" s="77"/>
      <c r="BF2884">
        <v>46.94</v>
      </c>
      <c r="BH2884" s="42"/>
      <c r="BI2884" s="74"/>
      <c r="BJ2884" s="77"/>
      <c r="BL2884" s="497">
        <v>44.06</v>
      </c>
      <c r="BN2884" s="42"/>
      <c r="BO2884" s="74"/>
      <c r="BP2884" s="77"/>
      <c r="BR2884" s="497">
        <v>66.02</v>
      </c>
      <c r="BT2884" s="42"/>
    </row>
    <row r="2885" spans="1:72" x14ac:dyDescent="0.25">
      <c r="A2885" s="90">
        <v>33358</v>
      </c>
      <c r="B2885" s="20">
        <v>0.45833333333333331</v>
      </c>
      <c r="D2885">
        <v>71.06</v>
      </c>
      <c r="E2885" t="str">
        <f t="shared" si="124"/>
        <v>WEEKDAY</v>
      </c>
      <c r="F2885" t="e">
        <f t="shared" si="125"/>
        <v>#N/A</v>
      </c>
      <c r="G2885" s="74">
        <v>32993</v>
      </c>
      <c r="H2885" s="77">
        <v>0.45833333333333331</v>
      </c>
      <c r="J2885">
        <v>53.06</v>
      </c>
      <c r="M2885" s="74">
        <v>33358</v>
      </c>
      <c r="N2885" s="77">
        <v>0.45833333333333331</v>
      </c>
      <c r="P2885">
        <v>53.06</v>
      </c>
      <c r="S2885" s="74">
        <v>33358</v>
      </c>
      <c r="T2885" s="77">
        <v>0.45833333333333331</v>
      </c>
      <c r="V2885">
        <v>55.94</v>
      </c>
      <c r="X2885" s="42"/>
      <c r="AB2885">
        <v>58.4</v>
      </c>
      <c r="AC2885">
        <v>55.94</v>
      </c>
      <c r="AE2885" s="74"/>
      <c r="AF2885" s="77"/>
      <c r="AH2885" s="497">
        <v>51.980000000000004</v>
      </c>
      <c r="AJ2885" s="42"/>
      <c r="AK2885" s="74"/>
      <c r="AL2885" s="77"/>
      <c r="AN2885" s="497">
        <v>53.96</v>
      </c>
      <c r="AP2885" s="42"/>
      <c r="AQ2885" s="74"/>
      <c r="AR2885" s="77"/>
      <c r="AT2885" s="497">
        <v>55.94</v>
      </c>
      <c r="AV2885" s="42"/>
      <c r="AW2885" s="74"/>
      <c r="AX2885" s="77"/>
      <c r="BA2885" s="497">
        <v>69.98</v>
      </c>
      <c r="BB2885" s="42"/>
      <c r="BC2885" s="74"/>
      <c r="BD2885" s="77"/>
      <c r="BF2885">
        <v>51.08</v>
      </c>
      <c r="BH2885" s="42"/>
      <c r="BI2885" s="74"/>
      <c r="BJ2885" s="77"/>
      <c r="BL2885" s="497">
        <v>48.92</v>
      </c>
      <c r="BN2885" s="42"/>
      <c r="BO2885" s="74"/>
      <c r="BP2885" s="77"/>
      <c r="BR2885" s="497">
        <v>69.98</v>
      </c>
      <c r="BT2885" s="42"/>
    </row>
    <row r="2886" spans="1:72" x14ac:dyDescent="0.25">
      <c r="A2886" s="90">
        <v>33358</v>
      </c>
      <c r="B2886" s="20">
        <v>0.5</v>
      </c>
      <c r="D2886">
        <v>71.960000000000008</v>
      </c>
      <c r="E2886" t="str">
        <f t="shared" si="124"/>
        <v>WEEKDAY</v>
      </c>
      <c r="F2886" t="e">
        <f t="shared" si="125"/>
        <v>#N/A</v>
      </c>
      <c r="G2886" s="74">
        <v>32993</v>
      </c>
      <c r="H2886" s="77">
        <v>0.5</v>
      </c>
      <c r="J2886">
        <v>53.06</v>
      </c>
      <c r="M2886" s="74">
        <v>33358</v>
      </c>
      <c r="N2886" s="77">
        <v>0.5</v>
      </c>
      <c r="P2886">
        <v>53.06</v>
      </c>
      <c r="S2886" s="74">
        <v>33358</v>
      </c>
      <c r="T2886" s="77">
        <v>0.5</v>
      </c>
      <c r="V2886">
        <v>57.019999999999996</v>
      </c>
      <c r="X2886" s="42"/>
      <c r="AB2886">
        <v>59.7</v>
      </c>
      <c r="AC2886">
        <v>55.94</v>
      </c>
      <c r="AE2886" s="74"/>
      <c r="AF2886" s="77"/>
      <c r="AH2886" s="497">
        <v>53.06</v>
      </c>
      <c r="AJ2886" s="42"/>
      <c r="AK2886" s="74"/>
      <c r="AL2886" s="77"/>
      <c r="AN2886" s="497">
        <v>55.94</v>
      </c>
      <c r="AP2886" s="42"/>
      <c r="AQ2886" s="74"/>
      <c r="AR2886" s="77"/>
      <c r="AT2886" s="497">
        <v>60.08</v>
      </c>
      <c r="AV2886" s="42"/>
      <c r="AW2886" s="74"/>
      <c r="AX2886" s="77"/>
      <c r="BA2886" s="497">
        <v>73.039999999999992</v>
      </c>
      <c r="BB2886" s="42"/>
      <c r="BC2886" s="74"/>
      <c r="BD2886" s="77"/>
      <c r="BF2886">
        <v>53.06</v>
      </c>
      <c r="BH2886" s="42"/>
      <c r="BI2886" s="74"/>
      <c r="BJ2886" s="77"/>
      <c r="BL2886" s="497">
        <v>53.96</v>
      </c>
      <c r="BN2886" s="42"/>
      <c r="BO2886" s="74"/>
      <c r="BP2886" s="77"/>
      <c r="BR2886" s="497">
        <v>71.960000000000008</v>
      </c>
      <c r="BT2886" s="42"/>
    </row>
    <row r="2887" spans="1:72" x14ac:dyDescent="0.25">
      <c r="A2887" s="90">
        <v>33358</v>
      </c>
      <c r="B2887" s="20">
        <v>0.54166666666666663</v>
      </c>
      <c r="D2887">
        <v>78.080000000000013</v>
      </c>
      <c r="E2887" t="str">
        <f t="shared" si="124"/>
        <v>WEEKDAY</v>
      </c>
      <c r="F2887" t="e">
        <f t="shared" si="125"/>
        <v>#N/A</v>
      </c>
      <c r="G2887" s="74">
        <v>32993</v>
      </c>
      <c r="H2887" s="77">
        <v>0.54166666666666663</v>
      </c>
      <c r="J2887">
        <v>53.06</v>
      </c>
      <c r="M2887" s="74">
        <v>33358</v>
      </c>
      <c r="N2887" s="77">
        <v>0.54166666666666663</v>
      </c>
      <c r="P2887">
        <v>53.96</v>
      </c>
      <c r="S2887" s="74">
        <v>33358</v>
      </c>
      <c r="T2887" s="77">
        <v>0.54166666666666663</v>
      </c>
      <c r="V2887">
        <v>57.019999999999996</v>
      </c>
      <c r="X2887" s="42"/>
      <c r="AB2887">
        <v>60.4</v>
      </c>
      <c r="AC2887">
        <v>57.019999999999996</v>
      </c>
      <c r="AE2887" s="74"/>
      <c r="AF2887" s="77"/>
      <c r="AH2887" s="497">
        <v>55.040000000000006</v>
      </c>
      <c r="AJ2887" s="42"/>
      <c r="AK2887" s="74"/>
      <c r="AL2887" s="77"/>
      <c r="AN2887" s="497">
        <v>60.08</v>
      </c>
      <c r="AP2887" s="42"/>
      <c r="AQ2887" s="74"/>
      <c r="AR2887" s="77"/>
      <c r="AT2887" s="497">
        <v>60.980000000000004</v>
      </c>
      <c r="AV2887" s="42"/>
      <c r="AW2887" s="74"/>
      <c r="AX2887" s="77"/>
      <c r="BA2887" s="497">
        <v>75.02</v>
      </c>
      <c r="BB2887" s="42"/>
      <c r="BC2887" s="74"/>
      <c r="BD2887" s="77"/>
      <c r="BF2887">
        <v>55.040000000000006</v>
      </c>
      <c r="BH2887" s="42"/>
      <c r="BI2887" s="74"/>
      <c r="BJ2887" s="77"/>
      <c r="BL2887" s="497">
        <v>51.980000000000004</v>
      </c>
      <c r="BN2887" s="42"/>
      <c r="BO2887" s="74"/>
      <c r="BP2887" s="77"/>
      <c r="BR2887" s="497">
        <v>73.039999999999992</v>
      </c>
      <c r="BT2887" s="42"/>
    </row>
    <row r="2888" spans="1:72" x14ac:dyDescent="0.25">
      <c r="A2888" s="90">
        <v>33358</v>
      </c>
      <c r="B2888" s="20">
        <v>0.58333333333333337</v>
      </c>
      <c r="D2888">
        <v>78.98</v>
      </c>
      <c r="E2888" t="str">
        <f t="shared" si="124"/>
        <v>WEEKDAY</v>
      </c>
      <c r="F2888" t="e">
        <f t="shared" si="125"/>
        <v>#N/A</v>
      </c>
      <c r="G2888" s="74">
        <v>32993</v>
      </c>
      <c r="H2888" s="77">
        <v>0.58333333333333337</v>
      </c>
      <c r="J2888">
        <v>53.06</v>
      </c>
      <c r="M2888" s="74">
        <v>33358</v>
      </c>
      <c r="N2888" s="77">
        <v>0.58333333333333337</v>
      </c>
      <c r="P2888">
        <v>53.96</v>
      </c>
      <c r="S2888" s="74">
        <v>33358</v>
      </c>
      <c r="T2888" s="77">
        <v>0.58333333333333337</v>
      </c>
      <c r="V2888">
        <v>57.92</v>
      </c>
      <c r="X2888" s="42"/>
      <c r="AB2888">
        <v>60.9</v>
      </c>
      <c r="AC2888">
        <v>57.92</v>
      </c>
      <c r="AE2888" s="74"/>
      <c r="AF2888" s="77"/>
      <c r="AH2888" s="497">
        <v>55.94</v>
      </c>
      <c r="AJ2888" s="42"/>
      <c r="AK2888" s="74"/>
      <c r="AL2888" s="77"/>
      <c r="AN2888" s="497">
        <v>62.06</v>
      </c>
      <c r="AP2888" s="42"/>
      <c r="AQ2888" s="74"/>
      <c r="AR2888" s="77"/>
      <c r="AT2888" s="497">
        <v>62.06</v>
      </c>
      <c r="AV2888" s="42"/>
      <c r="AW2888" s="74"/>
      <c r="AX2888" s="77"/>
      <c r="BA2888" s="497">
        <v>75.92</v>
      </c>
      <c r="BB2888" s="42"/>
      <c r="BC2888" s="74"/>
      <c r="BD2888" s="77"/>
      <c r="BF2888">
        <v>55.94</v>
      </c>
      <c r="BH2888" s="42"/>
      <c r="BI2888" s="74"/>
      <c r="BJ2888" s="77"/>
      <c r="BL2888" s="497">
        <v>55.040000000000006</v>
      </c>
      <c r="BN2888" s="42"/>
      <c r="BO2888" s="74"/>
      <c r="BP2888" s="77"/>
      <c r="BR2888" s="497">
        <v>73.039999999999992</v>
      </c>
      <c r="BT2888" s="42"/>
    </row>
    <row r="2889" spans="1:72" x14ac:dyDescent="0.25">
      <c r="A2889" s="90">
        <v>33358</v>
      </c>
      <c r="B2889" s="20">
        <v>0.625</v>
      </c>
      <c r="D2889">
        <v>77</v>
      </c>
      <c r="E2889" t="str">
        <f t="shared" si="124"/>
        <v>WEEKDAY</v>
      </c>
      <c r="F2889" t="e">
        <f t="shared" si="125"/>
        <v>#N/A</v>
      </c>
      <c r="G2889" s="74">
        <v>32993</v>
      </c>
      <c r="H2889" s="77">
        <v>0.625</v>
      </c>
      <c r="J2889">
        <v>53.06</v>
      </c>
      <c r="M2889" s="74">
        <v>33358</v>
      </c>
      <c r="N2889" s="77">
        <v>0.625</v>
      </c>
      <c r="P2889">
        <v>55.94</v>
      </c>
      <c r="S2889" s="74">
        <v>33358</v>
      </c>
      <c r="T2889" s="77">
        <v>0.625</v>
      </c>
      <c r="V2889">
        <v>60.08</v>
      </c>
      <c r="X2889" s="42"/>
      <c r="AB2889">
        <v>60.9</v>
      </c>
      <c r="AC2889">
        <v>55.94</v>
      </c>
      <c r="AE2889" s="74"/>
      <c r="AF2889" s="77"/>
      <c r="AH2889" s="497">
        <v>57.92</v>
      </c>
      <c r="AJ2889" s="42"/>
      <c r="AK2889" s="74"/>
      <c r="AL2889" s="77"/>
      <c r="AN2889" s="497">
        <v>64.039999999999992</v>
      </c>
      <c r="AP2889" s="42"/>
      <c r="AQ2889" s="74"/>
      <c r="AR2889" s="77"/>
      <c r="AT2889" s="497">
        <v>64.039999999999992</v>
      </c>
      <c r="AV2889" s="42"/>
      <c r="AW2889" s="74"/>
      <c r="AX2889" s="77"/>
      <c r="BA2889" s="497">
        <v>78.080000000000013</v>
      </c>
      <c r="BB2889" s="42"/>
      <c r="BC2889" s="74"/>
      <c r="BD2889" s="77"/>
      <c r="BF2889">
        <v>59</v>
      </c>
      <c r="BH2889" s="42"/>
      <c r="BI2889" s="74"/>
      <c r="BJ2889" s="77"/>
      <c r="BL2889" s="497">
        <v>53.06</v>
      </c>
      <c r="BN2889" s="42"/>
      <c r="BO2889" s="74"/>
      <c r="BP2889" s="77"/>
      <c r="BR2889" s="497">
        <v>73.94</v>
      </c>
      <c r="BT2889" s="42"/>
    </row>
    <row r="2890" spans="1:72" x14ac:dyDescent="0.25">
      <c r="A2890" s="90">
        <v>33358</v>
      </c>
      <c r="B2890" s="20">
        <v>0.66666666666666663</v>
      </c>
      <c r="D2890">
        <v>75.02</v>
      </c>
      <c r="E2890" t="str">
        <f t="shared" si="124"/>
        <v>WEEKDAY</v>
      </c>
      <c r="F2890" t="e">
        <f t="shared" si="125"/>
        <v>#N/A</v>
      </c>
      <c r="G2890" s="74">
        <v>32993</v>
      </c>
      <c r="H2890" s="77">
        <v>0.66666666666666663</v>
      </c>
      <c r="J2890">
        <v>53.06</v>
      </c>
      <c r="M2890" s="74">
        <v>33358</v>
      </c>
      <c r="N2890" s="77">
        <v>0.66666666666666663</v>
      </c>
      <c r="P2890">
        <v>57.019999999999996</v>
      </c>
      <c r="S2890" s="74">
        <v>33358</v>
      </c>
      <c r="T2890" s="77">
        <v>0.66666666666666663</v>
      </c>
      <c r="V2890">
        <v>60.08</v>
      </c>
      <c r="X2890" s="42"/>
      <c r="AB2890">
        <v>60.5</v>
      </c>
      <c r="AC2890">
        <v>55.94</v>
      </c>
      <c r="AE2890" s="74"/>
      <c r="AF2890" s="77"/>
      <c r="AH2890" s="497">
        <v>59</v>
      </c>
      <c r="AJ2890" s="42"/>
      <c r="AK2890" s="74"/>
      <c r="AL2890" s="77"/>
      <c r="AN2890" s="497">
        <v>64.039999999999992</v>
      </c>
      <c r="AP2890" s="42"/>
      <c r="AQ2890" s="74"/>
      <c r="AR2890" s="77"/>
      <c r="AT2890" s="497">
        <v>64.039999999999992</v>
      </c>
      <c r="AV2890" s="42"/>
      <c r="AW2890" s="74"/>
      <c r="AX2890" s="77"/>
      <c r="BA2890" s="497">
        <v>78.080000000000013</v>
      </c>
      <c r="BB2890" s="42"/>
      <c r="BC2890" s="74"/>
      <c r="BD2890" s="77"/>
      <c r="BF2890">
        <v>59</v>
      </c>
      <c r="BH2890" s="42"/>
      <c r="BI2890" s="74"/>
      <c r="BJ2890" s="77"/>
      <c r="BL2890" s="497">
        <v>53.06</v>
      </c>
      <c r="BN2890" s="42"/>
      <c r="BO2890" s="74"/>
      <c r="BP2890" s="77"/>
      <c r="BR2890" s="497">
        <v>75.02</v>
      </c>
      <c r="BT2890" s="42"/>
    </row>
    <row r="2891" spans="1:72" x14ac:dyDescent="0.25">
      <c r="A2891" s="90">
        <v>33358</v>
      </c>
      <c r="B2891" s="20">
        <v>0.70833333333333337</v>
      </c>
      <c r="D2891">
        <v>71.06</v>
      </c>
      <c r="E2891" t="str">
        <f t="shared" si="124"/>
        <v>WEEKDAY</v>
      </c>
      <c r="F2891" t="e">
        <f t="shared" si="125"/>
        <v>#N/A</v>
      </c>
      <c r="G2891" s="74">
        <v>32993</v>
      </c>
      <c r="H2891" s="77">
        <v>0.70833333333333337</v>
      </c>
      <c r="J2891">
        <v>51.980000000000004</v>
      </c>
      <c r="M2891" s="74">
        <v>33358</v>
      </c>
      <c r="N2891" s="77">
        <v>0.70833333333333337</v>
      </c>
      <c r="P2891">
        <v>57.92</v>
      </c>
      <c r="S2891" s="74">
        <v>33358</v>
      </c>
      <c r="T2891" s="77">
        <v>0.70833333333333337</v>
      </c>
      <c r="V2891">
        <v>60.08</v>
      </c>
      <c r="X2891" s="42"/>
      <c r="AB2891">
        <v>59.5</v>
      </c>
      <c r="AC2891">
        <v>57.019999999999996</v>
      </c>
      <c r="AE2891" s="74"/>
      <c r="AF2891" s="77"/>
      <c r="AH2891" s="497">
        <v>60.980000000000004</v>
      </c>
      <c r="AJ2891" s="42"/>
      <c r="AK2891" s="74"/>
      <c r="AL2891" s="77"/>
      <c r="AN2891" s="497">
        <v>64.039999999999992</v>
      </c>
      <c r="AP2891" s="42"/>
      <c r="AQ2891" s="74"/>
      <c r="AR2891" s="77"/>
      <c r="AT2891" s="497">
        <v>64.94</v>
      </c>
      <c r="AV2891" s="42"/>
      <c r="AW2891" s="74"/>
      <c r="AX2891" s="77"/>
      <c r="BA2891" s="497">
        <v>77</v>
      </c>
      <c r="BB2891" s="42"/>
      <c r="BC2891" s="74"/>
      <c r="BD2891" s="77"/>
      <c r="BF2891">
        <v>59</v>
      </c>
      <c r="BH2891" s="42"/>
      <c r="BI2891" s="74"/>
      <c r="BJ2891" s="77"/>
      <c r="BL2891" s="497">
        <v>48.019999999999996</v>
      </c>
      <c r="BN2891" s="42"/>
      <c r="BO2891" s="74"/>
      <c r="BP2891" s="77"/>
      <c r="BR2891" s="497">
        <v>73.039999999999992</v>
      </c>
      <c r="BT2891" s="42"/>
    </row>
    <row r="2892" spans="1:72" x14ac:dyDescent="0.25">
      <c r="A2892" s="90">
        <v>33358</v>
      </c>
      <c r="B2892" s="20">
        <v>0.75</v>
      </c>
      <c r="D2892">
        <v>69.080000000000013</v>
      </c>
      <c r="E2892" t="str">
        <f t="shared" si="124"/>
        <v>WEEKDAY</v>
      </c>
      <c r="F2892" t="e">
        <f t="shared" si="125"/>
        <v>#N/A</v>
      </c>
      <c r="G2892" s="74">
        <v>32993</v>
      </c>
      <c r="H2892" s="77">
        <v>0.75</v>
      </c>
      <c r="J2892">
        <v>53.06</v>
      </c>
      <c r="M2892" s="74">
        <v>33358</v>
      </c>
      <c r="N2892" s="77">
        <v>0.75</v>
      </c>
      <c r="P2892">
        <v>57.92</v>
      </c>
      <c r="S2892" s="74">
        <v>33358</v>
      </c>
      <c r="T2892" s="77">
        <v>0.75</v>
      </c>
      <c r="V2892">
        <v>60.08</v>
      </c>
      <c r="X2892" s="42"/>
      <c r="AB2892">
        <v>58.4</v>
      </c>
      <c r="AC2892">
        <v>53.96</v>
      </c>
      <c r="AE2892" s="74"/>
      <c r="AF2892" s="77"/>
      <c r="AH2892" s="497">
        <v>59</v>
      </c>
      <c r="AJ2892" s="42"/>
      <c r="AK2892" s="74"/>
      <c r="AL2892" s="77"/>
      <c r="AN2892" s="497">
        <v>64.039999999999992</v>
      </c>
      <c r="AP2892" s="42"/>
      <c r="AQ2892" s="74"/>
      <c r="AR2892" s="77"/>
      <c r="AT2892" s="497">
        <v>62.96</v>
      </c>
      <c r="AV2892" s="42"/>
      <c r="AW2892" s="74"/>
      <c r="AX2892" s="77"/>
      <c r="BA2892" s="497">
        <v>71.960000000000008</v>
      </c>
      <c r="BB2892" s="42"/>
      <c r="BC2892" s="74"/>
      <c r="BD2892" s="77"/>
      <c r="BF2892">
        <v>57.019999999999996</v>
      </c>
      <c r="BH2892" s="42"/>
      <c r="BI2892" s="74"/>
      <c r="BJ2892" s="77"/>
      <c r="BL2892" s="497">
        <v>50</v>
      </c>
      <c r="BN2892" s="42"/>
      <c r="BO2892" s="74"/>
      <c r="BP2892" s="77"/>
      <c r="BR2892" s="497">
        <v>69.98</v>
      </c>
      <c r="BT2892" s="42"/>
    </row>
    <row r="2893" spans="1:72" x14ac:dyDescent="0.25">
      <c r="A2893" s="90">
        <v>33358</v>
      </c>
      <c r="B2893" s="20">
        <v>0.79166666666666663</v>
      </c>
      <c r="D2893">
        <v>66.92</v>
      </c>
      <c r="E2893" t="str">
        <f t="shared" si="124"/>
        <v>WEEKDAY</v>
      </c>
      <c r="F2893" t="e">
        <f t="shared" si="125"/>
        <v>#N/A</v>
      </c>
      <c r="G2893" s="74">
        <v>32993</v>
      </c>
      <c r="H2893" s="77">
        <v>0.79166666666666663</v>
      </c>
      <c r="J2893">
        <v>53.06</v>
      </c>
      <c r="M2893" s="74">
        <v>33358</v>
      </c>
      <c r="N2893" s="77">
        <v>0.79166666666666663</v>
      </c>
      <c r="P2893">
        <v>57.92</v>
      </c>
      <c r="S2893" s="74">
        <v>33358</v>
      </c>
      <c r="T2893" s="77">
        <v>0.79166666666666663</v>
      </c>
      <c r="V2893">
        <v>59</v>
      </c>
      <c r="X2893" s="42"/>
      <c r="AB2893">
        <v>57</v>
      </c>
      <c r="AC2893">
        <v>53.96</v>
      </c>
      <c r="AE2893" s="74"/>
      <c r="AF2893" s="77"/>
      <c r="AH2893" s="497">
        <v>59</v>
      </c>
      <c r="AJ2893" s="42"/>
      <c r="AK2893" s="74"/>
      <c r="AL2893" s="77"/>
      <c r="AN2893" s="497">
        <v>59</v>
      </c>
      <c r="AP2893" s="42"/>
      <c r="AQ2893" s="74"/>
      <c r="AR2893" s="77"/>
      <c r="AT2893" s="497">
        <v>60.980000000000004</v>
      </c>
      <c r="AV2893" s="42"/>
      <c r="AW2893" s="74"/>
      <c r="AX2893" s="77"/>
      <c r="BA2893" s="497">
        <v>66.92</v>
      </c>
      <c r="BB2893" s="42"/>
      <c r="BC2893" s="74"/>
      <c r="BD2893" s="77"/>
      <c r="BF2893">
        <v>55.94</v>
      </c>
      <c r="BH2893" s="42"/>
      <c r="BI2893" s="74"/>
      <c r="BJ2893" s="77"/>
      <c r="BL2893" s="497">
        <v>48.019999999999996</v>
      </c>
      <c r="BN2893" s="42"/>
      <c r="BO2893" s="74"/>
      <c r="BP2893" s="77"/>
      <c r="BR2893" s="497">
        <v>66.92</v>
      </c>
      <c r="BT2893" s="42"/>
    </row>
    <row r="2894" spans="1:72" x14ac:dyDescent="0.25">
      <c r="A2894" s="90">
        <v>33358</v>
      </c>
      <c r="B2894" s="20">
        <v>0.83333333333333337</v>
      </c>
      <c r="D2894">
        <v>64.94</v>
      </c>
      <c r="E2894" t="str">
        <f t="shared" si="124"/>
        <v>WEEKDAY</v>
      </c>
      <c r="F2894" t="e">
        <f t="shared" si="125"/>
        <v>#N/A</v>
      </c>
      <c r="G2894" s="74">
        <v>32993</v>
      </c>
      <c r="H2894" s="77">
        <v>0.83333333333333337</v>
      </c>
      <c r="J2894">
        <v>53.96</v>
      </c>
      <c r="M2894" s="74">
        <v>33358</v>
      </c>
      <c r="N2894" s="77">
        <v>0.83333333333333337</v>
      </c>
      <c r="P2894">
        <v>57.019999999999996</v>
      </c>
      <c r="S2894" s="74">
        <v>33358</v>
      </c>
      <c r="T2894" s="77">
        <v>0.83333333333333337</v>
      </c>
      <c r="V2894">
        <v>57.019999999999996</v>
      </c>
      <c r="X2894" s="42"/>
      <c r="AB2894">
        <v>55.5</v>
      </c>
      <c r="AC2894">
        <v>53.96</v>
      </c>
      <c r="AE2894" s="74"/>
      <c r="AF2894" s="77"/>
      <c r="AH2894" s="497">
        <v>57.019999999999996</v>
      </c>
      <c r="AJ2894" s="42"/>
      <c r="AK2894" s="74"/>
      <c r="AL2894" s="77"/>
      <c r="AN2894" s="497">
        <v>55.94</v>
      </c>
      <c r="AP2894" s="42"/>
      <c r="AQ2894" s="74"/>
      <c r="AR2894" s="77"/>
      <c r="AT2894" s="497">
        <v>60.08</v>
      </c>
      <c r="AV2894" s="42"/>
      <c r="AW2894" s="74"/>
      <c r="AX2894" s="77"/>
      <c r="BA2894" s="497">
        <v>64.94</v>
      </c>
      <c r="BB2894" s="42"/>
      <c r="BC2894" s="74"/>
      <c r="BD2894" s="77"/>
      <c r="BF2894">
        <v>51.08</v>
      </c>
      <c r="BH2894" s="42"/>
      <c r="BI2894" s="74"/>
      <c r="BJ2894" s="77"/>
      <c r="BL2894" s="497">
        <v>44.96</v>
      </c>
      <c r="BN2894" s="42"/>
      <c r="BO2894" s="74"/>
      <c r="BP2894" s="77"/>
      <c r="BR2894" s="497">
        <v>64.94</v>
      </c>
      <c r="BT2894" s="42"/>
    </row>
    <row r="2895" spans="1:72" x14ac:dyDescent="0.25">
      <c r="A2895" s="90">
        <v>33358</v>
      </c>
      <c r="B2895" s="20">
        <v>0.875</v>
      </c>
      <c r="D2895">
        <v>64.039999999999992</v>
      </c>
      <c r="E2895" t="str">
        <f t="shared" si="124"/>
        <v>WEEKDAY</v>
      </c>
      <c r="F2895" t="e">
        <f t="shared" si="125"/>
        <v>#N/A</v>
      </c>
      <c r="G2895" s="74">
        <v>32993</v>
      </c>
      <c r="H2895" s="77">
        <v>0.875</v>
      </c>
      <c r="J2895">
        <v>55.040000000000006</v>
      </c>
      <c r="M2895" s="74">
        <v>33358</v>
      </c>
      <c r="N2895" s="77">
        <v>0.875</v>
      </c>
      <c r="P2895">
        <v>55.040000000000006</v>
      </c>
      <c r="S2895" s="74">
        <v>33358</v>
      </c>
      <c r="T2895" s="77">
        <v>0.875</v>
      </c>
      <c r="V2895">
        <v>55.94</v>
      </c>
      <c r="X2895" s="42"/>
      <c r="AB2895">
        <v>54.5</v>
      </c>
      <c r="AC2895">
        <v>55.94</v>
      </c>
      <c r="AE2895" s="74"/>
      <c r="AF2895" s="77"/>
      <c r="AH2895" s="497">
        <v>57.019999999999996</v>
      </c>
      <c r="AJ2895" s="42"/>
      <c r="AK2895" s="74"/>
      <c r="AL2895" s="77"/>
      <c r="AN2895" s="497">
        <v>53.96</v>
      </c>
      <c r="AP2895" s="42"/>
      <c r="AQ2895" s="74"/>
      <c r="AR2895" s="77"/>
      <c r="AT2895" s="497">
        <v>59</v>
      </c>
      <c r="AV2895" s="42"/>
      <c r="AW2895" s="74"/>
      <c r="AX2895" s="77"/>
      <c r="BA2895" s="497">
        <v>60.980000000000004</v>
      </c>
      <c r="BB2895" s="42"/>
      <c r="BC2895" s="74"/>
      <c r="BD2895" s="77"/>
      <c r="BF2895">
        <v>48.019999999999996</v>
      </c>
      <c r="BH2895" s="42"/>
      <c r="BI2895" s="74"/>
      <c r="BJ2895" s="77"/>
      <c r="BL2895" s="497">
        <v>42.980000000000004</v>
      </c>
      <c r="BN2895" s="42"/>
      <c r="BO2895" s="74"/>
      <c r="BP2895" s="77"/>
      <c r="BR2895" s="497">
        <v>62.06</v>
      </c>
      <c r="BT2895" s="42"/>
    </row>
    <row r="2896" spans="1:72" x14ac:dyDescent="0.25">
      <c r="A2896" s="90">
        <v>33358</v>
      </c>
      <c r="B2896" s="20">
        <v>0.91666666666666663</v>
      </c>
      <c r="D2896">
        <v>63.5</v>
      </c>
      <c r="E2896" t="str">
        <f t="shared" si="124"/>
        <v>WEEKDAY</v>
      </c>
      <c r="F2896" t="e">
        <f t="shared" si="125"/>
        <v>#N/A</v>
      </c>
      <c r="G2896" s="74">
        <v>32993</v>
      </c>
      <c r="H2896" s="77">
        <v>0.91666666666666663</v>
      </c>
      <c r="J2896">
        <v>53.6</v>
      </c>
      <c r="M2896" s="74">
        <v>33358</v>
      </c>
      <c r="N2896" s="77">
        <v>0.91666666666666663</v>
      </c>
      <c r="P2896">
        <v>55.22</v>
      </c>
      <c r="S2896" s="74">
        <v>33358</v>
      </c>
      <c r="T2896" s="77">
        <v>0.91666666666666663</v>
      </c>
      <c r="V2896">
        <v>54.32</v>
      </c>
      <c r="X2896" s="42"/>
      <c r="AB2896">
        <v>53.9</v>
      </c>
      <c r="AC2896">
        <v>56.120000000000005</v>
      </c>
      <c r="AE2896" s="74"/>
      <c r="AF2896" s="77"/>
      <c r="AH2896" s="497">
        <v>53.42</v>
      </c>
      <c r="AJ2896" s="42"/>
      <c r="AK2896" s="74"/>
      <c r="AL2896" s="77"/>
      <c r="AN2896" s="497">
        <v>51.8</v>
      </c>
      <c r="AP2896" s="42"/>
      <c r="AQ2896" s="74"/>
      <c r="AR2896" s="77"/>
      <c r="AT2896" s="497">
        <v>59.36</v>
      </c>
      <c r="AV2896" s="42"/>
      <c r="AW2896" s="74"/>
      <c r="AX2896" s="77"/>
      <c r="BA2896" s="497">
        <v>59.72</v>
      </c>
      <c r="BB2896" s="42"/>
      <c r="BC2896" s="74"/>
      <c r="BD2896" s="77"/>
      <c r="BF2896">
        <v>46.76</v>
      </c>
      <c r="BH2896" s="42"/>
      <c r="BI2896" s="74"/>
      <c r="BJ2896" s="77"/>
      <c r="BL2896" s="497">
        <v>45.86</v>
      </c>
      <c r="BN2896" s="42"/>
      <c r="BO2896" s="74"/>
      <c r="BP2896" s="77"/>
      <c r="BR2896" s="497">
        <v>58.64</v>
      </c>
      <c r="BT2896" s="42"/>
    </row>
    <row r="2897" spans="1:72" x14ac:dyDescent="0.25">
      <c r="A2897" s="90">
        <v>33358</v>
      </c>
      <c r="B2897" s="20">
        <v>0.95833333333333337</v>
      </c>
      <c r="D2897">
        <v>62.96</v>
      </c>
      <c r="E2897" t="str">
        <f t="shared" si="124"/>
        <v>WEEKDAY</v>
      </c>
      <c r="F2897" t="e">
        <f t="shared" si="125"/>
        <v>#N/A</v>
      </c>
      <c r="G2897" s="74">
        <v>32993</v>
      </c>
      <c r="H2897" s="77">
        <v>0.95833333333333337</v>
      </c>
      <c r="J2897">
        <v>52.16</v>
      </c>
      <c r="M2897" s="74">
        <v>33358</v>
      </c>
      <c r="N2897" s="77">
        <v>0.95833333333333337</v>
      </c>
      <c r="P2897">
        <v>55.58</v>
      </c>
      <c r="S2897" s="74">
        <v>33358</v>
      </c>
      <c r="T2897" s="77">
        <v>0.95833333333333337</v>
      </c>
      <c r="V2897">
        <v>52.519999999999996</v>
      </c>
      <c r="X2897" s="42"/>
      <c r="AB2897">
        <v>53.3</v>
      </c>
      <c r="AC2897">
        <v>56.3</v>
      </c>
      <c r="AE2897" s="74"/>
      <c r="AF2897" s="77"/>
      <c r="AH2897" s="497">
        <v>49.82</v>
      </c>
      <c r="AJ2897" s="42"/>
      <c r="AK2897" s="74"/>
      <c r="AL2897" s="77"/>
      <c r="AN2897" s="497">
        <v>49.64</v>
      </c>
      <c r="AP2897" s="42"/>
      <c r="AQ2897" s="74"/>
      <c r="AR2897" s="77"/>
      <c r="AT2897" s="497">
        <v>59.900000000000006</v>
      </c>
      <c r="AV2897" s="42"/>
      <c r="AW2897" s="74"/>
      <c r="AX2897" s="77"/>
      <c r="BA2897" s="497">
        <v>58.46</v>
      </c>
      <c r="BB2897" s="42"/>
      <c r="BC2897" s="74"/>
      <c r="BD2897" s="77"/>
      <c r="BF2897">
        <v>45.5</v>
      </c>
      <c r="BH2897" s="42"/>
      <c r="BI2897" s="74"/>
      <c r="BJ2897" s="77"/>
      <c r="BL2897" s="497">
        <v>48.74</v>
      </c>
      <c r="BN2897" s="42"/>
      <c r="BO2897" s="74"/>
      <c r="BP2897" s="77"/>
      <c r="BR2897" s="497">
        <v>55.22</v>
      </c>
      <c r="BT2897" s="42"/>
    </row>
    <row r="2898" spans="1:72" x14ac:dyDescent="0.25">
      <c r="A2898" s="90">
        <v>33358</v>
      </c>
      <c r="B2898" s="20">
        <v>1</v>
      </c>
      <c r="D2898">
        <v>62.42</v>
      </c>
      <c r="E2898" t="str">
        <f t="shared" si="124"/>
        <v>WEEKDAY</v>
      </c>
      <c r="F2898" t="e">
        <f t="shared" si="125"/>
        <v>#N/A</v>
      </c>
      <c r="G2898" s="74">
        <v>32993</v>
      </c>
      <c r="H2898" s="77">
        <v>1</v>
      </c>
      <c r="J2898">
        <v>50.72</v>
      </c>
      <c r="M2898" s="74">
        <v>33358</v>
      </c>
      <c r="N2898" s="80">
        <v>1</v>
      </c>
      <c r="P2898">
        <v>55.76</v>
      </c>
      <c r="S2898" s="74">
        <v>33358</v>
      </c>
      <c r="T2898" s="80">
        <v>1</v>
      </c>
      <c r="V2898">
        <v>50.900000000000006</v>
      </c>
      <c r="X2898" s="42"/>
      <c r="AB2898">
        <v>52.9</v>
      </c>
      <c r="AC2898">
        <v>56.480000000000004</v>
      </c>
      <c r="AE2898" s="74"/>
      <c r="AF2898" s="80"/>
      <c r="AH2898" s="497">
        <v>46.22</v>
      </c>
      <c r="AJ2898" s="42"/>
      <c r="AK2898" s="74"/>
      <c r="AL2898" s="80"/>
      <c r="AN2898" s="497">
        <v>47.480000000000004</v>
      </c>
      <c r="AP2898" s="42"/>
      <c r="AQ2898" s="74"/>
      <c r="AR2898" s="80"/>
      <c r="AT2898" s="497">
        <v>60.26</v>
      </c>
      <c r="AV2898" s="42"/>
      <c r="AW2898" s="74"/>
      <c r="AX2898" s="80"/>
      <c r="BA2898" s="497">
        <v>57.2</v>
      </c>
      <c r="BB2898" s="42"/>
      <c r="BC2898" s="74"/>
      <c r="BD2898" s="80"/>
      <c r="BF2898">
        <v>44.24</v>
      </c>
      <c r="BH2898" s="42"/>
      <c r="BI2898" s="74"/>
      <c r="BJ2898" s="80"/>
      <c r="BL2898" s="497">
        <v>51.620000000000005</v>
      </c>
      <c r="BN2898" s="42"/>
      <c r="BO2898" s="74"/>
      <c r="BP2898" s="80"/>
      <c r="BR2898" s="497">
        <v>51.8</v>
      </c>
      <c r="BT2898" s="42"/>
    </row>
    <row r="2899" spans="1:72" x14ac:dyDescent="0.25">
      <c r="A2899" s="90">
        <v>36281</v>
      </c>
      <c r="B2899" s="20">
        <v>4.1666666666666664E-2</v>
      </c>
      <c r="D2899">
        <v>61.7</v>
      </c>
      <c r="E2899" t="str">
        <f t="shared" ref="E2899:E2962" si="126">IF(COUNTIF($DI$18:$DI$22, WEEKDAY(A2899))=1, "WEEKDAY", IF(WEEKDAY(A2899) = 1, "SUNDAY", "SATURDAY"))</f>
        <v>SATURDAY</v>
      </c>
      <c r="F2899" t="e">
        <f t="shared" si="125"/>
        <v>#N/A</v>
      </c>
      <c r="G2899" s="74">
        <v>31898</v>
      </c>
      <c r="H2899" s="77">
        <v>4.1666666666666664E-2</v>
      </c>
      <c r="J2899">
        <v>49.28</v>
      </c>
      <c r="M2899" s="74">
        <v>34455</v>
      </c>
      <c r="N2899" s="77">
        <v>4.1666666666666664E-2</v>
      </c>
      <c r="P2899">
        <v>56.120000000000005</v>
      </c>
      <c r="S2899" s="74">
        <v>36281</v>
      </c>
      <c r="T2899" s="77">
        <v>4.1666666666666664E-2</v>
      </c>
      <c r="V2899">
        <v>49.1</v>
      </c>
      <c r="X2899" s="42"/>
      <c r="AB2899">
        <v>52.4</v>
      </c>
      <c r="AC2899">
        <v>56.480000000000004</v>
      </c>
      <c r="AE2899" s="74"/>
      <c r="AF2899" s="77"/>
      <c r="AH2899" s="497">
        <v>42.8</v>
      </c>
      <c r="AJ2899" s="42"/>
      <c r="AK2899" s="74"/>
      <c r="AL2899" s="77"/>
      <c r="AN2899" s="497">
        <v>45.5</v>
      </c>
      <c r="AP2899" s="42"/>
      <c r="AQ2899" s="74"/>
      <c r="AR2899" s="77"/>
      <c r="AT2899" s="497">
        <v>60.8</v>
      </c>
      <c r="AV2899" s="42"/>
      <c r="AW2899" s="74"/>
      <c r="AX2899" s="77"/>
      <c r="BA2899" s="497">
        <v>55.76</v>
      </c>
      <c r="BB2899" s="42"/>
      <c r="BC2899" s="74"/>
      <c r="BD2899" s="77"/>
      <c r="BF2899">
        <v>42.8</v>
      </c>
      <c r="BH2899" s="42"/>
      <c r="BI2899" s="74"/>
      <c r="BJ2899" s="77"/>
      <c r="BL2899" s="497">
        <v>54.32</v>
      </c>
      <c r="BN2899" s="42"/>
      <c r="BO2899" s="74"/>
      <c r="BP2899" s="77"/>
      <c r="BR2899" s="497">
        <v>48.2</v>
      </c>
      <c r="BT2899" s="42"/>
    </row>
    <row r="2900" spans="1:72" x14ac:dyDescent="0.25">
      <c r="A2900" s="90">
        <v>36281</v>
      </c>
      <c r="B2900" s="20">
        <v>8.3333333333333329E-2</v>
      </c>
      <c r="D2900">
        <v>61.16</v>
      </c>
      <c r="E2900" t="str">
        <f t="shared" si="126"/>
        <v>SATURDAY</v>
      </c>
      <c r="F2900" t="e">
        <f t="shared" si="125"/>
        <v>#N/A</v>
      </c>
      <c r="G2900" s="74">
        <v>31898</v>
      </c>
      <c r="H2900" s="77">
        <v>8.3333333333333329E-2</v>
      </c>
      <c r="J2900">
        <v>47.84</v>
      </c>
      <c r="M2900" s="74">
        <v>34455</v>
      </c>
      <c r="N2900" s="77">
        <v>8.3333333333333329E-2</v>
      </c>
      <c r="P2900">
        <v>56.3</v>
      </c>
      <c r="S2900" s="74">
        <v>36281</v>
      </c>
      <c r="T2900" s="77">
        <v>8.3333333333333329E-2</v>
      </c>
      <c r="V2900">
        <v>47.480000000000004</v>
      </c>
      <c r="X2900" s="42"/>
      <c r="AB2900">
        <v>51.9</v>
      </c>
      <c r="AC2900">
        <v>56.66</v>
      </c>
      <c r="AE2900" s="74"/>
      <c r="AF2900" s="77"/>
      <c r="AH2900" s="497">
        <v>39.200000000000003</v>
      </c>
      <c r="AJ2900" s="42"/>
      <c r="AK2900" s="74"/>
      <c r="AL2900" s="77"/>
      <c r="AN2900" s="497">
        <v>43.34</v>
      </c>
      <c r="AP2900" s="42"/>
      <c r="AQ2900" s="74"/>
      <c r="AR2900" s="77"/>
      <c r="AT2900" s="497">
        <v>61.16</v>
      </c>
      <c r="AV2900" s="42"/>
      <c r="AW2900" s="74"/>
      <c r="AX2900" s="77"/>
      <c r="BA2900" s="497">
        <v>54.5</v>
      </c>
      <c r="BB2900" s="42"/>
      <c r="BC2900" s="74"/>
      <c r="BD2900" s="77"/>
      <c r="BF2900">
        <v>41.54</v>
      </c>
      <c r="BH2900" s="42"/>
      <c r="BI2900" s="74"/>
      <c r="BJ2900" s="77"/>
      <c r="BL2900" s="497">
        <v>57.2</v>
      </c>
      <c r="BN2900" s="42"/>
      <c r="BO2900" s="74"/>
      <c r="BP2900" s="77"/>
      <c r="BR2900" s="497">
        <v>44.78</v>
      </c>
      <c r="BT2900" s="42"/>
    </row>
    <row r="2901" spans="1:72" x14ac:dyDescent="0.25">
      <c r="A2901" s="90">
        <v>36281</v>
      </c>
      <c r="B2901" s="20">
        <v>0.125</v>
      </c>
      <c r="D2901">
        <v>60.620000000000005</v>
      </c>
      <c r="E2901" t="str">
        <f t="shared" si="126"/>
        <v>SATURDAY</v>
      </c>
      <c r="F2901" t="e">
        <f t="shared" si="125"/>
        <v>#N/A</v>
      </c>
      <c r="G2901" s="74">
        <v>31898</v>
      </c>
      <c r="H2901" s="77">
        <v>0.125</v>
      </c>
      <c r="J2901">
        <v>46.4</v>
      </c>
      <c r="M2901" s="74">
        <v>34455</v>
      </c>
      <c r="N2901" s="77">
        <v>0.125</v>
      </c>
      <c r="P2901">
        <v>56.66</v>
      </c>
      <c r="S2901" s="74">
        <v>36281</v>
      </c>
      <c r="T2901" s="77">
        <v>0.125</v>
      </c>
      <c r="V2901">
        <v>45.68</v>
      </c>
      <c r="X2901" s="42"/>
      <c r="AB2901">
        <v>51.6</v>
      </c>
      <c r="AC2901">
        <v>56.84</v>
      </c>
      <c r="AE2901" s="74"/>
      <c r="AF2901" s="77"/>
      <c r="AH2901" s="497">
        <v>35.6</v>
      </c>
      <c r="AJ2901" s="42"/>
      <c r="AK2901" s="74"/>
      <c r="AL2901" s="77"/>
      <c r="AN2901" s="497">
        <v>41.18</v>
      </c>
      <c r="AP2901" s="42"/>
      <c r="AQ2901" s="74"/>
      <c r="AR2901" s="77"/>
      <c r="AT2901" s="497">
        <v>61.7</v>
      </c>
      <c r="AV2901" s="42"/>
      <c r="AW2901" s="74"/>
      <c r="AX2901" s="77"/>
      <c r="BA2901" s="497">
        <v>53.24</v>
      </c>
      <c r="BB2901" s="42"/>
      <c r="BC2901" s="74"/>
      <c r="BD2901" s="77"/>
      <c r="BF2901">
        <v>40.28</v>
      </c>
      <c r="BH2901" s="42"/>
      <c r="BI2901" s="74"/>
      <c r="BJ2901" s="77"/>
      <c r="BL2901" s="497">
        <v>60.08</v>
      </c>
      <c r="BN2901" s="42"/>
      <c r="BO2901" s="74"/>
      <c r="BP2901" s="77"/>
      <c r="BR2901" s="497">
        <v>41.36</v>
      </c>
      <c r="BT2901" s="42"/>
    </row>
    <row r="2902" spans="1:72" x14ac:dyDescent="0.25">
      <c r="A2902" s="90">
        <v>36281</v>
      </c>
      <c r="B2902" s="20">
        <v>0.16666666666666666</v>
      </c>
      <c r="D2902">
        <v>60.08</v>
      </c>
      <c r="E2902" t="str">
        <f t="shared" si="126"/>
        <v>SATURDAY</v>
      </c>
      <c r="F2902" t="e">
        <f t="shared" si="125"/>
        <v>#N/A</v>
      </c>
      <c r="G2902" s="74">
        <v>31898</v>
      </c>
      <c r="H2902" s="77">
        <v>0.16666666666666666</v>
      </c>
      <c r="J2902">
        <v>44.96</v>
      </c>
      <c r="M2902" s="74">
        <v>34455</v>
      </c>
      <c r="N2902" s="77">
        <v>0.16666666666666666</v>
      </c>
      <c r="P2902">
        <v>56.84</v>
      </c>
      <c r="S2902" s="74">
        <v>36281</v>
      </c>
      <c r="T2902" s="77">
        <v>0.16666666666666666</v>
      </c>
      <c r="V2902">
        <v>44.06</v>
      </c>
      <c r="X2902" s="42"/>
      <c r="AB2902">
        <v>51</v>
      </c>
      <c r="AC2902">
        <v>57.019999999999996</v>
      </c>
      <c r="AE2902" s="74"/>
      <c r="AF2902" s="77"/>
      <c r="AH2902" s="497">
        <v>32</v>
      </c>
      <c r="AJ2902" s="42"/>
      <c r="AK2902" s="74"/>
      <c r="AL2902" s="77"/>
      <c r="AN2902" s="497">
        <v>39.019999999999996</v>
      </c>
      <c r="AP2902" s="42"/>
      <c r="AQ2902" s="74"/>
      <c r="AR2902" s="77"/>
      <c r="AT2902" s="497">
        <v>62.06</v>
      </c>
      <c r="AV2902" s="42"/>
      <c r="AW2902" s="74"/>
      <c r="AX2902" s="77"/>
      <c r="BA2902" s="497">
        <v>51.980000000000004</v>
      </c>
      <c r="BB2902" s="42"/>
      <c r="BC2902" s="74"/>
      <c r="BD2902" s="77"/>
      <c r="BF2902">
        <v>39.019999999999996</v>
      </c>
      <c r="BH2902" s="42"/>
      <c r="BI2902" s="74"/>
      <c r="BJ2902" s="77"/>
      <c r="BL2902" s="497">
        <v>62.96</v>
      </c>
      <c r="BN2902" s="42"/>
      <c r="BO2902" s="74"/>
      <c r="BP2902" s="77"/>
      <c r="BR2902" s="497">
        <v>37.94</v>
      </c>
      <c r="BT2902" s="42"/>
    </row>
    <row r="2903" spans="1:72" x14ac:dyDescent="0.25">
      <c r="A2903" s="90">
        <v>36281</v>
      </c>
      <c r="B2903" s="20">
        <v>0.20833333333333334</v>
      </c>
      <c r="D2903">
        <v>60.08</v>
      </c>
      <c r="E2903" t="str">
        <f t="shared" si="126"/>
        <v>SATURDAY</v>
      </c>
      <c r="F2903" t="e">
        <f t="shared" si="125"/>
        <v>#N/A</v>
      </c>
      <c r="G2903" s="74">
        <v>31898</v>
      </c>
      <c r="H2903" s="77">
        <v>0.20833333333333334</v>
      </c>
      <c r="J2903">
        <v>46.04</v>
      </c>
      <c r="M2903" s="74">
        <v>34455</v>
      </c>
      <c r="N2903" s="77">
        <v>0.20833333333333334</v>
      </c>
      <c r="P2903">
        <v>56.84</v>
      </c>
      <c r="S2903" s="74">
        <v>36281</v>
      </c>
      <c r="T2903" s="77">
        <v>0.20833333333333334</v>
      </c>
      <c r="V2903">
        <v>42.980000000000004</v>
      </c>
      <c r="X2903" s="42"/>
      <c r="AB2903">
        <v>50.6</v>
      </c>
      <c r="AC2903">
        <v>55.040000000000006</v>
      </c>
      <c r="AE2903" s="74"/>
      <c r="AF2903" s="77"/>
      <c r="AH2903" s="497">
        <v>32</v>
      </c>
      <c r="AJ2903" s="42"/>
      <c r="AK2903" s="74"/>
      <c r="AL2903" s="77"/>
      <c r="AN2903" s="497">
        <v>39.92</v>
      </c>
      <c r="AP2903" s="42"/>
      <c r="AQ2903" s="74"/>
      <c r="AR2903" s="77"/>
      <c r="AT2903" s="497">
        <v>60.08</v>
      </c>
      <c r="AV2903" s="42"/>
      <c r="AW2903" s="74"/>
      <c r="AX2903" s="77"/>
      <c r="BA2903" s="497">
        <v>50</v>
      </c>
      <c r="BB2903" s="42"/>
      <c r="BC2903" s="74"/>
      <c r="BD2903" s="77"/>
      <c r="BF2903">
        <v>35.06</v>
      </c>
      <c r="BH2903" s="42"/>
      <c r="BI2903" s="74"/>
      <c r="BJ2903" s="77"/>
      <c r="BL2903" s="497">
        <v>64.039999999999992</v>
      </c>
      <c r="BN2903" s="42"/>
      <c r="BO2903" s="74"/>
      <c r="BP2903" s="77"/>
      <c r="BR2903" s="497">
        <v>39.019999999999996</v>
      </c>
      <c r="BT2903" s="42"/>
    </row>
    <row r="2904" spans="1:72" x14ac:dyDescent="0.25">
      <c r="A2904" s="90">
        <v>36281</v>
      </c>
      <c r="B2904" s="20">
        <v>0.25</v>
      </c>
      <c r="D2904">
        <v>60.08</v>
      </c>
      <c r="E2904" t="str">
        <f t="shared" si="126"/>
        <v>SATURDAY</v>
      </c>
      <c r="F2904" t="e">
        <f t="shared" si="125"/>
        <v>#N/A</v>
      </c>
      <c r="G2904" s="74">
        <v>31898</v>
      </c>
      <c r="H2904" s="77">
        <v>0.25</v>
      </c>
      <c r="J2904">
        <v>48.019999999999996</v>
      </c>
      <c r="M2904" s="74">
        <v>34455</v>
      </c>
      <c r="N2904" s="77">
        <v>0.25</v>
      </c>
      <c r="P2904">
        <v>56.84</v>
      </c>
      <c r="S2904" s="74">
        <v>36281</v>
      </c>
      <c r="T2904" s="77">
        <v>0.25</v>
      </c>
      <c r="V2904">
        <v>44.96</v>
      </c>
      <c r="X2904" s="42"/>
      <c r="AB2904">
        <v>50.4</v>
      </c>
      <c r="AC2904">
        <v>57.019999999999996</v>
      </c>
      <c r="AE2904" s="74"/>
      <c r="AF2904" s="77"/>
      <c r="AH2904" s="497">
        <v>32</v>
      </c>
      <c r="AJ2904" s="42"/>
      <c r="AK2904" s="74"/>
      <c r="AL2904" s="77"/>
      <c r="AN2904" s="497">
        <v>39.92</v>
      </c>
      <c r="AP2904" s="42"/>
      <c r="AQ2904" s="74"/>
      <c r="AR2904" s="77"/>
      <c r="AT2904" s="497">
        <v>59</v>
      </c>
      <c r="AV2904" s="42"/>
      <c r="AW2904" s="74"/>
      <c r="AX2904" s="77"/>
      <c r="BA2904" s="497">
        <v>50</v>
      </c>
      <c r="BB2904" s="42"/>
      <c r="BC2904" s="74"/>
      <c r="BD2904" s="77"/>
      <c r="BF2904">
        <v>35.06</v>
      </c>
      <c r="BH2904" s="42"/>
      <c r="BI2904" s="74"/>
      <c r="BJ2904" s="77"/>
      <c r="BL2904" s="497">
        <v>62.96</v>
      </c>
      <c r="BN2904" s="42"/>
      <c r="BO2904" s="74"/>
      <c r="BP2904" s="77"/>
      <c r="BR2904" s="497">
        <v>39.92</v>
      </c>
      <c r="BT2904" s="42"/>
    </row>
    <row r="2905" spans="1:72" x14ac:dyDescent="0.25">
      <c r="A2905" s="90">
        <v>36281</v>
      </c>
      <c r="B2905" s="20">
        <v>0.29166666666666669</v>
      </c>
      <c r="D2905">
        <v>60.980000000000004</v>
      </c>
      <c r="E2905" t="str">
        <f t="shared" si="126"/>
        <v>SATURDAY</v>
      </c>
      <c r="F2905" t="e">
        <f t="shared" si="125"/>
        <v>#N/A</v>
      </c>
      <c r="G2905" s="74">
        <v>31898</v>
      </c>
      <c r="H2905" s="77">
        <v>0.29166666666666669</v>
      </c>
      <c r="J2905">
        <v>48.019999999999996</v>
      </c>
      <c r="M2905" s="74">
        <v>34455</v>
      </c>
      <c r="N2905" s="77">
        <v>0.29166666666666669</v>
      </c>
      <c r="P2905">
        <v>57.92</v>
      </c>
      <c r="S2905" s="74">
        <v>36281</v>
      </c>
      <c r="T2905" s="77">
        <v>0.29166666666666669</v>
      </c>
      <c r="V2905">
        <v>50</v>
      </c>
      <c r="X2905" s="42"/>
      <c r="AB2905">
        <v>51.2</v>
      </c>
      <c r="AC2905">
        <v>64.039999999999992</v>
      </c>
      <c r="AE2905" s="74"/>
      <c r="AF2905" s="77"/>
      <c r="AH2905" s="497">
        <v>41</v>
      </c>
      <c r="AJ2905" s="42"/>
      <c r="AK2905" s="74"/>
      <c r="AL2905" s="77"/>
      <c r="AN2905" s="497">
        <v>41</v>
      </c>
      <c r="AP2905" s="42"/>
      <c r="AQ2905" s="74"/>
      <c r="AR2905" s="77"/>
      <c r="AT2905" s="497">
        <v>59</v>
      </c>
      <c r="AV2905" s="42"/>
      <c r="AW2905" s="74"/>
      <c r="AX2905" s="77"/>
      <c r="BA2905" s="497">
        <v>53.96</v>
      </c>
      <c r="BB2905" s="42"/>
      <c r="BC2905" s="74"/>
      <c r="BD2905" s="77"/>
      <c r="BF2905">
        <v>42.08</v>
      </c>
      <c r="BH2905" s="42"/>
      <c r="BI2905" s="74"/>
      <c r="BJ2905" s="77"/>
      <c r="BL2905" s="497">
        <v>64.94</v>
      </c>
      <c r="BN2905" s="42"/>
      <c r="BO2905" s="74"/>
      <c r="BP2905" s="77"/>
      <c r="BR2905" s="497">
        <v>42.980000000000004</v>
      </c>
      <c r="BT2905" s="42"/>
    </row>
    <row r="2906" spans="1:72" x14ac:dyDescent="0.25">
      <c r="A2906" s="90">
        <v>36281</v>
      </c>
      <c r="B2906" s="20">
        <v>0.33333333333333331</v>
      </c>
      <c r="D2906">
        <v>64.039999999999992</v>
      </c>
      <c r="E2906" t="str">
        <f t="shared" si="126"/>
        <v>SATURDAY</v>
      </c>
      <c r="F2906" t="e">
        <f t="shared" si="125"/>
        <v>#N/A</v>
      </c>
      <c r="G2906" s="74">
        <v>31898</v>
      </c>
      <c r="H2906" s="77">
        <v>0.33333333333333331</v>
      </c>
      <c r="J2906">
        <v>50</v>
      </c>
      <c r="M2906" s="74">
        <v>34455</v>
      </c>
      <c r="N2906" s="77">
        <v>0.33333333333333331</v>
      </c>
      <c r="P2906">
        <v>59</v>
      </c>
      <c r="S2906" s="74">
        <v>36281</v>
      </c>
      <c r="T2906" s="77">
        <v>0.33333333333333331</v>
      </c>
      <c r="V2906">
        <v>53.96</v>
      </c>
      <c r="X2906" s="42"/>
      <c r="AB2906">
        <v>53.3</v>
      </c>
      <c r="AC2906">
        <v>71.960000000000008</v>
      </c>
      <c r="AE2906" s="74"/>
      <c r="AF2906" s="77"/>
      <c r="AH2906" s="497">
        <v>50</v>
      </c>
      <c r="AJ2906" s="42"/>
      <c r="AK2906" s="74"/>
      <c r="AL2906" s="77"/>
      <c r="AN2906" s="497">
        <v>46.04</v>
      </c>
      <c r="AP2906" s="42"/>
      <c r="AQ2906" s="74"/>
      <c r="AR2906" s="77"/>
      <c r="AT2906" s="497">
        <v>60.980000000000004</v>
      </c>
      <c r="AV2906" s="42"/>
      <c r="AW2906" s="74"/>
      <c r="AX2906" s="77"/>
      <c r="BA2906" s="497">
        <v>55.040000000000006</v>
      </c>
      <c r="BB2906" s="42"/>
      <c r="BC2906" s="74"/>
      <c r="BD2906" s="77"/>
      <c r="BF2906">
        <v>46.94</v>
      </c>
      <c r="BH2906" s="42"/>
      <c r="BI2906" s="74"/>
      <c r="BJ2906" s="77"/>
      <c r="BL2906" s="497">
        <v>66.92</v>
      </c>
      <c r="BN2906" s="42"/>
      <c r="BO2906" s="74"/>
      <c r="BP2906" s="77"/>
      <c r="BR2906" s="497">
        <v>50</v>
      </c>
      <c r="BT2906" s="42"/>
    </row>
    <row r="2907" spans="1:72" x14ac:dyDescent="0.25">
      <c r="A2907" s="90">
        <v>36281</v>
      </c>
      <c r="B2907" s="20">
        <v>0.375</v>
      </c>
      <c r="D2907">
        <v>64.039999999999992</v>
      </c>
      <c r="E2907" t="str">
        <f t="shared" si="126"/>
        <v>SATURDAY</v>
      </c>
      <c r="F2907" t="e">
        <f t="shared" si="125"/>
        <v>#N/A</v>
      </c>
      <c r="G2907" s="74">
        <v>31898</v>
      </c>
      <c r="H2907" s="77">
        <v>0.375</v>
      </c>
      <c r="J2907">
        <v>51.980000000000004</v>
      </c>
      <c r="M2907" s="74">
        <v>34455</v>
      </c>
      <c r="N2907" s="77">
        <v>0.375</v>
      </c>
      <c r="P2907">
        <v>60.08</v>
      </c>
      <c r="S2907" s="74">
        <v>36281</v>
      </c>
      <c r="T2907" s="77">
        <v>0.375</v>
      </c>
      <c r="V2907">
        <v>57.019999999999996</v>
      </c>
      <c r="X2907" s="42"/>
      <c r="AB2907">
        <v>55.3</v>
      </c>
      <c r="AC2907">
        <v>75.92</v>
      </c>
      <c r="AE2907" s="74"/>
      <c r="AF2907" s="77"/>
      <c r="AH2907" s="497">
        <v>55.400000000000006</v>
      </c>
      <c r="AJ2907" s="42"/>
      <c r="AK2907" s="74"/>
      <c r="AL2907" s="77"/>
      <c r="AN2907" s="497">
        <v>44.96</v>
      </c>
      <c r="AP2907" s="42"/>
      <c r="AQ2907" s="74"/>
      <c r="AR2907" s="77"/>
      <c r="AT2907" s="497">
        <v>62.96</v>
      </c>
      <c r="AV2907" s="42"/>
      <c r="AW2907" s="74"/>
      <c r="AX2907" s="77"/>
      <c r="BA2907" s="497">
        <v>55.040000000000006</v>
      </c>
      <c r="BB2907" s="42"/>
      <c r="BC2907" s="74"/>
      <c r="BD2907" s="77"/>
      <c r="BF2907">
        <v>51.980000000000004</v>
      </c>
      <c r="BH2907" s="42"/>
      <c r="BI2907" s="74"/>
      <c r="BJ2907" s="77"/>
      <c r="BL2907" s="497">
        <v>68</v>
      </c>
      <c r="BN2907" s="42"/>
      <c r="BO2907" s="74"/>
      <c r="BP2907" s="77"/>
      <c r="BR2907" s="497">
        <v>53.96</v>
      </c>
      <c r="BT2907" s="42"/>
    </row>
    <row r="2908" spans="1:72" x14ac:dyDescent="0.25">
      <c r="A2908" s="90">
        <v>36281</v>
      </c>
      <c r="B2908" s="20">
        <v>0.41666666666666669</v>
      </c>
      <c r="D2908">
        <v>66.92</v>
      </c>
      <c r="E2908" t="str">
        <f t="shared" si="126"/>
        <v>SATURDAY</v>
      </c>
      <c r="F2908" t="e">
        <f t="shared" si="125"/>
        <v>#N/A</v>
      </c>
      <c r="G2908" s="74">
        <v>31898</v>
      </c>
      <c r="H2908" s="77">
        <v>0.41666666666666669</v>
      </c>
      <c r="J2908">
        <v>55.040000000000006</v>
      </c>
      <c r="M2908" s="74">
        <v>34455</v>
      </c>
      <c r="N2908" s="77">
        <v>0.41666666666666669</v>
      </c>
      <c r="P2908">
        <v>60.980000000000004</v>
      </c>
      <c r="S2908" s="74">
        <v>36281</v>
      </c>
      <c r="T2908" s="77">
        <v>0.41666666666666669</v>
      </c>
      <c r="V2908">
        <v>60.08</v>
      </c>
      <c r="X2908" s="42"/>
      <c r="AB2908">
        <v>57.1</v>
      </c>
      <c r="AC2908">
        <v>78.98</v>
      </c>
      <c r="AE2908" s="74"/>
      <c r="AF2908" s="77"/>
      <c r="AH2908" s="497">
        <v>57.2</v>
      </c>
      <c r="AJ2908" s="42"/>
      <c r="AK2908" s="74"/>
      <c r="AL2908" s="77"/>
      <c r="AN2908" s="497">
        <v>46.94</v>
      </c>
      <c r="AP2908" s="42"/>
      <c r="AQ2908" s="74"/>
      <c r="AR2908" s="77"/>
      <c r="AT2908" s="497">
        <v>62.06</v>
      </c>
      <c r="AV2908" s="42"/>
      <c r="AW2908" s="74"/>
      <c r="AX2908" s="77"/>
      <c r="BA2908" s="497">
        <v>51.08</v>
      </c>
      <c r="BB2908" s="42"/>
      <c r="BC2908" s="74"/>
      <c r="BD2908" s="77"/>
      <c r="BF2908">
        <v>53.96</v>
      </c>
      <c r="BH2908" s="42"/>
      <c r="BI2908" s="74"/>
      <c r="BJ2908" s="77"/>
      <c r="BL2908" s="497">
        <v>69.080000000000013</v>
      </c>
      <c r="BN2908" s="42"/>
      <c r="BO2908" s="74"/>
      <c r="BP2908" s="77"/>
      <c r="BR2908" s="497">
        <v>55.94</v>
      </c>
      <c r="BT2908" s="42"/>
    </row>
    <row r="2909" spans="1:72" x14ac:dyDescent="0.25">
      <c r="A2909" s="90">
        <v>36281</v>
      </c>
      <c r="B2909" s="20">
        <v>0.45833333333333331</v>
      </c>
      <c r="D2909">
        <v>66.92</v>
      </c>
      <c r="E2909" t="str">
        <f t="shared" si="126"/>
        <v>SATURDAY</v>
      </c>
      <c r="F2909" t="e">
        <f t="shared" si="125"/>
        <v>#N/A</v>
      </c>
      <c r="G2909" s="74">
        <v>31898</v>
      </c>
      <c r="H2909" s="77">
        <v>0.45833333333333331</v>
      </c>
      <c r="J2909">
        <v>57.019999999999996</v>
      </c>
      <c r="M2909" s="74">
        <v>34455</v>
      </c>
      <c r="N2909" s="77">
        <v>0.45833333333333331</v>
      </c>
      <c r="P2909">
        <v>62.96</v>
      </c>
      <c r="S2909" s="74">
        <v>36281</v>
      </c>
      <c r="T2909" s="77">
        <v>0.45833333333333331</v>
      </c>
      <c r="V2909">
        <v>62.96</v>
      </c>
      <c r="X2909" s="42"/>
      <c r="AB2909">
        <v>58.8</v>
      </c>
      <c r="AC2909">
        <v>80.06</v>
      </c>
      <c r="AE2909" s="74"/>
      <c r="AF2909" s="77"/>
      <c r="AH2909" s="497">
        <v>60.8</v>
      </c>
      <c r="AJ2909" s="42"/>
      <c r="AK2909" s="74"/>
      <c r="AL2909" s="77"/>
      <c r="AN2909" s="497">
        <v>51.08</v>
      </c>
      <c r="AP2909" s="42"/>
      <c r="AQ2909" s="74"/>
      <c r="AR2909" s="77"/>
      <c r="AT2909" s="497">
        <v>57.92</v>
      </c>
      <c r="AV2909" s="42"/>
      <c r="AW2909" s="74"/>
      <c r="AX2909" s="77"/>
      <c r="BA2909" s="497">
        <v>51.980000000000004</v>
      </c>
      <c r="BB2909" s="42"/>
      <c r="BC2909" s="74"/>
      <c r="BD2909" s="77"/>
      <c r="BF2909">
        <v>55.040000000000006</v>
      </c>
      <c r="BH2909" s="42"/>
      <c r="BI2909" s="74"/>
      <c r="BJ2909" s="77"/>
      <c r="BL2909" s="497">
        <v>69.080000000000013</v>
      </c>
      <c r="BN2909" s="42"/>
      <c r="BO2909" s="74"/>
      <c r="BP2909" s="77"/>
      <c r="BR2909" s="497">
        <v>60.08</v>
      </c>
      <c r="BT2909" s="42"/>
    </row>
    <row r="2910" spans="1:72" x14ac:dyDescent="0.25">
      <c r="A2910" s="90">
        <v>36281</v>
      </c>
      <c r="B2910" s="20">
        <v>0.5</v>
      </c>
      <c r="D2910">
        <v>68</v>
      </c>
      <c r="E2910" t="str">
        <f t="shared" si="126"/>
        <v>SATURDAY</v>
      </c>
      <c r="F2910" t="e">
        <f t="shared" si="125"/>
        <v>#N/A</v>
      </c>
      <c r="G2910" s="74">
        <v>31898</v>
      </c>
      <c r="H2910" s="77">
        <v>0.5</v>
      </c>
      <c r="J2910">
        <v>60.08</v>
      </c>
      <c r="M2910" s="74">
        <v>34455</v>
      </c>
      <c r="N2910" s="77">
        <v>0.5</v>
      </c>
      <c r="P2910">
        <v>64.94</v>
      </c>
      <c r="S2910" s="74">
        <v>36281</v>
      </c>
      <c r="T2910" s="77">
        <v>0.5</v>
      </c>
      <c r="V2910">
        <v>62.06</v>
      </c>
      <c r="X2910" s="42"/>
      <c r="AB2910">
        <v>60</v>
      </c>
      <c r="AC2910">
        <v>82.039999999999992</v>
      </c>
      <c r="AE2910" s="74"/>
      <c r="AF2910" s="77"/>
      <c r="AH2910" s="497">
        <v>62.6</v>
      </c>
      <c r="AJ2910" s="42"/>
      <c r="AK2910" s="74"/>
      <c r="AL2910" s="77"/>
      <c r="AN2910" s="497">
        <v>51.980000000000004</v>
      </c>
      <c r="AP2910" s="42"/>
      <c r="AQ2910" s="74"/>
      <c r="AR2910" s="77"/>
      <c r="AT2910" s="497">
        <v>57.019999999999996</v>
      </c>
      <c r="AV2910" s="42"/>
      <c r="AW2910" s="74"/>
      <c r="AX2910" s="77"/>
      <c r="BA2910" s="497">
        <v>53.96</v>
      </c>
      <c r="BB2910" s="42"/>
      <c r="BC2910" s="74"/>
      <c r="BD2910" s="77"/>
      <c r="BF2910">
        <v>55.040000000000006</v>
      </c>
      <c r="BH2910" s="42"/>
      <c r="BI2910" s="74"/>
      <c r="BJ2910" s="77"/>
      <c r="BL2910" s="497">
        <v>69.080000000000013</v>
      </c>
      <c r="BN2910" s="42"/>
      <c r="BO2910" s="74"/>
      <c r="BP2910" s="77"/>
      <c r="BR2910" s="497">
        <v>60.08</v>
      </c>
      <c r="BT2910" s="42"/>
    </row>
    <row r="2911" spans="1:72" x14ac:dyDescent="0.25">
      <c r="A2911" s="90">
        <v>36281</v>
      </c>
      <c r="B2911" s="20">
        <v>0.54166666666666663</v>
      </c>
      <c r="D2911">
        <v>64.94</v>
      </c>
      <c r="E2911" t="str">
        <f t="shared" si="126"/>
        <v>SATURDAY</v>
      </c>
      <c r="F2911" t="e">
        <f t="shared" si="125"/>
        <v>#N/A</v>
      </c>
      <c r="G2911" s="74">
        <v>31898</v>
      </c>
      <c r="H2911" s="77">
        <v>0.54166666666666663</v>
      </c>
      <c r="J2911">
        <v>60.980000000000004</v>
      </c>
      <c r="M2911" s="74">
        <v>34455</v>
      </c>
      <c r="N2911" s="77">
        <v>0.54166666666666663</v>
      </c>
      <c r="P2911">
        <v>63.86</v>
      </c>
      <c r="S2911" s="74">
        <v>36281</v>
      </c>
      <c r="T2911" s="77">
        <v>0.54166666666666663</v>
      </c>
      <c r="V2911">
        <v>60.980000000000004</v>
      </c>
      <c r="X2911" s="42"/>
      <c r="AB2911">
        <v>60.8</v>
      </c>
      <c r="AC2911">
        <v>80.960000000000008</v>
      </c>
      <c r="AE2911" s="74"/>
      <c r="AF2911" s="77"/>
      <c r="AH2911" s="497">
        <v>60.8</v>
      </c>
      <c r="AJ2911" s="42"/>
      <c r="AK2911" s="74"/>
      <c r="AL2911" s="77"/>
      <c r="AN2911" s="497">
        <v>53.06</v>
      </c>
      <c r="AP2911" s="42"/>
      <c r="AQ2911" s="74"/>
      <c r="AR2911" s="77"/>
      <c r="AT2911" s="497">
        <v>57.019999999999996</v>
      </c>
      <c r="AV2911" s="42"/>
      <c r="AW2911" s="74"/>
      <c r="AX2911" s="77"/>
      <c r="BA2911" s="497">
        <v>55.040000000000006</v>
      </c>
      <c r="BB2911" s="42"/>
      <c r="BC2911" s="74"/>
      <c r="BD2911" s="77"/>
      <c r="BF2911">
        <v>57.019999999999996</v>
      </c>
      <c r="BH2911" s="42"/>
      <c r="BI2911" s="74"/>
      <c r="BJ2911" s="77"/>
      <c r="BL2911" s="497">
        <v>51.980000000000004</v>
      </c>
      <c r="BN2911" s="42"/>
      <c r="BO2911" s="74"/>
      <c r="BP2911" s="77"/>
      <c r="BR2911" s="497">
        <v>62.96</v>
      </c>
      <c r="BT2911" s="42"/>
    </row>
    <row r="2912" spans="1:72" x14ac:dyDescent="0.25">
      <c r="A2912" s="90">
        <v>36281</v>
      </c>
      <c r="B2912" s="20">
        <v>0.58333333333333337</v>
      </c>
      <c r="D2912">
        <v>71.06</v>
      </c>
      <c r="E2912" t="str">
        <f t="shared" si="126"/>
        <v>SATURDAY</v>
      </c>
      <c r="F2912" t="e">
        <f t="shared" si="125"/>
        <v>#N/A</v>
      </c>
      <c r="G2912" s="74">
        <v>31898</v>
      </c>
      <c r="H2912" s="77">
        <v>0.58333333333333337</v>
      </c>
      <c r="J2912">
        <v>62.06</v>
      </c>
      <c r="M2912" s="74">
        <v>34455</v>
      </c>
      <c r="N2912" s="77">
        <v>0.58333333333333337</v>
      </c>
      <c r="P2912">
        <v>66.92</v>
      </c>
      <c r="S2912" s="74">
        <v>36281</v>
      </c>
      <c r="T2912" s="77">
        <v>0.58333333333333337</v>
      </c>
      <c r="V2912">
        <v>60.980000000000004</v>
      </c>
      <c r="X2912" s="42"/>
      <c r="AB2912">
        <v>61.3</v>
      </c>
      <c r="AC2912">
        <v>80.06</v>
      </c>
      <c r="AE2912" s="74"/>
      <c r="AF2912" s="77"/>
      <c r="AH2912" s="497">
        <v>62.6</v>
      </c>
      <c r="AJ2912" s="42"/>
      <c r="AK2912" s="74"/>
      <c r="AL2912" s="77"/>
      <c r="AN2912" s="497">
        <v>51.980000000000004</v>
      </c>
      <c r="AP2912" s="42"/>
      <c r="AQ2912" s="74"/>
      <c r="AR2912" s="77"/>
      <c r="AT2912" s="497">
        <v>57.019999999999996</v>
      </c>
      <c r="AV2912" s="42"/>
      <c r="AW2912" s="74"/>
      <c r="AX2912" s="77"/>
      <c r="BA2912" s="497">
        <v>57.92</v>
      </c>
      <c r="BB2912" s="42"/>
      <c r="BC2912" s="74"/>
      <c r="BD2912" s="77"/>
      <c r="BF2912">
        <v>57.019999999999996</v>
      </c>
      <c r="BH2912" s="42"/>
      <c r="BI2912" s="74"/>
      <c r="BJ2912" s="77"/>
      <c r="BL2912" s="497">
        <v>50</v>
      </c>
      <c r="BN2912" s="42"/>
      <c r="BO2912" s="74"/>
      <c r="BP2912" s="77"/>
      <c r="BR2912" s="497">
        <v>62.06</v>
      </c>
      <c r="BT2912" s="42"/>
    </row>
    <row r="2913" spans="1:72" x14ac:dyDescent="0.25">
      <c r="A2913" s="90">
        <v>36281</v>
      </c>
      <c r="B2913" s="20">
        <v>0.625</v>
      </c>
      <c r="D2913">
        <v>73.94</v>
      </c>
      <c r="E2913" t="str">
        <f t="shared" si="126"/>
        <v>SATURDAY</v>
      </c>
      <c r="F2913" t="e">
        <f t="shared" si="125"/>
        <v>#N/A</v>
      </c>
      <c r="G2913" s="74">
        <v>31898</v>
      </c>
      <c r="H2913" s="77">
        <v>0.625</v>
      </c>
      <c r="J2913">
        <v>62.96</v>
      </c>
      <c r="M2913" s="74">
        <v>34455</v>
      </c>
      <c r="N2913" s="77">
        <v>0.625</v>
      </c>
      <c r="P2913">
        <v>68.900000000000006</v>
      </c>
      <c r="S2913" s="74">
        <v>36281</v>
      </c>
      <c r="T2913" s="77">
        <v>0.625</v>
      </c>
      <c r="V2913">
        <v>60.08</v>
      </c>
      <c r="X2913" s="42"/>
      <c r="AB2913">
        <v>61.3</v>
      </c>
      <c r="AC2913">
        <v>78.98</v>
      </c>
      <c r="AE2913" s="74"/>
      <c r="AF2913" s="77"/>
      <c r="AH2913" s="497">
        <v>63.86</v>
      </c>
      <c r="AJ2913" s="42"/>
      <c r="AK2913" s="74"/>
      <c r="AL2913" s="77"/>
      <c r="AN2913" s="497">
        <v>51.980000000000004</v>
      </c>
      <c r="AP2913" s="42"/>
      <c r="AQ2913" s="74"/>
      <c r="AR2913" s="77"/>
      <c r="AT2913" s="497">
        <v>59</v>
      </c>
      <c r="AV2913" s="42"/>
      <c r="AW2913" s="74"/>
      <c r="AX2913" s="77"/>
      <c r="BA2913" s="497">
        <v>60.08</v>
      </c>
      <c r="BB2913" s="42"/>
      <c r="BC2913" s="74"/>
      <c r="BD2913" s="77"/>
      <c r="BF2913">
        <v>57.019999999999996</v>
      </c>
      <c r="BH2913" s="42"/>
      <c r="BI2913" s="74"/>
      <c r="BJ2913" s="77"/>
      <c r="BL2913" s="497">
        <v>53.06</v>
      </c>
      <c r="BN2913" s="42"/>
      <c r="BO2913" s="74"/>
      <c r="BP2913" s="77"/>
      <c r="BR2913" s="497">
        <v>60.08</v>
      </c>
      <c r="BT2913" s="42"/>
    </row>
    <row r="2914" spans="1:72" x14ac:dyDescent="0.25">
      <c r="A2914" s="90">
        <v>36281</v>
      </c>
      <c r="B2914" s="20">
        <v>0.66666666666666663</v>
      </c>
      <c r="D2914">
        <v>73.039999999999992</v>
      </c>
      <c r="E2914" t="str">
        <f t="shared" si="126"/>
        <v>SATURDAY</v>
      </c>
      <c r="F2914" t="e">
        <f t="shared" si="125"/>
        <v>#N/A</v>
      </c>
      <c r="G2914" s="74">
        <v>31898</v>
      </c>
      <c r="H2914" s="77">
        <v>0.66666666666666663</v>
      </c>
      <c r="J2914">
        <v>64.039999999999992</v>
      </c>
      <c r="M2914" s="74">
        <v>34455</v>
      </c>
      <c r="N2914" s="77">
        <v>0.66666666666666663</v>
      </c>
      <c r="P2914">
        <v>71.960000000000008</v>
      </c>
      <c r="S2914" s="74">
        <v>36281</v>
      </c>
      <c r="T2914" s="77">
        <v>0.66666666666666663</v>
      </c>
      <c r="V2914">
        <v>59</v>
      </c>
      <c r="X2914" s="42"/>
      <c r="AB2914">
        <v>60.8</v>
      </c>
      <c r="AC2914">
        <v>80.06</v>
      </c>
      <c r="AE2914" s="74"/>
      <c r="AF2914" s="77"/>
      <c r="AH2914" s="497">
        <v>64.400000000000006</v>
      </c>
      <c r="AJ2914" s="42"/>
      <c r="AK2914" s="74"/>
      <c r="AL2914" s="77"/>
      <c r="AN2914" s="497">
        <v>53.06</v>
      </c>
      <c r="AP2914" s="42"/>
      <c r="AQ2914" s="74"/>
      <c r="AR2914" s="77"/>
      <c r="AT2914" s="497">
        <v>59</v>
      </c>
      <c r="AV2914" s="42"/>
      <c r="AW2914" s="74"/>
      <c r="AX2914" s="77"/>
      <c r="BA2914" s="497">
        <v>59</v>
      </c>
      <c r="BB2914" s="42"/>
      <c r="BC2914" s="74"/>
      <c r="BD2914" s="77"/>
      <c r="BF2914">
        <v>57.92</v>
      </c>
      <c r="BH2914" s="42"/>
      <c r="BI2914" s="74"/>
      <c r="BJ2914" s="77"/>
      <c r="BL2914" s="497">
        <v>60.08</v>
      </c>
      <c r="BN2914" s="42"/>
      <c r="BO2914" s="74"/>
      <c r="BP2914" s="77"/>
      <c r="BR2914" s="497">
        <v>60.980000000000004</v>
      </c>
      <c r="BT2914" s="42"/>
    </row>
    <row r="2915" spans="1:72" x14ac:dyDescent="0.25">
      <c r="A2915" s="90">
        <v>36281</v>
      </c>
      <c r="B2915" s="20">
        <v>0.70833333333333337</v>
      </c>
      <c r="D2915">
        <v>75.02</v>
      </c>
      <c r="E2915" t="str">
        <f t="shared" si="126"/>
        <v>SATURDAY</v>
      </c>
      <c r="F2915" t="e">
        <f t="shared" si="125"/>
        <v>#N/A</v>
      </c>
      <c r="G2915" s="74">
        <v>31898</v>
      </c>
      <c r="H2915" s="77">
        <v>0.70833333333333337</v>
      </c>
      <c r="J2915">
        <v>64.94</v>
      </c>
      <c r="M2915" s="74">
        <v>34455</v>
      </c>
      <c r="N2915" s="77">
        <v>0.70833333333333337</v>
      </c>
      <c r="P2915">
        <v>70.88</v>
      </c>
      <c r="S2915" s="74">
        <v>36281</v>
      </c>
      <c r="T2915" s="77">
        <v>0.70833333333333337</v>
      </c>
      <c r="V2915">
        <v>57.92</v>
      </c>
      <c r="X2915" s="42"/>
      <c r="AB2915">
        <v>59.9</v>
      </c>
      <c r="AC2915">
        <v>73.039999999999992</v>
      </c>
      <c r="AE2915" s="74"/>
      <c r="AF2915" s="77"/>
      <c r="AH2915" s="497">
        <v>64.400000000000006</v>
      </c>
      <c r="AJ2915" s="42"/>
      <c r="AK2915" s="74"/>
      <c r="AL2915" s="77"/>
      <c r="AN2915" s="497">
        <v>53.06</v>
      </c>
      <c r="AP2915" s="42"/>
      <c r="AQ2915" s="74"/>
      <c r="AR2915" s="77"/>
      <c r="AT2915" s="497">
        <v>57.92</v>
      </c>
      <c r="AV2915" s="42"/>
      <c r="AW2915" s="74"/>
      <c r="AX2915" s="77"/>
      <c r="BA2915" s="497">
        <v>57.019999999999996</v>
      </c>
      <c r="BB2915" s="42"/>
      <c r="BC2915" s="74"/>
      <c r="BD2915" s="77"/>
      <c r="BF2915">
        <v>57.92</v>
      </c>
      <c r="BH2915" s="42"/>
      <c r="BI2915" s="74"/>
      <c r="BJ2915" s="77"/>
      <c r="BL2915" s="497">
        <v>62.06</v>
      </c>
      <c r="BN2915" s="42"/>
      <c r="BO2915" s="74"/>
      <c r="BP2915" s="77"/>
      <c r="BR2915" s="497">
        <v>62.96</v>
      </c>
      <c r="BT2915" s="42"/>
    </row>
    <row r="2916" spans="1:72" x14ac:dyDescent="0.25">
      <c r="A2916" s="90">
        <v>36281</v>
      </c>
      <c r="B2916" s="20">
        <v>0.75</v>
      </c>
      <c r="D2916">
        <v>69.98</v>
      </c>
      <c r="E2916" t="str">
        <f t="shared" si="126"/>
        <v>SATURDAY</v>
      </c>
      <c r="F2916" t="e">
        <f t="shared" si="125"/>
        <v>#N/A</v>
      </c>
      <c r="G2916" s="74">
        <v>31898</v>
      </c>
      <c r="H2916" s="77">
        <v>0.75</v>
      </c>
      <c r="J2916">
        <v>64.039999999999992</v>
      </c>
      <c r="M2916" s="74">
        <v>34455</v>
      </c>
      <c r="N2916" s="77">
        <v>0.75</v>
      </c>
      <c r="P2916">
        <v>66.92</v>
      </c>
      <c r="S2916" s="74">
        <v>36281</v>
      </c>
      <c r="T2916" s="77">
        <v>0.75</v>
      </c>
      <c r="V2916">
        <v>55.040000000000006</v>
      </c>
      <c r="X2916" s="42"/>
      <c r="AB2916">
        <v>58.7</v>
      </c>
      <c r="AC2916">
        <v>69.98</v>
      </c>
      <c r="AE2916" s="74"/>
      <c r="AF2916" s="77"/>
      <c r="AH2916" s="497">
        <v>62.6</v>
      </c>
      <c r="AJ2916" s="42"/>
      <c r="AK2916" s="74"/>
      <c r="AL2916" s="77"/>
      <c r="AN2916" s="497">
        <v>51.08</v>
      </c>
      <c r="AP2916" s="42"/>
      <c r="AQ2916" s="74"/>
      <c r="AR2916" s="77"/>
      <c r="AT2916" s="497">
        <v>57.92</v>
      </c>
      <c r="AV2916" s="42"/>
      <c r="AW2916" s="74"/>
      <c r="AX2916" s="77"/>
      <c r="BA2916" s="497">
        <v>57.019999999999996</v>
      </c>
      <c r="BB2916" s="42"/>
      <c r="BC2916" s="74"/>
      <c r="BD2916" s="77"/>
      <c r="BF2916">
        <v>55.94</v>
      </c>
      <c r="BH2916" s="42"/>
      <c r="BI2916" s="74"/>
      <c r="BJ2916" s="77"/>
      <c r="BL2916" s="497">
        <v>60.08</v>
      </c>
      <c r="BN2916" s="42"/>
      <c r="BO2916" s="74"/>
      <c r="BP2916" s="77"/>
      <c r="BR2916" s="497">
        <v>59</v>
      </c>
      <c r="BT2916" s="42"/>
    </row>
    <row r="2917" spans="1:72" x14ac:dyDescent="0.25">
      <c r="A2917" s="90">
        <v>36281</v>
      </c>
      <c r="B2917" s="20">
        <v>0.79166666666666663</v>
      </c>
      <c r="D2917">
        <v>64.94</v>
      </c>
      <c r="E2917" t="str">
        <f t="shared" si="126"/>
        <v>SATURDAY</v>
      </c>
      <c r="F2917" t="e">
        <f t="shared" si="125"/>
        <v>#N/A</v>
      </c>
      <c r="G2917" s="74">
        <v>31898</v>
      </c>
      <c r="H2917" s="77">
        <v>0.79166666666666663</v>
      </c>
      <c r="J2917">
        <v>62.96</v>
      </c>
      <c r="M2917" s="74">
        <v>34455</v>
      </c>
      <c r="N2917" s="77">
        <v>0.79166666666666663</v>
      </c>
      <c r="P2917">
        <v>60.980000000000004</v>
      </c>
      <c r="S2917" s="74">
        <v>36281</v>
      </c>
      <c r="T2917" s="77">
        <v>0.79166666666666663</v>
      </c>
      <c r="V2917">
        <v>51.08</v>
      </c>
      <c r="X2917" s="42"/>
      <c r="AB2917">
        <v>57.3</v>
      </c>
      <c r="AC2917">
        <v>66.02</v>
      </c>
      <c r="AE2917" s="74"/>
      <c r="AF2917" s="77"/>
      <c r="AH2917" s="497">
        <v>59</v>
      </c>
      <c r="AJ2917" s="42"/>
      <c r="AK2917" s="74"/>
      <c r="AL2917" s="77"/>
      <c r="AN2917" s="497">
        <v>48.019999999999996</v>
      </c>
      <c r="AP2917" s="42"/>
      <c r="AQ2917" s="74"/>
      <c r="AR2917" s="77"/>
      <c r="AT2917" s="497">
        <v>55.040000000000006</v>
      </c>
      <c r="AV2917" s="42"/>
      <c r="AW2917" s="74"/>
      <c r="AX2917" s="77"/>
      <c r="BA2917" s="497">
        <v>53.96</v>
      </c>
      <c r="BB2917" s="42"/>
      <c r="BC2917" s="74"/>
      <c r="BD2917" s="77"/>
      <c r="BF2917">
        <v>55.040000000000006</v>
      </c>
      <c r="BH2917" s="42"/>
      <c r="BI2917" s="74"/>
      <c r="BJ2917" s="77"/>
      <c r="BL2917" s="497">
        <v>57.019999999999996</v>
      </c>
      <c r="BN2917" s="42"/>
      <c r="BO2917" s="74"/>
      <c r="BP2917" s="77"/>
      <c r="BR2917" s="497">
        <v>57.92</v>
      </c>
      <c r="BT2917" s="42"/>
    </row>
    <row r="2918" spans="1:72" x14ac:dyDescent="0.25">
      <c r="A2918" s="90">
        <v>36281</v>
      </c>
      <c r="B2918" s="20">
        <v>0.83333333333333337</v>
      </c>
      <c r="D2918">
        <v>60.08</v>
      </c>
      <c r="E2918" t="str">
        <f t="shared" si="126"/>
        <v>SATURDAY</v>
      </c>
      <c r="F2918" t="e">
        <f t="shared" si="125"/>
        <v>#N/A</v>
      </c>
      <c r="G2918" s="74">
        <v>31898</v>
      </c>
      <c r="H2918" s="77">
        <v>0.83333333333333337</v>
      </c>
      <c r="J2918">
        <v>62.06</v>
      </c>
      <c r="M2918" s="74">
        <v>34455</v>
      </c>
      <c r="N2918" s="77">
        <v>0.83333333333333337</v>
      </c>
      <c r="P2918">
        <v>56.84</v>
      </c>
      <c r="S2918" s="74">
        <v>36281</v>
      </c>
      <c r="T2918" s="77">
        <v>0.83333333333333337</v>
      </c>
      <c r="V2918">
        <v>48.92</v>
      </c>
      <c r="X2918" s="42"/>
      <c r="AB2918">
        <v>55.8</v>
      </c>
      <c r="AC2918">
        <v>64.94</v>
      </c>
      <c r="AE2918" s="74"/>
      <c r="AF2918" s="77"/>
      <c r="AH2918" s="497">
        <v>57.2</v>
      </c>
      <c r="AJ2918" s="42"/>
      <c r="AK2918" s="74"/>
      <c r="AL2918" s="77"/>
      <c r="AN2918" s="497">
        <v>44.96</v>
      </c>
      <c r="AP2918" s="42"/>
      <c r="AQ2918" s="74"/>
      <c r="AR2918" s="77"/>
      <c r="AT2918" s="497">
        <v>53.96</v>
      </c>
      <c r="AV2918" s="42"/>
      <c r="AW2918" s="74"/>
      <c r="AX2918" s="77"/>
      <c r="BA2918" s="497">
        <v>51.08</v>
      </c>
      <c r="BB2918" s="42"/>
      <c r="BC2918" s="74"/>
      <c r="BD2918" s="77"/>
      <c r="BF2918">
        <v>51.08</v>
      </c>
      <c r="BH2918" s="42"/>
      <c r="BI2918" s="74"/>
      <c r="BJ2918" s="77"/>
      <c r="BL2918" s="497">
        <v>53.06</v>
      </c>
      <c r="BN2918" s="42"/>
      <c r="BO2918" s="74"/>
      <c r="BP2918" s="77"/>
      <c r="BR2918" s="497">
        <v>53.96</v>
      </c>
      <c r="BT2918" s="42"/>
    </row>
    <row r="2919" spans="1:72" x14ac:dyDescent="0.25">
      <c r="A2919" s="90">
        <v>36281</v>
      </c>
      <c r="B2919" s="20">
        <v>0.875</v>
      </c>
      <c r="D2919">
        <v>57.92</v>
      </c>
      <c r="E2919" t="str">
        <f t="shared" si="126"/>
        <v>SATURDAY</v>
      </c>
      <c r="F2919" t="e">
        <f t="shared" si="125"/>
        <v>#N/A</v>
      </c>
      <c r="G2919" s="74">
        <v>31898</v>
      </c>
      <c r="H2919" s="77">
        <v>0.875</v>
      </c>
      <c r="J2919">
        <v>60.980000000000004</v>
      </c>
      <c r="M2919" s="74">
        <v>34455</v>
      </c>
      <c r="N2919" s="77">
        <v>0.875</v>
      </c>
      <c r="P2919">
        <v>53.96</v>
      </c>
      <c r="S2919" s="74">
        <v>36281</v>
      </c>
      <c r="T2919" s="77">
        <v>0.875</v>
      </c>
      <c r="V2919">
        <v>48.92</v>
      </c>
      <c r="X2919" s="42"/>
      <c r="AB2919">
        <v>54.8</v>
      </c>
      <c r="AC2919">
        <v>62.06</v>
      </c>
      <c r="AE2919" s="74"/>
      <c r="AF2919" s="77"/>
      <c r="AH2919" s="497">
        <v>57.2</v>
      </c>
      <c r="AJ2919" s="42"/>
      <c r="AK2919" s="74"/>
      <c r="AL2919" s="77"/>
      <c r="AN2919" s="497">
        <v>44.06</v>
      </c>
      <c r="AP2919" s="42"/>
      <c r="AQ2919" s="74"/>
      <c r="AR2919" s="77"/>
      <c r="AT2919" s="497">
        <v>55.040000000000006</v>
      </c>
      <c r="AV2919" s="42"/>
      <c r="AW2919" s="74"/>
      <c r="AX2919" s="77"/>
      <c r="BA2919" s="497">
        <v>48.019999999999996</v>
      </c>
      <c r="BB2919" s="42"/>
      <c r="BC2919" s="74"/>
      <c r="BD2919" s="77"/>
      <c r="BF2919">
        <v>48.92</v>
      </c>
      <c r="BH2919" s="42"/>
      <c r="BI2919" s="74"/>
      <c r="BJ2919" s="77"/>
      <c r="BL2919" s="497">
        <v>50</v>
      </c>
      <c r="BN2919" s="42"/>
      <c r="BO2919" s="74"/>
      <c r="BP2919" s="77"/>
      <c r="BR2919" s="497">
        <v>48.92</v>
      </c>
      <c r="BT2919" s="42"/>
    </row>
    <row r="2920" spans="1:72" x14ac:dyDescent="0.25">
      <c r="A2920" s="90">
        <v>36281</v>
      </c>
      <c r="B2920" s="20">
        <v>0.91666666666666663</v>
      </c>
      <c r="D2920">
        <v>55.94</v>
      </c>
      <c r="E2920" t="str">
        <f t="shared" si="126"/>
        <v>SATURDAY</v>
      </c>
      <c r="F2920" t="e">
        <f t="shared" si="125"/>
        <v>#N/A</v>
      </c>
      <c r="G2920" s="74">
        <v>31898</v>
      </c>
      <c r="H2920" s="77">
        <v>0.91666666666666663</v>
      </c>
      <c r="J2920">
        <v>60.08</v>
      </c>
      <c r="M2920" s="74">
        <v>34455</v>
      </c>
      <c r="N2920" s="77">
        <v>0.91666666666666663</v>
      </c>
      <c r="P2920">
        <v>51.980000000000004</v>
      </c>
      <c r="S2920" s="74">
        <v>36281</v>
      </c>
      <c r="T2920" s="77">
        <v>0.91666666666666663</v>
      </c>
      <c r="V2920">
        <v>50</v>
      </c>
      <c r="X2920" s="42"/>
      <c r="AB2920">
        <v>54.2</v>
      </c>
      <c r="AC2920">
        <v>60.08</v>
      </c>
      <c r="AE2920" s="74"/>
      <c r="AF2920" s="77"/>
      <c r="AH2920" s="497">
        <v>57.2</v>
      </c>
      <c r="AJ2920" s="42"/>
      <c r="AK2920" s="74"/>
      <c r="AL2920" s="77"/>
      <c r="AN2920" s="497">
        <v>42.08</v>
      </c>
      <c r="AP2920" s="42"/>
      <c r="AQ2920" s="74"/>
      <c r="AR2920" s="77"/>
      <c r="AT2920" s="497">
        <v>55.040000000000006</v>
      </c>
      <c r="AV2920" s="42"/>
      <c r="AW2920" s="74"/>
      <c r="AX2920" s="77"/>
      <c r="BA2920" s="497">
        <v>46.94</v>
      </c>
      <c r="BB2920" s="42"/>
      <c r="BC2920" s="74"/>
      <c r="BD2920" s="77"/>
      <c r="BF2920">
        <v>48.019999999999996</v>
      </c>
      <c r="BH2920" s="42"/>
      <c r="BI2920" s="74"/>
      <c r="BJ2920" s="77"/>
      <c r="BL2920" s="497">
        <v>46.94</v>
      </c>
      <c r="BN2920" s="42"/>
      <c r="BO2920" s="74"/>
      <c r="BP2920" s="77"/>
      <c r="BR2920" s="497">
        <v>44.96</v>
      </c>
      <c r="BT2920" s="42"/>
    </row>
    <row r="2921" spans="1:72" x14ac:dyDescent="0.25">
      <c r="A2921" s="90">
        <v>36281</v>
      </c>
      <c r="B2921" s="20">
        <v>0.95833333333333337</v>
      </c>
      <c r="D2921">
        <v>53.96</v>
      </c>
      <c r="E2921" t="str">
        <f t="shared" si="126"/>
        <v>SATURDAY</v>
      </c>
      <c r="F2921" t="e">
        <f t="shared" si="125"/>
        <v>#N/A</v>
      </c>
      <c r="G2921" s="74">
        <v>31898</v>
      </c>
      <c r="H2921" s="77">
        <v>0.95833333333333337</v>
      </c>
      <c r="J2921">
        <v>59</v>
      </c>
      <c r="M2921" s="74">
        <v>34455</v>
      </c>
      <c r="N2921" s="77">
        <v>0.95833333333333337</v>
      </c>
      <c r="P2921">
        <v>50</v>
      </c>
      <c r="S2921" s="74">
        <v>36281</v>
      </c>
      <c r="T2921" s="77">
        <v>0.95833333333333337</v>
      </c>
      <c r="V2921">
        <v>48.92</v>
      </c>
      <c r="X2921" s="42"/>
      <c r="AB2921">
        <v>53.6</v>
      </c>
      <c r="AC2921">
        <v>59</v>
      </c>
      <c r="AE2921" s="74"/>
      <c r="AF2921" s="77"/>
      <c r="AH2921" s="497">
        <v>53.6</v>
      </c>
      <c r="AJ2921" s="42"/>
      <c r="AK2921" s="74"/>
      <c r="AL2921" s="77"/>
      <c r="AN2921" s="497">
        <v>42.08</v>
      </c>
      <c r="AP2921" s="42"/>
      <c r="AQ2921" s="74"/>
      <c r="AR2921" s="77"/>
      <c r="AT2921" s="497">
        <v>51.980000000000004</v>
      </c>
      <c r="AV2921" s="42"/>
      <c r="AW2921" s="74"/>
      <c r="AX2921" s="77"/>
      <c r="BA2921" s="497">
        <v>46.04</v>
      </c>
      <c r="BB2921" s="42"/>
      <c r="BC2921" s="74"/>
      <c r="BD2921" s="77"/>
      <c r="BF2921">
        <v>46.94</v>
      </c>
      <c r="BH2921" s="42"/>
      <c r="BI2921" s="74"/>
      <c r="BJ2921" s="77"/>
      <c r="BL2921" s="497">
        <v>44.96</v>
      </c>
      <c r="BN2921" s="42"/>
      <c r="BO2921" s="74"/>
      <c r="BP2921" s="77"/>
      <c r="BR2921" s="497">
        <v>42.980000000000004</v>
      </c>
      <c r="BT2921" s="42"/>
    </row>
    <row r="2922" spans="1:72" x14ac:dyDescent="0.25">
      <c r="A2922" s="90">
        <v>36281</v>
      </c>
      <c r="B2922" s="20">
        <v>1</v>
      </c>
      <c r="D2922">
        <v>51.08</v>
      </c>
      <c r="E2922" t="str">
        <f t="shared" si="126"/>
        <v>SATURDAY</v>
      </c>
      <c r="F2922" t="e">
        <f t="shared" si="125"/>
        <v>#N/A</v>
      </c>
      <c r="G2922" s="74">
        <v>31898</v>
      </c>
      <c r="H2922" s="77">
        <v>1</v>
      </c>
      <c r="J2922">
        <v>57.92</v>
      </c>
      <c r="M2922" s="74">
        <v>34455</v>
      </c>
      <c r="N2922" s="80">
        <v>1</v>
      </c>
      <c r="P2922">
        <v>48.92</v>
      </c>
      <c r="S2922" s="74">
        <v>36281</v>
      </c>
      <c r="T2922" s="80">
        <v>1</v>
      </c>
      <c r="V2922">
        <v>48.019999999999996</v>
      </c>
      <c r="X2922" s="42"/>
      <c r="AB2922">
        <v>53.3</v>
      </c>
      <c r="AC2922">
        <v>57.019999999999996</v>
      </c>
      <c r="AE2922" s="74"/>
      <c r="AF2922" s="80"/>
      <c r="AH2922" s="497">
        <v>51.8</v>
      </c>
      <c r="AJ2922" s="42"/>
      <c r="AK2922" s="74"/>
      <c r="AL2922" s="80"/>
      <c r="AN2922" s="497">
        <v>41</v>
      </c>
      <c r="AP2922" s="42"/>
      <c r="AQ2922" s="74"/>
      <c r="AR2922" s="80"/>
      <c r="AT2922" s="497">
        <v>50</v>
      </c>
      <c r="AV2922" s="42"/>
      <c r="AW2922" s="74"/>
      <c r="AX2922" s="80"/>
      <c r="BA2922" s="497">
        <v>46.04</v>
      </c>
      <c r="BB2922" s="42"/>
      <c r="BC2922" s="74"/>
      <c r="BD2922" s="80"/>
      <c r="BF2922">
        <v>46.04</v>
      </c>
      <c r="BH2922" s="42"/>
      <c r="BI2922" s="74"/>
      <c r="BJ2922" s="80"/>
      <c r="BL2922" s="497">
        <v>41</v>
      </c>
      <c r="BN2922" s="42"/>
      <c r="BO2922" s="74"/>
      <c r="BP2922" s="80"/>
      <c r="BR2922" s="497">
        <v>42.08</v>
      </c>
      <c r="BT2922" s="42"/>
    </row>
    <row r="2923" spans="1:72" x14ac:dyDescent="0.25">
      <c r="A2923" s="90">
        <v>36282</v>
      </c>
      <c r="B2923" s="20">
        <v>4.1666666666666664E-2</v>
      </c>
      <c r="D2923">
        <v>50</v>
      </c>
      <c r="E2923" t="str">
        <f t="shared" si="126"/>
        <v>SUNDAY</v>
      </c>
      <c r="F2923" t="e">
        <f t="shared" ref="F2923:F2986" si="127">IF(E2923="WEEKDAY",VLOOKUP(B2923,$DD$19:$DG$42,2),IF(E2923="SATURDAY",VLOOKUP(B2923,$DD$19:$DG$42,3),VLOOKUP(B2923,$DD$19:$DG$42,4)))</f>
        <v>#N/A</v>
      </c>
      <c r="G2923" s="74">
        <v>31899</v>
      </c>
      <c r="H2923" s="77">
        <v>4.1666666666666664E-2</v>
      </c>
      <c r="J2923">
        <v>55.94</v>
      </c>
      <c r="M2923" s="74">
        <v>34456</v>
      </c>
      <c r="N2923" s="77">
        <v>4.1666666666666664E-2</v>
      </c>
      <c r="P2923">
        <v>48.92</v>
      </c>
      <c r="S2923" s="74">
        <v>36282</v>
      </c>
      <c r="T2923" s="77">
        <v>4.1666666666666664E-2</v>
      </c>
      <c r="V2923">
        <v>48.019999999999996</v>
      </c>
      <c r="X2923" s="42"/>
      <c r="AB2923">
        <v>52.7</v>
      </c>
      <c r="AC2923">
        <v>57.92</v>
      </c>
      <c r="AE2923" s="74"/>
      <c r="AF2923" s="77"/>
      <c r="AH2923" s="497">
        <v>51.8</v>
      </c>
      <c r="AJ2923" s="42"/>
      <c r="AK2923" s="74"/>
      <c r="AL2923" s="77"/>
      <c r="AN2923" s="497">
        <v>41</v>
      </c>
      <c r="AP2923" s="42"/>
      <c r="AQ2923" s="74"/>
      <c r="AR2923" s="77"/>
      <c r="AT2923" s="497">
        <v>48.92</v>
      </c>
      <c r="AV2923" s="42"/>
      <c r="AW2923" s="74"/>
      <c r="AX2923" s="77"/>
      <c r="BA2923" s="497">
        <v>42.980000000000004</v>
      </c>
      <c r="BB2923" s="42"/>
      <c r="BC2923" s="74"/>
      <c r="BD2923" s="77"/>
      <c r="BF2923">
        <v>44.06</v>
      </c>
      <c r="BH2923" s="42"/>
      <c r="BI2923" s="74"/>
      <c r="BJ2923" s="77"/>
      <c r="BL2923" s="497">
        <v>39.019999999999996</v>
      </c>
      <c r="BN2923" s="42"/>
      <c r="BO2923" s="74"/>
      <c r="BP2923" s="77"/>
      <c r="BR2923" s="497">
        <v>39.019999999999996</v>
      </c>
      <c r="BT2923" s="42"/>
    </row>
    <row r="2924" spans="1:72" x14ac:dyDescent="0.25">
      <c r="A2924" s="90">
        <v>36282</v>
      </c>
      <c r="B2924" s="20">
        <v>8.3333333333333329E-2</v>
      </c>
      <c r="D2924">
        <v>48.92</v>
      </c>
      <c r="E2924" t="str">
        <f t="shared" si="126"/>
        <v>SUNDAY</v>
      </c>
      <c r="F2924" t="e">
        <f t="shared" si="127"/>
        <v>#N/A</v>
      </c>
      <c r="G2924" s="74">
        <v>31899</v>
      </c>
      <c r="H2924" s="77">
        <v>8.3333333333333329E-2</v>
      </c>
      <c r="J2924">
        <v>55.040000000000006</v>
      </c>
      <c r="M2924" s="74">
        <v>34456</v>
      </c>
      <c r="N2924" s="77">
        <v>8.3333333333333329E-2</v>
      </c>
      <c r="P2924">
        <v>44.96</v>
      </c>
      <c r="S2924" s="74">
        <v>36282</v>
      </c>
      <c r="T2924" s="77">
        <v>8.3333333333333329E-2</v>
      </c>
      <c r="V2924">
        <v>46.94</v>
      </c>
      <c r="X2924" s="42"/>
      <c r="AB2924">
        <v>52.3</v>
      </c>
      <c r="AC2924">
        <v>59</v>
      </c>
      <c r="AE2924" s="74"/>
      <c r="AF2924" s="77"/>
      <c r="AH2924" s="497">
        <v>51.8</v>
      </c>
      <c r="AJ2924" s="42"/>
      <c r="AK2924" s="74"/>
      <c r="AL2924" s="77"/>
      <c r="AN2924" s="497">
        <v>39.019999999999996</v>
      </c>
      <c r="AP2924" s="42"/>
      <c r="AQ2924" s="74"/>
      <c r="AR2924" s="77"/>
      <c r="AT2924" s="497">
        <v>46.94</v>
      </c>
      <c r="AV2924" s="42"/>
      <c r="AW2924" s="74"/>
      <c r="AX2924" s="77"/>
      <c r="BA2924" s="497">
        <v>42.08</v>
      </c>
      <c r="BB2924" s="42"/>
      <c r="BC2924" s="74"/>
      <c r="BD2924" s="77"/>
      <c r="BF2924">
        <v>42.08</v>
      </c>
      <c r="BH2924" s="42"/>
      <c r="BI2924" s="74"/>
      <c r="BJ2924" s="77"/>
      <c r="BL2924" s="497">
        <v>37.94</v>
      </c>
      <c r="BN2924" s="42"/>
      <c r="BO2924" s="74"/>
      <c r="BP2924" s="77"/>
      <c r="BR2924" s="497">
        <v>39.92</v>
      </c>
      <c r="BT2924" s="42"/>
    </row>
    <row r="2925" spans="1:72" x14ac:dyDescent="0.25">
      <c r="A2925" s="90">
        <v>36282</v>
      </c>
      <c r="B2925" s="20">
        <v>0.125</v>
      </c>
      <c r="D2925">
        <v>48.019999999999996</v>
      </c>
      <c r="E2925" t="str">
        <f t="shared" si="126"/>
        <v>SUNDAY</v>
      </c>
      <c r="F2925" t="e">
        <f t="shared" si="127"/>
        <v>#N/A</v>
      </c>
      <c r="G2925" s="74">
        <v>31899</v>
      </c>
      <c r="H2925" s="77">
        <v>0.125</v>
      </c>
      <c r="J2925">
        <v>53.96</v>
      </c>
      <c r="M2925" s="74">
        <v>34456</v>
      </c>
      <c r="N2925" s="77">
        <v>0.125</v>
      </c>
      <c r="P2925">
        <v>44.96</v>
      </c>
      <c r="S2925" s="74">
        <v>36282</v>
      </c>
      <c r="T2925" s="77">
        <v>0.125</v>
      </c>
      <c r="V2925">
        <v>46.94</v>
      </c>
      <c r="X2925" s="42"/>
      <c r="AB2925">
        <v>51.9</v>
      </c>
      <c r="AC2925">
        <v>59</v>
      </c>
      <c r="AE2925" s="74"/>
      <c r="AF2925" s="77"/>
      <c r="AH2925" s="497">
        <v>53.6</v>
      </c>
      <c r="AJ2925" s="42"/>
      <c r="AK2925" s="74"/>
      <c r="AL2925" s="77"/>
      <c r="AN2925" s="497">
        <v>37.94</v>
      </c>
      <c r="AP2925" s="42"/>
      <c r="AQ2925" s="74"/>
      <c r="AR2925" s="77"/>
      <c r="AT2925" s="497">
        <v>48.019999999999996</v>
      </c>
      <c r="AV2925" s="42"/>
      <c r="AW2925" s="74"/>
      <c r="AX2925" s="77"/>
      <c r="BA2925" s="497">
        <v>41</v>
      </c>
      <c r="BB2925" s="42"/>
      <c r="BC2925" s="74"/>
      <c r="BD2925" s="77"/>
      <c r="BF2925">
        <v>41</v>
      </c>
      <c r="BH2925" s="42"/>
      <c r="BI2925" s="74"/>
      <c r="BJ2925" s="77"/>
      <c r="BL2925" s="497">
        <v>37.04</v>
      </c>
      <c r="BN2925" s="42"/>
      <c r="BO2925" s="74"/>
      <c r="BP2925" s="77"/>
      <c r="BR2925" s="497">
        <v>37.04</v>
      </c>
      <c r="BT2925" s="42"/>
    </row>
    <row r="2926" spans="1:72" x14ac:dyDescent="0.25">
      <c r="A2926" s="90">
        <v>36282</v>
      </c>
      <c r="B2926" s="20">
        <v>0.16666666666666666</v>
      </c>
      <c r="D2926">
        <v>46.94</v>
      </c>
      <c r="E2926" t="str">
        <f t="shared" si="126"/>
        <v>SUNDAY</v>
      </c>
      <c r="F2926" t="e">
        <f t="shared" si="127"/>
        <v>#N/A</v>
      </c>
      <c r="G2926" s="74">
        <v>31899</v>
      </c>
      <c r="H2926" s="77">
        <v>0.16666666666666666</v>
      </c>
      <c r="J2926">
        <v>53.96</v>
      </c>
      <c r="M2926" s="74">
        <v>34456</v>
      </c>
      <c r="N2926" s="77">
        <v>0.16666666666666666</v>
      </c>
      <c r="P2926">
        <v>43.879999999999995</v>
      </c>
      <c r="S2926" s="74">
        <v>36282</v>
      </c>
      <c r="T2926" s="77">
        <v>0.16666666666666666</v>
      </c>
      <c r="V2926">
        <v>46.94</v>
      </c>
      <c r="X2926" s="42"/>
      <c r="AB2926">
        <v>51.3</v>
      </c>
      <c r="AC2926">
        <v>57.019999999999996</v>
      </c>
      <c r="AE2926" s="74"/>
      <c r="AF2926" s="77"/>
      <c r="AH2926" s="497">
        <v>55.400000000000006</v>
      </c>
      <c r="AJ2926" s="42"/>
      <c r="AK2926" s="74"/>
      <c r="AL2926" s="77"/>
      <c r="AN2926" s="497">
        <v>37.04</v>
      </c>
      <c r="AP2926" s="42"/>
      <c r="AQ2926" s="74"/>
      <c r="AR2926" s="77"/>
      <c r="AT2926" s="497">
        <v>46.94</v>
      </c>
      <c r="AV2926" s="42"/>
      <c r="AW2926" s="74"/>
      <c r="AX2926" s="77"/>
      <c r="BA2926" s="497">
        <v>39.92</v>
      </c>
      <c r="BB2926" s="42"/>
      <c r="BC2926" s="74"/>
      <c r="BD2926" s="77"/>
      <c r="BF2926">
        <v>44.06</v>
      </c>
      <c r="BH2926" s="42"/>
      <c r="BI2926" s="74"/>
      <c r="BJ2926" s="77"/>
      <c r="BL2926" s="497">
        <v>33.979999999999997</v>
      </c>
      <c r="BN2926" s="42"/>
      <c r="BO2926" s="74"/>
      <c r="BP2926" s="77"/>
      <c r="BR2926" s="497">
        <v>35.06</v>
      </c>
      <c r="BT2926" s="42"/>
    </row>
    <row r="2927" spans="1:72" x14ac:dyDescent="0.25">
      <c r="A2927" s="90">
        <v>36282</v>
      </c>
      <c r="B2927" s="20">
        <v>0.20833333333333334</v>
      </c>
      <c r="D2927">
        <v>46.94</v>
      </c>
      <c r="E2927" t="str">
        <f t="shared" si="126"/>
        <v>SUNDAY</v>
      </c>
      <c r="F2927" t="e">
        <f t="shared" si="127"/>
        <v>#N/A</v>
      </c>
      <c r="G2927" s="74">
        <v>31899</v>
      </c>
      <c r="H2927" s="77">
        <v>0.20833333333333334</v>
      </c>
      <c r="J2927">
        <v>53.96</v>
      </c>
      <c r="M2927" s="74">
        <v>34456</v>
      </c>
      <c r="N2927" s="77">
        <v>0.20833333333333334</v>
      </c>
      <c r="P2927">
        <v>43.879999999999995</v>
      </c>
      <c r="S2927" s="74">
        <v>36282</v>
      </c>
      <c r="T2927" s="77">
        <v>0.20833333333333334</v>
      </c>
      <c r="V2927">
        <v>46.94</v>
      </c>
      <c r="X2927" s="42"/>
      <c r="AB2927">
        <v>50.9</v>
      </c>
      <c r="AC2927">
        <v>57.92</v>
      </c>
      <c r="AE2927" s="74"/>
      <c r="AF2927" s="77"/>
      <c r="AH2927" s="497">
        <v>54.5</v>
      </c>
      <c r="AJ2927" s="42"/>
      <c r="AK2927" s="74"/>
      <c r="AL2927" s="77"/>
      <c r="AN2927" s="497">
        <v>37.94</v>
      </c>
      <c r="AP2927" s="42"/>
      <c r="AQ2927" s="74"/>
      <c r="AR2927" s="77"/>
      <c r="AT2927" s="497">
        <v>46.94</v>
      </c>
      <c r="AV2927" s="42"/>
      <c r="AW2927" s="74"/>
      <c r="AX2927" s="77"/>
      <c r="BA2927" s="497">
        <v>41</v>
      </c>
      <c r="BB2927" s="42"/>
      <c r="BC2927" s="74"/>
      <c r="BD2927" s="77"/>
      <c r="BF2927">
        <v>44.96</v>
      </c>
      <c r="BH2927" s="42"/>
      <c r="BI2927" s="74"/>
      <c r="BJ2927" s="77"/>
      <c r="BL2927" s="497">
        <v>33.08</v>
      </c>
      <c r="BN2927" s="42"/>
      <c r="BO2927" s="74"/>
      <c r="BP2927" s="77"/>
      <c r="BR2927" s="497">
        <v>35.06</v>
      </c>
      <c r="BT2927" s="42"/>
    </row>
    <row r="2928" spans="1:72" x14ac:dyDescent="0.25">
      <c r="A2928" s="90">
        <v>36282</v>
      </c>
      <c r="B2928" s="20">
        <v>0.25</v>
      </c>
      <c r="D2928">
        <v>46.94</v>
      </c>
      <c r="E2928" t="str">
        <f t="shared" si="126"/>
        <v>SUNDAY</v>
      </c>
      <c r="F2928" t="e">
        <f t="shared" si="127"/>
        <v>#N/A</v>
      </c>
      <c r="G2928" s="74">
        <v>31899</v>
      </c>
      <c r="H2928" s="77">
        <v>0.25</v>
      </c>
      <c r="J2928">
        <v>53.96</v>
      </c>
      <c r="M2928" s="74">
        <v>34456</v>
      </c>
      <c r="N2928" s="77">
        <v>0.25</v>
      </c>
      <c r="P2928">
        <v>43.879999999999995</v>
      </c>
      <c r="S2928" s="74">
        <v>36282</v>
      </c>
      <c r="T2928" s="77">
        <v>0.25</v>
      </c>
      <c r="V2928">
        <v>48.019999999999996</v>
      </c>
      <c r="X2928" s="42"/>
      <c r="AB2928">
        <v>50.6</v>
      </c>
      <c r="AC2928">
        <v>60.08</v>
      </c>
      <c r="AE2928" s="74"/>
      <c r="AF2928" s="77"/>
      <c r="AH2928" s="497">
        <v>55.400000000000006</v>
      </c>
      <c r="AJ2928" s="42"/>
      <c r="AK2928" s="74"/>
      <c r="AL2928" s="77"/>
      <c r="AN2928" s="497">
        <v>37.94</v>
      </c>
      <c r="AP2928" s="42"/>
      <c r="AQ2928" s="74"/>
      <c r="AR2928" s="77"/>
      <c r="AT2928" s="497">
        <v>46.94</v>
      </c>
      <c r="AV2928" s="42"/>
      <c r="AW2928" s="74"/>
      <c r="AX2928" s="77"/>
      <c r="BA2928" s="497">
        <v>42.08</v>
      </c>
      <c r="BB2928" s="42"/>
      <c r="BC2928" s="74"/>
      <c r="BD2928" s="77"/>
      <c r="BF2928">
        <v>46.04</v>
      </c>
      <c r="BH2928" s="42"/>
      <c r="BI2928" s="74"/>
      <c r="BJ2928" s="77"/>
      <c r="BL2928" s="497">
        <v>33.08</v>
      </c>
      <c r="BN2928" s="42"/>
      <c r="BO2928" s="74"/>
      <c r="BP2928" s="77"/>
      <c r="BR2928" s="497">
        <v>37.94</v>
      </c>
      <c r="BT2928" s="42"/>
    </row>
    <row r="2929" spans="1:72" x14ac:dyDescent="0.25">
      <c r="A2929" s="90">
        <v>36282</v>
      </c>
      <c r="B2929" s="20">
        <v>0.29166666666666669</v>
      </c>
      <c r="D2929">
        <v>48.019999999999996</v>
      </c>
      <c r="E2929" t="str">
        <f t="shared" si="126"/>
        <v>SUNDAY</v>
      </c>
      <c r="F2929" t="e">
        <f t="shared" si="127"/>
        <v>#N/A</v>
      </c>
      <c r="G2929" s="74">
        <v>31899</v>
      </c>
      <c r="H2929" s="77">
        <v>0.29166666666666669</v>
      </c>
      <c r="J2929">
        <v>55.040000000000006</v>
      </c>
      <c r="M2929" s="74">
        <v>34456</v>
      </c>
      <c r="N2929" s="77">
        <v>0.29166666666666669</v>
      </c>
      <c r="P2929">
        <v>44.96</v>
      </c>
      <c r="S2929" s="74">
        <v>36282</v>
      </c>
      <c r="T2929" s="77">
        <v>0.29166666666666669</v>
      </c>
      <c r="V2929">
        <v>53.06</v>
      </c>
      <c r="X2929" s="42"/>
      <c r="AB2929">
        <v>51.6</v>
      </c>
      <c r="AC2929">
        <v>66.92</v>
      </c>
      <c r="AE2929" s="74"/>
      <c r="AF2929" s="77"/>
      <c r="AH2929" s="497">
        <v>55.400000000000006</v>
      </c>
      <c r="AJ2929" s="42"/>
      <c r="AK2929" s="74"/>
      <c r="AL2929" s="77"/>
      <c r="AN2929" s="497">
        <v>39.92</v>
      </c>
      <c r="AP2929" s="42"/>
      <c r="AQ2929" s="74"/>
      <c r="AR2929" s="77"/>
      <c r="AT2929" s="497">
        <v>48.92</v>
      </c>
      <c r="AV2929" s="42"/>
      <c r="AW2929" s="74"/>
      <c r="AX2929" s="77"/>
      <c r="BA2929" s="497">
        <v>44.96</v>
      </c>
      <c r="BB2929" s="42"/>
      <c r="BC2929" s="74"/>
      <c r="BD2929" s="77"/>
      <c r="BF2929">
        <v>48.019999999999996</v>
      </c>
      <c r="BH2929" s="42"/>
      <c r="BI2929" s="74"/>
      <c r="BJ2929" s="77"/>
      <c r="BL2929" s="497">
        <v>33.979999999999997</v>
      </c>
      <c r="BN2929" s="42"/>
      <c r="BO2929" s="74"/>
      <c r="BP2929" s="77"/>
      <c r="BR2929" s="497">
        <v>46.04</v>
      </c>
      <c r="BT2929" s="42"/>
    </row>
    <row r="2930" spans="1:72" x14ac:dyDescent="0.25">
      <c r="A2930" s="90">
        <v>36282</v>
      </c>
      <c r="B2930" s="20">
        <v>0.33333333333333331</v>
      </c>
      <c r="D2930">
        <v>48.92</v>
      </c>
      <c r="E2930" t="str">
        <f t="shared" si="126"/>
        <v>SUNDAY</v>
      </c>
      <c r="F2930" t="e">
        <f t="shared" si="127"/>
        <v>#N/A</v>
      </c>
      <c r="G2930" s="74">
        <v>31899</v>
      </c>
      <c r="H2930" s="77">
        <v>0.33333333333333331</v>
      </c>
      <c r="J2930">
        <v>57.019999999999996</v>
      </c>
      <c r="M2930" s="74">
        <v>34456</v>
      </c>
      <c r="N2930" s="77">
        <v>0.33333333333333331</v>
      </c>
      <c r="P2930">
        <v>45.86</v>
      </c>
      <c r="S2930" s="74">
        <v>36282</v>
      </c>
      <c r="T2930" s="77">
        <v>0.33333333333333331</v>
      </c>
      <c r="V2930">
        <v>57.92</v>
      </c>
      <c r="X2930" s="42"/>
      <c r="AB2930">
        <v>53.6</v>
      </c>
      <c r="AC2930">
        <v>73.94</v>
      </c>
      <c r="AE2930" s="74"/>
      <c r="AF2930" s="77"/>
      <c r="AH2930" s="497">
        <v>55.400000000000006</v>
      </c>
      <c r="AJ2930" s="42"/>
      <c r="AK2930" s="74"/>
      <c r="AL2930" s="77"/>
      <c r="AN2930" s="497">
        <v>41</v>
      </c>
      <c r="AP2930" s="42"/>
      <c r="AQ2930" s="74"/>
      <c r="AR2930" s="77"/>
      <c r="AT2930" s="497">
        <v>51.08</v>
      </c>
      <c r="AV2930" s="42"/>
      <c r="AW2930" s="74"/>
      <c r="AX2930" s="77"/>
      <c r="BA2930" s="497">
        <v>51.980000000000004</v>
      </c>
      <c r="BB2930" s="42"/>
      <c r="BC2930" s="74"/>
      <c r="BD2930" s="77"/>
      <c r="BF2930">
        <v>51.980000000000004</v>
      </c>
      <c r="BH2930" s="42"/>
      <c r="BI2930" s="74"/>
      <c r="BJ2930" s="77"/>
      <c r="BL2930" s="497">
        <v>33.979999999999997</v>
      </c>
      <c r="BN2930" s="42"/>
      <c r="BO2930" s="74"/>
      <c r="BP2930" s="77"/>
      <c r="BR2930" s="497">
        <v>51.980000000000004</v>
      </c>
      <c r="BT2930" s="42"/>
    </row>
    <row r="2931" spans="1:72" x14ac:dyDescent="0.25">
      <c r="A2931" s="90">
        <v>36282</v>
      </c>
      <c r="B2931" s="20">
        <v>0.375</v>
      </c>
      <c r="D2931">
        <v>51.980000000000004</v>
      </c>
      <c r="E2931" t="str">
        <f t="shared" si="126"/>
        <v>SUNDAY</v>
      </c>
      <c r="F2931" t="e">
        <f t="shared" si="127"/>
        <v>#N/A</v>
      </c>
      <c r="G2931" s="74">
        <v>31899</v>
      </c>
      <c r="H2931" s="77">
        <v>0.375</v>
      </c>
      <c r="J2931">
        <v>60.08</v>
      </c>
      <c r="M2931" s="74">
        <v>34456</v>
      </c>
      <c r="N2931" s="77">
        <v>0.375</v>
      </c>
      <c r="P2931">
        <v>48.379999999999995</v>
      </c>
      <c r="S2931" s="74">
        <v>36282</v>
      </c>
      <c r="T2931" s="77">
        <v>0.375</v>
      </c>
      <c r="V2931">
        <v>60.980000000000004</v>
      </c>
      <c r="X2931" s="42"/>
      <c r="AB2931">
        <v>55.5</v>
      </c>
      <c r="AC2931">
        <v>80.960000000000008</v>
      </c>
      <c r="AE2931" s="74"/>
      <c r="AF2931" s="77"/>
      <c r="AH2931" s="497">
        <v>55.400000000000006</v>
      </c>
      <c r="AJ2931" s="42"/>
      <c r="AK2931" s="74"/>
      <c r="AL2931" s="77"/>
      <c r="AN2931" s="497">
        <v>44.96</v>
      </c>
      <c r="AP2931" s="42"/>
      <c r="AQ2931" s="74"/>
      <c r="AR2931" s="77"/>
      <c r="AT2931" s="497">
        <v>55.94</v>
      </c>
      <c r="AV2931" s="42"/>
      <c r="AW2931" s="74"/>
      <c r="AX2931" s="77"/>
      <c r="BA2931" s="497">
        <v>55.040000000000006</v>
      </c>
      <c r="BB2931" s="42"/>
      <c r="BC2931" s="74"/>
      <c r="BD2931" s="77"/>
      <c r="BF2931">
        <v>57.92</v>
      </c>
      <c r="BH2931" s="42"/>
      <c r="BI2931" s="74"/>
      <c r="BJ2931" s="77"/>
      <c r="BL2931" s="497">
        <v>35.06</v>
      </c>
      <c r="BN2931" s="42"/>
      <c r="BO2931" s="74"/>
      <c r="BP2931" s="77"/>
      <c r="BR2931" s="497">
        <v>57.019999999999996</v>
      </c>
      <c r="BT2931" s="42"/>
    </row>
    <row r="2932" spans="1:72" x14ac:dyDescent="0.25">
      <c r="A2932" s="90">
        <v>36282</v>
      </c>
      <c r="B2932" s="20">
        <v>0.41666666666666669</v>
      </c>
      <c r="D2932">
        <v>53.06</v>
      </c>
      <c r="E2932" t="str">
        <f t="shared" si="126"/>
        <v>SUNDAY</v>
      </c>
      <c r="F2932" t="e">
        <f t="shared" si="127"/>
        <v>#N/A</v>
      </c>
      <c r="G2932" s="74">
        <v>31899</v>
      </c>
      <c r="H2932" s="77">
        <v>0.41666666666666669</v>
      </c>
      <c r="J2932">
        <v>60.980000000000004</v>
      </c>
      <c r="M2932" s="74">
        <v>34456</v>
      </c>
      <c r="N2932" s="77">
        <v>0.41666666666666669</v>
      </c>
      <c r="P2932">
        <v>50.900000000000006</v>
      </c>
      <c r="S2932" s="74">
        <v>36282</v>
      </c>
      <c r="T2932" s="77">
        <v>0.41666666666666669</v>
      </c>
      <c r="V2932">
        <v>62.96</v>
      </c>
      <c r="X2932" s="42"/>
      <c r="AB2932">
        <v>57.3</v>
      </c>
      <c r="AC2932">
        <v>84.02</v>
      </c>
      <c r="AE2932" s="74"/>
      <c r="AF2932" s="77"/>
      <c r="AH2932" s="497">
        <v>55.400000000000006</v>
      </c>
      <c r="AJ2932" s="42"/>
      <c r="AK2932" s="74"/>
      <c r="AL2932" s="77"/>
      <c r="AN2932" s="497">
        <v>48.92</v>
      </c>
      <c r="AP2932" s="42"/>
      <c r="AQ2932" s="74"/>
      <c r="AR2932" s="77"/>
      <c r="AT2932" s="497">
        <v>60.08</v>
      </c>
      <c r="AV2932" s="42"/>
      <c r="AW2932" s="74"/>
      <c r="AX2932" s="77"/>
      <c r="BA2932" s="497">
        <v>57.92</v>
      </c>
      <c r="BB2932" s="42"/>
      <c r="BC2932" s="74"/>
      <c r="BD2932" s="77"/>
      <c r="BF2932">
        <v>60.08</v>
      </c>
      <c r="BH2932" s="42"/>
      <c r="BI2932" s="74"/>
      <c r="BJ2932" s="77"/>
      <c r="BL2932" s="497">
        <v>37.04</v>
      </c>
      <c r="BN2932" s="42"/>
      <c r="BO2932" s="74"/>
      <c r="BP2932" s="77"/>
      <c r="BR2932" s="497">
        <v>62.06</v>
      </c>
      <c r="BT2932" s="42"/>
    </row>
    <row r="2933" spans="1:72" x14ac:dyDescent="0.25">
      <c r="A2933" s="90">
        <v>36282</v>
      </c>
      <c r="B2933" s="20">
        <v>0.45833333333333331</v>
      </c>
      <c r="D2933">
        <v>55.040000000000006</v>
      </c>
      <c r="E2933" t="str">
        <f t="shared" si="126"/>
        <v>SUNDAY</v>
      </c>
      <c r="F2933" t="e">
        <f t="shared" si="127"/>
        <v>#N/A</v>
      </c>
      <c r="G2933" s="74">
        <v>31899</v>
      </c>
      <c r="H2933" s="77">
        <v>0.45833333333333331</v>
      </c>
      <c r="J2933">
        <v>62.06</v>
      </c>
      <c r="M2933" s="74">
        <v>34456</v>
      </c>
      <c r="N2933" s="77">
        <v>0.45833333333333331</v>
      </c>
      <c r="P2933">
        <v>53.96</v>
      </c>
      <c r="S2933" s="74">
        <v>36282</v>
      </c>
      <c r="T2933" s="77">
        <v>0.45833333333333331</v>
      </c>
      <c r="V2933">
        <v>62.96</v>
      </c>
      <c r="X2933" s="42"/>
      <c r="AB2933">
        <v>58.9</v>
      </c>
      <c r="AC2933">
        <v>86</v>
      </c>
      <c r="AE2933" s="74"/>
      <c r="AF2933" s="77"/>
      <c r="AH2933" s="497">
        <v>55.400000000000006</v>
      </c>
      <c r="AJ2933" s="42"/>
      <c r="AK2933" s="74"/>
      <c r="AL2933" s="77"/>
      <c r="AN2933" s="497">
        <v>48.019999999999996</v>
      </c>
      <c r="AP2933" s="42"/>
      <c r="AQ2933" s="74"/>
      <c r="AR2933" s="77"/>
      <c r="AT2933" s="497">
        <v>62.06</v>
      </c>
      <c r="AV2933" s="42"/>
      <c r="AW2933" s="74"/>
      <c r="AX2933" s="77"/>
      <c r="BA2933" s="497">
        <v>60.08</v>
      </c>
      <c r="BB2933" s="42"/>
      <c r="BC2933" s="74"/>
      <c r="BD2933" s="77"/>
      <c r="BF2933">
        <v>62.06</v>
      </c>
      <c r="BH2933" s="42"/>
      <c r="BI2933" s="74"/>
      <c r="BJ2933" s="77"/>
      <c r="BL2933" s="497">
        <v>41</v>
      </c>
      <c r="BN2933" s="42"/>
      <c r="BO2933" s="74"/>
      <c r="BP2933" s="77"/>
      <c r="BR2933" s="497">
        <v>62.06</v>
      </c>
      <c r="BT2933" s="42"/>
    </row>
    <row r="2934" spans="1:72" x14ac:dyDescent="0.25">
      <c r="A2934" s="90">
        <v>36282</v>
      </c>
      <c r="B2934" s="20">
        <v>0.5</v>
      </c>
      <c r="D2934">
        <v>57.019999999999996</v>
      </c>
      <c r="E2934" t="str">
        <f t="shared" si="126"/>
        <v>SUNDAY</v>
      </c>
      <c r="F2934" t="e">
        <f t="shared" si="127"/>
        <v>#N/A</v>
      </c>
      <c r="G2934" s="74">
        <v>31899</v>
      </c>
      <c r="H2934" s="77">
        <v>0.5</v>
      </c>
      <c r="J2934">
        <v>60.08</v>
      </c>
      <c r="M2934" s="74">
        <v>34456</v>
      </c>
      <c r="N2934" s="77">
        <v>0.5</v>
      </c>
      <c r="P2934">
        <v>55.58</v>
      </c>
      <c r="S2934" s="74">
        <v>36282</v>
      </c>
      <c r="T2934" s="77">
        <v>0.5</v>
      </c>
      <c r="V2934">
        <v>62.6</v>
      </c>
      <c r="X2934" s="42"/>
      <c r="AB2934">
        <v>60.1</v>
      </c>
      <c r="AC2934">
        <v>82.94</v>
      </c>
      <c r="AE2934" s="74"/>
      <c r="AF2934" s="77"/>
      <c r="AH2934" s="497">
        <v>55.400000000000006</v>
      </c>
      <c r="AJ2934" s="42"/>
      <c r="AK2934" s="74"/>
      <c r="AL2934" s="77"/>
      <c r="AN2934" s="497">
        <v>50</v>
      </c>
      <c r="AP2934" s="42"/>
      <c r="AQ2934" s="74"/>
      <c r="AR2934" s="77"/>
      <c r="AT2934" s="497">
        <v>62.96</v>
      </c>
      <c r="AV2934" s="42"/>
      <c r="AW2934" s="74"/>
      <c r="AX2934" s="77"/>
      <c r="BA2934" s="497">
        <v>60.980000000000004</v>
      </c>
      <c r="BB2934" s="42"/>
      <c r="BC2934" s="74"/>
      <c r="BD2934" s="77"/>
      <c r="BF2934">
        <v>62.06</v>
      </c>
      <c r="BH2934" s="42"/>
      <c r="BI2934" s="74"/>
      <c r="BJ2934" s="77"/>
      <c r="BL2934" s="497">
        <v>42.08</v>
      </c>
      <c r="BN2934" s="42"/>
      <c r="BO2934" s="74"/>
      <c r="BP2934" s="77"/>
      <c r="BR2934" s="497">
        <v>64.94</v>
      </c>
      <c r="BT2934" s="42"/>
    </row>
    <row r="2935" spans="1:72" x14ac:dyDescent="0.25">
      <c r="A2935" s="90">
        <v>36282</v>
      </c>
      <c r="B2935" s="20">
        <v>0.54166666666666663</v>
      </c>
      <c r="D2935">
        <v>59</v>
      </c>
      <c r="E2935" t="str">
        <f t="shared" si="126"/>
        <v>SUNDAY</v>
      </c>
      <c r="F2935" t="e">
        <f t="shared" si="127"/>
        <v>#N/A</v>
      </c>
      <c r="G2935" s="74">
        <v>31899</v>
      </c>
      <c r="H2935" s="77">
        <v>0.54166666666666663</v>
      </c>
      <c r="J2935">
        <v>60.980000000000004</v>
      </c>
      <c r="M2935" s="74">
        <v>34456</v>
      </c>
      <c r="N2935" s="77">
        <v>0.54166666666666663</v>
      </c>
      <c r="P2935">
        <v>56.84</v>
      </c>
      <c r="S2935" s="74">
        <v>36282</v>
      </c>
      <c r="T2935" s="77">
        <v>0.54166666666666663</v>
      </c>
      <c r="V2935">
        <v>64.039999999999992</v>
      </c>
      <c r="X2935" s="42"/>
      <c r="AB2935">
        <v>60.9</v>
      </c>
      <c r="AC2935">
        <v>80.960000000000008</v>
      </c>
      <c r="AE2935" s="74"/>
      <c r="AF2935" s="77"/>
      <c r="AH2935" s="497">
        <v>57.2</v>
      </c>
      <c r="AJ2935" s="42"/>
      <c r="AK2935" s="74"/>
      <c r="AL2935" s="77"/>
      <c r="AN2935" s="497">
        <v>51.08</v>
      </c>
      <c r="AP2935" s="42"/>
      <c r="AQ2935" s="74"/>
      <c r="AR2935" s="77"/>
      <c r="AT2935" s="497">
        <v>64.039999999999992</v>
      </c>
      <c r="AV2935" s="42"/>
      <c r="AW2935" s="74"/>
      <c r="AX2935" s="77"/>
      <c r="BA2935" s="497">
        <v>62.06</v>
      </c>
      <c r="BB2935" s="42"/>
      <c r="BC2935" s="74"/>
      <c r="BD2935" s="77"/>
      <c r="BF2935">
        <v>60.980000000000004</v>
      </c>
      <c r="BH2935" s="42"/>
      <c r="BI2935" s="74"/>
      <c r="BJ2935" s="77"/>
      <c r="BL2935" s="497">
        <v>44.06</v>
      </c>
      <c r="BN2935" s="42"/>
      <c r="BO2935" s="74"/>
      <c r="BP2935" s="77"/>
      <c r="BR2935" s="497">
        <v>66.92</v>
      </c>
      <c r="BT2935" s="42"/>
    </row>
    <row r="2936" spans="1:72" x14ac:dyDescent="0.25">
      <c r="A2936" s="90">
        <v>36282</v>
      </c>
      <c r="B2936" s="20">
        <v>0.58333333333333337</v>
      </c>
      <c r="D2936">
        <v>60.08</v>
      </c>
      <c r="E2936" t="str">
        <f t="shared" si="126"/>
        <v>SUNDAY</v>
      </c>
      <c r="F2936" t="e">
        <f t="shared" si="127"/>
        <v>#N/A</v>
      </c>
      <c r="G2936" s="74">
        <v>31899</v>
      </c>
      <c r="H2936" s="77">
        <v>0.58333333333333337</v>
      </c>
      <c r="J2936">
        <v>60.08</v>
      </c>
      <c r="M2936" s="74">
        <v>34456</v>
      </c>
      <c r="N2936" s="77">
        <v>0.58333333333333337</v>
      </c>
      <c r="P2936">
        <v>57.92</v>
      </c>
      <c r="S2936" s="74">
        <v>36282</v>
      </c>
      <c r="T2936" s="77">
        <v>0.58333333333333337</v>
      </c>
      <c r="V2936">
        <v>62.96</v>
      </c>
      <c r="X2936" s="42"/>
      <c r="AB2936">
        <v>61.4</v>
      </c>
      <c r="AC2936">
        <v>82.94</v>
      </c>
      <c r="AE2936" s="74"/>
      <c r="AF2936" s="77"/>
      <c r="AH2936" s="497">
        <v>62.6</v>
      </c>
      <c r="AJ2936" s="42"/>
      <c r="AK2936" s="74"/>
      <c r="AL2936" s="77"/>
      <c r="AN2936" s="497">
        <v>50</v>
      </c>
      <c r="AP2936" s="42"/>
      <c r="AQ2936" s="74"/>
      <c r="AR2936" s="77"/>
      <c r="AT2936" s="497">
        <v>64.039999999999992</v>
      </c>
      <c r="AV2936" s="42"/>
      <c r="AW2936" s="74"/>
      <c r="AX2936" s="77"/>
      <c r="BA2936" s="497">
        <v>62.96</v>
      </c>
      <c r="BB2936" s="42"/>
      <c r="BC2936" s="74"/>
      <c r="BD2936" s="77"/>
      <c r="BF2936">
        <v>60.980000000000004</v>
      </c>
      <c r="BH2936" s="42"/>
      <c r="BI2936" s="74"/>
      <c r="BJ2936" s="77"/>
      <c r="BL2936" s="497">
        <v>46.04</v>
      </c>
      <c r="BN2936" s="42"/>
      <c r="BO2936" s="74"/>
      <c r="BP2936" s="77"/>
      <c r="BR2936" s="497">
        <v>66.02</v>
      </c>
      <c r="BT2936" s="42"/>
    </row>
    <row r="2937" spans="1:72" x14ac:dyDescent="0.25">
      <c r="A2937" s="90">
        <v>36282</v>
      </c>
      <c r="B2937" s="20">
        <v>0.625</v>
      </c>
      <c r="D2937">
        <v>60.980000000000004</v>
      </c>
      <c r="E2937" t="str">
        <f t="shared" si="126"/>
        <v>SUNDAY</v>
      </c>
      <c r="F2937" t="e">
        <f t="shared" si="127"/>
        <v>#N/A</v>
      </c>
      <c r="G2937" s="74">
        <v>31899</v>
      </c>
      <c r="H2937" s="77">
        <v>0.625</v>
      </c>
      <c r="J2937">
        <v>59</v>
      </c>
      <c r="M2937" s="74">
        <v>34456</v>
      </c>
      <c r="N2937" s="77">
        <v>0.625</v>
      </c>
      <c r="P2937">
        <v>57.92</v>
      </c>
      <c r="S2937" s="74">
        <v>36282</v>
      </c>
      <c r="T2937" s="77">
        <v>0.625</v>
      </c>
      <c r="V2937">
        <v>62.06</v>
      </c>
      <c r="X2937" s="42"/>
      <c r="AB2937">
        <v>61.4</v>
      </c>
      <c r="AC2937">
        <v>80.06</v>
      </c>
      <c r="AE2937" s="74"/>
      <c r="AF2937" s="77"/>
      <c r="AH2937" s="497">
        <v>62.6</v>
      </c>
      <c r="AJ2937" s="42"/>
      <c r="AK2937" s="74"/>
      <c r="AL2937" s="77"/>
      <c r="AN2937" s="497">
        <v>51.08</v>
      </c>
      <c r="AP2937" s="42"/>
      <c r="AQ2937" s="74"/>
      <c r="AR2937" s="77"/>
      <c r="AT2937" s="497">
        <v>64.039999999999992</v>
      </c>
      <c r="AV2937" s="42"/>
      <c r="AW2937" s="74"/>
      <c r="AX2937" s="77"/>
      <c r="BA2937" s="497">
        <v>62.06</v>
      </c>
      <c r="BB2937" s="42"/>
      <c r="BC2937" s="74"/>
      <c r="BD2937" s="77"/>
      <c r="BF2937">
        <v>60.980000000000004</v>
      </c>
      <c r="BH2937" s="42"/>
      <c r="BI2937" s="74"/>
      <c r="BJ2937" s="77"/>
      <c r="BL2937" s="497">
        <v>48.019999999999996</v>
      </c>
      <c r="BN2937" s="42"/>
      <c r="BO2937" s="74"/>
      <c r="BP2937" s="77"/>
      <c r="BR2937" s="497">
        <v>66.92</v>
      </c>
      <c r="BT2937" s="42"/>
    </row>
    <row r="2938" spans="1:72" x14ac:dyDescent="0.25">
      <c r="A2938" s="90">
        <v>36282</v>
      </c>
      <c r="B2938" s="20">
        <v>0.66666666666666663</v>
      </c>
      <c r="D2938">
        <v>62.06</v>
      </c>
      <c r="E2938" t="str">
        <f t="shared" si="126"/>
        <v>SUNDAY</v>
      </c>
      <c r="F2938" t="e">
        <f t="shared" si="127"/>
        <v>#N/A</v>
      </c>
      <c r="G2938" s="74">
        <v>31899</v>
      </c>
      <c r="H2938" s="77">
        <v>0.66666666666666663</v>
      </c>
      <c r="J2938">
        <v>59</v>
      </c>
      <c r="M2938" s="74">
        <v>34456</v>
      </c>
      <c r="N2938" s="77">
        <v>0.66666666666666663</v>
      </c>
      <c r="P2938">
        <v>59</v>
      </c>
      <c r="S2938" s="74">
        <v>36282</v>
      </c>
      <c r="T2938" s="77">
        <v>0.66666666666666663</v>
      </c>
      <c r="V2938">
        <v>64.039999999999992</v>
      </c>
      <c r="X2938" s="42"/>
      <c r="AB2938">
        <v>60.8</v>
      </c>
      <c r="AC2938">
        <v>75.92</v>
      </c>
      <c r="AE2938" s="74"/>
      <c r="AF2938" s="77"/>
      <c r="AH2938" s="497">
        <v>64.400000000000006</v>
      </c>
      <c r="AJ2938" s="42"/>
      <c r="AK2938" s="74"/>
      <c r="AL2938" s="77"/>
      <c r="AN2938" s="497">
        <v>50</v>
      </c>
      <c r="AP2938" s="42"/>
      <c r="AQ2938" s="74"/>
      <c r="AR2938" s="77"/>
      <c r="AT2938" s="497">
        <v>62.06</v>
      </c>
      <c r="AV2938" s="42"/>
      <c r="AW2938" s="74"/>
      <c r="AX2938" s="77"/>
      <c r="BA2938" s="497">
        <v>62.06</v>
      </c>
      <c r="BB2938" s="42"/>
      <c r="BC2938" s="74"/>
      <c r="BD2938" s="77"/>
      <c r="BF2938">
        <v>60.980000000000004</v>
      </c>
      <c r="BH2938" s="42"/>
      <c r="BI2938" s="74"/>
      <c r="BJ2938" s="77"/>
      <c r="BL2938" s="497">
        <v>48.019999999999996</v>
      </c>
      <c r="BN2938" s="42"/>
      <c r="BO2938" s="74"/>
      <c r="BP2938" s="77"/>
      <c r="BR2938" s="497">
        <v>64.039999999999992</v>
      </c>
      <c r="BT2938" s="42"/>
    </row>
    <row r="2939" spans="1:72" x14ac:dyDescent="0.25">
      <c r="A2939" s="90">
        <v>36282</v>
      </c>
      <c r="B2939" s="20">
        <v>0.70833333333333337</v>
      </c>
      <c r="D2939">
        <v>60.980000000000004</v>
      </c>
      <c r="E2939" t="str">
        <f t="shared" si="126"/>
        <v>SUNDAY</v>
      </c>
      <c r="F2939" t="e">
        <f t="shared" si="127"/>
        <v>#N/A</v>
      </c>
      <c r="G2939" s="74">
        <v>31899</v>
      </c>
      <c r="H2939" s="77">
        <v>0.70833333333333337</v>
      </c>
      <c r="J2939">
        <v>60.980000000000004</v>
      </c>
      <c r="M2939" s="74">
        <v>34456</v>
      </c>
      <c r="N2939" s="77">
        <v>0.70833333333333337</v>
      </c>
      <c r="P2939">
        <v>57.92</v>
      </c>
      <c r="S2939" s="74">
        <v>36282</v>
      </c>
      <c r="T2939" s="77">
        <v>0.70833333333333337</v>
      </c>
      <c r="V2939">
        <v>62.06</v>
      </c>
      <c r="X2939" s="42"/>
      <c r="AB2939">
        <v>59.9</v>
      </c>
      <c r="AC2939">
        <v>73.039999999999992</v>
      </c>
      <c r="AE2939" s="74"/>
      <c r="AF2939" s="77"/>
      <c r="AH2939" s="497">
        <v>64.039999999999992</v>
      </c>
      <c r="AJ2939" s="42"/>
      <c r="AK2939" s="74"/>
      <c r="AL2939" s="77"/>
      <c r="AN2939" s="497">
        <v>51.08</v>
      </c>
      <c r="AP2939" s="42"/>
      <c r="AQ2939" s="74"/>
      <c r="AR2939" s="77"/>
      <c r="AT2939" s="497">
        <v>60.08</v>
      </c>
      <c r="AV2939" s="42"/>
      <c r="AW2939" s="74"/>
      <c r="AX2939" s="77"/>
      <c r="BA2939" s="497">
        <v>60.980000000000004</v>
      </c>
      <c r="BB2939" s="42"/>
      <c r="BC2939" s="74"/>
      <c r="BD2939" s="77"/>
      <c r="BF2939">
        <v>57.92</v>
      </c>
      <c r="BH2939" s="42"/>
      <c r="BI2939" s="74"/>
      <c r="BJ2939" s="77"/>
      <c r="BL2939" s="497">
        <v>48.019999999999996</v>
      </c>
      <c r="BN2939" s="42"/>
      <c r="BO2939" s="74"/>
      <c r="BP2939" s="77"/>
      <c r="BR2939" s="497">
        <v>64.039999999999992</v>
      </c>
      <c r="BT2939" s="42"/>
    </row>
    <row r="2940" spans="1:72" x14ac:dyDescent="0.25">
      <c r="A2940" s="90">
        <v>36282</v>
      </c>
      <c r="B2940" s="20">
        <v>0.75</v>
      </c>
      <c r="D2940">
        <v>60.08</v>
      </c>
      <c r="E2940" t="str">
        <f t="shared" si="126"/>
        <v>SUNDAY</v>
      </c>
      <c r="F2940" t="e">
        <f t="shared" si="127"/>
        <v>#N/A</v>
      </c>
      <c r="G2940" s="74">
        <v>31899</v>
      </c>
      <c r="H2940" s="77">
        <v>0.75</v>
      </c>
      <c r="J2940">
        <v>60.980000000000004</v>
      </c>
      <c r="M2940" s="74">
        <v>34456</v>
      </c>
      <c r="N2940" s="77">
        <v>0.75</v>
      </c>
      <c r="P2940">
        <v>56.84</v>
      </c>
      <c r="S2940" s="74">
        <v>36282</v>
      </c>
      <c r="T2940" s="77">
        <v>0.75</v>
      </c>
      <c r="V2940">
        <v>59</v>
      </c>
      <c r="X2940" s="42"/>
      <c r="AB2940">
        <v>58.8</v>
      </c>
      <c r="AC2940">
        <v>71.06</v>
      </c>
      <c r="AE2940" s="74"/>
      <c r="AF2940" s="77"/>
      <c r="AH2940" s="497">
        <v>62.6</v>
      </c>
      <c r="AJ2940" s="42"/>
      <c r="AK2940" s="74"/>
      <c r="AL2940" s="77"/>
      <c r="AN2940" s="497">
        <v>51.08</v>
      </c>
      <c r="AP2940" s="42"/>
      <c r="AQ2940" s="74"/>
      <c r="AR2940" s="77"/>
      <c r="AT2940" s="497">
        <v>57.019999999999996</v>
      </c>
      <c r="AV2940" s="42"/>
      <c r="AW2940" s="74"/>
      <c r="AX2940" s="77"/>
      <c r="BA2940" s="497">
        <v>60.08</v>
      </c>
      <c r="BB2940" s="42"/>
      <c r="BC2940" s="74"/>
      <c r="BD2940" s="77"/>
      <c r="BF2940">
        <v>57.019999999999996</v>
      </c>
      <c r="BH2940" s="42"/>
      <c r="BI2940" s="74"/>
      <c r="BJ2940" s="77"/>
      <c r="BL2940" s="497">
        <v>44.96</v>
      </c>
      <c r="BN2940" s="42"/>
      <c r="BO2940" s="74"/>
      <c r="BP2940" s="77"/>
      <c r="BR2940" s="497">
        <v>64.039999999999992</v>
      </c>
      <c r="BT2940" s="42"/>
    </row>
    <row r="2941" spans="1:72" x14ac:dyDescent="0.25">
      <c r="A2941" s="90">
        <v>36282</v>
      </c>
      <c r="B2941" s="20">
        <v>0.79166666666666663</v>
      </c>
      <c r="D2941">
        <v>59</v>
      </c>
      <c r="E2941" t="str">
        <f t="shared" si="126"/>
        <v>SUNDAY</v>
      </c>
      <c r="F2941" t="e">
        <f t="shared" si="127"/>
        <v>#N/A</v>
      </c>
      <c r="G2941" s="74">
        <v>31899</v>
      </c>
      <c r="H2941" s="77">
        <v>0.79166666666666663</v>
      </c>
      <c r="J2941">
        <v>60.980000000000004</v>
      </c>
      <c r="M2941" s="74">
        <v>34456</v>
      </c>
      <c r="N2941" s="77">
        <v>0.79166666666666663</v>
      </c>
      <c r="P2941">
        <v>54.86</v>
      </c>
      <c r="S2941" s="74">
        <v>36282</v>
      </c>
      <c r="T2941" s="77">
        <v>0.79166666666666663</v>
      </c>
      <c r="V2941">
        <v>55.94</v>
      </c>
      <c r="X2941" s="42"/>
      <c r="AB2941">
        <v>57.3</v>
      </c>
      <c r="AC2941">
        <v>66.92</v>
      </c>
      <c r="AE2941" s="74"/>
      <c r="AF2941" s="77"/>
      <c r="AH2941" s="497">
        <v>60.8</v>
      </c>
      <c r="AJ2941" s="42"/>
      <c r="AK2941" s="74"/>
      <c r="AL2941" s="77"/>
      <c r="AN2941" s="497">
        <v>51.08</v>
      </c>
      <c r="AP2941" s="42"/>
      <c r="AQ2941" s="74"/>
      <c r="AR2941" s="77"/>
      <c r="AT2941" s="497">
        <v>55.040000000000006</v>
      </c>
      <c r="AV2941" s="42"/>
      <c r="AW2941" s="74"/>
      <c r="AX2941" s="77"/>
      <c r="BA2941" s="497">
        <v>57.019999999999996</v>
      </c>
      <c r="BB2941" s="42"/>
      <c r="BC2941" s="74"/>
      <c r="BD2941" s="77"/>
      <c r="BF2941">
        <v>55.94</v>
      </c>
      <c r="BH2941" s="42"/>
      <c r="BI2941" s="74"/>
      <c r="BJ2941" s="77"/>
      <c r="BL2941" s="497">
        <v>42.08</v>
      </c>
      <c r="BN2941" s="42"/>
      <c r="BO2941" s="74"/>
      <c r="BP2941" s="77"/>
      <c r="BR2941" s="497">
        <v>62.06</v>
      </c>
      <c r="BT2941" s="42"/>
    </row>
    <row r="2942" spans="1:72" x14ac:dyDescent="0.25">
      <c r="A2942" s="90">
        <v>36282</v>
      </c>
      <c r="B2942" s="20">
        <v>0.83333333333333337</v>
      </c>
      <c r="D2942">
        <v>57.92</v>
      </c>
      <c r="E2942" t="str">
        <f t="shared" si="126"/>
        <v>SUNDAY</v>
      </c>
      <c r="F2942" t="e">
        <f t="shared" si="127"/>
        <v>#N/A</v>
      </c>
      <c r="G2942" s="74">
        <v>31899</v>
      </c>
      <c r="H2942" s="77">
        <v>0.83333333333333337</v>
      </c>
      <c r="J2942">
        <v>55.94</v>
      </c>
      <c r="M2942" s="74">
        <v>34456</v>
      </c>
      <c r="N2942" s="77">
        <v>0.83333333333333337</v>
      </c>
      <c r="P2942">
        <v>52.519999999999996</v>
      </c>
      <c r="S2942" s="74">
        <v>36282</v>
      </c>
      <c r="T2942" s="77">
        <v>0.83333333333333337</v>
      </c>
      <c r="V2942">
        <v>53.96</v>
      </c>
      <c r="X2942" s="42"/>
      <c r="AB2942">
        <v>55.9</v>
      </c>
      <c r="AC2942">
        <v>64.94</v>
      </c>
      <c r="AE2942" s="74"/>
      <c r="AF2942" s="77"/>
      <c r="AH2942" s="497">
        <v>53.6</v>
      </c>
      <c r="AJ2942" s="42"/>
      <c r="AK2942" s="74"/>
      <c r="AL2942" s="77"/>
      <c r="AN2942" s="497">
        <v>48.92</v>
      </c>
      <c r="AP2942" s="42"/>
      <c r="AQ2942" s="74"/>
      <c r="AR2942" s="77"/>
      <c r="AT2942" s="497">
        <v>53.96</v>
      </c>
      <c r="AV2942" s="42"/>
      <c r="AW2942" s="74"/>
      <c r="AX2942" s="77"/>
      <c r="BA2942" s="497">
        <v>53.96</v>
      </c>
      <c r="BB2942" s="42"/>
      <c r="BC2942" s="74"/>
      <c r="BD2942" s="77"/>
      <c r="BF2942">
        <v>55.040000000000006</v>
      </c>
      <c r="BH2942" s="42"/>
      <c r="BI2942" s="74"/>
      <c r="BJ2942" s="77"/>
      <c r="BL2942" s="497">
        <v>39.92</v>
      </c>
      <c r="BN2942" s="42"/>
      <c r="BO2942" s="74"/>
      <c r="BP2942" s="77"/>
      <c r="BR2942" s="497">
        <v>57.92</v>
      </c>
      <c r="BT2942" s="42"/>
    </row>
    <row r="2943" spans="1:72" x14ac:dyDescent="0.25">
      <c r="A2943" s="90">
        <v>36282</v>
      </c>
      <c r="B2943" s="20">
        <v>0.875</v>
      </c>
      <c r="D2943">
        <v>57.019999999999996</v>
      </c>
      <c r="E2943" t="str">
        <f t="shared" si="126"/>
        <v>SUNDAY</v>
      </c>
      <c r="F2943" t="e">
        <f t="shared" si="127"/>
        <v>#N/A</v>
      </c>
      <c r="G2943" s="74">
        <v>31899</v>
      </c>
      <c r="H2943" s="77">
        <v>0.875</v>
      </c>
      <c r="J2943">
        <v>55.040000000000006</v>
      </c>
      <c r="M2943" s="74">
        <v>34456</v>
      </c>
      <c r="N2943" s="77">
        <v>0.875</v>
      </c>
      <c r="P2943">
        <v>51.08</v>
      </c>
      <c r="S2943" s="74">
        <v>36282</v>
      </c>
      <c r="T2943" s="77">
        <v>0.875</v>
      </c>
      <c r="V2943">
        <v>53.06</v>
      </c>
      <c r="X2943" s="42"/>
      <c r="AB2943">
        <v>55</v>
      </c>
      <c r="AC2943">
        <v>62.96</v>
      </c>
      <c r="AE2943" s="74"/>
      <c r="AF2943" s="77"/>
      <c r="AH2943" s="497">
        <v>46.4</v>
      </c>
      <c r="AJ2943" s="42"/>
      <c r="AK2943" s="74"/>
      <c r="AL2943" s="77"/>
      <c r="AN2943" s="497">
        <v>46.94</v>
      </c>
      <c r="AP2943" s="42"/>
      <c r="AQ2943" s="74"/>
      <c r="AR2943" s="77"/>
      <c r="AT2943" s="497">
        <v>53.06</v>
      </c>
      <c r="AV2943" s="42"/>
      <c r="AW2943" s="74"/>
      <c r="AX2943" s="77"/>
      <c r="BA2943" s="497">
        <v>53.06</v>
      </c>
      <c r="BB2943" s="42"/>
      <c r="BC2943" s="74"/>
      <c r="BD2943" s="77"/>
      <c r="BF2943">
        <v>53.06</v>
      </c>
      <c r="BH2943" s="42"/>
      <c r="BI2943" s="74"/>
      <c r="BJ2943" s="77"/>
      <c r="BL2943" s="497">
        <v>37.94</v>
      </c>
      <c r="BN2943" s="42"/>
      <c r="BO2943" s="74"/>
      <c r="BP2943" s="77"/>
      <c r="BR2943" s="497">
        <v>53.96</v>
      </c>
      <c r="BT2943" s="42"/>
    </row>
    <row r="2944" spans="1:72" x14ac:dyDescent="0.25">
      <c r="A2944" s="90">
        <v>36282</v>
      </c>
      <c r="B2944" s="20">
        <v>0.91666666666666663</v>
      </c>
      <c r="D2944">
        <v>55.040000000000006</v>
      </c>
      <c r="E2944" t="str">
        <f t="shared" si="126"/>
        <v>SUNDAY</v>
      </c>
      <c r="F2944" t="e">
        <f t="shared" si="127"/>
        <v>#N/A</v>
      </c>
      <c r="G2944" s="74">
        <v>31899</v>
      </c>
      <c r="H2944" s="77">
        <v>0.91666666666666663</v>
      </c>
      <c r="J2944">
        <v>53.96</v>
      </c>
      <c r="M2944" s="74">
        <v>34456</v>
      </c>
      <c r="N2944" s="77">
        <v>0.91666666666666663</v>
      </c>
      <c r="P2944">
        <v>50</v>
      </c>
      <c r="S2944" s="74">
        <v>36282</v>
      </c>
      <c r="T2944" s="77">
        <v>0.91666666666666663</v>
      </c>
      <c r="V2944">
        <v>55.040000000000006</v>
      </c>
      <c r="X2944" s="42"/>
      <c r="AB2944">
        <v>54.4</v>
      </c>
      <c r="AC2944">
        <v>60.980000000000004</v>
      </c>
      <c r="AE2944" s="74"/>
      <c r="AF2944" s="77"/>
      <c r="AH2944" s="497">
        <v>44.6</v>
      </c>
      <c r="AJ2944" s="42"/>
      <c r="AK2944" s="74"/>
      <c r="AL2944" s="77"/>
      <c r="AN2944" s="497">
        <v>46.04</v>
      </c>
      <c r="AP2944" s="42"/>
      <c r="AQ2944" s="74"/>
      <c r="AR2944" s="77"/>
      <c r="AT2944" s="497">
        <v>51.980000000000004</v>
      </c>
      <c r="AV2944" s="42"/>
      <c r="AW2944" s="74"/>
      <c r="AX2944" s="77"/>
      <c r="BA2944" s="497">
        <v>51.08</v>
      </c>
      <c r="BB2944" s="42"/>
      <c r="BC2944" s="74"/>
      <c r="BD2944" s="77"/>
      <c r="BF2944">
        <v>51.08</v>
      </c>
      <c r="BH2944" s="42"/>
      <c r="BI2944" s="74"/>
      <c r="BJ2944" s="77"/>
      <c r="BL2944" s="497">
        <v>35.96</v>
      </c>
      <c r="BN2944" s="42"/>
      <c r="BO2944" s="74"/>
      <c r="BP2944" s="77"/>
      <c r="BR2944" s="497">
        <v>50</v>
      </c>
      <c r="BT2944" s="42"/>
    </row>
    <row r="2945" spans="1:72" x14ac:dyDescent="0.25">
      <c r="A2945" s="90">
        <v>36282</v>
      </c>
      <c r="B2945" s="20">
        <v>0.95833333333333337</v>
      </c>
      <c r="D2945">
        <v>53.96</v>
      </c>
      <c r="E2945" t="str">
        <f t="shared" si="126"/>
        <v>SUNDAY</v>
      </c>
      <c r="F2945" t="e">
        <f t="shared" si="127"/>
        <v>#N/A</v>
      </c>
      <c r="G2945" s="74">
        <v>31899</v>
      </c>
      <c r="H2945" s="77">
        <v>0.95833333333333337</v>
      </c>
      <c r="J2945">
        <v>53.06</v>
      </c>
      <c r="M2945" s="74">
        <v>34456</v>
      </c>
      <c r="N2945" s="77">
        <v>0.95833333333333337</v>
      </c>
      <c r="P2945">
        <v>47.84</v>
      </c>
      <c r="S2945" s="74">
        <v>36282</v>
      </c>
      <c r="T2945" s="77">
        <v>0.95833333333333337</v>
      </c>
      <c r="V2945">
        <v>53.06</v>
      </c>
      <c r="X2945" s="42"/>
      <c r="AB2945">
        <v>53.9</v>
      </c>
      <c r="AC2945">
        <v>60.980000000000004</v>
      </c>
      <c r="AE2945" s="74"/>
      <c r="AF2945" s="77"/>
      <c r="AH2945" s="497">
        <v>42.8</v>
      </c>
      <c r="AJ2945" s="42"/>
      <c r="AK2945" s="74"/>
      <c r="AL2945" s="77"/>
      <c r="AN2945" s="497">
        <v>44.96</v>
      </c>
      <c r="AP2945" s="42"/>
      <c r="AQ2945" s="74"/>
      <c r="AR2945" s="77"/>
      <c r="AT2945" s="497">
        <v>51.08</v>
      </c>
      <c r="AV2945" s="42"/>
      <c r="AW2945" s="74"/>
      <c r="AX2945" s="77"/>
      <c r="BA2945" s="497">
        <v>50</v>
      </c>
      <c r="BB2945" s="42"/>
      <c r="BC2945" s="74"/>
      <c r="BD2945" s="77"/>
      <c r="BF2945">
        <v>48.92</v>
      </c>
      <c r="BH2945" s="42"/>
      <c r="BI2945" s="74"/>
      <c r="BJ2945" s="77"/>
      <c r="BL2945" s="497">
        <v>35.96</v>
      </c>
      <c r="BN2945" s="42"/>
      <c r="BO2945" s="74"/>
      <c r="BP2945" s="77"/>
      <c r="BR2945" s="497">
        <v>48.019999999999996</v>
      </c>
      <c r="BT2945" s="42"/>
    </row>
    <row r="2946" spans="1:72" x14ac:dyDescent="0.25">
      <c r="A2946" s="90">
        <v>36282</v>
      </c>
      <c r="B2946" s="20">
        <v>1</v>
      </c>
      <c r="D2946">
        <v>53.06</v>
      </c>
      <c r="E2946" t="str">
        <f t="shared" si="126"/>
        <v>SUNDAY</v>
      </c>
      <c r="F2946" t="e">
        <f t="shared" si="127"/>
        <v>#N/A</v>
      </c>
      <c r="G2946" s="74">
        <v>31899</v>
      </c>
      <c r="H2946" s="77">
        <v>1</v>
      </c>
      <c r="J2946">
        <v>51.08</v>
      </c>
      <c r="M2946" s="74">
        <v>34456</v>
      </c>
      <c r="N2946" s="80">
        <v>1</v>
      </c>
      <c r="P2946">
        <v>46.94</v>
      </c>
      <c r="S2946" s="74">
        <v>36282</v>
      </c>
      <c r="T2946" s="80">
        <v>1</v>
      </c>
      <c r="V2946">
        <v>53.96</v>
      </c>
      <c r="X2946" s="42"/>
      <c r="AB2946">
        <v>53.5</v>
      </c>
      <c r="AC2946">
        <v>60.8</v>
      </c>
      <c r="AE2946" s="74"/>
      <c r="AF2946" s="80"/>
      <c r="AH2946" s="497">
        <v>42.8</v>
      </c>
      <c r="AJ2946" s="42"/>
      <c r="AK2946" s="74"/>
      <c r="AL2946" s="80"/>
      <c r="AN2946" s="497">
        <v>44.96</v>
      </c>
      <c r="AP2946" s="42"/>
      <c r="AQ2946" s="74"/>
      <c r="AR2946" s="80"/>
      <c r="AT2946" s="497">
        <v>50</v>
      </c>
      <c r="AV2946" s="42"/>
      <c r="AW2946" s="74"/>
      <c r="AX2946" s="80"/>
      <c r="BA2946" s="497">
        <v>46.94</v>
      </c>
      <c r="BB2946" s="42"/>
      <c r="BC2946" s="74"/>
      <c r="BD2946" s="80"/>
      <c r="BF2946">
        <v>48.019999999999996</v>
      </c>
      <c r="BH2946" s="42"/>
      <c r="BI2946" s="74"/>
      <c r="BJ2946" s="80"/>
      <c r="BL2946" s="497">
        <v>35.96</v>
      </c>
      <c r="BN2946" s="42"/>
      <c r="BO2946" s="74"/>
      <c r="BP2946" s="80"/>
      <c r="BR2946" s="497">
        <v>44.96</v>
      </c>
      <c r="BT2946" s="42"/>
    </row>
    <row r="2947" spans="1:72" x14ac:dyDescent="0.25">
      <c r="A2947" s="90">
        <v>36283</v>
      </c>
      <c r="B2947" s="20">
        <v>4.1666666666666664E-2</v>
      </c>
      <c r="D2947">
        <v>51.980000000000004</v>
      </c>
      <c r="E2947" t="str">
        <f t="shared" si="126"/>
        <v>WEEKDAY</v>
      </c>
      <c r="F2947" t="e">
        <f t="shared" si="127"/>
        <v>#N/A</v>
      </c>
      <c r="G2947" s="74">
        <v>31900</v>
      </c>
      <c r="H2947" s="77">
        <v>4.1666666666666664E-2</v>
      </c>
      <c r="J2947">
        <v>51.980000000000004</v>
      </c>
      <c r="M2947" s="74">
        <v>34457</v>
      </c>
      <c r="N2947" s="77">
        <v>4.1666666666666664E-2</v>
      </c>
      <c r="P2947">
        <v>44.96</v>
      </c>
      <c r="S2947" s="74">
        <v>36283</v>
      </c>
      <c r="T2947" s="77">
        <v>4.1666666666666664E-2</v>
      </c>
      <c r="V2947">
        <v>53.96</v>
      </c>
      <c r="X2947" s="42"/>
      <c r="AB2947">
        <v>53</v>
      </c>
      <c r="AC2947">
        <v>59</v>
      </c>
      <c r="AE2947" s="74"/>
      <c r="AF2947" s="77"/>
      <c r="AH2947" s="497">
        <v>42.8</v>
      </c>
      <c r="AJ2947" s="42"/>
      <c r="AK2947" s="74"/>
      <c r="AL2947" s="77"/>
      <c r="AN2947" s="497">
        <v>44.06</v>
      </c>
      <c r="AP2947" s="42"/>
      <c r="AQ2947" s="74"/>
      <c r="AR2947" s="77"/>
      <c r="AT2947" s="497">
        <v>48.92</v>
      </c>
      <c r="AV2947" s="42"/>
      <c r="AW2947" s="74"/>
      <c r="AX2947" s="77"/>
      <c r="BA2947" s="497">
        <v>46.94</v>
      </c>
      <c r="BB2947" s="42"/>
      <c r="BC2947" s="74"/>
      <c r="BD2947" s="77"/>
      <c r="BF2947">
        <v>46.94</v>
      </c>
      <c r="BH2947" s="42"/>
      <c r="BI2947" s="74"/>
      <c r="BJ2947" s="77"/>
      <c r="BL2947" s="497">
        <v>33.979999999999997</v>
      </c>
      <c r="BN2947" s="42"/>
      <c r="BO2947" s="74"/>
      <c r="BP2947" s="77"/>
      <c r="BR2947" s="497">
        <v>44.96</v>
      </c>
      <c r="BT2947" s="42"/>
    </row>
    <row r="2948" spans="1:72" x14ac:dyDescent="0.25">
      <c r="A2948" s="90">
        <v>36283</v>
      </c>
      <c r="B2948" s="20">
        <v>8.3333333333333329E-2</v>
      </c>
      <c r="D2948">
        <v>51.08</v>
      </c>
      <c r="E2948" t="str">
        <f t="shared" si="126"/>
        <v>WEEKDAY</v>
      </c>
      <c r="F2948" t="e">
        <f t="shared" si="127"/>
        <v>#N/A</v>
      </c>
      <c r="G2948" s="74">
        <v>31900</v>
      </c>
      <c r="H2948" s="77">
        <v>8.3333333333333329E-2</v>
      </c>
      <c r="J2948">
        <v>51.08</v>
      </c>
      <c r="M2948" s="74">
        <v>34457</v>
      </c>
      <c r="N2948" s="77">
        <v>8.3333333333333329E-2</v>
      </c>
      <c r="P2948">
        <v>41</v>
      </c>
      <c r="S2948" s="74">
        <v>36283</v>
      </c>
      <c r="T2948" s="77">
        <v>8.3333333333333329E-2</v>
      </c>
      <c r="V2948">
        <v>55.94</v>
      </c>
      <c r="X2948" s="42"/>
      <c r="AB2948">
        <v>52.6</v>
      </c>
      <c r="AC2948">
        <v>59</v>
      </c>
      <c r="AE2948" s="74"/>
      <c r="AF2948" s="77"/>
      <c r="AH2948" s="497">
        <v>42.8</v>
      </c>
      <c r="AJ2948" s="42"/>
      <c r="AK2948" s="74"/>
      <c r="AL2948" s="77"/>
      <c r="AN2948" s="497">
        <v>42.08</v>
      </c>
      <c r="AP2948" s="42"/>
      <c r="AQ2948" s="74"/>
      <c r="AR2948" s="77"/>
      <c r="AT2948" s="497">
        <v>48.019999999999996</v>
      </c>
      <c r="AV2948" s="42"/>
      <c r="AW2948" s="74"/>
      <c r="AX2948" s="77"/>
      <c r="BA2948" s="497">
        <v>46.04</v>
      </c>
      <c r="BB2948" s="42"/>
      <c r="BC2948" s="74"/>
      <c r="BD2948" s="77"/>
      <c r="BF2948">
        <v>44.96</v>
      </c>
      <c r="BH2948" s="42"/>
      <c r="BI2948" s="74"/>
      <c r="BJ2948" s="77"/>
      <c r="BL2948" s="497">
        <v>33.979999999999997</v>
      </c>
      <c r="BN2948" s="42"/>
      <c r="BO2948" s="74"/>
      <c r="BP2948" s="77"/>
      <c r="BR2948" s="497">
        <v>44.96</v>
      </c>
      <c r="BT2948" s="42"/>
    </row>
    <row r="2949" spans="1:72" x14ac:dyDescent="0.25">
      <c r="A2949" s="90">
        <v>36283</v>
      </c>
      <c r="B2949" s="20">
        <v>0.125</v>
      </c>
      <c r="D2949">
        <v>50</v>
      </c>
      <c r="E2949" t="str">
        <f t="shared" si="126"/>
        <v>WEEKDAY</v>
      </c>
      <c r="F2949" t="e">
        <f t="shared" si="127"/>
        <v>#N/A</v>
      </c>
      <c r="G2949" s="74">
        <v>31900</v>
      </c>
      <c r="H2949" s="77">
        <v>0.125</v>
      </c>
      <c r="J2949">
        <v>51.08</v>
      </c>
      <c r="M2949" s="74">
        <v>34457</v>
      </c>
      <c r="N2949" s="77">
        <v>0.125</v>
      </c>
      <c r="P2949">
        <v>34.880000000000003</v>
      </c>
      <c r="S2949" s="74">
        <v>36283</v>
      </c>
      <c r="T2949" s="77">
        <v>0.125</v>
      </c>
      <c r="V2949">
        <v>51.8</v>
      </c>
      <c r="X2949" s="42"/>
      <c r="AB2949">
        <v>52.2</v>
      </c>
      <c r="AC2949">
        <v>59</v>
      </c>
      <c r="AE2949" s="74"/>
      <c r="AF2949" s="77"/>
      <c r="AH2949" s="497">
        <v>42.8</v>
      </c>
      <c r="AJ2949" s="42"/>
      <c r="AK2949" s="74"/>
      <c r="AL2949" s="77"/>
      <c r="AN2949" s="497">
        <v>42.08</v>
      </c>
      <c r="AP2949" s="42"/>
      <c r="AQ2949" s="74"/>
      <c r="AR2949" s="77"/>
      <c r="AT2949" s="497">
        <v>46.94</v>
      </c>
      <c r="AV2949" s="42"/>
      <c r="AW2949" s="74"/>
      <c r="AX2949" s="77"/>
      <c r="BA2949" s="497">
        <v>44.96</v>
      </c>
      <c r="BB2949" s="42"/>
      <c r="BC2949" s="74"/>
      <c r="BD2949" s="77"/>
      <c r="BF2949">
        <v>44.06</v>
      </c>
      <c r="BH2949" s="42"/>
      <c r="BI2949" s="74"/>
      <c r="BJ2949" s="77"/>
      <c r="BL2949" s="497">
        <v>33.08</v>
      </c>
      <c r="BN2949" s="42"/>
      <c r="BO2949" s="74"/>
      <c r="BP2949" s="77"/>
      <c r="BR2949" s="497">
        <v>46.04</v>
      </c>
      <c r="BT2949" s="42"/>
    </row>
    <row r="2950" spans="1:72" x14ac:dyDescent="0.25">
      <c r="A2950" s="90">
        <v>36283</v>
      </c>
      <c r="B2950" s="20">
        <v>0.16666666666666666</v>
      </c>
      <c r="D2950">
        <v>50</v>
      </c>
      <c r="E2950" t="str">
        <f t="shared" si="126"/>
        <v>WEEKDAY</v>
      </c>
      <c r="F2950" t="e">
        <f t="shared" si="127"/>
        <v>#N/A</v>
      </c>
      <c r="G2950" s="74">
        <v>31900</v>
      </c>
      <c r="H2950" s="77">
        <v>0.16666666666666666</v>
      </c>
      <c r="J2950">
        <v>51.08</v>
      </c>
      <c r="M2950" s="74">
        <v>34457</v>
      </c>
      <c r="N2950" s="77">
        <v>0.16666666666666666</v>
      </c>
      <c r="P2950">
        <v>41</v>
      </c>
      <c r="S2950" s="74">
        <v>36283</v>
      </c>
      <c r="T2950" s="77">
        <v>0.16666666666666666</v>
      </c>
      <c r="V2950">
        <v>53.06</v>
      </c>
      <c r="X2950" s="42"/>
      <c r="AB2950">
        <v>51.6</v>
      </c>
      <c r="AC2950">
        <v>59</v>
      </c>
      <c r="AE2950" s="74"/>
      <c r="AF2950" s="77"/>
      <c r="AH2950" s="497">
        <v>37.4</v>
      </c>
      <c r="AJ2950" s="42"/>
      <c r="AK2950" s="74"/>
      <c r="AL2950" s="77"/>
      <c r="AN2950" s="497">
        <v>41</v>
      </c>
      <c r="AP2950" s="42"/>
      <c r="AQ2950" s="74"/>
      <c r="AR2950" s="77"/>
      <c r="AT2950" s="497">
        <v>46.94</v>
      </c>
      <c r="AV2950" s="42"/>
      <c r="AW2950" s="74"/>
      <c r="AX2950" s="77"/>
      <c r="BA2950" s="497">
        <v>44.06</v>
      </c>
      <c r="BB2950" s="42"/>
      <c r="BC2950" s="74"/>
      <c r="BD2950" s="77"/>
      <c r="BF2950">
        <v>44.06</v>
      </c>
      <c r="BH2950" s="42"/>
      <c r="BI2950" s="74"/>
      <c r="BJ2950" s="77"/>
      <c r="BL2950" s="497">
        <v>32</v>
      </c>
      <c r="BN2950" s="42"/>
      <c r="BO2950" s="74"/>
      <c r="BP2950" s="77"/>
      <c r="BR2950" s="497">
        <v>46.04</v>
      </c>
      <c r="BT2950" s="42"/>
    </row>
    <row r="2951" spans="1:72" x14ac:dyDescent="0.25">
      <c r="A2951" s="90">
        <v>36283</v>
      </c>
      <c r="B2951" s="20">
        <v>0.20833333333333334</v>
      </c>
      <c r="D2951">
        <v>48.92</v>
      </c>
      <c r="E2951" t="str">
        <f t="shared" si="126"/>
        <v>WEEKDAY</v>
      </c>
      <c r="F2951" t="e">
        <f t="shared" si="127"/>
        <v>#N/A</v>
      </c>
      <c r="G2951" s="74">
        <v>31900</v>
      </c>
      <c r="H2951" s="77">
        <v>0.20833333333333334</v>
      </c>
      <c r="J2951">
        <v>51.08</v>
      </c>
      <c r="M2951" s="74">
        <v>34457</v>
      </c>
      <c r="N2951" s="77">
        <v>0.20833333333333334</v>
      </c>
      <c r="P2951">
        <v>37.94</v>
      </c>
      <c r="S2951" s="74">
        <v>36283</v>
      </c>
      <c r="T2951" s="77">
        <v>0.20833333333333334</v>
      </c>
      <c r="V2951">
        <v>53.06</v>
      </c>
      <c r="X2951" s="42"/>
      <c r="AB2951">
        <v>51.3</v>
      </c>
      <c r="AC2951">
        <v>55.400000000000006</v>
      </c>
      <c r="AE2951" s="74"/>
      <c r="AF2951" s="77"/>
      <c r="AH2951" s="497">
        <v>35.6</v>
      </c>
      <c r="AJ2951" s="42"/>
      <c r="AK2951" s="74"/>
      <c r="AL2951" s="77"/>
      <c r="AN2951" s="497">
        <v>39.019999999999996</v>
      </c>
      <c r="AP2951" s="42"/>
      <c r="AQ2951" s="74"/>
      <c r="AR2951" s="77"/>
      <c r="AT2951" s="497">
        <v>48.019999999999996</v>
      </c>
      <c r="AV2951" s="42"/>
      <c r="AW2951" s="74"/>
      <c r="AX2951" s="77"/>
      <c r="BA2951" s="497">
        <v>44.06</v>
      </c>
      <c r="BB2951" s="42"/>
      <c r="BC2951" s="74"/>
      <c r="BD2951" s="77"/>
      <c r="BF2951">
        <v>42.980000000000004</v>
      </c>
      <c r="BH2951" s="42"/>
      <c r="BI2951" s="74"/>
      <c r="BJ2951" s="77"/>
      <c r="BL2951" s="497">
        <v>32</v>
      </c>
      <c r="BN2951" s="42"/>
      <c r="BO2951" s="74"/>
      <c r="BP2951" s="77"/>
      <c r="BR2951" s="497">
        <v>46.04</v>
      </c>
      <c r="BT2951" s="42"/>
    </row>
    <row r="2952" spans="1:72" x14ac:dyDescent="0.25">
      <c r="A2952" s="90">
        <v>36283</v>
      </c>
      <c r="B2952" s="20">
        <v>0.25</v>
      </c>
      <c r="D2952">
        <v>50</v>
      </c>
      <c r="E2952" t="str">
        <f t="shared" si="126"/>
        <v>WEEKDAY</v>
      </c>
      <c r="F2952" t="e">
        <f t="shared" si="127"/>
        <v>#N/A</v>
      </c>
      <c r="G2952" s="74">
        <v>31900</v>
      </c>
      <c r="H2952" s="77">
        <v>0.25</v>
      </c>
      <c r="J2952">
        <v>51.08</v>
      </c>
      <c r="M2952" s="74">
        <v>34457</v>
      </c>
      <c r="N2952" s="77">
        <v>0.25</v>
      </c>
      <c r="P2952">
        <v>41</v>
      </c>
      <c r="S2952" s="74">
        <v>36283</v>
      </c>
      <c r="T2952" s="77">
        <v>0.25</v>
      </c>
      <c r="V2952">
        <v>53.96</v>
      </c>
      <c r="X2952" s="42"/>
      <c r="AB2952">
        <v>51</v>
      </c>
      <c r="AC2952">
        <v>60.8</v>
      </c>
      <c r="AE2952" s="74"/>
      <c r="AF2952" s="77"/>
      <c r="AH2952" s="497">
        <v>35.6</v>
      </c>
      <c r="AJ2952" s="42"/>
      <c r="AK2952" s="74"/>
      <c r="AL2952" s="77"/>
      <c r="AN2952" s="497">
        <v>39.92</v>
      </c>
      <c r="AP2952" s="42"/>
      <c r="AQ2952" s="74"/>
      <c r="AR2952" s="77"/>
      <c r="AT2952" s="497">
        <v>48.019999999999996</v>
      </c>
      <c r="AV2952" s="42"/>
      <c r="AW2952" s="74"/>
      <c r="AX2952" s="77"/>
      <c r="BA2952" s="497">
        <v>44.96</v>
      </c>
      <c r="BB2952" s="42"/>
      <c r="BC2952" s="74"/>
      <c r="BD2952" s="77"/>
      <c r="BF2952">
        <v>42.980000000000004</v>
      </c>
      <c r="BH2952" s="42"/>
      <c r="BI2952" s="74"/>
      <c r="BJ2952" s="77"/>
      <c r="BL2952" s="497">
        <v>33.08</v>
      </c>
      <c r="BN2952" s="42"/>
      <c r="BO2952" s="74"/>
      <c r="BP2952" s="77"/>
      <c r="BR2952" s="497">
        <v>46.94</v>
      </c>
      <c r="BT2952" s="42"/>
    </row>
    <row r="2953" spans="1:72" x14ac:dyDescent="0.25">
      <c r="A2953" s="90">
        <v>36283</v>
      </c>
      <c r="B2953" s="20">
        <v>0.29166666666666669</v>
      </c>
      <c r="D2953">
        <v>51.980000000000004</v>
      </c>
      <c r="E2953" t="str">
        <f t="shared" si="126"/>
        <v>WEEKDAY</v>
      </c>
      <c r="F2953" t="e">
        <f t="shared" si="127"/>
        <v>#N/A</v>
      </c>
      <c r="G2953" s="74">
        <v>31900</v>
      </c>
      <c r="H2953" s="77">
        <v>0.29166666666666669</v>
      </c>
      <c r="J2953">
        <v>51.980000000000004</v>
      </c>
      <c r="M2953" s="74">
        <v>34457</v>
      </c>
      <c r="N2953" s="77">
        <v>0.29166666666666669</v>
      </c>
      <c r="P2953">
        <v>45.86</v>
      </c>
      <c r="S2953" s="74">
        <v>36283</v>
      </c>
      <c r="T2953" s="77">
        <v>0.29166666666666669</v>
      </c>
      <c r="V2953">
        <v>53.96</v>
      </c>
      <c r="X2953" s="42"/>
      <c r="AB2953">
        <v>52</v>
      </c>
      <c r="AC2953">
        <v>64.94</v>
      </c>
      <c r="AE2953" s="74"/>
      <c r="AF2953" s="77"/>
      <c r="AH2953" s="497">
        <v>46.04</v>
      </c>
      <c r="AJ2953" s="42"/>
      <c r="AK2953" s="74"/>
      <c r="AL2953" s="77"/>
      <c r="AN2953" s="497">
        <v>42.08</v>
      </c>
      <c r="AP2953" s="42"/>
      <c r="AQ2953" s="74"/>
      <c r="AR2953" s="77"/>
      <c r="AT2953" s="497">
        <v>46.94</v>
      </c>
      <c r="AV2953" s="42"/>
      <c r="AW2953" s="74"/>
      <c r="AX2953" s="77"/>
      <c r="BA2953" s="497">
        <v>46.94</v>
      </c>
      <c r="BB2953" s="42"/>
      <c r="BC2953" s="74"/>
      <c r="BD2953" s="77"/>
      <c r="BF2953">
        <v>46.04</v>
      </c>
      <c r="BH2953" s="42"/>
      <c r="BI2953" s="74"/>
      <c r="BJ2953" s="77"/>
      <c r="BL2953" s="497">
        <v>35.06</v>
      </c>
      <c r="BN2953" s="42"/>
      <c r="BO2953" s="74"/>
      <c r="BP2953" s="77"/>
      <c r="BR2953" s="497">
        <v>50</v>
      </c>
      <c r="BT2953" s="42"/>
    </row>
    <row r="2954" spans="1:72" x14ac:dyDescent="0.25">
      <c r="A2954" s="90">
        <v>36283</v>
      </c>
      <c r="B2954" s="20">
        <v>0.33333333333333331</v>
      </c>
      <c r="D2954">
        <v>53.96</v>
      </c>
      <c r="E2954" t="str">
        <f t="shared" si="126"/>
        <v>WEEKDAY</v>
      </c>
      <c r="F2954" t="e">
        <f t="shared" si="127"/>
        <v>#N/A</v>
      </c>
      <c r="G2954" s="74">
        <v>31900</v>
      </c>
      <c r="H2954" s="77">
        <v>0.33333333333333331</v>
      </c>
      <c r="J2954">
        <v>51.980000000000004</v>
      </c>
      <c r="M2954" s="74">
        <v>34457</v>
      </c>
      <c r="N2954" s="77">
        <v>0.33333333333333331</v>
      </c>
      <c r="P2954">
        <v>48.92</v>
      </c>
      <c r="S2954" s="74">
        <v>36283</v>
      </c>
      <c r="T2954" s="77">
        <v>0.33333333333333331</v>
      </c>
      <c r="V2954">
        <v>55.040000000000006</v>
      </c>
      <c r="X2954" s="42"/>
      <c r="AB2954">
        <v>53.9</v>
      </c>
      <c r="AC2954">
        <v>73.039999999999992</v>
      </c>
      <c r="AE2954" s="74"/>
      <c r="AF2954" s="77"/>
      <c r="AH2954" s="497">
        <v>55.400000000000006</v>
      </c>
      <c r="AJ2954" s="42"/>
      <c r="AK2954" s="74"/>
      <c r="AL2954" s="77"/>
      <c r="AN2954" s="497">
        <v>46.04</v>
      </c>
      <c r="AP2954" s="42"/>
      <c r="AQ2954" s="74"/>
      <c r="AR2954" s="77"/>
      <c r="AT2954" s="497">
        <v>46.94</v>
      </c>
      <c r="AV2954" s="42"/>
      <c r="AW2954" s="74"/>
      <c r="AX2954" s="77"/>
      <c r="BA2954" s="497">
        <v>50</v>
      </c>
      <c r="BB2954" s="42"/>
      <c r="BC2954" s="74"/>
      <c r="BD2954" s="77"/>
      <c r="BF2954">
        <v>48.92</v>
      </c>
      <c r="BH2954" s="42"/>
      <c r="BI2954" s="74"/>
      <c r="BJ2954" s="77"/>
      <c r="BL2954" s="497">
        <v>35.96</v>
      </c>
      <c r="BN2954" s="42"/>
      <c r="BO2954" s="74"/>
      <c r="BP2954" s="77"/>
      <c r="BR2954" s="497">
        <v>53.96</v>
      </c>
      <c r="BT2954" s="42"/>
    </row>
    <row r="2955" spans="1:72" x14ac:dyDescent="0.25">
      <c r="A2955" s="90">
        <v>36283</v>
      </c>
      <c r="B2955" s="20">
        <v>0.375</v>
      </c>
      <c r="D2955">
        <v>55.040000000000006</v>
      </c>
      <c r="E2955" t="str">
        <f t="shared" si="126"/>
        <v>WEEKDAY</v>
      </c>
      <c r="F2955" t="e">
        <f t="shared" si="127"/>
        <v>#N/A</v>
      </c>
      <c r="G2955" s="74">
        <v>31900</v>
      </c>
      <c r="H2955" s="77">
        <v>0.375</v>
      </c>
      <c r="J2955">
        <v>53.06</v>
      </c>
      <c r="M2955" s="74">
        <v>34457</v>
      </c>
      <c r="N2955" s="77">
        <v>0.375</v>
      </c>
      <c r="P2955">
        <v>54.86</v>
      </c>
      <c r="S2955" s="74">
        <v>36283</v>
      </c>
      <c r="T2955" s="77">
        <v>0.375</v>
      </c>
      <c r="V2955">
        <v>55.040000000000006</v>
      </c>
      <c r="X2955" s="42"/>
      <c r="AB2955">
        <v>55.8</v>
      </c>
      <c r="AC2955">
        <v>80.06</v>
      </c>
      <c r="AE2955" s="74"/>
      <c r="AF2955" s="77"/>
      <c r="AH2955" s="497">
        <v>57.2</v>
      </c>
      <c r="AJ2955" s="42"/>
      <c r="AK2955" s="74"/>
      <c r="AL2955" s="77"/>
      <c r="AN2955" s="497">
        <v>44.96</v>
      </c>
      <c r="AP2955" s="42"/>
      <c r="AQ2955" s="74"/>
      <c r="AR2955" s="77"/>
      <c r="AT2955" s="497">
        <v>46.04</v>
      </c>
      <c r="AV2955" s="42"/>
      <c r="AW2955" s="74"/>
      <c r="AX2955" s="77"/>
      <c r="BA2955" s="497">
        <v>51.980000000000004</v>
      </c>
      <c r="BB2955" s="42"/>
      <c r="BC2955" s="74"/>
      <c r="BD2955" s="77"/>
      <c r="BF2955">
        <v>51.08</v>
      </c>
      <c r="BH2955" s="42"/>
      <c r="BI2955" s="74"/>
      <c r="BJ2955" s="77"/>
      <c r="BL2955" s="497">
        <v>37.94</v>
      </c>
      <c r="BN2955" s="42"/>
      <c r="BO2955" s="74"/>
      <c r="BP2955" s="77"/>
      <c r="BR2955" s="497">
        <v>60.08</v>
      </c>
      <c r="BT2955" s="42"/>
    </row>
    <row r="2956" spans="1:72" x14ac:dyDescent="0.25">
      <c r="A2956" s="90">
        <v>36283</v>
      </c>
      <c r="B2956" s="20">
        <v>0.41666666666666669</v>
      </c>
      <c r="D2956">
        <v>57.92</v>
      </c>
      <c r="E2956" t="str">
        <f t="shared" si="126"/>
        <v>WEEKDAY</v>
      </c>
      <c r="F2956" t="e">
        <f t="shared" si="127"/>
        <v>#N/A</v>
      </c>
      <c r="G2956" s="74">
        <v>31900</v>
      </c>
      <c r="H2956" s="77">
        <v>0.41666666666666669</v>
      </c>
      <c r="J2956">
        <v>51.980000000000004</v>
      </c>
      <c r="M2956" s="74">
        <v>34457</v>
      </c>
      <c r="N2956" s="77">
        <v>0.41666666666666669</v>
      </c>
      <c r="P2956">
        <v>55.94</v>
      </c>
      <c r="S2956" s="74">
        <v>36283</v>
      </c>
      <c r="T2956" s="77">
        <v>0.41666666666666669</v>
      </c>
      <c r="V2956">
        <v>55.94</v>
      </c>
      <c r="X2956" s="42"/>
      <c r="AB2956">
        <v>57.6</v>
      </c>
      <c r="AC2956">
        <v>84.02</v>
      </c>
      <c r="AE2956" s="74"/>
      <c r="AF2956" s="77"/>
      <c r="AH2956" s="497">
        <v>60.8</v>
      </c>
      <c r="AJ2956" s="42"/>
      <c r="AK2956" s="74"/>
      <c r="AL2956" s="77"/>
      <c r="AN2956" s="497">
        <v>46.04</v>
      </c>
      <c r="AP2956" s="42"/>
      <c r="AQ2956" s="74"/>
      <c r="AR2956" s="77"/>
      <c r="AT2956" s="497">
        <v>46.94</v>
      </c>
      <c r="AV2956" s="42"/>
      <c r="AW2956" s="74"/>
      <c r="AX2956" s="77"/>
      <c r="BA2956" s="497">
        <v>57.019999999999996</v>
      </c>
      <c r="BB2956" s="42"/>
      <c r="BC2956" s="74"/>
      <c r="BD2956" s="77"/>
      <c r="BF2956">
        <v>53.06</v>
      </c>
      <c r="BH2956" s="42"/>
      <c r="BI2956" s="74"/>
      <c r="BJ2956" s="77"/>
      <c r="BL2956" s="497">
        <v>39.019999999999996</v>
      </c>
      <c r="BN2956" s="42"/>
      <c r="BO2956" s="74"/>
      <c r="BP2956" s="77"/>
      <c r="BR2956" s="497">
        <v>64.039999999999992</v>
      </c>
      <c r="BT2956" s="42"/>
    </row>
    <row r="2957" spans="1:72" x14ac:dyDescent="0.25">
      <c r="A2957" s="90">
        <v>36283</v>
      </c>
      <c r="B2957" s="20">
        <v>0.45833333333333331</v>
      </c>
      <c r="D2957">
        <v>59</v>
      </c>
      <c r="E2957" t="str">
        <f t="shared" si="126"/>
        <v>WEEKDAY</v>
      </c>
      <c r="F2957" t="e">
        <f t="shared" si="127"/>
        <v>#N/A</v>
      </c>
      <c r="G2957" s="74">
        <v>31900</v>
      </c>
      <c r="H2957" s="77">
        <v>0.45833333333333331</v>
      </c>
      <c r="J2957">
        <v>53.96</v>
      </c>
      <c r="M2957" s="74">
        <v>34457</v>
      </c>
      <c r="N2957" s="77">
        <v>0.45833333333333331</v>
      </c>
      <c r="P2957">
        <v>57.92</v>
      </c>
      <c r="S2957" s="74">
        <v>36283</v>
      </c>
      <c r="T2957" s="77">
        <v>0.45833333333333331</v>
      </c>
      <c r="V2957">
        <v>55.040000000000006</v>
      </c>
      <c r="X2957" s="42"/>
      <c r="AB2957">
        <v>59.2</v>
      </c>
      <c r="AC2957">
        <v>84.02</v>
      </c>
      <c r="AE2957" s="74"/>
      <c r="AF2957" s="77"/>
      <c r="AH2957" s="497">
        <v>62.6</v>
      </c>
      <c r="AJ2957" s="42"/>
      <c r="AK2957" s="74"/>
      <c r="AL2957" s="77"/>
      <c r="AN2957" s="497">
        <v>46.94</v>
      </c>
      <c r="AP2957" s="42"/>
      <c r="AQ2957" s="74"/>
      <c r="AR2957" s="77"/>
      <c r="AT2957" s="497">
        <v>48.019999999999996</v>
      </c>
      <c r="AV2957" s="42"/>
      <c r="AW2957" s="74"/>
      <c r="AX2957" s="77"/>
      <c r="BA2957" s="497">
        <v>60.08</v>
      </c>
      <c r="BB2957" s="42"/>
      <c r="BC2957" s="74"/>
      <c r="BD2957" s="77"/>
      <c r="BF2957">
        <v>53.96</v>
      </c>
      <c r="BH2957" s="42"/>
      <c r="BI2957" s="74"/>
      <c r="BJ2957" s="77"/>
      <c r="BL2957" s="497">
        <v>42.08</v>
      </c>
      <c r="BN2957" s="42"/>
      <c r="BO2957" s="74"/>
      <c r="BP2957" s="77"/>
      <c r="BR2957" s="497">
        <v>68</v>
      </c>
      <c r="BT2957" s="42"/>
    </row>
    <row r="2958" spans="1:72" x14ac:dyDescent="0.25">
      <c r="A2958" s="90">
        <v>36283</v>
      </c>
      <c r="B2958" s="20">
        <v>0.5</v>
      </c>
      <c r="D2958">
        <v>60.08</v>
      </c>
      <c r="E2958" t="str">
        <f t="shared" si="126"/>
        <v>WEEKDAY</v>
      </c>
      <c r="F2958" t="e">
        <f t="shared" si="127"/>
        <v>#N/A</v>
      </c>
      <c r="G2958" s="74">
        <v>31900</v>
      </c>
      <c r="H2958" s="77">
        <v>0.5</v>
      </c>
      <c r="J2958">
        <v>53.96</v>
      </c>
      <c r="M2958" s="74">
        <v>34457</v>
      </c>
      <c r="N2958" s="77">
        <v>0.5</v>
      </c>
      <c r="P2958">
        <v>59.900000000000006</v>
      </c>
      <c r="S2958" s="74">
        <v>36283</v>
      </c>
      <c r="T2958" s="77">
        <v>0.5</v>
      </c>
      <c r="V2958">
        <v>57.019999999999996</v>
      </c>
      <c r="X2958" s="42"/>
      <c r="AB2958">
        <v>60.5</v>
      </c>
      <c r="AC2958">
        <v>84.02</v>
      </c>
      <c r="AE2958" s="74"/>
      <c r="AF2958" s="77"/>
      <c r="AH2958" s="497">
        <v>64.400000000000006</v>
      </c>
      <c r="AJ2958" s="42"/>
      <c r="AK2958" s="74"/>
      <c r="AL2958" s="77"/>
      <c r="AN2958" s="497">
        <v>48.019999999999996</v>
      </c>
      <c r="AP2958" s="42"/>
      <c r="AQ2958" s="74"/>
      <c r="AR2958" s="77"/>
      <c r="AT2958" s="497">
        <v>48.92</v>
      </c>
      <c r="AV2958" s="42"/>
      <c r="AW2958" s="74"/>
      <c r="AX2958" s="77"/>
      <c r="BA2958" s="497">
        <v>62.06</v>
      </c>
      <c r="BB2958" s="42"/>
      <c r="BC2958" s="74"/>
      <c r="BD2958" s="77"/>
      <c r="BF2958">
        <v>57.019999999999996</v>
      </c>
      <c r="BH2958" s="42"/>
      <c r="BI2958" s="74"/>
      <c r="BJ2958" s="77"/>
      <c r="BL2958" s="497">
        <v>44.06</v>
      </c>
      <c r="BN2958" s="42"/>
      <c r="BO2958" s="74"/>
      <c r="BP2958" s="77"/>
      <c r="BR2958" s="497">
        <v>66.02</v>
      </c>
      <c r="BT2958" s="42"/>
    </row>
    <row r="2959" spans="1:72" x14ac:dyDescent="0.25">
      <c r="A2959" s="90">
        <v>36283</v>
      </c>
      <c r="B2959" s="20">
        <v>0.54166666666666663</v>
      </c>
      <c r="D2959">
        <v>60.980000000000004</v>
      </c>
      <c r="E2959" t="str">
        <f t="shared" si="126"/>
        <v>WEEKDAY</v>
      </c>
      <c r="F2959" t="e">
        <f t="shared" si="127"/>
        <v>#N/A</v>
      </c>
      <c r="G2959" s="74">
        <v>31900</v>
      </c>
      <c r="H2959" s="77">
        <v>0.54166666666666663</v>
      </c>
      <c r="J2959">
        <v>55.040000000000006</v>
      </c>
      <c r="M2959" s="74">
        <v>34457</v>
      </c>
      <c r="N2959" s="77">
        <v>0.54166666666666663</v>
      </c>
      <c r="P2959">
        <v>59</v>
      </c>
      <c r="S2959" s="74">
        <v>36283</v>
      </c>
      <c r="T2959" s="77">
        <v>0.54166666666666663</v>
      </c>
      <c r="V2959">
        <v>59</v>
      </c>
      <c r="X2959" s="42"/>
      <c r="AB2959">
        <v>61.3</v>
      </c>
      <c r="AC2959">
        <v>84.92</v>
      </c>
      <c r="AE2959" s="74"/>
      <c r="AF2959" s="77"/>
      <c r="AH2959" s="497">
        <v>68</v>
      </c>
      <c r="AJ2959" s="42"/>
      <c r="AK2959" s="74"/>
      <c r="AL2959" s="77"/>
      <c r="AN2959" s="497">
        <v>48.92</v>
      </c>
      <c r="AP2959" s="42"/>
      <c r="AQ2959" s="74"/>
      <c r="AR2959" s="77"/>
      <c r="AT2959" s="497">
        <v>50</v>
      </c>
      <c r="AV2959" s="42"/>
      <c r="AW2959" s="74"/>
      <c r="AX2959" s="77"/>
      <c r="BA2959" s="497">
        <v>62.06</v>
      </c>
      <c r="BB2959" s="42"/>
      <c r="BC2959" s="74"/>
      <c r="BD2959" s="77"/>
      <c r="BF2959">
        <v>60.980000000000004</v>
      </c>
      <c r="BH2959" s="42"/>
      <c r="BI2959" s="74"/>
      <c r="BJ2959" s="77"/>
      <c r="BL2959" s="497">
        <v>42.08</v>
      </c>
      <c r="BN2959" s="42"/>
      <c r="BO2959" s="74"/>
      <c r="BP2959" s="77"/>
      <c r="BR2959" s="497">
        <v>66.92</v>
      </c>
      <c r="BT2959" s="42"/>
    </row>
    <row r="2960" spans="1:72" x14ac:dyDescent="0.25">
      <c r="A2960" s="90">
        <v>36283</v>
      </c>
      <c r="B2960" s="20">
        <v>0.58333333333333337</v>
      </c>
      <c r="D2960">
        <v>62.96</v>
      </c>
      <c r="E2960" t="str">
        <f t="shared" si="126"/>
        <v>WEEKDAY</v>
      </c>
      <c r="F2960" t="e">
        <f t="shared" si="127"/>
        <v>#N/A</v>
      </c>
      <c r="G2960" s="74">
        <v>31900</v>
      </c>
      <c r="H2960" s="77">
        <v>0.58333333333333337</v>
      </c>
      <c r="J2960">
        <v>57.019999999999996</v>
      </c>
      <c r="M2960" s="74">
        <v>34457</v>
      </c>
      <c r="N2960" s="77">
        <v>0.58333333333333337</v>
      </c>
      <c r="P2960">
        <v>59.900000000000006</v>
      </c>
      <c r="S2960" s="74">
        <v>36283</v>
      </c>
      <c r="T2960" s="77">
        <v>0.58333333333333337</v>
      </c>
      <c r="V2960">
        <v>60.08</v>
      </c>
      <c r="X2960" s="42"/>
      <c r="AB2960">
        <v>61.8</v>
      </c>
      <c r="AC2960">
        <v>82.94</v>
      </c>
      <c r="AE2960" s="74"/>
      <c r="AF2960" s="77"/>
      <c r="AH2960" s="497">
        <v>66.2</v>
      </c>
      <c r="AJ2960" s="42"/>
      <c r="AK2960" s="74"/>
      <c r="AL2960" s="77"/>
      <c r="AN2960" s="497">
        <v>48.92</v>
      </c>
      <c r="AP2960" s="42"/>
      <c r="AQ2960" s="74"/>
      <c r="AR2960" s="77"/>
      <c r="AT2960" s="497">
        <v>51.980000000000004</v>
      </c>
      <c r="AV2960" s="42"/>
      <c r="AW2960" s="74"/>
      <c r="AX2960" s="77"/>
      <c r="BA2960" s="497">
        <v>62.06</v>
      </c>
      <c r="BB2960" s="42"/>
      <c r="BC2960" s="74"/>
      <c r="BD2960" s="77"/>
      <c r="BF2960">
        <v>62.96</v>
      </c>
      <c r="BH2960" s="42"/>
      <c r="BI2960" s="74"/>
      <c r="BJ2960" s="77"/>
      <c r="BL2960" s="497">
        <v>42.980000000000004</v>
      </c>
      <c r="BN2960" s="42"/>
      <c r="BO2960" s="74"/>
      <c r="BP2960" s="77"/>
      <c r="BR2960" s="497">
        <v>69.98</v>
      </c>
      <c r="BT2960" s="42"/>
    </row>
    <row r="2961" spans="1:72" x14ac:dyDescent="0.25">
      <c r="A2961" s="90">
        <v>36283</v>
      </c>
      <c r="B2961" s="20">
        <v>0.625</v>
      </c>
      <c r="D2961">
        <v>62.96</v>
      </c>
      <c r="E2961" t="str">
        <f t="shared" si="126"/>
        <v>WEEKDAY</v>
      </c>
      <c r="F2961" t="e">
        <f t="shared" si="127"/>
        <v>#N/A</v>
      </c>
      <c r="G2961" s="74">
        <v>31900</v>
      </c>
      <c r="H2961" s="77">
        <v>0.625</v>
      </c>
      <c r="J2961">
        <v>55.040000000000006</v>
      </c>
      <c r="M2961" s="74">
        <v>34457</v>
      </c>
      <c r="N2961" s="77">
        <v>0.625</v>
      </c>
      <c r="P2961">
        <v>60.980000000000004</v>
      </c>
      <c r="S2961" s="74">
        <v>36283</v>
      </c>
      <c r="T2961" s="77">
        <v>0.625</v>
      </c>
      <c r="V2961">
        <v>60.980000000000004</v>
      </c>
      <c r="X2961" s="42"/>
      <c r="AB2961">
        <v>61.8</v>
      </c>
      <c r="AC2961">
        <v>82.94</v>
      </c>
      <c r="AE2961" s="74"/>
      <c r="AF2961" s="77"/>
      <c r="AH2961" s="497">
        <v>68</v>
      </c>
      <c r="AJ2961" s="42"/>
      <c r="AK2961" s="74"/>
      <c r="AL2961" s="77"/>
      <c r="AN2961" s="497">
        <v>50</v>
      </c>
      <c r="AP2961" s="42"/>
      <c r="AQ2961" s="74"/>
      <c r="AR2961" s="77"/>
      <c r="AT2961" s="497">
        <v>55.040000000000006</v>
      </c>
      <c r="AV2961" s="42"/>
      <c r="AW2961" s="74"/>
      <c r="AX2961" s="77"/>
      <c r="BA2961" s="497">
        <v>60.980000000000004</v>
      </c>
      <c r="BB2961" s="42"/>
      <c r="BC2961" s="74"/>
      <c r="BD2961" s="77"/>
      <c r="BF2961">
        <v>60.980000000000004</v>
      </c>
      <c r="BH2961" s="42"/>
      <c r="BI2961" s="74"/>
      <c r="BJ2961" s="77"/>
      <c r="BL2961" s="497">
        <v>44.96</v>
      </c>
      <c r="BN2961" s="42"/>
      <c r="BO2961" s="74"/>
      <c r="BP2961" s="77"/>
      <c r="BR2961" s="497">
        <v>68</v>
      </c>
      <c r="BT2961" s="42"/>
    </row>
    <row r="2962" spans="1:72" x14ac:dyDescent="0.25">
      <c r="A2962" s="90">
        <v>36283</v>
      </c>
      <c r="B2962" s="20">
        <v>0.66666666666666663</v>
      </c>
      <c r="D2962">
        <v>62.06</v>
      </c>
      <c r="E2962" t="str">
        <f t="shared" si="126"/>
        <v>WEEKDAY</v>
      </c>
      <c r="F2962" t="e">
        <f t="shared" si="127"/>
        <v>#N/A</v>
      </c>
      <c r="G2962" s="74">
        <v>31900</v>
      </c>
      <c r="H2962" s="77">
        <v>0.66666666666666663</v>
      </c>
      <c r="J2962">
        <v>55.040000000000006</v>
      </c>
      <c r="M2962" s="74">
        <v>34457</v>
      </c>
      <c r="N2962" s="77">
        <v>0.66666666666666663</v>
      </c>
      <c r="P2962">
        <v>59.900000000000006</v>
      </c>
      <c r="S2962" s="74">
        <v>36283</v>
      </c>
      <c r="T2962" s="77">
        <v>0.66666666666666663</v>
      </c>
      <c r="V2962">
        <v>59</v>
      </c>
      <c r="X2962" s="42"/>
      <c r="AB2962">
        <v>61.3</v>
      </c>
      <c r="AC2962">
        <v>80.06</v>
      </c>
      <c r="AE2962" s="74"/>
      <c r="AF2962" s="77"/>
      <c r="AH2962" s="497">
        <v>69.800000000000011</v>
      </c>
      <c r="AJ2962" s="42"/>
      <c r="AK2962" s="74"/>
      <c r="AL2962" s="77"/>
      <c r="AN2962" s="497">
        <v>51.980000000000004</v>
      </c>
      <c r="AP2962" s="42"/>
      <c r="AQ2962" s="74"/>
      <c r="AR2962" s="77"/>
      <c r="AT2962" s="497">
        <v>55.94</v>
      </c>
      <c r="AV2962" s="42"/>
      <c r="AW2962" s="74"/>
      <c r="AX2962" s="77"/>
      <c r="BA2962" s="497">
        <v>60.980000000000004</v>
      </c>
      <c r="BB2962" s="42"/>
      <c r="BC2962" s="74"/>
      <c r="BD2962" s="77"/>
      <c r="BF2962">
        <v>59</v>
      </c>
      <c r="BH2962" s="42"/>
      <c r="BI2962" s="74"/>
      <c r="BJ2962" s="77"/>
      <c r="BL2962" s="497">
        <v>46.04</v>
      </c>
      <c r="BN2962" s="42"/>
      <c r="BO2962" s="74"/>
      <c r="BP2962" s="77"/>
      <c r="BR2962" s="497">
        <v>66.92</v>
      </c>
      <c r="BT2962" s="42"/>
    </row>
    <row r="2963" spans="1:72" x14ac:dyDescent="0.25">
      <c r="A2963" s="90">
        <v>36283</v>
      </c>
      <c r="B2963" s="20">
        <v>0.70833333333333337</v>
      </c>
      <c r="D2963">
        <v>59</v>
      </c>
      <c r="E2963" t="str">
        <f t="shared" ref="E2963:E3026" si="128">IF(COUNTIF($DI$18:$DI$22, WEEKDAY(A2963))=1, "WEEKDAY", IF(WEEKDAY(A2963) = 1, "SUNDAY", "SATURDAY"))</f>
        <v>WEEKDAY</v>
      </c>
      <c r="F2963" t="e">
        <f t="shared" si="127"/>
        <v>#N/A</v>
      </c>
      <c r="G2963" s="74">
        <v>31900</v>
      </c>
      <c r="H2963" s="77">
        <v>0.70833333333333337</v>
      </c>
      <c r="J2963">
        <v>51.08</v>
      </c>
      <c r="M2963" s="74">
        <v>34457</v>
      </c>
      <c r="N2963" s="77">
        <v>0.70833333333333337</v>
      </c>
      <c r="P2963">
        <v>63.86</v>
      </c>
      <c r="S2963" s="74">
        <v>36283</v>
      </c>
      <c r="T2963" s="77">
        <v>0.70833333333333337</v>
      </c>
      <c r="V2963">
        <v>57.019999999999996</v>
      </c>
      <c r="X2963" s="42"/>
      <c r="AB2963">
        <v>60.4</v>
      </c>
      <c r="AC2963">
        <v>75.92</v>
      </c>
      <c r="AE2963" s="74"/>
      <c r="AF2963" s="77"/>
      <c r="AH2963" s="497">
        <v>66.2</v>
      </c>
      <c r="AJ2963" s="42"/>
      <c r="AK2963" s="74"/>
      <c r="AL2963" s="77"/>
      <c r="AN2963" s="497">
        <v>51.980000000000004</v>
      </c>
      <c r="AP2963" s="42"/>
      <c r="AQ2963" s="74"/>
      <c r="AR2963" s="77"/>
      <c r="AT2963" s="497">
        <v>55.94</v>
      </c>
      <c r="AV2963" s="42"/>
      <c r="AW2963" s="74"/>
      <c r="AX2963" s="77"/>
      <c r="BA2963" s="497">
        <v>60.08</v>
      </c>
      <c r="BB2963" s="42"/>
      <c r="BC2963" s="74"/>
      <c r="BD2963" s="77"/>
      <c r="BF2963">
        <v>60.980000000000004</v>
      </c>
      <c r="BH2963" s="42"/>
      <c r="BI2963" s="74"/>
      <c r="BJ2963" s="77"/>
      <c r="BL2963" s="497">
        <v>46.04</v>
      </c>
      <c r="BN2963" s="42"/>
      <c r="BO2963" s="74"/>
      <c r="BP2963" s="77"/>
      <c r="BR2963" s="497">
        <v>68</v>
      </c>
      <c r="BT2963" s="42"/>
    </row>
    <row r="2964" spans="1:72" x14ac:dyDescent="0.25">
      <c r="A2964" s="90">
        <v>36283</v>
      </c>
      <c r="B2964" s="20">
        <v>0.75</v>
      </c>
      <c r="D2964">
        <v>57.019999999999996</v>
      </c>
      <c r="E2964" t="str">
        <f t="shared" si="128"/>
        <v>WEEKDAY</v>
      </c>
      <c r="F2964" t="e">
        <f t="shared" si="127"/>
        <v>#N/A</v>
      </c>
      <c r="G2964" s="74">
        <v>31900</v>
      </c>
      <c r="H2964" s="77">
        <v>0.75</v>
      </c>
      <c r="J2964">
        <v>50</v>
      </c>
      <c r="M2964" s="74">
        <v>34457</v>
      </c>
      <c r="N2964" s="77">
        <v>0.75</v>
      </c>
      <c r="P2964">
        <v>55.94</v>
      </c>
      <c r="S2964" s="74">
        <v>36283</v>
      </c>
      <c r="T2964" s="77">
        <v>0.75</v>
      </c>
      <c r="V2964">
        <v>57.92</v>
      </c>
      <c r="X2964" s="42"/>
      <c r="AB2964">
        <v>59.3</v>
      </c>
      <c r="AC2964">
        <v>71.960000000000008</v>
      </c>
      <c r="AE2964" s="74"/>
      <c r="AF2964" s="77"/>
      <c r="AH2964" s="497">
        <v>64.400000000000006</v>
      </c>
      <c r="AJ2964" s="42"/>
      <c r="AK2964" s="74"/>
      <c r="AL2964" s="77"/>
      <c r="AN2964" s="497">
        <v>51.08</v>
      </c>
      <c r="AP2964" s="42"/>
      <c r="AQ2964" s="74"/>
      <c r="AR2964" s="77"/>
      <c r="AT2964" s="497">
        <v>55.040000000000006</v>
      </c>
      <c r="AV2964" s="42"/>
      <c r="AW2964" s="74"/>
      <c r="AX2964" s="77"/>
      <c r="BA2964" s="497">
        <v>57.019999999999996</v>
      </c>
      <c r="BB2964" s="42"/>
      <c r="BC2964" s="74"/>
      <c r="BD2964" s="77"/>
      <c r="BF2964">
        <v>57.92</v>
      </c>
      <c r="BH2964" s="42"/>
      <c r="BI2964" s="74"/>
      <c r="BJ2964" s="77"/>
      <c r="BL2964" s="497">
        <v>44.96</v>
      </c>
      <c r="BN2964" s="42"/>
      <c r="BO2964" s="74"/>
      <c r="BP2964" s="77"/>
      <c r="BR2964" s="497">
        <v>66.02</v>
      </c>
      <c r="BT2964" s="42"/>
    </row>
    <row r="2965" spans="1:72" x14ac:dyDescent="0.25">
      <c r="A2965" s="90">
        <v>36283</v>
      </c>
      <c r="B2965" s="20">
        <v>0.79166666666666663</v>
      </c>
      <c r="D2965">
        <v>57.019999999999996</v>
      </c>
      <c r="E2965" t="str">
        <f t="shared" si="128"/>
        <v>WEEKDAY</v>
      </c>
      <c r="F2965" t="e">
        <f t="shared" si="127"/>
        <v>#N/A</v>
      </c>
      <c r="G2965" s="74">
        <v>31900</v>
      </c>
      <c r="H2965" s="77">
        <v>0.79166666666666663</v>
      </c>
      <c r="J2965">
        <v>50</v>
      </c>
      <c r="M2965" s="74">
        <v>34457</v>
      </c>
      <c r="N2965" s="77">
        <v>0.79166666666666663</v>
      </c>
      <c r="P2965">
        <v>52.879999999999995</v>
      </c>
      <c r="S2965" s="74">
        <v>36283</v>
      </c>
      <c r="T2965" s="77">
        <v>0.79166666666666663</v>
      </c>
      <c r="V2965">
        <v>57.92</v>
      </c>
      <c r="X2965" s="42"/>
      <c r="AB2965">
        <v>57.9</v>
      </c>
      <c r="AC2965">
        <v>69.080000000000013</v>
      </c>
      <c r="AE2965" s="74"/>
      <c r="AF2965" s="77"/>
      <c r="AH2965" s="497">
        <v>60.8</v>
      </c>
      <c r="AJ2965" s="42"/>
      <c r="AK2965" s="74"/>
      <c r="AL2965" s="77"/>
      <c r="AN2965" s="497">
        <v>48.92</v>
      </c>
      <c r="AP2965" s="42"/>
      <c r="AQ2965" s="74"/>
      <c r="AR2965" s="77"/>
      <c r="AT2965" s="497">
        <v>51.980000000000004</v>
      </c>
      <c r="AV2965" s="42"/>
      <c r="AW2965" s="74"/>
      <c r="AX2965" s="77"/>
      <c r="BA2965" s="497">
        <v>53.96</v>
      </c>
      <c r="BB2965" s="42"/>
      <c r="BC2965" s="74"/>
      <c r="BD2965" s="77"/>
      <c r="BF2965">
        <v>55.94</v>
      </c>
      <c r="BH2965" s="42"/>
      <c r="BI2965" s="74"/>
      <c r="BJ2965" s="77"/>
      <c r="BL2965" s="497">
        <v>42.980000000000004</v>
      </c>
      <c r="BN2965" s="42"/>
      <c r="BO2965" s="74"/>
      <c r="BP2965" s="77"/>
      <c r="BR2965" s="497">
        <v>62.96</v>
      </c>
      <c r="BT2965" s="42"/>
    </row>
    <row r="2966" spans="1:72" x14ac:dyDescent="0.25">
      <c r="A2966" s="90">
        <v>36283</v>
      </c>
      <c r="B2966" s="20">
        <v>0.83333333333333337</v>
      </c>
      <c r="D2966">
        <v>57.019999999999996</v>
      </c>
      <c r="E2966" t="str">
        <f t="shared" si="128"/>
        <v>WEEKDAY</v>
      </c>
      <c r="F2966" t="e">
        <f t="shared" si="127"/>
        <v>#N/A</v>
      </c>
      <c r="G2966" s="74">
        <v>31900</v>
      </c>
      <c r="H2966" s="77">
        <v>0.83333333333333337</v>
      </c>
      <c r="J2966">
        <v>50</v>
      </c>
      <c r="M2966" s="74">
        <v>34457</v>
      </c>
      <c r="N2966" s="77">
        <v>0.83333333333333337</v>
      </c>
      <c r="P2966">
        <v>50</v>
      </c>
      <c r="S2966" s="74">
        <v>36283</v>
      </c>
      <c r="T2966" s="77">
        <v>0.83333333333333337</v>
      </c>
      <c r="V2966">
        <v>57.92</v>
      </c>
      <c r="X2966" s="42"/>
      <c r="AB2966">
        <v>56.4</v>
      </c>
      <c r="AC2966">
        <v>68</v>
      </c>
      <c r="AE2966" s="74"/>
      <c r="AF2966" s="77"/>
      <c r="AH2966" s="497">
        <v>59</v>
      </c>
      <c r="AJ2966" s="42"/>
      <c r="AK2966" s="74"/>
      <c r="AL2966" s="77"/>
      <c r="AN2966" s="497">
        <v>44.96</v>
      </c>
      <c r="AP2966" s="42"/>
      <c r="AQ2966" s="74"/>
      <c r="AR2966" s="77"/>
      <c r="AT2966" s="497">
        <v>50</v>
      </c>
      <c r="AV2966" s="42"/>
      <c r="AW2966" s="74"/>
      <c r="AX2966" s="77"/>
      <c r="BA2966" s="497">
        <v>46.94</v>
      </c>
      <c r="BB2966" s="42"/>
      <c r="BC2966" s="74"/>
      <c r="BD2966" s="77"/>
      <c r="BF2966">
        <v>50</v>
      </c>
      <c r="BH2966" s="42"/>
      <c r="BI2966" s="74"/>
      <c r="BJ2966" s="77"/>
      <c r="BL2966" s="497">
        <v>39.92</v>
      </c>
      <c r="BN2966" s="42"/>
      <c r="BO2966" s="74"/>
      <c r="BP2966" s="77"/>
      <c r="BR2966" s="497">
        <v>59</v>
      </c>
      <c r="BT2966" s="42"/>
    </row>
    <row r="2967" spans="1:72" x14ac:dyDescent="0.25">
      <c r="A2967" s="90">
        <v>36283</v>
      </c>
      <c r="B2967" s="20">
        <v>0.875</v>
      </c>
      <c r="D2967">
        <v>57.019999999999996</v>
      </c>
      <c r="E2967" t="str">
        <f t="shared" si="128"/>
        <v>WEEKDAY</v>
      </c>
      <c r="F2967" t="e">
        <f t="shared" si="127"/>
        <v>#N/A</v>
      </c>
      <c r="G2967" s="74">
        <v>31900</v>
      </c>
      <c r="H2967" s="77">
        <v>0.875</v>
      </c>
      <c r="J2967">
        <v>50</v>
      </c>
      <c r="M2967" s="74">
        <v>34457</v>
      </c>
      <c r="N2967" s="77">
        <v>0.875</v>
      </c>
      <c r="P2967">
        <v>48.92</v>
      </c>
      <c r="S2967" s="74">
        <v>36283</v>
      </c>
      <c r="T2967" s="77">
        <v>0.875</v>
      </c>
      <c r="V2967">
        <v>57.019999999999996</v>
      </c>
      <c r="X2967" s="42"/>
      <c r="AB2967">
        <v>55.4</v>
      </c>
      <c r="AC2967">
        <v>66.92</v>
      </c>
      <c r="AE2967" s="74"/>
      <c r="AF2967" s="77"/>
      <c r="AH2967" s="497">
        <v>55.400000000000006</v>
      </c>
      <c r="AJ2967" s="42"/>
      <c r="AK2967" s="74"/>
      <c r="AL2967" s="77"/>
      <c r="AN2967" s="497">
        <v>46.04</v>
      </c>
      <c r="AP2967" s="42"/>
      <c r="AQ2967" s="74"/>
      <c r="AR2967" s="77"/>
      <c r="AT2967" s="497">
        <v>46.94</v>
      </c>
      <c r="AV2967" s="42"/>
      <c r="AW2967" s="74"/>
      <c r="AX2967" s="77"/>
      <c r="BA2967" s="497">
        <v>42.980000000000004</v>
      </c>
      <c r="BB2967" s="42"/>
      <c r="BC2967" s="74"/>
      <c r="BD2967" s="77"/>
      <c r="BF2967">
        <v>48.92</v>
      </c>
      <c r="BH2967" s="42"/>
      <c r="BI2967" s="74"/>
      <c r="BJ2967" s="77"/>
      <c r="BL2967" s="497">
        <v>37.94</v>
      </c>
      <c r="BN2967" s="42"/>
      <c r="BO2967" s="74"/>
      <c r="BP2967" s="77"/>
      <c r="BR2967" s="497">
        <v>57.019999999999996</v>
      </c>
      <c r="BT2967" s="42"/>
    </row>
    <row r="2968" spans="1:72" x14ac:dyDescent="0.25">
      <c r="A2968" s="90">
        <v>36283</v>
      </c>
      <c r="B2968" s="20">
        <v>0.91666666666666663</v>
      </c>
      <c r="D2968">
        <v>55.94</v>
      </c>
      <c r="E2968" t="str">
        <f t="shared" si="128"/>
        <v>WEEKDAY</v>
      </c>
      <c r="F2968" t="e">
        <f t="shared" si="127"/>
        <v>#N/A</v>
      </c>
      <c r="G2968" s="74">
        <v>31900</v>
      </c>
      <c r="H2968" s="77">
        <v>0.91666666666666663</v>
      </c>
      <c r="J2968">
        <v>50</v>
      </c>
      <c r="M2968" s="74">
        <v>34457</v>
      </c>
      <c r="N2968" s="77">
        <v>0.91666666666666663</v>
      </c>
      <c r="P2968">
        <v>48.92</v>
      </c>
      <c r="S2968" s="74">
        <v>36283</v>
      </c>
      <c r="T2968" s="77">
        <v>0.91666666666666663</v>
      </c>
      <c r="V2968">
        <v>55.94</v>
      </c>
      <c r="X2968" s="42"/>
      <c r="AB2968">
        <v>54.8</v>
      </c>
      <c r="AC2968">
        <v>64.94</v>
      </c>
      <c r="AE2968" s="74"/>
      <c r="AF2968" s="77"/>
      <c r="AH2968" s="497">
        <v>51.8</v>
      </c>
      <c r="AJ2968" s="42"/>
      <c r="AK2968" s="74"/>
      <c r="AL2968" s="77"/>
      <c r="AN2968" s="497">
        <v>44.96</v>
      </c>
      <c r="AP2968" s="42"/>
      <c r="AQ2968" s="74"/>
      <c r="AR2968" s="77"/>
      <c r="AT2968" s="497">
        <v>41</v>
      </c>
      <c r="AV2968" s="42"/>
      <c r="AW2968" s="74"/>
      <c r="AX2968" s="77"/>
      <c r="BA2968" s="497">
        <v>37.94</v>
      </c>
      <c r="BB2968" s="42"/>
      <c r="BC2968" s="74"/>
      <c r="BD2968" s="77"/>
      <c r="BF2968">
        <v>48.019999999999996</v>
      </c>
      <c r="BH2968" s="42"/>
      <c r="BI2968" s="74"/>
      <c r="BJ2968" s="77"/>
      <c r="BL2968" s="497">
        <v>35.96</v>
      </c>
      <c r="BN2968" s="42"/>
      <c r="BO2968" s="74"/>
      <c r="BP2968" s="77"/>
      <c r="BR2968" s="497">
        <v>51.980000000000004</v>
      </c>
      <c r="BT2968" s="42"/>
    </row>
    <row r="2969" spans="1:72" x14ac:dyDescent="0.25">
      <c r="A2969" s="90">
        <v>36283</v>
      </c>
      <c r="B2969" s="20">
        <v>0.95833333333333337</v>
      </c>
      <c r="D2969">
        <v>55.040000000000006</v>
      </c>
      <c r="E2969" t="str">
        <f t="shared" si="128"/>
        <v>WEEKDAY</v>
      </c>
      <c r="F2969" t="e">
        <f t="shared" si="127"/>
        <v>#N/A</v>
      </c>
      <c r="G2969" s="74">
        <v>31900</v>
      </c>
      <c r="H2969" s="77">
        <v>0.95833333333333337</v>
      </c>
      <c r="J2969">
        <v>48.92</v>
      </c>
      <c r="M2969" s="74">
        <v>34457</v>
      </c>
      <c r="N2969" s="77">
        <v>0.95833333333333337</v>
      </c>
      <c r="P2969">
        <v>47.84</v>
      </c>
      <c r="S2969" s="74">
        <v>36283</v>
      </c>
      <c r="T2969" s="77">
        <v>0.95833333333333337</v>
      </c>
      <c r="V2969">
        <v>55.040000000000006</v>
      </c>
      <c r="X2969" s="42"/>
      <c r="AB2969">
        <v>54.3</v>
      </c>
      <c r="AC2969">
        <v>62.96</v>
      </c>
      <c r="AE2969" s="74"/>
      <c r="AF2969" s="77"/>
      <c r="AH2969" s="497">
        <v>51.8</v>
      </c>
      <c r="AJ2969" s="42"/>
      <c r="AK2969" s="74"/>
      <c r="AL2969" s="77"/>
      <c r="AN2969" s="497">
        <v>44.96</v>
      </c>
      <c r="AP2969" s="42"/>
      <c r="AQ2969" s="74"/>
      <c r="AR2969" s="77"/>
      <c r="AT2969" s="497">
        <v>37.04</v>
      </c>
      <c r="AV2969" s="42"/>
      <c r="AW2969" s="74"/>
      <c r="AX2969" s="77"/>
      <c r="BA2969" s="497">
        <v>39.019999999999996</v>
      </c>
      <c r="BB2969" s="42"/>
      <c r="BC2969" s="74"/>
      <c r="BD2969" s="77"/>
      <c r="BF2969">
        <v>46.94</v>
      </c>
      <c r="BH2969" s="42"/>
      <c r="BI2969" s="74"/>
      <c r="BJ2969" s="77"/>
      <c r="BL2969" s="497">
        <v>37.94</v>
      </c>
      <c r="BN2969" s="42"/>
      <c r="BO2969" s="74"/>
      <c r="BP2969" s="77"/>
      <c r="BR2969" s="497">
        <v>50</v>
      </c>
      <c r="BT2969" s="42"/>
    </row>
    <row r="2970" spans="1:72" x14ac:dyDescent="0.25">
      <c r="A2970" s="90">
        <v>36283</v>
      </c>
      <c r="B2970" s="20">
        <v>1</v>
      </c>
      <c r="D2970">
        <v>55.040000000000006</v>
      </c>
      <c r="E2970" t="str">
        <f t="shared" si="128"/>
        <v>WEEKDAY</v>
      </c>
      <c r="F2970" t="e">
        <f t="shared" si="127"/>
        <v>#N/A</v>
      </c>
      <c r="G2970" s="74">
        <v>31900</v>
      </c>
      <c r="H2970" s="77">
        <v>1</v>
      </c>
      <c r="J2970">
        <v>48.92</v>
      </c>
      <c r="M2970" s="74">
        <v>34457</v>
      </c>
      <c r="N2970" s="80">
        <v>1</v>
      </c>
      <c r="P2970">
        <v>47.84</v>
      </c>
      <c r="S2970" s="74">
        <v>36283</v>
      </c>
      <c r="T2970" s="80">
        <v>1</v>
      </c>
      <c r="V2970">
        <v>55.040000000000006</v>
      </c>
      <c r="X2970" s="42"/>
      <c r="AB2970">
        <v>53.9</v>
      </c>
      <c r="AC2970">
        <v>62.06</v>
      </c>
      <c r="AE2970" s="74"/>
      <c r="AF2970" s="80"/>
      <c r="AH2970" s="497">
        <v>51.8</v>
      </c>
      <c r="AJ2970" s="42"/>
      <c r="AK2970" s="74"/>
      <c r="AL2970" s="80"/>
      <c r="AN2970" s="497">
        <v>44.96</v>
      </c>
      <c r="AP2970" s="42"/>
      <c r="AQ2970" s="74"/>
      <c r="AR2970" s="80"/>
      <c r="AT2970" s="497">
        <v>33.979999999999997</v>
      </c>
      <c r="AV2970" s="42"/>
      <c r="AW2970" s="74"/>
      <c r="AX2970" s="80"/>
      <c r="BA2970" s="497">
        <v>39.019999999999996</v>
      </c>
      <c r="BB2970" s="42"/>
      <c r="BC2970" s="74"/>
      <c r="BD2970" s="80"/>
      <c r="BF2970">
        <v>46.94</v>
      </c>
      <c r="BH2970" s="42"/>
      <c r="BI2970" s="74"/>
      <c r="BJ2970" s="80"/>
      <c r="BL2970" s="497">
        <v>35.06</v>
      </c>
      <c r="BN2970" s="42"/>
      <c r="BO2970" s="74"/>
      <c r="BP2970" s="80"/>
      <c r="BR2970" s="497">
        <v>48.019999999999996</v>
      </c>
      <c r="BT2970" s="42"/>
    </row>
    <row r="2971" spans="1:72" x14ac:dyDescent="0.25">
      <c r="A2971" s="90">
        <v>36284</v>
      </c>
      <c r="B2971" s="20">
        <v>4.1666666666666664E-2</v>
      </c>
      <c r="D2971">
        <v>55.040000000000006</v>
      </c>
      <c r="E2971" t="str">
        <f t="shared" si="128"/>
        <v>WEEKDAY</v>
      </c>
      <c r="F2971" t="e">
        <f t="shared" si="127"/>
        <v>#N/A</v>
      </c>
      <c r="G2971" s="74">
        <v>31901</v>
      </c>
      <c r="H2971" s="77">
        <v>4.1666666666666664E-2</v>
      </c>
      <c r="J2971">
        <v>48.92</v>
      </c>
      <c r="M2971" s="74">
        <v>34458</v>
      </c>
      <c r="N2971" s="77">
        <v>4.1666666666666664E-2</v>
      </c>
      <c r="P2971">
        <v>46.94</v>
      </c>
      <c r="S2971" s="74">
        <v>36284</v>
      </c>
      <c r="T2971" s="77">
        <v>4.1666666666666664E-2</v>
      </c>
      <c r="V2971">
        <v>53.96</v>
      </c>
      <c r="X2971" s="42"/>
      <c r="AB2971">
        <v>53.4</v>
      </c>
      <c r="AC2971">
        <v>62.96</v>
      </c>
      <c r="AE2971" s="74"/>
      <c r="AF2971" s="77"/>
      <c r="AH2971" s="497">
        <v>51.8</v>
      </c>
      <c r="AJ2971" s="42"/>
      <c r="AK2971" s="74"/>
      <c r="AL2971" s="77"/>
      <c r="AN2971" s="497">
        <v>44.96</v>
      </c>
      <c r="AP2971" s="42"/>
      <c r="AQ2971" s="74"/>
      <c r="AR2971" s="77"/>
      <c r="AT2971" s="497">
        <v>33.08</v>
      </c>
      <c r="AV2971" s="42"/>
      <c r="AW2971" s="74"/>
      <c r="AX2971" s="77"/>
      <c r="BA2971" s="497">
        <v>37.94</v>
      </c>
      <c r="BB2971" s="42"/>
      <c r="BC2971" s="74"/>
      <c r="BD2971" s="77"/>
      <c r="BF2971">
        <v>46.04</v>
      </c>
      <c r="BH2971" s="42"/>
      <c r="BI2971" s="74"/>
      <c r="BJ2971" s="77"/>
      <c r="BL2971" s="497">
        <v>33.979999999999997</v>
      </c>
      <c r="BN2971" s="42"/>
      <c r="BO2971" s="74"/>
      <c r="BP2971" s="77"/>
      <c r="BR2971" s="497">
        <v>46.04</v>
      </c>
      <c r="BT2971" s="42"/>
    </row>
    <row r="2972" spans="1:72" x14ac:dyDescent="0.25">
      <c r="A2972" s="90">
        <v>36284</v>
      </c>
      <c r="B2972" s="20">
        <v>8.3333333333333329E-2</v>
      </c>
      <c r="D2972">
        <v>55.040000000000006</v>
      </c>
      <c r="E2972" t="str">
        <f t="shared" si="128"/>
        <v>WEEKDAY</v>
      </c>
      <c r="F2972" t="e">
        <f t="shared" si="127"/>
        <v>#N/A</v>
      </c>
      <c r="G2972" s="74">
        <v>31901</v>
      </c>
      <c r="H2972" s="77">
        <v>8.3333333333333329E-2</v>
      </c>
      <c r="J2972">
        <v>48.019999999999996</v>
      </c>
      <c r="M2972" s="74">
        <v>34458</v>
      </c>
      <c r="N2972" s="77">
        <v>8.3333333333333329E-2</v>
      </c>
      <c r="P2972">
        <v>46.94</v>
      </c>
      <c r="S2972" s="74">
        <v>36284</v>
      </c>
      <c r="T2972" s="77">
        <v>8.3333333333333329E-2</v>
      </c>
      <c r="V2972">
        <v>50</v>
      </c>
      <c r="X2972" s="42"/>
      <c r="AB2972">
        <v>53</v>
      </c>
      <c r="AC2972">
        <v>62.06</v>
      </c>
      <c r="AE2972" s="74"/>
      <c r="AF2972" s="77"/>
      <c r="AH2972" s="497">
        <v>48.2</v>
      </c>
      <c r="AJ2972" s="42"/>
      <c r="AK2972" s="74"/>
      <c r="AL2972" s="77"/>
      <c r="AN2972" s="497">
        <v>42.08</v>
      </c>
      <c r="AP2972" s="42"/>
      <c r="AQ2972" s="74"/>
      <c r="AR2972" s="77"/>
      <c r="AT2972" s="497">
        <v>30.92</v>
      </c>
      <c r="AV2972" s="42"/>
      <c r="AW2972" s="74"/>
      <c r="AX2972" s="77"/>
      <c r="BA2972" s="497">
        <v>35.96</v>
      </c>
      <c r="BB2972" s="42"/>
      <c r="BC2972" s="74"/>
      <c r="BD2972" s="77"/>
      <c r="BF2972">
        <v>44.96</v>
      </c>
      <c r="BH2972" s="42"/>
      <c r="BI2972" s="74"/>
      <c r="BJ2972" s="77"/>
      <c r="BL2972" s="497">
        <v>33.08</v>
      </c>
      <c r="BN2972" s="42"/>
      <c r="BO2972" s="74"/>
      <c r="BP2972" s="77"/>
      <c r="BR2972" s="497">
        <v>44.96</v>
      </c>
      <c r="BT2972" s="42"/>
    </row>
    <row r="2973" spans="1:72" x14ac:dyDescent="0.25">
      <c r="A2973" s="90">
        <v>36284</v>
      </c>
      <c r="B2973" s="20">
        <v>0.125</v>
      </c>
      <c r="D2973">
        <v>55.040000000000006</v>
      </c>
      <c r="E2973" t="str">
        <f t="shared" si="128"/>
        <v>WEEKDAY</v>
      </c>
      <c r="F2973" t="e">
        <f t="shared" si="127"/>
        <v>#N/A</v>
      </c>
      <c r="G2973" s="74">
        <v>31901</v>
      </c>
      <c r="H2973" s="77">
        <v>0.125</v>
      </c>
      <c r="J2973">
        <v>48.019999999999996</v>
      </c>
      <c r="M2973" s="74">
        <v>34458</v>
      </c>
      <c r="N2973" s="77">
        <v>0.125</v>
      </c>
      <c r="P2973">
        <v>46.94</v>
      </c>
      <c r="S2973" s="74">
        <v>36284</v>
      </c>
      <c r="T2973" s="77">
        <v>0.125</v>
      </c>
      <c r="V2973">
        <v>50</v>
      </c>
      <c r="X2973" s="42"/>
      <c r="AB2973">
        <v>52.6</v>
      </c>
      <c r="AC2973">
        <v>60.980000000000004</v>
      </c>
      <c r="AE2973" s="74"/>
      <c r="AF2973" s="77"/>
      <c r="AH2973" s="497">
        <v>48.2</v>
      </c>
      <c r="AJ2973" s="42"/>
      <c r="AK2973" s="74"/>
      <c r="AL2973" s="77"/>
      <c r="AN2973" s="497">
        <v>41</v>
      </c>
      <c r="AP2973" s="42"/>
      <c r="AQ2973" s="74"/>
      <c r="AR2973" s="77"/>
      <c r="AT2973" s="497">
        <v>30.02</v>
      </c>
      <c r="AV2973" s="42"/>
      <c r="AW2973" s="74"/>
      <c r="AX2973" s="77"/>
      <c r="BA2973" s="497">
        <v>35.06</v>
      </c>
      <c r="BB2973" s="42"/>
      <c r="BC2973" s="74"/>
      <c r="BD2973" s="77"/>
      <c r="BF2973">
        <v>44.06</v>
      </c>
      <c r="BH2973" s="42"/>
      <c r="BI2973" s="74"/>
      <c r="BJ2973" s="77"/>
      <c r="BL2973" s="497">
        <v>32</v>
      </c>
      <c r="BN2973" s="42"/>
      <c r="BO2973" s="74"/>
      <c r="BP2973" s="77"/>
      <c r="BR2973" s="497">
        <v>42.08</v>
      </c>
      <c r="BT2973" s="42"/>
    </row>
    <row r="2974" spans="1:72" x14ac:dyDescent="0.25">
      <c r="A2974" s="90">
        <v>36284</v>
      </c>
      <c r="B2974" s="20">
        <v>0.16666666666666666</v>
      </c>
      <c r="D2974">
        <v>51.980000000000004</v>
      </c>
      <c r="E2974" t="str">
        <f t="shared" si="128"/>
        <v>WEEKDAY</v>
      </c>
      <c r="F2974" t="e">
        <f t="shared" si="127"/>
        <v>#N/A</v>
      </c>
      <c r="G2974" s="74">
        <v>31901</v>
      </c>
      <c r="H2974" s="77">
        <v>0.16666666666666666</v>
      </c>
      <c r="J2974">
        <v>46.94</v>
      </c>
      <c r="M2974" s="74">
        <v>34458</v>
      </c>
      <c r="N2974" s="77">
        <v>0.16666666666666666</v>
      </c>
      <c r="P2974">
        <v>46.94</v>
      </c>
      <c r="S2974" s="74">
        <v>36284</v>
      </c>
      <c r="T2974" s="77">
        <v>0.16666666666666666</v>
      </c>
      <c r="V2974">
        <v>50</v>
      </c>
      <c r="X2974" s="42"/>
      <c r="AB2974">
        <v>52</v>
      </c>
      <c r="AC2974">
        <v>59</v>
      </c>
      <c r="AE2974" s="74"/>
      <c r="AF2974" s="77"/>
      <c r="AH2974" s="497">
        <v>48.2</v>
      </c>
      <c r="AJ2974" s="42"/>
      <c r="AK2974" s="74"/>
      <c r="AL2974" s="77"/>
      <c r="AN2974" s="497">
        <v>39.019999999999996</v>
      </c>
      <c r="AP2974" s="42"/>
      <c r="AQ2974" s="74"/>
      <c r="AR2974" s="77"/>
      <c r="AT2974" s="497">
        <v>28.94</v>
      </c>
      <c r="AV2974" s="42"/>
      <c r="AW2974" s="74"/>
      <c r="AX2974" s="77"/>
      <c r="BA2974" s="497">
        <v>33.979999999999997</v>
      </c>
      <c r="BB2974" s="42"/>
      <c r="BC2974" s="74"/>
      <c r="BD2974" s="77"/>
      <c r="BF2974">
        <v>42.980000000000004</v>
      </c>
      <c r="BH2974" s="42"/>
      <c r="BI2974" s="74"/>
      <c r="BJ2974" s="77"/>
      <c r="BL2974" s="497">
        <v>33.08</v>
      </c>
      <c r="BN2974" s="42"/>
      <c r="BO2974" s="74"/>
      <c r="BP2974" s="77"/>
      <c r="BR2974" s="497">
        <v>42.08</v>
      </c>
      <c r="BT2974" s="42"/>
    </row>
    <row r="2975" spans="1:72" x14ac:dyDescent="0.25">
      <c r="A2975" s="90">
        <v>36284</v>
      </c>
      <c r="B2975" s="20">
        <v>0.20833333333333334</v>
      </c>
      <c r="D2975">
        <v>51.08</v>
      </c>
      <c r="E2975" t="str">
        <f t="shared" si="128"/>
        <v>WEEKDAY</v>
      </c>
      <c r="F2975" t="e">
        <f t="shared" si="127"/>
        <v>#N/A</v>
      </c>
      <c r="G2975" s="74">
        <v>31901</v>
      </c>
      <c r="H2975" s="77">
        <v>0.20833333333333334</v>
      </c>
      <c r="J2975">
        <v>46.94</v>
      </c>
      <c r="M2975" s="74">
        <v>34458</v>
      </c>
      <c r="N2975" s="77">
        <v>0.20833333333333334</v>
      </c>
      <c r="P2975">
        <v>46.94</v>
      </c>
      <c r="S2975" s="74">
        <v>36284</v>
      </c>
      <c r="T2975" s="77">
        <v>0.20833333333333334</v>
      </c>
      <c r="V2975">
        <v>50</v>
      </c>
      <c r="X2975" s="42"/>
      <c r="AB2975">
        <v>51.6</v>
      </c>
      <c r="AC2975">
        <v>60.08</v>
      </c>
      <c r="AE2975" s="74"/>
      <c r="AF2975" s="77"/>
      <c r="AH2975" s="497">
        <v>44.6</v>
      </c>
      <c r="AJ2975" s="42"/>
      <c r="AK2975" s="74"/>
      <c r="AL2975" s="77"/>
      <c r="AN2975" s="497">
        <v>39.92</v>
      </c>
      <c r="AP2975" s="42"/>
      <c r="AQ2975" s="74"/>
      <c r="AR2975" s="77"/>
      <c r="AT2975" s="497">
        <v>30.02</v>
      </c>
      <c r="AV2975" s="42"/>
      <c r="AW2975" s="74"/>
      <c r="AX2975" s="77"/>
      <c r="BA2975" s="497">
        <v>35.06</v>
      </c>
      <c r="BB2975" s="42"/>
      <c r="BC2975" s="74"/>
      <c r="BD2975" s="77"/>
      <c r="BF2975">
        <v>39.92</v>
      </c>
      <c r="BH2975" s="42"/>
      <c r="BI2975" s="74"/>
      <c r="BJ2975" s="77"/>
      <c r="BL2975" s="497">
        <v>30.92</v>
      </c>
      <c r="BN2975" s="42"/>
      <c r="BO2975" s="74"/>
      <c r="BP2975" s="77"/>
      <c r="BR2975" s="497">
        <v>39.92</v>
      </c>
      <c r="BT2975" s="42"/>
    </row>
    <row r="2976" spans="1:72" x14ac:dyDescent="0.25">
      <c r="A2976" s="90">
        <v>36284</v>
      </c>
      <c r="B2976" s="20">
        <v>0.25</v>
      </c>
      <c r="D2976">
        <v>51.08</v>
      </c>
      <c r="E2976" t="str">
        <f t="shared" si="128"/>
        <v>WEEKDAY</v>
      </c>
      <c r="F2976" t="e">
        <f t="shared" si="127"/>
        <v>#N/A</v>
      </c>
      <c r="G2976" s="74">
        <v>31901</v>
      </c>
      <c r="H2976" s="77">
        <v>0.25</v>
      </c>
      <c r="J2976">
        <v>46.94</v>
      </c>
      <c r="M2976" s="74">
        <v>34458</v>
      </c>
      <c r="N2976" s="77">
        <v>0.25</v>
      </c>
      <c r="P2976">
        <v>48.92</v>
      </c>
      <c r="S2976" s="74">
        <v>36284</v>
      </c>
      <c r="T2976" s="77">
        <v>0.25</v>
      </c>
      <c r="V2976">
        <v>51.8</v>
      </c>
      <c r="X2976" s="42"/>
      <c r="AB2976">
        <v>51.4</v>
      </c>
      <c r="AC2976">
        <v>62.96</v>
      </c>
      <c r="AE2976" s="74"/>
      <c r="AF2976" s="77"/>
      <c r="AH2976" s="497">
        <v>48.2</v>
      </c>
      <c r="AJ2976" s="42"/>
      <c r="AK2976" s="74"/>
      <c r="AL2976" s="77"/>
      <c r="AN2976" s="497">
        <v>39.92</v>
      </c>
      <c r="AP2976" s="42"/>
      <c r="AQ2976" s="74"/>
      <c r="AR2976" s="77"/>
      <c r="AT2976" s="497">
        <v>39.92</v>
      </c>
      <c r="AV2976" s="42"/>
      <c r="AW2976" s="74"/>
      <c r="AX2976" s="77"/>
      <c r="BA2976" s="497">
        <v>42.08</v>
      </c>
      <c r="BB2976" s="42"/>
      <c r="BC2976" s="74"/>
      <c r="BD2976" s="77"/>
      <c r="BF2976">
        <v>39.92</v>
      </c>
      <c r="BH2976" s="42"/>
      <c r="BI2976" s="74"/>
      <c r="BJ2976" s="77"/>
      <c r="BL2976" s="497">
        <v>32</v>
      </c>
      <c r="BN2976" s="42"/>
      <c r="BO2976" s="74"/>
      <c r="BP2976" s="77"/>
      <c r="BR2976" s="497">
        <v>42.980000000000004</v>
      </c>
      <c r="BT2976" s="42"/>
    </row>
    <row r="2977" spans="1:72" x14ac:dyDescent="0.25">
      <c r="A2977" s="90">
        <v>36284</v>
      </c>
      <c r="B2977" s="20">
        <v>0.29166666666666669</v>
      </c>
      <c r="D2977">
        <v>53.96</v>
      </c>
      <c r="E2977" t="str">
        <f t="shared" si="128"/>
        <v>WEEKDAY</v>
      </c>
      <c r="F2977" t="e">
        <f t="shared" si="127"/>
        <v>#N/A</v>
      </c>
      <c r="G2977" s="74">
        <v>31901</v>
      </c>
      <c r="H2977" s="77">
        <v>0.29166666666666669</v>
      </c>
      <c r="J2977">
        <v>46.94</v>
      </c>
      <c r="M2977" s="74">
        <v>34458</v>
      </c>
      <c r="N2977" s="77">
        <v>0.29166666666666669</v>
      </c>
      <c r="P2977">
        <v>50</v>
      </c>
      <c r="S2977" s="74">
        <v>36284</v>
      </c>
      <c r="T2977" s="77">
        <v>0.29166666666666669</v>
      </c>
      <c r="V2977">
        <v>51.08</v>
      </c>
      <c r="X2977" s="42"/>
      <c r="AB2977">
        <v>52.3</v>
      </c>
      <c r="AC2977">
        <v>69.080000000000013</v>
      </c>
      <c r="AE2977" s="74"/>
      <c r="AF2977" s="77"/>
      <c r="AH2977" s="497">
        <v>53.6</v>
      </c>
      <c r="AJ2977" s="42"/>
      <c r="AK2977" s="74"/>
      <c r="AL2977" s="77"/>
      <c r="AN2977" s="497">
        <v>42.08</v>
      </c>
      <c r="AP2977" s="42"/>
      <c r="AQ2977" s="74"/>
      <c r="AR2977" s="77"/>
      <c r="AT2977" s="497">
        <v>48.019999999999996</v>
      </c>
      <c r="AV2977" s="42"/>
      <c r="AW2977" s="74"/>
      <c r="AX2977" s="77"/>
      <c r="BA2977" s="497">
        <v>48.92</v>
      </c>
      <c r="BB2977" s="42"/>
      <c r="BC2977" s="74"/>
      <c r="BD2977" s="77"/>
      <c r="BF2977">
        <v>44.06</v>
      </c>
      <c r="BH2977" s="42"/>
      <c r="BI2977" s="74"/>
      <c r="BJ2977" s="77"/>
      <c r="BL2977" s="497">
        <v>37.04</v>
      </c>
      <c r="BN2977" s="42"/>
      <c r="BO2977" s="74"/>
      <c r="BP2977" s="77"/>
      <c r="BR2977" s="497">
        <v>50</v>
      </c>
      <c r="BT2977" s="42"/>
    </row>
    <row r="2978" spans="1:72" x14ac:dyDescent="0.25">
      <c r="A2978" s="90">
        <v>36284</v>
      </c>
      <c r="B2978" s="20">
        <v>0.33333333333333331</v>
      </c>
      <c r="D2978">
        <v>57.92</v>
      </c>
      <c r="E2978" t="str">
        <f t="shared" si="128"/>
        <v>WEEKDAY</v>
      </c>
      <c r="F2978" t="e">
        <f t="shared" si="127"/>
        <v>#N/A</v>
      </c>
      <c r="G2978" s="74">
        <v>31901</v>
      </c>
      <c r="H2978" s="77">
        <v>0.33333333333333331</v>
      </c>
      <c r="J2978">
        <v>48.019999999999996</v>
      </c>
      <c r="M2978" s="74">
        <v>34458</v>
      </c>
      <c r="N2978" s="77">
        <v>0.33333333333333331</v>
      </c>
      <c r="P2978">
        <v>50</v>
      </c>
      <c r="S2978" s="74">
        <v>36284</v>
      </c>
      <c r="T2978" s="77">
        <v>0.33333333333333331</v>
      </c>
      <c r="V2978">
        <v>51.980000000000004</v>
      </c>
      <c r="X2978" s="42"/>
      <c r="AB2978">
        <v>54.3</v>
      </c>
      <c r="AC2978">
        <v>73.94</v>
      </c>
      <c r="AE2978" s="74"/>
      <c r="AF2978" s="77"/>
      <c r="AH2978" s="497">
        <v>58.28</v>
      </c>
      <c r="AJ2978" s="42"/>
      <c r="AK2978" s="74"/>
      <c r="AL2978" s="77"/>
      <c r="AN2978" s="497">
        <v>48.92</v>
      </c>
      <c r="AP2978" s="42"/>
      <c r="AQ2978" s="74"/>
      <c r="AR2978" s="77"/>
      <c r="AT2978" s="497">
        <v>53.06</v>
      </c>
      <c r="AV2978" s="42"/>
      <c r="AW2978" s="74"/>
      <c r="AX2978" s="77"/>
      <c r="BA2978" s="497">
        <v>55.040000000000006</v>
      </c>
      <c r="BB2978" s="42"/>
      <c r="BC2978" s="74"/>
      <c r="BD2978" s="77"/>
      <c r="BF2978">
        <v>50</v>
      </c>
      <c r="BH2978" s="42"/>
      <c r="BI2978" s="74"/>
      <c r="BJ2978" s="77"/>
      <c r="BL2978" s="497">
        <v>42.08</v>
      </c>
      <c r="BN2978" s="42"/>
      <c r="BO2978" s="74"/>
      <c r="BP2978" s="77"/>
      <c r="BR2978" s="497">
        <v>53.96</v>
      </c>
      <c r="BT2978" s="42"/>
    </row>
    <row r="2979" spans="1:72" x14ac:dyDescent="0.25">
      <c r="A2979" s="90">
        <v>36284</v>
      </c>
      <c r="B2979" s="20">
        <v>0.375</v>
      </c>
      <c r="D2979">
        <v>60.08</v>
      </c>
      <c r="E2979" t="str">
        <f t="shared" si="128"/>
        <v>WEEKDAY</v>
      </c>
      <c r="F2979" t="e">
        <f t="shared" si="127"/>
        <v>#N/A</v>
      </c>
      <c r="G2979" s="74">
        <v>31901</v>
      </c>
      <c r="H2979" s="77">
        <v>0.375</v>
      </c>
      <c r="J2979">
        <v>48.92</v>
      </c>
      <c r="M2979" s="74">
        <v>34458</v>
      </c>
      <c r="N2979" s="77">
        <v>0.375</v>
      </c>
      <c r="P2979">
        <v>53.96</v>
      </c>
      <c r="S2979" s="74">
        <v>36284</v>
      </c>
      <c r="T2979" s="77">
        <v>0.375</v>
      </c>
      <c r="V2979">
        <v>53.06</v>
      </c>
      <c r="X2979" s="42"/>
      <c r="AB2979">
        <v>56.2</v>
      </c>
      <c r="AC2979">
        <v>80.960000000000008</v>
      </c>
      <c r="AE2979" s="74"/>
      <c r="AF2979" s="77"/>
      <c r="AH2979" s="497">
        <v>62.6</v>
      </c>
      <c r="AJ2979" s="42"/>
      <c r="AK2979" s="74"/>
      <c r="AL2979" s="77"/>
      <c r="AN2979" s="497">
        <v>53.96</v>
      </c>
      <c r="AP2979" s="42"/>
      <c r="AQ2979" s="74"/>
      <c r="AR2979" s="77"/>
      <c r="AT2979" s="497">
        <v>57.019999999999996</v>
      </c>
      <c r="AV2979" s="42"/>
      <c r="AW2979" s="74"/>
      <c r="AX2979" s="77"/>
      <c r="BA2979" s="497">
        <v>57.92</v>
      </c>
      <c r="BB2979" s="42"/>
      <c r="BC2979" s="74"/>
      <c r="BD2979" s="77"/>
      <c r="BF2979">
        <v>55.040000000000006</v>
      </c>
      <c r="BH2979" s="42"/>
      <c r="BI2979" s="74"/>
      <c r="BJ2979" s="77"/>
      <c r="BL2979" s="497">
        <v>46.04</v>
      </c>
      <c r="BN2979" s="42"/>
      <c r="BO2979" s="74"/>
      <c r="BP2979" s="77"/>
      <c r="BR2979" s="497">
        <v>59</v>
      </c>
      <c r="BT2979" s="42"/>
    </row>
    <row r="2980" spans="1:72" x14ac:dyDescent="0.25">
      <c r="A2980" s="90">
        <v>36284</v>
      </c>
      <c r="B2980" s="20">
        <v>0.41666666666666669</v>
      </c>
      <c r="D2980">
        <v>60.980000000000004</v>
      </c>
      <c r="E2980" t="str">
        <f t="shared" si="128"/>
        <v>WEEKDAY</v>
      </c>
      <c r="F2980" t="e">
        <f t="shared" si="127"/>
        <v>#N/A</v>
      </c>
      <c r="G2980" s="74">
        <v>31901</v>
      </c>
      <c r="H2980" s="77">
        <v>0.41666666666666669</v>
      </c>
      <c r="J2980">
        <v>48.019999999999996</v>
      </c>
      <c r="M2980" s="74">
        <v>34458</v>
      </c>
      <c r="N2980" s="77">
        <v>0.41666666666666669</v>
      </c>
      <c r="P2980">
        <v>56.84</v>
      </c>
      <c r="S2980" s="74">
        <v>36284</v>
      </c>
      <c r="T2980" s="77">
        <v>0.41666666666666669</v>
      </c>
      <c r="V2980">
        <v>53.96</v>
      </c>
      <c r="X2980" s="42"/>
      <c r="AB2980">
        <v>58</v>
      </c>
      <c r="AC2980">
        <v>84.02</v>
      </c>
      <c r="AE2980" s="74"/>
      <c r="AF2980" s="77"/>
      <c r="AH2980" s="497">
        <v>64.400000000000006</v>
      </c>
      <c r="AJ2980" s="42"/>
      <c r="AK2980" s="74"/>
      <c r="AL2980" s="77"/>
      <c r="AN2980" s="497">
        <v>55.94</v>
      </c>
      <c r="AP2980" s="42"/>
      <c r="AQ2980" s="74"/>
      <c r="AR2980" s="77"/>
      <c r="AT2980" s="497">
        <v>57.019999999999996</v>
      </c>
      <c r="AV2980" s="42"/>
      <c r="AW2980" s="74"/>
      <c r="AX2980" s="77"/>
      <c r="BA2980" s="497">
        <v>59</v>
      </c>
      <c r="BB2980" s="42"/>
      <c r="BC2980" s="74"/>
      <c r="BD2980" s="77"/>
      <c r="BF2980">
        <v>57.92</v>
      </c>
      <c r="BH2980" s="42"/>
      <c r="BI2980" s="74"/>
      <c r="BJ2980" s="77"/>
      <c r="BL2980" s="497">
        <v>50</v>
      </c>
      <c r="BN2980" s="42"/>
      <c r="BO2980" s="74"/>
      <c r="BP2980" s="77"/>
      <c r="BR2980" s="497">
        <v>66.02</v>
      </c>
      <c r="BT2980" s="42"/>
    </row>
    <row r="2981" spans="1:72" x14ac:dyDescent="0.25">
      <c r="A2981" s="90">
        <v>36284</v>
      </c>
      <c r="B2981" s="20">
        <v>0.45833333333333331</v>
      </c>
      <c r="D2981">
        <v>62.06</v>
      </c>
      <c r="E2981" t="str">
        <f t="shared" si="128"/>
        <v>WEEKDAY</v>
      </c>
      <c r="F2981" t="e">
        <f t="shared" si="127"/>
        <v>#N/A</v>
      </c>
      <c r="G2981" s="74">
        <v>31901</v>
      </c>
      <c r="H2981" s="77">
        <v>0.45833333333333331</v>
      </c>
      <c r="J2981">
        <v>48.019999999999996</v>
      </c>
      <c r="M2981" s="74">
        <v>34458</v>
      </c>
      <c r="N2981" s="77">
        <v>0.45833333333333331</v>
      </c>
      <c r="P2981">
        <v>59</v>
      </c>
      <c r="S2981" s="74">
        <v>36284</v>
      </c>
      <c r="T2981" s="77">
        <v>0.45833333333333331</v>
      </c>
      <c r="V2981">
        <v>55.040000000000006</v>
      </c>
      <c r="X2981" s="42"/>
      <c r="AB2981">
        <v>59.6</v>
      </c>
      <c r="AC2981">
        <v>87.080000000000013</v>
      </c>
      <c r="AE2981" s="74"/>
      <c r="AF2981" s="77"/>
      <c r="AH2981" s="497">
        <v>66.2</v>
      </c>
      <c r="AJ2981" s="42"/>
      <c r="AK2981" s="74"/>
      <c r="AL2981" s="77"/>
      <c r="AN2981" s="497">
        <v>57.92</v>
      </c>
      <c r="AP2981" s="42"/>
      <c r="AQ2981" s="74"/>
      <c r="AR2981" s="77"/>
      <c r="AT2981" s="497">
        <v>60.08</v>
      </c>
      <c r="AV2981" s="42"/>
      <c r="AW2981" s="74"/>
      <c r="AX2981" s="77"/>
      <c r="BA2981" s="497">
        <v>62.06</v>
      </c>
      <c r="BB2981" s="42"/>
      <c r="BC2981" s="74"/>
      <c r="BD2981" s="77"/>
      <c r="BF2981">
        <v>59</v>
      </c>
      <c r="BH2981" s="42"/>
      <c r="BI2981" s="74"/>
      <c r="BJ2981" s="77"/>
      <c r="BL2981" s="497">
        <v>51.08</v>
      </c>
      <c r="BN2981" s="42"/>
      <c r="BO2981" s="74"/>
      <c r="BP2981" s="77"/>
      <c r="BR2981" s="497">
        <v>66.92</v>
      </c>
      <c r="BT2981" s="42"/>
    </row>
    <row r="2982" spans="1:72" x14ac:dyDescent="0.25">
      <c r="A2982" s="90">
        <v>36284</v>
      </c>
      <c r="B2982" s="20">
        <v>0.5</v>
      </c>
      <c r="D2982">
        <v>60.08</v>
      </c>
      <c r="E2982" t="str">
        <f t="shared" si="128"/>
        <v>WEEKDAY</v>
      </c>
      <c r="F2982" t="e">
        <f t="shared" si="127"/>
        <v>#N/A</v>
      </c>
      <c r="G2982" s="74">
        <v>31901</v>
      </c>
      <c r="H2982" s="77">
        <v>0.5</v>
      </c>
      <c r="J2982">
        <v>48.019999999999996</v>
      </c>
      <c r="M2982" s="74">
        <v>34458</v>
      </c>
      <c r="N2982" s="77">
        <v>0.5</v>
      </c>
      <c r="P2982">
        <v>57.92</v>
      </c>
      <c r="S2982" s="74">
        <v>36284</v>
      </c>
      <c r="T2982" s="77">
        <v>0.5</v>
      </c>
      <c r="V2982">
        <v>57.92</v>
      </c>
      <c r="X2982" s="42"/>
      <c r="AB2982">
        <v>60.9</v>
      </c>
      <c r="AC2982">
        <v>89.06</v>
      </c>
      <c r="AE2982" s="74"/>
      <c r="AF2982" s="77"/>
      <c r="AH2982" s="497">
        <v>69.800000000000011</v>
      </c>
      <c r="AJ2982" s="42"/>
      <c r="AK2982" s="74"/>
      <c r="AL2982" s="77"/>
      <c r="AN2982" s="497">
        <v>60.08</v>
      </c>
      <c r="AP2982" s="42"/>
      <c r="AQ2982" s="74"/>
      <c r="AR2982" s="77"/>
      <c r="AT2982" s="497">
        <v>62.06</v>
      </c>
      <c r="AV2982" s="42"/>
      <c r="AW2982" s="74"/>
      <c r="AX2982" s="77"/>
      <c r="BA2982" s="497">
        <v>64.039999999999992</v>
      </c>
      <c r="BB2982" s="42"/>
      <c r="BC2982" s="74"/>
      <c r="BD2982" s="77"/>
      <c r="BF2982">
        <v>59</v>
      </c>
      <c r="BH2982" s="42"/>
      <c r="BI2982" s="74"/>
      <c r="BJ2982" s="77"/>
      <c r="BL2982" s="497">
        <v>55.040000000000006</v>
      </c>
      <c r="BN2982" s="42"/>
      <c r="BO2982" s="74"/>
      <c r="BP2982" s="77"/>
      <c r="BR2982" s="497">
        <v>66.92</v>
      </c>
      <c r="BT2982" s="42"/>
    </row>
    <row r="2983" spans="1:72" x14ac:dyDescent="0.25">
      <c r="A2983" s="90">
        <v>36284</v>
      </c>
      <c r="B2983" s="20">
        <v>0.54166666666666663</v>
      </c>
      <c r="D2983">
        <v>60.980000000000004</v>
      </c>
      <c r="E2983" t="str">
        <f t="shared" si="128"/>
        <v>WEEKDAY</v>
      </c>
      <c r="F2983" t="e">
        <f t="shared" si="127"/>
        <v>#N/A</v>
      </c>
      <c r="G2983" s="74">
        <v>31901</v>
      </c>
      <c r="H2983" s="77">
        <v>0.54166666666666663</v>
      </c>
      <c r="J2983">
        <v>48.019999999999996</v>
      </c>
      <c r="M2983" s="74">
        <v>34458</v>
      </c>
      <c r="N2983" s="77">
        <v>0.54166666666666663</v>
      </c>
      <c r="P2983">
        <v>57.92</v>
      </c>
      <c r="S2983" s="74">
        <v>36284</v>
      </c>
      <c r="T2983" s="77">
        <v>0.54166666666666663</v>
      </c>
      <c r="V2983">
        <v>59</v>
      </c>
      <c r="X2983" s="42"/>
      <c r="AB2983">
        <v>61.8</v>
      </c>
      <c r="AC2983">
        <v>89.960000000000008</v>
      </c>
      <c r="AE2983" s="74"/>
      <c r="AF2983" s="77"/>
      <c r="AH2983" s="497">
        <v>71.599999999999994</v>
      </c>
      <c r="AJ2983" s="42"/>
      <c r="AK2983" s="74"/>
      <c r="AL2983" s="77"/>
      <c r="AN2983" s="497">
        <v>62.06</v>
      </c>
      <c r="AP2983" s="42"/>
      <c r="AQ2983" s="74"/>
      <c r="AR2983" s="77"/>
      <c r="AT2983" s="497">
        <v>64.039999999999992</v>
      </c>
      <c r="AV2983" s="42"/>
      <c r="AW2983" s="74"/>
      <c r="AX2983" s="77"/>
      <c r="BA2983" s="497">
        <v>64.94</v>
      </c>
      <c r="BB2983" s="42"/>
      <c r="BC2983" s="74"/>
      <c r="BD2983" s="77"/>
      <c r="BF2983">
        <v>60.980000000000004</v>
      </c>
      <c r="BH2983" s="42"/>
      <c r="BI2983" s="74"/>
      <c r="BJ2983" s="77"/>
      <c r="BL2983" s="497">
        <v>57.019999999999996</v>
      </c>
      <c r="BN2983" s="42"/>
      <c r="BO2983" s="74"/>
      <c r="BP2983" s="77"/>
      <c r="BR2983" s="497">
        <v>66.92</v>
      </c>
      <c r="BT2983" s="42"/>
    </row>
    <row r="2984" spans="1:72" x14ac:dyDescent="0.25">
      <c r="A2984" s="90">
        <v>36284</v>
      </c>
      <c r="B2984" s="20">
        <v>0.58333333333333337</v>
      </c>
      <c r="D2984">
        <v>57.92</v>
      </c>
      <c r="E2984" t="str">
        <f t="shared" si="128"/>
        <v>WEEKDAY</v>
      </c>
      <c r="F2984" t="e">
        <f t="shared" si="127"/>
        <v>#N/A</v>
      </c>
      <c r="G2984" s="74">
        <v>31901</v>
      </c>
      <c r="H2984" s="77">
        <v>0.58333333333333337</v>
      </c>
      <c r="J2984">
        <v>48.92</v>
      </c>
      <c r="M2984" s="74">
        <v>34458</v>
      </c>
      <c r="N2984" s="77">
        <v>0.58333333333333337</v>
      </c>
      <c r="P2984">
        <v>59.900000000000006</v>
      </c>
      <c r="S2984" s="74">
        <v>36284</v>
      </c>
      <c r="T2984" s="77">
        <v>0.58333333333333337</v>
      </c>
      <c r="V2984">
        <v>60.980000000000004</v>
      </c>
      <c r="X2984" s="42"/>
      <c r="AB2984">
        <v>62.2</v>
      </c>
      <c r="AC2984">
        <v>87.98</v>
      </c>
      <c r="AE2984" s="74"/>
      <c r="AF2984" s="77"/>
      <c r="AH2984" s="497">
        <v>69.800000000000011</v>
      </c>
      <c r="AJ2984" s="42"/>
      <c r="AK2984" s="74"/>
      <c r="AL2984" s="77"/>
      <c r="AN2984" s="497">
        <v>62.96</v>
      </c>
      <c r="AP2984" s="42"/>
      <c r="AQ2984" s="74"/>
      <c r="AR2984" s="77"/>
      <c r="AT2984" s="497">
        <v>64.94</v>
      </c>
      <c r="AV2984" s="42"/>
      <c r="AW2984" s="74"/>
      <c r="AX2984" s="77"/>
      <c r="BA2984" s="497">
        <v>64.94</v>
      </c>
      <c r="BB2984" s="42"/>
      <c r="BC2984" s="74"/>
      <c r="BD2984" s="77"/>
      <c r="BF2984">
        <v>62.06</v>
      </c>
      <c r="BH2984" s="42"/>
      <c r="BI2984" s="74"/>
      <c r="BJ2984" s="77"/>
      <c r="BL2984" s="497">
        <v>57.019999999999996</v>
      </c>
      <c r="BN2984" s="42"/>
      <c r="BO2984" s="74"/>
      <c r="BP2984" s="77"/>
      <c r="BR2984" s="497">
        <v>71.06</v>
      </c>
      <c r="BT2984" s="42"/>
    </row>
    <row r="2985" spans="1:72" x14ac:dyDescent="0.25">
      <c r="A2985" s="90">
        <v>36284</v>
      </c>
      <c r="B2985" s="20">
        <v>0.625</v>
      </c>
      <c r="D2985">
        <v>57.019999999999996</v>
      </c>
      <c r="E2985" t="str">
        <f t="shared" si="128"/>
        <v>WEEKDAY</v>
      </c>
      <c r="F2985" t="e">
        <f t="shared" si="127"/>
        <v>#N/A</v>
      </c>
      <c r="G2985" s="74">
        <v>31901</v>
      </c>
      <c r="H2985" s="77">
        <v>0.625</v>
      </c>
      <c r="J2985">
        <v>48.92</v>
      </c>
      <c r="M2985" s="74">
        <v>34458</v>
      </c>
      <c r="N2985" s="77">
        <v>0.625</v>
      </c>
      <c r="P2985">
        <v>59</v>
      </c>
      <c r="S2985" s="74">
        <v>36284</v>
      </c>
      <c r="T2985" s="77">
        <v>0.625</v>
      </c>
      <c r="V2985">
        <v>60.08</v>
      </c>
      <c r="X2985" s="42"/>
      <c r="AB2985">
        <v>62.3</v>
      </c>
      <c r="AC2985">
        <v>86</v>
      </c>
      <c r="AE2985" s="74"/>
      <c r="AF2985" s="77"/>
      <c r="AH2985" s="497">
        <v>69.800000000000011</v>
      </c>
      <c r="AJ2985" s="42"/>
      <c r="AK2985" s="74"/>
      <c r="AL2985" s="77"/>
      <c r="AN2985" s="497">
        <v>64.039999999999992</v>
      </c>
      <c r="AP2985" s="42"/>
      <c r="AQ2985" s="74"/>
      <c r="AR2985" s="77"/>
      <c r="AT2985" s="497">
        <v>66.02</v>
      </c>
      <c r="AV2985" s="42"/>
      <c r="AW2985" s="74"/>
      <c r="AX2985" s="77"/>
      <c r="BA2985" s="497">
        <v>64.94</v>
      </c>
      <c r="BB2985" s="42"/>
      <c r="BC2985" s="74"/>
      <c r="BD2985" s="77"/>
      <c r="BF2985">
        <v>60.980000000000004</v>
      </c>
      <c r="BH2985" s="42"/>
      <c r="BI2985" s="74"/>
      <c r="BJ2985" s="77"/>
      <c r="BL2985" s="497">
        <v>55.94</v>
      </c>
      <c r="BN2985" s="42"/>
      <c r="BO2985" s="74"/>
      <c r="BP2985" s="77"/>
      <c r="BR2985" s="497">
        <v>69.080000000000013</v>
      </c>
      <c r="BT2985" s="42"/>
    </row>
    <row r="2986" spans="1:72" x14ac:dyDescent="0.25">
      <c r="A2986" s="90">
        <v>36284</v>
      </c>
      <c r="B2986" s="20">
        <v>0.66666666666666663</v>
      </c>
      <c r="D2986">
        <v>55.040000000000006</v>
      </c>
      <c r="E2986" t="str">
        <f t="shared" si="128"/>
        <v>WEEKDAY</v>
      </c>
      <c r="F2986" t="e">
        <f t="shared" si="127"/>
        <v>#N/A</v>
      </c>
      <c r="G2986" s="74">
        <v>31901</v>
      </c>
      <c r="H2986" s="77">
        <v>0.66666666666666663</v>
      </c>
      <c r="J2986">
        <v>48.019999999999996</v>
      </c>
      <c r="M2986" s="74">
        <v>34458</v>
      </c>
      <c r="N2986" s="77">
        <v>0.66666666666666663</v>
      </c>
      <c r="P2986">
        <v>54.86</v>
      </c>
      <c r="S2986" s="74">
        <v>36284</v>
      </c>
      <c r="T2986" s="77">
        <v>0.66666666666666663</v>
      </c>
      <c r="V2986">
        <v>60.08</v>
      </c>
      <c r="X2986" s="42"/>
      <c r="AB2986">
        <v>61.8</v>
      </c>
      <c r="AC2986">
        <v>78.98</v>
      </c>
      <c r="AE2986" s="74"/>
      <c r="AF2986" s="77"/>
      <c r="AH2986" s="497">
        <v>69.800000000000011</v>
      </c>
      <c r="AJ2986" s="42"/>
      <c r="AK2986" s="74"/>
      <c r="AL2986" s="77"/>
      <c r="AN2986" s="497">
        <v>64.039999999999992</v>
      </c>
      <c r="AP2986" s="42"/>
      <c r="AQ2986" s="74"/>
      <c r="AR2986" s="77"/>
      <c r="AT2986" s="497">
        <v>66.02</v>
      </c>
      <c r="AV2986" s="42"/>
      <c r="AW2986" s="74"/>
      <c r="AX2986" s="77"/>
      <c r="BA2986" s="497">
        <v>64.94</v>
      </c>
      <c r="BB2986" s="42"/>
      <c r="BC2986" s="74"/>
      <c r="BD2986" s="77"/>
      <c r="BF2986">
        <v>60.08</v>
      </c>
      <c r="BH2986" s="42"/>
      <c r="BI2986" s="74"/>
      <c r="BJ2986" s="77"/>
      <c r="BL2986" s="497">
        <v>55.94</v>
      </c>
      <c r="BN2986" s="42"/>
      <c r="BO2986" s="74"/>
      <c r="BP2986" s="77"/>
      <c r="BR2986" s="497">
        <v>69.98</v>
      </c>
      <c r="BT2986" s="42"/>
    </row>
    <row r="2987" spans="1:72" x14ac:dyDescent="0.25">
      <c r="A2987" s="90">
        <v>36284</v>
      </c>
      <c r="B2987" s="20">
        <v>0.70833333333333337</v>
      </c>
      <c r="D2987">
        <v>55.040000000000006</v>
      </c>
      <c r="E2987" t="str">
        <f t="shared" si="128"/>
        <v>WEEKDAY</v>
      </c>
      <c r="F2987" t="e">
        <f t="shared" ref="F2987:F3050" si="129">IF(E2987="WEEKDAY",VLOOKUP(B2987,$DD$19:$DG$42,2),IF(E2987="SATURDAY",VLOOKUP(B2987,$DD$19:$DG$42,3),VLOOKUP(B2987,$DD$19:$DG$42,4)))</f>
        <v>#N/A</v>
      </c>
      <c r="G2987" s="74">
        <v>31901</v>
      </c>
      <c r="H2987" s="77">
        <v>0.70833333333333337</v>
      </c>
      <c r="J2987">
        <v>48.019999999999996</v>
      </c>
      <c r="M2987" s="74">
        <v>34458</v>
      </c>
      <c r="N2987" s="77">
        <v>0.70833333333333337</v>
      </c>
      <c r="P2987">
        <v>54.86</v>
      </c>
      <c r="S2987" s="74">
        <v>36284</v>
      </c>
      <c r="T2987" s="77">
        <v>0.70833333333333337</v>
      </c>
      <c r="V2987">
        <v>57.92</v>
      </c>
      <c r="X2987" s="42"/>
      <c r="AB2987">
        <v>60.9</v>
      </c>
      <c r="AC2987">
        <v>75.02</v>
      </c>
      <c r="AE2987" s="74"/>
      <c r="AF2987" s="77"/>
      <c r="AH2987" s="497">
        <v>66.2</v>
      </c>
      <c r="AJ2987" s="42"/>
      <c r="AK2987" s="74"/>
      <c r="AL2987" s="77"/>
      <c r="AN2987" s="497">
        <v>64.039999999999992</v>
      </c>
      <c r="AP2987" s="42"/>
      <c r="AQ2987" s="74"/>
      <c r="AR2987" s="77"/>
      <c r="AT2987" s="497">
        <v>64.039999999999992</v>
      </c>
      <c r="AV2987" s="42"/>
      <c r="AW2987" s="74"/>
      <c r="AX2987" s="77"/>
      <c r="BA2987" s="497">
        <v>62.96</v>
      </c>
      <c r="BB2987" s="42"/>
      <c r="BC2987" s="74"/>
      <c r="BD2987" s="77"/>
      <c r="BF2987">
        <v>59</v>
      </c>
      <c r="BH2987" s="42"/>
      <c r="BI2987" s="74"/>
      <c r="BJ2987" s="77"/>
      <c r="BL2987" s="497">
        <v>57.019999999999996</v>
      </c>
      <c r="BN2987" s="42"/>
      <c r="BO2987" s="74"/>
      <c r="BP2987" s="77"/>
      <c r="BR2987" s="497">
        <v>71.06</v>
      </c>
      <c r="BT2987" s="42"/>
    </row>
    <row r="2988" spans="1:72" x14ac:dyDescent="0.25">
      <c r="A2988" s="90">
        <v>36284</v>
      </c>
      <c r="B2988" s="20">
        <v>0.75</v>
      </c>
      <c r="D2988">
        <v>55.040000000000006</v>
      </c>
      <c r="E2988" t="str">
        <f t="shared" si="128"/>
        <v>WEEKDAY</v>
      </c>
      <c r="F2988" t="e">
        <f t="shared" si="129"/>
        <v>#N/A</v>
      </c>
      <c r="G2988" s="74">
        <v>31901</v>
      </c>
      <c r="H2988" s="77">
        <v>0.75</v>
      </c>
      <c r="J2988">
        <v>46.94</v>
      </c>
      <c r="M2988" s="74">
        <v>34458</v>
      </c>
      <c r="N2988" s="77">
        <v>0.75</v>
      </c>
      <c r="P2988">
        <v>52.879999999999995</v>
      </c>
      <c r="S2988" s="74">
        <v>36284</v>
      </c>
      <c r="T2988" s="77">
        <v>0.75</v>
      </c>
      <c r="V2988">
        <v>59</v>
      </c>
      <c r="X2988" s="42"/>
      <c r="AB2988">
        <v>59.8</v>
      </c>
      <c r="AC2988">
        <v>73.94</v>
      </c>
      <c r="AE2988" s="74"/>
      <c r="AF2988" s="77"/>
      <c r="AH2988" s="497">
        <v>64.400000000000006</v>
      </c>
      <c r="AJ2988" s="42"/>
      <c r="AK2988" s="74"/>
      <c r="AL2988" s="77"/>
      <c r="AN2988" s="497">
        <v>62.96</v>
      </c>
      <c r="AP2988" s="42"/>
      <c r="AQ2988" s="74"/>
      <c r="AR2988" s="77"/>
      <c r="AT2988" s="497">
        <v>62.06</v>
      </c>
      <c r="AV2988" s="42"/>
      <c r="AW2988" s="74"/>
      <c r="AX2988" s="77"/>
      <c r="BA2988" s="497">
        <v>60.980000000000004</v>
      </c>
      <c r="BB2988" s="42"/>
      <c r="BC2988" s="74"/>
      <c r="BD2988" s="77"/>
      <c r="BF2988">
        <v>57.92</v>
      </c>
      <c r="BH2988" s="42"/>
      <c r="BI2988" s="74"/>
      <c r="BJ2988" s="77"/>
      <c r="BL2988" s="497">
        <v>57.019999999999996</v>
      </c>
      <c r="BN2988" s="42"/>
      <c r="BO2988" s="74"/>
      <c r="BP2988" s="77"/>
      <c r="BR2988" s="497">
        <v>68</v>
      </c>
      <c r="BT2988" s="42"/>
    </row>
    <row r="2989" spans="1:72" x14ac:dyDescent="0.25">
      <c r="A2989" s="90">
        <v>36284</v>
      </c>
      <c r="B2989" s="20">
        <v>0.79166666666666663</v>
      </c>
      <c r="D2989">
        <v>53.06</v>
      </c>
      <c r="E2989" t="str">
        <f t="shared" si="128"/>
        <v>WEEKDAY</v>
      </c>
      <c r="F2989" t="e">
        <f t="shared" si="129"/>
        <v>#N/A</v>
      </c>
      <c r="G2989" s="74">
        <v>31901</v>
      </c>
      <c r="H2989" s="77">
        <v>0.79166666666666663</v>
      </c>
      <c r="J2989">
        <v>46.04</v>
      </c>
      <c r="M2989" s="74">
        <v>34458</v>
      </c>
      <c r="N2989" s="77">
        <v>0.79166666666666663</v>
      </c>
      <c r="P2989">
        <v>51.980000000000004</v>
      </c>
      <c r="S2989" s="74">
        <v>36284</v>
      </c>
      <c r="T2989" s="77">
        <v>0.79166666666666663</v>
      </c>
      <c r="V2989">
        <v>59</v>
      </c>
      <c r="X2989" s="42"/>
      <c r="AB2989">
        <v>58.3</v>
      </c>
      <c r="AC2989">
        <v>69.98</v>
      </c>
      <c r="AE2989" s="74"/>
      <c r="AF2989" s="77"/>
      <c r="AH2989" s="497">
        <v>62.6</v>
      </c>
      <c r="AJ2989" s="42"/>
      <c r="AK2989" s="74"/>
      <c r="AL2989" s="77"/>
      <c r="AN2989" s="497">
        <v>60.980000000000004</v>
      </c>
      <c r="AP2989" s="42"/>
      <c r="AQ2989" s="74"/>
      <c r="AR2989" s="77"/>
      <c r="AT2989" s="497">
        <v>60.08</v>
      </c>
      <c r="AV2989" s="42"/>
      <c r="AW2989" s="74"/>
      <c r="AX2989" s="77"/>
      <c r="BA2989" s="497">
        <v>60.08</v>
      </c>
      <c r="BB2989" s="42"/>
      <c r="BC2989" s="74"/>
      <c r="BD2989" s="77"/>
      <c r="BF2989">
        <v>57.019999999999996</v>
      </c>
      <c r="BH2989" s="42"/>
      <c r="BI2989" s="74"/>
      <c r="BJ2989" s="77"/>
      <c r="BL2989" s="497">
        <v>57.019999999999996</v>
      </c>
      <c r="BN2989" s="42"/>
      <c r="BO2989" s="74"/>
      <c r="BP2989" s="77"/>
      <c r="BR2989" s="497">
        <v>62.06</v>
      </c>
      <c r="BT2989" s="42"/>
    </row>
    <row r="2990" spans="1:72" x14ac:dyDescent="0.25">
      <c r="A2990" s="90">
        <v>36284</v>
      </c>
      <c r="B2990" s="20">
        <v>0.83333333333333337</v>
      </c>
      <c r="D2990">
        <v>51.980000000000004</v>
      </c>
      <c r="E2990" t="str">
        <f t="shared" si="128"/>
        <v>WEEKDAY</v>
      </c>
      <c r="F2990" t="e">
        <f t="shared" si="129"/>
        <v>#N/A</v>
      </c>
      <c r="G2990" s="74">
        <v>31901</v>
      </c>
      <c r="H2990" s="77">
        <v>0.83333333333333337</v>
      </c>
      <c r="J2990">
        <v>46.04</v>
      </c>
      <c r="M2990" s="74">
        <v>34458</v>
      </c>
      <c r="N2990" s="77">
        <v>0.83333333333333337</v>
      </c>
      <c r="P2990">
        <v>50.900000000000006</v>
      </c>
      <c r="S2990" s="74">
        <v>36284</v>
      </c>
      <c r="T2990" s="77">
        <v>0.83333333333333337</v>
      </c>
      <c r="V2990">
        <v>59</v>
      </c>
      <c r="X2990" s="42"/>
      <c r="AB2990">
        <v>56.8</v>
      </c>
      <c r="AC2990">
        <v>69.080000000000013</v>
      </c>
      <c r="AE2990" s="74"/>
      <c r="AF2990" s="77"/>
      <c r="AH2990" s="497">
        <v>60.8</v>
      </c>
      <c r="AJ2990" s="42"/>
      <c r="AK2990" s="74"/>
      <c r="AL2990" s="77"/>
      <c r="AN2990" s="497">
        <v>57.92</v>
      </c>
      <c r="AP2990" s="42"/>
      <c r="AQ2990" s="74"/>
      <c r="AR2990" s="77"/>
      <c r="AT2990" s="497">
        <v>57.92</v>
      </c>
      <c r="AV2990" s="42"/>
      <c r="AW2990" s="74"/>
      <c r="AX2990" s="77"/>
      <c r="BA2990" s="497">
        <v>57.92</v>
      </c>
      <c r="BB2990" s="42"/>
      <c r="BC2990" s="74"/>
      <c r="BD2990" s="77"/>
      <c r="BF2990">
        <v>53.96</v>
      </c>
      <c r="BH2990" s="42"/>
      <c r="BI2990" s="74"/>
      <c r="BJ2990" s="77"/>
      <c r="BL2990" s="497">
        <v>55.040000000000006</v>
      </c>
      <c r="BN2990" s="42"/>
      <c r="BO2990" s="74"/>
      <c r="BP2990" s="77"/>
      <c r="BR2990" s="497">
        <v>55.94</v>
      </c>
      <c r="BT2990" s="42"/>
    </row>
    <row r="2991" spans="1:72" x14ac:dyDescent="0.25">
      <c r="A2991" s="90">
        <v>36284</v>
      </c>
      <c r="B2991" s="20">
        <v>0.875</v>
      </c>
      <c r="D2991">
        <v>51.08</v>
      </c>
      <c r="E2991" t="str">
        <f t="shared" si="128"/>
        <v>WEEKDAY</v>
      </c>
      <c r="F2991" t="e">
        <f t="shared" si="129"/>
        <v>#N/A</v>
      </c>
      <c r="G2991" s="74">
        <v>31901</v>
      </c>
      <c r="H2991" s="77">
        <v>0.875</v>
      </c>
      <c r="J2991">
        <v>44.96</v>
      </c>
      <c r="M2991" s="74">
        <v>34458</v>
      </c>
      <c r="N2991" s="77">
        <v>0.875</v>
      </c>
      <c r="P2991">
        <v>50</v>
      </c>
      <c r="S2991" s="74">
        <v>36284</v>
      </c>
      <c r="T2991" s="77">
        <v>0.875</v>
      </c>
      <c r="V2991">
        <v>57.92</v>
      </c>
      <c r="X2991" s="42"/>
      <c r="AB2991">
        <v>55.8</v>
      </c>
      <c r="AC2991">
        <v>66.92</v>
      </c>
      <c r="AE2991" s="74"/>
      <c r="AF2991" s="77"/>
      <c r="AH2991" s="497">
        <v>60.8</v>
      </c>
      <c r="AJ2991" s="42"/>
      <c r="AK2991" s="74"/>
      <c r="AL2991" s="77"/>
      <c r="AN2991" s="497">
        <v>57.019999999999996</v>
      </c>
      <c r="AP2991" s="42"/>
      <c r="AQ2991" s="74"/>
      <c r="AR2991" s="77"/>
      <c r="AT2991" s="497">
        <v>57.92</v>
      </c>
      <c r="AV2991" s="42"/>
      <c r="AW2991" s="74"/>
      <c r="AX2991" s="77"/>
      <c r="BA2991" s="497">
        <v>55.94</v>
      </c>
      <c r="BB2991" s="42"/>
      <c r="BC2991" s="74"/>
      <c r="BD2991" s="77"/>
      <c r="BF2991">
        <v>53.06</v>
      </c>
      <c r="BH2991" s="42"/>
      <c r="BI2991" s="74"/>
      <c r="BJ2991" s="77"/>
      <c r="BL2991" s="497">
        <v>53.96</v>
      </c>
      <c r="BN2991" s="42"/>
      <c r="BO2991" s="74"/>
      <c r="BP2991" s="77"/>
      <c r="BR2991" s="497">
        <v>55.94</v>
      </c>
      <c r="BT2991" s="42"/>
    </row>
    <row r="2992" spans="1:72" x14ac:dyDescent="0.25">
      <c r="A2992" s="90">
        <v>36284</v>
      </c>
      <c r="B2992" s="20">
        <v>0.91666666666666663</v>
      </c>
      <c r="D2992">
        <v>51.08</v>
      </c>
      <c r="E2992" t="str">
        <f t="shared" si="128"/>
        <v>WEEKDAY</v>
      </c>
      <c r="F2992" t="e">
        <f t="shared" si="129"/>
        <v>#N/A</v>
      </c>
      <c r="G2992" s="74">
        <v>31901</v>
      </c>
      <c r="H2992" s="77">
        <v>0.91666666666666663</v>
      </c>
      <c r="J2992">
        <v>44.96</v>
      </c>
      <c r="M2992" s="74">
        <v>34458</v>
      </c>
      <c r="N2992" s="77">
        <v>0.91666666666666663</v>
      </c>
      <c r="P2992">
        <v>50.900000000000006</v>
      </c>
      <c r="S2992" s="74">
        <v>36284</v>
      </c>
      <c r="T2992" s="77">
        <v>0.91666666666666663</v>
      </c>
      <c r="V2992">
        <v>57.92</v>
      </c>
      <c r="X2992" s="42"/>
      <c r="AB2992">
        <v>55.3</v>
      </c>
      <c r="AC2992">
        <v>68</v>
      </c>
      <c r="AE2992" s="74"/>
      <c r="AF2992" s="77"/>
      <c r="AH2992" s="497">
        <v>60.8</v>
      </c>
      <c r="AJ2992" s="42"/>
      <c r="AK2992" s="74"/>
      <c r="AL2992" s="77"/>
      <c r="AN2992" s="497">
        <v>55.94</v>
      </c>
      <c r="AP2992" s="42"/>
      <c r="AQ2992" s="74"/>
      <c r="AR2992" s="77"/>
      <c r="AT2992" s="497">
        <v>55.94</v>
      </c>
      <c r="AV2992" s="42"/>
      <c r="AW2992" s="74"/>
      <c r="AX2992" s="77"/>
      <c r="BA2992" s="497">
        <v>51.08</v>
      </c>
      <c r="BB2992" s="42"/>
      <c r="BC2992" s="74"/>
      <c r="BD2992" s="77"/>
      <c r="BF2992">
        <v>51.980000000000004</v>
      </c>
      <c r="BH2992" s="42"/>
      <c r="BI2992" s="74"/>
      <c r="BJ2992" s="77"/>
      <c r="BL2992" s="497">
        <v>55.040000000000006</v>
      </c>
      <c r="BN2992" s="42"/>
      <c r="BO2992" s="74"/>
      <c r="BP2992" s="77"/>
      <c r="BR2992" s="497">
        <v>53.96</v>
      </c>
      <c r="BT2992" s="42"/>
    </row>
    <row r="2993" spans="1:72" x14ac:dyDescent="0.25">
      <c r="A2993" s="90">
        <v>36284</v>
      </c>
      <c r="B2993" s="20">
        <v>0.95833333333333337</v>
      </c>
      <c r="D2993">
        <v>51.08</v>
      </c>
      <c r="E2993" t="str">
        <f t="shared" si="128"/>
        <v>WEEKDAY</v>
      </c>
      <c r="F2993" t="e">
        <f t="shared" si="129"/>
        <v>#N/A</v>
      </c>
      <c r="G2993" s="74">
        <v>31901</v>
      </c>
      <c r="H2993" s="77">
        <v>0.95833333333333337</v>
      </c>
      <c r="J2993">
        <v>44.96</v>
      </c>
      <c r="M2993" s="74">
        <v>34458</v>
      </c>
      <c r="N2993" s="77">
        <v>0.95833333333333337</v>
      </c>
      <c r="P2993">
        <v>48.92</v>
      </c>
      <c r="S2993" s="74">
        <v>36284</v>
      </c>
      <c r="T2993" s="77">
        <v>0.95833333333333337</v>
      </c>
      <c r="V2993">
        <v>57.019999999999996</v>
      </c>
      <c r="X2993" s="42"/>
      <c r="AB2993">
        <v>54.7</v>
      </c>
      <c r="AC2993">
        <v>69.080000000000013</v>
      </c>
      <c r="AE2993" s="74"/>
      <c r="AF2993" s="77"/>
      <c r="AH2993" s="497">
        <v>59</v>
      </c>
      <c r="AJ2993" s="42"/>
      <c r="AK2993" s="74"/>
      <c r="AL2993" s="77"/>
      <c r="AN2993" s="497">
        <v>53.06</v>
      </c>
      <c r="AP2993" s="42"/>
      <c r="AQ2993" s="74"/>
      <c r="AR2993" s="77"/>
      <c r="AT2993" s="497">
        <v>53.06</v>
      </c>
      <c r="AV2993" s="42"/>
      <c r="AW2993" s="74"/>
      <c r="AX2993" s="77"/>
      <c r="BA2993" s="497">
        <v>51.08</v>
      </c>
      <c r="BB2993" s="42"/>
      <c r="BC2993" s="74"/>
      <c r="BD2993" s="77"/>
      <c r="BF2993">
        <v>51.08</v>
      </c>
      <c r="BH2993" s="42"/>
      <c r="BI2993" s="74"/>
      <c r="BJ2993" s="77"/>
      <c r="BL2993" s="497">
        <v>53.96</v>
      </c>
      <c r="BN2993" s="42"/>
      <c r="BO2993" s="74"/>
      <c r="BP2993" s="77"/>
      <c r="BR2993" s="497">
        <v>51.980000000000004</v>
      </c>
      <c r="BT2993" s="42"/>
    </row>
    <row r="2994" spans="1:72" x14ac:dyDescent="0.25">
      <c r="A2994" s="90">
        <v>36284</v>
      </c>
      <c r="B2994" s="20">
        <v>1</v>
      </c>
      <c r="D2994">
        <v>51.08</v>
      </c>
      <c r="E2994" t="str">
        <f t="shared" si="128"/>
        <v>WEEKDAY</v>
      </c>
      <c r="F2994" t="e">
        <f t="shared" si="129"/>
        <v>#N/A</v>
      </c>
      <c r="G2994" s="74">
        <v>31901</v>
      </c>
      <c r="H2994" s="77">
        <v>1</v>
      </c>
      <c r="J2994">
        <v>44.06</v>
      </c>
      <c r="M2994" s="74">
        <v>34458</v>
      </c>
      <c r="N2994" s="80">
        <v>1</v>
      </c>
      <c r="P2994">
        <v>48.92</v>
      </c>
      <c r="S2994" s="74">
        <v>36284</v>
      </c>
      <c r="T2994" s="80">
        <v>1</v>
      </c>
      <c r="V2994">
        <v>57.92</v>
      </c>
      <c r="X2994" s="42"/>
      <c r="AB2994">
        <v>54.4</v>
      </c>
      <c r="AC2994">
        <v>69.080000000000013</v>
      </c>
      <c r="AE2994" s="74"/>
      <c r="AF2994" s="80"/>
      <c r="AH2994" s="497">
        <v>59</v>
      </c>
      <c r="AJ2994" s="42"/>
      <c r="AK2994" s="74"/>
      <c r="AL2994" s="80"/>
      <c r="AN2994" s="497">
        <v>53.06</v>
      </c>
      <c r="AP2994" s="42"/>
      <c r="AQ2994" s="74"/>
      <c r="AR2994" s="80"/>
      <c r="AT2994" s="497">
        <v>53.06</v>
      </c>
      <c r="AV2994" s="42"/>
      <c r="AW2994" s="74"/>
      <c r="AX2994" s="80"/>
      <c r="BA2994" s="497">
        <v>51.08</v>
      </c>
      <c r="BB2994" s="42"/>
      <c r="BC2994" s="74"/>
      <c r="BD2994" s="80"/>
      <c r="BF2994">
        <v>50</v>
      </c>
      <c r="BH2994" s="42"/>
      <c r="BI2994" s="74"/>
      <c r="BJ2994" s="80"/>
      <c r="BL2994" s="497">
        <v>60.980000000000004</v>
      </c>
      <c r="BN2994" s="42"/>
      <c r="BO2994" s="74"/>
      <c r="BP2994" s="80"/>
      <c r="BR2994" s="497">
        <v>51.980000000000004</v>
      </c>
      <c r="BT2994" s="42"/>
    </row>
    <row r="2995" spans="1:72" x14ac:dyDescent="0.25">
      <c r="A2995" s="90">
        <v>36285</v>
      </c>
      <c r="B2995" s="20">
        <v>4.1666666666666664E-2</v>
      </c>
      <c r="D2995">
        <v>51.08</v>
      </c>
      <c r="E2995" t="str">
        <f t="shared" si="128"/>
        <v>WEEKDAY</v>
      </c>
      <c r="F2995" t="e">
        <f t="shared" si="129"/>
        <v>#N/A</v>
      </c>
      <c r="G2995" s="74">
        <v>31902</v>
      </c>
      <c r="H2995" s="77">
        <v>4.1666666666666664E-2</v>
      </c>
      <c r="J2995">
        <v>44.96</v>
      </c>
      <c r="M2995" s="74">
        <v>34459</v>
      </c>
      <c r="N2995" s="77">
        <v>4.1666666666666664E-2</v>
      </c>
      <c r="P2995">
        <v>47.84</v>
      </c>
      <c r="S2995" s="74">
        <v>36285</v>
      </c>
      <c r="T2995" s="77">
        <v>4.1666666666666664E-2</v>
      </c>
      <c r="V2995">
        <v>57.92</v>
      </c>
      <c r="X2995" s="42"/>
      <c r="AB2995">
        <v>53.9</v>
      </c>
      <c r="AC2995">
        <v>69.080000000000013</v>
      </c>
      <c r="AE2995" s="74"/>
      <c r="AF2995" s="77"/>
      <c r="AH2995" s="497">
        <v>57.2</v>
      </c>
      <c r="AJ2995" s="42"/>
      <c r="AK2995" s="74"/>
      <c r="AL2995" s="77"/>
      <c r="AN2995" s="497">
        <v>51.980000000000004</v>
      </c>
      <c r="AP2995" s="42"/>
      <c r="AQ2995" s="74"/>
      <c r="AR2995" s="77"/>
      <c r="AT2995" s="497">
        <v>53.06</v>
      </c>
      <c r="AV2995" s="42"/>
      <c r="AW2995" s="74"/>
      <c r="AX2995" s="77"/>
      <c r="BA2995" s="497">
        <v>51.08</v>
      </c>
      <c r="BB2995" s="42"/>
      <c r="BC2995" s="74"/>
      <c r="BD2995" s="77"/>
      <c r="BF2995">
        <v>50</v>
      </c>
      <c r="BH2995" s="42"/>
      <c r="BI2995" s="74"/>
      <c r="BJ2995" s="77"/>
      <c r="BL2995" s="497">
        <v>62.96</v>
      </c>
      <c r="BN2995" s="42"/>
      <c r="BO2995" s="74"/>
      <c r="BP2995" s="77"/>
      <c r="BR2995" s="497">
        <v>48.019999999999996</v>
      </c>
      <c r="BT2995" s="42"/>
    </row>
    <row r="2996" spans="1:72" x14ac:dyDescent="0.25">
      <c r="A2996" s="90">
        <v>36285</v>
      </c>
      <c r="B2996" s="20">
        <v>8.3333333333333329E-2</v>
      </c>
      <c r="D2996">
        <v>51.980000000000004</v>
      </c>
      <c r="E2996" t="str">
        <f t="shared" si="128"/>
        <v>WEEKDAY</v>
      </c>
      <c r="F2996" t="e">
        <f t="shared" si="129"/>
        <v>#N/A</v>
      </c>
      <c r="G2996" s="74">
        <v>31902</v>
      </c>
      <c r="H2996" s="77">
        <v>8.3333333333333329E-2</v>
      </c>
      <c r="J2996">
        <v>44.06</v>
      </c>
      <c r="M2996" s="74">
        <v>34459</v>
      </c>
      <c r="N2996" s="77">
        <v>8.3333333333333329E-2</v>
      </c>
      <c r="P2996">
        <v>48.92</v>
      </c>
      <c r="S2996" s="74">
        <v>36285</v>
      </c>
      <c r="T2996" s="77">
        <v>8.3333333333333329E-2</v>
      </c>
      <c r="V2996">
        <v>57.019999999999996</v>
      </c>
      <c r="X2996" s="42"/>
      <c r="AB2996">
        <v>53.4</v>
      </c>
      <c r="AC2996">
        <v>71.960000000000008</v>
      </c>
      <c r="AE2996" s="74"/>
      <c r="AF2996" s="77"/>
      <c r="AH2996" s="497">
        <v>55.400000000000006</v>
      </c>
      <c r="AJ2996" s="42"/>
      <c r="AK2996" s="74"/>
      <c r="AL2996" s="77"/>
      <c r="AN2996" s="497">
        <v>51.08</v>
      </c>
      <c r="AP2996" s="42"/>
      <c r="AQ2996" s="74"/>
      <c r="AR2996" s="77"/>
      <c r="AT2996" s="497">
        <v>53.96</v>
      </c>
      <c r="AV2996" s="42"/>
      <c r="AW2996" s="74"/>
      <c r="AX2996" s="77"/>
      <c r="BA2996" s="497">
        <v>51.08</v>
      </c>
      <c r="BB2996" s="42"/>
      <c r="BC2996" s="74"/>
      <c r="BD2996" s="77"/>
      <c r="BF2996">
        <v>50</v>
      </c>
      <c r="BH2996" s="42"/>
      <c r="BI2996" s="74"/>
      <c r="BJ2996" s="77"/>
      <c r="BL2996" s="497">
        <v>62.96</v>
      </c>
      <c r="BN2996" s="42"/>
      <c r="BO2996" s="74"/>
      <c r="BP2996" s="77"/>
      <c r="BR2996" s="497">
        <v>46.94</v>
      </c>
      <c r="BT2996" s="42"/>
    </row>
    <row r="2997" spans="1:72" x14ac:dyDescent="0.25">
      <c r="A2997" s="90">
        <v>36285</v>
      </c>
      <c r="B2997" s="20">
        <v>0.125</v>
      </c>
      <c r="D2997">
        <v>51.980000000000004</v>
      </c>
      <c r="E2997" t="str">
        <f t="shared" si="128"/>
        <v>WEEKDAY</v>
      </c>
      <c r="F2997" t="e">
        <f t="shared" si="129"/>
        <v>#N/A</v>
      </c>
      <c r="G2997" s="74">
        <v>31902</v>
      </c>
      <c r="H2997" s="77">
        <v>0.125</v>
      </c>
      <c r="J2997">
        <v>44.96</v>
      </c>
      <c r="M2997" s="74">
        <v>34459</v>
      </c>
      <c r="N2997" s="77">
        <v>0.125</v>
      </c>
      <c r="P2997">
        <v>48.92</v>
      </c>
      <c r="S2997" s="74">
        <v>36285</v>
      </c>
      <c r="T2997" s="77">
        <v>0.125</v>
      </c>
      <c r="V2997">
        <v>57.019999999999996</v>
      </c>
      <c r="X2997" s="42"/>
      <c r="AB2997">
        <v>53</v>
      </c>
      <c r="AC2997">
        <v>69.98</v>
      </c>
      <c r="AE2997" s="74"/>
      <c r="AF2997" s="77"/>
      <c r="AH2997" s="497">
        <v>55.400000000000006</v>
      </c>
      <c r="AJ2997" s="42"/>
      <c r="AK2997" s="74"/>
      <c r="AL2997" s="77"/>
      <c r="AN2997" s="497">
        <v>51.08</v>
      </c>
      <c r="AP2997" s="42"/>
      <c r="AQ2997" s="74"/>
      <c r="AR2997" s="77"/>
      <c r="AT2997" s="497">
        <v>55.040000000000006</v>
      </c>
      <c r="AV2997" s="42"/>
      <c r="AW2997" s="74"/>
      <c r="AX2997" s="77"/>
      <c r="BA2997" s="497">
        <v>51.980000000000004</v>
      </c>
      <c r="BB2997" s="42"/>
      <c r="BC2997" s="74"/>
      <c r="BD2997" s="77"/>
      <c r="BF2997">
        <v>51.08</v>
      </c>
      <c r="BH2997" s="42"/>
      <c r="BI2997" s="74"/>
      <c r="BJ2997" s="77"/>
      <c r="BL2997" s="497">
        <v>62.06</v>
      </c>
      <c r="BN2997" s="42"/>
      <c r="BO2997" s="74"/>
      <c r="BP2997" s="77"/>
      <c r="BR2997" s="497">
        <v>46.94</v>
      </c>
      <c r="BT2997" s="42"/>
    </row>
    <row r="2998" spans="1:72" x14ac:dyDescent="0.25">
      <c r="A2998" s="90">
        <v>36285</v>
      </c>
      <c r="B2998" s="20">
        <v>0.16666666666666666</v>
      </c>
      <c r="D2998">
        <v>51.980000000000004</v>
      </c>
      <c r="E2998" t="str">
        <f t="shared" si="128"/>
        <v>WEEKDAY</v>
      </c>
      <c r="F2998" t="e">
        <f t="shared" si="129"/>
        <v>#N/A</v>
      </c>
      <c r="G2998" s="74">
        <v>31902</v>
      </c>
      <c r="H2998" s="77">
        <v>0.16666666666666666</v>
      </c>
      <c r="J2998">
        <v>44.06</v>
      </c>
      <c r="M2998" s="74">
        <v>34459</v>
      </c>
      <c r="N2998" s="77">
        <v>0.16666666666666666</v>
      </c>
      <c r="P2998">
        <v>50</v>
      </c>
      <c r="S2998" s="74">
        <v>36285</v>
      </c>
      <c r="T2998" s="77">
        <v>0.16666666666666666</v>
      </c>
      <c r="V2998">
        <v>55.94</v>
      </c>
      <c r="X2998" s="42"/>
      <c r="AB2998">
        <v>52.5</v>
      </c>
      <c r="AC2998">
        <v>69.080000000000013</v>
      </c>
      <c r="AE2998" s="74"/>
      <c r="AF2998" s="77"/>
      <c r="AH2998" s="497">
        <v>55.400000000000006</v>
      </c>
      <c r="AJ2998" s="42"/>
      <c r="AK2998" s="74"/>
      <c r="AL2998" s="77"/>
      <c r="AN2998" s="497">
        <v>48.92</v>
      </c>
      <c r="AP2998" s="42"/>
      <c r="AQ2998" s="74"/>
      <c r="AR2998" s="77"/>
      <c r="AT2998" s="497">
        <v>51.980000000000004</v>
      </c>
      <c r="AV2998" s="42"/>
      <c r="AW2998" s="74"/>
      <c r="AX2998" s="77"/>
      <c r="BA2998" s="497">
        <v>51.980000000000004</v>
      </c>
      <c r="BB2998" s="42"/>
      <c r="BC2998" s="74"/>
      <c r="BD2998" s="77"/>
      <c r="BF2998">
        <v>51.08</v>
      </c>
      <c r="BH2998" s="42"/>
      <c r="BI2998" s="74"/>
      <c r="BJ2998" s="77"/>
      <c r="BL2998" s="497">
        <v>62.06</v>
      </c>
      <c r="BN2998" s="42"/>
      <c r="BO2998" s="74"/>
      <c r="BP2998" s="77"/>
      <c r="BR2998" s="497">
        <v>50</v>
      </c>
      <c r="BT2998" s="42"/>
    </row>
    <row r="2999" spans="1:72" x14ac:dyDescent="0.25">
      <c r="A2999" s="90">
        <v>36285</v>
      </c>
      <c r="B2999" s="20">
        <v>0.20833333333333334</v>
      </c>
      <c r="D2999">
        <v>53.06</v>
      </c>
      <c r="E2999" t="str">
        <f t="shared" si="128"/>
        <v>WEEKDAY</v>
      </c>
      <c r="F2999" t="e">
        <f t="shared" si="129"/>
        <v>#N/A</v>
      </c>
      <c r="G2999" s="74">
        <v>31902</v>
      </c>
      <c r="H2999" s="77">
        <v>0.20833333333333334</v>
      </c>
      <c r="J2999">
        <v>44.96</v>
      </c>
      <c r="M2999" s="74">
        <v>34459</v>
      </c>
      <c r="N2999" s="77">
        <v>0.20833333333333334</v>
      </c>
      <c r="P2999">
        <v>50</v>
      </c>
      <c r="S2999" s="74">
        <v>36285</v>
      </c>
      <c r="T2999" s="77">
        <v>0.20833333333333334</v>
      </c>
      <c r="V2999">
        <v>55.94</v>
      </c>
      <c r="X2999" s="42"/>
      <c r="AB2999">
        <v>52.1</v>
      </c>
      <c r="AC2999">
        <v>66.02</v>
      </c>
      <c r="AE2999" s="74"/>
      <c r="AF2999" s="77"/>
      <c r="AH2999" s="497">
        <v>53.6</v>
      </c>
      <c r="AJ2999" s="42"/>
      <c r="AK2999" s="74"/>
      <c r="AL2999" s="77"/>
      <c r="AN2999" s="497">
        <v>48.92</v>
      </c>
      <c r="AP2999" s="42"/>
      <c r="AQ2999" s="74"/>
      <c r="AR2999" s="77"/>
      <c r="AT2999" s="497">
        <v>51.980000000000004</v>
      </c>
      <c r="AV2999" s="42"/>
      <c r="AW2999" s="74"/>
      <c r="AX2999" s="77"/>
      <c r="BA2999" s="497">
        <v>51.08</v>
      </c>
      <c r="BB2999" s="42"/>
      <c r="BC2999" s="74"/>
      <c r="BD2999" s="77"/>
      <c r="BF2999">
        <v>51.08</v>
      </c>
      <c r="BH2999" s="42"/>
      <c r="BI2999" s="74"/>
      <c r="BJ2999" s="77"/>
      <c r="BL2999" s="497">
        <v>64.94</v>
      </c>
      <c r="BN2999" s="42"/>
      <c r="BO2999" s="74"/>
      <c r="BP2999" s="77"/>
      <c r="BR2999" s="497">
        <v>48.92</v>
      </c>
      <c r="BT2999" s="42"/>
    </row>
    <row r="3000" spans="1:72" x14ac:dyDescent="0.25">
      <c r="A3000" s="90">
        <v>36285</v>
      </c>
      <c r="B3000" s="20">
        <v>0.25</v>
      </c>
      <c r="D3000">
        <v>53.96</v>
      </c>
      <c r="E3000" t="str">
        <f t="shared" si="128"/>
        <v>WEEKDAY</v>
      </c>
      <c r="F3000" t="e">
        <f t="shared" si="129"/>
        <v>#N/A</v>
      </c>
      <c r="G3000" s="74">
        <v>31902</v>
      </c>
      <c r="H3000" s="77">
        <v>0.25</v>
      </c>
      <c r="J3000">
        <v>44.96</v>
      </c>
      <c r="M3000" s="74">
        <v>34459</v>
      </c>
      <c r="N3000" s="77">
        <v>0.25</v>
      </c>
      <c r="P3000">
        <v>50.900000000000006</v>
      </c>
      <c r="S3000" s="74">
        <v>36285</v>
      </c>
      <c r="T3000" s="77">
        <v>0.25</v>
      </c>
      <c r="V3000">
        <v>55.94</v>
      </c>
      <c r="X3000" s="42"/>
      <c r="AB3000">
        <v>51.8</v>
      </c>
      <c r="AC3000">
        <v>66.02</v>
      </c>
      <c r="AE3000" s="74"/>
      <c r="AF3000" s="77"/>
      <c r="AH3000" s="497">
        <v>55.400000000000006</v>
      </c>
      <c r="AJ3000" s="42"/>
      <c r="AK3000" s="74"/>
      <c r="AL3000" s="77"/>
      <c r="AN3000" s="497">
        <v>50</v>
      </c>
      <c r="AP3000" s="42"/>
      <c r="AQ3000" s="74"/>
      <c r="AR3000" s="77"/>
      <c r="AT3000" s="497">
        <v>51.980000000000004</v>
      </c>
      <c r="AV3000" s="42"/>
      <c r="AW3000" s="74"/>
      <c r="AX3000" s="77"/>
      <c r="BA3000" s="497">
        <v>53.06</v>
      </c>
      <c r="BB3000" s="42"/>
      <c r="BC3000" s="74"/>
      <c r="BD3000" s="77"/>
      <c r="BF3000">
        <v>50</v>
      </c>
      <c r="BH3000" s="42"/>
      <c r="BI3000" s="74"/>
      <c r="BJ3000" s="77"/>
      <c r="BL3000" s="497">
        <v>64.94</v>
      </c>
      <c r="BN3000" s="42"/>
      <c r="BO3000" s="74"/>
      <c r="BP3000" s="77"/>
      <c r="BR3000" s="497">
        <v>48.92</v>
      </c>
      <c r="BT3000" s="42"/>
    </row>
    <row r="3001" spans="1:72" x14ac:dyDescent="0.25">
      <c r="A3001" s="90">
        <v>36285</v>
      </c>
      <c r="B3001" s="20">
        <v>0.29166666666666669</v>
      </c>
      <c r="D3001">
        <v>55.94</v>
      </c>
      <c r="E3001" t="str">
        <f t="shared" si="128"/>
        <v>WEEKDAY</v>
      </c>
      <c r="F3001" t="e">
        <f t="shared" si="129"/>
        <v>#N/A</v>
      </c>
      <c r="G3001" s="74">
        <v>31902</v>
      </c>
      <c r="H3001" s="77">
        <v>0.29166666666666669</v>
      </c>
      <c r="J3001">
        <v>44.96</v>
      </c>
      <c r="M3001" s="74">
        <v>34459</v>
      </c>
      <c r="N3001" s="77">
        <v>0.29166666666666669</v>
      </c>
      <c r="P3001">
        <v>53.96</v>
      </c>
      <c r="S3001" s="74">
        <v>36285</v>
      </c>
      <c r="T3001" s="77">
        <v>0.29166666666666669</v>
      </c>
      <c r="V3001">
        <v>55.94</v>
      </c>
      <c r="X3001" s="42"/>
      <c r="AB3001">
        <v>52.8</v>
      </c>
      <c r="AC3001">
        <v>69.080000000000013</v>
      </c>
      <c r="AE3001" s="74"/>
      <c r="AF3001" s="77"/>
      <c r="AH3001" s="497">
        <v>62.6</v>
      </c>
      <c r="AJ3001" s="42"/>
      <c r="AK3001" s="74"/>
      <c r="AL3001" s="77"/>
      <c r="AN3001" s="497">
        <v>51.08</v>
      </c>
      <c r="AP3001" s="42"/>
      <c r="AQ3001" s="74"/>
      <c r="AR3001" s="77"/>
      <c r="AT3001" s="497">
        <v>53.96</v>
      </c>
      <c r="AV3001" s="42"/>
      <c r="AW3001" s="74"/>
      <c r="AX3001" s="77"/>
      <c r="BA3001" s="497">
        <v>57.019999999999996</v>
      </c>
      <c r="BB3001" s="42"/>
      <c r="BC3001" s="74"/>
      <c r="BD3001" s="77"/>
      <c r="BF3001">
        <v>51.08</v>
      </c>
      <c r="BH3001" s="42"/>
      <c r="BI3001" s="74"/>
      <c r="BJ3001" s="77"/>
      <c r="BL3001" s="497">
        <v>64.94</v>
      </c>
      <c r="BN3001" s="42"/>
      <c r="BO3001" s="74"/>
      <c r="BP3001" s="77"/>
      <c r="BR3001" s="497">
        <v>51.08</v>
      </c>
      <c r="BT3001" s="42"/>
    </row>
    <row r="3002" spans="1:72" x14ac:dyDescent="0.25">
      <c r="A3002" s="90">
        <v>36285</v>
      </c>
      <c r="B3002" s="20">
        <v>0.33333333333333331</v>
      </c>
      <c r="D3002">
        <v>55.94</v>
      </c>
      <c r="E3002" t="str">
        <f t="shared" si="128"/>
        <v>WEEKDAY</v>
      </c>
      <c r="F3002" t="e">
        <f t="shared" si="129"/>
        <v>#N/A</v>
      </c>
      <c r="G3002" s="74">
        <v>31902</v>
      </c>
      <c r="H3002" s="77">
        <v>0.33333333333333331</v>
      </c>
      <c r="J3002">
        <v>46.94</v>
      </c>
      <c r="M3002" s="74">
        <v>34459</v>
      </c>
      <c r="N3002" s="77">
        <v>0.33333333333333331</v>
      </c>
      <c r="P3002">
        <v>54.86</v>
      </c>
      <c r="S3002" s="74">
        <v>36285</v>
      </c>
      <c r="T3002" s="77">
        <v>0.33333333333333331</v>
      </c>
      <c r="V3002">
        <v>57.019999999999996</v>
      </c>
      <c r="X3002" s="42"/>
      <c r="AB3002">
        <v>54.7</v>
      </c>
      <c r="AC3002">
        <v>68</v>
      </c>
      <c r="AE3002" s="74"/>
      <c r="AF3002" s="77"/>
      <c r="AH3002" s="497">
        <v>66.2</v>
      </c>
      <c r="AJ3002" s="42"/>
      <c r="AK3002" s="74"/>
      <c r="AL3002" s="77"/>
      <c r="AN3002" s="497">
        <v>51.980000000000004</v>
      </c>
      <c r="AP3002" s="42"/>
      <c r="AQ3002" s="74"/>
      <c r="AR3002" s="77"/>
      <c r="AT3002" s="497">
        <v>55.94</v>
      </c>
      <c r="AV3002" s="42"/>
      <c r="AW3002" s="74"/>
      <c r="AX3002" s="77"/>
      <c r="BA3002" s="497">
        <v>60.980000000000004</v>
      </c>
      <c r="BB3002" s="42"/>
      <c r="BC3002" s="74"/>
      <c r="BD3002" s="77"/>
      <c r="BF3002">
        <v>55.040000000000006</v>
      </c>
      <c r="BH3002" s="42"/>
      <c r="BI3002" s="74"/>
      <c r="BJ3002" s="77"/>
      <c r="BL3002" s="497">
        <v>66.92</v>
      </c>
      <c r="BN3002" s="42"/>
      <c r="BO3002" s="74"/>
      <c r="BP3002" s="77"/>
      <c r="BR3002" s="497">
        <v>55.040000000000006</v>
      </c>
      <c r="BT3002" s="42"/>
    </row>
    <row r="3003" spans="1:72" x14ac:dyDescent="0.25">
      <c r="A3003" s="90">
        <v>36285</v>
      </c>
      <c r="B3003" s="20">
        <v>0.375</v>
      </c>
      <c r="D3003">
        <v>57.92</v>
      </c>
      <c r="E3003" t="str">
        <f t="shared" si="128"/>
        <v>WEEKDAY</v>
      </c>
      <c r="F3003" t="e">
        <f t="shared" si="129"/>
        <v>#N/A</v>
      </c>
      <c r="G3003" s="74">
        <v>31902</v>
      </c>
      <c r="H3003" s="77">
        <v>0.375</v>
      </c>
      <c r="J3003">
        <v>48.019999999999996</v>
      </c>
      <c r="M3003" s="74">
        <v>34459</v>
      </c>
      <c r="N3003" s="77">
        <v>0.375</v>
      </c>
      <c r="P3003">
        <v>56.84</v>
      </c>
      <c r="S3003" s="74">
        <v>36285</v>
      </c>
      <c r="T3003" s="77">
        <v>0.375</v>
      </c>
      <c r="V3003">
        <v>57.92</v>
      </c>
      <c r="X3003" s="42"/>
      <c r="AB3003">
        <v>56.6</v>
      </c>
      <c r="AC3003">
        <v>66.92</v>
      </c>
      <c r="AE3003" s="74"/>
      <c r="AF3003" s="77"/>
      <c r="AH3003" s="497">
        <v>71.599999999999994</v>
      </c>
      <c r="AJ3003" s="42"/>
      <c r="AK3003" s="74"/>
      <c r="AL3003" s="77"/>
      <c r="AN3003" s="497">
        <v>55.94</v>
      </c>
      <c r="AP3003" s="42"/>
      <c r="AQ3003" s="74"/>
      <c r="AR3003" s="77"/>
      <c r="AT3003" s="497">
        <v>57.92</v>
      </c>
      <c r="AV3003" s="42"/>
      <c r="AW3003" s="74"/>
      <c r="AX3003" s="77"/>
      <c r="BA3003" s="497">
        <v>62.96</v>
      </c>
      <c r="BB3003" s="42"/>
      <c r="BC3003" s="74"/>
      <c r="BD3003" s="77"/>
      <c r="BF3003">
        <v>57.92</v>
      </c>
      <c r="BH3003" s="42"/>
      <c r="BI3003" s="74"/>
      <c r="BJ3003" s="77"/>
      <c r="BL3003" s="497">
        <v>68</v>
      </c>
      <c r="BN3003" s="42"/>
      <c r="BO3003" s="74"/>
      <c r="BP3003" s="77"/>
      <c r="BR3003" s="497">
        <v>57.92</v>
      </c>
      <c r="BT3003" s="42"/>
    </row>
    <row r="3004" spans="1:72" x14ac:dyDescent="0.25">
      <c r="A3004" s="90">
        <v>36285</v>
      </c>
      <c r="B3004" s="20">
        <v>0.41666666666666669</v>
      </c>
      <c r="D3004">
        <v>60.980000000000004</v>
      </c>
      <c r="E3004" t="str">
        <f t="shared" si="128"/>
        <v>WEEKDAY</v>
      </c>
      <c r="F3004" t="e">
        <f t="shared" si="129"/>
        <v>#N/A</v>
      </c>
      <c r="G3004" s="74">
        <v>31902</v>
      </c>
      <c r="H3004" s="77">
        <v>0.41666666666666669</v>
      </c>
      <c r="J3004">
        <v>48.019999999999996</v>
      </c>
      <c r="M3004" s="74">
        <v>34459</v>
      </c>
      <c r="N3004" s="77">
        <v>0.41666666666666669</v>
      </c>
      <c r="P3004">
        <v>59</v>
      </c>
      <c r="S3004" s="74">
        <v>36285</v>
      </c>
      <c r="T3004" s="77">
        <v>0.41666666666666669</v>
      </c>
      <c r="V3004">
        <v>60.08</v>
      </c>
      <c r="X3004" s="42"/>
      <c r="AB3004">
        <v>58.4</v>
      </c>
      <c r="AC3004">
        <v>68</v>
      </c>
      <c r="AE3004" s="74"/>
      <c r="AF3004" s="77"/>
      <c r="AH3004" s="497">
        <v>75.2</v>
      </c>
      <c r="AJ3004" s="42"/>
      <c r="AK3004" s="74"/>
      <c r="AL3004" s="77"/>
      <c r="AN3004" s="497">
        <v>59</v>
      </c>
      <c r="AP3004" s="42"/>
      <c r="AQ3004" s="74"/>
      <c r="AR3004" s="77"/>
      <c r="AT3004" s="497">
        <v>60.08</v>
      </c>
      <c r="AV3004" s="42"/>
      <c r="AW3004" s="74"/>
      <c r="AX3004" s="77"/>
      <c r="BA3004" s="497">
        <v>64.94</v>
      </c>
      <c r="BB3004" s="42"/>
      <c r="BC3004" s="74"/>
      <c r="BD3004" s="77"/>
      <c r="BF3004">
        <v>60.08</v>
      </c>
      <c r="BH3004" s="42"/>
      <c r="BI3004" s="74"/>
      <c r="BJ3004" s="77"/>
      <c r="BL3004" s="497">
        <v>71.06</v>
      </c>
      <c r="BN3004" s="42"/>
      <c r="BO3004" s="74"/>
      <c r="BP3004" s="77"/>
      <c r="BR3004" s="497">
        <v>59</v>
      </c>
      <c r="BT3004" s="42"/>
    </row>
    <row r="3005" spans="1:72" x14ac:dyDescent="0.25">
      <c r="A3005" s="90">
        <v>36285</v>
      </c>
      <c r="B3005" s="20">
        <v>0.45833333333333331</v>
      </c>
      <c r="D3005">
        <v>62.96</v>
      </c>
      <c r="E3005" t="str">
        <f t="shared" si="128"/>
        <v>WEEKDAY</v>
      </c>
      <c r="F3005" t="e">
        <f t="shared" si="129"/>
        <v>#N/A</v>
      </c>
      <c r="G3005" s="74">
        <v>31902</v>
      </c>
      <c r="H3005" s="77">
        <v>0.45833333333333331</v>
      </c>
      <c r="J3005">
        <v>48.92</v>
      </c>
      <c r="M3005" s="74">
        <v>34459</v>
      </c>
      <c r="N3005" s="77">
        <v>0.45833333333333331</v>
      </c>
      <c r="P3005">
        <v>60.980000000000004</v>
      </c>
      <c r="S3005" s="74">
        <v>36285</v>
      </c>
      <c r="T3005" s="77">
        <v>0.45833333333333331</v>
      </c>
      <c r="V3005">
        <v>62.96</v>
      </c>
      <c r="X3005" s="42"/>
      <c r="AB3005">
        <v>60.1</v>
      </c>
      <c r="AC3005">
        <v>69.98</v>
      </c>
      <c r="AE3005" s="74"/>
      <c r="AF3005" s="77"/>
      <c r="AH3005" s="497">
        <v>77</v>
      </c>
      <c r="AJ3005" s="42"/>
      <c r="AK3005" s="74"/>
      <c r="AL3005" s="77"/>
      <c r="AN3005" s="497">
        <v>60.08</v>
      </c>
      <c r="AP3005" s="42"/>
      <c r="AQ3005" s="74"/>
      <c r="AR3005" s="77"/>
      <c r="AT3005" s="497">
        <v>64.039999999999992</v>
      </c>
      <c r="AV3005" s="42"/>
      <c r="AW3005" s="74"/>
      <c r="AX3005" s="77"/>
      <c r="BA3005" s="497">
        <v>64.94</v>
      </c>
      <c r="BB3005" s="42"/>
      <c r="BC3005" s="74"/>
      <c r="BD3005" s="77"/>
      <c r="BF3005">
        <v>60.980000000000004</v>
      </c>
      <c r="BH3005" s="42"/>
      <c r="BI3005" s="74"/>
      <c r="BJ3005" s="77"/>
      <c r="BL3005" s="497">
        <v>71.06</v>
      </c>
      <c r="BN3005" s="42"/>
      <c r="BO3005" s="74"/>
      <c r="BP3005" s="77"/>
      <c r="BR3005" s="497">
        <v>60.980000000000004</v>
      </c>
      <c r="BT3005" s="42"/>
    </row>
    <row r="3006" spans="1:72" x14ac:dyDescent="0.25">
      <c r="A3006" s="90">
        <v>36285</v>
      </c>
      <c r="B3006" s="20">
        <v>0.5</v>
      </c>
      <c r="D3006">
        <v>64.039999999999992</v>
      </c>
      <c r="E3006" t="str">
        <f t="shared" si="128"/>
        <v>WEEKDAY</v>
      </c>
      <c r="F3006" t="e">
        <f t="shared" si="129"/>
        <v>#N/A</v>
      </c>
      <c r="G3006" s="74">
        <v>31902</v>
      </c>
      <c r="H3006" s="77">
        <v>0.5</v>
      </c>
      <c r="J3006">
        <v>48.92</v>
      </c>
      <c r="M3006" s="74">
        <v>34459</v>
      </c>
      <c r="N3006" s="77">
        <v>0.5</v>
      </c>
      <c r="P3006">
        <v>61.88</v>
      </c>
      <c r="S3006" s="74">
        <v>36285</v>
      </c>
      <c r="T3006" s="77">
        <v>0.5</v>
      </c>
      <c r="V3006">
        <v>66.92</v>
      </c>
      <c r="X3006" s="42"/>
      <c r="AB3006">
        <v>61.3</v>
      </c>
      <c r="AC3006">
        <v>71.960000000000008</v>
      </c>
      <c r="AE3006" s="74"/>
      <c r="AF3006" s="77"/>
      <c r="AH3006" s="497">
        <v>78.800000000000011</v>
      </c>
      <c r="AJ3006" s="42"/>
      <c r="AK3006" s="74"/>
      <c r="AL3006" s="77"/>
      <c r="AN3006" s="497">
        <v>60.08</v>
      </c>
      <c r="AP3006" s="42"/>
      <c r="AQ3006" s="74"/>
      <c r="AR3006" s="77"/>
      <c r="AT3006" s="497">
        <v>64.94</v>
      </c>
      <c r="AV3006" s="42"/>
      <c r="AW3006" s="74"/>
      <c r="AX3006" s="77"/>
      <c r="BA3006" s="497">
        <v>62.06</v>
      </c>
      <c r="BB3006" s="42"/>
      <c r="BC3006" s="74"/>
      <c r="BD3006" s="77"/>
      <c r="BF3006">
        <v>62.96</v>
      </c>
      <c r="BH3006" s="42"/>
      <c r="BI3006" s="74"/>
      <c r="BJ3006" s="77"/>
      <c r="BL3006" s="497">
        <v>73.94</v>
      </c>
      <c r="BN3006" s="42"/>
      <c r="BO3006" s="74"/>
      <c r="BP3006" s="77"/>
      <c r="BR3006" s="497">
        <v>64.039999999999992</v>
      </c>
      <c r="BT3006" s="42"/>
    </row>
    <row r="3007" spans="1:72" x14ac:dyDescent="0.25">
      <c r="A3007" s="90">
        <v>36285</v>
      </c>
      <c r="B3007" s="20">
        <v>0.54166666666666663</v>
      </c>
      <c r="D3007">
        <v>66.02</v>
      </c>
      <c r="E3007" t="str">
        <f t="shared" si="128"/>
        <v>WEEKDAY</v>
      </c>
      <c r="F3007" t="e">
        <f t="shared" si="129"/>
        <v>#N/A</v>
      </c>
      <c r="G3007" s="74">
        <v>31902</v>
      </c>
      <c r="H3007" s="77">
        <v>0.54166666666666663</v>
      </c>
      <c r="J3007">
        <v>50</v>
      </c>
      <c r="M3007" s="74">
        <v>34459</v>
      </c>
      <c r="N3007" s="77">
        <v>0.54166666666666663</v>
      </c>
      <c r="P3007">
        <v>64.94</v>
      </c>
      <c r="S3007" s="74">
        <v>36285</v>
      </c>
      <c r="T3007" s="77">
        <v>0.54166666666666663</v>
      </c>
      <c r="V3007">
        <v>68</v>
      </c>
      <c r="X3007" s="42"/>
      <c r="AB3007">
        <v>62.2</v>
      </c>
      <c r="AC3007">
        <v>64.94</v>
      </c>
      <c r="AE3007" s="74"/>
      <c r="AF3007" s="77"/>
      <c r="AH3007" s="497">
        <v>80.599999999999994</v>
      </c>
      <c r="AJ3007" s="42"/>
      <c r="AK3007" s="74"/>
      <c r="AL3007" s="77"/>
      <c r="AN3007" s="497">
        <v>60.08</v>
      </c>
      <c r="AP3007" s="42"/>
      <c r="AQ3007" s="74"/>
      <c r="AR3007" s="77"/>
      <c r="AT3007" s="497">
        <v>66.92</v>
      </c>
      <c r="AV3007" s="42"/>
      <c r="AW3007" s="74"/>
      <c r="AX3007" s="77"/>
      <c r="BA3007" s="497">
        <v>59</v>
      </c>
      <c r="BB3007" s="42"/>
      <c r="BC3007" s="74"/>
      <c r="BD3007" s="77"/>
      <c r="BF3007">
        <v>64.039999999999992</v>
      </c>
      <c r="BH3007" s="42"/>
      <c r="BI3007" s="74"/>
      <c r="BJ3007" s="77"/>
      <c r="BL3007" s="497">
        <v>75.02</v>
      </c>
      <c r="BN3007" s="42"/>
      <c r="BO3007" s="74"/>
      <c r="BP3007" s="77"/>
      <c r="BR3007" s="497">
        <v>66.02</v>
      </c>
      <c r="BT3007" s="42"/>
    </row>
    <row r="3008" spans="1:72" x14ac:dyDescent="0.25">
      <c r="A3008" s="90">
        <v>36285</v>
      </c>
      <c r="B3008" s="20">
        <v>0.58333333333333337</v>
      </c>
      <c r="D3008">
        <v>68</v>
      </c>
      <c r="E3008" t="str">
        <f t="shared" si="128"/>
        <v>WEEKDAY</v>
      </c>
      <c r="F3008" t="e">
        <f t="shared" si="129"/>
        <v>#N/A</v>
      </c>
      <c r="G3008" s="74">
        <v>31902</v>
      </c>
      <c r="H3008" s="77">
        <v>0.58333333333333337</v>
      </c>
      <c r="J3008">
        <v>48.92</v>
      </c>
      <c r="M3008" s="74">
        <v>34459</v>
      </c>
      <c r="N3008" s="77">
        <v>0.58333333333333337</v>
      </c>
      <c r="P3008">
        <v>64.94</v>
      </c>
      <c r="S3008" s="74">
        <v>36285</v>
      </c>
      <c r="T3008" s="77">
        <v>0.58333333333333337</v>
      </c>
      <c r="V3008">
        <v>66.02</v>
      </c>
      <c r="X3008" s="42"/>
      <c r="AB3008">
        <v>62.7</v>
      </c>
      <c r="AC3008">
        <v>66.02</v>
      </c>
      <c r="AE3008" s="74"/>
      <c r="AF3008" s="77"/>
      <c r="AH3008" s="497">
        <v>73.400000000000006</v>
      </c>
      <c r="AJ3008" s="42"/>
      <c r="AK3008" s="74"/>
      <c r="AL3008" s="77"/>
      <c r="AN3008" s="497">
        <v>57.92</v>
      </c>
      <c r="AP3008" s="42"/>
      <c r="AQ3008" s="74"/>
      <c r="AR3008" s="77"/>
      <c r="AT3008" s="497">
        <v>66.92</v>
      </c>
      <c r="AV3008" s="42"/>
      <c r="AW3008" s="74"/>
      <c r="AX3008" s="77"/>
      <c r="BA3008" s="497">
        <v>57.92</v>
      </c>
      <c r="BB3008" s="42"/>
      <c r="BC3008" s="74"/>
      <c r="BD3008" s="77"/>
      <c r="BF3008">
        <v>60.980000000000004</v>
      </c>
      <c r="BH3008" s="42"/>
      <c r="BI3008" s="74"/>
      <c r="BJ3008" s="77"/>
      <c r="BL3008" s="497">
        <v>75.02</v>
      </c>
      <c r="BN3008" s="42"/>
      <c r="BO3008" s="74"/>
      <c r="BP3008" s="77"/>
      <c r="BR3008" s="497">
        <v>69.98</v>
      </c>
      <c r="BT3008" s="42"/>
    </row>
    <row r="3009" spans="1:72" x14ac:dyDescent="0.25">
      <c r="A3009" s="90">
        <v>36285</v>
      </c>
      <c r="B3009" s="20">
        <v>0.625</v>
      </c>
      <c r="D3009">
        <v>69.080000000000013</v>
      </c>
      <c r="E3009" t="str">
        <f t="shared" si="128"/>
        <v>WEEKDAY</v>
      </c>
      <c r="F3009" t="e">
        <f t="shared" si="129"/>
        <v>#N/A</v>
      </c>
      <c r="G3009" s="74">
        <v>31902</v>
      </c>
      <c r="H3009" s="77">
        <v>0.625</v>
      </c>
      <c r="J3009">
        <v>48.019999999999996</v>
      </c>
      <c r="M3009" s="74">
        <v>34459</v>
      </c>
      <c r="N3009" s="77">
        <v>0.625</v>
      </c>
      <c r="P3009">
        <v>66.92</v>
      </c>
      <c r="S3009" s="74">
        <v>36285</v>
      </c>
      <c r="T3009" s="77">
        <v>0.625</v>
      </c>
      <c r="V3009">
        <v>64.94</v>
      </c>
      <c r="X3009" s="42"/>
      <c r="AB3009">
        <v>62.6</v>
      </c>
      <c r="AC3009">
        <v>68</v>
      </c>
      <c r="AE3009" s="74"/>
      <c r="AF3009" s="77"/>
      <c r="AH3009" s="497">
        <v>78.800000000000011</v>
      </c>
      <c r="AJ3009" s="42"/>
      <c r="AK3009" s="74"/>
      <c r="AL3009" s="77"/>
      <c r="AN3009" s="497">
        <v>55.94</v>
      </c>
      <c r="AP3009" s="42"/>
      <c r="AQ3009" s="74"/>
      <c r="AR3009" s="77"/>
      <c r="AT3009" s="497">
        <v>64.039999999999992</v>
      </c>
      <c r="AV3009" s="42"/>
      <c r="AW3009" s="74"/>
      <c r="AX3009" s="77"/>
      <c r="BA3009" s="497">
        <v>57.92</v>
      </c>
      <c r="BB3009" s="42"/>
      <c r="BC3009" s="74"/>
      <c r="BD3009" s="77"/>
      <c r="BF3009">
        <v>60.08</v>
      </c>
      <c r="BH3009" s="42"/>
      <c r="BI3009" s="74"/>
      <c r="BJ3009" s="77"/>
      <c r="BL3009" s="497">
        <v>77</v>
      </c>
      <c r="BN3009" s="42"/>
      <c r="BO3009" s="74"/>
      <c r="BP3009" s="77"/>
      <c r="BR3009" s="497">
        <v>71.06</v>
      </c>
      <c r="BT3009" s="42"/>
    </row>
    <row r="3010" spans="1:72" x14ac:dyDescent="0.25">
      <c r="A3010" s="90">
        <v>36285</v>
      </c>
      <c r="B3010" s="20">
        <v>0.66666666666666663</v>
      </c>
      <c r="D3010">
        <v>71.06</v>
      </c>
      <c r="E3010" t="str">
        <f t="shared" si="128"/>
        <v>WEEKDAY</v>
      </c>
      <c r="F3010" t="e">
        <f t="shared" si="129"/>
        <v>#N/A</v>
      </c>
      <c r="G3010" s="74">
        <v>31902</v>
      </c>
      <c r="H3010" s="77">
        <v>0.66666666666666663</v>
      </c>
      <c r="J3010">
        <v>48.92</v>
      </c>
      <c r="M3010" s="74">
        <v>34459</v>
      </c>
      <c r="N3010" s="77">
        <v>0.66666666666666663</v>
      </c>
      <c r="P3010">
        <v>68</v>
      </c>
      <c r="S3010" s="74">
        <v>36285</v>
      </c>
      <c r="T3010" s="77">
        <v>0.66666666666666663</v>
      </c>
      <c r="V3010">
        <v>62.96</v>
      </c>
      <c r="X3010" s="42"/>
      <c r="AB3010">
        <v>62.1</v>
      </c>
      <c r="AC3010">
        <v>69.080000000000013</v>
      </c>
      <c r="AE3010" s="74"/>
      <c r="AF3010" s="77"/>
      <c r="AH3010" s="497">
        <v>80.599999999999994</v>
      </c>
      <c r="AJ3010" s="42"/>
      <c r="AK3010" s="74"/>
      <c r="AL3010" s="77"/>
      <c r="AN3010" s="497">
        <v>57.019999999999996</v>
      </c>
      <c r="AP3010" s="42"/>
      <c r="AQ3010" s="74"/>
      <c r="AR3010" s="77"/>
      <c r="AT3010" s="497">
        <v>62.06</v>
      </c>
      <c r="AV3010" s="42"/>
      <c r="AW3010" s="74"/>
      <c r="AX3010" s="77"/>
      <c r="BA3010" s="497">
        <v>57.92</v>
      </c>
      <c r="BB3010" s="42"/>
      <c r="BC3010" s="74"/>
      <c r="BD3010" s="77"/>
      <c r="BF3010">
        <v>59</v>
      </c>
      <c r="BH3010" s="42"/>
      <c r="BI3010" s="74"/>
      <c r="BJ3010" s="77"/>
      <c r="BL3010" s="497">
        <v>73.039999999999992</v>
      </c>
      <c r="BN3010" s="42"/>
      <c r="BO3010" s="74"/>
      <c r="BP3010" s="77"/>
      <c r="BR3010" s="497">
        <v>69.98</v>
      </c>
      <c r="BT3010" s="42"/>
    </row>
    <row r="3011" spans="1:72" x14ac:dyDescent="0.25">
      <c r="A3011" s="90">
        <v>36285</v>
      </c>
      <c r="B3011" s="20">
        <v>0.70833333333333337</v>
      </c>
      <c r="D3011">
        <v>71.960000000000008</v>
      </c>
      <c r="E3011" t="str">
        <f t="shared" si="128"/>
        <v>WEEKDAY</v>
      </c>
      <c r="F3011" t="e">
        <f t="shared" si="129"/>
        <v>#N/A</v>
      </c>
      <c r="G3011" s="74">
        <v>31902</v>
      </c>
      <c r="H3011" s="77">
        <v>0.70833333333333337</v>
      </c>
      <c r="J3011">
        <v>48.92</v>
      </c>
      <c r="M3011" s="74">
        <v>34459</v>
      </c>
      <c r="N3011" s="77">
        <v>0.70833333333333337</v>
      </c>
      <c r="P3011">
        <v>68.900000000000006</v>
      </c>
      <c r="S3011" s="74">
        <v>36285</v>
      </c>
      <c r="T3011" s="77">
        <v>0.70833333333333337</v>
      </c>
      <c r="V3011">
        <v>64.039999999999992</v>
      </c>
      <c r="X3011" s="42"/>
      <c r="AB3011">
        <v>61.3</v>
      </c>
      <c r="AC3011">
        <v>69.080000000000013</v>
      </c>
      <c r="AE3011" s="74"/>
      <c r="AF3011" s="77"/>
      <c r="AH3011" s="497">
        <v>82.4</v>
      </c>
      <c r="AJ3011" s="42"/>
      <c r="AK3011" s="74"/>
      <c r="AL3011" s="77"/>
      <c r="AN3011" s="497">
        <v>55.94</v>
      </c>
      <c r="AP3011" s="42"/>
      <c r="AQ3011" s="74"/>
      <c r="AR3011" s="77"/>
      <c r="AT3011" s="497">
        <v>60.08</v>
      </c>
      <c r="AV3011" s="42"/>
      <c r="AW3011" s="74"/>
      <c r="AX3011" s="77"/>
      <c r="BA3011" s="497">
        <v>57.92</v>
      </c>
      <c r="BB3011" s="42"/>
      <c r="BC3011" s="74"/>
      <c r="BD3011" s="77"/>
      <c r="BF3011">
        <v>57.92</v>
      </c>
      <c r="BH3011" s="42"/>
      <c r="BI3011" s="74"/>
      <c r="BJ3011" s="77"/>
      <c r="BL3011" s="497">
        <v>73.94</v>
      </c>
      <c r="BN3011" s="42"/>
      <c r="BO3011" s="74"/>
      <c r="BP3011" s="77"/>
      <c r="BR3011" s="497">
        <v>68</v>
      </c>
      <c r="BT3011" s="42"/>
    </row>
    <row r="3012" spans="1:72" x14ac:dyDescent="0.25">
      <c r="A3012" s="90">
        <v>36285</v>
      </c>
      <c r="B3012" s="20">
        <v>0.75</v>
      </c>
      <c r="D3012">
        <v>71.06</v>
      </c>
      <c r="E3012" t="str">
        <f t="shared" si="128"/>
        <v>WEEKDAY</v>
      </c>
      <c r="F3012" t="e">
        <f t="shared" si="129"/>
        <v>#N/A</v>
      </c>
      <c r="G3012" s="74">
        <v>31902</v>
      </c>
      <c r="H3012" s="77">
        <v>0.75</v>
      </c>
      <c r="J3012">
        <v>48.92</v>
      </c>
      <c r="M3012" s="74">
        <v>34459</v>
      </c>
      <c r="N3012" s="77">
        <v>0.75</v>
      </c>
      <c r="P3012">
        <v>66.92</v>
      </c>
      <c r="S3012" s="74">
        <v>36285</v>
      </c>
      <c r="T3012" s="77">
        <v>0.75</v>
      </c>
      <c r="V3012">
        <v>59</v>
      </c>
      <c r="X3012" s="42"/>
      <c r="AB3012">
        <v>60.2</v>
      </c>
      <c r="AC3012">
        <v>60.08</v>
      </c>
      <c r="AE3012" s="74"/>
      <c r="AF3012" s="77"/>
      <c r="AH3012" s="497">
        <v>77</v>
      </c>
      <c r="AJ3012" s="42"/>
      <c r="AK3012" s="74"/>
      <c r="AL3012" s="77"/>
      <c r="AN3012" s="497">
        <v>53.96</v>
      </c>
      <c r="AP3012" s="42"/>
      <c r="AQ3012" s="74"/>
      <c r="AR3012" s="77"/>
      <c r="AT3012" s="497">
        <v>60.08</v>
      </c>
      <c r="AV3012" s="42"/>
      <c r="AW3012" s="74"/>
      <c r="AX3012" s="77"/>
      <c r="BA3012" s="497">
        <v>57.92</v>
      </c>
      <c r="BB3012" s="42"/>
      <c r="BC3012" s="74"/>
      <c r="BD3012" s="77"/>
      <c r="BF3012">
        <v>53.06</v>
      </c>
      <c r="BH3012" s="42"/>
      <c r="BI3012" s="74"/>
      <c r="BJ3012" s="77"/>
      <c r="BL3012" s="497">
        <v>73.94</v>
      </c>
      <c r="BN3012" s="42"/>
      <c r="BO3012" s="74"/>
      <c r="BP3012" s="77"/>
      <c r="BR3012" s="497">
        <v>68</v>
      </c>
      <c r="BT3012" s="42"/>
    </row>
    <row r="3013" spans="1:72" x14ac:dyDescent="0.25">
      <c r="A3013" s="90">
        <v>36285</v>
      </c>
      <c r="B3013" s="20">
        <v>0.79166666666666663</v>
      </c>
      <c r="D3013">
        <v>66.02</v>
      </c>
      <c r="E3013" t="str">
        <f t="shared" si="128"/>
        <v>WEEKDAY</v>
      </c>
      <c r="F3013" t="e">
        <f t="shared" si="129"/>
        <v>#N/A</v>
      </c>
      <c r="G3013" s="74">
        <v>31902</v>
      </c>
      <c r="H3013" s="77">
        <v>0.79166666666666663</v>
      </c>
      <c r="J3013">
        <v>48.019999999999996</v>
      </c>
      <c r="M3013" s="74">
        <v>34459</v>
      </c>
      <c r="N3013" s="77">
        <v>0.79166666666666663</v>
      </c>
      <c r="P3013">
        <v>63.86</v>
      </c>
      <c r="S3013" s="74">
        <v>36285</v>
      </c>
      <c r="T3013" s="77">
        <v>0.79166666666666663</v>
      </c>
      <c r="V3013">
        <v>57.019999999999996</v>
      </c>
      <c r="X3013" s="42"/>
      <c r="AB3013">
        <v>58.6</v>
      </c>
      <c r="AC3013">
        <v>55.94</v>
      </c>
      <c r="AE3013" s="74"/>
      <c r="AF3013" s="77"/>
      <c r="AH3013" s="497">
        <v>66.2</v>
      </c>
      <c r="AJ3013" s="42"/>
      <c r="AK3013" s="74"/>
      <c r="AL3013" s="77"/>
      <c r="AN3013" s="497">
        <v>53.06</v>
      </c>
      <c r="AP3013" s="42"/>
      <c r="AQ3013" s="74"/>
      <c r="AR3013" s="77"/>
      <c r="AT3013" s="497">
        <v>59</v>
      </c>
      <c r="AV3013" s="42"/>
      <c r="AW3013" s="74"/>
      <c r="AX3013" s="77"/>
      <c r="BA3013" s="497">
        <v>59</v>
      </c>
      <c r="BB3013" s="42"/>
      <c r="BC3013" s="74"/>
      <c r="BD3013" s="77"/>
      <c r="BF3013">
        <v>51.980000000000004</v>
      </c>
      <c r="BH3013" s="42"/>
      <c r="BI3013" s="74"/>
      <c r="BJ3013" s="77"/>
      <c r="BL3013" s="497">
        <v>69.98</v>
      </c>
      <c r="BN3013" s="42"/>
      <c r="BO3013" s="74"/>
      <c r="BP3013" s="77"/>
      <c r="BR3013" s="497">
        <v>62.06</v>
      </c>
      <c r="BT3013" s="42"/>
    </row>
    <row r="3014" spans="1:72" x14ac:dyDescent="0.25">
      <c r="A3014" s="90">
        <v>36285</v>
      </c>
      <c r="B3014" s="20">
        <v>0.83333333333333337</v>
      </c>
      <c r="D3014">
        <v>62.06</v>
      </c>
      <c r="E3014" t="str">
        <f t="shared" si="128"/>
        <v>WEEKDAY</v>
      </c>
      <c r="F3014" t="e">
        <f t="shared" si="129"/>
        <v>#N/A</v>
      </c>
      <c r="G3014" s="74">
        <v>31902</v>
      </c>
      <c r="H3014" s="77">
        <v>0.83333333333333337</v>
      </c>
      <c r="J3014">
        <v>48.019999999999996</v>
      </c>
      <c r="M3014" s="74">
        <v>34459</v>
      </c>
      <c r="N3014" s="77">
        <v>0.83333333333333337</v>
      </c>
      <c r="P3014">
        <v>57.92</v>
      </c>
      <c r="S3014" s="74">
        <v>36285</v>
      </c>
      <c r="T3014" s="77">
        <v>0.83333333333333337</v>
      </c>
      <c r="V3014">
        <v>55.94</v>
      </c>
      <c r="X3014" s="42"/>
      <c r="AB3014">
        <v>57.2</v>
      </c>
      <c r="AC3014">
        <v>55.040000000000006</v>
      </c>
      <c r="AE3014" s="74"/>
      <c r="AF3014" s="77"/>
      <c r="AH3014" s="497">
        <v>64.400000000000006</v>
      </c>
      <c r="AJ3014" s="42"/>
      <c r="AK3014" s="74"/>
      <c r="AL3014" s="77"/>
      <c r="AN3014" s="497">
        <v>53.06</v>
      </c>
      <c r="AP3014" s="42"/>
      <c r="AQ3014" s="74"/>
      <c r="AR3014" s="77"/>
      <c r="AT3014" s="497">
        <v>57.92</v>
      </c>
      <c r="AV3014" s="42"/>
      <c r="AW3014" s="74"/>
      <c r="AX3014" s="77"/>
      <c r="BA3014" s="497">
        <v>57.92</v>
      </c>
      <c r="BB3014" s="42"/>
      <c r="BC3014" s="74"/>
      <c r="BD3014" s="77"/>
      <c r="BF3014">
        <v>50</v>
      </c>
      <c r="BH3014" s="42"/>
      <c r="BI3014" s="74"/>
      <c r="BJ3014" s="77"/>
      <c r="BL3014" s="497">
        <v>68</v>
      </c>
      <c r="BN3014" s="42"/>
      <c r="BO3014" s="74"/>
      <c r="BP3014" s="77"/>
      <c r="BR3014" s="497">
        <v>59</v>
      </c>
      <c r="BT3014" s="42"/>
    </row>
    <row r="3015" spans="1:72" x14ac:dyDescent="0.25">
      <c r="A3015" s="90">
        <v>36285</v>
      </c>
      <c r="B3015" s="20">
        <v>0.875</v>
      </c>
      <c r="D3015">
        <v>60.08</v>
      </c>
      <c r="E3015" t="str">
        <f t="shared" si="128"/>
        <v>WEEKDAY</v>
      </c>
      <c r="F3015" t="e">
        <f t="shared" si="129"/>
        <v>#N/A</v>
      </c>
      <c r="G3015" s="74">
        <v>31902</v>
      </c>
      <c r="H3015" s="77">
        <v>0.875</v>
      </c>
      <c r="J3015">
        <v>48.019999999999996</v>
      </c>
      <c r="M3015" s="74">
        <v>34459</v>
      </c>
      <c r="N3015" s="77">
        <v>0.875</v>
      </c>
      <c r="P3015">
        <v>56.84</v>
      </c>
      <c r="S3015" s="74">
        <v>36285</v>
      </c>
      <c r="T3015" s="77">
        <v>0.875</v>
      </c>
      <c r="V3015">
        <v>55.94</v>
      </c>
      <c r="X3015" s="42"/>
      <c r="AB3015">
        <v>56.2</v>
      </c>
      <c r="AC3015">
        <v>53.96</v>
      </c>
      <c r="AE3015" s="74"/>
      <c r="AF3015" s="77"/>
      <c r="AH3015" s="497">
        <v>60.8</v>
      </c>
      <c r="AJ3015" s="42"/>
      <c r="AK3015" s="74"/>
      <c r="AL3015" s="77"/>
      <c r="AN3015" s="497">
        <v>51.980000000000004</v>
      </c>
      <c r="AP3015" s="42"/>
      <c r="AQ3015" s="74"/>
      <c r="AR3015" s="77"/>
      <c r="AT3015" s="497">
        <v>60.08</v>
      </c>
      <c r="AV3015" s="42"/>
      <c r="AW3015" s="74"/>
      <c r="AX3015" s="77"/>
      <c r="BA3015" s="497">
        <v>57.019999999999996</v>
      </c>
      <c r="BB3015" s="42"/>
      <c r="BC3015" s="74"/>
      <c r="BD3015" s="77"/>
      <c r="BF3015">
        <v>48.019999999999996</v>
      </c>
      <c r="BH3015" s="42"/>
      <c r="BI3015" s="74"/>
      <c r="BJ3015" s="77"/>
      <c r="BL3015" s="497">
        <v>66.92</v>
      </c>
      <c r="BN3015" s="42"/>
      <c r="BO3015" s="74"/>
      <c r="BP3015" s="77"/>
      <c r="BR3015" s="497">
        <v>57.019999999999996</v>
      </c>
      <c r="BT3015" s="42"/>
    </row>
    <row r="3016" spans="1:72" x14ac:dyDescent="0.25">
      <c r="A3016" s="90">
        <v>36285</v>
      </c>
      <c r="B3016" s="20">
        <v>0.91666666666666663</v>
      </c>
      <c r="D3016">
        <v>59</v>
      </c>
      <c r="E3016" t="str">
        <f t="shared" si="128"/>
        <v>WEEKDAY</v>
      </c>
      <c r="F3016" t="e">
        <f t="shared" si="129"/>
        <v>#N/A</v>
      </c>
      <c r="G3016" s="74">
        <v>31902</v>
      </c>
      <c r="H3016" s="77">
        <v>0.91666666666666663</v>
      </c>
      <c r="J3016">
        <v>46.94</v>
      </c>
      <c r="M3016" s="74">
        <v>34459</v>
      </c>
      <c r="N3016" s="77">
        <v>0.91666666666666663</v>
      </c>
      <c r="P3016">
        <v>53.96</v>
      </c>
      <c r="S3016" s="74">
        <v>36285</v>
      </c>
      <c r="T3016" s="77">
        <v>0.91666666666666663</v>
      </c>
      <c r="V3016">
        <v>55.400000000000006</v>
      </c>
      <c r="X3016" s="42"/>
      <c r="AB3016">
        <v>55.7</v>
      </c>
      <c r="AC3016">
        <v>51.08</v>
      </c>
      <c r="AE3016" s="74"/>
      <c r="AF3016" s="77"/>
      <c r="AH3016" s="497">
        <v>59</v>
      </c>
      <c r="AJ3016" s="42"/>
      <c r="AK3016" s="74"/>
      <c r="AL3016" s="77"/>
      <c r="AN3016" s="497">
        <v>51.980000000000004</v>
      </c>
      <c r="AP3016" s="42"/>
      <c r="AQ3016" s="74"/>
      <c r="AR3016" s="77"/>
      <c r="AT3016" s="497">
        <v>59</v>
      </c>
      <c r="AV3016" s="42"/>
      <c r="AW3016" s="74"/>
      <c r="AX3016" s="77"/>
      <c r="BA3016" s="497">
        <v>55.94</v>
      </c>
      <c r="BB3016" s="42"/>
      <c r="BC3016" s="74"/>
      <c r="BD3016" s="77"/>
      <c r="BF3016">
        <v>46.94</v>
      </c>
      <c r="BH3016" s="42"/>
      <c r="BI3016" s="74"/>
      <c r="BJ3016" s="77"/>
      <c r="BL3016" s="497">
        <v>66.92</v>
      </c>
      <c r="BN3016" s="42"/>
      <c r="BO3016" s="74"/>
      <c r="BP3016" s="77"/>
      <c r="BR3016" s="497">
        <v>55.94</v>
      </c>
      <c r="BT3016" s="42"/>
    </row>
    <row r="3017" spans="1:72" x14ac:dyDescent="0.25">
      <c r="A3017" s="90">
        <v>36285</v>
      </c>
      <c r="B3017" s="20">
        <v>0.95833333333333337</v>
      </c>
      <c r="D3017">
        <v>57.019999999999996</v>
      </c>
      <c r="E3017" t="str">
        <f t="shared" si="128"/>
        <v>WEEKDAY</v>
      </c>
      <c r="F3017" t="e">
        <f t="shared" si="129"/>
        <v>#N/A</v>
      </c>
      <c r="G3017" s="74">
        <v>31902</v>
      </c>
      <c r="H3017" s="77">
        <v>0.95833333333333337</v>
      </c>
      <c r="J3017">
        <v>48.019999999999996</v>
      </c>
      <c r="M3017" s="74">
        <v>34459</v>
      </c>
      <c r="N3017" s="77">
        <v>0.95833333333333337</v>
      </c>
      <c r="P3017">
        <v>50.900000000000006</v>
      </c>
      <c r="S3017" s="74">
        <v>36285</v>
      </c>
      <c r="T3017" s="77">
        <v>0.95833333333333337</v>
      </c>
      <c r="V3017">
        <v>55.94</v>
      </c>
      <c r="X3017" s="42"/>
      <c r="AB3017">
        <v>55.1</v>
      </c>
      <c r="AC3017">
        <v>51.08</v>
      </c>
      <c r="AE3017" s="74"/>
      <c r="AF3017" s="77"/>
      <c r="AH3017" s="497">
        <v>59</v>
      </c>
      <c r="AJ3017" s="42"/>
      <c r="AK3017" s="74"/>
      <c r="AL3017" s="77"/>
      <c r="AN3017" s="497">
        <v>51.980000000000004</v>
      </c>
      <c r="AP3017" s="42"/>
      <c r="AQ3017" s="74"/>
      <c r="AR3017" s="77"/>
      <c r="AT3017" s="497">
        <v>55.040000000000006</v>
      </c>
      <c r="AV3017" s="42"/>
      <c r="AW3017" s="74"/>
      <c r="AX3017" s="77"/>
      <c r="BA3017" s="497">
        <v>55.94</v>
      </c>
      <c r="BB3017" s="42"/>
      <c r="BC3017" s="74"/>
      <c r="BD3017" s="77"/>
      <c r="BF3017">
        <v>46.04</v>
      </c>
      <c r="BH3017" s="42"/>
      <c r="BI3017" s="74"/>
      <c r="BJ3017" s="77"/>
      <c r="BL3017" s="497">
        <v>64.94</v>
      </c>
      <c r="BN3017" s="42"/>
      <c r="BO3017" s="74"/>
      <c r="BP3017" s="77"/>
      <c r="BR3017" s="497">
        <v>53.96</v>
      </c>
      <c r="BT3017" s="42"/>
    </row>
    <row r="3018" spans="1:72" x14ac:dyDescent="0.25">
      <c r="A3018" s="90">
        <v>36285</v>
      </c>
      <c r="B3018" s="20">
        <v>1</v>
      </c>
      <c r="D3018">
        <v>55.94</v>
      </c>
      <c r="E3018" t="str">
        <f t="shared" si="128"/>
        <v>WEEKDAY</v>
      </c>
      <c r="F3018" t="e">
        <f t="shared" si="129"/>
        <v>#N/A</v>
      </c>
      <c r="G3018" s="74">
        <v>31902</v>
      </c>
      <c r="H3018" s="77">
        <v>1</v>
      </c>
      <c r="J3018">
        <v>48.019999999999996</v>
      </c>
      <c r="M3018" s="74">
        <v>34459</v>
      </c>
      <c r="N3018" s="80">
        <v>1</v>
      </c>
      <c r="P3018">
        <v>48.92</v>
      </c>
      <c r="S3018" s="74">
        <v>36285</v>
      </c>
      <c r="T3018" s="80">
        <v>1</v>
      </c>
      <c r="V3018">
        <v>57.019999999999996</v>
      </c>
      <c r="X3018" s="42"/>
      <c r="AB3018">
        <v>54.7</v>
      </c>
      <c r="AC3018">
        <v>48.92</v>
      </c>
      <c r="AE3018" s="74"/>
      <c r="AF3018" s="80"/>
      <c r="AH3018" s="497">
        <v>59</v>
      </c>
      <c r="AJ3018" s="42"/>
      <c r="AK3018" s="74"/>
      <c r="AL3018" s="80"/>
      <c r="AN3018" s="497">
        <v>51.980000000000004</v>
      </c>
      <c r="AP3018" s="42"/>
      <c r="AQ3018" s="74"/>
      <c r="AR3018" s="80"/>
      <c r="AT3018" s="497">
        <v>57.92</v>
      </c>
      <c r="AV3018" s="42"/>
      <c r="AW3018" s="74"/>
      <c r="AX3018" s="80"/>
      <c r="BA3018" s="497">
        <v>55.040000000000006</v>
      </c>
      <c r="BB3018" s="42"/>
      <c r="BC3018" s="74"/>
      <c r="BD3018" s="80"/>
      <c r="BF3018">
        <v>50</v>
      </c>
      <c r="BH3018" s="42"/>
      <c r="BI3018" s="74"/>
      <c r="BJ3018" s="80"/>
      <c r="BL3018" s="497">
        <v>62.06</v>
      </c>
      <c r="BN3018" s="42"/>
      <c r="BO3018" s="74"/>
      <c r="BP3018" s="80"/>
      <c r="BR3018" s="497">
        <v>55.040000000000006</v>
      </c>
      <c r="BT3018" s="42"/>
    </row>
    <row r="3019" spans="1:72" x14ac:dyDescent="0.25">
      <c r="A3019" s="90">
        <v>36286</v>
      </c>
      <c r="B3019" s="20">
        <v>4.1666666666666664E-2</v>
      </c>
      <c r="D3019">
        <v>57.92</v>
      </c>
      <c r="E3019" t="str">
        <f t="shared" si="128"/>
        <v>WEEKDAY</v>
      </c>
      <c r="F3019" t="e">
        <f t="shared" si="129"/>
        <v>#N/A</v>
      </c>
      <c r="G3019" s="74">
        <v>31903</v>
      </c>
      <c r="H3019" s="77">
        <v>4.1666666666666664E-2</v>
      </c>
      <c r="J3019">
        <v>48.019999999999996</v>
      </c>
      <c r="M3019" s="74">
        <v>34460</v>
      </c>
      <c r="N3019" s="77">
        <v>4.1666666666666664E-2</v>
      </c>
      <c r="P3019">
        <v>46.94</v>
      </c>
      <c r="S3019" s="74">
        <v>36286</v>
      </c>
      <c r="T3019" s="77">
        <v>4.1666666666666664E-2</v>
      </c>
      <c r="V3019">
        <v>57.019999999999996</v>
      </c>
      <c r="X3019" s="42"/>
      <c r="AB3019">
        <v>54.1</v>
      </c>
      <c r="AC3019">
        <v>51.08</v>
      </c>
      <c r="AE3019" s="74"/>
      <c r="AF3019" s="77"/>
      <c r="AH3019" s="497">
        <v>57.2</v>
      </c>
      <c r="AJ3019" s="42"/>
      <c r="AK3019" s="74"/>
      <c r="AL3019" s="77"/>
      <c r="AN3019" s="497">
        <v>51.08</v>
      </c>
      <c r="AP3019" s="42"/>
      <c r="AQ3019" s="74"/>
      <c r="AR3019" s="77"/>
      <c r="AT3019" s="497">
        <v>59</v>
      </c>
      <c r="AV3019" s="42"/>
      <c r="AW3019" s="74"/>
      <c r="AX3019" s="77"/>
      <c r="BA3019" s="497">
        <v>53.96</v>
      </c>
      <c r="BB3019" s="42"/>
      <c r="BC3019" s="74"/>
      <c r="BD3019" s="77"/>
      <c r="BF3019">
        <v>50</v>
      </c>
      <c r="BH3019" s="42"/>
      <c r="BI3019" s="74"/>
      <c r="BJ3019" s="77"/>
      <c r="BL3019" s="497">
        <v>62.96</v>
      </c>
      <c r="BN3019" s="42"/>
      <c r="BO3019" s="74"/>
      <c r="BP3019" s="77"/>
      <c r="BR3019" s="497">
        <v>53.06</v>
      </c>
      <c r="BT3019" s="42"/>
    </row>
    <row r="3020" spans="1:72" x14ac:dyDescent="0.25">
      <c r="A3020" s="90">
        <v>36286</v>
      </c>
      <c r="B3020" s="20">
        <v>8.3333333333333329E-2</v>
      </c>
      <c r="D3020">
        <v>60.08</v>
      </c>
      <c r="E3020" t="str">
        <f t="shared" si="128"/>
        <v>WEEKDAY</v>
      </c>
      <c r="F3020" t="e">
        <f t="shared" si="129"/>
        <v>#N/A</v>
      </c>
      <c r="G3020" s="74">
        <v>31903</v>
      </c>
      <c r="H3020" s="77">
        <v>8.3333333333333329E-2</v>
      </c>
      <c r="J3020">
        <v>48.019999999999996</v>
      </c>
      <c r="M3020" s="74">
        <v>34460</v>
      </c>
      <c r="N3020" s="77">
        <v>8.3333333333333329E-2</v>
      </c>
      <c r="P3020">
        <v>50</v>
      </c>
      <c r="S3020" s="74">
        <v>36286</v>
      </c>
      <c r="T3020" s="77">
        <v>8.3333333333333329E-2</v>
      </c>
      <c r="V3020">
        <v>55.94</v>
      </c>
      <c r="X3020" s="42"/>
      <c r="AB3020">
        <v>53.6</v>
      </c>
      <c r="AC3020">
        <v>51.08</v>
      </c>
      <c r="AE3020" s="74"/>
      <c r="AF3020" s="77"/>
      <c r="AH3020" s="497">
        <v>55.22</v>
      </c>
      <c r="AJ3020" s="42"/>
      <c r="AK3020" s="74"/>
      <c r="AL3020" s="77"/>
      <c r="AN3020" s="497">
        <v>51.08</v>
      </c>
      <c r="AP3020" s="42"/>
      <c r="AQ3020" s="74"/>
      <c r="AR3020" s="77"/>
      <c r="AT3020" s="497">
        <v>57.019999999999996</v>
      </c>
      <c r="AV3020" s="42"/>
      <c r="AW3020" s="74"/>
      <c r="AX3020" s="77"/>
      <c r="BA3020" s="497">
        <v>55.040000000000006</v>
      </c>
      <c r="BB3020" s="42"/>
      <c r="BC3020" s="74"/>
      <c r="BD3020" s="77"/>
      <c r="BF3020">
        <v>48.019999999999996</v>
      </c>
      <c r="BH3020" s="42"/>
      <c r="BI3020" s="74"/>
      <c r="BJ3020" s="77"/>
      <c r="BL3020" s="497">
        <v>62.96</v>
      </c>
      <c r="BN3020" s="42"/>
      <c r="BO3020" s="74"/>
      <c r="BP3020" s="77"/>
      <c r="BR3020" s="497">
        <v>48.019999999999996</v>
      </c>
      <c r="BT3020" s="42"/>
    </row>
    <row r="3021" spans="1:72" x14ac:dyDescent="0.25">
      <c r="A3021" s="90">
        <v>36286</v>
      </c>
      <c r="B3021" s="20">
        <v>0.125</v>
      </c>
      <c r="D3021">
        <v>57.92</v>
      </c>
      <c r="E3021" t="str">
        <f t="shared" si="128"/>
        <v>WEEKDAY</v>
      </c>
      <c r="F3021" t="e">
        <f t="shared" si="129"/>
        <v>#N/A</v>
      </c>
      <c r="G3021" s="74">
        <v>31903</v>
      </c>
      <c r="H3021" s="77">
        <v>0.125</v>
      </c>
      <c r="J3021">
        <v>48.019999999999996</v>
      </c>
      <c r="M3021" s="74">
        <v>34460</v>
      </c>
      <c r="N3021" s="77">
        <v>0.125</v>
      </c>
      <c r="P3021">
        <v>50</v>
      </c>
      <c r="S3021" s="74">
        <v>36286</v>
      </c>
      <c r="T3021" s="77">
        <v>0.125</v>
      </c>
      <c r="V3021">
        <v>55.040000000000006</v>
      </c>
      <c r="X3021" s="42"/>
      <c r="AB3021">
        <v>53.3</v>
      </c>
      <c r="AC3021">
        <v>50</v>
      </c>
      <c r="AE3021" s="74"/>
      <c r="AF3021" s="77"/>
      <c r="AH3021" s="497">
        <v>53.6</v>
      </c>
      <c r="AJ3021" s="42"/>
      <c r="AK3021" s="74"/>
      <c r="AL3021" s="77"/>
      <c r="AN3021" s="497">
        <v>51.08</v>
      </c>
      <c r="AP3021" s="42"/>
      <c r="AQ3021" s="74"/>
      <c r="AR3021" s="77"/>
      <c r="AT3021" s="497">
        <v>55.040000000000006</v>
      </c>
      <c r="AV3021" s="42"/>
      <c r="AW3021" s="74"/>
      <c r="AX3021" s="77"/>
      <c r="BA3021" s="497">
        <v>55.040000000000006</v>
      </c>
      <c r="BB3021" s="42"/>
      <c r="BC3021" s="74"/>
      <c r="BD3021" s="77"/>
      <c r="BF3021">
        <v>48.92</v>
      </c>
      <c r="BH3021" s="42"/>
      <c r="BI3021" s="74"/>
      <c r="BJ3021" s="77"/>
      <c r="BL3021" s="497">
        <v>64.94</v>
      </c>
      <c r="BN3021" s="42"/>
      <c r="BO3021" s="74"/>
      <c r="BP3021" s="77"/>
      <c r="BR3021" s="497">
        <v>46.94</v>
      </c>
      <c r="BT3021" s="42"/>
    </row>
    <row r="3022" spans="1:72" x14ac:dyDescent="0.25">
      <c r="A3022" s="90">
        <v>36286</v>
      </c>
      <c r="B3022" s="20">
        <v>0.16666666666666666</v>
      </c>
      <c r="D3022">
        <v>59</v>
      </c>
      <c r="E3022" t="str">
        <f t="shared" si="128"/>
        <v>WEEKDAY</v>
      </c>
      <c r="F3022" t="e">
        <f t="shared" si="129"/>
        <v>#N/A</v>
      </c>
      <c r="G3022" s="74">
        <v>31903</v>
      </c>
      <c r="H3022" s="77">
        <v>0.16666666666666666</v>
      </c>
      <c r="J3022">
        <v>48.92</v>
      </c>
      <c r="M3022" s="74">
        <v>34460</v>
      </c>
      <c r="N3022" s="77">
        <v>0.16666666666666666</v>
      </c>
      <c r="P3022">
        <v>48.92</v>
      </c>
      <c r="S3022" s="74">
        <v>36286</v>
      </c>
      <c r="T3022" s="77">
        <v>0.16666666666666666</v>
      </c>
      <c r="V3022">
        <v>55.040000000000006</v>
      </c>
      <c r="X3022" s="42"/>
      <c r="AB3022">
        <v>52.8</v>
      </c>
      <c r="AC3022">
        <v>50</v>
      </c>
      <c r="AE3022" s="74"/>
      <c r="AF3022" s="77"/>
      <c r="AH3022" s="497">
        <v>53.6</v>
      </c>
      <c r="AJ3022" s="42"/>
      <c r="AK3022" s="74"/>
      <c r="AL3022" s="77"/>
      <c r="AN3022" s="497">
        <v>51.08</v>
      </c>
      <c r="AP3022" s="42"/>
      <c r="AQ3022" s="74"/>
      <c r="AR3022" s="77"/>
      <c r="AT3022" s="497">
        <v>53.96</v>
      </c>
      <c r="AV3022" s="42"/>
      <c r="AW3022" s="74"/>
      <c r="AX3022" s="77"/>
      <c r="BA3022" s="497">
        <v>55.94</v>
      </c>
      <c r="BB3022" s="42"/>
      <c r="BC3022" s="74"/>
      <c r="BD3022" s="77"/>
      <c r="BF3022">
        <v>44.96</v>
      </c>
      <c r="BH3022" s="42"/>
      <c r="BI3022" s="74"/>
      <c r="BJ3022" s="77"/>
      <c r="BL3022" s="497">
        <v>64.039999999999992</v>
      </c>
      <c r="BN3022" s="42"/>
      <c r="BO3022" s="74"/>
      <c r="BP3022" s="77"/>
      <c r="BR3022" s="497">
        <v>46.94</v>
      </c>
      <c r="BT3022" s="42"/>
    </row>
    <row r="3023" spans="1:72" x14ac:dyDescent="0.25">
      <c r="A3023" s="90">
        <v>36286</v>
      </c>
      <c r="B3023" s="20">
        <v>0.20833333333333334</v>
      </c>
      <c r="D3023">
        <v>60.08</v>
      </c>
      <c r="E3023" t="str">
        <f t="shared" si="128"/>
        <v>WEEKDAY</v>
      </c>
      <c r="F3023" t="e">
        <f t="shared" si="129"/>
        <v>#N/A</v>
      </c>
      <c r="G3023" s="74">
        <v>31903</v>
      </c>
      <c r="H3023" s="77">
        <v>0.20833333333333334</v>
      </c>
      <c r="J3023">
        <v>48.019999999999996</v>
      </c>
      <c r="M3023" s="74">
        <v>34460</v>
      </c>
      <c r="N3023" s="77">
        <v>0.20833333333333334</v>
      </c>
      <c r="P3023">
        <v>50.900000000000006</v>
      </c>
      <c r="S3023" s="74">
        <v>36286</v>
      </c>
      <c r="T3023" s="77">
        <v>0.20833333333333334</v>
      </c>
      <c r="V3023">
        <v>55.040000000000006</v>
      </c>
      <c r="X3023" s="42"/>
      <c r="AB3023">
        <v>52.4</v>
      </c>
      <c r="AC3023">
        <v>48.019999999999996</v>
      </c>
      <c r="AE3023" s="74"/>
      <c r="AF3023" s="77"/>
      <c r="AH3023" s="497">
        <v>53.6</v>
      </c>
      <c r="AJ3023" s="42"/>
      <c r="AK3023" s="74"/>
      <c r="AL3023" s="77"/>
      <c r="AN3023" s="497">
        <v>50</v>
      </c>
      <c r="AP3023" s="42"/>
      <c r="AQ3023" s="74"/>
      <c r="AR3023" s="77"/>
      <c r="AT3023" s="497">
        <v>50</v>
      </c>
      <c r="AV3023" s="42"/>
      <c r="AW3023" s="74"/>
      <c r="AX3023" s="77"/>
      <c r="BA3023" s="497">
        <v>55.94</v>
      </c>
      <c r="BB3023" s="42"/>
      <c r="BC3023" s="74"/>
      <c r="BD3023" s="77"/>
      <c r="BF3023">
        <v>44.06</v>
      </c>
      <c r="BH3023" s="42"/>
      <c r="BI3023" s="74"/>
      <c r="BJ3023" s="77"/>
      <c r="BL3023" s="497">
        <v>62.06</v>
      </c>
      <c r="BN3023" s="42"/>
      <c r="BO3023" s="74"/>
      <c r="BP3023" s="77"/>
      <c r="BR3023" s="497">
        <v>46.04</v>
      </c>
      <c r="BT3023" s="42"/>
    </row>
    <row r="3024" spans="1:72" x14ac:dyDescent="0.25">
      <c r="A3024" s="90">
        <v>36286</v>
      </c>
      <c r="B3024" s="20">
        <v>0.25</v>
      </c>
      <c r="D3024">
        <v>60.980000000000004</v>
      </c>
      <c r="E3024" t="str">
        <f t="shared" si="128"/>
        <v>WEEKDAY</v>
      </c>
      <c r="F3024" t="e">
        <f t="shared" si="129"/>
        <v>#N/A</v>
      </c>
      <c r="G3024" s="74">
        <v>31903</v>
      </c>
      <c r="H3024" s="77">
        <v>0.25</v>
      </c>
      <c r="J3024">
        <v>48.019999999999996</v>
      </c>
      <c r="M3024" s="74">
        <v>34460</v>
      </c>
      <c r="N3024" s="77">
        <v>0.25</v>
      </c>
      <c r="P3024">
        <v>52.879999999999995</v>
      </c>
      <c r="S3024" s="74">
        <v>36286</v>
      </c>
      <c r="T3024" s="77">
        <v>0.25</v>
      </c>
      <c r="V3024">
        <v>55.94</v>
      </c>
      <c r="X3024" s="42"/>
      <c r="AB3024">
        <v>52.1</v>
      </c>
      <c r="AC3024">
        <v>50</v>
      </c>
      <c r="AE3024" s="74"/>
      <c r="AF3024" s="77"/>
      <c r="AH3024" s="497">
        <v>53.6</v>
      </c>
      <c r="AJ3024" s="42"/>
      <c r="AK3024" s="74"/>
      <c r="AL3024" s="77"/>
      <c r="AN3024" s="497">
        <v>50</v>
      </c>
      <c r="AP3024" s="42"/>
      <c r="AQ3024" s="74"/>
      <c r="AR3024" s="77"/>
      <c r="AT3024" s="497">
        <v>48.92</v>
      </c>
      <c r="AV3024" s="42"/>
      <c r="AW3024" s="74"/>
      <c r="AX3024" s="77"/>
      <c r="BA3024" s="497">
        <v>55.94</v>
      </c>
      <c r="BB3024" s="42"/>
      <c r="BC3024" s="74"/>
      <c r="BD3024" s="77"/>
      <c r="BF3024">
        <v>44.96</v>
      </c>
      <c r="BH3024" s="42"/>
      <c r="BI3024" s="74"/>
      <c r="BJ3024" s="77"/>
      <c r="BL3024" s="497">
        <v>62.96</v>
      </c>
      <c r="BN3024" s="42"/>
      <c r="BO3024" s="74"/>
      <c r="BP3024" s="77"/>
      <c r="BR3024" s="497">
        <v>44.96</v>
      </c>
      <c r="BT3024" s="42"/>
    </row>
    <row r="3025" spans="1:72" x14ac:dyDescent="0.25">
      <c r="A3025" s="90">
        <v>36286</v>
      </c>
      <c r="B3025" s="20">
        <v>0.29166666666666669</v>
      </c>
      <c r="D3025">
        <v>59</v>
      </c>
      <c r="E3025" t="str">
        <f t="shared" si="128"/>
        <v>WEEKDAY</v>
      </c>
      <c r="F3025" t="e">
        <f t="shared" si="129"/>
        <v>#N/A</v>
      </c>
      <c r="G3025" s="74">
        <v>31903</v>
      </c>
      <c r="H3025" s="77">
        <v>0.29166666666666669</v>
      </c>
      <c r="J3025">
        <v>48.92</v>
      </c>
      <c r="M3025" s="74">
        <v>34460</v>
      </c>
      <c r="N3025" s="77">
        <v>0.29166666666666669</v>
      </c>
      <c r="P3025">
        <v>51.980000000000004</v>
      </c>
      <c r="S3025" s="74">
        <v>36286</v>
      </c>
      <c r="T3025" s="77">
        <v>0.29166666666666669</v>
      </c>
      <c r="V3025">
        <v>57.019999999999996</v>
      </c>
      <c r="X3025" s="42"/>
      <c r="AB3025">
        <v>53.1</v>
      </c>
      <c r="AC3025">
        <v>53.06</v>
      </c>
      <c r="AE3025" s="74"/>
      <c r="AF3025" s="77"/>
      <c r="AH3025" s="497">
        <v>59</v>
      </c>
      <c r="AJ3025" s="42"/>
      <c r="AK3025" s="74"/>
      <c r="AL3025" s="77"/>
      <c r="AN3025" s="497">
        <v>51.980000000000004</v>
      </c>
      <c r="AP3025" s="42"/>
      <c r="AQ3025" s="74"/>
      <c r="AR3025" s="77"/>
      <c r="AT3025" s="497">
        <v>48.019999999999996</v>
      </c>
      <c r="AV3025" s="42"/>
      <c r="AW3025" s="74"/>
      <c r="AX3025" s="77"/>
      <c r="BA3025" s="497">
        <v>57.019999999999996</v>
      </c>
      <c r="BB3025" s="42"/>
      <c r="BC3025" s="74"/>
      <c r="BD3025" s="77"/>
      <c r="BF3025">
        <v>46.94</v>
      </c>
      <c r="BH3025" s="42"/>
      <c r="BI3025" s="74"/>
      <c r="BJ3025" s="77"/>
      <c r="BL3025" s="497">
        <v>62.06</v>
      </c>
      <c r="BN3025" s="42"/>
      <c r="BO3025" s="74"/>
      <c r="BP3025" s="77"/>
      <c r="BR3025" s="497">
        <v>46.94</v>
      </c>
      <c r="BT3025" s="42"/>
    </row>
    <row r="3026" spans="1:72" x14ac:dyDescent="0.25">
      <c r="A3026" s="90">
        <v>36286</v>
      </c>
      <c r="B3026" s="20">
        <v>0.33333333333333331</v>
      </c>
      <c r="D3026">
        <v>55.94</v>
      </c>
      <c r="E3026" t="str">
        <f t="shared" si="128"/>
        <v>WEEKDAY</v>
      </c>
      <c r="F3026" t="e">
        <f t="shared" si="129"/>
        <v>#N/A</v>
      </c>
      <c r="G3026" s="74">
        <v>31903</v>
      </c>
      <c r="H3026" s="77">
        <v>0.33333333333333331</v>
      </c>
      <c r="J3026">
        <v>51.980000000000004</v>
      </c>
      <c r="M3026" s="74">
        <v>34460</v>
      </c>
      <c r="N3026" s="77">
        <v>0.33333333333333331</v>
      </c>
      <c r="P3026">
        <v>50</v>
      </c>
      <c r="S3026" s="74">
        <v>36286</v>
      </c>
      <c r="T3026" s="77">
        <v>0.33333333333333331</v>
      </c>
      <c r="V3026">
        <v>59</v>
      </c>
      <c r="X3026" s="42"/>
      <c r="AB3026">
        <v>55</v>
      </c>
      <c r="AC3026">
        <v>53.96</v>
      </c>
      <c r="AE3026" s="74"/>
      <c r="AF3026" s="77"/>
      <c r="AH3026" s="497">
        <v>69.800000000000011</v>
      </c>
      <c r="AJ3026" s="42"/>
      <c r="AK3026" s="74"/>
      <c r="AL3026" s="77"/>
      <c r="AN3026" s="497">
        <v>53.96</v>
      </c>
      <c r="AP3026" s="42"/>
      <c r="AQ3026" s="74"/>
      <c r="AR3026" s="77"/>
      <c r="AT3026" s="497">
        <v>48.92</v>
      </c>
      <c r="AV3026" s="42"/>
      <c r="AW3026" s="74"/>
      <c r="AX3026" s="77"/>
      <c r="BA3026" s="497">
        <v>57.92</v>
      </c>
      <c r="BB3026" s="42"/>
      <c r="BC3026" s="74"/>
      <c r="BD3026" s="77"/>
      <c r="BF3026">
        <v>50</v>
      </c>
      <c r="BH3026" s="42"/>
      <c r="BI3026" s="74"/>
      <c r="BJ3026" s="77"/>
      <c r="BL3026" s="497">
        <v>66.02</v>
      </c>
      <c r="BN3026" s="42"/>
      <c r="BO3026" s="74"/>
      <c r="BP3026" s="77"/>
      <c r="BR3026" s="497">
        <v>50</v>
      </c>
      <c r="BT3026" s="42"/>
    </row>
    <row r="3027" spans="1:72" x14ac:dyDescent="0.25">
      <c r="A3027" s="90">
        <v>36286</v>
      </c>
      <c r="B3027" s="20">
        <v>0.375</v>
      </c>
      <c r="D3027">
        <v>55.94</v>
      </c>
      <c r="E3027" t="str">
        <f t="shared" ref="E3027:E3090" si="130">IF(COUNTIF($DI$18:$DI$22, WEEKDAY(A3027))=1, "WEEKDAY", IF(WEEKDAY(A3027) = 1, "SUNDAY", "SATURDAY"))</f>
        <v>WEEKDAY</v>
      </c>
      <c r="F3027" t="e">
        <f t="shared" si="129"/>
        <v>#N/A</v>
      </c>
      <c r="G3027" s="74">
        <v>31903</v>
      </c>
      <c r="H3027" s="77">
        <v>0.375</v>
      </c>
      <c r="J3027">
        <v>53.06</v>
      </c>
      <c r="M3027" s="74">
        <v>34460</v>
      </c>
      <c r="N3027" s="77">
        <v>0.375</v>
      </c>
      <c r="P3027">
        <v>51.980000000000004</v>
      </c>
      <c r="S3027" s="74">
        <v>36286</v>
      </c>
      <c r="T3027" s="77">
        <v>0.375</v>
      </c>
      <c r="V3027">
        <v>59</v>
      </c>
      <c r="X3027" s="42"/>
      <c r="AB3027">
        <v>56.9</v>
      </c>
      <c r="AC3027">
        <v>55.94</v>
      </c>
      <c r="AE3027" s="74"/>
      <c r="AF3027" s="77"/>
      <c r="AH3027" s="497">
        <v>73.94</v>
      </c>
      <c r="AJ3027" s="42"/>
      <c r="AK3027" s="74"/>
      <c r="AL3027" s="77"/>
      <c r="AN3027" s="497">
        <v>57.019999999999996</v>
      </c>
      <c r="AP3027" s="42"/>
      <c r="AQ3027" s="74"/>
      <c r="AR3027" s="77"/>
      <c r="AT3027" s="497">
        <v>48.019999999999996</v>
      </c>
      <c r="AV3027" s="42"/>
      <c r="AW3027" s="74"/>
      <c r="AX3027" s="77"/>
      <c r="BA3027" s="497">
        <v>57.019999999999996</v>
      </c>
      <c r="BB3027" s="42"/>
      <c r="BC3027" s="74"/>
      <c r="BD3027" s="77"/>
      <c r="BF3027">
        <v>51.08</v>
      </c>
      <c r="BH3027" s="42"/>
      <c r="BI3027" s="74"/>
      <c r="BJ3027" s="77"/>
      <c r="BL3027" s="497">
        <v>68</v>
      </c>
      <c r="BN3027" s="42"/>
      <c r="BO3027" s="74"/>
      <c r="BP3027" s="77"/>
      <c r="BR3027" s="497">
        <v>50</v>
      </c>
      <c r="BT3027" s="42"/>
    </row>
    <row r="3028" spans="1:72" x14ac:dyDescent="0.25">
      <c r="A3028" s="90">
        <v>36286</v>
      </c>
      <c r="B3028" s="20">
        <v>0.41666666666666669</v>
      </c>
      <c r="D3028">
        <v>57.92</v>
      </c>
      <c r="E3028" t="str">
        <f t="shared" si="130"/>
        <v>WEEKDAY</v>
      </c>
      <c r="F3028" t="e">
        <f t="shared" si="129"/>
        <v>#N/A</v>
      </c>
      <c r="G3028" s="74">
        <v>31903</v>
      </c>
      <c r="H3028" s="77">
        <v>0.41666666666666669</v>
      </c>
      <c r="J3028">
        <v>55.94</v>
      </c>
      <c r="M3028" s="74">
        <v>34460</v>
      </c>
      <c r="N3028" s="77">
        <v>0.41666666666666669</v>
      </c>
      <c r="P3028">
        <v>52.879999999999995</v>
      </c>
      <c r="S3028" s="74">
        <v>36286</v>
      </c>
      <c r="T3028" s="77">
        <v>0.41666666666666669</v>
      </c>
      <c r="V3028">
        <v>59</v>
      </c>
      <c r="X3028" s="42"/>
      <c r="AB3028">
        <v>58.6</v>
      </c>
      <c r="AC3028">
        <v>57.92</v>
      </c>
      <c r="AE3028" s="74"/>
      <c r="AF3028" s="77"/>
      <c r="AH3028" s="497">
        <v>77.36</v>
      </c>
      <c r="AJ3028" s="42"/>
      <c r="AK3028" s="74"/>
      <c r="AL3028" s="77"/>
      <c r="AN3028" s="497">
        <v>60.08</v>
      </c>
      <c r="AP3028" s="42"/>
      <c r="AQ3028" s="74"/>
      <c r="AR3028" s="77"/>
      <c r="AT3028" s="497">
        <v>48.92</v>
      </c>
      <c r="AV3028" s="42"/>
      <c r="AW3028" s="74"/>
      <c r="AX3028" s="77"/>
      <c r="BA3028" s="497">
        <v>57.019999999999996</v>
      </c>
      <c r="BB3028" s="42"/>
      <c r="BC3028" s="74"/>
      <c r="BD3028" s="77"/>
      <c r="BF3028">
        <v>53.96</v>
      </c>
      <c r="BH3028" s="42"/>
      <c r="BI3028" s="74"/>
      <c r="BJ3028" s="77"/>
      <c r="BL3028" s="497">
        <v>75.92</v>
      </c>
      <c r="BN3028" s="42"/>
      <c r="BO3028" s="74"/>
      <c r="BP3028" s="77"/>
      <c r="BR3028" s="497">
        <v>51.08</v>
      </c>
      <c r="BT3028" s="42"/>
    </row>
    <row r="3029" spans="1:72" x14ac:dyDescent="0.25">
      <c r="A3029" s="90">
        <v>36286</v>
      </c>
      <c r="B3029" s="20">
        <v>0.45833333333333331</v>
      </c>
      <c r="D3029">
        <v>60.980000000000004</v>
      </c>
      <c r="E3029" t="str">
        <f t="shared" si="130"/>
        <v>WEEKDAY</v>
      </c>
      <c r="F3029" t="e">
        <f t="shared" si="129"/>
        <v>#N/A</v>
      </c>
      <c r="G3029" s="74">
        <v>31903</v>
      </c>
      <c r="H3029" s="77">
        <v>0.45833333333333331</v>
      </c>
      <c r="J3029">
        <v>55.040000000000006</v>
      </c>
      <c r="M3029" s="74">
        <v>34460</v>
      </c>
      <c r="N3029" s="77">
        <v>0.45833333333333331</v>
      </c>
      <c r="P3029">
        <v>56.84</v>
      </c>
      <c r="S3029" s="74">
        <v>36286</v>
      </c>
      <c r="T3029" s="77">
        <v>0.45833333333333331</v>
      </c>
      <c r="V3029">
        <v>59</v>
      </c>
      <c r="X3029" s="42"/>
      <c r="AB3029">
        <v>60.3</v>
      </c>
      <c r="AC3029">
        <v>60.08</v>
      </c>
      <c r="AE3029" s="74"/>
      <c r="AF3029" s="77"/>
      <c r="AH3029" s="497">
        <v>80.599999999999994</v>
      </c>
      <c r="AJ3029" s="42"/>
      <c r="AK3029" s="74"/>
      <c r="AL3029" s="77"/>
      <c r="AN3029" s="497">
        <v>62.06</v>
      </c>
      <c r="AP3029" s="42"/>
      <c r="AQ3029" s="74"/>
      <c r="AR3029" s="77"/>
      <c r="AT3029" s="497">
        <v>48.92</v>
      </c>
      <c r="AV3029" s="42"/>
      <c r="AW3029" s="74"/>
      <c r="AX3029" s="77"/>
      <c r="BA3029" s="497">
        <v>57.019999999999996</v>
      </c>
      <c r="BB3029" s="42"/>
      <c r="BC3029" s="74"/>
      <c r="BD3029" s="77"/>
      <c r="BF3029">
        <v>55.94</v>
      </c>
      <c r="BH3029" s="42"/>
      <c r="BI3029" s="74"/>
      <c r="BJ3029" s="77"/>
      <c r="BL3029" s="497">
        <v>73.94</v>
      </c>
      <c r="BN3029" s="42"/>
      <c r="BO3029" s="74"/>
      <c r="BP3029" s="77"/>
      <c r="BR3029" s="497">
        <v>51.08</v>
      </c>
      <c r="BT3029" s="42"/>
    </row>
    <row r="3030" spans="1:72" x14ac:dyDescent="0.25">
      <c r="A3030" s="90">
        <v>36286</v>
      </c>
      <c r="B3030" s="20">
        <v>0.5</v>
      </c>
      <c r="D3030">
        <v>62.96</v>
      </c>
      <c r="E3030" t="str">
        <f t="shared" si="130"/>
        <v>WEEKDAY</v>
      </c>
      <c r="F3030" t="e">
        <f t="shared" si="129"/>
        <v>#N/A</v>
      </c>
      <c r="G3030" s="74">
        <v>31903</v>
      </c>
      <c r="H3030" s="77">
        <v>0.5</v>
      </c>
      <c r="J3030">
        <v>57.019999999999996</v>
      </c>
      <c r="M3030" s="74">
        <v>34460</v>
      </c>
      <c r="N3030" s="77">
        <v>0.5</v>
      </c>
      <c r="P3030">
        <v>60.980000000000004</v>
      </c>
      <c r="S3030" s="74">
        <v>36286</v>
      </c>
      <c r="T3030" s="77">
        <v>0.5</v>
      </c>
      <c r="V3030">
        <v>59</v>
      </c>
      <c r="X3030" s="42"/>
      <c r="AB3030">
        <v>61.5</v>
      </c>
      <c r="AC3030">
        <v>60.08</v>
      </c>
      <c r="AE3030" s="74"/>
      <c r="AF3030" s="77"/>
      <c r="AH3030" s="497">
        <v>82.4</v>
      </c>
      <c r="AJ3030" s="42"/>
      <c r="AK3030" s="74"/>
      <c r="AL3030" s="77"/>
      <c r="AN3030" s="497">
        <v>62.96</v>
      </c>
      <c r="AP3030" s="42"/>
      <c r="AQ3030" s="74"/>
      <c r="AR3030" s="77"/>
      <c r="AT3030" s="497">
        <v>50</v>
      </c>
      <c r="AV3030" s="42"/>
      <c r="AW3030" s="74"/>
      <c r="AX3030" s="77"/>
      <c r="BA3030" s="497">
        <v>55.94</v>
      </c>
      <c r="BB3030" s="42"/>
      <c r="BC3030" s="74"/>
      <c r="BD3030" s="77"/>
      <c r="BF3030">
        <v>53.06</v>
      </c>
      <c r="BH3030" s="42"/>
      <c r="BI3030" s="74"/>
      <c r="BJ3030" s="77"/>
      <c r="BL3030" s="497">
        <v>75.02</v>
      </c>
      <c r="BN3030" s="42"/>
      <c r="BO3030" s="74"/>
      <c r="BP3030" s="77"/>
      <c r="BR3030" s="497">
        <v>53.06</v>
      </c>
      <c r="BT3030" s="42"/>
    </row>
    <row r="3031" spans="1:72" x14ac:dyDescent="0.25">
      <c r="A3031" s="90">
        <v>36286</v>
      </c>
      <c r="B3031" s="20">
        <v>0.54166666666666663</v>
      </c>
      <c r="D3031">
        <v>57.92</v>
      </c>
      <c r="E3031" t="str">
        <f t="shared" si="130"/>
        <v>WEEKDAY</v>
      </c>
      <c r="F3031" t="e">
        <f t="shared" si="129"/>
        <v>#N/A</v>
      </c>
      <c r="G3031" s="74">
        <v>31903</v>
      </c>
      <c r="H3031" s="77">
        <v>0.54166666666666663</v>
      </c>
      <c r="J3031">
        <v>57.019999999999996</v>
      </c>
      <c r="M3031" s="74">
        <v>34460</v>
      </c>
      <c r="N3031" s="77">
        <v>0.54166666666666663</v>
      </c>
      <c r="P3031">
        <v>50</v>
      </c>
      <c r="S3031" s="74">
        <v>36286</v>
      </c>
      <c r="T3031" s="77">
        <v>0.54166666666666663</v>
      </c>
      <c r="V3031">
        <v>60.980000000000004</v>
      </c>
      <c r="X3031" s="42"/>
      <c r="AB3031">
        <v>62.3</v>
      </c>
      <c r="AC3031">
        <v>59</v>
      </c>
      <c r="AE3031" s="74"/>
      <c r="AF3031" s="77"/>
      <c r="AH3031" s="497">
        <v>84.2</v>
      </c>
      <c r="AJ3031" s="42"/>
      <c r="AK3031" s="74"/>
      <c r="AL3031" s="77"/>
      <c r="AN3031" s="497">
        <v>64.039999999999992</v>
      </c>
      <c r="AP3031" s="42"/>
      <c r="AQ3031" s="74"/>
      <c r="AR3031" s="77"/>
      <c r="AT3031" s="497">
        <v>50</v>
      </c>
      <c r="AV3031" s="42"/>
      <c r="AW3031" s="74"/>
      <c r="AX3031" s="77"/>
      <c r="BA3031" s="497">
        <v>55.94</v>
      </c>
      <c r="BB3031" s="42"/>
      <c r="BC3031" s="74"/>
      <c r="BD3031" s="77"/>
      <c r="BF3031">
        <v>53.96</v>
      </c>
      <c r="BH3031" s="42"/>
      <c r="BI3031" s="74"/>
      <c r="BJ3031" s="77"/>
      <c r="BL3031" s="497">
        <v>73.94</v>
      </c>
      <c r="BN3031" s="42"/>
      <c r="BO3031" s="74"/>
      <c r="BP3031" s="77"/>
      <c r="BR3031" s="497">
        <v>53.96</v>
      </c>
      <c r="BT3031" s="42"/>
    </row>
    <row r="3032" spans="1:72" x14ac:dyDescent="0.25">
      <c r="A3032" s="90">
        <v>36286</v>
      </c>
      <c r="B3032" s="20">
        <v>0.58333333333333337</v>
      </c>
      <c r="D3032">
        <v>62.06</v>
      </c>
      <c r="E3032" t="str">
        <f t="shared" si="130"/>
        <v>WEEKDAY</v>
      </c>
      <c r="F3032" t="e">
        <f t="shared" si="129"/>
        <v>#N/A</v>
      </c>
      <c r="G3032" s="74">
        <v>31903</v>
      </c>
      <c r="H3032" s="77">
        <v>0.58333333333333337</v>
      </c>
      <c r="J3032">
        <v>57.92</v>
      </c>
      <c r="M3032" s="74">
        <v>34460</v>
      </c>
      <c r="N3032" s="77">
        <v>0.58333333333333337</v>
      </c>
      <c r="P3032">
        <v>57.92</v>
      </c>
      <c r="S3032" s="74">
        <v>36286</v>
      </c>
      <c r="T3032" s="77">
        <v>0.58333333333333337</v>
      </c>
      <c r="V3032">
        <v>60.980000000000004</v>
      </c>
      <c r="X3032" s="42"/>
      <c r="AB3032">
        <v>62.7</v>
      </c>
      <c r="AC3032">
        <v>59</v>
      </c>
      <c r="AE3032" s="74"/>
      <c r="AF3032" s="77"/>
      <c r="AH3032" s="497">
        <v>84.2</v>
      </c>
      <c r="AJ3032" s="42"/>
      <c r="AK3032" s="74"/>
      <c r="AL3032" s="77"/>
      <c r="AN3032" s="497">
        <v>60.980000000000004</v>
      </c>
      <c r="AP3032" s="42"/>
      <c r="AQ3032" s="74"/>
      <c r="AR3032" s="77"/>
      <c r="AT3032" s="497">
        <v>51.08</v>
      </c>
      <c r="AV3032" s="42"/>
      <c r="AW3032" s="74"/>
      <c r="AX3032" s="77"/>
      <c r="BA3032" s="497">
        <v>55.040000000000006</v>
      </c>
      <c r="BB3032" s="42"/>
      <c r="BC3032" s="74"/>
      <c r="BD3032" s="77"/>
      <c r="BF3032">
        <v>53.96</v>
      </c>
      <c r="BH3032" s="42"/>
      <c r="BI3032" s="74"/>
      <c r="BJ3032" s="77"/>
      <c r="BL3032" s="497">
        <v>75.02</v>
      </c>
      <c r="BN3032" s="42"/>
      <c r="BO3032" s="74"/>
      <c r="BP3032" s="77"/>
      <c r="BR3032" s="497">
        <v>53.96</v>
      </c>
      <c r="BT3032" s="42"/>
    </row>
    <row r="3033" spans="1:72" x14ac:dyDescent="0.25">
      <c r="A3033" s="90">
        <v>36286</v>
      </c>
      <c r="B3033" s="20">
        <v>0.625</v>
      </c>
      <c r="D3033">
        <v>60.980000000000004</v>
      </c>
      <c r="E3033" t="str">
        <f t="shared" si="130"/>
        <v>WEEKDAY</v>
      </c>
      <c r="F3033" t="e">
        <f t="shared" si="129"/>
        <v>#N/A</v>
      </c>
      <c r="G3033" s="74">
        <v>31903</v>
      </c>
      <c r="H3033" s="77">
        <v>0.625</v>
      </c>
      <c r="J3033">
        <v>59</v>
      </c>
      <c r="M3033" s="74">
        <v>34460</v>
      </c>
      <c r="N3033" s="77">
        <v>0.625</v>
      </c>
      <c r="P3033">
        <v>56.84</v>
      </c>
      <c r="S3033" s="74">
        <v>36286</v>
      </c>
      <c r="T3033" s="77">
        <v>0.625</v>
      </c>
      <c r="V3033">
        <v>60.08</v>
      </c>
      <c r="X3033" s="42"/>
      <c r="AB3033">
        <v>62.7</v>
      </c>
      <c r="AC3033">
        <v>59</v>
      </c>
      <c r="AE3033" s="74"/>
      <c r="AF3033" s="77"/>
      <c r="AH3033" s="497">
        <v>86</v>
      </c>
      <c r="AJ3033" s="42"/>
      <c r="AK3033" s="74"/>
      <c r="AL3033" s="77"/>
      <c r="AN3033" s="497">
        <v>62.06</v>
      </c>
      <c r="AP3033" s="42"/>
      <c r="AQ3033" s="74"/>
      <c r="AR3033" s="77"/>
      <c r="AT3033" s="497">
        <v>50</v>
      </c>
      <c r="AV3033" s="42"/>
      <c r="AW3033" s="74"/>
      <c r="AX3033" s="77"/>
      <c r="BA3033" s="497">
        <v>55.040000000000006</v>
      </c>
      <c r="BB3033" s="42"/>
      <c r="BC3033" s="74"/>
      <c r="BD3033" s="77"/>
      <c r="BF3033">
        <v>53.96</v>
      </c>
      <c r="BH3033" s="42"/>
      <c r="BI3033" s="74"/>
      <c r="BJ3033" s="77"/>
      <c r="BL3033" s="497">
        <v>78.080000000000013</v>
      </c>
      <c r="BN3033" s="42"/>
      <c r="BO3033" s="74"/>
      <c r="BP3033" s="77"/>
      <c r="BR3033" s="497">
        <v>55.040000000000006</v>
      </c>
      <c r="BT3033" s="42"/>
    </row>
    <row r="3034" spans="1:72" x14ac:dyDescent="0.25">
      <c r="A3034" s="90">
        <v>36286</v>
      </c>
      <c r="B3034" s="20">
        <v>0.66666666666666663</v>
      </c>
      <c r="D3034">
        <v>60.08</v>
      </c>
      <c r="E3034" t="str">
        <f t="shared" si="130"/>
        <v>WEEKDAY</v>
      </c>
      <c r="F3034" t="e">
        <f t="shared" si="129"/>
        <v>#N/A</v>
      </c>
      <c r="G3034" s="74">
        <v>31903</v>
      </c>
      <c r="H3034" s="77">
        <v>0.66666666666666663</v>
      </c>
      <c r="J3034">
        <v>60.980000000000004</v>
      </c>
      <c r="M3034" s="74">
        <v>34460</v>
      </c>
      <c r="N3034" s="77">
        <v>0.66666666666666663</v>
      </c>
      <c r="P3034">
        <v>52.879999999999995</v>
      </c>
      <c r="S3034" s="74">
        <v>36286</v>
      </c>
      <c r="T3034" s="77">
        <v>0.66666666666666663</v>
      </c>
      <c r="V3034">
        <v>57.019999999999996</v>
      </c>
      <c r="X3034" s="42"/>
      <c r="AB3034">
        <v>62.2</v>
      </c>
      <c r="AC3034">
        <v>57.92</v>
      </c>
      <c r="AE3034" s="74"/>
      <c r="AF3034" s="77"/>
      <c r="AH3034" s="497">
        <v>86</v>
      </c>
      <c r="AJ3034" s="42"/>
      <c r="AK3034" s="74"/>
      <c r="AL3034" s="77"/>
      <c r="AN3034" s="497">
        <v>62.96</v>
      </c>
      <c r="AP3034" s="42"/>
      <c r="AQ3034" s="74"/>
      <c r="AR3034" s="77"/>
      <c r="AT3034" s="497">
        <v>51.08</v>
      </c>
      <c r="AV3034" s="42"/>
      <c r="AW3034" s="74"/>
      <c r="AX3034" s="77"/>
      <c r="BA3034" s="497">
        <v>53.96</v>
      </c>
      <c r="BB3034" s="42"/>
      <c r="BC3034" s="74"/>
      <c r="BD3034" s="77"/>
      <c r="BF3034">
        <v>55.94</v>
      </c>
      <c r="BH3034" s="42"/>
      <c r="BI3034" s="74"/>
      <c r="BJ3034" s="77"/>
      <c r="BL3034" s="497">
        <v>75.92</v>
      </c>
      <c r="BN3034" s="42"/>
      <c r="BO3034" s="74"/>
      <c r="BP3034" s="77"/>
      <c r="BR3034" s="497">
        <v>53.96</v>
      </c>
      <c r="BT3034" s="42"/>
    </row>
    <row r="3035" spans="1:72" x14ac:dyDescent="0.25">
      <c r="A3035" s="90">
        <v>36286</v>
      </c>
      <c r="B3035" s="20">
        <v>0.70833333333333337</v>
      </c>
      <c r="D3035">
        <v>59</v>
      </c>
      <c r="E3035" t="str">
        <f t="shared" si="130"/>
        <v>WEEKDAY</v>
      </c>
      <c r="F3035" t="e">
        <f t="shared" si="129"/>
        <v>#N/A</v>
      </c>
      <c r="G3035" s="74">
        <v>31903</v>
      </c>
      <c r="H3035" s="77">
        <v>0.70833333333333337</v>
      </c>
      <c r="J3035">
        <v>60.08</v>
      </c>
      <c r="M3035" s="74">
        <v>34460</v>
      </c>
      <c r="N3035" s="77">
        <v>0.70833333333333337</v>
      </c>
      <c r="P3035">
        <v>54.86</v>
      </c>
      <c r="S3035" s="74">
        <v>36286</v>
      </c>
      <c r="T3035" s="77">
        <v>0.70833333333333337</v>
      </c>
      <c r="V3035">
        <v>57.019999999999996</v>
      </c>
      <c r="X3035" s="42"/>
      <c r="AB3035">
        <v>61.3</v>
      </c>
      <c r="AC3035">
        <v>55.94</v>
      </c>
      <c r="AE3035" s="74"/>
      <c r="AF3035" s="77"/>
      <c r="AH3035" s="497">
        <v>84.2</v>
      </c>
      <c r="AJ3035" s="42"/>
      <c r="AK3035" s="74"/>
      <c r="AL3035" s="77"/>
      <c r="AN3035" s="497">
        <v>59</v>
      </c>
      <c r="AP3035" s="42"/>
      <c r="AQ3035" s="74"/>
      <c r="AR3035" s="77"/>
      <c r="AT3035" s="497">
        <v>51.08</v>
      </c>
      <c r="AV3035" s="42"/>
      <c r="AW3035" s="74"/>
      <c r="AX3035" s="77"/>
      <c r="BA3035" s="497">
        <v>53.96</v>
      </c>
      <c r="BB3035" s="42"/>
      <c r="BC3035" s="74"/>
      <c r="BD3035" s="77"/>
      <c r="BF3035">
        <v>55.040000000000006</v>
      </c>
      <c r="BH3035" s="42"/>
      <c r="BI3035" s="74"/>
      <c r="BJ3035" s="77"/>
      <c r="BL3035" s="497">
        <v>71.960000000000008</v>
      </c>
      <c r="BN3035" s="42"/>
      <c r="BO3035" s="74"/>
      <c r="BP3035" s="77"/>
      <c r="BR3035" s="497">
        <v>53.06</v>
      </c>
      <c r="BT3035" s="42"/>
    </row>
    <row r="3036" spans="1:72" x14ac:dyDescent="0.25">
      <c r="A3036" s="90">
        <v>36286</v>
      </c>
      <c r="B3036" s="20">
        <v>0.75</v>
      </c>
      <c r="D3036">
        <v>57.92</v>
      </c>
      <c r="E3036" t="str">
        <f t="shared" si="130"/>
        <v>WEEKDAY</v>
      </c>
      <c r="F3036" t="e">
        <f t="shared" si="129"/>
        <v>#N/A</v>
      </c>
      <c r="G3036" s="74">
        <v>31903</v>
      </c>
      <c r="H3036" s="77">
        <v>0.75</v>
      </c>
      <c r="J3036">
        <v>60.980000000000004</v>
      </c>
      <c r="M3036" s="74">
        <v>34460</v>
      </c>
      <c r="N3036" s="77">
        <v>0.75</v>
      </c>
      <c r="P3036">
        <v>52.879999999999995</v>
      </c>
      <c r="S3036" s="74">
        <v>36286</v>
      </c>
      <c r="T3036" s="77">
        <v>0.75</v>
      </c>
      <c r="V3036">
        <v>55.94</v>
      </c>
      <c r="X3036" s="42"/>
      <c r="AB3036">
        <v>60.2</v>
      </c>
      <c r="AC3036">
        <v>53.06</v>
      </c>
      <c r="AE3036" s="74"/>
      <c r="AF3036" s="77"/>
      <c r="AH3036" s="497">
        <v>86</v>
      </c>
      <c r="AJ3036" s="42"/>
      <c r="AK3036" s="74"/>
      <c r="AL3036" s="77"/>
      <c r="AN3036" s="497">
        <v>57.019999999999996</v>
      </c>
      <c r="AP3036" s="42"/>
      <c r="AQ3036" s="74"/>
      <c r="AR3036" s="77"/>
      <c r="AT3036" s="497">
        <v>50</v>
      </c>
      <c r="AV3036" s="42"/>
      <c r="AW3036" s="74"/>
      <c r="AX3036" s="77"/>
      <c r="BA3036" s="497">
        <v>53.96</v>
      </c>
      <c r="BB3036" s="42"/>
      <c r="BC3036" s="74"/>
      <c r="BD3036" s="77"/>
      <c r="BF3036">
        <v>51.980000000000004</v>
      </c>
      <c r="BH3036" s="42"/>
      <c r="BI3036" s="74"/>
      <c r="BJ3036" s="77"/>
      <c r="BL3036" s="497">
        <v>69.98</v>
      </c>
      <c r="BN3036" s="42"/>
      <c r="BO3036" s="74"/>
      <c r="BP3036" s="77"/>
      <c r="BR3036" s="497">
        <v>51.980000000000004</v>
      </c>
      <c r="BT3036" s="42"/>
    </row>
    <row r="3037" spans="1:72" x14ac:dyDescent="0.25">
      <c r="A3037" s="90">
        <v>36286</v>
      </c>
      <c r="B3037" s="20">
        <v>0.79166666666666663</v>
      </c>
      <c r="D3037">
        <v>55.94</v>
      </c>
      <c r="E3037" t="str">
        <f t="shared" si="130"/>
        <v>WEEKDAY</v>
      </c>
      <c r="F3037" t="e">
        <f t="shared" si="129"/>
        <v>#N/A</v>
      </c>
      <c r="G3037" s="74">
        <v>31903</v>
      </c>
      <c r="H3037" s="77">
        <v>0.79166666666666663</v>
      </c>
      <c r="J3037">
        <v>57.019999999999996</v>
      </c>
      <c r="M3037" s="74">
        <v>34460</v>
      </c>
      <c r="N3037" s="77">
        <v>0.79166666666666663</v>
      </c>
      <c r="P3037">
        <v>50</v>
      </c>
      <c r="S3037" s="74">
        <v>36286</v>
      </c>
      <c r="T3037" s="77">
        <v>0.79166666666666663</v>
      </c>
      <c r="V3037">
        <v>53.96</v>
      </c>
      <c r="X3037" s="42"/>
      <c r="AB3037">
        <v>58.7</v>
      </c>
      <c r="AC3037">
        <v>50</v>
      </c>
      <c r="AE3037" s="74"/>
      <c r="AF3037" s="77"/>
      <c r="AH3037" s="497">
        <v>75.2</v>
      </c>
      <c r="AJ3037" s="42"/>
      <c r="AK3037" s="74"/>
      <c r="AL3037" s="77"/>
      <c r="AN3037" s="497">
        <v>55.94</v>
      </c>
      <c r="AP3037" s="42"/>
      <c r="AQ3037" s="74"/>
      <c r="AR3037" s="77"/>
      <c r="AT3037" s="497">
        <v>50</v>
      </c>
      <c r="AV3037" s="42"/>
      <c r="AW3037" s="74"/>
      <c r="AX3037" s="77"/>
      <c r="BA3037" s="497">
        <v>55.040000000000006</v>
      </c>
      <c r="BB3037" s="42"/>
      <c r="BC3037" s="74"/>
      <c r="BD3037" s="77"/>
      <c r="BF3037">
        <v>51.08</v>
      </c>
      <c r="BH3037" s="42"/>
      <c r="BI3037" s="74"/>
      <c r="BJ3037" s="77"/>
      <c r="BL3037" s="497">
        <v>69.080000000000013</v>
      </c>
      <c r="BN3037" s="42"/>
      <c r="BO3037" s="74"/>
      <c r="BP3037" s="77"/>
      <c r="BR3037" s="497">
        <v>48.019999999999996</v>
      </c>
      <c r="BT3037" s="42"/>
    </row>
    <row r="3038" spans="1:72" x14ac:dyDescent="0.25">
      <c r="A3038" s="90">
        <v>36286</v>
      </c>
      <c r="B3038" s="20">
        <v>0.83333333333333337</v>
      </c>
      <c r="D3038">
        <v>53.96</v>
      </c>
      <c r="E3038" t="str">
        <f t="shared" si="130"/>
        <v>WEEKDAY</v>
      </c>
      <c r="F3038" t="e">
        <f t="shared" si="129"/>
        <v>#N/A</v>
      </c>
      <c r="G3038" s="74">
        <v>31903</v>
      </c>
      <c r="H3038" s="77">
        <v>0.83333333333333337</v>
      </c>
      <c r="J3038">
        <v>55.94</v>
      </c>
      <c r="M3038" s="74">
        <v>34460</v>
      </c>
      <c r="N3038" s="77">
        <v>0.83333333333333337</v>
      </c>
      <c r="P3038">
        <v>47.84</v>
      </c>
      <c r="S3038" s="74">
        <v>36286</v>
      </c>
      <c r="T3038" s="77">
        <v>0.83333333333333337</v>
      </c>
      <c r="V3038">
        <v>55.040000000000006</v>
      </c>
      <c r="X3038" s="42"/>
      <c r="AB3038">
        <v>57.2</v>
      </c>
      <c r="AC3038">
        <v>48.019999999999996</v>
      </c>
      <c r="AE3038" s="74"/>
      <c r="AF3038" s="77"/>
      <c r="AH3038" s="497">
        <v>71.599999999999994</v>
      </c>
      <c r="AJ3038" s="42"/>
      <c r="AK3038" s="74"/>
      <c r="AL3038" s="77"/>
      <c r="AN3038" s="497">
        <v>55.94</v>
      </c>
      <c r="AP3038" s="42"/>
      <c r="AQ3038" s="74"/>
      <c r="AR3038" s="77"/>
      <c r="AT3038" s="497">
        <v>50</v>
      </c>
      <c r="AV3038" s="42"/>
      <c r="AW3038" s="74"/>
      <c r="AX3038" s="77"/>
      <c r="BA3038" s="497">
        <v>55.040000000000006</v>
      </c>
      <c r="BB3038" s="42"/>
      <c r="BC3038" s="74"/>
      <c r="BD3038" s="77"/>
      <c r="BF3038">
        <v>48.019999999999996</v>
      </c>
      <c r="BH3038" s="42"/>
      <c r="BI3038" s="74"/>
      <c r="BJ3038" s="77"/>
      <c r="BL3038" s="497">
        <v>66.02</v>
      </c>
      <c r="BN3038" s="42"/>
      <c r="BO3038" s="74"/>
      <c r="BP3038" s="77"/>
      <c r="BR3038" s="497">
        <v>44.06</v>
      </c>
      <c r="BT3038" s="42"/>
    </row>
    <row r="3039" spans="1:72" x14ac:dyDescent="0.25">
      <c r="A3039" s="90">
        <v>36286</v>
      </c>
      <c r="B3039" s="20">
        <v>0.875</v>
      </c>
      <c r="D3039">
        <v>53.06</v>
      </c>
      <c r="E3039" t="str">
        <f t="shared" si="130"/>
        <v>WEEKDAY</v>
      </c>
      <c r="F3039" t="e">
        <f t="shared" si="129"/>
        <v>#N/A</v>
      </c>
      <c r="G3039" s="74">
        <v>31903</v>
      </c>
      <c r="H3039" s="77">
        <v>0.875</v>
      </c>
      <c r="J3039">
        <v>55.040000000000006</v>
      </c>
      <c r="M3039" s="74">
        <v>34460</v>
      </c>
      <c r="N3039" s="77">
        <v>0.875</v>
      </c>
      <c r="P3039">
        <v>47.84</v>
      </c>
      <c r="S3039" s="74">
        <v>36286</v>
      </c>
      <c r="T3039" s="77">
        <v>0.875</v>
      </c>
      <c r="V3039">
        <v>55.040000000000006</v>
      </c>
      <c r="X3039" s="42"/>
      <c r="AB3039">
        <v>56.3</v>
      </c>
      <c r="AC3039">
        <v>44.96</v>
      </c>
      <c r="AE3039" s="74"/>
      <c r="AF3039" s="77"/>
      <c r="AH3039" s="497">
        <v>66.2</v>
      </c>
      <c r="AJ3039" s="42"/>
      <c r="AK3039" s="74"/>
      <c r="AL3039" s="77"/>
      <c r="AN3039" s="497">
        <v>55.040000000000006</v>
      </c>
      <c r="AP3039" s="42"/>
      <c r="AQ3039" s="74"/>
      <c r="AR3039" s="77"/>
      <c r="AT3039" s="497">
        <v>51.08</v>
      </c>
      <c r="AV3039" s="42"/>
      <c r="AW3039" s="74"/>
      <c r="AX3039" s="77"/>
      <c r="BA3039" s="497">
        <v>55.040000000000006</v>
      </c>
      <c r="BB3039" s="42"/>
      <c r="BC3039" s="74"/>
      <c r="BD3039" s="77"/>
      <c r="BF3039">
        <v>46.04</v>
      </c>
      <c r="BH3039" s="42"/>
      <c r="BI3039" s="74"/>
      <c r="BJ3039" s="77"/>
      <c r="BL3039" s="497">
        <v>64.94</v>
      </c>
      <c r="BN3039" s="42"/>
      <c r="BO3039" s="74"/>
      <c r="BP3039" s="77"/>
      <c r="BR3039" s="497">
        <v>42.08</v>
      </c>
      <c r="BT3039" s="42"/>
    </row>
    <row r="3040" spans="1:72" x14ac:dyDescent="0.25">
      <c r="A3040" s="90">
        <v>36286</v>
      </c>
      <c r="B3040" s="20">
        <v>0.91666666666666663</v>
      </c>
      <c r="D3040">
        <v>51.980000000000004</v>
      </c>
      <c r="E3040" t="str">
        <f t="shared" si="130"/>
        <v>WEEKDAY</v>
      </c>
      <c r="F3040" t="e">
        <f t="shared" si="129"/>
        <v>#N/A</v>
      </c>
      <c r="G3040" s="74">
        <v>31903</v>
      </c>
      <c r="H3040" s="77">
        <v>0.91666666666666663</v>
      </c>
      <c r="J3040">
        <v>53.96</v>
      </c>
      <c r="M3040" s="74">
        <v>34460</v>
      </c>
      <c r="N3040" s="77">
        <v>0.91666666666666663</v>
      </c>
      <c r="P3040">
        <v>46.94</v>
      </c>
      <c r="S3040" s="74">
        <v>36286</v>
      </c>
      <c r="T3040" s="77">
        <v>0.91666666666666663</v>
      </c>
      <c r="V3040">
        <v>53.96</v>
      </c>
      <c r="X3040" s="42"/>
      <c r="AB3040">
        <v>55.7</v>
      </c>
      <c r="AC3040">
        <v>42.980000000000004</v>
      </c>
      <c r="AE3040" s="74"/>
      <c r="AF3040" s="77"/>
      <c r="AH3040" s="497">
        <v>62.6</v>
      </c>
      <c r="AJ3040" s="42"/>
      <c r="AK3040" s="74"/>
      <c r="AL3040" s="77"/>
      <c r="AN3040" s="497">
        <v>55.040000000000006</v>
      </c>
      <c r="AP3040" s="42"/>
      <c r="AQ3040" s="74"/>
      <c r="AR3040" s="77"/>
      <c r="AT3040" s="497">
        <v>51.980000000000004</v>
      </c>
      <c r="AV3040" s="42"/>
      <c r="AW3040" s="74"/>
      <c r="AX3040" s="77"/>
      <c r="BA3040" s="497">
        <v>53.96</v>
      </c>
      <c r="BB3040" s="42"/>
      <c r="BC3040" s="74"/>
      <c r="BD3040" s="77"/>
      <c r="BF3040">
        <v>44.06</v>
      </c>
      <c r="BH3040" s="42"/>
      <c r="BI3040" s="74"/>
      <c r="BJ3040" s="77"/>
      <c r="BL3040" s="497">
        <v>66.02</v>
      </c>
      <c r="BN3040" s="42"/>
      <c r="BO3040" s="74"/>
      <c r="BP3040" s="77"/>
      <c r="BR3040" s="497">
        <v>39.92</v>
      </c>
      <c r="BT3040" s="42"/>
    </row>
    <row r="3041" spans="1:72" x14ac:dyDescent="0.25">
      <c r="A3041" s="90">
        <v>36286</v>
      </c>
      <c r="B3041" s="20">
        <v>0.95833333333333337</v>
      </c>
      <c r="D3041">
        <v>51.08</v>
      </c>
      <c r="E3041" t="str">
        <f t="shared" si="130"/>
        <v>WEEKDAY</v>
      </c>
      <c r="F3041" t="e">
        <f t="shared" si="129"/>
        <v>#N/A</v>
      </c>
      <c r="G3041" s="74">
        <v>31903</v>
      </c>
      <c r="H3041" s="77">
        <v>0.95833333333333337</v>
      </c>
      <c r="J3041">
        <v>51.08</v>
      </c>
      <c r="M3041" s="74">
        <v>34460</v>
      </c>
      <c r="N3041" s="77">
        <v>0.95833333333333337</v>
      </c>
      <c r="P3041">
        <v>46.94</v>
      </c>
      <c r="S3041" s="74">
        <v>36286</v>
      </c>
      <c r="T3041" s="77">
        <v>0.95833333333333337</v>
      </c>
      <c r="V3041">
        <v>53.96</v>
      </c>
      <c r="X3041" s="42"/>
      <c r="AB3041">
        <v>55.1</v>
      </c>
      <c r="AC3041">
        <v>41</v>
      </c>
      <c r="AE3041" s="74"/>
      <c r="AF3041" s="77"/>
      <c r="AH3041" s="497">
        <v>60.8</v>
      </c>
      <c r="AJ3041" s="42"/>
      <c r="AK3041" s="74"/>
      <c r="AL3041" s="77"/>
      <c r="AN3041" s="497">
        <v>55.040000000000006</v>
      </c>
      <c r="AP3041" s="42"/>
      <c r="AQ3041" s="74"/>
      <c r="AR3041" s="77"/>
      <c r="AT3041" s="497">
        <v>53.06</v>
      </c>
      <c r="AV3041" s="42"/>
      <c r="AW3041" s="74"/>
      <c r="AX3041" s="77"/>
      <c r="BA3041" s="497">
        <v>55.040000000000006</v>
      </c>
      <c r="BB3041" s="42"/>
      <c r="BC3041" s="74"/>
      <c r="BD3041" s="77"/>
      <c r="BF3041">
        <v>42.980000000000004</v>
      </c>
      <c r="BH3041" s="42"/>
      <c r="BI3041" s="74"/>
      <c r="BJ3041" s="77"/>
      <c r="BL3041" s="497">
        <v>66.02</v>
      </c>
      <c r="BN3041" s="42"/>
      <c r="BO3041" s="74"/>
      <c r="BP3041" s="77"/>
      <c r="BR3041" s="497">
        <v>41</v>
      </c>
      <c r="BT3041" s="42"/>
    </row>
    <row r="3042" spans="1:72" x14ac:dyDescent="0.25">
      <c r="A3042" s="90">
        <v>36286</v>
      </c>
      <c r="B3042" s="20">
        <v>1</v>
      </c>
      <c r="D3042">
        <v>51.08</v>
      </c>
      <c r="E3042" t="str">
        <f t="shared" si="130"/>
        <v>WEEKDAY</v>
      </c>
      <c r="F3042" t="e">
        <f t="shared" si="129"/>
        <v>#N/A</v>
      </c>
      <c r="G3042" s="74">
        <v>31903</v>
      </c>
      <c r="H3042" s="77">
        <v>1</v>
      </c>
      <c r="J3042">
        <v>50</v>
      </c>
      <c r="M3042" s="74">
        <v>34460</v>
      </c>
      <c r="N3042" s="80">
        <v>1</v>
      </c>
      <c r="P3042">
        <v>46.94</v>
      </c>
      <c r="S3042" s="74">
        <v>36286</v>
      </c>
      <c r="T3042" s="80">
        <v>1</v>
      </c>
      <c r="V3042">
        <v>53.06</v>
      </c>
      <c r="X3042" s="42"/>
      <c r="AB3042">
        <v>54.7</v>
      </c>
      <c r="AC3042">
        <v>39.92</v>
      </c>
      <c r="AE3042" s="74"/>
      <c r="AF3042" s="80"/>
      <c r="AH3042" s="497">
        <v>60.8</v>
      </c>
      <c r="AJ3042" s="42"/>
      <c r="AK3042" s="74"/>
      <c r="AL3042" s="80"/>
      <c r="AN3042" s="497">
        <v>55.040000000000006</v>
      </c>
      <c r="AP3042" s="42"/>
      <c r="AQ3042" s="74"/>
      <c r="AR3042" s="80"/>
      <c r="AT3042" s="497">
        <v>53.96</v>
      </c>
      <c r="AV3042" s="42"/>
      <c r="AW3042" s="74"/>
      <c r="AX3042" s="80"/>
      <c r="BA3042" s="497">
        <v>53.96</v>
      </c>
      <c r="BB3042" s="42"/>
      <c r="BC3042" s="74"/>
      <c r="BD3042" s="80"/>
      <c r="BF3042">
        <v>44.06</v>
      </c>
      <c r="BH3042" s="42"/>
      <c r="BI3042" s="74"/>
      <c r="BJ3042" s="80"/>
      <c r="BL3042" s="497">
        <v>66.02</v>
      </c>
      <c r="BN3042" s="42"/>
      <c r="BO3042" s="74"/>
      <c r="BP3042" s="80"/>
      <c r="BR3042" s="497">
        <v>37.04</v>
      </c>
      <c r="BT3042" s="42"/>
    </row>
    <row r="3043" spans="1:72" x14ac:dyDescent="0.25">
      <c r="A3043" s="90">
        <v>36287</v>
      </c>
      <c r="B3043" s="20">
        <v>4.1666666666666664E-2</v>
      </c>
      <c r="D3043">
        <v>51.08</v>
      </c>
      <c r="E3043" t="str">
        <f t="shared" si="130"/>
        <v>WEEKDAY</v>
      </c>
      <c r="F3043" t="e">
        <f t="shared" si="129"/>
        <v>#N/A</v>
      </c>
      <c r="G3043" s="74">
        <v>31904</v>
      </c>
      <c r="H3043" s="77">
        <v>4.1666666666666664E-2</v>
      </c>
      <c r="J3043">
        <v>48.92</v>
      </c>
      <c r="M3043" s="74">
        <v>34461</v>
      </c>
      <c r="N3043" s="77">
        <v>4.1666666666666664E-2</v>
      </c>
      <c r="P3043">
        <v>45.86</v>
      </c>
      <c r="S3043" s="74">
        <v>36287</v>
      </c>
      <c r="T3043" s="77">
        <v>4.1666666666666664E-2</v>
      </c>
      <c r="V3043">
        <v>53.06</v>
      </c>
      <c r="X3043" s="42"/>
      <c r="AB3043">
        <v>54.2</v>
      </c>
      <c r="AC3043">
        <v>37.94</v>
      </c>
      <c r="AE3043" s="74"/>
      <c r="AF3043" s="77"/>
      <c r="AH3043" s="497">
        <v>60.8</v>
      </c>
      <c r="AJ3043" s="42"/>
      <c r="AK3043" s="74"/>
      <c r="AL3043" s="77"/>
      <c r="AN3043" s="497">
        <v>53.06</v>
      </c>
      <c r="AP3043" s="42"/>
      <c r="AQ3043" s="74"/>
      <c r="AR3043" s="77"/>
      <c r="AT3043" s="497">
        <v>55.040000000000006</v>
      </c>
      <c r="AV3043" s="42"/>
      <c r="AW3043" s="74"/>
      <c r="AX3043" s="77"/>
      <c r="BA3043" s="497">
        <v>50</v>
      </c>
      <c r="BB3043" s="42"/>
      <c r="BC3043" s="74"/>
      <c r="BD3043" s="77"/>
      <c r="BF3043">
        <v>42.980000000000004</v>
      </c>
      <c r="BH3043" s="42"/>
      <c r="BI3043" s="74"/>
      <c r="BJ3043" s="77"/>
      <c r="BL3043" s="497">
        <v>66.02</v>
      </c>
      <c r="BN3043" s="42"/>
      <c r="BO3043" s="74"/>
      <c r="BP3043" s="77"/>
      <c r="BR3043" s="497">
        <v>33.08</v>
      </c>
      <c r="BT3043" s="42"/>
    </row>
    <row r="3044" spans="1:72" x14ac:dyDescent="0.25">
      <c r="A3044" s="90">
        <v>36287</v>
      </c>
      <c r="B3044" s="20">
        <v>8.3333333333333329E-2</v>
      </c>
      <c r="D3044">
        <v>50</v>
      </c>
      <c r="E3044" t="str">
        <f t="shared" si="130"/>
        <v>WEEKDAY</v>
      </c>
      <c r="F3044" t="e">
        <f t="shared" si="129"/>
        <v>#N/A</v>
      </c>
      <c r="G3044" s="74">
        <v>31904</v>
      </c>
      <c r="H3044" s="77">
        <v>8.3333333333333329E-2</v>
      </c>
      <c r="J3044">
        <v>48.92</v>
      </c>
      <c r="M3044" s="74">
        <v>34461</v>
      </c>
      <c r="N3044" s="77">
        <v>8.3333333333333329E-2</v>
      </c>
      <c r="P3044">
        <v>44.96</v>
      </c>
      <c r="S3044" s="74">
        <v>36287</v>
      </c>
      <c r="T3044" s="77">
        <v>8.3333333333333329E-2</v>
      </c>
      <c r="V3044">
        <v>53.06</v>
      </c>
      <c r="X3044" s="42"/>
      <c r="AB3044">
        <v>53.7</v>
      </c>
      <c r="AC3044">
        <v>37.04</v>
      </c>
      <c r="AE3044" s="74"/>
      <c r="AF3044" s="77"/>
      <c r="AH3044" s="497">
        <v>57.2</v>
      </c>
      <c r="AJ3044" s="42"/>
      <c r="AK3044" s="74"/>
      <c r="AL3044" s="77"/>
      <c r="AN3044" s="497">
        <v>51.980000000000004</v>
      </c>
      <c r="AP3044" s="42"/>
      <c r="AQ3044" s="74"/>
      <c r="AR3044" s="77"/>
      <c r="AT3044" s="497">
        <v>55.040000000000006</v>
      </c>
      <c r="AV3044" s="42"/>
      <c r="AW3044" s="74"/>
      <c r="AX3044" s="77"/>
      <c r="BA3044" s="497">
        <v>48.92</v>
      </c>
      <c r="BB3044" s="42"/>
      <c r="BC3044" s="74"/>
      <c r="BD3044" s="77"/>
      <c r="BF3044">
        <v>42.08</v>
      </c>
      <c r="BH3044" s="42"/>
      <c r="BI3044" s="74"/>
      <c r="BJ3044" s="77"/>
      <c r="BL3044" s="497">
        <v>64.94</v>
      </c>
      <c r="BN3044" s="42"/>
      <c r="BO3044" s="74"/>
      <c r="BP3044" s="77"/>
      <c r="BR3044" s="497">
        <v>35.96</v>
      </c>
      <c r="BT3044" s="42"/>
    </row>
    <row r="3045" spans="1:72" x14ac:dyDescent="0.25">
      <c r="A3045" s="90">
        <v>36287</v>
      </c>
      <c r="B3045" s="20">
        <v>0.125</v>
      </c>
      <c r="D3045">
        <v>51.08</v>
      </c>
      <c r="E3045" t="str">
        <f t="shared" si="130"/>
        <v>WEEKDAY</v>
      </c>
      <c r="F3045" t="e">
        <f t="shared" si="129"/>
        <v>#N/A</v>
      </c>
      <c r="G3045" s="74">
        <v>31904</v>
      </c>
      <c r="H3045" s="77">
        <v>0.125</v>
      </c>
      <c r="J3045">
        <v>48.92</v>
      </c>
      <c r="M3045" s="74">
        <v>34461</v>
      </c>
      <c r="N3045" s="77">
        <v>0.125</v>
      </c>
      <c r="P3045">
        <v>44.96</v>
      </c>
      <c r="S3045" s="74">
        <v>36287</v>
      </c>
      <c r="T3045" s="77">
        <v>0.125</v>
      </c>
      <c r="V3045">
        <v>53.06</v>
      </c>
      <c r="X3045" s="42"/>
      <c r="AB3045">
        <v>53.3</v>
      </c>
      <c r="AC3045">
        <v>35.96</v>
      </c>
      <c r="AE3045" s="74"/>
      <c r="AF3045" s="77"/>
      <c r="AH3045" s="497">
        <v>55.400000000000006</v>
      </c>
      <c r="AJ3045" s="42"/>
      <c r="AK3045" s="74"/>
      <c r="AL3045" s="77"/>
      <c r="AN3045" s="497">
        <v>51.980000000000004</v>
      </c>
      <c r="AP3045" s="42"/>
      <c r="AQ3045" s="74"/>
      <c r="AR3045" s="77"/>
      <c r="AT3045" s="497">
        <v>55.040000000000006</v>
      </c>
      <c r="AV3045" s="42"/>
      <c r="AW3045" s="74"/>
      <c r="AX3045" s="77"/>
      <c r="BA3045" s="497">
        <v>48.92</v>
      </c>
      <c r="BB3045" s="42"/>
      <c r="BC3045" s="74"/>
      <c r="BD3045" s="77"/>
      <c r="BF3045">
        <v>41</v>
      </c>
      <c r="BH3045" s="42"/>
      <c r="BI3045" s="74"/>
      <c r="BJ3045" s="77"/>
      <c r="BL3045" s="497">
        <v>64.94</v>
      </c>
      <c r="BN3045" s="42"/>
      <c r="BO3045" s="74"/>
      <c r="BP3045" s="77"/>
      <c r="BR3045" s="497">
        <v>33.979999999999997</v>
      </c>
      <c r="BT3045" s="42"/>
    </row>
    <row r="3046" spans="1:72" x14ac:dyDescent="0.25">
      <c r="A3046" s="90">
        <v>36287</v>
      </c>
      <c r="B3046" s="20">
        <v>0.16666666666666666</v>
      </c>
      <c r="D3046">
        <v>50</v>
      </c>
      <c r="E3046" t="str">
        <f t="shared" si="130"/>
        <v>WEEKDAY</v>
      </c>
      <c r="F3046" t="e">
        <f t="shared" si="129"/>
        <v>#N/A</v>
      </c>
      <c r="G3046" s="74">
        <v>31904</v>
      </c>
      <c r="H3046" s="77">
        <v>0.16666666666666666</v>
      </c>
      <c r="J3046">
        <v>48.92</v>
      </c>
      <c r="M3046" s="74">
        <v>34461</v>
      </c>
      <c r="N3046" s="77">
        <v>0.16666666666666666</v>
      </c>
      <c r="P3046">
        <v>44.96</v>
      </c>
      <c r="S3046" s="74">
        <v>36287</v>
      </c>
      <c r="T3046" s="77">
        <v>0.16666666666666666</v>
      </c>
      <c r="V3046">
        <v>53.96</v>
      </c>
      <c r="X3046" s="42"/>
      <c r="AB3046">
        <v>52.9</v>
      </c>
      <c r="AC3046">
        <v>37.04</v>
      </c>
      <c r="AE3046" s="74"/>
      <c r="AF3046" s="77"/>
      <c r="AH3046" s="497">
        <v>55.400000000000006</v>
      </c>
      <c r="AJ3046" s="42"/>
      <c r="AK3046" s="74"/>
      <c r="AL3046" s="77"/>
      <c r="AN3046" s="497">
        <v>51.08</v>
      </c>
      <c r="AP3046" s="42"/>
      <c r="AQ3046" s="74"/>
      <c r="AR3046" s="77"/>
      <c r="AT3046" s="497">
        <v>55.040000000000006</v>
      </c>
      <c r="AV3046" s="42"/>
      <c r="AW3046" s="74"/>
      <c r="AX3046" s="77"/>
      <c r="BA3046" s="497">
        <v>48.019999999999996</v>
      </c>
      <c r="BB3046" s="42"/>
      <c r="BC3046" s="74"/>
      <c r="BD3046" s="77"/>
      <c r="BF3046">
        <v>39.92</v>
      </c>
      <c r="BH3046" s="42"/>
      <c r="BI3046" s="74"/>
      <c r="BJ3046" s="77"/>
      <c r="BL3046" s="497">
        <v>62.96</v>
      </c>
      <c r="BN3046" s="42"/>
      <c r="BO3046" s="74"/>
      <c r="BP3046" s="77"/>
      <c r="BR3046" s="497">
        <v>35.06</v>
      </c>
      <c r="BT3046" s="42"/>
    </row>
    <row r="3047" spans="1:72" x14ac:dyDescent="0.25">
      <c r="A3047" s="90">
        <v>36287</v>
      </c>
      <c r="B3047" s="20">
        <v>0.20833333333333334</v>
      </c>
      <c r="D3047">
        <v>48.92</v>
      </c>
      <c r="E3047" t="str">
        <f t="shared" si="130"/>
        <v>WEEKDAY</v>
      </c>
      <c r="F3047" t="e">
        <f t="shared" si="129"/>
        <v>#N/A</v>
      </c>
      <c r="G3047" s="74">
        <v>31904</v>
      </c>
      <c r="H3047" s="77">
        <v>0.20833333333333334</v>
      </c>
      <c r="J3047">
        <v>48.92</v>
      </c>
      <c r="M3047" s="74">
        <v>34461</v>
      </c>
      <c r="N3047" s="77">
        <v>0.20833333333333334</v>
      </c>
      <c r="P3047">
        <v>44.96</v>
      </c>
      <c r="S3047" s="74">
        <v>36287</v>
      </c>
      <c r="T3047" s="77">
        <v>0.20833333333333334</v>
      </c>
      <c r="V3047">
        <v>55.040000000000006</v>
      </c>
      <c r="X3047" s="42"/>
      <c r="AB3047">
        <v>52.4</v>
      </c>
      <c r="AC3047">
        <v>35.96</v>
      </c>
      <c r="AE3047" s="74"/>
      <c r="AF3047" s="77"/>
      <c r="AH3047" s="497">
        <v>53.6</v>
      </c>
      <c r="AJ3047" s="42"/>
      <c r="AK3047" s="74"/>
      <c r="AL3047" s="77"/>
      <c r="AN3047" s="497">
        <v>51.08</v>
      </c>
      <c r="AP3047" s="42"/>
      <c r="AQ3047" s="74"/>
      <c r="AR3047" s="77"/>
      <c r="AT3047" s="497">
        <v>53.06</v>
      </c>
      <c r="AV3047" s="42"/>
      <c r="AW3047" s="74"/>
      <c r="AX3047" s="77"/>
      <c r="BA3047" s="497">
        <v>46.94</v>
      </c>
      <c r="BB3047" s="42"/>
      <c r="BC3047" s="74"/>
      <c r="BD3047" s="77"/>
      <c r="BF3047">
        <v>39.019999999999996</v>
      </c>
      <c r="BH3047" s="42"/>
      <c r="BI3047" s="74"/>
      <c r="BJ3047" s="77"/>
      <c r="BL3047" s="497">
        <v>62.96</v>
      </c>
      <c r="BN3047" s="42"/>
      <c r="BO3047" s="74"/>
      <c r="BP3047" s="77"/>
      <c r="BR3047" s="497">
        <v>33.979999999999997</v>
      </c>
      <c r="BT3047" s="42"/>
    </row>
    <row r="3048" spans="1:72" x14ac:dyDescent="0.25">
      <c r="A3048" s="90">
        <v>36287</v>
      </c>
      <c r="B3048" s="20">
        <v>0.25</v>
      </c>
      <c r="D3048">
        <v>50</v>
      </c>
      <c r="E3048" t="str">
        <f t="shared" si="130"/>
        <v>WEEKDAY</v>
      </c>
      <c r="F3048" t="e">
        <f t="shared" si="129"/>
        <v>#N/A</v>
      </c>
      <c r="G3048" s="74">
        <v>31904</v>
      </c>
      <c r="H3048" s="77">
        <v>0.25</v>
      </c>
      <c r="J3048">
        <v>53.06</v>
      </c>
      <c r="M3048" s="74">
        <v>34461</v>
      </c>
      <c r="N3048" s="77">
        <v>0.25</v>
      </c>
      <c r="P3048">
        <v>45.86</v>
      </c>
      <c r="S3048" s="74">
        <v>36287</v>
      </c>
      <c r="T3048" s="77">
        <v>0.25</v>
      </c>
      <c r="V3048">
        <v>55.040000000000006</v>
      </c>
      <c r="X3048" s="42"/>
      <c r="AB3048">
        <v>52.3</v>
      </c>
      <c r="AC3048">
        <v>42.08</v>
      </c>
      <c r="AE3048" s="74"/>
      <c r="AF3048" s="77"/>
      <c r="AH3048" s="497">
        <v>55.400000000000006</v>
      </c>
      <c r="AJ3048" s="42"/>
      <c r="AK3048" s="74"/>
      <c r="AL3048" s="77"/>
      <c r="AN3048" s="497">
        <v>50</v>
      </c>
      <c r="AP3048" s="42"/>
      <c r="AQ3048" s="74"/>
      <c r="AR3048" s="77"/>
      <c r="AT3048" s="497">
        <v>51.980000000000004</v>
      </c>
      <c r="AV3048" s="42"/>
      <c r="AW3048" s="74"/>
      <c r="AX3048" s="77"/>
      <c r="BA3048" s="497">
        <v>46.94</v>
      </c>
      <c r="BB3048" s="42"/>
      <c r="BC3048" s="74"/>
      <c r="BD3048" s="77"/>
      <c r="BF3048">
        <v>39.92</v>
      </c>
      <c r="BH3048" s="42"/>
      <c r="BI3048" s="74"/>
      <c r="BJ3048" s="77"/>
      <c r="BL3048" s="497">
        <v>62.96</v>
      </c>
      <c r="BN3048" s="42"/>
      <c r="BO3048" s="74"/>
      <c r="BP3048" s="77"/>
      <c r="BR3048" s="497">
        <v>33.979999999999997</v>
      </c>
      <c r="BT3048" s="42"/>
    </row>
    <row r="3049" spans="1:72" x14ac:dyDescent="0.25">
      <c r="A3049" s="90">
        <v>36287</v>
      </c>
      <c r="B3049" s="20">
        <v>0.29166666666666669</v>
      </c>
      <c r="D3049">
        <v>53.06</v>
      </c>
      <c r="E3049" t="str">
        <f t="shared" si="130"/>
        <v>WEEKDAY</v>
      </c>
      <c r="F3049" t="e">
        <f t="shared" si="129"/>
        <v>#N/A</v>
      </c>
      <c r="G3049" s="74">
        <v>31904</v>
      </c>
      <c r="H3049" s="77">
        <v>0.29166666666666669</v>
      </c>
      <c r="J3049">
        <v>57.92</v>
      </c>
      <c r="M3049" s="74">
        <v>34461</v>
      </c>
      <c r="N3049" s="77">
        <v>0.29166666666666669</v>
      </c>
      <c r="P3049">
        <v>50</v>
      </c>
      <c r="S3049" s="74">
        <v>36287</v>
      </c>
      <c r="T3049" s="77">
        <v>0.29166666666666669</v>
      </c>
      <c r="V3049">
        <v>55.040000000000006</v>
      </c>
      <c r="X3049" s="42"/>
      <c r="AB3049">
        <v>53.3</v>
      </c>
      <c r="AC3049">
        <v>46.04</v>
      </c>
      <c r="AE3049" s="74"/>
      <c r="AF3049" s="77"/>
      <c r="AH3049" s="497">
        <v>64.400000000000006</v>
      </c>
      <c r="AJ3049" s="42"/>
      <c r="AK3049" s="74"/>
      <c r="AL3049" s="77"/>
      <c r="AN3049" s="497">
        <v>51.980000000000004</v>
      </c>
      <c r="AP3049" s="42"/>
      <c r="AQ3049" s="74"/>
      <c r="AR3049" s="77"/>
      <c r="AT3049" s="497">
        <v>51.980000000000004</v>
      </c>
      <c r="AV3049" s="42"/>
      <c r="AW3049" s="74"/>
      <c r="AX3049" s="77"/>
      <c r="BA3049" s="497">
        <v>48.92</v>
      </c>
      <c r="BB3049" s="42"/>
      <c r="BC3049" s="74"/>
      <c r="BD3049" s="77"/>
      <c r="BF3049">
        <v>44.06</v>
      </c>
      <c r="BH3049" s="42"/>
      <c r="BI3049" s="74"/>
      <c r="BJ3049" s="77"/>
      <c r="BL3049" s="497">
        <v>66.02</v>
      </c>
      <c r="BN3049" s="42"/>
      <c r="BO3049" s="74"/>
      <c r="BP3049" s="77"/>
      <c r="BR3049" s="497">
        <v>35.96</v>
      </c>
      <c r="BT3049" s="42"/>
    </row>
    <row r="3050" spans="1:72" x14ac:dyDescent="0.25">
      <c r="A3050" s="90">
        <v>36287</v>
      </c>
      <c r="B3050" s="20">
        <v>0.33333333333333331</v>
      </c>
      <c r="D3050">
        <v>57.019999999999996</v>
      </c>
      <c r="E3050" t="str">
        <f t="shared" si="130"/>
        <v>WEEKDAY</v>
      </c>
      <c r="F3050" t="e">
        <f t="shared" si="129"/>
        <v>#N/A</v>
      </c>
      <c r="G3050" s="74">
        <v>31904</v>
      </c>
      <c r="H3050" s="77">
        <v>0.33333333333333331</v>
      </c>
      <c r="J3050">
        <v>64.039999999999992</v>
      </c>
      <c r="M3050" s="74">
        <v>34461</v>
      </c>
      <c r="N3050" s="77">
        <v>0.33333333333333331</v>
      </c>
      <c r="P3050">
        <v>54.86</v>
      </c>
      <c r="S3050" s="74">
        <v>36287</v>
      </c>
      <c r="T3050" s="77">
        <v>0.33333333333333331</v>
      </c>
      <c r="V3050">
        <v>55.040000000000006</v>
      </c>
      <c r="X3050" s="42"/>
      <c r="AB3050">
        <v>55.2</v>
      </c>
      <c r="AC3050">
        <v>48.019999999999996</v>
      </c>
      <c r="AE3050" s="74"/>
      <c r="AF3050" s="77"/>
      <c r="AH3050" s="497">
        <v>73.400000000000006</v>
      </c>
      <c r="AJ3050" s="42"/>
      <c r="AK3050" s="74"/>
      <c r="AL3050" s="77"/>
      <c r="AN3050" s="497">
        <v>55.040000000000006</v>
      </c>
      <c r="AP3050" s="42"/>
      <c r="AQ3050" s="74"/>
      <c r="AR3050" s="77"/>
      <c r="AT3050" s="497">
        <v>53.06</v>
      </c>
      <c r="AV3050" s="42"/>
      <c r="AW3050" s="74"/>
      <c r="AX3050" s="77"/>
      <c r="BA3050" s="497">
        <v>50</v>
      </c>
      <c r="BB3050" s="42"/>
      <c r="BC3050" s="74"/>
      <c r="BD3050" s="77"/>
      <c r="BF3050">
        <v>50</v>
      </c>
      <c r="BH3050" s="42"/>
      <c r="BI3050" s="74"/>
      <c r="BJ3050" s="77"/>
      <c r="BL3050" s="497">
        <v>66.92</v>
      </c>
      <c r="BN3050" s="42"/>
      <c r="BO3050" s="74"/>
      <c r="BP3050" s="77"/>
      <c r="BR3050" s="497">
        <v>37.04</v>
      </c>
      <c r="BT3050" s="42"/>
    </row>
    <row r="3051" spans="1:72" x14ac:dyDescent="0.25">
      <c r="A3051" s="90">
        <v>36287</v>
      </c>
      <c r="B3051" s="20">
        <v>0.375</v>
      </c>
      <c r="D3051">
        <v>60.08</v>
      </c>
      <c r="E3051" t="str">
        <f t="shared" si="130"/>
        <v>WEEKDAY</v>
      </c>
      <c r="F3051" t="e">
        <f t="shared" ref="F3051:F3114" si="131">IF(E3051="WEEKDAY",VLOOKUP(B3051,$DD$19:$DG$42,2),IF(E3051="SATURDAY",VLOOKUP(B3051,$DD$19:$DG$42,3),VLOOKUP(B3051,$DD$19:$DG$42,4)))</f>
        <v>#N/A</v>
      </c>
      <c r="G3051" s="74">
        <v>31904</v>
      </c>
      <c r="H3051" s="77">
        <v>0.375</v>
      </c>
      <c r="J3051">
        <v>68</v>
      </c>
      <c r="M3051" s="74">
        <v>34461</v>
      </c>
      <c r="N3051" s="77">
        <v>0.375</v>
      </c>
      <c r="P3051">
        <v>57.92</v>
      </c>
      <c r="S3051" s="74">
        <v>36287</v>
      </c>
      <c r="T3051" s="77">
        <v>0.375</v>
      </c>
      <c r="V3051">
        <v>55.94</v>
      </c>
      <c r="X3051" s="42"/>
      <c r="AB3051">
        <v>57.2</v>
      </c>
      <c r="AC3051">
        <v>53.06</v>
      </c>
      <c r="AE3051" s="74"/>
      <c r="AF3051" s="77"/>
      <c r="AH3051" s="497">
        <v>78.800000000000011</v>
      </c>
      <c r="AJ3051" s="42"/>
      <c r="AK3051" s="74"/>
      <c r="AL3051" s="77"/>
      <c r="AN3051" s="497">
        <v>57.019999999999996</v>
      </c>
      <c r="AP3051" s="42"/>
      <c r="AQ3051" s="74"/>
      <c r="AR3051" s="77"/>
      <c r="AT3051" s="497">
        <v>55.040000000000006</v>
      </c>
      <c r="AV3051" s="42"/>
      <c r="AW3051" s="74"/>
      <c r="AX3051" s="77"/>
      <c r="BA3051" s="497">
        <v>51.980000000000004</v>
      </c>
      <c r="BB3051" s="42"/>
      <c r="BC3051" s="74"/>
      <c r="BD3051" s="77"/>
      <c r="BF3051">
        <v>55.040000000000006</v>
      </c>
      <c r="BH3051" s="42"/>
      <c r="BI3051" s="74"/>
      <c r="BJ3051" s="77"/>
      <c r="BL3051" s="497">
        <v>68</v>
      </c>
      <c r="BN3051" s="42"/>
      <c r="BO3051" s="74"/>
      <c r="BP3051" s="77"/>
      <c r="BR3051" s="497">
        <v>41</v>
      </c>
      <c r="BT3051" s="42"/>
    </row>
    <row r="3052" spans="1:72" x14ac:dyDescent="0.25">
      <c r="A3052" s="90">
        <v>36287</v>
      </c>
      <c r="B3052" s="20">
        <v>0.41666666666666669</v>
      </c>
      <c r="D3052">
        <v>62.06</v>
      </c>
      <c r="E3052" t="str">
        <f t="shared" si="130"/>
        <v>WEEKDAY</v>
      </c>
      <c r="F3052" t="e">
        <f t="shared" si="131"/>
        <v>#N/A</v>
      </c>
      <c r="G3052" s="74">
        <v>31904</v>
      </c>
      <c r="H3052" s="77">
        <v>0.41666666666666669</v>
      </c>
      <c r="J3052">
        <v>71.06</v>
      </c>
      <c r="M3052" s="74">
        <v>34461</v>
      </c>
      <c r="N3052" s="77">
        <v>0.41666666666666669</v>
      </c>
      <c r="P3052">
        <v>60.980000000000004</v>
      </c>
      <c r="S3052" s="74">
        <v>36287</v>
      </c>
      <c r="T3052" s="77">
        <v>0.41666666666666669</v>
      </c>
      <c r="V3052">
        <v>57.019999999999996</v>
      </c>
      <c r="X3052" s="42"/>
      <c r="AB3052">
        <v>58.9</v>
      </c>
      <c r="AC3052">
        <v>55.94</v>
      </c>
      <c r="AE3052" s="74"/>
      <c r="AF3052" s="77"/>
      <c r="AH3052" s="497">
        <v>82.4</v>
      </c>
      <c r="AJ3052" s="42"/>
      <c r="AK3052" s="74"/>
      <c r="AL3052" s="77"/>
      <c r="AN3052" s="497">
        <v>60.08</v>
      </c>
      <c r="AP3052" s="42"/>
      <c r="AQ3052" s="74"/>
      <c r="AR3052" s="77"/>
      <c r="AT3052" s="497">
        <v>59</v>
      </c>
      <c r="AV3052" s="42"/>
      <c r="AW3052" s="74"/>
      <c r="AX3052" s="77"/>
      <c r="BA3052" s="497">
        <v>55.040000000000006</v>
      </c>
      <c r="BB3052" s="42"/>
      <c r="BC3052" s="74"/>
      <c r="BD3052" s="77"/>
      <c r="BF3052">
        <v>55.040000000000006</v>
      </c>
      <c r="BH3052" s="42"/>
      <c r="BI3052" s="74"/>
      <c r="BJ3052" s="77"/>
      <c r="BL3052" s="497">
        <v>69.080000000000013</v>
      </c>
      <c r="BN3052" s="42"/>
      <c r="BO3052" s="74"/>
      <c r="BP3052" s="77"/>
      <c r="BR3052" s="497">
        <v>44.96</v>
      </c>
      <c r="BT3052" s="42"/>
    </row>
    <row r="3053" spans="1:72" x14ac:dyDescent="0.25">
      <c r="A3053" s="90">
        <v>36287</v>
      </c>
      <c r="B3053" s="20">
        <v>0.45833333333333331</v>
      </c>
      <c r="D3053">
        <v>62.96</v>
      </c>
      <c r="E3053" t="str">
        <f t="shared" si="130"/>
        <v>WEEKDAY</v>
      </c>
      <c r="F3053" t="e">
        <f t="shared" si="131"/>
        <v>#N/A</v>
      </c>
      <c r="G3053" s="74">
        <v>31904</v>
      </c>
      <c r="H3053" s="77">
        <v>0.45833333333333331</v>
      </c>
      <c r="J3053">
        <v>73.039999999999992</v>
      </c>
      <c r="M3053" s="74">
        <v>34461</v>
      </c>
      <c r="N3053" s="77">
        <v>0.45833333333333331</v>
      </c>
      <c r="P3053">
        <v>62.96</v>
      </c>
      <c r="S3053" s="74">
        <v>36287</v>
      </c>
      <c r="T3053" s="77">
        <v>0.45833333333333331</v>
      </c>
      <c r="V3053">
        <v>57.92</v>
      </c>
      <c r="X3053" s="42"/>
      <c r="AB3053">
        <v>60.6</v>
      </c>
      <c r="AC3053">
        <v>55.94</v>
      </c>
      <c r="AE3053" s="74"/>
      <c r="AF3053" s="77"/>
      <c r="AH3053" s="497">
        <v>84.2</v>
      </c>
      <c r="AJ3053" s="42"/>
      <c r="AK3053" s="74"/>
      <c r="AL3053" s="77"/>
      <c r="AN3053" s="497">
        <v>62.96</v>
      </c>
      <c r="AP3053" s="42"/>
      <c r="AQ3053" s="74"/>
      <c r="AR3053" s="77"/>
      <c r="AT3053" s="497">
        <v>62.06</v>
      </c>
      <c r="AV3053" s="42"/>
      <c r="AW3053" s="74"/>
      <c r="AX3053" s="77"/>
      <c r="BA3053" s="497">
        <v>57.92</v>
      </c>
      <c r="BB3053" s="42"/>
      <c r="BC3053" s="74"/>
      <c r="BD3053" s="77"/>
      <c r="BF3053">
        <v>57.019999999999996</v>
      </c>
      <c r="BH3053" s="42"/>
      <c r="BI3053" s="74"/>
      <c r="BJ3053" s="77"/>
      <c r="BL3053" s="497">
        <v>66.92</v>
      </c>
      <c r="BN3053" s="42"/>
      <c r="BO3053" s="74"/>
      <c r="BP3053" s="77"/>
      <c r="BR3053" s="497">
        <v>46.94</v>
      </c>
      <c r="BT3053" s="42"/>
    </row>
    <row r="3054" spans="1:72" x14ac:dyDescent="0.25">
      <c r="A3054" s="90">
        <v>36287</v>
      </c>
      <c r="B3054" s="20">
        <v>0.5</v>
      </c>
      <c r="D3054">
        <v>66.92</v>
      </c>
      <c r="E3054" t="str">
        <f t="shared" si="130"/>
        <v>WEEKDAY</v>
      </c>
      <c r="F3054" t="e">
        <f t="shared" si="131"/>
        <v>#N/A</v>
      </c>
      <c r="G3054" s="74">
        <v>31904</v>
      </c>
      <c r="H3054" s="77">
        <v>0.5</v>
      </c>
      <c r="J3054">
        <v>75.92</v>
      </c>
      <c r="M3054" s="74">
        <v>34461</v>
      </c>
      <c r="N3054" s="77">
        <v>0.5</v>
      </c>
      <c r="P3054">
        <v>62.96</v>
      </c>
      <c r="S3054" s="74">
        <v>36287</v>
      </c>
      <c r="T3054" s="77">
        <v>0.5</v>
      </c>
      <c r="V3054">
        <v>57.019999999999996</v>
      </c>
      <c r="X3054" s="42"/>
      <c r="AB3054">
        <v>61.8</v>
      </c>
      <c r="AC3054">
        <v>55.94</v>
      </c>
      <c r="AE3054" s="74"/>
      <c r="AF3054" s="77"/>
      <c r="AH3054" s="497">
        <v>89.6</v>
      </c>
      <c r="AJ3054" s="42"/>
      <c r="AK3054" s="74"/>
      <c r="AL3054" s="77"/>
      <c r="AN3054" s="497">
        <v>64.94</v>
      </c>
      <c r="AP3054" s="42"/>
      <c r="AQ3054" s="74"/>
      <c r="AR3054" s="77"/>
      <c r="AT3054" s="497">
        <v>62.96</v>
      </c>
      <c r="AV3054" s="42"/>
      <c r="AW3054" s="74"/>
      <c r="AX3054" s="77"/>
      <c r="BA3054" s="497">
        <v>60.08</v>
      </c>
      <c r="BB3054" s="42"/>
      <c r="BC3054" s="74"/>
      <c r="BD3054" s="77"/>
      <c r="BF3054">
        <v>57.92</v>
      </c>
      <c r="BH3054" s="42"/>
      <c r="BI3054" s="74"/>
      <c r="BJ3054" s="77"/>
      <c r="BL3054" s="497">
        <v>69.080000000000013</v>
      </c>
      <c r="BN3054" s="42"/>
      <c r="BO3054" s="74"/>
      <c r="BP3054" s="77"/>
      <c r="BR3054" s="497">
        <v>50</v>
      </c>
      <c r="BT3054" s="42"/>
    </row>
    <row r="3055" spans="1:72" x14ac:dyDescent="0.25">
      <c r="A3055" s="90">
        <v>36287</v>
      </c>
      <c r="B3055" s="20">
        <v>0.54166666666666663</v>
      </c>
      <c r="D3055">
        <v>68</v>
      </c>
      <c r="E3055" t="str">
        <f t="shared" si="130"/>
        <v>WEEKDAY</v>
      </c>
      <c r="F3055" t="e">
        <f t="shared" si="131"/>
        <v>#N/A</v>
      </c>
      <c r="G3055" s="74">
        <v>31904</v>
      </c>
      <c r="H3055" s="77">
        <v>0.54166666666666663</v>
      </c>
      <c r="J3055">
        <v>77</v>
      </c>
      <c r="M3055" s="74">
        <v>34461</v>
      </c>
      <c r="N3055" s="77">
        <v>0.54166666666666663</v>
      </c>
      <c r="P3055">
        <v>64.94</v>
      </c>
      <c r="S3055" s="74">
        <v>36287</v>
      </c>
      <c r="T3055" s="77">
        <v>0.54166666666666663</v>
      </c>
      <c r="V3055">
        <v>57.92</v>
      </c>
      <c r="X3055" s="42"/>
      <c r="AB3055">
        <v>62.5</v>
      </c>
      <c r="AC3055">
        <v>57.92</v>
      </c>
      <c r="AE3055" s="74"/>
      <c r="AF3055" s="77"/>
      <c r="AH3055" s="497">
        <v>89.6</v>
      </c>
      <c r="AJ3055" s="42"/>
      <c r="AK3055" s="74"/>
      <c r="AL3055" s="77"/>
      <c r="AN3055" s="497">
        <v>66.02</v>
      </c>
      <c r="AP3055" s="42"/>
      <c r="AQ3055" s="74"/>
      <c r="AR3055" s="77"/>
      <c r="AT3055" s="497">
        <v>64.039999999999992</v>
      </c>
      <c r="AV3055" s="42"/>
      <c r="AW3055" s="74"/>
      <c r="AX3055" s="77"/>
      <c r="BA3055" s="497">
        <v>62.06</v>
      </c>
      <c r="BB3055" s="42"/>
      <c r="BC3055" s="74"/>
      <c r="BD3055" s="77"/>
      <c r="BF3055">
        <v>57.92</v>
      </c>
      <c r="BH3055" s="42"/>
      <c r="BI3055" s="74"/>
      <c r="BJ3055" s="77"/>
      <c r="BL3055" s="497">
        <v>69.98</v>
      </c>
      <c r="BN3055" s="42"/>
      <c r="BO3055" s="74"/>
      <c r="BP3055" s="77"/>
      <c r="BR3055" s="497">
        <v>50</v>
      </c>
      <c r="BT3055" s="42"/>
    </row>
    <row r="3056" spans="1:72" x14ac:dyDescent="0.25">
      <c r="A3056" s="90">
        <v>36287</v>
      </c>
      <c r="B3056" s="20">
        <v>0.58333333333333337</v>
      </c>
      <c r="D3056">
        <v>64.94</v>
      </c>
      <c r="E3056" t="str">
        <f t="shared" si="130"/>
        <v>WEEKDAY</v>
      </c>
      <c r="F3056" t="e">
        <f t="shared" si="131"/>
        <v>#N/A</v>
      </c>
      <c r="G3056" s="74">
        <v>31904</v>
      </c>
      <c r="H3056" s="77">
        <v>0.58333333333333337</v>
      </c>
      <c r="J3056">
        <v>77</v>
      </c>
      <c r="M3056" s="74">
        <v>34461</v>
      </c>
      <c r="N3056" s="77">
        <v>0.58333333333333337</v>
      </c>
      <c r="P3056">
        <v>63.86</v>
      </c>
      <c r="S3056" s="74">
        <v>36287</v>
      </c>
      <c r="T3056" s="77">
        <v>0.58333333333333337</v>
      </c>
      <c r="V3056">
        <v>57.92</v>
      </c>
      <c r="X3056" s="42"/>
      <c r="AB3056">
        <v>63</v>
      </c>
      <c r="AC3056">
        <v>57.92</v>
      </c>
      <c r="AE3056" s="74"/>
      <c r="AF3056" s="77"/>
      <c r="AH3056" s="497">
        <v>89.6</v>
      </c>
      <c r="AJ3056" s="42"/>
      <c r="AK3056" s="74"/>
      <c r="AL3056" s="77"/>
      <c r="AN3056" s="497">
        <v>68</v>
      </c>
      <c r="AP3056" s="42"/>
      <c r="AQ3056" s="74"/>
      <c r="AR3056" s="77"/>
      <c r="AT3056" s="497">
        <v>64.039999999999992</v>
      </c>
      <c r="AV3056" s="42"/>
      <c r="AW3056" s="74"/>
      <c r="AX3056" s="77"/>
      <c r="BA3056" s="497">
        <v>62.06</v>
      </c>
      <c r="BB3056" s="42"/>
      <c r="BC3056" s="74"/>
      <c r="BD3056" s="77"/>
      <c r="BF3056">
        <v>59</v>
      </c>
      <c r="BH3056" s="42"/>
      <c r="BI3056" s="74"/>
      <c r="BJ3056" s="77"/>
      <c r="BL3056" s="497">
        <v>69.080000000000013</v>
      </c>
      <c r="BN3056" s="42"/>
      <c r="BO3056" s="74"/>
      <c r="BP3056" s="77"/>
      <c r="BR3056" s="497">
        <v>50</v>
      </c>
      <c r="BT3056" s="42"/>
    </row>
    <row r="3057" spans="1:72" x14ac:dyDescent="0.25">
      <c r="A3057" s="90">
        <v>36287</v>
      </c>
      <c r="B3057" s="20">
        <v>0.625</v>
      </c>
      <c r="D3057">
        <v>62.06</v>
      </c>
      <c r="E3057" t="str">
        <f t="shared" si="130"/>
        <v>WEEKDAY</v>
      </c>
      <c r="F3057" t="e">
        <f t="shared" si="131"/>
        <v>#N/A</v>
      </c>
      <c r="G3057" s="74">
        <v>31904</v>
      </c>
      <c r="H3057" s="77">
        <v>0.625</v>
      </c>
      <c r="J3057">
        <v>78.080000000000013</v>
      </c>
      <c r="M3057" s="74">
        <v>34461</v>
      </c>
      <c r="N3057" s="77">
        <v>0.625</v>
      </c>
      <c r="P3057">
        <v>68.900000000000006</v>
      </c>
      <c r="S3057" s="74">
        <v>36287</v>
      </c>
      <c r="T3057" s="77">
        <v>0.625</v>
      </c>
      <c r="V3057">
        <v>57.92</v>
      </c>
      <c r="X3057" s="42"/>
      <c r="AB3057">
        <v>62.9</v>
      </c>
      <c r="AC3057">
        <v>57.019999999999996</v>
      </c>
      <c r="AE3057" s="74"/>
      <c r="AF3057" s="77"/>
      <c r="AH3057" s="497">
        <v>89.6</v>
      </c>
      <c r="AJ3057" s="42"/>
      <c r="AK3057" s="74"/>
      <c r="AL3057" s="77"/>
      <c r="AN3057" s="497">
        <v>68</v>
      </c>
      <c r="AP3057" s="42"/>
      <c r="AQ3057" s="74"/>
      <c r="AR3057" s="77"/>
      <c r="AT3057" s="497">
        <v>64.039999999999992</v>
      </c>
      <c r="AV3057" s="42"/>
      <c r="AW3057" s="74"/>
      <c r="AX3057" s="77"/>
      <c r="BA3057" s="497">
        <v>64.039999999999992</v>
      </c>
      <c r="BB3057" s="42"/>
      <c r="BC3057" s="74"/>
      <c r="BD3057" s="77"/>
      <c r="BF3057">
        <v>59</v>
      </c>
      <c r="BH3057" s="42"/>
      <c r="BI3057" s="74"/>
      <c r="BJ3057" s="77"/>
      <c r="BL3057" s="497">
        <v>69.080000000000013</v>
      </c>
      <c r="BN3057" s="42"/>
      <c r="BO3057" s="74"/>
      <c r="BP3057" s="77"/>
      <c r="BR3057" s="497">
        <v>51.980000000000004</v>
      </c>
      <c r="BT3057" s="42"/>
    </row>
    <row r="3058" spans="1:72" x14ac:dyDescent="0.25">
      <c r="A3058" s="90">
        <v>36287</v>
      </c>
      <c r="B3058" s="20">
        <v>0.66666666666666663</v>
      </c>
      <c r="D3058">
        <v>60.08</v>
      </c>
      <c r="E3058" t="str">
        <f t="shared" si="130"/>
        <v>WEEKDAY</v>
      </c>
      <c r="F3058" t="e">
        <f t="shared" si="131"/>
        <v>#N/A</v>
      </c>
      <c r="G3058" s="74">
        <v>31904</v>
      </c>
      <c r="H3058" s="77">
        <v>0.66666666666666663</v>
      </c>
      <c r="J3058">
        <v>73.94</v>
      </c>
      <c r="M3058" s="74">
        <v>34461</v>
      </c>
      <c r="N3058" s="77">
        <v>0.66666666666666663</v>
      </c>
      <c r="P3058">
        <v>61.88</v>
      </c>
      <c r="S3058" s="74">
        <v>36287</v>
      </c>
      <c r="T3058" s="77">
        <v>0.66666666666666663</v>
      </c>
      <c r="V3058">
        <v>59</v>
      </c>
      <c r="X3058" s="42"/>
      <c r="AB3058">
        <v>62.4</v>
      </c>
      <c r="AC3058">
        <v>55.94</v>
      </c>
      <c r="AE3058" s="74"/>
      <c r="AF3058" s="77"/>
      <c r="AH3058" s="497">
        <v>91.4</v>
      </c>
      <c r="AJ3058" s="42"/>
      <c r="AK3058" s="74"/>
      <c r="AL3058" s="77"/>
      <c r="AN3058" s="497">
        <v>69.080000000000013</v>
      </c>
      <c r="AP3058" s="42"/>
      <c r="AQ3058" s="74"/>
      <c r="AR3058" s="77"/>
      <c r="AT3058" s="497">
        <v>64.039999999999992</v>
      </c>
      <c r="AV3058" s="42"/>
      <c r="AW3058" s="74"/>
      <c r="AX3058" s="77"/>
      <c r="BA3058" s="497">
        <v>62.96</v>
      </c>
      <c r="BB3058" s="42"/>
      <c r="BC3058" s="74"/>
      <c r="BD3058" s="77"/>
      <c r="BF3058">
        <v>59</v>
      </c>
      <c r="BH3058" s="42"/>
      <c r="BI3058" s="74"/>
      <c r="BJ3058" s="77"/>
      <c r="BL3058" s="497">
        <v>68</v>
      </c>
      <c r="BN3058" s="42"/>
      <c r="BO3058" s="74"/>
      <c r="BP3058" s="77"/>
      <c r="BR3058" s="497">
        <v>53.06</v>
      </c>
      <c r="BT3058" s="42"/>
    </row>
    <row r="3059" spans="1:72" x14ac:dyDescent="0.25">
      <c r="A3059" s="90">
        <v>36287</v>
      </c>
      <c r="B3059" s="20">
        <v>0.70833333333333337</v>
      </c>
      <c r="D3059">
        <v>57.92</v>
      </c>
      <c r="E3059" t="str">
        <f t="shared" si="130"/>
        <v>WEEKDAY</v>
      </c>
      <c r="F3059" t="e">
        <f t="shared" si="131"/>
        <v>#N/A</v>
      </c>
      <c r="G3059" s="74">
        <v>31904</v>
      </c>
      <c r="H3059" s="77">
        <v>0.70833333333333337</v>
      </c>
      <c r="J3059">
        <v>71.960000000000008</v>
      </c>
      <c r="M3059" s="74">
        <v>34461</v>
      </c>
      <c r="N3059" s="77">
        <v>0.70833333333333337</v>
      </c>
      <c r="P3059">
        <v>55.94</v>
      </c>
      <c r="S3059" s="74">
        <v>36287</v>
      </c>
      <c r="T3059" s="77">
        <v>0.70833333333333337</v>
      </c>
      <c r="V3059">
        <v>59</v>
      </c>
      <c r="X3059" s="42"/>
      <c r="AB3059">
        <v>61.6</v>
      </c>
      <c r="AC3059">
        <v>53.96</v>
      </c>
      <c r="AE3059" s="74"/>
      <c r="AF3059" s="77"/>
      <c r="AH3059" s="497">
        <v>86</v>
      </c>
      <c r="AJ3059" s="42"/>
      <c r="AK3059" s="74"/>
      <c r="AL3059" s="77"/>
      <c r="AN3059" s="497">
        <v>66.02</v>
      </c>
      <c r="AP3059" s="42"/>
      <c r="AQ3059" s="74"/>
      <c r="AR3059" s="77"/>
      <c r="AT3059" s="497">
        <v>64.039999999999992</v>
      </c>
      <c r="AV3059" s="42"/>
      <c r="AW3059" s="74"/>
      <c r="AX3059" s="77"/>
      <c r="BA3059" s="497">
        <v>62.06</v>
      </c>
      <c r="BB3059" s="42"/>
      <c r="BC3059" s="74"/>
      <c r="BD3059" s="77"/>
      <c r="BF3059">
        <v>59</v>
      </c>
      <c r="BH3059" s="42"/>
      <c r="BI3059" s="74"/>
      <c r="BJ3059" s="77"/>
      <c r="BL3059" s="497">
        <v>68</v>
      </c>
      <c r="BN3059" s="42"/>
      <c r="BO3059" s="74"/>
      <c r="BP3059" s="77"/>
      <c r="BR3059" s="497">
        <v>53.96</v>
      </c>
      <c r="BT3059" s="42"/>
    </row>
    <row r="3060" spans="1:72" x14ac:dyDescent="0.25">
      <c r="A3060" s="90">
        <v>36287</v>
      </c>
      <c r="B3060" s="20">
        <v>0.75</v>
      </c>
      <c r="D3060">
        <v>57.019999999999996</v>
      </c>
      <c r="E3060" t="str">
        <f t="shared" si="130"/>
        <v>WEEKDAY</v>
      </c>
      <c r="F3060" t="e">
        <f t="shared" si="131"/>
        <v>#N/A</v>
      </c>
      <c r="G3060" s="74">
        <v>31904</v>
      </c>
      <c r="H3060" s="77">
        <v>0.75</v>
      </c>
      <c r="J3060">
        <v>69.080000000000013</v>
      </c>
      <c r="M3060" s="74">
        <v>34461</v>
      </c>
      <c r="N3060" s="77">
        <v>0.75</v>
      </c>
      <c r="P3060">
        <v>54.86</v>
      </c>
      <c r="S3060" s="74">
        <v>36287</v>
      </c>
      <c r="T3060" s="77">
        <v>0.75</v>
      </c>
      <c r="V3060">
        <v>57.92</v>
      </c>
      <c r="X3060" s="42"/>
      <c r="AB3060">
        <v>60.4</v>
      </c>
      <c r="AC3060">
        <v>51.08</v>
      </c>
      <c r="AE3060" s="74"/>
      <c r="AF3060" s="77"/>
      <c r="AH3060" s="497">
        <v>84.2</v>
      </c>
      <c r="AJ3060" s="42"/>
      <c r="AK3060" s="74"/>
      <c r="AL3060" s="77"/>
      <c r="AN3060" s="497">
        <v>62.96</v>
      </c>
      <c r="AP3060" s="42"/>
      <c r="AQ3060" s="74"/>
      <c r="AR3060" s="77"/>
      <c r="AT3060" s="497">
        <v>62.06</v>
      </c>
      <c r="AV3060" s="42"/>
      <c r="AW3060" s="74"/>
      <c r="AX3060" s="77"/>
      <c r="BA3060" s="497">
        <v>60.980000000000004</v>
      </c>
      <c r="BB3060" s="42"/>
      <c r="BC3060" s="74"/>
      <c r="BD3060" s="77"/>
      <c r="BF3060">
        <v>57.019999999999996</v>
      </c>
      <c r="BH3060" s="42"/>
      <c r="BI3060" s="74"/>
      <c r="BJ3060" s="77"/>
      <c r="BL3060" s="497">
        <v>64.94</v>
      </c>
      <c r="BN3060" s="42"/>
      <c r="BO3060" s="74"/>
      <c r="BP3060" s="77"/>
      <c r="BR3060" s="497">
        <v>51.980000000000004</v>
      </c>
      <c r="BT3060" s="42"/>
    </row>
    <row r="3061" spans="1:72" x14ac:dyDescent="0.25">
      <c r="A3061" s="90">
        <v>36287</v>
      </c>
      <c r="B3061" s="20">
        <v>0.79166666666666663</v>
      </c>
      <c r="D3061">
        <v>55.94</v>
      </c>
      <c r="E3061" t="str">
        <f t="shared" si="130"/>
        <v>WEEKDAY</v>
      </c>
      <c r="F3061" t="e">
        <f t="shared" si="131"/>
        <v>#N/A</v>
      </c>
      <c r="G3061" s="74">
        <v>31904</v>
      </c>
      <c r="H3061" s="77">
        <v>0.79166666666666663</v>
      </c>
      <c r="J3061">
        <v>68</v>
      </c>
      <c r="M3061" s="74">
        <v>34461</v>
      </c>
      <c r="N3061" s="77">
        <v>0.79166666666666663</v>
      </c>
      <c r="P3061">
        <v>52.879999999999995</v>
      </c>
      <c r="S3061" s="74">
        <v>36287</v>
      </c>
      <c r="T3061" s="77">
        <v>0.79166666666666663</v>
      </c>
      <c r="V3061">
        <v>57.92</v>
      </c>
      <c r="X3061" s="42"/>
      <c r="AB3061">
        <v>58.9</v>
      </c>
      <c r="AC3061">
        <v>48.92</v>
      </c>
      <c r="AE3061" s="74"/>
      <c r="AF3061" s="77"/>
      <c r="AH3061" s="497">
        <v>82.4</v>
      </c>
      <c r="AJ3061" s="42"/>
      <c r="AK3061" s="74"/>
      <c r="AL3061" s="77"/>
      <c r="AN3061" s="497">
        <v>60.08</v>
      </c>
      <c r="AP3061" s="42"/>
      <c r="AQ3061" s="74"/>
      <c r="AR3061" s="77"/>
      <c r="AT3061" s="497">
        <v>59</v>
      </c>
      <c r="AV3061" s="42"/>
      <c r="AW3061" s="74"/>
      <c r="AX3061" s="77"/>
      <c r="BA3061" s="497">
        <v>57.92</v>
      </c>
      <c r="BB3061" s="42"/>
      <c r="BC3061" s="74"/>
      <c r="BD3061" s="77"/>
      <c r="BF3061">
        <v>55.94</v>
      </c>
      <c r="BH3061" s="42"/>
      <c r="BI3061" s="74"/>
      <c r="BJ3061" s="77"/>
      <c r="BL3061" s="497">
        <v>60.980000000000004</v>
      </c>
      <c r="BN3061" s="42"/>
      <c r="BO3061" s="74"/>
      <c r="BP3061" s="77"/>
      <c r="BR3061" s="497">
        <v>51.980000000000004</v>
      </c>
      <c r="BT3061" s="42"/>
    </row>
    <row r="3062" spans="1:72" x14ac:dyDescent="0.25">
      <c r="A3062" s="90">
        <v>36287</v>
      </c>
      <c r="B3062" s="20">
        <v>0.83333333333333337</v>
      </c>
      <c r="D3062">
        <v>53.06</v>
      </c>
      <c r="E3062" t="str">
        <f t="shared" si="130"/>
        <v>WEEKDAY</v>
      </c>
      <c r="F3062" t="e">
        <f t="shared" si="131"/>
        <v>#N/A</v>
      </c>
      <c r="G3062" s="74">
        <v>31904</v>
      </c>
      <c r="H3062" s="77">
        <v>0.83333333333333337</v>
      </c>
      <c r="J3062">
        <v>66.92</v>
      </c>
      <c r="M3062" s="74">
        <v>34461</v>
      </c>
      <c r="N3062" s="77">
        <v>0.83333333333333337</v>
      </c>
      <c r="P3062">
        <v>50.900000000000006</v>
      </c>
      <c r="S3062" s="74">
        <v>36287</v>
      </c>
      <c r="T3062" s="77">
        <v>0.83333333333333337</v>
      </c>
      <c r="V3062">
        <v>57.92</v>
      </c>
      <c r="X3062" s="42"/>
      <c r="AB3062">
        <v>57.5</v>
      </c>
      <c r="AC3062">
        <v>46.94</v>
      </c>
      <c r="AE3062" s="74"/>
      <c r="AF3062" s="77"/>
      <c r="AH3062" s="497">
        <v>73.400000000000006</v>
      </c>
      <c r="AJ3062" s="42"/>
      <c r="AK3062" s="74"/>
      <c r="AL3062" s="77"/>
      <c r="AN3062" s="497">
        <v>57.019999999999996</v>
      </c>
      <c r="AP3062" s="42"/>
      <c r="AQ3062" s="74"/>
      <c r="AR3062" s="77"/>
      <c r="AT3062" s="497">
        <v>57.019999999999996</v>
      </c>
      <c r="AV3062" s="42"/>
      <c r="AW3062" s="74"/>
      <c r="AX3062" s="77"/>
      <c r="BA3062" s="497">
        <v>57.019999999999996</v>
      </c>
      <c r="BB3062" s="42"/>
      <c r="BC3062" s="74"/>
      <c r="BD3062" s="77"/>
      <c r="BF3062">
        <v>51.980000000000004</v>
      </c>
      <c r="BH3062" s="42"/>
      <c r="BI3062" s="74"/>
      <c r="BJ3062" s="77"/>
      <c r="BL3062" s="497">
        <v>57.019999999999996</v>
      </c>
      <c r="BN3062" s="42"/>
      <c r="BO3062" s="74"/>
      <c r="BP3062" s="77"/>
      <c r="BR3062" s="497">
        <v>46.94</v>
      </c>
      <c r="BT3062" s="42"/>
    </row>
    <row r="3063" spans="1:72" x14ac:dyDescent="0.25">
      <c r="A3063" s="90">
        <v>36287</v>
      </c>
      <c r="B3063" s="20">
        <v>0.875</v>
      </c>
      <c r="D3063">
        <v>51.980000000000004</v>
      </c>
      <c r="E3063" t="str">
        <f t="shared" si="130"/>
        <v>WEEKDAY</v>
      </c>
      <c r="F3063" t="e">
        <f t="shared" si="131"/>
        <v>#N/A</v>
      </c>
      <c r="G3063" s="74">
        <v>31904</v>
      </c>
      <c r="H3063" s="77">
        <v>0.875</v>
      </c>
      <c r="J3063">
        <v>66.02</v>
      </c>
      <c r="M3063" s="74">
        <v>34461</v>
      </c>
      <c r="N3063" s="77">
        <v>0.875</v>
      </c>
      <c r="P3063">
        <v>50</v>
      </c>
      <c r="S3063" s="74">
        <v>36287</v>
      </c>
      <c r="T3063" s="77">
        <v>0.875</v>
      </c>
      <c r="V3063">
        <v>57.019999999999996</v>
      </c>
      <c r="X3063" s="42"/>
      <c r="AB3063">
        <v>56.6</v>
      </c>
      <c r="AC3063">
        <v>42.08</v>
      </c>
      <c r="AE3063" s="74"/>
      <c r="AF3063" s="77"/>
      <c r="AH3063" s="497">
        <v>73.400000000000006</v>
      </c>
      <c r="AJ3063" s="42"/>
      <c r="AK3063" s="74"/>
      <c r="AL3063" s="77"/>
      <c r="AN3063" s="497">
        <v>53.96</v>
      </c>
      <c r="AP3063" s="42"/>
      <c r="AQ3063" s="74"/>
      <c r="AR3063" s="77"/>
      <c r="AT3063" s="497">
        <v>55.040000000000006</v>
      </c>
      <c r="AV3063" s="42"/>
      <c r="AW3063" s="74"/>
      <c r="AX3063" s="77"/>
      <c r="BA3063" s="497">
        <v>57.019999999999996</v>
      </c>
      <c r="BB3063" s="42"/>
      <c r="BC3063" s="74"/>
      <c r="BD3063" s="77"/>
      <c r="BF3063">
        <v>50</v>
      </c>
      <c r="BH3063" s="42"/>
      <c r="BI3063" s="74"/>
      <c r="BJ3063" s="77"/>
      <c r="BL3063" s="497">
        <v>53.96</v>
      </c>
      <c r="BN3063" s="42"/>
      <c r="BO3063" s="74"/>
      <c r="BP3063" s="77"/>
      <c r="BR3063" s="497">
        <v>46.04</v>
      </c>
      <c r="BT3063" s="42"/>
    </row>
    <row r="3064" spans="1:72" x14ac:dyDescent="0.25">
      <c r="A3064" s="90">
        <v>36287</v>
      </c>
      <c r="B3064" s="20">
        <v>0.91666666666666663</v>
      </c>
      <c r="D3064">
        <v>51.08</v>
      </c>
      <c r="E3064" t="str">
        <f t="shared" si="130"/>
        <v>WEEKDAY</v>
      </c>
      <c r="F3064" t="e">
        <f t="shared" si="131"/>
        <v>#N/A</v>
      </c>
      <c r="G3064" s="74">
        <v>31904</v>
      </c>
      <c r="H3064" s="77">
        <v>0.91666666666666663</v>
      </c>
      <c r="J3064">
        <v>62.96</v>
      </c>
      <c r="M3064" s="74">
        <v>34461</v>
      </c>
      <c r="N3064" s="77">
        <v>0.91666666666666663</v>
      </c>
      <c r="P3064">
        <v>48.92</v>
      </c>
      <c r="S3064" s="74">
        <v>36287</v>
      </c>
      <c r="T3064" s="77">
        <v>0.91666666666666663</v>
      </c>
      <c r="V3064">
        <v>55.94</v>
      </c>
      <c r="X3064" s="42"/>
      <c r="AB3064">
        <v>56</v>
      </c>
      <c r="AC3064">
        <v>44.06</v>
      </c>
      <c r="AE3064" s="74"/>
      <c r="AF3064" s="77"/>
      <c r="AH3064" s="497">
        <v>69.800000000000011</v>
      </c>
      <c r="AJ3064" s="42"/>
      <c r="AK3064" s="74"/>
      <c r="AL3064" s="77"/>
      <c r="AN3064" s="497">
        <v>51.980000000000004</v>
      </c>
      <c r="AP3064" s="42"/>
      <c r="AQ3064" s="74"/>
      <c r="AR3064" s="77"/>
      <c r="AT3064" s="497">
        <v>53.06</v>
      </c>
      <c r="AV3064" s="42"/>
      <c r="AW3064" s="74"/>
      <c r="AX3064" s="77"/>
      <c r="BA3064" s="497">
        <v>55.040000000000006</v>
      </c>
      <c r="BB3064" s="42"/>
      <c r="BC3064" s="74"/>
      <c r="BD3064" s="77"/>
      <c r="BF3064">
        <v>48.92</v>
      </c>
      <c r="BH3064" s="42"/>
      <c r="BI3064" s="74"/>
      <c r="BJ3064" s="77"/>
      <c r="BL3064" s="497">
        <v>53.06</v>
      </c>
      <c r="BN3064" s="42"/>
      <c r="BO3064" s="74"/>
      <c r="BP3064" s="77"/>
      <c r="BR3064" s="497">
        <v>44.06</v>
      </c>
      <c r="BT3064" s="42"/>
    </row>
    <row r="3065" spans="1:72" x14ac:dyDescent="0.25">
      <c r="A3065" s="90">
        <v>36287</v>
      </c>
      <c r="B3065" s="20">
        <v>0.95833333333333337</v>
      </c>
      <c r="D3065">
        <v>51.08</v>
      </c>
      <c r="E3065" t="str">
        <f t="shared" si="130"/>
        <v>WEEKDAY</v>
      </c>
      <c r="F3065" t="e">
        <f t="shared" si="131"/>
        <v>#N/A</v>
      </c>
      <c r="G3065" s="74">
        <v>31904</v>
      </c>
      <c r="H3065" s="77">
        <v>0.95833333333333337</v>
      </c>
      <c r="J3065">
        <v>57.92</v>
      </c>
      <c r="M3065" s="74">
        <v>34461</v>
      </c>
      <c r="N3065" s="77">
        <v>0.95833333333333337</v>
      </c>
      <c r="P3065">
        <v>48.92</v>
      </c>
      <c r="S3065" s="74">
        <v>36287</v>
      </c>
      <c r="T3065" s="77">
        <v>0.95833333333333337</v>
      </c>
      <c r="V3065">
        <v>55.94</v>
      </c>
      <c r="X3065" s="42"/>
      <c r="AB3065">
        <v>55.4</v>
      </c>
      <c r="AC3065">
        <v>42.980000000000004</v>
      </c>
      <c r="AE3065" s="74"/>
      <c r="AF3065" s="77"/>
      <c r="AH3065" s="497">
        <v>68.539999999999992</v>
      </c>
      <c r="AJ3065" s="42"/>
      <c r="AK3065" s="74"/>
      <c r="AL3065" s="77"/>
      <c r="AN3065" s="497">
        <v>51.08</v>
      </c>
      <c r="AP3065" s="42"/>
      <c r="AQ3065" s="74"/>
      <c r="AR3065" s="77"/>
      <c r="AT3065" s="497">
        <v>53.96</v>
      </c>
      <c r="AV3065" s="42"/>
      <c r="AW3065" s="74"/>
      <c r="AX3065" s="77"/>
      <c r="BA3065" s="497">
        <v>51.980000000000004</v>
      </c>
      <c r="BB3065" s="42"/>
      <c r="BC3065" s="74"/>
      <c r="BD3065" s="77"/>
      <c r="BF3065">
        <v>46.94</v>
      </c>
      <c r="BH3065" s="42"/>
      <c r="BI3065" s="74"/>
      <c r="BJ3065" s="77"/>
      <c r="BL3065" s="497">
        <v>53.06</v>
      </c>
      <c r="BN3065" s="42"/>
      <c r="BO3065" s="74"/>
      <c r="BP3065" s="77"/>
      <c r="BR3065" s="497">
        <v>42.980000000000004</v>
      </c>
      <c r="BT3065" s="42"/>
    </row>
    <row r="3066" spans="1:72" x14ac:dyDescent="0.25">
      <c r="A3066" s="90">
        <v>36287</v>
      </c>
      <c r="B3066" s="20">
        <v>1</v>
      </c>
      <c r="D3066">
        <v>51.980000000000004</v>
      </c>
      <c r="E3066" t="str">
        <f t="shared" si="130"/>
        <v>WEEKDAY</v>
      </c>
      <c r="F3066" t="e">
        <f t="shared" si="131"/>
        <v>#N/A</v>
      </c>
      <c r="G3066" s="74">
        <v>31904</v>
      </c>
      <c r="H3066" s="77">
        <v>1</v>
      </c>
      <c r="J3066">
        <v>57.92</v>
      </c>
      <c r="M3066" s="74">
        <v>34461</v>
      </c>
      <c r="N3066" s="80">
        <v>1</v>
      </c>
      <c r="P3066">
        <v>47.84</v>
      </c>
      <c r="S3066" s="74">
        <v>36287</v>
      </c>
      <c r="T3066" s="80">
        <v>1</v>
      </c>
      <c r="V3066">
        <v>57.019999999999996</v>
      </c>
      <c r="X3066" s="42"/>
      <c r="AB3066">
        <v>55</v>
      </c>
      <c r="AC3066">
        <v>39.92</v>
      </c>
      <c r="AE3066" s="74"/>
      <c r="AF3066" s="80"/>
      <c r="AH3066" s="497">
        <v>67.28</v>
      </c>
      <c r="AJ3066" s="42"/>
      <c r="AK3066" s="74"/>
      <c r="AL3066" s="80"/>
      <c r="AN3066" s="497">
        <v>48.92</v>
      </c>
      <c r="AP3066" s="42"/>
      <c r="AQ3066" s="74"/>
      <c r="AR3066" s="80"/>
      <c r="AT3066" s="497">
        <v>53.06</v>
      </c>
      <c r="AV3066" s="42"/>
      <c r="AW3066" s="74"/>
      <c r="AX3066" s="80"/>
      <c r="BA3066" s="497">
        <v>48.92</v>
      </c>
      <c r="BB3066" s="42"/>
      <c r="BC3066" s="74"/>
      <c r="BD3066" s="80"/>
      <c r="BF3066">
        <v>44.06</v>
      </c>
      <c r="BH3066" s="42"/>
      <c r="BI3066" s="74"/>
      <c r="BJ3066" s="80"/>
      <c r="BL3066" s="497">
        <v>51.08</v>
      </c>
      <c r="BN3066" s="42"/>
      <c r="BO3066" s="74"/>
      <c r="BP3066" s="80"/>
      <c r="BR3066" s="497">
        <v>42.08</v>
      </c>
      <c r="BT3066" s="42"/>
    </row>
    <row r="3067" spans="1:72" x14ac:dyDescent="0.25">
      <c r="A3067" s="90">
        <v>36288</v>
      </c>
      <c r="B3067" s="20">
        <v>4.1666666666666664E-2</v>
      </c>
      <c r="D3067">
        <v>51.980000000000004</v>
      </c>
      <c r="E3067" t="str">
        <f t="shared" si="130"/>
        <v>SATURDAY</v>
      </c>
      <c r="F3067" t="e">
        <f t="shared" si="131"/>
        <v>#N/A</v>
      </c>
      <c r="G3067" s="74">
        <v>31905</v>
      </c>
      <c r="H3067" s="77">
        <v>4.1666666666666664E-2</v>
      </c>
      <c r="J3067">
        <v>59</v>
      </c>
      <c r="M3067" s="74">
        <v>34462</v>
      </c>
      <c r="N3067" s="77">
        <v>4.1666666666666664E-2</v>
      </c>
      <c r="P3067">
        <v>47.84</v>
      </c>
      <c r="S3067" s="74">
        <v>36288</v>
      </c>
      <c r="T3067" s="77">
        <v>4.1666666666666664E-2</v>
      </c>
      <c r="V3067">
        <v>55.94</v>
      </c>
      <c r="X3067" s="42"/>
      <c r="AB3067">
        <v>54.5</v>
      </c>
      <c r="AC3067">
        <v>39.92</v>
      </c>
      <c r="AE3067" s="74"/>
      <c r="AF3067" s="77"/>
      <c r="AH3067" s="497">
        <v>66.2</v>
      </c>
      <c r="AJ3067" s="42"/>
      <c r="AK3067" s="74"/>
      <c r="AL3067" s="77"/>
      <c r="AN3067" s="497">
        <v>50</v>
      </c>
      <c r="AP3067" s="42"/>
      <c r="AQ3067" s="74"/>
      <c r="AR3067" s="77"/>
      <c r="AT3067" s="497">
        <v>51.08</v>
      </c>
      <c r="AV3067" s="42"/>
      <c r="AW3067" s="74"/>
      <c r="AX3067" s="77"/>
      <c r="BA3067" s="497">
        <v>46.04</v>
      </c>
      <c r="BB3067" s="42"/>
      <c r="BC3067" s="74"/>
      <c r="BD3067" s="77"/>
      <c r="BF3067">
        <v>42.08</v>
      </c>
      <c r="BH3067" s="42"/>
      <c r="BI3067" s="74"/>
      <c r="BJ3067" s="77"/>
      <c r="BL3067" s="497">
        <v>48.92</v>
      </c>
      <c r="BN3067" s="42"/>
      <c r="BO3067" s="74"/>
      <c r="BP3067" s="77"/>
      <c r="BR3067" s="497">
        <v>39.92</v>
      </c>
      <c r="BT3067" s="42"/>
    </row>
    <row r="3068" spans="1:72" x14ac:dyDescent="0.25">
      <c r="A3068" s="90">
        <v>36288</v>
      </c>
      <c r="B3068" s="20">
        <v>8.3333333333333329E-2</v>
      </c>
      <c r="D3068">
        <v>53.06</v>
      </c>
      <c r="E3068" t="str">
        <f t="shared" si="130"/>
        <v>SATURDAY</v>
      </c>
      <c r="F3068" t="e">
        <f t="shared" si="131"/>
        <v>#N/A</v>
      </c>
      <c r="G3068" s="74">
        <v>31905</v>
      </c>
      <c r="H3068" s="77">
        <v>8.3333333333333329E-2</v>
      </c>
      <c r="J3068">
        <v>57.019999999999996</v>
      </c>
      <c r="M3068" s="74">
        <v>34462</v>
      </c>
      <c r="N3068" s="77">
        <v>8.3333333333333329E-2</v>
      </c>
      <c r="P3068">
        <v>47.84</v>
      </c>
      <c r="S3068" s="74">
        <v>36288</v>
      </c>
      <c r="T3068" s="77">
        <v>8.3333333333333329E-2</v>
      </c>
      <c r="V3068">
        <v>55.94</v>
      </c>
      <c r="X3068" s="42"/>
      <c r="AB3068">
        <v>54</v>
      </c>
      <c r="AC3068">
        <v>41</v>
      </c>
      <c r="AE3068" s="74"/>
      <c r="AF3068" s="77"/>
      <c r="AH3068" s="497">
        <v>65.12</v>
      </c>
      <c r="AJ3068" s="42"/>
      <c r="AK3068" s="74"/>
      <c r="AL3068" s="77"/>
      <c r="AN3068" s="497">
        <v>48.019999999999996</v>
      </c>
      <c r="AP3068" s="42"/>
      <c r="AQ3068" s="74"/>
      <c r="AR3068" s="77"/>
      <c r="AT3068" s="497">
        <v>50</v>
      </c>
      <c r="AV3068" s="42"/>
      <c r="AW3068" s="74"/>
      <c r="AX3068" s="77"/>
      <c r="BA3068" s="497">
        <v>41</v>
      </c>
      <c r="BB3068" s="42"/>
      <c r="BC3068" s="74"/>
      <c r="BD3068" s="77"/>
      <c r="BF3068">
        <v>39.019999999999996</v>
      </c>
      <c r="BH3068" s="42"/>
      <c r="BI3068" s="74"/>
      <c r="BJ3068" s="77"/>
      <c r="BL3068" s="497">
        <v>44.96</v>
      </c>
      <c r="BN3068" s="42"/>
      <c r="BO3068" s="74"/>
      <c r="BP3068" s="77"/>
      <c r="BR3068" s="497">
        <v>39.019999999999996</v>
      </c>
      <c r="BT3068" s="42"/>
    </row>
    <row r="3069" spans="1:72" x14ac:dyDescent="0.25">
      <c r="A3069" s="90">
        <v>36288</v>
      </c>
      <c r="B3069" s="20">
        <v>0.125</v>
      </c>
      <c r="D3069">
        <v>55.040000000000006</v>
      </c>
      <c r="E3069" t="str">
        <f t="shared" si="130"/>
        <v>SATURDAY</v>
      </c>
      <c r="F3069" t="e">
        <f t="shared" si="131"/>
        <v>#N/A</v>
      </c>
      <c r="G3069" s="74">
        <v>31905</v>
      </c>
      <c r="H3069" s="77">
        <v>0.125</v>
      </c>
      <c r="J3069">
        <v>55.94</v>
      </c>
      <c r="M3069" s="74">
        <v>34462</v>
      </c>
      <c r="N3069" s="77">
        <v>0.125</v>
      </c>
      <c r="P3069">
        <v>47.84</v>
      </c>
      <c r="S3069" s="74">
        <v>36288</v>
      </c>
      <c r="T3069" s="77">
        <v>0.125</v>
      </c>
      <c r="V3069">
        <v>55.040000000000006</v>
      </c>
      <c r="X3069" s="42"/>
      <c r="AB3069">
        <v>53.7</v>
      </c>
      <c r="AC3069">
        <v>41</v>
      </c>
      <c r="AE3069" s="74"/>
      <c r="AF3069" s="77"/>
      <c r="AH3069" s="497">
        <v>64.400000000000006</v>
      </c>
      <c r="AJ3069" s="42"/>
      <c r="AK3069" s="74"/>
      <c r="AL3069" s="77"/>
      <c r="AN3069" s="497">
        <v>44.06</v>
      </c>
      <c r="AP3069" s="42"/>
      <c r="AQ3069" s="74"/>
      <c r="AR3069" s="77"/>
      <c r="AT3069" s="497">
        <v>48.92</v>
      </c>
      <c r="AV3069" s="42"/>
      <c r="AW3069" s="74"/>
      <c r="AX3069" s="77"/>
      <c r="BA3069" s="497">
        <v>37.94</v>
      </c>
      <c r="BB3069" s="42"/>
      <c r="BC3069" s="74"/>
      <c r="BD3069" s="77"/>
      <c r="BF3069">
        <v>37.04</v>
      </c>
      <c r="BH3069" s="42"/>
      <c r="BI3069" s="74"/>
      <c r="BJ3069" s="77"/>
      <c r="BL3069" s="497">
        <v>46.94</v>
      </c>
      <c r="BN3069" s="42"/>
      <c r="BO3069" s="74"/>
      <c r="BP3069" s="77"/>
      <c r="BR3069" s="497">
        <v>37.94</v>
      </c>
      <c r="BT3069" s="42"/>
    </row>
    <row r="3070" spans="1:72" x14ac:dyDescent="0.25">
      <c r="A3070" s="90">
        <v>36288</v>
      </c>
      <c r="B3070" s="20">
        <v>0.16666666666666666</v>
      </c>
      <c r="D3070">
        <v>53.96</v>
      </c>
      <c r="E3070" t="str">
        <f t="shared" si="130"/>
        <v>SATURDAY</v>
      </c>
      <c r="F3070" t="e">
        <f t="shared" si="131"/>
        <v>#N/A</v>
      </c>
      <c r="G3070" s="74">
        <v>31905</v>
      </c>
      <c r="H3070" s="77">
        <v>0.16666666666666666</v>
      </c>
      <c r="J3070">
        <v>55.040000000000006</v>
      </c>
      <c r="M3070" s="74">
        <v>34462</v>
      </c>
      <c r="N3070" s="77">
        <v>0.16666666666666666</v>
      </c>
      <c r="P3070">
        <v>50</v>
      </c>
      <c r="S3070" s="74">
        <v>36288</v>
      </c>
      <c r="T3070" s="77">
        <v>0.16666666666666666</v>
      </c>
      <c r="V3070">
        <v>55.040000000000006</v>
      </c>
      <c r="X3070" s="42"/>
      <c r="AB3070">
        <v>53.2</v>
      </c>
      <c r="AC3070">
        <v>39.019999999999996</v>
      </c>
      <c r="AE3070" s="74"/>
      <c r="AF3070" s="77"/>
      <c r="AH3070" s="497">
        <v>64.400000000000006</v>
      </c>
      <c r="AJ3070" s="42"/>
      <c r="AK3070" s="74"/>
      <c r="AL3070" s="77"/>
      <c r="AN3070" s="497">
        <v>42.980000000000004</v>
      </c>
      <c r="AP3070" s="42"/>
      <c r="AQ3070" s="74"/>
      <c r="AR3070" s="77"/>
      <c r="AT3070" s="497">
        <v>46.04</v>
      </c>
      <c r="AV3070" s="42"/>
      <c r="AW3070" s="74"/>
      <c r="AX3070" s="77"/>
      <c r="BA3070" s="497">
        <v>37.94</v>
      </c>
      <c r="BB3070" s="42"/>
      <c r="BC3070" s="74"/>
      <c r="BD3070" s="77"/>
      <c r="BF3070">
        <v>37.94</v>
      </c>
      <c r="BH3070" s="42"/>
      <c r="BI3070" s="74"/>
      <c r="BJ3070" s="77"/>
      <c r="BL3070" s="497">
        <v>46.94</v>
      </c>
      <c r="BN3070" s="42"/>
      <c r="BO3070" s="74"/>
      <c r="BP3070" s="77"/>
      <c r="BR3070" s="497">
        <v>37.04</v>
      </c>
      <c r="BT3070" s="42"/>
    </row>
    <row r="3071" spans="1:72" x14ac:dyDescent="0.25">
      <c r="A3071" s="90">
        <v>36288</v>
      </c>
      <c r="B3071" s="20">
        <v>0.20833333333333334</v>
      </c>
      <c r="D3071">
        <v>53.06</v>
      </c>
      <c r="E3071" t="str">
        <f t="shared" si="130"/>
        <v>SATURDAY</v>
      </c>
      <c r="F3071" t="e">
        <f t="shared" si="131"/>
        <v>#N/A</v>
      </c>
      <c r="G3071" s="74">
        <v>31905</v>
      </c>
      <c r="H3071" s="77">
        <v>0.20833333333333334</v>
      </c>
      <c r="J3071">
        <v>55.040000000000006</v>
      </c>
      <c r="M3071" s="74">
        <v>34462</v>
      </c>
      <c r="N3071" s="77">
        <v>0.20833333333333334</v>
      </c>
      <c r="P3071">
        <v>50</v>
      </c>
      <c r="S3071" s="74">
        <v>36288</v>
      </c>
      <c r="T3071" s="77">
        <v>0.20833333333333334</v>
      </c>
      <c r="V3071">
        <v>55.040000000000006</v>
      </c>
      <c r="X3071" s="42"/>
      <c r="AB3071">
        <v>52.8</v>
      </c>
      <c r="AC3071">
        <v>37.94</v>
      </c>
      <c r="AE3071" s="74"/>
      <c r="AF3071" s="77"/>
      <c r="AH3071" s="497">
        <v>62.6</v>
      </c>
      <c r="AJ3071" s="42"/>
      <c r="AK3071" s="74"/>
      <c r="AL3071" s="77"/>
      <c r="AN3071" s="497">
        <v>42.980000000000004</v>
      </c>
      <c r="AP3071" s="42"/>
      <c r="AQ3071" s="74"/>
      <c r="AR3071" s="77"/>
      <c r="AT3071" s="497">
        <v>42.08</v>
      </c>
      <c r="AV3071" s="42"/>
      <c r="AW3071" s="74"/>
      <c r="AX3071" s="77"/>
      <c r="BA3071" s="497">
        <v>37.04</v>
      </c>
      <c r="BB3071" s="42"/>
      <c r="BC3071" s="74"/>
      <c r="BD3071" s="77"/>
      <c r="BF3071">
        <v>37.94</v>
      </c>
      <c r="BH3071" s="42"/>
      <c r="BI3071" s="74"/>
      <c r="BJ3071" s="77"/>
      <c r="BL3071" s="497">
        <v>46.04</v>
      </c>
      <c r="BN3071" s="42"/>
      <c r="BO3071" s="74"/>
      <c r="BP3071" s="77"/>
      <c r="BR3071" s="497">
        <v>37.94</v>
      </c>
      <c r="BT3071" s="42"/>
    </row>
    <row r="3072" spans="1:72" x14ac:dyDescent="0.25">
      <c r="A3072" s="90">
        <v>36288</v>
      </c>
      <c r="B3072" s="20">
        <v>0.25</v>
      </c>
      <c r="D3072">
        <v>53.96</v>
      </c>
      <c r="E3072" t="str">
        <f t="shared" si="130"/>
        <v>SATURDAY</v>
      </c>
      <c r="F3072" t="e">
        <f t="shared" si="131"/>
        <v>#N/A</v>
      </c>
      <c r="G3072" s="74">
        <v>31905</v>
      </c>
      <c r="H3072" s="77">
        <v>0.25</v>
      </c>
      <c r="J3072">
        <v>53.96</v>
      </c>
      <c r="M3072" s="74">
        <v>34462</v>
      </c>
      <c r="N3072" s="77">
        <v>0.25</v>
      </c>
      <c r="P3072">
        <v>50.900000000000006</v>
      </c>
      <c r="S3072" s="74">
        <v>36288</v>
      </c>
      <c r="T3072" s="77">
        <v>0.25</v>
      </c>
      <c r="V3072">
        <v>55.400000000000006</v>
      </c>
      <c r="X3072" s="42"/>
      <c r="AB3072">
        <v>52.6</v>
      </c>
      <c r="AC3072">
        <v>44.96</v>
      </c>
      <c r="AE3072" s="74"/>
      <c r="AF3072" s="77"/>
      <c r="AH3072" s="497">
        <v>64.759999999999991</v>
      </c>
      <c r="AJ3072" s="42"/>
      <c r="AK3072" s="74"/>
      <c r="AL3072" s="77"/>
      <c r="AN3072" s="497">
        <v>46.04</v>
      </c>
      <c r="AP3072" s="42"/>
      <c r="AQ3072" s="74"/>
      <c r="AR3072" s="77"/>
      <c r="AT3072" s="497">
        <v>42.08</v>
      </c>
      <c r="AV3072" s="42"/>
      <c r="AW3072" s="74"/>
      <c r="AX3072" s="77"/>
      <c r="BA3072" s="497">
        <v>41</v>
      </c>
      <c r="BB3072" s="42"/>
      <c r="BC3072" s="74"/>
      <c r="BD3072" s="77"/>
      <c r="BF3072">
        <v>39.019999999999996</v>
      </c>
      <c r="BH3072" s="42"/>
      <c r="BI3072" s="74"/>
      <c r="BJ3072" s="77"/>
      <c r="BL3072" s="497">
        <v>46.04</v>
      </c>
      <c r="BN3072" s="42"/>
      <c r="BO3072" s="74"/>
      <c r="BP3072" s="77"/>
      <c r="BR3072" s="497">
        <v>37.04</v>
      </c>
      <c r="BT3072" s="42"/>
    </row>
    <row r="3073" spans="1:72" x14ac:dyDescent="0.25">
      <c r="A3073" s="90">
        <v>36288</v>
      </c>
      <c r="B3073" s="20">
        <v>0.29166666666666669</v>
      </c>
      <c r="D3073">
        <v>53.96</v>
      </c>
      <c r="E3073" t="str">
        <f t="shared" si="130"/>
        <v>SATURDAY</v>
      </c>
      <c r="F3073" t="e">
        <f t="shared" si="131"/>
        <v>#N/A</v>
      </c>
      <c r="G3073" s="74">
        <v>31905</v>
      </c>
      <c r="H3073" s="77">
        <v>0.29166666666666669</v>
      </c>
      <c r="J3073">
        <v>55.040000000000006</v>
      </c>
      <c r="M3073" s="74">
        <v>34462</v>
      </c>
      <c r="N3073" s="77">
        <v>0.29166666666666669</v>
      </c>
      <c r="P3073">
        <v>50.900000000000006</v>
      </c>
      <c r="S3073" s="74">
        <v>36288</v>
      </c>
      <c r="T3073" s="77">
        <v>0.29166666666666669</v>
      </c>
      <c r="V3073">
        <v>55.040000000000006</v>
      </c>
      <c r="X3073" s="42"/>
      <c r="AB3073">
        <v>53.7</v>
      </c>
      <c r="AC3073">
        <v>51.08</v>
      </c>
      <c r="AE3073" s="74"/>
      <c r="AF3073" s="77"/>
      <c r="AH3073" s="497">
        <v>69.800000000000011</v>
      </c>
      <c r="AJ3073" s="42"/>
      <c r="AK3073" s="74"/>
      <c r="AL3073" s="77"/>
      <c r="AN3073" s="497">
        <v>48.019999999999996</v>
      </c>
      <c r="AP3073" s="42"/>
      <c r="AQ3073" s="74"/>
      <c r="AR3073" s="77"/>
      <c r="AT3073" s="497">
        <v>42.980000000000004</v>
      </c>
      <c r="AV3073" s="42"/>
      <c r="AW3073" s="74"/>
      <c r="AX3073" s="77"/>
      <c r="BA3073" s="497">
        <v>42.08</v>
      </c>
      <c r="BB3073" s="42"/>
      <c r="BC3073" s="74"/>
      <c r="BD3073" s="77"/>
      <c r="BF3073">
        <v>42.08</v>
      </c>
      <c r="BH3073" s="42"/>
      <c r="BI3073" s="74"/>
      <c r="BJ3073" s="77"/>
      <c r="BL3073" s="497">
        <v>51.08</v>
      </c>
      <c r="BN3073" s="42"/>
      <c r="BO3073" s="74"/>
      <c r="BP3073" s="77"/>
      <c r="BR3073" s="497">
        <v>39.019999999999996</v>
      </c>
      <c r="BT3073" s="42"/>
    </row>
    <row r="3074" spans="1:72" x14ac:dyDescent="0.25">
      <c r="A3074" s="90">
        <v>36288</v>
      </c>
      <c r="B3074" s="20">
        <v>0.33333333333333331</v>
      </c>
      <c r="D3074">
        <v>55.040000000000006</v>
      </c>
      <c r="E3074" t="str">
        <f t="shared" si="130"/>
        <v>SATURDAY</v>
      </c>
      <c r="F3074" t="e">
        <f t="shared" si="131"/>
        <v>#N/A</v>
      </c>
      <c r="G3074" s="74">
        <v>31905</v>
      </c>
      <c r="H3074" s="77">
        <v>0.33333333333333331</v>
      </c>
      <c r="J3074">
        <v>53.96</v>
      </c>
      <c r="M3074" s="74">
        <v>34462</v>
      </c>
      <c r="N3074" s="77">
        <v>0.33333333333333331</v>
      </c>
      <c r="P3074">
        <v>51.980000000000004</v>
      </c>
      <c r="S3074" s="74">
        <v>36288</v>
      </c>
      <c r="T3074" s="77">
        <v>0.33333333333333331</v>
      </c>
      <c r="V3074">
        <v>55.94</v>
      </c>
      <c r="X3074" s="42"/>
      <c r="AB3074">
        <v>55.6</v>
      </c>
      <c r="AC3074">
        <v>55.94</v>
      </c>
      <c r="AE3074" s="74"/>
      <c r="AF3074" s="77"/>
      <c r="AH3074" s="497">
        <v>75.2</v>
      </c>
      <c r="AJ3074" s="42"/>
      <c r="AK3074" s="74"/>
      <c r="AL3074" s="77"/>
      <c r="AN3074" s="497">
        <v>51.980000000000004</v>
      </c>
      <c r="AP3074" s="42"/>
      <c r="AQ3074" s="74"/>
      <c r="AR3074" s="77"/>
      <c r="AT3074" s="497">
        <v>44.06</v>
      </c>
      <c r="AV3074" s="42"/>
      <c r="AW3074" s="74"/>
      <c r="AX3074" s="77"/>
      <c r="BA3074" s="497">
        <v>44.06</v>
      </c>
      <c r="BB3074" s="42"/>
      <c r="BC3074" s="74"/>
      <c r="BD3074" s="77"/>
      <c r="BF3074">
        <v>44.96</v>
      </c>
      <c r="BH3074" s="42"/>
      <c r="BI3074" s="74"/>
      <c r="BJ3074" s="77"/>
      <c r="BL3074" s="497">
        <v>53.96</v>
      </c>
      <c r="BN3074" s="42"/>
      <c r="BO3074" s="74"/>
      <c r="BP3074" s="77"/>
      <c r="BR3074" s="497">
        <v>42.08</v>
      </c>
      <c r="BT3074" s="42"/>
    </row>
    <row r="3075" spans="1:72" x14ac:dyDescent="0.25">
      <c r="A3075" s="90">
        <v>36288</v>
      </c>
      <c r="B3075" s="20">
        <v>0.375</v>
      </c>
      <c r="D3075">
        <v>57.019999999999996</v>
      </c>
      <c r="E3075" t="str">
        <f t="shared" si="130"/>
        <v>SATURDAY</v>
      </c>
      <c r="F3075" t="e">
        <f t="shared" si="131"/>
        <v>#N/A</v>
      </c>
      <c r="G3075" s="74">
        <v>31905</v>
      </c>
      <c r="H3075" s="77">
        <v>0.375</v>
      </c>
      <c r="J3075">
        <v>55.94</v>
      </c>
      <c r="M3075" s="74">
        <v>34462</v>
      </c>
      <c r="N3075" s="77">
        <v>0.375</v>
      </c>
      <c r="P3075">
        <v>54.86</v>
      </c>
      <c r="S3075" s="74">
        <v>36288</v>
      </c>
      <c r="T3075" s="77">
        <v>0.375</v>
      </c>
      <c r="V3075">
        <v>57.92</v>
      </c>
      <c r="X3075" s="42"/>
      <c r="AB3075">
        <v>57.5</v>
      </c>
      <c r="AC3075">
        <v>57.019999999999996</v>
      </c>
      <c r="AE3075" s="74"/>
      <c r="AF3075" s="77"/>
      <c r="AH3075" s="497">
        <v>77</v>
      </c>
      <c r="AJ3075" s="42"/>
      <c r="AK3075" s="74"/>
      <c r="AL3075" s="77"/>
      <c r="AN3075" s="497">
        <v>57.92</v>
      </c>
      <c r="AP3075" s="42"/>
      <c r="AQ3075" s="74"/>
      <c r="AR3075" s="77"/>
      <c r="AT3075" s="497">
        <v>46.04</v>
      </c>
      <c r="AV3075" s="42"/>
      <c r="AW3075" s="74"/>
      <c r="AX3075" s="77"/>
      <c r="BA3075" s="497">
        <v>44.96</v>
      </c>
      <c r="BB3075" s="42"/>
      <c r="BC3075" s="74"/>
      <c r="BD3075" s="77"/>
      <c r="BF3075">
        <v>46.94</v>
      </c>
      <c r="BH3075" s="42"/>
      <c r="BI3075" s="74"/>
      <c r="BJ3075" s="77"/>
      <c r="BL3075" s="497">
        <v>55.94</v>
      </c>
      <c r="BN3075" s="42"/>
      <c r="BO3075" s="74"/>
      <c r="BP3075" s="77"/>
      <c r="BR3075" s="497">
        <v>44.96</v>
      </c>
      <c r="BT3075" s="42"/>
    </row>
    <row r="3076" spans="1:72" x14ac:dyDescent="0.25">
      <c r="A3076" s="90">
        <v>36288</v>
      </c>
      <c r="B3076" s="20">
        <v>0.41666666666666669</v>
      </c>
      <c r="D3076">
        <v>59</v>
      </c>
      <c r="E3076" t="str">
        <f t="shared" si="130"/>
        <v>SATURDAY</v>
      </c>
      <c r="F3076" t="e">
        <f t="shared" si="131"/>
        <v>#N/A</v>
      </c>
      <c r="G3076" s="74">
        <v>31905</v>
      </c>
      <c r="H3076" s="77">
        <v>0.41666666666666669</v>
      </c>
      <c r="J3076">
        <v>57.92</v>
      </c>
      <c r="M3076" s="74">
        <v>34462</v>
      </c>
      <c r="N3076" s="77">
        <v>0.41666666666666669</v>
      </c>
      <c r="P3076">
        <v>55.94</v>
      </c>
      <c r="S3076" s="74">
        <v>36288</v>
      </c>
      <c r="T3076" s="77">
        <v>0.41666666666666669</v>
      </c>
      <c r="V3076">
        <v>57.92</v>
      </c>
      <c r="X3076" s="42"/>
      <c r="AB3076">
        <v>59.3</v>
      </c>
      <c r="AC3076">
        <v>59</v>
      </c>
      <c r="AE3076" s="74"/>
      <c r="AF3076" s="77"/>
      <c r="AH3076" s="497">
        <v>82.4</v>
      </c>
      <c r="AJ3076" s="42"/>
      <c r="AK3076" s="74"/>
      <c r="AL3076" s="77"/>
      <c r="AN3076" s="497">
        <v>60.980000000000004</v>
      </c>
      <c r="AP3076" s="42"/>
      <c r="AQ3076" s="74"/>
      <c r="AR3076" s="77"/>
      <c r="AT3076" s="497">
        <v>48.019999999999996</v>
      </c>
      <c r="AV3076" s="42"/>
      <c r="AW3076" s="74"/>
      <c r="AX3076" s="77"/>
      <c r="BA3076" s="497">
        <v>46.94</v>
      </c>
      <c r="BB3076" s="42"/>
      <c r="BC3076" s="74"/>
      <c r="BD3076" s="77"/>
      <c r="BF3076">
        <v>50</v>
      </c>
      <c r="BH3076" s="42"/>
      <c r="BI3076" s="74"/>
      <c r="BJ3076" s="77"/>
      <c r="BL3076" s="497">
        <v>55.94</v>
      </c>
      <c r="BN3076" s="42"/>
      <c r="BO3076" s="74"/>
      <c r="BP3076" s="77"/>
      <c r="BR3076" s="497">
        <v>46.94</v>
      </c>
      <c r="BT3076" s="42"/>
    </row>
    <row r="3077" spans="1:72" x14ac:dyDescent="0.25">
      <c r="A3077" s="90">
        <v>36288</v>
      </c>
      <c r="B3077" s="20">
        <v>0.45833333333333331</v>
      </c>
      <c r="D3077">
        <v>59</v>
      </c>
      <c r="E3077" t="str">
        <f t="shared" si="130"/>
        <v>SATURDAY</v>
      </c>
      <c r="F3077" t="e">
        <f t="shared" si="131"/>
        <v>#N/A</v>
      </c>
      <c r="G3077" s="74">
        <v>31905</v>
      </c>
      <c r="H3077" s="77">
        <v>0.45833333333333331</v>
      </c>
      <c r="J3077">
        <v>60.08</v>
      </c>
      <c r="M3077" s="74">
        <v>34462</v>
      </c>
      <c r="N3077" s="77">
        <v>0.45833333333333331</v>
      </c>
      <c r="P3077">
        <v>56.84</v>
      </c>
      <c r="S3077" s="74">
        <v>36288</v>
      </c>
      <c r="T3077" s="77">
        <v>0.45833333333333331</v>
      </c>
      <c r="V3077">
        <v>57.019999999999996</v>
      </c>
      <c r="X3077" s="42"/>
      <c r="AB3077">
        <v>61</v>
      </c>
      <c r="AC3077">
        <v>60.980000000000004</v>
      </c>
      <c r="AE3077" s="74"/>
      <c r="AF3077" s="77"/>
      <c r="AH3077" s="497">
        <v>84.2</v>
      </c>
      <c r="AJ3077" s="42"/>
      <c r="AK3077" s="74"/>
      <c r="AL3077" s="77"/>
      <c r="AN3077" s="497">
        <v>64.039999999999992</v>
      </c>
      <c r="AP3077" s="42"/>
      <c r="AQ3077" s="74"/>
      <c r="AR3077" s="77"/>
      <c r="AT3077" s="497">
        <v>50</v>
      </c>
      <c r="AV3077" s="42"/>
      <c r="AW3077" s="74"/>
      <c r="AX3077" s="77"/>
      <c r="BA3077" s="497">
        <v>48.92</v>
      </c>
      <c r="BB3077" s="42"/>
      <c r="BC3077" s="74"/>
      <c r="BD3077" s="77"/>
      <c r="BF3077">
        <v>53.06</v>
      </c>
      <c r="BH3077" s="42"/>
      <c r="BI3077" s="74"/>
      <c r="BJ3077" s="77"/>
      <c r="BL3077" s="497">
        <v>55.94</v>
      </c>
      <c r="BN3077" s="42"/>
      <c r="BO3077" s="74"/>
      <c r="BP3077" s="77"/>
      <c r="BR3077" s="497">
        <v>51.08</v>
      </c>
      <c r="BT3077" s="42"/>
    </row>
    <row r="3078" spans="1:72" x14ac:dyDescent="0.25">
      <c r="A3078" s="90">
        <v>36288</v>
      </c>
      <c r="B3078" s="20">
        <v>0.5</v>
      </c>
      <c r="D3078">
        <v>60.980000000000004</v>
      </c>
      <c r="E3078" t="str">
        <f t="shared" si="130"/>
        <v>SATURDAY</v>
      </c>
      <c r="F3078" t="e">
        <f t="shared" si="131"/>
        <v>#N/A</v>
      </c>
      <c r="G3078" s="74">
        <v>31905</v>
      </c>
      <c r="H3078" s="77">
        <v>0.5</v>
      </c>
      <c r="J3078">
        <v>64.039999999999992</v>
      </c>
      <c r="M3078" s="74">
        <v>34462</v>
      </c>
      <c r="N3078" s="77">
        <v>0.5</v>
      </c>
      <c r="P3078">
        <v>57.92</v>
      </c>
      <c r="S3078" s="74">
        <v>36288</v>
      </c>
      <c r="T3078" s="77">
        <v>0.5</v>
      </c>
      <c r="V3078">
        <v>57.019999999999996</v>
      </c>
      <c r="X3078" s="42"/>
      <c r="AB3078">
        <v>62.2</v>
      </c>
      <c r="AC3078">
        <v>60.08</v>
      </c>
      <c r="AE3078" s="74"/>
      <c r="AF3078" s="77"/>
      <c r="AH3078" s="497">
        <v>86</v>
      </c>
      <c r="AJ3078" s="42"/>
      <c r="AK3078" s="74"/>
      <c r="AL3078" s="77"/>
      <c r="AN3078" s="497">
        <v>66.02</v>
      </c>
      <c r="AP3078" s="42"/>
      <c r="AQ3078" s="74"/>
      <c r="AR3078" s="77"/>
      <c r="AT3078" s="497">
        <v>53.06</v>
      </c>
      <c r="AV3078" s="42"/>
      <c r="AW3078" s="74"/>
      <c r="AX3078" s="77"/>
      <c r="BA3078" s="497">
        <v>48.92</v>
      </c>
      <c r="BB3078" s="42"/>
      <c r="BC3078" s="74"/>
      <c r="BD3078" s="77"/>
      <c r="BF3078">
        <v>55.040000000000006</v>
      </c>
      <c r="BH3078" s="42"/>
      <c r="BI3078" s="74"/>
      <c r="BJ3078" s="77"/>
      <c r="BL3078" s="497">
        <v>55.040000000000006</v>
      </c>
      <c r="BN3078" s="42"/>
      <c r="BO3078" s="74"/>
      <c r="BP3078" s="77"/>
      <c r="BR3078" s="497">
        <v>53.96</v>
      </c>
      <c r="BT3078" s="42"/>
    </row>
    <row r="3079" spans="1:72" x14ac:dyDescent="0.25">
      <c r="A3079" s="90">
        <v>36288</v>
      </c>
      <c r="B3079" s="20">
        <v>0.54166666666666663</v>
      </c>
      <c r="D3079">
        <v>62.06</v>
      </c>
      <c r="E3079" t="str">
        <f t="shared" si="130"/>
        <v>SATURDAY</v>
      </c>
      <c r="F3079" t="e">
        <f t="shared" si="131"/>
        <v>#N/A</v>
      </c>
      <c r="G3079" s="74">
        <v>31905</v>
      </c>
      <c r="H3079" s="77">
        <v>0.54166666666666663</v>
      </c>
      <c r="J3079">
        <v>64.039999999999992</v>
      </c>
      <c r="M3079" s="74">
        <v>34462</v>
      </c>
      <c r="N3079" s="77">
        <v>0.54166666666666663</v>
      </c>
      <c r="P3079">
        <v>57.92</v>
      </c>
      <c r="S3079" s="74">
        <v>36288</v>
      </c>
      <c r="T3079" s="77">
        <v>0.54166666666666663</v>
      </c>
      <c r="V3079">
        <v>57.92</v>
      </c>
      <c r="X3079" s="42"/>
      <c r="AB3079">
        <v>63</v>
      </c>
      <c r="AC3079">
        <v>60.980000000000004</v>
      </c>
      <c r="AE3079" s="74"/>
      <c r="AF3079" s="77"/>
      <c r="AH3079" s="497">
        <v>87.800000000000011</v>
      </c>
      <c r="AJ3079" s="42"/>
      <c r="AK3079" s="74"/>
      <c r="AL3079" s="77"/>
      <c r="AN3079" s="497">
        <v>69.080000000000013</v>
      </c>
      <c r="AP3079" s="42"/>
      <c r="AQ3079" s="74"/>
      <c r="AR3079" s="77"/>
      <c r="AT3079" s="497">
        <v>53.96</v>
      </c>
      <c r="AV3079" s="42"/>
      <c r="AW3079" s="74"/>
      <c r="AX3079" s="77"/>
      <c r="BA3079" s="497">
        <v>51.08</v>
      </c>
      <c r="BB3079" s="42"/>
      <c r="BC3079" s="74"/>
      <c r="BD3079" s="77"/>
      <c r="BF3079">
        <v>57.019999999999996</v>
      </c>
      <c r="BH3079" s="42"/>
      <c r="BI3079" s="74"/>
      <c r="BJ3079" s="77"/>
      <c r="BL3079" s="497">
        <v>55.040000000000006</v>
      </c>
      <c r="BN3079" s="42"/>
      <c r="BO3079" s="74"/>
      <c r="BP3079" s="77"/>
      <c r="BR3079" s="497">
        <v>57.019999999999996</v>
      </c>
      <c r="BT3079" s="42"/>
    </row>
    <row r="3080" spans="1:72" x14ac:dyDescent="0.25">
      <c r="A3080" s="90">
        <v>36288</v>
      </c>
      <c r="B3080" s="20">
        <v>0.58333333333333337</v>
      </c>
      <c r="D3080">
        <v>60.980000000000004</v>
      </c>
      <c r="E3080" t="str">
        <f t="shared" si="130"/>
        <v>SATURDAY</v>
      </c>
      <c r="F3080" t="e">
        <f t="shared" si="131"/>
        <v>#N/A</v>
      </c>
      <c r="G3080" s="74">
        <v>31905</v>
      </c>
      <c r="H3080" s="77">
        <v>0.58333333333333337</v>
      </c>
      <c r="J3080">
        <v>64.039999999999992</v>
      </c>
      <c r="M3080" s="74">
        <v>34462</v>
      </c>
      <c r="N3080" s="77">
        <v>0.58333333333333337</v>
      </c>
      <c r="P3080">
        <v>56.84</v>
      </c>
      <c r="S3080" s="74">
        <v>36288</v>
      </c>
      <c r="T3080" s="77">
        <v>0.58333333333333337</v>
      </c>
      <c r="V3080">
        <v>57.92</v>
      </c>
      <c r="X3080" s="42"/>
      <c r="AB3080">
        <v>63.5</v>
      </c>
      <c r="AC3080">
        <v>60.980000000000004</v>
      </c>
      <c r="AE3080" s="74"/>
      <c r="AF3080" s="77"/>
      <c r="AH3080" s="497">
        <v>89.6</v>
      </c>
      <c r="AJ3080" s="42"/>
      <c r="AK3080" s="74"/>
      <c r="AL3080" s="77"/>
      <c r="AN3080" s="497">
        <v>71.06</v>
      </c>
      <c r="AP3080" s="42"/>
      <c r="AQ3080" s="74"/>
      <c r="AR3080" s="77"/>
      <c r="AT3080" s="497">
        <v>55.040000000000006</v>
      </c>
      <c r="AV3080" s="42"/>
      <c r="AW3080" s="74"/>
      <c r="AX3080" s="77"/>
      <c r="BA3080" s="497">
        <v>51.08</v>
      </c>
      <c r="BB3080" s="42"/>
      <c r="BC3080" s="74"/>
      <c r="BD3080" s="77"/>
      <c r="BF3080">
        <v>57.92</v>
      </c>
      <c r="BH3080" s="42"/>
      <c r="BI3080" s="74"/>
      <c r="BJ3080" s="77"/>
      <c r="BL3080" s="497">
        <v>55.040000000000006</v>
      </c>
      <c r="BN3080" s="42"/>
      <c r="BO3080" s="74"/>
      <c r="BP3080" s="77"/>
      <c r="BR3080" s="497">
        <v>60.08</v>
      </c>
      <c r="BT3080" s="42"/>
    </row>
    <row r="3081" spans="1:72" x14ac:dyDescent="0.25">
      <c r="A3081" s="90">
        <v>36288</v>
      </c>
      <c r="B3081" s="20">
        <v>0.625</v>
      </c>
      <c r="D3081">
        <v>60.980000000000004</v>
      </c>
      <c r="E3081" t="str">
        <f t="shared" si="130"/>
        <v>SATURDAY</v>
      </c>
      <c r="F3081" t="e">
        <f t="shared" si="131"/>
        <v>#N/A</v>
      </c>
      <c r="G3081" s="74">
        <v>31905</v>
      </c>
      <c r="H3081" s="77">
        <v>0.625</v>
      </c>
      <c r="J3081">
        <v>66.02</v>
      </c>
      <c r="M3081" s="74">
        <v>34462</v>
      </c>
      <c r="N3081" s="77">
        <v>0.625</v>
      </c>
      <c r="P3081">
        <v>57.019999999999996</v>
      </c>
      <c r="S3081" s="74">
        <v>36288</v>
      </c>
      <c r="T3081" s="77">
        <v>0.625</v>
      </c>
      <c r="V3081">
        <v>59</v>
      </c>
      <c r="X3081" s="42"/>
      <c r="AB3081">
        <v>63.4</v>
      </c>
      <c r="AC3081">
        <v>60.08</v>
      </c>
      <c r="AE3081" s="74"/>
      <c r="AF3081" s="77"/>
      <c r="AH3081" s="497">
        <v>89.6</v>
      </c>
      <c r="AJ3081" s="42"/>
      <c r="AK3081" s="74"/>
      <c r="AL3081" s="77"/>
      <c r="AN3081" s="497">
        <v>71.06</v>
      </c>
      <c r="AP3081" s="42"/>
      <c r="AQ3081" s="74"/>
      <c r="AR3081" s="77"/>
      <c r="AT3081" s="497">
        <v>55.94</v>
      </c>
      <c r="AV3081" s="42"/>
      <c r="AW3081" s="74"/>
      <c r="AX3081" s="77"/>
      <c r="BA3081" s="497">
        <v>51.980000000000004</v>
      </c>
      <c r="BB3081" s="42"/>
      <c r="BC3081" s="74"/>
      <c r="BD3081" s="77"/>
      <c r="BF3081">
        <v>57.019999999999996</v>
      </c>
      <c r="BH3081" s="42"/>
      <c r="BI3081" s="74"/>
      <c r="BJ3081" s="77"/>
      <c r="BL3081" s="497">
        <v>55.94</v>
      </c>
      <c r="BN3081" s="42"/>
      <c r="BO3081" s="74"/>
      <c r="BP3081" s="77"/>
      <c r="BR3081" s="497">
        <v>62.06</v>
      </c>
      <c r="BT3081" s="42"/>
    </row>
    <row r="3082" spans="1:72" x14ac:dyDescent="0.25">
      <c r="A3082" s="90">
        <v>36288</v>
      </c>
      <c r="B3082" s="20">
        <v>0.66666666666666663</v>
      </c>
      <c r="D3082">
        <v>59</v>
      </c>
      <c r="E3082" t="str">
        <f t="shared" si="130"/>
        <v>SATURDAY</v>
      </c>
      <c r="F3082" t="e">
        <f t="shared" si="131"/>
        <v>#N/A</v>
      </c>
      <c r="G3082" s="74">
        <v>31905</v>
      </c>
      <c r="H3082" s="77">
        <v>0.66666666666666663</v>
      </c>
      <c r="J3082">
        <v>66.02</v>
      </c>
      <c r="M3082" s="74">
        <v>34462</v>
      </c>
      <c r="N3082" s="77">
        <v>0.66666666666666663</v>
      </c>
      <c r="P3082">
        <v>56.84</v>
      </c>
      <c r="S3082" s="74">
        <v>36288</v>
      </c>
      <c r="T3082" s="77">
        <v>0.66666666666666663</v>
      </c>
      <c r="V3082">
        <v>59</v>
      </c>
      <c r="X3082" s="42"/>
      <c r="AB3082">
        <v>62.9</v>
      </c>
      <c r="AC3082">
        <v>59</v>
      </c>
      <c r="AE3082" s="74"/>
      <c r="AF3082" s="77"/>
      <c r="AH3082" s="497">
        <v>87.800000000000011</v>
      </c>
      <c r="AJ3082" s="42"/>
      <c r="AK3082" s="74"/>
      <c r="AL3082" s="77"/>
      <c r="AN3082" s="497">
        <v>69.98</v>
      </c>
      <c r="AP3082" s="42"/>
      <c r="AQ3082" s="74"/>
      <c r="AR3082" s="77"/>
      <c r="AT3082" s="497">
        <v>55.94</v>
      </c>
      <c r="AV3082" s="42"/>
      <c r="AW3082" s="74"/>
      <c r="AX3082" s="77"/>
      <c r="BA3082" s="497">
        <v>51.980000000000004</v>
      </c>
      <c r="BB3082" s="42"/>
      <c r="BC3082" s="74"/>
      <c r="BD3082" s="77"/>
      <c r="BF3082">
        <v>57.019999999999996</v>
      </c>
      <c r="BH3082" s="42"/>
      <c r="BI3082" s="74"/>
      <c r="BJ3082" s="77"/>
      <c r="BL3082" s="497">
        <v>55.94</v>
      </c>
      <c r="BN3082" s="42"/>
      <c r="BO3082" s="74"/>
      <c r="BP3082" s="77"/>
      <c r="BR3082" s="497">
        <v>64.039999999999992</v>
      </c>
      <c r="BT3082" s="42"/>
    </row>
    <row r="3083" spans="1:72" x14ac:dyDescent="0.25">
      <c r="A3083" s="90">
        <v>36288</v>
      </c>
      <c r="B3083" s="20">
        <v>0.70833333333333337</v>
      </c>
      <c r="D3083">
        <v>57.019999999999996</v>
      </c>
      <c r="E3083" t="str">
        <f t="shared" si="130"/>
        <v>SATURDAY</v>
      </c>
      <c r="F3083" t="e">
        <f t="shared" si="131"/>
        <v>#N/A</v>
      </c>
      <c r="G3083" s="74">
        <v>31905</v>
      </c>
      <c r="H3083" s="77">
        <v>0.70833333333333337</v>
      </c>
      <c r="J3083">
        <v>60.980000000000004</v>
      </c>
      <c r="M3083" s="74">
        <v>34462</v>
      </c>
      <c r="N3083" s="77">
        <v>0.70833333333333337</v>
      </c>
      <c r="P3083">
        <v>56.84</v>
      </c>
      <c r="S3083" s="74">
        <v>36288</v>
      </c>
      <c r="T3083" s="77">
        <v>0.70833333333333337</v>
      </c>
      <c r="V3083">
        <v>57.92</v>
      </c>
      <c r="X3083" s="42"/>
      <c r="AB3083">
        <v>62</v>
      </c>
      <c r="AC3083">
        <v>57.92</v>
      </c>
      <c r="AE3083" s="74"/>
      <c r="AF3083" s="77"/>
      <c r="AH3083" s="497">
        <v>86</v>
      </c>
      <c r="AJ3083" s="42"/>
      <c r="AK3083" s="74"/>
      <c r="AL3083" s="77"/>
      <c r="AN3083" s="497">
        <v>71.06</v>
      </c>
      <c r="AP3083" s="42"/>
      <c r="AQ3083" s="74"/>
      <c r="AR3083" s="77"/>
      <c r="AT3083" s="497">
        <v>55.040000000000006</v>
      </c>
      <c r="AV3083" s="42"/>
      <c r="AW3083" s="74"/>
      <c r="AX3083" s="77"/>
      <c r="BA3083" s="497">
        <v>51.08</v>
      </c>
      <c r="BB3083" s="42"/>
      <c r="BC3083" s="74"/>
      <c r="BD3083" s="77"/>
      <c r="BF3083">
        <v>55.94</v>
      </c>
      <c r="BH3083" s="42"/>
      <c r="BI3083" s="74"/>
      <c r="BJ3083" s="77"/>
      <c r="BL3083" s="497">
        <v>55.040000000000006</v>
      </c>
      <c r="BN3083" s="42"/>
      <c r="BO3083" s="74"/>
      <c r="BP3083" s="77"/>
      <c r="BR3083" s="497">
        <v>64.94</v>
      </c>
      <c r="BT3083" s="42"/>
    </row>
    <row r="3084" spans="1:72" x14ac:dyDescent="0.25">
      <c r="A3084" s="90">
        <v>36288</v>
      </c>
      <c r="B3084" s="20">
        <v>0.75</v>
      </c>
      <c r="D3084">
        <v>59</v>
      </c>
      <c r="E3084" t="str">
        <f t="shared" si="130"/>
        <v>SATURDAY</v>
      </c>
      <c r="F3084" t="e">
        <f t="shared" si="131"/>
        <v>#N/A</v>
      </c>
      <c r="G3084" s="74">
        <v>31905</v>
      </c>
      <c r="H3084" s="77">
        <v>0.75</v>
      </c>
      <c r="J3084">
        <v>57.92</v>
      </c>
      <c r="M3084" s="74">
        <v>34462</v>
      </c>
      <c r="N3084" s="77">
        <v>0.75</v>
      </c>
      <c r="P3084">
        <v>55.94</v>
      </c>
      <c r="S3084" s="74">
        <v>36288</v>
      </c>
      <c r="T3084" s="77">
        <v>0.75</v>
      </c>
      <c r="V3084">
        <v>57.019999999999996</v>
      </c>
      <c r="X3084" s="42"/>
      <c r="AB3084">
        <v>60.9</v>
      </c>
      <c r="AC3084">
        <v>55.94</v>
      </c>
      <c r="AE3084" s="74"/>
      <c r="AF3084" s="77"/>
      <c r="AH3084" s="497">
        <v>82.4</v>
      </c>
      <c r="AJ3084" s="42"/>
      <c r="AK3084" s="74"/>
      <c r="AL3084" s="77"/>
      <c r="AN3084" s="497">
        <v>68</v>
      </c>
      <c r="AP3084" s="42"/>
      <c r="AQ3084" s="74"/>
      <c r="AR3084" s="77"/>
      <c r="AT3084" s="497">
        <v>53.06</v>
      </c>
      <c r="AV3084" s="42"/>
      <c r="AW3084" s="74"/>
      <c r="AX3084" s="77"/>
      <c r="BA3084" s="497">
        <v>50</v>
      </c>
      <c r="BB3084" s="42"/>
      <c r="BC3084" s="74"/>
      <c r="BD3084" s="77"/>
      <c r="BF3084">
        <v>55.94</v>
      </c>
      <c r="BH3084" s="42"/>
      <c r="BI3084" s="74"/>
      <c r="BJ3084" s="77"/>
      <c r="BL3084" s="497">
        <v>51.980000000000004</v>
      </c>
      <c r="BN3084" s="42"/>
      <c r="BO3084" s="74"/>
      <c r="BP3084" s="77"/>
      <c r="BR3084" s="497">
        <v>64.94</v>
      </c>
      <c r="BT3084" s="42"/>
    </row>
    <row r="3085" spans="1:72" x14ac:dyDescent="0.25">
      <c r="A3085" s="90">
        <v>36288</v>
      </c>
      <c r="B3085" s="20">
        <v>0.79166666666666663</v>
      </c>
      <c r="D3085">
        <v>57.92</v>
      </c>
      <c r="E3085" t="str">
        <f t="shared" si="130"/>
        <v>SATURDAY</v>
      </c>
      <c r="F3085" t="e">
        <f t="shared" si="131"/>
        <v>#N/A</v>
      </c>
      <c r="G3085" s="74">
        <v>31905</v>
      </c>
      <c r="H3085" s="77">
        <v>0.79166666666666663</v>
      </c>
      <c r="J3085">
        <v>55.040000000000006</v>
      </c>
      <c r="M3085" s="74">
        <v>34462</v>
      </c>
      <c r="N3085" s="77">
        <v>0.79166666666666663</v>
      </c>
      <c r="P3085">
        <v>54.86</v>
      </c>
      <c r="S3085" s="74">
        <v>36288</v>
      </c>
      <c r="T3085" s="77">
        <v>0.79166666666666663</v>
      </c>
      <c r="V3085">
        <v>57.019999999999996</v>
      </c>
      <c r="X3085" s="42"/>
      <c r="AB3085">
        <v>59.4</v>
      </c>
      <c r="AC3085">
        <v>53.96</v>
      </c>
      <c r="AE3085" s="74"/>
      <c r="AF3085" s="77"/>
      <c r="AH3085" s="497">
        <v>80.599999999999994</v>
      </c>
      <c r="AJ3085" s="42"/>
      <c r="AK3085" s="74"/>
      <c r="AL3085" s="77"/>
      <c r="AN3085" s="497">
        <v>64.94</v>
      </c>
      <c r="AP3085" s="42"/>
      <c r="AQ3085" s="74"/>
      <c r="AR3085" s="77"/>
      <c r="AT3085" s="497">
        <v>51.08</v>
      </c>
      <c r="AV3085" s="42"/>
      <c r="AW3085" s="74"/>
      <c r="AX3085" s="77"/>
      <c r="BA3085" s="497">
        <v>44.96</v>
      </c>
      <c r="BB3085" s="42"/>
      <c r="BC3085" s="74"/>
      <c r="BD3085" s="77"/>
      <c r="BF3085">
        <v>53.96</v>
      </c>
      <c r="BH3085" s="42"/>
      <c r="BI3085" s="74"/>
      <c r="BJ3085" s="77"/>
      <c r="BL3085" s="497">
        <v>51.08</v>
      </c>
      <c r="BN3085" s="42"/>
      <c r="BO3085" s="74"/>
      <c r="BP3085" s="77"/>
      <c r="BR3085" s="497">
        <v>62.96</v>
      </c>
      <c r="BT3085" s="42"/>
    </row>
    <row r="3086" spans="1:72" x14ac:dyDescent="0.25">
      <c r="A3086" s="90">
        <v>36288</v>
      </c>
      <c r="B3086" s="20">
        <v>0.83333333333333337</v>
      </c>
      <c r="D3086">
        <v>57.92</v>
      </c>
      <c r="E3086" t="str">
        <f t="shared" si="130"/>
        <v>SATURDAY</v>
      </c>
      <c r="F3086" t="e">
        <f t="shared" si="131"/>
        <v>#N/A</v>
      </c>
      <c r="G3086" s="74">
        <v>31905</v>
      </c>
      <c r="H3086" s="77">
        <v>0.83333333333333337</v>
      </c>
      <c r="J3086">
        <v>53.06</v>
      </c>
      <c r="M3086" s="74">
        <v>34462</v>
      </c>
      <c r="N3086" s="77">
        <v>0.83333333333333337</v>
      </c>
      <c r="P3086">
        <v>54.86</v>
      </c>
      <c r="S3086" s="74">
        <v>36288</v>
      </c>
      <c r="T3086" s="77">
        <v>0.83333333333333337</v>
      </c>
      <c r="V3086">
        <v>55.040000000000006</v>
      </c>
      <c r="X3086" s="42"/>
      <c r="AB3086">
        <v>58</v>
      </c>
      <c r="AC3086">
        <v>53.06</v>
      </c>
      <c r="AE3086" s="74"/>
      <c r="AF3086" s="77"/>
      <c r="AH3086" s="497">
        <v>75.2</v>
      </c>
      <c r="AJ3086" s="42"/>
      <c r="AK3086" s="74"/>
      <c r="AL3086" s="77"/>
      <c r="AN3086" s="497">
        <v>64.039999999999992</v>
      </c>
      <c r="AP3086" s="42"/>
      <c r="AQ3086" s="74"/>
      <c r="AR3086" s="77"/>
      <c r="AT3086" s="497">
        <v>48.019999999999996</v>
      </c>
      <c r="AV3086" s="42"/>
      <c r="AW3086" s="74"/>
      <c r="AX3086" s="77"/>
      <c r="BA3086" s="497">
        <v>39.92</v>
      </c>
      <c r="BB3086" s="42"/>
      <c r="BC3086" s="74"/>
      <c r="BD3086" s="77"/>
      <c r="BF3086">
        <v>53.06</v>
      </c>
      <c r="BH3086" s="42"/>
      <c r="BI3086" s="74"/>
      <c r="BJ3086" s="77"/>
      <c r="BL3086" s="497">
        <v>50</v>
      </c>
      <c r="BN3086" s="42"/>
      <c r="BO3086" s="74"/>
      <c r="BP3086" s="77"/>
      <c r="BR3086" s="497">
        <v>59</v>
      </c>
      <c r="BT3086" s="42"/>
    </row>
    <row r="3087" spans="1:72" x14ac:dyDescent="0.25">
      <c r="A3087" s="90">
        <v>36288</v>
      </c>
      <c r="B3087" s="20">
        <v>0.875</v>
      </c>
      <c r="D3087">
        <v>57.019999999999996</v>
      </c>
      <c r="E3087" t="str">
        <f t="shared" si="130"/>
        <v>SATURDAY</v>
      </c>
      <c r="F3087" t="e">
        <f t="shared" si="131"/>
        <v>#N/A</v>
      </c>
      <c r="G3087" s="74">
        <v>31905</v>
      </c>
      <c r="H3087" s="77">
        <v>0.875</v>
      </c>
      <c r="J3087">
        <v>51.980000000000004</v>
      </c>
      <c r="M3087" s="74">
        <v>34462</v>
      </c>
      <c r="N3087" s="77">
        <v>0.875</v>
      </c>
      <c r="P3087">
        <v>52.879999999999995</v>
      </c>
      <c r="S3087" s="74">
        <v>36288</v>
      </c>
      <c r="T3087" s="77">
        <v>0.875</v>
      </c>
      <c r="V3087">
        <v>55.94</v>
      </c>
      <c r="X3087" s="42"/>
      <c r="AB3087">
        <v>57</v>
      </c>
      <c r="AC3087">
        <v>53.06</v>
      </c>
      <c r="AE3087" s="74"/>
      <c r="AF3087" s="77"/>
      <c r="AH3087" s="497">
        <v>69.800000000000011</v>
      </c>
      <c r="AJ3087" s="42"/>
      <c r="AK3087" s="74"/>
      <c r="AL3087" s="77"/>
      <c r="AN3087" s="497">
        <v>62.06</v>
      </c>
      <c r="AP3087" s="42"/>
      <c r="AQ3087" s="74"/>
      <c r="AR3087" s="77"/>
      <c r="AT3087" s="497">
        <v>46.04</v>
      </c>
      <c r="AV3087" s="42"/>
      <c r="AW3087" s="74"/>
      <c r="AX3087" s="77"/>
      <c r="BA3087" s="497">
        <v>39.92</v>
      </c>
      <c r="BB3087" s="42"/>
      <c r="BC3087" s="74"/>
      <c r="BD3087" s="77"/>
      <c r="BF3087">
        <v>50</v>
      </c>
      <c r="BH3087" s="42"/>
      <c r="BI3087" s="74"/>
      <c r="BJ3087" s="77"/>
      <c r="BL3087" s="497">
        <v>50</v>
      </c>
      <c r="BN3087" s="42"/>
      <c r="BO3087" s="74"/>
      <c r="BP3087" s="77"/>
      <c r="BR3087" s="497">
        <v>53.96</v>
      </c>
      <c r="BT3087" s="42"/>
    </row>
    <row r="3088" spans="1:72" x14ac:dyDescent="0.25">
      <c r="A3088" s="90">
        <v>36288</v>
      </c>
      <c r="B3088" s="20">
        <v>0.91666666666666663</v>
      </c>
      <c r="D3088">
        <v>57.019999999999996</v>
      </c>
      <c r="E3088" t="str">
        <f t="shared" si="130"/>
        <v>SATURDAY</v>
      </c>
      <c r="F3088" t="e">
        <f t="shared" si="131"/>
        <v>#N/A</v>
      </c>
      <c r="G3088" s="74">
        <v>31905</v>
      </c>
      <c r="H3088" s="77">
        <v>0.91666666666666663</v>
      </c>
      <c r="J3088">
        <v>51.980000000000004</v>
      </c>
      <c r="M3088" s="74">
        <v>34462</v>
      </c>
      <c r="N3088" s="77">
        <v>0.91666666666666663</v>
      </c>
      <c r="P3088">
        <v>52.879999999999995</v>
      </c>
      <c r="S3088" s="74">
        <v>36288</v>
      </c>
      <c r="T3088" s="77">
        <v>0.91666666666666663</v>
      </c>
      <c r="V3088">
        <v>57.92</v>
      </c>
      <c r="X3088" s="42"/>
      <c r="AB3088">
        <v>56.4</v>
      </c>
      <c r="AC3088">
        <v>51.980000000000004</v>
      </c>
      <c r="AE3088" s="74"/>
      <c r="AF3088" s="77"/>
      <c r="AH3088" s="497">
        <v>68</v>
      </c>
      <c r="AJ3088" s="42"/>
      <c r="AK3088" s="74"/>
      <c r="AL3088" s="77"/>
      <c r="AN3088" s="497">
        <v>59</v>
      </c>
      <c r="AP3088" s="42"/>
      <c r="AQ3088" s="74"/>
      <c r="AR3088" s="77"/>
      <c r="AT3088" s="497">
        <v>42.980000000000004</v>
      </c>
      <c r="AV3088" s="42"/>
      <c r="AW3088" s="74"/>
      <c r="AX3088" s="77"/>
      <c r="BA3088" s="497">
        <v>37.04</v>
      </c>
      <c r="BB3088" s="42"/>
      <c r="BC3088" s="74"/>
      <c r="BD3088" s="77"/>
      <c r="BF3088">
        <v>50</v>
      </c>
      <c r="BH3088" s="42"/>
      <c r="BI3088" s="74"/>
      <c r="BJ3088" s="77"/>
      <c r="BL3088" s="497">
        <v>50</v>
      </c>
      <c r="BN3088" s="42"/>
      <c r="BO3088" s="74"/>
      <c r="BP3088" s="77"/>
      <c r="BR3088" s="497">
        <v>55.94</v>
      </c>
      <c r="BT3088" s="42"/>
    </row>
    <row r="3089" spans="1:72" x14ac:dyDescent="0.25">
      <c r="A3089" s="90">
        <v>36288</v>
      </c>
      <c r="B3089" s="20">
        <v>0.95833333333333337</v>
      </c>
      <c r="D3089">
        <v>55.94</v>
      </c>
      <c r="E3089" t="str">
        <f t="shared" si="130"/>
        <v>SATURDAY</v>
      </c>
      <c r="F3089" t="e">
        <f t="shared" si="131"/>
        <v>#N/A</v>
      </c>
      <c r="G3089" s="74">
        <v>31905</v>
      </c>
      <c r="H3089" s="77">
        <v>0.95833333333333337</v>
      </c>
      <c r="J3089">
        <v>51.980000000000004</v>
      </c>
      <c r="M3089" s="74">
        <v>34462</v>
      </c>
      <c r="N3089" s="77">
        <v>0.95833333333333337</v>
      </c>
      <c r="P3089">
        <v>51.980000000000004</v>
      </c>
      <c r="S3089" s="74">
        <v>36288</v>
      </c>
      <c r="T3089" s="77">
        <v>0.95833333333333337</v>
      </c>
      <c r="V3089">
        <v>57.019999999999996</v>
      </c>
      <c r="X3089" s="42"/>
      <c r="AB3089">
        <v>55.9</v>
      </c>
      <c r="AC3089">
        <v>46.94</v>
      </c>
      <c r="AE3089" s="74"/>
      <c r="AF3089" s="77"/>
      <c r="AH3089" s="497">
        <v>68</v>
      </c>
      <c r="AJ3089" s="42"/>
      <c r="AK3089" s="74"/>
      <c r="AL3089" s="77"/>
      <c r="AN3089" s="497">
        <v>57.019999999999996</v>
      </c>
      <c r="AP3089" s="42"/>
      <c r="AQ3089" s="74"/>
      <c r="AR3089" s="77"/>
      <c r="AT3089" s="497">
        <v>41</v>
      </c>
      <c r="AV3089" s="42"/>
      <c r="AW3089" s="74"/>
      <c r="AX3089" s="77"/>
      <c r="BA3089" s="497">
        <v>37.04</v>
      </c>
      <c r="BB3089" s="42"/>
      <c r="BC3089" s="74"/>
      <c r="BD3089" s="77"/>
      <c r="BF3089">
        <v>48.92</v>
      </c>
      <c r="BH3089" s="42"/>
      <c r="BI3089" s="74"/>
      <c r="BJ3089" s="77"/>
      <c r="BL3089" s="497">
        <v>48.92</v>
      </c>
      <c r="BN3089" s="42"/>
      <c r="BO3089" s="74"/>
      <c r="BP3089" s="77"/>
      <c r="BR3089" s="497">
        <v>53.06</v>
      </c>
      <c r="BT3089" s="42"/>
    </row>
    <row r="3090" spans="1:72" x14ac:dyDescent="0.25">
      <c r="A3090" s="90">
        <v>36288</v>
      </c>
      <c r="B3090" s="20">
        <v>1</v>
      </c>
      <c r="D3090">
        <v>55.94</v>
      </c>
      <c r="E3090" t="str">
        <f t="shared" si="130"/>
        <v>SATURDAY</v>
      </c>
      <c r="F3090" t="e">
        <f t="shared" si="131"/>
        <v>#N/A</v>
      </c>
      <c r="G3090" s="74">
        <v>31905</v>
      </c>
      <c r="H3090" s="77">
        <v>1</v>
      </c>
      <c r="J3090">
        <v>51.08</v>
      </c>
      <c r="M3090" s="74">
        <v>34462</v>
      </c>
      <c r="N3090" s="80">
        <v>1</v>
      </c>
      <c r="P3090">
        <v>50.900000000000006</v>
      </c>
      <c r="S3090" s="74">
        <v>36288</v>
      </c>
      <c r="T3090" s="80">
        <v>1</v>
      </c>
      <c r="V3090">
        <v>55.040000000000006</v>
      </c>
      <c r="X3090" s="42"/>
      <c r="AB3090">
        <v>55.5</v>
      </c>
      <c r="AC3090">
        <v>46.94</v>
      </c>
      <c r="AE3090" s="74"/>
      <c r="AF3090" s="80"/>
      <c r="AH3090" s="497">
        <v>68</v>
      </c>
      <c r="AJ3090" s="42"/>
      <c r="AK3090" s="74"/>
      <c r="AL3090" s="80"/>
      <c r="AN3090" s="497">
        <v>55.040000000000006</v>
      </c>
      <c r="AP3090" s="42"/>
      <c r="AQ3090" s="74"/>
      <c r="AR3090" s="80"/>
      <c r="AT3090" s="497">
        <v>37.04</v>
      </c>
      <c r="AV3090" s="42"/>
      <c r="AW3090" s="74"/>
      <c r="AX3090" s="80"/>
      <c r="BA3090" s="497">
        <v>35.06</v>
      </c>
      <c r="BB3090" s="42"/>
      <c r="BC3090" s="74"/>
      <c r="BD3090" s="80"/>
      <c r="BF3090">
        <v>48.019999999999996</v>
      </c>
      <c r="BH3090" s="42"/>
      <c r="BI3090" s="74"/>
      <c r="BJ3090" s="80"/>
      <c r="BL3090" s="497">
        <v>48.019999999999996</v>
      </c>
      <c r="BN3090" s="42"/>
      <c r="BO3090" s="74"/>
      <c r="BP3090" s="80"/>
      <c r="BR3090" s="497">
        <v>48.92</v>
      </c>
      <c r="BT3090" s="42"/>
    </row>
    <row r="3091" spans="1:72" x14ac:dyDescent="0.25">
      <c r="A3091" s="90">
        <v>36289</v>
      </c>
      <c r="B3091" s="20">
        <v>4.1666666666666664E-2</v>
      </c>
      <c r="D3091">
        <v>55.040000000000006</v>
      </c>
      <c r="E3091" t="str">
        <f t="shared" ref="E3091:E3154" si="132">IF(COUNTIF($DI$18:$DI$22, WEEKDAY(A3091))=1, "WEEKDAY", IF(WEEKDAY(A3091) = 1, "SUNDAY", "SATURDAY"))</f>
        <v>SUNDAY</v>
      </c>
      <c r="F3091" t="e">
        <f t="shared" si="131"/>
        <v>#N/A</v>
      </c>
      <c r="G3091" s="74">
        <v>31906</v>
      </c>
      <c r="H3091" s="77">
        <v>4.1666666666666664E-2</v>
      </c>
      <c r="J3091">
        <v>51.08</v>
      </c>
      <c r="M3091" s="74">
        <v>34463</v>
      </c>
      <c r="N3091" s="77">
        <v>4.1666666666666664E-2</v>
      </c>
      <c r="P3091">
        <v>50</v>
      </c>
      <c r="S3091" s="74">
        <v>36289</v>
      </c>
      <c r="T3091" s="77">
        <v>4.1666666666666664E-2</v>
      </c>
      <c r="V3091">
        <v>53.96</v>
      </c>
      <c r="X3091" s="42"/>
      <c r="AB3091">
        <v>55</v>
      </c>
      <c r="AC3091">
        <v>46.04</v>
      </c>
      <c r="AE3091" s="74"/>
      <c r="AF3091" s="77"/>
      <c r="AH3091" s="497">
        <v>66.2</v>
      </c>
      <c r="AJ3091" s="42"/>
      <c r="AK3091" s="74"/>
      <c r="AL3091" s="77"/>
      <c r="AN3091" s="497">
        <v>53.96</v>
      </c>
      <c r="AP3091" s="42"/>
      <c r="AQ3091" s="74"/>
      <c r="AR3091" s="77"/>
      <c r="AT3091" s="497">
        <v>33.979999999999997</v>
      </c>
      <c r="AV3091" s="42"/>
      <c r="AW3091" s="74"/>
      <c r="AX3091" s="77"/>
      <c r="BA3091" s="497">
        <v>33.979999999999997</v>
      </c>
      <c r="BB3091" s="42"/>
      <c r="BC3091" s="74"/>
      <c r="BD3091" s="77"/>
      <c r="BF3091">
        <v>46.94</v>
      </c>
      <c r="BH3091" s="42"/>
      <c r="BI3091" s="74"/>
      <c r="BJ3091" s="77"/>
      <c r="BL3091" s="497">
        <v>46.04</v>
      </c>
      <c r="BN3091" s="42"/>
      <c r="BO3091" s="74"/>
      <c r="BP3091" s="77"/>
      <c r="BR3091" s="497">
        <v>44.06</v>
      </c>
      <c r="BT3091" s="42"/>
    </row>
    <row r="3092" spans="1:72" x14ac:dyDescent="0.25">
      <c r="A3092" s="90">
        <v>36289</v>
      </c>
      <c r="B3092" s="20">
        <v>8.3333333333333329E-2</v>
      </c>
      <c r="D3092">
        <v>53.96</v>
      </c>
      <c r="E3092" t="str">
        <f t="shared" si="132"/>
        <v>SUNDAY</v>
      </c>
      <c r="F3092" t="e">
        <f t="shared" si="131"/>
        <v>#N/A</v>
      </c>
      <c r="G3092" s="74">
        <v>31906</v>
      </c>
      <c r="H3092" s="77">
        <v>8.3333333333333329E-2</v>
      </c>
      <c r="J3092">
        <v>51.08</v>
      </c>
      <c r="M3092" s="74">
        <v>34463</v>
      </c>
      <c r="N3092" s="77">
        <v>8.3333333333333329E-2</v>
      </c>
      <c r="P3092">
        <v>50.900000000000006</v>
      </c>
      <c r="S3092" s="74">
        <v>36289</v>
      </c>
      <c r="T3092" s="77">
        <v>8.3333333333333329E-2</v>
      </c>
      <c r="V3092">
        <v>53.06</v>
      </c>
      <c r="X3092" s="42"/>
      <c r="AB3092">
        <v>54.5</v>
      </c>
      <c r="AC3092">
        <v>44.06</v>
      </c>
      <c r="AE3092" s="74"/>
      <c r="AF3092" s="77"/>
      <c r="AH3092" s="497">
        <v>66.2</v>
      </c>
      <c r="AJ3092" s="42"/>
      <c r="AK3092" s="74"/>
      <c r="AL3092" s="77"/>
      <c r="AN3092" s="497">
        <v>51.08</v>
      </c>
      <c r="AP3092" s="42"/>
      <c r="AQ3092" s="74"/>
      <c r="AR3092" s="77"/>
      <c r="AT3092" s="497">
        <v>33.08</v>
      </c>
      <c r="AV3092" s="42"/>
      <c r="AW3092" s="74"/>
      <c r="AX3092" s="77"/>
      <c r="BA3092" s="497">
        <v>33.08</v>
      </c>
      <c r="BB3092" s="42"/>
      <c r="BC3092" s="74"/>
      <c r="BD3092" s="77"/>
      <c r="BF3092">
        <v>46.94</v>
      </c>
      <c r="BH3092" s="42"/>
      <c r="BI3092" s="74"/>
      <c r="BJ3092" s="77"/>
      <c r="BL3092" s="497">
        <v>46.94</v>
      </c>
      <c r="BN3092" s="42"/>
      <c r="BO3092" s="74"/>
      <c r="BP3092" s="77"/>
      <c r="BR3092" s="497">
        <v>42.08</v>
      </c>
      <c r="BT3092" s="42"/>
    </row>
    <row r="3093" spans="1:72" x14ac:dyDescent="0.25">
      <c r="A3093" s="90">
        <v>36289</v>
      </c>
      <c r="B3093" s="20">
        <v>0.125</v>
      </c>
      <c r="D3093">
        <v>53.96</v>
      </c>
      <c r="E3093" t="str">
        <f t="shared" si="132"/>
        <v>SUNDAY</v>
      </c>
      <c r="F3093" t="e">
        <f t="shared" si="131"/>
        <v>#N/A</v>
      </c>
      <c r="G3093" s="74">
        <v>31906</v>
      </c>
      <c r="H3093" s="77">
        <v>0.125</v>
      </c>
      <c r="J3093">
        <v>50</v>
      </c>
      <c r="M3093" s="74">
        <v>34463</v>
      </c>
      <c r="N3093" s="77">
        <v>0.125</v>
      </c>
      <c r="P3093">
        <v>50</v>
      </c>
      <c r="S3093" s="74">
        <v>36289</v>
      </c>
      <c r="T3093" s="77">
        <v>0.125</v>
      </c>
      <c r="V3093">
        <v>53.96</v>
      </c>
      <c r="X3093" s="42"/>
      <c r="AB3093">
        <v>54</v>
      </c>
      <c r="AC3093">
        <v>42.08</v>
      </c>
      <c r="AE3093" s="74"/>
      <c r="AF3093" s="77"/>
      <c r="AH3093" s="497">
        <v>62.6</v>
      </c>
      <c r="AJ3093" s="42"/>
      <c r="AK3093" s="74"/>
      <c r="AL3093" s="77"/>
      <c r="AN3093" s="497">
        <v>48.92</v>
      </c>
      <c r="AP3093" s="42"/>
      <c r="AQ3093" s="74"/>
      <c r="AR3093" s="77"/>
      <c r="AT3093" s="497">
        <v>28.94</v>
      </c>
      <c r="AV3093" s="42"/>
      <c r="AW3093" s="74"/>
      <c r="AX3093" s="77"/>
      <c r="BA3093" s="497">
        <v>32</v>
      </c>
      <c r="BB3093" s="42"/>
      <c r="BC3093" s="74"/>
      <c r="BD3093" s="77"/>
      <c r="BF3093">
        <v>46.94</v>
      </c>
      <c r="BH3093" s="42"/>
      <c r="BI3093" s="74"/>
      <c r="BJ3093" s="77"/>
      <c r="BL3093" s="497">
        <v>46.94</v>
      </c>
      <c r="BN3093" s="42"/>
      <c r="BO3093" s="74"/>
      <c r="BP3093" s="77"/>
      <c r="BR3093" s="497">
        <v>39.92</v>
      </c>
      <c r="BT3093" s="42"/>
    </row>
    <row r="3094" spans="1:72" x14ac:dyDescent="0.25">
      <c r="A3094" s="90">
        <v>36289</v>
      </c>
      <c r="B3094" s="20">
        <v>0.16666666666666666</v>
      </c>
      <c r="D3094">
        <v>51.980000000000004</v>
      </c>
      <c r="E3094" t="str">
        <f t="shared" si="132"/>
        <v>SUNDAY</v>
      </c>
      <c r="F3094" t="e">
        <f t="shared" si="131"/>
        <v>#N/A</v>
      </c>
      <c r="G3094" s="74">
        <v>31906</v>
      </c>
      <c r="H3094" s="77">
        <v>0.16666666666666666</v>
      </c>
      <c r="J3094">
        <v>50</v>
      </c>
      <c r="M3094" s="74">
        <v>34463</v>
      </c>
      <c r="N3094" s="77">
        <v>0.16666666666666666</v>
      </c>
      <c r="P3094">
        <v>48.92</v>
      </c>
      <c r="S3094" s="74">
        <v>36289</v>
      </c>
      <c r="T3094" s="77">
        <v>0.16666666666666666</v>
      </c>
      <c r="V3094">
        <v>53.96</v>
      </c>
      <c r="X3094" s="42"/>
      <c r="AB3094">
        <v>53.6</v>
      </c>
      <c r="AC3094">
        <v>42.08</v>
      </c>
      <c r="AE3094" s="74"/>
      <c r="AF3094" s="77"/>
      <c r="AH3094" s="497">
        <v>60.8</v>
      </c>
      <c r="AJ3094" s="42"/>
      <c r="AK3094" s="74"/>
      <c r="AL3094" s="77"/>
      <c r="AN3094" s="497">
        <v>48.019999999999996</v>
      </c>
      <c r="AP3094" s="42"/>
      <c r="AQ3094" s="74"/>
      <c r="AR3094" s="77"/>
      <c r="AT3094" s="497">
        <v>30.02</v>
      </c>
      <c r="AV3094" s="42"/>
      <c r="AW3094" s="74"/>
      <c r="AX3094" s="77"/>
      <c r="BA3094" s="497">
        <v>32</v>
      </c>
      <c r="BB3094" s="42"/>
      <c r="BC3094" s="74"/>
      <c r="BD3094" s="77"/>
      <c r="BF3094">
        <v>46.94</v>
      </c>
      <c r="BH3094" s="42"/>
      <c r="BI3094" s="74"/>
      <c r="BJ3094" s="77"/>
      <c r="BL3094" s="497">
        <v>48.019999999999996</v>
      </c>
      <c r="BN3094" s="42"/>
      <c r="BO3094" s="74"/>
      <c r="BP3094" s="77"/>
      <c r="BR3094" s="497">
        <v>37.94</v>
      </c>
      <c r="BT3094" s="42"/>
    </row>
    <row r="3095" spans="1:72" x14ac:dyDescent="0.25">
      <c r="A3095" s="90">
        <v>36289</v>
      </c>
      <c r="B3095" s="20">
        <v>0.20833333333333334</v>
      </c>
      <c r="D3095">
        <v>51.08</v>
      </c>
      <c r="E3095" t="str">
        <f t="shared" si="132"/>
        <v>SUNDAY</v>
      </c>
      <c r="F3095" t="e">
        <f t="shared" si="131"/>
        <v>#N/A</v>
      </c>
      <c r="G3095" s="74">
        <v>31906</v>
      </c>
      <c r="H3095" s="77">
        <v>0.20833333333333334</v>
      </c>
      <c r="J3095">
        <v>50</v>
      </c>
      <c r="M3095" s="74">
        <v>34463</v>
      </c>
      <c r="N3095" s="77">
        <v>0.20833333333333334</v>
      </c>
      <c r="P3095">
        <v>47.84</v>
      </c>
      <c r="S3095" s="74">
        <v>36289</v>
      </c>
      <c r="T3095" s="77">
        <v>0.20833333333333334</v>
      </c>
      <c r="V3095">
        <v>51.980000000000004</v>
      </c>
      <c r="X3095" s="42"/>
      <c r="AB3095">
        <v>53.2</v>
      </c>
      <c r="AC3095">
        <v>42.08</v>
      </c>
      <c r="AE3095" s="74"/>
      <c r="AF3095" s="77"/>
      <c r="AH3095" s="497">
        <v>59</v>
      </c>
      <c r="AJ3095" s="42"/>
      <c r="AK3095" s="74"/>
      <c r="AL3095" s="77"/>
      <c r="AN3095" s="497">
        <v>46.94</v>
      </c>
      <c r="AP3095" s="42"/>
      <c r="AQ3095" s="74"/>
      <c r="AR3095" s="77"/>
      <c r="AT3095" s="497">
        <v>28.94</v>
      </c>
      <c r="AV3095" s="42"/>
      <c r="AW3095" s="74"/>
      <c r="AX3095" s="77"/>
      <c r="BA3095" s="497">
        <v>32</v>
      </c>
      <c r="BB3095" s="42"/>
      <c r="BC3095" s="74"/>
      <c r="BD3095" s="77"/>
      <c r="BF3095">
        <v>46.94</v>
      </c>
      <c r="BH3095" s="42"/>
      <c r="BI3095" s="74"/>
      <c r="BJ3095" s="77"/>
      <c r="BL3095" s="497">
        <v>48.019999999999996</v>
      </c>
      <c r="BN3095" s="42"/>
      <c r="BO3095" s="74"/>
      <c r="BP3095" s="77"/>
      <c r="BR3095" s="497">
        <v>37.04</v>
      </c>
      <c r="BT3095" s="42"/>
    </row>
    <row r="3096" spans="1:72" x14ac:dyDescent="0.25">
      <c r="A3096" s="90">
        <v>36289</v>
      </c>
      <c r="B3096" s="20">
        <v>0.25</v>
      </c>
      <c r="D3096">
        <v>53.96</v>
      </c>
      <c r="E3096" t="str">
        <f t="shared" si="132"/>
        <v>SUNDAY</v>
      </c>
      <c r="F3096" t="e">
        <f t="shared" si="131"/>
        <v>#N/A</v>
      </c>
      <c r="G3096" s="74">
        <v>31906</v>
      </c>
      <c r="H3096" s="77">
        <v>0.25</v>
      </c>
      <c r="J3096">
        <v>51.08</v>
      </c>
      <c r="M3096" s="74">
        <v>34463</v>
      </c>
      <c r="N3096" s="77">
        <v>0.25</v>
      </c>
      <c r="P3096">
        <v>48.92</v>
      </c>
      <c r="S3096" s="74">
        <v>36289</v>
      </c>
      <c r="T3096" s="77">
        <v>0.25</v>
      </c>
      <c r="V3096">
        <v>53.96</v>
      </c>
      <c r="X3096" s="42"/>
      <c r="AB3096">
        <v>53</v>
      </c>
      <c r="AC3096">
        <v>48.92</v>
      </c>
      <c r="AE3096" s="74"/>
      <c r="AF3096" s="77"/>
      <c r="AH3096" s="497">
        <v>60.8</v>
      </c>
      <c r="AJ3096" s="42"/>
      <c r="AK3096" s="74"/>
      <c r="AL3096" s="77"/>
      <c r="AN3096" s="497">
        <v>46.04</v>
      </c>
      <c r="AP3096" s="42"/>
      <c r="AQ3096" s="74"/>
      <c r="AR3096" s="77"/>
      <c r="AT3096" s="497">
        <v>32</v>
      </c>
      <c r="AV3096" s="42"/>
      <c r="AW3096" s="74"/>
      <c r="AX3096" s="77"/>
      <c r="BA3096" s="497">
        <v>33.08</v>
      </c>
      <c r="BB3096" s="42"/>
      <c r="BC3096" s="74"/>
      <c r="BD3096" s="77"/>
      <c r="BF3096">
        <v>48.019999999999996</v>
      </c>
      <c r="BH3096" s="42"/>
      <c r="BI3096" s="74"/>
      <c r="BJ3096" s="77"/>
      <c r="BL3096" s="497">
        <v>48.019999999999996</v>
      </c>
      <c r="BN3096" s="42"/>
      <c r="BO3096" s="74"/>
      <c r="BP3096" s="77"/>
      <c r="BR3096" s="497">
        <v>39.92</v>
      </c>
      <c r="BT3096" s="42"/>
    </row>
    <row r="3097" spans="1:72" x14ac:dyDescent="0.25">
      <c r="A3097" s="90">
        <v>36289</v>
      </c>
      <c r="B3097" s="20">
        <v>0.29166666666666669</v>
      </c>
      <c r="D3097">
        <v>57.019999999999996</v>
      </c>
      <c r="E3097" t="str">
        <f t="shared" si="132"/>
        <v>SUNDAY</v>
      </c>
      <c r="F3097" t="e">
        <f t="shared" si="131"/>
        <v>#N/A</v>
      </c>
      <c r="G3097" s="74">
        <v>31906</v>
      </c>
      <c r="H3097" s="77">
        <v>0.29166666666666669</v>
      </c>
      <c r="J3097">
        <v>55.040000000000006</v>
      </c>
      <c r="M3097" s="74">
        <v>34463</v>
      </c>
      <c r="N3097" s="77">
        <v>0.29166666666666669</v>
      </c>
      <c r="P3097">
        <v>53.96</v>
      </c>
      <c r="S3097" s="74">
        <v>36289</v>
      </c>
      <c r="T3097" s="77">
        <v>0.29166666666666669</v>
      </c>
      <c r="V3097">
        <v>57.019999999999996</v>
      </c>
      <c r="X3097" s="42"/>
      <c r="AB3097">
        <v>54.1</v>
      </c>
      <c r="AC3097">
        <v>55.94</v>
      </c>
      <c r="AE3097" s="74"/>
      <c r="AF3097" s="77"/>
      <c r="AH3097" s="497">
        <v>71.599999999999994</v>
      </c>
      <c r="AJ3097" s="42"/>
      <c r="AK3097" s="74"/>
      <c r="AL3097" s="77"/>
      <c r="AN3097" s="497">
        <v>51.08</v>
      </c>
      <c r="AP3097" s="42"/>
      <c r="AQ3097" s="74"/>
      <c r="AR3097" s="77"/>
      <c r="AT3097" s="497">
        <v>39.92</v>
      </c>
      <c r="AV3097" s="42"/>
      <c r="AW3097" s="74"/>
      <c r="AX3097" s="77"/>
      <c r="BA3097" s="497">
        <v>39.019999999999996</v>
      </c>
      <c r="BB3097" s="42"/>
      <c r="BC3097" s="74"/>
      <c r="BD3097" s="77"/>
      <c r="BF3097">
        <v>51.08</v>
      </c>
      <c r="BH3097" s="42"/>
      <c r="BI3097" s="74"/>
      <c r="BJ3097" s="77"/>
      <c r="BL3097" s="497">
        <v>50</v>
      </c>
      <c r="BN3097" s="42"/>
      <c r="BO3097" s="74"/>
      <c r="BP3097" s="77"/>
      <c r="BR3097" s="497">
        <v>46.94</v>
      </c>
      <c r="BT3097" s="42"/>
    </row>
    <row r="3098" spans="1:72" x14ac:dyDescent="0.25">
      <c r="A3098" s="90">
        <v>36289</v>
      </c>
      <c r="B3098" s="20">
        <v>0.33333333333333331</v>
      </c>
      <c r="D3098">
        <v>60.08</v>
      </c>
      <c r="E3098" t="str">
        <f t="shared" si="132"/>
        <v>SUNDAY</v>
      </c>
      <c r="F3098" t="e">
        <f t="shared" si="131"/>
        <v>#N/A</v>
      </c>
      <c r="G3098" s="74">
        <v>31906</v>
      </c>
      <c r="H3098" s="77">
        <v>0.33333333333333331</v>
      </c>
      <c r="J3098">
        <v>60.980000000000004</v>
      </c>
      <c r="M3098" s="74">
        <v>34463</v>
      </c>
      <c r="N3098" s="77">
        <v>0.33333333333333331</v>
      </c>
      <c r="P3098">
        <v>57.92</v>
      </c>
      <c r="S3098" s="74">
        <v>36289</v>
      </c>
      <c r="T3098" s="77">
        <v>0.33333333333333331</v>
      </c>
      <c r="V3098">
        <v>59</v>
      </c>
      <c r="X3098" s="42"/>
      <c r="AB3098">
        <v>55.9</v>
      </c>
      <c r="AC3098">
        <v>60.08</v>
      </c>
      <c r="AE3098" s="74"/>
      <c r="AF3098" s="77"/>
      <c r="AH3098" s="497">
        <v>78.800000000000011</v>
      </c>
      <c r="AJ3098" s="42"/>
      <c r="AK3098" s="74"/>
      <c r="AL3098" s="77"/>
      <c r="AN3098" s="497">
        <v>53.96</v>
      </c>
      <c r="AP3098" s="42"/>
      <c r="AQ3098" s="74"/>
      <c r="AR3098" s="77"/>
      <c r="AT3098" s="497">
        <v>46.94</v>
      </c>
      <c r="AV3098" s="42"/>
      <c r="AW3098" s="74"/>
      <c r="AX3098" s="77"/>
      <c r="BA3098" s="497">
        <v>46.94</v>
      </c>
      <c r="BB3098" s="42"/>
      <c r="BC3098" s="74"/>
      <c r="BD3098" s="77"/>
      <c r="BF3098">
        <v>53.06</v>
      </c>
      <c r="BH3098" s="42"/>
      <c r="BI3098" s="74"/>
      <c r="BJ3098" s="77"/>
      <c r="BL3098" s="497">
        <v>51.08</v>
      </c>
      <c r="BN3098" s="42"/>
      <c r="BO3098" s="74"/>
      <c r="BP3098" s="77"/>
      <c r="BR3098" s="497">
        <v>53.06</v>
      </c>
      <c r="BT3098" s="42"/>
    </row>
    <row r="3099" spans="1:72" x14ac:dyDescent="0.25">
      <c r="A3099" s="90">
        <v>36289</v>
      </c>
      <c r="B3099" s="20">
        <v>0.375</v>
      </c>
      <c r="D3099">
        <v>64.039999999999992</v>
      </c>
      <c r="E3099" t="str">
        <f t="shared" si="132"/>
        <v>SUNDAY</v>
      </c>
      <c r="F3099" t="e">
        <f t="shared" si="131"/>
        <v>#N/A</v>
      </c>
      <c r="G3099" s="74">
        <v>31906</v>
      </c>
      <c r="H3099" s="77">
        <v>0.375</v>
      </c>
      <c r="J3099">
        <v>64.94</v>
      </c>
      <c r="M3099" s="74">
        <v>34463</v>
      </c>
      <c r="N3099" s="77">
        <v>0.375</v>
      </c>
      <c r="P3099">
        <v>61.88</v>
      </c>
      <c r="S3099" s="74">
        <v>36289</v>
      </c>
      <c r="T3099" s="77">
        <v>0.375</v>
      </c>
      <c r="V3099">
        <v>62.06</v>
      </c>
      <c r="X3099" s="42"/>
      <c r="AB3099">
        <v>57.9</v>
      </c>
      <c r="AC3099">
        <v>64.039999999999992</v>
      </c>
      <c r="AE3099" s="74"/>
      <c r="AF3099" s="77"/>
      <c r="AH3099" s="497">
        <v>84.2</v>
      </c>
      <c r="AJ3099" s="42"/>
      <c r="AK3099" s="74"/>
      <c r="AL3099" s="77"/>
      <c r="AN3099" s="497">
        <v>55.94</v>
      </c>
      <c r="AP3099" s="42"/>
      <c r="AQ3099" s="74"/>
      <c r="AR3099" s="77"/>
      <c r="AT3099" s="497">
        <v>51.08</v>
      </c>
      <c r="AV3099" s="42"/>
      <c r="AW3099" s="74"/>
      <c r="AX3099" s="77"/>
      <c r="BA3099" s="497">
        <v>53.96</v>
      </c>
      <c r="BB3099" s="42"/>
      <c r="BC3099" s="74"/>
      <c r="BD3099" s="77"/>
      <c r="BF3099">
        <v>55.94</v>
      </c>
      <c r="BH3099" s="42"/>
      <c r="BI3099" s="74"/>
      <c r="BJ3099" s="77"/>
      <c r="BL3099" s="497">
        <v>53.06</v>
      </c>
      <c r="BN3099" s="42"/>
      <c r="BO3099" s="74"/>
      <c r="BP3099" s="77"/>
      <c r="BR3099" s="497">
        <v>57.92</v>
      </c>
      <c r="BT3099" s="42"/>
    </row>
    <row r="3100" spans="1:72" x14ac:dyDescent="0.25">
      <c r="A3100" s="90">
        <v>36289</v>
      </c>
      <c r="B3100" s="20">
        <v>0.41666666666666669</v>
      </c>
      <c r="D3100">
        <v>68</v>
      </c>
      <c r="E3100" t="str">
        <f t="shared" si="132"/>
        <v>SUNDAY</v>
      </c>
      <c r="F3100" t="e">
        <f t="shared" si="131"/>
        <v>#N/A</v>
      </c>
      <c r="G3100" s="74">
        <v>31906</v>
      </c>
      <c r="H3100" s="77">
        <v>0.41666666666666669</v>
      </c>
      <c r="J3100">
        <v>68</v>
      </c>
      <c r="M3100" s="74">
        <v>34463</v>
      </c>
      <c r="N3100" s="77">
        <v>0.41666666666666669</v>
      </c>
      <c r="P3100">
        <v>63.86</v>
      </c>
      <c r="S3100" s="74">
        <v>36289</v>
      </c>
      <c r="T3100" s="77">
        <v>0.41666666666666669</v>
      </c>
      <c r="V3100">
        <v>66.02</v>
      </c>
      <c r="X3100" s="42"/>
      <c r="AB3100">
        <v>59.6</v>
      </c>
      <c r="AC3100">
        <v>66.02</v>
      </c>
      <c r="AE3100" s="74"/>
      <c r="AF3100" s="77"/>
      <c r="AH3100" s="497">
        <v>84.2</v>
      </c>
      <c r="AJ3100" s="42"/>
      <c r="AK3100" s="74"/>
      <c r="AL3100" s="77"/>
      <c r="AN3100" s="497">
        <v>59</v>
      </c>
      <c r="AP3100" s="42"/>
      <c r="AQ3100" s="74"/>
      <c r="AR3100" s="77"/>
      <c r="AT3100" s="497">
        <v>53.06</v>
      </c>
      <c r="AV3100" s="42"/>
      <c r="AW3100" s="74"/>
      <c r="AX3100" s="77"/>
      <c r="BA3100" s="497">
        <v>60.08</v>
      </c>
      <c r="BB3100" s="42"/>
      <c r="BC3100" s="74"/>
      <c r="BD3100" s="77"/>
      <c r="BF3100">
        <v>60.980000000000004</v>
      </c>
      <c r="BH3100" s="42"/>
      <c r="BI3100" s="74"/>
      <c r="BJ3100" s="77"/>
      <c r="BL3100" s="497">
        <v>53.06</v>
      </c>
      <c r="BN3100" s="42"/>
      <c r="BO3100" s="74"/>
      <c r="BP3100" s="77"/>
      <c r="BR3100" s="497">
        <v>62.06</v>
      </c>
      <c r="BT3100" s="42"/>
    </row>
    <row r="3101" spans="1:72" x14ac:dyDescent="0.25">
      <c r="A3101" s="90">
        <v>36289</v>
      </c>
      <c r="B3101" s="20">
        <v>0.45833333333333331</v>
      </c>
      <c r="D3101">
        <v>69.98</v>
      </c>
      <c r="E3101" t="str">
        <f t="shared" si="132"/>
        <v>SUNDAY</v>
      </c>
      <c r="F3101" t="e">
        <f t="shared" si="131"/>
        <v>#N/A</v>
      </c>
      <c r="G3101" s="74">
        <v>31906</v>
      </c>
      <c r="H3101" s="77">
        <v>0.45833333333333331</v>
      </c>
      <c r="J3101">
        <v>69.080000000000013</v>
      </c>
      <c r="M3101" s="74">
        <v>34463</v>
      </c>
      <c r="N3101" s="77">
        <v>0.45833333333333331</v>
      </c>
      <c r="P3101">
        <v>65.84</v>
      </c>
      <c r="S3101" s="74">
        <v>36289</v>
      </c>
      <c r="T3101" s="77">
        <v>0.45833333333333331</v>
      </c>
      <c r="V3101">
        <v>69.800000000000011</v>
      </c>
      <c r="X3101" s="42"/>
      <c r="AB3101">
        <v>61.3</v>
      </c>
      <c r="AC3101">
        <v>64.94</v>
      </c>
      <c r="AE3101" s="74"/>
      <c r="AF3101" s="77"/>
      <c r="AH3101" s="497">
        <v>87.800000000000011</v>
      </c>
      <c r="AJ3101" s="42"/>
      <c r="AK3101" s="74"/>
      <c r="AL3101" s="77"/>
      <c r="AN3101" s="497">
        <v>60.980000000000004</v>
      </c>
      <c r="AP3101" s="42"/>
      <c r="AQ3101" s="74"/>
      <c r="AR3101" s="77"/>
      <c r="AT3101" s="497">
        <v>57.92</v>
      </c>
      <c r="AV3101" s="42"/>
      <c r="AW3101" s="74"/>
      <c r="AX3101" s="77"/>
      <c r="BA3101" s="497">
        <v>64.039999999999992</v>
      </c>
      <c r="BB3101" s="42"/>
      <c r="BC3101" s="74"/>
      <c r="BD3101" s="77"/>
      <c r="BF3101">
        <v>62.96</v>
      </c>
      <c r="BH3101" s="42"/>
      <c r="BI3101" s="74"/>
      <c r="BJ3101" s="77"/>
      <c r="BL3101" s="497">
        <v>59</v>
      </c>
      <c r="BN3101" s="42"/>
      <c r="BO3101" s="74"/>
      <c r="BP3101" s="77"/>
      <c r="BR3101" s="497">
        <v>66.02</v>
      </c>
      <c r="BT3101" s="42"/>
    </row>
    <row r="3102" spans="1:72" x14ac:dyDescent="0.25">
      <c r="A3102" s="90">
        <v>36289</v>
      </c>
      <c r="B3102" s="20">
        <v>0.5</v>
      </c>
      <c r="D3102">
        <v>73.039999999999992</v>
      </c>
      <c r="E3102" t="str">
        <f t="shared" si="132"/>
        <v>SUNDAY</v>
      </c>
      <c r="F3102" t="e">
        <f t="shared" si="131"/>
        <v>#N/A</v>
      </c>
      <c r="G3102" s="74">
        <v>31906</v>
      </c>
      <c r="H3102" s="77">
        <v>0.5</v>
      </c>
      <c r="J3102">
        <v>71.960000000000008</v>
      </c>
      <c r="M3102" s="74">
        <v>34463</v>
      </c>
      <c r="N3102" s="77">
        <v>0.5</v>
      </c>
      <c r="P3102">
        <v>68.900000000000006</v>
      </c>
      <c r="S3102" s="74">
        <v>36289</v>
      </c>
      <c r="T3102" s="77">
        <v>0.5</v>
      </c>
      <c r="V3102">
        <v>71.960000000000008</v>
      </c>
      <c r="X3102" s="42"/>
      <c r="AB3102">
        <v>62.4</v>
      </c>
      <c r="AC3102">
        <v>64.039999999999992</v>
      </c>
      <c r="AE3102" s="74"/>
      <c r="AF3102" s="77"/>
      <c r="AH3102" s="497">
        <v>87.800000000000011</v>
      </c>
      <c r="AJ3102" s="42"/>
      <c r="AK3102" s="74"/>
      <c r="AL3102" s="77"/>
      <c r="AN3102" s="497">
        <v>64.039999999999992</v>
      </c>
      <c r="AP3102" s="42"/>
      <c r="AQ3102" s="74"/>
      <c r="AR3102" s="77"/>
      <c r="AT3102" s="497">
        <v>60.980000000000004</v>
      </c>
      <c r="AV3102" s="42"/>
      <c r="AW3102" s="74"/>
      <c r="AX3102" s="77"/>
      <c r="BA3102" s="497">
        <v>66.92</v>
      </c>
      <c r="BB3102" s="42"/>
      <c r="BC3102" s="74"/>
      <c r="BD3102" s="77"/>
      <c r="BF3102">
        <v>64.94</v>
      </c>
      <c r="BH3102" s="42"/>
      <c r="BI3102" s="74"/>
      <c r="BJ3102" s="77"/>
      <c r="BL3102" s="497">
        <v>57.019999999999996</v>
      </c>
      <c r="BN3102" s="42"/>
      <c r="BO3102" s="74"/>
      <c r="BP3102" s="77"/>
      <c r="BR3102" s="497">
        <v>66.02</v>
      </c>
      <c r="BT3102" s="42"/>
    </row>
    <row r="3103" spans="1:72" x14ac:dyDescent="0.25">
      <c r="A3103" s="90">
        <v>36289</v>
      </c>
      <c r="B3103" s="20">
        <v>0.54166666666666663</v>
      </c>
      <c r="D3103">
        <v>75.02</v>
      </c>
      <c r="E3103" t="str">
        <f t="shared" si="132"/>
        <v>SUNDAY</v>
      </c>
      <c r="F3103" t="e">
        <f t="shared" si="131"/>
        <v>#N/A</v>
      </c>
      <c r="G3103" s="74">
        <v>31906</v>
      </c>
      <c r="H3103" s="77">
        <v>0.54166666666666663</v>
      </c>
      <c r="J3103">
        <v>73.94</v>
      </c>
      <c r="M3103" s="74">
        <v>34463</v>
      </c>
      <c r="N3103" s="77">
        <v>0.54166666666666663</v>
      </c>
      <c r="P3103">
        <v>68</v>
      </c>
      <c r="S3103" s="74">
        <v>36289</v>
      </c>
      <c r="T3103" s="77">
        <v>0.54166666666666663</v>
      </c>
      <c r="V3103">
        <v>73.039999999999992</v>
      </c>
      <c r="X3103" s="42"/>
      <c r="AB3103">
        <v>63.2</v>
      </c>
      <c r="AC3103">
        <v>66.02</v>
      </c>
      <c r="AE3103" s="74"/>
      <c r="AF3103" s="77"/>
      <c r="AH3103" s="497">
        <v>91.4</v>
      </c>
      <c r="AJ3103" s="42"/>
      <c r="AK3103" s="74"/>
      <c r="AL3103" s="77"/>
      <c r="AN3103" s="497">
        <v>64.94</v>
      </c>
      <c r="AP3103" s="42"/>
      <c r="AQ3103" s="74"/>
      <c r="AR3103" s="77"/>
      <c r="AT3103" s="497">
        <v>62.06</v>
      </c>
      <c r="AV3103" s="42"/>
      <c r="AW3103" s="74"/>
      <c r="AX3103" s="77"/>
      <c r="BA3103" s="497">
        <v>69.98</v>
      </c>
      <c r="BB3103" s="42"/>
      <c r="BC3103" s="74"/>
      <c r="BD3103" s="77"/>
      <c r="BF3103">
        <v>64.94</v>
      </c>
      <c r="BH3103" s="42"/>
      <c r="BI3103" s="74"/>
      <c r="BJ3103" s="77"/>
      <c r="BL3103" s="497">
        <v>59</v>
      </c>
      <c r="BN3103" s="42"/>
      <c r="BO3103" s="74"/>
      <c r="BP3103" s="77"/>
      <c r="BR3103" s="497">
        <v>69.080000000000013</v>
      </c>
      <c r="BT3103" s="42"/>
    </row>
    <row r="3104" spans="1:72" x14ac:dyDescent="0.25">
      <c r="A3104" s="90">
        <v>36289</v>
      </c>
      <c r="B3104" s="20">
        <v>0.58333333333333337</v>
      </c>
      <c r="D3104">
        <v>73.94</v>
      </c>
      <c r="E3104" t="str">
        <f t="shared" si="132"/>
        <v>SUNDAY</v>
      </c>
      <c r="F3104" t="e">
        <f t="shared" si="131"/>
        <v>#N/A</v>
      </c>
      <c r="G3104" s="74">
        <v>31906</v>
      </c>
      <c r="H3104" s="77">
        <v>0.58333333333333337</v>
      </c>
      <c r="J3104">
        <v>73.94</v>
      </c>
      <c r="M3104" s="74">
        <v>34463</v>
      </c>
      <c r="N3104" s="77">
        <v>0.58333333333333337</v>
      </c>
      <c r="P3104">
        <v>70.88</v>
      </c>
      <c r="S3104" s="74">
        <v>36289</v>
      </c>
      <c r="T3104" s="77">
        <v>0.58333333333333337</v>
      </c>
      <c r="V3104">
        <v>73.039999999999992</v>
      </c>
      <c r="X3104" s="42"/>
      <c r="AB3104">
        <v>63.8</v>
      </c>
      <c r="AC3104">
        <v>69.080000000000013</v>
      </c>
      <c r="AE3104" s="74"/>
      <c r="AF3104" s="77"/>
      <c r="AH3104" s="497">
        <v>91.4</v>
      </c>
      <c r="AJ3104" s="42"/>
      <c r="AK3104" s="74"/>
      <c r="AL3104" s="77"/>
      <c r="AN3104" s="497">
        <v>64.94</v>
      </c>
      <c r="AP3104" s="42"/>
      <c r="AQ3104" s="74"/>
      <c r="AR3104" s="77"/>
      <c r="AT3104" s="497">
        <v>62.96</v>
      </c>
      <c r="AV3104" s="42"/>
      <c r="AW3104" s="74"/>
      <c r="AX3104" s="77"/>
      <c r="BA3104" s="497">
        <v>71.960000000000008</v>
      </c>
      <c r="BB3104" s="42"/>
      <c r="BC3104" s="74"/>
      <c r="BD3104" s="77"/>
      <c r="BF3104">
        <v>64.94</v>
      </c>
      <c r="BH3104" s="42"/>
      <c r="BI3104" s="74"/>
      <c r="BJ3104" s="77"/>
      <c r="BL3104" s="497">
        <v>59</v>
      </c>
      <c r="BN3104" s="42"/>
      <c r="BO3104" s="74"/>
      <c r="BP3104" s="77"/>
      <c r="BR3104" s="497">
        <v>69.98</v>
      </c>
      <c r="BT3104" s="42"/>
    </row>
    <row r="3105" spans="1:72" x14ac:dyDescent="0.25">
      <c r="A3105" s="90">
        <v>36289</v>
      </c>
      <c r="B3105" s="20">
        <v>0.625</v>
      </c>
      <c r="D3105">
        <v>75.02</v>
      </c>
      <c r="E3105" t="str">
        <f t="shared" si="132"/>
        <v>SUNDAY</v>
      </c>
      <c r="F3105" t="e">
        <f t="shared" si="131"/>
        <v>#N/A</v>
      </c>
      <c r="G3105" s="74">
        <v>31906</v>
      </c>
      <c r="H3105" s="77">
        <v>0.625</v>
      </c>
      <c r="J3105">
        <v>75.02</v>
      </c>
      <c r="M3105" s="74">
        <v>34463</v>
      </c>
      <c r="N3105" s="77">
        <v>0.625</v>
      </c>
      <c r="P3105">
        <v>71.960000000000008</v>
      </c>
      <c r="S3105" s="74">
        <v>36289</v>
      </c>
      <c r="T3105" s="77">
        <v>0.625</v>
      </c>
      <c r="V3105">
        <v>71.960000000000008</v>
      </c>
      <c r="X3105" s="42"/>
      <c r="AB3105">
        <v>63.7</v>
      </c>
      <c r="AC3105">
        <v>69.080000000000013</v>
      </c>
      <c r="AE3105" s="74"/>
      <c r="AF3105" s="77"/>
      <c r="AH3105" s="497">
        <v>93.2</v>
      </c>
      <c r="AJ3105" s="42"/>
      <c r="AK3105" s="74"/>
      <c r="AL3105" s="77"/>
      <c r="AN3105" s="497">
        <v>64.94</v>
      </c>
      <c r="AP3105" s="42"/>
      <c r="AQ3105" s="74"/>
      <c r="AR3105" s="77"/>
      <c r="AT3105" s="497">
        <v>66.02</v>
      </c>
      <c r="AV3105" s="42"/>
      <c r="AW3105" s="74"/>
      <c r="AX3105" s="77"/>
      <c r="BA3105" s="497">
        <v>73.94</v>
      </c>
      <c r="BB3105" s="42"/>
      <c r="BC3105" s="74"/>
      <c r="BD3105" s="77"/>
      <c r="BF3105">
        <v>66.02</v>
      </c>
      <c r="BH3105" s="42"/>
      <c r="BI3105" s="74"/>
      <c r="BJ3105" s="77"/>
      <c r="BL3105" s="497">
        <v>59</v>
      </c>
      <c r="BN3105" s="42"/>
      <c r="BO3105" s="74"/>
      <c r="BP3105" s="77"/>
      <c r="BR3105" s="497">
        <v>71.06</v>
      </c>
      <c r="BT3105" s="42"/>
    </row>
    <row r="3106" spans="1:72" x14ac:dyDescent="0.25">
      <c r="A3106" s="90">
        <v>36289</v>
      </c>
      <c r="B3106" s="20">
        <v>0.66666666666666663</v>
      </c>
      <c r="D3106">
        <v>75.02</v>
      </c>
      <c r="E3106" t="str">
        <f t="shared" si="132"/>
        <v>SUNDAY</v>
      </c>
      <c r="F3106" t="e">
        <f t="shared" si="131"/>
        <v>#N/A</v>
      </c>
      <c r="G3106" s="74">
        <v>31906</v>
      </c>
      <c r="H3106" s="77">
        <v>0.66666666666666663</v>
      </c>
      <c r="J3106">
        <v>77</v>
      </c>
      <c r="M3106" s="74">
        <v>34463</v>
      </c>
      <c r="N3106" s="77">
        <v>0.66666666666666663</v>
      </c>
      <c r="P3106">
        <v>70.88</v>
      </c>
      <c r="S3106" s="74">
        <v>36289</v>
      </c>
      <c r="T3106" s="77">
        <v>0.66666666666666663</v>
      </c>
      <c r="V3106">
        <v>73.039999999999992</v>
      </c>
      <c r="X3106" s="42"/>
      <c r="AB3106">
        <v>63.3</v>
      </c>
      <c r="AC3106">
        <v>66.92</v>
      </c>
      <c r="AE3106" s="74"/>
      <c r="AF3106" s="77"/>
      <c r="AH3106" s="497">
        <v>91.4</v>
      </c>
      <c r="AJ3106" s="42"/>
      <c r="AK3106" s="74"/>
      <c r="AL3106" s="77"/>
      <c r="AN3106" s="497">
        <v>66.02</v>
      </c>
      <c r="AP3106" s="42"/>
      <c r="AQ3106" s="74"/>
      <c r="AR3106" s="77"/>
      <c r="AT3106" s="497">
        <v>68</v>
      </c>
      <c r="AV3106" s="42"/>
      <c r="AW3106" s="74"/>
      <c r="AX3106" s="77"/>
      <c r="BA3106" s="497">
        <v>75.02</v>
      </c>
      <c r="BB3106" s="42"/>
      <c r="BC3106" s="74"/>
      <c r="BD3106" s="77"/>
      <c r="BF3106">
        <v>64.94</v>
      </c>
      <c r="BH3106" s="42"/>
      <c r="BI3106" s="74"/>
      <c r="BJ3106" s="77"/>
      <c r="BL3106" s="497">
        <v>59</v>
      </c>
      <c r="BN3106" s="42"/>
      <c r="BO3106" s="74"/>
      <c r="BP3106" s="77"/>
      <c r="BR3106" s="497">
        <v>69.98</v>
      </c>
      <c r="BT3106" s="42"/>
    </row>
    <row r="3107" spans="1:72" x14ac:dyDescent="0.25">
      <c r="A3107" s="90">
        <v>36289</v>
      </c>
      <c r="B3107" s="20">
        <v>0.70833333333333337</v>
      </c>
      <c r="D3107">
        <v>73.94</v>
      </c>
      <c r="E3107" t="str">
        <f t="shared" si="132"/>
        <v>SUNDAY</v>
      </c>
      <c r="F3107" t="e">
        <f t="shared" si="131"/>
        <v>#N/A</v>
      </c>
      <c r="G3107" s="74">
        <v>31906</v>
      </c>
      <c r="H3107" s="77">
        <v>0.70833333333333337</v>
      </c>
      <c r="J3107">
        <v>75.92</v>
      </c>
      <c r="M3107" s="74">
        <v>34463</v>
      </c>
      <c r="N3107" s="77">
        <v>0.70833333333333337</v>
      </c>
      <c r="P3107">
        <v>69.98</v>
      </c>
      <c r="S3107" s="74">
        <v>36289</v>
      </c>
      <c r="T3107" s="77">
        <v>0.70833333333333337</v>
      </c>
      <c r="V3107">
        <v>71.960000000000008</v>
      </c>
      <c r="X3107" s="42"/>
      <c r="AB3107">
        <v>62.4</v>
      </c>
      <c r="AC3107">
        <v>66.02</v>
      </c>
      <c r="AE3107" s="74"/>
      <c r="AF3107" s="77"/>
      <c r="AH3107" s="497">
        <v>87.800000000000011</v>
      </c>
      <c r="AJ3107" s="42"/>
      <c r="AK3107" s="74"/>
      <c r="AL3107" s="77"/>
      <c r="AN3107" s="497">
        <v>64.039999999999992</v>
      </c>
      <c r="AP3107" s="42"/>
      <c r="AQ3107" s="74"/>
      <c r="AR3107" s="77"/>
      <c r="AT3107" s="497">
        <v>69.080000000000013</v>
      </c>
      <c r="AV3107" s="42"/>
      <c r="AW3107" s="74"/>
      <c r="AX3107" s="77"/>
      <c r="BA3107" s="497">
        <v>75.92</v>
      </c>
      <c r="BB3107" s="42"/>
      <c r="BC3107" s="74"/>
      <c r="BD3107" s="77"/>
      <c r="BF3107">
        <v>62.96</v>
      </c>
      <c r="BH3107" s="42"/>
      <c r="BI3107" s="74"/>
      <c r="BJ3107" s="77"/>
      <c r="BL3107" s="497">
        <v>59</v>
      </c>
      <c r="BN3107" s="42"/>
      <c r="BO3107" s="74"/>
      <c r="BP3107" s="77"/>
      <c r="BR3107" s="497">
        <v>69.98</v>
      </c>
      <c r="BT3107" s="42"/>
    </row>
    <row r="3108" spans="1:72" x14ac:dyDescent="0.25">
      <c r="A3108" s="90">
        <v>36289</v>
      </c>
      <c r="B3108" s="20">
        <v>0.75</v>
      </c>
      <c r="D3108">
        <v>73.039999999999992</v>
      </c>
      <c r="E3108" t="str">
        <f t="shared" si="132"/>
        <v>SUNDAY</v>
      </c>
      <c r="F3108" t="e">
        <f t="shared" si="131"/>
        <v>#N/A</v>
      </c>
      <c r="G3108" s="74">
        <v>31906</v>
      </c>
      <c r="H3108" s="77">
        <v>0.75</v>
      </c>
      <c r="J3108">
        <v>75.92</v>
      </c>
      <c r="M3108" s="74">
        <v>34463</v>
      </c>
      <c r="N3108" s="77">
        <v>0.75</v>
      </c>
      <c r="P3108">
        <v>68.900000000000006</v>
      </c>
      <c r="S3108" s="74">
        <v>36289</v>
      </c>
      <c r="T3108" s="77">
        <v>0.75</v>
      </c>
      <c r="V3108">
        <v>71.06</v>
      </c>
      <c r="X3108" s="42"/>
      <c r="AB3108">
        <v>61.3</v>
      </c>
      <c r="AC3108">
        <v>60.980000000000004</v>
      </c>
      <c r="AE3108" s="74"/>
      <c r="AF3108" s="77"/>
      <c r="AH3108" s="497">
        <v>87.800000000000011</v>
      </c>
      <c r="AJ3108" s="42"/>
      <c r="AK3108" s="74"/>
      <c r="AL3108" s="77"/>
      <c r="AN3108" s="497">
        <v>62.96</v>
      </c>
      <c r="AP3108" s="42"/>
      <c r="AQ3108" s="74"/>
      <c r="AR3108" s="77"/>
      <c r="AT3108" s="497">
        <v>68</v>
      </c>
      <c r="AV3108" s="42"/>
      <c r="AW3108" s="74"/>
      <c r="AX3108" s="77"/>
      <c r="BA3108" s="497">
        <v>73.94</v>
      </c>
      <c r="BB3108" s="42"/>
      <c r="BC3108" s="74"/>
      <c r="BD3108" s="77"/>
      <c r="BF3108">
        <v>62.06</v>
      </c>
      <c r="BH3108" s="42"/>
      <c r="BI3108" s="74"/>
      <c r="BJ3108" s="77"/>
      <c r="BL3108" s="497">
        <v>57.92</v>
      </c>
      <c r="BN3108" s="42"/>
      <c r="BO3108" s="74"/>
      <c r="BP3108" s="77"/>
      <c r="BR3108" s="497">
        <v>66.92</v>
      </c>
      <c r="BT3108" s="42"/>
    </row>
    <row r="3109" spans="1:72" x14ac:dyDescent="0.25">
      <c r="A3109" s="90">
        <v>36289</v>
      </c>
      <c r="B3109" s="20">
        <v>0.79166666666666663</v>
      </c>
      <c r="D3109">
        <v>71.06</v>
      </c>
      <c r="E3109" t="str">
        <f t="shared" si="132"/>
        <v>SUNDAY</v>
      </c>
      <c r="F3109" t="e">
        <f t="shared" si="131"/>
        <v>#N/A</v>
      </c>
      <c r="G3109" s="74">
        <v>31906</v>
      </c>
      <c r="H3109" s="77">
        <v>0.79166666666666663</v>
      </c>
      <c r="J3109">
        <v>73.039999999999992</v>
      </c>
      <c r="M3109" s="74">
        <v>34463</v>
      </c>
      <c r="N3109" s="77">
        <v>0.79166666666666663</v>
      </c>
      <c r="P3109">
        <v>66.92</v>
      </c>
      <c r="S3109" s="74">
        <v>36289</v>
      </c>
      <c r="T3109" s="77">
        <v>0.79166666666666663</v>
      </c>
      <c r="V3109">
        <v>69.98</v>
      </c>
      <c r="X3109" s="42"/>
      <c r="AB3109">
        <v>59.8</v>
      </c>
      <c r="AC3109">
        <v>59</v>
      </c>
      <c r="AE3109" s="74"/>
      <c r="AF3109" s="77"/>
      <c r="AH3109" s="497">
        <v>84.2</v>
      </c>
      <c r="AJ3109" s="42"/>
      <c r="AK3109" s="74"/>
      <c r="AL3109" s="77"/>
      <c r="AN3109" s="497">
        <v>60.980000000000004</v>
      </c>
      <c r="AP3109" s="42"/>
      <c r="AQ3109" s="74"/>
      <c r="AR3109" s="77"/>
      <c r="AT3109" s="497">
        <v>66.02</v>
      </c>
      <c r="AV3109" s="42"/>
      <c r="AW3109" s="74"/>
      <c r="AX3109" s="77"/>
      <c r="BA3109" s="497">
        <v>71.06</v>
      </c>
      <c r="BB3109" s="42"/>
      <c r="BC3109" s="74"/>
      <c r="BD3109" s="77"/>
      <c r="BF3109">
        <v>62.06</v>
      </c>
      <c r="BH3109" s="42"/>
      <c r="BI3109" s="74"/>
      <c r="BJ3109" s="77"/>
      <c r="BL3109" s="497">
        <v>57.019999999999996</v>
      </c>
      <c r="BN3109" s="42"/>
      <c r="BO3109" s="74"/>
      <c r="BP3109" s="77"/>
      <c r="BR3109" s="497">
        <v>64.94</v>
      </c>
      <c r="BT3109" s="42"/>
    </row>
    <row r="3110" spans="1:72" x14ac:dyDescent="0.25">
      <c r="A3110" s="90">
        <v>36289</v>
      </c>
      <c r="B3110" s="20">
        <v>0.83333333333333337</v>
      </c>
      <c r="D3110">
        <v>69.98</v>
      </c>
      <c r="E3110" t="str">
        <f t="shared" si="132"/>
        <v>SUNDAY</v>
      </c>
      <c r="F3110" t="e">
        <f t="shared" si="131"/>
        <v>#N/A</v>
      </c>
      <c r="G3110" s="74">
        <v>31906</v>
      </c>
      <c r="H3110" s="77">
        <v>0.83333333333333337</v>
      </c>
      <c r="J3110">
        <v>71.960000000000008</v>
      </c>
      <c r="M3110" s="74">
        <v>34463</v>
      </c>
      <c r="N3110" s="77">
        <v>0.83333333333333337</v>
      </c>
      <c r="P3110">
        <v>64.94</v>
      </c>
      <c r="S3110" s="74">
        <v>36289</v>
      </c>
      <c r="T3110" s="77">
        <v>0.83333333333333337</v>
      </c>
      <c r="V3110">
        <v>68</v>
      </c>
      <c r="X3110" s="42"/>
      <c r="AB3110">
        <v>58.4</v>
      </c>
      <c r="AC3110">
        <v>57.92</v>
      </c>
      <c r="AE3110" s="74"/>
      <c r="AF3110" s="77"/>
      <c r="AH3110" s="497">
        <v>80.599999999999994</v>
      </c>
      <c r="AJ3110" s="42"/>
      <c r="AK3110" s="74"/>
      <c r="AL3110" s="77"/>
      <c r="AN3110" s="497">
        <v>57.019999999999996</v>
      </c>
      <c r="AP3110" s="42"/>
      <c r="AQ3110" s="74"/>
      <c r="AR3110" s="77"/>
      <c r="AT3110" s="497">
        <v>62.96</v>
      </c>
      <c r="AV3110" s="42"/>
      <c r="AW3110" s="74"/>
      <c r="AX3110" s="77"/>
      <c r="BA3110" s="497">
        <v>69.98</v>
      </c>
      <c r="BB3110" s="42"/>
      <c r="BC3110" s="74"/>
      <c r="BD3110" s="77"/>
      <c r="BF3110">
        <v>62.06</v>
      </c>
      <c r="BH3110" s="42"/>
      <c r="BI3110" s="74"/>
      <c r="BJ3110" s="77"/>
      <c r="BL3110" s="497">
        <v>53.96</v>
      </c>
      <c r="BN3110" s="42"/>
      <c r="BO3110" s="74"/>
      <c r="BP3110" s="77"/>
      <c r="BR3110" s="497">
        <v>62.06</v>
      </c>
      <c r="BT3110" s="42"/>
    </row>
    <row r="3111" spans="1:72" x14ac:dyDescent="0.25">
      <c r="A3111" s="90">
        <v>36289</v>
      </c>
      <c r="B3111" s="20">
        <v>0.875</v>
      </c>
      <c r="D3111">
        <v>66.92</v>
      </c>
      <c r="E3111" t="str">
        <f t="shared" si="132"/>
        <v>SUNDAY</v>
      </c>
      <c r="F3111" t="e">
        <f t="shared" si="131"/>
        <v>#N/A</v>
      </c>
      <c r="G3111" s="74">
        <v>31906</v>
      </c>
      <c r="H3111" s="77">
        <v>0.875</v>
      </c>
      <c r="J3111">
        <v>71.06</v>
      </c>
      <c r="M3111" s="74">
        <v>34463</v>
      </c>
      <c r="N3111" s="77">
        <v>0.875</v>
      </c>
      <c r="P3111">
        <v>63.86</v>
      </c>
      <c r="S3111" s="74">
        <v>36289</v>
      </c>
      <c r="T3111" s="77">
        <v>0.875</v>
      </c>
      <c r="V3111">
        <v>68</v>
      </c>
      <c r="X3111" s="42"/>
      <c r="AB3111">
        <v>57.3</v>
      </c>
      <c r="AC3111">
        <v>55.94</v>
      </c>
      <c r="AE3111" s="74"/>
      <c r="AF3111" s="77"/>
      <c r="AH3111" s="497">
        <v>80.599999999999994</v>
      </c>
      <c r="AJ3111" s="42"/>
      <c r="AK3111" s="74"/>
      <c r="AL3111" s="77"/>
      <c r="AN3111" s="497">
        <v>57.92</v>
      </c>
      <c r="AP3111" s="42"/>
      <c r="AQ3111" s="74"/>
      <c r="AR3111" s="77"/>
      <c r="AT3111" s="497">
        <v>60.980000000000004</v>
      </c>
      <c r="AV3111" s="42"/>
      <c r="AW3111" s="74"/>
      <c r="AX3111" s="77"/>
      <c r="BA3111" s="497">
        <v>66.92</v>
      </c>
      <c r="BB3111" s="42"/>
      <c r="BC3111" s="74"/>
      <c r="BD3111" s="77"/>
      <c r="BF3111">
        <v>62.06</v>
      </c>
      <c r="BH3111" s="42"/>
      <c r="BI3111" s="74"/>
      <c r="BJ3111" s="77"/>
      <c r="BL3111" s="497">
        <v>53.06</v>
      </c>
      <c r="BN3111" s="42"/>
      <c r="BO3111" s="74"/>
      <c r="BP3111" s="77"/>
      <c r="BR3111" s="497">
        <v>59</v>
      </c>
      <c r="BT3111" s="42"/>
    </row>
    <row r="3112" spans="1:72" x14ac:dyDescent="0.25">
      <c r="A3112" s="90">
        <v>36289</v>
      </c>
      <c r="B3112" s="20">
        <v>0.91666666666666663</v>
      </c>
      <c r="D3112">
        <v>66.02</v>
      </c>
      <c r="E3112" t="str">
        <f t="shared" si="132"/>
        <v>SUNDAY</v>
      </c>
      <c r="F3112" t="e">
        <f t="shared" si="131"/>
        <v>#N/A</v>
      </c>
      <c r="G3112" s="74">
        <v>31906</v>
      </c>
      <c r="H3112" s="77">
        <v>0.91666666666666663</v>
      </c>
      <c r="J3112">
        <v>69.080000000000013</v>
      </c>
      <c r="M3112" s="74">
        <v>34463</v>
      </c>
      <c r="N3112" s="77">
        <v>0.91666666666666663</v>
      </c>
      <c r="P3112">
        <v>61.88</v>
      </c>
      <c r="S3112" s="74">
        <v>36289</v>
      </c>
      <c r="T3112" s="77">
        <v>0.91666666666666663</v>
      </c>
      <c r="V3112">
        <v>64.94</v>
      </c>
      <c r="X3112" s="42"/>
      <c r="AB3112">
        <v>56.7</v>
      </c>
      <c r="AC3112">
        <v>57.019999999999996</v>
      </c>
      <c r="AE3112" s="74"/>
      <c r="AF3112" s="77"/>
      <c r="AH3112" s="497">
        <v>66.2</v>
      </c>
      <c r="AJ3112" s="42"/>
      <c r="AK3112" s="74"/>
      <c r="AL3112" s="77"/>
      <c r="AN3112" s="497">
        <v>55.94</v>
      </c>
      <c r="AP3112" s="42"/>
      <c r="AQ3112" s="74"/>
      <c r="AR3112" s="77"/>
      <c r="AT3112" s="497">
        <v>59</v>
      </c>
      <c r="AV3112" s="42"/>
      <c r="AW3112" s="74"/>
      <c r="AX3112" s="77"/>
      <c r="BA3112" s="497">
        <v>66.02</v>
      </c>
      <c r="BB3112" s="42"/>
      <c r="BC3112" s="74"/>
      <c r="BD3112" s="77"/>
      <c r="BF3112">
        <v>53.06</v>
      </c>
      <c r="BH3112" s="42"/>
      <c r="BI3112" s="74"/>
      <c r="BJ3112" s="77"/>
      <c r="BL3112" s="497">
        <v>51.08</v>
      </c>
      <c r="BN3112" s="42"/>
      <c r="BO3112" s="74"/>
      <c r="BP3112" s="77"/>
      <c r="BR3112" s="497">
        <v>57.019999999999996</v>
      </c>
      <c r="BT3112" s="42"/>
    </row>
    <row r="3113" spans="1:72" x14ac:dyDescent="0.25">
      <c r="A3113" s="90">
        <v>36289</v>
      </c>
      <c r="B3113" s="20">
        <v>0.95833333333333337</v>
      </c>
      <c r="D3113">
        <v>64.94</v>
      </c>
      <c r="E3113" t="str">
        <f t="shared" si="132"/>
        <v>SUNDAY</v>
      </c>
      <c r="F3113" t="e">
        <f t="shared" si="131"/>
        <v>#N/A</v>
      </c>
      <c r="G3113" s="74">
        <v>31906</v>
      </c>
      <c r="H3113" s="77">
        <v>0.95833333333333337</v>
      </c>
      <c r="J3113">
        <v>66.92</v>
      </c>
      <c r="M3113" s="74">
        <v>34463</v>
      </c>
      <c r="N3113" s="77">
        <v>0.95833333333333337</v>
      </c>
      <c r="P3113">
        <v>60.980000000000004</v>
      </c>
      <c r="S3113" s="74">
        <v>36289</v>
      </c>
      <c r="T3113" s="77">
        <v>0.95833333333333337</v>
      </c>
      <c r="V3113">
        <v>64.039999999999992</v>
      </c>
      <c r="X3113" s="42"/>
      <c r="AB3113">
        <v>56.2</v>
      </c>
      <c r="AC3113">
        <v>55.94</v>
      </c>
      <c r="AE3113" s="74"/>
      <c r="AF3113" s="77"/>
      <c r="AH3113" s="497">
        <v>66.2</v>
      </c>
      <c r="AJ3113" s="42"/>
      <c r="AK3113" s="74"/>
      <c r="AL3113" s="77"/>
      <c r="AN3113" s="497">
        <v>53.96</v>
      </c>
      <c r="AP3113" s="42"/>
      <c r="AQ3113" s="74"/>
      <c r="AR3113" s="77"/>
      <c r="AT3113" s="497">
        <v>57.019999999999996</v>
      </c>
      <c r="AV3113" s="42"/>
      <c r="AW3113" s="74"/>
      <c r="AX3113" s="77"/>
      <c r="BA3113" s="497">
        <v>64.94</v>
      </c>
      <c r="BB3113" s="42"/>
      <c r="BC3113" s="74"/>
      <c r="BD3113" s="77"/>
      <c r="BF3113">
        <v>51.980000000000004</v>
      </c>
      <c r="BH3113" s="42"/>
      <c r="BI3113" s="74"/>
      <c r="BJ3113" s="77"/>
      <c r="BL3113" s="497">
        <v>48.019999999999996</v>
      </c>
      <c r="BN3113" s="42"/>
      <c r="BO3113" s="74"/>
      <c r="BP3113" s="77"/>
      <c r="BR3113" s="497">
        <v>55.94</v>
      </c>
      <c r="BT3113" s="42"/>
    </row>
    <row r="3114" spans="1:72" x14ac:dyDescent="0.25">
      <c r="A3114" s="90">
        <v>36289</v>
      </c>
      <c r="B3114" s="20">
        <v>1</v>
      </c>
      <c r="D3114">
        <v>64.039999999999992</v>
      </c>
      <c r="E3114" t="str">
        <f t="shared" si="132"/>
        <v>SUNDAY</v>
      </c>
      <c r="F3114" t="e">
        <f t="shared" si="131"/>
        <v>#N/A</v>
      </c>
      <c r="G3114" s="74">
        <v>31906</v>
      </c>
      <c r="H3114" s="77">
        <v>1</v>
      </c>
      <c r="J3114">
        <v>66.92</v>
      </c>
      <c r="M3114" s="74">
        <v>34463</v>
      </c>
      <c r="N3114" s="80">
        <v>1</v>
      </c>
      <c r="P3114">
        <v>59</v>
      </c>
      <c r="S3114" s="74">
        <v>36289</v>
      </c>
      <c r="T3114" s="80">
        <v>1</v>
      </c>
      <c r="V3114">
        <v>62.06</v>
      </c>
      <c r="X3114" s="42"/>
      <c r="AB3114">
        <v>55.8</v>
      </c>
      <c r="AC3114">
        <v>51.980000000000004</v>
      </c>
      <c r="AE3114" s="74"/>
      <c r="AF3114" s="80"/>
      <c r="AH3114" s="497">
        <v>66.2</v>
      </c>
      <c r="AJ3114" s="42"/>
      <c r="AK3114" s="74"/>
      <c r="AL3114" s="80"/>
      <c r="AN3114" s="497">
        <v>53.06</v>
      </c>
      <c r="AP3114" s="42"/>
      <c r="AQ3114" s="74"/>
      <c r="AR3114" s="80"/>
      <c r="AT3114" s="497">
        <v>57.019999999999996</v>
      </c>
      <c r="AV3114" s="42"/>
      <c r="AW3114" s="74"/>
      <c r="AX3114" s="80"/>
      <c r="BA3114" s="497">
        <v>64.94</v>
      </c>
      <c r="BB3114" s="42"/>
      <c r="BC3114" s="74"/>
      <c r="BD3114" s="80"/>
      <c r="BF3114">
        <v>51.980000000000004</v>
      </c>
      <c r="BH3114" s="42"/>
      <c r="BI3114" s="74"/>
      <c r="BJ3114" s="80"/>
      <c r="BL3114" s="497">
        <v>42.980000000000004</v>
      </c>
      <c r="BN3114" s="42"/>
      <c r="BO3114" s="74"/>
      <c r="BP3114" s="80"/>
      <c r="BR3114" s="497">
        <v>55.040000000000006</v>
      </c>
      <c r="BT3114" s="42"/>
    </row>
    <row r="3115" spans="1:72" x14ac:dyDescent="0.25">
      <c r="A3115" s="90">
        <v>36290</v>
      </c>
      <c r="B3115" s="20">
        <v>4.1666666666666664E-2</v>
      </c>
      <c r="D3115">
        <v>62.06</v>
      </c>
      <c r="E3115" t="str">
        <f t="shared" si="132"/>
        <v>WEEKDAY</v>
      </c>
      <c r="F3115" t="e">
        <f t="shared" ref="F3115:F3178" si="133">IF(E3115="WEEKDAY",VLOOKUP(B3115,$DD$19:$DG$42,2),IF(E3115="SATURDAY",VLOOKUP(B3115,$DD$19:$DG$42,3),VLOOKUP(B3115,$DD$19:$DG$42,4)))</f>
        <v>#N/A</v>
      </c>
      <c r="G3115" s="74">
        <v>31907</v>
      </c>
      <c r="H3115" s="77">
        <v>4.1666666666666664E-2</v>
      </c>
      <c r="J3115">
        <v>66.02</v>
      </c>
      <c r="M3115" s="74">
        <v>34464</v>
      </c>
      <c r="N3115" s="77">
        <v>4.1666666666666664E-2</v>
      </c>
      <c r="P3115">
        <v>59</v>
      </c>
      <c r="S3115" s="74">
        <v>36290</v>
      </c>
      <c r="T3115" s="77">
        <v>4.1666666666666664E-2</v>
      </c>
      <c r="V3115">
        <v>62.06</v>
      </c>
      <c r="X3115" s="42"/>
      <c r="AB3115">
        <v>55.3</v>
      </c>
      <c r="AC3115">
        <v>51.08</v>
      </c>
      <c r="AE3115" s="74"/>
      <c r="AF3115" s="77"/>
      <c r="AH3115" s="497">
        <v>66.2</v>
      </c>
      <c r="AJ3115" s="42"/>
      <c r="AK3115" s="74"/>
      <c r="AL3115" s="77"/>
      <c r="AN3115" s="497">
        <v>53.06</v>
      </c>
      <c r="AP3115" s="42"/>
      <c r="AQ3115" s="74"/>
      <c r="AR3115" s="77"/>
      <c r="AT3115" s="497">
        <v>57.019999999999996</v>
      </c>
      <c r="AV3115" s="42"/>
      <c r="AW3115" s="74"/>
      <c r="AX3115" s="77"/>
      <c r="BA3115" s="497">
        <v>62.96</v>
      </c>
      <c r="BB3115" s="42"/>
      <c r="BC3115" s="74"/>
      <c r="BD3115" s="77"/>
      <c r="BF3115">
        <v>53.06</v>
      </c>
      <c r="BH3115" s="42"/>
      <c r="BI3115" s="74"/>
      <c r="BJ3115" s="77"/>
      <c r="BL3115" s="497">
        <v>41</v>
      </c>
      <c r="BN3115" s="42"/>
      <c r="BO3115" s="74"/>
      <c r="BP3115" s="77"/>
      <c r="BR3115" s="497">
        <v>55.040000000000006</v>
      </c>
      <c r="BT3115" s="42"/>
    </row>
    <row r="3116" spans="1:72" x14ac:dyDescent="0.25">
      <c r="A3116" s="90">
        <v>36290</v>
      </c>
      <c r="B3116" s="20">
        <v>8.3333333333333329E-2</v>
      </c>
      <c r="D3116">
        <v>62.06</v>
      </c>
      <c r="E3116" t="str">
        <f t="shared" si="132"/>
        <v>WEEKDAY</v>
      </c>
      <c r="F3116" t="e">
        <f t="shared" si="133"/>
        <v>#N/A</v>
      </c>
      <c r="G3116" s="74">
        <v>31907</v>
      </c>
      <c r="H3116" s="77">
        <v>8.3333333333333329E-2</v>
      </c>
      <c r="J3116">
        <v>66.02</v>
      </c>
      <c r="M3116" s="74">
        <v>34464</v>
      </c>
      <c r="N3116" s="77">
        <v>8.3333333333333329E-2</v>
      </c>
      <c r="P3116">
        <v>59.900000000000006</v>
      </c>
      <c r="S3116" s="74">
        <v>36290</v>
      </c>
      <c r="T3116" s="77">
        <v>8.3333333333333329E-2</v>
      </c>
      <c r="V3116">
        <v>60.980000000000004</v>
      </c>
      <c r="X3116" s="42"/>
      <c r="AB3116">
        <v>54.8</v>
      </c>
      <c r="AC3116">
        <v>51.08</v>
      </c>
      <c r="AE3116" s="74"/>
      <c r="AF3116" s="77"/>
      <c r="AH3116" s="497">
        <v>64.400000000000006</v>
      </c>
      <c r="AJ3116" s="42"/>
      <c r="AK3116" s="74"/>
      <c r="AL3116" s="77"/>
      <c r="AN3116" s="497">
        <v>51.08</v>
      </c>
      <c r="AP3116" s="42"/>
      <c r="AQ3116" s="74"/>
      <c r="AR3116" s="77"/>
      <c r="AT3116" s="497">
        <v>55.94</v>
      </c>
      <c r="AV3116" s="42"/>
      <c r="AW3116" s="74"/>
      <c r="AX3116" s="77"/>
      <c r="BA3116" s="497">
        <v>64.039999999999992</v>
      </c>
      <c r="BB3116" s="42"/>
      <c r="BC3116" s="74"/>
      <c r="BD3116" s="77"/>
      <c r="BF3116">
        <v>53.06</v>
      </c>
      <c r="BH3116" s="42"/>
      <c r="BI3116" s="74"/>
      <c r="BJ3116" s="77"/>
      <c r="BL3116" s="497">
        <v>39.92</v>
      </c>
      <c r="BN3116" s="42"/>
      <c r="BO3116" s="74"/>
      <c r="BP3116" s="77"/>
      <c r="BR3116" s="497">
        <v>53.96</v>
      </c>
      <c r="BT3116" s="42"/>
    </row>
    <row r="3117" spans="1:72" x14ac:dyDescent="0.25">
      <c r="A3117" s="90">
        <v>36290</v>
      </c>
      <c r="B3117" s="20">
        <v>0.125</v>
      </c>
      <c r="D3117">
        <v>62.06</v>
      </c>
      <c r="E3117" t="str">
        <f t="shared" si="132"/>
        <v>WEEKDAY</v>
      </c>
      <c r="F3117" t="e">
        <f t="shared" si="133"/>
        <v>#N/A</v>
      </c>
      <c r="G3117" s="74">
        <v>31907</v>
      </c>
      <c r="H3117" s="77">
        <v>0.125</v>
      </c>
      <c r="J3117">
        <v>64.039999999999992</v>
      </c>
      <c r="M3117" s="74">
        <v>34464</v>
      </c>
      <c r="N3117" s="77">
        <v>0.125</v>
      </c>
      <c r="P3117">
        <v>59</v>
      </c>
      <c r="S3117" s="74">
        <v>36290</v>
      </c>
      <c r="T3117" s="77">
        <v>0.125</v>
      </c>
      <c r="V3117">
        <v>59</v>
      </c>
      <c r="X3117" s="42"/>
      <c r="AB3117">
        <v>54.3</v>
      </c>
      <c r="AC3117">
        <v>51.980000000000004</v>
      </c>
      <c r="AE3117" s="74"/>
      <c r="AF3117" s="77"/>
      <c r="AH3117" s="497">
        <v>62.6</v>
      </c>
      <c r="AJ3117" s="42"/>
      <c r="AK3117" s="74"/>
      <c r="AL3117" s="77"/>
      <c r="AN3117" s="497">
        <v>51.08</v>
      </c>
      <c r="AP3117" s="42"/>
      <c r="AQ3117" s="74"/>
      <c r="AR3117" s="77"/>
      <c r="AT3117" s="497">
        <v>55.94</v>
      </c>
      <c r="AV3117" s="42"/>
      <c r="AW3117" s="74"/>
      <c r="AX3117" s="77"/>
      <c r="BA3117" s="497">
        <v>64.039999999999992</v>
      </c>
      <c r="BB3117" s="42"/>
      <c r="BC3117" s="74"/>
      <c r="BD3117" s="77"/>
      <c r="BF3117">
        <v>53.06</v>
      </c>
      <c r="BH3117" s="42"/>
      <c r="BI3117" s="74"/>
      <c r="BJ3117" s="77"/>
      <c r="BL3117" s="497">
        <v>37.94</v>
      </c>
      <c r="BN3117" s="42"/>
      <c r="BO3117" s="74"/>
      <c r="BP3117" s="77"/>
      <c r="BR3117" s="497">
        <v>53.96</v>
      </c>
      <c r="BT3117" s="42"/>
    </row>
    <row r="3118" spans="1:72" x14ac:dyDescent="0.25">
      <c r="A3118" s="90">
        <v>36290</v>
      </c>
      <c r="B3118" s="20">
        <v>0.16666666666666666</v>
      </c>
      <c r="D3118">
        <v>60.08</v>
      </c>
      <c r="E3118" t="str">
        <f t="shared" si="132"/>
        <v>WEEKDAY</v>
      </c>
      <c r="F3118" t="e">
        <f t="shared" si="133"/>
        <v>#N/A</v>
      </c>
      <c r="G3118" s="74">
        <v>31907</v>
      </c>
      <c r="H3118" s="77">
        <v>0.16666666666666666</v>
      </c>
      <c r="J3118">
        <v>62.96</v>
      </c>
      <c r="M3118" s="74">
        <v>34464</v>
      </c>
      <c r="N3118" s="77">
        <v>0.16666666666666666</v>
      </c>
      <c r="P3118">
        <v>55.94</v>
      </c>
      <c r="S3118" s="74">
        <v>36290</v>
      </c>
      <c r="T3118" s="77">
        <v>0.16666666666666666</v>
      </c>
      <c r="V3118">
        <v>57.019999999999996</v>
      </c>
      <c r="X3118" s="42"/>
      <c r="AB3118">
        <v>53.9</v>
      </c>
      <c r="AC3118">
        <v>51.980000000000004</v>
      </c>
      <c r="AE3118" s="74"/>
      <c r="AF3118" s="77"/>
      <c r="AH3118" s="497">
        <v>59</v>
      </c>
      <c r="AJ3118" s="42"/>
      <c r="AK3118" s="74"/>
      <c r="AL3118" s="77"/>
      <c r="AN3118" s="497">
        <v>50</v>
      </c>
      <c r="AP3118" s="42"/>
      <c r="AQ3118" s="74"/>
      <c r="AR3118" s="77"/>
      <c r="AT3118" s="497">
        <v>55.94</v>
      </c>
      <c r="AV3118" s="42"/>
      <c r="AW3118" s="74"/>
      <c r="AX3118" s="77"/>
      <c r="BA3118" s="497">
        <v>64.94</v>
      </c>
      <c r="BB3118" s="42"/>
      <c r="BC3118" s="74"/>
      <c r="BD3118" s="77"/>
      <c r="BF3118">
        <v>51.980000000000004</v>
      </c>
      <c r="BH3118" s="42"/>
      <c r="BI3118" s="74"/>
      <c r="BJ3118" s="77"/>
      <c r="BL3118" s="497">
        <v>37.94</v>
      </c>
      <c r="BN3118" s="42"/>
      <c r="BO3118" s="74"/>
      <c r="BP3118" s="77"/>
      <c r="BR3118" s="497">
        <v>55.040000000000006</v>
      </c>
      <c r="BT3118" s="42"/>
    </row>
    <row r="3119" spans="1:72" x14ac:dyDescent="0.25">
      <c r="A3119" s="90">
        <v>36290</v>
      </c>
      <c r="B3119" s="20">
        <v>0.20833333333333334</v>
      </c>
      <c r="D3119">
        <v>59</v>
      </c>
      <c r="E3119" t="str">
        <f t="shared" si="132"/>
        <v>WEEKDAY</v>
      </c>
      <c r="F3119" t="e">
        <f t="shared" si="133"/>
        <v>#N/A</v>
      </c>
      <c r="G3119" s="74">
        <v>31907</v>
      </c>
      <c r="H3119" s="77">
        <v>0.20833333333333334</v>
      </c>
      <c r="J3119">
        <v>62.06</v>
      </c>
      <c r="M3119" s="74">
        <v>34464</v>
      </c>
      <c r="N3119" s="77">
        <v>0.20833333333333334</v>
      </c>
      <c r="P3119">
        <v>51.980000000000004</v>
      </c>
      <c r="S3119" s="74">
        <v>36290</v>
      </c>
      <c r="T3119" s="77">
        <v>0.20833333333333334</v>
      </c>
      <c r="V3119">
        <v>55.040000000000006</v>
      </c>
      <c r="X3119" s="42"/>
      <c r="AB3119">
        <v>53.4</v>
      </c>
      <c r="AC3119">
        <v>53.06</v>
      </c>
      <c r="AE3119" s="74"/>
      <c r="AF3119" s="77"/>
      <c r="AH3119" s="497">
        <v>57.2</v>
      </c>
      <c r="AJ3119" s="42"/>
      <c r="AK3119" s="74"/>
      <c r="AL3119" s="77"/>
      <c r="AN3119" s="497">
        <v>48.92</v>
      </c>
      <c r="AP3119" s="42"/>
      <c r="AQ3119" s="74"/>
      <c r="AR3119" s="77"/>
      <c r="AT3119" s="497">
        <v>55.94</v>
      </c>
      <c r="AV3119" s="42"/>
      <c r="AW3119" s="74"/>
      <c r="AX3119" s="77"/>
      <c r="BA3119" s="497">
        <v>64.94</v>
      </c>
      <c r="BB3119" s="42"/>
      <c r="BC3119" s="74"/>
      <c r="BD3119" s="77"/>
      <c r="BF3119">
        <v>51.980000000000004</v>
      </c>
      <c r="BH3119" s="42"/>
      <c r="BI3119" s="74"/>
      <c r="BJ3119" s="77"/>
      <c r="BL3119" s="497">
        <v>37.04</v>
      </c>
      <c r="BN3119" s="42"/>
      <c r="BO3119" s="74"/>
      <c r="BP3119" s="77"/>
      <c r="BR3119" s="497">
        <v>55.94</v>
      </c>
      <c r="BT3119" s="42"/>
    </row>
    <row r="3120" spans="1:72" x14ac:dyDescent="0.25">
      <c r="A3120" s="90">
        <v>36290</v>
      </c>
      <c r="B3120" s="20">
        <v>0.25</v>
      </c>
      <c r="D3120">
        <v>57.92</v>
      </c>
      <c r="E3120" t="str">
        <f t="shared" si="132"/>
        <v>WEEKDAY</v>
      </c>
      <c r="F3120" t="e">
        <f t="shared" si="133"/>
        <v>#N/A</v>
      </c>
      <c r="G3120" s="74">
        <v>31907</v>
      </c>
      <c r="H3120" s="77">
        <v>0.25</v>
      </c>
      <c r="J3120">
        <v>62.06</v>
      </c>
      <c r="M3120" s="74">
        <v>34464</v>
      </c>
      <c r="N3120" s="77">
        <v>0.25</v>
      </c>
      <c r="P3120">
        <v>51.980000000000004</v>
      </c>
      <c r="S3120" s="74">
        <v>36290</v>
      </c>
      <c r="T3120" s="77">
        <v>0.25</v>
      </c>
      <c r="V3120">
        <v>55.94</v>
      </c>
      <c r="X3120" s="42"/>
      <c r="AB3120">
        <v>53.2</v>
      </c>
      <c r="AC3120">
        <v>55.94</v>
      </c>
      <c r="AE3120" s="74"/>
      <c r="AF3120" s="77"/>
      <c r="AH3120" s="497">
        <v>62.6</v>
      </c>
      <c r="AJ3120" s="42"/>
      <c r="AK3120" s="74"/>
      <c r="AL3120" s="77"/>
      <c r="AN3120" s="497">
        <v>50</v>
      </c>
      <c r="AP3120" s="42"/>
      <c r="AQ3120" s="74"/>
      <c r="AR3120" s="77"/>
      <c r="AT3120" s="497">
        <v>57.019999999999996</v>
      </c>
      <c r="AV3120" s="42"/>
      <c r="AW3120" s="74"/>
      <c r="AX3120" s="77"/>
      <c r="BA3120" s="497">
        <v>66.02</v>
      </c>
      <c r="BB3120" s="42"/>
      <c r="BC3120" s="74"/>
      <c r="BD3120" s="77"/>
      <c r="BF3120">
        <v>53.06</v>
      </c>
      <c r="BH3120" s="42"/>
      <c r="BI3120" s="74"/>
      <c r="BJ3120" s="77"/>
      <c r="BL3120" s="497">
        <v>39.019999999999996</v>
      </c>
      <c r="BN3120" s="42"/>
      <c r="BO3120" s="74"/>
      <c r="BP3120" s="77"/>
      <c r="BR3120" s="497">
        <v>55.040000000000006</v>
      </c>
      <c r="BT3120" s="42"/>
    </row>
    <row r="3121" spans="1:72" x14ac:dyDescent="0.25">
      <c r="A3121" s="90">
        <v>36290</v>
      </c>
      <c r="B3121" s="20">
        <v>0.29166666666666669</v>
      </c>
      <c r="D3121">
        <v>60.08</v>
      </c>
      <c r="E3121" t="str">
        <f t="shared" si="132"/>
        <v>WEEKDAY</v>
      </c>
      <c r="F3121" t="e">
        <f t="shared" si="133"/>
        <v>#N/A</v>
      </c>
      <c r="G3121" s="74">
        <v>31907</v>
      </c>
      <c r="H3121" s="77">
        <v>0.29166666666666669</v>
      </c>
      <c r="J3121">
        <v>66.02</v>
      </c>
      <c r="M3121" s="74">
        <v>34464</v>
      </c>
      <c r="N3121" s="77">
        <v>0.29166666666666669</v>
      </c>
      <c r="P3121">
        <v>56.84</v>
      </c>
      <c r="S3121" s="74">
        <v>36290</v>
      </c>
      <c r="T3121" s="77">
        <v>0.29166666666666669</v>
      </c>
      <c r="V3121">
        <v>57.019999999999996</v>
      </c>
      <c r="X3121" s="42"/>
      <c r="AB3121">
        <v>54.3</v>
      </c>
      <c r="AC3121">
        <v>60.08</v>
      </c>
      <c r="AE3121" s="74"/>
      <c r="AF3121" s="77"/>
      <c r="AH3121" s="497">
        <v>60.8</v>
      </c>
      <c r="AJ3121" s="42"/>
      <c r="AK3121" s="74"/>
      <c r="AL3121" s="77"/>
      <c r="AN3121" s="497">
        <v>50</v>
      </c>
      <c r="AP3121" s="42"/>
      <c r="AQ3121" s="74"/>
      <c r="AR3121" s="77"/>
      <c r="AT3121" s="497">
        <v>60.08</v>
      </c>
      <c r="AV3121" s="42"/>
      <c r="AW3121" s="74"/>
      <c r="AX3121" s="77"/>
      <c r="BA3121" s="497">
        <v>68</v>
      </c>
      <c r="BB3121" s="42"/>
      <c r="BC3121" s="74"/>
      <c r="BD3121" s="77"/>
      <c r="BF3121">
        <v>55.94</v>
      </c>
      <c r="BH3121" s="42"/>
      <c r="BI3121" s="74"/>
      <c r="BJ3121" s="77"/>
      <c r="BL3121" s="497">
        <v>44.06</v>
      </c>
      <c r="BN3121" s="42"/>
      <c r="BO3121" s="74"/>
      <c r="BP3121" s="77"/>
      <c r="BR3121" s="497">
        <v>55.94</v>
      </c>
      <c r="BT3121" s="42"/>
    </row>
    <row r="3122" spans="1:72" x14ac:dyDescent="0.25">
      <c r="A3122" s="90">
        <v>36290</v>
      </c>
      <c r="B3122" s="20">
        <v>0.33333333333333331</v>
      </c>
      <c r="D3122">
        <v>60.980000000000004</v>
      </c>
      <c r="E3122" t="str">
        <f t="shared" si="132"/>
        <v>WEEKDAY</v>
      </c>
      <c r="F3122" t="e">
        <f t="shared" si="133"/>
        <v>#N/A</v>
      </c>
      <c r="G3122" s="74">
        <v>31907</v>
      </c>
      <c r="H3122" s="77">
        <v>0.33333333333333331</v>
      </c>
      <c r="J3122">
        <v>71.960000000000008</v>
      </c>
      <c r="M3122" s="74">
        <v>34464</v>
      </c>
      <c r="N3122" s="77">
        <v>0.33333333333333331</v>
      </c>
      <c r="P3122">
        <v>56.84</v>
      </c>
      <c r="S3122" s="74">
        <v>36290</v>
      </c>
      <c r="T3122" s="77">
        <v>0.33333333333333331</v>
      </c>
      <c r="V3122">
        <v>57.92</v>
      </c>
      <c r="X3122" s="42"/>
      <c r="AB3122">
        <v>56.1</v>
      </c>
      <c r="AC3122">
        <v>68</v>
      </c>
      <c r="AE3122" s="74"/>
      <c r="AF3122" s="77"/>
      <c r="AH3122" s="497">
        <v>55.400000000000006</v>
      </c>
      <c r="AJ3122" s="42"/>
      <c r="AK3122" s="74"/>
      <c r="AL3122" s="77"/>
      <c r="AN3122" s="497">
        <v>51.980000000000004</v>
      </c>
      <c r="AP3122" s="42"/>
      <c r="AQ3122" s="74"/>
      <c r="AR3122" s="77"/>
      <c r="AT3122" s="497">
        <v>64.039999999999992</v>
      </c>
      <c r="AV3122" s="42"/>
      <c r="AW3122" s="74"/>
      <c r="AX3122" s="77"/>
      <c r="BA3122" s="497">
        <v>69.98</v>
      </c>
      <c r="BB3122" s="42"/>
      <c r="BC3122" s="74"/>
      <c r="BD3122" s="77"/>
      <c r="BF3122">
        <v>59</v>
      </c>
      <c r="BH3122" s="42"/>
      <c r="BI3122" s="74"/>
      <c r="BJ3122" s="77"/>
      <c r="BL3122" s="497">
        <v>51.08</v>
      </c>
      <c r="BN3122" s="42"/>
      <c r="BO3122" s="74"/>
      <c r="BP3122" s="77"/>
      <c r="BR3122" s="497">
        <v>53.96</v>
      </c>
      <c r="BT3122" s="42"/>
    </row>
    <row r="3123" spans="1:72" x14ac:dyDescent="0.25">
      <c r="A3123" s="90">
        <v>36290</v>
      </c>
      <c r="B3123" s="20">
        <v>0.375</v>
      </c>
      <c r="D3123">
        <v>64.039999999999992</v>
      </c>
      <c r="E3123" t="str">
        <f t="shared" si="132"/>
        <v>WEEKDAY</v>
      </c>
      <c r="F3123" t="e">
        <f t="shared" si="133"/>
        <v>#N/A</v>
      </c>
      <c r="G3123" s="74">
        <v>31907</v>
      </c>
      <c r="H3123" s="77">
        <v>0.375</v>
      </c>
      <c r="J3123">
        <v>73.94</v>
      </c>
      <c r="M3123" s="74">
        <v>34464</v>
      </c>
      <c r="N3123" s="77">
        <v>0.375</v>
      </c>
      <c r="P3123">
        <v>59.900000000000006</v>
      </c>
      <c r="S3123" s="74">
        <v>36290</v>
      </c>
      <c r="T3123" s="77">
        <v>0.375</v>
      </c>
      <c r="V3123">
        <v>60.08</v>
      </c>
      <c r="X3123" s="42"/>
      <c r="AB3123">
        <v>58.1</v>
      </c>
      <c r="AC3123">
        <v>71.960000000000008</v>
      </c>
      <c r="AE3123" s="74"/>
      <c r="AF3123" s="77"/>
      <c r="AH3123" s="497">
        <v>53.6</v>
      </c>
      <c r="AJ3123" s="42"/>
      <c r="AK3123" s="74"/>
      <c r="AL3123" s="77"/>
      <c r="AN3123" s="497">
        <v>55.040000000000006</v>
      </c>
      <c r="AP3123" s="42"/>
      <c r="AQ3123" s="74"/>
      <c r="AR3123" s="77"/>
      <c r="AT3123" s="497">
        <v>69.080000000000013</v>
      </c>
      <c r="AV3123" s="42"/>
      <c r="AW3123" s="74"/>
      <c r="AX3123" s="77"/>
      <c r="BA3123" s="497">
        <v>73.94</v>
      </c>
      <c r="BB3123" s="42"/>
      <c r="BC3123" s="74"/>
      <c r="BD3123" s="77"/>
      <c r="BF3123">
        <v>64.94</v>
      </c>
      <c r="BH3123" s="42"/>
      <c r="BI3123" s="74"/>
      <c r="BJ3123" s="77"/>
      <c r="BL3123" s="497">
        <v>59</v>
      </c>
      <c r="BN3123" s="42"/>
      <c r="BO3123" s="74"/>
      <c r="BP3123" s="77"/>
      <c r="BR3123" s="497">
        <v>55.040000000000006</v>
      </c>
      <c r="BT3123" s="42"/>
    </row>
    <row r="3124" spans="1:72" x14ac:dyDescent="0.25">
      <c r="A3124" s="90">
        <v>36290</v>
      </c>
      <c r="B3124" s="20">
        <v>0.41666666666666669</v>
      </c>
      <c r="D3124">
        <v>66.02</v>
      </c>
      <c r="E3124" t="str">
        <f t="shared" si="132"/>
        <v>WEEKDAY</v>
      </c>
      <c r="F3124" t="e">
        <f t="shared" si="133"/>
        <v>#N/A</v>
      </c>
      <c r="G3124" s="74">
        <v>31907</v>
      </c>
      <c r="H3124" s="77">
        <v>0.41666666666666669</v>
      </c>
      <c r="J3124">
        <v>78.080000000000013</v>
      </c>
      <c r="M3124" s="74">
        <v>34464</v>
      </c>
      <c r="N3124" s="77">
        <v>0.41666666666666669</v>
      </c>
      <c r="P3124">
        <v>60.980000000000004</v>
      </c>
      <c r="S3124" s="74">
        <v>36290</v>
      </c>
      <c r="T3124" s="77">
        <v>0.41666666666666669</v>
      </c>
      <c r="V3124">
        <v>62.06</v>
      </c>
      <c r="X3124" s="42"/>
      <c r="AB3124">
        <v>59.7</v>
      </c>
      <c r="AC3124">
        <v>75.92</v>
      </c>
      <c r="AE3124" s="74"/>
      <c r="AF3124" s="77"/>
      <c r="AH3124" s="497">
        <v>53.6</v>
      </c>
      <c r="AJ3124" s="42"/>
      <c r="AK3124" s="74"/>
      <c r="AL3124" s="77"/>
      <c r="AN3124" s="497">
        <v>60.08</v>
      </c>
      <c r="AP3124" s="42"/>
      <c r="AQ3124" s="74"/>
      <c r="AR3124" s="77"/>
      <c r="AT3124" s="497">
        <v>73.039999999999992</v>
      </c>
      <c r="AV3124" s="42"/>
      <c r="AW3124" s="74"/>
      <c r="AX3124" s="77"/>
      <c r="BA3124" s="497">
        <v>75.92</v>
      </c>
      <c r="BB3124" s="42"/>
      <c r="BC3124" s="74"/>
      <c r="BD3124" s="77"/>
      <c r="BF3124">
        <v>69.080000000000013</v>
      </c>
      <c r="BH3124" s="42"/>
      <c r="BI3124" s="74"/>
      <c r="BJ3124" s="77"/>
      <c r="BL3124" s="497">
        <v>62.96</v>
      </c>
      <c r="BN3124" s="42"/>
      <c r="BO3124" s="74"/>
      <c r="BP3124" s="77"/>
      <c r="BR3124" s="497">
        <v>53.06</v>
      </c>
      <c r="BT3124" s="42"/>
    </row>
    <row r="3125" spans="1:72" x14ac:dyDescent="0.25">
      <c r="A3125" s="90">
        <v>36290</v>
      </c>
      <c r="B3125" s="20">
        <v>0.45833333333333331</v>
      </c>
      <c r="D3125">
        <v>68</v>
      </c>
      <c r="E3125" t="str">
        <f t="shared" si="132"/>
        <v>WEEKDAY</v>
      </c>
      <c r="F3125" t="e">
        <f t="shared" si="133"/>
        <v>#N/A</v>
      </c>
      <c r="G3125" s="74">
        <v>31907</v>
      </c>
      <c r="H3125" s="77">
        <v>0.45833333333333331</v>
      </c>
      <c r="J3125">
        <v>82.039999999999992</v>
      </c>
      <c r="M3125" s="74">
        <v>34464</v>
      </c>
      <c r="N3125" s="77">
        <v>0.45833333333333331</v>
      </c>
      <c r="P3125">
        <v>64.94</v>
      </c>
      <c r="S3125" s="74">
        <v>36290</v>
      </c>
      <c r="T3125" s="77">
        <v>0.45833333333333331</v>
      </c>
      <c r="V3125">
        <v>64.039999999999992</v>
      </c>
      <c r="X3125" s="42"/>
      <c r="AB3125">
        <v>61.4</v>
      </c>
      <c r="AC3125">
        <v>77</v>
      </c>
      <c r="AE3125" s="74"/>
      <c r="AF3125" s="77"/>
      <c r="AH3125" s="497">
        <v>53.6</v>
      </c>
      <c r="AJ3125" s="42"/>
      <c r="AK3125" s="74"/>
      <c r="AL3125" s="77"/>
      <c r="AN3125" s="497">
        <v>62.96</v>
      </c>
      <c r="AP3125" s="42"/>
      <c r="AQ3125" s="74"/>
      <c r="AR3125" s="77"/>
      <c r="AT3125" s="497">
        <v>78.080000000000013</v>
      </c>
      <c r="AV3125" s="42"/>
      <c r="AW3125" s="74"/>
      <c r="AX3125" s="77"/>
      <c r="BA3125" s="497">
        <v>78.080000000000013</v>
      </c>
      <c r="BB3125" s="42"/>
      <c r="BC3125" s="74"/>
      <c r="BD3125" s="77"/>
      <c r="BF3125">
        <v>71.960000000000008</v>
      </c>
      <c r="BH3125" s="42"/>
      <c r="BI3125" s="74"/>
      <c r="BJ3125" s="77"/>
      <c r="BL3125" s="497">
        <v>66.02</v>
      </c>
      <c r="BN3125" s="42"/>
      <c r="BO3125" s="74"/>
      <c r="BP3125" s="77"/>
      <c r="BR3125" s="497">
        <v>53.06</v>
      </c>
      <c r="BT3125" s="42"/>
    </row>
    <row r="3126" spans="1:72" x14ac:dyDescent="0.25">
      <c r="A3126" s="90">
        <v>36290</v>
      </c>
      <c r="B3126" s="20">
        <v>0.5</v>
      </c>
      <c r="D3126">
        <v>69.98</v>
      </c>
      <c r="E3126" t="str">
        <f t="shared" si="132"/>
        <v>WEEKDAY</v>
      </c>
      <c r="F3126" t="e">
        <f t="shared" si="133"/>
        <v>#N/A</v>
      </c>
      <c r="G3126" s="74">
        <v>31907</v>
      </c>
      <c r="H3126" s="77">
        <v>0.5</v>
      </c>
      <c r="J3126">
        <v>82.94</v>
      </c>
      <c r="M3126" s="74">
        <v>34464</v>
      </c>
      <c r="N3126" s="77">
        <v>0.5</v>
      </c>
      <c r="P3126">
        <v>62.96</v>
      </c>
      <c r="S3126" s="74">
        <v>36290</v>
      </c>
      <c r="T3126" s="77">
        <v>0.5</v>
      </c>
      <c r="V3126">
        <v>66.02</v>
      </c>
      <c r="X3126" s="42"/>
      <c r="AB3126">
        <v>62.6</v>
      </c>
      <c r="AC3126">
        <v>78.080000000000013</v>
      </c>
      <c r="AE3126" s="74"/>
      <c r="AF3126" s="77"/>
      <c r="AH3126" s="497">
        <v>53.6</v>
      </c>
      <c r="AJ3126" s="42"/>
      <c r="AK3126" s="74"/>
      <c r="AL3126" s="77"/>
      <c r="AN3126" s="497">
        <v>62.06</v>
      </c>
      <c r="AP3126" s="42"/>
      <c r="AQ3126" s="74"/>
      <c r="AR3126" s="77"/>
      <c r="AT3126" s="497">
        <v>80.06</v>
      </c>
      <c r="AV3126" s="42"/>
      <c r="AW3126" s="74"/>
      <c r="AX3126" s="77"/>
      <c r="BA3126" s="497">
        <v>80.06</v>
      </c>
      <c r="BB3126" s="42"/>
      <c r="BC3126" s="74"/>
      <c r="BD3126" s="77"/>
      <c r="BF3126">
        <v>73.039999999999992</v>
      </c>
      <c r="BH3126" s="42"/>
      <c r="BI3126" s="74"/>
      <c r="BJ3126" s="77"/>
      <c r="BL3126" s="497">
        <v>66.92</v>
      </c>
      <c r="BN3126" s="42"/>
      <c r="BO3126" s="74"/>
      <c r="BP3126" s="77"/>
      <c r="BR3126" s="497">
        <v>51.08</v>
      </c>
      <c r="BT3126" s="42"/>
    </row>
    <row r="3127" spans="1:72" x14ac:dyDescent="0.25">
      <c r="A3127" s="90">
        <v>36290</v>
      </c>
      <c r="B3127" s="20">
        <v>0.54166666666666663</v>
      </c>
      <c r="D3127">
        <v>66.02</v>
      </c>
      <c r="E3127" t="str">
        <f t="shared" si="132"/>
        <v>WEEKDAY</v>
      </c>
      <c r="F3127" t="e">
        <f t="shared" si="133"/>
        <v>#N/A</v>
      </c>
      <c r="G3127" s="74">
        <v>31907</v>
      </c>
      <c r="H3127" s="77">
        <v>0.54166666666666663</v>
      </c>
      <c r="J3127">
        <v>86</v>
      </c>
      <c r="M3127" s="74">
        <v>34464</v>
      </c>
      <c r="N3127" s="77">
        <v>0.54166666666666663</v>
      </c>
      <c r="P3127">
        <v>61.88</v>
      </c>
      <c r="S3127" s="74">
        <v>36290</v>
      </c>
      <c r="T3127" s="77">
        <v>0.54166666666666663</v>
      </c>
      <c r="V3127">
        <v>68</v>
      </c>
      <c r="X3127" s="42"/>
      <c r="AB3127">
        <v>63.4</v>
      </c>
      <c r="AC3127">
        <v>78.98</v>
      </c>
      <c r="AE3127" s="74"/>
      <c r="AF3127" s="77"/>
      <c r="AH3127" s="497">
        <v>53.6</v>
      </c>
      <c r="AJ3127" s="42"/>
      <c r="AK3127" s="74"/>
      <c r="AL3127" s="77"/>
      <c r="AN3127" s="497">
        <v>64.94</v>
      </c>
      <c r="AP3127" s="42"/>
      <c r="AQ3127" s="74"/>
      <c r="AR3127" s="77"/>
      <c r="AT3127" s="497">
        <v>82.94</v>
      </c>
      <c r="AV3127" s="42"/>
      <c r="AW3127" s="74"/>
      <c r="AX3127" s="77"/>
      <c r="BA3127" s="497">
        <v>80.06</v>
      </c>
      <c r="BB3127" s="42"/>
      <c r="BC3127" s="74"/>
      <c r="BD3127" s="77"/>
      <c r="BF3127">
        <v>77</v>
      </c>
      <c r="BH3127" s="42"/>
      <c r="BI3127" s="74"/>
      <c r="BJ3127" s="77"/>
      <c r="BL3127" s="497">
        <v>68</v>
      </c>
      <c r="BN3127" s="42"/>
      <c r="BO3127" s="74"/>
      <c r="BP3127" s="77"/>
      <c r="BR3127" s="497">
        <v>53.96</v>
      </c>
      <c r="BT3127" s="42"/>
    </row>
    <row r="3128" spans="1:72" x14ac:dyDescent="0.25">
      <c r="A3128" s="90">
        <v>36290</v>
      </c>
      <c r="B3128" s="20">
        <v>0.58333333333333337</v>
      </c>
      <c r="D3128">
        <v>69.98</v>
      </c>
      <c r="E3128" t="str">
        <f t="shared" si="132"/>
        <v>WEEKDAY</v>
      </c>
      <c r="F3128" t="e">
        <f t="shared" si="133"/>
        <v>#N/A</v>
      </c>
      <c r="G3128" s="74">
        <v>31907</v>
      </c>
      <c r="H3128" s="77">
        <v>0.58333333333333337</v>
      </c>
      <c r="J3128">
        <v>87.080000000000013</v>
      </c>
      <c r="M3128" s="74">
        <v>34464</v>
      </c>
      <c r="N3128" s="77">
        <v>0.58333333333333337</v>
      </c>
      <c r="P3128">
        <v>64.94</v>
      </c>
      <c r="S3128" s="74">
        <v>36290</v>
      </c>
      <c r="T3128" s="77">
        <v>0.58333333333333337</v>
      </c>
      <c r="V3128">
        <v>69.98</v>
      </c>
      <c r="X3128" s="42"/>
      <c r="AB3128">
        <v>63.9</v>
      </c>
      <c r="AC3128">
        <v>80.06</v>
      </c>
      <c r="AE3128" s="74"/>
      <c r="AF3128" s="77"/>
      <c r="AH3128" s="497">
        <v>53.6</v>
      </c>
      <c r="AJ3128" s="42"/>
      <c r="AK3128" s="74"/>
      <c r="AL3128" s="77"/>
      <c r="AN3128" s="497">
        <v>64.039999999999992</v>
      </c>
      <c r="AP3128" s="42"/>
      <c r="AQ3128" s="74"/>
      <c r="AR3128" s="77"/>
      <c r="AT3128" s="497">
        <v>82.94</v>
      </c>
      <c r="AV3128" s="42"/>
      <c r="AW3128" s="74"/>
      <c r="AX3128" s="77"/>
      <c r="BA3128" s="497">
        <v>80.960000000000008</v>
      </c>
      <c r="BB3128" s="42"/>
      <c r="BC3128" s="74"/>
      <c r="BD3128" s="77"/>
      <c r="BF3128">
        <v>78.98</v>
      </c>
      <c r="BH3128" s="42"/>
      <c r="BI3128" s="74"/>
      <c r="BJ3128" s="77"/>
      <c r="BL3128" s="497">
        <v>69.080000000000013</v>
      </c>
      <c r="BN3128" s="42"/>
      <c r="BO3128" s="74"/>
      <c r="BP3128" s="77"/>
      <c r="BR3128" s="497">
        <v>57.019999999999996</v>
      </c>
      <c r="BT3128" s="42"/>
    </row>
    <row r="3129" spans="1:72" x14ac:dyDescent="0.25">
      <c r="A3129" s="90">
        <v>36290</v>
      </c>
      <c r="B3129" s="20">
        <v>0.625</v>
      </c>
      <c r="D3129">
        <v>71.06</v>
      </c>
      <c r="E3129" t="str">
        <f t="shared" si="132"/>
        <v>WEEKDAY</v>
      </c>
      <c r="F3129" t="e">
        <f t="shared" si="133"/>
        <v>#N/A</v>
      </c>
      <c r="G3129" s="74">
        <v>31907</v>
      </c>
      <c r="H3129" s="77">
        <v>0.625</v>
      </c>
      <c r="J3129">
        <v>86</v>
      </c>
      <c r="M3129" s="74">
        <v>34464</v>
      </c>
      <c r="N3129" s="77">
        <v>0.625</v>
      </c>
      <c r="P3129">
        <v>65.84</v>
      </c>
      <c r="S3129" s="74">
        <v>36290</v>
      </c>
      <c r="T3129" s="77">
        <v>0.625</v>
      </c>
      <c r="V3129">
        <v>71.960000000000008</v>
      </c>
      <c r="X3129" s="42"/>
      <c r="AB3129">
        <v>63.8</v>
      </c>
      <c r="AC3129">
        <v>80.06</v>
      </c>
      <c r="AE3129" s="74"/>
      <c r="AF3129" s="77"/>
      <c r="AH3129" s="497">
        <v>53.6</v>
      </c>
      <c r="AJ3129" s="42"/>
      <c r="AK3129" s="74"/>
      <c r="AL3129" s="77"/>
      <c r="AN3129" s="497">
        <v>66.02</v>
      </c>
      <c r="AP3129" s="42"/>
      <c r="AQ3129" s="74"/>
      <c r="AR3129" s="77"/>
      <c r="AT3129" s="497">
        <v>84.02</v>
      </c>
      <c r="AV3129" s="42"/>
      <c r="AW3129" s="74"/>
      <c r="AX3129" s="77"/>
      <c r="BA3129" s="497">
        <v>78.98</v>
      </c>
      <c r="BB3129" s="42"/>
      <c r="BC3129" s="74"/>
      <c r="BD3129" s="77"/>
      <c r="BF3129">
        <v>78.98</v>
      </c>
      <c r="BH3129" s="42"/>
      <c r="BI3129" s="74"/>
      <c r="BJ3129" s="77"/>
      <c r="BL3129" s="497">
        <v>69.080000000000013</v>
      </c>
      <c r="BN3129" s="42"/>
      <c r="BO3129" s="74"/>
      <c r="BP3129" s="77"/>
      <c r="BR3129" s="497">
        <v>62.06</v>
      </c>
      <c r="BT3129" s="42"/>
    </row>
    <row r="3130" spans="1:72" x14ac:dyDescent="0.25">
      <c r="A3130" s="90">
        <v>36290</v>
      </c>
      <c r="B3130" s="20">
        <v>0.66666666666666663</v>
      </c>
      <c r="D3130">
        <v>64.039999999999992</v>
      </c>
      <c r="E3130" t="str">
        <f t="shared" si="132"/>
        <v>WEEKDAY</v>
      </c>
      <c r="F3130" t="e">
        <f t="shared" si="133"/>
        <v>#N/A</v>
      </c>
      <c r="G3130" s="74">
        <v>31907</v>
      </c>
      <c r="H3130" s="77">
        <v>0.66666666666666663</v>
      </c>
      <c r="J3130">
        <v>84.02</v>
      </c>
      <c r="M3130" s="74">
        <v>34464</v>
      </c>
      <c r="N3130" s="77">
        <v>0.66666666666666663</v>
      </c>
      <c r="P3130">
        <v>64.94</v>
      </c>
      <c r="S3130" s="74">
        <v>36290</v>
      </c>
      <c r="T3130" s="77">
        <v>0.66666666666666663</v>
      </c>
      <c r="V3130">
        <v>71.960000000000008</v>
      </c>
      <c r="X3130" s="42"/>
      <c r="AB3130">
        <v>63.4</v>
      </c>
      <c r="AC3130">
        <v>80.06</v>
      </c>
      <c r="AE3130" s="74"/>
      <c r="AF3130" s="77"/>
      <c r="AH3130" s="497">
        <v>53.6</v>
      </c>
      <c r="AJ3130" s="42"/>
      <c r="AK3130" s="74"/>
      <c r="AL3130" s="77"/>
      <c r="AN3130" s="497">
        <v>68</v>
      </c>
      <c r="AP3130" s="42"/>
      <c r="AQ3130" s="74"/>
      <c r="AR3130" s="77"/>
      <c r="AT3130" s="497">
        <v>82.94</v>
      </c>
      <c r="AV3130" s="42"/>
      <c r="AW3130" s="74"/>
      <c r="AX3130" s="77"/>
      <c r="BA3130" s="497">
        <v>78.98</v>
      </c>
      <c r="BB3130" s="42"/>
      <c r="BC3130" s="74"/>
      <c r="BD3130" s="77"/>
      <c r="BF3130">
        <v>75.92</v>
      </c>
      <c r="BH3130" s="42"/>
      <c r="BI3130" s="74"/>
      <c r="BJ3130" s="77"/>
      <c r="BL3130" s="497">
        <v>68</v>
      </c>
      <c r="BN3130" s="42"/>
      <c r="BO3130" s="74"/>
      <c r="BP3130" s="77"/>
      <c r="BR3130" s="497">
        <v>62.96</v>
      </c>
      <c r="BT3130" s="42"/>
    </row>
    <row r="3131" spans="1:72" x14ac:dyDescent="0.25">
      <c r="A3131" s="90">
        <v>36290</v>
      </c>
      <c r="B3131" s="20">
        <v>0.70833333333333337</v>
      </c>
      <c r="D3131">
        <v>62.96</v>
      </c>
      <c r="E3131" t="str">
        <f t="shared" si="132"/>
        <v>WEEKDAY</v>
      </c>
      <c r="F3131" t="e">
        <f t="shared" si="133"/>
        <v>#N/A</v>
      </c>
      <c r="G3131" s="74">
        <v>31907</v>
      </c>
      <c r="H3131" s="77">
        <v>0.70833333333333337</v>
      </c>
      <c r="J3131">
        <v>80.960000000000008</v>
      </c>
      <c r="M3131" s="74">
        <v>34464</v>
      </c>
      <c r="N3131" s="77">
        <v>0.70833333333333337</v>
      </c>
      <c r="P3131">
        <v>60.980000000000004</v>
      </c>
      <c r="S3131" s="74">
        <v>36290</v>
      </c>
      <c r="T3131" s="77">
        <v>0.70833333333333337</v>
      </c>
      <c r="V3131">
        <v>71.960000000000008</v>
      </c>
      <c r="X3131" s="42"/>
      <c r="AB3131">
        <v>62.6</v>
      </c>
      <c r="AC3131">
        <v>78.98</v>
      </c>
      <c r="AE3131" s="74"/>
      <c r="AF3131" s="77"/>
      <c r="AH3131" s="497">
        <v>51.8</v>
      </c>
      <c r="AJ3131" s="42"/>
      <c r="AK3131" s="74"/>
      <c r="AL3131" s="77"/>
      <c r="AN3131" s="497">
        <v>66.92</v>
      </c>
      <c r="AP3131" s="42"/>
      <c r="AQ3131" s="74"/>
      <c r="AR3131" s="77"/>
      <c r="AT3131" s="497">
        <v>80.06</v>
      </c>
      <c r="AV3131" s="42"/>
      <c r="AW3131" s="74"/>
      <c r="AX3131" s="77"/>
      <c r="BA3131" s="497">
        <v>78.98</v>
      </c>
      <c r="BB3131" s="42"/>
      <c r="BC3131" s="74"/>
      <c r="BD3131" s="77"/>
      <c r="BF3131">
        <v>75.02</v>
      </c>
      <c r="BH3131" s="42"/>
      <c r="BI3131" s="74"/>
      <c r="BJ3131" s="77"/>
      <c r="BL3131" s="497">
        <v>66.92</v>
      </c>
      <c r="BN3131" s="42"/>
      <c r="BO3131" s="74"/>
      <c r="BP3131" s="77"/>
      <c r="BR3131" s="497">
        <v>62.96</v>
      </c>
      <c r="BT3131" s="42"/>
    </row>
    <row r="3132" spans="1:72" x14ac:dyDescent="0.25">
      <c r="A3132" s="90">
        <v>36290</v>
      </c>
      <c r="B3132" s="20">
        <v>0.75</v>
      </c>
      <c r="D3132">
        <v>64.039999999999992</v>
      </c>
      <c r="E3132" t="str">
        <f t="shared" si="132"/>
        <v>WEEKDAY</v>
      </c>
      <c r="F3132" t="e">
        <f t="shared" si="133"/>
        <v>#N/A</v>
      </c>
      <c r="G3132" s="74">
        <v>31907</v>
      </c>
      <c r="H3132" s="77">
        <v>0.75</v>
      </c>
      <c r="J3132">
        <v>80.960000000000008</v>
      </c>
      <c r="M3132" s="74">
        <v>34464</v>
      </c>
      <c r="N3132" s="77">
        <v>0.75</v>
      </c>
      <c r="P3132">
        <v>61.88</v>
      </c>
      <c r="S3132" s="74">
        <v>36290</v>
      </c>
      <c r="T3132" s="77">
        <v>0.75</v>
      </c>
      <c r="V3132">
        <v>71.960000000000008</v>
      </c>
      <c r="X3132" s="42"/>
      <c r="AB3132">
        <v>61.4</v>
      </c>
      <c r="AC3132">
        <v>69.080000000000013</v>
      </c>
      <c r="AE3132" s="74"/>
      <c r="AF3132" s="77"/>
      <c r="AH3132" s="497">
        <v>51.44</v>
      </c>
      <c r="AJ3132" s="42"/>
      <c r="AK3132" s="74"/>
      <c r="AL3132" s="77"/>
      <c r="AN3132" s="497">
        <v>64.039999999999992</v>
      </c>
      <c r="AP3132" s="42"/>
      <c r="AQ3132" s="74"/>
      <c r="AR3132" s="77"/>
      <c r="AT3132" s="497">
        <v>78.98</v>
      </c>
      <c r="AV3132" s="42"/>
      <c r="AW3132" s="74"/>
      <c r="AX3132" s="77"/>
      <c r="BA3132" s="497">
        <v>78.080000000000013</v>
      </c>
      <c r="BB3132" s="42"/>
      <c r="BC3132" s="74"/>
      <c r="BD3132" s="77"/>
      <c r="BF3132">
        <v>60.08</v>
      </c>
      <c r="BH3132" s="42"/>
      <c r="BI3132" s="74"/>
      <c r="BJ3132" s="77"/>
      <c r="BL3132" s="497">
        <v>66.02</v>
      </c>
      <c r="BN3132" s="42"/>
      <c r="BO3132" s="74"/>
      <c r="BP3132" s="77"/>
      <c r="BR3132" s="497">
        <v>62.06</v>
      </c>
      <c r="BT3132" s="42"/>
    </row>
    <row r="3133" spans="1:72" x14ac:dyDescent="0.25">
      <c r="A3133" s="90">
        <v>36290</v>
      </c>
      <c r="B3133" s="20">
        <v>0.79166666666666663</v>
      </c>
      <c r="D3133">
        <v>62.96</v>
      </c>
      <c r="E3133" t="str">
        <f t="shared" si="132"/>
        <v>WEEKDAY</v>
      </c>
      <c r="F3133" t="e">
        <f t="shared" si="133"/>
        <v>#N/A</v>
      </c>
      <c r="G3133" s="74">
        <v>31907</v>
      </c>
      <c r="H3133" s="77">
        <v>0.79166666666666663</v>
      </c>
      <c r="J3133">
        <v>78.98</v>
      </c>
      <c r="M3133" s="74">
        <v>34464</v>
      </c>
      <c r="N3133" s="77">
        <v>0.79166666666666663</v>
      </c>
      <c r="P3133">
        <v>59</v>
      </c>
      <c r="S3133" s="74">
        <v>36290</v>
      </c>
      <c r="T3133" s="77">
        <v>0.79166666666666663</v>
      </c>
      <c r="V3133">
        <v>69.98</v>
      </c>
      <c r="X3133" s="42"/>
      <c r="AB3133">
        <v>59.9</v>
      </c>
      <c r="AC3133">
        <v>66.02</v>
      </c>
      <c r="AE3133" s="74"/>
      <c r="AF3133" s="77"/>
      <c r="AH3133" s="497">
        <v>50</v>
      </c>
      <c r="AJ3133" s="42"/>
      <c r="AK3133" s="74"/>
      <c r="AL3133" s="77"/>
      <c r="AN3133" s="497">
        <v>62.06</v>
      </c>
      <c r="AP3133" s="42"/>
      <c r="AQ3133" s="74"/>
      <c r="AR3133" s="77"/>
      <c r="AT3133" s="497">
        <v>77</v>
      </c>
      <c r="AV3133" s="42"/>
      <c r="AW3133" s="74"/>
      <c r="AX3133" s="77"/>
      <c r="BA3133" s="497">
        <v>73.94</v>
      </c>
      <c r="BB3133" s="42"/>
      <c r="BC3133" s="74"/>
      <c r="BD3133" s="77"/>
      <c r="BF3133">
        <v>60.08</v>
      </c>
      <c r="BH3133" s="42"/>
      <c r="BI3133" s="74"/>
      <c r="BJ3133" s="77"/>
      <c r="BL3133" s="497">
        <v>62.96</v>
      </c>
      <c r="BN3133" s="42"/>
      <c r="BO3133" s="74"/>
      <c r="BP3133" s="77"/>
      <c r="BR3133" s="497">
        <v>60.08</v>
      </c>
      <c r="BT3133" s="42"/>
    </row>
    <row r="3134" spans="1:72" x14ac:dyDescent="0.25">
      <c r="A3134" s="90">
        <v>36290</v>
      </c>
      <c r="B3134" s="20">
        <v>0.83333333333333337</v>
      </c>
      <c r="D3134">
        <v>60.08</v>
      </c>
      <c r="E3134" t="str">
        <f t="shared" si="132"/>
        <v>WEEKDAY</v>
      </c>
      <c r="F3134" t="e">
        <f t="shared" si="133"/>
        <v>#N/A</v>
      </c>
      <c r="G3134" s="74">
        <v>31907</v>
      </c>
      <c r="H3134" s="77">
        <v>0.83333333333333337</v>
      </c>
      <c r="J3134">
        <v>75.02</v>
      </c>
      <c r="M3134" s="74">
        <v>34464</v>
      </c>
      <c r="N3134" s="77">
        <v>0.83333333333333337</v>
      </c>
      <c r="P3134">
        <v>54.86</v>
      </c>
      <c r="S3134" s="74">
        <v>36290</v>
      </c>
      <c r="T3134" s="77">
        <v>0.83333333333333337</v>
      </c>
      <c r="V3134">
        <v>68</v>
      </c>
      <c r="X3134" s="42"/>
      <c r="AB3134">
        <v>58.5</v>
      </c>
      <c r="AC3134">
        <v>64.94</v>
      </c>
      <c r="AE3134" s="74"/>
      <c r="AF3134" s="77"/>
      <c r="AH3134" s="497">
        <v>50</v>
      </c>
      <c r="AJ3134" s="42"/>
      <c r="AK3134" s="74"/>
      <c r="AL3134" s="77"/>
      <c r="AN3134" s="497">
        <v>57.92</v>
      </c>
      <c r="AP3134" s="42"/>
      <c r="AQ3134" s="74"/>
      <c r="AR3134" s="77"/>
      <c r="AT3134" s="497">
        <v>75.02</v>
      </c>
      <c r="AV3134" s="42"/>
      <c r="AW3134" s="74"/>
      <c r="AX3134" s="77"/>
      <c r="BA3134" s="497">
        <v>71.06</v>
      </c>
      <c r="BB3134" s="42"/>
      <c r="BC3134" s="74"/>
      <c r="BD3134" s="77"/>
      <c r="BF3134">
        <v>59</v>
      </c>
      <c r="BH3134" s="42"/>
      <c r="BI3134" s="74"/>
      <c r="BJ3134" s="77"/>
      <c r="BL3134" s="497">
        <v>57.019999999999996</v>
      </c>
      <c r="BN3134" s="42"/>
      <c r="BO3134" s="74"/>
      <c r="BP3134" s="77"/>
      <c r="BR3134" s="497">
        <v>57.92</v>
      </c>
      <c r="BT3134" s="42"/>
    </row>
    <row r="3135" spans="1:72" x14ac:dyDescent="0.25">
      <c r="A3135" s="90">
        <v>36290</v>
      </c>
      <c r="B3135" s="20">
        <v>0.875</v>
      </c>
      <c r="D3135">
        <v>59</v>
      </c>
      <c r="E3135" t="str">
        <f t="shared" si="132"/>
        <v>WEEKDAY</v>
      </c>
      <c r="F3135" t="e">
        <f t="shared" si="133"/>
        <v>#N/A</v>
      </c>
      <c r="G3135" s="74">
        <v>31907</v>
      </c>
      <c r="H3135" s="77">
        <v>0.875</v>
      </c>
      <c r="J3135">
        <v>75.02</v>
      </c>
      <c r="M3135" s="74">
        <v>34464</v>
      </c>
      <c r="N3135" s="77">
        <v>0.875</v>
      </c>
      <c r="P3135">
        <v>53.96</v>
      </c>
      <c r="S3135" s="74">
        <v>36290</v>
      </c>
      <c r="T3135" s="77">
        <v>0.875</v>
      </c>
      <c r="V3135">
        <v>64.94</v>
      </c>
      <c r="X3135" s="42"/>
      <c r="AB3135">
        <v>57.6</v>
      </c>
      <c r="AC3135">
        <v>62.06</v>
      </c>
      <c r="AE3135" s="74"/>
      <c r="AF3135" s="77"/>
      <c r="AH3135" s="497">
        <v>50</v>
      </c>
      <c r="AJ3135" s="42"/>
      <c r="AK3135" s="74"/>
      <c r="AL3135" s="77"/>
      <c r="AN3135" s="497">
        <v>57.019999999999996</v>
      </c>
      <c r="AP3135" s="42"/>
      <c r="AQ3135" s="74"/>
      <c r="AR3135" s="77"/>
      <c r="AT3135" s="497">
        <v>71.06</v>
      </c>
      <c r="AV3135" s="42"/>
      <c r="AW3135" s="74"/>
      <c r="AX3135" s="77"/>
      <c r="BA3135" s="497">
        <v>69.98</v>
      </c>
      <c r="BB3135" s="42"/>
      <c r="BC3135" s="74"/>
      <c r="BD3135" s="77"/>
      <c r="BF3135">
        <v>60.08</v>
      </c>
      <c r="BH3135" s="42"/>
      <c r="BI3135" s="74"/>
      <c r="BJ3135" s="77"/>
      <c r="BL3135" s="497">
        <v>53.06</v>
      </c>
      <c r="BN3135" s="42"/>
      <c r="BO3135" s="74"/>
      <c r="BP3135" s="77"/>
      <c r="BR3135" s="497">
        <v>57.019999999999996</v>
      </c>
      <c r="BT3135" s="42"/>
    </row>
    <row r="3136" spans="1:72" x14ac:dyDescent="0.25">
      <c r="A3136" s="90">
        <v>36290</v>
      </c>
      <c r="B3136" s="20">
        <v>0.91666666666666663</v>
      </c>
      <c r="D3136">
        <v>59</v>
      </c>
      <c r="E3136" t="str">
        <f t="shared" si="132"/>
        <v>WEEKDAY</v>
      </c>
      <c r="F3136" t="e">
        <f t="shared" si="133"/>
        <v>#N/A</v>
      </c>
      <c r="G3136" s="74">
        <v>31907</v>
      </c>
      <c r="H3136" s="77">
        <v>0.91666666666666663</v>
      </c>
      <c r="J3136">
        <v>71.06</v>
      </c>
      <c r="M3136" s="74">
        <v>34464</v>
      </c>
      <c r="N3136" s="77">
        <v>0.91666666666666663</v>
      </c>
      <c r="P3136">
        <v>50.900000000000006</v>
      </c>
      <c r="S3136" s="74">
        <v>36290</v>
      </c>
      <c r="T3136" s="77">
        <v>0.91666666666666663</v>
      </c>
      <c r="V3136">
        <v>62.06</v>
      </c>
      <c r="X3136" s="42"/>
      <c r="AB3136">
        <v>57</v>
      </c>
      <c r="AC3136">
        <v>60.980000000000004</v>
      </c>
      <c r="AE3136" s="74"/>
      <c r="AF3136" s="77"/>
      <c r="AH3136" s="497">
        <v>50</v>
      </c>
      <c r="AJ3136" s="42"/>
      <c r="AK3136" s="74"/>
      <c r="AL3136" s="77"/>
      <c r="AN3136" s="497">
        <v>57.92</v>
      </c>
      <c r="AP3136" s="42"/>
      <c r="AQ3136" s="74"/>
      <c r="AR3136" s="77"/>
      <c r="AT3136" s="497">
        <v>71.960000000000008</v>
      </c>
      <c r="AV3136" s="42"/>
      <c r="AW3136" s="74"/>
      <c r="AX3136" s="77"/>
      <c r="BA3136" s="497">
        <v>66.92</v>
      </c>
      <c r="BB3136" s="42"/>
      <c r="BC3136" s="74"/>
      <c r="BD3136" s="77"/>
      <c r="BF3136">
        <v>60.08</v>
      </c>
      <c r="BH3136" s="42"/>
      <c r="BI3136" s="74"/>
      <c r="BJ3136" s="77"/>
      <c r="BL3136" s="497">
        <v>50</v>
      </c>
      <c r="BN3136" s="42"/>
      <c r="BO3136" s="74"/>
      <c r="BP3136" s="77"/>
      <c r="BR3136" s="497">
        <v>55.040000000000006</v>
      </c>
      <c r="BT3136" s="42"/>
    </row>
    <row r="3137" spans="1:72" x14ac:dyDescent="0.25">
      <c r="A3137" s="90">
        <v>36290</v>
      </c>
      <c r="B3137" s="20">
        <v>0.95833333333333337</v>
      </c>
      <c r="D3137">
        <v>57.019999999999996</v>
      </c>
      <c r="E3137" t="str">
        <f t="shared" si="132"/>
        <v>WEEKDAY</v>
      </c>
      <c r="F3137" t="e">
        <f t="shared" si="133"/>
        <v>#N/A</v>
      </c>
      <c r="G3137" s="74">
        <v>31907</v>
      </c>
      <c r="H3137" s="77">
        <v>0.95833333333333337</v>
      </c>
      <c r="J3137">
        <v>68</v>
      </c>
      <c r="M3137" s="74">
        <v>34464</v>
      </c>
      <c r="N3137" s="77">
        <v>0.95833333333333337</v>
      </c>
      <c r="P3137">
        <v>50</v>
      </c>
      <c r="S3137" s="74">
        <v>36290</v>
      </c>
      <c r="T3137" s="77">
        <v>0.95833333333333337</v>
      </c>
      <c r="V3137">
        <v>60.08</v>
      </c>
      <c r="X3137" s="42"/>
      <c r="AB3137">
        <v>56.4</v>
      </c>
      <c r="AC3137">
        <v>60.08</v>
      </c>
      <c r="AE3137" s="74"/>
      <c r="AF3137" s="77"/>
      <c r="AH3137" s="497">
        <v>50</v>
      </c>
      <c r="AJ3137" s="42"/>
      <c r="AK3137" s="74"/>
      <c r="AL3137" s="77"/>
      <c r="AN3137" s="497">
        <v>55.94</v>
      </c>
      <c r="AP3137" s="42"/>
      <c r="AQ3137" s="74"/>
      <c r="AR3137" s="77"/>
      <c r="AT3137" s="497">
        <v>69.080000000000013</v>
      </c>
      <c r="AV3137" s="42"/>
      <c r="AW3137" s="74"/>
      <c r="AX3137" s="77"/>
      <c r="BA3137" s="497">
        <v>66.92</v>
      </c>
      <c r="BB3137" s="42"/>
      <c r="BC3137" s="74"/>
      <c r="BD3137" s="77"/>
      <c r="BF3137">
        <v>60.08</v>
      </c>
      <c r="BH3137" s="42"/>
      <c r="BI3137" s="74"/>
      <c r="BJ3137" s="77"/>
      <c r="BL3137" s="497">
        <v>48.019999999999996</v>
      </c>
      <c r="BN3137" s="42"/>
      <c r="BO3137" s="74"/>
      <c r="BP3137" s="77"/>
      <c r="BR3137" s="497">
        <v>55.040000000000006</v>
      </c>
      <c r="BT3137" s="42"/>
    </row>
    <row r="3138" spans="1:72" x14ac:dyDescent="0.25">
      <c r="A3138" s="90">
        <v>36290</v>
      </c>
      <c r="B3138" s="20">
        <v>1</v>
      </c>
      <c r="D3138">
        <v>55.94</v>
      </c>
      <c r="E3138" t="str">
        <f t="shared" si="132"/>
        <v>WEEKDAY</v>
      </c>
      <c r="F3138" t="e">
        <f t="shared" si="133"/>
        <v>#N/A</v>
      </c>
      <c r="G3138" s="74">
        <v>31907</v>
      </c>
      <c r="H3138" s="77">
        <v>1</v>
      </c>
      <c r="J3138">
        <v>68</v>
      </c>
      <c r="M3138" s="74">
        <v>34464</v>
      </c>
      <c r="N3138" s="80">
        <v>1</v>
      </c>
      <c r="P3138">
        <v>50</v>
      </c>
      <c r="S3138" s="74">
        <v>36290</v>
      </c>
      <c r="T3138" s="80">
        <v>1</v>
      </c>
      <c r="V3138">
        <v>60.08</v>
      </c>
      <c r="X3138" s="42"/>
      <c r="AB3138">
        <v>56</v>
      </c>
      <c r="AC3138">
        <v>57.92</v>
      </c>
      <c r="AE3138" s="74"/>
      <c r="AF3138" s="80"/>
      <c r="AH3138" s="497">
        <v>51.8</v>
      </c>
      <c r="AJ3138" s="42"/>
      <c r="AK3138" s="74"/>
      <c r="AL3138" s="80"/>
      <c r="AN3138" s="497">
        <v>55.040000000000006</v>
      </c>
      <c r="AP3138" s="42"/>
      <c r="AQ3138" s="74"/>
      <c r="AR3138" s="80"/>
      <c r="AT3138" s="497">
        <v>66.02</v>
      </c>
      <c r="AV3138" s="42"/>
      <c r="AW3138" s="74"/>
      <c r="AX3138" s="80"/>
      <c r="BA3138" s="497">
        <v>64.039999999999992</v>
      </c>
      <c r="BB3138" s="42"/>
      <c r="BC3138" s="74"/>
      <c r="BD3138" s="80"/>
      <c r="BF3138">
        <v>60.08</v>
      </c>
      <c r="BH3138" s="42"/>
      <c r="BI3138" s="74"/>
      <c r="BJ3138" s="80"/>
      <c r="BL3138" s="497">
        <v>46.04</v>
      </c>
      <c r="BN3138" s="42"/>
      <c r="BO3138" s="74"/>
      <c r="BP3138" s="80"/>
      <c r="BR3138" s="497">
        <v>53.96</v>
      </c>
      <c r="BT3138" s="42"/>
    </row>
    <row r="3139" spans="1:72" x14ac:dyDescent="0.25">
      <c r="A3139" s="90">
        <v>36291</v>
      </c>
      <c r="B3139" s="20">
        <v>4.1666666666666664E-2</v>
      </c>
      <c r="D3139">
        <v>55.040000000000006</v>
      </c>
      <c r="E3139" t="str">
        <f t="shared" si="132"/>
        <v>WEEKDAY</v>
      </c>
      <c r="F3139" t="e">
        <f t="shared" si="133"/>
        <v>#N/A</v>
      </c>
      <c r="G3139" s="74">
        <v>31908</v>
      </c>
      <c r="H3139" s="77">
        <v>4.1666666666666664E-2</v>
      </c>
      <c r="J3139">
        <v>66.92</v>
      </c>
      <c r="M3139" s="74">
        <v>34465</v>
      </c>
      <c r="N3139" s="77">
        <v>4.1666666666666664E-2</v>
      </c>
      <c r="P3139">
        <v>50</v>
      </c>
      <c r="S3139" s="74">
        <v>36291</v>
      </c>
      <c r="T3139" s="77">
        <v>4.1666666666666664E-2</v>
      </c>
      <c r="V3139">
        <v>57.92</v>
      </c>
      <c r="X3139" s="42"/>
      <c r="AB3139">
        <v>55.5</v>
      </c>
      <c r="AC3139">
        <v>57.92</v>
      </c>
      <c r="AE3139" s="74"/>
      <c r="AF3139" s="77"/>
      <c r="AH3139" s="497">
        <v>51.44</v>
      </c>
      <c r="AJ3139" s="42"/>
      <c r="AK3139" s="74"/>
      <c r="AL3139" s="77"/>
      <c r="AN3139" s="497">
        <v>53.96</v>
      </c>
      <c r="AP3139" s="42"/>
      <c r="AQ3139" s="74"/>
      <c r="AR3139" s="77"/>
      <c r="AT3139" s="497">
        <v>64.039999999999992</v>
      </c>
      <c r="AV3139" s="42"/>
      <c r="AW3139" s="74"/>
      <c r="AX3139" s="77"/>
      <c r="BA3139" s="497">
        <v>64.94</v>
      </c>
      <c r="BB3139" s="42"/>
      <c r="BC3139" s="74"/>
      <c r="BD3139" s="77"/>
      <c r="BF3139">
        <v>60.980000000000004</v>
      </c>
      <c r="BH3139" s="42"/>
      <c r="BI3139" s="74"/>
      <c r="BJ3139" s="77"/>
      <c r="BL3139" s="497">
        <v>44.96</v>
      </c>
      <c r="BN3139" s="42"/>
      <c r="BO3139" s="74"/>
      <c r="BP3139" s="77"/>
      <c r="BR3139" s="497">
        <v>53.06</v>
      </c>
      <c r="BT3139" s="42"/>
    </row>
    <row r="3140" spans="1:72" x14ac:dyDescent="0.25">
      <c r="A3140" s="90">
        <v>36291</v>
      </c>
      <c r="B3140" s="20">
        <v>8.3333333333333329E-2</v>
      </c>
      <c r="D3140">
        <v>55.040000000000006</v>
      </c>
      <c r="E3140" t="str">
        <f t="shared" si="132"/>
        <v>WEEKDAY</v>
      </c>
      <c r="F3140" t="e">
        <f t="shared" si="133"/>
        <v>#N/A</v>
      </c>
      <c r="G3140" s="74">
        <v>31908</v>
      </c>
      <c r="H3140" s="77">
        <v>8.3333333333333329E-2</v>
      </c>
      <c r="J3140">
        <v>64.94</v>
      </c>
      <c r="M3140" s="74">
        <v>34465</v>
      </c>
      <c r="N3140" s="77">
        <v>8.3333333333333329E-2</v>
      </c>
      <c r="P3140">
        <v>46.94</v>
      </c>
      <c r="S3140" s="74">
        <v>36291</v>
      </c>
      <c r="T3140" s="77">
        <v>8.3333333333333329E-2</v>
      </c>
      <c r="V3140">
        <v>57.019999999999996</v>
      </c>
      <c r="X3140" s="42"/>
      <c r="AB3140">
        <v>54.9</v>
      </c>
      <c r="AC3140">
        <v>57.019999999999996</v>
      </c>
      <c r="AE3140" s="74"/>
      <c r="AF3140" s="77"/>
      <c r="AH3140" s="497">
        <v>51.26</v>
      </c>
      <c r="AJ3140" s="42"/>
      <c r="AK3140" s="74"/>
      <c r="AL3140" s="77"/>
      <c r="AN3140" s="497">
        <v>53.96</v>
      </c>
      <c r="AP3140" s="42"/>
      <c r="AQ3140" s="74"/>
      <c r="AR3140" s="77"/>
      <c r="AT3140" s="497">
        <v>62.06</v>
      </c>
      <c r="AV3140" s="42"/>
      <c r="AW3140" s="74"/>
      <c r="AX3140" s="77"/>
      <c r="BA3140" s="497">
        <v>64.039999999999992</v>
      </c>
      <c r="BB3140" s="42"/>
      <c r="BC3140" s="74"/>
      <c r="BD3140" s="77"/>
      <c r="BF3140">
        <v>59</v>
      </c>
      <c r="BH3140" s="42"/>
      <c r="BI3140" s="74"/>
      <c r="BJ3140" s="77"/>
      <c r="BL3140" s="497">
        <v>44.06</v>
      </c>
      <c r="BN3140" s="42"/>
      <c r="BO3140" s="74"/>
      <c r="BP3140" s="77"/>
      <c r="BR3140" s="497">
        <v>53.96</v>
      </c>
      <c r="BT3140" s="42"/>
    </row>
    <row r="3141" spans="1:72" x14ac:dyDescent="0.25">
      <c r="A3141" s="90">
        <v>36291</v>
      </c>
      <c r="B3141" s="20">
        <v>0.125</v>
      </c>
      <c r="D3141">
        <v>53.96</v>
      </c>
      <c r="E3141" t="str">
        <f t="shared" si="132"/>
        <v>WEEKDAY</v>
      </c>
      <c r="F3141" t="e">
        <f t="shared" si="133"/>
        <v>#N/A</v>
      </c>
      <c r="G3141" s="74">
        <v>31908</v>
      </c>
      <c r="H3141" s="77">
        <v>0.125</v>
      </c>
      <c r="J3141">
        <v>62.96</v>
      </c>
      <c r="M3141" s="74">
        <v>34465</v>
      </c>
      <c r="N3141" s="77">
        <v>0.125</v>
      </c>
      <c r="P3141">
        <v>42.980000000000004</v>
      </c>
      <c r="S3141" s="74">
        <v>36291</v>
      </c>
      <c r="T3141" s="77">
        <v>0.125</v>
      </c>
      <c r="V3141">
        <v>55.040000000000006</v>
      </c>
      <c r="X3141" s="42"/>
      <c r="AB3141">
        <v>54.5</v>
      </c>
      <c r="AC3141">
        <v>55.040000000000006</v>
      </c>
      <c r="AE3141" s="74"/>
      <c r="AF3141" s="77"/>
      <c r="AH3141" s="497">
        <v>51.44</v>
      </c>
      <c r="AJ3141" s="42"/>
      <c r="AK3141" s="74"/>
      <c r="AL3141" s="77"/>
      <c r="AN3141" s="497">
        <v>53.06</v>
      </c>
      <c r="AP3141" s="42"/>
      <c r="AQ3141" s="74"/>
      <c r="AR3141" s="77"/>
      <c r="AT3141" s="497">
        <v>60.08</v>
      </c>
      <c r="AV3141" s="42"/>
      <c r="AW3141" s="74"/>
      <c r="AX3141" s="77"/>
      <c r="BA3141" s="497">
        <v>60.980000000000004</v>
      </c>
      <c r="BB3141" s="42"/>
      <c r="BC3141" s="74"/>
      <c r="BD3141" s="77"/>
      <c r="BF3141">
        <v>57.92</v>
      </c>
      <c r="BH3141" s="42"/>
      <c r="BI3141" s="74"/>
      <c r="BJ3141" s="77"/>
      <c r="BL3141" s="497">
        <v>44.06</v>
      </c>
      <c r="BN3141" s="42"/>
      <c r="BO3141" s="74"/>
      <c r="BP3141" s="77"/>
      <c r="BR3141" s="497">
        <v>53.06</v>
      </c>
      <c r="BT3141" s="42"/>
    </row>
    <row r="3142" spans="1:72" x14ac:dyDescent="0.25">
      <c r="A3142" s="90">
        <v>36291</v>
      </c>
      <c r="B3142" s="20">
        <v>0.16666666666666666</v>
      </c>
      <c r="D3142">
        <v>51.980000000000004</v>
      </c>
      <c r="E3142" t="str">
        <f t="shared" si="132"/>
        <v>WEEKDAY</v>
      </c>
      <c r="F3142" t="e">
        <f t="shared" si="133"/>
        <v>#N/A</v>
      </c>
      <c r="G3142" s="74">
        <v>31908</v>
      </c>
      <c r="H3142" s="77">
        <v>0.16666666666666666</v>
      </c>
      <c r="J3142">
        <v>62.96</v>
      </c>
      <c r="M3142" s="74">
        <v>34465</v>
      </c>
      <c r="N3142" s="77">
        <v>0.16666666666666666</v>
      </c>
      <c r="P3142">
        <v>41</v>
      </c>
      <c r="S3142" s="74">
        <v>36291</v>
      </c>
      <c r="T3142" s="77">
        <v>0.16666666666666666</v>
      </c>
      <c r="V3142">
        <v>53.96</v>
      </c>
      <c r="X3142" s="42"/>
      <c r="AB3142">
        <v>54</v>
      </c>
      <c r="AC3142">
        <v>55.040000000000006</v>
      </c>
      <c r="AE3142" s="74"/>
      <c r="AF3142" s="77"/>
      <c r="AH3142" s="497">
        <v>51.8</v>
      </c>
      <c r="AJ3142" s="42"/>
      <c r="AK3142" s="74"/>
      <c r="AL3142" s="77"/>
      <c r="AN3142" s="497">
        <v>53.06</v>
      </c>
      <c r="AP3142" s="42"/>
      <c r="AQ3142" s="74"/>
      <c r="AR3142" s="77"/>
      <c r="AT3142" s="497">
        <v>59</v>
      </c>
      <c r="AV3142" s="42"/>
      <c r="AW3142" s="74"/>
      <c r="AX3142" s="77"/>
      <c r="BA3142" s="497">
        <v>57.019999999999996</v>
      </c>
      <c r="BB3142" s="42"/>
      <c r="BC3142" s="74"/>
      <c r="BD3142" s="77"/>
      <c r="BF3142">
        <v>57.92</v>
      </c>
      <c r="BH3142" s="42"/>
      <c r="BI3142" s="74"/>
      <c r="BJ3142" s="77"/>
      <c r="BL3142" s="497">
        <v>42.980000000000004</v>
      </c>
      <c r="BN3142" s="42"/>
      <c r="BO3142" s="74"/>
      <c r="BP3142" s="77"/>
      <c r="BR3142" s="497">
        <v>51.980000000000004</v>
      </c>
      <c r="BT3142" s="42"/>
    </row>
    <row r="3143" spans="1:72" x14ac:dyDescent="0.25">
      <c r="A3143" s="90">
        <v>36291</v>
      </c>
      <c r="B3143" s="20">
        <v>0.20833333333333334</v>
      </c>
      <c r="D3143">
        <v>50</v>
      </c>
      <c r="E3143" t="str">
        <f t="shared" si="132"/>
        <v>WEEKDAY</v>
      </c>
      <c r="F3143" t="e">
        <f t="shared" si="133"/>
        <v>#N/A</v>
      </c>
      <c r="G3143" s="74">
        <v>31908</v>
      </c>
      <c r="H3143" s="77">
        <v>0.20833333333333334</v>
      </c>
      <c r="J3143">
        <v>60.08</v>
      </c>
      <c r="M3143" s="74">
        <v>34465</v>
      </c>
      <c r="N3143" s="77">
        <v>0.20833333333333334</v>
      </c>
      <c r="P3143">
        <v>39.92</v>
      </c>
      <c r="S3143" s="74">
        <v>36291</v>
      </c>
      <c r="T3143" s="77">
        <v>0.20833333333333334</v>
      </c>
      <c r="V3143">
        <v>51.08</v>
      </c>
      <c r="X3143" s="42"/>
      <c r="AB3143">
        <v>53.6</v>
      </c>
      <c r="AC3143">
        <v>55.94</v>
      </c>
      <c r="AE3143" s="74"/>
      <c r="AF3143" s="77"/>
      <c r="AH3143" s="497">
        <v>53.6</v>
      </c>
      <c r="AJ3143" s="42"/>
      <c r="AK3143" s="74"/>
      <c r="AL3143" s="77"/>
      <c r="AN3143" s="497">
        <v>51.980000000000004</v>
      </c>
      <c r="AP3143" s="42"/>
      <c r="AQ3143" s="74"/>
      <c r="AR3143" s="77"/>
      <c r="AT3143" s="497">
        <v>57.019999999999996</v>
      </c>
      <c r="AV3143" s="42"/>
      <c r="AW3143" s="74"/>
      <c r="AX3143" s="77"/>
      <c r="BA3143" s="497">
        <v>53.96</v>
      </c>
      <c r="BB3143" s="42"/>
      <c r="BC3143" s="74"/>
      <c r="BD3143" s="77"/>
      <c r="BF3143">
        <v>57.92</v>
      </c>
      <c r="BH3143" s="42"/>
      <c r="BI3143" s="74"/>
      <c r="BJ3143" s="77"/>
      <c r="BL3143" s="497">
        <v>42.08</v>
      </c>
      <c r="BN3143" s="42"/>
      <c r="BO3143" s="74"/>
      <c r="BP3143" s="77"/>
      <c r="BR3143" s="497">
        <v>51.08</v>
      </c>
      <c r="BT3143" s="42"/>
    </row>
    <row r="3144" spans="1:72" x14ac:dyDescent="0.25">
      <c r="A3144" s="90">
        <v>36291</v>
      </c>
      <c r="B3144" s="20">
        <v>0.25</v>
      </c>
      <c r="D3144">
        <v>53.96</v>
      </c>
      <c r="E3144" t="str">
        <f t="shared" si="132"/>
        <v>WEEKDAY</v>
      </c>
      <c r="F3144" t="e">
        <f t="shared" si="133"/>
        <v>#N/A</v>
      </c>
      <c r="G3144" s="74">
        <v>31908</v>
      </c>
      <c r="H3144" s="77">
        <v>0.25</v>
      </c>
      <c r="J3144">
        <v>60.980000000000004</v>
      </c>
      <c r="M3144" s="74">
        <v>34465</v>
      </c>
      <c r="N3144" s="77">
        <v>0.25</v>
      </c>
      <c r="P3144">
        <v>43.879999999999995</v>
      </c>
      <c r="S3144" s="74">
        <v>36291</v>
      </c>
      <c r="T3144" s="77">
        <v>0.25</v>
      </c>
      <c r="V3144">
        <v>53.06</v>
      </c>
      <c r="X3144" s="42"/>
      <c r="AB3144">
        <v>53.4</v>
      </c>
      <c r="AC3144">
        <v>62.96</v>
      </c>
      <c r="AE3144" s="74"/>
      <c r="AF3144" s="77"/>
      <c r="AH3144" s="497">
        <v>53.6</v>
      </c>
      <c r="AJ3144" s="42"/>
      <c r="AK3144" s="74"/>
      <c r="AL3144" s="77"/>
      <c r="AN3144" s="497">
        <v>51.980000000000004</v>
      </c>
      <c r="AP3144" s="42"/>
      <c r="AQ3144" s="74"/>
      <c r="AR3144" s="77"/>
      <c r="AT3144" s="497">
        <v>60.08</v>
      </c>
      <c r="AV3144" s="42"/>
      <c r="AW3144" s="74"/>
      <c r="AX3144" s="77"/>
      <c r="BA3144" s="497">
        <v>55.94</v>
      </c>
      <c r="BB3144" s="42"/>
      <c r="BC3144" s="74"/>
      <c r="BD3144" s="77"/>
      <c r="BF3144">
        <v>57.019999999999996</v>
      </c>
      <c r="BH3144" s="42"/>
      <c r="BI3144" s="74"/>
      <c r="BJ3144" s="77"/>
      <c r="BL3144" s="497">
        <v>41</v>
      </c>
      <c r="BN3144" s="42"/>
      <c r="BO3144" s="74"/>
      <c r="BP3144" s="77"/>
      <c r="BR3144" s="497">
        <v>50</v>
      </c>
      <c r="BT3144" s="42"/>
    </row>
    <row r="3145" spans="1:72" x14ac:dyDescent="0.25">
      <c r="A3145" s="90">
        <v>36291</v>
      </c>
      <c r="B3145" s="20">
        <v>0.29166666666666669</v>
      </c>
      <c r="D3145">
        <v>60.08</v>
      </c>
      <c r="E3145" t="str">
        <f t="shared" si="132"/>
        <v>WEEKDAY</v>
      </c>
      <c r="F3145" t="e">
        <f t="shared" si="133"/>
        <v>#N/A</v>
      </c>
      <c r="G3145" s="74">
        <v>31908</v>
      </c>
      <c r="H3145" s="77">
        <v>0.29166666666666669</v>
      </c>
      <c r="J3145">
        <v>66.02</v>
      </c>
      <c r="M3145" s="74">
        <v>34465</v>
      </c>
      <c r="N3145" s="77">
        <v>0.29166666666666669</v>
      </c>
      <c r="P3145">
        <v>53.96</v>
      </c>
      <c r="S3145" s="74">
        <v>36291</v>
      </c>
      <c r="T3145" s="77">
        <v>0.29166666666666669</v>
      </c>
      <c r="V3145">
        <v>55.94</v>
      </c>
      <c r="X3145" s="42"/>
      <c r="AB3145">
        <v>54.5</v>
      </c>
      <c r="AC3145">
        <v>69.080000000000013</v>
      </c>
      <c r="AE3145" s="74"/>
      <c r="AF3145" s="77"/>
      <c r="AH3145" s="497">
        <v>57.2</v>
      </c>
      <c r="AJ3145" s="42"/>
      <c r="AK3145" s="74"/>
      <c r="AL3145" s="77"/>
      <c r="AN3145" s="497">
        <v>53.06</v>
      </c>
      <c r="AP3145" s="42"/>
      <c r="AQ3145" s="74"/>
      <c r="AR3145" s="77"/>
      <c r="AT3145" s="497">
        <v>66.02</v>
      </c>
      <c r="AV3145" s="42"/>
      <c r="AW3145" s="74"/>
      <c r="AX3145" s="77"/>
      <c r="BA3145" s="497">
        <v>64.94</v>
      </c>
      <c r="BB3145" s="42"/>
      <c r="BC3145" s="74"/>
      <c r="BD3145" s="77"/>
      <c r="BF3145">
        <v>57.019999999999996</v>
      </c>
      <c r="BH3145" s="42"/>
      <c r="BI3145" s="74"/>
      <c r="BJ3145" s="77"/>
      <c r="BL3145" s="497">
        <v>48.019999999999996</v>
      </c>
      <c r="BN3145" s="42"/>
      <c r="BO3145" s="74"/>
      <c r="BP3145" s="77"/>
      <c r="BR3145" s="497">
        <v>50</v>
      </c>
      <c r="BT3145" s="42"/>
    </row>
    <row r="3146" spans="1:72" x14ac:dyDescent="0.25">
      <c r="A3146" s="90">
        <v>36291</v>
      </c>
      <c r="B3146" s="20">
        <v>0.33333333333333331</v>
      </c>
      <c r="D3146">
        <v>62.06</v>
      </c>
      <c r="E3146" t="str">
        <f t="shared" si="132"/>
        <v>WEEKDAY</v>
      </c>
      <c r="F3146" t="e">
        <f t="shared" si="133"/>
        <v>#N/A</v>
      </c>
      <c r="G3146" s="74">
        <v>31908</v>
      </c>
      <c r="H3146" s="77">
        <v>0.33333333333333331</v>
      </c>
      <c r="J3146">
        <v>71.06</v>
      </c>
      <c r="M3146" s="74">
        <v>34465</v>
      </c>
      <c r="N3146" s="77">
        <v>0.33333333333333331</v>
      </c>
      <c r="P3146">
        <v>56.84</v>
      </c>
      <c r="S3146" s="74">
        <v>36291</v>
      </c>
      <c r="T3146" s="77">
        <v>0.33333333333333331</v>
      </c>
      <c r="V3146">
        <v>57.019999999999996</v>
      </c>
      <c r="X3146" s="42"/>
      <c r="AB3146">
        <v>56.3</v>
      </c>
      <c r="AC3146">
        <v>73.039999999999992</v>
      </c>
      <c r="AE3146" s="74"/>
      <c r="AF3146" s="77"/>
      <c r="AH3146" s="497">
        <v>60.8</v>
      </c>
      <c r="AJ3146" s="42"/>
      <c r="AK3146" s="74"/>
      <c r="AL3146" s="77"/>
      <c r="AN3146" s="497">
        <v>53.06</v>
      </c>
      <c r="AP3146" s="42"/>
      <c r="AQ3146" s="74"/>
      <c r="AR3146" s="77"/>
      <c r="AT3146" s="497">
        <v>69.98</v>
      </c>
      <c r="AV3146" s="42"/>
      <c r="AW3146" s="74"/>
      <c r="AX3146" s="77"/>
      <c r="BA3146" s="497">
        <v>73.039999999999992</v>
      </c>
      <c r="BB3146" s="42"/>
      <c r="BC3146" s="74"/>
      <c r="BD3146" s="77"/>
      <c r="BF3146">
        <v>50</v>
      </c>
      <c r="BH3146" s="42"/>
      <c r="BI3146" s="74"/>
      <c r="BJ3146" s="77"/>
      <c r="BL3146" s="497">
        <v>57.019999999999996</v>
      </c>
      <c r="BN3146" s="42"/>
      <c r="BO3146" s="74"/>
      <c r="BP3146" s="77"/>
      <c r="BR3146" s="497">
        <v>51.08</v>
      </c>
      <c r="BT3146" s="42"/>
    </row>
    <row r="3147" spans="1:72" x14ac:dyDescent="0.25">
      <c r="A3147" s="90">
        <v>36291</v>
      </c>
      <c r="B3147" s="20">
        <v>0.375</v>
      </c>
      <c r="D3147">
        <v>64.94</v>
      </c>
      <c r="E3147" t="str">
        <f t="shared" si="132"/>
        <v>WEEKDAY</v>
      </c>
      <c r="F3147" t="e">
        <f t="shared" si="133"/>
        <v>#N/A</v>
      </c>
      <c r="G3147" s="74">
        <v>31908</v>
      </c>
      <c r="H3147" s="77">
        <v>0.375</v>
      </c>
      <c r="J3147">
        <v>71.960000000000008</v>
      </c>
      <c r="M3147" s="74">
        <v>34465</v>
      </c>
      <c r="N3147" s="77">
        <v>0.375</v>
      </c>
      <c r="P3147">
        <v>59</v>
      </c>
      <c r="S3147" s="74">
        <v>36291</v>
      </c>
      <c r="T3147" s="77">
        <v>0.375</v>
      </c>
      <c r="V3147">
        <v>57.92</v>
      </c>
      <c r="X3147" s="42"/>
      <c r="AB3147">
        <v>58.2</v>
      </c>
      <c r="AC3147">
        <v>78.080000000000013</v>
      </c>
      <c r="AE3147" s="74"/>
      <c r="AF3147" s="77"/>
      <c r="AH3147" s="497">
        <v>60.8</v>
      </c>
      <c r="AJ3147" s="42"/>
      <c r="AK3147" s="74"/>
      <c r="AL3147" s="77"/>
      <c r="AN3147" s="497">
        <v>51.08</v>
      </c>
      <c r="AP3147" s="42"/>
      <c r="AQ3147" s="74"/>
      <c r="AR3147" s="77"/>
      <c r="AT3147" s="497">
        <v>75.92</v>
      </c>
      <c r="AV3147" s="42"/>
      <c r="AW3147" s="74"/>
      <c r="AX3147" s="77"/>
      <c r="BA3147" s="497">
        <v>75.92</v>
      </c>
      <c r="BB3147" s="42"/>
      <c r="BC3147" s="74"/>
      <c r="BD3147" s="77"/>
      <c r="BF3147">
        <v>48.92</v>
      </c>
      <c r="BH3147" s="42"/>
      <c r="BI3147" s="74"/>
      <c r="BJ3147" s="77"/>
      <c r="BL3147" s="497">
        <v>62.06</v>
      </c>
      <c r="BN3147" s="42"/>
      <c r="BO3147" s="74"/>
      <c r="BP3147" s="77"/>
      <c r="BR3147" s="497">
        <v>51.980000000000004</v>
      </c>
      <c r="BT3147" s="42"/>
    </row>
    <row r="3148" spans="1:72" x14ac:dyDescent="0.25">
      <c r="A3148" s="90">
        <v>36291</v>
      </c>
      <c r="B3148" s="20">
        <v>0.41666666666666669</v>
      </c>
      <c r="D3148">
        <v>68</v>
      </c>
      <c r="E3148" t="str">
        <f t="shared" si="132"/>
        <v>WEEKDAY</v>
      </c>
      <c r="F3148" t="e">
        <f t="shared" si="133"/>
        <v>#N/A</v>
      </c>
      <c r="G3148" s="74">
        <v>31908</v>
      </c>
      <c r="H3148" s="77">
        <v>0.41666666666666669</v>
      </c>
      <c r="J3148">
        <v>71.06</v>
      </c>
      <c r="M3148" s="74">
        <v>34465</v>
      </c>
      <c r="N3148" s="77">
        <v>0.41666666666666669</v>
      </c>
      <c r="P3148">
        <v>62.96</v>
      </c>
      <c r="S3148" s="74">
        <v>36291</v>
      </c>
      <c r="T3148" s="77">
        <v>0.41666666666666669</v>
      </c>
      <c r="V3148">
        <v>59</v>
      </c>
      <c r="X3148" s="42"/>
      <c r="AB3148">
        <v>60</v>
      </c>
      <c r="AC3148">
        <v>80.06</v>
      </c>
      <c r="AE3148" s="74"/>
      <c r="AF3148" s="77"/>
      <c r="AH3148" s="497">
        <v>64.400000000000006</v>
      </c>
      <c r="AJ3148" s="42"/>
      <c r="AK3148" s="74"/>
      <c r="AL3148" s="77"/>
      <c r="AN3148" s="497">
        <v>51.08</v>
      </c>
      <c r="AP3148" s="42"/>
      <c r="AQ3148" s="74"/>
      <c r="AR3148" s="77"/>
      <c r="AT3148" s="497">
        <v>80.06</v>
      </c>
      <c r="AV3148" s="42"/>
      <c r="AW3148" s="74"/>
      <c r="AX3148" s="77"/>
      <c r="BA3148" s="497">
        <v>78.080000000000013</v>
      </c>
      <c r="BB3148" s="42"/>
      <c r="BC3148" s="74"/>
      <c r="BD3148" s="77"/>
      <c r="BF3148">
        <v>50</v>
      </c>
      <c r="BH3148" s="42"/>
      <c r="BI3148" s="74"/>
      <c r="BJ3148" s="77"/>
      <c r="BL3148" s="497">
        <v>64.94</v>
      </c>
      <c r="BN3148" s="42"/>
      <c r="BO3148" s="74"/>
      <c r="BP3148" s="77"/>
      <c r="BR3148" s="497">
        <v>53.06</v>
      </c>
      <c r="BT3148" s="42"/>
    </row>
    <row r="3149" spans="1:72" x14ac:dyDescent="0.25">
      <c r="A3149" s="90">
        <v>36291</v>
      </c>
      <c r="B3149" s="20">
        <v>0.45833333333333331</v>
      </c>
      <c r="D3149">
        <v>69.080000000000013</v>
      </c>
      <c r="E3149" t="str">
        <f t="shared" si="132"/>
        <v>WEEKDAY</v>
      </c>
      <c r="F3149" t="e">
        <f t="shared" si="133"/>
        <v>#N/A</v>
      </c>
      <c r="G3149" s="74">
        <v>31908</v>
      </c>
      <c r="H3149" s="77">
        <v>0.45833333333333331</v>
      </c>
      <c r="J3149">
        <v>71.960000000000008</v>
      </c>
      <c r="M3149" s="74">
        <v>34465</v>
      </c>
      <c r="N3149" s="77">
        <v>0.45833333333333331</v>
      </c>
      <c r="P3149">
        <v>63.86</v>
      </c>
      <c r="S3149" s="74">
        <v>36291</v>
      </c>
      <c r="T3149" s="77">
        <v>0.45833333333333331</v>
      </c>
      <c r="V3149">
        <v>59</v>
      </c>
      <c r="X3149" s="42"/>
      <c r="AB3149">
        <v>61.6</v>
      </c>
      <c r="AC3149">
        <v>82.039999999999992</v>
      </c>
      <c r="AE3149" s="74"/>
      <c r="AF3149" s="77"/>
      <c r="AH3149" s="497">
        <v>66.2</v>
      </c>
      <c r="AJ3149" s="42"/>
      <c r="AK3149" s="74"/>
      <c r="AL3149" s="77"/>
      <c r="AN3149" s="497">
        <v>50</v>
      </c>
      <c r="AP3149" s="42"/>
      <c r="AQ3149" s="74"/>
      <c r="AR3149" s="77"/>
      <c r="AT3149" s="497">
        <v>82.039999999999992</v>
      </c>
      <c r="AV3149" s="42"/>
      <c r="AW3149" s="74"/>
      <c r="AX3149" s="77"/>
      <c r="BA3149" s="497">
        <v>80.960000000000008</v>
      </c>
      <c r="BB3149" s="42"/>
      <c r="BC3149" s="74"/>
      <c r="BD3149" s="77"/>
      <c r="BF3149">
        <v>51.980000000000004</v>
      </c>
      <c r="BH3149" s="42"/>
      <c r="BI3149" s="74"/>
      <c r="BJ3149" s="77"/>
      <c r="BL3149" s="497">
        <v>66.02</v>
      </c>
      <c r="BN3149" s="42"/>
      <c r="BO3149" s="74"/>
      <c r="BP3149" s="77"/>
      <c r="BR3149" s="497">
        <v>53.96</v>
      </c>
      <c r="BT3149" s="42"/>
    </row>
    <row r="3150" spans="1:72" x14ac:dyDescent="0.25">
      <c r="A3150" s="90">
        <v>36291</v>
      </c>
      <c r="B3150" s="20">
        <v>0.5</v>
      </c>
      <c r="D3150">
        <v>71.06</v>
      </c>
      <c r="E3150" t="str">
        <f t="shared" si="132"/>
        <v>WEEKDAY</v>
      </c>
      <c r="F3150" t="e">
        <f t="shared" si="133"/>
        <v>#N/A</v>
      </c>
      <c r="G3150" s="74">
        <v>31908</v>
      </c>
      <c r="H3150" s="77">
        <v>0.5</v>
      </c>
      <c r="J3150">
        <v>73.039999999999992</v>
      </c>
      <c r="M3150" s="74">
        <v>34465</v>
      </c>
      <c r="N3150" s="77">
        <v>0.5</v>
      </c>
      <c r="P3150">
        <v>64.94</v>
      </c>
      <c r="S3150" s="74">
        <v>36291</v>
      </c>
      <c r="T3150" s="77">
        <v>0.5</v>
      </c>
      <c r="V3150">
        <v>59</v>
      </c>
      <c r="X3150" s="42"/>
      <c r="AB3150">
        <v>62.7</v>
      </c>
      <c r="AC3150">
        <v>82.94</v>
      </c>
      <c r="AE3150" s="74"/>
      <c r="AF3150" s="77"/>
      <c r="AH3150" s="497">
        <v>66.2</v>
      </c>
      <c r="AJ3150" s="42"/>
      <c r="AK3150" s="74"/>
      <c r="AL3150" s="77"/>
      <c r="AN3150" s="497">
        <v>51.980000000000004</v>
      </c>
      <c r="AP3150" s="42"/>
      <c r="AQ3150" s="74"/>
      <c r="AR3150" s="77"/>
      <c r="AT3150" s="497">
        <v>82.94</v>
      </c>
      <c r="AV3150" s="42"/>
      <c r="AW3150" s="74"/>
      <c r="AX3150" s="77"/>
      <c r="BA3150" s="497">
        <v>82.94</v>
      </c>
      <c r="BB3150" s="42"/>
      <c r="BC3150" s="74"/>
      <c r="BD3150" s="77"/>
      <c r="BF3150">
        <v>53.06</v>
      </c>
      <c r="BH3150" s="42"/>
      <c r="BI3150" s="74"/>
      <c r="BJ3150" s="77"/>
      <c r="BL3150" s="497">
        <v>64.94</v>
      </c>
      <c r="BN3150" s="42"/>
      <c r="BO3150" s="74"/>
      <c r="BP3150" s="77"/>
      <c r="BR3150" s="497">
        <v>55.94</v>
      </c>
      <c r="BT3150" s="42"/>
    </row>
    <row r="3151" spans="1:72" x14ac:dyDescent="0.25">
      <c r="A3151" s="90">
        <v>36291</v>
      </c>
      <c r="B3151" s="20">
        <v>0.54166666666666663</v>
      </c>
      <c r="D3151">
        <v>69.080000000000013</v>
      </c>
      <c r="E3151" t="str">
        <f t="shared" si="132"/>
        <v>WEEKDAY</v>
      </c>
      <c r="F3151" t="e">
        <f t="shared" si="133"/>
        <v>#N/A</v>
      </c>
      <c r="G3151" s="74">
        <v>31908</v>
      </c>
      <c r="H3151" s="77">
        <v>0.54166666666666663</v>
      </c>
      <c r="J3151">
        <v>73.94</v>
      </c>
      <c r="M3151" s="74">
        <v>34465</v>
      </c>
      <c r="N3151" s="77">
        <v>0.54166666666666663</v>
      </c>
      <c r="P3151">
        <v>65.84</v>
      </c>
      <c r="S3151" s="74">
        <v>36291</v>
      </c>
      <c r="T3151" s="77">
        <v>0.54166666666666663</v>
      </c>
      <c r="V3151">
        <v>59</v>
      </c>
      <c r="X3151" s="42"/>
      <c r="AB3151">
        <v>63.5</v>
      </c>
      <c r="AC3151">
        <v>80.960000000000008</v>
      </c>
      <c r="AE3151" s="74"/>
      <c r="AF3151" s="77"/>
      <c r="AH3151" s="497">
        <v>66.2</v>
      </c>
      <c r="AJ3151" s="42"/>
      <c r="AK3151" s="74"/>
      <c r="AL3151" s="77"/>
      <c r="AN3151" s="497">
        <v>51.08</v>
      </c>
      <c r="AP3151" s="42"/>
      <c r="AQ3151" s="74"/>
      <c r="AR3151" s="77"/>
      <c r="AT3151" s="497">
        <v>84.02</v>
      </c>
      <c r="AV3151" s="42"/>
      <c r="AW3151" s="74"/>
      <c r="AX3151" s="77"/>
      <c r="BA3151" s="497">
        <v>82.94</v>
      </c>
      <c r="BB3151" s="42"/>
      <c r="BC3151" s="74"/>
      <c r="BD3151" s="77"/>
      <c r="BF3151">
        <v>48.92</v>
      </c>
      <c r="BH3151" s="42"/>
      <c r="BI3151" s="74"/>
      <c r="BJ3151" s="77"/>
      <c r="BL3151" s="497">
        <v>66.02</v>
      </c>
      <c r="BN3151" s="42"/>
      <c r="BO3151" s="74"/>
      <c r="BP3151" s="77"/>
      <c r="BR3151" s="497">
        <v>55.94</v>
      </c>
      <c r="BT3151" s="42"/>
    </row>
    <row r="3152" spans="1:72" x14ac:dyDescent="0.25">
      <c r="A3152" s="90">
        <v>36291</v>
      </c>
      <c r="B3152" s="20">
        <v>0.58333333333333337</v>
      </c>
      <c r="D3152">
        <v>66.92</v>
      </c>
      <c r="E3152" t="str">
        <f t="shared" si="132"/>
        <v>WEEKDAY</v>
      </c>
      <c r="F3152" t="e">
        <f t="shared" si="133"/>
        <v>#N/A</v>
      </c>
      <c r="G3152" s="74">
        <v>31908</v>
      </c>
      <c r="H3152" s="77">
        <v>0.58333333333333337</v>
      </c>
      <c r="J3152">
        <v>75.02</v>
      </c>
      <c r="M3152" s="74">
        <v>34465</v>
      </c>
      <c r="N3152" s="77">
        <v>0.58333333333333337</v>
      </c>
      <c r="P3152">
        <v>63.86</v>
      </c>
      <c r="S3152" s="74">
        <v>36291</v>
      </c>
      <c r="T3152" s="77">
        <v>0.58333333333333337</v>
      </c>
      <c r="V3152">
        <v>60.08</v>
      </c>
      <c r="X3152" s="42"/>
      <c r="AB3152">
        <v>64</v>
      </c>
      <c r="AC3152">
        <v>80.06</v>
      </c>
      <c r="AE3152" s="74"/>
      <c r="AF3152" s="77"/>
      <c r="AH3152" s="497">
        <v>66.2</v>
      </c>
      <c r="AJ3152" s="42"/>
      <c r="AK3152" s="74"/>
      <c r="AL3152" s="77"/>
      <c r="AN3152" s="497">
        <v>51.980000000000004</v>
      </c>
      <c r="AP3152" s="42"/>
      <c r="AQ3152" s="74"/>
      <c r="AR3152" s="77"/>
      <c r="AT3152" s="497">
        <v>86</v>
      </c>
      <c r="AV3152" s="42"/>
      <c r="AW3152" s="74"/>
      <c r="AX3152" s="77"/>
      <c r="BA3152" s="497">
        <v>82.039999999999992</v>
      </c>
      <c r="BB3152" s="42"/>
      <c r="BC3152" s="74"/>
      <c r="BD3152" s="77"/>
      <c r="BF3152">
        <v>48.92</v>
      </c>
      <c r="BH3152" s="42"/>
      <c r="BI3152" s="74"/>
      <c r="BJ3152" s="77"/>
      <c r="BL3152" s="497">
        <v>66.92</v>
      </c>
      <c r="BN3152" s="42"/>
      <c r="BO3152" s="74"/>
      <c r="BP3152" s="77"/>
      <c r="BR3152" s="497">
        <v>57.019999999999996</v>
      </c>
      <c r="BT3152" s="42"/>
    </row>
    <row r="3153" spans="1:72" x14ac:dyDescent="0.25">
      <c r="A3153" s="90">
        <v>36291</v>
      </c>
      <c r="B3153" s="20">
        <v>0.625</v>
      </c>
      <c r="D3153">
        <v>66.02</v>
      </c>
      <c r="E3153" t="str">
        <f t="shared" si="132"/>
        <v>WEEKDAY</v>
      </c>
      <c r="F3153" t="e">
        <f t="shared" si="133"/>
        <v>#N/A</v>
      </c>
      <c r="G3153" s="74">
        <v>31908</v>
      </c>
      <c r="H3153" s="77">
        <v>0.625</v>
      </c>
      <c r="J3153">
        <v>75.02</v>
      </c>
      <c r="M3153" s="74">
        <v>34465</v>
      </c>
      <c r="N3153" s="77">
        <v>0.625</v>
      </c>
      <c r="P3153">
        <v>62.96</v>
      </c>
      <c r="S3153" s="74">
        <v>36291</v>
      </c>
      <c r="T3153" s="77">
        <v>0.625</v>
      </c>
      <c r="V3153">
        <v>59</v>
      </c>
      <c r="X3153" s="42"/>
      <c r="AB3153">
        <v>63.8</v>
      </c>
      <c r="AC3153">
        <v>78.98</v>
      </c>
      <c r="AE3153" s="74"/>
      <c r="AF3153" s="77"/>
      <c r="AH3153" s="497">
        <v>69.800000000000011</v>
      </c>
      <c r="AJ3153" s="42"/>
      <c r="AK3153" s="74"/>
      <c r="AL3153" s="77"/>
      <c r="AN3153" s="497">
        <v>50</v>
      </c>
      <c r="AP3153" s="42"/>
      <c r="AQ3153" s="74"/>
      <c r="AR3153" s="77"/>
      <c r="AT3153" s="497">
        <v>84.92</v>
      </c>
      <c r="AV3153" s="42"/>
      <c r="AW3153" s="74"/>
      <c r="AX3153" s="77"/>
      <c r="BA3153" s="497">
        <v>84.02</v>
      </c>
      <c r="BB3153" s="42"/>
      <c r="BC3153" s="74"/>
      <c r="BD3153" s="77"/>
      <c r="BF3153">
        <v>48.019999999999996</v>
      </c>
      <c r="BH3153" s="42"/>
      <c r="BI3153" s="74"/>
      <c r="BJ3153" s="77"/>
      <c r="BL3153" s="497">
        <v>68</v>
      </c>
      <c r="BN3153" s="42"/>
      <c r="BO3153" s="74"/>
      <c r="BP3153" s="77"/>
      <c r="BR3153" s="497">
        <v>57.92</v>
      </c>
      <c r="BT3153" s="42"/>
    </row>
    <row r="3154" spans="1:72" x14ac:dyDescent="0.25">
      <c r="A3154" s="90">
        <v>36291</v>
      </c>
      <c r="B3154" s="20">
        <v>0.66666666666666663</v>
      </c>
      <c r="D3154">
        <v>64.039999999999992</v>
      </c>
      <c r="E3154" t="str">
        <f t="shared" si="132"/>
        <v>WEEKDAY</v>
      </c>
      <c r="F3154" t="e">
        <f t="shared" si="133"/>
        <v>#N/A</v>
      </c>
      <c r="G3154" s="74">
        <v>31908</v>
      </c>
      <c r="H3154" s="77">
        <v>0.66666666666666663</v>
      </c>
      <c r="J3154">
        <v>73.94</v>
      </c>
      <c r="M3154" s="74">
        <v>34465</v>
      </c>
      <c r="N3154" s="77">
        <v>0.66666666666666663</v>
      </c>
      <c r="P3154">
        <v>60.980000000000004</v>
      </c>
      <c r="S3154" s="74">
        <v>36291</v>
      </c>
      <c r="T3154" s="77">
        <v>0.66666666666666663</v>
      </c>
      <c r="V3154">
        <v>57.92</v>
      </c>
      <c r="X3154" s="42"/>
      <c r="AB3154">
        <v>63.4</v>
      </c>
      <c r="AC3154">
        <v>75.02</v>
      </c>
      <c r="AE3154" s="74"/>
      <c r="AF3154" s="77"/>
      <c r="AH3154" s="497">
        <v>69.800000000000011</v>
      </c>
      <c r="AJ3154" s="42"/>
      <c r="AK3154" s="74"/>
      <c r="AL3154" s="77"/>
      <c r="AN3154" s="497">
        <v>50</v>
      </c>
      <c r="AP3154" s="42"/>
      <c r="AQ3154" s="74"/>
      <c r="AR3154" s="77"/>
      <c r="AT3154" s="497">
        <v>84.92</v>
      </c>
      <c r="AV3154" s="42"/>
      <c r="AW3154" s="74"/>
      <c r="AX3154" s="77"/>
      <c r="BA3154" s="497">
        <v>84.92</v>
      </c>
      <c r="BB3154" s="42"/>
      <c r="BC3154" s="74"/>
      <c r="BD3154" s="77"/>
      <c r="BF3154">
        <v>48.019999999999996</v>
      </c>
      <c r="BH3154" s="42"/>
      <c r="BI3154" s="74"/>
      <c r="BJ3154" s="77"/>
      <c r="BL3154" s="497">
        <v>66.92</v>
      </c>
      <c r="BN3154" s="42"/>
      <c r="BO3154" s="74"/>
      <c r="BP3154" s="77"/>
      <c r="BR3154" s="497">
        <v>55.94</v>
      </c>
      <c r="BT3154" s="42"/>
    </row>
    <row r="3155" spans="1:72" x14ac:dyDescent="0.25">
      <c r="A3155" s="90">
        <v>36291</v>
      </c>
      <c r="B3155" s="20">
        <v>0.70833333333333337</v>
      </c>
      <c r="D3155">
        <v>62.06</v>
      </c>
      <c r="E3155" t="str">
        <f t="shared" ref="E3155:E3218" si="134">IF(COUNTIF($DI$18:$DI$22, WEEKDAY(A3155))=1, "WEEKDAY", IF(WEEKDAY(A3155) = 1, "SUNDAY", "SATURDAY"))</f>
        <v>WEEKDAY</v>
      </c>
      <c r="F3155" t="e">
        <f t="shared" si="133"/>
        <v>#N/A</v>
      </c>
      <c r="G3155" s="74">
        <v>31908</v>
      </c>
      <c r="H3155" s="77">
        <v>0.70833333333333337</v>
      </c>
      <c r="J3155">
        <v>71.960000000000008</v>
      </c>
      <c r="M3155" s="74">
        <v>34465</v>
      </c>
      <c r="N3155" s="77">
        <v>0.70833333333333337</v>
      </c>
      <c r="P3155">
        <v>59.900000000000006</v>
      </c>
      <c r="S3155" s="74">
        <v>36291</v>
      </c>
      <c r="T3155" s="77">
        <v>0.70833333333333337</v>
      </c>
      <c r="V3155">
        <v>57.019999999999996</v>
      </c>
      <c r="X3155" s="42"/>
      <c r="AB3155">
        <v>62.7</v>
      </c>
      <c r="AC3155">
        <v>73.94</v>
      </c>
      <c r="AE3155" s="74"/>
      <c r="AF3155" s="77"/>
      <c r="AH3155" s="497">
        <v>69.800000000000011</v>
      </c>
      <c r="AJ3155" s="42"/>
      <c r="AK3155" s="74"/>
      <c r="AL3155" s="77"/>
      <c r="AN3155" s="497">
        <v>48.019999999999996</v>
      </c>
      <c r="AP3155" s="42"/>
      <c r="AQ3155" s="74"/>
      <c r="AR3155" s="77"/>
      <c r="AT3155" s="497">
        <v>84.02</v>
      </c>
      <c r="AV3155" s="42"/>
      <c r="AW3155" s="74"/>
      <c r="AX3155" s="77"/>
      <c r="BA3155" s="497">
        <v>82.94</v>
      </c>
      <c r="BB3155" s="42"/>
      <c r="BC3155" s="74"/>
      <c r="BD3155" s="77"/>
      <c r="BF3155">
        <v>48.019999999999996</v>
      </c>
      <c r="BH3155" s="42"/>
      <c r="BI3155" s="74"/>
      <c r="BJ3155" s="77"/>
      <c r="BL3155" s="497">
        <v>66.02</v>
      </c>
      <c r="BN3155" s="42"/>
      <c r="BO3155" s="74"/>
      <c r="BP3155" s="77"/>
      <c r="BR3155" s="497">
        <v>53.96</v>
      </c>
      <c r="BT3155" s="42"/>
    </row>
    <row r="3156" spans="1:72" x14ac:dyDescent="0.25">
      <c r="A3156" s="90">
        <v>36291</v>
      </c>
      <c r="B3156" s="20">
        <v>0.75</v>
      </c>
      <c r="D3156">
        <v>60.980000000000004</v>
      </c>
      <c r="E3156" t="str">
        <f t="shared" si="134"/>
        <v>WEEKDAY</v>
      </c>
      <c r="F3156" t="e">
        <f t="shared" si="133"/>
        <v>#N/A</v>
      </c>
      <c r="G3156" s="74">
        <v>31908</v>
      </c>
      <c r="H3156" s="77">
        <v>0.75</v>
      </c>
      <c r="J3156">
        <v>69.98</v>
      </c>
      <c r="M3156" s="74">
        <v>34465</v>
      </c>
      <c r="N3156" s="77">
        <v>0.75</v>
      </c>
      <c r="P3156">
        <v>57.92</v>
      </c>
      <c r="S3156" s="74">
        <v>36291</v>
      </c>
      <c r="T3156" s="77">
        <v>0.75</v>
      </c>
      <c r="V3156">
        <v>55.040000000000006</v>
      </c>
      <c r="X3156" s="42"/>
      <c r="AB3156">
        <v>61.5</v>
      </c>
      <c r="AC3156">
        <v>73.94</v>
      </c>
      <c r="AE3156" s="74"/>
      <c r="AF3156" s="77"/>
      <c r="AH3156" s="497">
        <v>69.800000000000011</v>
      </c>
      <c r="AJ3156" s="42"/>
      <c r="AK3156" s="74"/>
      <c r="AL3156" s="77"/>
      <c r="AN3156" s="497">
        <v>48.92</v>
      </c>
      <c r="AP3156" s="42"/>
      <c r="AQ3156" s="74"/>
      <c r="AR3156" s="77"/>
      <c r="AT3156" s="497">
        <v>82.039999999999992</v>
      </c>
      <c r="AV3156" s="42"/>
      <c r="AW3156" s="74"/>
      <c r="AX3156" s="77"/>
      <c r="BA3156" s="497">
        <v>82.039999999999992</v>
      </c>
      <c r="BB3156" s="42"/>
      <c r="BC3156" s="74"/>
      <c r="BD3156" s="77"/>
      <c r="BF3156">
        <v>48.019999999999996</v>
      </c>
      <c r="BH3156" s="42"/>
      <c r="BI3156" s="74"/>
      <c r="BJ3156" s="77"/>
      <c r="BL3156" s="497">
        <v>64.039999999999992</v>
      </c>
      <c r="BN3156" s="42"/>
      <c r="BO3156" s="74"/>
      <c r="BP3156" s="77"/>
      <c r="BR3156" s="497">
        <v>53.96</v>
      </c>
      <c r="BT3156" s="42"/>
    </row>
    <row r="3157" spans="1:72" x14ac:dyDescent="0.25">
      <c r="A3157" s="90">
        <v>36291</v>
      </c>
      <c r="B3157" s="20">
        <v>0.79166666666666663</v>
      </c>
      <c r="D3157">
        <v>60.08</v>
      </c>
      <c r="E3157" t="str">
        <f t="shared" si="134"/>
        <v>WEEKDAY</v>
      </c>
      <c r="F3157" t="e">
        <f t="shared" si="133"/>
        <v>#N/A</v>
      </c>
      <c r="G3157" s="74">
        <v>31908</v>
      </c>
      <c r="H3157" s="77">
        <v>0.79166666666666663</v>
      </c>
      <c r="J3157">
        <v>68</v>
      </c>
      <c r="M3157" s="74">
        <v>34465</v>
      </c>
      <c r="N3157" s="77">
        <v>0.79166666666666663</v>
      </c>
      <c r="P3157">
        <v>56.84</v>
      </c>
      <c r="S3157" s="74">
        <v>36291</v>
      </c>
      <c r="T3157" s="77">
        <v>0.79166666666666663</v>
      </c>
      <c r="V3157">
        <v>53.96</v>
      </c>
      <c r="X3157" s="42"/>
      <c r="AB3157">
        <v>60.1</v>
      </c>
      <c r="AC3157">
        <v>69.080000000000013</v>
      </c>
      <c r="AE3157" s="74"/>
      <c r="AF3157" s="77"/>
      <c r="AH3157" s="497">
        <v>64.400000000000006</v>
      </c>
      <c r="AJ3157" s="42"/>
      <c r="AK3157" s="74"/>
      <c r="AL3157" s="77"/>
      <c r="AN3157" s="497">
        <v>48.019999999999996</v>
      </c>
      <c r="AP3157" s="42"/>
      <c r="AQ3157" s="74"/>
      <c r="AR3157" s="77"/>
      <c r="AT3157" s="497">
        <v>75.92</v>
      </c>
      <c r="AV3157" s="42"/>
      <c r="AW3157" s="74"/>
      <c r="AX3157" s="77"/>
      <c r="BA3157" s="497">
        <v>77</v>
      </c>
      <c r="BB3157" s="42"/>
      <c r="BC3157" s="74"/>
      <c r="BD3157" s="77"/>
      <c r="BF3157">
        <v>48.019999999999996</v>
      </c>
      <c r="BH3157" s="42"/>
      <c r="BI3157" s="74"/>
      <c r="BJ3157" s="77"/>
      <c r="BL3157" s="497">
        <v>62.06</v>
      </c>
      <c r="BN3157" s="42"/>
      <c r="BO3157" s="74"/>
      <c r="BP3157" s="77"/>
      <c r="BR3157" s="497">
        <v>53.96</v>
      </c>
      <c r="BT3157" s="42"/>
    </row>
    <row r="3158" spans="1:72" x14ac:dyDescent="0.25">
      <c r="A3158" s="90">
        <v>36291</v>
      </c>
      <c r="B3158" s="20">
        <v>0.83333333333333337</v>
      </c>
      <c r="D3158">
        <v>62.06</v>
      </c>
      <c r="E3158" t="str">
        <f t="shared" si="134"/>
        <v>WEEKDAY</v>
      </c>
      <c r="F3158" t="e">
        <f t="shared" si="133"/>
        <v>#N/A</v>
      </c>
      <c r="G3158" s="74">
        <v>31908</v>
      </c>
      <c r="H3158" s="77">
        <v>0.83333333333333337</v>
      </c>
      <c r="J3158">
        <v>64.94</v>
      </c>
      <c r="M3158" s="74">
        <v>34465</v>
      </c>
      <c r="N3158" s="77">
        <v>0.83333333333333337</v>
      </c>
      <c r="P3158">
        <v>54.86</v>
      </c>
      <c r="S3158" s="74">
        <v>36291</v>
      </c>
      <c r="T3158" s="77">
        <v>0.83333333333333337</v>
      </c>
      <c r="V3158">
        <v>53.96</v>
      </c>
      <c r="X3158" s="42"/>
      <c r="AB3158">
        <v>58.7</v>
      </c>
      <c r="AC3158">
        <v>64.94</v>
      </c>
      <c r="AE3158" s="74"/>
      <c r="AF3158" s="77"/>
      <c r="AH3158" s="497">
        <v>55.400000000000006</v>
      </c>
      <c r="AJ3158" s="42"/>
      <c r="AK3158" s="74"/>
      <c r="AL3158" s="77"/>
      <c r="AN3158" s="497">
        <v>46.04</v>
      </c>
      <c r="AP3158" s="42"/>
      <c r="AQ3158" s="74"/>
      <c r="AR3158" s="77"/>
      <c r="AT3158" s="497">
        <v>71.06</v>
      </c>
      <c r="AV3158" s="42"/>
      <c r="AW3158" s="74"/>
      <c r="AX3158" s="77"/>
      <c r="BA3158" s="497">
        <v>69.080000000000013</v>
      </c>
      <c r="BB3158" s="42"/>
      <c r="BC3158" s="74"/>
      <c r="BD3158" s="77"/>
      <c r="BF3158">
        <v>48.019999999999996</v>
      </c>
      <c r="BH3158" s="42"/>
      <c r="BI3158" s="74"/>
      <c r="BJ3158" s="77"/>
      <c r="BL3158" s="497">
        <v>59</v>
      </c>
      <c r="BN3158" s="42"/>
      <c r="BO3158" s="74"/>
      <c r="BP3158" s="77"/>
      <c r="BR3158" s="497">
        <v>53.96</v>
      </c>
      <c r="BT3158" s="42"/>
    </row>
    <row r="3159" spans="1:72" x14ac:dyDescent="0.25">
      <c r="A3159" s="90">
        <v>36291</v>
      </c>
      <c r="B3159" s="20">
        <v>0.875</v>
      </c>
      <c r="D3159">
        <v>62.06</v>
      </c>
      <c r="E3159" t="str">
        <f t="shared" si="134"/>
        <v>WEEKDAY</v>
      </c>
      <c r="F3159" t="e">
        <f t="shared" si="133"/>
        <v>#N/A</v>
      </c>
      <c r="G3159" s="74">
        <v>31908</v>
      </c>
      <c r="H3159" s="77">
        <v>0.875</v>
      </c>
      <c r="J3159">
        <v>62.96</v>
      </c>
      <c r="M3159" s="74">
        <v>34465</v>
      </c>
      <c r="N3159" s="77">
        <v>0.875</v>
      </c>
      <c r="P3159">
        <v>56.84</v>
      </c>
      <c r="S3159" s="74">
        <v>36291</v>
      </c>
      <c r="T3159" s="77">
        <v>0.875</v>
      </c>
      <c r="V3159">
        <v>53.96</v>
      </c>
      <c r="X3159" s="42"/>
      <c r="AB3159">
        <v>57.8</v>
      </c>
      <c r="AC3159">
        <v>64.94</v>
      </c>
      <c r="AE3159" s="74"/>
      <c r="AF3159" s="77"/>
      <c r="AH3159" s="497">
        <v>53.6</v>
      </c>
      <c r="AJ3159" s="42"/>
      <c r="AK3159" s="74"/>
      <c r="AL3159" s="77"/>
      <c r="AN3159" s="497">
        <v>44.96</v>
      </c>
      <c r="AP3159" s="42"/>
      <c r="AQ3159" s="74"/>
      <c r="AR3159" s="77"/>
      <c r="AT3159" s="497">
        <v>68</v>
      </c>
      <c r="AV3159" s="42"/>
      <c r="AW3159" s="74"/>
      <c r="AX3159" s="77"/>
      <c r="BA3159" s="497">
        <v>66.02</v>
      </c>
      <c r="BB3159" s="42"/>
      <c r="BC3159" s="74"/>
      <c r="BD3159" s="77"/>
      <c r="BF3159">
        <v>48.019999999999996</v>
      </c>
      <c r="BH3159" s="42"/>
      <c r="BI3159" s="74"/>
      <c r="BJ3159" s="77"/>
      <c r="BL3159" s="497">
        <v>57.92</v>
      </c>
      <c r="BN3159" s="42"/>
      <c r="BO3159" s="74"/>
      <c r="BP3159" s="77"/>
      <c r="BR3159" s="497">
        <v>53.96</v>
      </c>
      <c r="BT3159" s="42"/>
    </row>
    <row r="3160" spans="1:72" x14ac:dyDescent="0.25">
      <c r="A3160" s="90">
        <v>36291</v>
      </c>
      <c r="B3160" s="20">
        <v>0.91666666666666663</v>
      </c>
      <c r="D3160">
        <v>60.08</v>
      </c>
      <c r="E3160" t="str">
        <f t="shared" si="134"/>
        <v>WEEKDAY</v>
      </c>
      <c r="F3160" t="e">
        <f t="shared" si="133"/>
        <v>#N/A</v>
      </c>
      <c r="G3160" s="74">
        <v>31908</v>
      </c>
      <c r="H3160" s="77">
        <v>0.91666666666666663</v>
      </c>
      <c r="J3160">
        <v>62.06</v>
      </c>
      <c r="M3160" s="74">
        <v>34465</v>
      </c>
      <c r="N3160" s="77">
        <v>0.91666666666666663</v>
      </c>
      <c r="P3160">
        <v>57.92</v>
      </c>
      <c r="S3160" s="74">
        <v>36291</v>
      </c>
      <c r="T3160" s="77">
        <v>0.91666666666666663</v>
      </c>
      <c r="V3160">
        <v>53.96</v>
      </c>
      <c r="X3160" s="42"/>
      <c r="AB3160">
        <v>57.2</v>
      </c>
      <c r="AC3160">
        <v>64.039999999999992</v>
      </c>
      <c r="AE3160" s="74"/>
      <c r="AF3160" s="77"/>
      <c r="AH3160" s="497">
        <v>48.2</v>
      </c>
      <c r="AJ3160" s="42"/>
      <c r="AK3160" s="74"/>
      <c r="AL3160" s="77"/>
      <c r="AN3160" s="497">
        <v>44.96</v>
      </c>
      <c r="AP3160" s="42"/>
      <c r="AQ3160" s="74"/>
      <c r="AR3160" s="77"/>
      <c r="AT3160" s="497">
        <v>64.039999999999992</v>
      </c>
      <c r="AV3160" s="42"/>
      <c r="AW3160" s="74"/>
      <c r="AX3160" s="77"/>
      <c r="BA3160" s="497">
        <v>68</v>
      </c>
      <c r="BB3160" s="42"/>
      <c r="BC3160" s="74"/>
      <c r="BD3160" s="77"/>
      <c r="BF3160">
        <v>48.92</v>
      </c>
      <c r="BH3160" s="42"/>
      <c r="BI3160" s="74"/>
      <c r="BJ3160" s="77"/>
      <c r="BL3160" s="497">
        <v>55.040000000000006</v>
      </c>
      <c r="BN3160" s="42"/>
      <c r="BO3160" s="74"/>
      <c r="BP3160" s="77"/>
      <c r="BR3160" s="497">
        <v>55.040000000000006</v>
      </c>
      <c r="BT3160" s="42"/>
    </row>
    <row r="3161" spans="1:72" x14ac:dyDescent="0.25">
      <c r="A3161" s="90">
        <v>36291</v>
      </c>
      <c r="B3161" s="20">
        <v>0.95833333333333337</v>
      </c>
      <c r="D3161">
        <v>60.08</v>
      </c>
      <c r="E3161" t="str">
        <f t="shared" si="134"/>
        <v>WEEKDAY</v>
      </c>
      <c r="F3161" t="e">
        <f t="shared" si="133"/>
        <v>#N/A</v>
      </c>
      <c r="G3161" s="74">
        <v>31908</v>
      </c>
      <c r="H3161" s="77">
        <v>0.95833333333333337</v>
      </c>
      <c r="J3161">
        <v>60.980000000000004</v>
      </c>
      <c r="M3161" s="74">
        <v>34465</v>
      </c>
      <c r="N3161" s="77">
        <v>0.95833333333333337</v>
      </c>
      <c r="P3161">
        <v>55.94</v>
      </c>
      <c r="S3161" s="74">
        <v>36291</v>
      </c>
      <c r="T3161" s="77">
        <v>0.95833333333333337</v>
      </c>
      <c r="V3161">
        <v>53.06</v>
      </c>
      <c r="X3161" s="42"/>
      <c r="AB3161">
        <v>56.6</v>
      </c>
      <c r="AC3161">
        <v>62.96</v>
      </c>
      <c r="AE3161" s="74"/>
      <c r="AF3161" s="77"/>
      <c r="AH3161" s="497">
        <v>48.2</v>
      </c>
      <c r="AJ3161" s="42"/>
      <c r="AK3161" s="74"/>
      <c r="AL3161" s="77"/>
      <c r="AN3161" s="497">
        <v>44.06</v>
      </c>
      <c r="AP3161" s="42"/>
      <c r="AQ3161" s="74"/>
      <c r="AR3161" s="77"/>
      <c r="AT3161" s="497">
        <v>62.96</v>
      </c>
      <c r="AV3161" s="42"/>
      <c r="AW3161" s="74"/>
      <c r="AX3161" s="77"/>
      <c r="BA3161" s="497">
        <v>66.02</v>
      </c>
      <c r="BB3161" s="42"/>
      <c r="BC3161" s="74"/>
      <c r="BD3161" s="77"/>
      <c r="BF3161">
        <v>48.92</v>
      </c>
      <c r="BH3161" s="42"/>
      <c r="BI3161" s="74"/>
      <c r="BJ3161" s="77"/>
      <c r="BL3161" s="497">
        <v>55.040000000000006</v>
      </c>
      <c r="BN3161" s="42"/>
      <c r="BO3161" s="74"/>
      <c r="BP3161" s="77"/>
      <c r="BR3161" s="497">
        <v>53.96</v>
      </c>
      <c r="BT3161" s="42"/>
    </row>
    <row r="3162" spans="1:72" x14ac:dyDescent="0.25">
      <c r="A3162" s="90">
        <v>36291</v>
      </c>
      <c r="B3162" s="20">
        <v>1</v>
      </c>
      <c r="D3162">
        <v>59</v>
      </c>
      <c r="E3162" t="str">
        <f t="shared" si="134"/>
        <v>WEEKDAY</v>
      </c>
      <c r="F3162" t="e">
        <f t="shared" si="133"/>
        <v>#N/A</v>
      </c>
      <c r="G3162" s="74">
        <v>31908</v>
      </c>
      <c r="H3162" s="77">
        <v>1</v>
      </c>
      <c r="J3162">
        <v>60.980000000000004</v>
      </c>
      <c r="M3162" s="74">
        <v>34465</v>
      </c>
      <c r="N3162" s="80">
        <v>1</v>
      </c>
      <c r="P3162">
        <v>53.96</v>
      </c>
      <c r="S3162" s="74">
        <v>36291</v>
      </c>
      <c r="T3162" s="80">
        <v>1</v>
      </c>
      <c r="V3162">
        <v>53.06</v>
      </c>
      <c r="X3162" s="42"/>
      <c r="AB3162">
        <v>56.1</v>
      </c>
      <c r="AC3162">
        <v>60.980000000000004</v>
      </c>
      <c r="AE3162" s="74"/>
      <c r="AF3162" s="80"/>
      <c r="AH3162" s="497">
        <v>51.8</v>
      </c>
      <c r="AJ3162" s="42"/>
      <c r="AK3162" s="74"/>
      <c r="AL3162" s="80"/>
      <c r="AN3162" s="497">
        <v>42.980000000000004</v>
      </c>
      <c r="AP3162" s="42"/>
      <c r="AQ3162" s="74"/>
      <c r="AR3162" s="80"/>
      <c r="AT3162" s="497">
        <v>62.06</v>
      </c>
      <c r="AV3162" s="42"/>
      <c r="AW3162" s="74"/>
      <c r="AX3162" s="80"/>
      <c r="BA3162" s="497">
        <v>64.039999999999992</v>
      </c>
      <c r="BB3162" s="42"/>
      <c r="BC3162" s="74"/>
      <c r="BD3162" s="80"/>
      <c r="BF3162">
        <v>50</v>
      </c>
      <c r="BH3162" s="42"/>
      <c r="BI3162" s="74"/>
      <c r="BJ3162" s="80"/>
      <c r="BL3162" s="497">
        <v>51.980000000000004</v>
      </c>
      <c r="BN3162" s="42"/>
      <c r="BO3162" s="74"/>
      <c r="BP3162" s="80"/>
      <c r="BR3162" s="497">
        <v>53.96</v>
      </c>
      <c r="BT3162" s="42"/>
    </row>
    <row r="3163" spans="1:72" x14ac:dyDescent="0.25">
      <c r="A3163" s="90">
        <v>36292</v>
      </c>
      <c r="B3163" s="20">
        <v>4.1666666666666664E-2</v>
      </c>
      <c r="D3163">
        <v>57.92</v>
      </c>
      <c r="E3163" t="str">
        <f t="shared" si="134"/>
        <v>WEEKDAY</v>
      </c>
      <c r="F3163" t="e">
        <f t="shared" si="133"/>
        <v>#N/A</v>
      </c>
      <c r="G3163" s="74">
        <v>31909</v>
      </c>
      <c r="H3163" s="77">
        <v>4.1666666666666664E-2</v>
      </c>
      <c r="J3163">
        <v>57.019999999999996</v>
      </c>
      <c r="M3163" s="74">
        <v>34466</v>
      </c>
      <c r="N3163" s="77">
        <v>4.1666666666666664E-2</v>
      </c>
      <c r="P3163">
        <v>53.96</v>
      </c>
      <c r="S3163" s="74">
        <v>36292</v>
      </c>
      <c r="T3163" s="77">
        <v>4.1666666666666664E-2</v>
      </c>
      <c r="V3163">
        <v>53.96</v>
      </c>
      <c r="X3163" s="42"/>
      <c r="AB3163">
        <v>55.7</v>
      </c>
      <c r="AC3163">
        <v>60.08</v>
      </c>
      <c r="AE3163" s="74"/>
      <c r="AF3163" s="77"/>
      <c r="AH3163" s="497">
        <v>53.6</v>
      </c>
      <c r="AJ3163" s="42"/>
      <c r="AK3163" s="74"/>
      <c r="AL3163" s="77"/>
      <c r="AN3163" s="497">
        <v>39.92</v>
      </c>
      <c r="AP3163" s="42"/>
      <c r="AQ3163" s="74"/>
      <c r="AR3163" s="77"/>
      <c r="AT3163" s="497">
        <v>59</v>
      </c>
      <c r="AV3163" s="42"/>
      <c r="AW3163" s="74"/>
      <c r="AX3163" s="77"/>
      <c r="BA3163" s="497">
        <v>64.94</v>
      </c>
      <c r="BB3163" s="42"/>
      <c r="BC3163" s="74"/>
      <c r="BD3163" s="77"/>
      <c r="BF3163">
        <v>50</v>
      </c>
      <c r="BH3163" s="42"/>
      <c r="BI3163" s="74"/>
      <c r="BJ3163" s="77"/>
      <c r="BL3163" s="497">
        <v>51.08</v>
      </c>
      <c r="BN3163" s="42"/>
      <c r="BO3163" s="74"/>
      <c r="BP3163" s="77"/>
      <c r="BR3163" s="497">
        <v>53.96</v>
      </c>
      <c r="BT3163" s="42"/>
    </row>
    <row r="3164" spans="1:72" x14ac:dyDescent="0.25">
      <c r="A3164" s="90">
        <v>36292</v>
      </c>
      <c r="B3164" s="20">
        <v>8.3333333333333329E-2</v>
      </c>
      <c r="D3164">
        <v>57.92</v>
      </c>
      <c r="E3164" t="str">
        <f t="shared" si="134"/>
        <v>WEEKDAY</v>
      </c>
      <c r="F3164" t="e">
        <f t="shared" si="133"/>
        <v>#N/A</v>
      </c>
      <c r="G3164" s="74">
        <v>31909</v>
      </c>
      <c r="H3164" s="77">
        <v>8.3333333333333329E-2</v>
      </c>
      <c r="J3164">
        <v>57.019999999999996</v>
      </c>
      <c r="M3164" s="74">
        <v>34466</v>
      </c>
      <c r="N3164" s="77">
        <v>8.3333333333333329E-2</v>
      </c>
      <c r="P3164">
        <v>53.96</v>
      </c>
      <c r="S3164" s="74">
        <v>36292</v>
      </c>
      <c r="T3164" s="77">
        <v>8.3333333333333329E-2</v>
      </c>
      <c r="V3164">
        <v>53.06</v>
      </c>
      <c r="X3164" s="42"/>
      <c r="AB3164">
        <v>55.1</v>
      </c>
      <c r="AC3164">
        <v>60.980000000000004</v>
      </c>
      <c r="AE3164" s="74"/>
      <c r="AF3164" s="77"/>
      <c r="AH3164" s="497">
        <v>53.6</v>
      </c>
      <c r="AJ3164" s="42"/>
      <c r="AK3164" s="74"/>
      <c r="AL3164" s="77"/>
      <c r="AN3164" s="497">
        <v>42.08</v>
      </c>
      <c r="AP3164" s="42"/>
      <c r="AQ3164" s="74"/>
      <c r="AR3164" s="77"/>
      <c r="AT3164" s="497">
        <v>59</v>
      </c>
      <c r="AV3164" s="42"/>
      <c r="AW3164" s="74"/>
      <c r="AX3164" s="77"/>
      <c r="BA3164" s="497">
        <v>62.06</v>
      </c>
      <c r="BB3164" s="42"/>
      <c r="BC3164" s="74"/>
      <c r="BD3164" s="77"/>
      <c r="BF3164">
        <v>50</v>
      </c>
      <c r="BH3164" s="42"/>
      <c r="BI3164" s="74"/>
      <c r="BJ3164" s="77"/>
      <c r="BL3164" s="497">
        <v>50</v>
      </c>
      <c r="BN3164" s="42"/>
      <c r="BO3164" s="74"/>
      <c r="BP3164" s="77"/>
      <c r="BR3164" s="497">
        <v>53.96</v>
      </c>
      <c r="BT3164" s="42"/>
    </row>
    <row r="3165" spans="1:72" x14ac:dyDescent="0.25">
      <c r="A3165" s="90">
        <v>36292</v>
      </c>
      <c r="B3165" s="20">
        <v>0.125</v>
      </c>
      <c r="D3165">
        <v>59</v>
      </c>
      <c r="E3165" t="str">
        <f t="shared" si="134"/>
        <v>WEEKDAY</v>
      </c>
      <c r="F3165" t="e">
        <f t="shared" si="133"/>
        <v>#N/A</v>
      </c>
      <c r="G3165" s="74">
        <v>31909</v>
      </c>
      <c r="H3165" s="77">
        <v>0.125</v>
      </c>
      <c r="J3165">
        <v>57.92</v>
      </c>
      <c r="M3165" s="74">
        <v>34466</v>
      </c>
      <c r="N3165" s="77">
        <v>0.125</v>
      </c>
      <c r="P3165">
        <v>53.96</v>
      </c>
      <c r="S3165" s="74">
        <v>36292</v>
      </c>
      <c r="T3165" s="77">
        <v>0.125</v>
      </c>
      <c r="V3165">
        <v>53.06</v>
      </c>
      <c r="X3165" s="42"/>
      <c r="AB3165">
        <v>54.6</v>
      </c>
      <c r="AC3165">
        <v>60.08</v>
      </c>
      <c r="AE3165" s="74"/>
      <c r="AF3165" s="77"/>
      <c r="AH3165" s="497">
        <v>51.8</v>
      </c>
      <c r="AJ3165" s="42"/>
      <c r="AK3165" s="74"/>
      <c r="AL3165" s="77"/>
      <c r="AN3165" s="497">
        <v>42.08</v>
      </c>
      <c r="AP3165" s="42"/>
      <c r="AQ3165" s="74"/>
      <c r="AR3165" s="77"/>
      <c r="AT3165" s="497">
        <v>60.08</v>
      </c>
      <c r="AV3165" s="42"/>
      <c r="AW3165" s="74"/>
      <c r="AX3165" s="77"/>
      <c r="BA3165" s="497">
        <v>62.06</v>
      </c>
      <c r="BB3165" s="42"/>
      <c r="BC3165" s="74"/>
      <c r="BD3165" s="77"/>
      <c r="BF3165">
        <v>48.92</v>
      </c>
      <c r="BH3165" s="42"/>
      <c r="BI3165" s="74"/>
      <c r="BJ3165" s="77"/>
      <c r="BL3165" s="497">
        <v>48.019999999999996</v>
      </c>
      <c r="BN3165" s="42"/>
      <c r="BO3165" s="74"/>
      <c r="BP3165" s="77"/>
      <c r="BR3165" s="497">
        <v>53.06</v>
      </c>
      <c r="BT3165" s="42"/>
    </row>
    <row r="3166" spans="1:72" x14ac:dyDescent="0.25">
      <c r="A3166" s="90">
        <v>36292</v>
      </c>
      <c r="B3166" s="20">
        <v>0.16666666666666666</v>
      </c>
      <c r="D3166">
        <v>62.06</v>
      </c>
      <c r="E3166" t="str">
        <f t="shared" si="134"/>
        <v>WEEKDAY</v>
      </c>
      <c r="F3166" t="e">
        <f t="shared" si="133"/>
        <v>#N/A</v>
      </c>
      <c r="G3166" s="74">
        <v>31909</v>
      </c>
      <c r="H3166" s="77">
        <v>0.16666666666666666</v>
      </c>
      <c r="J3166">
        <v>64.039999999999992</v>
      </c>
      <c r="M3166" s="74">
        <v>34466</v>
      </c>
      <c r="N3166" s="77">
        <v>0.16666666666666666</v>
      </c>
      <c r="P3166">
        <v>52.879999999999995</v>
      </c>
      <c r="S3166" s="74">
        <v>36292</v>
      </c>
      <c r="T3166" s="77">
        <v>0.16666666666666666</v>
      </c>
      <c r="V3166">
        <v>53.06</v>
      </c>
      <c r="X3166" s="42"/>
      <c r="AB3166">
        <v>54.2</v>
      </c>
      <c r="AC3166">
        <v>60.980000000000004</v>
      </c>
      <c r="AE3166" s="74"/>
      <c r="AF3166" s="77"/>
      <c r="AH3166" s="497">
        <v>51.8</v>
      </c>
      <c r="AJ3166" s="42"/>
      <c r="AK3166" s="74"/>
      <c r="AL3166" s="77"/>
      <c r="AN3166" s="497">
        <v>37.94</v>
      </c>
      <c r="AP3166" s="42"/>
      <c r="AQ3166" s="74"/>
      <c r="AR3166" s="77"/>
      <c r="AT3166" s="497">
        <v>55.040000000000006</v>
      </c>
      <c r="AV3166" s="42"/>
      <c r="AW3166" s="74"/>
      <c r="AX3166" s="77"/>
      <c r="BA3166" s="497">
        <v>60.980000000000004</v>
      </c>
      <c r="BB3166" s="42"/>
      <c r="BC3166" s="74"/>
      <c r="BD3166" s="77"/>
      <c r="BF3166">
        <v>48.019999999999996</v>
      </c>
      <c r="BH3166" s="42"/>
      <c r="BI3166" s="74"/>
      <c r="BJ3166" s="77"/>
      <c r="BL3166" s="497">
        <v>46.94</v>
      </c>
      <c r="BN3166" s="42"/>
      <c r="BO3166" s="74"/>
      <c r="BP3166" s="77"/>
      <c r="BR3166" s="497">
        <v>53.06</v>
      </c>
      <c r="BT3166" s="42"/>
    </row>
    <row r="3167" spans="1:72" x14ac:dyDescent="0.25">
      <c r="A3167" s="90">
        <v>36292</v>
      </c>
      <c r="B3167" s="20">
        <v>0.20833333333333334</v>
      </c>
      <c r="D3167">
        <v>62.06</v>
      </c>
      <c r="E3167" t="str">
        <f t="shared" si="134"/>
        <v>WEEKDAY</v>
      </c>
      <c r="F3167" t="e">
        <f t="shared" si="133"/>
        <v>#N/A</v>
      </c>
      <c r="G3167" s="74">
        <v>31909</v>
      </c>
      <c r="H3167" s="77">
        <v>0.20833333333333334</v>
      </c>
      <c r="J3167">
        <v>64.94</v>
      </c>
      <c r="M3167" s="74">
        <v>34466</v>
      </c>
      <c r="N3167" s="77">
        <v>0.20833333333333334</v>
      </c>
      <c r="P3167">
        <v>52.879999999999995</v>
      </c>
      <c r="S3167" s="74">
        <v>36292</v>
      </c>
      <c r="T3167" s="77">
        <v>0.20833333333333334</v>
      </c>
      <c r="V3167">
        <v>51.980000000000004</v>
      </c>
      <c r="X3167" s="42"/>
      <c r="AB3167">
        <v>53.7</v>
      </c>
      <c r="AC3167">
        <v>57.92</v>
      </c>
      <c r="AE3167" s="74"/>
      <c r="AF3167" s="77"/>
      <c r="AH3167" s="497">
        <v>51.8</v>
      </c>
      <c r="AJ3167" s="42"/>
      <c r="AK3167" s="74"/>
      <c r="AL3167" s="77"/>
      <c r="AN3167" s="497">
        <v>30.92</v>
      </c>
      <c r="AP3167" s="42"/>
      <c r="AQ3167" s="74"/>
      <c r="AR3167" s="77"/>
      <c r="AT3167" s="497">
        <v>55.040000000000006</v>
      </c>
      <c r="AV3167" s="42"/>
      <c r="AW3167" s="74"/>
      <c r="AX3167" s="77"/>
      <c r="BA3167" s="497">
        <v>60.08</v>
      </c>
      <c r="BB3167" s="42"/>
      <c r="BC3167" s="74"/>
      <c r="BD3167" s="77"/>
      <c r="BF3167">
        <v>48.019999999999996</v>
      </c>
      <c r="BH3167" s="42"/>
      <c r="BI3167" s="74"/>
      <c r="BJ3167" s="77"/>
      <c r="BL3167" s="497">
        <v>48.019999999999996</v>
      </c>
      <c r="BN3167" s="42"/>
      <c r="BO3167" s="74"/>
      <c r="BP3167" s="77"/>
      <c r="BR3167" s="497">
        <v>51.980000000000004</v>
      </c>
      <c r="BT3167" s="42"/>
    </row>
    <row r="3168" spans="1:72" x14ac:dyDescent="0.25">
      <c r="A3168" s="90">
        <v>36292</v>
      </c>
      <c r="B3168" s="20">
        <v>0.25</v>
      </c>
      <c r="D3168">
        <v>62.96</v>
      </c>
      <c r="E3168" t="str">
        <f t="shared" si="134"/>
        <v>WEEKDAY</v>
      </c>
      <c r="F3168" t="e">
        <f t="shared" si="133"/>
        <v>#N/A</v>
      </c>
      <c r="G3168" s="74">
        <v>31909</v>
      </c>
      <c r="H3168" s="77">
        <v>0.25</v>
      </c>
      <c r="J3168">
        <v>68</v>
      </c>
      <c r="M3168" s="74">
        <v>34466</v>
      </c>
      <c r="N3168" s="77">
        <v>0.25</v>
      </c>
      <c r="P3168">
        <v>52.879999999999995</v>
      </c>
      <c r="S3168" s="74">
        <v>36292</v>
      </c>
      <c r="T3168" s="77">
        <v>0.25</v>
      </c>
      <c r="V3168">
        <v>53.06</v>
      </c>
      <c r="X3168" s="42"/>
      <c r="AB3168">
        <v>53.6</v>
      </c>
      <c r="AC3168">
        <v>62.96</v>
      </c>
      <c r="AE3168" s="74"/>
      <c r="AF3168" s="77"/>
      <c r="AH3168" s="497">
        <v>51.8</v>
      </c>
      <c r="AJ3168" s="42"/>
      <c r="AK3168" s="74"/>
      <c r="AL3168" s="77"/>
      <c r="AN3168" s="497">
        <v>33.979999999999997</v>
      </c>
      <c r="AP3168" s="42"/>
      <c r="AQ3168" s="74"/>
      <c r="AR3168" s="77"/>
      <c r="AT3168" s="497">
        <v>55.040000000000006</v>
      </c>
      <c r="AV3168" s="42"/>
      <c r="AW3168" s="74"/>
      <c r="AX3168" s="77"/>
      <c r="BA3168" s="497">
        <v>62.06</v>
      </c>
      <c r="BB3168" s="42"/>
      <c r="BC3168" s="74"/>
      <c r="BD3168" s="77"/>
      <c r="BF3168">
        <v>48.019999999999996</v>
      </c>
      <c r="BH3168" s="42"/>
      <c r="BI3168" s="74"/>
      <c r="BJ3168" s="77"/>
      <c r="BL3168" s="497">
        <v>48.92</v>
      </c>
      <c r="BN3168" s="42"/>
      <c r="BO3168" s="74"/>
      <c r="BP3168" s="77"/>
      <c r="BR3168" s="497">
        <v>51.980000000000004</v>
      </c>
      <c r="BT3168" s="42"/>
    </row>
    <row r="3169" spans="1:72" x14ac:dyDescent="0.25">
      <c r="A3169" s="90">
        <v>36292</v>
      </c>
      <c r="B3169" s="20">
        <v>0.29166666666666669</v>
      </c>
      <c r="D3169">
        <v>62.96</v>
      </c>
      <c r="E3169" t="str">
        <f t="shared" si="134"/>
        <v>WEEKDAY</v>
      </c>
      <c r="F3169" t="e">
        <f t="shared" si="133"/>
        <v>#N/A</v>
      </c>
      <c r="G3169" s="74">
        <v>31909</v>
      </c>
      <c r="H3169" s="77">
        <v>0.29166666666666669</v>
      </c>
      <c r="J3169">
        <v>69.98</v>
      </c>
      <c r="M3169" s="74">
        <v>34466</v>
      </c>
      <c r="N3169" s="77">
        <v>0.29166666666666669</v>
      </c>
      <c r="P3169">
        <v>55.94</v>
      </c>
      <c r="S3169" s="74">
        <v>36292</v>
      </c>
      <c r="T3169" s="77">
        <v>0.29166666666666669</v>
      </c>
      <c r="V3169">
        <v>57.019999999999996</v>
      </c>
      <c r="X3169" s="42"/>
      <c r="AB3169">
        <v>54.7</v>
      </c>
      <c r="AC3169">
        <v>66.92</v>
      </c>
      <c r="AE3169" s="74"/>
      <c r="AF3169" s="77"/>
      <c r="AH3169" s="497">
        <v>51.8</v>
      </c>
      <c r="AJ3169" s="42"/>
      <c r="AK3169" s="74"/>
      <c r="AL3169" s="77"/>
      <c r="AN3169" s="497">
        <v>42.08</v>
      </c>
      <c r="AP3169" s="42"/>
      <c r="AQ3169" s="74"/>
      <c r="AR3169" s="77"/>
      <c r="AT3169" s="497">
        <v>57.92</v>
      </c>
      <c r="AV3169" s="42"/>
      <c r="AW3169" s="74"/>
      <c r="AX3169" s="77"/>
      <c r="BA3169" s="497">
        <v>64.039999999999992</v>
      </c>
      <c r="BB3169" s="42"/>
      <c r="BC3169" s="74"/>
      <c r="BD3169" s="77"/>
      <c r="BF3169">
        <v>48.92</v>
      </c>
      <c r="BH3169" s="42"/>
      <c r="BI3169" s="74"/>
      <c r="BJ3169" s="77"/>
      <c r="BL3169" s="497">
        <v>53.06</v>
      </c>
      <c r="BN3169" s="42"/>
      <c r="BO3169" s="74"/>
      <c r="BP3169" s="77"/>
      <c r="BR3169" s="497">
        <v>53.06</v>
      </c>
      <c r="BT3169" s="42"/>
    </row>
    <row r="3170" spans="1:72" x14ac:dyDescent="0.25">
      <c r="A3170" s="90">
        <v>36292</v>
      </c>
      <c r="B3170" s="20">
        <v>0.33333333333333331</v>
      </c>
      <c r="D3170">
        <v>62.96</v>
      </c>
      <c r="E3170" t="str">
        <f t="shared" si="134"/>
        <v>WEEKDAY</v>
      </c>
      <c r="F3170" t="e">
        <f t="shared" si="133"/>
        <v>#N/A</v>
      </c>
      <c r="G3170" s="74">
        <v>31909</v>
      </c>
      <c r="H3170" s="77">
        <v>0.33333333333333331</v>
      </c>
      <c r="J3170">
        <v>73.039999999999992</v>
      </c>
      <c r="M3170" s="74">
        <v>34466</v>
      </c>
      <c r="N3170" s="77">
        <v>0.33333333333333331</v>
      </c>
      <c r="P3170">
        <v>57.92</v>
      </c>
      <c r="S3170" s="74">
        <v>36292</v>
      </c>
      <c r="T3170" s="77">
        <v>0.33333333333333331</v>
      </c>
      <c r="V3170">
        <v>60.08</v>
      </c>
      <c r="X3170" s="42"/>
      <c r="AB3170">
        <v>56.4</v>
      </c>
      <c r="AC3170">
        <v>73.94</v>
      </c>
      <c r="AE3170" s="74"/>
      <c r="AF3170" s="77"/>
      <c r="AH3170" s="497">
        <v>51.8</v>
      </c>
      <c r="AJ3170" s="42"/>
      <c r="AK3170" s="74"/>
      <c r="AL3170" s="77"/>
      <c r="AN3170" s="497">
        <v>46.94</v>
      </c>
      <c r="AP3170" s="42"/>
      <c r="AQ3170" s="74"/>
      <c r="AR3170" s="77"/>
      <c r="AT3170" s="497">
        <v>60.980000000000004</v>
      </c>
      <c r="AV3170" s="42"/>
      <c r="AW3170" s="74"/>
      <c r="AX3170" s="77"/>
      <c r="BA3170" s="497">
        <v>66.92</v>
      </c>
      <c r="BB3170" s="42"/>
      <c r="BC3170" s="74"/>
      <c r="BD3170" s="77"/>
      <c r="BF3170">
        <v>50</v>
      </c>
      <c r="BH3170" s="42"/>
      <c r="BI3170" s="74"/>
      <c r="BJ3170" s="77"/>
      <c r="BL3170" s="497">
        <v>55.94</v>
      </c>
      <c r="BN3170" s="42"/>
      <c r="BO3170" s="74"/>
      <c r="BP3170" s="77"/>
      <c r="BR3170" s="497">
        <v>53.06</v>
      </c>
      <c r="BT3170" s="42"/>
    </row>
    <row r="3171" spans="1:72" x14ac:dyDescent="0.25">
      <c r="A3171" s="90">
        <v>36292</v>
      </c>
      <c r="B3171" s="20">
        <v>0.375</v>
      </c>
      <c r="D3171">
        <v>64.039999999999992</v>
      </c>
      <c r="E3171" t="str">
        <f t="shared" si="134"/>
        <v>WEEKDAY</v>
      </c>
      <c r="F3171" t="e">
        <f t="shared" si="133"/>
        <v>#N/A</v>
      </c>
      <c r="G3171" s="74">
        <v>31909</v>
      </c>
      <c r="H3171" s="77">
        <v>0.375</v>
      </c>
      <c r="J3171">
        <v>77</v>
      </c>
      <c r="M3171" s="74">
        <v>34466</v>
      </c>
      <c r="N3171" s="77">
        <v>0.375</v>
      </c>
      <c r="P3171">
        <v>57.92</v>
      </c>
      <c r="S3171" s="74">
        <v>36292</v>
      </c>
      <c r="T3171" s="77">
        <v>0.375</v>
      </c>
      <c r="V3171">
        <v>62.96</v>
      </c>
      <c r="X3171" s="42"/>
      <c r="AB3171">
        <v>58.4</v>
      </c>
      <c r="AC3171">
        <v>77</v>
      </c>
      <c r="AE3171" s="74"/>
      <c r="AF3171" s="77"/>
      <c r="AH3171" s="497">
        <v>53.6</v>
      </c>
      <c r="AJ3171" s="42"/>
      <c r="AK3171" s="74"/>
      <c r="AL3171" s="77"/>
      <c r="AN3171" s="497">
        <v>51.08</v>
      </c>
      <c r="AP3171" s="42"/>
      <c r="AQ3171" s="74"/>
      <c r="AR3171" s="77"/>
      <c r="AT3171" s="497">
        <v>62.96</v>
      </c>
      <c r="AV3171" s="42"/>
      <c r="AW3171" s="74"/>
      <c r="AX3171" s="77"/>
      <c r="BA3171" s="497">
        <v>73.039999999999992</v>
      </c>
      <c r="BB3171" s="42"/>
      <c r="BC3171" s="74"/>
      <c r="BD3171" s="77"/>
      <c r="BF3171">
        <v>51.08</v>
      </c>
      <c r="BH3171" s="42"/>
      <c r="BI3171" s="74"/>
      <c r="BJ3171" s="77"/>
      <c r="BL3171" s="497">
        <v>59</v>
      </c>
      <c r="BN3171" s="42"/>
      <c r="BO3171" s="74"/>
      <c r="BP3171" s="77"/>
      <c r="BR3171" s="497">
        <v>55.040000000000006</v>
      </c>
      <c r="BT3171" s="42"/>
    </row>
    <row r="3172" spans="1:72" x14ac:dyDescent="0.25">
      <c r="A3172" s="90">
        <v>36292</v>
      </c>
      <c r="B3172" s="20">
        <v>0.41666666666666669</v>
      </c>
      <c r="D3172">
        <v>60.08</v>
      </c>
      <c r="E3172" t="str">
        <f t="shared" si="134"/>
        <v>WEEKDAY</v>
      </c>
      <c r="F3172" t="e">
        <f t="shared" si="133"/>
        <v>#N/A</v>
      </c>
      <c r="G3172" s="74">
        <v>31909</v>
      </c>
      <c r="H3172" s="77">
        <v>0.41666666666666669</v>
      </c>
      <c r="J3172">
        <v>80.06</v>
      </c>
      <c r="M3172" s="74">
        <v>34466</v>
      </c>
      <c r="N3172" s="77">
        <v>0.41666666666666669</v>
      </c>
      <c r="P3172">
        <v>57.92</v>
      </c>
      <c r="S3172" s="74">
        <v>36292</v>
      </c>
      <c r="T3172" s="77">
        <v>0.41666666666666669</v>
      </c>
      <c r="V3172">
        <v>66.02</v>
      </c>
      <c r="X3172" s="42"/>
      <c r="AB3172">
        <v>60.1</v>
      </c>
      <c r="AC3172">
        <v>80.960000000000008</v>
      </c>
      <c r="AE3172" s="74"/>
      <c r="AF3172" s="77"/>
      <c r="AH3172" s="497">
        <v>53.6</v>
      </c>
      <c r="AJ3172" s="42"/>
      <c r="AK3172" s="74"/>
      <c r="AL3172" s="77"/>
      <c r="AN3172" s="497">
        <v>55.94</v>
      </c>
      <c r="AP3172" s="42"/>
      <c r="AQ3172" s="74"/>
      <c r="AR3172" s="77"/>
      <c r="AT3172" s="497">
        <v>69.080000000000013</v>
      </c>
      <c r="AV3172" s="42"/>
      <c r="AW3172" s="74"/>
      <c r="AX3172" s="77"/>
      <c r="BA3172" s="497">
        <v>71.960000000000008</v>
      </c>
      <c r="BB3172" s="42"/>
      <c r="BC3172" s="74"/>
      <c r="BD3172" s="77"/>
      <c r="BF3172">
        <v>51.980000000000004</v>
      </c>
      <c r="BH3172" s="42"/>
      <c r="BI3172" s="74"/>
      <c r="BJ3172" s="77"/>
      <c r="BL3172" s="497">
        <v>62.06</v>
      </c>
      <c r="BN3172" s="42"/>
      <c r="BO3172" s="74"/>
      <c r="BP3172" s="77"/>
      <c r="BR3172" s="497">
        <v>57.019999999999996</v>
      </c>
      <c r="BT3172" s="42"/>
    </row>
    <row r="3173" spans="1:72" x14ac:dyDescent="0.25">
      <c r="A3173" s="90">
        <v>36292</v>
      </c>
      <c r="B3173" s="20">
        <v>0.45833333333333331</v>
      </c>
      <c r="D3173">
        <v>64.039999999999992</v>
      </c>
      <c r="E3173" t="str">
        <f t="shared" si="134"/>
        <v>WEEKDAY</v>
      </c>
      <c r="F3173" t="e">
        <f t="shared" si="133"/>
        <v>#N/A</v>
      </c>
      <c r="G3173" s="74">
        <v>31909</v>
      </c>
      <c r="H3173" s="77">
        <v>0.45833333333333331</v>
      </c>
      <c r="J3173">
        <v>82.039999999999992</v>
      </c>
      <c r="M3173" s="74">
        <v>34466</v>
      </c>
      <c r="N3173" s="77">
        <v>0.45833333333333331</v>
      </c>
      <c r="P3173">
        <v>56.84</v>
      </c>
      <c r="S3173" s="74">
        <v>36292</v>
      </c>
      <c r="T3173" s="77">
        <v>0.45833333333333331</v>
      </c>
      <c r="V3173">
        <v>66.02</v>
      </c>
      <c r="X3173" s="42"/>
      <c r="AB3173">
        <v>61.8</v>
      </c>
      <c r="AC3173">
        <v>80.960000000000008</v>
      </c>
      <c r="AE3173" s="74"/>
      <c r="AF3173" s="77"/>
      <c r="AH3173" s="497">
        <v>53.6</v>
      </c>
      <c r="AJ3173" s="42"/>
      <c r="AK3173" s="74"/>
      <c r="AL3173" s="77"/>
      <c r="AN3173" s="497">
        <v>60.08</v>
      </c>
      <c r="AP3173" s="42"/>
      <c r="AQ3173" s="74"/>
      <c r="AR3173" s="77"/>
      <c r="AT3173" s="497">
        <v>75.02</v>
      </c>
      <c r="AV3173" s="42"/>
      <c r="AW3173" s="74"/>
      <c r="AX3173" s="77"/>
      <c r="BA3173" s="497">
        <v>73.94</v>
      </c>
      <c r="BB3173" s="42"/>
      <c r="BC3173" s="74"/>
      <c r="BD3173" s="77"/>
      <c r="BF3173">
        <v>51.980000000000004</v>
      </c>
      <c r="BH3173" s="42"/>
      <c r="BI3173" s="74"/>
      <c r="BJ3173" s="77"/>
      <c r="BL3173" s="497">
        <v>62.06</v>
      </c>
      <c r="BN3173" s="42"/>
      <c r="BO3173" s="74"/>
      <c r="BP3173" s="77"/>
      <c r="BR3173" s="497">
        <v>59</v>
      </c>
      <c r="BT3173" s="42"/>
    </row>
    <row r="3174" spans="1:72" x14ac:dyDescent="0.25">
      <c r="A3174" s="90">
        <v>36292</v>
      </c>
      <c r="B3174" s="20">
        <v>0.5</v>
      </c>
      <c r="D3174">
        <v>66.92</v>
      </c>
      <c r="E3174" t="str">
        <f t="shared" si="134"/>
        <v>WEEKDAY</v>
      </c>
      <c r="F3174" t="e">
        <f t="shared" si="133"/>
        <v>#N/A</v>
      </c>
      <c r="G3174" s="74">
        <v>31909</v>
      </c>
      <c r="H3174" s="77">
        <v>0.5</v>
      </c>
      <c r="J3174">
        <v>82.039999999999992</v>
      </c>
      <c r="M3174" s="74">
        <v>34466</v>
      </c>
      <c r="N3174" s="77">
        <v>0.5</v>
      </c>
      <c r="P3174">
        <v>60.980000000000004</v>
      </c>
      <c r="S3174" s="74">
        <v>36292</v>
      </c>
      <c r="T3174" s="77">
        <v>0.5</v>
      </c>
      <c r="V3174">
        <v>66.02</v>
      </c>
      <c r="X3174" s="42"/>
      <c r="AB3174">
        <v>62.9</v>
      </c>
      <c r="AC3174">
        <v>82.94</v>
      </c>
      <c r="AE3174" s="74"/>
      <c r="AF3174" s="77"/>
      <c r="AH3174" s="497">
        <v>57.2</v>
      </c>
      <c r="AJ3174" s="42"/>
      <c r="AK3174" s="74"/>
      <c r="AL3174" s="77"/>
      <c r="AN3174" s="497">
        <v>62.06</v>
      </c>
      <c r="AP3174" s="42"/>
      <c r="AQ3174" s="74"/>
      <c r="AR3174" s="77"/>
      <c r="AT3174" s="497">
        <v>77</v>
      </c>
      <c r="AV3174" s="42"/>
      <c r="AW3174" s="74"/>
      <c r="AX3174" s="77"/>
      <c r="BA3174" s="497">
        <v>77</v>
      </c>
      <c r="BB3174" s="42"/>
      <c r="BC3174" s="74"/>
      <c r="BD3174" s="77"/>
      <c r="BF3174">
        <v>50</v>
      </c>
      <c r="BH3174" s="42"/>
      <c r="BI3174" s="74"/>
      <c r="BJ3174" s="77"/>
      <c r="BL3174" s="497">
        <v>62.06</v>
      </c>
      <c r="BN3174" s="42"/>
      <c r="BO3174" s="74"/>
      <c r="BP3174" s="77"/>
      <c r="BR3174" s="497">
        <v>57.92</v>
      </c>
      <c r="BT3174" s="42"/>
    </row>
    <row r="3175" spans="1:72" x14ac:dyDescent="0.25">
      <c r="A3175" s="90">
        <v>36292</v>
      </c>
      <c r="B3175" s="20">
        <v>0.54166666666666663</v>
      </c>
      <c r="D3175">
        <v>69.98</v>
      </c>
      <c r="E3175" t="str">
        <f t="shared" si="134"/>
        <v>WEEKDAY</v>
      </c>
      <c r="F3175" t="e">
        <f t="shared" si="133"/>
        <v>#N/A</v>
      </c>
      <c r="G3175" s="74">
        <v>31909</v>
      </c>
      <c r="H3175" s="77">
        <v>0.54166666666666663</v>
      </c>
      <c r="J3175">
        <v>84.02</v>
      </c>
      <c r="M3175" s="74">
        <v>34466</v>
      </c>
      <c r="N3175" s="77">
        <v>0.54166666666666663</v>
      </c>
      <c r="P3175">
        <v>66.92</v>
      </c>
      <c r="S3175" s="74">
        <v>36292</v>
      </c>
      <c r="T3175" s="77">
        <v>0.54166666666666663</v>
      </c>
      <c r="V3175">
        <v>68</v>
      </c>
      <c r="X3175" s="42"/>
      <c r="AB3175">
        <v>63.7</v>
      </c>
      <c r="AC3175">
        <v>82.039999999999992</v>
      </c>
      <c r="AE3175" s="74"/>
      <c r="AF3175" s="77"/>
      <c r="AH3175" s="497">
        <v>59.900000000000006</v>
      </c>
      <c r="AJ3175" s="42"/>
      <c r="AK3175" s="74"/>
      <c r="AL3175" s="77"/>
      <c r="AN3175" s="497">
        <v>64.94</v>
      </c>
      <c r="AP3175" s="42"/>
      <c r="AQ3175" s="74"/>
      <c r="AR3175" s="77"/>
      <c r="AT3175" s="497">
        <v>75.92</v>
      </c>
      <c r="AV3175" s="42"/>
      <c r="AW3175" s="74"/>
      <c r="AX3175" s="77"/>
      <c r="BA3175" s="497">
        <v>80.06</v>
      </c>
      <c r="BB3175" s="42"/>
      <c r="BC3175" s="74"/>
      <c r="BD3175" s="77"/>
      <c r="BF3175">
        <v>53.06</v>
      </c>
      <c r="BH3175" s="42"/>
      <c r="BI3175" s="74"/>
      <c r="BJ3175" s="77"/>
      <c r="BL3175" s="497">
        <v>62.06</v>
      </c>
      <c r="BN3175" s="42"/>
      <c r="BO3175" s="74"/>
      <c r="BP3175" s="77"/>
      <c r="BR3175" s="497">
        <v>57.92</v>
      </c>
      <c r="BT3175" s="42"/>
    </row>
    <row r="3176" spans="1:72" x14ac:dyDescent="0.25">
      <c r="A3176" s="90">
        <v>36292</v>
      </c>
      <c r="B3176" s="20">
        <v>0.58333333333333337</v>
      </c>
      <c r="D3176">
        <v>59</v>
      </c>
      <c r="E3176" t="str">
        <f t="shared" si="134"/>
        <v>WEEKDAY</v>
      </c>
      <c r="F3176" t="e">
        <f t="shared" si="133"/>
        <v>#N/A</v>
      </c>
      <c r="G3176" s="74">
        <v>31909</v>
      </c>
      <c r="H3176" s="77">
        <v>0.58333333333333337</v>
      </c>
      <c r="J3176">
        <v>80.06</v>
      </c>
      <c r="M3176" s="74">
        <v>34466</v>
      </c>
      <c r="N3176" s="77">
        <v>0.58333333333333337</v>
      </c>
      <c r="P3176">
        <v>59</v>
      </c>
      <c r="S3176" s="74">
        <v>36292</v>
      </c>
      <c r="T3176" s="77">
        <v>0.58333333333333337</v>
      </c>
      <c r="V3176">
        <v>66.92</v>
      </c>
      <c r="X3176" s="42"/>
      <c r="AB3176">
        <v>64.099999999999994</v>
      </c>
      <c r="AC3176">
        <v>80.06</v>
      </c>
      <c r="AE3176" s="74"/>
      <c r="AF3176" s="77"/>
      <c r="AH3176" s="497">
        <v>62.6</v>
      </c>
      <c r="AJ3176" s="42"/>
      <c r="AK3176" s="74"/>
      <c r="AL3176" s="77"/>
      <c r="AN3176" s="497">
        <v>66.92</v>
      </c>
      <c r="AP3176" s="42"/>
      <c r="AQ3176" s="74"/>
      <c r="AR3176" s="77"/>
      <c r="AT3176" s="497">
        <v>82.039999999999992</v>
      </c>
      <c r="AV3176" s="42"/>
      <c r="AW3176" s="74"/>
      <c r="AX3176" s="77"/>
      <c r="BA3176" s="497">
        <v>82.039999999999992</v>
      </c>
      <c r="BB3176" s="42"/>
      <c r="BC3176" s="74"/>
      <c r="BD3176" s="77"/>
      <c r="BF3176">
        <v>51.980000000000004</v>
      </c>
      <c r="BH3176" s="42"/>
      <c r="BI3176" s="74"/>
      <c r="BJ3176" s="77"/>
      <c r="BL3176" s="497">
        <v>62.96</v>
      </c>
      <c r="BN3176" s="42"/>
      <c r="BO3176" s="74"/>
      <c r="BP3176" s="77"/>
      <c r="BR3176" s="497">
        <v>57.92</v>
      </c>
      <c r="BT3176" s="42"/>
    </row>
    <row r="3177" spans="1:72" x14ac:dyDescent="0.25">
      <c r="A3177" s="90">
        <v>36292</v>
      </c>
      <c r="B3177" s="20">
        <v>0.625</v>
      </c>
      <c r="D3177">
        <v>62.96</v>
      </c>
      <c r="E3177" t="str">
        <f t="shared" si="134"/>
        <v>WEEKDAY</v>
      </c>
      <c r="F3177" t="e">
        <f t="shared" si="133"/>
        <v>#N/A</v>
      </c>
      <c r="G3177" s="74">
        <v>31909</v>
      </c>
      <c r="H3177" s="77">
        <v>0.625</v>
      </c>
      <c r="J3177">
        <v>75.92</v>
      </c>
      <c r="M3177" s="74">
        <v>34466</v>
      </c>
      <c r="N3177" s="77">
        <v>0.625</v>
      </c>
      <c r="P3177">
        <v>61.88</v>
      </c>
      <c r="S3177" s="74">
        <v>36292</v>
      </c>
      <c r="T3177" s="77">
        <v>0.625</v>
      </c>
      <c r="V3177">
        <v>64.94</v>
      </c>
      <c r="X3177" s="42"/>
      <c r="AB3177">
        <v>64</v>
      </c>
      <c r="AC3177">
        <v>75.92</v>
      </c>
      <c r="AE3177" s="74"/>
      <c r="AF3177" s="77"/>
      <c r="AH3177" s="497">
        <v>62.6</v>
      </c>
      <c r="AJ3177" s="42"/>
      <c r="AK3177" s="74"/>
      <c r="AL3177" s="77"/>
      <c r="AN3177" s="497">
        <v>68</v>
      </c>
      <c r="AP3177" s="42"/>
      <c r="AQ3177" s="74"/>
      <c r="AR3177" s="77"/>
      <c r="AT3177" s="497">
        <v>80.06</v>
      </c>
      <c r="AV3177" s="42"/>
      <c r="AW3177" s="74"/>
      <c r="AX3177" s="77"/>
      <c r="BA3177" s="497">
        <v>80.960000000000008</v>
      </c>
      <c r="BB3177" s="42"/>
      <c r="BC3177" s="74"/>
      <c r="BD3177" s="77"/>
      <c r="BF3177">
        <v>55.040000000000006</v>
      </c>
      <c r="BH3177" s="42"/>
      <c r="BI3177" s="74"/>
      <c r="BJ3177" s="77"/>
      <c r="BL3177" s="497">
        <v>62.96</v>
      </c>
      <c r="BN3177" s="42"/>
      <c r="BO3177" s="74"/>
      <c r="BP3177" s="77"/>
      <c r="BR3177" s="497">
        <v>59</v>
      </c>
      <c r="BT3177" s="42"/>
    </row>
    <row r="3178" spans="1:72" x14ac:dyDescent="0.25">
      <c r="A3178" s="90">
        <v>36292</v>
      </c>
      <c r="B3178" s="20">
        <v>0.66666666666666663</v>
      </c>
      <c r="D3178">
        <v>62.06</v>
      </c>
      <c r="E3178" t="str">
        <f t="shared" si="134"/>
        <v>WEEKDAY</v>
      </c>
      <c r="F3178" t="e">
        <f t="shared" si="133"/>
        <v>#N/A</v>
      </c>
      <c r="G3178" s="74">
        <v>31909</v>
      </c>
      <c r="H3178" s="77">
        <v>0.66666666666666663</v>
      </c>
      <c r="J3178">
        <v>71.06</v>
      </c>
      <c r="M3178" s="74">
        <v>34466</v>
      </c>
      <c r="N3178" s="77">
        <v>0.66666666666666663</v>
      </c>
      <c r="P3178">
        <v>60.980000000000004</v>
      </c>
      <c r="S3178" s="74">
        <v>36292</v>
      </c>
      <c r="T3178" s="77">
        <v>0.66666666666666663</v>
      </c>
      <c r="V3178">
        <v>66.92</v>
      </c>
      <c r="X3178" s="42"/>
      <c r="AB3178">
        <v>63.5</v>
      </c>
      <c r="AC3178">
        <v>75.92</v>
      </c>
      <c r="AE3178" s="74"/>
      <c r="AF3178" s="77"/>
      <c r="AH3178" s="497">
        <v>62.6</v>
      </c>
      <c r="AJ3178" s="42"/>
      <c r="AK3178" s="74"/>
      <c r="AL3178" s="77"/>
      <c r="AN3178" s="497">
        <v>69.080000000000013</v>
      </c>
      <c r="AP3178" s="42"/>
      <c r="AQ3178" s="74"/>
      <c r="AR3178" s="77"/>
      <c r="AT3178" s="497">
        <v>82.039999999999992</v>
      </c>
      <c r="AV3178" s="42"/>
      <c r="AW3178" s="74"/>
      <c r="AX3178" s="77"/>
      <c r="BA3178" s="497">
        <v>71.06</v>
      </c>
      <c r="BB3178" s="42"/>
      <c r="BC3178" s="74"/>
      <c r="BD3178" s="77"/>
      <c r="BF3178">
        <v>57.92</v>
      </c>
      <c r="BH3178" s="42"/>
      <c r="BI3178" s="74"/>
      <c r="BJ3178" s="77"/>
      <c r="BL3178" s="497">
        <v>62.06</v>
      </c>
      <c r="BN3178" s="42"/>
      <c r="BO3178" s="74"/>
      <c r="BP3178" s="77"/>
      <c r="BR3178" s="497">
        <v>59</v>
      </c>
      <c r="BT3178" s="42"/>
    </row>
    <row r="3179" spans="1:72" x14ac:dyDescent="0.25">
      <c r="A3179" s="90">
        <v>36292</v>
      </c>
      <c r="B3179" s="20">
        <v>0.70833333333333337</v>
      </c>
      <c r="D3179">
        <v>60.980000000000004</v>
      </c>
      <c r="E3179" t="str">
        <f t="shared" si="134"/>
        <v>WEEKDAY</v>
      </c>
      <c r="F3179" t="e">
        <f t="shared" ref="F3179:F3242" si="135">IF(E3179="WEEKDAY",VLOOKUP(B3179,$DD$19:$DG$42,2),IF(E3179="SATURDAY",VLOOKUP(B3179,$DD$19:$DG$42,3),VLOOKUP(B3179,$DD$19:$DG$42,4)))</f>
        <v>#N/A</v>
      </c>
      <c r="G3179" s="74">
        <v>31909</v>
      </c>
      <c r="H3179" s="77">
        <v>0.70833333333333337</v>
      </c>
      <c r="J3179">
        <v>66.92</v>
      </c>
      <c r="M3179" s="74">
        <v>34466</v>
      </c>
      <c r="N3179" s="77">
        <v>0.70833333333333337</v>
      </c>
      <c r="P3179">
        <v>59</v>
      </c>
      <c r="S3179" s="74">
        <v>36292</v>
      </c>
      <c r="T3179" s="77">
        <v>0.70833333333333337</v>
      </c>
      <c r="V3179">
        <v>66.02</v>
      </c>
      <c r="X3179" s="42"/>
      <c r="AB3179">
        <v>62.8</v>
      </c>
      <c r="AC3179">
        <v>78.080000000000013</v>
      </c>
      <c r="AE3179" s="74"/>
      <c r="AF3179" s="77"/>
      <c r="AH3179" s="497">
        <v>60.44</v>
      </c>
      <c r="AJ3179" s="42"/>
      <c r="AK3179" s="74"/>
      <c r="AL3179" s="77"/>
      <c r="AN3179" s="497">
        <v>68</v>
      </c>
      <c r="AP3179" s="42"/>
      <c r="AQ3179" s="74"/>
      <c r="AR3179" s="77"/>
      <c r="AT3179" s="497">
        <v>80.960000000000008</v>
      </c>
      <c r="AV3179" s="42"/>
      <c r="AW3179" s="74"/>
      <c r="AX3179" s="77"/>
      <c r="BA3179" s="497">
        <v>66.02</v>
      </c>
      <c r="BB3179" s="42"/>
      <c r="BC3179" s="74"/>
      <c r="BD3179" s="77"/>
      <c r="BF3179">
        <v>57.92</v>
      </c>
      <c r="BH3179" s="42"/>
      <c r="BI3179" s="74"/>
      <c r="BJ3179" s="77"/>
      <c r="BL3179" s="497">
        <v>62.06</v>
      </c>
      <c r="BN3179" s="42"/>
      <c r="BO3179" s="74"/>
      <c r="BP3179" s="77"/>
      <c r="BR3179" s="497">
        <v>57.92</v>
      </c>
      <c r="BT3179" s="42"/>
    </row>
    <row r="3180" spans="1:72" x14ac:dyDescent="0.25">
      <c r="A3180" s="90">
        <v>36292</v>
      </c>
      <c r="B3180" s="20">
        <v>0.75</v>
      </c>
      <c r="D3180">
        <v>57.019999999999996</v>
      </c>
      <c r="E3180" t="str">
        <f t="shared" si="134"/>
        <v>WEEKDAY</v>
      </c>
      <c r="F3180" t="e">
        <f t="shared" si="135"/>
        <v>#N/A</v>
      </c>
      <c r="G3180" s="74">
        <v>31909</v>
      </c>
      <c r="H3180" s="77">
        <v>0.75</v>
      </c>
      <c r="J3180">
        <v>66.02</v>
      </c>
      <c r="M3180" s="74">
        <v>34466</v>
      </c>
      <c r="N3180" s="77">
        <v>0.75</v>
      </c>
      <c r="P3180">
        <v>53.96</v>
      </c>
      <c r="S3180" s="74">
        <v>36292</v>
      </c>
      <c r="T3180" s="77">
        <v>0.75</v>
      </c>
      <c r="V3180">
        <v>62.96</v>
      </c>
      <c r="X3180" s="42"/>
      <c r="AB3180">
        <v>61.7</v>
      </c>
      <c r="AC3180">
        <v>75.02</v>
      </c>
      <c r="AE3180" s="74"/>
      <c r="AF3180" s="77"/>
      <c r="AH3180" s="497">
        <v>57.2</v>
      </c>
      <c r="AJ3180" s="42"/>
      <c r="AK3180" s="74"/>
      <c r="AL3180" s="77"/>
      <c r="AN3180" s="497">
        <v>68</v>
      </c>
      <c r="AP3180" s="42"/>
      <c r="AQ3180" s="74"/>
      <c r="AR3180" s="77"/>
      <c r="AT3180" s="497">
        <v>75.92</v>
      </c>
      <c r="AV3180" s="42"/>
      <c r="AW3180" s="74"/>
      <c r="AX3180" s="77"/>
      <c r="BA3180" s="497">
        <v>64.94</v>
      </c>
      <c r="BB3180" s="42"/>
      <c r="BC3180" s="74"/>
      <c r="BD3180" s="77"/>
      <c r="BF3180">
        <v>57.019999999999996</v>
      </c>
      <c r="BH3180" s="42"/>
      <c r="BI3180" s="74"/>
      <c r="BJ3180" s="77"/>
      <c r="BL3180" s="497">
        <v>60.08</v>
      </c>
      <c r="BN3180" s="42"/>
      <c r="BO3180" s="74"/>
      <c r="BP3180" s="77"/>
      <c r="BR3180" s="497">
        <v>57.92</v>
      </c>
      <c r="BT3180" s="42"/>
    </row>
    <row r="3181" spans="1:72" x14ac:dyDescent="0.25">
      <c r="A3181" s="90">
        <v>36292</v>
      </c>
      <c r="B3181" s="20">
        <v>0.79166666666666663</v>
      </c>
      <c r="D3181">
        <v>55.94</v>
      </c>
      <c r="E3181" t="str">
        <f t="shared" si="134"/>
        <v>WEEKDAY</v>
      </c>
      <c r="F3181" t="e">
        <f t="shared" si="135"/>
        <v>#N/A</v>
      </c>
      <c r="G3181" s="74">
        <v>31909</v>
      </c>
      <c r="H3181" s="77">
        <v>0.79166666666666663</v>
      </c>
      <c r="J3181">
        <v>66.02</v>
      </c>
      <c r="M3181" s="74">
        <v>34466</v>
      </c>
      <c r="N3181" s="77">
        <v>0.79166666666666663</v>
      </c>
      <c r="P3181">
        <v>51.980000000000004</v>
      </c>
      <c r="S3181" s="74">
        <v>36292</v>
      </c>
      <c r="T3181" s="77">
        <v>0.79166666666666663</v>
      </c>
      <c r="V3181">
        <v>59</v>
      </c>
      <c r="X3181" s="42"/>
      <c r="AB3181">
        <v>60.3</v>
      </c>
      <c r="AC3181">
        <v>66.92</v>
      </c>
      <c r="AE3181" s="74"/>
      <c r="AF3181" s="77"/>
      <c r="AH3181" s="497">
        <v>57.2</v>
      </c>
      <c r="AJ3181" s="42"/>
      <c r="AK3181" s="74"/>
      <c r="AL3181" s="77"/>
      <c r="AN3181" s="497">
        <v>64.94</v>
      </c>
      <c r="AP3181" s="42"/>
      <c r="AQ3181" s="74"/>
      <c r="AR3181" s="77"/>
      <c r="AT3181" s="497">
        <v>73.94</v>
      </c>
      <c r="AV3181" s="42"/>
      <c r="AW3181" s="74"/>
      <c r="AX3181" s="77"/>
      <c r="BA3181" s="497">
        <v>66.02</v>
      </c>
      <c r="BB3181" s="42"/>
      <c r="BC3181" s="74"/>
      <c r="BD3181" s="77"/>
      <c r="BF3181">
        <v>55.040000000000006</v>
      </c>
      <c r="BH3181" s="42"/>
      <c r="BI3181" s="74"/>
      <c r="BJ3181" s="77"/>
      <c r="BL3181" s="497">
        <v>57.92</v>
      </c>
      <c r="BN3181" s="42"/>
      <c r="BO3181" s="74"/>
      <c r="BP3181" s="77"/>
      <c r="BR3181" s="497">
        <v>57.019999999999996</v>
      </c>
      <c r="BT3181" s="42"/>
    </row>
    <row r="3182" spans="1:72" x14ac:dyDescent="0.25">
      <c r="A3182" s="90">
        <v>36292</v>
      </c>
      <c r="B3182" s="20">
        <v>0.83333333333333337</v>
      </c>
      <c r="D3182">
        <v>53.96</v>
      </c>
      <c r="E3182" t="str">
        <f t="shared" si="134"/>
        <v>WEEKDAY</v>
      </c>
      <c r="F3182" t="e">
        <f t="shared" si="135"/>
        <v>#N/A</v>
      </c>
      <c r="G3182" s="74">
        <v>31909</v>
      </c>
      <c r="H3182" s="77">
        <v>0.83333333333333337</v>
      </c>
      <c r="J3182">
        <v>64.94</v>
      </c>
      <c r="M3182" s="74">
        <v>34466</v>
      </c>
      <c r="N3182" s="77">
        <v>0.83333333333333337</v>
      </c>
      <c r="P3182">
        <v>50.900000000000006</v>
      </c>
      <c r="S3182" s="74">
        <v>36292</v>
      </c>
      <c r="T3182" s="77">
        <v>0.83333333333333337</v>
      </c>
      <c r="V3182">
        <v>57.019999999999996</v>
      </c>
      <c r="X3182" s="42"/>
      <c r="AB3182">
        <v>59</v>
      </c>
      <c r="AC3182">
        <v>66.02</v>
      </c>
      <c r="AE3182" s="74"/>
      <c r="AF3182" s="77"/>
      <c r="AH3182" s="497">
        <v>57.2</v>
      </c>
      <c r="AJ3182" s="42"/>
      <c r="AK3182" s="74"/>
      <c r="AL3182" s="77"/>
      <c r="AN3182" s="497">
        <v>62.06</v>
      </c>
      <c r="AP3182" s="42"/>
      <c r="AQ3182" s="74"/>
      <c r="AR3182" s="77"/>
      <c r="AT3182" s="497">
        <v>69.98</v>
      </c>
      <c r="AV3182" s="42"/>
      <c r="AW3182" s="74"/>
      <c r="AX3182" s="77"/>
      <c r="BA3182" s="497">
        <v>66.02</v>
      </c>
      <c r="BB3182" s="42"/>
      <c r="BC3182" s="74"/>
      <c r="BD3182" s="77"/>
      <c r="BF3182">
        <v>53.06</v>
      </c>
      <c r="BH3182" s="42"/>
      <c r="BI3182" s="74"/>
      <c r="BJ3182" s="77"/>
      <c r="BL3182" s="497">
        <v>55.040000000000006</v>
      </c>
      <c r="BN3182" s="42"/>
      <c r="BO3182" s="74"/>
      <c r="BP3182" s="77"/>
      <c r="BR3182" s="497">
        <v>57.019999999999996</v>
      </c>
      <c r="BT3182" s="42"/>
    </row>
    <row r="3183" spans="1:72" x14ac:dyDescent="0.25">
      <c r="A3183" s="90">
        <v>36292</v>
      </c>
      <c r="B3183" s="20">
        <v>0.875</v>
      </c>
      <c r="D3183">
        <v>53.96</v>
      </c>
      <c r="E3183" t="str">
        <f t="shared" si="134"/>
        <v>WEEKDAY</v>
      </c>
      <c r="F3183" t="e">
        <f t="shared" si="135"/>
        <v>#N/A</v>
      </c>
      <c r="G3183" s="74">
        <v>31909</v>
      </c>
      <c r="H3183" s="77">
        <v>0.875</v>
      </c>
      <c r="J3183">
        <v>64.039999999999992</v>
      </c>
      <c r="M3183" s="74">
        <v>34466</v>
      </c>
      <c r="N3183" s="77">
        <v>0.875</v>
      </c>
      <c r="P3183">
        <v>48.92</v>
      </c>
      <c r="S3183" s="74">
        <v>36292</v>
      </c>
      <c r="T3183" s="77">
        <v>0.875</v>
      </c>
      <c r="V3183">
        <v>57.019999999999996</v>
      </c>
      <c r="X3183" s="42"/>
      <c r="AB3183">
        <v>58</v>
      </c>
      <c r="AC3183">
        <v>66.02</v>
      </c>
      <c r="AE3183" s="74"/>
      <c r="AF3183" s="77"/>
      <c r="AH3183" s="497">
        <v>55.400000000000006</v>
      </c>
      <c r="AJ3183" s="42"/>
      <c r="AK3183" s="74"/>
      <c r="AL3183" s="77"/>
      <c r="AN3183" s="497">
        <v>60.980000000000004</v>
      </c>
      <c r="AP3183" s="42"/>
      <c r="AQ3183" s="74"/>
      <c r="AR3183" s="77"/>
      <c r="AT3183" s="497">
        <v>68</v>
      </c>
      <c r="AV3183" s="42"/>
      <c r="AW3183" s="74"/>
      <c r="AX3183" s="77"/>
      <c r="BA3183" s="497">
        <v>64.94</v>
      </c>
      <c r="BB3183" s="42"/>
      <c r="BC3183" s="74"/>
      <c r="BD3183" s="77"/>
      <c r="BF3183">
        <v>51.08</v>
      </c>
      <c r="BH3183" s="42"/>
      <c r="BI3183" s="74"/>
      <c r="BJ3183" s="77"/>
      <c r="BL3183" s="497">
        <v>53.06</v>
      </c>
      <c r="BN3183" s="42"/>
      <c r="BO3183" s="74"/>
      <c r="BP3183" s="77"/>
      <c r="BR3183" s="497">
        <v>55.040000000000006</v>
      </c>
      <c r="BT3183" s="42"/>
    </row>
    <row r="3184" spans="1:72" x14ac:dyDescent="0.25">
      <c r="A3184" s="90">
        <v>36292</v>
      </c>
      <c r="B3184" s="20">
        <v>0.91666666666666663</v>
      </c>
      <c r="D3184">
        <v>53.06</v>
      </c>
      <c r="E3184" t="str">
        <f t="shared" si="134"/>
        <v>WEEKDAY</v>
      </c>
      <c r="F3184" t="e">
        <f t="shared" si="135"/>
        <v>#N/A</v>
      </c>
      <c r="G3184" s="74">
        <v>31909</v>
      </c>
      <c r="H3184" s="77">
        <v>0.91666666666666663</v>
      </c>
      <c r="J3184">
        <v>64.039999999999992</v>
      </c>
      <c r="M3184" s="74">
        <v>34466</v>
      </c>
      <c r="N3184" s="77">
        <v>0.91666666666666663</v>
      </c>
      <c r="P3184">
        <v>48.92</v>
      </c>
      <c r="S3184" s="74">
        <v>36292</v>
      </c>
      <c r="T3184" s="77">
        <v>0.91666666666666663</v>
      </c>
      <c r="V3184">
        <v>57.019999999999996</v>
      </c>
      <c r="X3184" s="42"/>
      <c r="AB3184">
        <v>57.4</v>
      </c>
      <c r="AC3184">
        <v>64.039999999999992</v>
      </c>
      <c r="AE3184" s="74"/>
      <c r="AF3184" s="77"/>
      <c r="AH3184" s="497">
        <v>55.400000000000006</v>
      </c>
      <c r="AJ3184" s="42"/>
      <c r="AK3184" s="74"/>
      <c r="AL3184" s="77"/>
      <c r="AN3184" s="497">
        <v>60.980000000000004</v>
      </c>
      <c r="AP3184" s="42"/>
      <c r="AQ3184" s="74"/>
      <c r="AR3184" s="77"/>
      <c r="AT3184" s="497">
        <v>66.02</v>
      </c>
      <c r="AV3184" s="42"/>
      <c r="AW3184" s="74"/>
      <c r="AX3184" s="77"/>
      <c r="BA3184" s="497">
        <v>69.080000000000013</v>
      </c>
      <c r="BB3184" s="42"/>
      <c r="BC3184" s="74"/>
      <c r="BD3184" s="77"/>
      <c r="BF3184">
        <v>50</v>
      </c>
      <c r="BH3184" s="42"/>
      <c r="BI3184" s="74"/>
      <c r="BJ3184" s="77"/>
      <c r="BL3184" s="497">
        <v>51.980000000000004</v>
      </c>
      <c r="BN3184" s="42"/>
      <c r="BO3184" s="74"/>
      <c r="BP3184" s="77"/>
      <c r="BR3184" s="497">
        <v>55.040000000000006</v>
      </c>
      <c r="BT3184" s="42"/>
    </row>
    <row r="3185" spans="1:72" x14ac:dyDescent="0.25">
      <c r="A3185" s="90">
        <v>36292</v>
      </c>
      <c r="B3185" s="20">
        <v>0.95833333333333337</v>
      </c>
      <c r="D3185">
        <v>51.980000000000004</v>
      </c>
      <c r="E3185" t="str">
        <f t="shared" si="134"/>
        <v>WEEKDAY</v>
      </c>
      <c r="F3185" t="e">
        <f t="shared" si="135"/>
        <v>#N/A</v>
      </c>
      <c r="G3185" s="74">
        <v>31909</v>
      </c>
      <c r="H3185" s="77">
        <v>0.95833333333333337</v>
      </c>
      <c r="J3185">
        <v>62.96</v>
      </c>
      <c r="M3185" s="74">
        <v>34466</v>
      </c>
      <c r="N3185" s="77">
        <v>0.95833333333333337</v>
      </c>
      <c r="P3185">
        <v>48.92</v>
      </c>
      <c r="S3185" s="74">
        <v>36292</v>
      </c>
      <c r="T3185" s="77">
        <v>0.95833333333333337</v>
      </c>
      <c r="V3185">
        <v>55.94</v>
      </c>
      <c r="X3185" s="42"/>
      <c r="AB3185">
        <v>56.8</v>
      </c>
      <c r="AC3185">
        <v>60.980000000000004</v>
      </c>
      <c r="AE3185" s="74"/>
      <c r="AF3185" s="77"/>
      <c r="AH3185" s="497">
        <v>54.5</v>
      </c>
      <c r="AJ3185" s="42"/>
      <c r="AK3185" s="74"/>
      <c r="AL3185" s="77"/>
      <c r="AN3185" s="497">
        <v>60.08</v>
      </c>
      <c r="AP3185" s="42"/>
      <c r="AQ3185" s="74"/>
      <c r="AR3185" s="77"/>
      <c r="AT3185" s="497">
        <v>66.02</v>
      </c>
      <c r="AV3185" s="42"/>
      <c r="AW3185" s="74"/>
      <c r="AX3185" s="77"/>
      <c r="BA3185" s="497">
        <v>69.080000000000013</v>
      </c>
      <c r="BB3185" s="42"/>
      <c r="BC3185" s="74"/>
      <c r="BD3185" s="77"/>
      <c r="BF3185">
        <v>50</v>
      </c>
      <c r="BH3185" s="42"/>
      <c r="BI3185" s="74"/>
      <c r="BJ3185" s="77"/>
      <c r="BL3185" s="497">
        <v>46.94</v>
      </c>
      <c r="BN3185" s="42"/>
      <c r="BO3185" s="74"/>
      <c r="BP3185" s="77"/>
      <c r="BR3185" s="497">
        <v>53.96</v>
      </c>
      <c r="BT3185" s="42"/>
    </row>
    <row r="3186" spans="1:72" x14ac:dyDescent="0.25">
      <c r="A3186" s="90">
        <v>36292</v>
      </c>
      <c r="B3186" s="20">
        <v>1</v>
      </c>
      <c r="D3186">
        <v>50</v>
      </c>
      <c r="E3186" t="str">
        <f t="shared" si="134"/>
        <v>WEEKDAY</v>
      </c>
      <c r="F3186" t="e">
        <f t="shared" si="135"/>
        <v>#N/A</v>
      </c>
      <c r="G3186" s="74">
        <v>31909</v>
      </c>
      <c r="H3186" s="77">
        <v>1</v>
      </c>
      <c r="J3186">
        <v>60.980000000000004</v>
      </c>
      <c r="M3186" s="74">
        <v>34466</v>
      </c>
      <c r="N3186" s="80">
        <v>1</v>
      </c>
      <c r="P3186">
        <v>47.84</v>
      </c>
      <c r="S3186" s="74">
        <v>36292</v>
      </c>
      <c r="T3186" s="80">
        <v>1</v>
      </c>
      <c r="V3186">
        <v>57.92</v>
      </c>
      <c r="X3186" s="42"/>
      <c r="AB3186">
        <v>56.3</v>
      </c>
      <c r="AC3186">
        <v>60.08</v>
      </c>
      <c r="AE3186" s="74"/>
      <c r="AF3186" s="80"/>
      <c r="AH3186" s="497">
        <v>53.6</v>
      </c>
      <c r="AJ3186" s="42"/>
      <c r="AK3186" s="74"/>
      <c r="AL3186" s="80"/>
      <c r="AN3186" s="497">
        <v>57.92</v>
      </c>
      <c r="AP3186" s="42"/>
      <c r="AQ3186" s="74"/>
      <c r="AR3186" s="80"/>
      <c r="AT3186" s="497">
        <v>64.94</v>
      </c>
      <c r="AV3186" s="42"/>
      <c r="AW3186" s="74"/>
      <c r="AX3186" s="80"/>
      <c r="BA3186" s="497">
        <v>68</v>
      </c>
      <c r="BB3186" s="42"/>
      <c r="BC3186" s="74"/>
      <c r="BD3186" s="80"/>
      <c r="BF3186">
        <v>50</v>
      </c>
      <c r="BH3186" s="42"/>
      <c r="BI3186" s="74"/>
      <c r="BJ3186" s="80"/>
      <c r="BL3186" s="497">
        <v>46.94</v>
      </c>
      <c r="BN3186" s="42"/>
      <c r="BO3186" s="74"/>
      <c r="BP3186" s="80"/>
      <c r="BR3186" s="497">
        <v>53.06</v>
      </c>
      <c r="BT3186" s="42"/>
    </row>
    <row r="3187" spans="1:72" x14ac:dyDescent="0.25">
      <c r="A3187" s="90">
        <v>36293</v>
      </c>
      <c r="B3187" s="20">
        <v>4.1666666666666664E-2</v>
      </c>
      <c r="D3187">
        <v>51.08</v>
      </c>
      <c r="E3187" t="str">
        <f t="shared" si="134"/>
        <v>WEEKDAY</v>
      </c>
      <c r="F3187" t="e">
        <f t="shared" si="135"/>
        <v>#N/A</v>
      </c>
      <c r="G3187" s="74">
        <v>31910</v>
      </c>
      <c r="H3187" s="77">
        <v>4.1666666666666664E-2</v>
      </c>
      <c r="J3187">
        <v>60.980000000000004</v>
      </c>
      <c r="M3187" s="74">
        <v>34467</v>
      </c>
      <c r="N3187" s="77">
        <v>4.1666666666666664E-2</v>
      </c>
      <c r="P3187">
        <v>46.76</v>
      </c>
      <c r="S3187" s="74">
        <v>36293</v>
      </c>
      <c r="T3187" s="77">
        <v>4.1666666666666664E-2</v>
      </c>
      <c r="V3187">
        <v>60.08</v>
      </c>
      <c r="X3187" s="42"/>
      <c r="AB3187">
        <v>55.8</v>
      </c>
      <c r="AC3187">
        <v>57.92</v>
      </c>
      <c r="AE3187" s="74"/>
      <c r="AF3187" s="77"/>
      <c r="AH3187" s="497">
        <v>53.42</v>
      </c>
      <c r="AJ3187" s="42"/>
      <c r="AK3187" s="74"/>
      <c r="AL3187" s="77"/>
      <c r="AN3187" s="497">
        <v>57.019999999999996</v>
      </c>
      <c r="AP3187" s="42"/>
      <c r="AQ3187" s="74"/>
      <c r="AR3187" s="77"/>
      <c r="AT3187" s="497">
        <v>64.94</v>
      </c>
      <c r="AV3187" s="42"/>
      <c r="AW3187" s="74"/>
      <c r="AX3187" s="77"/>
      <c r="BA3187" s="497">
        <v>68</v>
      </c>
      <c r="BB3187" s="42"/>
      <c r="BC3187" s="74"/>
      <c r="BD3187" s="77"/>
      <c r="BF3187">
        <v>50</v>
      </c>
      <c r="BH3187" s="42"/>
      <c r="BI3187" s="74"/>
      <c r="BJ3187" s="77"/>
      <c r="BL3187" s="497">
        <v>41</v>
      </c>
      <c r="BN3187" s="42"/>
      <c r="BO3187" s="74"/>
      <c r="BP3187" s="77"/>
      <c r="BR3187" s="497">
        <v>51.980000000000004</v>
      </c>
      <c r="BT3187" s="42"/>
    </row>
    <row r="3188" spans="1:72" x14ac:dyDescent="0.25">
      <c r="A3188" s="90">
        <v>36293</v>
      </c>
      <c r="B3188" s="20">
        <v>8.3333333333333329E-2</v>
      </c>
      <c r="D3188">
        <v>50</v>
      </c>
      <c r="E3188" t="str">
        <f t="shared" si="134"/>
        <v>WEEKDAY</v>
      </c>
      <c r="F3188" t="e">
        <f t="shared" si="135"/>
        <v>#N/A</v>
      </c>
      <c r="G3188" s="74">
        <v>31910</v>
      </c>
      <c r="H3188" s="77">
        <v>8.3333333333333329E-2</v>
      </c>
      <c r="J3188">
        <v>57.92</v>
      </c>
      <c r="M3188" s="74">
        <v>34467</v>
      </c>
      <c r="N3188" s="77">
        <v>8.3333333333333329E-2</v>
      </c>
      <c r="P3188">
        <v>45.86</v>
      </c>
      <c r="S3188" s="74">
        <v>36293</v>
      </c>
      <c r="T3188" s="77">
        <v>8.3333333333333329E-2</v>
      </c>
      <c r="V3188">
        <v>60.08</v>
      </c>
      <c r="X3188" s="42"/>
      <c r="AB3188">
        <v>55.2</v>
      </c>
      <c r="AC3188">
        <v>55.94</v>
      </c>
      <c r="AE3188" s="74"/>
      <c r="AF3188" s="77"/>
      <c r="AH3188" s="497">
        <v>53.24</v>
      </c>
      <c r="AJ3188" s="42"/>
      <c r="AK3188" s="74"/>
      <c r="AL3188" s="77"/>
      <c r="AN3188" s="497">
        <v>55.040000000000006</v>
      </c>
      <c r="AP3188" s="42"/>
      <c r="AQ3188" s="74"/>
      <c r="AR3188" s="77"/>
      <c r="AT3188" s="497">
        <v>66.02</v>
      </c>
      <c r="AV3188" s="42"/>
      <c r="AW3188" s="74"/>
      <c r="AX3188" s="77"/>
      <c r="BA3188" s="497">
        <v>68</v>
      </c>
      <c r="BB3188" s="42"/>
      <c r="BC3188" s="74"/>
      <c r="BD3188" s="77"/>
      <c r="BF3188">
        <v>48.92</v>
      </c>
      <c r="BH3188" s="42"/>
      <c r="BI3188" s="74"/>
      <c r="BJ3188" s="77"/>
      <c r="BL3188" s="497">
        <v>39.019999999999996</v>
      </c>
      <c r="BN3188" s="42"/>
      <c r="BO3188" s="74"/>
      <c r="BP3188" s="77"/>
      <c r="BR3188" s="497">
        <v>53.06</v>
      </c>
      <c r="BT3188" s="42"/>
    </row>
    <row r="3189" spans="1:72" x14ac:dyDescent="0.25">
      <c r="A3189" s="90">
        <v>36293</v>
      </c>
      <c r="B3189" s="20">
        <v>0.125</v>
      </c>
      <c r="D3189">
        <v>48.92</v>
      </c>
      <c r="E3189" t="str">
        <f t="shared" si="134"/>
        <v>WEEKDAY</v>
      </c>
      <c r="F3189" t="e">
        <f t="shared" si="135"/>
        <v>#N/A</v>
      </c>
      <c r="G3189" s="74">
        <v>31910</v>
      </c>
      <c r="H3189" s="77">
        <v>0.125</v>
      </c>
      <c r="J3189">
        <v>55.94</v>
      </c>
      <c r="M3189" s="74">
        <v>34467</v>
      </c>
      <c r="N3189" s="77">
        <v>0.125</v>
      </c>
      <c r="P3189">
        <v>45.86</v>
      </c>
      <c r="S3189" s="74">
        <v>36293</v>
      </c>
      <c r="T3189" s="77">
        <v>0.125</v>
      </c>
      <c r="V3189">
        <v>59</v>
      </c>
      <c r="X3189" s="42"/>
      <c r="AB3189">
        <v>54.7</v>
      </c>
      <c r="AC3189">
        <v>55.040000000000006</v>
      </c>
      <c r="AE3189" s="74"/>
      <c r="AF3189" s="77"/>
      <c r="AH3189" s="497">
        <v>53.6</v>
      </c>
      <c r="AJ3189" s="42"/>
      <c r="AK3189" s="74"/>
      <c r="AL3189" s="77"/>
      <c r="AN3189" s="497">
        <v>55.040000000000006</v>
      </c>
      <c r="AP3189" s="42"/>
      <c r="AQ3189" s="74"/>
      <c r="AR3189" s="77"/>
      <c r="AT3189" s="497">
        <v>66.02</v>
      </c>
      <c r="AV3189" s="42"/>
      <c r="AW3189" s="74"/>
      <c r="AX3189" s="77"/>
      <c r="BA3189" s="497">
        <v>68</v>
      </c>
      <c r="BB3189" s="42"/>
      <c r="BC3189" s="74"/>
      <c r="BD3189" s="77"/>
      <c r="BF3189">
        <v>46.94</v>
      </c>
      <c r="BH3189" s="42"/>
      <c r="BI3189" s="74"/>
      <c r="BJ3189" s="77"/>
      <c r="BL3189" s="497">
        <v>39.92</v>
      </c>
      <c r="BN3189" s="42"/>
      <c r="BO3189" s="74"/>
      <c r="BP3189" s="77"/>
      <c r="BR3189" s="497">
        <v>51.980000000000004</v>
      </c>
      <c r="BT3189" s="42"/>
    </row>
    <row r="3190" spans="1:72" x14ac:dyDescent="0.25">
      <c r="A3190" s="90">
        <v>36293</v>
      </c>
      <c r="B3190" s="20">
        <v>0.16666666666666666</v>
      </c>
      <c r="D3190">
        <v>48.019999999999996</v>
      </c>
      <c r="E3190" t="str">
        <f t="shared" si="134"/>
        <v>WEEKDAY</v>
      </c>
      <c r="F3190" t="e">
        <f t="shared" si="135"/>
        <v>#N/A</v>
      </c>
      <c r="G3190" s="74">
        <v>31910</v>
      </c>
      <c r="H3190" s="77">
        <v>0.16666666666666666</v>
      </c>
      <c r="J3190">
        <v>53.96</v>
      </c>
      <c r="M3190" s="74">
        <v>34467</v>
      </c>
      <c r="N3190" s="77">
        <v>0.16666666666666666</v>
      </c>
      <c r="P3190">
        <v>43.879999999999995</v>
      </c>
      <c r="S3190" s="74">
        <v>36293</v>
      </c>
      <c r="T3190" s="77">
        <v>0.16666666666666666</v>
      </c>
      <c r="V3190">
        <v>57.92</v>
      </c>
      <c r="X3190" s="42"/>
      <c r="AB3190">
        <v>54.3</v>
      </c>
      <c r="AC3190">
        <v>53.06</v>
      </c>
      <c r="AE3190" s="74"/>
      <c r="AF3190" s="77"/>
      <c r="AH3190" s="497">
        <v>53.6</v>
      </c>
      <c r="AJ3190" s="42"/>
      <c r="AK3190" s="74"/>
      <c r="AL3190" s="77"/>
      <c r="AN3190" s="497">
        <v>55.94</v>
      </c>
      <c r="AP3190" s="42"/>
      <c r="AQ3190" s="74"/>
      <c r="AR3190" s="77"/>
      <c r="AT3190" s="497">
        <v>64.94</v>
      </c>
      <c r="AV3190" s="42"/>
      <c r="AW3190" s="74"/>
      <c r="AX3190" s="77"/>
      <c r="BA3190" s="497">
        <v>66.92</v>
      </c>
      <c r="BB3190" s="42"/>
      <c r="BC3190" s="74"/>
      <c r="BD3190" s="77"/>
      <c r="BF3190">
        <v>48.019999999999996</v>
      </c>
      <c r="BH3190" s="42"/>
      <c r="BI3190" s="74"/>
      <c r="BJ3190" s="77"/>
      <c r="BL3190" s="497">
        <v>39.92</v>
      </c>
      <c r="BN3190" s="42"/>
      <c r="BO3190" s="74"/>
      <c r="BP3190" s="77"/>
      <c r="BR3190" s="497">
        <v>51.980000000000004</v>
      </c>
      <c r="BT3190" s="42"/>
    </row>
    <row r="3191" spans="1:72" x14ac:dyDescent="0.25">
      <c r="A3191" s="90">
        <v>36293</v>
      </c>
      <c r="B3191" s="20">
        <v>0.20833333333333334</v>
      </c>
      <c r="D3191">
        <v>48.019999999999996</v>
      </c>
      <c r="E3191" t="str">
        <f t="shared" si="134"/>
        <v>WEEKDAY</v>
      </c>
      <c r="F3191" t="e">
        <f t="shared" si="135"/>
        <v>#N/A</v>
      </c>
      <c r="G3191" s="74">
        <v>31910</v>
      </c>
      <c r="H3191" s="77">
        <v>0.20833333333333334</v>
      </c>
      <c r="J3191">
        <v>51.980000000000004</v>
      </c>
      <c r="M3191" s="74">
        <v>34467</v>
      </c>
      <c r="N3191" s="77">
        <v>0.20833333333333334</v>
      </c>
      <c r="P3191">
        <v>43.879999999999995</v>
      </c>
      <c r="S3191" s="74">
        <v>36293</v>
      </c>
      <c r="T3191" s="77">
        <v>0.20833333333333334</v>
      </c>
      <c r="V3191">
        <v>57.019999999999996</v>
      </c>
      <c r="X3191" s="42"/>
      <c r="AB3191">
        <v>53.8</v>
      </c>
      <c r="AC3191">
        <v>51.980000000000004</v>
      </c>
      <c r="AE3191" s="74"/>
      <c r="AF3191" s="77"/>
      <c r="AH3191" s="497">
        <v>55.400000000000006</v>
      </c>
      <c r="AJ3191" s="42"/>
      <c r="AK3191" s="74"/>
      <c r="AL3191" s="77"/>
      <c r="AN3191" s="497">
        <v>55.94</v>
      </c>
      <c r="AP3191" s="42"/>
      <c r="AQ3191" s="74"/>
      <c r="AR3191" s="77"/>
      <c r="AT3191" s="497">
        <v>64.94</v>
      </c>
      <c r="AV3191" s="42"/>
      <c r="AW3191" s="74"/>
      <c r="AX3191" s="77"/>
      <c r="BA3191" s="497">
        <v>62.96</v>
      </c>
      <c r="BB3191" s="42"/>
      <c r="BC3191" s="74"/>
      <c r="BD3191" s="77"/>
      <c r="BF3191">
        <v>48.019999999999996</v>
      </c>
      <c r="BH3191" s="42"/>
      <c r="BI3191" s="74"/>
      <c r="BJ3191" s="77"/>
      <c r="BL3191" s="497">
        <v>41</v>
      </c>
      <c r="BN3191" s="42"/>
      <c r="BO3191" s="74"/>
      <c r="BP3191" s="77"/>
      <c r="BR3191" s="497">
        <v>51.980000000000004</v>
      </c>
      <c r="BT3191" s="42"/>
    </row>
    <row r="3192" spans="1:72" x14ac:dyDescent="0.25">
      <c r="A3192" s="90">
        <v>36293</v>
      </c>
      <c r="B3192" s="20">
        <v>0.25</v>
      </c>
      <c r="D3192">
        <v>48.019999999999996</v>
      </c>
      <c r="E3192" t="str">
        <f t="shared" si="134"/>
        <v>WEEKDAY</v>
      </c>
      <c r="F3192" t="e">
        <f t="shared" si="135"/>
        <v>#N/A</v>
      </c>
      <c r="G3192" s="74">
        <v>31910</v>
      </c>
      <c r="H3192" s="77">
        <v>0.25</v>
      </c>
      <c r="J3192">
        <v>53.06</v>
      </c>
      <c r="M3192" s="74">
        <v>34467</v>
      </c>
      <c r="N3192" s="77">
        <v>0.25</v>
      </c>
      <c r="P3192">
        <v>43.879999999999995</v>
      </c>
      <c r="S3192" s="74">
        <v>36293</v>
      </c>
      <c r="T3192" s="77">
        <v>0.25</v>
      </c>
      <c r="V3192">
        <v>55.040000000000006</v>
      </c>
      <c r="X3192" s="42"/>
      <c r="AB3192">
        <v>53.7</v>
      </c>
      <c r="AC3192">
        <v>51.980000000000004</v>
      </c>
      <c r="AE3192" s="74"/>
      <c r="AF3192" s="77"/>
      <c r="AH3192" s="497">
        <v>55.400000000000006</v>
      </c>
      <c r="AJ3192" s="42"/>
      <c r="AK3192" s="74"/>
      <c r="AL3192" s="77"/>
      <c r="AN3192" s="497">
        <v>55.94</v>
      </c>
      <c r="AP3192" s="42"/>
      <c r="AQ3192" s="74"/>
      <c r="AR3192" s="77"/>
      <c r="AT3192" s="497">
        <v>64.94</v>
      </c>
      <c r="AV3192" s="42"/>
      <c r="AW3192" s="74"/>
      <c r="AX3192" s="77"/>
      <c r="BA3192" s="497">
        <v>66.02</v>
      </c>
      <c r="BB3192" s="42"/>
      <c r="BC3192" s="74"/>
      <c r="BD3192" s="77"/>
      <c r="BF3192">
        <v>46.94</v>
      </c>
      <c r="BH3192" s="42"/>
      <c r="BI3192" s="74"/>
      <c r="BJ3192" s="77"/>
      <c r="BL3192" s="497">
        <v>44.06</v>
      </c>
      <c r="BN3192" s="42"/>
      <c r="BO3192" s="74"/>
      <c r="BP3192" s="77"/>
      <c r="BR3192" s="497">
        <v>53.06</v>
      </c>
      <c r="BT3192" s="42"/>
    </row>
    <row r="3193" spans="1:72" x14ac:dyDescent="0.25">
      <c r="A3193" s="90">
        <v>36293</v>
      </c>
      <c r="B3193" s="20">
        <v>0.29166666666666669</v>
      </c>
      <c r="D3193">
        <v>48.92</v>
      </c>
      <c r="E3193" t="str">
        <f t="shared" si="134"/>
        <v>WEEKDAY</v>
      </c>
      <c r="F3193" t="e">
        <f t="shared" si="135"/>
        <v>#N/A</v>
      </c>
      <c r="G3193" s="74">
        <v>31910</v>
      </c>
      <c r="H3193" s="77">
        <v>0.29166666666666669</v>
      </c>
      <c r="J3193">
        <v>55.040000000000006</v>
      </c>
      <c r="M3193" s="74">
        <v>34467</v>
      </c>
      <c r="N3193" s="77">
        <v>0.29166666666666669</v>
      </c>
      <c r="P3193">
        <v>45.86</v>
      </c>
      <c r="S3193" s="74">
        <v>36293</v>
      </c>
      <c r="T3193" s="77">
        <v>0.29166666666666669</v>
      </c>
      <c r="V3193">
        <v>53.06</v>
      </c>
      <c r="X3193" s="42"/>
      <c r="AB3193">
        <v>54.9</v>
      </c>
      <c r="AC3193">
        <v>53.06</v>
      </c>
      <c r="AE3193" s="74"/>
      <c r="AF3193" s="77"/>
      <c r="AH3193" s="497">
        <v>56.84</v>
      </c>
      <c r="AJ3193" s="42"/>
      <c r="AK3193" s="74"/>
      <c r="AL3193" s="77"/>
      <c r="AN3193" s="497">
        <v>59</v>
      </c>
      <c r="AP3193" s="42"/>
      <c r="AQ3193" s="74"/>
      <c r="AR3193" s="77"/>
      <c r="AT3193" s="497">
        <v>66.02</v>
      </c>
      <c r="AV3193" s="42"/>
      <c r="AW3193" s="74"/>
      <c r="AX3193" s="77"/>
      <c r="BA3193" s="497">
        <v>69.080000000000013</v>
      </c>
      <c r="BB3193" s="42"/>
      <c r="BC3193" s="74"/>
      <c r="BD3193" s="77"/>
      <c r="BF3193">
        <v>51.980000000000004</v>
      </c>
      <c r="BH3193" s="42"/>
      <c r="BI3193" s="74"/>
      <c r="BJ3193" s="77"/>
      <c r="BL3193" s="497">
        <v>51.08</v>
      </c>
      <c r="BN3193" s="42"/>
      <c r="BO3193" s="74"/>
      <c r="BP3193" s="77"/>
      <c r="BR3193" s="497">
        <v>53.06</v>
      </c>
      <c r="BT3193" s="42"/>
    </row>
    <row r="3194" spans="1:72" x14ac:dyDescent="0.25">
      <c r="A3194" s="90">
        <v>36293</v>
      </c>
      <c r="B3194" s="20">
        <v>0.33333333333333331</v>
      </c>
      <c r="D3194">
        <v>51.08</v>
      </c>
      <c r="E3194" t="str">
        <f t="shared" si="134"/>
        <v>WEEKDAY</v>
      </c>
      <c r="F3194" t="e">
        <f t="shared" si="135"/>
        <v>#N/A</v>
      </c>
      <c r="G3194" s="74">
        <v>31910</v>
      </c>
      <c r="H3194" s="77">
        <v>0.33333333333333331</v>
      </c>
      <c r="J3194">
        <v>57.019999999999996</v>
      </c>
      <c r="M3194" s="74">
        <v>34467</v>
      </c>
      <c r="N3194" s="77">
        <v>0.33333333333333331</v>
      </c>
      <c r="P3194">
        <v>46.94</v>
      </c>
      <c r="S3194" s="74">
        <v>36293</v>
      </c>
      <c r="T3194" s="77">
        <v>0.33333333333333331</v>
      </c>
      <c r="V3194">
        <v>55.94</v>
      </c>
      <c r="X3194" s="42"/>
      <c r="AB3194">
        <v>56.6</v>
      </c>
      <c r="AC3194">
        <v>55.94</v>
      </c>
      <c r="AE3194" s="74"/>
      <c r="AF3194" s="77"/>
      <c r="AH3194" s="497">
        <v>57.2</v>
      </c>
      <c r="AJ3194" s="42"/>
      <c r="AK3194" s="74"/>
      <c r="AL3194" s="77"/>
      <c r="AN3194" s="497">
        <v>62.96</v>
      </c>
      <c r="AP3194" s="42"/>
      <c r="AQ3194" s="74"/>
      <c r="AR3194" s="77"/>
      <c r="AT3194" s="497">
        <v>68</v>
      </c>
      <c r="AV3194" s="42"/>
      <c r="AW3194" s="74"/>
      <c r="AX3194" s="77"/>
      <c r="BA3194" s="497">
        <v>73.039999999999992</v>
      </c>
      <c r="BB3194" s="42"/>
      <c r="BC3194" s="74"/>
      <c r="BD3194" s="77"/>
      <c r="BF3194">
        <v>57.019999999999996</v>
      </c>
      <c r="BH3194" s="42"/>
      <c r="BI3194" s="74"/>
      <c r="BJ3194" s="77"/>
      <c r="BL3194" s="497">
        <v>57.92</v>
      </c>
      <c r="BN3194" s="42"/>
      <c r="BO3194" s="74"/>
      <c r="BP3194" s="77"/>
      <c r="BR3194" s="497">
        <v>53.96</v>
      </c>
      <c r="BT3194" s="42"/>
    </row>
    <row r="3195" spans="1:72" x14ac:dyDescent="0.25">
      <c r="A3195" s="90">
        <v>36293</v>
      </c>
      <c r="B3195" s="20">
        <v>0.375</v>
      </c>
      <c r="D3195">
        <v>53.06</v>
      </c>
      <c r="E3195" t="str">
        <f t="shared" si="134"/>
        <v>WEEKDAY</v>
      </c>
      <c r="F3195" t="e">
        <f t="shared" si="135"/>
        <v>#N/A</v>
      </c>
      <c r="G3195" s="74">
        <v>31910</v>
      </c>
      <c r="H3195" s="77">
        <v>0.375</v>
      </c>
      <c r="J3195">
        <v>59</v>
      </c>
      <c r="M3195" s="74">
        <v>34467</v>
      </c>
      <c r="N3195" s="77">
        <v>0.375</v>
      </c>
      <c r="P3195">
        <v>50</v>
      </c>
      <c r="S3195" s="74">
        <v>36293</v>
      </c>
      <c r="T3195" s="77">
        <v>0.375</v>
      </c>
      <c r="V3195">
        <v>57.019999999999996</v>
      </c>
      <c r="X3195" s="42"/>
      <c r="AB3195">
        <v>58.6</v>
      </c>
      <c r="AC3195">
        <v>57.019999999999996</v>
      </c>
      <c r="AE3195" s="74"/>
      <c r="AF3195" s="77"/>
      <c r="AH3195" s="497">
        <v>60.8</v>
      </c>
      <c r="AJ3195" s="42"/>
      <c r="AK3195" s="74"/>
      <c r="AL3195" s="77"/>
      <c r="AN3195" s="497">
        <v>68</v>
      </c>
      <c r="AP3195" s="42"/>
      <c r="AQ3195" s="74"/>
      <c r="AR3195" s="77"/>
      <c r="AT3195" s="497">
        <v>69.98</v>
      </c>
      <c r="AV3195" s="42"/>
      <c r="AW3195" s="74"/>
      <c r="AX3195" s="77"/>
      <c r="BA3195" s="497">
        <v>75.02</v>
      </c>
      <c r="BB3195" s="42"/>
      <c r="BC3195" s="74"/>
      <c r="BD3195" s="77"/>
      <c r="BF3195">
        <v>60.08</v>
      </c>
      <c r="BH3195" s="42"/>
      <c r="BI3195" s="74"/>
      <c r="BJ3195" s="77"/>
      <c r="BL3195" s="497">
        <v>64.039999999999992</v>
      </c>
      <c r="BN3195" s="42"/>
      <c r="BO3195" s="74"/>
      <c r="BP3195" s="77"/>
      <c r="BR3195" s="497">
        <v>55.94</v>
      </c>
      <c r="BT3195" s="42"/>
    </row>
    <row r="3196" spans="1:72" x14ac:dyDescent="0.25">
      <c r="A3196" s="90">
        <v>36293</v>
      </c>
      <c r="B3196" s="20">
        <v>0.41666666666666669</v>
      </c>
      <c r="D3196">
        <v>55.040000000000006</v>
      </c>
      <c r="E3196" t="str">
        <f t="shared" si="134"/>
        <v>WEEKDAY</v>
      </c>
      <c r="F3196" t="e">
        <f t="shared" si="135"/>
        <v>#N/A</v>
      </c>
      <c r="G3196" s="74">
        <v>31910</v>
      </c>
      <c r="H3196" s="77">
        <v>0.41666666666666669</v>
      </c>
      <c r="J3196">
        <v>59</v>
      </c>
      <c r="M3196" s="74">
        <v>34467</v>
      </c>
      <c r="N3196" s="77">
        <v>0.41666666666666669</v>
      </c>
      <c r="P3196">
        <v>51.980000000000004</v>
      </c>
      <c r="S3196" s="74">
        <v>36293</v>
      </c>
      <c r="T3196" s="77">
        <v>0.41666666666666669</v>
      </c>
      <c r="V3196">
        <v>59</v>
      </c>
      <c r="X3196" s="42"/>
      <c r="AB3196">
        <v>60.4</v>
      </c>
      <c r="AC3196">
        <v>57.92</v>
      </c>
      <c r="AE3196" s="74"/>
      <c r="AF3196" s="77"/>
      <c r="AH3196" s="497">
        <v>60.8</v>
      </c>
      <c r="AJ3196" s="42"/>
      <c r="AK3196" s="74"/>
      <c r="AL3196" s="77"/>
      <c r="AN3196" s="497">
        <v>71.960000000000008</v>
      </c>
      <c r="AP3196" s="42"/>
      <c r="AQ3196" s="74"/>
      <c r="AR3196" s="77"/>
      <c r="AT3196" s="497">
        <v>75.92</v>
      </c>
      <c r="AV3196" s="42"/>
      <c r="AW3196" s="74"/>
      <c r="AX3196" s="77"/>
      <c r="BA3196" s="497">
        <v>77</v>
      </c>
      <c r="BB3196" s="42"/>
      <c r="BC3196" s="74"/>
      <c r="BD3196" s="77"/>
      <c r="BF3196">
        <v>64.039999999999992</v>
      </c>
      <c r="BH3196" s="42"/>
      <c r="BI3196" s="74"/>
      <c r="BJ3196" s="77"/>
      <c r="BL3196" s="497">
        <v>66.92</v>
      </c>
      <c r="BN3196" s="42"/>
      <c r="BO3196" s="74"/>
      <c r="BP3196" s="77"/>
      <c r="BR3196" s="497">
        <v>57.92</v>
      </c>
      <c r="BT3196" s="42"/>
    </row>
    <row r="3197" spans="1:72" x14ac:dyDescent="0.25">
      <c r="A3197" s="90">
        <v>36293</v>
      </c>
      <c r="B3197" s="20">
        <v>0.45833333333333331</v>
      </c>
      <c r="D3197">
        <v>57.019999999999996</v>
      </c>
      <c r="E3197" t="str">
        <f t="shared" si="134"/>
        <v>WEEKDAY</v>
      </c>
      <c r="F3197" t="e">
        <f t="shared" si="135"/>
        <v>#N/A</v>
      </c>
      <c r="G3197" s="74">
        <v>31910</v>
      </c>
      <c r="H3197" s="77">
        <v>0.45833333333333331</v>
      </c>
      <c r="J3197">
        <v>60.08</v>
      </c>
      <c r="M3197" s="74">
        <v>34467</v>
      </c>
      <c r="N3197" s="77">
        <v>0.45833333333333331</v>
      </c>
      <c r="P3197">
        <v>53.96</v>
      </c>
      <c r="S3197" s="74">
        <v>36293</v>
      </c>
      <c r="T3197" s="77">
        <v>0.45833333333333331</v>
      </c>
      <c r="V3197">
        <v>60.980000000000004</v>
      </c>
      <c r="X3197" s="42"/>
      <c r="AB3197">
        <v>62</v>
      </c>
      <c r="AC3197">
        <v>60.08</v>
      </c>
      <c r="AE3197" s="74"/>
      <c r="AF3197" s="77"/>
      <c r="AH3197" s="497">
        <v>64.400000000000006</v>
      </c>
      <c r="AJ3197" s="42"/>
      <c r="AK3197" s="74"/>
      <c r="AL3197" s="77"/>
      <c r="AN3197" s="497">
        <v>73.94</v>
      </c>
      <c r="AP3197" s="42"/>
      <c r="AQ3197" s="74"/>
      <c r="AR3197" s="77"/>
      <c r="AT3197" s="497">
        <v>78.98</v>
      </c>
      <c r="AV3197" s="42"/>
      <c r="AW3197" s="74"/>
      <c r="AX3197" s="77"/>
      <c r="BA3197" s="497">
        <v>78.080000000000013</v>
      </c>
      <c r="BB3197" s="42"/>
      <c r="BC3197" s="74"/>
      <c r="BD3197" s="77"/>
      <c r="BF3197">
        <v>66.02</v>
      </c>
      <c r="BH3197" s="42"/>
      <c r="BI3197" s="74"/>
      <c r="BJ3197" s="77"/>
      <c r="BL3197" s="497">
        <v>69.98</v>
      </c>
      <c r="BN3197" s="42"/>
      <c r="BO3197" s="74"/>
      <c r="BP3197" s="77"/>
      <c r="BR3197" s="497">
        <v>60.980000000000004</v>
      </c>
      <c r="BT3197" s="42"/>
    </row>
    <row r="3198" spans="1:72" x14ac:dyDescent="0.25">
      <c r="A3198" s="90">
        <v>36293</v>
      </c>
      <c r="B3198" s="20">
        <v>0.5</v>
      </c>
      <c r="D3198">
        <v>60.08</v>
      </c>
      <c r="E3198" t="str">
        <f t="shared" si="134"/>
        <v>WEEKDAY</v>
      </c>
      <c r="F3198" t="e">
        <f t="shared" si="135"/>
        <v>#N/A</v>
      </c>
      <c r="G3198" s="74">
        <v>31910</v>
      </c>
      <c r="H3198" s="77">
        <v>0.5</v>
      </c>
      <c r="J3198">
        <v>62.06</v>
      </c>
      <c r="M3198" s="74">
        <v>34467</v>
      </c>
      <c r="N3198" s="77">
        <v>0.5</v>
      </c>
      <c r="P3198">
        <v>55.94</v>
      </c>
      <c r="S3198" s="74">
        <v>36293</v>
      </c>
      <c r="T3198" s="77">
        <v>0.5</v>
      </c>
      <c r="V3198">
        <v>62.96</v>
      </c>
      <c r="X3198" s="42"/>
      <c r="AB3198">
        <v>63.1</v>
      </c>
      <c r="AC3198">
        <v>62.06</v>
      </c>
      <c r="AE3198" s="74"/>
      <c r="AF3198" s="77"/>
      <c r="AH3198" s="497">
        <v>66.2</v>
      </c>
      <c r="AJ3198" s="42"/>
      <c r="AK3198" s="74"/>
      <c r="AL3198" s="77"/>
      <c r="AN3198" s="497">
        <v>75.02</v>
      </c>
      <c r="AP3198" s="42"/>
      <c r="AQ3198" s="74"/>
      <c r="AR3198" s="77"/>
      <c r="AT3198" s="497">
        <v>82.039999999999992</v>
      </c>
      <c r="AV3198" s="42"/>
      <c r="AW3198" s="74"/>
      <c r="AX3198" s="77"/>
      <c r="BA3198" s="497">
        <v>78.98</v>
      </c>
      <c r="BB3198" s="42"/>
      <c r="BC3198" s="74"/>
      <c r="BD3198" s="77"/>
      <c r="BF3198">
        <v>69.080000000000013</v>
      </c>
      <c r="BH3198" s="42"/>
      <c r="BI3198" s="74"/>
      <c r="BJ3198" s="77"/>
      <c r="BL3198" s="497">
        <v>73.039999999999992</v>
      </c>
      <c r="BN3198" s="42"/>
      <c r="BO3198" s="74"/>
      <c r="BP3198" s="77"/>
      <c r="BR3198" s="497">
        <v>64.94</v>
      </c>
      <c r="BT3198" s="42"/>
    </row>
    <row r="3199" spans="1:72" x14ac:dyDescent="0.25">
      <c r="A3199" s="90">
        <v>36293</v>
      </c>
      <c r="B3199" s="20">
        <v>0.54166666666666663</v>
      </c>
      <c r="D3199">
        <v>60.980000000000004</v>
      </c>
      <c r="E3199" t="str">
        <f t="shared" si="134"/>
        <v>WEEKDAY</v>
      </c>
      <c r="F3199" t="e">
        <f t="shared" si="135"/>
        <v>#N/A</v>
      </c>
      <c r="G3199" s="74">
        <v>31910</v>
      </c>
      <c r="H3199" s="77">
        <v>0.54166666666666663</v>
      </c>
      <c r="J3199">
        <v>62.96</v>
      </c>
      <c r="M3199" s="74">
        <v>34467</v>
      </c>
      <c r="N3199" s="77">
        <v>0.54166666666666663</v>
      </c>
      <c r="P3199">
        <v>57.92</v>
      </c>
      <c r="S3199" s="74">
        <v>36293</v>
      </c>
      <c r="T3199" s="77">
        <v>0.54166666666666663</v>
      </c>
      <c r="V3199">
        <v>59</v>
      </c>
      <c r="X3199" s="42"/>
      <c r="AB3199">
        <v>64</v>
      </c>
      <c r="AC3199">
        <v>64.039999999999992</v>
      </c>
      <c r="AE3199" s="74"/>
      <c r="AF3199" s="77"/>
      <c r="AH3199" s="497">
        <v>69.800000000000011</v>
      </c>
      <c r="AJ3199" s="42"/>
      <c r="AK3199" s="74"/>
      <c r="AL3199" s="77"/>
      <c r="AN3199" s="497">
        <v>77</v>
      </c>
      <c r="AP3199" s="42"/>
      <c r="AQ3199" s="74"/>
      <c r="AR3199" s="77"/>
      <c r="AT3199" s="497">
        <v>84.02</v>
      </c>
      <c r="AV3199" s="42"/>
      <c r="AW3199" s="74"/>
      <c r="AX3199" s="77"/>
      <c r="BA3199" s="497">
        <v>80.960000000000008</v>
      </c>
      <c r="BB3199" s="42"/>
      <c r="BC3199" s="74"/>
      <c r="BD3199" s="77"/>
      <c r="BF3199">
        <v>71.06</v>
      </c>
      <c r="BH3199" s="42"/>
      <c r="BI3199" s="74"/>
      <c r="BJ3199" s="77"/>
      <c r="BL3199" s="497">
        <v>75.02</v>
      </c>
      <c r="BN3199" s="42"/>
      <c r="BO3199" s="74"/>
      <c r="BP3199" s="77"/>
      <c r="BR3199" s="497">
        <v>66.92</v>
      </c>
      <c r="BT3199" s="42"/>
    </row>
    <row r="3200" spans="1:72" x14ac:dyDescent="0.25">
      <c r="A3200" s="90">
        <v>36293</v>
      </c>
      <c r="B3200" s="20">
        <v>0.58333333333333337</v>
      </c>
      <c r="D3200">
        <v>62.96</v>
      </c>
      <c r="E3200" t="str">
        <f t="shared" si="134"/>
        <v>WEEKDAY</v>
      </c>
      <c r="F3200" t="e">
        <f t="shared" si="135"/>
        <v>#N/A</v>
      </c>
      <c r="G3200" s="74">
        <v>31910</v>
      </c>
      <c r="H3200" s="77">
        <v>0.58333333333333337</v>
      </c>
      <c r="J3200">
        <v>64.039999999999992</v>
      </c>
      <c r="M3200" s="74">
        <v>34467</v>
      </c>
      <c r="N3200" s="77">
        <v>0.58333333333333337</v>
      </c>
      <c r="P3200">
        <v>59</v>
      </c>
      <c r="S3200" s="74">
        <v>36293</v>
      </c>
      <c r="T3200" s="77">
        <v>0.58333333333333337</v>
      </c>
      <c r="V3200">
        <v>57.92</v>
      </c>
      <c r="X3200" s="42"/>
      <c r="AB3200">
        <v>64.400000000000006</v>
      </c>
      <c r="AC3200">
        <v>64.94</v>
      </c>
      <c r="AE3200" s="74"/>
      <c r="AF3200" s="77"/>
      <c r="AH3200" s="497">
        <v>71.599999999999994</v>
      </c>
      <c r="AJ3200" s="42"/>
      <c r="AK3200" s="74"/>
      <c r="AL3200" s="77"/>
      <c r="AN3200" s="497">
        <v>75.02</v>
      </c>
      <c r="AP3200" s="42"/>
      <c r="AQ3200" s="74"/>
      <c r="AR3200" s="77"/>
      <c r="AT3200" s="497">
        <v>84.92</v>
      </c>
      <c r="AV3200" s="42"/>
      <c r="AW3200" s="74"/>
      <c r="AX3200" s="77"/>
      <c r="BA3200" s="497">
        <v>80.06</v>
      </c>
      <c r="BB3200" s="42"/>
      <c r="BC3200" s="74"/>
      <c r="BD3200" s="77"/>
      <c r="BF3200">
        <v>71.06</v>
      </c>
      <c r="BH3200" s="42"/>
      <c r="BI3200" s="74"/>
      <c r="BJ3200" s="77"/>
      <c r="BL3200" s="497">
        <v>75.02</v>
      </c>
      <c r="BN3200" s="42"/>
      <c r="BO3200" s="74"/>
      <c r="BP3200" s="77"/>
      <c r="BR3200" s="497">
        <v>69.98</v>
      </c>
      <c r="BT3200" s="42"/>
    </row>
    <row r="3201" spans="1:72" x14ac:dyDescent="0.25">
      <c r="A3201" s="90">
        <v>36293</v>
      </c>
      <c r="B3201" s="20">
        <v>0.625</v>
      </c>
      <c r="D3201">
        <v>62.96</v>
      </c>
      <c r="E3201" t="str">
        <f t="shared" si="134"/>
        <v>WEEKDAY</v>
      </c>
      <c r="F3201" t="e">
        <f t="shared" si="135"/>
        <v>#N/A</v>
      </c>
      <c r="G3201" s="74">
        <v>31910</v>
      </c>
      <c r="H3201" s="77">
        <v>0.625</v>
      </c>
      <c r="J3201">
        <v>64.039999999999992</v>
      </c>
      <c r="M3201" s="74">
        <v>34467</v>
      </c>
      <c r="N3201" s="77">
        <v>0.625</v>
      </c>
      <c r="P3201">
        <v>59</v>
      </c>
      <c r="S3201" s="74">
        <v>36293</v>
      </c>
      <c r="T3201" s="77">
        <v>0.625</v>
      </c>
      <c r="V3201">
        <v>57.92</v>
      </c>
      <c r="X3201" s="42"/>
      <c r="AB3201">
        <v>64.2</v>
      </c>
      <c r="AC3201">
        <v>64.94</v>
      </c>
      <c r="AE3201" s="74"/>
      <c r="AF3201" s="77"/>
      <c r="AH3201" s="497">
        <v>73.400000000000006</v>
      </c>
      <c r="AJ3201" s="42"/>
      <c r="AK3201" s="74"/>
      <c r="AL3201" s="77"/>
      <c r="AN3201" s="497">
        <v>51.08</v>
      </c>
      <c r="AP3201" s="42"/>
      <c r="AQ3201" s="74"/>
      <c r="AR3201" s="77"/>
      <c r="AT3201" s="497">
        <v>84.92</v>
      </c>
      <c r="AV3201" s="42"/>
      <c r="AW3201" s="74"/>
      <c r="AX3201" s="77"/>
      <c r="BA3201" s="497">
        <v>77</v>
      </c>
      <c r="BB3201" s="42"/>
      <c r="BC3201" s="74"/>
      <c r="BD3201" s="77"/>
      <c r="BF3201">
        <v>73.039999999999992</v>
      </c>
      <c r="BH3201" s="42"/>
      <c r="BI3201" s="74"/>
      <c r="BJ3201" s="77"/>
      <c r="BL3201" s="497">
        <v>75.92</v>
      </c>
      <c r="BN3201" s="42"/>
      <c r="BO3201" s="74"/>
      <c r="BP3201" s="77"/>
      <c r="BR3201" s="497">
        <v>68</v>
      </c>
      <c r="BT3201" s="42"/>
    </row>
    <row r="3202" spans="1:72" x14ac:dyDescent="0.25">
      <c r="A3202" s="90">
        <v>36293</v>
      </c>
      <c r="B3202" s="20">
        <v>0.66666666666666663</v>
      </c>
      <c r="D3202">
        <v>62.96</v>
      </c>
      <c r="E3202" t="str">
        <f t="shared" si="134"/>
        <v>WEEKDAY</v>
      </c>
      <c r="F3202" t="e">
        <f t="shared" si="135"/>
        <v>#N/A</v>
      </c>
      <c r="G3202" s="74">
        <v>31910</v>
      </c>
      <c r="H3202" s="77">
        <v>0.66666666666666663</v>
      </c>
      <c r="J3202">
        <v>62.96</v>
      </c>
      <c r="M3202" s="74">
        <v>34467</v>
      </c>
      <c r="N3202" s="77">
        <v>0.66666666666666663</v>
      </c>
      <c r="P3202">
        <v>59.900000000000006</v>
      </c>
      <c r="S3202" s="74">
        <v>36293</v>
      </c>
      <c r="T3202" s="77">
        <v>0.66666666666666663</v>
      </c>
      <c r="V3202">
        <v>57.019999999999996</v>
      </c>
      <c r="X3202" s="42"/>
      <c r="AB3202">
        <v>63.8</v>
      </c>
      <c r="AC3202">
        <v>66.02</v>
      </c>
      <c r="AE3202" s="74"/>
      <c r="AF3202" s="77"/>
      <c r="AH3202" s="497">
        <v>71.599999999999994</v>
      </c>
      <c r="AJ3202" s="42"/>
      <c r="AK3202" s="74"/>
      <c r="AL3202" s="77"/>
      <c r="AN3202" s="497">
        <v>50</v>
      </c>
      <c r="AP3202" s="42"/>
      <c r="AQ3202" s="74"/>
      <c r="AR3202" s="77"/>
      <c r="AT3202" s="497">
        <v>84.02</v>
      </c>
      <c r="AV3202" s="42"/>
      <c r="AW3202" s="74"/>
      <c r="AX3202" s="77"/>
      <c r="BA3202" s="497">
        <v>75.02</v>
      </c>
      <c r="BB3202" s="42"/>
      <c r="BC3202" s="74"/>
      <c r="BD3202" s="77"/>
      <c r="BF3202">
        <v>73.039999999999992</v>
      </c>
      <c r="BH3202" s="42"/>
      <c r="BI3202" s="74"/>
      <c r="BJ3202" s="77"/>
      <c r="BL3202" s="497">
        <v>75.02</v>
      </c>
      <c r="BN3202" s="42"/>
      <c r="BO3202" s="74"/>
      <c r="BP3202" s="77"/>
      <c r="BR3202" s="497">
        <v>71.06</v>
      </c>
      <c r="BT3202" s="42"/>
    </row>
    <row r="3203" spans="1:72" x14ac:dyDescent="0.25">
      <c r="A3203" s="90">
        <v>36293</v>
      </c>
      <c r="B3203" s="20">
        <v>0.70833333333333337</v>
      </c>
      <c r="D3203">
        <v>62.06</v>
      </c>
      <c r="E3203" t="str">
        <f t="shared" si="134"/>
        <v>WEEKDAY</v>
      </c>
      <c r="F3203" t="e">
        <f t="shared" si="135"/>
        <v>#N/A</v>
      </c>
      <c r="G3203" s="74">
        <v>31910</v>
      </c>
      <c r="H3203" s="77">
        <v>0.70833333333333337</v>
      </c>
      <c r="J3203">
        <v>60.980000000000004</v>
      </c>
      <c r="M3203" s="74">
        <v>34467</v>
      </c>
      <c r="N3203" s="77">
        <v>0.70833333333333337</v>
      </c>
      <c r="P3203">
        <v>57.92</v>
      </c>
      <c r="S3203" s="74">
        <v>36293</v>
      </c>
      <c r="T3203" s="77">
        <v>0.70833333333333337</v>
      </c>
      <c r="V3203">
        <v>57.019999999999996</v>
      </c>
      <c r="X3203" s="42"/>
      <c r="AB3203">
        <v>63.1</v>
      </c>
      <c r="AC3203">
        <v>66.02</v>
      </c>
      <c r="AE3203" s="74"/>
      <c r="AF3203" s="77"/>
      <c r="AH3203" s="497">
        <v>69.800000000000011</v>
      </c>
      <c r="AJ3203" s="42"/>
      <c r="AK3203" s="74"/>
      <c r="AL3203" s="77"/>
      <c r="AN3203" s="497">
        <v>48.019999999999996</v>
      </c>
      <c r="AP3203" s="42"/>
      <c r="AQ3203" s="74"/>
      <c r="AR3203" s="77"/>
      <c r="AT3203" s="497">
        <v>82.94</v>
      </c>
      <c r="AV3203" s="42"/>
      <c r="AW3203" s="74"/>
      <c r="AX3203" s="77"/>
      <c r="BA3203" s="497">
        <v>75.02</v>
      </c>
      <c r="BB3203" s="42"/>
      <c r="BC3203" s="74"/>
      <c r="BD3203" s="77"/>
      <c r="BF3203">
        <v>69.98</v>
      </c>
      <c r="BH3203" s="42"/>
      <c r="BI3203" s="74"/>
      <c r="BJ3203" s="77"/>
      <c r="BL3203" s="497">
        <v>71.960000000000008</v>
      </c>
      <c r="BN3203" s="42"/>
      <c r="BO3203" s="74"/>
      <c r="BP3203" s="77"/>
      <c r="BR3203" s="497">
        <v>69.98</v>
      </c>
      <c r="BT3203" s="42"/>
    </row>
    <row r="3204" spans="1:72" x14ac:dyDescent="0.25">
      <c r="A3204" s="90">
        <v>36293</v>
      </c>
      <c r="B3204" s="20">
        <v>0.75</v>
      </c>
      <c r="D3204">
        <v>60.980000000000004</v>
      </c>
      <c r="E3204" t="str">
        <f t="shared" si="134"/>
        <v>WEEKDAY</v>
      </c>
      <c r="F3204" t="e">
        <f t="shared" si="135"/>
        <v>#N/A</v>
      </c>
      <c r="G3204" s="74">
        <v>31910</v>
      </c>
      <c r="H3204" s="77">
        <v>0.75</v>
      </c>
      <c r="J3204">
        <v>57.92</v>
      </c>
      <c r="M3204" s="74">
        <v>34467</v>
      </c>
      <c r="N3204" s="77">
        <v>0.75</v>
      </c>
      <c r="P3204">
        <v>56.84</v>
      </c>
      <c r="S3204" s="74">
        <v>36293</v>
      </c>
      <c r="T3204" s="77">
        <v>0.75</v>
      </c>
      <c r="V3204">
        <v>55.040000000000006</v>
      </c>
      <c r="X3204" s="42"/>
      <c r="AB3204">
        <v>62</v>
      </c>
      <c r="AC3204">
        <v>64.039999999999992</v>
      </c>
      <c r="AE3204" s="74"/>
      <c r="AF3204" s="77"/>
      <c r="AH3204" s="497">
        <v>68</v>
      </c>
      <c r="AJ3204" s="42"/>
      <c r="AK3204" s="74"/>
      <c r="AL3204" s="77"/>
      <c r="AN3204" s="497">
        <v>48.019999999999996</v>
      </c>
      <c r="AP3204" s="42"/>
      <c r="AQ3204" s="74"/>
      <c r="AR3204" s="77"/>
      <c r="AT3204" s="497">
        <v>80.960000000000008</v>
      </c>
      <c r="AV3204" s="42"/>
      <c r="AW3204" s="74"/>
      <c r="AX3204" s="77"/>
      <c r="BA3204" s="497">
        <v>73.039999999999992</v>
      </c>
      <c r="BB3204" s="42"/>
      <c r="BC3204" s="74"/>
      <c r="BD3204" s="77"/>
      <c r="BF3204">
        <v>69.080000000000013</v>
      </c>
      <c r="BH3204" s="42"/>
      <c r="BI3204" s="74"/>
      <c r="BJ3204" s="77"/>
      <c r="BL3204" s="497">
        <v>69.080000000000013</v>
      </c>
      <c r="BN3204" s="42"/>
      <c r="BO3204" s="74"/>
      <c r="BP3204" s="77"/>
      <c r="BR3204" s="497">
        <v>69.080000000000013</v>
      </c>
      <c r="BT3204" s="42"/>
    </row>
    <row r="3205" spans="1:72" x14ac:dyDescent="0.25">
      <c r="A3205" s="90">
        <v>36293</v>
      </c>
      <c r="B3205" s="20">
        <v>0.79166666666666663</v>
      </c>
      <c r="D3205">
        <v>57.92</v>
      </c>
      <c r="E3205" t="str">
        <f t="shared" si="134"/>
        <v>WEEKDAY</v>
      </c>
      <c r="F3205" t="e">
        <f t="shared" si="135"/>
        <v>#N/A</v>
      </c>
      <c r="G3205" s="74">
        <v>31910</v>
      </c>
      <c r="H3205" s="77">
        <v>0.79166666666666663</v>
      </c>
      <c r="J3205">
        <v>55.94</v>
      </c>
      <c r="M3205" s="74">
        <v>34467</v>
      </c>
      <c r="N3205" s="77">
        <v>0.79166666666666663</v>
      </c>
      <c r="P3205">
        <v>53.96</v>
      </c>
      <c r="S3205" s="74">
        <v>36293</v>
      </c>
      <c r="T3205" s="77">
        <v>0.79166666666666663</v>
      </c>
      <c r="V3205">
        <v>53.96</v>
      </c>
      <c r="X3205" s="42"/>
      <c r="AB3205">
        <v>60.6</v>
      </c>
      <c r="AC3205">
        <v>60.980000000000004</v>
      </c>
      <c r="AE3205" s="74"/>
      <c r="AF3205" s="77"/>
      <c r="AH3205" s="497">
        <v>66.2</v>
      </c>
      <c r="AJ3205" s="42"/>
      <c r="AK3205" s="74"/>
      <c r="AL3205" s="77"/>
      <c r="AN3205" s="497">
        <v>46.94</v>
      </c>
      <c r="AP3205" s="42"/>
      <c r="AQ3205" s="74"/>
      <c r="AR3205" s="77"/>
      <c r="AT3205" s="497">
        <v>77</v>
      </c>
      <c r="AV3205" s="42"/>
      <c r="AW3205" s="74"/>
      <c r="AX3205" s="77"/>
      <c r="BA3205" s="497">
        <v>69.98</v>
      </c>
      <c r="BB3205" s="42"/>
      <c r="BC3205" s="74"/>
      <c r="BD3205" s="77"/>
      <c r="BF3205">
        <v>66.92</v>
      </c>
      <c r="BH3205" s="42"/>
      <c r="BI3205" s="74"/>
      <c r="BJ3205" s="77"/>
      <c r="BL3205" s="497">
        <v>66.92</v>
      </c>
      <c r="BN3205" s="42"/>
      <c r="BO3205" s="74"/>
      <c r="BP3205" s="77"/>
      <c r="BR3205" s="497">
        <v>66.92</v>
      </c>
      <c r="BT3205" s="42"/>
    </row>
    <row r="3206" spans="1:72" x14ac:dyDescent="0.25">
      <c r="A3206" s="90">
        <v>36293</v>
      </c>
      <c r="B3206" s="20">
        <v>0.83333333333333337</v>
      </c>
      <c r="D3206">
        <v>55.94</v>
      </c>
      <c r="E3206" t="str">
        <f t="shared" si="134"/>
        <v>WEEKDAY</v>
      </c>
      <c r="F3206" t="e">
        <f t="shared" si="135"/>
        <v>#N/A</v>
      </c>
      <c r="G3206" s="74">
        <v>31910</v>
      </c>
      <c r="H3206" s="77">
        <v>0.83333333333333337</v>
      </c>
      <c r="J3206">
        <v>53.96</v>
      </c>
      <c r="M3206" s="74">
        <v>34467</v>
      </c>
      <c r="N3206" s="77">
        <v>0.83333333333333337</v>
      </c>
      <c r="P3206">
        <v>51.980000000000004</v>
      </c>
      <c r="S3206" s="74">
        <v>36293</v>
      </c>
      <c r="T3206" s="77">
        <v>0.83333333333333337</v>
      </c>
      <c r="V3206">
        <v>53.06</v>
      </c>
      <c r="X3206" s="42"/>
      <c r="AB3206">
        <v>59.2</v>
      </c>
      <c r="AC3206">
        <v>59</v>
      </c>
      <c r="AE3206" s="74"/>
      <c r="AF3206" s="77"/>
      <c r="AH3206" s="497">
        <v>62.6</v>
      </c>
      <c r="AJ3206" s="42"/>
      <c r="AK3206" s="74"/>
      <c r="AL3206" s="77"/>
      <c r="AN3206" s="497">
        <v>46.04</v>
      </c>
      <c r="AP3206" s="42"/>
      <c r="AQ3206" s="74"/>
      <c r="AR3206" s="77"/>
      <c r="AT3206" s="497">
        <v>73.039999999999992</v>
      </c>
      <c r="AV3206" s="42"/>
      <c r="AW3206" s="74"/>
      <c r="AX3206" s="77"/>
      <c r="BA3206" s="497">
        <v>66.02</v>
      </c>
      <c r="BB3206" s="42"/>
      <c r="BC3206" s="74"/>
      <c r="BD3206" s="77"/>
      <c r="BF3206">
        <v>64.94</v>
      </c>
      <c r="BH3206" s="42"/>
      <c r="BI3206" s="74"/>
      <c r="BJ3206" s="77"/>
      <c r="BL3206" s="497">
        <v>62.96</v>
      </c>
      <c r="BN3206" s="42"/>
      <c r="BO3206" s="74"/>
      <c r="BP3206" s="77"/>
      <c r="BR3206" s="497">
        <v>62.96</v>
      </c>
      <c r="BT3206" s="42"/>
    </row>
    <row r="3207" spans="1:72" x14ac:dyDescent="0.25">
      <c r="A3207" s="90">
        <v>36293</v>
      </c>
      <c r="B3207" s="20">
        <v>0.875</v>
      </c>
      <c r="D3207">
        <v>55.040000000000006</v>
      </c>
      <c r="E3207" t="str">
        <f t="shared" si="134"/>
        <v>WEEKDAY</v>
      </c>
      <c r="F3207" t="e">
        <f t="shared" si="135"/>
        <v>#N/A</v>
      </c>
      <c r="G3207" s="74">
        <v>31910</v>
      </c>
      <c r="H3207" s="77">
        <v>0.875</v>
      </c>
      <c r="J3207">
        <v>51.08</v>
      </c>
      <c r="M3207" s="74">
        <v>34467</v>
      </c>
      <c r="N3207" s="77">
        <v>0.875</v>
      </c>
      <c r="P3207">
        <v>50</v>
      </c>
      <c r="S3207" s="74">
        <v>36293</v>
      </c>
      <c r="T3207" s="77">
        <v>0.875</v>
      </c>
      <c r="V3207">
        <v>51.980000000000004</v>
      </c>
      <c r="X3207" s="42"/>
      <c r="AB3207">
        <v>58.3</v>
      </c>
      <c r="AC3207">
        <v>57.019999999999996</v>
      </c>
      <c r="AE3207" s="74"/>
      <c r="AF3207" s="77"/>
      <c r="AH3207" s="497">
        <v>60.8</v>
      </c>
      <c r="AJ3207" s="42"/>
      <c r="AK3207" s="74"/>
      <c r="AL3207" s="77"/>
      <c r="AN3207" s="497">
        <v>46.04</v>
      </c>
      <c r="AP3207" s="42"/>
      <c r="AQ3207" s="74"/>
      <c r="AR3207" s="77"/>
      <c r="AT3207" s="497">
        <v>69.98</v>
      </c>
      <c r="AV3207" s="42"/>
      <c r="AW3207" s="74"/>
      <c r="AX3207" s="77"/>
      <c r="BA3207" s="497">
        <v>64.039999999999992</v>
      </c>
      <c r="BB3207" s="42"/>
      <c r="BC3207" s="74"/>
      <c r="BD3207" s="77"/>
      <c r="BF3207">
        <v>62.96</v>
      </c>
      <c r="BH3207" s="42"/>
      <c r="BI3207" s="74"/>
      <c r="BJ3207" s="77"/>
      <c r="BL3207" s="497">
        <v>60.08</v>
      </c>
      <c r="BN3207" s="42"/>
      <c r="BO3207" s="74"/>
      <c r="BP3207" s="77"/>
      <c r="BR3207" s="497">
        <v>60.08</v>
      </c>
      <c r="BT3207" s="42"/>
    </row>
    <row r="3208" spans="1:72" x14ac:dyDescent="0.25">
      <c r="A3208" s="90">
        <v>36293</v>
      </c>
      <c r="B3208" s="20">
        <v>0.91666666666666663</v>
      </c>
      <c r="D3208">
        <v>53.96</v>
      </c>
      <c r="E3208" t="str">
        <f t="shared" si="134"/>
        <v>WEEKDAY</v>
      </c>
      <c r="F3208" t="e">
        <f t="shared" si="135"/>
        <v>#N/A</v>
      </c>
      <c r="G3208" s="74">
        <v>31910</v>
      </c>
      <c r="H3208" s="77">
        <v>0.91666666666666663</v>
      </c>
      <c r="J3208">
        <v>50</v>
      </c>
      <c r="M3208" s="74">
        <v>34467</v>
      </c>
      <c r="N3208" s="77">
        <v>0.91666666666666663</v>
      </c>
      <c r="P3208">
        <v>47.84</v>
      </c>
      <c r="S3208" s="74">
        <v>36293</v>
      </c>
      <c r="T3208" s="77">
        <v>0.91666666666666663</v>
      </c>
      <c r="V3208">
        <v>50</v>
      </c>
      <c r="X3208" s="42"/>
      <c r="AB3208">
        <v>57.7</v>
      </c>
      <c r="AC3208">
        <v>53.96</v>
      </c>
      <c r="AE3208" s="74"/>
      <c r="AF3208" s="77"/>
      <c r="AH3208" s="497">
        <v>60.620000000000005</v>
      </c>
      <c r="AJ3208" s="42"/>
      <c r="AK3208" s="74"/>
      <c r="AL3208" s="77"/>
      <c r="AN3208" s="497">
        <v>44.96</v>
      </c>
      <c r="AP3208" s="42"/>
      <c r="AQ3208" s="74"/>
      <c r="AR3208" s="77"/>
      <c r="AT3208" s="497">
        <v>69.080000000000013</v>
      </c>
      <c r="AV3208" s="42"/>
      <c r="AW3208" s="74"/>
      <c r="AX3208" s="77"/>
      <c r="BA3208" s="497">
        <v>62.06</v>
      </c>
      <c r="BB3208" s="42"/>
      <c r="BC3208" s="74"/>
      <c r="BD3208" s="77"/>
      <c r="BF3208">
        <v>64.94</v>
      </c>
      <c r="BH3208" s="42"/>
      <c r="BI3208" s="74"/>
      <c r="BJ3208" s="77"/>
      <c r="BL3208" s="497">
        <v>59</v>
      </c>
      <c r="BN3208" s="42"/>
      <c r="BO3208" s="74"/>
      <c r="BP3208" s="77"/>
      <c r="BR3208" s="497">
        <v>57.92</v>
      </c>
      <c r="BT3208" s="42"/>
    </row>
    <row r="3209" spans="1:72" x14ac:dyDescent="0.25">
      <c r="A3209" s="90">
        <v>36293</v>
      </c>
      <c r="B3209" s="20">
        <v>0.95833333333333337</v>
      </c>
      <c r="D3209">
        <v>53.96</v>
      </c>
      <c r="E3209" t="str">
        <f t="shared" si="134"/>
        <v>WEEKDAY</v>
      </c>
      <c r="F3209" t="e">
        <f t="shared" si="135"/>
        <v>#N/A</v>
      </c>
      <c r="G3209" s="74">
        <v>31910</v>
      </c>
      <c r="H3209" s="77">
        <v>0.95833333333333337</v>
      </c>
      <c r="J3209">
        <v>48.92</v>
      </c>
      <c r="M3209" s="74">
        <v>34467</v>
      </c>
      <c r="N3209" s="77">
        <v>0.95833333333333337</v>
      </c>
      <c r="P3209">
        <v>47.84</v>
      </c>
      <c r="S3209" s="74">
        <v>36293</v>
      </c>
      <c r="T3209" s="77">
        <v>0.95833333333333337</v>
      </c>
      <c r="V3209">
        <v>50</v>
      </c>
      <c r="X3209" s="42"/>
      <c r="AB3209">
        <v>57.1</v>
      </c>
      <c r="AC3209">
        <v>51.980000000000004</v>
      </c>
      <c r="AE3209" s="74"/>
      <c r="AF3209" s="77"/>
      <c r="AH3209" s="497">
        <v>60.8</v>
      </c>
      <c r="AJ3209" s="42"/>
      <c r="AK3209" s="74"/>
      <c r="AL3209" s="77"/>
      <c r="AN3209" s="497">
        <v>42.980000000000004</v>
      </c>
      <c r="AP3209" s="42"/>
      <c r="AQ3209" s="74"/>
      <c r="AR3209" s="77"/>
      <c r="AT3209" s="497">
        <v>64.94</v>
      </c>
      <c r="AV3209" s="42"/>
      <c r="AW3209" s="74"/>
      <c r="AX3209" s="77"/>
      <c r="BA3209" s="497">
        <v>57.92</v>
      </c>
      <c r="BB3209" s="42"/>
      <c r="BC3209" s="74"/>
      <c r="BD3209" s="77"/>
      <c r="BF3209">
        <v>64.94</v>
      </c>
      <c r="BH3209" s="42"/>
      <c r="BI3209" s="74"/>
      <c r="BJ3209" s="77"/>
      <c r="BL3209" s="497">
        <v>57.019999999999996</v>
      </c>
      <c r="BN3209" s="42"/>
      <c r="BO3209" s="74"/>
      <c r="BP3209" s="77"/>
      <c r="BR3209" s="497">
        <v>57.019999999999996</v>
      </c>
      <c r="BT3209" s="42"/>
    </row>
    <row r="3210" spans="1:72" x14ac:dyDescent="0.25">
      <c r="A3210" s="90">
        <v>36293</v>
      </c>
      <c r="B3210" s="20">
        <v>1</v>
      </c>
      <c r="D3210">
        <v>53.06</v>
      </c>
      <c r="E3210" t="str">
        <f t="shared" si="134"/>
        <v>WEEKDAY</v>
      </c>
      <c r="F3210" t="e">
        <f t="shared" si="135"/>
        <v>#N/A</v>
      </c>
      <c r="G3210" s="74">
        <v>31910</v>
      </c>
      <c r="H3210" s="77">
        <v>1</v>
      </c>
      <c r="J3210">
        <v>48.92</v>
      </c>
      <c r="M3210" s="74">
        <v>34467</v>
      </c>
      <c r="N3210" s="80">
        <v>1</v>
      </c>
      <c r="P3210">
        <v>44.96</v>
      </c>
      <c r="S3210" s="74">
        <v>36293</v>
      </c>
      <c r="T3210" s="80">
        <v>1</v>
      </c>
      <c r="V3210">
        <v>48.92</v>
      </c>
      <c r="X3210" s="42"/>
      <c r="AB3210">
        <v>56.5</v>
      </c>
      <c r="AC3210">
        <v>51.980000000000004</v>
      </c>
      <c r="AE3210" s="74"/>
      <c r="AF3210" s="80"/>
      <c r="AH3210" s="497">
        <v>57.2</v>
      </c>
      <c r="AJ3210" s="42"/>
      <c r="AK3210" s="74"/>
      <c r="AL3210" s="80"/>
      <c r="AN3210" s="497">
        <v>42.980000000000004</v>
      </c>
      <c r="AP3210" s="42"/>
      <c r="AQ3210" s="74"/>
      <c r="AR3210" s="80"/>
      <c r="AT3210" s="497">
        <v>66.02</v>
      </c>
      <c r="AV3210" s="42"/>
      <c r="AW3210" s="74"/>
      <c r="AX3210" s="80"/>
      <c r="BA3210" s="497">
        <v>55.94</v>
      </c>
      <c r="BB3210" s="42"/>
      <c r="BC3210" s="74"/>
      <c r="BD3210" s="80"/>
      <c r="BF3210">
        <v>64.039999999999992</v>
      </c>
      <c r="BH3210" s="42"/>
      <c r="BI3210" s="74"/>
      <c r="BJ3210" s="80"/>
      <c r="BL3210" s="497">
        <v>55.94</v>
      </c>
      <c r="BN3210" s="42"/>
      <c r="BO3210" s="74"/>
      <c r="BP3210" s="80"/>
      <c r="BR3210" s="497">
        <v>57.019999999999996</v>
      </c>
      <c r="BT3210" s="42"/>
    </row>
    <row r="3211" spans="1:72" x14ac:dyDescent="0.25">
      <c r="A3211" s="90">
        <v>36294</v>
      </c>
      <c r="B3211" s="20">
        <v>4.1666666666666664E-2</v>
      </c>
      <c r="D3211">
        <v>53.06</v>
      </c>
      <c r="E3211" t="str">
        <f t="shared" si="134"/>
        <v>WEEKDAY</v>
      </c>
      <c r="F3211" t="e">
        <f t="shared" si="135"/>
        <v>#N/A</v>
      </c>
      <c r="G3211" s="74">
        <v>31911</v>
      </c>
      <c r="H3211" s="77">
        <v>4.1666666666666664E-2</v>
      </c>
      <c r="J3211">
        <v>46.94</v>
      </c>
      <c r="M3211" s="74">
        <v>34468</v>
      </c>
      <c r="N3211" s="77">
        <v>4.1666666666666664E-2</v>
      </c>
      <c r="P3211">
        <v>44.96</v>
      </c>
      <c r="S3211" s="74">
        <v>36294</v>
      </c>
      <c r="T3211" s="77">
        <v>4.1666666666666664E-2</v>
      </c>
      <c r="V3211">
        <v>48.019999999999996</v>
      </c>
      <c r="X3211" s="42"/>
      <c r="AB3211">
        <v>56</v>
      </c>
      <c r="AC3211">
        <v>50</v>
      </c>
      <c r="AE3211" s="74"/>
      <c r="AF3211" s="77"/>
      <c r="AH3211" s="497">
        <v>55.400000000000006</v>
      </c>
      <c r="AJ3211" s="42"/>
      <c r="AK3211" s="74"/>
      <c r="AL3211" s="77"/>
      <c r="AN3211" s="497">
        <v>44.96</v>
      </c>
      <c r="AP3211" s="42"/>
      <c r="AQ3211" s="74"/>
      <c r="AR3211" s="77"/>
      <c r="AT3211" s="497">
        <v>62.96</v>
      </c>
      <c r="AV3211" s="42"/>
      <c r="AW3211" s="74"/>
      <c r="AX3211" s="77"/>
      <c r="BA3211" s="497">
        <v>55.040000000000006</v>
      </c>
      <c r="BB3211" s="42"/>
      <c r="BC3211" s="74"/>
      <c r="BD3211" s="77"/>
      <c r="BF3211">
        <v>62.96</v>
      </c>
      <c r="BH3211" s="42"/>
      <c r="BI3211" s="74"/>
      <c r="BJ3211" s="77"/>
      <c r="BL3211" s="497">
        <v>57.019999999999996</v>
      </c>
      <c r="BN3211" s="42"/>
      <c r="BO3211" s="74"/>
      <c r="BP3211" s="77"/>
      <c r="BR3211" s="497">
        <v>57.019999999999996</v>
      </c>
      <c r="BT3211" s="42"/>
    </row>
    <row r="3212" spans="1:72" x14ac:dyDescent="0.25">
      <c r="A3212" s="90">
        <v>36294</v>
      </c>
      <c r="B3212" s="20">
        <v>8.3333333333333329E-2</v>
      </c>
      <c r="D3212">
        <v>51.980000000000004</v>
      </c>
      <c r="E3212" t="str">
        <f t="shared" si="134"/>
        <v>WEEKDAY</v>
      </c>
      <c r="F3212" t="e">
        <f t="shared" si="135"/>
        <v>#N/A</v>
      </c>
      <c r="G3212" s="74">
        <v>31911</v>
      </c>
      <c r="H3212" s="77">
        <v>8.3333333333333329E-2</v>
      </c>
      <c r="J3212">
        <v>46.94</v>
      </c>
      <c r="M3212" s="74">
        <v>34468</v>
      </c>
      <c r="N3212" s="77">
        <v>8.3333333333333329E-2</v>
      </c>
      <c r="P3212">
        <v>44.96</v>
      </c>
      <c r="S3212" s="74">
        <v>36294</v>
      </c>
      <c r="T3212" s="77">
        <v>8.3333333333333329E-2</v>
      </c>
      <c r="V3212">
        <v>46.94</v>
      </c>
      <c r="X3212" s="42"/>
      <c r="AB3212">
        <v>55.4</v>
      </c>
      <c r="AC3212">
        <v>50</v>
      </c>
      <c r="AE3212" s="74"/>
      <c r="AF3212" s="77"/>
      <c r="AH3212" s="497">
        <v>53.6</v>
      </c>
      <c r="AJ3212" s="42"/>
      <c r="AK3212" s="74"/>
      <c r="AL3212" s="77"/>
      <c r="AN3212" s="497">
        <v>44.06</v>
      </c>
      <c r="AP3212" s="42"/>
      <c r="AQ3212" s="74"/>
      <c r="AR3212" s="77"/>
      <c r="AT3212" s="497">
        <v>60.980000000000004</v>
      </c>
      <c r="AV3212" s="42"/>
      <c r="AW3212" s="74"/>
      <c r="AX3212" s="77"/>
      <c r="BA3212" s="497">
        <v>53.06</v>
      </c>
      <c r="BB3212" s="42"/>
      <c r="BC3212" s="74"/>
      <c r="BD3212" s="77"/>
      <c r="BF3212">
        <v>62.06</v>
      </c>
      <c r="BH3212" s="42"/>
      <c r="BI3212" s="74"/>
      <c r="BJ3212" s="77"/>
      <c r="BL3212" s="497">
        <v>55.94</v>
      </c>
      <c r="BN3212" s="42"/>
      <c r="BO3212" s="74"/>
      <c r="BP3212" s="77"/>
      <c r="BR3212" s="497">
        <v>57.019999999999996</v>
      </c>
      <c r="BT3212" s="42"/>
    </row>
    <row r="3213" spans="1:72" x14ac:dyDescent="0.25">
      <c r="A3213" s="90">
        <v>36294</v>
      </c>
      <c r="B3213" s="20">
        <v>0.125</v>
      </c>
      <c r="D3213">
        <v>51.08</v>
      </c>
      <c r="E3213" t="str">
        <f t="shared" si="134"/>
        <v>WEEKDAY</v>
      </c>
      <c r="F3213" t="e">
        <f t="shared" si="135"/>
        <v>#N/A</v>
      </c>
      <c r="G3213" s="74">
        <v>31911</v>
      </c>
      <c r="H3213" s="77">
        <v>0.125</v>
      </c>
      <c r="J3213">
        <v>46.04</v>
      </c>
      <c r="M3213" s="74">
        <v>34468</v>
      </c>
      <c r="N3213" s="77">
        <v>0.125</v>
      </c>
      <c r="P3213">
        <v>41.9</v>
      </c>
      <c r="S3213" s="74">
        <v>36294</v>
      </c>
      <c r="T3213" s="77">
        <v>0.125</v>
      </c>
      <c r="V3213">
        <v>46.04</v>
      </c>
      <c r="X3213" s="42"/>
      <c r="AB3213">
        <v>54.9</v>
      </c>
      <c r="AC3213">
        <v>50</v>
      </c>
      <c r="AE3213" s="74"/>
      <c r="AF3213" s="77"/>
      <c r="AH3213" s="497">
        <v>53.6</v>
      </c>
      <c r="AJ3213" s="42"/>
      <c r="AK3213" s="74"/>
      <c r="AL3213" s="77"/>
      <c r="AN3213" s="497">
        <v>42.08</v>
      </c>
      <c r="AP3213" s="42"/>
      <c r="AQ3213" s="74"/>
      <c r="AR3213" s="77"/>
      <c r="AT3213" s="497">
        <v>59</v>
      </c>
      <c r="AV3213" s="42"/>
      <c r="AW3213" s="74"/>
      <c r="AX3213" s="77"/>
      <c r="BA3213" s="497">
        <v>53.06</v>
      </c>
      <c r="BB3213" s="42"/>
      <c r="BC3213" s="74"/>
      <c r="BD3213" s="77"/>
      <c r="BF3213">
        <v>62.96</v>
      </c>
      <c r="BH3213" s="42"/>
      <c r="BI3213" s="74"/>
      <c r="BJ3213" s="77"/>
      <c r="BL3213" s="497">
        <v>55.94</v>
      </c>
      <c r="BN3213" s="42"/>
      <c r="BO3213" s="74"/>
      <c r="BP3213" s="77"/>
      <c r="BR3213" s="497">
        <v>55.94</v>
      </c>
      <c r="BT3213" s="42"/>
    </row>
    <row r="3214" spans="1:72" x14ac:dyDescent="0.25">
      <c r="A3214" s="90">
        <v>36294</v>
      </c>
      <c r="B3214" s="20">
        <v>0.16666666666666666</v>
      </c>
      <c r="D3214">
        <v>51.08</v>
      </c>
      <c r="E3214" t="str">
        <f t="shared" si="134"/>
        <v>WEEKDAY</v>
      </c>
      <c r="F3214" t="e">
        <f t="shared" si="135"/>
        <v>#N/A</v>
      </c>
      <c r="G3214" s="74">
        <v>31911</v>
      </c>
      <c r="H3214" s="77">
        <v>0.16666666666666666</v>
      </c>
      <c r="J3214">
        <v>44.96</v>
      </c>
      <c r="M3214" s="74">
        <v>34468</v>
      </c>
      <c r="N3214" s="77">
        <v>0.16666666666666666</v>
      </c>
      <c r="P3214">
        <v>42.980000000000004</v>
      </c>
      <c r="S3214" s="74">
        <v>36294</v>
      </c>
      <c r="T3214" s="77">
        <v>0.16666666666666666</v>
      </c>
      <c r="V3214">
        <v>44.96</v>
      </c>
      <c r="X3214" s="42"/>
      <c r="AB3214">
        <v>54.4</v>
      </c>
      <c r="AC3214">
        <v>48.019999999999996</v>
      </c>
      <c r="AE3214" s="74"/>
      <c r="AF3214" s="77"/>
      <c r="AH3214" s="497">
        <v>51.8</v>
      </c>
      <c r="AJ3214" s="42"/>
      <c r="AK3214" s="74"/>
      <c r="AL3214" s="77"/>
      <c r="AN3214" s="497">
        <v>42.08</v>
      </c>
      <c r="AP3214" s="42"/>
      <c r="AQ3214" s="74"/>
      <c r="AR3214" s="77"/>
      <c r="AT3214" s="497">
        <v>57.92</v>
      </c>
      <c r="AV3214" s="42"/>
      <c r="AW3214" s="74"/>
      <c r="AX3214" s="77"/>
      <c r="BA3214" s="497">
        <v>51.08</v>
      </c>
      <c r="BB3214" s="42"/>
      <c r="BC3214" s="74"/>
      <c r="BD3214" s="77"/>
      <c r="BF3214">
        <v>62.96</v>
      </c>
      <c r="BH3214" s="42"/>
      <c r="BI3214" s="74"/>
      <c r="BJ3214" s="77"/>
      <c r="BL3214" s="497">
        <v>55.040000000000006</v>
      </c>
      <c r="BN3214" s="42"/>
      <c r="BO3214" s="74"/>
      <c r="BP3214" s="77"/>
      <c r="BR3214" s="497">
        <v>53.96</v>
      </c>
      <c r="BT3214" s="42"/>
    </row>
    <row r="3215" spans="1:72" x14ac:dyDescent="0.25">
      <c r="A3215" s="90">
        <v>36294</v>
      </c>
      <c r="B3215" s="20">
        <v>0.20833333333333334</v>
      </c>
      <c r="D3215">
        <v>51.08</v>
      </c>
      <c r="E3215" t="str">
        <f t="shared" si="134"/>
        <v>WEEKDAY</v>
      </c>
      <c r="F3215" t="e">
        <f t="shared" si="135"/>
        <v>#N/A</v>
      </c>
      <c r="G3215" s="74">
        <v>31911</v>
      </c>
      <c r="H3215" s="77">
        <v>0.20833333333333334</v>
      </c>
      <c r="J3215">
        <v>44.96</v>
      </c>
      <c r="M3215" s="74">
        <v>34468</v>
      </c>
      <c r="N3215" s="77">
        <v>0.20833333333333334</v>
      </c>
      <c r="P3215">
        <v>41.9</v>
      </c>
      <c r="S3215" s="74">
        <v>36294</v>
      </c>
      <c r="T3215" s="77">
        <v>0.20833333333333334</v>
      </c>
      <c r="V3215">
        <v>46.94</v>
      </c>
      <c r="X3215" s="42"/>
      <c r="AB3215">
        <v>54</v>
      </c>
      <c r="AC3215">
        <v>48.92</v>
      </c>
      <c r="AE3215" s="74"/>
      <c r="AF3215" s="77"/>
      <c r="AH3215" s="497">
        <v>50</v>
      </c>
      <c r="AJ3215" s="42"/>
      <c r="AK3215" s="74"/>
      <c r="AL3215" s="77"/>
      <c r="AN3215" s="497">
        <v>42.08</v>
      </c>
      <c r="AP3215" s="42"/>
      <c r="AQ3215" s="74"/>
      <c r="AR3215" s="77"/>
      <c r="AT3215" s="497">
        <v>57.019999999999996</v>
      </c>
      <c r="AV3215" s="42"/>
      <c r="AW3215" s="74"/>
      <c r="AX3215" s="77"/>
      <c r="BA3215" s="497">
        <v>50</v>
      </c>
      <c r="BB3215" s="42"/>
      <c r="BC3215" s="74"/>
      <c r="BD3215" s="77"/>
      <c r="BF3215">
        <v>62.96</v>
      </c>
      <c r="BH3215" s="42"/>
      <c r="BI3215" s="74"/>
      <c r="BJ3215" s="77"/>
      <c r="BL3215" s="497">
        <v>51.980000000000004</v>
      </c>
      <c r="BN3215" s="42"/>
      <c r="BO3215" s="74"/>
      <c r="BP3215" s="77"/>
      <c r="BR3215" s="497">
        <v>53.96</v>
      </c>
      <c r="BT3215" s="42"/>
    </row>
    <row r="3216" spans="1:72" x14ac:dyDescent="0.25">
      <c r="A3216" s="90">
        <v>36294</v>
      </c>
      <c r="B3216" s="20">
        <v>0.25</v>
      </c>
      <c r="D3216">
        <v>51.08</v>
      </c>
      <c r="E3216" t="str">
        <f t="shared" si="134"/>
        <v>WEEKDAY</v>
      </c>
      <c r="F3216" t="e">
        <f t="shared" si="135"/>
        <v>#N/A</v>
      </c>
      <c r="G3216" s="74">
        <v>31911</v>
      </c>
      <c r="H3216" s="77">
        <v>0.25</v>
      </c>
      <c r="J3216">
        <v>46.94</v>
      </c>
      <c r="M3216" s="74">
        <v>34468</v>
      </c>
      <c r="N3216" s="77">
        <v>0.25</v>
      </c>
      <c r="P3216">
        <v>42.980000000000004</v>
      </c>
      <c r="S3216" s="74">
        <v>36294</v>
      </c>
      <c r="T3216" s="77">
        <v>0.25</v>
      </c>
      <c r="V3216">
        <v>48.92</v>
      </c>
      <c r="X3216" s="42"/>
      <c r="AB3216">
        <v>53.9</v>
      </c>
      <c r="AC3216">
        <v>50</v>
      </c>
      <c r="AE3216" s="74"/>
      <c r="AF3216" s="77"/>
      <c r="AH3216" s="497">
        <v>50</v>
      </c>
      <c r="AJ3216" s="42"/>
      <c r="AK3216" s="74"/>
      <c r="AL3216" s="77"/>
      <c r="AN3216" s="497">
        <v>37.94</v>
      </c>
      <c r="AP3216" s="42"/>
      <c r="AQ3216" s="74"/>
      <c r="AR3216" s="77"/>
      <c r="AT3216" s="497">
        <v>57.019999999999996</v>
      </c>
      <c r="AV3216" s="42"/>
      <c r="AW3216" s="74"/>
      <c r="AX3216" s="77"/>
      <c r="BA3216" s="497">
        <v>55.040000000000006</v>
      </c>
      <c r="BB3216" s="42"/>
      <c r="BC3216" s="74"/>
      <c r="BD3216" s="77"/>
      <c r="BF3216">
        <v>62.96</v>
      </c>
      <c r="BH3216" s="42"/>
      <c r="BI3216" s="74"/>
      <c r="BJ3216" s="77"/>
      <c r="BL3216" s="497">
        <v>57.019999999999996</v>
      </c>
      <c r="BN3216" s="42"/>
      <c r="BO3216" s="74"/>
      <c r="BP3216" s="77"/>
      <c r="BR3216" s="497">
        <v>57.92</v>
      </c>
      <c r="BT3216" s="42"/>
    </row>
    <row r="3217" spans="1:72" x14ac:dyDescent="0.25">
      <c r="A3217" s="90">
        <v>36294</v>
      </c>
      <c r="B3217" s="20">
        <v>0.29166666666666669</v>
      </c>
      <c r="D3217">
        <v>51.980000000000004</v>
      </c>
      <c r="E3217" t="str">
        <f t="shared" si="134"/>
        <v>WEEKDAY</v>
      </c>
      <c r="F3217" t="e">
        <f t="shared" si="135"/>
        <v>#N/A</v>
      </c>
      <c r="G3217" s="74">
        <v>31911</v>
      </c>
      <c r="H3217" s="77">
        <v>0.29166666666666669</v>
      </c>
      <c r="J3217">
        <v>50</v>
      </c>
      <c r="M3217" s="74">
        <v>34468</v>
      </c>
      <c r="N3217" s="77">
        <v>0.29166666666666669</v>
      </c>
      <c r="P3217">
        <v>50</v>
      </c>
      <c r="S3217" s="74">
        <v>36294</v>
      </c>
      <c r="T3217" s="77">
        <v>0.29166666666666669</v>
      </c>
      <c r="V3217">
        <v>51.980000000000004</v>
      </c>
      <c r="X3217" s="42"/>
      <c r="AB3217">
        <v>55.1</v>
      </c>
      <c r="AC3217">
        <v>51.980000000000004</v>
      </c>
      <c r="AE3217" s="74"/>
      <c r="AF3217" s="77"/>
      <c r="AH3217" s="497">
        <v>57.2</v>
      </c>
      <c r="AJ3217" s="42"/>
      <c r="AK3217" s="74"/>
      <c r="AL3217" s="77"/>
      <c r="AN3217" s="497">
        <v>42.980000000000004</v>
      </c>
      <c r="AP3217" s="42"/>
      <c r="AQ3217" s="74"/>
      <c r="AR3217" s="77"/>
      <c r="AT3217" s="497">
        <v>60.08</v>
      </c>
      <c r="AV3217" s="42"/>
      <c r="AW3217" s="74"/>
      <c r="AX3217" s="77"/>
      <c r="BA3217" s="497">
        <v>57.92</v>
      </c>
      <c r="BB3217" s="42"/>
      <c r="BC3217" s="74"/>
      <c r="BD3217" s="77"/>
      <c r="BF3217">
        <v>62.06</v>
      </c>
      <c r="BH3217" s="42"/>
      <c r="BI3217" s="74"/>
      <c r="BJ3217" s="77"/>
      <c r="BL3217" s="497">
        <v>60.08</v>
      </c>
      <c r="BN3217" s="42"/>
      <c r="BO3217" s="74"/>
      <c r="BP3217" s="77"/>
      <c r="BR3217" s="497">
        <v>62.96</v>
      </c>
      <c r="BT3217" s="42"/>
    </row>
    <row r="3218" spans="1:72" x14ac:dyDescent="0.25">
      <c r="A3218" s="90">
        <v>36294</v>
      </c>
      <c r="B3218" s="20">
        <v>0.33333333333333331</v>
      </c>
      <c r="D3218">
        <v>55.040000000000006</v>
      </c>
      <c r="E3218" t="str">
        <f t="shared" si="134"/>
        <v>WEEKDAY</v>
      </c>
      <c r="F3218" t="e">
        <f t="shared" si="135"/>
        <v>#N/A</v>
      </c>
      <c r="G3218" s="74">
        <v>31911</v>
      </c>
      <c r="H3218" s="77">
        <v>0.33333333333333331</v>
      </c>
      <c r="J3218">
        <v>53.06</v>
      </c>
      <c r="M3218" s="74">
        <v>34468</v>
      </c>
      <c r="N3218" s="77">
        <v>0.33333333333333331</v>
      </c>
      <c r="P3218">
        <v>53.96</v>
      </c>
      <c r="S3218" s="74">
        <v>36294</v>
      </c>
      <c r="T3218" s="77">
        <v>0.33333333333333331</v>
      </c>
      <c r="V3218">
        <v>55.040000000000006</v>
      </c>
      <c r="X3218" s="42"/>
      <c r="AB3218">
        <v>56.9</v>
      </c>
      <c r="AC3218">
        <v>57.019999999999996</v>
      </c>
      <c r="AE3218" s="74"/>
      <c r="AF3218" s="77"/>
      <c r="AH3218" s="497">
        <v>55.400000000000006</v>
      </c>
      <c r="AJ3218" s="42"/>
      <c r="AK3218" s="74"/>
      <c r="AL3218" s="77"/>
      <c r="AN3218" s="497">
        <v>46.94</v>
      </c>
      <c r="AP3218" s="42"/>
      <c r="AQ3218" s="74"/>
      <c r="AR3218" s="77"/>
      <c r="AT3218" s="497">
        <v>62.96</v>
      </c>
      <c r="AV3218" s="42"/>
      <c r="AW3218" s="74"/>
      <c r="AX3218" s="77"/>
      <c r="BA3218" s="497">
        <v>60.980000000000004</v>
      </c>
      <c r="BB3218" s="42"/>
      <c r="BC3218" s="74"/>
      <c r="BD3218" s="77"/>
      <c r="BF3218">
        <v>62.06</v>
      </c>
      <c r="BH3218" s="42"/>
      <c r="BI3218" s="74"/>
      <c r="BJ3218" s="77"/>
      <c r="BL3218" s="497">
        <v>60.980000000000004</v>
      </c>
      <c r="BN3218" s="42"/>
      <c r="BO3218" s="74"/>
      <c r="BP3218" s="77"/>
      <c r="BR3218" s="497">
        <v>68</v>
      </c>
      <c r="BT3218" s="42"/>
    </row>
    <row r="3219" spans="1:72" x14ac:dyDescent="0.25">
      <c r="A3219" s="90">
        <v>36294</v>
      </c>
      <c r="B3219" s="20">
        <v>0.375</v>
      </c>
      <c r="D3219">
        <v>57.92</v>
      </c>
      <c r="E3219" t="str">
        <f t="shared" ref="E3219:E3282" si="136">IF(COUNTIF($DI$18:$DI$22, WEEKDAY(A3219))=1, "WEEKDAY", IF(WEEKDAY(A3219) = 1, "SUNDAY", "SATURDAY"))</f>
        <v>WEEKDAY</v>
      </c>
      <c r="F3219" t="e">
        <f t="shared" si="135"/>
        <v>#N/A</v>
      </c>
      <c r="G3219" s="74">
        <v>31911</v>
      </c>
      <c r="H3219" s="77">
        <v>0.375</v>
      </c>
      <c r="J3219">
        <v>57.019999999999996</v>
      </c>
      <c r="M3219" s="74">
        <v>34468</v>
      </c>
      <c r="N3219" s="77">
        <v>0.375</v>
      </c>
      <c r="P3219">
        <v>56.84</v>
      </c>
      <c r="S3219" s="74">
        <v>36294</v>
      </c>
      <c r="T3219" s="77">
        <v>0.375</v>
      </c>
      <c r="V3219">
        <v>57.019999999999996</v>
      </c>
      <c r="X3219" s="42"/>
      <c r="AB3219">
        <v>58.9</v>
      </c>
      <c r="AC3219">
        <v>60.08</v>
      </c>
      <c r="AE3219" s="74"/>
      <c r="AF3219" s="77"/>
      <c r="AH3219" s="497">
        <v>57.2</v>
      </c>
      <c r="AJ3219" s="42"/>
      <c r="AK3219" s="74"/>
      <c r="AL3219" s="77"/>
      <c r="AN3219" s="497">
        <v>51.08</v>
      </c>
      <c r="AP3219" s="42"/>
      <c r="AQ3219" s="74"/>
      <c r="AR3219" s="77"/>
      <c r="AT3219" s="497">
        <v>64.94</v>
      </c>
      <c r="AV3219" s="42"/>
      <c r="AW3219" s="74"/>
      <c r="AX3219" s="77"/>
      <c r="BA3219" s="497">
        <v>62.96</v>
      </c>
      <c r="BB3219" s="42"/>
      <c r="BC3219" s="74"/>
      <c r="BD3219" s="77"/>
      <c r="BF3219">
        <v>62.96</v>
      </c>
      <c r="BH3219" s="42"/>
      <c r="BI3219" s="74"/>
      <c r="BJ3219" s="77"/>
      <c r="BL3219" s="497">
        <v>64.039999999999992</v>
      </c>
      <c r="BN3219" s="42"/>
      <c r="BO3219" s="74"/>
      <c r="BP3219" s="77"/>
      <c r="BR3219" s="497">
        <v>69.98</v>
      </c>
      <c r="BT3219" s="42"/>
    </row>
    <row r="3220" spans="1:72" x14ac:dyDescent="0.25">
      <c r="A3220" s="90">
        <v>36294</v>
      </c>
      <c r="B3220" s="20">
        <v>0.41666666666666669</v>
      </c>
      <c r="D3220">
        <v>62.06</v>
      </c>
      <c r="E3220" t="str">
        <f t="shared" si="136"/>
        <v>WEEKDAY</v>
      </c>
      <c r="F3220" t="e">
        <f t="shared" si="135"/>
        <v>#N/A</v>
      </c>
      <c r="G3220" s="74">
        <v>31911</v>
      </c>
      <c r="H3220" s="77">
        <v>0.41666666666666669</v>
      </c>
      <c r="J3220">
        <v>59</v>
      </c>
      <c r="M3220" s="74">
        <v>34468</v>
      </c>
      <c r="N3220" s="77">
        <v>0.41666666666666669</v>
      </c>
      <c r="P3220">
        <v>59.900000000000006</v>
      </c>
      <c r="S3220" s="74">
        <v>36294</v>
      </c>
      <c r="T3220" s="77">
        <v>0.41666666666666669</v>
      </c>
      <c r="V3220">
        <v>59</v>
      </c>
      <c r="X3220" s="42"/>
      <c r="AB3220">
        <v>60.7</v>
      </c>
      <c r="AC3220">
        <v>62.96</v>
      </c>
      <c r="AE3220" s="74"/>
      <c r="AF3220" s="77"/>
      <c r="AH3220" s="497">
        <v>60.8</v>
      </c>
      <c r="AJ3220" s="42"/>
      <c r="AK3220" s="74"/>
      <c r="AL3220" s="77"/>
      <c r="AN3220" s="497">
        <v>53.06</v>
      </c>
      <c r="AP3220" s="42"/>
      <c r="AQ3220" s="74"/>
      <c r="AR3220" s="77"/>
      <c r="AT3220" s="497">
        <v>68</v>
      </c>
      <c r="AV3220" s="42"/>
      <c r="AW3220" s="74"/>
      <c r="AX3220" s="77"/>
      <c r="BA3220" s="497">
        <v>66.02</v>
      </c>
      <c r="BB3220" s="42"/>
      <c r="BC3220" s="74"/>
      <c r="BD3220" s="77"/>
      <c r="BF3220">
        <v>66.02</v>
      </c>
      <c r="BH3220" s="42"/>
      <c r="BI3220" s="74"/>
      <c r="BJ3220" s="77"/>
      <c r="BL3220" s="497">
        <v>60.980000000000004</v>
      </c>
      <c r="BN3220" s="42"/>
      <c r="BO3220" s="74"/>
      <c r="BP3220" s="77"/>
      <c r="BR3220" s="497">
        <v>71.960000000000008</v>
      </c>
      <c r="BT3220" s="42"/>
    </row>
    <row r="3221" spans="1:72" x14ac:dyDescent="0.25">
      <c r="A3221" s="90">
        <v>36294</v>
      </c>
      <c r="B3221" s="20">
        <v>0.45833333333333331</v>
      </c>
      <c r="D3221">
        <v>62.96</v>
      </c>
      <c r="E3221" t="str">
        <f t="shared" si="136"/>
        <v>WEEKDAY</v>
      </c>
      <c r="F3221" t="e">
        <f t="shared" si="135"/>
        <v>#N/A</v>
      </c>
      <c r="G3221" s="74">
        <v>31911</v>
      </c>
      <c r="H3221" s="77">
        <v>0.45833333333333331</v>
      </c>
      <c r="J3221">
        <v>64.039999999999992</v>
      </c>
      <c r="M3221" s="74">
        <v>34468</v>
      </c>
      <c r="N3221" s="77">
        <v>0.45833333333333331</v>
      </c>
      <c r="P3221">
        <v>59.900000000000006</v>
      </c>
      <c r="S3221" s="74">
        <v>36294</v>
      </c>
      <c r="T3221" s="77">
        <v>0.45833333333333331</v>
      </c>
      <c r="V3221">
        <v>60.08</v>
      </c>
      <c r="X3221" s="42"/>
      <c r="AB3221">
        <v>62.4</v>
      </c>
      <c r="AC3221">
        <v>64.94</v>
      </c>
      <c r="AE3221" s="74"/>
      <c r="AF3221" s="77"/>
      <c r="AH3221" s="497">
        <v>62.6</v>
      </c>
      <c r="AJ3221" s="42"/>
      <c r="AK3221" s="74"/>
      <c r="AL3221" s="77"/>
      <c r="AN3221" s="497">
        <v>55.040000000000006</v>
      </c>
      <c r="AP3221" s="42"/>
      <c r="AQ3221" s="74"/>
      <c r="AR3221" s="77"/>
      <c r="AT3221" s="497">
        <v>66.92</v>
      </c>
      <c r="AV3221" s="42"/>
      <c r="AW3221" s="74"/>
      <c r="AX3221" s="77"/>
      <c r="BA3221" s="497">
        <v>68</v>
      </c>
      <c r="BB3221" s="42"/>
      <c r="BC3221" s="74"/>
      <c r="BD3221" s="77"/>
      <c r="BF3221">
        <v>68</v>
      </c>
      <c r="BH3221" s="42"/>
      <c r="BI3221" s="74"/>
      <c r="BJ3221" s="77"/>
      <c r="BL3221" s="497">
        <v>60.08</v>
      </c>
      <c r="BN3221" s="42"/>
      <c r="BO3221" s="74"/>
      <c r="BP3221" s="77"/>
      <c r="BR3221" s="497">
        <v>73.039999999999992</v>
      </c>
      <c r="BT3221" s="42"/>
    </row>
    <row r="3222" spans="1:72" x14ac:dyDescent="0.25">
      <c r="A3222" s="90">
        <v>36294</v>
      </c>
      <c r="B3222" s="20">
        <v>0.5</v>
      </c>
      <c r="D3222">
        <v>66.02</v>
      </c>
      <c r="E3222" t="str">
        <f t="shared" si="136"/>
        <v>WEEKDAY</v>
      </c>
      <c r="F3222" t="e">
        <f t="shared" si="135"/>
        <v>#N/A</v>
      </c>
      <c r="G3222" s="74">
        <v>31911</v>
      </c>
      <c r="H3222" s="77">
        <v>0.5</v>
      </c>
      <c r="J3222">
        <v>66.02</v>
      </c>
      <c r="M3222" s="74">
        <v>34468</v>
      </c>
      <c r="N3222" s="77">
        <v>0.5</v>
      </c>
      <c r="P3222">
        <v>63.86</v>
      </c>
      <c r="S3222" s="74">
        <v>36294</v>
      </c>
      <c r="T3222" s="77">
        <v>0.5</v>
      </c>
      <c r="V3222">
        <v>60.08</v>
      </c>
      <c r="X3222" s="42"/>
      <c r="AB3222">
        <v>63.5</v>
      </c>
      <c r="AC3222">
        <v>66.02</v>
      </c>
      <c r="AE3222" s="74"/>
      <c r="AF3222" s="77"/>
      <c r="AH3222" s="497">
        <v>64.400000000000006</v>
      </c>
      <c r="AJ3222" s="42"/>
      <c r="AK3222" s="74"/>
      <c r="AL3222" s="77"/>
      <c r="AN3222" s="497">
        <v>57.019999999999996</v>
      </c>
      <c r="AP3222" s="42"/>
      <c r="AQ3222" s="74"/>
      <c r="AR3222" s="77"/>
      <c r="AT3222" s="497">
        <v>69.080000000000013</v>
      </c>
      <c r="AV3222" s="42"/>
      <c r="AW3222" s="74"/>
      <c r="AX3222" s="77"/>
      <c r="BA3222" s="497">
        <v>69.98</v>
      </c>
      <c r="BB3222" s="42"/>
      <c r="BC3222" s="74"/>
      <c r="BD3222" s="77"/>
      <c r="BF3222">
        <v>71.960000000000008</v>
      </c>
      <c r="BH3222" s="42"/>
      <c r="BI3222" s="74"/>
      <c r="BJ3222" s="77"/>
      <c r="BL3222" s="497">
        <v>64.039999999999992</v>
      </c>
      <c r="BN3222" s="42"/>
      <c r="BO3222" s="74"/>
      <c r="BP3222" s="77"/>
      <c r="BR3222" s="497">
        <v>73.039999999999992</v>
      </c>
      <c r="BT3222" s="42"/>
    </row>
    <row r="3223" spans="1:72" x14ac:dyDescent="0.25">
      <c r="A3223" s="90">
        <v>36294</v>
      </c>
      <c r="B3223" s="20">
        <v>0.54166666666666663</v>
      </c>
      <c r="D3223">
        <v>69.080000000000013</v>
      </c>
      <c r="E3223" t="str">
        <f t="shared" si="136"/>
        <v>WEEKDAY</v>
      </c>
      <c r="F3223" t="e">
        <f t="shared" si="135"/>
        <v>#N/A</v>
      </c>
      <c r="G3223" s="74">
        <v>31911</v>
      </c>
      <c r="H3223" s="77">
        <v>0.54166666666666663</v>
      </c>
      <c r="J3223">
        <v>66.02</v>
      </c>
      <c r="M3223" s="74">
        <v>34468</v>
      </c>
      <c r="N3223" s="77">
        <v>0.54166666666666663</v>
      </c>
      <c r="P3223">
        <v>66.92</v>
      </c>
      <c r="S3223" s="74">
        <v>36294</v>
      </c>
      <c r="T3223" s="77">
        <v>0.54166666666666663</v>
      </c>
      <c r="V3223">
        <v>60.980000000000004</v>
      </c>
      <c r="X3223" s="42"/>
      <c r="AB3223">
        <v>64.3</v>
      </c>
      <c r="AC3223">
        <v>68</v>
      </c>
      <c r="AE3223" s="74"/>
      <c r="AF3223" s="77"/>
      <c r="AH3223" s="497">
        <v>66.2</v>
      </c>
      <c r="AJ3223" s="42"/>
      <c r="AK3223" s="74"/>
      <c r="AL3223" s="77"/>
      <c r="AN3223" s="497">
        <v>60.08</v>
      </c>
      <c r="AP3223" s="42"/>
      <c r="AQ3223" s="74"/>
      <c r="AR3223" s="77"/>
      <c r="AT3223" s="497">
        <v>69.080000000000013</v>
      </c>
      <c r="AV3223" s="42"/>
      <c r="AW3223" s="74"/>
      <c r="AX3223" s="77"/>
      <c r="BA3223" s="497">
        <v>71.06</v>
      </c>
      <c r="BB3223" s="42"/>
      <c r="BC3223" s="74"/>
      <c r="BD3223" s="77"/>
      <c r="BF3223">
        <v>75.02</v>
      </c>
      <c r="BH3223" s="42"/>
      <c r="BI3223" s="74"/>
      <c r="BJ3223" s="77"/>
      <c r="BL3223" s="497">
        <v>66.02</v>
      </c>
      <c r="BN3223" s="42"/>
      <c r="BO3223" s="74"/>
      <c r="BP3223" s="77"/>
      <c r="BR3223" s="497">
        <v>73.039999999999992</v>
      </c>
      <c r="BT3223" s="42"/>
    </row>
    <row r="3224" spans="1:72" x14ac:dyDescent="0.25">
      <c r="A3224" s="90">
        <v>36294</v>
      </c>
      <c r="B3224" s="20">
        <v>0.58333333333333337</v>
      </c>
      <c r="D3224">
        <v>71.06</v>
      </c>
      <c r="E3224" t="str">
        <f t="shared" si="136"/>
        <v>WEEKDAY</v>
      </c>
      <c r="F3224" t="e">
        <f t="shared" si="135"/>
        <v>#N/A</v>
      </c>
      <c r="G3224" s="74">
        <v>31911</v>
      </c>
      <c r="H3224" s="77">
        <v>0.58333333333333337</v>
      </c>
      <c r="J3224">
        <v>66.92</v>
      </c>
      <c r="M3224" s="74">
        <v>34468</v>
      </c>
      <c r="N3224" s="77">
        <v>0.58333333333333337</v>
      </c>
      <c r="P3224">
        <v>69.98</v>
      </c>
      <c r="S3224" s="74">
        <v>36294</v>
      </c>
      <c r="T3224" s="77">
        <v>0.58333333333333337</v>
      </c>
      <c r="V3224">
        <v>57.92</v>
      </c>
      <c r="X3224" s="42"/>
      <c r="AB3224">
        <v>64.7</v>
      </c>
      <c r="AC3224">
        <v>64.94</v>
      </c>
      <c r="AE3224" s="74"/>
      <c r="AF3224" s="77"/>
      <c r="AH3224" s="497">
        <v>68</v>
      </c>
      <c r="AJ3224" s="42"/>
      <c r="AK3224" s="74"/>
      <c r="AL3224" s="77"/>
      <c r="AN3224" s="497">
        <v>60.980000000000004</v>
      </c>
      <c r="AP3224" s="42"/>
      <c r="AQ3224" s="74"/>
      <c r="AR3224" s="77"/>
      <c r="AT3224" s="497">
        <v>69.98</v>
      </c>
      <c r="AV3224" s="42"/>
      <c r="AW3224" s="74"/>
      <c r="AX3224" s="77"/>
      <c r="BA3224" s="497">
        <v>71.960000000000008</v>
      </c>
      <c r="BB3224" s="42"/>
      <c r="BC3224" s="74"/>
      <c r="BD3224" s="77"/>
      <c r="BF3224">
        <v>77</v>
      </c>
      <c r="BH3224" s="42"/>
      <c r="BI3224" s="74"/>
      <c r="BJ3224" s="77"/>
      <c r="BL3224" s="497">
        <v>66.02</v>
      </c>
      <c r="BN3224" s="42"/>
      <c r="BO3224" s="74"/>
      <c r="BP3224" s="77"/>
      <c r="BR3224" s="497">
        <v>71.06</v>
      </c>
      <c r="BT3224" s="42"/>
    </row>
    <row r="3225" spans="1:72" x14ac:dyDescent="0.25">
      <c r="A3225" s="90">
        <v>36294</v>
      </c>
      <c r="B3225" s="20">
        <v>0.625</v>
      </c>
      <c r="D3225">
        <v>73.94</v>
      </c>
      <c r="E3225" t="str">
        <f t="shared" si="136"/>
        <v>WEEKDAY</v>
      </c>
      <c r="F3225" t="e">
        <f t="shared" si="135"/>
        <v>#N/A</v>
      </c>
      <c r="G3225" s="74">
        <v>31911</v>
      </c>
      <c r="H3225" s="77">
        <v>0.625</v>
      </c>
      <c r="J3225">
        <v>68</v>
      </c>
      <c r="M3225" s="74">
        <v>34468</v>
      </c>
      <c r="N3225" s="77">
        <v>0.625</v>
      </c>
      <c r="P3225">
        <v>71.960000000000008</v>
      </c>
      <c r="S3225" s="74">
        <v>36294</v>
      </c>
      <c r="T3225" s="77">
        <v>0.625</v>
      </c>
      <c r="V3225">
        <v>57.019999999999996</v>
      </c>
      <c r="X3225" s="42"/>
      <c r="AB3225">
        <v>64.5</v>
      </c>
      <c r="AC3225">
        <v>64.94</v>
      </c>
      <c r="AE3225" s="74"/>
      <c r="AF3225" s="77"/>
      <c r="AH3225" s="497">
        <v>69.800000000000011</v>
      </c>
      <c r="AJ3225" s="42"/>
      <c r="AK3225" s="74"/>
      <c r="AL3225" s="77"/>
      <c r="AN3225" s="497">
        <v>62.06</v>
      </c>
      <c r="AP3225" s="42"/>
      <c r="AQ3225" s="74"/>
      <c r="AR3225" s="77"/>
      <c r="AT3225" s="497">
        <v>69.98</v>
      </c>
      <c r="AV3225" s="42"/>
      <c r="AW3225" s="74"/>
      <c r="AX3225" s="77"/>
      <c r="BA3225" s="497">
        <v>71.960000000000008</v>
      </c>
      <c r="BB3225" s="42"/>
      <c r="BC3225" s="74"/>
      <c r="BD3225" s="77"/>
      <c r="BF3225">
        <v>78.98</v>
      </c>
      <c r="BH3225" s="42"/>
      <c r="BI3225" s="74"/>
      <c r="BJ3225" s="77"/>
      <c r="BL3225" s="497">
        <v>69.98</v>
      </c>
      <c r="BN3225" s="42"/>
      <c r="BO3225" s="74"/>
      <c r="BP3225" s="77"/>
      <c r="BR3225" s="497">
        <v>66.02</v>
      </c>
      <c r="BT3225" s="42"/>
    </row>
    <row r="3226" spans="1:72" x14ac:dyDescent="0.25">
      <c r="A3226" s="90">
        <v>36294</v>
      </c>
      <c r="B3226" s="20">
        <v>0.66666666666666663</v>
      </c>
      <c r="D3226">
        <v>73.94</v>
      </c>
      <c r="E3226" t="str">
        <f t="shared" si="136"/>
        <v>WEEKDAY</v>
      </c>
      <c r="F3226" t="e">
        <f t="shared" si="135"/>
        <v>#N/A</v>
      </c>
      <c r="G3226" s="74">
        <v>31911</v>
      </c>
      <c r="H3226" s="77">
        <v>0.66666666666666663</v>
      </c>
      <c r="J3226">
        <v>64.94</v>
      </c>
      <c r="M3226" s="74">
        <v>34468</v>
      </c>
      <c r="N3226" s="77">
        <v>0.66666666666666663</v>
      </c>
      <c r="P3226">
        <v>71.960000000000008</v>
      </c>
      <c r="S3226" s="74">
        <v>36294</v>
      </c>
      <c r="T3226" s="77">
        <v>0.66666666666666663</v>
      </c>
      <c r="V3226">
        <v>55.94</v>
      </c>
      <c r="X3226" s="42"/>
      <c r="AB3226">
        <v>64.099999999999994</v>
      </c>
      <c r="AC3226">
        <v>66.02</v>
      </c>
      <c r="AE3226" s="74"/>
      <c r="AF3226" s="77"/>
      <c r="AH3226" s="497">
        <v>68</v>
      </c>
      <c r="AJ3226" s="42"/>
      <c r="AK3226" s="74"/>
      <c r="AL3226" s="77"/>
      <c r="AN3226" s="497">
        <v>62.06</v>
      </c>
      <c r="AP3226" s="42"/>
      <c r="AQ3226" s="74"/>
      <c r="AR3226" s="77"/>
      <c r="AT3226" s="497">
        <v>69.080000000000013</v>
      </c>
      <c r="AV3226" s="42"/>
      <c r="AW3226" s="74"/>
      <c r="AX3226" s="77"/>
      <c r="BA3226" s="497">
        <v>71.06</v>
      </c>
      <c r="BB3226" s="42"/>
      <c r="BC3226" s="74"/>
      <c r="BD3226" s="77"/>
      <c r="BF3226">
        <v>77</v>
      </c>
      <c r="BH3226" s="42"/>
      <c r="BI3226" s="74"/>
      <c r="BJ3226" s="77"/>
      <c r="BL3226" s="497">
        <v>66.92</v>
      </c>
      <c r="BN3226" s="42"/>
      <c r="BO3226" s="74"/>
      <c r="BP3226" s="77"/>
      <c r="BR3226" s="497">
        <v>62.06</v>
      </c>
      <c r="BT3226" s="42"/>
    </row>
    <row r="3227" spans="1:72" x14ac:dyDescent="0.25">
      <c r="A3227" s="90">
        <v>36294</v>
      </c>
      <c r="B3227" s="20">
        <v>0.70833333333333337</v>
      </c>
      <c r="D3227">
        <v>75.92</v>
      </c>
      <c r="E3227" t="str">
        <f t="shared" si="136"/>
        <v>WEEKDAY</v>
      </c>
      <c r="F3227" t="e">
        <f t="shared" si="135"/>
        <v>#N/A</v>
      </c>
      <c r="G3227" s="74">
        <v>31911</v>
      </c>
      <c r="H3227" s="77">
        <v>0.70833333333333337</v>
      </c>
      <c r="J3227">
        <v>62.96</v>
      </c>
      <c r="M3227" s="74">
        <v>34468</v>
      </c>
      <c r="N3227" s="77">
        <v>0.70833333333333337</v>
      </c>
      <c r="P3227">
        <v>71.599999999999994</v>
      </c>
      <c r="S3227" s="74">
        <v>36294</v>
      </c>
      <c r="T3227" s="77">
        <v>0.70833333333333337</v>
      </c>
      <c r="V3227">
        <v>55.94</v>
      </c>
      <c r="X3227" s="42"/>
      <c r="AB3227">
        <v>63.4</v>
      </c>
      <c r="AC3227">
        <v>66.02</v>
      </c>
      <c r="AE3227" s="74"/>
      <c r="AF3227" s="77"/>
      <c r="AH3227" s="497">
        <v>68</v>
      </c>
      <c r="AJ3227" s="42"/>
      <c r="AK3227" s="74"/>
      <c r="AL3227" s="77"/>
      <c r="AN3227" s="497">
        <v>62.06</v>
      </c>
      <c r="AP3227" s="42"/>
      <c r="AQ3227" s="74"/>
      <c r="AR3227" s="77"/>
      <c r="AT3227" s="497">
        <v>68</v>
      </c>
      <c r="AV3227" s="42"/>
      <c r="AW3227" s="74"/>
      <c r="AX3227" s="77"/>
      <c r="BA3227" s="497">
        <v>69.98</v>
      </c>
      <c r="BB3227" s="42"/>
      <c r="BC3227" s="74"/>
      <c r="BD3227" s="77"/>
      <c r="BF3227">
        <v>60.980000000000004</v>
      </c>
      <c r="BH3227" s="42"/>
      <c r="BI3227" s="74"/>
      <c r="BJ3227" s="77"/>
      <c r="BL3227" s="497">
        <v>66.02</v>
      </c>
      <c r="BN3227" s="42"/>
      <c r="BO3227" s="74"/>
      <c r="BP3227" s="77"/>
      <c r="BR3227" s="497">
        <v>62.06</v>
      </c>
      <c r="BT3227" s="42"/>
    </row>
    <row r="3228" spans="1:72" x14ac:dyDescent="0.25">
      <c r="A3228" s="90">
        <v>36294</v>
      </c>
      <c r="B3228" s="20">
        <v>0.75</v>
      </c>
      <c r="D3228">
        <v>75.92</v>
      </c>
      <c r="E3228" t="str">
        <f t="shared" si="136"/>
        <v>WEEKDAY</v>
      </c>
      <c r="F3228" t="e">
        <f t="shared" si="135"/>
        <v>#N/A</v>
      </c>
      <c r="G3228" s="74">
        <v>31911</v>
      </c>
      <c r="H3228" s="77">
        <v>0.75</v>
      </c>
      <c r="J3228">
        <v>60.980000000000004</v>
      </c>
      <c r="M3228" s="74">
        <v>34468</v>
      </c>
      <c r="N3228" s="77">
        <v>0.75</v>
      </c>
      <c r="P3228">
        <v>70.88</v>
      </c>
      <c r="S3228" s="74">
        <v>36294</v>
      </c>
      <c r="T3228" s="77">
        <v>0.75</v>
      </c>
      <c r="V3228">
        <v>53.96</v>
      </c>
      <c r="X3228" s="42"/>
      <c r="AB3228">
        <v>62.3</v>
      </c>
      <c r="AC3228">
        <v>64.039999999999992</v>
      </c>
      <c r="AE3228" s="74"/>
      <c r="AF3228" s="77"/>
      <c r="AH3228" s="497">
        <v>66.2</v>
      </c>
      <c r="AJ3228" s="42"/>
      <c r="AK3228" s="74"/>
      <c r="AL3228" s="77"/>
      <c r="AN3228" s="497">
        <v>60.980000000000004</v>
      </c>
      <c r="AP3228" s="42"/>
      <c r="AQ3228" s="74"/>
      <c r="AR3228" s="77"/>
      <c r="AT3228" s="497">
        <v>64.039999999999992</v>
      </c>
      <c r="AV3228" s="42"/>
      <c r="AW3228" s="74"/>
      <c r="AX3228" s="77"/>
      <c r="BA3228" s="497">
        <v>68</v>
      </c>
      <c r="BB3228" s="42"/>
      <c r="BC3228" s="74"/>
      <c r="BD3228" s="77"/>
      <c r="BF3228">
        <v>66.92</v>
      </c>
      <c r="BH3228" s="42"/>
      <c r="BI3228" s="74"/>
      <c r="BJ3228" s="77"/>
      <c r="BL3228" s="497">
        <v>66.02</v>
      </c>
      <c r="BN3228" s="42"/>
      <c r="BO3228" s="74"/>
      <c r="BP3228" s="77"/>
      <c r="BR3228" s="497">
        <v>64.039999999999992</v>
      </c>
      <c r="BT3228" s="42"/>
    </row>
    <row r="3229" spans="1:72" x14ac:dyDescent="0.25">
      <c r="A3229" s="90">
        <v>36294</v>
      </c>
      <c r="B3229" s="20">
        <v>0.79166666666666663</v>
      </c>
      <c r="D3229">
        <v>73.94</v>
      </c>
      <c r="E3229" t="str">
        <f t="shared" si="136"/>
        <v>WEEKDAY</v>
      </c>
      <c r="F3229" t="e">
        <f t="shared" si="135"/>
        <v>#N/A</v>
      </c>
      <c r="G3229" s="74">
        <v>31911</v>
      </c>
      <c r="H3229" s="77">
        <v>0.79166666666666663</v>
      </c>
      <c r="J3229">
        <v>57.92</v>
      </c>
      <c r="M3229" s="74">
        <v>34468</v>
      </c>
      <c r="N3229" s="77">
        <v>0.79166666666666663</v>
      </c>
      <c r="P3229">
        <v>68</v>
      </c>
      <c r="S3229" s="74">
        <v>36294</v>
      </c>
      <c r="T3229" s="77">
        <v>0.79166666666666663</v>
      </c>
      <c r="V3229">
        <v>53.06</v>
      </c>
      <c r="X3229" s="42"/>
      <c r="AB3229">
        <v>60.9</v>
      </c>
      <c r="AC3229">
        <v>60.980000000000004</v>
      </c>
      <c r="AE3229" s="74"/>
      <c r="AF3229" s="77"/>
      <c r="AH3229" s="497">
        <v>64.400000000000006</v>
      </c>
      <c r="AJ3229" s="42"/>
      <c r="AK3229" s="74"/>
      <c r="AL3229" s="77"/>
      <c r="AN3229" s="497">
        <v>57.019999999999996</v>
      </c>
      <c r="AP3229" s="42"/>
      <c r="AQ3229" s="74"/>
      <c r="AR3229" s="77"/>
      <c r="AT3229" s="497">
        <v>60.980000000000004</v>
      </c>
      <c r="AV3229" s="42"/>
      <c r="AW3229" s="74"/>
      <c r="AX3229" s="77"/>
      <c r="BA3229" s="497">
        <v>64.039999999999992</v>
      </c>
      <c r="BB3229" s="42"/>
      <c r="BC3229" s="74"/>
      <c r="BD3229" s="77"/>
      <c r="BF3229">
        <v>60.08</v>
      </c>
      <c r="BH3229" s="42"/>
      <c r="BI3229" s="74"/>
      <c r="BJ3229" s="77"/>
      <c r="BL3229" s="497">
        <v>64.94</v>
      </c>
      <c r="BN3229" s="42"/>
      <c r="BO3229" s="74"/>
      <c r="BP3229" s="77"/>
      <c r="BR3229" s="497">
        <v>64.94</v>
      </c>
      <c r="BT3229" s="42"/>
    </row>
    <row r="3230" spans="1:72" x14ac:dyDescent="0.25">
      <c r="A3230" s="90">
        <v>36294</v>
      </c>
      <c r="B3230" s="20">
        <v>0.83333333333333337</v>
      </c>
      <c r="D3230">
        <v>71.06</v>
      </c>
      <c r="E3230" t="str">
        <f t="shared" si="136"/>
        <v>WEEKDAY</v>
      </c>
      <c r="F3230" t="e">
        <f t="shared" si="135"/>
        <v>#N/A</v>
      </c>
      <c r="G3230" s="74">
        <v>31911</v>
      </c>
      <c r="H3230" s="77">
        <v>0.83333333333333337</v>
      </c>
      <c r="J3230">
        <v>55.94</v>
      </c>
      <c r="M3230" s="74">
        <v>34468</v>
      </c>
      <c r="N3230" s="77">
        <v>0.83333333333333337</v>
      </c>
      <c r="P3230">
        <v>63.86</v>
      </c>
      <c r="S3230" s="74">
        <v>36294</v>
      </c>
      <c r="T3230" s="77">
        <v>0.83333333333333337</v>
      </c>
      <c r="V3230">
        <v>51.980000000000004</v>
      </c>
      <c r="X3230" s="42"/>
      <c r="AB3230">
        <v>59.6</v>
      </c>
      <c r="AC3230">
        <v>60.08</v>
      </c>
      <c r="AE3230" s="74"/>
      <c r="AF3230" s="77"/>
      <c r="AH3230" s="497">
        <v>59.540000000000006</v>
      </c>
      <c r="AJ3230" s="42"/>
      <c r="AK3230" s="74"/>
      <c r="AL3230" s="77"/>
      <c r="AN3230" s="497">
        <v>53.96</v>
      </c>
      <c r="AP3230" s="42"/>
      <c r="AQ3230" s="74"/>
      <c r="AR3230" s="77"/>
      <c r="AT3230" s="497">
        <v>59</v>
      </c>
      <c r="AV3230" s="42"/>
      <c r="AW3230" s="74"/>
      <c r="AX3230" s="77"/>
      <c r="BA3230" s="497">
        <v>59</v>
      </c>
      <c r="BB3230" s="42"/>
      <c r="BC3230" s="74"/>
      <c r="BD3230" s="77"/>
      <c r="BF3230">
        <v>55.94</v>
      </c>
      <c r="BH3230" s="42"/>
      <c r="BI3230" s="74"/>
      <c r="BJ3230" s="77"/>
      <c r="BL3230" s="497">
        <v>62.06</v>
      </c>
      <c r="BN3230" s="42"/>
      <c r="BO3230" s="74"/>
      <c r="BP3230" s="77"/>
      <c r="BR3230" s="497">
        <v>64.039999999999992</v>
      </c>
      <c r="BT3230" s="42"/>
    </row>
    <row r="3231" spans="1:72" x14ac:dyDescent="0.25">
      <c r="A3231" s="90">
        <v>36294</v>
      </c>
      <c r="B3231" s="20">
        <v>0.875</v>
      </c>
      <c r="D3231">
        <v>69.98</v>
      </c>
      <c r="E3231" t="str">
        <f t="shared" si="136"/>
        <v>WEEKDAY</v>
      </c>
      <c r="F3231" t="e">
        <f t="shared" si="135"/>
        <v>#N/A</v>
      </c>
      <c r="G3231" s="74">
        <v>31911</v>
      </c>
      <c r="H3231" s="77">
        <v>0.875</v>
      </c>
      <c r="J3231">
        <v>55.94</v>
      </c>
      <c r="M3231" s="74">
        <v>34468</v>
      </c>
      <c r="N3231" s="77">
        <v>0.875</v>
      </c>
      <c r="P3231">
        <v>57.92</v>
      </c>
      <c r="S3231" s="74">
        <v>36294</v>
      </c>
      <c r="T3231" s="77">
        <v>0.875</v>
      </c>
      <c r="V3231">
        <v>51.08</v>
      </c>
      <c r="X3231" s="42"/>
      <c r="AB3231">
        <v>58.5</v>
      </c>
      <c r="AC3231">
        <v>60.08</v>
      </c>
      <c r="AE3231" s="74"/>
      <c r="AF3231" s="77"/>
      <c r="AH3231" s="497">
        <v>55.400000000000006</v>
      </c>
      <c r="AJ3231" s="42"/>
      <c r="AK3231" s="74"/>
      <c r="AL3231" s="77"/>
      <c r="AN3231" s="497">
        <v>53.96</v>
      </c>
      <c r="AP3231" s="42"/>
      <c r="AQ3231" s="74"/>
      <c r="AR3231" s="77"/>
      <c r="AT3231" s="497">
        <v>57.019999999999996</v>
      </c>
      <c r="AV3231" s="42"/>
      <c r="AW3231" s="74"/>
      <c r="AX3231" s="77"/>
      <c r="BA3231" s="497">
        <v>55.040000000000006</v>
      </c>
      <c r="BB3231" s="42"/>
      <c r="BC3231" s="74"/>
      <c r="BD3231" s="77"/>
      <c r="BF3231">
        <v>53.96</v>
      </c>
      <c r="BH3231" s="42"/>
      <c r="BI3231" s="74"/>
      <c r="BJ3231" s="77"/>
      <c r="BL3231" s="497">
        <v>60.980000000000004</v>
      </c>
      <c r="BN3231" s="42"/>
      <c r="BO3231" s="74"/>
      <c r="BP3231" s="77"/>
      <c r="BR3231" s="497">
        <v>64.039999999999992</v>
      </c>
      <c r="BT3231" s="42"/>
    </row>
    <row r="3232" spans="1:72" x14ac:dyDescent="0.25">
      <c r="A3232" s="90">
        <v>36294</v>
      </c>
      <c r="B3232" s="20">
        <v>0.91666666666666663</v>
      </c>
      <c r="D3232">
        <v>69.080000000000013</v>
      </c>
      <c r="E3232" t="str">
        <f t="shared" si="136"/>
        <v>WEEKDAY</v>
      </c>
      <c r="F3232" t="e">
        <f t="shared" si="135"/>
        <v>#N/A</v>
      </c>
      <c r="G3232" s="74">
        <v>31911</v>
      </c>
      <c r="H3232" s="77">
        <v>0.91666666666666663</v>
      </c>
      <c r="J3232">
        <v>55.94</v>
      </c>
      <c r="M3232" s="74">
        <v>34468</v>
      </c>
      <c r="N3232" s="77">
        <v>0.91666666666666663</v>
      </c>
      <c r="P3232">
        <v>56.84</v>
      </c>
      <c r="S3232" s="74">
        <v>36294</v>
      </c>
      <c r="T3232" s="77">
        <v>0.91666666666666663</v>
      </c>
      <c r="V3232">
        <v>50</v>
      </c>
      <c r="X3232" s="42"/>
      <c r="AB3232">
        <v>58</v>
      </c>
      <c r="AC3232">
        <v>57.019999999999996</v>
      </c>
      <c r="AE3232" s="74"/>
      <c r="AF3232" s="77"/>
      <c r="AH3232" s="497">
        <v>59</v>
      </c>
      <c r="AJ3232" s="42"/>
      <c r="AK3232" s="74"/>
      <c r="AL3232" s="77"/>
      <c r="AN3232" s="497">
        <v>53.06</v>
      </c>
      <c r="AP3232" s="42"/>
      <c r="AQ3232" s="74"/>
      <c r="AR3232" s="77"/>
      <c r="AT3232" s="497">
        <v>55.040000000000006</v>
      </c>
      <c r="AV3232" s="42"/>
      <c r="AW3232" s="74"/>
      <c r="AX3232" s="77"/>
      <c r="BA3232" s="497">
        <v>53.06</v>
      </c>
      <c r="BB3232" s="42"/>
      <c r="BC3232" s="74"/>
      <c r="BD3232" s="77"/>
      <c r="BF3232">
        <v>53.06</v>
      </c>
      <c r="BH3232" s="42"/>
      <c r="BI3232" s="74"/>
      <c r="BJ3232" s="77"/>
      <c r="BL3232" s="497">
        <v>60.08</v>
      </c>
      <c r="BN3232" s="42"/>
      <c r="BO3232" s="74"/>
      <c r="BP3232" s="77"/>
      <c r="BR3232" s="497">
        <v>59</v>
      </c>
      <c r="BT3232" s="42"/>
    </row>
    <row r="3233" spans="1:72" x14ac:dyDescent="0.25">
      <c r="A3233" s="90">
        <v>36294</v>
      </c>
      <c r="B3233" s="20">
        <v>0.95833333333333337</v>
      </c>
      <c r="D3233">
        <v>68</v>
      </c>
      <c r="E3233" t="str">
        <f t="shared" si="136"/>
        <v>WEEKDAY</v>
      </c>
      <c r="F3233" t="e">
        <f t="shared" si="135"/>
        <v>#N/A</v>
      </c>
      <c r="G3233" s="74">
        <v>31911</v>
      </c>
      <c r="H3233" s="77">
        <v>0.95833333333333337</v>
      </c>
      <c r="J3233">
        <v>55.040000000000006</v>
      </c>
      <c r="M3233" s="74">
        <v>34468</v>
      </c>
      <c r="N3233" s="77">
        <v>0.95833333333333337</v>
      </c>
      <c r="P3233">
        <v>54.86</v>
      </c>
      <c r="S3233" s="74">
        <v>36294</v>
      </c>
      <c r="T3233" s="77">
        <v>0.95833333333333337</v>
      </c>
      <c r="V3233">
        <v>51.08</v>
      </c>
      <c r="X3233" s="42"/>
      <c r="AB3233">
        <v>57.4</v>
      </c>
      <c r="AC3233">
        <v>55.94</v>
      </c>
      <c r="AE3233" s="74"/>
      <c r="AF3233" s="77"/>
      <c r="AH3233" s="497">
        <v>53.6</v>
      </c>
      <c r="AJ3233" s="42"/>
      <c r="AK3233" s="74"/>
      <c r="AL3233" s="77"/>
      <c r="AN3233" s="497">
        <v>48.019999999999996</v>
      </c>
      <c r="AP3233" s="42"/>
      <c r="AQ3233" s="74"/>
      <c r="AR3233" s="77"/>
      <c r="AT3233" s="497">
        <v>55.040000000000006</v>
      </c>
      <c r="AV3233" s="42"/>
      <c r="AW3233" s="74"/>
      <c r="AX3233" s="77"/>
      <c r="BA3233" s="497">
        <v>53.06</v>
      </c>
      <c r="BB3233" s="42"/>
      <c r="BC3233" s="74"/>
      <c r="BD3233" s="77"/>
      <c r="BF3233">
        <v>51.980000000000004</v>
      </c>
      <c r="BH3233" s="42"/>
      <c r="BI3233" s="74"/>
      <c r="BJ3233" s="77"/>
      <c r="BL3233" s="497">
        <v>59</v>
      </c>
      <c r="BN3233" s="42"/>
      <c r="BO3233" s="74"/>
      <c r="BP3233" s="77"/>
      <c r="BR3233" s="497">
        <v>57.019999999999996</v>
      </c>
      <c r="BT3233" s="42"/>
    </row>
    <row r="3234" spans="1:72" x14ac:dyDescent="0.25">
      <c r="A3234" s="90">
        <v>36294</v>
      </c>
      <c r="B3234" s="20">
        <v>1</v>
      </c>
      <c r="D3234">
        <v>64.039999999999992</v>
      </c>
      <c r="E3234" t="str">
        <f t="shared" si="136"/>
        <v>WEEKDAY</v>
      </c>
      <c r="F3234" t="e">
        <f t="shared" si="135"/>
        <v>#N/A</v>
      </c>
      <c r="G3234" s="74">
        <v>31911</v>
      </c>
      <c r="H3234" s="77">
        <v>1</v>
      </c>
      <c r="J3234">
        <v>55.94</v>
      </c>
      <c r="M3234" s="74">
        <v>34468</v>
      </c>
      <c r="N3234" s="80">
        <v>1</v>
      </c>
      <c r="P3234">
        <v>50.900000000000006</v>
      </c>
      <c r="S3234" s="74">
        <v>36294</v>
      </c>
      <c r="T3234" s="80">
        <v>1</v>
      </c>
      <c r="V3234">
        <v>50</v>
      </c>
      <c r="X3234" s="42"/>
      <c r="AB3234">
        <v>56.9</v>
      </c>
      <c r="AC3234">
        <v>53.96</v>
      </c>
      <c r="AE3234" s="74"/>
      <c r="AF3234" s="80"/>
      <c r="AH3234" s="497">
        <v>51.8</v>
      </c>
      <c r="AJ3234" s="42"/>
      <c r="AK3234" s="74"/>
      <c r="AL3234" s="80"/>
      <c r="AN3234" s="497">
        <v>46.94</v>
      </c>
      <c r="AP3234" s="42"/>
      <c r="AQ3234" s="74"/>
      <c r="AR3234" s="80"/>
      <c r="AT3234" s="497">
        <v>53.96</v>
      </c>
      <c r="AV3234" s="42"/>
      <c r="AW3234" s="74"/>
      <c r="AX3234" s="80"/>
      <c r="BA3234" s="497">
        <v>51.980000000000004</v>
      </c>
      <c r="BB3234" s="42"/>
      <c r="BC3234" s="74"/>
      <c r="BD3234" s="80"/>
      <c r="BF3234">
        <v>51.980000000000004</v>
      </c>
      <c r="BH3234" s="42"/>
      <c r="BI3234" s="74"/>
      <c r="BJ3234" s="80"/>
      <c r="BL3234" s="497">
        <v>57.92</v>
      </c>
      <c r="BN3234" s="42"/>
      <c r="BO3234" s="74"/>
      <c r="BP3234" s="80"/>
      <c r="BR3234" s="497">
        <v>57.92</v>
      </c>
      <c r="BT3234" s="42"/>
    </row>
    <row r="3235" spans="1:72" x14ac:dyDescent="0.25">
      <c r="A3235" s="90">
        <v>36295</v>
      </c>
      <c r="B3235" s="20">
        <v>4.1666666666666664E-2</v>
      </c>
      <c r="D3235">
        <v>62.06</v>
      </c>
      <c r="E3235" t="str">
        <f t="shared" si="136"/>
        <v>SATURDAY</v>
      </c>
      <c r="F3235" t="e">
        <f t="shared" si="135"/>
        <v>#N/A</v>
      </c>
      <c r="G3235" s="74">
        <v>31912</v>
      </c>
      <c r="H3235" s="77">
        <v>4.1666666666666664E-2</v>
      </c>
      <c r="J3235">
        <v>57.92</v>
      </c>
      <c r="M3235" s="74">
        <v>34469</v>
      </c>
      <c r="N3235" s="77">
        <v>4.1666666666666664E-2</v>
      </c>
      <c r="P3235">
        <v>50.900000000000006</v>
      </c>
      <c r="S3235" s="74">
        <v>36295</v>
      </c>
      <c r="T3235" s="77">
        <v>4.1666666666666664E-2</v>
      </c>
      <c r="V3235">
        <v>51.08</v>
      </c>
      <c r="X3235" s="42"/>
      <c r="AB3235">
        <v>56.4</v>
      </c>
      <c r="AC3235">
        <v>51.980000000000004</v>
      </c>
      <c r="AE3235" s="74"/>
      <c r="AF3235" s="77"/>
      <c r="AH3235" s="497">
        <v>51.8</v>
      </c>
      <c r="AJ3235" s="42"/>
      <c r="AK3235" s="74"/>
      <c r="AL3235" s="77"/>
      <c r="AN3235" s="497">
        <v>44.96</v>
      </c>
      <c r="AP3235" s="42"/>
      <c r="AQ3235" s="74"/>
      <c r="AR3235" s="77"/>
      <c r="AT3235" s="497">
        <v>53.96</v>
      </c>
      <c r="AV3235" s="42"/>
      <c r="AW3235" s="74"/>
      <c r="AX3235" s="77"/>
      <c r="BA3235" s="497">
        <v>51.980000000000004</v>
      </c>
      <c r="BB3235" s="42"/>
      <c r="BC3235" s="74"/>
      <c r="BD3235" s="77"/>
      <c r="BF3235">
        <v>51.980000000000004</v>
      </c>
      <c r="BH3235" s="42"/>
      <c r="BI3235" s="74"/>
      <c r="BJ3235" s="77"/>
      <c r="BL3235" s="497">
        <v>57.019999999999996</v>
      </c>
      <c r="BN3235" s="42"/>
      <c r="BO3235" s="74"/>
      <c r="BP3235" s="77"/>
      <c r="BR3235" s="497">
        <v>57.92</v>
      </c>
      <c r="BT3235" s="42"/>
    </row>
    <row r="3236" spans="1:72" x14ac:dyDescent="0.25">
      <c r="A3236" s="90">
        <v>36295</v>
      </c>
      <c r="B3236" s="20">
        <v>8.3333333333333329E-2</v>
      </c>
      <c r="D3236">
        <v>60.08</v>
      </c>
      <c r="E3236" t="str">
        <f t="shared" si="136"/>
        <v>SATURDAY</v>
      </c>
      <c r="F3236" t="e">
        <f t="shared" si="135"/>
        <v>#N/A</v>
      </c>
      <c r="G3236" s="74">
        <v>31912</v>
      </c>
      <c r="H3236" s="77">
        <v>8.3333333333333329E-2</v>
      </c>
      <c r="J3236">
        <v>62.06</v>
      </c>
      <c r="M3236" s="74">
        <v>34469</v>
      </c>
      <c r="N3236" s="77">
        <v>8.3333333333333329E-2</v>
      </c>
      <c r="P3236">
        <v>48.92</v>
      </c>
      <c r="S3236" s="74">
        <v>36295</v>
      </c>
      <c r="T3236" s="77">
        <v>8.3333333333333329E-2</v>
      </c>
      <c r="V3236">
        <v>46.94</v>
      </c>
      <c r="X3236" s="42"/>
      <c r="AB3236">
        <v>55.8</v>
      </c>
      <c r="AC3236">
        <v>51.08</v>
      </c>
      <c r="AE3236" s="74"/>
      <c r="AF3236" s="77"/>
      <c r="AH3236" s="497">
        <v>51.8</v>
      </c>
      <c r="AJ3236" s="42"/>
      <c r="AK3236" s="74"/>
      <c r="AL3236" s="77"/>
      <c r="AN3236" s="497">
        <v>42.980000000000004</v>
      </c>
      <c r="AP3236" s="42"/>
      <c r="AQ3236" s="74"/>
      <c r="AR3236" s="77"/>
      <c r="AT3236" s="497">
        <v>55.040000000000006</v>
      </c>
      <c r="AV3236" s="42"/>
      <c r="AW3236" s="74"/>
      <c r="AX3236" s="77"/>
      <c r="BA3236" s="497">
        <v>53.06</v>
      </c>
      <c r="BB3236" s="42"/>
      <c r="BC3236" s="74"/>
      <c r="BD3236" s="77"/>
      <c r="BF3236">
        <v>57.019999999999996</v>
      </c>
      <c r="BH3236" s="42"/>
      <c r="BI3236" s="74"/>
      <c r="BJ3236" s="77"/>
      <c r="BL3236" s="497">
        <v>55.94</v>
      </c>
      <c r="BN3236" s="42"/>
      <c r="BO3236" s="74"/>
      <c r="BP3236" s="77"/>
      <c r="BR3236" s="497">
        <v>57.92</v>
      </c>
      <c r="BT3236" s="42"/>
    </row>
    <row r="3237" spans="1:72" x14ac:dyDescent="0.25">
      <c r="A3237" s="90">
        <v>36295</v>
      </c>
      <c r="B3237" s="20">
        <v>0.125</v>
      </c>
      <c r="D3237">
        <v>59</v>
      </c>
      <c r="E3237" t="str">
        <f t="shared" si="136"/>
        <v>SATURDAY</v>
      </c>
      <c r="F3237" t="e">
        <f t="shared" si="135"/>
        <v>#N/A</v>
      </c>
      <c r="G3237" s="74">
        <v>31912</v>
      </c>
      <c r="H3237" s="77">
        <v>0.125</v>
      </c>
      <c r="J3237">
        <v>62.06</v>
      </c>
      <c r="M3237" s="74">
        <v>34469</v>
      </c>
      <c r="N3237" s="77">
        <v>0.125</v>
      </c>
      <c r="P3237">
        <v>45.86</v>
      </c>
      <c r="S3237" s="74">
        <v>36295</v>
      </c>
      <c r="T3237" s="77">
        <v>0.125</v>
      </c>
      <c r="V3237">
        <v>44.96</v>
      </c>
      <c r="X3237" s="42"/>
      <c r="AB3237">
        <v>55.2</v>
      </c>
      <c r="AC3237">
        <v>51.08</v>
      </c>
      <c r="AE3237" s="74"/>
      <c r="AF3237" s="77"/>
      <c r="AH3237" s="497">
        <v>50</v>
      </c>
      <c r="AJ3237" s="42"/>
      <c r="AK3237" s="74"/>
      <c r="AL3237" s="77"/>
      <c r="AN3237" s="497">
        <v>42.08</v>
      </c>
      <c r="AP3237" s="42"/>
      <c r="AQ3237" s="74"/>
      <c r="AR3237" s="77"/>
      <c r="AT3237" s="497">
        <v>53.06</v>
      </c>
      <c r="AV3237" s="42"/>
      <c r="AW3237" s="74"/>
      <c r="AX3237" s="77"/>
      <c r="BA3237" s="497">
        <v>51.980000000000004</v>
      </c>
      <c r="BB3237" s="42"/>
      <c r="BC3237" s="74"/>
      <c r="BD3237" s="77"/>
      <c r="BF3237">
        <v>51.980000000000004</v>
      </c>
      <c r="BH3237" s="42"/>
      <c r="BI3237" s="74"/>
      <c r="BJ3237" s="77"/>
      <c r="BL3237" s="497">
        <v>55.94</v>
      </c>
      <c r="BN3237" s="42"/>
      <c r="BO3237" s="74"/>
      <c r="BP3237" s="77"/>
      <c r="BR3237" s="497">
        <v>55.040000000000006</v>
      </c>
      <c r="BT3237" s="42"/>
    </row>
    <row r="3238" spans="1:72" x14ac:dyDescent="0.25">
      <c r="A3238" s="90">
        <v>36295</v>
      </c>
      <c r="B3238" s="20">
        <v>0.16666666666666666</v>
      </c>
      <c r="D3238">
        <v>57.92</v>
      </c>
      <c r="E3238" t="str">
        <f t="shared" si="136"/>
        <v>SATURDAY</v>
      </c>
      <c r="F3238" t="e">
        <f t="shared" si="135"/>
        <v>#N/A</v>
      </c>
      <c r="G3238" s="74">
        <v>31912</v>
      </c>
      <c r="H3238" s="77">
        <v>0.16666666666666666</v>
      </c>
      <c r="J3238">
        <v>60.980000000000004</v>
      </c>
      <c r="M3238" s="74">
        <v>34469</v>
      </c>
      <c r="N3238" s="77">
        <v>0.16666666666666666</v>
      </c>
      <c r="P3238">
        <v>44.96</v>
      </c>
      <c r="S3238" s="74">
        <v>36295</v>
      </c>
      <c r="T3238" s="77">
        <v>0.16666666666666666</v>
      </c>
      <c r="V3238">
        <v>44.96</v>
      </c>
      <c r="X3238" s="42"/>
      <c r="AB3238">
        <v>54.8</v>
      </c>
      <c r="AC3238">
        <v>50</v>
      </c>
      <c r="AE3238" s="74"/>
      <c r="AF3238" s="77"/>
      <c r="AH3238" s="497">
        <v>44.6</v>
      </c>
      <c r="AJ3238" s="42"/>
      <c r="AK3238" s="74"/>
      <c r="AL3238" s="77"/>
      <c r="AN3238" s="497">
        <v>42.08</v>
      </c>
      <c r="AP3238" s="42"/>
      <c r="AQ3238" s="74"/>
      <c r="AR3238" s="77"/>
      <c r="AT3238" s="497">
        <v>53.06</v>
      </c>
      <c r="AV3238" s="42"/>
      <c r="AW3238" s="74"/>
      <c r="AX3238" s="77"/>
      <c r="BA3238" s="497">
        <v>51.980000000000004</v>
      </c>
      <c r="BB3238" s="42"/>
      <c r="BC3238" s="74"/>
      <c r="BD3238" s="77"/>
      <c r="BF3238">
        <v>51.08</v>
      </c>
      <c r="BH3238" s="42"/>
      <c r="BI3238" s="74"/>
      <c r="BJ3238" s="77"/>
      <c r="BL3238" s="497">
        <v>55.94</v>
      </c>
      <c r="BN3238" s="42"/>
      <c r="BO3238" s="74"/>
      <c r="BP3238" s="77"/>
      <c r="BR3238" s="497">
        <v>55.94</v>
      </c>
      <c r="BT3238" s="42"/>
    </row>
    <row r="3239" spans="1:72" x14ac:dyDescent="0.25">
      <c r="A3239" s="90">
        <v>36295</v>
      </c>
      <c r="B3239" s="20">
        <v>0.20833333333333334</v>
      </c>
      <c r="D3239">
        <v>57.92</v>
      </c>
      <c r="E3239" t="str">
        <f t="shared" si="136"/>
        <v>SATURDAY</v>
      </c>
      <c r="F3239" t="e">
        <f t="shared" si="135"/>
        <v>#N/A</v>
      </c>
      <c r="G3239" s="74">
        <v>31912</v>
      </c>
      <c r="H3239" s="77">
        <v>0.20833333333333334</v>
      </c>
      <c r="J3239">
        <v>60.980000000000004</v>
      </c>
      <c r="M3239" s="74">
        <v>34469</v>
      </c>
      <c r="N3239" s="77">
        <v>0.20833333333333334</v>
      </c>
      <c r="P3239">
        <v>44.96</v>
      </c>
      <c r="S3239" s="74">
        <v>36295</v>
      </c>
      <c r="T3239" s="77">
        <v>0.20833333333333334</v>
      </c>
      <c r="V3239">
        <v>46.04</v>
      </c>
      <c r="X3239" s="42"/>
      <c r="AB3239">
        <v>54.3</v>
      </c>
      <c r="AC3239">
        <v>51.08</v>
      </c>
      <c r="AE3239" s="74"/>
      <c r="AF3239" s="77"/>
      <c r="AH3239" s="497">
        <v>42.8</v>
      </c>
      <c r="AJ3239" s="42"/>
      <c r="AK3239" s="74"/>
      <c r="AL3239" s="77"/>
      <c r="AN3239" s="497">
        <v>42.08</v>
      </c>
      <c r="AP3239" s="42"/>
      <c r="AQ3239" s="74"/>
      <c r="AR3239" s="77"/>
      <c r="AT3239" s="497">
        <v>53.06</v>
      </c>
      <c r="AV3239" s="42"/>
      <c r="AW3239" s="74"/>
      <c r="AX3239" s="77"/>
      <c r="BA3239" s="497">
        <v>51.980000000000004</v>
      </c>
      <c r="BB3239" s="42"/>
      <c r="BC3239" s="74"/>
      <c r="BD3239" s="77"/>
      <c r="BF3239">
        <v>51.980000000000004</v>
      </c>
      <c r="BH3239" s="42"/>
      <c r="BI3239" s="74"/>
      <c r="BJ3239" s="77"/>
      <c r="BL3239" s="497">
        <v>55.94</v>
      </c>
      <c r="BN3239" s="42"/>
      <c r="BO3239" s="74"/>
      <c r="BP3239" s="77"/>
      <c r="BR3239" s="497">
        <v>55.94</v>
      </c>
      <c r="BT3239" s="42"/>
    </row>
    <row r="3240" spans="1:72" x14ac:dyDescent="0.25">
      <c r="A3240" s="90">
        <v>36295</v>
      </c>
      <c r="B3240" s="20">
        <v>0.25</v>
      </c>
      <c r="D3240">
        <v>59</v>
      </c>
      <c r="E3240" t="str">
        <f t="shared" si="136"/>
        <v>SATURDAY</v>
      </c>
      <c r="F3240" t="e">
        <f t="shared" si="135"/>
        <v>#N/A</v>
      </c>
      <c r="G3240" s="74">
        <v>31912</v>
      </c>
      <c r="H3240" s="77">
        <v>0.25</v>
      </c>
      <c r="J3240">
        <v>60.08</v>
      </c>
      <c r="M3240" s="74">
        <v>34469</v>
      </c>
      <c r="N3240" s="77">
        <v>0.25</v>
      </c>
      <c r="P3240">
        <v>48.92</v>
      </c>
      <c r="S3240" s="74">
        <v>36295</v>
      </c>
      <c r="T3240" s="77">
        <v>0.25</v>
      </c>
      <c r="V3240">
        <v>48.92</v>
      </c>
      <c r="X3240" s="42"/>
      <c r="AB3240">
        <v>54.2</v>
      </c>
      <c r="AC3240">
        <v>51.980000000000004</v>
      </c>
      <c r="AE3240" s="74"/>
      <c r="AF3240" s="77"/>
      <c r="AH3240" s="497">
        <v>42.8</v>
      </c>
      <c r="AJ3240" s="42"/>
      <c r="AK3240" s="74"/>
      <c r="AL3240" s="77"/>
      <c r="AN3240" s="497">
        <v>46.94</v>
      </c>
      <c r="AP3240" s="42"/>
      <c r="AQ3240" s="74"/>
      <c r="AR3240" s="77"/>
      <c r="AT3240" s="497">
        <v>53.06</v>
      </c>
      <c r="AV3240" s="42"/>
      <c r="AW3240" s="74"/>
      <c r="AX3240" s="77"/>
      <c r="BA3240" s="497">
        <v>53.96</v>
      </c>
      <c r="BB3240" s="42"/>
      <c r="BC3240" s="74"/>
      <c r="BD3240" s="77"/>
      <c r="BF3240">
        <v>53.06</v>
      </c>
      <c r="BH3240" s="42"/>
      <c r="BI3240" s="74"/>
      <c r="BJ3240" s="77"/>
      <c r="BL3240" s="497">
        <v>55.94</v>
      </c>
      <c r="BN3240" s="42"/>
      <c r="BO3240" s="74"/>
      <c r="BP3240" s="77"/>
      <c r="BR3240" s="497">
        <v>57.92</v>
      </c>
      <c r="BT3240" s="42"/>
    </row>
    <row r="3241" spans="1:72" x14ac:dyDescent="0.25">
      <c r="A3241" s="90">
        <v>36295</v>
      </c>
      <c r="B3241" s="20">
        <v>0.29166666666666669</v>
      </c>
      <c r="D3241">
        <v>62.96</v>
      </c>
      <c r="E3241" t="str">
        <f t="shared" si="136"/>
        <v>SATURDAY</v>
      </c>
      <c r="F3241" t="e">
        <f t="shared" si="135"/>
        <v>#N/A</v>
      </c>
      <c r="G3241" s="74">
        <v>31912</v>
      </c>
      <c r="H3241" s="77">
        <v>0.29166666666666669</v>
      </c>
      <c r="J3241">
        <v>60.980000000000004</v>
      </c>
      <c r="M3241" s="74">
        <v>34469</v>
      </c>
      <c r="N3241" s="77">
        <v>0.29166666666666669</v>
      </c>
      <c r="P3241">
        <v>59</v>
      </c>
      <c r="S3241" s="74">
        <v>36295</v>
      </c>
      <c r="T3241" s="77">
        <v>0.29166666666666669</v>
      </c>
      <c r="V3241">
        <v>53.96</v>
      </c>
      <c r="X3241" s="42"/>
      <c r="AB3241">
        <v>55.5</v>
      </c>
      <c r="AC3241">
        <v>55.040000000000006</v>
      </c>
      <c r="AE3241" s="74"/>
      <c r="AF3241" s="77"/>
      <c r="AH3241" s="497">
        <v>51.8</v>
      </c>
      <c r="AJ3241" s="42"/>
      <c r="AK3241" s="74"/>
      <c r="AL3241" s="77"/>
      <c r="AN3241" s="497">
        <v>50</v>
      </c>
      <c r="AP3241" s="42"/>
      <c r="AQ3241" s="74"/>
      <c r="AR3241" s="77"/>
      <c r="AT3241" s="497">
        <v>53.06</v>
      </c>
      <c r="AV3241" s="42"/>
      <c r="AW3241" s="74"/>
      <c r="AX3241" s="77"/>
      <c r="BA3241" s="497">
        <v>55.94</v>
      </c>
      <c r="BB3241" s="42"/>
      <c r="BC3241" s="74"/>
      <c r="BD3241" s="77"/>
      <c r="BF3241">
        <v>53.96</v>
      </c>
      <c r="BH3241" s="42"/>
      <c r="BI3241" s="74"/>
      <c r="BJ3241" s="77"/>
      <c r="BL3241" s="497">
        <v>59</v>
      </c>
      <c r="BN3241" s="42"/>
      <c r="BO3241" s="74"/>
      <c r="BP3241" s="77"/>
      <c r="BR3241" s="497">
        <v>55.94</v>
      </c>
      <c r="BT3241" s="42"/>
    </row>
    <row r="3242" spans="1:72" x14ac:dyDescent="0.25">
      <c r="A3242" s="90">
        <v>36295</v>
      </c>
      <c r="B3242" s="20">
        <v>0.33333333333333331</v>
      </c>
      <c r="D3242">
        <v>69.080000000000013</v>
      </c>
      <c r="E3242" t="str">
        <f t="shared" si="136"/>
        <v>SATURDAY</v>
      </c>
      <c r="F3242" t="e">
        <f t="shared" si="135"/>
        <v>#N/A</v>
      </c>
      <c r="G3242" s="74">
        <v>31912</v>
      </c>
      <c r="H3242" s="77">
        <v>0.33333333333333331</v>
      </c>
      <c r="J3242">
        <v>62.06</v>
      </c>
      <c r="M3242" s="74">
        <v>34469</v>
      </c>
      <c r="N3242" s="77">
        <v>0.33333333333333331</v>
      </c>
      <c r="P3242">
        <v>65.84</v>
      </c>
      <c r="S3242" s="74">
        <v>36295</v>
      </c>
      <c r="T3242" s="77">
        <v>0.33333333333333331</v>
      </c>
      <c r="V3242">
        <v>59</v>
      </c>
      <c r="X3242" s="42"/>
      <c r="AB3242">
        <v>57.2</v>
      </c>
      <c r="AC3242">
        <v>59</v>
      </c>
      <c r="AE3242" s="74"/>
      <c r="AF3242" s="77"/>
      <c r="AH3242" s="497">
        <v>55.400000000000006</v>
      </c>
      <c r="AJ3242" s="42"/>
      <c r="AK3242" s="74"/>
      <c r="AL3242" s="77"/>
      <c r="AN3242" s="497">
        <v>57.019999999999996</v>
      </c>
      <c r="AP3242" s="42"/>
      <c r="AQ3242" s="74"/>
      <c r="AR3242" s="77"/>
      <c r="AT3242" s="497">
        <v>55.94</v>
      </c>
      <c r="AV3242" s="42"/>
      <c r="AW3242" s="74"/>
      <c r="AX3242" s="77"/>
      <c r="BA3242" s="497">
        <v>60.980000000000004</v>
      </c>
      <c r="BB3242" s="42"/>
      <c r="BC3242" s="74"/>
      <c r="BD3242" s="77"/>
      <c r="BF3242">
        <v>57.019999999999996</v>
      </c>
      <c r="BH3242" s="42"/>
      <c r="BI3242" s="74"/>
      <c r="BJ3242" s="77"/>
      <c r="BL3242" s="497">
        <v>62.96</v>
      </c>
      <c r="BN3242" s="42"/>
      <c r="BO3242" s="74"/>
      <c r="BP3242" s="77"/>
      <c r="BR3242" s="497">
        <v>55.040000000000006</v>
      </c>
      <c r="BT3242" s="42"/>
    </row>
    <row r="3243" spans="1:72" x14ac:dyDescent="0.25">
      <c r="A3243" s="90">
        <v>36295</v>
      </c>
      <c r="B3243" s="20">
        <v>0.375</v>
      </c>
      <c r="D3243">
        <v>66.92</v>
      </c>
      <c r="E3243" t="str">
        <f t="shared" si="136"/>
        <v>SATURDAY</v>
      </c>
      <c r="F3243" t="e">
        <f t="shared" ref="F3243:F3306" si="137">IF(E3243="WEEKDAY",VLOOKUP(B3243,$DD$19:$DG$42,2),IF(E3243="SATURDAY",VLOOKUP(B3243,$DD$19:$DG$42,3),VLOOKUP(B3243,$DD$19:$DG$42,4)))</f>
        <v>#N/A</v>
      </c>
      <c r="G3243" s="74">
        <v>31912</v>
      </c>
      <c r="H3243" s="77">
        <v>0.375</v>
      </c>
      <c r="J3243">
        <v>62.06</v>
      </c>
      <c r="M3243" s="74">
        <v>34469</v>
      </c>
      <c r="N3243" s="77">
        <v>0.375</v>
      </c>
      <c r="P3243">
        <v>66.92</v>
      </c>
      <c r="S3243" s="74">
        <v>36295</v>
      </c>
      <c r="T3243" s="77">
        <v>0.375</v>
      </c>
      <c r="V3243">
        <v>64.039999999999992</v>
      </c>
      <c r="X3243" s="42"/>
      <c r="AB3243">
        <v>59.2</v>
      </c>
      <c r="AC3243">
        <v>60.980000000000004</v>
      </c>
      <c r="AE3243" s="74"/>
      <c r="AF3243" s="77"/>
      <c r="AH3243" s="497">
        <v>57.2</v>
      </c>
      <c r="AJ3243" s="42"/>
      <c r="AK3243" s="74"/>
      <c r="AL3243" s="77"/>
      <c r="AN3243" s="497">
        <v>62.06</v>
      </c>
      <c r="AP3243" s="42"/>
      <c r="AQ3243" s="74"/>
      <c r="AR3243" s="77"/>
      <c r="AT3243" s="497">
        <v>60.08</v>
      </c>
      <c r="AV3243" s="42"/>
      <c r="AW3243" s="74"/>
      <c r="AX3243" s="77"/>
      <c r="BA3243" s="497">
        <v>62.96</v>
      </c>
      <c r="BB3243" s="42"/>
      <c r="BC3243" s="74"/>
      <c r="BD3243" s="77"/>
      <c r="BF3243">
        <v>57.019999999999996</v>
      </c>
      <c r="BH3243" s="42"/>
      <c r="BI3243" s="74"/>
      <c r="BJ3243" s="77"/>
      <c r="BL3243" s="497">
        <v>66.02</v>
      </c>
      <c r="BN3243" s="42"/>
      <c r="BO3243" s="74"/>
      <c r="BP3243" s="77"/>
      <c r="BR3243" s="497">
        <v>55.040000000000006</v>
      </c>
      <c r="BT3243" s="42"/>
    </row>
    <row r="3244" spans="1:72" x14ac:dyDescent="0.25">
      <c r="A3244" s="90">
        <v>36295</v>
      </c>
      <c r="B3244" s="20">
        <v>0.41666666666666669</v>
      </c>
      <c r="D3244">
        <v>73.039999999999992</v>
      </c>
      <c r="E3244" t="str">
        <f t="shared" si="136"/>
        <v>SATURDAY</v>
      </c>
      <c r="F3244" t="e">
        <f t="shared" si="137"/>
        <v>#N/A</v>
      </c>
      <c r="G3244" s="74">
        <v>31912</v>
      </c>
      <c r="H3244" s="77">
        <v>0.41666666666666669</v>
      </c>
      <c r="J3244">
        <v>62.96</v>
      </c>
      <c r="M3244" s="74">
        <v>34469</v>
      </c>
      <c r="N3244" s="77">
        <v>0.41666666666666669</v>
      </c>
      <c r="P3244">
        <v>64.94</v>
      </c>
      <c r="S3244" s="74">
        <v>36295</v>
      </c>
      <c r="T3244" s="77">
        <v>0.41666666666666669</v>
      </c>
      <c r="V3244">
        <v>66.92</v>
      </c>
      <c r="X3244" s="42"/>
      <c r="AB3244">
        <v>61</v>
      </c>
      <c r="AC3244">
        <v>62.96</v>
      </c>
      <c r="AE3244" s="74"/>
      <c r="AF3244" s="77"/>
      <c r="AH3244" s="497">
        <v>55.400000000000006</v>
      </c>
      <c r="AJ3244" s="42"/>
      <c r="AK3244" s="74"/>
      <c r="AL3244" s="77"/>
      <c r="AN3244" s="497">
        <v>64.94</v>
      </c>
      <c r="AP3244" s="42"/>
      <c r="AQ3244" s="74"/>
      <c r="AR3244" s="77"/>
      <c r="AT3244" s="497">
        <v>60.08</v>
      </c>
      <c r="AV3244" s="42"/>
      <c r="AW3244" s="74"/>
      <c r="AX3244" s="77"/>
      <c r="BA3244" s="497">
        <v>66.92</v>
      </c>
      <c r="BB3244" s="42"/>
      <c r="BC3244" s="74"/>
      <c r="BD3244" s="77"/>
      <c r="BF3244">
        <v>60.08</v>
      </c>
      <c r="BH3244" s="42"/>
      <c r="BI3244" s="74"/>
      <c r="BJ3244" s="77"/>
      <c r="BL3244" s="497">
        <v>69.98</v>
      </c>
      <c r="BN3244" s="42"/>
      <c r="BO3244" s="74"/>
      <c r="BP3244" s="77"/>
      <c r="BR3244" s="497">
        <v>53.06</v>
      </c>
      <c r="BT3244" s="42"/>
    </row>
    <row r="3245" spans="1:72" x14ac:dyDescent="0.25">
      <c r="A3245" s="90">
        <v>36295</v>
      </c>
      <c r="B3245" s="20">
        <v>0.45833333333333331</v>
      </c>
      <c r="D3245">
        <v>73.94</v>
      </c>
      <c r="E3245" t="str">
        <f t="shared" si="136"/>
        <v>SATURDAY</v>
      </c>
      <c r="F3245" t="e">
        <f t="shared" si="137"/>
        <v>#N/A</v>
      </c>
      <c r="G3245" s="74">
        <v>31912</v>
      </c>
      <c r="H3245" s="77">
        <v>0.45833333333333331</v>
      </c>
      <c r="J3245">
        <v>64.039999999999992</v>
      </c>
      <c r="M3245" s="74">
        <v>34469</v>
      </c>
      <c r="N3245" s="77">
        <v>0.45833333333333331</v>
      </c>
      <c r="P3245">
        <v>65.84</v>
      </c>
      <c r="S3245" s="74">
        <v>36295</v>
      </c>
      <c r="T3245" s="77">
        <v>0.45833333333333331</v>
      </c>
      <c r="V3245">
        <v>66.92</v>
      </c>
      <c r="X3245" s="42"/>
      <c r="AB3245">
        <v>62.6</v>
      </c>
      <c r="AC3245">
        <v>64.94</v>
      </c>
      <c r="AE3245" s="74"/>
      <c r="AF3245" s="77"/>
      <c r="AH3245" s="497">
        <v>57.2</v>
      </c>
      <c r="AJ3245" s="42"/>
      <c r="AK3245" s="74"/>
      <c r="AL3245" s="77"/>
      <c r="AN3245" s="497">
        <v>66.92</v>
      </c>
      <c r="AP3245" s="42"/>
      <c r="AQ3245" s="74"/>
      <c r="AR3245" s="77"/>
      <c r="AT3245" s="497">
        <v>62.06</v>
      </c>
      <c r="AV3245" s="42"/>
      <c r="AW3245" s="74"/>
      <c r="AX3245" s="77"/>
      <c r="BA3245" s="497">
        <v>69.080000000000013</v>
      </c>
      <c r="BB3245" s="42"/>
      <c r="BC3245" s="74"/>
      <c r="BD3245" s="77"/>
      <c r="BF3245">
        <v>60.980000000000004</v>
      </c>
      <c r="BH3245" s="42"/>
      <c r="BI3245" s="74"/>
      <c r="BJ3245" s="77"/>
      <c r="BL3245" s="497">
        <v>73.94</v>
      </c>
      <c r="BN3245" s="42"/>
      <c r="BO3245" s="74"/>
      <c r="BP3245" s="77"/>
      <c r="BR3245" s="497">
        <v>53.06</v>
      </c>
      <c r="BT3245" s="42"/>
    </row>
    <row r="3246" spans="1:72" x14ac:dyDescent="0.25">
      <c r="A3246" s="90">
        <v>36295</v>
      </c>
      <c r="B3246" s="20">
        <v>0.5</v>
      </c>
      <c r="D3246">
        <v>73.039999999999992</v>
      </c>
      <c r="E3246" t="str">
        <f t="shared" si="136"/>
        <v>SATURDAY</v>
      </c>
      <c r="F3246" t="e">
        <f t="shared" si="137"/>
        <v>#N/A</v>
      </c>
      <c r="G3246" s="74">
        <v>31912</v>
      </c>
      <c r="H3246" s="77">
        <v>0.5</v>
      </c>
      <c r="J3246">
        <v>68</v>
      </c>
      <c r="M3246" s="74">
        <v>34469</v>
      </c>
      <c r="N3246" s="77">
        <v>0.5</v>
      </c>
      <c r="P3246">
        <v>69.98</v>
      </c>
      <c r="S3246" s="74">
        <v>36295</v>
      </c>
      <c r="T3246" s="77">
        <v>0.5</v>
      </c>
      <c r="V3246">
        <v>66.92</v>
      </c>
      <c r="X3246" s="42"/>
      <c r="AB3246">
        <v>63.7</v>
      </c>
      <c r="AC3246">
        <v>66.92</v>
      </c>
      <c r="AE3246" s="74"/>
      <c r="AF3246" s="77"/>
      <c r="AH3246" s="497">
        <v>57.2</v>
      </c>
      <c r="AJ3246" s="42"/>
      <c r="AK3246" s="74"/>
      <c r="AL3246" s="77"/>
      <c r="AN3246" s="497">
        <v>69.080000000000013</v>
      </c>
      <c r="AP3246" s="42"/>
      <c r="AQ3246" s="74"/>
      <c r="AR3246" s="77"/>
      <c r="AT3246" s="497">
        <v>64.94</v>
      </c>
      <c r="AV3246" s="42"/>
      <c r="AW3246" s="74"/>
      <c r="AX3246" s="77"/>
      <c r="BA3246" s="497">
        <v>69.98</v>
      </c>
      <c r="BB3246" s="42"/>
      <c r="BC3246" s="74"/>
      <c r="BD3246" s="77"/>
      <c r="BF3246">
        <v>62.96</v>
      </c>
      <c r="BH3246" s="42"/>
      <c r="BI3246" s="74"/>
      <c r="BJ3246" s="77"/>
      <c r="BL3246" s="497">
        <v>75.92</v>
      </c>
      <c r="BN3246" s="42"/>
      <c r="BO3246" s="74"/>
      <c r="BP3246" s="77"/>
      <c r="BR3246" s="497">
        <v>55.040000000000006</v>
      </c>
      <c r="BT3246" s="42"/>
    </row>
    <row r="3247" spans="1:72" x14ac:dyDescent="0.25">
      <c r="A3247" s="90">
        <v>36295</v>
      </c>
      <c r="B3247" s="20">
        <v>0.54166666666666663</v>
      </c>
      <c r="D3247">
        <v>71.06</v>
      </c>
      <c r="E3247" t="str">
        <f t="shared" si="136"/>
        <v>SATURDAY</v>
      </c>
      <c r="F3247" t="e">
        <f t="shared" si="137"/>
        <v>#N/A</v>
      </c>
      <c r="G3247" s="74">
        <v>31912</v>
      </c>
      <c r="H3247" s="77">
        <v>0.54166666666666663</v>
      </c>
      <c r="J3247">
        <v>68</v>
      </c>
      <c r="M3247" s="74">
        <v>34469</v>
      </c>
      <c r="N3247" s="77">
        <v>0.54166666666666663</v>
      </c>
      <c r="P3247">
        <v>70.88</v>
      </c>
      <c r="S3247" s="74">
        <v>36295</v>
      </c>
      <c r="T3247" s="77">
        <v>0.54166666666666663</v>
      </c>
      <c r="V3247">
        <v>69.080000000000013</v>
      </c>
      <c r="X3247" s="42"/>
      <c r="AB3247">
        <v>64.5</v>
      </c>
      <c r="AC3247">
        <v>69.98</v>
      </c>
      <c r="AE3247" s="74"/>
      <c r="AF3247" s="77"/>
      <c r="AH3247" s="497">
        <v>57.2</v>
      </c>
      <c r="AJ3247" s="42"/>
      <c r="AK3247" s="74"/>
      <c r="AL3247" s="77"/>
      <c r="AN3247" s="497">
        <v>71.960000000000008</v>
      </c>
      <c r="AP3247" s="42"/>
      <c r="AQ3247" s="74"/>
      <c r="AR3247" s="77"/>
      <c r="AT3247" s="497">
        <v>66.02</v>
      </c>
      <c r="AV3247" s="42"/>
      <c r="AW3247" s="74"/>
      <c r="AX3247" s="77"/>
      <c r="BA3247" s="497">
        <v>73.94</v>
      </c>
      <c r="BB3247" s="42"/>
      <c r="BC3247" s="74"/>
      <c r="BD3247" s="77"/>
      <c r="BF3247">
        <v>62.96</v>
      </c>
      <c r="BH3247" s="42"/>
      <c r="BI3247" s="74"/>
      <c r="BJ3247" s="77"/>
      <c r="BL3247" s="497">
        <v>78.080000000000013</v>
      </c>
      <c r="BN3247" s="42"/>
      <c r="BO3247" s="74"/>
      <c r="BP3247" s="77"/>
      <c r="BR3247" s="497">
        <v>57.019999999999996</v>
      </c>
      <c r="BT3247" s="42"/>
    </row>
    <row r="3248" spans="1:72" x14ac:dyDescent="0.25">
      <c r="A3248" s="90">
        <v>36295</v>
      </c>
      <c r="B3248" s="20">
        <v>0.58333333333333337</v>
      </c>
      <c r="D3248">
        <v>69.98</v>
      </c>
      <c r="E3248" t="str">
        <f t="shared" si="136"/>
        <v>SATURDAY</v>
      </c>
      <c r="F3248" t="e">
        <f t="shared" si="137"/>
        <v>#N/A</v>
      </c>
      <c r="G3248" s="74">
        <v>31912</v>
      </c>
      <c r="H3248" s="77">
        <v>0.58333333333333337</v>
      </c>
      <c r="J3248">
        <v>71.960000000000008</v>
      </c>
      <c r="M3248" s="74">
        <v>34469</v>
      </c>
      <c r="N3248" s="77">
        <v>0.58333333333333337</v>
      </c>
      <c r="P3248">
        <v>69.98</v>
      </c>
      <c r="S3248" s="74">
        <v>36295</v>
      </c>
      <c r="T3248" s="77">
        <v>0.58333333333333337</v>
      </c>
      <c r="V3248">
        <v>64.039999999999992</v>
      </c>
      <c r="X3248" s="42"/>
      <c r="AB3248">
        <v>64.900000000000006</v>
      </c>
      <c r="AC3248">
        <v>64.039999999999992</v>
      </c>
      <c r="AE3248" s="74"/>
      <c r="AF3248" s="77"/>
      <c r="AH3248" s="497">
        <v>60.8</v>
      </c>
      <c r="AJ3248" s="42"/>
      <c r="AK3248" s="74"/>
      <c r="AL3248" s="77"/>
      <c r="AN3248" s="497">
        <v>73.039999999999992</v>
      </c>
      <c r="AP3248" s="42"/>
      <c r="AQ3248" s="74"/>
      <c r="AR3248" s="77"/>
      <c r="AT3248" s="497">
        <v>66.92</v>
      </c>
      <c r="AV3248" s="42"/>
      <c r="AW3248" s="74"/>
      <c r="AX3248" s="77"/>
      <c r="BA3248" s="497">
        <v>75.02</v>
      </c>
      <c r="BB3248" s="42"/>
      <c r="BC3248" s="74"/>
      <c r="BD3248" s="77"/>
      <c r="BF3248">
        <v>62.06</v>
      </c>
      <c r="BH3248" s="42"/>
      <c r="BI3248" s="74"/>
      <c r="BJ3248" s="77"/>
      <c r="BL3248" s="497">
        <v>80.06</v>
      </c>
      <c r="BN3248" s="42"/>
      <c r="BO3248" s="74"/>
      <c r="BP3248" s="77"/>
      <c r="BR3248" s="497">
        <v>57.019999999999996</v>
      </c>
      <c r="BT3248" s="42"/>
    </row>
    <row r="3249" spans="1:72" x14ac:dyDescent="0.25">
      <c r="A3249" s="90">
        <v>36295</v>
      </c>
      <c r="B3249" s="20">
        <v>0.625</v>
      </c>
      <c r="D3249">
        <v>69.98</v>
      </c>
      <c r="E3249" t="str">
        <f t="shared" si="136"/>
        <v>SATURDAY</v>
      </c>
      <c r="F3249" t="e">
        <f t="shared" si="137"/>
        <v>#N/A</v>
      </c>
      <c r="G3249" s="74">
        <v>31912</v>
      </c>
      <c r="H3249" s="77">
        <v>0.625</v>
      </c>
      <c r="J3249">
        <v>73.039999999999992</v>
      </c>
      <c r="M3249" s="74">
        <v>34469</v>
      </c>
      <c r="N3249" s="77">
        <v>0.625</v>
      </c>
      <c r="P3249">
        <v>69.98</v>
      </c>
      <c r="S3249" s="74">
        <v>36295</v>
      </c>
      <c r="T3249" s="77">
        <v>0.625</v>
      </c>
      <c r="V3249">
        <v>64.400000000000006</v>
      </c>
      <c r="X3249" s="42"/>
      <c r="AB3249">
        <v>64.8</v>
      </c>
      <c r="AC3249">
        <v>62.96</v>
      </c>
      <c r="AE3249" s="74"/>
      <c r="AF3249" s="77"/>
      <c r="AH3249" s="497">
        <v>62.6</v>
      </c>
      <c r="AJ3249" s="42"/>
      <c r="AK3249" s="74"/>
      <c r="AL3249" s="77"/>
      <c r="AN3249" s="497">
        <v>73.039999999999992</v>
      </c>
      <c r="AP3249" s="42"/>
      <c r="AQ3249" s="74"/>
      <c r="AR3249" s="77"/>
      <c r="AT3249" s="497">
        <v>66.92</v>
      </c>
      <c r="AV3249" s="42"/>
      <c r="AW3249" s="74"/>
      <c r="AX3249" s="77"/>
      <c r="BA3249" s="497">
        <v>75.92</v>
      </c>
      <c r="BB3249" s="42"/>
      <c r="BC3249" s="74"/>
      <c r="BD3249" s="77"/>
      <c r="BF3249">
        <v>62.96</v>
      </c>
      <c r="BH3249" s="42"/>
      <c r="BI3249" s="74"/>
      <c r="BJ3249" s="77"/>
      <c r="BL3249" s="497">
        <v>78.98</v>
      </c>
      <c r="BN3249" s="42"/>
      <c r="BO3249" s="74"/>
      <c r="BP3249" s="77"/>
      <c r="BR3249" s="497">
        <v>62.06</v>
      </c>
      <c r="BT3249" s="42"/>
    </row>
    <row r="3250" spans="1:72" x14ac:dyDescent="0.25">
      <c r="A3250" s="90">
        <v>36295</v>
      </c>
      <c r="B3250" s="20">
        <v>0.66666666666666663</v>
      </c>
      <c r="D3250">
        <v>69.98</v>
      </c>
      <c r="E3250" t="str">
        <f t="shared" si="136"/>
        <v>SATURDAY</v>
      </c>
      <c r="F3250" t="e">
        <f t="shared" si="137"/>
        <v>#N/A</v>
      </c>
      <c r="G3250" s="74">
        <v>31912</v>
      </c>
      <c r="H3250" s="77">
        <v>0.66666666666666663</v>
      </c>
      <c r="J3250">
        <v>73.039999999999992</v>
      </c>
      <c r="M3250" s="74">
        <v>34469</v>
      </c>
      <c r="N3250" s="77">
        <v>0.66666666666666663</v>
      </c>
      <c r="P3250">
        <v>68</v>
      </c>
      <c r="S3250" s="74">
        <v>36295</v>
      </c>
      <c r="T3250" s="77">
        <v>0.66666666666666663</v>
      </c>
      <c r="V3250">
        <v>57.92</v>
      </c>
      <c r="X3250" s="42"/>
      <c r="AB3250">
        <v>64.400000000000006</v>
      </c>
      <c r="AC3250">
        <v>66.02</v>
      </c>
      <c r="AE3250" s="74"/>
      <c r="AF3250" s="77"/>
      <c r="AH3250" s="497">
        <v>62.6</v>
      </c>
      <c r="AJ3250" s="42"/>
      <c r="AK3250" s="74"/>
      <c r="AL3250" s="77"/>
      <c r="AN3250" s="497">
        <v>73.039999999999992</v>
      </c>
      <c r="AP3250" s="42"/>
      <c r="AQ3250" s="74"/>
      <c r="AR3250" s="77"/>
      <c r="AT3250" s="497">
        <v>66.02</v>
      </c>
      <c r="AV3250" s="42"/>
      <c r="AW3250" s="74"/>
      <c r="AX3250" s="77"/>
      <c r="BA3250" s="497">
        <v>73.94</v>
      </c>
      <c r="BB3250" s="42"/>
      <c r="BC3250" s="74"/>
      <c r="BD3250" s="77"/>
      <c r="BF3250">
        <v>62.06</v>
      </c>
      <c r="BH3250" s="42"/>
      <c r="BI3250" s="74"/>
      <c r="BJ3250" s="77"/>
      <c r="BL3250" s="497">
        <v>78.080000000000013</v>
      </c>
      <c r="BN3250" s="42"/>
      <c r="BO3250" s="74"/>
      <c r="BP3250" s="77"/>
      <c r="BR3250" s="497">
        <v>60.980000000000004</v>
      </c>
      <c r="BT3250" s="42"/>
    </row>
    <row r="3251" spans="1:72" x14ac:dyDescent="0.25">
      <c r="A3251" s="90">
        <v>36295</v>
      </c>
      <c r="B3251" s="20">
        <v>0.70833333333333337</v>
      </c>
      <c r="D3251">
        <v>64.94</v>
      </c>
      <c r="E3251" t="str">
        <f t="shared" si="136"/>
        <v>SATURDAY</v>
      </c>
      <c r="F3251" t="e">
        <f t="shared" si="137"/>
        <v>#N/A</v>
      </c>
      <c r="G3251" s="74">
        <v>31912</v>
      </c>
      <c r="H3251" s="77">
        <v>0.70833333333333337</v>
      </c>
      <c r="J3251">
        <v>71.06</v>
      </c>
      <c r="M3251" s="74">
        <v>34469</v>
      </c>
      <c r="N3251" s="77">
        <v>0.70833333333333337</v>
      </c>
      <c r="P3251">
        <v>61.88</v>
      </c>
      <c r="S3251" s="74">
        <v>36295</v>
      </c>
      <c r="T3251" s="77">
        <v>0.70833333333333337</v>
      </c>
      <c r="V3251">
        <v>57.019999999999996</v>
      </c>
      <c r="X3251" s="42"/>
      <c r="AB3251">
        <v>63.7</v>
      </c>
      <c r="AC3251">
        <v>64.94</v>
      </c>
      <c r="AE3251" s="74"/>
      <c r="AF3251" s="77"/>
      <c r="AH3251" s="497">
        <v>62.6</v>
      </c>
      <c r="AJ3251" s="42"/>
      <c r="AK3251" s="74"/>
      <c r="AL3251" s="77"/>
      <c r="AN3251" s="497">
        <v>71.960000000000008</v>
      </c>
      <c r="AP3251" s="42"/>
      <c r="AQ3251" s="74"/>
      <c r="AR3251" s="77"/>
      <c r="AT3251" s="497">
        <v>66.02</v>
      </c>
      <c r="AV3251" s="42"/>
      <c r="AW3251" s="74"/>
      <c r="AX3251" s="77"/>
      <c r="BA3251" s="497">
        <v>73.039999999999992</v>
      </c>
      <c r="BB3251" s="42"/>
      <c r="BC3251" s="74"/>
      <c r="BD3251" s="77"/>
      <c r="BF3251">
        <v>60.980000000000004</v>
      </c>
      <c r="BH3251" s="42"/>
      <c r="BI3251" s="74"/>
      <c r="BJ3251" s="77"/>
      <c r="BL3251" s="497">
        <v>75.92</v>
      </c>
      <c r="BN3251" s="42"/>
      <c r="BO3251" s="74"/>
      <c r="BP3251" s="77"/>
      <c r="BR3251" s="497">
        <v>60.08</v>
      </c>
      <c r="BT3251" s="42"/>
    </row>
    <row r="3252" spans="1:72" x14ac:dyDescent="0.25">
      <c r="A3252" s="90">
        <v>36295</v>
      </c>
      <c r="B3252" s="20">
        <v>0.75</v>
      </c>
      <c r="D3252">
        <v>66.02</v>
      </c>
      <c r="E3252" t="str">
        <f t="shared" si="136"/>
        <v>SATURDAY</v>
      </c>
      <c r="F3252" t="e">
        <f t="shared" si="137"/>
        <v>#N/A</v>
      </c>
      <c r="G3252" s="74">
        <v>31912</v>
      </c>
      <c r="H3252" s="77">
        <v>0.75</v>
      </c>
      <c r="J3252">
        <v>69.080000000000013</v>
      </c>
      <c r="M3252" s="74">
        <v>34469</v>
      </c>
      <c r="N3252" s="77">
        <v>0.75</v>
      </c>
      <c r="P3252">
        <v>61.88</v>
      </c>
      <c r="S3252" s="74">
        <v>36295</v>
      </c>
      <c r="T3252" s="77">
        <v>0.75</v>
      </c>
      <c r="V3252">
        <v>55.040000000000006</v>
      </c>
      <c r="X3252" s="42"/>
      <c r="AB3252">
        <v>62.6</v>
      </c>
      <c r="AC3252">
        <v>62.96</v>
      </c>
      <c r="AE3252" s="74"/>
      <c r="AF3252" s="77"/>
      <c r="AH3252" s="497">
        <v>60.8</v>
      </c>
      <c r="AJ3252" s="42"/>
      <c r="AK3252" s="74"/>
      <c r="AL3252" s="77"/>
      <c r="AN3252" s="497">
        <v>69.98</v>
      </c>
      <c r="AP3252" s="42"/>
      <c r="AQ3252" s="74"/>
      <c r="AR3252" s="77"/>
      <c r="AT3252" s="497">
        <v>64.94</v>
      </c>
      <c r="AV3252" s="42"/>
      <c r="AW3252" s="74"/>
      <c r="AX3252" s="77"/>
      <c r="BA3252" s="497">
        <v>69.080000000000013</v>
      </c>
      <c r="BB3252" s="42"/>
      <c r="BC3252" s="74"/>
      <c r="BD3252" s="77"/>
      <c r="BF3252">
        <v>60.08</v>
      </c>
      <c r="BH3252" s="42"/>
      <c r="BI3252" s="74"/>
      <c r="BJ3252" s="77"/>
      <c r="BL3252" s="497">
        <v>77</v>
      </c>
      <c r="BN3252" s="42"/>
      <c r="BO3252" s="74"/>
      <c r="BP3252" s="77"/>
      <c r="BR3252" s="497">
        <v>59</v>
      </c>
      <c r="BT3252" s="42"/>
    </row>
    <row r="3253" spans="1:72" x14ac:dyDescent="0.25">
      <c r="A3253" s="90">
        <v>36295</v>
      </c>
      <c r="B3253" s="20">
        <v>0.79166666666666663</v>
      </c>
      <c r="D3253">
        <v>64.039999999999992</v>
      </c>
      <c r="E3253" t="str">
        <f t="shared" si="136"/>
        <v>SATURDAY</v>
      </c>
      <c r="F3253" t="e">
        <f t="shared" si="137"/>
        <v>#N/A</v>
      </c>
      <c r="G3253" s="74">
        <v>31912</v>
      </c>
      <c r="H3253" s="77">
        <v>0.79166666666666663</v>
      </c>
      <c r="J3253">
        <v>66.92</v>
      </c>
      <c r="M3253" s="74">
        <v>34469</v>
      </c>
      <c r="N3253" s="77">
        <v>0.79166666666666663</v>
      </c>
      <c r="P3253">
        <v>60.980000000000004</v>
      </c>
      <c r="S3253" s="74">
        <v>36295</v>
      </c>
      <c r="T3253" s="77">
        <v>0.79166666666666663</v>
      </c>
      <c r="V3253">
        <v>55.040000000000006</v>
      </c>
      <c r="X3253" s="42"/>
      <c r="AB3253">
        <v>61.2</v>
      </c>
      <c r="AC3253">
        <v>60.980000000000004</v>
      </c>
      <c r="AE3253" s="74"/>
      <c r="AF3253" s="77"/>
      <c r="AH3253" s="497">
        <v>57.2</v>
      </c>
      <c r="AJ3253" s="42"/>
      <c r="AK3253" s="74"/>
      <c r="AL3253" s="77"/>
      <c r="AN3253" s="497">
        <v>68</v>
      </c>
      <c r="AP3253" s="42"/>
      <c r="AQ3253" s="74"/>
      <c r="AR3253" s="77"/>
      <c r="AT3253" s="497">
        <v>62.96</v>
      </c>
      <c r="AV3253" s="42"/>
      <c r="AW3253" s="74"/>
      <c r="AX3253" s="77"/>
      <c r="BA3253" s="497">
        <v>64.039999999999992</v>
      </c>
      <c r="BB3253" s="42"/>
      <c r="BC3253" s="74"/>
      <c r="BD3253" s="77"/>
      <c r="BF3253">
        <v>57.92</v>
      </c>
      <c r="BH3253" s="42"/>
      <c r="BI3253" s="74"/>
      <c r="BJ3253" s="77"/>
      <c r="BL3253" s="497">
        <v>68</v>
      </c>
      <c r="BN3253" s="42"/>
      <c r="BO3253" s="74"/>
      <c r="BP3253" s="77"/>
      <c r="BR3253" s="497">
        <v>57.92</v>
      </c>
      <c r="BT3253" s="42"/>
    </row>
    <row r="3254" spans="1:72" x14ac:dyDescent="0.25">
      <c r="A3254" s="90">
        <v>36295</v>
      </c>
      <c r="B3254" s="20">
        <v>0.83333333333333337</v>
      </c>
      <c r="D3254">
        <v>62.96</v>
      </c>
      <c r="E3254" t="str">
        <f t="shared" si="136"/>
        <v>SATURDAY</v>
      </c>
      <c r="F3254" t="e">
        <f t="shared" si="137"/>
        <v>#N/A</v>
      </c>
      <c r="G3254" s="74">
        <v>31912</v>
      </c>
      <c r="H3254" s="77">
        <v>0.83333333333333337</v>
      </c>
      <c r="J3254">
        <v>64.94</v>
      </c>
      <c r="M3254" s="74">
        <v>34469</v>
      </c>
      <c r="N3254" s="77">
        <v>0.83333333333333337</v>
      </c>
      <c r="P3254">
        <v>59</v>
      </c>
      <c r="S3254" s="74">
        <v>36295</v>
      </c>
      <c r="T3254" s="77">
        <v>0.83333333333333337</v>
      </c>
      <c r="V3254">
        <v>53.06</v>
      </c>
      <c r="X3254" s="42"/>
      <c r="AB3254">
        <v>59.8</v>
      </c>
      <c r="AC3254">
        <v>59</v>
      </c>
      <c r="AE3254" s="74"/>
      <c r="AF3254" s="77"/>
      <c r="AH3254" s="497">
        <v>53.6</v>
      </c>
      <c r="AJ3254" s="42"/>
      <c r="AK3254" s="74"/>
      <c r="AL3254" s="77"/>
      <c r="AN3254" s="497">
        <v>64.039999999999992</v>
      </c>
      <c r="AP3254" s="42"/>
      <c r="AQ3254" s="74"/>
      <c r="AR3254" s="77"/>
      <c r="AT3254" s="497">
        <v>60.980000000000004</v>
      </c>
      <c r="AV3254" s="42"/>
      <c r="AW3254" s="74"/>
      <c r="AX3254" s="77"/>
      <c r="BA3254" s="497">
        <v>62.06</v>
      </c>
      <c r="BB3254" s="42"/>
      <c r="BC3254" s="74"/>
      <c r="BD3254" s="77"/>
      <c r="BF3254">
        <v>53.96</v>
      </c>
      <c r="BH3254" s="42"/>
      <c r="BI3254" s="74"/>
      <c r="BJ3254" s="77"/>
      <c r="BL3254" s="497">
        <v>64.039999999999992</v>
      </c>
      <c r="BN3254" s="42"/>
      <c r="BO3254" s="74"/>
      <c r="BP3254" s="77"/>
      <c r="BR3254" s="497">
        <v>53.06</v>
      </c>
      <c r="BT3254" s="42"/>
    </row>
    <row r="3255" spans="1:72" x14ac:dyDescent="0.25">
      <c r="A3255" s="90">
        <v>36295</v>
      </c>
      <c r="B3255" s="20">
        <v>0.875</v>
      </c>
      <c r="D3255">
        <v>62.06</v>
      </c>
      <c r="E3255" t="str">
        <f t="shared" si="136"/>
        <v>SATURDAY</v>
      </c>
      <c r="F3255" t="e">
        <f t="shared" si="137"/>
        <v>#N/A</v>
      </c>
      <c r="G3255" s="74">
        <v>31912</v>
      </c>
      <c r="H3255" s="77">
        <v>0.875</v>
      </c>
      <c r="J3255">
        <v>62.96</v>
      </c>
      <c r="M3255" s="74">
        <v>34469</v>
      </c>
      <c r="N3255" s="77">
        <v>0.875</v>
      </c>
      <c r="P3255">
        <v>56.84</v>
      </c>
      <c r="S3255" s="74">
        <v>36295</v>
      </c>
      <c r="T3255" s="77">
        <v>0.875</v>
      </c>
      <c r="V3255">
        <v>53.06</v>
      </c>
      <c r="X3255" s="42"/>
      <c r="AB3255">
        <v>58.8</v>
      </c>
      <c r="AC3255">
        <v>57.019999999999996</v>
      </c>
      <c r="AE3255" s="74"/>
      <c r="AF3255" s="77"/>
      <c r="AH3255" s="497">
        <v>48.2</v>
      </c>
      <c r="AJ3255" s="42"/>
      <c r="AK3255" s="74"/>
      <c r="AL3255" s="77"/>
      <c r="AN3255" s="497">
        <v>62.06</v>
      </c>
      <c r="AP3255" s="42"/>
      <c r="AQ3255" s="74"/>
      <c r="AR3255" s="77"/>
      <c r="AT3255" s="497">
        <v>59</v>
      </c>
      <c r="AV3255" s="42"/>
      <c r="AW3255" s="74"/>
      <c r="AX3255" s="77"/>
      <c r="BA3255" s="497">
        <v>62.06</v>
      </c>
      <c r="BB3255" s="42"/>
      <c r="BC3255" s="74"/>
      <c r="BD3255" s="77"/>
      <c r="BF3255">
        <v>53.06</v>
      </c>
      <c r="BH3255" s="42"/>
      <c r="BI3255" s="74"/>
      <c r="BJ3255" s="77"/>
      <c r="BL3255" s="497">
        <v>64.039999999999992</v>
      </c>
      <c r="BN3255" s="42"/>
      <c r="BO3255" s="74"/>
      <c r="BP3255" s="77"/>
      <c r="BR3255" s="497">
        <v>50</v>
      </c>
      <c r="BT3255" s="42"/>
    </row>
    <row r="3256" spans="1:72" x14ac:dyDescent="0.25">
      <c r="A3256" s="90">
        <v>36295</v>
      </c>
      <c r="B3256" s="20">
        <v>0.91666666666666663</v>
      </c>
      <c r="D3256">
        <v>59</v>
      </c>
      <c r="E3256" t="str">
        <f t="shared" si="136"/>
        <v>SATURDAY</v>
      </c>
      <c r="F3256" t="e">
        <f t="shared" si="137"/>
        <v>#N/A</v>
      </c>
      <c r="G3256" s="74">
        <v>31912</v>
      </c>
      <c r="H3256" s="77">
        <v>0.91666666666666663</v>
      </c>
      <c r="J3256">
        <v>60.08</v>
      </c>
      <c r="M3256" s="74">
        <v>34469</v>
      </c>
      <c r="N3256" s="77">
        <v>0.91666666666666663</v>
      </c>
      <c r="P3256">
        <v>55.94</v>
      </c>
      <c r="S3256" s="74">
        <v>36295</v>
      </c>
      <c r="T3256" s="77">
        <v>0.91666666666666663</v>
      </c>
      <c r="V3256">
        <v>51.08</v>
      </c>
      <c r="X3256" s="42"/>
      <c r="AB3256">
        <v>58.3</v>
      </c>
      <c r="AC3256">
        <v>55.94</v>
      </c>
      <c r="AE3256" s="74"/>
      <c r="AF3256" s="77"/>
      <c r="AH3256" s="497">
        <v>42.8</v>
      </c>
      <c r="AJ3256" s="42"/>
      <c r="AK3256" s="74"/>
      <c r="AL3256" s="77"/>
      <c r="AN3256" s="497">
        <v>60.980000000000004</v>
      </c>
      <c r="AP3256" s="42"/>
      <c r="AQ3256" s="74"/>
      <c r="AR3256" s="77"/>
      <c r="AT3256" s="497">
        <v>59</v>
      </c>
      <c r="AV3256" s="42"/>
      <c r="AW3256" s="74"/>
      <c r="AX3256" s="77"/>
      <c r="BA3256" s="497">
        <v>62.06</v>
      </c>
      <c r="BB3256" s="42"/>
      <c r="BC3256" s="74"/>
      <c r="BD3256" s="77"/>
      <c r="BF3256">
        <v>51.980000000000004</v>
      </c>
      <c r="BH3256" s="42"/>
      <c r="BI3256" s="74"/>
      <c r="BJ3256" s="77"/>
      <c r="BL3256" s="497">
        <v>64.039999999999992</v>
      </c>
      <c r="BN3256" s="42"/>
      <c r="BO3256" s="74"/>
      <c r="BP3256" s="77"/>
      <c r="BR3256" s="497">
        <v>44.96</v>
      </c>
      <c r="BT3256" s="42"/>
    </row>
    <row r="3257" spans="1:72" x14ac:dyDescent="0.25">
      <c r="A3257" s="90">
        <v>36295</v>
      </c>
      <c r="B3257" s="20">
        <v>0.95833333333333337</v>
      </c>
      <c r="D3257">
        <v>57.019999999999996</v>
      </c>
      <c r="E3257" t="str">
        <f t="shared" si="136"/>
        <v>SATURDAY</v>
      </c>
      <c r="F3257" t="e">
        <f t="shared" si="137"/>
        <v>#N/A</v>
      </c>
      <c r="G3257" s="74">
        <v>31912</v>
      </c>
      <c r="H3257" s="77">
        <v>0.95833333333333337</v>
      </c>
      <c r="J3257">
        <v>57.92</v>
      </c>
      <c r="M3257" s="74">
        <v>34469</v>
      </c>
      <c r="N3257" s="77">
        <v>0.95833333333333337</v>
      </c>
      <c r="P3257">
        <v>56.84</v>
      </c>
      <c r="S3257" s="74">
        <v>36295</v>
      </c>
      <c r="T3257" s="77">
        <v>0.95833333333333337</v>
      </c>
      <c r="V3257">
        <v>51.08</v>
      </c>
      <c r="X3257" s="42"/>
      <c r="AB3257">
        <v>57.7</v>
      </c>
      <c r="AC3257">
        <v>53.96</v>
      </c>
      <c r="AE3257" s="74"/>
      <c r="AF3257" s="77"/>
      <c r="AH3257" s="497">
        <v>42.8</v>
      </c>
      <c r="AJ3257" s="42"/>
      <c r="AK3257" s="74"/>
      <c r="AL3257" s="77"/>
      <c r="AN3257" s="497">
        <v>57.019999999999996</v>
      </c>
      <c r="AP3257" s="42"/>
      <c r="AQ3257" s="74"/>
      <c r="AR3257" s="77"/>
      <c r="AT3257" s="497">
        <v>57.92</v>
      </c>
      <c r="AV3257" s="42"/>
      <c r="AW3257" s="74"/>
      <c r="AX3257" s="77"/>
      <c r="BA3257" s="497">
        <v>60.980000000000004</v>
      </c>
      <c r="BB3257" s="42"/>
      <c r="BC3257" s="74"/>
      <c r="BD3257" s="77"/>
      <c r="BF3257">
        <v>51.980000000000004</v>
      </c>
      <c r="BH3257" s="42"/>
      <c r="BI3257" s="74"/>
      <c r="BJ3257" s="77"/>
      <c r="BL3257" s="497">
        <v>62.96</v>
      </c>
      <c r="BN3257" s="42"/>
      <c r="BO3257" s="74"/>
      <c r="BP3257" s="77"/>
      <c r="BR3257" s="497">
        <v>44.96</v>
      </c>
      <c r="BT3257" s="42"/>
    </row>
    <row r="3258" spans="1:72" x14ac:dyDescent="0.25">
      <c r="A3258" s="90">
        <v>36295</v>
      </c>
      <c r="B3258" s="20">
        <v>1</v>
      </c>
      <c r="D3258">
        <v>57.019999999999996</v>
      </c>
      <c r="E3258" t="str">
        <f t="shared" si="136"/>
        <v>SATURDAY</v>
      </c>
      <c r="F3258" t="e">
        <f t="shared" si="137"/>
        <v>#N/A</v>
      </c>
      <c r="G3258" s="74">
        <v>31912</v>
      </c>
      <c r="H3258" s="77">
        <v>1</v>
      </c>
      <c r="J3258">
        <v>55.94</v>
      </c>
      <c r="M3258" s="74">
        <v>34469</v>
      </c>
      <c r="N3258" s="80">
        <v>1</v>
      </c>
      <c r="P3258">
        <v>54.86</v>
      </c>
      <c r="S3258" s="74">
        <v>36295</v>
      </c>
      <c r="T3258" s="80">
        <v>1</v>
      </c>
      <c r="V3258">
        <v>51.08</v>
      </c>
      <c r="X3258" s="42"/>
      <c r="AB3258">
        <v>57.1</v>
      </c>
      <c r="AC3258">
        <v>53.96</v>
      </c>
      <c r="AE3258" s="74"/>
      <c r="AF3258" s="80"/>
      <c r="AH3258" s="497">
        <v>39.200000000000003</v>
      </c>
      <c r="AJ3258" s="42"/>
      <c r="AK3258" s="74"/>
      <c r="AL3258" s="80"/>
      <c r="AN3258" s="497">
        <v>55.040000000000006</v>
      </c>
      <c r="AP3258" s="42"/>
      <c r="AQ3258" s="74"/>
      <c r="AR3258" s="80"/>
      <c r="AT3258" s="497">
        <v>55.94</v>
      </c>
      <c r="AV3258" s="42"/>
      <c r="AW3258" s="74"/>
      <c r="AX3258" s="80"/>
      <c r="BA3258" s="497">
        <v>60.980000000000004</v>
      </c>
      <c r="BB3258" s="42"/>
      <c r="BC3258" s="74"/>
      <c r="BD3258" s="80"/>
      <c r="BF3258">
        <v>51.980000000000004</v>
      </c>
      <c r="BH3258" s="42"/>
      <c r="BI3258" s="74"/>
      <c r="BJ3258" s="80"/>
      <c r="BL3258" s="497">
        <v>62.06</v>
      </c>
      <c r="BN3258" s="42"/>
      <c r="BO3258" s="74"/>
      <c r="BP3258" s="80"/>
      <c r="BR3258" s="497">
        <v>46.94</v>
      </c>
      <c r="BT3258" s="42"/>
    </row>
    <row r="3259" spans="1:72" x14ac:dyDescent="0.25">
      <c r="A3259" s="90">
        <v>36296</v>
      </c>
      <c r="B3259" s="20">
        <v>4.1666666666666664E-2</v>
      </c>
      <c r="D3259">
        <v>55.040000000000006</v>
      </c>
      <c r="E3259" t="str">
        <f t="shared" si="136"/>
        <v>SUNDAY</v>
      </c>
      <c r="F3259" t="e">
        <f t="shared" si="137"/>
        <v>#N/A</v>
      </c>
      <c r="G3259" s="74">
        <v>31913</v>
      </c>
      <c r="H3259" s="77">
        <v>4.1666666666666664E-2</v>
      </c>
      <c r="J3259">
        <v>53.96</v>
      </c>
      <c r="M3259" s="74">
        <v>34470</v>
      </c>
      <c r="N3259" s="77">
        <v>4.1666666666666664E-2</v>
      </c>
      <c r="P3259">
        <v>54.86</v>
      </c>
      <c r="S3259" s="74">
        <v>36296</v>
      </c>
      <c r="T3259" s="77">
        <v>4.1666666666666664E-2</v>
      </c>
      <c r="V3259">
        <v>48.92</v>
      </c>
      <c r="X3259" s="42"/>
      <c r="AB3259">
        <v>56.6</v>
      </c>
      <c r="AC3259">
        <v>51.980000000000004</v>
      </c>
      <c r="AE3259" s="74"/>
      <c r="AF3259" s="77"/>
      <c r="AH3259" s="497">
        <v>39.200000000000003</v>
      </c>
      <c r="AJ3259" s="42"/>
      <c r="AK3259" s="74"/>
      <c r="AL3259" s="77"/>
      <c r="AN3259" s="497">
        <v>53.96</v>
      </c>
      <c r="AP3259" s="42"/>
      <c r="AQ3259" s="74"/>
      <c r="AR3259" s="77"/>
      <c r="AT3259" s="497">
        <v>55.040000000000006</v>
      </c>
      <c r="AV3259" s="42"/>
      <c r="AW3259" s="74"/>
      <c r="AX3259" s="77"/>
      <c r="BA3259" s="497">
        <v>60.980000000000004</v>
      </c>
      <c r="BB3259" s="42"/>
      <c r="BC3259" s="74"/>
      <c r="BD3259" s="77"/>
      <c r="BF3259">
        <v>51.980000000000004</v>
      </c>
      <c r="BH3259" s="42"/>
      <c r="BI3259" s="74"/>
      <c r="BJ3259" s="77"/>
      <c r="BL3259" s="497">
        <v>60.980000000000004</v>
      </c>
      <c r="BN3259" s="42"/>
      <c r="BO3259" s="74"/>
      <c r="BP3259" s="77"/>
      <c r="BR3259" s="497">
        <v>46.04</v>
      </c>
      <c r="BT3259" s="42"/>
    </row>
    <row r="3260" spans="1:72" x14ac:dyDescent="0.25">
      <c r="A3260" s="90">
        <v>36296</v>
      </c>
      <c r="B3260" s="20">
        <v>8.3333333333333329E-2</v>
      </c>
      <c r="D3260">
        <v>55.040000000000006</v>
      </c>
      <c r="E3260" t="str">
        <f t="shared" si="136"/>
        <v>SUNDAY</v>
      </c>
      <c r="F3260" t="e">
        <f t="shared" si="137"/>
        <v>#N/A</v>
      </c>
      <c r="G3260" s="74">
        <v>31913</v>
      </c>
      <c r="H3260" s="77">
        <v>8.3333333333333329E-2</v>
      </c>
      <c r="J3260">
        <v>51.980000000000004</v>
      </c>
      <c r="M3260" s="74">
        <v>34470</v>
      </c>
      <c r="N3260" s="77">
        <v>8.3333333333333329E-2</v>
      </c>
      <c r="P3260">
        <v>54.86</v>
      </c>
      <c r="S3260" s="74">
        <v>36296</v>
      </c>
      <c r="T3260" s="77">
        <v>8.3333333333333329E-2</v>
      </c>
      <c r="V3260">
        <v>48.019999999999996</v>
      </c>
      <c r="X3260" s="42"/>
      <c r="AB3260">
        <v>56</v>
      </c>
      <c r="AC3260">
        <v>51.980000000000004</v>
      </c>
      <c r="AE3260" s="74"/>
      <c r="AF3260" s="77"/>
      <c r="AH3260" s="497">
        <v>39.200000000000003</v>
      </c>
      <c r="AJ3260" s="42"/>
      <c r="AK3260" s="74"/>
      <c r="AL3260" s="77"/>
      <c r="AN3260" s="497">
        <v>53.06</v>
      </c>
      <c r="AP3260" s="42"/>
      <c r="AQ3260" s="74"/>
      <c r="AR3260" s="77"/>
      <c r="AT3260" s="497">
        <v>55.040000000000006</v>
      </c>
      <c r="AV3260" s="42"/>
      <c r="AW3260" s="74"/>
      <c r="AX3260" s="77"/>
      <c r="BA3260" s="497">
        <v>62.06</v>
      </c>
      <c r="BB3260" s="42"/>
      <c r="BC3260" s="74"/>
      <c r="BD3260" s="77"/>
      <c r="BF3260">
        <v>53.06</v>
      </c>
      <c r="BH3260" s="42"/>
      <c r="BI3260" s="74"/>
      <c r="BJ3260" s="77"/>
      <c r="BL3260" s="497">
        <v>60.980000000000004</v>
      </c>
      <c r="BN3260" s="42"/>
      <c r="BO3260" s="74"/>
      <c r="BP3260" s="77"/>
      <c r="BR3260" s="497">
        <v>44.06</v>
      </c>
      <c r="BT3260" s="42"/>
    </row>
    <row r="3261" spans="1:72" x14ac:dyDescent="0.25">
      <c r="A3261" s="90">
        <v>36296</v>
      </c>
      <c r="B3261" s="20">
        <v>0.125</v>
      </c>
      <c r="D3261">
        <v>55.040000000000006</v>
      </c>
      <c r="E3261" t="str">
        <f t="shared" si="136"/>
        <v>SUNDAY</v>
      </c>
      <c r="F3261" t="e">
        <f t="shared" si="137"/>
        <v>#N/A</v>
      </c>
      <c r="G3261" s="74">
        <v>31913</v>
      </c>
      <c r="H3261" s="77">
        <v>0.125</v>
      </c>
      <c r="J3261">
        <v>51.08</v>
      </c>
      <c r="M3261" s="74">
        <v>34470</v>
      </c>
      <c r="N3261" s="77">
        <v>0.125</v>
      </c>
      <c r="P3261">
        <v>53.96</v>
      </c>
      <c r="S3261" s="74">
        <v>36296</v>
      </c>
      <c r="T3261" s="77">
        <v>0.125</v>
      </c>
      <c r="V3261">
        <v>48.019999999999996</v>
      </c>
      <c r="X3261" s="42"/>
      <c r="AB3261">
        <v>55.5</v>
      </c>
      <c r="AC3261">
        <v>51.980000000000004</v>
      </c>
      <c r="AE3261" s="74"/>
      <c r="AF3261" s="77"/>
      <c r="AH3261" s="497">
        <v>39.200000000000003</v>
      </c>
      <c r="AJ3261" s="42"/>
      <c r="AK3261" s="74"/>
      <c r="AL3261" s="77"/>
      <c r="AN3261" s="497">
        <v>53.96</v>
      </c>
      <c r="AP3261" s="42"/>
      <c r="AQ3261" s="74"/>
      <c r="AR3261" s="77"/>
      <c r="AT3261" s="497">
        <v>53.96</v>
      </c>
      <c r="AV3261" s="42"/>
      <c r="AW3261" s="74"/>
      <c r="AX3261" s="77"/>
      <c r="BA3261" s="497">
        <v>62.06</v>
      </c>
      <c r="BB3261" s="42"/>
      <c r="BC3261" s="74"/>
      <c r="BD3261" s="77"/>
      <c r="BF3261">
        <v>48.92</v>
      </c>
      <c r="BH3261" s="42"/>
      <c r="BI3261" s="74"/>
      <c r="BJ3261" s="77"/>
      <c r="BL3261" s="497">
        <v>60.980000000000004</v>
      </c>
      <c r="BN3261" s="42"/>
      <c r="BO3261" s="74"/>
      <c r="BP3261" s="77"/>
      <c r="BR3261" s="497">
        <v>42.980000000000004</v>
      </c>
      <c r="BT3261" s="42"/>
    </row>
    <row r="3262" spans="1:72" x14ac:dyDescent="0.25">
      <c r="A3262" s="90">
        <v>36296</v>
      </c>
      <c r="B3262" s="20">
        <v>0.16666666666666666</v>
      </c>
      <c r="D3262">
        <v>55.040000000000006</v>
      </c>
      <c r="E3262" t="str">
        <f t="shared" si="136"/>
        <v>SUNDAY</v>
      </c>
      <c r="F3262" t="e">
        <f t="shared" si="137"/>
        <v>#N/A</v>
      </c>
      <c r="G3262" s="74">
        <v>31913</v>
      </c>
      <c r="H3262" s="77">
        <v>0.16666666666666666</v>
      </c>
      <c r="J3262">
        <v>48.92</v>
      </c>
      <c r="M3262" s="74">
        <v>34470</v>
      </c>
      <c r="N3262" s="77">
        <v>0.16666666666666666</v>
      </c>
      <c r="P3262">
        <v>53.96</v>
      </c>
      <c r="S3262" s="74">
        <v>36296</v>
      </c>
      <c r="T3262" s="77">
        <v>0.16666666666666666</v>
      </c>
      <c r="V3262">
        <v>48.019999999999996</v>
      </c>
      <c r="X3262" s="42"/>
      <c r="AB3262">
        <v>55</v>
      </c>
      <c r="AC3262">
        <v>51.980000000000004</v>
      </c>
      <c r="AE3262" s="74"/>
      <c r="AF3262" s="77"/>
      <c r="AH3262" s="497">
        <v>35.6</v>
      </c>
      <c r="AJ3262" s="42"/>
      <c r="AK3262" s="74"/>
      <c r="AL3262" s="77"/>
      <c r="AN3262" s="497">
        <v>53.06</v>
      </c>
      <c r="AP3262" s="42"/>
      <c r="AQ3262" s="74"/>
      <c r="AR3262" s="77"/>
      <c r="AT3262" s="497">
        <v>53.96</v>
      </c>
      <c r="AV3262" s="42"/>
      <c r="AW3262" s="74"/>
      <c r="AX3262" s="77"/>
      <c r="BA3262" s="497">
        <v>60.980000000000004</v>
      </c>
      <c r="BB3262" s="42"/>
      <c r="BC3262" s="74"/>
      <c r="BD3262" s="77"/>
      <c r="BF3262">
        <v>46.94</v>
      </c>
      <c r="BH3262" s="42"/>
      <c r="BI3262" s="74"/>
      <c r="BJ3262" s="77"/>
      <c r="BL3262" s="497">
        <v>60.980000000000004</v>
      </c>
      <c r="BN3262" s="42"/>
      <c r="BO3262" s="74"/>
      <c r="BP3262" s="77"/>
      <c r="BR3262" s="497">
        <v>41</v>
      </c>
      <c r="BT3262" s="42"/>
    </row>
    <row r="3263" spans="1:72" x14ac:dyDescent="0.25">
      <c r="A3263" s="90">
        <v>36296</v>
      </c>
      <c r="B3263" s="20">
        <v>0.20833333333333334</v>
      </c>
      <c r="D3263">
        <v>55.94</v>
      </c>
      <c r="E3263" t="str">
        <f t="shared" si="136"/>
        <v>SUNDAY</v>
      </c>
      <c r="F3263" t="e">
        <f t="shared" si="137"/>
        <v>#N/A</v>
      </c>
      <c r="G3263" s="74">
        <v>31913</v>
      </c>
      <c r="H3263" s="77">
        <v>0.20833333333333334</v>
      </c>
      <c r="J3263">
        <v>48.019999999999996</v>
      </c>
      <c r="M3263" s="74">
        <v>34470</v>
      </c>
      <c r="N3263" s="77">
        <v>0.20833333333333334</v>
      </c>
      <c r="P3263">
        <v>54.86</v>
      </c>
      <c r="S3263" s="74">
        <v>36296</v>
      </c>
      <c r="T3263" s="77">
        <v>0.20833333333333334</v>
      </c>
      <c r="V3263">
        <v>48.019999999999996</v>
      </c>
      <c r="X3263" s="42"/>
      <c r="AB3263">
        <v>54.6</v>
      </c>
      <c r="AC3263">
        <v>51.980000000000004</v>
      </c>
      <c r="AE3263" s="74"/>
      <c r="AF3263" s="77"/>
      <c r="AH3263" s="497">
        <v>35.6</v>
      </c>
      <c r="AJ3263" s="42"/>
      <c r="AK3263" s="74"/>
      <c r="AL3263" s="77"/>
      <c r="AN3263" s="497">
        <v>53.06</v>
      </c>
      <c r="AP3263" s="42"/>
      <c r="AQ3263" s="74"/>
      <c r="AR3263" s="77"/>
      <c r="AT3263" s="497">
        <v>53.96</v>
      </c>
      <c r="AV3263" s="42"/>
      <c r="AW3263" s="74"/>
      <c r="AX3263" s="77"/>
      <c r="BA3263" s="497">
        <v>62.06</v>
      </c>
      <c r="BB3263" s="42"/>
      <c r="BC3263" s="74"/>
      <c r="BD3263" s="77"/>
      <c r="BF3263">
        <v>51.980000000000004</v>
      </c>
      <c r="BH3263" s="42"/>
      <c r="BI3263" s="74"/>
      <c r="BJ3263" s="77"/>
      <c r="BL3263" s="497">
        <v>60.08</v>
      </c>
      <c r="BN3263" s="42"/>
      <c r="BO3263" s="74"/>
      <c r="BP3263" s="77"/>
      <c r="BR3263" s="497">
        <v>41</v>
      </c>
      <c r="BT3263" s="42"/>
    </row>
    <row r="3264" spans="1:72" x14ac:dyDescent="0.25">
      <c r="A3264" s="90">
        <v>36296</v>
      </c>
      <c r="B3264" s="20">
        <v>0.25</v>
      </c>
      <c r="D3264">
        <v>55.94</v>
      </c>
      <c r="E3264" t="str">
        <f t="shared" si="136"/>
        <v>SUNDAY</v>
      </c>
      <c r="F3264" t="e">
        <f t="shared" si="137"/>
        <v>#N/A</v>
      </c>
      <c r="G3264" s="74">
        <v>31913</v>
      </c>
      <c r="H3264" s="77">
        <v>0.25</v>
      </c>
      <c r="J3264">
        <v>48.92</v>
      </c>
      <c r="M3264" s="74">
        <v>34470</v>
      </c>
      <c r="N3264" s="77">
        <v>0.25</v>
      </c>
      <c r="P3264">
        <v>53.96</v>
      </c>
      <c r="S3264" s="74">
        <v>36296</v>
      </c>
      <c r="T3264" s="77">
        <v>0.25</v>
      </c>
      <c r="V3264">
        <v>51.08</v>
      </c>
      <c r="X3264" s="42"/>
      <c r="AB3264">
        <v>54.4</v>
      </c>
      <c r="AC3264">
        <v>51.980000000000004</v>
      </c>
      <c r="AE3264" s="74"/>
      <c r="AF3264" s="77"/>
      <c r="AH3264" s="497">
        <v>37.4</v>
      </c>
      <c r="AJ3264" s="42"/>
      <c r="AK3264" s="74"/>
      <c r="AL3264" s="77"/>
      <c r="AN3264" s="497">
        <v>53.06</v>
      </c>
      <c r="AP3264" s="42"/>
      <c r="AQ3264" s="74"/>
      <c r="AR3264" s="77"/>
      <c r="AT3264" s="497">
        <v>53.96</v>
      </c>
      <c r="AV3264" s="42"/>
      <c r="AW3264" s="74"/>
      <c r="AX3264" s="77"/>
      <c r="BA3264" s="497">
        <v>62.06</v>
      </c>
      <c r="BB3264" s="42"/>
      <c r="BC3264" s="74"/>
      <c r="BD3264" s="77"/>
      <c r="BF3264">
        <v>51.980000000000004</v>
      </c>
      <c r="BH3264" s="42"/>
      <c r="BI3264" s="74"/>
      <c r="BJ3264" s="77"/>
      <c r="BL3264" s="497">
        <v>60.08</v>
      </c>
      <c r="BN3264" s="42"/>
      <c r="BO3264" s="74"/>
      <c r="BP3264" s="77"/>
      <c r="BR3264" s="497">
        <v>46.04</v>
      </c>
      <c r="BT3264" s="42"/>
    </row>
    <row r="3265" spans="1:72" x14ac:dyDescent="0.25">
      <c r="A3265" s="90">
        <v>36296</v>
      </c>
      <c r="B3265" s="20">
        <v>0.29166666666666669</v>
      </c>
      <c r="D3265">
        <v>55.040000000000006</v>
      </c>
      <c r="E3265" t="str">
        <f t="shared" si="136"/>
        <v>SUNDAY</v>
      </c>
      <c r="F3265" t="e">
        <f t="shared" si="137"/>
        <v>#N/A</v>
      </c>
      <c r="G3265" s="74">
        <v>31913</v>
      </c>
      <c r="H3265" s="77">
        <v>0.29166666666666669</v>
      </c>
      <c r="J3265">
        <v>51.08</v>
      </c>
      <c r="M3265" s="74">
        <v>34470</v>
      </c>
      <c r="N3265" s="77">
        <v>0.29166666666666669</v>
      </c>
      <c r="P3265">
        <v>53.96</v>
      </c>
      <c r="S3265" s="74">
        <v>36296</v>
      </c>
      <c r="T3265" s="77">
        <v>0.29166666666666669</v>
      </c>
      <c r="V3265">
        <v>55.040000000000006</v>
      </c>
      <c r="X3265" s="42"/>
      <c r="AB3265">
        <v>55.7</v>
      </c>
      <c r="AC3265">
        <v>53.06</v>
      </c>
      <c r="AE3265" s="74"/>
      <c r="AF3265" s="77"/>
      <c r="AH3265" s="497">
        <v>46.4</v>
      </c>
      <c r="AJ3265" s="42"/>
      <c r="AK3265" s="74"/>
      <c r="AL3265" s="77"/>
      <c r="AN3265" s="497">
        <v>53.96</v>
      </c>
      <c r="AP3265" s="42"/>
      <c r="AQ3265" s="74"/>
      <c r="AR3265" s="77"/>
      <c r="AT3265" s="497">
        <v>53.96</v>
      </c>
      <c r="AV3265" s="42"/>
      <c r="AW3265" s="74"/>
      <c r="AX3265" s="77"/>
      <c r="BA3265" s="497">
        <v>60.08</v>
      </c>
      <c r="BB3265" s="42"/>
      <c r="BC3265" s="74"/>
      <c r="BD3265" s="77"/>
      <c r="BF3265">
        <v>53.96</v>
      </c>
      <c r="BH3265" s="42"/>
      <c r="BI3265" s="74"/>
      <c r="BJ3265" s="77"/>
      <c r="BL3265" s="497">
        <v>60.980000000000004</v>
      </c>
      <c r="BN3265" s="42"/>
      <c r="BO3265" s="74"/>
      <c r="BP3265" s="77"/>
      <c r="BR3265" s="497">
        <v>50</v>
      </c>
      <c r="BT3265" s="42"/>
    </row>
    <row r="3266" spans="1:72" x14ac:dyDescent="0.25">
      <c r="A3266" s="90">
        <v>36296</v>
      </c>
      <c r="B3266" s="20">
        <v>0.33333333333333331</v>
      </c>
      <c r="D3266">
        <v>57.019999999999996</v>
      </c>
      <c r="E3266" t="str">
        <f t="shared" si="136"/>
        <v>SUNDAY</v>
      </c>
      <c r="F3266" t="e">
        <f t="shared" si="137"/>
        <v>#N/A</v>
      </c>
      <c r="G3266" s="74">
        <v>31913</v>
      </c>
      <c r="H3266" s="77">
        <v>0.33333333333333331</v>
      </c>
      <c r="J3266">
        <v>53.06</v>
      </c>
      <c r="M3266" s="74">
        <v>34470</v>
      </c>
      <c r="N3266" s="77">
        <v>0.33333333333333331</v>
      </c>
      <c r="P3266">
        <v>54.86</v>
      </c>
      <c r="S3266" s="74">
        <v>36296</v>
      </c>
      <c r="T3266" s="77">
        <v>0.33333333333333331</v>
      </c>
      <c r="V3266">
        <v>59</v>
      </c>
      <c r="X3266" s="42"/>
      <c r="AB3266">
        <v>57.5</v>
      </c>
      <c r="AC3266">
        <v>53.96</v>
      </c>
      <c r="AE3266" s="74"/>
      <c r="AF3266" s="77"/>
      <c r="AH3266" s="497">
        <v>51.8</v>
      </c>
      <c r="AJ3266" s="42"/>
      <c r="AK3266" s="74"/>
      <c r="AL3266" s="77"/>
      <c r="AN3266" s="497">
        <v>55.94</v>
      </c>
      <c r="AP3266" s="42"/>
      <c r="AQ3266" s="74"/>
      <c r="AR3266" s="77"/>
      <c r="AT3266" s="497">
        <v>55.040000000000006</v>
      </c>
      <c r="AV3266" s="42"/>
      <c r="AW3266" s="74"/>
      <c r="AX3266" s="77"/>
      <c r="BA3266" s="497">
        <v>60.980000000000004</v>
      </c>
      <c r="BB3266" s="42"/>
      <c r="BC3266" s="74"/>
      <c r="BD3266" s="77"/>
      <c r="BF3266">
        <v>57.019999999999996</v>
      </c>
      <c r="BH3266" s="42"/>
      <c r="BI3266" s="74"/>
      <c r="BJ3266" s="77"/>
      <c r="BL3266" s="497">
        <v>62.96</v>
      </c>
      <c r="BN3266" s="42"/>
      <c r="BO3266" s="74"/>
      <c r="BP3266" s="77"/>
      <c r="BR3266" s="497">
        <v>53.06</v>
      </c>
      <c r="BT3266" s="42"/>
    </row>
    <row r="3267" spans="1:72" x14ac:dyDescent="0.25">
      <c r="A3267" s="90">
        <v>36296</v>
      </c>
      <c r="B3267" s="20">
        <v>0.375</v>
      </c>
      <c r="D3267">
        <v>59</v>
      </c>
      <c r="E3267" t="str">
        <f t="shared" si="136"/>
        <v>SUNDAY</v>
      </c>
      <c r="F3267" t="e">
        <f t="shared" si="137"/>
        <v>#N/A</v>
      </c>
      <c r="G3267" s="74">
        <v>31913</v>
      </c>
      <c r="H3267" s="77">
        <v>0.375</v>
      </c>
      <c r="J3267">
        <v>55.040000000000006</v>
      </c>
      <c r="M3267" s="74">
        <v>34470</v>
      </c>
      <c r="N3267" s="77">
        <v>0.375</v>
      </c>
      <c r="P3267">
        <v>57.92</v>
      </c>
      <c r="S3267" s="74">
        <v>36296</v>
      </c>
      <c r="T3267" s="77">
        <v>0.375</v>
      </c>
      <c r="V3267">
        <v>62.06</v>
      </c>
      <c r="X3267" s="42"/>
      <c r="AB3267">
        <v>59.5</v>
      </c>
      <c r="AC3267">
        <v>57.019999999999996</v>
      </c>
      <c r="AE3267" s="74"/>
      <c r="AF3267" s="77"/>
      <c r="AH3267" s="497">
        <v>59</v>
      </c>
      <c r="AJ3267" s="42"/>
      <c r="AK3267" s="74"/>
      <c r="AL3267" s="77"/>
      <c r="AN3267" s="497">
        <v>55.040000000000006</v>
      </c>
      <c r="AP3267" s="42"/>
      <c r="AQ3267" s="74"/>
      <c r="AR3267" s="77"/>
      <c r="AT3267" s="497">
        <v>57.019999999999996</v>
      </c>
      <c r="AV3267" s="42"/>
      <c r="AW3267" s="74"/>
      <c r="AX3267" s="77"/>
      <c r="BA3267" s="497">
        <v>62.96</v>
      </c>
      <c r="BB3267" s="42"/>
      <c r="BC3267" s="74"/>
      <c r="BD3267" s="77"/>
      <c r="BF3267">
        <v>60.08</v>
      </c>
      <c r="BH3267" s="42"/>
      <c r="BI3267" s="74"/>
      <c r="BJ3267" s="77"/>
      <c r="BL3267" s="497">
        <v>62.96</v>
      </c>
      <c r="BN3267" s="42"/>
      <c r="BO3267" s="74"/>
      <c r="BP3267" s="77"/>
      <c r="BR3267" s="497">
        <v>57.019999999999996</v>
      </c>
      <c r="BT3267" s="42"/>
    </row>
    <row r="3268" spans="1:72" x14ac:dyDescent="0.25">
      <c r="A3268" s="90">
        <v>36296</v>
      </c>
      <c r="B3268" s="20">
        <v>0.41666666666666669</v>
      </c>
      <c r="D3268">
        <v>64.039999999999992</v>
      </c>
      <c r="E3268" t="str">
        <f t="shared" si="136"/>
        <v>SUNDAY</v>
      </c>
      <c r="F3268" t="e">
        <f t="shared" si="137"/>
        <v>#N/A</v>
      </c>
      <c r="G3268" s="74">
        <v>31913</v>
      </c>
      <c r="H3268" s="77">
        <v>0.41666666666666669</v>
      </c>
      <c r="J3268">
        <v>57.019999999999996</v>
      </c>
      <c r="M3268" s="74">
        <v>34470</v>
      </c>
      <c r="N3268" s="77">
        <v>0.41666666666666669</v>
      </c>
      <c r="P3268">
        <v>63.86</v>
      </c>
      <c r="S3268" s="74">
        <v>36296</v>
      </c>
      <c r="T3268" s="77">
        <v>0.41666666666666669</v>
      </c>
      <c r="V3268">
        <v>64.94</v>
      </c>
      <c r="X3268" s="42"/>
      <c r="AB3268">
        <v>61.3</v>
      </c>
      <c r="AC3268">
        <v>57.019999999999996</v>
      </c>
      <c r="AE3268" s="74"/>
      <c r="AF3268" s="77"/>
      <c r="AH3268" s="497">
        <v>60.8</v>
      </c>
      <c r="AJ3268" s="42"/>
      <c r="AK3268" s="74"/>
      <c r="AL3268" s="77"/>
      <c r="AN3268" s="497">
        <v>55.040000000000006</v>
      </c>
      <c r="AP3268" s="42"/>
      <c r="AQ3268" s="74"/>
      <c r="AR3268" s="77"/>
      <c r="AT3268" s="497">
        <v>59</v>
      </c>
      <c r="AV3268" s="42"/>
      <c r="AW3268" s="74"/>
      <c r="AX3268" s="77"/>
      <c r="BA3268" s="497">
        <v>66.92</v>
      </c>
      <c r="BB3268" s="42"/>
      <c r="BC3268" s="74"/>
      <c r="BD3268" s="77"/>
      <c r="BF3268">
        <v>60.980000000000004</v>
      </c>
      <c r="BH3268" s="42"/>
      <c r="BI3268" s="74"/>
      <c r="BJ3268" s="77"/>
      <c r="BL3268" s="497">
        <v>68</v>
      </c>
      <c r="BN3268" s="42"/>
      <c r="BO3268" s="74"/>
      <c r="BP3268" s="77"/>
      <c r="BR3268" s="497">
        <v>57.019999999999996</v>
      </c>
      <c r="BT3268" s="42"/>
    </row>
    <row r="3269" spans="1:72" x14ac:dyDescent="0.25">
      <c r="A3269" s="90">
        <v>36296</v>
      </c>
      <c r="B3269" s="20">
        <v>0.45833333333333331</v>
      </c>
      <c r="D3269">
        <v>68</v>
      </c>
      <c r="E3269" t="str">
        <f t="shared" si="136"/>
        <v>SUNDAY</v>
      </c>
      <c r="F3269" t="e">
        <f t="shared" si="137"/>
        <v>#N/A</v>
      </c>
      <c r="G3269" s="74">
        <v>31913</v>
      </c>
      <c r="H3269" s="77">
        <v>0.45833333333333331</v>
      </c>
      <c r="J3269">
        <v>60.980000000000004</v>
      </c>
      <c r="M3269" s="74">
        <v>34470</v>
      </c>
      <c r="N3269" s="77">
        <v>0.45833333333333331</v>
      </c>
      <c r="P3269">
        <v>65.84</v>
      </c>
      <c r="S3269" s="74">
        <v>36296</v>
      </c>
      <c r="T3269" s="77">
        <v>0.45833333333333331</v>
      </c>
      <c r="V3269">
        <v>66.02</v>
      </c>
      <c r="X3269" s="42"/>
      <c r="AB3269">
        <v>63</v>
      </c>
      <c r="AC3269">
        <v>55.040000000000006</v>
      </c>
      <c r="AE3269" s="74"/>
      <c r="AF3269" s="77"/>
      <c r="AH3269" s="497">
        <v>62.6</v>
      </c>
      <c r="AJ3269" s="42"/>
      <c r="AK3269" s="74"/>
      <c r="AL3269" s="77"/>
      <c r="AN3269" s="497">
        <v>62.06</v>
      </c>
      <c r="AP3269" s="42"/>
      <c r="AQ3269" s="74"/>
      <c r="AR3269" s="77"/>
      <c r="AT3269" s="497">
        <v>62.96</v>
      </c>
      <c r="AV3269" s="42"/>
      <c r="AW3269" s="74"/>
      <c r="AX3269" s="77"/>
      <c r="BA3269" s="497">
        <v>66.02</v>
      </c>
      <c r="BB3269" s="42"/>
      <c r="BC3269" s="74"/>
      <c r="BD3269" s="77"/>
      <c r="BF3269">
        <v>64.039999999999992</v>
      </c>
      <c r="BH3269" s="42"/>
      <c r="BI3269" s="74"/>
      <c r="BJ3269" s="77"/>
      <c r="BL3269" s="497">
        <v>71.960000000000008</v>
      </c>
      <c r="BN3269" s="42"/>
      <c r="BO3269" s="74"/>
      <c r="BP3269" s="77"/>
      <c r="BR3269" s="497">
        <v>57.92</v>
      </c>
      <c r="BT3269" s="42"/>
    </row>
    <row r="3270" spans="1:72" x14ac:dyDescent="0.25">
      <c r="A3270" s="90">
        <v>36296</v>
      </c>
      <c r="B3270" s="20">
        <v>0.5</v>
      </c>
      <c r="D3270">
        <v>73.039999999999992</v>
      </c>
      <c r="E3270" t="str">
        <f t="shared" si="136"/>
        <v>SUNDAY</v>
      </c>
      <c r="F3270" t="e">
        <f t="shared" si="137"/>
        <v>#N/A</v>
      </c>
      <c r="G3270" s="74">
        <v>31913</v>
      </c>
      <c r="H3270" s="77">
        <v>0.5</v>
      </c>
      <c r="J3270">
        <v>62.96</v>
      </c>
      <c r="M3270" s="74">
        <v>34470</v>
      </c>
      <c r="N3270" s="77">
        <v>0.5</v>
      </c>
      <c r="P3270">
        <v>62.96</v>
      </c>
      <c r="S3270" s="74">
        <v>36296</v>
      </c>
      <c r="T3270" s="77">
        <v>0.5</v>
      </c>
      <c r="V3270">
        <v>66.02</v>
      </c>
      <c r="X3270" s="42"/>
      <c r="AB3270">
        <v>64.099999999999994</v>
      </c>
      <c r="AC3270">
        <v>55.94</v>
      </c>
      <c r="AE3270" s="74"/>
      <c r="AF3270" s="77"/>
      <c r="AH3270" s="497">
        <v>62.6</v>
      </c>
      <c r="AJ3270" s="42"/>
      <c r="AK3270" s="74"/>
      <c r="AL3270" s="77"/>
      <c r="AN3270" s="497">
        <v>64.94</v>
      </c>
      <c r="AP3270" s="42"/>
      <c r="AQ3270" s="74"/>
      <c r="AR3270" s="77"/>
      <c r="AT3270" s="497">
        <v>62.06</v>
      </c>
      <c r="AV3270" s="42"/>
      <c r="AW3270" s="74"/>
      <c r="AX3270" s="77"/>
      <c r="BA3270" s="497">
        <v>64.94</v>
      </c>
      <c r="BB3270" s="42"/>
      <c r="BC3270" s="74"/>
      <c r="BD3270" s="77"/>
      <c r="BF3270">
        <v>66.02</v>
      </c>
      <c r="BH3270" s="42"/>
      <c r="BI3270" s="74"/>
      <c r="BJ3270" s="77"/>
      <c r="BL3270" s="497">
        <v>75.02</v>
      </c>
      <c r="BN3270" s="42"/>
      <c r="BO3270" s="74"/>
      <c r="BP3270" s="77"/>
      <c r="BR3270" s="497">
        <v>60.08</v>
      </c>
      <c r="BT3270" s="42"/>
    </row>
    <row r="3271" spans="1:72" x14ac:dyDescent="0.25">
      <c r="A3271" s="90">
        <v>36296</v>
      </c>
      <c r="B3271" s="20">
        <v>0.54166666666666663</v>
      </c>
      <c r="D3271">
        <v>68</v>
      </c>
      <c r="E3271" t="str">
        <f t="shared" si="136"/>
        <v>SUNDAY</v>
      </c>
      <c r="F3271" t="e">
        <f t="shared" si="137"/>
        <v>#N/A</v>
      </c>
      <c r="G3271" s="74">
        <v>31913</v>
      </c>
      <c r="H3271" s="77">
        <v>0.54166666666666663</v>
      </c>
      <c r="J3271">
        <v>64.94</v>
      </c>
      <c r="M3271" s="74">
        <v>34470</v>
      </c>
      <c r="N3271" s="77">
        <v>0.54166666666666663</v>
      </c>
      <c r="P3271">
        <v>68.900000000000006</v>
      </c>
      <c r="S3271" s="74">
        <v>36296</v>
      </c>
      <c r="T3271" s="77">
        <v>0.54166666666666663</v>
      </c>
      <c r="V3271">
        <v>66.02</v>
      </c>
      <c r="X3271" s="42"/>
      <c r="AB3271">
        <v>64.900000000000006</v>
      </c>
      <c r="AC3271">
        <v>57.019999999999996</v>
      </c>
      <c r="AE3271" s="74"/>
      <c r="AF3271" s="77"/>
      <c r="AH3271" s="497">
        <v>66.2</v>
      </c>
      <c r="AJ3271" s="42"/>
      <c r="AK3271" s="74"/>
      <c r="AL3271" s="77"/>
      <c r="AN3271" s="497">
        <v>68</v>
      </c>
      <c r="AP3271" s="42"/>
      <c r="AQ3271" s="74"/>
      <c r="AR3271" s="77"/>
      <c r="AT3271" s="497">
        <v>62.96</v>
      </c>
      <c r="AV3271" s="42"/>
      <c r="AW3271" s="74"/>
      <c r="AX3271" s="77"/>
      <c r="BA3271" s="497">
        <v>62.96</v>
      </c>
      <c r="BB3271" s="42"/>
      <c r="BC3271" s="74"/>
      <c r="BD3271" s="77"/>
      <c r="BF3271">
        <v>69.080000000000013</v>
      </c>
      <c r="BH3271" s="42"/>
      <c r="BI3271" s="74"/>
      <c r="BJ3271" s="77"/>
      <c r="BL3271" s="497">
        <v>78.080000000000013</v>
      </c>
      <c r="BN3271" s="42"/>
      <c r="BO3271" s="74"/>
      <c r="BP3271" s="77"/>
      <c r="BR3271" s="497">
        <v>62.96</v>
      </c>
      <c r="BT3271" s="42"/>
    </row>
    <row r="3272" spans="1:72" x14ac:dyDescent="0.25">
      <c r="A3272" s="90">
        <v>36296</v>
      </c>
      <c r="B3272" s="20">
        <v>0.58333333333333337</v>
      </c>
      <c r="D3272">
        <v>68</v>
      </c>
      <c r="E3272" t="str">
        <f t="shared" si="136"/>
        <v>SUNDAY</v>
      </c>
      <c r="F3272" t="e">
        <f t="shared" si="137"/>
        <v>#N/A</v>
      </c>
      <c r="G3272" s="74">
        <v>31913</v>
      </c>
      <c r="H3272" s="77">
        <v>0.58333333333333337</v>
      </c>
      <c r="J3272">
        <v>66.92</v>
      </c>
      <c r="M3272" s="74">
        <v>34470</v>
      </c>
      <c r="N3272" s="77">
        <v>0.58333333333333337</v>
      </c>
      <c r="P3272">
        <v>68.900000000000006</v>
      </c>
      <c r="S3272" s="74">
        <v>36296</v>
      </c>
      <c r="T3272" s="77">
        <v>0.58333333333333337</v>
      </c>
      <c r="V3272">
        <v>66.02</v>
      </c>
      <c r="X3272" s="42"/>
      <c r="AB3272">
        <v>65.2</v>
      </c>
      <c r="AC3272">
        <v>57.92</v>
      </c>
      <c r="AE3272" s="74"/>
      <c r="AF3272" s="77"/>
      <c r="AH3272" s="497">
        <v>66.2</v>
      </c>
      <c r="AJ3272" s="42"/>
      <c r="AK3272" s="74"/>
      <c r="AL3272" s="77"/>
      <c r="AN3272" s="497">
        <v>69.080000000000013</v>
      </c>
      <c r="AP3272" s="42"/>
      <c r="AQ3272" s="74"/>
      <c r="AR3272" s="77"/>
      <c r="AT3272" s="497">
        <v>62.96</v>
      </c>
      <c r="AV3272" s="42"/>
      <c r="AW3272" s="74"/>
      <c r="AX3272" s="77"/>
      <c r="BA3272" s="497">
        <v>60.980000000000004</v>
      </c>
      <c r="BB3272" s="42"/>
      <c r="BC3272" s="74"/>
      <c r="BD3272" s="77"/>
      <c r="BF3272">
        <v>71.06</v>
      </c>
      <c r="BH3272" s="42"/>
      <c r="BI3272" s="74"/>
      <c r="BJ3272" s="77"/>
      <c r="BL3272" s="497">
        <v>66.92</v>
      </c>
      <c r="BN3272" s="42"/>
      <c r="BO3272" s="74"/>
      <c r="BP3272" s="77"/>
      <c r="BR3272" s="497">
        <v>64.039999999999992</v>
      </c>
      <c r="BT3272" s="42"/>
    </row>
    <row r="3273" spans="1:72" x14ac:dyDescent="0.25">
      <c r="A3273" s="90">
        <v>36296</v>
      </c>
      <c r="B3273" s="20">
        <v>0.625</v>
      </c>
      <c r="D3273">
        <v>69.98</v>
      </c>
      <c r="E3273" t="str">
        <f t="shared" si="136"/>
        <v>SUNDAY</v>
      </c>
      <c r="F3273" t="e">
        <f t="shared" si="137"/>
        <v>#N/A</v>
      </c>
      <c r="G3273" s="74">
        <v>31913</v>
      </c>
      <c r="H3273" s="77">
        <v>0.625</v>
      </c>
      <c r="J3273">
        <v>69.080000000000013</v>
      </c>
      <c r="M3273" s="74">
        <v>34470</v>
      </c>
      <c r="N3273" s="77">
        <v>0.625</v>
      </c>
      <c r="P3273">
        <v>71.960000000000008</v>
      </c>
      <c r="S3273" s="74">
        <v>36296</v>
      </c>
      <c r="T3273" s="77">
        <v>0.625</v>
      </c>
      <c r="V3273">
        <v>64.94</v>
      </c>
      <c r="X3273" s="42"/>
      <c r="AB3273">
        <v>65.2</v>
      </c>
      <c r="AC3273">
        <v>55.040000000000006</v>
      </c>
      <c r="AE3273" s="74"/>
      <c r="AF3273" s="77"/>
      <c r="AH3273" s="497">
        <v>66.2</v>
      </c>
      <c r="AJ3273" s="42"/>
      <c r="AK3273" s="74"/>
      <c r="AL3273" s="77"/>
      <c r="AN3273" s="497">
        <v>69.080000000000013</v>
      </c>
      <c r="AP3273" s="42"/>
      <c r="AQ3273" s="74"/>
      <c r="AR3273" s="77"/>
      <c r="AT3273" s="497">
        <v>66.92</v>
      </c>
      <c r="AV3273" s="42"/>
      <c r="AW3273" s="74"/>
      <c r="AX3273" s="77"/>
      <c r="BA3273" s="497">
        <v>60.980000000000004</v>
      </c>
      <c r="BB3273" s="42"/>
      <c r="BC3273" s="74"/>
      <c r="BD3273" s="77"/>
      <c r="BF3273">
        <v>73.94</v>
      </c>
      <c r="BH3273" s="42"/>
      <c r="BI3273" s="74"/>
      <c r="BJ3273" s="77"/>
      <c r="BL3273" s="497">
        <v>69.98</v>
      </c>
      <c r="BN3273" s="42"/>
      <c r="BO3273" s="74"/>
      <c r="BP3273" s="77"/>
      <c r="BR3273" s="497">
        <v>64.94</v>
      </c>
      <c r="BT3273" s="42"/>
    </row>
    <row r="3274" spans="1:72" x14ac:dyDescent="0.25">
      <c r="A3274" s="90">
        <v>36296</v>
      </c>
      <c r="B3274" s="20">
        <v>0.66666666666666663</v>
      </c>
      <c r="D3274">
        <v>71.06</v>
      </c>
      <c r="E3274" t="str">
        <f t="shared" si="136"/>
        <v>SUNDAY</v>
      </c>
      <c r="F3274" t="e">
        <f t="shared" si="137"/>
        <v>#N/A</v>
      </c>
      <c r="G3274" s="74">
        <v>31913</v>
      </c>
      <c r="H3274" s="77">
        <v>0.66666666666666663</v>
      </c>
      <c r="J3274">
        <v>69.98</v>
      </c>
      <c r="M3274" s="74">
        <v>34470</v>
      </c>
      <c r="N3274" s="77">
        <v>0.66666666666666663</v>
      </c>
      <c r="P3274">
        <v>62.96</v>
      </c>
      <c r="S3274" s="74">
        <v>36296</v>
      </c>
      <c r="T3274" s="77">
        <v>0.66666666666666663</v>
      </c>
      <c r="V3274">
        <v>64.94</v>
      </c>
      <c r="X3274" s="42"/>
      <c r="AB3274">
        <v>64.7</v>
      </c>
      <c r="AC3274">
        <v>55.94</v>
      </c>
      <c r="AE3274" s="74"/>
      <c r="AF3274" s="77"/>
      <c r="AH3274" s="497">
        <v>68</v>
      </c>
      <c r="AJ3274" s="42"/>
      <c r="AK3274" s="74"/>
      <c r="AL3274" s="77"/>
      <c r="AN3274" s="497">
        <v>69.98</v>
      </c>
      <c r="AP3274" s="42"/>
      <c r="AQ3274" s="74"/>
      <c r="AR3274" s="77"/>
      <c r="AT3274" s="497">
        <v>64.039999999999992</v>
      </c>
      <c r="AV3274" s="42"/>
      <c r="AW3274" s="74"/>
      <c r="AX3274" s="77"/>
      <c r="BA3274" s="497">
        <v>60.980000000000004</v>
      </c>
      <c r="BB3274" s="42"/>
      <c r="BC3274" s="74"/>
      <c r="BD3274" s="77"/>
      <c r="BF3274">
        <v>71.960000000000008</v>
      </c>
      <c r="BH3274" s="42"/>
      <c r="BI3274" s="74"/>
      <c r="BJ3274" s="77"/>
      <c r="BL3274" s="497">
        <v>71.960000000000008</v>
      </c>
      <c r="BN3274" s="42"/>
      <c r="BO3274" s="74"/>
      <c r="BP3274" s="77"/>
      <c r="BR3274" s="497">
        <v>64.94</v>
      </c>
      <c r="BT3274" s="42"/>
    </row>
    <row r="3275" spans="1:72" x14ac:dyDescent="0.25">
      <c r="A3275" s="90">
        <v>36296</v>
      </c>
      <c r="B3275" s="20">
        <v>0.70833333333333337</v>
      </c>
      <c r="D3275">
        <v>69.080000000000013</v>
      </c>
      <c r="E3275" t="str">
        <f t="shared" si="136"/>
        <v>SUNDAY</v>
      </c>
      <c r="F3275" t="e">
        <f t="shared" si="137"/>
        <v>#N/A</v>
      </c>
      <c r="G3275" s="74">
        <v>31913</v>
      </c>
      <c r="H3275" s="77">
        <v>0.70833333333333337</v>
      </c>
      <c r="J3275">
        <v>68</v>
      </c>
      <c r="M3275" s="74">
        <v>34470</v>
      </c>
      <c r="N3275" s="77">
        <v>0.70833333333333337</v>
      </c>
      <c r="P3275">
        <v>56.84</v>
      </c>
      <c r="S3275" s="74">
        <v>36296</v>
      </c>
      <c r="T3275" s="77">
        <v>0.70833333333333337</v>
      </c>
      <c r="V3275">
        <v>62.06</v>
      </c>
      <c r="X3275" s="42"/>
      <c r="AB3275">
        <v>64</v>
      </c>
      <c r="AC3275">
        <v>59</v>
      </c>
      <c r="AE3275" s="74"/>
      <c r="AF3275" s="77"/>
      <c r="AH3275" s="497">
        <v>68</v>
      </c>
      <c r="AJ3275" s="42"/>
      <c r="AK3275" s="74"/>
      <c r="AL3275" s="77"/>
      <c r="AN3275" s="497">
        <v>57.019999999999996</v>
      </c>
      <c r="AP3275" s="42"/>
      <c r="AQ3275" s="74"/>
      <c r="AR3275" s="77"/>
      <c r="AT3275" s="497">
        <v>60.980000000000004</v>
      </c>
      <c r="AV3275" s="42"/>
      <c r="AW3275" s="74"/>
      <c r="AX3275" s="77"/>
      <c r="BA3275" s="497">
        <v>60.980000000000004</v>
      </c>
      <c r="BB3275" s="42"/>
      <c r="BC3275" s="74"/>
      <c r="BD3275" s="77"/>
      <c r="BF3275">
        <v>71.06</v>
      </c>
      <c r="BH3275" s="42"/>
      <c r="BI3275" s="74"/>
      <c r="BJ3275" s="77"/>
      <c r="BL3275" s="497">
        <v>71.960000000000008</v>
      </c>
      <c r="BN3275" s="42"/>
      <c r="BO3275" s="74"/>
      <c r="BP3275" s="77"/>
      <c r="BR3275" s="497">
        <v>64.94</v>
      </c>
      <c r="BT3275" s="42"/>
    </row>
    <row r="3276" spans="1:72" x14ac:dyDescent="0.25">
      <c r="A3276" s="90">
        <v>36296</v>
      </c>
      <c r="B3276" s="20">
        <v>0.75</v>
      </c>
      <c r="D3276">
        <v>62.96</v>
      </c>
      <c r="E3276" t="str">
        <f t="shared" si="136"/>
        <v>SUNDAY</v>
      </c>
      <c r="F3276" t="e">
        <f t="shared" si="137"/>
        <v>#N/A</v>
      </c>
      <c r="G3276" s="74">
        <v>31913</v>
      </c>
      <c r="H3276" s="77">
        <v>0.75</v>
      </c>
      <c r="J3276">
        <v>62.96</v>
      </c>
      <c r="M3276" s="74">
        <v>34470</v>
      </c>
      <c r="N3276" s="77">
        <v>0.75</v>
      </c>
      <c r="P3276">
        <v>59</v>
      </c>
      <c r="S3276" s="74">
        <v>36296</v>
      </c>
      <c r="T3276" s="77">
        <v>0.75</v>
      </c>
      <c r="V3276">
        <v>60.08</v>
      </c>
      <c r="X3276" s="42"/>
      <c r="AB3276">
        <v>62.8</v>
      </c>
      <c r="AC3276">
        <v>55.94</v>
      </c>
      <c r="AE3276" s="74"/>
      <c r="AF3276" s="77"/>
      <c r="AH3276" s="497">
        <v>64.400000000000006</v>
      </c>
      <c r="AJ3276" s="42"/>
      <c r="AK3276" s="74"/>
      <c r="AL3276" s="77"/>
      <c r="AN3276" s="497">
        <v>57.019999999999996</v>
      </c>
      <c r="AP3276" s="42"/>
      <c r="AQ3276" s="74"/>
      <c r="AR3276" s="77"/>
      <c r="AT3276" s="497">
        <v>60.08</v>
      </c>
      <c r="AV3276" s="42"/>
      <c r="AW3276" s="74"/>
      <c r="AX3276" s="77"/>
      <c r="BA3276" s="497">
        <v>62.06</v>
      </c>
      <c r="BB3276" s="42"/>
      <c r="BC3276" s="74"/>
      <c r="BD3276" s="77"/>
      <c r="BF3276">
        <v>69.080000000000013</v>
      </c>
      <c r="BH3276" s="42"/>
      <c r="BI3276" s="74"/>
      <c r="BJ3276" s="77"/>
      <c r="BL3276" s="497">
        <v>69.98</v>
      </c>
      <c r="BN3276" s="42"/>
      <c r="BO3276" s="74"/>
      <c r="BP3276" s="77"/>
      <c r="BR3276" s="497">
        <v>64.039999999999992</v>
      </c>
      <c r="BT3276" s="42"/>
    </row>
    <row r="3277" spans="1:72" x14ac:dyDescent="0.25">
      <c r="A3277" s="90">
        <v>36296</v>
      </c>
      <c r="B3277" s="20">
        <v>0.79166666666666663</v>
      </c>
      <c r="D3277">
        <v>62.06</v>
      </c>
      <c r="E3277" t="str">
        <f t="shared" si="136"/>
        <v>SUNDAY</v>
      </c>
      <c r="F3277" t="e">
        <f t="shared" si="137"/>
        <v>#N/A</v>
      </c>
      <c r="G3277" s="74">
        <v>31913</v>
      </c>
      <c r="H3277" s="77">
        <v>0.79166666666666663</v>
      </c>
      <c r="J3277">
        <v>60.08</v>
      </c>
      <c r="M3277" s="74">
        <v>34470</v>
      </c>
      <c r="N3277" s="77">
        <v>0.79166666666666663</v>
      </c>
      <c r="P3277">
        <v>57.92</v>
      </c>
      <c r="S3277" s="74">
        <v>36296</v>
      </c>
      <c r="T3277" s="77">
        <v>0.79166666666666663</v>
      </c>
      <c r="V3277">
        <v>57.92</v>
      </c>
      <c r="X3277" s="42"/>
      <c r="AB3277">
        <v>61.4</v>
      </c>
      <c r="AC3277">
        <v>53.96</v>
      </c>
      <c r="AE3277" s="74"/>
      <c r="AF3277" s="77"/>
      <c r="AH3277" s="497">
        <v>59</v>
      </c>
      <c r="AJ3277" s="42"/>
      <c r="AK3277" s="74"/>
      <c r="AL3277" s="77"/>
      <c r="AN3277" s="497">
        <v>57.019999999999996</v>
      </c>
      <c r="AP3277" s="42"/>
      <c r="AQ3277" s="74"/>
      <c r="AR3277" s="77"/>
      <c r="AT3277" s="497">
        <v>60.08</v>
      </c>
      <c r="AV3277" s="42"/>
      <c r="AW3277" s="74"/>
      <c r="AX3277" s="77"/>
      <c r="BA3277" s="497">
        <v>60.980000000000004</v>
      </c>
      <c r="BB3277" s="42"/>
      <c r="BC3277" s="74"/>
      <c r="BD3277" s="77"/>
      <c r="BF3277">
        <v>68</v>
      </c>
      <c r="BH3277" s="42"/>
      <c r="BI3277" s="74"/>
      <c r="BJ3277" s="77"/>
      <c r="BL3277" s="497">
        <v>66.92</v>
      </c>
      <c r="BN3277" s="42"/>
      <c r="BO3277" s="74"/>
      <c r="BP3277" s="77"/>
      <c r="BR3277" s="497">
        <v>62.96</v>
      </c>
      <c r="BT3277" s="42"/>
    </row>
    <row r="3278" spans="1:72" x14ac:dyDescent="0.25">
      <c r="A3278" s="90">
        <v>36296</v>
      </c>
      <c r="B3278" s="20">
        <v>0.83333333333333337</v>
      </c>
      <c r="D3278">
        <v>57.92</v>
      </c>
      <c r="E3278" t="str">
        <f t="shared" si="136"/>
        <v>SUNDAY</v>
      </c>
      <c r="F3278" t="e">
        <f t="shared" si="137"/>
        <v>#N/A</v>
      </c>
      <c r="G3278" s="74">
        <v>31913</v>
      </c>
      <c r="H3278" s="77">
        <v>0.83333333333333337</v>
      </c>
      <c r="J3278">
        <v>60.08</v>
      </c>
      <c r="M3278" s="74">
        <v>34470</v>
      </c>
      <c r="N3278" s="77">
        <v>0.83333333333333337</v>
      </c>
      <c r="P3278">
        <v>55.94</v>
      </c>
      <c r="S3278" s="74">
        <v>36296</v>
      </c>
      <c r="T3278" s="77">
        <v>0.83333333333333337</v>
      </c>
      <c r="V3278">
        <v>55.94</v>
      </c>
      <c r="X3278" s="42"/>
      <c r="AB3278">
        <v>60.1</v>
      </c>
      <c r="AC3278">
        <v>53.06</v>
      </c>
      <c r="AE3278" s="74"/>
      <c r="AF3278" s="77"/>
      <c r="AH3278" s="497">
        <v>57.2</v>
      </c>
      <c r="AJ3278" s="42"/>
      <c r="AK3278" s="74"/>
      <c r="AL3278" s="77"/>
      <c r="AN3278" s="497">
        <v>55.040000000000006</v>
      </c>
      <c r="AP3278" s="42"/>
      <c r="AQ3278" s="74"/>
      <c r="AR3278" s="77"/>
      <c r="AT3278" s="497">
        <v>59</v>
      </c>
      <c r="AV3278" s="42"/>
      <c r="AW3278" s="74"/>
      <c r="AX3278" s="77"/>
      <c r="BA3278" s="497">
        <v>60.980000000000004</v>
      </c>
      <c r="BB3278" s="42"/>
      <c r="BC3278" s="74"/>
      <c r="BD3278" s="77"/>
      <c r="BF3278">
        <v>66.02</v>
      </c>
      <c r="BH3278" s="42"/>
      <c r="BI3278" s="74"/>
      <c r="BJ3278" s="77"/>
      <c r="BL3278" s="497">
        <v>64.94</v>
      </c>
      <c r="BN3278" s="42"/>
      <c r="BO3278" s="74"/>
      <c r="BP3278" s="77"/>
      <c r="BR3278" s="497">
        <v>59</v>
      </c>
      <c r="BT3278" s="42"/>
    </row>
    <row r="3279" spans="1:72" x14ac:dyDescent="0.25">
      <c r="A3279" s="90">
        <v>36296</v>
      </c>
      <c r="B3279" s="20">
        <v>0.875</v>
      </c>
      <c r="D3279">
        <v>57.019999999999996</v>
      </c>
      <c r="E3279" t="str">
        <f t="shared" si="136"/>
        <v>SUNDAY</v>
      </c>
      <c r="F3279" t="e">
        <f t="shared" si="137"/>
        <v>#N/A</v>
      </c>
      <c r="G3279" s="74">
        <v>31913</v>
      </c>
      <c r="H3279" s="77">
        <v>0.875</v>
      </c>
      <c r="J3279">
        <v>62.06</v>
      </c>
      <c r="M3279" s="74">
        <v>34470</v>
      </c>
      <c r="N3279" s="77">
        <v>0.875</v>
      </c>
      <c r="P3279">
        <v>52.879999999999995</v>
      </c>
      <c r="S3279" s="74">
        <v>36296</v>
      </c>
      <c r="T3279" s="77">
        <v>0.875</v>
      </c>
      <c r="V3279">
        <v>55.040000000000006</v>
      </c>
      <c r="X3279" s="42"/>
      <c r="AB3279">
        <v>59.1</v>
      </c>
      <c r="AC3279">
        <v>53.06</v>
      </c>
      <c r="AE3279" s="74"/>
      <c r="AF3279" s="77"/>
      <c r="AH3279" s="497">
        <v>53.6</v>
      </c>
      <c r="AJ3279" s="42"/>
      <c r="AK3279" s="74"/>
      <c r="AL3279" s="77"/>
      <c r="AN3279" s="497">
        <v>53.96</v>
      </c>
      <c r="AP3279" s="42"/>
      <c r="AQ3279" s="74"/>
      <c r="AR3279" s="77"/>
      <c r="AT3279" s="497">
        <v>60.08</v>
      </c>
      <c r="AV3279" s="42"/>
      <c r="AW3279" s="74"/>
      <c r="AX3279" s="77"/>
      <c r="BA3279" s="497">
        <v>60.08</v>
      </c>
      <c r="BB3279" s="42"/>
      <c r="BC3279" s="74"/>
      <c r="BD3279" s="77"/>
      <c r="BF3279">
        <v>64.039999999999992</v>
      </c>
      <c r="BH3279" s="42"/>
      <c r="BI3279" s="74"/>
      <c r="BJ3279" s="77"/>
      <c r="BL3279" s="497">
        <v>64.039999999999992</v>
      </c>
      <c r="BN3279" s="42"/>
      <c r="BO3279" s="74"/>
      <c r="BP3279" s="77"/>
      <c r="BR3279" s="497">
        <v>53.96</v>
      </c>
      <c r="BT3279" s="42"/>
    </row>
    <row r="3280" spans="1:72" x14ac:dyDescent="0.25">
      <c r="A3280" s="90">
        <v>36296</v>
      </c>
      <c r="B3280" s="20">
        <v>0.91666666666666663</v>
      </c>
      <c r="D3280">
        <v>55.94</v>
      </c>
      <c r="E3280" t="str">
        <f t="shared" si="136"/>
        <v>SUNDAY</v>
      </c>
      <c r="F3280" t="e">
        <f t="shared" si="137"/>
        <v>#N/A</v>
      </c>
      <c r="G3280" s="74">
        <v>31913</v>
      </c>
      <c r="H3280" s="77">
        <v>0.91666666666666663</v>
      </c>
      <c r="J3280">
        <v>60.980000000000004</v>
      </c>
      <c r="M3280" s="74">
        <v>34470</v>
      </c>
      <c r="N3280" s="77">
        <v>0.91666666666666663</v>
      </c>
      <c r="P3280">
        <v>52.879999999999995</v>
      </c>
      <c r="S3280" s="74">
        <v>36296</v>
      </c>
      <c r="T3280" s="77">
        <v>0.91666666666666663</v>
      </c>
      <c r="V3280">
        <v>53.96</v>
      </c>
      <c r="X3280" s="42"/>
      <c r="AB3280">
        <v>58.6</v>
      </c>
      <c r="AC3280">
        <v>53.06</v>
      </c>
      <c r="AE3280" s="74"/>
      <c r="AF3280" s="77"/>
      <c r="AH3280" s="497">
        <v>48.2</v>
      </c>
      <c r="AJ3280" s="42"/>
      <c r="AK3280" s="74"/>
      <c r="AL3280" s="77"/>
      <c r="AN3280" s="497">
        <v>53.96</v>
      </c>
      <c r="AP3280" s="42"/>
      <c r="AQ3280" s="74"/>
      <c r="AR3280" s="77"/>
      <c r="AT3280" s="497">
        <v>60.08</v>
      </c>
      <c r="AV3280" s="42"/>
      <c r="AW3280" s="74"/>
      <c r="AX3280" s="77"/>
      <c r="BA3280" s="497">
        <v>59</v>
      </c>
      <c r="BB3280" s="42"/>
      <c r="BC3280" s="74"/>
      <c r="BD3280" s="77"/>
      <c r="BF3280">
        <v>62.06</v>
      </c>
      <c r="BH3280" s="42"/>
      <c r="BI3280" s="74"/>
      <c r="BJ3280" s="77"/>
      <c r="BL3280" s="497">
        <v>64.94</v>
      </c>
      <c r="BN3280" s="42"/>
      <c r="BO3280" s="74"/>
      <c r="BP3280" s="77"/>
      <c r="BR3280" s="497">
        <v>53.96</v>
      </c>
      <c r="BT3280" s="42"/>
    </row>
    <row r="3281" spans="1:72" x14ac:dyDescent="0.25">
      <c r="A3281" s="90">
        <v>36296</v>
      </c>
      <c r="B3281" s="20">
        <v>0.95833333333333337</v>
      </c>
      <c r="D3281">
        <v>53.96</v>
      </c>
      <c r="E3281" t="str">
        <f t="shared" si="136"/>
        <v>SUNDAY</v>
      </c>
      <c r="F3281" t="e">
        <f t="shared" si="137"/>
        <v>#N/A</v>
      </c>
      <c r="G3281" s="74">
        <v>31913</v>
      </c>
      <c r="H3281" s="77">
        <v>0.95833333333333337</v>
      </c>
      <c r="J3281">
        <v>62.06</v>
      </c>
      <c r="M3281" s="74">
        <v>34470</v>
      </c>
      <c r="N3281" s="77">
        <v>0.95833333333333337</v>
      </c>
      <c r="P3281">
        <v>51.980000000000004</v>
      </c>
      <c r="S3281" s="74">
        <v>36296</v>
      </c>
      <c r="T3281" s="77">
        <v>0.95833333333333337</v>
      </c>
      <c r="V3281">
        <v>53.06</v>
      </c>
      <c r="X3281" s="42"/>
      <c r="AB3281">
        <v>58</v>
      </c>
      <c r="AC3281">
        <v>51.980000000000004</v>
      </c>
      <c r="AE3281" s="74"/>
      <c r="AF3281" s="77"/>
      <c r="AH3281" s="497">
        <v>48.2</v>
      </c>
      <c r="AJ3281" s="42"/>
      <c r="AK3281" s="74"/>
      <c r="AL3281" s="77"/>
      <c r="AN3281" s="497">
        <v>53.96</v>
      </c>
      <c r="AP3281" s="42"/>
      <c r="AQ3281" s="74"/>
      <c r="AR3281" s="77"/>
      <c r="AT3281" s="497">
        <v>60.08</v>
      </c>
      <c r="AV3281" s="42"/>
      <c r="AW3281" s="74"/>
      <c r="AX3281" s="77"/>
      <c r="BA3281" s="497">
        <v>57.92</v>
      </c>
      <c r="BB3281" s="42"/>
      <c r="BC3281" s="74"/>
      <c r="BD3281" s="77"/>
      <c r="BF3281">
        <v>60.980000000000004</v>
      </c>
      <c r="BH3281" s="42"/>
      <c r="BI3281" s="74"/>
      <c r="BJ3281" s="77"/>
      <c r="BL3281" s="497">
        <v>64.94</v>
      </c>
      <c r="BN3281" s="42"/>
      <c r="BO3281" s="74"/>
      <c r="BP3281" s="77"/>
      <c r="BR3281" s="497">
        <v>53.06</v>
      </c>
      <c r="BT3281" s="42"/>
    </row>
    <row r="3282" spans="1:72" x14ac:dyDescent="0.25">
      <c r="A3282" s="90">
        <v>36296</v>
      </c>
      <c r="B3282" s="20">
        <v>1</v>
      </c>
      <c r="D3282">
        <v>53.96</v>
      </c>
      <c r="E3282" t="str">
        <f t="shared" si="136"/>
        <v>SUNDAY</v>
      </c>
      <c r="F3282" t="e">
        <f t="shared" si="137"/>
        <v>#N/A</v>
      </c>
      <c r="G3282" s="74">
        <v>31913</v>
      </c>
      <c r="H3282" s="77">
        <v>1</v>
      </c>
      <c r="J3282">
        <v>62.06</v>
      </c>
      <c r="M3282" s="74">
        <v>34470</v>
      </c>
      <c r="N3282" s="80">
        <v>1</v>
      </c>
      <c r="P3282">
        <v>51.26</v>
      </c>
      <c r="S3282" s="74">
        <v>36296</v>
      </c>
      <c r="T3282" s="80">
        <v>1</v>
      </c>
      <c r="V3282">
        <v>51.980000000000004</v>
      </c>
      <c r="X3282" s="42"/>
      <c r="AB3282">
        <v>57.5</v>
      </c>
      <c r="AC3282">
        <v>51.08</v>
      </c>
      <c r="AE3282" s="74"/>
      <c r="AF3282" s="80"/>
      <c r="AH3282" s="497">
        <v>53.6</v>
      </c>
      <c r="AJ3282" s="42"/>
      <c r="AK3282" s="74"/>
      <c r="AL3282" s="80"/>
      <c r="AN3282" s="497">
        <v>53.06</v>
      </c>
      <c r="AP3282" s="42"/>
      <c r="AQ3282" s="74"/>
      <c r="AR3282" s="80"/>
      <c r="AT3282" s="497">
        <v>59</v>
      </c>
      <c r="AV3282" s="42"/>
      <c r="AW3282" s="74"/>
      <c r="AX3282" s="80"/>
      <c r="BA3282" s="497">
        <v>55.94</v>
      </c>
      <c r="BB3282" s="42"/>
      <c r="BC3282" s="74"/>
      <c r="BD3282" s="80"/>
      <c r="BF3282">
        <v>60.980000000000004</v>
      </c>
      <c r="BH3282" s="42"/>
      <c r="BI3282" s="74"/>
      <c r="BJ3282" s="80"/>
      <c r="BL3282" s="497">
        <v>64.039999999999992</v>
      </c>
      <c r="BN3282" s="42"/>
      <c r="BO3282" s="74"/>
      <c r="BP3282" s="80"/>
      <c r="BR3282" s="497">
        <v>53.06</v>
      </c>
      <c r="BT3282" s="42"/>
    </row>
    <row r="3283" spans="1:72" x14ac:dyDescent="0.25">
      <c r="A3283" s="90">
        <v>36297</v>
      </c>
      <c r="B3283" s="20">
        <v>4.1666666666666664E-2</v>
      </c>
      <c r="D3283">
        <v>53.06</v>
      </c>
      <c r="E3283" t="str">
        <f t="shared" ref="E3283:E3346" si="138">IF(COUNTIF($DI$18:$DI$22, WEEKDAY(A3283))=1, "WEEKDAY", IF(WEEKDAY(A3283) = 1, "SUNDAY", "SATURDAY"))</f>
        <v>WEEKDAY</v>
      </c>
      <c r="F3283" t="e">
        <f t="shared" si="137"/>
        <v>#N/A</v>
      </c>
      <c r="G3283" s="74">
        <v>31914</v>
      </c>
      <c r="H3283" s="77">
        <v>4.1666666666666664E-2</v>
      </c>
      <c r="J3283">
        <v>62.06</v>
      </c>
      <c r="M3283" s="74">
        <v>34471</v>
      </c>
      <c r="N3283" s="77">
        <v>4.1666666666666664E-2</v>
      </c>
      <c r="P3283">
        <v>50.900000000000006</v>
      </c>
      <c r="S3283" s="74">
        <v>36297</v>
      </c>
      <c r="T3283" s="77">
        <v>4.1666666666666664E-2</v>
      </c>
      <c r="V3283">
        <v>51.980000000000004</v>
      </c>
      <c r="X3283" s="42"/>
      <c r="AB3283">
        <v>57</v>
      </c>
      <c r="AC3283">
        <v>51.08</v>
      </c>
      <c r="AE3283" s="74"/>
      <c r="AF3283" s="77"/>
      <c r="AH3283" s="497">
        <v>50</v>
      </c>
      <c r="AJ3283" s="42"/>
      <c r="AK3283" s="74"/>
      <c r="AL3283" s="77"/>
      <c r="AN3283" s="497">
        <v>53.06</v>
      </c>
      <c r="AP3283" s="42"/>
      <c r="AQ3283" s="74"/>
      <c r="AR3283" s="77"/>
      <c r="AT3283" s="497">
        <v>57.92</v>
      </c>
      <c r="AV3283" s="42"/>
      <c r="AW3283" s="74"/>
      <c r="AX3283" s="77"/>
      <c r="BA3283" s="497">
        <v>53.96</v>
      </c>
      <c r="BB3283" s="42"/>
      <c r="BC3283" s="74"/>
      <c r="BD3283" s="77"/>
      <c r="BF3283">
        <v>60.08</v>
      </c>
      <c r="BH3283" s="42"/>
      <c r="BI3283" s="74"/>
      <c r="BJ3283" s="77"/>
      <c r="BL3283" s="497">
        <v>62.96</v>
      </c>
      <c r="BN3283" s="42"/>
      <c r="BO3283" s="74"/>
      <c r="BP3283" s="77"/>
      <c r="BR3283" s="497">
        <v>53.96</v>
      </c>
      <c r="BT3283" s="42"/>
    </row>
    <row r="3284" spans="1:72" x14ac:dyDescent="0.25">
      <c r="A3284" s="90">
        <v>36297</v>
      </c>
      <c r="B3284" s="20">
        <v>8.3333333333333329E-2</v>
      </c>
      <c r="D3284">
        <v>53.06</v>
      </c>
      <c r="E3284" t="str">
        <f t="shared" si="138"/>
        <v>WEEKDAY</v>
      </c>
      <c r="F3284" t="e">
        <f t="shared" si="137"/>
        <v>#N/A</v>
      </c>
      <c r="G3284" s="74">
        <v>31914</v>
      </c>
      <c r="H3284" s="77">
        <v>8.3333333333333329E-2</v>
      </c>
      <c r="J3284">
        <v>60.08</v>
      </c>
      <c r="M3284" s="74">
        <v>34471</v>
      </c>
      <c r="N3284" s="77">
        <v>8.3333333333333329E-2</v>
      </c>
      <c r="P3284">
        <v>50</v>
      </c>
      <c r="S3284" s="74">
        <v>36297</v>
      </c>
      <c r="T3284" s="77">
        <v>8.3333333333333329E-2</v>
      </c>
      <c r="V3284">
        <v>51.08</v>
      </c>
      <c r="X3284" s="42"/>
      <c r="AB3284">
        <v>56.5</v>
      </c>
      <c r="AC3284">
        <v>48.92</v>
      </c>
      <c r="AE3284" s="74"/>
      <c r="AF3284" s="77"/>
      <c r="AH3284" s="497">
        <v>48.2</v>
      </c>
      <c r="AJ3284" s="42"/>
      <c r="AK3284" s="74"/>
      <c r="AL3284" s="77"/>
      <c r="AN3284" s="497">
        <v>51.980000000000004</v>
      </c>
      <c r="AP3284" s="42"/>
      <c r="AQ3284" s="74"/>
      <c r="AR3284" s="77"/>
      <c r="AT3284" s="497">
        <v>59</v>
      </c>
      <c r="AV3284" s="42"/>
      <c r="AW3284" s="74"/>
      <c r="AX3284" s="77"/>
      <c r="BA3284" s="497">
        <v>53.06</v>
      </c>
      <c r="BB3284" s="42"/>
      <c r="BC3284" s="74"/>
      <c r="BD3284" s="77"/>
      <c r="BF3284">
        <v>60.08</v>
      </c>
      <c r="BH3284" s="42"/>
      <c r="BI3284" s="74"/>
      <c r="BJ3284" s="77"/>
      <c r="BL3284" s="497">
        <v>62.96</v>
      </c>
      <c r="BN3284" s="42"/>
      <c r="BO3284" s="74"/>
      <c r="BP3284" s="77"/>
      <c r="BR3284" s="497">
        <v>51.980000000000004</v>
      </c>
      <c r="BT3284" s="42"/>
    </row>
    <row r="3285" spans="1:72" x14ac:dyDescent="0.25">
      <c r="A3285" s="90">
        <v>36297</v>
      </c>
      <c r="B3285" s="20">
        <v>0.125</v>
      </c>
      <c r="D3285">
        <v>51.980000000000004</v>
      </c>
      <c r="E3285" t="str">
        <f t="shared" si="138"/>
        <v>WEEKDAY</v>
      </c>
      <c r="F3285" t="e">
        <f t="shared" si="137"/>
        <v>#N/A</v>
      </c>
      <c r="G3285" s="74">
        <v>31914</v>
      </c>
      <c r="H3285" s="77">
        <v>0.125</v>
      </c>
      <c r="J3285">
        <v>60.08</v>
      </c>
      <c r="M3285" s="74">
        <v>34471</v>
      </c>
      <c r="N3285" s="77">
        <v>0.125</v>
      </c>
      <c r="P3285">
        <v>48.92</v>
      </c>
      <c r="S3285" s="74">
        <v>36297</v>
      </c>
      <c r="T3285" s="77">
        <v>0.125</v>
      </c>
      <c r="V3285">
        <v>50</v>
      </c>
      <c r="X3285" s="42"/>
      <c r="AB3285">
        <v>55.9</v>
      </c>
      <c r="AC3285">
        <v>48.92</v>
      </c>
      <c r="AE3285" s="74"/>
      <c r="AF3285" s="77"/>
      <c r="AH3285" s="497">
        <v>48.2</v>
      </c>
      <c r="AJ3285" s="42"/>
      <c r="AK3285" s="74"/>
      <c r="AL3285" s="77"/>
      <c r="AN3285" s="497">
        <v>48.92</v>
      </c>
      <c r="AP3285" s="42"/>
      <c r="AQ3285" s="74"/>
      <c r="AR3285" s="77"/>
      <c r="AT3285" s="497">
        <v>57.92</v>
      </c>
      <c r="AV3285" s="42"/>
      <c r="AW3285" s="74"/>
      <c r="AX3285" s="77"/>
      <c r="BA3285" s="497">
        <v>53.06</v>
      </c>
      <c r="BB3285" s="42"/>
      <c r="BC3285" s="74"/>
      <c r="BD3285" s="77"/>
      <c r="BF3285">
        <v>59</v>
      </c>
      <c r="BH3285" s="42"/>
      <c r="BI3285" s="74"/>
      <c r="BJ3285" s="77"/>
      <c r="BL3285" s="497">
        <v>64.039999999999992</v>
      </c>
      <c r="BN3285" s="42"/>
      <c r="BO3285" s="74"/>
      <c r="BP3285" s="77"/>
      <c r="BR3285" s="497">
        <v>51.980000000000004</v>
      </c>
      <c r="BT3285" s="42"/>
    </row>
    <row r="3286" spans="1:72" x14ac:dyDescent="0.25">
      <c r="A3286" s="90">
        <v>36297</v>
      </c>
      <c r="B3286" s="20">
        <v>0.16666666666666666</v>
      </c>
      <c r="D3286">
        <v>51.08</v>
      </c>
      <c r="E3286" t="str">
        <f t="shared" si="138"/>
        <v>WEEKDAY</v>
      </c>
      <c r="F3286" t="e">
        <f t="shared" si="137"/>
        <v>#N/A</v>
      </c>
      <c r="G3286" s="74">
        <v>31914</v>
      </c>
      <c r="H3286" s="77">
        <v>0.16666666666666666</v>
      </c>
      <c r="J3286">
        <v>59</v>
      </c>
      <c r="M3286" s="74">
        <v>34471</v>
      </c>
      <c r="N3286" s="77">
        <v>0.16666666666666666</v>
      </c>
      <c r="P3286">
        <v>47.84</v>
      </c>
      <c r="S3286" s="74">
        <v>36297</v>
      </c>
      <c r="T3286" s="77">
        <v>0.16666666666666666</v>
      </c>
      <c r="V3286">
        <v>50</v>
      </c>
      <c r="X3286" s="42"/>
      <c r="AB3286">
        <v>55.4</v>
      </c>
      <c r="AC3286">
        <v>48.92</v>
      </c>
      <c r="AE3286" s="74"/>
      <c r="AF3286" s="77"/>
      <c r="AH3286" s="497">
        <v>46.4</v>
      </c>
      <c r="AJ3286" s="42"/>
      <c r="AK3286" s="74"/>
      <c r="AL3286" s="77"/>
      <c r="AN3286" s="497">
        <v>48.019999999999996</v>
      </c>
      <c r="AP3286" s="42"/>
      <c r="AQ3286" s="74"/>
      <c r="AR3286" s="77"/>
      <c r="AT3286" s="497">
        <v>57.92</v>
      </c>
      <c r="AV3286" s="42"/>
      <c r="AW3286" s="74"/>
      <c r="AX3286" s="77"/>
      <c r="BA3286" s="497">
        <v>51.08</v>
      </c>
      <c r="BB3286" s="42"/>
      <c r="BC3286" s="74"/>
      <c r="BD3286" s="77"/>
      <c r="BF3286">
        <v>60.08</v>
      </c>
      <c r="BH3286" s="42"/>
      <c r="BI3286" s="74"/>
      <c r="BJ3286" s="77"/>
      <c r="BL3286" s="497">
        <v>62.96</v>
      </c>
      <c r="BN3286" s="42"/>
      <c r="BO3286" s="74"/>
      <c r="BP3286" s="77"/>
      <c r="BR3286" s="497">
        <v>51.980000000000004</v>
      </c>
      <c r="BT3286" s="42"/>
    </row>
    <row r="3287" spans="1:72" x14ac:dyDescent="0.25">
      <c r="A3287" s="90">
        <v>36297</v>
      </c>
      <c r="B3287" s="20">
        <v>0.20833333333333334</v>
      </c>
      <c r="D3287">
        <v>50</v>
      </c>
      <c r="E3287" t="str">
        <f t="shared" si="138"/>
        <v>WEEKDAY</v>
      </c>
      <c r="F3287" t="e">
        <f t="shared" si="137"/>
        <v>#N/A</v>
      </c>
      <c r="G3287" s="74">
        <v>31914</v>
      </c>
      <c r="H3287" s="77">
        <v>0.20833333333333334</v>
      </c>
      <c r="J3287">
        <v>60.08</v>
      </c>
      <c r="M3287" s="74">
        <v>34471</v>
      </c>
      <c r="N3287" s="77">
        <v>0.20833333333333334</v>
      </c>
      <c r="P3287">
        <v>46.94</v>
      </c>
      <c r="S3287" s="74">
        <v>36297</v>
      </c>
      <c r="T3287" s="77">
        <v>0.20833333333333334</v>
      </c>
      <c r="V3287">
        <v>50</v>
      </c>
      <c r="X3287" s="42"/>
      <c r="AB3287">
        <v>55</v>
      </c>
      <c r="AC3287">
        <v>48.92</v>
      </c>
      <c r="AE3287" s="74"/>
      <c r="AF3287" s="77"/>
      <c r="AH3287" s="497">
        <v>44.6</v>
      </c>
      <c r="AJ3287" s="42"/>
      <c r="AK3287" s="74"/>
      <c r="AL3287" s="77"/>
      <c r="AN3287" s="497">
        <v>48.019999999999996</v>
      </c>
      <c r="AP3287" s="42"/>
      <c r="AQ3287" s="74"/>
      <c r="AR3287" s="77"/>
      <c r="AT3287" s="497">
        <v>59</v>
      </c>
      <c r="AV3287" s="42"/>
      <c r="AW3287" s="74"/>
      <c r="AX3287" s="77"/>
      <c r="BA3287" s="497">
        <v>51.08</v>
      </c>
      <c r="BB3287" s="42"/>
      <c r="BC3287" s="74"/>
      <c r="BD3287" s="77"/>
      <c r="BF3287">
        <v>60.08</v>
      </c>
      <c r="BH3287" s="42"/>
      <c r="BI3287" s="74"/>
      <c r="BJ3287" s="77"/>
      <c r="BL3287" s="497">
        <v>60.980000000000004</v>
      </c>
      <c r="BN3287" s="42"/>
      <c r="BO3287" s="74"/>
      <c r="BP3287" s="77"/>
      <c r="BR3287" s="497">
        <v>50</v>
      </c>
      <c r="BT3287" s="42"/>
    </row>
    <row r="3288" spans="1:72" x14ac:dyDescent="0.25">
      <c r="A3288" s="90">
        <v>36297</v>
      </c>
      <c r="B3288" s="20">
        <v>0.25</v>
      </c>
      <c r="D3288">
        <v>51.08</v>
      </c>
      <c r="E3288" t="str">
        <f t="shared" si="138"/>
        <v>WEEKDAY</v>
      </c>
      <c r="F3288" t="e">
        <f t="shared" si="137"/>
        <v>#N/A</v>
      </c>
      <c r="G3288" s="74">
        <v>31914</v>
      </c>
      <c r="H3288" s="77">
        <v>0.25</v>
      </c>
      <c r="J3288">
        <v>60.980000000000004</v>
      </c>
      <c r="M3288" s="74">
        <v>34471</v>
      </c>
      <c r="N3288" s="77">
        <v>0.25</v>
      </c>
      <c r="P3288">
        <v>46.94</v>
      </c>
      <c r="S3288" s="74">
        <v>36297</v>
      </c>
      <c r="T3288" s="77">
        <v>0.25</v>
      </c>
      <c r="V3288">
        <v>53.06</v>
      </c>
      <c r="X3288" s="42"/>
      <c r="AB3288">
        <v>54.9</v>
      </c>
      <c r="AC3288">
        <v>51.08</v>
      </c>
      <c r="AE3288" s="74"/>
      <c r="AF3288" s="77"/>
      <c r="AH3288" s="497">
        <v>46.4</v>
      </c>
      <c r="AJ3288" s="42"/>
      <c r="AK3288" s="74"/>
      <c r="AL3288" s="77"/>
      <c r="AN3288" s="497">
        <v>48.92</v>
      </c>
      <c r="AP3288" s="42"/>
      <c r="AQ3288" s="74"/>
      <c r="AR3288" s="77"/>
      <c r="AT3288" s="497">
        <v>57.92</v>
      </c>
      <c r="AV3288" s="42"/>
      <c r="AW3288" s="74"/>
      <c r="AX3288" s="77"/>
      <c r="BA3288" s="497">
        <v>51.980000000000004</v>
      </c>
      <c r="BB3288" s="42"/>
      <c r="BC3288" s="74"/>
      <c r="BD3288" s="77"/>
      <c r="BF3288">
        <v>64.94</v>
      </c>
      <c r="BH3288" s="42"/>
      <c r="BI3288" s="74"/>
      <c r="BJ3288" s="77"/>
      <c r="BL3288" s="497">
        <v>62.06</v>
      </c>
      <c r="BN3288" s="42"/>
      <c r="BO3288" s="74"/>
      <c r="BP3288" s="77"/>
      <c r="BR3288" s="497">
        <v>51.980000000000004</v>
      </c>
      <c r="BT3288" s="42"/>
    </row>
    <row r="3289" spans="1:72" x14ac:dyDescent="0.25">
      <c r="A3289" s="90">
        <v>36297</v>
      </c>
      <c r="B3289" s="20">
        <v>0.29166666666666669</v>
      </c>
      <c r="D3289">
        <v>51.08</v>
      </c>
      <c r="E3289" t="str">
        <f t="shared" si="138"/>
        <v>WEEKDAY</v>
      </c>
      <c r="F3289" t="e">
        <f t="shared" si="137"/>
        <v>#N/A</v>
      </c>
      <c r="G3289" s="74">
        <v>31914</v>
      </c>
      <c r="H3289" s="77">
        <v>0.29166666666666669</v>
      </c>
      <c r="J3289">
        <v>62.96</v>
      </c>
      <c r="M3289" s="74">
        <v>34471</v>
      </c>
      <c r="N3289" s="77">
        <v>0.29166666666666669</v>
      </c>
      <c r="P3289">
        <v>46.94</v>
      </c>
      <c r="S3289" s="74">
        <v>36297</v>
      </c>
      <c r="T3289" s="77">
        <v>0.29166666666666669</v>
      </c>
      <c r="V3289">
        <v>57.019999999999996</v>
      </c>
      <c r="X3289" s="42"/>
      <c r="AB3289">
        <v>56.2</v>
      </c>
      <c r="AC3289">
        <v>53.06</v>
      </c>
      <c r="AE3289" s="74"/>
      <c r="AF3289" s="77"/>
      <c r="AH3289" s="497">
        <v>53.6</v>
      </c>
      <c r="AJ3289" s="42"/>
      <c r="AK3289" s="74"/>
      <c r="AL3289" s="77"/>
      <c r="AN3289" s="497">
        <v>51.08</v>
      </c>
      <c r="AP3289" s="42"/>
      <c r="AQ3289" s="74"/>
      <c r="AR3289" s="77"/>
      <c r="AT3289" s="497">
        <v>59</v>
      </c>
      <c r="AV3289" s="42"/>
      <c r="AW3289" s="74"/>
      <c r="AX3289" s="77"/>
      <c r="BA3289" s="497">
        <v>57.92</v>
      </c>
      <c r="BB3289" s="42"/>
      <c r="BC3289" s="74"/>
      <c r="BD3289" s="77"/>
      <c r="BF3289">
        <v>66.02</v>
      </c>
      <c r="BH3289" s="42"/>
      <c r="BI3289" s="74"/>
      <c r="BJ3289" s="77"/>
      <c r="BL3289" s="497">
        <v>62.96</v>
      </c>
      <c r="BN3289" s="42"/>
      <c r="BO3289" s="74"/>
      <c r="BP3289" s="77"/>
      <c r="BR3289" s="497">
        <v>51.980000000000004</v>
      </c>
      <c r="BT3289" s="42"/>
    </row>
    <row r="3290" spans="1:72" x14ac:dyDescent="0.25">
      <c r="A3290" s="90">
        <v>36297</v>
      </c>
      <c r="B3290" s="20">
        <v>0.33333333333333331</v>
      </c>
      <c r="D3290">
        <v>51.980000000000004</v>
      </c>
      <c r="E3290" t="str">
        <f t="shared" si="138"/>
        <v>WEEKDAY</v>
      </c>
      <c r="F3290" t="e">
        <f t="shared" si="137"/>
        <v>#N/A</v>
      </c>
      <c r="G3290" s="74">
        <v>31914</v>
      </c>
      <c r="H3290" s="77">
        <v>0.33333333333333331</v>
      </c>
      <c r="J3290">
        <v>66.02</v>
      </c>
      <c r="M3290" s="74">
        <v>34471</v>
      </c>
      <c r="N3290" s="77">
        <v>0.33333333333333331</v>
      </c>
      <c r="P3290">
        <v>48.92</v>
      </c>
      <c r="S3290" s="74">
        <v>36297</v>
      </c>
      <c r="T3290" s="77">
        <v>0.33333333333333331</v>
      </c>
      <c r="V3290">
        <v>62.06</v>
      </c>
      <c r="X3290" s="42"/>
      <c r="AB3290">
        <v>58</v>
      </c>
      <c r="AC3290">
        <v>55.040000000000006</v>
      </c>
      <c r="AE3290" s="74"/>
      <c r="AF3290" s="77"/>
      <c r="AH3290" s="497">
        <v>57.2</v>
      </c>
      <c r="AJ3290" s="42"/>
      <c r="AK3290" s="74"/>
      <c r="AL3290" s="77"/>
      <c r="AN3290" s="497">
        <v>51.980000000000004</v>
      </c>
      <c r="AP3290" s="42"/>
      <c r="AQ3290" s="74"/>
      <c r="AR3290" s="77"/>
      <c r="AT3290" s="497">
        <v>60.08</v>
      </c>
      <c r="AV3290" s="42"/>
      <c r="AW3290" s="74"/>
      <c r="AX3290" s="77"/>
      <c r="BA3290" s="497">
        <v>60.980000000000004</v>
      </c>
      <c r="BB3290" s="42"/>
      <c r="BC3290" s="74"/>
      <c r="BD3290" s="77"/>
      <c r="BF3290">
        <v>66.02</v>
      </c>
      <c r="BH3290" s="42"/>
      <c r="BI3290" s="74"/>
      <c r="BJ3290" s="77"/>
      <c r="BL3290" s="497">
        <v>64.94</v>
      </c>
      <c r="BN3290" s="42"/>
      <c r="BO3290" s="74"/>
      <c r="BP3290" s="77"/>
      <c r="BR3290" s="497">
        <v>51.980000000000004</v>
      </c>
      <c r="BT3290" s="42"/>
    </row>
    <row r="3291" spans="1:72" x14ac:dyDescent="0.25">
      <c r="A3291" s="90">
        <v>36297</v>
      </c>
      <c r="B3291" s="20">
        <v>0.375</v>
      </c>
      <c r="D3291">
        <v>51.980000000000004</v>
      </c>
      <c r="E3291" t="str">
        <f t="shared" si="138"/>
        <v>WEEKDAY</v>
      </c>
      <c r="F3291" t="e">
        <f t="shared" si="137"/>
        <v>#N/A</v>
      </c>
      <c r="G3291" s="74">
        <v>31914</v>
      </c>
      <c r="H3291" s="77">
        <v>0.375</v>
      </c>
      <c r="J3291">
        <v>69.080000000000013</v>
      </c>
      <c r="M3291" s="74">
        <v>34471</v>
      </c>
      <c r="N3291" s="77">
        <v>0.375</v>
      </c>
      <c r="P3291">
        <v>48.92</v>
      </c>
      <c r="S3291" s="74">
        <v>36297</v>
      </c>
      <c r="T3291" s="77">
        <v>0.375</v>
      </c>
      <c r="V3291">
        <v>64.94</v>
      </c>
      <c r="X3291" s="42"/>
      <c r="AB3291">
        <v>60</v>
      </c>
      <c r="AC3291">
        <v>55.94</v>
      </c>
      <c r="AE3291" s="74"/>
      <c r="AF3291" s="77"/>
      <c r="AH3291" s="497">
        <v>62.6</v>
      </c>
      <c r="AJ3291" s="42"/>
      <c r="AK3291" s="74"/>
      <c r="AL3291" s="77"/>
      <c r="AN3291" s="497">
        <v>53.96</v>
      </c>
      <c r="AP3291" s="42"/>
      <c r="AQ3291" s="74"/>
      <c r="AR3291" s="77"/>
      <c r="AT3291" s="497">
        <v>60.980000000000004</v>
      </c>
      <c r="AV3291" s="42"/>
      <c r="AW3291" s="74"/>
      <c r="AX3291" s="77"/>
      <c r="BA3291" s="497">
        <v>64.039999999999992</v>
      </c>
      <c r="BB3291" s="42"/>
      <c r="BC3291" s="74"/>
      <c r="BD3291" s="77"/>
      <c r="BF3291">
        <v>66.92</v>
      </c>
      <c r="BH3291" s="42"/>
      <c r="BI3291" s="74"/>
      <c r="BJ3291" s="77"/>
      <c r="BL3291" s="497">
        <v>66.02</v>
      </c>
      <c r="BN3291" s="42"/>
      <c r="BO3291" s="74"/>
      <c r="BP3291" s="77"/>
      <c r="BR3291" s="497">
        <v>53.06</v>
      </c>
      <c r="BT3291" s="42"/>
    </row>
    <row r="3292" spans="1:72" x14ac:dyDescent="0.25">
      <c r="A3292" s="90">
        <v>36297</v>
      </c>
      <c r="B3292" s="20">
        <v>0.41666666666666669</v>
      </c>
      <c r="D3292">
        <v>51.980000000000004</v>
      </c>
      <c r="E3292" t="str">
        <f t="shared" si="138"/>
        <v>WEEKDAY</v>
      </c>
      <c r="F3292" t="e">
        <f t="shared" si="137"/>
        <v>#N/A</v>
      </c>
      <c r="G3292" s="74">
        <v>31914</v>
      </c>
      <c r="H3292" s="77">
        <v>0.41666666666666669</v>
      </c>
      <c r="J3292">
        <v>71.06</v>
      </c>
      <c r="M3292" s="74">
        <v>34471</v>
      </c>
      <c r="N3292" s="77">
        <v>0.41666666666666669</v>
      </c>
      <c r="P3292">
        <v>50.18</v>
      </c>
      <c r="S3292" s="74">
        <v>36297</v>
      </c>
      <c r="T3292" s="77">
        <v>0.41666666666666669</v>
      </c>
      <c r="V3292">
        <v>68</v>
      </c>
      <c r="X3292" s="42"/>
      <c r="AB3292">
        <v>61.8</v>
      </c>
      <c r="AC3292">
        <v>59</v>
      </c>
      <c r="AE3292" s="74"/>
      <c r="AF3292" s="77"/>
      <c r="AH3292" s="497">
        <v>64.400000000000006</v>
      </c>
      <c r="AJ3292" s="42"/>
      <c r="AK3292" s="74"/>
      <c r="AL3292" s="77"/>
      <c r="AN3292" s="497">
        <v>55.94</v>
      </c>
      <c r="AP3292" s="42"/>
      <c r="AQ3292" s="74"/>
      <c r="AR3292" s="77"/>
      <c r="AT3292" s="497">
        <v>62.06</v>
      </c>
      <c r="AV3292" s="42"/>
      <c r="AW3292" s="74"/>
      <c r="AX3292" s="77"/>
      <c r="BA3292" s="497">
        <v>66.92</v>
      </c>
      <c r="BB3292" s="42"/>
      <c r="BC3292" s="74"/>
      <c r="BD3292" s="77"/>
      <c r="BF3292">
        <v>66.02</v>
      </c>
      <c r="BH3292" s="42"/>
      <c r="BI3292" s="74"/>
      <c r="BJ3292" s="77"/>
      <c r="BL3292" s="497">
        <v>69.080000000000013</v>
      </c>
      <c r="BN3292" s="42"/>
      <c r="BO3292" s="74"/>
      <c r="BP3292" s="77"/>
      <c r="BR3292" s="497">
        <v>51.08</v>
      </c>
      <c r="BT3292" s="42"/>
    </row>
    <row r="3293" spans="1:72" x14ac:dyDescent="0.25">
      <c r="A3293" s="90">
        <v>36297</v>
      </c>
      <c r="B3293" s="20">
        <v>0.45833333333333331</v>
      </c>
      <c r="D3293">
        <v>53.96</v>
      </c>
      <c r="E3293" t="str">
        <f t="shared" si="138"/>
        <v>WEEKDAY</v>
      </c>
      <c r="F3293" t="e">
        <f t="shared" si="137"/>
        <v>#N/A</v>
      </c>
      <c r="G3293" s="74">
        <v>31914</v>
      </c>
      <c r="H3293" s="77">
        <v>0.45833333333333331</v>
      </c>
      <c r="J3293">
        <v>78.98</v>
      </c>
      <c r="M3293" s="74">
        <v>34471</v>
      </c>
      <c r="N3293" s="77">
        <v>0.45833333333333331</v>
      </c>
      <c r="P3293">
        <v>50.900000000000006</v>
      </c>
      <c r="S3293" s="74">
        <v>36297</v>
      </c>
      <c r="T3293" s="77">
        <v>0.45833333333333331</v>
      </c>
      <c r="V3293">
        <v>68</v>
      </c>
      <c r="X3293" s="42"/>
      <c r="AB3293">
        <v>63.5</v>
      </c>
      <c r="AC3293">
        <v>59</v>
      </c>
      <c r="AE3293" s="74"/>
      <c r="AF3293" s="77"/>
      <c r="AH3293" s="497">
        <v>66.2</v>
      </c>
      <c r="AJ3293" s="42"/>
      <c r="AK3293" s="74"/>
      <c r="AL3293" s="77"/>
      <c r="AN3293" s="497">
        <v>57.019999999999996</v>
      </c>
      <c r="AP3293" s="42"/>
      <c r="AQ3293" s="74"/>
      <c r="AR3293" s="77"/>
      <c r="AT3293" s="497">
        <v>62.96</v>
      </c>
      <c r="AV3293" s="42"/>
      <c r="AW3293" s="74"/>
      <c r="AX3293" s="77"/>
      <c r="BA3293" s="497">
        <v>69.98</v>
      </c>
      <c r="BB3293" s="42"/>
      <c r="BC3293" s="74"/>
      <c r="BD3293" s="77"/>
      <c r="BF3293">
        <v>60.08</v>
      </c>
      <c r="BH3293" s="42"/>
      <c r="BI3293" s="74"/>
      <c r="BJ3293" s="77"/>
      <c r="BL3293" s="497">
        <v>71.960000000000008</v>
      </c>
      <c r="BN3293" s="42"/>
      <c r="BO3293" s="74"/>
      <c r="BP3293" s="77"/>
      <c r="BR3293" s="497">
        <v>51.980000000000004</v>
      </c>
      <c r="BT3293" s="42"/>
    </row>
    <row r="3294" spans="1:72" x14ac:dyDescent="0.25">
      <c r="A3294" s="90">
        <v>36297</v>
      </c>
      <c r="B3294" s="20">
        <v>0.5</v>
      </c>
      <c r="D3294">
        <v>57.019999999999996</v>
      </c>
      <c r="E3294" t="str">
        <f t="shared" si="138"/>
        <v>WEEKDAY</v>
      </c>
      <c r="F3294" t="e">
        <f t="shared" si="137"/>
        <v>#N/A</v>
      </c>
      <c r="G3294" s="74">
        <v>31914</v>
      </c>
      <c r="H3294" s="77">
        <v>0.5</v>
      </c>
      <c r="J3294">
        <v>80.06</v>
      </c>
      <c r="M3294" s="74">
        <v>34471</v>
      </c>
      <c r="N3294" s="77">
        <v>0.5</v>
      </c>
      <c r="P3294">
        <v>51.980000000000004</v>
      </c>
      <c r="S3294" s="74">
        <v>36297</v>
      </c>
      <c r="T3294" s="77">
        <v>0.5</v>
      </c>
      <c r="V3294">
        <v>69.080000000000013</v>
      </c>
      <c r="X3294" s="42"/>
      <c r="AB3294">
        <v>64.599999999999994</v>
      </c>
      <c r="AC3294">
        <v>59</v>
      </c>
      <c r="AE3294" s="74"/>
      <c r="AF3294" s="77"/>
      <c r="AH3294" s="497">
        <v>68</v>
      </c>
      <c r="AJ3294" s="42"/>
      <c r="AK3294" s="74"/>
      <c r="AL3294" s="77"/>
      <c r="AN3294" s="497">
        <v>60.08</v>
      </c>
      <c r="AP3294" s="42"/>
      <c r="AQ3294" s="74"/>
      <c r="AR3294" s="77"/>
      <c r="AT3294" s="497">
        <v>66.02</v>
      </c>
      <c r="AV3294" s="42"/>
      <c r="AW3294" s="74"/>
      <c r="AX3294" s="77"/>
      <c r="BA3294" s="497">
        <v>71.06</v>
      </c>
      <c r="BB3294" s="42"/>
      <c r="BC3294" s="74"/>
      <c r="BD3294" s="77"/>
      <c r="BF3294">
        <v>60.980000000000004</v>
      </c>
      <c r="BH3294" s="42"/>
      <c r="BI3294" s="74"/>
      <c r="BJ3294" s="77"/>
      <c r="BL3294" s="497">
        <v>75.02</v>
      </c>
      <c r="BN3294" s="42"/>
      <c r="BO3294" s="74"/>
      <c r="BP3294" s="77"/>
      <c r="BR3294" s="497">
        <v>53.06</v>
      </c>
      <c r="BT3294" s="42"/>
    </row>
    <row r="3295" spans="1:72" x14ac:dyDescent="0.25">
      <c r="A3295" s="90">
        <v>36297</v>
      </c>
      <c r="B3295" s="20">
        <v>0.54166666666666663</v>
      </c>
      <c r="D3295">
        <v>57.92</v>
      </c>
      <c r="E3295" t="str">
        <f t="shared" si="138"/>
        <v>WEEKDAY</v>
      </c>
      <c r="F3295" t="e">
        <f t="shared" si="137"/>
        <v>#N/A</v>
      </c>
      <c r="G3295" s="74">
        <v>31914</v>
      </c>
      <c r="H3295" s="77">
        <v>0.54166666666666663</v>
      </c>
      <c r="J3295">
        <v>82.94</v>
      </c>
      <c r="M3295" s="74">
        <v>34471</v>
      </c>
      <c r="N3295" s="77">
        <v>0.54166666666666663</v>
      </c>
      <c r="P3295">
        <v>54.86</v>
      </c>
      <c r="S3295" s="74">
        <v>36297</v>
      </c>
      <c r="T3295" s="77">
        <v>0.54166666666666663</v>
      </c>
      <c r="V3295">
        <v>69.98</v>
      </c>
      <c r="X3295" s="42"/>
      <c r="AB3295">
        <v>65.400000000000006</v>
      </c>
      <c r="AC3295">
        <v>57.92</v>
      </c>
      <c r="AE3295" s="74"/>
      <c r="AF3295" s="77"/>
      <c r="AH3295" s="497">
        <v>68</v>
      </c>
      <c r="AJ3295" s="42"/>
      <c r="AK3295" s="74"/>
      <c r="AL3295" s="77"/>
      <c r="AN3295" s="497">
        <v>60.980000000000004</v>
      </c>
      <c r="AP3295" s="42"/>
      <c r="AQ3295" s="74"/>
      <c r="AR3295" s="77"/>
      <c r="AT3295" s="497">
        <v>66.02</v>
      </c>
      <c r="AV3295" s="42"/>
      <c r="AW3295" s="74"/>
      <c r="AX3295" s="77"/>
      <c r="BA3295" s="497">
        <v>71.960000000000008</v>
      </c>
      <c r="BB3295" s="42"/>
      <c r="BC3295" s="74"/>
      <c r="BD3295" s="77"/>
      <c r="BF3295">
        <v>62.06</v>
      </c>
      <c r="BH3295" s="42"/>
      <c r="BI3295" s="74"/>
      <c r="BJ3295" s="77"/>
      <c r="BL3295" s="497">
        <v>75.02</v>
      </c>
      <c r="BN3295" s="42"/>
      <c r="BO3295" s="74"/>
      <c r="BP3295" s="77"/>
      <c r="BR3295" s="497">
        <v>53.06</v>
      </c>
      <c r="BT3295" s="42"/>
    </row>
    <row r="3296" spans="1:72" x14ac:dyDescent="0.25">
      <c r="A3296" s="90">
        <v>36297</v>
      </c>
      <c r="B3296" s="20">
        <v>0.58333333333333337</v>
      </c>
      <c r="D3296">
        <v>57.92</v>
      </c>
      <c r="E3296" t="str">
        <f t="shared" si="138"/>
        <v>WEEKDAY</v>
      </c>
      <c r="F3296" t="e">
        <f t="shared" si="137"/>
        <v>#N/A</v>
      </c>
      <c r="G3296" s="74">
        <v>31914</v>
      </c>
      <c r="H3296" s="77">
        <v>0.58333333333333337</v>
      </c>
      <c r="J3296">
        <v>84.92</v>
      </c>
      <c r="M3296" s="74">
        <v>34471</v>
      </c>
      <c r="N3296" s="77">
        <v>0.58333333333333337</v>
      </c>
      <c r="P3296">
        <v>56.84</v>
      </c>
      <c r="S3296" s="74">
        <v>36297</v>
      </c>
      <c r="T3296" s="77">
        <v>0.58333333333333337</v>
      </c>
      <c r="V3296">
        <v>69.080000000000013</v>
      </c>
      <c r="X3296" s="42"/>
      <c r="AB3296">
        <v>65.8</v>
      </c>
      <c r="AC3296">
        <v>59</v>
      </c>
      <c r="AE3296" s="74"/>
      <c r="AF3296" s="77"/>
      <c r="AH3296" s="497">
        <v>69.800000000000011</v>
      </c>
      <c r="AJ3296" s="42"/>
      <c r="AK3296" s="74"/>
      <c r="AL3296" s="77"/>
      <c r="AN3296" s="497">
        <v>64.039999999999992</v>
      </c>
      <c r="AP3296" s="42"/>
      <c r="AQ3296" s="74"/>
      <c r="AR3296" s="77"/>
      <c r="AT3296" s="497">
        <v>68</v>
      </c>
      <c r="AV3296" s="42"/>
      <c r="AW3296" s="74"/>
      <c r="AX3296" s="77"/>
      <c r="BA3296" s="497">
        <v>73.94</v>
      </c>
      <c r="BB3296" s="42"/>
      <c r="BC3296" s="74"/>
      <c r="BD3296" s="77"/>
      <c r="BF3296">
        <v>62.06</v>
      </c>
      <c r="BH3296" s="42"/>
      <c r="BI3296" s="74"/>
      <c r="BJ3296" s="77"/>
      <c r="BL3296" s="497">
        <v>77</v>
      </c>
      <c r="BN3296" s="42"/>
      <c r="BO3296" s="74"/>
      <c r="BP3296" s="77"/>
      <c r="BR3296" s="497">
        <v>53.96</v>
      </c>
      <c r="BT3296" s="42"/>
    </row>
    <row r="3297" spans="1:72" x14ac:dyDescent="0.25">
      <c r="A3297" s="90">
        <v>36297</v>
      </c>
      <c r="B3297" s="20">
        <v>0.625</v>
      </c>
      <c r="D3297">
        <v>57.92</v>
      </c>
      <c r="E3297" t="str">
        <f t="shared" si="138"/>
        <v>WEEKDAY</v>
      </c>
      <c r="F3297" t="e">
        <f t="shared" si="137"/>
        <v>#N/A</v>
      </c>
      <c r="G3297" s="74">
        <v>31914</v>
      </c>
      <c r="H3297" s="77">
        <v>0.625</v>
      </c>
      <c r="J3297">
        <v>86</v>
      </c>
      <c r="M3297" s="74">
        <v>34471</v>
      </c>
      <c r="N3297" s="77">
        <v>0.625</v>
      </c>
      <c r="P3297">
        <v>57.92</v>
      </c>
      <c r="S3297" s="74">
        <v>36297</v>
      </c>
      <c r="T3297" s="77">
        <v>0.625</v>
      </c>
      <c r="V3297">
        <v>69.080000000000013</v>
      </c>
      <c r="X3297" s="42"/>
      <c r="AB3297">
        <v>65.7</v>
      </c>
      <c r="AC3297">
        <v>59</v>
      </c>
      <c r="AE3297" s="74"/>
      <c r="AF3297" s="77"/>
      <c r="AH3297" s="497">
        <v>69.800000000000011</v>
      </c>
      <c r="AJ3297" s="42"/>
      <c r="AK3297" s="74"/>
      <c r="AL3297" s="77"/>
      <c r="AN3297" s="497">
        <v>64.94</v>
      </c>
      <c r="AP3297" s="42"/>
      <c r="AQ3297" s="74"/>
      <c r="AR3297" s="77"/>
      <c r="AT3297" s="497">
        <v>69.98</v>
      </c>
      <c r="AV3297" s="42"/>
      <c r="AW3297" s="74"/>
      <c r="AX3297" s="77"/>
      <c r="BA3297" s="497">
        <v>71.960000000000008</v>
      </c>
      <c r="BB3297" s="42"/>
      <c r="BC3297" s="74"/>
      <c r="BD3297" s="77"/>
      <c r="BF3297">
        <v>62.06</v>
      </c>
      <c r="BH3297" s="42"/>
      <c r="BI3297" s="74"/>
      <c r="BJ3297" s="77"/>
      <c r="BL3297" s="497">
        <v>78.080000000000013</v>
      </c>
      <c r="BN3297" s="42"/>
      <c r="BO3297" s="74"/>
      <c r="BP3297" s="77"/>
      <c r="BR3297" s="497">
        <v>55.040000000000006</v>
      </c>
      <c r="BT3297" s="42"/>
    </row>
    <row r="3298" spans="1:72" x14ac:dyDescent="0.25">
      <c r="A3298" s="90">
        <v>36297</v>
      </c>
      <c r="B3298" s="20">
        <v>0.66666666666666663</v>
      </c>
      <c r="D3298">
        <v>59</v>
      </c>
      <c r="E3298" t="str">
        <f t="shared" si="138"/>
        <v>WEEKDAY</v>
      </c>
      <c r="F3298" t="e">
        <f t="shared" si="137"/>
        <v>#N/A</v>
      </c>
      <c r="G3298" s="74">
        <v>31914</v>
      </c>
      <c r="H3298" s="77">
        <v>0.66666666666666663</v>
      </c>
      <c r="J3298">
        <v>86</v>
      </c>
      <c r="M3298" s="74">
        <v>34471</v>
      </c>
      <c r="N3298" s="77">
        <v>0.66666666666666663</v>
      </c>
      <c r="P3298">
        <v>53.96</v>
      </c>
      <c r="S3298" s="74">
        <v>36297</v>
      </c>
      <c r="T3298" s="77">
        <v>0.66666666666666663</v>
      </c>
      <c r="V3298">
        <v>69.080000000000013</v>
      </c>
      <c r="X3298" s="42"/>
      <c r="AB3298">
        <v>65.2</v>
      </c>
      <c r="AC3298">
        <v>59</v>
      </c>
      <c r="AE3298" s="74"/>
      <c r="AF3298" s="77"/>
      <c r="AH3298" s="497">
        <v>69.800000000000011</v>
      </c>
      <c r="AJ3298" s="42"/>
      <c r="AK3298" s="74"/>
      <c r="AL3298" s="77"/>
      <c r="AN3298" s="497">
        <v>64.94</v>
      </c>
      <c r="AP3298" s="42"/>
      <c r="AQ3298" s="74"/>
      <c r="AR3298" s="77"/>
      <c r="AT3298" s="497">
        <v>71.960000000000008</v>
      </c>
      <c r="AV3298" s="42"/>
      <c r="AW3298" s="74"/>
      <c r="AX3298" s="77"/>
      <c r="BA3298" s="497">
        <v>71.06</v>
      </c>
      <c r="BB3298" s="42"/>
      <c r="BC3298" s="74"/>
      <c r="BD3298" s="77"/>
      <c r="BF3298">
        <v>62.06</v>
      </c>
      <c r="BH3298" s="42"/>
      <c r="BI3298" s="74"/>
      <c r="BJ3298" s="77"/>
      <c r="BL3298" s="497">
        <v>78.98</v>
      </c>
      <c r="BN3298" s="42"/>
      <c r="BO3298" s="74"/>
      <c r="BP3298" s="77"/>
      <c r="BR3298" s="497">
        <v>55.94</v>
      </c>
      <c r="BT3298" s="42"/>
    </row>
    <row r="3299" spans="1:72" x14ac:dyDescent="0.25">
      <c r="A3299" s="90">
        <v>36297</v>
      </c>
      <c r="B3299" s="20">
        <v>0.70833333333333337</v>
      </c>
      <c r="D3299">
        <v>59</v>
      </c>
      <c r="E3299" t="str">
        <f t="shared" si="138"/>
        <v>WEEKDAY</v>
      </c>
      <c r="F3299" t="e">
        <f t="shared" si="137"/>
        <v>#N/A</v>
      </c>
      <c r="G3299" s="74">
        <v>31914</v>
      </c>
      <c r="H3299" s="77">
        <v>0.70833333333333337</v>
      </c>
      <c r="J3299">
        <v>84.92</v>
      </c>
      <c r="M3299" s="74">
        <v>34471</v>
      </c>
      <c r="N3299" s="77">
        <v>0.70833333333333337</v>
      </c>
      <c r="P3299">
        <v>56.84</v>
      </c>
      <c r="S3299" s="74">
        <v>36297</v>
      </c>
      <c r="T3299" s="77">
        <v>0.70833333333333337</v>
      </c>
      <c r="V3299">
        <v>68</v>
      </c>
      <c r="X3299" s="42"/>
      <c r="AB3299">
        <v>64.5</v>
      </c>
      <c r="AC3299">
        <v>57.019999999999996</v>
      </c>
      <c r="AE3299" s="74"/>
      <c r="AF3299" s="77"/>
      <c r="AH3299" s="497">
        <v>68</v>
      </c>
      <c r="AJ3299" s="42"/>
      <c r="AK3299" s="74"/>
      <c r="AL3299" s="77"/>
      <c r="AN3299" s="497">
        <v>62.96</v>
      </c>
      <c r="AP3299" s="42"/>
      <c r="AQ3299" s="74"/>
      <c r="AR3299" s="77"/>
      <c r="AT3299" s="497">
        <v>71.06</v>
      </c>
      <c r="AV3299" s="42"/>
      <c r="AW3299" s="74"/>
      <c r="AX3299" s="77"/>
      <c r="BA3299" s="497">
        <v>69.080000000000013</v>
      </c>
      <c r="BB3299" s="42"/>
      <c r="BC3299" s="74"/>
      <c r="BD3299" s="77"/>
      <c r="BF3299">
        <v>55.94</v>
      </c>
      <c r="BH3299" s="42"/>
      <c r="BI3299" s="74"/>
      <c r="BJ3299" s="77"/>
      <c r="BL3299" s="497">
        <v>77</v>
      </c>
      <c r="BN3299" s="42"/>
      <c r="BO3299" s="74"/>
      <c r="BP3299" s="77"/>
      <c r="BR3299" s="497">
        <v>59</v>
      </c>
      <c r="BT3299" s="42"/>
    </row>
    <row r="3300" spans="1:72" x14ac:dyDescent="0.25">
      <c r="A3300" s="90">
        <v>36297</v>
      </c>
      <c r="B3300" s="20">
        <v>0.75</v>
      </c>
      <c r="D3300">
        <v>59</v>
      </c>
      <c r="E3300" t="str">
        <f t="shared" si="138"/>
        <v>WEEKDAY</v>
      </c>
      <c r="F3300" t="e">
        <f t="shared" si="137"/>
        <v>#N/A</v>
      </c>
      <c r="G3300" s="74">
        <v>31914</v>
      </c>
      <c r="H3300" s="77">
        <v>0.75</v>
      </c>
      <c r="J3300">
        <v>84.92</v>
      </c>
      <c r="M3300" s="74">
        <v>34471</v>
      </c>
      <c r="N3300" s="77">
        <v>0.75</v>
      </c>
      <c r="P3300">
        <v>55.94</v>
      </c>
      <c r="S3300" s="74">
        <v>36297</v>
      </c>
      <c r="T3300" s="77">
        <v>0.75</v>
      </c>
      <c r="V3300">
        <v>64.039999999999992</v>
      </c>
      <c r="X3300" s="42"/>
      <c r="AB3300">
        <v>63.3</v>
      </c>
      <c r="AC3300">
        <v>55.040000000000006</v>
      </c>
      <c r="AE3300" s="74"/>
      <c r="AF3300" s="77"/>
      <c r="AH3300" s="497">
        <v>66.740000000000009</v>
      </c>
      <c r="AJ3300" s="42"/>
      <c r="AK3300" s="74"/>
      <c r="AL3300" s="77"/>
      <c r="AN3300" s="497">
        <v>60.08</v>
      </c>
      <c r="AP3300" s="42"/>
      <c r="AQ3300" s="74"/>
      <c r="AR3300" s="77"/>
      <c r="AT3300" s="497">
        <v>69.98</v>
      </c>
      <c r="AV3300" s="42"/>
      <c r="AW3300" s="74"/>
      <c r="AX3300" s="77"/>
      <c r="BA3300" s="497">
        <v>64.94</v>
      </c>
      <c r="BB3300" s="42"/>
      <c r="BC3300" s="74"/>
      <c r="BD3300" s="77"/>
      <c r="BF3300">
        <v>57.019999999999996</v>
      </c>
      <c r="BH3300" s="42"/>
      <c r="BI3300" s="74"/>
      <c r="BJ3300" s="77"/>
      <c r="BL3300" s="497">
        <v>75.02</v>
      </c>
      <c r="BN3300" s="42"/>
      <c r="BO3300" s="74"/>
      <c r="BP3300" s="77"/>
      <c r="BR3300" s="497">
        <v>57.92</v>
      </c>
      <c r="BT3300" s="42"/>
    </row>
    <row r="3301" spans="1:72" x14ac:dyDescent="0.25">
      <c r="A3301" s="90">
        <v>36297</v>
      </c>
      <c r="B3301" s="20">
        <v>0.79166666666666663</v>
      </c>
      <c r="D3301">
        <v>57.92</v>
      </c>
      <c r="E3301" t="str">
        <f t="shared" si="138"/>
        <v>WEEKDAY</v>
      </c>
      <c r="F3301" t="e">
        <f t="shared" si="137"/>
        <v>#N/A</v>
      </c>
      <c r="G3301" s="74">
        <v>31914</v>
      </c>
      <c r="H3301" s="77">
        <v>0.79166666666666663</v>
      </c>
      <c r="J3301">
        <v>82.039999999999992</v>
      </c>
      <c r="M3301" s="74">
        <v>34471</v>
      </c>
      <c r="N3301" s="77">
        <v>0.79166666666666663</v>
      </c>
      <c r="P3301">
        <v>55.040000000000006</v>
      </c>
      <c r="S3301" s="74">
        <v>36297</v>
      </c>
      <c r="T3301" s="77">
        <v>0.79166666666666663</v>
      </c>
      <c r="V3301">
        <v>62.96</v>
      </c>
      <c r="X3301" s="42"/>
      <c r="AB3301">
        <v>61.9</v>
      </c>
      <c r="AC3301">
        <v>53.96</v>
      </c>
      <c r="AE3301" s="74"/>
      <c r="AF3301" s="77"/>
      <c r="AH3301" s="497">
        <v>64.400000000000006</v>
      </c>
      <c r="AJ3301" s="42"/>
      <c r="AK3301" s="74"/>
      <c r="AL3301" s="77"/>
      <c r="AN3301" s="497">
        <v>57.92</v>
      </c>
      <c r="AP3301" s="42"/>
      <c r="AQ3301" s="74"/>
      <c r="AR3301" s="77"/>
      <c r="AT3301" s="497">
        <v>68</v>
      </c>
      <c r="AV3301" s="42"/>
      <c r="AW3301" s="74"/>
      <c r="AX3301" s="77"/>
      <c r="BA3301" s="497">
        <v>60.980000000000004</v>
      </c>
      <c r="BB3301" s="42"/>
      <c r="BC3301" s="74"/>
      <c r="BD3301" s="77"/>
      <c r="BF3301">
        <v>60.08</v>
      </c>
      <c r="BH3301" s="42"/>
      <c r="BI3301" s="74"/>
      <c r="BJ3301" s="77"/>
      <c r="BL3301" s="497">
        <v>71.960000000000008</v>
      </c>
      <c r="BN3301" s="42"/>
      <c r="BO3301" s="74"/>
      <c r="BP3301" s="77"/>
      <c r="BR3301" s="497">
        <v>59</v>
      </c>
      <c r="BT3301" s="42"/>
    </row>
    <row r="3302" spans="1:72" x14ac:dyDescent="0.25">
      <c r="A3302" s="90">
        <v>36297</v>
      </c>
      <c r="B3302" s="20">
        <v>0.83333333333333337</v>
      </c>
      <c r="D3302">
        <v>57.92</v>
      </c>
      <c r="E3302" t="str">
        <f t="shared" si="138"/>
        <v>WEEKDAY</v>
      </c>
      <c r="F3302" t="e">
        <f t="shared" si="137"/>
        <v>#N/A</v>
      </c>
      <c r="G3302" s="74">
        <v>31914</v>
      </c>
      <c r="H3302" s="77">
        <v>0.83333333333333337</v>
      </c>
      <c r="J3302">
        <v>80.06</v>
      </c>
      <c r="M3302" s="74">
        <v>34471</v>
      </c>
      <c r="N3302" s="77">
        <v>0.83333333333333337</v>
      </c>
      <c r="P3302">
        <v>53.96</v>
      </c>
      <c r="S3302" s="74">
        <v>36297</v>
      </c>
      <c r="T3302" s="77">
        <v>0.83333333333333337</v>
      </c>
      <c r="V3302">
        <v>60.08</v>
      </c>
      <c r="X3302" s="42"/>
      <c r="AB3302">
        <v>60.5</v>
      </c>
      <c r="AC3302">
        <v>53.06</v>
      </c>
      <c r="AE3302" s="74"/>
      <c r="AF3302" s="77"/>
      <c r="AH3302" s="497">
        <v>61.34</v>
      </c>
      <c r="AJ3302" s="42"/>
      <c r="AK3302" s="74"/>
      <c r="AL3302" s="77"/>
      <c r="AN3302" s="497">
        <v>55.040000000000006</v>
      </c>
      <c r="AP3302" s="42"/>
      <c r="AQ3302" s="74"/>
      <c r="AR3302" s="77"/>
      <c r="AT3302" s="497">
        <v>66.02</v>
      </c>
      <c r="AV3302" s="42"/>
      <c r="AW3302" s="74"/>
      <c r="AX3302" s="77"/>
      <c r="BA3302" s="497">
        <v>57.019999999999996</v>
      </c>
      <c r="BB3302" s="42"/>
      <c r="BC3302" s="74"/>
      <c r="BD3302" s="77"/>
      <c r="BF3302">
        <v>57.019999999999996</v>
      </c>
      <c r="BH3302" s="42"/>
      <c r="BI3302" s="74"/>
      <c r="BJ3302" s="77"/>
      <c r="BL3302" s="497">
        <v>69.080000000000013</v>
      </c>
      <c r="BN3302" s="42"/>
      <c r="BO3302" s="74"/>
      <c r="BP3302" s="77"/>
      <c r="BR3302" s="497">
        <v>60.980000000000004</v>
      </c>
      <c r="BT3302" s="42"/>
    </row>
    <row r="3303" spans="1:72" x14ac:dyDescent="0.25">
      <c r="A3303" s="90">
        <v>36297</v>
      </c>
      <c r="B3303" s="20">
        <v>0.875</v>
      </c>
      <c r="D3303">
        <v>57.92</v>
      </c>
      <c r="E3303" t="str">
        <f t="shared" si="138"/>
        <v>WEEKDAY</v>
      </c>
      <c r="F3303" t="e">
        <f t="shared" si="137"/>
        <v>#N/A</v>
      </c>
      <c r="G3303" s="74">
        <v>31914</v>
      </c>
      <c r="H3303" s="77">
        <v>0.875</v>
      </c>
      <c r="J3303">
        <v>78.080000000000013</v>
      </c>
      <c r="M3303" s="74">
        <v>34471</v>
      </c>
      <c r="N3303" s="77">
        <v>0.875</v>
      </c>
      <c r="P3303">
        <v>53.96</v>
      </c>
      <c r="S3303" s="74">
        <v>36297</v>
      </c>
      <c r="T3303" s="77">
        <v>0.875</v>
      </c>
      <c r="V3303">
        <v>59</v>
      </c>
      <c r="X3303" s="42"/>
      <c r="AB3303">
        <v>59.5</v>
      </c>
      <c r="AC3303">
        <v>53.06</v>
      </c>
      <c r="AE3303" s="74"/>
      <c r="AF3303" s="77"/>
      <c r="AH3303" s="497">
        <v>59</v>
      </c>
      <c r="AJ3303" s="42"/>
      <c r="AK3303" s="74"/>
      <c r="AL3303" s="77"/>
      <c r="AN3303" s="497">
        <v>53.96</v>
      </c>
      <c r="AP3303" s="42"/>
      <c r="AQ3303" s="74"/>
      <c r="AR3303" s="77"/>
      <c r="AT3303" s="497">
        <v>60.980000000000004</v>
      </c>
      <c r="AV3303" s="42"/>
      <c r="AW3303" s="74"/>
      <c r="AX3303" s="77"/>
      <c r="BA3303" s="497">
        <v>57.019999999999996</v>
      </c>
      <c r="BB3303" s="42"/>
      <c r="BC3303" s="74"/>
      <c r="BD3303" s="77"/>
      <c r="BF3303">
        <v>55.040000000000006</v>
      </c>
      <c r="BH3303" s="42"/>
      <c r="BI3303" s="74"/>
      <c r="BJ3303" s="77"/>
      <c r="BL3303" s="497">
        <v>66.02</v>
      </c>
      <c r="BN3303" s="42"/>
      <c r="BO3303" s="74"/>
      <c r="BP3303" s="77"/>
      <c r="BR3303" s="497">
        <v>60.08</v>
      </c>
      <c r="BT3303" s="42"/>
    </row>
    <row r="3304" spans="1:72" x14ac:dyDescent="0.25">
      <c r="A3304" s="90">
        <v>36297</v>
      </c>
      <c r="B3304" s="20">
        <v>0.91666666666666663</v>
      </c>
      <c r="D3304">
        <v>57.019999999999996</v>
      </c>
      <c r="E3304" t="str">
        <f t="shared" si="138"/>
        <v>WEEKDAY</v>
      </c>
      <c r="F3304" t="e">
        <f t="shared" si="137"/>
        <v>#N/A</v>
      </c>
      <c r="G3304" s="74">
        <v>31914</v>
      </c>
      <c r="H3304" s="77">
        <v>0.91666666666666663</v>
      </c>
      <c r="J3304">
        <v>77</v>
      </c>
      <c r="M3304" s="74">
        <v>34471</v>
      </c>
      <c r="N3304" s="77">
        <v>0.91666666666666663</v>
      </c>
      <c r="P3304">
        <v>52.879999999999995</v>
      </c>
      <c r="S3304" s="74">
        <v>36297</v>
      </c>
      <c r="T3304" s="77">
        <v>0.91666666666666663</v>
      </c>
      <c r="V3304">
        <v>57.92</v>
      </c>
      <c r="X3304" s="42"/>
      <c r="AB3304">
        <v>58.9</v>
      </c>
      <c r="AC3304">
        <v>53.06</v>
      </c>
      <c r="AE3304" s="74"/>
      <c r="AF3304" s="77"/>
      <c r="AH3304" s="497">
        <v>57.2</v>
      </c>
      <c r="AJ3304" s="42"/>
      <c r="AK3304" s="74"/>
      <c r="AL3304" s="77"/>
      <c r="AN3304" s="497">
        <v>53.06</v>
      </c>
      <c r="AP3304" s="42"/>
      <c r="AQ3304" s="74"/>
      <c r="AR3304" s="77"/>
      <c r="AT3304" s="497">
        <v>60.08</v>
      </c>
      <c r="AV3304" s="42"/>
      <c r="AW3304" s="74"/>
      <c r="AX3304" s="77"/>
      <c r="BA3304" s="497">
        <v>57.019999999999996</v>
      </c>
      <c r="BB3304" s="42"/>
      <c r="BC3304" s="74"/>
      <c r="BD3304" s="77"/>
      <c r="BF3304">
        <v>53.96</v>
      </c>
      <c r="BH3304" s="42"/>
      <c r="BI3304" s="74"/>
      <c r="BJ3304" s="77"/>
      <c r="BL3304" s="497">
        <v>64.039999999999992</v>
      </c>
      <c r="BN3304" s="42"/>
      <c r="BO3304" s="74"/>
      <c r="BP3304" s="77"/>
      <c r="BR3304" s="497">
        <v>59</v>
      </c>
      <c r="BT3304" s="42"/>
    </row>
    <row r="3305" spans="1:72" x14ac:dyDescent="0.25">
      <c r="A3305" s="90">
        <v>36297</v>
      </c>
      <c r="B3305" s="20">
        <v>0.95833333333333337</v>
      </c>
      <c r="D3305">
        <v>55.94</v>
      </c>
      <c r="E3305" t="str">
        <f t="shared" si="138"/>
        <v>WEEKDAY</v>
      </c>
      <c r="F3305" t="e">
        <f t="shared" si="137"/>
        <v>#N/A</v>
      </c>
      <c r="G3305" s="74">
        <v>31914</v>
      </c>
      <c r="H3305" s="77">
        <v>0.95833333333333337</v>
      </c>
      <c r="J3305">
        <v>75.92</v>
      </c>
      <c r="M3305" s="74">
        <v>34471</v>
      </c>
      <c r="N3305" s="77">
        <v>0.95833333333333337</v>
      </c>
      <c r="P3305">
        <v>51.980000000000004</v>
      </c>
      <c r="S3305" s="74">
        <v>36297</v>
      </c>
      <c r="T3305" s="77">
        <v>0.95833333333333337</v>
      </c>
      <c r="V3305">
        <v>57.92</v>
      </c>
      <c r="X3305" s="42"/>
      <c r="AB3305">
        <v>58.3</v>
      </c>
      <c r="AC3305">
        <v>53.06</v>
      </c>
      <c r="AE3305" s="74"/>
      <c r="AF3305" s="77"/>
      <c r="AH3305" s="497">
        <v>55.400000000000006</v>
      </c>
      <c r="AJ3305" s="42"/>
      <c r="AK3305" s="74"/>
      <c r="AL3305" s="77"/>
      <c r="AN3305" s="497">
        <v>53.06</v>
      </c>
      <c r="AP3305" s="42"/>
      <c r="AQ3305" s="74"/>
      <c r="AR3305" s="77"/>
      <c r="AT3305" s="497">
        <v>59</v>
      </c>
      <c r="AV3305" s="42"/>
      <c r="AW3305" s="74"/>
      <c r="AX3305" s="77"/>
      <c r="BA3305" s="497">
        <v>55.94</v>
      </c>
      <c r="BB3305" s="42"/>
      <c r="BC3305" s="74"/>
      <c r="BD3305" s="77"/>
      <c r="BF3305">
        <v>53.06</v>
      </c>
      <c r="BH3305" s="42"/>
      <c r="BI3305" s="74"/>
      <c r="BJ3305" s="77"/>
      <c r="BL3305" s="497">
        <v>64.94</v>
      </c>
      <c r="BN3305" s="42"/>
      <c r="BO3305" s="74"/>
      <c r="BP3305" s="77"/>
      <c r="BR3305" s="497">
        <v>57.92</v>
      </c>
      <c r="BT3305" s="42"/>
    </row>
    <row r="3306" spans="1:72" x14ac:dyDescent="0.25">
      <c r="A3306" s="90">
        <v>36297</v>
      </c>
      <c r="B3306" s="20">
        <v>1</v>
      </c>
      <c r="D3306">
        <v>55.94</v>
      </c>
      <c r="E3306" t="str">
        <f t="shared" si="138"/>
        <v>WEEKDAY</v>
      </c>
      <c r="F3306" t="e">
        <f t="shared" si="137"/>
        <v>#N/A</v>
      </c>
      <c r="G3306" s="74">
        <v>31914</v>
      </c>
      <c r="H3306" s="77">
        <v>1</v>
      </c>
      <c r="J3306">
        <v>73.94</v>
      </c>
      <c r="M3306" s="74">
        <v>34471</v>
      </c>
      <c r="N3306" s="80">
        <v>1</v>
      </c>
      <c r="P3306">
        <v>50</v>
      </c>
      <c r="S3306" s="74">
        <v>36297</v>
      </c>
      <c r="T3306" s="80">
        <v>1</v>
      </c>
      <c r="V3306">
        <v>57.019999999999996</v>
      </c>
      <c r="X3306" s="42"/>
      <c r="AB3306">
        <v>57.8</v>
      </c>
      <c r="AC3306">
        <v>53.06</v>
      </c>
      <c r="AE3306" s="74"/>
      <c r="AF3306" s="80"/>
      <c r="AH3306" s="497">
        <v>55.400000000000006</v>
      </c>
      <c r="AJ3306" s="42"/>
      <c r="AK3306" s="74"/>
      <c r="AL3306" s="80"/>
      <c r="AN3306" s="497">
        <v>51.980000000000004</v>
      </c>
      <c r="AP3306" s="42"/>
      <c r="AQ3306" s="74"/>
      <c r="AR3306" s="80"/>
      <c r="AT3306" s="497">
        <v>59</v>
      </c>
      <c r="AV3306" s="42"/>
      <c r="AW3306" s="74"/>
      <c r="AX3306" s="80"/>
      <c r="BA3306" s="497">
        <v>53.06</v>
      </c>
      <c r="BB3306" s="42"/>
      <c r="BC3306" s="74"/>
      <c r="BD3306" s="80"/>
      <c r="BF3306">
        <v>51.08</v>
      </c>
      <c r="BH3306" s="42"/>
      <c r="BI3306" s="74"/>
      <c r="BJ3306" s="80"/>
      <c r="BL3306" s="497">
        <v>62.96</v>
      </c>
      <c r="BN3306" s="42"/>
      <c r="BO3306" s="74"/>
      <c r="BP3306" s="80"/>
      <c r="BR3306" s="497">
        <v>57.019999999999996</v>
      </c>
      <c r="BT3306" s="42"/>
    </row>
    <row r="3307" spans="1:72" x14ac:dyDescent="0.25">
      <c r="A3307" s="90">
        <v>36298</v>
      </c>
      <c r="B3307" s="20">
        <v>4.1666666666666664E-2</v>
      </c>
      <c r="D3307">
        <v>53.06</v>
      </c>
      <c r="E3307" t="str">
        <f t="shared" si="138"/>
        <v>WEEKDAY</v>
      </c>
      <c r="F3307" t="e">
        <f t="shared" ref="F3307:F3370" si="139">IF(E3307="WEEKDAY",VLOOKUP(B3307,$DD$19:$DG$42,2),IF(E3307="SATURDAY",VLOOKUP(B3307,$DD$19:$DG$42,3),VLOOKUP(B3307,$DD$19:$DG$42,4)))</f>
        <v>#N/A</v>
      </c>
      <c r="G3307" s="74">
        <v>31915</v>
      </c>
      <c r="H3307" s="77">
        <v>4.1666666666666664E-2</v>
      </c>
      <c r="J3307">
        <v>73.94</v>
      </c>
      <c r="M3307" s="74">
        <v>34472</v>
      </c>
      <c r="N3307" s="77">
        <v>4.1666666666666664E-2</v>
      </c>
      <c r="P3307">
        <v>48.92</v>
      </c>
      <c r="S3307" s="74">
        <v>36298</v>
      </c>
      <c r="T3307" s="77">
        <v>4.1666666666666664E-2</v>
      </c>
      <c r="V3307">
        <v>55.94</v>
      </c>
      <c r="X3307" s="42"/>
      <c r="AB3307">
        <v>57.3</v>
      </c>
      <c r="AC3307">
        <v>53.06</v>
      </c>
      <c r="AE3307" s="74"/>
      <c r="AF3307" s="77"/>
      <c r="AH3307" s="497">
        <v>55.400000000000006</v>
      </c>
      <c r="AJ3307" s="42"/>
      <c r="AK3307" s="74"/>
      <c r="AL3307" s="77"/>
      <c r="AN3307" s="497">
        <v>51.08</v>
      </c>
      <c r="AP3307" s="42"/>
      <c r="AQ3307" s="74"/>
      <c r="AR3307" s="77"/>
      <c r="AT3307" s="497">
        <v>57.92</v>
      </c>
      <c r="AV3307" s="42"/>
      <c r="AW3307" s="74"/>
      <c r="AX3307" s="77"/>
      <c r="BA3307" s="497">
        <v>51.08</v>
      </c>
      <c r="BB3307" s="42"/>
      <c r="BC3307" s="74"/>
      <c r="BD3307" s="77"/>
      <c r="BF3307">
        <v>48.92</v>
      </c>
      <c r="BH3307" s="42"/>
      <c r="BI3307" s="74"/>
      <c r="BJ3307" s="77"/>
      <c r="BL3307" s="497">
        <v>62.06</v>
      </c>
      <c r="BN3307" s="42"/>
      <c r="BO3307" s="74"/>
      <c r="BP3307" s="77"/>
      <c r="BR3307" s="497">
        <v>51.980000000000004</v>
      </c>
      <c r="BT3307" s="42"/>
    </row>
    <row r="3308" spans="1:72" x14ac:dyDescent="0.25">
      <c r="A3308" s="90">
        <v>36298</v>
      </c>
      <c r="B3308" s="20">
        <v>8.3333333333333329E-2</v>
      </c>
      <c r="D3308">
        <v>51.980000000000004</v>
      </c>
      <c r="E3308" t="str">
        <f t="shared" si="138"/>
        <v>WEEKDAY</v>
      </c>
      <c r="F3308" t="e">
        <f t="shared" si="139"/>
        <v>#N/A</v>
      </c>
      <c r="G3308" s="74">
        <v>31915</v>
      </c>
      <c r="H3308" s="77">
        <v>8.3333333333333329E-2</v>
      </c>
      <c r="J3308">
        <v>71.960000000000008</v>
      </c>
      <c r="M3308" s="74">
        <v>34472</v>
      </c>
      <c r="N3308" s="77">
        <v>8.3333333333333329E-2</v>
      </c>
      <c r="P3308">
        <v>46.94</v>
      </c>
      <c r="S3308" s="74">
        <v>36298</v>
      </c>
      <c r="T3308" s="77">
        <v>8.3333333333333329E-2</v>
      </c>
      <c r="V3308">
        <v>55.94</v>
      </c>
      <c r="X3308" s="42"/>
      <c r="AB3308">
        <v>56.7</v>
      </c>
      <c r="AC3308">
        <v>53.06</v>
      </c>
      <c r="AE3308" s="74"/>
      <c r="AF3308" s="77"/>
      <c r="AH3308" s="497">
        <v>55.400000000000006</v>
      </c>
      <c r="AJ3308" s="42"/>
      <c r="AK3308" s="74"/>
      <c r="AL3308" s="77"/>
      <c r="AN3308" s="497">
        <v>51.08</v>
      </c>
      <c r="AP3308" s="42"/>
      <c r="AQ3308" s="74"/>
      <c r="AR3308" s="77"/>
      <c r="AT3308" s="497">
        <v>55.94</v>
      </c>
      <c r="AV3308" s="42"/>
      <c r="AW3308" s="74"/>
      <c r="AX3308" s="77"/>
      <c r="BA3308" s="497">
        <v>48.92</v>
      </c>
      <c r="BB3308" s="42"/>
      <c r="BC3308" s="74"/>
      <c r="BD3308" s="77"/>
      <c r="BF3308">
        <v>46.94</v>
      </c>
      <c r="BH3308" s="42"/>
      <c r="BI3308" s="74"/>
      <c r="BJ3308" s="77"/>
      <c r="BL3308" s="497">
        <v>62.06</v>
      </c>
      <c r="BN3308" s="42"/>
      <c r="BO3308" s="74"/>
      <c r="BP3308" s="77"/>
      <c r="BR3308" s="497">
        <v>48.92</v>
      </c>
      <c r="BT3308" s="42"/>
    </row>
    <row r="3309" spans="1:72" x14ac:dyDescent="0.25">
      <c r="A3309" s="90">
        <v>36298</v>
      </c>
      <c r="B3309" s="20">
        <v>0.125</v>
      </c>
      <c r="D3309">
        <v>51.980000000000004</v>
      </c>
      <c r="E3309" t="str">
        <f t="shared" si="138"/>
        <v>WEEKDAY</v>
      </c>
      <c r="F3309" t="e">
        <f t="shared" si="139"/>
        <v>#N/A</v>
      </c>
      <c r="G3309" s="74">
        <v>31915</v>
      </c>
      <c r="H3309" s="77">
        <v>0.125</v>
      </c>
      <c r="J3309">
        <v>66.02</v>
      </c>
      <c r="M3309" s="74">
        <v>34472</v>
      </c>
      <c r="N3309" s="77">
        <v>0.125</v>
      </c>
      <c r="P3309">
        <v>44.96</v>
      </c>
      <c r="S3309" s="74">
        <v>36298</v>
      </c>
      <c r="T3309" s="77">
        <v>0.125</v>
      </c>
      <c r="V3309">
        <v>55.040000000000006</v>
      </c>
      <c r="X3309" s="42"/>
      <c r="AB3309">
        <v>56.2</v>
      </c>
      <c r="AC3309">
        <v>53.96</v>
      </c>
      <c r="AE3309" s="74"/>
      <c r="AF3309" s="77"/>
      <c r="AH3309" s="497">
        <v>55.400000000000006</v>
      </c>
      <c r="AJ3309" s="42"/>
      <c r="AK3309" s="74"/>
      <c r="AL3309" s="77"/>
      <c r="AN3309" s="497">
        <v>51.980000000000004</v>
      </c>
      <c r="AP3309" s="42"/>
      <c r="AQ3309" s="74"/>
      <c r="AR3309" s="77"/>
      <c r="AT3309" s="497">
        <v>55.040000000000006</v>
      </c>
      <c r="AV3309" s="42"/>
      <c r="AW3309" s="74"/>
      <c r="AX3309" s="77"/>
      <c r="BA3309" s="497">
        <v>46.94</v>
      </c>
      <c r="BB3309" s="42"/>
      <c r="BC3309" s="74"/>
      <c r="BD3309" s="77"/>
      <c r="BF3309">
        <v>48.92</v>
      </c>
      <c r="BH3309" s="42"/>
      <c r="BI3309" s="74"/>
      <c r="BJ3309" s="77"/>
      <c r="BL3309" s="497">
        <v>62.96</v>
      </c>
      <c r="BN3309" s="42"/>
      <c r="BO3309" s="74"/>
      <c r="BP3309" s="77"/>
      <c r="BR3309" s="497">
        <v>46.04</v>
      </c>
      <c r="BT3309" s="42"/>
    </row>
    <row r="3310" spans="1:72" x14ac:dyDescent="0.25">
      <c r="A3310" s="90">
        <v>36298</v>
      </c>
      <c r="B3310" s="20">
        <v>0.16666666666666666</v>
      </c>
      <c r="D3310">
        <v>53.96</v>
      </c>
      <c r="E3310" t="str">
        <f t="shared" si="138"/>
        <v>WEEKDAY</v>
      </c>
      <c r="F3310" t="e">
        <f t="shared" si="139"/>
        <v>#N/A</v>
      </c>
      <c r="G3310" s="74">
        <v>31915</v>
      </c>
      <c r="H3310" s="77">
        <v>0.16666666666666666</v>
      </c>
      <c r="J3310">
        <v>64.94</v>
      </c>
      <c r="M3310" s="74">
        <v>34472</v>
      </c>
      <c r="N3310" s="77">
        <v>0.16666666666666666</v>
      </c>
      <c r="P3310">
        <v>46.94</v>
      </c>
      <c r="S3310" s="74">
        <v>36298</v>
      </c>
      <c r="T3310" s="77">
        <v>0.16666666666666666</v>
      </c>
      <c r="V3310">
        <v>53.96</v>
      </c>
      <c r="X3310" s="42"/>
      <c r="AB3310">
        <v>55.7</v>
      </c>
      <c r="AC3310">
        <v>53.96</v>
      </c>
      <c r="AE3310" s="74"/>
      <c r="AF3310" s="77"/>
      <c r="AH3310" s="497">
        <v>57.2</v>
      </c>
      <c r="AJ3310" s="42"/>
      <c r="AK3310" s="74"/>
      <c r="AL3310" s="77"/>
      <c r="AN3310" s="497">
        <v>51.980000000000004</v>
      </c>
      <c r="AP3310" s="42"/>
      <c r="AQ3310" s="74"/>
      <c r="AR3310" s="77"/>
      <c r="AT3310" s="497">
        <v>51.980000000000004</v>
      </c>
      <c r="AV3310" s="42"/>
      <c r="AW3310" s="74"/>
      <c r="AX3310" s="77"/>
      <c r="BA3310" s="497">
        <v>44.96</v>
      </c>
      <c r="BB3310" s="42"/>
      <c r="BC3310" s="74"/>
      <c r="BD3310" s="77"/>
      <c r="BF3310">
        <v>48.92</v>
      </c>
      <c r="BH3310" s="42"/>
      <c r="BI3310" s="74"/>
      <c r="BJ3310" s="77"/>
      <c r="BL3310" s="497">
        <v>64.94</v>
      </c>
      <c r="BN3310" s="42"/>
      <c r="BO3310" s="74"/>
      <c r="BP3310" s="77"/>
      <c r="BR3310" s="497">
        <v>44.06</v>
      </c>
      <c r="BT3310" s="42"/>
    </row>
    <row r="3311" spans="1:72" x14ac:dyDescent="0.25">
      <c r="A3311" s="90">
        <v>36298</v>
      </c>
      <c r="B3311" s="20">
        <v>0.20833333333333334</v>
      </c>
      <c r="D3311">
        <v>53.96</v>
      </c>
      <c r="E3311" t="str">
        <f t="shared" si="138"/>
        <v>WEEKDAY</v>
      </c>
      <c r="F3311" t="e">
        <f t="shared" si="139"/>
        <v>#N/A</v>
      </c>
      <c r="G3311" s="74">
        <v>31915</v>
      </c>
      <c r="H3311" s="77">
        <v>0.20833333333333334</v>
      </c>
      <c r="J3311">
        <v>62.06</v>
      </c>
      <c r="M3311" s="74">
        <v>34472</v>
      </c>
      <c r="N3311" s="77">
        <v>0.20833333333333334</v>
      </c>
      <c r="P3311">
        <v>48.92</v>
      </c>
      <c r="S3311" s="74">
        <v>36298</v>
      </c>
      <c r="T3311" s="77">
        <v>0.20833333333333334</v>
      </c>
      <c r="V3311">
        <v>53.06</v>
      </c>
      <c r="X3311" s="42"/>
      <c r="AB3311">
        <v>55.3</v>
      </c>
      <c r="AC3311">
        <v>53.96</v>
      </c>
      <c r="AE3311" s="74"/>
      <c r="AF3311" s="77"/>
      <c r="AH3311" s="497">
        <v>55.400000000000006</v>
      </c>
      <c r="AJ3311" s="42"/>
      <c r="AK3311" s="74"/>
      <c r="AL3311" s="77"/>
      <c r="AN3311" s="497">
        <v>51.980000000000004</v>
      </c>
      <c r="AP3311" s="42"/>
      <c r="AQ3311" s="74"/>
      <c r="AR3311" s="77"/>
      <c r="AT3311" s="497">
        <v>51.08</v>
      </c>
      <c r="AV3311" s="42"/>
      <c r="AW3311" s="74"/>
      <c r="AX3311" s="77"/>
      <c r="BA3311" s="497">
        <v>44.06</v>
      </c>
      <c r="BB3311" s="42"/>
      <c r="BC3311" s="74"/>
      <c r="BD3311" s="77"/>
      <c r="BF3311">
        <v>46.94</v>
      </c>
      <c r="BH3311" s="42"/>
      <c r="BI3311" s="74"/>
      <c r="BJ3311" s="77"/>
      <c r="BL3311" s="497">
        <v>64.94</v>
      </c>
      <c r="BN3311" s="42"/>
      <c r="BO3311" s="74"/>
      <c r="BP3311" s="77"/>
      <c r="BR3311" s="497">
        <v>42.980000000000004</v>
      </c>
      <c r="BT3311" s="42"/>
    </row>
    <row r="3312" spans="1:72" x14ac:dyDescent="0.25">
      <c r="A3312" s="90">
        <v>36298</v>
      </c>
      <c r="B3312" s="20">
        <v>0.25</v>
      </c>
      <c r="D3312">
        <v>53.06</v>
      </c>
      <c r="E3312" t="str">
        <f t="shared" si="138"/>
        <v>WEEKDAY</v>
      </c>
      <c r="F3312" t="e">
        <f t="shared" si="139"/>
        <v>#N/A</v>
      </c>
      <c r="G3312" s="74">
        <v>31915</v>
      </c>
      <c r="H3312" s="77">
        <v>0.25</v>
      </c>
      <c r="J3312">
        <v>66.92</v>
      </c>
      <c r="M3312" s="74">
        <v>34472</v>
      </c>
      <c r="N3312" s="77">
        <v>0.25</v>
      </c>
      <c r="P3312">
        <v>50</v>
      </c>
      <c r="S3312" s="74">
        <v>36298</v>
      </c>
      <c r="T3312" s="77">
        <v>0.25</v>
      </c>
      <c r="V3312">
        <v>55.94</v>
      </c>
      <c r="X3312" s="42"/>
      <c r="AB3312">
        <v>55.2</v>
      </c>
      <c r="AC3312">
        <v>55.040000000000006</v>
      </c>
      <c r="AE3312" s="74"/>
      <c r="AF3312" s="77"/>
      <c r="AH3312" s="497">
        <v>59</v>
      </c>
      <c r="AJ3312" s="42"/>
      <c r="AK3312" s="74"/>
      <c r="AL3312" s="77"/>
      <c r="AN3312" s="497">
        <v>51.980000000000004</v>
      </c>
      <c r="AP3312" s="42"/>
      <c r="AQ3312" s="74"/>
      <c r="AR3312" s="77"/>
      <c r="AT3312" s="497">
        <v>51.08</v>
      </c>
      <c r="AV3312" s="42"/>
      <c r="AW3312" s="74"/>
      <c r="AX3312" s="77"/>
      <c r="BA3312" s="497">
        <v>46.94</v>
      </c>
      <c r="BB3312" s="42"/>
      <c r="BC3312" s="74"/>
      <c r="BD3312" s="77"/>
      <c r="BF3312">
        <v>48.92</v>
      </c>
      <c r="BH3312" s="42"/>
      <c r="BI3312" s="74"/>
      <c r="BJ3312" s="77"/>
      <c r="BL3312" s="497">
        <v>66.02</v>
      </c>
      <c r="BN3312" s="42"/>
      <c r="BO3312" s="74"/>
      <c r="BP3312" s="77"/>
      <c r="BR3312" s="497">
        <v>44.96</v>
      </c>
      <c r="BT3312" s="42"/>
    </row>
    <row r="3313" spans="1:72" x14ac:dyDescent="0.25">
      <c r="A3313" s="90">
        <v>36298</v>
      </c>
      <c r="B3313" s="20">
        <v>0.29166666666666669</v>
      </c>
      <c r="D3313">
        <v>55.040000000000006</v>
      </c>
      <c r="E3313" t="str">
        <f t="shared" si="138"/>
        <v>WEEKDAY</v>
      </c>
      <c r="F3313" t="e">
        <f t="shared" si="139"/>
        <v>#N/A</v>
      </c>
      <c r="G3313" s="74">
        <v>31915</v>
      </c>
      <c r="H3313" s="77">
        <v>0.29166666666666669</v>
      </c>
      <c r="J3313">
        <v>66.92</v>
      </c>
      <c r="M3313" s="74">
        <v>34472</v>
      </c>
      <c r="N3313" s="77">
        <v>0.29166666666666669</v>
      </c>
      <c r="P3313">
        <v>50.900000000000006</v>
      </c>
      <c r="S3313" s="74">
        <v>36298</v>
      </c>
      <c r="T3313" s="77">
        <v>0.29166666666666669</v>
      </c>
      <c r="V3313">
        <v>60.08</v>
      </c>
      <c r="X3313" s="42"/>
      <c r="AB3313">
        <v>56.5</v>
      </c>
      <c r="AC3313">
        <v>53.96</v>
      </c>
      <c r="AE3313" s="74"/>
      <c r="AF3313" s="77"/>
      <c r="AH3313" s="497">
        <v>60.8</v>
      </c>
      <c r="AJ3313" s="42"/>
      <c r="AK3313" s="74"/>
      <c r="AL3313" s="77"/>
      <c r="AN3313" s="497">
        <v>51.08</v>
      </c>
      <c r="AP3313" s="42"/>
      <c r="AQ3313" s="74"/>
      <c r="AR3313" s="77"/>
      <c r="AT3313" s="497">
        <v>48.92</v>
      </c>
      <c r="AV3313" s="42"/>
      <c r="AW3313" s="74"/>
      <c r="AX3313" s="77"/>
      <c r="BA3313" s="497">
        <v>48.019999999999996</v>
      </c>
      <c r="BB3313" s="42"/>
      <c r="BC3313" s="74"/>
      <c r="BD3313" s="77"/>
      <c r="BF3313">
        <v>48.019999999999996</v>
      </c>
      <c r="BH3313" s="42"/>
      <c r="BI3313" s="74"/>
      <c r="BJ3313" s="77"/>
      <c r="BL3313" s="497">
        <v>69.98</v>
      </c>
      <c r="BN3313" s="42"/>
      <c r="BO3313" s="74"/>
      <c r="BP3313" s="77"/>
      <c r="BR3313" s="497">
        <v>48.92</v>
      </c>
      <c r="BT3313" s="42"/>
    </row>
    <row r="3314" spans="1:72" x14ac:dyDescent="0.25">
      <c r="A3314" s="90">
        <v>36298</v>
      </c>
      <c r="B3314" s="20">
        <v>0.33333333333333331</v>
      </c>
      <c r="D3314">
        <v>57.019999999999996</v>
      </c>
      <c r="E3314" t="str">
        <f t="shared" si="138"/>
        <v>WEEKDAY</v>
      </c>
      <c r="F3314" t="e">
        <f t="shared" si="139"/>
        <v>#N/A</v>
      </c>
      <c r="G3314" s="74">
        <v>31915</v>
      </c>
      <c r="H3314" s="77">
        <v>0.33333333333333331</v>
      </c>
      <c r="J3314">
        <v>69.98</v>
      </c>
      <c r="M3314" s="74">
        <v>34472</v>
      </c>
      <c r="N3314" s="77">
        <v>0.33333333333333331</v>
      </c>
      <c r="P3314">
        <v>55.94</v>
      </c>
      <c r="S3314" s="74">
        <v>36298</v>
      </c>
      <c r="T3314" s="77">
        <v>0.33333333333333331</v>
      </c>
      <c r="V3314">
        <v>64.039999999999992</v>
      </c>
      <c r="X3314" s="42"/>
      <c r="AB3314">
        <v>58.4</v>
      </c>
      <c r="AC3314">
        <v>55.040000000000006</v>
      </c>
      <c r="AE3314" s="74"/>
      <c r="AF3314" s="77"/>
      <c r="AH3314" s="497">
        <v>60.8</v>
      </c>
      <c r="AJ3314" s="42"/>
      <c r="AK3314" s="74"/>
      <c r="AL3314" s="77"/>
      <c r="AN3314" s="497">
        <v>51.08</v>
      </c>
      <c r="AP3314" s="42"/>
      <c r="AQ3314" s="74"/>
      <c r="AR3314" s="77"/>
      <c r="AT3314" s="497">
        <v>48.92</v>
      </c>
      <c r="AV3314" s="42"/>
      <c r="AW3314" s="74"/>
      <c r="AX3314" s="77"/>
      <c r="BA3314" s="497">
        <v>51.08</v>
      </c>
      <c r="BB3314" s="42"/>
      <c r="BC3314" s="74"/>
      <c r="BD3314" s="77"/>
      <c r="BF3314">
        <v>48.92</v>
      </c>
      <c r="BH3314" s="42"/>
      <c r="BI3314" s="74"/>
      <c r="BJ3314" s="77"/>
      <c r="BL3314" s="497">
        <v>73.039999999999992</v>
      </c>
      <c r="BN3314" s="42"/>
      <c r="BO3314" s="74"/>
      <c r="BP3314" s="77"/>
      <c r="BR3314" s="497">
        <v>51.980000000000004</v>
      </c>
      <c r="BT3314" s="42"/>
    </row>
    <row r="3315" spans="1:72" x14ac:dyDescent="0.25">
      <c r="A3315" s="90">
        <v>36298</v>
      </c>
      <c r="B3315" s="20">
        <v>0.375</v>
      </c>
      <c r="D3315">
        <v>59</v>
      </c>
      <c r="E3315" t="str">
        <f t="shared" si="138"/>
        <v>WEEKDAY</v>
      </c>
      <c r="F3315" t="e">
        <f t="shared" si="139"/>
        <v>#N/A</v>
      </c>
      <c r="G3315" s="74">
        <v>31915</v>
      </c>
      <c r="H3315" s="77">
        <v>0.375</v>
      </c>
      <c r="J3315">
        <v>71.960000000000008</v>
      </c>
      <c r="M3315" s="74">
        <v>34472</v>
      </c>
      <c r="N3315" s="77">
        <v>0.375</v>
      </c>
      <c r="P3315">
        <v>56.84</v>
      </c>
      <c r="S3315" s="74">
        <v>36298</v>
      </c>
      <c r="T3315" s="77">
        <v>0.375</v>
      </c>
      <c r="V3315">
        <v>66.92</v>
      </c>
      <c r="X3315" s="42"/>
      <c r="AB3315">
        <v>60.3</v>
      </c>
      <c r="AC3315">
        <v>57.019999999999996</v>
      </c>
      <c r="AE3315" s="74"/>
      <c r="AF3315" s="77"/>
      <c r="AH3315" s="497">
        <v>68</v>
      </c>
      <c r="AJ3315" s="42"/>
      <c r="AK3315" s="74"/>
      <c r="AL3315" s="77"/>
      <c r="AN3315" s="497">
        <v>51.980000000000004</v>
      </c>
      <c r="AP3315" s="42"/>
      <c r="AQ3315" s="74"/>
      <c r="AR3315" s="77"/>
      <c r="AT3315" s="497">
        <v>48.019999999999996</v>
      </c>
      <c r="AV3315" s="42"/>
      <c r="AW3315" s="74"/>
      <c r="AX3315" s="77"/>
      <c r="BA3315" s="497">
        <v>55.040000000000006</v>
      </c>
      <c r="BB3315" s="42"/>
      <c r="BC3315" s="74"/>
      <c r="BD3315" s="77"/>
      <c r="BF3315">
        <v>48.92</v>
      </c>
      <c r="BH3315" s="42"/>
      <c r="BI3315" s="74"/>
      <c r="BJ3315" s="77"/>
      <c r="BL3315" s="497">
        <v>78.080000000000013</v>
      </c>
      <c r="BN3315" s="42"/>
      <c r="BO3315" s="74"/>
      <c r="BP3315" s="77"/>
      <c r="BR3315" s="497">
        <v>53.06</v>
      </c>
      <c r="BT3315" s="42"/>
    </row>
    <row r="3316" spans="1:72" x14ac:dyDescent="0.25">
      <c r="A3316" s="90">
        <v>36298</v>
      </c>
      <c r="B3316" s="20">
        <v>0.41666666666666669</v>
      </c>
      <c r="D3316">
        <v>60.980000000000004</v>
      </c>
      <c r="E3316" t="str">
        <f t="shared" si="138"/>
        <v>WEEKDAY</v>
      </c>
      <c r="F3316" t="e">
        <f t="shared" si="139"/>
        <v>#N/A</v>
      </c>
      <c r="G3316" s="74">
        <v>31915</v>
      </c>
      <c r="H3316" s="77">
        <v>0.41666666666666669</v>
      </c>
      <c r="J3316">
        <v>69.98</v>
      </c>
      <c r="M3316" s="74">
        <v>34472</v>
      </c>
      <c r="N3316" s="77">
        <v>0.41666666666666669</v>
      </c>
      <c r="P3316">
        <v>57.92</v>
      </c>
      <c r="S3316" s="74">
        <v>36298</v>
      </c>
      <c r="T3316" s="77">
        <v>0.41666666666666669</v>
      </c>
      <c r="V3316">
        <v>64.400000000000006</v>
      </c>
      <c r="X3316" s="42"/>
      <c r="AB3316">
        <v>62.2</v>
      </c>
      <c r="AC3316">
        <v>57.019999999999996</v>
      </c>
      <c r="AE3316" s="74"/>
      <c r="AF3316" s="77"/>
      <c r="AH3316" s="497">
        <v>68</v>
      </c>
      <c r="AJ3316" s="42"/>
      <c r="AK3316" s="74"/>
      <c r="AL3316" s="77"/>
      <c r="AN3316" s="497">
        <v>53.06</v>
      </c>
      <c r="AP3316" s="42"/>
      <c r="AQ3316" s="74"/>
      <c r="AR3316" s="77"/>
      <c r="AT3316" s="497">
        <v>51.08</v>
      </c>
      <c r="AV3316" s="42"/>
      <c r="AW3316" s="74"/>
      <c r="AX3316" s="77"/>
      <c r="BA3316" s="497">
        <v>55.94</v>
      </c>
      <c r="BB3316" s="42"/>
      <c r="BC3316" s="74"/>
      <c r="BD3316" s="77"/>
      <c r="BF3316">
        <v>50</v>
      </c>
      <c r="BH3316" s="42"/>
      <c r="BI3316" s="74"/>
      <c r="BJ3316" s="77"/>
      <c r="BL3316" s="497">
        <v>80.960000000000008</v>
      </c>
      <c r="BN3316" s="42"/>
      <c r="BO3316" s="74"/>
      <c r="BP3316" s="77"/>
      <c r="BR3316" s="497">
        <v>55.040000000000006</v>
      </c>
      <c r="BT3316" s="42"/>
    </row>
    <row r="3317" spans="1:72" x14ac:dyDescent="0.25">
      <c r="A3317" s="90">
        <v>36298</v>
      </c>
      <c r="B3317" s="20">
        <v>0.45833333333333331</v>
      </c>
      <c r="D3317">
        <v>60.980000000000004</v>
      </c>
      <c r="E3317" t="str">
        <f t="shared" si="138"/>
        <v>WEEKDAY</v>
      </c>
      <c r="F3317" t="e">
        <f t="shared" si="139"/>
        <v>#N/A</v>
      </c>
      <c r="G3317" s="74">
        <v>31915</v>
      </c>
      <c r="H3317" s="77">
        <v>0.45833333333333331</v>
      </c>
      <c r="J3317">
        <v>71.960000000000008</v>
      </c>
      <c r="M3317" s="74">
        <v>34472</v>
      </c>
      <c r="N3317" s="77">
        <v>0.45833333333333331</v>
      </c>
      <c r="P3317">
        <v>56.84</v>
      </c>
      <c r="S3317" s="74">
        <v>36298</v>
      </c>
      <c r="T3317" s="77">
        <v>0.45833333333333331</v>
      </c>
      <c r="V3317">
        <v>64.039999999999992</v>
      </c>
      <c r="X3317" s="42"/>
      <c r="AB3317">
        <v>63.9</v>
      </c>
      <c r="AC3317">
        <v>57.92</v>
      </c>
      <c r="AE3317" s="74"/>
      <c r="AF3317" s="77"/>
      <c r="AH3317" s="497">
        <v>68</v>
      </c>
      <c r="AJ3317" s="42"/>
      <c r="AK3317" s="74"/>
      <c r="AL3317" s="77"/>
      <c r="AN3317" s="497">
        <v>53.96</v>
      </c>
      <c r="AP3317" s="42"/>
      <c r="AQ3317" s="74"/>
      <c r="AR3317" s="77"/>
      <c r="AT3317" s="497">
        <v>55.94</v>
      </c>
      <c r="AV3317" s="42"/>
      <c r="AW3317" s="74"/>
      <c r="AX3317" s="77"/>
      <c r="BA3317" s="497">
        <v>57.92</v>
      </c>
      <c r="BB3317" s="42"/>
      <c r="BC3317" s="74"/>
      <c r="BD3317" s="77"/>
      <c r="BF3317">
        <v>51.08</v>
      </c>
      <c r="BH3317" s="42"/>
      <c r="BI3317" s="74"/>
      <c r="BJ3317" s="77"/>
      <c r="BL3317" s="497">
        <v>82.94</v>
      </c>
      <c r="BN3317" s="42"/>
      <c r="BO3317" s="74"/>
      <c r="BP3317" s="77"/>
      <c r="BR3317" s="497">
        <v>57.019999999999996</v>
      </c>
      <c r="BT3317" s="42"/>
    </row>
    <row r="3318" spans="1:72" x14ac:dyDescent="0.25">
      <c r="A3318" s="90">
        <v>36298</v>
      </c>
      <c r="B3318" s="20">
        <v>0.5</v>
      </c>
      <c r="D3318">
        <v>60.08</v>
      </c>
      <c r="E3318" t="str">
        <f t="shared" si="138"/>
        <v>WEEKDAY</v>
      </c>
      <c r="F3318" t="e">
        <f t="shared" si="139"/>
        <v>#N/A</v>
      </c>
      <c r="G3318" s="74">
        <v>31915</v>
      </c>
      <c r="H3318" s="77">
        <v>0.5</v>
      </c>
      <c r="J3318">
        <v>71.06</v>
      </c>
      <c r="M3318" s="74">
        <v>34472</v>
      </c>
      <c r="N3318" s="77">
        <v>0.5</v>
      </c>
      <c r="P3318">
        <v>58.64</v>
      </c>
      <c r="S3318" s="74">
        <v>36298</v>
      </c>
      <c r="T3318" s="77">
        <v>0.5</v>
      </c>
      <c r="V3318">
        <v>64.039999999999992</v>
      </c>
      <c r="X3318" s="42"/>
      <c r="AB3318">
        <v>64.900000000000006</v>
      </c>
      <c r="AC3318">
        <v>59</v>
      </c>
      <c r="AE3318" s="74"/>
      <c r="AF3318" s="77"/>
      <c r="AH3318" s="497">
        <v>69.259999999999991</v>
      </c>
      <c r="AJ3318" s="42"/>
      <c r="AK3318" s="74"/>
      <c r="AL3318" s="77"/>
      <c r="AN3318" s="497">
        <v>55.94</v>
      </c>
      <c r="AP3318" s="42"/>
      <c r="AQ3318" s="74"/>
      <c r="AR3318" s="77"/>
      <c r="AT3318" s="497">
        <v>59</v>
      </c>
      <c r="AV3318" s="42"/>
      <c r="AW3318" s="74"/>
      <c r="AX3318" s="77"/>
      <c r="BA3318" s="497">
        <v>59</v>
      </c>
      <c r="BB3318" s="42"/>
      <c r="BC3318" s="74"/>
      <c r="BD3318" s="77"/>
      <c r="BF3318">
        <v>53.06</v>
      </c>
      <c r="BH3318" s="42"/>
      <c r="BI3318" s="74"/>
      <c r="BJ3318" s="77"/>
      <c r="BL3318" s="497">
        <v>82.94</v>
      </c>
      <c r="BN3318" s="42"/>
      <c r="BO3318" s="74"/>
      <c r="BP3318" s="77"/>
      <c r="BR3318" s="497">
        <v>57.92</v>
      </c>
      <c r="BT3318" s="42"/>
    </row>
    <row r="3319" spans="1:72" x14ac:dyDescent="0.25">
      <c r="A3319" s="90">
        <v>36298</v>
      </c>
      <c r="B3319" s="20">
        <v>0.54166666666666663</v>
      </c>
      <c r="D3319">
        <v>60.980000000000004</v>
      </c>
      <c r="E3319" t="str">
        <f t="shared" si="138"/>
        <v>WEEKDAY</v>
      </c>
      <c r="F3319" t="e">
        <f t="shared" si="139"/>
        <v>#N/A</v>
      </c>
      <c r="G3319" s="74">
        <v>31915</v>
      </c>
      <c r="H3319" s="77">
        <v>0.54166666666666663</v>
      </c>
      <c r="J3319">
        <v>73.039999999999992</v>
      </c>
      <c r="M3319" s="74">
        <v>34472</v>
      </c>
      <c r="N3319" s="77">
        <v>0.54166666666666663</v>
      </c>
      <c r="P3319">
        <v>59.900000000000006</v>
      </c>
      <c r="S3319" s="74">
        <v>36298</v>
      </c>
      <c r="T3319" s="77">
        <v>0.54166666666666663</v>
      </c>
      <c r="V3319">
        <v>64.039999999999992</v>
      </c>
      <c r="X3319" s="42"/>
      <c r="AB3319">
        <v>65.7</v>
      </c>
      <c r="AC3319">
        <v>57.92</v>
      </c>
      <c r="AE3319" s="74"/>
      <c r="AF3319" s="77"/>
      <c r="AH3319" s="497">
        <v>69.800000000000011</v>
      </c>
      <c r="AJ3319" s="42"/>
      <c r="AK3319" s="74"/>
      <c r="AL3319" s="77"/>
      <c r="AN3319" s="497">
        <v>55.94</v>
      </c>
      <c r="AP3319" s="42"/>
      <c r="AQ3319" s="74"/>
      <c r="AR3319" s="77"/>
      <c r="AT3319" s="497">
        <v>60.980000000000004</v>
      </c>
      <c r="AV3319" s="42"/>
      <c r="AW3319" s="74"/>
      <c r="AX3319" s="77"/>
      <c r="BA3319" s="497">
        <v>60.08</v>
      </c>
      <c r="BB3319" s="42"/>
      <c r="BC3319" s="74"/>
      <c r="BD3319" s="77"/>
      <c r="BF3319">
        <v>55.040000000000006</v>
      </c>
      <c r="BH3319" s="42"/>
      <c r="BI3319" s="74"/>
      <c r="BJ3319" s="77"/>
      <c r="BL3319" s="497">
        <v>82.94</v>
      </c>
      <c r="BN3319" s="42"/>
      <c r="BO3319" s="74"/>
      <c r="BP3319" s="77"/>
      <c r="BR3319" s="497">
        <v>60.980000000000004</v>
      </c>
      <c r="BT3319" s="42"/>
    </row>
    <row r="3320" spans="1:72" x14ac:dyDescent="0.25">
      <c r="A3320" s="90">
        <v>36298</v>
      </c>
      <c r="B3320" s="20">
        <v>0.58333333333333337</v>
      </c>
      <c r="D3320">
        <v>62.06</v>
      </c>
      <c r="E3320" t="str">
        <f t="shared" si="138"/>
        <v>WEEKDAY</v>
      </c>
      <c r="F3320" t="e">
        <f t="shared" si="139"/>
        <v>#N/A</v>
      </c>
      <c r="G3320" s="74">
        <v>31915</v>
      </c>
      <c r="H3320" s="77">
        <v>0.58333333333333337</v>
      </c>
      <c r="J3320">
        <v>73.94</v>
      </c>
      <c r="M3320" s="74">
        <v>34472</v>
      </c>
      <c r="N3320" s="77">
        <v>0.58333333333333337</v>
      </c>
      <c r="P3320">
        <v>59</v>
      </c>
      <c r="S3320" s="74">
        <v>36298</v>
      </c>
      <c r="T3320" s="77">
        <v>0.58333333333333337</v>
      </c>
      <c r="V3320">
        <v>64.039999999999992</v>
      </c>
      <c r="X3320" s="42"/>
      <c r="AB3320">
        <v>66.099999999999994</v>
      </c>
      <c r="AC3320">
        <v>57.92</v>
      </c>
      <c r="AE3320" s="74"/>
      <c r="AF3320" s="77"/>
      <c r="AH3320" s="497">
        <v>71.599999999999994</v>
      </c>
      <c r="AJ3320" s="42"/>
      <c r="AK3320" s="74"/>
      <c r="AL3320" s="77"/>
      <c r="AN3320" s="497">
        <v>57.019999999999996</v>
      </c>
      <c r="AP3320" s="42"/>
      <c r="AQ3320" s="74"/>
      <c r="AR3320" s="77"/>
      <c r="AT3320" s="497">
        <v>60.980000000000004</v>
      </c>
      <c r="AV3320" s="42"/>
      <c r="AW3320" s="74"/>
      <c r="AX3320" s="77"/>
      <c r="BA3320" s="497">
        <v>59</v>
      </c>
      <c r="BB3320" s="42"/>
      <c r="BC3320" s="74"/>
      <c r="BD3320" s="77"/>
      <c r="BF3320">
        <v>55.94</v>
      </c>
      <c r="BH3320" s="42"/>
      <c r="BI3320" s="74"/>
      <c r="BJ3320" s="77"/>
      <c r="BL3320" s="497">
        <v>80.960000000000008</v>
      </c>
      <c r="BN3320" s="42"/>
      <c r="BO3320" s="74"/>
      <c r="BP3320" s="77"/>
      <c r="BR3320" s="497">
        <v>60.08</v>
      </c>
      <c r="BT3320" s="42"/>
    </row>
    <row r="3321" spans="1:72" x14ac:dyDescent="0.25">
      <c r="A3321" s="90">
        <v>36298</v>
      </c>
      <c r="B3321" s="20">
        <v>0.625</v>
      </c>
      <c r="D3321">
        <v>60.08</v>
      </c>
      <c r="E3321" t="str">
        <f t="shared" si="138"/>
        <v>WEEKDAY</v>
      </c>
      <c r="F3321" t="e">
        <f t="shared" si="139"/>
        <v>#N/A</v>
      </c>
      <c r="G3321" s="74">
        <v>31915</v>
      </c>
      <c r="H3321" s="77">
        <v>0.625</v>
      </c>
      <c r="J3321">
        <v>78.080000000000013</v>
      </c>
      <c r="M3321" s="74">
        <v>34472</v>
      </c>
      <c r="N3321" s="77">
        <v>0.625</v>
      </c>
      <c r="P3321">
        <v>59.900000000000006</v>
      </c>
      <c r="S3321" s="74">
        <v>36298</v>
      </c>
      <c r="T3321" s="77">
        <v>0.625</v>
      </c>
      <c r="V3321">
        <v>64.94</v>
      </c>
      <c r="X3321" s="42"/>
      <c r="AB3321">
        <v>66</v>
      </c>
      <c r="AC3321">
        <v>57.92</v>
      </c>
      <c r="AE3321" s="74"/>
      <c r="AF3321" s="77"/>
      <c r="AH3321" s="497">
        <v>78.800000000000011</v>
      </c>
      <c r="AJ3321" s="42"/>
      <c r="AK3321" s="74"/>
      <c r="AL3321" s="77"/>
      <c r="AN3321" s="497">
        <v>57.019999999999996</v>
      </c>
      <c r="AP3321" s="42"/>
      <c r="AQ3321" s="74"/>
      <c r="AR3321" s="77"/>
      <c r="AT3321" s="497">
        <v>62.06</v>
      </c>
      <c r="AV3321" s="42"/>
      <c r="AW3321" s="74"/>
      <c r="AX3321" s="77"/>
      <c r="BA3321" s="497">
        <v>62.06</v>
      </c>
      <c r="BB3321" s="42"/>
      <c r="BC3321" s="74"/>
      <c r="BD3321" s="77"/>
      <c r="BF3321">
        <v>55.94</v>
      </c>
      <c r="BH3321" s="42"/>
      <c r="BI3321" s="74"/>
      <c r="BJ3321" s="77"/>
      <c r="BL3321" s="497">
        <v>82.94</v>
      </c>
      <c r="BN3321" s="42"/>
      <c r="BO3321" s="74"/>
      <c r="BP3321" s="77"/>
      <c r="BR3321" s="497">
        <v>62.96</v>
      </c>
      <c r="BT3321" s="42"/>
    </row>
    <row r="3322" spans="1:72" x14ac:dyDescent="0.25">
      <c r="A3322" s="90">
        <v>36298</v>
      </c>
      <c r="B3322" s="20">
        <v>0.66666666666666663</v>
      </c>
      <c r="D3322">
        <v>62.96</v>
      </c>
      <c r="E3322" t="str">
        <f t="shared" si="138"/>
        <v>WEEKDAY</v>
      </c>
      <c r="F3322" t="e">
        <f t="shared" si="139"/>
        <v>#N/A</v>
      </c>
      <c r="G3322" s="74">
        <v>31915</v>
      </c>
      <c r="H3322" s="77">
        <v>0.66666666666666663</v>
      </c>
      <c r="J3322">
        <v>73.039999999999992</v>
      </c>
      <c r="M3322" s="74">
        <v>34472</v>
      </c>
      <c r="N3322" s="77">
        <v>0.66666666666666663</v>
      </c>
      <c r="P3322">
        <v>59</v>
      </c>
      <c r="S3322" s="74">
        <v>36298</v>
      </c>
      <c r="T3322" s="77">
        <v>0.66666666666666663</v>
      </c>
      <c r="V3322">
        <v>64.94</v>
      </c>
      <c r="X3322" s="42"/>
      <c r="AB3322">
        <v>65.5</v>
      </c>
      <c r="AC3322">
        <v>57.019999999999996</v>
      </c>
      <c r="AE3322" s="74"/>
      <c r="AF3322" s="77"/>
      <c r="AH3322" s="497">
        <v>78.800000000000011</v>
      </c>
      <c r="AJ3322" s="42"/>
      <c r="AK3322" s="74"/>
      <c r="AL3322" s="77"/>
      <c r="AN3322" s="497">
        <v>57.019999999999996</v>
      </c>
      <c r="AP3322" s="42"/>
      <c r="AQ3322" s="74"/>
      <c r="AR3322" s="77"/>
      <c r="AT3322" s="497">
        <v>64.039999999999992</v>
      </c>
      <c r="AV3322" s="42"/>
      <c r="AW3322" s="74"/>
      <c r="AX3322" s="77"/>
      <c r="BA3322" s="497">
        <v>57.92</v>
      </c>
      <c r="BB3322" s="42"/>
      <c r="BC3322" s="74"/>
      <c r="BD3322" s="77"/>
      <c r="BF3322">
        <v>57.019999999999996</v>
      </c>
      <c r="BH3322" s="42"/>
      <c r="BI3322" s="74"/>
      <c r="BJ3322" s="77"/>
      <c r="BL3322" s="497">
        <v>80.06</v>
      </c>
      <c r="BN3322" s="42"/>
      <c r="BO3322" s="74"/>
      <c r="BP3322" s="77"/>
      <c r="BR3322" s="497">
        <v>62.06</v>
      </c>
      <c r="BT3322" s="42"/>
    </row>
    <row r="3323" spans="1:72" x14ac:dyDescent="0.25">
      <c r="A3323" s="90">
        <v>36298</v>
      </c>
      <c r="B3323" s="20">
        <v>0.70833333333333337</v>
      </c>
      <c r="D3323">
        <v>60.980000000000004</v>
      </c>
      <c r="E3323" t="str">
        <f t="shared" si="138"/>
        <v>WEEKDAY</v>
      </c>
      <c r="F3323" t="e">
        <f t="shared" si="139"/>
        <v>#N/A</v>
      </c>
      <c r="G3323" s="74">
        <v>31915</v>
      </c>
      <c r="H3323" s="77">
        <v>0.70833333333333337</v>
      </c>
      <c r="J3323">
        <v>68</v>
      </c>
      <c r="M3323" s="74">
        <v>34472</v>
      </c>
      <c r="N3323" s="77">
        <v>0.70833333333333337</v>
      </c>
      <c r="P3323">
        <v>54.86</v>
      </c>
      <c r="S3323" s="74">
        <v>36298</v>
      </c>
      <c r="T3323" s="77">
        <v>0.70833333333333337</v>
      </c>
      <c r="V3323">
        <v>64.039999999999992</v>
      </c>
      <c r="X3323" s="42"/>
      <c r="AB3323">
        <v>64.7</v>
      </c>
      <c r="AC3323">
        <v>57.019999999999996</v>
      </c>
      <c r="AE3323" s="74"/>
      <c r="AF3323" s="77"/>
      <c r="AH3323" s="497">
        <v>62.6</v>
      </c>
      <c r="AJ3323" s="42"/>
      <c r="AK3323" s="74"/>
      <c r="AL3323" s="77"/>
      <c r="AN3323" s="497">
        <v>57.019999999999996</v>
      </c>
      <c r="AP3323" s="42"/>
      <c r="AQ3323" s="74"/>
      <c r="AR3323" s="77"/>
      <c r="AT3323" s="497">
        <v>62.06</v>
      </c>
      <c r="AV3323" s="42"/>
      <c r="AW3323" s="74"/>
      <c r="AX3323" s="77"/>
      <c r="BA3323" s="497">
        <v>57.019999999999996</v>
      </c>
      <c r="BB3323" s="42"/>
      <c r="BC3323" s="74"/>
      <c r="BD3323" s="77"/>
      <c r="BF3323">
        <v>55.94</v>
      </c>
      <c r="BH3323" s="42"/>
      <c r="BI3323" s="74"/>
      <c r="BJ3323" s="77"/>
      <c r="BL3323" s="497">
        <v>78.98</v>
      </c>
      <c r="BN3323" s="42"/>
      <c r="BO3323" s="74"/>
      <c r="BP3323" s="77"/>
      <c r="BR3323" s="497">
        <v>62.96</v>
      </c>
      <c r="BT3323" s="42"/>
    </row>
    <row r="3324" spans="1:72" x14ac:dyDescent="0.25">
      <c r="A3324" s="90">
        <v>36298</v>
      </c>
      <c r="B3324" s="20">
        <v>0.75</v>
      </c>
      <c r="D3324">
        <v>55.040000000000006</v>
      </c>
      <c r="E3324" t="str">
        <f t="shared" si="138"/>
        <v>WEEKDAY</v>
      </c>
      <c r="F3324" t="e">
        <f t="shared" si="139"/>
        <v>#N/A</v>
      </c>
      <c r="G3324" s="74">
        <v>31915</v>
      </c>
      <c r="H3324" s="77">
        <v>0.75</v>
      </c>
      <c r="J3324">
        <v>62.06</v>
      </c>
      <c r="M3324" s="74">
        <v>34472</v>
      </c>
      <c r="N3324" s="77">
        <v>0.75</v>
      </c>
      <c r="P3324">
        <v>51.980000000000004</v>
      </c>
      <c r="S3324" s="74">
        <v>36298</v>
      </c>
      <c r="T3324" s="77">
        <v>0.75</v>
      </c>
      <c r="V3324">
        <v>62.96</v>
      </c>
      <c r="X3324" s="42"/>
      <c r="AB3324">
        <v>63.6</v>
      </c>
      <c r="AC3324">
        <v>57.019999999999996</v>
      </c>
      <c r="AE3324" s="74"/>
      <c r="AF3324" s="77"/>
      <c r="AH3324" s="497">
        <v>60.8</v>
      </c>
      <c r="AJ3324" s="42"/>
      <c r="AK3324" s="74"/>
      <c r="AL3324" s="77"/>
      <c r="AN3324" s="497">
        <v>57.019999999999996</v>
      </c>
      <c r="AP3324" s="42"/>
      <c r="AQ3324" s="74"/>
      <c r="AR3324" s="77"/>
      <c r="AT3324" s="497">
        <v>60.08</v>
      </c>
      <c r="AV3324" s="42"/>
      <c r="AW3324" s="74"/>
      <c r="AX3324" s="77"/>
      <c r="BA3324" s="497">
        <v>55.040000000000006</v>
      </c>
      <c r="BB3324" s="42"/>
      <c r="BC3324" s="74"/>
      <c r="BD3324" s="77"/>
      <c r="BF3324">
        <v>53.96</v>
      </c>
      <c r="BH3324" s="42"/>
      <c r="BI3324" s="74"/>
      <c r="BJ3324" s="77"/>
      <c r="BL3324" s="497">
        <v>75.92</v>
      </c>
      <c r="BN3324" s="42"/>
      <c r="BO3324" s="74"/>
      <c r="BP3324" s="77"/>
      <c r="BR3324" s="497">
        <v>62.06</v>
      </c>
      <c r="BT3324" s="42"/>
    </row>
    <row r="3325" spans="1:72" x14ac:dyDescent="0.25">
      <c r="A3325" s="90">
        <v>36298</v>
      </c>
      <c r="B3325" s="20">
        <v>0.79166666666666663</v>
      </c>
      <c r="D3325">
        <v>55.040000000000006</v>
      </c>
      <c r="E3325" t="str">
        <f t="shared" si="138"/>
        <v>WEEKDAY</v>
      </c>
      <c r="F3325" t="e">
        <f t="shared" si="139"/>
        <v>#N/A</v>
      </c>
      <c r="G3325" s="74">
        <v>31915</v>
      </c>
      <c r="H3325" s="77">
        <v>0.79166666666666663</v>
      </c>
      <c r="J3325">
        <v>62.06</v>
      </c>
      <c r="M3325" s="74">
        <v>34472</v>
      </c>
      <c r="N3325" s="77">
        <v>0.79166666666666663</v>
      </c>
      <c r="P3325">
        <v>51.980000000000004</v>
      </c>
      <c r="S3325" s="74">
        <v>36298</v>
      </c>
      <c r="T3325" s="77">
        <v>0.79166666666666663</v>
      </c>
      <c r="V3325">
        <v>62.06</v>
      </c>
      <c r="X3325" s="42"/>
      <c r="AB3325">
        <v>62.2</v>
      </c>
      <c r="AC3325">
        <v>55.94</v>
      </c>
      <c r="AE3325" s="74"/>
      <c r="AF3325" s="77"/>
      <c r="AH3325" s="497">
        <v>66.2</v>
      </c>
      <c r="AJ3325" s="42"/>
      <c r="AK3325" s="74"/>
      <c r="AL3325" s="77"/>
      <c r="AN3325" s="497">
        <v>57.019999999999996</v>
      </c>
      <c r="AP3325" s="42"/>
      <c r="AQ3325" s="74"/>
      <c r="AR3325" s="77"/>
      <c r="AT3325" s="497">
        <v>57.019999999999996</v>
      </c>
      <c r="AV3325" s="42"/>
      <c r="AW3325" s="74"/>
      <c r="AX3325" s="77"/>
      <c r="BA3325" s="497">
        <v>53.06</v>
      </c>
      <c r="BB3325" s="42"/>
      <c r="BC3325" s="74"/>
      <c r="BD3325" s="77"/>
      <c r="BF3325">
        <v>51.980000000000004</v>
      </c>
      <c r="BH3325" s="42"/>
      <c r="BI3325" s="74"/>
      <c r="BJ3325" s="77"/>
      <c r="BL3325" s="497">
        <v>73.94</v>
      </c>
      <c r="BN3325" s="42"/>
      <c r="BO3325" s="74"/>
      <c r="BP3325" s="77"/>
      <c r="BR3325" s="497">
        <v>60.08</v>
      </c>
      <c r="BT3325" s="42"/>
    </row>
    <row r="3326" spans="1:72" x14ac:dyDescent="0.25">
      <c r="A3326" s="90">
        <v>36298</v>
      </c>
      <c r="B3326" s="20">
        <v>0.83333333333333337</v>
      </c>
      <c r="D3326">
        <v>55.040000000000006</v>
      </c>
      <c r="E3326" t="str">
        <f t="shared" si="138"/>
        <v>WEEKDAY</v>
      </c>
      <c r="F3326" t="e">
        <f t="shared" si="139"/>
        <v>#N/A</v>
      </c>
      <c r="G3326" s="74">
        <v>31915</v>
      </c>
      <c r="H3326" s="77">
        <v>0.83333333333333337</v>
      </c>
      <c r="J3326">
        <v>60.08</v>
      </c>
      <c r="M3326" s="74">
        <v>34472</v>
      </c>
      <c r="N3326" s="77">
        <v>0.83333333333333337</v>
      </c>
      <c r="P3326">
        <v>50.900000000000006</v>
      </c>
      <c r="S3326" s="74">
        <v>36298</v>
      </c>
      <c r="T3326" s="77">
        <v>0.83333333333333337</v>
      </c>
      <c r="V3326">
        <v>60.980000000000004</v>
      </c>
      <c r="X3326" s="42"/>
      <c r="AB3326">
        <v>60.8</v>
      </c>
      <c r="AC3326">
        <v>55.94</v>
      </c>
      <c r="AE3326" s="74"/>
      <c r="AF3326" s="77"/>
      <c r="AH3326" s="497">
        <v>66.2</v>
      </c>
      <c r="AJ3326" s="42"/>
      <c r="AK3326" s="74"/>
      <c r="AL3326" s="77"/>
      <c r="AN3326" s="497">
        <v>55.94</v>
      </c>
      <c r="AP3326" s="42"/>
      <c r="AQ3326" s="74"/>
      <c r="AR3326" s="77"/>
      <c r="AT3326" s="497">
        <v>55.040000000000006</v>
      </c>
      <c r="AV3326" s="42"/>
      <c r="AW3326" s="74"/>
      <c r="AX3326" s="77"/>
      <c r="BA3326" s="497">
        <v>50</v>
      </c>
      <c r="BB3326" s="42"/>
      <c r="BC3326" s="74"/>
      <c r="BD3326" s="77"/>
      <c r="BF3326">
        <v>51.08</v>
      </c>
      <c r="BH3326" s="42"/>
      <c r="BI3326" s="74"/>
      <c r="BJ3326" s="77"/>
      <c r="BL3326" s="497">
        <v>73.039999999999992</v>
      </c>
      <c r="BN3326" s="42"/>
      <c r="BO3326" s="74"/>
      <c r="BP3326" s="77"/>
      <c r="BR3326" s="497">
        <v>57.019999999999996</v>
      </c>
      <c r="BT3326" s="42"/>
    </row>
    <row r="3327" spans="1:72" x14ac:dyDescent="0.25">
      <c r="A3327" s="90">
        <v>36298</v>
      </c>
      <c r="B3327" s="20">
        <v>0.875</v>
      </c>
      <c r="D3327">
        <v>53.06</v>
      </c>
      <c r="E3327" t="str">
        <f t="shared" si="138"/>
        <v>WEEKDAY</v>
      </c>
      <c r="F3327" t="e">
        <f t="shared" si="139"/>
        <v>#N/A</v>
      </c>
      <c r="G3327" s="74">
        <v>31915</v>
      </c>
      <c r="H3327" s="77">
        <v>0.875</v>
      </c>
      <c r="J3327">
        <v>57.92</v>
      </c>
      <c r="M3327" s="74">
        <v>34472</v>
      </c>
      <c r="N3327" s="77">
        <v>0.875</v>
      </c>
      <c r="P3327">
        <v>50</v>
      </c>
      <c r="S3327" s="74">
        <v>36298</v>
      </c>
      <c r="T3327" s="77">
        <v>0.875</v>
      </c>
      <c r="V3327">
        <v>60.980000000000004</v>
      </c>
      <c r="X3327" s="42"/>
      <c r="AB3327">
        <v>59.7</v>
      </c>
      <c r="AC3327">
        <v>55.94</v>
      </c>
      <c r="AE3327" s="74"/>
      <c r="AF3327" s="77"/>
      <c r="AH3327" s="497">
        <v>66.2</v>
      </c>
      <c r="AJ3327" s="42"/>
      <c r="AK3327" s="74"/>
      <c r="AL3327" s="77"/>
      <c r="AN3327" s="497">
        <v>55.94</v>
      </c>
      <c r="AP3327" s="42"/>
      <c r="AQ3327" s="74"/>
      <c r="AR3327" s="77"/>
      <c r="AT3327" s="497">
        <v>51.980000000000004</v>
      </c>
      <c r="AV3327" s="42"/>
      <c r="AW3327" s="74"/>
      <c r="AX3327" s="77"/>
      <c r="BA3327" s="497">
        <v>48.92</v>
      </c>
      <c r="BB3327" s="42"/>
      <c r="BC3327" s="74"/>
      <c r="BD3327" s="77"/>
      <c r="BF3327">
        <v>50</v>
      </c>
      <c r="BH3327" s="42"/>
      <c r="BI3327" s="74"/>
      <c r="BJ3327" s="77"/>
      <c r="BL3327" s="497">
        <v>71.06</v>
      </c>
      <c r="BN3327" s="42"/>
      <c r="BO3327" s="74"/>
      <c r="BP3327" s="77"/>
      <c r="BR3327" s="497">
        <v>53.96</v>
      </c>
      <c r="BT3327" s="42"/>
    </row>
    <row r="3328" spans="1:72" x14ac:dyDescent="0.25">
      <c r="A3328" s="90">
        <v>36298</v>
      </c>
      <c r="B3328" s="20">
        <v>0.91666666666666663</v>
      </c>
      <c r="D3328">
        <v>53.06</v>
      </c>
      <c r="E3328" t="str">
        <f t="shared" si="138"/>
        <v>WEEKDAY</v>
      </c>
      <c r="F3328" t="e">
        <f t="shared" si="139"/>
        <v>#N/A</v>
      </c>
      <c r="G3328" s="74">
        <v>31915</v>
      </c>
      <c r="H3328" s="77">
        <v>0.91666666666666663</v>
      </c>
      <c r="J3328">
        <v>57.019999999999996</v>
      </c>
      <c r="M3328" s="74">
        <v>34472</v>
      </c>
      <c r="N3328" s="77">
        <v>0.91666666666666663</v>
      </c>
      <c r="P3328">
        <v>50</v>
      </c>
      <c r="S3328" s="74">
        <v>36298</v>
      </c>
      <c r="T3328" s="77">
        <v>0.91666666666666663</v>
      </c>
      <c r="V3328">
        <v>60.980000000000004</v>
      </c>
      <c r="X3328" s="42"/>
      <c r="AB3328">
        <v>59.2</v>
      </c>
      <c r="AC3328">
        <v>55.94</v>
      </c>
      <c r="AE3328" s="74"/>
      <c r="AF3328" s="77"/>
      <c r="AH3328" s="497">
        <v>62.6</v>
      </c>
      <c r="AJ3328" s="42"/>
      <c r="AK3328" s="74"/>
      <c r="AL3328" s="77"/>
      <c r="AN3328" s="497">
        <v>55.040000000000006</v>
      </c>
      <c r="AP3328" s="42"/>
      <c r="AQ3328" s="74"/>
      <c r="AR3328" s="77"/>
      <c r="AT3328" s="497">
        <v>50</v>
      </c>
      <c r="AV3328" s="42"/>
      <c r="AW3328" s="74"/>
      <c r="AX3328" s="77"/>
      <c r="BA3328" s="497">
        <v>48.019999999999996</v>
      </c>
      <c r="BB3328" s="42"/>
      <c r="BC3328" s="74"/>
      <c r="BD3328" s="77"/>
      <c r="BF3328">
        <v>48.92</v>
      </c>
      <c r="BH3328" s="42"/>
      <c r="BI3328" s="74"/>
      <c r="BJ3328" s="77"/>
      <c r="BL3328" s="497">
        <v>69.98</v>
      </c>
      <c r="BN3328" s="42"/>
      <c r="BO3328" s="74"/>
      <c r="BP3328" s="77"/>
      <c r="BR3328" s="497">
        <v>51.980000000000004</v>
      </c>
      <c r="BT3328" s="42"/>
    </row>
    <row r="3329" spans="1:72" x14ac:dyDescent="0.25">
      <c r="A3329" s="90">
        <v>36298</v>
      </c>
      <c r="B3329" s="20">
        <v>0.95833333333333337</v>
      </c>
      <c r="D3329">
        <v>53.96</v>
      </c>
      <c r="E3329" t="str">
        <f t="shared" si="138"/>
        <v>WEEKDAY</v>
      </c>
      <c r="F3329" t="e">
        <f t="shared" si="139"/>
        <v>#N/A</v>
      </c>
      <c r="G3329" s="74">
        <v>31915</v>
      </c>
      <c r="H3329" s="77">
        <v>0.95833333333333337</v>
      </c>
      <c r="J3329">
        <v>55.040000000000006</v>
      </c>
      <c r="M3329" s="74">
        <v>34472</v>
      </c>
      <c r="N3329" s="77">
        <v>0.95833333333333337</v>
      </c>
      <c r="P3329">
        <v>50</v>
      </c>
      <c r="S3329" s="74">
        <v>36298</v>
      </c>
      <c r="T3329" s="77">
        <v>0.95833333333333337</v>
      </c>
      <c r="V3329">
        <v>60.980000000000004</v>
      </c>
      <c r="X3329" s="42"/>
      <c r="AB3329">
        <v>58.7</v>
      </c>
      <c r="AC3329">
        <v>55.94</v>
      </c>
      <c r="AE3329" s="74"/>
      <c r="AF3329" s="77"/>
      <c r="AH3329" s="497">
        <v>60.8</v>
      </c>
      <c r="AJ3329" s="42"/>
      <c r="AK3329" s="74"/>
      <c r="AL3329" s="77"/>
      <c r="AN3329" s="497">
        <v>55.040000000000006</v>
      </c>
      <c r="AP3329" s="42"/>
      <c r="AQ3329" s="74"/>
      <c r="AR3329" s="77"/>
      <c r="AT3329" s="497">
        <v>50</v>
      </c>
      <c r="AV3329" s="42"/>
      <c r="AW3329" s="74"/>
      <c r="AX3329" s="77"/>
      <c r="BA3329" s="497">
        <v>46.94</v>
      </c>
      <c r="BB3329" s="42"/>
      <c r="BC3329" s="74"/>
      <c r="BD3329" s="77"/>
      <c r="BF3329">
        <v>46.94</v>
      </c>
      <c r="BH3329" s="42"/>
      <c r="BI3329" s="74"/>
      <c r="BJ3329" s="77"/>
      <c r="BL3329" s="497">
        <v>66.02</v>
      </c>
      <c r="BN3329" s="42"/>
      <c r="BO3329" s="74"/>
      <c r="BP3329" s="77"/>
      <c r="BR3329" s="497">
        <v>50</v>
      </c>
      <c r="BT3329" s="42"/>
    </row>
    <row r="3330" spans="1:72" x14ac:dyDescent="0.25">
      <c r="A3330" s="90">
        <v>36298</v>
      </c>
      <c r="B3330" s="20">
        <v>1</v>
      </c>
      <c r="D3330">
        <v>53.06</v>
      </c>
      <c r="E3330" t="str">
        <f t="shared" si="138"/>
        <v>WEEKDAY</v>
      </c>
      <c r="F3330" t="e">
        <f t="shared" si="139"/>
        <v>#N/A</v>
      </c>
      <c r="G3330" s="74">
        <v>31915</v>
      </c>
      <c r="H3330" s="77">
        <v>1</v>
      </c>
      <c r="J3330">
        <v>55.040000000000006</v>
      </c>
      <c r="M3330" s="74">
        <v>34472</v>
      </c>
      <c r="N3330" s="80">
        <v>1</v>
      </c>
      <c r="P3330">
        <v>50</v>
      </c>
      <c r="S3330" s="74">
        <v>36298</v>
      </c>
      <c r="T3330" s="80">
        <v>1</v>
      </c>
      <c r="V3330">
        <v>60.8</v>
      </c>
      <c r="X3330" s="42"/>
      <c r="AB3330">
        <v>58.1</v>
      </c>
      <c r="AC3330">
        <v>55.040000000000006</v>
      </c>
      <c r="AE3330" s="74"/>
      <c r="AF3330" s="80"/>
      <c r="AH3330" s="497">
        <v>59</v>
      </c>
      <c r="AJ3330" s="42"/>
      <c r="AK3330" s="74"/>
      <c r="AL3330" s="80"/>
      <c r="AN3330" s="497">
        <v>55.040000000000006</v>
      </c>
      <c r="AP3330" s="42"/>
      <c r="AQ3330" s="74"/>
      <c r="AR3330" s="80"/>
      <c r="AT3330" s="497">
        <v>48.92</v>
      </c>
      <c r="AV3330" s="42"/>
      <c r="AW3330" s="74"/>
      <c r="AX3330" s="80"/>
      <c r="BA3330" s="497">
        <v>44.96</v>
      </c>
      <c r="BB3330" s="42"/>
      <c r="BC3330" s="74"/>
      <c r="BD3330" s="80"/>
      <c r="BF3330">
        <v>46.94</v>
      </c>
      <c r="BH3330" s="42"/>
      <c r="BI3330" s="74"/>
      <c r="BJ3330" s="80"/>
      <c r="BL3330" s="497">
        <v>64.94</v>
      </c>
      <c r="BN3330" s="42"/>
      <c r="BO3330" s="74"/>
      <c r="BP3330" s="80"/>
      <c r="BR3330" s="497">
        <v>48.92</v>
      </c>
      <c r="BT3330" s="42"/>
    </row>
    <row r="3331" spans="1:72" x14ac:dyDescent="0.25">
      <c r="A3331" s="90">
        <v>36299</v>
      </c>
      <c r="B3331" s="20">
        <v>4.1666666666666664E-2</v>
      </c>
      <c r="D3331">
        <v>53.96</v>
      </c>
      <c r="E3331" t="str">
        <f t="shared" si="138"/>
        <v>WEEKDAY</v>
      </c>
      <c r="F3331" t="e">
        <f t="shared" si="139"/>
        <v>#N/A</v>
      </c>
      <c r="G3331" s="74">
        <v>31916</v>
      </c>
      <c r="H3331" s="77">
        <v>4.1666666666666664E-2</v>
      </c>
      <c r="J3331">
        <v>53.06</v>
      </c>
      <c r="M3331" s="74">
        <v>34473</v>
      </c>
      <c r="N3331" s="77">
        <v>4.1666666666666664E-2</v>
      </c>
      <c r="P3331">
        <v>50</v>
      </c>
      <c r="S3331" s="74">
        <v>36299</v>
      </c>
      <c r="T3331" s="77">
        <v>4.1666666666666664E-2</v>
      </c>
      <c r="V3331">
        <v>60.980000000000004</v>
      </c>
      <c r="X3331" s="42"/>
      <c r="AB3331">
        <v>57.6</v>
      </c>
      <c r="AC3331">
        <v>55.94</v>
      </c>
      <c r="AE3331" s="74"/>
      <c r="AF3331" s="77"/>
      <c r="AH3331" s="497">
        <v>59</v>
      </c>
      <c r="AJ3331" s="42"/>
      <c r="AK3331" s="74"/>
      <c r="AL3331" s="77"/>
      <c r="AN3331" s="497">
        <v>55.040000000000006</v>
      </c>
      <c r="AP3331" s="42"/>
      <c r="AQ3331" s="74"/>
      <c r="AR3331" s="77"/>
      <c r="AT3331" s="497">
        <v>48.92</v>
      </c>
      <c r="AV3331" s="42"/>
      <c r="AW3331" s="74"/>
      <c r="AX3331" s="77"/>
      <c r="BA3331" s="497">
        <v>46.04</v>
      </c>
      <c r="BB3331" s="42"/>
      <c r="BC3331" s="74"/>
      <c r="BD3331" s="77"/>
      <c r="BF3331">
        <v>48.019999999999996</v>
      </c>
      <c r="BH3331" s="42"/>
      <c r="BI3331" s="74"/>
      <c r="BJ3331" s="77"/>
      <c r="BL3331" s="497">
        <v>64.94</v>
      </c>
      <c r="BN3331" s="42"/>
      <c r="BO3331" s="74"/>
      <c r="BP3331" s="77"/>
      <c r="BR3331" s="497">
        <v>46.04</v>
      </c>
      <c r="BT3331" s="42"/>
    </row>
    <row r="3332" spans="1:72" x14ac:dyDescent="0.25">
      <c r="A3332" s="90">
        <v>36299</v>
      </c>
      <c r="B3332" s="20">
        <v>8.3333333333333329E-2</v>
      </c>
      <c r="D3332">
        <v>51.08</v>
      </c>
      <c r="E3332" t="str">
        <f t="shared" si="138"/>
        <v>WEEKDAY</v>
      </c>
      <c r="F3332" t="e">
        <f t="shared" si="139"/>
        <v>#N/A</v>
      </c>
      <c r="G3332" s="74">
        <v>31916</v>
      </c>
      <c r="H3332" s="77">
        <v>8.3333333333333329E-2</v>
      </c>
      <c r="J3332">
        <v>53.06</v>
      </c>
      <c r="M3332" s="74">
        <v>34473</v>
      </c>
      <c r="N3332" s="77">
        <v>8.3333333333333329E-2</v>
      </c>
      <c r="P3332">
        <v>48.92</v>
      </c>
      <c r="S3332" s="74">
        <v>36299</v>
      </c>
      <c r="T3332" s="77">
        <v>8.3333333333333329E-2</v>
      </c>
      <c r="V3332">
        <v>60.8</v>
      </c>
      <c r="X3332" s="42"/>
      <c r="AB3332">
        <v>57</v>
      </c>
      <c r="AC3332">
        <v>55.040000000000006</v>
      </c>
      <c r="AE3332" s="74"/>
      <c r="AF3332" s="77"/>
      <c r="AH3332" s="497">
        <v>59</v>
      </c>
      <c r="AJ3332" s="42"/>
      <c r="AK3332" s="74"/>
      <c r="AL3332" s="77"/>
      <c r="AN3332" s="497">
        <v>55.040000000000006</v>
      </c>
      <c r="AP3332" s="42"/>
      <c r="AQ3332" s="74"/>
      <c r="AR3332" s="77"/>
      <c r="AT3332" s="497">
        <v>46.94</v>
      </c>
      <c r="AV3332" s="42"/>
      <c r="AW3332" s="74"/>
      <c r="AX3332" s="77"/>
      <c r="BA3332" s="497">
        <v>44.96</v>
      </c>
      <c r="BB3332" s="42"/>
      <c r="BC3332" s="74"/>
      <c r="BD3332" s="77"/>
      <c r="BF3332">
        <v>46.94</v>
      </c>
      <c r="BH3332" s="42"/>
      <c r="BI3332" s="74"/>
      <c r="BJ3332" s="77"/>
      <c r="BL3332" s="497">
        <v>64.94</v>
      </c>
      <c r="BN3332" s="42"/>
      <c r="BO3332" s="74"/>
      <c r="BP3332" s="77"/>
      <c r="BR3332" s="497">
        <v>46.94</v>
      </c>
      <c r="BT3332" s="42"/>
    </row>
    <row r="3333" spans="1:72" x14ac:dyDescent="0.25">
      <c r="A3333" s="90">
        <v>36299</v>
      </c>
      <c r="B3333" s="20">
        <v>0.125</v>
      </c>
      <c r="D3333">
        <v>50</v>
      </c>
      <c r="E3333" t="str">
        <f t="shared" si="138"/>
        <v>WEEKDAY</v>
      </c>
      <c r="F3333" t="e">
        <f t="shared" si="139"/>
        <v>#N/A</v>
      </c>
      <c r="G3333" s="74">
        <v>31916</v>
      </c>
      <c r="H3333" s="77">
        <v>0.125</v>
      </c>
      <c r="J3333">
        <v>51.980000000000004</v>
      </c>
      <c r="M3333" s="74">
        <v>34473</v>
      </c>
      <c r="N3333" s="77">
        <v>0.125</v>
      </c>
      <c r="P3333">
        <v>47.84</v>
      </c>
      <c r="S3333" s="74">
        <v>36299</v>
      </c>
      <c r="T3333" s="77">
        <v>0.125</v>
      </c>
      <c r="V3333">
        <v>60.08</v>
      </c>
      <c r="X3333" s="42"/>
      <c r="AB3333">
        <v>56.5</v>
      </c>
      <c r="AC3333">
        <v>55.040000000000006</v>
      </c>
      <c r="AE3333" s="74"/>
      <c r="AF3333" s="77"/>
      <c r="AH3333" s="497">
        <v>57.2</v>
      </c>
      <c r="AJ3333" s="42"/>
      <c r="AK3333" s="74"/>
      <c r="AL3333" s="77"/>
      <c r="AN3333" s="497">
        <v>55.040000000000006</v>
      </c>
      <c r="AP3333" s="42"/>
      <c r="AQ3333" s="74"/>
      <c r="AR3333" s="77"/>
      <c r="AT3333" s="497">
        <v>46.04</v>
      </c>
      <c r="AV3333" s="42"/>
      <c r="AW3333" s="74"/>
      <c r="AX3333" s="77"/>
      <c r="BA3333" s="497">
        <v>44.06</v>
      </c>
      <c r="BB3333" s="42"/>
      <c r="BC3333" s="74"/>
      <c r="BD3333" s="77"/>
      <c r="BF3333">
        <v>48.019999999999996</v>
      </c>
      <c r="BH3333" s="42"/>
      <c r="BI3333" s="74"/>
      <c r="BJ3333" s="77"/>
      <c r="BL3333" s="497">
        <v>64.039999999999992</v>
      </c>
      <c r="BN3333" s="42"/>
      <c r="BO3333" s="74"/>
      <c r="BP3333" s="77"/>
      <c r="BR3333" s="497">
        <v>46.04</v>
      </c>
      <c r="BT3333" s="42"/>
    </row>
    <row r="3334" spans="1:72" x14ac:dyDescent="0.25">
      <c r="A3334" s="90">
        <v>36299</v>
      </c>
      <c r="B3334" s="20">
        <v>0.16666666666666666</v>
      </c>
      <c r="D3334">
        <v>51.08</v>
      </c>
      <c r="E3334" t="str">
        <f t="shared" si="138"/>
        <v>WEEKDAY</v>
      </c>
      <c r="F3334" t="e">
        <f t="shared" si="139"/>
        <v>#N/A</v>
      </c>
      <c r="G3334" s="74">
        <v>31916</v>
      </c>
      <c r="H3334" s="77">
        <v>0.16666666666666666</v>
      </c>
      <c r="J3334">
        <v>53.06</v>
      </c>
      <c r="M3334" s="74">
        <v>34473</v>
      </c>
      <c r="N3334" s="77">
        <v>0.16666666666666666</v>
      </c>
      <c r="P3334">
        <v>46.94</v>
      </c>
      <c r="S3334" s="74">
        <v>36299</v>
      </c>
      <c r="T3334" s="77">
        <v>0.16666666666666666</v>
      </c>
      <c r="V3334">
        <v>60.08</v>
      </c>
      <c r="X3334" s="42"/>
      <c r="AB3334">
        <v>56.1</v>
      </c>
      <c r="AC3334">
        <v>55.040000000000006</v>
      </c>
      <c r="AE3334" s="74"/>
      <c r="AF3334" s="77"/>
      <c r="AH3334" s="497">
        <v>57.2</v>
      </c>
      <c r="AJ3334" s="42"/>
      <c r="AK3334" s="74"/>
      <c r="AL3334" s="77"/>
      <c r="AN3334" s="497">
        <v>55.040000000000006</v>
      </c>
      <c r="AP3334" s="42"/>
      <c r="AQ3334" s="74"/>
      <c r="AR3334" s="77"/>
      <c r="AT3334" s="497">
        <v>46.04</v>
      </c>
      <c r="AV3334" s="42"/>
      <c r="AW3334" s="74"/>
      <c r="AX3334" s="77"/>
      <c r="BA3334" s="497">
        <v>42.08</v>
      </c>
      <c r="BB3334" s="42"/>
      <c r="BC3334" s="74"/>
      <c r="BD3334" s="77"/>
      <c r="BF3334">
        <v>48.019999999999996</v>
      </c>
      <c r="BH3334" s="42"/>
      <c r="BI3334" s="74"/>
      <c r="BJ3334" s="77"/>
      <c r="BL3334" s="497">
        <v>55.94</v>
      </c>
      <c r="BN3334" s="42"/>
      <c r="BO3334" s="74"/>
      <c r="BP3334" s="77"/>
      <c r="BR3334" s="497">
        <v>44.96</v>
      </c>
      <c r="BT3334" s="42"/>
    </row>
    <row r="3335" spans="1:72" x14ac:dyDescent="0.25">
      <c r="A3335" s="90">
        <v>36299</v>
      </c>
      <c r="B3335" s="20">
        <v>0.20833333333333334</v>
      </c>
      <c r="D3335">
        <v>50</v>
      </c>
      <c r="E3335" t="str">
        <f t="shared" si="138"/>
        <v>WEEKDAY</v>
      </c>
      <c r="F3335" t="e">
        <f t="shared" si="139"/>
        <v>#N/A</v>
      </c>
      <c r="G3335" s="74">
        <v>31916</v>
      </c>
      <c r="H3335" s="77">
        <v>0.20833333333333334</v>
      </c>
      <c r="J3335">
        <v>51.980000000000004</v>
      </c>
      <c r="M3335" s="74">
        <v>34473</v>
      </c>
      <c r="N3335" s="77">
        <v>0.20833333333333334</v>
      </c>
      <c r="P3335">
        <v>46.94</v>
      </c>
      <c r="S3335" s="74">
        <v>36299</v>
      </c>
      <c r="T3335" s="77">
        <v>0.20833333333333334</v>
      </c>
      <c r="V3335">
        <v>60.8</v>
      </c>
      <c r="X3335" s="42"/>
      <c r="AB3335">
        <v>55.6</v>
      </c>
      <c r="AC3335">
        <v>55.94</v>
      </c>
      <c r="AE3335" s="74"/>
      <c r="AF3335" s="77"/>
      <c r="AH3335" s="497">
        <v>57.2</v>
      </c>
      <c r="AJ3335" s="42"/>
      <c r="AK3335" s="74"/>
      <c r="AL3335" s="77"/>
      <c r="AN3335" s="497">
        <v>55.040000000000006</v>
      </c>
      <c r="AP3335" s="42"/>
      <c r="AQ3335" s="74"/>
      <c r="AR3335" s="77"/>
      <c r="AT3335" s="497">
        <v>46.04</v>
      </c>
      <c r="AV3335" s="42"/>
      <c r="AW3335" s="74"/>
      <c r="AX3335" s="77"/>
      <c r="BA3335" s="497">
        <v>42.980000000000004</v>
      </c>
      <c r="BB3335" s="42"/>
      <c r="BC3335" s="74"/>
      <c r="BD3335" s="77"/>
      <c r="BF3335">
        <v>48.019999999999996</v>
      </c>
      <c r="BH3335" s="42"/>
      <c r="BI3335" s="74"/>
      <c r="BJ3335" s="77"/>
      <c r="BL3335" s="497">
        <v>57.019999999999996</v>
      </c>
      <c r="BN3335" s="42"/>
      <c r="BO3335" s="74"/>
      <c r="BP3335" s="77"/>
      <c r="BR3335" s="497">
        <v>46.94</v>
      </c>
      <c r="BT3335" s="42"/>
    </row>
    <row r="3336" spans="1:72" x14ac:dyDescent="0.25">
      <c r="A3336" s="90">
        <v>36299</v>
      </c>
      <c r="B3336" s="20">
        <v>0.25</v>
      </c>
      <c r="D3336">
        <v>51.08</v>
      </c>
      <c r="E3336" t="str">
        <f t="shared" si="138"/>
        <v>WEEKDAY</v>
      </c>
      <c r="F3336" t="e">
        <f t="shared" si="139"/>
        <v>#N/A</v>
      </c>
      <c r="G3336" s="74">
        <v>31916</v>
      </c>
      <c r="H3336" s="77">
        <v>0.25</v>
      </c>
      <c r="J3336">
        <v>51.980000000000004</v>
      </c>
      <c r="M3336" s="74">
        <v>34473</v>
      </c>
      <c r="N3336" s="77">
        <v>0.25</v>
      </c>
      <c r="P3336">
        <v>47.84</v>
      </c>
      <c r="S3336" s="74">
        <v>36299</v>
      </c>
      <c r="T3336" s="77">
        <v>0.25</v>
      </c>
      <c r="V3336">
        <v>60.980000000000004</v>
      </c>
      <c r="X3336" s="42"/>
      <c r="AB3336">
        <v>55.5</v>
      </c>
      <c r="AC3336">
        <v>57.019999999999996</v>
      </c>
      <c r="AE3336" s="74"/>
      <c r="AF3336" s="77"/>
      <c r="AH3336" s="497">
        <v>57.2</v>
      </c>
      <c r="AJ3336" s="42"/>
      <c r="AK3336" s="74"/>
      <c r="AL3336" s="77"/>
      <c r="AN3336" s="497">
        <v>55.040000000000006</v>
      </c>
      <c r="AP3336" s="42"/>
      <c r="AQ3336" s="74"/>
      <c r="AR3336" s="77"/>
      <c r="AT3336" s="497">
        <v>44.96</v>
      </c>
      <c r="AV3336" s="42"/>
      <c r="AW3336" s="74"/>
      <c r="AX3336" s="77"/>
      <c r="BA3336" s="497">
        <v>44.06</v>
      </c>
      <c r="BB3336" s="42"/>
      <c r="BC3336" s="74"/>
      <c r="BD3336" s="77"/>
      <c r="BF3336">
        <v>48.019999999999996</v>
      </c>
      <c r="BH3336" s="42"/>
      <c r="BI3336" s="74"/>
      <c r="BJ3336" s="77"/>
      <c r="BL3336" s="497">
        <v>55.94</v>
      </c>
      <c r="BN3336" s="42"/>
      <c r="BO3336" s="74"/>
      <c r="BP3336" s="77"/>
      <c r="BR3336" s="497">
        <v>50</v>
      </c>
      <c r="BT3336" s="42"/>
    </row>
    <row r="3337" spans="1:72" x14ac:dyDescent="0.25">
      <c r="A3337" s="90">
        <v>36299</v>
      </c>
      <c r="B3337" s="20">
        <v>0.29166666666666669</v>
      </c>
      <c r="D3337">
        <v>51.980000000000004</v>
      </c>
      <c r="E3337" t="str">
        <f t="shared" si="138"/>
        <v>WEEKDAY</v>
      </c>
      <c r="F3337" t="e">
        <f t="shared" si="139"/>
        <v>#N/A</v>
      </c>
      <c r="G3337" s="74">
        <v>31916</v>
      </c>
      <c r="H3337" s="77">
        <v>0.29166666666666669</v>
      </c>
      <c r="J3337">
        <v>51.980000000000004</v>
      </c>
      <c r="M3337" s="74">
        <v>34473</v>
      </c>
      <c r="N3337" s="77">
        <v>0.29166666666666669</v>
      </c>
      <c r="P3337">
        <v>48.92</v>
      </c>
      <c r="S3337" s="74">
        <v>36299</v>
      </c>
      <c r="T3337" s="77">
        <v>0.29166666666666669</v>
      </c>
      <c r="V3337">
        <v>60.980000000000004</v>
      </c>
      <c r="X3337" s="42"/>
      <c r="AB3337">
        <v>56.9</v>
      </c>
      <c r="AC3337">
        <v>57.92</v>
      </c>
      <c r="AE3337" s="74"/>
      <c r="AF3337" s="77"/>
      <c r="AH3337" s="497">
        <v>51.8</v>
      </c>
      <c r="AJ3337" s="42"/>
      <c r="AK3337" s="74"/>
      <c r="AL3337" s="77"/>
      <c r="AN3337" s="497">
        <v>55.94</v>
      </c>
      <c r="AP3337" s="42"/>
      <c r="AQ3337" s="74"/>
      <c r="AR3337" s="77"/>
      <c r="AT3337" s="497">
        <v>46.04</v>
      </c>
      <c r="AV3337" s="42"/>
      <c r="AW3337" s="74"/>
      <c r="AX3337" s="77"/>
      <c r="BA3337" s="497">
        <v>46.04</v>
      </c>
      <c r="BB3337" s="42"/>
      <c r="BC3337" s="74"/>
      <c r="BD3337" s="77"/>
      <c r="BF3337">
        <v>48.92</v>
      </c>
      <c r="BH3337" s="42"/>
      <c r="BI3337" s="74"/>
      <c r="BJ3337" s="77"/>
      <c r="BL3337" s="497">
        <v>53.96</v>
      </c>
      <c r="BN3337" s="42"/>
      <c r="BO3337" s="74"/>
      <c r="BP3337" s="77"/>
      <c r="BR3337" s="497">
        <v>50</v>
      </c>
      <c r="BT3337" s="42"/>
    </row>
    <row r="3338" spans="1:72" x14ac:dyDescent="0.25">
      <c r="A3338" s="90">
        <v>36299</v>
      </c>
      <c r="B3338" s="20">
        <v>0.33333333333333331</v>
      </c>
      <c r="D3338">
        <v>51.980000000000004</v>
      </c>
      <c r="E3338" t="str">
        <f t="shared" si="138"/>
        <v>WEEKDAY</v>
      </c>
      <c r="F3338" t="e">
        <f t="shared" si="139"/>
        <v>#N/A</v>
      </c>
      <c r="G3338" s="74">
        <v>31916</v>
      </c>
      <c r="H3338" s="77">
        <v>0.33333333333333331</v>
      </c>
      <c r="J3338">
        <v>53.96</v>
      </c>
      <c r="M3338" s="74">
        <v>34473</v>
      </c>
      <c r="N3338" s="77">
        <v>0.33333333333333331</v>
      </c>
      <c r="P3338">
        <v>48.92</v>
      </c>
      <c r="S3338" s="74">
        <v>36299</v>
      </c>
      <c r="T3338" s="77">
        <v>0.33333333333333331</v>
      </c>
      <c r="V3338">
        <v>62.06</v>
      </c>
      <c r="X3338" s="42"/>
      <c r="AB3338">
        <v>58.7</v>
      </c>
      <c r="AC3338">
        <v>60.980000000000004</v>
      </c>
      <c r="AE3338" s="74"/>
      <c r="AF3338" s="77"/>
      <c r="AH3338" s="497">
        <v>48.2</v>
      </c>
      <c r="AJ3338" s="42"/>
      <c r="AK3338" s="74"/>
      <c r="AL3338" s="77"/>
      <c r="AN3338" s="497">
        <v>55.94</v>
      </c>
      <c r="AP3338" s="42"/>
      <c r="AQ3338" s="74"/>
      <c r="AR3338" s="77"/>
      <c r="AT3338" s="497">
        <v>46.94</v>
      </c>
      <c r="AV3338" s="42"/>
      <c r="AW3338" s="74"/>
      <c r="AX3338" s="77"/>
      <c r="BA3338" s="497">
        <v>48.019999999999996</v>
      </c>
      <c r="BB3338" s="42"/>
      <c r="BC3338" s="74"/>
      <c r="BD3338" s="77"/>
      <c r="BF3338">
        <v>51.08</v>
      </c>
      <c r="BH3338" s="42"/>
      <c r="BI3338" s="74"/>
      <c r="BJ3338" s="77"/>
      <c r="BL3338" s="497">
        <v>53.96</v>
      </c>
      <c r="BN3338" s="42"/>
      <c r="BO3338" s="74"/>
      <c r="BP3338" s="77"/>
      <c r="BR3338" s="497">
        <v>53.06</v>
      </c>
      <c r="BT3338" s="42"/>
    </row>
    <row r="3339" spans="1:72" x14ac:dyDescent="0.25">
      <c r="A3339" s="90">
        <v>36299</v>
      </c>
      <c r="B3339" s="20">
        <v>0.375</v>
      </c>
      <c r="D3339">
        <v>53.06</v>
      </c>
      <c r="E3339" t="str">
        <f t="shared" si="138"/>
        <v>WEEKDAY</v>
      </c>
      <c r="F3339" t="e">
        <f t="shared" si="139"/>
        <v>#N/A</v>
      </c>
      <c r="G3339" s="74">
        <v>31916</v>
      </c>
      <c r="H3339" s="77">
        <v>0.375</v>
      </c>
      <c r="J3339">
        <v>53.96</v>
      </c>
      <c r="M3339" s="74">
        <v>34473</v>
      </c>
      <c r="N3339" s="77">
        <v>0.375</v>
      </c>
      <c r="P3339">
        <v>50</v>
      </c>
      <c r="S3339" s="74">
        <v>36299</v>
      </c>
      <c r="T3339" s="77">
        <v>0.375</v>
      </c>
      <c r="V3339">
        <v>62.96</v>
      </c>
      <c r="X3339" s="42"/>
      <c r="AB3339">
        <v>60.7</v>
      </c>
      <c r="AC3339">
        <v>64.94</v>
      </c>
      <c r="AE3339" s="74"/>
      <c r="AF3339" s="77"/>
      <c r="AH3339" s="497">
        <v>48.56</v>
      </c>
      <c r="AJ3339" s="42"/>
      <c r="AK3339" s="74"/>
      <c r="AL3339" s="77"/>
      <c r="AN3339" s="497">
        <v>57.019999999999996</v>
      </c>
      <c r="AP3339" s="42"/>
      <c r="AQ3339" s="74"/>
      <c r="AR3339" s="77"/>
      <c r="AT3339" s="497">
        <v>51.08</v>
      </c>
      <c r="AV3339" s="42"/>
      <c r="AW3339" s="74"/>
      <c r="AX3339" s="77"/>
      <c r="BA3339" s="497">
        <v>51.980000000000004</v>
      </c>
      <c r="BB3339" s="42"/>
      <c r="BC3339" s="74"/>
      <c r="BD3339" s="77"/>
      <c r="BF3339">
        <v>57.92</v>
      </c>
      <c r="BH3339" s="42"/>
      <c r="BI3339" s="74"/>
      <c r="BJ3339" s="77"/>
      <c r="BL3339" s="497">
        <v>53.96</v>
      </c>
      <c r="BN3339" s="42"/>
      <c r="BO3339" s="74"/>
      <c r="BP3339" s="77"/>
      <c r="BR3339" s="497">
        <v>55.94</v>
      </c>
      <c r="BT3339" s="42"/>
    </row>
    <row r="3340" spans="1:72" x14ac:dyDescent="0.25">
      <c r="A3340" s="90">
        <v>36299</v>
      </c>
      <c r="B3340" s="20">
        <v>0.41666666666666669</v>
      </c>
      <c r="D3340">
        <v>53.06</v>
      </c>
      <c r="E3340" t="str">
        <f t="shared" si="138"/>
        <v>WEEKDAY</v>
      </c>
      <c r="F3340" t="e">
        <f t="shared" si="139"/>
        <v>#N/A</v>
      </c>
      <c r="G3340" s="74">
        <v>31916</v>
      </c>
      <c r="H3340" s="77">
        <v>0.41666666666666669</v>
      </c>
      <c r="J3340">
        <v>55.040000000000006</v>
      </c>
      <c r="M3340" s="74">
        <v>34473</v>
      </c>
      <c r="N3340" s="77">
        <v>0.41666666666666669</v>
      </c>
      <c r="P3340">
        <v>50.900000000000006</v>
      </c>
      <c r="S3340" s="74">
        <v>36299</v>
      </c>
      <c r="T3340" s="77">
        <v>0.41666666666666669</v>
      </c>
      <c r="V3340">
        <v>64.039999999999992</v>
      </c>
      <c r="X3340" s="42"/>
      <c r="AB3340">
        <v>62.5</v>
      </c>
      <c r="AC3340">
        <v>69.080000000000013</v>
      </c>
      <c r="AE3340" s="74"/>
      <c r="AF3340" s="77"/>
      <c r="AH3340" s="497">
        <v>48.2</v>
      </c>
      <c r="AJ3340" s="42"/>
      <c r="AK3340" s="74"/>
      <c r="AL3340" s="77"/>
      <c r="AN3340" s="497">
        <v>57.92</v>
      </c>
      <c r="AP3340" s="42"/>
      <c r="AQ3340" s="74"/>
      <c r="AR3340" s="77"/>
      <c r="AT3340" s="497">
        <v>50</v>
      </c>
      <c r="AV3340" s="42"/>
      <c r="AW3340" s="74"/>
      <c r="AX3340" s="77"/>
      <c r="BA3340" s="497">
        <v>53.96</v>
      </c>
      <c r="BB3340" s="42"/>
      <c r="BC3340" s="74"/>
      <c r="BD3340" s="77"/>
      <c r="BF3340">
        <v>60.08</v>
      </c>
      <c r="BH3340" s="42"/>
      <c r="BI3340" s="74"/>
      <c r="BJ3340" s="77"/>
      <c r="BL3340" s="497">
        <v>53.06</v>
      </c>
      <c r="BN3340" s="42"/>
      <c r="BO3340" s="74"/>
      <c r="BP3340" s="77"/>
      <c r="BR3340" s="497">
        <v>57.019999999999996</v>
      </c>
      <c r="BT3340" s="42"/>
    </row>
    <row r="3341" spans="1:72" x14ac:dyDescent="0.25">
      <c r="A3341" s="90">
        <v>36299</v>
      </c>
      <c r="B3341" s="20">
        <v>0.45833333333333331</v>
      </c>
      <c r="D3341">
        <v>53.06</v>
      </c>
      <c r="E3341" t="str">
        <f t="shared" si="138"/>
        <v>WEEKDAY</v>
      </c>
      <c r="F3341" t="e">
        <f t="shared" si="139"/>
        <v>#N/A</v>
      </c>
      <c r="G3341" s="74">
        <v>31916</v>
      </c>
      <c r="H3341" s="77">
        <v>0.45833333333333331</v>
      </c>
      <c r="J3341">
        <v>55.040000000000006</v>
      </c>
      <c r="M3341" s="74">
        <v>34473</v>
      </c>
      <c r="N3341" s="77">
        <v>0.45833333333333331</v>
      </c>
      <c r="P3341">
        <v>50.900000000000006</v>
      </c>
      <c r="S3341" s="74">
        <v>36299</v>
      </c>
      <c r="T3341" s="77">
        <v>0.45833333333333331</v>
      </c>
      <c r="V3341">
        <v>64.94</v>
      </c>
      <c r="X3341" s="42"/>
      <c r="AB3341">
        <v>64.2</v>
      </c>
      <c r="AC3341">
        <v>71.960000000000008</v>
      </c>
      <c r="AE3341" s="74"/>
      <c r="AF3341" s="77"/>
      <c r="AH3341" s="497">
        <v>50</v>
      </c>
      <c r="AJ3341" s="42"/>
      <c r="AK3341" s="74"/>
      <c r="AL3341" s="77"/>
      <c r="AN3341" s="497">
        <v>57.019999999999996</v>
      </c>
      <c r="AP3341" s="42"/>
      <c r="AQ3341" s="74"/>
      <c r="AR3341" s="77"/>
      <c r="AT3341" s="497">
        <v>53.96</v>
      </c>
      <c r="AV3341" s="42"/>
      <c r="AW3341" s="74"/>
      <c r="AX3341" s="77"/>
      <c r="BA3341" s="497">
        <v>55.94</v>
      </c>
      <c r="BB3341" s="42"/>
      <c r="BC3341" s="74"/>
      <c r="BD3341" s="77"/>
      <c r="BF3341">
        <v>60.08</v>
      </c>
      <c r="BH3341" s="42"/>
      <c r="BI3341" s="74"/>
      <c r="BJ3341" s="77"/>
      <c r="BL3341" s="497">
        <v>53.06</v>
      </c>
      <c r="BN3341" s="42"/>
      <c r="BO3341" s="74"/>
      <c r="BP3341" s="77"/>
      <c r="BR3341" s="497">
        <v>60.980000000000004</v>
      </c>
      <c r="BT3341" s="42"/>
    </row>
    <row r="3342" spans="1:72" x14ac:dyDescent="0.25">
      <c r="A3342" s="90">
        <v>36299</v>
      </c>
      <c r="B3342" s="20">
        <v>0.5</v>
      </c>
      <c r="D3342">
        <v>53.06</v>
      </c>
      <c r="E3342" t="str">
        <f t="shared" si="138"/>
        <v>WEEKDAY</v>
      </c>
      <c r="F3342" t="e">
        <f t="shared" si="139"/>
        <v>#N/A</v>
      </c>
      <c r="G3342" s="74">
        <v>31916</v>
      </c>
      <c r="H3342" s="77">
        <v>0.5</v>
      </c>
      <c r="J3342">
        <v>55.94</v>
      </c>
      <c r="M3342" s="74">
        <v>34473</v>
      </c>
      <c r="N3342" s="77">
        <v>0.5</v>
      </c>
      <c r="P3342">
        <v>52.879999999999995</v>
      </c>
      <c r="S3342" s="74">
        <v>36299</v>
      </c>
      <c r="T3342" s="77">
        <v>0.5</v>
      </c>
      <c r="V3342">
        <v>66.02</v>
      </c>
      <c r="X3342" s="42"/>
      <c r="AB3342">
        <v>65.2</v>
      </c>
      <c r="AC3342">
        <v>71.960000000000008</v>
      </c>
      <c r="AE3342" s="74"/>
      <c r="AF3342" s="77"/>
      <c r="AH3342" s="497">
        <v>50</v>
      </c>
      <c r="AJ3342" s="42"/>
      <c r="AK3342" s="74"/>
      <c r="AL3342" s="77"/>
      <c r="AN3342" s="497">
        <v>57.92</v>
      </c>
      <c r="AP3342" s="42"/>
      <c r="AQ3342" s="74"/>
      <c r="AR3342" s="77"/>
      <c r="AT3342" s="497">
        <v>55.040000000000006</v>
      </c>
      <c r="AV3342" s="42"/>
      <c r="AW3342" s="74"/>
      <c r="AX3342" s="77"/>
      <c r="BA3342" s="497">
        <v>57.92</v>
      </c>
      <c r="BB3342" s="42"/>
      <c r="BC3342" s="74"/>
      <c r="BD3342" s="77"/>
      <c r="BF3342">
        <v>59</v>
      </c>
      <c r="BH3342" s="42"/>
      <c r="BI3342" s="74"/>
      <c r="BJ3342" s="77"/>
      <c r="BL3342" s="497">
        <v>53.06</v>
      </c>
      <c r="BN3342" s="42"/>
      <c r="BO3342" s="74"/>
      <c r="BP3342" s="77"/>
      <c r="BR3342" s="497">
        <v>64.039999999999992</v>
      </c>
      <c r="BT3342" s="42"/>
    </row>
    <row r="3343" spans="1:72" x14ac:dyDescent="0.25">
      <c r="A3343" s="90">
        <v>36299</v>
      </c>
      <c r="B3343" s="20">
        <v>0.54166666666666663</v>
      </c>
      <c r="D3343">
        <v>53.96</v>
      </c>
      <c r="E3343" t="str">
        <f t="shared" si="138"/>
        <v>WEEKDAY</v>
      </c>
      <c r="F3343" t="e">
        <f t="shared" si="139"/>
        <v>#N/A</v>
      </c>
      <c r="G3343" s="74">
        <v>31916</v>
      </c>
      <c r="H3343" s="77">
        <v>0.54166666666666663</v>
      </c>
      <c r="J3343">
        <v>55.94</v>
      </c>
      <c r="M3343" s="74">
        <v>34473</v>
      </c>
      <c r="N3343" s="77">
        <v>0.54166666666666663</v>
      </c>
      <c r="P3343">
        <v>51.980000000000004</v>
      </c>
      <c r="S3343" s="74">
        <v>36299</v>
      </c>
      <c r="T3343" s="77">
        <v>0.54166666666666663</v>
      </c>
      <c r="V3343">
        <v>66.02</v>
      </c>
      <c r="X3343" s="42"/>
      <c r="AB3343">
        <v>66</v>
      </c>
      <c r="AC3343">
        <v>73.039999999999992</v>
      </c>
      <c r="AE3343" s="74"/>
      <c r="AF3343" s="77"/>
      <c r="AH3343" s="497">
        <v>50</v>
      </c>
      <c r="AJ3343" s="42"/>
      <c r="AK3343" s="74"/>
      <c r="AL3343" s="77"/>
      <c r="AN3343" s="497">
        <v>57.019999999999996</v>
      </c>
      <c r="AP3343" s="42"/>
      <c r="AQ3343" s="74"/>
      <c r="AR3343" s="77"/>
      <c r="AT3343" s="497">
        <v>55.94</v>
      </c>
      <c r="AV3343" s="42"/>
      <c r="AW3343" s="74"/>
      <c r="AX3343" s="77"/>
      <c r="BA3343" s="497">
        <v>57.92</v>
      </c>
      <c r="BB3343" s="42"/>
      <c r="BC3343" s="74"/>
      <c r="BD3343" s="77"/>
      <c r="BF3343">
        <v>60.08</v>
      </c>
      <c r="BH3343" s="42"/>
      <c r="BI3343" s="74"/>
      <c r="BJ3343" s="77"/>
      <c r="BL3343" s="497">
        <v>55.040000000000006</v>
      </c>
      <c r="BN3343" s="42"/>
      <c r="BO3343" s="74"/>
      <c r="BP3343" s="77"/>
      <c r="BR3343" s="497">
        <v>66.02</v>
      </c>
      <c r="BT3343" s="42"/>
    </row>
    <row r="3344" spans="1:72" x14ac:dyDescent="0.25">
      <c r="A3344" s="90">
        <v>36299</v>
      </c>
      <c r="B3344" s="20">
        <v>0.58333333333333337</v>
      </c>
      <c r="D3344">
        <v>53.96</v>
      </c>
      <c r="E3344" t="str">
        <f t="shared" si="138"/>
        <v>WEEKDAY</v>
      </c>
      <c r="F3344" t="e">
        <f t="shared" si="139"/>
        <v>#N/A</v>
      </c>
      <c r="G3344" s="74">
        <v>31916</v>
      </c>
      <c r="H3344" s="77">
        <v>0.58333333333333337</v>
      </c>
      <c r="J3344">
        <v>55.94</v>
      </c>
      <c r="M3344" s="74">
        <v>34473</v>
      </c>
      <c r="N3344" s="77">
        <v>0.58333333333333337</v>
      </c>
      <c r="P3344">
        <v>48.92</v>
      </c>
      <c r="S3344" s="74">
        <v>36299</v>
      </c>
      <c r="T3344" s="77">
        <v>0.58333333333333337</v>
      </c>
      <c r="V3344">
        <v>64.94</v>
      </c>
      <c r="X3344" s="42"/>
      <c r="AB3344">
        <v>66.400000000000006</v>
      </c>
      <c r="AC3344">
        <v>73.94</v>
      </c>
      <c r="AE3344" s="74"/>
      <c r="AF3344" s="77"/>
      <c r="AH3344" s="497">
        <v>50</v>
      </c>
      <c r="AJ3344" s="42"/>
      <c r="AK3344" s="74"/>
      <c r="AL3344" s="77"/>
      <c r="AN3344" s="497">
        <v>57.92</v>
      </c>
      <c r="AP3344" s="42"/>
      <c r="AQ3344" s="74"/>
      <c r="AR3344" s="77"/>
      <c r="AT3344" s="497">
        <v>57.92</v>
      </c>
      <c r="AV3344" s="42"/>
      <c r="AW3344" s="74"/>
      <c r="AX3344" s="77"/>
      <c r="BA3344" s="497">
        <v>55.94</v>
      </c>
      <c r="BB3344" s="42"/>
      <c r="BC3344" s="74"/>
      <c r="BD3344" s="77"/>
      <c r="BF3344">
        <v>60.980000000000004</v>
      </c>
      <c r="BH3344" s="42"/>
      <c r="BI3344" s="74"/>
      <c r="BJ3344" s="77"/>
      <c r="BL3344" s="497">
        <v>51.980000000000004</v>
      </c>
      <c r="BN3344" s="42"/>
      <c r="BO3344" s="74"/>
      <c r="BP3344" s="77"/>
      <c r="BR3344" s="497">
        <v>66.92</v>
      </c>
      <c r="BT3344" s="42"/>
    </row>
    <row r="3345" spans="1:72" x14ac:dyDescent="0.25">
      <c r="A3345" s="90">
        <v>36299</v>
      </c>
      <c r="B3345" s="20">
        <v>0.625</v>
      </c>
      <c r="D3345">
        <v>53.06</v>
      </c>
      <c r="E3345" t="str">
        <f t="shared" si="138"/>
        <v>WEEKDAY</v>
      </c>
      <c r="F3345" t="e">
        <f t="shared" si="139"/>
        <v>#N/A</v>
      </c>
      <c r="G3345" s="74">
        <v>31916</v>
      </c>
      <c r="H3345" s="77">
        <v>0.625</v>
      </c>
      <c r="J3345">
        <v>55.94</v>
      </c>
      <c r="M3345" s="74">
        <v>34473</v>
      </c>
      <c r="N3345" s="77">
        <v>0.625</v>
      </c>
      <c r="P3345">
        <v>50</v>
      </c>
      <c r="S3345" s="74">
        <v>36299</v>
      </c>
      <c r="T3345" s="77">
        <v>0.625</v>
      </c>
      <c r="V3345">
        <v>62.06</v>
      </c>
      <c r="X3345" s="42"/>
      <c r="AB3345">
        <v>66.2</v>
      </c>
      <c r="AC3345">
        <v>75.02</v>
      </c>
      <c r="AE3345" s="74"/>
      <c r="AF3345" s="77"/>
      <c r="AH3345" s="497">
        <v>50</v>
      </c>
      <c r="AJ3345" s="42"/>
      <c r="AK3345" s="74"/>
      <c r="AL3345" s="77"/>
      <c r="AN3345" s="497">
        <v>57.92</v>
      </c>
      <c r="AP3345" s="42"/>
      <c r="AQ3345" s="74"/>
      <c r="AR3345" s="77"/>
      <c r="AT3345" s="497">
        <v>59</v>
      </c>
      <c r="AV3345" s="42"/>
      <c r="AW3345" s="74"/>
      <c r="AX3345" s="77"/>
      <c r="BA3345" s="497">
        <v>57.019999999999996</v>
      </c>
      <c r="BB3345" s="42"/>
      <c r="BC3345" s="74"/>
      <c r="BD3345" s="77"/>
      <c r="BF3345">
        <v>60.980000000000004</v>
      </c>
      <c r="BH3345" s="42"/>
      <c r="BI3345" s="74"/>
      <c r="BJ3345" s="77"/>
      <c r="BL3345" s="497">
        <v>51.980000000000004</v>
      </c>
      <c r="BN3345" s="42"/>
      <c r="BO3345" s="74"/>
      <c r="BP3345" s="77"/>
      <c r="BR3345" s="497">
        <v>66.02</v>
      </c>
      <c r="BT3345" s="42"/>
    </row>
    <row r="3346" spans="1:72" x14ac:dyDescent="0.25">
      <c r="A3346" s="90">
        <v>36299</v>
      </c>
      <c r="B3346" s="20">
        <v>0.66666666666666663</v>
      </c>
      <c r="D3346">
        <v>51.980000000000004</v>
      </c>
      <c r="E3346" t="str">
        <f t="shared" si="138"/>
        <v>WEEKDAY</v>
      </c>
      <c r="F3346" t="e">
        <f t="shared" si="139"/>
        <v>#N/A</v>
      </c>
      <c r="G3346" s="74">
        <v>31916</v>
      </c>
      <c r="H3346" s="77">
        <v>0.66666666666666663</v>
      </c>
      <c r="J3346">
        <v>55.94</v>
      </c>
      <c r="M3346" s="74">
        <v>34473</v>
      </c>
      <c r="N3346" s="77">
        <v>0.66666666666666663</v>
      </c>
      <c r="P3346">
        <v>50</v>
      </c>
      <c r="S3346" s="74">
        <v>36299</v>
      </c>
      <c r="T3346" s="77">
        <v>0.66666666666666663</v>
      </c>
      <c r="V3346">
        <v>62.96</v>
      </c>
      <c r="X3346" s="42"/>
      <c r="AB3346">
        <v>65.8</v>
      </c>
      <c r="AC3346">
        <v>73.039999999999992</v>
      </c>
      <c r="AE3346" s="74"/>
      <c r="AF3346" s="77"/>
      <c r="AH3346" s="497">
        <v>48.2</v>
      </c>
      <c r="AJ3346" s="42"/>
      <c r="AK3346" s="74"/>
      <c r="AL3346" s="77"/>
      <c r="AN3346" s="497">
        <v>57.019999999999996</v>
      </c>
      <c r="AP3346" s="42"/>
      <c r="AQ3346" s="74"/>
      <c r="AR3346" s="77"/>
      <c r="AT3346" s="497">
        <v>57.92</v>
      </c>
      <c r="AV3346" s="42"/>
      <c r="AW3346" s="74"/>
      <c r="AX3346" s="77"/>
      <c r="BA3346" s="497">
        <v>60.08</v>
      </c>
      <c r="BB3346" s="42"/>
      <c r="BC3346" s="74"/>
      <c r="BD3346" s="77"/>
      <c r="BF3346">
        <v>59</v>
      </c>
      <c r="BH3346" s="42"/>
      <c r="BI3346" s="74"/>
      <c r="BJ3346" s="77"/>
      <c r="BL3346" s="497">
        <v>53.06</v>
      </c>
      <c r="BN3346" s="42"/>
      <c r="BO3346" s="74"/>
      <c r="BP3346" s="77"/>
      <c r="BR3346" s="497">
        <v>68</v>
      </c>
      <c r="BT3346" s="42"/>
    </row>
    <row r="3347" spans="1:72" x14ac:dyDescent="0.25">
      <c r="A3347" s="90">
        <v>36299</v>
      </c>
      <c r="B3347" s="20">
        <v>0.70833333333333337</v>
      </c>
      <c r="D3347">
        <v>51.980000000000004</v>
      </c>
      <c r="E3347" t="str">
        <f t="shared" ref="E3347:E3410" si="140">IF(COUNTIF($DI$18:$DI$22, WEEKDAY(A3347))=1, "WEEKDAY", IF(WEEKDAY(A3347) = 1, "SUNDAY", "SATURDAY"))</f>
        <v>WEEKDAY</v>
      </c>
      <c r="F3347" t="e">
        <f t="shared" si="139"/>
        <v>#N/A</v>
      </c>
      <c r="G3347" s="74">
        <v>31916</v>
      </c>
      <c r="H3347" s="77">
        <v>0.70833333333333337</v>
      </c>
      <c r="J3347">
        <v>55.94</v>
      </c>
      <c r="M3347" s="74">
        <v>34473</v>
      </c>
      <c r="N3347" s="77">
        <v>0.70833333333333337</v>
      </c>
      <c r="P3347">
        <v>47.84</v>
      </c>
      <c r="S3347" s="74">
        <v>36299</v>
      </c>
      <c r="T3347" s="77">
        <v>0.70833333333333337</v>
      </c>
      <c r="V3347">
        <v>62.96</v>
      </c>
      <c r="X3347" s="42"/>
      <c r="AB3347">
        <v>65</v>
      </c>
      <c r="AC3347">
        <v>71.960000000000008</v>
      </c>
      <c r="AE3347" s="74"/>
      <c r="AF3347" s="77"/>
      <c r="AH3347" s="497">
        <v>48.2</v>
      </c>
      <c r="AJ3347" s="42"/>
      <c r="AK3347" s="74"/>
      <c r="AL3347" s="77"/>
      <c r="AN3347" s="497">
        <v>57.019999999999996</v>
      </c>
      <c r="AP3347" s="42"/>
      <c r="AQ3347" s="74"/>
      <c r="AR3347" s="77"/>
      <c r="AT3347" s="497">
        <v>57.019999999999996</v>
      </c>
      <c r="AV3347" s="42"/>
      <c r="AW3347" s="74"/>
      <c r="AX3347" s="77"/>
      <c r="BA3347" s="497">
        <v>60.08</v>
      </c>
      <c r="BB3347" s="42"/>
      <c r="BC3347" s="74"/>
      <c r="BD3347" s="77"/>
      <c r="BF3347">
        <v>57.92</v>
      </c>
      <c r="BH3347" s="42"/>
      <c r="BI3347" s="74"/>
      <c r="BJ3347" s="77"/>
      <c r="BL3347" s="497">
        <v>51.980000000000004</v>
      </c>
      <c r="BN3347" s="42"/>
      <c r="BO3347" s="74"/>
      <c r="BP3347" s="77"/>
      <c r="BR3347" s="497">
        <v>66.02</v>
      </c>
      <c r="BT3347" s="42"/>
    </row>
    <row r="3348" spans="1:72" x14ac:dyDescent="0.25">
      <c r="A3348" s="90">
        <v>36299</v>
      </c>
      <c r="B3348" s="20">
        <v>0.75</v>
      </c>
      <c r="D3348">
        <v>51.08</v>
      </c>
      <c r="E3348" t="str">
        <f t="shared" si="140"/>
        <v>WEEKDAY</v>
      </c>
      <c r="F3348" t="e">
        <f t="shared" si="139"/>
        <v>#N/A</v>
      </c>
      <c r="G3348" s="74">
        <v>31916</v>
      </c>
      <c r="H3348" s="77">
        <v>0.75</v>
      </c>
      <c r="J3348">
        <v>55.94</v>
      </c>
      <c r="M3348" s="74">
        <v>34473</v>
      </c>
      <c r="N3348" s="77">
        <v>0.75</v>
      </c>
      <c r="P3348">
        <v>46.94</v>
      </c>
      <c r="S3348" s="74">
        <v>36299</v>
      </c>
      <c r="T3348" s="77">
        <v>0.75</v>
      </c>
      <c r="V3348">
        <v>64.94</v>
      </c>
      <c r="X3348" s="42"/>
      <c r="AB3348">
        <v>63.9</v>
      </c>
      <c r="AC3348">
        <v>69.98</v>
      </c>
      <c r="AE3348" s="74"/>
      <c r="AF3348" s="77"/>
      <c r="AH3348" s="497">
        <v>48.2</v>
      </c>
      <c r="AJ3348" s="42"/>
      <c r="AK3348" s="74"/>
      <c r="AL3348" s="77"/>
      <c r="AN3348" s="497">
        <v>57.019999999999996</v>
      </c>
      <c r="AP3348" s="42"/>
      <c r="AQ3348" s="74"/>
      <c r="AR3348" s="77"/>
      <c r="AT3348" s="497">
        <v>57.019999999999996</v>
      </c>
      <c r="AV3348" s="42"/>
      <c r="AW3348" s="74"/>
      <c r="AX3348" s="77"/>
      <c r="BA3348" s="497">
        <v>60.980000000000004</v>
      </c>
      <c r="BB3348" s="42"/>
      <c r="BC3348" s="74"/>
      <c r="BD3348" s="77"/>
      <c r="BF3348">
        <v>55.94</v>
      </c>
      <c r="BH3348" s="42"/>
      <c r="BI3348" s="74"/>
      <c r="BJ3348" s="77"/>
      <c r="BL3348" s="497">
        <v>51.08</v>
      </c>
      <c r="BN3348" s="42"/>
      <c r="BO3348" s="74"/>
      <c r="BP3348" s="77"/>
      <c r="BR3348" s="497">
        <v>64.039999999999992</v>
      </c>
      <c r="BT3348" s="42"/>
    </row>
    <row r="3349" spans="1:72" x14ac:dyDescent="0.25">
      <c r="A3349" s="90">
        <v>36299</v>
      </c>
      <c r="B3349" s="20">
        <v>0.79166666666666663</v>
      </c>
      <c r="D3349">
        <v>51.08</v>
      </c>
      <c r="E3349" t="str">
        <f t="shared" si="140"/>
        <v>WEEKDAY</v>
      </c>
      <c r="F3349" t="e">
        <f t="shared" si="139"/>
        <v>#N/A</v>
      </c>
      <c r="G3349" s="74">
        <v>31916</v>
      </c>
      <c r="H3349" s="77">
        <v>0.79166666666666663</v>
      </c>
      <c r="J3349">
        <v>55.94</v>
      </c>
      <c r="M3349" s="74">
        <v>34473</v>
      </c>
      <c r="N3349" s="77">
        <v>0.79166666666666663</v>
      </c>
      <c r="P3349">
        <v>46.94</v>
      </c>
      <c r="S3349" s="74">
        <v>36299</v>
      </c>
      <c r="T3349" s="77">
        <v>0.79166666666666663</v>
      </c>
      <c r="V3349">
        <v>64.039999999999992</v>
      </c>
      <c r="X3349" s="42"/>
      <c r="AB3349">
        <v>62.6</v>
      </c>
      <c r="AC3349">
        <v>66.02</v>
      </c>
      <c r="AE3349" s="74"/>
      <c r="AF3349" s="77"/>
      <c r="AH3349" s="497">
        <v>48.2</v>
      </c>
      <c r="AJ3349" s="42"/>
      <c r="AK3349" s="74"/>
      <c r="AL3349" s="77"/>
      <c r="AN3349" s="497">
        <v>57.019999999999996</v>
      </c>
      <c r="AP3349" s="42"/>
      <c r="AQ3349" s="74"/>
      <c r="AR3349" s="77"/>
      <c r="AT3349" s="497">
        <v>55.94</v>
      </c>
      <c r="AV3349" s="42"/>
      <c r="AW3349" s="74"/>
      <c r="AX3349" s="77"/>
      <c r="BA3349" s="497">
        <v>59</v>
      </c>
      <c r="BB3349" s="42"/>
      <c r="BC3349" s="74"/>
      <c r="BD3349" s="77"/>
      <c r="BF3349">
        <v>55.040000000000006</v>
      </c>
      <c r="BH3349" s="42"/>
      <c r="BI3349" s="74"/>
      <c r="BJ3349" s="77"/>
      <c r="BL3349" s="497">
        <v>50</v>
      </c>
      <c r="BN3349" s="42"/>
      <c r="BO3349" s="74"/>
      <c r="BP3349" s="77"/>
      <c r="BR3349" s="497">
        <v>62.06</v>
      </c>
      <c r="BT3349" s="42"/>
    </row>
    <row r="3350" spans="1:72" x14ac:dyDescent="0.25">
      <c r="A3350" s="90">
        <v>36299</v>
      </c>
      <c r="B3350" s="20">
        <v>0.83333333333333337</v>
      </c>
      <c r="D3350">
        <v>51.08</v>
      </c>
      <c r="E3350" t="str">
        <f t="shared" si="140"/>
        <v>WEEKDAY</v>
      </c>
      <c r="F3350" t="e">
        <f t="shared" si="139"/>
        <v>#N/A</v>
      </c>
      <c r="G3350" s="74">
        <v>31916</v>
      </c>
      <c r="H3350" s="77">
        <v>0.83333333333333337</v>
      </c>
      <c r="J3350">
        <v>55.94</v>
      </c>
      <c r="M3350" s="74">
        <v>34473</v>
      </c>
      <c r="N3350" s="77">
        <v>0.83333333333333337</v>
      </c>
      <c r="P3350">
        <v>45.86</v>
      </c>
      <c r="S3350" s="74">
        <v>36299</v>
      </c>
      <c r="T3350" s="77">
        <v>0.83333333333333337</v>
      </c>
      <c r="V3350">
        <v>62.06</v>
      </c>
      <c r="X3350" s="42"/>
      <c r="AB3350">
        <v>61.1</v>
      </c>
      <c r="AC3350">
        <v>64.94</v>
      </c>
      <c r="AE3350" s="74"/>
      <c r="AF3350" s="77"/>
      <c r="AH3350" s="497">
        <v>50</v>
      </c>
      <c r="AJ3350" s="42"/>
      <c r="AK3350" s="74"/>
      <c r="AL3350" s="77"/>
      <c r="AN3350" s="497">
        <v>55.94</v>
      </c>
      <c r="AP3350" s="42"/>
      <c r="AQ3350" s="74"/>
      <c r="AR3350" s="77"/>
      <c r="AT3350" s="497">
        <v>53.06</v>
      </c>
      <c r="AV3350" s="42"/>
      <c r="AW3350" s="74"/>
      <c r="AX3350" s="77"/>
      <c r="BA3350" s="497">
        <v>55.040000000000006</v>
      </c>
      <c r="BB3350" s="42"/>
      <c r="BC3350" s="74"/>
      <c r="BD3350" s="77"/>
      <c r="BF3350">
        <v>51.08</v>
      </c>
      <c r="BH3350" s="42"/>
      <c r="BI3350" s="74"/>
      <c r="BJ3350" s="77"/>
      <c r="BL3350" s="497">
        <v>50</v>
      </c>
      <c r="BN3350" s="42"/>
      <c r="BO3350" s="74"/>
      <c r="BP3350" s="77"/>
      <c r="BR3350" s="497">
        <v>60.08</v>
      </c>
      <c r="BT3350" s="42"/>
    </row>
    <row r="3351" spans="1:72" x14ac:dyDescent="0.25">
      <c r="A3351" s="90">
        <v>36299</v>
      </c>
      <c r="B3351" s="20">
        <v>0.875</v>
      </c>
      <c r="D3351">
        <v>50</v>
      </c>
      <c r="E3351" t="str">
        <f t="shared" si="140"/>
        <v>WEEKDAY</v>
      </c>
      <c r="F3351" t="e">
        <f t="shared" si="139"/>
        <v>#N/A</v>
      </c>
      <c r="G3351" s="74">
        <v>31916</v>
      </c>
      <c r="H3351" s="77">
        <v>0.875</v>
      </c>
      <c r="J3351">
        <v>55.94</v>
      </c>
      <c r="M3351" s="74">
        <v>34473</v>
      </c>
      <c r="N3351" s="77">
        <v>0.875</v>
      </c>
      <c r="P3351">
        <v>45.86</v>
      </c>
      <c r="S3351" s="74">
        <v>36299</v>
      </c>
      <c r="T3351" s="77">
        <v>0.875</v>
      </c>
      <c r="V3351">
        <v>60.980000000000004</v>
      </c>
      <c r="X3351" s="42"/>
      <c r="AB3351">
        <v>60.1</v>
      </c>
      <c r="AC3351">
        <v>62.96</v>
      </c>
      <c r="AE3351" s="74"/>
      <c r="AF3351" s="77"/>
      <c r="AH3351" s="497">
        <v>48.2</v>
      </c>
      <c r="AJ3351" s="42"/>
      <c r="AK3351" s="74"/>
      <c r="AL3351" s="77"/>
      <c r="AN3351" s="497">
        <v>55.94</v>
      </c>
      <c r="AP3351" s="42"/>
      <c r="AQ3351" s="74"/>
      <c r="AR3351" s="77"/>
      <c r="AT3351" s="497">
        <v>53.06</v>
      </c>
      <c r="AV3351" s="42"/>
      <c r="AW3351" s="74"/>
      <c r="AX3351" s="77"/>
      <c r="BA3351" s="497">
        <v>53.06</v>
      </c>
      <c r="BB3351" s="42"/>
      <c r="BC3351" s="74"/>
      <c r="BD3351" s="77"/>
      <c r="BF3351">
        <v>51.08</v>
      </c>
      <c r="BH3351" s="42"/>
      <c r="BI3351" s="74"/>
      <c r="BJ3351" s="77"/>
      <c r="BL3351" s="497">
        <v>50</v>
      </c>
      <c r="BN3351" s="42"/>
      <c r="BO3351" s="74"/>
      <c r="BP3351" s="77"/>
      <c r="BR3351" s="497">
        <v>55.94</v>
      </c>
      <c r="BT3351" s="42"/>
    </row>
    <row r="3352" spans="1:72" x14ac:dyDescent="0.25">
      <c r="A3352" s="90">
        <v>36299</v>
      </c>
      <c r="B3352" s="20">
        <v>0.91666666666666663</v>
      </c>
      <c r="D3352">
        <v>50</v>
      </c>
      <c r="E3352" t="str">
        <f t="shared" si="140"/>
        <v>WEEKDAY</v>
      </c>
      <c r="F3352" t="e">
        <f t="shared" si="139"/>
        <v>#N/A</v>
      </c>
      <c r="G3352" s="74">
        <v>31916</v>
      </c>
      <c r="H3352" s="77">
        <v>0.91666666666666663</v>
      </c>
      <c r="J3352">
        <v>55.94</v>
      </c>
      <c r="M3352" s="74">
        <v>34473</v>
      </c>
      <c r="N3352" s="77">
        <v>0.91666666666666663</v>
      </c>
      <c r="P3352">
        <v>45.86</v>
      </c>
      <c r="S3352" s="74">
        <v>36299</v>
      </c>
      <c r="T3352" s="77">
        <v>0.91666666666666663</v>
      </c>
      <c r="V3352">
        <v>60.980000000000004</v>
      </c>
      <c r="X3352" s="42"/>
      <c r="AB3352">
        <v>59.6</v>
      </c>
      <c r="AC3352">
        <v>64.039999999999992</v>
      </c>
      <c r="AE3352" s="74"/>
      <c r="AF3352" s="77"/>
      <c r="AH3352" s="497">
        <v>48.2</v>
      </c>
      <c r="AJ3352" s="42"/>
      <c r="AK3352" s="74"/>
      <c r="AL3352" s="77"/>
      <c r="AN3352" s="497">
        <v>55.94</v>
      </c>
      <c r="AP3352" s="42"/>
      <c r="AQ3352" s="74"/>
      <c r="AR3352" s="77"/>
      <c r="AT3352" s="497">
        <v>53.06</v>
      </c>
      <c r="AV3352" s="42"/>
      <c r="AW3352" s="74"/>
      <c r="AX3352" s="77"/>
      <c r="BA3352" s="497">
        <v>50</v>
      </c>
      <c r="BB3352" s="42"/>
      <c r="BC3352" s="74"/>
      <c r="BD3352" s="77"/>
      <c r="BF3352">
        <v>51.980000000000004</v>
      </c>
      <c r="BH3352" s="42"/>
      <c r="BI3352" s="74"/>
      <c r="BJ3352" s="77"/>
      <c r="BL3352" s="497">
        <v>51.08</v>
      </c>
      <c r="BN3352" s="42"/>
      <c r="BO3352" s="74"/>
      <c r="BP3352" s="77"/>
      <c r="BR3352" s="497">
        <v>53.06</v>
      </c>
      <c r="BT3352" s="42"/>
    </row>
    <row r="3353" spans="1:72" x14ac:dyDescent="0.25">
      <c r="A3353" s="90">
        <v>36299</v>
      </c>
      <c r="B3353" s="20">
        <v>0.95833333333333337</v>
      </c>
      <c r="D3353">
        <v>48.92</v>
      </c>
      <c r="E3353" t="str">
        <f t="shared" si="140"/>
        <v>WEEKDAY</v>
      </c>
      <c r="F3353" t="e">
        <f t="shared" si="139"/>
        <v>#N/A</v>
      </c>
      <c r="G3353" s="74">
        <v>31916</v>
      </c>
      <c r="H3353" s="77">
        <v>0.95833333333333337</v>
      </c>
      <c r="J3353">
        <v>55.040000000000006</v>
      </c>
      <c r="M3353" s="74">
        <v>34473</v>
      </c>
      <c r="N3353" s="77">
        <v>0.95833333333333337</v>
      </c>
      <c r="P3353">
        <v>46.04</v>
      </c>
      <c r="S3353" s="74">
        <v>36299</v>
      </c>
      <c r="T3353" s="77">
        <v>0.95833333333333337</v>
      </c>
      <c r="V3353">
        <v>60.980000000000004</v>
      </c>
      <c r="X3353" s="42"/>
      <c r="AB3353">
        <v>59</v>
      </c>
      <c r="AC3353">
        <v>59</v>
      </c>
      <c r="AE3353" s="74"/>
      <c r="AF3353" s="77"/>
      <c r="AH3353" s="497">
        <v>46.94</v>
      </c>
      <c r="AJ3353" s="42"/>
      <c r="AK3353" s="74"/>
      <c r="AL3353" s="77"/>
      <c r="AN3353" s="497">
        <v>55.040000000000006</v>
      </c>
      <c r="AP3353" s="42"/>
      <c r="AQ3353" s="74"/>
      <c r="AR3353" s="77"/>
      <c r="AT3353" s="497">
        <v>51.08</v>
      </c>
      <c r="AV3353" s="42"/>
      <c r="AW3353" s="74"/>
      <c r="AX3353" s="77"/>
      <c r="BA3353" s="497">
        <v>48.92</v>
      </c>
      <c r="BB3353" s="42"/>
      <c r="BC3353" s="74"/>
      <c r="BD3353" s="77"/>
      <c r="BF3353">
        <v>50</v>
      </c>
      <c r="BH3353" s="42"/>
      <c r="BI3353" s="74"/>
      <c r="BJ3353" s="77"/>
      <c r="BL3353" s="497">
        <v>51.08</v>
      </c>
      <c r="BN3353" s="42"/>
      <c r="BO3353" s="74"/>
      <c r="BP3353" s="77"/>
      <c r="BR3353" s="497">
        <v>51.08</v>
      </c>
      <c r="BT3353" s="42"/>
    </row>
    <row r="3354" spans="1:72" x14ac:dyDescent="0.25">
      <c r="A3354" s="90">
        <v>36299</v>
      </c>
      <c r="B3354" s="20">
        <v>1</v>
      </c>
      <c r="D3354">
        <v>48.92</v>
      </c>
      <c r="E3354" t="str">
        <f t="shared" si="140"/>
        <v>WEEKDAY</v>
      </c>
      <c r="F3354" t="e">
        <f t="shared" si="139"/>
        <v>#N/A</v>
      </c>
      <c r="G3354" s="74">
        <v>31916</v>
      </c>
      <c r="H3354" s="77">
        <v>1</v>
      </c>
      <c r="J3354">
        <v>55.040000000000006</v>
      </c>
      <c r="M3354" s="74">
        <v>34473</v>
      </c>
      <c r="N3354" s="80">
        <v>1</v>
      </c>
      <c r="P3354">
        <v>45.86</v>
      </c>
      <c r="S3354" s="74">
        <v>36299</v>
      </c>
      <c r="T3354" s="80">
        <v>1</v>
      </c>
      <c r="V3354">
        <v>60.08</v>
      </c>
      <c r="X3354" s="42"/>
      <c r="AB3354">
        <v>58.5</v>
      </c>
      <c r="AC3354">
        <v>55.94</v>
      </c>
      <c r="AE3354" s="74"/>
      <c r="AF3354" s="80"/>
      <c r="AH3354" s="497">
        <v>45.68</v>
      </c>
      <c r="AJ3354" s="42"/>
      <c r="AK3354" s="74"/>
      <c r="AL3354" s="80"/>
      <c r="AN3354" s="497">
        <v>55.040000000000006</v>
      </c>
      <c r="AP3354" s="42"/>
      <c r="AQ3354" s="74"/>
      <c r="AR3354" s="80"/>
      <c r="AT3354" s="497">
        <v>50</v>
      </c>
      <c r="AV3354" s="42"/>
      <c r="AW3354" s="74"/>
      <c r="AX3354" s="80"/>
      <c r="BA3354" s="497">
        <v>48.019999999999996</v>
      </c>
      <c r="BB3354" s="42"/>
      <c r="BC3354" s="74"/>
      <c r="BD3354" s="80"/>
      <c r="BF3354">
        <v>48.92</v>
      </c>
      <c r="BH3354" s="42"/>
      <c r="BI3354" s="74"/>
      <c r="BJ3354" s="80"/>
      <c r="BL3354" s="497">
        <v>51.08</v>
      </c>
      <c r="BN3354" s="42"/>
      <c r="BO3354" s="74"/>
      <c r="BP3354" s="80"/>
      <c r="BR3354" s="497">
        <v>51.08</v>
      </c>
      <c r="BT3354" s="42"/>
    </row>
    <row r="3355" spans="1:72" x14ac:dyDescent="0.25">
      <c r="A3355" s="90">
        <v>36300</v>
      </c>
      <c r="B3355" s="20">
        <v>4.1666666666666664E-2</v>
      </c>
      <c r="D3355">
        <v>48.92</v>
      </c>
      <c r="E3355" t="str">
        <f t="shared" si="140"/>
        <v>WEEKDAY</v>
      </c>
      <c r="F3355" t="e">
        <f t="shared" si="139"/>
        <v>#N/A</v>
      </c>
      <c r="G3355" s="74">
        <v>31917</v>
      </c>
      <c r="H3355" s="77">
        <v>4.1666666666666664E-2</v>
      </c>
      <c r="J3355">
        <v>55.040000000000006</v>
      </c>
      <c r="M3355" s="74">
        <v>34474</v>
      </c>
      <c r="N3355" s="77">
        <v>4.1666666666666664E-2</v>
      </c>
      <c r="P3355">
        <v>44.96</v>
      </c>
      <c r="S3355" s="74">
        <v>36300</v>
      </c>
      <c r="T3355" s="77">
        <v>4.1666666666666664E-2</v>
      </c>
      <c r="V3355">
        <v>60.08</v>
      </c>
      <c r="X3355" s="42"/>
      <c r="AB3355">
        <v>58</v>
      </c>
      <c r="AC3355">
        <v>55.040000000000006</v>
      </c>
      <c r="AE3355" s="74"/>
      <c r="AF3355" s="77"/>
      <c r="AH3355" s="497">
        <v>44.6</v>
      </c>
      <c r="AJ3355" s="42"/>
      <c r="AK3355" s="74"/>
      <c r="AL3355" s="77"/>
      <c r="AN3355" s="497">
        <v>55.040000000000006</v>
      </c>
      <c r="AP3355" s="42"/>
      <c r="AQ3355" s="74"/>
      <c r="AR3355" s="77"/>
      <c r="AT3355" s="497">
        <v>51.08</v>
      </c>
      <c r="AV3355" s="42"/>
      <c r="AW3355" s="74"/>
      <c r="AX3355" s="77"/>
      <c r="BA3355" s="497">
        <v>62.96</v>
      </c>
      <c r="BB3355" s="42"/>
      <c r="BC3355" s="74"/>
      <c r="BD3355" s="77"/>
      <c r="BF3355">
        <v>48.92</v>
      </c>
      <c r="BH3355" s="42"/>
      <c r="BI3355" s="74"/>
      <c r="BJ3355" s="77"/>
      <c r="BL3355" s="497">
        <v>51.08</v>
      </c>
      <c r="BN3355" s="42"/>
      <c r="BO3355" s="74"/>
      <c r="BP3355" s="77"/>
      <c r="BR3355" s="497">
        <v>50</v>
      </c>
      <c r="BT3355" s="42"/>
    </row>
    <row r="3356" spans="1:72" x14ac:dyDescent="0.25">
      <c r="A3356" s="90">
        <v>36300</v>
      </c>
      <c r="B3356" s="20">
        <v>8.3333333333333329E-2</v>
      </c>
      <c r="D3356">
        <v>48.019999999999996</v>
      </c>
      <c r="E3356" t="str">
        <f t="shared" si="140"/>
        <v>WEEKDAY</v>
      </c>
      <c r="F3356" t="e">
        <f t="shared" si="139"/>
        <v>#N/A</v>
      </c>
      <c r="G3356" s="74">
        <v>31917</v>
      </c>
      <c r="H3356" s="77">
        <v>8.3333333333333329E-2</v>
      </c>
      <c r="J3356">
        <v>53.96</v>
      </c>
      <c r="M3356" s="74">
        <v>34474</v>
      </c>
      <c r="N3356" s="77">
        <v>8.3333333333333329E-2</v>
      </c>
      <c r="P3356">
        <v>45.86</v>
      </c>
      <c r="S3356" s="74">
        <v>36300</v>
      </c>
      <c r="T3356" s="77">
        <v>8.3333333333333329E-2</v>
      </c>
      <c r="V3356">
        <v>59</v>
      </c>
      <c r="X3356" s="42"/>
      <c r="AB3356">
        <v>57.4</v>
      </c>
      <c r="AC3356">
        <v>53.06</v>
      </c>
      <c r="AE3356" s="74"/>
      <c r="AF3356" s="77"/>
      <c r="AH3356" s="497">
        <v>44.6</v>
      </c>
      <c r="AJ3356" s="42"/>
      <c r="AK3356" s="74"/>
      <c r="AL3356" s="77"/>
      <c r="AN3356" s="497">
        <v>55.040000000000006</v>
      </c>
      <c r="AP3356" s="42"/>
      <c r="AQ3356" s="74"/>
      <c r="AR3356" s="77"/>
      <c r="AT3356" s="497">
        <v>50</v>
      </c>
      <c r="AV3356" s="42"/>
      <c r="AW3356" s="74"/>
      <c r="AX3356" s="77"/>
      <c r="BA3356" s="497">
        <v>64.94</v>
      </c>
      <c r="BB3356" s="42"/>
      <c r="BC3356" s="74"/>
      <c r="BD3356" s="77"/>
      <c r="BF3356">
        <v>48.019999999999996</v>
      </c>
      <c r="BH3356" s="42"/>
      <c r="BI3356" s="74"/>
      <c r="BJ3356" s="77"/>
      <c r="BL3356" s="497">
        <v>48.019999999999996</v>
      </c>
      <c r="BN3356" s="42"/>
      <c r="BO3356" s="74"/>
      <c r="BP3356" s="77"/>
      <c r="BR3356" s="497">
        <v>48.92</v>
      </c>
      <c r="BT3356" s="42"/>
    </row>
    <row r="3357" spans="1:72" x14ac:dyDescent="0.25">
      <c r="A3357" s="90">
        <v>36300</v>
      </c>
      <c r="B3357" s="20">
        <v>0.125</v>
      </c>
      <c r="D3357">
        <v>46.94</v>
      </c>
      <c r="E3357" t="str">
        <f t="shared" si="140"/>
        <v>WEEKDAY</v>
      </c>
      <c r="F3357" t="e">
        <f t="shared" si="139"/>
        <v>#N/A</v>
      </c>
      <c r="G3357" s="74">
        <v>31917</v>
      </c>
      <c r="H3357" s="77">
        <v>0.125</v>
      </c>
      <c r="J3357">
        <v>53.96</v>
      </c>
      <c r="M3357" s="74">
        <v>34474</v>
      </c>
      <c r="N3357" s="77">
        <v>0.125</v>
      </c>
      <c r="P3357">
        <v>44.96</v>
      </c>
      <c r="S3357" s="74">
        <v>36300</v>
      </c>
      <c r="T3357" s="77">
        <v>0.125</v>
      </c>
      <c r="V3357">
        <v>57.019999999999996</v>
      </c>
      <c r="X3357" s="42"/>
      <c r="AB3357">
        <v>56.8</v>
      </c>
      <c r="AC3357">
        <v>51.980000000000004</v>
      </c>
      <c r="AE3357" s="74"/>
      <c r="AF3357" s="77"/>
      <c r="AH3357" s="497">
        <v>43.7</v>
      </c>
      <c r="AJ3357" s="42"/>
      <c r="AK3357" s="74"/>
      <c r="AL3357" s="77"/>
      <c r="AN3357" s="497">
        <v>53.96</v>
      </c>
      <c r="AP3357" s="42"/>
      <c r="AQ3357" s="74"/>
      <c r="AR3357" s="77"/>
      <c r="AT3357" s="497">
        <v>51.08</v>
      </c>
      <c r="AV3357" s="42"/>
      <c r="AW3357" s="74"/>
      <c r="AX3357" s="77"/>
      <c r="BA3357" s="497">
        <v>64.94</v>
      </c>
      <c r="BB3357" s="42"/>
      <c r="BC3357" s="74"/>
      <c r="BD3357" s="77"/>
      <c r="BF3357">
        <v>44.06</v>
      </c>
      <c r="BH3357" s="42"/>
      <c r="BI3357" s="74"/>
      <c r="BJ3357" s="77"/>
      <c r="BL3357" s="497">
        <v>46.94</v>
      </c>
      <c r="BN3357" s="42"/>
      <c r="BO3357" s="74"/>
      <c r="BP3357" s="77"/>
      <c r="BR3357" s="497">
        <v>46.94</v>
      </c>
      <c r="BT3357" s="42"/>
    </row>
    <row r="3358" spans="1:72" x14ac:dyDescent="0.25">
      <c r="A3358" s="90">
        <v>36300</v>
      </c>
      <c r="B3358" s="20">
        <v>0.16666666666666666</v>
      </c>
      <c r="D3358">
        <v>48.019999999999996</v>
      </c>
      <c r="E3358" t="str">
        <f t="shared" si="140"/>
        <v>WEEKDAY</v>
      </c>
      <c r="F3358" t="e">
        <f t="shared" si="139"/>
        <v>#N/A</v>
      </c>
      <c r="G3358" s="74">
        <v>31917</v>
      </c>
      <c r="H3358" s="77">
        <v>0.16666666666666666</v>
      </c>
      <c r="J3358">
        <v>53.06</v>
      </c>
      <c r="M3358" s="74">
        <v>34474</v>
      </c>
      <c r="N3358" s="77">
        <v>0.16666666666666666</v>
      </c>
      <c r="P3358">
        <v>44.96</v>
      </c>
      <c r="S3358" s="74">
        <v>36300</v>
      </c>
      <c r="T3358" s="77">
        <v>0.16666666666666666</v>
      </c>
      <c r="V3358">
        <v>55.94</v>
      </c>
      <c r="X3358" s="42"/>
      <c r="AB3358">
        <v>56.3</v>
      </c>
      <c r="AC3358">
        <v>51.08</v>
      </c>
      <c r="AE3358" s="74"/>
      <c r="AF3358" s="77"/>
      <c r="AH3358" s="497">
        <v>42.8</v>
      </c>
      <c r="AJ3358" s="42"/>
      <c r="AK3358" s="74"/>
      <c r="AL3358" s="77"/>
      <c r="AN3358" s="497">
        <v>53.96</v>
      </c>
      <c r="AP3358" s="42"/>
      <c r="AQ3358" s="74"/>
      <c r="AR3358" s="77"/>
      <c r="AT3358" s="497">
        <v>53.06</v>
      </c>
      <c r="AV3358" s="42"/>
      <c r="AW3358" s="74"/>
      <c r="AX3358" s="77"/>
      <c r="BA3358" s="497">
        <v>64.94</v>
      </c>
      <c r="BB3358" s="42"/>
      <c r="BC3358" s="74"/>
      <c r="BD3358" s="77"/>
      <c r="BF3358">
        <v>44.96</v>
      </c>
      <c r="BH3358" s="42"/>
      <c r="BI3358" s="74"/>
      <c r="BJ3358" s="77"/>
      <c r="BL3358" s="497">
        <v>46.94</v>
      </c>
      <c r="BN3358" s="42"/>
      <c r="BO3358" s="74"/>
      <c r="BP3358" s="77"/>
      <c r="BR3358" s="497">
        <v>44.96</v>
      </c>
      <c r="BT3358" s="42"/>
    </row>
    <row r="3359" spans="1:72" x14ac:dyDescent="0.25">
      <c r="A3359" s="90">
        <v>36300</v>
      </c>
      <c r="B3359" s="20">
        <v>0.20833333333333334</v>
      </c>
      <c r="D3359">
        <v>48.92</v>
      </c>
      <c r="E3359" t="str">
        <f t="shared" si="140"/>
        <v>WEEKDAY</v>
      </c>
      <c r="F3359" t="e">
        <f t="shared" si="139"/>
        <v>#N/A</v>
      </c>
      <c r="G3359" s="74">
        <v>31917</v>
      </c>
      <c r="H3359" s="77">
        <v>0.20833333333333334</v>
      </c>
      <c r="J3359">
        <v>53.06</v>
      </c>
      <c r="M3359" s="74">
        <v>34474</v>
      </c>
      <c r="N3359" s="77">
        <v>0.20833333333333334</v>
      </c>
      <c r="P3359">
        <v>43.879999999999995</v>
      </c>
      <c r="S3359" s="74">
        <v>36300</v>
      </c>
      <c r="T3359" s="77">
        <v>0.20833333333333334</v>
      </c>
      <c r="V3359">
        <v>55.94</v>
      </c>
      <c r="X3359" s="42"/>
      <c r="AB3359">
        <v>55.9</v>
      </c>
      <c r="AC3359">
        <v>50</v>
      </c>
      <c r="AE3359" s="74"/>
      <c r="AF3359" s="77"/>
      <c r="AH3359" s="497">
        <v>42.8</v>
      </c>
      <c r="AJ3359" s="42"/>
      <c r="AK3359" s="74"/>
      <c r="AL3359" s="77"/>
      <c r="AN3359" s="497">
        <v>53.96</v>
      </c>
      <c r="AP3359" s="42"/>
      <c r="AQ3359" s="74"/>
      <c r="AR3359" s="77"/>
      <c r="AT3359" s="497">
        <v>53.06</v>
      </c>
      <c r="AV3359" s="42"/>
      <c r="AW3359" s="74"/>
      <c r="AX3359" s="77"/>
      <c r="BA3359" s="497">
        <v>62.06</v>
      </c>
      <c r="BB3359" s="42"/>
      <c r="BC3359" s="74"/>
      <c r="BD3359" s="77"/>
      <c r="BF3359">
        <v>44.06</v>
      </c>
      <c r="BH3359" s="42"/>
      <c r="BI3359" s="74"/>
      <c r="BJ3359" s="77"/>
      <c r="BL3359" s="497">
        <v>48.019999999999996</v>
      </c>
      <c r="BN3359" s="42"/>
      <c r="BO3359" s="74"/>
      <c r="BP3359" s="77"/>
      <c r="BR3359" s="497">
        <v>44.06</v>
      </c>
      <c r="BT3359" s="42"/>
    </row>
    <row r="3360" spans="1:72" x14ac:dyDescent="0.25">
      <c r="A3360" s="90">
        <v>36300</v>
      </c>
      <c r="B3360" s="20">
        <v>0.25</v>
      </c>
      <c r="D3360">
        <v>48.019999999999996</v>
      </c>
      <c r="E3360" t="str">
        <f t="shared" si="140"/>
        <v>WEEKDAY</v>
      </c>
      <c r="F3360" t="e">
        <f t="shared" si="139"/>
        <v>#N/A</v>
      </c>
      <c r="G3360" s="74">
        <v>31917</v>
      </c>
      <c r="H3360" s="77">
        <v>0.25</v>
      </c>
      <c r="J3360">
        <v>51.980000000000004</v>
      </c>
      <c r="M3360" s="74">
        <v>34474</v>
      </c>
      <c r="N3360" s="77">
        <v>0.25</v>
      </c>
      <c r="P3360">
        <v>43.879999999999995</v>
      </c>
      <c r="S3360" s="74">
        <v>36300</v>
      </c>
      <c r="T3360" s="77">
        <v>0.25</v>
      </c>
      <c r="V3360">
        <v>55.94</v>
      </c>
      <c r="X3360" s="42"/>
      <c r="AB3360">
        <v>55.8</v>
      </c>
      <c r="AC3360">
        <v>51.08</v>
      </c>
      <c r="AE3360" s="74"/>
      <c r="AF3360" s="77"/>
      <c r="AH3360" s="497">
        <v>44.6</v>
      </c>
      <c r="AJ3360" s="42"/>
      <c r="AK3360" s="74"/>
      <c r="AL3360" s="77"/>
      <c r="AN3360" s="497">
        <v>55.040000000000006</v>
      </c>
      <c r="AP3360" s="42"/>
      <c r="AQ3360" s="74"/>
      <c r="AR3360" s="77"/>
      <c r="AT3360" s="497">
        <v>55.040000000000006</v>
      </c>
      <c r="AV3360" s="42"/>
      <c r="AW3360" s="74"/>
      <c r="AX3360" s="77"/>
      <c r="BA3360" s="497">
        <v>62.96</v>
      </c>
      <c r="BB3360" s="42"/>
      <c r="BC3360" s="74"/>
      <c r="BD3360" s="77"/>
      <c r="BF3360">
        <v>44.96</v>
      </c>
      <c r="BH3360" s="42"/>
      <c r="BI3360" s="74"/>
      <c r="BJ3360" s="77"/>
      <c r="BL3360" s="497">
        <v>48.019999999999996</v>
      </c>
      <c r="BN3360" s="42"/>
      <c r="BO3360" s="74"/>
      <c r="BP3360" s="77"/>
      <c r="BR3360" s="497">
        <v>46.04</v>
      </c>
      <c r="BT3360" s="42"/>
    </row>
    <row r="3361" spans="1:72" x14ac:dyDescent="0.25">
      <c r="A3361" s="90">
        <v>36300</v>
      </c>
      <c r="B3361" s="20">
        <v>0.29166666666666669</v>
      </c>
      <c r="D3361">
        <v>48.019999999999996</v>
      </c>
      <c r="E3361" t="str">
        <f t="shared" si="140"/>
        <v>WEEKDAY</v>
      </c>
      <c r="F3361" t="e">
        <f t="shared" si="139"/>
        <v>#N/A</v>
      </c>
      <c r="G3361" s="74">
        <v>31917</v>
      </c>
      <c r="H3361" s="77">
        <v>0.29166666666666669</v>
      </c>
      <c r="J3361">
        <v>53.96</v>
      </c>
      <c r="M3361" s="74">
        <v>34474</v>
      </c>
      <c r="N3361" s="77">
        <v>0.29166666666666669</v>
      </c>
      <c r="P3361">
        <v>44.96</v>
      </c>
      <c r="S3361" s="74">
        <v>36300</v>
      </c>
      <c r="T3361" s="77">
        <v>0.29166666666666669</v>
      </c>
      <c r="V3361">
        <v>57.019999999999996</v>
      </c>
      <c r="X3361" s="42"/>
      <c r="AB3361">
        <v>57.2</v>
      </c>
      <c r="AC3361">
        <v>53.96</v>
      </c>
      <c r="AE3361" s="74"/>
      <c r="AF3361" s="77"/>
      <c r="AH3361" s="497">
        <v>46.4</v>
      </c>
      <c r="AJ3361" s="42"/>
      <c r="AK3361" s="74"/>
      <c r="AL3361" s="77"/>
      <c r="AN3361" s="497">
        <v>55.94</v>
      </c>
      <c r="AP3361" s="42"/>
      <c r="AQ3361" s="74"/>
      <c r="AR3361" s="77"/>
      <c r="AT3361" s="497">
        <v>57.92</v>
      </c>
      <c r="AV3361" s="42"/>
      <c r="AW3361" s="74"/>
      <c r="AX3361" s="77"/>
      <c r="BA3361" s="497">
        <v>66.92</v>
      </c>
      <c r="BB3361" s="42"/>
      <c r="BC3361" s="74"/>
      <c r="BD3361" s="77"/>
      <c r="BF3361">
        <v>50</v>
      </c>
      <c r="BH3361" s="42"/>
      <c r="BI3361" s="74"/>
      <c r="BJ3361" s="77"/>
      <c r="BL3361" s="497">
        <v>48.019999999999996</v>
      </c>
      <c r="BN3361" s="42"/>
      <c r="BO3361" s="74"/>
      <c r="BP3361" s="77"/>
      <c r="BR3361" s="497">
        <v>50</v>
      </c>
      <c r="BT3361" s="42"/>
    </row>
    <row r="3362" spans="1:72" x14ac:dyDescent="0.25">
      <c r="A3362" s="90">
        <v>36300</v>
      </c>
      <c r="B3362" s="20">
        <v>0.33333333333333331</v>
      </c>
      <c r="D3362">
        <v>48.92</v>
      </c>
      <c r="E3362" t="str">
        <f t="shared" si="140"/>
        <v>WEEKDAY</v>
      </c>
      <c r="F3362" t="e">
        <f t="shared" si="139"/>
        <v>#N/A</v>
      </c>
      <c r="G3362" s="74">
        <v>31917</v>
      </c>
      <c r="H3362" s="77">
        <v>0.33333333333333331</v>
      </c>
      <c r="J3362">
        <v>53.06</v>
      </c>
      <c r="M3362" s="74">
        <v>34474</v>
      </c>
      <c r="N3362" s="77">
        <v>0.33333333333333331</v>
      </c>
      <c r="P3362">
        <v>46.94</v>
      </c>
      <c r="S3362" s="74">
        <v>36300</v>
      </c>
      <c r="T3362" s="77">
        <v>0.33333333333333331</v>
      </c>
      <c r="V3362">
        <v>59</v>
      </c>
      <c r="X3362" s="42"/>
      <c r="AB3362">
        <v>59</v>
      </c>
      <c r="AC3362">
        <v>55.94</v>
      </c>
      <c r="AE3362" s="74"/>
      <c r="AF3362" s="77"/>
      <c r="AH3362" s="497">
        <v>46.4</v>
      </c>
      <c r="AJ3362" s="42"/>
      <c r="AK3362" s="74"/>
      <c r="AL3362" s="77"/>
      <c r="AN3362" s="497">
        <v>57.019999999999996</v>
      </c>
      <c r="AP3362" s="42"/>
      <c r="AQ3362" s="74"/>
      <c r="AR3362" s="77"/>
      <c r="AT3362" s="497">
        <v>62.96</v>
      </c>
      <c r="AV3362" s="42"/>
      <c r="AW3362" s="74"/>
      <c r="AX3362" s="77"/>
      <c r="BA3362" s="497">
        <v>71.06</v>
      </c>
      <c r="BB3362" s="42"/>
      <c r="BC3362" s="74"/>
      <c r="BD3362" s="77"/>
      <c r="BF3362">
        <v>53.06</v>
      </c>
      <c r="BH3362" s="42"/>
      <c r="BI3362" s="74"/>
      <c r="BJ3362" s="77"/>
      <c r="BL3362" s="497">
        <v>48.019999999999996</v>
      </c>
      <c r="BN3362" s="42"/>
      <c r="BO3362" s="74"/>
      <c r="BP3362" s="77"/>
      <c r="BR3362" s="497">
        <v>55.94</v>
      </c>
      <c r="BT3362" s="42"/>
    </row>
    <row r="3363" spans="1:72" x14ac:dyDescent="0.25">
      <c r="A3363" s="90">
        <v>36300</v>
      </c>
      <c r="B3363" s="20">
        <v>0.375</v>
      </c>
      <c r="D3363">
        <v>51.08</v>
      </c>
      <c r="E3363" t="str">
        <f t="shared" si="140"/>
        <v>WEEKDAY</v>
      </c>
      <c r="F3363" t="e">
        <f t="shared" si="139"/>
        <v>#N/A</v>
      </c>
      <c r="G3363" s="74">
        <v>31917</v>
      </c>
      <c r="H3363" s="77">
        <v>0.375</v>
      </c>
      <c r="J3363">
        <v>53.06</v>
      </c>
      <c r="M3363" s="74">
        <v>34474</v>
      </c>
      <c r="N3363" s="77">
        <v>0.375</v>
      </c>
      <c r="P3363">
        <v>50</v>
      </c>
      <c r="S3363" s="74">
        <v>36300</v>
      </c>
      <c r="T3363" s="77">
        <v>0.375</v>
      </c>
      <c r="V3363">
        <v>62.06</v>
      </c>
      <c r="X3363" s="42"/>
      <c r="AB3363">
        <v>61</v>
      </c>
      <c r="AC3363">
        <v>57.92</v>
      </c>
      <c r="AE3363" s="74"/>
      <c r="AF3363" s="77"/>
      <c r="AH3363" s="497">
        <v>46.4</v>
      </c>
      <c r="AJ3363" s="42"/>
      <c r="AK3363" s="74"/>
      <c r="AL3363" s="77"/>
      <c r="AN3363" s="497">
        <v>57.92</v>
      </c>
      <c r="AP3363" s="42"/>
      <c r="AQ3363" s="74"/>
      <c r="AR3363" s="77"/>
      <c r="AT3363" s="497">
        <v>66.92</v>
      </c>
      <c r="AV3363" s="42"/>
      <c r="AW3363" s="74"/>
      <c r="AX3363" s="77"/>
      <c r="BA3363" s="497">
        <v>73.039999999999992</v>
      </c>
      <c r="BB3363" s="42"/>
      <c r="BC3363" s="74"/>
      <c r="BD3363" s="77"/>
      <c r="BF3363">
        <v>57.92</v>
      </c>
      <c r="BH3363" s="42"/>
      <c r="BI3363" s="74"/>
      <c r="BJ3363" s="77"/>
      <c r="BL3363" s="497">
        <v>48.019999999999996</v>
      </c>
      <c r="BN3363" s="42"/>
      <c r="BO3363" s="74"/>
      <c r="BP3363" s="77"/>
      <c r="BR3363" s="497">
        <v>57.019999999999996</v>
      </c>
      <c r="BT3363" s="42"/>
    </row>
    <row r="3364" spans="1:72" x14ac:dyDescent="0.25">
      <c r="A3364" s="90">
        <v>36300</v>
      </c>
      <c r="B3364" s="20">
        <v>0.41666666666666669</v>
      </c>
      <c r="D3364">
        <v>51.980000000000004</v>
      </c>
      <c r="E3364" t="str">
        <f t="shared" si="140"/>
        <v>WEEKDAY</v>
      </c>
      <c r="F3364" t="e">
        <f t="shared" si="139"/>
        <v>#N/A</v>
      </c>
      <c r="G3364" s="74">
        <v>31917</v>
      </c>
      <c r="H3364" s="77">
        <v>0.41666666666666669</v>
      </c>
      <c r="J3364">
        <v>53.06</v>
      </c>
      <c r="M3364" s="74">
        <v>34474</v>
      </c>
      <c r="N3364" s="77">
        <v>0.41666666666666669</v>
      </c>
      <c r="P3364">
        <v>50</v>
      </c>
      <c r="S3364" s="74">
        <v>36300</v>
      </c>
      <c r="T3364" s="77">
        <v>0.41666666666666669</v>
      </c>
      <c r="V3364">
        <v>64.94</v>
      </c>
      <c r="X3364" s="42"/>
      <c r="AB3364">
        <v>62.8</v>
      </c>
      <c r="AC3364">
        <v>57.92</v>
      </c>
      <c r="AE3364" s="74"/>
      <c r="AF3364" s="77"/>
      <c r="AH3364" s="497">
        <v>46.4</v>
      </c>
      <c r="AJ3364" s="42"/>
      <c r="AK3364" s="74"/>
      <c r="AL3364" s="77"/>
      <c r="AN3364" s="497">
        <v>59</v>
      </c>
      <c r="AP3364" s="42"/>
      <c r="AQ3364" s="74"/>
      <c r="AR3364" s="77"/>
      <c r="AT3364" s="497">
        <v>71.960000000000008</v>
      </c>
      <c r="AV3364" s="42"/>
      <c r="AW3364" s="74"/>
      <c r="AX3364" s="77"/>
      <c r="BA3364" s="497">
        <v>75.92</v>
      </c>
      <c r="BB3364" s="42"/>
      <c r="BC3364" s="74"/>
      <c r="BD3364" s="77"/>
      <c r="BF3364">
        <v>60.980000000000004</v>
      </c>
      <c r="BH3364" s="42"/>
      <c r="BI3364" s="74"/>
      <c r="BJ3364" s="77"/>
      <c r="BL3364" s="497">
        <v>48.92</v>
      </c>
      <c r="BN3364" s="42"/>
      <c r="BO3364" s="74"/>
      <c r="BP3364" s="77"/>
      <c r="BR3364" s="497">
        <v>60.08</v>
      </c>
      <c r="BT3364" s="42"/>
    </row>
    <row r="3365" spans="1:72" x14ac:dyDescent="0.25">
      <c r="A3365" s="90">
        <v>36300</v>
      </c>
      <c r="B3365" s="20">
        <v>0.45833333333333331</v>
      </c>
      <c r="D3365">
        <v>53.96</v>
      </c>
      <c r="E3365" t="str">
        <f t="shared" si="140"/>
        <v>WEEKDAY</v>
      </c>
      <c r="F3365" t="e">
        <f t="shared" si="139"/>
        <v>#N/A</v>
      </c>
      <c r="G3365" s="74">
        <v>31917</v>
      </c>
      <c r="H3365" s="77">
        <v>0.45833333333333331</v>
      </c>
      <c r="J3365">
        <v>53.06</v>
      </c>
      <c r="M3365" s="74">
        <v>34474</v>
      </c>
      <c r="N3365" s="77">
        <v>0.45833333333333331</v>
      </c>
      <c r="P3365">
        <v>52.879999999999995</v>
      </c>
      <c r="S3365" s="74">
        <v>36300</v>
      </c>
      <c r="T3365" s="77">
        <v>0.45833333333333331</v>
      </c>
      <c r="V3365">
        <v>68</v>
      </c>
      <c r="X3365" s="42"/>
      <c r="AB3365">
        <v>64.5</v>
      </c>
      <c r="AC3365">
        <v>59</v>
      </c>
      <c r="AE3365" s="74"/>
      <c r="AF3365" s="77"/>
      <c r="AH3365" s="497">
        <v>46.4</v>
      </c>
      <c r="AJ3365" s="42"/>
      <c r="AK3365" s="74"/>
      <c r="AL3365" s="77"/>
      <c r="AN3365" s="497">
        <v>62.06</v>
      </c>
      <c r="AP3365" s="42"/>
      <c r="AQ3365" s="74"/>
      <c r="AR3365" s="77"/>
      <c r="AT3365" s="497">
        <v>75.02</v>
      </c>
      <c r="AV3365" s="42"/>
      <c r="AW3365" s="74"/>
      <c r="AX3365" s="77"/>
      <c r="BA3365" s="497">
        <v>78.080000000000013</v>
      </c>
      <c r="BB3365" s="42"/>
      <c r="BC3365" s="74"/>
      <c r="BD3365" s="77"/>
      <c r="BF3365">
        <v>60.980000000000004</v>
      </c>
      <c r="BH3365" s="42"/>
      <c r="BI3365" s="74"/>
      <c r="BJ3365" s="77"/>
      <c r="BL3365" s="497">
        <v>50</v>
      </c>
      <c r="BN3365" s="42"/>
      <c r="BO3365" s="74"/>
      <c r="BP3365" s="77"/>
      <c r="BR3365" s="497">
        <v>60.980000000000004</v>
      </c>
      <c r="BT3365" s="42"/>
    </row>
    <row r="3366" spans="1:72" x14ac:dyDescent="0.25">
      <c r="A3366" s="90">
        <v>36300</v>
      </c>
      <c r="B3366" s="20">
        <v>0.5</v>
      </c>
      <c r="D3366">
        <v>55.040000000000006</v>
      </c>
      <c r="E3366" t="str">
        <f t="shared" si="140"/>
        <v>WEEKDAY</v>
      </c>
      <c r="F3366" t="e">
        <f t="shared" si="139"/>
        <v>#N/A</v>
      </c>
      <c r="G3366" s="74">
        <v>31917</v>
      </c>
      <c r="H3366" s="77">
        <v>0.5</v>
      </c>
      <c r="J3366">
        <v>51.980000000000004</v>
      </c>
      <c r="M3366" s="74">
        <v>34474</v>
      </c>
      <c r="N3366" s="77">
        <v>0.5</v>
      </c>
      <c r="P3366">
        <v>52.879999999999995</v>
      </c>
      <c r="S3366" s="74">
        <v>36300</v>
      </c>
      <c r="T3366" s="77">
        <v>0.5</v>
      </c>
      <c r="V3366">
        <v>71.06</v>
      </c>
      <c r="X3366" s="42"/>
      <c r="AB3366">
        <v>65.5</v>
      </c>
      <c r="AC3366">
        <v>60.08</v>
      </c>
      <c r="AE3366" s="74"/>
      <c r="AF3366" s="77"/>
      <c r="AH3366" s="497">
        <v>46.4</v>
      </c>
      <c r="AJ3366" s="42"/>
      <c r="AK3366" s="74"/>
      <c r="AL3366" s="77"/>
      <c r="AN3366" s="497">
        <v>66.02</v>
      </c>
      <c r="AP3366" s="42"/>
      <c r="AQ3366" s="74"/>
      <c r="AR3366" s="77"/>
      <c r="AT3366" s="497">
        <v>80.06</v>
      </c>
      <c r="AV3366" s="42"/>
      <c r="AW3366" s="74"/>
      <c r="AX3366" s="77"/>
      <c r="BA3366" s="497">
        <v>78.98</v>
      </c>
      <c r="BB3366" s="42"/>
      <c r="BC3366" s="74"/>
      <c r="BD3366" s="77"/>
      <c r="BF3366">
        <v>62.96</v>
      </c>
      <c r="BH3366" s="42"/>
      <c r="BI3366" s="74"/>
      <c r="BJ3366" s="77"/>
      <c r="BL3366" s="497">
        <v>51.980000000000004</v>
      </c>
      <c r="BN3366" s="42"/>
      <c r="BO3366" s="74"/>
      <c r="BP3366" s="77"/>
      <c r="BR3366" s="497">
        <v>62.06</v>
      </c>
      <c r="BT3366" s="42"/>
    </row>
    <row r="3367" spans="1:72" x14ac:dyDescent="0.25">
      <c r="A3367" s="90">
        <v>36300</v>
      </c>
      <c r="B3367" s="20">
        <v>0.54166666666666663</v>
      </c>
      <c r="D3367">
        <v>55.94</v>
      </c>
      <c r="E3367" t="str">
        <f t="shared" si="140"/>
        <v>WEEKDAY</v>
      </c>
      <c r="F3367" t="e">
        <f t="shared" si="139"/>
        <v>#N/A</v>
      </c>
      <c r="G3367" s="74">
        <v>31917</v>
      </c>
      <c r="H3367" s="77">
        <v>0.54166666666666663</v>
      </c>
      <c r="J3367">
        <v>51.980000000000004</v>
      </c>
      <c r="M3367" s="74">
        <v>34474</v>
      </c>
      <c r="N3367" s="77">
        <v>0.54166666666666663</v>
      </c>
      <c r="P3367">
        <v>54.86</v>
      </c>
      <c r="S3367" s="74">
        <v>36300</v>
      </c>
      <c r="T3367" s="77">
        <v>0.54166666666666663</v>
      </c>
      <c r="V3367">
        <v>71.960000000000008</v>
      </c>
      <c r="X3367" s="42"/>
      <c r="AB3367">
        <v>66.3</v>
      </c>
      <c r="AC3367">
        <v>59</v>
      </c>
      <c r="AE3367" s="74"/>
      <c r="AF3367" s="77"/>
      <c r="AH3367" s="497">
        <v>46.4</v>
      </c>
      <c r="AJ3367" s="42"/>
      <c r="AK3367" s="74"/>
      <c r="AL3367" s="77"/>
      <c r="AN3367" s="497">
        <v>66.92</v>
      </c>
      <c r="AP3367" s="42"/>
      <c r="AQ3367" s="74"/>
      <c r="AR3367" s="77"/>
      <c r="AT3367" s="497">
        <v>82.039999999999992</v>
      </c>
      <c r="AV3367" s="42"/>
      <c r="AW3367" s="74"/>
      <c r="AX3367" s="77"/>
      <c r="BA3367" s="497">
        <v>80.960000000000008</v>
      </c>
      <c r="BB3367" s="42"/>
      <c r="BC3367" s="74"/>
      <c r="BD3367" s="77"/>
      <c r="BF3367">
        <v>64.039999999999992</v>
      </c>
      <c r="BH3367" s="42"/>
      <c r="BI3367" s="74"/>
      <c r="BJ3367" s="77"/>
      <c r="BL3367" s="497">
        <v>55.040000000000006</v>
      </c>
      <c r="BN3367" s="42"/>
      <c r="BO3367" s="74"/>
      <c r="BP3367" s="77"/>
      <c r="BR3367" s="497">
        <v>62.96</v>
      </c>
      <c r="BT3367" s="42"/>
    </row>
    <row r="3368" spans="1:72" x14ac:dyDescent="0.25">
      <c r="A3368" s="90">
        <v>36300</v>
      </c>
      <c r="B3368" s="20">
        <v>0.58333333333333337</v>
      </c>
      <c r="D3368">
        <v>57.019999999999996</v>
      </c>
      <c r="E3368" t="str">
        <f t="shared" si="140"/>
        <v>WEEKDAY</v>
      </c>
      <c r="F3368" t="e">
        <f t="shared" si="139"/>
        <v>#N/A</v>
      </c>
      <c r="G3368" s="74">
        <v>31917</v>
      </c>
      <c r="H3368" s="77">
        <v>0.58333333333333337</v>
      </c>
      <c r="J3368">
        <v>51.980000000000004</v>
      </c>
      <c r="M3368" s="74">
        <v>34474</v>
      </c>
      <c r="N3368" s="77">
        <v>0.58333333333333337</v>
      </c>
      <c r="P3368">
        <v>59</v>
      </c>
      <c r="S3368" s="74">
        <v>36300</v>
      </c>
      <c r="T3368" s="77">
        <v>0.58333333333333337</v>
      </c>
      <c r="V3368">
        <v>73.039999999999992</v>
      </c>
      <c r="X3368" s="42"/>
      <c r="AB3368">
        <v>66.599999999999994</v>
      </c>
      <c r="AC3368">
        <v>57.019999999999996</v>
      </c>
      <c r="AE3368" s="74"/>
      <c r="AF3368" s="77"/>
      <c r="AH3368" s="497">
        <v>51.8</v>
      </c>
      <c r="AJ3368" s="42"/>
      <c r="AK3368" s="74"/>
      <c r="AL3368" s="77"/>
      <c r="AN3368" s="497">
        <v>69.080000000000013</v>
      </c>
      <c r="AP3368" s="42"/>
      <c r="AQ3368" s="74"/>
      <c r="AR3368" s="77"/>
      <c r="AT3368" s="497">
        <v>84.02</v>
      </c>
      <c r="AV3368" s="42"/>
      <c r="AW3368" s="74"/>
      <c r="AX3368" s="77"/>
      <c r="BA3368" s="497">
        <v>82.039999999999992</v>
      </c>
      <c r="BB3368" s="42"/>
      <c r="BC3368" s="74"/>
      <c r="BD3368" s="77"/>
      <c r="BF3368">
        <v>66.92</v>
      </c>
      <c r="BH3368" s="42"/>
      <c r="BI3368" s="74"/>
      <c r="BJ3368" s="77"/>
      <c r="BL3368" s="497">
        <v>57.019999999999996</v>
      </c>
      <c r="BN3368" s="42"/>
      <c r="BO3368" s="74"/>
      <c r="BP3368" s="77"/>
      <c r="BR3368" s="497">
        <v>64.94</v>
      </c>
      <c r="BT3368" s="42"/>
    </row>
    <row r="3369" spans="1:72" x14ac:dyDescent="0.25">
      <c r="A3369" s="90">
        <v>36300</v>
      </c>
      <c r="B3369" s="20">
        <v>0.625</v>
      </c>
      <c r="D3369">
        <v>60.08</v>
      </c>
      <c r="E3369" t="str">
        <f t="shared" si="140"/>
        <v>WEEKDAY</v>
      </c>
      <c r="F3369" t="e">
        <f t="shared" si="139"/>
        <v>#N/A</v>
      </c>
      <c r="G3369" s="74">
        <v>31917</v>
      </c>
      <c r="H3369" s="77">
        <v>0.625</v>
      </c>
      <c r="J3369">
        <v>51.980000000000004</v>
      </c>
      <c r="M3369" s="74">
        <v>34474</v>
      </c>
      <c r="N3369" s="77">
        <v>0.625</v>
      </c>
      <c r="P3369">
        <v>57.92</v>
      </c>
      <c r="S3369" s="74">
        <v>36300</v>
      </c>
      <c r="T3369" s="77">
        <v>0.625</v>
      </c>
      <c r="V3369">
        <v>73.94</v>
      </c>
      <c r="X3369" s="42"/>
      <c r="AB3369">
        <v>66.599999999999994</v>
      </c>
      <c r="AC3369">
        <v>55.94</v>
      </c>
      <c r="AE3369" s="74"/>
      <c r="AF3369" s="77"/>
      <c r="AH3369" s="497">
        <v>51.8</v>
      </c>
      <c r="AJ3369" s="42"/>
      <c r="AK3369" s="74"/>
      <c r="AL3369" s="77"/>
      <c r="AN3369" s="497">
        <v>68</v>
      </c>
      <c r="AP3369" s="42"/>
      <c r="AQ3369" s="74"/>
      <c r="AR3369" s="77"/>
      <c r="AT3369" s="497">
        <v>82.039999999999992</v>
      </c>
      <c r="AV3369" s="42"/>
      <c r="AW3369" s="74"/>
      <c r="AX3369" s="77"/>
      <c r="BA3369" s="497">
        <v>82.039999999999992</v>
      </c>
      <c r="BB3369" s="42"/>
      <c r="BC3369" s="74"/>
      <c r="BD3369" s="77"/>
      <c r="BF3369">
        <v>66.92</v>
      </c>
      <c r="BH3369" s="42"/>
      <c r="BI3369" s="74"/>
      <c r="BJ3369" s="77"/>
      <c r="BL3369" s="497">
        <v>53.96</v>
      </c>
      <c r="BN3369" s="42"/>
      <c r="BO3369" s="74"/>
      <c r="BP3369" s="77"/>
      <c r="BR3369" s="497">
        <v>64.94</v>
      </c>
      <c r="BT3369" s="42"/>
    </row>
    <row r="3370" spans="1:72" x14ac:dyDescent="0.25">
      <c r="A3370" s="90">
        <v>36300</v>
      </c>
      <c r="B3370" s="20">
        <v>0.66666666666666663</v>
      </c>
      <c r="D3370">
        <v>60.08</v>
      </c>
      <c r="E3370" t="str">
        <f t="shared" si="140"/>
        <v>WEEKDAY</v>
      </c>
      <c r="F3370" t="e">
        <f t="shared" si="139"/>
        <v>#N/A</v>
      </c>
      <c r="G3370" s="74">
        <v>31917</v>
      </c>
      <c r="H3370" s="77">
        <v>0.66666666666666663</v>
      </c>
      <c r="J3370">
        <v>53.06</v>
      </c>
      <c r="M3370" s="74">
        <v>34474</v>
      </c>
      <c r="N3370" s="77">
        <v>0.66666666666666663</v>
      </c>
      <c r="P3370">
        <v>57.92</v>
      </c>
      <c r="S3370" s="74">
        <v>36300</v>
      </c>
      <c r="T3370" s="77">
        <v>0.66666666666666663</v>
      </c>
      <c r="V3370">
        <v>73.94</v>
      </c>
      <c r="X3370" s="42"/>
      <c r="AB3370">
        <v>66.099999999999994</v>
      </c>
      <c r="AC3370">
        <v>55.94</v>
      </c>
      <c r="AE3370" s="74"/>
      <c r="AF3370" s="77"/>
      <c r="AH3370" s="497">
        <v>50</v>
      </c>
      <c r="AJ3370" s="42"/>
      <c r="AK3370" s="74"/>
      <c r="AL3370" s="77"/>
      <c r="AN3370" s="497">
        <v>71.06</v>
      </c>
      <c r="AP3370" s="42"/>
      <c r="AQ3370" s="74"/>
      <c r="AR3370" s="77"/>
      <c r="AT3370" s="497">
        <v>82.039999999999992</v>
      </c>
      <c r="AV3370" s="42"/>
      <c r="AW3370" s="74"/>
      <c r="AX3370" s="77"/>
      <c r="BA3370" s="497">
        <v>82.039999999999992</v>
      </c>
      <c r="BB3370" s="42"/>
      <c r="BC3370" s="74"/>
      <c r="BD3370" s="77"/>
      <c r="BF3370">
        <v>68</v>
      </c>
      <c r="BH3370" s="42"/>
      <c r="BI3370" s="74"/>
      <c r="BJ3370" s="77"/>
      <c r="BL3370" s="497">
        <v>55.040000000000006</v>
      </c>
      <c r="BN3370" s="42"/>
      <c r="BO3370" s="74"/>
      <c r="BP3370" s="77"/>
      <c r="BR3370" s="497">
        <v>68</v>
      </c>
      <c r="BT3370" s="42"/>
    </row>
    <row r="3371" spans="1:72" x14ac:dyDescent="0.25">
      <c r="A3371" s="90">
        <v>36300</v>
      </c>
      <c r="B3371" s="20">
        <v>0.70833333333333337</v>
      </c>
      <c r="D3371">
        <v>60.980000000000004</v>
      </c>
      <c r="E3371" t="str">
        <f t="shared" si="140"/>
        <v>WEEKDAY</v>
      </c>
      <c r="F3371" t="e">
        <f t="shared" ref="F3371:F3434" si="141">IF(E3371="WEEKDAY",VLOOKUP(B3371,$DD$19:$DG$42,2),IF(E3371="SATURDAY",VLOOKUP(B3371,$DD$19:$DG$42,3),VLOOKUP(B3371,$DD$19:$DG$42,4)))</f>
        <v>#N/A</v>
      </c>
      <c r="G3371" s="74">
        <v>31917</v>
      </c>
      <c r="H3371" s="77">
        <v>0.70833333333333337</v>
      </c>
      <c r="J3371">
        <v>53.06</v>
      </c>
      <c r="M3371" s="74">
        <v>34474</v>
      </c>
      <c r="N3371" s="77">
        <v>0.70833333333333337</v>
      </c>
      <c r="P3371">
        <v>57.92</v>
      </c>
      <c r="S3371" s="74">
        <v>36300</v>
      </c>
      <c r="T3371" s="77">
        <v>0.70833333333333337</v>
      </c>
      <c r="V3371">
        <v>73.039999999999992</v>
      </c>
      <c r="X3371" s="42"/>
      <c r="AB3371">
        <v>65.3</v>
      </c>
      <c r="AC3371">
        <v>55.040000000000006</v>
      </c>
      <c r="AE3371" s="74"/>
      <c r="AF3371" s="77"/>
      <c r="AH3371" s="497">
        <v>48.2</v>
      </c>
      <c r="AJ3371" s="42"/>
      <c r="AK3371" s="74"/>
      <c r="AL3371" s="77"/>
      <c r="AN3371" s="497">
        <v>66.92</v>
      </c>
      <c r="AP3371" s="42"/>
      <c r="AQ3371" s="74"/>
      <c r="AR3371" s="77"/>
      <c r="AT3371" s="497">
        <v>80.960000000000008</v>
      </c>
      <c r="AV3371" s="42"/>
      <c r="AW3371" s="74"/>
      <c r="AX3371" s="77"/>
      <c r="BA3371" s="497">
        <v>82.039999999999992</v>
      </c>
      <c r="BB3371" s="42"/>
      <c r="BC3371" s="74"/>
      <c r="BD3371" s="77"/>
      <c r="BF3371">
        <v>64.039999999999992</v>
      </c>
      <c r="BH3371" s="42"/>
      <c r="BI3371" s="74"/>
      <c r="BJ3371" s="77"/>
      <c r="BL3371" s="497">
        <v>53.96</v>
      </c>
      <c r="BN3371" s="42"/>
      <c r="BO3371" s="74"/>
      <c r="BP3371" s="77"/>
      <c r="BR3371" s="497">
        <v>66.92</v>
      </c>
      <c r="BT3371" s="42"/>
    </row>
    <row r="3372" spans="1:72" x14ac:dyDescent="0.25">
      <c r="A3372" s="90">
        <v>36300</v>
      </c>
      <c r="B3372" s="20">
        <v>0.75</v>
      </c>
      <c r="D3372">
        <v>55.94</v>
      </c>
      <c r="E3372" t="str">
        <f t="shared" si="140"/>
        <v>WEEKDAY</v>
      </c>
      <c r="F3372" t="e">
        <f t="shared" si="141"/>
        <v>#N/A</v>
      </c>
      <c r="G3372" s="74">
        <v>31917</v>
      </c>
      <c r="H3372" s="77">
        <v>0.75</v>
      </c>
      <c r="J3372">
        <v>53.96</v>
      </c>
      <c r="M3372" s="74">
        <v>34474</v>
      </c>
      <c r="N3372" s="77">
        <v>0.75</v>
      </c>
      <c r="P3372">
        <v>56.84</v>
      </c>
      <c r="S3372" s="74">
        <v>36300</v>
      </c>
      <c r="T3372" s="77">
        <v>0.75</v>
      </c>
      <c r="V3372">
        <v>71.960000000000008</v>
      </c>
      <c r="X3372" s="42"/>
      <c r="AB3372">
        <v>64.2</v>
      </c>
      <c r="AC3372">
        <v>53.96</v>
      </c>
      <c r="AE3372" s="74"/>
      <c r="AF3372" s="77"/>
      <c r="AH3372" s="497">
        <v>48.2</v>
      </c>
      <c r="AJ3372" s="42"/>
      <c r="AK3372" s="74"/>
      <c r="AL3372" s="77"/>
      <c r="AN3372" s="497">
        <v>66.92</v>
      </c>
      <c r="AP3372" s="42"/>
      <c r="AQ3372" s="74"/>
      <c r="AR3372" s="77"/>
      <c r="AT3372" s="497">
        <v>78.98</v>
      </c>
      <c r="AV3372" s="42"/>
      <c r="AW3372" s="74"/>
      <c r="AX3372" s="77"/>
      <c r="BA3372" s="497">
        <v>80.06</v>
      </c>
      <c r="BB3372" s="42"/>
      <c r="BC3372" s="74"/>
      <c r="BD3372" s="77"/>
      <c r="BF3372">
        <v>62.06</v>
      </c>
      <c r="BH3372" s="42"/>
      <c r="BI3372" s="74"/>
      <c r="BJ3372" s="77"/>
      <c r="BL3372" s="497">
        <v>55.94</v>
      </c>
      <c r="BN3372" s="42"/>
      <c r="BO3372" s="74"/>
      <c r="BP3372" s="77"/>
      <c r="BR3372" s="497">
        <v>66.92</v>
      </c>
      <c r="BT3372" s="42"/>
    </row>
    <row r="3373" spans="1:72" x14ac:dyDescent="0.25">
      <c r="A3373" s="90">
        <v>36300</v>
      </c>
      <c r="B3373" s="20">
        <v>0.79166666666666663</v>
      </c>
      <c r="D3373">
        <v>53.96</v>
      </c>
      <c r="E3373" t="str">
        <f t="shared" si="140"/>
        <v>WEEKDAY</v>
      </c>
      <c r="F3373" t="e">
        <f t="shared" si="141"/>
        <v>#N/A</v>
      </c>
      <c r="G3373" s="74">
        <v>31917</v>
      </c>
      <c r="H3373" s="77">
        <v>0.79166666666666663</v>
      </c>
      <c r="J3373">
        <v>53.06</v>
      </c>
      <c r="M3373" s="74">
        <v>34474</v>
      </c>
      <c r="N3373" s="77">
        <v>0.79166666666666663</v>
      </c>
      <c r="P3373">
        <v>54.86</v>
      </c>
      <c r="S3373" s="74">
        <v>36300</v>
      </c>
      <c r="T3373" s="77">
        <v>0.79166666666666663</v>
      </c>
      <c r="V3373">
        <v>69.98</v>
      </c>
      <c r="X3373" s="42"/>
      <c r="AB3373">
        <v>62.9</v>
      </c>
      <c r="AC3373">
        <v>53.06</v>
      </c>
      <c r="AE3373" s="74"/>
      <c r="AF3373" s="77"/>
      <c r="AH3373" s="497">
        <v>48.2</v>
      </c>
      <c r="AJ3373" s="42"/>
      <c r="AK3373" s="74"/>
      <c r="AL3373" s="77"/>
      <c r="AN3373" s="497">
        <v>64.039999999999992</v>
      </c>
      <c r="AP3373" s="42"/>
      <c r="AQ3373" s="74"/>
      <c r="AR3373" s="77"/>
      <c r="AT3373" s="497">
        <v>75.92</v>
      </c>
      <c r="AV3373" s="42"/>
      <c r="AW3373" s="74"/>
      <c r="AX3373" s="77"/>
      <c r="BA3373" s="497">
        <v>78.080000000000013</v>
      </c>
      <c r="BB3373" s="42"/>
      <c r="BC3373" s="74"/>
      <c r="BD3373" s="77"/>
      <c r="BF3373">
        <v>62.06</v>
      </c>
      <c r="BH3373" s="42"/>
      <c r="BI3373" s="74"/>
      <c r="BJ3373" s="77"/>
      <c r="BL3373" s="497">
        <v>53.96</v>
      </c>
      <c r="BN3373" s="42"/>
      <c r="BO3373" s="74"/>
      <c r="BP3373" s="77"/>
      <c r="BR3373" s="497">
        <v>64.039999999999992</v>
      </c>
      <c r="BT3373" s="42"/>
    </row>
    <row r="3374" spans="1:72" x14ac:dyDescent="0.25">
      <c r="A3374" s="90">
        <v>36300</v>
      </c>
      <c r="B3374" s="20">
        <v>0.83333333333333337</v>
      </c>
      <c r="D3374">
        <v>51.980000000000004</v>
      </c>
      <c r="E3374" t="str">
        <f t="shared" si="140"/>
        <v>WEEKDAY</v>
      </c>
      <c r="F3374" t="e">
        <f t="shared" si="141"/>
        <v>#N/A</v>
      </c>
      <c r="G3374" s="74">
        <v>31917</v>
      </c>
      <c r="H3374" s="77">
        <v>0.83333333333333337</v>
      </c>
      <c r="J3374">
        <v>53.06</v>
      </c>
      <c r="M3374" s="74">
        <v>34474</v>
      </c>
      <c r="N3374" s="77">
        <v>0.83333333333333337</v>
      </c>
      <c r="P3374">
        <v>47.84</v>
      </c>
      <c r="S3374" s="74">
        <v>36300</v>
      </c>
      <c r="T3374" s="77">
        <v>0.83333333333333337</v>
      </c>
      <c r="V3374">
        <v>68</v>
      </c>
      <c r="X3374" s="42"/>
      <c r="AB3374">
        <v>61.4</v>
      </c>
      <c r="AC3374">
        <v>51.980000000000004</v>
      </c>
      <c r="AE3374" s="74"/>
      <c r="AF3374" s="77"/>
      <c r="AH3374" s="497">
        <v>48.2</v>
      </c>
      <c r="AJ3374" s="42"/>
      <c r="AK3374" s="74"/>
      <c r="AL3374" s="77"/>
      <c r="AN3374" s="497">
        <v>62.06</v>
      </c>
      <c r="AP3374" s="42"/>
      <c r="AQ3374" s="74"/>
      <c r="AR3374" s="77"/>
      <c r="AT3374" s="497">
        <v>73.039999999999992</v>
      </c>
      <c r="AV3374" s="42"/>
      <c r="AW3374" s="74"/>
      <c r="AX3374" s="77"/>
      <c r="BA3374" s="497">
        <v>64.039999999999992</v>
      </c>
      <c r="BB3374" s="42"/>
      <c r="BC3374" s="74"/>
      <c r="BD3374" s="77"/>
      <c r="BF3374">
        <v>62.06</v>
      </c>
      <c r="BH3374" s="42"/>
      <c r="BI3374" s="74"/>
      <c r="BJ3374" s="77"/>
      <c r="BL3374" s="497">
        <v>51.980000000000004</v>
      </c>
      <c r="BN3374" s="42"/>
      <c r="BO3374" s="74"/>
      <c r="BP3374" s="77"/>
      <c r="BR3374" s="497">
        <v>59</v>
      </c>
      <c r="BT3374" s="42"/>
    </row>
    <row r="3375" spans="1:72" x14ac:dyDescent="0.25">
      <c r="A3375" s="90">
        <v>36300</v>
      </c>
      <c r="B3375" s="20">
        <v>0.875</v>
      </c>
      <c r="D3375">
        <v>51.08</v>
      </c>
      <c r="E3375" t="str">
        <f t="shared" si="140"/>
        <v>WEEKDAY</v>
      </c>
      <c r="F3375" t="e">
        <f t="shared" si="141"/>
        <v>#N/A</v>
      </c>
      <c r="G3375" s="74">
        <v>31917</v>
      </c>
      <c r="H3375" s="77">
        <v>0.875</v>
      </c>
      <c r="J3375">
        <v>53.06</v>
      </c>
      <c r="M3375" s="74">
        <v>34474</v>
      </c>
      <c r="N3375" s="77">
        <v>0.875</v>
      </c>
      <c r="P3375">
        <v>45.86</v>
      </c>
      <c r="S3375" s="74">
        <v>36300</v>
      </c>
      <c r="T3375" s="77">
        <v>0.875</v>
      </c>
      <c r="V3375">
        <v>64.039999999999992</v>
      </c>
      <c r="X3375" s="42"/>
      <c r="AB3375">
        <v>60.4</v>
      </c>
      <c r="AC3375">
        <v>51.980000000000004</v>
      </c>
      <c r="AE3375" s="74"/>
      <c r="AF3375" s="77"/>
      <c r="AH3375" s="497">
        <v>48.2</v>
      </c>
      <c r="AJ3375" s="42"/>
      <c r="AK3375" s="74"/>
      <c r="AL3375" s="77"/>
      <c r="AN3375" s="497">
        <v>60.980000000000004</v>
      </c>
      <c r="AP3375" s="42"/>
      <c r="AQ3375" s="74"/>
      <c r="AR3375" s="77"/>
      <c r="AT3375" s="497">
        <v>71.960000000000008</v>
      </c>
      <c r="AV3375" s="42"/>
      <c r="AW3375" s="74"/>
      <c r="AX3375" s="77"/>
      <c r="BA3375" s="497">
        <v>60.980000000000004</v>
      </c>
      <c r="BB3375" s="42"/>
      <c r="BC3375" s="74"/>
      <c r="BD3375" s="77"/>
      <c r="BF3375">
        <v>64.94</v>
      </c>
      <c r="BH3375" s="42"/>
      <c r="BI3375" s="74"/>
      <c r="BJ3375" s="77"/>
      <c r="BL3375" s="497">
        <v>51.980000000000004</v>
      </c>
      <c r="BN3375" s="42"/>
      <c r="BO3375" s="74"/>
      <c r="BP3375" s="77"/>
      <c r="BR3375" s="497">
        <v>55.040000000000006</v>
      </c>
      <c r="BT3375" s="42"/>
    </row>
    <row r="3376" spans="1:72" x14ac:dyDescent="0.25">
      <c r="A3376" s="90">
        <v>36300</v>
      </c>
      <c r="B3376" s="20">
        <v>0.91666666666666663</v>
      </c>
      <c r="D3376">
        <v>50</v>
      </c>
      <c r="E3376" t="str">
        <f t="shared" si="140"/>
        <v>WEEKDAY</v>
      </c>
      <c r="F3376" t="e">
        <f t="shared" si="141"/>
        <v>#N/A</v>
      </c>
      <c r="G3376" s="74">
        <v>31917</v>
      </c>
      <c r="H3376" s="77">
        <v>0.91666666666666663</v>
      </c>
      <c r="J3376">
        <v>53.06</v>
      </c>
      <c r="M3376" s="74">
        <v>34474</v>
      </c>
      <c r="N3376" s="77">
        <v>0.91666666666666663</v>
      </c>
      <c r="P3376">
        <v>44.96</v>
      </c>
      <c r="S3376" s="74">
        <v>36300</v>
      </c>
      <c r="T3376" s="77">
        <v>0.91666666666666663</v>
      </c>
      <c r="V3376">
        <v>64.039999999999992</v>
      </c>
      <c r="X3376" s="42"/>
      <c r="AB3376">
        <v>59.9</v>
      </c>
      <c r="AC3376">
        <v>51.08</v>
      </c>
      <c r="AE3376" s="74"/>
      <c r="AF3376" s="77"/>
      <c r="AH3376" s="497">
        <v>46.4</v>
      </c>
      <c r="AJ3376" s="42"/>
      <c r="AK3376" s="74"/>
      <c r="AL3376" s="77"/>
      <c r="AN3376" s="497">
        <v>60.08</v>
      </c>
      <c r="AP3376" s="42"/>
      <c r="AQ3376" s="74"/>
      <c r="AR3376" s="77"/>
      <c r="AT3376" s="497">
        <v>69.98</v>
      </c>
      <c r="AV3376" s="42"/>
      <c r="AW3376" s="74"/>
      <c r="AX3376" s="77"/>
      <c r="BA3376" s="497">
        <v>60.08</v>
      </c>
      <c r="BB3376" s="42"/>
      <c r="BC3376" s="74"/>
      <c r="BD3376" s="77"/>
      <c r="BF3376">
        <v>64.94</v>
      </c>
      <c r="BH3376" s="42"/>
      <c r="BI3376" s="74"/>
      <c r="BJ3376" s="77"/>
      <c r="BL3376" s="497">
        <v>51.08</v>
      </c>
      <c r="BN3376" s="42"/>
      <c r="BO3376" s="74"/>
      <c r="BP3376" s="77"/>
      <c r="BR3376" s="497">
        <v>53.06</v>
      </c>
      <c r="BT3376" s="42"/>
    </row>
    <row r="3377" spans="1:72" x14ac:dyDescent="0.25">
      <c r="A3377" s="90">
        <v>36300</v>
      </c>
      <c r="B3377" s="20">
        <v>0.95833333333333337</v>
      </c>
      <c r="D3377">
        <v>50</v>
      </c>
      <c r="E3377" t="str">
        <f t="shared" si="140"/>
        <v>WEEKDAY</v>
      </c>
      <c r="F3377" t="e">
        <f t="shared" si="141"/>
        <v>#N/A</v>
      </c>
      <c r="G3377" s="74">
        <v>31917</v>
      </c>
      <c r="H3377" s="77">
        <v>0.95833333333333337</v>
      </c>
      <c r="J3377">
        <v>53.06</v>
      </c>
      <c r="M3377" s="74">
        <v>34474</v>
      </c>
      <c r="N3377" s="77">
        <v>0.95833333333333337</v>
      </c>
      <c r="P3377">
        <v>43.879999999999995</v>
      </c>
      <c r="S3377" s="74">
        <v>36300</v>
      </c>
      <c r="T3377" s="77">
        <v>0.95833333333333337</v>
      </c>
      <c r="V3377">
        <v>62.06</v>
      </c>
      <c r="X3377" s="42"/>
      <c r="AB3377">
        <v>59.3</v>
      </c>
      <c r="AC3377">
        <v>51.08</v>
      </c>
      <c r="AE3377" s="74"/>
      <c r="AF3377" s="77"/>
      <c r="AH3377" s="497">
        <v>46.4</v>
      </c>
      <c r="AJ3377" s="42"/>
      <c r="AK3377" s="74"/>
      <c r="AL3377" s="77"/>
      <c r="AN3377" s="497">
        <v>59</v>
      </c>
      <c r="AP3377" s="42"/>
      <c r="AQ3377" s="74"/>
      <c r="AR3377" s="77"/>
      <c r="AT3377" s="497">
        <v>69.080000000000013</v>
      </c>
      <c r="AV3377" s="42"/>
      <c r="AW3377" s="74"/>
      <c r="AX3377" s="77"/>
      <c r="BA3377" s="497">
        <v>60.980000000000004</v>
      </c>
      <c r="BB3377" s="42"/>
      <c r="BC3377" s="74"/>
      <c r="BD3377" s="77"/>
      <c r="BF3377">
        <v>62.96</v>
      </c>
      <c r="BH3377" s="42"/>
      <c r="BI3377" s="74"/>
      <c r="BJ3377" s="77"/>
      <c r="BL3377" s="497">
        <v>51.08</v>
      </c>
      <c r="BN3377" s="42"/>
      <c r="BO3377" s="74"/>
      <c r="BP3377" s="77"/>
      <c r="BR3377" s="497">
        <v>51.08</v>
      </c>
      <c r="BT3377" s="42"/>
    </row>
    <row r="3378" spans="1:72" x14ac:dyDescent="0.25">
      <c r="A3378" s="90">
        <v>36300</v>
      </c>
      <c r="B3378" s="20">
        <v>1</v>
      </c>
      <c r="D3378">
        <v>50</v>
      </c>
      <c r="E3378" t="str">
        <f t="shared" si="140"/>
        <v>WEEKDAY</v>
      </c>
      <c r="F3378" t="e">
        <f t="shared" si="141"/>
        <v>#N/A</v>
      </c>
      <c r="G3378" s="74">
        <v>31917</v>
      </c>
      <c r="H3378" s="77">
        <v>1</v>
      </c>
      <c r="J3378">
        <v>51.980000000000004</v>
      </c>
      <c r="M3378" s="74">
        <v>34474</v>
      </c>
      <c r="N3378" s="80">
        <v>1</v>
      </c>
      <c r="P3378">
        <v>41.9</v>
      </c>
      <c r="S3378" s="74">
        <v>36300</v>
      </c>
      <c r="T3378" s="80">
        <v>1</v>
      </c>
      <c r="V3378">
        <v>60.08</v>
      </c>
      <c r="X3378" s="42"/>
      <c r="AB3378">
        <v>58.8</v>
      </c>
      <c r="AC3378">
        <v>51.980000000000004</v>
      </c>
      <c r="AE3378" s="74"/>
      <c r="AF3378" s="80"/>
      <c r="AH3378" s="497">
        <v>46.4</v>
      </c>
      <c r="AJ3378" s="42"/>
      <c r="AK3378" s="74"/>
      <c r="AL3378" s="80"/>
      <c r="AN3378" s="497">
        <v>59</v>
      </c>
      <c r="AP3378" s="42"/>
      <c r="AQ3378" s="74"/>
      <c r="AR3378" s="80"/>
      <c r="AT3378" s="497">
        <v>66.02</v>
      </c>
      <c r="AV3378" s="42"/>
      <c r="AW3378" s="74"/>
      <c r="AX3378" s="80"/>
      <c r="BA3378" s="497">
        <v>60.08</v>
      </c>
      <c r="BB3378" s="42"/>
      <c r="BC3378" s="74"/>
      <c r="BD3378" s="80"/>
      <c r="BF3378">
        <v>59</v>
      </c>
      <c r="BH3378" s="42"/>
      <c r="BI3378" s="74"/>
      <c r="BJ3378" s="80"/>
      <c r="BL3378" s="497">
        <v>51.08</v>
      </c>
      <c r="BN3378" s="42"/>
      <c r="BO3378" s="74"/>
      <c r="BP3378" s="80"/>
      <c r="BR3378" s="497">
        <v>48.92</v>
      </c>
      <c r="BT3378" s="42"/>
    </row>
    <row r="3379" spans="1:72" x14ac:dyDescent="0.25">
      <c r="A3379" s="90">
        <v>36301</v>
      </c>
      <c r="B3379" s="20">
        <v>4.1666666666666664E-2</v>
      </c>
      <c r="D3379">
        <v>48.92</v>
      </c>
      <c r="E3379" t="str">
        <f t="shared" si="140"/>
        <v>WEEKDAY</v>
      </c>
      <c r="F3379" t="e">
        <f t="shared" si="141"/>
        <v>#N/A</v>
      </c>
      <c r="G3379" s="74">
        <v>31918</v>
      </c>
      <c r="H3379" s="77">
        <v>4.1666666666666664E-2</v>
      </c>
      <c r="J3379">
        <v>53.06</v>
      </c>
      <c r="M3379" s="74">
        <v>34475</v>
      </c>
      <c r="N3379" s="77">
        <v>4.1666666666666664E-2</v>
      </c>
      <c r="P3379">
        <v>41</v>
      </c>
      <c r="S3379" s="74">
        <v>36301</v>
      </c>
      <c r="T3379" s="77">
        <v>4.1666666666666664E-2</v>
      </c>
      <c r="V3379">
        <v>57.92</v>
      </c>
      <c r="X3379" s="42"/>
      <c r="AB3379">
        <v>58.3</v>
      </c>
      <c r="AC3379">
        <v>51.08</v>
      </c>
      <c r="AE3379" s="74"/>
      <c r="AF3379" s="77"/>
      <c r="AH3379" s="497">
        <v>46.4</v>
      </c>
      <c r="AJ3379" s="42"/>
      <c r="AK3379" s="74"/>
      <c r="AL3379" s="77"/>
      <c r="AN3379" s="497">
        <v>57.92</v>
      </c>
      <c r="AP3379" s="42"/>
      <c r="AQ3379" s="74"/>
      <c r="AR3379" s="77"/>
      <c r="AT3379" s="497">
        <v>64.94</v>
      </c>
      <c r="AV3379" s="42"/>
      <c r="AW3379" s="74"/>
      <c r="AX3379" s="77"/>
      <c r="BA3379" s="497">
        <v>60.08</v>
      </c>
      <c r="BB3379" s="42"/>
      <c r="BC3379" s="74"/>
      <c r="BD3379" s="77"/>
      <c r="BF3379">
        <v>57.92</v>
      </c>
      <c r="BH3379" s="42"/>
      <c r="BI3379" s="74"/>
      <c r="BJ3379" s="77"/>
      <c r="BL3379" s="497">
        <v>51.08</v>
      </c>
      <c r="BN3379" s="42"/>
      <c r="BO3379" s="74"/>
      <c r="BP3379" s="77"/>
      <c r="BR3379" s="497">
        <v>51.08</v>
      </c>
      <c r="BT3379" s="42"/>
    </row>
    <row r="3380" spans="1:72" x14ac:dyDescent="0.25">
      <c r="A3380" s="90">
        <v>36301</v>
      </c>
      <c r="B3380" s="20">
        <v>8.3333333333333329E-2</v>
      </c>
      <c r="D3380">
        <v>48.92</v>
      </c>
      <c r="E3380" t="str">
        <f t="shared" si="140"/>
        <v>WEEKDAY</v>
      </c>
      <c r="F3380" t="e">
        <f t="shared" si="141"/>
        <v>#N/A</v>
      </c>
      <c r="G3380" s="74">
        <v>31918</v>
      </c>
      <c r="H3380" s="77">
        <v>8.3333333333333329E-2</v>
      </c>
      <c r="J3380">
        <v>53.06</v>
      </c>
      <c r="M3380" s="74">
        <v>34475</v>
      </c>
      <c r="N3380" s="77">
        <v>8.3333333333333329E-2</v>
      </c>
      <c r="P3380">
        <v>41</v>
      </c>
      <c r="S3380" s="74">
        <v>36301</v>
      </c>
      <c r="T3380" s="77">
        <v>8.3333333333333329E-2</v>
      </c>
      <c r="V3380">
        <v>55.94</v>
      </c>
      <c r="X3380" s="42"/>
      <c r="AB3380">
        <v>57.8</v>
      </c>
      <c r="AC3380">
        <v>51.08</v>
      </c>
      <c r="AE3380" s="74"/>
      <c r="AF3380" s="77"/>
      <c r="AH3380" s="497">
        <v>46.4</v>
      </c>
      <c r="AJ3380" s="42"/>
      <c r="AK3380" s="74"/>
      <c r="AL3380" s="77"/>
      <c r="AN3380" s="497">
        <v>57.019999999999996</v>
      </c>
      <c r="AP3380" s="42"/>
      <c r="AQ3380" s="74"/>
      <c r="AR3380" s="77"/>
      <c r="AT3380" s="497">
        <v>60.980000000000004</v>
      </c>
      <c r="AV3380" s="42"/>
      <c r="AW3380" s="74"/>
      <c r="AX3380" s="77"/>
      <c r="BA3380" s="497">
        <v>57.92</v>
      </c>
      <c r="BB3380" s="42"/>
      <c r="BC3380" s="74"/>
      <c r="BD3380" s="77"/>
      <c r="BF3380">
        <v>57.92</v>
      </c>
      <c r="BH3380" s="42"/>
      <c r="BI3380" s="74"/>
      <c r="BJ3380" s="77"/>
      <c r="BL3380" s="497">
        <v>51.08</v>
      </c>
      <c r="BN3380" s="42"/>
      <c r="BO3380" s="74"/>
      <c r="BP3380" s="77"/>
      <c r="BR3380" s="497">
        <v>53.06</v>
      </c>
      <c r="BT3380" s="42"/>
    </row>
    <row r="3381" spans="1:72" x14ac:dyDescent="0.25">
      <c r="A3381" s="90">
        <v>36301</v>
      </c>
      <c r="B3381" s="20">
        <v>0.125</v>
      </c>
      <c r="D3381">
        <v>48.92</v>
      </c>
      <c r="E3381" t="str">
        <f t="shared" si="140"/>
        <v>WEEKDAY</v>
      </c>
      <c r="F3381" t="e">
        <f t="shared" si="141"/>
        <v>#N/A</v>
      </c>
      <c r="G3381" s="74">
        <v>31918</v>
      </c>
      <c r="H3381" s="77">
        <v>0.125</v>
      </c>
      <c r="J3381">
        <v>53.06</v>
      </c>
      <c r="M3381" s="74">
        <v>34475</v>
      </c>
      <c r="N3381" s="77">
        <v>0.125</v>
      </c>
      <c r="P3381">
        <v>41</v>
      </c>
      <c r="S3381" s="74">
        <v>36301</v>
      </c>
      <c r="T3381" s="77">
        <v>0.125</v>
      </c>
      <c r="V3381">
        <v>53.96</v>
      </c>
      <c r="X3381" s="42"/>
      <c r="AB3381">
        <v>57.2</v>
      </c>
      <c r="AC3381">
        <v>50</v>
      </c>
      <c r="AE3381" s="74"/>
      <c r="AF3381" s="77"/>
      <c r="AH3381" s="497">
        <v>46.4</v>
      </c>
      <c r="AJ3381" s="42"/>
      <c r="AK3381" s="74"/>
      <c r="AL3381" s="77"/>
      <c r="AN3381" s="497">
        <v>57.019999999999996</v>
      </c>
      <c r="AP3381" s="42"/>
      <c r="AQ3381" s="74"/>
      <c r="AR3381" s="77"/>
      <c r="AT3381" s="497">
        <v>59</v>
      </c>
      <c r="AV3381" s="42"/>
      <c r="AW3381" s="74"/>
      <c r="AX3381" s="77"/>
      <c r="BA3381" s="497">
        <v>57.92</v>
      </c>
      <c r="BB3381" s="42"/>
      <c r="BC3381" s="74"/>
      <c r="BD3381" s="77"/>
      <c r="BF3381">
        <v>57.019999999999996</v>
      </c>
      <c r="BH3381" s="42"/>
      <c r="BI3381" s="74"/>
      <c r="BJ3381" s="77"/>
      <c r="BL3381" s="497">
        <v>51.08</v>
      </c>
      <c r="BN3381" s="42"/>
      <c r="BO3381" s="74"/>
      <c r="BP3381" s="77"/>
      <c r="BR3381" s="497">
        <v>53.96</v>
      </c>
      <c r="BT3381" s="42"/>
    </row>
    <row r="3382" spans="1:72" x14ac:dyDescent="0.25">
      <c r="A3382" s="90">
        <v>36301</v>
      </c>
      <c r="B3382" s="20">
        <v>0.16666666666666666</v>
      </c>
      <c r="D3382">
        <v>48.019999999999996</v>
      </c>
      <c r="E3382" t="str">
        <f t="shared" si="140"/>
        <v>WEEKDAY</v>
      </c>
      <c r="F3382" t="e">
        <f t="shared" si="141"/>
        <v>#N/A</v>
      </c>
      <c r="G3382" s="74">
        <v>31918</v>
      </c>
      <c r="H3382" s="77">
        <v>0.16666666666666666</v>
      </c>
      <c r="J3382">
        <v>53.06</v>
      </c>
      <c r="M3382" s="74">
        <v>34475</v>
      </c>
      <c r="N3382" s="77">
        <v>0.16666666666666666</v>
      </c>
      <c r="P3382">
        <v>41.9</v>
      </c>
      <c r="S3382" s="74">
        <v>36301</v>
      </c>
      <c r="T3382" s="77">
        <v>0.16666666666666666</v>
      </c>
      <c r="V3382">
        <v>53.06</v>
      </c>
      <c r="X3382" s="42"/>
      <c r="AB3382">
        <v>56.7</v>
      </c>
      <c r="AC3382">
        <v>50</v>
      </c>
      <c r="AE3382" s="74"/>
      <c r="AF3382" s="77"/>
      <c r="AH3382" s="497">
        <v>46.4</v>
      </c>
      <c r="AJ3382" s="42"/>
      <c r="AK3382" s="74"/>
      <c r="AL3382" s="77"/>
      <c r="AN3382" s="497">
        <v>57.019999999999996</v>
      </c>
      <c r="AP3382" s="42"/>
      <c r="AQ3382" s="74"/>
      <c r="AR3382" s="77"/>
      <c r="AT3382" s="497">
        <v>59</v>
      </c>
      <c r="AV3382" s="42"/>
      <c r="AW3382" s="74"/>
      <c r="AX3382" s="77"/>
      <c r="BA3382" s="497">
        <v>57.019999999999996</v>
      </c>
      <c r="BB3382" s="42"/>
      <c r="BC3382" s="74"/>
      <c r="BD3382" s="77"/>
      <c r="BF3382">
        <v>55.94</v>
      </c>
      <c r="BH3382" s="42"/>
      <c r="BI3382" s="74"/>
      <c r="BJ3382" s="77"/>
      <c r="BL3382" s="497">
        <v>51.08</v>
      </c>
      <c r="BN3382" s="42"/>
      <c r="BO3382" s="74"/>
      <c r="BP3382" s="77"/>
      <c r="BR3382" s="497">
        <v>55.94</v>
      </c>
      <c r="BT3382" s="42"/>
    </row>
    <row r="3383" spans="1:72" x14ac:dyDescent="0.25">
      <c r="A3383" s="90">
        <v>36301</v>
      </c>
      <c r="B3383" s="20">
        <v>0.20833333333333334</v>
      </c>
      <c r="D3383">
        <v>50</v>
      </c>
      <c r="E3383" t="str">
        <f t="shared" si="140"/>
        <v>WEEKDAY</v>
      </c>
      <c r="F3383" t="e">
        <f t="shared" si="141"/>
        <v>#N/A</v>
      </c>
      <c r="G3383" s="74">
        <v>31918</v>
      </c>
      <c r="H3383" s="77">
        <v>0.20833333333333334</v>
      </c>
      <c r="J3383">
        <v>53.06</v>
      </c>
      <c r="M3383" s="74">
        <v>34475</v>
      </c>
      <c r="N3383" s="77">
        <v>0.20833333333333334</v>
      </c>
      <c r="P3383">
        <v>42.980000000000004</v>
      </c>
      <c r="S3383" s="74">
        <v>36301</v>
      </c>
      <c r="T3383" s="77">
        <v>0.20833333333333334</v>
      </c>
      <c r="V3383">
        <v>53.06</v>
      </c>
      <c r="X3383" s="42"/>
      <c r="AB3383">
        <v>56.3</v>
      </c>
      <c r="AC3383">
        <v>50</v>
      </c>
      <c r="AE3383" s="74"/>
      <c r="AF3383" s="77"/>
      <c r="AH3383" s="497">
        <v>46.4</v>
      </c>
      <c r="AJ3383" s="42"/>
      <c r="AK3383" s="74"/>
      <c r="AL3383" s="77"/>
      <c r="AN3383" s="497">
        <v>57.019999999999996</v>
      </c>
      <c r="AP3383" s="42"/>
      <c r="AQ3383" s="74"/>
      <c r="AR3383" s="77"/>
      <c r="AT3383" s="497">
        <v>59</v>
      </c>
      <c r="AV3383" s="42"/>
      <c r="AW3383" s="74"/>
      <c r="AX3383" s="77"/>
      <c r="BA3383" s="497">
        <v>53.06</v>
      </c>
      <c r="BB3383" s="42"/>
      <c r="BC3383" s="74"/>
      <c r="BD3383" s="77"/>
      <c r="BF3383">
        <v>55.040000000000006</v>
      </c>
      <c r="BH3383" s="42"/>
      <c r="BI3383" s="74"/>
      <c r="BJ3383" s="77"/>
      <c r="BL3383" s="497">
        <v>51.08</v>
      </c>
      <c r="BN3383" s="42"/>
      <c r="BO3383" s="74"/>
      <c r="BP3383" s="77"/>
      <c r="BR3383" s="497">
        <v>55.040000000000006</v>
      </c>
      <c r="BT3383" s="42"/>
    </row>
    <row r="3384" spans="1:72" x14ac:dyDescent="0.25">
      <c r="A3384" s="90">
        <v>36301</v>
      </c>
      <c r="B3384" s="20">
        <v>0.25</v>
      </c>
      <c r="D3384">
        <v>51.980000000000004</v>
      </c>
      <c r="E3384" t="str">
        <f t="shared" si="140"/>
        <v>WEEKDAY</v>
      </c>
      <c r="F3384" t="e">
        <f t="shared" si="141"/>
        <v>#N/A</v>
      </c>
      <c r="G3384" s="74">
        <v>31918</v>
      </c>
      <c r="H3384" s="77">
        <v>0.25</v>
      </c>
      <c r="J3384">
        <v>53.96</v>
      </c>
      <c r="M3384" s="74">
        <v>34475</v>
      </c>
      <c r="N3384" s="77">
        <v>0.25</v>
      </c>
      <c r="P3384">
        <v>46.94</v>
      </c>
      <c r="S3384" s="74">
        <v>36301</v>
      </c>
      <c r="T3384" s="77">
        <v>0.25</v>
      </c>
      <c r="V3384">
        <v>55.94</v>
      </c>
      <c r="X3384" s="42"/>
      <c r="AB3384">
        <v>56.2</v>
      </c>
      <c r="AC3384">
        <v>50</v>
      </c>
      <c r="AE3384" s="74"/>
      <c r="AF3384" s="77"/>
      <c r="AH3384" s="497">
        <v>46.4</v>
      </c>
      <c r="AJ3384" s="42"/>
      <c r="AK3384" s="74"/>
      <c r="AL3384" s="77"/>
      <c r="AN3384" s="497">
        <v>57.019999999999996</v>
      </c>
      <c r="AP3384" s="42"/>
      <c r="AQ3384" s="74"/>
      <c r="AR3384" s="77"/>
      <c r="AT3384" s="497">
        <v>60.980000000000004</v>
      </c>
      <c r="AV3384" s="42"/>
      <c r="AW3384" s="74"/>
      <c r="AX3384" s="77"/>
      <c r="BA3384" s="497">
        <v>53.06</v>
      </c>
      <c r="BB3384" s="42"/>
      <c r="BC3384" s="74"/>
      <c r="BD3384" s="77"/>
      <c r="BF3384">
        <v>53.06</v>
      </c>
      <c r="BH3384" s="42"/>
      <c r="BI3384" s="74"/>
      <c r="BJ3384" s="77"/>
      <c r="BL3384" s="497">
        <v>51.08</v>
      </c>
      <c r="BN3384" s="42"/>
      <c r="BO3384" s="74"/>
      <c r="BP3384" s="77"/>
      <c r="BR3384" s="497">
        <v>57.019999999999996</v>
      </c>
      <c r="BT3384" s="42"/>
    </row>
    <row r="3385" spans="1:72" x14ac:dyDescent="0.25">
      <c r="A3385" s="90">
        <v>36301</v>
      </c>
      <c r="B3385" s="20">
        <v>0.29166666666666669</v>
      </c>
      <c r="D3385">
        <v>55.040000000000006</v>
      </c>
      <c r="E3385" t="str">
        <f t="shared" si="140"/>
        <v>WEEKDAY</v>
      </c>
      <c r="F3385" t="e">
        <f t="shared" si="141"/>
        <v>#N/A</v>
      </c>
      <c r="G3385" s="74">
        <v>31918</v>
      </c>
      <c r="H3385" s="77">
        <v>0.29166666666666669</v>
      </c>
      <c r="J3385">
        <v>55.040000000000006</v>
      </c>
      <c r="M3385" s="74">
        <v>34475</v>
      </c>
      <c r="N3385" s="77">
        <v>0.29166666666666669</v>
      </c>
      <c r="P3385">
        <v>50.900000000000006</v>
      </c>
      <c r="S3385" s="74">
        <v>36301</v>
      </c>
      <c r="T3385" s="77">
        <v>0.29166666666666669</v>
      </c>
      <c r="V3385">
        <v>60.08</v>
      </c>
      <c r="X3385" s="42"/>
      <c r="AB3385">
        <v>57.6</v>
      </c>
      <c r="AC3385">
        <v>51.980000000000004</v>
      </c>
      <c r="AE3385" s="74"/>
      <c r="AF3385" s="77"/>
      <c r="AH3385" s="497">
        <v>50</v>
      </c>
      <c r="AJ3385" s="42"/>
      <c r="AK3385" s="74"/>
      <c r="AL3385" s="77"/>
      <c r="AN3385" s="497">
        <v>57.92</v>
      </c>
      <c r="AP3385" s="42"/>
      <c r="AQ3385" s="74"/>
      <c r="AR3385" s="77"/>
      <c r="AT3385" s="497">
        <v>64.94</v>
      </c>
      <c r="AV3385" s="42"/>
      <c r="AW3385" s="74"/>
      <c r="AX3385" s="77"/>
      <c r="BA3385" s="497">
        <v>53.06</v>
      </c>
      <c r="BB3385" s="42"/>
      <c r="BC3385" s="74"/>
      <c r="BD3385" s="77"/>
      <c r="BF3385">
        <v>53.96</v>
      </c>
      <c r="BH3385" s="42"/>
      <c r="BI3385" s="74"/>
      <c r="BJ3385" s="77"/>
      <c r="BL3385" s="497">
        <v>51.980000000000004</v>
      </c>
      <c r="BN3385" s="42"/>
      <c r="BO3385" s="74"/>
      <c r="BP3385" s="77"/>
      <c r="BR3385" s="497">
        <v>59</v>
      </c>
      <c r="BT3385" s="42"/>
    </row>
    <row r="3386" spans="1:72" x14ac:dyDescent="0.25">
      <c r="A3386" s="90">
        <v>36301</v>
      </c>
      <c r="B3386" s="20">
        <v>0.33333333333333331</v>
      </c>
      <c r="D3386">
        <v>57.019999999999996</v>
      </c>
      <c r="E3386" t="str">
        <f t="shared" si="140"/>
        <v>WEEKDAY</v>
      </c>
      <c r="F3386" t="e">
        <f t="shared" si="141"/>
        <v>#N/A</v>
      </c>
      <c r="G3386" s="74">
        <v>31918</v>
      </c>
      <c r="H3386" s="77">
        <v>0.33333333333333331</v>
      </c>
      <c r="J3386">
        <v>57.019999999999996</v>
      </c>
      <c r="M3386" s="74">
        <v>34475</v>
      </c>
      <c r="N3386" s="77">
        <v>0.33333333333333331</v>
      </c>
      <c r="P3386">
        <v>57.92</v>
      </c>
      <c r="S3386" s="74">
        <v>36301</v>
      </c>
      <c r="T3386" s="77">
        <v>0.33333333333333331</v>
      </c>
      <c r="V3386">
        <v>62.96</v>
      </c>
      <c r="X3386" s="42"/>
      <c r="AB3386">
        <v>59.5</v>
      </c>
      <c r="AC3386">
        <v>53.06</v>
      </c>
      <c r="AE3386" s="74"/>
      <c r="AF3386" s="77"/>
      <c r="AH3386" s="497">
        <v>50</v>
      </c>
      <c r="AJ3386" s="42"/>
      <c r="AK3386" s="74"/>
      <c r="AL3386" s="77"/>
      <c r="AN3386" s="497">
        <v>59</v>
      </c>
      <c r="AP3386" s="42"/>
      <c r="AQ3386" s="74"/>
      <c r="AR3386" s="77"/>
      <c r="AT3386" s="497">
        <v>66.92</v>
      </c>
      <c r="AV3386" s="42"/>
      <c r="AW3386" s="74"/>
      <c r="AX3386" s="77"/>
      <c r="BA3386" s="497">
        <v>53.96</v>
      </c>
      <c r="BB3386" s="42"/>
      <c r="BC3386" s="74"/>
      <c r="BD3386" s="77"/>
      <c r="BF3386">
        <v>59</v>
      </c>
      <c r="BH3386" s="42"/>
      <c r="BI3386" s="74"/>
      <c r="BJ3386" s="77"/>
      <c r="BL3386" s="497">
        <v>53.06</v>
      </c>
      <c r="BN3386" s="42"/>
      <c r="BO3386" s="74"/>
      <c r="BP3386" s="77"/>
      <c r="BR3386" s="497">
        <v>60.980000000000004</v>
      </c>
      <c r="BT3386" s="42"/>
    </row>
    <row r="3387" spans="1:72" x14ac:dyDescent="0.25">
      <c r="A3387" s="90">
        <v>36301</v>
      </c>
      <c r="B3387" s="20">
        <v>0.375</v>
      </c>
      <c r="D3387">
        <v>60.08</v>
      </c>
      <c r="E3387" t="str">
        <f t="shared" si="140"/>
        <v>WEEKDAY</v>
      </c>
      <c r="F3387" t="e">
        <f t="shared" si="141"/>
        <v>#N/A</v>
      </c>
      <c r="G3387" s="74">
        <v>31918</v>
      </c>
      <c r="H3387" s="77">
        <v>0.375</v>
      </c>
      <c r="J3387">
        <v>59</v>
      </c>
      <c r="M3387" s="74">
        <v>34475</v>
      </c>
      <c r="N3387" s="77">
        <v>0.375</v>
      </c>
      <c r="P3387">
        <v>59.540000000000006</v>
      </c>
      <c r="S3387" s="74">
        <v>36301</v>
      </c>
      <c r="T3387" s="77">
        <v>0.375</v>
      </c>
      <c r="V3387">
        <v>64.94</v>
      </c>
      <c r="X3387" s="42"/>
      <c r="AB3387">
        <v>61.5</v>
      </c>
      <c r="AC3387">
        <v>53.96</v>
      </c>
      <c r="AE3387" s="74"/>
      <c r="AF3387" s="77"/>
      <c r="AH3387" s="497">
        <v>51.26</v>
      </c>
      <c r="AJ3387" s="42"/>
      <c r="AK3387" s="74"/>
      <c r="AL3387" s="77"/>
      <c r="AN3387" s="497">
        <v>60.980000000000004</v>
      </c>
      <c r="AP3387" s="42"/>
      <c r="AQ3387" s="74"/>
      <c r="AR3387" s="77"/>
      <c r="AT3387" s="497">
        <v>66.92</v>
      </c>
      <c r="AV3387" s="42"/>
      <c r="AW3387" s="74"/>
      <c r="AX3387" s="77"/>
      <c r="BA3387" s="497">
        <v>57.019999999999996</v>
      </c>
      <c r="BB3387" s="42"/>
      <c r="BC3387" s="74"/>
      <c r="BD3387" s="77"/>
      <c r="BF3387">
        <v>62.06</v>
      </c>
      <c r="BH3387" s="42"/>
      <c r="BI3387" s="74"/>
      <c r="BJ3387" s="77"/>
      <c r="BL3387" s="497">
        <v>53.06</v>
      </c>
      <c r="BN3387" s="42"/>
      <c r="BO3387" s="74"/>
      <c r="BP3387" s="77"/>
      <c r="BR3387" s="497">
        <v>64.039999999999992</v>
      </c>
      <c r="BT3387" s="42"/>
    </row>
    <row r="3388" spans="1:72" x14ac:dyDescent="0.25">
      <c r="A3388" s="90">
        <v>36301</v>
      </c>
      <c r="B3388" s="20">
        <v>0.41666666666666669</v>
      </c>
      <c r="D3388">
        <v>62.06</v>
      </c>
      <c r="E3388" t="str">
        <f t="shared" si="140"/>
        <v>WEEKDAY</v>
      </c>
      <c r="F3388" t="e">
        <f t="shared" si="141"/>
        <v>#N/A</v>
      </c>
      <c r="G3388" s="74">
        <v>31918</v>
      </c>
      <c r="H3388" s="77">
        <v>0.41666666666666669</v>
      </c>
      <c r="J3388">
        <v>59</v>
      </c>
      <c r="M3388" s="74">
        <v>34475</v>
      </c>
      <c r="N3388" s="77">
        <v>0.41666666666666669</v>
      </c>
      <c r="P3388">
        <v>60.980000000000004</v>
      </c>
      <c r="S3388" s="74">
        <v>36301</v>
      </c>
      <c r="T3388" s="77">
        <v>0.41666666666666669</v>
      </c>
      <c r="V3388">
        <v>66.92</v>
      </c>
      <c r="X3388" s="42"/>
      <c r="AB3388">
        <v>63.2</v>
      </c>
      <c r="AC3388">
        <v>55.94</v>
      </c>
      <c r="AE3388" s="74"/>
      <c r="AF3388" s="77"/>
      <c r="AH3388" s="497">
        <v>51.8</v>
      </c>
      <c r="AJ3388" s="42"/>
      <c r="AK3388" s="74"/>
      <c r="AL3388" s="77"/>
      <c r="AN3388" s="497">
        <v>60.980000000000004</v>
      </c>
      <c r="AP3388" s="42"/>
      <c r="AQ3388" s="74"/>
      <c r="AR3388" s="77"/>
      <c r="AT3388" s="497">
        <v>69.98</v>
      </c>
      <c r="AV3388" s="42"/>
      <c r="AW3388" s="74"/>
      <c r="AX3388" s="77"/>
      <c r="BA3388" s="497">
        <v>60.08</v>
      </c>
      <c r="BB3388" s="42"/>
      <c r="BC3388" s="74"/>
      <c r="BD3388" s="77"/>
      <c r="BF3388">
        <v>60.980000000000004</v>
      </c>
      <c r="BH3388" s="42"/>
      <c r="BI3388" s="74"/>
      <c r="BJ3388" s="77"/>
      <c r="BL3388" s="497">
        <v>53.06</v>
      </c>
      <c r="BN3388" s="42"/>
      <c r="BO3388" s="74"/>
      <c r="BP3388" s="77"/>
      <c r="BR3388" s="497">
        <v>64.039999999999992</v>
      </c>
      <c r="BT3388" s="42"/>
    </row>
    <row r="3389" spans="1:72" x14ac:dyDescent="0.25">
      <c r="A3389" s="90">
        <v>36301</v>
      </c>
      <c r="B3389" s="20">
        <v>0.45833333333333331</v>
      </c>
      <c r="D3389">
        <v>64.039999999999992</v>
      </c>
      <c r="E3389" t="str">
        <f t="shared" si="140"/>
        <v>WEEKDAY</v>
      </c>
      <c r="F3389" t="e">
        <f t="shared" si="141"/>
        <v>#N/A</v>
      </c>
      <c r="G3389" s="74">
        <v>31918</v>
      </c>
      <c r="H3389" s="77">
        <v>0.45833333333333331</v>
      </c>
      <c r="J3389">
        <v>62.06</v>
      </c>
      <c r="M3389" s="74">
        <v>34475</v>
      </c>
      <c r="N3389" s="77">
        <v>0.45833333333333331</v>
      </c>
      <c r="P3389">
        <v>63.86</v>
      </c>
      <c r="S3389" s="74">
        <v>36301</v>
      </c>
      <c r="T3389" s="77">
        <v>0.45833333333333331</v>
      </c>
      <c r="V3389">
        <v>68</v>
      </c>
      <c r="X3389" s="42"/>
      <c r="AB3389">
        <v>64.900000000000006</v>
      </c>
      <c r="AC3389">
        <v>60.08</v>
      </c>
      <c r="AE3389" s="74"/>
      <c r="AF3389" s="77"/>
      <c r="AH3389" s="497">
        <v>53.6</v>
      </c>
      <c r="AJ3389" s="42"/>
      <c r="AK3389" s="74"/>
      <c r="AL3389" s="77"/>
      <c r="AN3389" s="497">
        <v>64.039999999999992</v>
      </c>
      <c r="AP3389" s="42"/>
      <c r="AQ3389" s="74"/>
      <c r="AR3389" s="77"/>
      <c r="AT3389" s="497">
        <v>66.02</v>
      </c>
      <c r="AV3389" s="42"/>
      <c r="AW3389" s="74"/>
      <c r="AX3389" s="77"/>
      <c r="BA3389" s="497">
        <v>62.96</v>
      </c>
      <c r="BB3389" s="42"/>
      <c r="BC3389" s="74"/>
      <c r="BD3389" s="77"/>
      <c r="BF3389">
        <v>62.06</v>
      </c>
      <c r="BH3389" s="42"/>
      <c r="BI3389" s="74"/>
      <c r="BJ3389" s="77"/>
      <c r="BL3389" s="497">
        <v>55.040000000000006</v>
      </c>
      <c r="BN3389" s="42"/>
      <c r="BO3389" s="74"/>
      <c r="BP3389" s="77"/>
      <c r="BR3389" s="497">
        <v>69.080000000000013</v>
      </c>
      <c r="BT3389" s="42"/>
    </row>
    <row r="3390" spans="1:72" x14ac:dyDescent="0.25">
      <c r="A3390" s="90">
        <v>36301</v>
      </c>
      <c r="B3390" s="20">
        <v>0.5</v>
      </c>
      <c r="D3390">
        <v>66.92</v>
      </c>
      <c r="E3390" t="str">
        <f t="shared" si="140"/>
        <v>WEEKDAY</v>
      </c>
      <c r="F3390" t="e">
        <f t="shared" si="141"/>
        <v>#N/A</v>
      </c>
      <c r="G3390" s="74">
        <v>31918</v>
      </c>
      <c r="H3390" s="77">
        <v>0.5</v>
      </c>
      <c r="J3390">
        <v>60.980000000000004</v>
      </c>
      <c r="M3390" s="74">
        <v>34475</v>
      </c>
      <c r="N3390" s="77">
        <v>0.5</v>
      </c>
      <c r="P3390">
        <v>63.86</v>
      </c>
      <c r="S3390" s="74">
        <v>36301</v>
      </c>
      <c r="T3390" s="77">
        <v>0.5</v>
      </c>
      <c r="V3390">
        <v>69.98</v>
      </c>
      <c r="X3390" s="42"/>
      <c r="AB3390">
        <v>66</v>
      </c>
      <c r="AC3390">
        <v>62.06</v>
      </c>
      <c r="AE3390" s="74"/>
      <c r="AF3390" s="77"/>
      <c r="AH3390" s="497">
        <v>53.6</v>
      </c>
      <c r="AJ3390" s="42"/>
      <c r="AK3390" s="74"/>
      <c r="AL3390" s="77"/>
      <c r="AN3390" s="497">
        <v>66.92</v>
      </c>
      <c r="AP3390" s="42"/>
      <c r="AQ3390" s="74"/>
      <c r="AR3390" s="77"/>
      <c r="AT3390" s="497">
        <v>64.039999999999992</v>
      </c>
      <c r="AV3390" s="42"/>
      <c r="AW3390" s="74"/>
      <c r="AX3390" s="77"/>
      <c r="BA3390" s="497">
        <v>64.039999999999992</v>
      </c>
      <c r="BB3390" s="42"/>
      <c r="BC3390" s="74"/>
      <c r="BD3390" s="77"/>
      <c r="BF3390">
        <v>64.94</v>
      </c>
      <c r="BH3390" s="42"/>
      <c r="BI3390" s="74"/>
      <c r="BJ3390" s="77"/>
      <c r="BL3390" s="497">
        <v>55.94</v>
      </c>
      <c r="BN3390" s="42"/>
      <c r="BO3390" s="74"/>
      <c r="BP3390" s="77"/>
      <c r="BR3390" s="497">
        <v>73.039999999999992</v>
      </c>
      <c r="BT3390" s="42"/>
    </row>
    <row r="3391" spans="1:72" x14ac:dyDescent="0.25">
      <c r="A3391" s="90">
        <v>36301</v>
      </c>
      <c r="B3391" s="20">
        <v>0.54166666666666663</v>
      </c>
      <c r="D3391">
        <v>69.98</v>
      </c>
      <c r="E3391" t="str">
        <f t="shared" si="140"/>
        <v>WEEKDAY</v>
      </c>
      <c r="F3391" t="e">
        <f t="shared" si="141"/>
        <v>#N/A</v>
      </c>
      <c r="G3391" s="74">
        <v>31918</v>
      </c>
      <c r="H3391" s="77">
        <v>0.54166666666666663</v>
      </c>
      <c r="J3391">
        <v>64.039999999999992</v>
      </c>
      <c r="M3391" s="74">
        <v>34475</v>
      </c>
      <c r="N3391" s="77">
        <v>0.54166666666666663</v>
      </c>
      <c r="P3391">
        <v>65.84</v>
      </c>
      <c r="S3391" s="74">
        <v>36301</v>
      </c>
      <c r="T3391" s="77">
        <v>0.54166666666666663</v>
      </c>
      <c r="V3391">
        <v>71.06</v>
      </c>
      <c r="X3391" s="42"/>
      <c r="AB3391">
        <v>66.8</v>
      </c>
      <c r="AC3391">
        <v>62.06</v>
      </c>
      <c r="AE3391" s="74"/>
      <c r="AF3391" s="77"/>
      <c r="AH3391" s="497">
        <v>55.400000000000006</v>
      </c>
      <c r="AJ3391" s="42"/>
      <c r="AK3391" s="74"/>
      <c r="AL3391" s="77"/>
      <c r="AN3391" s="497">
        <v>68</v>
      </c>
      <c r="AP3391" s="42"/>
      <c r="AQ3391" s="74"/>
      <c r="AR3391" s="77"/>
      <c r="AT3391" s="497">
        <v>62.06</v>
      </c>
      <c r="AV3391" s="42"/>
      <c r="AW3391" s="74"/>
      <c r="AX3391" s="77"/>
      <c r="BA3391" s="497">
        <v>66.02</v>
      </c>
      <c r="BB3391" s="42"/>
      <c r="BC3391" s="74"/>
      <c r="BD3391" s="77"/>
      <c r="BF3391">
        <v>64.94</v>
      </c>
      <c r="BH3391" s="42"/>
      <c r="BI3391" s="74"/>
      <c r="BJ3391" s="77"/>
      <c r="BL3391" s="497">
        <v>59</v>
      </c>
      <c r="BN3391" s="42"/>
      <c r="BO3391" s="74"/>
      <c r="BP3391" s="77"/>
      <c r="BR3391" s="497">
        <v>73.94</v>
      </c>
      <c r="BT3391" s="42"/>
    </row>
    <row r="3392" spans="1:72" x14ac:dyDescent="0.25">
      <c r="A3392" s="90">
        <v>36301</v>
      </c>
      <c r="B3392" s="20">
        <v>0.58333333333333337</v>
      </c>
      <c r="D3392">
        <v>71.06</v>
      </c>
      <c r="E3392" t="str">
        <f t="shared" si="140"/>
        <v>WEEKDAY</v>
      </c>
      <c r="F3392" t="e">
        <f t="shared" si="141"/>
        <v>#N/A</v>
      </c>
      <c r="G3392" s="74">
        <v>31918</v>
      </c>
      <c r="H3392" s="77">
        <v>0.58333333333333337</v>
      </c>
      <c r="J3392">
        <v>66.92</v>
      </c>
      <c r="M3392" s="74">
        <v>34475</v>
      </c>
      <c r="N3392" s="77">
        <v>0.58333333333333337</v>
      </c>
      <c r="P3392">
        <v>68.900000000000006</v>
      </c>
      <c r="S3392" s="74">
        <v>36301</v>
      </c>
      <c r="T3392" s="77">
        <v>0.58333333333333337</v>
      </c>
      <c r="V3392">
        <v>73.039999999999992</v>
      </c>
      <c r="X3392" s="42"/>
      <c r="AB3392">
        <v>67.099999999999994</v>
      </c>
      <c r="AC3392">
        <v>64.039999999999992</v>
      </c>
      <c r="AE3392" s="74"/>
      <c r="AF3392" s="77"/>
      <c r="AH3392" s="497">
        <v>55.400000000000006</v>
      </c>
      <c r="AJ3392" s="42"/>
      <c r="AK3392" s="74"/>
      <c r="AL3392" s="77"/>
      <c r="AN3392" s="497">
        <v>64.94</v>
      </c>
      <c r="AP3392" s="42"/>
      <c r="AQ3392" s="74"/>
      <c r="AR3392" s="77"/>
      <c r="AT3392" s="497">
        <v>62.96</v>
      </c>
      <c r="AV3392" s="42"/>
      <c r="AW3392" s="74"/>
      <c r="AX3392" s="77"/>
      <c r="BA3392" s="497">
        <v>66.92</v>
      </c>
      <c r="BB3392" s="42"/>
      <c r="BC3392" s="74"/>
      <c r="BD3392" s="77"/>
      <c r="BF3392">
        <v>66.92</v>
      </c>
      <c r="BH3392" s="42"/>
      <c r="BI3392" s="74"/>
      <c r="BJ3392" s="77"/>
      <c r="BL3392" s="497">
        <v>59</v>
      </c>
      <c r="BN3392" s="42"/>
      <c r="BO3392" s="74"/>
      <c r="BP3392" s="77"/>
      <c r="BR3392" s="497">
        <v>75.02</v>
      </c>
      <c r="BT3392" s="42"/>
    </row>
    <row r="3393" spans="1:72" x14ac:dyDescent="0.25">
      <c r="A3393" s="90">
        <v>36301</v>
      </c>
      <c r="B3393" s="20">
        <v>0.625</v>
      </c>
      <c r="D3393">
        <v>69.080000000000013</v>
      </c>
      <c r="E3393" t="str">
        <f t="shared" si="140"/>
        <v>WEEKDAY</v>
      </c>
      <c r="F3393" t="e">
        <f t="shared" si="141"/>
        <v>#N/A</v>
      </c>
      <c r="G3393" s="74">
        <v>31918</v>
      </c>
      <c r="H3393" s="77">
        <v>0.625</v>
      </c>
      <c r="J3393">
        <v>71.960000000000008</v>
      </c>
      <c r="M3393" s="74">
        <v>34475</v>
      </c>
      <c r="N3393" s="77">
        <v>0.625</v>
      </c>
      <c r="P3393">
        <v>68.900000000000006</v>
      </c>
      <c r="S3393" s="74">
        <v>36301</v>
      </c>
      <c r="T3393" s="77">
        <v>0.625</v>
      </c>
      <c r="V3393">
        <v>69.98</v>
      </c>
      <c r="X3393" s="42"/>
      <c r="AB3393">
        <v>67</v>
      </c>
      <c r="AC3393">
        <v>62.06</v>
      </c>
      <c r="AE3393" s="74"/>
      <c r="AF3393" s="77"/>
      <c r="AH3393" s="497">
        <v>55.400000000000006</v>
      </c>
      <c r="AJ3393" s="42"/>
      <c r="AK3393" s="74"/>
      <c r="AL3393" s="77"/>
      <c r="AN3393" s="497">
        <v>66.02</v>
      </c>
      <c r="AP3393" s="42"/>
      <c r="AQ3393" s="74"/>
      <c r="AR3393" s="77"/>
      <c r="AT3393" s="497">
        <v>64.94</v>
      </c>
      <c r="AV3393" s="42"/>
      <c r="AW3393" s="74"/>
      <c r="AX3393" s="77"/>
      <c r="BA3393" s="497">
        <v>68</v>
      </c>
      <c r="BB3393" s="42"/>
      <c r="BC3393" s="74"/>
      <c r="BD3393" s="77"/>
      <c r="BF3393">
        <v>66.92</v>
      </c>
      <c r="BH3393" s="42"/>
      <c r="BI3393" s="74"/>
      <c r="BJ3393" s="77"/>
      <c r="BL3393" s="497">
        <v>57.92</v>
      </c>
      <c r="BN3393" s="42"/>
      <c r="BO3393" s="74"/>
      <c r="BP3393" s="77"/>
      <c r="BR3393" s="497">
        <v>75.02</v>
      </c>
      <c r="BT3393" s="42"/>
    </row>
    <row r="3394" spans="1:72" x14ac:dyDescent="0.25">
      <c r="A3394" s="90">
        <v>36301</v>
      </c>
      <c r="B3394" s="20">
        <v>0.66666666666666663</v>
      </c>
      <c r="D3394">
        <v>69.080000000000013</v>
      </c>
      <c r="E3394" t="str">
        <f t="shared" si="140"/>
        <v>WEEKDAY</v>
      </c>
      <c r="F3394" t="e">
        <f t="shared" si="141"/>
        <v>#N/A</v>
      </c>
      <c r="G3394" s="74">
        <v>31918</v>
      </c>
      <c r="H3394" s="77">
        <v>0.66666666666666663</v>
      </c>
      <c r="J3394">
        <v>71.06</v>
      </c>
      <c r="M3394" s="74">
        <v>34475</v>
      </c>
      <c r="N3394" s="77">
        <v>0.66666666666666663</v>
      </c>
      <c r="P3394">
        <v>69.98</v>
      </c>
      <c r="S3394" s="74">
        <v>36301</v>
      </c>
      <c r="T3394" s="77">
        <v>0.66666666666666663</v>
      </c>
      <c r="V3394">
        <v>66.02</v>
      </c>
      <c r="X3394" s="42"/>
      <c r="AB3394">
        <v>66.599999999999994</v>
      </c>
      <c r="AC3394">
        <v>60.980000000000004</v>
      </c>
      <c r="AE3394" s="74"/>
      <c r="AF3394" s="77"/>
      <c r="AH3394" s="497">
        <v>55.400000000000006</v>
      </c>
      <c r="AJ3394" s="42"/>
      <c r="AK3394" s="74"/>
      <c r="AL3394" s="77"/>
      <c r="AN3394" s="497">
        <v>66.92</v>
      </c>
      <c r="AP3394" s="42"/>
      <c r="AQ3394" s="74"/>
      <c r="AR3394" s="77"/>
      <c r="AT3394" s="497">
        <v>66.02</v>
      </c>
      <c r="AV3394" s="42"/>
      <c r="AW3394" s="74"/>
      <c r="AX3394" s="77"/>
      <c r="BA3394" s="497">
        <v>66.92</v>
      </c>
      <c r="BB3394" s="42"/>
      <c r="BC3394" s="74"/>
      <c r="BD3394" s="77"/>
      <c r="BF3394">
        <v>66.02</v>
      </c>
      <c r="BH3394" s="42"/>
      <c r="BI3394" s="74"/>
      <c r="BJ3394" s="77"/>
      <c r="BL3394" s="497">
        <v>59</v>
      </c>
      <c r="BN3394" s="42"/>
      <c r="BO3394" s="74"/>
      <c r="BP3394" s="77"/>
      <c r="BR3394" s="497">
        <v>75.02</v>
      </c>
      <c r="BT3394" s="42"/>
    </row>
    <row r="3395" spans="1:72" x14ac:dyDescent="0.25">
      <c r="A3395" s="90">
        <v>36301</v>
      </c>
      <c r="B3395" s="20">
        <v>0.70833333333333337</v>
      </c>
      <c r="D3395">
        <v>66.92</v>
      </c>
      <c r="E3395" t="str">
        <f t="shared" si="140"/>
        <v>WEEKDAY</v>
      </c>
      <c r="F3395" t="e">
        <f t="shared" si="141"/>
        <v>#N/A</v>
      </c>
      <c r="G3395" s="74">
        <v>31918</v>
      </c>
      <c r="H3395" s="77">
        <v>0.70833333333333337</v>
      </c>
      <c r="J3395">
        <v>69.98</v>
      </c>
      <c r="M3395" s="74">
        <v>34475</v>
      </c>
      <c r="N3395" s="77">
        <v>0.70833333333333337</v>
      </c>
      <c r="P3395">
        <v>68</v>
      </c>
      <c r="S3395" s="74">
        <v>36301</v>
      </c>
      <c r="T3395" s="77">
        <v>0.70833333333333337</v>
      </c>
      <c r="V3395">
        <v>64.94</v>
      </c>
      <c r="X3395" s="42"/>
      <c r="AB3395">
        <v>65.8</v>
      </c>
      <c r="AC3395">
        <v>60.08</v>
      </c>
      <c r="AE3395" s="74"/>
      <c r="AF3395" s="77"/>
      <c r="AH3395" s="497">
        <v>55.400000000000006</v>
      </c>
      <c r="AJ3395" s="42"/>
      <c r="AK3395" s="74"/>
      <c r="AL3395" s="77"/>
      <c r="AN3395" s="497">
        <v>66.02</v>
      </c>
      <c r="AP3395" s="42"/>
      <c r="AQ3395" s="74"/>
      <c r="AR3395" s="77"/>
      <c r="AT3395" s="497">
        <v>68</v>
      </c>
      <c r="AV3395" s="42"/>
      <c r="AW3395" s="74"/>
      <c r="AX3395" s="77"/>
      <c r="BA3395" s="497">
        <v>66.02</v>
      </c>
      <c r="BB3395" s="42"/>
      <c r="BC3395" s="74"/>
      <c r="BD3395" s="77"/>
      <c r="BF3395">
        <v>64.039999999999992</v>
      </c>
      <c r="BH3395" s="42"/>
      <c r="BI3395" s="74"/>
      <c r="BJ3395" s="77"/>
      <c r="BL3395" s="497">
        <v>57.92</v>
      </c>
      <c r="BN3395" s="42"/>
      <c r="BO3395" s="74"/>
      <c r="BP3395" s="77"/>
      <c r="BR3395" s="497">
        <v>73.94</v>
      </c>
      <c r="BT3395" s="42"/>
    </row>
    <row r="3396" spans="1:72" x14ac:dyDescent="0.25">
      <c r="A3396" s="90">
        <v>36301</v>
      </c>
      <c r="B3396" s="20">
        <v>0.75</v>
      </c>
      <c r="D3396">
        <v>64.039999999999992</v>
      </c>
      <c r="E3396" t="str">
        <f t="shared" si="140"/>
        <v>WEEKDAY</v>
      </c>
      <c r="F3396" t="e">
        <f t="shared" si="141"/>
        <v>#N/A</v>
      </c>
      <c r="G3396" s="74">
        <v>31918</v>
      </c>
      <c r="H3396" s="77">
        <v>0.75</v>
      </c>
      <c r="J3396">
        <v>66.92</v>
      </c>
      <c r="M3396" s="74">
        <v>34475</v>
      </c>
      <c r="N3396" s="77">
        <v>0.75</v>
      </c>
      <c r="P3396">
        <v>64.94</v>
      </c>
      <c r="S3396" s="74">
        <v>36301</v>
      </c>
      <c r="T3396" s="77">
        <v>0.75</v>
      </c>
      <c r="V3396">
        <v>64.039999999999992</v>
      </c>
      <c r="X3396" s="42"/>
      <c r="AB3396">
        <v>64.7</v>
      </c>
      <c r="AC3396">
        <v>57.92</v>
      </c>
      <c r="AE3396" s="74"/>
      <c r="AF3396" s="77"/>
      <c r="AH3396" s="497">
        <v>55.400000000000006</v>
      </c>
      <c r="AJ3396" s="42"/>
      <c r="AK3396" s="74"/>
      <c r="AL3396" s="77"/>
      <c r="AN3396" s="497">
        <v>59</v>
      </c>
      <c r="AP3396" s="42"/>
      <c r="AQ3396" s="74"/>
      <c r="AR3396" s="77"/>
      <c r="AT3396" s="497">
        <v>69.080000000000013</v>
      </c>
      <c r="AV3396" s="42"/>
      <c r="AW3396" s="74"/>
      <c r="AX3396" s="77"/>
      <c r="BA3396" s="497">
        <v>62.96</v>
      </c>
      <c r="BB3396" s="42"/>
      <c r="BC3396" s="74"/>
      <c r="BD3396" s="77"/>
      <c r="BF3396">
        <v>62.06</v>
      </c>
      <c r="BH3396" s="42"/>
      <c r="BI3396" s="74"/>
      <c r="BJ3396" s="77"/>
      <c r="BL3396" s="497">
        <v>57.019999999999996</v>
      </c>
      <c r="BN3396" s="42"/>
      <c r="BO3396" s="74"/>
      <c r="BP3396" s="77"/>
      <c r="BR3396" s="497">
        <v>73.94</v>
      </c>
      <c r="BT3396" s="42"/>
    </row>
    <row r="3397" spans="1:72" x14ac:dyDescent="0.25">
      <c r="A3397" s="90">
        <v>36301</v>
      </c>
      <c r="B3397" s="20">
        <v>0.79166666666666663</v>
      </c>
      <c r="D3397">
        <v>60.08</v>
      </c>
      <c r="E3397" t="str">
        <f t="shared" si="140"/>
        <v>WEEKDAY</v>
      </c>
      <c r="F3397" t="e">
        <f t="shared" si="141"/>
        <v>#N/A</v>
      </c>
      <c r="G3397" s="74">
        <v>31918</v>
      </c>
      <c r="H3397" s="77">
        <v>0.79166666666666663</v>
      </c>
      <c r="J3397">
        <v>64.94</v>
      </c>
      <c r="M3397" s="74">
        <v>34475</v>
      </c>
      <c r="N3397" s="77">
        <v>0.79166666666666663</v>
      </c>
      <c r="P3397">
        <v>61.88</v>
      </c>
      <c r="S3397" s="74">
        <v>36301</v>
      </c>
      <c r="T3397" s="77">
        <v>0.79166666666666663</v>
      </c>
      <c r="V3397">
        <v>60.980000000000004</v>
      </c>
      <c r="X3397" s="42"/>
      <c r="AB3397">
        <v>63.5</v>
      </c>
      <c r="AC3397">
        <v>57.019999999999996</v>
      </c>
      <c r="AE3397" s="74"/>
      <c r="AF3397" s="77"/>
      <c r="AH3397" s="497">
        <v>53.6</v>
      </c>
      <c r="AJ3397" s="42"/>
      <c r="AK3397" s="74"/>
      <c r="AL3397" s="77"/>
      <c r="AN3397" s="497">
        <v>60.08</v>
      </c>
      <c r="AP3397" s="42"/>
      <c r="AQ3397" s="74"/>
      <c r="AR3397" s="77"/>
      <c r="AT3397" s="497">
        <v>66.02</v>
      </c>
      <c r="AV3397" s="42"/>
      <c r="AW3397" s="74"/>
      <c r="AX3397" s="77"/>
      <c r="BA3397" s="497">
        <v>60.08</v>
      </c>
      <c r="BB3397" s="42"/>
      <c r="BC3397" s="74"/>
      <c r="BD3397" s="77"/>
      <c r="BF3397">
        <v>60.08</v>
      </c>
      <c r="BH3397" s="42"/>
      <c r="BI3397" s="74"/>
      <c r="BJ3397" s="77"/>
      <c r="BL3397" s="497">
        <v>55.040000000000006</v>
      </c>
      <c r="BN3397" s="42"/>
      <c r="BO3397" s="74"/>
      <c r="BP3397" s="77"/>
      <c r="BR3397" s="497">
        <v>64.94</v>
      </c>
      <c r="BT3397" s="42"/>
    </row>
    <row r="3398" spans="1:72" x14ac:dyDescent="0.25">
      <c r="A3398" s="90">
        <v>36301</v>
      </c>
      <c r="B3398" s="20">
        <v>0.83333333333333337</v>
      </c>
      <c r="D3398">
        <v>57.92</v>
      </c>
      <c r="E3398" t="str">
        <f t="shared" si="140"/>
        <v>WEEKDAY</v>
      </c>
      <c r="F3398" t="e">
        <f t="shared" si="141"/>
        <v>#N/A</v>
      </c>
      <c r="G3398" s="74">
        <v>31918</v>
      </c>
      <c r="H3398" s="77">
        <v>0.83333333333333337</v>
      </c>
      <c r="J3398">
        <v>62.06</v>
      </c>
      <c r="M3398" s="74">
        <v>34475</v>
      </c>
      <c r="N3398" s="77">
        <v>0.83333333333333337</v>
      </c>
      <c r="P3398">
        <v>55.94</v>
      </c>
      <c r="S3398" s="74">
        <v>36301</v>
      </c>
      <c r="T3398" s="77">
        <v>0.83333333333333337</v>
      </c>
      <c r="V3398">
        <v>60.08</v>
      </c>
      <c r="X3398" s="42"/>
      <c r="AB3398">
        <v>62</v>
      </c>
      <c r="AC3398">
        <v>57.019999999999996</v>
      </c>
      <c r="AE3398" s="74"/>
      <c r="AF3398" s="77"/>
      <c r="AH3398" s="497">
        <v>51.8</v>
      </c>
      <c r="AJ3398" s="42"/>
      <c r="AK3398" s="74"/>
      <c r="AL3398" s="77"/>
      <c r="AN3398" s="497">
        <v>60.08</v>
      </c>
      <c r="AP3398" s="42"/>
      <c r="AQ3398" s="74"/>
      <c r="AR3398" s="77"/>
      <c r="AT3398" s="497">
        <v>59</v>
      </c>
      <c r="AV3398" s="42"/>
      <c r="AW3398" s="74"/>
      <c r="AX3398" s="77"/>
      <c r="BA3398" s="497">
        <v>53.06</v>
      </c>
      <c r="BB3398" s="42"/>
      <c r="BC3398" s="74"/>
      <c r="BD3398" s="77"/>
      <c r="BF3398">
        <v>57.92</v>
      </c>
      <c r="BH3398" s="42"/>
      <c r="BI3398" s="74"/>
      <c r="BJ3398" s="77"/>
      <c r="BL3398" s="497">
        <v>55.040000000000006</v>
      </c>
      <c r="BN3398" s="42"/>
      <c r="BO3398" s="74"/>
      <c r="BP3398" s="77"/>
      <c r="BR3398" s="497">
        <v>60.980000000000004</v>
      </c>
      <c r="BT3398" s="42"/>
    </row>
    <row r="3399" spans="1:72" x14ac:dyDescent="0.25">
      <c r="A3399" s="90">
        <v>36301</v>
      </c>
      <c r="B3399" s="20">
        <v>0.875</v>
      </c>
      <c r="D3399">
        <v>57.019999999999996</v>
      </c>
      <c r="E3399" t="str">
        <f t="shared" si="140"/>
        <v>WEEKDAY</v>
      </c>
      <c r="F3399" t="e">
        <f t="shared" si="141"/>
        <v>#N/A</v>
      </c>
      <c r="G3399" s="74">
        <v>31918</v>
      </c>
      <c r="H3399" s="77">
        <v>0.875</v>
      </c>
      <c r="J3399">
        <v>62.06</v>
      </c>
      <c r="M3399" s="74">
        <v>34475</v>
      </c>
      <c r="N3399" s="77">
        <v>0.875</v>
      </c>
      <c r="P3399">
        <v>53.96</v>
      </c>
      <c r="S3399" s="74">
        <v>36301</v>
      </c>
      <c r="T3399" s="77">
        <v>0.875</v>
      </c>
      <c r="V3399">
        <v>59</v>
      </c>
      <c r="X3399" s="42"/>
      <c r="AB3399">
        <v>61</v>
      </c>
      <c r="AC3399">
        <v>57.92</v>
      </c>
      <c r="AE3399" s="74"/>
      <c r="AF3399" s="77"/>
      <c r="AH3399" s="497">
        <v>51.8</v>
      </c>
      <c r="AJ3399" s="42"/>
      <c r="AK3399" s="74"/>
      <c r="AL3399" s="77"/>
      <c r="AN3399" s="497">
        <v>57.92</v>
      </c>
      <c r="AP3399" s="42"/>
      <c r="AQ3399" s="74"/>
      <c r="AR3399" s="77"/>
      <c r="AT3399" s="497">
        <v>60.980000000000004</v>
      </c>
      <c r="AV3399" s="42"/>
      <c r="AW3399" s="74"/>
      <c r="AX3399" s="77"/>
      <c r="BA3399" s="497">
        <v>50</v>
      </c>
      <c r="BB3399" s="42"/>
      <c r="BC3399" s="74"/>
      <c r="BD3399" s="77"/>
      <c r="BF3399">
        <v>57.92</v>
      </c>
      <c r="BH3399" s="42"/>
      <c r="BI3399" s="74"/>
      <c r="BJ3399" s="77"/>
      <c r="BL3399" s="497">
        <v>53.96</v>
      </c>
      <c r="BN3399" s="42"/>
      <c r="BO3399" s="74"/>
      <c r="BP3399" s="77"/>
      <c r="BR3399" s="497">
        <v>60.08</v>
      </c>
      <c r="BT3399" s="42"/>
    </row>
    <row r="3400" spans="1:72" x14ac:dyDescent="0.25">
      <c r="A3400" s="90">
        <v>36301</v>
      </c>
      <c r="B3400" s="20">
        <v>0.91666666666666663</v>
      </c>
      <c r="D3400">
        <v>55.94</v>
      </c>
      <c r="E3400" t="str">
        <f t="shared" si="140"/>
        <v>WEEKDAY</v>
      </c>
      <c r="F3400" t="e">
        <f t="shared" si="141"/>
        <v>#N/A</v>
      </c>
      <c r="G3400" s="74">
        <v>31918</v>
      </c>
      <c r="H3400" s="77">
        <v>0.91666666666666663</v>
      </c>
      <c r="J3400">
        <v>60.980000000000004</v>
      </c>
      <c r="M3400" s="74">
        <v>34475</v>
      </c>
      <c r="N3400" s="77">
        <v>0.91666666666666663</v>
      </c>
      <c r="P3400">
        <v>51.980000000000004</v>
      </c>
      <c r="S3400" s="74">
        <v>36301</v>
      </c>
      <c r="T3400" s="77">
        <v>0.91666666666666663</v>
      </c>
      <c r="V3400">
        <v>59</v>
      </c>
      <c r="X3400" s="42"/>
      <c r="AB3400">
        <v>60.5</v>
      </c>
      <c r="AC3400">
        <v>59</v>
      </c>
      <c r="AE3400" s="74"/>
      <c r="AF3400" s="77"/>
      <c r="AH3400" s="497">
        <v>51.8</v>
      </c>
      <c r="AJ3400" s="42"/>
      <c r="AK3400" s="74"/>
      <c r="AL3400" s="77"/>
      <c r="AN3400" s="497">
        <v>57.019999999999996</v>
      </c>
      <c r="AP3400" s="42"/>
      <c r="AQ3400" s="74"/>
      <c r="AR3400" s="77"/>
      <c r="AT3400" s="497">
        <v>59</v>
      </c>
      <c r="AV3400" s="42"/>
      <c r="AW3400" s="74"/>
      <c r="AX3400" s="77"/>
      <c r="BA3400" s="497">
        <v>48.92</v>
      </c>
      <c r="BB3400" s="42"/>
      <c r="BC3400" s="74"/>
      <c r="BD3400" s="77"/>
      <c r="BF3400">
        <v>57.92</v>
      </c>
      <c r="BH3400" s="42"/>
      <c r="BI3400" s="74"/>
      <c r="BJ3400" s="77"/>
      <c r="BL3400" s="497">
        <v>53.96</v>
      </c>
      <c r="BN3400" s="42"/>
      <c r="BO3400" s="74"/>
      <c r="BP3400" s="77"/>
      <c r="BR3400" s="497">
        <v>60.08</v>
      </c>
      <c r="BT3400" s="42"/>
    </row>
    <row r="3401" spans="1:72" x14ac:dyDescent="0.25">
      <c r="A3401" s="90">
        <v>36301</v>
      </c>
      <c r="B3401" s="20">
        <v>0.95833333333333337</v>
      </c>
      <c r="D3401">
        <v>55.040000000000006</v>
      </c>
      <c r="E3401" t="str">
        <f t="shared" si="140"/>
        <v>WEEKDAY</v>
      </c>
      <c r="F3401" t="e">
        <f t="shared" si="141"/>
        <v>#N/A</v>
      </c>
      <c r="G3401" s="74">
        <v>31918</v>
      </c>
      <c r="H3401" s="77">
        <v>0.95833333333333337</v>
      </c>
      <c r="J3401">
        <v>60.08</v>
      </c>
      <c r="M3401" s="74">
        <v>34475</v>
      </c>
      <c r="N3401" s="77">
        <v>0.95833333333333337</v>
      </c>
      <c r="P3401">
        <v>48.92</v>
      </c>
      <c r="S3401" s="74">
        <v>36301</v>
      </c>
      <c r="T3401" s="77">
        <v>0.95833333333333337</v>
      </c>
      <c r="V3401">
        <v>59</v>
      </c>
      <c r="X3401" s="42"/>
      <c r="AB3401">
        <v>59.9</v>
      </c>
      <c r="AC3401">
        <v>57.92</v>
      </c>
      <c r="AE3401" s="74"/>
      <c r="AF3401" s="77"/>
      <c r="AH3401" s="497">
        <v>51.8</v>
      </c>
      <c r="AJ3401" s="42"/>
      <c r="AK3401" s="74"/>
      <c r="AL3401" s="77"/>
      <c r="AN3401" s="497">
        <v>57.019999999999996</v>
      </c>
      <c r="AP3401" s="42"/>
      <c r="AQ3401" s="74"/>
      <c r="AR3401" s="77"/>
      <c r="AT3401" s="497">
        <v>55.040000000000006</v>
      </c>
      <c r="AV3401" s="42"/>
      <c r="AW3401" s="74"/>
      <c r="AX3401" s="77"/>
      <c r="BA3401" s="497">
        <v>46.94</v>
      </c>
      <c r="BB3401" s="42"/>
      <c r="BC3401" s="74"/>
      <c r="BD3401" s="77"/>
      <c r="BF3401">
        <v>53.96</v>
      </c>
      <c r="BH3401" s="42"/>
      <c r="BI3401" s="74"/>
      <c r="BJ3401" s="77"/>
      <c r="BL3401" s="497">
        <v>53.96</v>
      </c>
      <c r="BN3401" s="42"/>
      <c r="BO3401" s="74"/>
      <c r="BP3401" s="77"/>
      <c r="BR3401" s="497">
        <v>59</v>
      </c>
      <c r="BT3401" s="42"/>
    </row>
    <row r="3402" spans="1:72" x14ac:dyDescent="0.25">
      <c r="A3402" s="90">
        <v>36301</v>
      </c>
      <c r="B3402" s="20">
        <v>1</v>
      </c>
      <c r="D3402">
        <v>55.040000000000006</v>
      </c>
      <c r="E3402" t="str">
        <f t="shared" si="140"/>
        <v>WEEKDAY</v>
      </c>
      <c r="F3402" t="e">
        <f t="shared" si="141"/>
        <v>#N/A</v>
      </c>
      <c r="G3402" s="74">
        <v>31918</v>
      </c>
      <c r="H3402" s="77">
        <v>1</v>
      </c>
      <c r="J3402">
        <v>60.08</v>
      </c>
      <c r="M3402" s="74">
        <v>34475</v>
      </c>
      <c r="N3402" s="80">
        <v>1</v>
      </c>
      <c r="P3402">
        <v>47.84</v>
      </c>
      <c r="S3402" s="74">
        <v>36301</v>
      </c>
      <c r="T3402" s="80">
        <v>1</v>
      </c>
      <c r="V3402">
        <v>59</v>
      </c>
      <c r="X3402" s="42"/>
      <c r="AB3402">
        <v>59.4</v>
      </c>
      <c r="AC3402">
        <v>57.019999999999996</v>
      </c>
      <c r="AE3402" s="74"/>
      <c r="AF3402" s="80"/>
      <c r="AH3402" s="497">
        <v>51.8</v>
      </c>
      <c r="AJ3402" s="42"/>
      <c r="AK3402" s="74"/>
      <c r="AL3402" s="80"/>
      <c r="AN3402" s="497">
        <v>57.019999999999996</v>
      </c>
      <c r="AP3402" s="42"/>
      <c r="AQ3402" s="74"/>
      <c r="AR3402" s="80"/>
      <c r="AT3402" s="497">
        <v>51.980000000000004</v>
      </c>
      <c r="AV3402" s="42"/>
      <c r="AW3402" s="74"/>
      <c r="AX3402" s="80"/>
      <c r="BA3402" s="497">
        <v>46.04</v>
      </c>
      <c r="BB3402" s="42"/>
      <c r="BC3402" s="74"/>
      <c r="BD3402" s="80"/>
      <c r="BF3402">
        <v>51.980000000000004</v>
      </c>
      <c r="BH3402" s="42"/>
      <c r="BI3402" s="74"/>
      <c r="BJ3402" s="80"/>
      <c r="BL3402" s="497">
        <v>53.06</v>
      </c>
      <c r="BN3402" s="42"/>
      <c r="BO3402" s="74"/>
      <c r="BP3402" s="80"/>
      <c r="BR3402" s="497">
        <v>55.040000000000006</v>
      </c>
      <c r="BT3402" s="42"/>
    </row>
    <row r="3403" spans="1:72" x14ac:dyDescent="0.25">
      <c r="A3403" s="90">
        <v>36302</v>
      </c>
      <c r="B3403" s="20">
        <v>4.1666666666666664E-2</v>
      </c>
      <c r="D3403">
        <v>55.040000000000006</v>
      </c>
      <c r="E3403" t="str">
        <f t="shared" si="140"/>
        <v>SATURDAY</v>
      </c>
      <c r="F3403" t="e">
        <f t="shared" si="141"/>
        <v>#N/A</v>
      </c>
      <c r="G3403" s="74">
        <v>31919</v>
      </c>
      <c r="H3403" s="77">
        <v>4.1666666666666664E-2</v>
      </c>
      <c r="J3403">
        <v>59</v>
      </c>
      <c r="M3403" s="74">
        <v>34476</v>
      </c>
      <c r="N3403" s="77">
        <v>4.1666666666666664E-2</v>
      </c>
      <c r="P3403">
        <v>45.86</v>
      </c>
      <c r="S3403" s="74">
        <v>36302</v>
      </c>
      <c r="T3403" s="77">
        <v>4.1666666666666664E-2</v>
      </c>
      <c r="V3403">
        <v>57.019999999999996</v>
      </c>
      <c r="X3403" s="42"/>
      <c r="AB3403">
        <v>58.9</v>
      </c>
      <c r="AC3403">
        <v>57.92</v>
      </c>
      <c r="AE3403" s="74"/>
      <c r="AF3403" s="77"/>
      <c r="AH3403" s="497">
        <v>51.8</v>
      </c>
      <c r="AJ3403" s="42"/>
      <c r="AK3403" s="74"/>
      <c r="AL3403" s="77"/>
      <c r="AN3403" s="497">
        <v>55.94</v>
      </c>
      <c r="AP3403" s="42"/>
      <c r="AQ3403" s="74"/>
      <c r="AR3403" s="77"/>
      <c r="AT3403" s="497">
        <v>51.980000000000004</v>
      </c>
      <c r="AV3403" s="42"/>
      <c r="AW3403" s="74"/>
      <c r="AX3403" s="77"/>
      <c r="BA3403" s="497">
        <v>46.94</v>
      </c>
      <c r="BB3403" s="42"/>
      <c r="BC3403" s="74"/>
      <c r="BD3403" s="77"/>
      <c r="BF3403">
        <v>51.08</v>
      </c>
      <c r="BH3403" s="42"/>
      <c r="BI3403" s="74"/>
      <c r="BJ3403" s="77"/>
      <c r="BL3403" s="497">
        <v>53.06</v>
      </c>
      <c r="BN3403" s="42"/>
      <c r="BO3403" s="74"/>
      <c r="BP3403" s="77"/>
      <c r="BR3403" s="497">
        <v>51.08</v>
      </c>
      <c r="BT3403" s="42"/>
    </row>
    <row r="3404" spans="1:72" x14ac:dyDescent="0.25">
      <c r="A3404" s="90">
        <v>36302</v>
      </c>
      <c r="B3404" s="20">
        <v>8.3333333333333329E-2</v>
      </c>
      <c r="D3404">
        <v>55.040000000000006</v>
      </c>
      <c r="E3404" t="str">
        <f t="shared" si="140"/>
        <v>SATURDAY</v>
      </c>
      <c r="F3404" t="e">
        <f t="shared" si="141"/>
        <v>#N/A</v>
      </c>
      <c r="G3404" s="74">
        <v>31919</v>
      </c>
      <c r="H3404" s="77">
        <v>8.3333333333333329E-2</v>
      </c>
      <c r="J3404">
        <v>57.92</v>
      </c>
      <c r="M3404" s="74">
        <v>34476</v>
      </c>
      <c r="N3404" s="77">
        <v>8.3333333333333329E-2</v>
      </c>
      <c r="P3404">
        <v>45.86</v>
      </c>
      <c r="S3404" s="74">
        <v>36302</v>
      </c>
      <c r="T3404" s="77">
        <v>8.3333333333333329E-2</v>
      </c>
      <c r="V3404">
        <v>57.92</v>
      </c>
      <c r="X3404" s="42"/>
      <c r="AB3404">
        <v>58.3</v>
      </c>
      <c r="AC3404">
        <v>59</v>
      </c>
      <c r="AE3404" s="74"/>
      <c r="AF3404" s="77"/>
      <c r="AH3404" s="497">
        <v>51.620000000000005</v>
      </c>
      <c r="AJ3404" s="42"/>
      <c r="AK3404" s="74"/>
      <c r="AL3404" s="77"/>
      <c r="AN3404" s="497">
        <v>57.019999999999996</v>
      </c>
      <c r="AP3404" s="42"/>
      <c r="AQ3404" s="74"/>
      <c r="AR3404" s="77"/>
      <c r="AT3404" s="497">
        <v>50</v>
      </c>
      <c r="AV3404" s="42"/>
      <c r="AW3404" s="74"/>
      <c r="AX3404" s="77"/>
      <c r="BA3404" s="497">
        <v>46.04</v>
      </c>
      <c r="BB3404" s="42"/>
      <c r="BC3404" s="74"/>
      <c r="BD3404" s="77"/>
      <c r="BF3404">
        <v>50</v>
      </c>
      <c r="BH3404" s="42"/>
      <c r="BI3404" s="74"/>
      <c r="BJ3404" s="77"/>
      <c r="BL3404" s="497">
        <v>53.06</v>
      </c>
      <c r="BN3404" s="42"/>
      <c r="BO3404" s="74"/>
      <c r="BP3404" s="77"/>
      <c r="BR3404" s="497">
        <v>51.08</v>
      </c>
      <c r="BT3404" s="42"/>
    </row>
    <row r="3405" spans="1:72" x14ac:dyDescent="0.25">
      <c r="A3405" s="90">
        <v>36302</v>
      </c>
      <c r="B3405" s="20">
        <v>0.125</v>
      </c>
      <c r="D3405">
        <v>55.040000000000006</v>
      </c>
      <c r="E3405" t="str">
        <f t="shared" si="140"/>
        <v>SATURDAY</v>
      </c>
      <c r="F3405" t="e">
        <f t="shared" si="141"/>
        <v>#N/A</v>
      </c>
      <c r="G3405" s="74">
        <v>31919</v>
      </c>
      <c r="H3405" s="77">
        <v>0.125</v>
      </c>
      <c r="J3405">
        <v>57.92</v>
      </c>
      <c r="M3405" s="74">
        <v>34476</v>
      </c>
      <c r="N3405" s="77">
        <v>0.125</v>
      </c>
      <c r="P3405">
        <v>45.86</v>
      </c>
      <c r="S3405" s="74">
        <v>36302</v>
      </c>
      <c r="T3405" s="77">
        <v>0.125</v>
      </c>
      <c r="V3405">
        <v>59</v>
      </c>
      <c r="X3405" s="42"/>
      <c r="AB3405">
        <v>57.8</v>
      </c>
      <c r="AC3405">
        <v>59</v>
      </c>
      <c r="AE3405" s="74"/>
      <c r="AF3405" s="77"/>
      <c r="AH3405" s="497">
        <v>51.8</v>
      </c>
      <c r="AJ3405" s="42"/>
      <c r="AK3405" s="74"/>
      <c r="AL3405" s="77"/>
      <c r="AN3405" s="497">
        <v>55.94</v>
      </c>
      <c r="AP3405" s="42"/>
      <c r="AQ3405" s="74"/>
      <c r="AR3405" s="77"/>
      <c r="AT3405" s="497">
        <v>48.019999999999996</v>
      </c>
      <c r="AV3405" s="42"/>
      <c r="AW3405" s="74"/>
      <c r="AX3405" s="77"/>
      <c r="BA3405" s="497">
        <v>46.04</v>
      </c>
      <c r="BB3405" s="42"/>
      <c r="BC3405" s="74"/>
      <c r="BD3405" s="77"/>
      <c r="BF3405">
        <v>48.92</v>
      </c>
      <c r="BH3405" s="42"/>
      <c r="BI3405" s="74"/>
      <c r="BJ3405" s="77"/>
      <c r="BL3405" s="497">
        <v>53.06</v>
      </c>
      <c r="BN3405" s="42"/>
      <c r="BO3405" s="74"/>
      <c r="BP3405" s="77"/>
      <c r="BR3405" s="497">
        <v>51.08</v>
      </c>
      <c r="BT3405" s="42"/>
    </row>
    <row r="3406" spans="1:72" x14ac:dyDescent="0.25">
      <c r="A3406" s="90">
        <v>36302</v>
      </c>
      <c r="B3406" s="20">
        <v>0.16666666666666666</v>
      </c>
      <c r="D3406">
        <v>53.96</v>
      </c>
      <c r="E3406" t="str">
        <f t="shared" si="140"/>
        <v>SATURDAY</v>
      </c>
      <c r="F3406" t="e">
        <f t="shared" si="141"/>
        <v>#N/A</v>
      </c>
      <c r="G3406" s="74">
        <v>31919</v>
      </c>
      <c r="H3406" s="77">
        <v>0.16666666666666666</v>
      </c>
      <c r="J3406">
        <v>57.92</v>
      </c>
      <c r="M3406" s="74">
        <v>34476</v>
      </c>
      <c r="N3406" s="77">
        <v>0.16666666666666666</v>
      </c>
      <c r="P3406">
        <v>45.86</v>
      </c>
      <c r="S3406" s="74">
        <v>36302</v>
      </c>
      <c r="T3406" s="77">
        <v>0.16666666666666666</v>
      </c>
      <c r="V3406">
        <v>55.040000000000006</v>
      </c>
      <c r="X3406" s="42"/>
      <c r="AB3406">
        <v>57.2</v>
      </c>
      <c r="AC3406">
        <v>59</v>
      </c>
      <c r="AE3406" s="74"/>
      <c r="AF3406" s="77"/>
      <c r="AH3406" s="497">
        <v>51.8</v>
      </c>
      <c r="AJ3406" s="42"/>
      <c r="AK3406" s="74"/>
      <c r="AL3406" s="77"/>
      <c r="AN3406" s="497">
        <v>55.94</v>
      </c>
      <c r="AP3406" s="42"/>
      <c r="AQ3406" s="74"/>
      <c r="AR3406" s="77"/>
      <c r="AT3406" s="497">
        <v>46.94</v>
      </c>
      <c r="AV3406" s="42"/>
      <c r="AW3406" s="74"/>
      <c r="AX3406" s="77"/>
      <c r="BA3406" s="497">
        <v>44.96</v>
      </c>
      <c r="BB3406" s="42"/>
      <c r="BC3406" s="74"/>
      <c r="BD3406" s="77"/>
      <c r="BF3406">
        <v>48.92</v>
      </c>
      <c r="BH3406" s="42"/>
      <c r="BI3406" s="74"/>
      <c r="BJ3406" s="77"/>
      <c r="BL3406" s="497">
        <v>51.980000000000004</v>
      </c>
      <c r="BN3406" s="42"/>
      <c r="BO3406" s="74"/>
      <c r="BP3406" s="77"/>
      <c r="BR3406" s="497">
        <v>48.92</v>
      </c>
      <c r="BT3406" s="42"/>
    </row>
    <row r="3407" spans="1:72" x14ac:dyDescent="0.25">
      <c r="A3407" s="90">
        <v>36302</v>
      </c>
      <c r="B3407" s="20">
        <v>0.20833333333333334</v>
      </c>
      <c r="D3407">
        <v>53.96</v>
      </c>
      <c r="E3407" t="str">
        <f t="shared" si="140"/>
        <v>SATURDAY</v>
      </c>
      <c r="F3407" t="e">
        <f t="shared" si="141"/>
        <v>#N/A</v>
      </c>
      <c r="G3407" s="74">
        <v>31919</v>
      </c>
      <c r="H3407" s="77">
        <v>0.20833333333333334</v>
      </c>
      <c r="J3407">
        <v>57.92</v>
      </c>
      <c r="M3407" s="74">
        <v>34476</v>
      </c>
      <c r="N3407" s="77">
        <v>0.20833333333333334</v>
      </c>
      <c r="P3407">
        <v>46.94</v>
      </c>
      <c r="S3407" s="74">
        <v>36302</v>
      </c>
      <c r="T3407" s="77">
        <v>0.20833333333333334</v>
      </c>
      <c r="V3407">
        <v>57.019999999999996</v>
      </c>
      <c r="X3407" s="42"/>
      <c r="AB3407">
        <v>56.9</v>
      </c>
      <c r="AC3407">
        <v>59</v>
      </c>
      <c r="AE3407" s="74"/>
      <c r="AF3407" s="77"/>
      <c r="AH3407" s="497">
        <v>51.8</v>
      </c>
      <c r="AJ3407" s="42"/>
      <c r="AK3407" s="74"/>
      <c r="AL3407" s="77"/>
      <c r="AN3407" s="497">
        <v>55.94</v>
      </c>
      <c r="AP3407" s="42"/>
      <c r="AQ3407" s="74"/>
      <c r="AR3407" s="77"/>
      <c r="AT3407" s="497">
        <v>46.04</v>
      </c>
      <c r="AV3407" s="42"/>
      <c r="AW3407" s="74"/>
      <c r="AX3407" s="77"/>
      <c r="BA3407" s="497">
        <v>44.06</v>
      </c>
      <c r="BB3407" s="42"/>
      <c r="BC3407" s="74"/>
      <c r="BD3407" s="77"/>
      <c r="BF3407">
        <v>48.019999999999996</v>
      </c>
      <c r="BH3407" s="42"/>
      <c r="BI3407" s="74"/>
      <c r="BJ3407" s="77"/>
      <c r="BL3407" s="497">
        <v>51.08</v>
      </c>
      <c r="BN3407" s="42"/>
      <c r="BO3407" s="74"/>
      <c r="BP3407" s="77"/>
      <c r="BR3407" s="497">
        <v>48.92</v>
      </c>
      <c r="BT3407" s="42"/>
    </row>
    <row r="3408" spans="1:72" x14ac:dyDescent="0.25">
      <c r="A3408" s="90">
        <v>36302</v>
      </c>
      <c r="B3408" s="20">
        <v>0.25</v>
      </c>
      <c r="D3408">
        <v>57.92</v>
      </c>
      <c r="E3408" t="str">
        <f t="shared" si="140"/>
        <v>SATURDAY</v>
      </c>
      <c r="F3408" t="e">
        <f t="shared" si="141"/>
        <v>#N/A</v>
      </c>
      <c r="G3408" s="74">
        <v>31919</v>
      </c>
      <c r="H3408" s="77">
        <v>0.25</v>
      </c>
      <c r="J3408">
        <v>60.08</v>
      </c>
      <c r="M3408" s="74">
        <v>34476</v>
      </c>
      <c r="N3408" s="77">
        <v>0.25</v>
      </c>
      <c r="P3408">
        <v>53.96</v>
      </c>
      <c r="S3408" s="74">
        <v>36302</v>
      </c>
      <c r="T3408" s="77">
        <v>0.25</v>
      </c>
      <c r="V3408">
        <v>57.92</v>
      </c>
      <c r="X3408" s="42"/>
      <c r="AB3408">
        <v>56.7</v>
      </c>
      <c r="AC3408">
        <v>57.92</v>
      </c>
      <c r="AE3408" s="74"/>
      <c r="AF3408" s="77"/>
      <c r="AH3408" s="497">
        <v>51.8</v>
      </c>
      <c r="AJ3408" s="42"/>
      <c r="AK3408" s="74"/>
      <c r="AL3408" s="77"/>
      <c r="AN3408" s="497">
        <v>57.019999999999996</v>
      </c>
      <c r="AP3408" s="42"/>
      <c r="AQ3408" s="74"/>
      <c r="AR3408" s="77"/>
      <c r="AT3408" s="497">
        <v>48.92</v>
      </c>
      <c r="AV3408" s="42"/>
      <c r="AW3408" s="74"/>
      <c r="AX3408" s="77"/>
      <c r="BA3408" s="497">
        <v>48.019999999999996</v>
      </c>
      <c r="BB3408" s="42"/>
      <c r="BC3408" s="74"/>
      <c r="BD3408" s="77"/>
      <c r="BF3408">
        <v>50</v>
      </c>
      <c r="BH3408" s="42"/>
      <c r="BI3408" s="74"/>
      <c r="BJ3408" s="77"/>
      <c r="BL3408" s="497">
        <v>51.980000000000004</v>
      </c>
      <c r="BN3408" s="42"/>
      <c r="BO3408" s="74"/>
      <c r="BP3408" s="77"/>
      <c r="BR3408" s="497">
        <v>48.92</v>
      </c>
      <c r="BT3408" s="42"/>
    </row>
    <row r="3409" spans="1:72" x14ac:dyDescent="0.25">
      <c r="A3409" s="90">
        <v>36302</v>
      </c>
      <c r="B3409" s="20">
        <v>0.29166666666666669</v>
      </c>
      <c r="D3409">
        <v>60.08</v>
      </c>
      <c r="E3409" t="str">
        <f t="shared" si="140"/>
        <v>SATURDAY</v>
      </c>
      <c r="F3409" t="e">
        <f t="shared" si="141"/>
        <v>#N/A</v>
      </c>
      <c r="G3409" s="74">
        <v>31919</v>
      </c>
      <c r="H3409" s="77">
        <v>0.29166666666666669</v>
      </c>
      <c r="J3409">
        <v>60.08</v>
      </c>
      <c r="M3409" s="74">
        <v>34476</v>
      </c>
      <c r="N3409" s="77">
        <v>0.29166666666666669</v>
      </c>
      <c r="P3409">
        <v>59.900000000000006</v>
      </c>
      <c r="S3409" s="74">
        <v>36302</v>
      </c>
      <c r="T3409" s="77">
        <v>0.29166666666666669</v>
      </c>
      <c r="V3409">
        <v>64.94</v>
      </c>
      <c r="X3409" s="42"/>
      <c r="AB3409">
        <v>58.1</v>
      </c>
      <c r="AC3409">
        <v>59</v>
      </c>
      <c r="AE3409" s="74"/>
      <c r="AF3409" s="77"/>
      <c r="AH3409" s="497">
        <v>55.400000000000006</v>
      </c>
      <c r="AJ3409" s="42"/>
      <c r="AK3409" s="74"/>
      <c r="AL3409" s="77"/>
      <c r="AN3409" s="497">
        <v>57.92</v>
      </c>
      <c r="AP3409" s="42"/>
      <c r="AQ3409" s="74"/>
      <c r="AR3409" s="77"/>
      <c r="AT3409" s="497">
        <v>55.040000000000006</v>
      </c>
      <c r="AV3409" s="42"/>
      <c r="AW3409" s="74"/>
      <c r="AX3409" s="77"/>
      <c r="BA3409" s="497">
        <v>51.980000000000004</v>
      </c>
      <c r="BB3409" s="42"/>
      <c r="BC3409" s="74"/>
      <c r="BD3409" s="77"/>
      <c r="BF3409">
        <v>51.980000000000004</v>
      </c>
      <c r="BH3409" s="42"/>
      <c r="BI3409" s="74"/>
      <c r="BJ3409" s="77"/>
      <c r="BL3409" s="497">
        <v>53.96</v>
      </c>
      <c r="BN3409" s="42"/>
      <c r="BO3409" s="74"/>
      <c r="BP3409" s="77"/>
      <c r="BR3409" s="497">
        <v>51.980000000000004</v>
      </c>
      <c r="BT3409" s="42"/>
    </row>
    <row r="3410" spans="1:72" x14ac:dyDescent="0.25">
      <c r="A3410" s="90">
        <v>36302</v>
      </c>
      <c r="B3410" s="20">
        <v>0.33333333333333331</v>
      </c>
      <c r="D3410">
        <v>66.92</v>
      </c>
      <c r="E3410" t="str">
        <f t="shared" si="140"/>
        <v>SATURDAY</v>
      </c>
      <c r="F3410" t="e">
        <f t="shared" si="141"/>
        <v>#N/A</v>
      </c>
      <c r="G3410" s="74">
        <v>31919</v>
      </c>
      <c r="H3410" s="77">
        <v>0.33333333333333331</v>
      </c>
      <c r="J3410">
        <v>66.02</v>
      </c>
      <c r="M3410" s="74">
        <v>34476</v>
      </c>
      <c r="N3410" s="77">
        <v>0.33333333333333331</v>
      </c>
      <c r="P3410">
        <v>66.92</v>
      </c>
      <c r="S3410" s="74">
        <v>36302</v>
      </c>
      <c r="T3410" s="77">
        <v>0.33333333333333331</v>
      </c>
      <c r="V3410">
        <v>69.98</v>
      </c>
      <c r="X3410" s="42"/>
      <c r="AB3410">
        <v>60</v>
      </c>
      <c r="AC3410">
        <v>59</v>
      </c>
      <c r="AE3410" s="74"/>
      <c r="AF3410" s="77"/>
      <c r="AH3410" s="497">
        <v>55.400000000000006</v>
      </c>
      <c r="AJ3410" s="42"/>
      <c r="AK3410" s="74"/>
      <c r="AL3410" s="77"/>
      <c r="AN3410" s="497">
        <v>60.08</v>
      </c>
      <c r="AP3410" s="42"/>
      <c r="AQ3410" s="74"/>
      <c r="AR3410" s="77"/>
      <c r="AT3410" s="497">
        <v>57.92</v>
      </c>
      <c r="AV3410" s="42"/>
      <c r="AW3410" s="74"/>
      <c r="AX3410" s="77"/>
      <c r="BA3410" s="497">
        <v>55.040000000000006</v>
      </c>
      <c r="BB3410" s="42"/>
      <c r="BC3410" s="74"/>
      <c r="BD3410" s="77"/>
      <c r="BF3410">
        <v>55.040000000000006</v>
      </c>
      <c r="BH3410" s="42"/>
      <c r="BI3410" s="74"/>
      <c r="BJ3410" s="77"/>
      <c r="BL3410" s="497">
        <v>53.96</v>
      </c>
      <c r="BN3410" s="42"/>
      <c r="BO3410" s="74"/>
      <c r="BP3410" s="77"/>
      <c r="BR3410" s="497">
        <v>53.06</v>
      </c>
      <c r="BT3410" s="42"/>
    </row>
    <row r="3411" spans="1:72" x14ac:dyDescent="0.25">
      <c r="A3411" s="90">
        <v>36302</v>
      </c>
      <c r="B3411" s="20">
        <v>0.375</v>
      </c>
      <c r="D3411">
        <v>73.039999999999992</v>
      </c>
      <c r="E3411" t="str">
        <f t="shared" ref="E3411:E3474" si="142">IF(COUNTIF($DI$18:$DI$22, WEEKDAY(A3411))=1, "WEEKDAY", IF(WEEKDAY(A3411) = 1, "SUNDAY", "SATURDAY"))</f>
        <v>SATURDAY</v>
      </c>
      <c r="F3411" t="e">
        <f t="shared" si="141"/>
        <v>#N/A</v>
      </c>
      <c r="G3411" s="74">
        <v>31919</v>
      </c>
      <c r="H3411" s="77">
        <v>0.375</v>
      </c>
      <c r="J3411">
        <v>66.92</v>
      </c>
      <c r="M3411" s="74">
        <v>34476</v>
      </c>
      <c r="N3411" s="77">
        <v>0.375</v>
      </c>
      <c r="P3411">
        <v>71.960000000000008</v>
      </c>
      <c r="S3411" s="74">
        <v>36302</v>
      </c>
      <c r="T3411" s="77">
        <v>0.375</v>
      </c>
      <c r="V3411">
        <v>71.960000000000008</v>
      </c>
      <c r="X3411" s="42"/>
      <c r="AB3411">
        <v>61.9</v>
      </c>
      <c r="AC3411">
        <v>60.08</v>
      </c>
      <c r="AE3411" s="74"/>
      <c r="AF3411" s="77"/>
      <c r="AH3411" s="497">
        <v>55.400000000000006</v>
      </c>
      <c r="AJ3411" s="42"/>
      <c r="AK3411" s="74"/>
      <c r="AL3411" s="77"/>
      <c r="AN3411" s="497">
        <v>60.08</v>
      </c>
      <c r="AP3411" s="42"/>
      <c r="AQ3411" s="74"/>
      <c r="AR3411" s="77"/>
      <c r="AT3411" s="497">
        <v>60.980000000000004</v>
      </c>
      <c r="AV3411" s="42"/>
      <c r="AW3411" s="74"/>
      <c r="AX3411" s="77"/>
      <c r="BA3411" s="497">
        <v>60.08</v>
      </c>
      <c r="BB3411" s="42"/>
      <c r="BC3411" s="74"/>
      <c r="BD3411" s="77"/>
      <c r="BF3411">
        <v>57.019999999999996</v>
      </c>
      <c r="BH3411" s="42"/>
      <c r="BI3411" s="74"/>
      <c r="BJ3411" s="77"/>
      <c r="BL3411" s="497">
        <v>55.040000000000006</v>
      </c>
      <c r="BN3411" s="42"/>
      <c r="BO3411" s="74"/>
      <c r="BP3411" s="77"/>
      <c r="BR3411" s="497">
        <v>55.94</v>
      </c>
      <c r="BT3411" s="42"/>
    </row>
    <row r="3412" spans="1:72" x14ac:dyDescent="0.25">
      <c r="A3412" s="90">
        <v>36302</v>
      </c>
      <c r="B3412" s="20">
        <v>0.41666666666666669</v>
      </c>
      <c r="D3412">
        <v>75.02</v>
      </c>
      <c r="E3412" t="str">
        <f t="shared" si="142"/>
        <v>SATURDAY</v>
      </c>
      <c r="F3412" t="e">
        <f t="shared" si="141"/>
        <v>#N/A</v>
      </c>
      <c r="G3412" s="74">
        <v>31919</v>
      </c>
      <c r="H3412" s="77">
        <v>0.41666666666666669</v>
      </c>
      <c r="J3412">
        <v>69.080000000000013</v>
      </c>
      <c r="M3412" s="74">
        <v>34476</v>
      </c>
      <c r="N3412" s="77">
        <v>0.41666666666666669</v>
      </c>
      <c r="P3412">
        <v>77</v>
      </c>
      <c r="S3412" s="74">
        <v>36302</v>
      </c>
      <c r="T3412" s="77">
        <v>0.41666666666666669</v>
      </c>
      <c r="V3412">
        <v>73.94</v>
      </c>
      <c r="X3412" s="42"/>
      <c r="AB3412">
        <v>63.7</v>
      </c>
      <c r="AC3412">
        <v>62.06</v>
      </c>
      <c r="AE3412" s="74"/>
      <c r="AF3412" s="77"/>
      <c r="AH3412" s="497">
        <v>55.400000000000006</v>
      </c>
      <c r="AJ3412" s="42"/>
      <c r="AK3412" s="74"/>
      <c r="AL3412" s="77"/>
      <c r="AN3412" s="497">
        <v>62.96</v>
      </c>
      <c r="AP3412" s="42"/>
      <c r="AQ3412" s="74"/>
      <c r="AR3412" s="77"/>
      <c r="AT3412" s="497">
        <v>64.039999999999992</v>
      </c>
      <c r="AV3412" s="42"/>
      <c r="AW3412" s="74"/>
      <c r="AX3412" s="77"/>
      <c r="BA3412" s="497">
        <v>62.06</v>
      </c>
      <c r="BB3412" s="42"/>
      <c r="BC3412" s="74"/>
      <c r="BD3412" s="77"/>
      <c r="BF3412">
        <v>57.92</v>
      </c>
      <c r="BH3412" s="42"/>
      <c r="BI3412" s="74"/>
      <c r="BJ3412" s="77"/>
      <c r="BL3412" s="497">
        <v>57.019999999999996</v>
      </c>
      <c r="BN3412" s="42"/>
      <c r="BO3412" s="74"/>
      <c r="BP3412" s="77"/>
      <c r="BR3412" s="497">
        <v>57.019999999999996</v>
      </c>
      <c r="BT3412" s="42"/>
    </row>
    <row r="3413" spans="1:72" x14ac:dyDescent="0.25">
      <c r="A3413" s="90">
        <v>36302</v>
      </c>
      <c r="B3413" s="20">
        <v>0.45833333333333331</v>
      </c>
      <c r="D3413">
        <v>75.02</v>
      </c>
      <c r="E3413" t="str">
        <f t="shared" si="142"/>
        <v>SATURDAY</v>
      </c>
      <c r="F3413" t="e">
        <f t="shared" si="141"/>
        <v>#N/A</v>
      </c>
      <c r="G3413" s="74">
        <v>31919</v>
      </c>
      <c r="H3413" s="77">
        <v>0.45833333333333331</v>
      </c>
      <c r="J3413">
        <v>71.960000000000008</v>
      </c>
      <c r="M3413" s="74">
        <v>34476</v>
      </c>
      <c r="N3413" s="77">
        <v>0.45833333333333331</v>
      </c>
      <c r="P3413">
        <v>75.92</v>
      </c>
      <c r="S3413" s="74">
        <v>36302</v>
      </c>
      <c r="T3413" s="77">
        <v>0.45833333333333331</v>
      </c>
      <c r="V3413">
        <v>73.94</v>
      </c>
      <c r="X3413" s="42"/>
      <c r="AB3413">
        <v>65.400000000000006</v>
      </c>
      <c r="AC3413">
        <v>62.06</v>
      </c>
      <c r="AE3413" s="74"/>
      <c r="AF3413" s="77"/>
      <c r="AH3413" s="497">
        <v>57.2</v>
      </c>
      <c r="AJ3413" s="42"/>
      <c r="AK3413" s="74"/>
      <c r="AL3413" s="77"/>
      <c r="AN3413" s="497">
        <v>68</v>
      </c>
      <c r="AP3413" s="42"/>
      <c r="AQ3413" s="74"/>
      <c r="AR3413" s="77"/>
      <c r="AT3413" s="497">
        <v>66.02</v>
      </c>
      <c r="AV3413" s="42"/>
      <c r="AW3413" s="74"/>
      <c r="AX3413" s="77"/>
      <c r="BA3413" s="497">
        <v>64.94</v>
      </c>
      <c r="BB3413" s="42"/>
      <c r="BC3413" s="74"/>
      <c r="BD3413" s="77"/>
      <c r="BF3413">
        <v>60.08</v>
      </c>
      <c r="BH3413" s="42"/>
      <c r="BI3413" s="74"/>
      <c r="BJ3413" s="77"/>
      <c r="BL3413" s="497">
        <v>57.019999999999996</v>
      </c>
      <c r="BN3413" s="42"/>
      <c r="BO3413" s="74"/>
      <c r="BP3413" s="77"/>
      <c r="BR3413" s="497">
        <v>60.980000000000004</v>
      </c>
      <c r="BT3413" s="42"/>
    </row>
    <row r="3414" spans="1:72" x14ac:dyDescent="0.25">
      <c r="A3414" s="90">
        <v>36302</v>
      </c>
      <c r="B3414" s="20">
        <v>0.5</v>
      </c>
      <c r="D3414">
        <v>75.92</v>
      </c>
      <c r="E3414" t="str">
        <f t="shared" si="142"/>
        <v>SATURDAY</v>
      </c>
      <c r="F3414" t="e">
        <f t="shared" si="141"/>
        <v>#N/A</v>
      </c>
      <c r="G3414" s="74">
        <v>31919</v>
      </c>
      <c r="H3414" s="77">
        <v>0.5</v>
      </c>
      <c r="J3414">
        <v>73.94</v>
      </c>
      <c r="M3414" s="74">
        <v>34476</v>
      </c>
      <c r="N3414" s="77">
        <v>0.5</v>
      </c>
      <c r="P3414">
        <v>77</v>
      </c>
      <c r="S3414" s="74">
        <v>36302</v>
      </c>
      <c r="T3414" s="77">
        <v>0.5</v>
      </c>
      <c r="V3414">
        <v>71.06</v>
      </c>
      <c r="X3414" s="42"/>
      <c r="AB3414">
        <v>66.400000000000006</v>
      </c>
      <c r="AC3414">
        <v>62.96</v>
      </c>
      <c r="AE3414" s="74"/>
      <c r="AF3414" s="77"/>
      <c r="AH3414" s="497">
        <v>57.2</v>
      </c>
      <c r="AJ3414" s="42"/>
      <c r="AK3414" s="74"/>
      <c r="AL3414" s="77"/>
      <c r="AN3414" s="497">
        <v>68</v>
      </c>
      <c r="AP3414" s="42"/>
      <c r="AQ3414" s="74"/>
      <c r="AR3414" s="77"/>
      <c r="AT3414" s="497">
        <v>68</v>
      </c>
      <c r="AV3414" s="42"/>
      <c r="AW3414" s="74"/>
      <c r="AX3414" s="77"/>
      <c r="BA3414" s="497">
        <v>66.02</v>
      </c>
      <c r="BB3414" s="42"/>
      <c r="BC3414" s="74"/>
      <c r="BD3414" s="77"/>
      <c r="BF3414">
        <v>60.08</v>
      </c>
      <c r="BH3414" s="42"/>
      <c r="BI3414" s="74"/>
      <c r="BJ3414" s="77"/>
      <c r="BL3414" s="497">
        <v>55.94</v>
      </c>
      <c r="BN3414" s="42"/>
      <c r="BO3414" s="74"/>
      <c r="BP3414" s="77"/>
      <c r="BR3414" s="497">
        <v>60.08</v>
      </c>
      <c r="BT3414" s="42"/>
    </row>
    <row r="3415" spans="1:72" x14ac:dyDescent="0.25">
      <c r="A3415" s="90">
        <v>36302</v>
      </c>
      <c r="B3415" s="20">
        <v>0.54166666666666663</v>
      </c>
      <c r="D3415">
        <v>78.080000000000013</v>
      </c>
      <c r="E3415" t="str">
        <f t="shared" si="142"/>
        <v>SATURDAY</v>
      </c>
      <c r="F3415" t="e">
        <f t="shared" si="141"/>
        <v>#N/A</v>
      </c>
      <c r="G3415" s="74">
        <v>31919</v>
      </c>
      <c r="H3415" s="77">
        <v>0.54166666666666663</v>
      </c>
      <c r="J3415">
        <v>75.92</v>
      </c>
      <c r="M3415" s="74">
        <v>34476</v>
      </c>
      <c r="N3415" s="77">
        <v>0.54166666666666663</v>
      </c>
      <c r="P3415">
        <v>77.900000000000006</v>
      </c>
      <c r="S3415" s="74">
        <v>36302</v>
      </c>
      <c r="T3415" s="77">
        <v>0.54166666666666663</v>
      </c>
      <c r="V3415">
        <v>71.960000000000008</v>
      </c>
      <c r="X3415" s="42"/>
      <c r="AB3415">
        <v>67.2</v>
      </c>
      <c r="AC3415">
        <v>62.96</v>
      </c>
      <c r="AE3415" s="74"/>
      <c r="AF3415" s="77"/>
      <c r="AH3415" s="497">
        <v>57.2</v>
      </c>
      <c r="AJ3415" s="42"/>
      <c r="AK3415" s="74"/>
      <c r="AL3415" s="77"/>
      <c r="AN3415" s="497">
        <v>69.98</v>
      </c>
      <c r="AP3415" s="42"/>
      <c r="AQ3415" s="74"/>
      <c r="AR3415" s="77"/>
      <c r="AT3415" s="497">
        <v>69.080000000000013</v>
      </c>
      <c r="AV3415" s="42"/>
      <c r="AW3415" s="74"/>
      <c r="AX3415" s="77"/>
      <c r="BA3415" s="497">
        <v>66.92</v>
      </c>
      <c r="BB3415" s="42"/>
      <c r="BC3415" s="74"/>
      <c r="BD3415" s="77"/>
      <c r="BF3415">
        <v>60.980000000000004</v>
      </c>
      <c r="BH3415" s="42"/>
      <c r="BI3415" s="74"/>
      <c r="BJ3415" s="77"/>
      <c r="BL3415" s="497">
        <v>55.94</v>
      </c>
      <c r="BN3415" s="42"/>
      <c r="BO3415" s="74"/>
      <c r="BP3415" s="77"/>
      <c r="BR3415" s="497">
        <v>60.980000000000004</v>
      </c>
      <c r="BT3415" s="42"/>
    </row>
    <row r="3416" spans="1:72" x14ac:dyDescent="0.25">
      <c r="A3416" s="90">
        <v>36302</v>
      </c>
      <c r="B3416" s="20">
        <v>0.58333333333333337</v>
      </c>
      <c r="D3416">
        <v>73.94</v>
      </c>
      <c r="E3416" t="str">
        <f t="shared" si="142"/>
        <v>SATURDAY</v>
      </c>
      <c r="F3416" t="e">
        <f t="shared" si="141"/>
        <v>#N/A</v>
      </c>
      <c r="G3416" s="74">
        <v>31919</v>
      </c>
      <c r="H3416" s="77">
        <v>0.58333333333333337</v>
      </c>
      <c r="J3416">
        <v>75.02</v>
      </c>
      <c r="M3416" s="74">
        <v>34476</v>
      </c>
      <c r="N3416" s="77">
        <v>0.58333333333333337</v>
      </c>
      <c r="P3416">
        <v>77</v>
      </c>
      <c r="S3416" s="74">
        <v>36302</v>
      </c>
      <c r="T3416" s="77">
        <v>0.58333333333333337</v>
      </c>
      <c r="V3416">
        <v>71.960000000000008</v>
      </c>
      <c r="X3416" s="42"/>
      <c r="AB3416">
        <v>67.5</v>
      </c>
      <c r="AC3416">
        <v>62.06</v>
      </c>
      <c r="AE3416" s="74"/>
      <c r="AF3416" s="77"/>
      <c r="AH3416" s="497">
        <v>57.2</v>
      </c>
      <c r="AJ3416" s="42"/>
      <c r="AK3416" s="74"/>
      <c r="AL3416" s="77"/>
      <c r="AN3416" s="497">
        <v>71.960000000000008</v>
      </c>
      <c r="AP3416" s="42"/>
      <c r="AQ3416" s="74"/>
      <c r="AR3416" s="77"/>
      <c r="AT3416" s="497">
        <v>71.960000000000008</v>
      </c>
      <c r="AV3416" s="42"/>
      <c r="AW3416" s="74"/>
      <c r="AX3416" s="77"/>
      <c r="BA3416" s="497">
        <v>68</v>
      </c>
      <c r="BB3416" s="42"/>
      <c r="BC3416" s="74"/>
      <c r="BD3416" s="77"/>
      <c r="BF3416">
        <v>62.06</v>
      </c>
      <c r="BH3416" s="42"/>
      <c r="BI3416" s="74"/>
      <c r="BJ3416" s="77"/>
      <c r="BL3416" s="497">
        <v>53.96</v>
      </c>
      <c r="BN3416" s="42"/>
      <c r="BO3416" s="74"/>
      <c r="BP3416" s="77"/>
      <c r="BR3416" s="497">
        <v>62.06</v>
      </c>
      <c r="BT3416" s="42"/>
    </row>
    <row r="3417" spans="1:72" x14ac:dyDescent="0.25">
      <c r="A3417" s="90">
        <v>36302</v>
      </c>
      <c r="B3417" s="20">
        <v>0.625</v>
      </c>
      <c r="D3417">
        <v>75.02</v>
      </c>
      <c r="E3417" t="str">
        <f t="shared" si="142"/>
        <v>SATURDAY</v>
      </c>
      <c r="F3417" t="e">
        <f t="shared" si="141"/>
        <v>#N/A</v>
      </c>
      <c r="G3417" s="74">
        <v>31919</v>
      </c>
      <c r="H3417" s="77">
        <v>0.625</v>
      </c>
      <c r="J3417">
        <v>75.92</v>
      </c>
      <c r="M3417" s="74">
        <v>34476</v>
      </c>
      <c r="N3417" s="77">
        <v>0.625</v>
      </c>
      <c r="P3417">
        <v>77</v>
      </c>
      <c r="S3417" s="74">
        <v>36302</v>
      </c>
      <c r="T3417" s="77">
        <v>0.625</v>
      </c>
      <c r="V3417">
        <v>71.960000000000008</v>
      </c>
      <c r="X3417" s="42"/>
      <c r="AB3417">
        <v>67.400000000000006</v>
      </c>
      <c r="AC3417">
        <v>59</v>
      </c>
      <c r="AE3417" s="74"/>
      <c r="AF3417" s="77"/>
      <c r="AH3417" s="497">
        <v>57.2</v>
      </c>
      <c r="AJ3417" s="42"/>
      <c r="AK3417" s="74"/>
      <c r="AL3417" s="77"/>
      <c r="AN3417" s="497">
        <v>69.98</v>
      </c>
      <c r="AP3417" s="42"/>
      <c r="AQ3417" s="74"/>
      <c r="AR3417" s="77"/>
      <c r="AT3417" s="497">
        <v>71.960000000000008</v>
      </c>
      <c r="AV3417" s="42"/>
      <c r="AW3417" s="74"/>
      <c r="AX3417" s="77"/>
      <c r="BA3417" s="497">
        <v>69.080000000000013</v>
      </c>
      <c r="BB3417" s="42"/>
      <c r="BC3417" s="74"/>
      <c r="BD3417" s="77"/>
      <c r="BF3417">
        <v>62.96</v>
      </c>
      <c r="BH3417" s="42"/>
      <c r="BI3417" s="74"/>
      <c r="BJ3417" s="77"/>
      <c r="BL3417" s="497">
        <v>55.040000000000006</v>
      </c>
      <c r="BN3417" s="42"/>
      <c r="BO3417" s="74"/>
      <c r="BP3417" s="77"/>
      <c r="BR3417" s="497">
        <v>62.06</v>
      </c>
      <c r="BT3417" s="42"/>
    </row>
    <row r="3418" spans="1:72" x14ac:dyDescent="0.25">
      <c r="A3418" s="90">
        <v>36302</v>
      </c>
      <c r="B3418" s="20">
        <v>0.66666666666666663</v>
      </c>
      <c r="D3418">
        <v>73.94</v>
      </c>
      <c r="E3418" t="str">
        <f t="shared" si="142"/>
        <v>SATURDAY</v>
      </c>
      <c r="F3418" t="e">
        <f t="shared" si="141"/>
        <v>#N/A</v>
      </c>
      <c r="G3418" s="74">
        <v>31919</v>
      </c>
      <c r="H3418" s="77">
        <v>0.66666666666666663</v>
      </c>
      <c r="J3418">
        <v>77</v>
      </c>
      <c r="M3418" s="74">
        <v>34476</v>
      </c>
      <c r="N3418" s="77">
        <v>0.66666666666666663</v>
      </c>
      <c r="P3418">
        <v>77</v>
      </c>
      <c r="S3418" s="74">
        <v>36302</v>
      </c>
      <c r="T3418" s="77">
        <v>0.66666666666666663</v>
      </c>
      <c r="V3418">
        <v>68</v>
      </c>
      <c r="X3418" s="42"/>
      <c r="AB3418">
        <v>67</v>
      </c>
      <c r="AC3418">
        <v>60.08</v>
      </c>
      <c r="AE3418" s="74"/>
      <c r="AF3418" s="77"/>
      <c r="AH3418" s="497">
        <v>57.2</v>
      </c>
      <c r="AJ3418" s="42"/>
      <c r="AK3418" s="74"/>
      <c r="AL3418" s="77"/>
      <c r="AN3418" s="497">
        <v>71.960000000000008</v>
      </c>
      <c r="AP3418" s="42"/>
      <c r="AQ3418" s="74"/>
      <c r="AR3418" s="77"/>
      <c r="AT3418" s="497">
        <v>71.960000000000008</v>
      </c>
      <c r="AV3418" s="42"/>
      <c r="AW3418" s="74"/>
      <c r="AX3418" s="77"/>
      <c r="BA3418" s="497">
        <v>69.080000000000013</v>
      </c>
      <c r="BB3418" s="42"/>
      <c r="BC3418" s="74"/>
      <c r="BD3418" s="77"/>
      <c r="BF3418">
        <v>62.96</v>
      </c>
      <c r="BH3418" s="42"/>
      <c r="BI3418" s="74"/>
      <c r="BJ3418" s="77"/>
      <c r="BL3418" s="497">
        <v>55.94</v>
      </c>
      <c r="BN3418" s="42"/>
      <c r="BO3418" s="74"/>
      <c r="BP3418" s="77"/>
      <c r="BR3418" s="497">
        <v>64.94</v>
      </c>
      <c r="BT3418" s="42"/>
    </row>
    <row r="3419" spans="1:72" x14ac:dyDescent="0.25">
      <c r="A3419" s="90">
        <v>36302</v>
      </c>
      <c r="B3419" s="20">
        <v>0.70833333333333337</v>
      </c>
      <c r="D3419">
        <v>75.02</v>
      </c>
      <c r="E3419" t="str">
        <f t="shared" si="142"/>
        <v>SATURDAY</v>
      </c>
      <c r="F3419" t="e">
        <f t="shared" si="141"/>
        <v>#N/A</v>
      </c>
      <c r="G3419" s="74">
        <v>31919</v>
      </c>
      <c r="H3419" s="77">
        <v>0.70833333333333337</v>
      </c>
      <c r="J3419">
        <v>73.94</v>
      </c>
      <c r="M3419" s="74">
        <v>34476</v>
      </c>
      <c r="N3419" s="77">
        <v>0.70833333333333337</v>
      </c>
      <c r="P3419">
        <v>72.86</v>
      </c>
      <c r="S3419" s="74">
        <v>36302</v>
      </c>
      <c r="T3419" s="77">
        <v>0.70833333333333337</v>
      </c>
      <c r="V3419">
        <v>66.92</v>
      </c>
      <c r="X3419" s="42"/>
      <c r="AB3419">
        <v>66.2</v>
      </c>
      <c r="AC3419">
        <v>60.08</v>
      </c>
      <c r="AE3419" s="74"/>
      <c r="AF3419" s="77"/>
      <c r="AH3419" s="497">
        <v>55.400000000000006</v>
      </c>
      <c r="AJ3419" s="42"/>
      <c r="AK3419" s="74"/>
      <c r="AL3419" s="77"/>
      <c r="AN3419" s="497">
        <v>73.039999999999992</v>
      </c>
      <c r="AP3419" s="42"/>
      <c r="AQ3419" s="74"/>
      <c r="AR3419" s="77"/>
      <c r="AT3419" s="497">
        <v>71.960000000000008</v>
      </c>
      <c r="AV3419" s="42"/>
      <c r="AW3419" s="74"/>
      <c r="AX3419" s="77"/>
      <c r="BA3419" s="497">
        <v>66.92</v>
      </c>
      <c r="BB3419" s="42"/>
      <c r="BC3419" s="74"/>
      <c r="BD3419" s="77"/>
      <c r="BF3419">
        <v>62.96</v>
      </c>
      <c r="BH3419" s="42"/>
      <c r="BI3419" s="74"/>
      <c r="BJ3419" s="77"/>
      <c r="BL3419" s="497">
        <v>55.94</v>
      </c>
      <c r="BN3419" s="42"/>
      <c r="BO3419" s="74"/>
      <c r="BP3419" s="77"/>
      <c r="BR3419" s="497">
        <v>66.92</v>
      </c>
      <c r="BT3419" s="42"/>
    </row>
    <row r="3420" spans="1:72" x14ac:dyDescent="0.25">
      <c r="A3420" s="90">
        <v>36302</v>
      </c>
      <c r="B3420" s="20">
        <v>0.75</v>
      </c>
      <c r="D3420">
        <v>73.039999999999992</v>
      </c>
      <c r="E3420" t="str">
        <f t="shared" si="142"/>
        <v>SATURDAY</v>
      </c>
      <c r="F3420" t="e">
        <f t="shared" si="141"/>
        <v>#N/A</v>
      </c>
      <c r="G3420" s="74">
        <v>31919</v>
      </c>
      <c r="H3420" s="77">
        <v>0.75</v>
      </c>
      <c r="J3420">
        <v>73.94</v>
      </c>
      <c r="M3420" s="74">
        <v>34476</v>
      </c>
      <c r="N3420" s="77">
        <v>0.75</v>
      </c>
      <c r="P3420">
        <v>69.98</v>
      </c>
      <c r="S3420" s="74">
        <v>36302</v>
      </c>
      <c r="T3420" s="77">
        <v>0.75</v>
      </c>
      <c r="V3420">
        <v>66.02</v>
      </c>
      <c r="X3420" s="42"/>
      <c r="AB3420">
        <v>65.099999999999994</v>
      </c>
      <c r="AC3420">
        <v>59</v>
      </c>
      <c r="AE3420" s="74"/>
      <c r="AF3420" s="77"/>
      <c r="AH3420" s="497">
        <v>55.400000000000006</v>
      </c>
      <c r="AJ3420" s="42"/>
      <c r="AK3420" s="74"/>
      <c r="AL3420" s="77"/>
      <c r="AN3420" s="497">
        <v>71.960000000000008</v>
      </c>
      <c r="AP3420" s="42"/>
      <c r="AQ3420" s="74"/>
      <c r="AR3420" s="77"/>
      <c r="AT3420" s="497">
        <v>68</v>
      </c>
      <c r="AV3420" s="42"/>
      <c r="AW3420" s="74"/>
      <c r="AX3420" s="77"/>
      <c r="BA3420" s="497">
        <v>62.96</v>
      </c>
      <c r="BB3420" s="42"/>
      <c r="BC3420" s="74"/>
      <c r="BD3420" s="77"/>
      <c r="BF3420">
        <v>60.980000000000004</v>
      </c>
      <c r="BH3420" s="42"/>
      <c r="BI3420" s="74"/>
      <c r="BJ3420" s="77"/>
      <c r="BL3420" s="497">
        <v>55.040000000000006</v>
      </c>
      <c r="BN3420" s="42"/>
      <c r="BO3420" s="74"/>
      <c r="BP3420" s="77"/>
      <c r="BR3420" s="497">
        <v>64.94</v>
      </c>
      <c r="BT3420" s="42"/>
    </row>
    <row r="3421" spans="1:72" x14ac:dyDescent="0.25">
      <c r="A3421" s="90">
        <v>36302</v>
      </c>
      <c r="B3421" s="20">
        <v>0.79166666666666663</v>
      </c>
      <c r="D3421">
        <v>66.92</v>
      </c>
      <c r="E3421" t="str">
        <f t="shared" si="142"/>
        <v>SATURDAY</v>
      </c>
      <c r="F3421" t="e">
        <f t="shared" si="141"/>
        <v>#N/A</v>
      </c>
      <c r="G3421" s="74">
        <v>31919</v>
      </c>
      <c r="H3421" s="77">
        <v>0.79166666666666663</v>
      </c>
      <c r="J3421">
        <v>73.039999999999992</v>
      </c>
      <c r="M3421" s="74">
        <v>34476</v>
      </c>
      <c r="N3421" s="77">
        <v>0.79166666666666663</v>
      </c>
      <c r="P3421">
        <v>66.92</v>
      </c>
      <c r="S3421" s="74">
        <v>36302</v>
      </c>
      <c r="T3421" s="77">
        <v>0.79166666666666663</v>
      </c>
      <c r="V3421">
        <v>62.96</v>
      </c>
      <c r="X3421" s="42"/>
      <c r="AB3421">
        <v>63.8</v>
      </c>
      <c r="AC3421">
        <v>60.08</v>
      </c>
      <c r="AE3421" s="74"/>
      <c r="AF3421" s="77"/>
      <c r="AH3421" s="497">
        <v>55.400000000000006</v>
      </c>
      <c r="AJ3421" s="42"/>
      <c r="AK3421" s="74"/>
      <c r="AL3421" s="77"/>
      <c r="AN3421" s="497">
        <v>66.92</v>
      </c>
      <c r="AP3421" s="42"/>
      <c r="AQ3421" s="74"/>
      <c r="AR3421" s="77"/>
      <c r="AT3421" s="497">
        <v>64.94</v>
      </c>
      <c r="AV3421" s="42"/>
      <c r="AW3421" s="74"/>
      <c r="AX3421" s="77"/>
      <c r="BA3421" s="497">
        <v>60.980000000000004</v>
      </c>
      <c r="BB3421" s="42"/>
      <c r="BC3421" s="74"/>
      <c r="BD3421" s="77"/>
      <c r="BF3421">
        <v>60.08</v>
      </c>
      <c r="BH3421" s="42"/>
      <c r="BI3421" s="74"/>
      <c r="BJ3421" s="77"/>
      <c r="BL3421" s="497">
        <v>55.040000000000006</v>
      </c>
      <c r="BN3421" s="42"/>
      <c r="BO3421" s="74"/>
      <c r="BP3421" s="77"/>
      <c r="BR3421" s="497">
        <v>60.980000000000004</v>
      </c>
      <c r="BT3421" s="42"/>
    </row>
    <row r="3422" spans="1:72" x14ac:dyDescent="0.25">
      <c r="A3422" s="90">
        <v>36302</v>
      </c>
      <c r="B3422" s="20">
        <v>0.83333333333333337</v>
      </c>
      <c r="D3422">
        <v>64.039999999999992</v>
      </c>
      <c r="E3422" t="str">
        <f t="shared" si="142"/>
        <v>SATURDAY</v>
      </c>
      <c r="F3422" t="e">
        <f t="shared" si="141"/>
        <v>#N/A</v>
      </c>
      <c r="G3422" s="74">
        <v>31919</v>
      </c>
      <c r="H3422" s="77">
        <v>0.83333333333333337</v>
      </c>
      <c r="J3422">
        <v>71.06</v>
      </c>
      <c r="M3422" s="74">
        <v>34476</v>
      </c>
      <c r="N3422" s="77">
        <v>0.83333333333333337</v>
      </c>
      <c r="P3422">
        <v>62.96</v>
      </c>
      <c r="S3422" s="74">
        <v>36302</v>
      </c>
      <c r="T3422" s="77">
        <v>0.83333333333333337</v>
      </c>
      <c r="V3422">
        <v>62.06</v>
      </c>
      <c r="X3422" s="42"/>
      <c r="AB3422">
        <v>62.4</v>
      </c>
      <c r="AC3422">
        <v>60.08</v>
      </c>
      <c r="AE3422" s="74"/>
      <c r="AF3422" s="77"/>
      <c r="AH3422" s="497">
        <v>53.6</v>
      </c>
      <c r="AJ3422" s="42"/>
      <c r="AK3422" s="74"/>
      <c r="AL3422" s="77"/>
      <c r="AN3422" s="497">
        <v>66.02</v>
      </c>
      <c r="AP3422" s="42"/>
      <c r="AQ3422" s="74"/>
      <c r="AR3422" s="77"/>
      <c r="AT3422" s="497">
        <v>57.92</v>
      </c>
      <c r="AV3422" s="42"/>
      <c r="AW3422" s="74"/>
      <c r="AX3422" s="77"/>
      <c r="BA3422" s="497">
        <v>53.06</v>
      </c>
      <c r="BB3422" s="42"/>
      <c r="BC3422" s="74"/>
      <c r="BD3422" s="77"/>
      <c r="BF3422">
        <v>55.94</v>
      </c>
      <c r="BH3422" s="42"/>
      <c r="BI3422" s="74"/>
      <c r="BJ3422" s="77"/>
      <c r="BL3422" s="497">
        <v>53.96</v>
      </c>
      <c r="BN3422" s="42"/>
      <c r="BO3422" s="74"/>
      <c r="BP3422" s="77"/>
      <c r="BR3422" s="497">
        <v>59</v>
      </c>
      <c r="BT3422" s="42"/>
    </row>
    <row r="3423" spans="1:72" x14ac:dyDescent="0.25">
      <c r="A3423" s="90">
        <v>36302</v>
      </c>
      <c r="B3423" s="20">
        <v>0.875</v>
      </c>
      <c r="D3423">
        <v>64.039999999999992</v>
      </c>
      <c r="E3423" t="str">
        <f t="shared" si="142"/>
        <v>SATURDAY</v>
      </c>
      <c r="F3423" t="e">
        <f t="shared" si="141"/>
        <v>#N/A</v>
      </c>
      <c r="G3423" s="74">
        <v>31919</v>
      </c>
      <c r="H3423" s="77">
        <v>0.875</v>
      </c>
      <c r="J3423">
        <v>71.06</v>
      </c>
      <c r="M3423" s="74">
        <v>34476</v>
      </c>
      <c r="N3423" s="77">
        <v>0.875</v>
      </c>
      <c r="P3423">
        <v>59.900000000000006</v>
      </c>
      <c r="S3423" s="74">
        <v>36302</v>
      </c>
      <c r="T3423" s="77">
        <v>0.875</v>
      </c>
      <c r="V3423">
        <v>60.08</v>
      </c>
      <c r="X3423" s="42"/>
      <c r="AB3423">
        <v>61.4</v>
      </c>
      <c r="AC3423">
        <v>59</v>
      </c>
      <c r="AE3423" s="74"/>
      <c r="AF3423" s="77"/>
      <c r="AH3423" s="497">
        <v>51.8</v>
      </c>
      <c r="AJ3423" s="42"/>
      <c r="AK3423" s="74"/>
      <c r="AL3423" s="77"/>
      <c r="AN3423" s="497">
        <v>62.96</v>
      </c>
      <c r="AP3423" s="42"/>
      <c r="AQ3423" s="74"/>
      <c r="AR3423" s="77"/>
      <c r="AT3423" s="497">
        <v>57.92</v>
      </c>
      <c r="AV3423" s="42"/>
      <c r="AW3423" s="74"/>
      <c r="AX3423" s="77"/>
      <c r="BA3423" s="497">
        <v>51.980000000000004</v>
      </c>
      <c r="BB3423" s="42"/>
      <c r="BC3423" s="74"/>
      <c r="BD3423" s="77"/>
      <c r="BF3423">
        <v>53.06</v>
      </c>
      <c r="BH3423" s="42"/>
      <c r="BI3423" s="74"/>
      <c r="BJ3423" s="77"/>
      <c r="BL3423" s="497">
        <v>53.96</v>
      </c>
      <c r="BN3423" s="42"/>
      <c r="BO3423" s="74"/>
      <c r="BP3423" s="77"/>
      <c r="BR3423" s="497">
        <v>55.94</v>
      </c>
      <c r="BT3423" s="42"/>
    </row>
    <row r="3424" spans="1:72" x14ac:dyDescent="0.25">
      <c r="A3424" s="90">
        <v>36302</v>
      </c>
      <c r="B3424" s="20">
        <v>0.91666666666666663</v>
      </c>
      <c r="D3424">
        <v>62.96</v>
      </c>
      <c r="E3424" t="str">
        <f t="shared" si="142"/>
        <v>SATURDAY</v>
      </c>
      <c r="F3424" t="e">
        <f t="shared" si="141"/>
        <v>#N/A</v>
      </c>
      <c r="G3424" s="74">
        <v>31919</v>
      </c>
      <c r="H3424" s="77">
        <v>0.91666666666666663</v>
      </c>
      <c r="J3424">
        <v>71.06</v>
      </c>
      <c r="M3424" s="74">
        <v>34476</v>
      </c>
      <c r="N3424" s="77">
        <v>0.91666666666666663</v>
      </c>
      <c r="P3424">
        <v>55.94</v>
      </c>
      <c r="S3424" s="74">
        <v>36302</v>
      </c>
      <c r="T3424" s="77">
        <v>0.91666666666666663</v>
      </c>
      <c r="V3424">
        <v>59</v>
      </c>
      <c r="X3424" s="42"/>
      <c r="AB3424">
        <v>60.8</v>
      </c>
      <c r="AC3424">
        <v>57.92</v>
      </c>
      <c r="AE3424" s="74"/>
      <c r="AF3424" s="77"/>
      <c r="AH3424" s="497">
        <v>51.8</v>
      </c>
      <c r="AJ3424" s="42"/>
      <c r="AK3424" s="74"/>
      <c r="AL3424" s="77"/>
      <c r="AN3424" s="497">
        <v>60.980000000000004</v>
      </c>
      <c r="AP3424" s="42"/>
      <c r="AQ3424" s="74"/>
      <c r="AR3424" s="77"/>
      <c r="AT3424" s="497">
        <v>57.019999999999996</v>
      </c>
      <c r="AV3424" s="42"/>
      <c r="AW3424" s="74"/>
      <c r="AX3424" s="77"/>
      <c r="BA3424" s="497">
        <v>50</v>
      </c>
      <c r="BB3424" s="42"/>
      <c r="BC3424" s="74"/>
      <c r="BD3424" s="77"/>
      <c r="BF3424">
        <v>51.980000000000004</v>
      </c>
      <c r="BH3424" s="42"/>
      <c r="BI3424" s="74"/>
      <c r="BJ3424" s="77"/>
      <c r="BL3424" s="497">
        <v>51.980000000000004</v>
      </c>
      <c r="BN3424" s="42"/>
      <c r="BO3424" s="74"/>
      <c r="BP3424" s="77"/>
      <c r="BR3424" s="497">
        <v>55.040000000000006</v>
      </c>
      <c r="BT3424" s="42"/>
    </row>
    <row r="3425" spans="1:72" x14ac:dyDescent="0.25">
      <c r="A3425" s="90">
        <v>36302</v>
      </c>
      <c r="B3425" s="20">
        <v>0.95833333333333337</v>
      </c>
      <c r="D3425">
        <v>62.96</v>
      </c>
      <c r="E3425" t="str">
        <f t="shared" si="142"/>
        <v>SATURDAY</v>
      </c>
      <c r="F3425" t="e">
        <f t="shared" si="141"/>
        <v>#N/A</v>
      </c>
      <c r="G3425" s="74">
        <v>31919</v>
      </c>
      <c r="H3425" s="77">
        <v>0.95833333333333337</v>
      </c>
      <c r="J3425">
        <v>71.06</v>
      </c>
      <c r="M3425" s="74">
        <v>34476</v>
      </c>
      <c r="N3425" s="77">
        <v>0.95833333333333337</v>
      </c>
      <c r="P3425">
        <v>55.94</v>
      </c>
      <c r="S3425" s="74">
        <v>36302</v>
      </c>
      <c r="T3425" s="77">
        <v>0.95833333333333337</v>
      </c>
      <c r="V3425">
        <v>57.92</v>
      </c>
      <c r="X3425" s="42"/>
      <c r="AB3425">
        <v>60.3</v>
      </c>
      <c r="AC3425">
        <v>57.92</v>
      </c>
      <c r="AE3425" s="74"/>
      <c r="AF3425" s="77"/>
      <c r="AH3425" s="497">
        <v>51.8</v>
      </c>
      <c r="AJ3425" s="42"/>
      <c r="AK3425" s="74"/>
      <c r="AL3425" s="77"/>
      <c r="AN3425" s="497">
        <v>60.08</v>
      </c>
      <c r="AP3425" s="42"/>
      <c r="AQ3425" s="74"/>
      <c r="AR3425" s="77"/>
      <c r="AT3425" s="497">
        <v>53.06</v>
      </c>
      <c r="AV3425" s="42"/>
      <c r="AW3425" s="74"/>
      <c r="AX3425" s="77"/>
      <c r="BA3425" s="497">
        <v>48.019999999999996</v>
      </c>
      <c r="BB3425" s="42"/>
      <c r="BC3425" s="74"/>
      <c r="BD3425" s="77"/>
      <c r="BF3425">
        <v>51.08</v>
      </c>
      <c r="BH3425" s="42"/>
      <c r="BI3425" s="74"/>
      <c r="BJ3425" s="77"/>
      <c r="BL3425" s="497">
        <v>53.06</v>
      </c>
      <c r="BN3425" s="42"/>
      <c r="BO3425" s="74"/>
      <c r="BP3425" s="77"/>
      <c r="BR3425" s="497">
        <v>53.96</v>
      </c>
      <c r="BT3425" s="42"/>
    </row>
    <row r="3426" spans="1:72" x14ac:dyDescent="0.25">
      <c r="A3426" s="90">
        <v>36302</v>
      </c>
      <c r="B3426" s="20">
        <v>1</v>
      </c>
      <c r="D3426">
        <v>60.980000000000004</v>
      </c>
      <c r="E3426" t="str">
        <f t="shared" si="142"/>
        <v>SATURDAY</v>
      </c>
      <c r="F3426" t="e">
        <f t="shared" si="141"/>
        <v>#N/A</v>
      </c>
      <c r="G3426" s="74">
        <v>31919</v>
      </c>
      <c r="H3426" s="77">
        <v>1</v>
      </c>
      <c r="J3426">
        <v>69.98</v>
      </c>
      <c r="M3426" s="74">
        <v>34476</v>
      </c>
      <c r="N3426" s="80">
        <v>1</v>
      </c>
      <c r="P3426">
        <v>52.879999999999995</v>
      </c>
      <c r="S3426" s="74">
        <v>36302</v>
      </c>
      <c r="T3426" s="80">
        <v>1</v>
      </c>
      <c r="V3426">
        <v>60.08</v>
      </c>
      <c r="X3426" s="42"/>
      <c r="AB3426">
        <v>59.8</v>
      </c>
      <c r="AC3426">
        <v>57.92</v>
      </c>
      <c r="AE3426" s="74"/>
      <c r="AF3426" s="80"/>
      <c r="AH3426" s="497">
        <v>51.8</v>
      </c>
      <c r="AJ3426" s="42"/>
      <c r="AK3426" s="74"/>
      <c r="AL3426" s="80"/>
      <c r="AN3426" s="497">
        <v>59</v>
      </c>
      <c r="AP3426" s="42"/>
      <c r="AQ3426" s="74"/>
      <c r="AR3426" s="80"/>
      <c r="AT3426" s="497">
        <v>51.980000000000004</v>
      </c>
      <c r="AV3426" s="42"/>
      <c r="AW3426" s="74"/>
      <c r="AX3426" s="80"/>
      <c r="BA3426" s="497">
        <v>48.019999999999996</v>
      </c>
      <c r="BB3426" s="42"/>
      <c r="BC3426" s="74"/>
      <c r="BD3426" s="80"/>
      <c r="BF3426">
        <v>50</v>
      </c>
      <c r="BH3426" s="42"/>
      <c r="BI3426" s="74"/>
      <c r="BJ3426" s="80"/>
      <c r="BL3426" s="497">
        <v>53.06</v>
      </c>
      <c r="BN3426" s="42"/>
      <c r="BO3426" s="74"/>
      <c r="BP3426" s="80"/>
      <c r="BR3426" s="497">
        <v>53.06</v>
      </c>
      <c r="BT3426" s="42"/>
    </row>
    <row r="3427" spans="1:72" x14ac:dyDescent="0.25">
      <c r="A3427" s="90">
        <v>36303</v>
      </c>
      <c r="B3427" s="20">
        <v>4.1666666666666664E-2</v>
      </c>
      <c r="D3427">
        <v>60.08</v>
      </c>
      <c r="E3427" t="str">
        <f t="shared" si="142"/>
        <v>SUNDAY</v>
      </c>
      <c r="F3427" t="e">
        <f t="shared" si="141"/>
        <v>#N/A</v>
      </c>
      <c r="G3427" s="74">
        <v>31920</v>
      </c>
      <c r="H3427" s="77">
        <v>4.1666666666666664E-2</v>
      </c>
      <c r="J3427">
        <v>69.98</v>
      </c>
      <c r="M3427" s="74">
        <v>34477</v>
      </c>
      <c r="N3427" s="77">
        <v>4.1666666666666664E-2</v>
      </c>
      <c r="P3427">
        <v>50.900000000000006</v>
      </c>
      <c r="S3427" s="74">
        <v>36303</v>
      </c>
      <c r="T3427" s="77">
        <v>4.1666666666666664E-2</v>
      </c>
      <c r="V3427">
        <v>60.980000000000004</v>
      </c>
      <c r="X3427" s="42"/>
      <c r="AB3427">
        <v>59.3</v>
      </c>
      <c r="AC3427">
        <v>57.019999999999996</v>
      </c>
      <c r="AE3427" s="74"/>
      <c r="AF3427" s="77"/>
      <c r="AH3427" s="497">
        <v>51.8</v>
      </c>
      <c r="AJ3427" s="42"/>
      <c r="AK3427" s="74"/>
      <c r="AL3427" s="77"/>
      <c r="AN3427" s="497">
        <v>59</v>
      </c>
      <c r="AP3427" s="42"/>
      <c r="AQ3427" s="74"/>
      <c r="AR3427" s="77"/>
      <c r="AT3427" s="497">
        <v>51.980000000000004</v>
      </c>
      <c r="AV3427" s="42"/>
      <c r="AW3427" s="74"/>
      <c r="AX3427" s="77"/>
      <c r="BA3427" s="497">
        <v>48.019999999999996</v>
      </c>
      <c r="BB3427" s="42"/>
      <c r="BC3427" s="74"/>
      <c r="BD3427" s="77"/>
      <c r="BF3427">
        <v>48.019999999999996</v>
      </c>
      <c r="BH3427" s="42"/>
      <c r="BI3427" s="74"/>
      <c r="BJ3427" s="77"/>
      <c r="BL3427" s="497">
        <v>53.06</v>
      </c>
      <c r="BN3427" s="42"/>
      <c r="BO3427" s="74"/>
      <c r="BP3427" s="77"/>
      <c r="BR3427" s="497">
        <v>51.980000000000004</v>
      </c>
      <c r="BT3427" s="42"/>
    </row>
    <row r="3428" spans="1:72" x14ac:dyDescent="0.25">
      <c r="A3428" s="90">
        <v>36303</v>
      </c>
      <c r="B3428" s="20">
        <v>8.3333333333333329E-2</v>
      </c>
      <c r="D3428">
        <v>60.08</v>
      </c>
      <c r="E3428" t="str">
        <f t="shared" si="142"/>
        <v>SUNDAY</v>
      </c>
      <c r="F3428" t="e">
        <f t="shared" si="141"/>
        <v>#N/A</v>
      </c>
      <c r="G3428" s="74">
        <v>31920</v>
      </c>
      <c r="H3428" s="77">
        <v>8.3333333333333329E-2</v>
      </c>
      <c r="J3428">
        <v>69.080000000000013</v>
      </c>
      <c r="M3428" s="74">
        <v>34477</v>
      </c>
      <c r="N3428" s="77">
        <v>8.3333333333333329E-2</v>
      </c>
      <c r="P3428">
        <v>50.900000000000006</v>
      </c>
      <c r="S3428" s="74">
        <v>36303</v>
      </c>
      <c r="T3428" s="77">
        <v>8.3333333333333329E-2</v>
      </c>
      <c r="V3428">
        <v>60.980000000000004</v>
      </c>
      <c r="X3428" s="42"/>
      <c r="AB3428">
        <v>58.7</v>
      </c>
      <c r="AC3428">
        <v>57.019999999999996</v>
      </c>
      <c r="AE3428" s="74"/>
      <c r="AF3428" s="77"/>
      <c r="AH3428" s="497">
        <v>51.8</v>
      </c>
      <c r="AJ3428" s="42"/>
      <c r="AK3428" s="74"/>
      <c r="AL3428" s="77"/>
      <c r="AN3428" s="497">
        <v>57.019999999999996</v>
      </c>
      <c r="AP3428" s="42"/>
      <c r="AQ3428" s="74"/>
      <c r="AR3428" s="77"/>
      <c r="AT3428" s="497">
        <v>48.92</v>
      </c>
      <c r="AV3428" s="42"/>
      <c r="AW3428" s="74"/>
      <c r="AX3428" s="77"/>
      <c r="BA3428" s="497">
        <v>46.94</v>
      </c>
      <c r="BB3428" s="42"/>
      <c r="BC3428" s="74"/>
      <c r="BD3428" s="77"/>
      <c r="BF3428">
        <v>46.94</v>
      </c>
      <c r="BH3428" s="42"/>
      <c r="BI3428" s="74"/>
      <c r="BJ3428" s="77"/>
      <c r="BL3428" s="497">
        <v>53.06</v>
      </c>
      <c r="BN3428" s="42"/>
      <c r="BO3428" s="74"/>
      <c r="BP3428" s="77"/>
      <c r="BR3428" s="497">
        <v>50</v>
      </c>
      <c r="BT3428" s="42"/>
    </row>
    <row r="3429" spans="1:72" x14ac:dyDescent="0.25">
      <c r="A3429" s="90">
        <v>36303</v>
      </c>
      <c r="B3429" s="20">
        <v>0.125</v>
      </c>
      <c r="D3429">
        <v>59</v>
      </c>
      <c r="E3429" t="str">
        <f t="shared" si="142"/>
        <v>SUNDAY</v>
      </c>
      <c r="F3429" t="e">
        <f t="shared" si="141"/>
        <v>#N/A</v>
      </c>
      <c r="G3429" s="74">
        <v>31920</v>
      </c>
      <c r="H3429" s="77">
        <v>0.125</v>
      </c>
      <c r="J3429">
        <v>69.080000000000013</v>
      </c>
      <c r="M3429" s="74">
        <v>34477</v>
      </c>
      <c r="N3429" s="77">
        <v>0.125</v>
      </c>
      <c r="P3429">
        <v>50</v>
      </c>
      <c r="S3429" s="74">
        <v>36303</v>
      </c>
      <c r="T3429" s="77">
        <v>0.125</v>
      </c>
      <c r="V3429">
        <v>60.08</v>
      </c>
      <c r="X3429" s="42"/>
      <c r="AB3429">
        <v>58.1</v>
      </c>
      <c r="AC3429">
        <v>57.019999999999996</v>
      </c>
      <c r="AE3429" s="74"/>
      <c r="AF3429" s="77"/>
      <c r="AH3429" s="497">
        <v>51.8</v>
      </c>
      <c r="AJ3429" s="42"/>
      <c r="AK3429" s="74"/>
      <c r="AL3429" s="77"/>
      <c r="AN3429" s="497">
        <v>57.92</v>
      </c>
      <c r="AP3429" s="42"/>
      <c r="AQ3429" s="74"/>
      <c r="AR3429" s="77"/>
      <c r="AT3429" s="497">
        <v>48.019999999999996</v>
      </c>
      <c r="AV3429" s="42"/>
      <c r="AW3429" s="74"/>
      <c r="AX3429" s="77"/>
      <c r="BA3429" s="497">
        <v>46.04</v>
      </c>
      <c r="BB3429" s="42"/>
      <c r="BC3429" s="74"/>
      <c r="BD3429" s="77"/>
      <c r="BF3429">
        <v>44.96</v>
      </c>
      <c r="BH3429" s="42"/>
      <c r="BI3429" s="74"/>
      <c r="BJ3429" s="77"/>
      <c r="BL3429" s="497">
        <v>51.980000000000004</v>
      </c>
      <c r="BN3429" s="42"/>
      <c r="BO3429" s="74"/>
      <c r="BP3429" s="77"/>
      <c r="BR3429" s="497">
        <v>48.019999999999996</v>
      </c>
      <c r="BT3429" s="42"/>
    </row>
    <row r="3430" spans="1:72" x14ac:dyDescent="0.25">
      <c r="A3430" s="90">
        <v>36303</v>
      </c>
      <c r="B3430" s="20">
        <v>0.16666666666666666</v>
      </c>
      <c r="D3430">
        <v>57.92</v>
      </c>
      <c r="E3430" t="str">
        <f t="shared" si="142"/>
        <v>SUNDAY</v>
      </c>
      <c r="F3430" t="e">
        <f t="shared" si="141"/>
        <v>#N/A</v>
      </c>
      <c r="G3430" s="74">
        <v>31920</v>
      </c>
      <c r="H3430" s="77">
        <v>0.16666666666666666</v>
      </c>
      <c r="J3430">
        <v>69.080000000000013</v>
      </c>
      <c r="M3430" s="74">
        <v>34477</v>
      </c>
      <c r="N3430" s="77">
        <v>0.16666666666666666</v>
      </c>
      <c r="P3430">
        <v>50</v>
      </c>
      <c r="S3430" s="74">
        <v>36303</v>
      </c>
      <c r="T3430" s="77">
        <v>0.16666666666666666</v>
      </c>
      <c r="V3430">
        <v>60.08</v>
      </c>
      <c r="X3430" s="42"/>
      <c r="AB3430">
        <v>57.6</v>
      </c>
      <c r="AC3430">
        <v>57.92</v>
      </c>
      <c r="AE3430" s="74"/>
      <c r="AF3430" s="77"/>
      <c r="AH3430" s="497">
        <v>51.8</v>
      </c>
      <c r="AJ3430" s="42"/>
      <c r="AK3430" s="74"/>
      <c r="AL3430" s="77"/>
      <c r="AN3430" s="497">
        <v>57.019999999999996</v>
      </c>
      <c r="AP3430" s="42"/>
      <c r="AQ3430" s="74"/>
      <c r="AR3430" s="77"/>
      <c r="AT3430" s="497">
        <v>46.04</v>
      </c>
      <c r="AV3430" s="42"/>
      <c r="AW3430" s="74"/>
      <c r="AX3430" s="77"/>
      <c r="BA3430" s="497">
        <v>44.06</v>
      </c>
      <c r="BB3430" s="42"/>
      <c r="BC3430" s="74"/>
      <c r="BD3430" s="77"/>
      <c r="BF3430">
        <v>44.96</v>
      </c>
      <c r="BH3430" s="42"/>
      <c r="BI3430" s="74"/>
      <c r="BJ3430" s="77"/>
      <c r="BL3430" s="497">
        <v>51.980000000000004</v>
      </c>
      <c r="BN3430" s="42"/>
      <c r="BO3430" s="74"/>
      <c r="BP3430" s="77"/>
      <c r="BR3430" s="497">
        <v>46.94</v>
      </c>
      <c r="BT3430" s="42"/>
    </row>
    <row r="3431" spans="1:72" x14ac:dyDescent="0.25">
      <c r="A3431" s="90">
        <v>36303</v>
      </c>
      <c r="B3431" s="20">
        <v>0.20833333333333334</v>
      </c>
      <c r="D3431">
        <v>57.92</v>
      </c>
      <c r="E3431" t="str">
        <f t="shared" si="142"/>
        <v>SUNDAY</v>
      </c>
      <c r="F3431" t="e">
        <f t="shared" si="141"/>
        <v>#N/A</v>
      </c>
      <c r="G3431" s="74">
        <v>31920</v>
      </c>
      <c r="H3431" s="77">
        <v>0.20833333333333334</v>
      </c>
      <c r="J3431">
        <v>69.080000000000013</v>
      </c>
      <c r="M3431" s="74">
        <v>34477</v>
      </c>
      <c r="N3431" s="77">
        <v>0.20833333333333334</v>
      </c>
      <c r="P3431">
        <v>50</v>
      </c>
      <c r="S3431" s="74">
        <v>36303</v>
      </c>
      <c r="T3431" s="77">
        <v>0.20833333333333334</v>
      </c>
      <c r="V3431">
        <v>60.08</v>
      </c>
      <c r="X3431" s="42"/>
      <c r="AB3431">
        <v>57.2</v>
      </c>
      <c r="AC3431">
        <v>57.92</v>
      </c>
      <c r="AE3431" s="74"/>
      <c r="AF3431" s="77"/>
      <c r="AH3431" s="497">
        <v>51.8</v>
      </c>
      <c r="AJ3431" s="42"/>
      <c r="AK3431" s="74"/>
      <c r="AL3431" s="77"/>
      <c r="AN3431" s="497">
        <v>57.019999999999996</v>
      </c>
      <c r="AP3431" s="42"/>
      <c r="AQ3431" s="74"/>
      <c r="AR3431" s="77"/>
      <c r="AT3431" s="497">
        <v>46.04</v>
      </c>
      <c r="AV3431" s="42"/>
      <c r="AW3431" s="74"/>
      <c r="AX3431" s="77"/>
      <c r="BA3431" s="497">
        <v>44.06</v>
      </c>
      <c r="BB3431" s="42"/>
      <c r="BC3431" s="74"/>
      <c r="BD3431" s="77"/>
      <c r="BF3431">
        <v>44.96</v>
      </c>
      <c r="BH3431" s="42"/>
      <c r="BI3431" s="74"/>
      <c r="BJ3431" s="77"/>
      <c r="BL3431" s="497">
        <v>51.980000000000004</v>
      </c>
      <c r="BN3431" s="42"/>
      <c r="BO3431" s="74"/>
      <c r="BP3431" s="77"/>
      <c r="BR3431" s="497">
        <v>46.94</v>
      </c>
      <c r="BT3431" s="42"/>
    </row>
    <row r="3432" spans="1:72" x14ac:dyDescent="0.25">
      <c r="A3432" s="90">
        <v>36303</v>
      </c>
      <c r="B3432" s="20">
        <v>0.25</v>
      </c>
      <c r="D3432">
        <v>60.980000000000004</v>
      </c>
      <c r="E3432" t="str">
        <f t="shared" si="142"/>
        <v>SUNDAY</v>
      </c>
      <c r="F3432" t="e">
        <f t="shared" si="141"/>
        <v>#N/A</v>
      </c>
      <c r="G3432" s="74">
        <v>31920</v>
      </c>
      <c r="H3432" s="77">
        <v>0.25</v>
      </c>
      <c r="J3432">
        <v>69.98</v>
      </c>
      <c r="M3432" s="74">
        <v>34477</v>
      </c>
      <c r="N3432" s="77">
        <v>0.25</v>
      </c>
      <c r="P3432">
        <v>54.86</v>
      </c>
      <c r="S3432" s="74">
        <v>36303</v>
      </c>
      <c r="T3432" s="77">
        <v>0.25</v>
      </c>
      <c r="V3432">
        <v>60.08</v>
      </c>
      <c r="X3432" s="42"/>
      <c r="AB3432">
        <v>57.1</v>
      </c>
      <c r="AC3432">
        <v>57.019999999999996</v>
      </c>
      <c r="AE3432" s="74"/>
      <c r="AF3432" s="77"/>
      <c r="AH3432" s="497">
        <v>51.8</v>
      </c>
      <c r="AJ3432" s="42"/>
      <c r="AK3432" s="74"/>
      <c r="AL3432" s="77"/>
      <c r="AN3432" s="497">
        <v>59</v>
      </c>
      <c r="AP3432" s="42"/>
      <c r="AQ3432" s="74"/>
      <c r="AR3432" s="77"/>
      <c r="AT3432" s="497">
        <v>48.019999999999996</v>
      </c>
      <c r="AV3432" s="42"/>
      <c r="AW3432" s="74"/>
      <c r="AX3432" s="77"/>
      <c r="BA3432" s="497">
        <v>46.04</v>
      </c>
      <c r="BB3432" s="42"/>
      <c r="BC3432" s="74"/>
      <c r="BD3432" s="77"/>
      <c r="BF3432">
        <v>46.94</v>
      </c>
      <c r="BH3432" s="42"/>
      <c r="BI3432" s="74"/>
      <c r="BJ3432" s="77"/>
      <c r="BL3432" s="497">
        <v>51.980000000000004</v>
      </c>
      <c r="BN3432" s="42"/>
      <c r="BO3432" s="74"/>
      <c r="BP3432" s="77"/>
      <c r="BR3432" s="497">
        <v>51.980000000000004</v>
      </c>
      <c r="BT3432" s="42"/>
    </row>
    <row r="3433" spans="1:72" x14ac:dyDescent="0.25">
      <c r="A3433" s="90">
        <v>36303</v>
      </c>
      <c r="B3433" s="20">
        <v>0.29166666666666669</v>
      </c>
      <c r="D3433">
        <v>64.94</v>
      </c>
      <c r="E3433" t="str">
        <f t="shared" si="142"/>
        <v>SUNDAY</v>
      </c>
      <c r="F3433" t="e">
        <f t="shared" si="141"/>
        <v>#N/A</v>
      </c>
      <c r="G3433" s="74">
        <v>31920</v>
      </c>
      <c r="H3433" s="77">
        <v>0.29166666666666669</v>
      </c>
      <c r="J3433">
        <v>71.06</v>
      </c>
      <c r="M3433" s="74">
        <v>34477</v>
      </c>
      <c r="N3433" s="77">
        <v>0.29166666666666669</v>
      </c>
      <c r="P3433">
        <v>61.88</v>
      </c>
      <c r="S3433" s="74">
        <v>36303</v>
      </c>
      <c r="T3433" s="77">
        <v>0.29166666666666669</v>
      </c>
      <c r="V3433">
        <v>60.980000000000004</v>
      </c>
      <c r="X3433" s="42"/>
      <c r="AB3433">
        <v>58.6</v>
      </c>
      <c r="AC3433">
        <v>57.92</v>
      </c>
      <c r="AE3433" s="74"/>
      <c r="AF3433" s="77"/>
      <c r="AH3433" s="497">
        <v>53.6</v>
      </c>
      <c r="AJ3433" s="42"/>
      <c r="AK3433" s="74"/>
      <c r="AL3433" s="77"/>
      <c r="AN3433" s="497">
        <v>60.08</v>
      </c>
      <c r="AP3433" s="42"/>
      <c r="AQ3433" s="74"/>
      <c r="AR3433" s="77"/>
      <c r="AT3433" s="497">
        <v>51.980000000000004</v>
      </c>
      <c r="AV3433" s="42"/>
      <c r="AW3433" s="74"/>
      <c r="AX3433" s="77"/>
      <c r="BA3433" s="497">
        <v>50</v>
      </c>
      <c r="BB3433" s="42"/>
      <c r="BC3433" s="74"/>
      <c r="BD3433" s="77"/>
      <c r="BF3433">
        <v>53.96</v>
      </c>
      <c r="BH3433" s="42"/>
      <c r="BI3433" s="74"/>
      <c r="BJ3433" s="77"/>
      <c r="BL3433" s="497">
        <v>51.980000000000004</v>
      </c>
      <c r="BN3433" s="42"/>
      <c r="BO3433" s="74"/>
      <c r="BP3433" s="77"/>
      <c r="BR3433" s="497">
        <v>57.019999999999996</v>
      </c>
      <c r="BT3433" s="42"/>
    </row>
    <row r="3434" spans="1:72" x14ac:dyDescent="0.25">
      <c r="A3434" s="90">
        <v>36303</v>
      </c>
      <c r="B3434" s="20">
        <v>0.33333333333333331</v>
      </c>
      <c r="D3434">
        <v>69.080000000000013</v>
      </c>
      <c r="E3434" t="str">
        <f t="shared" si="142"/>
        <v>SUNDAY</v>
      </c>
      <c r="F3434" t="e">
        <f t="shared" si="141"/>
        <v>#N/A</v>
      </c>
      <c r="G3434" s="74">
        <v>31920</v>
      </c>
      <c r="H3434" s="77">
        <v>0.33333333333333331</v>
      </c>
      <c r="J3434">
        <v>73.039999999999992</v>
      </c>
      <c r="M3434" s="74">
        <v>34477</v>
      </c>
      <c r="N3434" s="77">
        <v>0.33333333333333331</v>
      </c>
      <c r="P3434">
        <v>65.84</v>
      </c>
      <c r="S3434" s="74">
        <v>36303</v>
      </c>
      <c r="T3434" s="77">
        <v>0.33333333333333331</v>
      </c>
      <c r="V3434">
        <v>60.8</v>
      </c>
      <c r="X3434" s="42"/>
      <c r="AB3434">
        <v>60.4</v>
      </c>
      <c r="AC3434">
        <v>57.92</v>
      </c>
      <c r="AE3434" s="74"/>
      <c r="AF3434" s="77"/>
      <c r="AH3434" s="497">
        <v>53.6</v>
      </c>
      <c r="AJ3434" s="42"/>
      <c r="AK3434" s="74"/>
      <c r="AL3434" s="77"/>
      <c r="AN3434" s="497">
        <v>64.039999999999992</v>
      </c>
      <c r="AP3434" s="42"/>
      <c r="AQ3434" s="74"/>
      <c r="AR3434" s="77"/>
      <c r="AT3434" s="497">
        <v>55.040000000000006</v>
      </c>
      <c r="AV3434" s="42"/>
      <c r="AW3434" s="74"/>
      <c r="AX3434" s="77"/>
      <c r="BA3434" s="497">
        <v>53.96</v>
      </c>
      <c r="BB3434" s="42"/>
      <c r="BC3434" s="74"/>
      <c r="BD3434" s="77"/>
      <c r="BF3434">
        <v>60.08</v>
      </c>
      <c r="BH3434" s="42"/>
      <c r="BI3434" s="74"/>
      <c r="BJ3434" s="77"/>
      <c r="BL3434" s="497">
        <v>55.040000000000006</v>
      </c>
      <c r="BN3434" s="42"/>
      <c r="BO3434" s="74"/>
      <c r="BP3434" s="77"/>
      <c r="BR3434" s="497">
        <v>60.980000000000004</v>
      </c>
      <c r="BT3434" s="42"/>
    </row>
    <row r="3435" spans="1:72" x14ac:dyDescent="0.25">
      <c r="A3435" s="90">
        <v>36303</v>
      </c>
      <c r="B3435" s="20">
        <v>0.375</v>
      </c>
      <c r="D3435">
        <v>71.960000000000008</v>
      </c>
      <c r="E3435" t="str">
        <f t="shared" si="142"/>
        <v>SUNDAY</v>
      </c>
      <c r="F3435" t="e">
        <f t="shared" ref="F3435:F3498" si="143">IF(E3435="WEEKDAY",VLOOKUP(B3435,$DD$19:$DG$42,2),IF(E3435="SATURDAY",VLOOKUP(B3435,$DD$19:$DG$42,3),VLOOKUP(B3435,$DD$19:$DG$42,4)))</f>
        <v>#N/A</v>
      </c>
      <c r="G3435" s="74">
        <v>31920</v>
      </c>
      <c r="H3435" s="77">
        <v>0.375</v>
      </c>
      <c r="J3435">
        <v>71.960000000000008</v>
      </c>
      <c r="M3435" s="74">
        <v>34477</v>
      </c>
      <c r="N3435" s="77">
        <v>0.375</v>
      </c>
      <c r="P3435">
        <v>71.960000000000008</v>
      </c>
      <c r="S3435" s="74">
        <v>36303</v>
      </c>
      <c r="T3435" s="77">
        <v>0.375</v>
      </c>
      <c r="V3435">
        <v>62.06</v>
      </c>
      <c r="X3435" s="42"/>
      <c r="AB3435">
        <v>62.4</v>
      </c>
      <c r="AC3435">
        <v>57.92</v>
      </c>
      <c r="AE3435" s="74"/>
      <c r="AF3435" s="77"/>
      <c r="AH3435" s="497">
        <v>55.400000000000006</v>
      </c>
      <c r="AJ3435" s="42"/>
      <c r="AK3435" s="74"/>
      <c r="AL3435" s="77"/>
      <c r="AN3435" s="497">
        <v>68</v>
      </c>
      <c r="AP3435" s="42"/>
      <c r="AQ3435" s="74"/>
      <c r="AR3435" s="77"/>
      <c r="AT3435" s="497">
        <v>60.08</v>
      </c>
      <c r="AV3435" s="42"/>
      <c r="AW3435" s="74"/>
      <c r="AX3435" s="77"/>
      <c r="BA3435" s="497">
        <v>57.92</v>
      </c>
      <c r="BB3435" s="42"/>
      <c r="BC3435" s="74"/>
      <c r="BD3435" s="77"/>
      <c r="BF3435">
        <v>66.92</v>
      </c>
      <c r="BH3435" s="42"/>
      <c r="BI3435" s="74"/>
      <c r="BJ3435" s="77"/>
      <c r="BL3435" s="497">
        <v>57.019999999999996</v>
      </c>
      <c r="BN3435" s="42"/>
      <c r="BO3435" s="74"/>
      <c r="BP3435" s="77"/>
      <c r="BR3435" s="497">
        <v>64.039999999999992</v>
      </c>
      <c r="BT3435" s="42"/>
    </row>
    <row r="3436" spans="1:72" x14ac:dyDescent="0.25">
      <c r="A3436" s="90">
        <v>36303</v>
      </c>
      <c r="B3436" s="20">
        <v>0.41666666666666669</v>
      </c>
      <c r="D3436">
        <v>77</v>
      </c>
      <c r="E3436" t="str">
        <f t="shared" si="142"/>
        <v>SUNDAY</v>
      </c>
      <c r="F3436" t="e">
        <f t="shared" si="143"/>
        <v>#N/A</v>
      </c>
      <c r="G3436" s="74">
        <v>31920</v>
      </c>
      <c r="H3436" s="77">
        <v>0.41666666666666669</v>
      </c>
      <c r="J3436">
        <v>71.06</v>
      </c>
      <c r="M3436" s="74">
        <v>34477</v>
      </c>
      <c r="N3436" s="77">
        <v>0.41666666666666669</v>
      </c>
      <c r="P3436">
        <v>77</v>
      </c>
      <c r="S3436" s="74">
        <v>36303</v>
      </c>
      <c r="T3436" s="77">
        <v>0.41666666666666669</v>
      </c>
      <c r="V3436">
        <v>62.06</v>
      </c>
      <c r="X3436" s="42"/>
      <c r="AB3436">
        <v>64.2</v>
      </c>
      <c r="AC3436">
        <v>59</v>
      </c>
      <c r="AE3436" s="74"/>
      <c r="AF3436" s="77"/>
      <c r="AH3436" s="497">
        <v>55.400000000000006</v>
      </c>
      <c r="AJ3436" s="42"/>
      <c r="AK3436" s="74"/>
      <c r="AL3436" s="77"/>
      <c r="AN3436" s="497">
        <v>71.960000000000008</v>
      </c>
      <c r="AP3436" s="42"/>
      <c r="AQ3436" s="74"/>
      <c r="AR3436" s="77"/>
      <c r="AT3436" s="497">
        <v>64.039999999999992</v>
      </c>
      <c r="AV3436" s="42"/>
      <c r="AW3436" s="74"/>
      <c r="AX3436" s="77"/>
      <c r="BA3436" s="497">
        <v>62.96</v>
      </c>
      <c r="BB3436" s="42"/>
      <c r="BC3436" s="74"/>
      <c r="BD3436" s="77"/>
      <c r="BF3436">
        <v>69.080000000000013</v>
      </c>
      <c r="BH3436" s="42"/>
      <c r="BI3436" s="74"/>
      <c r="BJ3436" s="77"/>
      <c r="BL3436" s="497">
        <v>59</v>
      </c>
      <c r="BN3436" s="42"/>
      <c r="BO3436" s="74"/>
      <c r="BP3436" s="77"/>
      <c r="BR3436" s="497">
        <v>68</v>
      </c>
      <c r="BT3436" s="42"/>
    </row>
    <row r="3437" spans="1:72" x14ac:dyDescent="0.25">
      <c r="A3437" s="90">
        <v>36303</v>
      </c>
      <c r="B3437" s="20">
        <v>0.45833333333333331</v>
      </c>
      <c r="D3437">
        <v>80.960000000000008</v>
      </c>
      <c r="E3437" t="str">
        <f t="shared" si="142"/>
        <v>SUNDAY</v>
      </c>
      <c r="F3437" t="e">
        <f t="shared" si="143"/>
        <v>#N/A</v>
      </c>
      <c r="G3437" s="74">
        <v>31920</v>
      </c>
      <c r="H3437" s="77">
        <v>0.45833333333333331</v>
      </c>
      <c r="J3437">
        <v>73.039999999999992</v>
      </c>
      <c r="M3437" s="74">
        <v>34477</v>
      </c>
      <c r="N3437" s="77">
        <v>0.45833333333333331</v>
      </c>
      <c r="P3437">
        <v>80.960000000000008</v>
      </c>
      <c r="S3437" s="74">
        <v>36303</v>
      </c>
      <c r="T3437" s="77">
        <v>0.45833333333333331</v>
      </c>
      <c r="V3437">
        <v>60.980000000000004</v>
      </c>
      <c r="X3437" s="42"/>
      <c r="AB3437">
        <v>65.8</v>
      </c>
      <c r="AC3437">
        <v>59</v>
      </c>
      <c r="AE3437" s="74"/>
      <c r="AF3437" s="77"/>
      <c r="AH3437" s="497">
        <v>57.2</v>
      </c>
      <c r="AJ3437" s="42"/>
      <c r="AK3437" s="74"/>
      <c r="AL3437" s="77"/>
      <c r="AN3437" s="497">
        <v>73.94</v>
      </c>
      <c r="AP3437" s="42"/>
      <c r="AQ3437" s="74"/>
      <c r="AR3437" s="77"/>
      <c r="AT3437" s="497">
        <v>68</v>
      </c>
      <c r="AV3437" s="42"/>
      <c r="AW3437" s="74"/>
      <c r="AX3437" s="77"/>
      <c r="BA3437" s="497">
        <v>64.94</v>
      </c>
      <c r="BB3437" s="42"/>
      <c r="BC3437" s="74"/>
      <c r="BD3437" s="77"/>
      <c r="BF3437">
        <v>71.06</v>
      </c>
      <c r="BH3437" s="42"/>
      <c r="BI3437" s="74"/>
      <c r="BJ3437" s="77"/>
      <c r="BL3437" s="497">
        <v>60.980000000000004</v>
      </c>
      <c r="BN3437" s="42"/>
      <c r="BO3437" s="74"/>
      <c r="BP3437" s="77"/>
      <c r="BR3437" s="497">
        <v>69.98</v>
      </c>
      <c r="BT3437" s="42"/>
    </row>
    <row r="3438" spans="1:72" x14ac:dyDescent="0.25">
      <c r="A3438" s="90">
        <v>36303</v>
      </c>
      <c r="B3438" s="20">
        <v>0.5</v>
      </c>
      <c r="D3438">
        <v>84.92</v>
      </c>
      <c r="E3438" t="str">
        <f t="shared" si="142"/>
        <v>SUNDAY</v>
      </c>
      <c r="F3438" t="e">
        <f t="shared" si="143"/>
        <v>#N/A</v>
      </c>
      <c r="G3438" s="74">
        <v>31920</v>
      </c>
      <c r="H3438" s="77">
        <v>0.5</v>
      </c>
      <c r="J3438">
        <v>73.039999999999992</v>
      </c>
      <c r="M3438" s="74">
        <v>34477</v>
      </c>
      <c r="N3438" s="77">
        <v>0.5</v>
      </c>
      <c r="P3438">
        <v>83.84</v>
      </c>
      <c r="S3438" s="74">
        <v>36303</v>
      </c>
      <c r="T3438" s="77">
        <v>0.5</v>
      </c>
      <c r="V3438">
        <v>60.08</v>
      </c>
      <c r="X3438" s="42"/>
      <c r="AB3438">
        <v>66.900000000000006</v>
      </c>
      <c r="AC3438">
        <v>59</v>
      </c>
      <c r="AE3438" s="74"/>
      <c r="AF3438" s="77"/>
      <c r="AH3438" s="497">
        <v>59</v>
      </c>
      <c r="AJ3438" s="42"/>
      <c r="AK3438" s="74"/>
      <c r="AL3438" s="77"/>
      <c r="AN3438" s="497">
        <v>75.92</v>
      </c>
      <c r="AP3438" s="42"/>
      <c r="AQ3438" s="74"/>
      <c r="AR3438" s="77"/>
      <c r="AT3438" s="497">
        <v>69.98</v>
      </c>
      <c r="AV3438" s="42"/>
      <c r="AW3438" s="74"/>
      <c r="AX3438" s="77"/>
      <c r="BA3438" s="497">
        <v>69.080000000000013</v>
      </c>
      <c r="BB3438" s="42"/>
      <c r="BC3438" s="74"/>
      <c r="BD3438" s="77"/>
      <c r="BF3438">
        <v>71.960000000000008</v>
      </c>
      <c r="BH3438" s="42"/>
      <c r="BI3438" s="74"/>
      <c r="BJ3438" s="77"/>
      <c r="BL3438" s="497">
        <v>62.06</v>
      </c>
      <c r="BN3438" s="42"/>
      <c r="BO3438" s="74"/>
      <c r="BP3438" s="77"/>
      <c r="BR3438" s="497">
        <v>69.98</v>
      </c>
      <c r="BT3438" s="42"/>
    </row>
    <row r="3439" spans="1:72" x14ac:dyDescent="0.25">
      <c r="A3439" s="90">
        <v>36303</v>
      </c>
      <c r="B3439" s="20">
        <v>0.54166666666666663</v>
      </c>
      <c r="D3439">
        <v>89.06</v>
      </c>
      <c r="E3439" t="str">
        <f t="shared" si="142"/>
        <v>SUNDAY</v>
      </c>
      <c r="F3439" t="e">
        <f t="shared" si="143"/>
        <v>#N/A</v>
      </c>
      <c r="G3439" s="74">
        <v>31920</v>
      </c>
      <c r="H3439" s="77">
        <v>0.54166666666666663</v>
      </c>
      <c r="J3439">
        <v>75.02</v>
      </c>
      <c r="M3439" s="74">
        <v>34477</v>
      </c>
      <c r="N3439" s="77">
        <v>0.54166666666666663</v>
      </c>
      <c r="P3439">
        <v>86</v>
      </c>
      <c r="S3439" s="74">
        <v>36303</v>
      </c>
      <c r="T3439" s="77">
        <v>0.54166666666666663</v>
      </c>
      <c r="V3439">
        <v>60.08</v>
      </c>
      <c r="X3439" s="42"/>
      <c r="AB3439">
        <v>67.7</v>
      </c>
      <c r="AC3439">
        <v>59</v>
      </c>
      <c r="AE3439" s="74"/>
      <c r="AF3439" s="77"/>
      <c r="AH3439" s="497">
        <v>59</v>
      </c>
      <c r="AJ3439" s="42"/>
      <c r="AK3439" s="74"/>
      <c r="AL3439" s="77"/>
      <c r="AN3439" s="497">
        <v>77</v>
      </c>
      <c r="AP3439" s="42"/>
      <c r="AQ3439" s="74"/>
      <c r="AR3439" s="77"/>
      <c r="AT3439" s="497">
        <v>71.960000000000008</v>
      </c>
      <c r="AV3439" s="42"/>
      <c r="AW3439" s="74"/>
      <c r="AX3439" s="77"/>
      <c r="BA3439" s="497">
        <v>71.06</v>
      </c>
      <c r="BB3439" s="42"/>
      <c r="BC3439" s="74"/>
      <c r="BD3439" s="77"/>
      <c r="BF3439">
        <v>73.039999999999992</v>
      </c>
      <c r="BH3439" s="42"/>
      <c r="BI3439" s="74"/>
      <c r="BJ3439" s="77"/>
      <c r="BL3439" s="497">
        <v>64.039999999999992</v>
      </c>
      <c r="BN3439" s="42"/>
      <c r="BO3439" s="74"/>
      <c r="BP3439" s="77"/>
      <c r="BR3439" s="497">
        <v>71.06</v>
      </c>
      <c r="BT3439" s="42"/>
    </row>
    <row r="3440" spans="1:72" x14ac:dyDescent="0.25">
      <c r="A3440" s="90">
        <v>36303</v>
      </c>
      <c r="B3440" s="20">
        <v>0.58333333333333337</v>
      </c>
      <c r="D3440">
        <v>89.06</v>
      </c>
      <c r="E3440" t="str">
        <f t="shared" si="142"/>
        <v>SUNDAY</v>
      </c>
      <c r="F3440" t="e">
        <f t="shared" si="143"/>
        <v>#N/A</v>
      </c>
      <c r="G3440" s="74">
        <v>31920</v>
      </c>
      <c r="H3440" s="77">
        <v>0.58333333333333337</v>
      </c>
      <c r="J3440">
        <v>77</v>
      </c>
      <c r="M3440" s="74">
        <v>34477</v>
      </c>
      <c r="N3440" s="77">
        <v>0.58333333333333337</v>
      </c>
      <c r="P3440">
        <v>86</v>
      </c>
      <c r="S3440" s="74">
        <v>36303</v>
      </c>
      <c r="T3440" s="77">
        <v>0.58333333333333337</v>
      </c>
      <c r="V3440">
        <v>60.08</v>
      </c>
      <c r="X3440" s="42"/>
      <c r="AB3440">
        <v>67.900000000000006</v>
      </c>
      <c r="AC3440">
        <v>59</v>
      </c>
      <c r="AE3440" s="74"/>
      <c r="AF3440" s="77"/>
      <c r="AH3440" s="497">
        <v>59</v>
      </c>
      <c r="AJ3440" s="42"/>
      <c r="AK3440" s="74"/>
      <c r="AL3440" s="77"/>
      <c r="AN3440" s="497">
        <v>78.98</v>
      </c>
      <c r="AP3440" s="42"/>
      <c r="AQ3440" s="74"/>
      <c r="AR3440" s="77"/>
      <c r="AT3440" s="497">
        <v>73.039999999999992</v>
      </c>
      <c r="AV3440" s="42"/>
      <c r="AW3440" s="74"/>
      <c r="AX3440" s="77"/>
      <c r="BA3440" s="497">
        <v>71.960000000000008</v>
      </c>
      <c r="BB3440" s="42"/>
      <c r="BC3440" s="74"/>
      <c r="BD3440" s="77"/>
      <c r="BF3440">
        <v>75.02</v>
      </c>
      <c r="BH3440" s="42"/>
      <c r="BI3440" s="74"/>
      <c r="BJ3440" s="77"/>
      <c r="BL3440" s="497">
        <v>62.96</v>
      </c>
      <c r="BN3440" s="42"/>
      <c r="BO3440" s="74"/>
      <c r="BP3440" s="77"/>
      <c r="BR3440" s="497">
        <v>73.94</v>
      </c>
      <c r="BT3440" s="42"/>
    </row>
    <row r="3441" spans="1:72" x14ac:dyDescent="0.25">
      <c r="A3441" s="90">
        <v>36303</v>
      </c>
      <c r="B3441" s="20">
        <v>0.625</v>
      </c>
      <c r="D3441">
        <v>82.039999999999992</v>
      </c>
      <c r="E3441" t="str">
        <f t="shared" si="142"/>
        <v>SUNDAY</v>
      </c>
      <c r="F3441" t="e">
        <f t="shared" si="143"/>
        <v>#N/A</v>
      </c>
      <c r="G3441" s="74">
        <v>31920</v>
      </c>
      <c r="H3441" s="77">
        <v>0.625</v>
      </c>
      <c r="J3441">
        <v>78.080000000000013</v>
      </c>
      <c r="M3441" s="74">
        <v>34477</v>
      </c>
      <c r="N3441" s="77">
        <v>0.625</v>
      </c>
      <c r="P3441">
        <v>78.259999999999991</v>
      </c>
      <c r="S3441" s="74">
        <v>36303</v>
      </c>
      <c r="T3441" s="77">
        <v>0.625</v>
      </c>
      <c r="V3441">
        <v>60.08</v>
      </c>
      <c r="X3441" s="42"/>
      <c r="AB3441">
        <v>67.8</v>
      </c>
      <c r="AC3441">
        <v>59</v>
      </c>
      <c r="AE3441" s="74"/>
      <c r="AF3441" s="77"/>
      <c r="AH3441" s="497">
        <v>62.6</v>
      </c>
      <c r="AJ3441" s="42"/>
      <c r="AK3441" s="74"/>
      <c r="AL3441" s="77"/>
      <c r="AN3441" s="497">
        <v>78.080000000000013</v>
      </c>
      <c r="AP3441" s="42"/>
      <c r="AQ3441" s="74"/>
      <c r="AR3441" s="77"/>
      <c r="AT3441" s="497">
        <v>73.94</v>
      </c>
      <c r="AV3441" s="42"/>
      <c r="AW3441" s="74"/>
      <c r="AX3441" s="77"/>
      <c r="BA3441" s="497">
        <v>73.94</v>
      </c>
      <c r="BB3441" s="42"/>
      <c r="BC3441" s="74"/>
      <c r="BD3441" s="77"/>
      <c r="BF3441">
        <v>75.02</v>
      </c>
      <c r="BH3441" s="42"/>
      <c r="BI3441" s="74"/>
      <c r="BJ3441" s="77"/>
      <c r="BL3441" s="497">
        <v>64.039999999999992</v>
      </c>
      <c r="BN3441" s="42"/>
      <c r="BO3441" s="74"/>
      <c r="BP3441" s="77"/>
      <c r="BR3441" s="497">
        <v>73.039999999999992</v>
      </c>
      <c r="BT3441" s="42"/>
    </row>
    <row r="3442" spans="1:72" x14ac:dyDescent="0.25">
      <c r="A3442" s="90">
        <v>36303</v>
      </c>
      <c r="B3442" s="20">
        <v>0.66666666666666663</v>
      </c>
      <c r="D3442">
        <v>80.960000000000008</v>
      </c>
      <c r="E3442" t="str">
        <f t="shared" si="142"/>
        <v>SUNDAY</v>
      </c>
      <c r="F3442" t="e">
        <f t="shared" si="143"/>
        <v>#N/A</v>
      </c>
      <c r="G3442" s="74">
        <v>31920</v>
      </c>
      <c r="H3442" s="77">
        <v>0.66666666666666663</v>
      </c>
      <c r="J3442">
        <v>78.98</v>
      </c>
      <c r="M3442" s="74">
        <v>34477</v>
      </c>
      <c r="N3442" s="77">
        <v>0.66666666666666663</v>
      </c>
      <c r="P3442">
        <v>69.98</v>
      </c>
      <c r="S3442" s="74">
        <v>36303</v>
      </c>
      <c r="T3442" s="77">
        <v>0.66666666666666663</v>
      </c>
      <c r="V3442">
        <v>60.980000000000004</v>
      </c>
      <c r="X3442" s="42"/>
      <c r="AB3442">
        <v>67.400000000000006</v>
      </c>
      <c r="AC3442">
        <v>59</v>
      </c>
      <c r="AE3442" s="74"/>
      <c r="AF3442" s="77"/>
      <c r="AH3442" s="497">
        <v>62.6</v>
      </c>
      <c r="AJ3442" s="42"/>
      <c r="AK3442" s="74"/>
      <c r="AL3442" s="77"/>
      <c r="AN3442" s="497">
        <v>77</v>
      </c>
      <c r="AP3442" s="42"/>
      <c r="AQ3442" s="74"/>
      <c r="AR3442" s="77"/>
      <c r="AT3442" s="497">
        <v>73.039999999999992</v>
      </c>
      <c r="AV3442" s="42"/>
      <c r="AW3442" s="74"/>
      <c r="AX3442" s="77"/>
      <c r="BA3442" s="497">
        <v>75.02</v>
      </c>
      <c r="BB3442" s="42"/>
      <c r="BC3442" s="74"/>
      <c r="BD3442" s="77"/>
      <c r="BF3442">
        <v>75.02</v>
      </c>
      <c r="BH3442" s="42"/>
      <c r="BI3442" s="74"/>
      <c r="BJ3442" s="77"/>
      <c r="BL3442" s="497">
        <v>64.94</v>
      </c>
      <c r="BN3442" s="42"/>
      <c r="BO3442" s="74"/>
      <c r="BP3442" s="77"/>
      <c r="BR3442" s="497">
        <v>73.039999999999992</v>
      </c>
      <c r="BT3442" s="42"/>
    </row>
    <row r="3443" spans="1:72" x14ac:dyDescent="0.25">
      <c r="A3443" s="90">
        <v>36303</v>
      </c>
      <c r="B3443" s="20">
        <v>0.70833333333333337</v>
      </c>
      <c r="D3443">
        <v>84.02</v>
      </c>
      <c r="E3443" t="str">
        <f t="shared" si="142"/>
        <v>SUNDAY</v>
      </c>
      <c r="F3443" t="e">
        <f t="shared" si="143"/>
        <v>#N/A</v>
      </c>
      <c r="G3443" s="74">
        <v>31920</v>
      </c>
      <c r="H3443" s="77">
        <v>0.70833333333333337</v>
      </c>
      <c r="J3443">
        <v>75.92</v>
      </c>
      <c r="M3443" s="74">
        <v>34477</v>
      </c>
      <c r="N3443" s="77">
        <v>0.70833333333333337</v>
      </c>
      <c r="P3443">
        <v>74.84</v>
      </c>
      <c r="S3443" s="74">
        <v>36303</v>
      </c>
      <c r="T3443" s="77">
        <v>0.70833333333333337</v>
      </c>
      <c r="V3443">
        <v>60.08</v>
      </c>
      <c r="X3443" s="42"/>
      <c r="AB3443">
        <v>66.599999999999994</v>
      </c>
      <c r="AC3443">
        <v>57.92</v>
      </c>
      <c r="AE3443" s="74"/>
      <c r="AF3443" s="77"/>
      <c r="AH3443" s="497">
        <v>62.42</v>
      </c>
      <c r="AJ3443" s="42"/>
      <c r="AK3443" s="74"/>
      <c r="AL3443" s="77"/>
      <c r="AN3443" s="497">
        <v>73.039999999999992</v>
      </c>
      <c r="AP3443" s="42"/>
      <c r="AQ3443" s="74"/>
      <c r="AR3443" s="77"/>
      <c r="AT3443" s="497">
        <v>73.039999999999992</v>
      </c>
      <c r="AV3443" s="42"/>
      <c r="AW3443" s="74"/>
      <c r="AX3443" s="77"/>
      <c r="BA3443" s="497">
        <v>71.960000000000008</v>
      </c>
      <c r="BB3443" s="42"/>
      <c r="BC3443" s="74"/>
      <c r="BD3443" s="77"/>
      <c r="BF3443">
        <v>73.94</v>
      </c>
      <c r="BH3443" s="42"/>
      <c r="BI3443" s="74"/>
      <c r="BJ3443" s="77"/>
      <c r="BL3443" s="497">
        <v>60.08</v>
      </c>
      <c r="BN3443" s="42"/>
      <c r="BO3443" s="74"/>
      <c r="BP3443" s="77"/>
      <c r="BR3443" s="497">
        <v>71.06</v>
      </c>
      <c r="BT3443" s="42"/>
    </row>
    <row r="3444" spans="1:72" x14ac:dyDescent="0.25">
      <c r="A3444" s="90">
        <v>36303</v>
      </c>
      <c r="B3444" s="20">
        <v>0.75</v>
      </c>
      <c r="D3444">
        <v>80.06</v>
      </c>
      <c r="E3444" t="str">
        <f t="shared" si="142"/>
        <v>SUNDAY</v>
      </c>
      <c r="F3444" t="e">
        <f t="shared" si="143"/>
        <v>#N/A</v>
      </c>
      <c r="G3444" s="74">
        <v>31920</v>
      </c>
      <c r="H3444" s="77">
        <v>0.75</v>
      </c>
      <c r="J3444">
        <v>73.94</v>
      </c>
      <c r="M3444" s="74">
        <v>34477</v>
      </c>
      <c r="N3444" s="77">
        <v>0.75</v>
      </c>
      <c r="P3444">
        <v>72.86</v>
      </c>
      <c r="S3444" s="74">
        <v>36303</v>
      </c>
      <c r="T3444" s="77">
        <v>0.75</v>
      </c>
      <c r="V3444">
        <v>60.08</v>
      </c>
      <c r="X3444" s="42"/>
      <c r="AB3444">
        <v>65.5</v>
      </c>
      <c r="AC3444">
        <v>57.92</v>
      </c>
      <c r="AE3444" s="74"/>
      <c r="AF3444" s="77"/>
      <c r="AH3444" s="497">
        <v>61.16</v>
      </c>
      <c r="AJ3444" s="42"/>
      <c r="AK3444" s="74"/>
      <c r="AL3444" s="77"/>
      <c r="AN3444" s="497">
        <v>73.039999999999992</v>
      </c>
      <c r="AP3444" s="42"/>
      <c r="AQ3444" s="74"/>
      <c r="AR3444" s="77"/>
      <c r="AT3444" s="497">
        <v>73.039999999999992</v>
      </c>
      <c r="AV3444" s="42"/>
      <c r="AW3444" s="74"/>
      <c r="AX3444" s="77"/>
      <c r="BA3444" s="497">
        <v>69.98</v>
      </c>
      <c r="BB3444" s="42"/>
      <c r="BC3444" s="74"/>
      <c r="BD3444" s="77"/>
      <c r="BF3444">
        <v>73.039999999999992</v>
      </c>
      <c r="BH3444" s="42"/>
      <c r="BI3444" s="74"/>
      <c r="BJ3444" s="77"/>
      <c r="BL3444" s="497">
        <v>57.92</v>
      </c>
      <c r="BN3444" s="42"/>
      <c r="BO3444" s="74"/>
      <c r="BP3444" s="77"/>
      <c r="BR3444" s="497">
        <v>68</v>
      </c>
      <c r="BT3444" s="42"/>
    </row>
    <row r="3445" spans="1:72" x14ac:dyDescent="0.25">
      <c r="A3445" s="90">
        <v>36303</v>
      </c>
      <c r="B3445" s="20">
        <v>0.79166666666666663</v>
      </c>
      <c r="D3445">
        <v>78.080000000000013</v>
      </c>
      <c r="E3445" t="str">
        <f t="shared" si="142"/>
        <v>SUNDAY</v>
      </c>
      <c r="F3445" t="e">
        <f t="shared" si="143"/>
        <v>#N/A</v>
      </c>
      <c r="G3445" s="74">
        <v>31920</v>
      </c>
      <c r="H3445" s="77">
        <v>0.79166666666666663</v>
      </c>
      <c r="J3445">
        <v>66.92</v>
      </c>
      <c r="M3445" s="74">
        <v>34477</v>
      </c>
      <c r="N3445" s="77">
        <v>0.79166666666666663</v>
      </c>
      <c r="P3445">
        <v>69.98</v>
      </c>
      <c r="S3445" s="74">
        <v>36303</v>
      </c>
      <c r="T3445" s="77">
        <v>0.79166666666666663</v>
      </c>
      <c r="V3445">
        <v>60.08</v>
      </c>
      <c r="X3445" s="42"/>
      <c r="AB3445">
        <v>64.2</v>
      </c>
      <c r="AC3445">
        <v>57.019999999999996</v>
      </c>
      <c r="AE3445" s="74"/>
      <c r="AF3445" s="77"/>
      <c r="AH3445" s="497">
        <v>59</v>
      </c>
      <c r="AJ3445" s="42"/>
      <c r="AK3445" s="74"/>
      <c r="AL3445" s="77"/>
      <c r="AN3445" s="497">
        <v>73.039999999999992</v>
      </c>
      <c r="AP3445" s="42"/>
      <c r="AQ3445" s="74"/>
      <c r="AR3445" s="77"/>
      <c r="AT3445" s="497">
        <v>68</v>
      </c>
      <c r="AV3445" s="42"/>
      <c r="AW3445" s="74"/>
      <c r="AX3445" s="77"/>
      <c r="BA3445" s="497">
        <v>66.02</v>
      </c>
      <c r="BB3445" s="42"/>
      <c r="BC3445" s="74"/>
      <c r="BD3445" s="77"/>
      <c r="BF3445">
        <v>71.960000000000008</v>
      </c>
      <c r="BH3445" s="42"/>
      <c r="BI3445" s="74"/>
      <c r="BJ3445" s="77"/>
      <c r="BL3445" s="497">
        <v>55.94</v>
      </c>
      <c r="BN3445" s="42"/>
      <c r="BO3445" s="74"/>
      <c r="BP3445" s="77"/>
      <c r="BR3445" s="497">
        <v>62.96</v>
      </c>
      <c r="BT3445" s="42"/>
    </row>
    <row r="3446" spans="1:72" x14ac:dyDescent="0.25">
      <c r="A3446" s="90">
        <v>36303</v>
      </c>
      <c r="B3446" s="20">
        <v>0.83333333333333337</v>
      </c>
      <c r="D3446">
        <v>75.92</v>
      </c>
      <c r="E3446" t="str">
        <f t="shared" si="142"/>
        <v>SUNDAY</v>
      </c>
      <c r="F3446" t="e">
        <f t="shared" si="143"/>
        <v>#N/A</v>
      </c>
      <c r="G3446" s="74">
        <v>31920</v>
      </c>
      <c r="H3446" s="77">
        <v>0.83333333333333337</v>
      </c>
      <c r="J3446">
        <v>60.980000000000004</v>
      </c>
      <c r="M3446" s="74">
        <v>34477</v>
      </c>
      <c r="N3446" s="77">
        <v>0.83333333333333337</v>
      </c>
      <c r="P3446">
        <v>65.84</v>
      </c>
      <c r="S3446" s="74">
        <v>36303</v>
      </c>
      <c r="T3446" s="77">
        <v>0.83333333333333337</v>
      </c>
      <c r="V3446">
        <v>59</v>
      </c>
      <c r="X3446" s="42"/>
      <c r="AB3446">
        <v>62.7</v>
      </c>
      <c r="AC3446">
        <v>57.019999999999996</v>
      </c>
      <c r="AE3446" s="74"/>
      <c r="AF3446" s="77"/>
      <c r="AH3446" s="497">
        <v>57.2</v>
      </c>
      <c r="AJ3446" s="42"/>
      <c r="AK3446" s="74"/>
      <c r="AL3446" s="77"/>
      <c r="AN3446" s="497">
        <v>71.06</v>
      </c>
      <c r="AP3446" s="42"/>
      <c r="AQ3446" s="74"/>
      <c r="AR3446" s="77"/>
      <c r="AT3446" s="497">
        <v>64.039999999999992</v>
      </c>
      <c r="AV3446" s="42"/>
      <c r="AW3446" s="74"/>
      <c r="AX3446" s="77"/>
      <c r="BA3446" s="497">
        <v>59</v>
      </c>
      <c r="BB3446" s="42"/>
      <c r="BC3446" s="74"/>
      <c r="BD3446" s="77"/>
      <c r="BF3446">
        <v>69.98</v>
      </c>
      <c r="BH3446" s="42"/>
      <c r="BI3446" s="74"/>
      <c r="BJ3446" s="77"/>
      <c r="BL3446" s="497">
        <v>55.040000000000006</v>
      </c>
      <c r="BN3446" s="42"/>
      <c r="BO3446" s="74"/>
      <c r="BP3446" s="77"/>
      <c r="BR3446" s="497">
        <v>60.08</v>
      </c>
      <c r="BT3446" s="42"/>
    </row>
    <row r="3447" spans="1:72" x14ac:dyDescent="0.25">
      <c r="A3447" s="90">
        <v>36303</v>
      </c>
      <c r="B3447" s="20">
        <v>0.875</v>
      </c>
      <c r="D3447">
        <v>75.02</v>
      </c>
      <c r="E3447" t="str">
        <f t="shared" si="142"/>
        <v>SUNDAY</v>
      </c>
      <c r="F3447" t="e">
        <f t="shared" si="143"/>
        <v>#N/A</v>
      </c>
      <c r="G3447" s="74">
        <v>31920</v>
      </c>
      <c r="H3447" s="77">
        <v>0.875</v>
      </c>
      <c r="J3447">
        <v>60.08</v>
      </c>
      <c r="M3447" s="74">
        <v>34477</v>
      </c>
      <c r="N3447" s="77">
        <v>0.875</v>
      </c>
      <c r="P3447">
        <v>65.84</v>
      </c>
      <c r="S3447" s="74">
        <v>36303</v>
      </c>
      <c r="T3447" s="77">
        <v>0.875</v>
      </c>
      <c r="V3447">
        <v>59</v>
      </c>
      <c r="X3447" s="42"/>
      <c r="AB3447">
        <v>61.7</v>
      </c>
      <c r="AC3447">
        <v>57.019999999999996</v>
      </c>
      <c r="AE3447" s="74"/>
      <c r="AF3447" s="77"/>
      <c r="AH3447" s="497">
        <v>59</v>
      </c>
      <c r="AJ3447" s="42"/>
      <c r="AK3447" s="74"/>
      <c r="AL3447" s="77"/>
      <c r="AN3447" s="497">
        <v>69.98</v>
      </c>
      <c r="AP3447" s="42"/>
      <c r="AQ3447" s="74"/>
      <c r="AR3447" s="77"/>
      <c r="AT3447" s="497">
        <v>57.019999999999996</v>
      </c>
      <c r="AV3447" s="42"/>
      <c r="AW3447" s="74"/>
      <c r="AX3447" s="77"/>
      <c r="BA3447" s="497">
        <v>57.92</v>
      </c>
      <c r="BB3447" s="42"/>
      <c r="BC3447" s="74"/>
      <c r="BD3447" s="77"/>
      <c r="BF3447">
        <v>69.080000000000013</v>
      </c>
      <c r="BH3447" s="42"/>
      <c r="BI3447" s="74"/>
      <c r="BJ3447" s="77"/>
      <c r="BL3447" s="497">
        <v>53.06</v>
      </c>
      <c r="BN3447" s="42"/>
      <c r="BO3447" s="74"/>
      <c r="BP3447" s="77"/>
      <c r="BR3447" s="497">
        <v>60.980000000000004</v>
      </c>
      <c r="BT3447" s="42"/>
    </row>
    <row r="3448" spans="1:72" x14ac:dyDescent="0.25">
      <c r="A3448" s="90">
        <v>36303</v>
      </c>
      <c r="B3448" s="20">
        <v>0.91666666666666663</v>
      </c>
      <c r="D3448">
        <v>75.92</v>
      </c>
      <c r="E3448" t="str">
        <f t="shared" si="142"/>
        <v>SUNDAY</v>
      </c>
      <c r="F3448" t="e">
        <f t="shared" si="143"/>
        <v>#N/A</v>
      </c>
      <c r="G3448" s="74">
        <v>31920</v>
      </c>
      <c r="H3448" s="77">
        <v>0.91666666666666663</v>
      </c>
      <c r="J3448">
        <v>57.92</v>
      </c>
      <c r="M3448" s="74">
        <v>34477</v>
      </c>
      <c r="N3448" s="77">
        <v>0.91666666666666663</v>
      </c>
      <c r="P3448">
        <v>62.96</v>
      </c>
      <c r="S3448" s="74">
        <v>36303</v>
      </c>
      <c r="T3448" s="77">
        <v>0.91666666666666663</v>
      </c>
      <c r="V3448">
        <v>59</v>
      </c>
      <c r="X3448" s="42"/>
      <c r="AB3448">
        <v>61.1</v>
      </c>
      <c r="AC3448">
        <v>57.92</v>
      </c>
      <c r="AE3448" s="74"/>
      <c r="AF3448" s="77"/>
      <c r="AH3448" s="497">
        <v>57.2</v>
      </c>
      <c r="AJ3448" s="42"/>
      <c r="AK3448" s="74"/>
      <c r="AL3448" s="77"/>
      <c r="AN3448" s="497">
        <v>69.98</v>
      </c>
      <c r="AP3448" s="42"/>
      <c r="AQ3448" s="74"/>
      <c r="AR3448" s="77"/>
      <c r="AT3448" s="497">
        <v>55.94</v>
      </c>
      <c r="AV3448" s="42"/>
      <c r="AW3448" s="74"/>
      <c r="AX3448" s="77"/>
      <c r="BA3448" s="497">
        <v>51.980000000000004</v>
      </c>
      <c r="BB3448" s="42"/>
      <c r="BC3448" s="74"/>
      <c r="BD3448" s="77"/>
      <c r="BF3448">
        <v>69.080000000000013</v>
      </c>
      <c r="BH3448" s="42"/>
      <c r="BI3448" s="74"/>
      <c r="BJ3448" s="77"/>
      <c r="BL3448" s="497">
        <v>51.08</v>
      </c>
      <c r="BN3448" s="42"/>
      <c r="BO3448" s="74"/>
      <c r="BP3448" s="77"/>
      <c r="BR3448" s="497">
        <v>60.08</v>
      </c>
      <c r="BT3448" s="42"/>
    </row>
    <row r="3449" spans="1:72" x14ac:dyDescent="0.25">
      <c r="A3449" s="90">
        <v>36303</v>
      </c>
      <c r="B3449" s="20">
        <v>0.95833333333333337</v>
      </c>
      <c r="D3449">
        <v>73.94</v>
      </c>
      <c r="E3449" t="str">
        <f t="shared" si="142"/>
        <v>SUNDAY</v>
      </c>
      <c r="F3449" t="e">
        <f t="shared" si="143"/>
        <v>#N/A</v>
      </c>
      <c r="G3449" s="74">
        <v>31920</v>
      </c>
      <c r="H3449" s="77">
        <v>0.95833333333333337</v>
      </c>
      <c r="J3449">
        <v>57.019999999999996</v>
      </c>
      <c r="M3449" s="74">
        <v>34477</v>
      </c>
      <c r="N3449" s="77">
        <v>0.95833333333333337</v>
      </c>
      <c r="P3449">
        <v>62.96</v>
      </c>
      <c r="S3449" s="74">
        <v>36303</v>
      </c>
      <c r="T3449" s="77">
        <v>0.95833333333333337</v>
      </c>
      <c r="V3449">
        <v>57.92</v>
      </c>
      <c r="X3449" s="42"/>
      <c r="AB3449">
        <v>60.6</v>
      </c>
      <c r="AC3449">
        <v>57.019999999999996</v>
      </c>
      <c r="AE3449" s="74"/>
      <c r="AF3449" s="77"/>
      <c r="AH3449" s="497">
        <v>57.2</v>
      </c>
      <c r="AJ3449" s="42"/>
      <c r="AK3449" s="74"/>
      <c r="AL3449" s="77"/>
      <c r="AN3449" s="497">
        <v>69.080000000000013</v>
      </c>
      <c r="AP3449" s="42"/>
      <c r="AQ3449" s="74"/>
      <c r="AR3449" s="77"/>
      <c r="AT3449" s="497">
        <v>53.96</v>
      </c>
      <c r="AV3449" s="42"/>
      <c r="AW3449" s="74"/>
      <c r="AX3449" s="77"/>
      <c r="BA3449" s="497">
        <v>48.92</v>
      </c>
      <c r="BB3449" s="42"/>
      <c r="BC3449" s="74"/>
      <c r="BD3449" s="77"/>
      <c r="BF3449">
        <v>73.039999999999992</v>
      </c>
      <c r="BH3449" s="42"/>
      <c r="BI3449" s="74"/>
      <c r="BJ3449" s="77"/>
      <c r="BL3449" s="497">
        <v>50</v>
      </c>
      <c r="BN3449" s="42"/>
      <c r="BO3449" s="74"/>
      <c r="BP3449" s="77"/>
      <c r="BR3449" s="497">
        <v>59</v>
      </c>
      <c r="BT3449" s="42"/>
    </row>
    <row r="3450" spans="1:72" x14ac:dyDescent="0.25">
      <c r="A3450" s="90">
        <v>36303</v>
      </c>
      <c r="B3450" s="20">
        <v>1</v>
      </c>
      <c r="D3450">
        <v>69.98</v>
      </c>
      <c r="E3450" t="str">
        <f t="shared" si="142"/>
        <v>SUNDAY</v>
      </c>
      <c r="F3450" t="e">
        <f t="shared" si="143"/>
        <v>#N/A</v>
      </c>
      <c r="G3450" s="74">
        <v>31920</v>
      </c>
      <c r="H3450" s="77">
        <v>1</v>
      </c>
      <c r="J3450">
        <v>55.94</v>
      </c>
      <c r="M3450" s="74">
        <v>34477</v>
      </c>
      <c r="N3450" s="80">
        <v>1</v>
      </c>
      <c r="P3450">
        <v>61.88</v>
      </c>
      <c r="S3450" s="74">
        <v>36303</v>
      </c>
      <c r="T3450" s="80">
        <v>1</v>
      </c>
      <c r="V3450">
        <v>59</v>
      </c>
      <c r="X3450" s="42"/>
      <c r="AB3450">
        <v>60.1</v>
      </c>
      <c r="AC3450">
        <v>57.019999999999996</v>
      </c>
      <c r="AE3450" s="74"/>
      <c r="AF3450" s="80"/>
      <c r="AH3450" s="497">
        <v>57.2</v>
      </c>
      <c r="AJ3450" s="42"/>
      <c r="AK3450" s="74"/>
      <c r="AL3450" s="80"/>
      <c r="AN3450" s="497">
        <v>66.92</v>
      </c>
      <c r="AP3450" s="42"/>
      <c r="AQ3450" s="74"/>
      <c r="AR3450" s="80"/>
      <c r="AT3450" s="497">
        <v>51.980000000000004</v>
      </c>
      <c r="AV3450" s="42"/>
      <c r="AW3450" s="74"/>
      <c r="AX3450" s="80"/>
      <c r="BA3450" s="497">
        <v>48.92</v>
      </c>
      <c r="BB3450" s="42"/>
      <c r="BC3450" s="74"/>
      <c r="BD3450" s="80"/>
      <c r="BF3450">
        <v>73.94</v>
      </c>
      <c r="BH3450" s="42"/>
      <c r="BI3450" s="74"/>
      <c r="BJ3450" s="80"/>
      <c r="BL3450" s="497">
        <v>48.92</v>
      </c>
      <c r="BN3450" s="42"/>
      <c r="BO3450" s="74"/>
      <c r="BP3450" s="80"/>
      <c r="BR3450" s="497">
        <v>59</v>
      </c>
      <c r="BT3450" s="42"/>
    </row>
    <row r="3451" spans="1:72" x14ac:dyDescent="0.25">
      <c r="A3451" s="90">
        <v>36304</v>
      </c>
      <c r="B3451" s="20">
        <v>4.1666666666666664E-2</v>
      </c>
      <c r="D3451">
        <v>69.98</v>
      </c>
      <c r="E3451" t="str">
        <f t="shared" si="142"/>
        <v>WEEKDAY</v>
      </c>
      <c r="F3451" t="e">
        <f t="shared" si="143"/>
        <v>#N/A</v>
      </c>
      <c r="G3451" s="74">
        <v>31921</v>
      </c>
      <c r="H3451" s="77">
        <v>4.1666666666666664E-2</v>
      </c>
      <c r="J3451">
        <v>55.040000000000006</v>
      </c>
      <c r="M3451" s="74">
        <v>34478</v>
      </c>
      <c r="N3451" s="77">
        <v>4.1666666666666664E-2</v>
      </c>
      <c r="P3451">
        <v>63.86</v>
      </c>
      <c r="S3451" s="74">
        <v>36304</v>
      </c>
      <c r="T3451" s="77">
        <v>4.1666666666666664E-2</v>
      </c>
      <c r="V3451">
        <v>59</v>
      </c>
      <c r="X3451" s="42"/>
      <c r="AB3451">
        <v>59.6</v>
      </c>
      <c r="AC3451">
        <v>57.019999999999996</v>
      </c>
      <c r="AE3451" s="74"/>
      <c r="AF3451" s="77"/>
      <c r="AH3451" s="497">
        <v>57.2</v>
      </c>
      <c r="AJ3451" s="42"/>
      <c r="AK3451" s="74"/>
      <c r="AL3451" s="77"/>
      <c r="AN3451" s="497">
        <v>66.92</v>
      </c>
      <c r="AP3451" s="42"/>
      <c r="AQ3451" s="74"/>
      <c r="AR3451" s="77"/>
      <c r="AT3451" s="497">
        <v>51.08</v>
      </c>
      <c r="AV3451" s="42"/>
      <c r="AW3451" s="74"/>
      <c r="AX3451" s="77"/>
      <c r="BA3451" s="497">
        <v>46.94</v>
      </c>
      <c r="BB3451" s="42"/>
      <c r="BC3451" s="74"/>
      <c r="BD3451" s="77"/>
      <c r="BF3451">
        <v>73.039999999999992</v>
      </c>
      <c r="BH3451" s="42"/>
      <c r="BI3451" s="74"/>
      <c r="BJ3451" s="77"/>
      <c r="BL3451" s="497">
        <v>48.019999999999996</v>
      </c>
      <c r="BN3451" s="42"/>
      <c r="BO3451" s="74"/>
      <c r="BP3451" s="77"/>
      <c r="BR3451" s="497">
        <v>57.92</v>
      </c>
      <c r="BT3451" s="42"/>
    </row>
    <row r="3452" spans="1:72" x14ac:dyDescent="0.25">
      <c r="A3452" s="90">
        <v>36304</v>
      </c>
      <c r="B3452" s="20">
        <v>8.3333333333333329E-2</v>
      </c>
      <c r="D3452">
        <v>66.92</v>
      </c>
      <c r="E3452" t="str">
        <f t="shared" si="142"/>
        <v>WEEKDAY</v>
      </c>
      <c r="F3452" t="e">
        <f t="shared" si="143"/>
        <v>#N/A</v>
      </c>
      <c r="G3452" s="74">
        <v>31921</v>
      </c>
      <c r="H3452" s="77">
        <v>8.3333333333333329E-2</v>
      </c>
      <c r="J3452">
        <v>55.040000000000006</v>
      </c>
      <c r="M3452" s="74">
        <v>34478</v>
      </c>
      <c r="N3452" s="77">
        <v>8.3333333333333329E-2</v>
      </c>
      <c r="P3452">
        <v>61.88</v>
      </c>
      <c r="S3452" s="74">
        <v>36304</v>
      </c>
      <c r="T3452" s="77">
        <v>8.3333333333333329E-2</v>
      </c>
      <c r="V3452">
        <v>60.08</v>
      </c>
      <c r="X3452" s="42"/>
      <c r="AB3452">
        <v>59</v>
      </c>
      <c r="AC3452">
        <v>55.94</v>
      </c>
      <c r="AE3452" s="74"/>
      <c r="AF3452" s="77"/>
      <c r="AH3452" s="497">
        <v>57.2</v>
      </c>
      <c r="AJ3452" s="42"/>
      <c r="AK3452" s="74"/>
      <c r="AL3452" s="77"/>
      <c r="AN3452" s="497">
        <v>62.96</v>
      </c>
      <c r="AP3452" s="42"/>
      <c r="AQ3452" s="74"/>
      <c r="AR3452" s="77"/>
      <c r="AT3452" s="497">
        <v>48.92</v>
      </c>
      <c r="AV3452" s="42"/>
      <c r="AW3452" s="74"/>
      <c r="AX3452" s="77"/>
      <c r="BA3452" s="497">
        <v>46.04</v>
      </c>
      <c r="BB3452" s="42"/>
      <c r="BC3452" s="74"/>
      <c r="BD3452" s="77"/>
      <c r="BF3452">
        <v>66.92</v>
      </c>
      <c r="BH3452" s="42"/>
      <c r="BI3452" s="74"/>
      <c r="BJ3452" s="77"/>
      <c r="BL3452" s="497">
        <v>50</v>
      </c>
      <c r="BN3452" s="42"/>
      <c r="BO3452" s="74"/>
      <c r="BP3452" s="77"/>
      <c r="BR3452" s="497">
        <v>59</v>
      </c>
      <c r="BT3452" s="42"/>
    </row>
    <row r="3453" spans="1:72" x14ac:dyDescent="0.25">
      <c r="A3453" s="90">
        <v>36304</v>
      </c>
      <c r="B3453" s="20">
        <v>0.125</v>
      </c>
      <c r="D3453">
        <v>66.92</v>
      </c>
      <c r="E3453" t="str">
        <f t="shared" si="142"/>
        <v>WEEKDAY</v>
      </c>
      <c r="F3453" t="e">
        <f t="shared" si="143"/>
        <v>#N/A</v>
      </c>
      <c r="G3453" s="74">
        <v>31921</v>
      </c>
      <c r="H3453" s="77">
        <v>0.125</v>
      </c>
      <c r="J3453">
        <v>55.040000000000006</v>
      </c>
      <c r="M3453" s="74">
        <v>34478</v>
      </c>
      <c r="N3453" s="77">
        <v>0.125</v>
      </c>
      <c r="P3453">
        <v>60.980000000000004</v>
      </c>
      <c r="S3453" s="74">
        <v>36304</v>
      </c>
      <c r="T3453" s="77">
        <v>0.125</v>
      </c>
      <c r="V3453">
        <v>60.08</v>
      </c>
      <c r="X3453" s="42"/>
      <c r="AB3453">
        <v>58.5</v>
      </c>
      <c r="AC3453">
        <v>55.040000000000006</v>
      </c>
      <c r="AE3453" s="74"/>
      <c r="AF3453" s="77"/>
      <c r="AH3453" s="497">
        <v>60.8</v>
      </c>
      <c r="AJ3453" s="42"/>
      <c r="AK3453" s="74"/>
      <c r="AL3453" s="77"/>
      <c r="AN3453" s="497">
        <v>62.96</v>
      </c>
      <c r="AP3453" s="42"/>
      <c r="AQ3453" s="74"/>
      <c r="AR3453" s="77"/>
      <c r="AT3453" s="497">
        <v>48.92</v>
      </c>
      <c r="AV3453" s="42"/>
      <c r="AW3453" s="74"/>
      <c r="AX3453" s="77"/>
      <c r="BA3453" s="497">
        <v>46.04</v>
      </c>
      <c r="BB3453" s="42"/>
      <c r="BC3453" s="74"/>
      <c r="BD3453" s="77"/>
      <c r="BF3453">
        <v>62.06</v>
      </c>
      <c r="BH3453" s="42"/>
      <c r="BI3453" s="74"/>
      <c r="BJ3453" s="77"/>
      <c r="BL3453" s="497">
        <v>50</v>
      </c>
      <c r="BN3453" s="42"/>
      <c r="BO3453" s="74"/>
      <c r="BP3453" s="77"/>
      <c r="BR3453" s="497">
        <v>57.92</v>
      </c>
      <c r="BT3453" s="42"/>
    </row>
    <row r="3454" spans="1:72" x14ac:dyDescent="0.25">
      <c r="A3454" s="90">
        <v>36304</v>
      </c>
      <c r="B3454" s="20">
        <v>0.16666666666666666</v>
      </c>
      <c r="D3454">
        <v>64.039999999999992</v>
      </c>
      <c r="E3454" t="str">
        <f t="shared" si="142"/>
        <v>WEEKDAY</v>
      </c>
      <c r="F3454" t="e">
        <f t="shared" si="143"/>
        <v>#N/A</v>
      </c>
      <c r="G3454" s="74">
        <v>31921</v>
      </c>
      <c r="H3454" s="77">
        <v>0.16666666666666666</v>
      </c>
      <c r="J3454">
        <v>53.96</v>
      </c>
      <c r="M3454" s="74">
        <v>34478</v>
      </c>
      <c r="N3454" s="77">
        <v>0.16666666666666666</v>
      </c>
      <c r="P3454">
        <v>57.92</v>
      </c>
      <c r="S3454" s="74">
        <v>36304</v>
      </c>
      <c r="T3454" s="77">
        <v>0.16666666666666666</v>
      </c>
      <c r="V3454">
        <v>59</v>
      </c>
      <c r="X3454" s="42"/>
      <c r="AB3454">
        <v>58</v>
      </c>
      <c r="AC3454">
        <v>55.040000000000006</v>
      </c>
      <c r="AE3454" s="74"/>
      <c r="AF3454" s="77"/>
      <c r="AH3454" s="497">
        <v>59</v>
      </c>
      <c r="AJ3454" s="42"/>
      <c r="AK3454" s="74"/>
      <c r="AL3454" s="77"/>
      <c r="AN3454" s="497">
        <v>60.08</v>
      </c>
      <c r="AP3454" s="42"/>
      <c r="AQ3454" s="74"/>
      <c r="AR3454" s="77"/>
      <c r="AT3454" s="497">
        <v>46.94</v>
      </c>
      <c r="AV3454" s="42"/>
      <c r="AW3454" s="74"/>
      <c r="AX3454" s="77"/>
      <c r="BA3454" s="497">
        <v>46.04</v>
      </c>
      <c r="BB3454" s="42"/>
      <c r="BC3454" s="74"/>
      <c r="BD3454" s="77"/>
      <c r="BF3454">
        <v>64.039999999999992</v>
      </c>
      <c r="BH3454" s="42"/>
      <c r="BI3454" s="74"/>
      <c r="BJ3454" s="77"/>
      <c r="BL3454" s="497">
        <v>50</v>
      </c>
      <c r="BN3454" s="42"/>
      <c r="BO3454" s="74"/>
      <c r="BP3454" s="77"/>
      <c r="BR3454" s="497">
        <v>57.92</v>
      </c>
      <c r="BT3454" s="42"/>
    </row>
    <row r="3455" spans="1:72" x14ac:dyDescent="0.25">
      <c r="A3455" s="90">
        <v>36304</v>
      </c>
      <c r="B3455" s="20">
        <v>0.20833333333333334</v>
      </c>
      <c r="D3455">
        <v>64.94</v>
      </c>
      <c r="E3455" t="str">
        <f t="shared" si="142"/>
        <v>WEEKDAY</v>
      </c>
      <c r="F3455" t="e">
        <f t="shared" si="143"/>
        <v>#N/A</v>
      </c>
      <c r="G3455" s="74">
        <v>31921</v>
      </c>
      <c r="H3455" s="77">
        <v>0.20833333333333334</v>
      </c>
      <c r="J3455">
        <v>53.96</v>
      </c>
      <c r="M3455" s="74">
        <v>34478</v>
      </c>
      <c r="N3455" s="77">
        <v>0.20833333333333334</v>
      </c>
      <c r="P3455">
        <v>55.94</v>
      </c>
      <c r="S3455" s="74">
        <v>36304</v>
      </c>
      <c r="T3455" s="77">
        <v>0.20833333333333334</v>
      </c>
      <c r="V3455">
        <v>59</v>
      </c>
      <c r="X3455" s="42"/>
      <c r="AB3455">
        <v>57.6</v>
      </c>
      <c r="AC3455">
        <v>55.040000000000006</v>
      </c>
      <c r="AE3455" s="74"/>
      <c r="AF3455" s="77"/>
      <c r="AH3455" s="497">
        <v>60.8</v>
      </c>
      <c r="AJ3455" s="42"/>
      <c r="AK3455" s="74"/>
      <c r="AL3455" s="77"/>
      <c r="AN3455" s="497">
        <v>59</v>
      </c>
      <c r="AP3455" s="42"/>
      <c r="AQ3455" s="74"/>
      <c r="AR3455" s="77"/>
      <c r="AT3455" s="497">
        <v>46.04</v>
      </c>
      <c r="AV3455" s="42"/>
      <c r="AW3455" s="74"/>
      <c r="AX3455" s="77"/>
      <c r="BA3455" s="497">
        <v>44.96</v>
      </c>
      <c r="BB3455" s="42"/>
      <c r="BC3455" s="74"/>
      <c r="BD3455" s="77"/>
      <c r="BF3455">
        <v>66.02</v>
      </c>
      <c r="BH3455" s="42"/>
      <c r="BI3455" s="74"/>
      <c r="BJ3455" s="77"/>
      <c r="BL3455" s="497">
        <v>50</v>
      </c>
      <c r="BN3455" s="42"/>
      <c r="BO3455" s="74"/>
      <c r="BP3455" s="77"/>
      <c r="BR3455" s="497">
        <v>62.06</v>
      </c>
      <c r="BT3455" s="42"/>
    </row>
    <row r="3456" spans="1:72" x14ac:dyDescent="0.25">
      <c r="A3456" s="90">
        <v>36304</v>
      </c>
      <c r="B3456" s="20">
        <v>0.25</v>
      </c>
      <c r="D3456">
        <v>66.02</v>
      </c>
      <c r="E3456" t="str">
        <f t="shared" si="142"/>
        <v>WEEKDAY</v>
      </c>
      <c r="F3456" t="e">
        <f t="shared" si="143"/>
        <v>#N/A</v>
      </c>
      <c r="G3456" s="74">
        <v>31921</v>
      </c>
      <c r="H3456" s="77">
        <v>0.25</v>
      </c>
      <c r="J3456">
        <v>53.96</v>
      </c>
      <c r="M3456" s="74">
        <v>34478</v>
      </c>
      <c r="N3456" s="77">
        <v>0.25</v>
      </c>
      <c r="P3456">
        <v>59.900000000000006</v>
      </c>
      <c r="S3456" s="74">
        <v>36304</v>
      </c>
      <c r="T3456" s="77">
        <v>0.25</v>
      </c>
      <c r="V3456">
        <v>59</v>
      </c>
      <c r="X3456" s="42"/>
      <c r="AB3456">
        <v>57.5</v>
      </c>
      <c r="AC3456">
        <v>55.040000000000006</v>
      </c>
      <c r="AE3456" s="74"/>
      <c r="AF3456" s="77"/>
      <c r="AH3456" s="497">
        <v>62.6</v>
      </c>
      <c r="AJ3456" s="42"/>
      <c r="AK3456" s="74"/>
      <c r="AL3456" s="77"/>
      <c r="AN3456" s="497">
        <v>59</v>
      </c>
      <c r="AP3456" s="42"/>
      <c r="AQ3456" s="74"/>
      <c r="AR3456" s="77"/>
      <c r="AT3456" s="497">
        <v>51.08</v>
      </c>
      <c r="AV3456" s="42"/>
      <c r="AW3456" s="74"/>
      <c r="AX3456" s="77"/>
      <c r="BA3456" s="497">
        <v>50</v>
      </c>
      <c r="BB3456" s="42"/>
      <c r="BC3456" s="74"/>
      <c r="BD3456" s="77"/>
      <c r="BF3456">
        <v>64.94</v>
      </c>
      <c r="BH3456" s="42"/>
      <c r="BI3456" s="74"/>
      <c r="BJ3456" s="77"/>
      <c r="BL3456" s="497">
        <v>51.08</v>
      </c>
      <c r="BN3456" s="42"/>
      <c r="BO3456" s="74"/>
      <c r="BP3456" s="77"/>
      <c r="BR3456" s="497">
        <v>62.06</v>
      </c>
      <c r="BT3456" s="42"/>
    </row>
    <row r="3457" spans="1:72" x14ac:dyDescent="0.25">
      <c r="A3457" s="90">
        <v>36304</v>
      </c>
      <c r="B3457" s="20">
        <v>0.29166666666666669</v>
      </c>
      <c r="D3457">
        <v>69.080000000000013</v>
      </c>
      <c r="E3457" t="str">
        <f t="shared" si="142"/>
        <v>WEEKDAY</v>
      </c>
      <c r="F3457" t="e">
        <f t="shared" si="143"/>
        <v>#N/A</v>
      </c>
      <c r="G3457" s="74">
        <v>31921</v>
      </c>
      <c r="H3457" s="77">
        <v>0.29166666666666669</v>
      </c>
      <c r="J3457">
        <v>55.94</v>
      </c>
      <c r="M3457" s="74">
        <v>34478</v>
      </c>
      <c r="N3457" s="77">
        <v>0.29166666666666669</v>
      </c>
      <c r="P3457">
        <v>64.94</v>
      </c>
      <c r="S3457" s="74">
        <v>36304</v>
      </c>
      <c r="T3457" s="77">
        <v>0.29166666666666669</v>
      </c>
      <c r="V3457">
        <v>60.08</v>
      </c>
      <c r="X3457" s="42"/>
      <c r="AB3457">
        <v>59</v>
      </c>
      <c r="AC3457">
        <v>55.94</v>
      </c>
      <c r="AE3457" s="74"/>
      <c r="AF3457" s="77"/>
      <c r="AH3457" s="497">
        <v>64.400000000000006</v>
      </c>
      <c r="AJ3457" s="42"/>
      <c r="AK3457" s="74"/>
      <c r="AL3457" s="77"/>
      <c r="AN3457" s="497">
        <v>57.92</v>
      </c>
      <c r="AP3457" s="42"/>
      <c r="AQ3457" s="74"/>
      <c r="AR3457" s="77"/>
      <c r="AT3457" s="497">
        <v>55.94</v>
      </c>
      <c r="AV3457" s="42"/>
      <c r="AW3457" s="74"/>
      <c r="AX3457" s="77"/>
      <c r="BA3457" s="497">
        <v>55.94</v>
      </c>
      <c r="BB3457" s="42"/>
      <c r="BC3457" s="74"/>
      <c r="BD3457" s="77"/>
      <c r="BF3457">
        <v>62.06</v>
      </c>
      <c r="BH3457" s="42"/>
      <c r="BI3457" s="74"/>
      <c r="BJ3457" s="77"/>
      <c r="BL3457" s="497">
        <v>53.06</v>
      </c>
      <c r="BN3457" s="42"/>
      <c r="BO3457" s="74"/>
      <c r="BP3457" s="77"/>
      <c r="BR3457" s="497">
        <v>62.06</v>
      </c>
      <c r="BT3457" s="42"/>
    </row>
    <row r="3458" spans="1:72" x14ac:dyDescent="0.25">
      <c r="A3458" s="90">
        <v>36304</v>
      </c>
      <c r="B3458" s="20">
        <v>0.33333333333333331</v>
      </c>
      <c r="D3458">
        <v>71.06</v>
      </c>
      <c r="E3458" t="str">
        <f t="shared" si="142"/>
        <v>WEEKDAY</v>
      </c>
      <c r="F3458" t="e">
        <f t="shared" si="143"/>
        <v>#N/A</v>
      </c>
      <c r="G3458" s="74">
        <v>31921</v>
      </c>
      <c r="H3458" s="77">
        <v>0.33333333333333331</v>
      </c>
      <c r="J3458">
        <v>57.92</v>
      </c>
      <c r="M3458" s="74">
        <v>34478</v>
      </c>
      <c r="N3458" s="77">
        <v>0.33333333333333331</v>
      </c>
      <c r="P3458">
        <v>68</v>
      </c>
      <c r="S3458" s="74">
        <v>36304</v>
      </c>
      <c r="T3458" s="77">
        <v>0.33333333333333331</v>
      </c>
      <c r="V3458">
        <v>59</v>
      </c>
      <c r="X3458" s="42"/>
      <c r="AB3458">
        <v>60.8</v>
      </c>
      <c r="AC3458">
        <v>57.019999999999996</v>
      </c>
      <c r="AE3458" s="74"/>
      <c r="AF3458" s="77"/>
      <c r="AH3458" s="497">
        <v>66.2</v>
      </c>
      <c r="AJ3458" s="42"/>
      <c r="AK3458" s="74"/>
      <c r="AL3458" s="77"/>
      <c r="AN3458" s="497">
        <v>57.019999999999996</v>
      </c>
      <c r="AP3458" s="42"/>
      <c r="AQ3458" s="74"/>
      <c r="AR3458" s="77"/>
      <c r="AT3458" s="497">
        <v>64.94</v>
      </c>
      <c r="AV3458" s="42"/>
      <c r="AW3458" s="74"/>
      <c r="AX3458" s="77"/>
      <c r="BA3458" s="497">
        <v>60.980000000000004</v>
      </c>
      <c r="BB3458" s="42"/>
      <c r="BC3458" s="74"/>
      <c r="BD3458" s="77"/>
      <c r="BF3458">
        <v>60.08</v>
      </c>
      <c r="BH3458" s="42"/>
      <c r="BI3458" s="74"/>
      <c r="BJ3458" s="77"/>
      <c r="BL3458" s="497">
        <v>55.040000000000006</v>
      </c>
      <c r="BN3458" s="42"/>
      <c r="BO3458" s="74"/>
      <c r="BP3458" s="77"/>
      <c r="BR3458" s="497">
        <v>60.980000000000004</v>
      </c>
      <c r="BT3458" s="42"/>
    </row>
    <row r="3459" spans="1:72" x14ac:dyDescent="0.25">
      <c r="A3459" s="90">
        <v>36304</v>
      </c>
      <c r="B3459" s="20">
        <v>0.375</v>
      </c>
      <c r="D3459">
        <v>73.94</v>
      </c>
      <c r="E3459" t="str">
        <f t="shared" si="142"/>
        <v>WEEKDAY</v>
      </c>
      <c r="F3459" t="e">
        <f t="shared" si="143"/>
        <v>#N/A</v>
      </c>
      <c r="G3459" s="74">
        <v>31921</v>
      </c>
      <c r="H3459" s="77">
        <v>0.375</v>
      </c>
      <c r="J3459">
        <v>59</v>
      </c>
      <c r="M3459" s="74">
        <v>34478</v>
      </c>
      <c r="N3459" s="77">
        <v>0.375</v>
      </c>
      <c r="P3459">
        <v>72.86</v>
      </c>
      <c r="S3459" s="74">
        <v>36304</v>
      </c>
      <c r="T3459" s="77">
        <v>0.375</v>
      </c>
      <c r="V3459">
        <v>59</v>
      </c>
      <c r="X3459" s="42"/>
      <c r="AB3459">
        <v>62.9</v>
      </c>
      <c r="AC3459">
        <v>57.019999999999996</v>
      </c>
      <c r="AE3459" s="74"/>
      <c r="AF3459" s="77"/>
      <c r="AH3459" s="497">
        <v>68</v>
      </c>
      <c r="AJ3459" s="42"/>
      <c r="AK3459" s="74"/>
      <c r="AL3459" s="77"/>
      <c r="AN3459" s="497">
        <v>55.94</v>
      </c>
      <c r="AP3459" s="42"/>
      <c r="AQ3459" s="74"/>
      <c r="AR3459" s="77"/>
      <c r="AT3459" s="497">
        <v>64.94</v>
      </c>
      <c r="AV3459" s="42"/>
      <c r="AW3459" s="74"/>
      <c r="AX3459" s="77"/>
      <c r="BA3459" s="497">
        <v>66.02</v>
      </c>
      <c r="BB3459" s="42"/>
      <c r="BC3459" s="74"/>
      <c r="BD3459" s="77"/>
      <c r="BF3459">
        <v>60.980000000000004</v>
      </c>
      <c r="BH3459" s="42"/>
      <c r="BI3459" s="74"/>
      <c r="BJ3459" s="77"/>
      <c r="BL3459" s="497">
        <v>55.94</v>
      </c>
      <c r="BN3459" s="42"/>
      <c r="BO3459" s="74"/>
      <c r="BP3459" s="77"/>
      <c r="BR3459" s="497">
        <v>60.980000000000004</v>
      </c>
      <c r="BT3459" s="42"/>
    </row>
    <row r="3460" spans="1:72" x14ac:dyDescent="0.25">
      <c r="A3460" s="90">
        <v>36304</v>
      </c>
      <c r="B3460" s="20">
        <v>0.41666666666666669</v>
      </c>
      <c r="D3460">
        <v>75.02</v>
      </c>
      <c r="E3460" t="str">
        <f t="shared" si="142"/>
        <v>WEEKDAY</v>
      </c>
      <c r="F3460" t="e">
        <f t="shared" si="143"/>
        <v>#N/A</v>
      </c>
      <c r="G3460" s="74">
        <v>31921</v>
      </c>
      <c r="H3460" s="77">
        <v>0.41666666666666669</v>
      </c>
      <c r="J3460">
        <v>64.039999999999992</v>
      </c>
      <c r="M3460" s="74">
        <v>34478</v>
      </c>
      <c r="N3460" s="77">
        <v>0.41666666666666669</v>
      </c>
      <c r="P3460">
        <v>72.86</v>
      </c>
      <c r="S3460" s="74">
        <v>36304</v>
      </c>
      <c r="T3460" s="77">
        <v>0.41666666666666669</v>
      </c>
      <c r="V3460">
        <v>60.08</v>
      </c>
      <c r="X3460" s="42"/>
      <c r="AB3460">
        <v>64.599999999999994</v>
      </c>
      <c r="AC3460">
        <v>57.92</v>
      </c>
      <c r="AE3460" s="74"/>
      <c r="AF3460" s="77"/>
      <c r="AH3460" s="497">
        <v>68</v>
      </c>
      <c r="AJ3460" s="42"/>
      <c r="AK3460" s="74"/>
      <c r="AL3460" s="77"/>
      <c r="AN3460" s="497">
        <v>53.96</v>
      </c>
      <c r="AP3460" s="42"/>
      <c r="AQ3460" s="74"/>
      <c r="AR3460" s="77"/>
      <c r="AT3460" s="497">
        <v>69.98</v>
      </c>
      <c r="AV3460" s="42"/>
      <c r="AW3460" s="74"/>
      <c r="AX3460" s="77"/>
      <c r="BA3460" s="497">
        <v>68</v>
      </c>
      <c r="BB3460" s="42"/>
      <c r="BC3460" s="74"/>
      <c r="BD3460" s="77"/>
      <c r="BF3460">
        <v>55.040000000000006</v>
      </c>
      <c r="BH3460" s="42"/>
      <c r="BI3460" s="74"/>
      <c r="BJ3460" s="77"/>
      <c r="BL3460" s="497">
        <v>57.019999999999996</v>
      </c>
      <c r="BN3460" s="42"/>
      <c r="BO3460" s="74"/>
      <c r="BP3460" s="77"/>
      <c r="BR3460" s="497">
        <v>60.980000000000004</v>
      </c>
      <c r="BT3460" s="42"/>
    </row>
    <row r="3461" spans="1:72" x14ac:dyDescent="0.25">
      <c r="A3461" s="90">
        <v>36304</v>
      </c>
      <c r="B3461" s="20">
        <v>0.45833333333333331</v>
      </c>
      <c r="D3461">
        <v>75.92</v>
      </c>
      <c r="E3461" t="str">
        <f t="shared" si="142"/>
        <v>WEEKDAY</v>
      </c>
      <c r="F3461" t="e">
        <f t="shared" si="143"/>
        <v>#N/A</v>
      </c>
      <c r="G3461" s="74">
        <v>31921</v>
      </c>
      <c r="H3461" s="77">
        <v>0.45833333333333331</v>
      </c>
      <c r="J3461">
        <v>69.98</v>
      </c>
      <c r="M3461" s="74">
        <v>34478</v>
      </c>
      <c r="N3461" s="77">
        <v>0.45833333333333331</v>
      </c>
      <c r="P3461">
        <v>74.84</v>
      </c>
      <c r="S3461" s="74">
        <v>36304</v>
      </c>
      <c r="T3461" s="77">
        <v>0.45833333333333331</v>
      </c>
      <c r="V3461">
        <v>59</v>
      </c>
      <c r="X3461" s="42"/>
      <c r="AB3461">
        <v>66.3</v>
      </c>
      <c r="AC3461">
        <v>57.92</v>
      </c>
      <c r="AE3461" s="74"/>
      <c r="AF3461" s="77"/>
      <c r="AH3461" s="497">
        <v>68</v>
      </c>
      <c r="AJ3461" s="42"/>
      <c r="AK3461" s="74"/>
      <c r="AL3461" s="77"/>
      <c r="AN3461" s="497">
        <v>51.08</v>
      </c>
      <c r="AP3461" s="42"/>
      <c r="AQ3461" s="74"/>
      <c r="AR3461" s="77"/>
      <c r="AT3461" s="497">
        <v>73.039999999999992</v>
      </c>
      <c r="AV3461" s="42"/>
      <c r="AW3461" s="74"/>
      <c r="AX3461" s="77"/>
      <c r="BA3461" s="497">
        <v>71.06</v>
      </c>
      <c r="BB3461" s="42"/>
      <c r="BC3461" s="74"/>
      <c r="BD3461" s="77"/>
      <c r="BF3461">
        <v>55.040000000000006</v>
      </c>
      <c r="BH3461" s="42"/>
      <c r="BI3461" s="74"/>
      <c r="BJ3461" s="77"/>
      <c r="BL3461" s="497">
        <v>57.92</v>
      </c>
      <c r="BN3461" s="42"/>
      <c r="BO3461" s="74"/>
      <c r="BP3461" s="77"/>
      <c r="BR3461" s="497">
        <v>60.980000000000004</v>
      </c>
      <c r="BT3461" s="42"/>
    </row>
    <row r="3462" spans="1:72" x14ac:dyDescent="0.25">
      <c r="A3462" s="90">
        <v>36304</v>
      </c>
      <c r="B3462" s="20">
        <v>0.5</v>
      </c>
      <c r="D3462">
        <v>78.080000000000013</v>
      </c>
      <c r="E3462" t="str">
        <f t="shared" si="142"/>
        <v>WEEKDAY</v>
      </c>
      <c r="F3462" t="e">
        <f t="shared" si="143"/>
        <v>#N/A</v>
      </c>
      <c r="G3462" s="74">
        <v>31921</v>
      </c>
      <c r="H3462" s="77">
        <v>0.5</v>
      </c>
      <c r="J3462">
        <v>71.960000000000008</v>
      </c>
      <c r="M3462" s="74">
        <v>34478</v>
      </c>
      <c r="N3462" s="77">
        <v>0.5</v>
      </c>
      <c r="P3462">
        <v>74.84</v>
      </c>
      <c r="S3462" s="74">
        <v>36304</v>
      </c>
      <c r="T3462" s="77">
        <v>0.5</v>
      </c>
      <c r="V3462">
        <v>57.2</v>
      </c>
      <c r="X3462" s="42"/>
      <c r="AB3462">
        <v>67.400000000000006</v>
      </c>
      <c r="AC3462">
        <v>59</v>
      </c>
      <c r="AE3462" s="74"/>
      <c r="AF3462" s="77"/>
      <c r="AH3462" s="497">
        <v>71.599999999999994</v>
      </c>
      <c r="AJ3462" s="42"/>
      <c r="AK3462" s="74"/>
      <c r="AL3462" s="77"/>
      <c r="AN3462" s="497">
        <v>51.980000000000004</v>
      </c>
      <c r="AP3462" s="42"/>
      <c r="AQ3462" s="74"/>
      <c r="AR3462" s="77"/>
      <c r="AT3462" s="497">
        <v>75.02</v>
      </c>
      <c r="AV3462" s="42"/>
      <c r="AW3462" s="74"/>
      <c r="AX3462" s="77"/>
      <c r="BA3462" s="497">
        <v>75.02</v>
      </c>
      <c r="BB3462" s="42"/>
      <c r="BC3462" s="74"/>
      <c r="BD3462" s="77"/>
      <c r="BF3462">
        <v>53.96</v>
      </c>
      <c r="BH3462" s="42"/>
      <c r="BI3462" s="74"/>
      <c r="BJ3462" s="77"/>
      <c r="BL3462" s="497">
        <v>62.06</v>
      </c>
      <c r="BN3462" s="42"/>
      <c r="BO3462" s="74"/>
      <c r="BP3462" s="77"/>
      <c r="BR3462" s="497">
        <v>60.980000000000004</v>
      </c>
      <c r="BT3462" s="42"/>
    </row>
    <row r="3463" spans="1:72" x14ac:dyDescent="0.25">
      <c r="A3463" s="90">
        <v>36304</v>
      </c>
      <c r="B3463" s="20">
        <v>0.54166666666666663</v>
      </c>
      <c r="D3463">
        <v>80.06</v>
      </c>
      <c r="E3463" t="str">
        <f t="shared" si="142"/>
        <v>WEEKDAY</v>
      </c>
      <c r="F3463" t="e">
        <f t="shared" si="143"/>
        <v>#N/A</v>
      </c>
      <c r="G3463" s="74">
        <v>31921</v>
      </c>
      <c r="H3463" s="77">
        <v>0.54166666666666663</v>
      </c>
      <c r="J3463">
        <v>71.06</v>
      </c>
      <c r="M3463" s="74">
        <v>34478</v>
      </c>
      <c r="N3463" s="77">
        <v>0.54166666666666663</v>
      </c>
      <c r="P3463">
        <v>74.84</v>
      </c>
      <c r="S3463" s="74">
        <v>36304</v>
      </c>
      <c r="T3463" s="77">
        <v>0.54166666666666663</v>
      </c>
      <c r="V3463">
        <v>60.980000000000004</v>
      </c>
      <c r="X3463" s="42"/>
      <c r="AB3463">
        <v>68.099999999999994</v>
      </c>
      <c r="AC3463">
        <v>60.980000000000004</v>
      </c>
      <c r="AE3463" s="74"/>
      <c r="AF3463" s="77"/>
      <c r="AH3463" s="497">
        <v>75.2</v>
      </c>
      <c r="AJ3463" s="42"/>
      <c r="AK3463" s="74"/>
      <c r="AL3463" s="77"/>
      <c r="AN3463" s="497">
        <v>55.040000000000006</v>
      </c>
      <c r="AP3463" s="42"/>
      <c r="AQ3463" s="74"/>
      <c r="AR3463" s="77"/>
      <c r="AT3463" s="497">
        <v>75.92</v>
      </c>
      <c r="AV3463" s="42"/>
      <c r="AW3463" s="74"/>
      <c r="AX3463" s="77"/>
      <c r="BA3463" s="497">
        <v>75.92</v>
      </c>
      <c r="BB3463" s="42"/>
      <c r="BC3463" s="74"/>
      <c r="BD3463" s="77"/>
      <c r="BF3463">
        <v>53.06</v>
      </c>
      <c r="BH3463" s="42"/>
      <c r="BI3463" s="74"/>
      <c r="BJ3463" s="77"/>
      <c r="BL3463" s="497">
        <v>64.94</v>
      </c>
      <c r="BN3463" s="42"/>
      <c r="BO3463" s="74"/>
      <c r="BP3463" s="77"/>
      <c r="BR3463" s="497">
        <v>59</v>
      </c>
      <c r="BT3463" s="42"/>
    </row>
    <row r="3464" spans="1:72" x14ac:dyDescent="0.25">
      <c r="A3464" s="90">
        <v>36304</v>
      </c>
      <c r="B3464" s="20">
        <v>0.58333333333333337</v>
      </c>
      <c r="D3464">
        <v>82.039999999999992</v>
      </c>
      <c r="E3464" t="str">
        <f t="shared" si="142"/>
        <v>WEEKDAY</v>
      </c>
      <c r="F3464" t="e">
        <f t="shared" si="143"/>
        <v>#N/A</v>
      </c>
      <c r="G3464" s="74">
        <v>31921</v>
      </c>
      <c r="H3464" s="77">
        <v>0.58333333333333337</v>
      </c>
      <c r="J3464">
        <v>75.02</v>
      </c>
      <c r="M3464" s="74">
        <v>34478</v>
      </c>
      <c r="N3464" s="77">
        <v>0.58333333333333337</v>
      </c>
      <c r="P3464">
        <v>77.900000000000006</v>
      </c>
      <c r="S3464" s="74">
        <v>36304</v>
      </c>
      <c r="T3464" s="77">
        <v>0.58333333333333337</v>
      </c>
      <c r="V3464">
        <v>60.980000000000004</v>
      </c>
      <c r="X3464" s="42"/>
      <c r="AB3464">
        <v>68.3</v>
      </c>
      <c r="AC3464">
        <v>62.06</v>
      </c>
      <c r="AE3464" s="74"/>
      <c r="AF3464" s="77"/>
      <c r="AH3464" s="497">
        <v>78.800000000000011</v>
      </c>
      <c r="AJ3464" s="42"/>
      <c r="AK3464" s="74"/>
      <c r="AL3464" s="77"/>
      <c r="AN3464" s="497">
        <v>57.92</v>
      </c>
      <c r="AP3464" s="42"/>
      <c r="AQ3464" s="74"/>
      <c r="AR3464" s="77"/>
      <c r="AT3464" s="497">
        <v>77</v>
      </c>
      <c r="AV3464" s="42"/>
      <c r="AW3464" s="74"/>
      <c r="AX3464" s="77"/>
      <c r="BA3464" s="497">
        <v>77</v>
      </c>
      <c r="BB3464" s="42"/>
      <c r="BC3464" s="74"/>
      <c r="BD3464" s="77"/>
      <c r="BF3464">
        <v>53.06</v>
      </c>
      <c r="BH3464" s="42"/>
      <c r="BI3464" s="74"/>
      <c r="BJ3464" s="77"/>
      <c r="BL3464" s="497">
        <v>68</v>
      </c>
      <c r="BN3464" s="42"/>
      <c r="BO3464" s="74"/>
      <c r="BP3464" s="77"/>
      <c r="BR3464" s="497">
        <v>60.980000000000004</v>
      </c>
      <c r="BT3464" s="42"/>
    </row>
    <row r="3465" spans="1:72" x14ac:dyDescent="0.25">
      <c r="A3465" s="90">
        <v>36304</v>
      </c>
      <c r="B3465" s="20">
        <v>0.625</v>
      </c>
      <c r="D3465">
        <v>78.98</v>
      </c>
      <c r="E3465" t="str">
        <f t="shared" si="142"/>
        <v>WEEKDAY</v>
      </c>
      <c r="F3465" t="e">
        <f t="shared" si="143"/>
        <v>#N/A</v>
      </c>
      <c r="G3465" s="74">
        <v>31921</v>
      </c>
      <c r="H3465" s="77">
        <v>0.625</v>
      </c>
      <c r="J3465">
        <v>71.960000000000008</v>
      </c>
      <c r="M3465" s="74">
        <v>34478</v>
      </c>
      <c r="N3465" s="77">
        <v>0.625</v>
      </c>
      <c r="P3465">
        <v>77.900000000000006</v>
      </c>
      <c r="S3465" s="74">
        <v>36304</v>
      </c>
      <c r="T3465" s="77">
        <v>0.625</v>
      </c>
      <c r="V3465">
        <v>62.6</v>
      </c>
      <c r="X3465" s="42"/>
      <c r="AB3465">
        <v>68.2</v>
      </c>
      <c r="AC3465">
        <v>62.06</v>
      </c>
      <c r="AE3465" s="74"/>
      <c r="AF3465" s="77"/>
      <c r="AH3465" s="497">
        <v>79.16</v>
      </c>
      <c r="AJ3465" s="42"/>
      <c r="AK3465" s="74"/>
      <c r="AL3465" s="77"/>
      <c r="AN3465" s="497">
        <v>57.019999999999996</v>
      </c>
      <c r="AP3465" s="42"/>
      <c r="AQ3465" s="74"/>
      <c r="AR3465" s="77"/>
      <c r="AT3465" s="497">
        <v>78.080000000000013</v>
      </c>
      <c r="AV3465" s="42"/>
      <c r="AW3465" s="74"/>
      <c r="AX3465" s="77"/>
      <c r="BA3465" s="497">
        <v>78.080000000000013</v>
      </c>
      <c r="BB3465" s="42"/>
      <c r="BC3465" s="74"/>
      <c r="BD3465" s="77"/>
      <c r="BF3465">
        <v>53.06</v>
      </c>
      <c r="BH3465" s="42"/>
      <c r="BI3465" s="74"/>
      <c r="BJ3465" s="77"/>
      <c r="BL3465" s="497">
        <v>66.92</v>
      </c>
      <c r="BN3465" s="42"/>
      <c r="BO3465" s="74"/>
      <c r="BP3465" s="77"/>
      <c r="BR3465" s="497">
        <v>62.06</v>
      </c>
      <c r="BT3465" s="42"/>
    </row>
    <row r="3466" spans="1:72" x14ac:dyDescent="0.25">
      <c r="A3466" s="90">
        <v>36304</v>
      </c>
      <c r="B3466" s="20">
        <v>0.66666666666666663</v>
      </c>
      <c r="D3466">
        <v>78.080000000000013</v>
      </c>
      <c r="E3466" t="str">
        <f t="shared" si="142"/>
        <v>WEEKDAY</v>
      </c>
      <c r="F3466" t="e">
        <f t="shared" si="143"/>
        <v>#N/A</v>
      </c>
      <c r="G3466" s="74">
        <v>31921</v>
      </c>
      <c r="H3466" s="77">
        <v>0.66666666666666663</v>
      </c>
      <c r="J3466">
        <v>71.06</v>
      </c>
      <c r="M3466" s="74">
        <v>34478</v>
      </c>
      <c r="N3466" s="77">
        <v>0.66666666666666663</v>
      </c>
      <c r="P3466">
        <v>75.92</v>
      </c>
      <c r="S3466" s="74">
        <v>36304</v>
      </c>
      <c r="T3466" s="77">
        <v>0.66666666666666663</v>
      </c>
      <c r="V3466">
        <v>62.96</v>
      </c>
      <c r="X3466" s="42"/>
      <c r="AB3466">
        <v>67.7</v>
      </c>
      <c r="AC3466">
        <v>60.08</v>
      </c>
      <c r="AE3466" s="74"/>
      <c r="AF3466" s="77"/>
      <c r="AH3466" s="497">
        <v>78.800000000000011</v>
      </c>
      <c r="AJ3466" s="42"/>
      <c r="AK3466" s="74"/>
      <c r="AL3466" s="77"/>
      <c r="AN3466" s="497">
        <v>57.019999999999996</v>
      </c>
      <c r="AP3466" s="42"/>
      <c r="AQ3466" s="74"/>
      <c r="AR3466" s="77"/>
      <c r="AT3466" s="497">
        <v>78.98</v>
      </c>
      <c r="AV3466" s="42"/>
      <c r="AW3466" s="74"/>
      <c r="AX3466" s="77"/>
      <c r="BA3466" s="497">
        <v>78.080000000000013</v>
      </c>
      <c r="BB3466" s="42"/>
      <c r="BC3466" s="74"/>
      <c r="BD3466" s="77"/>
      <c r="BF3466">
        <v>53.06</v>
      </c>
      <c r="BH3466" s="42"/>
      <c r="BI3466" s="74"/>
      <c r="BJ3466" s="77"/>
      <c r="BL3466" s="497">
        <v>68</v>
      </c>
      <c r="BN3466" s="42"/>
      <c r="BO3466" s="74"/>
      <c r="BP3466" s="77"/>
      <c r="BR3466" s="497">
        <v>62.06</v>
      </c>
      <c r="BT3466" s="42"/>
    </row>
    <row r="3467" spans="1:72" x14ac:dyDescent="0.25">
      <c r="A3467" s="90">
        <v>36304</v>
      </c>
      <c r="B3467" s="20">
        <v>0.70833333333333337</v>
      </c>
      <c r="D3467">
        <v>75.92</v>
      </c>
      <c r="E3467" t="str">
        <f t="shared" si="142"/>
        <v>WEEKDAY</v>
      </c>
      <c r="F3467" t="e">
        <f t="shared" si="143"/>
        <v>#N/A</v>
      </c>
      <c r="G3467" s="74">
        <v>31921</v>
      </c>
      <c r="H3467" s="77">
        <v>0.70833333333333337</v>
      </c>
      <c r="J3467">
        <v>66.92</v>
      </c>
      <c r="M3467" s="74">
        <v>34478</v>
      </c>
      <c r="N3467" s="77">
        <v>0.70833333333333337</v>
      </c>
      <c r="P3467">
        <v>74.84</v>
      </c>
      <c r="S3467" s="74">
        <v>36304</v>
      </c>
      <c r="T3467" s="77">
        <v>0.70833333333333337</v>
      </c>
      <c r="V3467">
        <v>62.6</v>
      </c>
      <c r="X3467" s="42"/>
      <c r="AB3467">
        <v>66.900000000000006</v>
      </c>
      <c r="AC3467">
        <v>59</v>
      </c>
      <c r="AE3467" s="74"/>
      <c r="AF3467" s="77"/>
      <c r="AH3467" s="497">
        <v>64.400000000000006</v>
      </c>
      <c r="AJ3467" s="42"/>
      <c r="AK3467" s="74"/>
      <c r="AL3467" s="77"/>
      <c r="AN3467" s="497">
        <v>53.96</v>
      </c>
      <c r="AP3467" s="42"/>
      <c r="AQ3467" s="74"/>
      <c r="AR3467" s="77"/>
      <c r="AT3467" s="497">
        <v>78.080000000000013</v>
      </c>
      <c r="AV3467" s="42"/>
      <c r="AW3467" s="74"/>
      <c r="AX3467" s="77"/>
      <c r="BA3467" s="497">
        <v>75.92</v>
      </c>
      <c r="BB3467" s="42"/>
      <c r="BC3467" s="74"/>
      <c r="BD3467" s="77"/>
      <c r="BF3467">
        <v>53.06</v>
      </c>
      <c r="BH3467" s="42"/>
      <c r="BI3467" s="74"/>
      <c r="BJ3467" s="77"/>
      <c r="BL3467" s="497">
        <v>68</v>
      </c>
      <c r="BN3467" s="42"/>
      <c r="BO3467" s="74"/>
      <c r="BP3467" s="77"/>
      <c r="BR3467" s="497">
        <v>62.96</v>
      </c>
      <c r="BT3467" s="42"/>
    </row>
    <row r="3468" spans="1:72" x14ac:dyDescent="0.25">
      <c r="A3468" s="90">
        <v>36304</v>
      </c>
      <c r="B3468" s="20">
        <v>0.75</v>
      </c>
      <c r="D3468">
        <v>73.94</v>
      </c>
      <c r="E3468" t="str">
        <f t="shared" si="142"/>
        <v>WEEKDAY</v>
      </c>
      <c r="F3468" t="e">
        <f t="shared" si="143"/>
        <v>#N/A</v>
      </c>
      <c r="G3468" s="74">
        <v>31921</v>
      </c>
      <c r="H3468" s="77">
        <v>0.75</v>
      </c>
      <c r="J3468">
        <v>64.039999999999992</v>
      </c>
      <c r="M3468" s="74">
        <v>34478</v>
      </c>
      <c r="N3468" s="77">
        <v>0.75</v>
      </c>
      <c r="P3468">
        <v>71.960000000000008</v>
      </c>
      <c r="S3468" s="74">
        <v>36304</v>
      </c>
      <c r="T3468" s="77">
        <v>0.75</v>
      </c>
      <c r="V3468">
        <v>62.96</v>
      </c>
      <c r="X3468" s="42"/>
      <c r="AB3468">
        <v>65.8</v>
      </c>
      <c r="AC3468">
        <v>55.94</v>
      </c>
      <c r="AE3468" s="74"/>
      <c r="AF3468" s="77"/>
      <c r="AH3468" s="497">
        <v>64.400000000000006</v>
      </c>
      <c r="AJ3468" s="42"/>
      <c r="AK3468" s="74"/>
      <c r="AL3468" s="77"/>
      <c r="AN3468" s="497">
        <v>53.06</v>
      </c>
      <c r="AP3468" s="42"/>
      <c r="AQ3468" s="74"/>
      <c r="AR3468" s="77"/>
      <c r="AT3468" s="497">
        <v>77</v>
      </c>
      <c r="AV3468" s="42"/>
      <c r="AW3468" s="74"/>
      <c r="AX3468" s="77"/>
      <c r="BA3468" s="497">
        <v>73.94</v>
      </c>
      <c r="BB3468" s="42"/>
      <c r="BC3468" s="74"/>
      <c r="BD3468" s="77"/>
      <c r="BF3468">
        <v>53.06</v>
      </c>
      <c r="BH3468" s="42"/>
      <c r="BI3468" s="74"/>
      <c r="BJ3468" s="77"/>
      <c r="BL3468" s="497">
        <v>64.94</v>
      </c>
      <c r="BN3468" s="42"/>
      <c r="BO3468" s="74"/>
      <c r="BP3468" s="77"/>
      <c r="BR3468" s="497">
        <v>62.06</v>
      </c>
      <c r="BT3468" s="42"/>
    </row>
    <row r="3469" spans="1:72" x14ac:dyDescent="0.25">
      <c r="A3469" s="90">
        <v>36304</v>
      </c>
      <c r="B3469" s="20">
        <v>0.79166666666666663</v>
      </c>
      <c r="D3469">
        <v>69.98</v>
      </c>
      <c r="E3469" t="str">
        <f t="shared" si="142"/>
        <v>WEEKDAY</v>
      </c>
      <c r="F3469" t="e">
        <f t="shared" si="143"/>
        <v>#N/A</v>
      </c>
      <c r="G3469" s="74">
        <v>31921</v>
      </c>
      <c r="H3469" s="77">
        <v>0.79166666666666663</v>
      </c>
      <c r="J3469">
        <v>62.06</v>
      </c>
      <c r="M3469" s="74">
        <v>34478</v>
      </c>
      <c r="N3469" s="77">
        <v>0.79166666666666663</v>
      </c>
      <c r="P3469">
        <v>68.900000000000006</v>
      </c>
      <c r="S3469" s="74">
        <v>36304</v>
      </c>
      <c r="T3469" s="77">
        <v>0.79166666666666663</v>
      </c>
      <c r="V3469">
        <v>62.96</v>
      </c>
      <c r="X3469" s="42"/>
      <c r="AB3469">
        <v>64.5</v>
      </c>
      <c r="AC3469">
        <v>55.040000000000006</v>
      </c>
      <c r="AE3469" s="74"/>
      <c r="AF3469" s="77"/>
      <c r="AH3469" s="497">
        <v>62.6</v>
      </c>
      <c r="AJ3469" s="42"/>
      <c r="AK3469" s="74"/>
      <c r="AL3469" s="77"/>
      <c r="AN3469" s="497">
        <v>51.980000000000004</v>
      </c>
      <c r="AP3469" s="42"/>
      <c r="AQ3469" s="74"/>
      <c r="AR3469" s="77"/>
      <c r="AT3469" s="497">
        <v>71.960000000000008</v>
      </c>
      <c r="AV3469" s="42"/>
      <c r="AW3469" s="74"/>
      <c r="AX3469" s="77"/>
      <c r="BA3469" s="497">
        <v>69.98</v>
      </c>
      <c r="BB3469" s="42"/>
      <c r="BC3469" s="74"/>
      <c r="BD3469" s="77"/>
      <c r="BF3469">
        <v>53.06</v>
      </c>
      <c r="BH3469" s="42"/>
      <c r="BI3469" s="74"/>
      <c r="BJ3469" s="77"/>
      <c r="BL3469" s="497">
        <v>62.96</v>
      </c>
      <c r="BN3469" s="42"/>
      <c r="BO3469" s="74"/>
      <c r="BP3469" s="77"/>
      <c r="BR3469" s="497">
        <v>60.980000000000004</v>
      </c>
      <c r="BT3469" s="42"/>
    </row>
    <row r="3470" spans="1:72" x14ac:dyDescent="0.25">
      <c r="A3470" s="90">
        <v>36304</v>
      </c>
      <c r="B3470" s="20">
        <v>0.83333333333333337</v>
      </c>
      <c r="D3470">
        <v>68</v>
      </c>
      <c r="E3470" t="str">
        <f t="shared" si="142"/>
        <v>WEEKDAY</v>
      </c>
      <c r="F3470" t="e">
        <f t="shared" si="143"/>
        <v>#N/A</v>
      </c>
      <c r="G3470" s="74">
        <v>31921</v>
      </c>
      <c r="H3470" s="77">
        <v>0.83333333333333337</v>
      </c>
      <c r="J3470">
        <v>60.980000000000004</v>
      </c>
      <c r="M3470" s="74">
        <v>34478</v>
      </c>
      <c r="N3470" s="77">
        <v>0.83333333333333337</v>
      </c>
      <c r="P3470">
        <v>65.84</v>
      </c>
      <c r="S3470" s="74">
        <v>36304</v>
      </c>
      <c r="T3470" s="77">
        <v>0.83333333333333337</v>
      </c>
      <c r="V3470">
        <v>60.980000000000004</v>
      </c>
      <c r="X3470" s="42"/>
      <c r="AB3470">
        <v>63</v>
      </c>
      <c r="AC3470">
        <v>55.040000000000006</v>
      </c>
      <c r="AE3470" s="74"/>
      <c r="AF3470" s="77"/>
      <c r="AH3470" s="497">
        <v>59</v>
      </c>
      <c r="AJ3470" s="42"/>
      <c r="AK3470" s="74"/>
      <c r="AL3470" s="77"/>
      <c r="AN3470" s="497">
        <v>51.980000000000004</v>
      </c>
      <c r="AP3470" s="42"/>
      <c r="AQ3470" s="74"/>
      <c r="AR3470" s="77"/>
      <c r="AT3470" s="497">
        <v>62.06</v>
      </c>
      <c r="AV3470" s="42"/>
      <c r="AW3470" s="74"/>
      <c r="AX3470" s="77"/>
      <c r="BA3470" s="497">
        <v>62.96</v>
      </c>
      <c r="BB3470" s="42"/>
      <c r="BC3470" s="74"/>
      <c r="BD3470" s="77"/>
      <c r="BF3470">
        <v>53.96</v>
      </c>
      <c r="BH3470" s="42"/>
      <c r="BI3470" s="74"/>
      <c r="BJ3470" s="77"/>
      <c r="BL3470" s="497">
        <v>62.96</v>
      </c>
      <c r="BN3470" s="42"/>
      <c r="BO3470" s="74"/>
      <c r="BP3470" s="77"/>
      <c r="BR3470" s="497">
        <v>57.92</v>
      </c>
      <c r="BT3470" s="42"/>
    </row>
    <row r="3471" spans="1:72" x14ac:dyDescent="0.25">
      <c r="A3471" s="90">
        <v>36304</v>
      </c>
      <c r="B3471" s="20">
        <v>0.875</v>
      </c>
      <c r="D3471">
        <v>66.92</v>
      </c>
      <c r="E3471" t="str">
        <f t="shared" si="142"/>
        <v>WEEKDAY</v>
      </c>
      <c r="F3471" t="e">
        <f t="shared" si="143"/>
        <v>#N/A</v>
      </c>
      <c r="G3471" s="74">
        <v>31921</v>
      </c>
      <c r="H3471" s="77">
        <v>0.875</v>
      </c>
      <c r="J3471">
        <v>59</v>
      </c>
      <c r="M3471" s="74">
        <v>34478</v>
      </c>
      <c r="N3471" s="77">
        <v>0.875</v>
      </c>
      <c r="P3471">
        <v>63.86</v>
      </c>
      <c r="S3471" s="74">
        <v>36304</v>
      </c>
      <c r="T3471" s="77">
        <v>0.875</v>
      </c>
      <c r="V3471">
        <v>60.980000000000004</v>
      </c>
      <c r="X3471" s="42"/>
      <c r="AB3471">
        <v>62</v>
      </c>
      <c r="AC3471">
        <v>53.96</v>
      </c>
      <c r="AE3471" s="74"/>
      <c r="AF3471" s="77"/>
      <c r="AH3471" s="497">
        <v>55.400000000000006</v>
      </c>
      <c r="AJ3471" s="42"/>
      <c r="AK3471" s="74"/>
      <c r="AL3471" s="77"/>
      <c r="AN3471" s="497">
        <v>51.980000000000004</v>
      </c>
      <c r="AP3471" s="42"/>
      <c r="AQ3471" s="74"/>
      <c r="AR3471" s="77"/>
      <c r="AT3471" s="497">
        <v>59</v>
      </c>
      <c r="AV3471" s="42"/>
      <c r="AW3471" s="74"/>
      <c r="AX3471" s="77"/>
      <c r="BA3471" s="497">
        <v>59</v>
      </c>
      <c r="BB3471" s="42"/>
      <c r="BC3471" s="74"/>
      <c r="BD3471" s="77"/>
      <c r="BF3471">
        <v>53.96</v>
      </c>
      <c r="BH3471" s="42"/>
      <c r="BI3471" s="74"/>
      <c r="BJ3471" s="77"/>
      <c r="BL3471" s="497">
        <v>59</v>
      </c>
      <c r="BN3471" s="42"/>
      <c r="BO3471" s="74"/>
      <c r="BP3471" s="77"/>
      <c r="BR3471" s="497">
        <v>57.019999999999996</v>
      </c>
      <c r="BT3471" s="42"/>
    </row>
    <row r="3472" spans="1:72" x14ac:dyDescent="0.25">
      <c r="A3472" s="90">
        <v>36304</v>
      </c>
      <c r="B3472" s="20">
        <v>0.91666666666666663</v>
      </c>
      <c r="D3472">
        <v>66.02</v>
      </c>
      <c r="E3472" t="str">
        <f t="shared" si="142"/>
        <v>WEEKDAY</v>
      </c>
      <c r="F3472" t="e">
        <f t="shared" si="143"/>
        <v>#N/A</v>
      </c>
      <c r="G3472" s="74">
        <v>31921</v>
      </c>
      <c r="H3472" s="77">
        <v>0.91666666666666663</v>
      </c>
      <c r="J3472">
        <v>57.92</v>
      </c>
      <c r="M3472" s="74">
        <v>34478</v>
      </c>
      <c r="N3472" s="77">
        <v>0.91666666666666663</v>
      </c>
      <c r="P3472">
        <v>61.88</v>
      </c>
      <c r="S3472" s="74">
        <v>36304</v>
      </c>
      <c r="T3472" s="77">
        <v>0.91666666666666663</v>
      </c>
      <c r="V3472">
        <v>60.980000000000004</v>
      </c>
      <c r="X3472" s="42"/>
      <c r="AB3472">
        <v>61.5</v>
      </c>
      <c r="AC3472">
        <v>53.96</v>
      </c>
      <c r="AE3472" s="74"/>
      <c r="AF3472" s="77"/>
      <c r="AH3472" s="497">
        <v>55.400000000000006</v>
      </c>
      <c r="AJ3472" s="42"/>
      <c r="AK3472" s="74"/>
      <c r="AL3472" s="77"/>
      <c r="AN3472" s="497">
        <v>51.08</v>
      </c>
      <c r="AP3472" s="42"/>
      <c r="AQ3472" s="74"/>
      <c r="AR3472" s="77"/>
      <c r="AT3472" s="497">
        <v>55.94</v>
      </c>
      <c r="AV3472" s="42"/>
      <c r="AW3472" s="74"/>
      <c r="AX3472" s="77"/>
      <c r="BA3472" s="497">
        <v>55.94</v>
      </c>
      <c r="BB3472" s="42"/>
      <c r="BC3472" s="74"/>
      <c r="BD3472" s="77"/>
      <c r="BF3472">
        <v>53.06</v>
      </c>
      <c r="BH3472" s="42"/>
      <c r="BI3472" s="74"/>
      <c r="BJ3472" s="77"/>
      <c r="BL3472" s="497">
        <v>57.019999999999996</v>
      </c>
      <c r="BN3472" s="42"/>
      <c r="BO3472" s="74"/>
      <c r="BP3472" s="77"/>
      <c r="BR3472" s="497">
        <v>57.92</v>
      </c>
      <c r="BT3472" s="42"/>
    </row>
    <row r="3473" spans="1:72" x14ac:dyDescent="0.25">
      <c r="A3473" s="90">
        <v>36304</v>
      </c>
      <c r="B3473" s="20">
        <v>0.95833333333333337</v>
      </c>
      <c r="D3473">
        <v>62.96</v>
      </c>
      <c r="E3473" t="str">
        <f t="shared" si="142"/>
        <v>WEEKDAY</v>
      </c>
      <c r="F3473" t="e">
        <f t="shared" si="143"/>
        <v>#N/A</v>
      </c>
      <c r="G3473" s="74">
        <v>31921</v>
      </c>
      <c r="H3473" s="77">
        <v>0.95833333333333337</v>
      </c>
      <c r="J3473">
        <v>57.019999999999996</v>
      </c>
      <c r="M3473" s="74">
        <v>34478</v>
      </c>
      <c r="N3473" s="77">
        <v>0.95833333333333337</v>
      </c>
      <c r="P3473">
        <v>61.88</v>
      </c>
      <c r="S3473" s="74">
        <v>36304</v>
      </c>
      <c r="T3473" s="77">
        <v>0.95833333333333337</v>
      </c>
      <c r="V3473">
        <v>59</v>
      </c>
      <c r="X3473" s="42"/>
      <c r="AB3473">
        <v>61</v>
      </c>
      <c r="AC3473">
        <v>53.96</v>
      </c>
      <c r="AE3473" s="74"/>
      <c r="AF3473" s="77"/>
      <c r="AH3473" s="497">
        <v>55.400000000000006</v>
      </c>
      <c r="AJ3473" s="42"/>
      <c r="AK3473" s="74"/>
      <c r="AL3473" s="77"/>
      <c r="AN3473" s="497">
        <v>51.08</v>
      </c>
      <c r="AP3473" s="42"/>
      <c r="AQ3473" s="74"/>
      <c r="AR3473" s="77"/>
      <c r="AT3473" s="497">
        <v>53.96</v>
      </c>
      <c r="AV3473" s="42"/>
      <c r="AW3473" s="74"/>
      <c r="AX3473" s="77"/>
      <c r="BA3473" s="497">
        <v>53.96</v>
      </c>
      <c r="BB3473" s="42"/>
      <c r="BC3473" s="74"/>
      <c r="BD3473" s="77"/>
      <c r="BF3473">
        <v>51.980000000000004</v>
      </c>
      <c r="BH3473" s="42"/>
      <c r="BI3473" s="74"/>
      <c r="BJ3473" s="77"/>
      <c r="BL3473" s="497">
        <v>57.019999999999996</v>
      </c>
      <c r="BN3473" s="42"/>
      <c r="BO3473" s="74"/>
      <c r="BP3473" s="77"/>
      <c r="BR3473" s="497">
        <v>57.019999999999996</v>
      </c>
      <c r="BT3473" s="42"/>
    </row>
    <row r="3474" spans="1:72" x14ac:dyDescent="0.25">
      <c r="A3474" s="90">
        <v>36304</v>
      </c>
      <c r="B3474" s="20">
        <v>1</v>
      </c>
      <c r="D3474">
        <v>62.96</v>
      </c>
      <c r="E3474" t="str">
        <f t="shared" si="142"/>
        <v>WEEKDAY</v>
      </c>
      <c r="F3474" t="e">
        <f t="shared" si="143"/>
        <v>#N/A</v>
      </c>
      <c r="G3474" s="74">
        <v>31921</v>
      </c>
      <c r="H3474" s="77">
        <v>1</v>
      </c>
      <c r="J3474">
        <v>55.040000000000006</v>
      </c>
      <c r="M3474" s="74">
        <v>34478</v>
      </c>
      <c r="N3474" s="80">
        <v>1</v>
      </c>
      <c r="P3474">
        <v>60.980000000000004</v>
      </c>
      <c r="S3474" s="74">
        <v>36304</v>
      </c>
      <c r="T3474" s="80">
        <v>1</v>
      </c>
      <c r="V3474">
        <v>57.92</v>
      </c>
      <c r="X3474" s="42"/>
      <c r="AB3474">
        <v>60.4</v>
      </c>
      <c r="AC3474">
        <v>53.96</v>
      </c>
      <c r="AE3474" s="74"/>
      <c r="AF3474" s="80"/>
      <c r="AH3474" s="497">
        <v>57.2</v>
      </c>
      <c r="AJ3474" s="42"/>
      <c r="AK3474" s="74"/>
      <c r="AL3474" s="80"/>
      <c r="AN3474" s="497">
        <v>51.08</v>
      </c>
      <c r="AP3474" s="42"/>
      <c r="AQ3474" s="74"/>
      <c r="AR3474" s="80"/>
      <c r="AT3474" s="497">
        <v>53.96</v>
      </c>
      <c r="AV3474" s="42"/>
      <c r="AW3474" s="74"/>
      <c r="AX3474" s="80"/>
      <c r="BA3474" s="497">
        <v>53.96</v>
      </c>
      <c r="BB3474" s="42"/>
      <c r="BC3474" s="74"/>
      <c r="BD3474" s="80"/>
      <c r="BF3474">
        <v>51.980000000000004</v>
      </c>
      <c r="BH3474" s="42"/>
      <c r="BI3474" s="74"/>
      <c r="BJ3474" s="80"/>
      <c r="BL3474" s="497">
        <v>53.06</v>
      </c>
      <c r="BN3474" s="42"/>
      <c r="BO3474" s="74"/>
      <c r="BP3474" s="80"/>
      <c r="BR3474" s="497">
        <v>55.040000000000006</v>
      </c>
      <c r="BT3474" s="42"/>
    </row>
    <row r="3475" spans="1:72" x14ac:dyDescent="0.25">
      <c r="A3475" s="90">
        <v>36305</v>
      </c>
      <c r="B3475" s="20">
        <v>4.1666666666666664E-2</v>
      </c>
      <c r="D3475">
        <v>62.06</v>
      </c>
      <c r="E3475" t="str">
        <f t="shared" ref="E3475:E3538" si="144">IF(COUNTIF($DI$18:$DI$22, WEEKDAY(A3475))=1, "WEEKDAY", IF(WEEKDAY(A3475) = 1, "SUNDAY", "SATURDAY"))</f>
        <v>WEEKDAY</v>
      </c>
      <c r="F3475" t="e">
        <f t="shared" si="143"/>
        <v>#N/A</v>
      </c>
      <c r="G3475" s="74">
        <v>31922</v>
      </c>
      <c r="H3475" s="77">
        <v>4.1666666666666664E-2</v>
      </c>
      <c r="J3475">
        <v>55.040000000000006</v>
      </c>
      <c r="M3475" s="74">
        <v>34479</v>
      </c>
      <c r="N3475" s="77">
        <v>4.1666666666666664E-2</v>
      </c>
      <c r="P3475">
        <v>59</v>
      </c>
      <c r="S3475" s="74">
        <v>36305</v>
      </c>
      <c r="T3475" s="77">
        <v>4.1666666666666664E-2</v>
      </c>
      <c r="V3475">
        <v>57.019999999999996</v>
      </c>
      <c r="X3475" s="42"/>
      <c r="AB3475">
        <v>59.9</v>
      </c>
      <c r="AC3475">
        <v>53.96</v>
      </c>
      <c r="AE3475" s="74"/>
      <c r="AF3475" s="77"/>
      <c r="AH3475" s="497">
        <v>57.2</v>
      </c>
      <c r="AJ3475" s="42"/>
      <c r="AK3475" s="74"/>
      <c r="AL3475" s="77"/>
      <c r="AN3475" s="497">
        <v>50</v>
      </c>
      <c r="AP3475" s="42"/>
      <c r="AQ3475" s="74"/>
      <c r="AR3475" s="77"/>
      <c r="AT3475" s="497">
        <v>51.08</v>
      </c>
      <c r="AV3475" s="42"/>
      <c r="AW3475" s="74"/>
      <c r="AX3475" s="77"/>
      <c r="BA3475" s="497">
        <v>50</v>
      </c>
      <c r="BB3475" s="42"/>
      <c r="BC3475" s="74"/>
      <c r="BD3475" s="77"/>
      <c r="BF3475">
        <v>51.980000000000004</v>
      </c>
      <c r="BH3475" s="42"/>
      <c r="BI3475" s="74"/>
      <c r="BJ3475" s="77"/>
      <c r="BL3475" s="497">
        <v>53.06</v>
      </c>
      <c r="BN3475" s="42"/>
      <c r="BO3475" s="74"/>
      <c r="BP3475" s="77"/>
      <c r="BR3475" s="497">
        <v>53.96</v>
      </c>
      <c r="BT3475" s="42"/>
    </row>
    <row r="3476" spans="1:72" x14ac:dyDescent="0.25">
      <c r="A3476" s="90">
        <v>36305</v>
      </c>
      <c r="B3476" s="20">
        <v>8.3333333333333329E-2</v>
      </c>
      <c r="D3476">
        <v>62.96</v>
      </c>
      <c r="E3476" t="str">
        <f t="shared" si="144"/>
        <v>WEEKDAY</v>
      </c>
      <c r="F3476" t="e">
        <f t="shared" si="143"/>
        <v>#N/A</v>
      </c>
      <c r="G3476" s="74">
        <v>31922</v>
      </c>
      <c r="H3476" s="77">
        <v>8.3333333333333329E-2</v>
      </c>
      <c r="J3476">
        <v>53.96</v>
      </c>
      <c r="M3476" s="74">
        <v>34479</v>
      </c>
      <c r="N3476" s="77">
        <v>8.3333333333333329E-2</v>
      </c>
      <c r="P3476">
        <v>59.900000000000006</v>
      </c>
      <c r="S3476" s="74">
        <v>36305</v>
      </c>
      <c r="T3476" s="77">
        <v>8.3333333333333329E-2</v>
      </c>
      <c r="V3476">
        <v>55.94</v>
      </c>
      <c r="X3476" s="42"/>
      <c r="AB3476">
        <v>59.3</v>
      </c>
      <c r="AC3476">
        <v>53.96</v>
      </c>
      <c r="AE3476" s="74"/>
      <c r="AF3476" s="77"/>
      <c r="AH3476" s="497">
        <v>57.2</v>
      </c>
      <c r="AJ3476" s="42"/>
      <c r="AK3476" s="74"/>
      <c r="AL3476" s="77"/>
      <c r="AN3476" s="497">
        <v>50</v>
      </c>
      <c r="AP3476" s="42"/>
      <c r="AQ3476" s="74"/>
      <c r="AR3476" s="77"/>
      <c r="AT3476" s="497">
        <v>48.92</v>
      </c>
      <c r="AV3476" s="42"/>
      <c r="AW3476" s="74"/>
      <c r="AX3476" s="77"/>
      <c r="BA3476" s="497">
        <v>50</v>
      </c>
      <c r="BB3476" s="42"/>
      <c r="BC3476" s="74"/>
      <c r="BD3476" s="77"/>
      <c r="BF3476">
        <v>51.980000000000004</v>
      </c>
      <c r="BH3476" s="42"/>
      <c r="BI3476" s="74"/>
      <c r="BJ3476" s="77"/>
      <c r="BL3476" s="497">
        <v>51.980000000000004</v>
      </c>
      <c r="BN3476" s="42"/>
      <c r="BO3476" s="74"/>
      <c r="BP3476" s="77"/>
      <c r="BR3476" s="497">
        <v>51.980000000000004</v>
      </c>
      <c r="BT3476" s="42"/>
    </row>
    <row r="3477" spans="1:72" x14ac:dyDescent="0.25">
      <c r="A3477" s="90">
        <v>36305</v>
      </c>
      <c r="B3477" s="20">
        <v>0.125</v>
      </c>
      <c r="D3477">
        <v>64.039999999999992</v>
      </c>
      <c r="E3477" t="str">
        <f t="shared" si="144"/>
        <v>WEEKDAY</v>
      </c>
      <c r="F3477" t="e">
        <f t="shared" si="143"/>
        <v>#N/A</v>
      </c>
      <c r="G3477" s="74">
        <v>31922</v>
      </c>
      <c r="H3477" s="77">
        <v>0.125</v>
      </c>
      <c r="J3477">
        <v>53.96</v>
      </c>
      <c r="M3477" s="74">
        <v>34479</v>
      </c>
      <c r="N3477" s="77">
        <v>0.125</v>
      </c>
      <c r="P3477">
        <v>59.900000000000006</v>
      </c>
      <c r="S3477" s="74">
        <v>36305</v>
      </c>
      <c r="T3477" s="77">
        <v>0.125</v>
      </c>
      <c r="V3477">
        <v>55.040000000000006</v>
      </c>
      <c r="X3477" s="42"/>
      <c r="AB3477">
        <v>58.8</v>
      </c>
      <c r="AC3477">
        <v>53.96</v>
      </c>
      <c r="AE3477" s="74"/>
      <c r="AF3477" s="77"/>
      <c r="AH3477" s="497">
        <v>57.2</v>
      </c>
      <c r="AJ3477" s="42"/>
      <c r="AK3477" s="74"/>
      <c r="AL3477" s="77"/>
      <c r="AN3477" s="497">
        <v>48.019999999999996</v>
      </c>
      <c r="AP3477" s="42"/>
      <c r="AQ3477" s="74"/>
      <c r="AR3477" s="77"/>
      <c r="AT3477" s="497">
        <v>46.94</v>
      </c>
      <c r="AV3477" s="42"/>
      <c r="AW3477" s="74"/>
      <c r="AX3477" s="77"/>
      <c r="BA3477" s="497">
        <v>48.92</v>
      </c>
      <c r="BB3477" s="42"/>
      <c r="BC3477" s="74"/>
      <c r="BD3477" s="77"/>
      <c r="BF3477">
        <v>51.980000000000004</v>
      </c>
      <c r="BH3477" s="42"/>
      <c r="BI3477" s="74"/>
      <c r="BJ3477" s="77"/>
      <c r="BL3477" s="497">
        <v>51.08</v>
      </c>
      <c r="BN3477" s="42"/>
      <c r="BO3477" s="74"/>
      <c r="BP3477" s="77"/>
      <c r="BR3477" s="497">
        <v>48.92</v>
      </c>
      <c r="BT3477" s="42"/>
    </row>
    <row r="3478" spans="1:72" x14ac:dyDescent="0.25">
      <c r="A3478" s="90">
        <v>36305</v>
      </c>
      <c r="B3478" s="20">
        <v>0.16666666666666666</v>
      </c>
      <c r="D3478">
        <v>66.92</v>
      </c>
      <c r="E3478" t="str">
        <f t="shared" si="144"/>
        <v>WEEKDAY</v>
      </c>
      <c r="F3478" t="e">
        <f t="shared" si="143"/>
        <v>#N/A</v>
      </c>
      <c r="G3478" s="74">
        <v>31922</v>
      </c>
      <c r="H3478" s="77">
        <v>0.16666666666666666</v>
      </c>
      <c r="J3478">
        <v>53.96</v>
      </c>
      <c r="M3478" s="74">
        <v>34479</v>
      </c>
      <c r="N3478" s="77">
        <v>0.16666666666666666</v>
      </c>
      <c r="P3478">
        <v>59.900000000000006</v>
      </c>
      <c r="S3478" s="74">
        <v>36305</v>
      </c>
      <c r="T3478" s="77">
        <v>0.16666666666666666</v>
      </c>
      <c r="V3478">
        <v>55.040000000000006</v>
      </c>
      <c r="X3478" s="42"/>
      <c r="AB3478">
        <v>58.3</v>
      </c>
      <c r="AC3478">
        <v>53.06</v>
      </c>
      <c r="AE3478" s="74"/>
      <c r="AF3478" s="77"/>
      <c r="AH3478" s="497">
        <v>57.2</v>
      </c>
      <c r="AJ3478" s="42"/>
      <c r="AK3478" s="74"/>
      <c r="AL3478" s="77"/>
      <c r="AN3478" s="497">
        <v>46.94</v>
      </c>
      <c r="AP3478" s="42"/>
      <c r="AQ3478" s="74"/>
      <c r="AR3478" s="77"/>
      <c r="AT3478" s="497">
        <v>46.04</v>
      </c>
      <c r="AV3478" s="42"/>
      <c r="AW3478" s="74"/>
      <c r="AX3478" s="77"/>
      <c r="BA3478" s="497">
        <v>46.94</v>
      </c>
      <c r="BB3478" s="42"/>
      <c r="BC3478" s="74"/>
      <c r="BD3478" s="77"/>
      <c r="BF3478">
        <v>51.08</v>
      </c>
      <c r="BH3478" s="42"/>
      <c r="BI3478" s="74"/>
      <c r="BJ3478" s="77"/>
      <c r="BL3478" s="497">
        <v>50</v>
      </c>
      <c r="BN3478" s="42"/>
      <c r="BO3478" s="74"/>
      <c r="BP3478" s="77"/>
      <c r="BR3478" s="497">
        <v>48.92</v>
      </c>
      <c r="BT3478" s="42"/>
    </row>
    <row r="3479" spans="1:72" x14ac:dyDescent="0.25">
      <c r="A3479" s="90">
        <v>36305</v>
      </c>
      <c r="B3479" s="20">
        <v>0.20833333333333334</v>
      </c>
      <c r="D3479">
        <v>66.92</v>
      </c>
      <c r="E3479" t="str">
        <f t="shared" si="144"/>
        <v>WEEKDAY</v>
      </c>
      <c r="F3479" t="e">
        <f t="shared" si="143"/>
        <v>#N/A</v>
      </c>
      <c r="G3479" s="74">
        <v>31922</v>
      </c>
      <c r="H3479" s="77">
        <v>0.20833333333333334</v>
      </c>
      <c r="J3479">
        <v>53.96</v>
      </c>
      <c r="M3479" s="74">
        <v>34479</v>
      </c>
      <c r="N3479" s="77">
        <v>0.20833333333333334</v>
      </c>
      <c r="P3479">
        <v>59</v>
      </c>
      <c r="S3479" s="74">
        <v>36305</v>
      </c>
      <c r="T3479" s="77">
        <v>0.20833333333333334</v>
      </c>
      <c r="V3479">
        <v>53.96</v>
      </c>
      <c r="X3479" s="42"/>
      <c r="AB3479">
        <v>57.9</v>
      </c>
      <c r="AC3479">
        <v>53.06</v>
      </c>
      <c r="AE3479" s="74"/>
      <c r="AF3479" s="77"/>
      <c r="AH3479" s="497">
        <v>57.2</v>
      </c>
      <c r="AJ3479" s="42"/>
      <c r="AK3479" s="74"/>
      <c r="AL3479" s="77"/>
      <c r="AN3479" s="497">
        <v>46.04</v>
      </c>
      <c r="AP3479" s="42"/>
      <c r="AQ3479" s="74"/>
      <c r="AR3479" s="77"/>
      <c r="AT3479" s="497">
        <v>44.96</v>
      </c>
      <c r="AV3479" s="42"/>
      <c r="AW3479" s="74"/>
      <c r="AX3479" s="77"/>
      <c r="BA3479" s="497">
        <v>46.94</v>
      </c>
      <c r="BB3479" s="42"/>
      <c r="BC3479" s="74"/>
      <c r="BD3479" s="77"/>
      <c r="BF3479">
        <v>50</v>
      </c>
      <c r="BH3479" s="42"/>
      <c r="BI3479" s="74"/>
      <c r="BJ3479" s="77"/>
      <c r="BL3479" s="497">
        <v>51.08</v>
      </c>
      <c r="BN3479" s="42"/>
      <c r="BO3479" s="74"/>
      <c r="BP3479" s="77"/>
      <c r="BR3479" s="497">
        <v>46.94</v>
      </c>
      <c r="BT3479" s="42"/>
    </row>
    <row r="3480" spans="1:72" x14ac:dyDescent="0.25">
      <c r="A3480" s="90">
        <v>36305</v>
      </c>
      <c r="B3480" s="20">
        <v>0.25</v>
      </c>
      <c r="D3480">
        <v>68</v>
      </c>
      <c r="E3480" t="str">
        <f t="shared" si="144"/>
        <v>WEEKDAY</v>
      </c>
      <c r="F3480" t="e">
        <f t="shared" si="143"/>
        <v>#N/A</v>
      </c>
      <c r="G3480" s="74">
        <v>31922</v>
      </c>
      <c r="H3480" s="77">
        <v>0.25</v>
      </c>
      <c r="J3480">
        <v>53.96</v>
      </c>
      <c r="M3480" s="74">
        <v>34479</v>
      </c>
      <c r="N3480" s="77">
        <v>0.25</v>
      </c>
      <c r="P3480">
        <v>59.900000000000006</v>
      </c>
      <c r="S3480" s="74">
        <v>36305</v>
      </c>
      <c r="T3480" s="77">
        <v>0.25</v>
      </c>
      <c r="V3480">
        <v>55.94</v>
      </c>
      <c r="X3480" s="42"/>
      <c r="AB3480">
        <v>57.9</v>
      </c>
      <c r="AC3480">
        <v>53.06</v>
      </c>
      <c r="AE3480" s="74"/>
      <c r="AF3480" s="77"/>
      <c r="AH3480" s="497">
        <v>57.2</v>
      </c>
      <c r="AJ3480" s="42"/>
      <c r="AK3480" s="74"/>
      <c r="AL3480" s="77"/>
      <c r="AN3480" s="497">
        <v>44.96</v>
      </c>
      <c r="AP3480" s="42"/>
      <c r="AQ3480" s="74"/>
      <c r="AR3480" s="77"/>
      <c r="AT3480" s="497">
        <v>51.08</v>
      </c>
      <c r="AV3480" s="42"/>
      <c r="AW3480" s="74"/>
      <c r="AX3480" s="77"/>
      <c r="BA3480" s="497">
        <v>51.08</v>
      </c>
      <c r="BB3480" s="42"/>
      <c r="BC3480" s="74"/>
      <c r="BD3480" s="77"/>
      <c r="BF3480">
        <v>51.08</v>
      </c>
      <c r="BH3480" s="42"/>
      <c r="BI3480" s="74"/>
      <c r="BJ3480" s="77"/>
      <c r="BL3480" s="497">
        <v>53.06</v>
      </c>
      <c r="BN3480" s="42"/>
      <c r="BO3480" s="74"/>
      <c r="BP3480" s="77"/>
      <c r="BR3480" s="497">
        <v>50</v>
      </c>
      <c r="BT3480" s="42"/>
    </row>
    <row r="3481" spans="1:72" x14ac:dyDescent="0.25">
      <c r="A3481" s="90">
        <v>36305</v>
      </c>
      <c r="B3481" s="20">
        <v>0.29166666666666669</v>
      </c>
      <c r="D3481">
        <v>71.06</v>
      </c>
      <c r="E3481" t="str">
        <f t="shared" si="144"/>
        <v>WEEKDAY</v>
      </c>
      <c r="F3481" t="e">
        <f t="shared" si="143"/>
        <v>#N/A</v>
      </c>
      <c r="G3481" s="74">
        <v>31922</v>
      </c>
      <c r="H3481" s="77">
        <v>0.29166666666666669</v>
      </c>
      <c r="J3481">
        <v>55.040000000000006</v>
      </c>
      <c r="M3481" s="74">
        <v>34479</v>
      </c>
      <c r="N3481" s="77">
        <v>0.29166666666666669</v>
      </c>
      <c r="P3481">
        <v>61.88</v>
      </c>
      <c r="S3481" s="74">
        <v>36305</v>
      </c>
      <c r="T3481" s="77">
        <v>0.29166666666666669</v>
      </c>
      <c r="V3481">
        <v>57.92</v>
      </c>
      <c r="X3481" s="42"/>
      <c r="AB3481">
        <v>59.4</v>
      </c>
      <c r="AC3481">
        <v>53.06</v>
      </c>
      <c r="AE3481" s="74"/>
      <c r="AF3481" s="77"/>
      <c r="AH3481" s="497">
        <v>55.400000000000006</v>
      </c>
      <c r="AJ3481" s="42"/>
      <c r="AK3481" s="74"/>
      <c r="AL3481" s="77"/>
      <c r="AN3481" s="497">
        <v>44.06</v>
      </c>
      <c r="AP3481" s="42"/>
      <c r="AQ3481" s="74"/>
      <c r="AR3481" s="77"/>
      <c r="AT3481" s="497">
        <v>59</v>
      </c>
      <c r="AV3481" s="42"/>
      <c r="AW3481" s="74"/>
      <c r="AX3481" s="77"/>
      <c r="BA3481" s="497">
        <v>57.92</v>
      </c>
      <c r="BB3481" s="42"/>
      <c r="BC3481" s="74"/>
      <c r="BD3481" s="77"/>
      <c r="BF3481">
        <v>51.08</v>
      </c>
      <c r="BH3481" s="42"/>
      <c r="BI3481" s="74"/>
      <c r="BJ3481" s="77"/>
      <c r="BL3481" s="497">
        <v>55.94</v>
      </c>
      <c r="BN3481" s="42"/>
      <c r="BO3481" s="74"/>
      <c r="BP3481" s="77"/>
      <c r="BR3481" s="497">
        <v>55.94</v>
      </c>
      <c r="BT3481" s="42"/>
    </row>
    <row r="3482" spans="1:72" x14ac:dyDescent="0.25">
      <c r="A3482" s="90">
        <v>36305</v>
      </c>
      <c r="B3482" s="20">
        <v>0.33333333333333331</v>
      </c>
      <c r="D3482">
        <v>75.02</v>
      </c>
      <c r="E3482" t="str">
        <f t="shared" si="144"/>
        <v>WEEKDAY</v>
      </c>
      <c r="F3482" t="e">
        <f t="shared" si="143"/>
        <v>#N/A</v>
      </c>
      <c r="G3482" s="74">
        <v>31922</v>
      </c>
      <c r="H3482" s="77">
        <v>0.33333333333333331</v>
      </c>
      <c r="J3482">
        <v>57.019999999999996</v>
      </c>
      <c r="M3482" s="74">
        <v>34479</v>
      </c>
      <c r="N3482" s="77">
        <v>0.33333333333333331</v>
      </c>
      <c r="P3482">
        <v>68</v>
      </c>
      <c r="S3482" s="74">
        <v>36305</v>
      </c>
      <c r="T3482" s="77">
        <v>0.33333333333333331</v>
      </c>
      <c r="V3482">
        <v>60.08</v>
      </c>
      <c r="X3482" s="42"/>
      <c r="AB3482">
        <v>61.3</v>
      </c>
      <c r="AC3482">
        <v>51.980000000000004</v>
      </c>
      <c r="AE3482" s="74"/>
      <c r="AF3482" s="77"/>
      <c r="AH3482" s="497">
        <v>55.400000000000006</v>
      </c>
      <c r="AJ3482" s="42"/>
      <c r="AK3482" s="74"/>
      <c r="AL3482" s="77"/>
      <c r="AN3482" s="497">
        <v>46.04</v>
      </c>
      <c r="AP3482" s="42"/>
      <c r="AQ3482" s="74"/>
      <c r="AR3482" s="77"/>
      <c r="AT3482" s="497">
        <v>62.96</v>
      </c>
      <c r="AV3482" s="42"/>
      <c r="AW3482" s="74"/>
      <c r="AX3482" s="77"/>
      <c r="BA3482" s="497">
        <v>66.02</v>
      </c>
      <c r="BB3482" s="42"/>
      <c r="BC3482" s="74"/>
      <c r="BD3482" s="77"/>
      <c r="BF3482">
        <v>55.040000000000006</v>
      </c>
      <c r="BH3482" s="42"/>
      <c r="BI3482" s="74"/>
      <c r="BJ3482" s="77"/>
      <c r="BL3482" s="497">
        <v>62.06</v>
      </c>
      <c r="BN3482" s="42"/>
      <c r="BO3482" s="74"/>
      <c r="BP3482" s="77"/>
      <c r="BR3482" s="497">
        <v>60.08</v>
      </c>
      <c r="BT3482" s="42"/>
    </row>
    <row r="3483" spans="1:72" x14ac:dyDescent="0.25">
      <c r="A3483" s="90">
        <v>36305</v>
      </c>
      <c r="B3483" s="20">
        <v>0.375</v>
      </c>
      <c r="D3483">
        <v>75.02</v>
      </c>
      <c r="E3483" t="str">
        <f t="shared" si="144"/>
        <v>WEEKDAY</v>
      </c>
      <c r="F3483" t="e">
        <f t="shared" si="143"/>
        <v>#N/A</v>
      </c>
      <c r="G3483" s="74">
        <v>31922</v>
      </c>
      <c r="H3483" s="77">
        <v>0.375</v>
      </c>
      <c r="J3483">
        <v>59</v>
      </c>
      <c r="M3483" s="74">
        <v>34479</v>
      </c>
      <c r="N3483" s="77">
        <v>0.375</v>
      </c>
      <c r="P3483">
        <v>72.86</v>
      </c>
      <c r="S3483" s="74">
        <v>36305</v>
      </c>
      <c r="T3483" s="77">
        <v>0.375</v>
      </c>
      <c r="V3483">
        <v>62.06</v>
      </c>
      <c r="X3483" s="42"/>
      <c r="AB3483">
        <v>63.3</v>
      </c>
      <c r="AC3483">
        <v>53.06</v>
      </c>
      <c r="AE3483" s="74"/>
      <c r="AF3483" s="77"/>
      <c r="AH3483" s="497">
        <v>62.6</v>
      </c>
      <c r="AJ3483" s="42"/>
      <c r="AK3483" s="74"/>
      <c r="AL3483" s="77"/>
      <c r="AN3483" s="497">
        <v>46.94</v>
      </c>
      <c r="AP3483" s="42"/>
      <c r="AQ3483" s="74"/>
      <c r="AR3483" s="77"/>
      <c r="AT3483" s="497">
        <v>68</v>
      </c>
      <c r="AV3483" s="42"/>
      <c r="AW3483" s="74"/>
      <c r="AX3483" s="77"/>
      <c r="BA3483" s="497">
        <v>69.98</v>
      </c>
      <c r="BB3483" s="42"/>
      <c r="BC3483" s="74"/>
      <c r="BD3483" s="77"/>
      <c r="BF3483">
        <v>57.92</v>
      </c>
      <c r="BH3483" s="42"/>
      <c r="BI3483" s="74"/>
      <c r="BJ3483" s="77"/>
      <c r="BL3483" s="497">
        <v>66.02</v>
      </c>
      <c r="BN3483" s="42"/>
      <c r="BO3483" s="74"/>
      <c r="BP3483" s="77"/>
      <c r="BR3483" s="497">
        <v>62.96</v>
      </c>
      <c r="BT3483" s="42"/>
    </row>
    <row r="3484" spans="1:72" x14ac:dyDescent="0.25">
      <c r="A3484" s="90">
        <v>36305</v>
      </c>
      <c r="B3484" s="20">
        <v>0.41666666666666669</v>
      </c>
      <c r="D3484">
        <v>75.92</v>
      </c>
      <c r="E3484" t="str">
        <f t="shared" si="144"/>
        <v>WEEKDAY</v>
      </c>
      <c r="F3484" t="e">
        <f t="shared" si="143"/>
        <v>#N/A</v>
      </c>
      <c r="G3484" s="74">
        <v>31922</v>
      </c>
      <c r="H3484" s="77">
        <v>0.41666666666666669</v>
      </c>
      <c r="J3484">
        <v>62.96</v>
      </c>
      <c r="M3484" s="74">
        <v>34479</v>
      </c>
      <c r="N3484" s="77">
        <v>0.41666666666666669</v>
      </c>
      <c r="P3484">
        <v>73.94</v>
      </c>
      <c r="S3484" s="74">
        <v>36305</v>
      </c>
      <c r="T3484" s="77">
        <v>0.41666666666666669</v>
      </c>
      <c r="V3484">
        <v>62.96</v>
      </c>
      <c r="X3484" s="42"/>
      <c r="AB3484">
        <v>65.099999999999994</v>
      </c>
      <c r="AC3484">
        <v>53.06</v>
      </c>
      <c r="AE3484" s="74"/>
      <c r="AF3484" s="77"/>
      <c r="AH3484" s="497">
        <v>66.2</v>
      </c>
      <c r="AJ3484" s="42"/>
      <c r="AK3484" s="74"/>
      <c r="AL3484" s="77"/>
      <c r="AN3484" s="497">
        <v>46.04</v>
      </c>
      <c r="AP3484" s="42"/>
      <c r="AQ3484" s="74"/>
      <c r="AR3484" s="77"/>
      <c r="AT3484" s="497">
        <v>73.039999999999992</v>
      </c>
      <c r="AV3484" s="42"/>
      <c r="AW3484" s="74"/>
      <c r="AX3484" s="77"/>
      <c r="BA3484" s="497">
        <v>73.039999999999992</v>
      </c>
      <c r="BB3484" s="42"/>
      <c r="BC3484" s="74"/>
      <c r="BD3484" s="77"/>
      <c r="BF3484">
        <v>62.06</v>
      </c>
      <c r="BH3484" s="42"/>
      <c r="BI3484" s="74"/>
      <c r="BJ3484" s="77"/>
      <c r="BL3484" s="497">
        <v>69.98</v>
      </c>
      <c r="BN3484" s="42"/>
      <c r="BO3484" s="74"/>
      <c r="BP3484" s="77"/>
      <c r="BR3484" s="497">
        <v>64.94</v>
      </c>
      <c r="BT3484" s="42"/>
    </row>
    <row r="3485" spans="1:72" x14ac:dyDescent="0.25">
      <c r="A3485" s="90">
        <v>36305</v>
      </c>
      <c r="B3485" s="20">
        <v>0.45833333333333331</v>
      </c>
      <c r="D3485">
        <v>80.06</v>
      </c>
      <c r="E3485" t="str">
        <f t="shared" si="144"/>
        <v>WEEKDAY</v>
      </c>
      <c r="F3485" t="e">
        <f t="shared" si="143"/>
        <v>#N/A</v>
      </c>
      <c r="G3485" s="74">
        <v>31922</v>
      </c>
      <c r="H3485" s="77">
        <v>0.45833333333333331</v>
      </c>
      <c r="J3485">
        <v>64.039999999999992</v>
      </c>
      <c r="M3485" s="74">
        <v>34479</v>
      </c>
      <c r="N3485" s="77">
        <v>0.45833333333333331</v>
      </c>
      <c r="P3485">
        <v>75.92</v>
      </c>
      <c r="S3485" s="74">
        <v>36305</v>
      </c>
      <c r="T3485" s="77">
        <v>0.45833333333333331</v>
      </c>
      <c r="V3485">
        <v>64.039999999999992</v>
      </c>
      <c r="X3485" s="42"/>
      <c r="AB3485">
        <v>66.8</v>
      </c>
      <c r="AC3485">
        <v>53.06</v>
      </c>
      <c r="AE3485" s="74"/>
      <c r="AF3485" s="77"/>
      <c r="AH3485" s="497">
        <v>68</v>
      </c>
      <c r="AJ3485" s="42"/>
      <c r="AK3485" s="74"/>
      <c r="AL3485" s="77"/>
      <c r="AN3485" s="497">
        <v>46.94</v>
      </c>
      <c r="AP3485" s="42"/>
      <c r="AQ3485" s="74"/>
      <c r="AR3485" s="77"/>
      <c r="AT3485" s="497">
        <v>75.92</v>
      </c>
      <c r="AV3485" s="42"/>
      <c r="AW3485" s="74"/>
      <c r="AX3485" s="77"/>
      <c r="BA3485" s="497">
        <v>75.02</v>
      </c>
      <c r="BB3485" s="42"/>
      <c r="BC3485" s="74"/>
      <c r="BD3485" s="77"/>
      <c r="BF3485">
        <v>64.94</v>
      </c>
      <c r="BH3485" s="42"/>
      <c r="BI3485" s="74"/>
      <c r="BJ3485" s="77"/>
      <c r="BL3485" s="497">
        <v>73.94</v>
      </c>
      <c r="BN3485" s="42"/>
      <c r="BO3485" s="74"/>
      <c r="BP3485" s="77"/>
      <c r="BR3485" s="497">
        <v>68</v>
      </c>
      <c r="BT3485" s="42"/>
    </row>
    <row r="3486" spans="1:72" x14ac:dyDescent="0.25">
      <c r="A3486" s="90">
        <v>36305</v>
      </c>
      <c r="B3486" s="20">
        <v>0.5</v>
      </c>
      <c r="D3486">
        <v>82.039999999999992</v>
      </c>
      <c r="E3486" t="str">
        <f t="shared" si="144"/>
        <v>WEEKDAY</v>
      </c>
      <c r="F3486" t="e">
        <f t="shared" si="143"/>
        <v>#N/A</v>
      </c>
      <c r="G3486" s="74">
        <v>31922</v>
      </c>
      <c r="H3486" s="77">
        <v>0.5</v>
      </c>
      <c r="J3486">
        <v>62.06</v>
      </c>
      <c r="M3486" s="74">
        <v>34479</v>
      </c>
      <c r="N3486" s="77">
        <v>0.5</v>
      </c>
      <c r="P3486">
        <v>77</v>
      </c>
      <c r="S3486" s="74">
        <v>36305</v>
      </c>
      <c r="T3486" s="77">
        <v>0.5</v>
      </c>
      <c r="V3486">
        <v>68</v>
      </c>
      <c r="X3486" s="42"/>
      <c r="AB3486">
        <v>67.900000000000006</v>
      </c>
      <c r="AC3486">
        <v>53.06</v>
      </c>
      <c r="AE3486" s="74"/>
      <c r="AF3486" s="77"/>
      <c r="AH3486" s="497">
        <v>68</v>
      </c>
      <c r="AJ3486" s="42"/>
      <c r="AK3486" s="74"/>
      <c r="AL3486" s="77"/>
      <c r="AN3486" s="497">
        <v>46.04</v>
      </c>
      <c r="AP3486" s="42"/>
      <c r="AQ3486" s="74"/>
      <c r="AR3486" s="77"/>
      <c r="AT3486" s="497">
        <v>78.080000000000013</v>
      </c>
      <c r="AV3486" s="42"/>
      <c r="AW3486" s="74"/>
      <c r="AX3486" s="77"/>
      <c r="BA3486" s="497">
        <v>78.080000000000013</v>
      </c>
      <c r="BB3486" s="42"/>
      <c r="BC3486" s="74"/>
      <c r="BD3486" s="77"/>
      <c r="BF3486">
        <v>64.94</v>
      </c>
      <c r="BH3486" s="42"/>
      <c r="BI3486" s="74"/>
      <c r="BJ3486" s="77"/>
      <c r="BL3486" s="497">
        <v>75.02</v>
      </c>
      <c r="BN3486" s="42"/>
      <c r="BO3486" s="74"/>
      <c r="BP3486" s="77"/>
      <c r="BR3486" s="497">
        <v>66.92</v>
      </c>
      <c r="BT3486" s="42"/>
    </row>
    <row r="3487" spans="1:72" x14ac:dyDescent="0.25">
      <c r="A3487" s="90">
        <v>36305</v>
      </c>
      <c r="B3487" s="20">
        <v>0.54166666666666663</v>
      </c>
      <c r="D3487">
        <v>84.92</v>
      </c>
      <c r="E3487" t="str">
        <f t="shared" si="144"/>
        <v>WEEKDAY</v>
      </c>
      <c r="F3487" t="e">
        <f t="shared" si="143"/>
        <v>#N/A</v>
      </c>
      <c r="G3487" s="74">
        <v>31922</v>
      </c>
      <c r="H3487" s="77">
        <v>0.54166666666666663</v>
      </c>
      <c r="J3487">
        <v>62.06</v>
      </c>
      <c r="M3487" s="74">
        <v>34479</v>
      </c>
      <c r="N3487" s="77">
        <v>0.54166666666666663</v>
      </c>
      <c r="P3487">
        <v>78.98</v>
      </c>
      <c r="S3487" s="74">
        <v>36305</v>
      </c>
      <c r="T3487" s="77">
        <v>0.54166666666666663</v>
      </c>
      <c r="V3487">
        <v>66.02</v>
      </c>
      <c r="X3487" s="42"/>
      <c r="AB3487">
        <v>68.599999999999994</v>
      </c>
      <c r="AC3487">
        <v>55.040000000000006</v>
      </c>
      <c r="AE3487" s="74"/>
      <c r="AF3487" s="77"/>
      <c r="AH3487" s="497">
        <v>69.800000000000011</v>
      </c>
      <c r="AJ3487" s="42"/>
      <c r="AK3487" s="74"/>
      <c r="AL3487" s="77"/>
      <c r="AN3487" s="497">
        <v>44.06</v>
      </c>
      <c r="AP3487" s="42"/>
      <c r="AQ3487" s="74"/>
      <c r="AR3487" s="77"/>
      <c r="AT3487" s="497">
        <v>78.98</v>
      </c>
      <c r="AV3487" s="42"/>
      <c r="AW3487" s="74"/>
      <c r="AX3487" s="77"/>
      <c r="BA3487" s="497">
        <v>80.06</v>
      </c>
      <c r="BB3487" s="42"/>
      <c r="BC3487" s="74"/>
      <c r="BD3487" s="77"/>
      <c r="BF3487">
        <v>66.92</v>
      </c>
      <c r="BH3487" s="42"/>
      <c r="BI3487" s="74"/>
      <c r="BJ3487" s="77"/>
      <c r="BL3487" s="497">
        <v>77</v>
      </c>
      <c r="BN3487" s="42"/>
      <c r="BO3487" s="74"/>
      <c r="BP3487" s="77"/>
      <c r="BR3487" s="497">
        <v>66.92</v>
      </c>
      <c r="BT3487" s="42"/>
    </row>
    <row r="3488" spans="1:72" x14ac:dyDescent="0.25">
      <c r="A3488" s="90">
        <v>36305</v>
      </c>
      <c r="B3488" s="20">
        <v>0.58333333333333337</v>
      </c>
      <c r="D3488">
        <v>84.92</v>
      </c>
      <c r="E3488" t="str">
        <f t="shared" si="144"/>
        <v>WEEKDAY</v>
      </c>
      <c r="F3488" t="e">
        <f t="shared" si="143"/>
        <v>#N/A</v>
      </c>
      <c r="G3488" s="74">
        <v>31922</v>
      </c>
      <c r="H3488" s="77">
        <v>0.58333333333333337</v>
      </c>
      <c r="J3488">
        <v>60.08</v>
      </c>
      <c r="M3488" s="74">
        <v>34479</v>
      </c>
      <c r="N3488" s="77">
        <v>0.58333333333333337</v>
      </c>
      <c r="P3488">
        <v>80.960000000000008</v>
      </c>
      <c r="S3488" s="74">
        <v>36305</v>
      </c>
      <c r="T3488" s="77">
        <v>0.58333333333333337</v>
      </c>
      <c r="V3488">
        <v>69.080000000000013</v>
      </c>
      <c r="X3488" s="42"/>
      <c r="AB3488">
        <v>68.900000000000006</v>
      </c>
      <c r="AC3488">
        <v>55.040000000000006</v>
      </c>
      <c r="AE3488" s="74"/>
      <c r="AF3488" s="77"/>
      <c r="AH3488" s="497">
        <v>69.800000000000011</v>
      </c>
      <c r="AJ3488" s="42"/>
      <c r="AK3488" s="74"/>
      <c r="AL3488" s="77"/>
      <c r="AN3488" s="497">
        <v>46.04</v>
      </c>
      <c r="AP3488" s="42"/>
      <c r="AQ3488" s="74"/>
      <c r="AR3488" s="77"/>
      <c r="AT3488" s="497">
        <v>80.06</v>
      </c>
      <c r="AV3488" s="42"/>
      <c r="AW3488" s="74"/>
      <c r="AX3488" s="77"/>
      <c r="BA3488" s="497">
        <v>82.039999999999992</v>
      </c>
      <c r="BB3488" s="42"/>
      <c r="BC3488" s="74"/>
      <c r="BD3488" s="77"/>
      <c r="BF3488">
        <v>66.02</v>
      </c>
      <c r="BH3488" s="42"/>
      <c r="BI3488" s="74"/>
      <c r="BJ3488" s="77"/>
      <c r="BL3488" s="497">
        <v>78.080000000000013</v>
      </c>
      <c r="BN3488" s="42"/>
      <c r="BO3488" s="74"/>
      <c r="BP3488" s="77"/>
      <c r="BR3488" s="497">
        <v>69.080000000000013</v>
      </c>
      <c r="BT3488" s="42"/>
    </row>
    <row r="3489" spans="1:72" x14ac:dyDescent="0.25">
      <c r="A3489" s="90">
        <v>36305</v>
      </c>
      <c r="B3489" s="20">
        <v>0.625</v>
      </c>
      <c r="D3489">
        <v>84.02</v>
      </c>
      <c r="E3489" t="str">
        <f t="shared" si="144"/>
        <v>WEEKDAY</v>
      </c>
      <c r="F3489" t="e">
        <f t="shared" si="143"/>
        <v>#N/A</v>
      </c>
      <c r="G3489" s="74">
        <v>31922</v>
      </c>
      <c r="H3489" s="77">
        <v>0.625</v>
      </c>
      <c r="J3489">
        <v>60.08</v>
      </c>
      <c r="M3489" s="74">
        <v>34479</v>
      </c>
      <c r="N3489" s="77">
        <v>0.625</v>
      </c>
      <c r="P3489">
        <v>80.960000000000008</v>
      </c>
      <c r="S3489" s="74">
        <v>36305</v>
      </c>
      <c r="T3489" s="77">
        <v>0.625</v>
      </c>
      <c r="V3489">
        <v>71.06</v>
      </c>
      <c r="X3489" s="42"/>
      <c r="AB3489">
        <v>68.8</v>
      </c>
      <c r="AC3489">
        <v>55.040000000000006</v>
      </c>
      <c r="AE3489" s="74"/>
      <c r="AF3489" s="77"/>
      <c r="AH3489" s="497">
        <v>71.599999999999994</v>
      </c>
      <c r="AJ3489" s="42"/>
      <c r="AK3489" s="74"/>
      <c r="AL3489" s="77"/>
      <c r="AN3489" s="497">
        <v>44.06</v>
      </c>
      <c r="AP3489" s="42"/>
      <c r="AQ3489" s="74"/>
      <c r="AR3489" s="77"/>
      <c r="AT3489" s="497">
        <v>80.960000000000008</v>
      </c>
      <c r="AV3489" s="42"/>
      <c r="AW3489" s="74"/>
      <c r="AX3489" s="77"/>
      <c r="BA3489" s="497">
        <v>80.960000000000008</v>
      </c>
      <c r="BB3489" s="42"/>
      <c r="BC3489" s="74"/>
      <c r="BD3489" s="77"/>
      <c r="BF3489">
        <v>62.96</v>
      </c>
      <c r="BH3489" s="42"/>
      <c r="BI3489" s="74"/>
      <c r="BJ3489" s="77"/>
      <c r="BL3489" s="497">
        <v>78.080000000000013</v>
      </c>
      <c r="BN3489" s="42"/>
      <c r="BO3489" s="74"/>
      <c r="BP3489" s="77"/>
      <c r="BR3489" s="497">
        <v>69.98</v>
      </c>
      <c r="BT3489" s="42"/>
    </row>
    <row r="3490" spans="1:72" x14ac:dyDescent="0.25">
      <c r="A3490" s="90">
        <v>36305</v>
      </c>
      <c r="B3490" s="20">
        <v>0.66666666666666663</v>
      </c>
      <c r="D3490">
        <v>82.94</v>
      </c>
      <c r="E3490" t="str">
        <f t="shared" si="144"/>
        <v>WEEKDAY</v>
      </c>
      <c r="F3490" t="e">
        <f t="shared" si="143"/>
        <v>#N/A</v>
      </c>
      <c r="G3490" s="74">
        <v>31922</v>
      </c>
      <c r="H3490" s="77">
        <v>0.66666666666666663</v>
      </c>
      <c r="J3490">
        <v>60.980000000000004</v>
      </c>
      <c r="M3490" s="74">
        <v>34479</v>
      </c>
      <c r="N3490" s="77">
        <v>0.66666666666666663</v>
      </c>
      <c r="P3490">
        <v>72.86</v>
      </c>
      <c r="S3490" s="74">
        <v>36305</v>
      </c>
      <c r="T3490" s="77">
        <v>0.66666666666666663</v>
      </c>
      <c r="V3490">
        <v>69.98</v>
      </c>
      <c r="X3490" s="42"/>
      <c r="AB3490">
        <v>68.2</v>
      </c>
      <c r="AC3490">
        <v>55.94</v>
      </c>
      <c r="AE3490" s="74"/>
      <c r="AF3490" s="77"/>
      <c r="AH3490" s="497">
        <v>71.599999999999994</v>
      </c>
      <c r="AJ3490" s="42"/>
      <c r="AK3490" s="74"/>
      <c r="AL3490" s="77"/>
      <c r="AN3490" s="497">
        <v>44.06</v>
      </c>
      <c r="AP3490" s="42"/>
      <c r="AQ3490" s="74"/>
      <c r="AR3490" s="77"/>
      <c r="AT3490" s="497">
        <v>80.960000000000008</v>
      </c>
      <c r="AV3490" s="42"/>
      <c r="AW3490" s="74"/>
      <c r="AX3490" s="77"/>
      <c r="BA3490" s="497">
        <v>78.98</v>
      </c>
      <c r="BB3490" s="42"/>
      <c r="BC3490" s="74"/>
      <c r="BD3490" s="77"/>
      <c r="BF3490">
        <v>60.08</v>
      </c>
      <c r="BH3490" s="42"/>
      <c r="BI3490" s="74"/>
      <c r="BJ3490" s="77"/>
      <c r="BL3490" s="497">
        <v>78.080000000000013</v>
      </c>
      <c r="BN3490" s="42"/>
      <c r="BO3490" s="74"/>
      <c r="BP3490" s="77"/>
      <c r="BR3490" s="497">
        <v>69.98</v>
      </c>
      <c r="BT3490" s="42"/>
    </row>
    <row r="3491" spans="1:72" x14ac:dyDescent="0.25">
      <c r="A3491" s="90">
        <v>36305</v>
      </c>
      <c r="B3491" s="20">
        <v>0.70833333333333337</v>
      </c>
      <c r="D3491">
        <v>71.960000000000008</v>
      </c>
      <c r="E3491" t="str">
        <f t="shared" si="144"/>
        <v>WEEKDAY</v>
      </c>
      <c r="F3491" t="e">
        <f t="shared" si="143"/>
        <v>#N/A</v>
      </c>
      <c r="G3491" s="74">
        <v>31922</v>
      </c>
      <c r="H3491" s="77">
        <v>0.70833333333333337</v>
      </c>
      <c r="J3491">
        <v>59</v>
      </c>
      <c r="M3491" s="74">
        <v>34479</v>
      </c>
      <c r="N3491" s="77">
        <v>0.70833333333333337</v>
      </c>
      <c r="P3491">
        <v>70.88</v>
      </c>
      <c r="S3491" s="74">
        <v>36305</v>
      </c>
      <c r="T3491" s="77">
        <v>0.70833333333333337</v>
      </c>
      <c r="V3491">
        <v>69.98</v>
      </c>
      <c r="X3491" s="42"/>
      <c r="AB3491">
        <v>67.3</v>
      </c>
      <c r="AC3491">
        <v>55.94</v>
      </c>
      <c r="AE3491" s="74"/>
      <c r="AF3491" s="77"/>
      <c r="AH3491" s="497">
        <v>71.599999999999994</v>
      </c>
      <c r="AJ3491" s="42"/>
      <c r="AK3491" s="74"/>
      <c r="AL3491" s="77"/>
      <c r="AN3491" s="497">
        <v>44.06</v>
      </c>
      <c r="AP3491" s="42"/>
      <c r="AQ3491" s="74"/>
      <c r="AR3491" s="77"/>
      <c r="AT3491" s="497">
        <v>78.98</v>
      </c>
      <c r="AV3491" s="42"/>
      <c r="AW3491" s="74"/>
      <c r="AX3491" s="77"/>
      <c r="BA3491" s="497">
        <v>75.02</v>
      </c>
      <c r="BB3491" s="42"/>
      <c r="BC3491" s="74"/>
      <c r="BD3491" s="77"/>
      <c r="BF3491">
        <v>57.019999999999996</v>
      </c>
      <c r="BH3491" s="42"/>
      <c r="BI3491" s="74"/>
      <c r="BJ3491" s="77"/>
      <c r="BL3491" s="497">
        <v>75.92</v>
      </c>
      <c r="BN3491" s="42"/>
      <c r="BO3491" s="74"/>
      <c r="BP3491" s="77"/>
      <c r="BR3491" s="497">
        <v>68</v>
      </c>
      <c r="BT3491" s="42"/>
    </row>
    <row r="3492" spans="1:72" x14ac:dyDescent="0.25">
      <c r="A3492" s="90">
        <v>36305</v>
      </c>
      <c r="B3492" s="20">
        <v>0.75</v>
      </c>
      <c r="D3492">
        <v>71.06</v>
      </c>
      <c r="E3492" t="str">
        <f t="shared" si="144"/>
        <v>WEEKDAY</v>
      </c>
      <c r="F3492" t="e">
        <f t="shared" si="143"/>
        <v>#N/A</v>
      </c>
      <c r="G3492" s="74">
        <v>31922</v>
      </c>
      <c r="H3492" s="77">
        <v>0.75</v>
      </c>
      <c r="J3492">
        <v>57.92</v>
      </c>
      <c r="M3492" s="74">
        <v>34479</v>
      </c>
      <c r="N3492" s="77">
        <v>0.75</v>
      </c>
      <c r="P3492">
        <v>70.88</v>
      </c>
      <c r="S3492" s="74">
        <v>36305</v>
      </c>
      <c r="T3492" s="77">
        <v>0.75</v>
      </c>
      <c r="V3492">
        <v>69.080000000000013</v>
      </c>
      <c r="X3492" s="42"/>
      <c r="AB3492">
        <v>66.2</v>
      </c>
      <c r="AC3492">
        <v>55.040000000000006</v>
      </c>
      <c r="AE3492" s="74"/>
      <c r="AF3492" s="77"/>
      <c r="AH3492" s="497">
        <v>69.800000000000011</v>
      </c>
      <c r="AJ3492" s="42"/>
      <c r="AK3492" s="74"/>
      <c r="AL3492" s="77"/>
      <c r="AN3492" s="497">
        <v>44.06</v>
      </c>
      <c r="AP3492" s="42"/>
      <c r="AQ3492" s="74"/>
      <c r="AR3492" s="77"/>
      <c r="AT3492" s="497">
        <v>78.080000000000013</v>
      </c>
      <c r="AV3492" s="42"/>
      <c r="AW3492" s="74"/>
      <c r="AX3492" s="77"/>
      <c r="BA3492" s="497">
        <v>71.960000000000008</v>
      </c>
      <c r="BB3492" s="42"/>
      <c r="BC3492" s="74"/>
      <c r="BD3492" s="77"/>
      <c r="BF3492">
        <v>57.019999999999996</v>
      </c>
      <c r="BH3492" s="42"/>
      <c r="BI3492" s="74"/>
      <c r="BJ3492" s="77"/>
      <c r="BL3492" s="497">
        <v>73.94</v>
      </c>
      <c r="BN3492" s="42"/>
      <c r="BO3492" s="74"/>
      <c r="BP3492" s="77"/>
      <c r="BR3492" s="497">
        <v>66.92</v>
      </c>
      <c r="BT3492" s="42"/>
    </row>
    <row r="3493" spans="1:72" x14ac:dyDescent="0.25">
      <c r="A3493" s="90">
        <v>36305</v>
      </c>
      <c r="B3493" s="20">
        <v>0.79166666666666663</v>
      </c>
      <c r="D3493">
        <v>71.960000000000008</v>
      </c>
      <c r="E3493" t="str">
        <f t="shared" si="144"/>
        <v>WEEKDAY</v>
      </c>
      <c r="F3493" t="e">
        <f t="shared" si="143"/>
        <v>#N/A</v>
      </c>
      <c r="G3493" s="74">
        <v>31922</v>
      </c>
      <c r="H3493" s="77">
        <v>0.79166666666666663</v>
      </c>
      <c r="J3493">
        <v>57.019999999999996</v>
      </c>
      <c r="M3493" s="74">
        <v>34479</v>
      </c>
      <c r="N3493" s="77">
        <v>0.79166666666666663</v>
      </c>
      <c r="P3493">
        <v>65.84</v>
      </c>
      <c r="S3493" s="74">
        <v>36305</v>
      </c>
      <c r="T3493" s="77">
        <v>0.79166666666666663</v>
      </c>
      <c r="V3493">
        <v>66.92</v>
      </c>
      <c r="X3493" s="42"/>
      <c r="AB3493">
        <v>65</v>
      </c>
      <c r="AC3493">
        <v>55.94</v>
      </c>
      <c r="AE3493" s="74"/>
      <c r="AF3493" s="77"/>
      <c r="AH3493" s="497">
        <v>66.2</v>
      </c>
      <c r="AJ3493" s="42"/>
      <c r="AK3493" s="74"/>
      <c r="AL3493" s="77"/>
      <c r="AN3493" s="497">
        <v>44.96</v>
      </c>
      <c r="AP3493" s="42"/>
      <c r="AQ3493" s="74"/>
      <c r="AR3493" s="77"/>
      <c r="AT3493" s="497">
        <v>75.92</v>
      </c>
      <c r="AV3493" s="42"/>
      <c r="AW3493" s="74"/>
      <c r="AX3493" s="77"/>
      <c r="BA3493" s="497">
        <v>69.98</v>
      </c>
      <c r="BB3493" s="42"/>
      <c r="BC3493" s="74"/>
      <c r="BD3493" s="77"/>
      <c r="BF3493">
        <v>57.019999999999996</v>
      </c>
      <c r="BH3493" s="42"/>
      <c r="BI3493" s="74"/>
      <c r="BJ3493" s="77"/>
      <c r="BL3493" s="497">
        <v>71.06</v>
      </c>
      <c r="BN3493" s="42"/>
      <c r="BO3493" s="74"/>
      <c r="BP3493" s="77"/>
      <c r="BR3493" s="497">
        <v>66.02</v>
      </c>
      <c r="BT3493" s="42"/>
    </row>
    <row r="3494" spans="1:72" x14ac:dyDescent="0.25">
      <c r="A3494" s="90">
        <v>36305</v>
      </c>
      <c r="B3494" s="20">
        <v>0.83333333333333337</v>
      </c>
      <c r="D3494">
        <v>66.92</v>
      </c>
      <c r="E3494" t="str">
        <f t="shared" si="144"/>
        <v>WEEKDAY</v>
      </c>
      <c r="F3494" t="e">
        <f t="shared" si="143"/>
        <v>#N/A</v>
      </c>
      <c r="G3494" s="74">
        <v>31922</v>
      </c>
      <c r="H3494" s="77">
        <v>0.83333333333333337</v>
      </c>
      <c r="J3494">
        <v>55.94</v>
      </c>
      <c r="M3494" s="74">
        <v>34479</v>
      </c>
      <c r="N3494" s="77">
        <v>0.83333333333333337</v>
      </c>
      <c r="P3494">
        <v>64.94</v>
      </c>
      <c r="S3494" s="74">
        <v>36305</v>
      </c>
      <c r="T3494" s="77">
        <v>0.83333333333333337</v>
      </c>
      <c r="V3494">
        <v>64.94</v>
      </c>
      <c r="X3494" s="42"/>
      <c r="AB3494">
        <v>63.5</v>
      </c>
      <c r="AC3494">
        <v>55.94</v>
      </c>
      <c r="AE3494" s="74"/>
      <c r="AF3494" s="77"/>
      <c r="AH3494" s="497">
        <v>62.6</v>
      </c>
      <c r="AJ3494" s="42"/>
      <c r="AK3494" s="74"/>
      <c r="AL3494" s="77"/>
      <c r="AN3494" s="497">
        <v>44.06</v>
      </c>
      <c r="AP3494" s="42"/>
      <c r="AQ3494" s="74"/>
      <c r="AR3494" s="77"/>
      <c r="AT3494" s="497">
        <v>73.039999999999992</v>
      </c>
      <c r="AV3494" s="42"/>
      <c r="AW3494" s="74"/>
      <c r="AX3494" s="77"/>
      <c r="BA3494" s="497">
        <v>66.02</v>
      </c>
      <c r="BB3494" s="42"/>
      <c r="BC3494" s="74"/>
      <c r="BD3494" s="77"/>
      <c r="BF3494">
        <v>55.94</v>
      </c>
      <c r="BH3494" s="42"/>
      <c r="BI3494" s="74"/>
      <c r="BJ3494" s="77"/>
      <c r="BL3494" s="497">
        <v>66.02</v>
      </c>
      <c r="BN3494" s="42"/>
      <c r="BO3494" s="74"/>
      <c r="BP3494" s="77"/>
      <c r="BR3494" s="497">
        <v>59</v>
      </c>
      <c r="BT3494" s="42"/>
    </row>
    <row r="3495" spans="1:72" x14ac:dyDescent="0.25">
      <c r="A3495" s="90">
        <v>36305</v>
      </c>
      <c r="B3495" s="20">
        <v>0.875</v>
      </c>
      <c r="D3495">
        <v>66.92</v>
      </c>
      <c r="E3495" t="str">
        <f t="shared" si="144"/>
        <v>WEEKDAY</v>
      </c>
      <c r="F3495" t="e">
        <f t="shared" si="143"/>
        <v>#N/A</v>
      </c>
      <c r="G3495" s="74">
        <v>31922</v>
      </c>
      <c r="H3495" s="77">
        <v>0.875</v>
      </c>
      <c r="J3495">
        <v>55.040000000000006</v>
      </c>
      <c r="M3495" s="74">
        <v>34479</v>
      </c>
      <c r="N3495" s="77">
        <v>0.875</v>
      </c>
      <c r="P3495">
        <v>62.96</v>
      </c>
      <c r="S3495" s="74">
        <v>36305</v>
      </c>
      <c r="T3495" s="77">
        <v>0.875</v>
      </c>
      <c r="V3495">
        <v>60.980000000000004</v>
      </c>
      <c r="X3495" s="42"/>
      <c r="AB3495">
        <v>62.4</v>
      </c>
      <c r="AC3495">
        <v>55.94</v>
      </c>
      <c r="AE3495" s="74"/>
      <c r="AF3495" s="77"/>
      <c r="AH3495" s="497">
        <v>59</v>
      </c>
      <c r="AJ3495" s="42"/>
      <c r="AK3495" s="74"/>
      <c r="AL3495" s="77"/>
      <c r="AN3495" s="497">
        <v>44.06</v>
      </c>
      <c r="AP3495" s="42"/>
      <c r="AQ3495" s="74"/>
      <c r="AR3495" s="77"/>
      <c r="AT3495" s="497">
        <v>71.06</v>
      </c>
      <c r="AV3495" s="42"/>
      <c r="AW3495" s="74"/>
      <c r="AX3495" s="77"/>
      <c r="BA3495" s="497">
        <v>62.96</v>
      </c>
      <c r="BB3495" s="42"/>
      <c r="BC3495" s="74"/>
      <c r="BD3495" s="77"/>
      <c r="BF3495">
        <v>55.94</v>
      </c>
      <c r="BH3495" s="42"/>
      <c r="BI3495" s="74"/>
      <c r="BJ3495" s="77"/>
      <c r="BL3495" s="497">
        <v>64.039999999999992</v>
      </c>
      <c r="BN3495" s="42"/>
      <c r="BO3495" s="74"/>
      <c r="BP3495" s="77"/>
      <c r="BR3495" s="497">
        <v>55.94</v>
      </c>
      <c r="BT3495" s="42"/>
    </row>
    <row r="3496" spans="1:72" x14ac:dyDescent="0.25">
      <c r="A3496" s="90">
        <v>36305</v>
      </c>
      <c r="B3496" s="20">
        <v>0.91666666666666663</v>
      </c>
      <c r="D3496">
        <v>64.94</v>
      </c>
      <c r="E3496" t="str">
        <f t="shared" si="144"/>
        <v>WEEKDAY</v>
      </c>
      <c r="F3496" t="e">
        <f t="shared" si="143"/>
        <v>#N/A</v>
      </c>
      <c r="G3496" s="74">
        <v>31922</v>
      </c>
      <c r="H3496" s="77">
        <v>0.91666666666666663</v>
      </c>
      <c r="J3496">
        <v>55.94</v>
      </c>
      <c r="M3496" s="74">
        <v>34479</v>
      </c>
      <c r="N3496" s="77">
        <v>0.91666666666666663</v>
      </c>
      <c r="P3496">
        <v>60.980000000000004</v>
      </c>
      <c r="S3496" s="74">
        <v>36305</v>
      </c>
      <c r="T3496" s="77">
        <v>0.91666666666666663</v>
      </c>
      <c r="V3496">
        <v>60.980000000000004</v>
      </c>
      <c r="X3496" s="42"/>
      <c r="AB3496">
        <v>61.9</v>
      </c>
      <c r="AC3496">
        <v>55.94</v>
      </c>
      <c r="AE3496" s="74"/>
      <c r="AF3496" s="77"/>
      <c r="AH3496" s="497">
        <v>59</v>
      </c>
      <c r="AJ3496" s="42"/>
      <c r="AK3496" s="74"/>
      <c r="AL3496" s="77"/>
      <c r="AN3496" s="497">
        <v>44.06</v>
      </c>
      <c r="AP3496" s="42"/>
      <c r="AQ3496" s="74"/>
      <c r="AR3496" s="77"/>
      <c r="AT3496" s="497">
        <v>69.080000000000013</v>
      </c>
      <c r="AV3496" s="42"/>
      <c r="AW3496" s="74"/>
      <c r="AX3496" s="77"/>
      <c r="BA3496" s="497">
        <v>60.08</v>
      </c>
      <c r="BB3496" s="42"/>
      <c r="BC3496" s="74"/>
      <c r="BD3496" s="77"/>
      <c r="BF3496">
        <v>55.94</v>
      </c>
      <c r="BH3496" s="42"/>
      <c r="BI3496" s="74"/>
      <c r="BJ3496" s="77"/>
      <c r="BL3496" s="497">
        <v>57.92</v>
      </c>
      <c r="BN3496" s="42"/>
      <c r="BO3496" s="74"/>
      <c r="BP3496" s="77"/>
      <c r="BR3496" s="497">
        <v>55.94</v>
      </c>
      <c r="BT3496" s="42"/>
    </row>
    <row r="3497" spans="1:72" x14ac:dyDescent="0.25">
      <c r="A3497" s="90">
        <v>36305</v>
      </c>
      <c r="B3497" s="20">
        <v>0.95833333333333337</v>
      </c>
      <c r="D3497">
        <v>66.02</v>
      </c>
      <c r="E3497" t="str">
        <f t="shared" si="144"/>
        <v>WEEKDAY</v>
      </c>
      <c r="F3497" t="e">
        <f t="shared" si="143"/>
        <v>#N/A</v>
      </c>
      <c r="G3497" s="74">
        <v>31922</v>
      </c>
      <c r="H3497" s="77">
        <v>0.95833333333333337</v>
      </c>
      <c r="J3497">
        <v>55.040000000000006</v>
      </c>
      <c r="M3497" s="74">
        <v>34479</v>
      </c>
      <c r="N3497" s="77">
        <v>0.95833333333333337</v>
      </c>
      <c r="P3497">
        <v>61.88</v>
      </c>
      <c r="S3497" s="74">
        <v>36305</v>
      </c>
      <c r="T3497" s="77">
        <v>0.95833333333333337</v>
      </c>
      <c r="V3497">
        <v>59</v>
      </c>
      <c r="X3497" s="42"/>
      <c r="AB3497">
        <v>61.3</v>
      </c>
      <c r="AC3497">
        <v>55.040000000000006</v>
      </c>
      <c r="AE3497" s="74"/>
      <c r="AF3497" s="77"/>
      <c r="AH3497" s="497">
        <v>59</v>
      </c>
      <c r="AJ3497" s="42"/>
      <c r="AK3497" s="74"/>
      <c r="AL3497" s="77"/>
      <c r="AN3497" s="497">
        <v>42.980000000000004</v>
      </c>
      <c r="AP3497" s="42"/>
      <c r="AQ3497" s="74"/>
      <c r="AR3497" s="77"/>
      <c r="AT3497" s="497">
        <v>66.92</v>
      </c>
      <c r="AV3497" s="42"/>
      <c r="AW3497" s="74"/>
      <c r="AX3497" s="77"/>
      <c r="BA3497" s="497">
        <v>60.980000000000004</v>
      </c>
      <c r="BB3497" s="42"/>
      <c r="BC3497" s="74"/>
      <c r="BD3497" s="77"/>
      <c r="BF3497">
        <v>55.94</v>
      </c>
      <c r="BH3497" s="42"/>
      <c r="BI3497" s="74"/>
      <c r="BJ3497" s="77"/>
      <c r="BL3497" s="497">
        <v>55.94</v>
      </c>
      <c r="BN3497" s="42"/>
      <c r="BO3497" s="74"/>
      <c r="BP3497" s="77"/>
      <c r="BR3497" s="497">
        <v>55.94</v>
      </c>
      <c r="BT3497" s="42"/>
    </row>
    <row r="3498" spans="1:72" x14ac:dyDescent="0.25">
      <c r="A3498" s="90">
        <v>36305</v>
      </c>
      <c r="B3498" s="20">
        <v>1</v>
      </c>
      <c r="D3498">
        <v>66.02</v>
      </c>
      <c r="E3498" t="str">
        <f t="shared" si="144"/>
        <v>WEEKDAY</v>
      </c>
      <c r="F3498" t="e">
        <f t="shared" si="143"/>
        <v>#N/A</v>
      </c>
      <c r="G3498" s="74">
        <v>31922</v>
      </c>
      <c r="H3498" s="77">
        <v>1</v>
      </c>
      <c r="J3498">
        <v>55.040000000000006</v>
      </c>
      <c r="M3498" s="74">
        <v>34479</v>
      </c>
      <c r="N3498" s="80">
        <v>1</v>
      </c>
      <c r="P3498">
        <v>59.900000000000006</v>
      </c>
      <c r="S3498" s="74">
        <v>36305</v>
      </c>
      <c r="T3498" s="80">
        <v>1</v>
      </c>
      <c r="V3498">
        <v>55.94</v>
      </c>
      <c r="X3498" s="42"/>
      <c r="AB3498">
        <v>60.8</v>
      </c>
      <c r="AC3498">
        <v>55.040000000000006</v>
      </c>
      <c r="AE3498" s="74"/>
      <c r="AF3498" s="80"/>
      <c r="AH3498" s="497">
        <v>60.8</v>
      </c>
      <c r="AJ3498" s="42"/>
      <c r="AK3498" s="74"/>
      <c r="AL3498" s="80"/>
      <c r="AN3498" s="497">
        <v>42.980000000000004</v>
      </c>
      <c r="AP3498" s="42"/>
      <c r="AQ3498" s="74"/>
      <c r="AR3498" s="80"/>
      <c r="AT3498" s="497">
        <v>64.94</v>
      </c>
      <c r="AV3498" s="42"/>
      <c r="AW3498" s="74"/>
      <c r="AX3498" s="80"/>
      <c r="BA3498" s="497">
        <v>62.06</v>
      </c>
      <c r="BB3498" s="42"/>
      <c r="BC3498" s="74"/>
      <c r="BD3498" s="80"/>
      <c r="BF3498">
        <v>55.040000000000006</v>
      </c>
      <c r="BH3498" s="42"/>
      <c r="BI3498" s="74"/>
      <c r="BJ3498" s="80"/>
      <c r="BL3498" s="497">
        <v>55.040000000000006</v>
      </c>
      <c r="BN3498" s="42"/>
      <c r="BO3498" s="74"/>
      <c r="BP3498" s="80"/>
      <c r="BR3498" s="497">
        <v>57.019999999999996</v>
      </c>
      <c r="BT3498" s="42"/>
    </row>
    <row r="3499" spans="1:72" x14ac:dyDescent="0.25">
      <c r="A3499" s="90">
        <v>36306</v>
      </c>
      <c r="B3499" s="20">
        <v>4.1666666666666664E-2</v>
      </c>
      <c r="D3499">
        <v>64.94</v>
      </c>
      <c r="E3499" t="str">
        <f t="shared" si="144"/>
        <v>WEEKDAY</v>
      </c>
      <c r="F3499" t="e">
        <f t="shared" ref="F3499:F3562" si="145">IF(E3499="WEEKDAY",VLOOKUP(B3499,$DD$19:$DG$42,2),IF(E3499="SATURDAY",VLOOKUP(B3499,$DD$19:$DG$42,3),VLOOKUP(B3499,$DD$19:$DG$42,4)))</f>
        <v>#N/A</v>
      </c>
      <c r="G3499" s="74">
        <v>31923</v>
      </c>
      <c r="H3499" s="77">
        <v>4.1666666666666664E-2</v>
      </c>
      <c r="J3499">
        <v>53.96</v>
      </c>
      <c r="M3499" s="74">
        <v>34480</v>
      </c>
      <c r="N3499" s="77">
        <v>4.1666666666666664E-2</v>
      </c>
      <c r="P3499">
        <v>59.900000000000006</v>
      </c>
      <c r="S3499" s="74">
        <v>36306</v>
      </c>
      <c r="T3499" s="77">
        <v>4.1666666666666664E-2</v>
      </c>
      <c r="V3499">
        <v>57.92</v>
      </c>
      <c r="X3499" s="42"/>
      <c r="AB3499">
        <v>60.3</v>
      </c>
      <c r="AC3499">
        <v>53.96</v>
      </c>
      <c r="AE3499" s="74"/>
      <c r="AF3499" s="77"/>
      <c r="AH3499" s="497">
        <v>60.8</v>
      </c>
      <c r="AJ3499" s="42"/>
      <c r="AK3499" s="74"/>
      <c r="AL3499" s="77"/>
      <c r="AN3499" s="497">
        <v>42.980000000000004</v>
      </c>
      <c r="AP3499" s="42"/>
      <c r="AQ3499" s="74"/>
      <c r="AR3499" s="77"/>
      <c r="AT3499" s="497">
        <v>62.06</v>
      </c>
      <c r="AV3499" s="42"/>
      <c r="AW3499" s="74"/>
      <c r="AX3499" s="77"/>
      <c r="BA3499" s="497">
        <v>60.980000000000004</v>
      </c>
      <c r="BB3499" s="42"/>
      <c r="BC3499" s="74"/>
      <c r="BD3499" s="77"/>
      <c r="BF3499">
        <v>53.96</v>
      </c>
      <c r="BH3499" s="42"/>
      <c r="BI3499" s="74"/>
      <c r="BJ3499" s="77"/>
      <c r="BL3499" s="497">
        <v>53.96</v>
      </c>
      <c r="BN3499" s="42"/>
      <c r="BO3499" s="74"/>
      <c r="BP3499" s="77"/>
      <c r="BR3499" s="497">
        <v>55.040000000000006</v>
      </c>
      <c r="BT3499" s="42"/>
    </row>
    <row r="3500" spans="1:72" x14ac:dyDescent="0.25">
      <c r="A3500" s="90">
        <v>36306</v>
      </c>
      <c r="B3500" s="20">
        <v>8.3333333333333329E-2</v>
      </c>
      <c r="D3500">
        <v>64.94</v>
      </c>
      <c r="E3500" t="str">
        <f t="shared" si="144"/>
        <v>WEEKDAY</v>
      </c>
      <c r="F3500" t="e">
        <f t="shared" si="145"/>
        <v>#N/A</v>
      </c>
      <c r="G3500" s="74">
        <v>31923</v>
      </c>
      <c r="H3500" s="77">
        <v>8.3333333333333329E-2</v>
      </c>
      <c r="J3500">
        <v>55.040000000000006</v>
      </c>
      <c r="M3500" s="74">
        <v>34480</v>
      </c>
      <c r="N3500" s="77">
        <v>8.3333333333333329E-2</v>
      </c>
      <c r="P3500">
        <v>59.900000000000006</v>
      </c>
      <c r="S3500" s="74">
        <v>36306</v>
      </c>
      <c r="T3500" s="77">
        <v>8.3333333333333329E-2</v>
      </c>
      <c r="V3500">
        <v>59</v>
      </c>
      <c r="X3500" s="42"/>
      <c r="AB3500">
        <v>59.7</v>
      </c>
      <c r="AC3500">
        <v>53.96</v>
      </c>
      <c r="AE3500" s="74"/>
      <c r="AF3500" s="77"/>
      <c r="AH3500" s="497">
        <v>60.8</v>
      </c>
      <c r="AJ3500" s="42"/>
      <c r="AK3500" s="74"/>
      <c r="AL3500" s="77"/>
      <c r="AN3500" s="497">
        <v>42.980000000000004</v>
      </c>
      <c r="AP3500" s="42"/>
      <c r="AQ3500" s="74"/>
      <c r="AR3500" s="77"/>
      <c r="AT3500" s="497">
        <v>59</v>
      </c>
      <c r="AV3500" s="42"/>
      <c r="AW3500" s="74"/>
      <c r="AX3500" s="77"/>
      <c r="BA3500" s="497">
        <v>60.08</v>
      </c>
      <c r="BB3500" s="42"/>
      <c r="BC3500" s="74"/>
      <c r="BD3500" s="77"/>
      <c r="BF3500">
        <v>53.96</v>
      </c>
      <c r="BH3500" s="42"/>
      <c r="BI3500" s="74"/>
      <c r="BJ3500" s="77"/>
      <c r="BL3500" s="497">
        <v>53.06</v>
      </c>
      <c r="BN3500" s="42"/>
      <c r="BO3500" s="74"/>
      <c r="BP3500" s="77"/>
      <c r="BR3500" s="497">
        <v>53.96</v>
      </c>
      <c r="BT3500" s="42"/>
    </row>
    <row r="3501" spans="1:72" x14ac:dyDescent="0.25">
      <c r="A3501" s="90">
        <v>36306</v>
      </c>
      <c r="B3501" s="20">
        <v>0.125</v>
      </c>
      <c r="D3501">
        <v>64.94</v>
      </c>
      <c r="E3501" t="str">
        <f t="shared" si="144"/>
        <v>WEEKDAY</v>
      </c>
      <c r="F3501" t="e">
        <f t="shared" si="145"/>
        <v>#N/A</v>
      </c>
      <c r="G3501" s="74">
        <v>31923</v>
      </c>
      <c r="H3501" s="77">
        <v>0.125</v>
      </c>
      <c r="J3501">
        <v>55.040000000000006</v>
      </c>
      <c r="M3501" s="74">
        <v>34480</v>
      </c>
      <c r="N3501" s="77">
        <v>0.125</v>
      </c>
      <c r="P3501">
        <v>61.88</v>
      </c>
      <c r="S3501" s="74">
        <v>36306</v>
      </c>
      <c r="T3501" s="77">
        <v>0.125</v>
      </c>
      <c r="V3501">
        <v>59</v>
      </c>
      <c r="X3501" s="42"/>
      <c r="AB3501">
        <v>59.2</v>
      </c>
      <c r="AC3501">
        <v>55.040000000000006</v>
      </c>
      <c r="AE3501" s="74"/>
      <c r="AF3501" s="77"/>
      <c r="AH3501" s="497">
        <v>57.2</v>
      </c>
      <c r="AJ3501" s="42"/>
      <c r="AK3501" s="74"/>
      <c r="AL3501" s="77"/>
      <c r="AN3501" s="497">
        <v>41</v>
      </c>
      <c r="AP3501" s="42"/>
      <c r="AQ3501" s="74"/>
      <c r="AR3501" s="77"/>
      <c r="AT3501" s="497">
        <v>60.980000000000004</v>
      </c>
      <c r="AV3501" s="42"/>
      <c r="AW3501" s="74"/>
      <c r="AX3501" s="77"/>
      <c r="BA3501" s="497">
        <v>57.92</v>
      </c>
      <c r="BB3501" s="42"/>
      <c r="BC3501" s="74"/>
      <c r="BD3501" s="77"/>
      <c r="BF3501">
        <v>53.96</v>
      </c>
      <c r="BH3501" s="42"/>
      <c r="BI3501" s="74"/>
      <c r="BJ3501" s="77"/>
      <c r="BL3501" s="497">
        <v>51.08</v>
      </c>
      <c r="BN3501" s="42"/>
      <c r="BO3501" s="74"/>
      <c r="BP3501" s="77"/>
      <c r="BR3501" s="497">
        <v>53.96</v>
      </c>
      <c r="BT3501" s="42"/>
    </row>
    <row r="3502" spans="1:72" x14ac:dyDescent="0.25">
      <c r="A3502" s="90">
        <v>36306</v>
      </c>
      <c r="B3502" s="20">
        <v>0.16666666666666666</v>
      </c>
      <c r="D3502">
        <v>64.039999999999992</v>
      </c>
      <c r="E3502" t="str">
        <f t="shared" si="144"/>
        <v>WEEKDAY</v>
      </c>
      <c r="F3502" t="e">
        <f t="shared" si="145"/>
        <v>#N/A</v>
      </c>
      <c r="G3502" s="74">
        <v>31923</v>
      </c>
      <c r="H3502" s="77">
        <v>0.16666666666666666</v>
      </c>
      <c r="J3502">
        <v>55.040000000000006</v>
      </c>
      <c r="M3502" s="74">
        <v>34480</v>
      </c>
      <c r="N3502" s="77">
        <v>0.16666666666666666</v>
      </c>
      <c r="P3502">
        <v>60.980000000000004</v>
      </c>
      <c r="S3502" s="74">
        <v>36306</v>
      </c>
      <c r="T3502" s="77">
        <v>0.16666666666666666</v>
      </c>
      <c r="V3502">
        <v>60.08</v>
      </c>
      <c r="X3502" s="42"/>
      <c r="AB3502">
        <v>58.7</v>
      </c>
      <c r="AC3502">
        <v>55.94</v>
      </c>
      <c r="AE3502" s="74"/>
      <c r="AF3502" s="77"/>
      <c r="AH3502" s="497">
        <v>57.2</v>
      </c>
      <c r="AJ3502" s="42"/>
      <c r="AK3502" s="74"/>
      <c r="AL3502" s="77"/>
      <c r="AN3502" s="497">
        <v>39.92</v>
      </c>
      <c r="AP3502" s="42"/>
      <c r="AQ3502" s="74"/>
      <c r="AR3502" s="77"/>
      <c r="AT3502" s="497">
        <v>60.980000000000004</v>
      </c>
      <c r="AV3502" s="42"/>
      <c r="AW3502" s="74"/>
      <c r="AX3502" s="77"/>
      <c r="BA3502" s="497">
        <v>55.94</v>
      </c>
      <c r="BB3502" s="42"/>
      <c r="BC3502" s="74"/>
      <c r="BD3502" s="77"/>
      <c r="BF3502">
        <v>53.96</v>
      </c>
      <c r="BH3502" s="42"/>
      <c r="BI3502" s="74"/>
      <c r="BJ3502" s="77"/>
      <c r="BL3502" s="497">
        <v>51.08</v>
      </c>
      <c r="BN3502" s="42"/>
      <c r="BO3502" s="74"/>
      <c r="BP3502" s="77"/>
      <c r="BR3502" s="497">
        <v>53.06</v>
      </c>
      <c r="BT3502" s="42"/>
    </row>
    <row r="3503" spans="1:72" x14ac:dyDescent="0.25">
      <c r="A3503" s="90">
        <v>36306</v>
      </c>
      <c r="B3503" s="20">
        <v>0.20833333333333334</v>
      </c>
      <c r="D3503">
        <v>64.039999999999992</v>
      </c>
      <c r="E3503" t="str">
        <f t="shared" si="144"/>
        <v>WEEKDAY</v>
      </c>
      <c r="F3503" t="e">
        <f t="shared" si="145"/>
        <v>#N/A</v>
      </c>
      <c r="G3503" s="74">
        <v>31923</v>
      </c>
      <c r="H3503" s="77">
        <v>0.20833333333333334</v>
      </c>
      <c r="J3503">
        <v>55.94</v>
      </c>
      <c r="M3503" s="74">
        <v>34480</v>
      </c>
      <c r="N3503" s="77">
        <v>0.20833333333333334</v>
      </c>
      <c r="P3503">
        <v>60.980000000000004</v>
      </c>
      <c r="S3503" s="74">
        <v>36306</v>
      </c>
      <c r="T3503" s="77">
        <v>0.20833333333333334</v>
      </c>
      <c r="V3503">
        <v>60.08</v>
      </c>
      <c r="X3503" s="42"/>
      <c r="AB3503">
        <v>58.4</v>
      </c>
      <c r="AC3503">
        <v>57.019999999999996</v>
      </c>
      <c r="AE3503" s="74"/>
      <c r="AF3503" s="77"/>
      <c r="AH3503" s="497">
        <v>55.400000000000006</v>
      </c>
      <c r="AJ3503" s="42"/>
      <c r="AK3503" s="74"/>
      <c r="AL3503" s="77"/>
      <c r="AN3503" s="497">
        <v>39.019999999999996</v>
      </c>
      <c r="AP3503" s="42"/>
      <c r="AQ3503" s="74"/>
      <c r="AR3503" s="77"/>
      <c r="AT3503" s="497">
        <v>60.08</v>
      </c>
      <c r="AV3503" s="42"/>
      <c r="AW3503" s="74"/>
      <c r="AX3503" s="77"/>
      <c r="BA3503" s="497">
        <v>55.94</v>
      </c>
      <c r="BB3503" s="42"/>
      <c r="BC3503" s="74"/>
      <c r="BD3503" s="77"/>
      <c r="BF3503">
        <v>55.040000000000006</v>
      </c>
      <c r="BH3503" s="42"/>
      <c r="BI3503" s="74"/>
      <c r="BJ3503" s="77"/>
      <c r="BL3503" s="497">
        <v>51.08</v>
      </c>
      <c r="BN3503" s="42"/>
      <c r="BO3503" s="74"/>
      <c r="BP3503" s="77"/>
      <c r="BR3503" s="497">
        <v>53.06</v>
      </c>
      <c r="BT3503" s="42"/>
    </row>
    <row r="3504" spans="1:72" x14ac:dyDescent="0.25">
      <c r="A3504" s="90">
        <v>36306</v>
      </c>
      <c r="B3504" s="20">
        <v>0.25</v>
      </c>
      <c r="D3504">
        <v>64.94</v>
      </c>
      <c r="E3504" t="str">
        <f t="shared" si="144"/>
        <v>WEEKDAY</v>
      </c>
      <c r="F3504" t="e">
        <f t="shared" si="145"/>
        <v>#N/A</v>
      </c>
      <c r="G3504" s="74">
        <v>31923</v>
      </c>
      <c r="H3504" s="77">
        <v>0.25</v>
      </c>
      <c r="J3504">
        <v>57.019999999999996</v>
      </c>
      <c r="M3504" s="74">
        <v>34480</v>
      </c>
      <c r="N3504" s="77">
        <v>0.25</v>
      </c>
      <c r="P3504">
        <v>60.8</v>
      </c>
      <c r="S3504" s="74">
        <v>36306</v>
      </c>
      <c r="T3504" s="77">
        <v>0.25</v>
      </c>
      <c r="V3504">
        <v>60.08</v>
      </c>
      <c r="X3504" s="42"/>
      <c r="AB3504">
        <v>58.3</v>
      </c>
      <c r="AC3504">
        <v>57.019999999999996</v>
      </c>
      <c r="AE3504" s="74"/>
      <c r="AF3504" s="77"/>
      <c r="AH3504" s="497">
        <v>55.400000000000006</v>
      </c>
      <c r="AJ3504" s="42"/>
      <c r="AK3504" s="74"/>
      <c r="AL3504" s="77"/>
      <c r="AN3504" s="497">
        <v>41</v>
      </c>
      <c r="AP3504" s="42"/>
      <c r="AQ3504" s="74"/>
      <c r="AR3504" s="77"/>
      <c r="AT3504" s="497">
        <v>60.980000000000004</v>
      </c>
      <c r="AV3504" s="42"/>
      <c r="AW3504" s="74"/>
      <c r="AX3504" s="77"/>
      <c r="BA3504" s="497">
        <v>57.019999999999996</v>
      </c>
      <c r="BB3504" s="42"/>
      <c r="BC3504" s="74"/>
      <c r="BD3504" s="77"/>
      <c r="BF3504">
        <v>53.96</v>
      </c>
      <c r="BH3504" s="42"/>
      <c r="BI3504" s="74"/>
      <c r="BJ3504" s="77"/>
      <c r="BL3504" s="497">
        <v>53.96</v>
      </c>
      <c r="BN3504" s="42"/>
      <c r="BO3504" s="74"/>
      <c r="BP3504" s="77"/>
      <c r="BR3504" s="497">
        <v>53.96</v>
      </c>
      <c r="BT3504" s="42"/>
    </row>
    <row r="3505" spans="1:72" x14ac:dyDescent="0.25">
      <c r="A3505" s="90">
        <v>36306</v>
      </c>
      <c r="B3505" s="20">
        <v>0.29166666666666669</v>
      </c>
      <c r="D3505">
        <v>64.94</v>
      </c>
      <c r="E3505" t="str">
        <f t="shared" si="144"/>
        <v>WEEKDAY</v>
      </c>
      <c r="F3505" t="e">
        <f t="shared" si="145"/>
        <v>#N/A</v>
      </c>
      <c r="G3505" s="74">
        <v>31923</v>
      </c>
      <c r="H3505" s="77">
        <v>0.29166666666666669</v>
      </c>
      <c r="J3505">
        <v>57.019999999999996</v>
      </c>
      <c r="M3505" s="74">
        <v>34480</v>
      </c>
      <c r="N3505" s="77">
        <v>0.29166666666666669</v>
      </c>
      <c r="P3505">
        <v>61.88</v>
      </c>
      <c r="S3505" s="74">
        <v>36306</v>
      </c>
      <c r="T3505" s="77">
        <v>0.29166666666666669</v>
      </c>
      <c r="V3505">
        <v>62.06</v>
      </c>
      <c r="X3505" s="42"/>
      <c r="AB3505">
        <v>59.8</v>
      </c>
      <c r="AC3505">
        <v>57.92</v>
      </c>
      <c r="AE3505" s="74"/>
      <c r="AF3505" s="77"/>
      <c r="AH3505" s="497">
        <v>59</v>
      </c>
      <c r="AJ3505" s="42"/>
      <c r="AK3505" s="74"/>
      <c r="AL3505" s="77"/>
      <c r="AN3505" s="497">
        <v>42.980000000000004</v>
      </c>
      <c r="AP3505" s="42"/>
      <c r="AQ3505" s="74"/>
      <c r="AR3505" s="77"/>
      <c r="AT3505" s="497">
        <v>60.980000000000004</v>
      </c>
      <c r="AV3505" s="42"/>
      <c r="AW3505" s="74"/>
      <c r="AX3505" s="77"/>
      <c r="BA3505" s="497">
        <v>57.92</v>
      </c>
      <c r="BB3505" s="42"/>
      <c r="BC3505" s="74"/>
      <c r="BD3505" s="77"/>
      <c r="BF3505">
        <v>55.040000000000006</v>
      </c>
      <c r="BH3505" s="42"/>
      <c r="BI3505" s="74"/>
      <c r="BJ3505" s="77"/>
      <c r="BL3505" s="497">
        <v>57.92</v>
      </c>
      <c r="BN3505" s="42"/>
      <c r="BO3505" s="74"/>
      <c r="BP3505" s="77"/>
      <c r="BR3505" s="497">
        <v>60.08</v>
      </c>
      <c r="BT3505" s="42"/>
    </row>
    <row r="3506" spans="1:72" x14ac:dyDescent="0.25">
      <c r="A3506" s="90">
        <v>36306</v>
      </c>
      <c r="B3506" s="20">
        <v>0.33333333333333331</v>
      </c>
      <c r="D3506">
        <v>69.080000000000013</v>
      </c>
      <c r="E3506" t="str">
        <f t="shared" si="144"/>
        <v>WEEKDAY</v>
      </c>
      <c r="F3506" t="e">
        <f t="shared" si="145"/>
        <v>#N/A</v>
      </c>
      <c r="G3506" s="74">
        <v>31923</v>
      </c>
      <c r="H3506" s="77">
        <v>0.33333333333333331</v>
      </c>
      <c r="J3506">
        <v>59</v>
      </c>
      <c r="M3506" s="74">
        <v>34480</v>
      </c>
      <c r="N3506" s="77">
        <v>0.33333333333333331</v>
      </c>
      <c r="P3506">
        <v>63.86</v>
      </c>
      <c r="S3506" s="74">
        <v>36306</v>
      </c>
      <c r="T3506" s="77">
        <v>0.33333333333333331</v>
      </c>
      <c r="V3506">
        <v>66.02</v>
      </c>
      <c r="X3506" s="42"/>
      <c r="AB3506">
        <v>61.7</v>
      </c>
      <c r="AC3506">
        <v>59</v>
      </c>
      <c r="AE3506" s="74"/>
      <c r="AF3506" s="77"/>
      <c r="AH3506" s="497">
        <v>60.980000000000004</v>
      </c>
      <c r="AJ3506" s="42"/>
      <c r="AK3506" s="74"/>
      <c r="AL3506" s="77"/>
      <c r="AN3506" s="497">
        <v>46.94</v>
      </c>
      <c r="AP3506" s="42"/>
      <c r="AQ3506" s="74"/>
      <c r="AR3506" s="77"/>
      <c r="AT3506" s="497">
        <v>62.96</v>
      </c>
      <c r="AV3506" s="42"/>
      <c r="AW3506" s="74"/>
      <c r="AX3506" s="77"/>
      <c r="BA3506" s="497">
        <v>59</v>
      </c>
      <c r="BB3506" s="42"/>
      <c r="BC3506" s="74"/>
      <c r="BD3506" s="77"/>
      <c r="BF3506">
        <v>57.019999999999996</v>
      </c>
      <c r="BH3506" s="42"/>
      <c r="BI3506" s="74"/>
      <c r="BJ3506" s="77"/>
      <c r="BL3506" s="497">
        <v>66.02</v>
      </c>
      <c r="BN3506" s="42"/>
      <c r="BO3506" s="74"/>
      <c r="BP3506" s="77"/>
      <c r="BR3506" s="497">
        <v>64.039999999999992</v>
      </c>
      <c r="BT3506" s="42"/>
    </row>
    <row r="3507" spans="1:72" x14ac:dyDescent="0.25">
      <c r="A3507" s="90">
        <v>36306</v>
      </c>
      <c r="B3507" s="20">
        <v>0.375</v>
      </c>
      <c r="D3507">
        <v>71.960000000000008</v>
      </c>
      <c r="E3507" t="str">
        <f t="shared" si="144"/>
        <v>WEEKDAY</v>
      </c>
      <c r="F3507" t="e">
        <f t="shared" si="145"/>
        <v>#N/A</v>
      </c>
      <c r="G3507" s="74">
        <v>31923</v>
      </c>
      <c r="H3507" s="77">
        <v>0.375</v>
      </c>
      <c r="J3507">
        <v>60.980000000000004</v>
      </c>
      <c r="M3507" s="74">
        <v>34480</v>
      </c>
      <c r="N3507" s="77">
        <v>0.375</v>
      </c>
      <c r="P3507">
        <v>64.94</v>
      </c>
      <c r="S3507" s="74">
        <v>36306</v>
      </c>
      <c r="T3507" s="77">
        <v>0.375</v>
      </c>
      <c r="V3507">
        <v>68</v>
      </c>
      <c r="X3507" s="42"/>
      <c r="AB3507">
        <v>63.8</v>
      </c>
      <c r="AC3507">
        <v>60.08</v>
      </c>
      <c r="AE3507" s="74"/>
      <c r="AF3507" s="77"/>
      <c r="AH3507" s="497">
        <v>62.6</v>
      </c>
      <c r="AJ3507" s="42"/>
      <c r="AK3507" s="74"/>
      <c r="AL3507" s="77"/>
      <c r="AN3507" s="497">
        <v>50</v>
      </c>
      <c r="AP3507" s="42"/>
      <c r="AQ3507" s="74"/>
      <c r="AR3507" s="77"/>
      <c r="AT3507" s="497">
        <v>62.96</v>
      </c>
      <c r="AV3507" s="42"/>
      <c r="AW3507" s="74"/>
      <c r="AX3507" s="77"/>
      <c r="BA3507" s="497">
        <v>62.06</v>
      </c>
      <c r="BB3507" s="42"/>
      <c r="BC3507" s="74"/>
      <c r="BD3507" s="77"/>
      <c r="BF3507">
        <v>60.980000000000004</v>
      </c>
      <c r="BH3507" s="42"/>
      <c r="BI3507" s="74"/>
      <c r="BJ3507" s="77"/>
      <c r="BL3507" s="497">
        <v>71.960000000000008</v>
      </c>
      <c r="BN3507" s="42"/>
      <c r="BO3507" s="74"/>
      <c r="BP3507" s="77"/>
      <c r="BR3507" s="497">
        <v>68</v>
      </c>
      <c r="BT3507" s="42"/>
    </row>
    <row r="3508" spans="1:72" x14ac:dyDescent="0.25">
      <c r="A3508" s="90">
        <v>36306</v>
      </c>
      <c r="B3508" s="20">
        <v>0.41666666666666669</v>
      </c>
      <c r="D3508">
        <v>71.960000000000008</v>
      </c>
      <c r="E3508" t="str">
        <f t="shared" si="144"/>
        <v>WEEKDAY</v>
      </c>
      <c r="F3508" t="e">
        <f t="shared" si="145"/>
        <v>#N/A</v>
      </c>
      <c r="G3508" s="74">
        <v>31923</v>
      </c>
      <c r="H3508" s="77">
        <v>0.41666666666666669</v>
      </c>
      <c r="J3508">
        <v>62.06</v>
      </c>
      <c r="M3508" s="74">
        <v>34480</v>
      </c>
      <c r="N3508" s="77">
        <v>0.41666666666666669</v>
      </c>
      <c r="P3508">
        <v>66.92</v>
      </c>
      <c r="S3508" s="74">
        <v>36306</v>
      </c>
      <c r="T3508" s="77">
        <v>0.41666666666666669</v>
      </c>
      <c r="V3508">
        <v>69.98</v>
      </c>
      <c r="X3508" s="42"/>
      <c r="AB3508">
        <v>65.599999999999994</v>
      </c>
      <c r="AC3508">
        <v>62.96</v>
      </c>
      <c r="AE3508" s="74"/>
      <c r="AF3508" s="77"/>
      <c r="AH3508" s="497">
        <v>64.400000000000006</v>
      </c>
      <c r="AJ3508" s="42"/>
      <c r="AK3508" s="74"/>
      <c r="AL3508" s="77"/>
      <c r="AN3508" s="497">
        <v>53.06</v>
      </c>
      <c r="AP3508" s="42"/>
      <c r="AQ3508" s="74"/>
      <c r="AR3508" s="77"/>
      <c r="AT3508" s="497">
        <v>64.039999999999992</v>
      </c>
      <c r="AV3508" s="42"/>
      <c r="AW3508" s="74"/>
      <c r="AX3508" s="77"/>
      <c r="BA3508" s="497">
        <v>62.96</v>
      </c>
      <c r="BB3508" s="42"/>
      <c r="BC3508" s="74"/>
      <c r="BD3508" s="77"/>
      <c r="BF3508">
        <v>66.02</v>
      </c>
      <c r="BH3508" s="42"/>
      <c r="BI3508" s="74"/>
      <c r="BJ3508" s="77"/>
      <c r="BL3508" s="497">
        <v>75.02</v>
      </c>
      <c r="BN3508" s="42"/>
      <c r="BO3508" s="74"/>
      <c r="BP3508" s="77"/>
      <c r="BR3508" s="497">
        <v>69.080000000000013</v>
      </c>
      <c r="BT3508" s="42"/>
    </row>
    <row r="3509" spans="1:72" x14ac:dyDescent="0.25">
      <c r="A3509" s="90">
        <v>36306</v>
      </c>
      <c r="B3509" s="20">
        <v>0.45833333333333331</v>
      </c>
      <c r="D3509">
        <v>69.080000000000013</v>
      </c>
      <c r="E3509" t="str">
        <f t="shared" si="144"/>
        <v>WEEKDAY</v>
      </c>
      <c r="F3509" t="e">
        <f t="shared" si="145"/>
        <v>#N/A</v>
      </c>
      <c r="G3509" s="74">
        <v>31923</v>
      </c>
      <c r="H3509" s="77">
        <v>0.45833333333333331</v>
      </c>
      <c r="J3509">
        <v>62.06</v>
      </c>
      <c r="M3509" s="74">
        <v>34480</v>
      </c>
      <c r="N3509" s="77">
        <v>0.45833333333333331</v>
      </c>
      <c r="P3509">
        <v>68</v>
      </c>
      <c r="S3509" s="74">
        <v>36306</v>
      </c>
      <c r="T3509" s="77">
        <v>0.45833333333333331</v>
      </c>
      <c r="V3509">
        <v>73.039999999999992</v>
      </c>
      <c r="X3509" s="42"/>
      <c r="AB3509">
        <v>67.3</v>
      </c>
      <c r="AC3509">
        <v>57.019999999999996</v>
      </c>
      <c r="AE3509" s="74"/>
      <c r="AF3509" s="77"/>
      <c r="AH3509" s="497">
        <v>64.400000000000006</v>
      </c>
      <c r="AJ3509" s="42"/>
      <c r="AK3509" s="74"/>
      <c r="AL3509" s="77"/>
      <c r="AN3509" s="497">
        <v>55.040000000000006</v>
      </c>
      <c r="AP3509" s="42"/>
      <c r="AQ3509" s="74"/>
      <c r="AR3509" s="77"/>
      <c r="AT3509" s="497">
        <v>66.92</v>
      </c>
      <c r="AV3509" s="42"/>
      <c r="AW3509" s="74"/>
      <c r="AX3509" s="77"/>
      <c r="BA3509" s="497">
        <v>62.96</v>
      </c>
      <c r="BB3509" s="42"/>
      <c r="BC3509" s="74"/>
      <c r="BD3509" s="77"/>
      <c r="BF3509">
        <v>66.92</v>
      </c>
      <c r="BH3509" s="42"/>
      <c r="BI3509" s="74"/>
      <c r="BJ3509" s="77"/>
      <c r="BL3509" s="497">
        <v>78.080000000000013</v>
      </c>
      <c r="BN3509" s="42"/>
      <c r="BO3509" s="74"/>
      <c r="BP3509" s="77"/>
      <c r="BR3509" s="497">
        <v>69.080000000000013</v>
      </c>
      <c r="BT3509" s="42"/>
    </row>
    <row r="3510" spans="1:72" x14ac:dyDescent="0.25">
      <c r="A3510" s="90">
        <v>36306</v>
      </c>
      <c r="B3510" s="20">
        <v>0.5</v>
      </c>
      <c r="D3510">
        <v>69.98</v>
      </c>
      <c r="E3510" t="str">
        <f t="shared" si="144"/>
        <v>WEEKDAY</v>
      </c>
      <c r="F3510" t="e">
        <f t="shared" si="145"/>
        <v>#N/A</v>
      </c>
      <c r="G3510" s="74">
        <v>31923</v>
      </c>
      <c r="H3510" s="77">
        <v>0.5</v>
      </c>
      <c r="J3510">
        <v>62.06</v>
      </c>
      <c r="M3510" s="74">
        <v>34480</v>
      </c>
      <c r="N3510" s="77">
        <v>0.5</v>
      </c>
      <c r="P3510">
        <v>67.64</v>
      </c>
      <c r="S3510" s="74">
        <v>36306</v>
      </c>
      <c r="T3510" s="77">
        <v>0.5</v>
      </c>
      <c r="V3510">
        <v>73.039999999999992</v>
      </c>
      <c r="X3510" s="42"/>
      <c r="AB3510">
        <v>68.400000000000006</v>
      </c>
      <c r="AC3510">
        <v>57.019999999999996</v>
      </c>
      <c r="AE3510" s="74"/>
      <c r="AF3510" s="77"/>
      <c r="AH3510" s="497">
        <v>66.56</v>
      </c>
      <c r="AJ3510" s="42"/>
      <c r="AK3510" s="74"/>
      <c r="AL3510" s="77"/>
      <c r="AN3510" s="497">
        <v>57.019999999999996</v>
      </c>
      <c r="AP3510" s="42"/>
      <c r="AQ3510" s="74"/>
      <c r="AR3510" s="77"/>
      <c r="AT3510" s="497">
        <v>66.92</v>
      </c>
      <c r="AV3510" s="42"/>
      <c r="AW3510" s="74"/>
      <c r="AX3510" s="77"/>
      <c r="BA3510" s="497">
        <v>62.06</v>
      </c>
      <c r="BB3510" s="42"/>
      <c r="BC3510" s="74"/>
      <c r="BD3510" s="77"/>
      <c r="BF3510">
        <v>68</v>
      </c>
      <c r="BH3510" s="42"/>
      <c r="BI3510" s="74"/>
      <c r="BJ3510" s="77"/>
      <c r="BL3510" s="497">
        <v>78.98</v>
      </c>
      <c r="BN3510" s="42"/>
      <c r="BO3510" s="74"/>
      <c r="BP3510" s="77"/>
      <c r="BR3510" s="497">
        <v>71.960000000000008</v>
      </c>
      <c r="BT3510" s="42"/>
    </row>
    <row r="3511" spans="1:72" x14ac:dyDescent="0.25">
      <c r="A3511" s="90">
        <v>36306</v>
      </c>
      <c r="B3511" s="20">
        <v>0.54166666666666663</v>
      </c>
      <c r="D3511">
        <v>68</v>
      </c>
      <c r="E3511" t="str">
        <f t="shared" si="144"/>
        <v>WEEKDAY</v>
      </c>
      <c r="F3511" t="e">
        <f t="shared" si="145"/>
        <v>#N/A</v>
      </c>
      <c r="G3511" s="74">
        <v>31923</v>
      </c>
      <c r="H3511" s="77">
        <v>0.54166666666666663</v>
      </c>
      <c r="J3511">
        <v>62.06</v>
      </c>
      <c r="M3511" s="74">
        <v>34480</v>
      </c>
      <c r="N3511" s="77">
        <v>0.54166666666666663</v>
      </c>
      <c r="P3511">
        <v>66.92</v>
      </c>
      <c r="S3511" s="74">
        <v>36306</v>
      </c>
      <c r="T3511" s="77">
        <v>0.54166666666666663</v>
      </c>
      <c r="V3511">
        <v>71.960000000000008</v>
      </c>
      <c r="X3511" s="42"/>
      <c r="AB3511">
        <v>69.2</v>
      </c>
      <c r="AC3511">
        <v>57.92</v>
      </c>
      <c r="AE3511" s="74"/>
      <c r="AF3511" s="77"/>
      <c r="AH3511" s="497">
        <v>68</v>
      </c>
      <c r="AJ3511" s="42"/>
      <c r="AK3511" s="74"/>
      <c r="AL3511" s="77"/>
      <c r="AN3511" s="497">
        <v>57.92</v>
      </c>
      <c r="AP3511" s="42"/>
      <c r="AQ3511" s="74"/>
      <c r="AR3511" s="77"/>
      <c r="AT3511" s="497">
        <v>68</v>
      </c>
      <c r="AV3511" s="42"/>
      <c r="AW3511" s="74"/>
      <c r="AX3511" s="77"/>
      <c r="BA3511" s="497">
        <v>62.96</v>
      </c>
      <c r="BB3511" s="42"/>
      <c r="BC3511" s="74"/>
      <c r="BD3511" s="77"/>
      <c r="BF3511">
        <v>68</v>
      </c>
      <c r="BH3511" s="42"/>
      <c r="BI3511" s="74"/>
      <c r="BJ3511" s="77"/>
      <c r="BL3511" s="497">
        <v>80.06</v>
      </c>
      <c r="BN3511" s="42"/>
      <c r="BO3511" s="74"/>
      <c r="BP3511" s="77"/>
      <c r="BR3511" s="497">
        <v>73.039999999999992</v>
      </c>
      <c r="BT3511" s="42"/>
    </row>
    <row r="3512" spans="1:72" x14ac:dyDescent="0.25">
      <c r="A3512" s="90">
        <v>36306</v>
      </c>
      <c r="B3512" s="20">
        <v>0.58333333333333337</v>
      </c>
      <c r="D3512">
        <v>71.06</v>
      </c>
      <c r="E3512" t="str">
        <f t="shared" si="144"/>
        <v>WEEKDAY</v>
      </c>
      <c r="F3512" t="e">
        <f t="shared" si="145"/>
        <v>#N/A</v>
      </c>
      <c r="G3512" s="74">
        <v>31923</v>
      </c>
      <c r="H3512" s="77">
        <v>0.58333333333333337</v>
      </c>
      <c r="J3512">
        <v>62.06</v>
      </c>
      <c r="M3512" s="74">
        <v>34480</v>
      </c>
      <c r="N3512" s="77">
        <v>0.58333333333333337</v>
      </c>
      <c r="P3512">
        <v>68</v>
      </c>
      <c r="S3512" s="74">
        <v>36306</v>
      </c>
      <c r="T3512" s="77">
        <v>0.58333333333333337</v>
      </c>
      <c r="V3512">
        <v>71.960000000000008</v>
      </c>
      <c r="X3512" s="42"/>
      <c r="AB3512">
        <v>69.5</v>
      </c>
      <c r="AC3512">
        <v>57.92</v>
      </c>
      <c r="AE3512" s="74"/>
      <c r="AF3512" s="77"/>
      <c r="AH3512" s="497">
        <v>69.800000000000011</v>
      </c>
      <c r="AJ3512" s="42"/>
      <c r="AK3512" s="74"/>
      <c r="AL3512" s="77"/>
      <c r="AN3512" s="497">
        <v>59</v>
      </c>
      <c r="AP3512" s="42"/>
      <c r="AQ3512" s="74"/>
      <c r="AR3512" s="77"/>
      <c r="AT3512" s="497">
        <v>69.080000000000013</v>
      </c>
      <c r="AV3512" s="42"/>
      <c r="AW3512" s="74"/>
      <c r="AX3512" s="77"/>
      <c r="BA3512" s="497">
        <v>62.06</v>
      </c>
      <c r="BB3512" s="42"/>
      <c r="BC3512" s="74"/>
      <c r="BD3512" s="77"/>
      <c r="BF3512">
        <v>71.06</v>
      </c>
      <c r="BH3512" s="42"/>
      <c r="BI3512" s="74"/>
      <c r="BJ3512" s="77"/>
      <c r="BL3512" s="497">
        <v>80.06</v>
      </c>
      <c r="BN3512" s="42"/>
      <c r="BO3512" s="74"/>
      <c r="BP3512" s="77"/>
      <c r="BR3512" s="497">
        <v>73.94</v>
      </c>
      <c r="BT3512" s="42"/>
    </row>
    <row r="3513" spans="1:72" x14ac:dyDescent="0.25">
      <c r="A3513" s="90">
        <v>36306</v>
      </c>
      <c r="B3513" s="20">
        <v>0.625</v>
      </c>
      <c r="D3513">
        <v>71.960000000000008</v>
      </c>
      <c r="E3513" t="str">
        <f t="shared" si="144"/>
        <v>WEEKDAY</v>
      </c>
      <c r="F3513" t="e">
        <f t="shared" si="145"/>
        <v>#N/A</v>
      </c>
      <c r="G3513" s="74">
        <v>31923</v>
      </c>
      <c r="H3513" s="77">
        <v>0.625</v>
      </c>
      <c r="J3513">
        <v>62.06</v>
      </c>
      <c r="M3513" s="74">
        <v>34480</v>
      </c>
      <c r="N3513" s="77">
        <v>0.625</v>
      </c>
      <c r="P3513">
        <v>68</v>
      </c>
      <c r="S3513" s="74">
        <v>36306</v>
      </c>
      <c r="T3513" s="77">
        <v>0.625</v>
      </c>
      <c r="V3513">
        <v>71.06</v>
      </c>
      <c r="X3513" s="42"/>
      <c r="AB3513">
        <v>69.400000000000006</v>
      </c>
      <c r="AC3513">
        <v>57.92</v>
      </c>
      <c r="AE3513" s="74"/>
      <c r="AF3513" s="77"/>
      <c r="AH3513" s="497">
        <v>71.599999999999994</v>
      </c>
      <c r="AJ3513" s="42"/>
      <c r="AK3513" s="74"/>
      <c r="AL3513" s="77"/>
      <c r="AN3513" s="497">
        <v>60.980000000000004</v>
      </c>
      <c r="AP3513" s="42"/>
      <c r="AQ3513" s="74"/>
      <c r="AR3513" s="77"/>
      <c r="AT3513" s="497">
        <v>68</v>
      </c>
      <c r="AV3513" s="42"/>
      <c r="AW3513" s="74"/>
      <c r="AX3513" s="77"/>
      <c r="BA3513" s="497">
        <v>62.96</v>
      </c>
      <c r="BB3513" s="42"/>
      <c r="BC3513" s="74"/>
      <c r="BD3513" s="77"/>
      <c r="BF3513">
        <v>71.06</v>
      </c>
      <c r="BH3513" s="42"/>
      <c r="BI3513" s="74"/>
      <c r="BJ3513" s="77"/>
      <c r="BL3513" s="497">
        <v>80.06</v>
      </c>
      <c r="BN3513" s="42"/>
      <c r="BO3513" s="74"/>
      <c r="BP3513" s="77"/>
      <c r="BR3513" s="497">
        <v>75.02</v>
      </c>
      <c r="BT3513" s="42"/>
    </row>
    <row r="3514" spans="1:72" x14ac:dyDescent="0.25">
      <c r="A3514" s="90">
        <v>36306</v>
      </c>
      <c r="B3514" s="20">
        <v>0.66666666666666663</v>
      </c>
      <c r="D3514">
        <v>73.039999999999992</v>
      </c>
      <c r="E3514" t="str">
        <f t="shared" si="144"/>
        <v>WEEKDAY</v>
      </c>
      <c r="F3514" t="e">
        <f t="shared" si="145"/>
        <v>#N/A</v>
      </c>
      <c r="G3514" s="74">
        <v>31923</v>
      </c>
      <c r="H3514" s="77">
        <v>0.66666666666666663</v>
      </c>
      <c r="J3514">
        <v>62.96</v>
      </c>
      <c r="M3514" s="74">
        <v>34480</v>
      </c>
      <c r="N3514" s="77">
        <v>0.66666666666666663</v>
      </c>
      <c r="P3514">
        <v>69.98</v>
      </c>
      <c r="S3514" s="74">
        <v>36306</v>
      </c>
      <c r="T3514" s="77">
        <v>0.66666666666666663</v>
      </c>
      <c r="V3514">
        <v>69.98</v>
      </c>
      <c r="X3514" s="42"/>
      <c r="AB3514">
        <v>68.8</v>
      </c>
      <c r="AC3514">
        <v>59</v>
      </c>
      <c r="AE3514" s="74"/>
      <c r="AF3514" s="77"/>
      <c r="AH3514" s="497">
        <v>69.800000000000011</v>
      </c>
      <c r="AJ3514" s="42"/>
      <c r="AK3514" s="74"/>
      <c r="AL3514" s="77"/>
      <c r="AN3514" s="497">
        <v>62.06</v>
      </c>
      <c r="AP3514" s="42"/>
      <c r="AQ3514" s="74"/>
      <c r="AR3514" s="77"/>
      <c r="AT3514" s="497">
        <v>71.06</v>
      </c>
      <c r="AV3514" s="42"/>
      <c r="AW3514" s="74"/>
      <c r="AX3514" s="77"/>
      <c r="BA3514" s="497">
        <v>62.06</v>
      </c>
      <c r="BB3514" s="42"/>
      <c r="BC3514" s="74"/>
      <c r="BD3514" s="77"/>
      <c r="BF3514">
        <v>71.06</v>
      </c>
      <c r="BH3514" s="42"/>
      <c r="BI3514" s="74"/>
      <c r="BJ3514" s="77"/>
      <c r="BL3514" s="497">
        <v>78.98</v>
      </c>
      <c r="BN3514" s="42"/>
      <c r="BO3514" s="74"/>
      <c r="BP3514" s="77"/>
      <c r="BR3514" s="497">
        <v>75.92</v>
      </c>
      <c r="BT3514" s="42"/>
    </row>
    <row r="3515" spans="1:72" x14ac:dyDescent="0.25">
      <c r="A3515" s="90">
        <v>36306</v>
      </c>
      <c r="B3515" s="20">
        <v>0.70833333333333337</v>
      </c>
      <c r="D3515">
        <v>73.94</v>
      </c>
      <c r="E3515" t="str">
        <f t="shared" si="144"/>
        <v>WEEKDAY</v>
      </c>
      <c r="F3515" t="e">
        <f t="shared" si="145"/>
        <v>#N/A</v>
      </c>
      <c r="G3515" s="74">
        <v>31923</v>
      </c>
      <c r="H3515" s="77">
        <v>0.70833333333333337</v>
      </c>
      <c r="J3515">
        <v>62.06</v>
      </c>
      <c r="M3515" s="74">
        <v>34480</v>
      </c>
      <c r="N3515" s="77">
        <v>0.70833333333333337</v>
      </c>
      <c r="P3515">
        <v>68</v>
      </c>
      <c r="S3515" s="74">
        <v>36306</v>
      </c>
      <c r="T3515" s="77">
        <v>0.70833333333333337</v>
      </c>
      <c r="V3515">
        <v>69.98</v>
      </c>
      <c r="X3515" s="42"/>
      <c r="AB3515">
        <v>68</v>
      </c>
      <c r="AC3515">
        <v>60.08</v>
      </c>
      <c r="AE3515" s="74"/>
      <c r="AF3515" s="77"/>
      <c r="AH3515" s="497">
        <v>69.800000000000011</v>
      </c>
      <c r="AJ3515" s="42"/>
      <c r="AK3515" s="74"/>
      <c r="AL3515" s="77"/>
      <c r="AN3515" s="497">
        <v>62.06</v>
      </c>
      <c r="AP3515" s="42"/>
      <c r="AQ3515" s="74"/>
      <c r="AR3515" s="77"/>
      <c r="AT3515" s="497">
        <v>68</v>
      </c>
      <c r="AV3515" s="42"/>
      <c r="AW3515" s="74"/>
      <c r="AX3515" s="77"/>
      <c r="BA3515" s="497">
        <v>62.06</v>
      </c>
      <c r="BB3515" s="42"/>
      <c r="BC3515" s="74"/>
      <c r="BD3515" s="77"/>
      <c r="BF3515">
        <v>69.98</v>
      </c>
      <c r="BH3515" s="42"/>
      <c r="BI3515" s="74"/>
      <c r="BJ3515" s="77"/>
      <c r="BL3515" s="497">
        <v>78.080000000000013</v>
      </c>
      <c r="BN3515" s="42"/>
      <c r="BO3515" s="74"/>
      <c r="BP3515" s="77"/>
      <c r="BR3515" s="497">
        <v>75.92</v>
      </c>
      <c r="BT3515" s="42"/>
    </row>
    <row r="3516" spans="1:72" x14ac:dyDescent="0.25">
      <c r="A3516" s="90">
        <v>36306</v>
      </c>
      <c r="B3516" s="20">
        <v>0.75</v>
      </c>
      <c r="D3516">
        <v>75.92</v>
      </c>
      <c r="E3516" t="str">
        <f t="shared" si="144"/>
        <v>WEEKDAY</v>
      </c>
      <c r="F3516" t="e">
        <f t="shared" si="145"/>
        <v>#N/A</v>
      </c>
      <c r="G3516" s="74">
        <v>31923</v>
      </c>
      <c r="H3516" s="77">
        <v>0.75</v>
      </c>
      <c r="J3516">
        <v>60.08</v>
      </c>
      <c r="M3516" s="74">
        <v>34480</v>
      </c>
      <c r="N3516" s="77">
        <v>0.75</v>
      </c>
      <c r="P3516">
        <v>65.84</v>
      </c>
      <c r="S3516" s="74">
        <v>36306</v>
      </c>
      <c r="T3516" s="77">
        <v>0.75</v>
      </c>
      <c r="V3516">
        <v>68</v>
      </c>
      <c r="X3516" s="42"/>
      <c r="AB3516">
        <v>66.8</v>
      </c>
      <c r="AC3516">
        <v>60.08</v>
      </c>
      <c r="AE3516" s="74"/>
      <c r="AF3516" s="77"/>
      <c r="AH3516" s="497">
        <v>66.2</v>
      </c>
      <c r="AJ3516" s="42"/>
      <c r="AK3516" s="74"/>
      <c r="AL3516" s="77"/>
      <c r="AN3516" s="497">
        <v>62.06</v>
      </c>
      <c r="AP3516" s="42"/>
      <c r="AQ3516" s="74"/>
      <c r="AR3516" s="77"/>
      <c r="AT3516" s="497">
        <v>64.94</v>
      </c>
      <c r="AV3516" s="42"/>
      <c r="AW3516" s="74"/>
      <c r="AX3516" s="77"/>
      <c r="BA3516" s="497">
        <v>62.06</v>
      </c>
      <c r="BB3516" s="42"/>
      <c r="BC3516" s="74"/>
      <c r="BD3516" s="77"/>
      <c r="BF3516">
        <v>69.080000000000013</v>
      </c>
      <c r="BH3516" s="42"/>
      <c r="BI3516" s="74"/>
      <c r="BJ3516" s="77"/>
      <c r="BL3516" s="497">
        <v>77</v>
      </c>
      <c r="BN3516" s="42"/>
      <c r="BO3516" s="74"/>
      <c r="BP3516" s="77"/>
      <c r="BR3516" s="497">
        <v>75.02</v>
      </c>
      <c r="BT3516" s="42"/>
    </row>
    <row r="3517" spans="1:72" x14ac:dyDescent="0.25">
      <c r="A3517" s="90">
        <v>36306</v>
      </c>
      <c r="B3517" s="20">
        <v>0.79166666666666663</v>
      </c>
      <c r="D3517">
        <v>68</v>
      </c>
      <c r="E3517" t="str">
        <f t="shared" si="144"/>
        <v>WEEKDAY</v>
      </c>
      <c r="F3517" t="e">
        <f t="shared" si="145"/>
        <v>#N/A</v>
      </c>
      <c r="G3517" s="74">
        <v>31923</v>
      </c>
      <c r="H3517" s="77">
        <v>0.79166666666666663</v>
      </c>
      <c r="J3517">
        <v>59</v>
      </c>
      <c r="M3517" s="74">
        <v>34480</v>
      </c>
      <c r="N3517" s="77">
        <v>0.79166666666666663</v>
      </c>
      <c r="P3517">
        <v>66.92</v>
      </c>
      <c r="S3517" s="74">
        <v>36306</v>
      </c>
      <c r="T3517" s="77">
        <v>0.79166666666666663</v>
      </c>
      <c r="V3517">
        <v>66.92</v>
      </c>
      <c r="X3517" s="42"/>
      <c r="AB3517">
        <v>65.5</v>
      </c>
      <c r="AC3517">
        <v>59</v>
      </c>
      <c r="AE3517" s="74"/>
      <c r="AF3517" s="77"/>
      <c r="AH3517" s="497">
        <v>64.400000000000006</v>
      </c>
      <c r="AJ3517" s="42"/>
      <c r="AK3517" s="74"/>
      <c r="AL3517" s="77"/>
      <c r="AN3517" s="497">
        <v>60.08</v>
      </c>
      <c r="AP3517" s="42"/>
      <c r="AQ3517" s="74"/>
      <c r="AR3517" s="77"/>
      <c r="AT3517" s="497">
        <v>62.96</v>
      </c>
      <c r="AV3517" s="42"/>
      <c r="AW3517" s="74"/>
      <c r="AX3517" s="77"/>
      <c r="BA3517" s="497">
        <v>62.06</v>
      </c>
      <c r="BB3517" s="42"/>
      <c r="BC3517" s="74"/>
      <c r="BD3517" s="77"/>
      <c r="BF3517">
        <v>66.92</v>
      </c>
      <c r="BH3517" s="42"/>
      <c r="BI3517" s="74"/>
      <c r="BJ3517" s="77"/>
      <c r="BL3517" s="497">
        <v>75.02</v>
      </c>
      <c r="BN3517" s="42"/>
      <c r="BO3517" s="74"/>
      <c r="BP3517" s="77"/>
      <c r="BR3517" s="497">
        <v>73.039999999999992</v>
      </c>
      <c r="BT3517" s="42"/>
    </row>
    <row r="3518" spans="1:72" x14ac:dyDescent="0.25">
      <c r="A3518" s="90">
        <v>36306</v>
      </c>
      <c r="B3518" s="20">
        <v>0.83333333333333337</v>
      </c>
      <c r="D3518">
        <v>68</v>
      </c>
      <c r="E3518" t="str">
        <f t="shared" si="144"/>
        <v>WEEKDAY</v>
      </c>
      <c r="F3518" t="e">
        <f t="shared" si="145"/>
        <v>#N/A</v>
      </c>
      <c r="G3518" s="74">
        <v>31923</v>
      </c>
      <c r="H3518" s="77">
        <v>0.83333333333333337</v>
      </c>
      <c r="J3518">
        <v>57.92</v>
      </c>
      <c r="M3518" s="74">
        <v>34480</v>
      </c>
      <c r="N3518" s="77">
        <v>0.83333333333333337</v>
      </c>
      <c r="P3518">
        <v>63.86</v>
      </c>
      <c r="S3518" s="74">
        <v>36306</v>
      </c>
      <c r="T3518" s="77">
        <v>0.83333333333333337</v>
      </c>
      <c r="V3518">
        <v>64.94</v>
      </c>
      <c r="X3518" s="42"/>
      <c r="AB3518">
        <v>64</v>
      </c>
      <c r="AC3518">
        <v>57.92</v>
      </c>
      <c r="AE3518" s="74"/>
      <c r="AF3518" s="77"/>
      <c r="AH3518" s="497">
        <v>60.8</v>
      </c>
      <c r="AJ3518" s="42"/>
      <c r="AK3518" s="74"/>
      <c r="AL3518" s="77"/>
      <c r="AN3518" s="497">
        <v>57.92</v>
      </c>
      <c r="AP3518" s="42"/>
      <c r="AQ3518" s="74"/>
      <c r="AR3518" s="77"/>
      <c r="AT3518" s="497">
        <v>62.96</v>
      </c>
      <c r="AV3518" s="42"/>
      <c r="AW3518" s="74"/>
      <c r="AX3518" s="77"/>
      <c r="BA3518" s="497">
        <v>62.06</v>
      </c>
      <c r="BB3518" s="42"/>
      <c r="BC3518" s="74"/>
      <c r="BD3518" s="77"/>
      <c r="BF3518">
        <v>64.039999999999992</v>
      </c>
      <c r="BH3518" s="42"/>
      <c r="BI3518" s="74"/>
      <c r="BJ3518" s="77"/>
      <c r="BL3518" s="497">
        <v>69.98</v>
      </c>
      <c r="BN3518" s="42"/>
      <c r="BO3518" s="74"/>
      <c r="BP3518" s="77"/>
      <c r="BR3518" s="497">
        <v>60.08</v>
      </c>
      <c r="BT3518" s="42"/>
    </row>
    <row r="3519" spans="1:72" x14ac:dyDescent="0.25">
      <c r="A3519" s="90">
        <v>36306</v>
      </c>
      <c r="B3519" s="20">
        <v>0.875</v>
      </c>
      <c r="D3519">
        <v>66.92</v>
      </c>
      <c r="E3519" t="str">
        <f t="shared" si="144"/>
        <v>WEEKDAY</v>
      </c>
      <c r="F3519" t="e">
        <f t="shared" si="145"/>
        <v>#N/A</v>
      </c>
      <c r="G3519" s="74">
        <v>31923</v>
      </c>
      <c r="H3519" s="77">
        <v>0.875</v>
      </c>
      <c r="J3519">
        <v>57.92</v>
      </c>
      <c r="M3519" s="74">
        <v>34480</v>
      </c>
      <c r="N3519" s="77">
        <v>0.875</v>
      </c>
      <c r="P3519">
        <v>63.86</v>
      </c>
      <c r="S3519" s="74">
        <v>36306</v>
      </c>
      <c r="T3519" s="77">
        <v>0.875</v>
      </c>
      <c r="V3519">
        <v>64.039999999999992</v>
      </c>
      <c r="X3519" s="42"/>
      <c r="AB3519">
        <v>62.9</v>
      </c>
      <c r="AC3519">
        <v>57.92</v>
      </c>
      <c r="AE3519" s="74"/>
      <c r="AF3519" s="77"/>
      <c r="AH3519" s="497">
        <v>59</v>
      </c>
      <c r="AJ3519" s="42"/>
      <c r="AK3519" s="74"/>
      <c r="AL3519" s="77"/>
      <c r="AN3519" s="497">
        <v>57.019999999999996</v>
      </c>
      <c r="AP3519" s="42"/>
      <c r="AQ3519" s="74"/>
      <c r="AR3519" s="77"/>
      <c r="AT3519" s="497">
        <v>62.96</v>
      </c>
      <c r="AV3519" s="42"/>
      <c r="AW3519" s="74"/>
      <c r="AX3519" s="77"/>
      <c r="BA3519" s="497">
        <v>60.980000000000004</v>
      </c>
      <c r="BB3519" s="42"/>
      <c r="BC3519" s="74"/>
      <c r="BD3519" s="77"/>
      <c r="BF3519">
        <v>59</v>
      </c>
      <c r="BH3519" s="42"/>
      <c r="BI3519" s="74"/>
      <c r="BJ3519" s="77"/>
      <c r="BL3519" s="497">
        <v>66.02</v>
      </c>
      <c r="BN3519" s="42"/>
      <c r="BO3519" s="74"/>
      <c r="BP3519" s="77"/>
      <c r="BR3519" s="497">
        <v>55.94</v>
      </c>
      <c r="BT3519" s="42"/>
    </row>
    <row r="3520" spans="1:72" x14ac:dyDescent="0.25">
      <c r="A3520" s="90">
        <v>36306</v>
      </c>
      <c r="B3520" s="20">
        <v>0.91666666666666663</v>
      </c>
      <c r="D3520">
        <v>66.02</v>
      </c>
      <c r="E3520" t="str">
        <f t="shared" si="144"/>
        <v>WEEKDAY</v>
      </c>
      <c r="F3520" t="e">
        <f t="shared" si="145"/>
        <v>#N/A</v>
      </c>
      <c r="G3520" s="74">
        <v>31923</v>
      </c>
      <c r="H3520" s="77">
        <v>0.91666666666666663</v>
      </c>
      <c r="J3520">
        <v>57.92</v>
      </c>
      <c r="M3520" s="74">
        <v>34480</v>
      </c>
      <c r="N3520" s="77">
        <v>0.91666666666666663</v>
      </c>
      <c r="P3520">
        <v>62.96</v>
      </c>
      <c r="S3520" s="74">
        <v>36306</v>
      </c>
      <c r="T3520" s="77">
        <v>0.91666666666666663</v>
      </c>
      <c r="V3520">
        <v>62.96</v>
      </c>
      <c r="X3520" s="42"/>
      <c r="AB3520">
        <v>62.3</v>
      </c>
      <c r="AC3520">
        <v>57.019999999999996</v>
      </c>
      <c r="AE3520" s="74"/>
      <c r="AF3520" s="77"/>
      <c r="AH3520" s="497">
        <v>53.6</v>
      </c>
      <c r="AJ3520" s="42"/>
      <c r="AK3520" s="74"/>
      <c r="AL3520" s="77"/>
      <c r="AN3520" s="497">
        <v>53.96</v>
      </c>
      <c r="AP3520" s="42"/>
      <c r="AQ3520" s="74"/>
      <c r="AR3520" s="77"/>
      <c r="AT3520" s="497">
        <v>62.96</v>
      </c>
      <c r="AV3520" s="42"/>
      <c r="AW3520" s="74"/>
      <c r="AX3520" s="77"/>
      <c r="BA3520" s="497">
        <v>60.08</v>
      </c>
      <c r="BB3520" s="42"/>
      <c r="BC3520" s="74"/>
      <c r="BD3520" s="77"/>
      <c r="BF3520">
        <v>55.94</v>
      </c>
      <c r="BH3520" s="42"/>
      <c r="BI3520" s="74"/>
      <c r="BJ3520" s="77"/>
      <c r="BL3520" s="497">
        <v>62.06</v>
      </c>
      <c r="BN3520" s="42"/>
      <c r="BO3520" s="74"/>
      <c r="BP3520" s="77"/>
      <c r="BR3520" s="497">
        <v>53.06</v>
      </c>
      <c r="BT3520" s="42"/>
    </row>
    <row r="3521" spans="1:72" x14ac:dyDescent="0.25">
      <c r="A3521" s="90">
        <v>36306</v>
      </c>
      <c r="B3521" s="20">
        <v>0.95833333333333337</v>
      </c>
      <c r="D3521">
        <v>66.02</v>
      </c>
      <c r="E3521" t="str">
        <f t="shared" si="144"/>
        <v>WEEKDAY</v>
      </c>
      <c r="F3521" t="e">
        <f t="shared" si="145"/>
        <v>#N/A</v>
      </c>
      <c r="G3521" s="74">
        <v>31923</v>
      </c>
      <c r="H3521" s="77">
        <v>0.95833333333333337</v>
      </c>
      <c r="J3521">
        <v>57.92</v>
      </c>
      <c r="M3521" s="74">
        <v>34480</v>
      </c>
      <c r="N3521" s="77">
        <v>0.95833333333333337</v>
      </c>
      <c r="P3521">
        <v>61.88</v>
      </c>
      <c r="S3521" s="74">
        <v>36306</v>
      </c>
      <c r="T3521" s="77">
        <v>0.95833333333333337</v>
      </c>
      <c r="V3521">
        <v>62.06</v>
      </c>
      <c r="X3521" s="42"/>
      <c r="AB3521">
        <v>61.8</v>
      </c>
      <c r="AC3521">
        <v>55.94</v>
      </c>
      <c r="AE3521" s="74"/>
      <c r="AF3521" s="77"/>
      <c r="AH3521" s="497">
        <v>51.8</v>
      </c>
      <c r="AJ3521" s="42"/>
      <c r="AK3521" s="74"/>
      <c r="AL3521" s="77"/>
      <c r="AN3521" s="497">
        <v>53.06</v>
      </c>
      <c r="AP3521" s="42"/>
      <c r="AQ3521" s="74"/>
      <c r="AR3521" s="77"/>
      <c r="AT3521" s="497">
        <v>64.039999999999992</v>
      </c>
      <c r="AV3521" s="42"/>
      <c r="AW3521" s="74"/>
      <c r="AX3521" s="77"/>
      <c r="BA3521" s="497">
        <v>60.980000000000004</v>
      </c>
      <c r="BB3521" s="42"/>
      <c r="BC3521" s="74"/>
      <c r="BD3521" s="77"/>
      <c r="BF3521">
        <v>55.94</v>
      </c>
      <c r="BH3521" s="42"/>
      <c r="BI3521" s="74"/>
      <c r="BJ3521" s="77"/>
      <c r="BL3521" s="497">
        <v>59</v>
      </c>
      <c r="BN3521" s="42"/>
      <c r="BO3521" s="74"/>
      <c r="BP3521" s="77"/>
      <c r="BR3521" s="497">
        <v>51.08</v>
      </c>
      <c r="BT3521" s="42"/>
    </row>
    <row r="3522" spans="1:72" x14ac:dyDescent="0.25">
      <c r="A3522" s="90">
        <v>36306</v>
      </c>
      <c r="B3522" s="20">
        <v>1</v>
      </c>
      <c r="D3522">
        <v>66.02</v>
      </c>
      <c r="E3522" t="str">
        <f t="shared" si="144"/>
        <v>WEEKDAY</v>
      </c>
      <c r="F3522" t="e">
        <f t="shared" si="145"/>
        <v>#N/A</v>
      </c>
      <c r="G3522" s="74">
        <v>31923</v>
      </c>
      <c r="H3522" s="77">
        <v>1</v>
      </c>
      <c r="J3522">
        <v>57.92</v>
      </c>
      <c r="M3522" s="74">
        <v>34480</v>
      </c>
      <c r="N3522" s="80">
        <v>1</v>
      </c>
      <c r="P3522">
        <v>61.88</v>
      </c>
      <c r="S3522" s="74">
        <v>36306</v>
      </c>
      <c r="T3522" s="80">
        <v>1</v>
      </c>
      <c r="V3522">
        <v>60.980000000000004</v>
      </c>
      <c r="X3522" s="42"/>
      <c r="AB3522">
        <v>61.3</v>
      </c>
      <c r="AC3522">
        <v>55.94</v>
      </c>
      <c r="AE3522" s="74"/>
      <c r="AF3522" s="80"/>
      <c r="AH3522" s="497">
        <v>51.8</v>
      </c>
      <c r="AJ3522" s="42"/>
      <c r="AK3522" s="74"/>
      <c r="AL3522" s="80"/>
      <c r="AN3522" s="497">
        <v>53.06</v>
      </c>
      <c r="AP3522" s="42"/>
      <c r="AQ3522" s="74"/>
      <c r="AR3522" s="80"/>
      <c r="AT3522" s="497">
        <v>64.039999999999992</v>
      </c>
      <c r="AV3522" s="42"/>
      <c r="AW3522" s="74"/>
      <c r="AX3522" s="80"/>
      <c r="BA3522" s="497">
        <v>60.980000000000004</v>
      </c>
      <c r="BB3522" s="42"/>
      <c r="BC3522" s="74"/>
      <c r="BD3522" s="80"/>
      <c r="BF3522">
        <v>53.96</v>
      </c>
      <c r="BH3522" s="42"/>
      <c r="BI3522" s="74"/>
      <c r="BJ3522" s="80"/>
      <c r="BL3522" s="497">
        <v>57.92</v>
      </c>
      <c r="BN3522" s="42"/>
      <c r="BO3522" s="74"/>
      <c r="BP3522" s="80"/>
      <c r="BR3522" s="497">
        <v>50</v>
      </c>
      <c r="BT3522" s="42"/>
    </row>
    <row r="3523" spans="1:72" x14ac:dyDescent="0.25">
      <c r="A3523" s="90">
        <v>36307</v>
      </c>
      <c r="B3523" s="20">
        <v>4.1666666666666664E-2</v>
      </c>
      <c r="D3523">
        <v>66.02</v>
      </c>
      <c r="E3523" t="str">
        <f t="shared" si="144"/>
        <v>WEEKDAY</v>
      </c>
      <c r="F3523" t="e">
        <f t="shared" si="145"/>
        <v>#N/A</v>
      </c>
      <c r="G3523" s="74">
        <v>31924</v>
      </c>
      <c r="H3523" s="77">
        <v>4.1666666666666664E-2</v>
      </c>
      <c r="J3523">
        <v>57.019999999999996</v>
      </c>
      <c r="M3523" s="74">
        <v>34481</v>
      </c>
      <c r="N3523" s="77">
        <v>4.1666666666666664E-2</v>
      </c>
      <c r="P3523">
        <v>60.980000000000004</v>
      </c>
      <c r="S3523" s="74">
        <v>36307</v>
      </c>
      <c r="T3523" s="77">
        <v>4.1666666666666664E-2</v>
      </c>
      <c r="V3523">
        <v>60.08</v>
      </c>
      <c r="X3523" s="42"/>
      <c r="AB3523">
        <v>60.7</v>
      </c>
      <c r="AC3523">
        <v>55.94</v>
      </c>
      <c r="AE3523" s="74"/>
      <c r="AF3523" s="77"/>
      <c r="AH3523" s="497">
        <v>51.8</v>
      </c>
      <c r="AJ3523" s="42"/>
      <c r="AK3523" s="74"/>
      <c r="AL3523" s="77"/>
      <c r="AN3523" s="497">
        <v>51.980000000000004</v>
      </c>
      <c r="AP3523" s="42"/>
      <c r="AQ3523" s="74"/>
      <c r="AR3523" s="77"/>
      <c r="AT3523" s="497">
        <v>64.039999999999992</v>
      </c>
      <c r="AV3523" s="42"/>
      <c r="AW3523" s="74"/>
      <c r="AX3523" s="77"/>
      <c r="BA3523" s="497">
        <v>62.96</v>
      </c>
      <c r="BB3523" s="42"/>
      <c r="BC3523" s="74"/>
      <c r="BD3523" s="77"/>
      <c r="BF3523">
        <v>51.08</v>
      </c>
      <c r="BH3523" s="42"/>
      <c r="BI3523" s="74"/>
      <c r="BJ3523" s="77"/>
      <c r="BL3523" s="497">
        <v>55.94</v>
      </c>
      <c r="BN3523" s="42"/>
      <c r="BO3523" s="74"/>
      <c r="BP3523" s="77"/>
      <c r="BR3523" s="497">
        <v>50</v>
      </c>
      <c r="BT3523" s="42"/>
    </row>
    <row r="3524" spans="1:72" x14ac:dyDescent="0.25">
      <c r="A3524" s="90">
        <v>36307</v>
      </c>
      <c r="B3524" s="20">
        <v>8.3333333333333329E-2</v>
      </c>
      <c r="D3524">
        <v>64.039999999999992</v>
      </c>
      <c r="E3524" t="str">
        <f t="shared" si="144"/>
        <v>WEEKDAY</v>
      </c>
      <c r="F3524" t="e">
        <f t="shared" si="145"/>
        <v>#N/A</v>
      </c>
      <c r="G3524" s="74">
        <v>31924</v>
      </c>
      <c r="H3524" s="77">
        <v>8.3333333333333329E-2</v>
      </c>
      <c r="J3524">
        <v>57.019999999999996</v>
      </c>
      <c r="M3524" s="74">
        <v>34481</v>
      </c>
      <c r="N3524" s="77">
        <v>8.3333333333333329E-2</v>
      </c>
      <c r="P3524">
        <v>60.980000000000004</v>
      </c>
      <c r="S3524" s="74">
        <v>36307</v>
      </c>
      <c r="T3524" s="77">
        <v>8.3333333333333329E-2</v>
      </c>
      <c r="V3524">
        <v>59</v>
      </c>
      <c r="X3524" s="42"/>
      <c r="AB3524">
        <v>60.1</v>
      </c>
      <c r="AC3524">
        <v>55.94</v>
      </c>
      <c r="AE3524" s="74"/>
      <c r="AF3524" s="77"/>
      <c r="AH3524" s="497">
        <v>51.8</v>
      </c>
      <c r="AJ3524" s="42"/>
      <c r="AK3524" s="74"/>
      <c r="AL3524" s="77"/>
      <c r="AN3524" s="497">
        <v>50</v>
      </c>
      <c r="AP3524" s="42"/>
      <c r="AQ3524" s="74"/>
      <c r="AR3524" s="77"/>
      <c r="AT3524" s="497">
        <v>64.039999999999992</v>
      </c>
      <c r="AV3524" s="42"/>
      <c r="AW3524" s="74"/>
      <c r="AX3524" s="77"/>
      <c r="BA3524" s="497">
        <v>62.06</v>
      </c>
      <c r="BB3524" s="42"/>
      <c r="BC3524" s="74"/>
      <c r="BD3524" s="77"/>
      <c r="BF3524">
        <v>50</v>
      </c>
      <c r="BH3524" s="42"/>
      <c r="BI3524" s="74"/>
      <c r="BJ3524" s="77"/>
      <c r="BL3524" s="497">
        <v>55.040000000000006</v>
      </c>
      <c r="BN3524" s="42"/>
      <c r="BO3524" s="74"/>
      <c r="BP3524" s="77"/>
      <c r="BR3524" s="497">
        <v>48.92</v>
      </c>
      <c r="BT3524" s="42"/>
    </row>
    <row r="3525" spans="1:72" x14ac:dyDescent="0.25">
      <c r="A3525" s="90">
        <v>36307</v>
      </c>
      <c r="B3525" s="20">
        <v>0.125</v>
      </c>
      <c r="D3525">
        <v>60.08</v>
      </c>
      <c r="E3525" t="str">
        <f t="shared" si="144"/>
        <v>WEEKDAY</v>
      </c>
      <c r="F3525" t="e">
        <f t="shared" si="145"/>
        <v>#N/A</v>
      </c>
      <c r="G3525" s="74">
        <v>31924</v>
      </c>
      <c r="H3525" s="77">
        <v>0.125</v>
      </c>
      <c r="J3525">
        <v>57.019999999999996</v>
      </c>
      <c r="M3525" s="74">
        <v>34481</v>
      </c>
      <c r="N3525" s="77">
        <v>0.125</v>
      </c>
      <c r="P3525">
        <v>56.84</v>
      </c>
      <c r="S3525" s="74">
        <v>36307</v>
      </c>
      <c r="T3525" s="77">
        <v>0.125</v>
      </c>
      <c r="V3525">
        <v>57.92</v>
      </c>
      <c r="X3525" s="42"/>
      <c r="AB3525">
        <v>59.6</v>
      </c>
      <c r="AC3525">
        <v>55.94</v>
      </c>
      <c r="AE3525" s="74"/>
      <c r="AF3525" s="77"/>
      <c r="AH3525" s="497">
        <v>51.8</v>
      </c>
      <c r="AJ3525" s="42"/>
      <c r="AK3525" s="74"/>
      <c r="AL3525" s="77"/>
      <c r="AN3525" s="497">
        <v>48.92</v>
      </c>
      <c r="AP3525" s="42"/>
      <c r="AQ3525" s="74"/>
      <c r="AR3525" s="77"/>
      <c r="AT3525" s="497">
        <v>64.039999999999992</v>
      </c>
      <c r="AV3525" s="42"/>
      <c r="AW3525" s="74"/>
      <c r="AX3525" s="77"/>
      <c r="BA3525" s="497">
        <v>62.06</v>
      </c>
      <c r="BB3525" s="42"/>
      <c r="BC3525" s="74"/>
      <c r="BD3525" s="77"/>
      <c r="BF3525">
        <v>46.04</v>
      </c>
      <c r="BH3525" s="42"/>
      <c r="BI3525" s="74"/>
      <c r="BJ3525" s="77"/>
      <c r="BL3525" s="497">
        <v>53.96</v>
      </c>
      <c r="BN3525" s="42"/>
      <c r="BO3525" s="74"/>
      <c r="BP3525" s="77"/>
      <c r="BR3525" s="497">
        <v>48.92</v>
      </c>
      <c r="BT3525" s="42"/>
    </row>
    <row r="3526" spans="1:72" x14ac:dyDescent="0.25">
      <c r="A3526" s="90">
        <v>36307</v>
      </c>
      <c r="B3526" s="20">
        <v>0.16666666666666666</v>
      </c>
      <c r="D3526">
        <v>55.94</v>
      </c>
      <c r="E3526" t="str">
        <f t="shared" si="144"/>
        <v>WEEKDAY</v>
      </c>
      <c r="F3526" t="e">
        <f t="shared" si="145"/>
        <v>#N/A</v>
      </c>
      <c r="G3526" s="74">
        <v>31924</v>
      </c>
      <c r="H3526" s="77">
        <v>0.16666666666666666</v>
      </c>
      <c r="J3526">
        <v>55.94</v>
      </c>
      <c r="M3526" s="74">
        <v>34481</v>
      </c>
      <c r="N3526" s="77">
        <v>0.16666666666666666</v>
      </c>
      <c r="P3526">
        <v>51.980000000000004</v>
      </c>
      <c r="S3526" s="74">
        <v>36307</v>
      </c>
      <c r="T3526" s="77">
        <v>0.16666666666666666</v>
      </c>
      <c r="V3526">
        <v>57.92</v>
      </c>
      <c r="X3526" s="42"/>
      <c r="AB3526">
        <v>59.1</v>
      </c>
      <c r="AC3526">
        <v>55.94</v>
      </c>
      <c r="AE3526" s="74"/>
      <c r="AF3526" s="77"/>
      <c r="AH3526" s="497">
        <v>48.2</v>
      </c>
      <c r="AJ3526" s="42"/>
      <c r="AK3526" s="74"/>
      <c r="AL3526" s="77"/>
      <c r="AN3526" s="497">
        <v>51.08</v>
      </c>
      <c r="AP3526" s="42"/>
      <c r="AQ3526" s="74"/>
      <c r="AR3526" s="77"/>
      <c r="AT3526" s="497">
        <v>64.039999999999992</v>
      </c>
      <c r="AV3526" s="42"/>
      <c r="AW3526" s="74"/>
      <c r="AX3526" s="77"/>
      <c r="BA3526" s="497">
        <v>60.980000000000004</v>
      </c>
      <c r="BB3526" s="42"/>
      <c r="BC3526" s="74"/>
      <c r="BD3526" s="77"/>
      <c r="BF3526">
        <v>44.96</v>
      </c>
      <c r="BH3526" s="42"/>
      <c r="BI3526" s="74"/>
      <c r="BJ3526" s="77"/>
      <c r="BL3526" s="497">
        <v>53.96</v>
      </c>
      <c r="BN3526" s="42"/>
      <c r="BO3526" s="74"/>
      <c r="BP3526" s="77"/>
      <c r="BR3526" s="497">
        <v>46.04</v>
      </c>
      <c r="BT3526" s="42"/>
    </row>
    <row r="3527" spans="1:72" x14ac:dyDescent="0.25">
      <c r="A3527" s="90">
        <v>36307</v>
      </c>
      <c r="B3527" s="20">
        <v>0.20833333333333334</v>
      </c>
      <c r="D3527">
        <v>51.980000000000004</v>
      </c>
      <c r="E3527" t="str">
        <f t="shared" si="144"/>
        <v>WEEKDAY</v>
      </c>
      <c r="F3527" t="e">
        <f t="shared" si="145"/>
        <v>#N/A</v>
      </c>
      <c r="G3527" s="74">
        <v>31924</v>
      </c>
      <c r="H3527" s="77">
        <v>0.20833333333333334</v>
      </c>
      <c r="J3527">
        <v>55.94</v>
      </c>
      <c r="M3527" s="74">
        <v>34481</v>
      </c>
      <c r="N3527" s="77">
        <v>0.20833333333333334</v>
      </c>
      <c r="P3527">
        <v>50.900000000000006</v>
      </c>
      <c r="S3527" s="74">
        <v>36307</v>
      </c>
      <c r="T3527" s="77">
        <v>0.20833333333333334</v>
      </c>
      <c r="V3527">
        <v>57.019999999999996</v>
      </c>
      <c r="X3527" s="42"/>
      <c r="AB3527">
        <v>58.8</v>
      </c>
      <c r="AC3527">
        <v>55.94</v>
      </c>
      <c r="AE3527" s="74"/>
      <c r="AF3527" s="77"/>
      <c r="AH3527" s="497">
        <v>46.4</v>
      </c>
      <c r="AJ3527" s="42"/>
      <c r="AK3527" s="74"/>
      <c r="AL3527" s="77"/>
      <c r="AN3527" s="497">
        <v>51.08</v>
      </c>
      <c r="AP3527" s="42"/>
      <c r="AQ3527" s="74"/>
      <c r="AR3527" s="77"/>
      <c r="AT3527" s="497">
        <v>62.96</v>
      </c>
      <c r="AV3527" s="42"/>
      <c r="AW3527" s="74"/>
      <c r="AX3527" s="77"/>
      <c r="BA3527" s="497">
        <v>62.96</v>
      </c>
      <c r="BB3527" s="42"/>
      <c r="BC3527" s="74"/>
      <c r="BD3527" s="77"/>
      <c r="BF3527">
        <v>46.94</v>
      </c>
      <c r="BH3527" s="42"/>
      <c r="BI3527" s="74"/>
      <c r="BJ3527" s="77"/>
      <c r="BL3527" s="497">
        <v>53.96</v>
      </c>
      <c r="BN3527" s="42"/>
      <c r="BO3527" s="74"/>
      <c r="BP3527" s="77"/>
      <c r="BR3527" s="497">
        <v>44.06</v>
      </c>
      <c r="BT3527" s="42"/>
    </row>
    <row r="3528" spans="1:72" x14ac:dyDescent="0.25">
      <c r="A3528" s="90">
        <v>36307</v>
      </c>
      <c r="B3528" s="20">
        <v>0.25</v>
      </c>
      <c r="D3528">
        <v>51.08</v>
      </c>
      <c r="E3528" t="str">
        <f t="shared" si="144"/>
        <v>WEEKDAY</v>
      </c>
      <c r="F3528" t="e">
        <f t="shared" si="145"/>
        <v>#N/A</v>
      </c>
      <c r="G3528" s="74">
        <v>31924</v>
      </c>
      <c r="H3528" s="77">
        <v>0.25</v>
      </c>
      <c r="J3528">
        <v>55.94</v>
      </c>
      <c r="M3528" s="74">
        <v>34481</v>
      </c>
      <c r="N3528" s="77">
        <v>0.25</v>
      </c>
      <c r="P3528">
        <v>48.92</v>
      </c>
      <c r="S3528" s="74">
        <v>36307</v>
      </c>
      <c r="T3528" s="77">
        <v>0.25</v>
      </c>
      <c r="V3528">
        <v>57.92</v>
      </c>
      <c r="X3528" s="42"/>
      <c r="AB3528">
        <v>58.7</v>
      </c>
      <c r="AC3528">
        <v>55.94</v>
      </c>
      <c r="AE3528" s="74"/>
      <c r="AF3528" s="77"/>
      <c r="AH3528" s="497">
        <v>46.4</v>
      </c>
      <c r="AJ3528" s="42"/>
      <c r="AK3528" s="74"/>
      <c r="AL3528" s="77"/>
      <c r="AN3528" s="497">
        <v>51.980000000000004</v>
      </c>
      <c r="AP3528" s="42"/>
      <c r="AQ3528" s="74"/>
      <c r="AR3528" s="77"/>
      <c r="AT3528" s="497">
        <v>64.039999999999992</v>
      </c>
      <c r="AV3528" s="42"/>
      <c r="AW3528" s="74"/>
      <c r="AX3528" s="77"/>
      <c r="BA3528" s="497">
        <v>66.02</v>
      </c>
      <c r="BB3528" s="42"/>
      <c r="BC3528" s="74"/>
      <c r="BD3528" s="77"/>
      <c r="BF3528">
        <v>50</v>
      </c>
      <c r="BH3528" s="42"/>
      <c r="BI3528" s="74"/>
      <c r="BJ3528" s="77"/>
      <c r="BL3528" s="497">
        <v>57.92</v>
      </c>
      <c r="BN3528" s="42"/>
      <c r="BO3528" s="74"/>
      <c r="BP3528" s="77"/>
      <c r="BR3528" s="497">
        <v>48.019999999999996</v>
      </c>
      <c r="BT3528" s="42"/>
    </row>
    <row r="3529" spans="1:72" x14ac:dyDescent="0.25">
      <c r="A3529" s="90">
        <v>36307</v>
      </c>
      <c r="B3529" s="20">
        <v>0.29166666666666669</v>
      </c>
      <c r="D3529">
        <v>50</v>
      </c>
      <c r="E3529" t="str">
        <f t="shared" si="144"/>
        <v>WEEKDAY</v>
      </c>
      <c r="F3529" t="e">
        <f t="shared" si="145"/>
        <v>#N/A</v>
      </c>
      <c r="G3529" s="74">
        <v>31924</v>
      </c>
      <c r="H3529" s="77">
        <v>0.29166666666666669</v>
      </c>
      <c r="J3529">
        <v>57.019999999999996</v>
      </c>
      <c r="M3529" s="74">
        <v>34481</v>
      </c>
      <c r="N3529" s="77">
        <v>0.29166666666666669</v>
      </c>
      <c r="P3529">
        <v>46.94</v>
      </c>
      <c r="S3529" s="74">
        <v>36307</v>
      </c>
      <c r="T3529" s="77">
        <v>0.29166666666666669</v>
      </c>
      <c r="V3529">
        <v>57.92</v>
      </c>
      <c r="X3529" s="42"/>
      <c r="AB3529">
        <v>60.1</v>
      </c>
      <c r="AC3529">
        <v>57.019999999999996</v>
      </c>
      <c r="AE3529" s="74"/>
      <c r="AF3529" s="77"/>
      <c r="AH3529" s="497">
        <v>55.400000000000006</v>
      </c>
      <c r="AJ3529" s="42"/>
      <c r="AK3529" s="74"/>
      <c r="AL3529" s="77"/>
      <c r="AN3529" s="497">
        <v>55.94</v>
      </c>
      <c r="AP3529" s="42"/>
      <c r="AQ3529" s="74"/>
      <c r="AR3529" s="77"/>
      <c r="AT3529" s="497">
        <v>66.02</v>
      </c>
      <c r="AV3529" s="42"/>
      <c r="AW3529" s="74"/>
      <c r="AX3529" s="77"/>
      <c r="BA3529" s="497">
        <v>69.080000000000013</v>
      </c>
      <c r="BB3529" s="42"/>
      <c r="BC3529" s="74"/>
      <c r="BD3529" s="77"/>
      <c r="BF3529">
        <v>55.040000000000006</v>
      </c>
      <c r="BH3529" s="42"/>
      <c r="BI3529" s="74"/>
      <c r="BJ3529" s="77"/>
      <c r="BL3529" s="497">
        <v>62.96</v>
      </c>
      <c r="BN3529" s="42"/>
      <c r="BO3529" s="74"/>
      <c r="BP3529" s="77"/>
      <c r="BR3529" s="497">
        <v>53.96</v>
      </c>
      <c r="BT3529" s="42"/>
    </row>
    <row r="3530" spans="1:72" x14ac:dyDescent="0.25">
      <c r="A3530" s="90">
        <v>36307</v>
      </c>
      <c r="B3530" s="20">
        <v>0.33333333333333331</v>
      </c>
      <c r="D3530">
        <v>50</v>
      </c>
      <c r="E3530" t="str">
        <f t="shared" si="144"/>
        <v>WEEKDAY</v>
      </c>
      <c r="F3530" t="e">
        <f t="shared" si="145"/>
        <v>#N/A</v>
      </c>
      <c r="G3530" s="74">
        <v>31924</v>
      </c>
      <c r="H3530" s="77">
        <v>0.33333333333333331</v>
      </c>
      <c r="J3530">
        <v>55.040000000000006</v>
      </c>
      <c r="M3530" s="74">
        <v>34481</v>
      </c>
      <c r="N3530" s="77">
        <v>0.33333333333333331</v>
      </c>
      <c r="P3530">
        <v>45.86</v>
      </c>
      <c r="S3530" s="74">
        <v>36307</v>
      </c>
      <c r="T3530" s="77">
        <v>0.33333333333333331</v>
      </c>
      <c r="V3530">
        <v>60.980000000000004</v>
      </c>
      <c r="X3530" s="42"/>
      <c r="AB3530">
        <v>62.1</v>
      </c>
      <c r="AC3530">
        <v>59</v>
      </c>
      <c r="AE3530" s="74"/>
      <c r="AF3530" s="77"/>
      <c r="AH3530" s="497">
        <v>60.8</v>
      </c>
      <c r="AJ3530" s="42"/>
      <c r="AK3530" s="74"/>
      <c r="AL3530" s="77"/>
      <c r="AN3530" s="497">
        <v>59</v>
      </c>
      <c r="AP3530" s="42"/>
      <c r="AQ3530" s="74"/>
      <c r="AR3530" s="77"/>
      <c r="AT3530" s="497">
        <v>68</v>
      </c>
      <c r="AV3530" s="42"/>
      <c r="AW3530" s="74"/>
      <c r="AX3530" s="77"/>
      <c r="BA3530" s="497">
        <v>69.080000000000013</v>
      </c>
      <c r="BB3530" s="42"/>
      <c r="BC3530" s="74"/>
      <c r="BD3530" s="77"/>
      <c r="BF3530">
        <v>57.92</v>
      </c>
      <c r="BH3530" s="42"/>
      <c r="BI3530" s="74"/>
      <c r="BJ3530" s="77"/>
      <c r="BL3530" s="497">
        <v>69.080000000000013</v>
      </c>
      <c r="BN3530" s="42"/>
      <c r="BO3530" s="74"/>
      <c r="BP3530" s="77"/>
      <c r="BR3530" s="497">
        <v>59</v>
      </c>
      <c r="BT3530" s="42"/>
    </row>
    <row r="3531" spans="1:72" x14ac:dyDescent="0.25">
      <c r="A3531" s="90">
        <v>36307</v>
      </c>
      <c r="B3531" s="20">
        <v>0.375</v>
      </c>
      <c r="D3531">
        <v>51.980000000000004</v>
      </c>
      <c r="E3531" t="str">
        <f t="shared" si="144"/>
        <v>WEEKDAY</v>
      </c>
      <c r="F3531" t="e">
        <f t="shared" si="145"/>
        <v>#N/A</v>
      </c>
      <c r="G3531" s="74">
        <v>31924</v>
      </c>
      <c r="H3531" s="77">
        <v>0.375</v>
      </c>
      <c r="J3531">
        <v>55.040000000000006</v>
      </c>
      <c r="M3531" s="74">
        <v>34481</v>
      </c>
      <c r="N3531" s="77">
        <v>0.375</v>
      </c>
      <c r="P3531">
        <v>47.84</v>
      </c>
      <c r="S3531" s="74">
        <v>36307</v>
      </c>
      <c r="T3531" s="77">
        <v>0.375</v>
      </c>
      <c r="V3531">
        <v>64.039999999999992</v>
      </c>
      <c r="X3531" s="42"/>
      <c r="AB3531">
        <v>64.099999999999994</v>
      </c>
      <c r="AC3531">
        <v>60.08</v>
      </c>
      <c r="AE3531" s="74"/>
      <c r="AF3531" s="77"/>
      <c r="AH3531" s="497">
        <v>64.400000000000006</v>
      </c>
      <c r="AJ3531" s="42"/>
      <c r="AK3531" s="74"/>
      <c r="AL3531" s="77"/>
      <c r="AN3531" s="497">
        <v>62.96</v>
      </c>
      <c r="AP3531" s="42"/>
      <c r="AQ3531" s="74"/>
      <c r="AR3531" s="77"/>
      <c r="AT3531" s="497">
        <v>73.039999999999992</v>
      </c>
      <c r="AV3531" s="42"/>
      <c r="AW3531" s="74"/>
      <c r="AX3531" s="77"/>
      <c r="BA3531" s="497">
        <v>71.06</v>
      </c>
      <c r="BB3531" s="42"/>
      <c r="BC3531" s="74"/>
      <c r="BD3531" s="77"/>
      <c r="BF3531">
        <v>62.96</v>
      </c>
      <c r="BH3531" s="42"/>
      <c r="BI3531" s="74"/>
      <c r="BJ3531" s="77"/>
      <c r="BL3531" s="497">
        <v>71.960000000000008</v>
      </c>
      <c r="BN3531" s="42"/>
      <c r="BO3531" s="74"/>
      <c r="BP3531" s="77"/>
      <c r="BR3531" s="497">
        <v>60.980000000000004</v>
      </c>
      <c r="BT3531" s="42"/>
    </row>
    <row r="3532" spans="1:72" x14ac:dyDescent="0.25">
      <c r="A3532" s="90">
        <v>36307</v>
      </c>
      <c r="B3532" s="20">
        <v>0.41666666666666669</v>
      </c>
      <c r="D3532">
        <v>55.040000000000006</v>
      </c>
      <c r="E3532" t="str">
        <f t="shared" si="144"/>
        <v>WEEKDAY</v>
      </c>
      <c r="F3532" t="e">
        <f t="shared" si="145"/>
        <v>#N/A</v>
      </c>
      <c r="G3532" s="74">
        <v>31924</v>
      </c>
      <c r="H3532" s="77">
        <v>0.41666666666666669</v>
      </c>
      <c r="J3532">
        <v>53.06</v>
      </c>
      <c r="M3532" s="74">
        <v>34481</v>
      </c>
      <c r="N3532" s="77">
        <v>0.41666666666666669</v>
      </c>
      <c r="P3532">
        <v>50.900000000000006</v>
      </c>
      <c r="S3532" s="74">
        <v>36307</v>
      </c>
      <c r="T3532" s="77">
        <v>0.41666666666666669</v>
      </c>
      <c r="V3532">
        <v>64.94</v>
      </c>
      <c r="X3532" s="42"/>
      <c r="AB3532">
        <v>65.900000000000006</v>
      </c>
      <c r="AC3532">
        <v>62.96</v>
      </c>
      <c r="AE3532" s="74"/>
      <c r="AF3532" s="77"/>
      <c r="AH3532" s="497">
        <v>66.2</v>
      </c>
      <c r="AJ3532" s="42"/>
      <c r="AK3532" s="74"/>
      <c r="AL3532" s="77"/>
      <c r="AN3532" s="497">
        <v>66.92</v>
      </c>
      <c r="AP3532" s="42"/>
      <c r="AQ3532" s="74"/>
      <c r="AR3532" s="77"/>
      <c r="AT3532" s="497">
        <v>75.92</v>
      </c>
      <c r="AV3532" s="42"/>
      <c r="AW3532" s="74"/>
      <c r="AX3532" s="77"/>
      <c r="BA3532" s="497">
        <v>71.06</v>
      </c>
      <c r="BB3532" s="42"/>
      <c r="BC3532" s="74"/>
      <c r="BD3532" s="77"/>
      <c r="BF3532">
        <v>64.94</v>
      </c>
      <c r="BH3532" s="42"/>
      <c r="BI3532" s="74"/>
      <c r="BJ3532" s="77"/>
      <c r="BL3532" s="497">
        <v>75.02</v>
      </c>
      <c r="BN3532" s="42"/>
      <c r="BO3532" s="74"/>
      <c r="BP3532" s="77"/>
      <c r="BR3532" s="497">
        <v>62.96</v>
      </c>
      <c r="BT3532" s="42"/>
    </row>
    <row r="3533" spans="1:72" x14ac:dyDescent="0.25">
      <c r="A3533" s="90">
        <v>36307</v>
      </c>
      <c r="B3533" s="20">
        <v>0.45833333333333331</v>
      </c>
      <c r="D3533">
        <v>55.94</v>
      </c>
      <c r="E3533" t="str">
        <f t="shared" si="144"/>
        <v>WEEKDAY</v>
      </c>
      <c r="F3533" t="e">
        <f t="shared" si="145"/>
        <v>#N/A</v>
      </c>
      <c r="G3533" s="74">
        <v>31924</v>
      </c>
      <c r="H3533" s="77">
        <v>0.45833333333333331</v>
      </c>
      <c r="J3533">
        <v>53.06</v>
      </c>
      <c r="M3533" s="74">
        <v>34481</v>
      </c>
      <c r="N3533" s="77">
        <v>0.45833333333333331</v>
      </c>
      <c r="P3533">
        <v>54.86</v>
      </c>
      <c r="S3533" s="74">
        <v>36307</v>
      </c>
      <c r="T3533" s="77">
        <v>0.45833333333333331</v>
      </c>
      <c r="V3533">
        <v>64.039999999999992</v>
      </c>
      <c r="X3533" s="42"/>
      <c r="AB3533">
        <v>67.599999999999994</v>
      </c>
      <c r="AC3533">
        <v>68</v>
      </c>
      <c r="AE3533" s="74"/>
      <c r="AF3533" s="77"/>
      <c r="AH3533" s="497">
        <v>66.2</v>
      </c>
      <c r="AJ3533" s="42"/>
      <c r="AK3533" s="74"/>
      <c r="AL3533" s="77"/>
      <c r="AN3533" s="497">
        <v>69.080000000000013</v>
      </c>
      <c r="AP3533" s="42"/>
      <c r="AQ3533" s="74"/>
      <c r="AR3533" s="77"/>
      <c r="AT3533" s="497">
        <v>77</v>
      </c>
      <c r="AV3533" s="42"/>
      <c r="AW3533" s="74"/>
      <c r="AX3533" s="77"/>
      <c r="BA3533" s="497">
        <v>64.94</v>
      </c>
      <c r="BB3533" s="42"/>
      <c r="BC3533" s="74"/>
      <c r="BD3533" s="77"/>
      <c r="BF3533">
        <v>68</v>
      </c>
      <c r="BH3533" s="42"/>
      <c r="BI3533" s="74"/>
      <c r="BJ3533" s="77"/>
      <c r="BL3533" s="497">
        <v>77</v>
      </c>
      <c r="BN3533" s="42"/>
      <c r="BO3533" s="74"/>
      <c r="BP3533" s="77"/>
      <c r="BR3533" s="497">
        <v>66.92</v>
      </c>
      <c r="BT3533" s="42"/>
    </row>
    <row r="3534" spans="1:72" x14ac:dyDescent="0.25">
      <c r="A3534" s="90">
        <v>36307</v>
      </c>
      <c r="B3534" s="20">
        <v>0.5</v>
      </c>
      <c r="D3534">
        <v>59</v>
      </c>
      <c r="E3534" t="str">
        <f t="shared" si="144"/>
        <v>WEEKDAY</v>
      </c>
      <c r="F3534" t="e">
        <f t="shared" si="145"/>
        <v>#N/A</v>
      </c>
      <c r="G3534" s="74">
        <v>31924</v>
      </c>
      <c r="H3534" s="77">
        <v>0.5</v>
      </c>
      <c r="J3534">
        <v>55.040000000000006</v>
      </c>
      <c r="M3534" s="74">
        <v>34481</v>
      </c>
      <c r="N3534" s="77">
        <v>0.5</v>
      </c>
      <c r="P3534">
        <v>54.86</v>
      </c>
      <c r="S3534" s="74">
        <v>36307</v>
      </c>
      <c r="T3534" s="77">
        <v>0.5</v>
      </c>
      <c r="V3534">
        <v>66.92</v>
      </c>
      <c r="X3534" s="42"/>
      <c r="AB3534">
        <v>68.7</v>
      </c>
      <c r="AC3534">
        <v>69.080000000000013</v>
      </c>
      <c r="AE3534" s="74"/>
      <c r="AF3534" s="77"/>
      <c r="AH3534" s="497">
        <v>69.800000000000011</v>
      </c>
      <c r="AJ3534" s="42"/>
      <c r="AK3534" s="74"/>
      <c r="AL3534" s="77"/>
      <c r="AN3534" s="497">
        <v>71.960000000000008</v>
      </c>
      <c r="AP3534" s="42"/>
      <c r="AQ3534" s="74"/>
      <c r="AR3534" s="77"/>
      <c r="AT3534" s="497">
        <v>78.98</v>
      </c>
      <c r="AV3534" s="42"/>
      <c r="AW3534" s="74"/>
      <c r="AX3534" s="77"/>
      <c r="BA3534" s="497">
        <v>64.039999999999992</v>
      </c>
      <c r="BB3534" s="42"/>
      <c r="BC3534" s="74"/>
      <c r="BD3534" s="77"/>
      <c r="BF3534">
        <v>69.080000000000013</v>
      </c>
      <c r="BH3534" s="42"/>
      <c r="BI3534" s="74"/>
      <c r="BJ3534" s="77"/>
      <c r="BL3534" s="497">
        <v>77</v>
      </c>
      <c r="BN3534" s="42"/>
      <c r="BO3534" s="74"/>
      <c r="BP3534" s="77"/>
      <c r="BR3534" s="497">
        <v>69.080000000000013</v>
      </c>
      <c r="BT3534" s="42"/>
    </row>
    <row r="3535" spans="1:72" x14ac:dyDescent="0.25">
      <c r="A3535" s="90">
        <v>36307</v>
      </c>
      <c r="B3535" s="20">
        <v>0.54166666666666663</v>
      </c>
      <c r="D3535">
        <v>60.08</v>
      </c>
      <c r="E3535" t="str">
        <f t="shared" si="144"/>
        <v>WEEKDAY</v>
      </c>
      <c r="F3535" t="e">
        <f t="shared" si="145"/>
        <v>#N/A</v>
      </c>
      <c r="G3535" s="74">
        <v>31924</v>
      </c>
      <c r="H3535" s="77">
        <v>0.54166666666666663</v>
      </c>
      <c r="J3535">
        <v>57.019999999999996</v>
      </c>
      <c r="M3535" s="74">
        <v>34481</v>
      </c>
      <c r="N3535" s="77">
        <v>0.54166666666666663</v>
      </c>
      <c r="P3535">
        <v>56.84</v>
      </c>
      <c r="S3535" s="74">
        <v>36307</v>
      </c>
      <c r="T3535" s="77">
        <v>0.54166666666666663</v>
      </c>
      <c r="V3535">
        <v>69.080000000000013</v>
      </c>
      <c r="X3535" s="42"/>
      <c r="AB3535">
        <v>69.5</v>
      </c>
      <c r="AC3535">
        <v>66.02</v>
      </c>
      <c r="AE3535" s="74"/>
      <c r="AF3535" s="77"/>
      <c r="AH3535" s="497">
        <v>69.800000000000011</v>
      </c>
      <c r="AJ3535" s="42"/>
      <c r="AK3535" s="74"/>
      <c r="AL3535" s="77"/>
      <c r="AN3535" s="497">
        <v>75.02</v>
      </c>
      <c r="AP3535" s="42"/>
      <c r="AQ3535" s="74"/>
      <c r="AR3535" s="77"/>
      <c r="AT3535" s="497">
        <v>80.960000000000008</v>
      </c>
      <c r="AV3535" s="42"/>
      <c r="AW3535" s="74"/>
      <c r="AX3535" s="77"/>
      <c r="BA3535" s="497">
        <v>64.94</v>
      </c>
      <c r="BB3535" s="42"/>
      <c r="BC3535" s="74"/>
      <c r="BD3535" s="77"/>
      <c r="BF3535">
        <v>71.06</v>
      </c>
      <c r="BH3535" s="42"/>
      <c r="BI3535" s="74"/>
      <c r="BJ3535" s="77"/>
      <c r="BL3535" s="497">
        <v>77</v>
      </c>
      <c r="BN3535" s="42"/>
      <c r="BO3535" s="74"/>
      <c r="BP3535" s="77"/>
      <c r="BR3535" s="497">
        <v>71.06</v>
      </c>
      <c r="BT3535" s="42"/>
    </row>
    <row r="3536" spans="1:72" x14ac:dyDescent="0.25">
      <c r="A3536" s="90">
        <v>36307</v>
      </c>
      <c r="B3536" s="20">
        <v>0.58333333333333337</v>
      </c>
      <c r="D3536">
        <v>60.980000000000004</v>
      </c>
      <c r="E3536" t="str">
        <f t="shared" si="144"/>
        <v>WEEKDAY</v>
      </c>
      <c r="F3536" t="e">
        <f t="shared" si="145"/>
        <v>#N/A</v>
      </c>
      <c r="G3536" s="74">
        <v>31924</v>
      </c>
      <c r="H3536" s="77">
        <v>0.58333333333333337</v>
      </c>
      <c r="J3536">
        <v>55.94</v>
      </c>
      <c r="M3536" s="74">
        <v>34481</v>
      </c>
      <c r="N3536" s="77">
        <v>0.58333333333333337</v>
      </c>
      <c r="P3536">
        <v>59</v>
      </c>
      <c r="S3536" s="74">
        <v>36307</v>
      </c>
      <c r="T3536" s="77">
        <v>0.58333333333333337</v>
      </c>
      <c r="V3536">
        <v>71.960000000000008</v>
      </c>
      <c r="X3536" s="42"/>
      <c r="AB3536">
        <v>69.900000000000006</v>
      </c>
      <c r="AC3536">
        <v>66.92</v>
      </c>
      <c r="AE3536" s="74"/>
      <c r="AF3536" s="77"/>
      <c r="AH3536" s="497">
        <v>69.800000000000011</v>
      </c>
      <c r="AJ3536" s="42"/>
      <c r="AK3536" s="74"/>
      <c r="AL3536" s="77"/>
      <c r="AN3536" s="497">
        <v>75.92</v>
      </c>
      <c r="AP3536" s="42"/>
      <c r="AQ3536" s="74"/>
      <c r="AR3536" s="77"/>
      <c r="AT3536" s="497">
        <v>66.02</v>
      </c>
      <c r="AV3536" s="42"/>
      <c r="AW3536" s="74"/>
      <c r="AX3536" s="77"/>
      <c r="BA3536" s="497">
        <v>69.080000000000013</v>
      </c>
      <c r="BB3536" s="42"/>
      <c r="BC3536" s="74"/>
      <c r="BD3536" s="77"/>
      <c r="BF3536">
        <v>71.06</v>
      </c>
      <c r="BH3536" s="42"/>
      <c r="BI3536" s="74"/>
      <c r="BJ3536" s="77"/>
      <c r="BL3536" s="497">
        <v>78.080000000000013</v>
      </c>
      <c r="BN3536" s="42"/>
      <c r="BO3536" s="74"/>
      <c r="BP3536" s="77"/>
      <c r="BR3536" s="497">
        <v>71.06</v>
      </c>
      <c r="BT3536" s="42"/>
    </row>
    <row r="3537" spans="1:72" x14ac:dyDescent="0.25">
      <c r="A3537" s="90">
        <v>36307</v>
      </c>
      <c r="B3537" s="20">
        <v>0.625</v>
      </c>
      <c r="D3537">
        <v>62.96</v>
      </c>
      <c r="E3537" t="str">
        <f t="shared" si="144"/>
        <v>WEEKDAY</v>
      </c>
      <c r="F3537" t="e">
        <f t="shared" si="145"/>
        <v>#N/A</v>
      </c>
      <c r="G3537" s="74">
        <v>31924</v>
      </c>
      <c r="H3537" s="77">
        <v>0.625</v>
      </c>
      <c r="J3537">
        <v>57.92</v>
      </c>
      <c r="M3537" s="74">
        <v>34481</v>
      </c>
      <c r="N3537" s="77">
        <v>0.625</v>
      </c>
      <c r="P3537">
        <v>59.900000000000006</v>
      </c>
      <c r="S3537" s="74">
        <v>36307</v>
      </c>
      <c r="T3537" s="77">
        <v>0.625</v>
      </c>
      <c r="V3537">
        <v>71.06</v>
      </c>
      <c r="X3537" s="42"/>
      <c r="AB3537">
        <v>69.8</v>
      </c>
      <c r="AC3537">
        <v>64.039999999999992</v>
      </c>
      <c r="AE3537" s="74"/>
      <c r="AF3537" s="77"/>
      <c r="AH3537" s="497">
        <v>71.599999999999994</v>
      </c>
      <c r="AJ3537" s="42"/>
      <c r="AK3537" s="74"/>
      <c r="AL3537" s="77"/>
      <c r="AN3537" s="497">
        <v>78.080000000000013</v>
      </c>
      <c r="AP3537" s="42"/>
      <c r="AQ3537" s="74"/>
      <c r="AR3537" s="77"/>
      <c r="AT3537" s="497">
        <v>66.02</v>
      </c>
      <c r="AV3537" s="42"/>
      <c r="AW3537" s="74"/>
      <c r="AX3537" s="77"/>
      <c r="BA3537" s="497">
        <v>68</v>
      </c>
      <c r="BB3537" s="42"/>
      <c r="BC3537" s="74"/>
      <c r="BD3537" s="77"/>
      <c r="BF3537">
        <v>71.06</v>
      </c>
      <c r="BH3537" s="42"/>
      <c r="BI3537" s="74"/>
      <c r="BJ3537" s="77"/>
      <c r="BL3537" s="497">
        <v>75.02</v>
      </c>
      <c r="BN3537" s="42"/>
      <c r="BO3537" s="74"/>
      <c r="BP3537" s="77"/>
      <c r="BR3537" s="497">
        <v>71.960000000000008</v>
      </c>
      <c r="BT3537" s="42"/>
    </row>
    <row r="3538" spans="1:72" x14ac:dyDescent="0.25">
      <c r="A3538" s="90">
        <v>36307</v>
      </c>
      <c r="B3538" s="20">
        <v>0.66666666666666663</v>
      </c>
      <c r="D3538">
        <v>64.039999999999992</v>
      </c>
      <c r="E3538" t="str">
        <f t="shared" si="144"/>
        <v>WEEKDAY</v>
      </c>
      <c r="F3538" t="e">
        <f t="shared" si="145"/>
        <v>#N/A</v>
      </c>
      <c r="G3538" s="74">
        <v>31924</v>
      </c>
      <c r="H3538" s="77">
        <v>0.66666666666666663</v>
      </c>
      <c r="J3538">
        <v>59</v>
      </c>
      <c r="M3538" s="74">
        <v>34481</v>
      </c>
      <c r="N3538" s="77">
        <v>0.66666666666666663</v>
      </c>
      <c r="P3538">
        <v>61.88</v>
      </c>
      <c r="S3538" s="74">
        <v>36307</v>
      </c>
      <c r="T3538" s="77">
        <v>0.66666666666666663</v>
      </c>
      <c r="V3538">
        <v>71.06</v>
      </c>
      <c r="X3538" s="42"/>
      <c r="AB3538">
        <v>69.3</v>
      </c>
      <c r="AC3538">
        <v>64.94</v>
      </c>
      <c r="AE3538" s="74"/>
      <c r="AF3538" s="77"/>
      <c r="AH3538" s="497">
        <v>73.400000000000006</v>
      </c>
      <c r="AJ3538" s="42"/>
      <c r="AK3538" s="74"/>
      <c r="AL3538" s="77"/>
      <c r="AN3538" s="497">
        <v>78.080000000000013</v>
      </c>
      <c r="AP3538" s="42"/>
      <c r="AQ3538" s="74"/>
      <c r="AR3538" s="77"/>
      <c r="AT3538" s="497">
        <v>66.02</v>
      </c>
      <c r="AV3538" s="42"/>
      <c r="AW3538" s="74"/>
      <c r="AX3538" s="77"/>
      <c r="BA3538" s="497">
        <v>64.94</v>
      </c>
      <c r="BB3538" s="42"/>
      <c r="BC3538" s="74"/>
      <c r="BD3538" s="77"/>
      <c r="BF3538">
        <v>71.06</v>
      </c>
      <c r="BH3538" s="42"/>
      <c r="BI3538" s="74"/>
      <c r="BJ3538" s="77"/>
      <c r="BL3538" s="497">
        <v>73.94</v>
      </c>
      <c r="BN3538" s="42"/>
      <c r="BO3538" s="74"/>
      <c r="BP3538" s="77"/>
      <c r="BR3538" s="497">
        <v>71.960000000000008</v>
      </c>
      <c r="BT3538" s="42"/>
    </row>
    <row r="3539" spans="1:72" x14ac:dyDescent="0.25">
      <c r="A3539" s="90">
        <v>36307</v>
      </c>
      <c r="B3539" s="20">
        <v>0.70833333333333337</v>
      </c>
      <c r="D3539">
        <v>64.039999999999992</v>
      </c>
      <c r="E3539" t="str">
        <f t="shared" ref="E3539:E3602" si="146">IF(COUNTIF($DI$18:$DI$22, WEEKDAY(A3539))=1, "WEEKDAY", IF(WEEKDAY(A3539) = 1, "SUNDAY", "SATURDAY"))</f>
        <v>WEEKDAY</v>
      </c>
      <c r="F3539" t="e">
        <f t="shared" si="145"/>
        <v>#N/A</v>
      </c>
      <c r="G3539" s="74">
        <v>31924</v>
      </c>
      <c r="H3539" s="77">
        <v>0.70833333333333337</v>
      </c>
      <c r="J3539">
        <v>60.980000000000004</v>
      </c>
      <c r="M3539" s="74">
        <v>34481</v>
      </c>
      <c r="N3539" s="77">
        <v>0.70833333333333337</v>
      </c>
      <c r="P3539">
        <v>60.980000000000004</v>
      </c>
      <c r="S3539" s="74">
        <v>36307</v>
      </c>
      <c r="T3539" s="77">
        <v>0.70833333333333337</v>
      </c>
      <c r="V3539">
        <v>71.06</v>
      </c>
      <c r="X3539" s="42"/>
      <c r="AB3539">
        <v>68.400000000000006</v>
      </c>
      <c r="AC3539">
        <v>64.94</v>
      </c>
      <c r="AE3539" s="74"/>
      <c r="AF3539" s="77"/>
      <c r="AH3539" s="497">
        <v>71.599999999999994</v>
      </c>
      <c r="AJ3539" s="42"/>
      <c r="AK3539" s="74"/>
      <c r="AL3539" s="77"/>
      <c r="AN3539" s="497">
        <v>77</v>
      </c>
      <c r="AP3539" s="42"/>
      <c r="AQ3539" s="74"/>
      <c r="AR3539" s="77"/>
      <c r="AT3539" s="497">
        <v>69.080000000000013</v>
      </c>
      <c r="AV3539" s="42"/>
      <c r="AW3539" s="74"/>
      <c r="AX3539" s="77"/>
      <c r="BA3539" s="497">
        <v>62.96</v>
      </c>
      <c r="BB3539" s="42"/>
      <c r="BC3539" s="74"/>
      <c r="BD3539" s="77"/>
      <c r="BF3539">
        <v>69.080000000000013</v>
      </c>
      <c r="BH3539" s="42"/>
      <c r="BI3539" s="74"/>
      <c r="BJ3539" s="77"/>
      <c r="BL3539" s="497">
        <v>73.039999999999992</v>
      </c>
      <c r="BN3539" s="42"/>
      <c r="BO3539" s="74"/>
      <c r="BP3539" s="77"/>
      <c r="BR3539" s="497">
        <v>71.06</v>
      </c>
      <c r="BT3539" s="42"/>
    </row>
    <row r="3540" spans="1:72" x14ac:dyDescent="0.25">
      <c r="A3540" s="90">
        <v>36307</v>
      </c>
      <c r="B3540" s="20">
        <v>0.75</v>
      </c>
      <c r="D3540">
        <v>64.94</v>
      </c>
      <c r="E3540" t="str">
        <f t="shared" si="146"/>
        <v>WEEKDAY</v>
      </c>
      <c r="F3540" t="e">
        <f t="shared" si="145"/>
        <v>#N/A</v>
      </c>
      <c r="G3540" s="74">
        <v>31924</v>
      </c>
      <c r="H3540" s="77">
        <v>0.75</v>
      </c>
      <c r="J3540">
        <v>59</v>
      </c>
      <c r="M3540" s="74">
        <v>34481</v>
      </c>
      <c r="N3540" s="77">
        <v>0.75</v>
      </c>
      <c r="P3540">
        <v>59.900000000000006</v>
      </c>
      <c r="S3540" s="74">
        <v>36307</v>
      </c>
      <c r="T3540" s="77">
        <v>0.75</v>
      </c>
      <c r="V3540">
        <v>69.98</v>
      </c>
      <c r="X3540" s="42"/>
      <c r="AB3540">
        <v>67.2</v>
      </c>
      <c r="AC3540">
        <v>60.980000000000004</v>
      </c>
      <c r="AE3540" s="74"/>
      <c r="AF3540" s="77"/>
      <c r="AH3540" s="497">
        <v>71.599999999999994</v>
      </c>
      <c r="AJ3540" s="42"/>
      <c r="AK3540" s="74"/>
      <c r="AL3540" s="77"/>
      <c r="AN3540" s="497">
        <v>75.92</v>
      </c>
      <c r="AP3540" s="42"/>
      <c r="AQ3540" s="74"/>
      <c r="AR3540" s="77"/>
      <c r="AT3540" s="497">
        <v>69.080000000000013</v>
      </c>
      <c r="AV3540" s="42"/>
      <c r="AW3540" s="74"/>
      <c r="AX3540" s="77"/>
      <c r="BA3540" s="497">
        <v>62.06</v>
      </c>
      <c r="BB3540" s="42"/>
      <c r="BC3540" s="74"/>
      <c r="BD3540" s="77"/>
      <c r="BF3540">
        <v>66.02</v>
      </c>
      <c r="BH3540" s="42"/>
      <c r="BI3540" s="74"/>
      <c r="BJ3540" s="77"/>
      <c r="BL3540" s="497">
        <v>71.06</v>
      </c>
      <c r="BN3540" s="42"/>
      <c r="BO3540" s="74"/>
      <c r="BP3540" s="77"/>
      <c r="BR3540" s="497">
        <v>69.98</v>
      </c>
      <c r="BT3540" s="42"/>
    </row>
    <row r="3541" spans="1:72" x14ac:dyDescent="0.25">
      <c r="A3541" s="90">
        <v>36307</v>
      </c>
      <c r="B3541" s="20">
        <v>0.79166666666666663</v>
      </c>
      <c r="D3541">
        <v>62.96</v>
      </c>
      <c r="E3541" t="str">
        <f t="shared" si="146"/>
        <v>WEEKDAY</v>
      </c>
      <c r="F3541" t="e">
        <f t="shared" si="145"/>
        <v>#N/A</v>
      </c>
      <c r="G3541" s="74">
        <v>31924</v>
      </c>
      <c r="H3541" s="77">
        <v>0.79166666666666663</v>
      </c>
      <c r="J3541">
        <v>59</v>
      </c>
      <c r="M3541" s="74">
        <v>34481</v>
      </c>
      <c r="N3541" s="77">
        <v>0.79166666666666663</v>
      </c>
      <c r="P3541">
        <v>57.92</v>
      </c>
      <c r="S3541" s="74">
        <v>36307</v>
      </c>
      <c r="T3541" s="77">
        <v>0.79166666666666663</v>
      </c>
      <c r="V3541">
        <v>69.080000000000013</v>
      </c>
      <c r="X3541" s="42"/>
      <c r="AB3541">
        <v>65.900000000000006</v>
      </c>
      <c r="AC3541">
        <v>60.08</v>
      </c>
      <c r="AE3541" s="74"/>
      <c r="AF3541" s="77"/>
      <c r="AH3541" s="497">
        <v>71.78</v>
      </c>
      <c r="AJ3541" s="42"/>
      <c r="AK3541" s="74"/>
      <c r="AL3541" s="77"/>
      <c r="AN3541" s="497">
        <v>73.039999999999992</v>
      </c>
      <c r="AP3541" s="42"/>
      <c r="AQ3541" s="74"/>
      <c r="AR3541" s="77"/>
      <c r="AT3541" s="497">
        <v>69.080000000000013</v>
      </c>
      <c r="AV3541" s="42"/>
      <c r="AW3541" s="74"/>
      <c r="AX3541" s="77"/>
      <c r="BA3541" s="497">
        <v>60.980000000000004</v>
      </c>
      <c r="BB3541" s="42"/>
      <c r="BC3541" s="74"/>
      <c r="BD3541" s="77"/>
      <c r="BF3541">
        <v>64.94</v>
      </c>
      <c r="BH3541" s="42"/>
      <c r="BI3541" s="74"/>
      <c r="BJ3541" s="77"/>
      <c r="BL3541" s="497">
        <v>69.080000000000013</v>
      </c>
      <c r="BN3541" s="42"/>
      <c r="BO3541" s="74"/>
      <c r="BP3541" s="77"/>
      <c r="BR3541" s="497">
        <v>69.080000000000013</v>
      </c>
      <c r="BT3541" s="42"/>
    </row>
    <row r="3542" spans="1:72" x14ac:dyDescent="0.25">
      <c r="A3542" s="90">
        <v>36307</v>
      </c>
      <c r="B3542" s="20">
        <v>0.83333333333333337</v>
      </c>
      <c r="D3542">
        <v>62.06</v>
      </c>
      <c r="E3542" t="str">
        <f t="shared" si="146"/>
        <v>WEEKDAY</v>
      </c>
      <c r="F3542" t="e">
        <f t="shared" si="145"/>
        <v>#N/A</v>
      </c>
      <c r="G3542" s="74">
        <v>31924</v>
      </c>
      <c r="H3542" s="77">
        <v>0.83333333333333337</v>
      </c>
      <c r="J3542">
        <v>57.92</v>
      </c>
      <c r="M3542" s="74">
        <v>34481</v>
      </c>
      <c r="N3542" s="77">
        <v>0.83333333333333337</v>
      </c>
      <c r="P3542">
        <v>54.86</v>
      </c>
      <c r="S3542" s="74">
        <v>36307</v>
      </c>
      <c r="T3542" s="77">
        <v>0.83333333333333337</v>
      </c>
      <c r="V3542">
        <v>68</v>
      </c>
      <c r="X3542" s="42"/>
      <c r="AB3542">
        <v>64.5</v>
      </c>
      <c r="AC3542">
        <v>60.08</v>
      </c>
      <c r="AE3542" s="74"/>
      <c r="AF3542" s="77"/>
      <c r="AH3542" s="497">
        <v>71.599999999999994</v>
      </c>
      <c r="AJ3542" s="42"/>
      <c r="AK3542" s="74"/>
      <c r="AL3542" s="77"/>
      <c r="AN3542" s="497">
        <v>71.06</v>
      </c>
      <c r="AP3542" s="42"/>
      <c r="AQ3542" s="74"/>
      <c r="AR3542" s="77"/>
      <c r="AT3542" s="497">
        <v>66.92</v>
      </c>
      <c r="AV3542" s="42"/>
      <c r="AW3542" s="74"/>
      <c r="AX3542" s="77"/>
      <c r="BA3542" s="497">
        <v>60.980000000000004</v>
      </c>
      <c r="BB3542" s="42"/>
      <c r="BC3542" s="74"/>
      <c r="BD3542" s="77"/>
      <c r="BF3542">
        <v>62.06</v>
      </c>
      <c r="BH3542" s="42"/>
      <c r="BI3542" s="74"/>
      <c r="BJ3542" s="77"/>
      <c r="BL3542" s="497">
        <v>66.02</v>
      </c>
      <c r="BN3542" s="42"/>
      <c r="BO3542" s="74"/>
      <c r="BP3542" s="77"/>
      <c r="BR3542" s="497">
        <v>62.06</v>
      </c>
      <c r="BT3542" s="42"/>
    </row>
    <row r="3543" spans="1:72" x14ac:dyDescent="0.25">
      <c r="A3543" s="90">
        <v>36307</v>
      </c>
      <c r="B3543" s="20">
        <v>0.875</v>
      </c>
      <c r="D3543">
        <v>60.08</v>
      </c>
      <c r="E3543" t="str">
        <f t="shared" si="146"/>
        <v>WEEKDAY</v>
      </c>
      <c r="F3543" t="e">
        <f t="shared" si="145"/>
        <v>#N/A</v>
      </c>
      <c r="G3543" s="74">
        <v>31924</v>
      </c>
      <c r="H3543" s="77">
        <v>0.875</v>
      </c>
      <c r="J3543">
        <v>57.019999999999996</v>
      </c>
      <c r="M3543" s="74">
        <v>34481</v>
      </c>
      <c r="N3543" s="77">
        <v>0.875</v>
      </c>
      <c r="P3543">
        <v>53.96</v>
      </c>
      <c r="S3543" s="74">
        <v>36307</v>
      </c>
      <c r="T3543" s="77">
        <v>0.875</v>
      </c>
      <c r="V3543">
        <v>66.92</v>
      </c>
      <c r="X3543" s="42"/>
      <c r="AB3543">
        <v>63.3</v>
      </c>
      <c r="AC3543">
        <v>59</v>
      </c>
      <c r="AE3543" s="74"/>
      <c r="AF3543" s="77"/>
      <c r="AH3543" s="497">
        <v>62.6</v>
      </c>
      <c r="AJ3543" s="42"/>
      <c r="AK3543" s="74"/>
      <c r="AL3543" s="77"/>
      <c r="AN3543" s="497">
        <v>69.080000000000013</v>
      </c>
      <c r="AP3543" s="42"/>
      <c r="AQ3543" s="74"/>
      <c r="AR3543" s="77"/>
      <c r="AT3543" s="497">
        <v>66.02</v>
      </c>
      <c r="AV3543" s="42"/>
      <c r="AW3543" s="74"/>
      <c r="AX3543" s="77"/>
      <c r="BA3543" s="497">
        <v>60.08</v>
      </c>
      <c r="BB3543" s="42"/>
      <c r="BC3543" s="74"/>
      <c r="BD3543" s="77"/>
      <c r="BF3543">
        <v>60.08</v>
      </c>
      <c r="BH3543" s="42"/>
      <c r="BI3543" s="74"/>
      <c r="BJ3543" s="77"/>
      <c r="BL3543" s="497">
        <v>62.96</v>
      </c>
      <c r="BN3543" s="42"/>
      <c r="BO3543" s="74"/>
      <c r="BP3543" s="77"/>
      <c r="BR3543" s="497">
        <v>57.019999999999996</v>
      </c>
      <c r="BT3543" s="42"/>
    </row>
    <row r="3544" spans="1:72" x14ac:dyDescent="0.25">
      <c r="A3544" s="90">
        <v>36307</v>
      </c>
      <c r="B3544" s="20">
        <v>0.91666666666666663</v>
      </c>
      <c r="D3544">
        <v>57.92</v>
      </c>
      <c r="E3544" t="str">
        <f t="shared" si="146"/>
        <v>WEEKDAY</v>
      </c>
      <c r="F3544" t="e">
        <f t="shared" si="145"/>
        <v>#N/A</v>
      </c>
      <c r="G3544" s="74">
        <v>31924</v>
      </c>
      <c r="H3544" s="77">
        <v>0.91666666666666663</v>
      </c>
      <c r="J3544">
        <v>57.019999999999996</v>
      </c>
      <c r="M3544" s="74">
        <v>34481</v>
      </c>
      <c r="N3544" s="77">
        <v>0.91666666666666663</v>
      </c>
      <c r="P3544">
        <v>51.980000000000004</v>
      </c>
      <c r="S3544" s="74">
        <v>36307</v>
      </c>
      <c r="T3544" s="77">
        <v>0.91666666666666663</v>
      </c>
      <c r="V3544">
        <v>66.02</v>
      </c>
      <c r="X3544" s="42"/>
      <c r="AB3544">
        <v>62.8</v>
      </c>
      <c r="AC3544">
        <v>59</v>
      </c>
      <c r="AE3544" s="74"/>
      <c r="AF3544" s="77"/>
      <c r="AH3544" s="497">
        <v>62.6</v>
      </c>
      <c r="AJ3544" s="42"/>
      <c r="AK3544" s="74"/>
      <c r="AL3544" s="77"/>
      <c r="AN3544" s="497">
        <v>66.92</v>
      </c>
      <c r="AP3544" s="42"/>
      <c r="AQ3544" s="74"/>
      <c r="AR3544" s="77"/>
      <c r="AT3544" s="497">
        <v>64.94</v>
      </c>
      <c r="AV3544" s="42"/>
      <c r="AW3544" s="74"/>
      <c r="AX3544" s="77"/>
      <c r="BA3544" s="497">
        <v>59</v>
      </c>
      <c r="BB3544" s="42"/>
      <c r="BC3544" s="74"/>
      <c r="BD3544" s="77"/>
      <c r="BF3544">
        <v>60.08</v>
      </c>
      <c r="BH3544" s="42"/>
      <c r="BI3544" s="74"/>
      <c r="BJ3544" s="77"/>
      <c r="BL3544" s="497">
        <v>60.980000000000004</v>
      </c>
      <c r="BN3544" s="42"/>
      <c r="BO3544" s="74"/>
      <c r="BP3544" s="77"/>
      <c r="BR3544" s="497">
        <v>53.06</v>
      </c>
      <c r="BT3544" s="42"/>
    </row>
    <row r="3545" spans="1:72" x14ac:dyDescent="0.25">
      <c r="A3545" s="90">
        <v>36307</v>
      </c>
      <c r="B3545" s="20">
        <v>0.95833333333333337</v>
      </c>
      <c r="D3545">
        <v>57.019999999999996</v>
      </c>
      <c r="E3545" t="str">
        <f t="shared" si="146"/>
        <v>WEEKDAY</v>
      </c>
      <c r="F3545" t="e">
        <f t="shared" si="145"/>
        <v>#N/A</v>
      </c>
      <c r="G3545" s="74">
        <v>31924</v>
      </c>
      <c r="H3545" s="77">
        <v>0.95833333333333337</v>
      </c>
      <c r="J3545">
        <v>57.019999999999996</v>
      </c>
      <c r="M3545" s="74">
        <v>34481</v>
      </c>
      <c r="N3545" s="77">
        <v>0.95833333333333337</v>
      </c>
      <c r="P3545">
        <v>48.92</v>
      </c>
      <c r="S3545" s="74">
        <v>36307</v>
      </c>
      <c r="T3545" s="77">
        <v>0.95833333333333337</v>
      </c>
      <c r="V3545">
        <v>64.94</v>
      </c>
      <c r="X3545" s="42"/>
      <c r="AB3545">
        <v>62.2</v>
      </c>
      <c r="AC3545">
        <v>57.92</v>
      </c>
      <c r="AE3545" s="74"/>
      <c r="AF3545" s="77"/>
      <c r="AH3545" s="497">
        <v>55.400000000000006</v>
      </c>
      <c r="AJ3545" s="42"/>
      <c r="AK3545" s="74"/>
      <c r="AL3545" s="77"/>
      <c r="AN3545" s="497">
        <v>64.039999999999992</v>
      </c>
      <c r="AP3545" s="42"/>
      <c r="AQ3545" s="74"/>
      <c r="AR3545" s="77"/>
      <c r="AT3545" s="497">
        <v>64.039999999999992</v>
      </c>
      <c r="AV3545" s="42"/>
      <c r="AW3545" s="74"/>
      <c r="AX3545" s="77"/>
      <c r="BA3545" s="497">
        <v>59</v>
      </c>
      <c r="BB3545" s="42"/>
      <c r="BC3545" s="74"/>
      <c r="BD3545" s="77"/>
      <c r="BF3545">
        <v>59</v>
      </c>
      <c r="BH3545" s="42"/>
      <c r="BI3545" s="74"/>
      <c r="BJ3545" s="77"/>
      <c r="BL3545" s="497">
        <v>60.08</v>
      </c>
      <c r="BN3545" s="42"/>
      <c r="BO3545" s="74"/>
      <c r="BP3545" s="77"/>
      <c r="BR3545" s="497">
        <v>50</v>
      </c>
      <c r="BT3545" s="42"/>
    </row>
    <row r="3546" spans="1:72" x14ac:dyDescent="0.25">
      <c r="A3546" s="90">
        <v>36307</v>
      </c>
      <c r="B3546" s="20">
        <v>1</v>
      </c>
      <c r="D3546">
        <v>55.94</v>
      </c>
      <c r="E3546" t="str">
        <f t="shared" si="146"/>
        <v>WEEKDAY</v>
      </c>
      <c r="F3546" t="e">
        <f t="shared" si="145"/>
        <v>#N/A</v>
      </c>
      <c r="G3546" s="74">
        <v>31924</v>
      </c>
      <c r="H3546" s="77">
        <v>1</v>
      </c>
      <c r="J3546">
        <v>57.92</v>
      </c>
      <c r="M3546" s="74">
        <v>34481</v>
      </c>
      <c r="N3546" s="80">
        <v>1</v>
      </c>
      <c r="P3546">
        <v>50</v>
      </c>
      <c r="S3546" s="74">
        <v>36307</v>
      </c>
      <c r="T3546" s="80">
        <v>1</v>
      </c>
      <c r="V3546">
        <v>64.039999999999992</v>
      </c>
      <c r="X3546" s="42"/>
      <c r="AB3546">
        <v>61.6</v>
      </c>
      <c r="AC3546">
        <v>57.92</v>
      </c>
      <c r="AE3546" s="74"/>
      <c r="AF3546" s="80"/>
      <c r="AH3546" s="497">
        <v>51.8</v>
      </c>
      <c r="AJ3546" s="42"/>
      <c r="AK3546" s="74"/>
      <c r="AL3546" s="80"/>
      <c r="AN3546" s="497">
        <v>62.96</v>
      </c>
      <c r="AP3546" s="42"/>
      <c r="AQ3546" s="74"/>
      <c r="AR3546" s="80"/>
      <c r="AT3546" s="497">
        <v>62.06</v>
      </c>
      <c r="AV3546" s="42"/>
      <c r="AW3546" s="74"/>
      <c r="AX3546" s="80"/>
      <c r="BA3546" s="497">
        <v>59</v>
      </c>
      <c r="BB3546" s="42"/>
      <c r="BC3546" s="74"/>
      <c r="BD3546" s="80"/>
      <c r="BF3546">
        <v>57.92</v>
      </c>
      <c r="BH3546" s="42"/>
      <c r="BI3546" s="74"/>
      <c r="BJ3546" s="80"/>
      <c r="BL3546" s="497">
        <v>60.08</v>
      </c>
      <c r="BN3546" s="42"/>
      <c r="BO3546" s="74"/>
      <c r="BP3546" s="80"/>
      <c r="BR3546" s="497">
        <v>48.019999999999996</v>
      </c>
      <c r="BT3546" s="42"/>
    </row>
    <row r="3547" spans="1:72" x14ac:dyDescent="0.25">
      <c r="A3547" s="90">
        <v>36308</v>
      </c>
      <c r="B3547" s="20">
        <v>4.1666666666666664E-2</v>
      </c>
      <c r="D3547">
        <v>55.040000000000006</v>
      </c>
      <c r="E3547" t="str">
        <f t="shared" si="146"/>
        <v>WEEKDAY</v>
      </c>
      <c r="F3547" t="e">
        <f t="shared" si="145"/>
        <v>#N/A</v>
      </c>
      <c r="G3547" s="74">
        <v>31925</v>
      </c>
      <c r="H3547" s="77">
        <v>4.1666666666666664E-2</v>
      </c>
      <c r="J3547">
        <v>57.92</v>
      </c>
      <c r="M3547" s="74">
        <v>34482</v>
      </c>
      <c r="N3547" s="77">
        <v>4.1666666666666664E-2</v>
      </c>
      <c r="P3547">
        <v>47.84</v>
      </c>
      <c r="S3547" s="74">
        <v>36308</v>
      </c>
      <c r="T3547" s="77">
        <v>4.1666666666666664E-2</v>
      </c>
      <c r="V3547">
        <v>60.980000000000004</v>
      </c>
      <c r="X3547" s="42"/>
      <c r="AB3547">
        <v>61</v>
      </c>
      <c r="AC3547">
        <v>59</v>
      </c>
      <c r="AE3547" s="74"/>
      <c r="AF3547" s="77"/>
      <c r="AH3547" s="497">
        <v>48.2</v>
      </c>
      <c r="AJ3547" s="42"/>
      <c r="AK3547" s="74"/>
      <c r="AL3547" s="77"/>
      <c r="AN3547" s="497">
        <v>62.06</v>
      </c>
      <c r="AP3547" s="42"/>
      <c r="AQ3547" s="74"/>
      <c r="AR3547" s="77"/>
      <c r="AT3547" s="497">
        <v>60.08</v>
      </c>
      <c r="AV3547" s="42"/>
      <c r="AW3547" s="74"/>
      <c r="AX3547" s="77"/>
      <c r="BA3547" s="497">
        <v>59</v>
      </c>
      <c r="BB3547" s="42"/>
      <c r="BC3547" s="74"/>
      <c r="BD3547" s="77"/>
      <c r="BF3547">
        <v>57.92</v>
      </c>
      <c r="BH3547" s="42"/>
      <c r="BI3547" s="74"/>
      <c r="BJ3547" s="77"/>
      <c r="BL3547" s="497">
        <v>59</v>
      </c>
      <c r="BN3547" s="42"/>
      <c r="BO3547" s="74"/>
      <c r="BP3547" s="77"/>
      <c r="BR3547" s="497">
        <v>46.94</v>
      </c>
      <c r="BT3547" s="42"/>
    </row>
    <row r="3548" spans="1:72" x14ac:dyDescent="0.25">
      <c r="A3548" s="90">
        <v>36308</v>
      </c>
      <c r="B3548" s="20">
        <v>8.3333333333333329E-2</v>
      </c>
      <c r="D3548">
        <v>53.96</v>
      </c>
      <c r="E3548" t="str">
        <f t="shared" si="146"/>
        <v>WEEKDAY</v>
      </c>
      <c r="F3548" t="e">
        <f t="shared" si="145"/>
        <v>#N/A</v>
      </c>
      <c r="G3548" s="74">
        <v>31925</v>
      </c>
      <c r="H3548" s="77">
        <v>8.3333333333333329E-2</v>
      </c>
      <c r="J3548">
        <v>59</v>
      </c>
      <c r="M3548" s="74">
        <v>34482</v>
      </c>
      <c r="N3548" s="77">
        <v>8.3333333333333329E-2</v>
      </c>
      <c r="P3548">
        <v>43.879999999999995</v>
      </c>
      <c r="S3548" s="74">
        <v>36308</v>
      </c>
      <c r="T3548" s="77">
        <v>8.3333333333333329E-2</v>
      </c>
      <c r="V3548">
        <v>59</v>
      </c>
      <c r="X3548" s="42"/>
      <c r="AB3548">
        <v>60.5</v>
      </c>
      <c r="AC3548">
        <v>57.92</v>
      </c>
      <c r="AE3548" s="74"/>
      <c r="AF3548" s="77"/>
      <c r="AH3548" s="497">
        <v>46.4</v>
      </c>
      <c r="AJ3548" s="42"/>
      <c r="AK3548" s="74"/>
      <c r="AL3548" s="77"/>
      <c r="AN3548" s="497">
        <v>62.06</v>
      </c>
      <c r="AP3548" s="42"/>
      <c r="AQ3548" s="74"/>
      <c r="AR3548" s="77"/>
      <c r="AT3548" s="497">
        <v>59</v>
      </c>
      <c r="AV3548" s="42"/>
      <c r="AW3548" s="74"/>
      <c r="AX3548" s="77"/>
      <c r="BA3548" s="497">
        <v>59</v>
      </c>
      <c r="BB3548" s="42"/>
      <c r="BC3548" s="74"/>
      <c r="BD3548" s="77"/>
      <c r="BF3548">
        <v>57.92</v>
      </c>
      <c r="BH3548" s="42"/>
      <c r="BI3548" s="74"/>
      <c r="BJ3548" s="77"/>
      <c r="BL3548" s="497">
        <v>57.019999999999996</v>
      </c>
      <c r="BN3548" s="42"/>
      <c r="BO3548" s="74"/>
      <c r="BP3548" s="77"/>
      <c r="BR3548" s="497">
        <v>44.06</v>
      </c>
      <c r="BT3548" s="42"/>
    </row>
    <row r="3549" spans="1:72" x14ac:dyDescent="0.25">
      <c r="A3549" s="90">
        <v>36308</v>
      </c>
      <c r="B3549" s="20">
        <v>0.125</v>
      </c>
      <c r="D3549">
        <v>53.06</v>
      </c>
      <c r="E3549" t="str">
        <f t="shared" si="146"/>
        <v>WEEKDAY</v>
      </c>
      <c r="F3549" t="e">
        <f t="shared" si="145"/>
        <v>#N/A</v>
      </c>
      <c r="G3549" s="74">
        <v>31925</v>
      </c>
      <c r="H3549" s="77">
        <v>0.125</v>
      </c>
      <c r="J3549">
        <v>59</v>
      </c>
      <c r="M3549" s="74">
        <v>34482</v>
      </c>
      <c r="N3549" s="77">
        <v>0.125</v>
      </c>
      <c r="P3549">
        <v>41</v>
      </c>
      <c r="S3549" s="74">
        <v>36308</v>
      </c>
      <c r="T3549" s="77">
        <v>0.125</v>
      </c>
      <c r="V3549">
        <v>57.92</v>
      </c>
      <c r="X3549" s="42"/>
      <c r="AB3549">
        <v>60</v>
      </c>
      <c r="AC3549">
        <v>57.92</v>
      </c>
      <c r="AE3549" s="74"/>
      <c r="AF3549" s="77"/>
      <c r="AH3549" s="497">
        <v>46.4</v>
      </c>
      <c r="AJ3549" s="42"/>
      <c r="AK3549" s="74"/>
      <c r="AL3549" s="77"/>
      <c r="AN3549" s="497">
        <v>60.980000000000004</v>
      </c>
      <c r="AP3549" s="42"/>
      <c r="AQ3549" s="74"/>
      <c r="AR3549" s="77"/>
      <c r="AT3549" s="497">
        <v>59</v>
      </c>
      <c r="AV3549" s="42"/>
      <c r="AW3549" s="74"/>
      <c r="AX3549" s="77"/>
      <c r="BA3549" s="497">
        <v>57.92</v>
      </c>
      <c r="BB3549" s="42"/>
      <c r="BC3549" s="74"/>
      <c r="BD3549" s="77"/>
      <c r="BF3549">
        <v>59</v>
      </c>
      <c r="BH3549" s="42"/>
      <c r="BI3549" s="74"/>
      <c r="BJ3549" s="77"/>
      <c r="BL3549" s="497">
        <v>55.94</v>
      </c>
      <c r="BN3549" s="42"/>
      <c r="BO3549" s="74"/>
      <c r="BP3549" s="77"/>
      <c r="BR3549" s="497">
        <v>44.06</v>
      </c>
      <c r="BT3549" s="42"/>
    </row>
    <row r="3550" spans="1:72" x14ac:dyDescent="0.25">
      <c r="A3550" s="90">
        <v>36308</v>
      </c>
      <c r="B3550" s="20">
        <v>0.16666666666666666</v>
      </c>
      <c r="D3550">
        <v>51.980000000000004</v>
      </c>
      <c r="E3550" t="str">
        <f t="shared" si="146"/>
        <v>WEEKDAY</v>
      </c>
      <c r="F3550" t="e">
        <f t="shared" si="145"/>
        <v>#N/A</v>
      </c>
      <c r="G3550" s="74">
        <v>31925</v>
      </c>
      <c r="H3550" s="77">
        <v>0.16666666666666666</v>
      </c>
      <c r="J3550">
        <v>60.08</v>
      </c>
      <c r="M3550" s="74">
        <v>34482</v>
      </c>
      <c r="N3550" s="77">
        <v>0.16666666666666666</v>
      </c>
      <c r="P3550">
        <v>39.92</v>
      </c>
      <c r="S3550" s="74">
        <v>36308</v>
      </c>
      <c r="T3550" s="77">
        <v>0.16666666666666666</v>
      </c>
      <c r="V3550">
        <v>59</v>
      </c>
      <c r="X3550" s="42"/>
      <c r="AB3550">
        <v>59.5</v>
      </c>
      <c r="AC3550">
        <v>57.92</v>
      </c>
      <c r="AE3550" s="74"/>
      <c r="AF3550" s="77"/>
      <c r="AH3550" s="497">
        <v>44.6</v>
      </c>
      <c r="AJ3550" s="42"/>
      <c r="AK3550" s="74"/>
      <c r="AL3550" s="77"/>
      <c r="AN3550" s="497">
        <v>57.92</v>
      </c>
      <c r="AP3550" s="42"/>
      <c r="AQ3550" s="74"/>
      <c r="AR3550" s="77"/>
      <c r="AT3550" s="497">
        <v>57.92</v>
      </c>
      <c r="AV3550" s="42"/>
      <c r="AW3550" s="74"/>
      <c r="AX3550" s="77"/>
      <c r="BA3550" s="497">
        <v>57.92</v>
      </c>
      <c r="BB3550" s="42"/>
      <c r="BC3550" s="74"/>
      <c r="BD3550" s="77"/>
      <c r="BF3550">
        <v>60.980000000000004</v>
      </c>
      <c r="BH3550" s="42"/>
      <c r="BI3550" s="74"/>
      <c r="BJ3550" s="77"/>
      <c r="BL3550" s="497">
        <v>55.040000000000006</v>
      </c>
      <c r="BN3550" s="42"/>
      <c r="BO3550" s="74"/>
      <c r="BP3550" s="77"/>
      <c r="BR3550" s="497">
        <v>42.980000000000004</v>
      </c>
      <c r="BT3550" s="42"/>
    </row>
    <row r="3551" spans="1:72" x14ac:dyDescent="0.25">
      <c r="A3551" s="90">
        <v>36308</v>
      </c>
      <c r="B3551" s="20">
        <v>0.20833333333333334</v>
      </c>
      <c r="D3551">
        <v>51.08</v>
      </c>
      <c r="E3551" t="str">
        <f t="shared" si="146"/>
        <v>WEEKDAY</v>
      </c>
      <c r="F3551" t="e">
        <f t="shared" si="145"/>
        <v>#N/A</v>
      </c>
      <c r="G3551" s="74">
        <v>31925</v>
      </c>
      <c r="H3551" s="77">
        <v>0.20833333333333334</v>
      </c>
      <c r="J3551">
        <v>60.980000000000004</v>
      </c>
      <c r="M3551" s="74">
        <v>34482</v>
      </c>
      <c r="N3551" s="77">
        <v>0.20833333333333334</v>
      </c>
      <c r="P3551">
        <v>37.94</v>
      </c>
      <c r="S3551" s="74">
        <v>36308</v>
      </c>
      <c r="T3551" s="77">
        <v>0.20833333333333334</v>
      </c>
      <c r="V3551">
        <v>59</v>
      </c>
      <c r="X3551" s="42"/>
      <c r="AB3551">
        <v>59.2</v>
      </c>
      <c r="AC3551">
        <v>55.94</v>
      </c>
      <c r="AE3551" s="74"/>
      <c r="AF3551" s="77"/>
      <c r="AH3551" s="497">
        <v>42.8</v>
      </c>
      <c r="AJ3551" s="42"/>
      <c r="AK3551" s="74"/>
      <c r="AL3551" s="77"/>
      <c r="AN3551" s="497">
        <v>59</v>
      </c>
      <c r="AP3551" s="42"/>
      <c r="AQ3551" s="74"/>
      <c r="AR3551" s="77"/>
      <c r="AT3551" s="497">
        <v>57.92</v>
      </c>
      <c r="AV3551" s="42"/>
      <c r="AW3551" s="74"/>
      <c r="AX3551" s="77"/>
      <c r="BA3551" s="497">
        <v>57.92</v>
      </c>
      <c r="BB3551" s="42"/>
      <c r="BC3551" s="74"/>
      <c r="BD3551" s="77"/>
      <c r="BF3551">
        <v>60.980000000000004</v>
      </c>
      <c r="BH3551" s="42"/>
      <c r="BI3551" s="74"/>
      <c r="BJ3551" s="77"/>
      <c r="BL3551" s="497">
        <v>55.040000000000006</v>
      </c>
      <c r="BN3551" s="42"/>
      <c r="BO3551" s="74"/>
      <c r="BP3551" s="77"/>
      <c r="BR3551" s="497">
        <v>46.04</v>
      </c>
      <c r="BT3551" s="42"/>
    </row>
    <row r="3552" spans="1:72" x14ac:dyDescent="0.25">
      <c r="A3552" s="90">
        <v>36308</v>
      </c>
      <c r="B3552" s="20">
        <v>0.25</v>
      </c>
      <c r="D3552">
        <v>51.980000000000004</v>
      </c>
      <c r="E3552" t="str">
        <f t="shared" si="146"/>
        <v>WEEKDAY</v>
      </c>
      <c r="F3552" t="e">
        <f t="shared" si="145"/>
        <v>#N/A</v>
      </c>
      <c r="G3552" s="74">
        <v>31925</v>
      </c>
      <c r="H3552" s="77">
        <v>0.25</v>
      </c>
      <c r="J3552">
        <v>62.06</v>
      </c>
      <c r="M3552" s="74">
        <v>34482</v>
      </c>
      <c r="N3552" s="77">
        <v>0.25</v>
      </c>
      <c r="P3552">
        <v>45.86</v>
      </c>
      <c r="S3552" s="74">
        <v>36308</v>
      </c>
      <c r="T3552" s="77">
        <v>0.25</v>
      </c>
      <c r="V3552">
        <v>60.980000000000004</v>
      </c>
      <c r="X3552" s="42"/>
      <c r="AB3552">
        <v>59</v>
      </c>
      <c r="AC3552">
        <v>57.92</v>
      </c>
      <c r="AE3552" s="74"/>
      <c r="AF3552" s="77"/>
      <c r="AH3552" s="497">
        <v>46.4</v>
      </c>
      <c r="AJ3552" s="42"/>
      <c r="AK3552" s="74"/>
      <c r="AL3552" s="77"/>
      <c r="AN3552" s="497">
        <v>57.019999999999996</v>
      </c>
      <c r="AP3552" s="42"/>
      <c r="AQ3552" s="74"/>
      <c r="AR3552" s="77"/>
      <c r="AT3552" s="497">
        <v>57.92</v>
      </c>
      <c r="AV3552" s="42"/>
      <c r="AW3552" s="74"/>
      <c r="AX3552" s="77"/>
      <c r="BA3552" s="497">
        <v>57.92</v>
      </c>
      <c r="BB3552" s="42"/>
      <c r="BC3552" s="74"/>
      <c r="BD3552" s="77"/>
      <c r="BF3552">
        <v>62.06</v>
      </c>
      <c r="BH3552" s="42"/>
      <c r="BI3552" s="74"/>
      <c r="BJ3552" s="77"/>
      <c r="BL3552" s="497">
        <v>57.019999999999996</v>
      </c>
      <c r="BN3552" s="42"/>
      <c r="BO3552" s="74"/>
      <c r="BP3552" s="77"/>
      <c r="BR3552" s="497">
        <v>53.96</v>
      </c>
      <c r="BT3552" s="42"/>
    </row>
    <row r="3553" spans="1:72" x14ac:dyDescent="0.25">
      <c r="A3553" s="90">
        <v>36308</v>
      </c>
      <c r="B3553" s="20">
        <v>0.29166666666666669</v>
      </c>
      <c r="D3553">
        <v>55.94</v>
      </c>
      <c r="E3553" t="str">
        <f t="shared" si="146"/>
        <v>WEEKDAY</v>
      </c>
      <c r="F3553" t="e">
        <f t="shared" si="145"/>
        <v>#N/A</v>
      </c>
      <c r="G3553" s="74">
        <v>31925</v>
      </c>
      <c r="H3553" s="77">
        <v>0.29166666666666669</v>
      </c>
      <c r="J3553">
        <v>64.039999999999992</v>
      </c>
      <c r="M3553" s="74">
        <v>34482</v>
      </c>
      <c r="N3553" s="77">
        <v>0.29166666666666669</v>
      </c>
      <c r="P3553">
        <v>50.900000000000006</v>
      </c>
      <c r="S3553" s="74">
        <v>36308</v>
      </c>
      <c r="T3553" s="77">
        <v>0.29166666666666669</v>
      </c>
      <c r="V3553">
        <v>64.94</v>
      </c>
      <c r="X3553" s="42"/>
      <c r="AB3553">
        <v>60.5</v>
      </c>
      <c r="AC3553">
        <v>60.980000000000004</v>
      </c>
      <c r="AE3553" s="74"/>
      <c r="AF3553" s="77"/>
      <c r="AH3553" s="497">
        <v>55.400000000000006</v>
      </c>
      <c r="AJ3553" s="42"/>
      <c r="AK3553" s="74"/>
      <c r="AL3553" s="77"/>
      <c r="AN3553" s="497">
        <v>62.96</v>
      </c>
      <c r="AP3553" s="42"/>
      <c r="AQ3553" s="74"/>
      <c r="AR3553" s="77"/>
      <c r="AT3553" s="497">
        <v>57.019999999999996</v>
      </c>
      <c r="AV3553" s="42"/>
      <c r="AW3553" s="74"/>
      <c r="AX3553" s="77"/>
      <c r="BA3553" s="497">
        <v>57.92</v>
      </c>
      <c r="BB3553" s="42"/>
      <c r="BC3553" s="74"/>
      <c r="BD3553" s="77"/>
      <c r="BF3553">
        <v>64.039999999999992</v>
      </c>
      <c r="BH3553" s="42"/>
      <c r="BI3553" s="74"/>
      <c r="BJ3553" s="77"/>
      <c r="BL3553" s="497">
        <v>60.980000000000004</v>
      </c>
      <c r="BN3553" s="42"/>
      <c r="BO3553" s="74"/>
      <c r="BP3553" s="77"/>
      <c r="BR3553" s="497">
        <v>57.92</v>
      </c>
      <c r="BT3553" s="42"/>
    </row>
    <row r="3554" spans="1:72" x14ac:dyDescent="0.25">
      <c r="A3554" s="90">
        <v>36308</v>
      </c>
      <c r="B3554" s="20">
        <v>0.33333333333333331</v>
      </c>
      <c r="D3554">
        <v>59</v>
      </c>
      <c r="E3554" t="str">
        <f t="shared" si="146"/>
        <v>WEEKDAY</v>
      </c>
      <c r="F3554" t="e">
        <f t="shared" si="145"/>
        <v>#N/A</v>
      </c>
      <c r="G3554" s="74">
        <v>31925</v>
      </c>
      <c r="H3554" s="77">
        <v>0.33333333333333331</v>
      </c>
      <c r="J3554">
        <v>66.02</v>
      </c>
      <c r="M3554" s="74">
        <v>34482</v>
      </c>
      <c r="N3554" s="77">
        <v>0.33333333333333331</v>
      </c>
      <c r="P3554">
        <v>55.94</v>
      </c>
      <c r="S3554" s="74">
        <v>36308</v>
      </c>
      <c r="T3554" s="77">
        <v>0.33333333333333331</v>
      </c>
      <c r="V3554">
        <v>66.92</v>
      </c>
      <c r="X3554" s="42"/>
      <c r="AB3554">
        <v>62.4</v>
      </c>
      <c r="AC3554">
        <v>62.06</v>
      </c>
      <c r="AE3554" s="74"/>
      <c r="AF3554" s="77"/>
      <c r="AH3554" s="497">
        <v>57.2</v>
      </c>
      <c r="AJ3554" s="42"/>
      <c r="AK3554" s="74"/>
      <c r="AL3554" s="77"/>
      <c r="AN3554" s="497">
        <v>66.02</v>
      </c>
      <c r="AP3554" s="42"/>
      <c r="AQ3554" s="74"/>
      <c r="AR3554" s="77"/>
      <c r="AT3554" s="497">
        <v>57.92</v>
      </c>
      <c r="AV3554" s="42"/>
      <c r="AW3554" s="74"/>
      <c r="AX3554" s="77"/>
      <c r="BA3554" s="497">
        <v>57.92</v>
      </c>
      <c r="BB3554" s="42"/>
      <c r="BC3554" s="74"/>
      <c r="BD3554" s="77"/>
      <c r="BF3554">
        <v>64.94</v>
      </c>
      <c r="BH3554" s="42"/>
      <c r="BI3554" s="74"/>
      <c r="BJ3554" s="77"/>
      <c r="BL3554" s="497">
        <v>68</v>
      </c>
      <c r="BN3554" s="42"/>
      <c r="BO3554" s="74"/>
      <c r="BP3554" s="77"/>
      <c r="BR3554" s="497">
        <v>64.039999999999992</v>
      </c>
      <c r="BT3554" s="42"/>
    </row>
    <row r="3555" spans="1:72" x14ac:dyDescent="0.25">
      <c r="A3555" s="90">
        <v>36308</v>
      </c>
      <c r="B3555" s="20">
        <v>0.375</v>
      </c>
      <c r="D3555">
        <v>60.980000000000004</v>
      </c>
      <c r="E3555" t="str">
        <f t="shared" si="146"/>
        <v>WEEKDAY</v>
      </c>
      <c r="F3555" t="e">
        <f t="shared" si="145"/>
        <v>#N/A</v>
      </c>
      <c r="G3555" s="74">
        <v>31925</v>
      </c>
      <c r="H3555" s="77">
        <v>0.375</v>
      </c>
      <c r="J3555">
        <v>69.080000000000013</v>
      </c>
      <c r="M3555" s="74">
        <v>34482</v>
      </c>
      <c r="N3555" s="77">
        <v>0.375</v>
      </c>
      <c r="P3555">
        <v>57.92</v>
      </c>
      <c r="S3555" s="74">
        <v>36308</v>
      </c>
      <c r="T3555" s="77">
        <v>0.375</v>
      </c>
      <c r="V3555">
        <v>69.080000000000013</v>
      </c>
      <c r="X3555" s="42"/>
      <c r="AB3555">
        <v>64.400000000000006</v>
      </c>
      <c r="AC3555">
        <v>62.96</v>
      </c>
      <c r="AE3555" s="74"/>
      <c r="AF3555" s="77"/>
      <c r="AH3555" s="497">
        <v>59</v>
      </c>
      <c r="AJ3555" s="42"/>
      <c r="AK3555" s="74"/>
      <c r="AL3555" s="77"/>
      <c r="AN3555" s="497">
        <v>69.080000000000013</v>
      </c>
      <c r="AP3555" s="42"/>
      <c r="AQ3555" s="74"/>
      <c r="AR3555" s="77"/>
      <c r="AT3555" s="497">
        <v>57.019999999999996</v>
      </c>
      <c r="AV3555" s="42"/>
      <c r="AW3555" s="74"/>
      <c r="AX3555" s="77"/>
      <c r="BA3555" s="497">
        <v>55.94</v>
      </c>
      <c r="BB3555" s="42"/>
      <c r="BC3555" s="74"/>
      <c r="BD3555" s="77"/>
      <c r="BF3555">
        <v>64.039999999999992</v>
      </c>
      <c r="BH3555" s="42"/>
      <c r="BI3555" s="74"/>
      <c r="BJ3555" s="77"/>
      <c r="BL3555" s="497">
        <v>71.960000000000008</v>
      </c>
      <c r="BN3555" s="42"/>
      <c r="BO3555" s="74"/>
      <c r="BP3555" s="77"/>
      <c r="BR3555" s="497">
        <v>71.06</v>
      </c>
      <c r="BT3555" s="42"/>
    </row>
    <row r="3556" spans="1:72" x14ac:dyDescent="0.25">
      <c r="A3556" s="90">
        <v>36308</v>
      </c>
      <c r="B3556" s="20">
        <v>0.41666666666666669</v>
      </c>
      <c r="D3556">
        <v>62.96</v>
      </c>
      <c r="E3556" t="str">
        <f t="shared" si="146"/>
        <v>WEEKDAY</v>
      </c>
      <c r="F3556" t="e">
        <f t="shared" si="145"/>
        <v>#N/A</v>
      </c>
      <c r="G3556" s="74">
        <v>31925</v>
      </c>
      <c r="H3556" s="77">
        <v>0.41666666666666669</v>
      </c>
      <c r="J3556">
        <v>71.960000000000008</v>
      </c>
      <c r="M3556" s="74">
        <v>34482</v>
      </c>
      <c r="N3556" s="77">
        <v>0.41666666666666669</v>
      </c>
      <c r="P3556">
        <v>57.92</v>
      </c>
      <c r="S3556" s="74">
        <v>36308</v>
      </c>
      <c r="T3556" s="77">
        <v>0.41666666666666669</v>
      </c>
      <c r="V3556">
        <v>71.960000000000008</v>
      </c>
      <c r="X3556" s="42"/>
      <c r="AB3556">
        <v>66.099999999999994</v>
      </c>
      <c r="AC3556">
        <v>62.96</v>
      </c>
      <c r="AE3556" s="74"/>
      <c r="AF3556" s="77"/>
      <c r="AH3556" s="497">
        <v>61.88</v>
      </c>
      <c r="AJ3556" s="42"/>
      <c r="AK3556" s="74"/>
      <c r="AL3556" s="77"/>
      <c r="AN3556" s="497">
        <v>73.039999999999992</v>
      </c>
      <c r="AP3556" s="42"/>
      <c r="AQ3556" s="74"/>
      <c r="AR3556" s="77"/>
      <c r="AT3556" s="497">
        <v>55.94</v>
      </c>
      <c r="AV3556" s="42"/>
      <c r="AW3556" s="74"/>
      <c r="AX3556" s="77"/>
      <c r="BA3556" s="497">
        <v>55.94</v>
      </c>
      <c r="BB3556" s="42"/>
      <c r="BC3556" s="74"/>
      <c r="BD3556" s="77"/>
      <c r="BF3556">
        <v>62.06</v>
      </c>
      <c r="BH3556" s="42"/>
      <c r="BI3556" s="74"/>
      <c r="BJ3556" s="77"/>
      <c r="BL3556" s="497">
        <v>73.039999999999992</v>
      </c>
      <c r="BN3556" s="42"/>
      <c r="BO3556" s="74"/>
      <c r="BP3556" s="77"/>
      <c r="BR3556" s="497">
        <v>73.039999999999992</v>
      </c>
      <c r="BT3556" s="42"/>
    </row>
    <row r="3557" spans="1:72" x14ac:dyDescent="0.25">
      <c r="A3557" s="90">
        <v>36308</v>
      </c>
      <c r="B3557" s="20">
        <v>0.45833333333333331</v>
      </c>
      <c r="D3557">
        <v>64.94</v>
      </c>
      <c r="E3557" t="str">
        <f t="shared" si="146"/>
        <v>WEEKDAY</v>
      </c>
      <c r="F3557" t="e">
        <f t="shared" si="145"/>
        <v>#N/A</v>
      </c>
      <c r="G3557" s="74">
        <v>31925</v>
      </c>
      <c r="H3557" s="77">
        <v>0.45833333333333331</v>
      </c>
      <c r="J3557">
        <v>78.080000000000013</v>
      </c>
      <c r="M3557" s="74">
        <v>34482</v>
      </c>
      <c r="N3557" s="77">
        <v>0.45833333333333331</v>
      </c>
      <c r="P3557">
        <v>61.88</v>
      </c>
      <c r="S3557" s="74">
        <v>36308</v>
      </c>
      <c r="T3557" s="77">
        <v>0.45833333333333331</v>
      </c>
      <c r="V3557">
        <v>75.02</v>
      </c>
      <c r="X3557" s="42"/>
      <c r="AB3557">
        <v>67.8</v>
      </c>
      <c r="AC3557">
        <v>60.980000000000004</v>
      </c>
      <c r="AE3557" s="74"/>
      <c r="AF3557" s="77"/>
      <c r="AH3557" s="497">
        <v>64.400000000000006</v>
      </c>
      <c r="AJ3557" s="42"/>
      <c r="AK3557" s="74"/>
      <c r="AL3557" s="77"/>
      <c r="AN3557" s="497">
        <v>75.92</v>
      </c>
      <c r="AP3557" s="42"/>
      <c r="AQ3557" s="74"/>
      <c r="AR3557" s="77"/>
      <c r="AT3557" s="497">
        <v>55.94</v>
      </c>
      <c r="AV3557" s="42"/>
      <c r="AW3557" s="74"/>
      <c r="AX3557" s="77"/>
      <c r="BA3557" s="497">
        <v>59</v>
      </c>
      <c r="BB3557" s="42"/>
      <c r="BC3557" s="74"/>
      <c r="BD3557" s="77"/>
      <c r="BF3557">
        <v>59</v>
      </c>
      <c r="BH3557" s="42"/>
      <c r="BI3557" s="74"/>
      <c r="BJ3557" s="77"/>
      <c r="BL3557" s="497">
        <v>75.02</v>
      </c>
      <c r="BN3557" s="42"/>
      <c r="BO3557" s="74"/>
      <c r="BP3557" s="77"/>
      <c r="BR3557" s="497">
        <v>73.94</v>
      </c>
      <c r="BT3557" s="42"/>
    </row>
    <row r="3558" spans="1:72" x14ac:dyDescent="0.25">
      <c r="A3558" s="90">
        <v>36308</v>
      </c>
      <c r="B3558" s="20">
        <v>0.5</v>
      </c>
      <c r="D3558">
        <v>66.02</v>
      </c>
      <c r="E3558" t="str">
        <f t="shared" si="146"/>
        <v>WEEKDAY</v>
      </c>
      <c r="F3558" t="e">
        <f t="shared" si="145"/>
        <v>#N/A</v>
      </c>
      <c r="G3558" s="74">
        <v>31925</v>
      </c>
      <c r="H3558" s="77">
        <v>0.5</v>
      </c>
      <c r="J3558">
        <v>78.98</v>
      </c>
      <c r="M3558" s="74">
        <v>34482</v>
      </c>
      <c r="N3558" s="77">
        <v>0.5</v>
      </c>
      <c r="P3558">
        <v>64.94</v>
      </c>
      <c r="S3558" s="74">
        <v>36308</v>
      </c>
      <c r="T3558" s="77">
        <v>0.5</v>
      </c>
      <c r="V3558">
        <v>75.92</v>
      </c>
      <c r="X3558" s="42"/>
      <c r="AB3558">
        <v>68.900000000000006</v>
      </c>
      <c r="AC3558">
        <v>60.08</v>
      </c>
      <c r="AE3558" s="74"/>
      <c r="AF3558" s="77"/>
      <c r="AH3558" s="497">
        <v>64.400000000000006</v>
      </c>
      <c r="AJ3558" s="42"/>
      <c r="AK3558" s="74"/>
      <c r="AL3558" s="77"/>
      <c r="AN3558" s="497">
        <v>77</v>
      </c>
      <c r="AP3558" s="42"/>
      <c r="AQ3558" s="74"/>
      <c r="AR3558" s="77"/>
      <c r="AT3558" s="497">
        <v>55.94</v>
      </c>
      <c r="AV3558" s="42"/>
      <c r="AW3558" s="74"/>
      <c r="AX3558" s="77"/>
      <c r="BA3558" s="497">
        <v>60.980000000000004</v>
      </c>
      <c r="BB3558" s="42"/>
      <c r="BC3558" s="74"/>
      <c r="BD3558" s="77"/>
      <c r="BF3558">
        <v>57.019999999999996</v>
      </c>
      <c r="BH3558" s="42"/>
      <c r="BI3558" s="74"/>
      <c r="BJ3558" s="77"/>
      <c r="BL3558" s="497">
        <v>78.080000000000013</v>
      </c>
      <c r="BN3558" s="42"/>
      <c r="BO3558" s="74"/>
      <c r="BP3558" s="77"/>
      <c r="BR3558" s="497">
        <v>75.92</v>
      </c>
      <c r="BT3558" s="42"/>
    </row>
    <row r="3559" spans="1:72" x14ac:dyDescent="0.25">
      <c r="A3559" s="90">
        <v>36308</v>
      </c>
      <c r="B3559" s="20">
        <v>0.54166666666666663</v>
      </c>
      <c r="D3559">
        <v>68</v>
      </c>
      <c r="E3559" t="str">
        <f t="shared" si="146"/>
        <v>WEEKDAY</v>
      </c>
      <c r="F3559" t="e">
        <f t="shared" si="145"/>
        <v>#N/A</v>
      </c>
      <c r="G3559" s="74">
        <v>31925</v>
      </c>
      <c r="H3559" s="77">
        <v>0.54166666666666663</v>
      </c>
      <c r="J3559">
        <v>82.94</v>
      </c>
      <c r="M3559" s="74">
        <v>34482</v>
      </c>
      <c r="N3559" s="77">
        <v>0.54166666666666663</v>
      </c>
      <c r="P3559">
        <v>66.92</v>
      </c>
      <c r="S3559" s="74">
        <v>36308</v>
      </c>
      <c r="T3559" s="77">
        <v>0.54166666666666663</v>
      </c>
      <c r="V3559">
        <v>77</v>
      </c>
      <c r="X3559" s="42"/>
      <c r="AB3559">
        <v>69.8</v>
      </c>
      <c r="AC3559">
        <v>60.980000000000004</v>
      </c>
      <c r="AE3559" s="74"/>
      <c r="AF3559" s="77"/>
      <c r="AH3559" s="497">
        <v>64.400000000000006</v>
      </c>
      <c r="AJ3559" s="42"/>
      <c r="AK3559" s="74"/>
      <c r="AL3559" s="77"/>
      <c r="AN3559" s="497">
        <v>78.98</v>
      </c>
      <c r="AP3559" s="42"/>
      <c r="AQ3559" s="74"/>
      <c r="AR3559" s="77"/>
      <c r="AT3559" s="497">
        <v>55.94</v>
      </c>
      <c r="AV3559" s="42"/>
      <c r="AW3559" s="74"/>
      <c r="AX3559" s="77"/>
      <c r="BA3559" s="497">
        <v>62.96</v>
      </c>
      <c r="BB3559" s="42"/>
      <c r="BC3559" s="74"/>
      <c r="BD3559" s="77"/>
      <c r="BF3559">
        <v>55.94</v>
      </c>
      <c r="BH3559" s="42"/>
      <c r="BI3559" s="74"/>
      <c r="BJ3559" s="77"/>
      <c r="BL3559" s="497">
        <v>78.98</v>
      </c>
      <c r="BN3559" s="42"/>
      <c r="BO3559" s="74"/>
      <c r="BP3559" s="77"/>
      <c r="BR3559" s="497">
        <v>75.92</v>
      </c>
      <c r="BT3559" s="42"/>
    </row>
    <row r="3560" spans="1:72" x14ac:dyDescent="0.25">
      <c r="A3560" s="90">
        <v>36308</v>
      </c>
      <c r="B3560" s="20">
        <v>0.58333333333333337</v>
      </c>
      <c r="D3560">
        <v>69.98</v>
      </c>
      <c r="E3560" t="str">
        <f t="shared" si="146"/>
        <v>WEEKDAY</v>
      </c>
      <c r="F3560" t="e">
        <f t="shared" si="145"/>
        <v>#N/A</v>
      </c>
      <c r="G3560" s="74">
        <v>31925</v>
      </c>
      <c r="H3560" s="77">
        <v>0.58333333333333337</v>
      </c>
      <c r="J3560">
        <v>84.02</v>
      </c>
      <c r="M3560" s="74">
        <v>34482</v>
      </c>
      <c r="N3560" s="77">
        <v>0.58333333333333337</v>
      </c>
      <c r="P3560">
        <v>68</v>
      </c>
      <c r="S3560" s="74">
        <v>36308</v>
      </c>
      <c r="T3560" s="77">
        <v>0.58333333333333337</v>
      </c>
      <c r="V3560">
        <v>78.080000000000013</v>
      </c>
      <c r="X3560" s="42"/>
      <c r="AB3560">
        <v>70.099999999999994</v>
      </c>
      <c r="AC3560">
        <v>60.980000000000004</v>
      </c>
      <c r="AE3560" s="74"/>
      <c r="AF3560" s="77"/>
      <c r="AH3560" s="497">
        <v>66.2</v>
      </c>
      <c r="AJ3560" s="42"/>
      <c r="AK3560" s="74"/>
      <c r="AL3560" s="77"/>
      <c r="AN3560" s="497">
        <v>80.06</v>
      </c>
      <c r="AP3560" s="42"/>
      <c r="AQ3560" s="74"/>
      <c r="AR3560" s="77"/>
      <c r="AT3560" s="497">
        <v>55.040000000000006</v>
      </c>
      <c r="AV3560" s="42"/>
      <c r="AW3560" s="74"/>
      <c r="AX3560" s="77"/>
      <c r="BA3560" s="497">
        <v>66.02</v>
      </c>
      <c r="BB3560" s="42"/>
      <c r="BC3560" s="74"/>
      <c r="BD3560" s="77"/>
      <c r="BF3560">
        <v>57.019999999999996</v>
      </c>
      <c r="BH3560" s="42"/>
      <c r="BI3560" s="74"/>
      <c r="BJ3560" s="77"/>
      <c r="BL3560" s="497">
        <v>80.960000000000008</v>
      </c>
      <c r="BN3560" s="42"/>
      <c r="BO3560" s="74"/>
      <c r="BP3560" s="77"/>
      <c r="BR3560" s="497">
        <v>75.92</v>
      </c>
      <c r="BT3560" s="42"/>
    </row>
    <row r="3561" spans="1:72" x14ac:dyDescent="0.25">
      <c r="A3561" s="90">
        <v>36308</v>
      </c>
      <c r="B3561" s="20">
        <v>0.625</v>
      </c>
      <c r="D3561">
        <v>69.98</v>
      </c>
      <c r="E3561" t="str">
        <f t="shared" si="146"/>
        <v>WEEKDAY</v>
      </c>
      <c r="F3561" t="e">
        <f t="shared" si="145"/>
        <v>#N/A</v>
      </c>
      <c r="G3561" s="74">
        <v>31925</v>
      </c>
      <c r="H3561" s="77">
        <v>0.625</v>
      </c>
      <c r="J3561">
        <v>86</v>
      </c>
      <c r="M3561" s="74">
        <v>34482</v>
      </c>
      <c r="N3561" s="77">
        <v>0.625</v>
      </c>
      <c r="P3561">
        <v>68</v>
      </c>
      <c r="S3561" s="74">
        <v>36308</v>
      </c>
      <c r="T3561" s="77">
        <v>0.625</v>
      </c>
      <c r="V3561">
        <v>80.06</v>
      </c>
      <c r="X3561" s="42"/>
      <c r="AB3561">
        <v>70.099999999999994</v>
      </c>
      <c r="AC3561">
        <v>64.94</v>
      </c>
      <c r="AE3561" s="74"/>
      <c r="AF3561" s="77"/>
      <c r="AH3561" s="497">
        <v>66.2</v>
      </c>
      <c r="AJ3561" s="42"/>
      <c r="AK3561" s="74"/>
      <c r="AL3561" s="77"/>
      <c r="AN3561" s="497">
        <v>80.06</v>
      </c>
      <c r="AP3561" s="42"/>
      <c r="AQ3561" s="74"/>
      <c r="AR3561" s="77"/>
      <c r="AT3561" s="497">
        <v>55.94</v>
      </c>
      <c r="AV3561" s="42"/>
      <c r="AW3561" s="74"/>
      <c r="AX3561" s="77"/>
      <c r="BA3561" s="497">
        <v>69.98</v>
      </c>
      <c r="BB3561" s="42"/>
      <c r="BC3561" s="74"/>
      <c r="BD3561" s="77"/>
      <c r="BF3561">
        <v>59</v>
      </c>
      <c r="BH3561" s="42"/>
      <c r="BI3561" s="74"/>
      <c r="BJ3561" s="77"/>
      <c r="BL3561" s="497">
        <v>82.039999999999992</v>
      </c>
      <c r="BN3561" s="42"/>
      <c r="BO3561" s="74"/>
      <c r="BP3561" s="77"/>
      <c r="BR3561" s="497">
        <v>71.960000000000008</v>
      </c>
      <c r="BT3561" s="42"/>
    </row>
    <row r="3562" spans="1:72" x14ac:dyDescent="0.25">
      <c r="A3562" s="90">
        <v>36308</v>
      </c>
      <c r="B3562" s="20">
        <v>0.66666666666666663</v>
      </c>
      <c r="D3562">
        <v>69.080000000000013</v>
      </c>
      <c r="E3562" t="str">
        <f t="shared" si="146"/>
        <v>WEEKDAY</v>
      </c>
      <c r="F3562" t="e">
        <f t="shared" si="145"/>
        <v>#N/A</v>
      </c>
      <c r="G3562" s="74">
        <v>31925</v>
      </c>
      <c r="H3562" s="77">
        <v>0.66666666666666663</v>
      </c>
      <c r="J3562">
        <v>86</v>
      </c>
      <c r="M3562" s="74">
        <v>34482</v>
      </c>
      <c r="N3562" s="77">
        <v>0.66666666666666663</v>
      </c>
      <c r="P3562">
        <v>63.86</v>
      </c>
      <c r="S3562" s="74">
        <v>36308</v>
      </c>
      <c r="T3562" s="77">
        <v>0.66666666666666663</v>
      </c>
      <c r="V3562">
        <v>75.02</v>
      </c>
      <c r="X3562" s="42"/>
      <c r="AB3562">
        <v>69.5</v>
      </c>
      <c r="AC3562">
        <v>64.94</v>
      </c>
      <c r="AE3562" s="74"/>
      <c r="AF3562" s="77"/>
      <c r="AH3562" s="497">
        <v>66.2</v>
      </c>
      <c r="AJ3562" s="42"/>
      <c r="AK3562" s="74"/>
      <c r="AL3562" s="77"/>
      <c r="AN3562" s="497">
        <v>80.960000000000008</v>
      </c>
      <c r="AP3562" s="42"/>
      <c r="AQ3562" s="74"/>
      <c r="AR3562" s="77"/>
      <c r="AT3562" s="497">
        <v>57.019999999999996</v>
      </c>
      <c r="AV3562" s="42"/>
      <c r="AW3562" s="74"/>
      <c r="AX3562" s="77"/>
      <c r="BA3562" s="497">
        <v>71.06</v>
      </c>
      <c r="BB3562" s="42"/>
      <c r="BC3562" s="74"/>
      <c r="BD3562" s="77"/>
      <c r="BF3562">
        <v>59</v>
      </c>
      <c r="BH3562" s="42"/>
      <c r="BI3562" s="74"/>
      <c r="BJ3562" s="77"/>
      <c r="BL3562" s="497">
        <v>80.960000000000008</v>
      </c>
      <c r="BN3562" s="42"/>
      <c r="BO3562" s="74"/>
      <c r="BP3562" s="77"/>
      <c r="BR3562" s="497">
        <v>66.92</v>
      </c>
      <c r="BT3562" s="42"/>
    </row>
    <row r="3563" spans="1:72" x14ac:dyDescent="0.25">
      <c r="A3563" s="90">
        <v>36308</v>
      </c>
      <c r="B3563" s="20">
        <v>0.70833333333333337</v>
      </c>
      <c r="D3563">
        <v>71.960000000000008</v>
      </c>
      <c r="E3563" t="str">
        <f t="shared" si="146"/>
        <v>WEEKDAY</v>
      </c>
      <c r="F3563" t="e">
        <f t="shared" ref="F3563:F3626" si="147">IF(E3563="WEEKDAY",VLOOKUP(B3563,$DD$19:$DG$42,2),IF(E3563="SATURDAY",VLOOKUP(B3563,$DD$19:$DG$42,3),VLOOKUP(B3563,$DD$19:$DG$42,4)))</f>
        <v>#N/A</v>
      </c>
      <c r="G3563" s="74">
        <v>31925</v>
      </c>
      <c r="H3563" s="77">
        <v>0.70833333333333337</v>
      </c>
      <c r="J3563">
        <v>84.92</v>
      </c>
      <c r="M3563" s="74">
        <v>34482</v>
      </c>
      <c r="N3563" s="77">
        <v>0.70833333333333337</v>
      </c>
      <c r="P3563">
        <v>62.96</v>
      </c>
      <c r="S3563" s="74">
        <v>36308</v>
      </c>
      <c r="T3563" s="77">
        <v>0.70833333333333337</v>
      </c>
      <c r="V3563">
        <v>69.98</v>
      </c>
      <c r="X3563" s="42"/>
      <c r="AB3563">
        <v>68.599999999999994</v>
      </c>
      <c r="AC3563">
        <v>66.02</v>
      </c>
      <c r="AE3563" s="74"/>
      <c r="AF3563" s="77"/>
      <c r="AH3563" s="497">
        <v>64.400000000000006</v>
      </c>
      <c r="AJ3563" s="42"/>
      <c r="AK3563" s="74"/>
      <c r="AL3563" s="77"/>
      <c r="AN3563" s="497">
        <v>80.06</v>
      </c>
      <c r="AP3563" s="42"/>
      <c r="AQ3563" s="74"/>
      <c r="AR3563" s="77"/>
      <c r="AT3563" s="497">
        <v>57.92</v>
      </c>
      <c r="AV3563" s="42"/>
      <c r="AW3563" s="74"/>
      <c r="AX3563" s="77"/>
      <c r="BA3563" s="497">
        <v>69.080000000000013</v>
      </c>
      <c r="BB3563" s="42"/>
      <c r="BC3563" s="74"/>
      <c r="BD3563" s="77"/>
      <c r="BF3563">
        <v>60.08</v>
      </c>
      <c r="BH3563" s="42"/>
      <c r="BI3563" s="74"/>
      <c r="BJ3563" s="77"/>
      <c r="BL3563" s="497">
        <v>80.06</v>
      </c>
      <c r="BN3563" s="42"/>
      <c r="BO3563" s="74"/>
      <c r="BP3563" s="77"/>
      <c r="BR3563" s="497">
        <v>60.980000000000004</v>
      </c>
      <c r="BT3563" s="42"/>
    </row>
    <row r="3564" spans="1:72" x14ac:dyDescent="0.25">
      <c r="A3564" s="90">
        <v>36308</v>
      </c>
      <c r="B3564" s="20">
        <v>0.75</v>
      </c>
      <c r="D3564">
        <v>69.98</v>
      </c>
      <c r="E3564" t="str">
        <f t="shared" si="146"/>
        <v>WEEKDAY</v>
      </c>
      <c r="F3564" t="e">
        <f t="shared" si="147"/>
        <v>#N/A</v>
      </c>
      <c r="G3564" s="74">
        <v>31925</v>
      </c>
      <c r="H3564" s="77">
        <v>0.75</v>
      </c>
      <c r="J3564">
        <v>84.02</v>
      </c>
      <c r="M3564" s="74">
        <v>34482</v>
      </c>
      <c r="N3564" s="77">
        <v>0.75</v>
      </c>
      <c r="P3564">
        <v>63.86</v>
      </c>
      <c r="S3564" s="74">
        <v>36308</v>
      </c>
      <c r="T3564" s="77">
        <v>0.75</v>
      </c>
      <c r="V3564">
        <v>68</v>
      </c>
      <c r="X3564" s="42"/>
      <c r="AB3564">
        <v>67.400000000000006</v>
      </c>
      <c r="AC3564">
        <v>64.039999999999992</v>
      </c>
      <c r="AE3564" s="74"/>
      <c r="AF3564" s="77"/>
      <c r="AH3564" s="497">
        <v>62.6</v>
      </c>
      <c r="AJ3564" s="42"/>
      <c r="AK3564" s="74"/>
      <c r="AL3564" s="77"/>
      <c r="AN3564" s="497">
        <v>78.98</v>
      </c>
      <c r="AP3564" s="42"/>
      <c r="AQ3564" s="74"/>
      <c r="AR3564" s="77"/>
      <c r="AT3564" s="497">
        <v>60.08</v>
      </c>
      <c r="AV3564" s="42"/>
      <c r="AW3564" s="74"/>
      <c r="AX3564" s="77"/>
      <c r="BA3564" s="497">
        <v>66.02</v>
      </c>
      <c r="BB3564" s="42"/>
      <c r="BC3564" s="74"/>
      <c r="BD3564" s="77"/>
      <c r="BF3564">
        <v>60.08</v>
      </c>
      <c r="BH3564" s="42"/>
      <c r="BI3564" s="74"/>
      <c r="BJ3564" s="77"/>
      <c r="BL3564" s="497">
        <v>78.98</v>
      </c>
      <c r="BN3564" s="42"/>
      <c r="BO3564" s="74"/>
      <c r="BP3564" s="77"/>
      <c r="BR3564" s="497">
        <v>59</v>
      </c>
      <c r="BT3564" s="42"/>
    </row>
    <row r="3565" spans="1:72" x14ac:dyDescent="0.25">
      <c r="A3565" s="90">
        <v>36308</v>
      </c>
      <c r="B3565" s="20">
        <v>0.79166666666666663</v>
      </c>
      <c r="D3565">
        <v>69.080000000000013</v>
      </c>
      <c r="E3565" t="str">
        <f t="shared" si="146"/>
        <v>WEEKDAY</v>
      </c>
      <c r="F3565" t="e">
        <f t="shared" si="147"/>
        <v>#N/A</v>
      </c>
      <c r="G3565" s="74">
        <v>31925</v>
      </c>
      <c r="H3565" s="77">
        <v>0.79166666666666663</v>
      </c>
      <c r="J3565">
        <v>82.039999999999992</v>
      </c>
      <c r="M3565" s="74">
        <v>34482</v>
      </c>
      <c r="N3565" s="77">
        <v>0.79166666666666663</v>
      </c>
      <c r="P3565">
        <v>63.86</v>
      </c>
      <c r="S3565" s="74">
        <v>36308</v>
      </c>
      <c r="T3565" s="77">
        <v>0.79166666666666663</v>
      </c>
      <c r="V3565">
        <v>66.92</v>
      </c>
      <c r="X3565" s="42"/>
      <c r="AB3565">
        <v>66.2</v>
      </c>
      <c r="AC3565">
        <v>60.980000000000004</v>
      </c>
      <c r="AE3565" s="74"/>
      <c r="AF3565" s="77"/>
      <c r="AH3565" s="497">
        <v>60.8</v>
      </c>
      <c r="AJ3565" s="42"/>
      <c r="AK3565" s="74"/>
      <c r="AL3565" s="77"/>
      <c r="AN3565" s="497">
        <v>75.02</v>
      </c>
      <c r="AP3565" s="42"/>
      <c r="AQ3565" s="74"/>
      <c r="AR3565" s="77"/>
      <c r="AT3565" s="497">
        <v>59</v>
      </c>
      <c r="AV3565" s="42"/>
      <c r="AW3565" s="74"/>
      <c r="AX3565" s="77"/>
      <c r="BA3565" s="497">
        <v>62.06</v>
      </c>
      <c r="BB3565" s="42"/>
      <c r="BC3565" s="74"/>
      <c r="BD3565" s="77"/>
      <c r="BF3565">
        <v>60.980000000000004</v>
      </c>
      <c r="BH3565" s="42"/>
      <c r="BI3565" s="74"/>
      <c r="BJ3565" s="77"/>
      <c r="BL3565" s="497">
        <v>75.92</v>
      </c>
      <c r="BN3565" s="42"/>
      <c r="BO3565" s="74"/>
      <c r="BP3565" s="77"/>
      <c r="BR3565" s="497">
        <v>57.019999999999996</v>
      </c>
      <c r="BT3565" s="42"/>
    </row>
    <row r="3566" spans="1:72" x14ac:dyDescent="0.25">
      <c r="A3566" s="90">
        <v>36308</v>
      </c>
      <c r="B3566" s="20">
        <v>0.83333333333333337</v>
      </c>
      <c r="D3566">
        <v>66.92</v>
      </c>
      <c r="E3566" t="str">
        <f t="shared" si="146"/>
        <v>WEEKDAY</v>
      </c>
      <c r="F3566" t="e">
        <f t="shared" si="147"/>
        <v>#N/A</v>
      </c>
      <c r="G3566" s="74">
        <v>31925</v>
      </c>
      <c r="H3566" s="77">
        <v>0.83333333333333337</v>
      </c>
      <c r="J3566">
        <v>80.06</v>
      </c>
      <c r="M3566" s="74">
        <v>34482</v>
      </c>
      <c r="N3566" s="77">
        <v>0.83333333333333337</v>
      </c>
      <c r="P3566">
        <v>60.980000000000004</v>
      </c>
      <c r="S3566" s="74">
        <v>36308</v>
      </c>
      <c r="T3566" s="77">
        <v>0.83333333333333337</v>
      </c>
      <c r="V3566">
        <v>64.039999999999992</v>
      </c>
      <c r="X3566" s="42"/>
      <c r="AB3566">
        <v>64.7</v>
      </c>
      <c r="AC3566">
        <v>57.92</v>
      </c>
      <c r="AE3566" s="74"/>
      <c r="AF3566" s="77"/>
      <c r="AH3566" s="497">
        <v>60.8</v>
      </c>
      <c r="AJ3566" s="42"/>
      <c r="AK3566" s="74"/>
      <c r="AL3566" s="77"/>
      <c r="AN3566" s="497">
        <v>71.06</v>
      </c>
      <c r="AP3566" s="42"/>
      <c r="AQ3566" s="74"/>
      <c r="AR3566" s="77"/>
      <c r="AT3566" s="497">
        <v>57.92</v>
      </c>
      <c r="AV3566" s="42"/>
      <c r="AW3566" s="74"/>
      <c r="AX3566" s="77"/>
      <c r="BA3566" s="497">
        <v>57.019999999999996</v>
      </c>
      <c r="BB3566" s="42"/>
      <c r="BC3566" s="74"/>
      <c r="BD3566" s="77"/>
      <c r="BF3566">
        <v>60.980000000000004</v>
      </c>
      <c r="BH3566" s="42"/>
      <c r="BI3566" s="74"/>
      <c r="BJ3566" s="77"/>
      <c r="BL3566" s="497">
        <v>71.06</v>
      </c>
      <c r="BN3566" s="42"/>
      <c r="BO3566" s="74"/>
      <c r="BP3566" s="77"/>
      <c r="BR3566" s="497">
        <v>57.019999999999996</v>
      </c>
      <c r="BT3566" s="42"/>
    </row>
    <row r="3567" spans="1:72" x14ac:dyDescent="0.25">
      <c r="A3567" s="90">
        <v>36308</v>
      </c>
      <c r="B3567" s="20">
        <v>0.875</v>
      </c>
      <c r="D3567">
        <v>64.94</v>
      </c>
      <c r="E3567" t="str">
        <f t="shared" si="146"/>
        <v>WEEKDAY</v>
      </c>
      <c r="F3567" t="e">
        <f t="shared" si="147"/>
        <v>#N/A</v>
      </c>
      <c r="G3567" s="74">
        <v>31925</v>
      </c>
      <c r="H3567" s="77">
        <v>0.875</v>
      </c>
      <c r="J3567">
        <v>78.98</v>
      </c>
      <c r="M3567" s="74">
        <v>34482</v>
      </c>
      <c r="N3567" s="77">
        <v>0.875</v>
      </c>
      <c r="P3567">
        <v>59.900000000000006</v>
      </c>
      <c r="S3567" s="74">
        <v>36308</v>
      </c>
      <c r="T3567" s="77">
        <v>0.875</v>
      </c>
      <c r="V3567">
        <v>64.94</v>
      </c>
      <c r="X3567" s="42"/>
      <c r="AB3567">
        <v>63.6</v>
      </c>
      <c r="AC3567">
        <v>55.94</v>
      </c>
      <c r="AE3567" s="74"/>
      <c r="AF3567" s="77"/>
      <c r="AH3567" s="497">
        <v>59</v>
      </c>
      <c r="AJ3567" s="42"/>
      <c r="AK3567" s="74"/>
      <c r="AL3567" s="77"/>
      <c r="AN3567" s="497">
        <v>69.98</v>
      </c>
      <c r="AP3567" s="42"/>
      <c r="AQ3567" s="74"/>
      <c r="AR3567" s="77"/>
      <c r="AT3567" s="497">
        <v>55.040000000000006</v>
      </c>
      <c r="AV3567" s="42"/>
      <c r="AW3567" s="74"/>
      <c r="AX3567" s="77"/>
      <c r="BA3567" s="497">
        <v>53.96</v>
      </c>
      <c r="BB3567" s="42"/>
      <c r="BC3567" s="74"/>
      <c r="BD3567" s="77"/>
      <c r="BF3567">
        <v>60.980000000000004</v>
      </c>
      <c r="BH3567" s="42"/>
      <c r="BI3567" s="74"/>
      <c r="BJ3567" s="77"/>
      <c r="BL3567" s="497">
        <v>68</v>
      </c>
      <c r="BN3567" s="42"/>
      <c r="BO3567" s="74"/>
      <c r="BP3567" s="77"/>
      <c r="BR3567" s="497">
        <v>55.94</v>
      </c>
      <c r="BT3567" s="42"/>
    </row>
    <row r="3568" spans="1:72" x14ac:dyDescent="0.25">
      <c r="A3568" s="90">
        <v>36308</v>
      </c>
      <c r="B3568" s="20">
        <v>0.91666666666666663</v>
      </c>
      <c r="D3568">
        <v>64.039999999999992</v>
      </c>
      <c r="E3568" t="str">
        <f t="shared" si="146"/>
        <v>WEEKDAY</v>
      </c>
      <c r="F3568" t="e">
        <f t="shared" si="147"/>
        <v>#N/A</v>
      </c>
      <c r="G3568" s="74">
        <v>31925</v>
      </c>
      <c r="H3568" s="77">
        <v>0.91666666666666663</v>
      </c>
      <c r="J3568">
        <v>78.98</v>
      </c>
      <c r="M3568" s="74">
        <v>34482</v>
      </c>
      <c r="N3568" s="77">
        <v>0.91666666666666663</v>
      </c>
      <c r="P3568">
        <v>60.980000000000004</v>
      </c>
      <c r="S3568" s="74">
        <v>36308</v>
      </c>
      <c r="T3568" s="77">
        <v>0.91666666666666663</v>
      </c>
      <c r="V3568">
        <v>62.96</v>
      </c>
      <c r="X3568" s="42"/>
      <c r="AB3568">
        <v>63</v>
      </c>
      <c r="AC3568">
        <v>55.94</v>
      </c>
      <c r="AE3568" s="74"/>
      <c r="AF3568" s="77"/>
      <c r="AH3568" s="497">
        <v>57.2</v>
      </c>
      <c r="AJ3568" s="42"/>
      <c r="AK3568" s="74"/>
      <c r="AL3568" s="77"/>
      <c r="AN3568" s="497">
        <v>66.02</v>
      </c>
      <c r="AP3568" s="42"/>
      <c r="AQ3568" s="74"/>
      <c r="AR3568" s="77"/>
      <c r="AT3568" s="497">
        <v>53.96</v>
      </c>
      <c r="AV3568" s="42"/>
      <c r="AW3568" s="74"/>
      <c r="AX3568" s="77"/>
      <c r="BA3568" s="497">
        <v>48.92</v>
      </c>
      <c r="BB3568" s="42"/>
      <c r="BC3568" s="74"/>
      <c r="BD3568" s="77"/>
      <c r="BF3568">
        <v>60.980000000000004</v>
      </c>
      <c r="BH3568" s="42"/>
      <c r="BI3568" s="74"/>
      <c r="BJ3568" s="77"/>
      <c r="BL3568" s="497">
        <v>64.94</v>
      </c>
      <c r="BN3568" s="42"/>
      <c r="BO3568" s="74"/>
      <c r="BP3568" s="77"/>
      <c r="BR3568" s="497">
        <v>55.040000000000006</v>
      </c>
      <c r="BT3568" s="42"/>
    </row>
    <row r="3569" spans="1:72" x14ac:dyDescent="0.25">
      <c r="A3569" s="90">
        <v>36308</v>
      </c>
      <c r="B3569" s="20">
        <v>0.95833333333333337</v>
      </c>
      <c r="D3569">
        <v>62.96</v>
      </c>
      <c r="E3569" t="str">
        <f t="shared" si="146"/>
        <v>WEEKDAY</v>
      </c>
      <c r="F3569" t="e">
        <f t="shared" si="147"/>
        <v>#N/A</v>
      </c>
      <c r="G3569" s="74">
        <v>31925</v>
      </c>
      <c r="H3569" s="77">
        <v>0.95833333333333337</v>
      </c>
      <c r="J3569">
        <v>78.080000000000013</v>
      </c>
      <c r="M3569" s="74">
        <v>34482</v>
      </c>
      <c r="N3569" s="77">
        <v>0.95833333333333337</v>
      </c>
      <c r="P3569">
        <v>57.92</v>
      </c>
      <c r="S3569" s="74">
        <v>36308</v>
      </c>
      <c r="T3569" s="77">
        <v>0.95833333333333337</v>
      </c>
      <c r="V3569">
        <v>62.06</v>
      </c>
      <c r="X3569" s="42"/>
      <c r="AB3569">
        <v>62.5</v>
      </c>
      <c r="AC3569">
        <v>55.040000000000006</v>
      </c>
      <c r="AE3569" s="74"/>
      <c r="AF3569" s="77"/>
      <c r="AH3569" s="497">
        <v>57.2</v>
      </c>
      <c r="AJ3569" s="42"/>
      <c r="AK3569" s="74"/>
      <c r="AL3569" s="77"/>
      <c r="AN3569" s="497">
        <v>66.02</v>
      </c>
      <c r="AP3569" s="42"/>
      <c r="AQ3569" s="74"/>
      <c r="AR3569" s="77"/>
      <c r="AT3569" s="497">
        <v>50</v>
      </c>
      <c r="AV3569" s="42"/>
      <c r="AW3569" s="74"/>
      <c r="AX3569" s="77"/>
      <c r="BA3569" s="497">
        <v>46.04</v>
      </c>
      <c r="BB3569" s="42"/>
      <c r="BC3569" s="74"/>
      <c r="BD3569" s="77"/>
      <c r="BF3569">
        <v>60.980000000000004</v>
      </c>
      <c r="BH3569" s="42"/>
      <c r="BI3569" s="74"/>
      <c r="BJ3569" s="77"/>
      <c r="BL3569" s="497">
        <v>62.96</v>
      </c>
      <c r="BN3569" s="42"/>
      <c r="BO3569" s="74"/>
      <c r="BP3569" s="77"/>
      <c r="BR3569" s="497">
        <v>55.040000000000006</v>
      </c>
      <c r="BT3569" s="42"/>
    </row>
    <row r="3570" spans="1:72" x14ac:dyDescent="0.25">
      <c r="A3570" s="90">
        <v>36308</v>
      </c>
      <c r="B3570" s="20">
        <v>1</v>
      </c>
      <c r="D3570">
        <v>62.06</v>
      </c>
      <c r="E3570" t="str">
        <f t="shared" si="146"/>
        <v>WEEKDAY</v>
      </c>
      <c r="F3570" t="e">
        <f t="shared" si="147"/>
        <v>#N/A</v>
      </c>
      <c r="G3570" s="74">
        <v>31925</v>
      </c>
      <c r="H3570" s="77">
        <v>1</v>
      </c>
      <c r="J3570">
        <v>77</v>
      </c>
      <c r="M3570" s="74">
        <v>34482</v>
      </c>
      <c r="N3570" s="80">
        <v>1</v>
      </c>
      <c r="P3570">
        <v>56.84</v>
      </c>
      <c r="S3570" s="74">
        <v>36308</v>
      </c>
      <c r="T3570" s="80">
        <v>1</v>
      </c>
      <c r="V3570">
        <v>60.08</v>
      </c>
      <c r="X3570" s="42"/>
      <c r="AB3570">
        <v>62</v>
      </c>
      <c r="AC3570">
        <v>53.96</v>
      </c>
      <c r="AE3570" s="74"/>
      <c r="AF3570" s="80"/>
      <c r="AH3570" s="497">
        <v>55.400000000000006</v>
      </c>
      <c r="AJ3570" s="42"/>
      <c r="AK3570" s="74"/>
      <c r="AL3570" s="80"/>
      <c r="AN3570" s="497">
        <v>66.92</v>
      </c>
      <c r="AP3570" s="42"/>
      <c r="AQ3570" s="74"/>
      <c r="AR3570" s="80"/>
      <c r="AT3570" s="497">
        <v>48.92</v>
      </c>
      <c r="AV3570" s="42"/>
      <c r="AW3570" s="74"/>
      <c r="AX3570" s="80"/>
      <c r="BA3570" s="497">
        <v>44.96</v>
      </c>
      <c r="BB3570" s="42"/>
      <c r="BC3570" s="74"/>
      <c r="BD3570" s="80"/>
      <c r="BF3570">
        <v>64.039999999999992</v>
      </c>
      <c r="BH3570" s="42"/>
      <c r="BI3570" s="74"/>
      <c r="BJ3570" s="80"/>
      <c r="BL3570" s="497">
        <v>62.06</v>
      </c>
      <c r="BN3570" s="42"/>
      <c r="BO3570" s="74"/>
      <c r="BP3570" s="80"/>
      <c r="BR3570" s="497">
        <v>55.94</v>
      </c>
      <c r="BT3570" s="42"/>
    </row>
    <row r="3571" spans="1:72" x14ac:dyDescent="0.25">
      <c r="A3571" s="90">
        <v>36309</v>
      </c>
      <c r="B3571" s="20">
        <v>4.1666666666666664E-2</v>
      </c>
      <c r="D3571">
        <v>62.06</v>
      </c>
      <c r="E3571" t="str">
        <f t="shared" si="146"/>
        <v>SATURDAY</v>
      </c>
      <c r="F3571" t="e">
        <f t="shared" si="147"/>
        <v>#N/A</v>
      </c>
      <c r="G3571" s="74">
        <v>31926</v>
      </c>
      <c r="H3571" s="77">
        <v>4.1666666666666664E-2</v>
      </c>
      <c r="J3571">
        <v>71.06</v>
      </c>
      <c r="M3571" s="74">
        <v>34483</v>
      </c>
      <c r="N3571" s="77">
        <v>4.1666666666666664E-2</v>
      </c>
      <c r="P3571">
        <v>53.96</v>
      </c>
      <c r="S3571" s="74">
        <v>36309</v>
      </c>
      <c r="T3571" s="77">
        <v>4.1666666666666664E-2</v>
      </c>
      <c r="V3571">
        <v>60.08</v>
      </c>
      <c r="X3571" s="42"/>
      <c r="AB3571">
        <v>61.4</v>
      </c>
      <c r="AC3571">
        <v>51.980000000000004</v>
      </c>
      <c r="AE3571" s="74"/>
      <c r="AF3571" s="77"/>
      <c r="AH3571" s="497">
        <v>55.400000000000006</v>
      </c>
      <c r="AJ3571" s="42"/>
      <c r="AK3571" s="74"/>
      <c r="AL3571" s="77"/>
      <c r="AN3571" s="497">
        <v>66.02</v>
      </c>
      <c r="AP3571" s="42"/>
      <c r="AQ3571" s="74"/>
      <c r="AR3571" s="77"/>
      <c r="AT3571" s="497">
        <v>44.06</v>
      </c>
      <c r="AV3571" s="42"/>
      <c r="AW3571" s="74"/>
      <c r="AX3571" s="77"/>
      <c r="BA3571" s="497">
        <v>44.96</v>
      </c>
      <c r="BB3571" s="42"/>
      <c r="BC3571" s="74"/>
      <c r="BD3571" s="77"/>
      <c r="BF3571">
        <v>66.02</v>
      </c>
      <c r="BH3571" s="42"/>
      <c r="BI3571" s="74"/>
      <c r="BJ3571" s="77"/>
      <c r="BL3571" s="497">
        <v>60.08</v>
      </c>
      <c r="BN3571" s="42"/>
      <c r="BO3571" s="74"/>
      <c r="BP3571" s="77"/>
      <c r="BR3571" s="497">
        <v>55.94</v>
      </c>
      <c r="BT3571" s="42"/>
    </row>
    <row r="3572" spans="1:72" x14ac:dyDescent="0.25">
      <c r="A3572" s="90">
        <v>36309</v>
      </c>
      <c r="B3572" s="20">
        <v>8.3333333333333329E-2</v>
      </c>
      <c r="D3572">
        <v>60.08</v>
      </c>
      <c r="E3572" t="str">
        <f t="shared" si="146"/>
        <v>SATURDAY</v>
      </c>
      <c r="F3572" t="e">
        <f t="shared" si="147"/>
        <v>#N/A</v>
      </c>
      <c r="G3572" s="74">
        <v>31926</v>
      </c>
      <c r="H3572" s="77">
        <v>8.3333333333333329E-2</v>
      </c>
      <c r="J3572">
        <v>75.92</v>
      </c>
      <c r="M3572" s="74">
        <v>34483</v>
      </c>
      <c r="N3572" s="77">
        <v>8.3333333333333329E-2</v>
      </c>
      <c r="P3572">
        <v>51.980000000000004</v>
      </c>
      <c r="S3572" s="74">
        <v>36309</v>
      </c>
      <c r="T3572" s="77">
        <v>8.3333333333333329E-2</v>
      </c>
      <c r="V3572">
        <v>62.06</v>
      </c>
      <c r="X3572" s="42"/>
      <c r="AB3572">
        <v>60.9</v>
      </c>
      <c r="AC3572">
        <v>51.980000000000004</v>
      </c>
      <c r="AE3572" s="74"/>
      <c r="AF3572" s="77"/>
      <c r="AH3572" s="497">
        <v>55.400000000000006</v>
      </c>
      <c r="AJ3572" s="42"/>
      <c r="AK3572" s="74"/>
      <c r="AL3572" s="77"/>
      <c r="AN3572" s="497">
        <v>62.06</v>
      </c>
      <c r="AP3572" s="42"/>
      <c r="AQ3572" s="74"/>
      <c r="AR3572" s="77"/>
      <c r="AT3572" s="497">
        <v>46.04</v>
      </c>
      <c r="AV3572" s="42"/>
      <c r="AW3572" s="74"/>
      <c r="AX3572" s="77"/>
      <c r="BA3572" s="497">
        <v>44.06</v>
      </c>
      <c r="BB3572" s="42"/>
      <c r="BC3572" s="74"/>
      <c r="BD3572" s="77"/>
      <c r="BF3572">
        <v>64.94</v>
      </c>
      <c r="BH3572" s="42"/>
      <c r="BI3572" s="74"/>
      <c r="BJ3572" s="77"/>
      <c r="BL3572" s="497">
        <v>60.08</v>
      </c>
      <c r="BN3572" s="42"/>
      <c r="BO3572" s="74"/>
      <c r="BP3572" s="77"/>
      <c r="BR3572" s="497">
        <v>60.08</v>
      </c>
      <c r="BT3572" s="42"/>
    </row>
    <row r="3573" spans="1:72" x14ac:dyDescent="0.25">
      <c r="A3573" s="90">
        <v>36309</v>
      </c>
      <c r="B3573" s="20">
        <v>0.125</v>
      </c>
      <c r="D3573">
        <v>60.980000000000004</v>
      </c>
      <c r="E3573" t="str">
        <f t="shared" si="146"/>
        <v>SATURDAY</v>
      </c>
      <c r="F3573" t="e">
        <f t="shared" si="147"/>
        <v>#N/A</v>
      </c>
      <c r="G3573" s="74">
        <v>31926</v>
      </c>
      <c r="H3573" s="77">
        <v>0.125</v>
      </c>
      <c r="J3573">
        <v>73.94</v>
      </c>
      <c r="M3573" s="74">
        <v>34483</v>
      </c>
      <c r="N3573" s="77">
        <v>0.125</v>
      </c>
      <c r="P3573">
        <v>48.92</v>
      </c>
      <c r="S3573" s="74">
        <v>36309</v>
      </c>
      <c r="T3573" s="77">
        <v>0.125</v>
      </c>
      <c r="V3573">
        <v>60.980000000000004</v>
      </c>
      <c r="X3573" s="42"/>
      <c r="AB3573">
        <v>60.4</v>
      </c>
      <c r="AC3573">
        <v>50</v>
      </c>
      <c r="AE3573" s="74"/>
      <c r="AF3573" s="77"/>
      <c r="AH3573" s="497">
        <v>54.5</v>
      </c>
      <c r="AJ3573" s="42"/>
      <c r="AK3573" s="74"/>
      <c r="AL3573" s="77"/>
      <c r="AN3573" s="497">
        <v>60.08</v>
      </c>
      <c r="AP3573" s="42"/>
      <c r="AQ3573" s="74"/>
      <c r="AR3573" s="77"/>
      <c r="AT3573" s="497">
        <v>46.04</v>
      </c>
      <c r="AV3573" s="42"/>
      <c r="AW3573" s="74"/>
      <c r="AX3573" s="77"/>
      <c r="BA3573" s="497">
        <v>42.980000000000004</v>
      </c>
      <c r="BB3573" s="42"/>
      <c r="BC3573" s="74"/>
      <c r="BD3573" s="77"/>
      <c r="BF3573">
        <v>62.06</v>
      </c>
      <c r="BH3573" s="42"/>
      <c r="BI3573" s="74"/>
      <c r="BJ3573" s="77"/>
      <c r="BL3573" s="497">
        <v>59</v>
      </c>
      <c r="BN3573" s="42"/>
      <c r="BO3573" s="74"/>
      <c r="BP3573" s="77"/>
      <c r="BR3573" s="497">
        <v>55.94</v>
      </c>
      <c r="BT3573" s="42"/>
    </row>
    <row r="3574" spans="1:72" x14ac:dyDescent="0.25">
      <c r="A3574" s="90">
        <v>36309</v>
      </c>
      <c r="B3574" s="20">
        <v>0.16666666666666666</v>
      </c>
      <c r="D3574">
        <v>59</v>
      </c>
      <c r="E3574" t="str">
        <f t="shared" si="146"/>
        <v>SATURDAY</v>
      </c>
      <c r="F3574" t="e">
        <f t="shared" si="147"/>
        <v>#N/A</v>
      </c>
      <c r="G3574" s="74">
        <v>31926</v>
      </c>
      <c r="H3574" s="77">
        <v>0.16666666666666666</v>
      </c>
      <c r="J3574">
        <v>71.960000000000008</v>
      </c>
      <c r="M3574" s="74">
        <v>34483</v>
      </c>
      <c r="N3574" s="77">
        <v>0.16666666666666666</v>
      </c>
      <c r="P3574">
        <v>48.92</v>
      </c>
      <c r="S3574" s="74">
        <v>36309</v>
      </c>
      <c r="T3574" s="77">
        <v>0.16666666666666666</v>
      </c>
      <c r="V3574">
        <v>60.980000000000004</v>
      </c>
      <c r="X3574" s="42"/>
      <c r="AB3574">
        <v>59.9</v>
      </c>
      <c r="AC3574">
        <v>51.08</v>
      </c>
      <c r="AE3574" s="74"/>
      <c r="AF3574" s="77"/>
      <c r="AH3574" s="497">
        <v>53.6</v>
      </c>
      <c r="AJ3574" s="42"/>
      <c r="AK3574" s="74"/>
      <c r="AL3574" s="77"/>
      <c r="AN3574" s="497">
        <v>62.06</v>
      </c>
      <c r="AP3574" s="42"/>
      <c r="AQ3574" s="74"/>
      <c r="AR3574" s="77"/>
      <c r="AT3574" s="497">
        <v>44.06</v>
      </c>
      <c r="AV3574" s="42"/>
      <c r="AW3574" s="74"/>
      <c r="AX3574" s="77"/>
      <c r="BA3574" s="497">
        <v>39.92</v>
      </c>
      <c r="BB3574" s="42"/>
      <c r="BC3574" s="74"/>
      <c r="BD3574" s="77"/>
      <c r="BF3574">
        <v>62.96</v>
      </c>
      <c r="BH3574" s="42"/>
      <c r="BI3574" s="74"/>
      <c r="BJ3574" s="77"/>
      <c r="BL3574" s="497">
        <v>57.92</v>
      </c>
      <c r="BN3574" s="42"/>
      <c r="BO3574" s="74"/>
      <c r="BP3574" s="77"/>
      <c r="BR3574" s="497">
        <v>57.019999999999996</v>
      </c>
      <c r="BT3574" s="42"/>
    </row>
    <row r="3575" spans="1:72" x14ac:dyDescent="0.25">
      <c r="A3575" s="90">
        <v>36309</v>
      </c>
      <c r="B3575" s="20">
        <v>0.20833333333333334</v>
      </c>
      <c r="D3575">
        <v>57.92</v>
      </c>
      <c r="E3575" t="str">
        <f t="shared" si="146"/>
        <v>SATURDAY</v>
      </c>
      <c r="F3575" t="e">
        <f t="shared" si="147"/>
        <v>#N/A</v>
      </c>
      <c r="G3575" s="74">
        <v>31926</v>
      </c>
      <c r="H3575" s="77">
        <v>0.20833333333333334</v>
      </c>
      <c r="J3575">
        <v>71.960000000000008</v>
      </c>
      <c r="M3575" s="74">
        <v>34483</v>
      </c>
      <c r="N3575" s="77">
        <v>0.20833333333333334</v>
      </c>
      <c r="P3575">
        <v>46.94</v>
      </c>
      <c r="S3575" s="74">
        <v>36309</v>
      </c>
      <c r="T3575" s="77">
        <v>0.20833333333333334</v>
      </c>
      <c r="V3575">
        <v>57.92</v>
      </c>
      <c r="X3575" s="42"/>
      <c r="AB3575">
        <v>59.5</v>
      </c>
      <c r="AC3575">
        <v>51.08</v>
      </c>
      <c r="AE3575" s="74"/>
      <c r="AF3575" s="77"/>
      <c r="AH3575" s="497">
        <v>52.7</v>
      </c>
      <c r="AJ3575" s="42"/>
      <c r="AK3575" s="74"/>
      <c r="AL3575" s="77"/>
      <c r="AN3575" s="497">
        <v>59</v>
      </c>
      <c r="AP3575" s="42"/>
      <c r="AQ3575" s="74"/>
      <c r="AR3575" s="77"/>
      <c r="AT3575" s="497">
        <v>46.94</v>
      </c>
      <c r="AV3575" s="42"/>
      <c r="AW3575" s="74"/>
      <c r="AX3575" s="77"/>
      <c r="BA3575" s="497">
        <v>41</v>
      </c>
      <c r="BB3575" s="42"/>
      <c r="BC3575" s="74"/>
      <c r="BD3575" s="77"/>
      <c r="BF3575">
        <v>62.96</v>
      </c>
      <c r="BH3575" s="42"/>
      <c r="BI3575" s="74"/>
      <c r="BJ3575" s="77"/>
      <c r="BL3575" s="497">
        <v>57.019999999999996</v>
      </c>
      <c r="BN3575" s="42"/>
      <c r="BO3575" s="74"/>
      <c r="BP3575" s="77"/>
      <c r="BR3575" s="497">
        <v>55.94</v>
      </c>
      <c r="BT3575" s="42"/>
    </row>
    <row r="3576" spans="1:72" x14ac:dyDescent="0.25">
      <c r="A3576" s="90">
        <v>36309</v>
      </c>
      <c r="B3576" s="20">
        <v>0.25</v>
      </c>
      <c r="D3576">
        <v>60.08</v>
      </c>
      <c r="E3576" t="str">
        <f t="shared" si="146"/>
        <v>SATURDAY</v>
      </c>
      <c r="F3576" t="e">
        <f t="shared" si="147"/>
        <v>#N/A</v>
      </c>
      <c r="G3576" s="74">
        <v>31926</v>
      </c>
      <c r="H3576" s="77">
        <v>0.25</v>
      </c>
      <c r="J3576">
        <v>73.94</v>
      </c>
      <c r="M3576" s="74">
        <v>34483</v>
      </c>
      <c r="N3576" s="77">
        <v>0.25</v>
      </c>
      <c r="P3576">
        <v>51.980000000000004</v>
      </c>
      <c r="S3576" s="74">
        <v>36309</v>
      </c>
      <c r="T3576" s="77">
        <v>0.25</v>
      </c>
      <c r="V3576">
        <v>66.02</v>
      </c>
      <c r="X3576" s="42"/>
      <c r="AB3576">
        <v>59.3</v>
      </c>
      <c r="AC3576">
        <v>55.94</v>
      </c>
      <c r="AE3576" s="74"/>
      <c r="AF3576" s="77"/>
      <c r="AH3576" s="497">
        <v>53.6</v>
      </c>
      <c r="AJ3576" s="42"/>
      <c r="AK3576" s="74"/>
      <c r="AL3576" s="77"/>
      <c r="AN3576" s="497">
        <v>57.019999999999996</v>
      </c>
      <c r="AP3576" s="42"/>
      <c r="AQ3576" s="74"/>
      <c r="AR3576" s="77"/>
      <c r="AT3576" s="497">
        <v>46.94</v>
      </c>
      <c r="AV3576" s="42"/>
      <c r="AW3576" s="74"/>
      <c r="AX3576" s="77"/>
      <c r="BA3576" s="497">
        <v>44.96</v>
      </c>
      <c r="BB3576" s="42"/>
      <c r="BC3576" s="74"/>
      <c r="BD3576" s="77"/>
      <c r="BF3576">
        <v>64.039999999999992</v>
      </c>
      <c r="BH3576" s="42"/>
      <c r="BI3576" s="74"/>
      <c r="BJ3576" s="77"/>
      <c r="BL3576" s="497">
        <v>57.92</v>
      </c>
      <c r="BN3576" s="42"/>
      <c r="BO3576" s="74"/>
      <c r="BP3576" s="77"/>
      <c r="BR3576" s="497">
        <v>57.92</v>
      </c>
      <c r="BT3576" s="42"/>
    </row>
    <row r="3577" spans="1:72" x14ac:dyDescent="0.25">
      <c r="A3577" s="90">
        <v>36309</v>
      </c>
      <c r="B3577" s="20">
        <v>0.29166666666666669</v>
      </c>
      <c r="D3577">
        <v>64.039999999999992</v>
      </c>
      <c r="E3577" t="str">
        <f t="shared" si="146"/>
        <v>SATURDAY</v>
      </c>
      <c r="F3577" t="e">
        <f t="shared" si="147"/>
        <v>#N/A</v>
      </c>
      <c r="G3577" s="74">
        <v>31926</v>
      </c>
      <c r="H3577" s="77">
        <v>0.29166666666666669</v>
      </c>
      <c r="J3577">
        <v>75.92</v>
      </c>
      <c r="M3577" s="74">
        <v>34483</v>
      </c>
      <c r="N3577" s="77">
        <v>0.29166666666666669</v>
      </c>
      <c r="P3577">
        <v>57.92</v>
      </c>
      <c r="S3577" s="74">
        <v>36309</v>
      </c>
      <c r="T3577" s="77">
        <v>0.29166666666666669</v>
      </c>
      <c r="V3577">
        <v>71.06</v>
      </c>
      <c r="X3577" s="42"/>
      <c r="AB3577">
        <v>60.8</v>
      </c>
      <c r="AC3577">
        <v>60.980000000000004</v>
      </c>
      <c r="AE3577" s="74"/>
      <c r="AF3577" s="77"/>
      <c r="AH3577" s="497">
        <v>55.400000000000006</v>
      </c>
      <c r="AJ3577" s="42"/>
      <c r="AK3577" s="74"/>
      <c r="AL3577" s="77"/>
      <c r="AN3577" s="497">
        <v>62.06</v>
      </c>
      <c r="AP3577" s="42"/>
      <c r="AQ3577" s="74"/>
      <c r="AR3577" s="77"/>
      <c r="AT3577" s="497">
        <v>51.08</v>
      </c>
      <c r="AV3577" s="42"/>
      <c r="AW3577" s="74"/>
      <c r="AX3577" s="77"/>
      <c r="BA3577" s="497">
        <v>51.980000000000004</v>
      </c>
      <c r="BB3577" s="42"/>
      <c r="BC3577" s="74"/>
      <c r="BD3577" s="77"/>
      <c r="BF3577">
        <v>66.92</v>
      </c>
      <c r="BH3577" s="42"/>
      <c r="BI3577" s="74"/>
      <c r="BJ3577" s="77"/>
      <c r="BL3577" s="497">
        <v>64.039999999999992</v>
      </c>
      <c r="BN3577" s="42"/>
      <c r="BO3577" s="74"/>
      <c r="BP3577" s="77"/>
      <c r="BR3577" s="497">
        <v>62.06</v>
      </c>
      <c r="BT3577" s="42"/>
    </row>
    <row r="3578" spans="1:72" x14ac:dyDescent="0.25">
      <c r="A3578" s="90">
        <v>36309</v>
      </c>
      <c r="B3578" s="20">
        <v>0.33333333333333331</v>
      </c>
      <c r="D3578">
        <v>66.02</v>
      </c>
      <c r="E3578" t="str">
        <f t="shared" si="146"/>
        <v>SATURDAY</v>
      </c>
      <c r="F3578" t="e">
        <f t="shared" si="147"/>
        <v>#N/A</v>
      </c>
      <c r="G3578" s="74">
        <v>31926</v>
      </c>
      <c r="H3578" s="77">
        <v>0.33333333333333331</v>
      </c>
      <c r="J3578">
        <v>80.960000000000008</v>
      </c>
      <c r="M3578" s="74">
        <v>34483</v>
      </c>
      <c r="N3578" s="77">
        <v>0.33333333333333331</v>
      </c>
      <c r="P3578">
        <v>61.88</v>
      </c>
      <c r="S3578" s="74">
        <v>36309</v>
      </c>
      <c r="T3578" s="77">
        <v>0.33333333333333331</v>
      </c>
      <c r="V3578">
        <v>75.02</v>
      </c>
      <c r="X3578" s="42"/>
      <c r="AB3578">
        <v>62.6</v>
      </c>
      <c r="AC3578">
        <v>64.94</v>
      </c>
      <c r="AE3578" s="74"/>
      <c r="AF3578" s="77"/>
      <c r="AH3578" s="497">
        <v>55.400000000000006</v>
      </c>
      <c r="AJ3578" s="42"/>
      <c r="AK3578" s="74"/>
      <c r="AL3578" s="77"/>
      <c r="AN3578" s="497">
        <v>66.92</v>
      </c>
      <c r="AP3578" s="42"/>
      <c r="AQ3578" s="74"/>
      <c r="AR3578" s="77"/>
      <c r="AT3578" s="497">
        <v>55.040000000000006</v>
      </c>
      <c r="AV3578" s="42"/>
      <c r="AW3578" s="74"/>
      <c r="AX3578" s="77"/>
      <c r="BA3578" s="497">
        <v>55.040000000000006</v>
      </c>
      <c r="BB3578" s="42"/>
      <c r="BC3578" s="74"/>
      <c r="BD3578" s="77"/>
      <c r="BF3578">
        <v>68</v>
      </c>
      <c r="BH3578" s="42"/>
      <c r="BI3578" s="74"/>
      <c r="BJ3578" s="77"/>
      <c r="BL3578" s="497">
        <v>69.98</v>
      </c>
      <c r="BN3578" s="42"/>
      <c r="BO3578" s="74"/>
      <c r="BP3578" s="77"/>
      <c r="BR3578" s="497">
        <v>64.94</v>
      </c>
      <c r="BT3578" s="42"/>
    </row>
    <row r="3579" spans="1:72" x14ac:dyDescent="0.25">
      <c r="A3579" s="90">
        <v>36309</v>
      </c>
      <c r="B3579" s="20">
        <v>0.375</v>
      </c>
      <c r="D3579">
        <v>69.080000000000013</v>
      </c>
      <c r="E3579" t="str">
        <f t="shared" si="146"/>
        <v>SATURDAY</v>
      </c>
      <c r="F3579" t="e">
        <f t="shared" si="147"/>
        <v>#N/A</v>
      </c>
      <c r="G3579" s="74">
        <v>31926</v>
      </c>
      <c r="H3579" s="77">
        <v>0.375</v>
      </c>
      <c r="J3579">
        <v>82.94</v>
      </c>
      <c r="M3579" s="74">
        <v>34483</v>
      </c>
      <c r="N3579" s="77">
        <v>0.375</v>
      </c>
      <c r="P3579">
        <v>66.92</v>
      </c>
      <c r="S3579" s="74">
        <v>36309</v>
      </c>
      <c r="T3579" s="77">
        <v>0.375</v>
      </c>
      <c r="V3579">
        <v>78.98</v>
      </c>
      <c r="X3579" s="42"/>
      <c r="AB3579">
        <v>64.599999999999994</v>
      </c>
      <c r="AC3579">
        <v>68</v>
      </c>
      <c r="AE3579" s="74"/>
      <c r="AF3579" s="77"/>
      <c r="AH3579" s="497">
        <v>57.2</v>
      </c>
      <c r="AJ3579" s="42"/>
      <c r="AK3579" s="74"/>
      <c r="AL3579" s="77"/>
      <c r="AN3579" s="497">
        <v>71.06</v>
      </c>
      <c r="AP3579" s="42"/>
      <c r="AQ3579" s="74"/>
      <c r="AR3579" s="77"/>
      <c r="AT3579" s="497">
        <v>57.92</v>
      </c>
      <c r="AV3579" s="42"/>
      <c r="AW3579" s="74"/>
      <c r="AX3579" s="77"/>
      <c r="BA3579" s="497">
        <v>59</v>
      </c>
      <c r="BB3579" s="42"/>
      <c r="BC3579" s="74"/>
      <c r="BD3579" s="77"/>
      <c r="BF3579">
        <v>62.96</v>
      </c>
      <c r="BH3579" s="42"/>
      <c r="BI3579" s="74"/>
      <c r="BJ3579" s="77"/>
      <c r="BL3579" s="497">
        <v>75.02</v>
      </c>
      <c r="BN3579" s="42"/>
      <c r="BO3579" s="74"/>
      <c r="BP3579" s="77"/>
      <c r="BR3579" s="497">
        <v>69.98</v>
      </c>
      <c r="BT3579" s="42"/>
    </row>
    <row r="3580" spans="1:72" x14ac:dyDescent="0.25">
      <c r="A3580" s="90">
        <v>36309</v>
      </c>
      <c r="B3580" s="20">
        <v>0.41666666666666669</v>
      </c>
      <c r="D3580">
        <v>73.039999999999992</v>
      </c>
      <c r="E3580" t="str">
        <f t="shared" si="146"/>
        <v>SATURDAY</v>
      </c>
      <c r="F3580" t="e">
        <f t="shared" si="147"/>
        <v>#N/A</v>
      </c>
      <c r="G3580" s="74">
        <v>31926</v>
      </c>
      <c r="H3580" s="77">
        <v>0.41666666666666669</v>
      </c>
      <c r="J3580">
        <v>87.98</v>
      </c>
      <c r="M3580" s="74">
        <v>34483</v>
      </c>
      <c r="N3580" s="77">
        <v>0.41666666666666669</v>
      </c>
      <c r="P3580">
        <v>70.88</v>
      </c>
      <c r="S3580" s="74">
        <v>36309</v>
      </c>
      <c r="T3580" s="77">
        <v>0.41666666666666669</v>
      </c>
      <c r="V3580">
        <v>80.06</v>
      </c>
      <c r="X3580" s="42"/>
      <c r="AB3580">
        <v>66.3</v>
      </c>
      <c r="AC3580">
        <v>69.080000000000013</v>
      </c>
      <c r="AE3580" s="74"/>
      <c r="AF3580" s="77"/>
      <c r="AH3580" s="497">
        <v>60.8</v>
      </c>
      <c r="AJ3580" s="42"/>
      <c r="AK3580" s="74"/>
      <c r="AL3580" s="77"/>
      <c r="AN3580" s="497">
        <v>73.039999999999992</v>
      </c>
      <c r="AP3580" s="42"/>
      <c r="AQ3580" s="74"/>
      <c r="AR3580" s="77"/>
      <c r="AT3580" s="497">
        <v>60.980000000000004</v>
      </c>
      <c r="AV3580" s="42"/>
      <c r="AW3580" s="74"/>
      <c r="AX3580" s="77"/>
      <c r="BA3580" s="497">
        <v>62.06</v>
      </c>
      <c r="BB3580" s="42"/>
      <c r="BC3580" s="74"/>
      <c r="BD3580" s="77"/>
      <c r="BF3580">
        <v>64.94</v>
      </c>
      <c r="BH3580" s="42"/>
      <c r="BI3580" s="74"/>
      <c r="BJ3580" s="77"/>
      <c r="BL3580" s="497">
        <v>78.080000000000013</v>
      </c>
      <c r="BN3580" s="42"/>
      <c r="BO3580" s="74"/>
      <c r="BP3580" s="77"/>
      <c r="BR3580" s="497">
        <v>71.06</v>
      </c>
      <c r="BT3580" s="42"/>
    </row>
    <row r="3581" spans="1:72" x14ac:dyDescent="0.25">
      <c r="A3581" s="90">
        <v>36309</v>
      </c>
      <c r="B3581" s="20">
        <v>0.45833333333333331</v>
      </c>
      <c r="D3581">
        <v>75.92</v>
      </c>
      <c r="E3581" t="str">
        <f t="shared" si="146"/>
        <v>SATURDAY</v>
      </c>
      <c r="F3581" t="e">
        <f t="shared" si="147"/>
        <v>#N/A</v>
      </c>
      <c r="G3581" s="74">
        <v>31926</v>
      </c>
      <c r="H3581" s="77">
        <v>0.45833333333333331</v>
      </c>
      <c r="J3581">
        <v>89.960000000000008</v>
      </c>
      <c r="M3581" s="74">
        <v>34483</v>
      </c>
      <c r="N3581" s="77">
        <v>0.45833333333333331</v>
      </c>
      <c r="P3581">
        <v>71.960000000000008</v>
      </c>
      <c r="S3581" s="74">
        <v>36309</v>
      </c>
      <c r="T3581" s="77">
        <v>0.45833333333333331</v>
      </c>
      <c r="V3581">
        <v>82.039999999999992</v>
      </c>
      <c r="X3581" s="42"/>
      <c r="AB3581">
        <v>67.900000000000006</v>
      </c>
      <c r="AC3581">
        <v>66.92</v>
      </c>
      <c r="AE3581" s="74"/>
      <c r="AF3581" s="77"/>
      <c r="AH3581" s="497">
        <v>60.8</v>
      </c>
      <c r="AJ3581" s="42"/>
      <c r="AK3581" s="74"/>
      <c r="AL3581" s="77"/>
      <c r="AN3581" s="497">
        <v>75.92</v>
      </c>
      <c r="AP3581" s="42"/>
      <c r="AQ3581" s="74"/>
      <c r="AR3581" s="77"/>
      <c r="AT3581" s="497">
        <v>62.96</v>
      </c>
      <c r="AV3581" s="42"/>
      <c r="AW3581" s="74"/>
      <c r="AX3581" s="77"/>
      <c r="BA3581" s="497">
        <v>62.96</v>
      </c>
      <c r="BB3581" s="42"/>
      <c r="BC3581" s="74"/>
      <c r="BD3581" s="77"/>
      <c r="BF3581">
        <v>66.02</v>
      </c>
      <c r="BH3581" s="42"/>
      <c r="BI3581" s="74"/>
      <c r="BJ3581" s="77"/>
      <c r="BL3581" s="497">
        <v>80.960000000000008</v>
      </c>
      <c r="BN3581" s="42"/>
      <c r="BO3581" s="74"/>
      <c r="BP3581" s="77"/>
      <c r="BR3581" s="497">
        <v>71.06</v>
      </c>
      <c r="BT3581" s="42"/>
    </row>
    <row r="3582" spans="1:72" x14ac:dyDescent="0.25">
      <c r="A3582" s="90">
        <v>36309</v>
      </c>
      <c r="B3582" s="20">
        <v>0.5</v>
      </c>
      <c r="D3582">
        <v>77</v>
      </c>
      <c r="E3582" t="str">
        <f t="shared" si="146"/>
        <v>SATURDAY</v>
      </c>
      <c r="F3582" t="e">
        <f t="shared" si="147"/>
        <v>#N/A</v>
      </c>
      <c r="G3582" s="74">
        <v>31926</v>
      </c>
      <c r="H3582" s="77">
        <v>0.5</v>
      </c>
      <c r="J3582">
        <v>91.039999999999992</v>
      </c>
      <c r="M3582" s="74">
        <v>34483</v>
      </c>
      <c r="N3582" s="77">
        <v>0.5</v>
      </c>
      <c r="P3582">
        <v>72.86</v>
      </c>
      <c r="S3582" s="74">
        <v>36309</v>
      </c>
      <c r="T3582" s="77">
        <v>0.5</v>
      </c>
      <c r="V3582">
        <v>84.02</v>
      </c>
      <c r="X3582" s="42"/>
      <c r="AB3582">
        <v>69.099999999999994</v>
      </c>
      <c r="AC3582">
        <v>66.92</v>
      </c>
      <c r="AE3582" s="74"/>
      <c r="AF3582" s="77"/>
      <c r="AH3582" s="497">
        <v>62.6</v>
      </c>
      <c r="AJ3582" s="42"/>
      <c r="AK3582" s="74"/>
      <c r="AL3582" s="77"/>
      <c r="AN3582" s="497">
        <v>78.080000000000013</v>
      </c>
      <c r="AP3582" s="42"/>
      <c r="AQ3582" s="74"/>
      <c r="AR3582" s="77"/>
      <c r="AT3582" s="497">
        <v>64.039999999999992</v>
      </c>
      <c r="AV3582" s="42"/>
      <c r="AW3582" s="74"/>
      <c r="AX3582" s="77"/>
      <c r="BA3582" s="497">
        <v>64.94</v>
      </c>
      <c r="BB3582" s="42"/>
      <c r="BC3582" s="74"/>
      <c r="BD3582" s="77"/>
      <c r="BF3582">
        <v>64.94</v>
      </c>
      <c r="BH3582" s="42"/>
      <c r="BI3582" s="74"/>
      <c r="BJ3582" s="77"/>
      <c r="BL3582" s="497">
        <v>82.039999999999992</v>
      </c>
      <c r="BN3582" s="42"/>
      <c r="BO3582" s="74"/>
      <c r="BP3582" s="77"/>
      <c r="BR3582" s="497">
        <v>69.98</v>
      </c>
      <c r="BT3582" s="42"/>
    </row>
    <row r="3583" spans="1:72" x14ac:dyDescent="0.25">
      <c r="A3583" s="90">
        <v>36309</v>
      </c>
      <c r="B3583" s="20">
        <v>0.54166666666666663</v>
      </c>
      <c r="D3583">
        <v>78.080000000000013</v>
      </c>
      <c r="E3583" t="str">
        <f t="shared" si="146"/>
        <v>SATURDAY</v>
      </c>
      <c r="F3583" t="e">
        <f t="shared" si="147"/>
        <v>#N/A</v>
      </c>
      <c r="G3583" s="74">
        <v>31926</v>
      </c>
      <c r="H3583" s="77">
        <v>0.54166666666666663</v>
      </c>
      <c r="J3583">
        <v>93.02</v>
      </c>
      <c r="M3583" s="74">
        <v>34483</v>
      </c>
      <c r="N3583" s="77">
        <v>0.54166666666666663</v>
      </c>
      <c r="P3583">
        <v>75.92</v>
      </c>
      <c r="S3583" s="74">
        <v>36309</v>
      </c>
      <c r="T3583" s="77">
        <v>0.54166666666666663</v>
      </c>
      <c r="V3583">
        <v>80.960000000000008</v>
      </c>
      <c r="X3583" s="42"/>
      <c r="AB3583">
        <v>69.900000000000006</v>
      </c>
      <c r="AC3583">
        <v>69.98</v>
      </c>
      <c r="AE3583" s="74"/>
      <c r="AF3583" s="77"/>
      <c r="AH3583" s="497">
        <v>64.400000000000006</v>
      </c>
      <c r="AJ3583" s="42"/>
      <c r="AK3583" s="74"/>
      <c r="AL3583" s="77"/>
      <c r="AN3583" s="497">
        <v>78.080000000000013</v>
      </c>
      <c r="AP3583" s="42"/>
      <c r="AQ3583" s="74"/>
      <c r="AR3583" s="77"/>
      <c r="AT3583" s="497">
        <v>66.02</v>
      </c>
      <c r="AV3583" s="42"/>
      <c r="AW3583" s="74"/>
      <c r="AX3583" s="77"/>
      <c r="BA3583" s="497">
        <v>66.92</v>
      </c>
      <c r="BB3583" s="42"/>
      <c r="BC3583" s="74"/>
      <c r="BD3583" s="77"/>
      <c r="BF3583">
        <v>62.96</v>
      </c>
      <c r="BH3583" s="42"/>
      <c r="BI3583" s="74"/>
      <c r="BJ3583" s="77"/>
      <c r="BL3583" s="497">
        <v>84.02</v>
      </c>
      <c r="BN3583" s="42"/>
      <c r="BO3583" s="74"/>
      <c r="BP3583" s="77"/>
      <c r="BR3583" s="497">
        <v>73.039999999999992</v>
      </c>
      <c r="BT3583" s="42"/>
    </row>
    <row r="3584" spans="1:72" x14ac:dyDescent="0.25">
      <c r="A3584" s="90">
        <v>36309</v>
      </c>
      <c r="B3584" s="20">
        <v>0.58333333333333337</v>
      </c>
      <c r="D3584">
        <v>77</v>
      </c>
      <c r="E3584" t="str">
        <f t="shared" si="146"/>
        <v>SATURDAY</v>
      </c>
      <c r="F3584" t="e">
        <f t="shared" si="147"/>
        <v>#N/A</v>
      </c>
      <c r="G3584" s="74">
        <v>31926</v>
      </c>
      <c r="H3584" s="77">
        <v>0.58333333333333337</v>
      </c>
      <c r="J3584">
        <v>93.92</v>
      </c>
      <c r="M3584" s="74">
        <v>34483</v>
      </c>
      <c r="N3584" s="77">
        <v>0.58333333333333337</v>
      </c>
      <c r="P3584">
        <v>75.92</v>
      </c>
      <c r="S3584" s="74">
        <v>36309</v>
      </c>
      <c r="T3584" s="77">
        <v>0.58333333333333337</v>
      </c>
      <c r="V3584">
        <v>78.98</v>
      </c>
      <c r="X3584" s="42"/>
      <c r="AB3584">
        <v>70.3</v>
      </c>
      <c r="AC3584">
        <v>69.98</v>
      </c>
      <c r="AE3584" s="74"/>
      <c r="AF3584" s="77"/>
      <c r="AH3584" s="497">
        <v>64.400000000000006</v>
      </c>
      <c r="AJ3584" s="42"/>
      <c r="AK3584" s="74"/>
      <c r="AL3584" s="77"/>
      <c r="AN3584" s="497">
        <v>80.06</v>
      </c>
      <c r="AP3584" s="42"/>
      <c r="AQ3584" s="74"/>
      <c r="AR3584" s="77"/>
      <c r="AT3584" s="497">
        <v>68</v>
      </c>
      <c r="AV3584" s="42"/>
      <c r="AW3584" s="74"/>
      <c r="AX3584" s="77"/>
      <c r="BA3584" s="497">
        <v>68</v>
      </c>
      <c r="BB3584" s="42"/>
      <c r="BC3584" s="74"/>
      <c r="BD3584" s="77"/>
      <c r="BF3584">
        <v>60.980000000000004</v>
      </c>
      <c r="BH3584" s="42"/>
      <c r="BI3584" s="74"/>
      <c r="BJ3584" s="77"/>
      <c r="BL3584" s="497">
        <v>84.02</v>
      </c>
      <c r="BN3584" s="42"/>
      <c r="BO3584" s="74"/>
      <c r="BP3584" s="77"/>
      <c r="BR3584" s="497">
        <v>77</v>
      </c>
      <c r="BT3584" s="42"/>
    </row>
    <row r="3585" spans="1:72" x14ac:dyDescent="0.25">
      <c r="A3585" s="90">
        <v>36309</v>
      </c>
      <c r="B3585" s="20">
        <v>0.625</v>
      </c>
      <c r="D3585">
        <v>75.92</v>
      </c>
      <c r="E3585" t="str">
        <f t="shared" si="146"/>
        <v>SATURDAY</v>
      </c>
      <c r="F3585" t="e">
        <f t="shared" si="147"/>
        <v>#N/A</v>
      </c>
      <c r="G3585" s="74">
        <v>31926</v>
      </c>
      <c r="H3585" s="77">
        <v>0.625</v>
      </c>
      <c r="J3585">
        <v>93.02</v>
      </c>
      <c r="M3585" s="74">
        <v>34483</v>
      </c>
      <c r="N3585" s="77">
        <v>0.625</v>
      </c>
      <c r="P3585">
        <v>77</v>
      </c>
      <c r="S3585" s="74">
        <v>36309</v>
      </c>
      <c r="T3585" s="77">
        <v>0.625</v>
      </c>
      <c r="V3585">
        <v>78.080000000000013</v>
      </c>
      <c r="X3585" s="42"/>
      <c r="AB3585">
        <v>70.3</v>
      </c>
      <c r="AC3585">
        <v>69.080000000000013</v>
      </c>
      <c r="AE3585" s="74"/>
      <c r="AF3585" s="77"/>
      <c r="AH3585" s="497">
        <v>64.400000000000006</v>
      </c>
      <c r="AJ3585" s="42"/>
      <c r="AK3585" s="74"/>
      <c r="AL3585" s="77"/>
      <c r="AN3585" s="497">
        <v>78.080000000000013</v>
      </c>
      <c r="AP3585" s="42"/>
      <c r="AQ3585" s="74"/>
      <c r="AR3585" s="77"/>
      <c r="AT3585" s="497">
        <v>68</v>
      </c>
      <c r="AV3585" s="42"/>
      <c r="AW3585" s="74"/>
      <c r="AX3585" s="77"/>
      <c r="BA3585" s="497">
        <v>69.98</v>
      </c>
      <c r="BB3585" s="42"/>
      <c r="BC3585" s="74"/>
      <c r="BD3585" s="77"/>
      <c r="BF3585">
        <v>60.980000000000004</v>
      </c>
      <c r="BH3585" s="42"/>
      <c r="BI3585" s="74"/>
      <c r="BJ3585" s="77"/>
      <c r="BL3585" s="497">
        <v>84.02</v>
      </c>
      <c r="BN3585" s="42"/>
      <c r="BO3585" s="74"/>
      <c r="BP3585" s="77"/>
      <c r="BR3585" s="497">
        <v>71.960000000000008</v>
      </c>
      <c r="BT3585" s="42"/>
    </row>
    <row r="3586" spans="1:72" x14ac:dyDescent="0.25">
      <c r="A3586" s="90">
        <v>36309</v>
      </c>
      <c r="B3586" s="20">
        <v>0.66666666666666663</v>
      </c>
      <c r="D3586">
        <v>75.92</v>
      </c>
      <c r="E3586" t="str">
        <f t="shared" si="146"/>
        <v>SATURDAY</v>
      </c>
      <c r="F3586" t="e">
        <f t="shared" si="147"/>
        <v>#N/A</v>
      </c>
      <c r="G3586" s="74">
        <v>31926</v>
      </c>
      <c r="H3586" s="77">
        <v>0.66666666666666663</v>
      </c>
      <c r="J3586">
        <v>89.960000000000008</v>
      </c>
      <c r="M3586" s="74">
        <v>34483</v>
      </c>
      <c r="N3586" s="77">
        <v>0.66666666666666663</v>
      </c>
      <c r="P3586">
        <v>71.960000000000008</v>
      </c>
      <c r="S3586" s="74">
        <v>36309</v>
      </c>
      <c r="T3586" s="77">
        <v>0.66666666666666663</v>
      </c>
      <c r="V3586">
        <v>77</v>
      </c>
      <c r="X3586" s="42"/>
      <c r="AB3586">
        <v>69.7</v>
      </c>
      <c r="AC3586">
        <v>62.96</v>
      </c>
      <c r="AE3586" s="74"/>
      <c r="AF3586" s="77"/>
      <c r="AH3586" s="497">
        <v>64.400000000000006</v>
      </c>
      <c r="AJ3586" s="42"/>
      <c r="AK3586" s="74"/>
      <c r="AL3586" s="77"/>
      <c r="AN3586" s="497">
        <v>78.080000000000013</v>
      </c>
      <c r="AP3586" s="42"/>
      <c r="AQ3586" s="74"/>
      <c r="AR3586" s="77"/>
      <c r="AT3586" s="497">
        <v>69.080000000000013</v>
      </c>
      <c r="AV3586" s="42"/>
      <c r="AW3586" s="74"/>
      <c r="AX3586" s="77"/>
      <c r="BA3586" s="497">
        <v>71.06</v>
      </c>
      <c r="BB3586" s="42"/>
      <c r="BC3586" s="74"/>
      <c r="BD3586" s="77"/>
      <c r="BF3586">
        <v>62.96</v>
      </c>
      <c r="BH3586" s="42"/>
      <c r="BI3586" s="74"/>
      <c r="BJ3586" s="77"/>
      <c r="BL3586" s="497">
        <v>82.94</v>
      </c>
      <c r="BN3586" s="42"/>
      <c r="BO3586" s="74"/>
      <c r="BP3586" s="77"/>
      <c r="BR3586" s="497">
        <v>68</v>
      </c>
      <c r="BT3586" s="42"/>
    </row>
    <row r="3587" spans="1:72" x14ac:dyDescent="0.25">
      <c r="A3587" s="90">
        <v>36309</v>
      </c>
      <c r="B3587" s="20">
        <v>0.70833333333333337</v>
      </c>
      <c r="D3587">
        <v>73.94</v>
      </c>
      <c r="E3587" t="str">
        <f t="shared" si="146"/>
        <v>SATURDAY</v>
      </c>
      <c r="F3587" t="e">
        <f t="shared" si="147"/>
        <v>#N/A</v>
      </c>
      <c r="G3587" s="74">
        <v>31926</v>
      </c>
      <c r="H3587" s="77">
        <v>0.70833333333333337</v>
      </c>
      <c r="J3587">
        <v>89.06</v>
      </c>
      <c r="M3587" s="74">
        <v>34483</v>
      </c>
      <c r="N3587" s="77">
        <v>0.70833333333333337</v>
      </c>
      <c r="P3587">
        <v>70.88</v>
      </c>
      <c r="S3587" s="74">
        <v>36309</v>
      </c>
      <c r="T3587" s="77">
        <v>0.70833333333333337</v>
      </c>
      <c r="V3587">
        <v>73.039999999999992</v>
      </c>
      <c r="X3587" s="42"/>
      <c r="AB3587">
        <v>68.900000000000006</v>
      </c>
      <c r="AC3587">
        <v>60.08</v>
      </c>
      <c r="AE3587" s="74"/>
      <c r="AF3587" s="77"/>
      <c r="AH3587" s="497">
        <v>64.400000000000006</v>
      </c>
      <c r="AJ3587" s="42"/>
      <c r="AK3587" s="74"/>
      <c r="AL3587" s="77"/>
      <c r="AN3587" s="497">
        <v>78.98</v>
      </c>
      <c r="AP3587" s="42"/>
      <c r="AQ3587" s="74"/>
      <c r="AR3587" s="77"/>
      <c r="AT3587" s="497">
        <v>69.98</v>
      </c>
      <c r="AV3587" s="42"/>
      <c r="AW3587" s="74"/>
      <c r="AX3587" s="77"/>
      <c r="BA3587" s="497">
        <v>69.98</v>
      </c>
      <c r="BB3587" s="42"/>
      <c r="BC3587" s="74"/>
      <c r="BD3587" s="77"/>
      <c r="BF3587">
        <v>59</v>
      </c>
      <c r="BH3587" s="42"/>
      <c r="BI3587" s="74"/>
      <c r="BJ3587" s="77"/>
      <c r="BL3587" s="497">
        <v>82.039999999999992</v>
      </c>
      <c r="BN3587" s="42"/>
      <c r="BO3587" s="74"/>
      <c r="BP3587" s="77"/>
      <c r="BR3587" s="497">
        <v>69.98</v>
      </c>
      <c r="BT3587" s="42"/>
    </row>
    <row r="3588" spans="1:72" x14ac:dyDescent="0.25">
      <c r="A3588" s="90">
        <v>36309</v>
      </c>
      <c r="B3588" s="20">
        <v>0.75</v>
      </c>
      <c r="D3588">
        <v>69.98</v>
      </c>
      <c r="E3588" t="str">
        <f t="shared" si="146"/>
        <v>SATURDAY</v>
      </c>
      <c r="F3588" t="e">
        <f t="shared" si="147"/>
        <v>#N/A</v>
      </c>
      <c r="G3588" s="74">
        <v>31926</v>
      </c>
      <c r="H3588" s="77">
        <v>0.75</v>
      </c>
      <c r="J3588">
        <v>84.92</v>
      </c>
      <c r="M3588" s="74">
        <v>34483</v>
      </c>
      <c r="N3588" s="77">
        <v>0.75</v>
      </c>
      <c r="P3588">
        <v>69.98</v>
      </c>
      <c r="S3588" s="74">
        <v>36309</v>
      </c>
      <c r="T3588" s="77">
        <v>0.75</v>
      </c>
      <c r="V3588">
        <v>75.92</v>
      </c>
      <c r="X3588" s="42"/>
      <c r="AB3588">
        <v>67.7</v>
      </c>
      <c r="AC3588">
        <v>60.980000000000004</v>
      </c>
      <c r="AE3588" s="74"/>
      <c r="AF3588" s="77"/>
      <c r="AH3588" s="497">
        <v>62.6</v>
      </c>
      <c r="AJ3588" s="42"/>
      <c r="AK3588" s="74"/>
      <c r="AL3588" s="77"/>
      <c r="AN3588" s="497">
        <v>77</v>
      </c>
      <c r="AP3588" s="42"/>
      <c r="AQ3588" s="74"/>
      <c r="AR3588" s="77"/>
      <c r="AT3588" s="497">
        <v>68</v>
      </c>
      <c r="AV3588" s="42"/>
      <c r="AW3588" s="74"/>
      <c r="AX3588" s="77"/>
      <c r="BA3588" s="497">
        <v>68</v>
      </c>
      <c r="BB3588" s="42"/>
      <c r="BC3588" s="74"/>
      <c r="BD3588" s="77"/>
      <c r="BF3588">
        <v>57.019999999999996</v>
      </c>
      <c r="BH3588" s="42"/>
      <c r="BI3588" s="74"/>
      <c r="BJ3588" s="77"/>
      <c r="BL3588" s="497">
        <v>78.98</v>
      </c>
      <c r="BN3588" s="42"/>
      <c r="BO3588" s="74"/>
      <c r="BP3588" s="77"/>
      <c r="BR3588" s="497">
        <v>69.080000000000013</v>
      </c>
      <c r="BT3588" s="42"/>
    </row>
    <row r="3589" spans="1:72" x14ac:dyDescent="0.25">
      <c r="A3589" s="90">
        <v>36309</v>
      </c>
      <c r="B3589" s="20">
        <v>0.79166666666666663</v>
      </c>
      <c r="D3589">
        <v>68</v>
      </c>
      <c r="E3589" t="str">
        <f t="shared" si="146"/>
        <v>SATURDAY</v>
      </c>
      <c r="F3589" t="e">
        <f t="shared" si="147"/>
        <v>#N/A</v>
      </c>
      <c r="G3589" s="74">
        <v>31926</v>
      </c>
      <c r="H3589" s="77">
        <v>0.79166666666666663</v>
      </c>
      <c r="J3589">
        <v>80.06</v>
      </c>
      <c r="M3589" s="74">
        <v>34483</v>
      </c>
      <c r="N3589" s="77">
        <v>0.79166666666666663</v>
      </c>
      <c r="P3589">
        <v>65.84</v>
      </c>
      <c r="S3589" s="74">
        <v>36309</v>
      </c>
      <c r="T3589" s="77">
        <v>0.79166666666666663</v>
      </c>
      <c r="V3589">
        <v>77</v>
      </c>
      <c r="X3589" s="42"/>
      <c r="AB3589">
        <v>66.5</v>
      </c>
      <c r="AC3589">
        <v>60.08</v>
      </c>
      <c r="AE3589" s="74"/>
      <c r="AF3589" s="77"/>
      <c r="AH3589" s="497">
        <v>62.6</v>
      </c>
      <c r="AJ3589" s="42"/>
      <c r="AK3589" s="74"/>
      <c r="AL3589" s="77"/>
      <c r="AN3589" s="497">
        <v>73.94</v>
      </c>
      <c r="AP3589" s="42"/>
      <c r="AQ3589" s="74"/>
      <c r="AR3589" s="77"/>
      <c r="AT3589" s="497">
        <v>64.94</v>
      </c>
      <c r="AV3589" s="42"/>
      <c r="AW3589" s="74"/>
      <c r="AX3589" s="77"/>
      <c r="BA3589" s="497">
        <v>64.039999999999992</v>
      </c>
      <c r="BB3589" s="42"/>
      <c r="BC3589" s="74"/>
      <c r="BD3589" s="77"/>
      <c r="BF3589">
        <v>55.94</v>
      </c>
      <c r="BH3589" s="42"/>
      <c r="BI3589" s="74"/>
      <c r="BJ3589" s="77"/>
      <c r="BL3589" s="497">
        <v>75.92</v>
      </c>
      <c r="BN3589" s="42"/>
      <c r="BO3589" s="74"/>
      <c r="BP3589" s="77"/>
      <c r="BR3589" s="497">
        <v>66.92</v>
      </c>
      <c r="BT3589" s="42"/>
    </row>
    <row r="3590" spans="1:72" x14ac:dyDescent="0.25">
      <c r="A3590" s="90">
        <v>36309</v>
      </c>
      <c r="B3590" s="20">
        <v>0.83333333333333337</v>
      </c>
      <c r="D3590">
        <v>68</v>
      </c>
      <c r="E3590" t="str">
        <f t="shared" si="146"/>
        <v>SATURDAY</v>
      </c>
      <c r="F3590" t="e">
        <f t="shared" si="147"/>
        <v>#N/A</v>
      </c>
      <c r="G3590" s="74">
        <v>31926</v>
      </c>
      <c r="H3590" s="77">
        <v>0.83333333333333337</v>
      </c>
      <c r="J3590">
        <v>80.960000000000008</v>
      </c>
      <c r="M3590" s="74">
        <v>34483</v>
      </c>
      <c r="N3590" s="77">
        <v>0.83333333333333337</v>
      </c>
      <c r="P3590">
        <v>62.96</v>
      </c>
      <c r="S3590" s="74">
        <v>36309</v>
      </c>
      <c r="T3590" s="77">
        <v>0.83333333333333337</v>
      </c>
      <c r="V3590">
        <v>75.02</v>
      </c>
      <c r="X3590" s="42"/>
      <c r="AB3590">
        <v>65</v>
      </c>
      <c r="AC3590">
        <v>57.92</v>
      </c>
      <c r="AE3590" s="74"/>
      <c r="AF3590" s="77"/>
      <c r="AH3590" s="497">
        <v>53.6</v>
      </c>
      <c r="AJ3590" s="42"/>
      <c r="AK3590" s="74"/>
      <c r="AL3590" s="77"/>
      <c r="AN3590" s="497">
        <v>69.98</v>
      </c>
      <c r="AP3590" s="42"/>
      <c r="AQ3590" s="74"/>
      <c r="AR3590" s="77"/>
      <c r="AT3590" s="497">
        <v>55.94</v>
      </c>
      <c r="AV3590" s="42"/>
      <c r="AW3590" s="74"/>
      <c r="AX3590" s="77"/>
      <c r="BA3590" s="497">
        <v>57.019999999999996</v>
      </c>
      <c r="BB3590" s="42"/>
      <c r="BC3590" s="74"/>
      <c r="BD3590" s="77"/>
      <c r="BF3590">
        <v>55.040000000000006</v>
      </c>
      <c r="BH3590" s="42"/>
      <c r="BI3590" s="74"/>
      <c r="BJ3590" s="77"/>
      <c r="BL3590" s="497">
        <v>73.039999999999992</v>
      </c>
      <c r="BN3590" s="42"/>
      <c r="BO3590" s="74"/>
      <c r="BP3590" s="77"/>
      <c r="BR3590" s="497">
        <v>64.039999999999992</v>
      </c>
      <c r="BT3590" s="42"/>
    </row>
    <row r="3591" spans="1:72" x14ac:dyDescent="0.25">
      <c r="A3591" s="90">
        <v>36309</v>
      </c>
      <c r="B3591" s="20">
        <v>0.875</v>
      </c>
      <c r="D3591">
        <v>69.080000000000013</v>
      </c>
      <c r="E3591" t="str">
        <f t="shared" si="146"/>
        <v>SATURDAY</v>
      </c>
      <c r="F3591" t="e">
        <f t="shared" si="147"/>
        <v>#N/A</v>
      </c>
      <c r="G3591" s="74">
        <v>31926</v>
      </c>
      <c r="H3591" s="77">
        <v>0.875</v>
      </c>
      <c r="J3591">
        <v>75.92</v>
      </c>
      <c r="M3591" s="74">
        <v>34483</v>
      </c>
      <c r="N3591" s="77">
        <v>0.875</v>
      </c>
      <c r="P3591">
        <v>60.980000000000004</v>
      </c>
      <c r="S3591" s="74">
        <v>36309</v>
      </c>
      <c r="T3591" s="77">
        <v>0.875</v>
      </c>
      <c r="V3591">
        <v>71.06</v>
      </c>
      <c r="X3591" s="42"/>
      <c r="AB3591">
        <v>63.9</v>
      </c>
      <c r="AC3591">
        <v>57.92</v>
      </c>
      <c r="AE3591" s="74"/>
      <c r="AF3591" s="77"/>
      <c r="AH3591" s="497">
        <v>50.540000000000006</v>
      </c>
      <c r="AJ3591" s="42"/>
      <c r="AK3591" s="74"/>
      <c r="AL3591" s="77"/>
      <c r="AN3591" s="497">
        <v>69.080000000000013</v>
      </c>
      <c r="AP3591" s="42"/>
      <c r="AQ3591" s="74"/>
      <c r="AR3591" s="77"/>
      <c r="AT3591" s="497">
        <v>53.06</v>
      </c>
      <c r="AV3591" s="42"/>
      <c r="AW3591" s="74"/>
      <c r="AX3591" s="77"/>
      <c r="BA3591" s="497">
        <v>53.96</v>
      </c>
      <c r="BB3591" s="42"/>
      <c r="BC3591" s="74"/>
      <c r="BD3591" s="77"/>
      <c r="BF3591">
        <v>55.040000000000006</v>
      </c>
      <c r="BH3591" s="42"/>
      <c r="BI3591" s="74"/>
      <c r="BJ3591" s="77"/>
      <c r="BL3591" s="497">
        <v>71.960000000000008</v>
      </c>
      <c r="BN3591" s="42"/>
      <c r="BO3591" s="74"/>
      <c r="BP3591" s="77"/>
      <c r="BR3591" s="497">
        <v>62.06</v>
      </c>
      <c r="BT3591" s="42"/>
    </row>
    <row r="3592" spans="1:72" x14ac:dyDescent="0.25">
      <c r="A3592" s="90">
        <v>36309</v>
      </c>
      <c r="B3592" s="20">
        <v>0.91666666666666663</v>
      </c>
      <c r="D3592">
        <v>68</v>
      </c>
      <c r="E3592" t="str">
        <f t="shared" si="146"/>
        <v>SATURDAY</v>
      </c>
      <c r="F3592" t="e">
        <f t="shared" si="147"/>
        <v>#N/A</v>
      </c>
      <c r="G3592" s="74">
        <v>31926</v>
      </c>
      <c r="H3592" s="77">
        <v>0.91666666666666663</v>
      </c>
      <c r="J3592">
        <v>78.98</v>
      </c>
      <c r="M3592" s="74">
        <v>34483</v>
      </c>
      <c r="N3592" s="77">
        <v>0.91666666666666663</v>
      </c>
      <c r="P3592">
        <v>59.900000000000006</v>
      </c>
      <c r="S3592" s="74">
        <v>36309</v>
      </c>
      <c r="T3592" s="77">
        <v>0.91666666666666663</v>
      </c>
      <c r="V3592">
        <v>71.960000000000008</v>
      </c>
      <c r="X3592" s="42"/>
      <c r="AB3592">
        <v>63.4</v>
      </c>
      <c r="AC3592">
        <v>57.019999999999996</v>
      </c>
      <c r="AE3592" s="74"/>
      <c r="AF3592" s="77"/>
      <c r="AH3592" s="497">
        <v>48.2</v>
      </c>
      <c r="AJ3592" s="42"/>
      <c r="AK3592" s="74"/>
      <c r="AL3592" s="77"/>
      <c r="AN3592" s="497">
        <v>71.06</v>
      </c>
      <c r="AP3592" s="42"/>
      <c r="AQ3592" s="74"/>
      <c r="AR3592" s="77"/>
      <c r="AT3592" s="497">
        <v>50</v>
      </c>
      <c r="AV3592" s="42"/>
      <c r="AW3592" s="74"/>
      <c r="AX3592" s="77"/>
      <c r="BA3592" s="497">
        <v>51.08</v>
      </c>
      <c r="BB3592" s="42"/>
      <c r="BC3592" s="74"/>
      <c r="BD3592" s="77"/>
      <c r="BF3592">
        <v>55.040000000000006</v>
      </c>
      <c r="BH3592" s="42"/>
      <c r="BI3592" s="74"/>
      <c r="BJ3592" s="77"/>
      <c r="BL3592" s="497">
        <v>68</v>
      </c>
      <c r="BN3592" s="42"/>
      <c r="BO3592" s="74"/>
      <c r="BP3592" s="77"/>
      <c r="BR3592" s="497">
        <v>60.980000000000004</v>
      </c>
      <c r="BT3592" s="42"/>
    </row>
    <row r="3593" spans="1:72" x14ac:dyDescent="0.25">
      <c r="A3593" s="90">
        <v>36309</v>
      </c>
      <c r="B3593" s="20">
        <v>0.95833333333333337</v>
      </c>
      <c r="D3593">
        <v>66.92</v>
      </c>
      <c r="E3593" t="str">
        <f t="shared" si="146"/>
        <v>SATURDAY</v>
      </c>
      <c r="F3593" t="e">
        <f t="shared" si="147"/>
        <v>#N/A</v>
      </c>
      <c r="G3593" s="74">
        <v>31926</v>
      </c>
      <c r="H3593" s="77">
        <v>0.95833333333333337</v>
      </c>
      <c r="J3593">
        <v>80.06</v>
      </c>
      <c r="M3593" s="74">
        <v>34483</v>
      </c>
      <c r="N3593" s="77">
        <v>0.95833333333333337</v>
      </c>
      <c r="P3593">
        <v>57.92</v>
      </c>
      <c r="S3593" s="74">
        <v>36309</v>
      </c>
      <c r="T3593" s="77">
        <v>0.95833333333333337</v>
      </c>
      <c r="V3593">
        <v>71.06</v>
      </c>
      <c r="X3593" s="42"/>
      <c r="AB3593">
        <v>62.8</v>
      </c>
      <c r="AC3593">
        <v>57.019999999999996</v>
      </c>
      <c r="AE3593" s="74"/>
      <c r="AF3593" s="77"/>
      <c r="AH3593" s="497">
        <v>48.2</v>
      </c>
      <c r="AJ3593" s="42"/>
      <c r="AK3593" s="74"/>
      <c r="AL3593" s="77"/>
      <c r="AN3593" s="497">
        <v>69.080000000000013</v>
      </c>
      <c r="AP3593" s="42"/>
      <c r="AQ3593" s="74"/>
      <c r="AR3593" s="77"/>
      <c r="AT3593" s="497">
        <v>48.019999999999996</v>
      </c>
      <c r="AV3593" s="42"/>
      <c r="AW3593" s="74"/>
      <c r="AX3593" s="77"/>
      <c r="BA3593" s="497">
        <v>50</v>
      </c>
      <c r="BB3593" s="42"/>
      <c r="BC3593" s="74"/>
      <c r="BD3593" s="77"/>
      <c r="BF3593">
        <v>53.96</v>
      </c>
      <c r="BH3593" s="42"/>
      <c r="BI3593" s="74"/>
      <c r="BJ3593" s="77"/>
      <c r="BL3593" s="497">
        <v>66.02</v>
      </c>
      <c r="BN3593" s="42"/>
      <c r="BO3593" s="74"/>
      <c r="BP3593" s="77"/>
      <c r="BR3593" s="497">
        <v>60.980000000000004</v>
      </c>
      <c r="BT3593" s="42"/>
    </row>
    <row r="3594" spans="1:72" x14ac:dyDescent="0.25">
      <c r="A3594" s="90">
        <v>36309</v>
      </c>
      <c r="B3594" s="20">
        <v>1</v>
      </c>
      <c r="D3594">
        <v>66.02</v>
      </c>
      <c r="E3594" t="str">
        <f t="shared" si="146"/>
        <v>SATURDAY</v>
      </c>
      <c r="F3594" t="e">
        <f t="shared" si="147"/>
        <v>#N/A</v>
      </c>
      <c r="G3594" s="74">
        <v>31926</v>
      </c>
      <c r="H3594" s="77">
        <v>1</v>
      </c>
      <c r="J3594">
        <v>73.039999999999992</v>
      </c>
      <c r="M3594" s="74">
        <v>34483</v>
      </c>
      <c r="N3594" s="80">
        <v>1</v>
      </c>
      <c r="P3594">
        <v>57.92</v>
      </c>
      <c r="S3594" s="74">
        <v>36309</v>
      </c>
      <c r="T3594" s="80">
        <v>1</v>
      </c>
      <c r="V3594">
        <v>66.92</v>
      </c>
      <c r="X3594" s="42"/>
      <c r="AB3594">
        <v>62.3</v>
      </c>
      <c r="AC3594">
        <v>55.94</v>
      </c>
      <c r="AE3594" s="74"/>
      <c r="AF3594" s="80"/>
      <c r="AH3594" s="497">
        <v>46.4</v>
      </c>
      <c r="AJ3594" s="42"/>
      <c r="AK3594" s="74"/>
      <c r="AL3594" s="80"/>
      <c r="AN3594" s="497">
        <v>66.92</v>
      </c>
      <c r="AP3594" s="42"/>
      <c r="AQ3594" s="74"/>
      <c r="AR3594" s="80"/>
      <c r="AT3594" s="497">
        <v>48.019999999999996</v>
      </c>
      <c r="AV3594" s="42"/>
      <c r="AW3594" s="74"/>
      <c r="AX3594" s="80"/>
      <c r="BA3594" s="497">
        <v>50</v>
      </c>
      <c r="BB3594" s="42"/>
      <c r="BC3594" s="74"/>
      <c r="BD3594" s="80"/>
      <c r="BF3594">
        <v>53.96</v>
      </c>
      <c r="BH3594" s="42"/>
      <c r="BI3594" s="74"/>
      <c r="BJ3594" s="80"/>
      <c r="BL3594" s="497">
        <v>64.94</v>
      </c>
      <c r="BN3594" s="42"/>
      <c r="BO3594" s="74"/>
      <c r="BP3594" s="80"/>
      <c r="BR3594" s="497">
        <v>60.08</v>
      </c>
      <c r="BT3594" s="42"/>
    </row>
    <row r="3595" spans="1:72" x14ac:dyDescent="0.25">
      <c r="A3595" s="90">
        <v>36310</v>
      </c>
      <c r="B3595" s="20">
        <v>4.1666666666666664E-2</v>
      </c>
      <c r="D3595">
        <v>64.94</v>
      </c>
      <c r="E3595" t="str">
        <f t="shared" si="146"/>
        <v>SUNDAY</v>
      </c>
      <c r="F3595" t="e">
        <f t="shared" si="147"/>
        <v>#N/A</v>
      </c>
      <c r="G3595" s="74">
        <v>31927</v>
      </c>
      <c r="H3595" s="77">
        <v>4.1666666666666664E-2</v>
      </c>
      <c r="J3595">
        <v>73.039999999999992</v>
      </c>
      <c r="M3595" s="74">
        <v>34484</v>
      </c>
      <c r="N3595" s="77">
        <v>4.1666666666666664E-2</v>
      </c>
      <c r="P3595">
        <v>55.94</v>
      </c>
      <c r="S3595" s="74">
        <v>36310</v>
      </c>
      <c r="T3595" s="77">
        <v>4.1666666666666664E-2</v>
      </c>
      <c r="V3595">
        <v>66.02</v>
      </c>
      <c r="X3595" s="42"/>
      <c r="AB3595">
        <v>61.7</v>
      </c>
      <c r="AC3595">
        <v>53.96</v>
      </c>
      <c r="AE3595" s="74"/>
      <c r="AF3595" s="77"/>
      <c r="AH3595" s="497">
        <v>44.6</v>
      </c>
      <c r="AJ3595" s="42"/>
      <c r="AK3595" s="74"/>
      <c r="AL3595" s="77"/>
      <c r="AN3595" s="497">
        <v>64.94</v>
      </c>
      <c r="AP3595" s="42"/>
      <c r="AQ3595" s="74"/>
      <c r="AR3595" s="77"/>
      <c r="AT3595" s="497">
        <v>46.04</v>
      </c>
      <c r="AV3595" s="42"/>
      <c r="AW3595" s="74"/>
      <c r="AX3595" s="77"/>
      <c r="BA3595" s="497">
        <v>50</v>
      </c>
      <c r="BB3595" s="42"/>
      <c r="BC3595" s="74"/>
      <c r="BD3595" s="77"/>
      <c r="BF3595">
        <v>53.96</v>
      </c>
      <c r="BH3595" s="42"/>
      <c r="BI3595" s="74"/>
      <c r="BJ3595" s="77"/>
      <c r="BL3595" s="497">
        <v>64.039999999999992</v>
      </c>
      <c r="BN3595" s="42"/>
      <c r="BO3595" s="74"/>
      <c r="BP3595" s="77"/>
      <c r="BR3595" s="497">
        <v>59</v>
      </c>
      <c r="BT3595" s="42"/>
    </row>
    <row r="3596" spans="1:72" x14ac:dyDescent="0.25">
      <c r="A3596" s="90">
        <v>36310</v>
      </c>
      <c r="B3596" s="20">
        <v>8.3333333333333329E-2</v>
      </c>
      <c r="D3596">
        <v>64.039999999999992</v>
      </c>
      <c r="E3596" t="str">
        <f t="shared" si="146"/>
        <v>SUNDAY</v>
      </c>
      <c r="F3596" t="e">
        <f t="shared" si="147"/>
        <v>#N/A</v>
      </c>
      <c r="G3596" s="74">
        <v>31927</v>
      </c>
      <c r="H3596" s="77">
        <v>8.3333333333333329E-2</v>
      </c>
      <c r="J3596">
        <v>73.94</v>
      </c>
      <c r="M3596" s="74">
        <v>34484</v>
      </c>
      <c r="N3596" s="77">
        <v>8.3333333333333329E-2</v>
      </c>
      <c r="P3596">
        <v>55.94</v>
      </c>
      <c r="S3596" s="74">
        <v>36310</v>
      </c>
      <c r="T3596" s="77">
        <v>8.3333333333333329E-2</v>
      </c>
      <c r="V3596">
        <v>62.96</v>
      </c>
      <c r="X3596" s="42"/>
      <c r="AB3596">
        <v>61.2</v>
      </c>
      <c r="AC3596">
        <v>53.06</v>
      </c>
      <c r="AE3596" s="74"/>
      <c r="AF3596" s="77"/>
      <c r="AH3596" s="497">
        <v>42.8</v>
      </c>
      <c r="AJ3596" s="42"/>
      <c r="AK3596" s="74"/>
      <c r="AL3596" s="77"/>
      <c r="AN3596" s="497">
        <v>62.06</v>
      </c>
      <c r="AP3596" s="42"/>
      <c r="AQ3596" s="74"/>
      <c r="AR3596" s="77"/>
      <c r="AT3596" s="497">
        <v>44.96</v>
      </c>
      <c r="AV3596" s="42"/>
      <c r="AW3596" s="74"/>
      <c r="AX3596" s="77"/>
      <c r="BA3596" s="497">
        <v>48.92</v>
      </c>
      <c r="BB3596" s="42"/>
      <c r="BC3596" s="74"/>
      <c r="BD3596" s="77"/>
      <c r="BF3596">
        <v>53.06</v>
      </c>
      <c r="BH3596" s="42"/>
      <c r="BI3596" s="74"/>
      <c r="BJ3596" s="77"/>
      <c r="BL3596" s="497">
        <v>62.96</v>
      </c>
      <c r="BN3596" s="42"/>
      <c r="BO3596" s="74"/>
      <c r="BP3596" s="77"/>
      <c r="BR3596" s="497">
        <v>57.92</v>
      </c>
      <c r="BT3596" s="42"/>
    </row>
    <row r="3597" spans="1:72" x14ac:dyDescent="0.25">
      <c r="A3597" s="90">
        <v>36310</v>
      </c>
      <c r="B3597" s="20">
        <v>0.125</v>
      </c>
      <c r="D3597">
        <v>64.039999999999992</v>
      </c>
      <c r="E3597" t="str">
        <f t="shared" si="146"/>
        <v>SUNDAY</v>
      </c>
      <c r="F3597" t="e">
        <f t="shared" si="147"/>
        <v>#N/A</v>
      </c>
      <c r="G3597" s="74">
        <v>31927</v>
      </c>
      <c r="H3597" s="77">
        <v>0.125</v>
      </c>
      <c r="J3597">
        <v>73.039999999999992</v>
      </c>
      <c r="M3597" s="74">
        <v>34484</v>
      </c>
      <c r="N3597" s="77">
        <v>0.125</v>
      </c>
      <c r="P3597">
        <v>55.94</v>
      </c>
      <c r="S3597" s="74">
        <v>36310</v>
      </c>
      <c r="T3597" s="77">
        <v>0.125</v>
      </c>
      <c r="V3597">
        <v>64.94</v>
      </c>
      <c r="X3597" s="42"/>
      <c r="AB3597">
        <v>60.7</v>
      </c>
      <c r="AC3597">
        <v>51.08</v>
      </c>
      <c r="AE3597" s="74"/>
      <c r="AF3597" s="77"/>
      <c r="AH3597" s="497">
        <v>41</v>
      </c>
      <c r="AJ3597" s="42"/>
      <c r="AK3597" s="74"/>
      <c r="AL3597" s="77"/>
      <c r="AN3597" s="497">
        <v>60.980000000000004</v>
      </c>
      <c r="AP3597" s="42"/>
      <c r="AQ3597" s="74"/>
      <c r="AR3597" s="77"/>
      <c r="AT3597" s="497">
        <v>42.980000000000004</v>
      </c>
      <c r="AV3597" s="42"/>
      <c r="AW3597" s="74"/>
      <c r="AX3597" s="77"/>
      <c r="BA3597" s="497">
        <v>48.019999999999996</v>
      </c>
      <c r="BB3597" s="42"/>
      <c r="BC3597" s="74"/>
      <c r="BD3597" s="77"/>
      <c r="BF3597">
        <v>53.96</v>
      </c>
      <c r="BH3597" s="42"/>
      <c r="BI3597" s="74"/>
      <c r="BJ3597" s="77"/>
      <c r="BL3597" s="497">
        <v>64.039999999999992</v>
      </c>
      <c r="BN3597" s="42"/>
      <c r="BO3597" s="74"/>
      <c r="BP3597" s="77"/>
      <c r="BR3597" s="497">
        <v>59</v>
      </c>
      <c r="BT3597" s="42"/>
    </row>
    <row r="3598" spans="1:72" x14ac:dyDescent="0.25">
      <c r="A3598" s="90">
        <v>36310</v>
      </c>
      <c r="B3598" s="20">
        <v>0.16666666666666666</v>
      </c>
      <c r="D3598">
        <v>62.96</v>
      </c>
      <c r="E3598" t="str">
        <f t="shared" si="146"/>
        <v>SUNDAY</v>
      </c>
      <c r="F3598" t="e">
        <f t="shared" si="147"/>
        <v>#N/A</v>
      </c>
      <c r="G3598" s="74">
        <v>31927</v>
      </c>
      <c r="H3598" s="77">
        <v>0.16666666666666666</v>
      </c>
      <c r="J3598">
        <v>71.960000000000008</v>
      </c>
      <c r="M3598" s="74">
        <v>34484</v>
      </c>
      <c r="N3598" s="77">
        <v>0.16666666666666666</v>
      </c>
      <c r="P3598">
        <v>55.94</v>
      </c>
      <c r="S3598" s="74">
        <v>36310</v>
      </c>
      <c r="T3598" s="77">
        <v>0.16666666666666666</v>
      </c>
      <c r="V3598">
        <v>64.039999999999992</v>
      </c>
      <c r="X3598" s="42"/>
      <c r="AB3598">
        <v>60.2</v>
      </c>
      <c r="AC3598">
        <v>51.08</v>
      </c>
      <c r="AE3598" s="74"/>
      <c r="AF3598" s="77"/>
      <c r="AH3598" s="497">
        <v>42.8</v>
      </c>
      <c r="AJ3598" s="42"/>
      <c r="AK3598" s="74"/>
      <c r="AL3598" s="77"/>
      <c r="AN3598" s="497">
        <v>59</v>
      </c>
      <c r="AP3598" s="42"/>
      <c r="AQ3598" s="74"/>
      <c r="AR3598" s="77"/>
      <c r="AT3598" s="497">
        <v>42.980000000000004</v>
      </c>
      <c r="AV3598" s="42"/>
      <c r="AW3598" s="74"/>
      <c r="AX3598" s="77"/>
      <c r="BA3598" s="497">
        <v>46.94</v>
      </c>
      <c r="BB3598" s="42"/>
      <c r="BC3598" s="74"/>
      <c r="BD3598" s="77"/>
      <c r="BF3598">
        <v>53.96</v>
      </c>
      <c r="BH3598" s="42"/>
      <c r="BI3598" s="74"/>
      <c r="BJ3598" s="77"/>
      <c r="BL3598" s="497">
        <v>62.96</v>
      </c>
      <c r="BN3598" s="42"/>
      <c r="BO3598" s="74"/>
      <c r="BP3598" s="77"/>
      <c r="BR3598" s="497">
        <v>59</v>
      </c>
      <c r="BT3598" s="42"/>
    </row>
    <row r="3599" spans="1:72" x14ac:dyDescent="0.25">
      <c r="A3599" s="90">
        <v>36310</v>
      </c>
      <c r="B3599" s="20">
        <v>0.20833333333333334</v>
      </c>
      <c r="D3599">
        <v>60.980000000000004</v>
      </c>
      <c r="E3599" t="str">
        <f t="shared" si="146"/>
        <v>SUNDAY</v>
      </c>
      <c r="F3599" t="e">
        <f t="shared" si="147"/>
        <v>#N/A</v>
      </c>
      <c r="G3599" s="74">
        <v>31927</v>
      </c>
      <c r="H3599" s="77">
        <v>0.20833333333333334</v>
      </c>
      <c r="J3599">
        <v>73.039999999999992</v>
      </c>
      <c r="M3599" s="74">
        <v>34484</v>
      </c>
      <c r="N3599" s="77">
        <v>0.20833333333333334</v>
      </c>
      <c r="P3599">
        <v>54.86</v>
      </c>
      <c r="S3599" s="74">
        <v>36310</v>
      </c>
      <c r="T3599" s="77">
        <v>0.20833333333333334</v>
      </c>
      <c r="V3599">
        <v>64.039999999999992</v>
      </c>
      <c r="X3599" s="42"/>
      <c r="AB3599">
        <v>59.8</v>
      </c>
      <c r="AC3599">
        <v>51.08</v>
      </c>
      <c r="AE3599" s="74"/>
      <c r="AF3599" s="77"/>
      <c r="AH3599" s="497">
        <v>48.2</v>
      </c>
      <c r="AJ3599" s="42"/>
      <c r="AK3599" s="74"/>
      <c r="AL3599" s="77"/>
      <c r="AN3599" s="497">
        <v>57.92</v>
      </c>
      <c r="AP3599" s="42"/>
      <c r="AQ3599" s="74"/>
      <c r="AR3599" s="77"/>
      <c r="AT3599" s="497">
        <v>42.980000000000004</v>
      </c>
      <c r="AV3599" s="42"/>
      <c r="AW3599" s="74"/>
      <c r="AX3599" s="77"/>
      <c r="BA3599" s="497">
        <v>46.04</v>
      </c>
      <c r="BB3599" s="42"/>
      <c r="BC3599" s="74"/>
      <c r="BD3599" s="77"/>
      <c r="BF3599">
        <v>53.96</v>
      </c>
      <c r="BH3599" s="42"/>
      <c r="BI3599" s="74"/>
      <c r="BJ3599" s="77"/>
      <c r="BL3599" s="497">
        <v>62.06</v>
      </c>
      <c r="BN3599" s="42"/>
      <c r="BO3599" s="74"/>
      <c r="BP3599" s="77"/>
      <c r="BR3599" s="497">
        <v>59</v>
      </c>
      <c r="BT3599" s="42"/>
    </row>
    <row r="3600" spans="1:72" x14ac:dyDescent="0.25">
      <c r="A3600" s="90">
        <v>36310</v>
      </c>
      <c r="B3600" s="20">
        <v>0.25</v>
      </c>
      <c r="D3600">
        <v>62.96</v>
      </c>
      <c r="E3600" t="str">
        <f t="shared" si="146"/>
        <v>SUNDAY</v>
      </c>
      <c r="F3600" t="e">
        <f t="shared" si="147"/>
        <v>#N/A</v>
      </c>
      <c r="G3600" s="74">
        <v>31927</v>
      </c>
      <c r="H3600" s="77">
        <v>0.25</v>
      </c>
      <c r="J3600">
        <v>73.94</v>
      </c>
      <c r="M3600" s="74">
        <v>34484</v>
      </c>
      <c r="N3600" s="77">
        <v>0.25</v>
      </c>
      <c r="P3600">
        <v>59</v>
      </c>
      <c r="S3600" s="74">
        <v>36310</v>
      </c>
      <c r="T3600" s="77">
        <v>0.25</v>
      </c>
      <c r="V3600">
        <v>68</v>
      </c>
      <c r="X3600" s="42"/>
      <c r="AB3600">
        <v>59.7</v>
      </c>
      <c r="AC3600">
        <v>51.980000000000004</v>
      </c>
      <c r="AE3600" s="74"/>
      <c r="AF3600" s="77"/>
      <c r="AH3600" s="497">
        <v>48.2</v>
      </c>
      <c r="AJ3600" s="42"/>
      <c r="AK3600" s="74"/>
      <c r="AL3600" s="77"/>
      <c r="AN3600" s="497">
        <v>60.980000000000004</v>
      </c>
      <c r="AP3600" s="42"/>
      <c r="AQ3600" s="74"/>
      <c r="AR3600" s="77"/>
      <c r="AT3600" s="497">
        <v>48.019999999999996</v>
      </c>
      <c r="AV3600" s="42"/>
      <c r="AW3600" s="74"/>
      <c r="AX3600" s="77"/>
      <c r="BA3600" s="497">
        <v>50</v>
      </c>
      <c r="BB3600" s="42"/>
      <c r="BC3600" s="74"/>
      <c r="BD3600" s="77"/>
      <c r="BF3600">
        <v>53.96</v>
      </c>
      <c r="BH3600" s="42"/>
      <c r="BI3600" s="74"/>
      <c r="BJ3600" s="77"/>
      <c r="BL3600" s="497">
        <v>64.94</v>
      </c>
      <c r="BN3600" s="42"/>
      <c r="BO3600" s="74"/>
      <c r="BP3600" s="77"/>
      <c r="BR3600" s="497">
        <v>59</v>
      </c>
      <c r="BT3600" s="42"/>
    </row>
    <row r="3601" spans="1:72" x14ac:dyDescent="0.25">
      <c r="A3601" s="90">
        <v>36310</v>
      </c>
      <c r="B3601" s="20">
        <v>0.29166666666666669</v>
      </c>
      <c r="D3601">
        <v>66.92</v>
      </c>
      <c r="E3601" t="str">
        <f t="shared" si="146"/>
        <v>SUNDAY</v>
      </c>
      <c r="F3601" t="e">
        <f t="shared" si="147"/>
        <v>#N/A</v>
      </c>
      <c r="G3601" s="74">
        <v>31927</v>
      </c>
      <c r="H3601" s="77">
        <v>0.29166666666666669</v>
      </c>
      <c r="J3601">
        <v>78.080000000000013</v>
      </c>
      <c r="M3601" s="74">
        <v>34484</v>
      </c>
      <c r="N3601" s="77">
        <v>0.29166666666666669</v>
      </c>
      <c r="P3601">
        <v>60.980000000000004</v>
      </c>
      <c r="S3601" s="74">
        <v>36310</v>
      </c>
      <c r="T3601" s="77">
        <v>0.29166666666666669</v>
      </c>
      <c r="V3601">
        <v>73.039999999999992</v>
      </c>
      <c r="X3601" s="42"/>
      <c r="AB3601">
        <v>61.1</v>
      </c>
      <c r="AC3601">
        <v>55.94</v>
      </c>
      <c r="AE3601" s="74"/>
      <c r="AF3601" s="77"/>
      <c r="AH3601" s="497">
        <v>50</v>
      </c>
      <c r="AJ3601" s="42"/>
      <c r="AK3601" s="74"/>
      <c r="AL3601" s="77"/>
      <c r="AN3601" s="497">
        <v>62.96</v>
      </c>
      <c r="AP3601" s="42"/>
      <c r="AQ3601" s="74"/>
      <c r="AR3601" s="77"/>
      <c r="AT3601" s="497">
        <v>53.06</v>
      </c>
      <c r="AV3601" s="42"/>
      <c r="AW3601" s="74"/>
      <c r="AX3601" s="77"/>
      <c r="BA3601" s="497">
        <v>55.040000000000006</v>
      </c>
      <c r="BB3601" s="42"/>
      <c r="BC3601" s="74"/>
      <c r="BD3601" s="77"/>
      <c r="BF3601">
        <v>53.96</v>
      </c>
      <c r="BH3601" s="42"/>
      <c r="BI3601" s="74"/>
      <c r="BJ3601" s="77"/>
      <c r="BL3601" s="497">
        <v>69.98</v>
      </c>
      <c r="BN3601" s="42"/>
      <c r="BO3601" s="74"/>
      <c r="BP3601" s="77"/>
      <c r="BR3601" s="497">
        <v>60.08</v>
      </c>
      <c r="BT3601" s="42"/>
    </row>
    <row r="3602" spans="1:72" x14ac:dyDescent="0.25">
      <c r="A3602" s="90">
        <v>36310</v>
      </c>
      <c r="B3602" s="20">
        <v>0.33333333333333331</v>
      </c>
      <c r="D3602">
        <v>69.080000000000013</v>
      </c>
      <c r="E3602" t="str">
        <f t="shared" si="146"/>
        <v>SUNDAY</v>
      </c>
      <c r="F3602" t="e">
        <f t="shared" si="147"/>
        <v>#N/A</v>
      </c>
      <c r="G3602" s="74">
        <v>31927</v>
      </c>
      <c r="H3602" s="77">
        <v>0.33333333333333331</v>
      </c>
      <c r="J3602">
        <v>82.039999999999992</v>
      </c>
      <c r="M3602" s="74">
        <v>34484</v>
      </c>
      <c r="N3602" s="77">
        <v>0.33333333333333331</v>
      </c>
      <c r="P3602">
        <v>63.86</v>
      </c>
      <c r="S3602" s="74">
        <v>36310</v>
      </c>
      <c r="T3602" s="77">
        <v>0.33333333333333331</v>
      </c>
      <c r="V3602">
        <v>77</v>
      </c>
      <c r="X3602" s="42"/>
      <c r="AB3602">
        <v>62.9</v>
      </c>
      <c r="AC3602">
        <v>57.019999999999996</v>
      </c>
      <c r="AE3602" s="74"/>
      <c r="AF3602" s="77"/>
      <c r="AH3602" s="497">
        <v>51.8</v>
      </c>
      <c r="AJ3602" s="42"/>
      <c r="AK3602" s="74"/>
      <c r="AL3602" s="77"/>
      <c r="AN3602" s="497">
        <v>66.02</v>
      </c>
      <c r="AP3602" s="42"/>
      <c r="AQ3602" s="74"/>
      <c r="AR3602" s="77"/>
      <c r="AT3602" s="497">
        <v>57.019999999999996</v>
      </c>
      <c r="AV3602" s="42"/>
      <c r="AW3602" s="74"/>
      <c r="AX3602" s="77"/>
      <c r="BA3602" s="497">
        <v>64.94</v>
      </c>
      <c r="BB3602" s="42"/>
      <c r="BC3602" s="74"/>
      <c r="BD3602" s="77"/>
      <c r="BF3602">
        <v>55.040000000000006</v>
      </c>
      <c r="BH3602" s="42"/>
      <c r="BI3602" s="74"/>
      <c r="BJ3602" s="77"/>
      <c r="BL3602" s="497">
        <v>73.039999999999992</v>
      </c>
      <c r="BN3602" s="42"/>
      <c r="BO3602" s="74"/>
      <c r="BP3602" s="77"/>
      <c r="BR3602" s="497">
        <v>62.06</v>
      </c>
      <c r="BT3602" s="42"/>
    </row>
    <row r="3603" spans="1:72" x14ac:dyDescent="0.25">
      <c r="A3603" s="90">
        <v>36310</v>
      </c>
      <c r="B3603" s="20">
        <v>0.375</v>
      </c>
      <c r="D3603">
        <v>73.039999999999992</v>
      </c>
      <c r="E3603" t="str">
        <f t="shared" ref="E3603:E3666" si="148">IF(COUNTIF($DI$18:$DI$22, WEEKDAY(A3603))=1, "WEEKDAY", IF(WEEKDAY(A3603) = 1, "SUNDAY", "SATURDAY"))</f>
        <v>SUNDAY</v>
      </c>
      <c r="F3603" t="e">
        <f t="shared" si="147"/>
        <v>#N/A</v>
      </c>
      <c r="G3603" s="74">
        <v>31927</v>
      </c>
      <c r="H3603" s="77">
        <v>0.375</v>
      </c>
      <c r="J3603">
        <v>86</v>
      </c>
      <c r="M3603" s="74">
        <v>34484</v>
      </c>
      <c r="N3603" s="77">
        <v>0.375</v>
      </c>
      <c r="P3603">
        <v>63.86</v>
      </c>
      <c r="S3603" s="74">
        <v>36310</v>
      </c>
      <c r="T3603" s="77">
        <v>0.375</v>
      </c>
      <c r="V3603">
        <v>78.98</v>
      </c>
      <c r="X3603" s="42"/>
      <c r="AB3603">
        <v>64.900000000000006</v>
      </c>
      <c r="AC3603">
        <v>59</v>
      </c>
      <c r="AE3603" s="74"/>
      <c r="AF3603" s="77"/>
      <c r="AH3603" s="497">
        <v>53.6</v>
      </c>
      <c r="AJ3603" s="42"/>
      <c r="AK3603" s="74"/>
      <c r="AL3603" s="77"/>
      <c r="AN3603" s="497">
        <v>69.080000000000013</v>
      </c>
      <c r="AP3603" s="42"/>
      <c r="AQ3603" s="74"/>
      <c r="AR3603" s="77"/>
      <c r="AT3603" s="497">
        <v>60.980000000000004</v>
      </c>
      <c r="AV3603" s="42"/>
      <c r="AW3603" s="74"/>
      <c r="AX3603" s="77"/>
      <c r="BA3603" s="497">
        <v>66.92</v>
      </c>
      <c r="BB3603" s="42"/>
      <c r="BC3603" s="74"/>
      <c r="BD3603" s="77"/>
      <c r="BF3603">
        <v>57.92</v>
      </c>
      <c r="BH3603" s="42"/>
      <c r="BI3603" s="74"/>
      <c r="BJ3603" s="77"/>
      <c r="BL3603" s="497">
        <v>75.02</v>
      </c>
      <c r="BN3603" s="42"/>
      <c r="BO3603" s="74"/>
      <c r="BP3603" s="77"/>
      <c r="BR3603" s="497">
        <v>62.96</v>
      </c>
      <c r="BT3603" s="42"/>
    </row>
    <row r="3604" spans="1:72" x14ac:dyDescent="0.25">
      <c r="A3604" s="90">
        <v>36310</v>
      </c>
      <c r="B3604" s="20">
        <v>0.41666666666666669</v>
      </c>
      <c r="D3604">
        <v>75.92</v>
      </c>
      <c r="E3604" t="str">
        <f t="shared" si="148"/>
        <v>SUNDAY</v>
      </c>
      <c r="F3604" t="e">
        <f t="shared" si="147"/>
        <v>#N/A</v>
      </c>
      <c r="G3604" s="74">
        <v>31927</v>
      </c>
      <c r="H3604" s="77">
        <v>0.41666666666666669</v>
      </c>
      <c r="J3604">
        <v>89.960000000000008</v>
      </c>
      <c r="M3604" s="74">
        <v>34484</v>
      </c>
      <c r="N3604" s="77">
        <v>0.41666666666666669</v>
      </c>
      <c r="P3604">
        <v>70.88</v>
      </c>
      <c r="S3604" s="74">
        <v>36310</v>
      </c>
      <c r="T3604" s="77">
        <v>0.41666666666666669</v>
      </c>
      <c r="V3604">
        <v>82.039999999999992</v>
      </c>
      <c r="X3604" s="42"/>
      <c r="AB3604">
        <v>66.599999999999994</v>
      </c>
      <c r="AC3604">
        <v>60.08</v>
      </c>
      <c r="AE3604" s="74"/>
      <c r="AF3604" s="77"/>
      <c r="AH3604" s="497">
        <v>55.400000000000006</v>
      </c>
      <c r="AJ3604" s="42"/>
      <c r="AK3604" s="74"/>
      <c r="AL3604" s="77"/>
      <c r="AN3604" s="497">
        <v>73.039999999999992</v>
      </c>
      <c r="AP3604" s="42"/>
      <c r="AQ3604" s="74"/>
      <c r="AR3604" s="77"/>
      <c r="AT3604" s="497">
        <v>66.02</v>
      </c>
      <c r="AV3604" s="42"/>
      <c r="AW3604" s="74"/>
      <c r="AX3604" s="77"/>
      <c r="BA3604" s="497">
        <v>69.98</v>
      </c>
      <c r="BB3604" s="42"/>
      <c r="BC3604" s="74"/>
      <c r="BD3604" s="77"/>
      <c r="BF3604">
        <v>60.980000000000004</v>
      </c>
      <c r="BH3604" s="42"/>
      <c r="BI3604" s="74"/>
      <c r="BJ3604" s="77"/>
      <c r="BL3604" s="497">
        <v>78.98</v>
      </c>
      <c r="BN3604" s="42"/>
      <c r="BO3604" s="74"/>
      <c r="BP3604" s="77"/>
      <c r="BR3604" s="497">
        <v>64.94</v>
      </c>
      <c r="BT3604" s="42"/>
    </row>
    <row r="3605" spans="1:72" x14ac:dyDescent="0.25">
      <c r="A3605" s="90">
        <v>36310</v>
      </c>
      <c r="B3605" s="20">
        <v>0.45833333333333331</v>
      </c>
      <c r="D3605">
        <v>78.98</v>
      </c>
      <c r="E3605" t="str">
        <f t="shared" si="148"/>
        <v>SUNDAY</v>
      </c>
      <c r="F3605" t="e">
        <f t="shared" si="147"/>
        <v>#N/A</v>
      </c>
      <c r="G3605" s="74">
        <v>31927</v>
      </c>
      <c r="H3605" s="77">
        <v>0.45833333333333331</v>
      </c>
      <c r="J3605">
        <v>91.94</v>
      </c>
      <c r="M3605" s="74">
        <v>34484</v>
      </c>
      <c r="N3605" s="77">
        <v>0.45833333333333331</v>
      </c>
      <c r="P3605">
        <v>73.94</v>
      </c>
      <c r="S3605" s="74">
        <v>36310</v>
      </c>
      <c r="T3605" s="77">
        <v>0.45833333333333331</v>
      </c>
      <c r="V3605">
        <v>84.02</v>
      </c>
      <c r="X3605" s="42"/>
      <c r="AB3605">
        <v>68.2</v>
      </c>
      <c r="AC3605">
        <v>59</v>
      </c>
      <c r="AE3605" s="74"/>
      <c r="AF3605" s="77"/>
      <c r="AH3605" s="497">
        <v>60.8</v>
      </c>
      <c r="AJ3605" s="42"/>
      <c r="AK3605" s="74"/>
      <c r="AL3605" s="77"/>
      <c r="AN3605" s="497">
        <v>73.94</v>
      </c>
      <c r="AP3605" s="42"/>
      <c r="AQ3605" s="74"/>
      <c r="AR3605" s="77"/>
      <c r="AT3605" s="497">
        <v>69.98</v>
      </c>
      <c r="AV3605" s="42"/>
      <c r="AW3605" s="74"/>
      <c r="AX3605" s="77"/>
      <c r="BA3605" s="497">
        <v>71.960000000000008</v>
      </c>
      <c r="BB3605" s="42"/>
      <c r="BC3605" s="74"/>
      <c r="BD3605" s="77"/>
      <c r="BF3605">
        <v>66.02</v>
      </c>
      <c r="BH3605" s="42"/>
      <c r="BI3605" s="74"/>
      <c r="BJ3605" s="77"/>
      <c r="BL3605" s="497">
        <v>80.06</v>
      </c>
      <c r="BN3605" s="42"/>
      <c r="BO3605" s="74"/>
      <c r="BP3605" s="77"/>
      <c r="BR3605" s="497">
        <v>68</v>
      </c>
      <c r="BT3605" s="42"/>
    </row>
    <row r="3606" spans="1:72" x14ac:dyDescent="0.25">
      <c r="A3606" s="90">
        <v>36310</v>
      </c>
      <c r="B3606" s="20">
        <v>0.5</v>
      </c>
      <c r="D3606">
        <v>80.06</v>
      </c>
      <c r="E3606" t="str">
        <f t="shared" si="148"/>
        <v>SUNDAY</v>
      </c>
      <c r="F3606" t="e">
        <f t="shared" si="147"/>
        <v>#N/A</v>
      </c>
      <c r="G3606" s="74">
        <v>31927</v>
      </c>
      <c r="H3606" s="77">
        <v>0.5</v>
      </c>
      <c r="J3606">
        <v>93.92</v>
      </c>
      <c r="M3606" s="74">
        <v>34484</v>
      </c>
      <c r="N3606" s="77">
        <v>0.5</v>
      </c>
      <c r="P3606">
        <v>75.92</v>
      </c>
      <c r="S3606" s="74">
        <v>36310</v>
      </c>
      <c r="T3606" s="77">
        <v>0.5</v>
      </c>
      <c r="V3606">
        <v>84.92</v>
      </c>
      <c r="X3606" s="42"/>
      <c r="AB3606">
        <v>69.400000000000006</v>
      </c>
      <c r="AC3606">
        <v>62.96</v>
      </c>
      <c r="AE3606" s="74"/>
      <c r="AF3606" s="77"/>
      <c r="AH3606" s="497">
        <v>62.6</v>
      </c>
      <c r="AJ3606" s="42"/>
      <c r="AK3606" s="74"/>
      <c r="AL3606" s="77"/>
      <c r="AN3606" s="497">
        <v>78.98</v>
      </c>
      <c r="AP3606" s="42"/>
      <c r="AQ3606" s="74"/>
      <c r="AR3606" s="77"/>
      <c r="AT3606" s="497">
        <v>73.039999999999992</v>
      </c>
      <c r="AV3606" s="42"/>
      <c r="AW3606" s="74"/>
      <c r="AX3606" s="77"/>
      <c r="BA3606" s="497">
        <v>73.94</v>
      </c>
      <c r="BB3606" s="42"/>
      <c r="BC3606" s="74"/>
      <c r="BD3606" s="77"/>
      <c r="BF3606">
        <v>64.94</v>
      </c>
      <c r="BH3606" s="42"/>
      <c r="BI3606" s="74"/>
      <c r="BJ3606" s="77"/>
      <c r="BL3606" s="497">
        <v>82.94</v>
      </c>
      <c r="BN3606" s="42"/>
      <c r="BO3606" s="74"/>
      <c r="BP3606" s="77"/>
      <c r="BR3606" s="497">
        <v>69.98</v>
      </c>
      <c r="BT3606" s="42"/>
    </row>
    <row r="3607" spans="1:72" x14ac:dyDescent="0.25">
      <c r="A3607" s="90">
        <v>36310</v>
      </c>
      <c r="B3607" s="20">
        <v>0.54166666666666663</v>
      </c>
      <c r="D3607">
        <v>80.960000000000008</v>
      </c>
      <c r="E3607" t="str">
        <f t="shared" si="148"/>
        <v>SUNDAY</v>
      </c>
      <c r="F3607" t="e">
        <f t="shared" si="147"/>
        <v>#N/A</v>
      </c>
      <c r="G3607" s="74">
        <v>31927</v>
      </c>
      <c r="H3607" s="77">
        <v>0.54166666666666663</v>
      </c>
      <c r="J3607">
        <v>95</v>
      </c>
      <c r="M3607" s="74">
        <v>34484</v>
      </c>
      <c r="N3607" s="77">
        <v>0.54166666666666663</v>
      </c>
      <c r="P3607">
        <v>77</v>
      </c>
      <c r="S3607" s="74">
        <v>36310</v>
      </c>
      <c r="T3607" s="77">
        <v>0.54166666666666663</v>
      </c>
      <c r="V3607">
        <v>86</v>
      </c>
      <c r="X3607" s="42"/>
      <c r="AB3607">
        <v>70.2</v>
      </c>
      <c r="AC3607">
        <v>62.96</v>
      </c>
      <c r="AE3607" s="74"/>
      <c r="AF3607" s="77"/>
      <c r="AH3607" s="497">
        <v>62.6</v>
      </c>
      <c r="AJ3607" s="42"/>
      <c r="AK3607" s="74"/>
      <c r="AL3607" s="77"/>
      <c r="AN3607" s="497">
        <v>82.039999999999992</v>
      </c>
      <c r="AP3607" s="42"/>
      <c r="AQ3607" s="74"/>
      <c r="AR3607" s="77"/>
      <c r="AT3607" s="497">
        <v>73.94</v>
      </c>
      <c r="AV3607" s="42"/>
      <c r="AW3607" s="74"/>
      <c r="AX3607" s="77"/>
      <c r="BA3607" s="497">
        <v>75.02</v>
      </c>
      <c r="BB3607" s="42"/>
      <c r="BC3607" s="74"/>
      <c r="BD3607" s="77"/>
      <c r="BF3607">
        <v>64.039999999999992</v>
      </c>
      <c r="BH3607" s="42"/>
      <c r="BI3607" s="74"/>
      <c r="BJ3607" s="77"/>
      <c r="BL3607" s="497">
        <v>84.02</v>
      </c>
      <c r="BN3607" s="42"/>
      <c r="BO3607" s="74"/>
      <c r="BP3607" s="77"/>
      <c r="BR3607" s="497">
        <v>73.94</v>
      </c>
      <c r="BT3607" s="42"/>
    </row>
    <row r="3608" spans="1:72" x14ac:dyDescent="0.25">
      <c r="A3608" s="90">
        <v>36310</v>
      </c>
      <c r="B3608" s="20">
        <v>0.58333333333333337</v>
      </c>
      <c r="D3608">
        <v>80.06</v>
      </c>
      <c r="E3608" t="str">
        <f t="shared" si="148"/>
        <v>SUNDAY</v>
      </c>
      <c r="F3608" t="e">
        <f t="shared" si="147"/>
        <v>#N/A</v>
      </c>
      <c r="G3608" s="74">
        <v>31927</v>
      </c>
      <c r="H3608" s="77">
        <v>0.58333333333333337</v>
      </c>
      <c r="J3608">
        <v>93.02</v>
      </c>
      <c r="M3608" s="74">
        <v>34484</v>
      </c>
      <c r="N3608" s="77">
        <v>0.58333333333333337</v>
      </c>
      <c r="P3608">
        <v>74.84</v>
      </c>
      <c r="S3608" s="74">
        <v>36310</v>
      </c>
      <c r="T3608" s="77">
        <v>0.58333333333333337</v>
      </c>
      <c r="V3608">
        <v>84.92</v>
      </c>
      <c r="X3608" s="42"/>
      <c r="AB3608">
        <v>70.599999999999994</v>
      </c>
      <c r="AC3608">
        <v>62.96</v>
      </c>
      <c r="AE3608" s="74"/>
      <c r="AF3608" s="77"/>
      <c r="AH3608" s="497">
        <v>66.2</v>
      </c>
      <c r="AJ3608" s="42"/>
      <c r="AK3608" s="74"/>
      <c r="AL3608" s="77"/>
      <c r="AN3608" s="497">
        <v>84.02</v>
      </c>
      <c r="AP3608" s="42"/>
      <c r="AQ3608" s="74"/>
      <c r="AR3608" s="77"/>
      <c r="AT3608" s="497">
        <v>73.94</v>
      </c>
      <c r="AV3608" s="42"/>
      <c r="AW3608" s="74"/>
      <c r="AX3608" s="77"/>
      <c r="BA3608" s="497">
        <v>75.02</v>
      </c>
      <c r="BB3608" s="42"/>
      <c r="BC3608" s="74"/>
      <c r="BD3608" s="77"/>
      <c r="BF3608">
        <v>64.039999999999992</v>
      </c>
      <c r="BH3608" s="42"/>
      <c r="BI3608" s="74"/>
      <c r="BJ3608" s="77"/>
      <c r="BL3608" s="497">
        <v>80.06</v>
      </c>
      <c r="BN3608" s="42"/>
      <c r="BO3608" s="74"/>
      <c r="BP3608" s="77"/>
      <c r="BR3608" s="497">
        <v>75.92</v>
      </c>
      <c r="BT3608" s="42"/>
    </row>
    <row r="3609" spans="1:72" x14ac:dyDescent="0.25">
      <c r="A3609" s="90">
        <v>36310</v>
      </c>
      <c r="B3609" s="20">
        <v>0.625</v>
      </c>
      <c r="D3609">
        <v>77</v>
      </c>
      <c r="E3609" t="str">
        <f t="shared" si="148"/>
        <v>SUNDAY</v>
      </c>
      <c r="F3609" t="e">
        <f t="shared" si="147"/>
        <v>#N/A</v>
      </c>
      <c r="G3609" s="74">
        <v>31927</v>
      </c>
      <c r="H3609" s="77">
        <v>0.625</v>
      </c>
      <c r="J3609">
        <v>93.02</v>
      </c>
      <c r="M3609" s="74">
        <v>34484</v>
      </c>
      <c r="N3609" s="77">
        <v>0.625</v>
      </c>
      <c r="P3609">
        <v>75.92</v>
      </c>
      <c r="S3609" s="74">
        <v>36310</v>
      </c>
      <c r="T3609" s="77">
        <v>0.625</v>
      </c>
      <c r="V3609">
        <v>82.94</v>
      </c>
      <c r="X3609" s="42"/>
      <c r="AB3609">
        <v>70.5</v>
      </c>
      <c r="AC3609">
        <v>62.06</v>
      </c>
      <c r="AE3609" s="74"/>
      <c r="AF3609" s="77"/>
      <c r="AH3609" s="497">
        <v>66.2</v>
      </c>
      <c r="AJ3609" s="42"/>
      <c r="AK3609" s="74"/>
      <c r="AL3609" s="77"/>
      <c r="AN3609" s="497">
        <v>84.92</v>
      </c>
      <c r="AP3609" s="42"/>
      <c r="AQ3609" s="74"/>
      <c r="AR3609" s="77"/>
      <c r="AT3609" s="497">
        <v>73.94</v>
      </c>
      <c r="AV3609" s="42"/>
      <c r="AW3609" s="74"/>
      <c r="AX3609" s="77"/>
      <c r="BA3609" s="497">
        <v>75.02</v>
      </c>
      <c r="BB3609" s="42"/>
      <c r="BC3609" s="74"/>
      <c r="BD3609" s="77"/>
      <c r="BF3609">
        <v>64.039999999999992</v>
      </c>
      <c r="BH3609" s="42"/>
      <c r="BI3609" s="74"/>
      <c r="BJ3609" s="77"/>
      <c r="BL3609" s="497">
        <v>78.98</v>
      </c>
      <c r="BN3609" s="42"/>
      <c r="BO3609" s="74"/>
      <c r="BP3609" s="77"/>
      <c r="BR3609" s="497">
        <v>77</v>
      </c>
      <c r="BT3609" s="42"/>
    </row>
    <row r="3610" spans="1:72" x14ac:dyDescent="0.25">
      <c r="A3610" s="90">
        <v>36310</v>
      </c>
      <c r="B3610" s="20">
        <v>0.66666666666666663</v>
      </c>
      <c r="D3610">
        <v>77</v>
      </c>
      <c r="E3610" t="str">
        <f t="shared" si="148"/>
        <v>SUNDAY</v>
      </c>
      <c r="F3610" t="e">
        <f t="shared" si="147"/>
        <v>#N/A</v>
      </c>
      <c r="G3610" s="74">
        <v>31927</v>
      </c>
      <c r="H3610" s="77">
        <v>0.66666666666666663</v>
      </c>
      <c r="J3610">
        <v>95</v>
      </c>
      <c r="M3610" s="74">
        <v>34484</v>
      </c>
      <c r="N3610" s="77">
        <v>0.66666666666666663</v>
      </c>
      <c r="P3610">
        <v>72.86</v>
      </c>
      <c r="S3610" s="74">
        <v>36310</v>
      </c>
      <c r="T3610" s="77">
        <v>0.66666666666666663</v>
      </c>
      <c r="V3610">
        <v>82.94</v>
      </c>
      <c r="X3610" s="42"/>
      <c r="AB3610">
        <v>70</v>
      </c>
      <c r="AC3610">
        <v>62.06</v>
      </c>
      <c r="AE3610" s="74"/>
      <c r="AF3610" s="77"/>
      <c r="AH3610" s="497">
        <v>66.38</v>
      </c>
      <c r="AJ3610" s="42"/>
      <c r="AK3610" s="74"/>
      <c r="AL3610" s="77"/>
      <c r="AN3610" s="497">
        <v>86</v>
      </c>
      <c r="AP3610" s="42"/>
      <c r="AQ3610" s="74"/>
      <c r="AR3610" s="77"/>
      <c r="AT3610" s="497">
        <v>73.94</v>
      </c>
      <c r="AV3610" s="42"/>
      <c r="AW3610" s="74"/>
      <c r="AX3610" s="77"/>
      <c r="BA3610" s="497">
        <v>75.02</v>
      </c>
      <c r="BB3610" s="42"/>
      <c r="BC3610" s="74"/>
      <c r="BD3610" s="77"/>
      <c r="BF3610">
        <v>64.039999999999992</v>
      </c>
      <c r="BH3610" s="42"/>
      <c r="BI3610" s="74"/>
      <c r="BJ3610" s="77"/>
      <c r="BL3610" s="497">
        <v>78.98</v>
      </c>
      <c r="BN3610" s="42"/>
      <c r="BO3610" s="74"/>
      <c r="BP3610" s="77"/>
      <c r="BR3610" s="497">
        <v>78.080000000000013</v>
      </c>
      <c r="BT3610" s="42"/>
    </row>
    <row r="3611" spans="1:72" x14ac:dyDescent="0.25">
      <c r="A3611" s="90">
        <v>36310</v>
      </c>
      <c r="B3611" s="20">
        <v>0.70833333333333337</v>
      </c>
      <c r="D3611">
        <v>69.98</v>
      </c>
      <c r="E3611" t="str">
        <f t="shared" si="148"/>
        <v>SUNDAY</v>
      </c>
      <c r="F3611" t="e">
        <f t="shared" si="147"/>
        <v>#N/A</v>
      </c>
      <c r="G3611" s="74">
        <v>31927</v>
      </c>
      <c r="H3611" s="77">
        <v>0.70833333333333337</v>
      </c>
      <c r="J3611">
        <v>93.02</v>
      </c>
      <c r="M3611" s="74">
        <v>34484</v>
      </c>
      <c r="N3611" s="77">
        <v>0.70833333333333337</v>
      </c>
      <c r="P3611">
        <v>69.98</v>
      </c>
      <c r="S3611" s="74">
        <v>36310</v>
      </c>
      <c r="T3611" s="77">
        <v>0.70833333333333337</v>
      </c>
      <c r="V3611">
        <v>78.080000000000013</v>
      </c>
      <c r="X3611" s="42"/>
      <c r="AB3611">
        <v>69.2</v>
      </c>
      <c r="AC3611">
        <v>62.96</v>
      </c>
      <c r="AE3611" s="74"/>
      <c r="AF3611" s="77"/>
      <c r="AH3611" s="497">
        <v>66.2</v>
      </c>
      <c r="AJ3611" s="42"/>
      <c r="AK3611" s="74"/>
      <c r="AL3611" s="77"/>
      <c r="AN3611" s="497">
        <v>84.02</v>
      </c>
      <c r="AP3611" s="42"/>
      <c r="AQ3611" s="74"/>
      <c r="AR3611" s="77"/>
      <c r="AT3611" s="497">
        <v>73.039999999999992</v>
      </c>
      <c r="AV3611" s="42"/>
      <c r="AW3611" s="74"/>
      <c r="AX3611" s="77"/>
      <c r="BA3611" s="497">
        <v>75.92</v>
      </c>
      <c r="BB3611" s="42"/>
      <c r="BC3611" s="74"/>
      <c r="BD3611" s="77"/>
      <c r="BF3611">
        <v>62.96</v>
      </c>
      <c r="BH3611" s="42"/>
      <c r="BI3611" s="74"/>
      <c r="BJ3611" s="77"/>
      <c r="BL3611" s="497">
        <v>80.06</v>
      </c>
      <c r="BN3611" s="42"/>
      <c r="BO3611" s="74"/>
      <c r="BP3611" s="77"/>
      <c r="BR3611" s="497">
        <v>78.080000000000013</v>
      </c>
      <c r="BT3611" s="42"/>
    </row>
    <row r="3612" spans="1:72" x14ac:dyDescent="0.25">
      <c r="A3612" s="90">
        <v>36310</v>
      </c>
      <c r="B3612" s="20">
        <v>0.75</v>
      </c>
      <c r="D3612">
        <v>73.039999999999992</v>
      </c>
      <c r="E3612" t="str">
        <f t="shared" si="148"/>
        <v>SUNDAY</v>
      </c>
      <c r="F3612" t="e">
        <f t="shared" si="147"/>
        <v>#N/A</v>
      </c>
      <c r="G3612" s="74">
        <v>31927</v>
      </c>
      <c r="H3612" s="77">
        <v>0.75</v>
      </c>
      <c r="J3612">
        <v>91.94</v>
      </c>
      <c r="M3612" s="74">
        <v>34484</v>
      </c>
      <c r="N3612" s="77">
        <v>0.75</v>
      </c>
      <c r="P3612">
        <v>68.900000000000006</v>
      </c>
      <c r="S3612" s="74">
        <v>36310</v>
      </c>
      <c r="T3612" s="77">
        <v>0.75</v>
      </c>
      <c r="V3612">
        <v>73.039999999999992</v>
      </c>
      <c r="X3612" s="42"/>
      <c r="AB3612">
        <v>68</v>
      </c>
      <c r="AC3612">
        <v>62.06</v>
      </c>
      <c r="AE3612" s="74"/>
      <c r="AF3612" s="77"/>
      <c r="AH3612" s="497">
        <v>64.400000000000006</v>
      </c>
      <c r="AJ3612" s="42"/>
      <c r="AK3612" s="74"/>
      <c r="AL3612" s="77"/>
      <c r="AN3612" s="497">
        <v>80.960000000000008</v>
      </c>
      <c r="AP3612" s="42"/>
      <c r="AQ3612" s="74"/>
      <c r="AR3612" s="77"/>
      <c r="AT3612" s="497">
        <v>71.06</v>
      </c>
      <c r="AV3612" s="42"/>
      <c r="AW3612" s="74"/>
      <c r="AX3612" s="77"/>
      <c r="BA3612" s="497">
        <v>73.039999999999992</v>
      </c>
      <c r="BB3612" s="42"/>
      <c r="BC3612" s="74"/>
      <c r="BD3612" s="77"/>
      <c r="BF3612">
        <v>62.06</v>
      </c>
      <c r="BH3612" s="42"/>
      <c r="BI3612" s="74"/>
      <c r="BJ3612" s="77"/>
      <c r="BL3612" s="497">
        <v>80.06</v>
      </c>
      <c r="BN3612" s="42"/>
      <c r="BO3612" s="74"/>
      <c r="BP3612" s="77"/>
      <c r="BR3612" s="497">
        <v>78.080000000000013</v>
      </c>
      <c r="BT3612" s="42"/>
    </row>
    <row r="3613" spans="1:72" x14ac:dyDescent="0.25">
      <c r="A3613" s="90">
        <v>36310</v>
      </c>
      <c r="B3613" s="20">
        <v>0.79166666666666663</v>
      </c>
      <c r="D3613">
        <v>71.960000000000008</v>
      </c>
      <c r="E3613" t="str">
        <f t="shared" si="148"/>
        <v>SUNDAY</v>
      </c>
      <c r="F3613" t="e">
        <f t="shared" si="147"/>
        <v>#N/A</v>
      </c>
      <c r="G3613" s="74">
        <v>31927</v>
      </c>
      <c r="H3613" s="77">
        <v>0.79166666666666663</v>
      </c>
      <c r="J3613">
        <v>84.92</v>
      </c>
      <c r="M3613" s="74">
        <v>34484</v>
      </c>
      <c r="N3613" s="77">
        <v>0.79166666666666663</v>
      </c>
      <c r="P3613">
        <v>66.92</v>
      </c>
      <c r="S3613" s="74">
        <v>36310</v>
      </c>
      <c r="T3613" s="77">
        <v>0.79166666666666663</v>
      </c>
      <c r="V3613">
        <v>71.06</v>
      </c>
      <c r="X3613" s="42"/>
      <c r="AB3613">
        <v>66.8</v>
      </c>
      <c r="AC3613">
        <v>60.08</v>
      </c>
      <c r="AE3613" s="74"/>
      <c r="AF3613" s="77"/>
      <c r="AH3613" s="497">
        <v>60.980000000000004</v>
      </c>
      <c r="AJ3613" s="42"/>
      <c r="AK3613" s="74"/>
      <c r="AL3613" s="77"/>
      <c r="AN3613" s="497">
        <v>78.080000000000013</v>
      </c>
      <c r="AP3613" s="42"/>
      <c r="AQ3613" s="74"/>
      <c r="AR3613" s="77"/>
      <c r="AT3613" s="497">
        <v>69.080000000000013</v>
      </c>
      <c r="AV3613" s="42"/>
      <c r="AW3613" s="74"/>
      <c r="AX3613" s="77"/>
      <c r="BA3613" s="497">
        <v>71.06</v>
      </c>
      <c r="BB3613" s="42"/>
      <c r="BC3613" s="74"/>
      <c r="BD3613" s="77"/>
      <c r="BF3613">
        <v>60.08</v>
      </c>
      <c r="BH3613" s="42"/>
      <c r="BI3613" s="74"/>
      <c r="BJ3613" s="77"/>
      <c r="BL3613" s="497">
        <v>78.080000000000013</v>
      </c>
      <c r="BN3613" s="42"/>
      <c r="BO3613" s="74"/>
      <c r="BP3613" s="77"/>
      <c r="BR3613" s="497">
        <v>73.94</v>
      </c>
      <c r="BT3613" s="42"/>
    </row>
    <row r="3614" spans="1:72" x14ac:dyDescent="0.25">
      <c r="A3614" s="90">
        <v>36310</v>
      </c>
      <c r="B3614" s="20">
        <v>0.83333333333333337</v>
      </c>
      <c r="D3614">
        <v>71.960000000000008</v>
      </c>
      <c r="E3614" t="str">
        <f t="shared" si="148"/>
        <v>SUNDAY</v>
      </c>
      <c r="F3614" t="e">
        <f t="shared" si="147"/>
        <v>#N/A</v>
      </c>
      <c r="G3614" s="74">
        <v>31927</v>
      </c>
      <c r="H3614" s="77">
        <v>0.83333333333333337</v>
      </c>
      <c r="J3614">
        <v>87.080000000000013</v>
      </c>
      <c r="M3614" s="74">
        <v>34484</v>
      </c>
      <c r="N3614" s="77">
        <v>0.83333333333333337</v>
      </c>
      <c r="P3614">
        <v>64.94</v>
      </c>
      <c r="S3614" s="74">
        <v>36310</v>
      </c>
      <c r="T3614" s="77">
        <v>0.83333333333333337</v>
      </c>
      <c r="V3614">
        <v>68</v>
      </c>
      <c r="X3614" s="42"/>
      <c r="AB3614">
        <v>65.3</v>
      </c>
      <c r="AC3614">
        <v>57.92</v>
      </c>
      <c r="AE3614" s="74"/>
      <c r="AF3614" s="77"/>
      <c r="AH3614" s="497">
        <v>57.2</v>
      </c>
      <c r="AJ3614" s="42"/>
      <c r="AK3614" s="74"/>
      <c r="AL3614" s="77"/>
      <c r="AN3614" s="497">
        <v>73.039999999999992</v>
      </c>
      <c r="AP3614" s="42"/>
      <c r="AQ3614" s="74"/>
      <c r="AR3614" s="77"/>
      <c r="AT3614" s="497">
        <v>66.02</v>
      </c>
      <c r="AV3614" s="42"/>
      <c r="AW3614" s="74"/>
      <c r="AX3614" s="77"/>
      <c r="BA3614" s="497">
        <v>69.98</v>
      </c>
      <c r="BB3614" s="42"/>
      <c r="BC3614" s="74"/>
      <c r="BD3614" s="77"/>
      <c r="BF3614">
        <v>57.92</v>
      </c>
      <c r="BH3614" s="42"/>
      <c r="BI3614" s="74"/>
      <c r="BJ3614" s="77"/>
      <c r="BL3614" s="497">
        <v>73.94</v>
      </c>
      <c r="BN3614" s="42"/>
      <c r="BO3614" s="74"/>
      <c r="BP3614" s="77"/>
      <c r="BR3614" s="497">
        <v>66.02</v>
      </c>
      <c r="BT3614" s="42"/>
    </row>
    <row r="3615" spans="1:72" x14ac:dyDescent="0.25">
      <c r="A3615" s="90">
        <v>36310</v>
      </c>
      <c r="B3615" s="20">
        <v>0.875</v>
      </c>
      <c r="D3615">
        <v>71.06</v>
      </c>
      <c r="E3615" t="str">
        <f t="shared" si="148"/>
        <v>SUNDAY</v>
      </c>
      <c r="F3615" t="e">
        <f t="shared" si="147"/>
        <v>#N/A</v>
      </c>
      <c r="G3615" s="74">
        <v>31927</v>
      </c>
      <c r="H3615" s="77">
        <v>0.875</v>
      </c>
      <c r="J3615">
        <v>82.039999999999992</v>
      </c>
      <c r="M3615" s="74">
        <v>34484</v>
      </c>
      <c r="N3615" s="77">
        <v>0.875</v>
      </c>
      <c r="P3615">
        <v>64.94</v>
      </c>
      <c r="S3615" s="74">
        <v>36310</v>
      </c>
      <c r="T3615" s="77">
        <v>0.875</v>
      </c>
      <c r="V3615">
        <v>66.92</v>
      </c>
      <c r="X3615" s="42"/>
      <c r="AB3615">
        <v>64.2</v>
      </c>
      <c r="AC3615">
        <v>55.94</v>
      </c>
      <c r="AE3615" s="74"/>
      <c r="AF3615" s="77"/>
      <c r="AH3615" s="497">
        <v>55.400000000000006</v>
      </c>
      <c r="AJ3615" s="42"/>
      <c r="AK3615" s="74"/>
      <c r="AL3615" s="77"/>
      <c r="AN3615" s="497">
        <v>71.960000000000008</v>
      </c>
      <c r="AP3615" s="42"/>
      <c r="AQ3615" s="74"/>
      <c r="AR3615" s="77"/>
      <c r="AT3615" s="497">
        <v>64.94</v>
      </c>
      <c r="AV3615" s="42"/>
      <c r="AW3615" s="74"/>
      <c r="AX3615" s="77"/>
      <c r="BA3615" s="497">
        <v>68</v>
      </c>
      <c r="BB3615" s="42"/>
      <c r="BC3615" s="74"/>
      <c r="BD3615" s="77"/>
      <c r="BF3615">
        <v>55.94</v>
      </c>
      <c r="BH3615" s="42"/>
      <c r="BI3615" s="74"/>
      <c r="BJ3615" s="77"/>
      <c r="BL3615" s="497">
        <v>71.960000000000008</v>
      </c>
      <c r="BN3615" s="42"/>
      <c r="BO3615" s="74"/>
      <c r="BP3615" s="77"/>
      <c r="BR3615" s="497">
        <v>66.02</v>
      </c>
      <c r="BT3615" s="42"/>
    </row>
    <row r="3616" spans="1:72" x14ac:dyDescent="0.25">
      <c r="A3616" s="90">
        <v>36310</v>
      </c>
      <c r="B3616" s="20">
        <v>0.91666666666666663</v>
      </c>
      <c r="D3616">
        <v>69.98</v>
      </c>
      <c r="E3616" t="str">
        <f t="shared" si="148"/>
        <v>SUNDAY</v>
      </c>
      <c r="F3616" t="e">
        <f t="shared" si="147"/>
        <v>#N/A</v>
      </c>
      <c r="G3616" s="74">
        <v>31927</v>
      </c>
      <c r="H3616" s="77">
        <v>0.91666666666666663</v>
      </c>
      <c r="J3616">
        <v>87.080000000000013</v>
      </c>
      <c r="M3616" s="74">
        <v>34484</v>
      </c>
      <c r="N3616" s="77">
        <v>0.91666666666666663</v>
      </c>
      <c r="P3616">
        <v>63.86</v>
      </c>
      <c r="S3616" s="74">
        <v>36310</v>
      </c>
      <c r="T3616" s="77">
        <v>0.91666666666666663</v>
      </c>
      <c r="V3616">
        <v>66.02</v>
      </c>
      <c r="X3616" s="42"/>
      <c r="AB3616">
        <v>63.6</v>
      </c>
      <c r="AC3616">
        <v>55.94</v>
      </c>
      <c r="AE3616" s="74"/>
      <c r="AF3616" s="77"/>
      <c r="AH3616" s="497">
        <v>48.2</v>
      </c>
      <c r="AJ3616" s="42"/>
      <c r="AK3616" s="74"/>
      <c r="AL3616" s="77"/>
      <c r="AN3616" s="497">
        <v>71.06</v>
      </c>
      <c r="AP3616" s="42"/>
      <c r="AQ3616" s="74"/>
      <c r="AR3616" s="77"/>
      <c r="AT3616" s="497">
        <v>62.06</v>
      </c>
      <c r="AV3616" s="42"/>
      <c r="AW3616" s="74"/>
      <c r="AX3616" s="77"/>
      <c r="BA3616" s="497">
        <v>68</v>
      </c>
      <c r="BB3616" s="42"/>
      <c r="BC3616" s="74"/>
      <c r="BD3616" s="77"/>
      <c r="BF3616">
        <v>55.94</v>
      </c>
      <c r="BH3616" s="42"/>
      <c r="BI3616" s="74"/>
      <c r="BJ3616" s="77"/>
      <c r="BL3616" s="497">
        <v>71.06</v>
      </c>
      <c r="BN3616" s="42"/>
      <c r="BO3616" s="74"/>
      <c r="BP3616" s="77"/>
      <c r="BR3616" s="497">
        <v>64.94</v>
      </c>
      <c r="BT3616" s="42"/>
    </row>
    <row r="3617" spans="1:72" x14ac:dyDescent="0.25">
      <c r="A3617" s="90">
        <v>36310</v>
      </c>
      <c r="B3617" s="20">
        <v>0.95833333333333337</v>
      </c>
      <c r="D3617">
        <v>69.080000000000013</v>
      </c>
      <c r="E3617" t="str">
        <f t="shared" si="148"/>
        <v>SUNDAY</v>
      </c>
      <c r="F3617" t="e">
        <f t="shared" si="147"/>
        <v>#N/A</v>
      </c>
      <c r="G3617" s="74">
        <v>31927</v>
      </c>
      <c r="H3617" s="77">
        <v>0.95833333333333337</v>
      </c>
      <c r="J3617">
        <v>87.080000000000013</v>
      </c>
      <c r="M3617" s="74">
        <v>34484</v>
      </c>
      <c r="N3617" s="77">
        <v>0.95833333333333337</v>
      </c>
      <c r="P3617">
        <v>64.039999999999992</v>
      </c>
      <c r="S3617" s="74">
        <v>36310</v>
      </c>
      <c r="T3617" s="77">
        <v>0.95833333333333337</v>
      </c>
      <c r="V3617">
        <v>64.94</v>
      </c>
      <c r="X3617" s="42"/>
      <c r="AB3617">
        <v>63</v>
      </c>
      <c r="AC3617">
        <v>53.06</v>
      </c>
      <c r="AE3617" s="74"/>
      <c r="AF3617" s="77"/>
      <c r="AH3617" s="497">
        <v>48.2</v>
      </c>
      <c r="AJ3617" s="42"/>
      <c r="AK3617" s="74"/>
      <c r="AL3617" s="77"/>
      <c r="AN3617" s="497">
        <v>69.98</v>
      </c>
      <c r="AP3617" s="42"/>
      <c r="AQ3617" s="74"/>
      <c r="AR3617" s="77"/>
      <c r="AT3617" s="497">
        <v>60.08</v>
      </c>
      <c r="AV3617" s="42"/>
      <c r="AW3617" s="74"/>
      <c r="AX3617" s="77"/>
      <c r="BA3617" s="497">
        <v>66.92</v>
      </c>
      <c r="BB3617" s="42"/>
      <c r="BC3617" s="74"/>
      <c r="BD3617" s="77"/>
      <c r="BF3617">
        <v>55.94</v>
      </c>
      <c r="BH3617" s="42"/>
      <c r="BI3617" s="74"/>
      <c r="BJ3617" s="77"/>
      <c r="BL3617" s="497">
        <v>71.06</v>
      </c>
      <c r="BN3617" s="42"/>
      <c r="BO3617" s="74"/>
      <c r="BP3617" s="77"/>
      <c r="BR3617" s="497">
        <v>62.96</v>
      </c>
      <c r="BT3617" s="42"/>
    </row>
    <row r="3618" spans="1:72" x14ac:dyDescent="0.25">
      <c r="A3618" s="90">
        <v>36310</v>
      </c>
      <c r="B3618" s="20">
        <v>1</v>
      </c>
      <c r="D3618">
        <v>68</v>
      </c>
      <c r="E3618" t="str">
        <f t="shared" si="148"/>
        <v>SUNDAY</v>
      </c>
      <c r="F3618" t="e">
        <f t="shared" si="147"/>
        <v>#N/A</v>
      </c>
      <c r="G3618" s="74">
        <v>31927</v>
      </c>
      <c r="H3618" s="77">
        <v>1</v>
      </c>
      <c r="J3618">
        <v>84.92</v>
      </c>
      <c r="M3618" s="74">
        <v>34484</v>
      </c>
      <c r="N3618" s="80">
        <v>1</v>
      </c>
      <c r="P3618">
        <v>63.86</v>
      </c>
      <c r="S3618" s="74">
        <v>36310</v>
      </c>
      <c r="T3618" s="80">
        <v>1</v>
      </c>
      <c r="V3618">
        <v>66.02</v>
      </c>
      <c r="X3618" s="42"/>
      <c r="AB3618">
        <v>62.5</v>
      </c>
      <c r="AC3618">
        <v>51.980000000000004</v>
      </c>
      <c r="AE3618" s="74"/>
      <c r="AF3618" s="80"/>
      <c r="AH3618" s="497">
        <v>46.4</v>
      </c>
      <c r="AJ3618" s="42"/>
      <c r="AK3618" s="74"/>
      <c r="AL3618" s="80"/>
      <c r="AN3618" s="497">
        <v>68</v>
      </c>
      <c r="AP3618" s="42"/>
      <c r="AQ3618" s="74"/>
      <c r="AR3618" s="80"/>
      <c r="AT3618" s="497">
        <v>59</v>
      </c>
      <c r="AV3618" s="42"/>
      <c r="AW3618" s="74"/>
      <c r="AX3618" s="80"/>
      <c r="BA3618" s="497">
        <v>66.02</v>
      </c>
      <c r="BB3618" s="42"/>
      <c r="BC3618" s="74"/>
      <c r="BD3618" s="80"/>
      <c r="BF3618">
        <v>55.94</v>
      </c>
      <c r="BH3618" s="42"/>
      <c r="BI3618" s="74"/>
      <c r="BJ3618" s="80"/>
      <c r="BL3618" s="497">
        <v>69.98</v>
      </c>
      <c r="BN3618" s="42"/>
      <c r="BO3618" s="74"/>
      <c r="BP3618" s="80"/>
      <c r="BR3618" s="497">
        <v>62.06</v>
      </c>
      <c r="BT3618" s="42"/>
    </row>
    <row r="3619" spans="1:72" x14ac:dyDescent="0.25">
      <c r="A3619" s="90">
        <v>36311</v>
      </c>
      <c r="B3619" s="20">
        <v>4.1666666666666664E-2</v>
      </c>
      <c r="D3619">
        <v>66.92</v>
      </c>
      <c r="E3619" t="str">
        <f t="shared" si="148"/>
        <v>WEEKDAY</v>
      </c>
      <c r="F3619" t="e">
        <f t="shared" si="147"/>
        <v>#N/A</v>
      </c>
      <c r="G3619" s="74">
        <v>31928</v>
      </c>
      <c r="H3619" s="77">
        <v>4.1666666666666664E-2</v>
      </c>
      <c r="J3619">
        <v>82.039999999999992</v>
      </c>
      <c r="M3619" s="74">
        <v>34485</v>
      </c>
      <c r="N3619" s="77">
        <v>4.1666666666666664E-2</v>
      </c>
      <c r="P3619">
        <v>62.96</v>
      </c>
      <c r="S3619" s="74">
        <v>36311</v>
      </c>
      <c r="T3619" s="77">
        <v>4.1666666666666664E-2</v>
      </c>
      <c r="V3619">
        <v>64.039999999999992</v>
      </c>
      <c r="X3619" s="42"/>
      <c r="AB3619">
        <v>61.9</v>
      </c>
      <c r="AC3619">
        <v>50</v>
      </c>
      <c r="AE3619" s="74"/>
      <c r="AF3619" s="77"/>
      <c r="AH3619" s="497">
        <v>44.6</v>
      </c>
      <c r="AJ3619" s="42"/>
      <c r="AK3619" s="74"/>
      <c r="AL3619" s="77"/>
      <c r="AN3619" s="497">
        <v>66.92</v>
      </c>
      <c r="AP3619" s="42"/>
      <c r="AQ3619" s="74"/>
      <c r="AR3619" s="77"/>
      <c r="AT3619" s="497">
        <v>57.92</v>
      </c>
      <c r="AV3619" s="42"/>
      <c r="AW3619" s="74"/>
      <c r="AX3619" s="77"/>
      <c r="BA3619" s="497">
        <v>64.94</v>
      </c>
      <c r="BB3619" s="42"/>
      <c r="BC3619" s="74"/>
      <c r="BD3619" s="77"/>
      <c r="BF3619">
        <v>55.94</v>
      </c>
      <c r="BH3619" s="42"/>
      <c r="BI3619" s="74"/>
      <c r="BJ3619" s="77"/>
      <c r="BL3619" s="497">
        <v>69.080000000000013</v>
      </c>
      <c r="BN3619" s="42"/>
      <c r="BO3619" s="74"/>
      <c r="BP3619" s="77"/>
      <c r="BR3619" s="497">
        <v>62.06</v>
      </c>
      <c r="BT3619" s="42"/>
    </row>
    <row r="3620" spans="1:72" x14ac:dyDescent="0.25">
      <c r="A3620" s="90">
        <v>36311</v>
      </c>
      <c r="B3620" s="20">
        <v>8.3333333333333329E-2</v>
      </c>
      <c r="D3620">
        <v>66.02</v>
      </c>
      <c r="E3620" t="str">
        <f t="shared" si="148"/>
        <v>WEEKDAY</v>
      </c>
      <c r="F3620" t="e">
        <f t="shared" si="147"/>
        <v>#N/A</v>
      </c>
      <c r="G3620" s="74">
        <v>31928</v>
      </c>
      <c r="H3620" s="77">
        <v>8.3333333333333329E-2</v>
      </c>
      <c r="J3620">
        <v>82.039999999999992</v>
      </c>
      <c r="M3620" s="74">
        <v>34485</v>
      </c>
      <c r="N3620" s="77">
        <v>8.3333333333333329E-2</v>
      </c>
      <c r="P3620">
        <v>61.88</v>
      </c>
      <c r="S3620" s="74">
        <v>36311</v>
      </c>
      <c r="T3620" s="77">
        <v>8.3333333333333329E-2</v>
      </c>
      <c r="V3620">
        <v>62.96</v>
      </c>
      <c r="X3620" s="42"/>
      <c r="AB3620">
        <v>61.4</v>
      </c>
      <c r="AC3620">
        <v>48.019999999999996</v>
      </c>
      <c r="AE3620" s="74"/>
      <c r="AF3620" s="77"/>
      <c r="AH3620" s="497">
        <v>44.6</v>
      </c>
      <c r="AJ3620" s="42"/>
      <c r="AK3620" s="74"/>
      <c r="AL3620" s="77"/>
      <c r="AN3620" s="497">
        <v>64.94</v>
      </c>
      <c r="AP3620" s="42"/>
      <c r="AQ3620" s="74"/>
      <c r="AR3620" s="77"/>
      <c r="AT3620" s="497">
        <v>57.92</v>
      </c>
      <c r="AV3620" s="42"/>
      <c r="AW3620" s="74"/>
      <c r="AX3620" s="77"/>
      <c r="BA3620" s="497">
        <v>66.02</v>
      </c>
      <c r="BB3620" s="42"/>
      <c r="BC3620" s="74"/>
      <c r="BD3620" s="77"/>
      <c r="BF3620">
        <v>55.040000000000006</v>
      </c>
      <c r="BH3620" s="42"/>
      <c r="BI3620" s="74"/>
      <c r="BJ3620" s="77"/>
      <c r="BL3620" s="497">
        <v>69.080000000000013</v>
      </c>
      <c r="BN3620" s="42"/>
      <c r="BO3620" s="74"/>
      <c r="BP3620" s="77"/>
      <c r="BR3620" s="497">
        <v>62.06</v>
      </c>
      <c r="BT3620" s="42"/>
    </row>
    <row r="3621" spans="1:72" x14ac:dyDescent="0.25">
      <c r="A3621" s="90">
        <v>36311</v>
      </c>
      <c r="B3621" s="20">
        <v>0.125</v>
      </c>
      <c r="D3621">
        <v>66.02</v>
      </c>
      <c r="E3621" t="str">
        <f t="shared" si="148"/>
        <v>WEEKDAY</v>
      </c>
      <c r="F3621" t="e">
        <f t="shared" si="147"/>
        <v>#N/A</v>
      </c>
      <c r="G3621" s="74">
        <v>31928</v>
      </c>
      <c r="H3621" s="77">
        <v>0.125</v>
      </c>
      <c r="J3621">
        <v>80.960000000000008</v>
      </c>
      <c r="M3621" s="74">
        <v>34485</v>
      </c>
      <c r="N3621" s="77">
        <v>0.125</v>
      </c>
      <c r="P3621">
        <v>60.980000000000004</v>
      </c>
      <c r="S3621" s="74">
        <v>36311</v>
      </c>
      <c r="T3621" s="77">
        <v>0.125</v>
      </c>
      <c r="V3621">
        <v>62.06</v>
      </c>
      <c r="X3621" s="42"/>
      <c r="AB3621">
        <v>60.9</v>
      </c>
      <c r="AC3621">
        <v>44.96</v>
      </c>
      <c r="AE3621" s="74"/>
      <c r="AF3621" s="77"/>
      <c r="AH3621" s="497">
        <v>42.8</v>
      </c>
      <c r="AJ3621" s="42"/>
      <c r="AK3621" s="74"/>
      <c r="AL3621" s="77"/>
      <c r="AN3621" s="497">
        <v>62.96</v>
      </c>
      <c r="AP3621" s="42"/>
      <c r="AQ3621" s="74"/>
      <c r="AR3621" s="77"/>
      <c r="AT3621" s="497">
        <v>57.019999999999996</v>
      </c>
      <c r="AV3621" s="42"/>
      <c r="AW3621" s="74"/>
      <c r="AX3621" s="77"/>
      <c r="BA3621" s="497">
        <v>64.94</v>
      </c>
      <c r="BB3621" s="42"/>
      <c r="BC3621" s="74"/>
      <c r="BD3621" s="77"/>
      <c r="BF3621">
        <v>55.94</v>
      </c>
      <c r="BH3621" s="42"/>
      <c r="BI3621" s="74"/>
      <c r="BJ3621" s="77"/>
      <c r="BL3621" s="497">
        <v>69.98</v>
      </c>
      <c r="BN3621" s="42"/>
      <c r="BO3621" s="74"/>
      <c r="BP3621" s="77"/>
      <c r="BR3621" s="497">
        <v>60.980000000000004</v>
      </c>
      <c r="BT3621" s="42"/>
    </row>
    <row r="3622" spans="1:72" x14ac:dyDescent="0.25">
      <c r="A3622" s="90">
        <v>36311</v>
      </c>
      <c r="B3622" s="20">
        <v>0.16666666666666666</v>
      </c>
      <c r="D3622">
        <v>64.94</v>
      </c>
      <c r="E3622" t="str">
        <f t="shared" si="148"/>
        <v>WEEKDAY</v>
      </c>
      <c r="F3622" t="e">
        <f t="shared" si="147"/>
        <v>#N/A</v>
      </c>
      <c r="G3622" s="74">
        <v>31928</v>
      </c>
      <c r="H3622" s="77">
        <v>0.16666666666666666</v>
      </c>
      <c r="J3622">
        <v>78.98</v>
      </c>
      <c r="M3622" s="74">
        <v>34485</v>
      </c>
      <c r="N3622" s="77">
        <v>0.16666666666666666</v>
      </c>
      <c r="P3622">
        <v>59.900000000000006</v>
      </c>
      <c r="S3622" s="74">
        <v>36311</v>
      </c>
      <c r="T3622" s="77">
        <v>0.16666666666666666</v>
      </c>
      <c r="V3622">
        <v>60.980000000000004</v>
      </c>
      <c r="X3622" s="42"/>
      <c r="AB3622">
        <v>60.4</v>
      </c>
      <c r="AC3622">
        <v>46.94</v>
      </c>
      <c r="AE3622" s="74"/>
      <c r="AF3622" s="77"/>
      <c r="AH3622" s="497">
        <v>42.8</v>
      </c>
      <c r="AJ3622" s="42"/>
      <c r="AK3622" s="74"/>
      <c r="AL3622" s="77"/>
      <c r="AN3622" s="497">
        <v>64.039999999999992</v>
      </c>
      <c r="AP3622" s="42"/>
      <c r="AQ3622" s="74"/>
      <c r="AR3622" s="77"/>
      <c r="AT3622" s="497">
        <v>57.019999999999996</v>
      </c>
      <c r="AV3622" s="42"/>
      <c r="AW3622" s="74"/>
      <c r="AX3622" s="77"/>
      <c r="BA3622" s="497">
        <v>64.94</v>
      </c>
      <c r="BB3622" s="42"/>
      <c r="BC3622" s="74"/>
      <c r="BD3622" s="77"/>
      <c r="BF3622">
        <v>55.94</v>
      </c>
      <c r="BH3622" s="42"/>
      <c r="BI3622" s="74"/>
      <c r="BJ3622" s="77"/>
      <c r="BL3622" s="497">
        <v>69.080000000000013</v>
      </c>
      <c r="BN3622" s="42"/>
      <c r="BO3622" s="74"/>
      <c r="BP3622" s="77"/>
      <c r="BR3622" s="497">
        <v>60.08</v>
      </c>
      <c r="BT3622" s="42"/>
    </row>
    <row r="3623" spans="1:72" x14ac:dyDescent="0.25">
      <c r="A3623" s="90">
        <v>36311</v>
      </c>
      <c r="B3623" s="20">
        <v>0.20833333333333334</v>
      </c>
      <c r="D3623">
        <v>64.039999999999992</v>
      </c>
      <c r="E3623" t="str">
        <f t="shared" si="148"/>
        <v>WEEKDAY</v>
      </c>
      <c r="F3623" t="e">
        <f t="shared" si="147"/>
        <v>#N/A</v>
      </c>
      <c r="G3623" s="74">
        <v>31928</v>
      </c>
      <c r="H3623" s="77">
        <v>0.20833333333333334</v>
      </c>
      <c r="J3623">
        <v>78.98</v>
      </c>
      <c r="M3623" s="74">
        <v>34485</v>
      </c>
      <c r="N3623" s="77">
        <v>0.20833333333333334</v>
      </c>
      <c r="P3623">
        <v>59.900000000000006</v>
      </c>
      <c r="S3623" s="74">
        <v>36311</v>
      </c>
      <c r="T3623" s="77">
        <v>0.20833333333333334</v>
      </c>
      <c r="V3623">
        <v>60.980000000000004</v>
      </c>
      <c r="X3623" s="42"/>
      <c r="AB3623">
        <v>60.1</v>
      </c>
      <c r="AC3623">
        <v>48.019999999999996</v>
      </c>
      <c r="AE3623" s="74"/>
      <c r="AF3623" s="77"/>
      <c r="AH3623" s="497">
        <v>44.24</v>
      </c>
      <c r="AJ3623" s="42"/>
      <c r="AK3623" s="74"/>
      <c r="AL3623" s="77"/>
      <c r="AN3623" s="497">
        <v>64.039999999999992</v>
      </c>
      <c r="AP3623" s="42"/>
      <c r="AQ3623" s="74"/>
      <c r="AR3623" s="77"/>
      <c r="AT3623" s="497">
        <v>57.92</v>
      </c>
      <c r="AV3623" s="42"/>
      <c r="AW3623" s="74"/>
      <c r="AX3623" s="77"/>
      <c r="BA3623" s="497">
        <v>62.96</v>
      </c>
      <c r="BB3623" s="42"/>
      <c r="BC3623" s="74"/>
      <c r="BD3623" s="77"/>
      <c r="BF3623">
        <v>57.019999999999996</v>
      </c>
      <c r="BH3623" s="42"/>
      <c r="BI3623" s="74"/>
      <c r="BJ3623" s="77"/>
      <c r="BL3623" s="497">
        <v>68</v>
      </c>
      <c r="BN3623" s="42"/>
      <c r="BO3623" s="74"/>
      <c r="BP3623" s="77"/>
      <c r="BR3623" s="497">
        <v>59</v>
      </c>
      <c r="BT3623" s="42"/>
    </row>
    <row r="3624" spans="1:72" x14ac:dyDescent="0.25">
      <c r="A3624" s="90">
        <v>36311</v>
      </c>
      <c r="B3624" s="20">
        <v>0.25</v>
      </c>
      <c r="D3624">
        <v>64.94</v>
      </c>
      <c r="E3624" t="str">
        <f t="shared" si="148"/>
        <v>WEEKDAY</v>
      </c>
      <c r="F3624" t="e">
        <f t="shared" si="147"/>
        <v>#N/A</v>
      </c>
      <c r="G3624" s="74">
        <v>31928</v>
      </c>
      <c r="H3624" s="77">
        <v>0.25</v>
      </c>
      <c r="J3624">
        <v>78.98</v>
      </c>
      <c r="M3624" s="74">
        <v>34485</v>
      </c>
      <c r="N3624" s="77">
        <v>0.25</v>
      </c>
      <c r="P3624">
        <v>61.88</v>
      </c>
      <c r="S3624" s="74">
        <v>36311</v>
      </c>
      <c r="T3624" s="77">
        <v>0.25</v>
      </c>
      <c r="V3624">
        <v>64.039999999999992</v>
      </c>
      <c r="X3624" s="42"/>
      <c r="AB3624">
        <v>59.9</v>
      </c>
      <c r="AC3624">
        <v>51.08</v>
      </c>
      <c r="AE3624" s="74"/>
      <c r="AF3624" s="77"/>
      <c r="AH3624" s="497">
        <v>48.2</v>
      </c>
      <c r="AJ3624" s="42"/>
      <c r="AK3624" s="74"/>
      <c r="AL3624" s="77"/>
      <c r="AN3624" s="497">
        <v>64.039999999999992</v>
      </c>
      <c r="AP3624" s="42"/>
      <c r="AQ3624" s="74"/>
      <c r="AR3624" s="77"/>
      <c r="AT3624" s="497">
        <v>59</v>
      </c>
      <c r="AV3624" s="42"/>
      <c r="AW3624" s="74"/>
      <c r="AX3624" s="77"/>
      <c r="BA3624" s="497">
        <v>64.039999999999992</v>
      </c>
      <c r="BB3624" s="42"/>
      <c r="BC3624" s="74"/>
      <c r="BD3624" s="77"/>
      <c r="BF3624">
        <v>57.92</v>
      </c>
      <c r="BH3624" s="42"/>
      <c r="BI3624" s="74"/>
      <c r="BJ3624" s="77"/>
      <c r="BL3624" s="497">
        <v>68</v>
      </c>
      <c r="BN3624" s="42"/>
      <c r="BO3624" s="74"/>
      <c r="BP3624" s="77"/>
      <c r="BR3624" s="497">
        <v>59</v>
      </c>
      <c r="BT3624" s="42"/>
    </row>
    <row r="3625" spans="1:72" x14ac:dyDescent="0.25">
      <c r="A3625" s="90">
        <v>36311</v>
      </c>
      <c r="B3625" s="20">
        <v>0.29166666666666669</v>
      </c>
      <c r="D3625">
        <v>68</v>
      </c>
      <c r="E3625" t="str">
        <f t="shared" si="148"/>
        <v>WEEKDAY</v>
      </c>
      <c r="F3625" t="e">
        <f t="shared" si="147"/>
        <v>#N/A</v>
      </c>
      <c r="G3625" s="74">
        <v>31928</v>
      </c>
      <c r="H3625" s="77">
        <v>0.29166666666666669</v>
      </c>
      <c r="J3625">
        <v>78.080000000000013</v>
      </c>
      <c r="M3625" s="74">
        <v>34485</v>
      </c>
      <c r="N3625" s="77">
        <v>0.29166666666666669</v>
      </c>
      <c r="P3625">
        <v>64.94</v>
      </c>
      <c r="S3625" s="74">
        <v>36311</v>
      </c>
      <c r="T3625" s="77">
        <v>0.29166666666666669</v>
      </c>
      <c r="V3625">
        <v>69.98</v>
      </c>
      <c r="X3625" s="42"/>
      <c r="AB3625">
        <v>61.4</v>
      </c>
      <c r="AC3625">
        <v>53.06</v>
      </c>
      <c r="AE3625" s="74"/>
      <c r="AF3625" s="77"/>
      <c r="AH3625" s="497">
        <v>50</v>
      </c>
      <c r="AJ3625" s="42"/>
      <c r="AK3625" s="74"/>
      <c r="AL3625" s="77"/>
      <c r="AN3625" s="497">
        <v>66.02</v>
      </c>
      <c r="AP3625" s="42"/>
      <c r="AQ3625" s="74"/>
      <c r="AR3625" s="77"/>
      <c r="AT3625" s="497">
        <v>62.06</v>
      </c>
      <c r="AV3625" s="42"/>
      <c r="AW3625" s="74"/>
      <c r="AX3625" s="77"/>
      <c r="BA3625" s="497">
        <v>66.92</v>
      </c>
      <c r="BB3625" s="42"/>
      <c r="BC3625" s="74"/>
      <c r="BD3625" s="77"/>
      <c r="BF3625">
        <v>60.980000000000004</v>
      </c>
      <c r="BH3625" s="42"/>
      <c r="BI3625" s="74"/>
      <c r="BJ3625" s="77"/>
      <c r="BL3625" s="497">
        <v>66.92</v>
      </c>
      <c r="BN3625" s="42"/>
      <c r="BO3625" s="74"/>
      <c r="BP3625" s="77"/>
      <c r="BR3625" s="497">
        <v>62.06</v>
      </c>
      <c r="BT3625" s="42"/>
    </row>
    <row r="3626" spans="1:72" x14ac:dyDescent="0.25">
      <c r="A3626" s="90">
        <v>36311</v>
      </c>
      <c r="B3626" s="20">
        <v>0.33333333333333331</v>
      </c>
      <c r="D3626">
        <v>69.98</v>
      </c>
      <c r="E3626" t="str">
        <f t="shared" si="148"/>
        <v>WEEKDAY</v>
      </c>
      <c r="F3626" t="e">
        <f t="shared" si="147"/>
        <v>#N/A</v>
      </c>
      <c r="G3626" s="74">
        <v>31928</v>
      </c>
      <c r="H3626" s="77">
        <v>0.33333333333333331</v>
      </c>
      <c r="J3626">
        <v>82.94</v>
      </c>
      <c r="M3626" s="74">
        <v>34485</v>
      </c>
      <c r="N3626" s="77">
        <v>0.33333333333333331</v>
      </c>
      <c r="P3626">
        <v>66.92</v>
      </c>
      <c r="S3626" s="74">
        <v>36311</v>
      </c>
      <c r="T3626" s="77">
        <v>0.33333333333333331</v>
      </c>
      <c r="V3626">
        <v>73.039999999999992</v>
      </c>
      <c r="X3626" s="42"/>
      <c r="AB3626">
        <v>63.2</v>
      </c>
      <c r="AC3626">
        <v>53.96</v>
      </c>
      <c r="AE3626" s="74"/>
      <c r="AF3626" s="77"/>
      <c r="AH3626" s="497">
        <v>51.8</v>
      </c>
      <c r="AJ3626" s="42"/>
      <c r="AK3626" s="74"/>
      <c r="AL3626" s="77"/>
      <c r="AN3626" s="497">
        <v>69.98</v>
      </c>
      <c r="AP3626" s="42"/>
      <c r="AQ3626" s="74"/>
      <c r="AR3626" s="77"/>
      <c r="AT3626" s="497">
        <v>66.02</v>
      </c>
      <c r="AV3626" s="42"/>
      <c r="AW3626" s="74"/>
      <c r="AX3626" s="77"/>
      <c r="BA3626" s="497">
        <v>68</v>
      </c>
      <c r="BB3626" s="42"/>
      <c r="BC3626" s="74"/>
      <c r="BD3626" s="77"/>
      <c r="BF3626">
        <v>62.96</v>
      </c>
      <c r="BH3626" s="42"/>
      <c r="BI3626" s="74"/>
      <c r="BJ3626" s="77"/>
      <c r="BL3626" s="497">
        <v>64.94</v>
      </c>
      <c r="BN3626" s="42"/>
      <c r="BO3626" s="74"/>
      <c r="BP3626" s="77"/>
      <c r="BR3626" s="497">
        <v>64.94</v>
      </c>
      <c r="BT3626" s="42"/>
    </row>
    <row r="3627" spans="1:72" x14ac:dyDescent="0.25">
      <c r="A3627" s="90">
        <v>36311</v>
      </c>
      <c r="B3627" s="20">
        <v>0.375</v>
      </c>
      <c r="D3627">
        <v>73.94</v>
      </c>
      <c r="E3627" t="str">
        <f t="shared" si="148"/>
        <v>WEEKDAY</v>
      </c>
      <c r="F3627" t="e">
        <f t="shared" ref="F3627:F3690" si="149">IF(E3627="WEEKDAY",VLOOKUP(B3627,$DD$19:$DG$42,2),IF(E3627="SATURDAY",VLOOKUP(B3627,$DD$19:$DG$42,3),VLOOKUP(B3627,$DD$19:$DG$42,4)))</f>
        <v>#N/A</v>
      </c>
      <c r="G3627" s="74">
        <v>31928</v>
      </c>
      <c r="H3627" s="77">
        <v>0.375</v>
      </c>
      <c r="J3627">
        <v>86</v>
      </c>
      <c r="M3627" s="74">
        <v>34485</v>
      </c>
      <c r="N3627" s="77">
        <v>0.375</v>
      </c>
      <c r="P3627">
        <v>70.88</v>
      </c>
      <c r="S3627" s="74">
        <v>36311</v>
      </c>
      <c r="T3627" s="77">
        <v>0.375</v>
      </c>
      <c r="V3627">
        <v>77</v>
      </c>
      <c r="X3627" s="42"/>
      <c r="AB3627">
        <v>65.099999999999994</v>
      </c>
      <c r="AC3627">
        <v>55.94</v>
      </c>
      <c r="AE3627" s="74"/>
      <c r="AF3627" s="77"/>
      <c r="AH3627" s="497">
        <v>57.2</v>
      </c>
      <c r="AJ3627" s="42"/>
      <c r="AK3627" s="74"/>
      <c r="AL3627" s="77"/>
      <c r="AN3627" s="497">
        <v>73.039999999999992</v>
      </c>
      <c r="AP3627" s="42"/>
      <c r="AQ3627" s="74"/>
      <c r="AR3627" s="77"/>
      <c r="AT3627" s="497">
        <v>66.92</v>
      </c>
      <c r="AV3627" s="42"/>
      <c r="AW3627" s="74"/>
      <c r="AX3627" s="77"/>
      <c r="BA3627" s="497">
        <v>71.06</v>
      </c>
      <c r="BB3627" s="42"/>
      <c r="BC3627" s="74"/>
      <c r="BD3627" s="77"/>
      <c r="BF3627">
        <v>64.039999999999992</v>
      </c>
      <c r="BH3627" s="42"/>
      <c r="BI3627" s="74"/>
      <c r="BJ3627" s="77"/>
      <c r="BL3627" s="497">
        <v>60.08</v>
      </c>
      <c r="BN3627" s="42"/>
      <c r="BO3627" s="74"/>
      <c r="BP3627" s="77"/>
      <c r="BR3627" s="497">
        <v>69.080000000000013</v>
      </c>
      <c r="BT3627" s="42"/>
    </row>
    <row r="3628" spans="1:72" x14ac:dyDescent="0.25">
      <c r="A3628" s="90">
        <v>36311</v>
      </c>
      <c r="B3628" s="20">
        <v>0.41666666666666669</v>
      </c>
      <c r="D3628">
        <v>75.92</v>
      </c>
      <c r="E3628" t="str">
        <f t="shared" si="148"/>
        <v>WEEKDAY</v>
      </c>
      <c r="F3628" t="e">
        <f t="shared" si="149"/>
        <v>#N/A</v>
      </c>
      <c r="G3628" s="74">
        <v>31928</v>
      </c>
      <c r="H3628" s="77">
        <v>0.41666666666666669</v>
      </c>
      <c r="J3628">
        <v>89.960000000000008</v>
      </c>
      <c r="M3628" s="74">
        <v>34485</v>
      </c>
      <c r="N3628" s="77">
        <v>0.41666666666666669</v>
      </c>
      <c r="P3628">
        <v>71.960000000000008</v>
      </c>
      <c r="S3628" s="74">
        <v>36311</v>
      </c>
      <c r="T3628" s="77">
        <v>0.41666666666666669</v>
      </c>
      <c r="V3628">
        <v>78.080000000000013</v>
      </c>
      <c r="X3628" s="42"/>
      <c r="AB3628">
        <v>66.8</v>
      </c>
      <c r="AC3628">
        <v>57.019999999999996</v>
      </c>
      <c r="AE3628" s="74"/>
      <c r="AF3628" s="77"/>
      <c r="AH3628" s="497">
        <v>59</v>
      </c>
      <c r="AJ3628" s="42"/>
      <c r="AK3628" s="74"/>
      <c r="AL3628" s="77"/>
      <c r="AN3628" s="497">
        <v>73.94</v>
      </c>
      <c r="AP3628" s="42"/>
      <c r="AQ3628" s="74"/>
      <c r="AR3628" s="77"/>
      <c r="AT3628" s="497">
        <v>71.06</v>
      </c>
      <c r="AV3628" s="42"/>
      <c r="AW3628" s="74"/>
      <c r="AX3628" s="77"/>
      <c r="BA3628" s="497">
        <v>69.080000000000013</v>
      </c>
      <c r="BB3628" s="42"/>
      <c r="BC3628" s="74"/>
      <c r="BD3628" s="77"/>
      <c r="BF3628">
        <v>64.94</v>
      </c>
      <c r="BH3628" s="42"/>
      <c r="BI3628" s="74"/>
      <c r="BJ3628" s="77"/>
      <c r="BL3628" s="497">
        <v>59</v>
      </c>
      <c r="BN3628" s="42"/>
      <c r="BO3628" s="74"/>
      <c r="BP3628" s="77"/>
      <c r="BR3628" s="497">
        <v>73.039999999999992</v>
      </c>
      <c r="BT3628" s="42"/>
    </row>
    <row r="3629" spans="1:72" x14ac:dyDescent="0.25">
      <c r="A3629" s="90">
        <v>36311</v>
      </c>
      <c r="B3629" s="20">
        <v>0.45833333333333331</v>
      </c>
      <c r="D3629">
        <v>78.98</v>
      </c>
      <c r="E3629" t="str">
        <f t="shared" si="148"/>
        <v>WEEKDAY</v>
      </c>
      <c r="F3629" t="e">
        <f t="shared" si="149"/>
        <v>#N/A</v>
      </c>
      <c r="G3629" s="74">
        <v>31928</v>
      </c>
      <c r="H3629" s="77">
        <v>0.45833333333333331</v>
      </c>
      <c r="J3629">
        <v>91.94</v>
      </c>
      <c r="M3629" s="74">
        <v>34485</v>
      </c>
      <c r="N3629" s="77">
        <v>0.45833333333333331</v>
      </c>
      <c r="P3629">
        <v>74.84</v>
      </c>
      <c r="S3629" s="74">
        <v>36311</v>
      </c>
      <c r="T3629" s="77">
        <v>0.45833333333333331</v>
      </c>
      <c r="V3629">
        <v>78.080000000000013</v>
      </c>
      <c r="X3629" s="42"/>
      <c r="AB3629">
        <v>68.400000000000006</v>
      </c>
      <c r="AC3629">
        <v>57.92</v>
      </c>
      <c r="AE3629" s="74"/>
      <c r="AF3629" s="77"/>
      <c r="AH3629" s="497">
        <v>64.400000000000006</v>
      </c>
      <c r="AJ3629" s="42"/>
      <c r="AK3629" s="74"/>
      <c r="AL3629" s="77"/>
      <c r="AN3629" s="497">
        <v>75.02</v>
      </c>
      <c r="AP3629" s="42"/>
      <c r="AQ3629" s="74"/>
      <c r="AR3629" s="77"/>
      <c r="AT3629" s="497">
        <v>73.039999999999992</v>
      </c>
      <c r="AV3629" s="42"/>
      <c r="AW3629" s="74"/>
      <c r="AX3629" s="77"/>
      <c r="BA3629" s="497">
        <v>69.98</v>
      </c>
      <c r="BB3629" s="42"/>
      <c r="BC3629" s="74"/>
      <c r="BD3629" s="77"/>
      <c r="BF3629">
        <v>66.92</v>
      </c>
      <c r="BH3629" s="42"/>
      <c r="BI3629" s="74"/>
      <c r="BJ3629" s="77"/>
      <c r="BL3629" s="497">
        <v>59</v>
      </c>
      <c r="BN3629" s="42"/>
      <c r="BO3629" s="74"/>
      <c r="BP3629" s="77"/>
      <c r="BR3629" s="497">
        <v>75.92</v>
      </c>
      <c r="BT3629" s="42"/>
    </row>
    <row r="3630" spans="1:72" x14ac:dyDescent="0.25">
      <c r="A3630" s="90">
        <v>36311</v>
      </c>
      <c r="B3630" s="20">
        <v>0.5</v>
      </c>
      <c r="D3630">
        <v>75.92</v>
      </c>
      <c r="E3630" t="str">
        <f t="shared" si="148"/>
        <v>WEEKDAY</v>
      </c>
      <c r="F3630" t="e">
        <f t="shared" si="149"/>
        <v>#N/A</v>
      </c>
      <c r="G3630" s="74">
        <v>31928</v>
      </c>
      <c r="H3630" s="77">
        <v>0.5</v>
      </c>
      <c r="J3630">
        <v>93.92</v>
      </c>
      <c r="M3630" s="74">
        <v>34485</v>
      </c>
      <c r="N3630" s="77">
        <v>0.5</v>
      </c>
      <c r="P3630">
        <v>75.92</v>
      </c>
      <c r="S3630" s="74">
        <v>36311</v>
      </c>
      <c r="T3630" s="77">
        <v>0.5</v>
      </c>
      <c r="V3630">
        <v>78.98</v>
      </c>
      <c r="X3630" s="42"/>
      <c r="AB3630">
        <v>69.7</v>
      </c>
      <c r="AC3630">
        <v>60.08</v>
      </c>
      <c r="AE3630" s="74"/>
      <c r="AF3630" s="77"/>
      <c r="AH3630" s="497">
        <v>66.2</v>
      </c>
      <c r="AJ3630" s="42"/>
      <c r="AK3630" s="74"/>
      <c r="AL3630" s="77"/>
      <c r="AN3630" s="497">
        <v>75.92</v>
      </c>
      <c r="AP3630" s="42"/>
      <c r="AQ3630" s="74"/>
      <c r="AR3630" s="77"/>
      <c r="AT3630" s="497">
        <v>71.960000000000008</v>
      </c>
      <c r="AV3630" s="42"/>
      <c r="AW3630" s="74"/>
      <c r="AX3630" s="77"/>
      <c r="BA3630" s="497">
        <v>66.92</v>
      </c>
      <c r="BB3630" s="42"/>
      <c r="BC3630" s="74"/>
      <c r="BD3630" s="77"/>
      <c r="BF3630">
        <v>68</v>
      </c>
      <c r="BH3630" s="42"/>
      <c r="BI3630" s="74"/>
      <c r="BJ3630" s="77"/>
      <c r="BL3630" s="497">
        <v>60.08</v>
      </c>
      <c r="BN3630" s="42"/>
      <c r="BO3630" s="74"/>
      <c r="BP3630" s="77"/>
      <c r="BR3630" s="497">
        <v>78.98</v>
      </c>
      <c r="BT3630" s="42"/>
    </row>
    <row r="3631" spans="1:72" x14ac:dyDescent="0.25">
      <c r="A3631" s="90">
        <v>36311</v>
      </c>
      <c r="B3631" s="20">
        <v>0.54166666666666663</v>
      </c>
      <c r="D3631">
        <v>78.080000000000013</v>
      </c>
      <c r="E3631" t="str">
        <f t="shared" si="148"/>
        <v>WEEKDAY</v>
      </c>
      <c r="F3631" t="e">
        <f t="shared" si="149"/>
        <v>#N/A</v>
      </c>
      <c r="G3631" s="74">
        <v>31928</v>
      </c>
      <c r="H3631" s="77">
        <v>0.54166666666666663</v>
      </c>
      <c r="J3631">
        <v>95</v>
      </c>
      <c r="M3631" s="74">
        <v>34485</v>
      </c>
      <c r="N3631" s="77">
        <v>0.54166666666666663</v>
      </c>
      <c r="P3631">
        <v>74.84</v>
      </c>
      <c r="S3631" s="74">
        <v>36311</v>
      </c>
      <c r="T3631" s="77">
        <v>0.54166666666666663</v>
      </c>
      <c r="V3631">
        <v>78.98</v>
      </c>
      <c r="X3631" s="42"/>
      <c r="AB3631">
        <v>70.5</v>
      </c>
      <c r="AC3631">
        <v>62.96</v>
      </c>
      <c r="AE3631" s="74"/>
      <c r="AF3631" s="77"/>
      <c r="AH3631" s="497">
        <v>68</v>
      </c>
      <c r="AJ3631" s="42"/>
      <c r="AK3631" s="74"/>
      <c r="AL3631" s="77"/>
      <c r="AN3631" s="497">
        <v>78.080000000000013</v>
      </c>
      <c r="AP3631" s="42"/>
      <c r="AQ3631" s="74"/>
      <c r="AR3631" s="77"/>
      <c r="AT3631" s="497">
        <v>71.960000000000008</v>
      </c>
      <c r="AV3631" s="42"/>
      <c r="AW3631" s="74"/>
      <c r="AX3631" s="77"/>
      <c r="BA3631" s="497">
        <v>66.02</v>
      </c>
      <c r="BB3631" s="42"/>
      <c r="BC3631" s="74"/>
      <c r="BD3631" s="77"/>
      <c r="BF3631">
        <v>69.98</v>
      </c>
      <c r="BH3631" s="42"/>
      <c r="BI3631" s="74"/>
      <c r="BJ3631" s="77"/>
      <c r="BL3631" s="497">
        <v>62.06</v>
      </c>
      <c r="BN3631" s="42"/>
      <c r="BO3631" s="74"/>
      <c r="BP3631" s="77"/>
      <c r="BR3631" s="497">
        <v>80.960000000000008</v>
      </c>
      <c r="BT3631" s="42"/>
    </row>
    <row r="3632" spans="1:72" x14ac:dyDescent="0.25">
      <c r="A3632" s="90">
        <v>36311</v>
      </c>
      <c r="B3632" s="20">
        <v>0.58333333333333337</v>
      </c>
      <c r="D3632">
        <v>78.98</v>
      </c>
      <c r="E3632" t="str">
        <f t="shared" si="148"/>
        <v>WEEKDAY</v>
      </c>
      <c r="F3632" t="e">
        <f t="shared" si="149"/>
        <v>#N/A</v>
      </c>
      <c r="G3632" s="74">
        <v>31928</v>
      </c>
      <c r="H3632" s="77">
        <v>0.58333333333333337</v>
      </c>
      <c r="J3632">
        <v>91.039999999999992</v>
      </c>
      <c r="M3632" s="74">
        <v>34485</v>
      </c>
      <c r="N3632" s="77">
        <v>0.58333333333333337</v>
      </c>
      <c r="P3632">
        <v>73.94</v>
      </c>
      <c r="S3632" s="74">
        <v>36311</v>
      </c>
      <c r="T3632" s="77">
        <v>0.58333333333333337</v>
      </c>
      <c r="V3632">
        <v>80.960000000000008</v>
      </c>
      <c r="X3632" s="42"/>
      <c r="AB3632">
        <v>71</v>
      </c>
      <c r="AC3632">
        <v>64.039999999999992</v>
      </c>
      <c r="AE3632" s="74"/>
      <c r="AF3632" s="77"/>
      <c r="AH3632" s="497">
        <v>69.800000000000011</v>
      </c>
      <c r="AJ3632" s="42"/>
      <c r="AK3632" s="74"/>
      <c r="AL3632" s="77"/>
      <c r="AN3632" s="497">
        <v>78.98</v>
      </c>
      <c r="AP3632" s="42"/>
      <c r="AQ3632" s="74"/>
      <c r="AR3632" s="77"/>
      <c r="AT3632" s="497">
        <v>71.06</v>
      </c>
      <c r="AV3632" s="42"/>
      <c r="AW3632" s="74"/>
      <c r="AX3632" s="77"/>
      <c r="BA3632" s="497">
        <v>73.039999999999992</v>
      </c>
      <c r="BB3632" s="42"/>
      <c r="BC3632" s="74"/>
      <c r="BD3632" s="77"/>
      <c r="BF3632">
        <v>71.06</v>
      </c>
      <c r="BH3632" s="42"/>
      <c r="BI3632" s="74"/>
      <c r="BJ3632" s="77"/>
      <c r="BL3632" s="497">
        <v>64.94</v>
      </c>
      <c r="BN3632" s="42"/>
      <c r="BO3632" s="74"/>
      <c r="BP3632" s="77"/>
      <c r="BR3632" s="497">
        <v>80.960000000000008</v>
      </c>
      <c r="BT3632" s="42"/>
    </row>
    <row r="3633" spans="1:72" x14ac:dyDescent="0.25">
      <c r="A3633" s="90">
        <v>36311</v>
      </c>
      <c r="B3633" s="20">
        <v>0.625</v>
      </c>
      <c r="D3633">
        <v>78.080000000000013</v>
      </c>
      <c r="E3633" t="str">
        <f t="shared" si="148"/>
        <v>WEEKDAY</v>
      </c>
      <c r="F3633" t="e">
        <f t="shared" si="149"/>
        <v>#N/A</v>
      </c>
      <c r="G3633" s="74">
        <v>31928</v>
      </c>
      <c r="H3633" s="77">
        <v>0.625</v>
      </c>
      <c r="J3633">
        <v>89.06</v>
      </c>
      <c r="M3633" s="74">
        <v>34485</v>
      </c>
      <c r="N3633" s="77">
        <v>0.625</v>
      </c>
      <c r="P3633">
        <v>73.94</v>
      </c>
      <c r="S3633" s="74">
        <v>36311</v>
      </c>
      <c r="T3633" s="77">
        <v>0.625</v>
      </c>
      <c r="V3633">
        <v>78.98</v>
      </c>
      <c r="X3633" s="42"/>
      <c r="AB3633">
        <v>70.900000000000006</v>
      </c>
      <c r="AC3633">
        <v>66.02</v>
      </c>
      <c r="AE3633" s="74"/>
      <c r="AF3633" s="77"/>
      <c r="AH3633" s="497">
        <v>71.599999999999994</v>
      </c>
      <c r="AJ3633" s="42"/>
      <c r="AK3633" s="74"/>
      <c r="AL3633" s="77"/>
      <c r="AN3633" s="497">
        <v>80.06</v>
      </c>
      <c r="AP3633" s="42"/>
      <c r="AQ3633" s="74"/>
      <c r="AR3633" s="77"/>
      <c r="AT3633" s="497">
        <v>71.06</v>
      </c>
      <c r="AV3633" s="42"/>
      <c r="AW3633" s="74"/>
      <c r="AX3633" s="77"/>
      <c r="BA3633" s="497">
        <v>73.94</v>
      </c>
      <c r="BB3633" s="42"/>
      <c r="BC3633" s="74"/>
      <c r="BD3633" s="77"/>
      <c r="BF3633">
        <v>71.06</v>
      </c>
      <c r="BH3633" s="42"/>
      <c r="BI3633" s="74"/>
      <c r="BJ3633" s="77"/>
      <c r="BL3633" s="497">
        <v>66.92</v>
      </c>
      <c r="BN3633" s="42"/>
      <c r="BO3633" s="74"/>
      <c r="BP3633" s="77"/>
      <c r="BR3633" s="497">
        <v>80.960000000000008</v>
      </c>
      <c r="BT3633" s="42"/>
    </row>
    <row r="3634" spans="1:72" x14ac:dyDescent="0.25">
      <c r="A3634" s="90">
        <v>36311</v>
      </c>
      <c r="B3634" s="20">
        <v>0.66666666666666663</v>
      </c>
      <c r="D3634">
        <v>78.080000000000013</v>
      </c>
      <c r="E3634" t="str">
        <f t="shared" si="148"/>
        <v>WEEKDAY</v>
      </c>
      <c r="F3634" t="e">
        <f t="shared" si="149"/>
        <v>#N/A</v>
      </c>
      <c r="G3634" s="74">
        <v>31928</v>
      </c>
      <c r="H3634" s="77">
        <v>0.66666666666666663</v>
      </c>
      <c r="J3634">
        <v>89.06</v>
      </c>
      <c r="M3634" s="74">
        <v>34485</v>
      </c>
      <c r="N3634" s="77">
        <v>0.66666666666666663</v>
      </c>
      <c r="P3634">
        <v>73.94</v>
      </c>
      <c r="S3634" s="74">
        <v>36311</v>
      </c>
      <c r="T3634" s="77">
        <v>0.66666666666666663</v>
      </c>
      <c r="V3634">
        <v>75.92</v>
      </c>
      <c r="X3634" s="42"/>
      <c r="AB3634">
        <v>70.3</v>
      </c>
      <c r="AC3634">
        <v>66.02</v>
      </c>
      <c r="AE3634" s="74"/>
      <c r="AF3634" s="77"/>
      <c r="AH3634" s="497">
        <v>71.599999999999994</v>
      </c>
      <c r="AJ3634" s="42"/>
      <c r="AK3634" s="74"/>
      <c r="AL3634" s="77"/>
      <c r="AN3634" s="497">
        <v>78.98</v>
      </c>
      <c r="AP3634" s="42"/>
      <c r="AQ3634" s="74"/>
      <c r="AR3634" s="77"/>
      <c r="AT3634" s="497">
        <v>73.039999999999992</v>
      </c>
      <c r="AV3634" s="42"/>
      <c r="AW3634" s="74"/>
      <c r="AX3634" s="77"/>
      <c r="BA3634" s="497">
        <v>75.92</v>
      </c>
      <c r="BB3634" s="42"/>
      <c r="BC3634" s="74"/>
      <c r="BD3634" s="77"/>
      <c r="BF3634">
        <v>71.960000000000008</v>
      </c>
      <c r="BH3634" s="42"/>
      <c r="BI3634" s="74"/>
      <c r="BJ3634" s="77"/>
      <c r="BL3634" s="497">
        <v>64.94</v>
      </c>
      <c r="BN3634" s="42"/>
      <c r="BO3634" s="74"/>
      <c r="BP3634" s="77"/>
      <c r="BR3634" s="497">
        <v>80.06</v>
      </c>
      <c r="BT3634" s="42"/>
    </row>
    <row r="3635" spans="1:72" x14ac:dyDescent="0.25">
      <c r="A3635" s="90">
        <v>36311</v>
      </c>
      <c r="B3635" s="20">
        <v>0.70833333333333337</v>
      </c>
      <c r="D3635">
        <v>75.92</v>
      </c>
      <c r="E3635" t="str">
        <f t="shared" si="148"/>
        <v>WEEKDAY</v>
      </c>
      <c r="F3635" t="e">
        <f t="shared" si="149"/>
        <v>#N/A</v>
      </c>
      <c r="G3635" s="74">
        <v>31928</v>
      </c>
      <c r="H3635" s="77">
        <v>0.70833333333333337</v>
      </c>
      <c r="J3635">
        <v>89.06</v>
      </c>
      <c r="M3635" s="74">
        <v>34485</v>
      </c>
      <c r="N3635" s="77">
        <v>0.70833333333333337</v>
      </c>
      <c r="P3635">
        <v>71.960000000000008</v>
      </c>
      <c r="S3635" s="74">
        <v>36311</v>
      </c>
      <c r="T3635" s="77">
        <v>0.70833333333333337</v>
      </c>
      <c r="V3635">
        <v>73.039999999999992</v>
      </c>
      <c r="X3635" s="42"/>
      <c r="AB3635">
        <v>69.599999999999994</v>
      </c>
      <c r="AC3635">
        <v>66.92</v>
      </c>
      <c r="AE3635" s="74"/>
      <c r="AF3635" s="77"/>
      <c r="AH3635" s="497">
        <v>71.599999999999994</v>
      </c>
      <c r="AJ3635" s="42"/>
      <c r="AK3635" s="74"/>
      <c r="AL3635" s="77"/>
      <c r="AN3635" s="497">
        <v>78.080000000000013</v>
      </c>
      <c r="AP3635" s="42"/>
      <c r="AQ3635" s="74"/>
      <c r="AR3635" s="77"/>
      <c r="AT3635" s="497">
        <v>73.94</v>
      </c>
      <c r="AV3635" s="42"/>
      <c r="AW3635" s="74"/>
      <c r="AX3635" s="77"/>
      <c r="BA3635" s="497">
        <v>75.02</v>
      </c>
      <c r="BB3635" s="42"/>
      <c r="BC3635" s="74"/>
      <c r="BD3635" s="77"/>
      <c r="BF3635">
        <v>69.98</v>
      </c>
      <c r="BH3635" s="42"/>
      <c r="BI3635" s="74"/>
      <c r="BJ3635" s="77"/>
      <c r="BL3635" s="497">
        <v>62.06</v>
      </c>
      <c r="BN3635" s="42"/>
      <c r="BO3635" s="74"/>
      <c r="BP3635" s="77"/>
      <c r="BR3635" s="497">
        <v>78.98</v>
      </c>
      <c r="BT3635" s="42"/>
    </row>
    <row r="3636" spans="1:72" x14ac:dyDescent="0.25">
      <c r="A3636" s="90">
        <v>36311</v>
      </c>
      <c r="B3636" s="20">
        <v>0.75</v>
      </c>
      <c r="D3636">
        <v>73.94</v>
      </c>
      <c r="E3636" t="str">
        <f t="shared" si="148"/>
        <v>WEEKDAY</v>
      </c>
      <c r="F3636" t="e">
        <f t="shared" si="149"/>
        <v>#N/A</v>
      </c>
      <c r="G3636" s="74">
        <v>31928</v>
      </c>
      <c r="H3636" s="77">
        <v>0.75</v>
      </c>
      <c r="J3636">
        <v>87.080000000000013</v>
      </c>
      <c r="M3636" s="74">
        <v>34485</v>
      </c>
      <c r="N3636" s="77">
        <v>0.75</v>
      </c>
      <c r="P3636">
        <v>69.98</v>
      </c>
      <c r="S3636" s="74">
        <v>36311</v>
      </c>
      <c r="T3636" s="77">
        <v>0.75</v>
      </c>
      <c r="V3636">
        <v>71.06</v>
      </c>
      <c r="X3636" s="42"/>
      <c r="AB3636">
        <v>68.400000000000006</v>
      </c>
      <c r="AC3636">
        <v>66.02</v>
      </c>
      <c r="AE3636" s="74"/>
      <c r="AF3636" s="77"/>
      <c r="AH3636" s="497">
        <v>71.599999999999994</v>
      </c>
      <c r="AJ3636" s="42"/>
      <c r="AK3636" s="74"/>
      <c r="AL3636" s="77"/>
      <c r="AN3636" s="497">
        <v>77</v>
      </c>
      <c r="AP3636" s="42"/>
      <c r="AQ3636" s="74"/>
      <c r="AR3636" s="77"/>
      <c r="AT3636" s="497">
        <v>71.960000000000008</v>
      </c>
      <c r="AV3636" s="42"/>
      <c r="AW3636" s="74"/>
      <c r="AX3636" s="77"/>
      <c r="BA3636" s="497">
        <v>73.039999999999992</v>
      </c>
      <c r="BB3636" s="42"/>
      <c r="BC3636" s="74"/>
      <c r="BD3636" s="77"/>
      <c r="BF3636">
        <v>69.98</v>
      </c>
      <c r="BH3636" s="42"/>
      <c r="BI3636" s="74"/>
      <c r="BJ3636" s="77"/>
      <c r="BL3636" s="497">
        <v>60.980000000000004</v>
      </c>
      <c r="BN3636" s="42"/>
      <c r="BO3636" s="74"/>
      <c r="BP3636" s="77"/>
      <c r="BR3636" s="497">
        <v>77</v>
      </c>
      <c r="BT3636" s="42"/>
    </row>
    <row r="3637" spans="1:72" x14ac:dyDescent="0.25">
      <c r="A3637" s="90">
        <v>36311</v>
      </c>
      <c r="B3637" s="20">
        <v>0.79166666666666663</v>
      </c>
      <c r="D3637">
        <v>71.960000000000008</v>
      </c>
      <c r="E3637" t="str">
        <f t="shared" si="148"/>
        <v>WEEKDAY</v>
      </c>
      <c r="F3637" t="e">
        <f t="shared" si="149"/>
        <v>#N/A</v>
      </c>
      <c r="G3637" s="74">
        <v>31928</v>
      </c>
      <c r="H3637" s="77">
        <v>0.79166666666666663</v>
      </c>
      <c r="J3637">
        <v>84.92</v>
      </c>
      <c r="M3637" s="74">
        <v>34485</v>
      </c>
      <c r="N3637" s="77">
        <v>0.79166666666666663</v>
      </c>
      <c r="P3637">
        <v>68</v>
      </c>
      <c r="S3637" s="74">
        <v>36311</v>
      </c>
      <c r="T3637" s="77">
        <v>0.79166666666666663</v>
      </c>
      <c r="V3637">
        <v>69.080000000000013</v>
      </c>
      <c r="X3637" s="42"/>
      <c r="AB3637">
        <v>67.2</v>
      </c>
      <c r="AC3637">
        <v>62.96</v>
      </c>
      <c r="AE3637" s="74"/>
      <c r="AF3637" s="77"/>
      <c r="AH3637" s="497">
        <v>68</v>
      </c>
      <c r="AJ3637" s="42"/>
      <c r="AK3637" s="74"/>
      <c r="AL3637" s="77"/>
      <c r="AN3637" s="497">
        <v>73.94</v>
      </c>
      <c r="AP3637" s="42"/>
      <c r="AQ3637" s="74"/>
      <c r="AR3637" s="77"/>
      <c r="AT3637" s="497">
        <v>71.06</v>
      </c>
      <c r="AV3637" s="42"/>
      <c r="AW3637" s="74"/>
      <c r="AX3637" s="77"/>
      <c r="BA3637" s="497">
        <v>71.960000000000008</v>
      </c>
      <c r="BB3637" s="42"/>
      <c r="BC3637" s="74"/>
      <c r="BD3637" s="77"/>
      <c r="BF3637">
        <v>66.92</v>
      </c>
      <c r="BH3637" s="42"/>
      <c r="BI3637" s="74"/>
      <c r="BJ3637" s="77"/>
      <c r="BL3637" s="497">
        <v>60.980000000000004</v>
      </c>
      <c r="BN3637" s="42"/>
      <c r="BO3637" s="74"/>
      <c r="BP3637" s="77"/>
      <c r="BR3637" s="497">
        <v>75.02</v>
      </c>
      <c r="BT3637" s="42"/>
    </row>
    <row r="3638" spans="1:72" x14ac:dyDescent="0.25">
      <c r="A3638" s="90">
        <v>36311</v>
      </c>
      <c r="B3638" s="20">
        <v>0.83333333333333337</v>
      </c>
      <c r="D3638">
        <v>71.06</v>
      </c>
      <c r="E3638" t="str">
        <f t="shared" si="148"/>
        <v>WEEKDAY</v>
      </c>
      <c r="F3638" t="e">
        <f t="shared" si="149"/>
        <v>#N/A</v>
      </c>
      <c r="G3638" s="74">
        <v>31928</v>
      </c>
      <c r="H3638" s="77">
        <v>0.83333333333333337</v>
      </c>
      <c r="J3638">
        <v>84.02</v>
      </c>
      <c r="M3638" s="74">
        <v>34485</v>
      </c>
      <c r="N3638" s="77">
        <v>0.83333333333333337</v>
      </c>
      <c r="P3638">
        <v>64.94</v>
      </c>
      <c r="S3638" s="74">
        <v>36311</v>
      </c>
      <c r="T3638" s="77">
        <v>0.83333333333333337</v>
      </c>
      <c r="V3638">
        <v>68</v>
      </c>
      <c r="X3638" s="42"/>
      <c r="AB3638">
        <v>65.7</v>
      </c>
      <c r="AC3638">
        <v>55.94</v>
      </c>
      <c r="AE3638" s="74"/>
      <c r="AF3638" s="77"/>
      <c r="AH3638" s="497">
        <v>64.400000000000006</v>
      </c>
      <c r="AJ3638" s="42"/>
      <c r="AK3638" s="74"/>
      <c r="AL3638" s="77"/>
      <c r="AN3638" s="497">
        <v>69.98</v>
      </c>
      <c r="AP3638" s="42"/>
      <c r="AQ3638" s="74"/>
      <c r="AR3638" s="77"/>
      <c r="AT3638" s="497">
        <v>69.98</v>
      </c>
      <c r="AV3638" s="42"/>
      <c r="AW3638" s="74"/>
      <c r="AX3638" s="77"/>
      <c r="BA3638" s="497">
        <v>71.960000000000008</v>
      </c>
      <c r="BB3638" s="42"/>
      <c r="BC3638" s="74"/>
      <c r="BD3638" s="77"/>
      <c r="BF3638">
        <v>64.94</v>
      </c>
      <c r="BH3638" s="42"/>
      <c r="BI3638" s="74"/>
      <c r="BJ3638" s="77"/>
      <c r="BL3638" s="497">
        <v>60.980000000000004</v>
      </c>
      <c r="BN3638" s="42"/>
      <c r="BO3638" s="74"/>
      <c r="BP3638" s="77"/>
      <c r="BR3638" s="497">
        <v>71.06</v>
      </c>
      <c r="BT3638" s="42"/>
    </row>
    <row r="3639" spans="1:72" x14ac:dyDescent="0.25">
      <c r="A3639" s="90">
        <v>36311</v>
      </c>
      <c r="B3639" s="20">
        <v>0.875</v>
      </c>
      <c r="D3639">
        <v>69.98</v>
      </c>
      <c r="E3639" t="str">
        <f t="shared" si="148"/>
        <v>WEEKDAY</v>
      </c>
      <c r="F3639" t="e">
        <f t="shared" si="149"/>
        <v>#N/A</v>
      </c>
      <c r="G3639" s="74">
        <v>31928</v>
      </c>
      <c r="H3639" s="77">
        <v>0.875</v>
      </c>
      <c r="J3639">
        <v>82.039999999999992</v>
      </c>
      <c r="M3639" s="74">
        <v>34485</v>
      </c>
      <c r="N3639" s="77">
        <v>0.875</v>
      </c>
      <c r="P3639">
        <v>64.94</v>
      </c>
      <c r="S3639" s="74">
        <v>36311</v>
      </c>
      <c r="T3639" s="77">
        <v>0.875</v>
      </c>
      <c r="V3639">
        <v>69.080000000000013</v>
      </c>
      <c r="X3639" s="42"/>
      <c r="AB3639">
        <v>64.599999999999994</v>
      </c>
      <c r="AC3639">
        <v>53.06</v>
      </c>
      <c r="AE3639" s="74"/>
      <c r="AF3639" s="77"/>
      <c r="AH3639" s="497">
        <v>62.24</v>
      </c>
      <c r="AJ3639" s="42"/>
      <c r="AK3639" s="74"/>
      <c r="AL3639" s="77"/>
      <c r="AN3639" s="497">
        <v>68</v>
      </c>
      <c r="AP3639" s="42"/>
      <c r="AQ3639" s="74"/>
      <c r="AR3639" s="77"/>
      <c r="AT3639" s="497">
        <v>69.98</v>
      </c>
      <c r="AV3639" s="42"/>
      <c r="AW3639" s="74"/>
      <c r="AX3639" s="77"/>
      <c r="BA3639" s="497">
        <v>69.080000000000013</v>
      </c>
      <c r="BB3639" s="42"/>
      <c r="BC3639" s="74"/>
      <c r="BD3639" s="77"/>
      <c r="BF3639">
        <v>64.039999999999992</v>
      </c>
      <c r="BH3639" s="42"/>
      <c r="BI3639" s="74"/>
      <c r="BJ3639" s="77"/>
      <c r="BL3639" s="497">
        <v>60.08</v>
      </c>
      <c r="BN3639" s="42"/>
      <c r="BO3639" s="74"/>
      <c r="BP3639" s="77"/>
      <c r="BR3639" s="497">
        <v>69.98</v>
      </c>
      <c r="BT3639" s="42"/>
    </row>
    <row r="3640" spans="1:72" x14ac:dyDescent="0.25">
      <c r="A3640" s="90">
        <v>36311</v>
      </c>
      <c r="B3640" s="20">
        <v>0.91666666666666663</v>
      </c>
      <c r="D3640">
        <v>68.180000000000007</v>
      </c>
      <c r="E3640" t="str">
        <f t="shared" si="148"/>
        <v>WEEKDAY</v>
      </c>
      <c r="F3640" t="e">
        <f t="shared" si="149"/>
        <v>#N/A</v>
      </c>
      <c r="G3640" s="74">
        <v>31928</v>
      </c>
      <c r="H3640" s="77">
        <v>0.91666666666666663</v>
      </c>
      <c r="J3640">
        <v>79.16</v>
      </c>
      <c r="M3640" s="74">
        <v>34485</v>
      </c>
      <c r="N3640" s="77">
        <v>0.91666666666666663</v>
      </c>
      <c r="P3640">
        <v>63.86</v>
      </c>
      <c r="S3640" s="74">
        <v>36311</v>
      </c>
      <c r="T3640" s="77">
        <v>0.91666666666666663</v>
      </c>
      <c r="V3640">
        <v>67.819999999999993</v>
      </c>
      <c r="X3640" s="42"/>
      <c r="AB3640">
        <v>64</v>
      </c>
      <c r="AC3640">
        <v>54.32</v>
      </c>
      <c r="AE3640" s="74"/>
      <c r="AF3640" s="77"/>
      <c r="AH3640" s="497">
        <v>61.34</v>
      </c>
      <c r="AJ3640" s="42"/>
      <c r="AK3640" s="74"/>
      <c r="AL3640" s="77"/>
      <c r="AN3640" s="497">
        <v>66.92</v>
      </c>
      <c r="AP3640" s="42"/>
      <c r="AQ3640" s="74"/>
      <c r="AR3640" s="77"/>
      <c r="AT3640" s="497">
        <v>68.72</v>
      </c>
      <c r="AV3640" s="42"/>
      <c r="AW3640" s="74"/>
      <c r="AX3640" s="77"/>
      <c r="BA3640" s="497">
        <v>66.38</v>
      </c>
      <c r="BB3640" s="42"/>
      <c r="BC3640" s="74"/>
      <c r="BD3640" s="77"/>
      <c r="BF3640">
        <v>63.680000000000007</v>
      </c>
      <c r="BH3640" s="42"/>
      <c r="BI3640" s="74"/>
      <c r="BJ3640" s="77"/>
      <c r="BL3640" s="497">
        <v>59.72</v>
      </c>
      <c r="BN3640" s="42"/>
      <c r="BO3640" s="74"/>
      <c r="BP3640" s="77"/>
      <c r="BR3640" s="497">
        <v>66.56</v>
      </c>
      <c r="BT3640" s="42"/>
    </row>
    <row r="3641" spans="1:72" x14ac:dyDescent="0.25">
      <c r="A3641" s="90">
        <v>36311</v>
      </c>
      <c r="B3641" s="20">
        <v>0.95833333333333337</v>
      </c>
      <c r="D3641">
        <v>66.2</v>
      </c>
      <c r="E3641" t="str">
        <f t="shared" si="148"/>
        <v>WEEKDAY</v>
      </c>
      <c r="F3641" t="e">
        <f t="shared" si="149"/>
        <v>#N/A</v>
      </c>
      <c r="G3641" s="74">
        <v>31928</v>
      </c>
      <c r="H3641" s="77">
        <v>0.95833333333333337</v>
      </c>
      <c r="J3641">
        <v>76.28</v>
      </c>
      <c r="M3641" s="74">
        <v>34485</v>
      </c>
      <c r="N3641" s="77">
        <v>0.95833333333333337</v>
      </c>
      <c r="P3641">
        <v>62.78</v>
      </c>
      <c r="S3641" s="74">
        <v>36311</v>
      </c>
      <c r="T3641" s="77">
        <v>0.95833333333333337</v>
      </c>
      <c r="V3641">
        <v>66.56</v>
      </c>
      <c r="X3641" s="42"/>
      <c r="AB3641">
        <v>63.4</v>
      </c>
      <c r="AC3641">
        <v>55.58</v>
      </c>
      <c r="AE3641" s="74"/>
      <c r="AF3641" s="77"/>
      <c r="AH3641" s="497">
        <v>60.26</v>
      </c>
      <c r="AJ3641" s="42"/>
      <c r="AK3641" s="74"/>
      <c r="AL3641" s="77"/>
      <c r="AN3641" s="497">
        <v>66.02</v>
      </c>
      <c r="AP3641" s="42"/>
      <c r="AQ3641" s="74"/>
      <c r="AR3641" s="77"/>
      <c r="AT3641" s="497">
        <v>67.460000000000008</v>
      </c>
      <c r="AV3641" s="42"/>
      <c r="AW3641" s="74"/>
      <c r="AX3641" s="77"/>
      <c r="BA3641" s="497">
        <v>63.680000000000007</v>
      </c>
      <c r="BB3641" s="42"/>
      <c r="BC3641" s="74"/>
      <c r="BD3641" s="77"/>
      <c r="BF3641">
        <v>63.14</v>
      </c>
      <c r="BH3641" s="42"/>
      <c r="BI3641" s="74"/>
      <c r="BJ3641" s="77"/>
      <c r="BL3641" s="497">
        <v>59.540000000000006</v>
      </c>
      <c r="BN3641" s="42"/>
      <c r="BO3641" s="74"/>
      <c r="BP3641" s="77"/>
      <c r="BR3641" s="497">
        <v>63.14</v>
      </c>
      <c r="BT3641" s="42"/>
    </row>
    <row r="3642" spans="1:72" x14ac:dyDescent="0.25">
      <c r="A3642" s="90">
        <v>36311</v>
      </c>
      <c r="B3642" s="20">
        <v>1</v>
      </c>
      <c r="D3642">
        <v>64.400000000000006</v>
      </c>
      <c r="E3642" t="str">
        <f t="shared" si="148"/>
        <v>WEEKDAY</v>
      </c>
      <c r="F3642" t="e">
        <f t="shared" si="149"/>
        <v>#N/A</v>
      </c>
      <c r="G3642" s="74">
        <v>31928</v>
      </c>
      <c r="H3642" s="77">
        <v>1</v>
      </c>
      <c r="J3642">
        <v>73.400000000000006</v>
      </c>
      <c r="M3642" s="74">
        <v>34485</v>
      </c>
      <c r="N3642" s="80">
        <v>1</v>
      </c>
      <c r="P3642">
        <v>61.7</v>
      </c>
      <c r="S3642" s="74">
        <v>36311</v>
      </c>
      <c r="T3642" s="80">
        <v>1</v>
      </c>
      <c r="V3642">
        <v>65.300000000000011</v>
      </c>
      <c r="X3642" s="42"/>
      <c r="AB3642">
        <v>62.8</v>
      </c>
      <c r="AC3642">
        <v>56.84</v>
      </c>
      <c r="AE3642" s="74"/>
      <c r="AF3642" s="80"/>
      <c r="AH3642" s="497">
        <v>59.36</v>
      </c>
      <c r="AJ3642" s="42"/>
      <c r="AK3642" s="74"/>
      <c r="AL3642" s="80"/>
      <c r="AN3642" s="497">
        <v>64.94</v>
      </c>
      <c r="AP3642" s="42"/>
      <c r="AQ3642" s="74"/>
      <c r="AR3642" s="80"/>
      <c r="AT3642" s="497">
        <v>66.2</v>
      </c>
      <c r="AV3642" s="42"/>
      <c r="AW3642" s="74"/>
      <c r="AX3642" s="80"/>
      <c r="BA3642" s="497">
        <v>60.980000000000004</v>
      </c>
      <c r="BB3642" s="42"/>
      <c r="BC3642" s="74"/>
      <c r="BD3642" s="80"/>
      <c r="BF3642">
        <v>62.78</v>
      </c>
      <c r="BH3642" s="42"/>
      <c r="BI3642" s="74"/>
      <c r="BJ3642" s="80"/>
      <c r="BL3642" s="497">
        <v>59.18</v>
      </c>
      <c r="BN3642" s="42"/>
      <c r="BO3642" s="74"/>
      <c r="BP3642" s="80"/>
      <c r="BR3642" s="497">
        <v>59.72</v>
      </c>
      <c r="BT3642" s="42"/>
    </row>
    <row r="3643" spans="1:72" x14ac:dyDescent="0.25">
      <c r="A3643" s="90">
        <v>34486</v>
      </c>
      <c r="B3643" s="20">
        <v>4.1666666666666664E-2</v>
      </c>
      <c r="D3643">
        <v>62.6</v>
      </c>
      <c r="E3643" t="str">
        <f t="shared" si="148"/>
        <v>WEEKDAY</v>
      </c>
      <c r="F3643" t="e">
        <f t="shared" si="149"/>
        <v>#N/A</v>
      </c>
      <c r="G3643" s="74">
        <v>33025</v>
      </c>
      <c r="H3643" s="77">
        <v>4.1666666666666664E-2</v>
      </c>
      <c r="J3643">
        <v>70.7</v>
      </c>
      <c r="M3643" s="74">
        <v>37773</v>
      </c>
      <c r="N3643" s="77">
        <v>4.1666666666666664E-2</v>
      </c>
      <c r="P3643">
        <v>60.44</v>
      </c>
      <c r="S3643" s="74">
        <v>34486</v>
      </c>
      <c r="T3643" s="77">
        <v>4.1666666666666664E-2</v>
      </c>
      <c r="V3643">
        <v>63.86</v>
      </c>
      <c r="X3643" s="42"/>
      <c r="AB3643">
        <v>62.2</v>
      </c>
      <c r="AC3643">
        <v>58.28</v>
      </c>
      <c r="AE3643" s="74"/>
      <c r="AF3643" s="77"/>
      <c r="AH3643" s="497">
        <v>58.28</v>
      </c>
      <c r="AJ3643" s="42"/>
      <c r="AK3643" s="74"/>
      <c r="AL3643" s="77"/>
      <c r="AN3643" s="497">
        <v>64.039999999999992</v>
      </c>
      <c r="AP3643" s="42"/>
      <c r="AQ3643" s="74"/>
      <c r="AR3643" s="77"/>
      <c r="AT3643" s="497">
        <v>64.759999999999991</v>
      </c>
      <c r="AV3643" s="42"/>
      <c r="AW3643" s="74"/>
      <c r="AX3643" s="77"/>
      <c r="BA3643" s="497">
        <v>58.1</v>
      </c>
      <c r="BB3643" s="42"/>
      <c r="BC3643" s="74"/>
      <c r="BD3643" s="77"/>
      <c r="BF3643">
        <v>62.24</v>
      </c>
      <c r="BH3643" s="42"/>
      <c r="BI3643" s="74"/>
      <c r="BJ3643" s="77"/>
      <c r="BL3643" s="497">
        <v>58.82</v>
      </c>
      <c r="BN3643" s="42"/>
      <c r="BO3643" s="74"/>
      <c r="BP3643" s="77"/>
      <c r="BR3643" s="497">
        <v>56.3</v>
      </c>
      <c r="BT3643" s="42"/>
    </row>
    <row r="3644" spans="1:72" x14ac:dyDescent="0.25">
      <c r="A3644" s="90">
        <v>34486</v>
      </c>
      <c r="B3644" s="20">
        <v>8.3333333333333329E-2</v>
      </c>
      <c r="D3644">
        <v>60.8</v>
      </c>
      <c r="E3644" t="str">
        <f t="shared" si="148"/>
        <v>WEEKDAY</v>
      </c>
      <c r="F3644" t="e">
        <f t="shared" si="149"/>
        <v>#N/A</v>
      </c>
      <c r="G3644" s="74">
        <v>33025</v>
      </c>
      <c r="H3644" s="77">
        <v>8.3333333333333329E-2</v>
      </c>
      <c r="J3644">
        <v>67.819999999999993</v>
      </c>
      <c r="M3644" s="74">
        <v>37773</v>
      </c>
      <c r="N3644" s="77">
        <v>8.3333333333333329E-2</v>
      </c>
      <c r="P3644">
        <v>59.36</v>
      </c>
      <c r="S3644" s="74">
        <v>34486</v>
      </c>
      <c r="T3644" s="77">
        <v>8.3333333333333329E-2</v>
      </c>
      <c r="V3644">
        <v>62.6</v>
      </c>
      <c r="X3644" s="42"/>
      <c r="AB3644">
        <v>61.7</v>
      </c>
      <c r="AC3644">
        <v>59.540000000000006</v>
      </c>
      <c r="AE3644" s="74"/>
      <c r="AF3644" s="77"/>
      <c r="AH3644" s="497">
        <v>57.379999999999995</v>
      </c>
      <c r="AJ3644" s="42"/>
      <c r="AK3644" s="74"/>
      <c r="AL3644" s="77"/>
      <c r="AN3644" s="497">
        <v>62.96</v>
      </c>
      <c r="AP3644" s="42"/>
      <c r="AQ3644" s="74"/>
      <c r="AR3644" s="77"/>
      <c r="AT3644" s="497">
        <v>63.5</v>
      </c>
      <c r="AV3644" s="42"/>
      <c r="AW3644" s="74"/>
      <c r="AX3644" s="77"/>
      <c r="BA3644" s="497">
        <v>55.400000000000006</v>
      </c>
      <c r="BB3644" s="42"/>
      <c r="BC3644" s="74"/>
      <c r="BD3644" s="77"/>
      <c r="BF3644">
        <v>61.88</v>
      </c>
      <c r="BH3644" s="42"/>
      <c r="BI3644" s="74"/>
      <c r="BJ3644" s="77"/>
      <c r="BL3644" s="497">
        <v>58.46</v>
      </c>
      <c r="BN3644" s="42"/>
      <c r="BO3644" s="74"/>
      <c r="BP3644" s="77"/>
      <c r="BR3644" s="497">
        <v>52.879999999999995</v>
      </c>
      <c r="BT3644" s="42"/>
    </row>
    <row r="3645" spans="1:72" x14ac:dyDescent="0.25">
      <c r="A3645" s="90">
        <v>34486</v>
      </c>
      <c r="B3645" s="20">
        <v>0.125</v>
      </c>
      <c r="D3645">
        <v>58.82</v>
      </c>
      <c r="E3645" t="str">
        <f t="shared" si="148"/>
        <v>WEEKDAY</v>
      </c>
      <c r="F3645" t="e">
        <f t="shared" si="149"/>
        <v>#N/A</v>
      </c>
      <c r="G3645" s="74">
        <v>33025</v>
      </c>
      <c r="H3645" s="77">
        <v>0.125</v>
      </c>
      <c r="J3645">
        <v>64.94</v>
      </c>
      <c r="M3645" s="74">
        <v>37773</v>
      </c>
      <c r="N3645" s="77">
        <v>0.125</v>
      </c>
      <c r="P3645">
        <v>58.28</v>
      </c>
      <c r="S3645" s="74">
        <v>34486</v>
      </c>
      <c r="T3645" s="77">
        <v>0.125</v>
      </c>
      <c r="V3645">
        <v>61.34</v>
      </c>
      <c r="X3645" s="42"/>
      <c r="AB3645">
        <v>61.1</v>
      </c>
      <c r="AC3645">
        <v>60.8</v>
      </c>
      <c r="AE3645" s="74"/>
      <c r="AF3645" s="77"/>
      <c r="AH3645" s="497">
        <v>56.3</v>
      </c>
      <c r="AJ3645" s="42"/>
      <c r="AK3645" s="74"/>
      <c r="AL3645" s="77"/>
      <c r="AN3645" s="497">
        <v>62.06</v>
      </c>
      <c r="AP3645" s="42"/>
      <c r="AQ3645" s="74"/>
      <c r="AR3645" s="77"/>
      <c r="AT3645" s="497">
        <v>62.24</v>
      </c>
      <c r="AV3645" s="42"/>
      <c r="AW3645" s="74"/>
      <c r="AX3645" s="77"/>
      <c r="BA3645" s="497">
        <v>52.7</v>
      </c>
      <c r="BB3645" s="42"/>
      <c r="BC3645" s="74"/>
      <c r="BD3645" s="77"/>
      <c r="BF3645">
        <v>61.34</v>
      </c>
      <c r="BH3645" s="42"/>
      <c r="BI3645" s="74"/>
      <c r="BJ3645" s="77"/>
      <c r="BL3645" s="497">
        <v>58.28</v>
      </c>
      <c r="BN3645" s="42"/>
      <c r="BO3645" s="74"/>
      <c r="BP3645" s="77"/>
      <c r="BR3645" s="497">
        <v>49.46</v>
      </c>
      <c r="BT3645" s="42"/>
    </row>
    <row r="3646" spans="1:72" x14ac:dyDescent="0.25">
      <c r="A3646" s="90">
        <v>34486</v>
      </c>
      <c r="B3646" s="20">
        <v>0.16666666666666666</v>
      </c>
      <c r="D3646">
        <v>57.019999999999996</v>
      </c>
      <c r="E3646" t="str">
        <f t="shared" si="148"/>
        <v>WEEKDAY</v>
      </c>
      <c r="F3646" t="e">
        <f t="shared" si="149"/>
        <v>#N/A</v>
      </c>
      <c r="G3646" s="74">
        <v>33025</v>
      </c>
      <c r="H3646" s="77">
        <v>0.16666666666666666</v>
      </c>
      <c r="J3646">
        <v>62.06</v>
      </c>
      <c r="M3646" s="74">
        <v>37773</v>
      </c>
      <c r="N3646" s="77">
        <v>0.16666666666666666</v>
      </c>
      <c r="P3646">
        <v>57.2</v>
      </c>
      <c r="S3646" s="74">
        <v>34486</v>
      </c>
      <c r="T3646" s="77">
        <v>0.16666666666666666</v>
      </c>
      <c r="V3646">
        <v>60.08</v>
      </c>
      <c r="X3646" s="42"/>
      <c r="AB3646">
        <v>60.6</v>
      </c>
      <c r="AC3646">
        <v>62.06</v>
      </c>
      <c r="AE3646" s="74"/>
      <c r="AF3646" s="77"/>
      <c r="AH3646" s="497">
        <v>55.400000000000006</v>
      </c>
      <c r="AJ3646" s="42"/>
      <c r="AK3646" s="74"/>
      <c r="AL3646" s="77"/>
      <c r="AN3646" s="497">
        <v>60.980000000000004</v>
      </c>
      <c r="AP3646" s="42"/>
      <c r="AQ3646" s="74"/>
      <c r="AR3646" s="77"/>
      <c r="AT3646" s="497">
        <v>60.980000000000004</v>
      </c>
      <c r="AV3646" s="42"/>
      <c r="AW3646" s="74"/>
      <c r="AX3646" s="77"/>
      <c r="BA3646" s="497">
        <v>50</v>
      </c>
      <c r="BB3646" s="42"/>
      <c r="BC3646" s="74"/>
      <c r="BD3646" s="77"/>
      <c r="BF3646">
        <v>60.980000000000004</v>
      </c>
      <c r="BH3646" s="42"/>
      <c r="BI3646" s="74"/>
      <c r="BJ3646" s="77"/>
      <c r="BL3646" s="497">
        <v>57.92</v>
      </c>
      <c r="BN3646" s="42"/>
      <c r="BO3646" s="74"/>
      <c r="BP3646" s="77"/>
      <c r="BR3646" s="497">
        <v>46.04</v>
      </c>
      <c r="BT3646" s="42"/>
    </row>
    <row r="3647" spans="1:72" x14ac:dyDescent="0.25">
      <c r="A3647" s="90">
        <v>34486</v>
      </c>
      <c r="B3647" s="20">
        <v>0.20833333333333334</v>
      </c>
      <c r="D3647">
        <v>57.019999999999996</v>
      </c>
      <c r="E3647" t="str">
        <f t="shared" si="148"/>
        <v>WEEKDAY</v>
      </c>
      <c r="F3647" t="e">
        <f t="shared" si="149"/>
        <v>#N/A</v>
      </c>
      <c r="G3647" s="74">
        <v>33025</v>
      </c>
      <c r="H3647" s="77">
        <v>0.20833333333333334</v>
      </c>
      <c r="J3647">
        <v>60.980000000000004</v>
      </c>
      <c r="M3647" s="74">
        <v>37773</v>
      </c>
      <c r="N3647" s="77">
        <v>0.20833333333333334</v>
      </c>
      <c r="P3647">
        <v>55.400000000000006</v>
      </c>
      <c r="S3647" s="74">
        <v>34486</v>
      </c>
      <c r="T3647" s="77">
        <v>0.20833333333333334</v>
      </c>
      <c r="V3647">
        <v>59</v>
      </c>
      <c r="X3647" s="42"/>
      <c r="AB3647">
        <v>60.3</v>
      </c>
      <c r="AC3647">
        <v>60.980000000000004</v>
      </c>
      <c r="AE3647" s="74"/>
      <c r="AF3647" s="77"/>
      <c r="AH3647" s="497">
        <v>55.400000000000006</v>
      </c>
      <c r="AJ3647" s="42"/>
      <c r="AK3647" s="74"/>
      <c r="AL3647" s="77"/>
      <c r="AN3647" s="497">
        <v>60.08</v>
      </c>
      <c r="AP3647" s="42"/>
      <c r="AQ3647" s="74"/>
      <c r="AR3647" s="77"/>
      <c r="AT3647" s="497">
        <v>60.08</v>
      </c>
      <c r="AV3647" s="42"/>
      <c r="AW3647" s="74"/>
      <c r="AX3647" s="77"/>
      <c r="BA3647" s="497">
        <v>51.980000000000004</v>
      </c>
      <c r="BB3647" s="42"/>
      <c r="BC3647" s="74"/>
      <c r="BD3647" s="77"/>
      <c r="BF3647">
        <v>60.08</v>
      </c>
      <c r="BH3647" s="42"/>
      <c r="BI3647" s="74"/>
      <c r="BJ3647" s="77"/>
      <c r="BL3647" s="497">
        <v>55.94</v>
      </c>
      <c r="BN3647" s="42"/>
      <c r="BO3647" s="74"/>
      <c r="BP3647" s="77"/>
      <c r="BR3647" s="497">
        <v>44.96</v>
      </c>
      <c r="BT3647" s="42"/>
    </row>
    <row r="3648" spans="1:72" x14ac:dyDescent="0.25">
      <c r="A3648" s="90">
        <v>34486</v>
      </c>
      <c r="B3648" s="20">
        <v>0.25</v>
      </c>
      <c r="D3648">
        <v>55.94</v>
      </c>
      <c r="E3648" t="str">
        <f t="shared" si="148"/>
        <v>WEEKDAY</v>
      </c>
      <c r="F3648" t="e">
        <f t="shared" si="149"/>
        <v>#N/A</v>
      </c>
      <c r="G3648" s="74">
        <v>33025</v>
      </c>
      <c r="H3648" s="77">
        <v>0.25</v>
      </c>
      <c r="J3648">
        <v>64.039999999999992</v>
      </c>
      <c r="M3648" s="74">
        <v>37773</v>
      </c>
      <c r="N3648" s="77">
        <v>0.25</v>
      </c>
      <c r="P3648">
        <v>57.2</v>
      </c>
      <c r="S3648" s="74">
        <v>34486</v>
      </c>
      <c r="T3648" s="77">
        <v>0.25</v>
      </c>
      <c r="V3648">
        <v>60.980000000000004</v>
      </c>
      <c r="X3648" s="42"/>
      <c r="AB3648">
        <v>60.1</v>
      </c>
      <c r="AC3648">
        <v>62.96</v>
      </c>
      <c r="AE3648" s="74"/>
      <c r="AF3648" s="77"/>
      <c r="AH3648" s="497">
        <v>62.6</v>
      </c>
      <c r="AJ3648" s="42"/>
      <c r="AK3648" s="74"/>
      <c r="AL3648" s="77"/>
      <c r="AN3648" s="497">
        <v>60.08</v>
      </c>
      <c r="AP3648" s="42"/>
      <c r="AQ3648" s="74"/>
      <c r="AR3648" s="77"/>
      <c r="AT3648" s="497">
        <v>60.980000000000004</v>
      </c>
      <c r="AV3648" s="42"/>
      <c r="AW3648" s="74"/>
      <c r="AX3648" s="77"/>
      <c r="BA3648" s="497">
        <v>53.96</v>
      </c>
      <c r="BB3648" s="42"/>
      <c r="BC3648" s="74"/>
      <c r="BD3648" s="77"/>
      <c r="BF3648">
        <v>60.08</v>
      </c>
      <c r="BH3648" s="42"/>
      <c r="BI3648" s="74"/>
      <c r="BJ3648" s="77"/>
      <c r="BL3648" s="497">
        <v>57.019999999999996</v>
      </c>
      <c r="BN3648" s="42"/>
      <c r="BO3648" s="74"/>
      <c r="BP3648" s="77"/>
      <c r="BR3648" s="497">
        <v>51.980000000000004</v>
      </c>
      <c r="BT3648" s="42"/>
    </row>
    <row r="3649" spans="1:72" x14ac:dyDescent="0.25">
      <c r="A3649" s="90">
        <v>34486</v>
      </c>
      <c r="B3649" s="20">
        <v>0.29166666666666669</v>
      </c>
      <c r="D3649">
        <v>57.019999999999996</v>
      </c>
      <c r="E3649" t="str">
        <f t="shared" si="148"/>
        <v>WEEKDAY</v>
      </c>
      <c r="F3649" t="e">
        <f t="shared" si="149"/>
        <v>#N/A</v>
      </c>
      <c r="G3649" s="74">
        <v>33025</v>
      </c>
      <c r="H3649" s="77">
        <v>0.29166666666666669</v>
      </c>
      <c r="J3649">
        <v>66.02</v>
      </c>
      <c r="M3649" s="74">
        <v>37773</v>
      </c>
      <c r="N3649" s="77">
        <v>0.29166666666666669</v>
      </c>
      <c r="P3649">
        <v>57.2</v>
      </c>
      <c r="S3649" s="74">
        <v>34486</v>
      </c>
      <c r="T3649" s="77">
        <v>0.29166666666666669</v>
      </c>
      <c r="V3649">
        <v>64.039999999999992</v>
      </c>
      <c r="X3649" s="42"/>
      <c r="AB3649">
        <v>61.7</v>
      </c>
      <c r="AC3649">
        <v>64.039999999999992</v>
      </c>
      <c r="AE3649" s="74"/>
      <c r="AF3649" s="77"/>
      <c r="AH3649" s="497">
        <v>66.2</v>
      </c>
      <c r="AJ3649" s="42"/>
      <c r="AK3649" s="74"/>
      <c r="AL3649" s="77"/>
      <c r="AN3649" s="497">
        <v>60.980000000000004</v>
      </c>
      <c r="AP3649" s="42"/>
      <c r="AQ3649" s="74"/>
      <c r="AR3649" s="77"/>
      <c r="AT3649" s="497">
        <v>62.96</v>
      </c>
      <c r="AV3649" s="42"/>
      <c r="AW3649" s="74"/>
      <c r="AX3649" s="77"/>
      <c r="BA3649" s="497">
        <v>55.94</v>
      </c>
      <c r="BB3649" s="42"/>
      <c r="BC3649" s="74"/>
      <c r="BD3649" s="77"/>
      <c r="BF3649">
        <v>60.980000000000004</v>
      </c>
      <c r="BH3649" s="42"/>
      <c r="BI3649" s="74"/>
      <c r="BJ3649" s="77"/>
      <c r="BL3649" s="497">
        <v>60.980000000000004</v>
      </c>
      <c r="BN3649" s="42"/>
      <c r="BO3649" s="74"/>
      <c r="BP3649" s="77"/>
      <c r="BR3649" s="497">
        <v>55.94</v>
      </c>
      <c r="BT3649" s="42"/>
    </row>
    <row r="3650" spans="1:72" x14ac:dyDescent="0.25">
      <c r="A3650" s="90">
        <v>34486</v>
      </c>
      <c r="B3650" s="20">
        <v>0.33333333333333331</v>
      </c>
      <c r="D3650">
        <v>57.019999999999996</v>
      </c>
      <c r="E3650" t="str">
        <f t="shared" si="148"/>
        <v>WEEKDAY</v>
      </c>
      <c r="F3650" t="e">
        <f t="shared" si="149"/>
        <v>#N/A</v>
      </c>
      <c r="G3650" s="74">
        <v>33025</v>
      </c>
      <c r="H3650" s="77">
        <v>0.33333333333333331</v>
      </c>
      <c r="J3650">
        <v>69.080000000000013</v>
      </c>
      <c r="M3650" s="74">
        <v>37773</v>
      </c>
      <c r="N3650" s="77">
        <v>0.33333333333333331</v>
      </c>
      <c r="P3650">
        <v>59</v>
      </c>
      <c r="S3650" s="74">
        <v>34486</v>
      </c>
      <c r="T3650" s="77">
        <v>0.33333333333333331</v>
      </c>
      <c r="V3650">
        <v>66.92</v>
      </c>
      <c r="X3650" s="42"/>
      <c r="AB3650">
        <v>63.6</v>
      </c>
      <c r="AC3650">
        <v>66.02</v>
      </c>
      <c r="AE3650" s="74"/>
      <c r="AF3650" s="77"/>
      <c r="AH3650" s="497">
        <v>68</v>
      </c>
      <c r="AJ3650" s="42"/>
      <c r="AK3650" s="74"/>
      <c r="AL3650" s="77"/>
      <c r="AN3650" s="497">
        <v>64.039999999999992</v>
      </c>
      <c r="AP3650" s="42"/>
      <c r="AQ3650" s="74"/>
      <c r="AR3650" s="77"/>
      <c r="AT3650" s="497">
        <v>66.02</v>
      </c>
      <c r="AV3650" s="42"/>
      <c r="AW3650" s="74"/>
      <c r="AX3650" s="77"/>
      <c r="BA3650" s="497">
        <v>61.7</v>
      </c>
      <c r="BB3650" s="42"/>
      <c r="BC3650" s="74"/>
      <c r="BD3650" s="77"/>
      <c r="BF3650">
        <v>62.06</v>
      </c>
      <c r="BH3650" s="42"/>
      <c r="BI3650" s="74"/>
      <c r="BJ3650" s="77"/>
      <c r="BL3650" s="497">
        <v>66.92</v>
      </c>
      <c r="BN3650" s="42"/>
      <c r="BO3650" s="74"/>
      <c r="BP3650" s="77"/>
      <c r="BR3650" s="497">
        <v>60.08</v>
      </c>
      <c r="BT3650" s="42"/>
    </row>
    <row r="3651" spans="1:72" x14ac:dyDescent="0.25">
      <c r="A3651" s="90">
        <v>34486</v>
      </c>
      <c r="B3651" s="20">
        <v>0.375</v>
      </c>
      <c r="D3651">
        <v>57.019999999999996</v>
      </c>
      <c r="E3651" t="str">
        <f t="shared" si="148"/>
        <v>WEEKDAY</v>
      </c>
      <c r="F3651" t="e">
        <f t="shared" si="149"/>
        <v>#N/A</v>
      </c>
      <c r="G3651" s="74">
        <v>33025</v>
      </c>
      <c r="H3651" s="77">
        <v>0.375</v>
      </c>
      <c r="J3651">
        <v>71.06</v>
      </c>
      <c r="M3651" s="74">
        <v>37773</v>
      </c>
      <c r="N3651" s="77">
        <v>0.375</v>
      </c>
      <c r="P3651">
        <v>60.8</v>
      </c>
      <c r="S3651" s="74">
        <v>34486</v>
      </c>
      <c r="T3651" s="77">
        <v>0.375</v>
      </c>
      <c r="V3651">
        <v>64.039999999999992</v>
      </c>
      <c r="X3651" s="42"/>
      <c r="AB3651">
        <v>65.599999999999994</v>
      </c>
      <c r="AC3651">
        <v>69.98</v>
      </c>
      <c r="AE3651" s="74"/>
      <c r="AF3651" s="77"/>
      <c r="AH3651" s="497">
        <v>71.599999999999994</v>
      </c>
      <c r="AJ3651" s="42"/>
      <c r="AK3651" s="74"/>
      <c r="AL3651" s="77"/>
      <c r="AN3651" s="497">
        <v>66.92</v>
      </c>
      <c r="AP3651" s="42"/>
      <c r="AQ3651" s="74"/>
      <c r="AR3651" s="77"/>
      <c r="AT3651" s="497">
        <v>71.960000000000008</v>
      </c>
      <c r="AV3651" s="42"/>
      <c r="AW3651" s="74"/>
      <c r="AX3651" s="77"/>
      <c r="BA3651" s="497">
        <v>67.28</v>
      </c>
      <c r="BB3651" s="42"/>
      <c r="BC3651" s="74"/>
      <c r="BD3651" s="77"/>
      <c r="BF3651">
        <v>62.06</v>
      </c>
      <c r="BH3651" s="42"/>
      <c r="BI3651" s="74"/>
      <c r="BJ3651" s="77"/>
      <c r="BL3651" s="497">
        <v>71.06</v>
      </c>
      <c r="BN3651" s="42"/>
      <c r="BO3651" s="74"/>
      <c r="BP3651" s="77"/>
      <c r="BR3651" s="497">
        <v>62.96</v>
      </c>
      <c r="BT3651" s="42"/>
    </row>
    <row r="3652" spans="1:72" x14ac:dyDescent="0.25">
      <c r="A3652" s="90">
        <v>34486</v>
      </c>
      <c r="B3652" s="20">
        <v>0.41666666666666669</v>
      </c>
      <c r="D3652">
        <v>59</v>
      </c>
      <c r="E3652" t="str">
        <f t="shared" si="148"/>
        <v>WEEKDAY</v>
      </c>
      <c r="F3652" t="e">
        <f t="shared" si="149"/>
        <v>#N/A</v>
      </c>
      <c r="G3652" s="74">
        <v>33025</v>
      </c>
      <c r="H3652" s="77">
        <v>0.41666666666666669</v>
      </c>
      <c r="J3652">
        <v>73.94</v>
      </c>
      <c r="M3652" s="74">
        <v>37773</v>
      </c>
      <c r="N3652" s="77">
        <v>0.41666666666666669</v>
      </c>
      <c r="P3652">
        <v>60.8</v>
      </c>
      <c r="S3652" s="74">
        <v>34486</v>
      </c>
      <c r="T3652" s="77">
        <v>0.41666666666666669</v>
      </c>
      <c r="V3652">
        <v>71.06</v>
      </c>
      <c r="X3652" s="42"/>
      <c r="AB3652">
        <v>67.3</v>
      </c>
      <c r="AC3652">
        <v>66.92</v>
      </c>
      <c r="AE3652" s="74"/>
      <c r="AF3652" s="77"/>
      <c r="AH3652" s="497">
        <v>77</v>
      </c>
      <c r="AJ3652" s="42"/>
      <c r="AK3652" s="74"/>
      <c r="AL3652" s="77"/>
      <c r="AN3652" s="497">
        <v>69.080000000000013</v>
      </c>
      <c r="AP3652" s="42"/>
      <c r="AQ3652" s="74"/>
      <c r="AR3652" s="77"/>
      <c r="AT3652" s="497">
        <v>75.92</v>
      </c>
      <c r="AV3652" s="42"/>
      <c r="AW3652" s="74"/>
      <c r="AX3652" s="77"/>
      <c r="BA3652" s="497">
        <v>73.039999999999992</v>
      </c>
      <c r="BB3652" s="42"/>
      <c r="BC3652" s="74"/>
      <c r="BD3652" s="77"/>
      <c r="BF3652">
        <v>64.94</v>
      </c>
      <c r="BH3652" s="42"/>
      <c r="BI3652" s="74"/>
      <c r="BJ3652" s="77"/>
      <c r="BL3652" s="497">
        <v>73.94</v>
      </c>
      <c r="BN3652" s="42"/>
      <c r="BO3652" s="74"/>
      <c r="BP3652" s="77"/>
      <c r="BR3652" s="497">
        <v>64.039999999999992</v>
      </c>
      <c r="BT3652" s="42"/>
    </row>
    <row r="3653" spans="1:72" x14ac:dyDescent="0.25">
      <c r="A3653" s="90">
        <v>34486</v>
      </c>
      <c r="B3653" s="20">
        <v>0.45833333333333331</v>
      </c>
      <c r="D3653">
        <v>60.980000000000004</v>
      </c>
      <c r="E3653" t="str">
        <f t="shared" si="148"/>
        <v>WEEKDAY</v>
      </c>
      <c r="F3653" t="e">
        <f t="shared" si="149"/>
        <v>#N/A</v>
      </c>
      <c r="G3653" s="74">
        <v>33025</v>
      </c>
      <c r="H3653" s="77">
        <v>0.45833333333333331</v>
      </c>
      <c r="J3653">
        <v>77</v>
      </c>
      <c r="M3653" s="74">
        <v>37773</v>
      </c>
      <c r="N3653" s="77">
        <v>0.45833333333333331</v>
      </c>
      <c r="P3653">
        <v>62.6</v>
      </c>
      <c r="S3653" s="74">
        <v>34486</v>
      </c>
      <c r="T3653" s="77">
        <v>0.45833333333333331</v>
      </c>
      <c r="V3653">
        <v>75.02</v>
      </c>
      <c r="X3653" s="42"/>
      <c r="AB3653">
        <v>68.900000000000006</v>
      </c>
      <c r="AC3653">
        <v>69.98</v>
      </c>
      <c r="AE3653" s="74"/>
      <c r="AF3653" s="77"/>
      <c r="AH3653" s="497">
        <v>75.2</v>
      </c>
      <c r="AJ3653" s="42"/>
      <c r="AK3653" s="74"/>
      <c r="AL3653" s="77"/>
      <c r="AN3653" s="497">
        <v>69.080000000000013</v>
      </c>
      <c r="AP3653" s="42"/>
      <c r="AQ3653" s="74"/>
      <c r="AR3653" s="77"/>
      <c r="AT3653" s="497">
        <v>80.960000000000008</v>
      </c>
      <c r="AV3653" s="42"/>
      <c r="AW3653" s="74"/>
      <c r="AX3653" s="77"/>
      <c r="BA3653" s="497">
        <v>74.300000000000011</v>
      </c>
      <c r="BB3653" s="42"/>
      <c r="BC3653" s="74"/>
      <c r="BD3653" s="77"/>
      <c r="BF3653">
        <v>66.92</v>
      </c>
      <c r="BH3653" s="42"/>
      <c r="BI3653" s="74"/>
      <c r="BJ3653" s="77"/>
      <c r="BL3653" s="497">
        <v>75.92</v>
      </c>
      <c r="BN3653" s="42"/>
      <c r="BO3653" s="74"/>
      <c r="BP3653" s="77"/>
      <c r="BR3653" s="497">
        <v>66.02</v>
      </c>
      <c r="BT3653" s="42"/>
    </row>
    <row r="3654" spans="1:72" x14ac:dyDescent="0.25">
      <c r="A3654" s="90">
        <v>34486</v>
      </c>
      <c r="B3654" s="20">
        <v>0.5</v>
      </c>
      <c r="D3654">
        <v>64.039999999999992</v>
      </c>
      <c r="E3654" t="str">
        <f t="shared" si="148"/>
        <v>WEEKDAY</v>
      </c>
      <c r="F3654" t="e">
        <f t="shared" si="149"/>
        <v>#N/A</v>
      </c>
      <c r="G3654" s="74">
        <v>33025</v>
      </c>
      <c r="H3654" s="77">
        <v>0.5</v>
      </c>
      <c r="J3654">
        <v>78.080000000000013</v>
      </c>
      <c r="M3654" s="74">
        <v>37773</v>
      </c>
      <c r="N3654" s="77">
        <v>0.5</v>
      </c>
      <c r="P3654">
        <v>62.06</v>
      </c>
      <c r="S3654" s="74">
        <v>34486</v>
      </c>
      <c r="T3654" s="77">
        <v>0.5</v>
      </c>
      <c r="V3654">
        <v>78.98</v>
      </c>
      <c r="X3654" s="42"/>
      <c r="AB3654">
        <v>70</v>
      </c>
      <c r="AC3654">
        <v>73.94</v>
      </c>
      <c r="AE3654" s="74"/>
      <c r="AF3654" s="77"/>
      <c r="AH3654" s="497">
        <v>77</v>
      </c>
      <c r="AJ3654" s="42"/>
      <c r="AK3654" s="74"/>
      <c r="AL3654" s="77"/>
      <c r="AN3654" s="497">
        <v>66.02</v>
      </c>
      <c r="AP3654" s="42"/>
      <c r="AQ3654" s="74"/>
      <c r="AR3654" s="77"/>
      <c r="AT3654" s="497">
        <v>82.039999999999992</v>
      </c>
      <c r="AV3654" s="42"/>
      <c r="AW3654" s="74"/>
      <c r="AX3654" s="77"/>
      <c r="BA3654" s="497">
        <v>75.740000000000009</v>
      </c>
      <c r="BB3654" s="42"/>
      <c r="BC3654" s="74"/>
      <c r="BD3654" s="77"/>
      <c r="BF3654">
        <v>69.080000000000013</v>
      </c>
      <c r="BH3654" s="42"/>
      <c r="BI3654" s="74"/>
      <c r="BJ3654" s="77"/>
      <c r="BL3654" s="497">
        <v>77</v>
      </c>
      <c r="BN3654" s="42"/>
      <c r="BO3654" s="74"/>
      <c r="BP3654" s="77"/>
      <c r="BR3654" s="497">
        <v>66.92</v>
      </c>
      <c r="BT3654" s="42"/>
    </row>
    <row r="3655" spans="1:72" x14ac:dyDescent="0.25">
      <c r="A3655" s="90">
        <v>34486</v>
      </c>
      <c r="B3655" s="20">
        <v>0.54166666666666663</v>
      </c>
      <c r="D3655">
        <v>64.039999999999992</v>
      </c>
      <c r="E3655" t="str">
        <f t="shared" si="148"/>
        <v>WEEKDAY</v>
      </c>
      <c r="F3655" t="e">
        <f t="shared" si="149"/>
        <v>#N/A</v>
      </c>
      <c r="G3655" s="74">
        <v>33025</v>
      </c>
      <c r="H3655" s="77">
        <v>0.54166666666666663</v>
      </c>
      <c r="J3655">
        <v>80.06</v>
      </c>
      <c r="M3655" s="74">
        <v>37773</v>
      </c>
      <c r="N3655" s="77">
        <v>0.54166666666666663</v>
      </c>
      <c r="P3655">
        <v>60.8</v>
      </c>
      <c r="S3655" s="74">
        <v>34486</v>
      </c>
      <c r="T3655" s="77">
        <v>0.54166666666666663</v>
      </c>
      <c r="V3655">
        <v>82.94</v>
      </c>
      <c r="X3655" s="42"/>
      <c r="AB3655">
        <v>70.900000000000006</v>
      </c>
      <c r="AC3655">
        <v>78.080000000000013</v>
      </c>
      <c r="AE3655" s="74"/>
      <c r="AF3655" s="77"/>
      <c r="AH3655" s="497">
        <v>80.599999999999994</v>
      </c>
      <c r="AJ3655" s="42"/>
      <c r="AK3655" s="74"/>
      <c r="AL3655" s="77"/>
      <c r="AN3655" s="497">
        <v>66.02</v>
      </c>
      <c r="AP3655" s="42"/>
      <c r="AQ3655" s="74"/>
      <c r="AR3655" s="77"/>
      <c r="AT3655" s="497">
        <v>86</v>
      </c>
      <c r="AV3655" s="42"/>
      <c r="AW3655" s="74"/>
      <c r="AX3655" s="77"/>
      <c r="BA3655" s="497">
        <v>77</v>
      </c>
      <c r="BB3655" s="42"/>
      <c r="BC3655" s="74"/>
      <c r="BD3655" s="77"/>
      <c r="BF3655">
        <v>71.960000000000008</v>
      </c>
      <c r="BH3655" s="42"/>
      <c r="BI3655" s="74"/>
      <c r="BJ3655" s="77"/>
      <c r="BL3655" s="497">
        <v>78.080000000000013</v>
      </c>
      <c r="BN3655" s="42"/>
      <c r="BO3655" s="74"/>
      <c r="BP3655" s="77"/>
      <c r="BR3655" s="497">
        <v>68</v>
      </c>
      <c r="BT3655" s="42"/>
    </row>
    <row r="3656" spans="1:72" x14ac:dyDescent="0.25">
      <c r="A3656" s="90">
        <v>34486</v>
      </c>
      <c r="B3656" s="20">
        <v>0.58333333333333337</v>
      </c>
      <c r="D3656">
        <v>66.02</v>
      </c>
      <c r="E3656" t="str">
        <f t="shared" si="148"/>
        <v>WEEKDAY</v>
      </c>
      <c r="F3656" t="e">
        <f t="shared" si="149"/>
        <v>#N/A</v>
      </c>
      <c r="G3656" s="74">
        <v>33025</v>
      </c>
      <c r="H3656" s="77">
        <v>0.58333333333333337</v>
      </c>
      <c r="J3656">
        <v>80.960000000000008</v>
      </c>
      <c r="M3656" s="74">
        <v>37773</v>
      </c>
      <c r="N3656" s="77">
        <v>0.58333333333333337</v>
      </c>
      <c r="P3656">
        <v>60.8</v>
      </c>
      <c r="S3656" s="74">
        <v>34486</v>
      </c>
      <c r="T3656" s="77">
        <v>0.58333333333333337</v>
      </c>
      <c r="V3656">
        <v>82.94</v>
      </c>
      <c r="X3656" s="42"/>
      <c r="AB3656">
        <v>71.3</v>
      </c>
      <c r="AC3656">
        <v>80.06</v>
      </c>
      <c r="AE3656" s="74"/>
      <c r="AF3656" s="77"/>
      <c r="AH3656" s="497">
        <v>82.4</v>
      </c>
      <c r="AJ3656" s="42"/>
      <c r="AK3656" s="74"/>
      <c r="AL3656" s="77"/>
      <c r="AN3656" s="497">
        <v>57.019999999999996</v>
      </c>
      <c r="AP3656" s="42"/>
      <c r="AQ3656" s="74"/>
      <c r="AR3656" s="77"/>
      <c r="AT3656" s="497">
        <v>87.080000000000013</v>
      </c>
      <c r="AV3656" s="42"/>
      <c r="AW3656" s="74"/>
      <c r="AX3656" s="77"/>
      <c r="BA3656" s="497">
        <v>78.259999999999991</v>
      </c>
      <c r="BB3656" s="42"/>
      <c r="BC3656" s="74"/>
      <c r="BD3656" s="77"/>
      <c r="BF3656">
        <v>73.94</v>
      </c>
      <c r="BH3656" s="42"/>
      <c r="BI3656" s="74"/>
      <c r="BJ3656" s="77"/>
      <c r="BL3656" s="497">
        <v>78.080000000000013</v>
      </c>
      <c r="BN3656" s="42"/>
      <c r="BO3656" s="74"/>
      <c r="BP3656" s="77"/>
      <c r="BR3656" s="497">
        <v>69.080000000000013</v>
      </c>
      <c r="BT3656" s="42"/>
    </row>
    <row r="3657" spans="1:72" x14ac:dyDescent="0.25">
      <c r="A3657" s="90">
        <v>34486</v>
      </c>
      <c r="B3657" s="20">
        <v>0.625</v>
      </c>
      <c r="D3657">
        <v>66.02</v>
      </c>
      <c r="E3657" t="str">
        <f t="shared" si="148"/>
        <v>WEEKDAY</v>
      </c>
      <c r="F3657" t="e">
        <f t="shared" si="149"/>
        <v>#N/A</v>
      </c>
      <c r="G3657" s="74">
        <v>33025</v>
      </c>
      <c r="H3657" s="77">
        <v>0.625</v>
      </c>
      <c r="J3657">
        <v>82.039999999999992</v>
      </c>
      <c r="M3657" s="74">
        <v>37773</v>
      </c>
      <c r="N3657" s="77">
        <v>0.625</v>
      </c>
      <c r="P3657">
        <v>62.6</v>
      </c>
      <c r="S3657" s="74">
        <v>34486</v>
      </c>
      <c r="T3657" s="77">
        <v>0.625</v>
      </c>
      <c r="V3657">
        <v>84.92</v>
      </c>
      <c r="X3657" s="42"/>
      <c r="AB3657">
        <v>71.2</v>
      </c>
      <c r="AC3657">
        <v>82.039999999999992</v>
      </c>
      <c r="AE3657" s="74"/>
      <c r="AF3657" s="77"/>
      <c r="AH3657" s="497">
        <v>82.4</v>
      </c>
      <c r="AJ3657" s="42"/>
      <c r="AK3657" s="74"/>
      <c r="AL3657" s="77"/>
      <c r="AN3657" s="497">
        <v>55.94</v>
      </c>
      <c r="AP3657" s="42"/>
      <c r="AQ3657" s="74"/>
      <c r="AR3657" s="77"/>
      <c r="AT3657" s="497">
        <v>87.98</v>
      </c>
      <c r="AV3657" s="42"/>
      <c r="AW3657" s="74"/>
      <c r="AX3657" s="77"/>
      <c r="BA3657" s="497">
        <v>79.7</v>
      </c>
      <c r="BB3657" s="42"/>
      <c r="BC3657" s="74"/>
      <c r="BD3657" s="77"/>
      <c r="BF3657">
        <v>75.92</v>
      </c>
      <c r="BH3657" s="42"/>
      <c r="BI3657" s="74"/>
      <c r="BJ3657" s="77"/>
      <c r="BL3657" s="497">
        <v>78.98</v>
      </c>
      <c r="BN3657" s="42"/>
      <c r="BO3657" s="74"/>
      <c r="BP3657" s="77"/>
      <c r="BR3657" s="497">
        <v>69.98</v>
      </c>
      <c r="BT3657" s="42"/>
    </row>
    <row r="3658" spans="1:72" x14ac:dyDescent="0.25">
      <c r="A3658" s="90">
        <v>34486</v>
      </c>
      <c r="B3658" s="20">
        <v>0.66666666666666663</v>
      </c>
      <c r="D3658">
        <v>66.02</v>
      </c>
      <c r="E3658" t="str">
        <f t="shared" si="148"/>
        <v>WEEKDAY</v>
      </c>
      <c r="F3658" t="e">
        <f t="shared" si="149"/>
        <v>#N/A</v>
      </c>
      <c r="G3658" s="74">
        <v>33025</v>
      </c>
      <c r="H3658" s="77">
        <v>0.66666666666666663</v>
      </c>
      <c r="J3658">
        <v>78.080000000000013</v>
      </c>
      <c r="M3658" s="74">
        <v>37773</v>
      </c>
      <c r="N3658" s="77">
        <v>0.66666666666666663</v>
      </c>
      <c r="P3658">
        <v>62.6</v>
      </c>
      <c r="S3658" s="74">
        <v>34486</v>
      </c>
      <c r="T3658" s="77">
        <v>0.66666666666666663</v>
      </c>
      <c r="V3658">
        <v>84.02</v>
      </c>
      <c r="X3658" s="42"/>
      <c r="AB3658">
        <v>70.7</v>
      </c>
      <c r="AC3658">
        <v>84.02</v>
      </c>
      <c r="AE3658" s="74"/>
      <c r="AF3658" s="77"/>
      <c r="AH3658" s="497">
        <v>84.2</v>
      </c>
      <c r="AJ3658" s="42"/>
      <c r="AK3658" s="74"/>
      <c r="AL3658" s="77"/>
      <c r="AN3658" s="497">
        <v>55.94</v>
      </c>
      <c r="AP3658" s="42"/>
      <c r="AQ3658" s="74"/>
      <c r="AR3658" s="77"/>
      <c r="AT3658" s="497">
        <v>82.94</v>
      </c>
      <c r="AV3658" s="42"/>
      <c r="AW3658" s="74"/>
      <c r="AX3658" s="77"/>
      <c r="BA3658" s="497">
        <v>80.960000000000008</v>
      </c>
      <c r="BB3658" s="42"/>
      <c r="BC3658" s="74"/>
      <c r="BD3658" s="77"/>
      <c r="BF3658">
        <v>77</v>
      </c>
      <c r="BH3658" s="42"/>
      <c r="BI3658" s="74"/>
      <c r="BJ3658" s="77"/>
      <c r="BL3658" s="497">
        <v>78.98</v>
      </c>
      <c r="BN3658" s="42"/>
      <c r="BO3658" s="74"/>
      <c r="BP3658" s="77"/>
      <c r="BR3658" s="497">
        <v>69.080000000000013</v>
      </c>
      <c r="BT3658" s="42"/>
    </row>
    <row r="3659" spans="1:72" x14ac:dyDescent="0.25">
      <c r="A3659" s="90">
        <v>34486</v>
      </c>
      <c r="B3659" s="20">
        <v>0.70833333333333337</v>
      </c>
      <c r="D3659">
        <v>60.980000000000004</v>
      </c>
      <c r="E3659" t="str">
        <f t="shared" si="148"/>
        <v>WEEKDAY</v>
      </c>
      <c r="F3659" t="e">
        <f t="shared" si="149"/>
        <v>#N/A</v>
      </c>
      <c r="G3659" s="74">
        <v>33025</v>
      </c>
      <c r="H3659" s="77">
        <v>0.70833333333333337</v>
      </c>
      <c r="J3659">
        <v>75.92</v>
      </c>
      <c r="M3659" s="74">
        <v>37773</v>
      </c>
      <c r="N3659" s="77">
        <v>0.70833333333333337</v>
      </c>
      <c r="P3659">
        <v>60.8</v>
      </c>
      <c r="S3659" s="74">
        <v>34486</v>
      </c>
      <c r="T3659" s="77">
        <v>0.70833333333333337</v>
      </c>
      <c r="V3659">
        <v>82.039999999999992</v>
      </c>
      <c r="X3659" s="42"/>
      <c r="AB3659">
        <v>69.900000000000006</v>
      </c>
      <c r="AC3659">
        <v>80.960000000000008</v>
      </c>
      <c r="AE3659" s="74"/>
      <c r="AF3659" s="77"/>
      <c r="AH3659" s="497">
        <v>84.2</v>
      </c>
      <c r="AJ3659" s="42"/>
      <c r="AK3659" s="74"/>
      <c r="AL3659" s="77"/>
      <c r="AN3659" s="497">
        <v>57.92</v>
      </c>
      <c r="AP3659" s="42"/>
      <c r="AQ3659" s="74"/>
      <c r="AR3659" s="77"/>
      <c r="AT3659" s="497">
        <v>82.94</v>
      </c>
      <c r="AV3659" s="42"/>
      <c r="AW3659" s="74"/>
      <c r="AX3659" s="77"/>
      <c r="BA3659" s="497">
        <v>78.98</v>
      </c>
      <c r="BB3659" s="42"/>
      <c r="BC3659" s="74"/>
      <c r="BD3659" s="77"/>
      <c r="BF3659">
        <v>78.080000000000013</v>
      </c>
      <c r="BH3659" s="42"/>
      <c r="BI3659" s="74"/>
      <c r="BJ3659" s="77"/>
      <c r="BL3659" s="497">
        <v>77</v>
      </c>
      <c r="BN3659" s="42"/>
      <c r="BO3659" s="74"/>
      <c r="BP3659" s="77"/>
      <c r="BR3659" s="497">
        <v>69.98</v>
      </c>
      <c r="BT3659" s="42"/>
    </row>
    <row r="3660" spans="1:72" x14ac:dyDescent="0.25">
      <c r="A3660" s="90">
        <v>34486</v>
      </c>
      <c r="B3660" s="20">
        <v>0.75</v>
      </c>
      <c r="D3660">
        <v>62.06</v>
      </c>
      <c r="E3660" t="str">
        <f t="shared" si="148"/>
        <v>WEEKDAY</v>
      </c>
      <c r="F3660" t="e">
        <f t="shared" si="149"/>
        <v>#N/A</v>
      </c>
      <c r="G3660" s="74">
        <v>33025</v>
      </c>
      <c r="H3660" s="77">
        <v>0.75</v>
      </c>
      <c r="J3660">
        <v>75.92</v>
      </c>
      <c r="M3660" s="74">
        <v>37773</v>
      </c>
      <c r="N3660" s="77">
        <v>0.75</v>
      </c>
      <c r="P3660">
        <v>57.2</v>
      </c>
      <c r="S3660" s="74">
        <v>34486</v>
      </c>
      <c r="T3660" s="77">
        <v>0.75</v>
      </c>
      <c r="V3660">
        <v>82.039999999999992</v>
      </c>
      <c r="X3660" s="42"/>
      <c r="AB3660">
        <v>68.8</v>
      </c>
      <c r="AC3660">
        <v>80.06</v>
      </c>
      <c r="AE3660" s="74"/>
      <c r="AF3660" s="77"/>
      <c r="AH3660" s="497">
        <v>84.2</v>
      </c>
      <c r="AJ3660" s="42"/>
      <c r="AK3660" s="74"/>
      <c r="AL3660" s="77"/>
      <c r="AN3660" s="497">
        <v>55.040000000000006</v>
      </c>
      <c r="AP3660" s="42"/>
      <c r="AQ3660" s="74"/>
      <c r="AR3660" s="77"/>
      <c r="AT3660" s="497">
        <v>80.06</v>
      </c>
      <c r="AV3660" s="42"/>
      <c r="AW3660" s="74"/>
      <c r="AX3660" s="77"/>
      <c r="BA3660" s="497">
        <v>77</v>
      </c>
      <c r="BB3660" s="42"/>
      <c r="BC3660" s="74"/>
      <c r="BD3660" s="77"/>
      <c r="BF3660">
        <v>78.080000000000013</v>
      </c>
      <c r="BH3660" s="42"/>
      <c r="BI3660" s="74"/>
      <c r="BJ3660" s="77"/>
      <c r="BL3660" s="497">
        <v>75.92</v>
      </c>
      <c r="BN3660" s="42"/>
      <c r="BO3660" s="74"/>
      <c r="BP3660" s="77"/>
      <c r="BR3660" s="497">
        <v>68</v>
      </c>
      <c r="BT3660" s="42"/>
    </row>
    <row r="3661" spans="1:72" x14ac:dyDescent="0.25">
      <c r="A3661" s="90">
        <v>34486</v>
      </c>
      <c r="B3661" s="20">
        <v>0.79166666666666663</v>
      </c>
      <c r="D3661">
        <v>60.980000000000004</v>
      </c>
      <c r="E3661" t="str">
        <f t="shared" si="148"/>
        <v>WEEKDAY</v>
      </c>
      <c r="F3661" t="e">
        <f t="shared" si="149"/>
        <v>#N/A</v>
      </c>
      <c r="G3661" s="74">
        <v>33025</v>
      </c>
      <c r="H3661" s="77">
        <v>0.79166666666666663</v>
      </c>
      <c r="J3661">
        <v>73.039999999999992</v>
      </c>
      <c r="M3661" s="74">
        <v>37773</v>
      </c>
      <c r="N3661" s="77">
        <v>0.79166666666666663</v>
      </c>
      <c r="P3661">
        <v>55.400000000000006</v>
      </c>
      <c r="S3661" s="74">
        <v>34486</v>
      </c>
      <c r="T3661" s="77">
        <v>0.79166666666666663</v>
      </c>
      <c r="V3661">
        <v>80.960000000000008</v>
      </c>
      <c r="X3661" s="42"/>
      <c r="AB3661">
        <v>67.5</v>
      </c>
      <c r="AC3661">
        <v>78.080000000000013</v>
      </c>
      <c r="AE3661" s="74"/>
      <c r="AF3661" s="77"/>
      <c r="AH3661" s="497">
        <v>80.599999999999994</v>
      </c>
      <c r="AJ3661" s="42"/>
      <c r="AK3661" s="74"/>
      <c r="AL3661" s="77"/>
      <c r="AN3661" s="497">
        <v>53.06</v>
      </c>
      <c r="AP3661" s="42"/>
      <c r="AQ3661" s="74"/>
      <c r="AR3661" s="77"/>
      <c r="AT3661" s="497">
        <v>66.92</v>
      </c>
      <c r="AV3661" s="42"/>
      <c r="AW3661" s="74"/>
      <c r="AX3661" s="77"/>
      <c r="BA3661" s="497">
        <v>75.02</v>
      </c>
      <c r="BB3661" s="42"/>
      <c r="BC3661" s="74"/>
      <c r="BD3661" s="77"/>
      <c r="BF3661">
        <v>75.02</v>
      </c>
      <c r="BH3661" s="42"/>
      <c r="BI3661" s="74"/>
      <c r="BJ3661" s="77"/>
      <c r="BL3661" s="497">
        <v>73.039999999999992</v>
      </c>
      <c r="BN3661" s="42"/>
      <c r="BO3661" s="74"/>
      <c r="BP3661" s="77"/>
      <c r="BR3661" s="497">
        <v>64.94</v>
      </c>
      <c r="BT3661" s="42"/>
    </row>
    <row r="3662" spans="1:72" x14ac:dyDescent="0.25">
      <c r="A3662" s="90">
        <v>34486</v>
      </c>
      <c r="B3662" s="20">
        <v>0.83333333333333337</v>
      </c>
      <c r="D3662">
        <v>60.08</v>
      </c>
      <c r="E3662" t="str">
        <f t="shared" si="148"/>
        <v>WEEKDAY</v>
      </c>
      <c r="F3662" t="e">
        <f t="shared" si="149"/>
        <v>#N/A</v>
      </c>
      <c r="G3662" s="74">
        <v>33025</v>
      </c>
      <c r="H3662" s="77">
        <v>0.83333333333333337</v>
      </c>
      <c r="J3662">
        <v>73.039999999999992</v>
      </c>
      <c r="M3662" s="74">
        <v>37773</v>
      </c>
      <c r="N3662" s="77">
        <v>0.83333333333333337</v>
      </c>
      <c r="P3662">
        <v>55.400000000000006</v>
      </c>
      <c r="S3662" s="74">
        <v>34486</v>
      </c>
      <c r="T3662" s="77">
        <v>0.83333333333333337</v>
      </c>
      <c r="V3662">
        <v>75.92</v>
      </c>
      <c r="X3662" s="42"/>
      <c r="AB3662">
        <v>66.099999999999994</v>
      </c>
      <c r="AC3662">
        <v>71.06</v>
      </c>
      <c r="AE3662" s="74"/>
      <c r="AF3662" s="77"/>
      <c r="AH3662" s="497">
        <v>71.599999999999994</v>
      </c>
      <c r="AJ3662" s="42"/>
      <c r="AK3662" s="74"/>
      <c r="AL3662" s="77"/>
      <c r="AN3662" s="497">
        <v>48.92</v>
      </c>
      <c r="AP3662" s="42"/>
      <c r="AQ3662" s="74"/>
      <c r="AR3662" s="77"/>
      <c r="AT3662" s="497">
        <v>66.02</v>
      </c>
      <c r="AV3662" s="42"/>
      <c r="AW3662" s="74"/>
      <c r="AX3662" s="77"/>
      <c r="BA3662" s="497">
        <v>71.42</v>
      </c>
      <c r="BB3662" s="42"/>
      <c r="BC3662" s="74"/>
      <c r="BD3662" s="77"/>
      <c r="BF3662">
        <v>73.039999999999992</v>
      </c>
      <c r="BH3662" s="42"/>
      <c r="BI3662" s="74"/>
      <c r="BJ3662" s="77"/>
      <c r="BL3662" s="497">
        <v>69.080000000000013</v>
      </c>
      <c r="BN3662" s="42"/>
      <c r="BO3662" s="74"/>
      <c r="BP3662" s="77"/>
      <c r="BR3662" s="497">
        <v>62.96</v>
      </c>
      <c r="BT3662" s="42"/>
    </row>
    <row r="3663" spans="1:72" x14ac:dyDescent="0.25">
      <c r="A3663" s="90">
        <v>34486</v>
      </c>
      <c r="B3663" s="20">
        <v>0.875</v>
      </c>
      <c r="D3663">
        <v>60.08</v>
      </c>
      <c r="E3663" t="str">
        <f t="shared" si="148"/>
        <v>WEEKDAY</v>
      </c>
      <c r="F3663" t="e">
        <f t="shared" si="149"/>
        <v>#N/A</v>
      </c>
      <c r="G3663" s="74">
        <v>33025</v>
      </c>
      <c r="H3663" s="77">
        <v>0.875</v>
      </c>
      <c r="J3663">
        <v>73.039999999999992</v>
      </c>
      <c r="M3663" s="74">
        <v>37773</v>
      </c>
      <c r="N3663" s="77">
        <v>0.875</v>
      </c>
      <c r="P3663">
        <v>53.6</v>
      </c>
      <c r="S3663" s="74">
        <v>34486</v>
      </c>
      <c r="T3663" s="77">
        <v>0.875</v>
      </c>
      <c r="V3663">
        <v>71.960000000000008</v>
      </c>
      <c r="X3663" s="42"/>
      <c r="AB3663">
        <v>64.900000000000006</v>
      </c>
      <c r="AC3663">
        <v>69.080000000000013</v>
      </c>
      <c r="AE3663" s="74"/>
      <c r="AF3663" s="77"/>
      <c r="AH3663" s="497">
        <v>71.599999999999994</v>
      </c>
      <c r="AJ3663" s="42"/>
      <c r="AK3663" s="74"/>
      <c r="AL3663" s="77"/>
      <c r="AN3663" s="497">
        <v>48.019999999999996</v>
      </c>
      <c r="AP3663" s="42"/>
      <c r="AQ3663" s="74"/>
      <c r="AR3663" s="77"/>
      <c r="AT3663" s="497">
        <v>66.02</v>
      </c>
      <c r="AV3663" s="42"/>
      <c r="AW3663" s="74"/>
      <c r="AX3663" s="77"/>
      <c r="BA3663" s="497">
        <v>67.64</v>
      </c>
      <c r="BB3663" s="42"/>
      <c r="BC3663" s="74"/>
      <c r="BD3663" s="77"/>
      <c r="BF3663">
        <v>71.960000000000008</v>
      </c>
      <c r="BH3663" s="42"/>
      <c r="BI3663" s="74"/>
      <c r="BJ3663" s="77"/>
      <c r="BL3663" s="497">
        <v>68</v>
      </c>
      <c r="BN3663" s="42"/>
      <c r="BO3663" s="74"/>
      <c r="BP3663" s="77"/>
      <c r="BR3663" s="497">
        <v>59</v>
      </c>
      <c r="BT3663" s="42"/>
    </row>
    <row r="3664" spans="1:72" x14ac:dyDescent="0.25">
      <c r="A3664" s="90">
        <v>34486</v>
      </c>
      <c r="B3664" s="20">
        <v>0.91666666666666663</v>
      </c>
      <c r="D3664">
        <v>60.08</v>
      </c>
      <c r="E3664" t="str">
        <f t="shared" si="148"/>
        <v>WEEKDAY</v>
      </c>
      <c r="F3664" t="e">
        <f t="shared" si="149"/>
        <v>#N/A</v>
      </c>
      <c r="G3664" s="74">
        <v>33025</v>
      </c>
      <c r="H3664" s="77">
        <v>0.91666666666666663</v>
      </c>
      <c r="J3664">
        <v>71.960000000000008</v>
      </c>
      <c r="M3664" s="74">
        <v>37773</v>
      </c>
      <c r="N3664" s="77">
        <v>0.91666666666666663</v>
      </c>
      <c r="P3664">
        <v>53.6</v>
      </c>
      <c r="S3664" s="74">
        <v>34486</v>
      </c>
      <c r="T3664" s="77">
        <v>0.91666666666666663</v>
      </c>
      <c r="V3664">
        <v>69.080000000000013</v>
      </c>
      <c r="X3664" s="42"/>
      <c r="AB3664">
        <v>64.3</v>
      </c>
      <c r="AC3664">
        <v>68</v>
      </c>
      <c r="AE3664" s="74"/>
      <c r="AF3664" s="77"/>
      <c r="AH3664" s="497">
        <v>64.400000000000006</v>
      </c>
      <c r="AJ3664" s="42"/>
      <c r="AK3664" s="74"/>
      <c r="AL3664" s="77"/>
      <c r="AN3664" s="497">
        <v>46.94</v>
      </c>
      <c r="AP3664" s="42"/>
      <c r="AQ3664" s="74"/>
      <c r="AR3664" s="77"/>
      <c r="AT3664" s="497">
        <v>66.92</v>
      </c>
      <c r="AV3664" s="42"/>
      <c r="AW3664" s="74"/>
      <c r="AX3664" s="77"/>
      <c r="BA3664" s="497">
        <v>64.039999999999992</v>
      </c>
      <c r="BB3664" s="42"/>
      <c r="BC3664" s="74"/>
      <c r="BD3664" s="77"/>
      <c r="BF3664">
        <v>71.06</v>
      </c>
      <c r="BH3664" s="42"/>
      <c r="BI3664" s="74"/>
      <c r="BJ3664" s="77"/>
      <c r="BL3664" s="497">
        <v>64.94</v>
      </c>
      <c r="BN3664" s="42"/>
      <c r="BO3664" s="74"/>
      <c r="BP3664" s="77"/>
      <c r="BR3664" s="497">
        <v>55.040000000000006</v>
      </c>
      <c r="BT3664" s="42"/>
    </row>
    <row r="3665" spans="1:72" x14ac:dyDescent="0.25">
      <c r="A3665" s="90">
        <v>34486</v>
      </c>
      <c r="B3665" s="20">
        <v>0.95833333333333337</v>
      </c>
      <c r="D3665">
        <v>60.08</v>
      </c>
      <c r="E3665" t="str">
        <f t="shared" si="148"/>
        <v>WEEKDAY</v>
      </c>
      <c r="F3665" t="e">
        <f t="shared" si="149"/>
        <v>#N/A</v>
      </c>
      <c r="G3665" s="74">
        <v>33025</v>
      </c>
      <c r="H3665" s="77">
        <v>0.95833333333333337</v>
      </c>
      <c r="J3665">
        <v>69.98</v>
      </c>
      <c r="M3665" s="74">
        <v>37773</v>
      </c>
      <c r="N3665" s="77">
        <v>0.95833333333333337</v>
      </c>
      <c r="P3665">
        <v>51.8</v>
      </c>
      <c r="S3665" s="74">
        <v>34486</v>
      </c>
      <c r="T3665" s="77">
        <v>0.95833333333333337</v>
      </c>
      <c r="V3665">
        <v>66.02</v>
      </c>
      <c r="X3665" s="42"/>
      <c r="AB3665">
        <v>63.7</v>
      </c>
      <c r="AC3665">
        <v>64.94</v>
      </c>
      <c r="AE3665" s="74"/>
      <c r="AF3665" s="77"/>
      <c r="AH3665" s="497">
        <v>62.6</v>
      </c>
      <c r="AJ3665" s="42"/>
      <c r="AK3665" s="74"/>
      <c r="AL3665" s="77"/>
      <c r="AN3665" s="497">
        <v>44.96</v>
      </c>
      <c r="AP3665" s="42"/>
      <c r="AQ3665" s="74"/>
      <c r="AR3665" s="77"/>
      <c r="AT3665" s="497">
        <v>60.08</v>
      </c>
      <c r="AV3665" s="42"/>
      <c r="AW3665" s="74"/>
      <c r="AX3665" s="77"/>
      <c r="BA3665" s="497">
        <v>62.42</v>
      </c>
      <c r="BB3665" s="42"/>
      <c r="BC3665" s="74"/>
      <c r="BD3665" s="77"/>
      <c r="BF3665">
        <v>69.080000000000013</v>
      </c>
      <c r="BH3665" s="42"/>
      <c r="BI3665" s="74"/>
      <c r="BJ3665" s="77"/>
      <c r="BL3665" s="497">
        <v>60.980000000000004</v>
      </c>
      <c r="BN3665" s="42"/>
      <c r="BO3665" s="74"/>
      <c r="BP3665" s="77"/>
      <c r="BR3665" s="497">
        <v>51.08</v>
      </c>
      <c r="BT3665" s="42"/>
    </row>
    <row r="3666" spans="1:72" x14ac:dyDescent="0.25">
      <c r="A3666" s="90">
        <v>34486</v>
      </c>
      <c r="B3666" s="20">
        <v>1</v>
      </c>
      <c r="D3666">
        <v>60.08</v>
      </c>
      <c r="E3666" t="str">
        <f t="shared" si="148"/>
        <v>WEEKDAY</v>
      </c>
      <c r="F3666" t="e">
        <f t="shared" si="149"/>
        <v>#N/A</v>
      </c>
      <c r="G3666" s="74">
        <v>33025</v>
      </c>
      <c r="H3666" s="77">
        <v>1</v>
      </c>
      <c r="J3666">
        <v>69.080000000000013</v>
      </c>
      <c r="M3666" s="74">
        <v>37773</v>
      </c>
      <c r="N3666" s="80">
        <v>1</v>
      </c>
      <c r="P3666">
        <v>51.8</v>
      </c>
      <c r="S3666" s="74">
        <v>34486</v>
      </c>
      <c r="T3666" s="80">
        <v>1</v>
      </c>
      <c r="V3666">
        <v>64.94</v>
      </c>
      <c r="X3666" s="42"/>
      <c r="AB3666">
        <v>63.2</v>
      </c>
      <c r="AC3666">
        <v>62.06</v>
      </c>
      <c r="AE3666" s="74"/>
      <c r="AF3666" s="80"/>
      <c r="AH3666" s="497">
        <v>62.6</v>
      </c>
      <c r="AJ3666" s="42"/>
      <c r="AK3666" s="74"/>
      <c r="AL3666" s="80"/>
      <c r="AN3666" s="497">
        <v>42.980000000000004</v>
      </c>
      <c r="AP3666" s="42"/>
      <c r="AQ3666" s="74"/>
      <c r="AR3666" s="80"/>
      <c r="AT3666" s="497">
        <v>53.06</v>
      </c>
      <c r="AV3666" s="42"/>
      <c r="AW3666" s="74"/>
      <c r="AX3666" s="80"/>
      <c r="BA3666" s="497">
        <v>60.620000000000005</v>
      </c>
      <c r="BB3666" s="42"/>
      <c r="BC3666" s="74"/>
      <c r="BD3666" s="80"/>
      <c r="BF3666">
        <v>68</v>
      </c>
      <c r="BH3666" s="42"/>
      <c r="BI3666" s="74"/>
      <c r="BJ3666" s="80"/>
      <c r="BL3666" s="497">
        <v>59</v>
      </c>
      <c r="BN3666" s="42"/>
      <c r="BO3666" s="74"/>
      <c r="BP3666" s="80"/>
      <c r="BR3666" s="497">
        <v>48.92</v>
      </c>
      <c r="BT3666" s="42"/>
    </row>
    <row r="3667" spans="1:72" x14ac:dyDescent="0.25">
      <c r="A3667" s="90">
        <v>34487</v>
      </c>
      <c r="B3667" s="20">
        <v>4.1666666666666664E-2</v>
      </c>
      <c r="D3667">
        <v>62.06</v>
      </c>
      <c r="E3667" t="str">
        <f t="shared" ref="E3667:E3730" si="150">IF(COUNTIF($DI$18:$DI$22, WEEKDAY(A3667))=1, "WEEKDAY", IF(WEEKDAY(A3667) = 1, "SUNDAY", "SATURDAY"))</f>
        <v>WEEKDAY</v>
      </c>
      <c r="F3667" t="e">
        <f t="shared" si="149"/>
        <v>#N/A</v>
      </c>
      <c r="G3667" s="74">
        <v>33026</v>
      </c>
      <c r="H3667" s="77">
        <v>4.1666666666666664E-2</v>
      </c>
      <c r="J3667">
        <v>68</v>
      </c>
      <c r="M3667" s="74">
        <v>37774</v>
      </c>
      <c r="N3667" s="77">
        <v>4.1666666666666664E-2</v>
      </c>
      <c r="P3667">
        <v>51.8</v>
      </c>
      <c r="S3667" s="74">
        <v>34487</v>
      </c>
      <c r="T3667" s="77">
        <v>4.1666666666666664E-2</v>
      </c>
      <c r="V3667">
        <v>62.06</v>
      </c>
      <c r="X3667" s="42"/>
      <c r="AB3667">
        <v>62.5</v>
      </c>
      <c r="AC3667">
        <v>60.980000000000004</v>
      </c>
      <c r="AE3667" s="74"/>
      <c r="AF3667" s="77"/>
      <c r="AH3667" s="497">
        <v>62.6</v>
      </c>
      <c r="AJ3667" s="42"/>
      <c r="AK3667" s="74"/>
      <c r="AL3667" s="77"/>
      <c r="AN3667" s="497">
        <v>42.980000000000004</v>
      </c>
      <c r="AP3667" s="42"/>
      <c r="AQ3667" s="74"/>
      <c r="AR3667" s="77"/>
      <c r="AT3667" s="497">
        <v>53.06</v>
      </c>
      <c r="AV3667" s="42"/>
      <c r="AW3667" s="74"/>
      <c r="AX3667" s="77"/>
      <c r="BA3667" s="497">
        <v>59</v>
      </c>
      <c r="BB3667" s="42"/>
      <c r="BC3667" s="74"/>
      <c r="BD3667" s="77"/>
      <c r="BF3667">
        <v>71.06</v>
      </c>
      <c r="BH3667" s="42"/>
      <c r="BI3667" s="74"/>
      <c r="BJ3667" s="77"/>
      <c r="BL3667" s="497">
        <v>59</v>
      </c>
      <c r="BN3667" s="42"/>
      <c r="BO3667" s="74"/>
      <c r="BP3667" s="77"/>
      <c r="BR3667" s="497">
        <v>48.019999999999996</v>
      </c>
      <c r="BT3667" s="42"/>
    </row>
    <row r="3668" spans="1:72" x14ac:dyDescent="0.25">
      <c r="A3668" s="90">
        <v>34487</v>
      </c>
      <c r="B3668" s="20">
        <v>8.3333333333333329E-2</v>
      </c>
      <c r="D3668">
        <v>62.06</v>
      </c>
      <c r="E3668" t="str">
        <f t="shared" si="150"/>
        <v>WEEKDAY</v>
      </c>
      <c r="F3668" t="e">
        <f t="shared" si="149"/>
        <v>#N/A</v>
      </c>
      <c r="G3668" s="74">
        <v>33026</v>
      </c>
      <c r="H3668" s="77">
        <v>8.3333333333333329E-2</v>
      </c>
      <c r="J3668">
        <v>66.92</v>
      </c>
      <c r="M3668" s="74">
        <v>37774</v>
      </c>
      <c r="N3668" s="77">
        <v>8.3333333333333329E-2</v>
      </c>
      <c r="P3668">
        <v>50</v>
      </c>
      <c r="S3668" s="74">
        <v>34487</v>
      </c>
      <c r="T3668" s="77">
        <v>8.3333333333333329E-2</v>
      </c>
      <c r="V3668">
        <v>60.980000000000004</v>
      </c>
      <c r="X3668" s="42"/>
      <c r="AB3668">
        <v>62</v>
      </c>
      <c r="AC3668">
        <v>57.92</v>
      </c>
      <c r="AE3668" s="74"/>
      <c r="AF3668" s="77"/>
      <c r="AH3668" s="497">
        <v>57.2</v>
      </c>
      <c r="AJ3668" s="42"/>
      <c r="AK3668" s="74"/>
      <c r="AL3668" s="77"/>
      <c r="AN3668" s="497">
        <v>42.08</v>
      </c>
      <c r="AP3668" s="42"/>
      <c r="AQ3668" s="74"/>
      <c r="AR3668" s="77"/>
      <c r="AT3668" s="497">
        <v>51.08</v>
      </c>
      <c r="AV3668" s="42"/>
      <c r="AW3668" s="74"/>
      <c r="AX3668" s="77"/>
      <c r="BA3668" s="497">
        <v>57.74</v>
      </c>
      <c r="BB3668" s="42"/>
      <c r="BC3668" s="74"/>
      <c r="BD3668" s="77"/>
      <c r="BF3668">
        <v>69.98</v>
      </c>
      <c r="BH3668" s="42"/>
      <c r="BI3668" s="74"/>
      <c r="BJ3668" s="77"/>
      <c r="BL3668" s="497">
        <v>59</v>
      </c>
      <c r="BN3668" s="42"/>
      <c r="BO3668" s="74"/>
      <c r="BP3668" s="77"/>
      <c r="BR3668" s="497">
        <v>46.04</v>
      </c>
      <c r="BT3668" s="42"/>
    </row>
    <row r="3669" spans="1:72" x14ac:dyDescent="0.25">
      <c r="A3669" s="90">
        <v>34487</v>
      </c>
      <c r="B3669" s="20">
        <v>0.125</v>
      </c>
      <c r="D3669">
        <v>62.06</v>
      </c>
      <c r="E3669" t="str">
        <f t="shared" si="150"/>
        <v>WEEKDAY</v>
      </c>
      <c r="F3669" t="e">
        <f t="shared" si="149"/>
        <v>#N/A</v>
      </c>
      <c r="G3669" s="74">
        <v>33026</v>
      </c>
      <c r="H3669" s="77">
        <v>0.125</v>
      </c>
      <c r="J3669">
        <v>66.92</v>
      </c>
      <c r="M3669" s="74">
        <v>37774</v>
      </c>
      <c r="N3669" s="77">
        <v>0.125</v>
      </c>
      <c r="P3669">
        <v>50</v>
      </c>
      <c r="S3669" s="74">
        <v>34487</v>
      </c>
      <c r="T3669" s="77">
        <v>0.125</v>
      </c>
      <c r="V3669">
        <v>59</v>
      </c>
      <c r="X3669" s="42"/>
      <c r="AB3669">
        <v>61.5</v>
      </c>
      <c r="AC3669">
        <v>55.040000000000006</v>
      </c>
      <c r="AE3669" s="74"/>
      <c r="AF3669" s="77"/>
      <c r="AH3669" s="497">
        <v>57.2</v>
      </c>
      <c r="AJ3669" s="42"/>
      <c r="AK3669" s="74"/>
      <c r="AL3669" s="77"/>
      <c r="AN3669" s="497">
        <v>41</v>
      </c>
      <c r="AP3669" s="42"/>
      <c r="AQ3669" s="74"/>
      <c r="AR3669" s="77"/>
      <c r="AT3669" s="497">
        <v>51.08</v>
      </c>
      <c r="AV3669" s="42"/>
      <c r="AW3669" s="74"/>
      <c r="AX3669" s="77"/>
      <c r="BA3669" s="497">
        <v>56.3</v>
      </c>
      <c r="BB3669" s="42"/>
      <c r="BC3669" s="74"/>
      <c r="BD3669" s="77"/>
      <c r="BF3669">
        <v>69.080000000000013</v>
      </c>
      <c r="BH3669" s="42"/>
      <c r="BI3669" s="74"/>
      <c r="BJ3669" s="77"/>
      <c r="BL3669" s="497">
        <v>64.039999999999992</v>
      </c>
      <c r="BN3669" s="42"/>
      <c r="BO3669" s="74"/>
      <c r="BP3669" s="77"/>
      <c r="BR3669" s="497">
        <v>44.06</v>
      </c>
      <c r="BT3669" s="42"/>
    </row>
    <row r="3670" spans="1:72" x14ac:dyDescent="0.25">
      <c r="A3670" s="90">
        <v>34487</v>
      </c>
      <c r="B3670" s="20">
        <v>0.16666666666666666</v>
      </c>
      <c r="D3670">
        <v>60.980000000000004</v>
      </c>
      <c r="E3670" t="str">
        <f t="shared" si="150"/>
        <v>WEEKDAY</v>
      </c>
      <c r="F3670" t="e">
        <f t="shared" si="149"/>
        <v>#N/A</v>
      </c>
      <c r="G3670" s="74">
        <v>33026</v>
      </c>
      <c r="H3670" s="77">
        <v>0.16666666666666666</v>
      </c>
      <c r="J3670">
        <v>66.02</v>
      </c>
      <c r="M3670" s="74">
        <v>37774</v>
      </c>
      <c r="N3670" s="77">
        <v>0.16666666666666666</v>
      </c>
      <c r="P3670">
        <v>50</v>
      </c>
      <c r="S3670" s="74">
        <v>34487</v>
      </c>
      <c r="T3670" s="77">
        <v>0.16666666666666666</v>
      </c>
      <c r="V3670">
        <v>57.92</v>
      </c>
      <c r="X3670" s="42"/>
      <c r="AB3670">
        <v>61</v>
      </c>
      <c r="AC3670">
        <v>53.96</v>
      </c>
      <c r="AE3670" s="74"/>
      <c r="AF3670" s="77"/>
      <c r="AH3670" s="497">
        <v>57.2</v>
      </c>
      <c r="AJ3670" s="42"/>
      <c r="AK3670" s="74"/>
      <c r="AL3670" s="77"/>
      <c r="AN3670" s="497">
        <v>39.019999999999996</v>
      </c>
      <c r="AP3670" s="42"/>
      <c r="AQ3670" s="74"/>
      <c r="AR3670" s="77"/>
      <c r="AT3670" s="497">
        <v>50</v>
      </c>
      <c r="AV3670" s="42"/>
      <c r="AW3670" s="74"/>
      <c r="AX3670" s="77"/>
      <c r="BA3670" s="497">
        <v>55.040000000000006</v>
      </c>
      <c r="BB3670" s="42"/>
      <c r="BC3670" s="74"/>
      <c r="BD3670" s="77"/>
      <c r="BF3670">
        <v>68</v>
      </c>
      <c r="BH3670" s="42"/>
      <c r="BI3670" s="74"/>
      <c r="BJ3670" s="77"/>
      <c r="BL3670" s="497">
        <v>62.96</v>
      </c>
      <c r="BN3670" s="42"/>
      <c r="BO3670" s="74"/>
      <c r="BP3670" s="77"/>
      <c r="BR3670" s="497">
        <v>44.06</v>
      </c>
      <c r="BT3670" s="42"/>
    </row>
    <row r="3671" spans="1:72" x14ac:dyDescent="0.25">
      <c r="A3671" s="90">
        <v>34487</v>
      </c>
      <c r="B3671" s="20">
        <v>0.20833333333333334</v>
      </c>
      <c r="D3671">
        <v>62.06</v>
      </c>
      <c r="E3671" t="str">
        <f t="shared" si="150"/>
        <v>WEEKDAY</v>
      </c>
      <c r="F3671" t="e">
        <f t="shared" si="149"/>
        <v>#N/A</v>
      </c>
      <c r="G3671" s="74">
        <v>33026</v>
      </c>
      <c r="H3671" s="77">
        <v>0.20833333333333334</v>
      </c>
      <c r="J3671">
        <v>66.02</v>
      </c>
      <c r="M3671" s="74">
        <v>37774</v>
      </c>
      <c r="N3671" s="77">
        <v>0.20833333333333334</v>
      </c>
      <c r="P3671">
        <v>48.2</v>
      </c>
      <c r="S3671" s="74">
        <v>34487</v>
      </c>
      <c r="T3671" s="77">
        <v>0.20833333333333334</v>
      </c>
      <c r="V3671">
        <v>57.019999999999996</v>
      </c>
      <c r="X3671" s="42"/>
      <c r="AB3671">
        <v>60.6</v>
      </c>
      <c r="AC3671">
        <v>53.06</v>
      </c>
      <c r="AE3671" s="74"/>
      <c r="AF3671" s="77"/>
      <c r="AH3671" s="497">
        <v>57.2</v>
      </c>
      <c r="AJ3671" s="42"/>
      <c r="AK3671" s="74"/>
      <c r="AL3671" s="77"/>
      <c r="AN3671" s="497">
        <v>39.019999999999996</v>
      </c>
      <c r="AP3671" s="42"/>
      <c r="AQ3671" s="74"/>
      <c r="AR3671" s="77"/>
      <c r="AT3671" s="497">
        <v>50</v>
      </c>
      <c r="AV3671" s="42"/>
      <c r="AW3671" s="74"/>
      <c r="AX3671" s="77"/>
      <c r="BA3671" s="497">
        <v>57.379999999999995</v>
      </c>
      <c r="BB3671" s="42"/>
      <c r="BC3671" s="74"/>
      <c r="BD3671" s="77"/>
      <c r="BF3671">
        <v>68</v>
      </c>
      <c r="BH3671" s="42"/>
      <c r="BI3671" s="74"/>
      <c r="BJ3671" s="77"/>
      <c r="BL3671" s="497">
        <v>62.96</v>
      </c>
      <c r="BN3671" s="42"/>
      <c r="BO3671" s="74"/>
      <c r="BP3671" s="77"/>
      <c r="BR3671" s="497">
        <v>44.96</v>
      </c>
      <c r="BT3671" s="42"/>
    </row>
    <row r="3672" spans="1:72" x14ac:dyDescent="0.25">
      <c r="A3672" s="90">
        <v>34487</v>
      </c>
      <c r="B3672" s="20">
        <v>0.25</v>
      </c>
      <c r="D3672">
        <v>62.96</v>
      </c>
      <c r="E3672" t="str">
        <f t="shared" si="150"/>
        <v>WEEKDAY</v>
      </c>
      <c r="F3672" t="e">
        <f t="shared" si="149"/>
        <v>#N/A</v>
      </c>
      <c r="G3672" s="74">
        <v>33026</v>
      </c>
      <c r="H3672" s="77">
        <v>0.25</v>
      </c>
      <c r="J3672">
        <v>66.92</v>
      </c>
      <c r="M3672" s="74">
        <v>37774</v>
      </c>
      <c r="N3672" s="77">
        <v>0.25</v>
      </c>
      <c r="P3672">
        <v>48.2</v>
      </c>
      <c r="S3672" s="74">
        <v>34487</v>
      </c>
      <c r="T3672" s="77">
        <v>0.25</v>
      </c>
      <c r="V3672">
        <v>57.019999999999996</v>
      </c>
      <c r="X3672" s="42"/>
      <c r="AB3672">
        <v>60.5</v>
      </c>
      <c r="AC3672">
        <v>55.040000000000006</v>
      </c>
      <c r="AE3672" s="74"/>
      <c r="AF3672" s="77"/>
      <c r="AH3672" s="497">
        <v>57.2</v>
      </c>
      <c r="AJ3672" s="42"/>
      <c r="AK3672" s="74"/>
      <c r="AL3672" s="77"/>
      <c r="AN3672" s="497">
        <v>41</v>
      </c>
      <c r="AP3672" s="42"/>
      <c r="AQ3672" s="74"/>
      <c r="AR3672" s="77"/>
      <c r="AT3672" s="497">
        <v>48.92</v>
      </c>
      <c r="AV3672" s="42"/>
      <c r="AW3672" s="74"/>
      <c r="AX3672" s="77"/>
      <c r="BA3672" s="497">
        <v>59.72</v>
      </c>
      <c r="BB3672" s="42"/>
      <c r="BC3672" s="74"/>
      <c r="BD3672" s="77"/>
      <c r="BF3672">
        <v>69.98</v>
      </c>
      <c r="BH3672" s="42"/>
      <c r="BI3672" s="74"/>
      <c r="BJ3672" s="77"/>
      <c r="BL3672" s="497">
        <v>64.039999999999992</v>
      </c>
      <c r="BN3672" s="42"/>
      <c r="BO3672" s="74"/>
      <c r="BP3672" s="77"/>
      <c r="BR3672" s="497">
        <v>46.94</v>
      </c>
      <c r="BT3672" s="42"/>
    </row>
    <row r="3673" spans="1:72" x14ac:dyDescent="0.25">
      <c r="A3673" s="90">
        <v>34487</v>
      </c>
      <c r="B3673" s="20">
        <v>0.29166666666666669</v>
      </c>
      <c r="D3673">
        <v>64.94</v>
      </c>
      <c r="E3673" t="str">
        <f t="shared" si="150"/>
        <v>WEEKDAY</v>
      </c>
      <c r="F3673" t="e">
        <f t="shared" si="149"/>
        <v>#N/A</v>
      </c>
      <c r="G3673" s="74">
        <v>33026</v>
      </c>
      <c r="H3673" s="77">
        <v>0.29166666666666669</v>
      </c>
      <c r="J3673">
        <v>69.080000000000013</v>
      </c>
      <c r="M3673" s="74">
        <v>37774</v>
      </c>
      <c r="N3673" s="77">
        <v>0.29166666666666669</v>
      </c>
      <c r="P3673">
        <v>51.8</v>
      </c>
      <c r="S3673" s="74">
        <v>34487</v>
      </c>
      <c r="T3673" s="77">
        <v>0.29166666666666669</v>
      </c>
      <c r="V3673">
        <v>57.92</v>
      </c>
      <c r="X3673" s="42"/>
      <c r="AB3673">
        <v>62</v>
      </c>
      <c r="AC3673">
        <v>55.94</v>
      </c>
      <c r="AE3673" s="74"/>
      <c r="AF3673" s="77"/>
      <c r="AH3673" s="497">
        <v>59</v>
      </c>
      <c r="AJ3673" s="42"/>
      <c r="AK3673" s="74"/>
      <c r="AL3673" s="77"/>
      <c r="AN3673" s="497">
        <v>44.06</v>
      </c>
      <c r="AP3673" s="42"/>
      <c r="AQ3673" s="74"/>
      <c r="AR3673" s="77"/>
      <c r="AT3673" s="497">
        <v>50</v>
      </c>
      <c r="AV3673" s="42"/>
      <c r="AW3673" s="74"/>
      <c r="AX3673" s="77"/>
      <c r="BA3673" s="497">
        <v>62.06</v>
      </c>
      <c r="BB3673" s="42"/>
      <c r="BC3673" s="74"/>
      <c r="BD3673" s="77"/>
      <c r="BF3673">
        <v>71.06</v>
      </c>
      <c r="BH3673" s="42"/>
      <c r="BI3673" s="74"/>
      <c r="BJ3673" s="77"/>
      <c r="BL3673" s="497">
        <v>66.92</v>
      </c>
      <c r="BN3673" s="42"/>
      <c r="BO3673" s="74"/>
      <c r="BP3673" s="77"/>
      <c r="BR3673" s="497">
        <v>55.94</v>
      </c>
      <c r="BT3673" s="42"/>
    </row>
    <row r="3674" spans="1:72" x14ac:dyDescent="0.25">
      <c r="A3674" s="90">
        <v>34487</v>
      </c>
      <c r="B3674" s="20">
        <v>0.33333333333333331</v>
      </c>
      <c r="D3674">
        <v>68</v>
      </c>
      <c r="E3674" t="str">
        <f t="shared" si="150"/>
        <v>WEEKDAY</v>
      </c>
      <c r="F3674" t="e">
        <f t="shared" si="149"/>
        <v>#N/A</v>
      </c>
      <c r="G3674" s="74">
        <v>33026</v>
      </c>
      <c r="H3674" s="77">
        <v>0.33333333333333331</v>
      </c>
      <c r="J3674">
        <v>71.06</v>
      </c>
      <c r="M3674" s="74">
        <v>37774</v>
      </c>
      <c r="N3674" s="77">
        <v>0.33333333333333331</v>
      </c>
      <c r="P3674">
        <v>55.58</v>
      </c>
      <c r="S3674" s="74">
        <v>34487</v>
      </c>
      <c r="T3674" s="77">
        <v>0.33333333333333331</v>
      </c>
      <c r="V3674">
        <v>60.980000000000004</v>
      </c>
      <c r="X3674" s="42"/>
      <c r="AB3674">
        <v>63.9</v>
      </c>
      <c r="AC3674">
        <v>59</v>
      </c>
      <c r="AE3674" s="74"/>
      <c r="AF3674" s="77"/>
      <c r="AH3674" s="497">
        <v>69.800000000000011</v>
      </c>
      <c r="AJ3674" s="42"/>
      <c r="AK3674" s="74"/>
      <c r="AL3674" s="77"/>
      <c r="AN3674" s="497">
        <v>48.92</v>
      </c>
      <c r="AP3674" s="42"/>
      <c r="AQ3674" s="74"/>
      <c r="AR3674" s="77"/>
      <c r="AT3674" s="497">
        <v>50</v>
      </c>
      <c r="AV3674" s="42"/>
      <c r="AW3674" s="74"/>
      <c r="AX3674" s="77"/>
      <c r="BA3674" s="497">
        <v>65.66</v>
      </c>
      <c r="BB3674" s="42"/>
      <c r="BC3674" s="74"/>
      <c r="BD3674" s="77"/>
      <c r="BF3674">
        <v>73.039999999999992</v>
      </c>
      <c r="BH3674" s="42"/>
      <c r="BI3674" s="74"/>
      <c r="BJ3674" s="77"/>
      <c r="BL3674" s="497">
        <v>68</v>
      </c>
      <c r="BN3674" s="42"/>
      <c r="BO3674" s="74"/>
      <c r="BP3674" s="77"/>
      <c r="BR3674" s="497">
        <v>60.980000000000004</v>
      </c>
      <c r="BT3674" s="42"/>
    </row>
    <row r="3675" spans="1:72" x14ac:dyDescent="0.25">
      <c r="A3675" s="90">
        <v>34487</v>
      </c>
      <c r="B3675" s="20">
        <v>0.375</v>
      </c>
      <c r="D3675">
        <v>71.06</v>
      </c>
      <c r="E3675" t="str">
        <f t="shared" si="150"/>
        <v>WEEKDAY</v>
      </c>
      <c r="F3675" t="e">
        <f t="shared" si="149"/>
        <v>#N/A</v>
      </c>
      <c r="G3675" s="74">
        <v>33026</v>
      </c>
      <c r="H3675" s="77">
        <v>0.375</v>
      </c>
      <c r="J3675">
        <v>73.94</v>
      </c>
      <c r="M3675" s="74">
        <v>37774</v>
      </c>
      <c r="N3675" s="77">
        <v>0.375</v>
      </c>
      <c r="P3675">
        <v>59</v>
      </c>
      <c r="S3675" s="74">
        <v>34487</v>
      </c>
      <c r="T3675" s="77">
        <v>0.375</v>
      </c>
      <c r="V3675">
        <v>60.980000000000004</v>
      </c>
      <c r="X3675" s="42"/>
      <c r="AB3675">
        <v>66</v>
      </c>
      <c r="AC3675">
        <v>60.980000000000004</v>
      </c>
      <c r="AE3675" s="74"/>
      <c r="AF3675" s="77"/>
      <c r="AH3675" s="497">
        <v>73.400000000000006</v>
      </c>
      <c r="AJ3675" s="42"/>
      <c r="AK3675" s="74"/>
      <c r="AL3675" s="77"/>
      <c r="AN3675" s="497">
        <v>51.980000000000004</v>
      </c>
      <c r="AP3675" s="42"/>
      <c r="AQ3675" s="74"/>
      <c r="AR3675" s="77"/>
      <c r="AT3675" s="497">
        <v>51.08</v>
      </c>
      <c r="AV3675" s="42"/>
      <c r="AW3675" s="74"/>
      <c r="AX3675" s="77"/>
      <c r="BA3675" s="497">
        <v>69.44</v>
      </c>
      <c r="BB3675" s="42"/>
      <c r="BC3675" s="74"/>
      <c r="BD3675" s="77"/>
      <c r="BF3675">
        <v>75.92</v>
      </c>
      <c r="BH3675" s="42"/>
      <c r="BI3675" s="74"/>
      <c r="BJ3675" s="77"/>
      <c r="BL3675" s="497">
        <v>66.92</v>
      </c>
      <c r="BN3675" s="42"/>
      <c r="BO3675" s="74"/>
      <c r="BP3675" s="77"/>
      <c r="BR3675" s="497">
        <v>66.02</v>
      </c>
      <c r="BT3675" s="42"/>
    </row>
    <row r="3676" spans="1:72" x14ac:dyDescent="0.25">
      <c r="A3676" s="90">
        <v>34487</v>
      </c>
      <c r="B3676" s="20">
        <v>0.41666666666666669</v>
      </c>
      <c r="D3676">
        <v>73.94</v>
      </c>
      <c r="E3676" t="str">
        <f t="shared" si="150"/>
        <v>WEEKDAY</v>
      </c>
      <c r="F3676" t="e">
        <f t="shared" si="149"/>
        <v>#N/A</v>
      </c>
      <c r="G3676" s="74">
        <v>33026</v>
      </c>
      <c r="H3676" s="77">
        <v>0.41666666666666669</v>
      </c>
      <c r="J3676">
        <v>77</v>
      </c>
      <c r="M3676" s="74">
        <v>37774</v>
      </c>
      <c r="N3676" s="77">
        <v>0.41666666666666669</v>
      </c>
      <c r="P3676">
        <v>62.6</v>
      </c>
      <c r="S3676" s="74">
        <v>34487</v>
      </c>
      <c r="T3676" s="77">
        <v>0.41666666666666669</v>
      </c>
      <c r="V3676">
        <v>62.96</v>
      </c>
      <c r="X3676" s="42"/>
      <c r="AB3676">
        <v>67.7</v>
      </c>
      <c r="AC3676">
        <v>62.96</v>
      </c>
      <c r="AE3676" s="74"/>
      <c r="AF3676" s="77"/>
      <c r="AH3676" s="497">
        <v>77</v>
      </c>
      <c r="AJ3676" s="42"/>
      <c r="AK3676" s="74"/>
      <c r="AL3676" s="77"/>
      <c r="AN3676" s="497">
        <v>55.040000000000006</v>
      </c>
      <c r="AP3676" s="42"/>
      <c r="AQ3676" s="74"/>
      <c r="AR3676" s="77"/>
      <c r="AT3676" s="497">
        <v>51.980000000000004</v>
      </c>
      <c r="AV3676" s="42"/>
      <c r="AW3676" s="74"/>
      <c r="AX3676" s="77"/>
      <c r="BA3676" s="497">
        <v>73.039999999999992</v>
      </c>
      <c r="BB3676" s="42"/>
      <c r="BC3676" s="74"/>
      <c r="BD3676" s="77"/>
      <c r="BF3676">
        <v>75.92</v>
      </c>
      <c r="BH3676" s="42"/>
      <c r="BI3676" s="74"/>
      <c r="BJ3676" s="77"/>
      <c r="BL3676" s="497">
        <v>66.02</v>
      </c>
      <c r="BN3676" s="42"/>
      <c r="BO3676" s="74"/>
      <c r="BP3676" s="77"/>
      <c r="BR3676" s="497">
        <v>71.06</v>
      </c>
      <c r="BT3676" s="42"/>
    </row>
    <row r="3677" spans="1:72" x14ac:dyDescent="0.25">
      <c r="A3677" s="90">
        <v>34487</v>
      </c>
      <c r="B3677" s="20">
        <v>0.45833333333333331</v>
      </c>
      <c r="D3677">
        <v>75.92</v>
      </c>
      <c r="E3677" t="str">
        <f t="shared" si="150"/>
        <v>WEEKDAY</v>
      </c>
      <c r="F3677" t="e">
        <f t="shared" si="149"/>
        <v>#N/A</v>
      </c>
      <c r="G3677" s="74">
        <v>33026</v>
      </c>
      <c r="H3677" s="77">
        <v>0.45833333333333331</v>
      </c>
      <c r="J3677">
        <v>80.960000000000008</v>
      </c>
      <c r="M3677" s="74">
        <v>37774</v>
      </c>
      <c r="N3677" s="77">
        <v>0.45833333333333331</v>
      </c>
      <c r="P3677">
        <v>64.400000000000006</v>
      </c>
      <c r="S3677" s="74">
        <v>34487</v>
      </c>
      <c r="T3677" s="77">
        <v>0.45833333333333331</v>
      </c>
      <c r="V3677">
        <v>64.94</v>
      </c>
      <c r="X3677" s="42"/>
      <c r="AB3677">
        <v>69.3</v>
      </c>
      <c r="AC3677">
        <v>64.039999999999992</v>
      </c>
      <c r="AE3677" s="74"/>
      <c r="AF3677" s="77"/>
      <c r="AH3677" s="497">
        <v>82.4</v>
      </c>
      <c r="AJ3677" s="42"/>
      <c r="AK3677" s="74"/>
      <c r="AL3677" s="77"/>
      <c r="AN3677" s="497">
        <v>53.06</v>
      </c>
      <c r="AP3677" s="42"/>
      <c r="AQ3677" s="74"/>
      <c r="AR3677" s="77"/>
      <c r="AT3677" s="497">
        <v>51.980000000000004</v>
      </c>
      <c r="AV3677" s="42"/>
      <c r="AW3677" s="74"/>
      <c r="AX3677" s="77"/>
      <c r="BA3677" s="497">
        <v>72.319999999999993</v>
      </c>
      <c r="BB3677" s="42"/>
      <c r="BC3677" s="74"/>
      <c r="BD3677" s="77"/>
      <c r="BF3677">
        <v>75.92</v>
      </c>
      <c r="BH3677" s="42"/>
      <c r="BI3677" s="74"/>
      <c r="BJ3677" s="77"/>
      <c r="BL3677" s="497">
        <v>71.960000000000008</v>
      </c>
      <c r="BN3677" s="42"/>
      <c r="BO3677" s="74"/>
      <c r="BP3677" s="77"/>
      <c r="BR3677" s="497">
        <v>73.94</v>
      </c>
      <c r="BT3677" s="42"/>
    </row>
    <row r="3678" spans="1:72" x14ac:dyDescent="0.25">
      <c r="A3678" s="90">
        <v>34487</v>
      </c>
      <c r="B3678" s="20">
        <v>0.5</v>
      </c>
      <c r="D3678">
        <v>77</v>
      </c>
      <c r="E3678" t="str">
        <f t="shared" si="150"/>
        <v>WEEKDAY</v>
      </c>
      <c r="F3678" t="e">
        <f t="shared" si="149"/>
        <v>#N/A</v>
      </c>
      <c r="G3678" s="74">
        <v>33026</v>
      </c>
      <c r="H3678" s="77">
        <v>0.5</v>
      </c>
      <c r="J3678">
        <v>84.02</v>
      </c>
      <c r="M3678" s="74">
        <v>37774</v>
      </c>
      <c r="N3678" s="77">
        <v>0.5</v>
      </c>
      <c r="P3678">
        <v>66.2</v>
      </c>
      <c r="S3678" s="74">
        <v>34487</v>
      </c>
      <c r="T3678" s="77">
        <v>0.5</v>
      </c>
      <c r="V3678">
        <v>66.92</v>
      </c>
      <c r="X3678" s="42"/>
      <c r="AB3678">
        <v>70.5</v>
      </c>
      <c r="AC3678">
        <v>66.92</v>
      </c>
      <c r="AE3678" s="74"/>
      <c r="AF3678" s="77"/>
      <c r="AH3678" s="497">
        <v>86</v>
      </c>
      <c r="AJ3678" s="42"/>
      <c r="AK3678" s="74"/>
      <c r="AL3678" s="77"/>
      <c r="AN3678" s="497">
        <v>50</v>
      </c>
      <c r="AP3678" s="42"/>
      <c r="AQ3678" s="74"/>
      <c r="AR3678" s="77"/>
      <c r="AT3678" s="497">
        <v>55.040000000000006</v>
      </c>
      <c r="AV3678" s="42"/>
      <c r="AW3678" s="74"/>
      <c r="AX3678" s="77"/>
      <c r="BA3678" s="497">
        <v>71.78</v>
      </c>
      <c r="BB3678" s="42"/>
      <c r="BC3678" s="74"/>
      <c r="BD3678" s="77"/>
      <c r="BF3678">
        <v>75.92</v>
      </c>
      <c r="BH3678" s="42"/>
      <c r="BI3678" s="74"/>
      <c r="BJ3678" s="77"/>
      <c r="BL3678" s="497">
        <v>71.960000000000008</v>
      </c>
      <c r="BN3678" s="42"/>
      <c r="BO3678" s="74"/>
      <c r="BP3678" s="77"/>
      <c r="BR3678" s="497">
        <v>78.080000000000013</v>
      </c>
      <c r="BT3678" s="42"/>
    </row>
    <row r="3679" spans="1:72" x14ac:dyDescent="0.25">
      <c r="A3679" s="90">
        <v>34487</v>
      </c>
      <c r="B3679" s="20">
        <v>0.54166666666666663</v>
      </c>
      <c r="D3679">
        <v>78.080000000000013</v>
      </c>
      <c r="E3679" t="str">
        <f t="shared" si="150"/>
        <v>WEEKDAY</v>
      </c>
      <c r="F3679" t="e">
        <f t="shared" si="149"/>
        <v>#N/A</v>
      </c>
      <c r="G3679" s="74">
        <v>33026</v>
      </c>
      <c r="H3679" s="77">
        <v>0.54166666666666663</v>
      </c>
      <c r="J3679">
        <v>84.92</v>
      </c>
      <c r="M3679" s="74">
        <v>37774</v>
      </c>
      <c r="N3679" s="77">
        <v>0.54166666666666663</v>
      </c>
      <c r="P3679">
        <v>66.2</v>
      </c>
      <c r="S3679" s="74">
        <v>34487</v>
      </c>
      <c r="T3679" s="77">
        <v>0.54166666666666663</v>
      </c>
      <c r="V3679">
        <v>69.080000000000013</v>
      </c>
      <c r="X3679" s="42"/>
      <c r="AB3679">
        <v>71.3</v>
      </c>
      <c r="AC3679">
        <v>69.080000000000013</v>
      </c>
      <c r="AE3679" s="74"/>
      <c r="AF3679" s="77"/>
      <c r="AH3679" s="497">
        <v>89.6</v>
      </c>
      <c r="AJ3679" s="42"/>
      <c r="AK3679" s="74"/>
      <c r="AL3679" s="77"/>
      <c r="AN3679" s="497">
        <v>48.92</v>
      </c>
      <c r="AP3679" s="42"/>
      <c r="AQ3679" s="74"/>
      <c r="AR3679" s="77"/>
      <c r="AT3679" s="497">
        <v>57.92</v>
      </c>
      <c r="AV3679" s="42"/>
      <c r="AW3679" s="74"/>
      <c r="AX3679" s="77"/>
      <c r="BA3679" s="497">
        <v>71.06</v>
      </c>
      <c r="BB3679" s="42"/>
      <c r="BC3679" s="74"/>
      <c r="BD3679" s="77"/>
      <c r="BF3679">
        <v>77</v>
      </c>
      <c r="BH3679" s="42"/>
      <c r="BI3679" s="74"/>
      <c r="BJ3679" s="77"/>
      <c r="BL3679" s="497">
        <v>71.960000000000008</v>
      </c>
      <c r="BN3679" s="42"/>
      <c r="BO3679" s="74"/>
      <c r="BP3679" s="77"/>
      <c r="BR3679" s="497">
        <v>75.92</v>
      </c>
      <c r="BT3679" s="42"/>
    </row>
    <row r="3680" spans="1:72" x14ac:dyDescent="0.25">
      <c r="A3680" s="90">
        <v>34487</v>
      </c>
      <c r="B3680" s="20">
        <v>0.58333333333333337</v>
      </c>
      <c r="D3680">
        <v>78.98</v>
      </c>
      <c r="E3680" t="str">
        <f t="shared" si="150"/>
        <v>WEEKDAY</v>
      </c>
      <c r="F3680" t="e">
        <f t="shared" si="149"/>
        <v>#N/A</v>
      </c>
      <c r="G3680" s="74">
        <v>33026</v>
      </c>
      <c r="H3680" s="77">
        <v>0.58333333333333337</v>
      </c>
      <c r="J3680">
        <v>84.92</v>
      </c>
      <c r="M3680" s="74">
        <v>37774</v>
      </c>
      <c r="N3680" s="77">
        <v>0.58333333333333337</v>
      </c>
      <c r="P3680">
        <v>69.800000000000011</v>
      </c>
      <c r="S3680" s="74">
        <v>34487</v>
      </c>
      <c r="T3680" s="77">
        <v>0.58333333333333337</v>
      </c>
      <c r="V3680">
        <v>73.94</v>
      </c>
      <c r="X3680" s="42"/>
      <c r="AB3680">
        <v>71.7</v>
      </c>
      <c r="AC3680">
        <v>69.98</v>
      </c>
      <c r="AE3680" s="74"/>
      <c r="AF3680" s="77"/>
      <c r="AH3680" s="497">
        <v>89.6</v>
      </c>
      <c r="AJ3680" s="42"/>
      <c r="AK3680" s="74"/>
      <c r="AL3680" s="77"/>
      <c r="AN3680" s="497">
        <v>48.92</v>
      </c>
      <c r="AP3680" s="42"/>
      <c r="AQ3680" s="74"/>
      <c r="AR3680" s="77"/>
      <c r="AT3680" s="497">
        <v>60.980000000000004</v>
      </c>
      <c r="AV3680" s="42"/>
      <c r="AW3680" s="74"/>
      <c r="AX3680" s="77"/>
      <c r="BA3680" s="497">
        <v>71.960000000000008</v>
      </c>
      <c r="BB3680" s="42"/>
      <c r="BC3680" s="74"/>
      <c r="BD3680" s="77"/>
      <c r="BF3680">
        <v>75.92</v>
      </c>
      <c r="BH3680" s="42"/>
      <c r="BI3680" s="74"/>
      <c r="BJ3680" s="77"/>
      <c r="BL3680" s="497">
        <v>71.960000000000008</v>
      </c>
      <c r="BN3680" s="42"/>
      <c r="BO3680" s="74"/>
      <c r="BP3680" s="77"/>
      <c r="BR3680" s="497">
        <v>75.92</v>
      </c>
      <c r="BT3680" s="42"/>
    </row>
    <row r="3681" spans="1:72" x14ac:dyDescent="0.25">
      <c r="A3681" s="90">
        <v>34487</v>
      </c>
      <c r="B3681" s="20">
        <v>0.625</v>
      </c>
      <c r="D3681">
        <v>80.06</v>
      </c>
      <c r="E3681" t="str">
        <f t="shared" si="150"/>
        <v>WEEKDAY</v>
      </c>
      <c r="F3681" t="e">
        <f t="shared" si="149"/>
        <v>#N/A</v>
      </c>
      <c r="G3681" s="74">
        <v>33026</v>
      </c>
      <c r="H3681" s="77">
        <v>0.625</v>
      </c>
      <c r="J3681">
        <v>86</v>
      </c>
      <c r="M3681" s="74">
        <v>37774</v>
      </c>
      <c r="N3681" s="77">
        <v>0.625</v>
      </c>
      <c r="P3681">
        <v>69.800000000000011</v>
      </c>
      <c r="S3681" s="74">
        <v>34487</v>
      </c>
      <c r="T3681" s="77">
        <v>0.625</v>
      </c>
      <c r="V3681">
        <v>71.960000000000008</v>
      </c>
      <c r="X3681" s="42"/>
      <c r="AB3681">
        <v>71.599999999999994</v>
      </c>
      <c r="AC3681">
        <v>69.080000000000013</v>
      </c>
      <c r="AE3681" s="74"/>
      <c r="AF3681" s="77"/>
      <c r="AH3681" s="497">
        <v>87.800000000000011</v>
      </c>
      <c r="AJ3681" s="42"/>
      <c r="AK3681" s="74"/>
      <c r="AL3681" s="77"/>
      <c r="AN3681" s="497">
        <v>48.92</v>
      </c>
      <c r="AP3681" s="42"/>
      <c r="AQ3681" s="74"/>
      <c r="AR3681" s="77"/>
      <c r="AT3681" s="497">
        <v>60.08</v>
      </c>
      <c r="AV3681" s="42"/>
      <c r="AW3681" s="74"/>
      <c r="AX3681" s="77"/>
      <c r="BA3681" s="497">
        <v>73.039999999999992</v>
      </c>
      <c r="BB3681" s="42"/>
      <c r="BC3681" s="74"/>
      <c r="BD3681" s="77"/>
      <c r="BF3681">
        <v>75.92</v>
      </c>
      <c r="BH3681" s="42"/>
      <c r="BI3681" s="74"/>
      <c r="BJ3681" s="77"/>
      <c r="BL3681" s="497">
        <v>75.92</v>
      </c>
      <c r="BN3681" s="42"/>
      <c r="BO3681" s="74"/>
      <c r="BP3681" s="77"/>
      <c r="BR3681" s="497">
        <v>77</v>
      </c>
      <c r="BT3681" s="42"/>
    </row>
    <row r="3682" spans="1:72" x14ac:dyDescent="0.25">
      <c r="A3682" s="90">
        <v>34487</v>
      </c>
      <c r="B3682" s="20">
        <v>0.66666666666666663</v>
      </c>
      <c r="D3682">
        <v>80.06</v>
      </c>
      <c r="E3682" t="str">
        <f t="shared" si="150"/>
        <v>WEEKDAY</v>
      </c>
      <c r="F3682" t="e">
        <f t="shared" si="149"/>
        <v>#N/A</v>
      </c>
      <c r="G3682" s="74">
        <v>33026</v>
      </c>
      <c r="H3682" s="77">
        <v>0.66666666666666663</v>
      </c>
      <c r="J3682">
        <v>84.92</v>
      </c>
      <c r="M3682" s="74">
        <v>37774</v>
      </c>
      <c r="N3682" s="77">
        <v>0.66666666666666663</v>
      </c>
      <c r="P3682">
        <v>69.800000000000011</v>
      </c>
      <c r="S3682" s="74">
        <v>34487</v>
      </c>
      <c r="T3682" s="77">
        <v>0.66666666666666663</v>
      </c>
      <c r="V3682">
        <v>71.960000000000008</v>
      </c>
      <c r="X3682" s="42"/>
      <c r="AB3682">
        <v>71.099999999999994</v>
      </c>
      <c r="AC3682">
        <v>69.98</v>
      </c>
      <c r="AE3682" s="74"/>
      <c r="AF3682" s="77"/>
      <c r="AH3682" s="497">
        <v>87.800000000000011</v>
      </c>
      <c r="AJ3682" s="42"/>
      <c r="AK3682" s="74"/>
      <c r="AL3682" s="77"/>
      <c r="AN3682" s="497">
        <v>51.980000000000004</v>
      </c>
      <c r="AP3682" s="42"/>
      <c r="AQ3682" s="74"/>
      <c r="AR3682" s="77"/>
      <c r="AT3682" s="497">
        <v>60.980000000000004</v>
      </c>
      <c r="AV3682" s="42"/>
      <c r="AW3682" s="74"/>
      <c r="AX3682" s="77"/>
      <c r="BA3682" s="497">
        <v>73.94</v>
      </c>
      <c r="BB3682" s="42"/>
      <c r="BC3682" s="74"/>
      <c r="BD3682" s="77"/>
      <c r="BF3682">
        <v>73.94</v>
      </c>
      <c r="BH3682" s="42"/>
      <c r="BI3682" s="74"/>
      <c r="BJ3682" s="77"/>
      <c r="BL3682" s="497">
        <v>75.92</v>
      </c>
      <c r="BN3682" s="42"/>
      <c r="BO3682" s="74"/>
      <c r="BP3682" s="77"/>
      <c r="BR3682" s="497">
        <v>75.02</v>
      </c>
      <c r="BT3682" s="42"/>
    </row>
    <row r="3683" spans="1:72" x14ac:dyDescent="0.25">
      <c r="A3683" s="90">
        <v>34487</v>
      </c>
      <c r="B3683" s="20">
        <v>0.70833333333333337</v>
      </c>
      <c r="D3683">
        <v>69.98</v>
      </c>
      <c r="E3683" t="str">
        <f t="shared" si="150"/>
        <v>WEEKDAY</v>
      </c>
      <c r="F3683" t="e">
        <f t="shared" si="149"/>
        <v>#N/A</v>
      </c>
      <c r="G3683" s="74">
        <v>33026</v>
      </c>
      <c r="H3683" s="77">
        <v>0.70833333333333337</v>
      </c>
      <c r="J3683">
        <v>82.039999999999992</v>
      </c>
      <c r="M3683" s="74">
        <v>37774</v>
      </c>
      <c r="N3683" s="77">
        <v>0.70833333333333337</v>
      </c>
      <c r="P3683">
        <v>68</v>
      </c>
      <c r="S3683" s="74">
        <v>34487</v>
      </c>
      <c r="T3683" s="77">
        <v>0.70833333333333337</v>
      </c>
      <c r="V3683">
        <v>69.98</v>
      </c>
      <c r="X3683" s="42"/>
      <c r="AB3683">
        <v>70.400000000000006</v>
      </c>
      <c r="AC3683">
        <v>66.02</v>
      </c>
      <c r="AE3683" s="74"/>
      <c r="AF3683" s="77"/>
      <c r="AH3683" s="497">
        <v>87.800000000000011</v>
      </c>
      <c r="AJ3683" s="42"/>
      <c r="AK3683" s="74"/>
      <c r="AL3683" s="77"/>
      <c r="AN3683" s="497">
        <v>53.06</v>
      </c>
      <c r="AP3683" s="42"/>
      <c r="AQ3683" s="74"/>
      <c r="AR3683" s="77"/>
      <c r="AT3683" s="497">
        <v>60.08</v>
      </c>
      <c r="AV3683" s="42"/>
      <c r="AW3683" s="74"/>
      <c r="AX3683" s="77"/>
      <c r="BA3683" s="497">
        <v>72.319999999999993</v>
      </c>
      <c r="BB3683" s="42"/>
      <c r="BC3683" s="74"/>
      <c r="BD3683" s="77"/>
      <c r="BF3683">
        <v>69.98</v>
      </c>
      <c r="BH3683" s="42"/>
      <c r="BI3683" s="74"/>
      <c r="BJ3683" s="77"/>
      <c r="BL3683" s="497">
        <v>75.02</v>
      </c>
      <c r="BN3683" s="42"/>
      <c r="BO3683" s="74"/>
      <c r="BP3683" s="77"/>
      <c r="BR3683" s="497">
        <v>78.080000000000013</v>
      </c>
      <c r="BT3683" s="42"/>
    </row>
    <row r="3684" spans="1:72" x14ac:dyDescent="0.25">
      <c r="A3684" s="90">
        <v>34487</v>
      </c>
      <c r="B3684" s="20">
        <v>0.75</v>
      </c>
      <c r="D3684">
        <v>71.960000000000008</v>
      </c>
      <c r="E3684" t="str">
        <f t="shared" si="150"/>
        <v>WEEKDAY</v>
      </c>
      <c r="F3684" t="e">
        <f t="shared" si="149"/>
        <v>#N/A</v>
      </c>
      <c r="G3684" s="74">
        <v>33026</v>
      </c>
      <c r="H3684" s="77">
        <v>0.75</v>
      </c>
      <c r="J3684">
        <v>80.960000000000008</v>
      </c>
      <c r="M3684" s="74">
        <v>37774</v>
      </c>
      <c r="N3684" s="77">
        <v>0.75</v>
      </c>
      <c r="P3684">
        <v>68</v>
      </c>
      <c r="S3684" s="74">
        <v>34487</v>
      </c>
      <c r="T3684" s="77">
        <v>0.75</v>
      </c>
      <c r="V3684">
        <v>66.02</v>
      </c>
      <c r="X3684" s="42"/>
      <c r="AB3684">
        <v>69.2</v>
      </c>
      <c r="AC3684">
        <v>62.96</v>
      </c>
      <c r="AE3684" s="74"/>
      <c r="AF3684" s="77"/>
      <c r="AH3684" s="497">
        <v>77</v>
      </c>
      <c r="AJ3684" s="42"/>
      <c r="AK3684" s="74"/>
      <c r="AL3684" s="77"/>
      <c r="AN3684" s="497">
        <v>53.06</v>
      </c>
      <c r="AP3684" s="42"/>
      <c r="AQ3684" s="74"/>
      <c r="AR3684" s="77"/>
      <c r="AT3684" s="497">
        <v>59</v>
      </c>
      <c r="AV3684" s="42"/>
      <c r="AW3684" s="74"/>
      <c r="AX3684" s="77"/>
      <c r="BA3684" s="497">
        <v>70.7</v>
      </c>
      <c r="BB3684" s="42"/>
      <c r="BC3684" s="74"/>
      <c r="BD3684" s="77"/>
      <c r="BF3684">
        <v>69.98</v>
      </c>
      <c r="BH3684" s="42"/>
      <c r="BI3684" s="74"/>
      <c r="BJ3684" s="77"/>
      <c r="BL3684" s="497">
        <v>73.039999999999992</v>
      </c>
      <c r="BN3684" s="42"/>
      <c r="BO3684" s="74"/>
      <c r="BP3684" s="77"/>
      <c r="BR3684" s="497">
        <v>73.94</v>
      </c>
      <c r="BT3684" s="42"/>
    </row>
    <row r="3685" spans="1:72" x14ac:dyDescent="0.25">
      <c r="A3685" s="90">
        <v>34487</v>
      </c>
      <c r="B3685" s="20">
        <v>0.79166666666666663</v>
      </c>
      <c r="D3685">
        <v>73.039999999999992</v>
      </c>
      <c r="E3685" t="str">
        <f t="shared" si="150"/>
        <v>WEEKDAY</v>
      </c>
      <c r="F3685" t="e">
        <f t="shared" si="149"/>
        <v>#N/A</v>
      </c>
      <c r="G3685" s="74">
        <v>33026</v>
      </c>
      <c r="H3685" s="77">
        <v>0.79166666666666663</v>
      </c>
      <c r="J3685">
        <v>78.080000000000013</v>
      </c>
      <c r="M3685" s="74">
        <v>37774</v>
      </c>
      <c r="N3685" s="77">
        <v>0.79166666666666663</v>
      </c>
      <c r="P3685">
        <v>64.400000000000006</v>
      </c>
      <c r="S3685" s="74">
        <v>34487</v>
      </c>
      <c r="T3685" s="77">
        <v>0.79166666666666663</v>
      </c>
      <c r="V3685">
        <v>62.06</v>
      </c>
      <c r="X3685" s="42"/>
      <c r="AB3685">
        <v>67.900000000000006</v>
      </c>
      <c r="AC3685">
        <v>60.08</v>
      </c>
      <c r="AE3685" s="74"/>
      <c r="AF3685" s="77"/>
      <c r="AH3685" s="497">
        <v>71.599999999999994</v>
      </c>
      <c r="AJ3685" s="42"/>
      <c r="AK3685" s="74"/>
      <c r="AL3685" s="77"/>
      <c r="AN3685" s="497">
        <v>51.980000000000004</v>
      </c>
      <c r="AP3685" s="42"/>
      <c r="AQ3685" s="74"/>
      <c r="AR3685" s="77"/>
      <c r="AT3685" s="497">
        <v>55.040000000000006</v>
      </c>
      <c r="AV3685" s="42"/>
      <c r="AW3685" s="74"/>
      <c r="AX3685" s="77"/>
      <c r="BA3685" s="497">
        <v>69.080000000000013</v>
      </c>
      <c r="BB3685" s="42"/>
      <c r="BC3685" s="74"/>
      <c r="BD3685" s="77"/>
      <c r="BF3685">
        <v>66.02</v>
      </c>
      <c r="BH3685" s="42"/>
      <c r="BI3685" s="74"/>
      <c r="BJ3685" s="77"/>
      <c r="BL3685" s="497">
        <v>69.98</v>
      </c>
      <c r="BN3685" s="42"/>
      <c r="BO3685" s="74"/>
      <c r="BP3685" s="77"/>
      <c r="BR3685" s="497">
        <v>71.06</v>
      </c>
      <c r="BT3685" s="42"/>
    </row>
    <row r="3686" spans="1:72" x14ac:dyDescent="0.25">
      <c r="A3686" s="90">
        <v>34487</v>
      </c>
      <c r="B3686" s="20">
        <v>0.83333333333333337</v>
      </c>
      <c r="D3686">
        <v>66.92</v>
      </c>
      <c r="E3686" t="str">
        <f t="shared" si="150"/>
        <v>WEEKDAY</v>
      </c>
      <c r="F3686" t="e">
        <f t="shared" si="149"/>
        <v>#N/A</v>
      </c>
      <c r="G3686" s="74">
        <v>33026</v>
      </c>
      <c r="H3686" s="77">
        <v>0.83333333333333337</v>
      </c>
      <c r="J3686">
        <v>73.94</v>
      </c>
      <c r="M3686" s="74">
        <v>37774</v>
      </c>
      <c r="N3686" s="77">
        <v>0.83333333333333337</v>
      </c>
      <c r="P3686">
        <v>59</v>
      </c>
      <c r="S3686" s="74">
        <v>34487</v>
      </c>
      <c r="T3686" s="77">
        <v>0.83333333333333337</v>
      </c>
      <c r="V3686">
        <v>60.980000000000004</v>
      </c>
      <c r="X3686" s="42"/>
      <c r="AB3686">
        <v>66.5</v>
      </c>
      <c r="AC3686">
        <v>59</v>
      </c>
      <c r="AE3686" s="74"/>
      <c r="AF3686" s="77"/>
      <c r="AH3686" s="497">
        <v>71.599999999999994</v>
      </c>
      <c r="AJ3686" s="42"/>
      <c r="AK3686" s="74"/>
      <c r="AL3686" s="77"/>
      <c r="AN3686" s="497">
        <v>48.92</v>
      </c>
      <c r="AP3686" s="42"/>
      <c r="AQ3686" s="74"/>
      <c r="AR3686" s="77"/>
      <c r="AT3686" s="497">
        <v>51.08</v>
      </c>
      <c r="AV3686" s="42"/>
      <c r="AW3686" s="74"/>
      <c r="AX3686" s="77"/>
      <c r="BA3686" s="497">
        <v>65.66</v>
      </c>
      <c r="BB3686" s="42"/>
      <c r="BC3686" s="74"/>
      <c r="BD3686" s="77"/>
      <c r="BF3686">
        <v>64.039999999999992</v>
      </c>
      <c r="BH3686" s="42"/>
      <c r="BI3686" s="74"/>
      <c r="BJ3686" s="77"/>
      <c r="BL3686" s="497">
        <v>64.039999999999992</v>
      </c>
      <c r="BN3686" s="42"/>
      <c r="BO3686" s="74"/>
      <c r="BP3686" s="77"/>
      <c r="BR3686" s="497">
        <v>66.92</v>
      </c>
      <c r="BT3686" s="42"/>
    </row>
    <row r="3687" spans="1:72" x14ac:dyDescent="0.25">
      <c r="A3687" s="90">
        <v>34487</v>
      </c>
      <c r="B3687" s="20">
        <v>0.875</v>
      </c>
      <c r="D3687">
        <v>68</v>
      </c>
      <c r="E3687" t="str">
        <f t="shared" si="150"/>
        <v>WEEKDAY</v>
      </c>
      <c r="F3687" t="e">
        <f t="shared" si="149"/>
        <v>#N/A</v>
      </c>
      <c r="G3687" s="74">
        <v>33026</v>
      </c>
      <c r="H3687" s="77">
        <v>0.875</v>
      </c>
      <c r="J3687">
        <v>73.94</v>
      </c>
      <c r="M3687" s="74">
        <v>37774</v>
      </c>
      <c r="N3687" s="77">
        <v>0.875</v>
      </c>
      <c r="P3687">
        <v>57.2</v>
      </c>
      <c r="S3687" s="74">
        <v>34487</v>
      </c>
      <c r="T3687" s="77">
        <v>0.875</v>
      </c>
      <c r="V3687">
        <v>60.08</v>
      </c>
      <c r="X3687" s="42"/>
      <c r="AB3687">
        <v>65.3</v>
      </c>
      <c r="AC3687">
        <v>57.92</v>
      </c>
      <c r="AE3687" s="74"/>
      <c r="AF3687" s="77"/>
      <c r="AH3687" s="497">
        <v>69.800000000000011</v>
      </c>
      <c r="AJ3687" s="42"/>
      <c r="AK3687" s="74"/>
      <c r="AL3687" s="77"/>
      <c r="AN3687" s="497">
        <v>46.94</v>
      </c>
      <c r="AP3687" s="42"/>
      <c r="AQ3687" s="74"/>
      <c r="AR3687" s="77"/>
      <c r="AT3687" s="497">
        <v>48.92</v>
      </c>
      <c r="AV3687" s="42"/>
      <c r="AW3687" s="74"/>
      <c r="AX3687" s="77"/>
      <c r="BA3687" s="497">
        <v>62.42</v>
      </c>
      <c r="BB3687" s="42"/>
      <c r="BC3687" s="74"/>
      <c r="BD3687" s="77"/>
      <c r="BF3687">
        <v>62.06</v>
      </c>
      <c r="BH3687" s="42"/>
      <c r="BI3687" s="74"/>
      <c r="BJ3687" s="77"/>
      <c r="BL3687" s="497">
        <v>64.039999999999992</v>
      </c>
      <c r="BN3687" s="42"/>
      <c r="BO3687" s="74"/>
      <c r="BP3687" s="77"/>
      <c r="BR3687" s="497">
        <v>69.080000000000013</v>
      </c>
      <c r="BT3687" s="42"/>
    </row>
    <row r="3688" spans="1:72" x14ac:dyDescent="0.25">
      <c r="A3688" s="90">
        <v>34487</v>
      </c>
      <c r="B3688" s="20">
        <v>0.91666666666666663</v>
      </c>
      <c r="D3688">
        <v>68</v>
      </c>
      <c r="E3688" t="str">
        <f t="shared" si="150"/>
        <v>WEEKDAY</v>
      </c>
      <c r="F3688" t="e">
        <f t="shared" si="149"/>
        <v>#N/A</v>
      </c>
      <c r="G3688" s="74">
        <v>33026</v>
      </c>
      <c r="H3688" s="77">
        <v>0.91666666666666663</v>
      </c>
      <c r="J3688">
        <v>73.94</v>
      </c>
      <c r="M3688" s="74">
        <v>37774</v>
      </c>
      <c r="N3688" s="77">
        <v>0.91666666666666663</v>
      </c>
      <c r="P3688">
        <v>59</v>
      </c>
      <c r="S3688" s="74">
        <v>34487</v>
      </c>
      <c r="T3688" s="77">
        <v>0.91666666666666663</v>
      </c>
      <c r="V3688">
        <v>60.08</v>
      </c>
      <c r="X3688" s="42"/>
      <c r="AB3688">
        <v>64.7</v>
      </c>
      <c r="AC3688">
        <v>55.94</v>
      </c>
      <c r="AE3688" s="74"/>
      <c r="AF3688" s="77"/>
      <c r="AH3688" s="497">
        <v>66.2</v>
      </c>
      <c r="AJ3688" s="42"/>
      <c r="AK3688" s="74"/>
      <c r="AL3688" s="77"/>
      <c r="AN3688" s="497">
        <v>46.04</v>
      </c>
      <c r="AP3688" s="42"/>
      <c r="AQ3688" s="74"/>
      <c r="AR3688" s="77"/>
      <c r="AT3688" s="497">
        <v>48.019999999999996</v>
      </c>
      <c r="AV3688" s="42"/>
      <c r="AW3688" s="74"/>
      <c r="AX3688" s="77"/>
      <c r="BA3688" s="497">
        <v>59</v>
      </c>
      <c r="BB3688" s="42"/>
      <c r="BC3688" s="74"/>
      <c r="BD3688" s="77"/>
      <c r="BF3688">
        <v>62.96</v>
      </c>
      <c r="BH3688" s="42"/>
      <c r="BI3688" s="74"/>
      <c r="BJ3688" s="77"/>
      <c r="BL3688" s="497">
        <v>62.96</v>
      </c>
      <c r="BN3688" s="42"/>
      <c r="BO3688" s="74"/>
      <c r="BP3688" s="77"/>
      <c r="BR3688" s="497">
        <v>66.92</v>
      </c>
      <c r="BT3688" s="42"/>
    </row>
    <row r="3689" spans="1:72" x14ac:dyDescent="0.25">
      <c r="A3689" s="90">
        <v>34487</v>
      </c>
      <c r="B3689" s="20">
        <v>0.95833333333333337</v>
      </c>
      <c r="D3689">
        <v>68</v>
      </c>
      <c r="E3689" t="str">
        <f t="shared" si="150"/>
        <v>WEEKDAY</v>
      </c>
      <c r="F3689" t="e">
        <f t="shared" si="149"/>
        <v>#N/A</v>
      </c>
      <c r="G3689" s="74">
        <v>33026</v>
      </c>
      <c r="H3689" s="77">
        <v>0.95833333333333337</v>
      </c>
      <c r="J3689">
        <v>71.06</v>
      </c>
      <c r="M3689" s="74">
        <v>37774</v>
      </c>
      <c r="N3689" s="77">
        <v>0.95833333333333337</v>
      </c>
      <c r="P3689">
        <v>51.8</v>
      </c>
      <c r="S3689" s="74">
        <v>34487</v>
      </c>
      <c r="T3689" s="77">
        <v>0.95833333333333337</v>
      </c>
      <c r="V3689">
        <v>59</v>
      </c>
      <c r="X3689" s="42"/>
      <c r="AB3689">
        <v>64.099999999999994</v>
      </c>
      <c r="AC3689">
        <v>53.96</v>
      </c>
      <c r="AE3689" s="74"/>
      <c r="AF3689" s="77"/>
      <c r="AH3689" s="497">
        <v>66.2</v>
      </c>
      <c r="AJ3689" s="42"/>
      <c r="AK3689" s="74"/>
      <c r="AL3689" s="77"/>
      <c r="AN3689" s="497">
        <v>46.04</v>
      </c>
      <c r="AP3689" s="42"/>
      <c r="AQ3689" s="74"/>
      <c r="AR3689" s="77"/>
      <c r="AT3689" s="497">
        <v>46.04</v>
      </c>
      <c r="AV3689" s="42"/>
      <c r="AW3689" s="74"/>
      <c r="AX3689" s="77"/>
      <c r="BA3689" s="497">
        <v>59</v>
      </c>
      <c r="BB3689" s="42"/>
      <c r="BC3689" s="74"/>
      <c r="BD3689" s="77"/>
      <c r="BF3689">
        <v>62.96</v>
      </c>
      <c r="BH3689" s="42"/>
      <c r="BI3689" s="74"/>
      <c r="BJ3689" s="77"/>
      <c r="BL3689" s="497">
        <v>62.06</v>
      </c>
      <c r="BN3689" s="42"/>
      <c r="BO3689" s="74"/>
      <c r="BP3689" s="77"/>
      <c r="BR3689" s="497">
        <v>66.02</v>
      </c>
      <c r="BT3689" s="42"/>
    </row>
    <row r="3690" spans="1:72" x14ac:dyDescent="0.25">
      <c r="A3690" s="90">
        <v>34487</v>
      </c>
      <c r="B3690" s="20">
        <v>1</v>
      </c>
      <c r="D3690">
        <v>66.92</v>
      </c>
      <c r="E3690" t="str">
        <f t="shared" si="150"/>
        <v>WEEKDAY</v>
      </c>
      <c r="F3690" t="e">
        <f t="shared" si="149"/>
        <v>#N/A</v>
      </c>
      <c r="G3690" s="74">
        <v>33026</v>
      </c>
      <c r="H3690" s="77">
        <v>1</v>
      </c>
      <c r="J3690">
        <v>71.960000000000008</v>
      </c>
      <c r="M3690" s="74">
        <v>37774</v>
      </c>
      <c r="N3690" s="80">
        <v>1</v>
      </c>
      <c r="P3690">
        <v>50</v>
      </c>
      <c r="S3690" s="74">
        <v>34487</v>
      </c>
      <c r="T3690" s="80">
        <v>1</v>
      </c>
      <c r="V3690">
        <v>57.92</v>
      </c>
      <c r="X3690" s="42"/>
      <c r="AB3690">
        <v>63.5</v>
      </c>
      <c r="AC3690">
        <v>53.06</v>
      </c>
      <c r="AE3690" s="74"/>
      <c r="AF3690" s="80"/>
      <c r="AH3690" s="497">
        <v>66.2</v>
      </c>
      <c r="AJ3690" s="42"/>
      <c r="AK3690" s="74"/>
      <c r="AL3690" s="80"/>
      <c r="AN3690" s="497">
        <v>44.96</v>
      </c>
      <c r="AP3690" s="42"/>
      <c r="AQ3690" s="74"/>
      <c r="AR3690" s="80"/>
      <c r="AT3690" s="497">
        <v>44.96</v>
      </c>
      <c r="AV3690" s="42"/>
      <c r="AW3690" s="74"/>
      <c r="AX3690" s="80"/>
      <c r="BA3690" s="497">
        <v>59</v>
      </c>
      <c r="BB3690" s="42"/>
      <c r="BC3690" s="74"/>
      <c r="BD3690" s="80"/>
      <c r="BF3690">
        <v>62.06</v>
      </c>
      <c r="BH3690" s="42"/>
      <c r="BI3690" s="74"/>
      <c r="BJ3690" s="80"/>
      <c r="BL3690" s="497">
        <v>60.08</v>
      </c>
      <c r="BN3690" s="42"/>
      <c r="BO3690" s="74"/>
      <c r="BP3690" s="80"/>
      <c r="BR3690" s="497">
        <v>64.400000000000006</v>
      </c>
      <c r="BT3690" s="42"/>
    </row>
    <row r="3691" spans="1:72" x14ac:dyDescent="0.25">
      <c r="A3691" s="90">
        <v>34488</v>
      </c>
      <c r="B3691" s="20">
        <v>4.1666666666666664E-2</v>
      </c>
      <c r="D3691">
        <v>66.92</v>
      </c>
      <c r="E3691" t="str">
        <f t="shared" si="150"/>
        <v>WEEKDAY</v>
      </c>
      <c r="F3691" t="e">
        <f t="shared" ref="F3691:F3754" si="151">IF(E3691="WEEKDAY",VLOOKUP(B3691,$DD$19:$DG$42,2),IF(E3691="SATURDAY",VLOOKUP(B3691,$DD$19:$DG$42,3),VLOOKUP(B3691,$DD$19:$DG$42,4)))</f>
        <v>#N/A</v>
      </c>
      <c r="G3691" s="74">
        <v>33027</v>
      </c>
      <c r="H3691" s="77">
        <v>4.1666666666666664E-2</v>
      </c>
      <c r="J3691">
        <v>71.960000000000008</v>
      </c>
      <c r="M3691" s="74">
        <v>37775</v>
      </c>
      <c r="N3691" s="77">
        <v>4.1666666666666664E-2</v>
      </c>
      <c r="P3691">
        <v>51.8</v>
      </c>
      <c r="S3691" s="74">
        <v>34488</v>
      </c>
      <c r="T3691" s="77">
        <v>4.1666666666666664E-2</v>
      </c>
      <c r="V3691">
        <v>57.019999999999996</v>
      </c>
      <c r="X3691" s="42"/>
      <c r="AB3691">
        <v>62.9</v>
      </c>
      <c r="AC3691">
        <v>51.980000000000004</v>
      </c>
      <c r="AE3691" s="74"/>
      <c r="AF3691" s="77"/>
      <c r="AH3691" s="497">
        <v>64.400000000000006</v>
      </c>
      <c r="AJ3691" s="42"/>
      <c r="AK3691" s="74"/>
      <c r="AL3691" s="77"/>
      <c r="AN3691" s="497">
        <v>42.980000000000004</v>
      </c>
      <c r="AP3691" s="42"/>
      <c r="AQ3691" s="74"/>
      <c r="AR3691" s="77"/>
      <c r="AT3691" s="497">
        <v>42.980000000000004</v>
      </c>
      <c r="AV3691" s="42"/>
      <c r="AW3691" s="74"/>
      <c r="AX3691" s="77"/>
      <c r="BA3691" s="497">
        <v>59</v>
      </c>
      <c r="BB3691" s="42"/>
      <c r="BC3691" s="74"/>
      <c r="BD3691" s="77"/>
      <c r="BF3691">
        <v>62.06</v>
      </c>
      <c r="BH3691" s="42"/>
      <c r="BI3691" s="74"/>
      <c r="BJ3691" s="77"/>
      <c r="BL3691" s="497">
        <v>60.980000000000004</v>
      </c>
      <c r="BN3691" s="42"/>
      <c r="BO3691" s="74"/>
      <c r="BP3691" s="77"/>
      <c r="BR3691" s="497">
        <v>62.6</v>
      </c>
      <c r="BT3691" s="42"/>
    </row>
    <row r="3692" spans="1:72" x14ac:dyDescent="0.25">
      <c r="A3692" s="90">
        <v>34488</v>
      </c>
      <c r="B3692" s="20">
        <v>8.3333333333333329E-2</v>
      </c>
      <c r="D3692">
        <v>66.02</v>
      </c>
      <c r="E3692" t="str">
        <f t="shared" si="150"/>
        <v>WEEKDAY</v>
      </c>
      <c r="F3692" t="e">
        <f t="shared" si="151"/>
        <v>#N/A</v>
      </c>
      <c r="G3692" s="74">
        <v>33027</v>
      </c>
      <c r="H3692" s="77">
        <v>8.3333333333333329E-2</v>
      </c>
      <c r="J3692">
        <v>71.06</v>
      </c>
      <c r="M3692" s="74">
        <v>37775</v>
      </c>
      <c r="N3692" s="77">
        <v>8.3333333333333329E-2</v>
      </c>
      <c r="P3692">
        <v>50</v>
      </c>
      <c r="S3692" s="74">
        <v>34488</v>
      </c>
      <c r="T3692" s="77">
        <v>8.3333333333333329E-2</v>
      </c>
      <c r="V3692">
        <v>57.019999999999996</v>
      </c>
      <c r="X3692" s="42"/>
      <c r="AB3692">
        <v>62.4</v>
      </c>
      <c r="AC3692">
        <v>51.08</v>
      </c>
      <c r="AE3692" s="74"/>
      <c r="AF3692" s="77"/>
      <c r="AH3692" s="497">
        <v>62.6</v>
      </c>
      <c r="AJ3692" s="42"/>
      <c r="AK3692" s="74"/>
      <c r="AL3692" s="77"/>
      <c r="AN3692" s="497">
        <v>44.96</v>
      </c>
      <c r="AP3692" s="42"/>
      <c r="AQ3692" s="74"/>
      <c r="AR3692" s="77"/>
      <c r="AT3692" s="497">
        <v>42.08</v>
      </c>
      <c r="AV3692" s="42"/>
      <c r="AW3692" s="74"/>
      <c r="AX3692" s="77"/>
      <c r="BA3692" s="497">
        <v>59</v>
      </c>
      <c r="BB3692" s="42"/>
      <c r="BC3692" s="74"/>
      <c r="BD3692" s="77"/>
      <c r="BF3692">
        <v>60.980000000000004</v>
      </c>
      <c r="BH3692" s="42"/>
      <c r="BI3692" s="74"/>
      <c r="BJ3692" s="77"/>
      <c r="BL3692" s="497">
        <v>60.980000000000004</v>
      </c>
      <c r="BN3692" s="42"/>
      <c r="BO3692" s="74"/>
      <c r="BP3692" s="77"/>
      <c r="BR3692" s="497">
        <v>60.980000000000004</v>
      </c>
      <c r="BT3692" s="42"/>
    </row>
    <row r="3693" spans="1:72" x14ac:dyDescent="0.25">
      <c r="A3693" s="90">
        <v>34488</v>
      </c>
      <c r="B3693" s="20">
        <v>0.125</v>
      </c>
      <c r="D3693">
        <v>64.039999999999992</v>
      </c>
      <c r="E3693" t="str">
        <f t="shared" si="150"/>
        <v>WEEKDAY</v>
      </c>
      <c r="F3693" t="e">
        <f t="shared" si="151"/>
        <v>#N/A</v>
      </c>
      <c r="G3693" s="74">
        <v>33027</v>
      </c>
      <c r="H3693" s="77">
        <v>0.125</v>
      </c>
      <c r="J3693">
        <v>68</v>
      </c>
      <c r="M3693" s="74">
        <v>37775</v>
      </c>
      <c r="N3693" s="77">
        <v>0.125</v>
      </c>
      <c r="P3693">
        <v>50</v>
      </c>
      <c r="S3693" s="74">
        <v>34488</v>
      </c>
      <c r="T3693" s="77">
        <v>0.125</v>
      </c>
      <c r="V3693">
        <v>55.94</v>
      </c>
      <c r="X3693" s="42"/>
      <c r="AB3693">
        <v>61.8</v>
      </c>
      <c r="AC3693">
        <v>48.92</v>
      </c>
      <c r="AE3693" s="74"/>
      <c r="AF3693" s="77"/>
      <c r="AH3693" s="497">
        <v>60.8</v>
      </c>
      <c r="AJ3693" s="42"/>
      <c r="AK3693" s="74"/>
      <c r="AL3693" s="77"/>
      <c r="AN3693" s="497">
        <v>44.06</v>
      </c>
      <c r="AP3693" s="42"/>
      <c r="AQ3693" s="74"/>
      <c r="AR3693" s="77"/>
      <c r="AT3693" s="497">
        <v>39.92</v>
      </c>
      <c r="AV3693" s="42"/>
      <c r="AW3693" s="74"/>
      <c r="AX3693" s="77"/>
      <c r="BA3693" s="497">
        <v>59</v>
      </c>
      <c r="BB3693" s="42"/>
      <c r="BC3693" s="74"/>
      <c r="BD3693" s="77"/>
      <c r="BF3693">
        <v>55.040000000000006</v>
      </c>
      <c r="BH3693" s="42"/>
      <c r="BI3693" s="74"/>
      <c r="BJ3693" s="77"/>
      <c r="BL3693" s="497">
        <v>59</v>
      </c>
      <c r="BN3693" s="42"/>
      <c r="BO3693" s="74"/>
      <c r="BP3693" s="77"/>
      <c r="BR3693" s="497">
        <v>59.36</v>
      </c>
      <c r="BT3693" s="42"/>
    </row>
    <row r="3694" spans="1:72" x14ac:dyDescent="0.25">
      <c r="A3694" s="90">
        <v>34488</v>
      </c>
      <c r="B3694" s="20">
        <v>0.16666666666666666</v>
      </c>
      <c r="D3694">
        <v>62.96</v>
      </c>
      <c r="E3694" t="str">
        <f t="shared" si="150"/>
        <v>WEEKDAY</v>
      </c>
      <c r="F3694" t="e">
        <f t="shared" si="151"/>
        <v>#N/A</v>
      </c>
      <c r="G3694" s="74">
        <v>33027</v>
      </c>
      <c r="H3694" s="77">
        <v>0.16666666666666666</v>
      </c>
      <c r="J3694">
        <v>68</v>
      </c>
      <c r="M3694" s="74">
        <v>37775</v>
      </c>
      <c r="N3694" s="77">
        <v>0.16666666666666666</v>
      </c>
      <c r="P3694">
        <v>48.2</v>
      </c>
      <c r="S3694" s="74">
        <v>34488</v>
      </c>
      <c r="T3694" s="77">
        <v>0.16666666666666666</v>
      </c>
      <c r="V3694">
        <v>55.94</v>
      </c>
      <c r="X3694" s="42"/>
      <c r="AB3694">
        <v>61.3</v>
      </c>
      <c r="AC3694">
        <v>48.92</v>
      </c>
      <c r="AE3694" s="74"/>
      <c r="AF3694" s="77"/>
      <c r="AH3694" s="497">
        <v>59</v>
      </c>
      <c r="AJ3694" s="42"/>
      <c r="AK3694" s="74"/>
      <c r="AL3694" s="77"/>
      <c r="AN3694" s="497">
        <v>42.980000000000004</v>
      </c>
      <c r="AP3694" s="42"/>
      <c r="AQ3694" s="74"/>
      <c r="AR3694" s="77"/>
      <c r="AT3694" s="497">
        <v>37.04</v>
      </c>
      <c r="AV3694" s="42"/>
      <c r="AW3694" s="74"/>
      <c r="AX3694" s="77"/>
      <c r="BA3694" s="497">
        <v>59</v>
      </c>
      <c r="BB3694" s="42"/>
      <c r="BC3694" s="74"/>
      <c r="BD3694" s="77"/>
      <c r="BF3694">
        <v>53.06</v>
      </c>
      <c r="BH3694" s="42"/>
      <c r="BI3694" s="74"/>
      <c r="BJ3694" s="77"/>
      <c r="BL3694" s="497">
        <v>59</v>
      </c>
      <c r="BN3694" s="42"/>
      <c r="BO3694" s="74"/>
      <c r="BP3694" s="77"/>
      <c r="BR3694" s="497">
        <v>57.56</v>
      </c>
      <c r="BT3694" s="42"/>
    </row>
    <row r="3695" spans="1:72" x14ac:dyDescent="0.25">
      <c r="A3695" s="90">
        <v>34488</v>
      </c>
      <c r="B3695" s="20">
        <v>0.20833333333333334</v>
      </c>
      <c r="D3695">
        <v>62.96</v>
      </c>
      <c r="E3695" t="str">
        <f t="shared" si="150"/>
        <v>WEEKDAY</v>
      </c>
      <c r="F3695" t="e">
        <f t="shared" si="151"/>
        <v>#N/A</v>
      </c>
      <c r="G3695" s="74">
        <v>33027</v>
      </c>
      <c r="H3695" s="77">
        <v>0.20833333333333334</v>
      </c>
      <c r="J3695">
        <v>68</v>
      </c>
      <c r="M3695" s="74">
        <v>37775</v>
      </c>
      <c r="N3695" s="77">
        <v>0.20833333333333334</v>
      </c>
      <c r="P3695">
        <v>50</v>
      </c>
      <c r="S3695" s="74">
        <v>34488</v>
      </c>
      <c r="T3695" s="77">
        <v>0.20833333333333334</v>
      </c>
      <c r="V3695">
        <v>55.94</v>
      </c>
      <c r="X3695" s="42"/>
      <c r="AB3695">
        <v>61</v>
      </c>
      <c r="AC3695">
        <v>50</v>
      </c>
      <c r="AE3695" s="74"/>
      <c r="AF3695" s="77"/>
      <c r="AH3695" s="497">
        <v>57.2</v>
      </c>
      <c r="AJ3695" s="42"/>
      <c r="AK3695" s="74"/>
      <c r="AL3695" s="77"/>
      <c r="AN3695" s="497">
        <v>42.980000000000004</v>
      </c>
      <c r="AP3695" s="42"/>
      <c r="AQ3695" s="74"/>
      <c r="AR3695" s="77"/>
      <c r="AT3695" s="497">
        <v>35.96</v>
      </c>
      <c r="AV3695" s="42"/>
      <c r="AW3695" s="74"/>
      <c r="AX3695" s="77"/>
      <c r="BA3695" s="497">
        <v>60.08</v>
      </c>
      <c r="BB3695" s="42"/>
      <c r="BC3695" s="74"/>
      <c r="BD3695" s="77"/>
      <c r="BF3695">
        <v>51.980000000000004</v>
      </c>
      <c r="BH3695" s="42"/>
      <c r="BI3695" s="74"/>
      <c r="BJ3695" s="77"/>
      <c r="BL3695" s="497">
        <v>59</v>
      </c>
      <c r="BN3695" s="42"/>
      <c r="BO3695" s="74"/>
      <c r="BP3695" s="77"/>
      <c r="BR3695" s="497">
        <v>55.94</v>
      </c>
      <c r="BT3695" s="42"/>
    </row>
    <row r="3696" spans="1:72" x14ac:dyDescent="0.25">
      <c r="A3696" s="90">
        <v>34488</v>
      </c>
      <c r="B3696" s="20">
        <v>0.25</v>
      </c>
      <c r="D3696">
        <v>62.06</v>
      </c>
      <c r="E3696" t="str">
        <f t="shared" si="150"/>
        <v>WEEKDAY</v>
      </c>
      <c r="F3696" t="e">
        <f t="shared" si="151"/>
        <v>#N/A</v>
      </c>
      <c r="G3696" s="74">
        <v>33027</v>
      </c>
      <c r="H3696" s="77">
        <v>0.25</v>
      </c>
      <c r="J3696">
        <v>68</v>
      </c>
      <c r="M3696" s="74">
        <v>37775</v>
      </c>
      <c r="N3696" s="77">
        <v>0.25</v>
      </c>
      <c r="P3696">
        <v>53.6</v>
      </c>
      <c r="S3696" s="74">
        <v>34488</v>
      </c>
      <c r="T3696" s="77">
        <v>0.25</v>
      </c>
      <c r="V3696">
        <v>57.92</v>
      </c>
      <c r="X3696" s="42"/>
      <c r="AB3696">
        <v>60.9</v>
      </c>
      <c r="AC3696">
        <v>53.06</v>
      </c>
      <c r="AE3696" s="74"/>
      <c r="AF3696" s="77"/>
      <c r="AH3696" s="497">
        <v>60.8</v>
      </c>
      <c r="AJ3696" s="42"/>
      <c r="AK3696" s="74"/>
      <c r="AL3696" s="77"/>
      <c r="AN3696" s="497">
        <v>44.06</v>
      </c>
      <c r="AP3696" s="42"/>
      <c r="AQ3696" s="74"/>
      <c r="AR3696" s="77"/>
      <c r="AT3696" s="497">
        <v>44.06</v>
      </c>
      <c r="AV3696" s="42"/>
      <c r="AW3696" s="74"/>
      <c r="AX3696" s="77"/>
      <c r="BA3696" s="497">
        <v>60.980000000000004</v>
      </c>
      <c r="BB3696" s="42"/>
      <c r="BC3696" s="74"/>
      <c r="BD3696" s="77"/>
      <c r="BF3696">
        <v>51.980000000000004</v>
      </c>
      <c r="BH3696" s="42"/>
      <c r="BI3696" s="74"/>
      <c r="BJ3696" s="77"/>
      <c r="BL3696" s="497">
        <v>60.980000000000004</v>
      </c>
      <c r="BN3696" s="42"/>
      <c r="BO3696" s="74"/>
      <c r="BP3696" s="77"/>
      <c r="BR3696" s="497">
        <v>57.92</v>
      </c>
      <c r="BT3696" s="42"/>
    </row>
    <row r="3697" spans="1:72" x14ac:dyDescent="0.25">
      <c r="A3697" s="90">
        <v>34488</v>
      </c>
      <c r="B3697" s="20">
        <v>0.29166666666666669</v>
      </c>
      <c r="D3697">
        <v>62.96</v>
      </c>
      <c r="E3697" t="str">
        <f t="shared" si="150"/>
        <v>WEEKDAY</v>
      </c>
      <c r="F3697" t="e">
        <f t="shared" si="151"/>
        <v>#N/A</v>
      </c>
      <c r="G3697" s="74">
        <v>33027</v>
      </c>
      <c r="H3697" s="77">
        <v>0.29166666666666669</v>
      </c>
      <c r="J3697">
        <v>68</v>
      </c>
      <c r="M3697" s="74">
        <v>37775</v>
      </c>
      <c r="N3697" s="77">
        <v>0.29166666666666669</v>
      </c>
      <c r="P3697">
        <v>57.2</v>
      </c>
      <c r="S3697" s="74">
        <v>34488</v>
      </c>
      <c r="T3697" s="77">
        <v>0.29166666666666669</v>
      </c>
      <c r="V3697">
        <v>59</v>
      </c>
      <c r="X3697" s="42"/>
      <c r="AB3697">
        <v>62.4</v>
      </c>
      <c r="AC3697">
        <v>59</v>
      </c>
      <c r="AE3697" s="74"/>
      <c r="AF3697" s="77"/>
      <c r="AH3697" s="497">
        <v>62.6</v>
      </c>
      <c r="AJ3697" s="42"/>
      <c r="AK3697" s="74"/>
      <c r="AL3697" s="77"/>
      <c r="AN3697" s="497">
        <v>48.019999999999996</v>
      </c>
      <c r="AP3697" s="42"/>
      <c r="AQ3697" s="74"/>
      <c r="AR3697" s="77"/>
      <c r="AT3697" s="497">
        <v>46.94</v>
      </c>
      <c r="AV3697" s="42"/>
      <c r="AW3697" s="74"/>
      <c r="AX3697" s="77"/>
      <c r="BA3697" s="497">
        <v>62.06</v>
      </c>
      <c r="BB3697" s="42"/>
      <c r="BC3697" s="74"/>
      <c r="BD3697" s="77"/>
      <c r="BF3697">
        <v>53.06</v>
      </c>
      <c r="BH3697" s="42"/>
      <c r="BI3697" s="74"/>
      <c r="BJ3697" s="77"/>
      <c r="BL3697" s="497">
        <v>62.06</v>
      </c>
      <c r="BN3697" s="42"/>
      <c r="BO3697" s="74"/>
      <c r="BP3697" s="77"/>
      <c r="BR3697" s="497">
        <v>62.06</v>
      </c>
      <c r="BT3697" s="42"/>
    </row>
    <row r="3698" spans="1:72" x14ac:dyDescent="0.25">
      <c r="A3698" s="90">
        <v>34488</v>
      </c>
      <c r="B3698" s="20">
        <v>0.33333333333333331</v>
      </c>
      <c r="D3698">
        <v>64.039999999999992</v>
      </c>
      <c r="E3698" t="str">
        <f t="shared" si="150"/>
        <v>WEEKDAY</v>
      </c>
      <c r="F3698" t="e">
        <f t="shared" si="151"/>
        <v>#N/A</v>
      </c>
      <c r="G3698" s="74">
        <v>33027</v>
      </c>
      <c r="H3698" s="77">
        <v>0.33333333333333331</v>
      </c>
      <c r="J3698">
        <v>69.080000000000013</v>
      </c>
      <c r="M3698" s="74">
        <v>37775</v>
      </c>
      <c r="N3698" s="77">
        <v>0.33333333333333331</v>
      </c>
      <c r="P3698">
        <v>62.6</v>
      </c>
      <c r="S3698" s="74">
        <v>34488</v>
      </c>
      <c r="T3698" s="77">
        <v>0.33333333333333331</v>
      </c>
      <c r="V3698">
        <v>60.980000000000004</v>
      </c>
      <c r="X3698" s="42"/>
      <c r="AB3698">
        <v>64.400000000000006</v>
      </c>
      <c r="AC3698">
        <v>62.96</v>
      </c>
      <c r="AE3698" s="74"/>
      <c r="AF3698" s="77"/>
      <c r="AH3698" s="497">
        <v>62.6</v>
      </c>
      <c r="AJ3698" s="42"/>
      <c r="AK3698" s="74"/>
      <c r="AL3698" s="77"/>
      <c r="AN3698" s="497">
        <v>51.980000000000004</v>
      </c>
      <c r="AP3698" s="42"/>
      <c r="AQ3698" s="74"/>
      <c r="AR3698" s="77"/>
      <c r="AT3698" s="497">
        <v>50</v>
      </c>
      <c r="AV3698" s="42"/>
      <c r="AW3698" s="74"/>
      <c r="AX3698" s="77"/>
      <c r="BA3698" s="497">
        <v>65.300000000000011</v>
      </c>
      <c r="BB3698" s="42"/>
      <c r="BC3698" s="74"/>
      <c r="BD3698" s="77"/>
      <c r="BF3698">
        <v>53.96</v>
      </c>
      <c r="BH3698" s="42"/>
      <c r="BI3698" s="74"/>
      <c r="BJ3698" s="77"/>
      <c r="BL3698" s="497">
        <v>68</v>
      </c>
      <c r="BN3698" s="42"/>
      <c r="BO3698" s="74"/>
      <c r="BP3698" s="77"/>
      <c r="BR3698" s="497">
        <v>66.02</v>
      </c>
      <c r="BT3698" s="42"/>
    </row>
    <row r="3699" spans="1:72" x14ac:dyDescent="0.25">
      <c r="A3699" s="90">
        <v>34488</v>
      </c>
      <c r="B3699" s="20">
        <v>0.375</v>
      </c>
      <c r="D3699">
        <v>66.02</v>
      </c>
      <c r="E3699" t="str">
        <f t="shared" si="150"/>
        <v>WEEKDAY</v>
      </c>
      <c r="F3699" t="e">
        <f t="shared" si="151"/>
        <v>#N/A</v>
      </c>
      <c r="G3699" s="74">
        <v>33027</v>
      </c>
      <c r="H3699" s="77">
        <v>0.375</v>
      </c>
      <c r="J3699">
        <v>71.960000000000008</v>
      </c>
      <c r="M3699" s="74">
        <v>37775</v>
      </c>
      <c r="N3699" s="77">
        <v>0.375</v>
      </c>
      <c r="P3699">
        <v>66.2</v>
      </c>
      <c r="S3699" s="74">
        <v>34488</v>
      </c>
      <c r="T3699" s="77">
        <v>0.375</v>
      </c>
      <c r="V3699">
        <v>66.02</v>
      </c>
      <c r="X3699" s="42"/>
      <c r="AB3699">
        <v>66.400000000000006</v>
      </c>
      <c r="AC3699">
        <v>62.96</v>
      </c>
      <c r="AE3699" s="74"/>
      <c r="AF3699" s="77"/>
      <c r="AH3699" s="497">
        <v>66.2</v>
      </c>
      <c r="AJ3699" s="42"/>
      <c r="AK3699" s="74"/>
      <c r="AL3699" s="77"/>
      <c r="AN3699" s="497">
        <v>55.94</v>
      </c>
      <c r="AP3699" s="42"/>
      <c r="AQ3699" s="74"/>
      <c r="AR3699" s="77"/>
      <c r="AT3699" s="497">
        <v>53.06</v>
      </c>
      <c r="AV3699" s="42"/>
      <c r="AW3699" s="74"/>
      <c r="AX3699" s="77"/>
      <c r="BA3699" s="497">
        <v>68.72</v>
      </c>
      <c r="BB3699" s="42"/>
      <c r="BC3699" s="74"/>
      <c r="BD3699" s="77"/>
      <c r="BF3699">
        <v>55.94</v>
      </c>
      <c r="BH3699" s="42"/>
      <c r="BI3699" s="74"/>
      <c r="BJ3699" s="77"/>
      <c r="BL3699" s="497">
        <v>71.06</v>
      </c>
      <c r="BN3699" s="42"/>
      <c r="BO3699" s="74"/>
      <c r="BP3699" s="77"/>
      <c r="BR3699" s="497">
        <v>66.92</v>
      </c>
      <c r="BT3699" s="42"/>
    </row>
    <row r="3700" spans="1:72" x14ac:dyDescent="0.25">
      <c r="A3700" s="90">
        <v>34488</v>
      </c>
      <c r="B3700" s="20">
        <v>0.41666666666666669</v>
      </c>
      <c r="D3700">
        <v>68</v>
      </c>
      <c r="E3700" t="str">
        <f t="shared" si="150"/>
        <v>WEEKDAY</v>
      </c>
      <c r="F3700" t="e">
        <f t="shared" si="151"/>
        <v>#N/A</v>
      </c>
      <c r="G3700" s="74">
        <v>33027</v>
      </c>
      <c r="H3700" s="77">
        <v>0.41666666666666669</v>
      </c>
      <c r="J3700">
        <v>69.080000000000013</v>
      </c>
      <c r="M3700" s="74">
        <v>37775</v>
      </c>
      <c r="N3700" s="77">
        <v>0.41666666666666669</v>
      </c>
      <c r="P3700">
        <v>68</v>
      </c>
      <c r="S3700" s="74">
        <v>34488</v>
      </c>
      <c r="T3700" s="77">
        <v>0.41666666666666669</v>
      </c>
      <c r="V3700">
        <v>68</v>
      </c>
      <c r="X3700" s="42"/>
      <c r="AB3700">
        <v>68.2</v>
      </c>
      <c r="AC3700">
        <v>66.92</v>
      </c>
      <c r="AE3700" s="74"/>
      <c r="AF3700" s="77"/>
      <c r="AH3700" s="497">
        <v>62.6</v>
      </c>
      <c r="AJ3700" s="42"/>
      <c r="AK3700" s="74"/>
      <c r="AL3700" s="77"/>
      <c r="AN3700" s="497">
        <v>59</v>
      </c>
      <c r="AP3700" s="42"/>
      <c r="AQ3700" s="74"/>
      <c r="AR3700" s="77"/>
      <c r="AT3700" s="497">
        <v>53.96</v>
      </c>
      <c r="AV3700" s="42"/>
      <c r="AW3700" s="74"/>
      <c r="AX3700" s="77"/>
      <c r="BA3700" s="497">
        <v>71.960000000000008</v>
      </c>
      <c r="BB3700" s="42"/>
      <c r="BC3700" s="74"/>
      <c r="BD3700" s="77"/>
      <c r="BF3700">
        <v>57.92</v>
      </c>
      <c r="BH3700" s="42"/>
      <c r="BI3700" s="74"/>
      <c r="BJ3700" s="77"/>
      <c r="BL3700" s="497">
        <v>73.94</v>
      </c>
      <c r="BN3700" s="42"/>
      <c r="BO3700" s="74"/>
      <c r="BP3700" s="77"/>
      <c r="BR3700" s="497">
        <v>66.92</v>
      </c>
      <c r="BT3700" s="42"/>
    </row>
    <row r="3701" spans="1:72" x14ac:dyDescent="0.25">
      <c r="A3701" s="90">
        <v>34488</v>
      </c>
      <c r="B3701" s="20">
        <v>0.45833333333333331</v>
      </c>
      <c r="D3701">
        <v>69.98</v>
      </c>
      <c r="E3701" t="str">
        <f t="shared" si="150"/>
        <v>WEEKDAY</v>
      </c>
      <c r="F3701" t="e">
        <f t="shared" si="151"/>
        <v>#N/A</v>
      </c>
      <c r="G3701" s="74">
        <v>33027</v>
      </c>
      <c r="H3701" s="77">
        <v>0.45833333333333331</v>
      </c>
      <c r="J3701">
        <v>71.06</v>
      </c>
      <c r="M3701" s="74">
        <v>37775</v>
      </c>
      <c r="N3701" s="77">
        <v>0.45833333333333331</v>
      </c>
      <c r="P3701">
        <v>68</v>
      </c>
      <c r="S3701" s="74">
        <v>34488</v>
      </c>
      <c r="T3701" s="77">
        <v>0.45833333333333331</v>
      </c>
      <c r="V3701">
        <v>69.98</v>
      </c>
      <c r="X3701" s="42"/>
      <c r="AB3701">
        <v>69.8</v>
      </c>
      <c r="AC3701">
        <v>69.080000000000013</v>
      </c>
      <c r="AE3701" s="74"/>
      <c r="AF3701" s="77"/>
      <c r="AH3701" s="497">
        <v>64.400000000000006</v>
      </c>
      <c r="AJ3701" s="42"/>
      <c r="AK3701" s="74"/>
      <c r="AL3701" s="77"/>
      <c r="AN3701" s="497">
        <v>60.980000000000004</v>
      </c>
      <c r="AP3701" s="42"/>
      <c r="AQ3701" s="74"/>
      <c r="AR3701" s="77"/>
      <c r="AT3701" s="497">
        <v>57.92</v>
      </c>
      <c r="AV3701" s="42"/>
      <c r="AW3701" s="74"/>
      <c r="AX3701" s="77"/>
      <c r="BA3701" s="497">
        <v>73.580000000000013</v>
      </c>
      <c r="BB3701" s="42"/>
      <c r="BC3701" s="74"/>
      <c r="BD3701" s="77"/>
      <c r="BF3701">
        <v>60.980000000000004</v>
      </c>
      <c r="BH3701" s="42"/>
      <c r="BI3701" s="74"/>
      <c r="BJ3701" s="77"/>
      <c r="BL3701" s="497">
        <v>75.92</v>
      </c>
      <c r="BN3701" s="42"/>
      <c r="BO3701" s="74"/>
      <c r="BP3701" s="77"/>
      <c r="BR3701" s="497">
        <v>68</v>
      </c>
      <c r="BT3701" s="42"/>
    </row>
    <row r="3702" spans="1:72" x14ac:dyDescent="0.25">
      <c r="A3702" s="90">
        <v>34488</v>
      </c>
      <c r="B3702" s="20">
        <v>0.5</v>
      </c>
      <c r="D3702">
        <v>71.960000000000008</v>
      </c>
      <c r="E3702" t="str">
        <f t="shared" si="150"/>
        <v>WEEKDAY</v>
      </c>
      <c r="F3702" t="e">
        <f t="shared" si="151"/>
        <v>#N/A</v>
      </c>
      <c r="G3702" s="74">
        <v>33027</v>
      </c>
      <c r="H3702" s="77">
        <v>0.5</v>
      </c>
      <c r="J3702">
        <v>71.960000000000008</v>
      </c>
      <c r="M3702" s="74">
        <v>37775</v>
      </c>
      <c r="N3702" s="77">
        <v>0.5</v>
      </c>
      <c r="P3702">
        <v>66.2</v>
      </c>
      <c r="S3702" s="74">
        <v>34488</v>
      </c>
      <c r="T3702" s="77">
        <v>0.5</v>
      </c>
      <c r="V3702">
        <v>71.960000000000008</v>
      </c>
      <c r="X3702" s="42"/>
      <c r="AB3702">
        <v>71</v>
      </c>
      <c r="AC3702">
        <v>71.960000000000008</v>
      </c>
      <c r="AE3702" s="74"/>
      <c r="AF3702" s="77"/>
      <c r="AH3702" s="497">
        <v>64.400000000000006</v>
      </c>
      <c r="AJ3702" s="42"/>
      <c r="AK3702" s="74"/>
      <c r="AL3702" s="77"/>
      <c r="AN3702" s="497">
        <v>64.94</v>
      </c>
      <c r="AP3702" s="42"/>
      <c r="AQ3702" s="74"/>
      <c r="AR3702" s="77"/>
      <c r="AT3702" s="497">
        <v>59</v>
      </c>
      <c r="AV3702" s="42"/>
      <c r="AW3702" s="74"/>
      <c r="AX3702" s="77"/>
      <c r="BA3702" s="497">
        <v>75.38</v>
      </c>
      <c r="BB3702" s="42"/>
      <c r="BC3702" s="74"/>
      <c r="BD3702" s="77"/>
      <c r="BF3702">
        <v>64.039999999999992</v>
      </c>
      <c r="BH3702" s="42"/>
      <c r="BI3702" s="74"/>
      <c r="BJ3702" s="77"/>
      <c r="BL3702" s="497">
        <v>78.080000000000013</v>
      </c>
      <c r="BN3702" s="42"/>
      <c r="BO3702" s="74"/>
      <c r="BP3702" s="77"/>
      <c r="BR3702" s="497">
        <v>69.080000000000013</v>
      </c>
      <c r="BT3702" s="42"/>
    </row>
    <row r="3703" spans="1:72" x14ac:dyDescent="0.25">
      <c r="A3703" s="90">
        <v>34488</v>
      </c>
      <c r="B3703" s="20">
        <v>0.54166666666666663</v>
      </c>
      <c r="D3703">
        <v>73.039999999999992</v>
      </c>
      <c r="E3703" t="str">
        <f t="shared" si="150"/>
        <v>WEEKDAY</v>
      </c>
      <c r="F3703" t="e">
        <f t="shared" si="151"/>
        <v>#N/A</v>
      </c>
      <c r="G3703" s="74">
        <v>33027</v>
      </c>
      <c r="H3703" s="77">
        <v>0.54166666666666663</v>
      </c>
      <c r="J3703">
        <v>71.960000000000008</v>
      </c>
      <c r="M3703" s="74">
        <v>37775</v>
      </c>
      <c r="N3703" s="77">
        <v>0.54166666666666663</v>
      </c>
      <c r="P3703">
        <v>66.2</v>
      </c>
      <c r="S3703" s="74">
        <v>34488</v>
      </c>
      <c r="T3703" s="77">
        <v>0.54166666666666663</v>
      </c>
      <c r="V3703">
        <v>73.039999999999992</v>
      </c>
      <c r="X3703" s="42"/>
      <c r="AB3703">
        <v>71.8</v>
      </c>
      <c r="AC3703">
        <v>73.039999999999992</v>
      </c>
      <c r="AE3703" s="74"/>
      <c r="AF3703" s="77"/>
      <c r="AH3703" s="497">
        <v>66.2</v>
      </c>
      <c r="AJ3703" s="42"/>
      <c r="AK3703" s="74"/>
      <c r="AL3703" s="77"/>
      <c r="AN3703" s="497">
        <v>64.94</v>
      </c>
      <c r="AP3703" s="42"/>
      <c r="AQ3703" s="74"/>
      <c r="AR3703" s="77"/>
      <c r="AT3703" s="497">
        <v>60.980000000000004</v>
      </c>
      <c r="AV3703" s="42"/>
      <c r="AW3703" s="74"/>
      <c r="AX3703" s="77"/>
      <c r="BA3703" s="497">
        <v>77</v>
      </c>
      <c r="BB3703" s="42"/>
      <c r="BC3703" s="74"/>
      <c r="BD3703" s="77"/>
      <c r="BF3703">
        <v>64.94</v>
      </c>
      <c r="BH3703" s="42"/>
      <c r="BI3703" s="74"/>
      <c r="BJ3703" s="77"/>
      <c r="BL3703" s="497">
        <v>80.06</v>
      </c>
      <c r="BN3703" s="42"/>
      <c r="BO3703" s="74"/>
      <c r="BP3703" s="77"/>
      <c r="BR3703" s="497">
        <v>69.98</v>
      </c>
      <c r="BT3703" s="42"/>
    </row>
    <row r="3704" spans="1:72" x14ac:dyDescent="0.25">
      <c r="A3704" s="90">
        <v>34488</v>
      </c>
      <c r="B3704" s="20">
        <v>0.58333333333333337</v>
      </c>
      <c r="D3704">
        <v>73.039999999999992</v>
      </c>
      <c r="E3704" t="str">
        <f t="shared" si="150"/>
        <v>WEEKDAY</v>
      </c>
      <c r="F3704" t="e">
        <f t="shared" si="151"/>
        <v>#N/A</v>
      </c>
      <c r="G3704" s="74">
        <v>33027</v>
      </c>
      <c r="H3704" s="77">
        <v>0.58333333333333337</v>
      </c>
      <c r="J3704">
        <v>73.94</v>
      </c>
      <c r="M3704" s="74">
        <v>37775</v>
      </c>
      <c r="N3704" s="77">
        <v>0.58333333333333337</v>
      </c>
      <c r="P3704">
        <v>68</v>
      </c>
      <c r="S3704" s="74">
        <v>34488</v>
      </c>
      <c r="T3704" s="77">
        <v>0.58333333333333337</v>
      </c>
      <c r="V3704">
        <v>71.06</v>
      </c>
      <c r="X3704" s="42"/>
      <c r="AB3704">
        <v>72.2</v>
      </c>
      <c r="AC3704">
        <v>75.02</v>
      </c>
      <c r="AE3704" s="74"/>
      <c r="AF3704" s="77"/>
      <c r="AH3704" s="497">
        <v>68</v>
      </c>
      <c r="AJ3704" s="42"/>
      <c r="AK3704" s="74"/>
      <c r="AL3704" s="77"/>
      <c r="AN3704" s="497">
        <v>66.92</v>
      </c>
      <c r="AP3704" s="42"/>
      <c r="AQ3704" s="74"/>
      <c r="AR3704" s="77"/>
      <c r="AT3704" s="497">
        <v>64.039999999999992</v>
      </c>
      <c r="AV3704" s="42"/>
      <c r="AW3704" s="74"/>
      <c r="AX3704" s="77"/>
      <c r="BA3704" s="497">
        <v>78.080000000000013</v>
      </c>
      <c r="BB3704" s="42"/>
      <c r="BC3704" s="74"/>
      <c r="BD3704" s="77"/>
      <c r="BF3704">
        <v>64.94</v>
      </c>
      <c r="BH3704" s="42"/>
      <c r="BI3704" s="74"/>
      <c r="BJ3704" s="77"/>
      <c r="BL3704" s="497">
        <v>80.06</v>
      </c>
      <c r="BN3704" s="42"/>
      <c r="BO3704" s="74"/>
      <c r="BP3704" s="77"/>
      <c r="BR3704" s="497">
        <v>69.98</v>
      </c>
      <c r="BT3704" s="42"/>
    </row>
    <row r="3705" spans="1:72" x14ac:dyDescent="0.25">
      <c r="A3705" s="90">
        <v>34488</v>
      </c>
      <c r="B3705" s="20">
        <v>0.625</v>
      </c>
      <c r="D3705">
        <v>75.02</v>
      </c>
      <c r="E3705" t="str">
        <f t="shared" si="150"/>
        <v>WEEKDAY</v>
      </c>
      <c r="F3705" t="e">
        <f t="shared" si="151"/>
        <v>#N/A</v>
      </c>
      <c r="G3705" s="74">
        <v>33027</v>
      </c>
      <c r="H3705" s="77">
        <v>0.625</v>
      </c>
      <c r="J3705">
        <v>75.02</v>
      </c>
      <c r="M3705" s="74">
        <v>37775</v>
      </c>
      <c r="N3705" s="77">
        <v>0.625</v>
      </c>
      <c r="P3705">
        <v>66.2</v>
      </c>
      <c r="S3705" s="74">
        <v>34488</v>
      </c>
      <c r="T3705" s="77">
        <v>0.625</v>
      </c>
      <c r="V3705">
        <v>71.06</v>
      </c>
      <c r="X3705" s="42"/>
      <c r="AB3705">
        <v>72</v>
      </c>
      <c r="AC3705">
        <v>73.94</v>
      </c>
      <c r="AE3705" s="74"/>
      <c r="AF3705" s="77"/>
      <c r="AH3705" s="497">
        <v>69.800000000000011</v>
      </c>
      <c r="AJ3705" s="42"/>
      <c r="AK3705" s="74"/>
      <c r="AL3705" s="77"/>
      <c r="AN3705" s="497">
        <v>66.92</v>
      </c>
      <c r="AP3705" s="42"/>
      <c r="AQ3705" s="74"/>
      <c r="AR3705" s="77"/>
      <c r="AT3705" s="497">
        <v>64.94</v>
      </c>
      <c r="AV3705" s="42"/>
      <c r="AW3705" s="74"/>
      <c r="AX3705" s="77"/>
      <c r="BA3705" s="497">
        <v>78.98</v>
      </c>
      <c r="BB3705" s="42"/>
      <c r="BC3705" s="74"/>
      <c r="BD3705" s="77"/>
      <c r="BF3705">
        <v>66.92</v>
      </c>
      <c r="BH3705" s="42"/>
      <c r="BI3705" s="74"/>
      <c r="BJ3705" s="77"/>
      <c r="BL3705" s="497">
        <v>78.080000000000013</v>
      </c>
      <c r="BN3705" s="42"/>
      <c r="BO3705" s="74"/>
      <c r="BP3705" s="77"/>
      <c r="BR3705" s="497">
        <v>69.080000000000013</v>
      </c>
      <c r="BT3705" s="42"/>
    </row>
    <row r="3706" spans="1:72" x14ac:dyDescent="0.25">
      <c r="A3706" s="90">
        <v>34488</v>
      </c>
      <c r="B3706" s="20">
        <v>0.66666666666666663</v>
      </c>
      <c r="D3706">
        <v>77</v>
      </c>
      <c r="E3706" t="str">
        <f t="shared" si="150"/>
        <v>WEEKDAY</v>
      </c>
      <c r="F3706" t="e">
        <f t="shared" si="151"/>
        <v>#N/A</v>
      </c>
      <c r="G3706" s="74">
        <v>33027</v>
      </c>
      <c r="H3706" s="77">
        <v>0.66666666666666663</v>
      </c>
      <c r="J3706">
        <v>80.06</v>
      </c>
      <c r="M3706" s="74">
        <v>37775</v>
      </c>
      <c r="N3706" s="77">
        <v>0.66666666666666663</v>
      </c>
      <c r="P3706">
        <v>64.400000000000006</v>
      </c>
      <c r="S3706" s="74">
        <v>34488</v>
      </c>
      <c r="T3706" s="77">
        <v>0.66666666666666663</v>
      </c>
      <c r="V3706">
        <v>66.92</v>
      </c>
      <c r="X3706" s="42"/>
      <c r="AB3706">
        <v>71.400000000000006</v>
      </c>
      <c r="AC3706">
        <v>75.92</v>
      </c>
      <c r="AE3706" s="74"/>
      <c r="AF3706" s="77"/>
      <c r="AH3706" s="497">
        <v>71.599999999999994</v>
      </c>
      <c r="AJ3706" s="42"/>
      <c r="AK3706" s="74"/>
      <c r="AL3706" s="77"/>
      <c r="AN3706" s="497">
        <v>68</v>
      </c>
      <c r="AP3706" s="42"/>
      <c r="AQ3706" s="74"/>
      <c r="AR3706" s="77"/>
      <c r="AT3706" s="497">
        <v>66.02</v>
      </c>
      <c r="AV3706" s="42"/>
      <c r="AW3706" s="74"/>
      <c r="AX3706" s="77"/>
      <c r="BA3706" s="497">
        <v>80.06</v>
      </c>
      <c r="BB3706" s="42"/>
      <c r="BC3706" s="74"/>
      <c r="BD3706" s="77"/>
      <c r="BF3706">
        <v>68</v>
      </c>
      <c r="BH3706" s="42"/>
      <c r="BI3706" s="74"/>
      <c r="BJ3706" s="77"/>
      <c r="BL3706" s="497">
        <v>80.06</v>
      </c>
      <c r="BN3706" s="42"/>
      <c r="BO3706" s="74"/>
      <c r="BP3706" s="77"/>
      <c r="BR3706" s="497">
        <v>69.080000000000013</v>
      </c>
      <c r="BT3706" s="42"/>
    </row>
    <row r="3707" spans="1:72" x14ac:dyDescent="0.25">
      <c r="A3707" s="90">
        <v>34488</v>
      </c>
      <c r="B3707" s="20">
        <v>0.70833333333333337</v>
      </c>
      <c r="D3707">
        <v>75.92</v>
      </c>
      <c r="E3707" t="str">
        <f t="shared" si="150"/>
        <v>WEEKDAY</v>
      </c>
      <c r="F3707" t="e">
        <f t="shared" si="151"/>
        <v>#N/A</v>
      </c>
      <c r="G3707" s="74">
        <v>33027</v>
      </c>
      <c r="H3707" s="77">
        <v>0.70833333333333337</v>
      </c>
      <c r="J3707">
        <v>75.02</v>
      </c>
      <c r="M3707" s="74">
        <v>37775</v>
      </c>
      <c r="N3707" s="77">
        <v>0.70833333333333337</v>
      </c>
      <c r="P3707">
        <v>57.2</v>
      </c>
      <c r="S3707" s="74">
        <v>34488</v>
      </c>
      <c r="T3707" s="77">
        <v>0.70833333333333337</v>
      </c>
      <c r="V3707">
        <v>64.94</v>
      </c>
      <c r="X3707" s="42"/>
      <c r="AB3707">
        <v>70.7</v>
      </c>
      <c r="AC3707">
        <v>73.039999999999992</v>
      </c>
      <c r="AE3707" s="74"/>
      <c r="AF3707" s="77"/>
      <c r="AH3707" s="497">
        <v>71.599999999999994</v>
      </c>
      <c r="AJ3707" s="42"/>
      <c r="AK3707" s="74"/>
      <c r="AL3707" s="77"/>
      <c r="AN3707" s="497">
        <v>66.92</v>
      </c>
      <c r="AP3707" s="42"/>
      <c r="AQ3707" s="74"/>
      <c r="AR3707" s="77"/>
      <c r="AT3707" s="497">
        <v>66.92</v>
      </c>
      <c r="AV3707" s="42"/>
      <c r="AW3707" s="74"/>
      <c r="AX3707" s="77"/>
      <c r="BA3707" s="497">
        <v>78.44</v>
      </c>
      <c r="BB3707" s="42"/>
      <c r="BC3707" s="74"/>
      <c r="BD3707" s="77"/>
      <c r="BF3707">
        <v>66.02</v>
      </c>
      <c r="BH3707" s="42"/>
      <c r="BI3707" s="74"/>
      <c r="BJ3707" s="77"/>
      <c r="BL3707" s="497">
        <v>78.98</v>
      </c>
      <c r="BN3707" s="42"/>
      <c r="BO3707" s="74"/>
      <c r="BP3707" s="77"/>
      <c r="BR3707" s="497">
        <v>68</v>
      </c>
      <c r="BT3707" s="42"/>
    </row>
    <row r="3708" spans="1:72" x14ac:dyDescent="0.25">
      <c r="A3708" s="90">
        <v>34488</v>
      </c>
      <c r="B3708" s="20">
        <v>0.75</v>
      </c>
      <c r="D3708">
        <v>73.94</v>
      </c>
      <c r="E3708" t="str">
        <f t="shared" si="150"/>
        <v>WEEKDAY</v>
      </c>
      <c r="F3708" t="e">
        <f t="shared" si="151"/>
        <v>#N/A</v>
      </c>
      <c r="G3708" s="74">
        <v>33027</v>
      </c>
      <c r="H3708" s="77">
        <v>0.75</v>
      </c>
      <c r="J3708">
        <v>73.94</v>
      </c>
      <c r="M3708" s="74">
        <v>37775</v>
      </c>
      <c r="N3708" s="77">
        <v>0.75</v>
      </c>
      <c r="P3708">
        <v>55.400000000000006</v>
      </c>
      <c r="S3708" s="74">
        <v>34488</v>
      </c>
      <c r="T3708" s="77">
        <v>0.75</v>
      </c>
      <c r="V3708">
        <v>64.039999999999992</v>
      </c>
      <c r="X3708" s="42"/>
      <c r="AB3708">
        <v>69.400000000000006</v>
      </c>
      <c r="AC3708">
        <v>66.02</v>
      </c>
      <c r="AE3708" s="74"/>
      <c r="AF3708" s="77"/>
      <c r="AH3708" s="497">
        <v>69.800000000000011</v>
      </c>
      <c r="AJ3708" s="42"/>
      <c r="AK3708" s="74"/>
      <c r="AL3708" s="77"/>
      <c r="AN3708" s="497">
        <v>66.02</v>
      </c>
      <c r="AP3708" s="42"/>
      <c r="AQ3708" s="74"/>
      <c r="AR3708" s="77"/>
      <c r="AT3708" s="497">
        <v>64.039999999999992</v>
      </c>
      <c r="AV3708" s="42"/>
      <c r="AW3708" s="74"/>
      <c r="AX3708" s="77"/>
      <c r="BA3708" s="497">
        <v>76.64</v>
      </c>
      <c r="BB3708" s="42"/>
      <c r="BC3708" s="74"/>
      <c r="BD3708" s="77"/>
      <c r="BF3708">
        <v>64.039999999999992</v>
      </c>
      <c r="BH3708" s="42"/>
      <c r="BI3708" s="74"/>
      <c r="BJ3708" s="77"/>
      <c r="BL3708" s="497">
        <v>77</v>
      </c>
      <c r="BN3708" s="42"/>
      <c r="BO3708" s="74"/>
      <c r="BP3708" s="77"/>
      <c r="BR3708" s="497">
        <v>68</v>
      </c>
      <c r="BT3708" s="42"/>
    </row>
    <row r="3709" spans="1:72" x14ac:dyDescent="0.25">
      <c r="A3709" s="90">
        <v>34488</v>
      </c>
      <c r="B3709" s="20">
        <v>0.79166666666666663</v>
      </c>
      <c r="D3709">
        <v>71.960000000000008</v>
      </c>
      <c r="E3709" t="str">
        <f t="shared" si="150"/>
        <v>WEEKDAY</v>
      </c>
      <c r="F3709" t="e">
        <f t="shared" si="151"/>
        <v>#N/A</v>
      </c>
      <c r="G3709" s="74">
        <v>33027</v>
      </c>
      <c r="H3709" s="77">
        <v>0.79166666666666663</v>
      </c>
      <c r="J3709">
        <v>73.039999999999992</v>
      </c>
      <c r="M3709" s="74">
        <v>37775</v>
      </c>
      <c r="N3709" s="77">
        <v>0.79166666666666663</v>
      </c>
      <c r="P3709">
        <v>55.400000000000006</v>
      </c>
      <c r="S3709" s="74">
        <v>34488</v>
      </c>
      <c r="T3709" s="77">
        <v>0.79166666666666663</v>
      </c>
      <c r="V3709">
        <v>62.06</v>
      </c>
      <c r="X3709" s="42"/>
      <c r="AB3709">
        <v>68.2</v>
      </c>
      <c r="AC3709">
        <v>64.039999999999992</v>
      </c>
      <c r="AE3709" s="74"/>
      <c r="AF3709" s="77"/>
      <c r="AH3709" s="497">
        <v>66.2</v>
      </c>
      <c r="AJ3709" s="42"/>
      <c r="AK3709" s="74"/>
      <c r="AL3709" s="77"/>
      <c r="AN3709" s="497">
        <v>64.039999999999992</v>
      </c>
      <c r="AP3709" s="42"/>
      <c r="AQ3709" s="74"/>
      <c r="AR3709" s="77"/>
      <c r="AT3709" s="497">
        <v>62.06</v>
      </c>
      <c r="AV3709" s="42"/>
      <c r="AW3709" s="74"/>
      <c r="AX3709" s="77"/>
      <c r="BA3709" s="497">
        <v>75.02</v>
      </c>
      <c r="BB3709" s="42"/>
      <c r="BC3709" s="74"/>
      <c r="BD3709" s="77"/>
      <c r="BF3709">
        <v>64.039999999999992</v>
      </c>
      <c r="BH3709" s="42"/>
      <c r="BI3709" s="74"/>
      <c r="BJ3709" s="77"/>
      <c r="BL3709" s="497">
        <v>73.039999999999992</v>
      </c>
      <c r="BN3709" s="42"/>
      <c r="BO3709" s="74"/>
      <c r="BP3709" s="77"/>
      <c r="BR3709" s="497">
        <v>66.92</v>
      </c>
      <c r="BT3709" s="42"/>
    </row>
    <row r="3710" spans="1:72" x14ac:dyDescent="0.25">
      <c r="A3710" s="90">
        <v>34488</v>
      </c>
      <c r="B3710" s="20">
        <v>0.83333333333333337</v>
      </c>
      <c r="D3710">
        <v>73.039999999999992</v>
      </c>
      <c r="E3710" t="str">
        <f t="shared" si="150"/>
        <v>WEEKDAY</v>
      </c>
      <c r="F3710" t="e">
        <f t="shared" si="151"/>
        <v>#N/A</v>
      </c>
      <c r="G3710" s="74">
        <v>33027</v>
      </c>
      <c r="H3710" s="77">
        <v>0.83333333333333337</v>
      </c>
      <c r="J3710">
        <v>69.98</v>
      </c>
      <c r="M3710" s="74">
        <v>37775</v>
      </c>
      <c r="N3710" s="77">
        <v>0.83333333333333337</v>
      </c>
      <c r="P3710">
        <v>55.400000000000006</v>
      </c>
      <c r="S3710" s="74">
        <v>34488</v>
      </c>
      <c r="T3710" s="77">
        <v>0.83333333333333337</v>
      </c>
      <c r="V3710">
        <v>62.06</v>
      </c>
      <c r="X3710" s="42"/>
      <c r="AB3710">
        <v>66.8</v>
      </c>
      <c r="AC3710">
        <v>60.980000000000004</v>
      </c>
      <c r="AE3710" s="74"/>
      <c r="AF3710" s="77"/>
      <c r="AH3710" s="497">
        <v>62.96</v>
      </c>
      <c r="AJ3710" s="42"/>
      <c r="AK3710" s="74"/>
      <c r="AL3710" s="77"/>
      <c r="AN3710" s="497">
        <v>60.08</v>
      </c>
      <c r="AP3710" s="42"/>
      <c r="AQ3710" s="74"/>
      <c r="AR3710" s="77"/>
      <c r="AT3710" s="497">
        <v>57.92</v>
      </c>
      <c r="AV3710" s="42"/>
      <c r="AW3710" s="74"/>
      <c r="AX3710" s="77"/>
      <c r="BA3710" s="497">
        <v>71.960000000000008</v>
      </c>
      <c r="BB3710" s="42"/>
      <c r="BC3710" s="74"/>
      <c r="BD3710" s="77"/>
      <c r="BF3710">
        <v>60.08</v>
      </c>
      <c r="BH3710" s="42"/>
      <c r="BI3710" s="74"/>
      <c r="BJ3710" s="77"/>
      <c r="BL3710" s="497">
        <v>68</v>
      </c>
      <c r="BN3710" s="42"/>
      <c r="BO3710" s="74"/>
      <c r="BP3710" s="77"/>
      <c r="BR3710" s="497">
        <v>66.92</v>
      </c>
      <c r="BT3710" s="42"/>
    </row>
    <row r="3711" spans="1:72" x14ac:dyDescent="0.25">
      <c r="A3711" s="90">
        <v>34488</v>
      </c>
      <c r="B3711" s="20">
        <v>0.875</v>
      </c>
      <c r="D3711">
        <v>69.080000000000013</v>
      </c>
      <c r="E3711" t="str">
        <f t="shared" si="150"/>
        <v>WEEKDAY</v>
      </c>
      <c r="F3711" t="e">
        <f t="shared" si="151"/>
        <v>#N/A</v>
      </c>
      <c r="G3711" s="74">
        <v>33027</v>
      </c>
      <c r="H3711" s="77">
        <v>0.875</v>
      </c>
      <c r="J3711">
        <v>68</v>
      </c>
      <c r="M3711" s="74">
        <v>37775</v>
      </c>
      <c r="N3711" s="77">
        <v>0.875</v>
      </c>
      <c r="P3711">
        <v>55.400000000000006</v>
      </c>
      <c r="S3711" s="74">
        <v>34488</v>
      </c>
      <c r="T3711" s="77">
        <v>0.875</v>
      </c>
      <c r="V3711">
        <v>60.980000000000004</v>
      </c>
      <c r="X3711" s="42"/>
      <c r="AB3711">
        <v>65.599999999999994</v>
      </c>
      <c r="AC3711">
        <v>60.08</v>
      </c>
      <c r="AE3711" s="74"/>
      <c r="AF3711" s="77"/>
      <c r="AH3711" s="497">
        <v>60.8</v>
      </c>
      <c r="AJ3711" s="42"/>
      <c r="AK3711" s="74"/>
      <c r="AL3711" s="77"/>
      <c r="AN3711" s="497">
        <v>59</v>
      </c>
      <c r="AP3711" s="42"/>
      <c r="AQ3711" s="74"/>
      <c r="AR3711" s="77"/>
      <c r="AT3711" s="497">
        <v>51.980000000000004</v>
      </c>
      <c r="AV3711" s="42"/>
      <c r="AW3711" s="74"/>
      <c r="AX3711" s="77"/>
      <c r="BA3711" s="497">
        <v>69.080000000000013</v>
      </c>
      <c r="BB3711" s="42"/>
      <c r="BC3711" s="74"/>
      <c r="BD3711" s="77"/>
      <c r="BF3711">
        <v>57.92</v>
      </c>
      <c r="BH3711" s="42"/>
      <c r="BI3711" s="74"/>
      <c r="BJ3711" s="77"/>
      <c r="BL3711" s="497">
        <v>64.94</v>
      </c>
      <c r="BN3711" s="42"/>
      <c r="BO3711" s="74"/>
      <c r="BP3711" s="77"/>
      <c r="BR3711" s="497">
        <v>66.92</v>
      </c>
      <c r="BT3711" s="42"/>
    </row>
    <row r="3712" spans="1:72" x14ac:dyDescent="0.25">
      <c r="A3712" s="90">
        <v>34488</v>
      </c>
      <c r="B3712" s="20">
        <v>0.91666666666666663</v>
      </c>
      <c r="D3712">
        <v>69.98</v>
      </c>
      <c r="E3712" t="str">
        <f t="shared" si="150"/>
        <v>WEEKDAY</v>
      </c>
      <c r="F3712" t="e">
        <f t="shared" si="151"/>
        <v>#N/A</v>
      </c>
      <c r="G3712" s="74">
        <v>33027</v>
      </c>
      <c r="H3712" s="77">
        <v>0.91666666666666663</v>
      </c>
      <c r="J3712">
        <v>71.06</v>
      </c>
      <c r="M3712" s="74">
        <v>37775</v>
      </c>
      <c r="N3712" s="77">
        <v>0.91666666666666663</v>
      </c>
      <c r="P3712">
        <v>55.400000000000006</v>
      </c>
      <c r="S3712" s="74">
        <v>34488</v>
      </c>
      <c r="T3712" s="77">
        <v>0.91666666666666663</v>
      </c>
      <c r="V3712">
        <v>62.06</v>
      </c>
      <c r="X3712" s="42"/>
      <c r="AB3712">
        <v>64.900000000000006</v>
      </c>
      <c r="AC3712">
        <v>59</v>
      </c>
      <c r="AE3712" s="74"/>
      <c r="AF3712" s="77"/>
      <c r="AH3712" s="497">
        <v>53.6</v>
      </c>
      <c r="AJ3712" s="42"/>
      <c r="AK3712" s="74"/>
      <c r="AL3712" s="77"/>
      <c r="AN3712" s="497">
        <v>57.92</v>
      </c>
      <c r="AP3712" s="42"/>
      <c r="AQ3712" s="74"/>
      <c r="AR3712" s="77"/>
      <c r="AT3712" s="497">
        <v>51.08</v>
      </c>
      <c r="AV3712" s="42"/>
      <c r="AW3712" s="74"/>
      <c r="AX3712" s="77"/>
      <c r="BA3712" s="497">
        <v>66.02</v>
      </c>
      <c r="BB3712" s="42"/>
      <c r="BC3712" s="74"/>
      <c r="BD3712" s="77"/>
      <c r="BF3712">
        <v>55.040000000000006</v>
      </c>
      <c r="BH3712" s="42"/>
      <c r="BI3712" s="74"/>
      <c r="BJ3712" s="77"/>
      <c r="BL3712" s="497">
        <v>62.96</v>
      </c>
      <c r="BN3712" s="42"/>
      <c r="BO3712" s="74"/>
      <c r="BP3712" s="77"/>
      <c r="BR3712" s="497">
        <v>64.94</v>
      </c>
      <c r="BT3712" s="42"/>
    </row>
    <row r="3713" spans="1:72" x14ac:dyDescent="0.25">
      <c r="A3713" s="90">
        <v>34488</v>
      </c>
      <c r="B3713" s="20">
        <v>0.95833333333333337</v>
      </c>
      <c r="D3713">
        <v>68</v>
      </c>
      <c r="E3713" t="str">
        <f t="shared" si="150"/>
        <v>WEEKDAY</v>
      </c>
      <c r="F3713" t="e">
        <f t="shared" si="151"/>
        <v>#N/A</v>
      </c>
      <c r="G3713" s="74">
        <v>33027</v>
      </c>
      <c r="H3713" s="77">
        <v>0.95833333333333337</v>
      </c>
      <c r="J3713">
        <v>69.98</v>
      </c>
      <c r="M3713" s="74">
        <v>37775</v>
      </c>
      <c r="N3713" s="77">
        <v>0.95833333333333337</v>
      </c>
      <c r="P3713">
        <v>55.400000000000006</v>
      </c>
      <c r="S3713" s="74">
        <v>34488</v>
      </c>
      <c r="T3713" s="77">
        <v>0.95833333333333337</v>
      </c>
      <c r="V3713">
        <v>66.92</v>
      </c>
      <c r="X3713" s="42"/>
      <c r="AB3713">
        <v>64.3</v>
      </c>
      <c r="AC3713">
        <v>57.92</v>
      </c>
      <c r="AE3713" s="74"/>
      <c r="AF3713" s="77"/>
      <c r="AH3713" s="497">
        <v>50</v>
      </c>
      <c r="AJ3713" s="42"/>
      <c r="AK3713" s="74"/>
      <c r="AL3713" s="77"/>
      <c r="AN3713" s="497">
        <v>55.94</v>
      </c>
      <c r="AP3713" s="42"/>
      <c r="AQ3713" s="74"/>
      <c r="AR3713" s="77"/>
      <c r="AT3713" s="497">
        <v>51.08</v>
      </c>
      <c r="AV3713" s="42"/>
      <c r="AW3713" s="74"/>
      <c r="AX3713" s="77"/>
      <c r="BA3713" s="497">
        <v>63.680000000000007</v>
      </c>
      <c r="BB3713" s="42"/>
      <c r="BC3713" s="74"/>
      <c r="BD3713" s="77"/>
      <c r="BF3713">
        <v>53.96</v>
      </c>
      <c r="BH3713" s="42"/>
      <c r="BI3713" s="74"/>
      <c r="BJ3713" s="77"/>
      <c r="BL3713" s="497">
        <v>60.980000000000004</v>
      </c>
      <c r="BN3713" s="42"/>
      <c r="BO3713" s="74"/>
      <c r="BP3713" s="77"/>
      <c r="BR3713" s="497">
        <v>64.039999999999992</v>
      </c>
      <c r="BT3713" s="42"/>
    </row>
    <row r="3714" spans="1:72" x14ac:dyDescent="0.25">
      <c r="A3714" s="90">
        <v>34488</v>
      </c>
      <c r="B3714" s="20">
        <v>1</v>
      </c>
      <c r="D3714">
        <v>66.92</v>
      </c>
      <c r="E3714" t="str">
        <f t="shared" si="150"/>
        <v>WEEKDAY</v>
      </c>
      <c r="F3714" t="e">
        <f t="shared" si="151"/>
        <v>#N/A</v>
      </c>
      <c r="G3714" s="74">
        <v>33027</v>
      </c>
      <c r="H3714" s="77">
        <v>1</v>
      </c>
      <c r="J3714">
        <v>69.98</v>
      </c>
      <c r="M3714" s="74">
        <v>37775</v>
      </c>
      <c r="N3714" s="80">
        <v>1</v>
      </c>
      <c r="P3714">
        <v>53.6</v>
      </c>
      <c r="S3714" s="74">
        <v>34488</v>
      </c>
      <c r="T3714" s="80">
        <v>1</v>
      </c>
      <c r="V3714">
        <v>66.92</v>
      </c>
      <c r="X3714" s="42"/>
      <c r="AB3714">
        <v>63.8</v>
      </c>
      <c r="AC3714">
        <v>55.94</v>
      </c>
      <c r="AE3714" s="74"/>
      <c r="AF3714" s="80"/>
      <c r="AH3714" s="497">
        <v>48.2</v>
      </c>
      <c r="AJ3714" s="42"/>
      <c r="AK3714" s="74"/>
      <c r="AL3714" s="80"/>
      <c r="AN3714" s="497">
        <v>55.94</v>
      </c>
      <c r="AP3714" s="42"/>
      <c r="AQ3714" s="74"/>
      <c r="AR3714" s="80"/>
      <c r="AT3714" s="497">
        <v>53.06</v>
      </c>
      <c r="AV3714" s="42"/>
      <c r="AW3714" s="74"/>
      <c r="AX3714" s="80"/>
      <c r="BA3714" s="497">
        <v>61.34</v>
      </c>
      <c r="BB3714" s="42"/>
      <c r="BC3714" s="74"/>
      <c r="BD3714" s="80"/>
      <c r="BF3714">
        <v>51.980000000000004</v>
      </c>
      <c r="BH3714" s="42"/>
      <c r="BI3714" s="74"/>
      <c r="BJ3714" s="80"/>
      <c r="BL3714" s="497">
        <v>60.980000000000004</v>
      </c>
      <c r="BN3714" s="42"/>
      <c r="BO3714" s="74"/>
      <c r="BP3714" s="80"/>
      <c r="BR3714" s="497">
        <v>62.96</v>
      </c>
      <c r="BT3714" s="42"/>
    </row>
    <row r="3715" spans="1:72" x14ac:dyDescent="0.25">
      <c r="A3715" s="90">
        <v>34489</v>
      </c>
      <c r="B3715" s="20">
        <v>4.1666666666666664E-2</v>
      </c>
      <c r="D3715">
        <v>66.02</v>
      </c>
      <c r="E3715" t="str">
        <f t="shared" si="150"/>
        <v>SATURDAY</v>
      </c>
      <c r="F3715" t="e">
        <f t="shared" si="151"/>
        <v>#N/A</v>
      </c>
      <c r="G3715" s="74">
        <v>33028</v>
      </c>
      <c r="H3715" s="77">
        <v>4.1666666666666664E-2</v>
      </c>
      <c r="J3715">
        <v>69.080000000000013</v>
      </c>
      <c r="M3715" s="74">
        <v>37776</v>
      </c>
      <c r="N3715" s="77">
        <v>4.1666666666666664E-2</v>
      </c>
      <c r="P3715">
        <v>51.8</v>
      </c>
      <c r="S3715" s="74">
        <v>34489</v>
      </c>
      <c r="T3715" s="77">
        <v>4.1666666666666664E-2</v>
      </c>
      <c r="V3715">
        <v>64.039999999999992</v>
      </c>
      <c r="X3715" s="42"/>
      <c r="AB3715">
        <v>63.2</v>
      </c>
      <c r="AC3715">
        <v>57.019999999999996</v>
      </c>
      <c r="AE3715" s="74"/>
      <c r="AF3715" s="77"/>
      <c r="AH3715" s="497">
        <v>48.2</v>
      </c>
      <c r="AJ3715" s="42"/>
      <c r="AK3715" s="74"/>
      <c r="AL3715" s="77"/>
      <c r="AN3715" s="497">
        <v>55.040000000000006</v>
      </c>
      <c r="AP3715" s="42"/>
      <c r="AQ3715" s="74"/>
      <c r="AR3715" s="77"/>
      <c r="AT3715" s="497">
        <v>53.06</v>
      </c>
      <c r="AV3715" s="42"/>
      <c r="AW3715" s="74"/>
      <c r="AX3715" s="77"/>
      <c r="BA3715" s="497">
        <v>59</v>
      </c>
      <c r="BB3715" s="42"/>
      <c r="BC3715" s="74"/>
      <c r="BD3715" s="77"/>
      <c r="BF3715">
        <v>51.08</v>
      </c>
      <c r="BH3715" s="42"/>
      <c r="BI3715" s="74"/>
      <c r="BJ3715" s="77"/>
      <c r="BL3715" s="497">
        <v>60.08</v>
      </c>
      <c r="BN3715" s="42"/>
      <c r="BO3715" s="74"/>
      <c r="BP3715" s="77"/>
      <c r="BR3715" s="497">
        <v>62.96</v>
      </c>
      <c r="BT3715" s="42"/>
    </row>
    <row r="3716" spans="1:72" x14ac:dyDescent="0.25">
      <c r="A3716" s="90">
        <v>34489</v>
      </c>
      <c r="B3716" s="20">
        <v>8.3333333333333329E-2</v>
      </c>
      <c r="D3716">
        <v>64.039999999999992</v>
      </c>
      <c r="E3716" t="str">
        <f t="shared" si="150"/>
        <v>SATURDAY</v>
      </c>
      <c r="F3716" t="e">
        <f t="shared" si="151"/>
        <v>#N/A</v>
      </c>
      <c r="G3716" s="74">
        <v>33028</v>
      </c>
      <c r="H3716" s="77">
        <v>8.3333333333333329E-2</v>
      </c>
      <c r="J3716">
        <v>69.080000000000013</v>
      </c>
      <c r="M3716" s="74">
        <v>37776</v>
      </c>
      <c r="N3716" s="77">
        <v>8.3333333333333329E-2</v>
      </c>
      <c r="P3716">
        <v>50</v>
      </c>
      <c r="S3716" s="74">
        <v>34489</v>
      </c>
      <c r="T3716" s="77">
        <v>8.3333333333333329E-2</v>
      </c>
      <c r="V3716">
        <v>60.08</v>
      </c>
      <c r="X3716" s="42"/>
      <c r="AB3716">
        <v>62.7</v>
      </c>
      <c r="AC3716">
        <v>53.06</v>
      </c>
      <c r="AE3716" s="74"/>
      <c r="AF3716" s="77"/>
      <c r="AH3716" s="497">
        <v>46.4</v>
      </c>
      <c r="AJ3716" s="42"/>
      <c r="AK3716" s="74"/>
      <c r="AL3716" s="77"/>
      <c r="AN3716" s="497">
        <v>53.06</v>
      </c>
      <c r="AP3716" s="42"/>
      <c r="AQ3716" s="74"/>
      <c r="AR3716" s="77"/>
      <c r="AT3716" s="497">
        <v>51.980000000000004</v>
      </c>
      <c r="AV3716" s="42"/>
      <c r="AW3716" s="74"/>
      <c r="AX3716" s="77"/>
      <c r="BA3716" s="497">
        <v>57.92</v>
      </c>
      <c r="BB3716" s="42"/>
      <c r="BC3716" s="74"/>
      <c r="BD3716" s="77"/>
      <c r="BF3716">
        <v>48.92</v>
      </c>
      <c r="BH3716" s="42"/>
      <c r="BI3716" s="74"/>
      <c r="BJ3716" s="77"/>
      <c r="BL3716" s="497">
        <v>59</v>
      </c>
      <c r="BN3716" s="42"/>
      <c r="BO3716" s="74"/>
      <c r="BP3716" s="77"/>
      <c r="BR3716" s="497">
        <v>64.039999999999992</v>
      </c>
      <c r="BT3716" s="42"/>
    </row>
    <row r="3717" spans="1:72" x14ac:dyDescent="0.25">
      <c r="A3717" s="90">
        <v>34489</v>
      </c>
      <c r="B3717" s="20">
        <v>0.125</v>
      </c>
      <c r="D3717">
        <v>62.06</v>
      </c>
      <c r="E3717" t="str">
        <f t="shared" si="150"/>
        <v>SATURDAY</v>
      </c>
      <c r="F3717" t="e">
        <f t="shared" si="151"/>
        <v>#N/A</v>
      </c>
      <c r="G3717" s="74">
        <v>33028</v>
      </c>
      <c r="H3717" s="77">
        <v>0.125</v>
      </c>
      <c r="J3717">
        <v>69.080000000000013</v>
      </c>
      <c r="M3717" s="74">
        <v>37776</v>
      </c>
      <c r="N3717" s="77">
        <v>0.125</v>
      </c>
      <c r="P3717">
        <v>48.2</v>
      </c>
      <c r="S3717" s="74">
        <v>34489</v>
      </c>
      <c r="T3717" s="77">
        <v>0.125</v>
      </c>
      <c r="V3717">
        <v>60.980000000000004</v>
      </c>
      <c r="X3717" s="42"/>
      <c r="AB3717">
        <v>62.1</v>
      </c>
      <c r="AC3717">
        <v>51.980000000000004</v>
      </c>
      <c r="AE3717" s="74"/>
      <c r="AF3717" s="77"/>
      <c r="AH3717" s="497">
        <v>44.6</v>
      </c>
      <c r="AJ3717" s="42"/>
      <c r="AK3717" s="74"/>
      <c r="AL3717" s="77"/>
      <c r="AN3717" s="497">
        <v>46.04</v>
      </c>
      <c r="AP3717" s="42"/>
      <c r="AQ3717" s="74"/>
      <c r="AR3717" s="77"/>
      <c r="AT3717" s="497">
        <v>51.08</v>
      </c>
      <c r="AV3717" s="42"/>
      <c r="AW3717" s="74"/>
      <c r="AX3717" s="77"/>
      <c r="BA3717" s="497">
        <v>57.019999999999996</v>
      </c>
      <c r="BB3717" s="42"/>
      <c r="BC3717" s="74"/>
      <c r="BD3717" s="77"/>
      <c r="BF3717">
        <v>46.94</v>
      </c>
      <c r="BH3717" s="42"/>
      <c r="BI3717" s="74"/>
      <c r="BJ3717" s="77"/>
      <c r="BL3717" s="497">
        <v>59</v>
      </c>
      <c r="BN3717" s="42"/>
      <c r="BO3717" s="74"/>
      <c r="BP3717" s="77"/>
      <c r="BR3717" s="497">
        <v>64.039999999999992</v>
      </c>
      <c r="BT3717" s="42"/>
    </row>
    <row r="3718" spans="1:72" x14ac:dyDescent="0.25">
      <c r="A3718" s="90">
        <v>34489</v>
      </c>
      <c r="B3718" s="20">
        <v>0.16666666666666666</v>
      </c>
      <c r="D3718">
        <v>60.980000000000004</v>
      </c>
      <c r="E3718" t="str">
        <f t="shared" si="150"/>
        <v>SATURDAY</v>
      </c>
      <c r="F3718" t="e">
        <f t="shared" si="151"/>
        <v>#N/A</v>
      </c>
      <c r="G3718" s="74">
        <v>33028</v>
      </c>
      <c r="H3718" s="77">
        <v>0.16666666666666666</v>
      </c>
      <c r="J3718">
        <v>68</v>
      </c>
      <c r="M3718" s="74">
        <v>37776</v>
      </c>
      <c r="N3718" s="77">
        <v>0.16666666666666666</v>
      </c>
      <c r="P3718">
        <v>50</v>
      </c>
      <c r="S3718" s="74">
        <v>34489</v>
      </c>
      <c r="T3718" s="77">
        <v>0.16666666666666666</v>
      </c>
      <c r="V3718">
        <v>60.08</v>
      </c>
      <c r="X3718" s="42"/>
      <c r="AB3718">
        <v>61.6</v>
      </c>
      <c r="AC3718">
        <v>53.96</v>
      </c>
      <c r="AE3718" s="74"/>
      <c r="AF3718" s="77"/>
      <c r="AH3718" s="497">
        <v>42.8</v>
      </c>
      <c r="AJ3718" s="42"/>
      <c r="AK3718" s="74"/>
      <c r="AL3718" s="77"/>
      <c r="AN3718" s="497">
        <v>46.94</v>
      </c>
      <c r="AP3718" s="42"/>
      <c r="AQ3718" s="74"/>
      <c r="AR3718" s="77"/>
      <c r="AT3718" s="497">
        <v>50</v>
      </c>
      <c r="AV3718" s="42"/>
      <c r="AW3718" s="74"/>
      <c r="AX3718" s="77"/>
      <c r="BA3718" s="497">
        <v>55.94</v>
      </c>
      <c r="BB3718" s="42"/>
      <c r="BC3718" s="74"/>
      <c r="BD3718" s="77"/>
      <c r="BF3718">
        <v>44.96</v>
      </c>
      <c r="BH3718" s="42"/>
      <c r="BI3718" s="74"/>
      <c r="BJ3718" s="77"/>
      <c r="BL3718" s="497">
        <v>60.08</v>
      </c>
      <c r="BN3718" s="42"/>
      <c r="BO3718" s="74"/>
      <c r="BP3718" s="77"/>
      <c r="BR3718" s="497">
        <v>64.039999999999992</v>
      </c>
      <c r="BT3718" s="42"/>
    </row>
    <row r="3719" spans="1:72" x14ac:dyDescent="0.25">
      <c r="A3719" s="90">
        <v>34489</v>
      </c>
      <c r="B3719" s="20">
        <v>0.20833333333333334</v>
      </c>
      <c r="D3719">
        <v>60.08</v>
      </c>
      <c r="E3719" t="str">
        <f t="shared" si="150"/>
        <v>SATURDAY</v>
      </c>
      <c r="F3719" t="e">
        <f t="shared" si="151"/>
        <v>#N/A</v>
      </c>
      <c r="G3719" s="74">
        <v>33028</v>
      </c>
      <c r="H3719" s="77">
        <v>0.20833333333333334</v>
      </c>
      <c r="J3719">
        <v>68</v>
      </c>
      <c r="M3719" s="74">
        <v>37776</v>
      </c>
      <c r="N3719" s="77">
        <v>0.20833333333333334</v>
      </c>
      <c r="P3719">
        <v>50</v>
      </c>
      <c r="S3719" s="74">
        <v>34489</v>
      </c>
      <c r="T3719" s="77">
        <v>0.20833333333333334</v>
      </c>
      <c r="V3719">
        <v>60.980000000000004</v>
      </c>
      <c r="X3719" s="42"/>
      <c r="AB3719">
        <v>61.3</v>
      </c>
      <c r="AC3719">
        <v>51.980000000000004</v>
      </c>
      <c r="AE3719" s="74"/>
      <c r="AF3719" s="77"/>
      <c r="AH3719" s="497">
        <v>42.8</v>
      </c>
      <c r="AJ3719" s="42"/>
      <c r="AK3719" s="74"/>
      <c r="AL3719" s="77"/>
      <c r="AN3719" s="497">
        <v>46.04</v>
      </c>
      <c r="AP3719" s="42"/>
      <c r="AQ3719" s="74"/>
      <c r="AR3719" s="77"/>
      <c r="AT3719" s="497">
        <v>50</v>
      </c>
      <c r="AV3719" s="42"/>
      <c r="AW3719" s="74"/>
      <c r="AX3719" s="77"/>
      <c r="BA3719" s="497">
        <v>58.28</v>
      </c>
      <c r="BB3719" s="42"/>
      <c r="BC3719" s="74"/>
      <c r="BD3719" s="77"/>
      <c r="BF3719">
        <v>44.06</v>
      </c>
      <c r="BH3719" s="42"/>
      <c r="BI3719" s="74"/>
      <c r="BJ3719" s="77"/>
      <c r="BL3719" s="497">
        <v>60.08</v>
      </c>
      <c r="BN3719" s="42"/>
      <c r="BO3719" s="74"/>
      <c r="BP3719" s="77"/>
      <c r="BR3719" s="497">
        <v>64.94</v>
      </c>
      <c r="BT3719" s="42"/>
    </row>
    <row r="3720" spans="1:72" x14ac:dyDescent="0.25">
      <c r="A3720" s="90">
        <v>34489</v>
      </c>
      <c r="B3720" s="20">
        <v>0.25</v>
      </c>
      <c r="D3720">
        <v>60.980000000000004</v>
      </c>
      <c r="E3720" t="str">
        <f t="shared" si="150"/>
        <v>SATURDAY</v>
      </c>
      <c r="F3720" t="e">
        <f t="shared" si="151"/>
        <v>#N/A</v>
      </c>
      <c r="G3720" s="74">
        <v>33028</v>
      </c>
      <c r="H3720" s="77">
        <v>0.25</v>
      </c>
      <c r="J3720">
        <v>69.98</v>
      </c>
      <c r="M3720" s="74">
        <v>37776</v>
      </c>
      <c r="N3720" s="77">
        <v>0.25</v>
      </c>
      <c r="P3720">
        <v>50</v>
      </c>
      <c r="S3720" s="74">
        <v>34489</v>
      </c>
      <c r="T3720" s="77">
        <v>0.25</v>
      </c>
      <c r="V3720">
        <v>64.039999999999992</v>
      </c>
      <c r="X3720" s="42"/>
      <c r="AB3720">
        <v>61.2</v>
      </c>
      <c r="AC3720">
        <v>59</v>
      </c>
      <c r="AE3720" s="74"/>
      <c r="AF3720" s="77"/>
      <c r="AH3720" s="497">
        <v>46.4</v>
      </c>
      <c r="AJ3720" s="42"/>
      <c r="AK3720" s="74"/>
      <c r="AL3720" s="77"/>
      <c r="AN3720" s="497">
        <v>50</v>
      </c>
      <c r="AP3720" s="42"/>
      <c r="AQ3720" s="74"/>
      <c r="AR3720" s="77"/>
      <c r="AT3720" s="497">
        <v>53.06</v>
      </c>
      <c r="AV3720" s="42"/>
      <c r="AW3720" s="74"/>
      <c r="AX3720" s="77"/>
      <c r="BA3720" s="497">
        <v>60.620000000000005</v>
      </c>
      <c r="BB3720" s="42"/>
      <c r="BC3720" s="74"/>
      <c r="BD3720" s="77"/>
      <c r="BF3720">
        <v>48.019999999999996</v>
      </c>
      <c r="BH3720" s="42"/>
      <c r="BI3720" s="74"/>
      <c r="BJ3720" s="77"/>
      <c r="BL3720" s="497">
        <v>60.980000000000004</v>
      </c>
      <c r="BN3720" s="42"/>
      <c r="BO3720" s="74"/>
      <c r="BP3720" s="77"/>
      <c r="BR3720" s="497">
        <v>66.02</v>
      </c>
      <c r="BT3720" s="42"/>
    </row>
    <row r="3721" spans="1:72" x14ac:dyDescent="0.25">
      <c r="A3721" s="90">
        <v>34489</v>
      </c>
      <c r="B3721" s="20">
        <v>0.29166666666666669</v>
      </c>
      <c r="D3721">
        <v>62.06</v>
      </c>
      <c r="E3721" t="str">
        <f t="shared" si="150"/>
        <v>SATURDAY</v>
      </c>
      <c r="F3721" t="e">
        <f t="shared" si="151"/>
        <v>#N/A</v>
      </c>
      <c r="G3721" s="74">
        <v>33028</v>
      </c>
      <c r="H3721" s="77">
        <v>0.29166666666666669</v>
      </c>
      <c r="J3721">
        <v>71.960000000000008</v>
      </c>
      <c r="M3721" s="74">
        <v>37776</v>
      </c>
      <c r="N3721" s="77">
        <v>0.29166666666666669</v>
      </c>
      <c r="P3721">
        <v>51.8</v>
      </c>
      <c r="S3721" s="74">
        <v>34489</v>
      </c>
      <c r="T3721" s="77">
        <v>0.29166666666666669</v>
      </c>
      <c r="V3721">
        <v>69.080000000000013</v>
      </c>
      <c r="X3721" s="42"/>
      <c r="AB3721">
        <v>62.8</v>
      </c>
      <c r="AC3721">
        <v>62.96</v>
      </c>
      <c r="AE3721" s="74"/>
      <c r="AF3721" s="77"/>
      <c r="AH3721" s="497">
        <v>51.8</v>
      </c>
      <c r="AJ3721" s="42"/>
      <c r="AK3721" s="74"/>
      <c r="AL3721" s="77"/>
      <c r="AN3721" s="497">
        <v>51.980000000000004</v>
      </c>
      <c r="AP3721" s="42"/>
      <c r="AQ3721" s="74"/>
      <c r="AR3721" s="77"/>
      <c r="AT3721" s="497">
        <v>57.019999999999996</v>
      </c>
      <c r="AV3721" s="42"/>
      <c r="AW3721" s="74"/>
      <c r="AX3721" s="77"/>
      <c r="BA3721" s="497">
        <v>62.96</v>
      </c>
      <c r="BB3721" s="42"/>
      <c r="BC3721" s="74"/>
      <c r="BD3721" s="77"/>
      <c r="BF3721">
        <v>51.08</v>
      </c>
      <c r="BH3721" s="42"/>
      <c r="BI3721" s="74"/>
      <c r="BJ3721" s="77"/>
      <c r="BL3721" s="497">
        <v>64.039999999999992</v>
      </c>
      <c r="BN3721" s="42"/>
      <c r="BO3721" s="74"/>
      <c r="BP3721" s="77"/>
      <c r="BR3721" s="497">
        <v>66.92</v>
      </c>
      <c r="BT3721" s="42"/>
    </row>
    <row r="3722" spans="1:72" x14ac:dyDescent="0.25">
      <c r="A3722" s="90">
        <v>34489</v>
      </c>
      <c r="B3722" s="20">
        <v>0.33333333333333331</v>
      </c>
      <c r="D3722">
        <v>62.96</v>
      </c>
      <c r="E3722" t="str">
        <f t="shared" si="150"/>
        <v>SATURDAY</v>
      </c>
      <c r="F3722" t="e">
        <f t="shared" si="151"/>
        <v>#N/A</v>
      </c>
      <c r="G3722" s="74">
        <v>33028</v>
      </c>
      <c r="H3722" s="77">
        <v>0.33333333333333331</v>
      </c>
      <c r="J3722">
        <v>73.039999999999992</v>
      </c>
      <c r="M3722" s="74">
        <v>37776</v>
      </c>
      <c r="N3722" s="77">
        <v>0.33333333333333331</v>
      </c>
      <c r="P3722">
        <v>51.8</v>
      </c>
      <c r="S3722" s="74">
        <v>34489</v>
      </c>
      <c r="T3722" s="77">
        <v>0.33333333333333331</v>
      </c>
      <c r="V3722">
        <v>71.960000000000008</v>
      </c>
      <c r="X3722" s="42"/>
      <c r="AB3722">
        <v>64.7</v>
      </c>
      <c r="AC3722">
        <v>69.080000000000013</v>
      </c>
      <c r="AE3722" s="74"/>
      <c r="AF3722" s="77"/>
      <c r="AH3722" s="497">
        <v>59</v>
      </c>
      <c r="AJ3722" s="42"/>
      <c r="AK3722" s="74"/>
      <c r="AL3722" s="77"/>
      <c r="AN3722" s="497">
        <v>57.92</v>
      </c>
      <c r="AP3722" s="42"/>
      <c r="AQ3722" s="74"/>
      <c r="AR3722" s="77"/>
      <c r="AT3722" s="497">
        <v>60.08</v>
      </c>
      <c r="AV3722" s="42"/>
      <c r="AW3722" s="74"/>
      <c r="AX3722" s="77"/>
      <c r="BA3722" s="497">
        <v>67.28</v>
      </c>
      <c r="BB3722" s="42"/>
      <c r="BC3722" s="74"/>
      <c r="BD3722" s="77"/>
      <c r="BF3722">
        <v>55.040000000000006</v>
      </c>
      <c r="BH3722" s="42"/>
      <c r="BI3722" s="74"/>
      <c r="BJ3722" s="77"/>
      <c r="BL3722" s="497">
        <v>69.080000000000013</v>
      </c>
      <c r="BN3722" s="42"/>
      <c r="BO3722" s="74"/>
      <c r="BP3722" s="77"/>
      <c r="BR3722" s="497">
        <v>68</v>
      </c>
      <c r="BT3722" s="42"/>
    </row>
    <row r="3723" spans="1:72" x14ac:dyDescent="0.25">
      <c r="A3723" s="90">
        <v>34489</v>
      </c>
      <c r="B3723" s="20">
        <v>0.375</v>
      </c>
      <c r="D3723">
        <v>64.94</v>
      </c>
      <c r="E3723" t="str">
        <f t="shared" si="150"/>
        <v>SATURDAY</v>
      </c>
      <c r="F3723" t="e">
        <f t="shared" si="151"/>
        <v>#N/A</v>
      </c>
      <c r="G3723" s="74">
        <v>33028</v>
      </c>
      <c r="H3723" s="77">
        <v>0.375</v>
      </c>
      <c r="J3723">
        <v>73.039999999999992</v>
      </c>
      <c r="M3723" s="74">
        <v>37776</v>
      </c>
      <c r="N3723" s="77">
        <v>0.375</v>
      </c>
      <c r="P3723">
        <v>51.8</v>
      </c>
      <c r="S3723" s="74">
        <v>34489</v>
      </c>
      <c r="T3723" s="77">
        <v>0.375</v>
      </c>
      <c r="V3723">
        <v>73.94</v>
      </c>
      <c r="X3723" s="42"/>
      <c r="AB3723">
        <v>66.7</v>
      </c>
      <c r="AC3723">
        <v>71.06</v>
      </c>
      <c r="AE3723" s="74"/>
      <c r="AF3723" s="77"/>
      <c r="AH3723" s="497">
        <v>62.6</v>
      </c>
      <c r="AJ3723" s="42"/>
      <c r="AK3723" s="74"/>
      <c r="AL3723" s="77"/>
      <c r="AN3723" s="497">
        <v>62.06</v>
      </c>
      <c r="AP3723" s="42"/>
      <c r="AQ3723" s="74"/>
      <c r="AR3723" s="77"/>
      <c r="AT3723" s="497">
        <v>64.039999999999992</v>
      </c>
      <c r="AV3723" s="42"/>
      <c r="AW3723" s="74"/>
      <c r="AX3723" s="77"/>
      <c r="BA3723" s="497">
        <v>71.599999999999994</v>
      </c>
      <c r="BB3723" s="42"/>
      <c r="BC3723" s="74"/>
      <c r="BD3723" s="77"/>
      <c r="BF3723">
        <v>57.92</v>
      </c>
      <c r="BH3723" s="42"/>
      <c r="BI3723" s="74"/>
      <c r="BJ3723" s="77"/>
      <c r="BL3723" s="497">
        <v>71.960000000000008</v>
      </c>
      <c r="BN3723" s="42"/>
      <c r="BO3723" s="74"/>
      <c r="BP3723" s="77"/>
      <c r="BR3723" s="497">
        <v>69.98</v>
      </c>
      <c r="BT3723" s="42"/>
    </row>
    <row r="3724" spans="1:72" x14ac:dyDescent="0.25">
      <c r="A3724" s="90">
        <v>34489</v>
      </c>
      <c r="B3724" s="20">
        <v>0.41666666666666669</v>
      </c>
      <c r="D3724">
        <v>66.02</v>
      </c>
      <c r="E3724" t="str">
        <f t="shared" si="150"/>
        <v>SATURDAY</v>
      </c>
      <c r="F3724" t="e">
        <f t="shared" si="151"/>
        <v>#N/A</v>
      </c>
      <c r="G3724" s="74">
        <v>33028</v>
      </c>
      <c r="H3724" s="77">
        <v>0.41666666666666669</v>
      </c>
      <c r="J3724">
        <v>75.02</v>
      </c>
      <c r="M3724" s="74">
        <v>37776</v>
      </c>
      <c r="N3724" s="77">
        <v>0.41666666666666669</v>
      </c>
      <c r="P3724">
        <v>53.6</v>
      </c>
      <c r="S3724" s="74">
        <v>34489</v>
      </c>
      <c r="T3724" s="77">
        <v>0.41666666666666669</v>
      </c>
      <c r="V3724">
        <v>75.92</v>
      </c>
      <c r="X3724" s="42"/>
      <c r="AB3724">
        <v>68.5</v>
      </c>
      <c r="AC3724">
        <v>75.02</v>
      </c>
      <c r="AE3724" s="74"/>
      <c r="AF3724" s="77"/>
      <c r="AH3724" s="497">
        <v>68</v>
      </c>
      <c r="AJ3724" s="42"/>
      <c r="AK3724" s="74"/>
      <c r="AL3724" s="77"/>
      <c r="AN3724" s="497">
        <v>64.94</v>
      </c>
      <c r="AP3724" s="42"/>
      <c r="AQ3724" s="74"/>
      <c r="AR3724" s="77"/>
      <c r="AT3724" s="497">
        <v>66.92</v>
      </c>
      <c r="AV3724" s="42"/>
      <c r="AW3724" s="74"/>
      <c r="AX3724" s="77"/>
      <c r="BA3724" s="497">
        <v>75.92</v>
      </c>
      <c r="BB3724" s="42"/>
      <c r="BC3724" s="74"/>
      <c r="BD3724" s="77"/>
      <c r="BF3724">
        <v>60.08</v>
      </c>
      <c r="BH3724" s="42"/>
      <c r="BI3724" s="74"/>
      <c r="BJ3724" s="77"/>
      <c r="BL3724" s="497">
        <v>75.92</v>
      </c>
      <c r="BN3724" s="42"/>
      <c r="BO3724" s="74"/>
      <c r="BP3724" s="77"/>
      <c r="BR3724" s="497">
        <v>71.06</v>
      </c>
      <c r="BT3724" s="42"/>
    </row>
    <row r="3725" spans="1:72" x14ac:dyDescent="0.25">
      <c r="A3725" s="90">
        <v>34489</v>
      </c>
      <c r="B3725" s="20">
        <v>0.45833333333333331</v>
      </c>
      <c r="D3725">
        <v>68</v>
      </c>
      <c r="E3725" t="str">
        <f t="shared" si="150"/>
        <v>SATURDAY</v>
      </c>
      <c r="F3725" t="e">
        <f t="shared" si="151"/>
        <v>#N/A</v>
      </c>
      <c r="G3725" s="74">
        <v>33028</v>
      </c>
      <c r="H3725" s="77">
        <v>0.45833333333333331</v>
      </c>
      <c r="J3725">
        <v>75.02</v>
      </c>
      <c r="M3725" s="74">
        <v>37776</v>
      </c>
      <c r="N3725" s="77">
        <v>0.45833333333333331</v>
      </c>
      <c r="P3725">
        <v>53.6</v>
      </c>
      <c r="S3725" s="74">
        <v>34489</v>
      </c>
      <c r="T3725" s="77">
        <v>0.45833333333333331</v>
      </c>
      <c r="V3725">
        <v>78.080000000000013</v>
      </c>
      <c r="X3725" s="42"/>
      <c r="AB3725">
        <v>70.099999999999994</v>
      </c>
      <c r="AC3725">
        <v>77</v>
      </c>
      <c r="AE3725" s="74"/>
      <c r="AF3725" s="77"/>
      <c r="AH3725" s="497">
        <v>71.599999999999994</v>
      </c>
      <c r="AJ3725" s="42"/>
      <c r="AK3725" s="74"/>
      <c r="AL3725" s="77"/>
      <c r="AN3725" s="497">
        <v>69.080000000000013</v>
      </c>
      <c r="AP3725" s="42"/>
      <c r="AQ3725" s="74"/>
      <c r="AR3725" s="77"/>
      <c r="AT3725" s="497">
        <v>69.98</v>
      </c>
      <c r="AV3725" s="42"/>
      <c r="AW3725" s="74"/>
      <c r="AX3725" s="77"/>
      <c r="BA3725" s="497">
        <v>77.900000000000006</v>
      </c>
      <c r="BB3725" s="42"/>
      <c r="BC3725" s="74"/>
      <c r="BD3725" s="77"/>
      <c r="BF3725">
        <v>62.96</v>
      </c>
      <c r="BH3725" s="42"/>
      <c r="BI3725" s="74"/>
      <c r="BJ3725" s="77"/>
      <c r="BL3725" s="497">
        <v>80.06</v>
      </c>
      <c r="BN3725" s="42"/>
      <c r="BO3725" s="74"/>
      <c r="BP3725" s="77"/>
      <c r="BR3725" s="497">
        <v>71.06</v>
      </c>
      <c r="BT3725" s="42"/>
    </row>
    <row r="3726" spans="1:72" x14ac:dyDescent="0.25">
      <c r="A3726" s="90">
        <v>34489</v>
      </c>
      <c r="B3726" s="20">
        <v>0.5</v>
      </c>
      <c r="D3726">
        <v>69.98</v>
      </c>
      <c r="E3726" t="str">
        <f t="shared" si="150"/>
        <v>SATURDAY</v>
      </c>
      <c r="F3726" t="e">
        <f t="shared" si="151"/>
        <v>#N/A</v>
      </c>
      <c r="G3726" s="74">
        <v>33028</v>
      </c>
      <c r="H3726" s="77">
        <v>0.5</v>
      </c>
      <c r="J3726">
        <v>69.080000000000013</v>
      </c>
      <c r="M3726" s="74">
        <v>37776</v>
      </c>
      <c r="N3726" s="77">
        <v>0.5</v>
      </c>
      <c r="P3726">
        <v>55.400000000000006</v>
      </c>
      <c r="S3726" s="74">
        <v>34489</v>
      </c>
      <c r="T3726" s="77">
        <v>0.5</v>
      </c>
      <c r="V3726">
        <v>77</v>
      </c>
      <c r="X3726" s="42"/>
      <c r="AB3726">
        <v>71.400000000000006</v>
      </c>
      <c r="AC3726">
        <v>78.98</v>
      </c>
      <c r="AE3726" s="74"/>
      <c r="AF3726" s="77"/>
      <c r="AH3726" s="497">
        <v>71.599999999999994</v>
      </c>
      <c r="AJ3726" s="42"/>
      <c r="AK3726" s="74"/>
      <c r="AL3726" s="77"/>
      <c r="AN3726" s="497">
        <v>71.06</v>
      </c>
      <c r="AP3726" s="42"/>
      <c r="AQ3726" s="74"/>
      <c r="AR3726" s="77"/>
      <c r="AT3726" s="497">
        <v>73.039999999999992</v>
      </c>
      <c r="AV3726" s="42"/>
      <c r="AW3726" s="74"/>
      <c r="AX3726" s="77"/>
      <c r="BA3726" s="497">
        <v>80.06</v>
      </c>
      <c r="BB3726" s="42"/>
      <c r="BC3726" s="74"/>
      <c r="BD3726" s="77"/>
      <c r="BF3726">
        <v>64.039999999999992</v>
      </c>
      <c r="BH3726" s="42"/>
      <c r="BI3726" s="74"/>
      <c r="BJ3726" s="77"/>
      <c r="BL3726" s="497">
        <v>82.94</v>
      </c>
      <c r="BN3726" s="42"/>
      <c r="BO3726" s="74"/>
      <c r="BP3726" s="77"/>
      <c r="BR3726" s="497">
        <v>69.98</v>
      </c>
      <c r="BT3726" s="42"/>
    </row>
    <row r="3727" spans="1:72" x14ac:dyDescent="0.25">
      <c r="A3727" s="90">
        <v>34489</v>
      </c>
      <c r="B3727" s="20">
        <v>0.54166666666666663</v>
      </c>
      <c r="D3727">
        <v>71.960000000000008</v>
      </c>
      <c r="E3727" t="str">
        <f t="shared" si="150"/>
        <v>SATURDAY</v>
      </c>
      <c r="F3727" t="e">
        <f t="shared" si="151"/>
        <v>#N/A</v>
      </c>
      <c r="G3727" s="74">
        <v>33028</v>
      </c>
      <c r="H3727" s="77">
        <v>0.54166666666666663</v>
      </c>
      <c r="J3727">
        <v>69.080000000000013</v>
      </c>
      <c r="M3727" s="74">
        <v>37776</v>
      </c>
      <c r="N3727" s="77">
        <v>0.54166666666666663</v>
      </c>
      <c r="P3727">
        <v>55.400000000000006</v>
      </c>
      <c r="S3727" s="74">
        <v>34489</v>
      </c>
      <c r="T3727" s="77">
        <v>0.54166666666666663</v>
      </c>
      <c r="V3727">
        <v>75.92</v>
      </c>
      <c r="X3727" s="42"/>
      <c r="AB3727">
        <v>72.2</v>
      </c>
      <c r="AC3727">
        <v>77</v>
      </c>
      <c r="AE3727" s="74"/>
      <c r="AF3727" s="77"/>
      <c r="AH3727" s="497">
        <v>71.599999999999994</v>
      </c>
      <c r="AJ3727" s="42"/>
      <c r="AK3727" s="74"/>
      <c r="AL3727" s="77"/>
      <c r="AN3727" s="497">
        <v>71.960000000000008</v>
      </c>
      <c r="AP3727" s="42"/>
      <c r="AQ3727" s="74"/>
      <c r="AR3727" s="77"/>
      <c r="AT3727" s="497">
        <v>75.02</v>
      </c>
      <c r="AV3727" s="42"/>
      <c r="AW3727" s="74"/>
      <c r="AX3727" s="77"/>
      <c r="BA3727" s="497">
        <v>82.039999999999992</v>
      </c>
      <c r="BB3727" s="42"/>
      <c r="BC3727" s="74"/>
      <c r="BD3727" s="77"/>
      <c r="BF3727">
        <v>66.02</v>
      </c>
      <c r="BH3727" s="42"/>
      <c r="BI3727" s="74"/>
      <c r="BJ3727" s="77"/>
      <c r="BL3727" s="497">
        <v>84.02</v>
      </c>
      <c r="BN3727" s="42"/>
      <c r="BO3727" s="74"/>
      <c r="BP3727" s="77"/>
      <c r="BR3727" s="497">
        <v>71.960000000000008</v>
      </c>
      <c r="BT3727" s="42"/>
    </row>
    <row r="3728" spans="1:72" x14ac:dyDescent="0.25">
      <c r="A3728" s="90">
        <v>34489</v>
      </c>
      <c r="B3728" s="20">
        <v>0.58333333333333337</v>
      </c>
      <c r="D3728">
        <v>69.98</v>
      </c>
      <c r="E3728" t="str">
        <f t="shared" si="150"/>
        <v>SATURDAY</v>
      </c>
      <c r="F3728" t="e">
        <f t="shared" si="151"/>
        <v>#N/A</v>
      </c>
      <c r="G3728" s="74">
        <v>33028</v>
      </c>
      <c r="H3728" s="77">
        <v>0.58333333333333337</v>
      </c>
      <c r="J3728">
        <v>64.94</v>
      </c>
      <c r="M3728" s="74">
        <v>37776</v>
      </c>
      <c r="N3728" s="77">
        <v>0.58333333333333337</v>
      </c>
      <c r="P3728">
        <v>55.400000000000006</v>
      </c>
      <c r="S3728" s="74">
        <v>34489</v>
      </c>
      <c r="T3728" s="77">
        <v>0.58333333333333337</v>
      </c>
      <c r="V3728">
        <v>75.92</v>
      </c>
      <c r="X3728" s="42"/>
      <c r="AB3728">
        <v>72.599999999999994</v>
      </c>
      <c r="AC3728">
        <v>75.92</v>
      </c>
      <c r="AE3728" s="74"/>
      <c r="AF3728" s="77"/>
      <c r="AH3728" s="497">
        <v>73.400000000000006</v>
      </c>
      <c r="AJ3728" s="42"/>
      <c r="AK3728" s="74"/>
      <c r="AL3728" s="77"/>
      <c r="AN3728" s="497">
        <v>73.94</v>
      </c>
      <c r="AP3728" s="42"/>
      <c r="AQ3728" s="74"/>
      <c r="AR3728" s="77"/>
      <c r="AT3728" s="497">
        <v>77</v>
      </c>
      <c r="AV3728" s="42"/>
      <c r="AW3728" s="74"/>
      <c r="AX3728" s="77"/>
      <c r="BA3728" s="497">
        <v>82.4</v>
      </c>
      <c r="BB3728" s="42"/>
      <c r="BC3728" s="74"/>
      <c r="BD3728" s="77"/>
      <c r="BF3728">
        <v>66.92</v>
      </c>
      <c r="BH3728" s="42"/>
      <c r="BI3728" s="74"/>
      <c r="BJ3728" s="77"/>
      <c r="BL3728" s="497">
        <v>84.02</v>
      </c>
      <c r="BN3728" s="42"/>
      <c r="BO3728" s="74"/>
      <c r="BP3728" s="77"/>
      <c r="BR3728" s="497">
        <v>69.98</v>
      </c>
      <c r="BT3728" s="42"/>
    </row>
    <row r="3729" spans="1:72" x14ac:dyDescent="0.25">
      <c r="A3729" s="90">
        <v>34489</v>
      </c>
      <c r="B3729" s="20">
        <v>0.625</v>
      </c>
      <c r="D3729">
        <v>69.080000000000013</v>
      </c>
      <c r="E3729" t="str">
        <f t="shared" si="150"/>
        <v>SATURDAY</v>
      </c>
      <c r="F3729" t="e">
        <f t="shared" si="151"/>
        <v>#N/A</v>
      </c>
      <c r="G3729" s="74">
        <v>33028</v>
      </c>
      <c r="H3729" s="77">
        <v>0.625</v>
      </c>
      <c r="J3729">
        <v>66.02</v>
      </c>
      <c r="M3729" s="74">
        <v>37776</v>
      </c>
      <c r="N3729" s="77">
        <v>0.625</v>
      </c>
      <c r="P3729">
        <v>55.400000000000006</v>
      </c>
      <c r="S3729" s="74">
        <v>34489</v>
      </c>
      <c r="T3729" s="77">
        <v>0.625</v>
      </c>
      <c r="V3729">
        <v>75.02</v>
      </c>
      <c r="X3729" s="42"/>
      <c r="AB3729">
        <v>72.400000000000006</v>
      </c>
      <c r="AC3729">
        <v>77</v>
      </c>
      <c r="AE3729" s="74"/>
      <c r="AF3729" s="77"/>
      <c r="AH3729" s="497">
        <v>71.599999999999994</v>
      </c>
      <c r="AJ3729" s="42"/>
      <c r="AK3729" s="74"/>
      <c r="AL3729" s="77"/>
      <c r="AN3729" s="497">
        <v>73.039999999999992</v>
      </c>
      <c r="AP3729" s="42"/>
      <c r="AQ3729" s="74"/>
      <c r="AR3729" s="77"/>
      <c r="AT3729" s="497">
        <v>78.080000000000013</v>
      </c>
      <c r="AV3729" s="42"/>
      <c r="AW3729" s="74"/>
      <c r="AX3729" s="77"/>
      <c r="BA3729" s="497">
        <v>82.580000000000013</v>
      </c>
      <c r="BB3729" s="42"/>
      <c r="BC3729" s="74"/>
      <c r="BD3729" s="77"/>
      <c r="BF3729">
        <v>69.080000000000013</v>
      </c>
      <c r="BH3729" s="42"/>
      <c r="BI3729" s="74"/>
      <c r="BJ3729" s="77"/>
      <c r="BL3729" s="497">
        <v>84.02</v>
      </c>
      <c r="BN3729" s="42"/>
      <c r="BO3729" s="74"/>
      <c r="BP3729" s="77"/>
      <c r="BR3729" s="497">
        <v>69.080000000000013</v>
      </c>
      <c r="BT3729" s="42"/>
    </row>
    <row r="3730" spans="1:72" x14ac:dyDescent="0.25">
      <c r="A3730" s="90">
        <v>34489</v>
      </c>
      <c r="B3730" s="20">
        <v>0.66666666666666663</v>
      </c>
      <c r="D3730">
        <v>68</v>
      </c>
      <c r="E3730" t="str">
        <f t="shared" si="150"/>
        <v>SATURDAY</v>
      </c>
      <c r="F3730" t="e">
        <f t="shared" si="151"/>
        <v>#N/A</v>
      </c>
      <c r="G3730" s="74">
        <v>33028</v>
      </c>
      <c r="H3730" s="77">
        <v>0.66666666666666663</v>
      </c>
      <c r="J3730">
        <v>69.080000000000013</v>
      </c>
      <c r="M3730" s="74">
        <v>37776</v>
      </c>
      <c r="N3730" s="77">
        <v>0.66666666666666663</v>
      </c>
      <c r="P3730">
        <v>55.400000000000006</v>
      </c>
      <c r="S3730" s="74">
        <v>34489</v>
      </c>
      <c r="T3730" s="77">
        <v>0.66666666666666663</v>
      </c>
      <c r="V3730">
        <v>71.960000000000008</v>
      </c>
      <c r="X3730" s="42"/>
      <c r="AB3730">
        <v>71.8</v>
      </c>
      <c r="AC3730">
        <v>75.02</v>
      </c>
      <c r="AE3730" s="74"/>
      <c r="AF3730" s="77"/>
      <c r="AH3730" s="497">
        <v>72.86</v>
      </c>
      <c r="AJ3730" s="42"/>
      <c r="AK3730" s="74"/>
      <c r="AL3730" s="77"/>
      <c r="AN3730" s="497">
        <v>73.039999999999992</v>
      </c>
      <c r="AP3730" s="42"/>
      <c r="AQ3730" s="74"/>
      <c r="AR3730" s="77"/>
      <c r="AT3730" s="497">
        <v>78.98</v>
      </c>
      <c r="AV3730" s="42"/>
      <c r="AW3730" s="74"/>
      <c r="AX3730" s="77"/>
      <c r="BA3730" s="497">
        <v>82.94</v>
      </c>
      <c r="BB3730" s="42"/>
      <c r="BC3730" s="74"/>
      <c r="BD3730" s="77"/>
      <c r="BF3730">
        <v>68</v>
      </c>
      <c r="BH3730" s="42"/>
      <c r="BI3730" s="74"/>
      <c r="BJ3730" s="77"/>
      <c r="BL3730" s="497">
        <v>82.94</v>
      </c>
      <c r="BN3730" s="42"/>
      <c r="BO3730" s="74"/>
      <c r="BP3730" s="77"/>
      <c r="BR3730" s="497">
        <v>69.080000000000013</v>
      </c>
      <c r="BT3730" s="42"/>
    </row>
    <row r="3731" spans="1:72" x14ac:dyDescent="0.25">
      <c r="A3731" s="90">
        <v>34489</v>
      </c>
      <c r="B3731" s="20">
        <v>0.70833333333333337</v>
      </c>
      <c r="D3731">
        <v>66.92</v>
      </c>
      <c r="E3731" t="str">
        <f t="shared" ref="E3731:E3794" si="152">IF(COUNTIF($DI$18:$DI$22, WEEKDAY(A3731))=1, "WEEKDAY", IF(WEEKDAY(A3731) = 1, "SUNDAY", "SATURDAY"))</f>
        <v>SATURDAY</v>
      </c>
      <c r="F3731" t="e">
        <f t="shared" si="151"/>
        <v>#N/A</v>
      </c>
      <c r="G3731" s="74">
        <v>33028</v>
      </c>
      <c r="H3731" s="77">
        <v>0.70833333333333337</v>
      </c>
      <c r="J3731">
        <v>68</v>
      </c>
      <c r="M3731" s="74">
        <v>37776</v>
      </c>
      <c r="N3731" s="77">
        <v>0.70833333333333337</v>
      </c>
      <c r="P3731">
        <v>55.400000000000006</v>
      </c>
      <c r="S3731" s="74">
        <v>34489</v>
      </c>
      <c r="T3731" s="77">
        <v>0.70833333333333337</v>
      </c>
      <c r="V3731">
        <v>69.98</v>
      </c>
      <c r="X3731" s="42"/>
      <c r="AB3731">
        <v>71</v>
      </c>
      <c r="AC3731">
        <v>73.94</v>
      </c>
      <c r="AE3731" s="74"/>
      <c r="AF3731" s="77"/>
      <c r="AH3731" s="497">
        <v>73.400000000000006</v>
      </c>
      <c r="AJ3731" s="42"/>
      <c r="AK3731" s="74"/>
      <c r="AL3731" s="77"/>
      <c r="AN3731" s="497">
        <v>73.94</v>
      </c>
      <c r="AP3731" s="42"/>
      <c r="AQ3731" s="74"/>
      <c r="AR3731" s="77"/>
      <c r="AT3731" s="497">
        <v>78.98</v>
      </c>
      <c r="AV3731" s="42"/>
      <c r="AW3731" s="74"/>
      <c r="AX3731" s="77"/>
      <c r="BA3731" s="497">
        <v>81.680000000000007</v>
      </c>
      <c r="BB3731" s="42"/>
      <c r="BC3731" s="74"/>
      <c r="BD3731" s="77"/>
      <c r="BF3731">
        <v>66.92</v>
      </c>
      <c r="BH3731" s="42"/>
      <c r="BI3731" s="74"/>
      <c r="BJ3731" s="77"/>
      <c r="BL3731" s="497">
        <v>82.039999999999992</v>
      </c>
      <c r="BN3731" s="42"/>
      <c r="BO3731" s="74"/>
      <c r="BP3731" s="77"/>
      <c r="BR3731" s="497">
        <v>66.92</v>
      </c>
      <c r="BT3731" s="42"/>
    </row>
    <row r="3732" spans="1:72" x14ac:dyDescent="0.25">
      <c r="A3732" s="90">
        <v>34489</v>
      </c>
      <c r="B3732" s="20">
        <v>0.75</v>
      </c>
      <c r="D3732">
        <v>64.039999999999992</v>
      </c>
      <c r="E3732" t="str">
        <f t="shared" si="152"/>
        <v>SATURDAY</v>
      </c>
      <c r="F3732" t="e">
        <f t="shared" si="151"/>
        <v>#N/A</v>
      </c>
      <c r="G3732" s="74">
        <v>33028</v>
      </c>
      <c r="H3732" s="77">
        <v>0.75</v>
      </c>
      <c r="J3732">
        <v>64.94</v>
      </c>
      <c r="M3732" s="74">
        <v>37776</v>
      </c>
      <c r="N3732" s="77">
        <v>0.75</v>
      </c>
      <c r="P3732">
        <v>57.2</v>
      </c>
      <c r="S3732" s="74">
        <v>34489</v>
      </c>
      <c r="T3732" s="77">
        <v>0.75</v>
      </c>
      <c r="V3732">
        <v>68</v>
      </c>
      <c r="X3732" s="42"/>
      <c r="AB3732">
        <v>69.8</v>
      </c>
      <c r="AC3732">
        <v>71.960000000000008</v>
      </c>
      <c r="AE3732" s="74"/>
      <c r="AF3732" s="77"/>
      <c r="AH3732" s="497">
        <v>69.800000000000011</v>
      </c>
      <c r="AJ3732" s="42"/>
      <c r="AK3732" s="74"/>
      <c r="AL3732" s="77"/>
      <c r="AN3732" s="497">
        <v>71.06</v>
      </c>
      <c r="AP3732" s="42"/>
      <c r="AQ3732" s="74"/>
      <c r="AR3732" s="77"/>
      <c r="AT3732" s="497">
        <v>78.080000000000013</v>
      </c>
      <c r="AV3732" s="42"/>
      <c r="AW3732" s="74"/>
      <c r="AX3732" s="77"/>
      <c r="BA3732" s="497">
        <v>80.240000000000009</v>
      </c>
      <c r="BB3732" s="42"/>
      <c r="BC3732" s="74"/>
      <c r="BD3732" s="77"/>
      <c r="BF3732">
        <v>64.94</v>
      </c>
      <c r="BH3732" s="42"/>
      <c r="BI3732" s="74"/>
      <c r="BJ3732" s="77"/>
      <c r="BL3732" s="497">
        <v>80.06</v>
      </c>
      <c r="BN3732" s="42"/>
      <c r="BO3732" s="74"/>
      <c r="BP3732" s="77"/>
      <c r="BR3732" s="497">
        <v>68</v>
      </c>
      <c r="BT3732" s="42"/>
    </row>
    <row r="3733" spans="1:72" x14ac:dyDescent="0.25">
      <c r="A3733" s="90">
        <v>34489</v>
      </c>
      <c r="B3733" s="20">
        <v>0.79166666666666663</v>
      </c>
      <c r="D3733">
        <v>64.94</v>
      </c>
      <c r="E3733" t="str">
        <f t="shared" si="152"/>
        <v>SATURDAY</v>
      </c>
      <c r="F3733" t="e">
        <f t="shared" si="151"/>
        <v>#N/A</v>
      </c>
      <c r="G3733" s="74">
        <v>33028</v>
      </c>
      <c r="H3733" s="77">
        <v>0.79166666666666663</v>
      </c>
      <c r="J3733">
        <v>64.039999999999992</v>
      </c>
      <c r="M3733" s="74">
        <v>37776</v>
      </c>
      <c r="N3733" s="77">
        <v>0.79166666666666663</v>
      </c>
      <c r="P3733">
        <v>55.400000000000006</v>
      </c>
      <c r="S3733" s="74">
        <v>34489</v>
      </c>
      <c r="T3733" s="77">
        <v>0.79166666666666663</v>
      </c>
      <c r="V3733">
        <v>66.02</v>
      </c>
      <c r="X3733" s="42"/>
      <c r="AB3733">
        <v>68.599999999999994</v>
      </c>
      <c r="AC3733">
        <v>69.98</v>
      </c>
      <c r="AE3733" s="74"/>
      <c r="AF3733" s="77"/>
      <c r="AH3733" s="497">
        <v>66.2</v>
      </c>
      <c r="AJ3733" s="42"/>
      <c r="AK3733" s="74"/>
      <c r="AL3733" s="77"/>
      <c r="AN3733" s="497">
        <v>69.98</v>
      </c>
      <c r="AP3733" s="42"/>
      <c r="AQ3733" s="74"/>
      <c r="AR3733" s="77"/>
      <c r="AT3733" s="497">
        <v>75.92</v>
      </c>
      <c r="AV3733" s="42"/>
      <c r="AW3733" s="74"/>
      <c r="AX3733" s="77"/>
      <c r="BA3733" s="497">
        <v>78.98</v>
      </c>
      <c r="BB3733" s="42"/>
      <c r="BC3733" s="74"/>
      <c r="BD3733" s="77"/>
      <c r="BF3733">
        <v>64.039999999999992</v>
      </c>
      <c r="BH3733" s="42"/>
      <c r="BI3733" s="74"/>
      <c r="BJ3733" s="77"/>
      <c r="BL3733" s="497">
        <v>77</v>
      </c>
      <c r="BN3733" s="42"/>
      <c r="BO3733" s="74"/>
      <c r="BP3733" s="77"/>
      <c r="BR3733" s="497">
        <v>64.94</v>
      </c>
      <c r="BT3733" s="42"/>
    </row>
    <row r="3734" spans="1:72" x14ac:dyDescent="0.25">
      <c r="A3734" s="90">
        <v>34489</v>
      </c>
      <c r="B3734" s="20">
        <v>0.83333333333333337</v>
      </c>
      <c r="D3734">
        <v>64.039999999999992</v>
      </c>
      <c r="E3734" t="str">
        <f t="shared" si="152"/>
        <v>SATURDAY</v>
      </c>
      <c r="F3734" t="e">
        <f t="shared" si="151"/>
        <v>#N/A</v>
      </c>
      <c r="G3734" s="74">
        <v>33028</v>
      </c>
      <c r="H3734" s="77">
        <v>0.83333333333333337</v>
      </c>
      <c r="J3734">
        <v>62.06</v>
      </c>
      <c r="M3734" s="74">
        <v>37776</v>
      </c>
      <c r="N3734" s="77">
        <v>0.83333333333333337</v>
      </c>
      <c r="P3734">
        <v>57.2</v>
      </c>
      <c r="S3734" s="74">
        <v>34489</v>
      </c>
      <c r="T3734" s="77">
        <v>0.83333333333333337</v>
      </c>
      <c r="V3734">
        <v>64.94</v>
      </c>
      <c r="X3734" s="42"/>
      <c r="AB3734">
        <v>67.2</v>
      </c>
      <c r="AC3734">
        <v>64.94</v>
      </c>
      <c r="AE3734" s="74"/>
      <c r="AF3734" s="77"/>
      <c r="AH3734" s="497">
        <v>64.400000000000006</v>
      </c>
      <c r="AJ3734" s="42"/>
      <c r="AK3734" s="74"/>
      <c r="AL3734" s="77"/>
      <c r="AN3734" s="497">
        <v>69.080000000000013</v>
      </c>
      <c r="AP3734" s="42"/>
      <c r="AQ3734" s="74"/>
      <c r="AR3734" s="77"/>
      <c r="AT3734" s="497">
        <v>73.039999999999992</v>
      </c>
      <c r="AV3734" s="42"/>
      <c r="AW3734" s="74"/>
      <c r="AX3734" s="77"/>
      <c r="BA3734" s="497">
        <v>74.66</v>
      </c>
      <c r="BB3734" s="42"/>
      <c r="BC3734" s="74"/>
      <c r="BD3734" s="77"/>
      <c r="BF3734">
        <v>64.039999999999992</v>
      </c>
      <c r="BH3734" s="42"/>
      <c r="BI3734" s="74"/>
      <c r="BJ3734" s="77"/>
      <c r="BL3734" s="497">
        <v>71.960000000000008</v>
      </c>
      <c r="BN3734" s="42"/>
      <c r="BO3734" s="74"/>
      <c r="BP3734" s="77"/>
      <c r="BR3734" s="497">
        <v>64.039999999999992</v>
      </c>
      <c r="BT3734" s="42"/>
    </row>
    <row r="3735" spans="1:72" x14ac:dyDescent="0.25">
      <c r="A3735" s="90">
        <v>34489</v>
      </c>
      <c r="B3735" s="20">
        <v>0.875</v>
      </c>
      <c r="D3735">
        <v>62.96</v>
      </c>
      <c r="E3735" t="str">
        <f t="shared" si="152"/>
        <v>SATURDAY</v>
      </c>
      <c r="F3735" t="e">
        <f t="shared" si="151"/>
        <v>#N/A</v>
      </c>
      <c r="G3735" s="74">
        <v>33028</v>
      </c>
      <c r="H3735" s="77">
        <v>0.875</v>
      </c>
      <c r="J3735">
        <v>62.06</v>
      </c>
      <c r="M3735" s="74">
        <v>37776</v>
      </c>
      <c r="N3735" s="77">
        <v>0.875</v>
      </c>
      <c r="P3735">
        <v>55.400000000000006</v>
      </c>
      <c r="S3735" s="74">
        <v>34489</v>
      </c>
      <c r="T3735" s="77">
        <v>0.875</v>
      </c>
      <c r="V3735">
        <v>64.039999999999992</v>
      </c>
      <c r="X3735" s="42"/>
      <c r="AB3735">
        <v>66</v>
      </c>
      <c r="AC3735">
        <v>64.039999999999992</v>
      </c>
      <c r="AE3735" s="74"/>
      <c r="AF3735" s="77"/>
      <c r="AH3735" s="497">
        <v>62.6</v>
      </c>
      <c r="AJ3735" s="42"/>
      <c r="AK3735" s="74"/>
      <c r="AL3735" s="77"/>
      <c r="AN3735" s="497">
        <v>66.92</v>
      </c>
      <c r="AP3735" s="42"/>
      <c r="AQ3735" s="74"/>
      <c r="AR3735" s="77"/>
      <c r="AT3735" s="497">
        <v>69.98</v>
      </c>
      <c r="AV3735" s="42"/>
      <c r="AW3735" s="74"/>
      <c r="AX3735" s="77"/>
      <c r="BA3735" s="497">
        <v>70.34</v>
      </c>
      <c r="BB3735" s="42"/>
      <c r="BC3735" s="74"/>
      <c r="BD3735" s="77"/>
      <c r="BF3735">
        <v>62.06</v>
      </c>
      <c r="BH3735" s="42"/>
      <c r="BI3735" s="74"/>
      <c r="BJ3735" s="77"/>
      <c r="BL3735" s="497">
        <v>71.960000000000008</v>
      </c>
      <c r="BN3735" s="42"/>
      <c r="BO3735" s="74"/>
      <c r="BP3735" s="77"/>
      <c r="BR3735" s="497">
        <v>62.96</v>
      </c>
      <c r="BT3735" s="42"/>
    </row>
    <row r="3736" spans="1:72" x14ac:dyDescent="0.25">
      <c r="A3736" s="90">
        <v>34489</v>
      </c>
      <c r="B3736" s="20">
        <v>0.91666666666666663</v>
      </c>
      <c r="D3736">
        <v>62.96</v>
      </c>
      <c r="E3736" t="str">
        <f t="shared" si="152"/>
        <v>SATURDAY</v>
      </c>
      <c r="F3736" t="e">
        <f t="shared" si="151"/>
        <v>#N/A</v>
      </c>
      <c r="G3736" s="74">
        <v>33028</v>
      </c>
      <c r="H3736" s="77">
        <v>0.91666666666666663</v>
      </c>
      <c r="J3736">
        <v>60.08</v>
      </c>
      <c r="M3736" s="74">
        <v>37776</v>
      </c>
      <c r="N3736" s="77">
        <v>0.91666666666666663</v>
      </c>
      <c r="P3736">
        <v>57.2</v>
      </c>
      <c r="S3736" s="74">
        <v>34489</v>
      </c>
      <c r="T3736" s="77">
        <v>0.91666666666666663</v>
      </c>
      <c r="V3736">
        <v>62.96</v>
      </c>
      <c r="X3736" s="42"/>
      <c r="AB3736">
        <v>65.3</v>
      </c>
      <c r="AC3736">
        <v>62.06</v>
      </c>
      <c r="AE3736" s="74"/>
      <c r="AF3736" s="77"/>
      <c r="AH3736" s="497">
        <v>60.8</v>
      </c>
      <c r="AJ3736" s="42"/>
      <c r="AK3736" s="74"/>
      <c r="AL3736" s="77"/>
      <c r="AN3736" s="497">
        <v>62.06</v>
      </c>
      <c r="AP3736" s="42"/>
      <c r="AQ3736" s="74"/>
      <c r="AR3736" s="77"/>
      <c r="AT3736" s="497">
        <v>69.080000000000013</v>
      </c>
      <c r="AV3736" s="42"/>
      <c r="AW3736" s="74"/>
      <c r="AX3736" s="77"/>
      <c r="BA3736" s="497">
        <v>66.02</v>
      </c>
      <c r="BB3736" s="42"/>
      <c r="BC3736" s="74"/>
      <c r="BD3736" s="77"/>
      <c r="BF3736">
        <v>62.06</v>
      </c>
      <c r="BH3736" s="42"/>
      <c r="BI3736" s="74"/>
      <c r="BJ3736" s="77"/>
      <c r="BL3736" s="497">
        <v>69.080000000000013</v>
      </c>
      <c r="BN3736" s="42"/>
      <c r="BO3736" s="74"/>
      <c r="BP3736" s="77"/>
      <c r="BR3736" s="497">
        <v>60.08</v>
      </c>
      <c r="BT3736" s="42"/>
    </row>
    <row r="3737" spans="1:72" x14ac:dyDescent="0.25">
      <c r="A3737" s="90">
        <v>34489</v>
      </c>
      <c r="B3737" s="20">
        <v>0.95833333333333337</v>
      </c>
      <c r="D3737">
        <v>62.96</v>
      </c>
      <c r="E3737" t="str">
        <f t="shared" si="152"/>
        <v>SATURDAY</v>
      </c>
      <c r="F3737" t="e">
        <f t="shared" si="151"/>
        <v>#N/A</v>
      </c>
      <c r="G3737" s="74">
        <v>33028</v>
      </c>
      <c r="H3737" s="77">
        <v>0.95833333333333337</v>
      </c>
      <c r="J3737">
        <v>55.94</v>
      </c>
      <c r="M3737" s="74">
        <v>37776</v>
      </c>
      <c r="N3737" s="77">
        <v>0.95833333333333337</v>
      </c>
      <c r="P3737">
        <v>57.2</v>
      </c>
      <c r="S3737" s="74">
        <v>34489</v>
      </c>
      <c r="T3737" s="77">
        <v>0.95833333333333337</v>
      </c>
      <c r="V3737">
        <v>62.06</v>
      </c>
      <c r="X3737" s="42"/>
      <c r="AB3737">
        <v>64.7</v>
      </c>
      <c r="AC3737">
        <v>60.980000000000004</v>
      </c>
      <c r="AE3737" s="74"/>
      <c r="AF3737" s="77"/>
      <c r="AH3737" s="497">
        <v>60.8</v>
      </c>
      <c r="AJ3737" s="42"/>
      <c r="AK3737" s="74"/>
      <c r="AL3737" s="77"/>
      <c r="AN3737" s="497">
        <v>60.08</v>
      </c>
      <c r="AP3737" s="42"/>
      <c r="AQ3737" s="74"/>
      <c r="AR3737" s="77"/>
      <c r="AT3737" s="497">
        <v>66.92</v>
      </c>
      <c r="AV3737" s="42"/>
      <c r="AW3737" s="74"/>
      <c r="AX3737" s="77"/>
      <c r="BA3737" s="497">
        <v>64.759999999999991</v>
      </c>
      <c r="BB3737" s="42"/>
      <c r="BC3737" s="74"/>
      <c r="BD3737" s="77"/>
      <c r="BF3737">
        <v>60.980000000000004</v>
      </c>
      <c r="BH3737" s="42"/>
      <c r="BI3737" s="74"/>
      <c r="BJ3737" s="77"/>
      <c r="BL3737" s="497">
        <v>66.92</v>
      </c>
      <c r="BN3737" s="42"/>
      <c r="BO3737" s="74"/>
      <c r="BP3737" s="77"/>
      <c r="BR3737" s="497">
        <v>60.08</v>
      </c>
      <c r="BT3737" s="42"/>
    </row>
    <row r="3738" spans="1:72" x14ac:dyDescent="0.25">
      <c r="A3738" s="90">
        <v>34489</v>
      </c>
      <c r="B3738" s="20">
        <v>1</v>
      </c>
      <c r="D3738">
        <v>62.06</v>
      </c>
      <c r="E3738" t="str">
        <f t="shared" si="152"/>
        <v>SATURDAY</v>
      </c>
      <c r="F3738" t="e">
        <f t="shared" si="151"/>
        <v>#N/A</v>
      </c>
      <c r="G3738" s="74">
        <v>33028</v>
      </c>
      <c r="H3738" s="77">
        <v>1</v>
      </c>
      <c r="J3738">
        <v>55.040000000000006</v>
      </c>
      <c r="M3738" s="74">
        <v>37776</v>
      </c>
      <c r="N3738" s="80">
        <v>1</v>
      </c>
      <c r="P3738">
        <v>57.2</v>
      </c>
      <c r="S3738" s="74">
        <v>34489</v>
      </c>
      <c r="T3738" s="80">
        <v>1</v>
      </c>
      <c r="V3738">
        <v>62.96</v>
      </c>
      <c r="X3738" s="42"/>
      <c r="AB3738">
        <v>64.2</v>
      </c>
      <c r="AC3738">
        <v>60.980000000000004</v>
      </c>
      <c r="AE3738" s="74"/>
      <c r="AF3738" s="80"/>
      <c r="AH3738" s="497">
        <v>60.8</v>
      </c>
      <c r="AJ3738" s="42"/>
      <c r="AK3738" s="74"/>
      <c r="AL3738" s="80"/>
      <c r="AN3738" s="497">
        <v>57.92</v>
      </c>
      <c r="AP3738" s="42"/>
      <c r="AQ3738" s="74"/>
      <c r="AR3738" s="80"/>
      <c r="AT3738" s="497">
        <v>66.02</v>
      </c>
      <c r="AV3738" s="42"/>
      <c r="AW3738" s="74"/>
      <c r="AX3738" s="80"/>
      <c r="BA3738" s="497">
        <v>63.319999999999993</v>
      </c>
      <c r="BB3738" s="42"/>
      <c r="BC3738" s="74"/>
      <c r="BD3738" s="80"/>
      <c r="BF3738">
        <v>62.06</v>
      </c>
      <c r="BH3738" s="42"/>
      <c r="BI3738" s="74"/>
      <c r="BJ3738" s="80"/>
      <c r="BL3738" s="497">
        <v>66.92</v>
      </c>
      <c r="BN3738" s="42"/>
      <c r="BO3738" s="74"/>
      <c r="BP3738" s="80"/>
      <c r="BR3738" s="497">
        <v>60.980000000000004</v>
      </c>
      <c r="BT3738" s="42"/>
    </row>
    <row r="3739" spans="1:72" x14ac:dyDescent="0.25">
      <c r="A3739" s="90">
        <v>34490</v>
      </c>
      <c r="B3739" s="20">
        <v>4.1666666666666664E-2</v>
      </c>
      <c r="D3739">
        <v>60.980000000000004</v>
      </c>
      <c r="E3739" t="str">
        <f t="shared" si="152"/>
        <v>SUNDAY</v>
      </c>
      <c r="F3739" t="e">
        <f t="shared" si="151"/>
        <v>#N/A</v>
      </c>
      <c r="G3739" s="74">
        <v>33029</v>
      </c>
      <c r="H3739" s="77">
        <v>4.1666666666666664E-2</v>
      </c>
      <c r="J3739">
        <v>55.040000000000006</v>
      </c>
      <c r="M3739" s="74">
        <v>37777</v>
      </c>
      <c r="N3739" s="77">
        <v>4.1666666666666664E-2</v>
      </c>
      <c r="P3739">
        <v>55.400000000000006</v>
      </c>
      <c r="S3739" s="74">
        <v>34490</v>
      </c>
      <c r="T3739" s="77">
        <v>4.1666666666666664E-2</v>
      </c>
      <c r="V3739">
        <v>60.08</v>
      </c>
      <c r="X3739" s="42"/>
      <c r="AB3739">
        <v>63.6</v>
      </c>
      <c r="AC3739">
        <v>60.980000000000004</v>
      </c>
      <c r="AE3739" s="74"/>
      <c r="AF3739" s="77"/>
      <c r="AH3739" s="497">
        <v>60.8</v>
      </c>
      <c r="AJ3739" s="42"/>
      <c r="AK3739" s="74"/>
      <c r="AL3739" s="77"/>
      <c r="AN3739" s="497">
        <v>57.92</v>
      </c>
      <c r="AP3739" s="42"/>
      <c r="AQ3739" s="74"/>
      <c r="AR3739" s="77"/>
      <c r="AT3739" s="497">
        <v>64.039999999999992</v>
      </c>
      <c r="AV3739" s="42"/>
      <c r="AW3739" s="74"/>
      <c r="AX3739" s="77"/>
      <c r="BA3739" s="497">
        <v>62.06</v>
      </c>
      <c r="BB3739" s="42"/>
      <c r="BC3739" s="74"/>
      <c r="BD3739" s="77"/>
      <c r="BF3739">
        <v>62.06</v>
      </c>
      <c r="BH3739" s="42"/>
      <c r="BI3739" s="74"/>
      <c r="BJ3739" s="77"/>
      <c r="BL3739" s="497">
        <v>68</v>
      </c>
      <c r="BN3739" s="42"/>
      <c r="BO3739" s="74"/>
      <c r="BP3739" s="77"/>
      <c r="BR3739" s="497">
        <v>60.08</v>
      </c>
      <c r="BT3739" s="42"/>
    </row>
    <row r="3740" spans="1:72" x14ac:dyDescent="0.25">
      <c r="A3740" s="90">
        <v>34490</v>
      </c>
      <c r="B3740" s="20">
        <v>8.3333333333333329E-2</v>
      </c>
      <c r="D3740">
        <v>60.980000000000004</v>
      </c>
      <c r="E3740" t="str">
        <f t="shared" si="152"/>
        <v>SUNDAY</v>
      </c>
      <c r="F3740" t="e">
        <f t="shared" si="151"/>
        <v>#N/A</v>
      </c>
      <c r="G3740" s="74">
        <v>33029</v>
      </c>
      <c r="H3740" s="77">
        <v>8.3333333333333329E-2</v>
      </c>
      <c r="J3740">
        <v>55.040000000000006</v>
      </c>
      <c r="M3740" s="74">
        <v>37777</v>
      </c>
      <c r="N3740" s="77">
        <v>8.3333333333333329E-2</v>
      </c>
      <c r="P3740">
        <v>55.400000000000006</v>
      </c>
      <c r="S3740" s="74">
        <v>34490</v>
      </c>
      <c r="T3740" s="77">
        <v>8.3333333333333329E-2</v>
      </c>
      <c r="V3740">
        <v>62.06</v>
      </c>
      <c r="X3740" s="42"/>
      <c r="AB3740">
        <v>63.1</v>
      </c>
      <c r="AC3740">
        <v>60.08</v>
      </c>
      <c r="AE3740" s="74"/>
      <c r="AF3740" s="77"/>
      <c r="AH3740" s="497">
        <v>59</v>
      </c>
      <c r="AJ3740" s="42"/>
      <c r="AK3740" s="74"/>
      <c r="AL3740" s="77"/>
      <c r="AN3740" s="497">
        <v>53.96</v>
      </c>
      <c r="AP3740" s="42"/>
      <c r="AQ3740" s="74"/>
      <c r="AR3740" s="77"/>
      <c r="AT3740" s="497">
        <v>64.94</v>
      </c>
      <c r="AV3740" s="42"/>
      <c r="AW3740" s="74"/>
      <c r="AX3740" s="77"/>
      <c r="BA3740" s="497">
        <v>61.7</v>
      </c>
      <c r="BB3740" s="42"/>
      <c r="BC3740" s="74"/>
      <c r="BD3740" s="77"/>
      <c r="BF3740">
        <v>62.96</v>
      </c>
      <c r="BH3740" s="42"/>
      <c r="BI3740" s="74"/>
      <c r="BJ3740" s="77"/>
      <c r="BL3740" s="497">
        <v>64.94</v>
      </c>
      <c r="BN3740" s="42"/>
      <c r="BO3740" s="74"/>
      <c r="BP3740" s="77"/>
      <c r="BR3740" s="497">
        <v>60.08</v>
      </c>
      <c r="BT3740" s="42"/>
    </row>
    <row r="3741" spans="1:72" x14ac:dyDescent="0.25">
      <c r="A3741" s="90">
        <v>34490</v>
      </c>
      <c r="B3741" s="20">
        <v>0.125</v>
      </c>
      <c r="D3741">
        <v>60.980000000000004</v>
      </c>
      <c r="E3741" t="str">
        <f t="shared" si="152"/>
        <v>SUNDAY</v>
      </c>
      <c r="F3741" t="e">
        <f t="shared" si="151"/>
        <v>#N/A</v>
      </c>
      <c r="G3741" s="74">
        <v>33029</v>
      </c>
      <c r="H3741" s="77">
        <v>0.125</v>
      </c>
      <c r="J3741">
        <v>53.96</v>
      </c>
      <c r="M3741" s="74">
        <v>37777</v>
      </c>
      <c r="N3741" s="77">
        <v>0.125</v>
      </c>
      <c r="P3741">
        <v>55.400000000000006</v>
      </c>
      <c r="S3741" s="74">
        <v>34490</v>
      </c>
      <c r="T3741" s="77">
        <v>0.125</v>
      </c>
      <c r="V3741">
        <v>60.980000000000004</v>
      </c>
      <c r="X3741" s="42"/>
      <c r="AB3741">
        <v>62.5</v>
      </c>
      <c r="AC3741">
        <v>55.94</v>
      </c>
      <c r="AE3741" s="74"/>
      <c r="AF3741" s="77"/>
      <c r="AH3741" s="497">
        <v>59</v>
      </c>
      <c r="AJ3741" s="42"/>
      <c r="AK3741" s="74"/>
      <c r="AL3741" s="77"/>
      <c r="AN3741" s="497">
        <v>51.980000000000004</v>
      </c>
      <c r="AP3741" s="42"/>
      <c r="AQ3741" s="74"/>
      <c r="AR3741" s="77"/>
      <c r="AT3741" s="497">
        <v>64.039999999999992</v>
      </c>
      <c r="AV3741" s="42"/>
      <c r="AW3741" s="74"/>
      <c r="AX3741" s="77"/>
      <c r="BA3741" s="497">
        <v>61.34</v>
      </c>
      <c r="BB3741" s="42"/>
      <c r="BC3741" s="74"/>
      <c r="BD3741" s="77"/>
      <c r="BF3741">
        <v>60.980000000000004</v>
      </c>
      <c r="BH3741" s="42"/>
      <c r="BI3741" s="74"/>
      <c r="BJ3741" s="77"/>
      <c r="BL3741" s="497">
        <v>64.94</v>
      </c>
      <c r="BN3741" s="42"/>
      <c r="BO3741" s="74"/>
      <c r="BP3741" s="77"/>
      <c r="BR3741" s="497">
        <v>60.08</v>
      </c>
      <c r="BT3741" s="42"/>
    </row>
    <row r="3742" spans="1:72" x14ac:dyDescent="0.25">
      <c r="A3742" s="90">
        <v>34490</v>
      </c>
      <c r="B3742" s="20">
        <v>0.16666666666666666</v>
      </c>
      <c r="D3742">
        <v>60.08</v>
      </c>
      <c r="E3742" t="str">
        <f t="shared" si="152"/>
        <v>SUNDAY</v>
      </c>
      <c r="F3742" t="e">
        <f t="shared" si="151"/>
        <v>#N/A</v>
      </c>
      <c r="G3742" s="74">
        <v>33029</v>
      </c>
      <c r="H3742" s="77">
        <v>0.16666666666666666</v>
      </c>
      <c r="J3742">
        <v>53.06</v>
      </c>
      <c r="M3742" s="74">
        <v>37777</v>
      </c>
      <c r="N3742" s="77">
        <v>0.16666666666666666</v>
      </c>
      <c r="P3742">
        <v>55.400000000000006</v>
      </c>
      <c r="S3742" s="74">
        <v>34490</v>
      </c>
      <c r="T3742" s="77">
        <v>0.16666666666666666</v>
      </c>
      <c r="V3742">
        <v>57.92</v>
      </c>
      <c r="X3742" s="42"/>
      <c r="AB3742">
        <v>62</v>
      </c>
      <c r="AC3742">
        <v>55.040000000000006</v>
      </c>
      <c r="AE3742" s="74"/>
      <c r="AF3742" s="77"/>
      <c r="AH3742" s="497">
        <v>57.2</v>
      </c>
      <c r="AJ3742" s="42"/>
      <c r="AK3742" s="74"/>
      <c r="AL3742" s="77"/>
      <c r="AN3742" s="497">
        <v>51.980000000000004</v>
      </c>
      <c r="AP3742" s="42"/>
      <c r="AQ3742" s="74"/>
      <c r="AR3742" s="77"/>
      <c r="AT3742" s="497">
        <v>64.039999999999992</v>
      </c>
      <c r="AV3742" s="42"/>
      <c r="AW3742" s="74"/>
      <c r="AX3742" s="77"/>
      <c r="BA3742" s="497">
        <v>60.980000000000004</v>
      </c>
      <c r="BB3742" s="42"/>
      <c r="BC3742" s="74"/>
      <c r="BD3742" s="77"/>
      <c r="BF3742">
        <v>57.92</v>
      </c>
      <c r="BH3742" s="42"/>
      <c r="BI3742" s="74"/>
      <c r="BJ3742" s="77"/>
      <c r="BL3742" s="497">
        <v>66.02</v>
      </c>
      <c r="BN3742" s="42"/>
      <c r="BO3742" s="74"/>
      <c r="BP3742" s="77"/>
      <c r="BR3742" s="497">
        <v>57.019999999999996</v>
      </c>
      <c r="BT3742" s="42"/>
    </row>
    <row r="3743" spans="1:72" x14ac:dyDescent="0.25">
      <c r="A3743" s="90">
        <v>34490</v>
      </c>
      <c r="B3743" s="20">
        <v>0.20833333333333334</v>
      </c>
      <c r="D3743">
        <v>60.08</v>
      </c>
      <c r="E3743" t="str">
        <f t="shared" si="152"/>
        <v>SUNDAY</v>
      </c>
      <c r="F3743" t="e">
        <f t="shared" si="151"/>
        <v>#N/A</v>
      </c>
      <c r="G3743" s="74">
        <v>33029</v>
      </c>
      <c r="H3743" s="77">
        <v>0.20833333333333334</v>
      </c>
      <c r="J3743">
        <v>53.06</v>
      </c>
      <c r="M3743" s="74">
        <v>37777</v>
      </c>
      <c r="N3743" s="77">
        <v>0.20833333333333334</v>
      </c>
      <c r="P3743">
        <v>57.2</v>
      </c>
      <c r="S3743" s="74">
        <v>34490</v>
      </c>
      <c r="T3743" s="77">
        <v>0.20833333333333334</v>
      </c>
      <c r="V3743">
        <v>57.92</v>
      </c>
      <c r="X3743" s="42"/>
      <c r="AB3743">
        <v>61.7</v>
      </c>
      <c r="AC3743">
        <v>51.980000000000004</v>
      </c>
      <c r="AE3743" s="74"/>
      <c r="AF3743" s="77"/>
      <c r="AH3743" s="497">
        <v>57.2</v>
      </c>
      <c r="AJ3743" s="42"/>
      <c r="AK3743" s="74"/>
      <c r="AL3743" s="77"/>
      <c r="AN3743" s="497">
        <v>51.980000000000004</v>
      </c>
      <c r="AP3743" s="42"/>
      <c r="AQ3743" s="74"/>
      <c r="AR3743" s="77"/>
      <c r="AT3743" s="497">
        <v>64.94</v>
      </c>
      <c r="AV3743" s="42"/>
      <c r="AW3743" s="74"/>
      <c r="AX3743" s="77"/>
      <c r="BA3743" s="497">
        <v>62.6</v>
      </c>
      <c r="BB3743" s="42"/>
      <c r="BC3743" s="74"/>
      <c r="BD3743" s="77"/>
      <c r="BF3743">
        <v>57.92</v>
      </c>
      <c r="BH3743" s="42"/>
      <c r="BI3743" s="74"/>
      <c r="BJ3743" s="77"/>
      <c r="BL3743" s="497">
        <v>62.96</v>
      </c>
      <c r="BN3743" s="42"/>
      <c r="BO3743" s="74"/>
      <c r="BP3743" s="77"/>
      <c r="BR3743" s="497">
        <v>55.94</v>
      </c>
      <c r="BT3743" s="42"/>
    </row>
    <row r="3744" spans="1:72" x14ac:dyDescent="0.25">
      <c r="A3744" s="90">
        <v>34490</v>
      </c>
      <c r="B3744" s="20">
        <v>0.25</v>
      </c>
      <c r="D3744">
        <v>60.08</v>
      </c>
      <c r="E3744" t="str">
        <f t="shared" si="152"/>
        <v>SUNDAY</v>
      </c>
      <c r="F3744" t="e">
        <f t="shared" si="151"/>
        <v>#N/A</v>
      </c>
      <c r="G3744" s="74">
        <v>33029</v>
      </c>
      <c r="H3744" s="77">
        <v>0.25</v>
      </c>
      <c r="J3744">
        <v>53.06</v>
      </c>
      <c r="M3744" s="74">
        <v>37777</v>
      </c>
      <c r="N3744" s="77">
        <v>0.25</v>
      </c>
      <c r="P3744">
        <v>55.400000000000006</v>
      </c>
      <c r="S3744" s="74">
        <v>34490</v>
      </c>
      <c r="T3744" s="77">
        <v>0.25</v>
      </c>
      <c r="V3744">
        <v>60.980000000000004</v>
      </c>
      <c r="X3744" s="42"/>
      <c r="AB3744">
        <v>61.6</v>
      </c>
      <c r="AC3744">
        <v>59</v>
      </c>
      <c r="AE3744" s="74"/>
      <c r="AF3744" s="77"/>
      <c r="AH3744" s="497">
        <v>57.2</v>
      </c>
      <c r="AJ3744" s="42"/>
      <c r="AK3744" s="74"/>
      <c r="AL3744" s="77"/>
      <c r="AN3744" s="497">
        <v>55.040000000000006</v>
      </c>
      <c r="AP3744" s="42"/>
      <c r="AQ3744" s="74"/>
      <c r="AR3744" s="77"/>
      <c r="AT3744" s="497">
        <v>64.94</v>
      </c>
      <c r="AV3744" s="42"/>
      <c r="AW3744" s="74"/>
      <c r="AX3744" s="77"/>
      <c r="BA3744" s="497">
        <v>64.400000000000006</v>
      </c>
      <c r="BB3744" s="42"/>
      <c r="BC3744" s="74"/>
      <c r="BD3744" s="77"/>
      <c r="BF3744">
        <v>57.92</v>
      </c>
      <c r="BH3744" s="42"/>
      <c r="BI3744" s="74"/>
      <c r="BJ3744" s="77"/>
      <c r="BL3744" s="497">
        <v>64.039999999999992</v>
      </c>
      <c r="BN3744" s="42"/>
      <c r="BO3744" s="74"/>
      <c r="BP3744" s="77"/>
      <c r="BR3744" s="497">
        <v>59</v>
      </c>
      <c r="BT3744" s="42"/>
    </row>
    <row r="3745" spans="1:72" x14ac:dyDescent="0.25">
      <c r="A3745" s="90">
        <v>34490</v>
      </c>
      <c r="B3745" s="20">
        <v>0.29166666666666669</v>
      </c>
      <c r="D3745">
        <v>60.980000000000004</v>
      </c>
      <c r="E3745" t="str">
        <f t="shared" si="152"/>
        <v>SUNDAY</v>
      </c>
      <c r="F3745" t="e">
        <f t="shared" si="151"/>
        <v>#N/A</v>
      </c>
      <c r="G3745" s="74">
        <v>33029</v>
      </c>
      <c r="H3745" s="77">
        <v>0.29166666666666669</v>
      </c>
      <c r="J3745">
        <v>55.040000000000006</v>
      </c>
      <c r="M3745" s="74">
        <v>37777</v>
      </c>
      <c r="N3745" s="77">
        <v>0.29166666666666669</v>
      </c>
      <c r="P3745">
        <v>57.2</v>
      </c>
      <c r="S3745" s="74">
        <v>34490</v>
      </c>
      <c r="T3745" s="77">
        <v>0.29166666666666669</v>
      </c>
      <c r="V3745">
        <v>64.94</v>
      </c>
      <c r="X3745" s="42"/>
      <c r="AB3745">
        <v>63.2</v>
      </c>
      <c r="AC3745">
        <v>64.94</v>
      </c>
      <c r="AE3745" s="74"/>
      <c r="AF3745" s="77"/>
      <c r="AH3745" s="497">
        <v>51.8</v>
      </c>
      <c r="AJ3745" s="42"/>
      <c r="AK3745" s="74"/>
      <c r="AL3745" s="77"/>
      <c r="AN3745" s="497">
        <v>60.08</v>
      </c>
      <c r="AP3745" s="42"/>
      <c r="AQ3745" s="74"/>
      <c r="AR3745" s="77"/>
      <c r="AT3745" s="497">
        <v>64.94</v>
      </c>
      <c r="AV3745" s="42"/>
      <c r="AW3745" s="74"/>
      <c r="AX3745" s="77"/>
      <c r="BA3745" s="497">
        <v>66.02</v>
      </c>
      <c r="BB3745" s="42"/>
      <c r="BC3745" s="74"/>
      <c r="BD3745" s="77"/>
      <c r="BF3745">
        <v>57.92</v>
      </c>
      <c r="BH3745" s="42"/>
      <c r="BI3745" s="74"/>
      <c r="BJ3745" s="77"/>
      <c r="BL3745" s="497">
        <v>66.92</v>
      </c>
      <c r="BN3745" s="42"/>
      <c r="BO3745" s="74"/>
      <c r="BP3745" s="77"/>
      <c r="BR3745" s="497">
        <v>64.039999999999992</v>
      </c>
      <c r="BT3745" s="42"/>
    </row>
    <row r="3746" spans="1:72" x14ac:dyDescent="0.25">
      <c r="A3746" s="90">
        <v>34490</v>
      </c>
      <c r="B3746" s="20">
        <v>0.33333333333333331</v>
      </c>
      <c r="D3746">
        <v>62.06</v>
      </c>
      <c r="E3746" t="str">
        <f t="shared" si="152"/>
        <v>SUNDAY</v>
      </c>
      <c r="F3746" t="e">
        <f t="shared" si="151"/>
        <v>#N/A</v>
      </c>
      <c r="G3746" s="74">
        <v>33029</v>
      </c>
      <c r="H3746" s="77">
        <v>0.33333333333333331</v>
      </c>
      <c r="J3746">
        <v>57.92</v>
      </c>
      <c r="M3746" s="74">
        <v>37777</v>
      </c>
      <c r="N3746" s="77">
        <v>0.33333333333333331</v>
      </c>
      <c r="P3746">
        <v>57.2</v>
      </c>
      <c r="S3746" s="74">
        <v>34490</v>
      </c>
      <c r="T3746" s="77">
        <v>0.33333333333333331</v>
      </c>
      <c r="V3746">
        <v>66.02</v>
      </c>
      <c r="X3746" s="42"/>
      <c r="AB3746">
        <v>65.099999999999994</v>
      </c>
      <c r="AC3746">
        <v>69.080000000000013</v>
      </c>
      <c r="AE3746" s="74"/>
      <c r="AF3746" s="77"/>
      <c r="AH3746" s="497">
        <v>50</v>
      </c>
      <c r="AJ3746" s="42"/>
      <c r="AK3746" s="74"/>
      <c r="AL3746" s="77"/>
      <c r="AN3746" s="497">
        <v>64.039999999999992</v>
      </c>
      <c r="AP3746" s="42"/>
      <c r="AQ3746" s="74"/>
      <c r="AR3746" s="77"/>
      <c r="AT3746" s="497">
        <v>64.039999999999992</v>
      </c>
      <c r="AV3746" s="42"/>
      <c r="AW3746" s="74"/>
      <c r="AX3746" s="77"/>
      <c r="BA3746" s="497">
        <v>69.62</v>
      </c>
      <c r="BB3746" s="42"/>
      <c r="BC3746" s="74"/>
      <c r="BD3746" s="77"/>
      <c r="BF3746">
        <v>57.019999999999996</v>
      </c>
      <c r="BH3746" s="42"/>
      <c r="BI3746" s="74"/>
      <c r="BJ3746" s="77"/>
      <c r="BL3746" s="497">
        <v>68</v>
      </c>
      <c r="BN3746" s="42"/>
      <c r="BO3746" s="74"/>
      <c r="BP3746" s="77"/>
      <c r="BR3746" s="497">
        <v>66.92</v>
      </c>
      <c r="BT3746" s="42"/>
    </row>
    <row r="3747" spans="1:72" x14ac:dyDescent="0.25">
      <c r="A3747" s="90">
        <v>34490</v>
      </c>
      <c r="B3747" s="20">
        <v>0.375</v>
      </c>
      <c r="D3747">
        <v>62.96</v>
      </c>
      <c r="E3747" t="str">
        <f t="shared" si="152"/>
        <v>SUNDAY</v>
      </c>
      <c r="F3747" t="e">
        <f t="shared" si="151"/>
        <v>#N/A</v>
      </c>
      <c r="G3747" s="74">
        <v>33029</v>
      </c>
      <c r="H3747" s="77">
        <v>0.375</v>
      </c>
      <c r="J3747">
        <v>60.08</v>
      </c>
      <c r="M3747" s="74">
        <v>37777</v>
      </c>
      <c r="N3747" s="77">
        <v>0.375</v>
      </c>
      <c r="P3747">
        <v>57.2</v>
      </c>
      <c r="S3747" s="74">
        <v>34490</v>
      </c>
      <c r="T3747" s="77">
        <v>0.375</v>
      </c>
      <c r="V3747">
        <v>66.92</v>
      </c>
      <c r="X3747" s="42"/>
      <c r="AB3747">
        <v>67.099999999999994</v>
      </c>
      <c r="AC3747">
        <v>71.06</v>
      </c>
      <c r="AE3747" s="74"/>
      <c r="AF3747" s="77"/>
      <c r="AH3747" s="497">
        <v>51.8</v>
      </c>
      <c r="AJ3747" s="42"/>
      <c r="AK3747" s="74"/>
      <c r="AL3747" s="77"/>
      <c r="AN3747" s="497">
        <v>68</v>
      </c>
      <c r="AP3747" s="42"/>
      <c r="AQ3747" s="74"/>
      <c r="AR3747" s="77"/>
      <c r="AT3747" s="497">
        <v>66.02</v>
      </c>
      <c r="AV3747" s="42"/>
      <c r="AW3747" s="74"/>
      <c r="AX3747" s="77"/>
      <c r="BA3747" s="497">
        <v>73.400000000000006</v>
      </c>
      <c r="BB3747" s="42"/>
      <c r="BC3747" s="74"/>
      <c r="BD3747" s="77"/>
      <c r="BF3747">
        <v>59</v>
      </c>
      <c r="BH3747" s="42"/>
      <c r="BI3747" s="74"/>
      <c r="BJ3747" s="77"/>
      <c r="BL3747" s="497">
        <v>71.06</v>
      </c>
      <c r="BN3747" s="42"/>
      <c r="BO3747" s="74"/>
      <c r="BP3747" s="77"/>
      <c r="BR3747" s="497">
        <v>71.06</v>
      </c>
      <c r="BT3747" s="42"/>
    </row>
    <row r="3748" spans="1:72" x14ac:dyDescent="0.25">
      <c r="A3748" s="90">
        <v>34490</v>
      </c>
      <c r="B3748" s="20">
        <v>0.41666666666666669</v>
      </c>
      <c r="D3748">
        <v>64.94</v>
      </c>
      <c r="E3748" t="str">
        <f t="shared" si="152"/>
        <v>SUNDAY</v>
      </c>
      <c r="F3748" t="e">
        <f t="shared" si="151"/>
        <v>#N/A</v>
      </c>
      <c r="G3748" s="74">
        <v>33029</v>
      </c>
      <c r="H3748" s="77">
        <v>0.41666666666666669</v>
      </c>
      <c r="J3748">
        <v>62.06</v>
      </c>
      <c r="M3748" s="74">
        <v>37777</v>
      </c>
      <c r="N3748" s="77">
        <v>0.41666666666666669</v>
      </c>
      <c r="P3748">
        <v>59</v>
      </c>
      <c r="S3748" s="74">
        <v>34490</v>
      </c>
      <c r="T3748" s="77">
        <v>0.41666666666666669</v>
      </c>
      <c r="V3748">
        <v>69.080000000000013</v>
      </c>
      <c r="X3748" s="42"/>
      <c r="AB3748">
        <v>68.900000000000006</v>
      </c>
      <c r="AC3748">
        <v>71.06</v>
      </c>
      <c r="AE3748" s="74"/>
      <c r="AF3748" s="77"/>
      <c r="AH3748" s="497">
        <v>51.8</v>
      </c>
      <c r="AJ3748" s="42"/>
      <c r="AK3748" s="74"/>
      <c r="AL3748" s="77"/>
      <c r="AN3748" s="497">
        <v>71.06</v>
      </c>
      <c r="AP3748" s="42"/>
      <c r="AQ3748" s="74"/>
      <c r="AR3748" s="77"/>
      <c r="AT3748" s="497">
        <v>69.080000000000013</v>
      </c>
      <c r="AV3748" s="42"/>
      <c r="AW3748" s="74"/>
      <c r="AX3748" s="77"/>
      <c r="BA3748" s="497">
        <v>77</v>
      </c>
      <c r="BB3748" s="42"/>
      <c r="BC3748" s="74"/>
      <c r="BD3748" s="77"/>
      <c r="BF3748">
        <v>60.08</v>
      </c>
      <c r="BH3748" s="42"/>
      <c r="BI3748" s="74"/>
      <c r="BJ3748" s="77"/>
      <c r="BL3748" s="497">
        <v>69.98</v>
      </c>
      <c r="BN3748" s="42"/>
      <c r="BO3748" s="74"/>
      <c r="BP3748" s="77"/>
      <c r="BR3748" s="497">
        <v>73.94</v>
      </c>
      <c r="BT3748" s="42"/>
    </row>
    <row r="3749" spans="1:72" x14ac:dyDescent="0.25">
      <c r="A3749" s="90">
        <v>34490</v>
      </c>
      <c r="B3749" s="20">
        <v>0.45833333333333331</v>
      </c>
      <c r="D3749">
        <v>66.02</v>
      </c>
      <c r="E3749" t="str">
        <f t="shared" si="152"/>
        <v>SUNDAY</v>
      </c>
      <c r="F3749" t="e">
        <f t="shared" si="151"/>
        <v>#N/A</v>
      </c>
      <c r="G3749" s="74">
        <v>33029</v>
      </c>
      <c r="H3749" s="77">
        <v>0.45833333333333331</v>
      </c>
      <c r="J3749">
        <v>64.039999999999992</v>
      </c>
      <c r="M3749" s="74">
        <v>37777</v>
      </c>
      <c r="N3749" s="77">
        <v>0.45833333333333331</v>
      </c>
      <c r="P3749">
        <v>60.8</v>
      </c>
      <c r="S3749" s="74">
        <v>34490</v>
      </c>
      <c r="T3749" s="77">
        <v>0.45833333333333331</v>
      </c>
      <c r="V3749">
        <v>69.080000000000013</v>
      </c>
      <c r="X3749" s="42"/>
      <c r="AB3749">
        <v>70.5</v>
      </c>
      <c r="AC3749">
        <v>71.960000000000008</v>
      </c>
      <c r="AE3749" s="74"/>
      <c r="AF3749" s="77"/>
      <c r="AH3749" s="497">
        <v>53.6</v>
      </c>
      <c r="AJ3749" s="42"/>
      <c r="AK3749" s="74"/>
      <c r="AL3749" s="77"/>
      <c r="AN3749" s="497">
        <v>71.06</v>
      </c>
      <c r="AP3749" s="42"/>
      <c r="AQ3749" s="74"/>
      <c r="AR3749" s="77"/>
      <c r="AT3749" s="497">
        <v>73.039999999999992</v>
      </c>
      <c r="AV3749" s="42"/>
      <c r="AW3749" s="74"/>
      <c r="AX3749" s="77"/>
      <c r="BA3749" s="497">
        <v>73.580000000000013</v>
      </c>
      <c r="BB3749" s="42"/>
      <c r="BC3749" s="74"/>
      <c r="BD3749" s="77"/>
      <c r="BF3749">
        <v>60.980000000000004</v>
      </c>
      <c r="BH3749" s="42"/>
      <c r="BI3749" s="74"/>
      <c r="BJ3749" s="77"/>
      <c r="BL3749" s="497">
        <v>64.94</v>
      </c>
      <c r="BN3749" s="42"/>
      <c r="BO3749" s="74"/>
      <c r="BP3749" s="77"/>
      <c r="BR3749" s="497">
        <v>77</v>
      </c>
      <c r="BT3749" s="42"/>
    </row>
    <row r="3750" spans="1:72" x14ac:dyDescent="0.25">
      <c r="A3750" s="90">
        <v>34490</v>
      </c>
      <c r="B3750" s="20">
        <v>0.5</v>
      </c>
      <c r="D3750">
        <v>62.96</v>
      </c>
      <c r="E3750" t="str">
        <f t="shared" si="152"/>
        <v>SUNDAY</v>
      </c>
      <c r="F3750" t="e">
        <f t="shared" si="151"/>
        <v>#N/A</v>
      </c>
      <c r="G3750" s="74">
        <v>33029</v>
      </c>
      <c r="H3750" s="77">
        <v>0.5</v>
      </c>
      <c r="J3750">
        <v>64.94</v>
      </c>
      <c r="M3750" s="74">
        <v>37777</v>
      </c>
      <c r="N3750" s="77">
        <v>0.5</v>
      </c>
      <c r="P3750">
        <v>60.8</v>
      </c>
      <c r="S3750" s="74">
        <v>34490</v>
      </c>
      <c r="T3750" s="77">
        <v>0.5</v>
      </c>
      <c r="V3750">
        <v>71.06</v>
      </c>
      <c r="X3750" s="42"/>
      <c r="AB3750">
        <v>71.8</v>
      </c>
      <c r="AC3750">
        <v>71.960000000000008</v>
      </c>
      <c r="AE3750" s="74"/>
      <c r="AF3750" s="77"/>
      <c r="AH3750" s="497">
        <v>53.6</v>
      </c>
      <c r="AJ3750" s="42"/>
      <c r="AK3750" s="74"/>
      <c r="AL3750" s="77"/>
      <c r="AN3750" s="497">
        <v>73.039999999999992</v>
      </c>
      <c r="AP3750" s="42"/>
      <c r="AQ3750" s="74"/>
      <c r="AR3750" s="77"/>
      <c r="AT3750" s="497">
        <v>73.039999999999992</v>
      </c>
      <c r="AV3750" s="42"/>
      <c r="AW3750" s="74"/>
      <c r="AX3750" s="77"/>
      <c r="BA3750" s="497">
        <v>70.34</v>
      </c>
      <c r="BB3750" s="42"/>
      <c r="BC3750" s="74"/>
      <c r="BD3750" s="77"/>
      <c r="BF3750">
        <v>60.980000000000004</v>
      </c>
      <c r="BH3750" s="42"/>
      <c r="BI3750" s="74"/>
      <c r="BJ3750" s="77"/>
      <c r="BL3750" s="497">
        <v>64.94</v>
      </c>
      <c r="BN3750" s="42"/>
      <c r="BO3750" s="74"/>
      <c r="BP3750" s="77"/>
      <c r="BR3750" s="497">
        <v>80.06</v>
      </c>
      <c r="BT3750" s="42"/>
    </row>
    <row r="3751" spans="1:72" x14ac:dyDescent="0.25">
      <c r="A3751" s="90">
        <v>34490</v>
      </c>
      <c r="B3751" s="20">
        <v>0.54166666666666663</v>
      </c>
      <c r="D3751">
        <v>62.06</v>
      </c>
      <c r="E3751" t="str">
        <f t="shared" si="152"/>
        <v>SUNDAY</v>
      </c>
      <c r="F3751" t="e">
        <f t="shared" si="151"/>
        <v>#N/A</v>
      </c>
      <c r="G3751" s="74">
        <v>33029</v>
      </c>
      <c r="H3751" s="77">
        <v>0.54166666666666663</v>
      </c>
      <c r="J3751">
        <v>66.92</v>
      </c>
      <c r="M3751" s="74">
        <v>37777</v>
      </c>
      <c r="N3751" s="77">
        <v>0.54166666666666663</v>
      </c>
      <c r="P3751">
        <v>62.6</v>
      </c>
      <c r="S3751" s="74">
        <v>34490</v>
      </c>
      <c r="T3751" s="77">
        <v>0.54166666666666663</v>
      </c>
      <c r="V3751">
        <v>71.960000000000008</v>
      </c>
      <c r="X3751" s="42"/>
      <c r="AB3751">
        <v>72.599999999999994</v>
      </c>
      <c r="AC3751">
        <v>71.960000000000008</v>
      </c>
      <c r="AE3751" s="74"/>
      <c r="AF3751" s="77"/>
      <c r="AH3751" s="497">
        <v>55.400000000000006</v>
      </c>
      <c r="AJ3751" s="42"/>
      <c r="AK3751" s="74"/>
      <c r="AL3751" s="77"/>
      <c r="AN3751" s="497">
        <v>71.960000000000008</v>
      </c>
      <c r="AP3751" s="42"/>
      <c r="AQ3751" s="74"/>
      <c r="AR3751" s="77"/>
      <c r="AT3751" s="497">
        <v>71.960000000000008</v>
      </c>
      <c r="AV3751" s="42"/>
      <c r="AW3751" s="74"/>
      <c r="AX3751" s="77"/>
      <c r="BA3751" s="497">
        <v>66.92</v>
      </c>
      <c r="BB3751" s="42"/>
      <c r="BC3751" s="74"/>
      <c r="BD3751" s="77"/>
      <c r="BF3751">
        <v>62.96</v>
      </c>
      <c r="BH3751" s="42"/>
      <c r="BI3751" s="74"/>
      <c r="BJ3751" s="77"/>
      <c r="BL3751" s="497">
        <v>62.96</v>
      </c>
      <c r="BN3751" s="42"/>
      <c r="BO3751" s="74"/>
      <c r="BP3751" s="77"/>
      <c r="BR3751" s="497">
        <v>80.960000000000008</v>
      </c>
      <c r="BT3751" s="42"/>
    </row>
    <row r="3752" spans="1:72" x14ac:dyDescent="0.25">
      <c r="A3752" s="90">
        <v>34490</v>
      </c>
      <c r="B3752" s="20">
        <v>0.58333333333333337</v>
      </c>
      <c r="D3752">
        <v>62.06</v>
      </c>
      <c r="E3752" t="str">
        <f t="shared" si="152"/>
        <v>SUNDAY</v>
      </c>
      <c r="F3752" t="e">
        <f t="shared" si="151"/>
        <v>#N/A</v>
      </c>
      <c r="G3752" s="74">
        <v>33029</v>
      </c>
      <c r="H3752" s="77">
        <v>0.58333333333333337</v>
      </c>
      <c r="J3752">
        <v>69.080000000000013</v>
      </c>
      <c r="M3752" s="74">
        <v>37777</v>
      </c>
      <c r="N3752" s="77">
        <v>0.58333333333333337</v>
      </c>
      <c r="P3752">
        <v>66.2</v>
      </c>
      <c r="S3752" s="74">
        <v>34490</v>
      </c>
      <c r="T3752" s="77">
        <v>0.58333333333333337</v>
      </c>
      <c r="V3752">
        <v>69.98</v>
      </c>
      <c r="X3752" s="42"/>
      <c r="AB3752">
        <v>73</v>
      </c>
      <c r="AC3752">
        <v>71.06</v>
      </c>
      <c r="AE3752" s="74"/>
      <c r="AF3752" s="77"/>
      <c r="AH3752" s="497">
        <v>57.2</v>
      </c>
      <c r="AJ3752" s="42"/>
      <c r="AK3752" s="74"/>
      <c r="AL3752" s="77"/>
      <c r="AN3752" s="497">
        <v>73.039999999999992</v>
      </c>
      <c r="AP3752" s="42"/>
      <c r="AQ3752" s="74"/>
      <c r="AR3752" s="77"/>
      <c r="AT3752" s="497">
        <v>73.039999999999992</v>
      </c>
      <c r="AV3752" s="42"/>
      <c r="AW3752" s="74"/>
      <c r="AX3752" s="77"/>
      <c r="BA3752" s="497">
        <v>68.36</v>
      </c>
      <c r="BB3752" s="42"/>
      <c r="BC3752" s="74"/>
      <c r="BD3752" s="77"/>
      <c r="BF3752">
        <v>64.039999999999992</v>
      </c>
      <c r="BH3752" s="42"/>
      <c r="BI3752" s="74"/>
      <c r="BJ3752" s="77"/>
      <c r="BL3752" s="497">
        <v>66.92</v>
      </c>
      <c r="BN3752" s="42"/>
      <c r="BO3752" s="74"/>
      <c r="BP3752" s="77"/>
      <c r="BR3752" s="497">
        <v>80.960000000000008</v>
      </c>
      <c r="BT3752" s="42"/>
    </row>
    <row r="3753" spans="1:72" x14ac:dyDescent="0.25">
      <c r="A3753" s="90">
        <v>34490</v>
      </c>
      <c r="B3753" s="20">
        <v>0.625</v>
      </c>
      <c r="D3753">
        <v>62.06</v>
      </c>
      <c r="E3753" t="str">
        <f t="shared" si="152"/>
        <v>SUNDAY</v>
      </c>
      <c r="F3753" t="e">
        <f t="shared" si="151"/>
        <v>#N/A</v>
      </c>
      <c r="G3753" s="74">
        <v>33029</v>
      </c>
      <c r="H3753" s="77">
        <v>0.625</v>
      </c>
      <c r="J3753">
        <v>71.06</v>
      </c>
      <c r="M3753" s="74">
        <v>37777</v>
      </c>
      <c r="N3753" s="77">
        <v>0.625</v>
      </c>
      <c r="P3753">
        <v>68</v>
      </c>
      <c r="S3753" s="74">
        <v>34490</v>
      </c>
      <c r="T3753" s="77">
        <v>0.625</v>
      </c>
      <c r="V3753">
        <v>69.98</v>
      </c>
      <c r="X3753" s="42"/>
      <c r="AB3753">
        <v>72.8</v>
      </c>
      <c r="AC3753">
        <v>71.06</v>
      </c>
      <c r="AE3753" s="74"/>
      <c r="AF3753" s="77"/>
      <c r="AH3753" s="497">
        <v>55.400000000000006</v>
      </c>
      <c r="AJ3753" s="42"/>
      <c r="AK3753" s="74"/>
      <c r="AL3753" s="77"/>
      <c r="AN3753" s="497">
        <v>71.06</v>
      </c>
      <c r="AP3753" s="42"/>
      <c r="AQ3753" s="74"/>
      <c r="AR3753" s="77"/>
      <c r="AT3753" s="497">
        <v>71.960000000000008</v>
      </c>
      <c r="AV3753" s="42"/>
      <c r="AW3753" s="74"/>
      <c r="AX3753" s="77"/>
      <c r="BA3753" s="497">
        <v>69.62</v>
      </c>
      <c r="BB3753" s="42"/>
      <c r="BC3753" s="74"/>
      <c r="BD3753" s="77"/>
      <c r="BF3753">
        <v>62.96</v>
      </c>
      <c r="BH3753" s="42"/>
      <c r="BI3753" s="74"/>
      <c r="BJ3753" s="77"/>
      <c r="BL3753" s="497">
        <v>73.039999999999992</v>
      </c>
      <c r="BN3753" s="42"/>
      <c r="BO3753" s="74"/>
      <c r="BP3753" s="77"/>
      <c r="BR3753" s="497">
        <v>80.06</v>
      </c>
      <c r="BT3753" s="42"/>
    </row>
    <row r="3754" spans="1:72" x14ac:dyDescent="0.25">
      <c r="A3754" s="90">
        <v>34490</v>
      </c>
      <c r="B3754" s="20">
        <v>0.66666666666666663</v>
      </c>
      <c r="D3754">
        <v>62.06</v>
      </c>
      <c r="E3754" t="str">
        <f t="shared" si="152"/>
        <v>SUNDAY</v>
      </c>
      <c r="F3754" t="e">
        <f t="shared" si="151"/>
        <v>#N/A</v>
      </c>
      <c r="G3754" s="74">
        <v>33029</v>
      </c>
      <c r="H3754" s="77">
        <v>0.66666666666666663</v>
      </c>
      <c r="J3754">
        <v>71.960000000000008</v>
      </c>
      <c r="M3754" s="74">
        <v>37777</v>
      </c>
      <c r="N3754" s="77">
        <v>0.66666666666666663</v>
      </c>
      <c r="P3754">
        <v>68</v>
      </c>
      <c r="S3754" s="74">
        <v>34490</v>
      </c>
      <c r="T3754" s="77">
        <v>0.66666666666666663</v>
      </c>
      <c r="V3754">
        <v>68</v>
      </c>
      <c r="X3754" s="42"/>
      <c r="AB3754">
        <v>72.2</v>
      </c>
      <c r="AC3754">
        <v>69.080000000000013</v>
      </c>
      <c r="AE3754" s="74"/>
      <c r="AF3754" s="77"/>
      <c r="AH3754" s="497">
        <v>57.2</v>
      </c>
      <c r="AJ3754" s="42"/>
      <c r="AK3754" s="74"/>
      <c r="AL3754" s="77"/>
      <c r="AN3754" s="497">
        <v>71.960000000000008</v>
      </c>
      <c r="AP3754" s="42"/>
      <c r="AQ3754" s="74"/>
      <c r="AR3754" s="77"/>
      <c r="AT3754" s="497">
        <v>71.960000000000008</v>
      </c>
      <c r="AV3754" s="42"/>
      <c r="AW3754" s="74"/>
      <c r="AX3754" s="77"/>
      <c r="BA3754" s="497">
        <v>71.06</v>
      </c>
      <c r="BB3754" s="42"/>
      <c r="BC3754" s="74"/>
      <c r="BD3754" s="77"/>
      <c r="BF3754">
        <v>64.039999999999992</v>
      </c>
      <c r="BH3754" s="42"/>
      <c r="BI3754" s="74"/>
      <c r="BJ3754" s="77"/>
      <c r="BL3754" s="497">
        <v>69.98</v>
      </c>
      <c r="BN3754" s="42"/>
      <c r="BO3754" s="74"/>
      <c r="BP3754" s="77"/>
      <c r="BR3754" s="497">
        <v>78.98</v>
      </c>
      <c r="BT3754" s="42"/>
    </row>
    <row r="3755" spans="1:72" x14ac:dyDescent="0.25">
      <c r="A3755" s="90">
        <v>34490</v>
      </c>
      <c r="B3755" s="20">
        <v>0.70833333333333337</v>
      </c>
      <c r="D3755">
        <v>60.980000000000004</v>
      </c>
      <c r="E3755" t="str">
        <f t="shared" si="152"/>
        <v>SUNDAY</v>
      </c>
      <c r="F3755" t="e">
        <f t="shared" ref="F3755:F3818" si="153">IF(E3755="WEEKDAY",VLOOKUP(B3755,$DD$19:$DG$42,2),IF(E3755="SATURDAY",VLOOKUP(B3755,$DD$19:$DG$42,3),VLOOKUP(B3755,$DD$19:$DG$42,4)))</f>
        <v>#N/A</v>
      </c>
      <c r="G3755" s="74">
        <v>33029</v>
      </c>
      <c r="H3755" s="77">
        <v>0.70833333333333337</v>
      </c>
      <c r="J3755">
        <v>71.960000000000008</v>
      </c>
      <c r="M3755" s="74">
        <v>37777</v>
      </c>
      <c r="N3755" s="77">
        <v>0.70833333333333337</v>
      </c>
      <c r="P3755">
        <v>66.2</v>
      </c>
      <c r="S3755" s="74">
        <v>34490</v>
      </c>
      <c r="T3755" s="77">
        <v>0.70833333333333337</v>
      </c>
      <c r="V3755">
        <v>68</v>
      </c>
      <c r="X3755" s="42"/>
      <c r="AB3755">
        <v>71.400000000000006</v>
      </c>
      <c r="AC3755">
        <v>66.92</v>
      </c>
      <c r="AE3755" s="74"/>
      <c r="AF3755" s="77"/>
      <c r="AH3755" s="497">
        <v>57.2</v>
      </c>
      <c r="AJ3755" s="42"/>
      <c r="AK3755" s="74"/>
      <c r="AL3755" s="77"/>
      <c r="AN3755" s="497">
        <v>69.98</v>
      </c>
      <c r="AP3755" s="42"/>
      <c r="AQ3755" s="74"/>
      <c r="AR3755" s="77"/>
      <c r="AT3755" s="497">
        <v>71.960000000000008</v>
      </c>
      <c r="AV3755" s="42"/>
      <c r="AW3755" s="74"/>
      <c r="AX3755" s="77"/>
      <c r="BA3755" s="497">
        <v>69.62</v>
      </c>
      <c r="BB3755" s="42"/>
      <c r="BC3755" s="74"/>
      <c r="BD3755" s="77"/>
      <c r="BF3755">
        <v>62.96</v>
      </c>
      <c r="BH3755" s="42"/>
      <c r="BI3755" s="74"/>
      <c r="BJ3755" s="77"/>
      <c r="BL3755" s="497">
        <v>69.98</v>
      </c>
      <c r="BN3755" s="42"/>
      <c r="BO3755" s="74"/>
      <c r="BP3755" s="77"/>
      <c r="BR3755" s="497">
        <v>78.080000000000013</v>
      </c>
      <c r="BT3755" s="42"/>
    </row>
    <row r="3756" spans="1:72" x14ac:dyDescent="0.25">
      <c r="A3756" s="90">
        <v>34490</v>
      </c>
      <c r="B3756" s="20">
        <v>0.75</v>
      </c>
      <c r="D3756">
        <v>60.980000000000004</v>
      </c>
      <c r="E3756" t="str">
        <f t="shared" si="152"/>
        <v>SUNDAY</v>
      </c>
      <c r="F3756" t="e">
        <f t="shared" si="153"/>
        <v>#N/A</v>
      </c>
      <c r="G3756" s="74">
        <v>33029</v>
      </c>
      <c r="H3756" s="77">
        <v>0.75</v>
      </c>
      <c r="J3756">
        <v>71.06</v>
      </c>
      <c r="M3756" s="74">
        <v>37777</v>
      </c>
      <c r="N3756" s="77">
        <v>0.75</v>
      </c>
      <c r="P3756">
        <v>68</v>
      </c>
      <c r="S3756" s="74">
        <v>34490</v>
      </c>
      <c r="T3756" s="77">
        <v>0.75</v>
      </c>
      <c r="V3756">
        <v>66.02</v>
      </c>
      <c r="X3756" s="42"/>
      <c r="AB3756">
        <v>70.099999999999994</v>
      </c>
      <c r="AC3756">
        <v>64.94</v>
      </c>
      <c r="AE3756" s="74"/>
      <c r="AF3756" s="77"/>
      <c r="AH3756" s="497">
        <v>55.400000000000006</v>
      </c>
      <c r="AJ3756" s="42"/>
      <c r="AK3756" s="74"/>
      <c r="AL3756" s="77"/>
      <c r="AN3756" s="497">
        <v>69.080000000000013</v>
      </c>
      <c r="AP3756" s="42"/>
      <c r="AQ3756" s="74"/>
      <c r="AR3756" s="77"/>
      <c r="AT3756" s="497">
        <v>71.06</v>
      </c>
      <c r="AV3756" s="42"/>
      <c r="AW3756" s="74"/>
      <c r="AX3756" s="77"/>
      <c r="BA3756" s="497">
        <v>68.36</v>
      </c>
      <c r="BB3756" s="42"/>
      <c r="BC3756" s="74"/>
      <c r="BD3756" s="77"/>
      <c r="BF3756">
        <v>62.06</v>
      </c>
      <c r="BH3756" s="42"/>
      <c r="BI3756" s="74"/>
      <c r="BJ3756" s="77"/>
      <c r="BL3756" s="497">
        <v>69.080000000000013</v>
      </c>
      <c r="BN3756" s="42"/>
      <c r="BO3756" s="74"/>
      <c r="BP3756" s="77"/>
      <c r="BR3756" s="497">
        <v>77</v>
      </c>
      <c r="BT3756" s="42"/>
    </row>
    <row r="3757" spans="1:72" x14ac:dyDescent="0.25">
      <c r="A3757" s="90">
        <v>34490</v>
      </c>
      <c r="B3757" s="20">
        <v>0.79166666666666663</v>
      </c>
      <c r="D3757">
        <v>60.980000000000004</v>
      </c>
      <c r="E3757" t="str">
        <f t="shared" si="152"/>
        <v>SUNDAY</v>
      </c>
      <c r="F3757" t="e">
        <f t="shared" si="153"/>
        <v>#N/A</v>
      </c>
      <c r="G3757" s="74">
        <v>33029</v>
      </c>
      <c r="H3757" s="77">
        <v>0.79166666666666663</v>
      </c>
      <c r="J3757">
        <v>69.98</v>
      </c>
      <c r="M3757" s="74">
        <v>37777</v>
      </c>
      <c r="N3757" s="77">
        <v>0.79166666666666663</v>
      </c>
      <c r="P3757">
        <v>66.2</v>
      </c>
      <c r="S3757" s="74">
        <v>34490</v>
      </c>
      <c r="T3757" s="77">
        <v>0.79166666666666663</v>
      </c>
      <c r="V3757">
        <v>64.94</v>
      </c>
      <c r="X3757" s="42"/>
      <c r="AB3757">
        <v>68.900000000000006</v>
      </c>
      <c r="AC3757">
        <v>64.94</v>
      </c>
      <c r="AE3757" s="74"/>
      <c r="AF3757" s="77"/>
      <c r="AH3757" s="497">
        <v>55.400000000000006</v>
      </c>
      <c r="AJ3757" s="42"/>
      <c r="AK3757" s="74"/>
      <c r="AL3757" s="77"/>
      <c r="AN3757" s="497">
        <v>68</v>
      </c>
      <c r="AP3757" s="42"/>
      <c r="AQ3757" s="74"/>
      <c r="AR3757" s="77"/>
      <c r="AT3757" s="497">
        <v>64.94</v>
      </c>
      <c r="AV3757" s="42"/>
      <c r="AW3757" s="74"/>
      <c r="AX3757" s="77"/>
      <c r="BA3757" s="497">
        <v>66.92</v>
      </c>
      <c r="BB3757" s="42"/>
      <c r="BC3757" s="74"/>
      <c r="BD3757" s="77"/>
      <c r="BF3757">
        <v>60.980000000000004</v>
      </c>
      <c r="BH3757" s="42"/>
      <c r="BI3757" s="74"/>
      <c r="BJ3757" s="77"/>
      <c r="BL3757" s="497">
        <v>66.92</v>
      </c>
      <c r="BN3757" s="42"/>
      <c r="BO3757" s="74"/>
      <c r="BP3757" s="77"/>
      <c r="BR3757" s="497">
        <v>73.039999999999992</v>
      </c>
      <c r="BT3757" s="42"/>
    </row>
    <row r="3758" spans="1:72" x14ac:dyDescent="0.25">
      <c r="A3758" s="90">
        <v>34490</v>
      </c>
      <c r="B3758" s="20">
        <v>0.83333333333333337</v>
      </c>
      <c r="D3758">
        <v>60.980000000000004</v>
      </c>
      <c r="E3758" t="str">
        <f t="shared" si="152"/>
        <v>SUNDAY</v>
      </c>
      <c r="F3758" t="e">
        <f t="shared" si="153"/>
        <v>#N/A</v>
      </c>
      <c r="G3758" s="74">
        <v>33029</v>
      </c>
      <c r="H3758" s="77">
        <v>0.83333333333333337</v>
      </c>
      <c r="J3758">
        <v>68</v>
      </c>
      <c r="M3758" s="74">
        <v>37777</v>
      </c>
      <c r="N3758" s="77">
        <v>0.83333333333333337</v>
      </c>
      <c r="P3758">
        <v>64.400000000000006</v>
      </c>
      <c r="S3758" s="74">
        <v>34490</v>
      </c>
      <c r="T3758" s="77">
        <v>0.83333333333333337</v>
      </c>
      <c r="V3758">
        <v>64.039999999999992</v>
      </c>
      <c r="X3758" s="42"/>
      <c r="AB3758">
        <v>67.5</v>
      </c>
      <c r="AC3758">
        <v>64.039999999999992</v>
      </c>
      <c r="AE3758" s="74"/>
      <c r="AF3758" s="77"/>
      <c r="AH3758" s="497">
        <v>55.400000000000006</v>
      </c>
      <c r="AJ3758" s="42"/>
      <c r="AK3758" s="74"/>
      <c r="AL3758" s="77"/>
      <c r="AN3758" s="497">
        <v>66.02</v>
      </c>
      <c r="AP3758" s="42"/>
      <c r="AQ3758" s="74"/>
      <c r="AR3758" s="77"/>
      <c r="AT3758" s="497">
        <v>60.980000000000004</v>
      </c>
      <c r="AV3758" s="42"/>
      <c r="AW3758" s="74"/>
      <c r="AX3758" s="77"/>
      <c r="BA3758" s="497">
        <v>63.680000000000007</v>
      </c>
      <c r="BB3758" s="42"/>
      <c r="BC3758" s="74"/>
      <c r="BD3758" s="77"/>
      <c r="BF3758">
        <v>57.019999999999996</v>
      </c>
      <c r="BH3758" s="42"/>
      <c r="BI3758" s="74"/>
      <c r="BJ3758" s="77"/>
      <c r="BL3758" s="497">
        <v>64.039999999999992</v>
      </c>
      <c r="BN3758" s="42"/>
      <c r="BO3758" s="74"/>
      <c r="BP3758" s="77"/>
      <c r="BR3758" s="497">
        <v>69.98</v>
      </c>
      <c r="BT3758" s="42"/>
    </row>
    <row r="3759" spans="1:72" x14ac:dyDescent="0.25">
      <c r="A3759" s="90">
        <v>34490</v>
      </c>
      <c r="B3759" s="20">
        <v>0.875</v>
      </c>
      <c r="D3759">
        <v>60.980000000000004</v>
      </c>
      <c r="E3759" t="str">
        <f t="shared" si="152"/>
        <v>SUNDAY</v>
      </c>
      <c r="F3759" t="e">
        <f t="shared" si="153"/>
        <v>#N/A</v>
      </c>
      <c r="G3759" s="74">
        <v>33029</v>
      </c>
      <c r="H3759" s="77">
        <v>0.875</v>
      </c>
      <c r="J3759">
        <v>68</v>
      </c>
      <c r="M3759" s="74">
        <v>37777</v>
      </c>
      <c r="N3759" s="77">
        <v>0.875</v>
      </c>
      <c r="P3759">
        <v>62.6</v>
      </c>
      <c r="S3759" s="74">
        <v>34490</v>
      </c>
      <c r="T3759" s="77">
        <v>0.875</v>
      </c>
      <c r="V3759">
        <v>64.039999999999992</v>
      </c>
      <c r="X3759" s="42"/>
      <c r="AB3759">
        <v>66.3</v>
      </c>
      <c r="AC3759">
        <v>62.96</v>
      </c>
      <c r="AE3759" s="74"/>
      <c r="AF3759" s="77"/>
      <c r="AH3759" s="497">
        <v>55.400000000000006</v>
      </c>
      <c r="AJ3759" s="42"/>
      <c r="AK3759" s="74"/>
      <c r="AL3759" s="77"/>
      <c r="AN3759" s="497">
        <v>64.039999999999992</v>
      </c>
      <c r="AP3759" s="42"/>
      <c r="AQ3759" s="74"/>
      <c r="AR3759" s="77"/>
      <c r="AT3759" s="497">
        <v>60.08</v>
      </c>
      <c r="AV3759" s="42"/>
      <c r="AW3759" s="74"/>
      <c r="AX3759" s="77"/>
      <c r="BA3759" s="497">
        <v>60.26</v>
      </c>
      <c r="BB3759" s="42"/>
      <c r="BC3759" s="74"/>
      <c r="BD3759" s="77"/>
      <c r="BF3759">
        <v>55.040000000000006</v>
      </c>
      <c r="BH3759" s="42"/>
      <c r="BI3759" s="74"/>
      <c r="BJ3759" s="77"/>
      <c r="BL3759" s="497">
        <v>60.08</v>
      </c>
      <c r="BN3759" s="42"/>
      <c r="BO3759" s="74"/>
      <c r="BP3759" s="77"/>
      <c r="BR3759" s="497">
        <v>69.080000000000013</v>
      </c>
      <c r="BT3759" s="42"/>
    </row>
    <row r="3760" spans="1:72" x14ac:dyDescent="0.25">
      <c r="A3760" s="90">
        <v>34490</v>
      </c>
      <c r="B3760" s="20">
        <v>0.91666666666666663</v>
      </c>
      <c r="D3760">
        <v>60.08</v>
      </c>
      <c r="E3760" t="str">
        <f t="shared" si="152"/>
        <v>SUNDAY</v>
      </c>
      <c r="F3760" t="e">
        <f t="shared" si="153"/>
        <v>#N/A</v>
      </c>
      <c r="G3760" s="74">
        <v>33029</v>
      </c>
      <c r="H3760" s="77">
        <v>0.91666666666666663</v>
      </c>
      <c r="J3760">
        <v>66.92</v>
      </c>
      <c r="M3760" s="74">
        <v>37777</v>
      </c>
      <c r="N3760" s="77">
        <v>0.91666666666666663</v>
      </c>
      <c r="P3760">
        <v>60.8</v>
      </c>
      <c r="S3760" s="74">
        <v>34490</v>
      </c>
      <c r="T3760" s="77">
        <v>0.91666666666666663</v>
      </c>
      <c r="V3760">
        <v>64.039999999999992</v>
      </c>
      <c r="X3760" s="42"/>
      <c r="AB3760">
        <v>65.599999999999994</v>
      </c>
      <c r="AC3760">
        <v>62.96</v>
      </c>
      <c r="AE3760" s="74"/>
      <c r="AF3760" s="77"/>
      <c r="AH3760" s="497">
        <v>55.400000000000006</v>
      </c>
      <c r="AJ3760" s="42"/>
      <c r="AK3760" s="74"/>
      <c r="AL3760" s="77"/>
      <c r="AN3760" s="497">
        <v>62.96</v>
      </c>
      <c r="AP3760" s="42"/>
      <c r="AQ3760" s="74"/>
      <c r="AR3760" s="77"/>
      <c r="AT3760" s="497">
        <v>59</v>
      </c>
      <c r="AV3760" s="42"/>
      <c r="AW3760" s="74"/>
      <c r="AX3760" s="77"/>
      <c r="BA3760" s="497">
        <v>57.019999999999996</v>
      </c>
      <c r="BB3760" s="42"/>
      <c r="BC3760" s="74"/>
      <c r="BD3760" s="77"/>
      <c r="BF3760">
        <v>53.06</v>
      </c>
      <c r="BH3760" s="42"/>
      <c r="BI3760" s="74"/>
      <c r="BJ3760" s="77"/>
      <c r="BL3760" s="497">
        <v>59</v>
      </c>
      <c r="BN3760" s="42"/>
      <c r="BO3760" s="74"/>
      <c r="BP3760" s="77"/>
      <c r="BR3760" s="497">
        <v>66.02</v>
      </c>
      <c r="BT3760" s="42"/>
    </row>
    <row r="3761" spans="1:72" x14ac:dyDescent="0.25">
      <c r="A3761" s="90">
        <v>34490</v>
      </c>
      <c r="B3761" s="20">
        <v>0.95833333333333337</v>
      </c>
      <c r="D3761">
        <v>60.08</v>
      </c>
      <c r="E3761" t="str">
        <f t="shared" si="152"/>
        <v>SUNDAY</v>
      </c>
      <c r="F3761" t="e">
        <f t="shared" si="153"/>
        <v>#N/A</v>
      </c>
      <c r="G3761" s="74">
        <v>33029</v>
      </c>
      <c r="H3761" s="77">
        <v>0.95833333333333337</v>
      </c>
      <c r="J3761">
        <v>64.94</v>
      </c>
      <c r="M3761" s="74">
        <v>37777</v>
      </c>
      <c r="N3761" s="77">
        <v>0.95833333333333337</v>
      </c>
      <c r="P3761">
        <v>59.18</v>
      </c>
      <c r="S3761" s="74">
        <v>34490</v>
      </c>
      <c r="T3761" s="77">
        <v>0.95833333333333337</v>
      </c>
      <c r="V3761">
        <v>62.96</v>
      </c>
      <c r="X3761" s="42"/>
      <c r="AB3761">
        <v>65</v>
      </c>
      <c r="AC3761">
        <v>62.96</v>
      </c>
      <c r="AE3761" s="74"/>
      <c r="AF3761" s="77"/>
      <c r="AH3761" s="497">
        <v>53.6</v>
      </c>
      <c r="AJ3761" s="42"/>
      <c r="AK3761" s="74"/>
      <c r="AL3761" s="77"/>
      <c r="AN3761" s="497">
        <v>62.06</v>
      </c>
      <c r="AP3761" s="42"/>
      <c r="AQ3761" s="74"/>
      <c r="AR3761" s="77"/>
      <c r="AT3761" s="497">
        <v>59</v>
      </c>
      <c r="AV3761" s="42"/>
      <c r="AW3761" s="74"/>
      <c r="AX3761" s="77"/>
      <c r="BA3761" s="497">
        <v>56.3</v>
      </c>
      <c r="BB3761" s="42"/>
      <c r="BC3761" s="74"/>
      <c r="BD3761" s="77"/>
      <c r="BF3761">
        <v>51.08</v>
      </c>
      <c r="BH3761" s="42"/>
      <c r="BI3761" s="74"/>
      <c r="BJ3761" s="77"/>
      <c r="BL3761" s="497">
        <v>59</v>
      </c>
      <c r="BN3761" s="42"/>
      <c r="BO3761" s="74"/>
      <c r="BP3761" s="77"/>
      <c r="BR3761" s="497">
        <v>64.94</v>
      </c>
      <c r="BT3761" s="42"/>
    </row>
    <row r="3762" spans="1:72" x14ac:dyDescent="0.25">
      <c r="A3762" s="90">
        <v>34490</v>
      </c>
      <c r="B3762" s="20">
        <v>1</v>
      </c>
      <c r="D3762">
        <v>59</v>
      </c>
      <c r="E3762" t="str">
        <f t="shared" si="152"/>
        <v>SUNDAY</v>
      </c>
      <c r="F3762" t="e">
        <f t="shared" si="153"/>
        <v>#N/A</v>
      </c>
      <c r="G3762" s="74">
        <v>33029</v>
      </c>
      <c r="H3762" s="77">
        <v>1</v>
      </c>
      <c r="J3762">
        <v>64.039999999999992</v>
      </c>
      <c r="M3762" s="74">
        <v>37777</v>
      </c>
      <c r="N3762" s="80">
        <v>1</v>
      </c>
      <c r="P3762">
        <v>57.2</v>
      </c>
      <c r="S3762" s="74">
        <v>34490</v>
      </c>
      <c r="T3762" s="80">
        <v>1</v>
      </c>
      <c r="V3762">
        <v>62.96</v>
      </c>
      <c r="X3762" s="42"/>
      <c r="AB3762">
        <v>64.400000000000006</v>
      </c>
      <c r="AC3762">
        <v>62.96</v>
      </c>
      <c r="AE3762" s="74"/>
      <c r="AF3762" s="80"/>
      <c r="AH3762" s="497">
        <v>53.6</v>
      </c>
      <c r="AJ3762" s="42"/>
      <c r="AK3762" s="74"/>
      <c r="AL3762" s="80"/>
      <c r="AN3762" s="497">
        <v>60.08</v>
      </c>
      <c r="AP3762" s="42"/>
      <c r="AQ3762" s="74"/>
      <c r="AR3762" s="80"/>
      <c r="AT3762" s="497">
        <v>59</v>
      </c>
      <c r="AV3762" s="42"/>
      <c r="AW3762" s="74"/>
      <c r="AX3762" s="80"/>
      <c r="BA3762" s="497">
        <v>55.76</v>
      </c>
      <c r="BB3762" s="42"/>
      <c r="BC3762" s="74"/>
      <c r="BD3762" s="80"/>
      <c r="BF3762">
        <v>48.92</v>
      </c>
      <c r="BH3762" s="42"/>
      <c r="BI3762" s="74"/>
      <c r="BJ3762" s="80"/>
      <c r="BL3762" s="497">
        <v>57.019999999999996</v>
      </c>
      <c r="BN3762" s="42"/>
      <c r="BO3762" s="74"/>
      <c r="BP3762" s="80"/>
      <c r="BR3762" s="497">
        <v>64.039999999999992</v>
      </c>
      <c r="BT3762" s="42"/>
    </row>
    <row r="3763" spans="1:72" x14ac:dyDescent="0.25">
      <c r="A3763" s="90">
        <v>34491</v>
      </c>
      <c r="B3763" s="20">
        <v>4.1666666666666664E-2</v>
      </c>
      <c r="D3763">
        <v>59</v>
      </c>
      <c r="E3763" t="str">
        <f t="shared" si="152"/>
        <v>WEEKDAY</v>
      </c>
      <c r="F3763" t="e">
        <f t="shared" si="153"/>
        <v>#N/A</v>
      </c>
      <c r="G3763" s="74">
        <v>33030</v>
      </c>
      <c r="H3763" s="77">
        <v>4.1666666666666664E-2</v>
      </c>
      <c r="J3763">
        <v>62.96</v>
      </c>
      <c r="M3763" s="74">
        <v>37778</v>
      </c>
      <c r="N3763" s="77">
        <v>4.1666666666666664E-2</v>
      </c>
      <c r="P3763">
        <v>57.2</v>
      </c>
      <c r="S3763" s="74">
        <v>34491</v>
      </c>
      <c r="T3763" s="77">
        <v>4.1666666666666664E-2</v>
      </c>
      <c r="V3763">
        <v>62.96</v>
      </c>
      <c r="X3763" s="42"/>
      <c r="AB3763">
        <v>63.8</v>
      </c>
      <c r="AC3763">
        <v>64.039999999999992</v>
      </c>
      <c r="AE3763" s="74"/>
      <c r="AF3763" s="77"/>
      <c r="AH3763" s="497">
        <v>53.6</v>
      </c>
      <c r="AJ3763" s="42"/>
      <c r="AK3763" s="74"/>
      <c r="AL3763" s="77"/>
      <c r="AN3763" s="497">
        <v>62.06</v>
      </c>
      <c r="AP3763" s="42"/>
      <c r="AQ3763" s="74"/>
      <c r="AR3763" s="77"/>
      <c r="AT3763" s="497">
        <v>59</v>
      </c>
      <c r="AV3763" s="42"/>
      <c r="AW3763" s="74"/>
      <c r="AX3763" s="77"/>
      <c r="BA3763" s="497">
        <v>55.040000000000006</v>
      </c>
      <c r="BB3763" s="42"/>
      <c r="BC3763" s="74"/>
      <c r="BD3763" s="77"/>
      <c r="BF3763">
        <v>48.019999999999996</v>
      </c>
      <c r="BH3763" s="42"/>
      <c r="BI3763" s="74"/>
      <c r="BJ3763" s="77"/>
      <c r="BL3763" s="497">
        <v>57.019999999999996</v>
      </c>
      <c r="BN3763" s="42"/>
      <c r="BO3763" s="74"/>
      <c r="BP3763" s="77"/>
      <c r="BR3763" s="497">
        <v>64.94</v>
      </c>
      <c r="BT3763" s="42"/>
    </row>
    <row r="3764" spans="1:72" x14ac:dyDescent="0.25">
      <c r="A3764" s="90">
        <v>34491</v>
      </c>
      <c r="B3764" s="20">
        <v>8.3333333333333329E-2</v>
      </c>
      <c r="D3764">
        <v>59</v>
      </c>
      <c r="E3764" t="str">
        <f t="shared" si="152"/>
        <v>WEEKDAY</v>
      </c>
      <c r="F3764" t="e">
        <f t="shared" si="153"/>
        <v>#N/A</v>
      </c>
      <c r="G3764" s="74">
        <v>33030</v>
      </c>
      <c r="H3764" s="77">
        <v>8.3333333333333329E-2</v>
      </c>
      <c r="J3764">
        <v>62.06</v>
      </c>
      <c r="M3764" s="74">
        <v>37778</v>
      </c>
      <c r="N3764" s="77">
        <v>8.3333333333333329E-2</v>
      </c>
      <c r="P3764">
        <v>55.400000000000006</v>
      </c>
      <c r="S3764" s="74">
        <v>34491</v>
      </c>
      <c r="T3764" s="77">
        <v>8.3333333333333329E-2</v>
      </c>
      <c r="V3764">
        <v>64.039999999999992</v>
      </c>
      <c r="X3764" s="42"/>
      <c r="AB3764">
        <v>63.3</v>
      </c>
      <c r="AC3764">
        <v>64.94</v>
      </c>
      <c r="AE3764" s="74"/>
      <c r="AF3764" s="77"/>
      <c r="AH3764" s="497">
        <v>51.8</v>
      </c>
      <c r="AJ3764" s="42"/>
      <c r="AK3764" s="74"/>
      <c r="AL3764" s="77"/>
      <c r="AN3764" s="497">
        <v>60.08</v>
      </c>
      <c r="AP3764" s="42"/>
      <c r="AQ3764" s="74"/>
      <c r="AR3764" s="77"/>
      <c r="AT3764" s="497">
        <v>59</v>
      </c>
      <c r="AV3764" s="42"/>
      <c r="AW3764" s="74"/>
      <c r="AX3764" s="77"/>
      <c r="BA3764" s="497">
        <v>53.96</v>
      </c>
      <c r="BB3764" s="42"/>
      <c r="BC3764" s="74"/>
      <c r="BD3764" s="77"/>
      <c r="BF3764">
        <v>46.04</v>
      </c>
      <c r="BH3764" s="42"/>
      <c r="BI3764" s="74"/>
      <c r="BJ3764" s="77"/>
      <c r="BL3764" s="497">
        <v>55.94</v>
      </c>
      <c r="BN3764" s="42"/>
      <c r="BO3764" s="74"/>
      <c r="BP3764" s="77"/>
      <c r="BR3764" s="497">
        <v>66.02</v>
      </c>
      <c r="BT3764" s="42"/>
    </row>
    <row r="3765" spans="1:72" x14ac:dyDescent="0.25">
      <c r="A3765" s="90">
        <v>34491</v>
      </c>
      <c r="B3765" s="20">
        <v>0.125</v>
      </c>
      <c r="D3765">
        <v>57.92</v>
      </c>
      <c r="E3765" t="str">
        <f t="shared" si="152"/>
        <v>WEEKDAY</v>
      </c>
      <c r="F3765" t="e">
        <f t="shared" si="153"/>
        <v>#N/A</v>
      </c>
      <c r="G3765" s="74">
        <v>33030</v>
      </c>
      <c r="H3765" s="77">
        <v>0.125</v>
      </c>
      <c r="J3765">
        <v>62.06</v>
      </c>
      <c r="M3765" s="74">
        <v>37778</v>
      </c>
      <c r="N3765" s="77">
        <v>0.125</v>
      </c>
      <c r="P3765">
        <v>53.6</v>
      </c>
      <c r="S3765" s="74">
        <v>34491</v>
      </c>
      <c r="T3765" s="77">
        <v>0.125</v>
      </c>
      <c r="V3765">
        <v>62.96</v>
      </c>
      <c r="X3765" s="42"/>
      <c r="AB3765">
        <v>62.8</v>
      </c>
      <c r="AC3765">
        <v>64.94</v>
      </c>
      <c r="AE3765" s="74"/>
      <c r="AF3765" s="77"/>
      <c r="AH3765" s="497">
        <v>51.8</v>
      </c>
      <c r="AJ3765" s="42"/>
      <c r="AK3765" s="74"/>
      <c r="AL3765" s="77"/>
      <c r="AN3765" s="497">
        <v>59</v>
      </c>
      <c r="AP3765" s="42"/>
      <c r="AQ3765" s="74"/>
      <c r="AR3765" s="77"/>
      <c r="AT3765" s="497">
        <v>59</v>
      </c>
      <c r="AV3765" s="42"/>
      <c r="AW3765" s="74"/>
      <c r="AX3765" s="77"/>
      <c r="BA3765" s="497">
        <v>53.06</v>
      </c>
      <c r="BB3765" s="42"/>
      <c r="BC3765" s="74"/>
      <c r="BD3765" s="77"/>
      <c r="BF3765">
        <v>44.96</v>
      </c>
      <c r="BH3765" s="42"/>
      <c r="BI3765" s="74"/>
      <c r="BJ3765" s="77"/>
      <c r="BL3765" s="497">
        <v>55.94</v>
      </c>
      <c r="BN3765" s="42"/>
      <c r="BO3765" s="74"/>
      <c r="BP3765" s="77"/>
      <c r="BR3765" s="497">
        <v>66.92</v>
      </c>
      <c r="BT3765" s="42"/>
    </row>
    <row r="3766" spans="1:72" x14ac:dyDescent="0.25">
      <c r="A3766" s="90">
        <v>34491</v>
      </c>
      <c r="B3766" s="20">
        <v>0.16666666666666666</v>
      </c>
      <c r="D3766">
        <v>57.92</v>
      </c>
      <c r="E3766" t="str">
        <f t="shared" si="152"/>
        <v>WEEKDAY</v>
      </c>
      <c r="F3766" t="e">
        <f t="shared" si="153"/>
        <v>#N/A</v>
      </c>
      <c r="G3766" s="74">
        <v>33030</v>
      </c>
      <c r="H3766" s="77">
        <v>0.16666666666666666</v>
      </c>
      <c r="J3766">
        <v>60.08</v>
      </c>
      <c r="M3766" s="74">
        <v>37778</v>
      </c>
      <c r="N3766" s="77">
        <v>0.16666666666666666</v>
      </c>
      <c r="P3766">
        <v>53.6</v>
      </c>
      <c r="S3766" s="74">
        <v>34491</v>
      </c>
      <c r="T3766" s="77">
        <v>0.16666666666666666</v>
      </c>
      <c r="V3766">
        <v>62.96</v>
      </c>
      <c r="X3766" s="42"/>
      <c r="AB3766">
        <v>62.4</v>
      </c>
      <c r="AC3766">
        <v>64.039999999999992</v>
      </c>
      <c r="AE3766" s="74"/>
      <c r="AF3766" s="77"/>
      <c r="AH3766" s="497">
        <v>51.8</v>
      </c>
      <c r="AJ3766" s="42"/>
      <c r="AK3766" s="74"/>
      <c r="AL3766" s="77"/>
      <c r="AN3766" s="497">
        <v>57.019999999999996</v>
      </c>
      <c r="AP3766" s="42"/>
      <c r="AQ3766" s="74"/>
      <c r="AR3766" s="77"/>
      <c r="AT3766" s="497">
        <v>59</v>
      </c>
      <c r="AV3766" s="42"/>
      <c r="AW3766" s="74"/>
      <c r="AX3766" s="77"/>
      <c r="BA3766" s="497">
        <v>51.980000000000004</v>
      </c>
      <c r="BB3766" s="42"/>
      <c r="BC3766" s="74"/>
      <c r="BD3766" s="77"/>
      <c r="BF3766">
        <v>44.06</v>
      </c>
      <c r="BH3766" s="42"/>
      <c r="BI3766" s="74"/>
      <c r="BJ3766" s="77"/>
      <c r="BL3766" s="497">
        <v>53.96</v>
      </c>
      <c r="BN3766" s="42"/>
      <c r="BO3766" s="74"/>
      <c r="BP3766" s="77"/>
      <c r="BR3766" s="497">
        <v>64.94</v>
      </c>
      <c r="BT3766" s="42"/>
    </row>
    <row r="3767" spans="1:72" x14ac:dyDescent="0.25">
      <c r="A3767" s="90">
        <v>34491</v>
      </c>
      <c r="B3767" s="20">
        <v>0.20833333333333334</v>
      </c>
      <c r="D3767">
        <v>57.019999999999996</v>
      </c>
      <c r="E3767" t="str">
        <f t="shared" si="152"/>
        <v>WEEKDAY</v>
      </c>
      <c r="F3767" t="e">
        <f t="shared" si="153"/>
        <v>#N/A</v>
      </c>
      <c r="G3767" s="74">
        <v>33030</v>
      </c>
      <c r="H3767" s="77">
        <v>0.20833333333333334</v>
      </c>
      <c r="J3767">
        <v>60.08</v>
      </c>
      <c r="M3767" s="74">
        <v>37778</v>
      </c>
      <c r="N3767" s="77">
        <v>0.20833333333333334</v>
      </c>
      <c r="P3767">
        <v>53.6</v>
      </c>
      <c r="S3767" s="74">
        <v>34491</v>
      </c>
      <c r="T3767" s="77">
        <v>0.20833333333333334</v>
      </c>
      <c r="V3767">
        <v>64.039999999999992</v>
      </c>
      <c r="X3767" s="42"/>
      <c r="AB3767">
        <v>62</v>
      </c>
      <c r="AC3767">
        <v>62.96</v>
      </c>
      <c r="AE3767" s="74"/>
      <c r="AF3767" s="77"/>
      <c r="AH3767" s="497">
        <v>50.540000000000006</v>
      </c>
      <c r="AJ3767" s="42"/>
      <c r="AK3767" s="74"/>
      <c r="AL3767" s="77"/>
      <c r="AN3767" s="497">
        <v>55.94</v>
      </c>
      <c r="AP3767" s="42"/>
      <c r="AQ3767" s="74"/>
      <c r="AR3767" s="77"/>
      <c r="AT3767" s="497">
        <v>59</v>
      </c>
      <c r="AV3767" s="42"/>
      <c r="AW3767" s="74"/>
      <c r="AX3767" s="77"/>
      <c r="BA3767" s="497">
        <v>53.6</v>
      </c>
      <c r="BB3767" s="42"/>
      <c r="BC3767" s="74"/>
      <c r="BD3767" s="77"/>
      <c r="BF3767">
        <v>44.06</v>
      </c>
      <c r="BH3767" s="42"/>
      <c r="BI3767" s="74"/>
      <c r="BJ3767" s="77"/>
      <c r="BL3767" s="497">
        <v>53.06</v>
      </c>
      <c r="BN3767" s="42"/>
      <c r="BO3767" s="74"/>
      <c r="BP3767" s="77"/>
      <c r="BR3767" s="497">
        <v>62.96</v>
      </c>
      <c r="BT3767" s="42"/>
    </row>
    <row r="3768" spans="1:72" x14ac:dyDescent="0.25">
      <c r="A3768" s="90">
        <v>34491</v>
      </c>
      <c r="B3768" s="20">
        <v>0.25</v>
      </c>
      <c r="D3768">
        <v>57.019999999999996</v>
      </c>
      <c r="E3768" t="str">
        <f t="shared" si="152"/>
        <v>WEEKDAY</v>
      </c>
      <c r="F3768" t="e">
        <f t="shared" si="153"/>
        <v>#N/A</v>
      </c>
      <c r="G3768" s="74">
        <v>33030</v>
      </c>
      <c r="H3768" s="77">
        <v>0.25</v>
      </c>
      <c r="J3768">
        <v>62.06</v>
      </c>
      <c r="M3768" s="74">
        <v>37778</v>
      </c>
      <c r="N3768" s="77">
        <v>0.25</v>
      </c>
      <c r="P3768">
        <v>55.400000000000006</v>
      </c>
      <c r="S3768" s="74">
        <v>34491</v>
      </c>
      <c r="T3768" s="77">
        <v>0.25</v>
      </c>
      <c r="V3768">
        <v>64.94</v>
      </c>
      <c r="X3768" s="42"/>
      <c r="AB3768">
        <v>61.9</v>
      </c>
      <c r="AC3768">
        <v>64.94</v>
      </c>
      <c r="AE3768" s="74"/>
      <c r="AF3768" s="77"/>
      <c r="AH3768" s="497">
        <v>51.8</v>
      </c>
      <c r="AJ3768" s="42"/>
      <c r="AK3768" s="74"/>
      <c r="AL3768" s="77"/>
      <c r="AN3768" s="497">
        <v>57.92</v>
      </c>
      <c r="AP3768" s="42"/>
      <c r="AQ3768" s="74"/>
      <c r="AR3768" s="77"/>
      <c r="AT3768" s="497">
        <v>59</v>
      </c>
      <c r="AV3768" s="42"/>
      <c r="AW3768" s="74"/>
      <c r="AX3768" s="77"/>
      <c r="BA3768" s="497">
        <v>55.400000000000006</v>
      </c>
      <c r="BB3768" s="42"/>
      <c r="BC3768" s="74"/>
      <c r="BD3768" s="77"/>
      <c r="BF3768">
        <v>44.96</v>
      </c>
      <c r="BH3768" s="42"/>
      <c r="BI3768" s="74"/>
      <c r="BJ3768" s="77"/>
      <c r="BL3768" s="497">
        <v>55.94</v>
      </c>
      <c r="BN3768" s="42"/>
      <c r="BO3768" s="74"/>
      <c r="BP3768" s="77"/>
      <c r="BR3768" s="497">
        <v>62.06</v>
      </c>
      <c r="BT3768" s="42"/>
    </row>
    <row r="3769" spans="1:72" x14ac:dyDescent="0.25">
      <c r="A3769" s="90">
        <v>34491</v>
      </c>
      <c r="B3769" s="20">
        <v>0.29166666666666669</v>
      </c>
      <c r="D3769">
        <v>55.94</v>
      </c>
      <c r="E3769" t="str">
        <f t="shared" si="152"/>
        <v>WEEKDAY</v>
      </c>
      <c r="F3769" t="e">
        <f t="shared" si="153"/>
        <v>#N/A</v>
      </c>
      <c r="G3769" s="74">
        <v>33030</v>
      </c>
      <c r="H3769" s="77">
        <v>0.29166666666666669</v>
      </c>
      <c r="J3769">
        <v>62.96</v>
      </c>
      <c r="M3769" s="74">
        <v>37778</v>
      </c>
      <c r="N3769" s="77">
        <v>0.29166666666666669</v>
      </c>
      <c r="P3769">
        <v>59</v>
      </c>
      <c r="S3769" s="74">
        <v>34491</v>
      </c>
      <c r="T3769" s="77">
        <v>0.29166666666666669</v>
      </c>
      <c r="V3769">
        <v>64.94</v>
      </c>
      <c r="X3769" s="42"/>
      <c r="AB3769">
        <v>63.4</v>
      </c>
      <c r="AC3769">
        <v>66.02</v>
      </c>
      <c r="AE3769" s="74"/>
      <c r="AF3769" s="77"/>
      <c r="AH3769" s="497">
        <v>51.8</v>
      </c>
      <c r="AJ3769" s="42"/>
      <c r="AK3769" s="74"/>
      <c r="AL3769" s="77"/>
      <c r="AN3769" s="497">
        <v>60.08</v>
      </c>
      <c r="AP3769" s="42"/>
      <c r="AQ3769" s="74"/>
      <c r="AR3769" s="77"/>
      <c r="AT3769" s="497">
        <v>59</v>
      </c>
      <c r="AV3769" s="42"/>
      <c r="AW3769" s="74"/>
      <c r="AX3769" s="77"/>
      <c r="BA3769" s="497">
        <v>57.019999999999996</v>
      </c>
      <c r="BB3769" s="42"/>
      <c r="BC3769" s="74"/>
      <c r="BD3769" s="77"/>
      <c r="BF3769">
        <v>50</v>
      </c>
      <c r="BH3769" s="42"/>
      <c r="BI3769" s="74"/>
      <c r="BJ3769" s="77"/>
      <c r="BL3769" s="497">
        <v>60.08</v>
      </c>
      <c r="BN3769" s="42"/>
      <c r="BO3769" s="74"/>
      <c r="BP3769" s="77"/>
      <c r="BR3769" s="497">
        <v>64.94</v>
      </c>
      <c r="BT3769" s="42"/>
    </row>
    <row r="3770" spans="1:72" x14ac:dyDescent="0.25">
      <c r="A3770" s="90">
        <v>34491</v>
      </c>
      <c r="B3770" s="20">
        <v>0.33333333333333331</v>
      </c>
      <c r="D3770">
        <v>55.94</v>
      </c>
      <c r="E3770" t="str">
        <f t="shared" si="152"/>
        <v>WEEKDAY</v>
      </c>
      <c r="F3770" t="e">
        <f t="shared" si="153"/>
        <v>#N/A</v>
      </c>
      <c r="G3770" s="74">
        <v>33030</v>
      </c>
      <c r="H3770" s="77">
        <v>0.33333333333333331</v>
      </c>
      <c r="J3770">
        <v>66.92</v>
      </c>
      <c r="M3770" s="74">
        <v>37778</v>
      </c>
      <c r="N3770" s="77">
        <v>0.33333333333333331</v>
      </c>
      <c r="P3770">
        <v>62.6</v>
      </c>
      <c r="S3770" s="74">
        <v>34491</v>
      </c>
      <c r="T3770" s="77">
        <v>0.33333333333333331</v>
      </c>
      <c r="V3770">
        <v>64.94</v>
      </c>
      <c r="X3770" s="42"/>
      <c r="AB3770">
        <v>65.3</v>
      </c>
      <c r="AC3770">
        <v>66.92</v>
      </c>
      <c r="AE3770" s="74"/>
      <c r="AF3770" s="77"/>
      <c r="AH3770" s="497">
        <v>55.400000000000006</v>
      </c>
      <c r="AJ3770" s="42"/>
      <c r="AK3770" s="74"/>
      <c r="AL3770" s="77"/>
      <c r="AN3770" s="497">
        <v>62.06</v>
      </c>
      <c r="AP3770" s="42"/>
      <c r="AQ3770" s="74"/>
      <c r="AR3770" s="77"/>
      <c r="AT3770" s="497">
        <v>59</v>
      </c>
      <c r="AV3770" s="42"/>
      <c r="AW3770" s="74"/>
      <c r="AX3770" s="77"/>
      <c r="BA3770" s="497">
        <v>59.72</v>
      </c>
      <c r="BB3770" s="42"/>
      <c r="BC3770" s="74"/>
      <c r="BD3770" s="77"/>
      <c r="BF3770">
        <v>55.94</v>
      </c>
      <c r="BH3770" s="42"/>
      <c r="BI3770" s="74"/>
      <c r="BJ3770" s="77"/>
      <c r="BL3770" s="497">
        <v>62.96</v>
      </c>
      <c r="BN3770" s="42"/>
      <c r="BO3770" s="74"/>
      <c r="BP3770" s="77"/>
      <c r="BR3770" s="497">
        <v>69.98</v>
      </c>
      <c r="BT3770" s="42"/>
    </row>
    <row r="3771" spans="1:72" x14ac:dyDescent="0.25">
      <c r="A3771" s="90">
        <v>34491</v>
      </c>
      <c r="B3771" s="20">
        <v>0.375</v>
      </c>
      <c r="D3771">
        <v>55.94</v>
      </c>
      <c r="E3771" t="str">
        <f t="shared" si="152"/>
        <v>WEEKDAY</v>
      </c>
      <c r="F3771" t="e">
        <f t="shared" si="153"/>
        <v>#N/A</v>
      </c>
      <c r="G3771" s="74">
        <v>33030</v>
      </c>
      <c r="H3771" s="77">
        <v>0.375</v>
      </c>
      <c r="J3771">
        <v>69.080000000000013</v>
      </c>
      <c r="M3771" s="74">
        <v>37778</v>
      </c>
      <c r="N3771" s="77">
        <v>0.375</v>
      </c>
      <c r="P3771">
        <v>64.400000000000006</v>
      </c>
      <c r="S3771" s="74">
        <v>34491</v>
      </c>
      <c r="T3771" s="77">
        <v>0.375</v>
      </c>
      <c r="V3771">
        <v>62.96</v>
      </c>
      <c r="X3771" s="42"/>
      <c r="AB3771">
        <v>67.3</v>
      </c>
      <c r="AC3771">
        <v>66.02</v>
      </c>
      <c r="AE3771" s="74"/>
      <c r="AF3771" s="77"/>
      <c r="AH3771" s="497">
        <v>53.6</v>
      </c>
      <c r="AJ3771" s="42"/>
      <c r="AK3771" s="74"/>
      <c r="AL3771" s="77"/>
      <c r="AN3771" s="497">
        <v>62.96</v>
      </c>
      <c r="AP3771" s="42"/>
      <c r="AQ3771" s="74"/>
      <c r="AR3771" s="77"/>
      <c r="AT3771" s="497">
        <v>59</v>
      </c>
      <c r="AV3771" s="42"/>
      <c r="AW3771" s="74"/>
      <c r="AX3771" s="77"/>
      <c r="BA3771" s="497">
        <v>62.24</v>
      </c>
      <c r="BB3771" s="42"/>
      <c r="BC3771" s="74"/>
      <c r="BD3771" s="77"/>
      <c r="BF3771">
        <v>60.08</v>
      </c>
      <c r="BH3771" s="42"/>
      <c r="BI3771" s="74"/>
      <c r="BJ3771" s="77"/>
      <c r="BL3771" s="497">
        <v>66.02</v>
      </c>
      <c r="BN3771" s="42"/>
      <c r="BO3771" s="74"/>
      <c r="BP3771" s="77"/>
      <c r="BR3771" s="497">
        <v>69.080000000000013</v>
      </c>
      <c r="BT3771" s="42"/>
    </row>
    <row r="3772" spans="1:72" x14ac:dyDescent="0.25">
      <c r="A3772" s="90">
        <v>34491</v>
      </c>
      <c r="B3772" s="20">
        <v>0.41666666666666669</v>
      </c>
      <c r="D3772">
        <v>57.019999999999996</v>
      </c>
      <c r="E3772" t="str">
        <f t="shared" si="152"/>
        <v>WEEKDAY</v>
      </c>
      <c r="F3772" t="e">
        <f t="shared" si="153"/>
        <v>#N/A</v>
      </c>
      <c r="G3772" s="74">
        <v>33030</v>
      </c>
      <c r="H3772" s="77">
        <v>0.41666666666666669</v>
      </c>
      <c r="J3772">
        <v>69.98</v>
      </c>
      <c r="M3772" s="74">
        <v>37778</v>
      </c>
      <c r="N3772" s="77">
        <v>0.41666666666666669</v>
      </c>
      <c r="P3772">
        <v>66.2</v>
      </c>
      <c r="S3772" s="74">
        <v>34491</v>
      </c>
      <c r="T3772" s="77">
        <v>0.41666666666666669</v>
      </c>
      <c r="V3772">
        <v>64.039999999999992</v>
      </c>
      <c r="X3772" s="42"/>
      <c r="AB3772">
        <v>69.099999999999994</v>
      </c>
      <c r="AC3772">
        <v>66.02</v>
      </c>
      <c r="AE3772" s="74"/>
      <c r="AF3772" s="77"/>
      <c r="AH3772" s="497">
        <v>53.6</v>
      </c>
      <c r="AJ3772" s="42"/>
      <c r="AK3772" s="74"/>
      <c r="AL3772" s="77"/>
      <c r="AN3772" s="497">
        <v>66.92</v>
      </c>
      <c r="AP3772" s="42"/>
      <c r="AQ3772" s="74"/>
      <c r="AR3772" s="77"/>
      <c r="AT3772" s="497">
        <v>60.980000000000004</v>
      </c>
      <c r="AV3772" s="42"/>
      <c r="AW3772" s="74"/>
      <c r="AX3772" s="77"/>
      <c r="BA3772" s="497">
        <v>64.94</v>
      </c>
      <c r="BB3772" s="42"/>
      <c r="BC3772" s="74"/>
      <c r="BD3772" s="77"/>
      <c r="BF3772">
        <v>62.96</v>
      </c>
      <c r="BH3772" s="42"/>
      <c r="BI3772" s="74"/>
      <c r="BJ3772" s="77"/>
      <c r="BL3772" s="497">
        <v>68</v>
      </c>
      <c r="BN3772" s="42"/>
      <c r="BO3772" s="74"/>
      <c r="BP3772" s="77"/>
      <c r="BR3772" s="497">
        <v>69.98</v>
      </c>
      <c r="BT3772" s="42"/>
    </row>
    <row r="3773" spans="1:72" x14ac:dyDescent="0.25">
      <c r="A3773" s="90">
        <v>34491</v>
      </c>
      <c r="B3773" s="20">
        <v>0.45833333333333331</v>
      </c>
      <c r="D3773">
        <v>57.019999999999996</v>
      </c>
      <c r="E3773" t="str">
        <f t="shared" si="152"/>
        <v>WEEKDAY</v>
      </c>
      <c r="F3773" t="e">
        <f t="shared" si="153"/>
        <v>#N/A</v>
      </c>
      <c r="G3773" s="74">
        <v>33030</v>
      </c>
      <c r="H3773" s="77">
        <v>0.45833333333333331</v>
      </c>
      <c r="J3773">
        <v>73.039999999999992</v>
      </c>
      <c r="M3773" s="74">
        <v>37778</v>
      </c>
      <c r="N3773" s="77">
        <v>0.45833333333333331</v>
      </c>
      <c r="P3773">
        <v>69.800000000000011</v>
      </c>
      <c r="S3773" s="74">
        <v>34491</v>
      </c>
      <c r="T3773" s="77">
        <v>0.45833333333333331</v>
      </c>
      <c r="V3773">
        <v>64.94</v>
      </c>
      <c r="X3773" s="42"/>
      <c r="AB3773">
        <v>70.599999999999994</v>
      </c>
      <c r="AC3773">
        <v>66.02</v>
      </c>
      <c r="AE3773" s="74"/>
      <c r="AF3773" s="77"/>
      <c r="AH3773" s="497">
        <v>50</v>
      </c>
      <c r="AJ3773" s="42"/>
      <c r="AK3773" s="74"/>
      <c r="AL3773" s="77"/>
      <c r="AN3773" s="497">
        <v>69.98</v>
      </c>
      <c r="AP3773" s="42"/>
      <c r="AQ3773" s="74"/>
      <c r="AR3773" s="77"/>
      <c r="AT3773" s="497">
        <v>60.980000000000004</v>
      </c>
      <c r="AV3773" s="42"/>
      <c r="AW3773" s="74"/>
      <c r="AX3773" s="77"/>
      <c r="BA3773" s="497">
        <v>66.56</v>
      </c>
      <c r="BB3773" s="42"/>
      <c r="BC3773" s="74"/>
      <c r="BD3773" s="77"/>
      <c r="BF3773">
        <v>66.92</v>
      </c>
      <c r="BH3773" s="42"/>
      <c r="BI3773" s="74"/>
      <c r="BJ3773" s="77"/>
      <c r="BL3773" s="497">
        <v>69.98</v>
      </c>
      <c r="BN3773" s="42"/>
      <c r="BO3773" s="74"/>
      <c r="BP3773" s="77"/>
      <c r="BR3773" s="497">
        <v>71.960000000000008</v>
      </c>
      <c r="BT3773" s="42"/>
    </row>
    <row r="3774" spans="1:72" x14ac:dyDescent="0.25">
      <c r="A3774" s="90">
        <v>34491</v>
      </c>
      <c r="B3774" s="20">
        <v>0.5</v>
      </c>
      <c r="D3774">
        <v>57.92</v>
      </c>
      <c r="E3774" t="str">
        <f t="shared" si="152"/>
        <v>WEEKDAY</v>
      </c>
      <c r="F3774" t="e">
        <f t="shared" si="153"/>
        <v>#N/A</v>
      </c>
      <c r="G3774" s="74">
        <v>33030</v>
      </c>
      <c r="H3774" s="77">
        <v>0.5</v>
      </c>
      <c r="J3774">
        <v>71.06</v>
      </c>
      <c r="M3774" s="74">
        <v>37778</v>
      </c>
      <c r="N3774" s="77">
        <v>0.5</v>
      </c>
      <c r="P3774">
        <v>69.800000000000011</v>
      </c>
      <c r="S3774" s="74">
        <v>34491</v>
      </c>
      <c r="T3774" s="77">
        <v>0.5</v>
      </c>
      <c r="V3774">
        <v>66.92</v>
      </c>
      <c r="X3774" s="42"/>
      <c r="AB3774">
        <v>71.900000000000006</v>
      </c>
      <c r="AC3774">
        <v>69.98</v>
      </c>
      <c r="AE3774" s="74"/>
      <c r="AF3774" s="77"/>
      <c r="AH3774" s="497">
        <v>51.8</v>
      </c>
      <c r="AJ3774" s="42"/>
      <c r="AK3774" s="74"/>
      <c r="AL3774" s="77"/>
      <c r="AN3774" s="497">
        <v>66.02</v>
      </c>
      <c r="AP3774" s="42"/>
      <c r="AQ3774" s="74"/>
      <c r="AR3774" s="77"/>
      <c r="AT3774" s="497">
        <v>60.980000000000004</v>
      </c>
      <c r="AV3774" s="42"/>
      <c r="AW3774" s="74"/>
      <c r="AX3774" s="77"/>
      <c r="BA3774" s="497">
        <v>68.36</v>
      </c>
      <c r="BB3774" s="42"/>
      <c r="BC3774" s="74"/>
      <c r="BD3774" s="77"/>
      <c r="BF3774">
        <v>69.98</v>
      </c>
      <c r="BH3774" s="42"/>
      <c r="BI3774" s="74"/>
      <c r="BJ3774" s="77"/>
      <c r="BL3774" s="497">
        <v>71.06</v>
      </c>
      <c r="BN3774" s="42"/>
      <c r="BO3774" s="74"/>
      <c r="BP3774" s="77"/>
      <c r="BR3774" s="497">
        <v>73.039999999999992</v>
      </c>
      <c r="BT3774" s="42"/>
    </row>
    <row r="3775" spans="1:72" x14ac:dyDescent="0.25">
      <c r="A3775" s="90">
        <v>34491</v>
      </c>
      <c r="B3775" s="20">
        <v>0.54166666666666663</v>
      </c>
      <c r="D3775">
        <v>60.08</v>
      </c>
      <c r="E3775" t="str">
        <f t="shared" si="152"/>
        <v>WEEKDAY</v>
      </c>
      <c r="F3775" t="e">
        <f t="shared" si="153"/>
        <v>#N/A</v>
      </c>
      <c r="G3775" s="74">
        <v>33030</v>
      </c>
      <c r="H3775" s="77">
        <v>0.54166666666666663</v>
      </c>
      <c r="J3775">
        <v>71.960000000000008</v>
      </c>
      <c r="M3775" s="74">
        <v>37778</v>
      </c>
      <c r="N3775" s="77">
        <v>0.54166666666666663</v>
      </c>
      <c r="P3775">
        <v>69.800000000000011</v>
      </c>
      <c r="S3775" s="74">
        <v>34491</v>
      </c>
      <c r="T3775" s="77">
        <v>0.54166666666666663</v>
      </c>
      <c r="V3775">
        <v>66.02</v>
      </c>
      <c r="X3775" s="42"/>
      <c r="AB3775">
        <v>72.7</v>
      </c>
      <c r="AC3775">
        <v>68</v>
      </c>
      <c r="AE3775" s="74"/>
      <c r="AF3775" s="77"/>
      <c r="AH3775" s="497">
        <v>51.8</v>
      </c>
      <c r="AJ3775" s="42"/>
      <c r="AK3775" s="74"/>
      <c r="AL3775" s="77"/>
      <c r="AN3775" s="497">
        <v>66.02</v>
      </c>
      <c r="AP3775" s="42"/>
      <c r="AQ3775" s="74"/>
      <c r="AR3775" s="77"/>
      <c r="AT3775" s="497">
        <v>62.06</v>
      </c>
      <c r="AV3775" s="42"/>
      <c r="AW3775" s="74"/>
      <c r="AX3775" s="77"/>
      <c r="BA3775" s="497">
        <v>69.98</v>
      </c>
      <c r="BB3775" s="42"/>
      <c r="BC3775" s="74"/>
      <c r="BD3775" s="77"/>
      <c r="BF3775">
        <v>69.98</v>
      </c>
      <c r="BH3775" s="42"/>
      <c r="BI3775" s="74"/>
      <c r="BJ3775" s="77"/>
      <c r="BL3775" s="497">
        <v>69.98</v>
      </c>
      <c r="BN3775" s="42"/>
      <c r="BO3775" s="74"/>
      <c r="BP3775" s="77"/>
      <c r="BR3775" s="497">
        <v>71.06</v>
      </c>
      <c r="BT3775" s="42"/>
    </row>
    <row r="3776" spans="1:72" x14ac:dyDescent="0.25">
      <c r="A3776" s="90">
        <v>34491</v>
      </c>
      <c r="B3776" s="20">
        <v>0.58333333333333337</v>
      </c>
      <c r="D3776">
        <v>59</v>
      </c>
      <c r="E3776" t="str">
        <f t="shared" si="152"/>
        <v>WEEKDAY</v>
      </c>
      <c r="F3776" t="e">
        <f t="shared" si="153"/>
        <v>#N/A</v>
      </c>
      <c r="G3776" s="74">
        <v>33030</v>
      </c>
      <c r="H3776" s="77">
        <v>0.58333333333333337</v>
      </c>
      <c r="J3776">
        <v>71.960000000000008</v>
      </c>
      <c r="M3776" s="74">
        <v>37778</v>
      </c>
      <c r="N3776" s="77">
        <v>0.58333333333333337</v>
      </c>
      <c r="P3776">
        <v>71.599999999999994</v>
      </c>
      <c r="S3776" s="74">
        <v>34491</v>
      </c>
      <c r="T3776" s="77">
        <v>0.58333333333333337</v>
      </c>
      <c r="V3776">
        <v>66.92</v>
      </c>
      <c r="X3776" s="42"/>
      <c r="AB3776">
        <v>73.2</v>
      </c>
      <c r="AC3776">
        <v>69.080000000000013</v>
      </c>
      <c r="AE3776" s="74"/>
      <c r="AF3776" s="77"/>
      <c r="AH3776" s="497">
        <v>55.400000000000006</v>
      </c>
      <c r="AJ3776" s="42"/>
      <c r="AK3776" s="74"/>
      <c r="AL3776" s="77"/>
      <c r="AN3776" s="497">
        <v>71.06</v>
      </c>
      <c r="AP3776" s="42"/>
      <c r="AQ3776" s="74"/>
      <c r="AR3776" s="77"/>
      <c r="AT3776" s="497">
        <v>62.06</v>
      </c>
      <c r="AV3776" s="42"/>
      <c r="AW3776" s="74"/>
      <c r="AX3776" s="77"/>
      <c r="BA3776" s="497">
        <v>71.240000000000009</v>
      </c>
      <c r="BB3776" s="42"/>
      <c r="BC3776" s="74"/>
      <c r="BD3776" s="77"/>
      <c r="BF3776">
        <v>71.960000000000008</v>
      </c>
      <c r="BH3776" s="42"/>
      <c r="BI3776" s="74"/>
      <c r="BJ3776" s="77"/>
      <c r="BL3776" s="497">
        <v>73.039999999999992</v>
      </c>
      <c r="BN3776" s="42"/>
      <c r="BO3776" s="74"/>
      <c r="BP3776" s="77"/>
      <c r="BR3776" s="497">
        <v>75.02</v>
      </c>
      <c r="BT3776" s="42"/>
    </row>
    <row r="3777" spans="1:72" x14ac:dyDescent="0.25">
      <c r="A3777" s="90">
        <v>34491</v>
      </c>
      <c r="B3777" s="20">
        <v>0.625</v>
      </c>
      <c r="D3777">
        <v>60.08</v>
      </c>
      <c r="E3777" t="str">
        <f t="shared" si="152"/>
        <v>WEEKDAY</v>
      </c>
      <c r="F3777" t="e">
        <f t="shared" si="153"/>
        <v>#N/A</v>
      </c>
      <c r="G3777" s="74">
        <v>33030</v>
      </c>
      <c r="H3777" s="77">
        <v>0.625</v>
      </c>
      <c r="J3777">
        <v>73.039999999999992</v>
      </c>
      <c r="M3777" s="74">
        <v>37778</v>
      </c>
      <c r="N3777" s="77">
        <v>0.625</v>
      </c>
      <c r="P3777">
        <v>73.400000000000006</v>
      </c>
      <c r="S3777" s="74">
        <v>34491</v>
      </c>
      <c r="T3777" s="77">
        <v>0.625</v>
      </c>
      <c r="V3777">
        <v>66.02</v>
      </c>
      <c r="X3777" s="42"/>
      <c r="AB3777">
        <v>72.900000000000006</v>
      </c>
      <c r="AC3777">
        <v>68</v>
      </c>
      <c r="AE3777" s="74"/>
      <c r="AF3777" s="77"/>
      <c r="AH3777" s="497">
        <v>55.400000000000006</v>
      </c>
      <c r="AJ3777" s="42"/>
      <c r="AK3777" s="74"/>
      <c r="AL3777" s="77"/>
      <c r="AN3777" s="497">
        <v>73.039999999999992</v>
      </c>
      <c r="AP3777" s="42"/>
      <c r="AQ3777" s="74"/>
      <c r="AR3777" s="77"/>
      <c r="AT3777" s="497">
        <v>62.06</v>
      </c>
      <c r="AV3777" s="42"/>
      <c r="AW3777" s="74"/>
      <c r="AX3777" s="77"/>
      <c r="BA3777" s="497">
        <v>72.680000000000007</v>
      </c>
      <c r="BB3777" s="42"/>
      <c r="BC3777" s="74"/>
      <c r="BD3777" s="77"/>
      <c r="BF3777">
        <v>71.960000000000008</v>
      </c>
      <c r="BH3777" s="42"/>
      <c r="BI3777" s="74"/>
      <c r="BJ3777" s="77"/>
      <c r="BL3777" s="497">
        <v>73.039999999999992</v>
      </c>
      <c r="BN3777" s="42"/>
      <c r="BO3777" s="74"/>
      <c r="BP3777" s="77"/>
      <c r="BR3777" s="497">
        <v>75.02</v>
      </c>
      <c r="BT3777" s="42"/>
    </row>
    <row r="3778" spans="1:72" x14ac:dyDescent="0.25">
      <c r="A3778" s="90">
        <v>34491</v>
      </c>
      <c r="B3778" s="20">
        <v>0.66666666666666663</v>
      </c>
      <c r="D3778">
        <v>60.08</v>
      </c>
      <c r="E3778" t="str">
        <f t="shared" si="152"/>
        <v>WEEKDAY</v>
      </c>
      <c r="F3778" t="e">
        <f t="shared" si="153"/>
        <v>#N/A</v>
      </c>
      <c r="G3778" s="74">
        <v>33030</v>
      </c>
      <c r="H3778" s="77">
        <v>0.66666666666666663</v>
      </c>
      <c r="J3778">
        <v>69.98</v>
      </c>
      <c r="M3778" s="74">
        <v>37778</v>
      </c>
      <c r="N3778" s="77">
        <v>0.66666666666666663</v>
      </c>
      <c r="P3778">
        <v>73.400000000000006</v>
      </c>
      <c r="S3778" s="74">
        <v>34491</v>
      </c>
      <c r="T3778" s="77">
        <v>0.66666666666666663</v>
      </c>
      <c r="V3778">
        <v>66.92</v>
      </c>
      <c r="X3778" s="42"/>
      <c r="AB3778">
        <v>72.400000000000006</v>
      </c>
      <c r="AC3778">
        <v>69.080000000000013</v>
      </c>
      <c r="AE3778" s="74"/>
      <c r="AF3778" s="77"/>
      <c r="AH3778" s="497">
        <v>55.400000000000006</v>
      </c>
      <c r="AJ3778" s="42"/>
      <c r="AK3778" s="74"/>
      <c r="AL3778" s="77"/>
      <c r="AN3778" s="497">
        <v>71.960000000000008</v>
      </c>
      <c r="AP3778" s="42"/>
      <c r="AQ3778" s="74"/>
      <c r="AR3778" s="77"/>
      <c r="AT3778" s="497">
        <v>62.96</v>
      </c>
      <c r="AV3778" s="42"/>
      <c r="AW3778" s="74"/>
      <c r="AX3778" s="77"/>
      <c r="BA3778" s="497">
        <v>73.94</v>
      </c>
      <c r="BB3778" s="42"/>
      <c r="BC3778" s="74"/>
      <c r="BD3778" s="77"/>
      <c r="BF3778">
        <v>73.94</v>
      </c>
      <c r="BH3778" s="42"/>
      <c r="BI3778" s="74"/>
      <c r="BJ3778" s="77"/>
      <c r="BL3778" s="497">
        <v>73.94</v>
      </c>
      <c r="BN3778" s="42"/>
      <c r="BO3778" s="74"/>
      <c r="BP3778" s="77"/>
      <c r="BR3778" s="497">
        <v>73.94</v>
      </c>
      <c r="BT3778" s="42"/>
    </row>
    <row r="3779" spans="1:72" x14ac:dyDescent="0.25">
      <c r="A3779" s="90">
        <v>34491</v>
      </c>
      <c r="B3779" s="20">
        <v>0.70833333333333337</v>
      </c>
      <c r="D3779">
        <v>57.92</v>
      </c>
      <c r="E3779" t="str">
        <f t="shared" si="152"/>
        <v>WEEKDAY</v>
      </c>
      <c r="F3779" t="e">
        <f t="shared" si="153"/>
        <v>#N/A</v>
      </c>
      <c r="G3779" s="74">
        <v>33030</v>
      </c>
      <c r="H3779" s="77">
        <v>0.70833333333333337</v>
      </c>
      <c r="J3779">
        <v>71.960000000000008</v>
      </c>
      <c r="M3779" s="74">
        <v>37778</v>
      </c>
      <c r="N3779" s="77">
        <v>0.70833333333333337</v>
      </c>
      <c r="P3779">
        <v>73.400000000000006</v>
      </c>
      <c r="S3779" s="74">
        <v>34491</v>
      </c>
      <c r="T3779" s="77">
        <v>0.70833333333333337</v>
      </c>
      <c r="V3779">
        <v>66.02</v>
      </c>
      <c r="X3779" s="42"/>
      <c r="AB3779">
        <v>71.599999999999994</v>
      </c>
      <c r="AC3779">
        <v>68</v>
      </c>
      <c r="AE3779" s="74"/>
      <c r="AF3779" s="77"/>
      <c r="AH3779" s="497">
        <v>55.400000000000006</v>
      </c>
      <c r="AJ3779" s="42"/>
      <c r="AK3779" s="74"/>
      <c r="AL3779" s="77"/>
      <c r="AN3779" s="497">
        <v>75.02</v>
      </c>
      <c r="AP3779" s="42"/>
      <c r="AQ3779" s="74"/>
      <c r="AR3779" s="77"/>
      <c r="AT3779" s="497">
        <v>62.96</v>
      </c>
      <c r="AV3779" s="42"/>
      <c r="AW3779" s="74"/>
      <c r="AX3779" s="77"/>
      <c r="BA3779" s="497">
        <v>72.319999999999993</v>
      </c>
      <c r="BB3779" s="42"/>
      <c r="BC3779" s="74"/>
      <c r="BD3779" s="77"/>
      <c r="BF3779">
        <v>73.94</v>
      </c>
      <c r="BH3779" s="42"/>
      <c r="BI3779" s="74"/>
      <c r="BJ3779" s="77"/>
      <c r="BL3779" s="497">
        <v>71.960000000000008</v>
      </c>
      <c r="BN3779" s="42"/>
      <c r="BO3779" s="74"/>
      <c r="BP3779" s="77"/>
      <c r="BR3779" s="497">
        <v>75.02</v>
      </c>
      <c r="BT3779" s="42"/>
    </row>
    <row r="3780" spans="1:72" x14ac:dyDescent="0.25">
      <c r="A3780" s="90">
        <v>34491</v>
      </c>
      <c r="B3780" s="20">
        <v>0.75</v>
      </c>
      <c r="D3780">
        <v>59</v>
      </c>
      <c r="E3780" t="str">
        <f t="shared" si="152"/>
        <v>WEEKDAY</v>
      </c>
      <c r="F3780" t="e">
        <f t="shared" si="153"/>
        <v>#N/A</v>
      </c>
      <c r="G3780" s="74">
        <v>33030</v>
      </c>
      <c r="H3780" s="77">
        <v>0.75</v>
      </c>
      <c r="J3780">
        <v>69.98</v>
      </c>
      <c r="M3780" s="74">
        <v>37778</v>
      </c>
      <c r="N3780" s="77">
        <v>0.75</v>
      </c>
      <c r="P3780">
        <v>71.599999999999994</v>
      </c>
      <c r="S3780" s="74">
        <v>34491</v>
      </c>
      <c r="T3780" s="77">
        <v>0.75</v>
      </c>
      <c r="V3780">
        <v>64.94</v>
      </c>
      <c r="X3780" s="42"/>
      <c r="AB3780">
        <v>70.3</v>
      </c>
      <c r="AC3780">
        <v>66.92</v>
      </c>
      <c r="AE3780" s="74"/>
      <c r="AF3780" s="77"/>
      <c r="AH3780" s="497">
        <v>55.400000000000006</v>
      </c>
      <c r="AJ3780" s="42"/>
      <c r="AK3780" s="74"/>
      <c r="AL3780" s="77"/>
      <c r="AN3780" s="497">
        <v>71.960000000000008</v>
      </c>
      <c r="AP3780" s="42"/>
      <c r="AQ3780" s="74"/>
      <c r="AR3780" s="77"/>
      <c r="AT3780" s="497">
        <v>62.96</v>
      </c>
      <c r="AV3780" s="42"/>
      <c r="AW3780" s="74"/>
      <c r="AX3780" s="77"/>
      <c r="BA3780" s="497">
        <v>70.7</v>
      </c>
      <c r="BB3780" s="42"/>
      <c r="BC3780" s="74"/>
      <c r="BD3780" s="77"/>
      <c r="BF3780">
        <v>73.039999999999992</v>
      </c>
      <c r="BH3780" s="42"/>
      <c r="BI3780" s="74"/>
      <c r="BJ3780" s="77"/>
      <c r="BL3780" s="497">
        <v>69.080000000000013</v>
      </c>
      <c r="BN3780" s="42"/>
      <c r="BO3780" s="74"/>
      <c r="BP3780" s="77"/>
      <c r="BR3780" s="497">
        <v>75.92</v>
      </c>
      <c r="BT3780" s="42"/>
    </row>
    <row r="3781" spans="1:72" x14ac:dyDescent="0.25">
      <c r="A3781" s="90">
        <v>34491</v>
      </c>
      <c r="B3781" s="20">
        <v>0.79166666666666663</v>
      </c>
      <c r="D3781">
        <v>59</v>
      </c>
      <c r="E3781" t="str">
        <f t="shared" si="152"/>
        <v>WEEKDAY</v>
      </c>
      <c r="F3781" t="e">
        <f t="shared" si="153"/>
        <v>#N/A</v>
      </c>
      <c r="G3781" s="74">
        <v>33030</v>
      </c>
      <c r="H3781" s="77">
        <v>0.79166666666666663</v>
      </c>
      <c r="J3781">
        <v>69.080000000000013</v>
      </c>
      <c r="M3781" s="74">
        <v>37778</v>
      </c>
      <c r="N3781" s="77">
        <v>0.79166666666666663</v>
      </c>
      <c r="P3781">
        <v>66.2</v>
      </c>
      <c r="S3781" s="74">
        <v>34491</v>
      </c>
      <c r="T3781" s="77">
        <v>0.79166666666666663</v>
      </c>
      <c r="V3781">
        <v>64.039999999999992</v>
      </c>
      <c r="X3781" s="42"/>
      <c r="AB3781">
        <v>69.099999999999994</v>
      </c>
      <c r="AC3781">
        <v>66.02</v>
      </c>
      <c r="AE3781" s="74"/>
      <c r="AF3781" s="77"/>
      <c r="AH3781" s="497">
        <v>53.6</v>
      </c>
      <c r="AJ3781" s="42"/>
      <c r="AK3781" s="74"/>
      <c r="AL3781" s="77"/>
      <c r="AN3781" s="497">
        <v>71.06</v>
      </c>
      <c r="AP3781" s="42"/>
      <c r="AQ3781" s="74"/>
      <c r="AR3781" s="77"/>
      <c r="AT3781" s="497">
        <v>62.06</v>
      </c>
      <c r="AV3781" s="42"/>
      <c r="AW3781" s="74"/>
      <c r="AX3781" s="77"/>
      <c r="BA3781" s="497">
        <v>69.080000000000013</v>
      </c>
      <c r="BB3781" s="42"/>
      <c r="BC3781" s="74"/>
      <c r="BD3781" s="77"/>
      <c r="BF3781">
        <v>71.06</v>
      </c>
      <c r="BH3781" s="42"/>
      <c r="BI3781" s="74"/>
      <c r="BJ3781" s="77"/>
      <c r="BL3781" s="497">
        <v>66.92</v>
      </c>
      <c r="BN3781" s="42"/>
      <c r="BO3781" s="74"/>
      <c r="BP3781" s="77"/>
      <c r="BR3781" s="497">
        <v>73.039999999999992</v>
      </c>
      <c r="BT3781" s="42"/>
    </row>
    <row r="3782" spans="1:72" x14ac:dyDescent="0.25">
      <c r="A3782" s="90">
        <v>34491</v>
      </c>
      <c r="B3782" s="20">
        <v>0.83333333333333337</v>
      </c>
      <c r="D3782">
        <v>59</v>
      </c>
      <c r="E3782" t="str">
        <f t="shared" si="152"/>
        <v>WEEKDAY</v>
      </c>
      <c r="F3782" t="e">
        <f t="shared" si="153"/>
        <v>#N/A</v>
      </c>
      <c r="G3782" s="74">
        <v>33030</v>
      </c>
      <c r="H3782" s="77">
        <v>0.83333333333333337</v>
      </c>
      <c r="J3782">
        <v>66.92</v>
      </c>
      <c r="M3782" s="74">
        <v>37778</v>
      </c>
      <c r="N3782" s="77">
        <v>0.83333333333333337</v>
      </c>
      <c r="P3782">
        <v>62.6</v>
      </c>
      <c r="S3782" s="74">
        <v>34491</v>
      </c>
      <c r="T3782" s="77">
        <v>0.83333333333333337</v>
      </c>
      <c r="V3782">
        <v>64.039999999999992</v>
      </c>
      <c r="X3782" s="42"/>
      <c r="AB3782">
        <v>67.7</v>
      </c>
      <c r="AC3782">
        <v>66.02</v>
      </c>
      <c r="AE3782" s="74"/>
      <c r="AF3782" s="77"/>
      <c r="AH3782" s="497">
        <v>53.06</v>
      </c>
      <c r="AJ3782" s="42"/>
      <c r="AK3782" s="74"/>
      <c r="AL3782" s="77"/>
      <c r="AN3782" s="497">
        <v>69.080000000000013</v>
      </c>
      <c r="AP3782" s="42"/>
      <c r="AQ3782" s="74"/>
      <c r="AR3782" s="77"/>
      <c r="AT3782" s="497">
        <v>60.980000000000004</v>
      </c>
      <c r="AV3782" s="42"/>
      <c r="AW3782" s="74"/>
      <c r="AX3782" s="77"/>
      <c r="BA3782" s="497">
        <v>66.38</v>
      </c>
      <c r="BB3782" s="42"/>
      <c r="BC3782" s="74"/>
      <c r="BD3782" s="77"/>
      <c r="BF3782">
        <v>68</v>
      </c>
      <c r="BH3782" s="42"/>
      <c r="BI3782" s="74"/>
      <c r="BJ3782" s="77"/>
      <c r="BL3782" s="497">
        <v>64.039999999999992</v>
      </c>
      <c r="BN3782" s="42"/>
      <c r="BO3782" s="74"/>
      <c r="BP3782" s="77"/>
      <c r="BR3782" s="497">
        <v>66.02</v>
      </c>
      <c r="BT3782" s="42"/>
    </row>
    <row r="3783" spans="1:72" x14ac:dyDescent="0.25">
      <c r="A3783" s="90">
        <v>34491</v>
      </c>
      <c r="B3783" s="20">
        <v>0.875</v>
      </c>
      <c r="D3783">
        <v>59</v>
      </c>
      <c r="E3783" t="str">
        <f t="shared" si="152"/>
        <v>WEEKDAY</v>
      </c>
      <c r="F3783" t="e">
        <f t="shared" si="153"/>
        <v>#N/A</v>
      </c>
      <c r="G3783" s="74">
        <v>33030</v>
      </c>
      <c r="H3783" s="77">
        <v>0.875</v>
      </c>
      <c r="J3783">
        <v>66.92</v>
      </c>
      <c r="M3783" s="74">
        <v>37778</v>
      </c>
      <c r="N3783" s="77">
        <v>0.875</v>
      </c>
      <c r="P3783">
        <v>60.8</v>
      </c>
      <c r="S3783" s="74">
        <v>34491</v>
      </c>
      <c r="T3783" s="77">
        <v>0.875</v>
      </c>
      <c r="V3783">
        <v>62.96</v>
      </c>
      <c r="X3783" s="42"/>
      <c r="AB3783">
        <v>66.5</v>
      </c>
      <c r="AC3783">
        <v>66.02</v>
      </c>
      <c r="AE3783" s="74"/>
      <c r="AF3783" s="77"/>
      <c r="AH3783" s="497">
        <v>53.6</v>
      </c>
      <c r="AJ3783" s="42"/>
      <c r="AK3783" s="74"/>
      <c r="AL3783" s="77"/>
      <c r="AN3783" s="497">
        <v>68</v>
      </c>
      <c r="AP3783" s="42"/>
      <c r="AQ3783" s="74"/>
      <c r="AR3783" s="77"/>
      <c r="AT3783" s="497">
        <v>60.980000000000004</v>
      </c>
      <c r="AV3783" s="42"/>
      <c r="AW3783" s="74"/>
      <c r="AX3783" s="77"/>
      <c r="BA3783" s="497">
        <v>63.680000000000007</v>
      </c>
      <c r="BB3783" s="42"/>
      <c r="BC3783" s="74"/>
      <c r="BD3783" s="77"/>
      <c r="BF3783">
        <v>64.94</v>
      </c>
      <c r="BH3783" s="42"/>
      <c r="BI3783" s="74"/>
      <c r="BJ3783" s="77"/>
      <c r="BL3783" s="497">
        <v>62.96</v>
      </c>
      <c r="BN3783" s="42"/>
      <c r="BO3783" s="74"/>
      <c r="BP3783" s="77"/>
      <c r="BR3783" s="497">
        <v>64.039999999999992</v>
      </c>
      <c r="BT3783" s="42"/>
    </row>
    <row r="3784" spans="1:72" x14ac:dyDescent="0.25">
      <c r="A3784" s="90">
        <v>34491</v>
      </c>
      <c r="B3784" s="20">
        <v>0.91666666666666663</v>
      </c>
      <c r="D3784">
        <v>59</v>
      </c>
      <c r="E3784" t="str">
        <f t="shared" si="152"/>
        <v>WEEKDAY</v>
      </c>
      <c r="F3784" t="e">
        <f t="shared" si="153"/>
        <v>#N/A</v>
      </c>
      <c r="G3784" s="74">
        <v>33030</v>
      </c>
      <c r="H3784" s="77">
        <v>0.91666666666666663</v>
      </c>
      <c r="J3784">
        <v>66.92</v>
      </c>
      <c r="M3784" s="74">
        <v>37778</v>
      </c>
      <c r="N3784" s="77">
        <v>0.91666666666666663</v>
      </c>
      <c r="P3784">
        <v>57.2</v>
      </c>
      <c r="S3784" s="74">
        <v>34491</v>
      </c>
      <c r="T3784" s="77">
        <v>0.91666666666666663</v>
      </c>
      <c r="V3784">
        <v>62.96</v>
      </c>
      <c r="X3784" s="42"/>
      <c r="AB3784">
        <v>65.8</v>
      </c>
      <c r="AC3784">
        <v>66.02</v>
      </c>
      <c r="AE3784" s="74"/>
      <c r="AF3784" s="77"/>
      <c r="AH3784" s="497">
        <v>53.6</v>
      </c>
      <c r="AJ3784" s="42"/>
      <c r="AK3784" s="74"/>
      <c r="AL3784" s="77"/>
      <c r="AN3784" s="497">
        <v>68</v>
      </c>
      <c r="AP3784" s="42"/>
      <c r="AQ3784" s="74"/>
      <c r="AR3784" s="77"/>
      <c r="AT3784" s="497">
        <v>60.980000000000004</v>
      </c>
      <c r="AV3784" s="42"/>
      <c r="AW3784" s="74"/>
      <c r="AX3784" s="77"/>
      <c r="BA3784" s="497">
        <v>60.980000000000004</v>
      </c>
      <c r="BB3784" s="42"/>
      <c r="BC3784" s="74"/>
      <c r="BD3784" s="77"/>
      <c r="BF3784">
        <v>62.06</v>
      </c>
      <c r="BH3784" s="42"/>
      <c r="BI3784" s="74"/>
      <c r="BJ3784" s="77"/>
      <c r="BL3784" s="497">
        <v>60.980000000000004</v>
      </c>
      <c r="BN3784" s="42"/>
      <c r="BO3784" s="74"/>
      <c r="BP3784" s="77"/>
      <c r="BR3784" s="497">
        <v>64.039999999999992</v>
      </c>
      <c r="BT3784" s="42"/>
    </row>
    <row r="3785" spans="1:72" x14ac:dyDescent="0.25">
      <c r="A3785" s="90">
        <v>34491</v>
      </c>
      <c r="B3785" s="20">
        <v>0.95833333333333337</v>
      </c>
      <c r="D3785">
        <v>60.08</v>
      </c>
      <c r="E3785" t="str">
        <f t="shared" si="152"/>
        <v>WEEKDAY</v>
      </c>
      <c r="F3785" t="e">
        <f t="shared" si="153"/>
        <v>#N/A</v>
      </c>
      <c r="G3785" s="74">
        <v>33030</v>
      </c>
      <c r="H3785" s="77">
        <v>0.95833333333333337</v>
      </c>
      <c r="J3785">
        <v>66.02</v>
      </c>
      <c r="M3785" s="74">
        <v>37778</v>
      </c>
      <c r="N3785" s="77">
        <v>0.95833333333333337</v>
      </c>
      <c r="P3785">
        <v>57.2</v>
      </c>
      <c r="S3785" s="74">
        <v>34491</v>
      </c>
      <c r="T3785" s="77">
        <v>0.95833333333333337</v>
      </c>
      <c r="V3785">
        <v>64.039999999999992</v>
      </c>
      <c r="X3785" s="42"/>
      <c r="AB3785">
        <v>65.2</v>
      </c>
      <c r="AC3785">
        <v>68</v>
      </c>
      <c r="AE3785" s="74"/>
      <c r="AF3785" s="77"/>
      <c r="AH3785" s="497">
        <v>53.6</v>
      </c>
      <c r="AJ3785" s="42"/>
      <c r="AK3785" s="74"/>
      <c r="AL3785" s="77"/>
      <c r="AN3785" s="497">
        <v>66.02</v>
      </c>
      <c r="AP3785" s="42"/>
      <c r="AQ3785" s="74"/>
      <c r="AR3785" s="77"/>
      <c r="AT3785" s="497">
        <v>60.980000000000004</v>
      </c>
      <c r="AV3785" s="42"/>
      <c r="AW3785" s="74"/>
      <c r="AX3785" s="77"/>
      <c r="BA3785" s="497">
        <v>59.900000000000006</v>
      </c>
      <c r="BB3785" s="42"/>
      <c r="BC3785" s="74"/>
      <c r="BD3785" s="77"/>
      <c r="BF3785">
        <v>59</v>
      </c>
      <c r="BH3785" s="42"/>
      <c r="BI3785" s="74"/>
      <c r="BJ3785" s="77"/>
      <c r="BL3785" s="497">
        <v>60.08</v>
      </c>
      <c r="BN3785" s="42"/>
      <c r="BO3785" s="74"/>
      <c r="BP3785" s="77"/>
      <c r="BR3785" s="497">
        <v>62.96</v>
      </c>
      <c r="BT3785" s="42"/>
    </row>
    <row r="3786" spans="1:72" x14ac:dyDescent="0.25">
      <c r="A3786" s="90">
        <v>34491</v>
      </c>
      <c r="B3786" s="20">
        <v>1</v>
      </c>
      <c r="D3786">
        <v>59</v>
      </c>
      <c r="E3786" t="str">
        <f t="shared" si="152"/>
        <v>WEEKDAY</v>
      </c>
      <c r="F3786" t="e">
        <f t="shared" si="153"/>
        <v>#N/A</v>
      </c>
      <c r="G3786" s="74">
        <v>33030</v>
      </c>
      <c r="H3786" s="77">
        <v>1</v>
      </c>
      <c r="J3786">
        <v>64.94</v>
      </c>
      <c r="M3786" s="74">
        <v>37778</v>
      </c>
      <c r="N3786" s="80">
        <v>1</v>
      </c>
      <c r="P3786">
        <v>57.2</v>
      </c>
      <c r="S3786" s="74">
        <v>34491</v>
      </c>
      <c r="T3786" s="80">
        <v>1</v>
      </c>
      <c r="V3786">
        <v>62.96</v>
      </c>
      <c r="X3786" s="42"/>
      <c r="AB3786">
        <v>64.599999999999994</v>
      </c>
      <c r="AC3786">
        <v>66.02</v>
      </c>
      <c r="AE3786" s="74"/>
      <c r="AF3786" s="80"/>
      <c r="AH3786" s="497">
        <v>53.6</v>
      </c>
      <c r="AJ3786" s="42"/>
      <c r="AK3786" s="74"/>
      <c r="AL3786" s="80"/>
      <c r="AN3786" s="497">
        <v>66.02</v>
      </c>
      <c r="AP3786" s="42"/>
      <c r="AQ3786" s="74"/>
      <c r="AR3786" s="80"/>
      <c r="AT3786" s="497">
        <v>60.980000000000004</v>
      </c>
      <c r="AV3786" s="42"/>
      <c r="AW3786" s="74"/>
      <c r="AX3786" s="80"/>
      <c r="BA3786" s="497">
        <v>59</v>
      </c>
      <c r="BB3786" s="42"/>
      <c r="BC3786" s="74"/>
      <c r="BD3786" s="80"/>
      <c r="BF3786">
        <v>57.92</v>
      </c>
      <c r="BH3786" s="42"/>
      <c r="BI3786" s="74"/>
      <c r="BJ3786" s="80"/>
      <c r="BL3786" s="497">
        <v>60.980000000000004</v>
      </c>
      <c r="BN3786" s="42"/>
      <c r="BO3786" s="74"/>
      <c r="BP3786" s="80"/>
      <c r="BR3786" s="497">
        <v>60.08</v>
      </c>
      <c r="BT3786" s="42"/>
    </row>
    <row r="3787" spans="1:72" x14ac:dyDescent="0.25">
      <c r="A3787" s="90">
        <v>34492</v>
      </c>
      <c r="B3787" s="20">
        <v>4.1666666666666664E-2</v>
      </c>
      <c r="D3787">
        <v>60.08</v>
      </c>
      <c r="E3787" t="str">
        <f t="shared" si="152"/>
        <v>WEEKDAY</v>
      </c>
      <c r="F3787" t="e">
        <f t="shared" si="153"/>
        <v>#N/A</v>
      </c>
      <c r="G3787" s="74">
        <v>33031</v>
      </c>
      <c r="H3787" s="77">
        <v>4.1666666666666664E-2</v>
      </c>
      <c r="J3787">
        <v>66.02</v>
      </c>
      <c r="M3787" s="74">
        <v>37779</v>
      </c>
      <c r="N3787" s="77">
        <v>4.1666666666666664E-2</v>
      </c>
      <c r="P3787">
        <v>57.2</v>
      </c>
      <c r="S3787" s="74">
        <v>34492</v>
      </c>
      <c r="T3787" s="77">
        <v>4.1666666666666664E-2</v>
      </c>
      <c r="V3787">
        <v>62.06</v>
      </c>
      <c r="X3787" s="42"/>
      <c r="AB3787">
        <v>64.099999999999994</v>
      </c>
      <c r="AC3787">
        <v>66.92</v>
      </c>
      <c r="AE3787" s="74"/>
      <c r="AF3787" s="77"/>
      <c r="AH3787" s="497">
        <v>53.6</v>
      </c>
      <c r="AJ3787" s="42"/>
      <c r="AK3787" s="74"/>
      <c r="AL3787" s="77"/>
      <c r="AN3787" s="497">
        <v>66.02</v>
      </c>
      <c r="AP3787" s="42"/>
      <c r="AQ3787" s="74"/>
      <c r="AR3787" s="77"/>
      <c r="AT3787" s="497">
        <v>60.08</v>
      </c>
      <c r="AV3787" s="42"/>
      <c r="AW3787" s="74"/>
      <c r="AX3787" s="77"/>
      <c r="BA3787" s="497">
        <v>57.92</v>
      </c>
      <c r="BB3787" s="42"/>
      <c r="BC3787" s="74"/>
      <c r="BD3787" s="77"/>
      <c r="BF3787">
        <v>57.019999999999996</v>
      </c>
      <c r="BH3787" s="42"/>
      <c r="BI3787" s="74"/>
      <c r="BJ3787" s="77"/>
      <c r="BL3787" s="497">
        <v>62.06</v>
      </c>
      <c r="BN3787" s="42"/>
      <c r="BO3787" s="74"/>
      <c r="BP3787" s="77"/>
      <c r="BR3787" s="497">
        <v>57.019999999999996</v>
      </c>
      <c r="BT3787" s="42"/>
    </row>
    <row r="3788" spans="1:72" x14ac:dyDescent="0.25">
      <c r="A3788" s="90">
        <v>34492</v>
      </c>
      <c r="B3788" s="20">
        <v>8.3333333333333329E-2</v>
      </c>
      <c r="D3788">
        <v>60.980000000000004</v>
      </c>
      <c r="E3788" t="str">
        <f t="shared" si="152"/>
        <v>WEEKDAY</v>
      </c>
      <c r="F3788" t="e">
        <f t="shared" si="153"/>
        <v>#N/A</v>
      </c>
      <c r="G3788" s="74">
        <v>33031</v>
      </c>
      <c r="H3788" s="77">
        <v>8.3333333333333329E-2</v>
      </c>
      <c r="J3788">
        <v>64.94</v>
      </c>
      <c r="M3788" s="74">
        <v>37779</v>
      </c>
      <c r="N3788" s="77">
        <v>8.3333333333333329E-2</v>
      </c>
      <c r="P3788">
        <v>57.2</v>
      </c>
      <c r="S3788" s="74">
        <v>34492</v>
      </c>
      <c r="T3788" s="77">
        <v>8.3333333333333329E-2</v>
      </c>
      <c r="V3788">
        <v>60.980000000000004</v>
      </c>
      <c r="X3788" s="42"/>
      <c r="AB3788">
        <v>63.6</v>
      </c>
      <c r="AC3788">
        <v>64.94</v>
      </c>
      <c r="AE3788" s="74"/>
      <c r="AF3788" s="77"/>
      <c r="AH3788" s="497">
        <v>53.6</v>
      </c>
      <c r="AJ3788" s="42"/>
      <c r="AK3788" s="74"/>
      <c r="AL3788" s="77"/>
      <c r="AN3788" s="497">
        <v>64.94</v>
      </c>
      <c r="AP3788" s="42"/>
      <c r="AQ3788" s="74"/>
      <c r="AR3788" s="77"/>
      <c r="AT3788" s="497">
        <v>60.08</v>
      </c>
      <c r="AV3788" s="42"/>
      <c r="AW3788" s="74"/>
      <c r="AX3788" s="77"/>
      <c r="BA3788" s="497">
        <v>57.56</v>
      </c>
      <c r="BB3788" s="42"/>
      <c r="BC3788" s="74"/>
      <c r="BD3788" s="77"/>
      <c r="BF3788">
        <v>57.019999999999996</v>
      </c>
      <c r="BH3788" s="42"/>
      <c r="BI3788" s="74"/>
      <c r="BJ3788" s="77"/>
      <c r="BL3788" s="497">
        <v>64.039999999999992</v>
      </c>
      <c r="BN3788" s="42"/>
      <c r="BO3788" s="74"/>
      <c r="BP3788" s="77"/>
      <c r="BR3788" s="497">
        <v>55.94</v>
      </c>
      <c r="BT3788" s="42"/>
    </row>
    <row r="3789" spans="1:72" x14ac:dyDescent="0.25">
      <c r="A3789" s="90">
        <v>34492</v>
      </c>
      <c r="B3789" s="20">
        <v>0.125</v>
      </c>
      <c r="D3789">
        <v>60.08</v>
      </c>
      <c r="E3789" t="str">
        <f t="shared" si="152"/>
        <v>WEEKDAY</v>
      </c>
      <c r="F3789" t="e">
        <f t="shared" si="153"/>
        <v>#N/A</v>
      </c>
      <c r="G3789" s="74">
        <v>33031</v>
      </c>
      <c r="H3789" s="77">
        <v>0.125</v>
      </c>
      <c r="J3789">
        <v>64.94</v>
      </c>
      <c r="M3789" s="74">
        <v>37779</v>
      </c>
      <c r="N3789" s="77">
        <v>0.125</v>
      </c>
      <c r="P3789">
        <v>60.8</v>
      </c>
      <c r="S3789" s="74">
        <v>34492</v>
      </c>
      <c r="T3789" s="77">
        <v>0.125</v>
      </c>
      <c r="V3789">
        <v>60.08</v>
      </c>
      <c r="X3789" s="42"/>
      <c r="AB3789">
        <v>63.1</v>
      </c>
      <c r="AC3789">
        <v>64.94</v>
      </c>
      <c r="AE3789" s="74"/>
      <c r="AF3789" s="77"/>
      <c r="AH3789" s="497">
        <v>53.6</v>
      </c>
      <c r="AJ3789" s="42"/>
      <c r="AK3789" s="74"/>
      <c r="AL3789" s="77"/>
      <c r="AN3789" s="497">
        <v>64.94</v>
      </c>
      <c r="AP3789" s="42"/>
      <c r="AQ3789" s="74"/>
      <c r="AR3789" s="77"/>
      <c r="AT3789" s="497">
        <v>60.08</v>
      </c>
      <c r="AV3789" s="42"/>
      <c r="AW3789" s="74"/>
      <c r="AX3789" s="77"/>
      <c r="BA3789" s="497">
        <v>57.379999999999995</v>
      </c>
      <c r="BB3789" s="42"/>
      <c r="BC3789" s="74"/>
      <c r="BD3789" s="77"/>
      <c r="BF3789">
        <v>55.94</v>
      </c>
      <c r="BH3789" s="42"/>
      <c r="BI3789" s="74"/>
      <c r="BJ3789" s="77"/>
      <c r="BL3789" s="497">
        <v>64.039999999999992</v>
      </c>
      <c r="BN3789" s="42"/>
      <c r="BO3789" s="74"/>
      <c r="BP3789" s="77"/>
      <c r="BR3789" s="497">
        <v>55.040000000000006</v>
      </c>
      <c r="BT3789" s="42"/>
    </row>
    <row r="3790" spans="1:72" x14ac:dyDescent="0.25">
      <c r="A3790" s="90">
        <v>34492</v>
      </c>
      <c r="B3790" s="20">
        <v>0.16666666666666666</v>
      </c>
      <c r="D3790">
        <v>60.980000000000004</v>
      </c>
      <c r="E3790" t="str">
        <f t="shared" si="152"/>
        <v>WEEKDAY</v>
      </c>
      <c r="F3790" t="e">
        <f t="shared" si="153"/>
        <v>#N/A</v>
      </c>
      <c r="G3790" s="74">
        <v>33031</v>
      </c>
      <c r="H3790" s="77">
        <v>0.16666666666666666</v>
      </c>
      <c r="J3790">
        <v>64.94</v>
      </c>
      <c r="M3790" s="74">
        <v>37779</v>
      </c>
      <c r="N3790" s="77">
        <v>0.16666666666666666</v>
      </c>
      <c r="P3790">
        <v>55.400000000000006</v>
      </c>
      <c r="S3790" s="74">
        <v>34492</v>
      </c>
      <c r="T3790" s="77">
        <v>0.16666666666666666</v>
      </c>
      <c r="V3790">
        <v>60.08</v>
      </c>
      <c r="X3790" s="42"/>
      <c r="AB3790">
        <v>62.6</v>
      </c>
      <c r="AC3790">
        <v>64.94</v>
      </c>
      <c r="AE3790" s="74"/>
      <c r="AF3790" s="77"/>
      <c r="AH3790" s="497">
        <v>55.400000000000006</v>
      </c>
      <c r="AJ3790" s="42"/>
      <c r="AK3790" s="74"/>
      <c r="AL3790" s="77"/>
      <c r="AN3790" s="497">
        <v>64.94</v>
      </c>
      <c r="AP3790" s="42"/>
      <c r="AQ3790" s="74"/>
      <c r="AR3790" s="77"/>
      <c r="AT3790" s="497">
        <v>59</v>
      </c>
      <c r="AV3790" s="42"/>
      <c r="AW3790" s="74"/>
      <c r="AX3790" s="77"/>
      <c r="BA3790" s="497">
        <v>57.019999999999996</v>
      </c>
      <c r="BB3790" s="42"/>
      <c r="BC3790" s="74"/>
      <c r="BD3790" s="77"/>
      <c r="BF3790">
        <v>55.94</v>
      </c>
      <c r="BH3790" s="42"/>
      <c r="BI3790" s="74"/>
      <c r="BJ3790" s="77"/>
      <c r="BL3790" s="497">
        <v>62.06</v>
      </c>
      <c r="BN3790" s="42"/>
      <c r="BO3790" s="74"/>
      <c r="BP3790" s="77"/>
      <c r="BR3790" s="497">
        <v>53.06</v>
      </c>
      <c r="BT3790" s="42"/>
    </row>
    <row r="3791" spans="1:72" x14ac:dyDescent="0.25">
      <c r="A3791" s="90">
        <v>34492</v>
      </c>
      <c r="B3791" s="20">
        <v>0.20833333333333334</v>
      </c>
      <c r="D3791">
        <v>60.980000000000004</v>
      </c>
      <c r="E3791" t="str">
        <f t="shared" si="152"/>
        <v>WEEKDAY</v>
      </c>
      <c r="F3791" t="e">
        <f t="shared" si="153"/>
        <v>#N/A</v>
      </c>
      <c r="G3791" s="74">
        <v>33031</v>
      </c>
      <c r="H3791" s="77">
        <v>0.20833333333333334</v>
      </c>
      <c r="J3791">
        <v>64.039999999999992</v>
      </c>
      <c r="M3791" s="74">
        <v>37779</v>
      </c>
      <c r="N3791" s="77">
        <v>0.20833333333333334</v>
      </c>
      <c r="P3791">
        <v>59</v>
      </c>
      <c r="S3791" s="74">
        <v>34492</v>
      </c>
      <c r="T3791" s="77">
        <v>0.20833333333333334</v>
      </c>
      <c r="V3791">
        <v>62.06</v>
      </c>
      <c r="X3791" s="42"/>
      <c r="AB3791">
        <v>62.2</v>
      </c>
      <c r="AC3791">
        <v>64.94</v>
      </c>
      <c r="AE3791" s="74"/>
      <c r="AF3791" s="77"/>
      <c r="AH3791" s="497">
        <v>55.400000000000006</v>
      </c>
      <c r="AJ3791" s="42"/>
      <c r="AK3791" s="74"/>
      <c r="AL3791" s="77"/>
      <c r="AN3791" s="497">
        <v>62.96</v>
      </c>
      <c r="AP3791" s="42"/>
      <c r="AQ3791" s="74"/>
      <c r="AR3791" s="77"/>
      <c r="AT3791" s="497">
        <v>60.08</v>
      </c>
      <c r="AV3791" s="42"/>
      <c r="AW3791" s="74"/>
      <c r="AX3791" s="77"/>
      <c r="BA3791" s="497">
        <v>59.36</v>
      </c>
      <c r="BB3791" s="42"/>
      <c r="BC3791" s="74"/>
      <c r="BD3791" s="77"/>
      <c r="BF3791">
        <v>57.92</v>
      </c>
      <c r="BH3791" s="42"/>
      <c r="BI3791" s="74"/>
      <c r="BJ3791" s="77"/>
      <c r="BL3791" s="497">
        <v>60.980000000000004</v>
      </c>
      <c r="BN3791" s="42"/>
      <c r="BO3791" s="74"/>
      <c r="BP3791" s="77"/>
      <c r="BR3791" s="497">
        <v>51.980000000000004</v>
      </c>
      <c r="BT3791" s="42"/>
    </row>
    <row r="3792" spans="1:72" x14ac:dyDescent="0.25">
      <c r="A3792" s="90">
        <v>34492</v>
      </c>
      <c r="B3792" s="20">
        <v>0.25</v>
      </c>
      <c r="D3792">
        <v>60.980000000000004</v>
      </c>
      <c r="E3792" t="str">
        <f t="shared" si="152"/>
        <v>WEEKDAY</v>
      </c>
      <c r="F3792" t="e">
        <f t="shared" si="153"/>
        <v>#N/A</v>
      </c>
      <c r="G3792" s="74">
        <v>33031</v>
      </c>
      <c r="H3792" s="77">
        <v>0.25</v>
      </c>
      <c r="J3792">
        <v>64.94</v>
      </c>
      <c r="M3792" s="74">
        <v>37779</v>
      </c>
      <c r="N3792" s="77">
        <v>0.25</v>
      </c>
      <c r="P3792">
        <v>60.8</v>
      </c>
      <c r="S3792" s="74">
        <v>34492</v>
      </c>
      <c r="T3792" s="77">
        <v>0.25</v>
      </c>
      <c r="V3792">
        <v>62.06</v>
      </c>
      <c r="X3792" s="42"/>
      <c r="AB3792">
        <v>62.1</v>
      </c>
      <c r="AC3792">
        <v>64.94</v>
      </c>
      <c r="AE3792" s="74"/>
      <c r="AF3792" s="77"/>
      <c r="AH3792" s="497">
        <v>55.400000000000006</v>
      </c>
      <c r="AJ3792" s="42"/>
      <c r="AK3792" s="74"/>
      <c r="AL3792" s="77"/>
      <c r="AN3792" s="497">
        <v>62.06</v>
      </c>
      <c r="AP3792" s="42"/>
      <c r="AQ3792" s="74"/>
      <c r="AR3792" s="77"/>
      <c r="AT3792" s="497">
        <v>60.08</v>
      </c>
      <c r="AV3792" s="42"/>
      <c r="AW3792" s="74"/>
      <c r="AX3792" s="77"/>
      <c r="BA3792" s="497">
        <v>61.7</v>
      </c>
      <c r="BB3792" s="42"/>
      <c r="BC3792" s="74"/>
      <c r="BD3792" s="77"/>
      <c r="BF3792">
        <v>57.019999999999996</v>
      </c>
      <c r="BH3792" s="42"/>
      <c r="BI3792" s="74"/>
      <c r="BJ3792" s="77"/>
      <c r="BL3792" s="497">
        <v>64.039999999999992</v>
      </c>
      <c r="BN3792" s="42"/>
      <c r="BO3792" s="74"/>
      <c r="BP3792" s="77"/>
      <c r="BR3792" s="497">
        <v>53.06</v>
      </c>
      <c r="BT3792" s="42"/>
    </row>
    <row r="3793" spans="1:72" x14ac:dyDescent="0.25">
      <c r="A3793" s="90">
        <v>34492</v>
      </c>
      <c r="B3793" s="20">
        <v>0.29166666666666669</v>
      </c>
      <c r="D3793">
        <v>62.96</v>
      </c>
      <c r="E3793" t="str">
        <f t="shared" si="152"/>
        <v>WEEKDAY</v>
      </c>
      <c r="F3793" t="e">
        <f t="shared" si="153"/>
        <v>#N/A</v>
      </c>
      <c r="G3793" s="74">
        <v>33031</v>
      </c>
      <c r="H3793" s="77">
        <v>0.29166666666666669</v>
      </c>
      <c r="J3793">
        <v>66.92</v>
      </c>
      <c r="M3793" s="74">
        <v>37779</v>
      </c>
      <c r="N3793" s="77">
        <v>0.29166666666666669</v>
      </c>
      <c r="P3793">
        <v>60.8</v>
      </c>
      <c r="S3793" s="74">
        <v>34492</v>
      </c>
      <c r="T3793" s="77">
        <v>0.29166666666666669</v>
      </c>
      <c r="V3793">
        <v>62.96</v>
      </c>
      <c r="X3793" s="42"/>
      <c r="AB3793">
        <v>63.6</v>
      </c>
      <c r="AC3793">
        <v>64.94</v>
      </c>
      <c r="AE3793" s="74"/>
      <c r="AF3793" s="77"/>
      <c r="AH3793" s="497">
        <v>60.8</v>
      </c>
      <c r="AJ3793" s="42"/>
      <c r="AK3793" s="74"/>
      <c r="AL3793" s="77"/>
      <c r="AN3793" s="497">
        <v>60.08</v>
      </c>
      <c r="AP3793" s="42"/>
      <c r="AQ3793" s="74"/>
      <c r="AR3793" s="77"/>
      <c r="AT3793" s="497">
        <v>60.08</v>
      </c>
      <c r="AV3793" s="42"/>
      <c r="AW3793" s="74"/>
      <c r="AX3793" s="77"/>
      <c r="BA3793" s="497">
        <v>64.039999999999992</v>
      </c>
      <c r="BB3793" s="42"/>
      <c r="BC3793" s="74"/>
      <c r="BD3793" s="77"/>
      <c r="BF3793">
        <v>60.980000000000004</v>
      </c>
      <c r="BH3793" s="42"/>
      <c r="BI3793" s="74"/>
      <c r="BJ3793" s="77"/>
      <c r="BL3793" s="497">
        <v>66.92</v>
      </c>
      <c r="BN3793" s="42"/>
      <c r="BO3793" s="74"/>
      <c r="BP3793" s="77"/>
      <c r="BR3793" s="497">
        <v>55.040000000000006</v>
      </c>
      <c r="BT3793" s="42"/>
    </row>
    <row r="3794" spans="1:72" x14ac:dyDescent="0.25">
      <c r="A3794" s="90">
        <v>34492</v>
      </c>
      <c r="B3794" s="20">
        <v>0.33333333333333331</v>
      </c>
      <c r="D3794">
        <v>64.039999999999992</v>
      </c>
      <c r="E3794" t="str">
        <f t="shared" si="152"/>
        <v>WEEKDAY</v>
      </c>
      <c r="F3794" t="e">
        <f t="shared" si="153"/>
        <v>#N/A</v>
      </c>
      <c r="G3794" s="74">
        <v>33031</v>
      </c>
      <c r="H3794" s="77">
        <v>0.33333333333333331</v>
      </c>
      <c r="J3794">
        <v>69.080000000000013</v>
      </c>
      <c r="M3794" s="74">
        <v>37779</v>
      </c>
      <c r="N3794" s="77">
        <v>0.33333333333333331</v>
      </c>
      <c r="P3794">
        <v>60.8</v>
      </c>
      <c r="S3794" s="74">
        <v>34492</v>
      </c>
      <c r="T3794" s="77">
        <v>0.33333333333333331</v>
      </c>
      <c r="V3794">
        <v>64.94</v>
      </c>
      <c r="X3794" s="42"/>
      <c r="AB3794">
        <v>65.400000000000006</v>
      </c>
      <c r="AC3794">
        <v>68</v>
      </c>
      <c r="AE3794" s="74"/>
      <c r="AF3794" s="77"/>
      <c r="AH3794" s="497">
        <v>60.8</v>
      </c>
      <c r="AJ3794" s="42"/>
      <c r="AK3794" s="74"/>
      <c r="AL3794" s="77"/>
      <c r="AN3794" s="497">
        <v>60.08</v>
      </c>
      <c r="AP3794" s="42"/>
      <c r="AQ3794" s="74"/>
      <c r="AR3794" s="77"/>
      <c r="AT3794" s="497">
        <v>60.980000000000004</v>
      </c>
      <c r="AV3794" s="42"/>
      <c r="AW3794" s="74"/>
      <c r="AX3794" s="77"/>
      <c r="BA3794" s="497">
        <v>68.36</v>
      </c>
      <c r="BB3794" s="42"/>
      <c r="BC3794" s="74"/>
      <c r="BD3794" s="77"/>
      <c r="BF3794">
        <v>62.96</v>
      </c>
      <c r="BH3794" s="42"/>
      <c r="BI3794" s="74"/>
      <c r="BJ3794" s="77"/>
      <c r="BL3794" s="497">
        <v>71.960000000000008</v>
      </c>
      <c r="BN3794" s="42"/>
      <c r="BO3794" s="74"/>
      <c r="BP3794" s="77"/>
      <c r="BR3794" s="497">
        <v>55.040000000000006</v>
      </c>
      <c r="BT3794" s="42"/>
    </row>
    <row r="3795" spans="1:72" x14ac:dyDescent="0.25">
      <c r="A3795" s="90">
        <v>34492</v>
      </c>
      <c r="B3795" s="20">
        <v>0.375</v>
      </c>
      <c r="D3795">
        <v>66.92</v>
      </c>
      <c r="E3795" t="str">
        <f t="shared" ref="E3795:E3858" si="154">IF(COUNTIF($DI$18:$DI$22, WEEKDAY(A3795))=1, "WEEKDAY", IF(WEEKDAY(A3795) = 1, "SUNDAY", "SATURDAY"))</f>
        <v>WEEKDAY</v>
      </c>
      <c r="F3795" t="e">
        <f t="shared" si="153"/>
        <v>#N/A</v>
      </c>
      <c r="G3795" s="74">
        <v>33031</v>
      </c>
      <c r="H3795" s="77">
        <v>0.375</v>
      </c>
      <c r="J3795">
        <v>73.94</v>
      </c>
      <c r="M3795" s="74">
        <v>37779</v>
      </c>
      <c r="N3795" s="77">
        <v>0.375</v>
      </c>
      <c r="P3795">
        <v>61.7</v>
      </c>
      <c r="S3795" s="74">
        <v>34492</v>
      </c>
      <c r="T3795" s="77">
        <v>0.375</v>
      </c>
      <c r="V3795">
        <v>71.960000000000008</v>
      </c>
      <c r="X3795" s="42"/>
      <c r="AB3795">
        <v>67.3</v>
      </c>
      <c r="AC3795">
        <v>73.039999999999992</v>
      </c>
      <c r="AE3795" s="74"/>
      <c r="AF3795" s="77"/>
      <c r="AH3795" s="497">
        <v>62.6</v>
      </c>
      <c r="AJ3795" s="42"/>
      <c r="AK3795" s="74"/>
      <c r="AL3795" s="77"/>
      <c r="AN3795" s="497">
        <v>60.980000000000004</v>
      </c>
      <c r="AP3795" s="42"/>
      <c r="AQ3795" s="74"/>
      <c r="AR3795" s="77"/>
      <c r="AT3795" s="497">
        <v>62.96</v>
      </c>
      <c r="AV3795" s="42"/>
      <c r="AW3795" s="74"/>
      <c r="AX3795" s="77"/>
      <c r="BA3795" s="497">
        <v>72.680000000000007</v>
      </c>
      <c r="BB3795" s="42"/>
      <c r="BC3795" s="74"/>
      <c r="BD3795" s="77"/>
      <c r="BF3795">
        <v>64.94</v>
      </c>
      <c r="BH3795" s="42"/>
      <c r="BI3795" s="74"/>
      <c r="BJ3795" s="77"/>
      <c r="BL3795" s="497">
        <v>75.02</v>
      </c>
      <c r="BN3795" s="42"/>
      <c r="BO3795" s="74"/>
      <c r="BP3795" s="77"/>
      <c r="BR3795" s="497">
        <v>57.019999999999996</v>
      </c>
      <c r="BT3795" s="42"/>
    </row>
    <row r="3796" spans="1:72" x14ac:dyDescent="0.25">
      <c r="A3796" s="90">
        <v>34492</v>
      </c>
      <c r="B3796" s="20">
        <v>0.41666666666666669</v>
      </c>
      <c r="D3796">
        <v>69.080000000000013</v>
      </c>
      <c r="E3796" t="str">
        <f t="shared" si="154"/>
        <v>WEEKDAY</v>
      </c>
      <c r="F3796" t="e">
        <f t="shared" si="153"/>
        <v>#N/A</v>
      </c>
      <c r="G3796" s="74">
        <v>33031</v>
      </c>
      <c r="H3796" s="77">
        <v>0.41666666666666669</v>
      </c>
      <c r="J3796">
        <v>73.94</v>
      </c>
      <c r="M3796" s="74">
        <v>37779</v>
      </c>
      <c r="N3796" s="77">
        <v>0.41666666666666669</v>
      </c>
      <c r="P3796">
        <v>62.42</v>
      </c>
      <c r="S3796" s="74">
        <v>34492</v>
      </c>
      <c r="T3796" s="77">
        <v>0.41666666666666669</v>
      </c>
      <c r="V3796">
        <v>75.92</v>
      </c>
      <c r="X3796" s="42"/>
      <c r="AB3796">
        <v>69.099999999999994</v>
      </c>
      <c r="AC3796">
        <v>75.92</v>
      </c>
      <c r="AE3796" s="74"/>
      <c r="AF3796" s="77"/>
      <c r="AH3796" s="497">
        <v>62.6</v>
      </c>
      <c r="AJ3796" s="42"/>
      <c r="AK3796" s="74"/>
      <c r="AL3796" s="77"/>
      <c r="AN3796" s="497">
        <v>60.08</v>
      </c>
      <c r="AP3796" s="42"/>
      <c r="AQ3796" s="74"/>
      <c r="AR3796" s="77"/>
      <c r="AT3796" s="497">
        <v>64.039999999999992</v>
      </c>
      <c r="AV3796" s="42"/>
      <c r="AW3796" s="74"/>
      <c r="AX3796" s="77"/>
      <c r="BA3796" s="497">
        <v>77</v>
      </c>
      <c r="BB3796" s="42"/>
      <c r="BC3796" s="74"/>
      <c r="BD3796" s="77"/>
      <c r="BF3796">
        <v>66.92</v>
      </c>
      <c r="BH3796" s="42"/>
      <c r="BI3796" s="74"/>
      <c r="BJ3796" s="77"/>
      <c r="BL3796" s="497">
        <v>78.080000000000013</v>
      </c>
      <c r="BN3796" s="42"/>
      <c r="BO3796" s="74"/>
      <c r="BP3796" s="77"/>
      <c r="BR3796" s="497">
        <v>57.92</v>
      </c>
      <c r="BT3796" s="42"/>
    </row>
    <row r="3797" spans="1:72" x14ac:dyDescent="0.25">
      <c r="A3797" s="90">
        <v>34492</v>
      </c>
      <c r="B3797" s="20">
        <v>0.45833333333333331</v>
      </c>
      <c r="D3797">
        <v>73.039999999999992</v>
      </c>
      <c r="E3797" t="str">
        <f t="shared" si="154"/>
        <v>WEEKDAY</v>
      </c>
      <c r="F3797" t="e">
        <f t="shared" si="153"/>
        <v>#N/A</v>
      </c>
      <c r="G3797" s="74">
        <v>33031</v>
      </c>
      <c r="H3797" s="77">
        <v>0.45833333333333331</v>
      </c>
      <c r="J3797">
        <v>77</v>
      </c>
      <c r="M3797" s="74">
        <v>37779</v>
      </c>
      <c r="N3797" s="77">
        <v>0.45833333333333331</v>
      </c>
      <c r="P3797">
        <v>62.6</v>
      </c>
      <c r="S3797" s="74">
        <v>34492</v>
      </c>
      <c r="T3797" s="77">
        <v>0.45833333333333331</v>
      </c>
      <c r="V3797">
        <v>80.960000000000008</v>
      </c>
      <c r="X3797" s="42"/>
      <c r="AB3797">
        <v>70.599999999999994</v>
      </c>
      <c r="AC3797">
        <v>80.06</v>
      </c>
      <c r="AE3797" s="74"/>
      <c r="AF3797" s="77"/>
      <c r="AH3797" s="497">
        <v>64.400000000000006</v>
      </c>
      <c r="AJ3797" s="42"/>
      <c r="AK3797" s="74"/>
      <c r="AL3797" s="77"/>
      <c r="AN3797" s="497">
        <v>60.980000000000004</v>
      </c>
      <c r="AP3797" s="42"/>
      <c r="AQ3797" s="74"/>
      <c r="AR3797" s="77"/>
      <c r="AT3797" s="497">
        <v>64.94</v>
      </c>
      <c r="AV3797" s="42"/>
      <c r="AW3797" s="74"/>
      <c r="AX3797" s="77"/>
      <c r="BA3797" s="497">
        <v>78.259999999999991</v>
      </c>
      <c r="BB3797" s="42"/>
      <c r="BC3797" s="74"/>
      <c r="BD3797" s="77"/>
      <c r="BF3797">
        <v>69.080000000000013</v>
      </c>
      <c r="BH3797" s="42"/>
      <c r="BI3797" s="74"/>
      <c r="BJ3797" s="77"/>
      <c r="BL3797" s="497">
        <v>80.960000000000008</v>
      </c>
      <c r="BN3797" s="42"/>
      <c r="BO3797" s="74"/>
      <c r="BP3797" s="77"/>
      <c r="BR3797" s="497">
        <v>57.92</v>
      </c>
      <c r="BT3797" s="42"/>
    </row>
    <row r="3798" spans="1:72" x14ac:dyDescent="0.25">
      <c r="A3798" s="90">
        <v>34492</v>
      </c>
      <c r="B3798" s="20">
        <v>0.5</v>
      </c>
      <c r="D3798">
        <v>73.94</v>
      </c>
      <c r="E3798" t="str">
        <f t="shared" si="154"/>
        <v>WEEKDAY</v>
      </c>
      <c r="F3798" t="e">
        <f t="shared" si="153"/>
        <v>#N/A</v>
      </c>
      <c r="G3798" s="74">
        <v>33031</v>
      </c>
      <c r="H3798" s="77">
        <v>0.5</v>
      </c>
      <c r="J3798">
        <v>78.080000000000013</v>
      </c>
      <c r="M3798" s="74">
        <v>37779</v>
      </c>
      <c r="N3798" s="77">
        <v>0.5</v>
      </c>
      <c r="P3798">
        <v>60.8</v>
      </c>
      <c r="S3798" s="74">
        <v>34492</v>
      </c>
      <c r="T3798" s="77">
        <v>0.5</v>
      </c>
      <c r="V3798">
        <v>82.94</v>
      </c>
      <c r="X3798" s="42"/>
      <c r="AB3798">
        <v>71.900000000000006</v>
      </c>
      <c r="AC3798">
        <v>82.94</v>
      </c>
      <c r="AE3798" s="74"/>
      <c r="AF3798" s="77"/>
      <c r="AH3798" s="497">
        <v>66.2</v>
      </c>
      <c r="AJ3798" s="42"/>
      <c r="AK3798" s="74"/>
      <c r="AL3798" s="77"/>
      <c r="AN3798" s="497">
        <v>62.96</v>
      </c>
      <c r="AP3798" s="42"/>
      <c r="AQ3798" s="74"/>
      <c r="AR3798" s="77"/>
      <c r="AT3798" s="497">
        <v>66.02</v>
      </c>
      <c r="AV3798" s="42"/>
      <c r="AW3798" s="74"/>
      <c r="AX3798" s="77"/>
      <c r="BA3798" s="497">
        <v>79.7</v>
      </c>
      <c r="BB3798" s="42"/>
      <c r="BC3798" s="74"/>
      <c r="BD3798" s="77"/>
      <c r="BF3798">
        <v>69.080000000000013</v>
      </c>
      <c r="BH3798" s="42"/>
      <c r="BI3798" s="74"/>
      <c r="BJ3798" s="77"/>
      <c r="BL3798" s="497">
        <v>84.02</v>
      </c>
      <c r="BN3798" s="42"/>
      <c r="BO3798" s="74"/>
      <c r="BP3798" s="77"/>
      <c r="BR3798" s="497">
        <v>60.980000000000004</v>
      </c>
      <c r="BT3798" s="42"/>
    </row>
    <row r="3799" spans="1:72" x14ac:dyDescent="0.25">
      <c r="A3799" s="90">
        <v>34492</v>
      </c>
      <c r="B3799" s="20">
        <v>0.54166666666666663</v>
      </c>
      <c r="D3799">
        <v>78.080000000000013</v>
      </c>
      <c r="E3799" t="str">
        <f t="shared" si="154"/>
        <v>WEEKDAY</v>
      </c>
      <c r="F3799" t="e">
        <f t="shared" si="153"/>
        <v>#N/A</v>
      </c>
      <c r="G3799" s="74">
        <v>33031</v>
      </c>
      <c r="H3799" s="77">
        <v>0.54166666666666663</v>
      </c>
      <c r="J3799">
        <v>78.98</v>
      </c>
      <c r="M3799" s="74">
        <v>37779</v>
      </c>
      <c r="N3799" s="77">
        <v>0.54166666666666663</v>
      </c>
      <c r="P3799">
        <v>60.8</v>
      </c>
      <c r="S3799" s="74">
        <v>34492</v>
      </c>
      <c r="T3799" s="77">
        <v>0.54166666666666663</v>
      </c>
      <c r="V3799">
        <v>84.92</v>
      </c>
      <c r="X3799" s="42"/>
      <c r="AB3799">
        <v>72.7</v>
      </c>
      <c r="AC3799">
        <v>84.92</v>
      </c>
      <c r="AE3799" s="74"/>
      <c r="AF3799" s="77"/>
      <c r="AH3799" s="497">
        <v>66.2</v>
      </c>
      <c r="AJ3799" s="42"/>
      <c r="AK3799" s="74"/>
      <c r="AL3799" s="77"/>
      <c r="AN3799" s="497">
        <v>64.94</v>
      </c>
      <c r="AP3799" s="42"/>
      <c r="AQ3799" s="74"/>
      <c r="AR3799" s="77"/>
      <c r="AT3799" s="497">
        <v>66.92</v>
      </c>
      <c r="AV3799" s="42"/>
      <c r="AW3799" s="74"/>
      <c r="AX3799" s="77"/>
      <c r="BA3799" s="497">
        <v>80.960000000000008</v>
      </c>
      <c r="BB3799" s="42"/>
      <c r="BC3799" s="74"/>
      <c r="BD3799" s="77"/>
      <c r="BF3799">
        <v>64.039999999999992</v>
      </c>
      <c r="BH3799" s="42"/>
      <c r="BI3799" s="74"/>
      <c r="BJ3799" s="77"/>
      <c r="BL3799" s="497">
        <v>86</v>
      </c>
      <c r="BN3799" s="42"/>
      <c r="BO3799" s="74"/>
      <c r="BP3799" s="77"/>
      <c r="BR3799" s="497">
        <v>62.06</v>
      </c>
      <c r="BT3799" s="42"/>
    </row>
    <row r="3800" spans="1:72" x14ac:dyDescent="0.25">
      <c r="A3800" s="90">
        <v>34492</v>
      </c>
      <c r="B3800" s="20">
        <v>0.58333333333333337</v>
      </c>
      <c r="D3800">
        <v>75.92</v>
      </c>
      <c r="E3800" t="str">
        <f t="shared" si="154"/>
        <v>WEEKDAY</v>
      </c>
      <c r="F3800" t="e">
        <f t="shared" si="153"/>
        <v>#N/A</v>
      </c>
      <c r="G3800" s="74">
        <v>33031</v>
      </c>
      <c r="H3800" s="77">
        <v>0.58333333333333337</v>
      </c>
      <c r="J3800">
        <v>80.960000000000008</v>
      </c>
      <c r="M3800" s="74">
        <v>37779</v>
      </c>
      <c r="N3800" s="77">
        <v>0.58333333333333337</v>
      </c>
      <c r="P3800">
        <v>59.36</v>
      </c>
      <c r="S3800" s="74">
        <v>34492</v>
      </c>
      <c r="T3800" s="77">
        <v>0.58333333333333337</v>
      </c>
      <c r="V3800">
        <v>87.080000000000013</v>
      </c>
      <c r="X3800" s="42"/>
      <c r="AB3800">
        <v>73.2</v>
      </c>
      <c r="AC3800">
        <v>87.080000000000013</v>
      </c>
      <c r="AE3800" s="74"/>
      <c r="AF3800" s="77"/>
      <c r="AH3800" s="497">
        <v>68</v>
      </c>
      <c r="AJ3800" s="42"/>
      <c r="AK3800" s="74"/>
      <c r="AL3800" s="77"/>
      <c r="AN3800" s="497">
        <v>68</v>
      </c>
      <c r="AP3800" s="42"/>
      <c r="AQ3800" s="74"/>
      <c r="AR3800" s="77"/>
      <c r="AT3800" s="497">
        <v>68</v>
      </c>
      <c r="AV3800" s="42"/>
      <c r="AW3800" s="74"/>
      <c r="AX3800" s="77"/>
      <c r="BA3800" s="497">
        <v>82.039999999999992</v>
      </c>
      <c r="BB3800" s="42"/>
      <c r="BC3800" s="74"/>
      <c r="BD3800" s="77"/>
      <c r="BF3800">
        <v>64.039999999999992</v>
      </c>
      <c r="BH3800" s="42"/>
      <c r="BI3800" s="74"/>
      <c r="BJ3800" s="77"/>
      <c r="BL3800" s="497">
        <v>86</v>
      </c>
      <c r="BN3800" s="42"/>
      <c r="BO3800" s="74"/>
      <c r="BP3800" s="77"/>
      <c r="BR3800" s="497">
        <v>62.06</v>
      </c>
      <c r="BT3800" s="42"/>
    </row>
    <row r="3801" spans="1:72" x14ac:dyDescent="0.25">
      <c r="A3801" s="90">
        <v>34492</v>
      </c>
      <c r="B3801" s="20">
        <v>0.625</v>
      </c>
      <c r="D3801">
        <v>75.92</v>
      </c>
      <c r="E3801" t="str">
        <f t="shared" si="154"/>
        <v>WEEKDAY</v>
      </c>
      <c r="F3801" t="e">
        <f t="shared" si="153"/>
        <v>#N/A</v>
      </c>
      <c r="G3801" s="74">
        <v>33031</v>
      </c>
      <c r="H3801" s="77">
        <v>0.625</v>
      </c>
      <c r="J3801">
        <v>80.960000000000008</v>
      </c>
      <c r="M3801" s="74">
        <v>37779</v>
      </c>
      <c r="N3801" s="77">
        <v>0.625</v>
      </c>
      <c r="P3801">
        <v>57.2</v>
      </c>
      <c r="S3801" s="74">
        <v>34492</v>
      </c>
      <c r="T3801" s="77">
        <v>0.625</v>
      </c>
      <c r="V3801">
        <v>86</v>
      </c>
      <c r="X3801" s="42"/>
      <c r="AB3801">
        <v>73</v>
      </c>
      <c r="AC3801">
        <v>87.080000000000013</v>
      </c>
      <c r="AE3801" s="74"/>
      <c r="AF3801" s="77"/>
      <c r="AH3801" s="497">
        <v>71.599999999999994</v>
      </c>
      <c r="AJ3801" s="42"/>
      <c r="AK3801" s="74"/>
      <c r="AL3801" s="77"/>
      <c r="AN3801" s="497">
        <v>69.98</v>
      </c>
      <c r="AP3801" s="42"/>
      <c r="AQ3801" s="74"/>
      <c r="AR3801" s="77"/>
      <c r="AT3801" s="497">
        <v>71.06</v>
      </c>
      <c r="AV3801" s="42"/>
      <c r="AW3801" s="74"/>
      <c r="AX3801" s="77"/>
      <c r="BA3801" s="497">
        <v>82.94</v>
      </c>
      <c r="BB3801" s="42"/>
      <c r="BC3801" s="74"/>
      <c r="BD3801" s="77"/>
      <c r="BF3801">
        <v>64.94</v>
      </c>
      <c r="BH3801" s="42"/>
      <c r="BI3801" s="74"/>
      <c r="BJ3801" s="77"/>
      <c r="BL3801" s="497">
        <v>75.02</v>
      </c>
      <c r="BN3801" s="42"/>
      <c r="BO3801" s="74"/>
      <c r="BP3801" s="77"/>
      <c r="BR3801" s="497">
        <v>62.96</v>
      </c>
      <c r="BT3801" s="42"/>
    </row>
    <row r="3802" spans="1:72" x14ac:dyDescent="0.25">
      <c r="A3802" s="90">
        <v>34492</v>
      </c>
      <c r="B3802" s="20">
        <v>0.66666666666666663</v>
      </c>
      <c r="D3802">
        <v>77</v>
      </c>
      <c r="E3802" t="str">
        <f t="shared" si="154"/>
        <v>WEEKDAY</v>
      </c>
      <c r="F3802" t="e">
        <f t="shared" si="153"/>
        <v>#N/A</v>
      </c>
      <c r="G3802" s="74">
        <v>33031</v>
      </c>
      <c r="H3802" s="77">
        <v>0.66666666666666663</v>
      </c>
      <c r="J3802">
        <v>80.960000000000008</v>
      </c>
      <c r="M3802" s="74">
        <v>37779</v>
      </c>
      <c r="N3802" s="77">
        <v>0.66666666666666663</v>
      </c>
      <c r="P3802">
        <v>57.2</v>
      </c>
      <c r="S3802" s="74">
        <v>34492</v>
      </c>
      <c r="T3802" s="77">
        <v>0.66666666666666663</v>
      </c>
      <c r="V3802">
        <v>86</v>
      </c>
      <c r="X3802" s="42"/>
      <c r="AB3802">
        <v>72.400000000000006</v>
      </c>
      <c r="AC3802">
        <v>86</v>
      </c>
      <c r="AE3802" s="74"/>
      <c r="AF3802" s="77"/>
      <c r="AH3802" s="497">
        <v>71.599999999999994</v>
      </c>
      <c r="AJ3802" s="42"/>
      <c r="AK3802" s="74"/>
      <c r="AL3802" s="77"/>
      <c r="AN3802" s="497">
        <v>71.06</v>
      </c>
      <c r="AP3802" s="42"/>
      <c r="AQ3802" s="74"/>
      <c r="AR3802" s="77"/>
      <c r="AT3802" s="497">
        <v>69.98</v>
      </c>
      <c r="AV3802" s="42"/>
      <c r="AW3802" s="74"/>
      <c r="AX3802" s="77"/>
      <c r="BA3802" s="497">
        <v>84.02</v>
      </c>
      <c r="BB3802" s="42"/>
      <c r="BC3802" s="74"/>
      <c r="BD3802" s="77"/>
      <c r="BF3802">
        <v>64.94</v>
      </c>
      <c r="BH3802" s="42"/>
      <c r="BI3802" s="74"/>
      <c r="BJ3802" s="77"/>
      <c r="BL3802" s="497">
        <v>73.94</v>
      </c>
      <c r="BN3802" s="42"/>
      <c r="BO3802" s="74"/>
      <c r="BP3802" s="77"/>
      <c r="BR3802" s="497">
        <v>64.039999999999992</v>
      </c>
      <c r="BT3802" s="42"/>
    </row>
    <row r="3803" spans="1:72" x14ac:dyDescent="0.25">
      <c r="A3803" s="90">
        <v>34492</v>
      </c>
      <c r="B3803" s="20">
        <v>0.70833333333333337</v>
      </c>
      <c r="D3803">
        <v>75.92</v>
      </c>
      <c r="E3803" t="str">
        <f t="shared" si="154"/>
        <v>WEEKDAY</v>
      </c>
      <c r="F3803" t="e">
        <f t="shared" si="153"/>
        <v>#N/A</v>
      </c>
      <c r="G3803" s="74">
        <v>33031</v>
      </c>
      <c r="H3803" s="77">
        <v>0.70833333333333337</v>
      </c>
      <c r="J3803">
        <v>80.960000000000008</v>
      </c>
      <c r="M3803" s="74">
        <v>37779</v>
      </c>
      <c r="N3803" s="77">
        <v>0.70833333333333337</v>
      </c>
      <c r="P3803">
        <v>57.2</v>
      </c>
      <c r="S3803" s="74">
        <v>34492</v>
      </c>
      <c r="T3803" s="77">
        <v>0.70833333333333337</v>
      </c>
      <c r="V3803">
        <v>87.080000000000013</v>
      </c>
      <c r="X3803" s="42"/>
      <c r="AB3803">
        <v>71.7</v>
      </c>
      <c r="AC3803">
        <v>84.02</v>
      </c>
      <c r="AE3803" s="74"/>
      <c r="AF3803" s="77"/>
      <c r="AH3803" s="497">
        <v>73.400000000000006</v>
      </c>
      <c r="AJ3803" s="42"/>
      <c r="AK3803" s="74"/>
      <c r="AL3803" s="77"/>
      <c r="AN3803" s="497">
        <v>71.06</v>
      </c>
      <c r="AP3803" s="42"/>
      <c r="AQ3803" s="74"/>
      <c r="AR3803" s="77"/>
      <c r="AT3803" s="497">
        <v>71.06</v>
      </c>
      <c r="AV3803" s="42"/>
      <c r="AW3803" s="74"/>
      <c r="AX3803" s="77"/>
      <c r="BA3803" s="497">
        <v>82.759999999999991</v>
      </c>
      <c r="BB3803" s="42"/>
      <c r="BC3803" s="74"/>
      <c r="BD3803" s="77"/>
      <c r="BF3803">
        <v>64.039999999999992</v>
      </c>
      <c r="BH3803" s="42"/>
      <c r="BI3803" s="74"/>
      <c r="BJ3803" s="77"/>
      <c r="BL3803" s="497">
        <v>73.94</v>
      </c>
      <c r="BN3803" s="42"/>
      <c r="BO3803" s="74"/>
      <c r="BP3803" s="77"/>
      <c r="BR3803" s="497">
        <v>64.039999999999992</v>
      </c>
      <c r="BT3803" s="42"/>
    </row>
    <row r="3804" spans="1:72" x14ac:dyDescent="0.25">
      <c r="A3804" s="90">
        <v>34492</v>
      </c>
      <c r="B3804" s="20">
        <v>0.75</v>
      </c>
      <c r="D3804">
        <v>77</v>
      </c>
      <c r="E3804" t="str">
        <f t="shared" si="154"/>
        <v>WEEKDAY</v>
      </c>
      <c r="F3804" t="e">
        <f t="shared" si="153"/>
        <v>#N/A</v>
      </c>
      <c r="G3804" s="74">
        <v>33031</v>
      </c>
      <c r="H3804" s="77">
        <v>0.75</v>
      </c>
      <c r="J3804">
        <v>78.080000000000013</v>
      </c>
      <c r="M3804" s="74">
        <v>37779</v>
      </c>
      <c r="N3804" s="77">
        <v>0.75</v>
      </c>
      <c r="P3804">
        <v>57.2</v>
      </c>
      <c r="S3804" s="74">
        <v>34492</v>
      </c>
      <c r="T3804" s="77">
        <v>0.75</v>
      </c>
      <c r="V3804">
        <v>84.02</v>
      </c>
      <c r="X3804" s="42"/>
      <c r="AB3804">
        <v>70.5</v>
      </c>
      <c r="AC3804">
        <v>82.039999999999992</v>
      </c>
      <c r="AE3804" s="74"/>
      <c r="AF3804" s="77"/>
      <c r="AH3804" s="497">
        <v>71.599999999999994</v>
      </c>
      <c r="AJ3804" s="42"/>
      <c r="AK3804" s="74"/>
      <c r="AL3804" s="77"/>
      <c r="AN3804" s="497">
        <v>71.06</v>
      </c>
      <c r="AP3804" s="42"/>
      <c r="AQ3804" s="74"/>
      <c r="AR3804" s="77"/>
      <c r="AT3804" s="497">
        <v>69.98</v>
      </c>
      <c r="AV3804" s="42"/>
      <c r="AW3804" s="74"/>
      <c r="AX3804" s="77"/>
      <c r="BA3804" s="497">
        <v>81.319999999999993</v>
      </c>
      <c r="BB3804" s="42"/>
      <c r="BC3804" s="74"/>
      <c r="BD3804" s="77"/>
      <c r="BF3804">
        <v>62.06</v>
      </c>
      <c r="BH3804" s="42"/>
      <c r="BI3804" s="74"/>
      <c r="BJ3804" s="77"/>
      <c r="BL3804" s="497">
        <v>73.94</v>
      </c>
      <c r="BN3804" s="42"/>
      <c r="BO3804" s="74"/>
      <c r="BP3804" s="77"/>
      <c r="BR3804" s="497">
        <v>62.96</v>
      </c>
      <c r="BT3804" s="42"/>
    </row>
    <row r="3805" spans="1:72" x14ac:dyDescent="0.25">
      <c r="A3805" s="90">
        <v>34492</v>
      </c>
      <c r="B3805" s="20">
        <v>0.79166666666666663</v>
      </c>
      <c r="D3805">
        <v>75.92</v>
      </c>
      <c r="E3805" t="str">
        <f t="shared" si="154"/>
        <v>WEEKDAY</v>
      </c>
      <c r="F3805" t="e">
        <f t="shared" si="153"/>
        <v>#N/A</v>
      </c>
      <c r="G3805" s="74">
        <v>33031</v>
      </c>
      <c r="H3805" s="77">
        <v>0.79166666666666663</v>
      </c>
      <c r="J3805">
        <v>77</v>
      </c>
      <c r="M3805" s="74">
        <v>37779</v>
      </c>
      <c r="N3805" s="77">
        <v>0.79166666666666663</v>
      </c>
      <c r="P3805">
        <v>57.2</v>
      </c>
      <c r="S3805" s="74">
        <v>34492</v>
      </c>
      <c r="T3805" s="77">
        <v>0.79166666666666663</v>
      </c>
      <c r="V3805">
        <v>80.960000000000008</v>
      </c>
      <c r="X3805" s="42"/>
      <c r="AB3805">
        <v>69.3</v>
      </c>
      <c r="AC3805">
        <v>78.98</v>
      </c>
      <c r="AE3805" s="74"/>
      <c r="AF3805" s="77"/>
      <c r="AH3805" s="497">
        <v>64.039999999999992</v>
      </c>
      <c r="AJ3805" s="42"/>
      <c r="AK3805" s="74"/>
      <c r="AL3805" s="77"/>
      <c r="AN3805" s="497">
        <v>69.080000000000013</v>
      </c>
      <c r="AP3805" s="42"/>
      <c r="AQ3805" s="74"/>
      <c r="AR3805" s="77"/>
      <c r="AT3805" s="497">
        <v>68</v>
      </c>
      <c r="AV3805" s="42"/>
      <c r="AW3805" s="74"/>
      <c r="AX3805" s="77"/>
      <c r="BA3805" s="497">
        <v>80.06</v>
      </c>
      <c r="BB3805" s="42"/>
      <c r="BC3805" s="74"/>
      <c r="BD3805" s="77"/>
      <c r="BF3805">
        <v>64.94</v>
      </c>
      <c r="BH3805" s="42"/>
      <c r="BI3805" s="74"/>
      <c r="BJ3805" s="77"/>
      <c r="BL3805" s="497">
        <v>73.94</v>
      </c>
      <c r="BN3805" s="42"/>
      <c r="BO3805" s="74"/>
      <c r="BP3805" s="77"/>
      <c r="BR3805" s="497">
        <v>60.980000000000004</v>
      </c>
      <c r="BT3805" s="42"/>
    </row>
    <row r="3806" spans="1:72" x14ac:dyDescent="0.25">
      <c r="A3806" s="90">
        <v>34492</v>
      </c>
      <c r="B3806" s="20">
        <v>0.83333333333333337</v>
      </c>
      <c r="D3806">
        <v>78.98</v>
      </c>
      <c r="E3806" t="str">
        <f t="shared" si="154"/>
        <v>WEEKDAY</v>
      </c>
      <c r="F3806" t="e">
        <f t="shared" si="153"/>
        <v>#N/A</v>
      </c>
      <c r="G3806" s="74">
        <v>33031</v>
      </c>
      <c r="H3806" s="77">
        <v>0.83333333333333337</v>
      </c>
      <c r="J3806">
        <v>75.92</v>
      </c>
      <c r="M3806" s="74">
        <v>37779</v>
      </c>
      <c r="N3806" s="77">
        <v>0.83333333333333337</v>
      </c>
      <c r="P3806">
        <v>57.2</v>
      </c>
      <c r="S3806" s="74">
        <v>34492</v>
      </c>
      <c r="T3806" s="77">
        <v>0.83333333333333337</v>
      </c>
      <c r="V3806">
        <v>77</v>
      </c>
      <c r="X3806" s="42"/>
      <c r="AB3806">
        <v>67.900000000000006</v>
      </c>
      <c r="AC3806">
        <v>73.94</v>
      </c>
      <c r="AE3806" s="74"/>
      <c r="AF3806" s="77"/>
      <c r="AH3806" s="497">
        <v>55.400000000000006</v>
      </c>
      <c r="AJ3806" s="42"/>
      <c r="AK3806" s="74"/>
      <c r="AL3806" s="77"/>
      <c r="AN3806" s="497">
        <v>66.92</v>
      </c>
      <c r="AP3806" s="42"/>
      <c r="AQ3806" s="74"/>
      <c r="AR3806" s="77"/>
      <c r="AT3806" s="497">
        <v>66.92</v>
      </c>
      <c r="AV3806" s="42"/>
      <c r="AW3806" s="74"/>
      <c r="AX3806" s="77"/>
      <c r="BA3806" s="497">
        <v>78.44</v>
      </c>
      <c r="BB3806" s="42"/>
      <c r="BC3806" s="74"/>
      <c r="BD3806" s="77"/>
      <c r="BF3806">
        <v>64.94</v>
      </c>
      <c r="BH3806" s="42"/>
      <c r="BI3806" s="74"/>
      <c r="BJ3806" s="77"/>
      <c r="BL3806" s="497">
        <v>71.960000000000008</v>
      </c>
      <c r="BN3806" s="42"/>
      <c r="BO3806" s="74"/>
      <c r="BP3806" s="77"/>
      <c r="BR3806" s="497">
        <v>57.92</v>
      </c>
      <c r="BT3806" s="42"/>
    </row>
    <row r="3807" spans="1:72" x14ac:dyDescent="0.25">
      <c r="A3807" s="90">
        <v>34492</v>
      </c>
      <c r="B3807" s="20">
        <v>0.875</v>
      </c>
      <c r="D3807">
        <v>78.080000000000013</v>
      </c>
      <c r="E3807" t="str">
        <f t="shared" si="154"/>
        <v>WEEKDAY</v>
      </c>
      <c r="F3807" t="e">
        <f t="shared" si="153"/>
        <v>#N/A</v>
      </c>
      <c r="G3807" s="74">
        <v>33031</v>
      </c>
      <c r="H3807" s="77">
        <v>0.875</v>
      </c>
      <c r="J3807">
        <v>75.02</v>
      </c>
      <c r="M3807" s="74">
        <v>37779</v>
      </c>
      <c r="N3807" s="77">
        <v>0.875</v>
      </c>
      <c r="P3807">
        <v>55.400000000000006</v>
      </c>
      <c r="S3807" s="74">
        <v>34492</v>
      </c>
      <c r="T3807" s="77">
        <v>0.875</v>
      </c>
      <c r="V3807">
        <v>75.02</v>
      </c>
      <c r="X3807" s="42"/>
      <c r="AB3807">
        <v>66.7</v>
      </c>
      <c r="AC3807">
        <v>71.06</v>
      </c>
      <c r="AE3807" s="74"/>
      <c r="AF3807" s="77"/>
      <c r="AH3807" s="497">
        <v>57.2</v>
      </c>
      <c r="AJ3807" s="42"/>
      <c r="AK3807" s="74"/>
      <c r="AL3807" s="77"/>
      <c r="AN3807" s="497">
        <v>66.92</v>
      </c>
      <c r="AP3807" s="42"/>
      <c r="AQ3807" s="74"/>
      <c r="AR3807" s="77"/>
      <c r="AT3807" s="497">
        <v>66.02</v>
      </c>
      <c r="AV3807" s="42"/>
      <c r="AW3807" s="74"/>
      <c r="AX3807" s="77"/>
      <c r="BA3807" s="497">
        <v>76.64</v>
      </c>
      <c r="BB3807" s="42"/>
      <c r="BC3807" s="74"/>
      <c r="BD3807" s="77"/>
      <c r="BF3807">
        <v>64.039999999999992</v>
      </c>
      <c r="BH3807" s="42"/>
      <c r="BI3807" s="74"/>
      <c r="BJ3807" s="77"/>
      <c r="BL3807" s="497">
        <v>73.94</v>
      </c>
      <c r="BN3807" s="42"/>
      <c r="BO3807" s="74"/>
      <c r="BP3807" s="77"/>
      <c r="BR3807" s="497">
        <v>53.06</v>
      </c>
      <c r="BT3807" s="42"/>
    </row>
    <row r="3808" spans="1:72" x14ac:dyDescent="0.25">
      <c r="A3808" s="90">
        <v>34492</v>
      </c>
      <c r="B3808" s="20">
        <v>0.91666666666666663</v>
      </c>
      <c r="D3808">
        <v>77</v>
      </c>
      <c r="E3808" t="str">
        <f t="shared" si="154"/>
        <v>WEEKDAY</v>
      </c>
      <c r="F3808" t="e">
        <f t="shared" si="153"/>
        <v>#N/A</v>
      </c>
      <c r="G3808" s="74">
        <v>33031</v>
      </c>
      <c r="H3808" s="77">
        <v>0.91666666666666663</v>
      </c>
      <c r="J3808">
        <v>73.94</v>
      </c>
      <c r="M3808" s="74">
        <v>37779</v>
      </c>
      <c r="N3808" s="77">
        <v>0.91666666666666663</v>
      </c>
      <c r="P3808">
        <v>57.2</v>
      </c>
      <c r="S3808" s="74">
        <v>34492</v>
      </c>
      <c r="T3808" s="77">
        <v>0.91666666666666663</v>
      </c>
      <c r="V3808">
        <v>73.039999999999992</v>
      </c>
      <c r="X3808" s="42"/>
      <c r="AB3808">
        <v>66</v>
      </c>
      <c r="AC3808">
        <v>69.98</v>
      </c>
      <c r="AE3808" s="74"/>
      <c r="AF3808" s="77"/>
      <c r="AH3808" s="497">
        <v>55.400000000000006</v>
      </c>
      <c r="AJ3808" s="42"/>
      <c r="AK3808" s="74"/>
      <c r="AL3808" s="77"/>
      <c r="AN3808" s="497">
        <v>66.02</v>
      </c>
      <c r="AP3808" s="42"/>
      <c r="AQ3808" s="74"/>
      <c r="AR3808" s="77"/>
      <c r="AT3808" s="497">
        <v>66.02</v>
      </c>
      <c r="AV3808" s="42"/>
      <c r="AW3808" s="74"/>
      <c r="AX3808" s="77"/>
      <c r="BA3808" s="497">
        <v>75.02</v>
      </c>
      <c r="BB3808" s="42"/>
      <c r="BC3808" s="74"/>
      <c r="BD3808" s="77"/>
      <c r="BF3808">
        <v>64.039999999999992</v>
      </c>
      <c r="BH3808" s="42"/>
      <c r="BI3808" s="74"/>
      <c r="BJ3808" s="77"/>
      <c r="BL3808" s="497">
        <v>75.02</v>
      </c>
      <c r="BN3808" s="42"/>
      <c r="BO3808" s="74"/>
      <c r="BP3808" s="77"/>
      <c r="BR3808" s="497">
        <v>51.08</v>
      </c>
      <c r="BT3808" s="42"/>
    </row>
    <row r="3809" spans="1:72" x14ac:dyDescent="0.25">
      <c r="A3809" s="90">
        <v>34492</v>
      </c>
      <c r="B3809" s="20">
        <v>0.95833333333333337</v>
      </c>
      <c r="D3809">
        <v>75.92</v>
      </c>
      <c r="E3809" t="str">
        <f t="shared" si="154"/>
        <v>WEEKDAY</v>
      </c>
      <c r="F3809" t="e">
        <f t="shared" si="153"/>
        <v>#N/A</v>
      </c>
      <c r="G3809" s="74">
        <v>33031</v>
      </c>
      <c r="H3809" s="77">
        <v>0.95833333333333337</v>
      </c>
      <c r="J3809">
        <v>71.960000000000008</v>
      </c>
      <c r="M3809" s="74">
        <v>37779</v>
      </c>
      <c r="N3809" s="77">
        <v>0.95833333333333337</v>
      </c>
      <c r="P3809">
        <v>57.2</v>
      </c>
      <c r="S3809" s="74">
        <v>34492</v>
      </c>
      <c r="T3809" s="77">
        <v>0.95833333333333337</v>
      </c>
      <c r="V3809">
        <v>71.06</v>
      </c>
      <c r="X3809" s="42"/>
      <c r="AB3809">
        <v>65.400000000000006</v>
      </c>
      <c r="AC3809">
        <v>69.080000000000013</v>
      </c>
      <c r="AE3809" s="74"/>
      <c r="AF3809" s="77"/>
      <c r="AH3809" s="497">
        <v>50</v>
      </c>
      <c r="AJ3809" s="42"/>
      <c r="AK3809" s="74"/>
      <c r="AL3809" s="77"/>
      <c r="AN3809" s="497">
        <v>62.06</v>
      </c>
      <c r="AP3809" s="42"/>
      <c r="AQ3809" s="74"/>
      <c r="AR3809" s="77"/>
      <c r="AT3809" s="497">
        <v>66.02</v>
      </c>
      <c r="AV3809" s="42"/>
      <c r="AW3809" s="74"/>
      <c r="AX3809" s="77"/>
      <c r="BA3809" s="497">
        <v>74.300000000000011</v>
      </c>
      <c r="BB3809" s="42"/>
      <c r="BC3809" s="74"/>
      <c r="BD3809" s="77"/>
      <c r="BF3809">
        <v>64.039999999999992</v>
      </c>
      <c r="BH3809" s="42"/>
      <c r="BI3809" s="74"/>
      <c r="BJ3809" s="77"/>
      <c r="BL3809" s="497">
        <v>73.94</v>
      </c>
      <c r="BN3809" s="42"/>
      <c r="BO3809" s="74"/>
      <c r="BP3809" s="77"/>
      <c r="BR3809" s="497">
        <v>50</v>
      </c>
      <c r="BT3809" s="42"/>
    </row>
    <row r="3810" spans="1:72" x14ac:dyDescent="0.25">
      <c r="A3810" s="90">
        <v>34492</v>
      </c>
      <c r="B3810" s="20">
        <v>1</v>
      </c>
      <c r="D3810">
        <v>73.94</v>
      </c>
      <c r="E3810" t="str">
        <f t="shared" si="154"/>
        <v>WEEKDAY</v>
      </c>
      <c r="F3810" t="e">
        <f t="shared" si="153"/>
        <v>#N/A</v>
      </c>
      <c r="G3810" s="74">
        <v>33031</v>
      </c>
      <c r="H3810" s="77">
        <v>1</v>
      </c>
      <c r="J3810">
        <v>69.98</v>
      </c>
      <c r="M3810" s="74">
        <v>37779</v>
      </c>
      <c r="N3810" s="80">
        <v>1</v>
      </c>
      <c r="P3810">
        <v>57.2</v>
      </c>
      <c r="S3810" s="74">
        <v>34492</v>
      </c>
      <c r="T3810" s="80">
        <v>1</v>
      </c>
      <c r="V3810">
        <v>69.080000000000013</v>
      </c>
      <c r="X3810" s="42"/>
      <c r="AB3810">
        <v>64.8</v>
      </c>
      <c r="AC3810">
        <v>66.92</v>
      </c>
      <c r="AE3810" s="74"/>
      <c r="AF3810" s="80"/>
      <c r="AH3810" s="497">
        <v>50</v>
      </c>
      <c r="AJ3810" s="42"/>
      <c r="AK3810" s="74"/>
      <c r="AL3810" s="80"/>
      <c r="AN3810" s="497">
        <v>60.980000000000004</v>
      </c>
      <c r="AP3810" s="42"/>
      <c r="AQ3810" s="74"/>
      <c r="AR3810" s="80"/>
      <c r="AT3810" s="497">
        <v>64.94</v>
      </c>
      <c r="AV3810" s="42"/>
      <c r="AW3810" s="74"/>
      <c r="AX3810" s="80"/>
      <c r="BA3810" s="497">
        <v>73.759999999999991</v>
      </c>
      <c r="BB3810" s="42"/>
      <c r="BC3810" s="74"/>
      <c r="BD3810" s="80"/>
      <c r="BF3810">
        <v>64.039999999999992</v>
      </c>
      <c r="BH3810" s="42"/>
      <c r="BI3810" s="74"/>
      <c r="BJ3810" s="80"/>
      <c r="BL3810" s="497">
        <v>73.94</v>
      </c>
      <c r="BN3810" s="42"/>
      <c r="BO3810" s="74"/>
      <c r="BP3810" s="80"/>
      <c r="BR3810" s="497">
        <v>46.94</v>
      </c>
      <c r="BT3810" s="42"/>
    </row>
    <row r="3811" spans="1:72" x14ac:dyDescent="0.25">
      <c r="A3811" s="90">
        <v>34493</v>
      </c>
      <c r="B3811" s="20">
        <v>4.1666666666666664E-2</v>
      </c>
      <c r="D3811">
        <v>73.039999999999992</v>
      </c>
      <c r="E3811" t="str">
        <f t="shared" si="154"/>
        <v>WEEKDAY</v>
      </c>
      <c r="F3811" t="e">
        <f t="shared" si="153"/>
        <v>#N/A</v>
      </c>
      <c r="G3811" s="74">
        <v>33032</v>
      </c>
      <c r="H3811" s="77">
        <v>4.1666666666666664E-2</v>
      </c>
      <c r="J3811">
        <v>69.080000000000013</v>
      </c>
      <c r="M3811" s="74">
        <v>37780</v>
      </c>
      <c r="N3811" s="77">
        <v>4.1666666666666664E-2</v>
      </c>
      <c r="P3811">
        <v>57.2</v>
      </c>
      <c r="S3811" s="74">
        <v>34493</v>
      </c>
      <c r="T3811" s="77">
        <v>4.1666666666666664E-2</v>
      </c>
      <c r="V3811">
        <v>68</v>
      </c>
      <c r="X3811" s="42"/>
      <c r="AB3811">
        <v>64.3</v>
      </c>
      <c r="AC3811">
        <v>64.039999999999992</v>
      </c>
      <c r="AE3811" s="74"/>
      <c r="AF3811" s="77"/>
      <c r="AH3811" s="497">
        <v>51.8</v>
      </c>
      <c r="AJ3811" s="42"/>
      <c r="AK3811" s="74"/>
      <c r="AL3811" s="77"/>
      <c r="AN3811" s="497">
        <v>59</v>
      </c>
      <c r="AP3811" s="42"/>
      <c r="AQ3811" s="74"/>
      <c r="AR3811" s="77"/>
      <c r="AT3811" s="497">
        <v>64.94</v>
      </c>
      <c r="AV3811" s="42"/>
      <c r="AW3811" s="74"/>
      <c r="AX3811" s="77"/>
      <c r="BA3811" s="497">
        <v>73.039999999999992</v>
      </c>
      <c r="BB3811" s="42"/>
      <c r="BC3811" s="74"/>
      <c r="BD3811" s="77"/>
      <c r="BF3811">
        <v>62.96</v>
      </c>
      <c r="BH3811" s="42"/>
      <c r="BI3811" s="74"/>
      <c r="BJ3811" s="77"/>
      <c r="BL3811" s="497">
        <v>75.02</v>
      </c>
      <c r="BN3811" s="42"/>
      <c r="BO3811" s="74"/>
      <c r="BP3811" s="77"/>
      <c r="BR3811" s="497">
        <v>46.04</v>
      </c>
      <c r="BT3811" s="42"/>
    </row>
    <row r="3812" spans="1:72" x14ac:dyDescent="0.25">
      <c r="A3812" s="90">
        <v>34493</v>
      </c>
      <c r="B3812" s="20">
        <v>8.3333333333333329E-2</v>
      </c>
      <c r="D3812">
        <v>71.960000000000008</v>
      </c>
      <c r="E3812" t="str">
        <f t="shared" si="154"/>
        <v>WEEKDAY</v>
      </c>
      <c r="F3812" t="e">
        <f t="shared" si="153"/>
        <v>#N/A</v>
      </c>
      <c r="G3812" s="74">
        <v>33032</v>
      </c>
      <c r="H3812" s="77">
        <v>8.3333333333333329E-2</v>
      </c>
      <c r="J3812">
        <v>66.02</v>
      </c>
      <c r="M3812" s="74">
        <v>37780</v>
      </c>
      <c r="N3812" s="77">
        <v>8.3333333333333329E-2</v>
      </c>
      <c r="P3812">
        <v>57.2</v>
      </c>
      <c r="S3812" s="74">
        <v>34493</v>
      </c>
      <c r="T3812" s="77">
        <v>8.3333333333333329E-2</v>
      </c>
      <c r="V3812">
        <v>66.92</v>
      </c>
      <c r="X3812" s="42"/>
      <c r="AB3812">
        <v>63.8</v>
      </c>
      <c r="AC3812">
        <v>62.06</v>
      </c>
      <c r="AE3812" s="74"/>
      <c r="AF3812" s="77"/>
      <c r="AH3812" s="497">
        <v>48.2</v>
      </c>
      <c r="AJ3812" s="42"/>
      <c r="AK3812" s="74"/>
      <c r="AL3812" s="77"/>
      <c r="AN3812" s="497">
        <v>57.92</v>
      </c>
      <c r="AP3812" s="42"/>
      <c r="AQ3812" s="74"/>
      <c r="AR3812" s="77"/>
      <c r="AT3812" s="497">
        <v>64.94</v>
      </c>
      <c r="AV3812" s="42"/>
      <c r="AW3812" s="74"/>
      <c r="AX3812" s="77"/>
      <c r="BA3812" s="497">
        <v>73.039999999999992</v>
      </c>
      <c r="BB3812" s="42"/>
      <c r="BC3812" s="74"/>
      <c r="BD3812" s="77"/>
      <c r="BF3812">
        <v>62.06</v>
      </c>
      <c r="BH3812" s="42"/>
      <c r="BI3812" s="74"/>
      <c r="BJ3812" s="77"/>
      <c r="BL3812" s="497">
        <v>75.02</v>
      </c>
      <c r="BN3812" s="42"/>
      <c r="BO3812" s="74"/>
      <c r="BP3812" s="77"/>
      <c r="BR3812" s="497">
        <v>44.96</v>
      </c>
      <c r="BT3812" s="42"/>
    </row>
    <row r="3813" spans="1:72" x14ac:dyDescent="0.25">
      <c r="A3813" s="90">
        <v>34493</v>
      </c>
      <c r="B3813" s="20">
        <v>0.125</v>
      </c>
      <c r="D3813">
        <v>71.960000000000008</v>
      </c>
      <c r="E3813" t="str">
        <f t="shared" si="154"/>
        <v>WEEKDAY</v>
      </c>
      <c r="F3813" t="e">
        <f t="shared" si="153"/>
        <v>#N/A</v>
      </c>
      <c r="G3813" s="74">
        <v>33032</v>
      </c>
      <c r="H3813" s="77">
        <v>0.125</v>
      </c>
      <c r="J3813">
        <v>64.94</v>
      </c>
      <c r="M3813" s="74">
        <v>37780</v>
      </c>
      <c r="N3813" s="77">
        <v>0.125</v>
      </c>
      <c r="P3813">
        <v>57.2</v>
      </c>
      <c r="S3813" s="74">
        <v>34493</v>
      </c>
      <c r="T3813" s="77">
        <v>0.125</v>
      </c>
      <c r="V3813">
        <v>64.94</v>
      </c>
      <c r="X3813" s="42"/>
      <c r="AB3813">
        <v>63.3</v>
      </c>
      <c r="AC3813">
        <v>62.06</v>
      </c>
      <c r="AE3813" s="74"/>
      <c r="AF3813" s="77"/>
      <c r="AH3813" s="497">
        <v>48.2</v>
      </c>
      <c r="AJ3813" s="42"/>
      <c r="AK3813" s="74"/>
      <c r="AL3813" s="77"/>
      <c r="AN3813" s="497">
        <v>57.92</v>
      </c>
      <c r="AP3813" s="42"/>
      <c r="AQ3813" s="74"/>
      <c r="AR3813" s="77"/>
      <c r="AT3813" s="497">
        <v>64.94</v>
      </c>
      <c r="AV3813" s="42"/>
      <c r="AW3813" s="74"/>
      <c r="AX3813" s="77"/>
      <c r="BA3813" s="497">
        <v>73.039999999999992</v>
      </c>
      <c r="BB3813" s="42"/>
      <c r="BC3813" s="74"/>
      <c r="BD3813" s="77"/>
      <c r="BF3813">
        <v>62.06</v>
      </c>
      <c r="BH3813" s="42"/>
      <c r="BI3813" s="74"/>
      <c r="BJ3813" s="77"/>
      <c r="BL3813" s="497">
        <v>75.02</v>
      </c>
      <c r="BN3813" s="42"/>
      <c r="BO3813" s="74"/>
      <c r="BP3813" s="77"/>
      <c r="BR3813" s="497">
        <v>42.980000000000004</v>
      </c>
      <c r="BT3813" s="42"/>
    </row>
    <row r="3814" spans="1:72" x14ac:dyDescent="0.25">
      <c r="A3814" s="90">
        <v>34493</v>
      </c>
      <c r="B3814" s="20">
        <v>0.16666666666666666</v>
      </c>
      <c r="D3814">
        <v>71.06</v>
      </c>
      <c r="E3814" t="str">
        <f t="shared" si="154"/>
        <v>WEEKDAY</v>
      </c>
      <c r="F3814" t="e">
        <f t="shared" si="153"/>
        <v>#N/A</v>
      </c>
      <c r="G3814" s="74">
        <v>33032</v>
      </c>
      <c r="H3814" s="77">
        <v>0.16666666666666666</v>
      </c>
      <c r="J3814">
        <v>64.94</v>
      </c>
      <c r="M3814" s="74">
        <v>37780</v>
      </c>
      <c r="N3814" s="77">
        <v>0.16666666666666666</v>
      </c>
      <c r="P3814">
        <v>57.2</v>
      </c>
      <c r="S3814" s="74">
        <v>34493</v>
      </c>
      <c r="T3814" s="77">
        <v>0.16666666666666666</v>
      </c>
      <c r="V3814">
        <v>66.02</v>
      </c>
      <c r="X3814" s="42"/>
      <c r="AB3814">
        <v>62.8</v>
      </c>
      <c r="AC3814">
        <v>60.08</v>
      </c>
      <c r="AE3814" s="74"/>
      <c r="AF3814" s="77"/>
      <c r="AH3814" s="497">
        <v>46.4</v>
      </c>
      <c r="AJ3814" s="42"/>
      <c r="AK3814" s="74"/>
      <c r="AL3814" s="77"/>
      <c r="AN3814" s="497">
        <v>55.040000000000006</v>
      </c>
      <c r="AP3814" s="42"/>
      <c r="AQ3814" s="74"/>
      <c r="AR3814" s="77"/>
      <c r="AT3814" s="497">
        <v>64.94</v>
      </c>
      <c r="AV3814" s="42"/>
      <c r="AW3814" s="74"/>
      <c r="AX3814" s="77"/>
      <c r="BA3814" s="497">
        <v>73.039999999999992</v>
      </c>
      <c r="BB3814" s="42"/>
      <c r="BC3814" s="74"/>
      <c r="BD3814" s="77"/>
      <c r="BF3814">
        <v>62.06</v>
      </c>
      <c r="BH3814" s="42"/>
      <c r="BI3814" s="74"/>
      <c r="BJ3814" s="77"/>
      <c r="BL3814" s="497">
        <v>73.94</v>
      </c>
      <c r="BN3814" s="42"/>
      <c r="BO3814" s="74"/>
      <c r="BP3814" s="77"/>
      <c r="BR3814" s="497">
        <v>42.08</v>
      </c>
      <c r="BT3814" s="42"/>
    </row>
    <row r="3815" spans="1:72" x14ac:dyDescent="0.25">
      <c r="A3815" s="90">
        <v>34493</v>
      </c>
      <c r="B3815" s="20">
        <v>0.20833333333333334</v>
      </c>
      <c r="D3815">
        <v>69.98</v>
      </c>
      <c r="E3815" t="str">
        <f t="shared" si="154"/>
        <v>WEEKDAY</v>
      </c>
      <c r="F3815" t="e">
        <f t="shared" si="153"/>
        <v>#N/A</v>
      </c>
      <c r="G3815" s="74">
        <v>33032</v>
      </c>
      <c r="H3815" s="77">
        <v>0.20833333333333334</v>
      </c>
      <c r="J3815">
        <v>64.039999999999992</v>
      </c>
      <c r="M3815" s="74">
        <v>37780</v>
      </c>
      <c r="N3815" s="77">
        <v>0.20833333333333334</v>
      </c>
      <c r="P3815">
        <v>57.2</v>
      </c>
      <c r="S3815" s="74">
        <v>34493</v>
      </c>
      <c r="T3815" s="77">
        <v>0.20833333333333334</v>
      </c>
      <c r="V3815">
        <v>66.02</v>
      </c>
      <c r="X3815" s="42"/>
      <c r="AB3815">
        <v>62.4</v>
      </c>
      <c r="AC3815">
        <v>64.039999999999992</v>
      </c>
      <c r="AE3815" s="74"/>
      <c r="AF3815" s="77"/>
      <c r="AH3815" s="497">
        <v>46.4</v>
      </c>
      <c r="AJ3815" s="42"/>
      <c r="AK3815" s="74"/>
      <c r="AL3815" s="77"/>
      <c r="AN3815" s="497">
        <v>53.06</v>
      </c>
      <c r="AP3815" s="42"/>
      <c r="AQ3815" s="74"/>
      <c r="AR3815" s="77"/>
      <c r="AT3815" s="497">
        <v>64.94</v>
      </c>
      <c r="AV3815" s="42"/>
      <c r="AW3815" s="74"/>
      <c r="AX3815" s="77"/>
      <c r="BA3815" s="497">
        <v>73.400000000000006</v>
      </c>
      <c r="BB3815" s="42"/>
      <c r="BC3815" s="74"/>
      <c r="BD3815" s="77"/>
      <c r="BF3815">
        <v>62.96</v>
      </c>
      <c r="BH3815" s="42"/>
      <c r="BI3815" s="74"/>
      <c r="BJ3815" s="77"/>
      <c r="BL3815" s="497">
        <v>71.960000000000008</v>
      </c>
      <c r="BN3815" s="42"/>
      <c r="BO3815" s="74"/>
      <c r="BP3815" s="77"/>
      <c r="BR3815" s="497">
        <v>44.06</v>
      </c>
      <c r="BT3815" s="42"/>
    </row>
    <row r="3816" spans="1:72" x14ac:dyDescent="0.25">
      <c r="A3816" s="90">
        <v>34493</v>
      </c>
      <c r="B3816" s="20">
        <v>0.25</v>
      </c>
      <c r="D3816">
        <v>69.98</v>
      </c>
      <c r="E3816" t="str">
        <f t="shared" si="154"/>
        <v>WEEKDAY</v>
      </c>
      <c r="F3816" t="e">
        <f t="shared" si="153"/>
        <v>#N/A</v>
      </c>
      <c r="G3816" s="74">
        <v>33032</v>
      </c>
      <c r="H3816" s="77">
        <v>0.25</v>
      </c>
      <c r="J3816">
        <v>64.039999999999992</v>
      </c>
      <c r="M3816" s="74">
        <v>37780</v>
      </c>
      <c r="N3816" s="77">
        <v>0.25</v>
      </c>
      <c r="P3816">
        <v>59</v>
      </c>
      <c r="S3816" s="74">
        <v>34493</v>
      </c>
      <c r="T3816" s="77">
        <v>0.25</v>
      </c>
      <c r="V3816">
        <v>68</v>
      </c>
      <c r="X3816" s="42"/>
      <c r="AB3816">
        <v>62.3</v>
      </c>
      <c r="AC3816">
        <v>64.94</v>
      </c>
      <c r="AE3816" s="74"/>
      <c r="AF3816" s="77"/>
      <c r="AH3816" s="497">
        <v>51.8</v>
      </c>
      <c r="AJ3816" s="42"/>
      <c r="AK3816" s="74"/>
      <c r="AL3816" s="77"/>
      <c r="AN3816" s="497">
        <v>51.08</v>
      </c>
      <c r="AP3816" s="42"/>
      <c r="AQ3816" s="74"/>
      <c r="AR3816" s="77"/>
      <c r="AT3816" s="497">
        <v>64.94</v>
      </c>
      <c r="AV3816" s="42"/>
      <c r="AW3816" s="74"/>
      <c r="AX3816" s="77"/>
      <c r="BA3816" s="497">
        <v>73.580000000000013</v>
      </c>
      <c r="BB3816" s="42"/>
      <c r="BC3816" s="74"/>
      <c r="BD3816" s="77"/>
      <c r="BF3816">
        <v>62.96</v>
      </c>
      <c r="BH3816" s="42"/>
      <c r="BI3816" s="74"/>
      <c r="BJ3816" s="77"/>
      <c r="BL3816" s="497">
        <v>73.039999999999992</v>
      </c>
      <c r="BN3816" s="42"/>
      <c r="BO3816" s="74"/>
      <c r="BP3816" s="77"/>
      <c r="BR3816" s="497">
        <v>51.980000000000004</v>
      </c>
      <c r="BT3816" s="42"/>
    </row>
    <row r="3817" spans="1:72" x14ac:dyDescent="0.25">
      <c r="A3817" s="90">
        <v>34493</v>
      </c>
      <c r="B3817" s="20">
        <v>0.29166666666666669</v>
      </c>
      <c r="D3817">
        <v>71.960000000000008</v>
      </c>
      <c r="E3817" t="str">
        <f t="shared" si="154"/>
        <v>WEEKDAY</v>
      </c>
      <c r="F3817" t="e">
        <f t="shared" si="153"/>
        <v>#N/A</v>
      </c>
      <c r="G3817" s="74">
        <v>33032</v>
      </c>
      <c r="H3817" s="77">
        <v>0.29166666666666669</v>
      </c>
      <c r="J3817">
        <v>66.92</v>
      </c>
      <c r="M3817" s="74">
        <v>37780</v>
      </c>
      <c r="N3817" s="77">
        <v>0.29166666666666669</v>
      </c>
      <c r="P3817">
        <v>60.8</v>
      </c>
      <c r="S3817" s="74">
        <v>34493</v>
      </c>
      <c r="T3817" s="77">
        <v>0.29166666666666669</v>
      </c>
      <c r="V3817">
        <v>71.06</v>
      </c>
      <c r="X3817" s="42"/>
      <c r="AB3817">
        <v>63.7</v>
      </c>
      <c r="AC3817">
        <v>69.080000000000013</v>
      </c>
      <c r="AE3817" s="74"/>
      <c r="AF3817" s="77"/>
      <c r="AH3817" s="497">
        <v>55.400000000000006</v>
      </c>
      <c r="AJ3817" s="42"/>
      <c r="AK3817" s="74"/>
      <c r="AL3817" s="77"/>
      <c r="AN3817" s="497">
        <v>51.08</v>
      </c>
      <c r="AP3817" s="42"/>
      <c r="AQ3817" s="74"/>
      <c r="AR3817" s="77"/>
      <c r="AT3817" s="497">
        <v>66.92</v>
      </c>
      <c r="AV3817" s="42"/>
      <c r="AW3817" s="74"/>
      <c r="AX3817" s="77"/>
      <c r="BA3817" s="497">
        <v>73.94</v>
      </c>
      <c r="BB3817" s="42"/>
      <c r="BC3817" s="74"/>
      <c r="BD3817" s="77"/>
      <c r="BF3817">
        <v>64.94</v>
      </c>
      <c r="BH3817" s="42"/>
      <c r="BI3817" s="74"/>
      <c r="BJ3817" s="77"/>
      <c r="BL3817" s="497">
        <v>73.039999999999992</v>
      </c>
      <c r="BN3817" s="42"/>
      <c r="BO3817" s="74"/>
      <c r="BP3817" s="77"/>
      <c r="BR3817" s="497">
        <v>55.94</v>
      </c>
      <c r="BT3817" s="42"/>
    </row>
    <row r="3818" spans="1:72" x14ac:dyDescent="0.25">
      <c r="A3818" s="90">
        <v>34493</v>
      </c>
      <c r="B3818" s="20">
        <v>0.33333333333333331</v>
      </c>
      <c r="D3818">
        <v>75.92</v>
      </c>
      <c r="E3818" t="str">
        <f t="shared" si="154"/>
        <v>WEEKDAY</v>
      </c>
      <c r="F3818" t="e">
        <f t="shared" si="153"/>
        <v>#N/A</v>
      </c>
      <c r="G3818" s="74">
        <v>33032</v>
      </c>
      <c r="H3818" s="77">
        <v>0.33333333333333331</v>
      </c>
      <c r="J3818">
        <v>69.98</v>
      </c>
      <c r="M3818" s="74">
        <v>37780</v>
      </c>
      <c r="N3818" s="77">
        <v>0.33333333333333331</v>
      </c>
      <c r="P3818">
        <v>62.6</v>
      </c>
      <c r="S3818" s="74">
        <v>34493</v>
      </c>
      <c r="T3818" s="77">
        <v>0.33333333333333331</v>
      </c>
      <c r="V3818">
        <v>73.039999999999992</v>
      </c>
      <c r="X3818" s="42"/>
      <c r="AB3818">
        <v>65.5</v>
      </c>
      <c r="AC3818">
        <v>69.98</v>
      </c>
      <c r="AE3818" s="74"/>
      <c r="AF3818" s="77"/>
      <c r="AH3818" s="497">
        <v>62.6</v>
      </c>
      <c r="AJ3818" s="42"/>
      <c r="AK3818" s="74"/>
      <c r="AL3818" s="77"/>
      <c r="AN3818" s="497">
        <v>50</v>
      </c>
      <c r="AP3818" s="42"/>
      <c r="AQ3818" s="74"/>
      <c r="AR3818" s="77"/>
      <c r="AT3818" s="497">
        <v>66.92</v>
      </c>
      <c r="AV3818" s="42"/>
      <c r="AW3818" s="74"/>
      <c r="AX3818" s="77"/>
      <c r="BA3818" s="497">
        <v>74.66</v>
      </c>
      <c r="BB3818" s="42"/>
      <c r="BC3818" s="74"/>
      <c r="BD3818" s="77"/>
      <c r="BF3818">
        <v>66.92</v>
      </c>
      <c r="BH3818" s="42"/>
      <c r="BI3818" s="74"/>
      <c r="BJ3818" s="77"/>
      <c r="BL3818" s="497">
        <v>73.039999999999992</v>
      </c>
      <c r="BN3818" s="42"/>
      <c r="BO3818" s="74"/>
      <c r="BP3818" s="77"/>
      <c r="BR3818" s="497">
        <v>62.06</v>
      </c>
      <c r="BT3818" s="42"/>
    </row>
    <row r="3819" spans="1:72" x14ac:dyDescent="0.25">
      <c r="A3819" s="90">
        <v>34493</v>
      </c>
      <c r="B3819" s="20">
        <v>0.375</v>
      </c>
      <c r="D3819">
        <v>78.98</v>
      </c>
      <c r="E3819" t="str">
        <f t="shared" si="154"/>
        <v>WEEKDAY</v>
      </c>
      <c r="F3819" t="e">
        <f t="shared" ref="F3819:F3882" si="155">IF(E3819="WEEKDAY",VLOOKUP(B3819,$DD$19:$DG$42,2),IF(E3819="SATURDAY",VLOOKUP(B3819,$DD$19:$DG$42,3),VLOOKUP(B3819,$DD$19:$DG$42,4)))</f>
        <v>#N/A</v>
      </c>
      <c r="G3819" s="74">
        <v>33032</v>
      </c>
      <c r="H3819" s="77">
        <v>0.375</v>
      </c>
      <c r="J3819">
        <v>71.960000000000008</v>
      </c>
      <c r="M3819" s="74">
        <v>37780</v>
      </c>
      <c r="N3819" s="77">
        <v>0.375</v>
      </c>
      <c r="P3819">
        <v>62.6</v>
      </c>
      <c r="S3819" s="74">
        <v>34493</v>
      </c>
      <c r="T3819" s="77">
        <v>0.375</v>
      </c>
      <c r="V3819">
        <v>71.960000000000008</v>
      </c>
      <c r="X3819" s="42"/>
      <c r="AB3819">
        <v>67.5</v>
      </c>
      <c r="AC3819">
        <v>68</v>
      </c>
      <c r="AE3819" s="74"/>
      <c r="AF3819" s="77"/>
      <c r="AH3819" s="497">
        <v>66.2</v>
      </c>
      <c r="AJ3819" s="42"/>
      <c r="AK3819" s="74"/>
      <c r="AL3819" s="77"/>
      <c r="AN3819" s="497">
        <v>51.08</v>
      </c>
      <c r="AP3819" s="42"/>
      <c r="AQ3819" s="74"/>
      <c r="AR3819" s="77"/>
      <c r="AT3819" s="497">
        <v>69.080000000000013</v>
      </c>
      <c r="AV3819" s="42"/>
      <c r="AW3819" s="74"/>
      <c r="AX3819" s="77"/>
      <c r="BA3819" s="497">
        <v>75.2</v>
      </c>
      <c r="BB3819" s="42"/>
      <c r="BC3819" s="74"/>
      <c r="BD3819" s="77"/>
      <c r="BF3819">
        <v>64.94</v>
      </c>
      <c r="BH3819" s="42"/>
      <c r="BI3819" s="74"/>
      <c r="BJ3819" s="77"/>
      <c r="BL3819" s="497">
        <v>73.94</v>
      </c>
      <c r="BN3819" s="42"/>
      <c r="BO3819" s="74"/>
      <c r="BP3819" s="77"/>
      <c r="BR3819" s="497">
        <v>64.039999999999992</v>
      </c>
      <c r="BT3819" s="42"/>
    </row>
    <row r="3820" spans="1:72" x14ac:dyDescent="0.25">
      <c r="A3820" s="90">
        <v>34493</v>
      </c>
      <c r="B3820" s="20">
        <v>0.41666666666666669</v>
      </c>
      <c r="D3820">
        <v>82.039999999999992</v>
      </c>
      <c r="E3820" t="str">
        <f t="shared" si="154"/>
        <v>WEEKDAY</v>
      </c>
      <c r="F3820" t="e">
        <f t="shared" si="155"/>
        <v>#N/A</v>
      </c>
      <c r="G3820" s="74">
        <v>33032</v>
      </c>
      <c r="H3820" s="77">
        <v>0.41666666666666669</v>
      </c>
      <c r="J3820">
        <v>73.94</v>
      </c>
      <c r="M3820" s="74">
        <v>37780</v>
      </c>
      <c r="N3820" s="77">
        <v>0.41666666666666669</v>
      </c>
      <c r="P3820">
        <v>60.8</v>
      </c>
      <c r="S3820" s="74">
        <v>34493</v>
      </c>
      <c r="T3820" s="77">
        <v>0.41666666666666669</v>
      </c>
      <c r="V3820">
        <v>73.94</v>
      </c>
      <c r="X3820" s="42"/>
      <c r="AB3820">
        <v>69.2</v>
      </c>
      <c r="AC3820">
        <v>73.94</v>
      </c>
      <c r="AE3820" s="74"/>
      <c r="AF3820" s="77"/>
      <c r="AH3820" s="497">
        <v>69.800000000000011</v>
      </c>
      <c r="AJ3820" s="42"/>
      <c r="AK3820" s="74"/>
      <c r="AL3820" s="77"/>
      <c r="AN3820" s="497">
        <v>53.96</v>
      </c>
      <c r="AP3820" s="42"/>
      <c r="AQ3820" s="74"/>
      <c r="AR3820" s="77"/>
      <c r="AT3820" s="497">
        <v>73.039999999999992</v>
      </c>
      <c r="AV3820" s="42"/>
      <c r="AW3820" s="74"/>
      <c r="AX3820" s="77"/>
      <c r="BA3820" s="497">
        <v>75.92</v>
      </c>
      <c r="BB3820" s="42"/>
      <c r="BC3820" s="74"/>
      <c r="BD3820" s="77"/>
      <c r="BF3820">
        <v>66.02</v>
      </c>
      <c r="BH3820" s="42"/>
      <c r="BI3820" s="74"/>
      <c r="BJ3820" s="77"/>
      <c r="BL3820" s="497">
        <v>77</v>
      </c>
      <c r="BN3820" s="42"/>
      <c r="BO3820" s="74"/>
      <c r="BP3820" s="77"/>
      <c r="BR3820" s="497">
        <v>66.92</v>
      </c>
      <c r="BT3820" s="42"/>
    </row>
    <row r="3821" spans="1:72" x14ac:dyDescent="0.25">
      <c r="A3821" s="90">
        <v>34493</v>
      </c>
      <c r="B3821" s="20">
        <v>0.45833333333333331</v>
      </c>
      <c r="D3821">
        <v>84.02</v>
      </c>
      <c r="E3821" t="str">
        <f t="shared" si="154"/>
        <v>WEEKDAY</v>
      </c>
      <c r="F3821" t="e">
        <f t="shared" si="155"/>
        <v>#N/A</v>
      </c>
      <c r="G3821" s="74">
        <v>33032</v>
      </c>
      <c r="H3821" s="77">
        <v>0.45833333333333331</v>
      </c>
      <c r="J3821">
        <v>78.080000000000013</v>
      </c>
      <c r="M3821" s="74">
        <v>37780</v>
      </c>
      <c r="N3821" s="77">
        <v>0.45833333333333331</v>
      </c>
      <c r="P3821">
        <v>62.6</v>
      </c>
      <c r="S3821" s="74">
        <v>34493</v>
      </c>
      <c r="T3821" s="77">
        <v>0.45833333333333331</v>
      </c>
      <c r="V3821">
        <v>73.94</v>
      </c>
      <c r="X3821" s="42"/>
      <c r="AB3821">
        <v>70.8</v>
      </c>
      <c r="AC3821">
        <v>77</v>
      </c>
      <c r="AE3821" s="74"/>
      <c r="AF3821" s="77"/>
      <c r="AH3821" s="497">
        <v>73.400000000000006</v>
      </c>
      <c r="AJ3821" s="42"/>
      <c r="AK3821" s="74"/>
      <c r="AL3821" s="77"/>
      <c r="AN3821" s="497">
        <v>55.040000000000006</v>
      </c>
      <c r="AP3821" s="42"/>
      <c r="AQ3821" s="74"/>
      <c r="AR3821" s="77"/>
      <c r="AT3821" s="497">
        <v>75.92</v>
      </c>
      <c r="AV3821" s="42"/>
      <c r="AW3821" s="74"/>
      <c r="AX3821" s="77"/>
      <c r="BA3821" s="497">
        <v>76.28</v>
      </c>
      <c r="BB3821" s="42"/>
      <c r="BC3821" s="74"/>
      <c r="BD3821" s="77"/>
      <c r="BF3821">
        <v>66.02</v>
      </c>
      <c r="BH3821" s="42"/>
      <c r="BI3821" s="74"/>
      <c r="BJ3821" s="77"/>
      <c r="BL3821" s="497">
        <v>78.98</v>
      </c>
      <c r="BN3821" s="42"/>
      <c r="BO3821" s="74"/>
      <c r="BP3821" s="77"/>
      <c r="BR3821" s="497">
        <v>69.98</v>
      </c>
      <c r="BT3821" s="42"/>
    </row>
    <row r="3822" spans="1:72" x14ac:dyDescent="0.25">
      <c r="A3822" s="90">
        <v>34493</v>
      </c>
      <c r="B3822" s="20">
        <v>0.5</v>
      </c>
      <c r="D3822">
        <v>84.92</v>
      </c>
      <c r="E3822" t="str">
        <f t="shared" si="154"/>
        <v>WEEKDAY</v>
      </c>
      <c r="F3822" t="e">
        <f t="shared" si="155"/>
        <v>#N/A</v>
      </c>
      <c r="G3822" s="74">
        <v>33032</v>
      </c>
      <c r="H3822" s="77">
        <v>0.5</v>
      </c>
      <c r="J3822">
        <v>75.92</v>
      </c>
      <c r="M3822" s="74">
        <v>37780</v>
      </c>
      <c r="N3822" s="77">
        <v>0.5</v>
      </c>
      <c r="P3822">
        <v>62.6</v>
      </c>
      <c r="S3822" s="74">
        <v>34493</v>
      </c>
      <c r="T3822" s="77">
        <v>0.5</v>
      </c>
      <c r="V3822">
        <v>75.92</v>
      </c>
      <c r="X3822" s="42"/>
      <c r="AB3822">
        <v>72</v>
      </c>
      <c r="AC3822">
        <v>75.02</v>
      </c>
      <c r="AE3822" s="74"/>
      <c r="AF3822" s="77"/>
      <c r="AH3822" s="497">
        <v>75.2</v>
      </c>
      <c r="AJ3822" s="42"/>
      <c r="AK3822" s="74"/>
      <c r="AL3822" s="77"/>
      <c r="AN3822" s="497">
        <v>60.08</v>
      </c>
      <c r="AP3822" s="42"/>
      <c r="AQ3822" s="74"/>
      <c r="AR3822" s="77"/>
      <c r="AT3822" s="497">
        <v>80.06</v>
      </c>
      <c r="AV3822" s="42"/>
      <c r="AW3822" s="74"/>
      <c r="AX3822" s="77"/>
      <c r="BA3822" s="497">
        <v>76.64</v>
      </c>
      <c r="BB3822" s="42"/>
      <c r="BC3822" s="74"/>
      <c r="BD3822" s="77"/>
      <c r="BF3822">
        <v>66.02</v>
      </c>
      <c r="BH3822" s="42"/>
      <c r="BI3822" s="74"/>
      <c r="BJ3822" s="77"/>
      <c r="BL3822" s="497">
        <v>80.06</v>
      </c>
      <c r="BN3822" s="42"/>
      <c r="BO3822" s="74"/>
      <c r="BP3822" s="77"/>
      <c r="BR3822" s="497">
        <v>69.080000000000013</v>
      </c>
      <c r="BT3822" s="42"/>
    </row>
    <row r="3823" spans="1:72" x14ac:dyDescent="0.25">
      <c r="A3823" s="90">
        <v>34493</v>
      </c>
      <c r="B3823" s="20">
        <v>0.54166666666666663</v>
      </c>
      <c r="D3823">
        <v>87.080000000000013</v>
      </c>
      <c r="E3823" t="str">
        <f t="shared" si="154"/>
        <v>WEEKDAY</v>
      </c>
      <c r="F3823" t="e">
        <f t="shared" si="155"/>
        <v>#N/A</v>
      </c>
      <c r="G3823" s="74">
        <v>33032</v>
      </c>
      <c r="H3823" s="77">
        <v>0.54166666666666663</v>
      </c>
      <c r="J3823">
        <v>73.94</v>
      </c>
      <c r="M3823" s="74">
        <v>37780</v>
      </c>
      <c r="N3823" s="77">
        <v>0.54166666666666663</v>
      </c>
      <c r="P3823">
        <v>62.6</v>
      </c>
      <c r="S3823" s="74">
        <v>34493</v>
      </c>
      <c r="T3823" s="77">
        <v>0.54166666666666663</v>
      </c>
      <c r="V3823">
        <v>77</v>
      </c>
      <c r="X3823" s="42"/>
      <c r="AB3823">
        <v>72.900000000000006</v>
      </c>
      <c r="AC3823">
        <v>75.92</v>
      </c>
      <c r="AE3823" s="74"/>
      <c r="AF3823" s="77"/>
      <c r="AH3823" s="497">
        <v>71.599999999999994</v>
      </c>
      <c r="AJ3823" s="42"/>
      <c r="AK3823" s="74"/>
      <c r="AL3823" s="77"/>
      <c r="AN3823" s="497">
        <v>62.96</v>
      </c>
      <c r="AP3823" s="42"/>
      <c r="AQ3823" s="74"/>
      <c r="AR3823" s="77"/>
      <c r="AT3823" s="497">
        <v>77</v>
      </c>
      <c r="AV3823" s="42"/>
      <c r="AW3823" s="74"/>
      <c r="AX3823" s="77"/>
      <c r="BA3823" s="497">
        <v>77</v>
      </c>
      <c r="BB3823" s="42"/>
      <c r="BC3823" s="74"/>
      <c r="BD3823" s="77"/>
      <c r="BF3823">
        <v>66.92</v>
      </c>
      <c r="BH3823" s="42"/>
      <c r="BI3823" s="74"/>
      <c r="BJ3823" s="77"/>
      <c r="BL3823" s="497">
        <v>80.06</v>
      </c>
      <c r="BN3823" s="42"/>
      <c r="BO3823" s="74"/>
      <c r="BP3823" s="77"/>
      <c r="BR3823" s="497">
        <v>66.92</v>
      </c>
      <c r="BT3823" s="42"/>
    </row>
    <row r="3824" spans="1:72" x14ac:dyDescent="0.25">
      <c r="A3824" s="90">
        <v>34493</v>
      </c>
      <c r="B3824" s="20">
        <v>0.58333333333333337</v>
      </c>
      <c r="D3824">
        <v>87.080000000000013</v>
      </c>
      <c r="E3824" t="str">
        <f t="shared" si="154"/>
        <v>WEEKDAY</v>
      </c>
      <c r="F3824" t="e">
        <f t="shared" si="155"/>
        <v>#N/A</v>
      </c>
      <c r="G3824" s="74">
        <v>33032</v>
      </c>
      <c r="H3824" s="77">
        <v>0.58333333333333337</v>
      </c>
      <c r="J3824">
        <v>73.039999999999992</v>
      </c>
      <c r="M3824" s="74">
        <v>37780</v>
      </c>
      <c r="N3824" s="77">
        <v>0.58333333333333337</v>
      </c>
      <c r="P3824">
        <v>62.6</v>
      </c>
      <c r="S3824" s="74">
        <v>34493</v>
      </c>
      <c r="T3824" s="77">
        <v>0.58333333333333337</v>
      </c>
      <c r="V3824">
        <v>73.94</v>
      </c>
      <c r="X3824" s="42"/>
      <c r="AB3824">
        <v>73.400000000000006</v>
      </c>
      <c r="AC3824">
        <v>75.02</v>
      </c>
      <c r="AE3824" s="74"/>
      <c r="AF3824" s="77"/>
      <c r="AH3824" s="497">
        <v>73.400000000000006</v>
      </c>
      <c r="AJ3824" s="42"/>
      <c r="AK3824" s="74"/>
      <c r="AL3824" s="77"/>
      <c r="AN3824" s="497">
        <v>62.96</v>
      </c>
      <c r="AP3824" s="42"/>
      <c r="AQ3824" s="74"/>
      <c r="AR3824" s="77"/>
      <c r="AT3824" s="497">
        <v>80.06</v>
      </c>
      <c r="AV3824" s="42"/>
      <c r="AW3824" s="74"/>
      <c r="AX3824" s="77"/>
      <c r="BA3824" s="497">
        <v>77</v>
      </c>
      <c r="BB3824" s="42"/>
      <c r="BC3824" s="74"/>
      <c r="BD3824" s="77"/>
      <c r="BF3824">
        <v>66.92</v>
      </c>
      <c r="BH3824" s="42"/>
      <c r="BI3824" s="74"/>
      <c r="BJ3824" s="77"/>
      <c r="BL3824" s="497">
        <v>78.98</v>
      </c>
      <c r="BN3824" s="42"/>
      <c r="BO3824" s="74"/>
      <c r="BP3824" s="77"/>
      <c r="BR3824" s="497">
        <v>69.080000000000013</v>
      </c>
      <c r="BT3824" s="42"/>
    </row>
    <row r="3825" spans="1:72" x14ac:dyDescent="0.25">
      <c r="A3825" s="90">
        <v>34493</v>
      </c>
      <c r="B3825" s="20">
        <v>0.625</v>
      </c>
      <c r="D3825">
        <v>87.080000000000013</v>
      </c>
      <c r="E3825" t="str">
        <f t="shared" si="154"/>
        <v>WEEKDAY</v>
      </c>
      <c r="F3825" t="e">
        <f t="shared" si="155"/>
        <v>#N/A</v>
      </c>
      <c r="G3825" s="74">
        <v>33032</v>
      </c>
      <c r="H3825" s="77">
        <v>0.625</v>
      </c>
      <c r="J3825">
        <v>69.080000000000013</v>
      </c>
      <c r="M3825" s="74">
        <v>37780</v>
      </c>
      <c r="N3825" s="77">
        <v>0.625</v>
      </c>
      <c r="P3825">
        <v>64.400000000000006</v>
      </c>
      <c r="S3825" s="74">
        <v>34493</v>
      </c>
      <c r="T3825" s="77">
        <v>0.625</v>
      </c>
      <c r="V3825">
        <v>71.960000000000008</v>
      </c>
      <c r="X3825" s="42"/>
      <c r="AB3825">
        <v>73.2</v>
      </c>
      <c r="AC3825">
        <v>73.94</v>
      </c>
      <c r="AE3825" s="74"/>
      <c r="AF3825" s="77"/>
      <c r="AH3825" s="497">
        <v>73.400000000000006</v>
      </c>
      <c r="AJ3825" s="42"/>
      <c r="AK3825" s="74"/>
      <c r="AL3825" s="77"/>
      <c r="AN3825" s="497">
        <v>62.96</v>
      </c>
      <c r="AP3825" s="42"/>
      <c r="AQ3825" s="74"/>
      <c r="AR3825" s="77"/>
      <c r="AT3825" s="497">
        <v>82.039999999999992</v>
      </c>
      <c r="AV3825" s="42"/>
      <c r="AW3825" s="74"/>
      <c r="AX3825" s="77"/>
      <c r="BA3825" s="497">
        <v>77</v>
      </c>
      <c r="BB3825" s="42"/>
      <c r="BC3825" s="74"/>
      <c r="BD3825" s="77"/>
      <c r="BF3825">
        <v>64.039999999999992</v>
      </c>
      <c r="BH3825" s="42"/>
      <c r="BI3825" s="74"/>
      <c r="BJ3825" s="77"/>
      <c r="BL3825" s="497">
        <v>80.06</v>
      </c>
      <c r="BN3825" s="42"/>
      <c r="BO3825" s="74"/>
      <c r="BP3825" s="77"/>
      <c r="BR3825" s="497">
        <v>69.98</v>
      </c>
      <c r="BT3825" s="42"/>
    </row>
    <row r="3826" spans="1:72" x14ac:dyDescent="0.25">
      <c r="A3826" s="90">
        <v>34493</v>
      </c>
      <c r="B3826" s="20">
        <v>0.66666666666666663</v>
      </c>
      <c r="D3826">
        <v>87.98</v>
      </c>
      <c r="E3826" t="str">
        <f t="shared" si="154"/>
        <v>WEEKDAY</v>
      </c>
      <c r="F3826" t="e">
        <f t="shared" si="155"/>
        <v>#N/A</v>
      </c>
      <c r="G3826" s="74">
        <v>33032</v>
      </c>
      <c r="H3826" s="77">
        <v>0.66666666666666663</v>
      </c>
      <c r="J3826">
        <v>69.080000000000013</v>
      </c>
      <c r="M3826" s="74">
        <v>37780</v>
      </c>
      <c r="N3826" s="77">
        <v>0.66666666666666663</v>
      </c>
      <c r="P3826">
        <v>64.400000000000006</v>
      </c>
      <c r="S3826" s="74">
        <v>34493</v>
      </c>
      <c r="T3826" s="77">
        <v>0.66666666666666663</v>
      </c>
      <c r="V3826">
        <v>71.06</v>
      </c>
      <c r="X3826" s="42"/>
      <c r="AB3826">
        <v>72.8</v>
      </c>
      <c r="AC3826">
        <v>71.960000000000008</v>
      </c>
      <c r="AE3826" s="74"/>
      <c r="AF3826" s="77"/>
      <c r="AH3826" s="497">
        <v>75.56</v>
      </c>
      <c r="AJ3826" s="42"/>
      <c r="AK3826" s="74"/>
      <c r="AL3826" s="77"/>
      <c r="AN3826" s="497">
        <v>62.96</v>
      </c>
      <c r="AP3826" s="42"/>
      <c r="AQ3826" s="74"/>
      <c r="AR3826" s="77"/>
      <c r="AT3826" s="497">
        <v>80.960000000000008</v>
      </c>
      <c r="AV3826" s="42"/>
      <c r="AW3826" s="74"/>
      <c r="AX3826" s="77"/>
      <c r="BA3826" s="497">
        <v>77</v>
      </c>
      <c r="BB3826" s="42"/>
      <c r="BC3826" s="74"/>
      <c r="BD3826" s="77"/>
      <c r="BF3826">
        <v>66.02</v>
      </c>
      <c r="BH3826" s="42"/>
      <c r="BI3826" s="74"/>
      <c r="BJ3826" s="77"/>
      <c r="BL3826" s="497">
        <v>80.06</v>
      </c>
      <c r="BN3826" s="42"/>
      <c r="BO3826" s="74"/>
      <c r="BP3826" s="77"/>
      <c r="BR3826" s="497">
        <v>69.98</v>
      </c>
      <c r="BT3826" s="42"/>
    </row>
    <row r="3827" spans="1:72" x14ac:dyDescent="0.25">
      <c r="A3827" s="90">
        <v>34493</v>
      </c>
      <c r="B3827" s="20">
        <v>0.70833333333333337</v>
      </c>
      <c r="D3827">
        <v>87.080000000000013</v>
      </c>
      <c r="E3827" t="str">
        <f t="shared" si="154"/>
        <v>WEEKDAY</v>
      </c>
      <c r="F3827" t="e">
        <f t="shared" si="155"/>
        <v>#N/A</v>
      </c>
      <c r="G3827" s="74">
        <v>33032</v>
      </c>
      <c r="H3827" s="77">
        <v>0.70833333333333337</v>
      </c>
      <c r="J3827">
        <v>68</v>
      </c>
      <c r="M3827" s="74">
        <v>37780</v>
      </c>
      <c r="N3827" s="77">
        <v>0.70833333333333337</v>
      </c>
      <c r="P3827">
        <v>62.6</v>
      </c>
      <c r="S3827" s="74">
        <v>34493</v>
      </c>
      <c r="T3827" s="77">
        <v>0.70833333333333337</v>
      </c>
      <c r="V3827">
        <v>71.06</v>
      </c>
      <c r="X3827" s="42"/>
      <c r="AB3827">
        <v>72</v>
      </c>
      <c r="AC3827">
        <v>69.98</v>
      </c>
      <c r="AE3827" s="74"/>
      <c r="AF3827" s="77"/>
      <c r="AH3827" s="497">
        <v>77</v>
      </c>
      <c r="AJ3827" s="42"/>
      <c r="AK3827" s="74"/>
      <c r="AL3827" s="77"/>
      <c r="AN3827" s="497">
        <v>62.96</v>
      </c>
      <c r="AP3827" s="42"/>
      <c r="AQ3827" s="74"/>
      <c r="AR3827" s="77"/>
      <c r="AT3827" s="497">
        <v>78.98</v>
      </c>
      <c r="AV3827" s="42"/>
      <c r="AW3827" s="74"/>
      <c r="AX3827" s="77"/>
      <c r="BA3827" s="497">
        <v>77</v>
      </c>
      <c r="BB3827" s="42"/>
      <c r="BC3827" s="74"/>
      <c r="BD3827" s="77"/>
      <c r="BF3827">
        <v>64.039999999999992</v>
      </c>
      <c r="BH3827" s="42"/>
      <c r="BI3827" s="74"/>
      <c r="BJ3827" s="77"/>
      <c r="BL3827" s="497">
        <v>80.960000000000008</v>
      </c>
      <c r="BN3827" s="42"/>
      <c r="BO3827" s="74"/>
      <c r="BP3827" s="77"/>
      <c r="BR3827" s="497">
        <v>68</v>
      </c>
      <c r="BT3827" s="42"/>
    </row>
    <row r="3828" spans="1:72" x14ac:dyDescent="0.25">
      <c r="A3828" s="90">
        <v>34493</v>
      </c>
      <c r="B3828" s="20">
        <v>0.75</v>
      </c>
      <c r="D3828">
        <v>84.02</v>
      </c>
      <c r="E3828" t="str">
        <f t="shared" si="154"/>
        <v>WEEKDAY</v>
      </c>
      <c r="F3828" t="e">
        <f t="shared" si="155"/>
        <v>#N/A</v>
      </c>
      <c r="G3828" s="74">
        <v>33032</v>
      </c>
      <c r="H3828" s="77">
        <v>0.75</v>
      </c>
      <c r="J3828">
        <v>68</v>
      </c>
      <c r="M3828" s="74">
        <v>37780</v>
      </c>
      <c r="N3828" s="77">
        <v>0.75</v>
      </c>
      <c r="P3828">
        <v>62.6</v>
      </c>
      <c r="S3828" s="74">
        <v>34493</v>
      </c>
      <c r="T3828" s="77">
        <v>0.75</v>
      </c>
      <c r="V3828">
        <v>69.98</v>
      </c>
      <c r="X3828" s="42"/>
      <c r="AB3828">
        <v>70.7</v>
      </c>
      <c r="AC3828">
        <v>69.98</v>
      </c>
      <c r="AE3828" s="74"/>
      <c r="AF3828" s="77"/>
      <c r="AH3828" s="497">
        <v>75.2</v>
      </c>
      <c r="AJ3828" s="42"/>
      <c r="AK3828" s="74"/>
      <c r="AL3828" s="77"/>
      <c r="AN3828" s="497">
        <v>60.08</v>
      </c>
      <c r="AP3828" s="42"/>
      <c r="AQ3828" s="74"/>
      <c r="AR3828" s="77"/>
      <c r="AT3828" s="497">
        <v>77</v>
      </c>
      <c r="AV3828" s="42"/>
      <c r="AW3828" s="74"/>
      <c r="AX3828" s="77"/>
      <c r="BA3828" s="497">
        <v>77</v>
      </c>
      <c r="BB3828" s="42"/>
      <c r="BC3828" s="74"/>
      <c r="BD3828" s="77"/>
      <c r="BF3828">
        <v>64.94</v>
      </c>
      <c r="BH3828" s="42"/>
      <c r="BI3828" s="74"/>
      <c r="BJ3828" s="77"/>
      <c r="BL3828" s="497">
        <v>80.960000000000008</v>
      </c>
      <c r="BN3828" s="42"/>
      <c r="BO3828" s="74"/>
      <c r="BP3828" s="77"/>
      <c r="BR3828" s="497">
        <v>68</v>
      </c>
      <c r="BT3828" s="42"/>
    </row>
    <row r="3829" spans="1:72" x14ac:dyDescent="0.25">
      <c r="A3829" s="90">
        <v>34493</v>
      </c>
      <c r="B3829" s="20">
        <v>0.79166666666666663</v>
      </c>
      <c r="D3829">
        <v>84.02</v>
      </c>
      <c r="E3829" t="str">
        <f t="shared" si="154"/>
        <v>WEEKDAY</v>
      </c>
      <c r="F3829" t="e">
        <f t="shared" si="155"/>
        <v>#N/A</v>
      </c>
      <c r="G3829" s="74">
        <v>33032</v>
      </c>
      <c r="H3829" s="77">
        <v>0.79166666666666663</v>
      </c>
      <c r="J3829">
        <v>64.94</v>
      </c>
      <c r="M3829" s="74">
        <v>37780</v>
      </c>
      <c r="N3829" s="77">
        <v>0.79166666666666663</v>
      </c>
      <c r="P3829">
        <v>62.6</v>
      </c>
      <c r="S3829" s="74">
        <v>34493</v>
      </c>
      <c r="T3829" s="77">
        <v>0.79166666666666663</v>
      </c>
      <c r="V3829">
        <v>69.080000000000013</v>
      </c>
      <c r="X3829" s="42"/>
      <c r="AB3829">
        <v>69.5</v>
      </c>
      <c r="AC3829">
        <v>69.080000000000013</v>
      </c>
      <c r="AE3829" s="74"/>
      <c r="AF3829" s="77"/>
      <c r="AH3829" s="497">
        <v>71.599999999999994</v>
      </c>
      <c r="AJ3829" s="42"/>
      <c r="AK3829" s="74"/>
      <c r="AL3829" s="77"/>
      <c r="AN3829" s="497">
        <v>57.019999999999996</v>
      </c>
      <c r="AP3829" s="42"/>
      <c r="AQ3829" s="74"/>
      <c r="AR3829" s="77"/>
      <c r="AT3829" s="497">
        <v>73.039999999999992</v>
      </c>
      <c r="AV3829" s="42"/>
      <c r="AW3829" s="74"/>
      <c r="AX3829" s="77"/>
      <c r="BA3829" s="497">
        <v>77</v>
      </c>
      <c r="BB3829" s="42"/>
      <c r="BC3829" s="74"/>
      <c r="BD3829" s="77"/>
      <c r="BF3829">
        <v>62.96</v>
      </c>
      <c r="BH3829" s="42"/>
      <c r="BI3829" s="74"/>
      <c r="BJ3829" s="77"/>
      <c r="BL3829" s="497">
        <v>78.080000000000013</v>
      </c>
      <c r="BN3829" s="42"/>
      <c r="BO3829" s="74"/>
      <c r="BP3829" s="77"/>
      <c r="BR3829" s="497">
        <v>69.98</v>
      </c>
      <c r="BT3829" s="42"/>
    </row>
    <row r="3830" spans="1:72" x14ac:dyDescent="0.25">
      <c r="A3830" s="90">
        <v>34493</v>
      </c>
      <c r="B3830" s="20">
        <v>0.83333333333333337</v>
      </c>
      <c r="D3830">
        <v>82.039999999999992</v>
      </c>
      <c r="E3830" t="str">
        <f t="shared" si="154"/>
        <v>WEEKDAY</v>
      </c>
      <c r="F3830" t="e">
        <f t="shared" si="155"/>
        <v>#N/A</v>
      </c>
      <c r="G3830" s="74">
        <v>33032</v>
      </c>
      <c r="H3830" s="77">
        <v>0.83333333333333337</v>
      </c>
      <c r="J3830">
        <v>64.039999999999992</v>
      </c>
      <c r="M3830" s="74">
        <v>37780</v>
      </c>
      <c r="N3830" s="77">
        <v>0.83333333333333337</v>
      </c>
      <c r="P3830">
        <v>60.8</v>
      </c>
      <c r="S3830" s="74">
        <v>34493</v>
      </c>
      <c r="T3830" s="77">
        <v>0.83333333333333337</v>
      </c>
      <c r="V3830">
        <v>66.02</v>
      </c>
      <c r="X3830" s="42"/>
      <c r="AB3830">
        <v>68.099999999999994</v>
      </c>
      <c r="AC3830">
        <v>64.94</v>
      </c>
      <c r="AE3830" s="74"/>
      <c r="AF3830" s="77"/>
      <c r="AH3830" s="497">
        <v>68</v>
      </c>
      <c r="AJ3830" s="42"/>
      <c r="AK3830" s="74"/>
      <c r="AL3830" s="77"/>
      <c r="AN3830" s="497">
        <v>53.06</v>
      </c>
      <c r="AP3830" s="42"/>
      <c r="AQ3830" s="74"/>
      <c r="AR3830" s="77"/>
      <c r="AT3830" s="497">
        <v>69.98</v>
      </c>
      <c r="AV3830" s="42"/>
      <c r="AW3830" s="74"/>
      <c r="AX3830" s="77"/>
      <c r="BA3830" s="497">
        <v>75.92</v>
      </c>
      <c r="BB3830" s="42"/>
      <c r="BC3830" s="74"/>
      <c r="BD3830" s="77"/>
      <c r="BF3830">
        <v>60.980000000000004</v>
      </c>
      <c r="BH3830" s="42"/>
      <c r="BI3830" s="74"/>
      <c r="BJ3830" s="77"/>
      <c r="BL3830" s="497">
        <v>75.92</v>
      </c>
      <c r="BN3830" s="42"/>
      <c r="BO3830" s="74"/>
      <c r="BP3830" s="77"/>
      <c r="BR3830" s="497">
        <v>69.98</v>
      </c>
      <c r="BT3830" s="42"/>
    </row>
    <row r="3831" spans="1:72" x14ac:dyDescent="0.25">
      <c r="A3831" s="90">
        <v>34493</v>
      </c>
      <c r="B3831" s="20">
        <v>0.875</v>
      </c>
      <c r="D3831">
        <v>82.039999999999992</v>
      </c>
      <c r="E3831" t="str">
        <f t="shared" si="154"/>
        <v>WEEKDAY</v>
      </c>
      <c r="F3831" t="e">
        <f t="shared" si="155"/>
        <v>#N/A</v>
      </c>
      <c r="G3831" s="74">
        <v>33032</v>
      </c>
      <c r="H3831" s="77">
        <v>0.875</v>
      </c>
      <c r="J3831">
        <v>64.039999999999992</v>
      </c>
      <c r="M3831" s="74">
        <v>37780</v>
      </c>
      <c r="N3831" s="77">
        <v>0.875</v>
      </c>
      <c r="P3831">
        <v>60.8</v>
      </c>
      <c r="S3831" s="74">
        <v>34493</v>
      </c>
      <c r="T3831" s="77">
        <v>0.875</v>
      </c>
      <c r="V3831">
        <v>64.94</v>
      </c>
      <c r="X3831" s="42"/>
      <c r="AB3831">
        <v>66.8</v>
      </c>
      <c r="AC3831">
        <v>62.06</v>
      </c>
      <c r="AE3831" s="74"/>
      <c r="AF3831" s="77"/>
      <c r="AH3831" s="497">
        <v>68</v>
      </c>
      <c r="AJ3831" s="42"/>
      <c r="AK3831" s="74"/>
      <c r="AL3831" s="77"/>
      <c r="AN3831" s="497">
        <v>51.08</v>
      </c>
      <c r="AP3831" s="42"/>
      <c r="AQ3831" s="74"/>
      <c r="AR3831" s="77"/>
      <c r="AT3831" s="497">
        <v>69.080000000000013</v>
      </c>
      <c r="AV3831" s="42"/>
      <c r="AW3831" s="74"/>
      <c r="AX3831" s="77"/>
      <c r="BA3831" s="497">
        <v>75.02</v>
      </c>
      <c r="BB3831" s="42"/>
      <c r="BC3831" s="74"/>
      <c r="BD3831" s="77"/>
      <c r="BF3831">
        <v>60.980000000000004</v>
      </c>
      <c r="BH3831" s="42"/>
      <c r="BI3831" s="74"/>
      <c r="BJ3831" s="77"/>
      <c r="BL3831" s="497">
        <v>75.02</v>
      </c>
      <c r="BN3831" s="42"/>
      <c r="BO3831" s="74"/>
      <c r="BP3831" s="77"/>
      <c r="BR3831" s="497">
        <v>69.98</v>
      </c>
      <c r="BT3831" s="42"/>
    </row>
    <row r="3832" spans="1:72" x14ac:dyDescent="0.25">
      <c r="A3832" s="90">
        <v>34493</v>
      </c>
      <c r="B3832" s="20">
        <v>0.91666666666666663</v>
      </c>
      <c r="D3832">
        <v>80.06</v>
      </c>
      <c r="E3832" t="str">
        <f t="shared" si="154"/>
        <v>WEEKDAY</v>
      </c>
      <c r="F3832" t="e">
        <f t="shared" si="155"/>
        <v>#N/A</v>
      </c>
      <c r="G3832" s="74">
        <v>33032</v>
      </c>
      <c r="H3832" s="77">
        <v>0.91666666666666663</v>
      </c>
      <c r="J3832">
        <v>64.039999999999992</v>
      </c>
      <c r="M3832" s="74">
        <v>37780</v>
      </c>
      <c r="N3832" s="77">
        <v>0.91666666666666663</v>
      </c>
      <c r="P3832">
        <v>60.8</v>
      </c>
      <c r="S3832" s="74">
        <v>34493</v>
      </c>
      <c r="T3832" s="77">
        <v>0.91666666666666663</v>
      </c>
      <c r="V3832">
        <v>64.039999999999992</v>
      </c>
      <c r="X3832" s="42"/>
      <c r="AB3832">
        <v>66.099999999999994</v>
      </c>
      <c r="AC3832">
        <v>60.08</v>
      </c>
      <c r="AE3832" s="74"/>
      <c r="AF3832" s="77"/>
      <c r="AH3832" s="497">
        <v>68</v>
      </c>
      <c r="AJ3832" s="42"/>
      <c r="AK3832" s="74"/>
      <c r="AL3832" s="77"/>
      <c r="AN3832" s="497">
        <v>50</v>
      </c>
      <c r="AP3832" s="42"/>
      <c r="AQ3832" s="74"/>
      <c r="AR3832" s="77"/>
      <c r="AT3832" s="497">
        <v>69.080000000000013</v>
      </c>
      <c r="AV3832" s="42"/>
      <c r="AW3832" s="74"/>
      <c r="AX3832" s="77"/>
      <c r="BA3832" s="497">
        <v>73.94</v>
      </c>
      <c r="BB3832" s="42"/>
      <c r="BC3832" s="74"/>
      <c r="BD3832" s="77"/>
      <c r="BF3832">
        <v>60.08</v>
      </c>
      <c r="BH3832" s="42"/>
      <c r="BI3832" s="74"/>
      <c r="BJ3832" s="77"/>
      <c r="BL3832" s="497">
        <v>73.039999999999992</v>
      </c>
      <c r="BN3832" s="42"/>
      <c r="BO3832" s="74"/>
      <c r="BP3832" s="77"/>
      <c r="BR3832" s="497">
        <v>66.02</v>
      </c>
      <c r="BT3832" s="42"/>
    </row>
    <row r="3833" spans="1:72" x14ac:dyDescent="0.25">
      <c r="A3833" s="90">
        <v>34493</v>
      </c>
      <c r="B3833" s="20">
        <v>0.95833333333333337</v>
      </c>
      <c r="D3833">
        <v>77</v>
      </c>
      <c r="E3833" t="str">
        <f t="shared" si="154"/>
        <v>WEEKDAY</v>
      </c>
      <c r="F3833" t="e">
        <f t="shared" si="155"/>
        <v>#N/A</v>
      </c>
      <c r="G3833" s="74">
        <v>33032</v>
      </c>
      <c r="H3833" s="77">
        <v>0.95833333333333337</v>
      </c>
      <c r="J3833">
        <v>62.06</v>
      </c>
      <c r="M3833" s="74">
        <v>37780</v>
      </c>
      <c r="N3833" s="77">
        <v>0.95833333333333337</v>
      </c>
      <c r="P3833">
        <v>60.8</v>
      </c>
      <c r="S3833" s="74">
        <v>34493</v>
      </c>
      <c r="T3833" s="77">
        <v>0.95833333333333337</v>
      </c>
      <c r="V3833">
        <v>66.02</v>
      </c>
      <c r="X3833" s="42"/>
      <c r="AB3833">
        <v>65.5</v>
      </c>
      <c r="AC3833">
        <v>57.019999999999996</v>
      </c>
      <c r="AE3833" s="74"/>
      <c r="AF3833" s="77"/>
      <c r="AH3833" s="497">
        <v>66.2</v>
      </c>
      <c r="AJ3833" s="42"/>
      <c r="AK3833" s="74"/>
      <c r="AL3833" s="77"/>
      <c r="AN3833" s="497">
        <v>48.92</v>
      </c>
      <c r="AP3833" s="42"/>
      <c r="AQ3833" s="74"/>
      <c r="AR3833" s="77"/>
      <c r="AT3833" s="497">
        <v>68</v>
      </c>
      <c r="AV3833" s="42"/>
      <c r="AW3833" s="74"/>
      <c r="AX3833" s="77"/>
      <c r="BA3833" s="497">
        <v>73.94</v>
      </c>
      <c r="BB3833" s="42"/>
      <c r="BC3833" s="74"/>
      <c r="BD3833" s="77"/>
      <c r="BF3833">
        <v>57.92</v>
      </c>
      <c r="BH3833" s="42"/>
      <c r="BI3833" s="74"/>
      <c r="BJ3833" s="77"/>
      <c r="BL3833" s="497">
        <v>71.960000000000008</v>
      </c>
      <c r="BN3833" s="42"/>
      <c r="BO3833" s="74"/>
      <c r="BP3833" s="77"/>
      <c r="BR3833" s="497">
        <v>62.96</v>
      </c>
      <c r="BT3833" s="42"/>
    </row>
    <row r="3834" spans="1:72" x14ac:dyDescent="0.25">
      <c r="A3834" s="90">
        <v>34493</v>
      </c>
      <c r="B3834" s="20">
        <v>1</v>
      </c>
      <c r="D3834">
        <v>75.92</v>
      </c>
      <c r="E3834" t="str">
        <f t="shared" si="154"/>
        <v>WEEKDAY</v>
      </c>
      <c r="F3834" t="e">
        <f t="shared" si="155"/>
        <v>#N/A</v>
      </c>
      <c r="G3834" s="74">
        <v>33032</v>
      </c>
      <c r="H3834" s="77">
        <v>1</v>
      </c>
      <c r="J3834">
        <v>62.06</v>
      </c>
      <c r="M3834" s="74">
        <v>37780</v>
      </c>
      <c r="N3834" s="80">
        <v>1</v>
      </c>
      <c r="P3834">
        <v>59</v>
      </c>
      <c r="S3834" s="74">
        <v>34493</v>
      </c>
      <c r="T3834" s="80">
        <v>1</v>
      </c>
      <c r="V3834">
        <v>64.039999999999992</v>
      </c>
      <c r="X3834" s="42"/>
      <c r="AB3834">
        <v>65</v>
      </c>
      <c r="AC3834">
        <v>55.94</v>
      </c>
      <c r="AE3834" s="74"/>
      <c r="AF3834" s="80"/>
      <c r="AH3834" s="497">
        <v>68</v>
      </c>
      <c r="AJ3834" s="42"/>
      <c r="AK3834" s="74"/>
      <c r="AL3834" s="80"/>
      <c r="AN3834" s="497">
        <v>48.92</v>
      </c>
      <c r="AP3834" s="42"/>
      <c r="AQ3834" s="74"/>
      <c r="AR3834" s="80"/>
      <c r="AT3834" s="497">
        <v>64.94</v>
      </c>
      <c r="AV3834" s="42"/>
      <c r="AW3834" s="74"/>
      <c r="AX3834" s="80"/>
      <c r="BA3834" s="497">
        <v>73.94</v>
      </c>
      <c r="BB3834" s="42"/>
      <c r="BC3834" s="74"/>
      <c r="BD3834" s="80"/>
      <c r="BF3834">
        <v>57.92</v>
      </c>
      <c r="BH3834" s="42"/>
      <c r="BI3834" s="74"/>
      <c r="BJ3834" s="80"/>
      <c r="BL3834" s="497">
        <v>71.960000000000008</v>
      </c>
      <c r="BN3834" s="42"/>
      <c r="BO3834" s="74"/>
      <c r="BP3834" s="80"/>
      <c r="BR3834" s="497">
        <v>62.06</v>
      </c>
      <c r="BT3834" s="42"/>
    </row>
    <row r="3835" spans="1:72" x14ac:dyDescent="0.25">
      <c r="A3835" s="90">
        <v>34494</v>
      </c>
      <c r="B3835" s="20">
        <v>4.1666666666666664E-2</v>
      </c>
      <c r="D3835">
        <v>75.92</v>
      </c>
      <c r="E3835" t="str">
        <f t="shared" si="154"/>
        <v>WEEKDAY</v>
      </c>
      <c r="F3835" t="e">
        <f t="shared" si="155"/>
        <v>#N/A</v>
      </c>
      <c r="G3835" s="74">
        <v>33033</v>
      </c>
      <c r="H3835" s="77">
        <v>4.1666666666666664E-2</v>
      </c>
      <c r="J3835">
        <v>62.06</v>
      </c>
      <c r="M3835" s="74">
        <v>37781</v>
      </c>
      <c r="N3835" s="77">
        <v>4.1666666666666664E-2</v>
      </c>
      <c r="P3835">
        <v>57.2</v>
      </c>
      <c r="S3835" s="74">
        <v>34494</v>
      </c>
      <c r="T3835" s="77">
        <v>4.1666666666666664E-2</v>
      </c>
      <c r="V3835">
        <v>62.06</v>
      </c>
      <c r="X3835" s="42"/>
      <c r="AB3835">
        <v>64.5</v>
      </c>
      <c r="AC3835">
        <v>57.019999999999996</v>
      </c>
      <c r="AE3835" s="74"/>
      <c r="AF3835" s="77"/>
      <c r="AH3835" s="497">
        <v>66.2</v>
      </c>
      <c r="AJ3835" s="42"/>
      <c r="AK3835" s="74"/>
      <c r="AL3835" s="77"/>
      <c r="AN3835" s="497">
        <v>48.92</v>
      </c>
      <c r="AP3835" s="42"/>
      <c r="AQ3835" s="74"/>
      <c r="AR3835" s="77"/>
      <c r="AT3835" s="497">
        <v>62.96</v>
      </c>
      <c r="AV3835" s="42"/>
      <c r="AW3835" s="74"/>
      <c r="AX3835" s="77"/>
      <c r="BA3835" s="497">
        <v>73.94</v>
      </c>
      <c r="BB3835" s="42"/>
      <c r="BC3835" s="74"/>
      <c r="BD3835" s="77"/>
      <c r="BF3835">
        <v>57.019999999999996</v>
      </c>
      <c r="BH3835" s="42"/>
      <c r="BI3835" s="74"/>
      <c r="BJ3835" s="77"/>
      <c r="BL3835" s="497">
        <v>71.06</v>
      </c>
      <c r="BN3835" s="42"/>
      <c r="BO3835" s="74"/>
      <c r="BP3835" s="77"/>
      <c r="BR3835" s="497">
        <v>62.06</v>
      </c>
      <c r="BT3835" s="42"/>
    </row>
    <row r="3836" spans="1:72" x14ac:dyDescent="0.25">
      <c r="A3836" s="90">
        <v>34494</v>
      </c>
      <c r="B3836" s="20">
        <v>8.3333333333333329E-2</v>
      </c>
      <c r="D3836">
        <v>73.94</v>
      </c>
      <c r="E3836" t="str">
        <f t="shared" si="154"/>
        <v>WEEKDAY</v>
      </c>
      <c r="F3836" t="e">
        <f t="shared" si="155"/>
        <v>#N/A</v>
      </c>
      <c r="G3836" s="74">
        <v>33033</v>
      </c>
      <c r="H3836" s="77">
        <v>8.3333333333333329E-2</v>
      </c>
      <c r="J3836">
        <v>62.06</v>
      </c>
      <c r="M3836" s="74">
        <v>37781</v>
      </c>
      <c r="N3836" s="77">
        <v>8.3333333333333329E-2</v>
      </c>
      <c r="P3836">
        <v>57.2</v>
      </c>
      <c r="S3836" s="74">
        <v>34494</v>
      </c>
      <c r="T3836" s="77">
        <v>8.3333333333333329E-2</v>
      </c>
      <c r="V3836">
        <v>60.980000000000004</v>
      </c>
      <c r="X3836" s="42"/>
      <c r="AB3836">
        <v>63.9</v>
      </c>
      <c r="AC3836">
        <v>57.019999999999996</v>
      </c>
      <c r="AE3836" s="74"/>
      <c r="AF3836" s="77"/>
      <c r="AH3836" s="497">
        <v>64.400000000000006</v>
      </c>
      <c r="AJ3836" s="42"/>
      <c r="AK3836" s="74"/>
      <c r="AL3836" s="77"/>
      <c r="AN3836" s="497">
        <v>48.019999999999996</v>
      </c>
      <c r="AP3836" s="42"/>
      <c r="AQ3836" s="74"/>
      <c r="AR3836" s="77"/>
      <c r="AT3836" s="497">
        <v>60.980000000000004</v>
      </c>
      <c r="AV3836" s="42"/>
      <c r="AW3836" s="74"/>
      <c r="AX3836" s="77"/>
      <c r="BA3836" s="497">
        <v>72.319999999999993</v>
      </c>
      <c r="BB3836" s="42"/>
      <c r="BC3836" s="74"/>
      <c r="BD3836" s="77"/>
      <c r="BF3836">
        <v>57.019999999999996</v>
      </c>
      <c r="BH3836" s="42"/>
      <c r="BI3836" s="74"/>
      <c r="BJ3836" s="77"/>
      <c r="BL3836" s="497">
        <v>69.98</v>
      </c>
      <c r="BN3836" s="42"/>
      <c r="BO3836" s="74"/>
      <c r="BP3836" s="77"/>
      <c r="BR3836" s="497">
        <v>62.06</v>
      </c>
      <c r="BT3836" s="42"/>
    </row>
    <row r="3837" spans="1:72" x14ac:dyDescent="0.25">
      <c r="A3837" s="90">
        <v>34494</v>
      </c>
      <c r="B3837" s="20">
        <v>0.125</v>
      </c>
      <c r="D3837">
        <v>73.039999999999992</v>
      </c>
      <c r="E3837" t="str">
        <f t="shared" si="154"/>
        <v>WEEKDAY</v>
      </c>
      <c r="F3837" t="e">
        <f t="shared" si="155"/>
        <v>#N/A</v>
      </c>
      <c r="G3837" s="74">
        <v>33033</v>
      </c>
      <c r="H3837" s="77">
        <v>0.125</v>
      </c>
      <c r="J3837">
        <v>64.039999999999992</v>
      </c>
      <c r="M3837" s="74">
        <v>37781</v>
      </c>
      <c r="N3837" s="77">
        <v>0.125</v>
      </c>
      <c r="P3837">
        <v>55.400000000000006</v>
      </c>
      <c r="S3837" s="74">
        <v>34494</v>
      </c>
      <c r="T3837" s="77">
        <v>0.125</v>
      </c>
      <c r="V3837">
        <v>60.08</v>
      </c>
      <c r="X3837" s="42"/>
      <c r="AB3837">
        <v>63.4</v>
      </c>
      <c r="AC3837">
        <v>55.94</v>
      </c>
      <c r="AE3837" s="74"/>
      <c r="AF3837" s="77"/>
      <c r="AH3837" s="497">
        <v>64.400000000000006</v>
      </c>
      <c r="AJ3837" s="42"/>
      <c r="AK3837" s="74"/>
      <c r="AL3837" s="77"/>
      <c r="AN3837" s="497">
        <v>44.96</v>
      </c>
      <c r="AP3837" s="42"/>
      <c r="AQ3837" s="74"/>
      <c r="AR3837" s="77"/>
      <c r="AT3837" s="497">
        <v>59</v>
      </c>
      <c r="AV3837" s="42"/>
      <c r="AW3837" s="74"/>
      <c r="AX3837" s="77"/>
      <c r="BA3837" s="497">
        <v>70.7</v>
      </c>
      <c r="BB3837" s="42"/>
      <c r="BC3837" s="74"/>
      <c r="BD3837" s="77"/>
      <c r="BF3837">
        <v>57.019999999999996</v>
      </c>
      <c r="BH3837" s="42"/>
      <c r="BI3837" s="74"/>
      <c r="BJ3837" s="77"/>
      <c r="BL3837" s="497">
        <v>69.98</v>
      </c>
      <c r="BN3837" s="42"/>
      <c r="BO3837" s="74"/>
      <c r="BP3837" s="77"/>
      <c r="BR3837" s="497">
        <v>62.96</v>
      </c>
      <c r="BT3837" s="42"/>
    </row>
    <row r="3838" spans="1:72" x14ac:dyDescent="0.25">
      <c r="A3838" s="90">
        <v>34494</v>
      </c>
      <c r="B3838" s="20">
        <v>0.16666666666666666</v>
      </c>
      <c r="D3838">
        <v>73.039999999999992</v>
      </c>
      <c r="E3838" t="str">
        <f t="shared" si="154"/>
        <v>WEEKDAY</v>
      </c>
      <c r="F3838" t="e">
        <f t="shared" si="155"/>
        <v>#N/A</v>
      </c>
      <c r="G3838" s="74">
        <v>33033</v>
      </c>
      <c r="H3838" s="77">
        <v>0.16666666666666666</v>
      </c>
      <c r="J3838">
        <v>64.94</v>
      </c>
      <c r="M3838" s="74">
        <v>37781</v>
      </c>
      <c r="N3838" s="77">
        <v>0.16666666666666666</v>
      </c>
      <c r="P3838">
        <v>55.400000000000006</v>
      </c>
      <c r="S3838" s="74">
        <v>34494</v>
      </c>
      <c r="T3838" s="77">
        <v>0.16666666666666666</v>
      </c>
      <c r="V3838">
        <v>59</v>
      </c>
      <c r="X3838" s="42"/>
      <c r="AB3838">
        <v>63</v>
      </c>
      <c r="AC3838">
        <v>55.040000000000006</v>
      </c>
      <c r="AE3838" s="74"/>
      <c r="AF3838" s="77"/>
      <c r="AH3838" s="497">
        <v>60.8</v>
      </c>
      <c r="AJ3838" s="42"/>
      <c r="AK3838" s="74"/>
      <c r="AL3838" s="77"/>
      <c r="AN3838" s="497">
        <v>46.94</v>
      </c>
      <c r="AP3838" s="42"/>
      <c r="AQ3838" s="74"/>
      <c r="AR3838" s="77"/>
      <c r="AT3838" s="497">
        <v>57.92</v>
      </c>
      <c r="AV3838" s="42"/>
      <c r="AW3838" s="74"/>
      <c r="AX3838" s="77"/>
      <c r="BA3838" s="497">
        <v>69.080000000000013</v>
      </c>
      <c r="BB3838" s="42"/>
      <c r="BC3838" s="74"/>
      <c r="BD3838" s="77"/>
      <c r="BF3838">
        <v>55.040000000000006</v>
      </c>
      <c r="BH3838" s="42"/>
      <c r="BI3838" s="74"/>
      <c r="BJ3838" s="77"/>
      <c r="BL3838" s="497">
        <v>69.080000000000013</v>
      </c>
      <c r="BN3838" s="42"/>
      <c r="BO3838" s="74"/>
      <c r="BP3838" s="77"/>
      <c r="BR3838" s="497">
        <v>62.96</v>
      </c>
      <c r="BT3838" s="42"/>
    </row>
    <row r="3839" spans="1:72" x14ac:dyDescent="0.25">
      <c r="A3839" s="90">
        <v>34494</v>
      </c>
      <c r="B3839" s="20">
        <v>0.20833333333333334</v>
      </c>
      <c r="D3839">
        <v>71.960000000000008</v>
      </c>
      <c r="E3839" t="str">
        <f t="shared" si="154"/>
        <v>WEEKDAY</v>
      </c>
      <c r="F3839" t="e">
        <f t="shared" si="155"/>
        <v>#N/A</v>
      </c>
      <c r="G3839" s="74">
        <v>33033</v>
      </c>
      <c r="H3839" s="77">
        <v>0.20833333333333334</v>
      </c>
      <c r="J3839">
        <v>64.039999999999992</v>
      </c>
      <c r="M3839" s="74">
        <v>37781</v>
      </c>
      <c r="N3839" s="77">
        <v>0.20833333333333334</v>
      </c>
      <c r="P3839">
        <v>53.78</v>
      </c>
      <c r="S3839" s="74">
        <v>34494</v>
      </c>
      <c r="T3839" s="77">
        <v>0.20833333333333334</v>
      </c>
      <c r="V3839">
        <v>57.92</v>
      </c>
      <c r="X3839" s="42"/>
      <c r="AB3839">
        <v>62.6</v>
      </c>
      <c r="AC3839">
        <v>55.040000000000006</v>
      </c>
      <c r="AE3839" s="74"/>
      <c r="AF3839" s="77"/>
      <c r="AH3839" s="497">
        <v>57.2</v>
      </c>
      <c r="AJ3839" s="42"/>
      <c r="AK3839" s="74"/>
      <c r="AL3839" s="77"/>
      <c r="AN3839" s="497">
        <v>44.06</v>
      </c>
      <c r="AP3839" s="42"/>
      <c r="AQ3839" s="74"/>
      <c r="AR3839" s="77"/>
      <c r="AT3839" s="497">
        <v>55.94</v>
      </c>
      <c r="AV3839" s="42"/>
      <c r="AW3839" s="74"/>
      <c r="AX3839" s="77"/>
      <c r="BA3839" s="497">
        <v>69.98</v>
      </c>
      <c r="BB3839" s="42"/>
      <c r="BC3839" s="74"/>
      <c r="BD3839" s="77"/>
      <c r="BF3839">
        <v>53.96</v>
      </c>
      <c r="BH3839" s="42"/>
      <c r="BI3839" s="74"/>
      <c r="BJ3839" s="77"/>
      <c r="BL3839" s="497">
        <v>69.080000000000013</v>
      </c>
      <c r="BN3839" s="42"/>
      <c r="BO3839" s="74"/>
      <c r="BP3839" s="77"/>
      <c r="BR3839" s="497">
        <v>62.06</v>
      </c>
      <c r="BT3839" s="42"/>
    </row>
    <row r="3840" spans="1:72" x14ac:dyDescent="0.25">
      <c r="A3840" s="90">
        <v>34494</v>
      </c>
      <c r="B3840" s="20">
        <v>0.25</v>
      </c>
      <c r="D3840">
        <v>73.039999999999992</v>
      </c>
      <c r="E3840" t="str">
        <f t="shared" si="154"/>
        <v>WEEKDAY</v>
      </c>
      <c r="F3840" t="e">
        <f t="shared" si="155"/>
        <v>#N/A</v>
      </c>
      <c r="G3840" s="74">
        <v>33033</v>
      </c>
      <c r="H3840" s="77">
        <v>0.25</v>
      </c>
      <c r="J3840">
        <v>64.039999999999992</v>
      </c>
      <c r="M3840" s="74">
        <v>37781</v>
      </c>
      <c r="N3840" s="77">
        <v>0.25</v>
      </c>
      <c r="P3840">
        <v>54.14</v>
      </c>
      <c r="S3840" s="74">
        <v>34494</v>
      </c>
      <c r="T3840" s="77">
        <v>0.25</v>
      </c>
      <c r="V3840">
        <v>60.08</v>
      </c>
      <c r="X3840" s="42"/>
      <c r="AB3840">
        <v>62.5</v>
      </c>
      <c r="AC3840">
        <v>59</v>
      </c>
      <c r="AE3840" s="74"/>
      <c r="AF3840" s="77"/>
      <c r="AH3840" s="497">
        <v>60.8</v>
      </c>
      <c r="AJ3840" s="42"/>
      <c r="AK3840" s="74"/>
      <c r="AL3840" s="77"/>
      <c r="AN3840" s="497">
        <v>42.980000000000004</v>
      </c>
      <c r="AP3840" s="42"/>
      <c r="AQ3840" s="74"/>
      <c r="AR3840" s="77"/>
      <c r="AT3840" s="497">
        <v>57.92</v>
      </c>
      <c r="AV3840" s="42"/>
      <c r="AW3840" s="74"/>
      <c r="AX3840" s="77"/>
      <c r="BA3840" s="497">
        <v>71.06</v>
      </c>
      <c r="BB3840" s="42"/>
      <c r="BC3840" s="74"/>
      <c r="BD3840" s="77"/>
      <c r="BF3840">
        <v>53.06</v>
      </c>
      <c r="BH3840" s="42"/>
      <c r="BI3840" s="74"/>
      <c r="BJ3840" s="77"/>
      <c r="BL3840" s="497">
        <v>71.06</v>
      </c>
      <c r="BN3840" s="42"/>
      <c r="BO3840" s="74"/>
      <c r="BP3840" s="77"/>
      <c r="BR3840" s="497">
        <v>62.06</v>
      </c>
      <c r="BT3840" s="42"/>
    </row>
    <row r="3841" spans="1:72" x14ac:dyDescent="0.25">
      <c r="A3841" s="90">
        <v>34494</v>
      </c>
      <c r="B3841" s="20">
        <v>0.29166666666666669</v>
      </c>
      <c r="D3841">
        <v>75.02</v>
      </c>
      <c r="E3841" t="str">
        <f t="shared" si="154"/>
        <v>WEEKDAY</v>
      </c>
      <c r="F3841" t="e">
        <f t="shared" si="155"/>
        <v>#N/A</v>
      </c>
      <c r="G3841" s="74">
        <v>33033</v>
      </c>
      <c r="H3841" s="77">
        <v>0.29166666666666669</v>
      </c>
      <c r="J3841">
        <v>64.039999999999992</v>
      </c>
      <c r="M3841" s="74">
        <v>37781</v>
      </c>
      <c r="N3841" s="77">
        <v>0.29166666666666669</v>
      </c>
      <c r="P3841">
        <v>55.040000000000006</v>
      </c>
      <c r="S3841" s="74">
        <v>34494</v>
      </c>
      <c r="T3841" s="77">
        <v>0.29166666666666669</v>
      </c>
      <c r="V3841">
        <v>62.06</v>
      </c>
      <c r="X3841" s="42"/>
      <c r="AB3841">
        <v>64</v>
      </c>
      <c r="AC3841">
        <v>62.96</v>
      </c>
      <c r="AE3841" s="74"/>
      <c r="AF3841" s="77"/>
      <c r="AH3841" s="497">
        <v>68</v>
      </c>
      <c r="AJ3841" s="42"/>
      <c r="AK3841" s="74"/>
      <c r="AL3841" s="77"/>
      <c r="AN3841" s="497">
        <v>46.04</v>
      </c>
      <c r="AP3841" s="42"/>
      <c r="AQ3841" s="74"/>
      <c r="AR3841" s="77"/>
      <c r="AT3841" s="497">
        <v>60.08</v>
      </c>
      <c r="AV3841" s="42"/>
      <c r="AW3841" s="74"/>
      <c r="AX3841" s="77"/>
      <c r="BA3841" s="497">
        <v>71.960000000000008</v>
      </c>
      <c r="BB3841" s="42"/>
      <c r="BC3841" s="74"/>
      <c r="BD3841" s="77"/>
      <c r="BF3841">
        <v>55.040000000000006</v>
      </c>
      <c r="BH3841" s="42"/>
      <c r="BI3841" s="74"/>
      <c r="BJ3841" s="77"/>
      <c r="BL3841" s="497">
        <v>71.960000000000008</v>
      </c>
      <c r="BN3841" s="42"/>
      <c r="BO3841" s="74"/>
      <c r="BP3841" s="77"/>
      <c r="BR3841" s="497">
        <v>64.039999999999992</v>
      </c>
      <c r="BT3841" s="42"/>
    </row>
    <row r="3842" spans="1:72" x14ac:dyDescent="0.25">
      <c r="A3842" s="90">
        <v>34494</v>
      </c>
      <c r="B3842" s="20">
        <v>0.33333333333333331</v>
      </c>
      <c r="D3842">
        <v>78.080000000000013</v>
      </c>
      <c r="E3842" t="str">
        <f t="shared" si="154"/>
        <v>WEEKDAY</v>
      </c>
      <c r="F3842" t="e">
        <f t="shared" si="155"/>
        <v>#N/A</v>
      </c>
      <c r="G3842" s="74">
        <v>33033</v>
      </c>
      <c r="H3842" s="77">
        <v>0.33333333333333331</v>
      </c>
      <c r="J3842">
        <v>69.98</v>
      </c>
      <c r="M3842" s="74">
        <v>37781</v>
      </c>
      <c r="N3842" s="77">
        <v>0.33333333333333331</v>
      </c>
      <c r="P3842">
        <v>55.94</v>
      </c>
      <c r="S3842" s="74">
        <v>34494</v>
      </c>
      <c r="T3842" s="77">
        <v>0.33333333333333331</v>
      </c>
      <c r="V3842">
        <v>64.94</v>
      </c>
      <c r="X3842" s="42"/>
      <c r="AB3842">
        <v>65.7</v>
      </c>
      <c r="AC3842">
        <v>64.94</v>
      </c>
      <c r="AE3842" s="74"/>
      <c r="AF3842" s="77"/>
      <c r="AH3842" s="497">
        <v>73.400000000000006</v>
      </c>
      <c r="AJ3842" s="42"/>
      <c r="AK3842" s="74"/>
      <c r="AL3842" s="77"/>
      <c r="AN3842" s="497">
        <v>51.980000000000004</v>
      </c>
      <c r="AP3842" s="42"/>
      <c r="AQ3842" s="74"/>
      <c r="AR3842" s="77"/>
      <c r="AT3842" s="497">
        <v>62.06</v>
      </c>
      <c r="AV3842" s="42"/>
      <c r="AW3842" s="74"/>
      <c r="AX3842" s="77"/>
      <c r="BA3842" s="497">
        <v>73.94</v>
      </c>
      <c r="BB3842" s="42"/>
      <c r="BC3842" s="74"/>
      <c r="BD3842" s="77"/>
      <c r="BF3842">
        <v>57.019999999999996</v>
      </c>
      <c r="BH3842" s="42"/>
      <c r="BI3842" s="74"/>
      <c r="BJ3842" s="77"/>
      <c r="BL3842" s="497">
        <v>73.039999999999992</v>
      </c>
      <c r="BN3842" s="42"/>
      <c r="BO3842" s="74"/>
      <c r="BP3842" s="77"/>
      <c r="BR3842" s="497">
        <v>66.02</v>
      </c>
      <c r="BT3842" s="42"/>
    </row>
    <row r="3843" spans="1:72" x14ac:dyDescent="0.25">
      <c r="A3843" s="90">
        <v>34494</v>
      </c>
      <c r="B3843" s="20">
        <v>0.375</v>
      </c>
      <c r="D3843">
        <v>82.94</v>
      </c>
      <c r="E3843" t="str">
        <f t="shared" si="154"/>
        <v>WEEKDAY</v>
      </c>
      <c r="F3843" t="e">
        <f t="shared" si="155"/>
        <v>#N/A</v>
      </c>
      <c r="G3843" s="74">
        <v>33033</v>
      </c>
      <c r="H3843" s="77">
        <v>0.375</v>
      </c>
      <c r="J3843">
        <v>73.039999999999992</v>
      </c>
      <c r="M3843" s="74">
        <v>37781</v>
      </c>
      <c r="N3843" s="77">
        <v>0.375</v>
      </c>
      <c r="P3843">
        <v>56.66</v>
      </c>
      <c r="S3843" s="74">
        <v>34494</v>
      </c>
      <c r="T3843" s="77">
        <v>0.375</v>
      </c>
      <c r="V3843">
        <v>66.92</v>
      </c>
      <c r="X3843" s="42"/>
      <c r="AB3843">
        <v>67.7</v>
      </c>
      <c r="AC3843">
        <v>66.92</v>
      </c>
      <c r="AE3843" s="74"/>
      <c r="AF3843" s="77"/>
      <c r="AH3843" s="497">
        <v>71.599999999999994</v>
      </c>
      <c r="AJ3843" s="42"/>
      <c r="AK3843" s="74"/>
      <c r="AL3843" s="77"/>
      <c r="AN3843" s="497">
        <v>57.019999999999996</v>
      </c>
      <c r="AP3843" s="42"/>
      <c r="AQ3843" s="74"/>
      <c r="AR3843" s="77"/>
      <c r="AT3843" s="497">
        <v>64.039999999999992</v>
      </c>
      <c r="AV3843" s="42"/>
      <c r="AW3843" s="74"/>
      <c r="AX3843" s="77"/>
      <c r="BA3843" s="497">
        <v>76.099999999999994</v>
      </c>
      <c r="BB3843" s="42"/>
      <c r="BC3843" s="74"/>
      <c r="BD3843" s="77"/>
      <c r="BF3843">
        <v>60.08</v>
      </c>
      <c r="BH3843" s="42"/>
      <c r="BI3843" s="74"/>
      <c r="BJ3843" s="77"/>
      <c r="BL3843" s="497">
        <v>75.02</v>
      </c>
      <c r="BN3843" s="42"/>
      <c r="BO3843" s="74"/>
      <c r="BP3843" s="77"/>
      <c r="BR3843" s="497">
        <v>66.02</v>
      </c>
      <c r="BT3843" s="42"/>
    </row>
    <row r="3844" spans="1:72" x14ac:dyDescent="0.25">
      <c r="A3844" s="90">
        <v>34494</v>
      </c>
      <c r="B3844" s="20">
        <v>0.41666666666666669</v>
      </c>
      <c r="D3844">
        <v>86</v>
      </c>
      <c r="E3844" t="str">
        <f t="shared" si="154"/>
        <v>WEEKDAY</v>
      </c>
      <c r="F3844" t="e">
        <f t="shared" si="155"/>
        <v>#N/A</v>
      </c>
      <c r="G3844" s="74">
        <v>33033</v>
      </c>
      <c r="H3844" s="77">
        <v>0.41666666666666669</v>
      </c>
      <c r="J3844">
        <v>71.960000000000008</v>
      </c>
      <c r="M3844" s="74">
        <v>37781</v>
      </c>
      <c r="N3844" s="77">
        <v>0.41666666666666669</v>
      </c>
      <c r="P3844">
        <v>57.2</v>
      </c>
      <c r="S3844" s="74">
        <v>34494</v>
      </c>
      <c r="T3844" s="77">
        <v>0.41666666666666669</v>
      </c>
      <c r="V3844">
        <v>69.98</v>
      </c>
      <c r="X3844" s="42"/>
      <c r="AB3844">
        <v>69.400000000000006</v>
      </c>
      <c r="AC3844">
        <v>71.06</v>
      </c>
      <c r="AE3844" s="74"/>
      <c r="AF3844" s="77"/>
      <c r="AH3844" s="497">
        <v>78.800000000000011</v>
      </c>
      <c r="AJ3844" s="42"/>
      <c r="AK3844" s="74"/>
      <c r="AL3844" s="77"/>
      <c r="AN3844" s="497">
        <v>60.980000000000004</v>
      </c>
      <c r="AP3844" s="42"/>
      <c r="AQ3844" s="74"/>
      <c r="AR3844" s="77"/>
      <c r="AT3844" s="497">
        <v>66.02</v>
      </c>
      <c r="AV3844" s="42"/>
      <c r="AW3844" s="74"/>
      <c r="AX3844" s="77"/>
      <c r="BA3844" s="497">
        <v>78.080000000000013</v>
      </c>
      <c r="BB3844" s="42"/>
      <c r="BC3844" s="74"/>
      <c r="BD3844" s="77"/>
      <c r="BF3844">
        <v>62.06</v>
      </c>
      <c r="BH3844" s="42"/>
      <c r="BI3844" s="74"/>
      <c r="BJ3844" s="77"/>
      <c r="BL3844" s="497">
        <v>78.98</v>
      </c>
      <c r="BN3844" s="42"/>
      <c r="BO3844" s="74"/>
      <c r="BP3844" s="77"/>
      <c r="BR3844" s="497">
        <v>69.080000000000013</v>
      </c>
      <c r="BT3844" s="42"/>
    </row>
    <row r="3845" spans="1:72" x14ac:dyDescent="0.25">
      <c r="A3845" s="90">
        <v>34494</v>
      </c>
      <c r="B3845" s="20">
        <v>0.45833333333333331</v>
      </c>
      <c r="D3845">
        <v>87.98</v>
      </c>
      <c r="E3845" t="str">
        <f t="shared" si="154"/>
        <v>WEEKDAY</v>
      </c>
      <c r="F3845" t="e">
        <f t="shared" si="155"/>
        <v>#N/A</v>
      </c>
      <c r="G3845" s="74">
        <v>33033</v>
      </c>
      <c r="H3845" s="77">
        <v>0.45833333333333331</v>
      </c>
      <c r="J3845">
        <v>78.080000000000013</v>
      </c>
      <c r="M3845" s="74">
        <v>37781</v>
      </c>
      <c r="N3845" s="77">
        <v>0.45833333333333331</v>
      </c>
      <c r="P3845">
        <v>60.8</v>
      </c>
      <c r="S3845" s="74">
        <v>34494</v>
      </c>
      <c r="T3845" s="77">
        <v>0.45833333333333331</v>
      </c>
      <c r="V3845">
        <v>69.98</v>
      </c>
      <c r="X3845" s="42"/>
      <c r="AB3845">
        <v>70.900000000000006</v>
      </c>
      <c r="AC3845">
        <v>71.960000000000008</v>
      </c>
      <c r="AE3845" s="74"/>
      <c r="AF3845" s="77"/>
      <c r="AH3845" s="497">
        <v>80.599999999999994</v>
      </c>
      <c r="AJ3845" s="42"/>
      <c r="AK3845" s="74"/>
      <c r="AL3845" s="77"/>
      <c r="AN3845" s="497">
        <v>64.039999999999992</v>
      </c>
      <c r="AP3845" s="42"/>
      <c r="AQ3845" s="74"/>
      <c r="AR3845" s="77"/>
      <c r="AT3845" s="497">
        <v>69.080000000000013</v>
      </c>
      <c r="AV3845" s="42"/>
      <c r="AW3845" s="74"/>
      <c r="AX3845" s="77"/>
      <c r="BA3845" s="497">
        <v>79.34</v>
      </c>
      <c r="BB3845" s="42"/>
      <c r="BC3845" s="74"/>
      <c r="BD3845" s="77"/>
      <c r="BF3845">
        <v>62.96</v>
      </c>
      <c r="BH3845" s="42"/>
      <c r="BI3845" s="74"/>
      <c r="BJ3845" s="77"/>
      <c r="BL3845" s="497">
        <v>80.06</v>
      </c>
      <c r="BN3845" s="42"/>
      <c r="BO3845" s="74"/>
      <c r="BP3845" s="77"/>
      <c r="BR3845" s="497">
        <v>69.98</v>
      </c>
      <c r="BT3845" s="42"/>
    </row>
    <row r="3846" spans="1:72" x14ac:dyDescent="0.25">
      <c r="A3846" s="90">
        <v>34494</v>
      </c>
      <c r="B3846" s="20">
        <v>0.5</v>
      </c>
      <c r="D3846">
        <v>91.039999999999992</v>
      </c>
      <c r="E3846" t="str">
        <f t="shared" si="154"/>
        <v>WEEKDAY</v>
      </c>
      <c r="F3846" t="e">
        <f t="shared" si="155"/>
        <v>#N/A</v>
      </c>
      <c r="G3846" s="74">
        <v>33033</v>
      </c>
      <c r="H3846" s="77">
        <v>0.5</v>
      </c>
      <c r="J3846">
        <v>82.039999999999992</v>
      </c>
      <c r="M3846" s="74">
        <v>37781</v>
      </c>
      <c r="N3846" s="77">
        <v>0.5</v>
      </c>
      <c r="P3846">
        <v>62.6</v>
      </c>
      <c r="S3846" s="74">
        <v>34494</v>
      </c>
      <c r="T3846" s="77">
        <v>0.5</v>
      </c>
      <c r="V3846">
        <v>71.06</v>
      </c>
      <c r="X3846" s="42"/>
      <c r="AB3846">
        <v>72.099999999999994</v>
      </c>
      <c r="AC3846">
        <v>73.94</v>
      </c>
      <c r="AE3846" s="74"/>
      <c r="AF3846" s="77"/>
      <c r="AH3846" s="497">
        <v>80.599999999999994</v>
      </c>
      <c r="AJ3846" s="42"/>
      <c r="AK3846" s="74"/>
      <c r="AL3846" s="77"/>
      <c r="AN3846" s="497">
        <v>66.92</v>
      </c>
      <c r="AP3846" s="42"/>
      <c r="AQ3846" s="74"/>
      <c r="AR3846" s="77"/>
      <c r="AT3846" s="497">
        <v>71.960000000000008</v>
      </c>
      <c r="AV3846" s="42"/>
      <c r="AW3846" s="74"/>
      <c r="AX3846" s="77"/>
      <c r="BA3846" s="497">
        <v>80.78</v>
      </c>
      <c r="BB3846" s="42"/>
      <c r="BC3846" s="74"/>
      <c r="BD3846" s="77"/>
      <c r="BF3846">
        <v>64.039999999999992</v>
      </c>
      <c r="BH3846" s="42"/>
      <c r="BI3846" s="74"/>
      <c r="BJ3846" s="77"/>
      <c r="BL3846" s="497">
        <v>80.960000000000008</v>
      </c>
      <c r="BN3846" s="42"/>
      <c r="BO3846" s="74"/>
      <c r="BP3846" s="77"/>
      <c r="BR3846" s="497">
        <v>66.02</v>
      </c>
      <c r="BT3846" s="42"/>
    </row>
    <row r="3847" spans="1:72" x14ac:dyDescent="0.25">
      <c r="A3847" s="90">
        <v>34494</v>
      </c>
      <c r="B3847" s="20">
        <v>0.54166666666666663</v>
      </c>
      <c r="D3847">
        <v>91.039999999999992</v>
      </c>
      <c r="E3847" t="str">
        <f t="shared" si="154"/>
        <v>WEEKDAY</v>
      </c>
      <c r="F3847" t="e">
        <f t="shared" si="155"/>
        <v>#N/A</v>
      </c>
      <c r="G3847" s="74">
        <v>33033</v>
      </c>
      <c r="H3847" s="77">
        <v>0.54166666666666663</v>
      </c>
      <c r="J3847">
        <v>80.960000000000008</v>
      </c>
      <c r="M3847" s="74">
        <v>37781</v>
      </c>
      <c r="N3847" s="77">
        <v>0.54166666666666663</v>
      </c>
      <c r="P3847">
        <v>66.2</v>
      </c>
      <c r="S3847" s="74">
        <v>34494</v>
      </c>
      <c r="T3847" s="77">
        <v>0.54166666666666663</v>
      </c>
      <c r="V3847">
        <v>71.960000000000008</v>
      </c>
      <c r="X3847" s="42"/>
      <c r="AB3847">
        <v>73</v>
      </c>
      <c r="AC3847">
        <v>73.94</v>
      </c>
      <c r="AE3847" s="74"/>
      <c r="AF3847" s="77"/>
      <c r="AH3847" s="497">
        <v>80.599999999999994</v>
      </c>
      <c r="AJ3847" s="42"/>
      <c r="AK3847" s="74"/>
      <c r="AL3847" s="77"/>
      <c r="AN3847" s="497">
        <v>69.98</v>
      </c>
      <c r="AP3847" s="42"/>
      <c r="AQ3847" s="74"/>
      <c r="AR3847" s="77"/>
      <c r="AT3847" s="497">
        <v>73.039999999999992</v>
      </c>
      <c r="AV3847" s="42"/>
      <c r="AW3847" s="74"/>
      <c r="AX3847" s="77"/>
      <c r="BA3847" s="497">
        <v>82.039999999999992</v>
      </c>
      <c r="BB3847" s="42"/>
      <c r="BC3847" s="74"/>
      <c r="BD3847" s="77"/>
      <c r="BF3847">
        <v>64.94</v>
      </c>
      <c r="BH3847" s="42"/>
      <c r="BI3847" s="74"/>
      <c r="BJ3847" s="77"/>
      <c r="BL3847" s="497">
        <v>82.94</v>
      </c>
      <c r="BN3847" s="42"/>
      <c r="BO3847" s="74"/>
      <c r="BP3847" s="77"/>
      <c r="BR3847" s="497">
        <v>69.98</v>
      </c>
      <c r="BT3847" s="42"/>
    </row>
    <row r="3848" spans="1:72" x14ac:dyDescent="0.25">
      <c r="A3848" s="90">
        <v>34494</v>
      </c>
      <c r="B3848" s="20">
        <v>0.58333333333333337</v>
      </c>
      <c r="D3848">
        <v>93.02</v>
      </c>
      <c r="E3848" t="str">
        <f t="shared" si="154"/>
        <v>WEEKDAY</v>
      </c>
      <c r="F3848" t="e">
        <f t="shared" si="155"/>
        <v>#N/A</v>
      </c>
      <c r="G3848" s="74">
        <v>33033</v>
      </c>
      <c r="H3848" s="77">
        <v>0.58333333333333337</v>
      </c>
      <c r="J3848">
        <v>78.98</v>
      </c>
      <c r="M3848" s="74">
        <v>37781</v>
      </c>
      <c r="N3848" s="77">
        <v>0.58333333333333337</v>
      </c>
      <c r="P3848">
        <v>71.599999999999994</v>
      </c>
      <c r="S3848" s="74">
        <v>34494</v>
      </c>
      <c r="T3848" s="77">
        <v>0.58333333333333337</v>
      </c>
      <c r="V3848">
        <v>69.98</v>
      </c>
      <c r="X3848" s="42"/>
      <c r="AB3848">
        <v>73.5</v>
      </c>
      <c r="AC3848">
        <v>73.039999999999992</v>
      </c>
      <c r="AE3848" s="74"/>
      <c r="AF3848" s="77"/>
      <c r="AH3848" s="497">
        <v>82.4</v>
      </c>
      <c r="AJ3848" s="42"/>
      <c r="AK3848" s="74"/>
      <c r="AL3848" s="77"/>
      <c r="AN3848" s="497">
        <v>71.960000000000008</v>
      </c>
      <c r="AP3848" s="42"/>
      <c r="AQ3848" s="74"/>
      <c r="AR3848" s="77"/>
      <c r="AT3848" s="497">
        <v>73.94</v>
      </c>
      <c r="AV3848" s="42"/>
      <c r="AW3848" s="74"/>
      <c r="AX3848" s="77"/>
      <c r="BA3848" s="497">
        <v>82.039999999999992</v>
      </c>
      <c r="BB3848" s="42"/>
      <c r="BC3848" s="74"/>
      <c r="BD3848" s="77"/>
      <c r="BF3848">
        <v>62.96</v>
      </c>
      <c r="BH3848" s="42"/>
      <c r="BI3848" s="74"/>
      <c r="BJ3848" s="77"/>
      <c r="BL3848" s="497">
        <v>84.02</v>
      </c>
      <c r="BN3848" s="42"/>
      <c r="BO3848" s="74"/>
      <c r="BP3848" s="77"/>
      <c r="BR3848" s="497">
        <v>71.06</v>
      </c>
      <c r="BT3848" s="42"/>
    </row>
    <row r="3849" spans="1:72" x14ac:dyDescent="0.25">
      <c r="A3849" s="90">
        <v>34494</v>
      </c>
      <c r="B3849" s="20">
        <v>0.625</v>
      </c>
      <c r="D3849">
        <v>93.92</v>
      </c>
      <c r="E3849" t="str">
        <f t="shared" si="154"/>
        <v>WEEKDAY</v>
      </c>
      <c r="F3849" t="e">
        <f t="shared" si="155"/>
        <v>#N/A</v>
      </c>
      <c r="G3849" s="74">
        <v>33033</v>
      </c>
      <c r="H3849" s="77">
        <v>0.625</v>
      </c>
      <c r="J3849">
        <v>80.06</v>
      </c>
      <c r="M3849" s="74">
        <v>37781</v>
      </c>
      <c r="N3849" s="77">
        <v>0.625</v>
      </c>
      <c r="P3849">
        <v>71.599999999999994</v>
      </c>
      <c r="S3849" s="74">
        <v>34494</v>
      </c>
      <c r="T3849" s="77">
        <v>0.625</v>
      </c>
      <c r="V3849">
        <v>69.98</v>
      </c>
      <c r="X3849" s="42"/>
      <c r="AB3849">
        <v>73.3</v>
      </c>
      <c r="AC3849">
        <v>75.02</v>
      </c>
      <c r="AE3849" s="74"/>
      <c r="AF3849" s="77"/>
      <c r="AH3849" s="497">
        <v>87.800000000000011</v>
      </c>
      <c r="AJ3849" s="42"/>
      <c r="AK3849" s="74"/>
      <c r="AL3849" s="77"/>
      <c r="AN3849" s="497">
        <v>73.039999999999992</v>
      </c>
      <c r="AP3849" s="42"/>
      <c r="AQ3849" s="74"/>
      <c r="AR3849" s="77"/>
      <c r="AT3849" s="497">
        <v>73.94</v>
      </c>
      <c r="AV3849" s="42"/>
      <c r="AW3849" s="74"/>
      <c r="AX3849" s="77"/>
      <c r="BA3849" s="497">
        <v>82.039999999999992</v>
      </c>
      <c r="BB3849" s="42"/>
      <c r="BC3849" s="74"/>
      <c r="BD3849" s="77"/>
      <c r="BF3849">
        <v>62.96</v>
      </c>
      <c r="BH3849" s="42"/>
      <c r="BI3849" s="74"/>
      <c r="BJ3849" s="77"/>
      <c r="BL3849" s="497">
        <v>84.02</v>
      </c>
      <c r="BN3849" s="42"/>
      <c r="BO3849" s="74"/>
      <c r="BP3849" s="77"/>
      <c r="BR3849" s="497">
        <v>69.080000000000013</v>
      </c>
      <c r="BT3849" s="42"/>
    </row>
    <row r="3850" spans="1:72" x14ac:dyDescent="0.25">
      <c r="A3850" s="90">
        <v>34494</v>
      </c>
      <c r="B3850" s="20">
        <v>0.66666666666666663</v>
      </c>
      <c r="D3850">
        <v>93.92</v>
      </c>
      <c r="E3850" t="str">
        <f t="shared" si="154"/>
        <v>WEEKDAY</v>
      </c>
      <c r="F3850" t="e">
        <f t="shared" si="155"/>
        <v>#N/A</v>
      </c>
      <c r="G3850" s="74">
        <v>33033</v>
      </c>
      <c r="H3850" s="77">
        <v>0.66666666666666663</v>
      </c>
      <c r="J3850">
        <v>80.06</v>
      </c>
      <c r="M3850" s="74">
        <v>37781</v>
      </c>
      <c r="N3850" s="77">
        <v>0.66666666666666663</v>
      </c>
      <c r="P3850">
        <v>73.400000000000006</v>
      </c>
      <c r="S3850" s="74">
        <v>34494</v>
      </c>
      <c r="T3850" s="77">
        <v>0.66666666666666663</v>
      </c>
      <c r="V3850">
        <v>71.06</v>
      </c>
      <c r="X3850" s="42"/>
      <c r="AB3850">
        <v>72.900000000000006</v>
      </c>
      <c r="AC3850">
        <v>73.94</v>
      </c>
      <c r="AE3850" s="74"/>
      <c r="AF3850" s="77"/>
      <c r="AH3850" s="497">
        <v>82.4</v>
      </c>
      <c r="AJ3850" s="42"/>
      <c r="AK3850" s="74"/>
      <c r="AL3850" s="77"/>
      <c r="AN3850" s="497">
        <v>73.94</v>
      </c>
      <c r="AP3850" s="42"/>
      <c r="AQ3850" s="74"/>
      <c r="AR3850" s="77"/>
      <c r="AT3850" s="497">
        <v>73.94</v>
      </c>
      <c r="AV3850" s="42"/>
      <c r="AW3850" s="74"/>
      <c r="AX3850" s="77"/>
      <c r="BA3850" s="497">
        <v>82.039999999999992</v>
      </c>
      <c r="BB3850" s="42"/>
      <c r="BC3850" s="74"/>
      <c r="BD3850" s="77"/>
      <c r="BF3850">
        <v>62.06</v>
      </c>
      <c r="BH3850" s="42"/>
      <c r="BI3850" s="74"/>
      <c r="BJ3850" s="77"/>
      <c r="BL3850" s="497">
        <v>82.94</v>
      </c>
      <c r="BN3850" s="42"/>
      <c r="BO3850" s="74"/>
      <c r="BP3850" s="77"/>
      <c r="BR3850" s="497">
        <v>66.92</v>
      </c>
      <c r="BT3850" s="42"/>
    </row>
    <row r="3851" spans="1:72" x14ac:dyDescent="0.25">
      <c r="A3851" s="90">
        <v>34494</v>
      </c>
      <c r="B3851" s="20">
        <v>0.70833333333333337</v>
      </c>
      <c r="D3851">
        <v>93.02</v>
      </c>
      <c r="E3851" t="str">
        <f t="shared" si="154"/>
        <v>WEEKDAY</v>
      </c>
      <c r="F3851" t="e">
        <f t="shared" si="155"/>
        <v>#N/A</v>
      </c>
      <c r="G3851" s="74">
        <v>33033</v>
      </c>
      <c r="H3851" s="77">
        <v>0.70833333333333337</v>
      </c>
      <c r="J3851">
        <v>80.960000000000008</v>
      </c>
      <c r="M3851" s="74">
        <v>37781</v>
      </c>
      <c r="N3851" s="77">
        <v>0.70833333333333337</v>
      </c>
      <c r="P3851">
        <v>73.400000000000006</v>
      </c>
      <c r="S3851" s="74">
        <v>34494</v>
      </c>
      <c r="T3851" s="77">
        <v>0.70833333333333337</v>
      </c>
      <c r="V3851">
        <v>69.98</v>
      </c>
      <c r="X3851" s="42"/>
      <c r="AB3851">
        <v>72.099999999999994</v>
      </c>
      <c r="AC3851">
        <v>73.94</v>
      </c>
      <c r="AE3851" s="74"/>
      <c r="AF3851" s="77"/>
      <c r="AH3851" s="497">
        <v>80.599999999999994</v>
      </c>
      <c r="AJ3851" s="42"/>
      <c r="AK3851" s="74"/>
      <c r="AL3851" s="77"/>
      <c r="AN3851" s="497">
        <v>73.039999999999992</v>
      </c>
      <c r="AP3851" s="42"/>
      <c r="AQ3851" s="74"/>
      <c r="AR3851" s="77"/>
      <c r="AT3851" s="497">
        <v>73.039999999999992</v>
      </c>
      <c r="AV3851" s="42"/>
      <c r="AW3851" s="74"/>
      <c r="AX3851" s="77"/>
      <c r="BA3851" s="497">
        <v>80.960000000000008</v>
      </c>
      <c r="BB3851" s="42"/>
      <c r="BC3851" s="74"/>
      <c r="BD3851" s="77"/>
      <c r="BF3851">
        <v>62.06</v>
      </c>
      <c r="BH3851" s="42"/>
      <c r="BI3851" s="74"/>
      <c r="BJ3851" s="77"/>
      <c r="BL3851" s="497">
        <v>80.960000000000008</v>
      </c>
      <c r="BN3851" s="42"/>
      <c r="BO3851" s="74"/>
      <c r="BP3851" s="77"/>
      <c r="BR3851" s="497">
        <v>68</v>
      </c>
      <c r="BT3851" s="42"/>
    </row>
    <row r="3852" spans="1:72" x14ac:dyDescent="0.25">
      <c r="A3852" s="90">
        <v>34494</v>
      </c>
      <c r="B3852" s="20">
        <v>0.75</v>
      </c>
      <c r="D3852">
        <v>91.94</v>
      </c>
      <c r="E3852" t="str">
        <f t="shared" si="154"/>
        <v>WEEKDAY</v>
      </c>
      <c r="F3852" t="e">
        <f t="shared" si="155"/>
        <v>#N/A</v>
      </c>
      <c r="G3852" s="74">
        <v>33033</v>
      </c>
      <c r="H3852" s="77">
        <v>0.75</v>
      </c>
      <c r="J3852">
        <v>80.960000000000008</v>
      </c>
      <c r="M3852" s="74">
        <v>37781</v>
      </c>
      <c r="N3852" s="77">
        <v>0.75</v>
      </c>
      <c r="P3852">
        <v>71.599999999999994</v>
      </c>
      <c r="S3852" s="74">
        <v>34494</v>
      </c>
      <c r="T3852" s="77">
        <v>0.75</v>
      </c>
      <c r="V3852">
        <v>68</v>
      </c>
      <c r="X3852" s="42"/>
      <c r="AB3852">
        <v>70.900000000000006</v>
      </c>
      <c r="AC3852">
        <v>73.039999999999992</v>
      </c>
      <c r="AE3852" s="74"/>
      <c r="AF3852" s="77"/>
      <c r="AH3852" s="497">
        <v>78.800000000000011</v>
      </c>
      <c r="AJ3852" s="42"/>
      <c r="AK3852" s="74"/>
      <c r="AL3852" s="77"/>
      <c r="AN3852" s="497">
        <v>71.960000000000008</v>
      </c>
      <c r="AP3852" s="42"/>
      <c r="AQ3852" s="74"/>
      <c r="AR3852" s="77"/>
      <c r="AT3852" s="497">
        <v>71.06</v>
      </c>
      <c r="AV3852" s="42"/>
      <c r="AW3852" s="74"/>
      <c r="AX3852" s="77"/>
      <c r="BA3852" s="497">
        <v>80.06</v>
      </c>
      <c r="BB3852" s="42"/>
      <c r="BC3852" s="74"/>
      <c r="BD3852" s="77"/>
      <c r="BF3852">
        <v>60.980000000000004</v>
      </c>
      <c r="BH3852" s="42"/>
      <c r="BI3852" s="74"/>
      <c r="BJ3852" s="77"/>
      <c r="BL3852" s="497">
        <v>80.06</v>
      </c>
      <c r="BN3852" s="42"/>
      <c r="BO3852" s="74"/>
      <c r="BP3852" s="77"/>
      <c r="BR3852" s="497">
        <v>66.92</v>
      </c>
      <c r="BT3852" s="42"/>
    </row>
    <row r="3853" spans="1:72" x14ac:dyDescent="0.25">
      <c r="A3853" s="90">
        <v>34494</v>
      </c>
      <c r="B3853" s="20">
        <v>0.79166666666666663</v>
      </c>
      <c r="D3853">
        <v>89.960000000000008</v>
      </c>
      <c r="E3853" t="str">
        <f t="shared" si="154"/>
        <v>WEEKDAY</v>
      </c>
      <c r="F3853" t="e">
        <f t="shared" si="155"/>
        <v>#N/A</v>
      </c>
      <c r="G3853" s="74">
        <v>33033</v>
      </c>
      <c r="H3853" s="77">
        <v>0.79166666666666663</v>
      </c>
      <c r="J3853">
        <v>78.98</v>
      </c>
      <c r="M3853" s="74">
        <v>37781</v>
      </c>
      <c r="N3853" s="77">
        <v>0.79166666666666663</v>
      </c>
      <c r="P3853">
        <v>66.2</v>
      </c>
      <c r="S3853" s="74">
        <v>34494</v>
      </c>
      <c r="T3853" s="77">
        <v>0.79166666666666663</v>
      </c>
      <c r="V3853">
        <v>66.02</v>
      </c>
      <c r="X3853" s="42"/>
      <c r="AB3853">
        <v>69.7</v>
      </c>
      <c r="AC3853">
        <v>68</v>
      </c>
      <c r="AE3853" s="74"/>
      <c r="AF3853" s="77"/>
      <c r="AH3853" s="497">
        <v>77</v>
      </c>
      <c r="AJ3853" s="42"/>
      <c r="AK3853" s="74"/>
      <c r="AL3853" s="77"/>
      <c r="AN3853" s="497">
        <v>69.98</v>
      </c>
      <c r="AP3853" s="42"/>
      <c r="AQ3853" s="74"/>
      <c r="AR3853" s="77"/>
      <c r="AT3853" s="497">
        <v>68</v>
      </c>
      <c r="AV3853" s="42"/>
      <c r="AW3853" s="74"/>
      <c r="AX3853" s="77"/>
      <c r="BA3853" s="497">
        <v>78.98</v>
      </c>
      <c r="BB3853" s="42"/>
      <c r="BC3853" s="74"/>
      <c r="BD3853" s="77"/>
      <c r="BF3853">
        <v>60.980000000000004</v>
      </c>
      <c r="BH3853" s="42"/>
      <c r="BI3853" s="74"/>
      <c r="BJ3853" s="77"/>
      <c r="BL3853" s="497">
        <v>78.080000000000013</v>
      </c>
      <c r="BN3853" s="42"/>
      <c r="BO3853" s="74"/>
      <c r="BP3853" s="77"/>
      <c r="BR3853" s="497">
        <v>64.94</v>
      </c>
      <c r="BT3853" s="42"/>
    </row>
    <row r="3854" spans="1:72" x14ac:dyDescent="0.25">
      <c r="A3854" s="90">
        <v>34494</v>
      </c>
      <c r="B3854" s="20">
        <v>0.83333333333333337</v>
      </c>
      <c r="D3854">
        <v>89.06</v>
      </c>
      <c r="E3854" t="str">
        <f t="shared" si="154"/>
        <v>WEEKDAY</v>
      </c>
      <c r="F3854" t="e">
        <f t="shared" si="155"/>
        <v>#N/A</v>
      </c>
      <c r="G3854" s="74">
        <v>33033</v>
      </c>
      <c r="H3854" s="77">
        <v>0.83333333333333337</v>
      </c>
      <c r="J3854">
        <v>78.98</v>
      </c>
      <c r="M3854" s="74">
        <v>37781</v>
      </c>
      <c r="N3854" s="77">
        <v>0.83333333333333337</v>
      </c>
      <c r="P3854">
        <v>64.400000000000006</v>
      </c>
      <c r="S3854" s="74">
        <v>34494</v>
      </c>
      <c r="T3854" s="77">
        <v>0.83333333333333337</v>
      </c>
      <c r="V3854">
        <v>64.039999999999992</v>
      </c>
      <c r="X3854" s="42"/>
      <c r="AB3854">
        <v>68.2</v>
      </c>
      <c r="AC3854">
        <v>64.039999999999992</v>
      </c>
      <c r="AE3854" s="74"/>
      <c r="AF3854" s="77"/>
      <c r="AH3854" s="497">
        <v>73.400000000000006</v>
      </c>
      <c r="AJ3854" s="42"/>
      <c r="AK3854" s="74"/>
      <c r="AL3854" s="77"/>
      <c r="AN3854" s="497">
        <v>66.92</v>
      </c>
      <c r="AP3854" s="42"/>
      <c r="AQ3854" s="74"/>
      <c r="AR3854" s="77"/>
      <c r="AT3854" s="497">
        <v>64.94</v>
      </c>
      <c r="AV3854" s="42"/>
      <c r="AW3854" s="74"/>
      <c r="AX3854" s="77"/>
      <c r="BA3854" s="497">
        <v>76.28</v>
      </c>
      <c r="BB3854" s="42"/>
      <c r="BC3854" s="74"/>
      <c r="BD3854" s="77"/>
      <c r="BF3854">
        <v>60.08</v>
      </c>
      <c r="BH3854" s="42"/>
      <c r="BI3854" s="74"/>
      <c r="BJ3854" s="77"/>
      <c r="BL3854" s="497">
        <v>77</v>
      </c>
      <c r="BN3854" s="42"/>
      <c r="BO3854" s="74"/>
      <c r="BP3854" s="77"/>
      <c r="BR3854" s="497">
        <v>64.039999999999992</v>
      </c>
      <c r="BT3854" s="42"/>
    </row>
    <row r="3855" spans="1:72" x14ac:dyDescent="0.25">
      <c r="A3855" s="90">
        <v>34494</v>
      </c>
      <c r="B3855" s="20">
        <v>0.875</v>
      </c>
      <c r="D3855">
        <v>87.98</v>
      </c>
      <c r="E3855" t="str">
        <f t="shared" si="154"/>
        <v>WEEKDAY</v>
      </c>
      <c r="F3855" t="e">
        <f t="shared" si="155"/>
        <v>#N/A</v>
      </c>
      <c r="G3855" s="74">
        <v>33033</v>
      </c>
      <c r="H3855" s="77">
        <v>0.875</v>
      </c>
      <c r="J3855">
        <v>78.080000000000013</v>
      </c>
      <c r="M3855" s="74">
        <v>37781</v>
      </c>
      <c r="N3855" s="77">
        <v>0.875</v>
      </c>
      <c r="P3855">
        <v>60.8</v>
      </c>
      <c r="S3855" s="74">
        <v>34494</v>
      </c>
      <c r="T3855" s="77">
        <v>0.875</v>
      </c>
      <c r="V3855">
        <v>64.039999999999992</v>
      </c>
      <c r="X3855" s="42"/>
      <c r="AB3855">
        <v>67</v>
      </c>
      <c r="AC3855">
        <v>62.96</v>
      </c>
      <c r="AE3855" s="74"/>
      <c r="AF3855" s="77"/>
      <c r="AH3855" s="497">
        <v>68</v>
      </c>
      <c r="AJ3855" s="42"/>
      <c r="AK3855" s="74"/>
      <c r="AL3855" s="77"/>
      <c r="AN3855" s="497">
        <v>64.94</v>
      </c>
      <c r="AP3855" s="42"/>
      <c r="AQ3855" s="74"/>
      <c r="AR3855" s="77"/>
      <c r="AT3855" s="497">
        <v>62.96</v>
      </c>
      <c r="AV3855" s="42"/>
      <c r="AW3855" s="74"/>
      <c r="AX3855" s="77"/>
      <c r="BA3855" s="497">
        <v>73.759999999999991</v>
      </c>
      <c r="BB3855" s="42"/>
      <c r="BC3855" s="74"/>
      <c r="BD3855" s="77"/>
      <c r="BF3855">
        <v>60.08</v>
      </c>
      <c r="BH3855" s="42"/>
      <c r="BI3855" s="74"/>
      <c r="BJ3855" s="77"/>
      <c r="BL3855" s="497">
        <v>75.92</v>
      </c>
      <c r="BN3855" s="42"/>
      <c r="BO3855" s="74"/>
      <c r="BP3855" s="77"/>
      <c r="BR3855" s="497">
        <v>60.08</v>
      </c>
      <c r="BT3855" s="42"/>
    </row>
    <row r="3856" spans="1:72" x14ac:dyDescent="0.25">
      <c r="A3856" s="90">
        <v>34494</v>
      </c>
      <c r="B3856" s="20">
        <v>0.91666666666666663</v>
      </c>
      <c r="D3856">
        <v>87.98</v>
      </c>
      <c r="E3856" t="str">
        <f t="shared" si="154"/>
        <v>WEEKDAY</v>
      </c>
      <c r="F3856" t="e">
        <f t="shared" si="155"/>
        <v>#N/A</v>
      </c>
      <c r="G3856" s="74">
        <v>33033</v>
      </c>
      <c r="H3856" s="77">
        <v>0.91666666666666663</v>
      </c>
      <c r="J3856">
        <v>78.080000000000013</v>
      </c>
      <c r="M3856" s="74">
        <v>37781</v>
      </c>
      <c r="N3856" s="77">
        <v>0.91666666666666663</v>
      </c>
      <c r="P3856">
        <v>59</v>
      </c>
      <c r="S3856" s="74">
        <v>34494</v>
      </c>
      <c r="T3856" s="77">
        <v>0.91666666666666663</v>
      </c>
      <c r="V3856">
        <v>64.94</v>
      </c>
      <c r="X3856" s="42"/>
      <c r="AB3856">
        <v>66.3</v>
      </c>
      <c r="AC3856">
        <v>62.06</v>
      </c>
      <c r="AE3856" s="74"/>
      <c r="AF3856" s="77"/>
      <c r="AH3856" s="497">
        <v>64.400000000000006</v>
      </c>
      <c r="AJ3856" s="42"/>
      <c r="AK3856" s="74"/>
      <c r="AL3856" s="77"/>
      <c r="AN3856" s="497">
        <v>62.96</v>
      </c>
      <c r="AP3856" s="42"/>
      <c r="AQ3856" s="74"/>
      <c r="AR3856" s="77"/>
      <c r="AT3856" s="497">
        <v>60.980000000000004</v>
      </c>
      <c r="AV3856" s="42"/>
      <c r="AW3856" s="74"/>
      <c r="AX3856" s="77"/>
      <c r="BA3856" s="497">
        <v>71.06</v>
      </c>
      <c r="BB3856" s="42"/>
      <c r="BC3856" s="74"/>
      <c r="BD3856" s="77"/>
      <c r="BF3856">
        <v>57.019999999999996</v>
      </c>
      <c r="BH3856" s="42"/>
      <c r="BI3856" s="74"/>
      <c r="BJ3856" s="77"/>
      <c r="BL3856" s="497">
        <v>75.02</v>
      </c>
      <c r="BN3856" s="42"/>
      <c r="BO3856" s="74"/>
      <c r="BP3856" s="77"/>
      <c r="BR3856" s="497">
        <v>57.92</v>
      </c>
      <c r="BT3856" s="42"/>
    </row>
    <row r="3857" spans="1:72" x14ac:dyDescent="0.25">
      <c r="A3857" s="90">
        <v>34494</v>
      </c>
      <c r="B3857" s="20">
        <v>0.95833333333333337</v>
      </c>
      <c r="D3857">
        <v>86</v>
      </c>
      <c r="E3857" t="str">
        <f t="shared" si="154"/>
        <v>WEEKDAY</v>
      </c>
      <c r="F3857" t="e">
        <f t="shared" si="155"/>
        <v>#N/A</v>
      </c>
      <c r="G3857" s="74">
        <v>33033</v>
      </c>
      <c r="H3857" s="77">
        <v>0.95833333333333337</v>
      </c>
      <c r="J3857">
        <v>78.080000000000013</v>
      </c>
      <c r="M3857" s="74">
        <v>37781</v>
      </c>
      <c r="N3857" s="77">
        <v>0.95833333333333337</v>
      </c>
      <c r="P3857">
        <v>62.6</v>
      </c>
      <c r="S3857" s="74">
        <v>34494</v>
      </c>
      <c r="T3857" s="77">
        <v>0.95833333333333337</v>
      </c>
      <c r="V3857">
        <v>62.96</v>
      </c>
      <c r="X3857" s="42"/>
      <c r="AB3857">
        <v>65.7</v>
      </c>
      <c r="AC3857">
        <v>60.08</v>
      </c>
      <c r="AE3857" s="74"/>
      <c r="AF3857" s="77"/>
      <c r="AH3857" s="497">
        <v>64.400000000000006</v>
      </c>
      <c r="AJ3857" s="42"/>
      <c r="AK3857" s="74"/>
      <c r="AL3857" s="77"/>
      <c r="AN3857" s="497">
        <v>62.06</v>
      </c>
      <c r="AP3857" s="42"/>
      <c r="AQ3857" s="74"/>
      <c r="AR3857" s="77"/>
      <c r="AT3857" s="497">
        <v>57.92</v>
      </c>
      <c r="AV3857" s="42"/>
      <c r="AW3857" s="74"/>
      <c r="AX3857" s="77"/>
      <c r="BA3857" s="497">
        <v>70.7</v>
      </c>
      <c r="BB3857" s="42"/>
      <c r="BC3857" s="74"/>
      <c r="BD3857" s="77"/>
      <c r="BF3857">
        <v>53.06</v>
      </c>
      <c r="BH3857" s="42"/>
      <c r="BI3857" s="74"/>
      <c r="BJ3857" s="77"/>
      <c r="BL3857" s="497">
        <v>73.94</v>
      </c>
      <c r="BN3857" s="42"/>
      <c r="BO3857" s="74"/>
      <c r="BP3857" s="77"/>
      <c r="BR3857" s="497">
        <v>51.08</v>
      </c>
      <c r="BT3857" s="42"/>
    </row>
    <row r="3858" spans="1:72" x14ac:dyDescent="0.25">
      <c r="A3858" s="90">
        <v>34494</v>
      </c>
      <c r="B3858" s="20">
        <v>1</v>
      </c>
      <c r="D3858">
        <v>80.06</v>
      </c>
      <c r="E3858" t="str">
        <f t="shared" si="154"/>
        <v>WEEKDAY</v>
      </c>
      <c r="F3858" t="e">
        <f t="shared" si="155"/>
        <v>#N/A</v>
      </c>
      <c r="G3858" s="74">
        <v>33033</v>
      </c>
      <c r="H3858" s="77">
        <v>1</v>
      </c>
      <c r="J3858">
        <v>77</v>
      </c>
      <c r="M3858" s="74">
        <v>37781</v>
      </c>
      <c r="N3858" s="80">
        <v>1</v>
      </c>
      <c r="P3858">
        <v>60.8</v>
      </c>
      <c r="S3858" s="74">
        <v>34494</v>
      </c>
      <c r="T3858" s="80">
        <v>1</v>
      </c>
      <c r="V3858">
        <v>64.94</v>
      </c>
      <c r="X3858" s="42"/>
      <c r="AB3858">
        <v>65.2</v>
      </c>
      <c r="AC3858">
        <v>60.08</v>
      </c>
      <c r="AE3858" s="74"/>
      <c r="AF3858" s="80"/>
      <c r="AH3858" s="497">
        <v>64.400000000000006</v>
      </c>
      <c r="AJ3858" s="42"/>
      <c r="AK3858" s="74"/>
      <c r="AL3858" s="80"/>
      <c r="AN3858" s="497">
        <v>60.980000000000004</v>
      </c>
      <c r="AP3858" s="42"/>
      <c r="AQ3858" s="74"/>
      <c r="AR3858" s="80"/>
      <c r="AT3858" s="497">
        <v>57.92</v>
      </c>
      <c r="AV3858" s="42"/>
      <c r="AW3858" s="74"/>
      <c r="AX3858" s="80"/>
      <c r="BA3858" s="497">
        <v>70.34</v>
      </c>
      <c r="BB3858" s="42"/>
      <c r="BC3858" s="74"/>
      <c r="BD3858" s="80"/>
      <c r="BF3858">
        <v>50</v>
      </c>
      <c r="BH3858" s="42"/>
      <c r="BI3858" s="74"/>
      <c r="BJ3858" s="80"/>
      <c r="BL3858" s="497">
        <v>73.039999999999992</v>
      </c>
      <c r="BN3858" s="42"/>
      <c r="BO3858" s="74"/>
      <c r="BP3858" s="80"/>
      <c r="BR3858" s="497">
        <v>50</v>
      </c>
      <c r="BT3858" s="42"/>
    </row>
    <row r="3859" spans="1:72" x14ac:dyDescent="0.25">
      <c r="A3859" s="90">
        <v>34495</v>
      </c>
      <c r="B3859" s="20">
        <v>4.1666666666666664E-2</v>
      </c>
      <c r="D3859">
        <v>77</v>
      </c>
      <c r="E3859" t="str">
        <f t="shared" ref="E3859:E3922" si="156">IF(COUNTIF($DI$18:$DI$22, WEEKDAY(A3859))=1, "WEEKDAY", IF(WEEKDAY(A3859) = 1, "SUNDAY", "SATURDAY"))</f>
        <v>WEEKDAY</v>
      </c>
      <c r="F3859" t="e">
        <f t="shared" si="155"/>
        <v>#N/A</v>
      </c>
      <c r="G3859" s="74">
        <v>33034</v>
      </c>
      <c r="H3859" s="77">
        <v>4.1666666666666664E-2</v>
      </c>
      <c r="J3859">
        <v>75.92</v>
      </c>
      <c r="M3859" s="74">
        <v>37782</v>
      </c>
      <c r="N3859" s="77">
        <v>4.1666666666666664E-2</v>
      </c>
      <c r="P3859">
        <v>62.6</v>
      </c>
      <c r="S3859" s="74">
        <v>34495</v>
      </c>
      <c r="T3859" s="77">
        <v>4.1666666666666664E-2</v>
      </c>
      <c r="V3859">
        <v>64.94</v>
      </c>
      <c r="X3859" s="42"/>
      <c r="AB3859">
        <v>64.7</v>
      </c>
      <c r="AC3859">
        <v>57.92</v>
      </c>
      <c r="AE3859" s="74"/>
      <c r="AF3859" s="77"/>
      <c r="AH3859" s="497">
        <v>62.6</v>
      </c>
      <c r="AJ3859" s="42"/>
      <c r="AK3859" s="74"/>
      <c r="AL3859" s="77"/>
      <c r="AN3859" s="497">
        <v>57.92</v>
      </c>
      <c r="AP3859" s="42"/>
      <c r="AQ3859" s="74"/>
      <c r="AR3859" s="77"/>
      <c r="AT3859" s="497">
        <v>57.019999999999996</v>
      </c>
      <c r="AV3859" s="42"/>
      <c r="AW3859" s="74"/>
      <c r="AX3859" s="77"/>
      <c r="BA3859" s="497">
        <v>69.98</v>
      </c>
      <c r="BB3859" s="42"/>
      <c r="BC3859" s="74"/>
      <c r="BD3859" s="77"/>
      <c r="BF3859">
        <v>48.019999999999996</v>
      </c>
      <c r="BH3859" s="42"/>
      <c r="BI3859" s="74"/>
      <c r="BJ3859" s="77"/>
      <c r="BL3859" s="497">
        <v>73.039999999999992</v>
      </c>
      <c r="BN3859" s="42"/>
      <c r="BO3859" s="74"/>
      <c r="BP3859" s="77"/>
      <c r="BR3859" s="497">
        <v>48.019999999999996</v>
      </c>
      <c r="BT3859" s="42"/>
    </row>
    <row r="3860" spans="1:72" x14ac:dyDescent="0.25">
      <c r="A3860" s="90">
        <v>34495</v>
      </c>
      <c r="B3860" s="20">
        <v>8.3333333333333329E-2</v>
      </c>
      <c r="D3860">
        <v>75.92</v>
      </c>
      <c r="E3860" t="str">
        <f t="shared" si="156"/>
        <v>WEEKDAY</v>
      </c>
      <c r="F3860" t="e">
        <f t="shared" si="155"/>
        <v>#N/A</v>
      </c>
      <c r="G3860" s="74">
        <v>33034</v>
      </c>
      <c r="H3860" s="77">
        <v>8.3333333333333329E-2</v>
      </c>
      <c r="J3860">
        <v>75.02</v>
      </c>
      <c r="M3860" s="74">
        <v>37782</v>
      </c>
      <c r="N3860" s="77">
        <v>8.3333333333333329E-2</v>
      </c>
      <c r="P3860">
        <v>62.6</v>
      </c>
      <c r="S3860" s="74">
        <v>34495</v>
      </c>
      <c r="T3860" s="77">
        <v>8.3333333333333329E-2</v>
      </c>
      <c r="V3860">
        <v>64.94</v>
      </c>
      <c r="X3860" s="42"/>
      <c r="AB3860">
        <v>64.099999999999994</v>
      </c>
      <c r="AC3860">
        <v>55.040000000000006</v>
      </c>
      <c r="AE3860" s="74"/>
      <c r="AF3860" s="77"/>
      <c r="AH3860" s="497">
        <v>60.8</v>
      </c>
      <c r="AJ3860" s="42"/>
      <c r="AK3860" s="74"/>
      <c r="AL3860" s="77"/>
      <c r="AN3860" s="497">
        <v>57.019999999999996</v>
      </c>
      <c r="AP3860" s="42"/>
      <c r="AQ3860" s="74"/>
      <c r="AR3860" s="77"/>
      <c r="AT3860" s="497">
        <v>55.040000000000006</v>
      </c>
      <c r="AV3860" s="42"/>
      <c r="AW3860" s="74"/>
      <c r="AX3860" s="77"/>
      <c r="BA3860" s="497">
        <v>70.34</v>
      </c>
      <c r="BB3860" s="42"/>
      <c r="BC3860" s="74"/>
      <c r="BD3860" s="77"/>
      <c r="BF3860">
        <v>48.019999999999996</v>
      </c>
      <c r="BH3860" s="42"/>
      <c r="BI3860" s="74"/>
      <c r="BJ3860" s="77"/>
      <c r="BL3860" s="497">
        <v>71.960000000000008</v>
      </c>
      <c r="BN3860" s="42"/>
      <c r="BO3860" s="74"/>
      <c r="BP3860" s="77"/>
      <c r="BR3860" s="497">
        <v>48.019999999999996</v>
      </c>
      <c r="BT3860" s="42"/>
    </row>
    <row r="3861" spans="1:72" x14ac:dyDescent="0.25">
      <c r="A3861" s="90">
        <v>34495</v>
      </c>
      <c r="B3861" s="20">
        <v>0.125</v>
      </c>
      <c r="D3861">
        <v>75.92</v>
      </c>
      <c r="E3861" t="str">
        <f t="shared" si="156"/>
        <v>WEEKDAY</v>
      </c>
      <c r="F3861" t="e">
        <f t="shared" si="155"/>
        <v>#N/A</v>
      </c>
      <c r="G3861" s="74">
        <v>33034</v>
      </c>
      <c r="H3861" s="77">
        <v>0.125</v>
      </c>
      <c r="J3861">
        <v>73.94</v>
      </c>
      <c r="M3861" s="74">
        <v>37782</v>
      </c>
      <c r="N3861" s="77">
        <v>0.125</v>
      </c>
      <c r="P3861">
        <v>62.6</v>
      </c>
      <c r="S3861" s="74">
        <v>34495</v>
      </c>
      <c r="T3861" s="77">
        <v>0.125</v>
      </c>
      <c r="V3861">
        <v>62.96</v>
      </c>
      <c r="X3861" s="42"/>
      <c r="AB3861">
        <v>63.6</v>
      </c>
      <c r="AC3861">
        <v>53.96</v>
      </c>
      <c r="AE3861" s="74"/>
      <c r="AF3861" s="77"/>
      <c r="AH3861" s="497">
        <v>59</v>
      </c>
      <c r="AJ3861" s="42"/>
      <c r="AK3861" s="74"/>
      <c r="AL3861" s="77"/>
      <c r="AN3861" s="497">
        <v>55.040000000000006</v>
      </c>
      <c r="AP3861" s="42"/>
      <c r="AQ3861" s="74"/>
      <c r="AR3861" s="77"/>
      <c r="AT3861" s="497">
        <v>48.92</v>
      </c>
      <c r="AV3861" s="42"/>
      <c r="AW3861" s="74"/>
      <c r="AX3861" s="77"/>
      <c r="BA3861" s="497">
        <v>70.7</v>
      </c>
      <c r="BB3861" s="42"/>
      <c r="BC3861" s="74"/>
      <c r="BD3861" s="77"/>
      <c r="BF3861">
        <v>46.04</v>
      </c>
      <c r="BH3861" s="42"/>
      <c r="BI3861" s="74"/>
      <c r="BJ3861" s="77"/>
      <c r="BL3861" s="497">
        <v>71.960000000000008</v>
      </c>
      <c r="BN3861" s="42"/>
      <c r="BO3861" s="74"/>
      <c r="BP3861" s="77"/>
      <c r="BR3861" s="497">
        <v>48.92</v>
      </c>
      <c r="BT3861" s="42"/>
    </row>
    <row r="3862" spans="1:72" x14ac:dyDescent="0.25">
      <c r="A3862" s="90">
        <v>34495</v>
      </c>
      <c r="B3862" s="20">
        <v>0.16666666666666666</v>
      </c>
      <c r="D3862">
        <v>75.92</v>
      </c>
      <c r="E3862" t="str">
        <f t="shared" si="156"/>
        <v>WEEKDAY</v>
      </c>
      <c r="F3862" t="e">
        <f t="shared" si="155"/>
        <v>#N/A</v>
      </c>
      <c r="G3862" s="74">
        <v>33034</v>
      </c>
      <c r="H3862" s="77">
        <v>0.16666666666666666</v>
      </c>
      <c r="J3862">
        <v>73.039999999999992</v>
      </c>
      <c r="M3862" s="74">
        <v>37782</v>
      </c>
      <c r="N3862" s="77">
        <v>0.16666666666666666</v>
      </c>
      <c r="P3862">
        <v>62.6</v>
      </c>
      <c r="S3862" s="74">
        <v>34495</v>
      </c>
      <c r="T3862" s="77">
        <v>0.16666666666666666</v>
      </c>
      <c r="V3862">
        <v>60.980000000000004</v>
      </c>
      <c r="X3862" s="42"/>
      <c r="AB3862">
        <v>63.2</v>
      </c>
      <c r="AC3862">
        <v>53.06</v>
      </c>
      <c r="AE3862" s="74"/>
      <c r="AF3862" s="77"/>
      <c r="AH3862" s="497">
        <v>57.2</v>
      </c>
      <c r="AJ3862" s="42"/>
      <c r="AK3862" s="74"/>
      <c r="AL3862" s="77"/>
      <c r="AN3862" s="497">
        <v>53.06</v>
      </c>
      <c r="AP3862" s="42"/>
      <c r="AQ3862" s="74"/>
      <c r="AR3862" s="77"/>
      <c r="AT3862" s="497">
        <v>46.94</v>
      </c>
      <c r="AV3862" s="42"/>
      <c r="AW3862" s="74"/>
      <c r="AX3862" s="77"/>
      <c r="BA3862" s="497">
        <v>71.06</v>
      </c>
      <c r="BB3862" s="42"/>
      <c r="BC3862" s="74"/>
      <c r="BD3862" s="77"/>
      <c r="BF3862">
        <v>44.96</v>
      </c>
      <c r="BH3862" s="42"/>
      <c r="BI3862" s="74"/>
      <c r="BJ3862" s="77"/>
      <c r="BL3862" s="497">
        <v>73.039999999999992</v>
      </c>
      <c r="BN3862" s="42"/>
      <c r="BO3862" s="74"/>
      <c r="BP3862" s="77"/>
      <c r="BR3862" s="497">
        <v>48.019999999999996</v>
      </c>
      <c r="BT3862" s="42"/>
    </row>
    <row r="3863" spans="1:72" x14ac:dyDescent="0.25">
      <c r="A3863" s="90">
        <v>34495</v>
      </c>
      <c r="B3863" s="20">
        <v>0.20833333333333334</v>
      </c>
      <c r="D3863">
        <v>75.02</v>
      </c>
      <c r="E3863" t="str">
        <f t="shared" si="156"/>
        <v>WEEKDAY</v>
      </c>
      <c r="F3863" t="e">
        <f t="shared" si="155"/>
        <v>#N/A</v>
      </c>
      <c r="G3863" s="74">
        <v>33034</v>
      </c>
      <c r="H3863" s="77">
        <v>0.20833333333333334</v>
      </c>
      <c r="J3863">
        <v>71.06</v>
      </c>
      <c r="M3863" s="74">
        <v>37782</v>
      </c>
      <c r="N3863" s="77">
        <v>0.20833333333333334</v>
      </c>
      <c r="P3863">
        <v>60.8</v>
      </c>
      <c r="S3863" s="74">
        <v>34495</v>
      </c>
      <c r="T3863" s="77">
        <v>0.20833333333333334</v>
      </c>
      <c r="V3863">
        <v>62.96</v>
      </c>
      <c r="X3863" s="42"/>
      <c r="AB3863">
        <v>62.8</v>
      </c>
      <c r="AC3863">
        <v>53.96</v>
      </c>
      <c r="AE3863" s="74"/>
      <c r="AF3863" s="77"/>
      <c r="AH3863" s="497">
        <v>57.2</v>
      </c>
      <c r="AJ3863" s="42"/>
      <c r="AK3863" s="74"/>
      <c r="AL3863" s="77"/>
      <c r="AN3863" s="497">
        <v>51.08</v>
      </c>
      <c r="AP3863" s="42"/>
      <c r="AQ3863" s="74"/>
      <c r="AR3863" s="77"/>
      <c r="AT3863" s="497">
        <v>46.94</v>
      </c>
      <c r="AV3863" s="42"/>
      <c r="AW3863" s="74"/>
      <c r="AX3863" s="77"/>
      <c r="BA3863" s="497">
        <v>73.039999999999992</v>
      </c>
      <c r="BB3863" s="42"/>
      <c r="BC3863" s="74"/>
      <c r="BD3863" s="77"/>
      <c r="BF3863">
        <v>44.06</v>
      </c>
      <c r="BH3863" s="42"/>
      <c r="BI3863" s="74"/>
      <c r="BJ3863" s="77"/>
      <c r="BL3863" s="497">
        <v>71.960000000000008</v>
      </c>
      <c r="BN3863" s="42"/>
      <c r="BO3863" s="74"/>
      <c r="BP3863" s="77"/>
      <c r="BR3863" s="497">
        <v>48.92</v>
      </c>
      <c r="BT3863" s="42"/>
    </row>
    <row r="3864" spans="1:72" x14ac:dyDescent="0.25">
      <c r="A3864" s="90">
        <v>34495</v>
      </c>
      <c r="B3864" s="20">
        <v>0.25</v>
      </c>
      <c r="D3864">
        <v>77</v>
      </c>
      <c r="E3864" t="str">
        <f t="shared" si="156"/>
        <v>WEEKDAY</v>
      </c>
      <c r="F3864" t="e">
        <f t="shared" si="155"/>
        <v>#N/A</v>
      </c>
      <c r="G3864" s="74">
        <v>33034</v>
      </c>
      <c r="H3864" s="77">
        <v>0.25</v>
      </c>
      <c r="J3864">
        <v>71.960000000000008</v>
      </c>
      <c r="M3864" s="74">
        <v>37782</v>
      </c>
      <c r="N3864" s="77">
        <v>0.25</v>
      </c>
      <c r="P3864">
        <v>62.6</v>
      </c>
      <c r="S3864" s="74">
        <v>34495</v>
      </c>
      <c r="T3864" s="77">
        <v>0.25</v>
      </c>
      <c r="V3864">
        <v>62.96</v>
      </c>
      <c r="X3864" s="42"/>
      <c r="AB3864">
        <v>62.7</v>
      </c>
      <c r="AC3864">
        <v>60.08</v>
      </c>
      <c r="AE3864" s="74"/>
      <c r="AF3864" s="77"/>
      <c r="AH3864" s="497">
        <v>60.8</v>
      </c>
      <c r="AJ3864" s="42"/>
      <c r="AK3864" s="74"/>
      <c r="AL3864" s="77"/>
      <c r="AN3864" s="497">
        <v>53.06</v>
      </c>
      <c r="AP3864" s="42"/>
      <c r="AQ3864" s="74"/>
      <c r="AR3864" s="77"/>
      <c r="AT3864" s="497">
        <v>51.08</v>
      </c>
      <c r="AV3864" s="42"/>
      <c r="AW3864" s="74"/>
      <c r="AX3864" s="77"/>
      <c r="BA3864" s="497">
        <v>75.02</v>
      </c>
      <c r="BB3864" s="42"/>
      <c r="BC3864" s="74"/>
      <c r="BD3864" s="77"/>
      <c r="BF3864">
        <v>46.04</v>
      </c>
      <c r="BH3864" s="42"/>
      <c r="BI3864" s="74"/>
      <c r="BJ3864" s="77"/>
      <c r="BL3864" s="497">
        <v>73.039999999999992</v>
      </c>
      <c r="BN3864" s="42"/>
      <c r="BO3864" s="74"/>
      <c r="BP3864" s="77"/>
      <c r="BR3864" s="497">
        <v>55.040000000000006</v>
      </c>
      <c r="BT3864" s="42"/>
    </row>
    <row r="3865" spans="1:72" x14ac:dyDescent="0.25">
      <c r="A3865" s="90">
        <v>34495</v>
      </c>
      <c r="B3865" s="20">
        <v>0.29166666666666669</v>
      </c>
      <c r="D3865">
        <v>75.92</v>
      </c>
      <c r="E3865" t="str">
        <f t="shared" si="156"/>
        <v>WEEKDAY</v>
      </c>
      <c r="F3865" t="e">
        <f t="shared" si="155"/>
        <v>#N/A</v>
      </c>
      <c r="G3865" s="74">
        <v>33034</v>
      </c>
      <c r="H3865" s="77">
        <v>0.29166666666666669</v>
      </c>
      <c r="J3865">
        <v>71.960000000000008</v>
      </c>
      <c r="M3865" s="74">
        <v>37782</v>
      </c>
      <c r="N3865" s="77">
        <v>0.29166666666666669</v>
      </c>
      <c r="P3865">
        <v>64.400000000000006</v>
      </c>
      <c r="S3865" s="74">
        <v>34495</v>
      </c>
      <c r="T3865" s="77">
        <v>0.29166666666666669</v>
      </c>
      <c r="V3865">
        <v>69.080000000000013</v>
      </c>
      <c r="X3865" s="42"/>
      <c r="AB3865">
        <v>64.2</v>
      </c>
      <c r="AC3865">
        <v>66.92</v>
      </c>
      <c r="AE3865" s="74"/>
      <c r="AF3865" s="77"/>
      <c r="AH3865" s="497">
        <v>71.599999999999994</v>
      </c>
      <c r="AJ3865" s="42"/>
      <c r="AK3865" s="74"/>
      <c r="AL3865" s="77"/>
      <c r="AN3865" s="497">
        <v>59</v>
      </c>
      <c r="AP3865" s="42"/>
      <c r="AQ3865" s="74"/>
      <c r="AR3865" s="77"/>
      <c r="AT3865" s="497">
        <v>59</v>
      </c>
      <c r="AV3865" s="42"/>
      <c r="AW3865" s="74"/>
      <c r="AX3865" s="77"/>
      <c r="BA3865" s="497">
        <v>77</v>
      </c>
      <c r="BB3865" s="42"/>
      <c r="BC3865" s="74"/>
      <c r="BD3865" s="77"/>
      <c r="BF3865">
        <v>51.08</v>
      </c>
      <c r="BH3865" s="42"/>
      <c r="BI3865" s="74"/>
      <c r="BJ3865" s="77"/>
      <c r="BL3865" s="497">
        <v>75.02</v>
      </c>
      <c r="BN3865" s="42"/>
      <c r="BO3865" s="74"/>
      <c r="BP3865" s="77"/>
      <c r="BR3865" s="497">
        <v>60.980000000000004</v>
      </c>
      <c r="BT3865" s="42"/>
    </row>
    <row r="3866" spans="1:72" x14ac:dyDescent="0.25">
      <c r="A3866" s="90">
        <v>34495</v>
      </c>
      <c r="B3866" s="20">
        <v>0.33333333333333331</v>
      </c>
      <c r="D3866">
        <v>75.92</v>
      </c>
      <c r="E3866" t="str">
        <f t="shared" si="156"/>
        <v>WEEKDAY</v>
      </c>
      <c r="F3866" t="e">
        <f t="shared" si="155"/>
        <v>#N/A</v>
      </c>
      <c r="G3866" s="74">
        <v>33034</v>
      </c>
      <c r="H3866" s="77">
        <v>0.33333333333333331</v>
      </c>
      <c r="J3866">
        <v>71.960000000000008</v>
      </c>
      <c r="M3866" s="74">
        <v>37782</v>
      </c>
      <c r="N3866" s="77">
        <v>0.33333333333333331</v>
      </c>
      <c r="P3866">
        <v>66.2</v>
      </c>
      <c r="S3866" s="74">
        <v>34495</v>
      </c>
      <c r="T3866" s="77">
        <v>0.33333333333333331</v>
      </c>
      <c r="V3866">
        <v>71.960000000000008</v>
      </c>
      <c r="X3866" s="42"/>
      <c r="AB3866">
        <v>66</v>
      </c>
      <c r="AC3866">
        <v>71.960000000000008</v>
      </c>
      <c r="AE3866" s="74"/>
      <c r="AF3866" s="77"/>
      <c r="AH3866" s="497">
        <v>78.800000000000011</v>
      </c>
      <c r="AJ3866" s="42"/>
      <c r="AK3866" s="74"/>
      <c r="AL3866" s="77"/>
      <c r="AN3866" s="497">
        <v>64.039999999999992</v>
      </c>
      <c r="AP3866" s="42"/>
      <c r="AQ3866" s="74"/>
      <c r="AR3866" s="77"/>
      <c r="AT3866" s="497">
        <v>62.96</v>
      </c>
      <c r="AV3866" s="42"/>
      <c r="AW3866" s="74"/>
      <c r="AX3866" s="77"/>
      <c r="BA3866" s="497">
        <v>78.62</v>
      </c>
      <c r="BB3866" s="42"/>
      <c r="BC3866" s="74"/>
      <c r="BD3866" s="77"/>
      <c r="BF3866">
        <v>55.94</v>
      </c>
      <c r="BH3866" s="42"/>
      <c r="BI3866" s="74"/>
      <c r="BJ3866" s="77"/>
      <c r="BL3866" s="497">
        <v>75.92</v>
      </c>
      <c r="BN3866" s="42"/>
      <c r="BO3866" s="74"/>
      <c r="BP3866" s="77"/>
      <c r="BR3866" s="497">
        <v>62.96</v>
      </c>
      <c r="BT3866" s="42"/>
    </row>
    <row r="3867" spans="1:72" x14ac:dyDescent="0.25">
      <c r="A3867" s="90">
        <v>34495</v>
      </c>
      <c r="B3867" s="20">
        <v>0.375</v>
      </c>
      <c r="D3867">
        <v>78.98</v>
      </c>
      <c r="E3867" t="str">
        <f t="shared" si="156"/>
        <v>WEEKDAY</v>
      </c>
      <c r="F3867" t="e">
        <f t="shared" si="155"/>
        <v>#N/A</v>
      </c>
      <c r="G3867" s="74">
        <v>33034</v>
      </c>
      <c r="H3867" s="77">
        <v>0.375</v>
      </c>
      <c r="J3867">
        <v>75.02</v>
      </c>
      <c r="M3867" s="74">
        <v>37782</v>
      </c>
      <c r="N3867" s="77">
        <v>0.375</v>
      </c>
      <c r="P3867">
        <v>68</v>
      </c>
      <c r="S3867" s="74">
        <v>34495</v>
      </c>
      <c r="T3867" s="77">
        <v>0.375</v>
      </c>
      <c r="V3867">
        <v>73.94</v>
      </c>
      <c r="X3867" s="42"/>
      <c r="AB3867">
        <v>67.900000000000006</v>
      </c>
      <c r="AC3867">
        <v>73.94</v>
      </c>
      <c r="AE3867" s="74"/>
      <c r="AF3867" s="77"/>
      <c r="AH3867" s="497">
        <v>80.599999999999994</v>
      </c>
      <c r="AJ3867" s="42"/>
      <c r="AK3867" s="74"/>
      <c r="AL3867" s="77"/>
      <c r="AN3867" s="497">
        <v>66.92</v>
      </c>
      <c r="AP3867" s="42"/>
      <c r="AQ3867" s="74"/>
      <c r="AR3867" s="77"/>
      <c r="AT3867" s="497">
        <v>68</v>
      </c>
      <c r="AV3867" s="42"/>
      <c r="AW3867" s="74"/>
      <c r="AX3867" s="77"/>
      <c r="BA3867" s="497">
        <v>80.42</v>
      </c>
      <c r="BB3867" s="42"/>
      <c r="BC3867" s="74"/>
      <c r="BD3867" s="77"/>
      <c r="BF3867">
        <v>59</v>
      </c>
      <c r="BH3867" s="42"/>
      <c r="BI3867" s="74"/>
      <c r="BJ3867" s="77"/>
      <c r="BL3867" s="497">
        <v>80.960000000000008</v>
      </c>
      <c r="BN3867" s="42"/>
      <c r="BO3867" s="74"/>
      <c r="BP3867" s="77"/>
      <c r="BR3867" s="497">
        <v>66.92</v>
      </c>
      <c r="BT3867" s="42"/>
    </row>
    <row r="3868" spans="1:72" x14ac:dyDescent="0.25">
      <c r="A3868" s="90">
        <v>34495</v>
      </c>
      <c r="B3868" s="20">
        <v>0.41666666666666669</v>
      </c>
      <c r="D3868">
        <v>80.06</v>
      </c>
      <c r="E3868" t="str">
        <f t="shared" si="156"/>
        <v>WEEKDAY</v>
      </c>
      <c r="F3868" t="e">
        <f t="shared" si="155"/>
        <v>#N/A</v>
      </c>
      <c r="G3868" s="74">
        <v>33034</v>
      </c>
      <c r="H3868" s="77">
        <v>0.41666666666666669</v>
      </c>
      <c r="J3868">
        <v>77</v>
      </c>
      <c r="M3868" s="74">
        <v>37782</v>
      </c>
      <c r="N3868" s="77">
        <v>0.41666666666666669</v>
      </c>
      <c r="P3868">
        <v>69.800000000000011</v>
      </c>
      <c r="S3868" s="74">
        <v>34495</v>
      </c>
      <c r="T3868" s="77">
        <v>0.41666666666666669</v>
      </c>
      <c r="V3868">
        <v>75.92</v>
      </c>
      <c r="X3868" s="42"/>
      <c r="AB3868">
        <v>69.7</v>
      </c>
      <c r="AC3868">
        <v>77</v>
      </c>
      <c r="AE3868" s="74"/>
      <c r="AF3868" s="77"/>
      <c r="AH3868" s="497">
        <v>82.4</v>
      </c>
      <c r="AJ3868" s="42"/>
      <c r="AK3868" s="74"/>
      <c r="AL3868" s="77"/>
      <c r="AN3868" s="497">
        <v>69.98</v>
      </c>
      <c r="AP3868" s="42"/>
      <c r="AQ3868" s="74"/>
      <c r="AR3868" s="77"/>
      <c r="AT3868" s="497">
        <v>71.960000000000008</v>
      </c>
      <c r="AV3868" s="42"/>
      <c r="AW3868" s="74"/>
      <c r="AX3868" s="77"/>
      <c r="BA3868" s="497">
        <v>82.039999999999992</v>
      </c>
      <c r="BB3868" s="42"/>
      <c r="BC3868" s="74"/>
      <c r="BD3868" s="77"/>
      <c r="BF3868">
        <v>60.980000000000004</v>
      </c>
      <c r="BH3868" s="42"/>
      <c r="BI3868" s="74"/>
      <c r="BJ3868" s="77"/>
      <c r="BL3868" s="497">
        <v>84.92</v>
      </c>
      <c r="BN3868" s="42"/>
      <c r="BO3868" s="74"/>
      <c r="BP3868" s="77"/>
      <c r="BR3868" s="497">
        <v>69.98</v>
      </c>
      <c r="BT3868" s="42"/>
    </row>
    <row r="3869" spans="1:72" x14ac:dyDescent="0.25">
      <c r="A3869" s="90">
        <v>34495</v>
      </c>
      <c r="B3869" s="20">
        <v>0.45833333333333331</v>
      </c>
      <c r="D3869">
        <v>78.98</v>
      </c>
      <c r="E3869" t="str">
        <f t="shared" si="156"/>
        <v>WEEKDAY</v>
      </c>
      <c r="F3869" t="e">
        <f t="shared" si="155"/>
        <v>#N/A</v>
      </c>
      <c r="G3869" s="74">
        <v>33034</v>
      </c>
      <c r="H3869" s="77">
        <v>0.45833333333333331</v>
      </c>
      <c r="J3869">
        <v>77</v>
      </c>
      <c r="M3869" s="74">
        <v>37782</v>
      </c>
      <c r="N3869" s="77">
        <v>0.45833333333333331</v>
      </c>
      <c r="P3869">
        <v>71.599999999999994</v>
      </c>
      <c r="S3869" s="74">
        <v>34495</v>
      </c>
      <c r="T3869" s="77">
        <v>0.45833333333333331</v>
      </c>
      <c r="V3869">
        <v>77</v>
      </c>
      <c r="X3869" s="42"/>
      <c r="AB3869">
        <v>71.2</v>
      </c>
      <c r="AC3869">
        <v>78.080000000000013</v>
      </c>
      <c r="AE3869" s="74"/>
      <c r="AF3869" s="77"/>
      <c r="AH3869" s="497">
        <v>84.2</v>
      </c>
      <c r="AJ3869" s="42"/>
      <c r="AK3869" s="74"/>
      <c r="AL3869" s="77"/>
      <c r="AN3869" s="497">
        <v>71.960000000000008</v>
      </c>
      <c r="AP3869" s="42"/>
      <c r="AQ3869" s="74"/>
      <c r="AR3869" s="77"/>
      <c r="AT3869" s="497">
        <v>73.94</v>
      </c>
      <c r="AV3869" s="42"/>
      <c r="AW3869" s="74"/>
      <c r="AX3869" s="77"/>
      <c r="BA3869" s="497">
        <v>82.94</v>
      </c>
      <c r="BB3869" s="42"/>
      <c r="BC3869" s="74"/>
      <c r="BD3869" s="77"/>
      <c r="BF3869">
        <v>64.94</v>
      </c>
      <c r="BH3869" s="42"/>
      <c r="BI3869" s="74"/>
      <c r="BJ3869" s="77"/>
      <c r="BL3869" s="497">
        <v>87.080000000000013</v>
      </c>
      <c r="BN3869" s="42"/>
      <c r="BO3869" s="74"/>
      <c r="BP3869" s="77"/>
      <c r="BR3869" s="497">
        <v>71.06</v>
      </c>
      <c r="BT3869" s="42"/>
    </row>
    <row r="3870" spans="1:72" x14ac:dyDescent="0.25">
      <c r="A3870" s="90">
        <v>34495</v>
      </c>
      <c r="B3870" s="20">
        <v>0.5</v>
      </c>
      <c r="D3870">
        <v>75.92</v>
      </c>
      <c r="E3870" t="str">
        <f t="shared" si="156"/>
        <v>WEEKDAY</v>
      </c>
      <c r="F3870" t="e">
        <f t="shared" si="155"/>
        <v>#N/A</v>
      </c>
      <c r="G3870" s="74">
        <v>33034</v>
      </c>
      <c r="H3870" s="77">
        <v>0.5</v>
      </c>
      <c r="J3870">
        <v>78.98</v>
      </c>
      <c r="M3870" s="74">
        <v>37782</v>
      </c>
      <c r="N3870" s="77">
        <v>0.5</v>
      </c>
      <c r="P3870">
        <v>73.400000000000006</v>
      </c>
      <c r="S3870" s="74">
        <v>34495</v>
      </c>
      <c r="T3870" s="77">
        <v>0.5</v>
      </c>
      <c r="V3870">
        <v>78.080000000000013</v>
      </c>
      <c r="X3870" s="42"/>
      <c r="AB3870">
        <v>72.400000000000006</v>
      </c>
      <c r="AC3870">
        <v>80.06</v>
      </c>
      <c r="AE3870" s="74"/>
      <c r="AF3870" s="77"/>
      <c r="AH3870" s="497">
        <v>89.6</v>
      </c>
      <c r="AJ3870" s="42"/>
      <c r="AK3870" s="74"/>
      <c r="AL3870" s="77"/>
      <c r="AN3870" s="497">
        <v>73.94</v>
      </c>
      <c r="AP3870" s="42"/>
      <c r="AQ3870" s="74"/>
      <c r="AR3870" s="77"/>
      <c r="AT3870" s="497">
        <v>75.92</v>
      </c>
      <c r="AV3870" s="42"/>
      <c r="AW3870" s="74"/>
      <c r="AX3870" s="77"/>
      <c r="BA3870" s="497">
        <v>84.02</v>
      </c>
      <c r="BB3870" s="42"/>
      <c r="BC3870" s="74"/>
      <c r="BD3870" s="77"/>
      <c r="BF3870">
        <v>66.92</v>
      </c>
      <c r="BH3870" s="42"/>
      <c r="BI3870" s="74"/>
      <c r="BJ3870" s="77"/>
      <c r="BL3870" s="497">
        <v>87.080000000000013</v>
      </c>
      <c r="BN3870" s="42"/>
      <c r="BO3870" s="74"/>
      <c r="BP3870" s="77"/>
      <c r="BR3870" s="497">
        <v>71.06</v>
      </c>
      <c r="BT3870" s="42"/>
    </row>
    <row r="3871" spans="1:72" x14ac:dyDescent="0.25">
      <c r="A3871" s="90">
        <v>34495</v>
      </c>
      <c r="B3871" s="20">
        <v>0.54166666666666663</v>
      </c>
      <c r="D3871">
        <v>77</v>
      </c>
      <c r="E3871" t="str">
        <f t="shared" si="156"/>
        <v>WEEKDAY</v>
      </c>
      <c r="F3871" t="e">
        <f t="shared" si="155"/>
        <v>#N/A</v>
      </c>
      <c r="G3871" s="74">
        <v>33034</v>
      </c>
      <c r="H3871" s="77">
        <v>0.54166666666666663</v>
      </c>
      <c r="J3871">
        <v>77</v>
      </c>
      <c r="M3871" s="74">
        <v>37782</v>
      </c>
      <c r="N3871" s="77">
        <v>0.54166666666666663</v>
      </c>
      <c r="P3871">
        <v>75.2</v>
      </c>
      <c r="S3871" s="74">
        <v>34495</v>
      </c>
      <c r="T3871" s="77">
        <v>0.54166666666666663</v>
      </c>
      <c r="V3871">
        <v>77</v>
      </c>
      <c r="X3871" s="42"/>
      <c r="AB3871">
        <v>73.2</v>
      </c>
      <c r="AC3871">
        <v>73.94</v>
      </c>
      <c r="AE3871" s="74"/>
      <c r="AF3871" s="77"/>
      <c r="AH3871" s="497">
        <v>91.4</v>
      </c>
      <c r="AJ3871" s="42"/>
      <c r="AK3871" s="74"/>
      <c r="AL3871" s="77"/>
      <c r="AN3871" s="497">
        <v>71.960000000000008</v>
      </c>
      <c r="AP3871" s="42"/>
      <c r="AQ3871" s="74"/>
      <c r="AR3871" s="77"/>
      <c r="AT3871" s="497">
        <v>78.080000000000013</v>
      </c>
      <c r="AV3871" s="42"/>
      <c r="AW3871" s="74"/>
      <c r="AX3871" s="77"/>
      <c r="BA3871" s="497">
        <v>84.92</v>
      </c>
      <c r="BB3871" s="42"/>
      <c r="BC3871" s="74"/>
      <c r="BD3871" s="77"/>
      <c r="BF3871">
        <v>69.98</v>
      </c>
      <c r="BH3871" s="42"/>
      <c r="BI3871" s="74"/>
      <c r="BJ3871" s="77"/>
      <c r="BL3871" s="497">
        <v>71.06</v>
      </c>
      <c r="BN3871" s="42"/>
      <c r="BO3871" s="74"/>
      <c r="BP3871" s="77"/>
      <c r="BR3871" s="497">
        <v>71.960000000000008</v>
      </c>
      <c r="BT3871" s="42"/>
    </row>
    <row r="3872" spans="1:72" x14ac:dyDescent="0.25">
      <c r="A3872" s="90">
        <v>34495</v>
      </c>
      <c r="B3872" s="20">
        <v>0.58333333333333337</v>
      </c>
      <c r="D3872">
        <v>75.02</v>
      </c>
      <c r="E3872" t="str">
        <f t="shared" si="156"/>
        <v>WEEKDAY</v>
      </c>
      <c r="F3872" t="e">
        <f t="shared" si="155"/>
        <v>#N/A</v>
      </c>
      <c r="G3872" s="74">
        <v>33034</v>
      </c>
      <c r="H3872" s="77">
        <v>0.58333333333333337</v>
      </c>
      <c r="J3872">
        <v>78.98</v>
      </c>
      <c r="M3872" s="74">
        <v>37782</v>
      </c>
      <c r="N3872" s="77">
        <v>0.58333333333333337</v>
      </c>
      <c r="P3872">
        <v>75.2</v>
      </c>
      <c r="S3872" s="74">
        <v>34495</v>
      </c>
      <c r="T3872" s="77">
        <v>0.58333333333333337</v>
      </c>
      <c r="V3872">
        <v>73.94</v>
      </c>
      <c r="X3872" s="42"/>
      <c r="AB3872">
        <v>73.7</v>
      </c>
      <c r="AC3872">
        <v>73.039999999999992</v>
      </c>
      <c r="AE3872" s="74"/>
      <c r="AF3872" s="77"/>
      <c r="AH3872" s="497">
        <v>91.4</v>
      </c>
      <c r="AJ3872" s="42"/>
      <c r="AK3872" s="74"/>
      <c r="AL3872" s="77"/>
      <c r="AN3872" s="497">
        <v>75.02</v>
      </c>
      <c r="AP3872" s="42"/>
      <c r="AQ3872" s="74"/>
      <c r="AR3872" s="77"/>
      <c r="AT3872" s="497">
        <v>78.98</v>
      </c>
      <c r="AV3872" s="42"/>
      <c r="AW3872" s="74"/>
      <c r="AX3872" s="77"/>
      <c r="BA3872" s="497">
        <v>84.56</v>
      </c>
      <c r="BB3872" s="42"/>
      <c r="BC3872" s="74"/>
      <c r="BD3872" s="77"/>
      <c r="BF3872">
        <v>69.98</v>
      </c>
      <c r="BH3872" s="42"/>
      <c r="BI3872" s="74"/>
      <c r="BJ3872" s="77"/>
      <c r="BL3872" s="497">
        <v>80.960000000000008</v>
      </c>
      <c r="BN3872" s="42"/>
      <c r="BO3872" s="74"/>
      <c r="BP3872" s="77"/>
      <c r="BR3872" s="497">
        <v>71.06</v>
      </c>
      <c r="BT3872" s="42"/>
    </row>
    <row r="3873" spans="1:72" x14ac:dyDescent="0.25">
      <c r="A3873" s="90">
        <v>34495</v>
      </c>
      <c r="B3873" s="20">
        <v>0.625</v>
      </c>
      <c r="D3873">
        <v>73.94</v>
      </c>
      <c r="E3873" t="str">
        <f t="shared" si="156"/>
        <v>WEEKDAY</v>
      </c>
      <c r="F3873" t="e">
        <f t="shared" si="155"/>
        <v>#N/A</v>
      </c>
      <c r="G3873" s="74">
        <v>33034</v>
      </c>
      <c r="H3873" s="77">
        <v>0.625</v>
      </c>
      <c r="J3873">
        <v>78.080000000000013</v>
      </c>
      <c r="M3873" s="74">
        <v>37782</v>
      </c>
      <c r="N3873" s="77">
        <v>0.625</v>
      </c>
      <c r="P3873">
        <v>75.2</v>
      </c>
      <c r="S3873" s="74">
        <v>34495</v>
      </c>
      <c r="T3873" s="77">
        <v>0.625</v>
      </c>
      <c r="V3873">
        <v>73.039999999999992</v>
      </c>
      <c r="X3873" s="42"/>
      <c r="AB3873">
        <v>73.5</v>
      </c>
      <c r="AC3873">
        <v>73.039999999999992</v>
      </c>
      <c r="AE3873" s="74"/>
      <c r="AF3873" s="77"/>
      <c r="AH3873" s="497">
        <v>91.580000000000013</v>
      </c>
      <c r="AJ3873" s="42"/>
      <c r="AK3873" s="74"/>
      <c r="AL3873" s="77"/>
      <c r="AN3873" s="497">
        <v>75.02</v>
      </c>
      <c r="AP3873" s="42"/>
      <c r="AQ3873" s="74"/>
      <c r="AR3873" s="77"/>
      <c r="AT3873" s="497">
        <v>80.06</v>
      </c>
      <c r="AV3873" s="42"/>
      <c r="AW3873" s="74"/>
      <c r="AX3873" s="77"/>
      <c r="BA3873" s="497">
        <v>84.38</v>
      </c>
      <c r="BB3873" s="42"/>
      <c r="BC3873" s="74"/>
      <c r="BD3873" s="77"/>
      <c r="BF3873">
        <v>71.06</v>
      </c>
      <c r="BH3873" s="42"/>
      <c r="BI3873" s="74"/>
      <c r="BJ3873" s="77"/>
      <c r="BL3873" s="497">
        <v>84.92</v>
      </c>
      <c r="BN3873" s="42"/>
      <c r="BO3873" s="74"/>
      <c r="BP3873" s="77"/>
      <c r="BR3873" s="497">
        <v>69.98</v>
      </c>
      <c r="BT3873" s="42"/>
    </row>
    <row r="3874" spans="1:72" x14ac:dyDescent="0.25">
      <c r="A3874" s="90">
        <v>34495</v>
      </c>
      <c r="B3874" s="20">
        <v>0.66666666666666663</v>
      </c>
      <c r="D3874">
        <v>73.94</v>
      </c>
      <c r="E3874" t="str">
        <f t="shared" si="156"/>
        <v>WEEKDAY</v>
      </c>
      <c r="F3874" t="e">
        <f t="shared" si="155"/>
        <v>#N/A</v>
      </c>
      <c r="G3874" s="74">
        <v>33034</v>
      </c>
      <c r="H3874" s="77">
        <v>0.66666666666666663</v>
      </c>
      <c r="J3874">
        <v>77</v>
      </c>
      <c r="M3874" s="74">
        <v>37782</v>
      </c>
      <c r="N3874" s="77">
        <v>0.66666666666666663</v>
      </c>
      <c r="P3874">
        <v>77</v>
      </c>
      <c r="S3874" s="74">
        <v>34495</v>
      </c>
      <c r="T3874" s="77">
        <v>0.66666666666666663</v>
      </c>
      <c r="V3874">
        <v>73.039999999999992</v>
      </c>
      <c r="X3874" s="42"/>
      <c r="AB3874">
        <v>73</v>
      </c>
      <c r="AC3874">
        <v>73.039999999999992</v>
      </c>
      <c r="AE3874" s="74"/>
      <c r="AF3874" s="77"/>
      <c r="AH3874" s="497">
        <v>91.4</v>
      </c>
      <c r="AJ3874" s="42"/>
      <c r="AK3874" s="74"/>
      <c r="AL3874" s="77"/>
      <c r="AN3874" s="497">
        <v>75.02</v>
      </c>
      <c r="AP3874" s="42"/>
      <c r="AQ3874" s="74"/>
      <c r="AR3874" s="77"/>
      <c r="AT3874" s="497">
        <v>78.98</v>
      </c>
      <c r="AV3874" s="42"/>
      <c r="AW3874" s="74"/>
      <c r="AX3874" s="77"/>
      <c r="BA3874" s="497">
        <v>84.02</v>
      </c>
      <c r="BB3874" s="42"/>
      <c r="BC3874" s="74"/>
      <c r="BD3874" s="77"/>
      <c r="BF3874">
        <v>69.98</v>
      </c>
      <c r="BH3874" s="42"/>
      <c r="BI3874" s="74"/>
      <c r="BJ3874" s="77"/>
      <c r="BL3874" s="497">
        <v>86</v>
      </c>
      <c r="BN3874" s="42"/>
      <c r="BO3874" s="74"/>
      <c r="BP3874" s="77"/>
      <c r="BR3874" s="497">
        <v>69.080000000000013</v>
      </c>
      <c r="BT3874" s="42"/>
    </row>
    <row r="3875" spans="1:72" x14ac:dyDescent="0.25">
      <c r="A3875" s="90">
        <v>34495</v>
      </c>
      <c r="B3875" s="20">
        <v>0.70833333333333337</v>
      </c>
      <c r="D3875">
        <v>71.06</v>
      </c>
      <c r="E3875" t="str">
        <f t="shared" si="156"/>
        <v>WEEKDAY</v>
      </c>
      <c r="F3875" t="e">
        <f t="shared" si="155"/>
        <v>#N/A</v>
      </c>
      <c r="G3875" s="74">
        <v>33034</v>
      </c>
      <c r="H3875" s="77">
        <v>0.70833333333333337</v>
      </c>
      <c r="J3875">
        <v>78.080000000000013</v>
      </c>
      <c r="M3875" s="74">
        <v>37782</v>
      </c>
      <c r="N3875" s="77">
        <v>0.70833333333333337</v>
      </c>
      <c r="P3875">
        <v>71.599999999999994</v>
      </c>
      <c r="S3875" s="74">
        <v>34495</v>
      </c>
      <c r="T3875" s="77">
        <v>0.70833333333333337</v>
      </c>
      <c r="V3875">
        <v>69.98</v>
      </c>
      <c r="X3875" s="42"/>
      <c r="AB3875">
        <v>72.3</v>
      </c>
      <c r="AC3875">
        <v>69.98</v>
      </c>
      <c r="AE3875" s="74"/>
      <c r="AF3875" s="77"/>
      <c r="AH3875" s="497">
        <v>91.4</v>
      </c>
      <c r="AJ3875" s="42"/>
      <c r="AK3875" s="74"/>
      <c r="AL3875" s="77"/>
      <c r="AN3875" s="497">
        <v>75.02</v>
      </c>
      <c r="AP3875" s="42"/>
      <c r="AQ3875" s="74"/>
      <c r="AR3875" s="77"/>
      <c r="AT3875" s="497">
        <v>80.06</v>
      </c>
      <c r="AV3875" s="42"/>
      <c r="AW3875" s="74"/>
      <c r="AX3875" s="77"/>
      <c r="BA3875" s="497">
        <v>82.4</v>
      </c>
      <c r="BB3875" s="42"/>
      <c r="BC3875" s="74"/>
      <c r="BD3875" s="77"/>
      <c r="BF3875">
        <v>69.98</v>
      </c>
      <c r="BH3875" s="42"/>
      <c r="BI3875" s="74"/>
      <c r="BJ3875" s="77"/>
      <c r="BL3875" s="497">
        <v>86</v>
      </c>
      <c r="BN3875" s="42"/>
      <c r="BO3875" s="74"/>
      <c r="BP3875" s="77"/>
      <c r="BR3875" s="497">
        <v>64.94</v>
      </c>
      <c r="BT3875" s="42"/>
    </row>
    <row r="3876" spans="1:72" x14ac:dyDescent="0.25">
      <c r="A3876" s="90">
        <v>34495</v>
      </c>
      <c r="B3876" s="20">
        <v>0.75</v>
      </c>
      <c r="D3876">
        <v>69.98</v>
      </c>
      <c r="E3876" t="str">
        <f t="shared" si="156"/>
        <v>WEEKDAY</v>
      </c>
      <c r="F3876" t="e">
        <f t="shared" si="155"/>
        <v>#N/A</v>
      </c>
      <c r="G3876" s="74">
        <v>33034</v>
      </c>
      <c r="H3876" s="77">
        <v>0.75</v>
      </c>
      <c r="J3876">
        <v>73.039999999999992</v>
      </c>
      <c r="M3876" s="74">
        <v>37782</v>
      </c>
      <c r="N3876" s="77">
        <v>0.75</v>
      </c>
      <c r="P3876">
        <v>69.800000000000011</v>
      </c>
      <c r="S3876" s="74">
        <v>34495</v>
      </c>
      <c r="T3876" s="77">
        <v>0.75</v>
      </c>
      <c r="V3876">
        <v>69.080000000000013</v>
      </c>
      <c r="X3876" s="42"/>
      <c r="AB3876">
        <v>71</v>
      </c>
      <c r="AC3876">
        <v>69.080000000000013</v>
      </c>
      <c r="AE3876" s="74"/>
      <c r="AF3876" s="77"/>
      <c r="AH3876" s="497">
        <v>89.6</v>
      </c>
      <c r="AJ3876" s="42"/>
      <c r="AK3876" s="74"/>
      <c r="AL3876" s="77"/>
      <c r="AN3876" s="497">
        <v>73.039999999999992</v>
      </c>
      <c r="AP3876" s="42"/>
      <c r="AQ3876" s="74"/>
      <c r="AR3876" s="77"/>
      <c r="AT3876" s="497">
        <v>78.98</v>
      </c>
      <c r="AV3876" s="42"/>
      <c r="AW3876" s="74"/>
      <c r="AX3876" s="77"/>
      <c r="BA3876" s="497">
        <v>80.599999999999994</v>
      </c>
      <c r="BB3876" s="42"/>
      <c r="BC3876" s="74"/>
      <c r="BD3876" s="77"/>
      <c r="BF3876">
        <v>71.960000000000008</v>
      </c>
      <c r="BH3876" s="42"/>
      <c r="BI3876" s="74"/>
      <c r="BJ3876" s="77"/>
      <c r="BL3876" s="497">
        <v>82.94</v>
      </c>
      <c r="BN3876" s="42"/>
      <c r="BO3876" s="74"/>
      <c r="BP3876" s="77"/>
      <c r="BR3876" s="497">
        <v>62.96</v>
      </c>
      <c r="BT3876" s="42"/>
    </row>
    <row r="3877" spans="1:72" x14ac:dyDescent="0.25">
      <c r="A3877" s="90">
        <v>34495</v>
      </c>
      <c r="B3877" s="20">
        <v>0.79166666666666663</v>
      </c>
      <c r="D3877">
        <v>69.98</v>
      </c>
      <c r="E3877" t="str">
        <f t="shared" si="156"/>
        <v>WEEKDAY</v>
      </c>
      <c r="F3877" t="e">
        <f t="shared" si="155"/>
        <v>#N/A</v>
      </c>
      <c r="G3877" s="74">
        <v>33034</v>
      </c>
      <c r="H3877" s="77">
        <v>0.79166666666666663</v>
      </c>
      <c r="J3877">
        <v>71.960000000000008</v>
      </c>
      <c r="M3877" s="74">
        <v>37782</v>
      </c>
      <c r="N3877" s="77">
        <v>0.79166666666666663</v>
      </c>
      <c r="P3877">
        <v>68</v>
      </c>
      <c r="S3877" s="74">
        <v>34495</v>
      </c>
      <c r="T3877" s="77">
        <v>0.79166666666666663</v>
      </c>
      <c r="V3877">
        <v>66.92</v>
      </c>
      <c r="X3877" s="42"/>
      <c r="AB3877">
        <v>69.900000000000006</v>
      </c>
      <c r="AC3877">
        <v>66.92</v>
      </c>
      <c r="AE3877" s="74"/>
      <c r="AF3877" s="77"/>
      <c r="AH3877" s="497">
        <v>82.4</v>
      </c>
      <c r="AJ3877" s="42"/>
      <c r="AK3877" s="74"/>
      <c r="AL3877" s="77"/>
      <c r="AN3877" s="497">
        <v>69.080000000000013</v>
      </c>
      <c r="AP3877" s="42"/>
      <c r="AQ3877" s="74"/>
      <c r="AR3877" s="77"/>
      <c r="AT3877" s="497">
        <v>75.92</v>
      </c>
      <c r="AV3877" s="42"/>
      <c r="AW3877" s="74"/>
      <c r="AX3877" s="77"/>
      <c r="BA3877" s="497">
        <v>78.98</v>
      </c>
      <c r="BB3877" s="42"/>
      <c r="BC3877" s="74"/>
      <c r="BD3877" s="77"/>
      <c r="BF3877">
        <v>71.960000000000008</v>
      </c>
      <c r="BH3877" s="42"/>
      <c r="BI3877" s="74"/>
      <c r="BJ3877" s="77"/>
      <c r="BL3877" s="497">
        <v>82.039999999999992</v>
      </c>
      <c r="BN3877" s="42"/>
      <c r="BO3877" s="74"/>
      <c r="BP3877" s="77"/>
      <c r="BR3877" s="497">
        <v>60.980000000000004</v>
      </c>
      <c r="BT3877" s="42"/>
    </row>
    <row r="3878" spans="1:72" x14ac:dyDescent="0.25">
      <c r="A3878" s="90">
        <v>34495</v>
      </c>
      <c r="B3878" s="20">
        <v>0.83333333333333337</v>
      </c>
      <c r="D3878">
        <v>66.92</v>
      </c>
      <c r="E3878" t="str">
        <f t="shared" si="156"/>
        <v>WEEKDAY</v>
      </c>
      <c r="F3878" t="e">
        <f t="shared" si="155"/>
        <v>#N/A</v>
      </c>
      <c r="G3878" s="74">
        <v>33034</v>
      </c>
      <c r="H3878" s="77">
        <v>0.83333333333333337</v>
      </c>
      <c r="J3878">
        <v>71.960000000000008</v>
      </c>
      <c r="M3878" s="74">
        <v>37782</v>
      </c>
      <c r="N3878" s="77">
        <v>0.83333333333333337</v>
      </c>
      <c r="P3878">
        <v>64.400000000000006</v>
      </c>
      <c r="S3878" s="74">
        <v>34495</v>
      </c>
      <c r="T3878" s="77">
        <v>0.83333333333333337</v>
      </c>
      <c r="V3878">
        <v>64.039999999999992</v>
      </c>
      <c r="X3878" s="42"/>
      <c r="AB3878">
        <v>68.400000000000006</v>
      </c>
      <c r="AC3878">
        <v>64.039999999999992</v>
      </c>
      <c r="AE3878" s="74"/>
      <c r="AF3878" s="77"/>
      <c r="AH3878" s="497">
        <v>78.800000000000011</v>
      </c>
      <c r="AJ3878" s="42"/>
      <c r="AK3878" s="74"/>
      <c r="AL3878" s="77"/>
      <c r="AN3878" s="497">
        <v>64.94</v>
      </c>
      <c r="AP3878" s="42"/>
      <c r="AQ3878" s="74"/>
      <c r="AR3878" s="77"/>
      <c r="AT3878" s="497">
        <v>71.960000000000008</v>
      </c>
      <c r="AV3878" s="42"/>
      <c r="AW3878" s="74"/>
      <c r="AX3878" s="77"/>
      <c r="BA3878" s="497">
        <v>78.62</v>
      </c>
      <c r="BB3878" s="42"/>
      <c r="BC3878" s="74"/>
      <c r="BD3878" s="77"/>
      <c r="BF3878">
        <v>69.080000000000013</v>
      </c>
      <c r="BH3878" s="42"/>
      <c r="BI3878" s="74"/>
      <c r="BJ3878" s="77"/>
      <c r="BL3878" s="497">
        <v>80.960000000000008</v>
      </c>
      <c r="BN3878" s="42"/>
      <c r="BO3878" s="74"/>
      <c r="BP3878" s="77"/>
      <c r="BR3878" s="497">
        <v>57.92</v>
      </c>
      <c r="BT3878" s="42"/>
    </row>
    <row r="3879" spans="1:72" x14ac:dyDescent="0.25">
      <c r="A3879" s="90">
        <v>34495</v>
      </c>
      <c r="B3879" s="20">
        <v>0.875</v>
      </c>
      <c r="D3879">
        <v>66.92</v>
      </c>
      <c r="E3879" t="str">
        <f t="shared" si="156"/>
        <v>WEEKDAY</v>
      </c>
      <c r="F3879" t="e">
        <f t="shared" si="155"/>
        <v>#N/A</v>
      </c>
      <c r="G3879" s="74">
        <v>33034</v>
      </c>
      <c r="H3879" s="77">
        <v>0.875</v>
      </c>
      <c r="J3879">
        <v>71.06</v>
      </c>
      <c r="M3879" s="74">
        <v>37782</v>
      </c>
      <c r="N3879" s="77">
        <v>0.875</v>
      </c>
      <c r="P3879">
        <v>62.6</v>
      </c>
      <c r="S3879" s="74">
        <v>34495</v>
      </c>
      <c r="T3879" s="77">
        <v>0.875</v>
      </c>
      <c r="V3879">
        <v>64.039999999999992</v>
      </c>
      <c r="X3879" s="42"/>
      <c r="AB3879">
        <v>67.2</v>
      </c>
      <c r="AC3879">
        <v>62.96</v>
      </c>
      <c r="AE3879" s="74"/>
      <c r="AF3879" s="77"/>
      <c r="AH3879" s="497">
        <v>78.44</v>
      </c>
      <c r="AJ3879" s="42"/>
      <c r="AK3879" s="74"/>
      <c r="AL3879" s="77"/>
      <c r="AN3879" s="497">
        <v>62.06</v>
      </c>
      <c r="AP3879" s="42"/>
      <c r="AQ3879" s="74"/>
      <c r="AR3879" s="77"/>
      <c r="AT3879" s="497">
        <v>71.06</v>
      </c>
      <c r="AV3879" s="42"/>
      <c r="AW3879" s="74"/>
      <c r="AX3879" s="77"/>
      <c r="BA3879" s="497">
        <v>78.44</v>
      </c>
      <c r="BB3879" s="42"/>
      <c r="BC3879" s="74"/>
      <c r="BD3879" s="77"/>
      <c r="BF3879">
        <v>66.92</v>
      </c>
      <c r="BH3879" s="42"/>
      <c r="BI3879" s="74"/>
      <c r="BJ3879" s="77"/>
      <c r="BL3879" s="497">
        <v>80.06</v>
      </c>
      <c r="BN3879" s="42"/>
      <c r="BO3879" s="74"/>
      <c r="BP3879" s="77"/>
      <c r="BR3879" s="497">
        <v>57.019999999999996</v>
      </c>
      <c r="BT3879" s="42"/>
    </row>
    <row r="3880" spans="1:72" x14ac:dyDescent="0.25">
      <c r="A3880" s="90">
        <v>34495</v>
      </c>
      <c r="B3880" s="20">
        <v>0.91666666666666663</v>
      </c>
      <c r="D3880">
        <v>66.92</v>
      </c>
      <c r="E3880" t="str">
        <f t="shared" si="156"/>
        <v>WEEKDAY</v>
      </c>
      <c r="F3880" t="e">
        <f t="shared" si="155"/>
        <v>#N/A</v>
      </c>
      <c r="G3880" s="74">
        <v>33034</v>
      </c>
      <c r="H3880" s="77">
        <v>0.91666666666666663</v>
      </c>
      <c r="J3880">
        <v>69.080000000000013</v>
      </c>
      <c r="M3880" s="74">
        <v>37782</v>
      </c>
      <c r="N3880" s="77">
        <v>0.91666666666666663</v>
      </c>
      <c r="P3880">
        <v>62.6</v>
      </c>
      <c r="S3880" s="74">
        <v>34495</v>
      </c>
      <c r="T3880" s="77">
        <v>0.91666666666666663</v>
      </c>
      <c r="V3880">
        <v>64.039999999999992</v>
      </c>
      <c r="X3880" s="42"/>
      <c r="AB3880">
        <v>66.599999999999994</v>
      </c>
      <c r="AC3880">
        <v>60.980000000000004</v>
      </c>
      <c r="AE3880" s="74"/>
      <c r="AF3880" s="77"/>
      <c r="AH3880" s="497">
        <v>78.800000000000011</v>
      </c>
      <c r="AJ3880" s="42"/>
      <c r="AK3880" s="74"/>
      <c r="AL3880" s="77"/>
      <c r="AN3880" s="497">
        <v>62.06</v>
      </c>
      <c r="AP3880" s="42"/>
      <c r="AQ3880" s="74"/>
      <c r="AR3880" s="77"/>
      <c r="AT3880" s="497">
        <v>69.98</v>
      </c>
      <c r="AV3880" s="42"/>
      <c r="AW3880" s="74"/>
      <c r="AX3880" s="77"/>
      <c r="BA3880" s="497">
        <v>78.080000000000013</v>
      </c>
      <c r="BB3880" s="42"/>
      <c r="BC3880" s="74"/>
      <c r="BD3880" s="77"/>
      <c r="BF3880">
        <v>64.94</v>
      </c>
      <c r="BH3880" s="42"/>
      <c r="BI3880" s="74"/>
      <c r="BJ3880" s="77"/>
      <c r="BL3880" s="497">
        <v>78.98</v>
      </c>
      <c r="BN3880" s="42"/>
      <c r="BO3880" s="74"/>
      <c r="BP3880" s="77"/>
      <c r="BR3880" s="497">
        <v>55.94</v>
      </c>
      <c r="BT3880" s="42"/>
    </row>
    <row r="3881" spans="1:72" x14ac:dyDescent="0.25">
      <c r="A3881" s="90">
        <v>34495</v>
      </c>
      <c r="B3881" s="20">
        <v>0.95833333333333337</v>
      </c>
      <c r="D3881">
        <v>68</v>
      </c>
      <c r="E3881" t="str">
        <f t="shared" si="156"/>
        <v>WEEKDAY</v>
      </c>
      <c r="F3881" t="e">
        <f t="shared" si="155"/>
        <v>#N/A</v>
      </c>
      <c r="G3881" s="74">
        <v>33034</v>
      </c>
      <c r="H3881" s="77">
        <v>0.95833333333333337</v>
      </c>
      <c r="J3881">
        <v>66.92</v>
      </c>
      <c r="M3881" s="74">
        <v>37782</v>
      </c>
      <c r="N3881" s="77">
        <v>0.95833333333333337</v>
      </c>
      <c r="P3881">
        <v>60.8</v>
      </c>
      <c r="S3881" s="74">
        <v>34495</v>
      </c>
      <c r="T3881" s="77">
        <v>0.95833333333333337</v>
      </c>
      <c r="V3881">
        <v>64.039999999999992</v>
      </c>
      <c r="X3881" s="42"/>
      <c r="AB3881">
        <v>66</v>
      </c>
      <c r="AC3881">
        <v>59</v>
      </c>
      <c r="AE3881" s="74"/>
      <c r="AF3881" s="77"/>
      <c r="AH3881" s="497">
        <v>78.800000000000011</v>
      </c>
      <c r="AJ3881" s="42"/>
      <c r="AK3881" s="74"/>
      <c r="AL3881" s="77"/>
      <c r="AN3881" s="497">
        <v>60.980000000000004</v>
      </c>
      <c r="AP3881" s="42"/>
      <c r="AQ3881" s="74"/>
      <c r="AR3881" s="77"/>
      <c r="AT3881" s="497">
        <v>69.080000000000013</v>
      </c>
      <c r="AV3881" s="42"/>
      <c r="AW3881" s="74"/>
      <c r="AX3881" s="77"/>
      <c r="BA3881" s="497">
        <v>77.72</v>
      </c>
      <c r="BB3881" s="42"/>
      <c r="BC3881" s="74"/>
      <c r="BD3881" s="77"/>
      <c r="BF3881">
        <v>62.06</v>
      </c>
      <c r="BH3881" s="42"/>
      <c r="BI3881" s="74"/>
      <c r="BJ3881" s="77"/>
      <c r="BL3881" s="497">
        <v>69.98</v>
      </c>
      <c r="BN3881" s="42"/>
      <c r="BO3881" s="74"/>
      <c r="BP3881" s="77"/>
      <c r="BR3881" s="497">
        <v>55.040000000000006</v>
      </c>
      <c r="BT3881" s="42"/>
    </row>
    <row r="3882" spans="1:72" x14ac:dyDescent="0.25">
      <c r="A3882" s="90">
        <v>34495</v>
      </c>
      <c r="B3882" s="20">
        <v>1</v>
      </c>
      <c r="D3882">
        <v>66.02</v>
      </c>
      <c r="E3882" t="str">
        <f t="shared" si="156"/>
        <v>WEEKDAY</v>
      </c>
      <c r="F3882" t="e">
        <f t="shared" si="155"/>
        <v>#N/A</v>
      </c>
      <c r="G3882" s="74">
        <v>33034</v>
      </c>
      <c r="H3882" s="77">
        <v>1</v>
      </c>
      <c r="J3882">
        <v>66.02</v>
      </c>
      <c r="M3882" s="74">
        <v>37782</v>
      </c>
      <c r="N3882" s="80">
        <v>1</v>
      </c>
      <c r="P3882">
        <v>60.8</v>
      </c>
      <c r="S3882" s="74">
        <v>34495</v>
      </c>
      <c r="T3882" s="80">
        <v>1</v>
      </c>
      <c r="V3882">
        <v>62.06</v>
      </c>
      <c r="X3882" s="42"/>
      <c r="AB3882">
        <v>65.400000000000006</v>
      </c>
      <c r="AC3882">
        <v>59</v>
      </c>
      <c r="AE3882" s="74"/>
      <c r="AF3882" s="80"/>
      <c r="AH3882" s="497">
        <v>76.099999999999994</v>
      </c>
      <c r="AJ3882" s="42"/>
      <c r="AK3882" s="74"/>
      <c r="AL3882" s="80"/>
      <c r="AN3882" s="497">
        <v>59</v>
      </c>
      <c r="AP3882" s="42"/>
      <c r="AQ3882" s="74"/>
      <c r="AR3882" s="80"/>
      <c r="AT3882" s="497">
        <v>68</v>
      </c>
      <c r="AV3882" s="42"/>
      <c r="AW3882" s="74"/>
      <c r="AX3882" s="80"/>
      <c r="BA3882" s="497">
        <v>77.36</v>
      </c>
      <c r="BB3882" s="42"/>
      <c r="BC3882" s="74"/>
      <c r="BD3882" s="80"/>
      <c r="BF3882">
        <v>60.08</v>
      </c>
      <c r="BH3882" s="42"/>
      <c r="BI3882" s="74"/>
      <c r="BJ3882" s="80"/>
      <c r="BL3882" s="497">
        <v>62.06</v>
      </c>
      <c r="BN3882" s="42"/>
      <c r="BO3882" s="74"/>
      <c r="BP3882" s="80"/>
      <c r="BR3882" s="497">
        <v>55.94</v>
      </c>
      <c r="BT3882" s="42"/>
    </row>
    <row r="3883" spans="1:72" x14ac:dyDescent="0.25">
      <c r="A3883" s="90">
        <v>34496</v>
      </c>
      <c r="B3883" s="20">
        <v>4.1666666666666664E-2</v>
      </c>
      <c r="D3883">
        <v>66.02</v>
      </c>
      <c r="E3883" t="str">
        <f t="shared" si="156"/>
        <v>SATURDAY</v>
      </c>
      <c r="F3883" t="e">
        <f t="shared" ref="F3883:F3946" si="157">IF(E3883="WEEKDAY",VLOOKUP(B3883,$DD$19:$DG$42,2),IF(E3883="SATURDAY",VLOOKUP(B3883,$DD$19:$DG$42,3),VLOOKUP(B3883,$DD$19:$DG$42,4)))</f>
        <v>#N/A</v>
      </c>
      <c r="G3883" s="74">
        <v>33035</v>
      </c>
      <c r="H3883" s="77">
        <v>4.1666666666666664E-2</v>
      </c>
      <c r="J3883">
        <v>66.02</v>
      </c>
      <c r="M3883" s="74">
        <v>37783</v>
      </c>
      <c r="N3883" s="77">
        <v>4.1666666666666664E-2</v>
      </c>
      <c r="P3883">
        <v>60.8</v>
      </c>
      <c r="S3883" s="74">
        <v>34496</v>
      </c>
      <c r="T3883" s="77">
        <v>4.1666666666666664E-2</v>
      </c>
      <c r="V3883">
        <v>62.06</v>
      </c>
      <c r="X3883" s="42"/>
      <c r="AB3883">
        <v>64.900000000000006</v>
      </c>
      <c r="AC3883">
        <v>57.019999999999996</v>
      </c>
      <c r="AE3883" s="74"/>
      <c r="AF3883" s="77"/>
      <c r="AH3883" s="497">
        <v>73.400000000000006</v>
      </c>
      <c r="AJ3883" s="42"/>
      <c r="AK3883" s="74"/>
      <c r="AL3883" s="77"/>
      <c r="AN3883" s="497">
        <v>57.92</v>
      </c>
      <c r="AP3883" s="42"/>
      <c r="AQ3883" s="74"/>
      <c r="AR3883" s="77"/>
      <c r="AT3883" s="497">
        <v>68</v>
      </c>
      <c r="AV3883" s="42"/>
      <c r="AW3883" s="74"/>
      <c r="AX3883" s="77"/>
      <c r="BA3883" s="497">
        <v>77</v>
      </c>
      <c r="BB3883" s="42"/>
      <c r="BC3883" s="74"/>
      <c r="BD3883" s="77"/>
      <c r="BF3883">
        <v>59</v>
      </c>
      <c r="BH3883" s="42"/>
      <c r="BI3883" s="74"/>
      <c r="BJ3883" s="77"/>
      <c r="BL3883" s="497">
        <v>60.980000000000004</v>
      </c>
      <c r="BN3883" s="42"/>
      <c r="BO3883" s="74"/>
      <c r="BP3883" s="77"/>
      <c r="BR3883" s="497">
        <v>55.94</v>
      </c>
      <c r="BT3883" s="42"/>
    </row>
    <row r="3884" spans="1:72" x14ac:dyDescent="0.25">
      <c r="A3884" s="90">
        <v>34496</v>
      </c>
      <c r="B3884" s="20">
        <v>8.3333333333333329E-2</v>
      </c>
      <c r="D3884">
        <v>66.02</v>
      </c>
      <c r="E3884" t="str">
        <f t="shared" si="156"/>
        <v>SATURDAY</v>
      </c>
      <c r="F3884" t="e">
        <f t="shared" si="157"/>
        <v>#N/A</v>
      </c>
      <c r="G3884" s="74">
        <v>33035</v>
      </c>
      <c r="H3884" s="77">
        <v>8.3333333333333329E-2</v>
      </c>
      <c r="J3884">
        <v>66.02</v>
      </c>
      <c r="M3884" s="74">
        <v>37783</v>
      </c>
      <c r="N3884" s="77">
        <v>8.3333333333333329E-2</v>
      </c>
      <c r="P3884">
        <v>60.8</v>
      </c>
      <c r="S3884" s="74">
        <v>34496</v>
      </c>
      <c r="T3884" s="77">
        <v>8.3333333333333329E-2</v>
      </c>
      <c r="V3884">
        <v>62.06</v>
      </c>
      <c r="X3884" s="42"/>
      <c r="AB3884">
        <v>64.400000000000006</v>
      </c>
      <c r="AC3884">
        <v>57.92</v>
      </c>
      <c r="AE3884" s="74"/>
      <c r="AF3884" s="77"/>
      <c r="AH3884" s="497">
        <v>73.400000000000006</v>
      </c>
      <c r="AJ3884" s="42"/>
      <c r="AK3884" s="74"/>
      <c r="AL3884" s="77"/>
      <c r="AN3884" s="497">
        <v>57.92</v>
      </c>
      <c r="AP3884" s="42"/>
      <c r="AQ3884" s="74"/>
      <c r="AR3884" s="77"/>
      <c r="AT3884" s="497">
        <v>66.92</v>
      </c>
      <c r="AV3884" s="42"/>
      <c r="AW3884" s="74"/>
      <c r="AX3884" s="77"/>
      <c r="BA3884" s="497">
        <v>71.42</v>
      </c>
      <c r="BB3884" s="42"/>
      <c r="BC3884" s="74"/>
      <c r="BD3884" s="77"/>
      <c r="BF3884">
        <v>62.06</v>
      </c>
      <c r="BH3884" s="42"/>
      <c r="BI3884" s="74"/>
      <c r="BJ3884" s="77"/>
      <c r="BL3884" s="497">
        <v>60.08</v>
      </c>
      <c r="BN3884" s="42"/>
      <c r="BO3884" s="74"/>
      <c r="BP3884" s="77"/>
      <c r="BR3884" s="497">
        <v>55.94</v>
      </c>
      <c r="BT3884" s="42"/>
    </row>
    <row r="3885" spans="1:72" x14ac:dyDescent="0.25">
      <c r="A3885" s="90">
        <v>34496</v>
      </c>
      <c r="B3885" s="20">
        <v>0.125</v>
      </c>
      <c r="D3885">
        <v>64.94</v>
      </c>
      <c r="E3885" t="str">
        <f t="shared" si="156"/>
        <v>SATURDAY</v>
      </c>
      <c r="F3885" t="e">
        <f t="shared" si="157"/>
        <v>#N/A</v>
      </c>
      <c r="G3885" s="74">
        <v>33035</v>
      </c>
      <c r="H3885" s="77">
        <v>0.125</v>
      </c>
      <c r="J3885">
        <v>64.94</v>
      </c>
      <c r="M3885" s="74">
        <v>37783</v>
      </c>
      <c r="N3885" s="77">
        <v>0.125</v>
      </c>
      <c r="P3885">
        <v>60.8</v>
      </c>
      <c r="S3885" s="74">
        <v>34496</v>
      </c>
      <c r="T3885" s="77">
        <v>0.125</v>
      </c>
      <c r="V3885">
        <v>60.980000000000004</v>
      </c>
      <c r="X3885" s="42"/>
      <c r="AB3885">
        <v>63.9</v>
      </c>
      <c r="AC3885">
        <v>55.94</v>
      </c>
      <c r="AE3885" s="74"/>
      <c r="AF3885" s="77"/>
      <c r="AH3885" s="497">
        <v>73.400000000000006</v>
      </c>
      <c r="AJ3885" s="42"/>
      <c r="AK3885" s="74"/>
      <c r="AL3885" s="77"/>
      <c r="AN3885" s="497">
        <v>55.040000000000006</v>
      </c>
      <c r="AP3885" s="42"/>
      <c r="AQ3885" s="74"/>
      <c r="AR3885" s="77"/>
      <c r="AT3885" s="497">
        <v>66.92</v>
      </c>
      <c r="AV3885" s="42"/>
      <c r="AW3885" s="74"/>
      <c r="AX3885" s="77"/>
      <c r="BA3885" s="497">
        <v>65.66</v>
      </c>
      <c r="BB3885" s="42"/>
      <c r="BC3885" s="74"/>
      <c r="BD3885" s="77"/>
      <c r="BF3885">
        <v>62.96</v>
      </c>
      <c r="BH3885" s="42"/>
      <c r="BI3885" s="74"/>
      <c r="BJ3885" s="77"/>
      <c r="BL3885" s="497">
        <v>59</v>
      </c>
      <c r="BN3885" s="42"/>
      <c r="BO3885" s="74"/>
      <c r="BP3885" s="77"/>
      <c r="BR3885" s="497">
        <v>55.040000000000006</v>
      </c>
      <c r="BT3885" s="42"/>
    </row>
    <row r="3886" spans="1:72" x14ac:dyDescent="0.25">
      <c r="A3886" s="90">
        <v>34496</v>
      </c>
      <c r="B3886" s="20">
        <v>0.16666666666666666</v>
      </c>
      <c r="D3886">
        <v>64.94</v>
      </c>
      <c r="E3886" t="str">
        <f t="shared" si="156"/>
        <v>SATURDAY</v>
      </c>
      <c r="F3886" t="e">
        <f t="shared" si="157"/>
        <v>#N/A</v>
      </c>
      <c r="G3886" s="74">
        <v>33035</v>
      </c>
      <c r="H3886" s="77">
        <v>0.16666666666666666</v>
      </c>
      <c r="J3886">
        <v>64.94</v>
      </c>
      <c r="M3886" s="74">
        <v>37783</v>
      </c>
      <c r="N3886" s="77">
        <v>0.16666666666666666</v>
      </c>
      <c r="P3886">
        <v>59</v>
      </c>
      <c r="S3886" s="74">
        <v>34496</v>
      </c>
      <c r="T3886" s="77">
        <v>0.16666666666666666</v>
      </c>
      <c r="V3886">
        <v>60.980000000000004</v>
      </c>
      <c r="X3886" s="42"/>
      <c r="AB3886">
        <v>63.4</v>
      </c>
      <c r="AC3886">
        <v>55.040000000000006</v>
      </c>
      <c r="AE3886" s="74"/>
      <c r="AF3886" s="77"/>
      <c r="AH3886" s="497">
        <v>69.800000000000011</v>
      </c>
      <c r="AJ3886" s="42"/>
      <c r="AK3886" s="74"/>
      <c r="AL3886" s="77"/>
      <c r="AN3886" s="497">
        <v>53.96</v>
      </c>
      <c r="AP3886" s="42"/>
      <c r="AQ3886" s="74"/>
      <c r="AR3886" s="77"/>
      <c r="AT3886" s="497">
        <v>66.92</v>
      </c>
      <c r="AV3886" s="42"/>
      <c r="AW3886" s="74"/>
      <c r="AX3886" s="77"/>
      <c r="BA3886" s="497">
        <v>60.08</v>
      </c>
      <c r="BB3886" s="42"/>
      <c r="BC3886" s="74"/>
      <c r="BD3886" s="77"/>
      <c r="BF3886">
        <v>62.06</v>
      </c>
      <c r="BH3886" s="42"/>
      <c r="BI3886" s="74"/>
      <c r="BJ3886" s="77"/>
      <c r="BL3886" s="497">
        <v>59</v>
      </c>
      <c r="BN3886" s="42"/>
      <c r="BO3886" s="74"/>
      <c r="BP3886" s="77"/>
      <c r="BR3886" s="497">
        <v>55.040000000000006</v>
      </c>
      <c r="BT3886" s="42"/>
    </row>
    <row r="3887" spans="1:72" x14ac:dyDescent="0.25">
      <c r="A3887" s="90">
        <v>34496</v>
      </c>
      <c r="B3887" s="20">
        <v>0.20833333333333334</v>
      </c>
      <c r="D3887">
        <v>64.039999999999992</v>
      </c>
      <c r="E3887" t="str">
        <f t="shared" si="156"/>
        <v>SATURDAY</v>
      </c>
      <c r="F3887" t="e">
        <f t="shared" si="157"/>
        <v>#N/A</v>
      </c>
      <c r="G3887" s="74">
        <v>33035</v>
      </c>
      <c r="H3887" s="77">
        <v>0.20833333333333334</v>
      </c>
      <c r="J3887">
        <v>64.039999999999992</v>
      </c>
      <c r="M3887" s="74">
        <v>37783</v>
      </c>
      <c r="N3887" s="77">
        <v>0.20833333333333334</v>
      </c>
      <c r="P3887">
        <v>59</v>
      </c>
      <c r="S3887" s="74">
        <v>34496</v>
      </c>
      <c r="T3887" s="77">
        <v>0.20833333333333334</v>
      </c>
      <c r="V3887">
        <v>60.08</v>
      </c>
      <c r="X3887" s="42"/>
      <c r="AB3887">
        <v>63.1</v>
      </c>
      <c r="AC3887">
        <v>55.040000000000006</v>
      </c>
      <c r="AE3887" s="74"/>
      <c r="AF3887" s="77"/>
      <c r="AH3887" s="497">
        <v>69.800000000000011</v>
      </c>
      <c r="AJ3887" s="42"/>
      <c r="AK3887" s="74"/>
      <c r="AL3887" s="77"/>
      <c r="AN3887" s="497">
        <v>53.06</v>
      </c>
      <c r="AP3887" s="42"/>
      <c r="AQ3887" s="74"/>
      <c r="AR3887" s="77"/>
      <c r="AT3887" s="497">
        <v>68</v>
      </c>
      <c r="AV3887" s="42"/>
      <c r="AW3887" s="74"/>
      <c r="AX3887" s="77"/>
      <c r="BA3887" s="497">
        <v>60.08</v>
      </c>
      <c r="BB3887" s="42"/>
      <c r="BC3887" s="74"/>
      <c r="BD3887" s="77"/>
      <c r="BF3887">
        <v>62.06</v>
      </c>
      <c r="BH3887" s="42"/>
      <c r="BI3887" s="74"/>
      <c r="BJ3887" s="77"/>
      <c r="BL3887" s="497">
        <v>57.92</v>
      </c>
      <c r="BN3887" s="42"/>
      <c r="BO3887" s="74"/>
      <c r="BP3887" s="77"/>
      <c r="BR3887" s="497">
        <v>55.040000000000006</v>
      </c>
      <c r="BT3887" s="42"/>
    </row>
    <row r="3888" spans="1:72" x14ac:dyDescent="0.25">
      <c r="A3888" s="90">
        <v>34496</v>
      </c>
      <c r="B3888" s="20">
        <v>0.25</v>
      </c>
      <c r="D3888">
        <v>64.039999999999992</v>
      </c>
      <c r="E3888" t="str">
        <f t="shared" si="156"/>
        <v>SATURDAY</v>
      </c>
      <c r="F3888" t="e">
        <f t="shared" si="157"/>
        <v>#N/A</v>
      </c>
      <c r="G3888" s="74">
        <v>33035</v>
      </c>
      <c r="H3888" s="77">
        <v>0.25</v>
      </c>
      <c r="J3888">
        <v>66.92</v>
      </c>
      <c r="M3888" s="74">
        <v>37783</v>
      </c>
      <c r="N3888" s="77">
        <v>0.25</v>
      </c>
      <c r="P3888">
        <v>60.8</v>
      </c>
      <c r="S3888" s="74">
        <v>34496</v>
      </c>
      <c r="T3888" s="77">
        <v>0.25</v>
      </c>
      <c r="V3888">
        <v>64.039999999999992</v>
      </c>
      <c r="X3888" s="42"/>
      <c r="AB3888">
        <v>63</v>
      </c>
      <c r="AC3888">
        <v>57.92</v>
      </c>
      <c r="AE3888" s="74"/>
      <c r="AF3888" s="77"/>
      <c r="AH3888" s="497">
        <v>71.599999999999994</v>
      </c>
      <c r="AJ3888" s="42"/>
      <c r="AK3888" s="74"/>
      <c r="AL3888" s="77"/>
      <c r="AN3888" s="497">
        <v>55.94</v>
      </c>
      <c r="AP3888" s="42"/>
      <c r="AQ3888" s="74"/>
      <c r="AR3888" s="77"/>
      <c r="AT3888" s="497">
        <v>66.92</v>
      </c>
      <c r="AV3888" s="42"/>
      <c r="AW3888" s="74"/>
      <c r="AX3888" s="77"/>
      <c r="BA3888" s="497">
        <v>60.08</v>
      </c>
      <c r="BB3888" s="42"/>
      <c r="BC3888" s="74"/>
      <c r="BD3888" s="77"/>
      <c r="BF3888">
        <v>62.96</v>
      </c>
      <c r="BH3888" s="42"/>
      <c r="BI3888" s="74"/>
      <c r="BJ3888" s="77"/>
      <c r="BL3888" s="497">
        <v>57.92</v>
      </c>
      <c r="BN3888" s="42"/>
      <c r="BO3888" s="74"/>
      <c r="BP3888" s="77"/>
      <c r="BR3888" s="497">
        <v>57.92</v>
      </c>
      <c r="BT3888" s="42"/>
    </row>
    <row r="3889" spans="1:72" x14ac:dyDescent="0.25">
      <c r="A3889" s="90">
        <v>34496</v>
      </c>
      <c r="B3889" s="20">
        <v>0.29166666666666669</v>
      </c>
      <c r="D3889">
        <v>62.96</v>
      </c>
      <c r="E3889" t="str">
        <f t="shared" si="156"/>
        <v>SATURDAY</v>
      </c>
      <c r="F3889" t="e">
        <f t="shared" si="157"/>
        <v>#N/A</v>
      </c>
      <c r="G3889" s="74">
        <v>33035</v>
      </c>
      <c r="H3889" s="77">
        <v>0.29166666666666669</v>
      </c>
      <c r="J3889">
        <v>66.92</v>
      </c>
      <c r="M3889" s="74">
        <v>37783</v>
      </c>
      <c r="N3889" s="77">
        <v>0.29166666666666669</v>
      </c>
      <c r="P3889">
        <v>64.400000000000006</v>
      </c>
      <c r="S3889" s="74">
        <v>34496</v>
      </c>
      <c r="T3889" s="77">
        <v>0.29166666666666669</v>
      </c>
      <c r="V3889">
        <v>64.94</v>
      </c>
      <c r="X3889" s="42"/>
      <c r="AB3889">
        <v>64.5</v>
      </c>
      <c r="AC3889">
        <v>62.96</v>
      </c>
      <c r="AE3889" s="74"/>
      <c r="AF3889" s="77"/>
      <c r="AH3889" s="497">
        <v>77</v>
      </c>
      <c r="AJ3889" s="42"/>
      <c r="AK3889" s="74"/>
      <c r="AL3889" s="77"/>
      <c r="AN3889" s="497">
        <v>59</v>
      </c>
      <c r="AP3889" s="42"/>
      <c r="AQ3889" s="74"/>
      <c r="AR3889" s="77"/>
      <c r="AT3889" s="497">
        <v>66.02</v>
      </c>
      <c r="AV3889" s="42"/>
      <c r="AW3889" s="74"/>
      <c r="AX3889" s="77"/>
      <c r="BA3889" s="497">
        <v>60.08</v>
      </c>
      <c r="BB3889" s="42"/>
      <c r="BC3889" s="74"/>
      <c r="BD3889" s="77"/>
      <c r="BF3889">
        <v>66.02</v>
      </c>
      <c r="BH3889" s="42"/>
      <c r="BI3889" s="74"/>
      <c r="BJ3889" s="77"/>
      <c r="BL3889" s="497">
        <v>57.92</v>
      </c>
      <c r="BN3889" s="42"/>
      <c r="BO3889" s="74"/>
      <c r="BP3889" s="77"/>
      <c r="BR3889" s="497">
        <v>60.08</v>
      </c>
      <c r="BT3889" s="42"/>
    </row>
    <row r="3890" spans="1:72" x14ac:dyDescent="0.25">
      <c r="A3890" s="90">
        <v>34496</v>
      </c>
      <c r="B3890" s="20">
        <v>0.33333333333333331</v>
      </c>
      <c r="D3890">
        <v>64.039999999999992</v>
      </c>
      <c r="E3890" t="str">
        <f t="shared" si="156"/>
        <v>SATURDAY</v>
      </c>
      <c r="F3890" t="e">
        <f t="shared" si="157"/>
        <v>#N/A</v>
      </c>
      <c r="G3890" s="74">
        <v>33035</v>
      </c>
      <c r="H3890" s="77">
        <v>0.33333333333333331</v>
      </c>
      <c r="J3890">
        <v>66.92</v>
      </c>
      <c r="M3890" s="74">
        <v>37783</v>
      </c>
      <c r="N3890" s="77">
        <v>0.33333333333333331</v>
      </c>
      <c r="P3890">
        <v>66.2</v>
      </c>
      <c r="S3890" s="74">
        <v>34496</v>
      </c>
      <c r="T3890" s="77">
        <v>0.33333333333333331</v>
      </c>
      <c r="V3890">
        <v>68</v>
      </c>
      <c r="X3890" s="42"/>
      <c r="AB3890">
        <v>66.3</v>
      </c>
      <c r="AC3890">
        <v>66.02</v>
      </c>
      <c r="AE3890" s="74"/>
      <c r="AF3890" s="77"/>
      <c r="AH3890" s="497">
        <v>80.599999999999994</v>
      </c>
      <c r="AJ3890" s="42"/>
      <c r="AK3890" s="74"/>
      <c r="AL3890" s="77"/>
      <c r="AN3890" s="497">
        <v>64.039999999999992</v>
      </c>
      <c r="AP3890" s="42"/>
      <c r="AQ3890" s="74"/>
      <c r="AR3890" s="77"/>
      <c r="AT3890" s="497">
        <v>66.02</v>
      </c>
      <c r="AV3890" s="42"/>
      <c r="AW3890" s="74"/>
      <c r="AX3890" s="77"/>
      <c r="BA3890" s="497">
        <v>60.44</v>
      </c>
      <c r="BB3890" s="42"/>
      <c r="BC3890" s="74"/>
      <c r="BD3890" s="77"/>
      <c r="BF3890">
        <v>71.06</v>
      </c>
      <c r="BH3890" s="42"/>
      <c r="BI3890" s="74"/>
      <c r="BJ3890" s="77"/>
      <c r="BL3890" s="497">
        <v>57.92</v>
      </c>
      <c r="BN3890" s="42"/>
      <c r="BO3890" s="74"/>
      <c r="BP3890" s="77"/>
      <c r="BR3890" s="497">
        <v>60.980000000000004</v>
      </c>
      <c r="BT3890" s="42"/>
    </row>
    <row r="3891" spans="1:72" x14ac:dyDescent="0.25">
      <c r="A3891" s="90">
        <v>34496</v>
      </c>
      <c r="B3891" s="20">
        <v>0.375</v>
      </c>
      <c r="D3891">
        <v>66.02</v>
      </c>
      <c r="E3891" t="str">
        <f t="shared" si="156"/>
        <v>SATURDAY</v>
      </c>
      <c r="F3891" t="e">
        <f t="shared" si="157"/>
        <v>#N/A</v>
      </c>
      <c r="G3891" s="74">
        <v>33035</v>
      </c>
      <c r="H3891" s="77">
        <v>0.375</v>
      </c>
      <c r="J3891">
        <v>66.02</v>
      </c>
      <c r="M3891" s="74">
        <v>37783</v>
      </c>
      <c r="N3891" s="77">
        <v>0.375</v>
      </c>
      <c r="P3891">
        <v>68</v>
      </c>
      <c r="S3891" s="74">
        <v>34496</v>
      </c>
      <c r="T3891" s="77">
        <v>0.375</v>
      </c>
      <c r="V3891">
        <v>69.080000000000013</v>
      </c>
      <c r="X3891" s="42"/>
      <c r="AB3891">
        <v>68.3</v>
      </c>
      <c r="AC3891">
        <v>68</v>
      </c>
      <c r="AE3891" s="74"/>
      <c r="AF3891" s="77"/>
      <c r="AH3891" s="497">
        <v>83.48</v>
      </c>
      <c r="AJ3891" s="42"/>
      <c r="AK3891" s="74"/>
      <c r="AL3891" s="77"/>
      <c r="AN3891" s="497">
        <v>64.94</v>
      </c>
      <c r="AP3891" s="42"/>
      <c r="AQ3891" s="74"/>
      <c r="AR3891" s="77"/>
      <c r="AT3891" s="497">
        <v>64.94</v>
      </c>
      <c r="AV3891" s="42"/>
      <c r="AW3891" s="74"/>
      <c r="AX3891" s="77"/>
      <c r="BA3891" s="497">
        <v>60.620000000000005</v>
      </c>
      <c r="BB3891" s="42"/>
      <c r="BC3891" s="74"/>
      <c r="BD3891" s="77"/>
      <c r="BF3891">
        <v>73.94</v>
      </c>
      <c r="BH3891" s="42"/>
      <c r="BI3891" s="74"/>
      <c r="BJ3891" s="77"/>
      <c r="BL3891" s="497">
        <v>57.92</v>
      </c>
      <c r="BN3891" s="42"/>
      <c r="BO3891" s="74"/>
      <c r="BP3891" s="77"/>
      <c r="BR3891" s="497">
        <v>64.94</v>
      </c>
      <c r="BT3891" s="42"/>
    </row>
    <row r="3892" spans="1:72" x14ac:dyDescent="0.25">
      <c r="A3892" s="90">
        <v>34496</v>
      </c>
      <c r="B3892" s="20">
        <v>0.41666666666666669</v>
      </c>
      <c r="D3892">
        <v>66.02</v>
      </c>
      <c r="E3892" t="str">
        <f t="shared" si="156"/>
        <v>SATURDAY</v>
      </c>
      <c r="F3892" t="e">
        <f t="shared" si="157"/>
        <v>#N/A</v>
      </c>
      <c r="G3892" s="74">
        <v>33035</v>
      </c>
      <c r="H3892" s="77">
        <v>0.41666666666666669</v>
      </c>
      <c r="J3892">
        <v>66.92</v>
      </c>
      <c r="M3892" s="74">
        <v>37783</v>
      </c>
      <c r="N3892" s="77">
        <v>0.41666666666666669</v>
      </c>
      <c r="P3892">
        <v>69.800000000000011</v>
      </c>
      <c r="S3892" s="74">
        <v>34496</v>
      </c>
      <c r="T3892" s="77">
        <v>0.41666666666666669</v>
      </c>
      <c r="V3892">
        <v>69.98</v>
      </c>
      <c r="X3892" s="42"/>
      <c r="AB3892">
        <v>70</v>
      </c>
      <c r="AC3892">
        <v>69.98</v>
      </c>
      <c r="AE3892" s="74"/>
      <c r="AF3892" s="77"/>
      <c r="AH3892" s="497">
        <v>86</v>
      </c>
      <c r="AJ3892" s="42"/>
      <c r="AK3892" s="74"/>
      <c r="AL3892" s="77"/>
      <c r="AN3892" s="497">
        <v>66.02</v>
      </c>
      <c r="AP3892" s="42"/>
      <c r="AQ3892" s="74"/>
      <c r="AR3892" s="77"/>
      <c r="AT3892" s="497">
        <v>64.94</v>
      </c>
      <c r="AV3892" s="42"/>
      <c r="AW3892" s="74"/>
      <c r="AX3892" s="77"/>
      <c r="BA3892" s="497">
        <v>60.980000000000004</v>
      </c>
      <c r="BB3892" s="42"/>
      <c r="BC3892" s="74"/>
      <c r="BD3892" s="77"/>
      <c r="BF3892">
        <v>75.92</v>
      </c>
      <c r="BH3892" s="42"/>
      <c r="BI3892" s="74"/>
      <c r="BJ3892" s="77"/>
      <c r="BL3892" s="497">
        <v>57.92</v>
      </c>
      <c r="BN3892" s="42"/>
      <c r="BO3892" s="74"/>
      <c r="BP3892" s="77"/>
      <c r="BR3892" s="497">
        <v>66.02</v>
      </c>
      <c r="BT3892" s="42"/>
    </row>
    <row r="3893" spans="1:72" x14ac:dyDescent="0.25">
      <c r="A3893" s="90">
        <v>34496</v>
      </c>
      <c r="B3893" s="20">
        <v>0.45833333333333331</v>
      </c>
      <c r="D3893">
        <v>66.02</v>
      </c>
      <c r="E3893" t="str">
        <f t="shared" si="156"/>
        <v>SATURDAY</v>
      </c>
      <c r="F3893" t="e">
        <f t="shared" si="157"/>
        <v>#N/A</v>
      </c>
      <c r="G3893" s="74">
        <v>33035</v>
      </c>
      <c r="H3893" s="77">
        <v>0.45833333333333331</v>
      </c>
      <c r="J3893">
        <v>66.92</v>
      </c>
      <c r="M3893" s="74">
        <v>37783</v>
      </c>
      <c r="N3893" s="77">
        <v>0.45833333333333331</v>
      </c>
      <c r="P3893">
        <v>69.800000000000011</v>
      </c>
      <c r="S3893" s="74">
        <v>34496</v>
      </c>
      <c r="T3893" s="77">
        <v>0.45833333333333331</v>
      </c>
      <c r="V3893">
        <v>69.98</v>
      </c>
      <c r="X3893" s="42"/>
      <c r="AB3893">
        <v>71.599999999999994</v>
      </c>
      <c r="AC3893">
        <v>71.06</v>
      </c>
      <c r="AE3893" s="74"/>
      <c r="AF3893" s="77"/>
      <c r="AH3893" s="497">
        <v>87.800000000000011</v>
      </c>
      <c r="AJ3893" s="42"/>
      <c r="AK3893" s="74"/>
      <c r="AL3893" s="77"/>
      <c r="AN3893" s="497">
        <v>64.039999999999992</v>
      </c>
      <c r="AP3893" s="42"/>
      <c r="AQ3893" s="74"/>
      <c r="AR3893" s="77"/>
      <c r="AT3893" s="497">
        <v>66.92</v>
      </c>
      <c r="AV3893" s="42"/>
      <c r="AW3893" s="74"/>
      <c r="AX3893" s="77"/>
      <c r="BA3893" s="497">
        <v>61.7</v>
      </c>
      <c r="BB3893" s="42"/>
      <c r="BC3893" s="74"/>
      <c r="BD3893" s="77"/>
      <c r="BF3893">
        <v>77</v>
      </c>
      <c r="BH3893" s="42"/>
      <c r="BI3893" s="74"/>
      <c r="BJ3893" s="77"/>
      <c r="BL3893" s="497">
        <v>57.019999999999996</v>
      </c>
      <c r="BN3893" s="42"/>
      <c r="BO3893" s="74"/>
      <c r="BP3893" s="77"/>
      <c r="BR3893" s="497">
        <v>66.92</v>
      </c>
      <c r="BT3893" s="42"/>
    </row>
    <row r="3894" spans="1:72" x14ac:dyDescent="0.25">
      <c r="A3894" s="90">
        <v>34496</v>
      </c>
      <c r="B3894" s="20">
        <v>0.5</v>
      </c>
      <c r="D3894">
        <v>68</v>
      </c>
      <c r="E3894" t="str">
        <f t="shared" si="156"/>
        <v>SATURDAY</v>
      </c>
      <c r="F3894" t="e">
        <f t="shared" si="157"/>
        <v>#N/A</v>
      </c>
      <c r="G3894" s="74">
        <v>33035</v>
      </c>
      <c r="H3894" s="77">
        <v>0.5</v>
      </c>
      <c r="J3894">
        <v>66.92</v>
      </c>
      <c r="M3894" s="74">
        <v>37783</v>
      </c>
      <c r="N3894" s="77">
        <v>0.5</v>
      </c>
      <c r="P3894">
        <v>71.599999999999994</v>
      </c>
      <c r="S3894" s="74">
        <v>34496</v>
      </c>
      <c r="T3894" s="77">
        <v>0.5</v>
      </c>
      <c r="V3894">
        <v>68</v>
      </c>
      <c r="X3894" s="42"/>
      <c r="AB3894">
        <v>72.7</v>
      </c>
      <c r="AC3894">
        <v>69.98</v>
      </c>
      <c r="AE3894" s="74"/>
      <c r="AF3894" s="77"/>
      <c r="AH3894" s="497">
        <v>89.6</v>
      </c>
      <c r="AJ3894" s="42"/>
      <c r="AK3894" s="74"/>
      <c r="AL3894" s="77"/>
      <c r="AN3894" s="497">
        <v>57.019999999999996</v>
      </c>
      <c r="AP3894" s="42"/>
      <c r="AQ3894" s="74"/>
      <c r="AR3894" s="77"/>
      <c r="AT3894" s="497">
        <v>66.02</v>
      </c>
      <c r="AV3894" s="42"/>
      <c r="AW3894" s="74"/>
      <c r="AX3894" s="77"/>
      <c r="BA3894" s="497">
        <v>62.24</v>
      </c>
      <c r="BB3894" s="42"/>
      <c r="BC3894" s="74"/>
      <c r="BD3894" s="77"/>
      <c r="BF3894">
        <v>77</v>
      </c>
      <c r="BH3894" s="42"/>
      <c r="BI3894" s="74"/>
      <c r="BJ3894" s="77"/>
      <c r="BL3894" s="497">
        <v>55.94</v>
      </c>
      <c r="BN3894" s="42"/>
      <c r="BO3894" s="74"/>
      <c r="BP3894" s="77"/>
      <c r="BR3894" s="497">
        <v>69.080000000000013</v>
      </c>
      <c r="BT3894" s="42"/>
    </row>
    <row r="3895" spans="1:72" x14ac:dyDescent="0.25">
      <c r="A3895" s="90">
        <v>34496</v>
      </c>
      <c r="B3895" s="20">
        <v>0.54166666666666663</v>
      </c>
      <c r="D3895">
        <v>69.080000000000013</v>
      </c>
      <c r="E3895" t="str">
        <f t="shared" si="156"/>
        <v>SATURDAY</v>
      </c>
      <c r="F3895" t="e">
        <f t="shared" si="157"/>
        <v>#N/A</v>
      </c>
      <c r="G3895" s="74">
        <v>33035</v>
      </c>
      <c r="H3895" s="77">
        <v>0.54166666666666663</v>
      </c>
      <c r="J3895">
        <v>66.92</v>
      </c>
      <c r="M3895" s="74">
        <v>37783</v>
      </c>
      <c r="N3895" s="77">
        <v>0.54166666666666663</v>
      </c>
      <c r="P3895">
        <v>73.400000000000006</v>
      </c>
      <c r="S3895" s="74">
        <v>34496</v>
      </c>
      <c r="T3895" s="77">
        <v>0.54166666666666663</v>
      </c>
      <c r="V3895">
        <v>69.080000000000013</v>
      </c>
      <c r="X3895" s="42"/>
      <c r="AB3895">
        <v>73.599999999999994</v>
      </c>
      <c r="AC3895">
        <v>71.06</v>
      </c>
      <c r="AE3895" s="74"/>
      <c r="AF3895" s="77"/>
      <c r="AH3895" s="497">
        <v>91.4</v>
      </c>
      <c r="AJ3895" s="42"/>
      <c r="AK3895" s="74"/>
      <c r="AL3895" s="77"/>
      <c r="AN3895" s="497">
        <v>57.92</v>
      </c>
      <c r="AP3895" s="42"/>
      <c r="AQ3895" s="74"/>
      <c r="AR3895" s="77"/>
      <c r="AT3895" s="497">
        <v>64.94</v>
      </c>
      <c r="AV3895" s="42"/>
      <c r="AW3895" s="74"/>
      <c r="AX3895" s="77"/>
      <c r="BA3895" s="497">
        <v>62.96</v>
      </c>
      <c r="BB3895" s="42"/>
      <c r="BC3895" s="74"/>
      <c r="BD3895" s="77"/>
      <c r="BF3895">
        <v>78.080000000000013</v>
      </c>
      <c r="BH3895" s="42"/>
      <c r="BI3895" s="74"/>
      <c r="BJ3895" s="77"/>
      <c r="BL3895" s="497">
        <v>55.040000000000006</v>
      </c>
      <c r="BN3895" s="42"/>
      <c r="BO3895" s="74"/>
      <c r="BP3895" s="77"/>
      <c r="BR3895" s="497">
        <v>69.98</v>
      </c>
      <c r="BT3895" s="42"/>
    </row>
    <row r="3896" spans="1:72" x14ac:dyDescent="0.25">
      <c r="A3896" s="90">
        <v>34496</v>
      </c>
      <c r="B3896" s="20">
        <v>0.58333333333333337</v>
      </c>
      <c r="D3896">
        <v>68</v>
      </c>
      <c r="E3896" t="str">
        <f t="shared" si="156"/>
        <v>SATURDAY</v>
      </c>
      <c r="F3896" t="e">
        <f t="shared" si="157"/>
        <v>#N/A</v>
      </c>
      <c r="G3896" s="74">
        <v>33035</v>
      </c>
      <c r="H3896" s="77">
        <v>0.58333333333333337</v>
      </c>
      <c r="J3896">
        <v>64.94</v>
      </c>
      <c r="M3896" s="74">
        <v>37783</v>
      </c>
      <c r="N3896" s="77">
        <v>0.58333333333333337</v>
      </c>
      <c r="P3896">
        <v>75.2</v>
      </c>
      <c r="S3896" s="74">
        <v>34496</v>
      </c>
      <c r="T3896" s="77">
        <v>0.58333333333333337</v>
      </c>
      <c r="V3896">
        <v>66.92</v>
      </c>
      <c r="X3896" s="42"/>
      <c r="AB3896">
        <v>74</v>
      </c>
      <c r="AC3896">
        <v>71.06</v>
      </c>
      <c r="AE3896" s="74"/>
      <c r="AF3896" s="77"/>
      <c r="AH3896" s="497">
        <v>91.4</v>
      </c>
      <c r="AJ3896" s="42"/>
      <c r="AK3896" s="74"/>
      <c r="AL3896" s="77"/>
      <c r="AN3896" s="497">
        <v>57.92</v>
      </c>
      <c r="AP3896" s="42"/>
      <c r="AQ3896" s="74"/>
      <c r="AR3896" s="77"/>
      <c r="AT3896" s="497">
        <v>64.039999999999992</v>
      </c>
      <c r="AV3896" s="42"/>
      <c r="AW3896" s="74"/>
      <c r="AX3896" s="77"/>
      <c r="BA3896" s="497">
        <v>59.72</v>
      </c>
      <c r="BB3896" s="42"/>
      <c r="BC3896" s="74"/>
      <c r="BD3896" s="77"/>
      <c r="BF3896">
        <v>78.080000000000013</v>
      </c>
      <c r="BH3896" s="42"/>
      <c r="BI3896" s="74"/>
      <c r="BJ3896" s="77"/>
      <c r="BL3896" s="497">
        <v>53.96</v>
      </c>
      <c r="BN3896" s="42"/>
      <c r="BO3896" s="74"/>
      <c r="BP3896" s="77"/>
      <c r="BR3896" s="497">
        <v>73.039999999999992</v>
      </c>
      <c r="BT3896" s="42"/>
    </row>
    <row r="3897" spans="1:72" x14ac:dyDescent="0.25">
      <c r="A3897" s="90">
        <v>34496</v>
      </c>
      <c r="B3897" s="20">
        <v>0.625</v>
      </c>
      <c r="D3897">
        <v>69.98</v>
      </c>
      <c r="E3897" t="str">
        <f t="shared" si="156"/>
        <v>SATURDAY</v>
      </c>
      <c r="F3897" t="e">
        <f t="shared" si="157"/>
        <v>#N/A</v>
      </c>
      <c r="G3897" s="74">
        <v>33035</v>
      </c>
      <c r="H3897" s="77">
        <v>0.625</v>
      </c>
      <c r="J3897">
        <v>64.039999999999992</v>
      </c>
      <c r="M3897" s="74">
        <v>37783</v>
      </c>
      <c r="N3897" s="77">
        <v>0.625</v>
      </c>
      <c r="P3897">
        <v>73.400000000000006</v>
      </c>
      <c r="S3897" s="74">
        <v>34496</v>
      </c>
      <c r="T3897" s="77">
        <v>0.625</v>
      </c>
      <c r="V3897">
        <v>66.02</v>
      </c>
      <c r="X3897" s="42"/>
      <c r="AB3897">
        <v>73.7</v>
      </c>
      <c r="AC3897">
        <v>69.080000000000013</v>
      </c>
      <c r="AE3897" s="74"/>
      <c r="AF3897" s="77"/>
      <c r="AH3897" s="497">
        <v>73.400000000000006</v>
      </c>
      <c r="AJ3897" s="42"/>
      <c r="AK3897" s="74"/>
      <c r="AL3897" s="77"/>
      <c r="AN3897" s="497">
        <v>62.96</v>
      </c>
      <c r="AP3897" s="42"/>
      <c r="AQ3897" s="74"/>
      <c r="AR3897" s="77"/>
      <c r="AT3897" s="497">
        <v>64.039999999999992</v>
      </c>
      <c r="AV3897" s="42"/>
      <c r="AW3897" s="74"/>
      <c r="AX3897" s="77"/>
      <c r="BA3897" s="497">
        <v>56.3</v>
      </c>
      <c r="BB3897" s="42"/>
      <c r="BC3897" s="74"/>
      <c r="BD3897" s="77"/>
      <c r="BF3897">
        <v>78.98</v>
      </c>
      <c r="BH3897" s="42"/>
      <c r="BI3897" s="74"/>
      <c r="BJ3897" s="77"/>
      <c r="BL3897" s="497">
        <v>53.96</v>
      </c>
      <c r="BN3897" s="42"/>
      <c r="BO3897" s="74"/>
      <c r="BP3897" s="77"/>
      <c r="BR3897" s="497">
        <v>73.039999999999992</v>
      </c>
      <c r="BT3897" s="42"/>
    </row>
    <row r="3898" spans="1:72" x14ac:dyDescent="0.25">
      <c r="A3898" s="90">
        <v>34496</v>
      </c>
      <c r="B3898" s="20">
        <v>0.66666666666666663</v>
      </c>
      <c r="D3898">
        <v>69.98</v>
      </c>
      <c r="E3898" t="str">
        <f t="shared" si="156"/>
        <v>SATURDAY</v>
      </c>
      <c r="F3898" t="e">
        <f t="shared" si="157"/>
        <v>#N/A</v>
      </c>
      <c r="G3898" s="74">
        <v>33035</v>
      </c>
      <c r="H3898" s="77">
        <v>0.66666666666666663</v>
      </c>
      <c r="J3898">
        <v>60.980000000000004</v>
      </c>
      <c r="M3898" s="74">
        <v>37783</v>
      </c>
      <c r="N3898" s="77">
        <v>0.66666666666666663</v>
      </c>
      <c r="P3898">
        <v>73.400000000000006</v>
      </c>
      <c r="S3898" s="74">
        <v>34496</v>
      </c>
      <c r="T3898" s="77">
        <v>0.66666666666666663</v>
      </c>
      <c r="V3898">
        <v>66.02</v>
      </c>
      <c r="X3898" s="42"/>
      <c r="AB3898">
        <v>73.3</v>
      </c>
      <c r="AC3898">
        <v>69.080000000000013</v>
      </c>
      <c r="AE3898" s="74"/>
      <c r="AF3898" s="77"/>
      <c r="AH3898" s="497">
        <v>80.599999999999994</v>
      </c>
      <c r="AJ3898" s="42"/>
      <c r="AK3898" s="74"/>
      <c r="AL3898" s="77"/>
      <c r="AN3898" s="497">
        <v>62.96</v>
      </c>
      <c r="AP3898" s="42"/>
      <c r="AQ3898" s="74"/>
      <c r="AR3898" s="77"/>
      <c r="AT3898" s="497">
        <v>64.039999999999992</v>
      </c>
      <c r="AV3898" s="42"/>
      <c r="AW3898" s="74"/>
      <c r="AX3898" s="77"/>
      <c r="BA3898" s="497">
        <v>53.06</v>
      </c>
      <c r="BB3898" s="42"/>
      <c r="BC3898" s="74"/>
      <c r="BD3898" s="77"/>
      <c r="BF3898">
        <v>78.080000000000013</v>
      </c>
      <c r="BH3898" s="42"/>
      <c r="BI3898" s="74"/>
      <c r="BJ3898" s="77"/>
      <c r="BL3898" s="497">
        <v>53.96</v>
      </c>
      <c r="BN3898" s="42"/>
      <c r="BO3898" s="74"/>
      <c r="BP3898" s="77"/>
      <c r="BR3898" s="497">
        <v>73.039999999999992</v>
      </c>
      <c r="BT3898" s="42"/>
    </row>
    <row r="3899" spans="1:72" x14ac:dyDescent="0.25">
      <c r="A3899" s="90">
        <v>34496</v>
      </c>
      <c r="B3899" s="20">
        <v>0.70833333333333337</v>
      </c>
      <c r="D3899">
        <v>69.98</v>
      </c>
      <c r="E3899" t="str">
        <f t="shared" si="156"/>
        <v>SATURDAY</v>
      </c>
      <c r="F3899" t="e">
        <f t="shared" si="157"/>
        <v>#N/A</v>
      </c>
      <c r="G3899" s="74">
        <v>33035</v>
      </c>
      <c r="H3899" s="77">
        <v>0.70833333333333337</v>
      </c>
      <c r="J3899">
        <v>60.980000000000004</v>
      </c>
      <c r="M3899" s="74">
        <v>37783</v>
      </c>
      <c r="N3899" s="77">
        <v>0.70833333333333337</v>
      </c>
      <c r="P3899">
        <v>73.400000000000006</v>
      </c>
      <c r="S3899" s="74">
        <v>34496</v>
      </c>
      <c r="T3899" s="77">
        <v>0.70833333333333337</v>
      </c>
      <c r="V3899">
        <v>66.92</v>
      </c>
      <c r="X3899" s="42"/>
      <c r="AB3899">
        <v>72.5</v>
      </c>
      <c r="AC3899">
        <v>68</v>
      </c>
      <c r="AE3899" s="74"/>
      <c r="AF3899" s="77"/>
      <c r="AH3899" s="497">
        <v>75.2</v>
      </c>
      <c r="AJ3899" s="42"/>
      <c r="AK3899" s="74"/>
      <c r="AL3899" s="77"/>
      <c r="AN3899" s="497">
        <v>62.06</v>
      </c>
      <c r="AP3899" s="42"/>
      <c r="AQ3899" s="74"/>
      <c r="AR3899" s="77"/>
      <c r="AT3899" s="497">
        <v>64.039999999999992</v>
      </c>
      <c r="AV3899" s="42"/>
      <c r="AW3899" s="74"/>
      <c r="AX3899" s="77"/>
      <c r="BA3899" s="497">
        <v>51.44</v>
      </c>
      <c r="BB3899" s="42"/>
      <c r="BC3899" s="74"/>
      <c r="BD3899" s="77"/>
      <c r="BF3899">
        <v>78.080000000000013</v>
      </c>
      <c r="BH3899" s="42"/>
      <c r="BI3899" s="74"/>
      <c r="BJ3899" s="77"/>
      <c r="BL3899" s="497">
        <v>53.96</v>
      </c>
      <c r="BN3899" s="42"/>
      <c r="BO3899" s="74"/>
      <c r="BP3899" s="77"/>
      <c r="BR3899" s="497">
        <v>64.94</v>
      </c>
      <c r="BT3899" s="42"/>
    </row>
    <row r="3900" spans="1:72" x14ac:dyDescent="0.25">
      <c r="A3900" s="90">
        <v>34496</v>
      </c>
      <c r="B3900" s="20">
        <v>0.75</v>
      </c>
      <c r="D3900">
        <v>69.98</v>
      </c>
      <c r="E3900" t="str">
        <f t="shared" si="156"/>
        <v>SATURDAY</v>
      </c>
      <c r="F3900" t="e">
        <f t="shared" si="157"/>
        <v>#N/A</v>
      </c>
      <c r="G3900" s="74">
        <v>33035</v>
      </c>
      <c r="H3900" s="77">
        <v>0.75</v>
      </c>
      <c r="J3900">
        <v>60.980000000000004</v>
      </c>
      <c r="M3900" s="74">
        <v>37783</v>
      </c>
      <c r="N3900" s="77">
        <v>0.75</v>
      </c>
      <c r="P3900">
        <v>71.599999999999994</v>
      </c>
      <c r="S3900" s="74">
        <v>34496</v>
      </c>
      <c r="T3900" s="77">
        <v>0.75</v>
      </c>
      <c r="V3900">
        <v>64.94</v>
      </c>
      <c r="X3900" s="42"/>
      <c r="AB3900">
        <v>71.3</v>
      </c>
      <c r="AC3900">
        <v>66.92</v>
      </c>
      <c r="AE3900" s="74"/>
      <c r="AF3900" s="77"/>
      <c r="AH3900" s="497">
        <v>75.2</v>
      </c>
      <c r="AJ3900" s="42"/>
      <c r="AK3900" s="74"/>
      <c r="AL3900" s="77"/>
      <c r="AN3900" s="497">
        <v>60.980000000000004</v>
      </c>
      <c r="AP3900" s="42"/>
      <c r="AQ3900" s="74"/>
      <c r="AR3900" s="77"/>
      <c r="AT3900" s="497">
        <v>64.039999999999992</v>
      </c>
      <c r="AV3900" s="42"/>
      <c r="AW3900" s="74"/>
      <c r="AX3900" s="77"/>
      <c r="BA3900" s="497">
        <v>49.64</v>
      </c>
      <c r="BB3900" s="42"/>
      <c r="BC3900" s="74"/>
      <c r="BD3900" s="77"/>
      <c r="BF3900">
        <v>77</v>
      </c>
      <c r="BH3900" s="42"/>
      <c r="BI3900" s="74"/>
      <c r="BJ3900" s="77"/>
      <c r="BL3900" s="497">
        <v>53.96</v>
      </c>
      <c r="BN3900" s="42"/>
      <c r="BO3900" s="74"/>
      <c r="BP3900" s="77"/>
      <c r="BR3900" s="497">
        <v>69.080000000000013</v>
      </c>
      <c r="BT3900" s="42"/>
    </row>
    <row r="3901" spans="1:72" x14ac:dyDescent="0.25">
      <c r="A3901" s="90">
        <v>34496</v>
      </c>
      <c r="B3901" s="20">
        <v>0.79166666666666663</v>
      </c>
      <c r="D3901">
        <v>66.92</v>
      </c>
      <c r="E3901" t="str">
        <f t="shared" si="156"/>
        <v>SATURDAY</v>
      </c>
      <c r="F3901" t="e">
        <f t="shared" si="157"/>
        <v>#N/A</v>
      </c>
      <c r="G3901" s="74">
        <v>33035</v>
      </c>
      <c r="H3901" s="77">
        <v>0.79166666666666663</v>
      </c>
      <c r="J3901">
        <v>60.980000000000004</v>
      </c>
      <c r="M3901" s="74">
        <v>37783</v>
      </c>
      <c r="N3901" s="77">
        <v>0.79166666666666663</v>
      </c>
      <c r="P3901">
        <v>69.800000000000011</v>
      </c>
      <c r="S3901" s="74">
        <v>34496</v>
      </c>
      <c r="T3901" s="77">
        <v>0.79166666666666663</v>
      </c>
      <c r="V3901">
        <v>66.02</v>
      </c>
      <c r="X3901" s="42"/>
      <c r="AB3901">
        <v>70.099999999999994</v>
      </c>
      <c r="AC3901">
        <v>66.02</v>
      </c>
      <c r="AE3901" s="74"/>
      <c r="AF3901" s="77"/>
      <c r="AH3901" s="497">
        <v>73.400000000000006</v>
      </c>
      <c r="AJ3901" s="42"/>
      <c r="AK3901" s="74"/>
      <c r="AL3901" s="77"/>
      <c r="AN3901" s="497">
        <v>60.08</v>
      </c>
      <c r="AP3901" s="42"/>
      <c r="AQ3901" s="74"/>
      <c r="AR3901" s="77"/>
      <c r="AT3901" s="497">
        <v>64.039999999999992</v>
      </c>
      <c r="AV3901" s="42"/>
      <c r="AW3901" s="74"/>
      <c r="AX3901" s="77"/>
      <c r="BA3901" s="497">
        <v>48.019999999999996</v>
      </c>
      <c r="BB3901" s="42"/>
      <c r="BC3901" s="74"/>
      <c r="BD3901" s="77"/>
      <c r="BF3901">
        <v>75.02</v>
      </c>
      <c r="BH3901" s="42"/>
      <c r="BI3901" s="74"/>
      <c r="BJ3901" s="77"/>
      <c r="BL3901" s="497">
        <v>53.06</v>
      </c>
      <c r="BN3901" s="42"/>
      <c r="BO3901" s="74"/>
      <c r="BP3901" s="77"/>
      <c r="BR3901" s="497">
        <v>66.02</v>
      </c>
      <c r="BT3901" s="42"/>
    </row>
    <row r="3902" spans="1:72" x14ac:dyDescent="0.25">
      <c r="A3902" s="90">
        <v>34496</v>
      </c>
      <c r="B3902" s="20">
        <v>0.83333333333333337</v>
      </c>
      <c r="D3902">
        <v>66.02</v>
      </c>
      <c r="E3902" t="str">
        <f t="shared" si="156"/>
        <v>SATURDAY</v>
      </c>
      <c r="F3902" t="e">
        <f t="shared" si="157"/>
        <v>#N/A</v>
      </c>
      <c r="G3902" s="74">
        <v>33035</v>
      </c>
      <c r="H3902" s="77">
        <v>0.83333333333333337</v>
      </c>
      <c r="J3902">
        <v>60.08</v>
      </c>
      <c r="M3902" s="74">
        <v>37783</v>
      </c>
      <c r="N3902" s="77">
        <v>0.83333333333333337</v>
      </c>
      <c r="P3902">
        <v>66.2</v>
      </c>
      <c r="S3902" s="74">
        <v>34496</v>
      </c>
      <c r="T3902" s="77">
        <v>0.83333333333333337</v>
      </c>
      <c r="V3902">
        <v>64.94</v>
      </c>
      <c r="X3902" s="42"/>
      <c r="AB3902">
        <v>68.7</v>
      </c>
      <c r="AC3902">
        <v>66.02</v>
      </c>
      <c r="AE3902" s="74"/>
      <c r="AF3902" s="77"/>
      <c r="AH3902" s="497">
        <v>69.800000000000011</v>
      </c>
      <c r="AJ3902" s="42"/>
      <c r="AK3902" s="74"/>
      <c r="AL3902" s="77"/>
      <c r="AN3902" s="497">
        <v>60.08</v>
      </c>
      <c r="AP3902" s="42"/>
      <c r="AQ3902" s="74"/>
      <c r="AR3902" s="77"/>
      <c r="AT3902" s="497">
        <v>64.039999999999992</v>
      </c>
      <c r="AV3902" s="42"/>
      <c r="AW3902" s="74"/>
      <c r="AX3902" s="77"/>
      <c r="BA3902" s="497">
        <v>46.76</v>
      </c>
      <c r="BB3902" s="42"/>
      <c r="BC3902" s="74"/>
      <c r="BD3902" s="77"/>
      <c r="BF3902">
        <v>71.960000000000008</v>
      </c>
      <c r="BH3902" s="42"/>
      <c r="BI3902" s="74"/>
      <c r="BJ3902" s="77"/>
      <c r="BL3902" s="497">
        <v>48.019999999999996</v>
      </c>
      <c r="BN3902" s="42"/>
      <c r="BO3902" s="74"/>
      <c r="BP3902" s="77"/>
      <c r="BR3902" s="497">
        <v>64.039999999999992</v>
      </c>
      <c r="BT3902" s="42"/>
    </row>
    <row r="3903" spans="1:72" x14ac:dyDescent="0.25">
      <c r="A3903" s="90">
        <v>34496</v>
      </c>
      <c r="B3903" s="20">
        <v>0.875</v>
      </c>
      <c r="D3903">
        <v>64.94</v>
      </c>
      <c r="E3903" t="str">
        <f t="shared" si="156"/>
        <v>SATURDAY</v>
      </c>
      <c r="F3903" t="e">
        <f t="shared" si="157"/>
        <v>#N/A</v>
      </c>
      <c r="G3903" s="74">
        <v>33035</v>
      </c>
      <c r="H3903" s="77">
        <v>0.875</v>
      </c>
      <c r="J3903">
        <v>60.08</v>
      </c>
      <c r="M3903" s="74">
        <v>37783</v>
      </c>
      <c r="N3903" s="77">
        <v>0.875</v>
      </c>
      <c r="P3903">
        <v>66.2</v>
      </c>
      <c r="S3903" s="74">
        <v>34496</v>
      </c>
      <c r="T3903" s="77">
        <v>0.875</v>
      </c>
      <c r="V3903">
        <v>66.02</v>
      </c>
      <c r="X3903" s="42"/>
      <c r="AB3903">
        <v>67.5</v>
      </c>
      <c r="AC3903">
        <v>66.02</v>
      </c>
      <c r="AE3903" s="74"/>
      <c r="AF3903" s="77"/>
      <c r="AH3903" s="497">
        <v>69.800000000000011</v>
      </c>
      <c r="AJ3903" s="42"/>
      <c r="AK3903" s="74"/>
      <c r="AL3903" s="77"/>
      <c r="AN3903" s="497">
        <v>57.92</v>
      </c>
      <c r="AP3903" s="42"/>
      <c r="AQ3903" s="74"/>
      <c r="AR3903" s="77"/>
      <c r="AT3903" s="497">
        <v>62.96</v>
      </c>
      <c r="AV3903" s="42"/>
      <c r="AW3903" s="74"/>
      <c r="AX3903" s="77"/>
      <c r="BA3903" s="497">
        <v>45.32</v>
      </c>
      <c r="BB3903" s="42"/>
      <c r="BC3903" s="74"/>
      <c r="BD3903" s="77"/>
      <c r="BF3903">
        <v>71.06</v>
      </c>
      <c r="BH3903" s="42"/>
      <c r="BI3903" s="74"/>
      <c r="BJ3903" s="77"/>
      <c r="BL3903" s="497">
        <v>46.94</v>
      </c>
      <c r="BN3903" s="42"/>
      <c r="BO3903" s="74"/>
      <c r="BP3903" s="77"/>
      <c r="BR3903" s="497">
        <v>62.06</v>
      </c>
      <c r="BT3903" s="42"/>
    </row>
    <row r="3904" spans="1:72" x14ac:dyDescent="0.25">
      <c r="A3904" s="90">
        <v>34496</v>
      </c>
      <c r="B3904" s="20">
        <v>0.91666666666666663</v>
      </c>
      <c r="D3904">
        <v>64.94</v>
      </c>
      <c r="E3904" t="str">
        <f t="shared" si="156"/>
        <v>SATURDAY</v>
      </c>
      <c r="F3904" t="e">
        <f t="shared" si="157"/>
        <v>#N/A</v>
      </c>
      <c r="G3904" s="74">
        <v>33035</v>
      </c>
      <c r="H3904" s="77">
        <v>0.91666666666666663</v>
      </c>
      <c r="J3904">
        <v>60.08</v>
      </c>
      <c r="M3904" s="74">
        <v>37783</v>
      </c>
      <c r="N3904" s="77">
        <v>0.91666666666666663</v>
      </c>
      <c r="P3904">
        <v>66.2</v>
      </c>
      <c r="S3904" s="74">
        <v>34496</v>
      </c>
      <c r="T3904" s="77">
        <v>0.91666666666666663</v>
      </c>
      <c r="V3904">
        <v>66.02</v>
      </c>
      <c r="X3904" s="42"/>
      <c r="AB3904">
        <v>66.900000000000006</v>
      </c>
      <c r="AC3904">
        <v>64.94</v>
      </c>
      <c r="AE3904" s="74"/>
      <c r="AF3904" s="77"/>
      <c r="AH3904" s="497">
        <v>69.44</v>
      </c>
      <c r="AJ3904" s="42"/>
      <c r="AK3904" s="74"/>
      <c r="AL3904" s="77"/>
      <c r="AN3904" s="497">
        <v>57.019999999999996</v>
      </c>
      <c r="AP3904" s="42"/>
      <c r="AQ3904" s="74"/>
      <c r="AR3904" s="77"/>
      <c r="AT3904" s="497">
        <v>62.96</v>
      </c>
      <c r="AV3904" s="42"/>
      <c r="AW3904" s="74"/>
      <c r="AX3904" s="77"/>
      <c r="BA3904" s="497">
        <v>44.06</v>
      </c>
      <c r="BB3904" s="42"/>
      <c r="BC3904" s="74"/>
      <c r="BD3904" s="77"/>
      <c r="BF3904">
        <v>69.080000000000013</v>
      </c>
      <c r="BH3904" s="42"/>
      <c r="BI3904" s="74"/>
      <c r="BJ3904" s="77"/>
      <c r="BL3904" s="497">
        <v>46.04</v>
      </c>
      <c r="BN3904" s="42"/>
      <c r="BO3904" s="74"/>
      <c r="BP3904" s="77"/>
      <c r="BR3904" s="497">
        <v>60.08</v>
      </c>
      <c r="BT3904" s="42"/>
    </row>
    <row r="3905" spans="1:72" x14ac:dyDescent="0.25">
      <c r="A3905" s="90">
        <v>34496</v>
      </c>
      <c r="B3905" s="20">
        <v>0.95833333333333337</v>
      </c>
      <c r="D3905">
        <v>64.94</v>
      </c>
      <c r="E3905" t="str">
        <f t="shared" si="156"/>
        <v>SATURDAY</v>
      </c>
      <c r="F3905" t="e">
        <f t="shared" si="157"/>
        <v>#N/A</v>
      </c>
      <c r="G3905" s="74">
        <v>33035</v>
      </c>
      <c r="H3905" s="77">
        <v>0.95833333333333337</v>
      </c>
      <c r="J3905">
        <v>60.08</v>
      </c>
      <c r="M3905" s="74">
        <v>37783</v>
      </c>
      <c r="N3905" s="77">
        <v>0.95833333333333337</v>
      </c>
      <c r="P3905">
        <v>66.2</v>
      </c>
      <c r="S3905" s="74">
        <v>34496</v>
      </c>
      <c r="T3905" s="77">
        <v>0.95833333333333337</v>
      </c>
      <c r="V3905">
        <v>66.02</v>
      </c>
      <c r="X3905" s="42"/>
      <c r="AB3905">
        <v>66.3</v>
      </c>
      <c r="AC3905">
        <v>64.94</v>
      </c>
      <c r="AE3905" s="74"/>
      <c r="AF3905" s="77"/>
      <c r="AH3905" s="497">
        <v>69.800000000000011</v>
      </c>
      <c r="AJ3905" s="42"/>
      <c r="AK3905" s="74"/>
      <c r="AL3905" s="77"/>
      <c r="AN3905" s="497">
        <v>57.019999999999996</v>
      </c>
      <c r="AP3905" s="42"/>
      <c r="AQ3905" s="74"/>
      <c r="AR3905" s="77"/>
      <c r="AT3905" s="497">
        <v>62.06</v>
      </c>
      <c r="AV3905" s="42"/>
      <c r="AW3905" s="74"/>
      <c r="AX3905" s="77"/>
      <c r="BA3905" s="497">
        <v>42.980000000000004</v>
      </c>
      <c r="BB3905" s="42"/>
      <c r="BC3905" s="74"/>
      <c r="BD3905" s="77"/>
      <c r="BF3905">
        <v>68</v>
      </c>
      <c r="BH3905" s="42"/>
      <c r="BI3905" s="74"/>
      <c r="BJ3905" s="77"/>
      <c r="BL3905" s="497">
        <v>44.96</v>
      </c>
      <c r="BN3905" s="42"/>
      <c r="BO3905" s="74"/>
      <c r="BP3905" s="77"/>
      <c r="BR3905" s="497">
        <v>57.92</v>
      </c>
      <c r="BT3905" s="42"/>
    </row>
    <row r="3906" spans="1:72" x14ac:dyDescent="0.25">
      <c r="A3906" s="90">
        <v>34496</v>
      </c>
      <c r="B3906" s="20">
        <v>1</v>
      </c>
      <c r="D3906">
        <v>64.94</v>
      </c>
      <c r="E3906" t="str">
        <f t="shared" si="156"/>
        <v>SATURDAY</v>
      </c>
      <c r="F3906" t="e">
        <f t="shared" si="157"/>
        <v>#N/A</v>
      </c>
      <c r="G3906" s="74">
        <v>33035</v>
      </c>
      <c r="H3906" s="77">
        <v>1</v>
      </c>
      <c r="J3906">
        <v>60.08</v>
      </c>
      <c r="M3906" s="74">
        <v>37783</v>
      </c>
      <c r="N3906" s="80">
        <v>1</v>
      </c>
      <c r="P3906">
        <v>66.2</v>
      </c>
      <c r="S3906" s="74">
        <v>34496</v>
      </c>
      <c r="T3906" s="80">
        <v>1</v>
      </c>
      <c r="V3906">
        <v>66.02</v>
      </c>
      <c r="X3906" s="42"/>
      <c r="AB3906">
        <v>65.8</v>
      </c>
      <c r="AC3906">
        <v>66.02</v>
      </c>
      <c r="AE3906" s="74"/>
      <c r="AF3906" s="80"/>
      <c r="AH3906" s="497">
        <v>68</v>
      </c>
      <c r="AJ3906" s="42"/>
      <c r="AK3906" s="74"/>
      <c r="AL3906" s="80"/>
      <c r="AN3906" s="497">
        <v>57.019999999999996</v>
      </c>
      <c r="AP3906" s="42"/>
      <c r="AQ3906" s="74"/>
      <c r="AR3906" s="80"/>
      <c r="AT3906" s="497">
        <v>62.06</v>
      </c>
      <c r="AV3906" s="42"/>
      <c r="AW3906" s="74"/>
      <c r="AX3906" s="80"/>
      <c r="BA3906" s="497">
        <v>42.08</v>
      </c>
      <c r="BB3906" s="42"/>
      <c r="BC3906" s="74"/>
      <c r="BD3906" s="80"/>
      <c r="BF3906">
        <v>71.960000000000008</v>
      </c>
      <c r="BH3906" s="42"/>
      <c r="BI3906" s="74"/>
      <c r="BJ3906" s="80"/>
      <c r="BL3906" s="497">
        <v>42.08</v>
      </c>
      <c r="BN3906" s="42"/>
      <c r="BO3906" s="74"/>
      <c r="BP3906" s="80"/>
      <c r="BR3906" s="497">
        <v>55.94</v>
      </c>
      <c r="BT3906" s="42"/>
    </row>
    <row r="3907" spans="1:72" x14ac:dyDescent="0.25">
      <c r="A3907" s="90">
        <v>34497</v>
      </c>
      <c r="B3907" s="20">
        <v>4.1666666666666664E-2</v>
      </c>
      <c r="D3907">
        <v>64.039999999999992</v>
      </c>
      <c r="E3907" t="str">
        <f t="shared" si="156"/>
        <v>SUNDAY</v>
      </c>
      <c r="F3907" t="e">
        <f t="shared" si="157"/>
        <v>#N/A</v>
      </c>
      <c r="G3907" s="74">
        <v>33036</v>
      </c>
      <c r="H3907" s="77">
        <v>4.1666666666666664E-2</v>
      </c>
      <c r="J3907">
        <v>60.08</v>
      </c>
      <c r="M3907" s="74">
        <v>37784</v>
      </c>
      <c r="N3907" s="77">
        <v>4.1666666666666664E-2</v>
      </c>
      <c r="P3907">
        <v>69.800000000000011</v>
      </c>
      <c r="S3907" s="74">
        <v>34497</v>
      </c>
      <c r="T3907" s="77">
        <v>4.1666666666666664E-2</v>
      </c>
      <c r="V3907">
        <v>66.02</v>
      </c>
      <c r="X3907" s="42"/>
      <c r="AB3907">
        <v>65.3</v>
      </c>
      <c r="AC3907">
        <v>66.02</v>
      </c>
      <c r="AE3907" s="74"/>
      <c r="AF3907" s="77"/>
      <c r="AH3907" s="497">
        <v>66.02</v>
      </c>
      <c r="AJ3907" s="42"/>
      <c r="AK3907" s="74"/>
      <c r="AL3907" s="77"/>
      <c r="AN3907" s="497">
        <v>57.019999999999996</v>
      </c>
      <c r="AP3907" s="42"/>
      <c r="AQ3907" s="74"/>
      <c r="AR3907" s="77"/>
      <c r="AT3907" s="497">
        <v>62.06</v>
      </c>
      <c r="AV3907" s="42"/>
      <c r="AW3907" s="74"/>
      <c r="AX3907" s="77"/>
      <c r="BA3907" s="497">
        <v>41</v>
      </c>
      <c r="BB3907" s="42"/>
      <c r="BC3907" s="74"/>
      <c r="BD3907" s="77"/>
      <c r="BF3907">
        <v>73.94</v>
      </c>
      <c r="BH3907" s="42"/>
      <c r="BI3907" s="74"/>
      <c r="BJ3907" s="77"/>
      <c r="BL3907" s="497">
        <v>39.92</v>
      </c>
      <c r="BN3907" s="42"/>
      <c r="BO3907" s="74"/>
      <c r="BP3907" s="77"/>
      <c r="BR3907" s="497">
        <v>53.96</v>
      </c>
      <c r="BT3907" s="42"/>
    </row>
    <row r="3908" spans="1:72" x14ac:dyDescent="0.25">
      <c r="A3908" s="90">
        <v>34497</v>
      </c>
      <c r="B3908" s="20">
        <v>8.3333333333333329E-2</v>
      </c>
      <c r="D3908">
        <v>60.980000000000004</v>
      </c>
      <c r="E3908" t="str">
        <f t="shared" si="156"/>
        <v>SUNDAY</v>
      </c>
      <c r="F3908" t="e">
        <f t="shared" si="157"/>
        <v>#N/A</v>
      </c>
      <c r="G3908" s="74">
        <v>33036</v>
      </c>
      <c r="H3908" s="77">
        <v>8.3333333333333329E-2</v>
      </c>
      <c r="J3908">
        <v>59</v>
      </c>
      <c r="M3908" s="74">
        <v>37784</v>
      </c>
      <c r="N3908" s="77">
        <v>8.3333333333333329E-2</v>
      </c>
      <c r="P3908">
        <v>69.800000000000011</v>
      </c>
      <c r="S3908" s="74">
        <v>34497</v>
      </c>
      <c r="T3908" s="77">
        <v>8.3333333333333329E-2</v>
      </c>
      <c r="V3908">
        <v>66.02</v>
      </c>
      <c r="X3908" s="42"/>
      <c r="AB3908">
        <v>64.8</v>
      </c>
      <c r="AC3908">
        <v>66.02</v>
      </c>
      <c r="AE3908" s="74"/>
      <c r="AF3908" s="77"/>
      <c r="AH3908" s="497">
        <v>65.48</v>
      </c>
      <c r="AJ3908" s="42"/>
      <c r="AK3908" s="74"/>
      <c r="AL3908" s="77"/>
      <c r="AN3908" s="497">
        <v>57.019999999999996</v>
      </c>
      <c r="AP3908" s="42"/>
      <c r="AQ3908" s="74"/>
      <c r="AR3908" s="77"/>
      <c r="AT3908" s="497">
        <v>60.980000000000004</v>
      </c>
      <c r="AV3908" s="42"/>
      <c r="AW3908" s="74"/>
      <c r="AX3908" s="77"/>
      <c r="BA3908" s="497">
        <v>41</v>
      </c>
      <c r="BB3908" s="42"/>
      <c r="BC3908" s="74"/>
      <c r="BD3908" s="77"/>
      <c r="BF3908">
        <v>73.94</v>
      </c>
      <c r="BH3908" s="42"/>
      <c r="BI3908" s="74"/>
      <c r="BJ3908" s="77"/>
      <c r="BL3908" s="497">
        <v>39.92</v>
      </c>
      <c r="BN3908" s="42"/>
      <c r="BO3908" s="74"/>
      <c r="BP3908" s="77"/>
      <c r="BR3908" s="497">
        <v>51.980000000000004</v>
      </c>
      <c r="BT3908" s="42"/>
    </row>
    <row r="3909" spans="1:72" x14ac:dyDescent="0.25">
      <c r="A3909" s="90">
        <v>34497</v>
      </c>
      <c r="B3909" s="20">
        <v>0.125</v>
      </c>
      <c r="D3909">
        <v>60.980000000000004</v>
      </c>
      <c r="E3909" t="str">
        <f t="shared" si="156"/>
        <v>SUNDAY</v>
      </c>
      <c r="F3909" t="e">
        <f t="shared" si="157"/>
        <v>#N/A</v>
      </c>
      <c r="G3909" s="74">
        <v>33036</v>
      </c>
      <c r="H3909" s="77">
        <v>0.125</v>
      </c>
      <c r="J3909">
        <v>60.08</v>
      </c>
      <c r="M3909" s="74">
        <v>37784</v>
      </c>
      <c r="N3909" s="77">
        <v>0.125</v>
      </c>
      <c r="P3909">
        <v>68</v>
      </c>
      <c r="S3909" s="74">
        <v>34497</v>
      </c>
      <c r="T3909" s="77">
        <v>0.125</v>
      </c>
      <c r="V3909">
        <v>66.02</v>
      </c>
      <c r="X3909" s="42"/>
      <c r="AB3909">
        <v>64.3</v>
      </c>
      <c r="AC3909">
        <v>66.02</v>
      </c>
      <c r="AE3909" s="74"/>
      <c r="AF3909" s="77"/>
      <c r="AH3909" s="497">
        <v>65.12</v>
      </c>
      <c r="AJ3909" s="42"/>
      <c r="AK3909" s="74"/>
      <c r="AL3909" s="77"/>
      <c r="AN3909" s="497">
        <v>55.94</v>
      </c>
      <c r="AP3909" s="42"/>
      <c r="AQ3909" s="74"/>
      <c r="AR3909" s="77"/>
      <c r="AT3909" s="497">
        <v>60.980000000000004</v>
      </c>
      <c r="AV3909" s="42"/>
      <c r="AW3909" s="74"/>
      <c r="AX3909" s="77"/>
      <c r="BA3909" s="497">
        <v>41</v>
      </c>
      <c r="BB3909" s="42"/>
      <c r="BC3909" s="74"/>
      <c r="BD3909" s="77"/>
      <c r="BF3909">
        <v>73.039999999999992</v>
      </c>
      <c r="BH3909" s="42"/>
      <c r="BI3909" s="74"/>
      <c r="BJ3909" s="77"/>
      <c r="BL3909" s="497">
        <v>41</v>
      </c>
      <c r="BN3909" s="42"/>
      <c r="BO3909" s="74"/>
      <c r="BP3909" s="77"/>
      <c r="BR3909" s="497">
        <v>51.08</v>
      </c>
      <c r="BT3909" s="42"/>
    </row>
    <row r="3910" spans="1:72" x14ac:dyDescent="0.25">
      <c r="A3910" s="90">
        <v>34497</v>
      </c>
      <c r="B3910" s="20">
        <v>0.16666666666666666</v>
      </c>
      <c r="D3910">
        <v>60.08</v>
      </c>
      <c r="E3910" t="str">
        <f t="shared" si="156"/>
        <v>SUNDAY</v>
      </c>
      <c r="F3910" t="e">
        <f t="shared" si="157"/>
        <v>#N/A</v>
      </c>
      <c r="G3910" s="74">
        <v>33036</v>
      </c>
      <c r="H3910" s="77">
        <v>0.16666666666666666</v>
      </c>
      <c r="J3910">
        <v>59</v>
      </c>
      <c r="M3910" s="74">
        <v>37784</v>
      </c>
      <c r="N3910" s="77">
        <v>0.16666666666666666</v>
      </c>
      <c r="P3910">
        <v>66.2</v>
      </c>
      <c r="S3910" s="74">
        <v>34497</v>
      </c>
      <c r="T3910" s="77">
        <v>0.16666666666666666</v>
      </c>
      <c r="V3910">
        <v>66.02</v>
      </c>
      <c r="X3910" s="42"/>
      <c r="AB3910">
        <v>63.9</v>
      </c>
      <c r="AC3910">
        <v>66.02</v>
      </c>
      <c r="AE3910" s="74"/>
      <c r="AF3910" s="77"/>
      <c r="AH3910" s="497">
        <v>62.78</v>
      </c>
      <c r="AJ3910" s="42"/>
      <c r="AK3910" s="74"/>
      <c r="AL3910" s="77"/>
      <c r="AN3910" s="497">
        <v>55.040000000000006</v>
      </c>
      <c r="AP3910" s="42"/>
      <c r="AQ3910" s="74"/>
      <c r="AR3910" s="77"/>
      <c r="AT3910" s="497">
        <v>60.980000000000004</v>
      </c>
      <c r="AV3910" s="42"/>
      <c r="AW3910" s="74"/>
      <c r="AX3910" s="77"/>
      <c r="BA3910" s="497">
        <v>41</v>
      </c>
      <c r="BB3910" s="42"/>
      <c r="BC3910" s="74"/>
      <c r="BD3910" s="77"/>
      <c r="BF3910">
        <v>73.039999999999992</v>
      </c>
      <c r="BH3910" s="42"/>
      <c r="BI3910" s="74"/>
      <c r="BJ3910" s="77"/>
      <c r="BL3910" s="497">
        <v>39.92</v>
      </c>
      <c r="BN3910" s="42"/>
      <c r="BO3910" s="74"/>
      <c r="BP3910" s="77"/>
      <c r="BR3910" s="497">
        <v>50</v>
      </c>
      <c r="BT3910" s="42"/>
    </row>
    <row r="3911" spans="1:72" x14ac:dyDescent="0.25">
      <c r="A3911" s="90">
        <v>34497</v>
      </c>
      <c r="B3911" s="20">
        <v>0.20833333333333334</v>
      </c>
      <c r="D3911">
        <v>60.08</v>
      </c>
      <c r="E3911" t="str">
        <f t="shared" si="156"/>
        <v>SUNDAY</v>
      </c>
      <c r="F3911" t="e">
        <f t="shared" si="157"/>
        <v>#N/A</v>
      </c>
      <c r="G3911" s="74">
        <v>33036</v>
      </c>
      <c r="H3911" s="77">
        <v>0.20833333333333334</v>
      </c>
      <c r="J3911">
        <v>60.08</v>
      </c>
      <c r="M3911" s="74">
        <v>37784</v>
      </c>
      <c r="N3911" s="77">
        <v>0.20833333333333334</v>
      </c>
      <c r="P3911">
        <v>66.2</v>
      </c>
      <c r="S3911" s="74">
        <v>34497</v>
      </c>
      <c r="T3911" s="77">
        <v>0.20833333333333334</v>
      </c>
      <c r="V3911">
        <v>64.94</v>
      </c>
      <c r="X3911" s="42"/>
      <c r="AB3911">
        <v>63.5</v>
      </c>
      <c r="AC3911">
        <v>66.92</v>
      </c>
      <c r="AE3911" s="74"/>
      <c r="AF3911" s="77"/>
      <c r="AH3911" s="497">
        <v>62.24</v>
      </c>
      <c r="AJ3911" s="42"/>
      <c r="AK3911" s="74"/>
      <c r="AL3911" s="77"/>
      <c r="AN3911" s="497">
        <v>55.040000000000006</v>
      </c>
      <c r="AP3911" s="42"/>
      <c r="AQ3911" s="74"/>
      <c r="AR3911" s="77"/>
      <c r="AT3911" s="497">
        <v>60.980000000000004</v>
      </c>
      <c r="AV3911" s="42"/>
      <c r="AW3911" s="74"/>
      <c r="AX3911" s="77"/>
      <c r="BA3911" s="497">
        <v>43.34</v>
      </c>
      <c r="BB3911" s="42"/>
      <c r="BC3911" s="74"/>
      <c r="BD3911" s="77"/>
      <c r="BF3911">
        <v>71.960000000000008</v>
      </c>
      <c r="BH3911" s="42"/>
      <c r="BI3911" s="74"/>
      <c r="BJ3911" s="77"/>
      <c r="BL3911" s="497">
        <v>42.08</v>
      </c>
      <c r="BN3911" s="42"/>
      <c r="BO3911" s="74"/>
      <c r="BP3911" s="77"/>
      <c r="BR3911" s="497">
        <v>50</v>
      </c>
      <c r="BT3911" s="42"/>
    </row>
    <row r="3912" spans="1:72" x14ac:dyDescent="0.25">
      <c r="A3912" s="90">
        <v>34497</v>
      </c>
      <c r="B3912" s="20">
        <v>0.25</v>
      </c>
      <c r="D3912">
        <v>60.980000000000004</v>
      </c>
      <c r="E3912" t="str">
        <f t="shared" si="156"/>
        <v>SUNDAY</v>
      </c>
      <c r="F3912" t="e">
        <f t="shared" si="157"/>
        <v>#N/A</v>
      </c>
      <c r="G3912" s="74">
        <v>33036</v>
      </c>
      <c r="H3912" s="77">
        <v>0.25</v>
      </c>
      <c r="J3912">
        <v>60.980000000000004</v>
      </c>
      <c r="M3912" s="74">
        <v>37784</v>
      </c>
      <c r="N3912" s="77">
        <v>0.25</v>
      </c>
      <c r="P3912">
        <v>66.2</v>
      </c>
      <c r="S3912" s="74">
        <v>34497</v>
      </c>
      <c r="T3912" s="77">
        <v>0.25</v>
      </c>
      <c r="V3912">
        <v>66.02</v>
      </c>
      <c r="X3912" s="42"/>
      <c r="AB3912">
        <v>63.5</v>
      </c>
      <c r="AC3912">
        <v>66.92</v>
      </c>
      <c r="AE3912" s="74"/>
      <c r="AF3912" s="77"/>
      <c r="AH3912" s="497">
        <v>62.6</v>
      </c>
      <c r="AJ3912" s="42"/>
      <c r="AK3912" s="74"/>
      <c r="AL3912" s="77"/>
      <c r="AN3912" s="497">
        <v>57.019999999999996</v>
      </c>
      <c r="AP3912" s="42"/>
      <c r="AQ3912" s="74"/>
      <c r="AR3912" s="77"/>
      <c r="AT3912" s="497">
        <v>60.980000000000004</v>
      </c>
      <c r="AV3912" s="42"/>
      <c r="AW3912" s="74"/>
      <c r="AX3912" s="77"/>
      <c r="BA3912" s="497">
        <v>45.68</v>
      </c>
      <c r="BB3912" s="42"/>
      <c r="BC3912" s="74"/>
      <c r="BD3912" s="77"/>
      <c r="BF3912">
        <v>73.039999999999992</v>
      </c>
      <c r="BH3912" s="42"/>
      <c r="BI3912" s="74"/>
      <c r="BJ3912" s="77"/>
      <c r="BL3912" s="497">
        <v>46.04</v>
      </c>
      <c r="BN3912" s="42"/>
      <c r="BO3912" s="74"/>
      <c r="BP3912" s="77"/>
      <c r="BR3912" s="497">
        <v>57.019999999999996</v>
      </c>
      <c r="BT3912" s="42"/>
    </row>
    <row r="3913" spans="1:72" x14ac:dyDescent="0.25">
      <c r="A3913" s="90">
        <v>34497</v>
      </c>
      <c r="B3913" s="20">
        <v>0.29166666666666669</v>
      </c>
      <c r="D3913">
        <v>62.96</v>
      </c>
      <c r="E3913" t="str">
        <f t="shared" si="156"/>
        <v>SUNDAY</v>
      </c>
      <c r="F3913" t="e">
        <f t="shared" si="157"/>
        <v>#N/A</v>
      </c>
      <c r="G3913" s="74">
        <v>33036</v>
      </c>
      <c r="H3913" s="77">
        <v>0.29166666666666669</v>
      </c>
      <c r="J3913">
        <v>62.96</v>
      </c>
      <c r="M3913" s="74">
        <v>37784</v>
      </c>
      <c r="N3913" s="77">
        <v>0.29166666666666669</v>
      </c>
      <c r="P3913">
        <v>69.800000000000011</v>
      </c>
      <c r="S3913" s="74">
        <v>34497</v>
      </c>
      <c r="T3913" s="77">
        <v>0.29166666666666669</v>
      </c>
      <c r="V3913">
        <v>64.94</v>
      </c>
      <c r="X3913" s="42"/>
      <c r="AB3913">
        <v>65</v>
      </c>
      <c r="AC3913">
        <v>68</v>
      </c>
      <c r="AE3913" s="74"/>
      <c r="AF3913" s="77"/>
      <c r="AH3913" s="497">
        <v>57.2</v>
      </c>
      <c r="AJ3913" s="42"/>
      <c r="AK3913" s="74"/>
      <c r="AL3913" s="77"/>
      <c r="AN3913" s="497">
        <v>60.08</v>
      </c>
      <c r="AP3913" s="42"/>
      <c r="AQ3913" s="74"/>
      <c r="AR3913" s="77"/>
      <c r="AT3913" s="497">
        <v>60.980000000000004</v>
      </c>
      <c r="AV3913" s="42"/>
      <c r="AW3913" s="74"/>
      <c r="AX3913" s="77"/>
      <c r="BA3913" s="497">
        <v>48.019999999999996</v>
      </c>
      <c r="BB3913" s="42"/>
      <c r="BC3913" s="74"/>
      <c r="BD3913" s="77"/>
      <c r="BF3913">
        <v>75.02</v>
      </c>
      <c r="BH3913" s="42"/>
      <c r="BI3913" s="74"/>
      <c r="BJ3913" s="77"/>
      <c r="BL3913" s="497">
        <v>51.08</v>
      </c>
      <c r="BN3913" s="42"/>
      <c r="BO3913" s="74"/>
      <c r="BP3913" s="77"/>
      <c r="BR3913" s="497">
        <v>60.980000000000004</v>
      </c>
      <c r="BT3913" s="42"/>
    </row>
    <row r="3914" spans="1:72" x14ac:dyDescent="0.25">
      <c r="A3914" s="90">
        <v>34497</v>
      </c>
      <c r="B3914" s="20">
        <v>0.33333333333333331</v>
      </c>
      <c r="D3914">
        <v>64.94</v>
      </c>
      <c r="E3914" t="str">
        <f t="shared" si="156"/>
        <v>SUNDAY</v>
      </c>
      <c r="F3914" t="e">
        <f t="shared" si="157"/>
        <v>#N/A</v>
      </c>
      <c r="G3914" s="74">
        <v>33036</v>
      </c>
      <c r="H3914" s="77">
        <v>0.33333333333333331</v>
      </c>
      <c r="J3914">
        <v>66.02</v>
      </c>
      <c r="M3914" s="74">
        <v>37784</v>
      </c>
      <c r="N3914" s="77">
        <v>0.33333333333333331</v>
      </c>
      <c r="P3914">
        <v>73.400000000000006</v>
      </c>
      <c r="S3914" s="74">
        <v>34497</v>
      </c>
      <c r="T3914" s="77">
        <v>0.33333333333333331</v>
      </c>
      <c r="V3914">
        <v>66.92</v>
      </c>
      <c r="X3914" s="42"/>
      <c r="AB3914">
        <v>66.8</v>
      </c>
      <c r="AC3914">
        <v>71.06</v>
      </c>
      <c r="AE3914" s="74"/>
      <c r="AF3914" s="77"/>
      <c r="AH3914" s="497">
        <v>60.8</v>
      </c>
      <c r="AJ3914" s="42"/>
      <c r="AK3914" s="74"/>
      <c r="AL3914" s="77"/>
      <c r="AN3914" s="497">
        <v>62.96</v>
      </c>
      <c r="AP3914" s="42"/>
      <c r="AQ3914" s="74"/>
      <c r="AR3914" s="77"/>
      <c r="AT3914" s="497">
        <v>60.980000000000004</v>
      </c>
      <c r="AV3914" s="42"/>
      <c r="AW3914" s="74"/>
      <c r="AX3914" s="77"/>
      <c r="BA3914" s="497">
        <v>49.64</v>
      </c>
      <c r="BB3914" s="42"/>
      <c r="BC3914" s="74"/>
      <c r="BD3914" s="77"/>
      <c r="BF3914">
        <v>77</v>
      </c>
      <c r="BH3914" s="42"/>
      <c r="BI3914" s="74"/>
      <c r="BJ3914" s="77"/>
      <c r="BL3914" s="497">
        <v>53.06</v>
      </c>
      <c r="BN3914" s="42"/>
      <c r="BO3914" s="74"/>
      <c r="BP3914" s="77"/>
      <c r="BR3914" s="497">
        <v>64.94</v>
      </c>
      <c r="BT3914" s="42"/>
    </row>
    <row r="3915" spans="1:72" x14ac:dyDescent="0.25">
      <c r="A3915" s="90">
        <v>34497</v>
      </c>
      <c r="B3915" s="20">
        <v>0.375</v>
      </c>
      <c r="D3915">
        <v>68</v>
      </c>
      <c r="E3915" t="str">
        <f t="shared" si="156"/>
        <v>SUNDAY</v>
      </c>
      <c r="F3915" t="e">
        <f t="shared" si="157"/>
        <v>#N/A</v>
      </c>
      <c r="G3915" s="74">
        <v>33036</v>
      </c>
      <c r="H3915" s="77">
        <v>0.375</v>
      </c>
      <c r="J3915">
        <v>68</v>
      </c>
      <c r="M3915" s="74">
        <v>37784</v>
      </c>
      <c r="N3915" s="77">
        <v>0.375</v>
      </c>
      <c r="P3915">
        <v>73.580000000000013</v>
      </c>
      <c r="S3915" s="74">
        <v>34497</v>
      </c>
      <c r="T3915" s="77">
        <v>0.375</v>
      </c>
      <c r="V3915">
        <v>66.92</v>
      </c>
      <c r="X3915" s="42"/>
      <c r="AB3915">
        <v>68.8</v>
      </c>
      <c r="AC3915">
        <v>71.06</v>
      </c>
      <c r="AE3915" s="74"/>
      <c r="AF3915" s="77"/>
      <c r="AH3915" s="497">
        <v>57.2</v>
      </c>
      <c r="AJ3915" s="42"/>
      <c r="AK3915" s="74"/>
      <c r="AL3915" s="77"/>
      <c r="AN3915" s="497">
        <v>64.039999999999992</v>
      </c>
      <c r="AP3915" s="42"/>
      <c r="AQ3915" s="74"/>
      <c r="AR3915" s="77"/>
      <c r="AT3915" s="497">
        <v>60.980000000000004</v>
      </c>
      <c r="AV3915" s="42"/>
      <c r="AW3915" s="74"/>
      <c r="AX3915" s="77"/>
      <c r="BA3915" s="497">
        <v>51.44</v>
      </c>
      <c r="BB3915" s="42"/>
      <c r="BC3915" s="74"/>
      <c r="BD3915" s="77"/>
      <c r="BF3915">
        <v>80.06</v>
      </c>
      <c r="BH3915" s="42"/>
      <c r="BI3915" s="74"/>
      <c r="BJ3915" s="77"/>
      <c r="BL3915" s="497">
        <v>55.040000000000006</v>
      </c>
      <c r="BN3915" s="42"/>
      <c r="BO3915" s="74"/>
      <c r="BP3915" s="77"/>
      <c r="BR3915" s="497">
        <v>66.02</v>
      </c>
      <c r="BT3915" s="42"/>
    </row>
    <row r="3916" spans="1:72" x14ac:dyDescent="0.25">
      <c r="A3916" s="90">
        <v>34497</v>
      </c>
      <c r="B3916" s="20">
        <v>0.41666666666666669</v>
      </c>
      <c r="D3916">
        <v>69.98</v>
      </c>
      <c r="E3916" t="str">
        <f t="shared" si="156"/>
        <v>SUNDAY</v>
      </c>
      <c r="F3916" t="e">
        <f t="shared" si="157"/>
        <v>#N/A</v>
      </c>
      <c r="G3916" s="74">
        <v>33036</v>
      </c>
      <c r="H3916" s="77">
        <v>0.41666666666666669</v>
      </c>
      <c r="J3916">
        <v>69.98</v>
      </c>
      <c r="M3916" s="74">
        <v>37784</v>
      </c>
      <c r="N3916" s="77">
        <v>0.41666666666666669</v>
      </c>
      <c r="P3916">
        <v>73.400000000000006</v>
      </c>
      <c r="S3916" s="74">
        <v>34497</v>
      </c>
      <c r="T3916" s="77">
        <v>0.41666666666666669</v>
      </c>
      <c r="V3916">
        <v>68</v>
      </c>
      <c r="X3916" s="42"/>
      <c r="AB3916">
        <v>70.5</v>
      </c>
      <c r="AC3916">
        <v>73.039999999999992</v>
      </c>
      <c r="AE3916" s="74"/>
      <c r="AF3916" s="77"/>
      <c r="AH3916" s="497">
        <v>57.2</v>
      </c>
      <c r="AJ3916" s="42"/>
      <c r="AK3916" s="74"/>
      <c r="AL3916" s="77"/>
      <c r="AN3916" s="497">
        <v>66.92</v>
      </c>
      <c r="AP3916" s="42"/>
      <c r="AQ3916" s="74"/>
      <c r="AR3916" s="77"/>
      <c r="AT3916" s="497">
        <v>60.980000000000004</v>
      </c>
      <c r="AV3916" s="42"/>
      <c r="AW3916" s="74"/>
      <c r="AX3916" s="77"/>
      <c r="BA3916" s="497">
        <v>53.06</v>
      </c>
      <c r="BB3916" s="42"/>
      <c r="BC3916" s="74"/>
      <c r="BD3916" s="77"/>
      <c r="BF3916">
        <v>82.039999999999992</v>
      </c>
      <c r="BH3916" s="42"/>
      <c r="BI3916" s="74"/>
      <c r="BJ3916" s="77"/>
      <c r="BL3916" s="497">
        <v>57.019999999999996</v>
      </c>
      <c r="BN3916" s="42"/>
      <c r="BO3916" s="74"/>
      <c r="BP3916" s="77"/>
      <c r="BR3916" s="497">
        <v>69.98</v>
      </c>
      <c r="BT3916" s="42"/>
    </row>
    <row r="3917" spans="1:72" x14ac:dyDescent="0.25">
      <c r="A3917" s="90">
        <v>34497</v>
      </c>
      <c r="B3917" s="20">
        <v>0.45833333333333331</v>
      </c>
      <c r="D3917">
        <v>71.06</v>
      </c>
      <c r="E3917" t="str">
        <f t="shared" si="156"/>
        <v>SUNDAY</v>
      </c>
      <c r="F3917" t="e">
        <f t="shared" si="157"/>
        <v>#N/A</v>
      </c>
      <c r="G3917" s="74">
        <v>33036</v>
      </c>
      <c r="H3917" s="77">
        <v>0.45833333333333331</v>
      </c>
      <c r="J3917">
        <v>71.06</v>
      </c>
      <c r="M3917" s="74">
        <v>37784</v>
      </c>
      <c r="N3917" s="77">
        <v>0.45833333333333331</v>
      </c>
      <c r="P3917">
        <v>73.400000000000006</v>
      </c>
      <c r="S3917" s="74">
        <v>34497</v>
      </c>
      <c r="T3917" s="77">
        <v>0.45833333333333331</v>
      </c>
      <c r="V3917">
        <v>69.080000000000013</v>
      </c>
      <c r="X3917" s="42"/>
      <c r="AB3917">
        <v>72.099999999999994</v>
      </c>
      <c r="AC3917">
        <v>73.039999999999992</v>
      </c>
      <c r="AE3917" s="74"/>
      <c r="AF3917" s="77"/>
      <c r="AH3917" s="497">
        <v>57.2</v>
      </c>
      <c r="AJ3917" s="42"/>
      <c r="AK3917" s="74"/>
      <c r="AL3917" s="77"/>
      <c r="AN3917" s="497">
        <v>69.98</v>
      </c>
      <c r="AP3917" s="42"/>
      <c r="AQ3917" s="74"/>
      <c r="AR3917" s="77"/>
      <c r="AT3917" s="497">
        <v>60.08</v>
      </c>
      <c r="AV3917" s="42"/>
      <c r="AW3917" s="74"/>
      <c r="AX3917" s="77"/>
      <c r="BA3917" s="497">
        <v>54.68</v>
      </c>
      <c r="BB3917" s="42"/>
      <c r="BC3917" s="74"/>
      <c r="BD3917" s="77"/>
      <c r="BF3917">
        <v>84.02</v>
      </c>
      <c r="BH3917" s="42"/>
      <c r="BI3917" s="74"/>
      <c r="BJ3917" s="77"/>
      <c r="BL3917" s="497">
        <v>57.92</v>
      </c>
      <c r="BN3917" s="42"/>
      <c r="BO3917" s="74"/>
      <c r="BP3917" s="77"/>
      <c r="BR3917" s="497">
        <v>71.960000000000008</v>
      </c>
      <c r="BT3917" s="42"/>
    </row>
    <row r="3918" spans="1:72" x14ac:dyDescent="0.25">
      <c r="A3918" s="90">
        <v>34497</v>
      </c>
      <c r="B3918" s="20">
        <v>0.5</v>
      </c>
      <c r="D3918">
        <v>71.960000000000008</v>
      </c>
      <c r="E3918" t="str">
        <f t="shared" si="156"/>
        <v>SUNDAY</v>
      </c>
      <c r="F3918" t="e">
        <f t="shared" si="157"/>
        <v>#N/A</v>
      </c>
      <c r="G3918" s="74">
        <v>33036</v>
      </c>
      <c r="H3918" s="77">
        <v>0.5</v>
      </c>
      <c r="J3918">
        <v>71.960000000000008</v>
      </c>
      <c r="M3918" s="74">
        <v>37784</v>
      </c>
      <c r="N3918" s="77">
        <v>0.5</v>
      </c>
      <c r="P3918">
        <v>75.2</v>
      </c>
      <c r="S3918" s="74">
        <v>34497</v>
      </c>
      <c r="T3918" s="77">
        <v>0.5</v>
      </c>
      <c r="V3918">
        <v>71.960000000000008</v>
      </c>
      <c r="X3918" s="42"/>
      <c r="AB3918">
        <v>73.2</v>
      </c>
      <c r="AC3918">
        <v>78.080000000000013</v>
      </c>
      <c r="AE3918" s="74"/>
      <c r="AF3918" s="77"/>
      <c r="AH3918" s="497">
        <v>59</v>
      </c>
      <c r="AJ3918" s="42"/>
      <c r="AK3918" s="74"/>
      <c r="AL3918" s="77"/>
      <c r="AN3918" s="497">
        <v>73.039999999999992</v>
      </c>
      <c r="AP3918" s="42"/>
      <c r="AQ3918" s="74"/>
      <c r="AR3918" s="77"/>
      <c r="AT3918" s="497">
        <v>59</v>
      </c>
      <c r="AV3918" s="42"/>
      <c r="AW3918" s="74"/>
      <c r="AX3918" s="77"/>
      <c r="BA3918" s="497">
        <v>56.3</v>
      </c>
      <c r="BB3918" s="42"/>
      <c r="BC3918" s="74"/>
      <c r="BD3918" s="77"/>
      <c r="BF3918">
        <v>84.92</v>
      </c>
      <c r="BH3918" s="42"/>
      <c r="BI3918" s="74"/>
      <c r="BJ3918" s="77"/>
      <c r="BL3918" s="497">
        <v>59</v>
      </c>
      <c r="BN3918" s="42"/>
      <c r="BO3918" s="74"/>
      <c r="BP3918" s="77"/>
      <c r="BR3918" s="497">
        <v>75.02</v>
      </c>
      <c r="BT3918" s="42"/>
    </row>
    <row r="3919" spans="1:72" x14ac:dyDescent="0.25">
      <c r="A3919" s="90">
        <v>34497</v>
      </c>
      <c r="B3919" s="20">
        <v>0.54166666666666663</v>
      </c>
      <c r="D3919">
        <v>73.94</v>
      </c>
      <c r="E3919" t="str">
        <f t="shared" si="156"/>
        <v>SUNDAY</v>
      </c>
      <c r="F3919" t="e">
        <f t="shared" si="157"/>
        <v>#N/A</v>
      </c>
      <c r="G3919" s="74">
        <v>33036</v>
      </c>
      <c r="H3919" s="77">
        <v>0.54166666666666663</v>
      </c>
      <c r="J3919">
        <v>73.94</v>
      </c>
      <c r="M3919" s="74">
        <v>37784</v>
      </c>
      <c r="N3919" s="77">
        <v>0.54166666666666663</v>
      </c>
      <c r="P3919">
        <v>75.2</v>
      </c>
      <c r="S3919" s="74">
        <v>34497</v>
      </c>
      <c r="T3919" s="77">
        <v>0.54166666666666663</v>
      </c>
      <c r="V3919">
        <v>71.06</v>
      </c>
      <c r="X3919" s="42"/>
      <c r="AB3919">
        <v>74</v>
      </c>
      <c r="AC3919">
        <v>77</v>
      </c>
      <c r="AE3919" s="74"/>
      <c r="AF3919" s="77"/>
      <c r="AH3919" s="497">
        <v>59</v>
      </c>
      <c r="AJ3919" s="42"/>
      <c r="AK3919" s="74"/>
      <c r="AL3919" s="77"/>
      <c r="AN3919" s="497">
        <v>75.92</v>
      </c>
      <c r="AP3919" s="42"/>
      <c r="AQ3919" s="74"/>
      <c r="AR3919" s="77"/>
      <c r="AT3919" s="497">
        <v>59</v>
      </c>
      <c r="AV3919" s="42"/>
      <c r="AW3919" s="74"/>
      <c r="AX3919" s="77"/>
      <c r="BA3919" s="497">
        <v>57.92</v>
      </c>
      <c r="BB3919" s="42"/>
      <c r="BC3919" s="74"/>
      <c r="BD3919" s="77"/>
      <c r="BF3919">
        <v>84.92</v>
      </c>
      <c r="BH3919" s="42"/>
      <c r="BI3919" s="74"/>
      <c r="BJ3919" s="77"/>
      <c r="BL3919" s="497">
        <v>59</v>
      </c>
      <c r="BN3919" s="42"/>
      <c r="BO3919" s="74"/>
      <c r="BP3919" s="77"/>
      <c r="BR3919" s="497">
        <v>73.039999999999992</v>
      </c>
      <c r="BT3919" s="42"/>
    </row>
    <row r="3920" spans="1:72" x14ac:dyDescent="0.25">
      <c r="A3920" s="90">
        <v>34497</v>
      </c>
      <c r="B3920" s="20">
        <v>0.58333333333333337</v>
      </c>
      <c r="D3920">
        <v>75.02</v>
      </c>
      <c r="E3920" t="str">
        <f t="shared" si="156"/>
        <v>SUNDAY</v>
      </c>
      <c r="F3920" t="e">
        <f t="shared" si="157"/>
        <v>#N/A</v>
      </c>
      <c r="G3920" s="74">
        <v>33036</v>
      </c>
      <c r="H3920" s="77">
        <v>0.58333333333333337</v>
      </c>
      <c r="J3920">
        <v>75.02</v>
      </c>
      <c r="M3920" s="74">
        <v>37784</v>
      </c>
      <c r="N3920" s="77">
        <v>0.58333333333333337</v>
      </c>
      <c r="P3920">
        <v>73.400000000000006</v>
      </c>
      <c r="S3920" s="74">
        <v>34497</v>
      </c>
      <c r="T3920" s="77">
        <v>0.58333333333333337</v>
      </c>
      <c r="V3920">
        <v>71.06</v>
      </c>
      <c r="X3920" s="42"/>
      <c r="AB3920">
        <v>74.400000000000006</v>
      </c>
      <c r="AC3920">
        <v>75.92</v>
      </c>
      <c r="AE3920" s="74"/>
      <c r="AF3920" s="77"/>
      <c r="AH3920" s="497">
        <v>60.8</v>
      </c>
      <c r="AJ3920" s="42"/>
      <c r="AK3920" s="74"/>
      <c r="AL3920" s="77"/>
      <c r="AN3920" s="497">
        <v>75.02</v>
      </c>
      <c r="AP3920" s="42"/>
      <c r="AQ3920" s="74"/>
      <c r="AR3920" s="77"/>
      <c r="AT3920" s="497">
        <v>60.08</v>
      </c>
      <c r="AV3920" s="42"/>
      <c r="AW3920" s="74"/>
      <c r="AX3920" s="77"/>
      <c r="BA3920" s="497">
        <v>59.36</v>
      </c>
      <c r="BB3920" s="42"/>
      <c r="BC3920" s="74"/>
      <c r="BD3920" s="77"/>
      <c r="BF3920">
        <v>87.080000000000013</v>
      </c>
      <c r="BH3920" s="42"/>
      <c r="BI3920" s="74"/>
      <c r="BJ3920" s="77"/>
      <c r="BL3920" s="497">
        <v>62.06</v>
      </c>
      <c r="BN3920" s="42"/>
      <c r="BO3920" s="74"/>
      <c r="BP3920" s="77"/>
      <c r="BR3920" s="497">
        <v>69.98</v>
      </c>
      <c r="BT3920" s="42"/>
    </row>
    <row r="3921" spans="1:72" x14ac:dyDescent="0.25">
      <c r="A3921" s="90">
        <v>34497</v>
      </c>
      <c r="B3921" s="20">
        <v>0.625</v>
      </c>
      <c r="D3921">
        <v>75.92</v>
      </c>
      <c r="E3921" t="str">
        <f t="shared" si="156"/>
        <v>SUNDAY</v>
      </c>
      <c r="F3921" t="e">
        <f t="shared" si="157"/>
        <v>#N/A</v>
      </c>
      <c r="G3921" s="74">
        <v>33036</v>
      </c>
      <c r="H3921" s="77">
        <v>0.625</v>
      </c>
      <c r="J3921">
        <v>75.92</v>
      </c>
      <c r="M3921" s="74">
        <v>37784</v>
      </c>
      <c r="N3921" s="77">
        <v>0.625</v>
      </c>
      <c r="P3921">
        <v>75.2</v>
      </c>
      <c r="S3921" s="74">
        <v>34497</v>
      </c>
      <c r="T3921" s="77">
        <v>0.625</v>
      </c>
      <c r="V3921">
        <v>71.06</v>
      </c>
      <c r="X3921" s="42"/>
      <c r="AB3921">
        <v>74.099999999999994</v>
      </c>
      <c r="AC3921">
        <v>75.92</v>
      </c>
      <c r="AE3921" s="74"/>
      <c r="AF3921" s="77"/>
      <c r="AH3921" s="497">
        <v>60.8</v>
      </c>
      <c r="AJ3921" s="42"/>
      <c r="AK3921" s="74"/>
      <c r="AL3921" s="77"/>
      <c r="AN3921" s="497">
        <v>69.98</v>
      </c>
      <c r="AP3921" s="42"/>
      <c r="AQ3921" s="74"/>
      <c r="AR3921" s="77"/>
      <c r="AT3921" s="497">
        <v>59</v>
      </c>
      <c r="AV3921" s="42"/>
      <c r="AW3921" s="74"/>
      <c r="AX3921" s="77"/>
      <c r="BA3921" s="497">
        <v>60.620000000000005</v>
      </c>
      <c r="BB3921" s="42"/>
      <c r="BC3921" s="74"/>
      <c r="BD3921" s="77"/>
      <c r="BF3921">
        <v>86</v>
      </c>
      <c r="BH3921" s="42"/>
      <c r="BI3921" s="74"/>
      <c r="BJ3921" s="77"/>
      <c r="BL3921" s="497">
        <v>60.08</v>
      </c>
      <c r="BN3921" s="42"/>
      <c r="BO3921" s="74"/>
      <c r="BP3921" s="77"/>
      <c r="BR3921" s="497">
        <v>69.080000000000013</v>
      </c>
      <c r="BT3921" s="42"/>
    </row>
    <row r="3922" spans="1:72" x14ac:dyDescent="0.25">
      <c r="A3922" s="90">
        <v>34497</v>
      </c>
      <c r="B3922" s="20">
        <v>0.66666666666666663</v>
      </c>
      <c r="D3922">
        <v>75.92</v>
      </c>
      <c r="E3922" t="str">
        <f t="shared" si="156"/>
        <v>SUNDAY</v>
      </c>
      <c r="F3922" t="e">
        <f t="shared" si="157"/>
        <v>#N/A</v>
      </c>
      <c r="G3922" s="74">
        <v>33036</v>
      </c>
      <c r="H3922" s="77">
        <v>0.66666666666666663</v>
      </c>
      <c r="J3922">
        <v>77</v>
      </c>
      <c r="M3922" s="74">
        <v>37784</v>
      </c>
      <c r="N3922" s="77">
        <v>0.66666666666666663</v>
      </c>
      <c r="P3922">
        <v>75.2</v>
      </c>
      <c r="S3922" s="74">
        <v>34497</v>
      </c>
      <c r="T3922" s="77">
        <v>0.66666666666666663</v>
      </c>
      <c r="V3922">
        <v>69.98</v>
      </c>
      <c r="X3922" s="42"/>
      <c r="AB3922">
        <v>73.7</v>
      </c>
      <c r="AC3922">
        <v>73.94</v>
      </c>
      <c r="AE3922" s="74"/>
      <c r="AF3922" s="77"/>
      <c r="AH3922" s="497">
        <v>60.8</v>
      </c>
      <c r="AJ3922" s="42"/>
      <c r="AK3922" s="74"/>
      <c r="AL3922" s="77"/>
      <c r="AN3922" s="497">
        <v>71.960000000000008</v>
      </c>
      <c r="AP3922" s="42"/>
      <c r="AQ3922" s="74"/>
      <c r="AR3922" s="77"/>
      <c r="AT3922" s="497">
        <v>57.92</v>
      </c>
      <c r="AV3922" s="42"/>
      <c r="AW3922" s="74"/>
      <c r="AX3922" s="77"/>
      <c r="BA3922" s="497">
        <v>62.06</v>
      </c>
      <c r="BB3922" s="42"/>
      <c r="BC3922" s="74"/>
      <c r="BD3922" s="77"/>
      <c r="BF3922">
        <v>82.94</v>
      </c>
      <c r="BH3922" s="42"/>
      <c r="BI3922" s="74"/>
      <c r="BJ3922" s="77"/>
      <c r="BL3922" s="497">
        <v>62.06</v>
      </c>
      <c r="BN3922" s="42"/>
      <c r="BO3922" s="74"/>
      <c r="BP3922" s="77"/>
      <c r="BR3922" s="497">
        <v>64.039999999999992</v>
      </c>
      <c r="BT3922" s="42"/>
    </row>
    <row r="3923" spans="1:72" x14ac:dyDescent="0.25">
      <c r="A3923" s="90">
        <v>34497</v>
      </c>
      <c r="B3923" s="20">
        <v>0.70833333333333337</v>
      </c>
      <c r="D3923">
        <v>75.02</v>
      </c>
      <c r="E3923" t="str">
        <f t="shared" ref="E3923:E3986" si="158">IF(COUNTIF($DI$18:$DI$22, WEEKDAY(A3923))=1, "WEEKDAY", IF(WEEKDAY(A3923) = 1, "SUNDAY", "SATURDAY"))</f>
        <v>SUNDAY</v>
      </c>
      <c r="F3923" t="e">
        <f t="shared" si="157"/>
        <v>#N/A</v>
      </c>
      <c r="G3923" s="74">
        <v>33036</v>
      </c>
      <c r="H3923" s="77">
        <v>0.70833333333333337</v>
      </c>
      <c r="J3923">
        <v>78.080000000000013</v>
      </c>
      <c r="M3923" s="74">
        <v>37784</v>
      </c>
      <c r="N3923" s="77">
        <v>0.70833333333333337</v>
      </c>
      <c r="P3923">
        <v>73.400000000000006</v>
      </c>
      <c r="S3923" s="74">
        <v>34497</v>
      </c>
      <c r="T3923" s="77">
        <v>0.70833333333333337</v>
      </c>
      <c r="V3923">
        <v>69.98</v>
      </c>
      <c r="X3923" s="42"/>
      <c r="AB3923">
        <v>72.900000000000006</v>
      </c>
      <c r="AC3923">
        <v>71.960000000000008</v>
      </c>
      <c r="AE3923" s="74"/>
      <c r="AF3923" s="77"/>
      <c r="AH3923" s="497">
        <v>59</v>
      </c>
      <c r="AJ3923" s="42"/>
      <c r="AK3923" s="74"/>
      <c r="AL3923" s="77"/>
      <c r="AN3923" s="497">
        <v>73.039999999999992</v>
      </c>
      <c r="AP3923" s="42"/>
      <c r="AQ3923" s="74"/>
      <c r="AR3923" s="77"/>
      <c r="AT3923" s="497">
        <v>57.019999999999996</v>
      </c>
      <c r="AV3923" s="42"/>
      <c r="AW3923" s="74"/>
      <c r="AX3923" s="77"/>
      <c r="BA3923" s="497">
        <v>60.980000000000004</v>
      </c>
      <c r="BB3923" s="42"/>
      <c r="BC3923" s="74"/>
      <c r="BD3923" s="77"/>
      <c r="BF3923">
        <v>75.02</v>
      </c>
      <c r="BH3923" s="42"/>
      <c r="BI3923" s="74"/>
      <c r="BJ3923" s="77"/>
      <c r="BL3923" s="497">
        <v>62.96</v>
      </c>
      <c r="BN3923" s="42"/>
      <c r="BO3923" s="74"/>
      <c r="BP3923" s="77"/>
      <c r="BR3923" s="497">
        <v>60.08</v>
      </c>
      <c r="BT3923" s="42"/>
    </row>
    <row r="3924" spans="1:72" x14ac:dyDescent="0.25">
      <c r="A3924" s="90">
        <v>34497</v>
      </c>
      <c r="B3924" s="20">
        <v>0.75</v>
      </c>
      <c r="D3924">
        <v>71.960000000000008</v>
      </c>
      <c r="E3924" t="str">
        <f t="shared" si="158"/>
        <v>SUNDAY</v>
      </c>
      <c r="F3924" t="e">
        <f t="shared" si="157"/>
        <v>#N/A</v>
      </c>
      <c r="G3924" s="74">
        <v>33036</v>
      </c>
      <c r="H3924" s="77">
        <v>0.75</v>
      </c>
      <c r="J3924">
        <v>78.080000000000013</v>
      </c>
      <c r="M3924" s="74">
        <v>37784</v>
      </c>
      <c r="N3924" s="77">
        <v>0.75</v>
      </c>
      <c r="P3924">
        <v>71.599999999999994</v>
      </c>
      <c r="S3924" s="74">
        <v>34497</v>
      </c>
      <c r="T3924" s="77">
        <v>0.75</v>
      </c>
      <c r="V3924">
        <v>68</v>
      </c>
      <c r="X3924" s="42"/>
      <c r="AB3924">
        <v>71.8</v>
      </c>
      <c r="AC3924">
        <v>71.06</v>
      </c>
      <c r="AE3924" s="74"/>
      <c r="AF3924" s="77"/>
      <c r="AH3924" s="497">
        <v>59</v>
      </c>
      <c r="AJ3924" s="42"/>
      <c r="AK3924" s="74"/>
      <c r="AL3924" s="77"/>
      <c r="AN3924" s="497">
        <v>69.98</v>
      </c>
      <c r="AP3924" s="42"/>
      <c r="AQ3924" s="74"/>
      <c r="AR3924" s="77"/>
      <c r="AT3924" s="497">
        <v>55.94</v>
      </c>
      <c r="AV3924" s="42"/>
      <c r="AW3924" s="74"/>
      <c r="AX3924" s="77"/>
      <c r="BA3924" s="497">
        <v>60.08</v>
      </c>
      <c r="BB3924" s="42"/>
      <c r="BC3924" s="74"/>
      <c r="BD3924" s="77"/>
      <c r="BF3924">
        <v>75.02</v>
      </c>
      <c r="BH3924" s="42"/>
      <c r="BI3924" s="74"/>
      <c r="BJ3924" s="77"/>
      <c r="BL3924" s="497">
        <v>60.980000000000004</v>
      </c>
      <c r="BN3924" s="42"/>
      <c r="BO3924" s="74"/>
      <c r="BP3924" s="77"/>
      <c r="BR3924" s="497">
        <v>60.08</v>
      </c>
      <c r="BT3924" s="42"/>
    </row>
    <row r="3925" spans="1:72" x14ac:dyDescent="0.25">
      <c r="A3925" s="90">
        <v>34497</v>
      </c>
      <c r="B3925" s="20">
        <v>0.79166666666666663</v>
      </c>
      <c r="D3925">
        <v>69.080000000000013</v>
      </c>
      <c r="E3925" t="str">
        <f t="shared" si="158"/>
        <v>SUNDAY</v>
      </c>
      <c r="F3925" t="e">
        <f t="shared" si="157"/>
        <v>#N/A</v>
      </c>
      <c r="G3925" s="74">
        <v>33036</v>
      </c>
      <c r="H3925" s="77">
        <v>0.79166666666666663</v>
      </c>
      <c r="J3925">
        <v>69.080000000000013</v>
      </c>
      <c r="M3925" s="74">
        <v>37784</v>
      </c>
      <c r="N3925" s="77">
        <v>0.79166666666666663</v>
      </c>
      <c r="P3925">
        <v>69.800000000000011</v>
      </c>
      <c r="S3925" s="74">
        <v>34497</v>
      </c>
      <c r="T3925" s="77">
        <v>0.79166666666666663</v>
      </c>
      <c r="V3925">
        <v>68</v>
      </c>
      <c r="X3925" s="42"/>
      <c r="AB3925">
        <v>70.599999999999994</v>
      </c>
      <c r="AC3925">
        <v>69.080000000000013</v>
      </c>
      <c r="AE3925" s="74"/>
      <c r="AF3925" s="77"/>
      <c r="AH3925" s="497">
        <v>59</v>
      </c>
      <c r="AJ3925" s="42"/>
      <c r="AK3925" s="74"/>
      <c r="AL3925" s="77"/>
      <c r="AN3925" s="497">
        <v>69.080000000000013</v>
      </c>
      <c r="AP3925" s="42"/>
      <c r="AQ3925" s="74"/>
      <c r="AR3925" s="77"/>
      <c r="AT3925" s="497">
        <v>57.019999999999996</v>
      </c>
      <c r="AV3925" s="42"/>
      <c r="AW3925" s="74"/>
      <c r="AX3925" s="77"/>
      <c r="BA3925" s="497">
        <v>59</v>
      </c>
      <c r="BB3925" s="42"/>
      <c r="BC3925" s="74"/>
      <c r="BD3925" s="77"/>
      <c r="BF3925">
        <v>71.06</v>
      </c>
      <c r="BH3925" s="42"/>
      <c r="BI3925" s="74"/>
      <c r="BJ3925" s="77"/>
      <c r="BL3925" s="497">
        <v>60.08</v>
      </c>
      <c r="BN3925" s="42"/>
      <c r="BO3925" s="74"/>
      <c r="BP3925" s="77"/>
      <c r="BR3925" s="497">
        <v>60.08</v>
      </c>
      <c r="BT3925" s="42"/>
    </row>
    <row r="3926" spans="1:72" x14ac:dyDescent="0.25">
      <c r="A3926" s="90">
        <v>34497</v>
      </c>
      <c r="B3926" s="20">
        <v>0.83333333333333337</v>
      </c>
      <c r="D3926">
        <v>66.92</v>
      </c>
      <c r="E3926" t="str">
        <f t="shared" si="158"/>
        <v>SUNDAY</v>
      </c>
      <c r="F3926" t="e">
        <f t="shared" si="157"/>
        <v>#N/A</v>
      </c>
      <c r="G3926" s="74">
        <v>33036</v>
      </c>
      <c r="H3926" s="77">
        <v>0.83333333333333337</v>
      </c>
      <c r="J3926">
        <v>64.94</v>
      </c>
      <c r="M3926" s="74">
        <v>37784</v>
      </c>
      <c r="N3926" s="77">
        <v>0.83333333333333337</v>
      </c>
      <c r="P3926">
        <v>69.800000000000011</v>
      </c>
      <c r="S3926" s="74">
        <v>34497</v>
      </c>
      <c r="T3926" s="77">
        <v>0.83333333333333337</v>
      </c>
      <c r="V3926">
        <v>66.92</v>
      </c>
      <c r="X3926" s="42"/>
      <c r="AB3926">
        <v>69.099999999999994</v>
      </c>
      <c r="AC3926">
        <v>69.080000000000013</v>
      </c>
      <c r="AE3926" s="74"/>
      <c r="AF3926" s="77"/>
      <c r="AH3926" s="497">
        <v>57.2</v>
      </c>
      <c r="AJ3926" s="42"/>
      <c r="AK3926" s="74"/>
      <c r="AL3926" s="77"/>
      <c r="AN3926" s="497">
        <v>68</v>
      </c>
      <c r="AP3926" s="42"/>
      <c r="AQ3926" s="74"/>
      <c r="AR3926" s="77"/>
      <c r="AT3926" s="497">
        <v>55.94</v>
      </c>
      <c r="AV3926" s="42"/>
      <c r="AW3926" s="74"/>
      <c r="AX3926" s="77"/>
      <c r="BA3926" s="497">
        <v>56.3</v>
      </c>
      <c r="BB3926" s="42"/>
      <c r="BC3926" s="74"/>
      <c r="BD3926" s="77"/>
      <c r="BF3926">
        <v>69.98</v>
      </c>
      <c r="BH3926" s="42"/>
      <c r="BI3926" s="74"/>
      <c r="BJ3926" s="77"/>
      <c r="BL3926" s="497">
        <v>55.94</v>
      </c>
      <c r="BN3926" s="42"/>
      <c r="BO3926" s="74"/>
      <c r="BP3926" s="77"/>
      <c r="BR3926" s="497">
        <v>59</v>
      </c>
      <c r="BT3926" s="42"/>
    </row>
    <row r="3927" spans="1:72" x14ac:dyDescent="0.25">
      <c r="A3927" s="90">
        <v>34497</v>
      </c>
      <c r="B3927" s="20">
        <v>0.875</v>
      </c>
      <c r="D3927">
        <v>66.92</v>
      </c>
      <c r="E3927" t="str">
        <f t="shared" si="158"/>
        <v>SUNDAY</v>
      </c>
      <c r="F3927" t="e">
        <f t="shared" si="157"/>
        <v>#N/A</v>
      </c>
      <c r="G3927" s="74">
        <v>33036</v>
      </c>
      <c r="H3927" s="77">
        <v>0.875</v>
      </c>
      <c r="J3927">
        <v>64.039999999999992</v>
      </c>
      <c r="M3927" s="74">
        <v>37784</v>
      </c>
      <c r="N3927" s="77">
        <v>0.875</v>
      </c>
      <c r="P3927">
        <v>68</v>
      </c>
      <c r="S3927" s="74">
        <v>34497</v>
      </c>
      <c r="T3927" s="77">
        <v>0.875</v>
      </c>
      <c r="V3927">
        <v>66.92</v>
      </c>
      <c r="X3927" s="42"/>
      <c r="AB3927">
        <v>67.900000000000006</v>
      </c>
      <c r="AC3927">
        <v>69.98</v>
      </c>
      <c r="AE3927" s="74"/>
      <c r="AF3927" s="77"/>
      <c r="AH3927" s="497">
        <v>53.6</v>
      </c>
      <c r="AJ3927" s="42"/>
      <c r="AK3927" s="74"/>
      <c r="AL3927" s="77"/>
      <c r="AN3927" s="497">
        <v>66.92</v>
      </c>
      <c r="AP3927" s="42"/>
      <c r="AQ3927" s="74"/>
      <c r="AR3927" s="77"/>
      <c r="AT3927" s="497">
        <v>55.040000000000006</v>
      </c>
      <c r="AV3927" s="42"/>
      <c r="AW3927" s="74"/>
      <c r="AX3927" s="77"/>
      <c r="BA3927" s="497">
        <v>53.78</v>
      </c>
      <c r="BB3927" s="42"/>
      <c r="BC3927" s="74"/>
      <c r="BD3927" s="77"/>
      <c r="BF3927">
        <v>69.080000000000013</v>
      </c>
      <c r="BH3927" s="42"/>
      <c r="BI3927" s="74"/>
      <c r="BJ3927" s="77"/>
      <c r="BL3927" s="497">
        <v>51.08</v>
      </c>
      <c r="BN3927" s="42"/>
      <c r="BO3927" s="74"/>
      <c r="BP3927" s="77"/>
      <c r="BR3927" s="497">
        <v>59</v>
      </c>
      <c r="BT3927" s="42"/>
    </row>
    <row r="3928" spans="1:72" x14ac:dyDescent="0.25">
      <c r="A3928" s="90">
        <v>34497</v>
      </c>
      <c r="B3928" s="20">
        <v>0.91666666666666663</v>
      </c>
      <c r="D3928">
        <v>66.92</v>
      </c>
      <c r="E3928" t="str">
        <f t="shared" si="158"/>
        <v>SUNDAY</v>
      </c>
      <c r="F3928" t="e">
        <f t="shared" si="157"/>
        <v>#N/A</v>
      </c>
      <c r="G3928" s="74">
        <v>33036</v>
      </c>
      <c r="H3928" s="77">
        <v>0.91666666666666663</v>
      </c>
      <c r="J3928">
        <v>62.96</v>
      </c>
      <c r="M3928" s="74">
        <v>37784</v>
      </c>
      <c r="N3928" s="77">
        <v>0.91666666666666663</v>
      </c>
      <c r="P3928">
        <v>66.2</v>
      </c>
      <c r="S3928" s="74">
        <v>34497</v>
      </c>
      <c r="T3928" s="77">
        <v>0.91666666666666663</v>
      </c>
      <c r="V3928">
        <v>66.92</v>
      </c>
      <c r="X3928" s="42"/>
      <c r="AB3928">
        <v>67.3</v>
      </c>
      <c r="AC3928">
        <v>69.080000000000013</v>
      </c>
      <c r="AE3928" s="74"/>
      <c r="AF3928" s="77"/>
      <c r="AH3928" s="497">
        <v>53.6</v>
      </c>
      <c r="AJ3928" s="42"/>
      <c r="AK3928" s="74"/>
      <c r="AL3928" s="77"/>
      <c r="AN3928" s="497">
        <v>66.92</v>
      </c>
      <c r="AP3928" s="42"/>
      <c r="AQ3928" s="74"/>
      <c r="AR3928" s="77"/>
      <c r="AT3928" s="497">
        <v>53.96</v>
      </c>
      <c r="AV3928" s="42"/>
      <c r="AW3928" s="74"/>
      <c r="AX3928" s="77"/>
      <c r="BA3928" s="497">
        <v>51.08</v>
      </c>
      <c r="BB3928" s="42"/>
      <c r="BC3928" s="74"/>
      <c r="BD3928" s="77"/>
      <c r="BF3928">
        <v>62.96</v>
      </c>
      <c r="BH3928" s="42"/>
      <c r="BI3928" s="74"/>
      <c r="BJ3928" s="77"/>
      <c r="BL3928" s="497">
        <v>48.92</v>
      </c>
      <c r="BN3928" s="42"/>
      <c r="BO3928" s="74"/>
      <c r="BP3928" s="77"/>
      <c r="BR3928" s="497">
        <v>55.040000000000006</v>
      </c>
      <c r="BT3928" s="42"/>
    </row>
    <row r="3929" spans="1:72" x14ac:dyDescent="0.25">
      <c r="A3929" s="90">
        <v>34497</v>
      </c>
      <c r="B3929" s="20">
        <v>0.95833333333333337</v>
      </c>
      <c r="D3929">
        <v>66.02</v>
      </c>
      <c r="E3929" t="str">
        <f t="shared" si="158"/>
        <v>SUNDAY</v>
      </c>
      <c r="F3929" t="e">
        <f t="shared" si="157"/>
        <v>#N/A</v>
      </c>
      <c r="G3929" s="74">
        <v>33036</v>
      </c>
      <c r="H3929" s="77">
        <v>0.95833333333333337</v>
      </c>
      <c r="J3929">
        <v>62.06</v>
      </c>
      <c r="M3929" s="74">
        <v>37784</v>
      </c>
      <c r="N3929" s="77">
        <v>0.95833333333333337</v>
      </c>
      <c r="P3929">
        <v>64.400000000000006</v>
      </c>
      <c r="S3929" s="74">
        <v>34497</v>
      </c>
      <c r="T3929" s="77">
        <v>0.95833333333333337</v>
      </c>
      <c r="V3929">
        <v>66.02</v>
      </c>
      <c r="X3929" s="42"/>
      <c r="AB3929">
        <v>66.7</v>
      </c>
      <c r="AC3929">
        <v>69.080000000000013</v>
      </c>
      <c r="AE3929" s="74"/>
      <c r="AF3929" s="77"/>
      <c r="AH3929" s="497">
        <v>55.400000000000006</v>
      </c>
      <c r="AJ3929" s="42"/>
      <c r="AK3929" s="74"/>
      <c r="AL3929" s="77"/>
      <c r="AN3929" s="497">
        <v>66.02</v>
      </c>
      <c r="AP3929" s="42"/>
      <c r="AQ3929" s="74"/>
      <c r="AR3929" s="77"/>
      <c r="AT3929" s="497">
        <v>53.96</v>
      </c>
      <c r="AV3929" s="42"/>
      <c r="AW3929" s="74"/>
      <c r="AX3929" s="77"/>
      <c r="BA3929" s="497">
        <v>50.72</v>
      </c>
      <c r="BB3929" s="42"/>
      <c r="BC3929" s="74"/>
      <c r="BD3929" s="77"/>
      <c r="BF3929">
        <v>60.980000000000004</v>
      </c>
      <c r="BH3929" s="42"/>
      <c r="BI3929" s="74"/>
      <c r="BJ3929" s="77"/>
      <c r="BL3929" s="497">
        <v>48.92</v>
      </c>
      <c r="BN3929" s="42"/>
      <c r="BO3929" s="74"/>
      <c r="BP3929" s="77"/>
      <c r="BR3929" s="497">
        <v>55.040000000000006</v>
      </c>
      <c r="BT3929" s="42"/>
    </row>
    <row r="3930" spans="1:72" x14ac:dyDescent="0.25">
      <c r="A3930" s="90">
        <v>34497</v>
      </c>
      <c r="B3930" s="20">
        <v>1</v>
      </c>
      <c r="D3930">
        <v>64.94</v>
      </c>
      <c r="E3930" t="str">
        <f t="shared" si="158"/>
        <v>SUNDAY</v>
      </c>
      <c r="F3930" t="e">
        <f t="shared" si="157"/>
        <v>#N/A</v>
      </c>
      <c r="G3930" s="74">
        <v>33036</v>
      </c>
      <c r="H3930" s="77">
        <v>1</v>
      </c>
      <c r="J3930">
        <v>60.980000000000004</v>
      </c>
      <c r="M3930" s="74">
        <v>37784</v>
      </c>
      <c r="N3930" s="80">
        <v>1</v>
      </c>
      <c r="P3930">
        <v>64.400000000000006</v>
      </c>
      <c r="S3930" s="74">
        <v>34497</v>
      </c>
      <c r="T3930" s="80">
        <v>1</v>
      </c>
      <c r="V3930">
        <v>66.02</v>
      </c>
      <c r="X3930" s="42"/>
      <c r="AB3930">
        <v>66.099999999999994</v>
      </c>
      <c r="AC3930">
        <v>69.080000000000013</v>
      </c>
      <c r="AE3930" s="74"/>
      <c r="AF3930" s="80"/>
      <c r="AH3930" s="497">
        <v>55.400000000000006</v>
      </c>
      <c r="AJ3930" s="42"/>
      <c r="AK3930" s="74"/>
      <c r="AL3930" s="80"/>
      <c r="AN3930" s="497">
        <v>64.039999999999992</v>
      </c>
      <c r="AP3930" s="42"/>
      <c r="AQ3930" s="74"/>
      <c r="AR3930" s="80"/>
      <c r="AT3930" s="497">
        <v>53.06</v>
      </c>
      <c r="AV3930" s="42"/>
      <c r="AW3930" s="74"/>
      <c r="AX3930" s="80"/>
      <c r="BA3930" s="497">
        <v>50.36</v>
      </c>
      <c r="BB3930" s="42"/>
      <c r="BC3930" s="74"/>
      <c r="BD3930" s="80"/>
      <c r="BF3930">
        <v>60.08</v>
      </c>
      <c r="BH3930" s="42"/>
      <c r="BI3930" s="74"/>
      <c r="BJ3930" s="80"/>
      <c r="BL3930" s="497">
        <v>46.04</v>
      </c>
      <c r="BN3930" s="42"/>
      <c r="BO3930" s="74"/>
      <c r="BP3930" s="80"/>
      <c r="BR3930" s="497">
        <v>55.040000000000006</v>
      </c>
      <c r="BT3930" s="42"/>
    </row>
    <row r="3931" spans="1:72" x14ac:dyDescent="0.25">
      <c r="A3931" s="90">
        <v>34498</v>
      </c>
      <c r="B3931" s="20">
        <v>4.1666666666666664E-2</v>
      </c>
      <c r="D3931">
        <v>64.94</v>
      </c>
      <c r="E3931" t="str">
        <f t="shared" si="158"/>
        <v>WEEKDAY</v>
      </c>
      <c r="F3931" t="e">
        <f t="shared" si="157"/>
        <v>#N/A</v>
      </c>
      <c r="G3931" s="74">
        <v>33037</v>
      </c>
      <c r="H3931" s="77">
        <v>4.1666666666666664E-2</v>
      </c>
      <c r="J3931">
        <v>60.980000000000004</v>
      </c>
      <c r="M3931" s="74">
        <v>37785</v>
      </c>
      <c r="N3931" s="77">
        <v>4.1666666666666664E-2</v>
      </c>
      <c r="P3931">
        <v>62.6</v>
      </c>
      <c r="S3931" s="74">
        <v>34498</v>
      </c>
      <c r="T3931" s="77">
        <v>4.1666666666666664E-2</v>
      </c>
      <c r="V3931">
        <v>64.94</v>
      </c>
      <c r="X3931" s="42"/>
      <c r="AB3931">
        <v>65.7</v>
      </c>
      <c r="AC3931">
        <v>68</v>
      </c>
      <c r="AE3931" s="74"/>
      <c r="AF3931" s="77"/>
      <c r="AH3931" s="497">
        <v>55.400000000000006</v>
      </c>
      <c r="AJ3931" s="42"/>
      <c r="AK3931" s="74"/>
      <c r="AL3931" s="77"/>
      <c r="AN3931" s="497">
        <v>62.96</v>
      </c>
      <c r="AP3931" s="42"/>
      <c r="AQ3931" s="74"/>
      <c r="AR3931" s="77"/>
      <c r="AT3931" s="497">
        <v>53.06</v>
      </c>
      <c r="AV3931" s="42"/>
      <c r="AW3931" s="74"/>
      <c r="AX3931" s="77"/>
      <c r="BA3931" s="497">
        <v>50</v>
      </c>
      <c r="BB3931" s="42"/>
      <c r="BC3931" s="74"/>
      <c r="BD3931" s="77"/>
      <c r="BF3931">
        <v>55.94</v>
      </c>
      <c r="BH3931" s="42"/>
      <c r="BI3931" s="74"/>
      <c r="BJ3931" s="77"/>
      <c r="BL3931" s="497">
        <v>44.06</v>
      </c>
      <c r="BN3931" s="42"/>
      <c r="BO3931" s="74"/>
      <c r="BP3931" s="77"/>
      <c r="BR3931" s="497">
        <v>55.94</v>
      </c>
      <c r="BT3931" s="42"/>
    </row>
    <row r="3932" spans="1:72" x14ac:dyDescent="0.25">
      <c r="A3932" s="90">
        <v>34498</v>
      </c>
      <c r="B3932" s="20">
        <v>8.3333333333333329E-2</v>
      </c>
      <c r="D3932">
        <v>64.039999999999992</v>
      </c>
      <c r="E3932" t="str">
        <f t="shared" si="158"/>
        <v>WEEKDAY</v>
      </c>
      <c r="F3932" t="e">
        <f t="shared" si="157"/>
        <v>#N/A</v>
      </c>
      <c r="G3932" s="74">
        <v>33037</v>
      </c>
      <c r="H3932" s="77">
        <v>8.3333333333333329E-2</v>
      </c>
      <c r="J3932">
        <v>60.980000000000004</v>
      </c>
      <c r="M3932" s="74">
        <v>37785</v>
      </c>
      <c r="N3932" s="77">
        <v>8.3333333333333329E-2</v>
      </c>
      <c r="P3932">
        <v>62.6</v>
      </c>
      <c r="S3932" s="74">
        <v>34498</v>
      </c>
      <c r="T3932" s="77">
        <v>8.3333333333333329E-2</v>
      </c>
      <c r="V3932">
        <v>64.039999999999992</v>
      </c>
      <c r="X3932" s="42"/>
      <c r="AB3932">
        <v>65.2</v>
      </c>
      <c r="AC3932">
        <v>66.92</v>
      </c>
      <c r="AE3932" s="74"/>
      <c r="AF3932" s="77"/>
      <c r="AH3932" s="497">
        <v>55.400000000000006</v>
      </c>
      <c r="AJ3932" s="42"/>
      <c r="AK3932" s="74"/>
      <c r="AL3932" s="77"/>
      <c r="AN3932" s="497">
        <v>64.039999999999992</v>
      </c>
      <c r="AP3932" s="42"/>
      <c r="AQ3932" s="74"/>
      <c r="AR3932" s="77"/>
      <c r="AT3932" s="497">
        <v>51.980000000000004</v>
      </c>
      <c r="AV3932" s="42"/>
      <c r="AW3932" s="74"/>
      <c r="AX3932" s="77"/>
      <c r="BA3932" s="497">
        <v>48.92</v>
      </c>
      <c r="BB3932" s="42"/>
      <c r="BC3932" s="74"/>
      <c r="BD3932" s="77"/>
      <c r="BF3932">
        <v>51.980000000000004</v>
      </c>
      <c r="BH3932" s="42"/>
      <c r="BI3932" s="74"/>
      <c r="BJ3932" s="77"/>
      <c r="BL3932" s="497">
        <v>42.980000000000004</v>
      </c>
      <c r="BN3932" s="42"/>
      <c r="BO3932" s="74"/>
      <c r="BP3932" s="77"/>
      <c r="BR3932" s="497">
        <v>53.96</v>
      </c>
      <c r="BT3932" s="42"/>
    </row>
    <row r="3933" spans="1:72" x14ac:dyDescent="0.25">
      <c r="A3933" s="90">
        <v>34498</v>
      </c>
      <c r="B3933" s="20">
        <v>0.125</v>
      </c>
      <c r="D3933">
        <v>62.96</v>
      </c>
      <c r="E3933" t="str">
        <f t="shared" si="158"/>
        <v>WEEKDAY</v>
      </c>
      <c r="F3933" t="e">
        <f t="shared" si="157"/>
        <v>#N/A</v>
      </c>
      <c r="G3933" s="74">
        <v>33037</v>
      </c>
      <c r="H3933" s="77">
        <v>0.125</v>
      </c>
      <c r="J3933">
        <v>60.08</v>
      </c>
      <c r="M3933" s="74">
        <v>37785</v>
      </c>
      <c r="N3933" s="77">
        <v>0.125</v>
      </c>
      <c r="P3933">
        <v>60.8</v>
      </c>
      <c r="S3933" s="74">
        <v>34498</v>
      </c>
      <c r="T3933" s="77">
        <v>0.125</v>
      </c>
      <c r="V3933">
        <v>64.94</v>
      </c>
      <c r="X3933" s="42"/>
      <c r="AB3933">
        <v>64.7</v>
      </c>
      <c r="AC3933">
        <v>64.94</v>
      </c>
      <c r="AE3933" s="74"/>
      <c r="AF3933" s="77"/>
      <c r="AH3933" s="497">
        <v>55.400000000000006</v>
      </c>
      <c r="AJ3933" s="42"/>
      <c r="AK3933" s="74"/>
      <c r="AL3933" s="77"/>
      <c r="AN3933" s="497">
        <v>62.96</v>
      </c>
      <c r="AP3933" s="42"/>
      <c r="AQ3933" s="74"/>
      <c r="AR3933" s="77"/>
      <c r="AT3933" s="497">
        <v>51.980000000000004</v>
      </c>
      <c r="AV3933" s="42"/>
      <c r="AW3933" s="74"/>
      <c r="AX3933" s="77"/>
      <c r="BA3933" s="497">
        <v>48.019999999999996</v>
      </c>
      <c r="BB3933" s="42"/>
      <c r="BC3933" s="74"/>
      <c r="BD3933" s="77"/>
      <c r="BF3933">
        <v>51.08</v>
      </c>
      <c r="BH3933" s="42"/>
      <c r="BI3933" s="74"/>
      <c r="BJ3933" s="77"/>
      <c r="BL3933" s="497">
        <v>44.06</v>
      </c>
      <c r="BN3933" s="42"/>
      <c r="BO3933" s="74"/>
      <c r="BP3933" s="77"/>
      <c r="BR3933" s="497">
        <v>53.06</v>
      </c>
      <c r="BT3933" s="42"/>
    </row>
    <row r="3934" spans="1:72" x14ac:dyDescent="0.25">
      <c r="A3934" s="90">
        <v>34498</v>
      </c>
      <c r="B3934" s="20">
        <v>0.16666666666666666</v>
      </c>
      <c r="D3934">
        <v>62.96</v>
      </c>
      <c r="E3934" t="str">
        <f t="shared" si="158"/>
        <v>WEEKDAY</v>
      </c>
      <c r="F3934" t="e">
        <f t="shared" si="157"/>
        <v>#N/A</v>
      </c>
      <c r="G3934" s="74">
        <v>33037</v>
      </c>
      <c r="H3934" s="77">
        <v>0.16666666666666666</v>
      </c>
      <c r="J3934">
        <v>60.08</v>
      </c>
      <c r="M3934" s="74">
        <v>37785</v>
      </c>
      <c r="N3934" s="77">
        <v>0.16666666666666666</v>
      </c>
      <c r="P3934">
        <v>60.8</v>
      </c>
      <c r="S3934" s="74">
        <v>34498</v>
      </c>
      <c r="T3934" s="77">
        <v>0.16666666666666666</v>
      </c>
      <c r="V3934">
        <v>64.039999999999992</v>
      </c>
      <c r="X3934" s="42"/>
      <c r="AB3934">
        <v>64.3</v>
      </c>
      <c r="AC3934">
        <v>68</v>
      </c>
      <c r="AE3934" s="74"/>
      <c r="AF3934" s="77"/>
      <c r="AH3934" s="497">
        <v>55.400000000000006</v>
      </c>
      <c r="AJ3934" s="42"/>
      <c r="AK3934" s="74"/>
      <c r="AL3934" s="77"/>
      <c r="AN3934" s="497">
        <v>62.96</v>
      </c>
      <c r="AP3934" s="42"/>
      <c r="AQ3934" s="74"/>
      <c r="AR3934" s="77"/>
      <c r="AT3934" s="497">
        <v>51.980000000000004</v>
      </c>
      <c r="AV3934" s="42"/>
      <c r="AW3934" s="74"/>
      <c r="AX3934" s="77"/>
      <c r="BA3934" s="497">
        <v>46.94</v>
      </c>
      <c r="BB3934" s="42"/>
      <c r="BC3934" s="74"/>
      <c r="BD3934" s="77"/>
      <c r="BF3934">
        <v>50</v>
      </c>
      <c r="BH3934" s="42"/>
      <c r="BI3934" s="74"/>
      <c r="BJ3934" s="77"/>
      <c r="BL3934" s="497">
        <v>44.06</v>
      </c>
      <c r="BN3934" s="42"/>
      <c r="BO3934" s="74"/>
      <c r="BP3934" s="77"/>
      <c r="BR3934" s="497">
        <v>51.980000000000004</v>
      </c>
      <c r="BT3934" s="42"/>
    </row>
    <row r="3935" spans="1:72" x14ac:dyDescent="0.25">
      <c r="A3935" s="90">
        <v>34498</v>
      </c>
      <c r="B3935" s="20">
        <v>0.20833333333333334</v>
      </c>
      <c r="D3935">
        <v>62.06</v>
      </c>
      <c r="E3935" t="str">
        <f t="shared" si="158"/>
        <v>WEEKDAY</v>
      </c>
      <c r="F3935" t="e">
        <f t="shared" si="157"/>
        <v>#N/A</v>
      </c>
      <c r="G3935" s="74">
        <v>33037</v>
      </c>
      <c r="H3935" s="77">
        <v>0.20833333333333334</v>
      </c>
      <c r="J3935">
        <v>60.980000000000004</v>
      </c>
      <c r="M3935" s="74">
        <v>37785</v>
      </c>
      <c r="N3935" s="77">
        <v>0.20833333333333334</v>
      </c>
      <c r="P3935">
        <v>60.8</v>
      </c>
      <c r="S3935" s="74">
        <v>34498</v>
      </c>
      <c r="T3935" s="77">
        <v>0.20833333333333334</v>
      </c>
      <c r="V3935">
        <v>64.039999999999992</v>
      </c>
      <c r="X3935" s="42"/>
      <c r="AB3935">
        <v>63.9</v>
      </c>
      <c r="AC3935">
        <v>68</v>
      </c>
      <c r="AE3935" s="74"/>
      <c r="AF3935" s="77"/>
      <c r="AH3935" s="497">
        <v>55.400000000000006</v>
      </c>
      <c r="AJ3935" s="42"/>
      <c r="AK3935" s="74"/>
      <c r="AL3935" s="77"/>
      <c r="AN3935" s="497">
        <v>62.96</v>
      </c>
      <c r="AP3935" s="42"/>
      <c r="AQ3935" s="74"/>
      <c r="AR3935" s="77"/>
      <c r="AT3935" s="497">
        <v>51.980000000000004</v>
      </c>
      <c r="AV3935" s="42"/>
      <c r="AW3935" s="74"/>
      <c r="AX3935" s="77"/>
      <c r="BA3935" s="497">
        <v>49.28</v>
      </c>
      <c r="BB3935" s="42"/>
      <c r="BC3935" s="74"/>
      <c r="BD3935" s="77"/>
      <c r="BF3935">
        <v>48.019999999999996</v>
      </c>
      <c r="BH3935" s="42"/>
      <c r="BI3935" s="74"/>
      <c r="BJ3935" s="77"/>
      <c r="BL3935" s="497">
        <v>44.06</v>
      </c>
      <c r="BN3935" s="42"/>
      <c r="BO3935" s="74"/>
      <c r="BP3935" s="77"/>
      <c r="BR3935" s="497">
        <v>55.040000000000006</v>
      </c>
      <c r="BT3935" s="42"/>
    </row>
    <row r="3936" spans="1:72" x14ac:dyDescent="0.25">
      <c r="A3936" s="90">
        <v>34498</v>
      </c>
      <c r="B3936" s="20">
        <v>0.25</v>
      </c>
      <c r="D3936">
        <v>62.96</v>
      </c>
      <c r="E3936" t="str">
        <f t="shared" si="158"/>
        <v>WEEKDAY</v>
      </c>
      <c r="F3936" t="e">
        <f t="shared" si="157"/>
        <v>#N/A</v>
      </c>
      <c r="G3936" s="74">
        <v>33037</v>
      </c>
      <c r="H3936" s="77">
        <v>0.25</v>
      </c>
      <c r="J3936">
        <v>60.980000000000004</v>
      </c>
      <c r="M3936" s="74">
        <v>37785</v>
      </c>
      <c r="N3936" s="77">
        <v>0.25</v>
      </c>
      <c r="P3936">
        <v>60.44</v>
      </c>
      <c r="S3936" s="74">
        <v>34498</v>
      </c>
      <c r="T3936" s="77">
        <v>0.25</v>
      </c>
      <c r="V3936">
        <v>64.039999999999992</v>
      </c>
      <c r="X3936" s="42"/>
      <c r="AB3936">
        <v>63.9</v>
      </c>
      <c r="AC3936">
        <v>68</v>
      </c>
      <c r="AE3936" s="74"/>
      <c r="AF3936" s="77"/>
      <c r="AH3936" s="497">
        <v>55.400000000000006</v>
      </c>
      <c r="AJ3936" s="42"/>
      <c r="AK3936" s="74"/>
      <c r="AL3936" s="77"/>
      <c r="AN3936" s="497">
        <v>64.039999999999992</v>
      </c>
      <c r="AP3936" s="42"/>
      <c r="AQ3936" s="74"/>
      <c r="AR3936" s="77"/>
      <c r="AT3936" s="497">
        <v>53.06</v>
      </c>
      <c r="AV3936" s="42"/>
      <c r="AW3936" s="74"/>
      <c r="AX3936" s="77"/>
      <c r="BA3936" s="497">
        <v>51.620000000000005</v>
      </c>
      <c r="BB3936" s="42"/>
      <c r="BC3936" s="74"/>
      <c r="BD3936" s="77"/>
      <c r="BF3936">
        <v>48.019999999999996</v>
      </c>
      <c r="BH3936" s="42"/>
      <c r="BI3936" s="74"/>
      <c r="BJ3936" s="77"/>
      <c r="BL3936" s="497">
        <v>48.019999999999996</v>
      </c>
      <c r="BN3936" s="42"/>
      <c r="BO3936" s="74"/>
      <c r="BP3936" s="77"/>
      <c r="BR3936" s="497">
        <v>60.08</v>
      </c>
      <c r="BT3936" s="42"/>
    </row>
    <row r="3937" spans="1:72" x14ac:dyDescent="0.25">
      <c r="A3937" s="90">
        <v>34498</v>
      </c>
      <c r="B3937" s="20">
        <v>0.29166666666666669</v>
      </c>
      <c r="D3937">
        <v>64.94</v>
      </c>
      <c r="E3937" t="str">
        <f t="shared" si="158"/>
        <v>WEEKDAY</v>
      </c>
      <c r="F3937" t="e">
        <f t="shared" si="157"/>
        <v>#N/A</v>
      </c>
      <c r="G3937" s="74">
        <v>33037</v>
      </c>
      <c r="H3937" s="77">
        <v>0.29166666666666669</v>
      </c>
      <c r="J3937">
        <v>62.96</v>
      </c>
      <c r="M3937" s="74">
        <v>37785</v>
      </c>
      <c r="N3937" s="77">
        <v>0.29166666666666669</v>
      </c>
      <c r="P3937">
        <v>60.620000000000005</v>
      </c>
      <c r="S3937" s="74">
        <v>34498</v>
      </c>
      <c r="T3937" s="77">
        <v>0.29166666666666669</v>
      </c>
      <c r="V3937">
        <v>64.94</v>
      </c>
      <c r="X3937" s="42"/>
      <c r="AB3937">
        <v>65.400000000000006</v>
      </c>
      <c r="AC3937">
        <v>69.98</v>
      </c>
      <c r="AE3937" s="74"/>
      <c r="AF3937" s="77"/>
      <c r="AH3937" s="497">
        <v>55.400000000000006</v>
      </c>
      <c r="AJ3937" s="42"/>
      <c r="AK3937" s="74"/>
      <c r="AL3937" s="77"/>
      <c r="AN3937" s="497">
        <v>66.92</v>
      </c>
      <c r="AP3937" s="42"/>
      <c r="AQ3937" s="74"/>
      <c r="AR3937" s="77"/>
      <c r="AT3937" s="497">
        <v>53.96</v>
      </c>
      <c r="AV3937" s="42"/>
      <c r="AW3937" s="74"/>
      <c r="AX3937" s="77"/>
      <c r="BA3937" s="497">
        <v>53.96</v>
      </c>
      <c r="BB3937" s="42"/>
      <c r="BC3937" s="74"/>
      <c r="BD3937" s="77"/>
      <c r="BF3937">
        <v>46.94</v>
      </c>
      <c r="BH3937" s="42"/>
      <c r="BI3937" s="74"/>
      <c r="BJ3937" s="77"/>
      <c r="BL3937" s="497">
        <v>53.06</v>
      </c>
      <c r="BN3937" s="42"/>
      <c r="BO3937" s="74"/>
      <c r="BP3937" s="77"/>
      <c r="BR3937" s="497">
        <v>62.96</v>
      </c>
      <c r="BT3937" s="42"/>
    </row>
    <row r="3938" spans="1:72" x14ac:dyDescent="0.25">
      <c r="A3938" s="90">
        <v>34498</v>
      </c>
      <c r="B3938" s="20">
        <v>0.33333333333333331</v>
      </c>
      <c r="D3938">
        <v>66.02</v>
      </c>
      <c r="E3938" t="str">
        <f t="shared" si="158"/>
        <v>WEEKDAY</v>
      </c>
      <c r="F3938" t="e">
        <f t="shared" si="157"/>
        <v>#N/A</v>
      </c>
      <c r="G3938" s="74">
        <v>33037</v>
      </c>
      <c r="H3938" s="77">
        <v>0.33333333333333331</v>
      </c>
      <c r="J3938">
        <v>66.02</v>
      </c>
      <c r="M3938" s="74">
        <v>37785</v>
      </c>
      <c r="N3938" s="77">
        <v>0.33333333333333331</v>
      </c>
      <c r="P3938">
        <v>60.980000000000004</v>
      </c>
      <c r="S3938" s="74">
        <v>34498</v>
      </c>
      <c r="T3938" s="77">
        <v>0.33333333333333331</v>
      </c>
      <c r="V3938">
        <v>68</v>
      </c>
      <c r="X3938" s="42"/>
      <c r="AB3938">
        <v>67.2</v>
      </c>
      <c r="AC3938">
        <v>71.06</v>
      </c>
      <c r="AE3938" s="74"/>
      <c r="AF3938" s="77"/>
      <c r="AH3938" s="497">
        <v>57.2</v>
      </c>
      <c r="AJ3938" s="42"/>
      <c r="AK3938" s="74"/>
      <c r="AL3938" s="77"/>
      <c r="AN3938" s="497">
        <v>69.98</v>
      </c>
      <c r="AP3938" s="42"/>
      <c r="AQ3938" s="74"/>
      <c r="AR3938" s="77"/>
      <c r="AT3938" s="497">
        <v>53.96</v>
      </c>
      <c r="AV3938" s="42"/>
      <c r="AW3938" s="74"/>
      <c r="AX3938" s="77"/>
      <c r="BA3938" s="497">
        <v>56.66</v>
      </c>
      <c r="BB3938" s="42"/>
      <c r="BC3938" s="74"/>
      <c r="BD3938" s="77"/>
      <c r="BF3938">
        <v>48.019999999999996</v>
      </c>
      <c r="BH3938" s="42"/>
      <c r="BI3938" s="74"/>
      <c r="BJ3938" s="77"/>
      <c r="BL3938" s="497">
        <v>57.92</v>
      </c>
      <c r="BN3938" s="42"/>
      <c r="BO3938" s="74"/>
      <c r="BP3938" s="77"/>
      <c r="BR3938" s="497">
        <v>69.98</v>
      </c>
      <c r="BT3938" s="42"/>
    </row>
    <row r="3939" spans="1:72" x14ac:dyDescent="0.25">
      <c r="A3939" s="90">
        <v>34498</v>
      </c>
      <c r="B3939" s="20">
        <v>0.375</v>
      </c>
      <c r="D3939">
        <v>68</v>
      </c>
      <c r="E3939" t="str">
        <f t="shared" si="158"/>
        <v>WEEKDAY</v>
      </c>
      <c r="F3939" t="e">
        <f t="shared" si="157"/>
        <v>#N/A</v>
      </c>
      <c r="G3939" s="74">
        <v>33037</v>
      </c>
      <c r="H3939" s="77">
        <v>0.375</v>
      </c>
      <c r="J3939">
        <v>68</v>
      </c>
      <c r="M3939" s="74">
        <v>37785</v>
      </c>
      <c r="N3939" s="77">
        <v>0.375</v>
      </c>
      <c r="P3939">
        <v>60.980000000000004</v>
      </c>
      <c r="S3939" s="74">
        <v>34498</v>
      </c>
      <c r="T3939" s="77">
        <v>0.375</v>
      </c>
      <c r="V3939">
        <v>69.080000000000013</v>
      </c>
      <c r="X3939" s="42"/>
      <c r="AB3939">
        <v>69.2</v>
      </c>
      <c r="AC3939">
        <v>73.039999999999992</v>
      </c>
      <c r="AE3939" s="74"/>
      <c r="AF3939" s="77"/>
      <c r="AH3939" s="497">
        <v>58.28</v>
      </c>
      <c r="AJ3939" s="42"/>
      <c r="AK3939" s="74"/>
      <c r="AL3939" s="77"/>
      <c r="AN3939" s="497">
        <v>73.039999999999992</v>
      </c>
      <c r="AP3939" s="42"/>
      <c r="AQ3939" s="74"/>
      <c r="AR3939" s="77"/>
      <c r="AT3939" s="497">
        <v>55.94</v>
      </c>
      <c r="AV3939" s="42"/>
      <c r="AW3939" s="74"/>
      <c r="AX3939" s="77"/>
      <c r="BA3939" s="497">
        <v>59.36</v>
      </c>
      <c r="BB3939" s="42"/>
      <c r="BC3939" s="74"/>
      <c r="BD3939" s="77"/>
      <c r="BF3939">
        <v>48.019999999999996</v>
      </c>
      <c r="BH3939" s="42"/>
      <c r="BI3939" s="74"/>
      <c r="BJ3939" s="77"/>
      <c r="BL3939" s="497">
        <v>62.06</v>
      </c>
      <c r="BN3939" s="42"/>
      <c r="BO3939" s="74"/>
      <c r="BP3939" s="77"/>
      <c r="BR3939" s="497">
        <v>69.080000000000013</v>
      </c>
      <c r="BT3939" s="42"/>
    </row>
    <row r="3940" spans="1:72" x14ac:dyDescent="0.25">
      <c r="A3940" s="90">
        <v>34498</v>
      </c>
      <c r="B3940" s="20">
        <v>0.41666666666666669</v>
      </c>
      <c r="D3940">
        <v>71.06</v>
      </c>
      <c r="E3940" t="str">
        <f t="shared" si="158"/>
        <v>WEEKDAY</v>
      </c>
      <c r="F3940" t="e">
        <f t="shared" si="157"/>
        <v>#N/A</v>
      </c>
      <c r="G3940" s="74">
        <v>33037</v>
      </c>
      <c r="H3940" s="77">
        <v>0.41666666666666669</v>
      </c>
      <c r="J3940">
        <v>71.960000000000008</v>
      </c>
      <c r="M3940" s="74">
        <v>37785</v>
      </c>
      <c r="N3940" s="77">
        <v>0.41666666666666669</v>
      </c>
      <c r="P3940">
        <v>60.8</v>
      </c>
      <c r="S3940" s="74">
        <v>34498</v>
      </c>
      <c r="T3940" s="77">
        <v>0.41666666666666669</v>
      </c>
      <c r="V3940">
        <v>69.98</v>
      </c>
      <c r="X3940" s="42"/>
      <c r="AB3940">
        <v>71</v>
      </c>
      <c r="AC3940">
        <v>75.02</v>
      </c>
      <c r="AE3940" s="74"/>
      <c r="AF3940" s="77"/>
      <c r="AH3940" s="497">
        <v>59</v>
      </c>
      <c r="AJ3940" s="42"/>
      <c r="AK3940" s="74"/>
      <c r="AL3940" s="77"/>
      <c r="AN3940" s="497">
        <v>75.92</v>
      </c>
      <c r="AP3940" s="42"/>
      <c r="AQ3940" s="74"/>
      <c r="AR3940" s="77"/>
      <c r="AT3940" s="497">
        <v>57.92</v>
      </c>
      <c r="AV3940" s="42"/>
      <c r="AW3940" s="74"/>
      <c r="AX3940" s="77"/>
      <c r="BA3940" s="497">
        <v>62.06</v>
      </c>
      <c r="BB3940" s="42"/>
      <c r="BC3940" s="74"/>
      <c r="BD3940" s="77"/>
      <c r="BF3940">
        <v>50</v>
      </c>
      <c r="BH3940" s="42"/>
      <c r="BI3940" s="74"/>
      <c r="BJ3940" s="77"/>
      <c r="BL3940" s="497">
        <v>62.96</v>
      </c>
      <c r="BN3940" s="42"/>
      <c r="BO3940" s="74"/>
      <c r="BP3940" s="77"/>
      <c r="BR3940" s="497">
        <v>68</v>
      </c>
      <c r="BT3940" s="42"/>
    </row>
    <row r="3941" spans="1:72" x14ac:dyDescent="0.25">
      <c r="A3941" s="90">
        <v>34498</v>
      </c>
      <c r="B3941" s="20">
        <v>0.45833333333333331</v>
      </c>
      <c r="D3941">
        <v>71.960000000000008</v>
      </c>
      <c r="E3941" t="str">
        <f t="shared" si="158"/>
        <v>WEEKDAY</v>
      </c>
      <c r="F3941" t="e">
        <f t="shared" si="157"/>
        <v>#N/A</v>
      </c>
      <c r="G3941" s="74">
        <v>33037</v>
      </c>
      <c r="H3941" s="77">
        <v>0.45833333333333331</v>
      </c>
      <c r="J3941">
        <v>75.02</v>
      </c>
      <c r="M3941" s="74">
        <v>37785</v>
      </c>
      <c r="N3941" s="77">
        <v>0.45833333333333331</v>
      </c>
      <c r="P3941">
        <v>59</v>
      </c>
      <c r="S3941" s="74">
        <v>34498</v>
      </c>
      <c r="T3941" s="77">
        <v>0.45833333333333331</v>
      </c>
      <c r="V3941">
        <v>69.98</v>
      </c>
      <c r="X3941" s="42"/>
      <c r="AB3941">
        <v>72.599999999999994</v>
      </c>
      <c r="AC3941">
        <v>77</v>
      </c>
      <c r="AE3941" s="74"/>
      <c r="AF3941" s="77"/>
      <c r="AH3941" s="497">
        <v>59</v>
      </c>
      <c r="AJ3941" s="42"/>
      <c r="AK3941" s="74"/>
      <c r="AL3941" s="77"/>
      <c r="AN3941" s="497">
        <v>78.080000000000013</v>
      </c>
      <c r="AP3941" s="42"/>
      <c r="AQ3941" s="74"/>
      <c r="AR3941" s="77"/>
      <c r="AT3941" s="497">
        <v>57.92</v>
      </c>
      <c r="AV3941" s="42"/>
      <c r="AW3941" s="74"/>
      <c r="AX3941" s="77"/>
      <c r="BA3941" s="497">
        <v>63.680000000000007</v>
      </c>
      <c r="BB3941" s="42"/>
      <c r="BC3941" s="74"/>
      <c r="BD3941" s="77"/>
      <c r="BF3941">
        <v>50</v>
      </c>
      <c r="BH3941" s="42"/>
      <c r="BI3941" s="74"/>
      <c r="BJ3941" s="77"/>
      <c r="BL3941" s="497">
        <v>64.94</v>
      </c>
      <c r="BN3941" s="42"/>
      <c r="BO3941" s="74"/>
      <c r="BP3941" s="77"/>
      <c r="BR3941" s="497">
        <v>71.06</v>
      </c>
      <c r="BT3941" s="42"/>
    </row>
    <row r="3942" spans="1:72" x14ac:dyDescent="0.25">
      <c r="A3942" s="90">
        <v>34498</v>
      </c>
      <c r="B3942" s="20">
        <v>0.5</v>
      </c>
      <c r="D3942">
        <v>73.94</v>
      </c>
      <c r="E3942" t="str">
        <f t="shared" si="158"/>
        <v>WEEKDAY</v>
      </c>
      <c r="F3942" t="e">
        <f t="shared" si="157"/>
        <v>#N/A</v>
      </c>
      <c r="G3942" s="74">
        <v>33037</v>
      </c>
      <c r="H3942" s="77">
        <v>0.5</v>
      </c>
      <c r="J3942">
        <v>77</v>
      </c>
      <c r="M3942" s="74">
        <v>37785</v>
      </c>
      <c r="N3942" s="77">
        <v>0.5</v>
      </c>
      <c r="P3942">
        <v>59</v>
      </c>
      <c r="S3942" s="74">
        <v>34498</v>
      </c>
      <c r="T3942" s="77">
        <v>0.5</v>
      </c>
      <c r="V3942">
        <v>73.94</v>
      </c>
      <c r="X3942" s="42"/>
      <c r="AB3942">
        <v>73.7</v>
      </c>
      <c r="AC3942">
        <v>78.98</v>
      </c>
      <c r="AE3942" s="74"/>
      <c r="AF3942" s="77"/>
      <c r="AH3942" s="497">
        <v>57.2</v>
      </c>
      <c r="AJ3942" s="42"/>
      <c r="AK3942" s="74"/>
      <c r="AL3942" s="77"/>
      <c r="AN3942" s="497">
        <v>78.080000000000013</v>
      </c>
      <c r="AP3942" s="42"/>
      <c r="AQ3942" s="74"/>
      <c r="AR3942" s="77"/>
      <c r="AT3942" s="497">
        <v>62.96</v>
      </c>
      <c r="AV3942" s="42"/>
      <c r="AW3942" s="74"/>
      <c r="AX3942" s="77"/>
      <c r="BA3942" s="497">
        <v>65.300000000000011</v>
      </c>
      <c r="BB3942" s="42"/>
      <c r="BC3942" s="74"/>
      <c r="BD3942" s="77"/>
      <c r="BF3942">
        <v>50</v>
      </c>
      <c r="BH3942" s="42"/>
      <c r="BI3942" s="74"/>
      <c r="BJ3942" s="77"/>
      <c r="BL3942" s="497">
        <v>68</v>
      </c>
      <c r="BN3942" s="42"/>
      <c r="BO3942" s="74"/>
      <c r="BP3942" s="77"/>
      <c r="BR3942" s="497">
        <v>71.06</v>
      </c>
      <c r="BT3942" s="42"/>
    </row>
    <row r="3943" spans="1:72" x14ac:dyDescent="0.25">
      <c r="A3943" s="90">
        <v>34498</v>
      </c>
      <c r="B3943" s="20">
        <v>0.54166666666666663</v>
      </c>
      <c r="D3943">
        <v>73.94</v>
      </c>
      <c r="E3943" t="str">
        <f t="shared" si="158"/>
        <v>WEEKDAY</v>
      </c>
      <c r="F3943" t="e">
        <f t="shared" si="157"/>
        <v>#N/A</v>
      </c>
      <c r="G3943" s="74">
        <v>33037</v>
      </c>
      <c r="H3943" s="77">
        <v>0.54166666666666663</v>
      </c>
      <c r="J3943">
        <v>80.06</v>
      </c>
      <c r="M3943" s="74">
        <v>37785</v>
      </c>
      <c r="N3943" s="77">
        <v>0.54166666666666663</v>
      </c>
      <c r="P3943">
        <v>57.2</v>
      </c>
      <c r="S3943" s="74">
        <v>34498</v>
      </c>
      <c r="T3943" s="77">
        <v>0.54166666666666663</v>
      </c>
      <c r="V3943">
        <v>73.94</v>
      </c>
      <c r="X3943" s="42"/>
      <c r="AB3943">
        <v>74.5</v>
      </c>
      <c r="AC3943">
        <v>80.06</v>
      </c>
      <c r="AE3943" s="74"/>
      <c r="AF3943" s="77"/>
      <c r="AH3943" s="497">
        <v>59</v>
      </c>
      <c r="AJ3943" s="42"/>
      <c r="AK3943" s="74"/>
      <c r="AL3943" s="77"/>
      <c r="AN3943" s="497">
        <v>80.06</v>
      </c>
      <c r="AP3943" s="42"/>
      <c r="AQ3943" s="74"/>
      <c r="AR3943" s="77"/>
      <c r="AT3943" s="497">
        <v>66.92</v>
      </c>
      <c r="AV3943" s="42"/>
      <c r="AW3943" s="74"/>
      <c r="AX3943" s="77"/>
      <c r="BA3943" s="497">
        <v>66.92</v>
      </c>
      <c r="BB3943" s="42"/>
      <c r="BC3943" s="74"/>
      <c r="BD3943" s="77"/>
      <c r="BF3943">
        <v>51.08</v>
      </c>
      <c r="BH3943" s="42"/>
      <c r="BI3943" s="74"/>
      <c r="BJ3943" s="77"/>
      <c r="BL3943" s="497">
        <v>69.080000000000013</v>
      </c>
      <c r="BN3943" s="42"/>
      <c r="BO3943" s="74"/>
      <c r="BP3943" s="77"/>
      <c r="BR3943" s="497">
        <v>73.039999999999992</v>
      </c>
      <c r="BT3943" s="42"/>
    </row>
    <row r="3944" spans="1:72" x14ac:dyDescent="0.25">
      <c r="A3944" s="90">
        <v>34498</v>
      </c>
      <c r="B3944" s="20">
        <v>0.58333333333333337</v>
      </c>
      <c r="D3944">
        <v>73.039999999999992</v>
      </c>
      <c r="E3944" t="str">
        <f t="shared" si="158"/>
        <v>WEEKDAY</v>
      </c>
      <c r="F3944" t="e">
        <f t="shared" si="157"/>
        <v>#N/A</v>
      </c>
      <c r="G3944" s="74">
        <v>33037</v>
      </c>
      <c r="H3944" s="77">
        <v>0.58333333333333337</v>
      </c>
      <c r="J3944">
        <v>78.98</v>
      </c>
      <c r="M3944" s="74">
        <v>37785</v>
      </c>
      <c r="N3944" s="77">
        <v>0.58333333333333337</v>
      </c>
      <c r="P3944">
        <v>57.2</v>
      </c>
      <c r="S3944" s="74">
        <v>34498</v>
      </c>
      <c r="T3944" s="77">
        <v>0.58333333333333337</v>
      </c>
      <c r="V3944">
        <v>73.94</v>
      </c>
      <c r="X3944" s="42"/>
      <c r="AB3944">
        <v>74.8</v>
      </c>
      <c r="AC3944">
        <v>80.06</v>
      </c>
      <c r="AE3944" s="74"/>
      <c r="AF3944" s="77"/>
      <c r="AH3944" s="497">
        <v>62.6</v>
      </c>
      <c r="AJ3944" s="42"/>
      <c r="AK3944" s="74"/>
      <c r="AL3944" s="77"/>
      <c r="AN3944" s="497">
        <v>78.98</v>
      </c>
      <c r="AP3944" s="42"/>
      <c r="AQ3944" s="74"/>
      <c r="AR3944" s="77"/>
      <c r="AT3944" s="497">
        <v>62.96</v>
      </c>
      <c r="AV3944" s="42"/>
      <c r="AW3944" s="74"/>
      <c r="AX3944" s="77"/>
      <c r="BA3944" s="497">
        <v>68</v>
      </c>
      <c r="BB3944" s="42"/>
      <c r="BC3944" s="74"/>
      <c r="BD3944" s="77"/>
      <c r="BF3944">
        <v>51.980000000000004</v>
      </c>
      <c r="BH3944" s="42"/>
      <c r="BI3944" s="74"/>
      <c r="BJ3944" s="77"/>
      <c r="BL3944" s="497">
        <v>69.98</v>
      </c>
      <c r="BN3944" s="42"/>
      <c r="BO3944" s="74"/>
      <c r="BP3944" s="77"/>
      <c r="BR3944" s="497">
        <v>73.94</v>
      </c>
      <c r="BT3944" s="42"/>
    </row>
    <row r="3945" spans="1:72" x14ac:dyDescent="0.25">
      <c r="A3945" s="90">
        <v>34498</v>
      </c>
      <c r="B3945" s="20">
        <v>0.625</v>
      </c>
      <c r="D3945">
        <v>71.960000000000008</v>
      </c>
      <c r="E3945" t="str">
        <f t="shared" si="158"/>
        <v>WEEKDAY</v>
      </c>
      <c r="F3945" t="e">
        <f t="shared" si="157"/>
        <v>#N/A</v>
      </c>
      <c r="G3945" s="74">
        <v>33037</v>
      </c>
      <c r="H3945" s="77">
        <v>0.625</v>
      </c>
      <c r="J3945">
        <v>80.06</v>
      </c>
      <c r="M3945" s="74">
        <v>37785</v>
      </c>
      <c r="N3945" s="77">
        <v>0.625</v>
      </c>
      <c r="P3945">
        <v>57.2</v>
      </c>
      <c r="S3945" s="74">
        <v>34498</v>
      </c>
      <c r="T3945" s="77">
        <v>0.625</v>
      </c>
      <c r="V3945">
        <v>73.94</v>
      </c>
      <c r="X3945" s="42"/>
      <c r="AB3945">
        <v>74.599999999999994</v>
      </c>
      <c r="AC3945">
        <v>77</v>
      </c>
      <c r="AE3945" s="74"/>
      <c r="AF3945" s="77"/>
      <c r="AH3945" s="497">
        <v>60.8</v>
      </c>
      <c r="AJ3945" s="42"/>
      <c r="AK3945" s="74"/>
      <c r="AL3945" s="77"/>
      <c r="AN3945" s="497">
        <v>78.98</v>
      </c>
      <c r="AP3945" s="42"/>
      <c r="AQ3945" s="74"/>
      <c r="AR3945" s="77"/>
      <c r="AT3945" s="497">
        <v>64.94</v>
      </c>
      <c r="AV3945" s="42"/>
      <c r="AW3945" s="74"/>
      <c r="AX3945" s="77"/>
      <c r="BA3945" s="497">
        <v>68.900000000000006</v>
      </c>
      <c r="BB3945" s="42"/>
      <c r="BC3945" s="74"/>
      <c r="BD3945" s="77"/>
      <c r="BF3945">
        <v>53.06</v>
      </c>
      <c r="BH3945" s="42"/>
      <c r="BI3945" s="74"/>
      <c r="BJ3945" s="77"/>
      <c r="BL3945" s="497">
        <v>69.98</v>
      </c>
      <c r="BN3945" s="42"/>
      <c r="BO3945" s="74"/>
      <c r="BP3945" s="77"/>
      <c r="BR3945" s="497">
        <v>75.92</v>
      </c>
      <c r="BT3945" s="42"/>
    </row>
    <row r="3946" spans="1:72" x14ac:dyDescent="0.25">
      <c r="A3946" s="90">
        <v>34498</v>
      </c>
      <c r="B3946" s="20">
        <v>0.66666666666666663</v>
      </c>
      <c r="D3946">
        <v>69.98</v>
      </c>
      <c r="E3946" t="str">
        <f t="shared" si="158"/>
        <v>WEEKDAY</v>
      </c>
      <c r="F3946" t="e">
        <f t="shared" si="157"/>
        <v>#N/A</v>
      </c>
      <c r="G3946" s="74">
        <v>33037</v>
      </c>
      <c r="H3946" s="77">
        <v>0.66666666666666663</v>
      </c>
      <c r="J3946">
        <v>73.94</v>
      </c>
      <c r="M3946" s="74">
        <v>37785</v>
      </c>
      <c r="N3946" s="77">
        <v>0.66666666666666663</v>
      </c>
      <c r="P3946">
        <v>59.18</v>
      </c>
      <c r="S3946" s="74">
        <v>34498</v>
      </c>
      <c r="T3946" s="77">
        <v>0.66666666666666663</v>
      </c>
      <c r="V3946">
        <v>73.94</v>
      </c>
      <c r="X3946" s="42"/>
      <c r="AB3946">
        <v>74.2</v>
      </c>
      <c r="AC3946">
        <v>75.92</v>
      </c>
      <c r="AE3946" s="74"/>
      <c r="AF3946" s="77"/>
      <c r="AH3946" s="497">
        <v>60.8</v>
      </c>
      <c r="AJ3946" s="42"/>
      <c r="AK3946" s="74"/>
      <c r="AL3946" s="77"/>
      <c r="AN3946" s="497">
        <v>64.039999999999992</v>
      </c>
      <c r="AP3946" s="42"/>
      <c r="AQ3946" s="74"/>
      <c r="AR3946" s="77"/>
      <c r="AT3946" s="497">
        <v>64.94</v>
      </c>
      <c r="AV3946" s="42"/>
      <c r="AW3946" s="74"/>
      <c r="AX3946" s="77"/>
      <c r="BA3946" s="497">
        <v>69.98</v>
      </c>
      <c r="BB3946" s="42"/>
      <c r="BC3946" s="74"/>
      <c r="BD3946" s="77"/>
      <c r="BF3946">
        <v>55.040000000000006</v>
      </c>
      <c r="BH3946" s="42"/>
      <c r="BI3946" s="74"/>
      <c r="BJ3946" s="77"/>
      <c r="BL3946" s="497">
        <v>69.98</v>
      </c>
      <c r="BN3946" s="42"/>
      <c r="BO3946" s="74"/>
      <c r="BP3946" s="77"/>
      <c r="BR3946" s="497">
        <v>75.02</v>
      </c>
      <c r="BT3946" s="42"/>
    </row>
    <row r="3947" spans="1:72" x14ac:dyDescent="0.25">
      <c r="A3947" s="90">
        <v>34498</v>
      </c>
      <c r="B3947" s="20">
        <v>0.70833333333333337</v>
      </c>
      <c r="D3947">
        <v>66.92</v>
      </c>
      <c r="E3947" t="str">
        <f t="shared" si="158"/>
        <v>WEEKDAY</v>
      </c>
      <c r="F3947" t="e">
        <f t="shared" ref="F3947:F4010" si="159">IF(E3947="WEEKDAY",VLOOKUP(B3947,$DD$19:$DG$42,2),IF(E3947="SATURDAY",VLOOKUP(B3947,$DD$19:$DG$42,3),VLOOKUP(B3947,$DD$19:$DG$42,4)))</f>
        <v>#N/A</v>
      </c>
      <c r="G3947" s="74">
        <v>33037</v>
      </c>
      <c r="H3947" s="77">
        <v>0.70833333333333337</v>
      </c>
      <c r="J3947">
        <v>71.960000000000008</v>
      </c>
      <c r="M3947" s="74">
        <v>37785</v>
      </c>
      <c r="N3947" s="77">
        <v>0.70833333333333337</v>
      </c>
      <c r="P3947">
        <v>58.28</v>
      </c>
      <c r="S3947" s="74">
        <v>34498</v>
      </c>
      <c r="T3947" s="77">
        <v>0.70833333333333337</v>
      </c>
      <c r="V3947">
        <v>73.039999999999992</v>
      </c>
      <c r="X3947" s="42"/>
      <c r="AB3947">
        <v>73.3</v>
      </c>
      <c r="AC3947">
        <v>73.94</v>
      </c>
      <c r="AE3947" s="74"/>
      <c r="AF3947" s="77"/>
      <c r="AH3947" s="497">
        <v>55.400000000000006</v>
      </c>
      <c r="AJ3947" s="42"/>
      <c r="AK3947" s="74"/>
      <c r="AL3947" s="77"/>
      <c r="AN3947" s="497">
        <v>66.02</v>
      </c>
      <c r="AP3947" s="42"/>
      <c r="AQ3947" s="74"/>
      <c r="AR3947" s="77"/>
      <c r="AT3947" s="497">
        <v>64.039999999999992</v>
      </c>
      <c r="AV3947" s="42"/>
      <c r="AW3947" s="74"/>
      <c r="AX3947" s="77"/>
      <c r="BA3947" s="497">
        <v>68.900000000000006</v>
      </c>
      <c r="BB3947" s="42"/>
      <c r="BC3947" s="74"/>
      <c r="BD3947" s="77"/>
      <c r="BF3947">
        <v>57.019999999999996</v>
      </c>
      <c r="BH3947" s="42"/>
      <c r="BI3947" s="74"/>
      <c r="BJ3947" s="77"/>
      <c r="BL3947" s="497">
        <v>68</v>
      </c>
      <c r="BN3947" s="42"/>
      <c r="BO3947" s="74"/>
      <c r="BP3947" s="77"/>
      <c r="BR3947" s="497">
        <v>75.02</v>
      </c>
      <c r="BT3947" s="42"/>
    </row>
    <row r="3948" spans="1:72" x14ac:dyDescent="0.25">
      <c r="A3948" s="90">
        <v>34498</v>
      </c>
      <c r="B3948" s="20">
        <v>0.75</v>
      </c>
      <c r="D3948">
        <v>66.02</v>
      </c>
      <c r="E3948" t="str">
        <f t="shared" si="158"/>
        <v>WEEKDAY</v>
      </c>
      <c r="F3948" t="e">
        <f t="shared" si="159"/>
        <v>#N/A</v>
      </c>
      <c r="G3948" s="74">
        <v>33037</v>
      </c>
      <c r="H3948" s="77">
        <v>0.75</v>
      </c>
      <c r="J3948">
        <v>69.98</v>
      </c>
      <c r="M3948" s="74">
        <v>37785</v>
      </c>
      <c r="N3948" s="77">
        <v>0.75</v>
      </c>
      <c r="P3948">
        <v>59.36</v>
      </c>
      <c r="S3948" s="74">
        <v>34498</v>
      </c>
      <c r="T3948" s="77">
        <v>0.75</v>
      </c>
      <c r="V3948">
        <v>71.06</v>
      </c>
      <c r="X3948" s="42"/>
      <c r="AB3948">
        <v>72.2</v>
      </c>
      <c r="AC3948">
        <v>73.039999999999992</v>
      </c>
      <c r="AE3948" s="74"/>
      <c r="AF3948" s="77"/>
      <c r="AH3948" s="497">
        <v>55.400000000000006</v>
      </c>
      <c r="AJ3948" s="42"/>
      <c r="AK3948" s="74"/>
      <c r="AL3948" s="77"/>
      <c r="AN3948" s="497">
        <v>66.92</v>
      </c>
      <c r="AP3948" s="42"/>
      <c r="AQ3948" s="74"/>
      <c r="AR3948" s="77"/>
      <c r="AT3948" s="497">
        <v>64.039999999999992</v>
      </c>
      <c r="AV3948" s="42"/>
      <c r="AW3948" s="74"/>
      <c r="AX3948" s="77"/>
      <c r="BA3948" s="497">
        <v>68</v>
      </c>
      <c r="BB3948" s="42"/>
      <c r="BC3948" s="74"/>
      <c r="BD3948" s="77"/>
      <c r="BF3948">
        <v>55.94</v>
      </c>
      <c r="BH3948" s="42"/>
      <c r="BI3948" s="74"/>
      <c r="BJ3948" s="77"/>
      <c r="BL3948" s="497">
        <v>68</v>
      </c>
      <c r="BN3948" s="42"/>
      <c r="BO3948" s="74"/>
      <c r="BP3948" s="77"/>
      <c r="BR3948" s="497">
        <v>75.02</v>
      </c>
      <c r="BT3948" s="42"/>
    </row>
    <row r="3949" spans="1:72" x14ac:dyDescent="0.25">
      <c r="A3949" s="90">
        <v>34498</v>
      </c>
      <c r="B3949" s="20">
        <v>0.79166666666666663</v>
      </c>
      <c r="D3949">
        <v>64.94</v>
      </c>
      <c r="E3949" t="str">
        <f t="shared" si="158"/>
        <v>WEEKDAY</v>
      </c>
      <c r="F3949" t="e">
        <f t="shared" si="159"/>
        <v>#N/A</v>
      </c>
      <c r="G3949" s="74">
        <v>33037</v>
      </c>
      <c r="H3949" s="77">
        <v>0.79166666666666663</v>
      </c>
      <c r="J3949">
        <v>68</v>
      </c>
      <c r="M3949" s="74">
        <v>37785</v>
      </c>
      <c r="N3949" s="77">
        <v>0.79166666666666663</v>
      </c>
      <c r="P3949">
        <v>59.36</v>
      </c>
      <c r="S3949" s="74">
        <v>34498</v>
      </c>
      <c r="T3949" s="77">
        <v>0.79166666666666663</v>
      </c>
      <c r="V3949">
        <v>69.080000000000013</v>
      </c>
      <c r="X3949" s="42"/>
      <c r="AB3949">
        <v>71</v>
      </c>
      <c r="AC3949">
        <v>71.06</v>
      </c>
      <c r="AE3949" s="74"/>
      <c r="AF3949" s="77"/>
      <c r="AH3949" s="497">
        <v>55.040000000000006</v>
      </c>
      <c r="AJ3949" s="42"/>
      <c r="AK3949" s="74"/>
      <c r="AL3949" s="77"/>
      <c r="AN3949" s="497">
        <v>66.02</v>
      </c>
      <c r="AP3949" s="42"/>
      <c r="AQ3949" s="74"/>
      <c r="AR3949" s="77"/>
      <c r="AT3949" s="497">
        <v>64.94</v>
      </c>
      <c r="AV3949" s="42"/>
      <c r="AW3949" s="74"/>
      <c r="AX3949" s="77"/>
      <c r="BA3949" s="497">
        <v>66.92</v>
      </c>
      <c r="BB3949" s="42"/>
      <c r="BC3949" s="74"/>
      <c r="BD3949" s="77"/>
      <c r="BF3949">
        <v>55.040000000000006</v>
      </c>
      <c r="BH3949" s="42"/>
      <c r="BI3949" s="74"/>
      <c r="BJ3949" s="77"/>
      <c r="BL3949" s="497">
        <v>66.02</v>
      </c>
      <c r="BN3949" s="42"/>
      <c r="BO3949" s="74"/>
      <c r="BP3949" s="77"/>
      <c r="BR3949" s="497">
        <v>73.94</v>
      </c>
      <c r="BT3949" s="42"/>
    </row>
    <row r="3950" spans="1:72" x14ac:dyDescent="0.25">
      <c r="A3950" s="90">
        <v>34498</v>
      </c>
      <c r="B3950" s="20">
        <v>0.83333333333333337</v>
      </c>
      <c r="D3950">
        <v>64.94</v>
      </c>
      <c r="E3950" t="str">
        <f t="shared" si="158"/>
        <v>WEEKDAY</v>
      </c>
      <c r="F3950" t="e">
        <f t="shared" si="159"/>
        <v>#N/A</v>
      </c>
      <c r="G3950" s="74">
        <v>33037</v>
      </c>
      <c r="H3950" s="77">
        <v>0.83333333333333337</v>
      </c>
      <c r="J3950">
        <v>69.98</v>
      </c>
      <c r="M3950" s="74">
        <v>37785</v>
      </c>
      <c r="N3950" s="77">
        <v>0.83333333333333337</v>
      </c>
      <c r="P3950">
        <v>59.18</v>
      </c>
      <c r="S3950" s="74">
        <v>34498</v>
      </c>
      <c r="T3950" s="77">
        <v>0.83333333333333337</v>
      </c>
      <c r="V3950">
        <v>68</v>
      </c>
      <c r="X3950" s="42"/>
      <c r="AB3950">
        <v>69.599999999999994</v>
      </c>
      <c r="AC3950">
        <v>69.98</v>
      </c>
      <c r="AE3950" s="74"/>
      <c r="AF3950" s="77"/>
      <c r="AH3950" s="497">
        <v>53.6</v>
      </c>
      <c r="AJ3950" s="42"/>
      <c r="AK3950" s="74"/>
      <c r="AL3950" s="77"/>
      <c r="AN3950" s="497">
        <v>66.92</v>
      </c>
      <c r="AP3950" s="42"/>
      <c r="AQ3950" s="74"/>
      <c r="AR3950" s="77"/>
      <c r="AT3950" s="497">
        <v>62.96</v>
      </c>
      <c r="AV3950" s="42"/>
      <c r="AW3950" s="74"/>
      <c r="AX3950" s="77"/>
      <c r="BA3950" s="497">
        <v>63.319999999999993</v>
      </c>
      <c r="BB3950" s="42"/>
      <c r="BC3950" s="74"/>
      <c r="BD3950" s="77"/>
      <c r="BF3950">
        <v>51.980000000000004</v>
      </c>
      <c r="BH3950" s="42"/>
      <c r="BI3950" s="74"/>
      <c r="BJ3950" s="77"/>
      <c r="BL3950" s="497">
        <v>60.08</v>
      </c>
      <c r="BN3950" s="42"/>
      <c r="BO3950" s="74"/>
      <c r="BP3950" s="77"/>
      <c r="BR3950" s="497">
        <v>66.02</v>
      </c>
      <c r="BT3950" s="42"/>
    </row>
    <row r="3951" spans="1:72" x14ac:dyDescent="0.25">
      <c r="A3951" s="90">
        <v>34498</v>
      </c>
      <c r="B3951" s="20">
        <v>0.875</v>
      </c>
      <c r="D3951">
        <v>64.039999999999992</v>
      </c>
      <c r="E3951" t="str">
        <f t="shared" si="158"/>
        <v>WEEKDAY</v>
      </c>
      <c r="F3951" t="e">
        <f t="shared" si="159"/>
        <v>#N/A</v>
      </c>
      <c r="G3951" s="74">
        <v>33037</v>
      </c>
      <c r="H3951" s="77">
        <v>0.875</v>
      </c>
      <c r="J3951">
        <v>71.06</v>
      </c>
      <c r="M3951" s="74">
        <v>37785</v>
      </c>
      <c r="N3951" s="77">
        <v>0.875</v>
      </c>
      <c r="P3951">
        <v>58.64</v>
      </c>
      <c r="S3951" s="74">
        <v>34498</v>
      </c>
      <c r="T3951" s="77">
        <v>0.875</v>
      </c>
      <c r="V3951">
        <v>66.92</v>
      </c>
      <c r="X3951" s="42"/>
      <c r="AB3951">
        <v>68.400000000000006</v>
      </c>
      <c r="AC3951">
        <v>69.98</v>
      </c>
      <c r="AE3951" s="74"/>
      <c r="AF3951" s="77"/>
      <c r="AH3951" s="497">
        <v>59</v>
      </c>
      <c r="AJ3951" s="42"/>
      <c r="AK3951" s="74"/>
      <c r="AL3951" s="77"/>
      <c r="AN3951" s="497">
        <v>62.96</v>
      </c>
      <c r="AP3951" s="42"/>
      <c r="AQ3951" s="74"/>
      <c r="AR3951" s="77"/>
      <c r="AT3951" s="497">
        <v>60.08</v>
      </c>
      <c r="AV3951" s="42"/>
      <c r="AW3951" s="74"/>
      <c r="AX3951" s="77"/>
      <c r="BA3951" s="497">
        <v>59.540000000000006</v>
      </c>
      <c r="BB3951" s="42"/>
      <c r="BC3951" s="74"/>
      <c r="BD3951" s="77"/>
      <c r="BF3951">
        <v>50</v>
      </c>
      <c r="BH3951" s="42"/>
      <c r="BI3951" s="74"/>
      <c r="BJ3951" s="77"/>
      <c r="BL3951" s="497">
        <v>55.040000000000006</v>
      </c>
      <c r="BN3951" s="42"/>
      <c r="BO3951" s="74"/>
      <c r="BP3951" s="77"/>
      <c r="BR3951" s="497">
        <v>62.96</v>
      </c>
      <c r="BT3951" s="42"/>
    </row>
    <row r="3952" spans="1:72" x14ac:dyDescent="0.25">
      <c r="A3952" s="90">
        <v>34498</v>
      </c>
      <c r="B3952" s="20">
        <v>0.91666666666666663</v>
      </c>
      <c r="D3952">
        <v>64.039999999999992</v>
      </c>
      <c r="E3952" t="str">
        <f t="shared" si="158"/>
        <v>WEEKDAY</v>
      </c>
      <c r="F3952" t="e">
        <f t="shared" si="159"/>
        <v>#N/A</v>
      </c>
      <c r="G3952" s="74">
        <v>33037</v>
      </c>
      <c r="H3952" s="77">
        <v>0.91666666666666663</v>
      </c>
      <c r="J3952">
        <v>69.98</v>
      </c>
      <c r="M3952" s="74">
        <v>37785</v>
      </c>
      <c r="N3952" s="77">
        <v>0.91666666666666663</v>
      </c>
      <c r="P3952">
        <v>57.92</v>
      </c>
      <c r="S3952" s="74">
        <v>34498</v>
      </c>
      <c r="T3952" s="77">
        <v>0.91666666666666663</v>
      </c>
      <c r="V3952">
        <v>66.92</v>
      </c>
      <c r="X3952" s="42"/>
      <c r="AB3952">
        <v>67.7</v>
      </c>
      <c r="AC3952">
        <v>69.98</v>
      </c>
      <c r="AE3952" s="74"/>
      <c r="AF3952" s="77"/>
      <c r="AH3952" s="497">
        <v>59</v>
      </c>
      <c r="AJ3952" s="42"/>
      <c r="AK3952" s="74"/>
      <c r="AL3952" s="77"/>
      <c r="AN3952" s="497">
        <v>62.06</v>
      </c>
      <c r="AP3952" s="42"/>
      <c r="AQ3952" s="74"/>
      <c r="AR3952" s="77"/>
      <c r="AT3952" s="497">
        <v>55.94</v>
      </c>
      <c r="AV3952" s="42"/>
      <c r="AW3952" s="74"/>
      <c r="AX3952" s="77"/>
      <c r="BA3952" s="497">
        <v>55.94</v>
      </c>
      <c r="BB3952" s="42"/>
      <c r="BC3952" s="74"/>
      <c r="BD3952" s="77"/>
      <c r="BF3952">
        <v>48.019999999999996</v>
      </c>
      <c r="BH3952" s="42"/>
      <c r="BI3952" s="74"/>
      <c r="BJ3952" s="77"/>
      <c r="BL3952" s="497">
        <v>51.980000000000004</v>
      </c>
      <c r="BN3952" s="42"/>
      <c r="BO3952" s="74"/>
      <c r="BP3952" s="77"/>
      <c r="BR3952" s="497">
        <v>60.980000000000004</v>
      </c>
      <c r="BT3952" s="42"/>
    </row>
    <row r="3953" spans="1:72" x14ac:dyDescent="0.25">
      <c r="A3953" s="90">
        <v>34498</v>
      </c>
      <c r="B3953" s="20">
        <v>0.95833333333333337</v>
      </c>
      <c r="D3953">
        <v>64.94</v>
      </c>
      <c r="E3953" t="str">
        <f t="shared" si="158"/>
        <v>WEEKDAY</v>
      </c>
      <c r="F3953" t="e">
        <f t="shared" si="159"/>
        <v>#N/A</v>
      </c>
      <c r="G3953" s="74">
        <v>33037</v>
      </c>
      <c r="H3953" s="77">
        <v>0.95833333333333337</v>
      </c>
      <c r="J3953">
        <v>71.06</v>
      </c>
      <c r="M3953" s="74">
        <v>37785</v>
      </c>
      <c r="N3953" s="77">
        <v>0.95833333333333337</v>
      </c>
      <c r="P3953">
        <v>57.92</v>
      </c>
      <c r="S3953" s="74">
        <v>34498</v>
      </c>
      <c r="T3953" s="77">
        <v>0.95833333333333337</v>
      </c>
      <c r="V3953">
        <v>66.92</v>
      </c>
      <c r="X3953" s="42"/>
      <c r="AB3953">
        <v>67.099999999999994</v>
      </c>
      <c r="AC3953">
        <v>69.98</v>
      </c>
      <c r="AE3953" s="74"/>
      <c r="AF3953" s="77"/>
      <c r="AH3953" s="497">
        <v>59</v>
      </c>
      <c r="AJ3953" s="42"/>
      <c r="AK3953" s="74"/>
      <c r="AL3953" s="77"/>
      <c r="AN3953" s="497">
        <v>62.96</v>
      </c>
      <c r="AP3953" s="42"/>
      <c r="AQ3953" s="74"/>
      <c r="AR3953" s="77"/>
      <c r="AT3953" s="497">
        <v>53.96</v>
      </c>
      <c r="AV3953" s="42"/>
      <c r="AW3953" s="74"/>
      <c r="AX3953" s="77"/>
      <c r="BA3953" s="497">
        <v>53.96</v>
      </c>
      <c r="BB3953" s="42"/>
      <c r="BC3953" s="74"/>
      <c r="BD3953" s="77"/>
      <c r="BF3953">
        <v>48.019999999999996</v>
      </c>
      <c r="BH3953" s="42"/>
      <c r="BI3953" s="74"/>
      <c r="BJ3953" s="77"/>
      <c r="BL3953" s="497">
        <v>51.08</v>
      </c>
      <c r="BN3953" s="42"/>
      <c r="BO3953" s="74"/>
      <c r="BP3953" s="77"/>
      <c r="BR3953" s="497">
        <v>60.08</v>
      </c>
      <c r="BT3953" s="42"/>
    </row>
    <row r="3954" spans="1:72" x14ac:dyDescent="0.25">
      <c r="A3954" s="90">
        <v>34498</v>
      </c>
      <c r="B3954" s="20">
        <v>1</v>
      </c>
      <c r="D3954">
        <v>64.94</v>
      </c>
      <c r="E3954" t="str">
        <f t="shared" si="158"/>
        <v>WEEKDAY</v>
      </c>
      <c r="F3954" t="e">
        <f t="shared" si="159"/>
        <v>#N/A</v>
      </c>
      <c r="G3954" s="74">
        <v>33037</v>
      </c>
      <c r="H3954" s="77">
        <v>1</v>
      </c>
      <c r="J3954">
        <v>69.98</v>
      </c>
      <c r="M3954" s="74">
        <v>37785</v>
      </c>
      <c r="N3954" s="80">
        <v>1</v>
      </c>
      <c r="P3954">
        <v>58.1</v>
      </c>
      <c r="S3954" s="74">
        <v>34498</v>
      </c>
      <c r="T3954" s="80">
        <v>1</v>
      </c>
      <c r="V3954">
        <v>66.02</v>
      </c>
      <c r="X3954" s="42"/>
      <c r="AB3954">
        <v>66.599999999999994</v>
      </c>
      <c r="AC3954">
        <v>69.98</v>
      </c>
      <c r="AE3954" s="74"/>
      <c r="AF3954" s="80"/>
      <c r="AH3954" s="497">
        <v>53.6</v>
      </c>
      <c r="AJ3954" s="42"/>
      <c r="AK3954" s="74"/>
      <c r="AL3954" s="80"/>
      <c r="AN3954" s="497">
        <v>62.06</v>
      </c>
      <c r="AP3954" s="42"/>
      <c r="AQ3954" s="74"/>
      <c r="AR3954" s="80"/>
      <c r="AT3954" s="497">
        <v>55.040000000000006</v>
      </c>
      <c r="AV3954" s="42"/>
      <c r="AW3954" s="74"/>
      <c r="AX3954" s="80"/>
      <c r="BA3954" s="497">
        <v>51.980000000000004</v>
      </c>
      <c r="BB3954" s="42"/>
      <c r="BC3954" s="74"/>
      <c r="BD3954" s="80"/>
      <c r="BF3954">
        <v>46.94</v>
      </c>
      <c r="BH3954" s="42"/>
      <c r="BI3954" s="74"/>
      <c r="BJ3954" s="80"/>
      <c r="BL3954" s="497">
        <v>50</v>
      </c>
      <c r="BN3954" s="42"/>
      <c r="BO3954" s="74"/>
      <c r="BP3954" s="80"/>
      <c r="BR3954" s="497">
        <v>60.08</v>
      </c>
      <c r="BT3954" s="42"/>
    </row>
    <row r="3955" spans="1:72" x14ac:dyDescent="0.25">
      <c r="A3955" s="90">
        <v>34499</v>
      </c>
      <c r="B3955" s="20">
        <v>4.1666666666666664E-2</v>
      </c>
      <c r="D3955">
        <v>64.94</v>
      </c>
      <c r="E3955" t="str">
        <f t="shared" si="158"/>
        <v>WEEKDAY</v>
      </c>
      <c r="F3955" t="e">
        <f t="shared" si="159"/>
        <v>#N/A</v>
      </c>
      <c r="G3955" s="74">
        <v>33038</v>
      </c>
      <c r="H3955" s="77">
        <v>4.1666666666666664E-2</v>
      </c>
      <c r="J3955">
        <v>66.92</v>
      </c>
      <c r="M3955" s="74">
        <v>37786</v>
      </c>
      <c r="N3955" s="77">
        <v>4.1666666666666664E-2</v>
      </c>
      <c r="P3955">
        <v>57.2</v>
      </c>
      <c r="S3955" s="74">
        <v>34499</v>
      </c>
      <c r="T3955" s="77">
        <v>4.1666666666666664E-2</v>
      </c>
      <c r="V3955">
        <v>66.02</v>
      </c>
      <c r="X3955" s="42"/>
      <c r="AB3955">
        <v>66.099999999999994</v>
      </c>
      <c r="AC3955">
        <v>69.98</v>
      </c>
      <c r="AE3955" s="74"/>
      <c r="AF3955" s="77"/>
      <c r="AH3955" s="497">
        <v>53.6</v>
      </c>
      <c r="AJ3955" s="42"/>
      <c r="AK3955" s="74"/>
      <c r="AL3955" s="77"/>
      <c r="AN3955" s="497">
        <v>62.06</v>
      </c>
      <c r="AP3955" s="42"/>
      <c r="AQ3955" s="74"/>
      <c r="AR3955" s="77"/>
      <c r="AT3955" s="497">
        <v>53.06</v>
      </c>
      <c r="AV3955" s="42"/>
      <c r="AW3955" s="74"/>
      <c r="AX3955" s="77"/>
      <c r="BA3955" s="497">
        <v>50</v>
      </c>
      <c r="BB3955" s="42"/>
      <c r="BC3955" s="74"/>
      <c r="BD3955" s="77"/>
      <c r="BF3955">
        <v>46.04</v>
      </c>
      <c r="BH3955" s="42"/>
      <c r="BI3955" s="74"/>
      <c r="BJ3955" s="77"/>
      <c r="BL3955" s="497">
        <v>50</v>
      </c>
      <c r="BN3955" s="42"/>
      <c r="BO3955" s="74"/>
      <c r="BP3955" s="77"/>
      <c r="BR3955" s="497">
        <v>60.08</v>
      </c>
      <c r="BT3955" s="42"/>
    </row>
    <row r="3956" spans="1:72" x14ac:dyDescent="0.25">
      <c r="A3956" s="90">
        <v>34499</v>
      </c>
      <c r="B3956" s="20">
        <v>8.3333333333333329E-2</v>
      </c>
      <c r="D3956">
        <v>64.94</v>
      </c>
      <c r="E3956" t="str">
        <f t="shared" si="158"/>
        <v>WEEKDAY</v>
      </c>
      <c r="F3956" t="e">
        <f t="shared" si="159"/>
        <v>#N/A</v>
      </c>
      <c r="G3956" s="74">
        <v>33038</v>
      </c>
      <c r="H3956" s="77">
        <v>8.3333333333333329E-2</v>
      </c>
      <c r="J3956">
        <v>66.02</v>
      </c>
      <c r="M3956" s="74">
        <v>37786</v>
      </c>
      <c r="N3956" s="77">
        <v>8.3333333333333329E-2</v>
      </c>
      <c r="P3956">
        <v>57.2</v>
      </c>
      <c r="S3956" s="74">
        <v>34499</v>
      </c>
      <c r="T3956" s="77">
        <v>8.3333333333333329E-2</v>
      </c>
      <c r="V3956">
        <v>64.94</v>
      </c>
      <c r="X3956" s="42"/>
      <c r="AB3956">
        <v>65.599999999999994</v>
      </c>
      <c r="AC3956">
        <v>69.080000000000013</v>
      </c>
      <c r="AE3956" s="74"/>
      <c r="AF3956" s="77"/>
      <c r="AH3956" s="497">
        <v>53.6</v>
      </c>
      <c r="AJ3956" s="42"/>
      <c r="AK3956" s="74"/>
      <c r="AL3956" s="77"/>
      <c r="AN3956" s="497">
        <v>60.980000000000004</v>
      </c>
      <c r="AP3956" s="42"/>
      <c r="AQ3956" s="74"/>
      <c r="AR3956" s="77"/>
      <c r="AT3956" s="497">
        <v>51.980000000000004</v>
      </c>
      <c r="AV3956" s="42"/>
      <c r="AW3956" s="74"/>
      <c r="AX3956" s="77"/>
      <c r="BA3956" s="497">
        <v>48.379999999999995</v>
      </c>
      <c r="BB3956" s="42"/>
      <c r="BC3956" s="74"/>
      <c r="BD3956" s="77"/>
      <c r="BF3956">
        <v>44.96</v>
      </c>
      <c r="BH3956" s="42"/>
      <c r="BI3956" s="74"/>
      <c r="BJ3956" s="77"/>
      <c r="BL3956" s="497">
        <v>46.94</v>
      </c>
      <c r="BN3956" s="42"/>
      <c r="BO3956" s="74"/>
      <c r="BP3956" s="77"/>
      <c r="BR3956" s="497">
        <v>59</v>
      </c>
      <c r="BT3956" s="42"/>
    </row>
    <row r="3957" spans="1:72" x14ac:dyDescent="0.25">
      <c r="A3957" s="90">
        <v>34499</v>
      </c>
      <c r="B3957" s="20">
        <v>0.125</v>
      </c>
      <c r="D3957">
        <v>64.94</v>
      </c>
      <c r="E3957" t="str">
        <f t="shared" si="158"/>
        <v>WEEKDAY</v>
      </c>
      <c r="F3957" t="e">
        <f t="shared" si="159"/>
        <v>#N/A</v>
      </c>
      <c r="G3957" s="74">
        <v>33038</v>
      </c>
      <c r="H3957" s="77">
        <v>0.125</v>
      </c>
      <c r="J3957">
        <v>64.94</v>
      </c>
      <c r="M3957" s="74">
        <v>37786</v>
      </c>
      <c r="N3957" s="77">
        <v>0.125</v>
      </c>
      <c r="P3957">
        <v>55.76</v>
      </c>
      <c r="S3957" s="74">
        <v>34499</v>
      </c>
      <c r="T3957" s="77">
        <v>0.125</v>
      </c>
      <c r="V3957">
        <v>66.02</v>
      </c>
      <c r="X3957" s="42"/>
      <c r="AB3957">
        <v>65.099999999999994</v>
      </c>
      <c r="AC3957">
        <v>69.080000000000013</v>
      </c>
      <c r="AE3957" s="74"/>
      <c r="AF3957" s="77"/>
      <c r="AH3957" s="497">
        <v>52.7</v>
      </c>
      <c r="AJ3957" s="42"/>
      <c r="AK3957" s="74"/>
      <c r="AL3957" s="77"/>
      <c r="AN3957" s="497">
        <v>62.06</v>
      </c>
      <c r="AP3957" s="42"/>
      <c r="AQ3957" s="74"/>
      <c r="AR3957" s="77"/>
      <c r="AT3957" s="497">
        <v>50</v>
      </c>
      <c r="AV3957" s="42"/>
      <c r="AW3957" s="74"/>
      <c r="AX3957" s="77"/>
      <c r="BA3957" s="497">
        <v>46.58</v>
      </c>
      <c r="BB3957" s="42"/>
      <c r="BC3957" s="74"/>
      <c r="BD3957" s="77"/>
      <c r="BF3957">
        <v>44.96</v>
      </c>
      <c r="BH3957" s="42"/>
      <c r="BI3957" s="74"/>
      <c r="BJ3957" s="77"/>
      <c r="BL3957" s="497">
        <v>48.019999999999996</v>
      </c>
      <c r="BN3957" s="42"/>
      <c r="BO3957" s="74"/>
      <c r="BP3957" s="77"/>
      <c r="BR3957" s="497">
        <v>57.92</v>
      </c>
      <c r="BT3957" s="42"/>
    </row>
    <row r="3958" spans="1:72" x14ac:dyDescent="0.25">
      <c r="A3958" s="90">
        <v>34499</v>
      </c>
      <c r="B3958" s="20">
        <v>0.16666666666666666</v>
      </c>
      <c r="D3958">
        <v>66.02</v>
      </c>
      <c r="E3958" t="str">
        <f t="shared" si="158"/>
        <v>WEEKDAY</v>
      </c>
      <c r="F3958" t="e">
        <f t="shared" si="159"/>
        <v>#N/A</v>
      </c>
      <c r="G3958" s="74">
        <v>33038</v>
      </c>
      <c r="H3958" s="77">
        <v>0.16666666666666666</v>
      </c>
      <c r="J3958">
        <v>64.039999999999992</v>
      </c>
      <c r="M3958" s="74">
        <v>37786</v>
      </c>
      <c r="N3958" s="77">
        <v>0.16666666666666666</v>
      </c>
      <c r="P3958">
        <v>55.22</v>
      </c>
      <c r="S3958" s="74">
        <v>34499</v>
      </c>
      <c r="T3958" s="77">
        <v>0.16666666666666666</v>
      </c>
      <c r="V3958">
        <v>66.02</v>
      </c>
      <c r="X3958" s="42"/>
      <c r="AB3958">
        <v>64.7</v>
      </c>
      <c r="AC3958">
        <v>69.080000000000013</v>
      </c>
      <c r="AE3958" s="74"/>
      <c r="AF3958" s="77"/>
      <c r="AH3958" s="497">
        <v>51.8</v>
      </c>
      <c r="AJ3958" s="42"/>
      <c r="AK3958" s="74"/>
      <c r="AL3958" s="77"/>
      <c r="AN3958" s="497">
        <v>62.06</v>
      </c>
      <c r="AP3958" s="42"/>
      <c r="AQ3958" s="74"/>
      <c r="AR3958" s="77"/>
      <c r="AT3958" s="497">
        <v>51.980000000000004</v>
      </c>
      <c r="AV3958" s="42"/>
      <c r="AW3958" s="74"/>
      <c r="AX3958" s="77"/>
      <c r="BA3958" s="497">
        <v>44.96</v>
      </c>
      <c r="BB3958" s="42"/>
      <c r="BC3958" s="74"/>
      <c r="BD3958" s="77"/>
      <c r="BF3958">
        <v>44.06</v>
      </c>
      <c r="BH3958" s="42"/>
      <c r="BI3958" s="74"/>
      <c r="BJ3958" s="77"/>
      <c r="BL3958" s="497">
        <v>48.92</v>
      </c>
      <c r="BN3958" s="42"/>
      <c r="BO3958" s="74"/>
      <c r="BP3958" s="77"/>
      <c r="BR3958" s="497">
        <v>57.92</v>
      </c>
      <c r="BT3958" s="42"/>
    </row>
    <row r="3959" spans="1:72" x14ac:dyDescent="0.25">
      <c r="A3959" s="90">
        <v>34499</v>
      </c>
      <c r="B3959" s="20">
        <v>0.20833333333333334</v>
      </c>
      <c r="D3959">
        <v>68</v>
      </c>
      <c r="E3959" t="str">
        <f t="shared" si="158"/>
        <v>WEEKDAY</v>
      </c>
      <c r="F3959" t="e">
        <f t="shared" si="159"/>
        <v>#N/A</v>
      </c>
      <c r="G3959" s="74">
        <v>33038</v>
      </c>
      <c r="H3959" s="77">
        <v>0.20833333333333334</v>
      </c>
      <c r="J3959">
        <v>64.94</v>
      </c>
      <c r="M3959" s="74">
        <v>37786</v>
      </c>
      <c r="N3959" s="77">
        <v>0.20833333333333334</v>
      </c>
      <c r="P3959">
        <v>55.58</v>
      </c>
      <c r="S3959" s="74">
        <v>34499</v>
      </c>
      <c r="T3959" s="77">
        <v>0.20833333333333334</v>
      </c>
      <c r="V3959">
        <v>66.02</v>
      </c>
      <c r="X3959" s="42"/>
      <c r="AB3959">
        <v>64.3</v>
      </c>
      <c r="AC3959">
        <v>69.080000000000013</v>
      </c>
      <c r="AE3959" s="74"/>
      <c r="AF3959" s="77"/>
      <c r="AH3959" s="497">
        <v>51.8</v>
      </c>
      <c r="AJ3959" s="42"/>
      <c r="AK3959" s="74"/>
      <c r="AL3959" s="77"/>
      <c r="AN3959" s="497">
        <v>62.06</v>
      </c>
      <c r="AP3959" s="42"/>
      <c r="AQ3959" s="74"/>
      <c r="AR3959" s="77"/>
      <c r="AT3959" s="497">
        <v>55.040000000000006</v>
      </c>
      <c r="AV3959" s="42"/>
      <c r="AW3959" s="74"/>
      <c r="AX3959" s="77"/>
      <c r="BA3959" s="497">
        <v>49.28</v>
      </c>
      <c r="BB3959" s="42"/>
      <c r="BC3959" s="74"/>
      <c r="BD3959" s="77"/>
      <c r="BF3959">
        <v>44.06</v>
      </c>
      <c r="BH3959" s="42"/>
      <c r="BI3959" s="74"/>
      <c r="BJ3959" s="77"/>
      <c r="BL3959" s="497">
        <v>48.92</v>
      </c>
      <c r="BN3959" s="42"/>
      <c r="BO3959" s="74"/>
      <c r="BP3959" s="77"/>
      <c r="BR3959" s="497">
        <v>60.980000000000004</v>
      </c>
      <c r="BT3959" s="42"/>
    </row>
    <row r="3960" spans="1:72" x14ac:dyDescent="0.25">
      <c r="A3960" s="90">
        <v>34499</v>
      </c>
      <c r="B3960" s="20">
        <v>0.25</v>
      </c>
      <c r="D3960">
        <v>68</v>
      </c>
      <c r="E3960" t="str">
        <f t="shared" si="158"/>
        <v>WEEKDAY</v>
      </c>
      <c r="F3960" t="e">
        <f t="shared" si="159"/>
        <v>#N/A</v>
      </c>
      <c r="G3960" s="74">
        <v>33038</v>
      </c>
      <c r="H3960" s="77">
        <v>0.25</v>
      </c>
      <c r="J3960">
        <v>66.02</v>
      </c>
      <c r="M3960" s="74">
        <v>37786</v>
      </c>
      <c r="N3960" s="77">
        <v>0.25</v>
      </c>
      <c r="P3960">
        <v>56.66</v>
      </c>
      <c r="S3960" s="74">
        <v>34499</v>
      </c>
      <c r="T3960" s="77">
        <v>0.25</v>
      </c>
      <c r="V3960">
        <v>66.92</v>
      </c>
      <c r="X3960" s="42"/>
      <c r="AB3960">
        <v>64.3</v>
      </c>
      <c r="AC3960">
        <v>69.080000000000013</v>
      </c>
      <c r="AE3960" s="74"/>
      <c r="AF3960" s="77"/>
      <c r="AH3960" s="497">
        <v>51.8</v>
      </c>
      <c r="AJ3960" s="42"/>
      <c r="AK3960" s="74"/>
      <c r="AL3960" s="77"/>
      <c r="AN3960" s="497">
        <v>60.980000000000004</v>
      </c>
      <c r="AP3960" s="42"/>
      <c r="AQ3960" s="74"/>
      <c r="AR3960" s="77"/>
      <c r="AT3960" s="497">
        <v>59</v>
      </c>
      <c r="AV3960" s="42"/>
      <c r="AW3960" s="74"/>
      <c r="AX3960" s="77"/>
      <c r="BA3960" s="497">
        <v>53.6</v>
      </c>
      <c r="BB3960" s="42"/>
      <c r="BC3960" s="74"/>
      <c r="BD3960" s="77"/>
      <c r="BF3960">
        <v>44.96</v>
      </c>
      <c r="BH3960" s="42"/>
      <c r="BI3960" s="74"/>
      <c r="BJ3960" s="77"/>
      <c r="BL3960" s="497">
        <v>51.980000000000004</v>
      </c>
      <c r="BN3960" s="42"/>
      <c r="BO3960" s="74"/>
      <c r="BP3960" s="77"/>
      <c r="BR3960" s="497">
        <v>62.06</v>
      </c>
      <c r="BT3960" s="42"/>
    </row>
    <row r="3961" spans="1:72" x14ac:dyDescent="0.25">
      <c r="A3961" s="90">
        <v>34499</v>
      </c>
      <c r="B3961" s="20">
        <v>0.29166666666666669</v>
      </c>
      <c r="D3961">
        <v>69.080000000000013</v>
      </c>
      <c r="E3961" t="str">
        <f t="shared" si="158"/>
        <v>WEEKDAY</v>
      </c>
      <c r="F3961" t="e">
        <f t="shared" si="159"/>
        <v>#N/A</v>
      </c>
      <c r="G3961" s="74">
        <v>33038</v>
      </c>
      <c r="H3961" s="77">
        <v>0.29166666666666669</v>
      </c>
      <c r="J3961">
        <v>66.02</v>
      </c>
      <c r="M3961" s="74">
        <v>37786</v>
      </c>
      <c r="N3961" s="77">
        <v>0.29166666666666669</v>
      </c>
      <c r="P3961">
        <v>59</v>
      </c>
      <c r="S3961" s="74">
        <v>34499</v>
      </c>
      <c r="T3961" s="77">
        <v>0.29166666666666669</v>
      </c>
      <c r="V3961">
        <v>68</v>
      </c>
      <c r="X3961" s="42"/>
      <c r="AB3961">
        <v>65.900000000000006</v>
      </c>
      <c r="AC3961">
        <v>69.080000000000013</v>
      </c>
      <c r="AE3961" s="74"/>
      <c r="AF3961" s="77"/>
      <c r="AH3961" s="497">
        <v>53.6</v>
      </c>
      <c r="AJ3961" s="42"/>
      <c r="AK3961" s="74"/>
      <c r="AL3961" s="77"/>
      <c r="AN3961" s="497">
        <v>62.96</v>
      </c>
      <c r="AP3961" s="42"/>
      <c r="AQ3961" s="74"/>
      <c r="AR3961" s="77"/>
      <c r="AT3961" s="497">
        <v>62.06</v>
      </c>
      <c r="AV3961" s="42"/>
      <c r="AW3961" s="74"/>
      <c r="AX3961" s="77"/>
      <c r="BA3961" s="497">
        <v>57.92</v>
      </c>
      <c r="BB3961" s="42"/>
      <c r="BC3961" s="74"/>
      <c r="BD3961" s="77"/>
      <c r="BF3961">
        <v>50</v>
      </c>
      <c r="BH3961" s="42"/>
      <c r="BI3961" s="74"/>
      <c r="BJ3961" s="77"/>
      <c r="BL3961" s="497">
        <v>55.040000000000006</v>
      </c>
      <c r="BN3961" s="42"/>
      <c r="BO3961" s="74"/>
      <c r="BP3961" s="77"/>
      <c r="BR3961" s="497">
        <v>66.02</v>
      </c>
      <c r="BT3961" s="42"/>
    </row>
    <row r="3962" spans="1:72" x14ac:dyDescent="0.25">
      <c r="A3962" s="90">
        <v>34499</v>
      </c>
      <c r="B3962" s="20">
        <v>0.33333333333333331</v>
      </c>
      <c r="D3962">
        <v>71.06</v>
      </c>
      <c r="E3962" t="str">
        <f t="shared" si="158"/>
        <v>WEEKDAY</v>
      </c>
      <c r="F3962" t="e">
        <f t="shared" si="159"/>
        <v>#N/A</v>
      </c>
      <c r="G3962" s="74">
        <v>33038</v>
      </c>
      <c r="H3962" s="77">
        <v>0.33333333333333331</v>
      </c>
      <c r="J3962">
        <v>66.02</v>
      </c>
      <c r="M3962" s="74">
        <v>37786</v>
      </c>
      <c r="N3962" s="77">
        <v>0.33333333333333331</v>
      </c>
      <c r="P3962">
        <v>60.44</v>
      </c>
      <c r="S3962" s="74">
        <v>34499</v>
      </c>
      <c r="T3962" s="77">
        <v>0.33333333333333331</v>
      </c>
      <c r="V3962">
        <v>69.080000000000013</v>
      </c>
      <c r="X3962" s="42"/>
      <c r="AB3962">
        <v>67.7</v>
      </c>
      <c r="AC3962">
        <v>69.98</v>
      </c>
      <c r="AE3962" s="74"/>
      <c r="AF3962" s="77"/>
      <c r="AH3962" s="497">
        <v>53.6</v>
      </c>
      <c r="AJ3962" s="42"/>
      <c r="AK3962" s="74"/>
      <c r="AL3962" s="77"/>
      <c r="AN3962" s="497">
        <v>66.02</v>
      </c>
      <c r="AP3962" s="42"/>
      <c r="AQ3962" s="74"/>
      <c r="AR3962" s="77"/>
      <c r="AT3962" s="497">
        <v>64.039999999999992</v>
      </c>
      <c r="AV3962" s="42"/>
      <c r="AW3962" s="74"/>
      <c r="AX3962" s="77"/>
      <c r="BA3962" s="497">
        <v>61.7</v>
      </c>
      <c r="BB3962" s="42"/>
      <c r="BC3962" s="74"/>
      <c r="BD3962" s="77"/>
      <c r="BF3962">
        <v>51.980000000000004</v>
      </c>
      <c r="BH3962" s="42"/>
      <c r="BI3962" s="74"/>
      <c r="BJ3962" s="77"/>
      <c r="BL3962" s="497">
        <v>60.980000000000004</v>
      </c>
      <c r="BN3962" s="42"/>
      <c r="BO3962" s="74"/>
      <c r="BP3962" s="77"/>
      <c r="BR3962" s="497">
        <v>71.960000000000008</v>
      </c>
      <c r="BT3962" s="42"/>
    </row>
    <row r="3963" spans="1:72" x14ac:dyDescent="0.25">
      <c r="A3963" s="90">
        <v>34499</v>
      </c>
      <c r="B3963" s="20">
        <v>0.375</v>
      </c>
      <c r="D3963">
        <v>71.06</v>
      </c>
      <c r="E3963" t="str">
        <f t="shared" si="158"/>
        <v>WEEKDAY</v>
      </c>
      <c r="F3963" t="e">
        <f t="shared" si="159"/>
        <v>#N/A</v>
      </c>
      <c r="G3963" s="74">
        <v>33038</v>
      </c>
      <c r="H3963" s="77">
        <v>0.375</v>
      </c>
      <c r="J3963">
        <v>66.92</v>
      </c>
      <c r="M3963" s="74">
        <v>37786</v>
      </c>
      <c r="N3963" s="77">
        <v>0.375</v>
      </c>
      <c r="P3963">
        <v>62.6</v>
      </c>
      <c r="S3963" s="74">
        <v>34499</v>
      </c>
      <c r="T3963" s="77">
        <v>0.375</v>
      </c>
      <c r="V3963">
        <v>71.960000000000008</v>
      </c>
      <c r="X3963" s="42"/>
      <c r="AB3963">
        <v>69.599999999999994</v>
      </c>
      <c r="AC3963">
        <v>71.06</v>
      </c>
      <c r="AE3963" s="74"/>
      <c r="AF3963" s="77"/>
      <c r="AH3963" s="497">
        <v>55.400000000000006</v>
      </c>
      <c r="AJ3963" s="42"/>
      <c r="AK3963" s="74"/>
      <c r="AL3963" s="77"/>
      <c r="AN3963" s="497">
        <v>69.98</v>
      </c>
      <c r="AP3963" s="42"/>
      <c r="AQ3963" s="74"/>
      <c r="AR3963" s="77"/>
      <c r="AT3963" s="497">
        <v>66.02</v>
      </c>
      <c r="AV3963" s="42"/>
      <c r="AW3963" s="74"/>
      <c r="AX3963" s="77"/>
      <c r="BA3963" s="497">
        <v>65.300000000000011</v>
      </c>
      <c r="BB3963" s="42"/>
      <c r="BC3963" s="74"/>
      <c r="BD3963" s="77"/>
      <c r="BF3963">
        <v>53.06</v>
      </c>
      <c r="BH3963" s="42"/>
      <c r="BI3963" s="74"/>
      <c r="BJ3963" s="77"/>
      <c r="BL3963" s="497">
        <v>64.94</v>
      </c>
      <c r="BN3963" s="42"/>
      <c r="BO3963" s="74"/>
      <c r="BP3963" s="77"/>
      <c r="BR3963" s="497">
        <v>69.98</v>
      </c>
      <c r="BT3963" s="42"/>
    </row>
    <row r="3964" spans="1:72" x14ac:dyDescent="0.25">
      <c r="A3964" s="90">
        <v>34499</v>
      </c>
      <c r="B3964" s="20">
        <v>0.41666666666666669</v>
      </c>
      <c r="D3964">
        <v>73.94</v>
      </c>
      <c r="E3964" t="str">
        <f t="shared" si="158"/>
        <v>WEEKDAY</v>
      </c>
      <c r="F3964" t="e">
        <f t="shared" si="159"/>
        <v>#N/A</v>
      </c>
      <c r="G3964" s="74">
        <v>33038</v>
      </c>
      <c r="H3964" s="77">
        <v>0.41666666666666669</v>
      </c>
      <c r="J3964">
        <v>66.92</v>
      </c>
      <c r="M3964" s="74">
        <v>37786</v>
      </c>
      <c r="N3964" s="77">
        <v>0.41666666666666669</v>
      </c>
      <c r="P3964">
        <v>68</v>
      </c>
      <c r="S3964" s="74">
        <v>34499</v>
      </c>
      <c r="T3964" s="77">
        <v>0.41666666666666669</v>
      </c>
      <c r="V3964">
        <v>71.960000000000008</v>
      </c>
      <c r="X3964" s="42"/>
      <c r="AB3964">
        <v>71.400000000000006</v>
      </c>
      <c r="AC3964">
        <v>71.06</v>
      </c>
      <c r="AE3964" s="74"/>
      <c r="AF3964" s="77"/>
      <c r="AH3964" s="497">
        <v>55.400000000000006</v>
      </c>
      <c r="AJ3964" s="42"/>
      <c r="AK3964" s="74"/>
      <c r="AL3964" s="77"/>
      <c r="AN3964" s="497">
        <v>73.94</v>
      </c>
      <c r="AP3964" s="42"/>
      <c r="AQ3964" s="74"/>
      <c r="AR3964" s="77"/>
      <c r="AT3964" s="497">
        <v>69.080000000000013</v>
      </c>
      <c r="AV3964" s="42"/>
      <c r="AW3964" s="74"/>
      <c r="AX3964" s="77"/>
      <c r="BA3964" s="497">
        <v>69.080000000000013</v>
      </c>
      <c r="BB3964" s="42"/>
      <c r="BC3964" s="74"/>
      <c r="BD3964" s="77"/>
      <c r="BF3964">
        <v>55.040000000000006</v>
      </c>
      <c r="BH3964" s="42"/>
      <c r="BI3964" s="74"/>
      <c r="BJ3964" s="77"/>
      <c r="BL3964" s="497">
        <v>69.98</v>
      </c>
      <c r="BN3964" s="42"/>
      <c r="BO3964" s="74"/>
      <c r="BP3964" s="77"/>
      <c r="BR3964" s="497">
        <v>66.92</v>
      </c>
      <c r="BT3964" s="42"/>
    </row>
    <row r="3965" spans="1:72" x14ac:dyDescent="0.25">
      <c r="A3965" s="90">
        <v>34499</v>
      </c>
      <c r="B3965" s="20">
        <v>0.45833333333333331</v>
      </c>
      <c r="D3965">
        <v>75.02</v>
      </c>
      <c r="E3965" t="str">
        <f t="shared" si="158"/>
        <v>WEEKDAY</v>
      </c>
      <c r="F3965" t="e">
        <f t="shared" si="159"/>
        <v>#N/A</v>
      </c>
      <c r="G3965" s="74">
        <v>33038</v>
      </c>
      <c r="H3965" s="77">
        <v>0.45833333333333331</v>
      </c>
      <c r="J3965">
        <v>66.02</v>
      </c>
      <c r="M3965" s="74">
        <v>37786</v>
      </c>
      <c r="N3965" s="77">
        <v>0.45833333333333331</v>
      </c>
      <c r="P3965">
        <v>71.599999999999994</v>
      </c>
      <c r="S3965" s="74">
        <v>34499</v>
      </c>
      <c r="T3965" s="77">
        <v>0.45833333333333331</v>
      </c>
      <c r="V3965">
        <v>75.02</v>
      </c>
      <c r="X3965" s="42"/>
      <c r="AB3965">
        <v>73</v>
      </c>
      <c r="AC3965">
        <v>73.039999999999992</v>
      </c>
      <c r="AE3965" s="74"/>
      <c r="AF3965" s="77"/>
      <c r="AH3965" s="497">
        <v>55.400000000000006</v>
      </c>
      <c r="AJ3965" s="42"/>
      <c r="AK3965" s="74"/>
      <c r="AL3965" s="77"/>
      <c r="AN3965" s="497">
        <v>77</v>
      </c>
      <c r="AP3965" s="42"/>
      <c r="AQ3965" s="74"/>
      <c r="AR3965" s="77"/>
      <c r="AT3965" s="497">
        <v>71.06</v>
      </c>
      <c r="AV3965" s="42"/>
      <c r="AW3965" s="74"/>
      <c r="AX3965" s="77"/>
      <c r="BA3965" s="497">
        <v>70.7</v>
      </c>
      <c r="BB3965" s="42"/>
      <c r="BC3965" s="74"/>
      <c r="BD3965" s="77"/>
      <c r="BF3965">
        <v>55.94</v>
      </c>
      <c r="BH3965" s="42"/>
      <c r="BI3965" s="74"/>
      <c r="BJ3965" s="77"/>
      <c r="BL3965" s="497">
        <v>71.960000000000008</v>
      </c>
      <c r="BN3965" s="42"/>
      <c r="BO3965" s="74"/>
      <c r="BP3965" s="77"/>
      <c r="BR3965" s="497">
        <v>66.92</v>
      </c>
      <c r="BT3965" s="42"/>
    </row>
    <row r="3966" spans="1:72" x14ac:dyDescent="0.25">
      <c r="A3966" s="90">
        <v>34499</v>
      </c>
      <c r="B3966" s="20">
        <v>0.5</v>
      </c>
      <c r="D3966">
        <v>75.02</v>
      </c>
      <c r="E3966" t="str">
        <f t="shared" si="158"/>
        <v>WEEKDAY</v>
      </c>
      <c r="F3966" t="e">
        <f t="shared" si="159"/>
        <v>#N/A</v>
      </c>
      <c r="G3966" s="74">
        <v>33038</v>
      </c>
      <c r="H3966" s="77">
        <v>0.5</v>
      </c>
      <c r="J3966">
        <v>66.02</v>
      </c>
      <c r="M3966" s="74">
        <v>37786</v>
      </c>
      <c r="N3966" s="77">
        <v>0.5</v>
      </c>
      <c r="P3966">
        <v>75.2</v>
      </c>
      <c r="S3966" s="74">
        <v>34499</v>
      </c>
      <c r="T3966" s="77">
        <v>0.5</v>
      </c>
      <c r="V3966">
        <v>73.94</v>
      </c>
      <c r="X3966" s="42"/>
      <c r="AB3966">
        <v>74.099999999999994</v>
      </c>
      <c r="AC3966">
        <v>75.92</v>
      </c>
      <c r="AE3966" s="74"/>
      <c r="AF3966" s="77"/>
      <c r="AH3966" s="497">
        <v>57.2</v>
      </c>
      <c r="AJ3966" s="42"/>
      <c r="AK3966" s="74"/>
      <c r="AL3966" s="77"/>
      <c r="AN3966" s="497">
        <v>80.06</v>
      </c>
      <c r="AP3966" s="42"/>
      <c r="AQ3966" s="74"/>
      <c r="AR3966" s="77"/>
      <c r="AT3966" s="497">
        <v>73.94</v>
      </c>
      <c r="AV3966" s="42"/>
      <c r="AW3966" s="74"/>
      <c r="AX3966" s="77"/>
      <c r="BA3966" s="497">
        <v>72.319999999999993</v>
      </c>
      <c r="BB3966" s="42"/>
      <c r="BC3966" s="74"/>
      <c r="BD3966" s="77"/>
      <c r="BF3966">
        <v>57.92</v>
      </c>
      <c r="BH3966" s="42"/>
      <c r="BI3966" s="74"/>
      <c r="BJ3966" s="77"/>
      <c r="BL3966" s="497">
        <v>75.02</v>
      </c>
      <c r="BN3966" s="42"/>
      <c r="BO3966" s="74"/>
      <c r="BP3966" s="77"/>
      <c r="BR3966" s="497">
        <v>69.98</v>
      </c>
      <c r="BT3966" s="42"/>
    </row>
    <row r="3967" spans="1:72" x14ac:dyDescent="0.25">
      <c r="A3967" s="90">
        <v>34499</v>
      </c>
      <c r="B3967" s="20">
        <v>0.54166666666666663</v>
      </c>
      <c r="D3967">
        <v>75.92</v>
      </c>
      <c r="E3967" t="str">
        <f t="shared" si="158"/>
        <v>WEEKDAY</v>
      </c>
      <c r="F3967" t="e">
        <f t="shared" si="159"/>
        <v>#N/A</v>
      </c>
      <c r="G3967" s="74">
        <v>33038</v>
      </c>
      <c r="H3967" s="77">
        <v>0.54166666666666663</v>
      </c>
      <c r="J3967">
        <v>66.02</v>
      </c>
      <c r="M3967" s="74">
        <v>37786</v>
      </c>
      <c r="N3967" s="77">
        <v>0.54166666666666663</v>
      </c>
      <c r="P3967">
        <v>80.599999999999994</v>
      </c>
      <c r="S3967" s="74">
        <v>34499</v>
      </c>
      <c r="T3967" s="77">
        <v>0.54166666666666663</v>
      </c>
      <c r="V3967">
        <v>75.02</v>
      </c>
      <c r="X3967" s="42"/>
      <c r="AB3967">
        <v>74.900000000000006</v>
      </c>
      <c r="AC3967">
        <v>77</v>
      </c>
      <c r="AE3967" s="74"/>
      <c r="AF3967" s="77"/>
      <c r="AH3967" s="497">
        <v>59</v>
      </c>
      <c r="AJ3967" s="42"/>
      <c r="AK3967" s="74"/>
      <c r="AL3967" s="77"/>
      <c r="AN3967" s="497">
        <v>82.039999999999992</v>
      </c>
      <c r="AP3967" s="42"/>
      <c r="AQ3967" s="74"/>
      <c r="AR3967" s="77"/>
      <c r="AT3967" s="497">
        <v>75.92</v>
      </c>
      <c r="AV3967" s="42"/>
      <c r="AW3967" s="74"/>
      <c r="AX3967" s="77"/>
      <c r="BA3967" s="497">
        <v>73.94</v>
      </c>
      <c r="BB3967" s="42"/>
      <c r="BC3967" s="74"/>
      <c r="BD3967" s="77"/>
      <c r="BF3967">
        <v>59</v>
      </c>
      <c r="BH3967" s="42"/>
      <c r="BI3967" s="74"/>
      <c r="BJ3967" s="77"/>
      <c r="BL3967" s="497">
        <v>75.02</v>
      </c>
      <c r="BN3967" s="42"/>
      <c r="BO3967" s="74"/>
      <c r="BP3967" s="77"/>
      <c r="BR3967" s="497">
        <v>69.98</v>
      </c>
      <c r="BT3967" s="42"/>
    </row>
    <row r="3968" spans="1:72" x14ac:dyDescent="0.25">
      <c r="A3968" s="90">
        <v>34499</v>
      </c>
      <c r="B3968" s="20">
        <v>0.58333333333333337</v>
      </c>
      <c r="D3968">
        <v>77</v>
      </c>
      <c r="E3968" t="str">
        <f t="shared" si="158"/>
        <v>WEEKDAY</v>
      </c>
      <c r="F3968" t="e">
        <f t="shared" si="159"/>
        <v>#N/A</v>
      </c>
      <c r="G3968" s="74">
        <v>33038</v>
      </c>
      <c r="H3968" s="77">
        <v>0.58333333333333337</v>
      </c>
      <c r="J3968">
        <v>68</v>
      </c>
      <c r="M3968" s="74">
        <v>37786</v>
      </c>
      <c r="N3968" s="77">
        <v>0.58333333333333337</v>
      </c>
      <c r="P3968">
        <v>78.800000000000011</v>
      </c>
      <c r="S3968" s="74">
        <v>34499</v>
      </c>
      <c r="T3968" s="77">
        <v>0.58333333333333337</v>
      </c>
      <c r="V3968">
        <v>73.94</v>
      </c>
      <c r="X3968" s="42"/>
      <c r="AB3968">
        <v>75.2</v>
      </c>
      <c r="AC3968">
        <v>78.080000000000013</v>
      </c>
      <c r="AE3968" s="74"/>
      <c r="AF3968" s="77"/>
      <c r="AH3968" s="497">
        <v>60.8</v>
      </c>
      <c r="AJ3968" s="42"/>
      <c r="AK3968" s="74"/>
      <c r="AL3968" s="77"/>
      <c r="AN3968" s="497">
        <v>84.02</v>
      </c>
      <c r="AP3968" s="42"/>
      <c r="AQ3968" s="74"/>
      <c r="AR3968" s="77"/>
      <c r="AT3968" s="497">
        <v>75.92</v>
      </c>
      <c r="AV3968" s="42"/>
      <c r="AW3968" s="74"/>
      <c r="AX3968" s="77"/>
      <c r="BA3968" s="497">
        <v>75.02</v>
      </c>
      <c r="BB3968" s="42"/>
      <c r="BC3968" s="74"/>
      <c r="BD3968" s="77"/>
      <c r="BF3968">
        <v>60.980000000000004</v>
      </c>
      <c r="BH3968" s="42"/>
      <c r="BI3968" s="74"/>
      <c r="BJ3968" s="77"/>
      <c r="BL3968" s="497">
        <v>77</v>
      </c>
      <c r="BN3968" s="42"/>
      <c r="BO3968" s="74"/>
      <c r="BP3968" s="77"/>
      <c r="BR3968" s="497">
        <v>71.06</v>
      </c>
      <c r="BT3968" s="42"/>
    </row>
    <row r="3969" spans="1:72" x14ac:dyDescent="0.25">
      <c r="A3969" s="90">
        <v>34499</v>
      </c>
      <c r="B3969" s="20">
        <v>0.625</v>
      </c>
      <c r="D3969">
        <v>80.06</v>
      </c>
      <c r="E3969" t="str">
        <f t="shared" si="158"/>
        <v>WEEKDAY</v>
      </c>
      <c r="F3969" t="e">
        <f t="shared" si="159"/>
        <v>#N/A</v>
      </c>
      <c r="G3969" s="74">
        <v>33038</v>
      </c>
      <c r="H3969" s="77">
        <v>0.625</v>
      </c>
      <c r="J3969">
        <v>66.02</v>
      </c>
      <c r="M3969" s="74">
        <v>37786</v>
      </c>
      <c r="N3969" s="77">
        <v>0.625</v>
      </c>
      <c r="P3969">
        <v>69.800000000000011</v>
      </c>
      <c r="S3969" s="74">
        <v>34499</v>
      </c>
      <c r="T3969" s="77">
        <v>0.625</v>
      </c>
      <c r="V3969">
        <v>75.02</v>
      </c>
      <c r="X3969" s="42"/>
      <c r="AB3969">
        <v>75</v>
      </c>
      <c r="AC3969">
        <v>75.92</v>
      </c>
      <c r="AE3969" s="74"/>
      <c r="AF3969" s="77"/>
      <c r="AH3969" s="497">
        <v>60.8</v>
      </c>
      <c r="AJ3969" s="42"/>
      <c r="AK3969" s="74"/>
      <c r="AL3969" s="77"/>
      <c r="AN3969" s="497">
        <v>84.02</v>
      </c>
      <c r="AP3969" s="42"/>
      <c r="AQ3969" s="74"/>
      <c r="AR3969" s="77"/>
      <c r="AT3969" s="497">
        <v>77</v>
      </c>
      <c r="AV3969" s="42"/>
      <c r="AW3969" s="74"/>
      <c r="AX3969" s="77"/>
      <c r="BA3969" s="497">
        <v>75.92</v>
      </c>
      <c r="BB3969" s="42"/>
      <c r="BC3969" s="74"/>
      <c r="BD3969" s="77"/>
      <c r="BF3969">
        <v>62.96</v>
      </c>
      <c r="BH3969" s="42"/>
      <c r="BI3969" s="74"/>
      <c r="BJ3969" s="77"/>
      <c r="BL3969" s="497">
        <v>78.080000000000013</v>
      </c>
      <c r="BN3969" s="42"/>
      <c r="BO3969" s="74"/>
      <c r="BP3969" s="77"/>
      <c r="BR3969" s="497">
        <v>69.98</v>
      </c>
      <c r="BT3969" s="42"/>
    </row>
    <row r="3970" spans="1:72" x14ac:dyDescent="0.25">
      <c r="A3970" s="90">
        <v>34499</v>
      </c>
      <c r="B3970" s="20">
        <v>0.66666666666666663</v>
      </c>
      <c r="D3970">
        <v>78.080000000000013</v>
      </c>
      <c r="E3970" t="str">
        <f t="shared" si="158"/>
        <v>WEEKDAY</v>
      </c>
      <c r="F3970" t="e">
        <f t="shared" si="159"/>
        <v>#N/A</v>
      </c>
      <c r="G3970" s="74">
        <v>33038</v>
      </c>
      <c r="H3970" s="77">
        <v>0.66666666666666663</v>
      </c>
      <c r="J3970">
        <v>64.94</v>
      </c>
      <c r="M3970" s="74">
        <v>37786</v>
      </c>
      <c r="N3970" s="77">
        <v>0.66666666666666663</v>
      </c>
      <c r="P3970">
        <v>71.599999999999994</v>
      </c>
      <c r="S3970" s="74">
        <v>34499</v>
      </c>
      <c r="T3970" s="77">
        <v>0.66666666666666663</v>
      </c>
      <c r="V3970">
        <v>75.02</v>
      </c>
      <c r="X3970" s="42"/>
      <c r="AB3970">
        <v>74.599999999999994</v>
      </c>
      <c r="AC3970">
        <v>77</v>
      </c>
      <c r="AE3970" s="74"/>
      <c r="AF3970" s="77"/>
      <c r="AH3970" s="497">
        <v>60.8</v>
      </c>
      <c r="AJ3970" s="42"/>
      <c r="AK3970" s="74"/>
      <c r="AL3970" s="77"/>
      <c r="AN3970" s="497">
        <v>84.92</v>
      </c>
      <c r="AP3970" s="42"/>
      <c r="AQ3970" s="74"/>
      <c r="AR3970" s="77"/>
      <c r="AT3970" s="497">
        <v>78.080000000000013</v>
      </c>
      <c r="AV3970" s="42"/>
      <c r="AW3970" s="74"/>
      <c r="AX3970" s="77"/>
      <c r="BA3970" s="497">
        <v>77</v>
      </c>
      <c r="BB3970" s="42"/>
      <c r="BC3970" s="74"/>
      <c r="BD3970" s="77"/>
      <c r="BF3970">
        <v>62.96</v>
      </c>
      <c r="BH3970" s="42"/>
      <c r="BI3970" s="74"/>
      <c r="BJ3970" s="77"/>
      <c r="BL3970" s="497">
        <v>80.06</v>
      </c>
      <c r="BN3970" s="42"/>
      <c r="BO3970" s="74"/>
      <c r="BP3970" s="77"/>
      <c r="BR3970" s="497">
        <v>71.06</v>
      </c>
      <c r="BT3970" s="42"/>
    </row>
    <row r="3971" spans="1:72" x14ac:dyDescent="0.25">
      <c r="A3971" s="90">
        <v>34499</v>
      </c>
      <c r="B3971" s="20">
        <v>0.70833333333333337</v>
      </c>
      <c r="D3971">
        <v>77</v>
      </c>
      <c r="E3971" t="str">
        <f t="shared" si="158"/>
        <v>WEEKDAY</v>
      </c>
      <c r="F3971" t="e">
        <f t="shared" si="159"/>
        <v>#N/A</v>
      </c>
      <c r="G3971" s="74">
        <v>33038</v>
      </c>
      <c r="H3971" s="77">
        <v>0.70833333333333337</v>
      </c>
      <c r="J3971">
        <v>62.96</v>
      </c>
      <c r="M3971" s="74">
        <v>37786</v>
      </c>
      <c r="N3971" s="77">
        <v>0.70833333333333337</v>
      </c>
      <c r="P3971">
        <v>69.800000000000011</v>
      </c>
      <c r="S3971" s="74">
        <v>34499</v>
      </c>
      <c r="T3971" s="77">
        <v>0.70833333333333337</v>
      </c>
      <c r="V3971">
        <v>73.039999999999992</v>
      </c>
      <c r="X3971" s="42"/>
      <c r="AB3971">
        <v>73.8</v>
      </c>
      <c r="AC3971">
        <v>75.02</v>
      </c>
      <c r="AE3971" s="74"/>
      <c r="AF3971" s="77"/>
      <c r="AH3971" s="497">
        <v>60.8</v>
      </c>
      <c r="AJ3971" s="42"/>
      <c r="AK3971" s="74"/>
      <c r="AL3971" s="77"/>
      <c r="AN3971" s="497">
        <v>84.02</v>
      </c>
      <c r="AP3971" s="42"/>
      <c r="AQ3971" s="74"/>
      <c r="AR3971" s="77"/>
      <c r="AT3971" s="497">
        <v>78.080000000000013</v>
      </c>
      <c r="AV3971" s="42"/>
      <c r="AW3971" s="74"/>
      <c r="AX3971" s="77"/>
      <c r="BA3971" s="497">
        <v>76.28</v>
      </c>
      <c r="BB3971" s="42"/>
      <c r="BC3971" s="74"/>
      <c r="BD3971" s="77"/>
      <c r="BF3971">
        <v>64.039999999999992</v>
      </c>
      <c r="BH3971" s="42"/>
      <c r="BI3971" s="74"/>
      <c r="BJ3971" s="77"/>
      <c r="BL3971" s="497">
        <v>78.98</v>
      </c>
      <c r="BN3971" s="42"/>
      <c r="BO3971" s="74"/>
      <c r="BP3971" s="77"/>
      <c r="BR3971" s="497">
        <v>71.06</v>
      </c>
      <c r="BT3971" s="42"/>
    </row>
    <row r="3972" spans="1:72" x14ac:dyDescent="0.25">
      <c r="A3972" s="90">
        <v>34499</v>
      </c>
      <c r="B3972" s="20">
        <v>0.75</v>
      </c>
      <c r="D3972">
        <v>77</v>
      </c>
      <c r="E3972" t="str">
        <f t="shared" si="158"/>
        <v>WEEKDAY</v>
      </c>
      <c r="F3972" t="e">
        <f t="shared" si="159"/>
        <v>#N/A</v>
      </c>
      <c r="G3972" s="74">
        <v>33038</v>
      </c>
      <c r="H3972" s="77">
        <v>0.75</v>
      </c>
      <c r="J3972">
        <v>64.039999999999992</v>
      </c>
      <c r="M3972" s="74">
        <v>37786</v>
      </c>
      <c r="N3972" s="77">
        <v>0.75</v>
      </c>
      <c r="P3972">
        <v>71.599999999999994</v>
      </c>
      <c r="S3972" s="74">
        <v>34499</v>
      </c>
      <c r="T3972" s="77">
        <v>0.75</v>
      </c>
      <c r="V3972">
        <v>73.039999999999992</v>
      </c>
      <c r="X3972" s="42"/>
      <c r="AB3972">
        <v>72.599999999999994</v>
      </c>
      <c r="AC3972">
        <v>75.02</v>
      </c>
      <c r="AE3972" s="74"/>
      <c r="AF3972" s="77"/>
      <c r="AH3972" s="497">
        <v>60.8</v>
      </c>
      <c r="AJ3972" s="42"/>
      <c r="AK3972" s="74"/>
      <c r="AL3972" s="77"/>
      <c r="AN3972" s="497">
        <v>82.039999999999992</v>
      </c>
      <c r="AP3972" s="42"/>
      <c r="AQ3972" s="74"/>
      <c r="AR3972" s="77"/>
      <c r="AT3972" s="497">
        <v>77</v>
      </c>
      <c r="AV3972" s="42"/>
      <c r="AW3972" s="74"/>
      <c r="AX3972" s="77"/>
      <c r="BA3972" s="497">
        <v>75.740000000000009</v>
      </c>
      <c r="BB3972" s="42"/>
      <c r="BC3972" s="74"/>
      <c r="BD3972" s="77"/>
      <c r="BF3972">
        <v>64.039999999999992</v>
      </c>
      <c r="BH3972" s="42"/>
      <c r="BI3972" s="74"/>
      <c r="BJ3972" s="77"/>
      <c r="BL3972" s="497">
        <v>78.080000000000013</v>
      </c>
      <c r="BN3972" s="42"/>
      <c r="BO3972" s="74"/>
      <c r="BP3972" s="77"/>
      <c r="BR3972" s="497">
        <v>71.06</v>
      </c>
      <c r="BT3972" s="42"/>
    </row>
    <row r="3973" spans="1:72" x14ac:dyDescent="0.25">
      <c r="A3973" s="90">
        <v>34499</v>
      </c>
      <c r="B3973" s="20">
        <v>0.79166666666666663</v>
      </c>
      <c r="D3973">
        <v>75.02</v>
      </c>
      <c r="E3973" t="str">
        <f t="shared" si="158"/>
        <v>WEEKDAY</v>
      </c>
      <c r="F3973" t="e">
        <f t="shared" si="159"/>
        <v>#N/A</v>
      </c>
      <c r="G3973" s="74">
        <v>33038</v>
      </c>
      <c r="H3973" s="77">
        <v>0.79166666666666663</v>
      </c>
      <c r="J3973">
        <v>64.039999999999992</v>
      </c>
      <c r="M3973" s="74">
        <v>37786</v>
      </c>
      <c r="N3973" s="77">
        <v>0.79166666666666663</v>
      </c>
      <c r="P3973">
        <v>71.599999999999994</v>
      </c>
      <c r="S3973" s="74">
        <v>34499</v>
      </c>
      <c r="T3973" s="77">
        <v>0.79166666666666663</v>
      </c>
      <c r="V3973">
        <v>71.960000000000008</v>
      </c>
      <c r="X3973" s="42"/>
      <c r="AB3973">
        <v>71.400000000000006</v>
      </c>
      <c r="AC3973">
        <v>73.039999999999992</v>
      </c>
      <c r="AE3973" s="74"/>
      <c r="AF3973" s="77"/>
      <c r="AH3973" s="497">
        <v>60.8</v>
      </c>
      <c r="AJ3973" s="42"/>
      <c r="AK3973" s="74"/>
      <c r="AL3973" s="77"/>
      <c r="AN3973" s="497">
        <v>78.080000000000013</v>
      </c>
      <c r="AP3973" s="42"/>
      <c r="AQ3973" s="74"/>
      <c r="AR3973" s="77"/>
      <c r="AT3973" s="497">
        <v>73.94</v>
      </c>
      <c r="AV3973" s="42"/>
      <c r="AW3973" s="74"/>
      <c r="AX3973" s="77"/>
      <c r="BA3973" s="497">
        <v>75.02</v>
      </c>
      <c r="BB3973" s="42"/>
      <c r="BC3973" s="74"/>
      <c r="BD3973" s="77"/>
      <c r="BF3973">
        <v>60.980000000000004</v>
      </c>
      <c r="BH3973" s="42"/>
      <c r="BI3973" s="74"/>
      <c r="BJ3973" s="77"/>
      <c r="BL3973" s="497">
        <v>77</v>
      </c>
      <c r="BN3973" s="42"/>
      <c r="BO3973" s="74"/>
      <c r="BP3973" s="77"/>
      <c r="BR3973" s="497">
        <v>69.080000000000013</v>
      </c>
      <c r="BT3973" s="42"/>
    </row>
    <row r="3974" spans="1:72" x14ac:dyDescent="0.25">
      <c r="A3974" s="90">
        <v>34499</v>
      </c>
      <c r="B3974" s="20">
        <v>0.83333333333333337</v>
      </c>
      <c r="D3974">
        <v>75.02</v>
      </c>
      <c r="E3974" t="str">
        <f t="shared" si="158"/>
        <v>WEEKDAY</v>
      </c>
      <c r="F3974" t="e">
        <f t="shared" si="159"/>
        <v>#N/A</v>
      </c>
      <c r="G3974" s="74">
        <v>33038</v>
      </c>
      <c r="H3974" s="77">
        <v>0.83333333333333337</v>
      </c>
      <c r="J3974">
        <v>62.96</v>
      </c>
      <c r="M3974" s="74">
        <v>37786</v>
      </c>
      <c r="N3974" s="77">
        <v>0.83333333333333337</v>
      </c>
      <c r="P3974">
        <v>69.259999999999991</v>
      </c>
      <c r="S3974" s="74">
        <v>34499</v>
      </c>
      <c r="T3974" s="77">
        <v>0.83333333333333337</v>
      </c>
      <c r="V3974">
        <v>71.06</v>
      </c>
      <c r="X3974" s="42"/>
      <c r="AB3974">
        <v>70</v>
      </c>
      <c r="AC3974">
        <v>73.039999999999992</v>
      </c>
      <c r="AE3974" s="74"/>
      <c r="AF3974" s="77"/>
      <c r="AH3974" s="497">
        <v>57.2</v>
      </c>
      <c r="AJ3974" s="42"/>
      <c r="AK3974" s="74"/>
      <c r="AL3974" s="77"/>
      <c r="AN3974" s="497">
        <v>75.02</v>
      </c>
      <c r="AP3974" s="42"/>
      <c r="AQ3974" s="74"/>
      <c r="AR3974" s="77"/>
      <c r="AT3974" s="497">
        <v>68</v>
      </c>
      <c r="AV3974" s="42"/>
      <c r="AW3974" s="74"/>
      <c r="AX3974" s="77"/>
      <c r="BA3974" s="497">
        <v>72.680000000000007</v>
      </c>
      <c r="BB3974" s="42"/>
      <c r="BC3974" s="74"/>
      <c r="BD3974" s="77"/>
      <c r="BF3974">
        <v>59</v>
      </c>
      <c r="BH3974" s="42"/>
      <c r="BI3974" s="74"/>
      <c r="BJ3974" s="77"/>
      <c r="BL3974" s="497">
        <v>73.039999999999992</v>
      </c>
      <c r="BN3974" s="42"/>
      <c r="BO3974" s="74"/>
      <c r="BP3974" s="77"/>
      <c r="BR3974" s="497">
        <v>68</v>
      </c>
      <c r="BT3974" s="42"/>
    </row>
    <row r="3975" spans="1:72" x14ac:dyDescent="0.25">
      <c r="A3975" s="90">
        <v>34499</v>
      </c>
      <c r="B3975" s="20">
        <v>0.875</v>
      </c>
      <c r="D3975">
        <v>73.039999999999992</v>
      </c>
      <c r="E3975" t="str">
        <f t="shared" si="158"/>
        <v>WEEKDAY</v>
      </c>
      <c r="F3975" t="e">
        <f t="shared" si="159"/>
        <v>#N/A</v>
      </c>
      <c r="G3975" s="74">
        <v>33038</v>
      </c>
      <c r="H3975" s="77">
        <v>0.875</v>
      </c>
      <c r="J3975">
        <v>62.96</v>
      </c>
      <c r="M3975" s="74">
        <v>37786</v>
      </c>
      <c r="N3975" s="77">
        <v>0.875</v>
      </c>
      <c r="P3975">
        <v>68</v>
      </c>
      <c r="S3975" s="74">
        <v>34499</v>
      </c>
      <c r="T3975" s="77">
        <v>0.875</v>
      </c>
      <c r="V3975">
        <v>69.98</v>
      </c>
      <c r="X3975" s="42"/>
      <c r="AB3975">
        <v>68.8</v>
      </c>
      <c r="AC3975">
        <v>73.039999999999992</v>
      </c>
      <c r="AE3975" s="74"/>
      <c r="AF3975" s="77"/>
      <c r="AH3975" s="497">
        <v>57.2</v>
      </c>
      <c r="AJ3975" s="42"/>
      <c r="AK3975" s="74"/>
      <c r="AL3975" s="77"/>
      <c r="AN3975" s="497">
        <v>71.960000000000008</v>
      </c>
      <c r="AP3975" s="42"/>
      <c r="AQ3975" s="74"/>
      <c r="AR3975" s="77"/>
      <c r="AT3975" s="497">
        <v>68</v>
      </c>
      <c r="AV3975" s="42"/>
      <c r="AW3975" s="74"/>
      <c r="AX3975" s="77"/>
      <c r="BA3975" s="497">
        <v>70.34</v>
      </c>
      <c r="BB3975" s="42"/>
      <c r="BC3975" s="74"/>
      <c r="BD3975" s="77"/>
      <c r="BF3975">
        <v>55.94</v>
      </c>
      <c r="BH3975" s="42"/>
      <c r="BI3975" s="74"/>
      <c r="BJ3975" s="77"/>
      <c r="BL3975" s="497">
        <v>69.98</v>
      </c>
      <c r="BN3975" s="42"/>
      <c r="BO3975" s="74"/>
      <c r="BP3975" s="77"/>
      <c r="BR3975" s="497">
        <v>68</v>
      </c>
      <c r="BT3975" s="42"/>
    </row>
    <row r="3976" spans="1:72" x14ac:dyDescent="0.25">
      <c r="A3976" s="90">
        <v>34499</v>
      </c>
      <c r="B3976" s="20">
        <v>0.91666666666666663</v>
      </c>
      <c r="D3976">
        <v>71.960000000000008</v>
      </c>
      <c r="E3976" t="str">
        <f t="shared" si="158"/>
        <v>WEEKDAY</v>
      </c>
      <c r="F3976" t="e">
        <f t="shared" si="159"/>
        <v>#N/A</v>
      </c>
      <c r="G3976" s="74">
        <v>33038</v>
      </c>
      <c r="H3976" s="77">
        <v>0.91666666666666663</v>
      </c>
      <c r="J3976">
        <v>62.96</v>
      </c>
      <c r="M3976" s="74">
        <v>37786</v>
      </c>
      <c r="N3976" s="77">
        <v>0.91666666666666663</v>
      </c>
      <c r="P3976">
        <v>66.2</v>
      </c>
      <c r="S3976" s="74">
        <v>34499</v>
      </c>
      <c r="T3976" s="77">
        <v>0.91666666666666663</v>
      </c>
      <c r="V3976">
        <v>69.080000000000013</v>
      </c>
      <c r="X3976" s="42"/>
      <c r="AB3976">
        <v>68.099999999999994</v>
      </c>
      <c r="AC3976">
        <v>71.960000000000008</v>
      </c>
      <c r="AE3976" s="74"/>
      <c r="AF3976" s="77"/>
      <c r="AH3976" s="497">
        <v>57.2</v>
      </c>
      <c r="AJ3976" s="42"/>
      <c r="AK3976" s="74"/>
      <c r="AL3976" s="77"/>
      <c r="AN3976" s="497">
        <v>71.06</v>
      </c>
      <c r="AP3976" s="42"/>
      <c r="AQ3976" s="74"/>
      <c r="AR3976" s="77"/>
      <c r="AT3976" s="497">
        <v>60.980000000000004</v>
      </c>
      <c r="AV3976" s="42"/>
      <c r="AW3976" s="74"/>
      <c r="AX3976" s="77"/>
      <c r="BA3976" s="497">
        <v>68</v>
      </c>
      <c r="BB3976" s="42"/>
      <c r="BC3976" s="74"/>
      <c r="BD3976" s="77"/>
      <c r="BF3976">
        <v>51.980000000000004</v>
      </c>
      <c r="BH3976" s="42"/>
      <c r="BI3976" s="74"/>
      <c r="BJ3976" s="77"/>
      <c r="BL3976" s="497">
        <v>66.02</v>
      </c>
      <c r="BN3976" s="42"/>
      <c r="BO3976" s="74"/>
      <c r="BP3976" s="77"/>
      <c r="BR3976" s="497">
        <v>66.92</v>
      </c>
      <c r="BT3976" s="42"/>
    </row>
    <row r="3977" spans="1:72" x14ac:dyDescent="0.25">
      <c r="A3977" s="90">
        <v>34499</v>
      </c>
      <c r="B3977" s="20">
        <v>0.95833333333333337</v>
      </c>
      <c r="D3977">
        <v>69.98</v>
      </c>
      <c r="E3977" t="str">
        <f t="shared" si="158"/>
        <v>WEEKDAY</v>
      </c>
      <c r="F3977" t="e">
        <f t="shared" si="159"/>
        <v>#N/A</v>
      </c>
      <c r="G3977" s="74">
        <v>33038</v>
      </c>
      <c r="H3977" s="77">
        <v>0.95833333333333337</v>
      </c>
      <c r="J3977">
        <v>62.96</v>
      </c>
      <c r="M3977" s="74">
        <v>37786</v>
      </c>
      <c r="N3977" s="77">
        <v>0.95833333333333337</v>
      </c>
      <c r="P3977">
        <v>66.2</v>
      </c>
      <c r="S3977" s="74">
        <v>34499</v>
      </c>
      <c r="T3977" s="77">
        <v>0.95833333333333337</v>
      </c>
      <c r="V3977">
        <v>69.98</v>
      </c>
      <c r="X3977" s="42"/>
      <c r="AB3977">
        <v>67.5</v>
      </c>
      <c r="AC3977">
        <v>71.06</v>
      </c>
      <c r="AE3977" s="74"/>
      <c r="AF3977" s="77"/>
      <c r="AH3977" s="497">
        <v>57.2</v>
      </c>
      <c r="AJ3977" s="42"/>
      <c r="AK3977" s="74"/>
      <c r="AL3977" s="77"/>
      <c r="AN3977" s="497">
        <v>71.06</v>
      </c>
      <c r="AP3977" s="42"/>
      <c r="AQ3977" s="74"/>
      <c r="AR3977" s="77"/>
      <c r="AT3977" s="497">
        <v>57.92</v>
      </c>
      <c r="AV3977" s="42"/>
      <c r="AW3977" s="74"/>
      <c r="AX3977" s="77"/>
      <c r="BA3977" s="497">
        <v>68.36</v>
      </c>
      <c r="BB3977" s="42"/>
      <c r="BC3977" s="74"/>
      <c r="BD3977" s="77"/>
      <c r="BF3977">
        <v>51.980000000000004</v>
      </c>
      <c r="BH3977" s="42"/>
      <c r="BI3977" s="74"/>
      <c r="BJ3977" s="77"/>
      <c r="BL3977" s="497">
        <v>66.02</v>
      </c>
      <c r="BN3977" s="42"/>
      <c r="BO3977" s="74"/>
      <c r="BP3977" s="77"/>
      <c r="BR3977" s="497">
        <v>66.02</v>
      </c>
      <c r="BT3977" s="42"/>
    </row>
    <row r="3978" spans="1:72" x14ac:dyDescent="0.25">
      <c r="A3978" s="90">
        <v>34499</v>
      </c>
      <c r="B3978" s="20">
        <v>1</v>
      </c>
      <c r="D3978">
        <v>71.06</v>
      </c>
      <c r="E3978" t="str">
        <f t="shared" si="158"/>
        <v>WEEKDAY</v>
      </c>
      <c r="F3978" t="e">
        <f t="shared" si="159"/>
        <v>#N/A</v>
      </c>
      <c r="G3978" s="74">
        <v>33038</v>
      </c>
      <c r="H3978" s="77">
        <v>1</v>
      </c>
      <c r="J3978">
        <v>62.96</v>
      </c>
      <c r="M3978" s="74">
        <v>37786</v>
      </c>
      <c r="N3978" s="80">
        <v>1</v>
      </c>
      <c r="P3978">
        <v>64.400000000000006</v>
      </c>
      <c r="S3978" s="74">
        <v>34499</v>
      </c>
      <c r="T3978" s="80">
        <v>1</v>
      </c>
      <c r="V3978">
        <v>69.98</v>
      </c>
      <c r="X3978" s="42"/>
      <c r="AB3978">
        <v>67</v>
      </c>
      <c r="AC3978">
        <v>71.960000000000008</v>
      </c>
      <c r="AE3978" s="74"/>
      <c r="AF3978" s="80"/>
      <c r="AH3978" s="497">
        <v>56.3</v>
      </c>
      <c r="AJ3978" s="42"/>
      <c r="AK3978" s="74"/>
      <c r="AL3978" s="80"/>
      <c r="AN3978" s="497">
        <v>69.98</v>
      </c>
      <c r="AP3978" s="42"/>
      <c r="AQ3978" s="74"/>
      <c r="AR3978" s="80"/>
      <c r="AT3978" s="497">
        <v>55.94</v>
      </c>
      <c r="AV3978" s="42"/>
      <c r="AW3978" s="74"/>
      <c r="AX3978" s="80"/>
      <c r="BA3978" s="497">
        <v>68.72</v>
      </c>
      <c r="BB3978" s="42"/>
      <c r="BC3978" s="74"/>
      <c r="BD3978" s="80"/>
      <c r="BF3978">
        <v>50</v>
      </c>
      <c r="BH3978" s="42"/>
      <c r="BI3978" s="74"/>
      <c r="BJ3978" s="80"/>
      <c r="BL3978" s="497">
        <v>66.92</v>
      </c>
      <c r="BN3978" s="42"/>
      <c r="BO3978" s="74"/>
      <c r="BP3978" s="80"/>
      <c r="BR3978" s="497">
        <v>66.02</v>
      </c>
      <c r="BT3978" s="42"/>
    </row>
    <row r="3979" spans="1:72" x14ac:dyDescent="0.25">
      <c r="A3979" s="90">
        <v>34500</v>
      </c>
      <c r="B3979" s="20">
        <v>4.1666666666666664E-2</v>
      </c>
      <c r="D3979">
        <v>71.960000000000008</v>
      </c>
      <c r="E3979" t="str">
        <f t="shared" si="158"/>
        <v>WEEKDAY</v>
      </c>
      <c r="F3979" t="e">
        <f t="shared" si="159"/>
        <v>#N/A</v>
      </c>
      <c r="G3979" s="74">
        <v>33039</v>
      </c>
      <c r="H3979" s="77">
        <v>4.1666666666666664E-2</v>
      </c>
      <c r="J3979">
        <v>62.06</v>
      </c>
      <c r="M3979" s="74">
        <v>37787</v>
      </c>
      <c r="N3979" s="77">
        <v>4.1666666666666664E-2</v>
      </c>
      <c r="P3979">
        <v>62.6</v>
      </c>
      <c r="S3979" s="74">
        <v>34500</v>
      </c>
      <c r="T3979" s="77">
        <v>4.1666666666666664E-2</v>
      </c>
      <c r="V3979">
        <v>69.080000000000013</v>
      </c>
      <c r="X3979" s="42"/>
      <c r="AB3979">
        <v>66.5</v>
      </c>
      <c r="AC3979">
        <v>73.94</v>
      </c>
      <c r="AE3979" s="74"/>
      <c r="AF3979" s="77"/>
      <c r="AH3979" s="497">
        <v>55.400000000000006</v>
      </c>
      <c r="AJ3979" s="42"/>
      <c r="AK3979" s="74"/>
      <c r="AL3979" s="77"/>
      <c r="AN3979" s="497">
        <v>69.080000000000013</v>
      </c>
      <c r="AP3979" s="42"/>
      <c r="AQ3979" s="74"/>
      <c r="AR3979" s="77"/>
      <c r="AT3979" s="497">
        <v>55.040000000000006</v>
      </c>
      <c r="AV3979" s="42"/>
      <c r="AW3979" s="74"/>
      <c r="AX3979" s="77"/>
      <c r="BA3979" s="497">
        <v>69.080000000000013</v>
      </c>
      <c r="BB3979" s="42"/>
      <c r="BC3979" s="74"/>
      <c r="BD3979" s="77"/>
      <c r="BF3979">
        <v>50</v>
      </c>
      <c r="BH3979" s="42"/>
      <c r="BI3979" s="74"/>
      <c r="BJ3979" s="77"/>
      <c r="BL3979" s="497">
        <v>66.92</v>
      </c>
      <c r="BN3979" s="42"/>
      <c r="BO3979" s="74"/>
      <c r="BP3979" s="77"/>
      <c r="BR3979" s="497">
        <v>66.02</v>
      </c>
      <c r="BT3979" s="42"/>
    </row>
    <row r="3980" spans="1:72" x14ac:dyDescent="0.25">
      <c r="A3980" s="90">
        <v>34500</v>
      </c>
      <c r="B3980" s="20">
        <v>8.3333333333333329E-2</v>
      </c>
      <c r="D3980">
        <v>73.039999999999992</v>
      </c>
      <c r="E3980" t="str">
        <f t="shared" si="158"/>
        <v>WEEKDAY</v>
      </c>
      <c r="F3980" t="e">
        <f t="shared" si="159"/>
        <v>#N/A</v>
      </c>
      <c r="G3980" s="74">
        <v>33039</v>
      </c>
      <c r="H3980" s="77">
        <v>8.3333333333333329E-2</v>
      </c>
      <c r="J3980">
        <v>62.06</v>
      </c>
      <c r="M3980" s="74">
        <v>37787</v>
      </c>
      <c r="N3980" s="77">
        <v>8.3333333333333329E-2</v>
      </c>
      <c r="P3980">
        <v>62.6</v>
      </c>
      <c r="S3980" s="74">
        <v>34500</v>
      </c>
      <c r="T3980" s="77">
        <v>8.3333333333333329E-2</v>
      </c>
      <c r="V3980">
        <v>71.960000000000008</v>
      </c>
      <c r="X3980" s="42"/>
      <c r="AB3980">
        <v>66</v>
      </c>
      <c r="AC3980">
        <v>71.960000000000008</v>
      </c>
      <c r="AE3980" s="74"/>
      <c r="AF3980" s="77"/>
      <c r="AH3980" s="497">
        <v>55.400000000000006</v>
      </c>
      <c r="AJ3980" s="42"/>
      <c r="AK3980" s="74"/>
      <c r="AL3980" s="77"/>
      <c r="AN3980" s="497">
        <v>68</v>
      </c>
      <c r="AP3980" s="42"/>
      <c r="AQ3980" s="74"/>
      <c r="AR3980" s="77"/>
      <c r="AT3980" s="497">
        <v>53.96</v>
      </c>
      <c r="AV3980" s="42"/>
      <c r="AW3980" s="74"/>
      <c r="AX3980" s="77"/>
      <c r="BA3980" s="497">
        <v>68.36</v>
      </c>
      <c r="BB3980" s="42"/>
      <c r="BC3980" s="74"/>
      <c r="BD3980" s="77"/>
      <c r="BF3980">
        <v>50</v>
      </c>
      <c r="BH3980" s="42"/>
      <c r="BI3980" s="74"/>
      <c r="BJ3980" s="77"/>
      <c r="BL3980" s="497">
        <v>66.02</v>
      </c>
      <c r="BN3980" s="42"/>
      <c r="BO3980" s="74"/>
      <c r="BP3980" s="77"/>
      <c r="BR3980" s="497">
        <v>66.02</v>
      </c>
      <c r="BT3980" s="42"/>
    </row>
    <row r="3981" spans="1:72" x14ac:dyDescent="0.25">
      <c r="A3981" s="90">
        <v>34500</v>
      </c>
      <c r="B3981" s="20">
        <v>0.125</v>
      </c>
      <c r="D3981">
        <v>73.039999999999992</v>
      </c>
      <c r="E3981" t="str">
        <f t="shared" si="158"/>
        <v>WEEKDAY</v>
      </c>
      <c r="F3981" t="e">
        <f t="shared" si="159"/>
        <v>#N/A</v>
      </c>
      <c r="G3981" s="74">
        <v>33039</v>
      </c>
      <c r="H3981" s="77">
        <v>0.125</v>
      </c>
      <c r="J3981">
        <v>62.06</v>
      </c>
      <c r="M3981" s="74">
        <v>37787</v>
      </c>
      <c r="N3981" s="77">
        <v>0.125</v>
      </c>
      <c r="P3981">
        <v>60.8</v>
      </c>
      <c r="S3981" s="74">
        <v>34500</v>
      </c>
      <c r="T3981" s="77">
        <v>0.125</v>
      </c>
      <c r="V3981">
        <v>71.960000000000008</v>
      </c>
      <c r="X3981" s="42"/>
      <c r="AB3981">
        <v>65.5</v>
      </c>
      <c r="AC3981">
        <v>69.98</v>
      </c>
      <c r="AE3981" s="74"/>
      <c r="AF3981" s="77"/>
      <c r="AH3981" s="497">
        <v>55.400000000000006</v>
      </c>
      <c r="AJ3981" s="42"/>
      <c r="AK3981" s="74"/>
      <c r="AL3981" s="77"/>
      <c r="AN3981" s="497">
        <v>68</v>
      </c>
      <c r="AP3981" s="42"/>
      <c r="AQ3981" s="74"/>
      <c r="AR3981" s="77"/>
      <c r="AT3981" s="497">
        <v>55.94</v>
      </c>
      <c r="AV3981" s="42"/>
      <c r="AW3981" s="74"/>
      <c r="AX3981" s="77"/>
      <c r="BA3981" s="497">
        <v>67.64</v>
      </c>
      <c r="BB3981" s="42"/>
      <c r="BC3981" s="74"/>
      <c r="BD3981" s="77"/>
      <c r="BF3981">
        <v>48.019999999999996</v>
      </c>
      <c r="BH3981" s="42"/>
      <c r="BI3981" s="74"/>
      <c r="BJ3981" s="77"/>
      <c r="BL3981" s="497">
        <v>66.02</v>
      </c>
      <c r="BN3981" s="42"/>
      <c r="BO3981" s="74"/>
      <c r="BP3981" s="77"/>
      <c r="BR3981" s="497">
        <v>66.02</v>
      </c>
      <c r="BT3981" s="42"/>
    </row>
    <row r="3982" spans="1:72" x14ac:dyDescent="0.25">
      <c r="A3982" s="90">
        <v>34500</v>
      </c>
      <c r="B3982" s="20">
        <v>0.16666666666666666</v>
      </c>
      <c r="D3982">
        <v>73.039999999999992</v>
      </c>
      <c r="E3982" t="str">
        <f t="shared" si="158"/>
        <v>WEEKDAY</v>
      </c>
      <c r="F3982" t="e">
        <f t="shared" si="159"/>
        <v>#N/A</v>
      </c>
      <c r="G3982" s="74">
        <v>33039</v>
      </c>
      <c r="H3982" s="77">
        <v>0.16666666666666666</v>
      </c>
      <c r="J3982">
        <v>60.980000000000004</v>
      </c>
      <c r="M3982" s="74">
        <v>37787</v>
      </c>
      <c r="N3982" s="77">
        <v>0.16666666666666666</v>
      </c>
      <c r="P3982">
        <v>59</v>
      </c>
      <c r="S3982" s="74">
        <v>34500</v>
      </c>
      <c r="T3982" s="77">
        <v>0.16666666666666666</v>
      </c>
      <c r="V3982">
        <v>69.98</v>
      </c>
      <c r="X3982" s="42"/>
      <c r="AB3982">
        <v>65.099999999999994</v>
      </c>
      <c r="AC3982">
        <v>69.080000000000013</v>
      </c>
      <c r="AE3982" s="74"/>
      <c r="AF3982" s="77"/>
      <c r="AH3982" s="497">
        <v>55.400000000000006</v>
      </c>
      <c r="AJ3982" s="42"/>
      <c r="AK3982" s="74"/>
      <c r="AL3982" s="77"/>
      <c r="AN3982" s="497">
        <v>68</v>
      </c>
      <c r="AP3982" s="42"/>
      <c r="AQ3982" s="74"/>
      <c r="AR3982" s="77"/>
      <c r="AT3982" s="497">
        <v>55.040000000000006</v>
      </c>
      <c r="AV3982" s="42"/>
      <c r="AW3982" s="74"/>
      <c r="AX3982" s="77"/>
      <c r="BA3982" s="497">
        <v>66.92</v>
      </c>
      <c r="BB3982" s="42"/>
      <c r="BC3982" s="74"/>
      <c r="BD3982" s="77"/>
      <c r="BF3982">
        <v>46.94</v>
      </c>
      <c r="BH3982" s="42"/>
      <c r="BI3982" s="74"/>
      <c r="BJ3982" s="77"/>
      <c r="BL3982" s="497">
        <v>66.02</v>
      </c>
      <c r="BN3982" s="42"/>
      <c r="BO3982" s="74"/>
      <c r="BP3982" s="77"/>
      <c r="BR3982" s="497">
        <v>66.92</v>
      </c>
      <c r="BT3982" s="42"/>
    </row>
    <row r="3983" spans="1:72" x14ac:dyDescent="0.25">
      <c r="A3983" s="90">
        <v>34500</v>
      </c>
      <c r="B3983" s="20">
        <v>0.20833333333333334</v>
      </c>
      <c r="D3983">
        <v>73.94</v>
      </c>
      <c r="E3983" t="str">
        <f t="shared" si="158"/>
        <v>WEEKDAY</v>
      </c>
      <c r="F3983" t="e">
        <f t="shared" si="159"/>
        <v>#N/A</v>
      </c>
      <c r="G3983" s="74">
        <v>33039</v>
      </c>
      <c r="H3983" s="77">
        <v>0.20833333333333334</v>
      </c>
      <c r="J3983">
        <v>60.980000000000004</v>
      </c>
      <c r="M3983" s="74">
        <v>37787</v>
      </c>
      <c r="N3983" s="77">
        <v>0.20833333333333334</v>
      </c>
      <c r="P3983">
        <v>59</v>
      </c>
      <c r="S3983" s="74">
        <v>34500</v>
      </c>
      <c r="T3983" s="77">
        <v>0.20833333333333334</v>
      </c>
      <c r="V3983">
        <v>69.080000000000013</v>
      </c>
      <c r="X3983" s="42"/>
      <c r="AB3983">
        <v>64.7</v>
      </c>
      <c r="AC3983">
        <v>69.080000000000013</v>
      </c>
      <c r="AE3983" s="74"/>
      <c r="AF3983" s="77"/>
      <c r="AH3983" s="497">
        <v>55.400000000000006</v>
      </c>
      <c r="AJ3983" s="42"/>
      <c r="AK3983" s="74"/>
      <c r="AL3983" s="77"/>
      <c r="AN3983" s="497">
        <v>68</v>
      </c>
      <c r="AP3983" s="42"/>
      <c r="AQ3983" s="74"/>
      <c r="AR3983" s="77"/>
      <c r="AT3983" s="497">
        <v>55.040000000000006</v>
      </c>
      <c r="AV3983" s="42"/>
      <c r="AW3983" s="74"/>
      <c r="AX3983" s="77"/>
      <c r="BA3983" s="497">
        <v>68.539999999999992</v>
      </c>
      <c r="BB3983" s="42"/>
      <c r="BC3983" s="74"/>
      <c r="BD3983" s="77"/>
      <c r="BF3983">
        <v>48.92</v>
      </c>
      <c r="BH3983" s="42"/>
      <c r="BI3983" s="74"/>
      <c r="BJ3983" s="77"/>
      <c r="BL3983" s="497">
        <v>66.02</v>
      </c>
      <c r="BN3983" s="42"/>
      <c r="BO3983" s="74"/>
      <c r="BP3983" s="77"/>
      <c r="BR3983" s="497">
        <v>66.92</v>
      </c>
      <c r="BT3983" s="42"/>
    </row>
    <row r="3984" spans="1:72" x14ac:dyDescent="0.25">
      <c r="A3984" s="90">
        <v>34500</v>
      </c>
      <c r="B3984" s="20">
        <v>0.25</v>
      </c>
      <c r="D3984">
        <v>73.94</v>
      </c>
      <c r="E3984" t="str">
        <f t="shared" si="158"/>
        <v>WEEKDAY</v>
      </c>
      <c r="F3984" t="e">
        <f t="shared" si="159"/>
        <v>#N/A</v>
      </c>
      <c r="G3984" s="74">
        <v>33039</v>
      </c>
      <c r="H3984" s="77">
        <v>0.25</v>
      </c>
      <c r="J3984">
        <v>62.96</v>
      </c>
      <c r="M3984" s="74">
        <v>37787</v>
      </c>
      <c r="N3984" s="77">
        <v>0.25</v>
      </c>
      <c r="P3984">
        <v>60.8</v>
      </c>
      <c r="S3984" s="74">
        <v>34500</v>
      </c>
      <c r="T3984" s="77">
        <v>0.25</v>
      </c>
      <c r="V3984">
        <v>69.98</v>
      </c>
      <c r="X3984" s="42"/>
      <c r="AB3984">
        <v>64.7</v>
      </c>
      <c r="AC3984">
        <v>69.080000000000013</v>
      </c>
      <c r="AE3984" s="74"/>
      <c r="AF3984" s="77"/>
      <c r="AH3984" s="497">
        <v>55.400000000000006</v>
      </c>
      <c r="AJ3984" s="42"/>
      <c r="AK3984" s="74"/>
      <c r="AL3984" s="77"/>
      <c r="AN3984" s="497">
        <v>64.94</v>
      </c>
      <c r="AP3984" s="42"/>
      <c r="AQ3984" s="74"/>
      <c r="AR3984" s="77"/>
      <c r="AT3984" s="497">
        <v>59</v>
      </c>
      <c r="AV3984" s="42"/>
      <c r="AW3984" s="74"/>
      <c r="AX3984" s="77"/>
      <c r="BA3984" s="497">
        <v>70.34</v>
      </c>
      <c r="BB3984" s="42"/>
      <c r="BC3984" s="74"/>
      <c r="BD3984" s="77"/>
      <c r="BF3984">
        <v>48.92</v>
      </c>
      <c r="BH3984" s="42"/>
      <c r="BI3984" s="74"/>
      <c r="BJ3984" s="77"/>
      <c r="BL3984" s="497">
        <v>66.02</v>
      </c>
      <c r="BN3984" s="42"/>
      <c r="BO3984" s="74"/>
      <c r="BP3984" s="77"/>
      <c r="BR3984" s="497">
        <v>68</v>
      </c>
      <c r="BT3984" s="42"/>
    </row>
    <row r="3985" spans="1:72" x14ac:dyDescent="0.25">
      <c r="A3985" s="90">
        <v>34500</v>
      </c>
      <c r="B3985" s="20">
        <v>0.29166666666666669</v>
      </c>
      <c r="D3985">
        <v>75.92</v>
      </c>
      <c r="E3985" t="str">
        <f t="shared" si="158"/>
        <v>WEEKDAY</v>
      </c>
      <c r="F3985" t="e">
        <f t="shared" si="159"/>
        <v>#N/A</v>
      </c>
      <c r="G3985" s="74">
        <v>33039</v>
      </c>
      <c r="H3985" s="77">
        <v>0.29166666666666669</v>
      </c>
      <c r="J3985">
        <v>64.039999999999992</v>
      </c>
      <c r="M3985" s="74">
        <v>37787</v>
      </c>
      <c r="N3985" s="77">
        <v>0.29166666666666669</v>
      </c>
      <c r="P3985">
        <v>64.400000000000006</v>
      </c>
      <c r="S3985" s="74">
        <v>34500</v>
      </c>
      <c r="T3985" s="77">
        <v>0.29166666666666669</v>
      </c>
      <c r="V3985">
        <v>71.06</v>
      </c>
      <c r="X3985" s="42"/>
      <c r="AB3985">
        <v>66.3</v>
      </c>
      <c r="AC3985">
        <v>71.960000000000008</v>
      </c>
      <c r="AE3985" s="74"/>
      <c r="AF3985" s="77"/>
      <c r="AH3985" s="497">
        <v>55.400000000000006</v>
      </c>
      <c r="AJ3985" s="42"/>
      <c r="AK3985" s="74"/>
      <c r="AL3985" s="77"/>
      <c r="AN3985" s="497">
        <v>66.92</v>
      </c>
      <c r="AP3985" s="42"/>
      <c r="AQ3985" s="74"/>
      <c r="AR3985" s="77"/>
      <c r="AT3985" s="497">
        <v>62.06</v>
      </c>
      <c r="AV3985" s="42"/>
      <c r="AW3985" s="74"/>
      <c r="AX3985" s="77"/>
      <c r="BA3985" s="497">
        <v>71.960000000000008</v>
      </c>
      <c r="BB3985" s="42"/>
      <c r="BC3985" s="74"/>
      <c r="BD3985" s="77"/>
      <c r="BF3985">
        <v>55.040000000000006</v>
      </c>
      <c r="BH3985" s="42"/>
      <c r="BI3985" s="74"/>
      <c r="BJ3985" s="77"/>
      <c r="BL3985" s="497">
        <v>69.080000000000013</v>
      </c>
      <c r="BN3985" s="42"/>
      <c r="BO3985" s="74"/>
      <c r="BP3985" s="77"/>
      <c r="BR3985" s="497">
        <v>69.080000000000013</v>
      </c>
      <c r="BT3985" s="42"/>
    </row>
    <row r="3986" spans="1:72" x14ac:dyDescent="0.25">
      <c r="A3986" s="90">
        <v>34500</v>
      </c>
      <c r="B3986" s="20">
        <v>0.33333333333333331</v>
      </c>
      <c r="D3986">
        <v>77</v>
      </c>
      <c r="E3986" t="str">
        <f t="shared" si="158"/>
        <v>WEEKDAY</v>
      </c>
      <c r="F3986" t="e">
        <f t="shared" si="159"/>
        <v>#N/A</v>
      </c>
      <c r="G3986" s="74">
        <v>33039</v>
      </c>
      <c r="H3986" s="77">
        <v>0.33333333333333331</v>
      </c>
      <c r="J3986">
        <v>64.94</v>
      </c>
      <c r="M3986" s="74">
        <v>37787</v>
      </c>
      <c r="N3986" s="77">
        <v>0.33333333333333331</v>
      </c>
      <c r="P3986">
        <v>66.2</v>
      </c>
      <c r="S3986" s="74">
        <v>34500</v>
      </c>
      <c r="T3986" s="77">
        <v>0.33333333333333331</v>
      </c>
      <c r="V3986">
        <v>75.92</v>
      </c>
      <c r="X3986" s="42"/>
      <c r="AB3986">
        <v>68.099999999999994</v>
      </c>
      <c r="AC3986">
        <v>78.080000000000013</v>
      </c>
      <c r="AE3986" s="74"/>
      <c r="AF3986" s="77"/>
      <c r="AH3986" s="497">
        <v>55.400000000000006</v>
      </c>
      <c r="AJ3986" s="42"/>
      <c r="AK3986" s="74"/>
      <c r="AL3986" s="77"/>
      <c r="AN3986" s="497">
        <v>69.98</v>
      </c>
      <c r="AP3986" s="42"/>
      <c r="AQ3986" s="74"/>
      <c r="AR3986" s="77"/>
      <c r="AT3986" s="497">
        <v>66.92</v>
      </c>
      <c r="AV3986" s="42"/>
      <c r="AW3986" s="74"/>
      <c r="AX3986" s="77"/>
      <c r="BA3986" s="497">
        <v>75.38</v>
      </c>
      <c r="BB3986" s="42"/>
      <c r="BC3986" s="74"/>
      <c r="BD3986" s="77"/>
      <c r="BF3986">
        <v>57.92</v>
      </c>
      <c r="BH3986" s="42"/>
      <c r="BI3986" s="74"/>
      <c r="BJ3986" s="77"/>
      <c r="BL3986" s="497">
        <v>73.94</v>
      </c>
      <c r="BN3986" s="42"/>
      <c r="BO3986" s="74"/>
      <c r="BP3986" s="77"/>
      <c r="BR3986" s="497">
        <v>69.98</v>
      </c>
      <c r="BT3986" s="42"/>
    </row>
    <row r="3987" spans="1:72" x14ac:dyDescent="0.25">
      <c r="A3987" s="90">
        <v>34500</v>
      </c>
      <c r="B3987" s="20">
        <v>0.375</v>
      </c>
      <c r="D3987">
        <v>78.98</v>
      </c>
      <c r="E3987" t="str">
        <f t="shared" ref="E3987:E4050" si="160">IF(COUNTIF($DI$18:$DI$22, WEEKDAY(A3987))=1, "WEEKDAY", IF(WEEKDAY(A3987) = 1, "SUNDAY", "SATURDAY"))</f>
        <v>WEEKDAY</v>
      </c>
      <c r="F3987" t="e">
        <f t="shared" si="159"/>
        <v>#N/A</v>
      </c>
      <c r="G3987" s="74">
        <v>33039</v>
      </c>
      <c r="H3987" s="77">
        <v>0.375</v>
      </c>
      <c r="J3987">
        <v>68</v>
      </c>
      <c r="M3987" s="74">
        <v>37787</v>
      </c>
      <c r="N3987" s="77">
        <v>0.375</v>
      </c>
      <c r="P3987">
        <v>69.800000000000011</v>
      </c>
      <c r="S3987" s="74">
        <v>34500</v>
      </c>
      <c r="T3987" s="77">
        <v>0.375</v>
      </c>
      <c r="V3987">
        <v>78.98</v>
      </c>
      <c r="X3987" s="42"/>
      <c r="AB3987">
        <v>70.099999999999994</v>
      </c>
      <c r="AC3987">
        <v>84.02</v>
      </c>
      <c r="AE3987" s="74"/>
      <c r="AF3987" s="77"/>
      <c r="AH3987" s="497">
        <v>58.28</v>
      </c>
      <c r="AJ3987" s="42"/>
      <c r="AK3987" s="74"/>
      <c r="AL3987" s="77"/>
      <c r="AN3987" s="497">
        <v>75.92</v>
      </c>
      <c r="AP3987" s="42"/>
      <c r="AQ3987" s="74"/>
      <c r="AR3987" s="77"/>
      <c r="AT3987" s="497">
        <v>71.960000000000008</v>
      </c>
      <c r="AV3987" s="42"/>
      <c r="AW3987" s="74"/>
      <c r="AX3987" s="77"/>
      <c r="BA3987" s="497">
        <v>78.62</v>
      </c>
      <c r="BB3987" s="42"/>
      <c r="BC3987" s="74"/>
      <c r="BD3987" s="77"/>
      <c r="BF3987">
        <v>60.08</v>
      </c>
      <c r="BH3987" s="42"/>
      <c r="BI3987" s="74"/>
      <c r="BJ3987" s="77"/>
      <c r="BL3987" s="497">
        <v>78.98</v>
      </c>
      <c r="BN3987" s="42"/>
      <c r="BO3987" s="74"/>
      <c r="BP3987" s="77"/>
      <c r="BR3987" s="497">
        <v>71.06</v>
      </c>
      <c r="BT3987" s="42"/>
    </row>
    <row r="3988" spans="1:72" x14ac:dyDescent="0.25">
      <c r="A3988" s="90">
        <v>34500</v>
      </c>
      <c r="B3988" s="20">
        <v>0.41666666666666669</v>
      </c>
      <c r="D3988">
        <v>80.960000000000008</v>
      </c>
      <c r="E3988" t="str">
        <f t="shared" si="160"/>
        <v>WEEKDAY</v>
      </c>
      <c r="F3988" t="e">
        <f t="shared" si="159"/>
        <v>#N/A</v>
      </c>
      <c r="G3988" s="74">
        <v>33039</v>
      </c>
      <c r="H3988" s="77">
        <v>0.41666666666666669</v>
      </c>
      <c r="J3988">
        <v>69.98</v>
      </c>
      <c r="M3988" s="74">
        <v>37787</v>
      </c>
      <c r="N3988" s="77">
        <v>0.41666666666666669</v>
      </c>
      <c r="P3988">
        <v>73.400000000000006</v>
      </c>
      <c r="S3988" s="74">
        <v>34500</v>
      </c>
      <c r="T3988" s="77">
        <v>0.41666666666666669</v>
      </c>
      <c r="V3988">
        <v>80.06</v>
      </c>
      <c r="X3988" s="42"/>
      <c r="AB3988">
        <v>71.8</v>
      </c>
      <c r="AC3988">
        <v>87.98</v>
      </c>
      <c r="AE3988" s="74"/>
      <c r="AF3988" s="77"/>
      <c r="AH3988" s="497">
        <v>60.8</v>
      </c>
      <c r="AJ3988" s="42"/>
      <c r="AK3988" s="74"/>
      <c r="AL3988" s="77"/>
      <c r="AN3988" s="497">
        <v>80.06</v>
      </c>
      <c r="AP3988" s="42"/>
      <c r="AQ3988" s="74"/>
      <c r="AR3988" s="77"/>
      <c r="AT3988" s="497">
        <v>73.94</v>
      </c>
      <c r="AV3988" s="42"/>
      <c r="AW3988" s="74"/>
      <c r="AX3988" s="77"/>
      <c r="BA3988" s="497">
        <v>82.039999999999992</v>
      </c>
      <c r="BB3988" s="42"/>
      <c r="BC3988" s="74"/>
      <c r="BD3988" s="77"/>
      <c r="BF3988">
        <v>62.96</v>
      </c>
      <c r="BH3988" s="42"/>
      <c r="BI3988" s="74"/>
      <c r="BJ3988" s="77"/>
      <c r="BL3988" s="497">
        <v>82.039999999999992</v>
      </c>
      <c r="BN3988" s="42"/>
      <c r="BO3988" s="74"/>
      <c r="BP3988" s="77"/>
      <c r="BR3988" s="497">
        <v>73.039999999999992</v>
      </c>
      <c r="BT3988" s="42"/>
    </row>
    <row r="3989" spans="1:72" x14ac:dyDescent="0.25">
      <c r="A3989" s="90">
        <v>34500</v>
      </c>
      <c r="B3989" s="20">
        <v>0.45833333333333331</v>
      </c>
      <c r="D3989">
        <v>82.94</v>
      </c>
      <c r="E3989" t="str">
        <f t="shared" si="160"/>
        <v>WEEKDAY</v>
      </c>
      <c r="F3989" t="e">
        <f t="shared" si="159"/>
        <v>#N/A</v>
      </c>
      <c r="G3989" s="74">
        <v>33039</v>
      </c>
      <c r="H3989" s="77">
        <v>0.45833333333333331</v>
      </c>
      <c r="J3989">
        <v>71.06</v>
      </c>
      <c r="M3989" s="74">
        <v>37787</v>
      </c>
      <c r="N3989" s="77">
        <v>0.45833333333333331</v>
      </c>
      <c r="P3989">
        <v>73.400000000000006</v>
      </c>
      <c r="S3989" s="74">
        <v>34500</v>
      </c>
      <c r="T3989" s="77">
        <v>0.45833333333333331</v>
      </c>
      <c r="V3989">
        <v>82.94</v>
      </c>
      <c r="X3989" s="42"/>
      <c r="AB3989">
        <v>73.400000000000006</v>
      </c>
      <c r="AC3989">
        <v>89.960000000000008</v>
      </c>
      <c r="AE3989" s="74"/>
      <c r="AF3989" s="77"/>
      <c r="AH3989" s="497">
        <v>62.6</v>
      </c>
      <c r="AJ3989" s="42"/>
      <c r="AK3989" s="74"/>
      <c r="AL3989" s="77"/>
      <c r="AN3989" s="497">
        <v>82.94</v>
      </c>
      <c r="AP3989" s="42"/>
      <c r="AQ3989" s="74"/>
      <c r="AR3989" s="77"/>
      <c r="AT3989" s="497">
        <v>77</v>
      </c>
      <c r="AV3989" s="42"/>
      <c r="AW3989" s="74"/>
      <c r="AX3989" s="77"/>
      <c r="BA3989" s="497">
        <v>82.94</v>
      </c>
      <c r="BB3989" s="42"/>
      <c r="BC3989" s="74"/>
      <c r="BD3989" s="77"/>
      <c r="BF3989">
        <v>64.039999999999992</v>
      </c>
      <c r="BH3989" s="42"/>
      <c r="BI3989" s="74"/>
      <c r="BJ3989" s="77"/>
      <c r="BL3989" s="497">
        <v>82.94</v>
      </c>
      <c r="BN3989" s="42"/>
      <c r="BO3989" s="74"/>
      <c r="BP3989" s="77"/>
      <c r="BR3989" s="497">
        <v>75.92</v>
      </c>
      <c r="BT3989" s="42"/>
    </row>
    <row r="3990" spans="1:72" x14ac:dyDescent="0.25">
      <c r="A3990" s="90">
        <v>34500</v>
      </c>
      <c r="B3990" s="20">
        <v>0.5</v>
      </c>
      <c r="D3990">
        <v>86</v>
      </c>
      <c r="E3990" t="str">
        <f t="shared" si="160"/>
        <v>WEEKDAY</v>
      </c>
      <c r="F3990" t="e">
        <f t="shared" si="159"/>
        <v>#N/A</v>
      </c>
      <c r="G3990" s="74">
        <v>33039</v>
      </c>
      <c r="H3990" s="77">
        <v>0.5</v>
      </c>
      <c r="J3990">
        <v>71.960000000000008</v>
      </c>
      <c r="M3990" s="74">
        <v>37787</v>
      </c>
      <c r="N3990" s="77">
        <v>0.5</v>
      </c>
      <c r="P3990">
        <v>75.2</v>
      </c>
      <c r="S3990" s="74">
        <v>34500</v>
      </c>
      <c r="T3990" s="77">
        <v>0.5</v>
      </c>
      <c r="V3990">
        <v>87.98</v>
      </c>
      <c r="X3990" s="42"/>
      <c r="AB3990">
        <v>74.400000000000006</v>
      </c>
      <c r="AC3990">
        <v>89.960000000000008</v>
      </c>
      <c r="AE3990" s="74"/>
      <c r="AF3990" s="77"/>
      <c r="AH3990" s="497">
        <v>66.2</v>
      </c>
      <c r="AJ3990" s="42"/>
      <c r="AK3990" s="74"/>
      <c r="AL3990" s="77"/>
      <c r="AN3990" s="497">
        <v>82.94</v>
      </c>
      <c r="AP3990" s="42"/>
      <c r="AQ3990" s="74"/>
      <c r="AR3990" s="77"/>
      <c r="AT3990" s="497">
        <v>78.98</v>
      </c>
      <c r="AV3990" s="42"/>
      <c r="AW3990" s="74"/>
      <c r="AX3990" s="77"/>
      <c r="BA3990" s="497">
        <v>84.02</v>
      </c>
      <c r="BB3990" s="42"/>
      <c r="BC3990" s="74"/>
      <c r="BD3990" s="77"/>
      <c r="BF3990">
        <v>64.94</v>
      </c>
      <c r="BH3990" s="42"/>
      <c r="BI3990" s="74"/>
      <c r="BJ3990" s="77"/>
      <c r="BL3990" s="497">
        <v>84.92</v>
      </c>
      <c r="BN3990" s="42"/>
      <c r="BO3990" s="74"/>
      <c r="BP3990" s="77"/>
      <c r="BR3990" s="497">
        <v>78.98</v>
      </c>
      <c r="BT3990" s="42"/>
    </row>
    <row r="3991" spans="1:72" x14ac:dyDescent="0.25">
      <c r="A3991" s="90">
        <v>34500</v>
      </c>
      <c r="B3991" s="20">
        <v>0.54166666666666663</v>
      </c>
      <c r="D3991">
        <v>89.06</v>
      </c>
      <c r="E3991" t="str">
        <f t="shared" si="160"/>
        <v>WEEKDAY</v>
      </c>
      <c r="F3991" t="e">
        <f t="shared" si="159"/>
        <v>#N/A</v>
      </c>
      <c r="G3991" s="74">
        <v>33039</v>
      </c>
      <c r="H3991" s="77">
        <v>0.54166666666666663</v>
      </c>
      <c r="J3991">
        <v>73.94</v>
      </c>
      <c r="M3991" s="74">
        <v>37787</v>
      </c>
      <c r="N3991" s="77">
        <v>0.54166666666666663</v>
      </c>
      <c r="P3991">
        <v>77</v>
      </c>
      <c r="S3991" s="74">
        <v>34500</v>
      </c>
      <c r="T3991" s="77">
        <v>0.54166666666666663</v>
      </c>
      <c r="V3991">
        <v>82.039999999999992</v>
      </c>
      <c r="X3991" s="42"/>
      <c r="AB3991">
        <v>75.2</v>
      </c>
      <c r="AC3991">
        <v>87.080000000000013</v>
      </c>
      <c r="AE3991" s="74"/>
      <c r="AF3991" s="77"/>
      <c r="AH3991" s="497">
        <v>71.599999999999994</v>
      </c>
      <c r="AJ3991" s="42"/>
      <c r="AK3991" s="74"/>
      <c r="AL3991" s="77"/>
      <c r="AN3991" s="497">
        <v>84.92</v>
      </c>
      <c r="AP3991" s="42"/>
      <c r="AQ3991" s="74"/>
      <c r="AR3991" s="77"/>
      <c r="AT3991" s="497">
        <v>78.080000000000013</v>
      </c>
      <c r="AV3991" s="42"/>
      <c r="AW3991" s="74"/>
      <c r="AX3991" s="77"/>
      <c r="BA3991" s="497">
        <v>84.92</v>
      </c>
      <c r="BB3991" s="42"/>
      <c r="BC3991" s="74"/>
      <c r="BD3991" s="77"/>
      <c r="BF3991">
        <v>64.94</v>
      </c>
      <c r="BH3991" s="42"/>
      <c r="BI3991" s="74"/>
      <c r="BJ3991" s="77"/>
      <c r="BL3991" s="497">
        <v>84.92</v>
      </c>
      <c r="BN3991" s="42"/>
      <c r="BO3991" s="74"/>
      <c r="BP3991" s="77"/>
      <c r="BR3991" s="497">
        <v>82.039999999999992</v>
      </c>
      <c r="BT3991" s="42"/>
    </row>
    <row r="3992" spans="1:72" x14ac:dyDescent="0.25">
      <c r="A3992" s="90">
        <v>34500</v>
      </c>
      <c r="B3992" s="20">
        <v>0.58333333333333337</v>
      </c>
      <c r="D3992">
        <v>89.06</v>
      </c>
      <c r="E3992" t="str">
        <f t="shared" si="160"/>
        <v>WEEKDAY</v>
      </c>
      <c r="F3992" t="e">
        <f t="shared" si="159"/>
        <v>#N/A</v>
      </c>
      <c r="G3992" s="74">
        <v>33039</v>
      </c>
      <c r="H3992" s="77">
        <v>0.58333333333333337</v>
      </c>
      <c r="J3992">
        <v>77</v>
      </c>
      <c r="M3992" s="74">
        <v>37787</v>
      </c>
      <c r="N3992" s="77">
        <v>0.58333333333333337</v>
      </c>
      <c r="P3992">
        <v>75.2</v>
      </c>
      <c r="S3992" s="74">
        <v>34500</v>
      </c>
      <c r="T3992" s="77">
        <v>0.58333333333333337</v>
      </c>
      <c r="V3992">
        <v>77</v>
      </c>
      <c r="X3992" s="42"/>
      <c r="AB3992">
        <v>75.599999999999994</v>
      </c>
      <c r="AC3992">
        <v>84.02</v>
      </c>
      <c r="AE3992" s="74"/>
      <c r="AF3992" s="77"/>
      <c r="AH3992" s="497">
        <v>73.400000000000006</v>
      </c>
      <c r="AJ3992" s="42"/>
      <c r="AK3992" s="74"/>
      <c r="AL3992" s="77"/>
      <c r="AN3992" s="497">
        <v>86</v>
      </c>
      <c r="AP3992" s="42"/>
      <c r="AQ3992" s="74"/>
      <c r="AR3992" s="77"/>
      <c r="AT3992" s="497">
        <v>80.960000000000008</v>
      </c>
      <c r="AV3992" s="42"/>
      <c r="AW3992" s="74"/>
      <c r="AX3992" s="77"/>
      <c r="BA3992" s="497">
        <v>85.64</v>
      </c>
      <c r="BB3992" s="42"/>
      <c r="BC3992" s="74"/>
      <c r="BD3992" s="77"/>
      <c r="BF3992">
        <v>66.02</v>
      </c>
      <c r="BH3992" s="42"/>
      <c r="BI3992" s="74"/>
      <c r="BJ3992" s="77"/>
      <c r="BL3992" s="497">
        <v>82.039999999999992</v>
      </c>
      <c r="BN3992" s="42"/>
      <c r="BO3992" s="74"/>
      <c r="BP3992" s="77"/>
      <c r="BR3992" s="497">
        <v>84.02</v>
      </c>
      <c r="BT3992" s="42"/>
    </row>
    <row r="3993" spans="1:72" x14ac:dyDescent="0.25">
      <c r="A3993" s="90">
        <v>34500</v>
      </c>
      <c r="B3993" s="20">
        <v>0.625</v>
      </c>
      <c r="D3993">
        <v>87.98</v>
      </c>
      <c r="E3993" t="str">
        <f t="shared" si="160"/>
        <v>WEEKDAY</v>
      </c>
      <c r="F3993" t="e">
        <f t="shared" si="159"/>
        <v>#N/A</v>
      </c>
      <c r="G3993" s="74">
        <v>33039</v>
      </c>
      <c r="H3993" s="77">
        <v>0.625</v>
      </c>
      <c r="J3993">
        <v>75.92</v>
      </c>
      <c r="M3993" s="74">
        <v>37787</v>
      </c>
      <c r="N3993" s="77">
        <v>0.625</v>
      </c>
      <c r="P3993">
        <v>77</v>
      </c>
      <c r="S3993" s="74">
        <v>34500</v>
      </c>
      <c r="T3993" s="77">
        <v>0.625</v>
      </c>
      <c r="V3993">
        <v>80.06</v>
      </c>
      <c r="X3993" s="42"/>
      <c r="AB3993">
        <v>75.3</v>
      </c>
      <c r="AC3993">
        <v>82.039999999999992</v>
      </c>
      <c r="AE3993" s="74"/>
      <c r="AF3993" s="77"/>
      <c r="AH3993" s="497">
        <v>73.400000000000006</v>
      </c>
      <c r="AJ3993" s="42"/>
      <c r="AK3993" s="74"/>
      <c r="AL3993" s="77"/>
      <c r="AN3993" s="497">
        <v>87.080000000000013</v>
      </c>
      <c r="AP3993" s="42"/>
      <c r="AQ3993" s="74"/>
      <c r="AR3993" s="77"/>
      <c r="AT3993" s="497">
        <v>80.960000000000008</v>
      </c>
      <c r="AV3993" s="42"/>
      <c r="AW3993" s="74"/>
      <c r="AX3993" s="77"/>
      <c r="BA3993" s="497">
        <v>86.36</v>
      </c>
      <c r="BB3993" s="42"/>
      <c r="BC3993" s="74"/>
      <c r="BD3993" s="77"/>
      <c r="BF3993">
        <v>64.94</v>
      </c>
      <c r="BH3993" s="42"/>
      <c r="BI3993" s="74"/>
      <c r="BJ3993" s="77"/>
      <c r="BL3993" s="497">
        <v>82.94</v>
      </c>
      <c r="BN3993" s="42"/>
      <c r="BO3993" s="74"/>
      <c r="BP3993" s="77"/>
      <c r="BR3993" s="497">
        <v>84.02</v>
      </c>
      <c r="BT3993" s="42"/>
    </row>
    <row r="3994" spans="1:72" x14ac:dyDescent="0.25">
      <c r="A3994" s="90">
        <v>34500</v>
      </c>
      <c r="B3994" s="20">
        <v>0.66666666666666663</v>
      </c>
      <c r="D3994">
        <v>87.98</v>
      </c>
      <c r="E3994" t="str">
        <f t="shared" si="160"/>
        <v>WEEKDAY</v>
      </c>
      <c r="F3994" t="e">
        <f t="shared" si="159"/>
        <v>#N/A</v>
      </c>
      <c r="G3994" s="74">
        <v>33039</v>
      </c>
      <c r="H3994" s="77">
        <v>0.66666666666666663</v>
      </c>
      <c r="J3994">
        <v>75.02</v>
      </c>
      <c r="M3994" s="74">
        <v>37787</v>
      </c>
      <c r="N3994" s="77">
        <v>0.66666666666666663</v>
      </c>
      <c r="P3994">
        <v>78.800000000000011</v>
      </c>
      <c r="S3994" s="74">
        <v>34500</v>
      </c>
      <c r="T3994" s="77">
        <v>0.66666666666666663</v>
      </c>
      <c r="V3994">
        <v>78.080000000000013</v>
      </c>
      <c r="X3994" s="42"/>
      <c r="AB3994">
        <v>74.900000000000006</v>
      </c>
      <c r="AC3994">
        <v>80.06</v>
      </c>
      <c r="AE3994" s="74"/>
      <c r="AF3994" s="77"/>
      <c r="AH3994" s="497">
        <v>73.400000000000006</v>
      </c>
      <c r="AJ3994" s="42"/>
      <c r="AK3994" s="74"/>
      <c r="AL3994" s="77"/>
      <c r="AN3994" s="497">
        <v>86</v>
      </c>
      <c r="AP3994" s="42"/>
      <c r="AQ3994" s="74"/>
      <c r="AR3994" s="77"/>
      <c r="AT3994" s="497">
        <v>82.039999999999992</v>
      </c>
      <c r="AV3994" s="42"/>
      <c r="AW3994" s="74"/>
      <c r="AX3994" s="77"/>
      <c r="BA3994" s="497">
        <v>87.080000000000013</v>
      </c>
      <c r="BB3994" s="42"/>
      <c r="BC3994" s="74"/>
      <c r="BD3994" s="77"/>
      <c r="BF3994">
        <v>66.02</v>
      </c>
      <c r="BH3994" s="42"/>
      <c r="BI3994" s="74"/>
      <c r="BJ3994" s="77"/>
      <c r="BL3994" s="497">
        <v>84.92</v>
      </c>
      <c r="BN3994" s="42"/>
      <c r="BO3994" s="74"/>
      <c r="BP3994" s="77"/>
      <c r="BR3994" s="497">
        <v>82.94</v>
      </c>
      <c r="BT3994" s="42"/>
    </row>
    <row r="3995" spans="1:72" x14ac:dyDescent="0.25">
      <c r="A3995" s="90">
        <v>34500</v>
      </c>
      <c r="B3995" s="20">
        <v>0.70833333333333337</v>
      </c>
      <c r="D3995">
        <v>87.98</v>
      </c>
      <c r="E3995" t="str">
        <f t="shared" si="160"/>
        <v>WEEKDAY</v>
      </c>
      <c r="F3995" t="e">
        <f t="shared" si="159"/>
        <v>#N/A</v>
      </c>
      <c r="G3995" s="74">
        <v>33039</v>
      </c>
      <c r="H3995" s="77">
        <v>0.70833333333333337</v>
      </c>
      <c r="J3995">
        <v>73.94</v>
      </c>
      <c r="M3995" s="74">
        <v>37787</v>
      </c>
      <c r="N3995" s="77">
        <v>0.70833333333333337</v>
      </c>
      <c r="P3995">
        <v>77</v>
      </c>
      <c r="S3995" s="74">
        <v>34500</v>
      </c>
      <c r="T3995" s="77">
        <v>0.70833333333333337</v>
      </c>
      <c r="V3995">
        <v>78.98</v>
      </c>
      <c r="X3995" s="42"/>
      <c r="AB3995">
        <v>74</v>
      </c>
      <c r="AC3995">
        <v>78.98</v>
      </c>
      <c r="AE3995" s="74"/>
      <c r="AF3995" s="77"/>
      <c r="AH3995" s="497">
        <v>73.400000000000006</v>
      </c>
      <c r="AJ3995" s="42"/>
      <c r="AK3995" s="74"/>
      <c r="AL3995" s="77"/>
      <c r="AN3995" s="497">
        <v>86</v>
      </c>
      <c r="AP3995" s="42"/>
      <c r="AQ3995" s="74"/>
      <c r="AR3995" s="77"/>
      <c r="AT3995" s="497">
        <v>80.960000000000008</v>
      </c>
      <c r="AV3995" s="42"/>
      <c r="AW3995" s="74"/>
      <c r="AX3995" s="77"/>
      <c r="BA3995" s="497">
        <v>85.64</v>
      </c>
      <c r="BB3995" s="42"/>
      <c r="BC3995" s="74"/>
      <c r="BD3995" s="77"/>
      <c r="BF3995">
        <v>64.039999999999992</v>
      </c>
      <c r="BH3995" s="42"/>
      <c r="BI3995" s="74"/>
      <c r="BJ3995" s="77"/>
      <c r="BL3995" s="497">
        <v>82.94</v>
      </c>
      <c r="BN3995" s="42"/>
      <c r="BO3995" s="74"/>
      <c r="BP3995" s="77"/>
      <c r="BR3995" s="497">
        <v>82.94</v>
      </c>
      <c r="BT3995" s="42"/>
    </row>
    <row r="3996" spans="1:72" x14ac:dyDescent="0.25">
      <c r="A3996" s="90">
        <v>34500</v>
      </c>
      <c r="B3996" s="20">
        <v>0.75</v>
      </c>
      <c r="D3996">
        <v>87.080000000000013</v>
      </c>
      <c r="E3996" t="str">
        <f t="shared" si="160"/>
        <v>WEEKDAY</v>
      </c>
      <c r="F3996" t="e">
        <f t="shared" si="159"/>
        <v>#N/A</v>
      </c>
      <c r="G3996" s="74">
        <v>33039</v>
      </c>
      <c r="H3996" s="77">
        <v>0.75</v>
      </c>
      <c r="J3996">
        <v>71.06</v>
      </c>
      <c r="M3996" s="74">
        <v>37787</v>
      </c>
      <c r="N3996" s="77">
        <v>0.75</v>
      </c>
      <c r="P3996">
        <v>75.2</v>
      </c>
      <c r="S3996" s="74">
        <v>34500</v>
      </c>
      <c r="T3996" s="77">
        <v>0.75</v>
      </c>
      <c r="V3996">
        <v>78.080000000000013</v>
      </c>
      <c r="X3996" s="42"/>
      <c r="AB3996">
        <v>72.900000000000006</v>
      </c>
      <c r="AC3996">
        <v>77</v>
      </c>
      <c r="AE3996" s="74"/>
      <c r="AF3996" s="77"/>
      <c r="AH3996" s="497">
        <v>71.599999999999994</v>
      </c>
      <c r="AJ3996" s="42"/>
      <c r="AK3996" s="74"/>
      <c r="AL3996" s="77"/>
      <c r="AN3996" s="497">
        <v>84.02</v>
      </c>
      <c r="AP3996" s="42"/>
      <c r="AQ3996" s="74"/>
      <c r="AR3996" s="77"/>
      <c r="AT3996" s="497">
        <v>80.960000000000008</v>
      </c>
      <c r="AV3996" s="42"/>
      <c r="AW3996" s="74"/>
      <c r="AX3996" s="77"/>
      <c r="BA3996" s="497">
        <v>84.38</v>
      </c>
      <c r="BB3996" s="42"/>
      <c r="BC3996" s="74"/>
      <c r="BD3996" s="77"/>
      <c r="BF3996">
        <v>62.96</v>
      </c>
      <c r="BH3996" s="42"/>
      <c r="BI3996" s="74"/>
      <c r="BJ3996" s="77"/>
      <c r="BL3996" s="497">
        <v>82.039999999999992</v>
      </c>
      <c r="BN3996" s="42"/>
      <c r="BO3996" s="74"/>
      <c r="BP3996" s="77"/>
      <c r="BR3996" s="497">
        <v>80.06</v>
      </c>
      <c r="BT3996" s="42"/>
    </row>
    <row r="3997" spans="1:72" x14ac:dyDescent="0.25">
      <c r="A3997" s="90">
        <v>34500</v>
      </c>
      <c r="B3997" s="20">
        <v>0.79166666666666663</v>
      </c>
      <c r="D3997">
        <v>84.02</v>
      </c>
      <c r="E3997" t="str">
        <f t="shared" si="160"/>
        <v>WEEKDAY</v>
      </c>
      <c r="F3997" t="e">
        <f t="shared" si="159"/>
        <v>#N/A</v>
      </c>
      <c r="G3997" s="74">
        <v>33039</v>
      </c>
      <c r="H3997" s="77">
        <v>0.79166666666666663</v>
      </c>
      <c r="J3997">
        <v>69.98</v>
      </c>
      <c r="M3997" s="74">
        <v>37787</v>
      </c>
      <c r="N3997" s="77">
        <v>0.79166666666666663</v>
      </c>
      <c r="P3997">
        <v>73.400000000000006</v>
      </c>
      <c r="S3997" s="74">
        <v>34500</v>
      </c>
      <c r="T3997" s="77">
        <v>0.79166666666666663</v>
      </c>
      <c r="V3997">
        <v>75.92</v>
      </c>
      <c r="X3997" s="42"/>
      <c r="AB3997">
        <v>71.599999999999994</v>
      </c>
      <c r="AC3997">
        <v>75.02</v>
      </c>
      <c r="AE3997" s="74"/>
      <c r="AF3997" s="77"/>
      <c r="AH3997" s="497">
        <v>71.599999999999994</v>
      </c>
      <c r="AJ3997" s="42"/>
      <c r="AK3997" s="74"/>
      <c r="AL3997" s="77"/>
      <c r="AN3997" s="497">
        <v>82.039999999999992</v>
      </c>
      <c r="AP3997" s="42"/>
      <c r="AQ3997" s="74"/>
      <c r="AR3997" s="77"/>
      <c r="AT3997" s="497">
        <v>78.98</v>
      </c>
      <c r="AV3997" s="42"/>
      <c r="AW3997" s="74"/>
      <c r="AX3997" s="77"/>
      <c r="BA3997" s="497">
        <v>82.94</v>
      </c>
      <c r="BB3997" s="42"/>
      <c r="BC3997" s="74"/>
      <c r="BD3997" s="77"/>
      <c r="BF3997">
        <v>62.96</v>
      </c>
      <c r="BH3997" s="42"/>
      <c r="BI3997" s="74"/>
      <c r="BJ3997" s="77"/>
      <c r="BL3997" s="497">
        <v>80.06</v>
      </c>
      <c r="BN3997" s="42"/>
      <c r="BO3997" s="74"/>
      <c r="BP3997" s="77"/>
      <c r="BR3997" s="497">
        <v>78.080000000000013</v>
      </c>
      <c r="BT3997" s="42"/>
    </row>
    <row r="3998" spans="1:72" x14ac:dyDescent="0.25">
      <c r="A3998" s="90">
        <v>34500</v>
      </c>
      <c r="B3998" s="20">
        <v>0.83333333333333337</v>
      </c>
      <c r="D3998">
        <v>84.02</v>
      </c>
      <c r="E3998" t="str">
        <f t="shared" si="160"/>
        <v>WEEKDAY</v>
      </c>
      <c r="F3998" t="e">
        <f t="shared" si="159"/>
        <v>#N/A</v>
      </c>
      <c r="G3998" s="74">
        <v>33039</v>
      </c>
      <c r="H3998" s="77">
        <v>0.83333333333333337</v>
      </c>
      <c r="J3998">
        <v>69.080000000000013</v>
      </c>
      <c r="M3998" s="74">
        <v>37787</v>
      </c>
      <c r="N3998" s="77">
        <v>0.83333333333333337</v>
      </c>
      <c r="P3998">
        <v>71.599999999999994</v>
      </c>
      <c r="S3998" s="74">
        <v>34500</v>
      </c>
      <c r="T3998" s="77">
        <v>0.83333333333333337</v>
      </c>
      <c r="V3998">
        <v>75.02</v>
      </c>
      <c r="X3998" s="42"/>
      <c r="AB3998">
        <v>70.3</v>
      </c>
      <c r="AC3998">
        <v>73.039999999999992</v>
      </c>
      <c r="AE3998" s="74"/>
      <c r="AF3998" s="77"/>
      <c r="AH3998" s="497">
        <v>71.599999999999994</v>
      </c>
      <c r="AJ3998" s="42"/>
      <c r="AK3998" s="74"/>
      <c r="AL3998" s="77"/>
      <c r="AN3998" s="497">
        <v>78.98</v>
      </c>
      <c r="AP3998" s="42"/>
      <c r="AQ3998" s="74"/>
      <c r="AR3998" s="77"/>
      <c r="AT3998" s="497">
        <v>75.92</v>
      </c>
      <c r="AV3998" s="42"/>
      <c r="AW3998" s="74"/>
      <c r="AX3998" s="77"/>
      <c r="BA3998" s="497">
        <v>78.98</v>
      </c>
      <c r="BB3998" s="42"/>
      <c r="BC3998" s="74"/>
      <c r="BD3998" s="77"/>
      <c r="BF3998">
        <v>60.980000000000004</v>
      </c>
      <c r="BH3998" s="42"/>
      <c r="BI3998" s="74"/>
      <c r="BJ3998" s="77"/>
      <c r="BL3998" s="497">
        <v>75.92</v>
      </c>
      <c r="BN3998" s="42"/>
      <c r="BO3998" s="74"/>
      <c r="BP3998" s="77"/>
      <c r="BR3998" s="497">
        <v>78.080000000000013</v>
      </c>
      <c r="BT3998" s="42"/>
    </row>
    <row r="3999" spans="1:72" x14ac:dyDescent="0.25">
      <c r="A3999" s="90">
        <v>34500</v>
      </c>
      <c r="B3999" s="20">
        <v>0.875</v>
      </c>
      <c r="D3999">
        <v>84.92</v>
      </c>
      <c r="E3999" t="str">
        <f t="shared" si="160"/>
        <v>WEEKDAY</v>
      </c>
      <c r="F3999" t="e">
        <f t="shared" si="159"/>
        <v>#N/A</v>
      </c>
      <c r="G3999" s="74">
        <v>33039</v>
      </c>
      <c r="H3999" s="77">
        <v>0.875</v>
      </c>
      <c r="J3999">
        <v>66.92</v>
      </c>
      <c r="M3999" s="74">
        <v>37787</v>
      </c>
      <c r="N3999" s="77">
        <v>0.875</v>
      </c>
      <c r="P3999">
        <v>68</v>
      </c>
      <c r="S3999" s="74">
        <v>34500</v>
      </c>
      <c r="T3999" s="77">
        <v>0.875</v>
      </c>
      <c r="V3999">
        <v>73.94</v>
      </c>
      <c r="X3999" s="42"/>
      <c r="AB3999">
        <v>69.099999999999994</v>
      </c>
      <c r="AC3999">
        <v>71.06</v>
      </c>
      <c r="AE3999" s="74"/>
      <c r="AF3999" s="77"/>
      <c r="AH3999" s="497">
        <v>71.599999999999994</v>
      </c>
      <c r="AJ3999" s="42"/>
      <c r="AK3999" s="74"/>
      <c r="AL3999" s="77"/>
      <c r="AN3999" s="497">
        <v>77</v>
      </c>
      <c r="AP3999" s="42"/>
      <c r="AQ3999" s="74"/>
      <c r="AR3999" s="77"/>
      <c r="AT3999" s="497">
        <v>73.94</v>
      </c>
      <c r="AV3999" s="42"/>
      <c r="AW3999" s="74"/>
      <c r="AX3999" s="77"/>
      <c r="BA3999" s="497">
        <v>75.02</v>
      </c>
      <c r="BB3999" s="42"/>
      <c r="BC3999" s="74"/>
      <c r="BD3999" s="77"/>
      <c r="BF3999">
        <v>60.08</v>
      </c>
      <c r="BH3999" s="42"/>
      <c r="BI3999" s="74"/>
      <c r="BJ3999" s="77"/>
      <c r="BL3999" s="497">
        <v>71.06</v>
      </c>
      <c r="BN3999" s="42"/>
      <c r="BO3999" s="74"/>
      <c r="BP3999" s="77"/>
      <c r="BR3999" s="497">
        <v>75.92</v>
      </c>
      <c r="BT3999" s="42"/>
    </row>
    <row r="4000" spans="1:72" x14ac:dyDescent="0.25">
      <c r="A4000" s="90">
        <v>34500</v>
      </c>
      <c r="B4000" s="20">
        <v>0.91666666666666663</v>
      </c>
      <c r="D4000">
        <v>82.94</v>
      </c>
      <c r="E4000" t="str">
        <f t="shared" si="160"/>
        <v>WEEKDAY</v>
      </c>
      <c r="F4000" t="e">
        <f t="shared" si="159"/>
        <v>#N/A</v>
      </c>
      <c r="G4000" s="74">
        <v>33039</v>
      </c>
      <c r="H4000" s="77">
        <v>0.91666666666666663</v>
      </c>
      <c r="J4000">
        <v>64.94</v>
      </c>
      <c r="M4000" s="74">
        <v>37787</v>
      </c>
      <c r="N4000" s="77">
        <v>0.91666666666666663</v>
      </c>
      <c r="P4000">
        <v>66.2</v>
      </c>
      <c r="S4000" s="74">
        <v>34500</v>
      </c>
      <c r="T4000" s="77">
        <v>0.91666666666666663</v>
      </c>
      <c r="V4000">
        <v>75.02</v>
      </c>
      <c r="X4000" s="42"/>
      <c r="AB4000">
        <v>68.400000000000006</v>
      </c>
      <c r="AC4000">
        <v>69.98</v>
      </c>
      <c r="AE4000" s="74"/>
      <c r="AF4000" s="77"/>
      <c r="AH4000" s="497">
        <v>71.599999999999994</v>
      </c>
      <c r="AJ4000" s="42"/>
      <c r="AK4000" s="74"/>
      <c r="AL4000" s="77"/>
      <c r="AN4000" s="497">
        <v>75.02</v>
      </c>
      <c r="AP4000" s="42"/>
      <c r="AQ4000" s="74"/>
      <c r="AR4000" s="77"/>
      <c r="AT4000" s="497">
        <v>73.94</v>
      </c>
      <c r="AV4000" s="42"/>
      <c r="AW4000" s="74"/>
      <c r="AX4000" s="77"/>
      <c r="BA4000" s="497">
        <v>71.06</v>
      </c>
      <c r="BB4000" s="42"/>
      <c r="BC4000" s="74"/>
      <c r="BD4000" s="77"/>
      <c r="BF4000">
        <v>57.92</v>
      </c>
      <c r="BH4000" s="42"/>
      <c r="BI4000" s="74"/>
      <c r="BJ4000" s="77"/>
      <c r="BL4000" s="497">
        <v>69.98</v>
      </c>
      <c r="BN4000" s="42"/>
      <c r="BO4000" s="74"/>
      <c r="BP4000" s="77"/>
      <c r="BR4000" s="497">
        <v>75.02</v>
      </c>
      <c r="BT4000" s="42"/>
    </row>
    <row r="4001" spans="1:72" x14ac:dyDescent="0.25">
      <c r="A4001" s="90">
        <v>34500</v>
      </c>
      <c r="B4001" s="20">
        <v>0.95833333333333337</v>
      </c>
      <c r="D4001">
        <v>82.94</v>
      </c>
      <c r="E4001" t="str">
        <f t="shared" si="160"/>
        <v>WEEKDAY</v>
      </c>
      <c r="F4001" t="e">
        <f t="shared" si="159"/>
        <v>#N/A</v>
      </c>
      <c r="G4001" s="74">
        <v>33039</v>
      </c>
      <c r="H4001" s="77">
        <v>0.95833333333333337</v>
      </c>
      <c r="J4001">
        <v>64.94</v>
      </c>
      <c r="M4001" s="74">
        <v>37787</v>
      </c>
      <c r="N4001" s="77">
        <v>0.95833333333333337</v>
      </c>
      <c r="P4001">
        <v>64.400000000000006</v>
      </c>
      <c r="S4001" s="74">
        <v>34500</v>
      </c>
      <c r="T4001" s="77">
        <v>0.95833333333333337</v>
      </c>
      <c r="V4001">
        <v>73.94</v>
      </c>
      <c r="X4001" s="42"/>
      <c r="AB4001">
        <v>67.8</v>
      </c>
      <c r="AC4001">
        <v>68</v>
      </c>
      <c r="AE4001" s="74"/>
      <c r="AF4001" s="77"/>
      <c r="AH4001" s="497">
        <v>71.599999999999994</v>
      </c>
      <c r="AJ4001" s="42"/>
      <c r="AK4001" s="74"/>
      <c r="AL4001" s="77"/>
      <c r="AN4001" s="497">
        <v>75.02</v>
      </c>
      <c r="AP4001" s="42"/>
      <c r="AQ4001" s="74"/>
      <c r="AR4001" s="77"/>
      <c r="AT4001" s="497">
        <v>71.960000000000008</v>
      </c>
      <c r="AV4001" s="42"/>
      <c r="AW4001" s="74"/>
      <c r="AX4001" s="77"/>
      <c r="BA4001" s="497">
        <v>71.42</v>
      </c>
      <c r="BB4001" s="42"/>
      <c r="BC4001" s="74"/>
      <c r="BD4001" s="77"/>
      <c r="BF4001">
        <v>55.040000000000006</v>
      </c>
      <c r="BH4001" s="42"/>
      <c r="BI4001" s="74"/>
      <c r="BJ4001" s="77"/>
      <c r="BL4001" s="497">
        <v>69.98</v>
      </c>
      <c r="BN4001" s="42"/>
      <c r="BO4001" s="74"/>
      <c r="BP4001" s="77"/>
      <c r="BR4001" s="497">
        <v>75.02</v>
      </c>
      <c r="BT4001" s="42"/>
    </row>
    <row r="4002" spans="1:72" x14ac:dyDescent="0.25">
      <c r="A4002" s="90">
        <v>34500</v>
      </c>
      <c r="B4002" s="20">
        <v>1</v>
      </c>
      <c r="D4002">
        <v>80.960000000000008</v>
      </c>
      <c r="E4002" t="str">
        <f t="shared" si="160"/>
        <v>WEEKDAY</v>
      </c>
      <c r="F4002" t="e">
        <f t="shared" si="159"/>
        <v>#N/A</v>
      </c>
      <c r="G4002" s="74">
        <v>33039</v>
      </c>
      <c r="H4002" s="77">
        <v>1</v>
      </c>
      <c r="J4002">
        <v>62.96</v>
      </c>
      <c r="M4002" s="74">
        <v>37787</v>
      </c>
      <c r="N4002" s="80">
        <v>1</v>
      </c>
      <c r="P4002">
        <v>62.6</v>
      </c>
      <c r="S4002" s="74">
        <v>34500</v>
      </c>
      <c r="T4002" s="80">
        <v>1</v>
      </c>
      <c r="V4002">
        <v>69.080000000000013</v>
      </c>
      <c r="X4002" s="42"/>
      <c r="AB4002">
        <v>67.3</v>
      </c>
      <c r="AC4002">
        <v>68</v>
      </c>
      <c r="AE4002" s="74"/>
      <c r="AF4002" s="80"/>
      <c r="AH4002" s="497">
        <v>69.800000000000011</v>
      </c>
      <c r="AJ4002" s="42"/>
      <c r="AK4002" s="74"/>
      <c r="AL4002" s="80"/>
      <c r="AN4002" s="497">
        <v>73.039999999999992</v>
      </c>
      <c r="AP4002" s="42"/>
      <c r="AQ4002" s="74"/>
      <c r="AR4002" s="80"/>
      <c r="AT4002" s="497">
        <v>71.960000000000008</v>
      </c>
      <c r="AV4002" s="42"/>
      <c r="AW4002" s="74"/>
      <c r="AX4002" s="80"/>
      <c r="BA4002" s="497">
        <v>71.599999999999994</v>
      </c>
      <c r="BB4002" s="42"/>
      <c r="BC4002" s="74"/>
      <c r="BD4002" s="80"/>
      <c r="BF4002">
        <v>55.040000000000006</v>
      </c>
      <c r="BH4002" s="42"/>
      <c r="BI4002" s="74"/>
      <c r="BJ4002" s="80"/>
      <c r="BL4002" s="497">
        <v>69.98</v>
      </c>
      <c r="BN4002" s="42"/>
      <c r="BO4002" s="74"/>
      <c r="BP4002" s="80"/>
      <c r="BR4002" s="497">
        <v>75.02</v>
      </c>
      <c r="BT4002" s="42"/>
    </row>
    <row r="4003" spans="1:72" x14ac:dyDescent="0.25">
      <c r="A4003" s="90">
        <v>34501</v>
      </c>
      <c r="B4003" s="20">
        <v>4.1666666666666664E-2</v>
      </c>
      <c r="D4003">
        <v>78.98</v>
      </c>
      <c r="E4003" t="str">
        <f t="shared" si="160"/>
        <v>WEEKDAY</v>
      </c>
      <c r="F4003" t="e">
        <f t="shared" si="159"/>
        <v>#N/A</v>
      </c>
      <c r="G4003" s="74">
        <v>33040</v>
      </c>
      <c r="H4003" s="77">
        <v>4.1666666666666664E-2</v>
      </c>
      <c r="J4003">
        <v>62.06</v>
      </c>
      <c r="M4003" s="74">
        <v>37788</v>
      </c>
      <c r="N4003" s="77">
        <v>4.1666666666666664E-2</v>
      </c>
      <c r="P4003">
        <v>62.6</v>
      </c>
      <c r="S4003" s="74">
        <v>34501</v>
      </c>
      <c r="T4003" s="77">
        <v>4.1666666666666664E-2</v>
      </c>
      <c r="V4003">
        <v>69.080000000000013</v>
      </c>
      <c r="X4003" s="42"/>
      <c r="AB4003">
        <v>66.8</v>
      </c>
      <c r="AC4003">
        <v>68</v>
      </c>
      <c r="AE4003" s="74"/>
      <c r="AF4003" s="77"/>
      <c r="AH4003" s="497">
        <v>69.800000000000011</v>
      </c>
      <c r="AJ4003" s="42"/>
      <c r="AK4003" s="74"/>
      <c r="AL4003" s="77"/>
      <c r="AN4003" s="497">
        <v>73.039999999999992</v>
      </c>
      <c r="AP4003" s="42"/>
      <c r="AQ4003" s="74"/>
      <c r="AR4003" s="77"/>
      <c r="AT4003" s="497">
        <v>71.06</v>
      </c>
      <c r="AV4003" s="42"/>
      <c r="AW4003" s="74"/>
      <c r="AX4003" s="77"/>
      <c r="BA4003" s="497">
        <v>71.960000000000008</v>
      </c>
      <c r="BB4003" s="42"/>
      <c r="BC4003" s="74"/>
      <c r="BD4003" s="77"/>
      <c r="BF4003">
        <v>53.96</v>
      </c>
      <c r="BH4003" s="42"/>
      <c r="BI4003" s="74"/>
      <c r="BJ4003" s="77"/>
      <c r="BL4003" s="497">
        <v>71.06</v>
      </c>
      <c r="BN4003" s="42"/>
      <c r="BO4003" s="74"/>
      <c r="BP4003" s="77"/>
      <c r="BR4003" s="497">
        <v>75.02</v>
      </c>
      <c r="BT4003" s="42"/>
    </row>
    <row r="4004" spans="1:72" x14ac:dyDescent="0.25">
      <c r="A4004" s="90">
        <v>34501</v>
      </c>
      <c r="B4004" s="20">
        <v>8.3333333333333329E-2</v>
      </c>
      <c r="D4004">
        <v>78.080000000000013</v>
      </c>
      <c r="E4004" t="str">
        <f t="shared" si="160"/>
        <v>WEEKDAY</v>
      </c>
      <c r="F4004" t="e">
        <f t="shared" si="159"/>
        <v>#N/A</v>
      </c>
      <c r="G4004" s="74">
        <v>33040</v>
      </c>
      <c r="H4004" s="77">
        <v>8.3333333333333329E-2</v>
      </c>
      <c r="J4004">
        <v>62.96</v>
      </c>
      <c r="M4004" s="74">
        <v>37788</v>
      </c>
      <c r="N4004" s="77">
        <v>8.3333333333333329E-2</v>
      </c>
      <c r="P4004">
        <v>60.8</v>
      </c>
      <c r="S4004" s="74">
        <v>34501</v>
      </c>
      <c r="T4004" s="77">
        <v>8.3333333333333329E-2</v>
      </c>
      <c r="V4004">
        <v>69.080000000000013</v>
      </c>
      <c r="X4004" s="42"/>
      <c r="AB4004">
        <v>66.3</v>
      </c>
      <c r="AC4004">
        <v>68</v>
      </c>
      <c r="AE4004" s="74"/>
      <c r="AF4004" s="77"/>
      <c r="AH4004" s="497">
        <v>68.72</v>
      </c>
      <c r="AJ4004" s="42"/>
      <c r="AK4004" s="74"/>
      <c r="AL4004" s="77"/>
      <c r="AN4004" s="497">
        <v>69.98</v>
      </c>
      <c r="AP4004" s="42"/>
      <c r="AQ4004" s="74"/>
      <c r="AR4004" s="77"/>
      <c r="AT4004" s="497">
        <v>69.98</v>
      </c>
      <c r="AV4004" s="42"/>
      <c r="AW4004" s="74"/>
      <c r="AX4004" s="77"/>
      <c r="BA4004" s="497">
        <v>71.960000000000008</v>
      </c>
      <c r="BB4004" s="42"/>
      <c r="BC4004" s="74"/>
      <c r="BD4004" s="77"/>
      <c r="BF4004">
        <v>53.96</v>
      </c>
      <c r="BH4004" s="42"/>
      <c r="BI4004" s="74"/>
      <c r="BJ4004" s="77"/>
      <c r="BL4004" s="497">
        <v>69.080000000000013</v>
      </c>
      <c r="BN4004" s="42"/>
      <c r="BO4004" s="74"/>
      <c r="BP4004" s="77"/>
      <c r="BR4004" s="497">
        <v>77</v>
      </c>
      <c r="BT4004" s="42"/>
    </row>
    <row r="4005" spans="1:72" x14ac:dyDescent="0.25">
      <c r="A4005" s="90">
        <v>34501</v>
      </c>
      <c r="B4005" s="20">
        <v>0.125</v>
      </c>
      <c r="D4005">
        <v>75.92</v>
      </c>
      <c r="E4005" t="str">
        <f t="shared" si="160"/>
        <v>WEEKDAY</v>
      </c>
      <c r="F4005" t="e">
        <f t="shared" si="159"/>
        <v>#N/A</v>
      </c>
      <c r="G4005" s="74">
        <v>33040</v>
      </c>
      <c r="H4005" s="77">
        <v>0.125</v>
      </c>
      <c r="J4005">
        <v>62.06</v>
      </c>
      <c r="M4005" s="74">
        <v>37788</v>
      </c>
      <c r="N4005" s="77">
        <v>0.125</v>
      </c>
      <c r="P4005">
        <v>59</v>
      </c>
      <c r="S4005" s="74">
        <v>34501</v>
      </c>
      <c r="T4005" s="77">
        <v>0.125</v>
      </c>
      <c r="V4005">
        <v>69.080000000000013</v>
      </c>
      <c r="X4005" s="42"/>
      <c r="AB4005">
        <v>65.8</v>
      </c>
      <c r="AC4005">
        <v>66.92</v>
      </c>
      <c r="AE4005" s="74"/>
      <c r="AF4005" s="77"/>
      <c r="AH4005" s="497">
        <v>68</v>
      </c>
      <c r="AJ4005" s="42"/>
      <c r="AK4005" s="74"/>
      <c r="AL4005" s="77"/>
      <c r="AN4005" s="497">
        <v>69.080000000000013</v>
      </c>
      <c r="AP4005" s="42"/>
      <c r="AQ4005" s="74"/>
      <c r="AR4005" s="77"/>
      <c r="AT4005" s="497">
        <v>69.98</v>
      </c>
      <c r="AV4005" s="42"/>
      <c r="AW4005" s="74"/>
      <c r="AX4005" s="77"/>
      <c r="BA4005" s="497">
        <v>71.960000000000008</v>
      </c>
      <c r="BB4005" s="42"/>
      <c r="BC4005" s="74"/>
      <c r="BD4005" s="77"/>
      <c r="BF4005">
        <v>55.040000000000006</v>
      </c>
      <c r="BH4005" s="42"/>
      <c r="BI4005" s="74"/>
      <c r="BJ4005" s="77"/>
      <c r="BL4005" s="497">
        <v>68</v>
      </c>
      <c r="BN4005" s="42"/>
      <c r="BO4005" s="74"/>
      <c r="BP4005" s="77"/>
      <c r="BR4005" s="497">
        <v>77</v>
      </c>
      <c r="BT4005" s="42"/>
    </row>
    <row r="4006" spans="1:72" x14ac:dyDescent="0.25">
      <c r="A4006" s="90">
        <v>34501</v>
      </c>
      <c r="B4006" s="20">
        <v>0.16666666666666666</v>
      </c>
      <c r="D4006">
        <v>75.02</v>
      </c>
      <c r="E4006" t="str">
        <f t="shared" si="160"/>
        <v>WEEKDAY</v>
      </c>
      <c r="F4006" t="e">
        <f t="shared" si="159"/>
        <v>#N/A</v>
      </c>
      <c r="G4006" s="74">
        <v>33040</v>
      </c>
      <c r="H4006" s="77">
        <v>0.16666666666666666</v>
      </c>
      <c r="J4006">
        <v>60.980000000000004</v>
      </c>
      <c r="M4006" s="74">
        <v>37788</v>
      </c>
      <c r="N4006" s="77">
        <v>0.16666666666666666</v>
      </c>
      <c r="P4006">
        <v>57.2</v>
      </c>
      <c r="S4006" s="74">
        <v>34501</v>
      </c>
      <c r="T4006" s="77">
        <v>0.16666666666666666</v>
      </c>
      <c r="V4006">
        <v>68</v>
      </c>
      <c r="X4006" s="42"/>
      <c r="AB4006">
        <v>65.400000000000006</v>
      </c>
      <c r="AC4006">
        <v>66.92</v>
      </c>
      <c r="AE4006" s="74"/>
      <c r="AF4006" s="77"/>
      <c r="AH4006" s="497">
        <v>68</v>
      </c>
      <c r="AJ4006" s="42"/>
      <c r="AK4006" s="74"/>
      <c r="AL4006" s="77"/>
      <c r="AN4006" s="497">
        <v>69.080000000000013</v>
      </c>
      <c r="AP4006" s="42"/>
      <c r="AQ4006" s="74"/>
      <c r="AR4006" s="77"/>
      <c r="AT4006" s="497">
        <v>69.98</v>
      </c>
      <c r="AV4006" s="42"/>
      <c r="AW4006" s="74"/>
      <c r="AX4006" s="77"/>
      <c r="BA4006" s="497">
        <v>71.960000000000008</v>
      </c>
      <c r="BB4006" s="42"/>
      <c r="BC4006" s="74"/>
      <c r="BD4006" s="77"/>
      <c r="BF4006">
        <v>55.040000000000006</v>
      </c>
      <c r="BH4006" s="42"/>
      <c r="BI4006" s="74"/>
      <c r="BJ4006" s="77"/>
      <c r="BL4006" s="497">
        <v>69.080000000000013</v>
      </c>
      <c r="BN4006" s="42"/>
      <c r="BO4006" s="74"/>
      <c r="BP4006" s="77"/>
      <c r="BR4006" s="497">
        <v>78.080000000000013</v>
      </c>
      <c r="BT4006" s="42"/>
    </row>
    <row r="4007" spans="1:72" x14ac:dyDescent="0.25">
      <c r="A4007" s="90">
        <v>34501</v>
      </c>
      <c r="B4007" s="20">
        <v>0.20833333333333334</v>
      </c>
      <c r="D4007">
        <v>75.02</v>
      </c>
      <c r="E4007" t="str">
        <f t="shared" si="160"/>
        <v>WEEKDAY</v>
      </c>
      <c r="F4007" t="e">
        <f t="shared" si="159"/>
        <v>#N/A</v>
      </c>
      <c r="G4007" s="74">
        <v>33040</v>
      </c>
      <c r="H4007" s="77">
        <v>0.20833333333333334</v>
      </c>
      <c r="J4007">
        <v>60.08</v>
      </c>
      <c r="M4007" s="74">
        <v>37788</v>
      </c>
      <c r="N4007" s="77">
        <v>0.20833333333333334</v>
      </c>
      <c r="P4007">
        <v>55.400000000000006</v>
      </c>
      <c r="S4007" s="74">
        <v>34501</v>
      </c>
      <c r="T4007" s="77">
        <v>0.20833333333333334</v>
      </c>
      <c r="V4007">
        <v>69.080000000000013</v>
      </c>
      <c r="X4007" s="42"/>
      <c r="AB4007">
        <v>65</v>
      </c>
      <c r="AC4007">
        <v>66.92</v>
      </c>
      <c r="AE4007" s="74"/>
      <c r="AF4007" s="77"/>
      <c r="AH4007" s="497">
        <v>64.400000000000006</v>
      </c>
      <c r="AJ4007" s="42"/>
      <c r="AK4007" s="74"/>
      <c r="AL4007" s="77"/>
      <c r="AN4007" s="497">
        <v>68</v>
      </c>
      <c r="AP4007" s="42"/>
      <c r="AQ4007" s="74"/>
      <c r="AR4007" s="77"/>
      <c r="AT4007" s="497">
        <v>69.98</v>
      </c>
      <c r="AV4007" s="42"/>
      <c r="AW4007" s="74"/>
      <c r="AX4007" s="77"/>
      <c r="BA4007" s="497">
        <v>73.580000000000013</v>
      </c>
      <c r="BB4007" s="42"/>
      <c r="BC4007" s="74"/>
      <c r="BD4007" s="77"/>
      <c r="BF4007">
        <v>53.06</v>
      </c>
      <c r="BH4007" s="42"/>
      <c r="BI4007" s="74"/>
      <c r="BJ4007" s="77"/>
      <c r="BL4007" s="497">
        <v>68</v>
      </c>
      <c r="BN4007" s="42"/>
      <c r="BO4007" s="74"/>
      <c r="BP4007" s="77"/>
      <c r="BR4007" s="497">
        <v>78.080000000000013</v>
      </c>
      <c r="BT4007" s="42"/>
    </row>
    <row r="4008" spans="1:72" x14ac:dyDescent="0.25">
      <c r="A4008" s="90">
        <v>34501</v>
      </c>
      <c r="B4008" s="20">
        <v>0.25</v>
      </c>
      <c r="D4008">
        <v>73.94</v>
      </c>
      <c r="E4008" t="str">
        <f t="shared" si="160"/>
        <v>WEEKDAY</v>
      </c>
      <c r="F4008" t="e">
        <f t="shared" si="159"/>
        <v>#N/A</v>
      </c>
      <c r="G4008" s="74">
        <v>33040</v>
      </c>
      <c r="H4008" s="77">
        <v>0.25</v>
      </c>
      <c r="J4008">
        <v>60.08</v>
      </c>
      <c r="M4008" s="74">
        <v>37788</v>
      </c>
      <c r="N4008" s="77">
        <v>0.25</v>
      </c>
      <c r="P4008">
        <v>57.2</v>
      </c>
      <c r="S4008" s="74">
        <v>34501</v>
      </c>
      <c r="T4008" s="77">
        <v>0.25</v>
      </c>
      <c r="V4008">
        <v>68</v>
      </c>
      <c r="X4008" s="42"/>
      <c r="AB4008">
        <v>65</v>
      </c>
      <c r="AC4008">
        <v>66.02</v>
      </c>
      <c r="AE4008" s="74"/>
      <c r="AF4008" s="77"/>
      <c r="AH4008" s="497">
        <v>64.400000000000006</v>
      </c>
      <c r="AJ4008" s="42"/>
      <c r="AK4008" s="74"/>
      <c r="AL4008" s="77"/>
      <c r="AN4008" s="497">
        <v>69.98</v>
      </c>
      <c r="AP4008" s="42"/>
      <c r="AQ4008" s="74"/>
      <c r="AR4008" s="77"/>
      <c r="AT4008" s="497">
        <v>71.06</v>
      </c>
      <c r="AV4008" s="42"/>
      <c r="AW4008" s="74"/>
      <c r="AX4008" s="77"/>
      <c r="BA4008" s="497">
        <v>75.38</v>
      </c>
      <c r="BB4008" s="42"/>
      <c r="BC4008" s="74"/>
      <c r="BD4008" s="77"/>
      <c r="BF4008">
        <v>55.040000000000006</v>
      </c>
      <c r="BH4008" s="42"/>
      <c r="BI4008" s="74"/>
      <c r="BJ4008" s="77"/>
      <c r="BL4008" s="497">
        <v>69.98</v>
      </c>
      <c r="BN4008" s="42"/>
      <c r="BO4008" s="74"/>
      <c r="BP4008" s="77"/>
      <c r="BR4008" s="497">
        <v>78.080000000000013</v>
      </c>
      <c r="BT4008" s="42"/>
    </row>
    <row r="4009" spans="1:72" x14ac:dyDescent="0.25">
      <c r="A4009" s="90">
        <v>34501</v>
      </c>
      <c r="B4009" s="20">
        <v>0.29166666666666669</v>
      </c>
      <c r="D4009">
        <v>75.02</v>
      </c>
      <c r="E4009" t="str">
        <f t="shared" si="160"/>
        <v>WEEKDAY</v>
      </c>
      <c r="F4009" t="e">
        <f t="shared" si="159"/>
        <v>#N/A</v>
      </c>
      <c r="G4009" s="74">
        <v>33040</v>
      </c>
      <c r="H4009" s="77">
        <v>0.29166666666666669</v>
      </c>
      <c r="J4009">
        <v>60.980000000000004</v>
      </c>
      <c r="M4009" s="74">
        <v>37788</v>
      </c>
      <c r="N4009" s="77">
        <v>0.29166666666666669</v>
      </c>
      <c r="P4009">
        <v>59</v>
      </c>
      <c r="S4009" s="74">
        <v>34501</v>
      </c>
      <c r="T4009" s="77">
        <v>0.29166666666666669</v>
      </c>
      <c r="V4009">
        <v>69.080000000000013</v>
      </c>
      <c r="X4009" s="42"/>
      <c r="AB4009">
        <v>66.599999999999994</v>
      </c>
      <c r="AC4009">
        <v>66.02</v>
      </c>
      <c r="AE4009" s="74"/>
      <c r="AF4009" s="77"/>
      <c r="AH4009" s="497">
        <v>73.400000000000006</v>
      </c>
      <c r="AJ4009" s="42"/>
      <c r="AK4009" s="74"/>
      <c r="AL4009" s="77"/>
      <c r="AN4009" s="497">
        <v>73.039999999999992</v>
      </c>
      <c r="AP4009" s="42"/>
      <c r="AQ4009" s="74"/>
      <c r="AR4009" s="77"/>
      <c r="AT4009" s="497">
        <v>71.06</v>
      </c>
      <c r="AV4009" s="42"/>
      <c r="AW4009" s="74"/>
      <c r="AX4009" s="77"/>
      <c r="BA4009" s="497">
        <v>77</v>
      </c>
      <c r="BB4009" s="42"/>
      <c r="BC4009" s="74"/>
      <c r="BD4009" s="77"/>
      <c r="BF4009">
        <v>57.92</v>
      </c>
      <c r="BH4009" s="42"/>
      <c r="BI4009" s="74"/>
      <c r="BJ4009" s="77"/>
      <c r="BL4009" s="497">
        <v>71.960000000000008</v>
      </c>
      <c r="BN4009" s="42"/>
      <c r="BO4009" s="74"/>
      <c r="BP4009" s="77"/>
      <c r="BR4009" s="497">
        <v>80.06</v>
      </c>
      <c r="BT4009" s="42"/>
    </row>
    <row r="4010" spans="1:72" x14ac:dyDescent="0.25">
      <c r="A4010" s="90">
        <v>34501</v>
      </c>
      <c r="B4010" s="20">
        <v>0.33333333333333331</v>
      </c>
      <c r="D4010">
        <v>75.02</v>
      </c>
      <c r="E4010" t="str">
        <f t="shared" si="160"/>
        <v>WEEKDAY</v>
      </c>
      <c r="F4010" t="e">
        <f t="shared" si="159"/>
        <v>#N/A</v>
      </c>
      <c r="G4010" s="74">
        <v>33040</v>
      </c>
      <c r="H4010" s="77">
        <v>0.33333333333333331</v>
      </c>
      <c r="J4010">
        <v>62.06</v>
      </c>
      <c r="M4010" s="74">
        <v>37788</v>
      </c>
      <c r="N4010" s="77">
        <v>0.33333333333333331</v>
      </c>
      <c r="P4010">
        <v>60.8</v>
      </c>
      <c r="S4010" s="74">
        <v>34501</v>
      </c>
      <c r="T4010" s="77">
        <v>0.33333333333333331</v>
      </c>
      <c r="V4010">
        <v>69.080000000000013</v>
      </c>
      <c r="X4010" s="42"/>
      <c r="AB4010">
        <v>68.3</v>
      </c>
      <c r="AC4010">
        <v>66.92</v>
      </c>
      <c r="AE4010" s="74"/>
      <c r="AF4010" s="77"/>
      <c r="AH4010" s="497">
        <v>77</v>
      </c>
      <c r="AJ4010" s="42"/>
      <c r="AK4010" s="74"/>
      <c r="AL4010" s="77"/>
      <c r="AN4010" s="497">
        <v>73.94</v>
      </c>
      <c r="AP4010" s="42"/>
      <c r="AQ4010" s="74"/>
      <c r="AR4010" s="77"/>
      <c r="AT4010" s="497">
        <v>75.02</v>
      </c>
      <c r="AV4010" s="42"/>
      <c r="AW4010" s="74"/>
      <c r="AX4010" s="77"/>
      <c r="BA4010" s="497">
        <v>78.62</v>
      </c>
      <c r="BB4010" s="42"/>
      <c r="BC4010" s="74"/>
      <c r="BD4010" s="77"/>
      <c r="BF4010">
        <v>62.96</v>
      </c>
      <c r="BH4010" s="42"/>
      <c r="BI4010" s="74"/>
      <c r="BJ4010" s="77"/>
      <c r="BL4010" s="497">
        <v>77</v>
      </c>
      <c r="BN4010" s="42"/>
      <c r="BO4010" s="74"/>
      <c r="BP4010" s="77"/>
      <c r="BR4010" s="497">
        <v>82.94</v>
      </c>
      <c r="BT4010" s="42"/>
    </row>
    <row r="4011" spans="1:72" x14ac:dyDescent="0.25">
      <c r="A4011" s="90">
        <v>34501</v>
      </c>
      <c r="B4011" s="20">
        <v>0.375</v>
      </c>
      <c r="D4011">
        <v>78.080000000000013</v>
      </c>
      <c r="E4011" t="str">
        <f t="shared" si="160"/>
        <v>WEEKDAY</v>
      </c>
      <c r="F4011" t="e">
        <f t="shared" ref="F4011:F4074" si="161">IF(E4011="WEEKDAY",VLOOKUP(B4011,$DD$19:$DG$42,2),IF(E4011="SATURDAY",VLOOKUP(B4011,$DD$19:$DG$42,3),VLOOKUP(B4011,$DD$19:$DG$42,4)))</f>
        <v>#N/A</v>
      </c>
      <c r="G4011" s="74">
        <v>33040</v>
      </c>
      <c r="H4011" s="77">
        <v>0.375</v>
      </c>
      <c r="J4011">
        <v>64.039999999999992</v>
      </c>
      <c r="M4011" s="74">
        <v>37788</v>
      </c>
      <c r="N4011" s="77">
        <v>0.375</v>
      </c>
      <c r="P4011">
        <v>62.6</v>
      </c>
      <c r="S4011" s="74">
        <v>34501</v>
      </c>
      <c r="T4011" s="77">
        <v>0.375</v>
      </c>
      <c r="V4011">
        <v>71.960000000000008</v>
      </c>
      <c r="X4011" s="42"/>
      <c r="AB4011">
        <v>70.2</v>
      </c>
      <c r="AC4011">
        <v>68</v>
      </c>
      <c r="AE4011" s="74"/>
      <c r="AF4011" s="77"/>
      <c r="AH4011" s="497">
        <v>80.599999999999994</v>
      </c>
      <c r="AJ4011" s="42"/>
      <c r="AK4011" s="74"/>
      <c r="AL4011" s="77"/>
      <c r="AN4011" s="497">
        <v>80.06</v>
      </c>
      <c r="AP4011" s="42"/>
      <c r="AQ4011" s="74"/>
      <c r="AR4011" s="77"/>
      <c r="AT4011" s="497">
        <v>75.02</v>
      </c>
      <c r="AV4011" s="42"/>
      <c r="AW4011" s="74"/>
      <c r="AX4011" s="77"/>
      <c r="BA4011" s="497">
        <v>80.42</v>
      </c>
      <c r="BB4011" s="42"/>
      <c r="BC4011" s="74"/>
      <c r="BD4011" s="77"/>
      <c r="BF4011">
        <v>64.94</v>
      </c>
      <c r="BH4011" s="42"/>
      <c r="BI4011" s="74"/>
      <c r="BJ4011" s="77"/>
      <c r="BL4011" s="497">
        <v>80.06</v>
      </c>
      <c r="BN4011" s="42"/>
      <c r="BO4011" s="74"/>
      <c r="BP4011" s="77"/>
      <c r="BR4011" s="497">
        <v>84.02</v>
      </c>
      <c r="BT4011" s="42"/>
    </row>
    <row r="4012" spans="1:72" x14ac:dyDescent="0.25">
      <c r="A4012" s="90">
        <v>34501</v>
      </c>
      <c r="B4012" s="20">
        <v>0.41666666666666669</v>
      </c>
      <c r="D4012">
        <v>80.06</v>
      </c>
      <c r="E4012" t="str">
        <f t="shared" si="160"/>
        <v>WEEKDAY</v>
      </c>
      <c r="F4012" t="e">
        <f t="shared" si="161"/>
        <v>#N/A</v>
      </c>
      <c r="G4012" s="74">
        <v>33040</v>
      </c>
      <c r="H4012" s="77">
        <v>0.41666666666666669</v>
      </c>
      <c r="J4012">
        <v>66.02</v>
      </c>
      <c r="M4012" s="74">
        <v>37788</v>
      </c>
      <c r="N4012" s="77">
        <v>0.41666666666666669</v>
      </c>
      <c r="P4012">
        <v>62.6</v>
      </c>
      <c r="S4012" s="74">
        <v>34501</v>
      </c>
      <c r="T4012" s="77">
        <v>0.41666666666666669</v>
      </c>
      <c r="V4012">
        <v>73.94</v>
      </c>
      <c r="X4012" s="42"/>
      <c r="AB4012">
        <v>72</v>
      </c>
      <c r="AC4012">
        <v>69.080000000000013</v>
      </c>
      <c r="AE4012" s="74"/>
      <c r="AF4012" s="77"/>
      <c r="AH4012" s="497">
        <v>80.599999999999994</v>
      </c>
      <c r="AJ4012" s="42"/>
      <c r="AK4012" s="74"/>
      <c r="AL4012" s="77"/>
      <c r="AN4012" s="497">
        <v>84.92</v>
      </c>
      <c r="AP4012" s="42"/>
      <c r="AQ4012" s="74"/>
      <c r="AR4012" s="77"/>
      <c r="AT4012" s="497">
        <v>73.039999999999992</v>
      </c>
      <c r="AV4012" s="42"/>
      <c r="AW4012" s="74"/>
      <c r="AX4012" s="77"/>
      <c r="BA4012" s="497">
        <v>82.039999999999992</v>
      </c>
      <c r="BB4012" s="42"/>
      <c r="BC4012" s="74"/>
      <c r="BD4012" s="77"/>
      <c r="BF4012">
        <v>66.02</v>
      </c>
      <c r="BH4012" s="42"/>
      <c r="BI4012" s="74"/>
      <c r="BJ4012" s="77"/>
      <c r="BL4012" s="497">
        <v>82.039999999999992</v>
      </c>
      <c r="BN4012" s="42"/>
      <c r="BO4012" s="74"/>
      <c r="BP4012" s="77"/>
      <c r="BR4012" s="497">
        <v>84.92</v>
      </c>
      <c r="BT4012" s="42"/>
    </row>
    <row r="4013" spans="1:72" x14ac:dyDescent="0.25">
      <c r="A4013" s="90">
        <v>34501</v>
      </c>
      <c r="B4013" s="20">
        <v>0.45833333333333331</v>
      </c>
      <c r="D4013">
        <v>80.960000000000008</v>
      </c>
      <c r="E4013" t="str">
        <f t="shared" si="160"/>
        <v>WEEKDAY</v>
      </c>
      <c r="F4013" t="e">
        <f t="shared" si="161"/>
        <v>#N/A</v>
      </c>
      <c r="G4013" s="74">
        <v>33040</v>
      </c>
      <c r="H4013" s="77">
        <v>0.45833333333333331</v>
      </c>
      <c r="J4013">
        <v>68</v>
      </c>
      <c r="M4013" s="74">
        <v>37788</v>
      </c>
      <c r="N4013" s="77">
        <v>0.45833333333333331</v>
      </c>
      <c r="P4013">
        <v>64.400000000000006</v>
      </c>
      <c r="S4013" s="74">
        <v>34501</v>
      </c>
      <c r="T4013" s="77">
        <v>0.45833333333333331</v>
      </c>
      <c r="V4013">
        <v>75.02</v>
      </c>
      <c r="X4013" s="42"/>
      <c r="AB4013">
        <v>73.5</v>
      </c>
      <c r="AC4013">
        <v>71.06</v>
      </c>
      <c r="AE4013" s="74"/>
      <c r="AF4013" s="77"/>
      <c r="AH4013" s="497">
        <v>82.4</v>
      </c>
      <c r="AJ4013" s="42"/>
      <c r="AK4013" s="74"/>
      <c r="AL4013" s="77"/>
      <c r="AN4013" s="497">
        <v>84.02</v>
      </c>
      <c r="AP4013" s="42"/>
      <c r="AQ4013" s="74"/>
      <c r="AR4013" s="77"/>
      <c r="AT4013" s="497">
        <v>80.960000000000008</v>
      </c>
      <c r="AV4013" s="42"/>
      <c r="AW4013" s="74"/>
      <c r="AX4013" s="77"/>
      <c r="BA4013" s="497">
        <v>83.66</v>
      </c>
      <c r="BB4013" s="42"/>
      <c r="BC4013" s="74"/>
      <c r="BD4013" s="77"/>
      <c r="BF4013">
        <v>68</v>
      </c>
      <c r="BH4013" s="42"/>
      <c r="BI4013" s="74"/>
      <c r="BJ4013" s="77"/>
      <c r="BL4013" s="497">
        <v>84.92</v>
      </c>
      <c r="BN4013" s="42"/>
      <c r="BO4013" s="74"/>
      <c r="BP4013" s="77"/>
      <c r="BR4013" s="497">
        <v>86</v>
      </c>
      <c r="BT4013" s="42"/>
    </row>
    <row r="4014" spans="1:72" x14ac:dyDescent="0.25">
      <c r="A4014" s="90">
        <v>34501</v>
      </c>
      <c r="B4014" s="20">
        <v>0.5</v>
      </c>
      <c r="D4014">
        <v>82.039999999999992</v>
      </c>
      <c r="E4014" t="str">
        <f t="shared" si="160"/>
        <v>WEEKDAY</v>
      </c>
      <c r="F4014" t="e">
        <f t="shared" si="161"/>
        <v>#N/A</v>
      </c>
      <c r="G4014" s="74">
        <v>33040</v>
      </c>
      <c r="H4014" s="77">
        <v>0.5</v>
      </c>
      <c r="J4014">
        <v>71.960000000000008</v>
      </c>
      <c r="M4014" s="74">
        <v>37788</v>
      </c>
      <c r="N4014" s="77">
        <v>0.5</v>
      </c>
      <c r="P4014">
        <v>64.400000000000006</v>
      </c>
      <c r="S4014" s="74">
        <v>34501</v>
      </c>
      <c r="T4014" s="77">
        <v>0.5</v>
      </c>
      <c r="V4014">
        <v>75.02</v>
      </c>
      <c r="X4014" s="42"/>
      <c r="AB4014">
        <v>74.599999999999994</v>
      </c>
      <c r="AC4014">
        <v>73.94</v>
      </c>
      <c r="AE4014" s="74"/>
      <c r="AF4014" s="77"/>
      <c r="AH4014" s="497">
        <v>84.2</v>
      </c>
      <c r="AJ4014" s="42"/>
      <c r="AK4014" s="74"/>
      <c r="AL4014" s="77"/>
      <c r="AN4014" s="497">
        <v>86</v>
      </c>
      <c r="AP4014" s="42"/>
      <c r="AQ4014" s="74"/>
      <c r="AR4014" s="77"/>
      <c r="AT4014" s="497">
        <v>82.039999999999992</v>
      </c>
      <c r="AV4014" s="42"/>
      <c r="AW4014" s="74"/>
      <c r="AX4014" s="77"/>
      <c r="BA4014" s="497">
        <v>85.460000000000008</v>
      </c>
      <c r="BB4014" s="42"/>
      <c r="BC4014" s="74"/>
      <c r="BD4014" s="77"/>
      <c r="BF4014">
        <v>71.06</v>
      </c>
      <c r="BH4014" s="42"/>
      <c r="BI4014" s="74"/>
      <c r="BJ4014" s="77"/>
      <c r="BL4014" s="497">
        <v>86</v>
      </c>
      <c r="BN4014" s="42"/>
      <c r="BO4014" s="74"/>
      <c r="BP4014" s="77"/>
      <c r="BR4014" s="497">
        <v>86</v>
      </c>
      <c r="BT4014" s="42"/>
    </row>
    <row r="4015" spans="1:72" x14ac:dyDescent="0.25">
      <c r="A4015" s="90">
        <v>34501</v>
      </c>
      <c r="B4015" s="20">
        <v>0.54166666666666663</v>
      </c>
      <c r="D4015">
        <v>84.92</v>
      </c>
      <c r="E4015" t="str">
        <f t="shared" si="160"/>
        <v>WEEKDAY</v>
      </c>
      <c r="F4015" t="e">
        <f t="shared" si="161"/>
        <v>#N/A</v>
      </c>
      <c r="G4015" s="74">
        <v>33040</v>
      </c>
      <c r="H4015" s="77">
        <v>0.54166666666666663</v>
      </c>
      <c r="J4015">
        <v>75.02</v>
      </c>
      <c r="M4015" s="74">
        <v>37788</v>
      </c>
      <c r="N4015" s="77">
        <v>0.54166666666666663</v>
      </c>
      <c r="P4015">
        <v>64.400000000000006</v>
      </c>
      <c r="S4015" s="74">
        <v>34501</v>
      </c>
      <c r="T4015" s="77">
        <v>0.54166666666666663</v>
      </c>
      <c r="V4015">
        <v>75.92</v>
      </c>
      <c r="X4015" s="42"/>
      <c r="AB4015">
        <v>75.400000000000006</v>
      </c>
      <c r="AC4015">
        <v>75.92</v>
      </c>
      <c r="AE4015" s="74"/>
      <c r="AF4015" s="77"/>
      <c r="AH4015" s="497">
        <v>82.4</v>
      </c>
      <c r="AJ4015" s="42"/>
      <c r="AK4015" s="74"/>
      <c r="AL4015" s="77"/>
      <c r="AN4015" s="497">
        <v>87.080000000000013</v>
      </c>
      <c r="AP4015" s="42"/>
      <c r="AQ4015" s="74"/>
      <c r="AR4015" s="77"/>
      <c r="AT4015" s="497">
        <v>84.02</v>
      </c>
      <c r="AV4015" s="42"/>
      <c r="AW4015" s="74"/>
      <c r="AX4015" s="77"/>
      <c r="BA4015" s="497">
        <v>87.080000000000013</v>
      </c>
      <c r="BB4015" s="42"/>
      <c r="BC4015" s="74"/>
      <c r="BD4015" s="77"/>
      <c r="BF4015">
        <v>71.06</v>
      </c>
      <c r="BH4015" s="42"/>
      <c r="BI4015" s="74"/>
      <c r="BJ4015" s="77"/>
      <c r="BL4015" s="497">
        <v>87.080000000000013</v>
      </c>
      <c r="BN4015" s="42"/>
      <c r="BO4015" s="74"/>
      <c r="BP4015" s="77"/>
      <c r="BR4015" s="497">
        <v>87.080000000000013</v>
      </c>
      <c r="BT4015" s="42"/>
    </row>
    <row r="4016" spans="1:72" x14ac:dyDescent="0.25">
      <c r="A4016" s="90">
        <v>34501</v>
      </c>
      <c r="B4016" s="20">
        <v>0.58333333333333337</v>
      </c>
      <c r="D4016">
        <v>84.92</v>
      </c>
      <c r="E4016" t="str">
        <f t="shared" si="160"/>
        <v>WEEKDAY</v>
      </c>
      <c r="F4016" t="e">
        <f t="shared" si="161"/>
        <v>#N/A</v>
      </c>
      <c r="G4016" s="74">
        <v>33040</v>
      </c>
      <c r="H4016" s="77">
        <v>0.58333333333333337</v>
      </c>
      <c r="J4016">
        <v>77</v>
      </c>
      <c r="M4016" s="74">
        <v>37788</v>
      </c>
      <c r="N4016" s="77">
        <v>0.58333333333333337</v>
      </c>
      <c r="P4016">
        <v>64.400000000000006</v>
      </c>
      <c r="S4016" s="74">
        <v>34501</v>
      </c>
      <c r="T4016" s="77">
        <v>0.58333333333333337</v>
      </c>
      <c r="V4016">
        <v>78.98</v>
      </c>
      <c r="X4016" s="42"/>
      <c r="AB4016">
        <v>75.8</v>
      </c>
      <c r="AC4016">
        <v>80.06</v>
      </c>
      <c r="AE4016" s="74"/>
      <c r="AF4016" s="77"/>
      <c r="AH4016" s="497">
        <v>84.2</v>
      </c>
      <c r="AJ4016" s="42"/>
      <c r="AK4016" s="74"/>
      <c r="AL4016" s="77"/>
      <c r="AN4016" s="497">
        <v>89.06</v>
      </c>
      <c r="AP4016" s="42"/>
      <c r="AQ4016" s="74"/>
      <c r="AR4016" s="77"/>
      <c r="AT4016" s="497">
        <v>82.94</v>
      </c>
      <c r="AV4016" s="42"/>
      <c r="AW4016" s="74"/>
      <c r="AX4016" s="77"/>
      <c r="BA4016" s="497">
        <v>87.800000000000011</v>
      </c>
      <c r="BB4016" s="42"/>
      <c r="BC4016" s="74"/>
      <c r="BD4016" s="77"/>
      <c r="BF4016">
        <v>75.02</v>
      </c>
      <c r="BH4016" s="42"/>
      <c r="BI4016" s="74"/>
      <c r="BJ4016" s="77"/>
      <c r="BL4016" s="497">
        <v>87.98</v>
      </c>
      <c r="BN4016" s="42"/>
      <c r="BO4016" s="74"/>
      <c r="BP4016" s="77"/>
      <c r="BR4016" s="497">
        <v>87.080000000000013</v>
      </c>
      <c r="BT4016" s="42"/>
    </row>
    <row r="4017" spans="1:72" x14ac:dyDescent="0.25">
      <c r="A4017" s="90">
        <v>34501</v>
      </c>
      <c r="B4017" s="20">
        <v>0.625</v>
      </c>
      <c r="D4017">
        <v>84.92</v>
      </c>
      <c r="E4017" t="str">
        <f t="shared" si="160"/>
        <v>WEEKDAY</v>
      </c>
      <c r="F4017" t="e">
        <f t="shared" si="161"/>
        <v>#N/A</v>
      </c>
      <c r="G4017" s="74">
        <v>33040</v>
      </c>
      <c r="H4017" s="77">
        <v>0.625</v>
      </c>
      <c r="J4017">
        <v>77</v>
      </c>
      <c r="M4017" s="74">
        <v>37788</v>
      </c>
      <c r="N4017" s="77">
        <v>0.625</v>
      </c>
      <c r="P4017">
        <v>66.2</v>
      </c>
      <c r="S4017" s="74">
        <v>34501</v>
      </c>
      <c r="T4017" s="77">
        <v>0.625</v>
      </c>
      <c r="V4017">
        <v>78.080000000000013</v>
      </c>
      <c r="X4017" s="42"/>
      <c r="AB4017">
        <v>75.599999999999994</v>
      </c>
      <c r="AC4017">
        <v>77</v>
      </c>
      <c r="AE4017" s="74"/>
      <c r="AF4017" s="77"/>
      <c r="AH4017" s="497">
        <v>86</v>
      </c>
      <c r="AJ4017" s="42"/>
      <c r="AK4017" s="74"/>
      <c r="AL4017" s="77"/>
      <c r="AN4017" s="497">
        <v>89.06</v>
      </c>
      <c r="AP4017" s="42"/>
      <c r="AQ4017" s="74"/>
      <c r="AR4017" s="77"/>
      <c r="AT4017" s="497">
        <v>82.039999999999992</v>
      </c>
      <c r="AV4017" s="42"/>
      <c r="AW4017" s="74"/>
      <c r="AX4017" s="77"/>
      <c r="BA4017" s="497">
        <v>88.34</v>
      </c>
      <c r="BB4017" s="42"/>
      <c r="BC4017" s="74"/>
      <c r="BD4017" s="77"/>
      <c r="BF4017">
        <v>75.92</v>
      </c>
      <c r="BH4017" s="42"/>
      <c r="BI4017" s="74"/>
      <c r="BJ4017" s="77"/>
      <c r="BL4017" s="497">
        <v>87.080000000000013</v>
      </c>
      <c r="BN4017" s="42"/>
      <c r="BO4017" s="74"/>
      <c r="BP4017" s="77"/>
      <c r="BR4017" s="497">
        <v>87.98</v>
      </c>
      <c r="BT4017" s="42"/>
    </row>
    <row r="4018" spans="1:72" x14ac:dyDescent="0.25">
      <c r="A4018" s="90">
        <v>34501</v>
      </c>
      <c r="B4018" s="20">
        <v>0.66666666666666663</v>
      </c>
      <c r="D4018">
        <v>84.92</v>
      </c>
      <c r="E4018" t="str">
        <f t="shared" si="160"/>
        <v>WEEKDAY</v>
      </c>
      <c r="F4018" t="e">
        <f t="shared" si="161"/>
        <v>#N/A</v>
      </c>
      <c r="G4018" s="74">
        <v>33040</v>
      </c>
      <c r="H4018" s="77">
        <v>0.66666666666666663</v>
      </c>
      <c r="J4018">
        <v>78.98</v>
      </c>
      <c r="M4018" s="74">
        <v>37788</v>
      </c>
      <c r="N4018" s="77">
        <v>0.66666666666666663</v>
      </c>
      <c r="P4018">
        <v>64.400000000000006</v>
      </c>
      <c r="S4018" s="74">
        <v>34501</v>
      </c>
      <c r="T4018" s="77">
        <v>0.66666666666666663</v>
      </c>
      <c r="V4018">
        <v>77</v>
      </c>
      <c r="X4018" s="42"/>
      <c r="AB4018">
        <v>75.2</v>
      </c>
      <c r="AC4018">
        <v>75.92</v>
      </c>
      <c r="AE4018" s="74"/>
      <c r="AF4018" s="77"/>
      <c r="AH4018" s="497">
        <v>84.2</v>
      </c>
      <c r="AJ4018" s="42"/>
      <c r="AK4018" s="74"/>
      <c r="AL4018" s="77"/>
      <c r="AN4018" s="497">
        <v>87.98</v>
      </c>
      <c r="AP4018" s="42"/>
      <c r="AQ4018" s="74"/>
      <c r="AR4018" s="77"/>
      <c r="AT4018" s="497">
        <v>84.02</v>
      </c>
      <c r="AV4018" s="42"/>
      <c r="AW4018" s="74"/>
      <c r="AX4018" s="77"/>
      <c r="BA4018" s="497">
        <v>89.06</v>
      </c>
      <c r="BB4018" s="42"/>
      <c r="BC4018" s="74"/>
      <c r="BD4018" s="77"/>
      <c r="BF4018">
        <v>77</v>
      </c>
      <c r="BH4018" s="42"/>
      <c r="BI4018" s="74"/>
      <c r="BJ4018" s="77"/>
      <c r="BL4018" s="497">
        <v>87.080000000000013</v>
      </c>
      <c r="BN4018" s="42"/>
      <c r="BO4018" s="74"/>
      <c r="BP4018" s="77"/>
      <c r="BR4018" s="497">
        <v>87.080000000000013</v>
      </c>
      <c r="BT4018" s="42"/>
    </row>
    <row r="4019" spans="1:72" x14ac:dyDescent="0.25">
      <c r="A4019" s="90">
        <v>34501</v>
      </c>
      <c r="B4019" s="20">
        <v>0.70833333333333337</v>
      </c>
      <c r="D4019">
        <v>80.960000000000008</v>
      </c>
      <c r="E4019" t="str">
        <f t="shared" si="160"/>
        <v>WEEKDAY</v>
      </c>
      <c r="F4019" t="e">
        <f t="shared" si="161"/>
        <v>#N/A</v>
      </c>
      <c r="G4019" s="74">
        <v>33040</v>
      </c>
      <c r="H4019" s="77">
        <v>0.70833333333333337</v>
      </c>
      <c r="J4019">
        <v>78.080000000000013</v>
      </c>
      <c r="M4019" s="74">
        <v>37788</v>
      </c>
      <c r="N4019" s="77">
        <v>0.70833333333333337</v>
      </c>
      <c r="P4019">
        <v>64.400000000000006</v>
      </c>
      <c r="S4019" s="74">
        <v>34501</v>
      </c>
      <c r="T4019" s="77">
        <v>0.70833333333333337</v>
      </c>
      <c r="V4019">
        <v>73.039999999999992</v>
      </c>
      <c r="X4019" s="42"/>
      <c r="AB4019">
        <v>74.3</v>
      </c>
      <c r="AC4019">
        <v>73.039999999999992</v>
      </c>
      <c r="AE4019" s="74"/>
      <c r="AF4019" s="77"/>
      <c r="AH4019" s="497">
        <v>84.2</v>
      </c>
      <c r="AJ4019" s="42"/>
      <c r="AK4019" s="74"/>
      <c r="AL4019" s="77"/>
      <c r="AN4019" s="497">
        <v>87.080000000000013</v>
      </c>
      <c r="AP4019" s="42"/>
      <c r="AQ4019" s="74"/>
      <c r="AR4019" s="77"/>
      <c r="AT4019" s="497">
        <v>82.039999999999992</v>
      </c>
      <c r="AV4019" s="42"/>
      <c r="AW4019" s="74"/>
      <c r="AX4019" s="77"/>
      <c r="BA4019" s="497">
        <v>87.44</v>
      </c>
      <c r="BB4019" s="42"/>
      <c r="BC4019" s="74"/>
      <c r="BD4019" s="77"/>
      <c r="BF4019">
        <v>75.02</v>
      </c>
      <c r="BH4019" s="42"/>
      <c r="BI4019" s="74"/>
      <c r="BJ4019" s="77"/>
      <c r="BL4019" s="497">
        <v>86</v>
      </c>
      <c r="BN4019" s="42"/>
      <c r="BO4019" s="74"/>
      <c r="BP4019" s="77"/>
      <c r="BR4019" s="497">
        <v>86</v>
      </c>
      <c r="BT4019" s="42"/>
    </row>
    <row r="4020" spans="1:72" x14ac:dyDescent="0.25">
      <c r="A4020" s="90">
        <v>34501</v>
      </c>
      <c r="B4020" s="20">
        <v>0.75</v>
      </c>
      <c r="D4020">
        <v>80.06</v>
      </c>
      <c r="E4020" t="str">
        <f t="shared" si="160"/>
        <v>WEEKDAY</v>
      </c>
      <c r="F4020" t="e">
        <f t="shared" si="161"/>
        <v>#N/A</v>
      </c>
      <c r="G4020" s="74">
        <v>33040</v>
      </c>
      <c r="H4020" s="77">
        <v>0.75</v>
      </c>
      <c r="J4020">
        <v>75.02</v>
      </c>
      <c r="M4020" s="74">
        <v>37788</v>
      </c>
      <c r="N4020" s="77">
        <v>0.75</v>
      </c>
      <c r="P4020">
        <v>62.6</v>
      </c>
      <c r="S4020" s="74">
        <v>34501</v>
      </c>
      <c r="T4020" s="77">
        <v>0.75</v>
      </c>
      <c r="V4020">
        <v>71.06</v>
      </c>
      <c r="X4020" s="42"/>
      <c r="AB4020">
        <v>73.2</v>
      </c>
      <c r="AC4020">
        <v>71.06</v>
      </c>
      <c r="AE4020" s="74"/>
      <c r="AF4020" s="77"/>
      <c r="AH4020" s="497">
        <v>84.2</v>
      </c>
      <c r="AJ4020" s="42"/>
      <c r="AK4020" s="74"/>
      <c r="AL4020" s="77"/>
      <c r="AN4020" s="497">
        <v>82.94</v>
      </c>
      <c r="AP4020" s="42"/>
      <c r="AQ4020" s="74"/>
      <c r="AR4020" s="77"/>
      <c r="AT4020" s="497">
        <v>80.960000000000008</v>
      </c>
      <c r="AV4020" s="42"/>
      <c r="AW4020" s="74"/>
      <c r="AX4020" s="77"/>
      <c r="BA4020" s="497">
        <v>85.64</v>
      </c>
      <c r="BB4020" s="42"/>
      <c r="BC4020" s="74"/>
      <c r="BD4020" s="77"/>
      <c r="BF4020">
        <v>75.02</v>
      </c>
      <c r="BH4020" s="42"/>
      <c r="BI4020" s="74"/>
      <c r="BJ4020" s="77"/>
      <c r="BL4020" s="497">
        <v>84.02</v>
      </c>
      <c r="BN4020" s="42"/>
      <c r="BO4020" s="74"/>
      <c r="BP4020" s="77"/>
      <c r="BR4020" s="497">
        <v>75.02</v>
      </c>
      <c r="BT4020" s="42"/>
    </row>
    <row r="4021" spans="1:72" x14ac:dyDescent="0.25">
      <c r="A4021" s="90">
        <v>34501</v>
      </c>
      <c r="B4021" s="20">
        <v>0.79166666666666663</v>
      </c>
      <c r="D4021">
        <v>77</v>
      </c>
      <c r="E4021" t="str">
        <f t="shared" si="160"/>
        <v>WEEKDAY</v>
      </c>
      <c r="F4021" t="e">
        <f t="shared" si="161"/>
        <v>#N/A</v>
      </c>
      <c r="G4021" s="74">
        <v>33040</v>
      </c>
      <c r="H4021" s="77">
        <v>0.79166666666666663</v>
      </c>
      <c r="J4021">
        <v>73.039999999999992</v>
      </c>
      <c r="M4021" s="74">
        <v>37788</v>
      </c>
      <c r="N4021" s="77">
        <v>0.79166666666666663</v>
      </c>
      <c r="P4021">
        <v>60.8</v>
      </c>
      <c r="S4021" s="74">
        <v>34501</v>
      </c>
      <c r="T4021" s="77">
        <v>0.79166666666666663</v>
      </c>
      <c r="V4021">
        <v>69.98</v>
      </c>
      <c r="X4021" s="42"/>
      <c r="AB4021">
        <v>71.900000000000006</v>
      </c>
      <c r="AC4021">
        <v>69.98</v>
      </c>
      <c r="AE4021" s="74"/>
      <c r="AF4021" s="77"/>
      <c r="AH4021" s="497">
        <v>82.4</v>
      </c>
      <c r="AJ4021" s="42"/>
      <c r="AK4021" s="74"/>
      <c r="AL4021" s="77"/>
      <c r="AN4021" s="497">
        <v>82.94</v>
      </c>
      <c r="AP4021" s="42"/>
      <c r="AQ4021" s="74"/>
      <c r="AR4021" s="77"/>
      <c r="AT4021" s="497">
        <v>78.080000000000013</v>
      </c>
      <c r="AV4021" s="42"/>
      <c r="AW4021" s="74"/>
      <c r="AX4021" s="77"/>
      <c r="BA4021" s="497">
        <v>84.02</v>
      </c>
      <c r="BB4021" s="42"/>
      <c r="BC4021" s="74"/>
      <c r="BD4021" s="77"/>
      <c r="BF4021">
        <v>73.039999999999992</v>
      </c>
      <c r="BH4021" s="42"/>
      <c r="BI4021" s="74"/>
      <c r="BJ4021" s="77"/>
      <c r="BL4021" s="497">
        <v>80.06</v>
      </c>
      <c r="BN4021" s="42"/>
      <c r="BO4021" s="74"/>
      <c r="BP4021" s="77"/>
      <c r="BR4021" s="497">
        <v>77</v>
      </c>
      <c r="BT4021" s="42"/>
    </row>
    <row r="4022" spans="1:72" x14ac:dyDescent="0.25">
      <c r="A4022" s="90">
        <v>34501</v>
      </c>
      <c r="B4022" s="20">
        <v>0.83333333333333337</v>
      </c>
      <c r="D4022">
        <v>77</v>
      </c>
      <c r="E4022" t="str">
        <f t="shared" si="160"/>
        <v>WEEKDAY</v>
      </c>
      <c r="F4022" t="e">
        <f t="shared" si="161"/>
        <v>#N/A</v>
      </c>
      <c r="G4022" s="74">
        <v>33040</v>
      </c>
      <c r="H4022" s="77">
        <v>0.83333333333333337</v>
      </c>
      <c r="J4022">
        <v>71.06</v>
      </c>
      <c r="M4022" s="74">
        <v>37788</v>
      </c>
      <c r="N4022" s="77">
        <v>0.83333333333333337</v>
      </c>
      <c r="P4022">
        <v>55.400000000000006</v>
      </c>
      <c r="S4022" s="74">
        <v>34501</v>
      </c>
      <c r="T4022" s="77">
        <v>0.83333333333333337</v>
      </c>
      <c r="V4022">
        <v>69.080000000000013</v>
      </c>
      <c r="X4022" s="42"/>
      <c r="AB4022">
        <v>70.5</v>
      </c>
      <c r="AC4022">
        <v>69.080000000000013</v>
      </c>
      <c r="AE4022" s="74"/>
      <c r="AF4022" s="77"/>
      <c r="AH4022" s="497">
        <v>80.599999999999994</v>
      </c>
      <c r="AJ4022" s="42"/>
      <c r="AK4022" s="74"/>
      <c r="AL4022" s="77"/>
      <c r="AN4022" s="497">
        <v>78.98</v>
      </c>
      <c r="AP4022" s="42"/>
      <c r="AQ4022" s="74"/>
      <c r="AR4022" s="77"/>
      <c r="AT4022" s="497">
        <v>75.92</v>
      </c>
      <c r="AV4022" s="42"/>
      <c r="AW4022" s="74"/>
      <c r="AX4022" s="77"/>
      <c r="BA4022" s="497">
        <v>79.34</v>
      </c>
      <c r="BB4022" s="42"/>
      <c r="BC4022" s="74"/>
      <c r="BD4022" s="77"/>
      <c r="BF4022">
        <v>71.06</v>
      </c>
      <c r="BH4022" s="42"/>
      <c r="BI4022" s="74"/>
      <c r="BJ4022" s="77"/>
      <c r="BL4022" s="497">
        <v>77</v>
      </c>
      <c r="BN4022" s="42"/>
      <c r="BO4022" s="74"/>
      <c r="BP4022" s="77"/>
      <c r="BR4022" s="497">
        <v>78.98</v>
      </c>
      <c r="BT4022" s="42"/>
    </row>
    <row r="4023" spans="1:72" x14ac:dyDescent="0.25">
      <c r="A4023" s="90">
        <v>34501</v>
      </c>
      <c r="B4023" s="20">
        <v>0.875</v>
      </c>
      <c r="D4023">
        <v>77</v>
      </c>
      <c r="E4023" t="str">
        <f t="shared" si="160"/>
        <v>WEEKDAY</v>
      </c>
      <c r="F4023" t="e">
        <f t="shared" si="161"/>
        <v>#N/A</v>
      </c>
      <c r="G4023" s="74">
        <v>33040</v>
      </c>
      <c r="H4023" s="77">
        <v>0.875</v>
      </c>
      <c r="J4023">
        <v>69.98</v>
      </c>
      <c r="M4023" s="74">
        <v>37788</v>
      </c>
      <c r="N4023" s="77">
        <v>0.875</v>
      </c>
      <c r="P4023">
        <v>55.400000000000006</v>
      </c>
      <c r="S4023" s="74">
        <v>34501</v>
      </c>
      <c r="T4023" s="77">
        <v>0.875</v>
      </c>
      <c r="V4023">
        <v>69.98</v>
      </c>
      <c r="X4023" s="42"/>
      <c r="AB4023">
        <v>69.3</v>
      </c>
      <c r="AC4023">
        <v>66.92</v>
      </c>
      <c r="AE4023" s="74"/>
      <c r="AF4023" s="77"/>
      <c r="AH4023" s="497">
        <v>78.800000000000011</v>
      </c>
      <c r="AJ4023" s="42"/>
      <c r="AK4023" s="74"/>
      <c r="AL4023" s="77"/>
      <c r="AN4023" s="497">
        <v>77</v>
      </c>
      <c r="AP4023" s="42"/>
      <c r="AQ4023" s="74"/>
      <c r="AR4023" s="77"/>
      <c r="AT4023" s="497">
        <v>77</v>
      </c>
      <c r="AV4023" s="42"/>
      <c r="AW4023" s="74"/>
      <c r="AX4023" s="77"/>
      <c r="BA4023" s="497">
        <v>74.66</v>
      </c>
      <c r="BB4023" s="42"/>
      <c r="BC4023" s="74"/>
      <c r="BD4023" s="77"/>
      <c r="BF4023">
        <v>69.080000000000013</v>
      </c>
      <c r="BH4023" s="42"/>
      <c r="BI4023" s="74"/>
      <c r="BJ4023" s="77"/>
      <c r="BL4023" s="497">
        <v>73.94</v>
      </c>
      <c r="BN4023" s="42"/>
      <c r="BO4023" s="74"/>
      <c r="BP4023" s="77"/>
      <c r="BR4023" s="497">
        <v>77</v>
      </c>
      <c r="BT4023" s="42"/>
    </row>
    <row r="4024" spans="1:72" x14ac:dyDescent="0.25">
      <c r="A4024" s="90">
        <v>34501</v>
      </c>
      <c r="B4024" s="20">
        <v>0.91666666666666663</v>
      </c>
      <c r="D4024">
        <v>75.92</v>
      </c>
      <c r="E4024" t="str">
        <f t="shared" si="160"/>
        <v>WEEKDAY</v>
      </c>
      <c r="F4024" t="e">
        <f t="shared" si="161"/>
        <v>#N/A</v>
      </c>
      <c r="G4024" s="74">
        <v>33040</v>
      </c>
      <c r="H4024" s="77">
        <v>0.91666666666666663</v>
      </c>
      <c r="J4024">
        <v>69.080000000000013</v>
      </c>
      <c r="M4024" s="74">
        <v>37788</v>
      </c>
      <c r="N4024" s="77">
        <v>0.91666666666666663</v>
      </c>
      <c r="P4024">
        <v>53.6</v>
      </c>
      <c r="S4024" s="74">
        <v>34501</v>
      </c>
      <c r="T4024" s="77">
        <v>0.91666666666666663</v>
      </c>
      <c r="V4024">
        <v>69.98</v>
      </c>
      <c r="X4024" s="42"/>
      <c r="AB4024">
        <v>68.7</v>
      </c>
      <c r="AC4024">
        <v>66.02</v>
      </c>
      <c r="AE4024" s="74"/>
      <c r="AF4024" s="77"/>
      <c r="AH4024" s="497">
        <v>77</v>
      </c>
      <c r="AJ4024" s="42"/>
      <c r="AK4024" s="74"/>
      <c r="AL4024" s="77"/>
      <c r="AN4024" s="497">
        <v>75.02</v>
      </c>
      <c r="AP4024" s="42"/>
      <c r="AQ4024" s="74"/>
      <c r="AR4024" s="77"/>
      <c r="AT4024" s="497">
        <v>69.080000000000013</v>
      </c>
      <c r="AV4024" s="42"/>
      <c r="AW4024" s="74"/>
      <c r="AX4024" s="77"/>
      <c r="BA4024" s="497">
        <v>69.98</v>
      </c>
      <c r="BB4024" s="42"/>
      <c r="BC4024" s="74"/>
      <c r="BD4024" s="77"/>
      <c r="BF4024">
        <v>68</v>
      </c>
      <c r="BH4024" s="42"/>
      <c r="BI4024" s="74"/>
      <c r="BJ4024" s="77"/>
      <c r="BL4024" s="497">
        <v>71.06</v>
      </c>
      <c r="BN4024" s="42"/>
      <c r="BO4024" s="74"/>
      <c r="BP4024" s="77"/>
      <c r="BR4024" s="497">
        <v>75.02</v>
      </c>
      <c r="BT4024" s="42"/>
    </row>
    <row r="4025" spans="1:72" x14ac:dyDescent="0.25">
      <c r="A4025" s="90">
        <v>34501</v>
      </c>
      <c r="B4025" s="20">
        <v>0.95833333333333337</v>
      </c>
      <c r="D4025">
        <v>75.92</v>
      </c>
      <c r="E4025" t="str">
        <f t="shared" si="160"/>
        <v>WEEKDAY</v>
      </c>
      <c r="F4025" t="e">
        <f t="shared" si="161"/>
        <v>#N/A</v>
      </c>
      <c r="G4025" s="74">
        <v>33040</v>
      </c>
      <c r="H4025" s="77">
        <v>0.95833333333333337</v>
      </c>
      <c r="J4025">
        <v>69.080000000000013</v>
      </c>
      <c r="M4025" s="74">
        <v>37788</v>
      </c>
      <c r="N4025" s="77">
        <v>0.95833333333333337</v>
      </c>
      <c r="P4025">
        <v>51.8</v>
      </c>
      <c r="S4025" s="74">
        <v>34501</v>
      </c>
      <c r="T4025" s="77">
        <v>0.95833333333333337</v>
      </c>
      <c r="V4025">
        <v>69.080000000000013</v>
      </c>
      <c r="X4025" s="42"/>
      <c r="AB4025">
        <v>68.099999999999994</v>
      </c>
      <c r="AC4025">
        <v>66.02</v>
      </c>
      <c r="AE4025" s="74"/>
      <c r="AF4025" s="77"/>
      <c r="AH4025" s="497">
        <v>77</v>
      </c>
      <c r="AJ4025" s="42"/>
      <c r="AK4025" s="74"/>
      <c r="AL4025" s="77"/>
      <c r="AN4025" s="497">
        <v>73.039999999999992</v>
      </c>
      <c r="AP4025" s="42"/>
      <c r="AQ4025" s="74"/>
      <c r="AR4025" s="77"/>
      <c r="AT4025" s="497">
        <v>69.98</v>
      </c>
      <c r="AV4025" s="42"/>
      <c r="AW4025" s="74"/>
      <c r="AX4025" s="77"/>
      <c r="BA4025" s="497">
        <v>68.72</v>
      </c>
      <c r="BB4025" s="42"/>
      <c r="BC4025" s="74"/>
      <c r="BD4025" s="77"/>
      <c r="BF4025">
        <v>69.080000000000013</v>
      </c>
      <c r="BH4025" s="42"/>
      <c r="BI4025" s="74"/>
      <c r="BJ4025" s="77"/>
      <c r="BL4025" s="497">
        <v>69.080000000000013</v>
      </c>
      <c r="BN4025" s="42"/>
      <c r="BO4025" s="74"/>
      <c r="BP4025" s="77"/>
      <c r="BR4025" s="497">
        <v>71.06</v>
      </c>
      <c r="BT4025" s="42"/>
    </row>
    <row r="4026" spans="1:72" x14ac:dyDescent="0.25">
      <c r="A4026" s="90">
        <v>34501</v>
      </c>
      <c r="B4026" s="20">
        <v>1</v>
      </c>
      <c r="D4026">
        <v>75.02</v>
      </c>
      <c r="E4026" t="str">
        <f t="shared" si="160"/>
        <v>WEEKDAY</v>
      </c>
      <c r="F4026" t="e">
        <f t="shared" si="161"/>
        <v>#N/A</v>
      </c>
      <c r="G4026" s="74">
        <v>33040</v>
      </c>
      <c r="H4026" s="77">
        <v>1</v>
      </c>
      <c r="J4026">
        <v>68</v>
      </c>
      <c r="M4026" s="74">
        <v>37788</v>
      </c>
      <c r="N4026" s="80">
        <v>1</v>
      </c>
      <c r="P4026">
        <v>51.8</v>
      </c>
      <c r="S4026" s="74">
        <v>34501</v>
      </c>
      <c r="T4026" s="80">
        <v>1</v>
      </c>
      <c r="V4026">
        <v>68</v>
      </c>
      <c r="X4026" s="42"/>
      <c r="AB4026">
        <v>67.599999999999994</v>
      </c>
      <c r="AC4026">
        <v>66.92</v>
      </c>
      <c r="AE4026" s="74"/>
      <c r="AF4026" s="80"/>
      <c r="AH4026" s="497">
        <v>77</v>
      </c>
      <c r="AJ4026" s="42"/>
      <c r="AK4026" s="74"/>
      <c r="AL4026" s="80"/>
      <c r="AN4026" s="497">
        <v>71.960000000000008</v>
      </c>
      <c r="AP4026" s="42"/>
      <c r="AQ4026" s="74"/>
      <c r="AR4026" s="80"/>
      <c r="AT4026" s="497">
        <v>69.080000000000013</v>
      </c>
      <c r="AV4026" s="42"/>
      <c r="AW4026" s="74"/>
      <c r="AX4026" s="80"/>
      <c r="BA4026" s="497">
        <v>67.28</v>
      </c>
      <c r="BB4026" s="42"/>
      <c r="BC4026" s="74"/>
      <c r="BD4026" s="80"/>
      <c r="BF4026">
        <v>69.98</v>
      </c>
      <c r="BH4026" s="42"/>
      <c r="BI4026" s="74"/>
      <c r="BJ4026" s="80"/>
      <c r="BL4026" s="497">
        <v>64.94</v>
      </c>
      <c r="BN4026" s="42"/>
      <c r="BO4026" s="74"/>
      <c r="BP4026" s="80"/>
      <c r="BR4026" s="497">
        <v>66.92</v>
      </c>
      <c r="BT4026" s="42"/>
    </row>
    <row r="4027" spans="1:72" x14ac:dyDescent="0.25">
      <c r="A4027" s="90">
        <v>34502</v>
      </c>
      <c r="B4027" s="20">
        <v>4.1666666666666664E-2</v>
      </c>
      <c r="D4027">
        <v>75.02</v>
      </c>
      <c r="E4027" t="str">
        <f t="shared" si="160"/>
        <v>WEEKDAY</v>
      </c>
      <c r="F4027" t="e">
        <f t="shared" si="161"/>
        <v>#N/A</v>
      </c>
      <c r="G4027" s="74">
        <v>33041</v>
      </c>
      <c r="H4027" s="77">
        <v>4.1666666666666664E-2</v>
      </c>
      <c r="J4027">
        <v>66.92</v>
      </c>
      <c r="M4027" s="74">
        <v>37789</v>
      </c>
      <c r="N4027" s="77">
        <v>4.1666666666666664E-2</v>
      </c>
      <c r="P4027">
        <v>50</v>
      </c>
      <c r="S4027" s="74">
        <v>34502</v>
      </c>
      <c r="T4027" s="77">
        <v>4.1666666666666664E-2</v>
      </c>
      <c r="V4027">
        <v>69.080000000000013</v>
      </c>
      <c r="X4027" s="42"/>
      <c r="AB4027">
        <v>67.099999999999994</v>
      </c>
      <c r="AC4027">
        <v>66.92</v>
      </c>
      <c r="AE4027" s="74"/>
      <c r="AF4027" s="77"/>
      <c r="AH4027" s="497">
        <v>77</v>
      </c>
      <c r="AJ4027" s="42"/>
      <c r="AK4027" s="74"/>
      <c r="AL4027" s="77"/>
      <c r="AN4027" s="497">
        <v>71.06</v>
      </c>
      <c r="AP4027" s="42"/>
      <c r="AQ4027" s="74"/>
      <c r="AR4027" s="77"/>
      <c r="AT4027" s="497">
        <v>64.039999999999992</v>
      </c>
      <c r="AV4027" s="42"/>
      <c r="AW4027" s="74"/>
      <c r="AX4027" s="77"/>
      <c r="BA4027" s="497">
        <v>66.02</v>
      </c>
      <c r="BB4027" s="42"/>
      <c r="BC4027" s="74"/>
      <c r="BD4027" s="77"/>
      <c r="BF4027">
        <v>68</v>
      </c>
      <c r="BH4027" s="42"/>
      <c r="BI4027" s="74"/>
      <c r="BJ4027" s="77"/>
      <c r="BL4027" s="497">
        <v>69.080000000000013</v>
      </c>
      <c r="BN4027" s="42"/>
      <c r="BO4027" s="74"/>
      <c r="BP4027" s="77"/>
      <c r="BR4027" s="497">
        <v>64.94</v>
      </c>
      <c r="BT4027" s="42"/>
    </row>
    <row r="4028" spans="1:72" x14ac:dyDescent="0.25">
      <c r="A4028" s="90">
        <v>34502</v>
      </c>
      <c r="B4028" s="20">
        <v>8.3333333333333329E-2</v>
      </c>
      <c r="D4028">
        <v>75.92</v>
      </c>
      <c r="E4028" t="str">
        <f t="shared" si="160"/>
        <v>WEEKDAY</v>
      </c>
      <c r="F4028" t="e">
        <f t="shared" si="161"/>
        <v>#N/A</v>
      </c>
      <c r="G4028" s="74">
        <v>33041</v>
      </c>
      <c r="H4028" s="77">
        <v>8.3333333333333329E-2</v>
      </c>
      <c r="J4028">
        <v>66.92</v>
      </c>
      <c r="M4028" s="74">
        <v>37789</v>
      </c>
      <c r="N4028" s="77">
        <v>8.3333333333333329E-2</v>
      </c>
      <c r="P4028">
        <v>51.8</v>
      </c>
      <c r="S4028" s="74">
        <v>34502</v>
      </c>
      <c r="T4028" s="77">
        <v>8.3333333333333329E-2</v>
      </c>
      <c r="V4028">
        <v>66.92</v>
      </c>
      <c r="X4028" s="42"/>
      <c r="AB4028">
        <v>66.599999999999994</v>
      </c>
      <c r="AC4028">
        <v>66.92</v>
      </c>
      <c r="AE4028" s="74"/>
      <c r="AF4028" s="77"/>
      <c r="AH4028" s="497">
        <v>77</v>
      </c>
      <c r="AJ4028" s="42"/>
      <c r="AK4028" s="74"/>
      <c r="AL4028" s="77"/>
      <c r="AN4028" s="497">
        <v>71.06</v>
      </c>
      <c r="AP4028" s="42"/>
      <c r="AQ4028" s="74"/>
      <c r="AR4028" s="77"/>
      <c r="AT4028" s="497">
        <v>62.96</v>
      </c>
      <c r="AV4028" s="42"/>
      <c r="AW4028" s="74"/>
      <c r="AX4028" s="77"/>
      <c r="BA4028" s="497">
        <v>65.300000000000011</v>
      </c>
      <c r="BB4028" s="42"/>
      <c r="BC4028" s="74"/>
      <c r="BD4028" s="77"/>
      <c r="BF4028">
        <v>66.02</v>
      </c>
      <c r="BH4028" s="42"/>
      <c r="BI4028" s="74"/>
      <c r="BJ4028" s="77"/>
      <c r="BL4028" s="497">
        <v>64.94</v>
      </c>
      <c r="BN4028" s="42"/>
      <c r="BO4028" s="74"/>
      <c r="BP4028" s="77"/>
      <c r="BR4028" s="497">
        <v>64.94</v>
      </c>
      <c r="BT4028" s="42"/>
    </row>
    <row r="4029" spans="1:72" x14ac:dyDescent="0.25">
      <c r="A4029" s="90">
        <v>34502</v>
      </c>
      <c r="B4029" s="20">
        <v>0.125</v>
      </c>
      <c r="D4029">
        <v>75.02</v>
      </c>
      <c r="E4029" t="str">
        <f t="shared" si="160"/>
        <v>WEEKDAY</v>
      </c>
      <c r="F4029" t="e">
        <f t="shared" si="161"/>
        <v>#N/A</v>
      </c>
      <c r="G4029" s="74">
        <v>33041</v>
      </c>
      <c r="H4029" s="77">
        <v>0.125</v>
      </c>
      <c r="J4029">
        <v>66.02</v>
      </c>
      <c r="M4029" s="74">
        <v>37789</v>
      </c>
      <c r="N4029" s="77">
        <v>0.125</v>
      </c>
      <c r="P4029">
        <v>53.6</v>
      </c>
      <c r="S4029" s="74">
        <v>34502</v>
      </c>
      <c r="T4029" s="77">
        <v>0.125</v>
      </c>
      <c r="V4029">
        <v>66.02</v>
      </c>
      <c r="X4029" s="42"/>
      <c r="AB4029">
        <v>66.099999999999994</v>
      </c>
      <c r="AC4029">
        <v>68</v>
      </c>
      <c r="AE4029" s="74"/>
      <c r="AF4029" s="77"/>
      <c r="AH4029" s="497">
        <v>77</v>
      </c>
      <c r="AJ4029" s="42"/>
      <c r="AK4029" s="74"/>
      <c r="AL4029" s="77"/>
      <c r="AN4029" s="497">
        <v>69.080000000000013</v>
      </c>
      <c r="AP4029" s="42"/>
      <c r="AQ4029" s="74"/>
      <c r="AR4029" s="77"/>
      <c r="AT4029" s="497">
        <v>62.06</v>
      </c>
      <c r="AV4029" s="42"/>
      <c r="AW4029" s="74"/>
      <c r="AX4029" s="77"/>
      <c r="BA4029" s="497">
        <v>64.759999999999991</v>
      </c>
      <c r="BB4029" s="42"/>
      <c r="BC4029" s="74"/>
      <c r="BD4029" s="77"/>
      <c r="BF4029">
        <v>66.02</v>
      </c>
      <c r="BH4029" s="42"/>
      <c r="BI4029" s="74"/>
      <c r="BJ4029" s="77"/>
      <c r="BL4029" s="497">
        <v>64.94</v>
      </c>
      <c r="BN4029" s="42"/>
      <c r="BO4029" s="74"/>
      <c r="BP4029" s="77"/>
      <c r="BR4029" s="497">
        <v>62.96</v>
      </c>
      <c r="BT4029" s="42"/>
    </row>
    <row r="4030" spans="1:72" x14ac:dyDescent="0.25">
      <c r="A4030" s="90">
        <v>34502</v>
      </c>
      <c r="B4030" s="20">
        <v>0.16666666666666666</v>
      </c>
      <c r="D4030">
        <v>73.039999999999992</v>
      </c>
      <c r="E4030" t="str">
        <f t="shared" si="160"/>
        <v>WEEKDAY</v>
      </c>
      <c r="F4030" t="e">
        <f t="shared" si="161"/>
        <v>#N/A</v>
      </c>
      <c r="G4030" s="74">
        <v>33041</v>
      </c>
      <c r="H4030" s="77">
        <v>0.16666666666666666</v>
      </c>
      <c r="J4030">
        <v>64.94</v>
      </c>
      <c r="M4030" s="74">
        <v>37789</v>
      </c>
      <c r="N4030" s="77">
        <v>0.16666666666666666</v>
      </c>
      <c r="P4030">
        <v>53.6</v>
      </c>
      <c r="S4030" s="74">
        <v>34502</v>
      </c>
      <c r="T4030" s="77">
        <v>0.16666666666666666</v>
      </c>
      <c r="V4030">
        <v>68</v>
      </c>
      <c r="X4030" s="42"/>
      <c r="AB4030">
        <v>65.7</v>
      </c>
      <c r="AC4030">
        <v>68</v>
      </c>
      <c r="AE4030" s="74"/>
      <c r="AF4030" s="77"/>
      <c r="AH4030" s="497">
        <v>75.02</v>
      </c>
      <c r="AJ4030" s="42"/>
      <c r="AK4030" s="74"/>
      <c r="AL4030" s="77"/>
      <c r="AN4030" s="497">
        <v>69.080000000000013</v>
      </c>
      <c r="AP4030" s="42"/>
      <c r="AQ4030" s="74"/>
      <c r="AR4030" s="77"/>
      <c r="AT4030" s="497">
        <v>57.92</v>
      </c>
      <c r="AV4030" s="42"/>
      <c r="AW4030" s="74"/>
      <c r="AX4030" s="77"/>
      <c r="BA4030" s="497">
        <v>64.039999999999992</v>
      </c>
      <c r="BB4030" s="42"/>
      <c r="BC4030" s="74"/>
      <c r="BD4030" s="77"/>
      <c r="BF4030">
        <v>68</v>
      </c>
      <c r="BH4030" s="42"/>
      <c r="BI4030" s="74"/>
      <c r="BJ4030" s="77"/>
      <c r="BL4030" s="497">
        <v>64.94</v>
      </c>
      <c r="BN4030" s="42"/>
      <c r="BO4030" s="74"/>
      <c r="BP4030" s="77"/>
      <c r="BR4030" s="497">
        <v>62.96</v>
      </c>
      <c r="BT4030" s="42"/>
    </row>
    <row r="4031" spans="1:72" x14ac:dyDescent="0.25">
      <c r="A4031" s="90">
        <v>34502</v>
      </c>
      <c r="B4031" s="20">
        <v>0.20833333333333334</v>
      </c>
      <c r="D4031">
        <v>71.960000000000008</v>
      </c>
      <c r="E4031" t="str">
        <f t="shared" si="160"/>
        <v>WEEKDAY</v>
      </c>
      <c r="F4031" t="e">
        <f t="shared" si="161"/>
        <v>#N/A</v>
      </c>
      <c r="G4031" s="74">
        <v>33041</v>
      </c>
      <c r="H4031" s="77">
        <v>0.20833333333333334</v>
      </c>
      <c r="J4031">
        <v>64.039999999999992</v>
      </c>
      <c r="M4031" s="74">
        <v>37789</v>
      </c>
      <c r="N4031" s="77">
        <v>0.20833333333333334</v>
      </c>
      <c r="P4031">
        <v>53.6</v>
      </c>
      <c r="S4031" s="74">
        <v>34502</v>
      </c>
      <c r="T4031" s="77">
        <v>0.20833333333333334</v>
      </c>
      <c r="V4031">
        <v>68</v>
      </c>
      <c r="X4031" s="42"/>
      <c r="AB4031">
        <v>65.3</v>
      </c>
      <c r="AC4031">
        <v>68</v>
      </c>
      <c r="AE4031" s="74"/>
      <c r="AF4031" s="77"/>
      <c r="AH4031" s="497">
        <v>73.400000000000006</v>
      </c>
      <c r="AJ4031" s="42"/>
      <c r="AK4031" s="74"/>
      <c r="AL4031" s="77"/>
      <c r="AN4031" s="497">
        <v>69.080000000000013</v>
      </c>
      <c r="AP4031" s="42"/>
      <c r="AQ4031" s="74"/>
      <c r="AR4031" s="77"/>
      <c r="AT4031" s="497">
        <v>53.96</v>
      </c>
      <c r="AV4031" s="42"/>
      <c r="AW4031" s="74"/>
      <c r="AX4031" s="77"/>
      <c r="BA4031" s="497">
        <v>65.66</v>
      </c>
      <c r="BB4031" s="42"/>
      <c r="BC4031" s="74"/>
      <c r="BD4031" s="77"/>
      <c r="BF4031">
        <v>68</v>
      </c>
      <c r="BH4031" s="42"/>
      <c r="BI4031" s="74"/>
      <c r="BJ4031" s="77"/>
      <c r="BL4031" s="497">
        <v>64.94</v>
      </c>
      <c r="BN4031" s="42"/>
      <c r="BO4031" s="74"/>
      <c r="BP4031" s="77"/>
      <c r="BR4031" s="497">
        <v>62.06</v>
      </c>
      <c r="BT4031" s="42"/>
    </row>
    <row r="4032" spans="1:72" x14ac:dyDescent="0.25">
      <c r="A4032" s="90">
        <v>34502</v>
      </c>
      <c r="B4032" s="20">
        <v>0.25</v>
      </c>
      <c r="D4032">
        <v>75.92</v>
      </c>
      <c r="E4032" t="str">
        <f t="shared" si="160"/>
        <v>WEEKDAY</v>
      </c>
      <c r="F4032" t="e">
        <f t="shared" si="161"/>
        <v>#N/A</v>
      </c>
      <c r="G4032" s="74">
        <v>33041</v>
      </c>
      <c r="H4032" s="77">
        <v>0.25</v>
      </c>
      <c r="J4032">
        <v>64.94</v>
      </c>
      <c r="M4032" s="74">
        <v>37789</v>
      </c>
      <c r="N4032" s="77">
        <v>0.25</v>
      </c>
      <c r="P4032">
        <v>53.6</v>
      </c>
      <c r="S4032" s="74">
        <v>34502</v>
      </c>
      <c r="T4032" s="77">
        <v>0.25</v>
      </c>
      <c r="V4032">
        <v>68</v>
      </c>
      <c r="X4032" s="42"/>
      <c r="AB4032">
        <v>65.3</v>
      </c>
      <c r="AC4032">
        <v>68</v>
      </c>
      <c r="AE4032" s="74"/>
      <c r="AF4032" s="77"/>
      <c r="AH4032" s="497">
        <v>73.400000000000006</v>
      </c>
      <c r="AJ4032" s="42"/>
      <c r="AK4032" s="74"/>
      <c r="AL4032" s="77"/>
      <c r="AN4032" s="497">
        <v>69.98</v>
      </c>
      <c r="AP4032" s="42"/>
      <c r="AQ4032" s="74"/>
      <c r="AR4032" s="77"/>
      <c r="AT4032" s="497">
        <v>55.040000000000006</v>
      </c>
      <c r="AV4032" s="42"/>
      <c r="AW4032" s="74"/>
      <c r="AX4032" s="77"/>
      <c r="BA4032" s="497">
        <v>67.460000000000008</v>
      </c>
      <c r="BB4032" s="42"/>
      <c r="BC4032" s="74"/>
      <c r="BD4032" s="77"/>
      <c r="BF4032">
        <v>68</v>
      </c>
      <c r="BH4032" s="42"/>
      <c r="BI4032" s="74"/>
      <c r="BJ4032" s="77"/>
      <c r="BL4032" s="497">
        <v>66.02</v>
      </c>
      <c r="BN4032" s="42"/>
      <c r="BO4032" s="74"/>
      <c r="BP4032" s="77"/>
      <c r="BR4032" s="497">
        <v>64.039999999999992</v>
      </c>
      <c r="BT4032" s="42"/>
    </row>
    <row r="4033" spans="1:72" x14ac:dyDescent="0.25">
      <c r="A4033" s="90">
        <v>34502</v>
      </c>
      <c r="B4033" s="20">
        <v>0.29166666666666669</v>
      </c>
      <c r="D4033">
        <v>77</v>
      </c>
      <c r="E4033" t="str">
        <f t="shared" si="160"/>
        <v>WEEKDAY</v>
      </c>
      <c r="F4033" t="e">
        <f t="shared" si="161"/>
        <v>#N/A</v>
      </c>
      <c r="G4033" s="74">
        <v>33041</v>
      </c>
      <c r="H4033" s="77">
        <v>0.29166666666666669</v>
      </c>
      <c r="J4033">
        <v>66.02</v>
      </c>
      <c r="M4033" s="74">
        <v>37789</v>
      </c>
      <c r="N4033" s="77">
        <v>0.29166666666666669</v>
      </c>
      <c r="P4033">
        <v>53.6</v>
      </c>
      <c r="S4033" s="74">
        <v>34502</v>
      </c>
      <c r="T4033" s="77">
        <v>0.29166666666666669</v>
      </c>
      <c r="V4033">
        <v>69.080000000000013</v>
      </c>
      <c r="X4033" s="42"/>
      <c r="AB4033">
        <v>66.8</v>
      </c>
      <c r="AC4033">
        <v>68</v>
      </c>
      <c r="AE4033" s="74"/>
      <c r="AF4033" s="77"/>
      <c r="AH4033" s="497">
        <v>77</v>
      </c>
      <c r="AJ4033" s="42"/>
      <c r="AK4033" s="74"/>
      <c r="AL4033" s="77"/>
      <c r="AN4033" s="497">
        <v>69.98</v>
      </c>
      <c r="AP4033" s="42"/>
      <c r="AQ4033" s="74"/>
      <c r="AR4033" s="77"/>
      <c r="AT4033" s="497">
        <v>57.019999999999996</v>
      </c>
      <c r="AV4033" s="42"/>
      <c r="AW4033" s="74"/>
      <c r="AX4033" s="77"/>
      <c r="BA4033" s="497">
        <v>69.080000000000013</v>
      </c>
      <c r="BB4033" s="42"/>
      <c r="BC4033" s="74"/>
      <c r="BD4033" s="77"/>
      <c r="BF4033">
        <v>71.06</v>
      </c>
      <c r="BH4033" s="42"/>
      <c r="BI4033" s="74"/>
      <c r="BJ4033" s="77"/>
      <c r="BL4033" s="497">
        <v>68</v>
      </c>
      <c r="BN4033" s="42"/>
      <c r="BO4033" s="74"/>
      <c r="BP4033" s="77"/>
      <c r="BR4033" s="497">
        <v>66.02</v>
      </c>
      <c r="BT4033" s="42"/>
    </row>
    <row r="4034" spans="1:72" x14ac:dyDescent="0.25">
      <c r="A4034" s="90">
        <v>34502</v>
      </c>
      <c r="B4034" s="20">
        <v>0.33333333333333331</v>
      </c>
      <c r="D4034">
        <v>78.080000000000013</v>
      </c>
      <c r="E4034" t="str">
        <f t="shared" si="160"/>
        <v>WEEKDAY</v>
      </c>
      <c r="F4034" t="e">
        <f t="shared" si="161"/>
        <v>#N/A</v>
      </c>
      <c r="G4034" s="74">
        <v>33041</v>
      </c>
      <c r="H4034" s="77">
        <v>0.33333333333333331</v>
      </c>
      <c r="J4034">
        <v>69.98</v>
      </c>
      <c r="M4034" s="74">
        <v>37789</v>
      </c>
      <c r="N4034" s="77">
        <v>0.33333333333333331</v>
      </c>
      <c r="P4034">
        <v>55.400000000000006</v>
      </c>
      <c r="S4034" s="74">
        <v>34502</v>
      </c>
      <c r="T4034" s="77">
        <v>0.33333333333333331</v>
      </c>
      <c r="V4034">
        <v>69.080000000000013</v>
      </c>
      <c r="X4034" s="42"/>
      <c r="AB4034">
        <v>68.599999999999994</v>
      </c>
      <c r="AC4034">
        <v>69.98</v>
      </c>
      <c r="AE4034" s="74"/>
      <c r="AF4034" s="77"/>
      <c r="AH4034" s="497">
        <v>78.800000000000011</v>
      </c>
      <c r="AJ4034" s="42"/>
      <c r="AK4034" s="74"/>
      <c r="AL4034" s="77"/>
      <c r="AN4034" s="497">
        <v>71.960000000000008</v>
      </c>
      <c r="AP4034" s="42"/>
      <c r="AQ4034" s="74"/>
      <c r="AR4034" s="77"/>
      <c r="AT4034" s="497">
        <v>57.92</v>
      </c>
      <c r="AV4034" s="42"/>
      <c r="AW4034" s="74"/>
      <c r="AX4034" s="77"/>
      <c r="BA4034" s="497">
        <v>73.759999999999991</v>
      </c>
      <c r="BB4034" s="42"/>
      <c r="BC4034" s="74"/>
      <c r="BD4034" s="77"/>
      <c r="BF4034">
        <v>71.960000000000008</v>
      </c>
      <c r="BH4034" s="42"/>
      <c r="BI4034" s="74"/>
      <c r="BJ4034" s="77"/>
      <c r="BL4034" s="497">
        <v>73.039999999999992</v>
      </c>
      <c r="BN4034" s="42"/>
      <c r="BO4034" s="74"/>
      <c r="BP4034" s="77"/>
      <c r="BR4034" s="497">
        <v>66.92</v>
      </c>
      <c r="BT4034" s="42"/>
    </row>
    <row r="4035" spans="1:72" x14ac:dyDescent="0.25">
      <c r="A4035" s="90">
        <v>34502</v>
      </c>
      <c r="B4035" s="20">
        <v>0.375</v>
      </c>
      <c r="D4035">
        <v>82.039999999999992</v>
      </c>
      <c r="E4035" t="str">
        <f t="shared" si="160"/>
        <v>WEEKDAY</v>
      </c>
      <c r="F4035" t="e">
        <f t="shared" si="161"/>
        <v>#N/A</v>
      </c>
      <c r="G4035" s="74">
        <v>33041</v>
      </c>
      <c r="H4035" s="77">
        <v>0.375</v>
      </c>
      <c r="J4035">
        <v>71.06</v>
      </c>
      <c r="M4035" s="74">
        <v>37789</v>
      </c>
      <c r="N4035" s="77">
        <v>0.375</v>
      </c>
      <c r="P4035">
        <v>57.2</v>
      </c>
      <c r="S4035" s="74">
        <v>34502</v>
      </c>
      <c r="T4035" s="77">
        <v>0.375</v>
      </c>
      <c r="V4035">
        <v>69.98</v>
      </c>
      <c r="X4035" s="42"/>
      <c r="AB4035">
        <v>70.5</v>
      </c>
      <c r="AC4035">
        <v>71.960000000000008</v>
      </c>
      <c r="AE4035" s="74"/>
      <c r="AF4035" s="77"/>
      <c r="AH4035" s="497">
        <v>82.4</v>
      </c>
      <c r="AJ4035" s="42"/>
      <c r="AK4035" s="74"/>
      <c r="AL4035" s="77"/>
      <c r="AN4035" s="497">
        <v>78.98</v>
      </c>
      <c r="AP4035" s="42"/>
      <c r="AQ4035" s="74"/>
      <c r="AR4035" s="77"/>
      <c r="AT4035" s="497">
        <v>60.08</v>
      </c>
      <c r="AV4035" s="42"/>
      <c r="AW4035" s="74"/>
      <c r="AX4035" s="77"/>
      <c r="BA4035" s="497">
        <v>78.259999999999991</v>
      </c>
      <c r="BB4035" s="42"/>
      <c r="BC4035" s="74"/>
      <c r="BD4035" s="77"/>
      <c r="BF4035">
        <v>75.92</v>
      </c>
      <c r="BH4035" s="42"/>
      <c r="BI4035" s="74"/>
      <c r="BJ4035" s="77"/>
      <c r="BL4035" s="497">
        <v>75.92</v>
      </c>
      <c r="BN4035" s="42"/>
      <c r="BO4035" s="74"/>
      <c r="BP4035" s="77"/>
      <c r="BR4035" s="497">
        <v>69.080000000000013</v>
      </c>
      <c r="BT4035" s="42"/>
    </row>
    <row r="4036" spans="1:72" x14ac:dyDescent="0.25">
      <c r="A4036" s="90">
        <v>34502</v>
      </c>
      <c r="B4036" s="20">
        <v>0.41666666666666669</v>
      </c>
      <c r="D4036">
        <v>82.94</v>
      </c>
      <c r="E4036" t="str">
        <f t="shared" si="160"/>
        <v>WEEKDAY</v>
      </c>
      <c r="F4036" t="e">
        <f t="shared" si="161"/>
        <v>#N/A</v>
      </c>
      <c r="G4036" s="74">
        <v>33041</v>
      </c>
      <c r="H4036" s="77">
        <v>0.41666666666666669</v>
      </c>
      <c r="J4036">
        <v>75.92</v>
      </c>
      <c r="M4036" s="74">
        <v>37789</v>
      </c>
      <c r="N4036" s="77">
        <v>0.41666666666666669</v>
      </c>
      <c r="P4036">
        <v>59</v>
      </c>
      <c r="S4036" s="74">
        <v>34502</v>
      </c>
      <c r="T4036" s="77">
        <v>0.41666666666666669</v>
      </c>
      <c r="V4036">
        <v>71.960000000000008</v>
      </c>
      <c r="X4036" s="42"/>
      <c r="AB4036">
        <v>72.3</v>
      </c>
      <c r="AC4036">
        <v>75.92</v>
      </c>
      <c r="AE4036" s="74"/>
      <c r="AF4036" s="77"/>
      <c r="AH4036" s="497">
        <v>84.2</v>
      </c>
      <c r="AJ4036" s="42"/>
      <c r="AK4036" s="74"/>
      <c r="AL4036" s="77"/>
      <c r="AN4036" s="497">
        <v>82.039999999999992</v>
      </c>
      <c r="AP4036" s="42"/>
      <c r="AQ4036" s="74"/>
      <c r="AR4036" s="77"/>
      <c r="AT4036" s="497">
        <v>62.96</v>
      </c>
      <c r="AV4036" s="42"/>
      <c r="AW4036" s="74"/>
      <c r="AX4036" s="77"/>
      <c r="BA4036" s="497">
        <v>82.94</v>
      </c>
      <c r="BB4036" s="42"/>
      <c r="BC4036" s="74"/>
      <c r="BD4036" s="77"/>
      <c r="BF4036">
        <v>78.080000000000013</v>
      </c>
      <c r="BH4036" s="42"/>
      <c r="BI4036" s="74"/>
      <c r="BJ4036" s="77"/>
      <c r="BL4036" s="497">
        <v>80.06</v>
      </c>
      <c r="BN4036" s="42"/>
      <c r="BO4036" s="74"/>
      <c r="BP4036" s="77"/>
      <c r="BR4036" s="497">
        <v>71.06</v>
      </c>
      <c r="BT4036" s="42"/>
    </row>
    <row r="4037" spans="1:72" x14ac:dyDescent="0.25">
      <c r="A4037" s="90">
        <v>34502</v>
      </c>
      <c r="B4037" s="20">
        <v>0.45833333333333331</v>
      </c>
      <c r="D4037">
        <v>84.92</v>
      </c>
      <c r="E4037" t="str">
        <f t="shared" si="160"/>
        <v>WEEKDAY</v>
      </c>
      <c r="F4037" t="e">
        <f t="shared" si="161"/>
        <v>#N/A</v>
      </c>
      <c r="G4037" s="74">
        <v>33041</v>
      </c>
      <c r="H4037" s="77">
        <v>0.45833333333333331</v>
      </c>
      <c r="J4037">
        <v>80.06</v>
      </c>
      <c r="M4037" s="74">
        <v>37789</v>
      </c>
      <c r="N4037" s="77">
        <v>0.45833333333333331</v>
      </c>
      <c r="P4037">
        <v>60.8</v>
      </c>
      <c r="S4037" s="74">
        <v>34502</v>
      </c>
      <c r="T4037" s="77">
        <v>0.45833333333333331</v>
      </c>
      <c r="V4037">
        <v>75.02</v>
      </c>
      <c r="X4037" s="42"/>
      <c r="AB4037">
        <v>73.8</v>
      </c>
      <c r="AC4037">
        <v>78.98</v>
      </c>
      <c r="AE4037" s="74"/>
      <c r="AF4037" s="77"/>
      <c r="AH4037" s="497">
        <v>86</v>
      </c>
      <c r="AJ4037" s="42"/>
      <c r="AK4037" s="74"/>
      <c r="AL4037" s="77"/>
      <c r="AN4037" s="497">
        <v>82.94</v>
      </c>
      <c r="AP4037" s="42"/>
      <c r="AQ4037" s="74"/>
      <c r="AR4037" s="77"/>
      <c r="AT4037" s="497">
        <v>64.94</v>
      </c>
      <c r="AV4037" s="42"/>
      <c r="AW4037" s="74"/>
      <c r="AX4037" s="77"/>
      <c r="BA4037" s="497">
        <v>84.02</v>
      </c>
      <c r="BB4037" s="42"/>
      <c r="BC4037" s="74"/>
      <c r="BD4037" s="77"/>
      <c r="BF4037">
        <v>77</v>
      </c>
      <c r="BH4037" s="42"/>
      <c r="BI4037" s="74"/>
      <c r="BJ4037" s="77"/>
      <c r="BL4037" s="497">
        <v>82.94</v>
      </c>
      <c r="BN4037" s="42"/>
      <c r="BO4037" s="74"/>
      <c r="BP4037" s="77"/>
      <c r="BR4037" s="497">
        <v>71.960000000000008</v>
      </c>
      <c r="BT4037" s="42"/>
    </row>
    <row r="4038" spans="1:72" x14ac:dyDescent="0.25">
      <c r="A4038" s="90">
        <v>34502</v>
      </c>
      <c r="B4038" s="20">
        <v>0.5</v>
      </c>
      <c r="D4038">
        <v>87.080000000000013</v>
      </c>
      <c r="E4038" t="str">
        <f t="shared" si="160"/>
        <v>WEEKDAY</v>
      </c>
      <c r="F4038" t="e">
        <f t="shared" si="161"/>
        <v>#N/A</v>
      </c>
      <c r="G4038" s="74">
        <v>33041</v>
      </c>
      <c r="H4038" s="77">
        <v>0.5</v>
      </c>
      <c r="J4038">
        <v>80.960000000000008</v>
      </c>
      <c r="M4038" s="74">
        <v>37789</v>
      </c>
      <c r="N4038" s="77">
        <v>0.5</v>
      </c>
      <c r="P4038">
        <v>62.6</v>
      </c>
      <c r="S4038" s="74">
        <v>34502</v>
      </c>
      <c r="T4038" s="77">
        <v>0.5</v>
      </c>
      <c r="V4038">
        <v>75.92</v>
      </c>
      <c r="X4038" s="42"/>
      <c r="AB4038">
        <v>74.8</v>
      </c>
      <c r="AC4038">
        <v>82.94</v>
      </c>
      <c r="AE4038" s="74"/>
      <c r="AF4038" s="77"/>
      <c r="AH4038" s="497">
        <v>87.800000000000011</v>
      </c>
      <c r="AJ4038" s="42"/>
      <c r="AK4038" s="74"/>
      <c r="AL4038" s="77"/>
      <c r="AN4038" s="497">
        <v>86</v>
      </c>
      <c r="AP4038" s="42"/>
      <c r="AQ4038" s="74"/>
      <c r="AR4038" s="77"/>
      <c r="AT4038" s="497">
        <v>66.02</v>
      </c>
      <c r="AV4038" s="42"/>
      <c r="AW4038" s="74"/>
      <c r="AX4038" s="77"/>
      <c r="BA4038" s="497">
        <v>84.92</v>
      </c>
      <c r="BB4038" s="42"/>
      <c r="BC4038" s="74"/>
      <c r="BD4038" s="77"/>
      <c r="BF4038">
        <v>80.06</v>
      </c>
      <c r="BH4038" s="42"/>
      <c r="BI4038" s="74"/>
      <c r="BJ4038" s="77"/>
      <c r="BL4038" s="497">
        <v>84.92</v>
      </c>
      <c r="BN4038" s="42"/>
      <c r="BO4038" s="74"/>
      <c r="BP4038" s="77"/>
      <c r="BR4038" s="497">
        <v>73.039999999999992</v>
      </c>
      <c r="BT4038" s="42"/>
    </row>
    <row r="4039" spans="1:72" x14ac:dyDescent="0.25">
      <c r="A4039" s="90">
        <v>34502</v>
      </c>
      <c r="B4039" s="20">
        <v>0.54166666666666663</v>
      </c>
      <c r="D4039">
        <v>87.080000000000013</v>
      </c>
      <c r="E4039" t="str">
        <f t="shared" si="160"/>
        <v>WEEKDAY</v>
      </c>
      <c r="F4039" t="e">
        <f t="shared" si="161"/>
        <v>#N/A</v>
      </c>
      <c r="G4039" s="74">
        <v>33041</v>
      </c>
      <c r="H4039" s="77">
        <v>0.54166666666666663</v>
      </c>
      <c r="J4039">
        <v>82.039999999999992</v>
      </c>
      <c r="M4039" s="74">
        <v>37789</v>
      </c>
      <c r="N4039" s="77">
        <v>0.54166666666666663</v>
      </c>
      <c r="P4039">
        <v>64.400000000000006</v>
      </c>
      <c r="S4039" s="74">
        <v>34502</v>
      </c>
      <c r="T4039" s="77">
        <v>0.54166666666666663</v>
      </c>
      <c r="V4039">
        <v>73.94</v>
      </c>
      <c r="X4039" s="42"/>
      <c r="AB4039">
        <v>75.599999999999994</v>
      </c>
      <c r="AC4039">
        <v>82.94</v>
      </c>
      <c r="AE4039" s="74"/>
      <c r="AF4039" s="77"/>
      <c r="AH4039" s="497">
        <v>89.6</v>
      </c>
      <c r="AJ4039" s="42"/>
      <c r="AK4039" s="74"/>
      <c r="AL4039" s="77"/>
      <c r="AN4039" s="497">
        <v>87.080000000000013</v>
      </c>
      <c r="AP4039" s="42"/>
      <c r="AQ4039" s="74"/>
      <c r="AR4039" s="77"/>
      <c r="AT4039" s="497">
        <v>66.02</v>
      </c>
      <c r="AV4039" s="42"/>
      <c r="AW4039" s="74"/>
      <c r="AX4039" s="77"/>
      <c r="BA4039" s="497">
        <v>86</v>
      </c>
      <c r="BB4039" s="42"/>
      <c r="BC4039" s="74"/>
      <c r="BD4039" s="77"/>
      <c r="BF4039">
        <v>78.98</v>
      </c>
      <c r="BH4039" s="42"/>
      <c r="BI4039" s="74"/>
      <c r="BJ4039" s="77"/>
      <c r="BL4039" s="497">
        <v>86</v>
      </c>
      <c r="BN4039" s="42"/>
      <c r="BO4039" s="74"/>
      <c r="BP4039" s="77"/>
      <c r="BR4039" s="497">
        <v>73.94</v>
      </c>
      <c r="BT4039" s="42"/>
    </row>
    <row r="4040" spans="1:72" x14ac:dyDescent="0.25">
      <c r="A4040" s="90">
        <v>34502</v>
      </c>
      <c r="B4040" s="20">
        <v>0.58333333333333337</v>
      </c>
      <c r="D4040">
        <v>86</v>
      </c>
      <c r="E4040" t="str">
        <f t="shared" si="160"/>
        <v>WEEKDAY</v>
      </c>
      <c r="F4040" t="e">
        <f t="shared" si="161"/>
        <v>#N/A</v>
      </c>
      <c r="G4040" s="74">
        <v>33041</v>
      </c>
      <c r="H4040" s="77">
        <v>0.58333333333333337</v>
      </c>
      <c r="J4040">
        <v>80.960000000000008</v>
      </c>
      <c r="M4040" s="74">
        <v>37789</v>
      </c>
      <c r="N4040" s="77">
        <v>0.58333333333333337</v>
      </c>
      <c r="P4040">
        <v>64.400000000000006</v>
      </c>
      <c r="S4040" s="74">
        <v>34502</v>
      </c>
      <c r="T4040" s="77">
        <v>0.58333333333333337</v>
      </c>
      <c r="V4040">
        <v>73.94</v>
      </c>
      <c r="X4040" s="42"/>
      <c r="AB4040">
        <v>76</v>
      </c>
      <c r="AC4040">
        <v>78.98</v>
      </c>
      <c r="AE4040" s="74"/>
      <c r="AF4040" s="77"/>
      <c r="AH4040" s="497">
        <v>89.6</v>
      </c>
      <c r="AJ4040" s="42"/>
      <c r="AK4040" s="74"/>
      <c r="AL4040" s="77"/>
      <c r="AN4040" s="497">
        <v>87.98</v>
      </c>
      <c r="AP4040" s="42"/>
      <c r="AQ4040" s="74"/>
      <c r="AR4040" s="77"/>
      <c r="AT4040" s="497">
        <v>66.92</v>
      </c>
      <c r="AV4040" s="42"/>
      <c r="AW4040" s="74"/>
      <c r="AX4040" s="77"/>
      <c r="BA4040" s="497">
        <v>84.92</v>
      </c>
      <c r="BB4040" s="42"/>
      <c r="BC4040" s="74"/>
      <c r="BD4040" s="77"/>
      <c r="BF4040">
        <v>78.080000000000013</v>
      </c>
      <c r="BH4040" s="42"/>
      <c r="BI4040" s="74"/>
      <c r="BJ4040" s="77"/>
      <c r="BL4040" s="497">
        <v>86</v>
      </c>
      <c r="BN4040" s="42"/>
      <c r="BO4040" s="74"/>
      <c r="BP4040" s="77"/>
      <c r="BR4040" s="497">
        <v>73.94</v>
      </c>
      <c r="BT4040" s="42"/>
    </row>
    <row r="4041" spans="1:72" x14ac:dyDescent="0.25">
      <c r="A4041" s="90">
        <v>34502</v>
      </c>
      <c r="B4041" s="20">
        <v>0.625</v>
      </c>
      <c r="D4041">
        <v>84.02</v>
      </c>
      <c r="E4041" t="str">
        <f t="shared" si="160"/>
        <v>WEEKDAY</v>
      </c>
      <c r="F4041" t="e">
        <f t="shared" si="161"/>
        <v>#N/A</v>
      </c>
      <c r="G4041" s="74">
        <v>33041</v>
      </c>
      <c r="H4041" s="77">
        <v>0.625</v>
      </c>
      <c r="J4041">
        <v>80.06</v>
      </c>
      <c r="M4041" s="74">
        <v>37789</v>
      </c>
      <c r="N4041" s="77">
        <v>0.625</v>
      </c>
      <c r="P4041">
        <v>64.400000000000006</v>
      </c>
      <c r="S4041" s="74">
        <v>34502</v>
      </c>
      <c r="T4041" s="77">
        <v>0.625</v>
      </c>
      <c r="V4041">
        <v>73.94</v>
      </c>
      <c r="X4041" s="42"/>
      <c r="AB4041">
        <v>75.900000000000006</v>
      </c>
      <c r="AC4041">
        <v>78.080000000000013</v>
      </c>
      <c r="AE4041" s="74"/>
      <c r="AF4041" s="77"/>
      <c r="AH4041" s="497">
        <v>87.800000000000011</v>
      </c>
      <c r="AJ4041" s="42"/>
      <c r="AK4041" s="74"/>
      <c r="AL4041" s="77"/>
      <c r="AN4041" s="497">
        <v>89.06</v>
      </c>
      <c r="AP4041" s="42"/>
      <c r="AQ4041" s="74"/>
      <c r="AR4041" s="77"/>
      <c r="AT4041" s="497">
        <v>66.92</v>
      </c>
      <c r="AV4041" s="42"/>
      <c r="AW4041" s="74"/>
      <c r="AX4041" s="77"/>
      <c r="BA4041" s="497">
        <v>84.02</v>
      </c>
      <c r="BB4041" s="42"/>
      <c r="BC4041" s="74"/>
      <c r="BD4041" s="77"/>
      <c r="BF4041">
        <v>78.080000000000013</v>
      </c>
      <c r="BH4041" s="42"/>
      <c r="BI4041" s="74"/>
      <c r="BJ4041" s="77"/>
      <c r="BL4041" s="497">
        <v>86</v>
      </c>
      <c r="BN4041" s="42"/>
      <c r="BO4041" s="74"/>
      <c r="BP4041" s="77"/>
      <c r="BR4041" s="497">
        <v>73.94</v>
      </c>
      <c r="BT4041" s="42"/>
    </row>
    <row r="4042" spans="1:72" x14ac:dyDescent="0.25">
      <c r="A4042" s="90">
        <v>34502</v>
      </c>
      <c r="B4042" s="20">
        <v>0.66666666666666663</v>
      </c>
      <c r="D4042">
        <v>73.039999999999992</v>
      </c>
      <c r="E4042" t="str">
        <f t="shared" si="160"/>
        <v>WEEKDAY</v>
      </c>
      <c r="F4042" t="e">
        <f t="shared" si="161"/>
        <v>#N/A</v>
      </c>
      <c r="G4042" s="74">
        <v>33041</v>
      </c>
      <c r="H4042" s="77">
        <v>0.66666666666666663</v>
      </c>
      <c r="J4042">
        <v>80.06</v>
      </c>
      <c r="M4042" s="74">
        <v>37789</v>
      </c>
      <c r="N4042" s="77">
        <v>0.66666666666666663</v>
      </c>
      <c r="P4042">
        <v>62.6</v>
      </c>
      <c r="S4042" s="74">
        <v>34502</v>
      </c>
      <c r="T4042" s="77">
        <v>0.66666666666666663</v>
      </c>
      <c r="V4042">
        <v>73.94</v>
      </c>
      <c r="X4042" s="42"/>
      <c r="AB4042">
        <v>75.5</v>
      </c>
      <c r="AC4042">
        <v>77</v>
      </c>
      <c r="AE4042" s="74"/>
      <c r="AF4042" s="77"/>
      <c r="AH4042" s="497">
        <v>86</v>
      </c>
      <c r="AJ4042" s="42"/>
      <c r="AK4042" s="74"/>
      <c r="AL4042" s="77"/>
      <c r="AN4042" s="497">
        <v>89.06</v>
      </c>
      <c r="AP4042" s="42"/>
      <c r="AQ4042" s="74"/>
      <c r="AR4042" s="77"/>
      <c r="AT4042" s="497">
        <v>66.02</v>
      </c>
      <c r="AV4042" s="42"/>
      <c r="AW4042" s="74"/>
      <c r="AX4042" s="77"/>
      <c r="BA4042" s="497">
        <v>82.94</v>
      </c>
      <c r="BB4042" s="42"/>
      <c r="BC4042" s="74"/>
      <c r="BD4042" s="77"/>
      <c r="BF4042">
        <v>82.94</v>
      </c>
      <c r="BH4042" s="42"/>
      <c r="BI4042" s="74"/>
      <c r="BJ4042" s="77"/>
      <c r="BL4042" s="497">
        <v>86</v>
      </c>
      <c r="BN4042" s="42"/>
      <c r="BO4042" s="74"/>
      <c r="BP4042" s="77"/>
      <c r="BR4042" s="497">
        <v>75.02</v>
      </c>
      <c r="BT4042" s="42"/>
    </row>
    <row r="4043" spans="1:72" x14ac:dyDescent="0.25">
      <c r="A4043" s="90">
        <v>34502</v>
      </c>
      <c r="B4043" s="20">
        <v>0.70833333333333337</v>
      </c>
      <c r="D4043">
        <v>73.94</v>
      </c>
      <c r="E4043" t="str">
        <f t="shared" si="160"/>
        <v>WEEKDAY</v>
      </c>
      <c r="F4043" t="e">
        <f t="shared" si="161"/>
        <v>#N/A</v>
      </c>
      <c r="G4043" s="74">
        <v>33041</v>
      </c>
      <c r="H4043" s="77">
        <v>0.70833333333333337</v>
      </c>
      <c r="J4043">
        <v>78.98</v>
      </c>
      <c r="M4043" s="74">
        <v>37789</v>
      </c>
      <c r="N4043" s="77">
        <v>0.70833333333333337</v>
      </c>
      <c r="P4043">
        <v>62.6</v>
      </c>
      <c r="S4043" s="74">
        <v>34502</v>
      </c>
      <c r="T4043" s="77">
        <v>0.70833333333333337</v>
      </c>
      <c r="V4043">
        <v>73.039999999999992</v>
      </c>
      <c r="X4043" s="42"/>
      <c r="AB4043">
        <v>74.5</v>
      </c>
      <c r="AC4043">
        <v>75.92</v>
      </c>
      <c r="AE4043" s="74"/>
      <c r="AF4043" s="77"/>
      <c r="AH4043" s="497">
        <v>78.800000000000011</v>
      </c>
      <c r="AJ4043" s="42"/>
      <c r="AK4043" s="74"/>
      <c r="AL4043" s="77"/>
      <c r="AN4043" s="497">
        <v>87.080000000000013</v>
      </c>
      <c r="AP4043" s="42"/>
      <c r="AQ4043" s="74"/>
      <c r="AR4043" s="77"/>
      <c r="AT4043" s="497">
        <v>64.039999999999992</v>
      </c>
      <c r="AV4043" s="42"/>
      <c r="AW4043" s="74"/>
      <c r="AX4043" s="77"/>
      <c r="BA4043" s="497">
        <v>82.22</v>
      </c>
      <c r="BB4043" s="42"/>
      <c r="BC4043" s="74"/>
      <c r="BD4043" s="77"/>
      <c r="BF4043">
        <v>84.02</v>
      </c>
      <c r="BH4043" s="42"/>
      <c r="BI4043" s="74"/>
      <c r="BJ4043" s="77"/>
      <c r="BL4043" s="497">
        <v>84.92</v>
      </c>
      <c r="BN4043" s="42"/>
      <c r="BO4043" s="74"/>
      <c r="BP4043" s="77"/>
      <c r="BR4043" s="497">
        <v>75.02</v>
      </c>
      <c r="BT4043" s="42"/>
    </row>
    <row r="4044" spans="1:72" x14ac:dyDescent="0.25">
      <c r="A4044" s="90">
        <v>34502</v>
      </c>
      <c r="B4044" s="20">
        <v>0.75</v>
      </c>
      <c r="D4044">
        <v>77</v>
      </c>
      <c r="E4044" t="str">
        <f t="shared" si="160"/>
        <v>WEEKDAY</v>
      </c>
      <c r="F4044" t="e">
        <f t="shared" si="161"/>
        <v>#N/A</v>
      </c>
      <c r="G4044" s="74">
        <v>33041</v>
      </c>
      <c r="H4044" s="77">
        <v>0.75</v>
      </c>
      <c r="J4044">
        <v>75.02</v>
      </c>
      <c r="M4044" s="74">
        <v>37789</v>
      </c>
      <c r="N4044" s="77">
        <v>0.75</v>
      </c>
      <c r="P4044">
        <v>60.8</v>
      </c>
      <c r="S4044" s="74">
        <v>34502</v>
      </c>
      <c r="T4044" s="77">
        <v>0.75</v>
      </c>
      <c r="V4044">
        <v>71.960000000000008</v>
      </c>
      <c r="X4044" s="42"/>
      <c r="AB4044">
        <v>73.400000000000006</v>
      </c>
      <c r="AC4044">
        <v>73.94</v>
      </c>
      <c r="AE4044" s="74"/>
      <c r="AF4044" s="77"/>
      <c r="AH4044" s="497">
        <v>78.800000000000011</v>
      </c>
      <c r="AJ4044" s="42"/>
      <c r="AK4044" s="74"/>
      <c r="AL4044" s="77"/>
      <c r="AN4044" s="497">
        <v>86</v>
      </c>
      <c r="AP4044" s="42"/>
      <c r="AQ4044" s="74"/>
      <c r="AR4044" s="77"/>
      <c r="AT4044" s="497">
        <v>62.06</v>
      </c>
      <c r="AV4044" s="42"/>
      <c r="AW4044" s="74"/>
      <c r="AX4044" s="77"/>
      <c r="BA4044" s="497">
        <v>81.680000000000007</v>
      </c>
      <c r="BB4044" s="42"/>
      <c r="BC4044" s="74"/>
      <c r="BD4044" s="77"/>
      <c r="BF4044">
        <v>82.94</v>
      </c>
      <c r="BH4044" s="42"/>
      <c r="BI4044" s="74"/>
      <c r="BJ4044" s="77"/>
      <c r="BL4044" s="497">
        <v>84.02</v>
      </c>
      <c r="BN4044" s="42"/>
      <c r="BO4044" s="74"/>
      <c r="BP4044" s="77"/>
      <c r="BR4044" s="497">
        <v>73.94</v>
      </c>
      <c r="BT4044" s="42"/>
    </row>
    <row r="4045" spans="1:72" x14ac:dyDescent="0.25">
      <c r="A4045" s="90">
        <v>34502</v>
      </c>
      <c r="B4045" s="20">
        <v>0.79166666666666663</v>
      </c>
      <c r="D4045">
        <v>75.02</v>
      </c>
      <c r="E4045" t="str">
        <f t="shared" si="160"/>
        <v>WEEKDAY</v>
      </c>
      <c r="F4045" t="e">
        <f t="shared" si="161"/>
        <v>#N/A</v>
      </c>
      <c r="G4045" s="74">
        <v>33041</v>
      </c>
      <c r="H4045" s="77">
        <v>0.79166666666666663</v>
      </c>
      <c r="J4045">
        <v>73.039999999999992</v>
      </c>
      <c r="M4045" s="74">
        <v>37789</v>
      </c>
      <c r="N4045" s="77">
        <v>0.79166666666666663</v>
      </c>
      <c r="P4045">
        <v>59</v>
      </c>
      <c r="S4045" s="74">
        <v>34502</v>
      </c>
      <c r="T4045" s="77">
        <v>0.79166666666666663</v>
      </c>
      <c r="V4045">
        <v>71.06</v>
      </c>
      <c r="X4045" s="42"/>
      <c r="AB4045">
        <v>72.2</v>
      </c>
      <c r="AC4045">
        <v>69.98</v>
      </c>
      <c r="AE4045" s="74"/>
      <c r="AF4045" s="77"/>
      <c r="AH4045" s="497">
        <v>75.2</v>
      </c>
      <c r="AJ4045" s="42"/>
      <c r="AK4045" s="74"/>
      <c r="AL4045" s="77"/>
      <c r="AN4045" s="497">
        <v>82.94</v>
      </c>
      <c r="AP4045" s="42"/>
      <c r="AQ4045" s="74"/>
      <c r="AR4045" s="77"/>
      <c r="AT4045" s="497">
        <v>60.08</v>
      </c>
      <c r="AV4045" s="42"/>
      <c r="AW4045" s="74"/>
      <c r="AX4045" s="77"/>
      <c r="BA4045" s="497">
        <v>80.960000000000008</v>
      </c>
      <c r="BB4045" s="42"/>
      <c r="BC4045" s="74"/>
      <c r="BD4045" s="77"/>
      <c r="BF4045">
        <v>73.94</v>
      </c>
      <c r="BH4045" s="42"/>
      <c r="BI4045" s="74"/>
      <c r="BJ4045" s="77"/>
      <c r="BL4045" s="497">
        <v>80.960000000000008</v>
      </c>
      <c r="BN4045" s="42"/>
      <c r="BO4045" s="74"/>
      <c r="BP4045" s="77"/>
      <c r="BR4045" s="497">
        <v>71.06</v>
      </c>
      <c r="BT4045" s="42"/>
    </row>
    <row r="4046" spans="1:72" x14ac:dyDescent="0.25">
      <c r="A4046" s="90">
        <v>34502</v>
      </c>
      <c r="B4046" s="20">
        <v>0.83333333333333337</v>
      </c>
      <c r="D4046">
        <v>75.02</v>
      </c>
      <c r="E4046" t="str">
        <f t="shared" si="160"/>
        <v>WEEKDAY</v>
      </c>
      <c r="F4046" t="e">
        <f t="shared" si="161"/>
        <v>#N/A</v>
      </c>
      <c r="G4046" s="74">
        <v>33041</v>
      </c>
      <c r="H4046" s="77">
        <v>0.83333333333333337</v>
      </c>
      <c r="J4046">
        <v>69.080000000000013</v>
      </c>
      <c r="M4046" s="74">
        <v>37789</v>
      </c>
      <c r="N4046" s="77">
        <v>0.83333333333333337</v>
      </c>
      <c r="P4046">
        <v>57.2</v>
      </c>
      <c r="S4046" s="74">
        <v>34502</v>
      </c>
      <c r="T4046" s="77">
        <v>0.83333333333333337</v>
      </c>
      <c r="V4046">
        <v>69.080000000000013</v>
      </c>
      <c r="X4046" s="42"/>
      <c r="AB4046">
        <v>70.8</v>
      </c>
      <c r="AC4046">
        <v>69.080000000000013</v>
      </c>
      <c r="AE4046" s="74"/>
      <c r="AF4046" s="77"/>
      <c r="AH4046" s="497">
        <v>71.599999999999994</v>
      </c>
      <c r="AJ4046" s="42"/>
      <c r="AK4046" s="74"/>
      <c r="AL4046" s="77"/>
      <c r="AN4046" s="497">
        <v>80.06</v>
      </c>
      <c r="AP4046" s="42"/>
      <c r="AQ4046" s="74"/>
      <c r="AR4046" s="77"/>
      <c r="AT4046" s="497">
        <v>57.019999999999996</v>
      </c>
      <c r="AV4046" s="42"/>
      <c r="AW4046" s="74"/>
      <c r="AX4046" s="77"/>
      <c r="BA4046" s="497">
        <v>77.72</v>
      </c>
      <c r="BB4046" s="42"/>
      <c r="BC4046" s="74"/>
      <c r="BD4046" s="77"/>
      <c r="BF4046">
        <v>73.039999999999992</v>
      </c>
      <c r="BH4046" s="42"/>
      <c r="BI4046" s="74"/>
      <c r="BJ4046" s="77"/>
      <c r="BL4046" s="497">
        <v>77</v>
      </c>
      <c r="BN4046" s="42"/>
      <c r="BO4046" s="74"/>
      <c r="BP4046" s="77"/>
      <c r="BR4046" s="497">
        <v>69.080000000000013</v>
      </c>
      <c r="BT4046" s="42"/>
    </row>
    <row r="4047" spans="1:72" x14ac:dyDescent="0.25">
      <c r="A4047" s="90">
        <v>34502</v>
      </c>
      <c r="B4047" s="20">
        <v>0.875</v>
      </c>
      <c r="D4047">
        <v>75.02</v>
      </c>
      <c r="E4047" t="str">
        <f t="shared" si="160"/>
        <v>WEEKDAY</v>
      </c>
      <c r="F4047" t="e">
        <f t="shared" si="161"/>
        <v>#N/A</v>
      </c>
      <c r="G4047" s="74">
        <v>33041</v>
      </c>
      <c r="H4047" s="77">
        <v>0.875</v>
      </c>
      <c r="J4047">
        <v>68</v>
      </c>
      <c r="M4047" s="74">
        <v>37789</v>
      </c>
      <c r="N4047" s="77">
        <v>0.875</v>
      </c>
      <c r="P4047">
        <v>57.2</v>
      </c>
      <c r="S4047" s="74">
        <v>34502</v>
      </c>
      <c r="T4047" s="77">
        <v>0.875</v>
      </c>
      <c r="V4047">
        <v>69.98</v>
      </c>
      <c r="X4047" s="42"/>
      <c r="AB4047">
        <v>69.599999999999994</v>
      </c>
      <c r="AC4047">
        <v>69.080000000000013</v>
      </c>
      <c r="AE4047" s="74"/>
      <c r="AF4047" s="77"/>
      <c r="AH4047" s="497">
        <v>68</v>
      </c>
      <c r="AJ4047" s="42"/>
      <c r="AK4047" s="74"/>
      <c r="AL4047" s="77"/>
      <c r="AN4047" s="497">
        <v>78.98</v>
      </c>
      <c r="AP4047" s="42"/>
      <c r="AQ4047" s="74"/>
      <c r="AR4047" s="77"/>
      <c r="AT4047" s="497">
        <v>55.94</v>
      </c>
      <c r="AV4047" s="42"/>
      <c r="AW4047" s="74"/>
      <c r="AX4047" s="77"/>
      <c r="BA4047" s="497">
        <v>74.300000000000011</v>
      </c>
      <c r="BB4047" s="42"/>
      <c r="BC4047" s="74"/>
      <c r="BD4047" s="77"/>
      <c r="BF4047">
        <v>73.94</v>
      </c>
      <c r="BH4047" s="42"/>
      <c r="BI4047" s="74"/>
      <c r="BJ4047" s="77"/>
      <c r="BL4047" s="497">
        <v>75.02</v>
      </c>
      <c r="BN4047" s="42"/>
      <c r="BO4047" s="74"/>
      <c r="BP4047" s="77"/>
      <c r="BR4047" s="497">
        <v>66.02</v>
      </c>
      <c r="BT4047" s="42"/>
    </row>
    <row r="4048" spans="1:72" x14ac:dyDescent="0.25">
      <c r="A4048" s="90">
        <v>34502</v>
      </c>
      <c r="B4048" s="20">
        <v>0.91666666666666663</v>
      </c>
      <c r="D4048">
        <v>75.02</v>
      </c>
      <c r="E4048" t="str">
        <f t="shared" si="160"/>
        <v>WEEKDAY</v>
      </c>
      <c r="F4048" t="e">
        <f t="shared" si="161"/>
        <v>#N/A</v>
      </c>
      <c r="G4048" s="74">
        <v>33041</v>
      </c>
      <c r="H4048" s="77">
        <v>0.91666666666666663</v>
      </c>
      <c r="J4048">
        <v>66.92</v>
      </c>
      <c r="M4048" s="74">
        <v>37789</v>
      </c>
      <c r="N4048" s="77">
        <v>0.91666666666666663</v>
      </c>
      <c r="P4048">
        <v>57.2</v>
      </c>
      <c r="S4048" s="74">
        <v>34502</v>
      </c>
      <c r="T4048" s="77">
        <v>0.91666666666666663</v>
      </c>
      <c r="V4048">
        <v>69.080000000000013</v>
      </c>
      <c r="X4048" s="42"/>
      <c r="AB4048">
        <v>69</v>
      </c>
      <c r="AC4048">
        <v>69.080000000000013</v>
      </c>
      <c r="AE4048" s="74"/>
      <c r="AF4048" s="77"/>
      <c r="AH4048" s="497">
        <v>64.400000000000006</v>
      </c>
      <c r="AJ4048" s="42"/>
      <c r="AK4048" s="74"/>
      <c r="AL4048" s="77"/>
      <c r="AN4048" s="497">
        <v>77</v>
      </c>
      <c r="AP4048" s="42"/>
      <c r="AQ4048" s="74"/>
      <c r="AR4048" s="77"/>
      <c r="AT4048" s="497">
        <v>53.96</v>
      </c>
      <c r="AV4048" s="42"/>
      <c r="AW4048" s="74"/>
      <c r="AX4048" s="77"/>
      <c r="BA4048" s="497">
        <v>71.06</v>
      </c>
      <c r="BB4048" s="42"/>
      <c r="BC4048" s="74"/>
      <c r="BD4048" s="77"/>
      <c r="BF4048">
        <v>75.02</v>
      </c>
      <c r="BH4048" s="42"/>
      <c r="BI4048" s="74"/>
      <c r="BJ4048" s="77"/>
      <c r="BL4048" s="497">
        <v>73.94</v>
      </c>
      <c r="BN4048" s="42"/>
      <c r="BO4048" s="74"/>
      <c r="BP4048" s="77"/>
      <c r="BR4048" s="497">
        <v>62.96</v>
      </c>
      <c r="BT4048" s="42"/>
    </row>
    <row r="4049" spans="1:72" x14ac:dyDescent="0.25">
      <c r="A4049" s="90">
        <v>34502</v>
      </c>
      <c r="B4049" s="20">
        <v>0.95833333333333337</v>
      </c>
      <c r="D4049">
        <v>73.94</v>
      </c>
      <c r="E4049" t="str">
        <f t="shared" si="160"/>
        <v>WEEKDAY</v>
      </c>
      <c r="F4049" t="e">
        <f t="shared" si="161"/>
        <v>#N/A</v>
      </c>
      <c r="G4049" s="74">
        <v>33041</v>
      </c>
      <c r="H4049" s="77">
        <v>0.95833333333333337</v>
      </c>
      <c r="J4049">
        <v>66.02</v>
      </c>
      <c r="M4049" s="74">
        <v>37789</v>
      </c>
      <c r="N4049" s="77">
        <v>0.95833333333333337</v>
      </c>
      <c r="P4049">
        <v>55.400000000000006</v>
      </c>
      <c r="S4049" s="74">
        <v>34502</v>
      </c>
      <c r="T4049" s="77">
        <v>0.95833333333333337</v>
      </c>
      <c r="V4049">
        <v>68</v>
      </c>
      <c r="X4049" s="42"/>
      <c r="AB4049">
        <v>68.400000000000006</v>
      </c>
      <c r="AC4049">
        <v>68</v>
      </c>
      <c r="AE4049" s="74"/>
      <c r="AF4049" s="77"/>
      <c r="AH4049" s="497">
        <v>64.22</v>
      </c>
      <c r="AJ4049" s="42"/>
      <c r="AK4049" s="74"/>
      <c r="AL4049" s="77"/>
      <c r="AN4049" s="497">
        <v>77</v>
      </c>
      <c r="AP4049" s="42"/>
      <c r="AQ4049" s="74"/>
      <c r="AR4049" s="77"/>
      <c r="AT4049" s="497">
        <v>53.06</v>
      </c>
      <c r="AV4049" s="42"/>
      <c r="AW4049" s="74"/>
      <c r="AX4049" s="77"/>
      <c r="BA4049" s="497">
        <v>70.34</v>
      </c>
      <c r="BB4049" s="42"/>
      <c r="BC4049" s="74"/>
      <c r="BD4049" s="77"/>
      <c r="BF4049">
        <v>75.02</v>
      </c>
      <c r="BH4049" s="42"/>
      <c r="BI4049" s="74"/>
      <c r="BJ4049" s="77"/>
      <c r="BL4049" s="497">
        <v>73.94</v>
      </c>
      <c r="BN4049" s="42"/>
      <c r="BO4049" s="74"/>
      <c r="BP4049" s="77"/>
      <c r="BR4049" s="497">
        <v>60.980000000000004</v>
      </c>
      <c r="BT4049" s="42"/>
    </row>
    <row r="4050" spans="1:72" x14ac:dyDescent="0.25">
      <c r="A4050" s="90">
        <v>34502</v>
      </c>
      <c r="B4050" s="20">
        <v>1</v>
      </c>
      <c r="D4050">
        <v>73.94</v>
      </c>
      <c r="E4050" t="str">
        <f t="shared" si="160"/>
        <v>WEEKDAY</v>
      </c>
      <c r="F4050" t="e">
        <f t="shared" si="161"/>
        <v>#N/A</v>
      </c>
      <c r="G4050" s="74">
        <v>33041</v>
      </c>
      <c r="H4050" s="77">
        <v>1</v>
      </c>
      <c r="J4050">
        <v>66.02</v>
      </c>
      <c r="M4050" s="74">
        <v>37789</v>
      </c>
      <c r="N4050" s="80">
        <v>1</v>
      </c>
      <c r="P4050">
        <v>57.2</v>
      </c>
      <c r="S4050" s="74">
        <v>34502</v>
      </c>
      <c r="T4050" s="80">
        <v>1</v>
      </c>
      <c r="V4050">
        <v>68</v>
      </c>
      <c r="X4050" s="42"/>
      <c r="AB4050">
        <v>67.900000000000006</v>
      </c>
      <c r="AC4050">
        <v>68</v>
      </c>
      <c r="AE4050" s="74"/>
      <c r="AF4050" s="80"/>
      <c r="AH4050" s="497">
        <v>64.400000000000006</v>
      </c>
      <c r="AJ4050" s="42"/>
      <c r="AK4050" s="74"/>
      <c r="AL4050" s="80"/>
      <c r="AN4050" s="497">
        <v>75.02</v>
      </c>
      <c r="AP4050" s="42"/>
      <c r="AQ4050" s="74"/>
      <c r="AR4050" s="80"/>
      <c r="AT4050" s="497">
        <v>51.08</v>
      </c>
      <c r="AV4050" s="42"/>
      <c r="AW4050" s="74"/>
      <c r="AX4050" s="80"/>
      <c r="BA4050" s="497">
        <v>69.800000000000011</v>
      </c>
      <c r="BB4050" s="42"/>
      <c r="BC4050" s="74"/>
      <c r="BD4050" s="80"/>
      <c r="BF4050">
        <v>75.02</v>
      </c>
      <c r="BH4050" s="42"/>
      <c r="BI4050" s="74"/>
      <c r="BJ4050" s="80"/>
      <c r="BL4050" s="497">
        <v>69.98</v>
      </c>
      <c r="BN4050" s="42"/>
      <c r="BO4050" s="74"/>
      <c r="BP4050" s="80"/>
      <c r="BR4050" s="497">
        <v>60.08</v>
      </c>
      <c r="BT4050" s="42"/>
    </row>
    <row r="4051" spans="1:72" x14ac:dyDescent="0.25">
      <c r="A4051" s="90">
        <v>34503</v>
      </c>
      <c r="B4051" s="20">
        <v>4.1666666666666664E-2</v>
      </c>
      <c r="D4051">
        <v>75.02</v>
      </c>
      <c r="E4051" t="str">
        <f t="shared" ref="E4051:E4114" si="162">IF(COUNTIF($DI$18:$DI$22, WEEKDAY(A4051))=1, "WEEKDAY", IF(WEEKDAY(A4051) = 1, "SUNDAY", "SATURDAY"))</f>
        <v>SATURDAY</v>
      </c>
      <c r="F4051" t="e">
        <f t="shared" si="161"/>
        <v>#N/A</v>
      </c>
      <c r="G4051" s="74">
        <v>33042</v>
      </c>
      <c r="H4051" s="77">
        <v>4.1666666666666664E-2</v>
      </c>
      <c r="J4051">
        <v>66.02</v>
      </c>
      <c r="M4051" s="74">
        <v>37790</v>
      </c>
      <c r="N4051" s="77">
        <v>4.1666666666666664E-2</v>
      </c>
      <c r="P4051">
        <v>57.2</v>
      </c>
      <c r="S4051" s="74">
        <v>34503</v>
      </c>
      <c r="T4051" s="77">
        <v>4.1666666666666664E-2</v>
      </c>
      <c r="V4051">
        <v>68</v>
      </c>
      <c r="X4051" s="42"/>
      <c r="AB4051">
        <v>67.3</v>
      </c>
      <c r="AC4051">
        <v>68</v>
      </c>
      <c r="AE4051" s="74"/>
      <c r="AF4051" s="77"/>
      <c r="AH4051" s="497">
        <v>64.400000000000006</v>
      </c>
      <c r="AJ4051" s="42"/>
      <c r="AK4051" s="74"/>
      <c r="AL4051" s="77"/>
      <c r="AN4051" s="497">
        <v>77</v>
      </c>
      <c r="AP4051" s="42"/>
      <c r="AQ4051" s="74"/>
      <c r="AR4051" s="77"/>
      <c r="AT4051" s="497">
        <v>50</v>
      </c>
      <c r="AV4051" s="42"/>
      <c r="AW4051" s="74"/>
      <c r="AX4051" s="77"/>
      <c r="BA4051" s="497">
        <v>69.080000000000013</v>
      </c>
      <c r="BB4051" s="42"/>
      <c r="BC4051" s="74"/>
      <c r="BD4051" s="77"/>
      <c r="BF4051">
        <v>73.94</v>
      </c>
      <c r="BH4051" s="42"/>
      <c r="BI4051" s="74"/>
      <c r="BJ4051" s="77"/>
      <c r="BL4051" s="497">
        <v>69.080000000000013</v>
      </c>
      <c r="BN4051" s="42"/>
      <c r="BO4051" s="74"/>
      <c r="BP4051" s="77"/>
      <c r="BR4051" s="497">
        <v>57.92</v>
      </c>
      <c r="BT4051" s="42"/>
    </row>
    <row r="4052" spans="1:72" x14ac:dyDescent="0.25">
      <c r="A4052" s="90">
        <v>34503</v>
      </c>
      <c r="B4052" s="20">
        <v>8.3333333333333329E-2</v>
      </c>
      <c r="D4052">
        <v>75.02</v>
      </c>
      <c r="E4052" t="str">
        <f t="shared" si="162"/>
        <v>SATURDAY</v>
      </c>
      <c r="F4052" t="e">
        <f t="shared" si="161"/>
        <v>#N/A</v>
      </c>
      <c r="G4052" s="74">
        <v>33042</v>
      </c>
      <c r="H4052" s="77">
        <v>8.3333333333333329E-2</v>
      </c>
      <c r="J4052">
        <v>66.02</v>
      </c>
      <c r="M4052" s="74">
        <v>37790</v>
      </c>
      <c r="N4052" s="77">
        <v>8.3333333333333329E-2</v>
      </c>
      <c r="P4052">
        <v>57.2</v>
      </c>
      <c r="S4052" s="74">
        <v>34503</v>
      </c>
      <c r="T4052" s="77">
        <v>8.3333333333333329E-2</v>
      </c>
      <c r="V4052">
        <v>69.080000000000013</v>
      </c>
      <c r="X4052" s="42"/>
      <c r="AB4052">
        <v>66.8</v>
      </c>
      <c r="AC4052">
        <v>68</v>
      </c>
      <c r="AE4052" s="74"/>
      <c r="AF4052" s="77"/>
      <c r="AH4052" s="497">
        <v>64.400000000000006</v>
      </c>
      <c r="AJ4052" s="42"/>
      <c r="AK4052" s="74"/>
      <c r="AL4052" s="77"/>
      <c r="AN4052" s="497">
        <v>75.92</v>
      </c>
      <c r="AP4052" s="42"/>
      <c r="AQ4052" s="74"/>
      <c r="AR4052" s="77"/>
      <c r="AT4052" s="497">
        <v>48.92</v>
      </c>
      <c r="AV4052" s="42"/>
      <c r="AW4052" s="74"/>
      <c r="AX4052" s="77"/>
      <c r="BA4052" s="497">
        <v>69.080000000000013</v>
      </c>
      <c r="BB4052" s="42"/>
      <c r="BC4052" s="74"/>
      <c r="BD4052" s="77"/>
      <c r="BF4052">
        <v>73.039999999999992</v>
      </c>
      <c r="BH4052" s="42"/>
      <c r="BI4052" s="74"/>
      <c r="BJ4052" s="77"/>
      <c r="BL4052" s="497">
        <v>66.02</v>
      </c>
      <c r="BN4052" s="42"/>
      <c r="BO4052" s="74"/>
      <c r="BP4052" s="77"/>
      <c r="BR4052" s="497">
        <v>57.019999999999996</v>
      </c>
      <c r="BT4052" s="42"/>
    </row>
    <row r="4053" spans="1:72" x14ac:dyDescent="0.25">
      <c r="A4053" s="90">
        <v>34503</v>
      </c>
      <c r="B4053" s="20">
        <v>0.125</v>
      </c>
      <c r="D4053">
        <v>73.039999999999992</v>
      </c>
      <c r="E4053" t="str">
        <f t="shared" si="162"/>
        <v>SATURDAY</v>
      </c>
      <c r="F4053" t="e">
        <f t="shared" si="161"/>
        <v>#N/A</v>
      </c>
      <c r="G4053" s="74">
        <v>33042</v>
      </c>
      <c r="H4053" s="77">
        <v>0.125</v>
      </c>
      <c r="J4053">
        <v>64.94</v>
      </c>
      <c r="M4053" s="74">
        <v>37790</v>
      </c>
      <c r="N4053" s="77">
        <v>0.125</v>
      </c>
      <c r="P4053">
        <v>57.2</v>
      </c>
      <c r="S4053" s="74">
        <v>34503</v>
      </c>
      <c r="T4053" s="77">
        <v>0.125</v>
      </c>
      <c r="V4053">
        <v>69.080000000000013</v>
      </c>
      <c r="X4053" s="42"/>
      <c r="AB4053">
        <v>66.400000000000006</v>
      </c>
      <c r="AC4053">
        <v>68</v>
      </c>
      <c r="AE4053" s="74"/>
      <c r="AF4053" s="77"/>
      <c r="AH4053" s="497">
        <v>64.400000000000006</v>
      </c>
      <c r="AJ4053" s="42"/>
      <c r="AK4053" s="74"/>
      <c r="AL4053" s="77"/>
      <c r="AN4053" s="497">
        <v>73.039999999999992</v>
      </c>
      <c r="AP4053" s="42"/>
      <c r="AQ4053" s="74"/>
      <c r="AR4053" s="77"/>
      <c r="AT4053" s="497">
        <v>48.92</v>
      </c>
      <c r="AV4053" s="42"/>
      <c r="AW4053" s="74"/>
      <c r="AX4053" s="77"/>
      <c r="BA4053" s="497">
        <v>69.080000000000013</v>
      </c>
      <c r="BB4053" s="42"/>
      <c r="BC4053" s="74"/>
      <c r="BD4053" s="77"/>
      <c r="BF4053">
        <v>73.94</v>
      </c>
      <c r="BH4053" s="42"/>
      <c r="BI4053" s="74"/>
      <c r="BJ4053" s="77"/>
      <c r="BL4053" s="497">
        <v>66.02</v>
      </c>
      <c r="BN4053" s="42"/>
      <c r="BO4053" s="74"/>
      <c r="BP4053" s="77"/>
      <c r="BR4053" s="497">
        <v>53.96</v>
      </c>
      <c r="BT4053" s="42"/>
    </row>
    <row r="4054" spans="1:72" x14ac:dyDescent="0.25">
      <c r="A4054" s="90">
        <v>34503</v>
      </c>
      <c r="B4054" s="20">
        <v>0.16666666666666666</v>
      </c>
      <c r="D4054">
        <v>73.039999999999992</v>
      </c>
      <c r="E4054" t="str">
        <f t="shared" si="162"/>
        <v>SATURDAY</v>
      </c>
      <c r="F4054" t="e">
        <f t="shared" si="161"/>
        <v>#N/A</v>
      </c>
      <c r="G4054" s="74">
        <v>33042</v>
      </c>
      <c r="H4054" s="77">
        <v>0.16666666666666666</v>
      </c>
      <c r="J4054">
        <v>64.94</v>
      </c>
      <c r="M4054" s="74">
        <v>37790</v>
      </c>
      <c r="N4054" s="77">
        <v>0.16666666666666666</v>
      </c>
      <c r="P4054">
        <v>57.2</v>
      </c>
      <c r="S4054" s="74">
        <v>34503</v>
      </c>
      <c r="T4054" s="77">
        <v>0.16666666666666666</v>
      </c>
      <c r="V4054">
        <v>69.080000000000013</v>
      </c>
      <c r="X4054" s="42"/>
      <c r="AB4054">
        <v>66</v>
      </c>
      <c r="AC4054">
        <v>68</v>
      </c>
      <c r="AE4054" s="74"/>
      <c r="AF4054" s="77"/>
      <c r="AH4054" s="497">
        <v>64.400000000000006</v>
      </c>
      <c r="AJ4054" s="42"/>
      <c r="AK4054" s="74"/>
      <c r="AL4054" s="77"/>
      <c r="AN4054" s="497">
        <v>71.06</v>
      </c>
      <c r="AP4054" s="42"/>
      <c r="AQ4054" s="74"/>
      <c r="AR4054" s="77"/>
      <c r="AT4054" s="497">
        <v>48.019999999999996</v>
      </c>
      <c r="AV4054" s="42"/>
      <c r="AW4054" s="74"/>
      <c r="AX4054" s="77"/>
      <c r="BA4054" s="497">
        <v>69.080000000000013</v>
      </c>
      <c r="BB4054" s="42"/>
      <c r="BC4054" s="74"/>
      <c r="BD4054" s="77"/>
      <c r="BF4054">
        <v>73.94</v>
      </c>
      <c r="BH4054" s="42"/>
      <c r="BI4054" s="74"/>
      <c r="BJ4054" s="77"/>
      <c r="BL4054" s="497">
        <v>64.039999999999992</v>
      </c>
      <c r="BN4054" s="42"/>
      <c r="BO4054" s="74"/>
      <c r="BP4054" s="77"/>
      <c r="BR4054" s="497">
        <v>53.96</v>
      </c>
      <c r="BT4054" s="42"/>
    </row>
    <row r="4055" spans="1:72" x14ac:dyDescent="0.25">
      <c r="A4055" s="90">
        <v>34503</v>
      </c>
      <c r="B4055" s="20">
        <v>0.20833333333333334</v>
      </c>
      <c r="D4055">
        <v>73.039999999999992</v>
      </c>
      <c r="E4055" t="str">
        <f t="shared" si="162"/>
        <v>SATURDAY</v>
      </c>
      <c r="F4055" t="e">
        <f t="shared" si="161"/>
        <v>#N/A</v>
      </c>
      <c r="G4055" s="74">
        <v>33042</v>
      </c>
      <c r="H4055" s="77">
        <v>0.20833333333333334</v>
      </c>
      <c r="J4055">
        <v>64.94</v>
      </c>
      <c r="M4055" s="74">
        <v>37790</v>
      </c>
      <c r="N4055" s="77">
        <v>0.20833333333333334</v>
      </c>
      <c r="P4055">
        <v>57.2</v>
      </c>
      <c r="S4055" s="74">
        <v>34503</v>
      </c>
      <c r="T4055" s="77">
        <v>0.20833333333333334</v>
      </c>
      <c r="V4055">
        <v>69.080000000000013</v>
      </c>
      <c r="X4055" s="42"/>
      <c r="AB4055">
        <v>65.5</v>
      </c>
      <c r="AC4055">
        <v>68</v>
      </c>
      <c r="AE4055" s="74"/>
      <c r="AF4055" s="77"/>
      <c r="AH4055" s="497">
        <v>59</v>
      </c>
      <c r="AJ4055" s="42"/>
      <c r="AK4055" s="74"/>
      <c r="AL4055" s="77"/>
      <c r="AN4055" s="497">
        <v>71.06</v>
      </c>
      <c r="AP4055" s="42"/>
      <c r="AQ4055" s="74"/>
      <c r="AR4055" s="77"/>
      <c r="AT4055" s="497">
        <v>48.019999999999996</v>
      </c>
      <c r="AV4055" s="42"/>
      <c r="AW4055" s="74"/>
      <c r="AX4055" s="77"/>
      <c r="BA4055" s="497">
        <v>67.64</v>
      </c>
      <c r="BB4055" s="42"/>
      <c r="BC4055" s="74"/>
      <c r="BD4055" s="77"/>
      <c r="BF4055">
        <v>73.94</v>
      </c>
      <c r="BH4055" s="42"/>
      <c r="BI4055" s="74"/>
      <c r="BJ4055" s="77"/>
      <c r="BL4055" s="497">
        <v>62.96</v>
      </c>
      <c r="BN4055" s="42"/>
      <c r="BO4055" s="74"/>
      <c r="BP4055" s="77"/>
      <c r="BR4055" s="497">
        <v>57.019999999999996</v>
      </c>
      <c r="BT4055" s="42"/>
    </row>
    <row r="4056" spans="1:72" x14ac:dyDescent="0.25">
      <c r="A4056" s="90">
        <v>34503</v>
      </c>
      <c r="B4056" s="20">
        <v>0.25</v>
      </c>
      <c r="D4056">
        <v>73.039999999999992</v>
      </c>
      <c r="E4056" t="str">
        <f t="shared" si="162"/>
        <v>SATURDAY</v>
      </c>
      <c r="F4056" t="e">
        <f t="shared" si="161"/>
        <v>#N/A</v>
      </c>
      <c r="G4056" s="74">
        <v>33042</v>
      </c>
      <c r="H4056" s="77">
        <v>0.25</v>
      </c>
      <c r="J4056">
        <v>66.92</v>
      </c>
      <c r="M4056" s="74">
        <v>37790</v>
      </c>
      <c r="N4056" s="77">
        <v>0.25</v>
      </c>
      <c r="P4056">
        <v>57.2</v>
      </c>
      <c r="S4056" s="74">
        <v>34503</v>
      </c>
      <c r="T4056" s="77">
        <v>0.25</v>
      </c>
      <c r="V4056">
        <v>69.080000000000013</v>
      </c>
      <c r="X4056" s="42"/>
      <c r="AB4056">
        <v>65.5</v>
      </c>
      <c r="AC4056">
        <v>68</v>
      </c>
      <c r="AE4056" s="74"/>
      <c r="AF4056" s="77"/>
      <c r="AH4056" s="497">
        <v>59</v>
      </c>
      <c r="AJ4056" s="42"/>
      <c r="AK4056" s="74"/>
      <c r="AL4056" s="77"/>
      <c r="AN4056" s="497">
        <v>71.960000000000008</v>
      </c>
      <c r="AP4056" s="42"/>
      <c r="AQ4056" s="74"/>
      <c r="AR4056" s="77"/>
      <c r="AT4056" s="497">
        <v>51.980000000000004</v>
      </c>
      <c r="AV4056" s="42"/>
      <c r="AW4056" s="74"/>
      <c r="AX4056" s="77"/>
      <c r="BA4056" s="497">
        <v>66.38</v>
      </c>
      <c r="BB4056" s="42"/>
      <c r="BC4056" s="74"/>
      <c r="BD4056" s="77"/>
      <c r="BF4056">
        <v>73.94</v>
      </c>
      <c r="BH4056" s="42"/>
      <c r="BI4056" s="74"/>
      <c r="BJ4056" s="77"/>
      <c r="BL4056" s="497">
        <v>57.92</v>
      </c>
      <c r="BN4056" s="42"/>
      <c r="BO4056" s="74"/>
      <c r="BP4056" s="77"/>
      <c r="BR4056" s="497">
        <v>62.96</v>
      </c>
      <c r="BT4056" s="42"/>
    </row>
    <row r="4057" spans="1:72" x14ac:dyDescent="0.25">
      <c r="A4057" s="90">
        <v>34503</v>
      </c>
      <c r="B4057" s="20">
        <v>0.29166666666666669</v>
      </c>
      <c r="D4057">
        <v>73.94</v>
      </c>
      <c r="E4057" t="str">
        <f t="shared" si="162"/>
        <v>SATURDAY</v>
      </c>
      <c r="F4057" t="e">
        <f t="shared" si="161"/>
        <v>#N/A</v>
      </c>
      <c r="G4057" s="74">
        <v>33042</v>
      </c>
      <c r="H4057" s="77">
        <v>0.29166666666666669</v>
      </c>
      <c r="J4057">
        <v>68</v>
      </c>
      <c r="M4057" s="74">
        <v>37790</v>
      </c>
      <c r="N4057" s="77">
        <v>0.29166666666666669</v>
      </c>
      <c r="P4057">
        <v>57.2</v>
      </c>
      <c r="S4057" s="74">
        <v>34503</v>
      </c>
      <c r="T4057" s="77">
        <v>0.29166666666666669</v>
      </c>
      <c r="V4057">
        <v>69.080000000000013</v>
      </c>
      <c r="X4057" s="42"/>
      <c r="AB4057">
        <v>67.099999999999994</v>
      </c>
      <c r="AC4057">
        <v>69.080000000000013</v>
      </c>
      <c r="AE4057" s="74"/>
      <c r="AF4057" s="77"/>
      <c r="AH4057" s="497">
        <v>60.8</v>
      </c>
      <c r="AJ4057" s="42"/>
      <c r="AK4057" s="74"/>
      <c r="AL4057" s="77"/>
      <c r="AN4057" s="497">
        <v>75.92</v>
      </c>
      <c r="AP4057" s="42"/>
      <c r="AQ4057" s="74"/>
      <c r="AR4057" s="77"/>
      <c r="AT4057" s="497">
        <v>55.94</v>
      </c>
      <c r="AV4057" s="42"/>
      <c r="AW4057" s="74"/>
      <c r="AX4057" s="77"/>
      <c r="BA4057" s="497">
        <v>64.94</v>
      </c>
      <c r="BB4057" s="42"/>
      <c r="BC4057" s="74"/>
      <c r="BD4057" s="77"/>
      <c r="BF4057">
        <v>73.94</v>
      </c>
      <c r="BH4057" s="42"/>
      <c r="BI4057" s="74"/>
      <c r="BJ4057" s="77"/>
      <c r="BL4057" s="497">
        <v>57.019999999999996</v>
      </c>
      <c r="BN4057" s="42"/>
      <c r="BO4057" s="74"/>
      <c r="BP4057" s="77"/>
      <c r="BR4057" s="497">
        <v>66.92</v>
      </c>
      <c r="BT4057" s="42"/>
    </row>
    <row r="4058" spans="1:72" x14ac:dyDescent="0.25">
      <c r="A4058" s="90">
        <v>34503</v>
      </c>
      <c r="B4058" s="20">
        <v>0.33333333333333331</v>
      </c>
      <c r="D4058">
        <v>75.92</v>
      </c>
      <c r="E4058" t="str">
        <f t="shared" si="162"/>
        <v>SATURDAY</v>
      </c>
      <c r="F4058" t="e">
        <f t="shared" si="161"/>
        <v>#N/A</v>
      </c>
      <c r="G4058" s="74">
        <v>33042</v>
      </c>
      <c r="H4058" s="77">
        <v>0.33333333333333331</v>
      </c>
      <c r="J4058">
        <v>73.039999999999992</v>
      </c>
      <c r="M4058" s="74">
        <v>37790</v>
      </c>
      <c r="N4058" s="77">
        <v>0.33333333333333331</v>
      </c>
      <c r="P4058">
        <v>57.2</v>
      </c>
      <c r="S4058" s="74">
        <v>34503</v>
      </c>
      <c r="T4058" s="77">
        <v>0.33333333333333331</v>
      </c>
      <c r="V4058">
        <v>69.98</v>
      </c>
      <c r="X4058" s="42"/>
      <c r="AB4058">
        <v>68.8</v>
      </c>
      <c r="AC4058">
        <v>69.080000000000013</v>
      </c>
      <c r="AE4058" s="74"/>
      <c r="AF4058" s="77"/>
      <c r="AH4058" s="497">
        <v>62.6</v>
      </c>
      <c r="AJ4058" s="42"/>
      <c r="AK4058" s="74"/>
      <c r="AL4058" s="77"/>
      <c r="AN4058" s="497">
        <v>78.080000000000013</v>
      </c>
      <c r="AP4058" s="42"/>
      <c r="AQ4058" s="74"/>
      <c r="AR4058" s="77"/>
      <c r="AT4058" s="497">
        <v>59</v>
      </c>
      <c r="AV4058" s="42"/>
      <c r="AW4058" s="74"/>
      <c r="AX4058" s="77"/>
      <c r="BA4058" s="497">
        <v>63.319999999999993</v>
      </c>
      <c r="BB4058" s="42"/>
      <c r="BC4058" s="74"/>
      <c r="BD4058" s="77"/>
      <c r="BF4058">
        <v>75.92</v>
      </c>
      <c r="BH4058" s="42"/>
      <c r="BI4058" s="74"/>
      <c r="BJ4058" s="77"/>
      <c r="BL4058" s="497">
        <v>55.040000000000006</v>
      </c>
      <c r="BN4058" s="42"/>
      <c r="BO4058" s="74"/>
      <c r="BP4058" s="77"/>
      <c r="BR4058" s="497">
        <v>69.98</v>
      </c>
      <c r="BT4058" s="42"/>
    </row>
    <row r="4059" spans="1:72" x14ac:dyDescent="0.25">
      <c r="A4059" s="90">
        <v>34503</v>
      </c>
      <c r="B4059" s="20">
        <v>0.375</v>
      </c>
      <c r="D4059">
        <v>78.080000000000013</v>
      </c>
      <c r="E4059" t="str">
        <f t="shared" si="162"/>
        <v>SATURDAY</v>
      </c>
      <c r="F4059" t="e">
        <f t="shared" si="161"/>
        <v>#N/A</v>
      </c>
      <c r="G4059" s="74">
        <v>33042</v>
      </c>
      <c r="H4059" s="77">
        <v>0.375</v>
      </c>
      <c r="J4059">
        <v>78.080000000000013</v>
      </c>
      <c r="M4059" s="74">
        <v>37790</v>
      </c>
      <c r="N4059" s="77">
        <v>0.375</v>
      </c>
      <c r="P4059">
        <v>59</v>
      </c>
      <c r="S4059" s="74">
        <v>34503</v>
      </c>
      <c r="T4059" s="77">
        <v>0.375</v>
      </c>
      <c r="V4059">
        <v>73.039999999999992</v>
      </c>
      <c r="X4059" s="42"/>
      <c r="AB4059">
        <v>70.7</v>
      </c>
      <c r="AC4059">
        <v>73.039999999999992</v>
      </c>
      <c r="AE4059" s="74"/>
      <c r="AF4059" s="77"/>
      <c r="AH4059" s="497">
        <v>62.6</v>
      </c>
      <c r="AJ4059" s="42"/>
      <c r="AK4059" s="74"/>
      <c r="AL4059" s="77"/>
      <c r="AN4059" s="497">
        <v>82.94</v>
      </c>
      <c r="AP4059" s="42"/>
      <c r="AQ4059" s="74"/>
      <c r="AR4059" s="77"/>
      <c r="AT4059" s="497">
        <v>62.06</v>
      </c>
      <c r="AV4059" s="42"/>
      <c r="AW4059" s="74"/>
      <c r="AX4059" s="77"/>
      <c r="BA4059" s="497">
        <v>61.7</v>
      </c>
      <c r="BB4059" s="42"/>
      <c r="BC4059" s="74"/>
      <c r="BD4059" s="77"/>
      <c r="BF4059">
        <v>77</v>
      </c>
      <c r="BH4059" s="42"/>
      <c r="BI4059" s="74"/>
      <c r="BJ4059" s="77"/>
      <c r="BL4059" s="497">
        <v>55.040000000000006</v>
      </c>
      <c r="BN4059" s="42"/>
      <c r="BO4059" s="74"/>
      <c r="BP4059" s="77"/>
      <c r="BR4059" s="497">
        <v>71.960000000000008</v>
      </c>
      <c r="BT4059" s="42"/>
    </row>
    <row r="4060" spans="1:72" x14ac:dyDescent="0.25">
      <c r="A4060" s="90">
        <v>34503</v>
      </c>
      <c r="B4060" s="20">
        <v>0.41666666666666669</v>
      </c>
      <c r="D4060">
        <v>80.06</v>
      </c>
      <c r="E4060" t="str">
        <f t="shared" si="162"/>
        <v>SATURDAY</v>
      </c>
      <c r="F4060" t="e">
        <f t="shared" si="161"/>
        <v>#N/A</v>
      </c>
      <c r="G4060" s="74">
        <v>33042</v>
      </c>
      <c r="H4060" s="77">
        <v>0.41666666666666669</v>
      </c>
      <c r="J4060">
        <v>78.080000000000013</v>
      </c>
      <c r="M4060" s="74">
        <v>37790</v>
      </c>
      <c r="N4060" s="77">
        <v>0.41666666666666669</v>
      </c>
      <c r="P4060">
        <v>60.8</v>
      </c>
      <c r="S4060" s="74">
        <v>34503</v>
      </c>
      <c r="T4060" s="77">
        <v>0.41666666666666669</v>
      </c>
      <c r="V4060">
        <v>78.98</v>
      </c>
      <c r="X4060" s="42"/>
      <c r="AB4060">
        <v>72.5</v>
      </c>
      <c r="AC4060">
        <v>75.02</v>
      </c>
      <c r="AE4060" s="74"/>
      <c r="AF4060" s="77"/>
      <c r="AH4060" s="497">
        <v>62.6</v>
      </c>
      <c r="AJ4060" s="42"/>
      <c r="AK4060" s="74"/>
      <c r="AL4060" s="77"/>
      <c r="AN4060" s="497">
        <v>84.02</v>
      </c>
      <c r="AP4060" s="42"/>
      <c r="AQ4060" s="74"/>
      <c r="AR4060" s="77"/>
      <c r="AT4060" s="497">
        <v>64.94</v>
      </c>
      <c r="AV4060" s="42"/>
      <c r="AW4060" s="74"/>
      <c r="AX4060" s="77"/>
      <c r="BA4060" s="497">
        <v>60.08</v>
      </c>
      <c r="BB4060" s="42"/>
      <c r="BC4060" s="74"/>
      <c r="BD4060" s="77"/>
      <c r="BF4060">
        <v>77</v>
      </c>
      <c r="BH4060" s="42"/>
      <c r="BI4060" s="74"/>
      <c r="BJ4060" s="77"/>
      <c r="BL4060" s="497">
        <v>55.94</v>
      </c>
      <c r="BN4060" s="42"/>
      <c r="BO4060" s="74"/>
      <c r="BP4060" s="77"/>
      <c r="BR4060" s="497">
        <v>75.02</v>
      </c>
      <c r="BT4060" s="42"/>
    </row>
    <row r="4061" spans="1:72" x14ac:dyDescent="0.25">
      <c r="A4061" s="90">
        <v>34503</v>
      </c>
      <c r="B4061" s="20">
        <v>0.45833333333333331</v>
      </c>
      <c r="D4061">
        <v>84.02</v>
      </c>
      <c r="E4061" t="str">
        <f t="shared" si="162"/>
        <v>SATURDAY</v>
      </c>
      <c r="F4061" t="e">
        <f t="shared" si="161"/>
        <v>#N/A</v>
      </c>
      <c r="G4061" s="74">
        <v>33042</v>
      </c>
      <c r="H4061" s="77">
        <v>0.45833333333333331</v>
      </c>
      <c r="J4061">
        <v>78.98</v>
      </c>
      <c r="M4061" s="74">
        <v>37790</v>
      </c>
      <c r="N4061" s="77">
        <v>0.45833333333333331</v>
      </c>
      <c r="P4061">
        <v>60.8</v>
      </c>
      <c r="S4061" s="74">
        <v>34503</v>
      </c>
      <c r="T4061" s="77">
        <v>0.45833333333333331</v>
      </c>
      <c r="V4061">
        <v>80.960000000000008</v>
      </c>
      <c r="X4061" s="42"/>
      <c r="AB4061">
        <v>74</v>
      </c>
      <c r="AC4061">
        <v>78.98</v>
      </c>
      <c r="AE4061" s="74"/>
      <c r="AF4061" s="77"/>
      <c r="AH4061" s="497">
        <v>62.6</v>
      </c>
      <c r="AJ4061" s="42"/>
      <c r="AK4061" s="74"/>
      <c r="AL4061" s="77"/>
      <c r="AN4061" s="497">
        <v>84.92</v>
      </c>
      <c r="AP4061" s="42"/>
      <c r="AQ4061" s="74"/>
      <c r="AR4061" s="77"/>
      <c r="AT4061" s="497">
        <v>66.02</v>
      </c>
      <c r="AV4061" s="42"/>
      <c r="AW4061" s="74"/>
      <c r="AX4061" s="77"/>
      <c r="BA4061" s="497">
        <v>60.08</v>
      </c>
      <c r="BB4061" s="42"/>
      <c r="BC4061" s="74"/>
      <c r="BD4061" s="77"/>
      <c r="BF4061">
        <v>78.080000000000013</v>
      </c>
      <c r="BH4061" s="42"/>
      <c r="BI4061" s="74"/>
      <c r="BJ4061" s="77"/>
      <c r="BL4061" s="497">
        <v>57.92</v>
      </c>
      <c r="BN4061" s="42"/>
      <c r="BO4061" s="74"/>
      <c r="BP4061" s="77"/>
      <c r="BR4061" s="497">
        <v>75.02</v>
      </c>
      <c r="BT4061" s="42"/>
    </row>
    <row r="4062" spans="1:72" x14ac:dyDescent="0.25">
      <c r="A4062" s="90">
        <v>34503</v>
      </c>
      <c r="B4062" s="20">
        <v>0.5</v>
      </c>
      <c r="D4062">
        <v>84.02</v>
      </c>
      <c r="E4062" t="str">
        <f t="shared" si="162"/>
        <v>SATURDAY</v>
      </c>
      <c r="F4062" t="e">
        <f t="shared" si="161"/>
        <v>#N/A</v>
      </c>
      <c r="G4062" s="74">
        <v>33042</v>
      </c>
      <c r="H4062" s="77">
        <v>0.5</v>
      </c>
      <c r="J4062">
        <v>77</v>
      </c>
      <c r="M4062" s="74">
        <v>37790</v>
      </c>
      <c r="N4062" s="77">
        <v>0.5</v>
      </c>
      <c r="P4062">
        <v>60.8</v>
      </c>
      <c r="S4062" s="74">
        <v>34503</v>
      </c>
      <c r="T4062" s="77">
        <v>0.5</v>
      </c>
      <c r="V4062">
        <v>80.06</v>
      </c>
      <c r="X4062" s="42"/>
      <c r="AB4062">
        <v>75</v>
      </c>
      <c r="AC4062">
        <v>82.039999999999992</v>
      </c>
      <c r="AE4062" s="74"/>
      <c r="AF4062" s="77"/>
      <c r="AH4062" s="497">
        <v>62.6</v>
      </c>
      <c r="AJ4062" s="42"/>
      <c r="AK4062" s="74"/>
      <c r="AL4062" s="77"/>
      <c r="AN4062" s="497">
        <v>87.98</v>
      </c>
      <c r="AP4062" s="42"/>
      <c r="AQ4062" s="74"/>
      <c r="AR4062" s="77"/>
      <c r="AT4062" s="497">
        <v>66.02</v>
      </c>
      <c r="AV4062" s="42"/>
      <c r="AW4062" s="74"/>
      <c r="AX4062" s="77"/>
      <c r="BA4062" s="497">
        <v>60.08</v>
      </c>
      <c r="BB4062" s="42"/>
      <c r="BC4062" s="74"/>
      <c r="BD4062" s="77"/>
      <c r="BF4062">
        <v>78.98</v>
      </c>
      <c r="BH4062" s="42"/>
      <c r="BI4062" s="74"/>
      <c r="BJ4062" s="77"/>
      <c r="BL4062" s="497">
        <v>57.92</v>
      </c>
      <c r="BN4062" s="42"/>
      <c r="BO4062" s="74"/>
      <c r="BP4062" s="77"/>
      <c r="BR4062" s="497">
        <v>77</v>
      </c>
      <c r="BT4062" s="42"/>
    </row>
    <row r="4063" spans="1:72" x14ac:dyDescent="0.25">
      <c r="A4063" s="90">
        <v>34503</v>
      </c>
      <c r="B4063" s="20">
        <v>0.54166666666666663</v>
      </c>
      <c r="D4063">
        <v>87.080000000000013</v>
      </c>
      <c r="E4063" t="str">
        <f t="shared" si="162"/>
        <v>SATURDAY</v>
      </c>
      <c r="F4063" t="e">
        <f t="shared" si="161"/>
        <v>#N/A</v>
      </c>
      <c r="G4063" s="74">
        <v>33042</v>
      </c>
      <c r="H4063" s="77">
        <v>0.54166666666666663</v>
      </c>
      <c r="J4063">
        <v>78.080000000000013</v>
      </c>
      <c r="M4063" s="74">
        <v>37790</v>
      </c>
      <c r="N4063" s="77">
        <v>0.54166666666666663</v>
      </c>
      <c r="P4063">
        <v>60.8</v>
      </c>
      <c r="S4063" s="74">
        <v>34503</v>
      </c>
      <c r="T4063" s="77">
        <v>0.54166666666666663</v>
      </c>
      <c r="V4063">
        <v>80.06</v>
      </c>
      <c r="X4063" s="42"/>
      <c r="AB4063">
        <v>75.8</v>
      </c>
      <c r="AC4063">
        <v>82.94</v>
      </c>
      <c r="AE4063" s="74"/>
      <c r="AF4063" s="77"/>
      <c r="AH4063" s="497">
        <v>62.6</v>
      </c>
      <c r="AJ4063" s="42"/>
      <c r="AK4063" s="74"/>
      <c r="AL4063" s="77"/>
      <c r="AN4063" s="497">
        <v>87.98</v>
      </c>
      <c r="AP4063" s="42"/>
      <c r="AQ4063" s="74"/>
      <c r="AR4063" s="77"/>
      <c r="AT4063" s="497">
        <v>69.080000000000013</v>
      </c>
      <c r="AV4063" s="42"/>
      <c r="AW4063" s="74"/>
      <c r="AX4063" s="77"/>
      <c r="BA4063" s="497">
        <v>60.08</v>
      </c>
      <c r="BB4063" s="42"/>
      <c r="BC4063" s="74"/>
      <c r="BD4063" s="77"/>
      <c r="BF4063">
        <v>78.98</v>
      </c>
      <c r="BH4063" s="42"/>
      <c r="BI4063" s="74"/>
      <c r="BJ4063" s="77"/>
      <c r="BL4063" s="497">
        <v>59</v>
      </c>
      <c r="BN4063" s="42"/>
      <c r="BO4063" s="74"/>
      <c r="BP4063" s="77"/>
      <c r="BR4063" s="497">
        <v>78.98</v>
      </c>
      <c r="BT4063" s="42"/>
    </row>
    <row r="4064" spans="1:72" x14ac:dyDescent="0.25">
      <c r="A4064" s="90">
        <v>34503</v>
      </c>
      <c r="B4064" s="20">
        <v>0.58333333333333337</v>
      </c>
      <c r="D4064">
        <v>89.06</v>
      </c>
      <c r="E4064" t="str">
        <f t="shared" si="162"/>
        <v>SATURDAY</v>
      </c>
      <c r="F4064" t="e">
        <f t="shared" si="161"/>
        <v>#N/A</v>
      </c>
      <c r="G4064" s="74">
        <v>33042</v>
      </c>
      <c r="H4064" s="77">
        <v>0.58333333333333337</v>
      </c>
      <c r="J4064">
        <v>80.06</v>
      </c>
      <c r="M4064" s="74">
        <v>37790</v>
      </c>
      <c r="N4064" s="77">
        <v>0.58333333333333337</v>
      </c>
      <c r="P4064">
        <v>61.88</v>
      </c>
      <c r="S4064" s="74">
        <v>34503</v>
      </c>
      <c r="T4064" s="77">
        <v>0.58333333333333337</v>
      </c>
      <c r="V4064">
        <v>78.98</v>
      </c>
      <c r="X4064" s="42"/>
      <c r="AB4064">
        <v>76.2</v>
      </c>
      <c r="AC4064">
        <v>82.94</v>
      </c>
      <c r="AE4064" s="74"/>
      <c r="AF4064" s="77"/>
      <c r="AH4064" s="497">
        <v>62.6</v>
      </c>
      <c r="AJ4064" s="42"/>
      <c r="AK4064" s="74"/>
      <c r="AL4064" s="77"/>
      <c r="AN4064" s="497">
        <v>89.06</v>
      </c>
      <c r="AP4064" s="42"/>
      <c r="AQ4064" s="74"/>
      <c r="AR4064" s="77"/>
      <c r="AT4064" s="497">
        <v>68</v>
      </c>
      <c r="AV4064" s="42"/>
      <c r="AW4064" s="74"/>
      <c r="AX4064" s="77"/>
      <c r="BA4064" s="497">
        <v>60.8</v>
      </c>
      <c r="BB4064" s="42"/>
      <c r="BC4064" s="74"/>
      <c r="BD4064" s="77"/>
      <c r="BF4064">
        <v>78.080000000000013</v>
      </c>
      <c r="BH4064" s="42"/>
      <c r="BI4064" s="74"/>
      <c r="BJ4064" s="77"/>
      <c r="BL4064" s="497">
        <v>60.980000000000004</v>
      </c>
      <c r="BN4064" s="42"/>
      <c r="BO4064" s="74"/>
      <c r="BP4064" s="77"/>
      <c r="BR4064" s="497">
        <v>80.06</v>
      </c>
      <c r="BT4064" s="42"/>
    </row>
    <row r="4065" spans="1:72" x14ac:dyDescent="0.25">
      <c r="A4065" s="90">
        <v>34503</v>
      </c>
      <c r="B4065" s="20">
        <v>0.625</v>
      </c>
      <c r="D4065">
        <v>89.960000000000008</v>
      </c>
      <c r="E4065" t="str">
        <f t="shared" si="162"/>
        <v>SATURDAY</v>
      </c>
      <c r="F4065" t="e">
        <f t="shared" si="161"/>
        <v>#N/A</v>
      </c>
      <c r="G4065" s="74">
        <v>33042</v>
      </c>
      <c r="H4065" s="77">
        <v>0.625</v>
      </c>
      <c r="J4065">
        <v>77</v>
      </c>
      <c r="M4065" s="74">
        <v>37790</v>
      </c>
      <c r="N4065" s="77">
        <v>0.625</v>
      </c>
      <c r="P4065">
        <v>62.42</v>
      </c>
      <c r="S4065" s="74">
        <v>34503</v>
      </c>
      <c r="T4065" s="77">
        <v>0.625</v>
      </c>
      <c r="V4065">
        <v>78.98</v>
      </c>
      <c r="X4065" s="42"/>
      <c r="AB4065">
        <v>76.2</v>
      </c>
      <c r="AC4065">
        <v>84.02</v>
      </c>
      <c r="AE4065" s="74"/>
      <c r="AF4065" s="77"/>
      <c r="AH4065" s="497">
        <v>62.6</v>
      </c>
      <c r="AJ4065" s="42"/>
      <c r="AK4065" s="74"/>
      <c r="AL4065" s="77"/>
      <c r="AN4065" s="497">
        <v>87.98</v>
      </c>
      <c r="AP4065" s="42"/>
      <c r="AQ4065" s="74"/>
      <c r="AR4065" s="77"/>
      <c r="AT4065" s="497">
        <v>69.98</v>
      </c>
      <c r="AV4065" s="42"/>
      <c r="AW4065" s="74"/>
      <c r="AX4065" s="77"/>
      <c r="BA4065" s="497">
        <v>61.34</v>
      </c>
      <c r="BB4065" s="42"/>
      <c r="BC4065" s="74"/>
      <c r="BD4065" s="77"/>
      <c r="BF4065">
        <v>78.98</v>
      </c>
      <c r="BH4065" s="42"/>
      <c r="BI4065" s="74"/>
      <c r="BJ4065" s="77"/>
      <c r="BL4065" s="497">
        <v>62.96</v>
      </c>
      <c r="BN4065" s="42"/>
      <c r="BO4065" s="74"/>
      <c r="BP4065" s="77"/>
      <c r="BR4065" s="497">
        <v>80.960000000000008</v>
      </c>
      <c r="BT4065" s="42"/>
    </row>
    <row r="4066" spans="1:72" x14ac:dyDescent="0.25">
      <c r="A4066" s="90">
        <v>34503</v>
      </c>
      <c r="B4066" s="20">
        <v>0.66666666666666663</v>
      </c>
      <c r="D4066">
        <v>91.039999999999992</v>
      </c>
      <c r="E4066" t="str">
        <f t="shared" si="162"/>
        <v>SATURDAY</v>
      </c>
      <c r="F4066" t="e">
        <f t="shared" si="161"/>
        <v>#N/A</v>
      </c>
      <c r="G4066" s="74">
        <v>33042</v>
      </c>
      <c r="H4066" s="77">
        <v>0.66666666666666663</v>
      </c>
      <c r="J4066">
        <v>75.92</v>
      </c>
      <c r="M4066" s="74">
        <v>37790</v>
      </c>
      <c r="N4066" s="77">
        <v>0.66666666666666663</v>
      </c>
      <c r="P4066">
        <v>62.6</v>
      </c>
      <c r="S4066" s="74">
        <v>34503</v>
      </c>
      <c r="T4066" s="77">
        <v>0.66666666666666663</v>
      </c>
      <c r="V4066">
        <v>78.080000000000013</v>
      </c>
      <c r="X4066" s="42"/>
      <c r="AB4066">
        <v>75.8</v>
      </c>
      <c r="AC4066">
        <v>82.039999999999992</v>
      </c>
      <c r="AE4066" s="74"/>
      <c r="AF4066" s="77"/>
      <c r="AH4066" s="497">
        <v>62.6</v>
      </c>
      <c r="AJ4066" s="42"/>
      <c r="AK4066" s="74"/>
      <c r="AL4066" s="77"/>
      <c r="AN4066" s="497">
        <v>87.98</v>
      </c>
      <c r="AP4066" s="42"/>
      <c r="AQ4066" s="74"/>
      <c r="AR4066" s="77"/>
      <c r="AT4066" s="497">
        <v>69.98</v>
      </c>
      <c r="AV4066" s="42"/>
      <c r="AW4066" s="74"/>
      <c r="AX4066" s="77"/>
      <c r="BA4066" s="497">
        <v>62.06</v>
      </c>
      <c r="BB4066" s="42"/>
      <c r="BC4066" s="74"/>
      <c r="BD4066" s="77"/>
      <c r="BF4066">
        <v>73.039999999999992</v>
      </c>
      <c r="BH4066" s="42"/>
      <c r="BI4066" s="74"/>
      <c r="BJ4066" s="77"/>
      <c r="BL4066" s="497">
        <v>64.039999999999992</v>
      </c>
      <c r="BN4066" s="42"/>
      <c r="BO4066" s="74"/>
      <c r="BP4066" s="77"/>
      <c r="BR4066" s="497">
        <v>78.98</v>
      </c>
      <c r="BT4066" s="42"/>
    </row>
    <row r="4067" spans="1:72" x14ac:dyDescent="0.25">
      <c r="A4067" s="90">
        <v>34503</v>
      </c>
      <c r="B4067" s="20">
        <v>0.70833333333333337</v>
      </c>
      <c r="D4067">
        <v>84.92</v>
      </c>
      <c r="E4067" t="str">
        <f t="shared" si="162"/>
        <v>SATURDAY</v>
      </c>
      <c r="F4067" t="e">
        <f t="shared" si="161"/>
        <v>#N/A</v>
      </c>
      <c r="G4067" s="74">
        <v>33042</v>
      </c>
      <c r="H4067" s="77">
        <v>0.70833333333333337</v>
      </c>
      <c r="J4067">
        <v>73.039999999999992</v>
      </c>
      <c r="M4067" s="74">
        <v>37790</v>
      </c>
      <c r="N4067" s="77">
        <v>0.70833333333333337</v>
      </c>
      <c r="P4067">
        <v>64.400000000000006</v>
      </c>
      <c r="S4067" s="74">
        <v>34503</v>
      </c>
      <c r="T4067" s="77">
        <v>0.70833333333333337</v>
      </c>
      <c r="V4067">
        <v>77</v>
      </c>
      <c r="X4067" s="42"/>
      <c r="AB4067">
        <v>74.8</v>
      </c>
      <c r="AC4067">
        <v>78.98</v>
      </c>
      <c r="AE4067" s="74"/>
      <c r="AF4067" s="77"/>
      <c r="AH4067" s="497">
        <v>62.6</v>
      </c>
      <c r="AJ4067" s="42"/>
      <c r="AK4067" s="74"/>
      <c r="AL4067" s="77"/>
      <c r="AN4067" s="497">
        <v>87.98</v>
      </c>
      <c r="AP4067" s="42"/>
      <c r="AQ4067" s="74"/>
      <c r="AR4067" s="77"/>
      <c r="AT4067" s="497">
        <v>69.98</v>
      </c>
      <c r="AV4067" s="42"/>
      <c r="AW4067" s="74"/>
      <c r="AX4067" s="77"/>
      <c r="BA4067" s="497">
        <v>62.06</v>
      </c>
      <c r="BB4067" s="42"/>
      <c r="BC4067" s="74"/>
      <c r="BD4067" s="77"/>
      <c r="BF4067">
        <v>73.94</v>
      </c>
      <c r="BH4067" s="42"/>
      <c r="BI4067" s="74"/>
      <c r="BJ4067" s="77"/>
      <c r="BL4067" s="497">
        <v>66.02</v>
      </c>
      <c r="BN4067" s="42"/>
      <c r="BO4067" s="74"/>
      <c r="BP4067" s="77"/>
      <c r="BR4067" s="497">
        <v>77</v>
      </c>
      <c r="BT4067" s="42"/>
    </row>
    <row r="4068" spans="1:72" x14ac:dyDescent="0.25">
      <c r="A4068" s="90">
        <v>34503</v>
      </c>
      <c r="B4068" s="20">
        <v>0.75</v>
      </c>
      <c r="D4068">
        <v>82.039999999999992</v>
      </c>
      <c r="E4068" t="str">
        <f t="shared" si="162"/>
        <v>SATURDAY</v>
      </c>
      <c r="F4068" t="e">
        <f t="shared" si="161"/>
        <v>#N/A</v>
      </c>
      <c r="G4068" s="74">
        <v>33042</v>
      </c>
      <c r="H4068" s="77">
        <v>0.75</v>
      </c>
      <c r="J4068">
        <v>69.98</v>
      </c>
      <c r="M4068" s="74">
        <v>37790</v>
      </c>
      <c r="N4068" s="77">
        <v>0.75</v>
      </c>
      <c r="P4068">
        <v>64.400000000000006</v>
      </c>
      <c r="S4068" s="74">
        <v>34503</v>
      </c>
      <c r="T4068" s="77">
        <v>0.75</v>
      </c>
      <c r="V4068">
        <v>73.94</v>
      </c>
      <c r="X4068" s="42"/>
      <c r="AB4068">
        <v>73.8</v>
      </c>
      <c r="AC4068">
        <v>75.92</v>
      </c>
      <c r="AE4068" s="74"/>
      <c r="AF4068" s="77"/>
      <c r="AH4068" s="497">
        <v>62.6</v>
      </c>
      <c r="AJ4068" s="42"/>
      <c r="AK4068" s="74"/>
      <c r="AL4068" s="77"/>
      <c r="AN4068" s="497">
        <v>86</v>
      </c>
      <c r="AP4068" s="42"/>
      <c r="AQ4068" s="74"/>
      <c r="AR4068" s="77"/>
      <c r="AT4068" s="497">
        <v>69.080000000000013</v>
      </c>
      <c r="AV4068" s="42"/>
      <c r="AW4068" s="74"/>
      <c r="AX4068" s="77"/>
      <c r="BA4068" s="497">
        <v>62.06</v>
      </c>
      <c r="BB4068" s="42"/>
      <c r="BC4068" s="74"/>
      <c r="BD4068" s="77"/>
      <c r="BF4068">
        <v>73.039999999999992</v>
      </c>
      <c r="BH4068" s="42"/>
      <c r="BI4068" s="74"/>
      <c r="BJ4068" s="77"/>
      <c r="BL4068" s="497">
        <v>68</v>
      </c>
      <c r="BN4068" s="42"/>
      <c r="BO4068" s="74"/>
      <c r="BP4068" s="77"/>
      <c r="BR4068" s="497">
        <v>75.92</v>
      </c>
      <c r="BT4068" s="42"/>
    </row>
    <row r="4069" spans="1:72" x14ac:dyDescent="0.25">
      <c r="A4069" s="90">
        <v>34503</v>
      </c>
      <c r="B4069" s="20">
        <v>0.79166666666666663</v>
      </c>
      <c r="D4069">
        <v>80.960000000000008</v>
      </c>
      <c r="E4069" t="str">
        <f t="shared" si="162"/>
        <v>SATURDAY</v>
      </c>
      <c r="F4069" t="e">
        <f t="shared" si="161"/>
        <v>#N/A</v>
      </c>
      <c r="G4069" s="74">
        <v>33042</v>
      </c>
      <c r="H4069" s="77">
        <v>0.79166666666666663</v>
      </c>
      <c r="J4069">
        <v>71.06</v>
      </c>
      <c r="M4069" s="74">
        <v>37790</v>
      </c>
      <c r="N4069" s="77">
        <v>0.79166666666666663</v>
      </c>
      <c r="P4069">
        <v>64.400000000000006</v>
      </c>
      <c r="S4069" s="74">
        <v>34503</v>
      </c>
      <c r="T4069" s="77">
        <v>0.79166666666666663</v>
      </c>
      <c r="V4069">
        <v>73.039999999999992</v>
      </c>
      <c r="X4069" s="42"/>
      <c r="AB4069">
        <v>72.5</v>
      </c>
      <c r="AC4069">
        <v>73.94</v>
      </c>
      <c r="AE4069" s="74"/>
      <c r="AF4069" s="77"/>
      <c r="AH4069" s="497">
        <v>62.6</v>
      </c>
      <c r="AJ4069" s="42"/>
      <c r="AK4069" s="74"/>
      <c r="AL4069" s="77"/>
      <c r="AN4069" s="497">
        <v>84.02</v>
      </c>
      <c r="AP4069" s="42"/>
      <c r="AQ4069" s="74"/>
      <c r="AR4069" s="77"/>
      <c r="AT4069" s="497">
        <v>66.92</v>
      </c>
      <c r="AV4069" s="42"/>
      <c r="AW4069" s="74"/>
      <c r="AX4069" s="77"/>
      <c r="BA4069" s="497">
        <v>62.06</v>
      </c>
      <c r="BB4069" s="42"/>
      <c r="BC4069" s="74"/>
      <c r="BD4069" s="77"/>
      <c r="BF4069">
        <v>69.98</v>
      </c>
      <c r="BH4069" s="42"/>
      <c r="BI4069" s="74"/>
      <c r="BJ4069" s="77"/>
      <c r="BL4069" s="497">
        <v>66.02</v>
      </c>
      <c r="BN4069" s="42"/>
      <c r="BO4069" s="74"/>
      <c r="BP4069" s="77"/>
      <c r="BR4069" s="497">
        <v>73.94</v>
      </c>
      <c r="BT4069" s="42"/>
    </row>
    <row r="4070" spans="1:72" x14ac:dyDescent="0.25">
      <c r="A4070" s="90">
        <v>34503</v>
      </c>
      <c r="B4070" s="20">
        <v>0.83333333333333337</v>
      </c>
      <c r="D4070">
        <v>82.039999999999992</v>
      </c>
      <c r="E4070" t="str">
        <f t="shared" si="162"/>
        <v>SATURDAY</v>
      </c>
      <c r="F4070" t="e">
        <f t="shared" si="161"/>
        <v>#N/A</v>
      </c>
      <c r="G4070" s="74">
        <v>33042</v>
      </c>
      <c r="H4070" s="77">
        <v>0.83333333333333337</v>
      </c>
      <c r="J4070">
        <v>71.06</v>
      </c>
      <c r="M4070" s="74">
        <v>37790</v>
      </c>
      <c r="N4070" s="77">
        <v>0.83333333333333337</v>
      </c>
      <c r="P4070">
        <v>64.400000000000006</v>
      </c>
      <c r="S4070" s="74">
        <v>34503</v>
      </c>
      <c r="T4070" s="77">
        <v>0.83333333333333337</v>
      </c>
      <c r="V4070">
        <v>71.960000000000008</v>
      </c>
      <c r="X4070" s="42"/>
      <c r="AB4070">
        <v>71.099999999999994</v>
      </c>
      <c r="AC4070">
        <v>73.039999999999992</v>
      </c>
      <c r="AE4070" s="74"/>
      <c r="AF4070" s="77"/>
      <c r="AH4070" s="497">
        <v>62.6</v>
      </c>
      <c r="AJ4070" s="42"/>
      <c r="AK4070" s="74"/>
      <c r="AL4070" s="77"/>
      <c r="AN4070" s="497">
        <v>80.960000000000008</v>
      </c>
      <c r="AP4070" s="42"/>
      <c r="AQ4070" s="74"/>
      <c r="AR4070" s="77"/>
      <c r="AT4070" s="497">
        <v>64.039999999999992</v>
      </c>
      <c r="AV4070" s="42"/>
      <c r="AW4070" s="74"/>
      <c r="AX4070" s="77"/>
      <c r="BA4070" s="497">
        <v>58.64</v>
      </c>
      <c r="BB4070" s="42"/>
      <c r="BC4070" s="74"/>
      <c r="BD4070" s="77"/>
      <c r="BF4070">
        <v>69.98</v>
      </c>
      <c r="BH4070" s="42"/>
      <c r="BI4070" s="74"/>
      <c r="BJ4070" s="77"/>
      <c r="BL4070" s="497">
        <v>62.06</v>
      </c>
      <c r="BN4070" s="42"/>
      <c r="BO4070" s="74"/>
      <c r="BP4070" s="77"/>
      <c r="BR4070" s="497">
        <v>69.98</v>
      </c>
      <c r="BT4070" s="42"/>
    </row>
    <row r="4071" spans="1:72" x14ac:dyDescent="0.25">
      <c r="A4071" s="90">
        <v>34503</v>
      </c>
      <c r="B4071" s="20">
        <v>0.875</v>
      </c>
      <c r="D4071">
        <v>73.94</v>
      </c>
      <c r="E4071" t="str">
        <f t="shared" si="162"/>
        <v>SATURDAY</v>
      </c>
      <c r="F4071" t="e">
        <f t="shared" si="161"/>
        <v>#N/A</v>
      </c>
      <c r="G4071" s="74">
        <v>33042</v>
      </c>
      <c r="H4071" s="77">
        <v>0.875</v>
      </c>
      <c r="J4071">
        <v>69.98</v>
      </c>
      <c r="M4071" s="74">
        <v>37790</v>
      </c>
      <c r="N4071" s="77">
        <v>0.875</v>
      </c>
      <c r="P4071">
        <v>62.6</v>
      </c>
      <c r="S4071" s="74">
        <v>34503</v>
      </c>
      <c r="T4071" s="77">
        <v>0.875</v>
      </c>
      <c r="V4071">
        <v>71.960000000000008</v>
      </c>
      <c r="X4071" s="42"/>
      <c r="AB4071">
        <v>69.900000000000006</v>
      </c>
      <c r="AC4071">
        <v>71.960000000000008</v>
      </c>
      <c r="AE4071" s="74"/>
      <c r="AF4071" s="77"/>
      <c r="AH4071" s="497">
        <v>60.8</v>
      </c>
      <c r="AJ4071" s="42"/>
      <c r="AK4071" s="74"/>
      <c r="AL4071" s="77"/>
      <c r="AN4071" s="497">
        <v>80.06</v>
      </c>
      <c r="AP4071" s="42"/>
      <c r="AQ4071" s="74"/>
      <c r="AR4071" s="77"/>
      <c r="AT4071" s="497">
        <v>62.06</v>
      </c>
      <c r="AV4071" s="42"/>
      <c r="AW4071" s="74"/>
      <c r="AX4071" s="77"/>
      <c r="BA4071" s="497">
        <v>55.400000000000006</v>
      </c>
      <c r="BB4071" s="42"/>
      <c r="BC4071" s="74"/>
      <c r="BD4071" s="77"/>
      <c r="BF4071">
        <v>68</v>
      </c>
      <c r="BH4071" s="42"/>
      <c r="BI4071" s="74"/>
      <c r="BJ4071" s="77"/>
      <c r="BL4071" s="497">
        <v>59</v>
      </c>
      <c r="BN4071" s="42"/>
      <c r="BO4071" s="74"/>
      <c r="BP4071" s="77"/>
      <c r="BR4071" s="497">
        <v>64.94</v>
      </c>
      <c r="BT4071" s="42"/>
    </row>
    <row r="4072" spans="1:72" x14ac:dyDescent="0.25">
      <c r="A4072" s="90">
        <v>34503</v>
      </c>
      <c r="B4072" s="20">
        <v>0.91666666666666663</v>
      </c>
      <c r="D4072">
        <v>75.92</v>
      </c>
      <c r="E4072" t="str">
        <f t="shared" si="162"/>
        <v>SATURDAY</v>
      </c>
      <c r="F4072" t="e">
        <f t="shared" si="161"/>
        <v>#N/A</v>
      </c>
      <c r="G4072" s="74">
        <v>33042</v>
      </c>
      <c r="H4072" s="77">
        <v>0.91666666666666663</v>
      </c>
      <c r="J4072">
        <v>69.98</v>
      </c>
      <c r="M4072" s="74">
        <v>37790</v>
      </c>
      <c r="N4072" s="77">
        <v>0.91666666666666663</v>
      </c>
      <c r="P4072">
        <v>62.6</v>
      </c>
      <c r="S4072" s="74">
        <v>34503</v>
      </c>
      <c r="T4072" s="77">
        <v>0.91666666666666663</v>
      </c>
      <c r="V4072">
        <v>73.039999999999992</v>
      </c>
      <c r="X4072" s="42"/>
      <c r="AB4072">
        <v>69.3</v>
      </c>
      <c r="AC4072">
        <v>71.960000000000008</v>
      </c>
      <c r="AE4072" s="74"/>
      <c r="AF4072" s="77"/>
      <c r="AH4072" s="497">
        <v>60.8</v>
      </c>
      <c r="AJ4072" s="42"/>
      <c r="AK4072" s="74"/>
      <c r="AL4072" s="77"/>
      <c r="AN4072" s="497">
        <v>80.06</v>
      </c>
      <c r="AP4072" s="42"/>
      <c r="AQ4072" s="74"/>
      <c r="AR4072" s="77"/>
      <c r="AT4072" s="497">
        <v>59</v>
      </c>
      <c r="AV4072" s="42"/>
      <c r="AW4072" s="74"/>
      <c r="AX4072" s="77"/>
      <c r="BA4072" s="497">
        <v>51.980000000000004</v>
      </c>
      <c r="BB4072" s="42"/>
      <c r="BC4072" s="74"/>
      <c r="BD4072" s="77"/>
      <c r="BF4072">
        <v>66.92</v>
      </c>
      <c r="BH4072" s="42"/>
      <c r="BI4072" s="74"/>
      <c r="BJ4072" s="77"/>
      <c r="BL4072" s="497">
        <v>57.019999999999996</v>
      </c>
      <c r="BN4072" s="42"/>
      <c r="BO4072" s="74"/>
      <c r="BP4072" s="77"/>
      <c r="BR4072" s="497">
        <v>62.96</v>
      </c>
      <c r="BT4072" s="42"/>
    </row>
    <row r="4073" spans="1:72" x14ac:dyDescent="0.25">
      <c r="A4073" s="90">
        <v>34503</v>
      </c>
      <c r="B4073" s="20">
        <v>0.95833333333333337</v>
      </c>
      <c r="D4073">
        <v>75.02</v>
      </c>
      <c r="E4073" t="str">
        <f t="shared" si="162"/>
        <v>SATURDAY</v>
      </c>
      <c r="F4073" t="e">
        <f t="shared" si="161"/>
        <v>#N/A</v>
      </c>
      <c r="G4073" s="74">
        <v>33042</v>
      </c>
      <c r="H4073" s="77">
        <v>0.95833333333333337</v>
      </c>
      <c r="J4073">
        <v>69.98</v>
      </c>
      <c r="M4073" s="74">
        <v>37790</v>
      </c>
      <c r="N4073" s="77">
        <v>0.95833333333333337</v>
      </c>
      <c r="P4073">
        <v>62.6</v>
      </c>
      <c r="S4073" s="74">
        <v>34503</v>
      </c>
      <c r="T4073" s="77">
        <v>0.95833333333333337</v>
      </c>
      <c r="V4073">
        <v>73.039999999999992</v>
      </c>
      <c r="X4073" s="42"/>
      <c r="AB4073">
        <v>68.7</v>
      </c>
      <c r="AC4073">
        <v>71.960000000000008</v>
      </c>
      <c r="AE4073" s="74"/>
      <c r="AF4073" s="77"/>
      <c r="AH4073" s="497">
        <v>60.8</v>
      </c>
      <c r="AJ4073" s="42"/>
      <c r="AK4073" s="74"/>
      <c r="AL4073" s="77"/>
      <c r="AN4073" s="497">
        <v>75.92</v>
      </c>
      <c r="AP4073" s="42"/>
      <c r="AQ4073" s="74"/>
      <c r="AR4073" s="77"/>
      <c r="AT4073" s="497">
        <v>57.019999999999996</v>
      </c>
      <c r="AV4073" s="42"/>
      <c r="AW4073" s="74"/>
      <c r="AX4073" s="77"/>
      <c r="BA4073" s="497">
        <v>50.900000000000006</v>
      </c>
      <c r="BB4073" s="42"/>
      <c r="BC4073" s="74"/>
      <c r="BD4073" s="77"/>
      <c r="BF4073">
        <v>66.02</v>
      </c>
      <c r="BH4073" s="42"/>
      <c r="BI4073" s="74"/>
      <c r="BJ4073" s="77"/>
      <c r="BL4073" s="497">
        <v>53.06</v>
      </c>
      <c r="BN4073" s="42"/>
      <c r="BO4073" s="74"/>
      <c r="BP4073" s="77"/>
      <c r="BR4073" s="497">
        <v>60.08</v>
      </c>
      <c r="BT4073" s="42"/>
    </row>
    <row r="4074" spans="1:72" x14ac:dyDescent="0.25">
      <c r="A4074" s="90">
        <v>34503</v>
      </c>
      <c r="B4074" s="20">
        <v>1</v>
      </c>
      <c r="D4074">
        <v>73.039999999999992</v>
      </c>
      <c r="E4074" t="str">
        <f t="shared" si="162"/>
        <v>SATURDAY</v>
      </c>
      <c r="F4074" t="e">
        <f t="shared" si="161"/>
        <v>#N/A</v>
      </c>
      <c r="G4074" s="74">
        <v>33042</v>
      </c>
      <c r="H4074" s="77">
        <v>1</v>
      </c>
      <c r="J4074">
        <v>69.98</v>
      </c>
      <c r="M4074" s="74">
        <v>37790</v>
      </c>
      <c r="N4074" s="80">
        <v>1</v>
      </c>
      <c r="P4074">
        <v>62.24</v>
      </c>
      <c r="S4074" s="74">
        <v>34503</v>
      </c>
      <c r="T4074" s="80">
        <v>1</v>
      </c>
      <c r="V4074">
        <v>75.92</v>
      </c>
      <c r="X4074" s="42"/>
      <c r="AB4074">
        <v>68.2</v>
      </c>
      <c r="AC4074">
        <v>73.039999999999992</v>
      </c>
      <c r="AE4074" s="74"/>
      <c r="AF4074" s="80"/>
      <c r="AH4074" s="497">
        <v>60.8</v>
      </c>
      <c r="AJ4074" s="42"/>
      <c r="AK4074" s="74"/>
      <c r="AL4074" s="80"/>
      <c r="AN4074" s="497">
        <v>73.94</v>
      </c>
      <c r="AP4074" s="42"/>
      <c r="AQ4074" s="74"/>
      <c r="AR4074" s="80"/>
      <c r="AT4074" s="497">
        <v>57.019999999999996</v>
      </c>
      <c r="AV4074" s="42"/>
      <c r="AW4074" s="74"/>
      <c r="AX4074" s="80"/>
      <c r="BA4074" s="497">
        <v>50</v>
      </c>
      <c r="BB4074" s="42"/>
      <c r="BC4074" s="74"/>
      <c r="BD4074" s="80"/>
      <c r="BF4074">
        <v>64.94</v>
      </c>
      <c r="BH4074" s="42"/>
      <c r="BI4074" s="74"/>
      <c r="BJ4074" s="80"/>
      <c r="BL4074" s="497">
        <v>53.96</v>
      </c>
      <c r="BN4074" s="42"/>
      <c r="BO4074" s="74"/>
      <c r="BP4074" s="80"/>
      <c r="BR4074" s="497">
        <v>60.08</v>
      </c>
      <c r="BT4074" s="42"/>
    </row>
    <row r="4075" spans="1:72" x14ac:dyDescent="0.25">
      <c r="A4075" s="90">
        <v>34504</v>
      </c>
      <c r="B4075" s="20">
        <v>4.1666666666666664E-2</v>
      </c>
      <c r="D4075">
        <v>73.039999999999992</v>
      </c>
      <c r="E4075" t="str">
        <f t="shared" si="162"/>
        <v>SUNDAY</v>
      </c>
      <c r="F4075" t="e">
        <f t="shared" ref="F4075:F4138" si="163">IF(E4075="WEEKDAY",VLOOKUP(B4075,$DD$19:$DG$42,2),IF(E4075="SATURDAY",VLOOKUP(B4075,$DD$19:$DG$42,3),VLOOKUP(B4075,$DD$19:$DG$42,4)))</f>
        <v>#N/A</v>
      </c>
      <c r="G4075" s="74">
        <v>33043</v>
      </c>
      <c r="H4075" s="77">
        <v>4.1666666666666664E-2</v>
      </c>
      <c r="J4075">
        <v>69.98</v>
      </c>
      <c r="M4075" s="74">
        <v>37791</v>
      </c>
      <c r="N4075" s="77">
        <v>4.1666666666666664E-2</v>
      </c>
      <c r="P4075">
        <v>62.42</v>
      </c>
      <c r="S4075" s="74">
        <v>34504</v>
      </c>
      <c r="T4075" s="77">
        <v>4.1666666666666664E-2</v>
      </c>
      <c r="V4075">
        <v>75.02</v>
      </c>
      <c r="X4075" s="42"/>
      <c r="AB4075">
        <v>67.599999999999994</v>
      </c>
      <c r="AC4075">
        <v>73.039999999999992</v>
      </c>
      <c r="AE4075" s="74"/>
      <c r="AF4075" s="77"/>
      <c r="AH4075" s="497">
        <v>60.8</v>
      </c>
      <c r="AJ4075" s="42"/>
      <c r="AK4075" s="74"/>
      <c r="AL4075" s="77"/>
      <c r="AN4075" s="497">
        <v>75.02</v>
      </c>
      <c r="AP4075" s="42"/>
      <c r="AQ4075" s="74"/>
      <c r="AR4075" s="77"/>
      <c r="AT4075" s="497">
        <v>55.94</v>
      </c>
      <c r="AV4075" s="42"/>
      <c r="AW4075" s="74"/>
      <c r="AX4075" s="77"/>
      <c r="BA4075" s="497">
        <v>48.92</v>
      </c>
      <c r="BB4075" s="42"/>
      <c r="BC4075" s="74"/>
      <c r="BD4075" s="77"/>
      <c r="BF4075">
        <v>64.039999999999992</v>
      </c>
      <c r="BH4075" s="42"/>
      <c r="BI4075" s="74"/>
      <c r="BJ4075" s="77"/>
      <c r="BL4075" s="497">
        <v>51.08</v>
      </c>
      <c r="BN4075" s="42"/>
      <c r="BO4075" s="74"/>
      <c r="BP4075" s="77"/>
      <c r="BR4075" s="497">
        <v>57.019999999999996</v>
      </c>
      <c r="BT4075" s="42"/>
    </row>
    <row r="4076" spans="1:72" x14ac:dyDescent="0.25">
      <c r="A4076" s="90">
        <v>34504</v>
      </c>
      <c r="B4076" s="20">
        <v>8.3333333333333329E-2</v>
      </c>
      <c r="D4076">
        <v>73.039999999999992</v>
      </c>
      <c r="E4076" t="str">
        <f t="shared" si="162"/>
        <v>SUNDAY</v>
      </c>
      <c r="F4076" t="e">
        <f t="shared" si="163"/>
        <v>#N/A</v>
      </c>
      <c r="G4076" s="74">
        <v>33043</v>
      </c>
      <c r="H4076" s="77">
        <v>8.3333333333333329E-2</v>
      </c>
      <c r="J4076">
        <v>69.080000000000013</v>
      </c>
      <c r="M4076" s="74">
        <v>37791</v>
      </c>
      <c r="N4076" s="77">
        <v>8.3333333333333329E-2</v>
      </c>
      <c r="P4076">
        <v>62.42</v>
      </c>
      <c r="S4076" s="74">
        <v>34504</v>
      </c>
      <c r="T4076" s="77">
        <v>8.3333333333333329E-2</v>
      </c>
      <c r="V4076">
        <v>73.94</v>
      </c>
      <c r="X4076" s="42"/>
      <c r="AB4076">
        <v>67.2</v>
      </c>
      <c r="AC4076">
        <v>73.039999999999992</v>
      </c>
      <c r="AE4076" s="74"/>
      <c r="AF4076" s="77"/>
      <c r="AH4076" s="497">
        <v>59</v>
      </c>
      <c r="AJ4076" s="42"/>
      <c r="AK4076" s="74"/>
      <c r="AL4076" s="77"/>
      <c r="AN4076" s="497">
        <v>71.960000000000008</v>
      </c>
      <c r="AP4076" s="42"/>
      <c r="AQ4076" s="74"/>
      <c r="AR4076" s="77"/>
      <c r="AT4076" s="497">
        <v>55.94</v>
      </c>
      <c r="AV4076" s="42"/>
      <c r="AW4076" s="74"/>
      <c r="AX4076" s="77"/>
      <c r="BA4076" s="497">
        <v>48.56</v>
      </c>
      <c r="BB4076" s="42"/>
      <c r="BC4076" s="74"/>
      <c r="BD4076" s="77"/>
      <c r="BF4076">
        <v>62.96</v>
      </c>
      <c r="BH4076" s="42"/>
      <c r="BI4076" s="74"/>
      <c r="BJ4076" s="77"/>
      <c r="BL4076" s="497">
        <v>51.980000000000004</v>
      </c>
      <c r="BN4076" s="42"/>
      <c r="BO4076" s="74"/>
      <c r="BP4076" s="77"/>
      <c r="BR4076" s="497">
        <v>60.980000000000004</v>
      </c>
      <c r="BT4076" s="42"/>
    </row>
    <row r="4077" spans="1:72" x14ac:dyDescent="0.25">
      <c r="A4077" s="90">
        <v>34504</v>
      </c>
      <c r="B4077" s="20">
        <v>0.125</v>
      </c>
      <c r="D4077">
        <v>71.960000000000008</v>
      </c>
      <c r="E4077" t="str">
        <f t="shared" si="162"/>
        <v>SUNDAY</v>
      </c>
      <c r="F4077" t="e">
        <f t="shared" si="163"/>
        <v>#N/A</v>
      </c>
      <c r="G4077" s="74">
        <v>33043</v>
      </c>
      <c r="H4077" s="77">
        <v>0.125</v>
      </c>
      <c r="J4077">
        <v>69.080000000000013</v>
      </c>
      <c r="M4077" s="74">
        <v>37791</v>
      </c>
      <c r="N4077" s="77">
        <v>0.125</v>
      </c>
      <c r="P4077">
        <v>62.6</v>
      </c>
      <c r="S4077" s="74">
        <v>34504</v>
      </c>
      <c r="T4077" s="77">
        <v>0.125</v>
      </c>
      <c r="V4077">
        <v>75.02</v>
      </c>
      <c r="X4077" s="42"/>
      <c r="AB4077">
        <v>66.7</v>
      </c>
      <c r="AC4077">
        <v>73.94</v>
      </c>
      <c r="AE4077" s="74"/>
      <c r="AF4077" s="77"/>
      <c r="AH4077" s="497">
        <v>59</v>
      </c>
      <c r="AJ4077" s="42"/>
      <c r="AK4077" s="74"/>
      <c r="AL4077" s="77"/>
      <c r="AN4077" s="497">
        <v>71.960000000000008</v>
      </c>
      <c r="AP4077" s="42"/>
      <c r="AQ4077" s="74"/>
      <c r="AR4077" s="77"/>
      <c r="AT4077" s="497">
        <v>55.94</v>
      </c>
      <c r="AV4077" s="42"/>
      <c r="AW4077" s="74"/>
      <c r="AX4077" s="77"/>
      <c r="BA4077" s="497">
        <v>48.379999999999995</v>
      </c>
      <c r="BB4077" s="42"/>
      <c r="BC4077" s="74"/>
      <c r="BD4077" s="77"/>
      <c r="BF4077">
        <v>62.96</v>
      </c>
      <c r="BH4077" s="42"/>
      <c r="BI4077" s="74"/>
      <c r="BJ4077" s="77"/>
      <c r="BL4077" s="497">
        <v>51.08</v>
      </c>
      <c r="BN4077" s="42"/>
      <c r="BO4077" s="74"/>
      <c r="BP4077" s="77"/>
      <c r="BR4077" s="497">
        <v>60.08</v>
      </c>
      <c r="BT4077" s="42"/>
    </row>
    <row r="4078" spans="1:72" x14ac:dyDescent="0.25">
      <c r="A4078" s="90">
        <v>34504</v>
      </c>
      <c r="B4078" s="20">
        <v>0.16666666666666666</v>
      </c>
      <c r="D4078">
        <v>71.960000000000008</v>
      </c>
      <c r="E4078" t="str">
        <f t="shared" si="162"/>
        <v>SUNDAY</v>
      </c>
      <c r="F4078" t="e">
        <f t="shared" si="163"/>
        <v>#N/A</v>
      </c>
      <c r="G4078" s="74">
        <v>33043</v>
      </c>
      <c r="H4078" s="77">
        <v>0.16666666666666666</v>
      </c>
      <c r="J4078">
        <v>69.98</v>
      </c>
      <c r="M4078" s="74">
        <v>37791</v>
      </c>
      <c r="N4078" s="77">
        <v>0.16666666666666666</v>
      </c>
      <c r="P4078">
        <v>62.6</v>
      </c>
      <c r="S4078" s="74">
        <v>34504</v>
      </c>
      <c r="T4078" s="77">
        <v>0.16666666666666666</v>
      </c>
      <c r="V4078">
        <v>73.94</v>
      </c>
      <c r="X4078" s="42"/>
      <c r="AB4078">
        <v>66.3</v>
      </c>
      <c r="AC4078">
        <v>73.039999999999992</v>
      </c>
      <c r="AE4078" s="74"/>
      <c r="AF4078" s="77"/>
      <c r="AH4078" s="497">
        <v>59</v>
      </c>
      <c r="AJ4078" s="42"/>
      <c r="AK4078" s="74"/>
      <c r="AL4078" s="77"/>
      <c r="AN4078" s="497">
        <v>69.98</v>
      </c>
      <c r="AP4078" s="42"/>
      <c r="AQ4078" s="74"/>
      <c r="AR4078" s="77"/>
      <c r="AT4078" s="497">
        <v>55.94</v>
      </c>
      <c r="AV4078" s="42"/>
      <c r="AW4078" s="74"/>
      <c r="AX4078" s="77"/>
      <c r="BA4078" s="497">
        <v>48.019999999999996</v>
      </c>
      <c r="BB4078" s="42"/>
      <c r="BC4078" s="74"/>
      <c r="BD4078" s="77"/>
      <c r="BF4078">
        <v>62.06</v>
      </c>
      <c r="BH4078" s="42"/>
      <c r="BI4078" s="74"/>
      <c r="BJ4078" s="77"/>
      <c r="BL4078" s="497">
        <v>50</v>
      </c>
      <c r="BN4078" s="42"/>
      <c r="BO4078" s="74"/>
      <c r="BP4078" s="77"/>
      <c r="BR4078" s="497">
        <v>60.980000000000004</v>
      </c>
      <c r="BT4078" s="42"/>
    </row>
    <row r="4079" spans="1:72" x14ac:dyDescent="0.25">
      <c r="A4079" s="90">
        <v>34504</v>
      </c>
      <c r="B4079" s="20">
        <v>0.20833333333333334</v>
      </c>
      <c r="D4079">
        <v>69.98</v>
      </c>
      <c r="E4079" t="str">
        <f t="shared" si="162"/>
        <v>SUNDAY</v>
      </c>
      <c r="F4079" t="e">
        <f t="shared" si="163"/>
        <v>#N/A</v>
      </c>
      <c r="G4079" s="74">
        <v>33043</v>
      </c>
      <c r="H4079" s="77">
        <v>0.20833333333333334</v>
      </c>
      <c r="J4079">
        <v>69.080000000000013</v>
      </c>
      <c r="M4079" s="74">
        <v>37791</v>
      </c>
      <c r="N4079" s="77">
        <v>0.20833333333333334</v>
      </c>
      <c r="P4079">
        <v>62.6</v>
      </c>
      <c r="S4079" s="74">
        <v>34504</v>
      </c>
      <c r="T4079" s="77">
        <v>0.20833333333333334</v>
      </c>
      <c r="V4079">
        <v>75.02</v>
      </c>
      <c r="X4079" s="42"/>
      <c r="AB4079">
        <v>65.900000000000006</v>
      </c>
      <c r="AC4079">
        <v>71.960000000000008</v>
      </c>
      <c r="AE4079" s="74"/>
      <c r="AF4079" s="77"/>
      <c r="AH4079" s="497">
        <v>59</v>
      </c>
      <c r="AJ4079" s="42"/>
      <c r="AK4079" s="74"/>
      <c r="AL4079" s="77"/>
      <c r="AN4079" s="497">
        <v>69.98</v>
      </c>
      <c r="AP4079" s="42"/>
      <c r="AQ4079" s="74"/>
      <c r="AR4079" s="77"/>
      <c r="AT4079" s="497">
        <v>50</v>
      </c>
      <c r="AV4079" s="42"/>
      <c r="AW4079" s="74"/>
      <c r="AX4079" s="77"/>
      <c r="BA4079" s="497">
        <v>51.620000000000005</v>
      </c>
      <c r="BB4079" s="42"/>
      <c r="BC4079" s="74"/>
      <c r="BD4079" s="77"/>
      <c r="BF4079">
        <v>62.06</v>
      </c>
      <c r="BH4079" s="42"/>
      <c r="BI4079" s="74"/>
      <c r="BJ4079" s="77"/>
      <c r="BL4079" s="497">
        <v>48.92</v>
      </c>
      <c r="BN4079" s="42"/>
      <c r="BO4079" s="74"/>
      <c r="BP4079" s="77"/>
      <c r="BR4079" s="497">
        <v>62.96</v>
      </c>
      <c r="BT4079" s="42"/>
    </row>
    <row r="4080" spans="1:72" x14ac:dyDescent="0.25">
      <c r="A4080" s="90">
        <v>34504</v>
      </c>
      <c r="B4080" s="20">
        <v>0.25</v>
      </c>
      <c r="D4080">
        <v>69.98</v>
      </c>
      <c r="E4080" t="str">
        <f t="shared" si="162"/>
        <v>SUNDAY</v>
      </c>
      <c r="F4080" t="e">
        <f t="shared" si="163"/>
        <v>#N/A</v>
      </c>
      <c r="G4080" s="74">
        <v>33043</v>
      </c>
      <c r="H4080" s="77">
        <v>0.25</v>
      </c>
      <c r="J4080">
        <v>69.98</v>
      </c>
      <c r="M4080" s="74">
        <v>37791</v>
      </c>
      <c r="N4080" s="77">
        <v>0.25</v>
      </c>
      <c r="P4080">
        <v>63.319999999999993</v>
      </c>
      <c r="S4080" s="74">
        <v>34504</v>
      </c>
      <c r="T4080" s="77">
        <v>0.25</v>
      </c>
      <c r="V4080">
        <v>77</v>
      </c>
      <c r="X4080" s="42"/>
      <c r="AB4080">
        <v>65.8</v>
      </c>
      <c r="AC4080">
        <v>75.02</v>
      </c>
      <c r="AE4080" s="74"/>
      <c r="AF4080" s="77"/>
      <c r="AH4080" s="497">
        <v>59</v>
      </c>
      <c r="AJ4080" s="42"/>
      <c r="AK4080" s="74"/>
      <c r="AL4080" s="77"/>
      <c r="AN4080" s="497">
        <v>71.960000000000008</v>
      </c>
      <c r="AP4080" s="42"/>
      <c r="AQ4080" s="74"/>
      <c r="AR4080" s="77"/>
      <c r="AT4080" s="497">
        <v>55.040000000000006</v>
      </c>
      <c r="AV4080" s="42"/>
      <c r="AW4080" s="74"/>
      <c r="AX4080" s="77"/>
      <c r="BA4080" s="497">
        <v>55.400000000000006</v>
      </c>
      <c r="BB4080" s="42"/>
      <c r="BC4080" s="74"/>
      <c r="BD4080" s="77"/>
      <c r="BF4080">
        <v>62.06</v>
      </c>
      <c r="BH4080" s="42"/>
      <c r="BI4080" s="74"/>
      <c r="BJ4080" s="77"/>
      <c r="BL4080" s="497">
        <v>53.06</v>
      </c>
      <c r="BN4080" s="42"/>
      <c r="BO4080" s="74"/>
      <c r="BP4080" s="77"/>
      <c r="BR4080" s="497">
        <v>68</v>
      </c>
      <c r="BT4080" s="42"/>
    </row>
    <row r="4081" spans="1:72" x14ac:dyDescent="0.25">
      <c r="A4081" s="90">
        <v>34504</v>
      </c>
      <c r="B4081" s="20">
        <v>0.29166666666666669</v>
      </c>
      <c r="D4081">
        <v>73.94</v>
      </c>
      <c r="E4081" t="str">
        <f t="shared" si="162"/>
        <v>SUNDAY</v>
      </c>
      <c r="F4081" t="e">
        <f t="shared" si="163"/>
        <v>#N/A</v>
      </c>
      <c r="G4081" s="74">
        <v>33043</v>
      </c>
      <c r="H4081" s="77">
        <v>0.29166666666666669</v>
      </c>
      <c r="J4081">
        <v>71.960000000000008</v>
      </c>
      <c r="M4081" s="74">
        <v>37791</v>
      </c>
      <c r="N4081" s="77">
        <v>0.29166666666666669</v>
      </c>
      <c r="P4081">
        <v>64.400000000000006</v>
      </c>
      <c r="S4081" s="74">
        <v>34504</v>
      </c>
      <c r="T4081" s="77">
        <v>0.29166666666666669</v>
      </c>
      <c r="V4081">
        <v>80.960000000000008</v>
      </c>
      <c r="X4081" s="42"/>
      <c r="AB4081">
        <v>67.400000000000006</v>
      </c>
      <c r="AC4081">
        <v>80.960000000000008</v>
      </c>
      <c r="AE4081" s="74"/>
      <c r="AF4081" s="77"/>
      <c r="AH4081" s="497">
        <v>60.8</v>
      </c>
      <c r="AJ4081" s="42"/>
      <c r="AK4081" s="74"/>
      <c r="AL4081" s="77"/>
      <c r="AN4081" s="497">
        <v>73.94</v>
      </c>
      <c r="AP4081" s="42"/>
      <c r="AQ4081" s="74"/>
      <c r="AR4081" s="77"/>
      <c r="AT4081" s="497">
        <v>59</v>
      </c>
      <c r="AV4081" s="42"/>
      <c r="AW4081" s="74"/>
      <c r="AX4081" s="77"/>
      <c r="BA4081" s="497">
        <v>59</v>
      </c>
      <c r="BB4081" s="42"/>
      <c r="BC4081" s="74"/>
      <c r="BD4081" s="77"/>
      <c r="BF4081">
        <v>62.06</v>
      </c>
      <c r="BH4081" s="42"/>
      <c r="BI4081" s="74"/>
      <c r="BJ4081" s="77"/>
      <c r="BL4081" s="497">
        <v>59</v>
      </c>
      <c r="BN4081" s="42"/>
      <c r="BO4081" s="74"/>
      <c r="BP4081" s="77"/>
      <c r="BR4081" s="497">
        <v>71.06</v>
      </c>
      <c r="BT4081" s="42"/>
    </row>
    <row r="4082" spans="1:72" x14ac:dyDescent="0.25">
      <c r="A4082" s="90">
        <v>34504</v>
      </c>
      <c r="B4082" s="20">
        <v>0.33333333333333331</v>
      </c>
      <c r="D4082">
        <v>75.02</v>
      </c>
      <c r="E4082" t="str">
        <f t="shared" si="162"/>
        <v>SUNDAY</v>
      </c>
      <c r="F4082" t="e">
        <f t="shared" si="163"/>
        <v>#N/A</v>
      </c>
      <c r="G4082" s="74">
        <v>33043</v>
      </c>
      <c r="H4082" s="77">
        <v>0.33333333333333331</v>
      </c>
      <c r="J4082">
        <v>73.039999999999992</v>
      </c>
      <c r="M4082" s="74">
        <v>37791</v>
      </c>
      <c r="N4082" s="77">
        <v>0.33333333333333331</v>
      </c>
      <c r="P4082">
        <v>66.2</v>
      </c>
      <c r="S4082" s="74">
        <v>34504</v>
      </c>
      <c r="T4082" s="77">
        <v>0.33333333333333331</v>
      </c>
      <c r="V4082">
        <v>84.92</v>
      </c>
      <c r="X4082" s="42"/>
      <c r="AB4082">
        <v>69.2</v>
      </c>
      <c r="AC4082">
        <v>84.02</v>
      </c>
      <c r="AE4082" s="74"/>
      <c r="AF4082" s="77"/>
      <c r="AH4082" s="497">
        <v>64.400000000000006</v>
      </c>
      <c r="AJ4082" s="42"/>
      <c r="AK4082" s="74"/>
      <c r="AL4082" s="77"/>
      <c r="AN4082" s="497">
        <v>75.92</v>
      </c>
      <c r="AP4082" s="42"/>
      <c r="AQ4082" s="74"/>
      <c r="AR4082" s="77"/>
      <c r="AT4082" s="497">
        <v>64.039999999999992</v>
      </c>
      <c r="AV4082" s="42"/>
      <c r="AW4082" s="74"/>
      <c r="AX4082" s="77"/>
      <c r="BA4082" s="497">
        <v>62.96</v>
      </c>
      <c r="BB4082" s="42"/>
      <c r="BC4082" s="74"/>
      <c r="BD4082" s="77"/>
      <c r="BF4082">
        <v>62.96</v>
      </c>
      <c r="BH4082" s="42"/>
      <c r="BI4082" s="74"/>
      <c r="BJ4082" s="77"/>
      <c r="BL4082" s="497">
        <v>66.92</v>
      </c>
      <c r="BN4082" s="42"/>
      <c r="BO4082" s="74"/>
      <c r="BP4082" s="77"/>
      <c r="BR4082" s="497">
        <v>73.039999999999992</v>
      </c>
      <c r="BT4082" s="42"/>
    </row>
    <row r="4083" spans="1:72" x14ac:dyDescent="0.25">
      <c r="A4083" s="90">
        <v>34504</v>
      </c>
      <c r="B4083" s="20">
        <v>0.375</v>
      </c>
      <c r="D4083">
        <v>80.06</v>
      </c>
      <c r="E4083" t="str">
        <f t="shared" si="162"/>
        <v>SUNDAY</v>
      </c>
      <c r="F4083" t="e">
        <f t="shared" si="163"/>
        <v>#N/A</v>
      </c>
      <c r="G4083" s="74">
        <v>33043</v>
      </c>
      <c r="H4083" s="77">
        <v>0.375</v>
      </c>
      <c r="J4083">
        <v>73.039999999999992</v>
      </c>
      <c r="M4083" s="74">
        <v>37791</v>
      </c>
      <c r="N4083" s="77">
        <v>0.375</v>
      </c>
      <c r="P4083">
        <v>66.2</v>
      </c>
      <c r="S4083" s="74">
        <v>34504</v>
      </c>
      <c r="T4083" s="77">
        <v>0.375</v>
      </c>
      <c r="V4083">
        <v>89.960000000000008</v>
      </c>
      <c r="X4083" s="42"/>
      <c r="AB4083">
        <v>71.2</v>
      </c>
      <c r="AC4083">
        <v>87.98</v>
      </c>
      <c r="AE4083" s="74"/>
      <c r="AF4083" s="77"/>
      <c r="AH4083" s="497">
        <v>64.400000000000006</v>
      </c>
      <c r="AJ4083" s="42"/>
      <c r="AK4083" s="74"/>
      <c r="AL4083" s="77"/>
      <c r="AN4083" s="497">
        <v>77</v>
      </c>
      <c r="AP4083" s="42"/>
      <c r="AQ4083" s="74"/>
      <c r="AR4083" s="77"/>
      <c r="AT4083" s="497">
        <v>68</v>
      </c>
      <c r="AV4083" s="42"/>
      <c r="AW4083" s="74"/>
      <c r="AX4083" s="77"/>
      <c r="BA4083" s="497">
        <v>67.099999999999994</v>
      </c>
      <c r="BB4083" s="42"/>
      <c r="BC4083" s="74"/>
      <c r="BD4083" s="77"/>
      <c r="BF4083">
        <v>64.039999999999992</v>
      </c>
      <c r="BH4083" s="42"/>
      <c r="BI4083" s="74"/>
      <c r="BJ4083" s="77"/>
      <c r="BL4083" s="497">
        <v>69.98</v>
      </c>
      <c r="BN4083" s="42"/>
      <c r="BO4083" s="74"/>
      <c r="BP4083" s="77"/>
      <c r="BR4083" s="497">
        <v>75.02</v>
      </c>
      <c r="BT4083" s="42"/>
    </row>
    <row r="4084" spans="1:72" x14ac:dyDescent="0.25">
      <c r="A4084" s="90">
        <v>34504</v>
      </c>
      <c r="B4084" s="20">
        <v>0.41666666666666669</v>
      </c>
      <c r="D4084">
        <v>78.080000000000013</v>
      </c>
      <c r="E4084" t="str">
        <f t="shared" si="162"/>
        <v>SUNDAY</v>
      </c>
      <c r="F4084" t="e">
        <f t="shared" si="163"/>
        <v>#N/A</v>
      </c>
      <c r="G4084" s="74">
        <v>33043</v>
      </c>
      <c r="H4084" s="77">
        <v>0.41666666666666669</v>
      </c>
      <c r="J4084">
        <v>73.94</v>
      </c>
      <c r="M4084" s="74">
        <v>37791</v>
      </c>
      <c r="N4084" s="77">
        <v>0.41666666666666669</v>
      </c>
      <c r="P4084">
        <v>68</v>
      </c>
      <c r="S4084" s="74">
        <v>34504</v>
      </c>
      <c r="T4084" s="77">
        <v>0.41666666666666669</v>
      </c>
      <c r="V4084">
        <v>91.94</v>
      </c>
      <c r="X4084" s="42"/>
      <c r="AB4084">
        <v>72.900000000000006</v>
      </c>
      <c r="AC4084">
        <v>91.039999999999992</v>
      </c>
      <c r="AE4084" s="74"/>
      <c r="AF4084" s="77"/>
      <c r="AH4084" s="497">
        <v>64.400000000000006</v>
      </c>
      <c r="AJ4084" s="42"/>
      <c r="AK4084" s="74"/>
      <c r="AL4084" s="77"/>
      <c r="AN4084" s="497">
        <v>78.98</v>
      </c>
      <c r="AP4084" s="42"/>
      <c r="AQ4084" s="74"/>
      <c r="AR4084" s="77"/>
      <c r="AT4084" s="497">
        <v>71.960000000000008</v>
      </c>
      <c r="AV4084" s="42"/>
      <c r="AW4084" s="74"/>
      <c r="AX4084" s="77"/>
      <c r="BA4084" s="497">
        <v>71.06</v>
      </c>
      <c r="BB4084" s="42"/>
      <c r="BC4084" s="74"/>
      <c r="BD4084" s="77"/>
      <c r="BF4084">
        <v>64.039999999999992</v>
      </c>
      <c r="BH4084" s="42"/>
      <c r="BI4084" s="74"/>
      <c r="BJ4084" s="77"/>
      <c r="BL4084" s="497">
        <v>71.06</v>
      </c>
      <c r="BN4084" s="42"/>
      <c r="BO4084" s="74"/>
      <c r="BP4084" s="77"/>
      <c r="BR4084" s="497">
        <v>75.92</v>
      </c>
      <c r="BT4084" s="42"/>
    </row>
    <row r="4085" spans="1:72" x14ac:dyDescent="0.25">
      <c r="A4085" s="90">
        <v>34504</v>
      </c>
      <c r="B4085" s="20">
        <v>0.45833333333333331</v>
      </c>
      <c r="D4085">
        <v>78.98</v>
      </c>
      <c r="E4085" t="str">
        <f t="shared" si="162"/>
        <v>SUNDAY</v>
      </c>
      <c r="F4085" t="e">
        <f t="shared" si="163"/>
        <v>#N/A</v>
      </c>
      <c r="G4085" s="74">
        <v>33043</v>
      </c>
      <c r="H4085" s="77">
        <v>0.45833333333333331</v>
      </c>
      <c r="J4085">
        <v>77</v>
      </c>
      <c r="M4085" s="74">
        <v>37791</v>
      </c>
      <c r="N4085" s="77">
        <v>0.45833333333333331</v>
      </c>
      <c r="P4085">
        <v>69.800000000000011</v>
      </c>
      <c r="S4085" s="74">
        <v>34504</v>
      </c>
      <c r="T4085" s="77">
        <v>0.45833333333333331</v>
      </c>
      <c r="V4085">
        <v>96.98</v>
      </c>
      <c r="X4085" s="42"/>
      <c r="AB4085">
        <v>74.400000000000006</v>
      </c>
      <c r="AC4085">
        <v>93.92</v>
      </c>
      <c r="AE4085" s="74"/>
      <c r="AF4085" s="77"/>
      <c r="AH4085" s="497">
        <v>69.800000000000011</v>
      </c>
      <c r="AJ4085" s="42"/>
      <c r="AK4085" s="74"/>
      <c r="AL4085" s="77"/>
      <c r="AN4085" s="497">
        <v>80.06</v>
      </c>
      <c r="AP4085" s="42"/>
      <c r="AQ4085" s="74"/>
      <c r="AR4085" s="77"/>
      <c r="AT4085" s="497">
        <v>73.94</v>
      </c>
      <c r="AV4085" s="42"/>
      <c r="AW4085" s="74"/>
      <c r="AX4085" s="77"/>
      <c r="BA4085" s="497">
        <v>72.680000000000007</v>
      </c>
      <c r="BB4085" s="42"/>
      <c r="BC4085" s="74"/>
      <c r="BD4085" s="77"/>
      <c r="BF4085">
        <v>66.92</v>
      </c>
      <c r="BH4085" s="42"/>
      <c r="BI4085" s="74"/>
      <c r="BJ4085" s="77"/>
      <c r="BL4085" s="497">
        <v>71.06</v>
      </c>
      <c r="BN4085" s="42"/>
      <c r="BO4085" s="74"/>
      <c r="BP4085" s="77"/>
      <c r="BR4085" s="497">
        <v>80.06</v>
      </c>
      <c r="BT4085" s="42"/>
    </row>
    <row r="4086" spans="1:72" x14ac:dyDescent="0.25">
      <c r="A4086" s="90">
        <v>34504</v>
      </c>
      <c r="B4086" s="20">
        <v>0.5</v>
      </c>
      <c r="D4086">
        <v>78.080000000000013</v>
      </c>
      <c r="E4086" t="str">
        <f t="shared" si="162"/>
        <v>SUNDAY</v>
      </c>
      <c r="F4086" t="e">
        <f t="shared" si="163"/>
        <v>#N/A</v>
      </c>
      <c r="G4086" s="74">
        <v>33043</v>
      </c>
      <c r="H4086" s="77">
        <v>0.5</v>
      </c>
      <c r="J4086">
        <v>78.98</v>
      </c>
      <c r="M4086" s="74">
        <v>37791</v>
      </c>
      <c r="N4086" s="77">
        <v>0.5</v>
      </c>
      <c r="P4086">
        <v>69.800000000000011</v>
      </c>
      <c r="S4086" s="74">
        <v>34504</v>
      </c>
      <c r="T4086" s="77">
        <v>0.5</v>
      </c>
      <c r="V4086">
        <v>98.06</v>
      </c>
      <c r="X4086" s="42"/>
      <c r="AB4086">
        <v>75.5</v>
      </c>
      <c r="AC4086">
        <v>95</v>
      </c>
      <c r="AE4086" s="74"/>
      <c r="AF4086" s="77"/>
      <c r="AH4086" s="497">
        <v>71.599999999999994</v>
      </c>
      <c r="AJ4086" s="42"/>
      <c r="AK4086" s="74"/>
      <c r="AL4086" s="77"/>
      <c r="AN4086" s="497">
        <v>80.960000000000008</v>
      </c>
      <c r="AP4086" s="42"/>
      <c r="AQ4086" s="74"/>
      <c r="AR4086" s="77"/>
      <c r="AT4086" s="497">
        <v>75.92</v>
      </c>
      <c r="AV4086" s="42"/>
      <c r="AW4086" s="74"/>
      <c r="AX4086" s="77"/>
      <c r="BA4086" s="497">
        <v>74.300000000000011</v>
      </c>
      <c r="BB4086" s="42"/>
      <c r="BC4086" s="74"/>
      <c r="BD4086" s="77"/>
      <c r="BF4086">
        <v>71.960000000000008</v>
      </c>
      <c r="BH4086" s="42"/>
      <c r="BI4086" s="74"/>
      <c r="BJ4086" s="77"/>
      <c r="BL4086" s="497">
        <v>71.960000000000008</v>
      </c>
      <c r="BN4086" s="42"/>
      <c r="BO4086" s="74"/>
      <c r="BP4086" s="77"/>
      <c r="BR4086" s="497">
        <v>82.94</v>
      </c>
      <c r="BT4086" s="42"/>
    </row>
    <row r="4087" spans="1:72" x14ac:dyDescent="0.25">
      <c r="A4087" s="90">
        <v>34504</v>
      </c>
      <c r="B4087" s="20">
        <v>0.54166666666666663</v>
      </c>
      <c r="D4087">
        <v>80.06</v>
      </c>
      <c r="E4087" t="str">
        <f t="shared" si="162"/>
        <v>SUNDAY</v>
      </c>
      <c r="F4087" t="e">
        <f t="shared" si="163"/>
        <v>#N/A</v>
      </c>
      <c r="G4087" s="74">
        <v>33043</v>
      </c>
      <c r="H4087" s="77">
        <v>0.54166666666666663</v>
      </c>
      <c r="J4087">
        <v>82.039999999999992</v>
      </c>
      <c r="M4087" s="74">
        <v>37791</v>
      </c>
      <c r="N4087" s="77">
        <v>0.54166666666666663</v>
      </c>
      <c r="P4087">
        <v>69.800000000000011</v>
      </c>
      <c r="S4087" s="74">
        <v>34504</v>
      </c>
      <c r="T4087" s="77">
        <v>0.54166666666666663</v>
      </c>
      <c r="V4087">
        <v>95</v>
      </c>
      <c r="X4087" s="42"/>
      <c r="AB4087">
        <v>76.2</v>
      </c>
      <c r="AC4087">
        <v>95</v>
      </c>
      <c r="AE4087" s="74"/>
      <c r="AF4087" s="77"/>
      <c r="AH4087" s="497">
        <v>68</v>
      </c>
      <c r="AJ4087" s="42"/>
      <c r="AK4087" s="74"/>
      <c r="AL4087" s="77"/>
      <c r="AN4087" s="497">
        <v>82.039999999999992</v>
      </c>
      <c r="AP4087" s="42"/>
      <c r="AQ4087" s="74"/>
      <c r="AR4087" s="77"/>
      <c r="AT4087" s="497">
        <v>77</v>
      </c>
      <c r="AV4087" s="42"/>
      <c r="AW4087" s="74"/>
      <c r="AX4087" s="77"/>
      <c r="BA4087" s="497">
        <v>75.92</v>
      </c>
      <c r="BB4087" s="42"/>
      <c r="BC4087" s="74"/>
      <c r="BD4087" s="77"/>
      <c r="BF4087">
        <v>73.039999999999992</v>
      </c>
      <c r="BH4087" s="42"/>
      <c r="BI4087" s="74"/>
      <c r="BJ4087" s="77"/>
      <c r="BL4087" s="497">
        <v>71.960000000000008</v>
      </c>
      <c r="BN4087" s="42"/>
      <c r="BO4087" s="74"/>
      <c r="BP4087" s="77"/>
      <c r="BR4087" s="497">
        <v>86</v>
      </c>
      <c r="BT4087" s="42"/>
    </row>
    <row r="4088" spans="1:72" x14ac:dyDescent="0.25">
      <c r="A4088" s="90">
        <v>34504</v>
      </c>
      <c r="B4088" s="20">
        <v>0.58333333333333337</v>
      </c>
      <c r="D4088">
        <v>80.06</v>
      </c>
      <c r="E4088" t="str">
        <f t="shared" si="162"/>
        <v>SUNDAY</v>
      </c>
      <c r="F4088" t="e">
        <f t="shared" si="163"/>
        <v>#N/A</v>
      </c>
      <c r="G4088" s="74">
        <v>33043</v>
      </c>
      <c r="H4088" s="77">
        <v>0.58333333333333337</v>
      </c>
      <c r="J4088">
        <v>80.06</v>
      </c>
      <c r="M4088" s="74">
        <v>37791</v>
      </c>
      <c r="N4088" s="77">
        <v>0.58333333333333337</v>
      </c>
      <c r="P4088">
        <v>69.800000000000011</v>
      </c>
      <c r="S4088" s="74">
        <v>34504</v>
      </c>
      <c r="T4088" s="77">
        <v>0.58333333333333337</v>
      </c>
      <c r="V4088">
        <v>93.92</v>
      </c>
      <c r="X4088" s="42"/>
      <c r="AB4088">
        <v>76.599999999999994</v>
      </c>
      <c r="AC4088">
        <v>95</v>
      </c>
      <c r="AE4088" s="74"/>
      <c r="AF4088" s="77"/>
      <c r="AH4088" s="497">
        <v>68</v>
      </c>
      <c r="AJ4088" s="42"/>
      <c r="AK4088" s="74"/>
      <c r="AL4088" s="77"/>
      <c r="AN4088" s="497">
        <v>82.039999999999992</v>
      </c>
      <c r="AP4088" s="42"/>
      <c r="AQ4088" s="74"/>
      <c r="AR4088" s="77"/>
      <c r="AT4088" s="497">
        <v>75.02</v>
      </c>
      <c r="AV4088" s="42"/>
      <c r="AW4088" s="74"/>
      <c r="AX4088" s="77"/>
      <c r="BA4088" s="497">
        <v>76.28</v>
      </c>
      <c r="BB4088" s="42"/>
      <c r="BC4088" s="74"/>
      <c r="BD4088" s="77"/>
      <c r="BF4088">
        <v>73.039999999999992</v>
      </c>
      <c r="BH4088" s="42"/>
      <c r="BI4088" s="74"/>
      <c r="BJ4088" s="77"/>
      <c r="BL4088" s="497">
        <v>73.94</v>
      </c>
      <c r="BN4088" s="42"/>
      <c r="BO4088" s="74"/>
      <c r="BP4088" s="77"/>
      <c r="BR4088" s="497">
        <v>84.02</v>
      </c>
      <c r="BT4088" s="42"/>
    </row>
    <row r="4089" spans="1:72" x14ac:dyDescent="0.25">
      <c r="A4089" s="90">
        <v>34504</v>
      </c>
      <c r="B4089" s="20">
        <v>0.625</v>
      </c>
      <c r="D4089">
        <v>80.06</v>
      </c>
      <c r="E4089" t="str">
        <f t="shared" si="162"/>
        <v>SUNDAY</v>
      </c>
      <c r="F4089" t="e">
        <f t="shared" si="163"/>
        <v>#N/A</v>
      </c>
      <c r="G4089" s="74">
        <v>33043</v>
      </c>
      <c r="H4089" s="77">
        <v>0.625</v>
      </c>
      <c r="J4089">
        <v>78.98</v>
      </c>
      <c r="M4089" s="74">
        <v>37791</v>
      </c>
      <c r="N4089" s="77">
        <v>0.625</v>
      </c>
      <c r="P4089">
        <v>71.599999999999994</v>
      </c>
      <c r="S4089" s="74">
        <v>34504</v>
      </c>
      <c r="T4089" s="77">
        <v>0.625</v>
      </c>
      <c r="V4089">
        <v>91.94</v>
      </c>
      <c r="X4089" s="42"/>
      <c r="AB4089">
        <v>76.599999999999994</v>
      </c>
      <c r="AC4089">
        <v>96.08</v>
      </c>
      <c r="AE4089" s="74"/>
      <c r="AF4089" s="77"/>
      <c r="AH4089" s="497">
        <v>68</v>
      </c>
      <c r="AJ4089" s="42"/>
      <c r="AK4089" s="74"/>
      <c r="AL4089" s="77"/>
      <c r="AN4089" s="497">
        <v>80.06</v>
      </c>
      <c r="AP4089" s="42"/>
      <c r="AQ4089" s="74"/>
      <c r="AR4089" s="77"/>
      <c r="AT4089" s="497">
        <v>71.960000000000008</v>
      </c>
      <c r="AV4089" s="42"/>
      <c r="AW4089" s="74"/>
      <c r="AX4089" s="77"/>
      <c r="BA4089" s="497">
        <v>76.64</v>
      </c>
      <c r="BB4089" s="42"/>
      <c r="BC4089" s="74"/>
      <c r="BD4089" s="77"/>
      <c r="BF4089">
        <v>73.94</v>
      </c>
      <c r="BH4089" s="42"/>
      <c r="BI4089" s="74"/>
      <c r="BJ4089" s="77"/>
      <c r="BL4089" s="497">
        <v>75.02</v>
      </c>
      <c r="BN4089" s="42"/>
      <c r="BO4089" s="74"/>
      <c r="BP4089" s="77"/>
      <c r="BR4089" s="497">
        <v>82.039999999999992</v>
      </c>
      <c r="BT4089" s="42"/>
    </row>
    <row r="4090" spans="1:72" x14ac:dyDescent="0.25">
      <c r="A4090" s="90">
        <v>34504</v>
      </c>
      <c r="B4090" s="20">
        <v>0.66666666666666663</v>
      </c>
      <c r="D4090">
        <v>78.98</v>
      </c>
      <c r="E4090" t="str">
        <f t="shared" si="162"/>
        <v>SUNDAY</v>
      </c>
      <c r="F4090" t="e">
        <f t="shared" si="163"/>
        <v>#N/A</v>
      </c>
      <c r="G4090" s="74">
        <v>33043</v>
      </c>
      <c r="H4090" s="77">
        <v>0.66666666666666663</v>
      </c>
      <c r="J4090">
        <v>75.92</v>
      </c>
      <c r="M4090" s="74">
        <v>37791</v>
      </c>
      <c r="N4090" s="77">
        <v>0.66666666666666663</v>
      </c>
      <c r="P4090">
        <v>71.599999999999994</v>
      </c>
      <c r="S4090" s="74">
        <v>34504</v>
      </c>
      <c r="T4090" s="77">
        <v>0.66666666666666663</v>
      </c>
      <c r="V4090">
        <v>87.98</v>
      </c>
      <c r="X4090" s="42"/>
      <c r="AB4090">
        <v>76.2</v>
      </c>
      <c r="AC4090">
        <v>93.92</v>
      </c>
      <c r="AE4090" s="74"/>
      <c r="AF4090" s="77"/>
      <c r="AH4090" s="497">
        <v>73.400000000000006</v>
      </c>
      <c r="AJ4090" s="42"/>
      <c r="AK4090" s="74"/>
      <c r="AL4090" s="77"/>
      <c r="AN4090" s="497">
        <v>80.960000000000008</v>
      </c>
      <c r="AP4090" s="42"/>
      <c r="AQ4090" s="74"/>
      <c r="AR4090" s="77"/>
      <c r="AT4090" s="497">
        <v>68</v>
      </c>
      <c r="AV4090" s="42"/>
      <c r="AW4090" s="74"/>
      <c r="AX4090" s="77"/>
      <c r="BA4090" s="497">
        <v>77</v>
      </c>
      <c r="BB4090" s="42"/>
      <c r="BC4090" s="74"/>
      <c r="BD4090" s="77"/>
      <c r="BF4090">
        <v>73.039999999999992</v>
      </c>
      <c r="BH4090" s="42"/>
      <c r="BI4090" s="74"/>
      <c r="BJ4090" s="77"/>
      <c r="BL4090" s="497">
        <v>73.94</v>
      </c>
      <c r="BN4090" s="42"/>
      <c r="BO4090" s="74"/>
      <c r="BP4090" s="77"/>
      <c r="BR4090" s="497">
        <v>78.98</v>
      </c>
      <c r="BT4090" s="42"/>
    </row>
    <row r="4091" spans="1:72" x14ac:dyDescent="0.25">
      <c r="A4091" s="90">
        <v>34504</v>
      </c>
      <c r="B4091" s="20">
        <v>0.70833333333333337</v>
      </c>
      <c r="D4091">
        <v>78.080000000000013</v>
      </c>
      <c r="E4091" t="str">
        <f t="shared" si="162"/>
        <v>SUNDAY</v>
      </c>
      <c r="F4091" t="e">
        <f t="shared" si="163"/>
        <v>#N/A</v>
      </c>
      <c r="G4091" s="74">
        <v>33043</v>
      </c>
      <c r="H4091" s="77">
        <v>0.70833333333333337</v>
      </c>
      <c r="J4091">
        <v>68</v>
      </c>
      <c r="M4091" s="74">
        <v>37791</v>
      </c>
      <c r="N4091" s="77">
        <v>0.70833333333333337</v>
      </c>
      <c r="P4091">
        <v>71.599999999999994</v>
      </c>
      <c r="S4091" s="74">
        <v>34504</v>
      </c>
      <c r="T4091" s="77">
        <v>0.70833333333333337</v>
      </c>
      <c r="V4091">
        <v>91.94</v>
      </c>
      <c r="X4091" s="42"/>
      <c r="AB4091">
        <v>75.2</v>
      </c>
      <c r="AC4091">
        <v>93.92</v>
      </c>
      <c r="AE4091" s="74"/>
      <c r="AF4091" s="77"/>
      <c r="AH4091" s="497">
        <v>73.400000000000006</v>
      </c>
      <c r="AJ4091" s="42"/>
      <c r="AK4091" s="74"/>
      <c r="AL4091" s="77"/>
      <c r="AN4091" s="497">
        <v>78.98</v>
      </c>
      <c r="AP4091" s="42"/>
      <c r="AQ4091" s="74"/>
      <c r="AR4091" s="77"/>
      <c r="AT4091" s="497">
        <v>64.039999999999992</v>
      </c>
      <c r="AV4091" s="42"/>
      <c r="AW4091" s="74"/>
      <c r="AX4091" s="77"/>
      <c r="BA4091" s="497">
        <v>75.02</v>
      </c>
      <c r="BB4091" s="42"/>
      <c r="BC4091" s="74"/>
      <c r="BD4091" s="77"/>
      <c r="BF4091">
        <v>73.039999999999992</v>
      </c>
      <c r="BH4091" s="42"/>
      <c r="BI4091" s="74"/>
      <c r="BJ4091" s="77"/>
      <c r="BL4091" s="497">
        <v>73.94</v>
      </c>
      <c r="BN4091" s="42"/>
      <c r="BO4091" s="74"/>
      <c r="BP4091" s="77"/>
      <c r="BR4091" s="497">
        <v>71.960000000000008</v>
      </c>
      <c r="BT4091" s="42"/>
    </row>
    <row r="4092" spans="1:72" x14ac:dyDescent="0.25">
      <c r="A4092" s="90">
        <v>34504</v>
      </c>
      <c r="B4092" s="20">
        <v>0.75</v>
      </c>
      <c r="D4092">
        <v>77</v>
      </c>
      <c r="E4092" t="str">
        <f t="shared" si="162"/>
        <v>SUNDAY</v>
      </c>
      <c r="F4092" t="e">
        <f t="shared" si="163"/>
        <v>#N/A</v>
      </c>
      <c r="G4092" s="74">
        <v>33043</v>
      </c>
      <c r="H4092" s="77">
        <v>0.75</v>
      </c>
      <c r="J4092">
        <v>69.080000000000013</v>
      </c>
      <c r="M4092" s="74">
        <v>37791</v>
      </c>
      <c r="N4092" s="77">
        <v>0.75</v>
      </c>
      <c r="P4092">
        <v>69.800000000000011</v>
      </c>
      <c r="S4092" s="74">
        <v>34504</v>
      </c>
      <c r="T4092" s="77">
        <v>0.75</v>
      </c>
      <c r="V4092">
        <v>89.960000000000008</v>
      </c>
      <c r="X4092" s="42"/>
      <c r="AB4092">
        <v>74.099999999999994</v>
      </c>
      <c r="AC4092">
        <v>91.039999999999992</v>
      </c>
      <c r="AE4092" s="74"/>
      <c r="AF4092" s="77"/>
      <c r="AH4092" s="497">
        <v>73.400000000000006</v>
      </c>
      <c r="AJ4092" s="42"/>
      <c r="AK4092" s="74"/>
      <c r="AL4092" s="77"/>
      <c r="AN4092" s="497">
        <v>77</v>
      </c>
      <c r="AP4092" s="42"/>
      <c r="AQ4092" s="74"/>
      <c r="AR4092" s="77"/>
      <c r="AT4092" s="497">
        <v>60.980000000000004</v>
      </c>
      <c r="AV4092" s="42"/>
      <c r="AW4092" s="74"/>
      <c r="AX4092" s="77"/>
      <c r="BA4092" s="497">
        <v>73.039999999999992</v>
      </c>
      <c r="BB4092" s="42"/>
      <c r="BC4092" s="74"/>
      <c r="BD4092" s="77"/>
      <c r="BF4092">
        <v>73.039999999999992</v>
      </c>
      <c r="BH4092" s="42"/>
      <c r="BI4092" s="74"/>
      <c r="BJ4092" s="77"/>
      <c r="BL4092" s="497">
        <v>73.039999999999992</v>
      </c>
      <c r="BN4092" s="42"/>
      <c r="BO4092" s="74"/>
      <c r="BP4092" s="77"/>
      <c r="BR4092" s="497">
        <v>71.960000000000008</v>
      </c>
      <c r="BT4092" s="42"/>
    </row>
    <row r="4093" spans="1:72" x14ac:dyDescent="0.25">
      <c r="A4093" s="90">
        <v>34504</v>
      </c>
      <c r="B4093" s="20">
        <v>0.79166666666666663</v>
      </c>
      <c r="D4093">
        <v>75.92</v>
      </c>
      <c r="E4093" t="str">
        <f t="shared" si="162"/>
        <v>SUNDAY</v>
      </c>
      <c r="F4093" t="e">
        <f t="shared" si="163"/>
        <v>#N/A</v>
      </c>
      <c r="G4093" s="74">
        <v>33043</v>
      </c>
      <c r="H4093" s="77">
        <v>0.79166666666666663</v>
      </c>
      <c r="J4093">
        <v>68</v>
      </c>
      <c r="M4093" s="74">
        <v>37791</v>
      </c>
      <c r="N4093" s="77">
        <v>0.79166666666666663</v>
      </c>
      <c r="P4093">
        <v>68</v>
      </c>
      <c r="S4093" s="74">
        <v>34504</v>
      </c>
      <c r="T4093" s="77">
        <v>0.79166666666666663</v>
      </c>
      <c r="V4093">
        <v>89.06</v>
      </c>
      <c r="X4093" s="42"/>
      <c r="AB4093">
        <v>72.8</v>
      </c>
      <c r="AC4093">
        <v>87.080000000000013</v>
      </c>
      <c r="AE4093" s="74"/>
      <c r="AF4093" s="77"/>
      <c r="AH4093" s="497">
        <v>71.599999999999994</v>
      </c>
      <c r="AJ4093" s="42"/>
      <c r="AK4093" s="74"/>
      <c r="AL4093" s="77"/>
      <c r="AN4093" s="497">
        <v>73.94</v>
      </c>
      <c r="AP4093" s="42"/>
      <c r="AQ4093" s="74"/>
      <c r="AR4093" s="77"/>
      <c r="AT4093" s="497">
        <v>59</v>
      </c>
      <c r="AV4093" s="42"/>
      <c r="AW4093" s="74"/>
      <c r="AX4093" s="77"/>
      <c r="BA4093" s="497">
        <v>71.06</v>
      </c>
      <c r="BB4093" s="42"/>
      <c r="BC4093" s="74"/>
      <c r="BD4093" s="77"/>
      <c r="BF4093">
        <v>71.960000000000008</v>
      </c>
      <c r="BH4093" s="42"/>
      <c r="BI4093" s="74"/>
      <c r="BJ4093" s="77"/>
      <c r="BL4093" s="497">
        <v>69.98</v>
      </c>
      <c r="BN4093" s="42"/>
      <c r="BO4093" s="74"/>
      <c r="BP4093" s="77"/>
      <c r="BR4093" s="497">
        <v>71.06</v>
      </c>
      <c r="BT4093" s="42"/>
    </row>
    <row r="4094" spans="1:72" x14ac:dyDescent="0.25">
      <c r="A4094" s="90">
        <v>34504</v>
      </c>
      <c r="B4094" s="20">
        <v>0.83333333333333337</v>
      </c>
      <c r="D4094">
        <v>73.039999999999992</v>
      </c>
      <c r="E4094" t="str">
        <f t="shared" si="162"/>
        <v>SUNDAY</v>
      </c>
      <c r="F4094" t="e">
        <f t="shared" si="163"/>
        <v>#N/A</v>
      </c>
      <c r="G4094" s="74">
        <v>33043</v>
      </c>
      <c r="H4094" s="77">
        <v>0.83333333333333337</v>
      </c>
      <c r="J4094">
        <v>69.080000000000013</v>
      </c>
      <c r="M4094" s="74">
        <v>37791</v>
      </c>
      <c r="N4094" s="77">
        <v>0.83333333333333337</v>
      </c>
      <c r="P4094">
        <v>66.2</v>
      </c>
      <c r="S4094" s="74">
        <v>34504</v>
      </c>
      <c r="T4094" s="77">
        <v>0.83333333333333337</v>
      </c>
      <c r="V4094">
        <v>86</v>
      </c>
      <c r="X4094" s="42"/>
      <c r="AB4094">
        <v>71.400000000000006</v>
      </c>
      <c r="AC4094">
        <v>84.02</v>
      </c>
      <c r="AE4094" s="74"/>
      <c r="AF4094" s="77"/>
      <c r="AH4094" s="497">
        <v>64.400000000000006</v>
      </c>
      <c r="AJ4094" s="42"/>
      <c r="AK4094" s="74"/>
      <c r="AL4094" s="77"/>
      <c r="AN4094" s="497">
        <v>71.06</v>
      </c>
      <c r="AP4094" s="42"/>
      <c r="AQ4094" s="74"/>
      <c r="AR4094" s="77"/>
      <c r="AT4094" s="497">
        <v>59</v>
      </c>
      <c r="AV4094" s="42"/>
      <c r="AW4094" s="74"/>
      <c r="AX4094" s="77"/>
      <c r="BA4094" s="497">
        <v>67.099999999999994</v>
      </c>
      <c r="BB4094" s="42"/>
      <c r="BC4094" s="74"/>
      <c r="BD4094" s="77"/>
      <c r="BF4094">
        <v>69.080000000000013</v>
      </c>
      <c r="BH4094" s="42"/>
      <c r="BI4094" s="74"/>
      <c r="BJ4094" s="77"/>
      <c r="BL4094" s="497">
        <v>64.94</v>
      </c>
      <c r="BN4094" s="42"/>
      <c r="BO4094" s="74"/>
      <c r="BP4094" s="77"/>
      <c r="BR4094" s="497">
        <v>69.98</v>
      </c>
      <c r="BT4094" s="42"/>
    </row>
    <row r="4095" spans="1:72" x14ac:dyDescent="0.25">
      <c r="A4095" s="90">
        <v>34504</v>
      </c>
      <c r="B4095" s="20">
        <v>0.875</v>
      </c>
      <c r="D4095">
        <v>71.06</v>
      </c>
      <c r="E4095" t="str">
        <f t="shared" si="162"/>
        <v>SUNDAY</v>
      </c>
      <c r="F4095" t="e">
        <f t="shared" si="163"/>
        <v>#N/A</v>
      </c>
      <c r="G4095" s="74">
        <v>33043</v>
      </c>
      <c r="H4095" s="77">
        <v>0.875</v>
      </c>
      <c r="J4095">
        <v>69.080000000000013</v>
      </c>
      <c r="M4095" s="74">
        <v>37791</v>
      </c>
      <c r="N4095" s="77">
        <v>0.875</v>
      </c>
      <c r="P4095">
        <v>64.400000000000006</v>
      </c>
      <c r="S4095" s="74">
        <v>34504</v>
      </c>
      <c r="T4095" s="77">
        <v>0.875</v>
      </c>
      <c r="V4095">
        <v>84.02</v>
      </c>
      <c r="X4095" s="42"/>
      <c r="AB4095">
        <v>70.2</v>
      </c>
      <c r="AC4095">
        <v>80.06</v>
      </c>
      <c r="AE4095" s="74"/>
      <c r="AF4095" s="77"/>
      <c r="AH4095" s="497">
        <v>60.8</v>
      </c>
      <c r="AJ4095" s="42"/>
      <c r="AK4095" s="74"/>
      <c r="AL4095" s="77"/>
      <c r="AN4095" s="497">
        <v>68</v>
      </c>
      <c r="AP4095" s="42"/>
      <c r="AQ4095" s="74"/>
      <c r="AR4095" s="77"/>
      <c r="AT4095" s="497">
        <v>59</v>
      </c>
      <c r="AV4095" s="42"/>
      <c r="AW4095" s="74"/>
      <c r="AX4095" s="77"/>
      <c r="BA4095" s="497">
        <v>62.96</v>
      </c>
      <c r="BB4095" s="42"/>
      <c r="BC4095" s="74"/>
      <c r="BD4095" s="77"/>
      <c r="BF4095">
        <v>66.02</v>
      </c>
      <c r="BH4095" s="42"/>
      <c r="BI4095" s="74"/>
      <c r="BJ4095" s="77"/>
      <c r="BL4095" s="497">
        <v>62.96</v>
      </c>
      <c r="BN4095" s="42"/>
      <c r="BO4095" s="74"/>
      <c r="BP4095" s="77"/>
      <c r="BR4095" s="497">
        <v>69.98</v>
      </c>
      <c r="BT4095" s="42"/>
    </row>
    <row r="4096" spans="1:72" x14ac:dyDescent="0.25">
      <c r="A4096" s="90">
        <v>34504</v>
      </c>
      <c r="B4096" s="20">
        <v>0.91666666666666663</v>
      </c>
      <c r="D4096">
        <v>68</v>
      </c>
      <c r="E4096" t="str">
        <f t="shared" si="162"/>
        <v>SUNDAY</v>
      </c>
      <c r="F4096" t="e">
        <f t="shared" si="163"/>
        <v>#N/A</v>
      </c>
      <c r="G4096" s="74">
        <v>33043</v>
      </c>
      <c r="H4096" s="77">
        <v>0.91666666666666663</v>
      </c>
      <c r="J4096">
        <v>69.080000000000013</v>
      </c>
      <c r="M4096" s="74">
        <v>37791</v>
      </c>
      <c r="N4096" s="77">
        <v>0.91666666666666663</v>
      </c>
      <c r="P4096">
        <v>64.400000000000006</v>
      </c>
      <c r="S4096" s="74">
        <v>34504</v>
      </c>
      <c r="T4096" s="77">
        <v>0.91666666666666663</v>
      </c>
      <c r="V4096">
        <v>82.039999999999992</v>
      </c>
      <c r="X4096" s="42"/>
      <c r="AB4096">
        <v>69.5</v>
      </c>
      <c r="AC4096">
        <v>78.080000000000013</v>
      </c>
      <c r="AE4096" s="74"/>
      <c r="AF4096" s="77"/>
      <c r="AH4096" s="497">
        <v>57.2</v>
      </c>
      <c r="AJ4096" s="42"/>
      <c r="AK4096" s="74"/>
      <c r="AL4096" s="77"/>
      <c r="AN4096" s="497">
        <v>66.92</v>
      </c>
      <c r="AP4096" s="42"/>
      <c r="AQ4096" s="74"/>
      <c r="AR4096" s="77"/>
      <c r="AT4096" s="497">
        <v>57.92</v>
      </c>
      <c r="AV4096" s="42"/>
      <c r="AW4096" s="74"/>
      <c r="AX4096" s="77"/>
      <c r="BA4096" s="497">
        <v>59</v>
      </c>
      <c r="BB4096" s="42"/>
      <c r="BC4096" s="74"/>
      <c r="BD4096" s="77"/>
      <c r="BF4096">
        <v>66.02</v>
      </c>
      <c r="BH4096" s="42"/>
      <c r="BI4096" s="74"/>
      <c r="BJ4096" s="77"/>
      <c r="BL4096" s="497">
        <v>59</v>
      </c>
      <c r="BN4096" s="42"/>
      <c r="BO4096" s="74"/>
      <c r="BP4096" s="77"/>
      <c r="BR4096" s="497">
        <v>69.98</v>
      </c>
      <c r="BT4096" s="42"/>
    </row>
    <row r="4097" spans="1:72" x14ac:dyDescent="0.25">
      <c r="A4097" s="90">
        <v>34504</v>
      </c>
      <c r="B4097" s="20">
        <v>0.95833333333333337</v>
      </c>
      <c r="D4097">
        <v>66.92</v>
      </c>
      <c r="E4097" t="str">
        <f t="shared" si="162"/>
        <v>SUNDAY</v>
      </c>
      <c r="F4097" t="e">
        <f t="shared" si="163"/>
        <v>#N/A</v>
      </c>
      <c r="G4097" s="74">
        <v>33043</v>
      </c>
      <c r="H4097" s="77">
        <v>0.95833333333333337</v>
      </c>
      <c r="J4097">
        <v>66.92</v>
      </c>
      <c r="M4097" s="74">
        <v>37791</v>
      </c>
      <c r="N4097" s="77">
        <v>0.95833333333333337</v>
      </c>
      <c r="P4097">
        <v>64.400000000000006</v>
      </c>
      <c r="S4097" s="74">
        <v>34504</v>
      </c>
      <c r="T4097" s="77">
        <v>0.95833333333333337</v>
      </c>
      <c r="V4097">
        <v>80.06</v>
      </c>
      <c r="X4097" s="42"/>
      <c r="AB4097">
        <v>68.900000000000006</v>
      </c>
      <c r="AC4097">
        <v>75.92</v>
      </c>
      <c r="AE4097" s="74"/>
      <c r="AF4097" s="77"/>
      <c r="AH4097" s="497">
        <v>57.2</v>
      </c>
      <c r="AJ4097" s="42"/>
      <c r="AK4097" s="74"/>
      <c r="AL4097" s="77"/>
      <c r="AN4097" s="497">
        <v>64.94</v>
      </c>
      <c r="AP4097" s="42"/>
      <c r="AQ4097" s="74"/>
      <c r="AR4097" s="77"/>
      <c r="AT4097" s="497">
        <v>57.92</v>
      </c>
      <c r="AV4097" s="42"/>
      <c r="AW4097" s="74"/>
      <c r="AX4097" s="77"/>
      <c r="BA4097" s="497">
        <v>56.66</v>
      </c>
      <c r="BB4097" s="42"/>
      <c r="BC4097" s="74"/>
      <c r="BD4097" s="77"/>
      <c r="BF4097">
        <v>64.94</v>
      </c>
      <c r="BH4097" s="42"/>
      <c r="BI4097" s="74"/>
      <c r="BJ4097" s="77"/>
      <c r="BL4097" s="497">
        <v>57.019999999999996</v>
      </c>
      <c r="BN4097" s="42"/>
      <c r="BO4097" s="74"/>
      <c r="BP4097" s="77"/>
      <c r="BR4097" s="497">
        <v>69.080000000000013</v>
      </c>
      <c r="BT4097" s="42"/>
    </row>
    <row r="4098" spans="1:72" x14ac:dyDescent="0.25">
      <c r="A4098" s="90">
        <v>34504</v>
      </c>
      <c r="B4098" s="20">
        <v>1</v>
      </c>
      <c r="D4098">
        <v>64.94</v>
      </c>
      <c r="E4098" t="str">
        <f t="shared" si="162"/>
        <v>SUNDAY</v>
      </c>
      <c r="F4098" t="e">
        <f t="shared" si="163"/>
        <v>#N/A</v>
      </c>
      <c r="G4098" s="74">
        <v>33043</v>
      </c>
      <c r="H4098" s="77">
        <v>1</v>
      </c>
      <c r="J4098">
        <v>66.92</v>
      </c>
      <c r="M4098" s="74">
        <v>37791</v>
      </c>
      <c r="N4098" s="80">
        <v>1</v>
      </c>
      <c r="P4098">
        <v>66.2</v>
      </c>
      <c r="S4098" s="74">
        <v>34504</v>
      </c>
      <c r="T4098" s="80">
        <v>1</v>
      </c>
      <c r="V4098">
        <v>75.92</v>
      </c>
      <c r="X4098" s="42"/>
      <c r="AB4098">
        <v>68.5</v>
      </c>
      <c r="AC4098">
        <v>73.039999999999992</v>
      </c>
      <c r="AE4098" s="74"/>
      <c r="AF4098" s="80"/>
      <c r="AH4098" s="497">
        <v>55.400000000000006</v>
      </c>
      <c r="AJ4098" s="42"/>
      <c r="AK4098" s="74"/>
      <c r="AL4098" s="80"/>
      <c r="AN4098" s="497">
        <v>64.039999999999992</v>
      </c>
      <c r="AP4098" s="42"/>
      <c r="AQ4098" s="74"/>
      <c r="AR4098" s="80"/>
      <c r="AT4098" s="497">
        <v>57.92</v>
      </c>
      <c r="AV4098" s="42"/>
      <c r="AW4098" s="74"/>
      <c r="AX4098" s="80"/>
      <c r="BA4098" s="497">
        <v>54.32</v>
      </c>
      <c r="BB4098" s="42"/>
      <c r="BC4098" s="74"/>
      <c r="BD4098" s="80"/>
      <c r="BF4098">
        <v>62.96</v>
      </c>
      <c r="BH4098" s="42"/>
      <c r="BI4098" s="74"/>
      <c r="BJ4098" s="80"/>
      <c r="BL4098" s="497">
        <v>53.96</v>
      </c>
      <c r="BN4098" s="42"/>
      <c r="BO4098" s="74"/>
      <c r="BP4098" s="80"/>
      <c r="BR4098" s="497">
        <v>69.080000000000013</v>
      </c>
      <c r="BT4098" s="42"/>
    </row>
    <row r="4099" spans="1:72" x14ac:dyDescent="0.25">
      <c r="A4099" s="90">
        <v>34505</v>
      </c>
      <c r="B4099" s="20">
        <v>4.1666666666666664E-2</v>
      </c>
      <c r="D4099">
        <v>62.96</v>
      </c>
      <c r="E4099" t="str">
        <f t="shared" si="162"/>
        <v>WEEKDAY</v>
      </c>
      <c r="F4099" t="e">
        <f t="shared" si="163"/>
        <v>#N/A</v>
      </c>
      <c r="G4099" s="74">
        <v>33044</v>
      </c>
      <c r="H4099" s="77">
        <v>4.1666666666666664E-2</v>
      </c>
      <c r="J4099">
        <v>66.92</v>
      </c>
      <c r="M4099" s="74">
        <v>37792</v>
      </c>
      <c r="N4099" s="77">
        <v>4.1666666666666664E-2</v>
      </c>
      <c r="P4099">
        <v>64.400000000000006</v>
      </c>
      <c r="S4099" s="74">
        <v>34505</v>
      </c>
      <c r="T4099" s="77">
        <v>4.1666666666666664E-2</v>
      </c>
      <c r="V4099">
        <v>75.02</v>
      </c>
      <c r="X4099" s="42"/>
      <c r="AB4099">
        <v>67.900000000000006</v>
      </c>
      <c r="AC4099">
        <v>71.06</v>
      </c>
      <c r="AE4099" s="74"/>
      <c r="AF4099" s="77"/>
      <c r="AH4099" s="497">
        <v>55.400000000000006</v>
      </c>
      <c r="AJ4099" s="42"/>
      <c r="AK4099" s="74"/>
      <c r="AL4099" s="77"/>
      <c r="AN4099" s="497">
        <v>62.06</v>
      </c>
      <c r="AP4099" s="42"/>
      <c r="AQ4099" s="74"/>
      <c r="AR4099" s="77"/>
      <c r="AT4099" s="497">
        <v>57.92</v>
      </c>
      <c r="AV4099" s="42"/>
      <c r="AW4099" s="74"/>
      <c r="AX4099" s="77"/>
      <c r="BA4099" s="497">
        <v>51.980000000000004</v>
      </c>
      <c r="BB4099" s="42"/>
      <c r="BC4099" s="74"/>
      <c r="BD4099" s="77"/>
      <c r="BF4099">
        <v>60.08</v>
      </c>
      <c r="BH4099" s="42"/>
      <c r="BI4099" s="74"/>
      <c r="BJ4099" s="77"/>
      <c r="BL4099" s="497">
        <v>51.980000000000004</v>
      </c>
      <c r="BN4099" s="42"/>
      <c r="BO4099" s="74"/>
      <c r="BP4099" s="77"/>
      <c r="BR4099" s="497">
        <v>68</v>
      </c>
      <c r="BT4099" s="42"/>
    </row>
    <row r="4100" spans="1:72" x14ac:dyDescent="0.25">
      <c r="A4100" s="90">
        <v>34505</v>
      </c>
      <c r="B4100" s="20">
        <v>8.3333333333333329E-2</v>
      </c>
      <c r="D4100">
        <v>62.06</v>
      </c>
      <c r="E4100" t="str">
        <f t="shared" si="162"/>
        <v>WEEKDAY</v>
      </c>
      <c r="F4100" t="e">
        <f t="shared" si="163"/>
        <v>#N/A</v>
      </c>
      <c r="G4100" s="74">
        <v>33044</v>
      </c>
      <c r="H4100" s="77">
        <v>8.3333333333333329E-2</v>
      </c>
      <c r="J4100">
        <v>68</v>
      </c>
      <c r="M4100" s="74">
        <v>37792</v>
      </c>
      <c r="N4100" s="77">
        <v>8.3333333333333329E-2</v>
      </c>
      <c r="P4100">
        <v>64.400000000000006</v>
      </c>
      <c r="S4100" s="74">
        <v>34505</v>
      </c>
      <c r="T4100" s="77">
        <v>8.3333333333333329E-2</v>
      </c>
      <c r="V4100">
        <v>75.02</v>
      </c>
      <c r="X4100" s="42"/>
      <c r="AB4100">
        <v>67.400000000000006</v>
      </c>
      <c r="AC4100">
        <v>69.98</v>
      </c>
      <c r="AE4100" s="74"/>
      <c r="AF4100" s="77"/>
      <c r="AH4100" s="497">
        <v>54.14</v>
      </c>
      <c r="AJ4100" s="42"/>
      <c r="AK4100" s="74"/>
      <c r="AL4100" s="77"/>
      <c r="AN4100" s="497">
        <v>60.08</v>
      </c>
      <c r="AP4100" s="42"/>
      <c r="AQ4100" s="74"/>
      <c r="AR4100" s="77"/>
      <c r="AT4100" s="497">
        <v>57.92</v>
      </c>
      <c r="AV4100" s="42"/>
      <c r="AW4100" s="74"/>
      <c r="AX4100" s="77"/>
      <c r="BA4100" s="497">
        <v>51.26</v>
      </c>
      <c r="BB4100" s="42"/>
      <c r="BC4100" s="74"/>
      <c r="BD4100" s="77"/>
      <c r="BF4100">
        <v>60.08</v>
      </c>
      <c r="BH4100" s="42"/>
      <c r="BI4100" s="74"/>
      <c r="BJ4100" s="77"/>
      <c r="BL4100" s="497">
        <v>51.980000000000004</v>
      </c>
      <c r="BN4100" s="42"/>
      <c r="BO4100" s="74"/>
      <c r="BP4100" s="77"/>
      <c r="BR4100" s="497">
        <v>68</v>
      </c>
      <c r="BT4100" s="42"/>
    </row>
    <row r="4101" spans="1:72" x14ac:dyDescent="0.25">
      <c r="A4101" s="90">
        <v>34505</v>
      </c>
      <c r="B4101" s="20">
        <v>0.125</v>
      </c>
      <c r="D4101">
        <v>60.980000000000004</v>
      </c>
      <c r="E4101" t="str">
        <f t="shared" si="162"/>
        <v>WEEKDAY</v>
      </c>
      <c r="F4101" t="e">
        <f t="shared" si="163"/>
        <v>#N/A</v>
      </c>
      <c r="G4101" s="74">
        <v>33044</v>
      </c>
      <c r="H4101" s="77">
        <v>0.125</v>
      </c>
      <c r="J4101">
        <v>66.02</v>
      </c>
      <c r="M4101" s="74">
        <v>37792</v>
      </c>
      <c r="N4101" s="77">
        <v>0.125</v>
      </c>
      <c r="P4101">
        <v>64.400000000000006</v>
      </c>
      <c r="S4101" s="74">
        <v>34505</v>
      </c>
      <c r="T4101" s="77">
        <v>0.125</v>
      </c>
      <c r="V4101">
        <v>71.960000000000008</v>
      </c>
      <c r="X4101" s="42"/>
      <c r="AB4101">
        <v>67</v>
      </c>
      <c r="AC4101">
        <v>69.080000000000013</v>
      </c>
      <c r="AE4101" s="74"/>
      <c r="AF4101" s="77"/>
      <c r="AH4101" s="497">
        <v>53.06</v>
      </c>
      <c r="AJ4101" s="42"/>
      <c r="AK4101" s="74"/>
      <c r="AL4101" s="77"/>
      <c r="AN4101" s="497">
        <v>59</v>
      </c>
      <c r="AP4101" s="42"/>
      <c r="AQ4101" s="74"/>
      <c r="AR4101" s="77"/>
      <c r="AT4101" s="497">
        <v>59</v>
      </c>
      <c r="AV4101" s="42"/>
      <c r="AW4101" s="74"/>
      <c r="AX4101" s="77"/>
      <c r="BA4101" s="497">
        <v>50.72</v>
      </c>
      <c r="BB4101" s="42"/>
      <c r="BC4101" s="74"/>
      <c r="BD4101" s="77"/>
      <c r="BF4101">
        <v>57.92</v>
      </c>
      <c r="BH4101" s="42"/>
      <c r="BI4101" s="74"/>
      <c r="BJ4101" s="77"/>
      <c r="BL4101" s="497">
        <v>50</v>
      </c>
      <c r="BN4101" s="42"/>
      <c r="BO4101" s="74"/>
      <c r="BP4101" s="77"/>
      <c r="BR4101" s="497">
        <v>66.92</v>
      </c>
      <c r="BT4101" s="42"/>
    </row>
    <row r="4102" spans="1:72" x14ac:dyDescent="0.25">
      <c r="A4102" s="90">
        <v>34505</v>
      </c>
      <c r="B4102" s="20">
        <v>0.16666666666666666</v>
      </c>
      <c r="D4102">
        <v>60.08</v>
      </c>
      <c r="E4102" t="str">
        <f t="shared" si="162"/>
        <v>WEEKDAY</v>
      </c>
      <c r="F4102" t="e">
        <f t="shared" si="163"/>
        <v>#N/A</v>
      </c>
      <c r="G4102" s="74">
        <v>33044</v>
      </c>
      <c r="H4102" s="77">
        <v>0.16666666666666666</v>
      </c>
      <c r="J4102">
        <v>66.02</v>
      </c>
      <c r="M4102" s="74">
        <v>37792</v>
      </c>
      <c r="N4102" s="77">
        <v>0.16666666666666666</v>
      </c>
      <c r="P4102">
        <v>64.400000000000006</v>
      </c>
      <c r="S4102" s="74">
        <v>34505</v>
      </c>
      <c r="T4102" s="77">
        <v>0.16666666666666666</v>
      </c>
      <c r="V4102">
        <v>69.98</v>
      </c>
      <c r="X4102" s="42"/>
      <c r="AB4102">
        <v>66.5</v>
      </c>
      <c r="AC4102">
        <v>66.02</v>
      </c>
      <c r="AE4102" s="74"/>
      <c r="AF4102" s="77"/>
      <c r="AH4102" s="497">
        <v>52.16</v>
      </c>
      <c r="AJ4102" s="42"/>
      <c r="AK4102" s="74"/>
      <c r="AL4102" s="77"/>
      <c r="AN4102" s="497">
        <v>57.92</v>
      </c>
      <c r="AP4102" s="42"/>
      <c r="AQ4102" s="74"/>
      <c r="AR4102" s="77"/>
      <c r="AT4102" s="497">
        <v>59</v>
      </c>
      <c r="AV4102" s="42"/>
      <c r="AW4102" s="74"/>
      <c r="AX4102" s="77"/>
      <c r="BA4102" s="497">
        <v>50</v>
      </c>
      <c r="BB4102" s="42"/>
      <c r="BC4102" s="74"/>
      <c r="BD4102" s="77"/>
      <c r="BF4102">
        <v>57.019999999999996</v>
      </c>
      <c r="BH4102" s="42"/>
      <c r="BI4102" s="74"/>
      <c r="BJ4102" s="77"/>
      <c r="BL4102" s="497">
        <v>50</v>
      </c>
      <c r="BN4102" s="42"/>
      <c r="BO4102" s="74"/>
      <c r="BP4102" s="77"/>
      <c r="BR4102" s="497">
        <v>66.02</v>
      </c>
      <c r="BT4102" s="42"/>
    </row>
    <row r="4103" spans="1:72" x14ac:dyDescent="0.25">
      <c r="A4103" s="90">
        <v>34505</v>
      </c>
      <c r="B4103" s="20">
        <v>0.20833333333333334</v>
      </c>
      <c r="D4103">
        <v>59</v>
      </c>
      <c r="E4103" t="str">
        <f t="shared" si="162"/>
        <v>WEEKDAY</v>
      </c>
      <c r="F4103" t="e">
        <f t="shared" si="163"/>
        <v>#N/A</v>
      </c>
      <c r="G4103" s="74">
        <v>33044</v>
      </c>
      <c r="H4103" s="77">
        <v>0.20833333333333334</v>
      </c>
      <c r="J4103">
        <v>64.94</v>
      </c>
      <c r="M4103" s="74">
        <v>37792</v>
      </c>
      <c r="N4103" s="77">
        <v>0.20833333333333334</v>
      </c>
      <c r="P4103">
        <v>64.400000000000006</v>
      </c>
      <c r="S4103" s="74">
        <v>34505</v>
      </c>
      <c r="T4103" s="77">
        <v>0.20833333333333334</v>
      </c>
      <c r="V4103">
        <v>69.080000000000013</v>
      </c>
      <c r="X4103" s="42"/>
      <c r="AB4103">
        <v>66.099999999999994</v>
      </c>
      <c r="AC4103">
        <v>66.02</v>
      </c>
      <c r="AE4103" s="74"/>
      <c r="AF4103" s="77"/>
      <c r="AH4103" s="497">
        <v>51.8</v>
      </c>
      <c r="AJ4103" s="42"/>
      <c r="AK4103" s="74"/>
      <c r="AL4103" s="77"/>
      <c r="AN4103" s="497">
        <v>59</v>
      </c>
      <c r="AP4103" s="42"/>
      <c r="AQ4103" s="74"/>
      <c r="AR4103" s="77"/>
      <c r="AT4103" s="497">
        <v>59</v>
      </c>
      <c r="AV4103" s="42"/>
      <c r="AW4103" s="74"/>
      <c r="AX4103" s="77"/>
      <c r="BA4103" s="497">
        <v>53.06</v>
      </c>
      <c r="BB4103" s="42"/>
      <c r="BC4103" s="74"/>
      <c r="BD4103" s="77"/>
      <c r="BF4103">
        <v>55.040000000000006</v>
      </c>
      <c r="BH4103" s="42"/>
      <c r="BI4103" s="74"/>
      <c r="BJ4103" s="77"/>
      <c r="BL4103" s="497">
        <v>50</v>
      </c>
      <c r="BN4103" s="42"/>
      <c r="BO4103" s="74"/>
      <c r="BP4103" s="77"/>
      <c r="BR4103" s="497">
        <v>64.94</v>
      </c>
      <c r="BT4103" s="42"/>
    </row>
    <row r="4104" spans="1:72" x14ac:dyDescent="0.25">
      <c r="A4104" s="90">
        <v>34505</v>
      </c>
      <c r="B4104" s="20">
        <v>0.25</v>
      </c>
      <c r="D4104">
        <v>60.08</v>
      </c>
      <c r="E4104" t="str">
        <f t="shared" si="162"/>
        <v>WEEKDAY</v>
      </c>
      <c r="F4104" t="e">
        <f t="shared" si="163"/>
        <v>#N/A</v>
      </c>
      <c r="G4104" s="74">
        <v>33044</v>
      </c>
      <c r="H4104" s="77">
        <v>0.25</v>
      </c>
      <c r="J4104">
        <v>66.02</v>
      </c>
      <c r="M4104" s="74">
        <v>37792</v>
      </c>
      <c r="N4104" s="77">
        <v>0.25</v>
      </c>
      <c r="P4104">
        <v>64.400000000000006</v>
      </c>
      <c r="S4104" s="74">
        <v>34505</v>
      </c>
      <c r="T4104" s="77">
        <v>0.25</v>
      </c>
      <c r="V4104">
        <v>71.06</v>
      </c>
      <c r="X4104" s="42"/>
      <c r="AB4104">
        <v>66.099999999999994</v>
      </c>
      <c r="AC4104">
        <v>69.080000000000013</v>
      </c>
      <c r="AE4104" s="74"/>
      <c r="AF4104" s="77"/>
      <c r="AH4104" s="497">
        <v>51.8</v>
      </c>
      <c r="AJ4104" s="42"/>
      <c r="AK4104" s="74"/>
      <c r="AL4104" s="77"/>
      <c r="AN4104" s="497">
        <v>60.08</v>
      </c>
      <c r="AP4104" s="42"/>
      <c r="AQ4104" s="74"/>
      <c r="AR4104" s="77"/>
      <c r="AT4104" s="497">
        <v>59</v>
      </c>
      <c r="AV4104" s="42"/>
      <c r="AW4104" s="74"/>
      <c r="AX4104" s="77"/>
      <c r="BA4104" s="497">
        <v>55.94</v>
      </c>
      <c r="BB4104" s="42"/>
      <c r="BC4104" s="74"/>
      <c r="BD4104" s="77"/>
      <c r="BF4104">
        <v>55.94</v>
      </c>
      <c r="BH4104" s="42"/>
      <c r="BI4104" s="74"/>
      <c r="BJ4104" s="77"/>
      <c r="BL4104" s="497">
        <v>53.06</v>
      </c>
      <c r="BN4104" s="42"/>
      <c r="BO4104" s="74"/>
      <c r="BP4104" s="77"/>
      <c r="BR4104" s="497">
        <v>64.039999999999992</v>
      </c>
      <c r="BT4104" s="42"/>
    </row>
    <row r="4105" spans="1:72" x14ac:dyDescent="0.25">
      <c r="A4105" s="90">
        <v>34505</v>
      </c>
      <c r="B4105" s="20">
        <v>0.29166666666666669</v>
      </c>
      <c r="D4105">
        <v>60.980000000000004</v>
      </c>
      <c r="E4105" t="str">
        <f t="shared" si="162"/>
        <v>WEEKDAY</v>
      </c>
      <c r="F4105" t="e">
        <f t="shared" si="163"/>
        <v>#N/A</v>
      </c>
      <c r="G4105" s="74">
        <v>33044</v>
      </c>
      <c r="H4105" s="77">
        <v>0.29166666666666669</v>
      </c>
      <c r="J4105">
        <v>66.92</v>
      </c>
      <c r="M4105" s="74">
        <v>37792</v>
      </c>
      <c r="N4105" s="77">
        <v>0.29166666666666669</v>
      </c>
      <c r="P4105">
        <v>64.400000000000006</v>
      </c>
      <c r="S4105" s="74">
        <v>34505</v>
      </c>
      <c r="T4105" s="77">
        <v>0.29166666666666669</v>
      </c>
      <c r="V4105">
        <v>73.039999999999992</v>
      </c>
      <c r="X4105" s="42"/>
      <c r="AB4105">
        <v>67.7</v>
      </c>
      <c r="AC4105">
        <v>73.039999999999992</v>
      </c>
      <c r="AE4105" s="74"/>
      <c r="AF4105" s="77"/>
      <c r="AH4105" s="497">
        <v>60.8</v>
      </c>
      <c r="AJ4105" s="42"/>
      <c r="AK4105" s="74"/>
      <c r="AL4105" s="77"/>
      <c r="AN4105" s="497">
        <v>62.06</v>
      </c>
      <c r="AP4105" s="42"/>
      <c r="AQ4105" s="74"/>
      <c r="AR4105" s="77"/>
      <c r="AT4105" s="497">
        <v>59</v>
      </c>
      <c r="AV4105" s="42"/>
      <c r="AW4105" s="74"/>
      <c r="AX4105" s="77"/>
      <c r="BA4105" s="497">
        <v>59</v>
      </c>
      <c r="BB4105" s="42"/>
      <c r="BC4105" s="74"/>
      <c r="BD4105" s="77"/>
      <c r="BF4105">
        <v>60.980000000000004</v>
      </c>
      <c r="BH4105" s="42"/>
      <c r="BI4105" s="74"/>
      <c r="BJ4105" s="77"/>
      <c r="BL4105" s="497">
        <v>57.92</v>
      </c>
      <c r="BN4105" s="42"/>
      <c r="BO4105" s="74"/>
      <c r="BP4105" s="77"/>
      <c r="BR4105" s="497">
        <v>66.92</v>
      </c>
      <c r="BT4105" s="42"/>
    </row>
    <row r="4106" spans="1:72" x14ac:dyDescent="0.25">
      <c r="A4106" s="90">
        <v>34505</v>
      </c>
      <c r="B4106" s="20">
        <v>0.33333333333333331</v>
      </c>
      <c r="D4106">
        <v>62.96</v>
      </c>
      <c r="E4106" t="str">
        <f t="shared" si="162"/>
        <v>WEEKDAY</v>
      </c>
      <c r="F4106" t="e">
        <f t="shared" si="163"/>
        <v>#N/A</v>
      </c>
      <c r="G4106" s="74">
        <v>33044</v>
      </c>
      <c r="H4106" s="77">
        <v>0.33333333333333331</v>
      </c>
      <c r="J4106">
        <v>69.98</v>
      </c>
      <c r="M4106" s="74">
        <v>37792</v>
      </c>
      <c r="N4106" s="77">
        <v>0.33333333333333331</v>
      </c>
      <c r="P4106">
        <v>64.400000000000006</v>
      </c>
      <c r="S4106" s="74">
        <v>34505</v>
      </c>
      <c r="T4106" s="77">
        <v>0.33333333333333331</v>
      </c>
      <c r="V4106">
        <v>77</v>
      </c>
      <c r="X4106" s="42"/>
      <c r="AB4106">
        <v>69.5</v>
      </c>
      <c r="AC4106">
        <v>75.02</v>
      </c>
      <c r="AE4106" s="74"/>
      <c r="AF4106" s="77"/>
      <c r="AH4106" s="497">
        <v>66.2</v>
      </c>
      <c r="AJ4106" s="42"/>
      <c r="AK4106" s="74"/>
      <c r="AL4106" s="77"/>
      <c r="AN4106" s="497">
        <v>68</v>
      </c>
      <c r="AP4106" s="42"/>
      <c r="AQ4106" s="74"/>
      <c r="AR4106" s="77"/>
      <c r="AT4106" s="497">
        <v>59</v>
      </c>
      <c r="AV4106" s="42"/>
      <c r="AW4106" s="74"/>
      <c r="AX4106" s="77"/>
      <c r="BA4106" s="497">
        <v>63.680000000000007</v>
      </c>
      <c r="BB4106" s="42"/>
      <c r="BC4106" s="74"/>
      <c r="BD4106" s="77"/>
      <c r="BF4106">
        <v>66.02</v>
      </c>
      <c r="BH4106" s="42"/>
      <c r="BI4106" s="74"/>
      <c r="BJ4106" s="77"/>
      <c r="BL4106" s="497">
        <v>66.92</v>
      </c>
      <c r="BN4106" s="42"/>
      <c r="BO4106" s="74"/>
      <c r="BP4106" s="77"/>
      <c r="BR4106" s="497">
        <v>66.02</v>
      </c>
      <c r="BT4106" s="42"/>
    </row>
    <row r="4107" spans="1:72" x14ac:dyDescent="0.25">
      <c r="A4107" s="90">
        <v>34505</v>
      </c>
      <c r="B4107" s="20">
        <v>0.375</v>
      </c>
      <c r="D4107">
        <v>64.039999999999992</v>
      </c>
      <c r="E4107" t="str">
        <f t="shared" si="162"/>
        <v>WEEKDAY</v>
      </c>
      <c r="F4107" t="e">
        <f t="shared" si="163"/>
        <v>#N/A</v>
      </c>
      <c r="G4107" s="74">
        <v>33044</v>
      </c>
      <c r="H4107" s="77">
        <v>0.375</v>
      </c>
      <c r="J4107">
        <v>71.960000000000008</v>
      </c>
      <c r="M4107" s="74">
        <v>37792</v>
      </c>
      <c r="N4107" s="77">
        <v>0.375</v>
      </c>
      <c r="P4107">
        <v>64.400000000000006</v>
      </c>
      <c r="S4107" s="74">
        <v>34505</v>
      </c>
      <c r="T4107" s="77">
        <v>0.375</v>
      </c>
      <c r="V4107">
        <v>80.06</v>
      </c>
      <c r="X4107" s="42"/>
      <c r="AB4107">
        <v>71.400000000000006</v>
      </c>
      <c r="AC4107">
        <v>78.98</v>
      </c>
      <c r="AE4107" s="74"/>
      <c r="AF4107" s="77"/>
      <c r="AH4107" s="497">
        <v>66.2</v>
      </c>
      <c r="AJ4107" s="42"/>
      <c r="AK4107" s="74"/>
      <c r="AL4107" s="77"/>
      <c r="AN4107" s="497">
        <v>71.06</v>
      </c>
      <c r="AP4107" s="42"/>
      <c r="AQ4107" s="74"/>
      <c r="AR4107" s="77"/>
      <c r="AT4107" s="497">
        <v>60.980000000000004</v>
      </c>
      <c r="AV4107" s="42"/>
      <c r="AW4107" s="74"/>
      <c r="AX4107" s="77"/>
      <c r="BA4107" s="497">
        <v>68.36</v>
      </c>
      <c r="BB4107" s="42"/>
      <c r="BC4107" s="74"/>
      <c r="BD4107" s="77"/>
      <c r="BF4107">
        <v>71.06</v>
      </c>
      <c r="BH4107" s="42"/>
      <c r="BI4107" s="74"/>
      <c r="BJ4107" s="77"/>
      <c r="BL4107" s="497">
        <v>73.039999999999992</v>
      </c>
      <c r="BN4107" s="42"/>
      <c r="BO4107" s="74"/>
      <c r="BP4107" s="77"/>
      <c r="BR4107" s="497">
        <v>64.94</v>
      </c>
      <c r="BT4107" s="42"/>
    </row>
    <row r="4108" spans="1:72" x14ac:dyDescent="0.25">
      <c r="A4108" s="90">
        <v>34505</v>
      </c>
      <c r="B4108" s="20">
        <v>0.41666666666666669</v>
      </c>
      <c r="D4108">
        <v>64.94</v>
      </c>
      <c r="E4108" t="str">
        <f t="shared" si="162"/>
        <v>WEEKDAY</v>
      </c>
      <c r="F4108" t="e">
        <f t="shared" si="163"/>
        <v>#N/A</v>
      </c>
      <c r="G4108" s="74">
        <v>33044</v>
      </c>
      <c r="H4108" s="77">
        <v>0.41666666666666669</v>
      </c>
      <c r="J4108">
        <v>73.94</v>
      </c>
      <c r="M4108" s="74">
        <v>37792</v>
      </c>
      <c r="N4108" s="77">
        <v>0.41666666666666669</v>
      </c>
      <c r="P4108">
        <v>64.400000000000006</v>
      </c>
      <c r="S4108" s="74">
        <v>34505</v>
      </c>
      <c r="T4108" s="77">
        <v>0.41666666666666669</v>
      </c>
      <c r="V4108">
        <v>80.960000000000008</v>
      </c>
      <c r="X4108" s="42"/>
      <c r="AB4108">
        <v>73.2</v>
      </c>
      <c r="AC4108">
        <v>78.98</v>
      </c>
      <c r="AE4108" s="74"/>
      <c r="AF4108" s="77"/>
      <c r="AH4108" s="497">
        <v>73.400000000000006</v>
      </c>
      <c r="AJ4108" s="42"/>
      <c r="AK4108" s="74"/>
      <c r="AL4108" s="77"/>
      <c r="AN4108" s="497">
        <v>73.039999999999992</v>
      </c>
      <c r="AP4108" s="42"/>
      <c r="AQ4108" s="74"/>
      <c r="AR4108" s="77"/>
      <c r="AT4108" s="497">
        <v>62.96</v>
      </c>
      <c r="AV4108" s="42"/>
      <c r="AW4108" s="74"/>
      <c r="AX4108" s="77"/>
      <c r="BA4108" s="497">
        <v>73.039999999999992</v>
      </c>
      <c r="BB4108" s="42"/>
      <c r="BC4108" s="74"/>
      <c r="BD4108" s="77"/>
      <c r="BF4108">
        <v>73.94</v>
      </c>
      <c r="BH4108" s="42"/>
      <c r="BI4108" s="74"/>
      <c r="BJ4108" s="77"/>
      <c r="BL4108" s="497">
        <v>75.92</v>
      </c>
      <c r="BN4108" s="42"/>
      <c r="BO4108" s="74"/>
      <c r="BP4108" s="77"/>
      <c r="BR4108" s="497">
        <v>68</v>
      </c>
      <c r="BT4108" s="42"/>
    </row>
    <row r="4109" spans="1:72" x14ac:dyDescent="0.25">
      <c r="A4109" s="90">
        <v>34505</v>
      </c>
      <c r="B4109" s="20">
        <v>0.45833333333333331</v>
      </c>
      <c r="D4109">
        <v>68</v>
      </c>
      <c r="E4109" t="str">
        <f t="shared" si="162"/>
        <v>WEEKDAY</v>
      </c>
      <c r="F4109" t="e">
        <f t="shared" si="163"/>
        <v>#N/A</v>
      </c>
      <c r="G4109" s="74">
        <v>33044</v>
      </c>
      <c r="H4109" s="77">
        <v>0.45833333333333331</v>
      </c>
      <c r="J4109">
        <v>75.02</v>
      </c>
      <c r="M4109" s="74">
        <v>37792</v>
      </c>
      <c r="N4109" s="77">
        <v>0.45833333333333331</v>
      </c>
      <c r="P4109">
        <v>64.400000000000006</v>
      </c>
      <c r="S4109" s="74">
        <v>34505</v>
      </c>
      <c r="T4109" s="77">
        <v>0.45833333333333331</v>
      </c>
      <c r="V4109">
        <v>80.06</v>
      </c>
      <c r="X4109" s="42"/>
      <c r="AB4109">
        <v>74.7</v>
      </c>
      <c r="AC4109">
        <v>78.080000000000013</v>
      </c>
      <c r="AE4109" s="74"/>
      <c r="AF4109" s="77"/>
      <c r="AH4109" s="497">
        <v>75.2</v>
      </c>
      <c r="AJ4109" s="42"/>
      <c r="AK4109" s="74"/>
      <c r="AL4109" s="77"/>
      <c r="AN4109" s="497">
        <v>77</v>
      </c>
      <c r="AP4109" s="42"/>
      <c r="AQ4109" s="74"/>
      <c r="AR4109" s="77"/>
      <c r="AT4109" s="497">
        <v>64.94</v>
      </c>
      <c r="AV4109" s="42"/>
      <c r="AW4109" s="74"/>
      <c r="AX4109" s="77"/>
      <c r="BA4109" s="497">
        <v>75.740000000000009</v>
      </c>
      <c r="BB4109" s="42"/>
      <c r="BC4109" s="74"/>
      <c r="BD4109" s="77"/>
      <c r="BF4109">
        <v>75.92</v>
      </c>
      <c r="BH4109" s="42"/>
      <c r="BI4109" s="74"/>
      <c r="BJ4109" s="77"/>
      <c r="BL4109" s="497">
        <v>78.080000000000013</v>
      </c>
      <c r="BN4109" s="42"/>
      <c r="BO4109" s="74"/>
      <c r="BP4109" s="77"/>
      <c r="BR4109" s="497">
        <v>68</v>
      </c>
      <c r="BT4109" s="42"/>
    </row>
    <row r="4110" spans="1:72" x14ac:dyDescent="0.25">
      <c r="A4110" s="90">
        <v>34505</v>
      </c>
      <c r="B4110" s="20">
        <v>0.5</v>
      </c>
      <c r="D4110">
        <v>69.080000000000013</v>
      </c>
      <c r="E4110" t="str">
        <f t="shared" si="162"/>
        <v>WEEKDAY</v>
      </c>
      <c r="F4110" t="e">
        <f t="shared" si="163"/>
        <v>#N/A</v>
      </c>
      <c r="G4110" s="74">
        <v>33044</v>
      </c>
      <c r="H4110" s="77">
        <v>0.5</v>
      </c>
      <c r="J4110">
        <v>75.92</v>
      </c>
      <c r="M4110" s="74">
        <v>37792</v>
      </c>
      <c r="N4110" s="77">
        <v>0.5</v>
      </c>
      <c r="P4110">
        <v>66.2</v>
      </c>
      <c r="S4110" s="74">
        <v>34505</v>
      </c>
      <c r="T4110" s="77">
        <v>0.5</v>
      </c>
      <c r="V4110">
        <v>80.960000000000008</v>
      </c>
      <c r="X4110" s="42"/>
      <c r="AB4110">
        <v>75.8</v>
      </c>
      <c r="AC4110">
        <v>78.98</v>
      </c>
      <c r="AE4110" s="74"/>
      <c r="AF4110" s="77"/>
      <c r="AH4110" s="497">
        <v>75.2</v>
      </c>
      <c r="AJ4110" s="42"/>
      <c r="AK4110" s="74"/>
      <c r="AL4110" s="77"/>
      <c r="AN4110" s="497">
        <v>78.080000000000013</v>
      </c>
      <c r="AP4110" s="42"/>
      <c r="AQ4110" s="74"/>
      <c r="AR4110" s="77"/>
      <c r="AT4110" s="497">
        <v>66.92</v>
      </c>
      <c r="AV4110" s="42"/>
      <c r="AW4110" s="74"/>
      <c r="AX4110" s="77"/>
      <c r="BA4110" s="497">
        <v>78.259999999999991</v>
      </c>
      <c r="BB4110" s="42"/>
      <c r="BC4110" s="74"/>
      <c r="BD4110" s="77"/>
      <c r="BF4110">
        <v>78.080000000000013</v>
      </c>
      <c r="BH4110" s="42"/>
      <c r="BI4110" s="74"/>
      <c r="BJ4110" s="77"/>
      <c r="BL4110" s="497">
        <v>80.06</v>
      </c>
      <c r="BN4110" s="42"/>
      <c r="BO4110" s="74"/>
      <c r="BP4110" s="77"/>
      <c r="BR4110" s="497">
        <v>69.98</v>
      </c>
      <c r="BT4110" s="42"/>
    </row>
    <row r="4111" spans="1:72" x14ac:dyDescent="0.25">
      <c r="A4111" s="90">
        <v>34505</v>
      </c>
      <c r="B4111" s="20">
        <v>0.54166666666666663</v>
      </c>
      <c r="D4111">
        <v>69.98</v>
      </c>
      <c r="E4111" t="str">
        <f t="shared" si="162"/>
        <v>WEEKDAY</v>
      </c>
      <c r="F4111" t="e">
        <f t="shared" si="163"/>
        <v>#N/A</v>
      </c>
      <c r="G4111" s="74">
        <v>33044</v>
      </c>
      <c r="H4111" s="77">
        <v>0.54166666666666663</v>
      </c>
      <c r="J4111">
        <v>75.92</v>
      </c>
      <c r="M4111" s="74">
        <v>37792</v>
      </c>
      <c r="N4111" s="77">
        <v>0.54166666666666663</v>
      </c>
      <c r="P4111">
        <v>66.2</v>
      </c>
      <c r="S4111" s="74">
        <v>34505</v>
      </c>
      <c r="T4111" s="77">
        <v>0.54166666666666663</v>
      </c>
      <c r="V4111">
        <v>80.06</v>
      </c>
      <c r="X4111" s="42"/>
      <c r="AB4111">
        <v>76.599999999999994</v>
      </c>
      <c r="AC4111">
        <v>80.960000000000008</v>
      </c>
      <c r="AE4111" s="74"/>
      <c r="AF4111" s="77"/>
      <c r="AH4111" s="497">
        <v>75.2</v>
      </c>
      <c r="AJ4111" s="42"/>
      <c r="AK4111" s="74"/>
      <c r="AL4111" s="77"/>
      <c r="AN4111" s="497">
        <v>80.06</v>
      </c>
      <c r="AP4111" s="42"/>
      <c r="AQ4111" s="74"/>
      <c r="AR4111" s="77"/>
      <c r="AT4111" s="497">
        <v>69.98</v>
      </c>
      <c r="AV4111" s="42"/>
      <c r="AW4111" s="74"/>
      <c r="AX4111" s="77"/>
      <c r="BA4111" s="497">
        <v>80.960000000000008</v>
      </c>
      <c r="BB4111" s="42"/>
      <c r="BC4111" s="74"/>
      <c r="BD4111" s="77"/>
      <c r="BF4111">
        <v>80.06</v>
      </c>
      <c r="BH4111" s="42"/>
      <c r="BI4111" s="74"/>
      <c r="BJ4111" s="77"/>
      <c r="BL4111" s="497">
        <v>80.960000000000008</v>
      </c>
      <c r="BN4111" s="42"/>
      <c r="BO4111" s="74"/>
      <c r="BP4111" s="77"/>
      <c r="BR4111" s="497">
        <v>71.06</v>
      </c>
      <c r="BT4111" s="42"/>
    </row>
    <row r="4112" spans="1:72" x14ac:dyDescent="0.25">
      <c r="A4112" s="90">
        <v>34505</v>
      </c>
      <c r="B4112" s="20">
        <v>0.58333333333333337</v>
      </c>
      <c r="D4112">
        <v>71.960000000000008</v>
      </c>
      <c r="E4112" t="str">
        <f t="shared" si="162"/>
        <v>WEEKDAY</v>
      </c>
      <c r="F4112" t="e">
        <f t="shared" si="163"/>
        <v>#N/A</v>
      </c>
      <c r="G4112" s="74">
        <v>33044</v>
      </c>
      <c r="H4112" s="77">
        <v>0.58333333333333337</v>
      </c>
      <c r="J4112">
        <v>75.92</v>
      </c>
      <c r="M4112" s="74">
        <v>37792</v>
      </c>
      <c r="N4112" s="77">
        <v>0.58333333333333337</v>
      </c>
      <c r="P4112">
        <v>68</v>
      </c>
      <c r="S4112" s="74">
        <v>34505</v>
      </c>
      <c r="T4112" s="77">
        <v>0.58333333333333337</v>
      </c>
      <c r="V4112">
        <v>80.960000000000008</v>
      </c>
      <c r="X4112" s="42"/>
      <c r="AB4112">
        <v>76.900000000000006</v>
      </c>
      <c r="AC4112">
        <v>78.98</v>
      </c>
      <c r="AE4112" s="74"/>
      <c r="AF4112" s="77"/>
      <c r="AH4112" s="497">
        <v>78.800000000000011</v>
      </c>
      <c r="AJ4112" s="42"/>
      <c r="AK4112" s="74"/>
      <c r="AL4112" s="77"/>
      <c r="AN4112" s="497">
        <v>80.960000000000008</v>
      </c>
      <c r="AP4112" s="42"/>
      <c r="AQ4112" s="74"/>
      <c r="AR4112" s="77"/>
      <c r="AT4112" s="497">
        <v>71.960000000000008</v>
      </c>
      <c r="AV4112" s="42"/>
      <c r="AW4112" s="74"/>
      <c r="AX4112" s="77"/>
      <c r="BA4112" s="497">
        <v>80.960000000000008</v>
      </c>
      <c r="BB4112" s="42"/>
      <c r="BC4112" s="74"/>
      <c r="BD4112" s="77"/>
      <c r="BF4112">
        <v>80.06</v>
      </c>
      <c r="BH4112" s="42"/>
      <c r="BI4112" s="74"/>
      <c r="BJ4112" s="77"/>
      <c r="BL4112" s="497">
        <v>82.039999999999992</v>
      </c>
      <c r="BN4112" s="42"/>
      <c r="BO4112" s="74"/>
      <c r="BP4112" s="77"/>
      <c r="BR4112" s="497">
        <v>69.98</v>
      </c>
      <c r="BT4112" s="42"/>
    </row>
    <row r="4113" spans="1:72" x14ac:dyDescent="0.25">
      <c r="A4113" s="90">
        <v>34505</v>
      </c>
      <c r="B4113" s="20">
        <v>0.625</v>
      </c>
      <c r="D4113">
        <v>73.039999999999992</v>
      </c>
      <c r="E4113" t="str">
        <f t="shared" si="162"/>
        <v>WEEKDAY</v>
      </c>
      <c r="F4113" t="e">
        <f t="shared" si="163"/>
        <v>#N/A</v>
      </c>
      <c r="G4113" s="74">
        <v>33044</v>
      </c>
      <c r="H4113" s="77">
        <v>0.625</v>
      </c>
      <c r="J4113">
        <v>77</v>
      </c>
      <c r="M4113" s="74">
        <v>37792</v>
      </c>
      <c r="N4113" s="77">
        <v>0.625</v>
      </c>
      <c r="P4113">
        <v>69.800000000000011</v>
      </c>
      <c r="S4113" s="74">
        <v>34505</v>
      </c>
      <c r="T4113" s="77">
        <v>0.625</v>
      </c>
      <c r="V4113">
        <v>80.960000000000008</v>
      </c>
      <c r="X4113" s="42"/>
      <c r="AB4113">
        <v>77</v>
      </c>
      <c r="AC4113">
        <v>78.080000000000013</v>
      </c>
      <c r="AE4113" s="74"/>
      <c r="AF4113" s="77"/>
      <c r="AH4113" s="497">
        <v>75.2</v>
      </c>
      <c r="AJ4113" s="42"/>
      <c r="AK4113" s="74"/>
      <c r="AL4113" s="77"/>
      <c r="AN4113" s="497">
        <v>80.960000000000008</v>
      </c>
      <c r="AP4113" s="42"/>
      <c r="AQ4113" s="74"/>
      <c r="AR4113" s="77"/>
      <c r="AT4113" s="497">
        <v>75.02</v>
      </c>
      <c r="AV4113" s="42"/>
      <c r="AW4113" s="74"/>
      <c r="AX4113" s="77"/>
      <c r="BA4113" s="497">
        <v>80.960000000000008</v>
      </c>
      <c r="BB4113" s="42"/>
      <c r="BC4113" s="74"/>
      <c r="BD4113" s="77"/>
      <c r="BF4113">
        <v>80.06</v>
      </c>
      <c r="BH4113" s="42"/>
      <c r="BI4113" s="74"/>
      <c r="BJ4113" s="77"/>
      <c r="BL4113" s="497">
        <v>82.94</v>
      </c>
      <c r="BN4113" s="42"/>
      <c r="BO4113" s="74"/>
      <c r="BP4113" s="77"/>
      <c r="BR4113" s="497">
        <v>69.98</v>
      </c>
      <c r="BT4113" s="42"/>
    </row>
    <row r="4114" spans="1:72" x14ac:dyDescent="0.25">
      <c r="A4114" s="90">
        <v>34505</v>
      </c>
      <c r="B4114" s="20">
        <v>0.66666666666666663</v>
      </c>
      <c r="D4114">
        <v>73.039999999999992</v>
      </c>
      <c r="E4114" t="str">
        <f t="shared" si="162"/>
        <v>WEEKDAY</v>
      </c>
      <c r="F4114" t="e">
        <f t="shared" si="163"/>
        <v>#N/A</v>
      </c>
      <c r="G4114" s="74">
        <v>33044</v>
      </c>
      <c r="H4114" s="77">
        <v>0.66666666666666663</v>
      </c>
      <c r="J4114">
        <v>78.080000000000013</v>
      </c>
      <c r="M4114" s="74">
        <v>37792</v>
      </c>
      <c r="N4114" s="77">
        <v>0.66666666666666663</v>
      </c>
      <c r="P4114">
        <v>68</v>
      </c>
      <c r="S4114" s="74">
        <v>34505</v>
      </c>
      <c r="T4114" s="77">
        <v>0.66666666666666663</v>
      </c>
      <c r="V4114">
        <v>78.080000000000013</v>
      </c>
      <c r="X4114" s="42"/>
      <c r="AB4114">
        <v>76.5</v>
      </c>
      <c r="AC4114">
        <v>78.080000000000013</v>
      </c>
      <c r="AE4114" s="74"/>
      <c r="AF4114" s="77"/>
      <c r="AH4114" s="497">
        <v>78.800000000000011</v>
      </c>
      <c r="AJ4114" s="42"/>
      <c r="AK4114" s="74"/>
      <c r="AL4114" s="77"/>
      <c r="AN4114" s="497">
        <v>80.06</v>
      </c>
      <c r="AP4114" s="42"/>
      <c r="AQ4114" s="74"/>
      <c r="AR4114" s="77"/>
      <c r="AT4114" s="497">
        <v>75.02</v>
      </c>
      <c r="AV4114" s="42"/>
      <c r="AW4114" s="74"/>
      <c r="AX4114" s="77"/>
      <c r="BA4114" s="497">
        <v>80.960000000000008</v>
      </c>
      <c r="BB4114" s="42"/>
      <c r="BC4114" s="74"/>
      <c r="BD4114" s="77"/>
      <c r="BF4114">
        <v>82.039999999999992</v>
      </c>
      <c r="BH4114" s="42"/>
      <c r="BI4114" s="74"/>
      <c r="BJ4114" s="77"/>
      <c r="BL4114" s="497">
        <v>82.94</v>
      </c>
      <c r="BN4114" s="42"/>
      <c r="BO4114" s="74"/>
      <c r="BP4114" s="77"/>
      <c r="BR4114" s="497">
        <v>69.98</v>
      </c>
      <c r="BT4114" s="42"/>
    </row>
    <row r="4115" spans="1:72" x14ac:dyDescent="0.25">
      <c r="A4115" s="90">
        <v>34505</v>
      </c>
      <c r="B4115" s="20">
        <v>0.70833333333333337</v>
      </c>
      <c r="D4115">
        <v>73.94</v>
      </c>
      <c r="E4115" t="str">
        <f t="shared" ref="E4115:E4178" si="164">IF(COUNTIF($DI$18:$DI$22, WEEKDAY(A4115))=1, "WEEKDAY", IF(WEEKDAY(A4115) = 1, "SUNDAY", "SATURDAY"))</f>
        <v>WEEKDAY</v>
      </c>
      <c r="F4115" t="e">
        <f t="shared" si="163"/>
        <v>#N/A</v>
      </c>
      <c r="G4115" s="74">
        <v>33044</v>
      </c>
      <c r="H4115" s="77">
        <v>0.70833333333333337</v>
      </c>
      <c r="J4115">
        <v>78.080000000000013</v>
      </c>
      <c r="M4115" s="74">
        <v>37792</v>
      </c>
      <c r="N4115" s="77">
        <v>0.70833333333333337</v>
      </c>
      <c r="P4115">
        <v>67.28</v>
      </c>
      <c r="S4115" s="74">
        <v>34505</v>
      </c>
      <c r="T4115" s="77">
        <v>0.70833333333333337</v>
      </c>
      <c r="V4115">
        <v>77</v>
      </c>
      <c r="X4115" s="42"/>
      <c r="AB4115">
        <v>75.599999999999994</v>
      </c>
      <c r="AC4115">
        <v>77</v>
      </c>
      <c r="AE4115" s="74"/>
      <c r="AF4115" s="77"/>
      <c r="AH4115" s="497">
        <v>79.34</v>
      </c>
      <c r="AJ4115" s="42"/>
      <c r="AK4115" s="74"/>
      <c r="AL4115" s="77"/>
      <c r="AN4115" s="497">
        <v>80.06</v>
      </c>
      <c r="AP4115" s="42"/>
      <c r="AQ4115" s="74"/>
      <c r="AR4115" s="77"/>
      <c r="AT4115" s="497">
        <v>75.02</v>
      </c>
      <c r="AV4115" s="42"/>
      <c r="AW4115" s="74"/>
      <c r="AX4115" s="77"/>
      <c r="BA4115" s="497">
        <v>79.7</v>
      </c>
      <c r="BB4115" s="42"/>
      <c r="BC4115" s="74"/>
      <c r="BD4115" s="77"/>
      <c r="BF4115">
        <v>80.06</v>
      </c>
      <c r="BH4115" s="42"/>
      <c r="BI4115" s="74"/>
      <c r="BJ4115" s="77"/>
      <c r="BL4115" s="497">
        <v>82.039999999999992</v>
      </c>
      <c r="BN4115" s="42"/>
      <c r="BO4115" s="74"/>
      <c r="BP4115" s="77"/>
      <c r="BR4115" s="497">
        <v>69.98</v>
      </c>
      <c r="BT4115" s="42"/>
    </row>
    <row r="4116" spans="1:72" x14ac:dyDescent="0.25">
      <c r="A4116" s="90">
        <v>34505</v>
      </c>
      <c r="B4116" s="20">
        <v>0.75</v>
      </c>
      <c r="D4116">
        <v>71.960000000000008</v>
      </c>
      <c r="E4116" t="str">
        <f t="shared" si="164"/>
        <v>WEEKDAY</v>
      </c>
      <c r="F4116" t="e">
        <f t="shared" si="163"/>
        <v>#N/A</v>
      </c>
      <c r="G4116" s="74">
        <v>33044</v>
      </c>
      <c r="H4116" s="77">
        <v>0.75</v>
      </c>
      <c r="J4116">
        <v>77</v>
      </c>
      <c r="M4116" s="74">
        <v>37792</v>
      </c>
      <c r="N4116" s="77">
        <v>0.75</v>
      </c>
      <c r="P4116">
        <v>66.2</v>
      </c>
      <c r="S4116" s="74">
        <v>34505</v>
      </c>
      <c r="T4116" s="77">
        <v>0.75</v>
      </c>
      <c r="V4116">
        <v>75.02</v>
      </c>
      <c r="X4116" s="42"/>
      <c r="AB4116">
        <v>74.5</v>
      </c>
      <c r="AC4116">
        <v>75.02</v>
      </c>
      <c r="AE4116" s="74"/>
      <c r="AF4116" s="77"/>
      <c r="AH4116" s="497">
        <v>78.800000000000011</v>
      </c>
      <c r="AJ4116" s="42"/>
      <c r="AK4116" s="74"/>
      <c r="AL4116" s="77"/>
      <c r="AN4116" s="497">
        <v>80.06</v>
      </c>
      <c r="AP4116" s="42"/>
      <c r="AQ4116" s="74"/>
      <c r="AR4116" s="77"/>
      <c r="AT4116" s="497">
        <v>73.039999999999992</v>
      </c>
      <c r="AV4116" s="42"/>
      <c r="AW4116" s="74"/>
      <c r="AX4116" s="77"/>
      <c r="BA4116" s="497">
        <v>78.259999999999991</v>
      </c>
      <c r="BB4116" s="42"/>
      <c r="BC4116" s="74"/>
      <c r="BD4116" s="77"/>
      <c r="BF4116">
        <v>78.98</v>
      </c>
      <c r="BH4116" s="42"/>
      <c r="BI4116" s="74"/>
      <c r="BJ4116" s="77"/>
      <c r="BL4116" s="497">
        <v>80.960000000000008</v>
      </c>
      <c r="BN4116" s="42"/>
      <c r="BO4116" s="74"/>
      <c r="BP4116" s="77"/>
      <c r="BR4116" s="497">
        <v>68</v>
      </c>
      <c r="BT4116" s="42"/>
    </row>
    <row r="4117" spans="1:72" x14ac:dyDescent="0.25">
      <c r="A4117" s="90">
        <v>34505</v>
      </c>
      <c r="B4117" s="20">
        <v>0.79166666666666663</v>
      </c>
      <c r="D4117">
        <v>71.960000000000008</v>
      </c>
      <c r="E4117" t="str">
        <f t="shared" si="164"/>
        <v>WEEKDAY</v>
      </c>
      <c r="F4117" t="e">
        <f t="shared" si="163"/>
        <v>#N/A</v>
      </c>
      <c r="G4117" s="74">
        <v>33044</v>
      </c>
      <c r="H4117" s="77">
        <v>0.79166666666666663</v>
      </c>
      <c r="J4117">
        <v>75.92</v>
      </c>
      <c r="M4117" s="74">
        <v>37792</v>
      </c>
      <c r="N4117" s="77">
        <v>0.79166666666666663</v>
      </c>
      <c r="P4117">
        <v>64.400000000000006</v>
      </c>
      <c r="S4117" s="74">
        <v>34505</v>
      </c>
      <c r="T4117" s="77">
        <v>0.79166666666666663</v>
      </c>
      <c r="V4117">
        <v>73.039999999999992</v>
      </c>
      <c r="X4117" s="42"/>
      <c r="AB4117">
        <v>73.2</v>
      </c>
      <c r="AC4117">
        <v>73.039999999999992</v>
      </c>
      <c r="AE4117" s="74"/>
      <c r="AF4117" s="77"/>
      <c r="AH4117" s="497">
        <v>75.2</v>
      </c>
      <c r="AJ4117" s="42"/>
      <c r="AK4117" s="74"/>
      <c r="AL4117" s="77"/>
      <c r="AN4117" s="497">
        <v>75.92</v>
      </c>
      <c r="AP4117" s="42"/>
      <c r="AQ4117" s="74"/>
      <c r="AR4117" s="77"/>
      <c r="AT4117" s="497">
        <v>69.98</v>
      </c>
      <c r="AV4117" s="42"/>
      <c r="AW4117" s="74"/>
      <c r="AX4117" s="77"/>
      <c r="BA4117" s="497">
        <v>77</v>
      </c>
      <c r="BB4117" s="42"/>
      <c r="BC4117" s="74"/>
      <c r="BD4117" s="77"/>
      <c r="BF4117">
        <v>77</v>
      </c>
      <c r="BH4117" s="42"/>
      <c r="BI4117" s="74"/>
      <c r="BJ4117" s="77"/>
      <c r="BL4117" s="497">
        <v>78.98</v>
      </c>
      <c r="BN4117" s="42"/>
      <c r="BO4117" s="74"/>
      <c r="BP4117" s="77"/>
      <c r="BR4117" s="497">
        <v>66.92</v>
      </c>
      <c r="BT4117" s="42"/>
    </row>
    <row r="4118" spans="1:72" x14ac:dyDescent="0.25">
      <c r="A4118" s="90">
        <v>34505</v>
      </c>
      <c r="B4118" s="20">
        <v>0.83333333333333337</v>
      </c>
      <c r="D4118">
        <v>69.98</v>
      </c>
      <c r="E4118" t="str">
        <f t="shared" si="164"/>
        <v>WEEKDAY</v>
      </c>
      <c r="F4118" t="e">
        <f t="shared" si="163"/>
        <v>#N/A</v>
      </c>
      <c r="G4118" s="74">
        <v>33044</v>
      </c>
      <c r="H4118" s="77">
        <v>0.83333333333333337</v>
      </c>
      <c r="J4118">
        <v>75.02</v>
      </c>
      <c r="M4118" s="74">
        <v>37792</v>
      </c>
      <c r="N4118" s="77">
        <v>0.83333333333333337</v>
      </c>
      <c r="P4118">
        <v>64.400000000000006</v>
      </c>
      <c r="S4118" s="74">
        <v>34505</v>
      </c>
      <c r="T4118" s="77">
        <v>0.83333333333333337</v>
      </c>
      <c r="V4118">
        <v>69.98</v>
      </c>
      <c r="X4118" s="42"/>
      <c r="AB4118">
        <v>71.8</v>
      </c>
      <c r="AC4118">
        <v>71.06</v>
      </c>
      <c r="AE4118" s="74"/>
      <c r="AF4118" s="77"/>
      <c r="AH4118" s="497">
        <v>66.2</v>
      </c>
      <c r="AJ4118" s="42"/>
      <c r="AK4118" s="74"/>
      <c r="AL4118" s="77"/>
      <c r="AN4118" s="497">
        <v>73.94</v>
      </c>
      <c r="AP4118" s="42"/>
      <c r="AQ4118" s="74"/>
      <c r="AR4118" s="77"/>
      <c r="AT4118" s="497">
        <v>66.02</v>
      </c>
      <c r="AV4118" s="42"/>
      <c r="AW4118" s="74"/>
      <c r="AX4118" s="77"/>
      <c r="BA4118" s="497">
        <v>73.039999999999992</v>
      </c>
      <c r="BB4118" s="42"/>
      <c r="BC4118" s="74"/>
      <c r="BD4118" s="77"/>
      <c r="BF4118">
        <v>75.02</v>
      </c>
      <c r="BH4118" s="42"/>
      <c r="BI4118" s="74"/>
      <c r="BJ4118" s="77"/>
      <c r="BL4118" s="497">
        <v>75.02</v>
      </c>
      <c r="BN4118" s="42"/>
      <c r="BO4118" s="74"/>
      <c r="BP4118" s="77"/>
      <c r="BR4118" s="497">
        <v>64.94</v>
      </c>
      <c r="BT4118" s="42"/>
    </row>
    <row r="4119" spans="1:72" x14ac:dyDescent="0.25">
      <c r="A4119" s="90">
        <v>34505</v>
      </c>
      <c r="B4119" s="20">
        <v>0.875</v>
      </c>
      <c r="D4119">
        <v>69.98</v>
      </c>
      <c r="E4119" t="str">
        <f t="shared" si="164"/>
        <v>WEEKDAY</v>
      </c>
      <c r="F4119" t="e">
        <f t="shared" si="163"/>
        <v>#N/A</v>
      </c>
      <c r="G4119" s="74">
        <v>33044</v>
      </c>
      <c r="H4119" s="77">
        <v>0.875</v>
      </c>
      <c r="J4119">
        <v>75.02</v>
      </c>
      <c r="M4119" s="74">
        <v>37792</v>
      </c>
      <c r="N4119" s="77">
        <v>0.875</v>
      </c>
      <c r="P4119">
        <v>62.6</v>
      </c>
      <c r="S4119" s="74">
        <v>34505</v>
      </c>
      <c r="T4119" s="77">
        <v>0.875</v>
      </c>
      <c r="V4119">
        <v>69.98</v>
      </c>
      <c r="X4119" s="42"/>
      <c r="AB4119">
        <v>70.599999999999994</v>
      </c>
      <c r="AC4119">
        <v>69.98</v>
      </c>
      <c r="AE4119" s="74"/>
      <c r="AF4119" s="77"/>
      <c r="AH4119" s="497">
        <v>62.6</v>
      </c>
      <c r="AJ4119" s="42"/>
      <c r="AK4119" s="74"/>
      <c r="AL4119" s="77"/>
      <c r="AN4119" s="497">
        <v>71.960000000000008</v>
      </c>
      <c r="AP4119" s="42"/>
      <c r="AQ4119" s="74"/>
      <c r="AR4119" s="77"/>
      <c r="AT4119" s="497">
        <v>62.96</v>
      </c>
      <c r="AV4119" s="42"/>
      <c r="AW4119" s="74"/>
      <c r="AX4119" s="77"/>
      <c r="BA4119" s="497">
        <v>68.900000000000006</v>
      </c>
      <c r="BB4119" s="42"/>
      <c r="BC4119" s="74"/>
      <c r="BD4119" s="77"/>
      <c r="BF4119">
        <v>73.039999999999992</v>
      </c>
      <c r="BH4119" s="42"/>
      <c r="BI4119" s="74"/>
      <c r="BJ4119" s="77"/>
      <c r="BL4119" s="497">
        <v>71.960000000000008</v>
      </c>
      <c r="BN4119" s="42"/>
      <c r="BO4119" s="74"/>
      <c r="BP4119" s="77"/>
      <c r="BR4119" s="497">
        <v>64.039999999999992</v>
      </c>
      <c r="BT4119" s="42"/>
    </row>
    <row r="4120" spans="1:72" x14ac:dyDescent="0.25">
      <c r="A4120" s="90">
        <v>34505</v>
      </c>
      <c r="B4120" s="20">
        <v>0.91666666666666663</v>
      </c>
      <c r="D4120">
        <v>69.98</v>
      </c>
      <c r="E4120" t="str">
        <f t="shared" si="164"/>
        <v>WEEKDAY</v>
      </c>
      <c r="F4120" t="e">
        <f t="shared" si="163"/>
        <v>#N/A</v>
      </c>
      <c r="G4120" s="74">
        <v>33044</v>
      </c>
      <c r="H4120" s="77">
        <v>0.91666666666666663</v>
      </c>
      <c r="J4120">
        <v>73.94</v>
      </c>
      <c r="M4120" s="74">
        <v>37792</v>
      </c>
      <c r="N4120" s="77">
        <v>0.91666666666666663</v>
      </c>
      <c r="P4120">
        <v>60.8</v>
      </c>
      <c r="S4120" s="74">
        <v>34505</v>
      </c>
      <c r="T4120" s="77">
        <v>0.91666666666666663</v>
      </c>
      <c r="V4120">
        <v>69.080000000000013</v>
      </c>
      <c r="X4120" s="42"/>
      <c r="AB4120">
        <v>69.900000000000006</v>
      </c>
      <c r="AC4120">
        <v>69.98</v>
      </c>
      <c r="AE4120" s="74"/>
      <c r="AF4120" s="77"/>
      <c r="AH4120" s="497">
        <v>60.8</v>
      </c>
      <c r="AJ4120" s="42"/>
      <c r="AK4120" s="74"/>
      <c r="AL4120" s="77"/>
      <c r="AN4120" s="497">
        <v>71.06</v>
      </c>
      <c r="AP4120" s="42"/>
      <c r="AQ4120" s="74"/>
      <c r="AR4120" s="77"/>
      <c r="AT4120" s="497">
        <v>60.980000000000004</v>
      </c>
      <c r="AV4120" s="42"/>
      <c r="AW4120" s="74"/>
      <c r="AX4120" s="77"/>
      <c r="BA4120" s="497">
        <v>64.94</v>
      </c>
      <c r="BB4120" s="42"/>
      <c r="BC4120" s="74"/>
      <c r="BD4120" s="77"/>
      <c r="BF4120">
        <v>71.06</v>
      </c>
      <c r="BH4120" s="42"/>
      <c r="BI4120" s="74"/>
      <c r="BJ4120" s="77"/>
      <c r="BL4120" s="497">
        <v>69.98</v>
      </c>
      <c r="BN4120" s="42"/>
      <c r="BO4120" s="74"/>
      <c r="BP4120" s="77"/>
      <c r="BR4120" s="497">
        <v>62.96</v>
      </c>
      <c r="BT4120" s="42"/>
    </row>
    <row r="4121" spans="1:72" x14ac:dyDescent="0.25">
      <c r="A4121" s="90">
        <v>34505</v>
      </c>
      <c r="B4121" s="20">
        <v>0.95833333333333337</v>
      </c>
      <c r="D4121">
        <v>69.080000000000013</v>
      </c>
      <c r="E4121" t="str">
        <f t="shared" si="164"/>
        <v>WEEKDAY</v>
      </c>
      <c r="F4121" t="e">
        <f t="shared" si="163"/>
        <v>#N/A</v>
      </c>
      <c r="G4121" s="74">
        <v>33044</v>
      </c>
      <c r="H4121" s="77">
        <v>0.95833333333333337</v>
      </c>
      <c r="J4121">
        <v>75.02</v>
      </c>
      <c r="M4121" s="74">
        <v>37792</v>
      </c>
      <c r="N4121" s="77">
        <v>0.95833333333333337</v>
      </c>
      <c r="P4121">
        <v>60.8</v>
      </c>
      <c r="S4121" s="74">
        <v>34505</v>
      </c>
      <c r="T4121" s="77">
        <v>0.95833333333333337</v>
      </c>
      <c r="V4121">
        <v>69.080000000000013</v>
      </c>
      <c r="X4121" s="42"/>
      <c r="AB4121">
        <v>69.3</v>
      </c>
      <c r="AC4121">
        <v>68</v>
      </c>
      <c r="AE4121" s="74"/>
      <c r="AF4121" s="77"/>
      <c r="AH4121" s="497">
        <v>60.8</v>
      </c>
      <c r="AJ4121" s="42"/>
      <c r="AK4121" s="74"/>
      <c r="AL4121" s="77"/>
      <c r="AN4121" s="497">
        <v>69.98</v>
      </c>
      <c r="AP4121" s="42"/>
      <c r="AQ4121" s="74"/>
      <c r="AR4121" s="77"/>
      <c r="AT4121" s="497">
        <v>53.06</v>
      </c>
      <c r="AV4121" s="42"/>
      <c r="AW4121" s="74"/>
      <c r="AX4121" s="77"/>
      <c r="BA4121" s="497">
        <v>62.96</v>
      </c>
      <c r="BB4121" s="42"/>
      <c r="BC4121" s="74"/>
      <c r="BD4121" s="77"/>
      <c r="BF4121">
        <v>68</v>
      </c>
      <c r="BH4121" s="42"/>
      <c r="BI4121" s="74"/>
      <c r="BJ4121" s="77"/>
      <c r="BL4121" s="497">
        <v>68</v>
      </c>
      <c r="BN4121" s="42"/>
      <c r="BO4121" s="74"/>
      <c r="BP4121" s="77"/>
      <c r="BR4121" s="497">
        <v>62.96</v>
      </c>
      <c r="BT4121" s="42"/>
    </row>
    <row r="4122" spans="1:72" x14ac:dyDescent="0.25">
      <c r="A4122" s="90">
        <v>34505</v>
      </c>
      <c r="B4122" s="20">
        <v>1</v>
      </c>
      <c r="D4122">
        <v>68</v>
      </c>
      <c r="E4122" t="str">
        <f t="shared" si="164"/>
        <v>WEEKDAY</v>
      </c>
      <c r="F4122" t="e">
        <f t="shared" si="163"/>
        <v>#N/A</v>
      </c>
      <c r="G4122" s="74">
        <v>33044</v>
      </c>
      <c r="H4122" s="77">
        <v>1</v>
      </c>
      <c r="J4122">
        <v>73.94</v>
      </c>
      <c r="M4122" s="74">
        <v>37792</v>
      </c>
      <c r="N4122" s="80">
        <v>1</v>
      </c>
      <c r="P4122">
        <v>60.8</v>
      </c>
      <c r="S4122" s="74">
        <v>34505</v>
      </c>
      <c r="T4122" s="80">
        <v>1</v>
      </c>
      <c r="V4122">
        <v>69.080000000000013</v>
      </c>
      <c r="X4122" s="42"/>
      <c r="AB4122">
        <v>68.8</v>
      </c>
      <c r="AC4122">
        <v>68</v>
      </c>
      <c r="AE4122" s="74"/>
      <c r="AF4122" s="80"/>
      <c r="AH4122" s="497">
        <v>59</v>
      </c>
      <c r="AJ4122" s="42"/>
      <c r="AK4122" s="74"/>
      <c r="AL4122" s="80"/>
      <c r="AN4122" s="497">
        <v>69.080000000000013</v>
      </c>
      <c r="AP4122" s="42"/>
      <c r="AQ4122" s="74"/>
      <c r="AR4122" s="80"/>
      <c r="AT4122" s="497">
        <v>53.06</v>
      </c>
      <c r="AV4122" s="42"/>
      <c r="AW4122" s="74"/>
      <c r="AX4122" s="80"/>
      <c r="BA4122" s="497">
        <v>60.980000000000004</v>
      </c>
      <c r="BB4122" s="42"/>
      <c r="BC4122" s="74"/>
      <c r="BD4122" s="80"/>
      <c r="BF4122">
        <v>66.02</v>
      </c>
      <c r="BH4122" s="42"/>
      <c r="BI4122" s="74"/>
      <c r="BJ4122" s="80"/>
      <c r="BL4122" s="497">
        <v>66.02</v>
      </c>
      <c r="BN4122" s="42"/>
      <c r="BO4122" s="74"/>
      <c r="BP4122" s="80"/>
      <c r="BR4122" s="497">
        <v>60.08</v>
      </c>
      <c r="BT4122" s="42"/>
    </row>
    <row r="4123" spans="1:72" x14ac:dyDescent="0.25">
      <c r="A4123" s="90">
        <v>34506</v>
      </c>
      <c r="B4123" s="20">
        <v>4.1666666666666664E-2</v>
      </c>
      <c r="D4123">
        <v>68</v>
      </c>
      <c r="E4123" t="str">
        <f t="shared" si="164"/>
        <v>WEEKDAY</v>
      </c>
      <c r="F4123" t="e">
        <f t="shared" si="163"/>
        <v>#N/A</v>
      </c>
      <c r="G4123" s="74">
        <v>33045</v>
      </c>
      <c r="H4123" s="77">
        <v>4.1666666666666664E-2</v>
      </c>
      <c r="J4123">
        <v>73.94</v>
      </c>
      <c r="M4123" s="74">
        <v>37793</v>
      </c>
      <c r="N4123" s="77">
        <v>4.1666666666666664E-2</v>
      </c>
      <c r="P4123">
        <v>59</v>
      </c>
      <c r="S4123" s="74">
        <v>34506</v>
      </c>
      <c r="T4123" s="77">
        <v>4.1666666666666664E-2</v>
      </c>
      <c r="V4123">
        <v>69.080000000000013</v>
      </c>
      <c r="X4123" s="42"/>
      <c r="AB4123">
        <v>68.3</v>
      </c>
      <c r="AC4123">
        <v>68</v>
      </c>
      <c r="AE4123" s="74"/>
      <c r="AF4123" s="77"/>
      <c r="AH4123" s="497">
        <v>59</v>
      </c>
      <c r="AJ4123" s="42"/>
      <c r="AK4123" s="74"/>
      <c r="AL4123" s="77"/>
      <c r="AN4123" s="497">
        <v>69.080000000000013</v>
      </c>
      <c r="AP4123" s="42"/>
      <c r="AQ4123" s="74"/>
      <c r="AR4123" s="77"/>
      <c r="AT4123" s="497">
        <v>48.92</v>
      </c>
      <c r="AV4123" s="42"/>
      <c r="AW4123" s="74"/>
      <c r="AX4123" s="77"/>
      <c r="BA4123" s="497">
        <v>59</v>
      </c>
      <c r="BB4123" s="42"/>
      <c r="BC4123" s="74"/>
      <c r="BD4123" s="77"/>
      <c r="BF4123">
        <v>64.94</v>
      </c>
      <c r="BH4123" s="42"/>
      <c r="BI4123" s="74"/>
      <c r="BJ4123" s="77"/>
      <c r="BL4123" s="497">
        <v>66.02</v>
      </c>
      <c r="BN4123" s="42"/>
      <c r="BO4123" s="74"/>
      <c r="BP4123" s="77"/>
      <c r="BR4123" s="497">
        <v>57.92</v>
      </c>
      <c r="BT4123" s="42"/>
    </row>
    <row r="4124" spans="1:72" x14ac:dyDescent="0.25">
      <c r="A4124" s="90">
        <v>34506</v>
      </c>
      <c r="B4124" s="20">
        <v>8.3333333333333329E-2</v>
      </c>
      <c r="D4124">
        <v>66.92</v>
      </c>
      <c r="E4124" t="str">
        <f t="shared" si="164"/>
        <v>WEEKDAY</v>
      </c>
      <c r="F4124" t="e">
        <f t="shared" si="163"/>
        <v>#N/A</v>
      </c>
      <c r="G4124" s="74">
        <v>33045</v>
      </c>
      <c r="H4124" s="77">
        <v>8.3333333333333329E-2</v>
      </c>
      <c r="J4124">
        <v>73.94</v>
      </c>
      <c r="M4124" s="74">
        <v>37793</v>
      </c>
      <c r="N4124" s="77">
        <v>8.3333333333333329E-2</v>
      </c>
      <c r="P4124">
        <v>59</v>
      </c>
      <c r="S4124" s="74">
        <v>34506</v>
      </c>
      <c r="T4124" s="77">
        <v>8.3333333333333329E-2</v>
      </c>
      <c r="V4124">
        <v>68</v>
      </c>
      <c r="X4124" s="42"/>
      <c r="AB4124">
        <v>67.8</v>
      </c>
      <c r="AC4124">
        <v>66.92</v>
      </c>
      <c r="AE4124" s="74"/>
      <c r="AF4124" s="77"/>
      <c r="AH4124" s="497">
        <v>60.8</v>
      </c>
      <c r="AJ4124" s="42"/>
      <c r="AK4124" s="74"/>
      <c r="AL4124" s="77"/>
      <c r="AN4124" s="497">
        <v>69.080000000000013</v>
      </c>
      <c r="AP4124" s="42"/>
      <c r="AQ4124" s="74"/>
      <c r="AR4124" s="77"/>
      <c r="AT4124" s="497">
        <v>48.92</v>
      </c>
      <c r="AV4124" s="42"/>
      <c r="AW4124" s="74"/>
      <c r="AX4124" s="77"/>
      <c r="BA4124" s="497">
        <v>58.28</v>
      </c>
      <c r="BB4124" s="42"/>
      <c r="BC4124" s="74"/>
      <c r="BD4124" s="77"/>
      <c r="BF4124">
        <v>64.94</v>
      </c>
      <c r="BH4124" s="42"/>
      <c r="BI4124" s="74"/>
      <c r="BJ4124" s="77"/>
      <c r="BL4124" s="497">
        <v>64.039999999999992</v>
      </c>
      <c r="BN4124" s="42"/>
      <c r="BO4124" s="74"/>
      <c r="BP4124" s="77"/>
      <c r="BR4124" s="497">
        <v>57.019999999999996</v>
      </c>
      <c r="BT4124" s="42"/>
    </row>
    <row r="4125" spans="1:72" x14ac:dyDescent="0.25">
      <c r="A4125" s="90">
        <v>34506</v>
      </c>
      <c r="B4125" s="20">
        <v>0.125</v>
      </c>
      <c r="D4125">
        <v>66.02</v>
      </c>
      <c r="E4125" t="str">
        <f t="shared" si="164"/>
        <v>WEEKDAY</v>
      </c>
      <c r="F4125" t="e">
        <f t="shared" si="163"/>
        <v>#N/A</v>
      </c>
      <c r="G4125" s="74">
        <v>33045</v>
      </c>
      <c r="H4125" s="77">
        <v>0.125</v>
      </c>
      <c r="J4125">
        <v>73.039999999999992</v>
      </c>
      <c r="M4125" s="74">
        <v>37793</v>
      </c>
      <c r="N4125" s="77">
        <v>0.125</v>
      </c>
      <c r="P4125">
        <v>59</v>
      </c>
      <c r="S4125" s="74">
        <v>34506</v>
      </c>
      <c r="T4125" s="77">
        <v>0.125</v>
      </c>
      <c r="V4125">
        <v>68</v>
      </c>
      <c r="X4125" s="42"/>
      <c r="AB4125">
        <v>67.3</v>
      </c>
      <c r="AC4125">
        <v>68</v>
      </c>
      <c r="AE4125" s="74"/>
      <c r="AF4125" s="77"/>
      <c r="AH4125" s="497">
        <v>59.900000000000006</v>
      </c>
      <c r="AJ4125" s="42"/>
      <c r="AK4125" s="74"/>
      <c r="AL4125" s="77"/>
      <c r="AN4125" s="497">
        <v>64.94</v>
      </c>
      <c r="AP4125" s="42"/>
      <c r="AQ4125" s="74"/>
      <c r="AR4125" s="77"/>
      <c r="AT4125" s="497">
        <v>46.94</v>
      </c>
      <c r="AV4125" s="42"/>
      <c r="AW4125" s="74"/>
      <c r="AX4125" s="77"/>
      <c r="BA4125" s="497">
        <v>57.74</v>
      </c>
      <c r="BB4125" s="42"/>
      <c r="BC4125" s="74"/>
      <c r="BD4125" s="77"/>
      <c r="BF4125">
        <v>64.039999999999992</v>
      </c>
      <c r="BH4125" s="42"/>
      <c r="BI4125" s="74"/>
      <c r="BJ4125" s="77"/>
      <c r="BL4125" s="497">
        <v>64.039999999999992</v>
      </c>
      <c r="BN4125" s="42"/>
      <c r="BO4125" s="74"/>
      <c r="BP4125" s="77"/>
      <c r="BR4125" s="497">
        <v>55.94</v>
      </c>
      <c r="BT4125" s="42"/>
    </row>
    <row r="4126" spans="1:72" x14ac:dyDescent="0.25">
      <c r="A4126" s="90">
        <v>34506</v>
      </c>
      <c r="B4126" s="20">
        <v>0.16666666666666666</v>
      </c>
      <c r="D4126">
        <v>64.94</v>
      </c>
      <c r="E4126" t="str">
        <f t="shared" si="164"/>
        <v>WEEKDAY</v>
      </c>
      <c r="F4126" t="e">
        <f t="shared" si="163"/>
        <v>#N/A</v>
      </c>
      <c r="G4126" s="74">
        <v>33045</v>
      </c>
      <c r="H4126" s="77">
        <v>0.16666666666666666</v>
      </c>
      <c r="J4126">
        <v>73.039999999999992</v>
      </c>
      <c r="M4126" s="74">
        <v>37793</v>
      </c>
      <c r="N4126" s="77">
        <v>0.16666666666666666</v>
      </c>
      <c r="P4126">
        <v>59</v>
      </c>
      <c r="S4126" s="74">
        <v>34506</v>
      </c>
      <c r="T4126" s="77">
        <v>0.16666666666666666</v>
      </c>
      <c r="V4126">
        <v>68</v>
      </c>
      <c r="X4126" s="42"/>
      <c r="AB4126">
        <v>66.8</v>
      </c>
      <c r="AC4126">
        <v>66.92</v>
      </c>
      <c r="AE4126" s="74"/>
      <c r="AF4126" s="77"/>
      <c r="AH4126" s="497">
        <v>59</v>
      </c>
      <c r="AJ4126" s="42"/>
      <c r="AK4126" s="74"/>
      <c r="AL4126" s="77"/>
      <c r="AN4126" s="497">
        <v>64.039999999999992</v>
      </c>
      <c r="AP4126" s="42"/>
      <c r="AQ4126" s="74"/>
      <c r="AR4126" s="77"/>
      <c r="AT4126" s="497">
        <v>46.04</v>
      </c>
      <c r="AV4126" s="42"/>
      <c r="AW4126" s="74"/>
      <c r="AX4126" s="77"/>
      <c r="BA4126" s="497">
        <v>57.019999999999996</v>
      </c>
      <c r="BB4126" s="42"/>
      <c r="BC4126" s="74"/>
      <c r="BD4126" s="77"/>
      <c r="BF4126">
        <v>64.94</v>
      </c>
      <c r="BH4126" s="42"/>
      <c r="BI4126" s="74"/>
      <c r="BJ4126" s="77"/>
      <c r="BL4126" s="497">
        <v>64.94</v>
      </c>
      <c r="BN4126" s="42"/>
      <c r="BO4126" s="74"/>
      <c r="BP4126" s="77"/>
      <c r="BR4126" s="497">
        <v>57.019999999999996</v>
      </c>
      <c r="BT4126" s="42"/>
    </row>
    <row r="4127" spans="1:72" x14ac:dyDescent="0.25">
      <c r="A4127" s="90">
        <v>34506</v>
      </c>
      <c r="B4127" s="20">
        <v>0.20833333333333334</v>
      </c>
      <c r="D4127">
        <v>64.039999999999992</v>
      </c>
      <c r="E4127" t="str">
        <f t="shared" si="164"/>
        <v>WEEKDAY</v>
      </c>
      <c r="F4127" t="e">
        <f t="shared" si="163"/>
        <v>#N/A</v>
      </c>
      <c r="G4127" s="74">
        <v>33045</v>
      </c>
      <c r="H4127" s="77">
        <v>0.20833333333333334</v>
      </c>
      <c r="J4127">
        <v>71.960000000000008</v>
      </c>
      <c r="M4127" s="74">
        <v>37793</v>
      </c>
      <c r="N4127" s="77">
        <v>0.20833333333333334</v>
      </c>
      <c r="P4127">
        <v>59</v>
      </c>
      <c r="S4127" s="74">
        <v>34506</v>
      </c>
      <c r="T4127" s="77">
        <v>0.20833333333333334</v>
      </c>
      <c r="V4127">
        <v>68</v>
      </c>
      <c r="X4127" s="42"/>
      <c r="AB4127">
        <v>66.400000000000006</v>
      </c>
      <c r="AC4127">
        <v>66.92</v>
      </c>
      <c r="AE4127" s="74"/>
      <c r="AF4127" s="77"/>
      <c r="AH4127" s="497">
        <v>57.2</v>
      </c>
      <c r="AJ4127" s="42"/>
      <c r="AK4127" s="74"/>
      <c r="AL4127" s="77"/>
      <c r="AN4127" s="497">
        <v>64.039999999999992</v>
      </c>
      <c r="AP4127" s="42"/>
      <c r="AQ4127" s="74"/>
      <c r="AR4127" s="77"/>
      <c r="AT4127" s="497">
        <v>46.04</v>
      </c>
      <c r="AV4127" s="42"/>
      <c r="AW4127" s="74"/>
      <c r="AX4127" s="77"/>
      <c r="BA4127" s="497">
        <v>60.980000000000004</v>
      </c>
      <c r="BB4127" s="42"/>
      <c r="BC4127" s="74"/>
      <c r="BD4127" s="77"/>
      <c r="BF4127">
        <v>64.94</v>
      </c>
      <c r="BH4127" s="42"/>
      <c r="BI4127" s="74"/>
      <c r="BJ4127" s="77"/>
      <c r="BL4127" s="497">
        <v>66.02</v>
      </c>
      <c r="BN4127" s="42"/>
      <c r="BO4127" s="74"/>
      <c r="BP4127" s="77"/>
      <c r="BR4127" s="497">
        <v>57.019999999999996</v>
      </c>
      <c r="BT4127" s="42"/>
    </row>
    <row r="4128" spans="1:72" x14ac:dyDescent="0.25">
      <c r="A4128" s="90">
        <v>34506</v>
      </c>
      <c r="B4128" s="20">
        <v>0.25</v>
      </c>
      <c r="D4128">
        <v>66.92</v>
      </c>
      <c r="E4128" t="str">
        <f t="shared" si="164"/>
        <v>WEEKDAY</v>
      </c>
      <c r="F4128" t="e">
        <f t="shared" si="163"/>
        <v>#N/A</v>
      </c>
      <c r="G4128" s="74">
        <v>33045</v>
      </c>
      <c r="H4128" s="77">
        <v>0.25</v>
      </c>
      <c r="J4128">
        <v>71.06</v>
      </c>
      <c r="M4128" s="74">
        <v>37793</v>
      </c>
      <c r="N4128" s="77">
        <v>0.25</v>
      </c>
      <c r="P4128">
        <v>59</v>
      </c>
      <c r="S4128" s="74">
        <v>34506</v>
      </c>
      <c r="T4128" s="77">
        <v>0.25</v>
      </c>
      <c r="V4128">
        <v>69.080000000000013</v>
      </c>
      <c r="X4128" s="42"/>
      <c r="AB4128">
        <v>66.400000000000006</v>
      </c>
      <c r="AC4128">
        <v>69.080000000000013</v>
      </c>
      <c r="AE4128" s="74"/>
      <c r="AF4128" s="77"/>
      <c r="AH4128" s="497">
        <v>60.8</v>
      </c>
      <c r="AJ4128" s="42"/>
      <c r="AK4128" s="74"/>
      <c r="AL4128" s="77"/>
      <c r="AN4128" s="497">
        <v>64.039999999999992</v>
      </c>
      <c r="AP4128" s="42"/>
      <c r="AQ4128" s="74"/>
      <c r="AR4128" s="77"/>
      <c r="AT4128" s="497">
        <v>51.08</v>
      </c>
      <c r="AV4128" s="42"/>
      <c r="AW4128" s="74"/>
      <c r="AX4128" s="77"/>
      <c r="BA4128" s="497">
        <v>65.12</v>
      </c>
      <c r="BB4128" s="42"/>
      <c r="BC4128" s="74"/>
      <c r="BD4128" s="77"/>
      <c r="BF4128">
        <v>64.94</v>
      </c>
      <c r="BH4128" s="42"/>
      <c r="BI4128" s="74"/>
      <c r="BJ4128" s="77"/>
      <c r="BL4128" s="497">
        <v>66.02</v>
      </c>
      <c r="BN4128" s="42"/>
      <c r="BO4128" s="74"/>
      <c r="BP4128" s="77"/>
      <c r="BR4128" s="497">
        <v>60.08</v>
      </c>
      <c r="BT4128" s="42"/>
    </row>
    <row r="4129" spans="1:72" x14ac:dyDescent="0.25">
      <c r="A4129" s="90">
        <v>34506</v>
      </c>
      <c r="B4129" s="20">
        <v>0.29166666666666669</v>
      </c>
      <c r="D4129">
        <v>69.080000000000013</v>
      </c>
      <c r="E4129" t="str">
        <f t="shared" si="164"/>
        <v>WEEKDAY</v>
      </c>
      <c r="F4129" t="e">
        <f t="shared" si="163"/>
        <v>#N/A</v>
      </c>
      <c r="G4129" s="74">
        <v>33045</v>
      </c>
      <c r="H4129" s="77">
        <v>0.29166666666666669</v>
      </c>
      <c r="J4129">
        <v>69.080000000000013</v>
      </c>
      <c r="M4129" s="74">
        <v>37793</v>
      </c>
      <c r="N4129" s="77">
        <v>0.29166666666666669</v>
      </c>
      <c r="P4129">
        <v>60.8</v>
      </c>
      <c r="S4129" s="74">
        <v>34506</v>
      </c>
      <c r="T4129" s="77">
        <v>0.29166666666666669</v>
      </c>
      <c r="V4129">
        <v>69.98</v>
      </c>
      <c r="X4129" s="42"/>
      <c r="AB4129">
        <v>68</v>
      </c>
      <c r="AC4129">
        <v>71.06</v>
      </c>
      <c r="AE4129" s="74"/>
      <c r="AF4129" s="77"/>
      <c r="AH4129" s="497">
        <v>71.599999999999994</v>
      </c>
      <c r="AJ4129" s="42"/>
      <c r="AK4129" s="74"/>
      <c r="AL4129" s="77"/>
      <c r="AN4129" s="497">
        <v>62.06</v>
      </c>
      <c r="AP4129" s="42"/>
      <c r="AQ4129" s="74"/>
      <c r="AR4129" s="77"/>
      <c r="AT4129" s="497">
        <v>57.019999999999996</v>
      </c>
      <c r="AV4129" s="42"/>
      <c r="AW4129" s="74"/>
      <c r="AX4129" s="77"/>
      <c r="BA4129" s="497">
        <v>69.080000000000013</v>
      </c>
      <c r="BB4129" s="42"/>
      <c r="BC4129" s="74"/>
      <c r="BD4129" s="77"/>
      <c r="BF4129">
        <v>66.92</v>
      </c>
      <c r="BH4129" s="42"/>
      <c r="BI4129" s="74"/>
      <c r="BJ4129" s="77"/>
      <c r="BL4129" s="497">
        <v>68</v>
      </c>
      <c r="BN4129" s="42"/>
      <c r="BO4129" s="74"/>
      <c r="BP4129" s="77"/>
      <c r="BR4129" s="497">
        <v>64.039999999999992</v>
      </c>
      <c r="BT4129" s="42"/>
    </row>
    <row r="4130" spans="1:72" x14ac:dyDescent="0.25">
      <c r="A4130" s="90">
        <v>34506</v>
      </c>
      <c r="B4130" s="20">
        <v>0.33333333333333331</v>
      </c>
      <c r="D4130">
        <v>71.06</v>
      </c>
      <c r="E4130" t="str">
        <f t="shared" si="164"/>
        <v>WEEKDAY</v>
      </c>
      <c r="F4130" t="e">
        <f t="shared" si="163"/>
        <v>#N/A</v>
      </c>
      <c r="G4130" s="74">
        <v>33045</v>
      </c>
      <c r="H4130" s="77">
        <v>0.33333333333333331</v>
      </c>
      <c r="J4130">
        <v>69.98</v>
      </c>
      <c r="M4130" s="74">
        <v>37793</v>
      </c>
      <c r="N4130" s="77">
        <v>0.33333333333333331</v>
      </c>
      <c r="P4130">
        <v>60.980000000000004</v>
      </c>
      <c r="S4130" s="74">
        <v>34506</v>
      </c>
      <c r="T4130" s="77">
        <v>0.33333333333333331</v>
      </c>
      <c r="V4130">
        <v>69.98</v>
      </c>
      <c r="X4130" s="42"/>
      <c r="AB4130">
        <v>69.900000000000006</v>
      </c>
      <c r="AC4130">
        <v>73.039999999999992</v>
      </c>
      <c r="AE4130" s="74"/>
      <c r="AF4130" s="77"/>
      <c r="AH4130" s="497">
        <v>71.599999999999994</v>
      </c>
      <c r="AJ4130" s="42"/>
      <c r="AK4130" s="74"/>
      <c r="AL4130" s="77"/>
      <c r="AN4130" s="497">
        <v>64.039999999999992</v>
      </c>
      <c r="AP4130" s="42"/>
      <c r="AQ4130" s="74"/>
      <c r="AR4130" s="77"/>
      <c r="AT4130" s="497">
        <v>60.980000000000004</v>
      </c>
      <c r="AV4130" s="42"/>
      <c r="AW4130" s="74"/>
      <c r="AX4130" s="77"/>
      <c r="BA4130" s="497">
        <v>70.7</v>
      </c>
      <c r="BB4130" s="42"/>
      <c r="BC4130" s="74"/>
      <c r="BD4130" s="77"/>
      <c r="BF4130">
        <v>69.98</v>
      </c>
      <c r="BH4130" s="42"/>
      <c r="BI4130" s="74"/>
      <c r="BJ4130" s="77"/>
      <c r="BL4130" s="497">
        <v>69.98</v>
      </c>
      <c r="BN4130" s="42"/>
      <c r="BO4130" s="74"/>
      <c r="BP4130" s="77"/>
      <c r="BR4130" s="497">
        <v>66.92</v>
      </c>
      <c r="BT4130" s="42"/>
    </row>
    <row r="4131" spans="1:72" x14ac:dyDescent="0.25">
      <c r="A4131" s="90">
        <v>34506</v>
      </c>
      <c r="B4131" s="20">
        <v>0.375</v>
      </c>
      <c r="D4131">
        <v>71.960000000000008</v>
      </c>
      <c r="E4131" t="str">
        <f t="shared" si="164"/>
        <v>WEEKDAY</v>
      </c>
      <c r="F4131" t="e">
        <f t="shared" si="163"/>
        <v>#N/A</v>
      </c>
      <c r="G4131" s="74">
        <v>33045</v>
      </c>
      <c r="H4131" s="77">
        <v>0.375</v>
      </c>
      <c r="J4131">
        <v>69.080000000000013</v>
      </c>
      <c r="M4131" s="74">
        <v>37793</v>
      </c>
      <c r="N4131" s="77">
        <v>0.375</v>
      </c>
      <c r="P4131">
        <v>60.8</v>
      </c>
      <c r="S4131" s="74">
        <v>34506</v>
      </c>
      <c r="T4131" s="77">
        <v>0.375</v>
      </c>
      <c r="V4131">
        <v>69.98</v>
      </c>
      <c r="X4131" s="42"/>
      <c r="AB4131">
        <v>71.900000000000006</v>
      </c>
      <c r="AC4131">
        <v>71.960000000000008</v>
      </c>
      <c r="AE4131" s="74"/>
      <c r="AF4131" s="77"/>
      <c r="AH4131" s="497">
        <v>75.2</v>
      </c>
      <c r="AJ4131" s="42"/>
      <c r="AK4131" s="74"/>
      <c r="AL4131" s="77"/>
      <c r="AN4131" s="497">
        <v>68</v>
      </c>
      <c r="AP4131" s="42"/>
      <c r="AQ4131" s="74"/>
      <c r="AR4131" s="77"/>
      <c r="AT4131" s="497">
        <v>64.94</v>
      </c>
      <c r="AV4131" s="42"/>
      <c r="AW4131" s="74"/>
      <c r="AX4131" s="77"/>
      <c r="BA4131" s="497">
        <v>72.319999999999993</v>
      </c>
      <c r="BB4131" s="42"/>
      <c r="BC4131" s="74"/>
      <c r="BD4131" s="77"/>
      <c r="BF4131">
        <v>66.02</v>
      </c>
      <c r="BH4131" s="42"/>
      <c r="BI4131" s="74"/>
      <c r="BJ4131" s="77"/>
      <c r="BL4131" s="497">
        <v>71.960000000000008</v>
      </c>
      <c r="BN4131" s="42"/>
      <c r="BO4131" s="74"/>
      <c r="BP4131" s="77"/>
      <c r="BR4131" s="497">
        <v>69.080000000000013</v>
      </c>
      <c r="BT4131" s="42"/>
    </row>
    <row r="4132" spans="1:72" x14ac:dyDescent="0.25">
      <c r="A4132" s="90">
        <v>34506</v>
      </c>
      <c r="B4132" s="20">
        <v>0.41666666666666669</v>
      </c>
      <c r="D4132">
        <v>75.02</v>
      </c>
      <c r="E4132" t="str">
        <f t="shared" si="164"/>
        <v>WEEKDAY</v>
      </c>
      <c r="F4132" t="e">
        <f t="shared" si="163"/>
        <v>#N/A</v>
      </c>
      <c r="G4132" s="74">
        <v>33045</v>
      </c>
      <c r="H4132" s="77">
        <v>0.41666666666666669</v>
      </c>
      <c r="J4132">
        <v>71.06</v>
      </c>
      <c r="M4132" s="74">
        <v>37793</v>
      </c>
      <c r="N4132" s="77">
        <v>0.41666666666666669</v>
      </c>
      <c r="P4132">
        <v>62.6</v>
      </c>
      <c r="S4132" s="74">
        <v>34506</v>
      </c>
      <c r="T4132" s="77">
        <v>0.41666666666666669</v>
      </c>
      <c r="V4132">
        <v>69.98</v>
      </c>
      <c r="X4132" s="42"/>
      <c r="AB4132">
        <v>73.7</v>
      </c>
      <c r="AC4132">
        <v>71.06</v>
      </c>
      <c r="AE4132" s="74"/>
      <c r="AF4132" s="77"/>
      <c r="AH4132" s="497">
        <v>75.2</v>
      </c>
      <c r="AJ4132" s="42"/>
      <c r="AK4132" s="74"/>
      <c r="AL4132" s="77"/>
      <c r="AN4132" s="497">
        <v>66.02</v>
      </c>
      <c r="AP4132" s="42"/>
      <c r="AQ4132" s="74"/>
      <c r="AR4132" s="77"/>
      <c r="AT4132" s="497">
        <v>69.080000000000013</v>
      </c>
      <c r="AV4132" s="42"/>
      <c r="AW4132" s="74"/>
      <c r="AX4132" s="77"/>
      <c r="BA4132" s="497">
        <v>73.94</v>
      </c>
      <c r="BB4132" s="42"/>
      <c r="BC4132" s="74"/>
      <c r="BD4132" s="77"/>
      <c r="BF4132">
        <v>66.92</v>
      </c>
      <c r="BH4132" s="42"/>
      <c r="BI4132" s="74"/>
      <c r="BJ4132" s="77"/>
      <c r="BL4132" s="497">
        <v>75.02</v>
      </c>
      <c r="BN4132" s="42"/>
      <c r="BO4132" s="74"/>
      <c r="BP4132" s="77"/>
      <c r="BR4132" s="497">
        <v>66.92</v>
      </c>
      <c r="BT4132" s="42"/>
    </row>
    <row r="4133" spans="1:72" x14ac:dyDescent="0.25">
      <c r="A4133" s="90">
        <v>34506</v>
      </c>
      <c r="B4133" s="20">
        <v>0.45833333333333331</v>
      </c>
      <c r="D4133">
        <v>75.92</v>
      </c>
      <c r="E4133" t="str">
        <f t="shared" si="164"/>
        <v>WEEKDAY</v>
      </c>
      <c r="F4133" t="e">
        <f t="shared" si="163"/>
        <v>#N/A</v>
      </c>
      <c r="G4133" s="74">
        <v>33045</v>
      </c>
      <c r="H4133" s="77">
        <v>0.45833333333333331</v>
      </c>
      <c r="J4133">
        <v>71.06</v>
      </c>
      <c r="M4133" s="74">
        <v>37793</v>
      </c>
      <c r="N4133" s="77">
        <v>0.45833333333333331</v>
      </c>
      <c r="P4133">
        <v>60.8</v>
      </c>
      <c r="S4133" s="74">
        <v>34506</v>
      </c>
      <c r="T4133" s="77">
        <v>0.45833333333333331</v>
      </c>
      <c r="V4133">
        <v>69.98</v>
      </c>
      <c r="X4133" s="42"/>
      <c r="AB4133">
        <v>75.3</v>
      </c>
      <c r="AC4133">
        <v>71.06</v>
      </c>
      <c r="AE4133" s="74"/>
      <c r="AF4133" s="77"/>
      <c r="AH4133" s="497">
        <v>75.2</v>
      </c>
      <c r="AJ4133" s="42"/>
      <c r="AK4133" s="74"/>
      <c r="AL4133" s="77"/>
      <c r="AN4133" s="497">
        <v>66.92</v>
      </c>
      <c r="AP4133" s="42"/>
      <c r="AQ4133" s="74"/>
      <c r="AR4133" s="77"/>
      <c r="AT4133" s="497">
        <v>71.06</v>
      </c>
      <c r="AV4133" s="42"/>
      <c r="AW4133" s="74"/>
      <c r="AX4133" s="77"/>
      <c r="BA4133" s="497">
        <v>75.02</v>
      </c>
      <c r="BB4133" s="42"/>
      <c r="BC4133" s="74"/>
      <c r="BD4133" s="77"/>
      <c r="BF4133">
        <v>66.92</v>
      </c>
      <c r="BH4133" s="42"/>
      <c r="BI4133" s="74"/>
      <c r="BJ4133" s="77"/>
      <c r="BL4133" s="497">
        <v>75.92</v>
      </c>
      <c r="BN4133" s="42"/>
      <c r="BO4133" s="74"/>
      <c r="BP4133" s="77"/>
      <c r="BR4133" s="497">
        <v>66.92</v>
      </c>
      <c r="BT4133" s="42"/>
    </row>
    <row r="4134" spans="1:72" x14ac:dyDescent="0.25">
      <c r="A4134" s="90">
        <v>34506</v>
      </c>
      <c r="B4134" s="20">
        <v>0.5</v>
      </c>
      <c r="D4134">
        <v>78.98</v>
      </c>
      <c r="E4134" t="str">
        <f t="shared" si="164"/>
        <v>WEEKDAY</v>
      </c>
      <c r="F4134" t="e">
        <f t="shared" si="163"/>
        <v>#N/A</v>
      </c>
      <c r="G4134" s="74">
        <v>33045</v>
      </c>
      <c r="H4134" s="77">
        <v>0.5</v>
      </c>
      <c r="J4134">
        <v>73.039999999999992</v>
      </c>
      <c r="M4134" s="74">
        <v>37793</v>
      </c>
      <c r="N4134" s="77">
        <v>0.5</v>
      </c>
      <c r="P4134">
        <v>60.8</v>
      </c>
      <c r="S4134" s="74">
        <v>34506</v>
      </c>
      <c r="T4134" s="77">
        <v>0.5</v>
      </c>
      <c r="V4134">
        <v>71.06</v>
      </c>
      <c r="X4134" s="42"/>
      <c r="AB4134">
        <v>76.400000000000006</v>
      </c>
      <c r="AC4134">
        <v>71.960000000000008</v>
      </c>
      <c r="AE4134" s="74"/>
      <c r="AF4134" s="77"/>
      <c r="AH4134" s="497">
        <v>75.2</v>
      </c>
      <c r="AJ4134" s="42"/>
      <c r="AK4134" s="74"/>
      <c r="AL4134" s="77"/>
      <c r="AN4134" s="497">
        <v>69.98</v>
      </c>
      <c r="AP4134" s="42"/>
      <c r="AQ4134" s="74"/>
      <c r="AR4134" s="77"/>
      <c r="AT4134" s="497">
        <v>73.039999999999992</v>
      </c>
      <c r="AV4134" s="42"/>
      <c r="AW4134" s="74"/>
      <c r="AX4134" s="77"/>
      <c r="BA4134" s="497">
        <v>75.92</v>
      </c>
      <c r="BB4134" s="42"/>
      <c r="BC4134" s="74"/>
      <c r="BD4134" s="77"/>
      <c r="BF4134">
        <v>66.92</v>
      </c>
      <c r="BH4134" s="42"/>
      <c r="BI4134" s="74"/>
      <c r="BJ4134" s="77"/>
      <c r="BL4134" s="497">
        <v>75.92</v>
      </c>
      <c r="BN4134" s="42"/>
      <c r="BO4134" s="74"/>
      <c r="BP4134" s="77"/>
      <c r="BR4134" s="497">
        <v>69.98</v>
      </c>
      <c r="BT4134" s="42"/>
    </row>
    <row r="4135" spans="1:72" x14ac:dyDescent="0.25">
      <c r="A4135" s="90">
        <v>34506</v>
      </c>
      <c r="B4135" s="20">
        <v>0.54166666666666663</v>
      </c>
      <c r="D4135">
        <v>80.06</v>
      </c>
      <c r="E4135" t="str">
        <f t="shared" si="164"/>
        <v>WEEKDAY</v>
      </c>
      <c r="F4135" t="e">
        <f t="shared" si="163"/>
        <v>#N/A</v>
      </c>
      <c r="G4135" s="74">
        <v>33045</v>
      </c>
      <c r="H4135" s="77">
        <v>0.54166666666666663</v>
      </c>
      <c r="J4135">
        <v>73.039999999999992</v>
      </c>
      <c r="M4135" s="74">
        <v>37793</v>
      </c>
      <c r="N4135" s="77">
        <v>0.54166666666666663</v>
      </c>
      <c r="P4135">
        <v>60.8</v>
      </c>
      <c r="S4135" s="74">
        <v>34506</v>
      </c>
      <c r="T4135" s="77">
        <v>0.54166666666666663</v>
      </c>
      <c r="V4135">
        <v>71.06</v>
      </c>
      <c r="X4135" s="42"/>
      <c r="AB4135">
        <v>77.099999999999994</v>
      </c>
      <c r="AC4135">
        <v>73.94</v>
      </c>
      <c r="AE4135" s="74"/>
      <c r="AF4135" s="77"/>
      <c r="AH4135" s="497">
        <v>75.2</v>
      </c>
      <c r="AJ4135" s="42"/>
      <c r="AK4135" s="74"/>
      <c r="AL4135" s="77"/>
      <c r="AN4135" s="497">
        <v>73.94</v>
      </c>
      <c r="AP4135" s="42"/>
      <c r="AQ4135" s="74"/>
      <c r="AR4135" s="77"/>
      <c r="AT4135" s="497">
        <v>73.94</v>
      </c>
      <c r="AV4135" s="42"/>
      <c r="AW4135" s="74"/>
      <c r="AX4135" s="77"/>
      <c r="BA4135" s="497">
        <v>77</v>
      </c>
      <c r="BB4135" s="42"/>
      <c r="BC4135" s="74"/>
      <c r="BD4135" s="77"/>
      <c r="BF4135">
        <v>66.92</v>
      </c>
      <c r="BH4135" s="42"/>
      <c r="BI4135" s="74"/>
      <c r="BJ4135" s="77"/>
      <c r="BL4135" s="497">
        <v>75.02</v>
      </c>
      <c r="BN4135" s="42"/>
      <c r="BO4135" s="74"/>
      <c r="BP4135" s="77"/>
      <c r="BR4135" s="497">
        <v>69.98</v>
      </c>
      <c r="BT4135" s="42"/>
    </row>
    <row r="4136" spans="1:72" x14ac:dyDescent="0.25">
      <c r="A4136" s="90">
        <v>34506</v>
      </c>
      <c r="B4136" s="20">
        <v>0.58333333333333337</v>
      </c>
      <c r="D4136">
        <v>80.06</v>
      </c>
      <c r="E4136" t="str">
        <f t="shared" si="164"/>
        <v>WEEKDAY</v>
      </c>
      <c r="F4136" t="e">
        <f t="shared" si="163"/>
        <v>#N/A</v>
      </c>
      <c r="G4136" s="74">
        <v>33045</v>
      </c>
      <c r="H4136" s="77">
        <v>0.58333333333333337</v>
      </c>
      <c r="J4136">
        <v>75.02</v>
      </c>
      <c r="M4136" s="74">
        <v>37793</v>
      </c>
      <c r="N4136" s="77">
        <v>0.58333333333333337</v>
      </c>
      <c r="P4136">
        <v>59</v>
      </c>
      <c r="S4136" s="74">
        <v>34506</v>
      </c>
      <c r="T4136" s="77">
        <v>0.58333333333333337</v>
      </c>
      <c r="V4136">
        <v>71.06</v>
      </c>
      <c r="X4136" s="42"/>
      <c r="AB4136">
        <v>77.400000000000006</v>
      </c>
      <c r="AC4136">
        <v>71.06</v>
      </c>
      <c r="AE4136" s="74"/>
      <c r="AF4136" s="77"/>
      <c r="AH4136" s="497">
        <v>80.599999999999994</v>
      </c>
      <c r="AJ4136" s="42"/>
      <c r="AK4136" s="74"/>
      <c r="AL4136" s="77"/>
      <c r="AN4136" s="497">
        <v>78.98</v>
      </c>
      <c r="AP4136" s="42"/>
      <c r="AQ4136" s="74"/>
      <c r="AR4136" s="77"/>
      <c r="AT4136" s="497">
        <v>75.92</v>
      </c>
      <c r="AV4136" s="42"/>
      <c r="AW4136" s="74"/>
      <c r="AX4136" s="77"/>
      <c r="BA4136" s="497">
        <v>76.28</v>
      </c>
      <c r="BB4136" s="42"/>
      <c r="BC4136" s="74"/>
      <c r="BD4136" s="77"/>
      <c r="BF4136">
        <v>69.98</v>
      </c>
      <c r="BH4136" s="42"/>
      <c r="BI4136" s="74"/>
      <c r="BJ4136" s="77"/>
      <c r="BL4136" s="497">
        <v>69.98</v>
      </c>
      <c r="BN4136" s="42"/>
      <c r="BO4136" s="74"/>
      <c r="BP4136" s="77"/>
      <c r="BR4136" s="497">
        <v>68</v>
      </c>
      <c r="BT4136" s="42"/>
    </row>
    <row r="4137" spans="1:72" x14ac:dyDescent="0.25">
      <c r="A4137" s="90">
        <v>34506</v>
      </c>
      <c r="B4137" s="20">
        <v>0.625</v>
      </c>
      <c r="D4137">
        <v>78.98</v>
      </c>
      <c r="E4137" t="str">
        <f t="shared" si="164"/>
        <v>WEEKDAY</v>
      </c>
      <c r="F4137" t="e">
        <f t="shared" si="163"/>
        <v>#N/A</v>
      </c>
      <c r="G4137" s="74">
        <v>33045</v>
      </c>
      <c r="H4137" s="77">
        <v>0.625</v>
      </c>
      <c r="J4137">
        <v>75.92</v>
      </c>
      <c r="M4137" s="74">
        <v>37793</v>
      </c>
      <c r="N4137" s="77">
        <v>0.625</v>
      </c>
      <c r="P4137">
        <v>60.8</v>
      </c>
      <c r="S4137" s="74">
        <v>34506</v>
      </c>
      <c r="T4137" s="77">
        <v>0.625</v>
      </c>
      <c r="V4137">
        <v>71.960000000000008</v>
      </c>
      <c r="X4137" s="42"/>
      <c r="AB4137">
        <v>77.5</v>
      </c>
      <c r="AC4137">
        <v>71.06</v>
      </c>
      <c r="AE4137" s="74"/>
      <c r="AF4137" s="77"/>
      <c r="AH4137" s="497">
        <v>82.4</v>
      </c>
      <c r="AJ4137" s="42"/>
      <c r="AK4137" s="74"/>
      <c r="AL4137" s="77"/>
      <c r="AN4137" s="497">
        <v>78.080000000000013</v>
      </c>
      <c r="AP4137" s="42"/>
      <c r="AQ4137" s="74"/>
      <c r="AR4137" s="77"/>
      <c r="AT4137" s="497">
        <v>77</v>
      </c>
      <c r="AV4137" s="42"/>
      <c r="AW4137" s="74"/>
      <c r="AX4137" s="77"/>
      <c r="BA4137" s="497">
        <v>75.740000000000009</v>
      </c>
      <c r="BB4137" s="42"/>
      <c r="BC4137" s="74"/>
      <c r="BD4137" s="77"/>
      <c r="BF4137">
        <v>71.06</v>
      </c>
      <c r="BH4137" s="42"/>
      <c r="BI4137" s="74"/>
      <c r="BJ4137" s="77"/>
      <c r="BL4137" s="497">
        <v>71.06</v>
      </c>
      <c r="BN4137" s="42"/>
      <c r="BO4137" s="74"/>
      <c r="BP4137" s="77"/>
      <c r="BR4137" s="497">
        <v>71.06</v>
      </c>
      <c r="BT4137" s="42"/>
    </row>
    <row r="4138" spans="1:72" x14ac:dyDescent="0.25">
      <c r="A4138" s="90">
        <v>34506</v>
      </c>
      <c r="B4138" s="20">
        <v>0.66666666666666663</v>
      </c>
      <c r="D4138">
        <v>78.98</v>
      </c>
      <c r="E4138" t="str">
        <f t="shared" si="164"/>
        <v>WEEKDAY</v>
      </c>
      <c r="F4138" t="e">
        <f t="shared" si="163"/>
        <v>#N/A</v>
      </c>
      <c r="G4138" s="74">
        <v>33045</v>
      </c>
      <c r="H4138" s="77">
        <v>0.66666666666666663</v>
      </c>
      <c r="J4138">
        <v>75.92</v>
      </c>
      <c r="M4138" s="74">
        <v>37793</v>
      </c>
      <c r="N4138" s="77">
        <v>0.66666666666666663</v>
      </c>
      <c r="P4138">
        <v>62.6</v>
      </c>
      <c r="S4138" s="74">
        <v>34506</v>
      </c>
      <c r="T4138" s="77">
        <v>0.66666666666666663</v>
      </c>
      <c r="V4138">
        <v>71.960000000000008</v>
      </c>
      <c r="X4138" s="42"/>
      <c r="AB4138">
        <v>77</v>
      </c>
      <c r="AC4138">
        <v>71.960000000000008</v>
      </c>
      <c r="AE4138" s="74"/>
      <c r="AF4138" s="77"/>
      <c r="AH4138" s="497">
        <v>80.960000000000008</v>
      </c>
      <c r="AJ4138" s="42"/>
      <c r="AK4138" s="74"/>
      <c r="AL4138" s="77"/>
      <c r="AN4138" s="497">
        <v>82.039999999999992</v>
      </c>
      <c r="AP4138" s="42"/>
      <c r="AQ4138" s="74"/>
      <c r="AR4138" s="77"/>
      <c r="AT4138" s="497">
        <v>77</v>
      </c>
      <c r="AV4138" s="42"/>
      <c r="AW4138" s="74"/>
      <c r="AX4138" s="77"/>
      <c r="BA4138" s="497">
        <v>75.02</v>
      </c>
      <c r="BB4138" s="42"/>
      <c r="BC4138" s="74"/>
      <c r="BD4138" s="77"/>
      <c r="BF4138">
        <v>71.06</v>
      </c>
      <c r="BH4138" s="42"/>
      <c r="BI4138" s="74"/>
      <c r="BJ4138" s="77"/>
      <c r="BL4138" s="497">
        <v>69.080000000000013</v>
      </c>
      <c r="BN4138" s="42"/>
      <c r="BO4138" s="74"/>
      <c r="BP4138" s="77"/>
      <c r="BR4138" s="497">
        <v>73.94</v>
      </c>
      <c r="BT4138" s="42"/>
    </row>
    <row r="4139" spans="1:72" x14ac:dyDescent="0.25">
      <c r="A4139" s="90">
        <v>34506</v>
      </c>
      <c r="B4139" s="20">
        <v>0.70833333333333337</v>
      </c>
      <c r="D4139">
        <v>77</v>
      </c>
      <c r="E4139" t="str">
        <f t="shared" si="164"/>
        <v>WEEKDAY</v>
      </c>
      <c r="F4139" t="e">
        <f t="shared" ref="F4139:F4202" si="165">IF(E4139="WEEKDAY",VLOOKUP(B4139,$DD$19:$DG$42,2),IF(E4139="SATURDAY",VLOOKUP(B4139,$DD$19:$DG$42,3),VLOOKUP(B4139,$DD$19:$DG$42,4)))</f>
        <v>#N/A</v>
      </c>
      <c r="G4139" s="74">
        <v>33045</v>
      </c>
      <c r="H4139" s="77">
        <v>0.70833333333333337</v>
      </c>
      <c r="J4139">
        <v>78.080000000000013</v>
      </c>
      <c r="M4139" s="74">
        <v>37793</v>
      </c>
      <c r="N4139" s="77">
        <v>0.70833333333333337</v>
      </c>
      <c r="P4139">
        <v>60.8</v>
      </c>
      <c r="S4139" s="74">
        <v>34506</v>
      </c>
      <c r="T4139" s="77">
        <v>0.70833333333333337</v>
      </c>
      <c r="V4139">
        <v>73.039999999999992</v>
      </c>
      <c r="X4139" s="42"/>
      <c r="AB4139">
        <v>76.099999999999994</v>
      </c>
      <c r="AC4139">
        <v>73.039999999999992</v>
      </c>
      <c r="AE4139" s="74"/>
      <c r="AF4139" s="77"/>
      <c r="AH4139" s="497">
        <v>78.800000000000011</v>
      </c>
      <c r="AJ4139" s="42"/>
      <c r="AK4139" s="74"/>
      <c r="AL4139" s="77"/>
      <c r="AN4139" s="497">
        <v>82.039999999999992</v>
      </c>
      <c r="AP4139" s="42"/>
      <c r="AQ4139" s="74"/>
      <c r="AR4139" s="77"/>
      <c r="AT4139" s="497">
        <v>77</v>
      </c>
      <c r="AV4139" s="42"/>
      <c r="AW4139" s="74"/>
      <c r="AX4139" s="77"/>
      <c r="BA4139" s="497">
        <v>70.7</v>
      </c>
      <c r="BB4139" s="42"/>
      <c r="BC4139" s="74"/>
      <c r="BD4139" s="77"/>
      <c r="BF4139">
        <v>71.06</v>
      </c>
      <c r="BH4139" s="42"/>
      <c r="BI4139" s="74"/>
      <c r="BJ4139" s="77"/>
      <c r="BL4139" s="497">
        <v>69.98</v>
      </c>
      <c r="BN4139" s="42"/>
      <c r="BO4139" s="74"/>
      <c r="BP4139" s="77"/>
      <c r="BR4139" s="497">
        <v>73.039999999999992</v>
      </c>
      <c r="BT4139" s="42"/>
    </row>
    <row r="4140" spans="1:72" x14ac:dyDescent="0.25">
      <c r="A4140" s="90">
        <v>34506</v>
      </c>
      <c r="B4140" s="20">
        <v>0.75</v>
      </c>
      <c r="D4140">
        <v>77</v>
      </c>
      <c r="E4140" t="str">
        <f t="shared" si="164"/>
        <v>WEEKDAY</v>
      </c>
      <c r="F4140" t="e">
        <f t="shared" si="165"/>
        <v>#N/A</v>
      </c>
      <c r="G4140" s="74">
        <v>33045</v>
      </c>
      <c r="H4140" s="77">
        <v>0.75</v>
      </c>
      <c r="J4140">
        <v>75.92</v>
      </c>
      <c r="M4140" s="74">
        <v>37793</v>
      </c>
      <c r="N4140" s="77">
        <v>0.75</v>
      </c>
      <c r="P4140">
        <v>60.8</v>
      </c>
      <c r="S4140" s="74">
        <v>34506</v>
      </c>
      <c r="T4140" s="77">
        <v>0.75</v>
      </c>
      <c r="V4140">
        <v>73.039999999999992</v>
      </c>
      <c r="X4140" s="42"/>
      <c r="AB4140">
        <v>75</v>
      </c>
      <c r="AC4140">
        <v>71.960000000000008</v>
      </c>
      <c r="AE4140" s="74"/>
      <c r="AF4140" s="77"/>
      <c r="AH4140" s="497">
        <v>77</v>
      </c>
      <c r="AJ4140" s="42"/>
      <c r="AK4140" s="74"/>
      <c r="AL4140" s="77"/>
      <c r="AN4140" s="497">
        <v>78.98</v>
      </c>
      <c r="AP4140" s="42"/>
      <c r="AQ4140" s="74"/>
      <c r="AR4140" s="77"/>
      <c r="AT4140" s="497">
        <v>77</v>
      </c>
      <c r="AV4140" s="42"/>
      <c r="AW4140" s="74"/>
      <c r="AX4140" s="77"/>
      <c r="BA4140" s="497">
        <v>66.38</v>
      </c>
      <c r="BB4140" s="42"/>
      <c r="BC4140" s="74"/>
      <c r="BD4140" s="77"/>
      <c r="BF4140">
        <v>69.080000000000013</v>
      </c>
      <c r="BH4140" s="42"/>
      <c r="BI4140" s="74"/>
      <c r="BJ4140" s="77"/>
      <c r="BL4140" s="497">
        <v>69.98</v>
      </c>
      <c r="BN4140" s="42"/>
      <c r="BO4140" s="74"/>
      <c r="BP4140" s="77"/>
      <c r="BR4140" s="497">
        <v>73.039999999999992</v>
      </c>
      <c r="BT4140" s="42"/>
    </row>
    <row r="4141" spans="1:72" x14ac:dyDescent="0.25">
      <c r="A4141" s="90">
        <v>34506</v>
      </c>
      <c r="B4141" s="20">
        <v>0.79166666666666663</v>
      </c>
      <c r="D4141">
        <v>73.94</v>
      </c>
      <c r="E4141" t="str">
        <f t="shared" si="164"/>
        <v>WEEKDAY</v>
      </c>
      <c r="F4141" t="e">
        <f t="shared" si="165"/>
        <v>#N/A</v>
      </c>
      <c r="G4141" s="74">
        <v>33045</v>
      </c>
      <c r="H4141" s="77">
        <v>0.79166666666666663</v>
      </c>
      <c r="J4141">
        <v>73.94</v>
      </c>
      <c r="M4141" s="74">
        <v>37793</v>
      </c>
      <c r="N4141" s="77">
        <v>0.79166666666666663</v>
      </c>
      <c r="P4141">
        <v>57.2</v>
      </c>
      <c r="S4141" s="74">
        <v>34506</v>
      </c>
      <c r="T4141" s="77">
        <v>0.79166666666666663</v>
      </c>
      <c r="V4141">
        <v>71.960000000000008</v>
      </c>
      <c r="X4141" s="42"/>
      <c r="AB4141">
        <v>73.599999999999994</v>
      </c>
      <c r="AC4141">
        <v>71.960000000000008</v>
      </c>
      <c r="AE4141" s="74"/>
      <c r="AF4141" s="77"/>
      <c r="AH4141" s="497">
        <v>75.2</v>
      </c>
      <c r="AJ4141" s="42"/>
      <c r="AK4141" s="74"/>
      <c r="AL4141" s="77"/>
      <c r="AN4141" s="497">
        <v>78.080000000000013</v>
      </c>
      <c r="AP4141" s="42"/>
      <c r="AQ4141" s="74"/>
      <c r="AR4141" s="77"/>
      <c r="AT4141" s="497">
        <v>73.94</v>
      </c>
      <c r="AV4141" s="42"/>
      <c r="AW4141" s="74"/>
      <c r="AX4141" s="77"/>
      <c r="BA4141" s="497">
        <v>62.06</v>
      </c>
      <c r="BB4141" s="42"/>
      <c r="BC4141" s="74"/>
      <c r="BD4141" s="77"/>
      <c r="BF4141">
        <v>66.92</v>
      </c>
      <c r="BH4141" s="42"/>
      <c r="BI4141" s="74"/>
      <c r="BJ4141" s="77"/>
      <c r="BL4141" s="497">
        <v>69.98</v>
      </c>
      <c r="BN4141" s="42"/>
      <c r="BO4141" s="74"/>
      <c r="BP4141" s="77"/>
      <c r="BR4141" s="497">
        <v>69.98</v>
      </c>
      <c r="BT4141" s="42"/>
    </row>
    <row r="4142" spans="1:72" x14ac:dyDescent="0.25">
      <c r="A4142" s="90">
        <v>34506</v>
      </c>
      <c r="B4142" s="20">
        <v>0.83333333333333337</v>
      </c>
      <c r="D4142">
        <v>73.039999999999992</v>
      </c>
      <c r="E4142" t="str">
        <f t="shared" si="164"/>
        <v>WEEKDAY</v>
      </c>
      <c r="F4142" t="e">
        <f t="shared" si="165"/>
        <v>#N/A</v>
      </c>
      <c r="G4142" s="74">
        <v>33045</v>
      </c>
      <c r="H4142" s="77">
        <v>0.83333333333333337</v>
      </c>
      <c r="J4142">
        <v>73.039999999999992</v>
      </c>
      <c r="M4142" s="74">
        <v>37793</v>
      </c>
      <c r="N4142" s="77">
        <v>0.83333333333333337</v>
      </c>
      <c r="P4142">
        <v>57.2</v>
      </c>
      <c r="S4142" s="74">
        <v>34506</v>
      </c>
      <c r="T4142" s="77">
        <v>0.83333333333333337</v>
      </c>
      <c r="V4142">
        <v>71.960000000000008</v>
      </c>
      <c r="X4142" s="42"/>
      <c r="AB4142">
        <v>72.2</v>
      </c>
      <c r="AC4142">
        <v>71.06</v>
      </c>
      <c r="AE4142" s="74"/>
      <c r="AF4142" s="77"/>
      <c r="AH4142" s="497">
        <v>75.2</v>
      </c>
      <c r="AJ4142" s="42"/>
      <c r="AK4142" s="74"/>
      <c r="AL4142" s="77"/>
      <c r="AN4142" s="497">
        <v>75.02</v>
      </c>
      <c r="AP4142" s="42"/>
      <c r="AQ4142" s="74"/>
      <c r="AR4142" s="77"/>
      <c r="AT4142" s="497">
        <v>64.94</v>
      </c>
      <c r="AV4142" s="42"/>
      <c r="AW4142" s="74"/>
      <c r="AX4142" s="77"/>
      <c r="BA4142" s="497">
        <v>61.7</v>
      </c>
      <c r="BB4142" s="42"/>
      <c r="BC4142" s="74"/>
      <c r="BD4142" s="77"/>
      <c r="BF4142">
        <v>66.92</v>
      </c>
      <c r="BH4142" s="42"/>
      <c r="BI4142" s="74"/>
      <c r="BJ4142" s="77"/>
      <c r="BL4142" s="497">
        <v>69.080000000000013</v>
      </c>
      <c r="BN4142" s="42"/>
      <c r="BO4142" s="74"/>
      <c r="BP4142" s="77"/>
      <c r="BR4142" s="497">
        <v>66.02</v>
      </c>
      <c r="BT4142" s="42"/>
    </row>
    <row r="4143" spans="1:72" x14ac:dyDescent="0.25">
      <c r="A4143" s="90">
        <v>34506</v>
      </c>
      <c r="B4143" s="20">
        <v>0.875</v>
      </c>
      <c r="D4143">
        <v>71.960000000000008</v>
      </c>
      <c r="E4143" t="str">
        <f t="shared" si="164"/>
        <v>WEEKDAY</v>
      </c>
      <c r="F4143" t="e">
        <f t="shared" si="165"/>
        <v>#N/A</v>
      </c>
      <c r="G4143" s="74">
        <v>33045</v>
      </c>
      <c r="H4143" s="77">
        <v>0.875</v>
      </c>
      <c r="J4143">
        <v>71.06</v>
      </c>
      <c r="M4143" s="74">
        <v>37793</v>
      </c>
      <c r="N4143" s="77">
        <v>0.875</v>
      </c>
      <c r="P4143">
        <v>57.2</v>
      </c>
      <c r="S4143" s="74">
        <v>34506</v>
      </c>
      <c r="T4143" s="77">
        <v>0.875</v>
      </c>
      <c r="V4143">
        <v>71.960000000000008</v>
      </c>
      <c r="X4143" s="42"/>
      <c r="AB4143">
        <v>70.900000000000006</v>
      </c>
      <c r="AC4143">
        <v>71.06</v>
      </c>
      <c r="AE4143" s="74"/>
      <c r="AF4143" s="77"/>
      <c r="AH4143" s="497">
        <v>73.400000000000006</v>
      </c>
      <c r="AJ4143" s="42"/>
      <c r="AK4143" s="74"/>
      <c r="AL4143" s="77"/>
      <c r="AN4143" s="497">
        <v>73.94</v>
      </c>
      <c r="AP4143" s="42"/>
      <c r="AQ4143" s="74"/>
      <c r="AR4143" s="77"/>
      <c r="AT4143" s="497">
        <v>60.980000000000004</v>
      </c>
      <c r="AV4143" s="42"/>
      <c r="AW4143" s="74"/>
      <c r="AX4143" s="77"/>
      <c r="BA4143" s="497">
        <v>61.34</v>
      </c>
      <c r="BB4143" s="42"/>
      <c r="BC4143" s="74"/>
      <c r="BD4143" s="77"/>
      <c r="BF4143">
        <v>66.92</v>
      </c>
      <c r="BH4143" s="42"/>
      <c r="BI4143" s="74"/>
      <c r="BJ4143" s="77"/>
      <c r="BL4143" s="497">
        <v>64.94</v>
      </c>
      <c r="BN4143" s="42"/>
      <c r="BO4143" s="74"/>
      <c r="BP4143" s="77"/>
      <c r="BR4143" s="497">
        <v>60.980000000000004</v>
      </c>
      <c r="BT4143" s="42"/>
    </row>
    <row r="4144" spans="1:72" x14ac:dyDescent="0.25">
      <c r="A4144" s="90">
        <v>34506</v>
      </c>
      <c r="B4144" s="20">
        <v>0.91666666666666663</v>
      </c>
      <c r="D4144">
        <v>71.06</v>
      </c>
      <c r="E4144" t="str">
        <f t="shared" si="164"/>
        <v>WEEKDAY</v>
      </c>
      <c r="F4144" t="e">
        <f t="shared" si="165"/>
        <v>#N/A</v>
      </c>
      <c r="G4144" s="74">
        <v>33045</v>
      </c>
      <c r="H4144" s="77">
        <v>0.91666666666666663</v>
      </c>
      <c r="J4144">
        <v>73.039999999999992</v>
      </c>
      <c r="M4144" s="74">
        <v>37793</v>
      </c>
      <c r="N4144" s="77">
        <v>0.91666666666666663</v>
      </c>
      <c r="P4144">
        <v>57.2</v>
      </c>
      <c r="S4144" s="74">
        <v>34506</v>
      </c>
      <c r="T4144" s="77">
        <v>0.91666666666666663</v>
      </c>
      <c r="V4144">
        <v>71.06</v>
      </c>
      <c r="X4144" s="42"/>
      <c r="AB4144">
        <v>70.3</v>
      </c>
      <c r="AC4144">
        <v>71.960000000000008</v>
      </c>
      <c r="AE4144" s="74"/>
      <c r="AF4144" s="77"/>
      <c r="AH4144" s="497">
        <v>73.400000000000006</v>
      </c>
      <c r="AJ4144" s="42"/>
      <c r="AK4144" s="74"/>
      <c r="AL4144" s="77"/>
      <c r="AN4144" s="497">
        <v>71.960000000000008</v>
      </c>
      <c r="AP4144" s="42"/>
      <c r="AQ4144" s="74"/>
      <c r="AR4144" s="77"/>
      <c r="AT4144" s="497">
        <v>59</v>
      </c>
      <c r="AV4144" s="42"/>
      <c r="AW4144" s="74"/>
      <c r="AX4144" s="77"/>
      <c r="BA4144" s="497">
        <v>60.980000000000004</v>
      </c>
      <c r="BB4144" s="42"/>
      <c r="BC4144" s="74"/>
      <c r="BD4144" s="77"/>
      <c r="BF4144">
        <v>62.96</v>
      </c>
      <c r="BH4144" s="42"/>
      <c r="BI4144" s="74"/>
      <c r="BJ4144" s="77"/>
      <c r="BL4144" s="497">
        <v>64.039999999999992</v>
      </c>
      <c r="BN4144" s="42"/>
      <c r="BO4144" s="74"/>
      <c r="BP4144" s="77"/>
      <c r="BR4144" s="497">
        <v>57.92</v>
      </c>
      <c r="BT4144" s="42"/>
    </row>
    <row r="4145" spans="1:72" x14ac:dyDescent="0.25">
      <c r="A4145" s="90">
        <v>34506</v>
      </c>
      <c r="B4145" s="20">
        <v>0.95833333333333337</v>
      </c>
      <c r="D4145">
        <v>69.98</v>
      </c>
      <c r="E4145" t="str">
        <f t="shared" si="164"/>
        <v>WEEKDAY</v>
      </c>
      <c r="F4145" t="e">
        <f t="shared" si="165"/>
        <v>#N/A</v>
      </c>
      <c r="G4145" s="74">
        <v>33045</v>
      </c>
      <c r="H4145" s="77">
        <v>0.95833333333333337</v>
      </c>
      <c r="J4145">
        <v>71.960000000000008</v>
      </c>
      <c r="M4145" s="74">
        <v>37793</v>
      </c>
      <c r="N4145" s="77">
        <v>0.95833333333333337</v>
      </c>
      <c r="P4145">
        <v>55.400000000000006</v>
      </c>
      <c r="S4145" s="74">
        <v>34506</v>
      </c>
      <c r="T4145" s="77">
        <v>0.95833333333333337</v>
      </c>
      <c r="V4145">
        <v>71.06</v>
      </c>
      <c r="X4145" s="42"/>
      <c r="AB4145">
        <v>69.7</v>
      </c>
      <c r="AC4145">
        <v>71.960000000000008</v>
      </c>
      <c r="AE4145" s="74"/>
      <c r="AF4145" s="77"/>
      <c r="AH4145" s="497">
        <v>73.400000000000006</v>
      </c>
      <c r="AJ4145" s="42"/>
      <c r="AK4145" s="74"/>
      <c r="AL4145" s="77"/>
      <c r="AN4145" s="497">
        <v>69.080000000000013</v>
      </c>
      <c r="AP4145" s="42"/>
      <c r="AQ4145" s="74"/>
      <c r="AR4145" s="77"/>
      <c r="AT4145" s="497">
        <v>55.94</v>
      </c>
      <c r="AV4145" s="42"/>
      <c r="AW4145" s="74"/>
      <c r="AX4145" s="77"/>
      <c r="BA4145" s="497">
        <v>60.980000000000004</v>
      </c>
      <c r="BB4145" s="42"/>
      <c r="BC4145" s="74"/>
      <c r="BD4145" s="77"/>
      <c r="BF4145">
        <v>62.06</v>
      </c>
      <c r="BH4145" s="42"/>
      <c r="BI4145" s="74"/>
      <c r="BJ4145" s="77"/>
      <c r="BL4145" s="497">
        <v>64.94</v>
      </c>
      <c r="BN4145" s="42"/>
      <c r="BO4145" s="74"/>
      <c r="BP4145" s="77"/>
      <c r="BR4145" s="497">
        <v>57.92</v>
      </c>
      <c r="BT4145" s="42"/>
    </row>
    <row r="4146" spans="1:72" x14ac:dyDescent="0.25">
      <c r="A4146" s="90">
        <v>34506</v>
      </c>
      <c r="B4146" s="20">
        <v>1</v>
      </c>
      <c r="D4146">
        <v>69.98</v>
      </c>
      <c r="E4146" t="str">
        <f t="shared" si="164"/>
        <v>WEEKDAY</v>
      </c>
      <c r="F4146" t="e">
        <f t="shared" si="165"/>
        <v>#N/A</v>
      </c>
      <c r="G4146" s="74">
        <v>33045</v>
      </c>
      <c r="H4146" s="77">
        <v>1</v>
      </c>
      <c r="J4146">
        <v>71.06</v>
      </c>
      <c r="M4146" s="74">
        <v>37793</v>
      </c>
      <c r="N4146" s="80">
        <v>1</v>
      </c>
      <c r="P4146">
        <v>55.400000000000006</v>
      </c>
      <c r="S4146" s="74">
        <v>34506</v>
      </c>
      <c r="T4146" s="80">
        <v>1</v>
      </c>
      <c r="V4146">
        <v>71.960000000000008</v>
      </c>
      <c r="X4146" s="42"/>
      <c r="AB4146">
        <v>69.2</v>
      </c>
      <c r="AC4146">
        <v>71.960000000000008</v>
      </c>
      <c r="AE4146" s="74"/>
      <c r="AF4146" s="80"/>
      <c r="AH4146" s="497">
        <v>73.400000000000006</v>
      </c>
      <c r="AJ4146" s="42"/>
      <c r="AK4146" s="74"/>
      <c r="AL4146" s="80"/>
      <c r="AN4146" s="497">
        <v>64.94</v>
      </c>
      <c r="AP4146" s="42"/>
      <c r="AQ4146" s="74"/>
      <c r="AR4146" s="80"/>
      <c r="AT4146" s="497">
        <v>59</v>
      </c>
      <c r="AV4146" s="42"/>
      <c r="AW4146" s="74"/>
      <c r="AX4146" s="80"/>
      <c r="BA4146" s="497">
        <v>60.980000000000004</v>
      </c>
      <c r="BB4146" s="42"/>
      <c r="BC4146" s="74"/>
      <c r="BD4146" s="80"/>
      <c r="BF4146">
        <v>60.08</v>
      </c>
      <c r="BH4146" s="42"/>
      <c r="BI4146" s="74"/>
      <c r="BJ4146" s="80"/>
      <c r="BL4146" s="497">
        <v>64.039999999999992</v>
      </c>
      <c r="BN4146" s="42"/>
      <c r="BO4146" s="74"/>
      <c r="BP4146" s="80"/>
      <c r="BR4146" s="497">
        <v>57.92</v>
      </c>
      <c r="BT4146" s="42"/>
    </row>
    <row r="4147" spans="1:72" x14ac:dyDescent="0.25">
      <c r="A4147" s="90">
        <v>34507</v>
      </c>
      <c r="B4147" s="20">
        <v>4.1666666666666664E-2</v>
      </c>
      <c r="D4147">
        <v>69.98</v>
      </c>
      <c r="E4147" t="str">
        <f t="shared" si="164"/>
        <v>WEEKDAY</v>
      </c>
      <c r="F4147" t="e">
        <f t="shared" si="165"/>
        <v>#N/A</v>
      </c>
      <c r="G4147" s="74">
        <v>33046</v>
      </c>
      <c r="H4147" s="77">
        <v>4.1666666666666664E-2</v>
      </c>
      <c r="J4147">
        <v>71.06</v>
      </c>
      <c r="M4147" s="74">
        <v>37794</v>
      </c>
      <c r="N4147" s="77">
        <v>4.1666666666666664E-2</v>
      </c>
      <c r="P4147">
        <v>55.400000000000006</v>
      </c>
      <c r="S4147" s="74">
        <v>34507</v>
      </c>
      <c r="T4147" s="77">
        <v>4.1666666666666664E-2</v>
      </c>
      <c r="V4147">
        <v>75.92</v>
      </c>
      <c r="X4147" s="42"/>
      <c r="AB4147">
        <v>68.599999999999994</v>
      </c>
      <c r="AC4147">
        <v>69.080000000000013</v>
      </c>
      <c r="AE4147" s="74"/>
      <c r="AF4147" s="77"/>
      <c r="AH4147" s="497">
        <v>72.14</v>
      </c>
      <c r="AJ4147" s="42"/>
      <c r="AK4147" s="74"/>
      <c r="AL4147" s="77"/>
      <c r="AN4147" s="497">
        <v>64.039999999999992</v>
      </c>
      <c r="AP4147" s="42"/>
      <c r="AQ4147" s="74"/>
      <c r="AR4147" s="77"/>
      <c r="AT4147" s="497">
        <v>59</v>
      </c>
      <c r="AV4147" s="42"/>
      <c r="AW4147" s="74"/>
      <c r="AX4147" s="77"/>
      <c r="BA4147" s="497">
        <v>60.980000000000004</v>
      </c>
      <c r="BB4147" s="42"/>
      <c r="BC4147" s="74"/>
      <c r="BD4147" s="77"/>
      <c r="BF4147">
        <v>59</v>
      </c>
      <c r="BH4147" s="42"/>
      <c r="BI4147" s="74"/>
      <c r="BJ4147" s="77"/>
      <c r="BL4147" s="497">
        <v>62.96</v>
      </c>
      <c r="BN4147" s="42"/>
      <c r="BO4147" s="74"/>
      <c r="BP4147" s="77"/>
      <c r="BR4147" s="497">
        <v>57.92</v>
      </c>
      <c r="BT4147" s="42"/>
    </row>
    <row r="4148" spans="1:72" x14ac:dyDescent="0.25">
      <c r="A4148" s="90">
        <v>34507</v>
      </c>
      <c r="B4148" s="20">
        <v>8.3333333333333329E-2</v>
      </c>
      <c r="D4148">
        <v>69.98</v>
      </c>
      <c r="E4148" t="str">
        <f t="shared" si="164"/>
        <v>WEEKDAY</v>
      </c>
      <c r="F4148" t="e">
        <f t="shared" si="165"/>
        <v>#N/A</v>
      </c>
      <c r="G4148" s="74">
        <v>33046</v>
      </c>
      <c r="H4148" s="77">
        <v>8.3333333333333329E-2</v>
      </c>
      <c r="J4148">
        <v>69.98</v>
      </c>
      <c r="M4148" s="74">
        <v>37794</v>
      </c>
      <c r="N4148" s="77">
        <v>8.3333333333333329E-2</v>
      </c>
      <c r="P4148">
        <v>55.400000000000006</v>
      </c>
      <c r="S4148" s="74">
        <v>34507</v>
      </c>
      <c r="T4148" s="77">
        <v>8.3333333333333329E-2</v>
      </c>
      <c r="V4148">
        <v>77</v>
      </c>
      <c r="X4148" s="42"/>
      <c r="AB4148">
        <v>68.099999999999994</v>
      </c>
      <c r="AC4148">
        <v>69.080000000000013</v>
      </c>
      <c r="AE4148" s="74"/>
      <c r="AF4148" s="77"/>
      <c r="AH4148" s="497">
        <v>70.88</v>
      </c>
      <c r="AJ4148" s="42"/>
      <c r="AK4148" s="74"/>
      <c r="AL4148" s="77"/>
      <c r="AN4148" s="497">
        <v>62.96</v>
      </c>
      <c r="AP4148" s="42"/>
      <c r="AQ4148" s="74"/>
      <c r="AR4148" s="77"/>
      <c r="AT4148" s="497">
        <v>59</v>
      </c>
      <c r="AV4148" s="42"/>
      <c r="AW4148" s="74"/>
      <c r="AX4148" s="77"/>
      <c r="BA4148" s="497">
        <v>60.620000000000005</v>
      </c>
      <c r="BB4148" s="42"/>
      <c r="BC4148" s="74"/>
      <c r="BD4148" s="77"/>
      <c r="BF4148">
        <v>57.019999999999996</v>
      </c>
      <c r="BH4148" s="42"/>
      <c r="BI4148" s="74"/>
      <c r="BJ4148" s="77"/>
      <c r="BL4148" s="497">
        <v>62.06</v>
      </c>
      <c r="BN4148" s="42"/>
      <c r="BO4148" s="74"/>
      <c r="BP4148" s="77"/>
      <c r="BR4148" s="497">
        <v>57.019999999999996</v>
      </c>
      <c r="BT4148" s="42"/>
    </row>
    <row r="4149" spans="1:72" x14ac:dyDescent="0.25">
      <c r="A4149" s="90">
        <v>34507</v>
      </c>
      <c r="B4149" s="20">
        <v>0.125</v>
      </c>
      <c r="D4149">
        <v>69.98</v>
      </c>
      <c r="E4149" t="str">
        <f t="shared" si="164"/>
        <v>WEEKDAY</v>
      </c>
      <c r="F4149" t="e">
        <f t="shared" si="165"/>
        <v>#N/A</v>
      </c>
      <c r="G4149" s="74">
        <v>33046</v>
      </c>
      <c r="H4149" s="77">
        <v>0.125</v>
      </c>
      <c r="J4149">
        <v>69.080000000000013</v>
      </c>
      <c r="M4149" s="74">
        <v>37794</v>
      </c>
      <c r="N4149" s="77">
        <v>0.125</v>
      </c>
      <c r="P4149">
        <v>57.2</v>
      </c>
      <c r="S4149" s="74">
        <v>34507</v>
      </c>
      <c r="T4149" s="77">
        <v>0.125</v>
      </c>
      <c r="V4149">
        <v>75.92</v>
      </c>
      <c r="X4149" s="42"/>
      <c r="AB4149">
        <v>67.599999999999994</v>
      </c>
      <c r="AC4149">
        <v>71.06</v>
      </c>
      <c r="AE4149" s="74"/>
      <c r="AF4149" s="77"/>
      <c r="AH4149" s="497">
        <v>69.800000000000011</v>
      </c>
      <c r="AJ4149" s="42"/>
      <c r="AK4149" s="74"/>
      <c r="AL4149" s="77"/>
      <c r="AN4149" s="497">
        <v>62.06</v>
      </c>
      <c r="AP4149" s="42"/>
      <c r="AQ4149" s="74"/>
      <c r="AR4149" s="77"/>
      <c r="AT4149" s="497">
        <v>55.94</v>
      </c>
      <c r="AV4149" s="42"/>
      <c r="AW4149" s="74"/>
      <c r="AX4149" s="77"/>
      <c r="BA4149" s="497">
        <v>60.44</v>
      </c>
      <c r="BB4149" s="42"/>
      <c r="BC4149" s="74"/>
      <c r="BD4149" s="77"/>
      <c r="BF4149">
        <v>55.94</v>
      </c>
      <c r="BH4149" s="42"/>
      <c r="BI4149" s="74"/>
      <c r="BJ4149" s="77"/>
      <c r="BL4149" s="497">
        <v>62.96</v>
      </c>
      <c r="BN4149" s="42"/>
      <c r="BO4149" s="74"/>
      <c r="BP4149" s="77"/>
      <c r="BR4149" s="497">
        <v>55.94</v>
      </c>
      <c r="BT4149" s="42"/>
    </row>
    <row r="4150" spans="1:72" x14ac:dyDescent="0.25">
      <c r="A4150" s="90">
        <v>34507</v>
      </c>
      <c r="B4150" s="20">
        <v>0.16666666666666666</v>
      </c>
      <c r="D4150">
        <v>69.080000000000013</v>
      </c>
      <c r="E4150" t="str">
        <f t="shared" si="164"/>
        <v>WEEKDAY</v>
      </c>
      <c r="F4150" t="e">
        <f t="shared" si="165"/>
        <v>#N/A</v>
      </c>
      <c r="G4150" s="74">
        <v>33046</v>
      </c>
      <c r="H4150" s="77">
        <v>0.16666666666666666</v>
      </c>
      <c r="J4150">
        <v>68</v>
      </c>
      <c r="M4150" s="74">
        <v>37794</v>
      </c>
      <c r="N4150" s="77">
        <v>0.16666666666666666</v>
      </c>
      <c r="P4150">
        <v>55.400000000000006</v>
      </c>
      <c r="S4150" s="74">
        <v>34507</v>
      </c>
      <c r="T4150" s="77">
        <v>0.16666666666666666</v>
      </c>
      <c r="V4150">
        <v>73.94</v>
      </c>
      <c r="X4150" s="42"/>
      <c r="AB4150">
        <v>67.2</v>
      </c>
      <c r="AC4150">
        <v>68</v>
      </c>
      <c r="AE4150" s="74"/>
      <c r="AF4150" s="77"/>
      <c r="AH4150" s="497">
        <v>69.800000000000011</v>
      </c>
      <c r="AJ4150" s="42"/>
      <c r="AK4150" s="74"/>
      <c r="AL4150" s="77"/>
      <c r="AN4150" s="497">
        <v>60.08</v>
      </c>
      <c r="AP4150" s="42"/>
      <c r="AQ4150" s="74"/>
      <c r="AR4150" s="77"/>
      <c r="AT4150" s="497">
        <v>55.94</v>
      </c>
      <c r="AV4150" s="42"/>
      <c r="AW4150" s="74"/>
      <c r="AX4150" s="77"/>
      <c r="BA4150" s="497">
        <v>60.08</v>
      </c>
      <c r="BB4150" s="42"/>
      <c r="BC4150" s="74"/>
      <c r="BD4150" s="77"/>
      <c r="BF4150">
        <v>53.96</v>
      </c>
      <c r="BH4150" s="42"/>
      <c r="BI4150" s="74"/>
      <c r="BJ4150" s="77"/>
      <c r="BL4150" s="497">
        <v>62.96</v>
      </c>
      <c r="BN4150" s="42"/>
      <c r="BO4150" s="74"/>
      <c r="BP4150" s="77"/>
      <c r="BR4150" s="497">
        <v>55.94</v>
      </c>
      <c r="BT4150" s="42"/>
    </row>
    <row r="4151" spans="1:72" x14ac:dyDescent="0.25">
      <c r="A4151" s="90">
        <v>34507</v>
      </c>
      <c r="B4151" s="20">
        <v>0.20833333333333334</v>
      </c>
      <c r="D4151">
        <v>69.080000000000013</v>
      </c>
      <c r="E4151" t="str">
        <f t="shared" si="164"/>
        <v>WEEKDAY</v>
      </c>
      <c r="F4151" t="e">
        <f t="shared" si="165"/>
        <v>#N/A</v>
      </c>
      <c r="G4151" s="74">
        <v>33046</v>
      </c>
      <c r="H4151" s="77">
        <v>0.20833333333333334</v>
      </c>
      <c r="J4151">
        <v>68</v>
      </c>
      <c r="M4151" s="74">
        <v>37794</v>
      </c>
      <c r="N4151" s="77">
        <v>0.20833333333333334</v>
      </c>
      <c r="P4151">
        <v>55.400000000000006</v>
      </c>
      <c r="S4151" s="74">
        <v>34507</v>
      </c>
      <c r="T4151" s="77">
        <v>0.20833333333333334</v>
      </c>
      <c r="V4151">
        <v>73.039999999999992</v>
      </c>
      <c r="X4151" s="42"/>
      <c r="AB4151">
        <v>66.8</v>
      </c>
      <c r="AC4151">
        <v>66.02</v>
      </c>
      <c r="AE4151" s="74"/>
      <c r="AF4151" s="77"/>
      <c r="AH4151" s="497">
        <v>71.599999999999994</v>
      </c>
      <c r="AJ4151" s="42"/>
      <c r="AK4151" s="74"/>
      <c r="AL4151" s="77"/>
      <c r="AN4151" s="497">
        <v>57.019999999999996</v>
      </c>
      <c r="AP4151" s="42"/>
      <c r="AQ4151" s="74"/>
      <c r="AR4151" s="77"/>
      <c r="AT4151" s="497">
        <v>55.94</v>
      </c>
      <c r="AV4151" s="42"/>
      <c r="AW4151" s="74"/>
      <c r="AX4151" s="77"/>
      <c r="BA4151" s="497">
        <v>60.980000000000004</v>
      </c>
      <c r="BB4151" s="42"/>
      <c r="BC4151" s="74"/>
      <c r="BD4151" s="77"/>
      <c r="BF4151">
        <v>53.96</v>
      </c>
      <c r="BH4151" s="42"/>
      <c r="BI4151" s="74"/>
      <c r="BJ4151" s="77"/>
      <c r="BL4151" s="497">
        <v>64.94</v>
      </c>
      <c r="BN4151" s="42"/>
      <c r="BO4151" s="74"/>
      <c r="BP4151" s="77"/>
      <c r="BR4151" s="497">
        <v>57.92</v>
      </c>
      <c r="BT4151" s="42"/>
    </row>
    <row r="4152" spans="1:72" x14ac:dyDescent="0.25">
      <c r="A4152" s="90">
        <v>34507</v>
      </c>
      <c r="B4152" s="20">
        <v>0.25</v>
      </c>
      <c r="D4152">
        <v>71.06</v>
      </c>
      <c r="E4152" t="str">
        <f t="shared" si="164"/>
        <v>WEEKDAY</v>
      </c>
      <c r="F4152" t="e">
        <f t="shared" si="165"/>
        <v>#N/A</v>
      </c>
      <c r="G4152" s="74">
        <v>33046</v>
      </c>
      <c r="H4152" s="77">
        <v>0.25</v>
      </c>
      <c r="J4152">
        <v>69.080000000000013</v>
      </c>
      <c r="M4152" s="74">
        <v>37794</v>
      </c>
      <c r="N4152" s="77">
        <v>0.25</v>
      </c>
      <c r="P4152">
        <v>57.2</v>
      </c>
      <c r="S4152" s="74">
        <v>34507</v>
      </c>
      <c r="T4152" s="77">
        <v>0.25</v>
      </c>
      <c r="V4152">
        <v>73.94</v>
      </c>
      <c r="X4152" s="42"/>
      <c r="AB4152">
        <v>66.7</v>
      </c>
      <c r="AC4152">
        <v>68</v>
      </c>
      <c r="AE4152" s="74"/>
      <c r="AF4152" s="77"/>
      <c r="AH4152" s="497">
        <v>71.599999999999994</v>
      </c>
      <c r="AJ4152" s="42"/>
      <c r="AK4152" s="74"/>
      <c r="AL4152" s="77"/>
      <c r="AN4152" s="497">
        <v>59</v>
      </c>
      <c r="AP4152" s="42"/>
      <c r="AQ4152" s="74"/>
      <c r="AR4152" s="77"/>
      <c r="AT4152" s="497">
        <v>60.980000000000004</v>
      </c>
      <c r="AV4152" s="42"/>
      <c r="AW4152" s="74"/>
      <c r="AX4152" s="77"/>
      <c r="BA4152" s="497">
        <v>62.06</v>
      </c>
      <c r="BB4152" s="42"/>
      <c r="BC4152" s="74"/>
      <c r="BD4152" s="77"/>
      <c r="BF4152">
        <v>55.94</v>
      </c>
      <c r="BH4152" s="42"/>
      <c r="BI4152" s="74"/>
      <c r="BJ4152" s="77"/>
      <c r="BL4152" s="497">
        <v>66.02</v>
      </c>
      <c r="BN4152" s="42"/>
      <c r="BO4152" s="74"/>
      <c r="BP4152" s="77"/>
      <c r="BR4152" s="497">
        <v>60.08</v>
      </c>
      <c r="BT4152" s="42"/>
    </row>
    <row r="4153" spans="1:72" x14ac:dyDescent="0.25">
      <c r="A4153" s="90">
        <v>34507</v>
      </c>
      <c r="B4153" s="20">
        <v>0.29166666666666669</v>
      </c>
      <c r="D4153">
        <v>71.960000000000008</v>
      </c>
      <c r="E4153" t="str">
        <f t="shared" si="164"/>
        <v>WEEKDAY</v>
      </c>
      <c r="F4153" t="e">
        <f t="shared" si="165"/>
        <v>#N/A</v>
      </c>
      <c r="G4153" s="74">
        <v>33046</v>
      </c>
      <c r="H4153" s="77">
        <v>0.29166666666666669</v>
      </c>
      <c r="J4153">
        <v>77</v>
      </c>
      <c r="M4153" s="74">
        <v>37794</v>
      </c>
      <c r="N4153" s="77">
        <v>0.29166666666666669</v>
      </c>
      <c r="P4153">
        <v>57.2</v>
      </c>
      <c r="S4153" s="74">
        <v>34507</v>
      </c>
      <c r="T4153" s="77">
        <v>0.29166666666666669</v>
      </c>
      <c r="V4153">
        <v>75.02</v>
      </c>
      <c r="X4153" s="42"/>
      <c r="AB4153">
        <v>68.400000000000006</v>
      </c>
      <c r="AC4153">
        <v>71.06</v>
      </c>
      <c r="AE4153" s="74"/>
      <c r="AF4153" s="77"/>
      <c r="AH4153" s="497">
        <v>73.400000000000006</v>
      </c>
      <c r="AJ4153" s="42"/>
      <c r="AK4153" s="74"/>
      <c r="AL4153" s="77"/>
      <c r="AN4153" s="497">
        <v>60.980000000000004</v>
      </c>
      <c r="AP4153" s="42"/>
      <c r="AQ4153" s="74"/>
      <c r="AR4153" s="77"/>
      <c r="AT4153" s="497">
        <v>62.96</v>
      </c>
      <c r="AV4153" s="42"/>
      <c r="AW4153" s="74"/>
      <c r="AX4153" s="77"/>
      <c r="BA4153" s="497">
        <v>62.96</v>
      </c>
      <c r="BB4153" s="42"/>
      <c r="BC4153" s="74"/>
      <c r="BD4153" s="77"/>
      <c r="BF4153">
        <v>57.92</v>
      </c>
      <c r="BH4153" s="42"/>
      <c r="BI4153" s="74"/>
      <c r="BJ4153" s="77"/>
      <c r="BL4153" s="497">
        <v>66.92</v>
      </c>
      <c r="BN4153" s="42"/>
      <c r="BO4153" s="74"/>
      <c r="BP4153" s="77"/>
      <c r="BR4153" s="497">
        <v>59</v>
      </c>
      <c r="BT4153" s="42"/>
    </row>
    <row r="4154" spans="1:72" x14ac:dyDescent="0.25">
      <c r="A4154" s="90">
        <v>34507</v>
      </c>
      <c r="B4154" s="20">
        <v>0.33333333333333331</v>
      </c>
      <c r="D4154">
        <v>73.94</v>
      </c>
      <c r="E4154" t="str">
        <f t="shared" si="164"/>
        <v>WEEKDAY</v>
      </c>
      <c r="F4154" t="e">
        <f t="shared" si="165"/>
        <v>#N/A</v>
      </c>
      <c r="G4154" s="74">
        <v>33046</v>
      </c>
      <c r="H4154" s="77">
        <v>0.33333333333333331</v>
      </c>
      <c r="J4154">
        <v>78.98</v>
      </c>
      <c r="M4154" s="74">
        <v>37794</v>
      </c>
      <c r="N4154" s="77">
        <v>0.33333333333333331</v>
      </c>
      <c r="P4154">
        <v>57.2</v>
      </c>
      <c r="S4154" s="74">
        <v>34507</v>
      </c>
      <c r="T4154" s="77">
        <v>0.33333333333333331</v>
      </c>
      <c r="V4154">
        <v>75.92</v>
      </c>
      <c r="X4154" s="42"/>
      <c r="AB4154">
        <v>70.3</v>
      </c>
      <c r="AC4154">
        <v>73.039999999999992</v>
      </c>
      <c r="AE4154" s="74"/>
      <c r="AF4154" s="77"/>
      <c r="AH4154" s="497">
        <v>71.599999999999994</v>
      </c>
      <c r="AJ4154" s="42"/>
      <c r="AK4154" s="74"/>
      <c r="AL4154" s="77"/>
      <c r="AN4154" s="497">
        <v>64.94</v>
      </c>
      <c r="AP4154" s="42"/>
      <c r="AQ4154" s="74"/>
      <c r="AR4154" s="77"/>
      <c r="AT4154" s="497">
        <v>66.02</v>
      </c>
      <c r="AV4154" s="42"/>
      <c r="AW4154" s="74"/>
      <c r="AX4154" s="77"/>
      <c r="BA4154" s="497">
        <v>62.96</v>
      </c>
      <c r="BB4154" s="42"/>
      <c r="BC4154" s="74"/>
      <c r="BD4154" s="77"/>
      <c r="BF4154">
        <v>59</v>
      </c>
      <c r="BH4154" s="42"/>
      <c r="BI4154" s="74"/>
      <c r="BJ4154" s="77"/>
      <c r="BL4154" s="497">
        <v>71.06</v>
      </c>
      <c r="BN4154" s="42"/>
      <c r="BO4154" s="74"/>
      <c r="BP4154" s="77"/>
      <c r="BR4154" s="497">
        <v>60.08</v>
      </c>
      <c r="BT4154" s="42"/>
    </row>
    <row r="4155" spans="1:72" x14ac:dyDescent="0.25">
      <c r="A4155" s="90">
        <v>34507</v>
      </c>
      <c r="B4155" s="20">
        <v>0.375</v>
      </c>
      <c r="D4155">
        <v>75.02</v>
      </c>
      <c r="E4155" t="str">
        <f t="shared" si="164"/>
        <v>WEEKDAY</v>
      </c>
      <c r="F4155" t="e">
        <f t="shared" si="165"/>
        <v>#N/A</v>
      </c>
      <c r="G4155" s="74">
        <v>33046</v>
      </c>
      <c r="H4155" s="77">
        <v>0.375</v>
      </c>
      <c r="J4155">
        <v>84.02</v>
      </c>
      <c r="M4155" s="74">
        <v>37794</v>
      </c>
      <c r="N4155" s="77">
        <v>0.375</v>
      </c>
      <c r="P4155">
        <v>57.2</v>
      </c>
      <c r="S4155" s="74">
        <v>34507</v>
      </c>
      <c r="T4155" s="77">
        <v>0.375</v>
      </c>
      <c r="V4155">
        <v>78.080000000000013</v>
      </c>
      <c r="X4155" s="42"/>
      <c r="AB4155">
        <v>72.3</v>
      </c>
      <c r="AC4155">
        <v>73.039999999999992</v>
      </c>
      <c r="AE4155" s="74"/>
      <c r="AF4155" s="77"/>
      <c r="AH4155" s="497">
        <v>73.400000000000006</v>
      </c>
      <c r="AJ4155" s="42"/>
      <c r="AK4155" s="74"/>
      <c r="AL4155" s="77"/>
      <c r="AN4155" s="497">
        <v>66.92</v>
      </c>
      <c r="AP4155" s="42"/>
      <c r="AQ4155" s="74"/>
      <c r="AR4155" s="77"/>
      <c r="AT4155" s="497">
        <v>69.080000000000013</v>
      </c>
      <c r="AV4155" s="42"/>
      <c r="AW4155" s="74"/>
      <c r="AX4155" s="77"/>
      <c r="BA4155" s="497">
        <v>62.96</v>
      </c>
      <c r="BB4155" s="42"/>
      <c r="BC4155" s="74"/>
      <c r="BD4155" s="77"/>
      <c r="BF4155">
        <v>62.96</v>
      </c>
      <c r="BH4155" s="42"/>
      <c r="BI4155" s="74"/>
      <c r="BJ4155" s="77"/>
      <c r="BL4155" s="497">
        <v>75.92</v>
      </c>
      <c r="BN4155" s="42"/>
      <c r="BO4155" s="74"/>
      <c r="BP4155" s="77"/>
      <c r="BR4155" s="497">
        <v>60.980000000000004</v>
      </c>
      <c r="BT4155" s="42"/>
    </row>
    <row r="4156" spans="1:72" x14ac:dyDescent="0.25">
      <c r="A4156" s="90">
        <v>34507</v>
      </c>
      <c r="B4156" s="20">
        <v>0.41666666666666669</v>
      </c>
      <c r="D4156">
        <v>75.02</v>
      </c>
      <c r="E4156" t="str">
        <f t="shared" si="164"/>
        <v>WEEKDAY</v>
      </c>
      <c r="F4156" t="e">
        <f t="shared" si="165"/>
        <v>#N/A</v>
      </c>
      <c r="G4156" s="74">
        <v>33046</v>
      </c>
      <c r="H4156" s="77">
        <v>0.41666666666666669</v>
      </c>
      <c r="J4156">
        <v>84.92</v>
      </c>
      <c r="M4156" s="74">
        <v>37794</v>
      </c>
      <c r="N4156" s="77">
        <v>0.41666666666666669</v>
      </c>
      <c r="P4156">
        <v>59.18</v>
      </c>
      <c r="S4156" s="74">
        <v>34507</v>
      </c>
      <c r="T4156" s="77">
        <v>0.41666666666666669</v>
      </c>
      <c r="V4156">
        <v>78.98</v>
      </c>
      <c r="X4156" s="42"/>
      <c r="AB4156">
        <v>74.099999999999994</v>
      </c>
      <c r="AC4156">
        <v>75.02</v>
      </c>
      <c r="AE4156" s="74"/>
      <c r="AF4156" s="77"/>
      <c r="AH4156" s="497">
        <v>77</v>
      </c>
      <c r="AJ4156" s="42"/>
      <c r="AK4156" s="74"/>
      <c r="AL4156" s="77"/>
      <c r="AN4156" s="497">
        <v>69.080000000000013</v>
      </c>
      <c r="AP4156" s="42"/>
      <c r="AQ4156" s="74"/>
      <c r="AR4156" s="77"/>
      <c r="AT4156" s="497">
        <v>71.960000000000008</v>
      </c>
      <c r="AV4156" s="42"/>
      <c r="AW4156" s="74"/>
      <c r="AX4156" s="77"/>
      <c r="BA4156" s="497">
        <v>62.96</v>
      </c>
      <c r="BB4156" s="42"/>
      <c r="BC4156" s="74"/>
      <c r="BD4156" s="77"/>
      <c r="BF4156">
        <v>64.94</v>
      </c>
      <c r="BH4156" s="42"/>
      <c r="BI4156" s="74"/>
      <c r="BJ4156" s="77"/>
      <c r="BL4156" s="497">
        <v>78.080000000000013</v>
      </c>
      <c r="BN4156" s="42"/>
      <c r="BO4156" s="74"/>
      <c r="BP4156" s="77"/>
      <c r="BR4156" s="497">
        <v>62.06</v>
      </c>
      <c r="BT4156" s="42"/>
    </row>
    <row r="4157" spans="1:72" x14ac:dyDescent="0.25">
      <c r="A4157" s="90">
        <v>34507</v>
      </c>
      <c r="B4157" s="20">
        <v>0.45833333333333331</v>
      </c>
      <c r="D4157">
        <v>69.98</v>
      </c>
      <c r="E4157" t="str">
        <f t="shared" si="164"/>
        <v>WEEKDAY</v>
      </c>
      <c r="F4157" t="e">
        <f t="shared" si="165"/>
        <v>#N/A</v>
      </c>
      <c r="G4157" s="74">
        <v>33046</v>
      </c>
      <c r="H4157" s="77">
        <v>0.45833333333333331</v>
      </c>
      <c r="J4157">
        <v>87.080000000000013</v>
      </c>
      <c r="M4157" s="74">
        <v>37794</v>
      </c>
      <c r="N4157" s="77">
        <v>0.45833333333333331</v>
      </c>
      <c r="P4157">
        <v>60.620000000000005</v>
      </c>
      <c r="S4157" s="74">
        <v>34507</v>
      </c>
      <c r="T4157" s="77">
        <v>0.45833333333333331</v>
      </c>
      <c r="V4157">
        <v>80.06</v>
      </c>
      <c r="X4157" s="42"/>
      <c r="AB4157">
        <v>75.7</v>
      </c>
      <c r="AC4157">
        <v>75.92</v>
      </c>
      <c r="AE4157" s="74"/>
      <c r="AF4157" s="77"/>
      <c r="AH4157" s="497">
        <v>78.800000000000011</v>
      </c>
      <c r="AJ4157" s="42"/>
      <c r="AK4157" s="74"/>
      <c r="AL4157" s="77"/>
      <c r="AN4157" s="497">
        <v>69.98</v>
      </c>
      <c r="AP4157" s="42"/>
      <c r="AQ4157" s="74"/>
      <c r="AR4157" s="77"/>
      <c r="AT4157" s="497">
        <v>77</v>
      </c>
      <c r="AV4157" s="42"/>
      <c r="AW4157" s="74"/>
      <c r="AX4157" s="77"/>
      <c r="BA4157" s="497">
        <v>67.64</v>
      </c>
      <c r="BB4157" s="42"/>
      <c r="BC4157" s="74"/>
      <c r="BD4157" s="77"/>
      <c r="BF4157">
        <v>66.92</v>
      </c>
      <c r="BH4157" s="42"/>
      <c r="BI4157" s="74"/>
      <c r="BJ4157" s="77"/>
      <c r="BL4157" s="497">
        <v>77</v>
      </c>
      <c r="BN4157" s="42"/>
      <c r="BO4157" s="74"/>
      <c r="BP4157" s="77"/>
      <c r="BR4157" s="497">
        <v>66.92</v>
      </c>
      <c r="BT4157" s="42"/>
    </row>
    <row r="4158" spans="1:72" x14ac:dyDescent="0.25">
      <c r="A4158" s="90">
        <v>34507</v>
      </c>
      <c r="B4158" s="20">
        <v>0.5</v>
      </c>
      <c r="D4158">
        <v>71.06</v>
      </c>
      <c r="E4158" t="str">
        <f t="shared" si="164"/>
        <v>WEEKDAY</v>
      </c>
      <c r="F4158" t="e">
        <f t="shared" si="165"/>
        <v>#N/A</v>
      </c>
      <c r="G4158" s="74">
        <v>33046</v>
      </c>
      <c r="H4158" s="77">
        <v>0.5</v>
      </c>
      <c r="J4158">
        <v>87.98</v>
      </c>
      <c r="M4158" s="74">
        <v>37794</v>
      </c>
      <c r="N4158" s="77">
        <v>0.5</v>
      </c>
      <c r="P4158">
        <v>61.88</v>
      </c>
      <c r="S4158" s="74">
        <v>34507</v>
      </c>
      <c r="T4158" s="77">
        <v>0.5</v>
      </c>
      <c r="V4158">
        <v>82.94</v>
      </c>
      <c r="X4158" s="42"/>
      <c r="AB4158">
        <v>76.8</v>
      </c>
      <c r="AC4158">
        <v>78.080000000000013</v>
      </c>
      <c r="AE4158" s="74"/>
      <c r="AF4158" s="77"/>
      <c r="AH4158" s="497">
        <v>82.4</v>
      </c>
      <c r="AJ4158" s="42"/>
      <c r="AK4158" s="74"/>
      <c r="AL4158" s="77"/>
      <c r="AN4158" s="497">
        <v>71.06</v>
      </c>
      <c r="AP4158" s="42"/>
      <c r="AQ4158" s="74"/>
      <c r="AR4158" s="77"/>
      <c r="AT4158" s="497">
        <v>78.080000000000013</v>
      </c>
      <c r="AV4158" s="42"/>
      <c r="AW4158" s="74"/>
      <c r="AX4158" s="77"/>
      <c r="BA4158" s="497">
        <v>72.319999999999993</v>
      </c>
      <c r="BB4158" s="42"/>
      <c r="BC4158" s="74"/>
      <c r="BD4158" s="77"/>
      <c r="BF4158">
        <v>66.02</v>
      </c>
      <c r="BH4158" s="42"/>
      <c r="BI4158" s="74"/>
      <c r="BJ4158" s="77"/>
      <c r="BL4158" s="497">
        <v>69.080000000000013</v>
      </c>
      <c r="BN4158" s="42"/>
      <c r="BO4158" s="74"/>
      <c r="BP4158" s="77"/>
      <c r="BR4158" s="497">
        <v>69.98</v>
      </c>
      <c r="BT4158" s="42"/>
    </row>
    <row r="4159" spans="1:72" x14ac:dyDescent="0.25">
      <c r="A4159" s="90">
        <v>34507</v>
      </c>
      <c r="B4159" s="20">
        <v>0.54166666666666663</v>
      </c>
      <c r="D4159">
        <v>73.94</v>
      </c>
      <c r="E4159" t="str">
        <f t="shared" si="164"/>
        <v>WEEKDAY</v>
      </c>
      <c r="F4159" t="e">
        <f t="shared" si="165"/>
        <v>#N/A</v>
      </c>
      <c r="G4159" s="74">
        <v>33046</v>
      </c>
      <c r="H4159" s="77">
        <v>0.54166666666666663</v>
      </c>
      <c r="J4159">
        <v>89.06</v>
      </c>
      <c r="M4159" s="74">
        <v>37794</v>
      </c>
      <c r="N4159" s="77">
        <v>0.54166666666666663</v>
      </c>
      <c r="P4159">
        <v>62.6</v>
      </c>
      <c r="S4159" s="74">
        <v>34507</v>
      </c>
      <c r="T4159" s="77">
        <v>0.54166666666666663</v>
      </c>
      <c r="V4159">
        <v>82.94</v>
      </c>
      <c r="X4159" s="42"/>
      <c r="AB4159">
        <v>77.599999999999994</v>
      </c>
      <c r="AC4159">
        <v>80.06</v>
      </c>
      <c r="AE4159" s="74"/>
      <c r="AF4159" s="77"/>
      <c r="AH4159" s="497">
        <v>82.4</v>
      </c>
      <c r="AJ4159" s="42"/>
      <c r="AK4159" s="74"/>
      <c r="AL4159" s="77"/>
      <c r="AN4159" s="497">
        <v>73.94</v>
      </c>
      <c r="AP4159" s="42"/>
      <c r="AQ4159" s="74"/>
      <c r="AR4159" s="77"/>
      <c r="AT4159" s="497">
        <v>80.960000000000008</v>
      </c>
      <c r="AV4159" s="42"/>
      <c r="AW4159" s="74"/>
      <c r="AX4159" s="77"/>
      <c r="BA4159" s="497">
        <v>77</v>
      </c>
      <c r="BB4159" s="42"/>
      <c r="BC4159" s="74"/>
      <c r="BD4159" s="77"/>
      <c r="BF4159">
        <v>69.080000000000013</v>
      </c>
      <c r="BH4159" s="42"/>
      <c r="BI4159" s="74"/>
      <c r="BJ4159" s="77"/>
      <c r="BL4159" s="497">
        <v>69.080000000000013</v>
      </c>
      <c r="BN4159" s="42"/>
      <c r="BO4159" s="74"/>
      <c r="BP4159" s="77"/>
      <c r="BR4159" s="497">
        <v>69.98</v>
      </c>
      <c r="BT4159" s="42"/>
    </row>
    <row r="4160" spans="1:72" x14ac:dyDescent="0.25">
      <c r="A4160" s="90">
        <v>34507</v>
      </c>
      <c r="B4160" s="20">
        <v>0.58333333333333337</v>
      </c>
      <c r="D4160">
        <v>73.039999999999992</v>
      </c>
      <c r="E4160" t="str">
        <f t="shared" si="164"/>
        <v>WEEKDAY</v>
      </c>
      <c r="F4160" t="e">
        <f t="shared" si="165"/>
        <v>#N/A</v>
      </c>
      <c r="G4160" s="74">
        <v>33046</v>
      </c>
      <c r="H4160" s="77">
        <v>0.58333333333333337</v>
      </c>
      <c r="J4160">
        <v>87.98</v>
      </c>
      <c r="M4160" s="74">
        <v>37794</v>
      </c>
      <c r="N4160" s="77">
        <v>0.58333333333333337</v>
      </c>
      <c r="P4160">
        <v>60.8</v>
      </c>
      <c r="S4160" s="74">
        <v>34507</v>
      </c>
      <c r="T4160" s="77">
        <v>0.58333333333333337</v>
      </c>
      <c r="V4160">
        <v>86</v>
      </c>
      <c r="X4160" s="42"/>
      <c r="AB4160">
        <v>77.8</v>
      </c>
      <c r="AC4160">
        <v>80.960000000000008</v>
      </c>
      <c r="AE4160" s="74"/>
      <c r="AF4160" s="77"/>
      <c r="AH4160" s="497">
        <v>84.2</v>
      </c>
      <c r="AJ4160" s="42"/>
      <c r="AK4160" s="74"/>
      <c r="AL4160" s="77"/>
      <c r="AN4160" s="497">
        <v>73.94</v>
      </c>
      <c r="AP4160" s="42"/>
      <c r="AQ4160" s="74"/>
      <c r="AR4160" s="77"/>
      <c r="AT4160" s="497">
        <v>82.039999999999992</v>
      </c>
      <c r="AV4160" s="42"/>
      <c r="AW4160" s="74"/>
      <c r="AX4160" s="77"/>
      <c r="BA4160" s="497">
        <v>73.039999999999992</v>
      </c>
      <c r="BB4160" s="42"/>
      <c r="BC4160" s="74"/>
      <c r="BD4160" s="77"/>
      <c r="BF4160">
        <v>69.080000000000013</v>
      </c>
      <c r="BH4160" s="42"/>
      <c r="BI4160" s="74"/>
      <c r="BJ4160" s="77"/>
      <c r="BL4160" s="497">
        <v>75.02</v>
      </c>
      <c r="BN4160" s="42"/>
      <c r="BO4160" s="74"/>
      <c r="BP4160" s="77"/>
      <c r="BR4160" s="497">
        <v>66.92</v>
      </c>
      <c r="BT4160" s="42"/>
    </row>
    <row r="4161" spans="1:72" x14ac:dyDescent="0.25">
      <c r="A4161" s="90">
        <v>34507</v>
      </c>
      <c r="B4161" s="20">
        <v>0.625</v>
      </c>
      <c r="D4161">
        <v>73.94</v>
      </c>
      <c r="E4161" t="str">
        <f t="shared" si="164"/>
        <v>WEEKDAY</v>
      </c>
      <c r="F4161" t="e">
        <f t="shared" si="165"/>
        <v>#N/A</v>
      </c>
      <c r="G4161" s="74">
        <v>33046</v>
      </c>
      <c r="H4161" s="77">
        <v>0.625</v>
      </c>
      <c r="J4161">
        <v>87.98</v>
      </c>
      <c r="M4161" s="74">
        <v>37794</v>
      </c>
      <c r="N4161" s="77">
        <v>0.625</v>
      </c>
      <c r="P4161">
        <v>62.6</v>
      </c>
      <c r="S4161" s="74">
        <v>34507</v>
      </c>
      <c r="T4161" s="77">
        <v>0.625</v>
      </c>
      <c r="V4161">
        <v>87.080000000000013</v>
      </c>
      <c r="X4161" s="42"/>
      <c r="AB4161">
        <v>77.900000000000006</v>
      </c>
      <c r="AC4161">
        <v>80.960000000000008</v>
      </c>
      <c r="AE4161" s="74"/>
      <c r="AF4161" s="77"/>
      <c r="AH4161" s="497">
        <v>82.4</v>
      </c>
      <c r="AJ4161" s="42"/>
      <c r="AK4161" s="74"/>
      <c r="AL4161" s="77"/>
      <c r="AN4161" s="497">
        <v>73.94</v>
      </c>
      <c r="AP4161" s="42"/>
      <c r="AQ4161" s="74"/>
      <c r="AR4161" s="77"/>
      <c r="AT4161" s="497">
        <v>80.06</v>
      </c>
      <c r="AV4161" s="42"/>
      <c r="AW4161" s="74"/>
      <c r="AX4161" s="77"/>
      <c r="BA4161" s="497">
        <v>68.900000000000006</v>
      </c>
      <c r="BB4161" s="42"/>
      <c r="BC4161" s="74"/>
      <c r="BD4161" s="77"/>
      <c r="BF4161">
        <v>69.080000000000013</v>
      </c>
      <c r="BH4161" s="42"/>
      <c r="BI4161" s="74"/>
      <c r="BJ4161" s="77"/>
      <c r="BL4161" s="497">
        <v>75.92</v>
      </c>
      <c r="BN4161" s="42"/>
      <c r="BO4161" s="74"/>
      <c r="BP4161" s="77"/>
      <c r="BR4161" s="497">
        <v>64.94</v>
      </c>
      <c r="BT4161" s="42"/>
    </row>
    <row r="4162" spans="1:72" x14ac:dyDescent="0.25">
      <c r="A4162" s="90">
        <v>34507</v>
      </c>
      <c r="B4162" s="20">
        <v>0.66666666666666663</v>
      </c>
      <c r="D4162">
        <v>75.02</v>
      </c>
      <c r="E4162" t="str">
        <f t="shared" si="164"/>
        <v>WEEKDAY</v>
      </c>
      <c r="F4162" t="e">
        <f t="shared" si="165"/>
        <v>#N/A</v>
      </c>
      <c r="G4162" s="74">
        <v>33046</v>
      </c>
      <c r="H4162" s="77">
        <v>0.66666666666666663</v>
      </c>
      <c r="J4162">
        <v>84.92</v>
      </c>
      <c r="M4162" s="74">
        <v>37794</v>
      </c>
      <c r="N4162" s="77">
        <v>0.66666666666666663</v>
      </c>
      <c r="P4162">
        <v>62.6</v>
      </c>
      <c r="S4162" s="74">
        <v>34507</v>
      </c>
      <c r="T4162" s="77">
        <v>0.66666666666666663</v>
      </c>
      <c r="V4162">
        <v>84.92</v>
      </c>
      <c r="X4162" s="42"/>
      <c r="AB4162">
        <v>77.400000000000006</v>
      </c>
      <c r="AC4162">
        <v>82.039999999999992</v>
      </c>
      <c r="AE4162" s="74"/>
      <c r="AF4162" s="77"/>
      <c r="AH4162" s="497">
        <v>82.4</v>
      </c>
      <c r="AJ4162" s="42"/>
      <c r="AK4162" s="74"/>
      <c r="AL4162" s="77"/>
      <c r="AN4162" s="497">
        <v>73.94</v>
      </c>
      <c r="AP4162" s="42"/>
      <c r="AQ4162" s="74"/>
      <c r="AR4162" s="77"/>
      <c r="AT4162" s="497">
        <v>78.98</v>
      </c>
      <c r="AV4162" s="42"/>
      <c r="AW4162" s="74"/>
      <c r="AX4162" s="77"/>
      <c r="BA4162" s="497">
        <v>64.94</v>
      </c>
      <c r="BB4162" s="42"/>
      <c r="BC4162" s="74"/>
      <c r="BD4162" s="77"/>
      <c r="BF4162">
        <v>69.080000000000013</v>
      </c>
      <c r="BH4162" s="42"/>
      <c r="BI4162" s="74"/>
      <c r="BJ4162" s="77"/>
      <c r="BL4162" s="497">
        <v>69.98</v>
      </c>
      <c r="BN4162" s="42"/>
      <c r="BO4162" s="74"/>
      <c r="BP4162" s="77"/>
      <c r="BR4162" s="497">
        <v>64.94</v>
      </c>
      <c r="BT4162" s="42"/>
    </row>
    <row r="4163" spans="1:72" x14ac:dyDescent="0.25">
      <c r="A4163" s="90">
        <v>34507</v>
      </c>
      <c r="B4163" s="20">
        <v>0.70833333333333337</v>
      </c>
      <c r="D4163">
        <v>75.92</v>
      </c>
      <c r="E4163" t="str">
        <f t="shared" si="164"/>
        <v>WEEKDAY</v>
      </c>
      <c r="F4163" t="e">
        <f t="shared" si="165"/>
        <v>#N/A</v>
      </c>
      <c r="G4163" s="74">
        <v>33046</v>
      </c>
      <c r="H4163" s="77">
        <v>0.70833333333333337</v>
      </c>
      <c r="J4163">
        <v>84.02</v>
      </c>
      <c r="M4163" s="74">
        <v>37794</v>
      </c>
      <c r="N4163" s="77">
        <v>0.70833333333333337</v>
      </c>
      <c r="P4163">
        <v>62.6</v>
      </c>
      <c r="S4163" s="74">
        <v>34507</v>
      </c>
      <c r="T4163" s="77">
        <v>0.70833333333333337</v>
      </c>
      <c r="V4163">
        <v>84.92</v>
      </c>
      <c r="X4163" s="42"/>
      <c r="AB4163">
        <v>76.5</v>
      </c>
      <c r="AC4163">
        <v>82.039999999999992</v>
      </c>
      <c r="AE4163" s="74"/>
      <c r="AF4163" s="77"/>
      <c r="AH4163" s="497">
        <v>82.94</v>
      </c>
      <c r="AJ4163" s="42"/>
      <c r="AK4163" s="74"/>
      <c r="AL4163" s="77"/>
      <c r="AN4163" s="497">
        <v>73.94</v>
      </c>
      <c r="AP4163" s="42"/>
      <c r="AQ4163" s="74"/>
      <c r="AR4163" s="77"/>
      <c r="AT4163" s="497">
        <v>77</v>
      </c>
      <c r="AV4163" s="42"/>
      <c r="AW4163" s="74"/>
      <c r="AX4163" s="77"/>
      <c r="BA4163" s="497">
        <v>64.22</v>
      </c>
      <c r="BB4163" s="42"/>
      <c r="BC4163" s="74"/>
      <c r="BD4163" s="77"/>
      <c r="BF4163">
        <v>68</v>
      </c>
      <c r="BH4163" s="42"/>
      <c r="BI4163" s="74"/>
      <c r="BJ4163" s="77"/>
      <c r="BL4163" s="497">
        <v>66.02</v>
      </c>
      <c r="BN4163" s="42"/>
      <c r="BO4163" s="74"/>
      <c r="BP4163" s="77"/>
      <c r="BR4163" s="497">
        <v>62.96</v>
      </c>
      <c r="BT4163" s="42"/>
    </row>
    <row r="4164" spans="1:72" x14ac:dyDescent="0.25">
      <c r="A4164" s="90">
        <v>34507</v>
      </c>
      <c r="B4164" s="20">
        <v>0.75</v>
      </c>
      <c r="D4164">
        <v>75.92</v>
      </c>
      <c r="E4164" t="str">
        <f t="shared" si="164"/>
        <v>WEEKDAY</v>
      </c>
      <c r="F4164" t="e">
        <f t="shared" si="165"/>
        <v>#N/A</v>
      </c>
      <c r="G4164" s="74">
        <v>33046</v>
      </c>
      <c r="H4164" s="77">
        <v>0.75</v>
      </c>
      <c r="J4164">
        <v>82.039999999999992</v>
      </c>
      <c r="M4164" s="74">
        <v>37794</v>
      </c>
      <c r="N4164" s="77">
        <v>0.75</v>
      </c>
      <c r="P4164">
        <v>62.6</v>
      </c>
      <c r="S4164" s="74">
        <v>34507</v>
      </c>
      <c r="T4164" s="77">
        <v>0.75</v>
      </c>
      <c r="V4164">
        <v>84.02</v>
      </c>
      <c r="X4164" s="42"/>
      <c r="AB4164">
        <v>75.3</v>
      </c>
      <c r="AC4164">
        <v>80.06</v>
      </c>
      <c r="AE4164" s="74"/>
      <c r="AF4164" s="77"/>
      <c r="AH4164" s="497">
        <v>82.4</v>
      </c>
      <c r="AJ4164" s="42"/>
      <c r="AK4164" s="74"/>
      <c r="AL4164" s="77"/>
      <c r="AN4164" s="497">
        <v>73.039999999999992</v>
      </c>
      <c r="AP4164" s="42"/>
      <c r="AQ4164" s="74"/>
      <c r="AR4164" s="77"/>
      <c r="AT4164" s="497">
        <v>78.98</v>
      </c>
      <c r="AV4164" s="42"/>
      <c r="AW4164" s="74"/>
      <c r="AX4164" s="77"/>
      <c r="BA4164" s="497">
        <v>63.680000000000007</v>
      </c>
      <c r="BB4164" s="42"/>
      <c r="BC4164" s="74"/>
      <c r="BD4164" s="77"/>
      <c r="BF4164">
        <v>68</v>
      </c>
      <c r="BH4164" s="42"/>
      <c r="BI4164" s="74"/>
      <c r="BJ4164" s="77"/>
      <c r="BL4164" s="497">
        <v>64.039999999999992</v>
      </c>
      <c r="BN4164" s="42"/>
      <c r="BO4164" s="74"/>
      <c r="BP4164" s="77"/>
      <c r="BR4164" s="497">
        <v>60.980000000000004</v>
      </c>
      <c r="BT4164" s="42"/>
    </row>
    <row r="4165" spans="1:72" x14ac:dyDescent="0.25">
      <c r="A4165" s="90">
        <v>34507</v>
      </c>
      <c r="B4165" s="20">
        <v>0.79166666666666663</v>
      </c>
      <c r="D4165">
        <v>75.92</v>
      </c>
      <c r="E4165" t="str">
        <f t="shared" si="164"/>
        <v>WEEKDAY</v>
      </c>
      <c r="F4165" t="e">
        <f t="shared" si="165"/>
        <v>#N/A</v>
      </c>
      <c r="G4165" s="74">
        <v>33046</v>
      </c>
      <c r="H4165" s="77">
        <v>0.79166666666666663</v>
      </c>
      <c r="J4165">
        <v>82.94</v>
      </c>
      <c r="M4165" s="74">
        <v>37794</v>
      </c>
      <c r="N4165" s="77">
        <v>0.79166666666666663</v>
      </c>
      <c r="P4165">
        <v>62.6</v>
      </c>
      <c r="S4165" s="74">
        <v>34507</v>
      </c>
      <c r="T4165" s="77">
        <v>0.79166666666666663</v>
      </c>
      <c r="V4165">
        <v>82.039999999999992</v>
      </c>
      <c r="X4165" s="42"/>
      <c r="AB4165">
        <v>74</v>
      </c>
      <c r="AC4165">
        <v>78.080000000000013</v>
      </c>
      <c r="AE4165" s="74"/>
      <c r="AF4165" s="77"/>
      <c r="AH4165" s="497">
        <v>80.599999999999994</v>
      </c>
      <c r="AJ4165" s="42"/>
      <c r="AK4165" s="74"/>
      <c r="AL4165" s="77"/>
      <c r="AN4165" s="497">
        <v>71.06</v>
      </c>
      <c r="AP4165" s="42"/>
      <c r="AQ4165" s="74"/>
      <c r="AR4165" s="77"/>
      <c r="AT4165" s="497">
        <v>75.02</v>
      </c>
      <c r="AV4165" s="42"/>
      <c r="AW4165" s="74"/>
      <c r="AX4165" s="77"/>
      <c r="BA4165" s="497">
        <v>62.96</v>
      </c>
      <c r="BB4165" s="42"/>
      <c r="BC4165" s="74"/>
      <c r="BD4165" s="77"/>
      <c r="BF4165">
        <v>66.02</v>
      </c>
      <c r="BH4165" s="42"/>
      <c r="BI4165" s="74"/>
      <c r="BJ4165" s="77"/>
      <c r="BL4165" s="497">
        <v>62.96</v>
      </c>
      <c r="BN4165" s="42"/>
      <c r="BO4165" s="74"/>
      <c r="BP4165" s="77"/>
      <c r="BR4165" s="497">
        <v>60.980000000000004</v>
      </c>
      <c r="BT4165" s="42"/>
    </row>
    <row r="4166" spans="1:72" x14ac:dyDescent="0.25">
      <c r="A4166" s="90">
        <v>34507</v>
      </c>
      <c r="B4166" s="20">
        <v>0.83333333333333337</v>
      </c>
      <c r="D4166">
        <v>75.92</v>
      </c>
      <c r="E4166" t="str">
        <f t="shared" si="164"/>
        <v>WEEKDAY</v>
      </c>
      <c r="F4166" t="e">
        <f t="shared" si="165"/>
        <v>#N/A</v>
      </c>
      <c r="G4166" s="74">
        <v>33046</v>
      </c>
      <c r="H4166" s="77">
        <v>0.83333333333333337</v>
      </c>
      <c r="J4166">
        <v>77</v>
      </c>
      <c r="M4166" s="74">
        <v>37794</v>
      </c>
      <c r="N4166" s="77">
        <v>0.83333333333333337</v>
      </c>
      <c r="P4166">
        <v>60.8</v>
      </c>
      <c r="S4166" s="74">
        <v>34507</v>
      </c>
      <c r="T4166" s="77">
        <v>0.83333333333333337</v>
      </c>
      <c r="V4166">
        <v>80.06</v>
      </c>
      <c r="X4166" s="42"/>
      <c r="AB4166">
        <v>72.5</v>
      </c>
      <c r="AC4166">
        <v>75.02</v>
      </c>
      <c r="AE4166" s="74"/>
      <c r="AF4166" s="77"/>
      <c r="AH4166" s="497">
        <v>75.2</v>
      </c>
      <c r="AJ4166" s="42"/>
      <c r="AK4166" s="74"/>
      <c r="AL4166" s="77"/>
      <c r="AN4166" s="497">
        <v>66.92</v>
      </c>
      <c r="AP4166" s="42"/>
      <c r="AQ4166" s="74"/>
      <c r="AR4166" s="77"/>
      <c r="AT4166" s="497">
        <v>73.039999999999992</v>
      </c>
      <c r="AV4166" s="42"/>
      <c r="AW4166" s="74"/>
      <c r="AX4166" s="77"/>
      <c r="BA4166" s="497">
        <v>62.24</v>
      </c>
      <c r="BB4166" s="42"/>
      <c r="BC4166" s="74"/>
      <c r="BD4166" s="77"/>
      <c r="BF4166">
        <v>62.96</v>
      </c>
      <c r="BH4166" s="42"/>
      <c r="BI4166" s="74"/>
      <c r="BJ4166" s="77"/>
      <c r="BL4166" s="497">
        <v>62.06</v>
      </c>
      <c r="BN4166" s="42"/>
      <c r="BO4166" s="74"/>
      <c r="BP4166" s="77"/>
      <c r="BR4166" s="497">
        <v>60.08</v>
      </c>
      <c r="BT4166" s="42"/>
    </row>
    <row r="4167" spans="1:72" x14ac:dyDescent="0.25">
      <c r="A4167" s="90">
        <v>34507</v>
      </c>
      <c r="B4167" s="20">
        <v>0.875</v>
      </c>
      <c r="D4167">
        <v>75.92</v>
      </c>
      <c r="E4167" t="str">
        <f t="shared" si="164"/>
        <v>WEEKDAY</v>
      </c>
      <c r="F4167" t="e">
        <f t="shared" si="165"/>
        <v>#N/A</v>
      </c>
      <c r="G4167" s="74">
        <v>33046</v>
      </c>
      <c r="H4167" s="77">
        <v>0.875</v>
      </c>
      <c r="J4167">
        <v>77</v>
      </c>
      <c r="M4167" s="74">
        <v>37794</v>
      </c>
      <c r="N4167" s="77">
        <v>0.875</v>
      </c>
      <c r="P4167">
        <v>57.2</v>
      </c>
      <c r="S4167" s="74">
        <v>34507</v>
      </c>
      <c r="T4167" s="77">
        <v>0.875</v>
      </c>
      <c r="V4167">
        <v>78.98</v>
      </c>
      <c r="X4167" s="42"/>
      <c r="AB4167">
        <v>71.3</v>
      </c>
      <c r="AC4167">
        <v>71.960000000000008</v>
      </c>
      <c r="AE4167" s="74"/>
      <c r="AF4167" s="77"/>
      <c r="AH4167" s="497">
        <v>71.599999999999994</v>
      </c>
      <c r="AJ4167" s="42"/>
      <c r="AK4167" s="74"/>
      <c r="AL4167" s="77"/>
      <c r="AN4167" s="497">
        <v>64.94</v>
      </c>
      <c r="AP4167" s="42"/>
      <c r="AQ4167" s="74"/>
      <c r="AR4167" s="77"/>
      <c r="AT4167" s="497">
        <v>69.98</v>
      </c>
      <c r="AV4167" s="42"/>
      <c r="AW4167" s="74"/>
      <c r="AX4167" s="77"/>
      <c r="BA4167" s="497">
        <v>61.7</v>
      </c>
      <c r="BB4167" s="42"/>
      <c r="BC4167" s="74"/>
      <c r="BD4167" s="77"/>
      <c r="BF4167">
        <v>62.06</v>
      </c>
      <c r="BH4167" s="42"/>
      <c r="BI4167" s="74"/>
      <c r="BJ4167" s="77"/>
      <c r="BL4167" s="497">
        <v>59</v>
      </c>
      <c r="BN4167" s="42"/>
      <c r="BO4167" s="74"/>
      <c r="BP4167" s="77"/>
      <c r="BR4167" s="497">
        <v>60.08</v>
      </c>
      <c r="BT4167" s="42"/>
    </row>
    <row r="4168" spans="1:72" x14ac:dyDescent="0.25">
      <c r="A4168" s="90">
        <v>34507</v>
      </c>
      <c r="B4168" s="20">
        <v>0.91666666666666663</v>
      </c>
      <c r="D4168">
        <v>77</v>
      </c>
      <c r="E4168" t="str">
        <f t="shared" si="164"/>
        <v>WEEKDAY</v>
      </c>
      <c r="F4168" t="e">
        <f t="shared" si="165"/>
        <v>#N/A</v>
      </c>
      <c r="G4168" s="74">
        <v>33046</v>
      </c>
      <c r="H4168" s="77">
        <v>0.91666666666666663</v>
      </c>
      <c r="J4168">
        <v>75.92</v>
      </c>
      <c r="M4168" s="74">
        <v>37794</v>
      </c>
      <c r="N4168" s="77">
        <v>0.91666666666666663</v>
      </c>
      <c r="P4168">
        <v>57.2</v>
      </c>
      <c r="S4168" s="74">
        <v>34507</v>
      </c>
      <c r="T4168" s="77">
        <v>0.91666666666666663</v>
      </c>
      <c r="V4168">
        <v>77</v>
      </c>
      <c r="X4168" s="42"/>
      <c r="AB4168">
        <v>70.599999999999994</v>
      </c>
      <c r="AC4168">
        <v>71.06</v>
      </c>
      <c r="AE4168" s="74"/>
      <c r="AF4168" s="77"/>
      <c r="AH4168" s="497">
        <v>69.800000000000011</v>
      </c>
      <c r="AJ4168" s="42"/>
      <c r="AK4168" s="74"/>
      <c r="AL4168" s="77"/>
      <c r="AN4168" s="497">
        <v>64.039999999999992</v>
      </c>
      <c r="AP4168" s="42"/>
      <c r="AQ4168" s="74"/>
      <c r="AR4168" s="77"/>
      <c r="AT4168" s="497">
        <v>69.98</v>
      </c>
      <c r="AV4168" s="42"/>
      <c r="AW4168" s="74"/>
      <c r="AX4168" s="77"/>
      <c r="BA4168" s="497">
        <v>60.980000000000004</v>
      </c>
      <c r="BB4168" s="42"/>
      <c r="BC4168" s="74"/>
      <c r="BD4168" s="77"/>
      <c r="BF4168">
        <v>60.980000000000004</v>
      </c>
      <c r="BH4168" s="42"/>
      <c r="BI4168" s="74"/>
      <c r="BJ4168" s="77"/>
      <c r="BL4168" s="497">
        <v>57.019999999999996</v>
      </c>
      <c r="BN4168" s="42"/>
      <c r="BO4168" s="74"/>
      <c r="BP4168" s="77"/>
      <c r="BR4168" s="497">
        <v>60.08</v>
      </c>
      <c r="BT4168" s="42"/>
    </row>
    <row r="4169" spans="1:72" x14ac:dyDescent="0.25">
      <c r="A4169" s="90">
        <v>34507</v>
      </c>
      <c r="B4169" s="20">
        <v>0.95833333333333337</v>
      </c>
      <c r="D4169">
        <v>75.92</v>
      </c>
      <c r="E4169" t="str">
        <f t="shared" si="164"/>
        <v>WEEKDAY</v>
      </c>
      <c r="F4169" t="e">
        <f t="shared" si="165"/>
        <v>#N/A</v>
      </c>
      <c r="G4169" s="74">
        <v>33046</v>
      </c>
      <c r="H4169" s="77">
        <v>0.95833333333333337</v>
      </c>
      <c r="J4169">
        <v>75.02</v>
      </c>
      <c r="M4169" s="74">
        <v>37794</v>
      </c>
      <c r="N4169" s="77">
        <v>0.95833333333333337</v>
      </c>
      <c r="P4169">
        <v>55.400000000000006</v>
      </c>
      <c r="S4169" s="74">
        <v>34507</v>
      </c>
      <c r="T4169" s="77">
        <v>0.95833333333333337</v>
      </c>
      <c r="V4169">
        <v>75.92</v>
      </c>
      <c r="X4169" s="42"/>
      <c r="AB4169">
        <v>70.099999999999994</v>
      </c>
      <c r="AC4169">
        <v>69.98</v>
      </c>
      <c r="AE4169" s="74"/>
      <c r="AF4169" s="77"/>
      <c r="AH4169" s="497">
        <v>64.400000000000006</v>
      </c>
      <c r="AJ4169" s="42"/>
      <c r="AK4169" s="74"/>
      <c r="AL4169" s="77"/>
      <c r="AN4169" s="497">
        <v>62.06</v>
      </c>
      <c r="AP4169" s="42"/>
      <c r="AQ4169" s="74"/>
      <c r="AR4169" s="77"/>
      <c r="AT4169" s="497">
        <v>69.98</v>
      </c>
      <c r="AV4169" s="42"/>
      <c r="AW4169" s="74"/>
      <c r="AX4169" s="77"/>
      <c r="BA4169" s="497">
        <v>59.36</v>
      </c>
      <c r="BB4169" s="42"/>
      <c r="BC4169" s="74"/>
      <c r="BD4169" s="77"/>
      <c r="BF4169">
        <v>60.980000000000004</v>
      </c>
      <c r="BH4169" s="42"/>
      <c r="BI4169" s="74"/>
      <c r="BJ4169" s="77"/>
      <c r="BL4169" s="497">
        <v>55.94</v>
      </c>
      <c r="BN4169" s="42"/>
      <c r="BO4169" s="74"/>
      <c r="BP4169" s="77"/>
      <c r="BR4169" s="497">
        <v>57.92</v>
      </c>
      <c r="BT4169" s="42"/>
    </row>
    <row r="4170" spans="1:72" x14ac:dyDescent="0.25">
      <c r="A4170" s="90">
        <v>34507</v>
      </c>
      <c r="B4170" s="20">
        <v>1</v>
      </c>
      <c r="D4170">
        <v>75.92</v>
      </c>
      <c r="E4170" t="str">
        <f t="shared" si="164"/>
        <v>WEEKDAY</v>
      </c>
      <c r="F4170" t="e">
        <f t="shared" si="165"/>
        <v>#N/A</v>
      </c>
      <c r="G4170" s="74">
        <v>33046</v>
      </c>
      <c r="H4170" s="77">
        <v>1</v>
      </c>
      <c r="J4170">
        <v>73.94</v>
      </c>
      <c r="M4170" s="74">
        <v>37794</v>
      </c>
      <c r="N4170" s="80">
        <v>1</v>
      </c>
      <c r="P4170">
        <v>55.400000000000006</v>
      </c>
      <c r="S4170" s="74">
        <v>34507</v>
      </c>
      <c r="T4170" s="80">
        <v>1</v>
      </c>
      <c r="V4170">
        <v>75.02</v>
      </c>
      <c r="X4170" s="42"/>
      <c r="AB4170">
        <v>69.599999999999994</v>
      </c>
      <c r="AC4170">
        <v>68</v>
      </c>
      <c r="AE4170" s="74"/>
      <c r="AF4170" s="80"/>
      <c r="AH4170" s="497">
        <v>62.6</v>
      </c>
      <c r="AJ4170" s="42"/>
      <c r="AK4170" s="74"/>
      <c r="AL4170" s="80"/>
      <c r="AN4170" s="497">
        <v>62.06</v>
      </c>
      <c r="AP4170" s="42"/>
      <c r="AQ4170" s="74"/>
      <c r="AR4170" s="80"/>
      <c r="AT4170" s="497">
        <v>69.98</v>
      </c>
      <c r="AV4170" s="42"/>
      <c r="AW4170" s="74"/>
      <c r="AX4170" s="80"/>
      <c r="BA4170" s="497">
        <v>57.56</v>
      </c>
      <c r="BB4170" s="42"/>
      <c r="BC4170" s="74"/>
      <c r="BD4170" s="80"/>
      <c r="BF4170">
        <v>59</v>
      </c>
      <c r="BH4170" s="42"/>
      <c r="BI4170" s="74"/>
      <c r="BJ4170" s="80"/>
      <c r="BL4170" s="497">
        <v>57.019999999999996</v>
      </c>
      <c r="BN4170" s="42"/>
      <c r="BO4170" s="74"/>
      <c r="BP4170" s="80"/>
      <c r="BR4170" s="497">
        <v>55.94</v>
      </c>
      <c r="BT4170" s="42"/>
    </row>
    <row r="4171" spans="1:72" x14ac:dyDescent="0.25">
      <c r="A4171" s="90">
        <v>34508</v>
      </c>
      <c r="B4171" s="20">
        <v>4.1666666666666664E-2</v>
      </c>
      <c r="D4171">
        <v>73.94</v>
      </c>
      <c r="E4171" t="str">
        <f t="shared" si="164"/>
        <v>WEEKDAY</v>
      </c>
      <c r="F4171" t="e">
        <f t="shared" si="165"/>
        <v>#N/A</v>
      </c>
      <c r="G4171" s="74">
        <v>33047</v>
      </c>
      <c r="H4171" s="77">
        <v>4.1666666666666664E-2</v>
      </c>
      <c r="J4171">
        <v>73.039999999999992</v>
      </c>
      <c r="M4171" s="74">
        <v>37795</v>
      </c>
      <c r="N4171" s="77">
        <v>4.1666666666666664E-2</v>
      </c>
      <c r="P4171">
        <v>55.400000000000006</v>
      </c>
      <c r="S4171" s="74">
        <v>34508</v>
      </c>
      <c r="T4171" s="77">
        <v>4.1666666666666664E-2</v>
      </c>
      <c r="V4171">
        <v>73.94</v>
      </c>
      <c r="X4171" s="42"/>
      <c r="AB4171">
        <v>69</v>
      </c>
      <c r="AC4171">
        <v>66.92</v>
      </c>
      <c r="AE4171" s="74"/>
      <c r="AF4171" s="77"/>
      <c r="AH4171" s="497">
        <v>60.8</v>
      </c>
      <c r="AJ4171" s="42"/>
      <c r="AK4171" s="74"/>
      <c r="AL4171" s="77"/>
      <c r="AN4171" s="497">
        <v>60.980000000000004</v>
      </c>
      <c r="AP4171" s="42"/>
      <c r="AQ4171" s="74"/>
      <c r="AR4171" s="77"/>
      <c r="AT4171" s="497">
        <v>68</v>
      </c>
      <c r="AV4171" s="42"/>
      <c r="AW4171" s="74"/>
      <c r="AX4171" s="77"/>
      <c r="BA4171" s="497">
        <v>55.94</v>
      </c>
      <c r="BB4171" s="42"/>
      <c r="BC4171" s="74"/>
      <c r="BD4171" s="77"/>
      <c r="BF4171">
        <v>60.08</v>
      </c>
      <c r="BH4171" s="42"/>
      <c r="BI4171" s="74"/>
      <c r="BJ4171" s="77"/>
      <c r="BL4171" s="497">
        <v>57.019999999999996</v>
      </c>
      <c r="BN4171" s="42"/>
      <c r="BO4171" s="74"/>
      <c r="BP4171" s="77"/>
      <c r="BR4171" s="497">
        <v>57.019999999999996</v>
      </c>
      <c r="BT4171" s="42"/>
    </row>
    <row r="4172" spans="1:72" x14ac:dyDescent="0.25">
      <c r="A4172" s="90">
        <v>34508</v>
      </c>
      <c r="B4172" s="20">
        <v>8.3333333333333329E-2</v>
      </c>
      <c r="D4172">
        <v>73.039999999999992</v>
      </c>
      <c r="E4172" t="str">
        <f t="shared" si="164"/>
        <v>WEEKDAY</v>
      </c>
      <c r="F4172" t="e">
        <f t="shared" si="165"/>
        <v>#N/A</v>
      </c>
      <c r="G4172" s="74">
        <v>33047</v>
      </c>
      <c r="H4172" s="77">
        <v>8.3333333333333329E-2</v>
      </c>
      <c r="J4172">
        <v>71.960000000000008</v>
      </c>
      <c r="M4172" s="74">
        <v>37795</v>
      </c>
      <c r="N4172" s="77">
        <v>8.3333333333333329E-2</v>
      </c>
      <c r="P4172">
        <v>55.400000000000006</v>
      </c>
      <c r="S4172" s="74">
        <v>34508</v>
      </c>
      <c r="T4172" s="77">
        <v>8.3333333333333329E-2</v>
      </c>
      <c r="V4172">
        <v>71.06</v>
      </c>
      <c r="X4172" s="42"/>
      <c r="AB4172">
        <v>68.5</v>
      </c>
      <c r="AC4172">
        <v>64.039999999999992</v>
      </c>
      <c r="AE4172" s="74"/>
      <c r="AF4172" s="77"/>
      <c r="AH4172" s="497">
        <v>59.72</v>
      </c>
      <c r="AJ4172" s="42"/>
      <c r="AK4172" s="74"/>
      <c r="AL4172" s="77"/>
      <c r="AN4172" s="497">
        <v>60.08</v>
      </c>
      <c r="AP4172" s="42"/>
      <c r="AQ4172" s="74"/>
      <c r="AR4172" s="77"/>
      <c r="AT4172" s="497">
        <v>68</v>
      </c>
      <c r="AV4172" s="42"/>
      <c r="AW4172" s="74"/>
      <c r="AX4172" s="77"/>
      <c r="BA4172" s="497">
        <v>55.58</v>
      </c>
      <c r="BB4172" s="42"/>
      <c r="BC4172" s="74"/>
      <c r="BD4172" s="77"/>
      <c r="BF4172">
        <v>60.08</v>
      </c>
      <c r="BH4172" s="42"/>
      <c r="BI4172" s="74"/>
      <c r="BJ4172" s="77"/>
      <c r="BL4172" s="497">
        <v>55.94</v>
      </c>
      <c r="BN4172" s="42"/>
      <c r="BO4172" s="74"/>
      <c r="BP4172" s="77"/>
      <c r="BR4172" s="497">
        <v>57.92</v>
      </c>
      <c r="BT4172" s="42"/>
    </row>
    <row r="4173" spans="1:72" x14ac:dyDescent="0.25">
      <c r="A4173" s="90">
        <v>34508</v>
      </c>
      <c r="B4173" s="20">
        <v>0.125</v>
      </c>
      <c r="D4173">
        <v>73.039999999999992</v>
      </c>
      <c r="E4173" t="str">
        <f t="shared" si="164"/>
        <v>WEEKDAY</v>
      </c>
      <c r="F4173" t="e">
        <f t="shared" si="165"/>
        <v>#N/A</v>
      </c>
      <c r="G4173" s="74">
        <v>33047</v>
      </c>
      <c r="H4173" s="77">
        <v>0.125</v>
      </c>
      <c r="J4173">
        <v>71.06</v>
      </c>
      <c r="M4173" s="74">
        <v>37795</v>
      </c>
      <c r="N4173" s="77">
        <v>0.125</v>
      </c>
      <c r="P4173">
        <v>55.400000000000006</v>
      </c>
      <c r="S4173" s="74">
        <v>34508</v>
      </c>
      <c r="T4173" s="77">
        <v>0.125</v>
      </c>
      <c r="V4173">
        <v>69.98</v>
      </c>
      <c r="X4173" s="42"/>
      <c r="AB4173">
        <v>68</v>
      </c>
      <c r="AC4173">
        <v>64.039999999999992</v>
      </c>
      <c r="AE4173" s="74"/>
      <c r="AF4173" s="77"/>
      <c r="AH4173" s="497">
        <v>59</v>
      </c>
      <c r="AJ4173" s="42"/>
      <c r="AK4173" s="74"/>
      <c r="AL4173" s="77"/>
      <c r="AN4173" s="497">
        <v>59</v>
      </c>
      <c r="AP4173" s="42"/>
      <c r="AQ4173" s="74"/>
      <c r="AR4173" s="77"/>
      <c r="AT4173" s="497">
        <v>68</v>
      </c>
      <c r="AV4173" s="42"/>
      <c r="AW4173" s="74"/>
      <c r="AX4173" s="77"/>
      <c r="BA4173" s="497">
        <v>55.400000000000006</v>
      </c>
      <c r="BB4173" s="42"/>
      <c r="BC4173" s="74"/>
      <c r="BD4173" s="77"/>
      <c r="BF4173">
        <v>60.980000000000004</v>
      </c>
      <c r="BH4173" s="42"/>
      <c r="BI4173" s="74"/>
      <c r="BJ4173" s="77"/>
      <c r="BL4173" s="497">
        <v>53.96</v>
      </c>
      <c r="BN4173" s="42"/>
      <c r="BO4173" s="74"/>
      <c r="BP4173" s="77"/>
      <c r="BR4173" s="497">
        <v>57.92</v>
      </c>
      <c r="BT4173" s="42"/>
    </row>
    <row r="4174" spans="1:72" x14ac:dyDescent="0.25">
      <c r="A4174" s="90">
        <v>34508</v>
      </c>
      <c r="B4174" s="20">
        <v>0.16666666666666666</v>
      </c>
      <c r="D4174">
        <v>71.960000000000008</v>
      </c>
      <c r="E4174" t="str">
        <f t="shared" si="164"/>
        <v>WEEKDAY</v>
      </c>
      <c r="F4174" t="e">
        <f t="shared" si="165"/>
        <v>#N/A</v>
      </c>
      <c r="G4174" s="74">
        <v>33047</v>
      </c>
      <c r="H4174" s="77">
        <v>0.16666666666666666</v>
      </c>
      <c r="J4174">
        <v>71.960000000000008</v>
      </c>
      <c r="M4174" s="74">
        <v>37795</v>
      </c>
      <c r="N4174" s="77">
        <v>0.16666666666666666</v>
      </c>
      <c r="P4174">
        <v>57.2</v>
      </c>
      <c r="S4174" s="74">
        <v>34508</v>
      </c>
      <c r="T4174" s="77">
        <v>0.16666666666666666</v>
      </c>
      <c r="V4174">
        <v>69.080000000000013</v>
      </c>
      <c r="X4174" s="42"/>
      <c r="AB4174">
        <v>67.5</v>
      </c>
      <c r="AC4174">
        <v>62.06</v>
      </c>
      <c r="AE4174" s="74"/>
      <c r="AF4174" s="77"/>
      <c r="AH4174" s="497">
        <v>57.2</v>
      </c>
      <c r="AJ4174" s="42"/>
      <c r="AK4174" s="74"/>
      <c r="AL4174" s="77"/>
      <c r="AN4174" s="497">
        <v>57.92</v>
      </c>
      <c r="AP4174" s="42"/>
      <c r="AQ4174" s="74"/>
      <c r="AR4174" s="77"/>
      <c r="AT4174" s="497">
        <v>66.92</v>
      </c>
      <c r="AV4174" s="42"/>
      <c r="AW4174" s="74"/>
      <c r="AX4174" s="77"/>
      <c r="BA4174" s="497">
        <v>55.040000000000006</v>
      </c>
      <c r="BB4174" s="42"/>
      <c r="BC4174" s="74"/>
      <c r="BD4174" s="77"/>
      <c r="BF4174">
        <v>59</v>
      </c>
      <c r="BH4174" s="42"/>
      <c r="BI4174" s="74"/>
      <c r="BJ4174" s="77"/>
      <c r="BL4174" s="497">
        <v>53.06</v>
      </c>
      <c r="BN4174" s="42"/>
      <c r="BO4174" s="74"/>
      <c r="BP4174" s="77"/>
      <c r="BR4174" s="497">
        <v>57.019999999999996</v>
      </c>
      <c r="BT4174" s="42"/>
    </row>
    <row r="4175" spans="1:72" x14ac:dyDescent="0.25">
      <c r="A4175" s="90">
        <v>34508</v>
      </c>
      <c r="B4175" s="20">
        <v>0.20833333333333334</v>
      </c>
      <c r="D4175">
        <v>71.06</v>
      </c>
      <c r="E4175" t="str">
        <f t="shared" si="164"/>
        <v>WEEKDAY</v>
      </c>
      <c r="F4175" t="e">
        <f t="shared" si="165"/>
        <v>#N/A</v>
      </c>
      <c r="G4175" s="74">
        <v>33047</v>
      </c>
      <c r="H4175" s="77">
        <v>0.20833333333333334</v>
      </c>
      <c r="J4175">
        <v>71.06</v>
      </c>
      <c r="M4175" s="74">
        <v>37795</v>
      </c>
      <c r="N4175" s="77">
        <v>0.20833333333333334</v>
      </c>
      <c r="P4175">
        <v>55.400000000000006</v>
      </c>
      <c r="S4175" s="74">
        <v>34508</v>
      </c>
      <c r="T4175" s="77">
        <v>0.20833333333333334</v>
      </c>
      <c r="V4175">
        <v>69.080000000000013</v>
      </c>
      <c r="X4175" s="42"/>
      <c r="AB4175">
        <v>67.099999999999994</v>
      </c>
      <c r="AC4175">
        <v>62.06</v>
      </c>
      <c r="AE4175" s="74"/>
      <c r="AF4175" s="77"/>
      <c r="AH4175" s="497">
        <v>55.400000000000006</v>
      </c>
      <c r="AJ4175" s="42"/>
      <c r="AK4175" s="74"/>
      <c r="AL4175" s="77"/>
      <c r="AN4175" s="497">
        <v>57.92</v>
      </c>
      <c r="AP4175" s="42"/>
      <c r="AQ4175" s="74"/>
      <c r="AR4175" s="77"/>
      <c r="AT4175" s="497">
        <v>64.94</v>
      </c>
      <c r="AV4175" s="42"/>
      <c r="AW4175" s="74"/>
      <c r="AX4175" s="77"/>
      <c r="BA4175" s="497">
        <v>55.040000000000006</v>
      </c>
      <c r="BB4175" s="42"/>
      <c r="BC4175" s="74"/>
      <c r="BD4175" s="77"/>
      <c r="BF4175">
        <v>55.94</v>
      </c>
      <c r="BH4175" s="42"/>
      <c r="BI4175" s="74"/>
      <c r="BJ4175" s="77"/>
      <c r="BL4175" s="497">
        <v>51.980000000000004</v>
      </c>
      <c r="BN4175" s="42"/>
      <c r="BO4175" s="74"/>
      <c r="BP4175" s="77"/>
      <c r="BR4175" s="497">
        <v>59</v>
      </c>
      <c r="BT4175" s="42"/>
    </row>
    <row r="4176" spans="1:72" x14ac:dyDescent="0.25">
      <c r="A4176" s="90">
        <v>34508</v>
      </c>
      <c r="B4176" s="20">
        <v>0.25</v>
      </c>
      <c r="D4176">
        <v>71.06</v>
      </c>
      <c r="E4176" t="str">
        <f t="shared" si="164"/>
        <v>WEEKDAY</v>
      </c>
      <c r="F4176" t="e">
        <f t="shared" si="165"/>
        <v>#N/A</v>
      </c>
      <c r="G4176" s="74">
        <v>33047</v>
      </c>
      <c r="H4176" s="77">
        <v>0.25</v>
      </c>
      <c r="J4176">
        <v>71.06</v>
      </c>
      <c r="M4176" s="74">
        <v>37795</v>
      </c>
      <c r="N4176" s="77">
        <v>0.25</v>
      </c>
      <c r="P4176">
        <v>60.8</v>
      </c>
      <c r="S4176" s="74">
        <v>34508</v>
      </c>
      <c r="T4176" s="77">
        <v>0.25</v>
      </c>
      <c r="V4176">
        <v>69.98</v>
      </c>
      <c r="X4176" s="42"/>
      <c r="AB4176">
        <v>67</v>
      </c>
      <c r="AC4176">
        <v>66.02</v>
      </c>
      <c r="AE4176" s="74"/>
      <c r="AF4176" s="77"/>
      <c r="AH4176" s="497">
        <v>62.6</v>
      </c>
      <c r="AJ4176" s="42"/>
      <c r="AK4176" s="74"/>
      <c r="AL4176" s="77"/>
      <c r="AN4176" s="497">
        <v>60.08</v>
      </c>
      <c r="AP4176" s="42"/>
      <c r="AQ4176" s="74"/>
      <c r="AR4176" s="77"/>
      <c r="AT4176" s="497">
        <v>64.94</v>
      </c>
      <c r="AV4176" s="42"/>
      <c r="AW4176" s="74"/>
      <c r="AX4176" s="77"/>
      <c r="BA4176" s="497">
        <v>55.040000000000006</v>
      </c>
      <c r="BB4176" s="42"/>
      <c r="BC4176" s="74"/>
      <c r="BD4176" s="77"/>
      <c r="BF4176">
        <v>57.019999999999996</v>
      </c>
      <c r="BH4176" s="42"/>
      <c r="BI4176" s="74"/>
      <c r="BJ4176" s="77"/>
      <c r="BL4176" s="497">
        <v>53.06</v>
      </c>
      <c r="BN4176" s="42"/>
      <c r="BO4176" s="74"/>
      <c r="BP4176" s="77"/>
      <c r="BR4176" s="497">
        <v>59</v>
      </c>
      <c r="BT4176" s="42"/>
    </row>
    <row r="4177" spans="1:72" x14ac:dyDescent="0.25">
      <c r="A4177" s="90">
        <v>34508</v>
      </c>
      <c r="B4177" s="20">
        <v>0.29166666666666669</v>
      </c>
      <c r="D4177">
        <v>71.06</v>
      </c>
      <c r="E4177" t="str">
        <f t="shared" si="164"/>
        <v>WEEKDAY</v>
      </c>
      <c r="F4177" t="e">
        <f t="shared" si="165"/>
        <v>#N/A</v>
      </c>
      <c r="G4177" s="74">
        <v>33047</v>
      </c>
      <c r="H4177" s="77">
        <v>0.29166666666666669</v>
      </c>
      <c r="J4177">
        <v>73.039999999999992</v>
      </c>
      <c r="M4177" s="74">
        <v>37795</v>
      </c>
      <c r="N4177" s="77">
        <v>0.29166666666666669</v>
      </c>
      <c r="P4177">
        <v>62.6</v>
      </c>
      <c r="S4177" s="74">
        <v>34508</v>
      </c>
      <c r="T4177" s="77">
        <v>0.29166666666666669</v>
      </c>
      <c r="V4177">
        <v>73.039999999999992</v>
      </c>
      <c r="X4177" s="42"/>
      <c r="AB4177">
        <v>68.7</v>
      </c>
      <c r="AC4177">
        <v>71.06</v>
      </c>
      <c r="AE4177" s="74"/>
      <c r="AF4177" s="77"/>
      <c r="AH4177" s="497">
        <v>71.599999999999994</v>
      </c>
      <c r="AJ4177" s="42"/>
      <c r="AK4177" s="74"/>
      <c r="AL4177" s="77"/>
      <c r="AN4177" s="497">
        <v>62.06</v>
      </c>
      <c r="AP4177" s="42"/>
      <c r="AQ4177" s="74"/>
      <c r="AR4177" s="77"/>
      <c r="AT4177" s="497">
        <v>66.02</v>
      </c>
      <c r="AV4177" s="42"/>
      <c r="AW4177" s="74"/>
      <c r="AX4177" s="77"/>
      <c r="BA4177" s="497">
        <v>55.040000000000006</v>
      </c>
      <c r="BB4177" s="42"/>
      <c r="BC4177" s="74"/>
      <c r="BD4177" s="77"/>
      <c r="BF4177">
        <v>57.019999999999996</v>
      </c>
      <c r="BH4177" s="42"/>
      <c r="BI4177" s="74"/>
      <c r="BJ4177" s="77"/>
      <c r="BL4177" s="497">
        <v>51.980000000000004</v>
      </c>
      <c r="BN4177" s="42"/>
      <c r="BO4177" s="74"/>
      <c r="BP4177" s="77"/>
      <c r="BR4177" s="497">
        <v>60.08</v>
      </c>
      <c r="BT4177" s="42"/>
    </row>
    <row r="4178" spans="1:72" x14ac:dyDescent="0.25">
      <c r="A4178" s="90">
        <v>34508</v>
      </c>
      <c r="B4178" s="20">
        <v>0.33333333333333331</v>
      </c>
      <c r="D4178">
        <v>71.06</v>
      </c>
      <c r="E4178" t="str">
        <f t="shared" si="164"/>
        <v>WEEKDAY</v>
      </c>
      <c r="F4178" t="e">
        <f t="shared" si="165"/>
        <v>#N/A</v>
      </c>
      <c r="G4178" s="74">
        <v>33047</v>
      </c>
      <c r="H4178" s="77">
        <v>0.33333333333333331</v>
      </c>
      <c r="J4178">
        <v>73.94</v>
      </c>
      <c r="M4178" s="74">
        <v>37795</v>
      </c>
      <c r="N4178" s="77">
        <v>0.33333333333333331</v>
      </c>
      <c r="P4178">
        <v>68</v>
      </c>
      <c r="S4178" s="74">
        <v>34508</v>
      </c>
      <c r="T4178" s="77">
        <v>0.33333333333333331</v>
      </c>
      <c r="V4178">
        <v>80.06</v>
      </c>
      <c r="X4178" s="42"/>
      <c r="AB4178">
        <v>70.599999999999994</v>
      </c>
      <c r="AC4178">
        <v>75.92</v>
      </c>
      <c r="AE4178" s="74"/>
      <c r="AF4178" s="77"/>
      <c r="AH4178" s="497">
        <v>73.400000000000006</v>
      </c>
      <c r="AJ4178" s="42"/>
      <c r="AK4178" s="74"/>
      <c r="AL4178" s="77"/>
      <c r="AN4178" s="497">
        <v>68</v>
      </c>
      <c r="AP4178" s="42"/>
      <c r="AQ4178" s="74"/>
      <c r="AR4178" s="77"/>
      <c r="AT4178" s="497">
        <v>69.080000000000013</v>
      </c>
      <c r="AV4178" s="42"/>
      <c r="AW4178" s="74"/>
      <c r="AX4178" s="77"/>
      <c r="BA4178" s="497">
        <v>55.040000000000006</v>
      </c>
      <c r="BB4178" s="42"/>
      <c r="BC4178" s="74"/>
      <c r="BD4178" s="77"/>
      <c r="BF4178">
        <v>59</v>
      </c>
      <c r="BH4178" s="42"/>
      <c r="BI4178" s="74"/>
      <c r="BJ4178" s="77"/>
      <c r="BL4178" s="497">
        <v>53.06</v>
      </c>
      <c r="BN4178" s="42"/>
      <c r="BO4178" s="74"/>
      <c r="BP4178" s="77"/>
      <c r="BR4178" s="497">
        <v>62.06</v>
      </c>
      <c r="BT4178" s="42"/>
    </row>
    <row r="4179" spans="1:72" x14ac:dyDescent="0.25">
      <c r="A4179" s="90">
        <v>34508</v>
      </c>
      <c r="B4179" s="20">
        <v>0.375</v>
      </c>
      <c r="D4179">
        <v>71.960000000000008</v>
      </c>
      <c r="E4179" t="str">
        <f t="shared" ref="E4179:E4242" si="166">IF(COUNTIF($DI$18:$DI$22, WEEKDAY(A4179))=1, "WEEKDAY", IF(WEEKDAY(A4179) = 1, "SUNDAY", "SATURDAY"))</f>
        <v>WEEKDAY</v>
      </c>
      <c r="F4179" t="e">
        <f t="shared" si="165"/>
        <v>#N/A</v>
      </c>
      <c r="G4179" s="74">
        <v>33047</v>
      </c>
      <c r="H4179" s="77">
        <v>0.375</v>
      </c>
      <c r="J4179">
        <v>77</v>
      </c>
      <c r="M4179" s="74">
        <v>37795</v>
      </c>
      <c r="N4179" s="77">
        <v>0.375</v>
      </c>
      <c r="P4179">
        <v>71.599999999999994</v>
      </c>
      <c r="S4179" s="74">
        <v>34508</v>
      </c>
      <c r="T4179" s="77">
        <v>0.375</v>
      </c>
      <c r="V4179">
        <v>80.06</v>
      </c>
      <c r="X4179" s="42"/>
      <c r="AB4179">
        <v>72.599999999999994</v>
      </c>
      <c r="AC4179">
        <v>80.06</v>
      </c>
      <c r="AE4179" s="74"/>
      <c r="AF4179" s="77"/>
      <c r="AH4179" s="497">
        <v>71.599999999999994</v>
      </c>
      <c r="AJ4179" s="42"/>
      <c r="AK4179" s="74"/>
      <c r="AL4179" s="77"/>
      <c r="AN4179" s="497">
        <v>69.98</v>
      </c>
      <c r="AP4179" s="42"/>
      <c r="AQ4179" s="74"/>
      <c r="AR4179" s="77"/>
      <c r="AT4179" s="497">
        <v>71.06</v>
      </c>
      <c r="AV4179" s="42"/>
      <c r="AW4179" s="74"/>
      <c r="AX4179" s="77"/>
      <c r="BA4179" s="497">
        <v>55.040000000000006</v>
      </c>
      <c r="BB4179" s="42"/>
      <c r="BC4179" s="74"/>
      <c r="BD4179" s="77"/>
      <c r="BF4179">
        <v>60.08</v>
      </c>
      <c r="BH4179" s="42"/>
      <c r="BI4179" s="74"/>
      <c r="BJ4179" s="77"/>
      <c r="BL4179" s="497">
        <v>53.96</v>
      </c>
      <c r="BN4179" s="42"/>
      <c r="BO4179" s="74"/>
      <c r="BP4179" s="77"/>
      <c r="BR4179" s="497">
        <v>62.96</v>
      </c>
      <c r="BT4179" s="42"/>
    </row>
    <row r="4180" spans="1:72" x14ac:dyDescent="0.25">
      <c r="A4180" s="90">
        <v>34508</v>
      </c>
      <c r="B4180" s="20">
        <v>0.41666666666666669</v>
      </c>
      <c r="D4180">
        <v>73.94</v>
      </c>
      <c r="E4180" t="str">
        <f t="shared" si="166"/>
        <v>WEEKDAY</v>
      </c>
      <c r="F4180" t="e">
        <f t="shared" si="165"/>
        <v>#N/A</v>
      </c>
      <c r="G4180" s="74">
        <v>33047</v>
      </c>
      <c r="H4180" s="77">
        <v>0.41666666666666669</v>
      </c>
      <c r="J4180">
        <v>77</v>
      </c>
      <c r="M4180" s="74">
        <v>37795</v>
      </c>
      <c r="N4180" s="77">
        <v>0.41666666666666669</v>
      </c>
      <c r="P4180">
        <v>73.400000000000006</v>
      </c>
      <c r="S4180" s="74">
        <v>34508</v>
      </c>
      <c r="T4180" s="77">
        <v>0.41666666666666669</v>
      </c>
      <c r="V4180">
        <v>86</v>
      </c>
      <c r="X4180" s="42"/>
      <c r="AB4180">
        <v>74.400000000000006</v>
      </c>
      <c r="AC4180">
        <v>82.94</v>
      </c>
      <c r="AE4180" s="74"/>
      <c r="AF4180" s="77"/>
      <c r="AH4180" s="497">
        <v>73.400000000000006</v>
      </c>
      <c r="AJ4180" s="42"/>
      <c r="AK4180" s="74"/>
      <c r="AL4180" s="77"/>
      <c r="AN4180" s="497">
        <v>71.960000000000008</v>
      </c>
      <c r="AP4180" s="42"/>
      <c r="AQ4180" s="74"/>
      <c r="AR4180" s="77"/>
      <c r="AT4180" s="497">
        <v>75.02</v>
      </c>
      <c r="AV4180" s="42"/>
      <c r="AW4180" s="74"/>
      <c r="AX4180" s="77"/>
      <c r="BA4180" s="497">
        <v>55.040000000000006</v>
      </c>
      <c r="BB4180" s="42"/>
      <c r="BC4180" s="74"/>
      <c r="BD4180" s="77"/>
      <c r="BF4180">
        <v>62.96</v>
      </c>
      <c r="BH4180" s="42"/>
      <c r="BI4180" s="74"/>
      <c r="BJ4180" s="77"/>
      <c r="BL4180" s="497">
        <v>53.96</v>
      </c>
      <c r="BN4180" s="42"/>
      <c r="BO4180" s="74"/>
      <c r="BP4180" s="77"/>
      <c r="BR4180" s="497">
        <v>66.02</v>
      </c>
      <c r="BT4180" s="42"/>
    </row>
    <row r="4181" spans="1:72" x14ac:dyDescent="0.25">
      <c r="A4181" s="90">
        <v>34508</v>
      </c>
      <c r="B4181" s="20">
        <v>0.45833333333333331</v>
      </c>
      <c r="D4181">
        <v>75.92</v>
      </c>
      <c r="E4181" t="str">
        <f t="shared" si="166"/>
        <v>WEEKDAY</v>
      </c>
      <c r="F4181" t="e">
        <f t="shared" si="165"/>
        <v>#N/A</v>
      </c>
      <c r="G4181" s="74">
        <v>33047</v>
      </c>
      <c r="H4181" s="77">
        <v>0.45833333333333331</v>
      </c>
      <c r="J4181">
        <v>77</v>
      </c>
      <c r="M4181" s="74">
        <v>37795</v>
      </c>
      <c r="N4181" s="77">
        <v>0.45833333333333331</v>
      </c>
      <c r="P4181">
        <v>75.2</v>
      </c>
      <c r="S4181" s="74">
        <v>34508</v>
      </c>
      <c r="T4181" s="77">
        <v>0.45833333333333331</v>
      </c>
      <c r="V4181">
        <v>84.02</v>
      </c>
      <c r="X4181" s="42"/>
      <c r="AB4181">
        <v>76</v>
      </c>
      <c r="AC4181">
        <v>84.92</v>
      </c>
      <c r="AE4181" s="74"/>
      <c r="AF4181" s="77"/>
      <c r="AH4181" s="497">
        <v>75.2</v>
      </c>
      <c r="AJ4181" s="42"/>
      <c r="AK4181" s="74"/>
      <c r="AL4181" s="77"/>
      <c r="AN4181" s="497">
        <v>75.02</v>
      </c>
      <c r="AP4181" s="42"/>
      <c r="AQ4181" s="74"/>
      <c r="AR4181" s="77"/>
      <c r="AT4181" s="497">
        <v>77</v>
      </c>
      <c r="AV4181" s="42"/>
      <c r="AW4181" s="74"/>
      <c r="AX4181" s="77"/>
      <c r="BA4181" s="497">
        <v>55.94</v>
      </c>
      <c r="BB4181" s="42"/>
      <c r="BC4181" s="74"/>
      <c r="BD4181" s="77"/>
      <c r="BF4181">
        <v>64.039999999999992</v>
      </c>
      <c r="BH4181" s="42"/>
      <c r="BI4181" s="74"/>
      <c r="BJ4181" s="77"/>
      <c r="BL4181" s="497">
        <v>55.040000000000006</v>
      </c>
      <c r="BN4181" s="42"/>
      <c r="BO4181" s="74"/>
      <c r="BP4181" s="77"/>
      <c r="BR4181" s="497">
        <v>66.02</v>
      </c>
      <c r="BT4181" s="42"/>
    </row>
    <row r="4182" spans="1:72" x14ac:dyDescent="0.25">
      <c r="A4182" s="90">
        <v>34508</v>
      </c>
      <c r="B4182" s="20">
        <v>0.5</v>
      </c>
      <c r="D4182">
        <v>78.080000000000013</v>
      </c>
      <c r="E4182" t="str">
        <f t="shared" si="166"/>
        <v>WEEKDAY</v>
      </c>
      <c r="F4182" t="e">
        <f t="shared" si="165"/>
        <v>#N/A</v>
      </c>
      <c r="G4182" s="74">
        <v>33047</v>
      </c>
      <c r="H4182" s="77">
        <v>0.5</v>
      </c>
      <c r="J4182">
        <v>78.080000000000013</v>
      </c>
      <c r="M4182" s="74">
        <v>37795</v>
      </c>
      <c r="N4182" s="77">
        <v>0.5</v>
      </c>
      <c r="P4182">
        <v>78.800000000000011</v>
      </c>
      <c r="S4182" s="74">
        <v>34508</v>
      </c>
      <c r="T4182" s="77">
        <v>0.5</v>
      </c>
      <c r="V4182">
        <v>84.02</v>
      </c>
      <c r="X4182" s="42"/>
      <c r="AB4182">
        <v>77.099999999999994</v>
      </c>
      <c r="AC4182">
        <v>84.02</v>
      </c>
      <c r="AE4182" s="74"/>
      <c r="AF4182" s="77"/>
      <c r="AH4182" s="497">
        <v>77</v>
      </c>
      <c r="AJ4182" s="42"/>
      <c r="AK4182" s="74"/>
      <c r="AL4182" s="77"/>
      <c r="AN4182" s="497">
        <v>75.02</v>
      </c>
      <c r="AP4182" s="42"/>
      <c r="AQ4182" s="74"/>
      <c r="AR4182" s="77"/>
      <c r="AT4182" s="497">
        <v>80.06</v>
      </c>
      <c r="AV4182" s="42"/>
      <c r="AW4182" s="74"/>
      <c r="AX4182" s="77"/>
      <c r="BA4182" s="497">
        <v>57.019999999999996</v>
      </c>
      <c r="BB4182" s="42"/>
      <c r="BC4182" s="74"/>
      <c r="BD4182" s="77"/>
      <c r="BF4182">
        <v>64.039999999999992</v>
      </c>
      <c r="BH4182" s="42"/>
      <c r="BI4182" s="74"/>
      <c r="BJ4182" s="77"/>
      <c r="BL4182" s="497">
        <v>57.019999999999996</v>
      </c>
      <c r="BN4182" s="42"/>
      <c r="BO4182" s="74"/>
      <c r="BP4182" s="77"/>
      <c r="BR4182" s="497">
        <v>66.92</v>
      </c>
      <c r="BT4182" s="42"/>
    </row>
    <row r="4183" spans="1:72" x14ac:dyDescent="0.25">
      <c r="A4183" s="90">
        <v>34508</v>
      </c>
      <c r="B4183" s="20">
        <v>0.54166666666666663</v>
      </c>
      <c r="D4183">
        <v>80.06</v>
      </c>
      <c r="E4183" t="str">
        <f t="shared" si="166"/>
        <v>WEEKDAY</v>
      </c>
      <c r="F4183" t="e">
        <f t="shared" si="165"/>
        <v>#N/A</v>
      </c>
      <c r="G4183" s="74">
        <v>33047</v>
      </c>
      <c r="H4183" s="77">
        <v>0.54166666666666663</v>
      </c>
      <c r="J4183">
        <v>78.98</v>
      </c>
      <c r="M4183" s="74">
        <v>37795</v>
      </c>
      <c r="N4183" s="77">
        <v>0.54166666666666663</v>
      </c>
      <c r="P4183">
        <v>82.4</v>
      </c>
      <c r="S4183" s="74">
        <v>34508</v>
      </c>
      <c r="T4183" s="77">
        <v>0.54166666666666663</v>
      </c>
      <c r="V4183">
        <v>86</v>
      </c>
      <c r="X4183" s="42"/>
      <c r="AB4183">
        <v>77.8</v>
      </c>
      <c r="AC4183">
        <v>84.92</v>
      </c>
      <c r="AE4183" s="74"/>
      <c r="AF4183" s="77"/>
      <c r="AH4183" s="497">
        <v>75.2</v>
      </c>
      <c r="AJ4183" s="42"/>
      <c r="AK4183" s="74"/>
      <c r="AL4183" s="77"/>
      <c r="AN4183" s="497">
        <v>78.080000000000013</v>
      </c>
      <c r="AP4183" s="42"/>
      <c r="AQ4183" s="74"/>
      <c r="AR4183" s="77"/>
      <c r="AT4183" s="497">
        <v>80.960000000000008</v>
      </c>
      <c r="AV4183" s="42"/>
      <c r="AW4183" s="74"/>
      <c r="AX4183" s="77"/>
      <c r="BA4183" s="497">
        <v>57.92</v>
      </c>
      <c r="BB4183" s="42"/>
      <c r="BC4183" s="74"/>
      <c r="BD4183" s="77"/>
      <c r="BF4183">
        <v>66.02</v>
      </c>
      <c r="BH4183" s="42"/>
      <c r="BI4183" s="74"/>
      <c r="BJ4183" s="77"/>
      <c r="BL4183" s="497">
        <v>55.040000000000006</v>
      </c>
      <c r="BN4183" s="42"/>
      <c r="BO4183" s="74"/>
      <c r="BP4183" s="77"/>
      <c r="BR4183" s="497">
        <v>69.080000000000013</v>
      </c>
      <c r="BT4183" s="42"/>
    </row>
    <row r="4184" spans="1:72" x14ac:dyDescent="0.25">
      <c r="A4184" s="90">
        <v>34508</v>
      </c>
      <c r="B4184" s="20">
        <v>0.58333333333333337</v>
      </c>
      <c r="D4184">
        <v>82.039999999999992</v>
      </c>
      <c r="E4184" t="str">
        <f t="shared" si="166"/>
        <v>WEEKDAY</v>
      </c>
      <c r="F4184" t="e">
        <f t="shared" si="165"/>
        <v>#N/A</v>
      </c>
      <c r="G4184" s="74">
        <v>33047</v>
      </c>
      <c r="H4184" s="77">
        <v>0.58333333333333337</v>
      </c>
      <c r="J4184">
        <v>84.02</v>
      </c>
      <c r="M4184" s="74">
        <v>37795</v>
      </c>
      <c r="N4184" s="77">
        <v>0.58333333333333337</v>
      </c>
      <c r="P4184">
        <v>84.2</v>
      </c>
      <c r="S4184" s="74">
        <v>34508</v>
      </c>
      <c r="T4184" s="77">
        <v>0.58333333333333337</v>
      </c>
      <c r="V4184">
        <v>82.94</v>
      </c>
      <c r="X4184" s="42"/>
      <c r="AB4184">
        <v>78.099999999999994</v>
      </c>
      <c r="AC4184">
        <v>84.92</v>
      </c>
      <c r="AE4184" s="74"/>
      <c r="AF4184" s="77"/>
      <c r="AH4184" s="497">
        <v>78.800000000000011</v>
      </c>
      <c r="AJ4184" s="42"/>
      <c r="AK4184" s="74"/>
      <c r="AL4184" s="77"/>
      <c r="AN4184" s="497">
        <v>77</v>
      </c>
      <c r="AP4184" s="42"/>
      <c r="AQ4184" s="74"/>
      <c r="AR4184" s="77"/>
      <c r="AT4184" s="497">
        <v>80.960000000000008</v>
      </c>
      <c r="AV4184" s="42"/>
      <c r="AW4184" s="74"/>
      <c r="AX4184" s="77"/>
      <c r="BA4184" s="497">
        <v>56.66</v>
      </c>
      <c r="BB4184" s="42"/>
      <c r="BC4184" s="74"/>
      <c r="BD4184" s="77"/>
      <c r="BF4184">
        <v>66.92</v>
      </c>
      <c r="BH4184" s="42"/>
      <c r="BI4184" s="74"/>
      <c r="BJ4184" s="77"/>
      <c r="BL4184" s="497">
        <v>57.019999999999996</v>
      </c>
      <c r="BN4184" s="42"/>
      <c r="BO4184" s="74"/>
      <c r="BP4184" s="77"/>
      <c r="BR4184" s="497">
        <v>69.080000000000013</v>
      </c>
      <c r="BT4184" s="42"/>
    </row>
    <row r="4185" spans="1:72" x14ac:dyDescent="0.25">
      <c r="A4185" s="90">
        <v>34508</v>
      </c>
      <c r="B4185" s="20">
        <v>0.625</v>
      </c>
      <c r="D4185">
        <v>82.94</v>
      </c>
      <c r="E4185" t="str">
        <f t="shared" si="166"/>
        <v>WEEKDAY</v>
      </c>
      <c r="F4185" t="e">
        <f t="shared" si="165"/>
        <v>#N/A</v>
      </c>
      <c r="G4185" s="74">
        <v>33047</v>
      </c>
      <c r="H4185" s="77">
        <v>0.625</v>
      </c>
      <c r="J4185">
        <v>84.02</v>
      </c>
      <c r="M4185" s="74">
        <v>37795</v>
      </c>
      <c r="N4185" s="77">
        <v>0.625</v>
      </c>
      <c r="P4185">
        <v>84.2</v>
      </c>
      <c r="S4185" s="74">
        <v>34508</v>
      </c>
      <c r="T4185" s="77">
        <v>0.625</v>
      </c>
      <c r="V4185">
        <v>82.039999999999992</v>
      </c>
      <c r="X4185" s="42"/>
      <c r="AB4185">
        <v>78.2</v>
      </c>
      <c r="AC4185">
        <v>82.94</v>
      </c>
      <c r="AE4185" s="74"/>
      <c r="AF4185" s="77"/>
      <c r="AH4185" s="497">
        <v>78.800000000000011</v>
      </c>
      <c r="AJ4185" s="42"/>
      <c r="AK4185" s="74"/>
      <c r="AL4185" s="77"/>
      <c r="AN4185" s="497">
        <v>78.080000000000013</v>
      </c>
      <c r="AP4185" s="42"/>
      <c r="AQ4185" s="74"/>
      <c r="AR4185" s="77"/>
      <c r="AT4185" s="497">
        <v>80.960000000000008</v>
      </c>
      <c r="AV4185" s="42"/>
      <c r="AW4185" s="74"/>
      <c r="AX4185" s="77"/>
      <c r="BA4185" s="497">
        <v>55.22</v>
      </c>
      <c r="BB4185" s="42"/>
      <c r="BC4185" s="74"/>
      <c r="BD4185" s="77"/>
      <c r="BF4185">
        <v>66.02</v>
      </c>
      <c r="BH4185" s="42"/>
      <c r="BI4185" s="74"/>
      <c r="BJ4185" s="77"/>
      <c r="BL4185" s="497">
        <v>57.019999999999996</v>
      </c>
      <c r="BN4185" s="42"/>
      <c r="BO4185" s="74"/>
      <c r="BP4185" s="77"/>
      <c r="BR4185" s="497">
        <v>69.080000000000013</v>
      </c>
      <c r="BT4185" s="42"/>
    </row>
    <row r="4186" spans="1:72" x14ac:dyDescent="0.25">
      <c r="A4186" s="90">
        <v>34508</v>
      </c>
      <c r="B4186" s="20">
        <v>0.66666666666666663</v>
      </c>
      <c r="D4186">
        <v>82.94</v>
      </c>
      <c r="E4186" t="str">
        <f t="shared" si="166"/>
        <v>WEEKDAY</v>
      </c>
      <c r="F4186" t="e">
        <f t="shared" si="165"/>
        <v>#N/A</v>
      </c>
      <c r="G4186" s="74">
        <v>33047</v>
      </c>
      <c r="H4186" s="77">
        <v>0.66666666666666663</v>
      </c>
      <c r="J4186">
        <v>82.039999999999992</v>
      </c>
      <c r="M4186" s="74">
        <v>37795</v>
      </c>
      <c r="N4186" s="77">
        <v>0.66666666666666663</v>
      </c>
      <c r="P4186">
        <v>86</v>
      </c>
      <c r="S4186" s="74">
        <v>34508</v>
      </c>
      <c r="T4186" s="77">
        <v>0.66666666666666663</v>
      </c>
      <c r="V4186">
        <v>82.94</v>
      </c>
      <c r="X4186" s="42"/>
      <c r="AB4186">
        <v>77.599999999999994</v>
      </c>
      <c r="AC4186">
        <v>82.039999999999992</v>
      </c>
      <c r="AE4186" s="74"/>
      <c r="AF4186" s="77"/>
      <c r="AH4186" s="497">
        <v>80.599999999999994</v>
      </c>
      <c r="AJ4186" s="42"/>
      <c r="AK4186" s="74"/>
      <c r="AL4186" s="77"/>
      <c r="AN4186" s="497">
        <v>77</v>
      </c>
      <c r="AP4186" s="42"/>
      <c r="AQ4186" s="74"/>
      <c r="AR4186" s="77"/>
      <c r="AT4186" s="497">
        <v>80.06</v>
      </c>
      <c r="AV4186" s="42"/>
      <c r="AW4186" s="74"/>
      <c r="AX4186" s="77"/>
      <c r="BA4186" s="497">
        <v>53.96</v>
      </c>
      <c r="BB4186" s="42"/>
      <c r="BC4186" s="74"/>
      <c r="BD4186" s="77"/>
      <c r="BF4186">
        <v>66.92</v>
      </c>
      <c r="BH4186" s="42"/>
      <c r="BI4186" s="74"/>
      <c r="BJ4186" s="77"/>
      <c r="BL4186" s="497">
        <v>55.040000000000006</v>
      </c>
      <c r="BN4186" s="42"/>
      <c r="BO4186" s="74"/>
      <c r="BP4186" s="77"/>
      <c r="BR4186" s="497">
        <v>66.92</v>
      </c>
      <c r="BT4186" s="42"/>
    </row>
    <row r="4187" spans="1:72" x14ac:dyDescent="0.25">
      <c r="A4187" s="90">
        <v>34508</v>
      </c>
      <c r="B4187" s="20">
        <v>0.70833333333333337</v>
      </c>
      <c r="D4187">
        <v>82.94</v>
      </c>
      <c r="E4187" t="str">
        <f t="shared" si="166"/>
        <v>WEEKDAY</v>
      </c>
      <c r="F4187" t="e">
        <f t="shared" si="165"/>
        <v>#N/A</v>
      </c>
      <c r="G4187" s="74">
        <v>33047</v>
      </c>
      <c r="H4187" s="77">
        <v>0.70833333333333337</v>
      </c>
      <c r="J4187">
        <v>82.039999999999992</v>
      </c>
      <c r="M4187" s="74">
        <v>37795</v>
      </c>
      <c r="N4187" s="77">
        <v>0.70833333333333337</v>
      </c>
      <c r="P4187">
        <v>82.94</v>
      </c>
      <c r="S4187" s="74">
        <v>34508</v>
      </c>
      <c r="T4187" s="77">
        <v>0.70833333333333337</v>
      </c>
      <c r="V4187">
        <v>78.98</v>
      </c>
      <c r="X4187" s="42"/>
      <c r="AB4187">
        <v>76.7</v>
      </c>
      <c r="AC4187">
        <v>82.039999999999992</v>
      </c>
      <c r="AE4187" s="74"/>
      <c r="AF4187" s="77"/>
      <c r="AH4187" s="497">
        <v>80.599999999999994</v>
      </c>
      <c r="AJ4187" s="42"/>
      <c r="AK4187" s="74"/>
      <c r="AL4187" s="77"/>
      <c r="AN4187" s="497">
        <v>77</v>
      </c>
      <c r="AP4187" s="42"/>
      <c r="AQ4187" s="74"/>
      <c r="AR4187" s="77"/>
      <c r="AT4187" s="497">
        <v>78.98</v>
      </c>
      <c r="AV4187" s="42"/>
      <c r="AW4187" s="74"/>
      <c r="AX4187" s="77"/>
      <c r="BA4187" s="497">
        <v>53.06</v>
      </c>
      <c r="BB4187" s="42"/>
      <c r="BC4187" s="74"/>
      <c r="BD4187" s="77"/>
      <c r="BF4187">
        <v>69.080000000000013</v>
      </c>
      <c r="BH4187" s="42"/>
      <c r="BI4187" s="74"/>
      <c r="BJ4187" s="77"/>
      <c r="BL4187" s="497">
        <v>53.96</v>
      </c>
      <c r="BN4187" s="42"/>
      <c r="BO4187" s="74"/>
      <c r="BP4187" s="77"/>
      <c r="BR4187" s="497">
        <v>68</v>
      </c>
      <c r="BT4187" s="42"/>
    </row>
    <row r="4188" spans="1:72" x14ac:dyDescent="0.25">
      <c r="A4188" s="90">
        <v>34508</v>
      </c>
      <c r="B4188" s="20">
        <v>0.75</v>
      </c>
      <c r="D4188">
        <v>80.06</v>
      </c>
      <c r="E4188" t="str">
        <f t="shared" si="166"/>
        <v>WEEKDAY</v>
      </c>
      <c r="F4188" t="e">
        <f t="shared" si="165"/>
        <v>#N/A</v>
      </c>
      <c r="G4188" s="74">
        <v>33047</v>
      </c>
      <c r="H4188" s="77">
        <v>0.75</v>
      </c>
      <c r="J4188">
        <v>84.02</v>
      </c>
      <c r="M4188" s="74">
        <v>37795</v>
      </c>
      <c r="N4188" s="77">
        <v>0.75</v>
      </c>
      <c r="P4188">
        <v>79.34</v>
      </c>
      <c r="S4188" s="74">
        <v>34508</v>
      </c>
      <c r="T4188" s="77">
        <v>0.75</v>
      </c>
      <c r="V4188">
        <v>77</v>
      </c>
      <c r="X4188" s="42"/>
      <c r="AB4188">
        <v>75.5</v>
      </c>
      <c r="AC4188">
        <v>80.06</v>
      </c>
      <c r="AE4188" s="74"/>
      <c r="AF4188" s="77"/>
      <c r="AH4188" s="497">
        <v>78.800000000000011</v>
      </c>
      <c r="AJ4188" s="42"/>
      <c r="AK4188" s="74"/>
      <c r="AL4188" s="77"/>
      <c r="AN4188" s="497">
        <v>73.94</v>
      </c>
      <c r="AP4188" s="42"/>
      <c r="AQ4188" s="74"/>
      <c r="AR4188" s="77"/>
      <c r="AT4188" s="497">
        <v>78.080000000000013</v>
      </c>
      <c r="AV4188" s="42"/>
      <c r="AW4188" s="74"/>
      <c r="AX4188" s="77"/>
      <c r="BA4188" s="497">
        <v>51.980000000000004</v>
      </c>
      <c r="BB4188" s="42"/>
      <c r="BC4188" s="74"/>
      <c r="BD4188" s="77"/>
      <c r="BF4188">
        <v>68</v>
      </c>
      <c r="BH4188" s="42"/>
      <c r="BI4188" s="74"/>
      <c r="BJ4188" s="77"/>
      <c r="BL4188" s="497">
        <v>53.96</v>
      </c>
      <c r="BN4188" s="42"/>
      <c r="BO4188" s="74"/>
      <c r="BP4188" s="77"/>
      <c r="BR4188" s="497">
        <v>68</v>
      </c>
      <c r="BT4188" s="42"/>
    </row>
    <row r="4189" spans="1:72" x14ac:dyDescent="0.25">
      <c r="A4189" s="90">
        <v>34508</v>
      </c>
      <c r="B4189" s="20">
        <v>0.79166666666666663</v>
      </c>
      <c r="D4189">
        <v>77</v>
      </c>
      <c r="E4189" t="str">
        <f t="shared" si="166"/>
        <v>WEEKDAY</v>
      </c>
      <c r="F4189" t="e">
        <f t="shared" si="165"/>
        <v>#N/A</v>
      </c>
      <c r="G4189" s="74">
        <v>33047</v>
      </c>
      <c r="H4189" s="77">
        <v>0.79166666666666663</v>
      </c>
      <c r="J4189">
        <v>82.039999999999992</v>
      </c>
      <c r="M4189" s="74">
        <v>37795</v>
      </c>
      <c r="N4189" s="77">
        <v>0.79166666666666663</v>
      </c>
      <c r="P4189">
        <v>75.2</v>
      </c>
      <c r="S4189" s="74">
        <v>34508</v>
      </c>
      <c r="T4189" s="77">
        <v>0.79166666666666663</v>
      </c>
      <c r="V4189">
        <v>75.02</v>
      </c>
      <c r="X4189" s="42"/>
      <c r="AB4189">
        <v>74.2</v>
      </c>
      <c r="AC4189">
        <v>75.92</v>
      </c>
      <c r="AE4189" s="74"/>
      <c r="AF4189" s="77"/>
      <c r="AH4189" s="497">
        <v>75.2</v>
      </c>
      <c r="AJ4189" s="42"/>
      <c r="AK4189" s="74"/>
      <c r="AL4189" s="77"/>
      <c r="AN4189" s="497">
        <v>71.960000000000008</v>
      </c>
      <c r="AP4189" s="42"/>
      <c r="AQ4189" s="74"/>
      <c r="AR4189" s="77"/>
      <c r="AT4189" s="497">
        <v>75.92</v>
      </c>
      <c r="AV4189" s="42"/>
      <c r="AW4189" s="74"/>
      <c r="AX4189" s="77"/>
      <c r="BA4189" s="497">
        <v>51.08</v>
      </c>
      <c r="BB4189" s="42"/>
      <c r="BC4189" s="74"/>
      <c r="BD4189" s="77"/>
      <c r="BF4189">
        <v>64.94</v>
      </c>
      <c r="BH4189" s="42"/>
      <c r="BI4189" s="74"/>
      <c r="BJ4189" s="77"/>
      <c r="BL4189" s="497">
        <v>53.96</v>
      </c>
      <c r="BN4189" s="42"/>
      <c r="BO4189" s="74"/>
      <c r="BP4189" s="77"/>
      <c r="BR4189" s="497">
        <v>66.92</v>
      </c>
      <c r="BT4189" s="42"/>
    </row>
    <row r="4190" spans="1:72" x14ac:dyDescent="0.25">
      <c r="A4190" s="90">
        <v>34508</v>
      </c>
      <c r="B4190" s="20">
        <v>0.83333333333333337</v>
      </c>
      <c r="D4190">
        <v>75.02</v>
      </c>
      <c r="E4190" t="str">
        <f t="shared" si="166"/>
        <v>WEEKDAY</v>
      </c>
      <c r="F4190" t="e">
        <f t="shared" si="165"/>
        <v>#N/A</v>
      </c>
      <c r="G4190" s="74">
        <v>33047</v>
      </c>
      <c r="H4190" s="77">
        <v>0.83333333333333337</v>
      </c>
      <c r="J4190">
        <v>80.960000000000008</v>
      </c>
      <c r="M4190" s="74">
        <v>37795</v>
      </c>
      <c r="N4190" s="77">
        <v>0.83333333333333337</v>
      </c>
      <c r="P4190">
        <v>71.599999999999994</v>
      </c>
      <c r="S4190" s="74">
        <v>34508</v>
      </c>
      <c r="T4190" s="77">
        <v>0.83333333333333337</v>
      </c>
      <c r="V4190">
        <v>73.94</v>
      </c>
      <c r="X4190" s="42"/>
      <c r="AB4190">
        <v>72.8</v>
      </c>
      <c r="AC4190">
        <v>73.94</v>
      </c>
      <c r="AE4190" s="74"/>
      <c r="AF4190" s="77"/>
      <c r="AH4190" s="497">
        <v>64.400000000000006</v>
      </c>
      <c r="AJ4190" s="42"/>
      <c r="AK4190" s="74"/>
      <c r="AL4190" s="77"/>
      <c r="AN4190" s="497">
        <v>71.06</v>
      </c>
      <c r="AP4190" s="42"/>
      <c r="AQ4190" s="74"/>
      <c r="AR4190" s="77"/>
      <c r="AT4190" s="497">
        <v>71.06</v>
      </c>
      <c r="AV4190" s="42"/>
      <c r="AW4190" s="74"/>
      <c r="AX4190" s="77"/>
      <c r="BA4190" s="497">
        <v>51.08</v>
      </c>
      <c r="BB4190" s="42"/>
      <c r="BC4190" s="74"/>
      <c r="BD4190" s="77"/>
      <c r="BF4190">
        <v>62.06</v>
      </c>
      <c r="BH4190" s="42"/>
      <c r="BI4190" s="74"/>
      <c r="BJ4190" s="77"/>
      <c r="BL4190" s="497">
        <v>53.06</v>
      </c>
      <c r="BN4190" s="42"/>
      <c r="BO4190" s="74"/>
      <c r="BP4190" s="77"/>
      <c r="BR4190" s="497">
        <v>60.980000000000004</v>
      </c>
      <c r="BT4190" s="42"/>
    </row>
    <row r="4191" spans="1:72" x14ac:dyDescent="0.25">
      <c r="A4191" s="90">
        <v>34508</v>
      </c>
      <c r="B4191" s="20">
        <v>0.875</v>
      </c>
      <c r="D4191">
        <v>73.94</v>
      </c>
      <c r="E4191" t="str">
        <f t="shared" si="166"/>
        <v>WEEKDAY</v>
      </c>
      <c r="F4191" t="e">
        <f t="shared" si="165"/>
        <v>#N/A</v>
      </c>
      <c r="G4191" s="74">
        <v>33047</v>
      </c>
      <c r="H4191" s="77">
        <v>0.875</v>
      </c>
      <c r="J4191">
        <v>80.06</v>
      </c>
      <c r="M4191" s="74">
        <v>37795</v>
      </c>
      <c r="N4191" s="77">
        <v>0.875</v>
      </c>
      <c r="P4191">
        <v>69.800000000000011</v>
      </c>
      <c r="S4191" s="74">
        <v>34508</v>
      </c>
      <c r="T4191" s="77">
        <v>0.875</v>
      </c>
      <c r="V4191">
        <v>73.039999999999992</v>
      </c>
      <c r="X4191" s="42"/>
      <c r="AB4191">
        <v>71.7</v>
      </c>
      <c r="AC4191">
        <v>73.039999999999992</v>
      </c>
      <c r="AE4191" s="74"/>
      <c r="AF4191" s="77"/>
      <c r="AH4191" s="497">
        <v>62.6</v>
      </c>
      <c r="AJ4191" s="42"/>
      <c r="AK4191" s="74"/>
      <c r="AL4191" s="77"/>
      <c r="AN4191" s="497">
        <v>69.98</v>
      </c>
      <c r="AP4191" s="42"/>
      <c r="AQ4191" s="74"/>
      <c r="AR4191" s="77"/>
      <c r="AT4191" s="497">
        <v>66.02</v>
      </c>
      <c r="AV4191" s="42"/>
      <c r="AW4191" s="74"/>
      <c r="AX4191" s="77"/>
      <c r="BA4191" s="497">
        <v>51.08</v>
      </c>
      <c r="BB4191" s="42"/>
      <c r="BC4191" s="74"/>
      <c r="BD4191" s="77"/>
      <c r="BF4191">
        <v>60.980000000000004</v>
      </c>
      <c r="BH4191" s="42"/>
      <c r="BI4191" s="74"/>
      <c r="BJ4191" s="77"/>
      <c r="BL4191" s="497">
        <v>50</v>
      </c>
      <c r="BN4191" s="42"/>
      <c r="BO4191" s="74"/>
      <c r="BP4191" s="77"/>
      <c r="BR4191" s="497">
        <v>57.92</v>
      </c>
      <c r="BT4191" s="42"/>
    </row>
    <row r="4192" spans="1:72" x14ac:dyDescent="0.25">
      <c r="A4192" s="90">
        <v>34508</v>
      </c>
      <c r="B4192" s="20">
        <v>0.91666666666666663</v>
      </c>
      <c r="D4192">
        <v>73.039999999999992</v>
      </c>
      <c r="E4192" t="str">
        <f t="shared" si="166"/>
        <v>WEEKDAY</v>
      </c>
      <c r="F4192" t="e">
        <f t="shared" si="165"/>
        <v>#N/A</v>
      </c>
      <c r="G4192" s="74">
        <v>33047</v>
      </c>
      <c r="H4192" s="77">
        <v>0.91666666666666663</v>
      </c>
      <c r="J4192">
        <v>77</v>
      </c>
      <c r="M4192" s="74">
        <v>37795</v>
      </c>
      <c r="N4192" s="77">
        <v>0.91666666666666663</v>
      </c>
      <c r="P4192">
        <v>68</v>
      </c>
      <c r="S4192" s="74">
        <v>34508</v>
      </c>
      <c r="T4192" s="77">
        <v>0.91666666666666663</v>
      </c>
      <c r="V4192">
        <v>73.039999999999992</v>
      </c>
      <c r="X4192" s="42"/>
      <c r="AB4192">
        <v>71</v>
      </c>
      <c r="AC4192">
        <v>73.039999999999992</v>
      </c>
      <c r="AE4192" s="74"/>
      <c r="AF4192" s="77"/>
      <c r="AH4192" s="497">
        <v>60.8</v>
      </c>
      <c r="AJ4192" s="42"/>
      <c r="AK4192" s="74"/>
      <c r="AL4192" s="77"/>
      <c r="AN4192" s="497">
        <v>69.98</v>
      </c>
      <c r="AP4192" s="42"/>
      <c r="AQ4192" s="74"/>
      <c r="AR4192" s="77"/>
      <c r="AT4192" s="497">
        <v>64.039999999999992</v>
      </c>
      <c r="AV4192" s="42"/>
      <c r="AW4192" s="74"/>
      <c r="AX4192" s="77"/>
      <c r="BA4192" s="497">
        <v>51.08</v>
      </c>
      <c r="BB4192" s="42"/>
      <c r="BC4192" s="74"/>
      <c r="BD4192" s="77"/>
      <c r="BF4192">
        <v>60.08</v>
      </c>
      <c r="BH4192" s="42"/>
      <c r="BI4192" s="74"/>
      <c r="BJ4192" s="77"/>
      <c r="BL4192" s="497">
        <v>48.92</v>
      </c>
      <c r="BN4192" s="42"/>
      <c r="BO4192" s="74"/>
      <c r="BP4192" s="77"/>
      <c r="BR4192" s="497">
        <v>55.040000000000006</v>
      </c>
      <c r="BT4192" s="42"/>
    </row>
    <row r="4193" spans="1:72" x14ac:dyDescent="0.25">
      <c r="A4193" s="90">
        <v>34508</v>
      </c>
      <c r="B4193" s="20">
        <v>0.95833333333333337</v>
      </c>
      <c r="D4193">
        <v>73.94</v>
      </c>
      <c r="E4193" t="str">
        <f t="shared" si="166"/>
        <v>WEEKDAY</v>
      </c>
      <c r="F4193" t="e">
        <f t="shared" si="165"/>
        <v>#N/A</v>
      </c>
      <c r="G4193" s="74">
        <v>33047</v>
      </c>
      <c r="H4193" s="77">
        <v>0.95833333333333337</v>
      </c>
      <c r="J4193">
        <v>77</v>
      </c>
      <c r="M4193" s="74">
        <v>37795</v>
      </c>
      <c r="N4193" s="77">
        <v>0.95833333333333337</v>
      </c>
      <c r="P4193">
        <v>66.2</v>
      </c>
      <c r="S4193" s="74">
        <v>34508</v>
      </c>
      <c r="T4193" s="77">
        <v>0.95833333333333337</v>
      </c>
      <c r="V4193">
        <v>71.960000000000008</v>
      </c>
      <c r="X4193" s="42"/>
      <c r="AB4193">
        <v>70.400000000000006</v>
      </c>
      <c r="AC4193">
        <v>73.039999999999992</v>
      </c>
      <c r="AE4193" s="74"/>
      <c r="AF4193" s="77"/>
      <c r="AH4193" s="497">
        <v>59</v>
      </c>
      <c r="AJ4193" s="42"/>
      <c r="AK4193" s="74"/>
      <c r="AL4193" s="77"/>
      <c r="AN4193" s="497">
        <v>68</v>
      </c>
      <c r="AP4193" s="42"/>
      <c r="AQ4193" s="74"/>
      <c r="AR4193" s="77"/>
      <c r="AT4193" s="497">
        <v>62.96</v>
      </c>
      <c r="AV4193" s="42"/>
      <c r="AW4193" s="74"/>
      <c r="AX4193" s="77"/>
      <c r="BA4193" s="497">
        <v>51.08</v>
      </c>
      <c r="BB4193" s="42"/>
      <c r="BC4193" s="74"/>
      <c r="BD4193" s="77"/>
      <c r="BF4193">
        <v>57.92</v>
      </c>
      <c r="BH4193" s="42"/>
      <c r="BI4193" s="74"/>
      <c r="BJ4193" s="77"/>
      <c r="BL4193" s="497">
        <v>48.92</v>
      </c>
      <c r="BN4193" s="42"/>
      <c r="BO4193" s="74"/>
      <c r="BP4193" s="77"/>
      <c r="BR4193" s="497">
        <v>55.040000000000006</v>
      </c>
      <c r="BT4193" s="42"/>
    </row>
    <row r="4194" spans="1:72" x14ac:dyDescent="0.25">
      <c r="A4194" s="90">
        <v>34508</v>
      </c>
      <c r="B4194" s="20">
        <v>1</v>
      </c>
      <c r="D4194">
        <v>73.94</v>
      </c>
      <c r="E4194" t="str">
        <f t="shared" si="166"/>
        <v>WEEKDAY</v>
      </c>
      <c r="F4194" t="e">
        <f t="shared" si="165"/>
        <v>#N/A</v>
      </c>
      <c r="G4194" s="74">
        <v>33047</v>
      </c>
      <c r="H4194" s="77">
        <v>1</v>
      </c>
      <c r="J4194">
        <v>75.92</v>
      </c>
      <c r="M4194" s="74">
        <v>37795</v>
      </c>
      <c r="N4194" s="80">
        <v>1</v>
      </c>
      <c r="P4194">
        <v>64.400000000000006</v>
      </c>
      <c r="S4194" s="74">
        <v>34508</v>
      </c>
      <c r="T4194" s="80">
        <v>1</v>
      </c>
      <c r="V4194">
        <v>71.960000000000008</v>
      </c>
      <c r="X4194" s="42"/>
      <c r="AB4194">
        <v>70</v>
      </c>
      <c r="AC4194">
        <v>71.960000000000008</v>
      </c>
      <c r="AE4194" s="74"/>
      <c r="AF4194" s="80"/>
      <c r="AH4194" s="497">
        <v>59</v>
      </c>
      <c r="AJ4194" s="42"/>
      <c r="AK4194" s="74"/>
      <c r="AL4194" s="80"/>
      <c r="AN4194" s="497">
        <v>66.92</v>
      </c>
      <c r="AP4194" s="42"/>
      <c r="AQ4194" s="74"/>
      <c r="AR4194" s="80"/>
      <c r="AT4194" s="497">
        <v>60.980000000000004</v>
      </c>
      <c r="AV4194" s="42"/>
      <c r="AW4194" s="74"/>
      <c r="AX4194" s="80"/>
      <c r="BA4194" s="497">
        <v>51.08</v>
      </c>
      <c r="BB4194" s="42"/>
      <c r="BC4194" s="74"/>
      <c r="BD4194" s="80"/>
      <c r="BF4194">
        <v>57.019999999999996</v>
      </c>
      <c r="BH4194" s="42"/>
      <c r="BI4194" s="74"/>
      <c r="BJ4194" s="80"/>
      <c r="BL4194" s="497">
        <v>48.92</v>
      </c>
      <c r="BN4194" s="42"/>
      <c r="BO4194" s="74"/>
      <c r="BP4194" s="80"/>
      <c r="BR4194" s="497">
        <v>53.96</v>
      </c>
      <c r="BT4194" s="42"/>
    </row>
    <row r="4195" spans="1:72" x14ac:dyDescent="0.25">
      <c r="A4195" s="90">
        <v>34509</v>
      </c>
      <c r="B4195" s="20">
        <v>4.1666666666666664E-2</v>
      </c>
      <c r="D4195">
        <v>73.94</v>
      </c>
      <c r="E4195" t="str">
        <f t="shared" si="166"/>
        <v>WEEKDAY</v>
      </c>
      <c r="F4195" t="e">
        <f t="shared" si="165"/>
        <v>#N/A</v>
      </c>
      <c r="G4195" s="74">
        <v>33048</v>
      </c>
      <c r="H4195" s="77">
        <v>4.1666666666666664E-2</v>
      </c>
      <c r="J4195">
        <v>75.02</v>
      </c>
      <c r="M4195" s="74">
        <v>37796</v>
      </c>
      <c r="N4195" s="77">
        <v>4.1666666666666664E-2</v>
      </c>
      <c r="P4195">
        <v>64.400000000000006</v>
      </c>
      <c r="S4195" s="74">
        <v>34509</v>
      </c>
      <c r="T4195" s="77">
        <v>4.1666666666666664E-2</v>
      </c>
      <c r="V4195">
        <v>71.960000000000008</v>
      </c>
      <c r="X4195" s="42"/>
      <c r="AB4195">
        <v>69.400000000000006</v>
      </c>
      <c r="AC4195">
        <v>71.960000000000008</v>
      </c>
      <c r="AE4195" s="74"/>
      <c r="AF4195" s="77"/>
      <c r="AH4195" s="497">
        <v>57.2</v>
      </c>
      <c r="AJ4195" s="42"/>
      <c r="AK4195" s="74"/>
      <c r="AL4195" s="77"/>
      <c r="AN4195" s="497">
        <v>64.94</v>
      </c>
      <c r="AP4195" s="42"/>
      <c r="AQ4195" s="74"/>
      <c r="AR4195" s="77"/>
      <c r="AT4195" s="497">
        <v>59</v>
      </c>
      <c r="AV4195" s="42"/>
      <c r="AW4195" s="74"/>
      <c r="AX4195" s="77"/>
      <c r="BA4195" s="497">
        <v>51.08</v>
      </c>
      <c r="BB4195" s="42"/>
      <c r="BC4195" s="74"/>
      <c r="BD4195" s="77"/>
      <c r="BF4195">
        <v>57.019999999999996</v>
      </c>
      <c r="BH4195" s="42"/>
      <c r="BI4195" s="74"/>
      <c r="BJ4195" s="77"/>
      <c r="BL4195" s="497">
        <v>48.92</v>
      </c>
      <c r="BN4195" s="42"/>
      <c r="BO4195" s="74"/>
      <c r="BP4195" s="77"/>
      <c r="BR4195" s="497">
        <v>53.06</v>
      </c>
      <c r="BT4195" s="42"/>
    </row>
    <row r="4196" spans="1:72" x14ac:dyDescent="0.25">
      <c r="A4196" s="90">
        <v>34509</v>
      </c>
      <c r="B4196" s="20">
        <v>8.3333333333333329E-2</v>
      </c>
      <c r="D4196">
        <v>68</v>
      </c>
      <c r="E4196" t="str">
        <f t="shared" si="166"/>
        <v>WEEKDAY</v>
      </c>
      <c r="F4196" t="e">
        <f t="shared" si="165"/>
        <v>#N/A</v>
      </c>
      <c r="G4196" s="74">
        <v>33048</v>
      </c>
      <c r="H4196" s="77">
        <v>8.3333333333333329E-2</v>
      </c>
      <c r="J4196">
        <v>73.94</v>
      </c>
      <c r="M4196" s="74">
        <v>37796</v>
      </c>
      <c r="N4196" s="77">
        <v>8.3333333333333329E-2</v>
      </c>
      <c r="P4196">
        <v>62.6</v>
      </c>
      <c r="S4196" s="74">
        <v>34509</v>
      </c>
      <c r="T4196" s="77">
        <v>8.3333333333333329E-2</v>
      </c>
      <c r="V4196">
        <v>71.960000000000008</v>
      </c>
      <c r="X4196" s="42"/>
      <c r="AB4196">
        <v>68.900000000000006</v>
      </c>
      <c r="AC4196">
        <v>71.960000000000008</v>
      </c>
      <c r="AE4196" s="74"/>
      <c r="AF4196" s="77"/>
      <c r="AH4196" s="497">
        <v>55.400000000000006</v>
      </c>
      <c r="AJ4196" s="42"/>
      <c r="AK4196" s="74"/>
      <c r="AL4196" s="77"/>
      <c r="AN4196" s="497">
        <v>62.96</v>
      </c>
      <c r="AP4196" s="42"/>
      <c r="AQ4196" s="74"/>
      <c r="AR4196" s="77"/>
      <c r="AT4196" s="497">
        <v>57.92</v>
      </c>
      <c r="AV4196" s="42"/>
      <c r="AW4196" s="74"/>
      <c r="AX4196" s="77"/>
      <c r="BA4196" s="497">
        <v>50.72</v>
      </c>
      <c r="BB4196" s="42"/>
      <c r="BC4196" s="74"/>
      <c r="BD4196" s="77"/>
      <c r="BF4196">
        <v>53.06</v>
      </c>
      <c r="BH4196" s="42"/>
      <c r="BI4196" s="74"/>
      <c r="BJ4196" s="77"/>
      <c r="BL4196" s="497">
        <v>48.92</v>
      </c>
      <c r="BN4196" s="42"/>
      <c r="BO4196" s="74"/>
      <c r="BP4196" s="77"/>
      <c r="BR4196" s="497">
        <v>51.980000000000004</v>
      </c>
      <c r="BT4196" s="42"/>
    </row>
    <row r="4197" spans="1:72" x14ac:dyDescent="0.25">
      <c r="A4197" s="90">
        <v>34509</v>
      </c>
      <c r="B4197" s="20">
        <v>0.125</v>
      </c>
      <c r="D4197">
        <v>66.92</v>
      </c>
      <c r="E4197" t="str">
        <f t="shared" si="166"/>
        <v>WEEKDAY</v>
      </c>
      <c r="F4197" t="e">
        <f t="shared" si="165"/>
        <v>#N/A</v>
      </c>
      <c r="G4197" s="74">
        <v>33048</v>
      </c>
      <c r="H4197" s="77">
        <v>0.125</v>
      </c>
      <c r="J4197">
        <v>73.039999999999992</v>
      </c>
      <c r="M4197" s="74">
        <v>37796</v>
      </c>
      <c r="N4197" s="77">
        <v>0.125</v>
      </c>
      <c r="P4197">
        <v>62.6</v>
      </c>
      <c r="S4197" s="74">
        <v>34509</v>
      </c>
      <c r="T4197" s="77">
        <v>0.125</v>
      </c>
      <c r="V4197">
        <v>71.960000000000008</v>
      </c>
      <c r="X4197" s="42"/>
      <c r="AB4197">
        <v>68.3</v>
      </c>
      <c r="AC4197">
        <v>71.960000000000008</v>
      </c>
      <c r="AE4197" s="74"/>
      <c r="AF4197" s="77"/>
      <c r="AH4197" s="497">
        <v>53.6</v>
      </c>
      <c r="AJ4197" s="42"/>
      <c r="AK4197" s="74"/>
      <c r="AL4197" s="77"/>
      <c r="AN4197" s="497">
        <v>62.96</v>
      </c>
      <c r="AP4197" s="42"/>
      <c r="AQ4197" s="74"/>
      <c r="AR4197" s="77"/>
      <c r="AT4197" s="497">
        <v>57.019999999999996</v>
      </c>
      <c r="AV4197" s="42"/>
      <c r="AW4197" s="74"/>
      <c r="AX4197" s="77"/>
      <c r="BA4197" s="497">
        <v>50.36</v>
      </c>
      <c r="BB4197" s="42"/>
      <c r="BC4197" s="74"/>
      <c r="BD4197" s="77"/>
      <c r="BF4197">
        <v>53.06</v>
      </c>
      <c r="BH4197" s="42"/>
      <c r="BI4197" s="74"/>
      <c r="BJ4197" s="77"/>
      <c r="BL4197" s="497">
        <v>48.92</v>
      </c>
      <c r="BN4197" s="42"/>
      <c r="BO4197" s="74"/>
      <c r="BP4197" s="77"/>
      <c r="BR4197" s="497">
        <v>51.980000000000004</v>
      </c>
      <c r="BT4197" s="42"/>
    </row>
    <row r="4198" spans="1:72" x14ac:dyDescent="0.25">
      <c r="A4198" s="90">
        <v>34509</v>
      </c>
      <c r="B4198" s="20">
        <v>0.16666666666666666</v>
      </c>
      <c r="D4198">
        <v>66.92</v>
      </c>
      <c r="E4198" t="str">
        <f t="shared" si="166"/>
        <v>WEEKDAY</v>
      </c>
      <c r="F4198" t="e">
        <f t="shared" si="165"/>
        <v>#N/A</v>
      </c>
      <c r="G4198" s="74">
        <v>33048</v>
      </c>
      <c r="H4198" s="77">
        <v>0.16666666666666666</v>
      </c>
      <c r="J4198">
        <v>73.039999999999992</v>
      </c>
      <c r="M4198" s="74">
        <v>37796</v>
      </c>
      <c r="N4198" s="77">
        <v>0.16666666666666666</v>
      </c>
      <c r="P4198">
        <v>62.6</v>
      </c>
      <c r="S4198" s="74">
        <v>34509</v>
      </c>
      <c r="T4198" s="77">
        <v>0.16666666666666666</v>
      </c>
      <c r="V4198">
        <v>71.960000000000008</v>
      </c>
      <c r="X4198" s="42"/>
      <c r="AB4198">
        <v>67.8</v>
      </c>
      <c r="AC4198">
        <v>71.960000000000008</v>
      </c>
      <c r="AE4198" s="74"/>
      <c r="AF4198" s="77"/>
      <c r="AH4198" s="497">
        <v>53.6</v>
      </c>
      <c r="AJ4198" s="42"/>
      <c r="AK4198" s="74"/>
      <c r="AL4198" s="77"/>
      <c r="AN4198" s="497">
        <v>62.06</v>
      </c>
      <c r="AP4198" s="42"/>
      <c r="AQ4198" s="74"/>
      <c r="AR4198" s="77"/>
      <c r="AT4198" s="497">
        <v>57.019999999999996</v>
      </c>
      <c r="AV4198" s="42"/>
      <c r="AW4198" s="74"/>
      <c r="AX4198" s="77"/>
      <c r="BA4198" s="497">
        <v>50</v>
      </c>
      <c r="BB4198" s="42"/>
      <c r="BC4198" s="74"/>
      <c r="BD4198" s="77"/>
      <c r="BF4198">
        <v>51.980000000000004</v>
      </c>
      <c r="BH4198" s="42"/>
      <c r="BI4198" s="74"/>
      <c r="BJ4198" s="77"/>
      <c r="BL4198" s="497">
        <v>48.92</v>
      </c>
      <c r="BN4198" s="42"/>
      <c r="BO4198" s="74"/>
      <c r="BP4198" s="77"/>
      <c r="BR4198" s="497">
        <v>51.980000000000004</v>
      </c>
      <c r="BT4198" s="42"/>
    </row>
    <row r="4199" spans="1:72" x14ac:dyDescent="0.25">
      <c r="A4199" s="90">
        <v>34509</v>
      </c>
      <c r="B4199" s="20">
        <v>0.20833333333333334</v>
      </c>
      <c r="D4199">
        <v>64.94</v>
      </c>
      <c r="E4199" t="str">
        <f t="shared" si="166"/>
        <v>WEEKDAY</v>
      </c>
      <c r="F4199" t="e">
        <f t="shared" si="165"/>
        <v>#N/A</v>
      </c>
      <c r="G4199" s="74">
        <v>33048</v>
      </c>
      <c r="H4199" s="77">
        <v>0.20833333333333334</v>
      </c>
      <c r="J4199">
        <v>73.039999999999992</v>
      </c>
      <c r="M4199" s="74">
        <v>37796</v>
      </c>
      <c r="N4199" s="77">
        <v>0.20833333333333334</v>
      </c>
      <c r="P4199">
        <v>62.6</v>
      </c>
      <c r="S4199" s="74">
        <v>34509</v>
      </c>
      <c r="T4199" s="77">
        <v>0.20833333333333334</v>
      </c>
      <c r="V4199">
        <v>71.06</v>
      </c>
      <c r="X4199" s="42"/>
      <c r="AB4199">
        <v>67.3</v>
      </c>
      <c r="AC4199">
        <v>71.06</v>
      </c>
      <c r="AE4199" s="74"/>
      <c r="AF4199" s="77"/>
      <c r="AH4199" s="497">
        <v>53.6</v>
      </c>
      <c r="AJ4199" s="42"/>
      <c r="AK4199" s="74"/>
      <c r="AL4199" s="77"/>
      <c r="AN4199" s="497">
        <v>60.08</v>
      </c>
      <c r="AP4199" s="42"/>
      <c r="AQ4199" s="74"/>
      <c r="AR4199" s="77"/>
      <c r="AT4199" s="497">
        <v>57.92</v>
      </c>
      <c r="AV4199" s="42"/>
      <c r="AW4199" s="74"/>
      <c r="AX4199" s="77"/>
      <c r="BA4199" s="497">
        <v>50.72</v>
      </c>
      <c r="BB4199" s="42"/>
      <c r="BC4199" s="74"/>
      <c r="BD4199" s="77"/>
      <c r="BF4199">
        <v>51.08</v>
      </c>
      <c r="BH4199" s="42"/>
      <c r="BI4199" s="74"/>
      <c r="BJ4199" s="77"/>
      <c r="BL4199" s="497">
        <v>48.92</v>
      </c>
      <c r="BN4199" s="42"/>
      <c r="BO4199" s="74"/>
      <c r="BP4199" s="77"/>
      <c r="BR4199" s="497">
        <v>55.040000000000006</v>
      </c>
      <c r="BT4199" s="42"/>
    </row>
    <row r="4200" spans="1:72" x14ac:dyDescent="0.25">
      <c r="A4200" s="90">
        <v>34509</v>
      </c>
      <c r="B4200" s="20">
        <v>0.25</v>
      </c>
      <c r="D4200">
        <v>66.02</v>
      </c>
      <c r="E4200" t="str">
        <f t="shared" si="166"/>
        <v>WEEKDAY</v>
      </c>
      <c r="F4200" t="e">
        <f t="shared" si="165"/>
        <v>#N/A</v>
      </c>
      <c r="G4200" s="74">
        <v>33048</v>
      </c>
      <c r="H4200" s="77">
        <v>0.25</v>
      </c>
      <c r="J4200">
        <v>73.039999999999992</v>
      </c>
      <c r="M4200" s="74">
        <v>37796</v>
      </c>
      <c r="N4200" s="77">
        <v>0.25</v>
      </c>
      <c r="P4200">
        <v>64.400000000000006</v>
      </c>
      <c r="S4200" s="74">
        <v>34509</v>
      </c>
      <c r="T4200" s="77">
        <v>0.25</v>
      </c>
      <c r="V4200">
        <v>71.960000000000008</v>
      </c>
      <c r="X4200" s="42"/>
      <c r="AB4200">
        <v>67.3</v>
      </c>
      <c r="AC4200">
        <v>71.06</v>
      </c>
      <c r="AE4200" s="74"/>
      <c r="AF4200" s="77"/>
      <c r="AH4200" s="497">
        <v>57.2</v>
      </c>
      <c r="AJ4200" s="42"/>
      <c r="AK4200" s="74"/>
      <c r="AL4200" s="77"/>
      <c r="AN4200" s="497">
        <v>60.08</v>
      </c>
      <c r="AP4200" s="42"/>
      <c r="AQ4200" s="74"/>
      <c r="AR4200" s="77"/>
      <c r="AT4200" s="497">
        <v>64.039999999999992</v>
      </c>
      <c r="AV4200" s="42"/>
      <c r="AW4200" s="74"/>
      <c r="AX4200" s="77"/>
      <c r="BA4200" s="497">
        <v>51.26</v>
      </c>
      <c r="BB4200" s="42"/>
      <c r="BC4200" s="74"/>
      <c r="BD4200" s="77"/>
      <c r="BF4200">
        <v>53.06</v>
      </c>
      <c r="BH4200" s="42"/>
      <c r="BI4200" s="74"/>
      <c r="BJ4200" s="77"/>
      <c r="BL4200" s="497">
        <v>50</v>
      </c>
      <c r="BN4200" s="42"/>
      <c r="BO4200" s="74"/>
      <c r="BP4200" s="77"/>
      <c r="BR4200" s="497">
        <v>55.94</v>
      </c>
      <c r="BT4200" s="42"/>
    </row>
    <row r="4201" spans="1:72" x14ac:dyDescent="0.25">
      <c r="A4201" s="90">
        <v>34509</v>
      </c>
      <c r="B4201" s="20">
        <v>0.29166666666666669</v>
      </c>
      <c r="D4201">
        <v>68</v>
      </c>
      <c r="E4201" t="str">
        <f t="shared" si="166"/>
        <v>WEEKDAY</v>
      </c>
      <c r="F4201" t="e">
        <f t="shared" si="165"/>
        <v>#N/A</v>
      </c>
      <c r="G4201" s="74">
        <v>33048</v>
      </c>
      <c r="H4201" s="77">
        <v>0.29166666666666669</v>
      </c>
      <c r="J4201">
        <v>73.039999999999992</v>
      </c>
      <c r="M4201" s="74">
        <v>37796</v>
      </c>
      <c r="N4201" s="77">
        <v>0.29166666666666669</v>
      </c>
      <c r="P4201">
        <v>69.800000000000011</v>
      </c>
      <c r="S4201" s="74">
        <v>34509</v>
      </c>
      <c r="T4201" s="77">
        <v>0.29166666666666669</v>
      </c>
      <c r="V4201">
        <v>73.039999999999992</v>
      </c>
      <c r="X4201" s="42"/>
      <c r="AB4201">
        <v>69</v>
      </c>
      <c r="AC4201">
        <v>71.960000000000008</v>
      </c>
      <c r="AE4201" s="74"/>
      <c r="AF4201" s="77"/>
      <c r="AH4201" s="497">
        <v>64.400000000000006</v>
      </c>
      <c r="AJ4201" s="42"/>
      <c r="AK4201" s="74"/>
      <c r="AL4201" s="77"/>
      <c r="AN4201" s="497">
        <v>60.08</v>
      </c>
      <c r="AP4201" s="42"/>
      <c r="AQ4201" s="74"/>
      <c r="AR4201" s="77"/>
      <c r="AT4201" s="497">
        <v>66.92</v>
      </c>
      <c r="AV4201" s="42"/>
      <c r="AW4201" s="74"/>
      <c r="AX4201" s="77"/>
      <c r="BA4201" s="497">
        <v>51.980000000000004</v>
      </c>
      <c r="BB4201" s="42"/>
      <c r="BC4201" s="74"/>
      <c r="BD4201" s="77"/>
      <c r="BF4201">
        <v>55.94</v>
      </c>
      <c r="BH4201" s="42"/>
      <c r="BI4201" s="74"/>
      <c r="BJ4201" s="77"/>
      <c r="BL4201" s="497">
        <v>51.08</v>
      </c>
      <c r="BN4201" s="42"/>
      <c r="BO4201" s="74"/>
      <c r="BP4201" s="77"/>
      <c r="BR4201" s="497">
        <v>57.92</v>
      </c>
      <c r="BT4201" s="42"/>
    </row>
    <row r="4202" spans="1:72" x14ac:dyDescent="0.25">
      <c r="A4202" s="90">
        <v>34509</v>
      </c>
      <c r="B4202" s="20">
        <v>0.33333333333333331</v>
      </c>
      <c r="D4202">
        <v>69.080000000000013</v>
      </c>
      <c r="E4202" t="str">
        <f t="shared" si="166"/>
        <v>WEEKDAY</v>
      </c>
      <c r="F4202" t="e">
        <f t="shared" si="165"/>
        <v>#N/A</v>
      </c>
      <c r="G4202" s="74">
        <v>33048</v>
      </c>
      <c r="H4202" s="77">
        <v>0.33333333333333331</v>
      </c>
      <c r="J4202">
        <v>73.94</v>
      </c>
      <c r="M4202" s="74">
        <v>37796</v>
      </c>
      <c r="N4202" s="77">
        <v>0.33333333333333331</v>
      </c>
      <c r="P4202">
        <v>73.400000000000006</v>
      </c>
      <c r="S4202" s="74">
        <v>34509</v>
      </c>
      <c r="T4202" s="77">
        <v>0.33333333333333331</v>
      </c>
      <c r="V4202">
        <v>75.02</v>
      </c>
      <c r="X4202" s="42"/>
      <c r="AB4202">
        <v>70.900000000000006</v>
      </c>
      <c r="AC4202">
        <v>73.039999999999992</v>
      </c>
      <c r="AE4202" s="74"/>
      <c r="AF4202" s="77"/>
      <c r="AH4202" s="497">
        <v>69.800000000000011</v>
      </c>
      <c r="AJ4202" s="42"/>
      <c r="AK4202" s="74"/>
      <c r="AL4202" s="77"/>
      <c r="AN4202" s="497">
        <v>60.08</v>
      </c>
      <c r="AP4202" s="42"/>
      <c r="AQ4202" s="74"/>
      <c r="AR4202" s="77"/>
      <c r="AT4202" s="497">
        <v>71.06</v>
      </c>
      <c r="AV4202" s="42"/>
      <c r="AW4202" s="74"/>
      <c r="AX4202" s="77"/>
      <c r="BA4202" s="497">
        <v>53.6</v>
      </c>
      <c r="BB4202" s="42"/>
      <c r="BC4202" s="74"/>
      <c r="BD4202" s="77"/>
      <c r="BF4202">
        <v>60.08</v>
      </c>
      <c r="BH4202" s="42"/>
      <c r="BI4202" s="74"/>
      <c r="BJ4202" s="77"/>
      <c r="BL4202" s="497">
        <v>55.040000000000006</v>
      </c>
      <c r="BN4202" s="42"/>
      <c r="BO4202" s="74"/>
      <c r="BP4202" s="77"/>
      <c r="BR4202" s="497">
        <v>64.039999999999992</v>
      </c>
      <c r="BT4202" s="42"/>
    </row>
    <row r="4203" spans="1:72" x14ac:dyDescent="0.25">
      <c r="A4203" s="90">
        <v>34509</v>
      </c>
      <c r="B4203" s="20">
        <v>0.375</v>
      </c>
      <c r="D4203">
        <v>73.039999999999992</v>
      </c>
      <c r="E4203" t="str">
        <f t="shared" si="166"/>
        <v>WEEKDAY</v>
      </c>
      <c r="F4203" t="e">
        <f t="shared" ref="F4203:F4266" si="167">IF(E4203="WEEKDAY",VLOOKUP(B4203,$DD$19:$DG$42,2),IF(E4203="SATURDAY",VLOOKUP(B4203,$DD$19:$DG$42,3),VLOOKUP(B4203,$DD$19:$DG$42,4)))</f>
        <v>#N/A</v>
      </c>
      <c r="G4203" s="74">
        <v>33048</v>
      </c>
      <c r="H4203" s="77">
        <v>0.375</v>
      </c>
      <c r="J4203">
        <v>75.92</v>
      </c>
      <c r="M4203" s="74">
        <v>37796</v>
      </c>
      <c r="N4203" s="77">
        <v>0.375</v>
      </c>
      <c r="P4203">
        <v>77</v>
      </c>
      <c r="S4203" s="74">
        <v>34509</v>
      </c>
      <c r="T4203" s="77">
        <v>0.375</v>
      </c>
      <c r="V4203">
        <v>75.92</v>
      </c>
      <c r="X4203" s="42"/>
      <c r="AB4203">
        <v>72.900000000000006</v>
      </c>
      <c r="AC4203">
        <v>73.94</v>
      </c>
      <c r="AE4203" s="74"/>
      <c r="AF4203" s="77"/>
      <c r="AH4203" s="497">
        <v>71.599999999999994</v>
      </c>
      <c r="AJ4203" s="42"/>
      <c r="AK4203" s="74"/>
      <c r="AL4203" s="77"/>
      <c r="AN4203" s="497">
        <v>60.980000000000004</v>
      </c>
      <c r="AP4203" s="42"/>
      <c r="AQ4203" s="74"/>
      <c r="AR4203" s="77"/>
      <c r="AT4203" s="497">
        <v>71.960000000000008</v>
      </c>
      <c r="AV4203" s="42"/>
      <c r="AW4203" s="74"/>
      <c r="AX4203" s="77"/>
      <c r="BA4203" s="497">
        <v>55.400000000000006</v>
      </c>
      <c r="BB4203" s="42"/>
      <c r="BC4203" s="74"/>
      <c r="BD4203" s="77"/>
      <c r="BF4203">
        <v>64.039999999999992</v>
      </c>
      <c r="BH4203" s="42"/>
      <c r="BI4203" s="74"/>
      <c r="BJ4203" s="77"/>
      <c r="BL4203" s="497">
        <v>57.92</v>
      </c>
      <c r="BN4203" s="42"/>
      <c r="BO4203" s="74"/>
      <c r="BP4203" s="77"/>
      <c r="BR4203" s="497">
        <v>69.080000000000013</v>
      </c>
      <c r="BT4203" s="42"/>
    </row>
    <row r="4204" spans="1:72" x14ac:dyDescent="0.25">
      <c r="A4204" s="90">
        <v>34509</v>
      </c>
      <c r="B4204" s="20">
        <v>0.41666666666666669</v>
      </c>
      <c r="D4204">
        <v>75.92</v>
      </c>
      <c r="E4204" t="str">
        <f t="shared" si="166"/>
        <v>WEEKDAY</v>
      </c>
      <c r="F4204" t="e">
        <f t="shared" si="167"/>
        <v>#N/A</v>
      </c>
      <c r="G4204" s="74">
        <v>33048</v>
      </c>
      <c r="H4204" s="77">
        <v>0.41666666666666669</v>
      </c>
      <c r="J4204">
        <v>77</v>
      </c>
      <c r="M4204" s="74">
        <v>37796</v>
      </c>
      <c r="N4204" s="77">
        <v>0.41666666666666669</v>
      </c>
      <c r="P4204">
        <v>80.599999999999994</v>
      </c>
      <c r="S4204" s="74">
        <v>34509</v>
      </c>
      <c r="T4204" s="77">
        <v>0.41666666666666669</v>
      </c>
      <c r="V4204">
        <v>78.98</v>
      </c>
      <c r="X4204" s="42"/>
      <c r="AB4204">
        <v>74.7</v>
      </c>
      <c r="AC4204">
        <v>75.02</v>
      </c>
      <c r="AE4204" s="74"/>
      <c r="AF4204" s="77"/>
      <c r="AH4204" s="497">
        <v>75.2</v>
      </c>
      <c r="AJ4204" s="42"/>
      <c r="AK4204" s="74"/>
      <c r="AL4204" s="77"/>
      <c r="AN4204" s="497">
        <v>60.980000000000004</v>
      </c>
      <c r="AP4204" s="42"/>
      <c r="AQ4204" s="74"/>
      <c r="AR4204" s="77"/>
      <c r="AT4204" s="497">
        <v>71.960000000000008</v>
      </c>
      <c r="AV4204" s="42"/>
      <c r="AW4204" s="74"/>
      <c r="AX4204" s="77"/>
      <c r="BA4204" s="497">
        <v>57.019999999999996</v>
      </c>
      <c r="BB4204" s="42"/>
      <c r="BC4204" s="74"/>
      <c r="BD4204" s="77"/>
      <c r="BF4204">
        <v>66.02</v>
      </c>
      <c r="BH4204" s="42"/>
      <c r="BI4204" s="74"/>
      <c r="BJ4204" s="77"/>
      <c r="BL4204" s="497">
        <v>60.08</v>
      </c>
      <c r="BN4204" s="42"/>
      <c r="BO4204" s="74"/>
      <c r="BP4204" s="77"/>
      <c r="BR4204" s="497">
        <v>69.080000000000013</v>
      </c>
      <c r="BT4204" s="42"/>
    </row>
    <row r="4205" spans="1:72" x14ac:dyDescent="0.25">
      <c r="A4205" s="90">
        <v>34509</v>
      </c>
      <c r="B4205" s="20">
        <v>0.45833333333333331</v>
      </c>
      <c r="D4205">
        <v>80.960000000000008</v>
      </c>
      <c r="E4205" t="str">
        <f t="shared" si="166"/>
        <v>WEEKDAY</v>
      </c>
      <c r="F4205" t="e">
        <f t="shared" si="167"/>
        <v>#N/A</v>
      </c>
      <c r="G4205" s="74">
        <v>33048</v>
      </c>
      <c r="H4205" s="77">
        <v>0.45833333333333331</v>
      </c>
      <c r="J4205">
        <v>78.98</v>
      </c>
      <c r="M4205" s="74">
        <v>37796</v>
      </c>
      <c r="N4205" s="77">
        <v>0.45833333333333331</v>
      </c>
      <c r="P4205">
        <v>82.4</v>
      </c>
      <c r="S4205" s="74">
        <v>34509</v>
      </c>
      <c r="T4205" s="77">
        <v>0.45833333333333331</v>
      </c>
      <c r="V4205">
        <v>80.06</v>
      </c>
      <c r="X4205" s="42"/>
      <c r="AB4205">
        <v>76.3</v>
      </c>
      <c r="AC4205">
        <v>78.080000000000013</v>
      </c>
      <c r="AE4205" s="74"/>
      <c r="AF4205" s="77"/>
      <c r="AH4205" s="497">
        <v>78.800000000000011</v>
      </c>
      <c r="AJ4205" s="42"/>
      <c r="AK4205" s="74"/>
      <c r="AL4205" s="77"/>
      <c r="AN4205" s="497">
        <v>62.06</v>
      </c>
      <c r="AP4205" s="42"/>
      <c r="AQ4205" s="74"/>
      <c r="AR4205" s="77"/>
      <c r="AT4205" s="497">
        <v>73.94</v>
      </c>
      <c r="AV4205" s="42"/>
      <c r="AW4205" s="74"/>
      <c r="AX4205" s="77"/>
      <c r="BA4205" s="497">
        <v>57.74</v>
      </c>
      <c r="BB4205" s="42"/>
      <c r="BC4205" s="74"/>
      <c r="BD4205" s="77"/>
      <c r="BF4205">
        <v>68</v>
      </c>
      <c r="BH4205" s="42"/>
      <c r="BI4205" s="74"/>
      <c r="BJ4205" s="77"/>
      <c r="BL4205" s="497">
        <v>60.08</v>
      </c>
      <c r="BN4205" s="42"/>
      <c r="BO4205" s="74"/>
      <c r="BP4205" s="77"/>
      <c r="BR4205" s="497">
        <v>71.06</v>
      </c>
      <c r="BT4205" s="42"/>
    </row>
    <row r="4206" spans="1:72" x14ac:dyDescent="0.25">
      <c r="A4206" s="90">
        <v>34509</v>
      </c>
      <c r="B4206" s="20">
        <v>0.5</v>
      </c>
      <c r="D4206">
        <v>80.960000000000008</v>
      </c>
      <c r="E4206" t="str">
        <f t="shared" si="166"/>
        <v>WEEKDAY</v>
      </c>
      <c r="F4206" t="e">
        <f t="shared" si="167"/>
        <v>#N/A</v>
      </c>
      <c r="G4206" s="74">
        <v>33048</v>
      </c>
      <c r="H4206" s="77">
        <v>0.5</v>
      </c>
      <c r="J4206">
        <v>78.080000000000013</v>
      </c>
      <c r="M4206" s="74">
        <v>37796</v>
      </c>
      <c r="N4206" s="77">
        <v>0.5</v>
      </c>
      <c r="P4206">
        <v>84.2</v>
      </c>
      <c r="S4206" s="74">
        <v>34509</v>
      </c>
      <c r="T4206" s="77">
        <v>0.5</v>
      </c>
      <c r="V4206">
        <v>80.06</v>
      </c>
      <c r="X4206" s="42"/>
      <c r="AB4206">
        <v>77.400000000000006</v>
      </c>
      <c r="AC4206">
        <v>77</v>
      </c>
      <c r="AE4206" s="74"/>
      <c r="AF4206" s="77"/>
      <c r="AH4206" s="497">
        <v>78.800000000000011</v>
      </c>
      <c r="AJ4206" s="42"/>
      <c r="AK4206" s="74"/>
      <c r="AL4206" s="77"/>
      <c r="AN4206" s="497">
        <v>62.96</v>
      </c>
      <c r="AP4206" s="42"/>
      <c r="AQ4206" s="74"/>
      <c r="AR4206" s="77"/>
      <c r="AT4206" s="497">
        <v>73.94</v>
      </c>
      <c r="AV4206" s="42"/>
      <c r="AW4206" s="74"/>
      <c r="AX4206" s="77"/>
      <c r="BA4206" s="497">
        <v>58.28</v>
      </c>
      <c r="BB4206" s="42"/>
      <c r="BC4206" s="74"/>
      <c r="BD4206" s="77"/>
      <c r="BF4206">
        <v>69.98</v>
      </c>
      <c r="BH4206" s="42"/>
      <c r="BI4206" s="74"/>
      <c r="BJ4206" s="77"/>
      <c r="BL4206" s="497">
        <v>62.06</v>
      </c>
      <c r="BN4206" s="42"/>
      <c r="BO4206" s="74"/>
      <c r="BP4206" s="77"/>
      <c r="BR4206" s="497">
        <v>69.98</v>
      </c>
      <c r="BT4206" s="42"/>
    </row>
    <row r="4207" spans="1:72" x14ac:dyDescent="0.25">
      <c r="A4207" s="90">
        <v>34509</v>
      </c>
      <c r="B4207" s="20">
        <v>0.54166666666666663</v>
      </c>
      <c r="D4207">
        <v>80.960000000000008</v>
      </c>
      <c r="E4207" t="str">
        <f t="shared" si="166"/>
        <v>WEEKDAY</v>
      </c>
      <c r="F4207" t="e">
        <f t="shared" si="167"/>
        <v>#N/A</v>
      </c>
      <c r="G4207" s="74">
        <v>33048</v>
      </c>
      <c r="H4207" s="77">
        <v>0.54166666666666663</v>
      </c>
      <c r="J4207">
        <v>77</v>
      </c>
      <c r="M4207" s="74">
        <v>37796</v>
      </c>
      <c r="N4207" s="77">
        <v>0.54166666666666663</v>
      </c>
      <c r="P4207">
        <v>87.800000000000011</v>
      </c>
      <c r="S4207" s="74">
        <v>34509</v>
      </c>
      <c r="T4207" s="77">
        <v>0.54166666666666663</v>
      </c>
      <c r="V4207">
        <v>82.039999999999992</v>
      </c>
      <c r="X4207" s="42"/>
      <c r="AB4207">
        <v>78.099999999999994</v>
      </c>
      <c r="AC4207">
        <v>78.080000000000013</v>
      </c>
      <c r="AE4207" s="74"/>
      <c r="AF4207" s="77"/>
      <c r="AH4207" s="497">
        <v>78.800000000000011</v>
      </c>
      <c r="AJ4207" s="42"/>
      <c r="AK4207" s="74"/>
      <c r="AL4207" s="77"/>
      <c r="AN4207" s="497">
        <v>62.96</v>
      </c>
      <c r="AP4207" s="42"/>
      <c r="AQ4207" s="74"/>
      <c r="AR4207" s="77"/>
      <c r="AT4207" s="497">
        <v>71.06</v>
      </c>
      <c r="AV4207" s="42"/>
      <c r="AW4207" s="74"/>
      <c r="AX4207" s="77"/>
      <c r="BA4207" s="497">
        <v>59</v>
      </c>
      <c r="BB4207" s="42"/>
      <c r="BC4207" s="74"/>
      <c r="BD4207" s="77"/>
      <c r="BF4207">
        <v>73.039999999999992</v>
      </c>
      <c r="BH4207" s="42"/>
      <c r="BI4207" s="74"/>
      <c r="BJ4207" s="77"/>
      <c r="BL4207" s="497">
        <v>62.96</v>
      </c>
      <c r="BN4207" s="42"/>
      <c r="BO4207" s="74"/>
      <c r="BP4207" s="77"/>
      <c r="BR4207" s="497">
        <v>69.98</v>
      </c>
      <c r="BT4207" s="42"/>
    </row>
    <row r="4208" spans="1:72" x14ac:dyDescent="0.25">
      <c r="A4208" s="90">
        <v>34509</v>
      </c>
      <c r="B4208" s="20">
        <v>0.58333333333333337</v>
      </c>
      <c r="D4208">
        <v>80.06</v>
      </c>
      <c r="E4208" t="str">
        <f t="shared" si="166"/>
        <v>WEEKDAY</v>
      </c>
      <c r="F4208" t="e">
        <f t="shared" si="167"/>
        <v>#N/A</v>
      </c>
      <c r="G4208" s="74">
        <v>33048</v>
      </c>
      <c r="H4208" s="77">
        <v>0.58333333333333337</v>
      </c>
      <c r="J4208">
        <v>78.080000000000013</v>
      </c>
      <c r="M4208" s="74">
        <v>37796</v>
      </c>
      <c r="N4208" s="77">
        <v>0.58333333333333337</v>
      </c>
      <c r="P4208">
        <v>89.6</v>
      </c>
      <c r="S4208" s="74">
        <v>34509</v>
      </c>
      <c r="T4208" s="77">
        <v>0.58333333333333337</v>
      </c>
      <c r="V4208">
        <v>80.06</v>
      </c>
      <c r="X4208" s="42"/>
      <c r="AB4208">
        <v>78.400000000000006</v>
      </c>
      <c r="AC4208">
        <v>75.92</v>
      </c>
      <c r="AE4208" s="74"/>
      <c r="AF4208" s="77"/>
      <c r="AH4208" s="497">
        <v>82.4</v>
      </c>
      <c r="AJ4208" s="42"/>
      <c r="AK4208" s="74"/>
      <c r="AL4208" s="77"/>
      <c r="AN4208" s="497">
        <v>64.039999999999992</v>
      </c>
      <c r="AP4208" s="42"/>
      <c r="AQ4208" s="74"/>
      <c r="AR4208" s="77"/>
      <c r="AT4208" s="497">
        <v>69.98</v>
      </c>
      <c r="AV4208" s="42"/>
      <c r="AW4208" s="74"/>
      <c r="AX4208" s="77"/>
      <c r="BA4208" s="497">
        <v>60.26</v>
      </c>
      <c r="BB4208" s="42"/>
      <c r="BC4208" s="74"/>
      <c r="BD4208" s="77"/>
      <c r="BF4208">
        <v>73.039999999999992</v>
      </c>
      <c r="BH4208" s="42"/>
      <c r="BI4208" s="74"/>
      <c r="BJ4208" s="77"/>
      <c r="BL4208" s="497">
        <v>64.94</v>
      </c>
      <c r="BN4208" s="42"/>
      <c r="BO4208" s="74"/>
      <c r="BP4208" s="77"/>
      <c r="BR4208" s="497">
        <v>69.98</v>
      </c>
      <c r="BT4208" s="42"/>
    </row>
    <row r="4209" spans="1:72" x14ac:dyDescent="0.25">
      <c r="A4209" s="90">
        <v>34509</v>
      </c>
      <c r="B4209" s="20">
        <v>0.625</v>
      </c>
      <c r="D4209">
        <v>80.960000000000008</v>
      </c>
      <c r="E4209" t="str">
        <f t="shared" si="166"/>
        <v>WEEKDAY</v>
      </c>
      <c r="F4209" t="e">
        <f t="shared" si="167"/>
        <v>#N/A</v>
      </c>
      <c r="G4209" s="74">
        <v>33048</v>
      </c>
      <c r="H4209" s="77">
        <v>0.625</v>
      </c>
      <c r="J4209">
        <v>80.06</v>
      </c>
      <c r="M4209" s="74">
        <v>37796</v>
      </c>
      <c r="N4209" s="77">
        <v>0.625</v>
      </c>
      <c r="P4209">
        <v>89.6</v>
      </c>
      <c r="S4209" s="74">
        <v>34509</v>
      </c>
      <c r="T4209" s="77">
        <v>0.625</v>
      </c>
      <c r="V4209">
        <v>78.98</v>
      </c>
      <c r="X4209" s="42"/>
      <c r="AB4209">
        <v>78.5</v>
      </c>
      <c r="AC4209">
        <v>77</v>
      </c>
      <c r="AE4209" s="74"/>
      <c r="AF4209" s="77"/>
      <c r="AH4209" s="497">
        <v>84.2</v>
      </c>
      <c r="AJ4209" s="42"/>
      <c r="AK4209" s="74"/>
      <c r="AL4209" s="77"/>
      <c r="AN4209" s="497">
        <v>64.94</v>
      </c>
      <c r="AP4209" s="42"/>
      <c r="AQ4209" s="74"/>
      <c r="AR4209" s="77"/>
      <c r="AT4209" s="497">
        <v>73.039999999999992</v>
      </c>
      <c r="AV4209" s="42"/>
      <c r="AW4209" s="74"/>
      <c r="AX4209" s="77"/>
      <c r="BA4209" s="497">
        <v>61.7</v>
      </c>
      <c r="BB4209" s="42"/>
      <c r="BC4209" s="74"/>
      <c r="BD4209" s="77"/>
      <c r="BF4209">
        <v>75.02</v>
      </c>
      <c r="BH4209" s="42"/>
      <c r="BI4209" s="74"/>
      <c r="BJ4209" s="77"/>
      <c r="BL4209" s="497">
        <v>64.94</v>
      </c>
      <c r="BN4209" s="42"/>
      <c r="BO4209" s="74"/>
      <c r="BP4209" s="77"/>
      <c r="BR4209" s="497">
        <v>69.98</v>
      </c>
      <c r="BT4209" s="42"/>
    </row>
    <row r="4210" spans="1:72" x14ac:dyDescent="0.25">
      <c r="A4210" s="90">
        <v>34509</v>
      </c>
      <c r="B4210" s="20">
        <v>0.66666666666666663</v>
      </c>
      <c r="D4210">
        <v>78.98</v>
      </c>
      <c r="E4210" t="str">
        <f t="shared" si="166"/>
        <v>WEEKDAY</v>
      </c>
      <c r="F4210" t="e">
        <f t="shared" si="167"/>
        <v>#N/A</v>
      </c>
      <c r="G4210" s="74">
        <v>33048</v>
      </c>
      <c r="H4210" s="77">
        <v>0.66666666666666663</v>
      </c>
      <c r="J4210">
        <v>78.98</v>
      </c>
      <c r="M4210" s="74">
        <v>37796</v>
      </c>
      <c r="N4210" s="77">
        <v>0.66666666666666663</v>
      </c>
      <c r="P4210">
        <v>89.6</v>
      </c>
      <c r="S4210" s="74">
        <v>34509</v>
      </c>
      <c r="T4210" s="77">
        <v>0.66666666666666663</v>
      </c>
      <c r="V4210">
        <v>77</v>
      </c>
      <c r="X4210" s="42"/>
      <c r="AB4210">
        <v>77.900000000000006</v>
      </c>
      <c r="AC4210">
        <v>75.92</v>
      </c>
      <c r="AE4210" s="74"/>
      <c r="AF4210" s="77"/>
      <c r="AH4210" s="497">
        <v>84.2</v>
      </c>
      <c r="AJ4210" s="42"/>
      <c r="AK4210" s="74"/>
      <c r="AL4210" s="77"/>
      <c r="AN4210" s="497">
        <v>64.94</v>
      </c>
      <c r="AP4210" s="42"/>
      <c r="AQ4210" s="74"/>
      <c r="AR4210" s="77"/>
      <c r="AT4210" s="497">
        <v>71.06</v>
      </c>
      <c r="AV4210" s="42"/>
      <c r="AW4210" s="74"/>
      <c r="AX4210" s="77"/>
      <c r="BA4210" s="497">
        <v>62.96</v>
      </c>
      <c r="BB4210" s="42"/>
      <c r="BC4210" s="74"/>
      <c r="BD4210" s="77"/>
      <c r="BF4210">
        <v>73.039999999999992</v>
      </c>
      <c r="BH4210" s="42"/>
      <c r="BI4210" s="74"/>
      <c r="BJ4210" s="77"/>
      <c r="BL4210" s="497">
        <v>64.039999999999992</v>
      </c>
      <c r="BN4210" s="42"/>
      <c r="BO4210" s="74"/>
      <c r="BP4210" s="77"/>
      <c r="BR4210" s="497">
        <v>68</v>
      </c>
      <c r="BT4210" s="42"/>
    </row>
    <row r="4211" spans="1:72" x14ac:dyDescent="0.25">
      <c r="A4211" s="90">
        <v>34509</v>
      </c>
      <c r="B4211" s="20">
        <v>0.70833333333333337</v>
      </c>
      <c r="D4211">
        <v>78.080000000000013</v>
      </c>
      <c r="E4211" t="str">
        <f t="shared" si="166"/>
        <v>WEEKDAY</v>
      </c>
      <c r="F4211" t="e">
        <f t="shared" si="167"/>
        <v>#N/A</v>
      </c>
      <c r="G4211" s="74">
        <v>33048</v>
      </c>
      <c r="H4211" s="77">
        <v>0.70833333333333337</v>
      </c>
      <c r="J4211">
        <v>78.080000000000013</v>
      </c>
      <c r="M4211" s="74">
        <v>37796</v>
      </c>
      <c r="N4211" s="77">
        <v>0.70833333333333337</v>
      </c>
      <c r="P4211">
        <v>89.6</v>
      </c>
      <c r="S4211" s="74">
        <v>34509</v>
      </c>
      <c r="T4211" s="77">
        <v>0.70833333333333337</v>
      </c>
      <c r="V4211">
        <v>73.94</v>
      </c>
      <c r="X4211" s="42"/>
      <c r="AB4211">
        <v>77</v>
      </c>
      <c r="AC4211">
        <v>73.94</v>
      </c>
      <c r="AE4211" s="74"/>
      <c r="AF4211" s="77"/>
      <c r="AH4211" s="497">
        <v>80.599999999999994</v>
      </c>
      <c r="AJ4211" s="42"/>
      <c r="AK4211" s="74"/>
      <c r="AL4211" s="77"/>
      <c r="AN4211" s="497">
        <v>66.02</v>
      </c>
      <c r="AP4211" s="42"/>
      <c r="AQ4211" s="74"/>
      <c r="AR4211" s="77"/>
      <c r="AT4211" s="497">
        <v>69.080000000000013</v>
      </c>
      <c r="AV4211" s="42"/>
      <c r="AW4211" s="74"/>
      <c r="AX4211" s="77"/>
      <c r="BA4211" s="497">
        <v>62.06</v>
      </c>
      <c r="BB4211" s="42"/>
      <c r="BC4211" s="74"/>
      <c r="BD4211" s="77"/>
      <c r="BF4211">
        <v>73.94</v>
      </c>
      <c r="BH4211" s="42"/>
      <c r="BI4211" s="74"/>
      <c r="BJ4211" s="77"/>
      <c r="BL4211" s="497">
        <v>64.94</v>
      </c>
      <c r="BN4211" s="42"/>
      <c r="BO4211" s="74"/>
      <c r="BP4211" s="77"/>
      <c r="BR4211" s="497">
        <v>68</v>
      </c>
      <c r="BT4211" s="42"/>
    </row>
    <row r="4212" spans="1:72" x14ac:dyDescent="0.25">
      <c r="A4212" s="90">
        <v>34509</v>
      </c>
      <c r="B4212" s="20">
        <v>0.75</v>
      </c>
      <c r="D4212">
        <v>77</v>
      </c>
      <c r="E4212" t="str">
        <f t="shared" si="166"/>
        <v>WEEKDAY</v>
      </c>
      <c r="F4212" t="e">
        <f t="shared" si="167"/>
        <v>#N/A</v>
      </c>
      <c r="G4212" s="74">
        <v>33048</v>
      </c>
      <c r="H4212" s="77">
        <v>0.75</v>
      </c>
      <c r="J4212">
        <v>78.080000000000013</v>
      </c>
      <c r="M4212" s="74">
        <v>37796</v>
      </c>
      <c r="N4212" s="77">
        <v>0.75</v>
      </c>
      <c r="P4212">
        <v>84.2</v>
      </c>
      <c r="S4212" s="74">
        <v>34509</v>
      </c>
      <c r="T4212" s="77">
        <v>0.75</v>
      </c>
      <c r="V4212">
        <v>73.039999999999992</v>
      </c>
      <c r="X4212" s="42"/>
      <c r="AB4212">
        <v>75.8</v>
      </c>
      <c r="AC4212">
        <v>71.960000000000008</v>
      </c>
      <c r="AE4212" s="74"/>
      <c r="AF4212" s="77"/>
      <c r="AH4212" s="497">
        <v>80.599999999999994</v>
      </c>
      <c r="AJ4212" s="42"/>
      <c r="AK4212" s="74"/>
      <c r="AL4212" s="77"/>
      <c r="AN4212" s="497">
        <v>66.02</v>
      </c>
      <c r="AP4212" s="42"/>
      <c r="AQ4212" s="74"/>
      <c r="AR4212" s="77"/>
      <c r="AT4212" s="497">
        <v>66.92</v>
      </c>
      <c r="AV4212" s="42"/>
      <c r="AW4212" s="74"/>
      <c r="AX4212" s="77"/>
      <c r="BA4212" s="497">
        <v>60.980000000000004</v>
      </c>
      <c r="BB4212" s="42"/>
      <c r="BC4212" s="74"/>
      <c r="BD4212" s="77"/>
      <c r="BF4212">
        <v>73.94</v>
      </c>
      <c r="BH4212" s="42"/>
      <c r="BI4212" s="74"/>
      <c r="BJ4212" s="77"/>
      <c r="BL4212" s="497">
        <v>66.02</v>
      </c>
      <c r="BN4212" s="42"/>
      <c r="BO4212" s="74"/>
      <c r="BP4212" s="77"/>
      <c r="BR4212" s="497">
        <v>66.92</v>
      </c>
      <c r="BT4212" s="42"/>
    </row>
    <row r="4213" spans="1:72" x14ac:dyDescent="0.25">
      <c r="A4213" s="90">
        <v>34509</v>
      </c>
      <c r="B4213" s="20">
        <v>0.79166666666666663</v>
      </c>
      <c r="D4213">
        <v>75.02</v>
      </c>
      <c r="E4213" t="str">
        <f t="shared" si="166"/>
        <v>WEEKDAY</v>
      </c>
      <c r="F4213" t="e">
        <f t="shared" si="167"/>
        <v>#N/A</v>
      </c>
      <c r="G4213" s="74">
        <v>33048</v>
      </c>
      <c r="H4213" s="77">
        <v>0.79166666666666663</v>
      </c>
      <c r="J4213">
        <v>77</v>
      </c>
      <c r="M4213" s="74">
        <v>37796</v>
      </c>
      <c r="N4213" s="77">
        <v>0.79166666666666663</v>
      </c>
      <c r="P4213">
        <v>80.599999999999994</v>
      </c>
      <c r="S4213" s="74">
        <v>34509</v>
      </c>
      <c r="T4213" s="77">
        <v>0.79166666666666663</v>
      </c>
      <c r="V4213">
        <v>71.960000000000008</v>
      </c>
      <c r="X4213" s="42"/>
      <c r="AB4213">
        <v>74.5</v>
      </c>
      <c r="AC4213">
        <v>71.06</v>
      </c>
      <c r="AE4213" s="74"/>
      <c r="AF4213" s="77"/>
      <c r="AH4213" s="497">
        <v>78.800000000000011</v>
      </c>
      <c r="AJ4213" s="42"/>
      <c r="AK4213" s="74"/>
      <c r="AL4213" s="77"/>
      <c r="AN4213" s="497">
        <v>64.94</v>
      </c>
      <c r="AP4213" s="42"/>
      <c r="AQ4213" s="74"/>
      <c r="AR4213" s="77"/>
      <c r="AT4213" s="497">
        <v>64.94</v>
      </c>
      <c r="AV4213" s="42"/>
      <c r="AW4213" s="74"/>
      <c r="AX4213" s="77"/>
      <c r="BA4213" s="497">
        <v>60.08</v>
      </c>
      <c r="BB4213" s="42"/>
      <c r="BC4213" s="74"/>
      <c r="BD4213" s="77"/>
      <c r="BF4213">
        <v>71.960000000000008</v>
      </c>
      <c r="BH4213" s="42"/>
      <c r="BI4213" s="74"/>
      <c r="BJ4213" s="77"/>
      <c r="BL4213" s="497">
        <v>64.039999999999992</v>
      </c>
      <c r="BN4213" s="42"/>
      <c r="BO4213" s="74"/>
      <c r="BP4213" s="77"/>
      <c r="BR4213" s="497">
        <v>64.94</v>
      </c>
      <c r="BT4213" s="42"/>
    </row>
    <row r="4214" spans="1:72" x14ac:dyDescent="0.25">
      <c r="A4214" s="90">
        <v>34509</v>
      </c>
      <c r="B4214" s="20">
        <v>0.83333333333333337</v>
      </c>
      <c r="D4214">
        <v>73.039999999999992</v>
      </c>
      <c r="E4214" t="str">
        <f t="shared" si="166"/>
        <v>WEEKDAY</v>
      </c>
      <c r="F4214" t="e">
        <f t="shared" si="167"/>
        <v>#N/A</v>
      </c>
      <c r="G4214" s="74">
        <v>33048</v>
      </c>
      <c r="H4214" s="77">
        <v>0.83333333333333337</v>
      </c>
      <c r="J4214">
        <v>75.92</v>
      </c>
      <c r="M4214" s="74">
        <v>37796</v>
      </c>
      <c r="N4214" s="77">
        <v>0.83333333333333337</v>
      </c>
      <c r="P4214">
        <v>77</v>
      </c>
      <c r="S4214" s="74">
        <v>34509</v>
      </c>
      <c r="T4214" s="77">
        <v>0.83333333333333337</v>
      </c>
      <c r="V4214">
        <v>71.960000000000008</v>
      </c>
      <c r="X4214" s="42"/>
      <c r="AB4214">
        <v>73.099999999999994</v>
      </c>
      <c r="AC4214">
        <v>69.98</v>
      </c>
      <c r="AE4214" s="74"/>
      <c r="AF4214" s="77"/>
      <c r="AH4214" s="497">
        <v>75.2</v>
      </c>
      <c r="AJ4214" s="42"/>
      <c r="AK4214" s="74"/>
      <c r="AL4214" s="77"/>
      <c r="AN4214" s="497">
        <v>62.96</v>
      </c>
      <c r="AP4214" s="42"/>
      <c r="AQ4214" s="74"/>
      <c r="AR4214" s="77"/>
      <c r="AT4214" s="497">
        <v>62.96</v>
      </c>
      <c r="AV4214" s="42"/>
      <c r="AW4214" s="74"/>
      <c r="AX4214" s="77"/>
      <c r="BA4214" s="497">
        <v>56.66</v>
      </c>
      <c r="BB4214" s="42"/>
      <c r="BC4214" s="74"/>
      <c r="BD4214" s="77"/>
      <c r="BF4214">
        <v>68</v>
      </c>
      <c r="BH4214" s="42"/>
      <c r="BI4214" s="74"/>
      <c r="BJ4214" s="77"/>
      <c r="BL4214" s="497">
        <v>59</v>
      </c>
      <c r="BN4214" s="42"/>
      <c r="BO4214" s="74"/>
      <c r="BP4214" s="77"/>
      <c r="BR4214" s="497">
        <v>62.06</v>
      </c>
      <c r="BT4214" s="42"/>
    </row>
    <row r="4215" spans="1:72" x14ac:dyDescent="0.25">
      <c r="A4215" s="90">
        <v>34509</v>
      </c>
      <c r="B4215" s="20">
        <v>0.875</v>
      </c>
      <c r="D4215">
        <v>73.039999999999992</v>
      </c>
      <c r="E4215" t="str">
        <f t="shared" si="166"/>
        <v>WEEKDAY</v>
      </c>
      <c r="F4215" t="e">
        <f t="shared" si="167"/>
        <v>#N/A</v>
      </c>
      <c r="G4215" s="74">
        <v>33048</v>
      </c>
      <c r="H4215" s="77">
        <v>0.875</v>
      </c>
      <c r="J4215">
        <v>75.02</v>
      </c>
      <c r="M4215" s="74">
        <v>37796</v>
      </c>
      <c r="N4215" s="77">
        <v>0.875</v>
      </c>
      <c r="P4215">
        <v>73.400000000000006</v>
      </c>
      <c r="S4215" s="74">
        <v>34509</v>
      </c>
      <c r="T4215" s="77">
        <v>0.875</v>
      </c>
      <c r="V4215">
        <v>71.06</v>
      </c>
      <c r="X4215" s="42"/>
      <c r="AB4215">
        <v>72</v>
      </c>
      <c r="AC4215">
        <v>68</v>
      </c>
      <c r="AE4215" s="74"/>
      <c r="AF4215" s="77"/>
      <c r="AH4215" s="497">
        <v>73.400000000000006</v>
      </c>
      <c r="AJ4215" s="42"/>
      <c r="AK4215" s="74"/>
      <c r="AL4215" s="77"/>
      <c r="AN4215" s="497">
        <v>62.96</v>
      </c>
      <c r="AP4215" s="42"/>
      <c r="AQ4215" s="74"/>
      <c r="AR4215" s="77"/>
      <c r="AT4215" s="497">
        <v>60.980000000000004</v>
      </c>
      <c r="AV4215" s="42"/>
      <c r="AW4215" s="74"/>
      <c r="AX4215" s="77"/>
      <c r="BA4215" s="497">
        <v>53.42</v>
      </c>
      <c r="BB4215" s="42"/>
      <c r="BC4215" s="74"/>
      <c r="BD4215" s="77"/>
      <c r="BF4215">
        <v>62.06</v>
      </c>
      <c r="BH4215" s="42"/>
      <c r="BI4215" s="74"/>
      <c r="BJ4215" s="77"/>
      <c r="BL4215" s="497">
        <v>55.040000000000006</v>
      </c>
      <c r="BN4215" s="42"/>
      <c r="BO4215" s="74"/>
      <c r="BP4215" s="77"/>
      <c r="BR4215" s="497">
        <v>60.980000000000004</v>
      </c>
      <c r="BT4215" s="42"/>
    </row>
    <row r="4216" spans="1:72" x14ac:dyDescent="0.25">
      <c r="A4216" s="90">
        <v>34509</v>
      </c>
      <c r="B4216" s="20">
        <v>0.91666666666666663</v>
      </c>
      <c r="D4216">
        <v>71.06</v>
      </c>
      <c r="E4216" t="str">
        <f t="shared" si="166"/>
        <v>WEEKDAY</v>
      </c>
      <c r="F4216" t="e">
        <f t="shared" si="167"/>
        <v>#N/A</v>
      </c>
      <c r="G4216" s="74">
        <v>33048</v>
      </c>
      <c r="H4216" s="77">
        <v>0.91666666666666663</v>
      </c>
      <c r="J4216">
        <v>73.94</v>
      </c>
      <c r="M4216" s="74">
        <v>37796</v>
      </c>
      <c r="N4216" s="77">
        <v>0.91666666666666663</v>
      </c>
      <c r="P4216">
        <v>71.599999999999994</v>
      </c>
      <c r="S4216" s="74">
        <v>34509</v>
      </c>
      <c r="T4216" s="77">
        <v>0.91666666666666663</v>
      </c>
      <c r="V4216">
        <v>71.06</v>
      </c>
      <c r="X4216" s="42"/>
      <c r="AB4216">
        <v>71.3</v>
      </c>
      <c r="AC4216">
        <v>66.92</v>
      </c>
      <c r="AE4216" s="74"/>
      <c r="AF4216" s="77"/>
      <c r="AH4216" s="497">
        <v>71.599999999999994</v>
      </c>
      <c r="AJ4216" s="42"/>
      <c r="AK4216" s="74"/>
      <c r="AL4216" s="77"/>
      <c r="AN4216" s="497">
        <v>64.039999999999992</v>
      </c>
      <c r="AP4216" s="42"/>
      <c r="AQ4216" s="74"/>
      <c r="AR4216" s="77"/>
      <c r="AT4216" s="497">
        <v>57.92</v>
      </c>
      <c r="AV4216" s="42"/>
      <c r="AW4216" s="74"/>
      <c r="AX4216" s="77"/>
      <c r="BA4216" s="497">
        <v>50</v>
      </c>
      <c r="BB4216" s="42"/>
      <c r="BC4216" s="74"/>
      <c r="BD4216" s="77"/>
      <c r="BF4216">
        <v>60.08</v>
      </c>
      <c r="BH4216" s="42"/>
      <c r="BI4216" s="74"/>
      <c r="BJ4216" s="77"/>
      <c r="BL4216" s="497">
        <v>53.06</v>
      </c>
      <c r="BN4216" s="42"/>
      <c r="BO4216" s="74"/>
      <c r="BP4216" s="77"/>
      <c r="BR4216" s="497">
        <v>60.980000000000004</v>
      </c>
      <c r="BT4216" s="42"/>
    </row>
    <row r="4217" spans="1:72" x14ac:dyDescent="0.25">
      <c r="A4217" s="90">
        <v>34509</v>
      </c>
      <c r="B4217" s="20">
        <v>0.95833333333333337</v>
      </c>
      <c r="D4217">
        <v>69.98</v>
      </c>
      <c r="E4217" t="str">
        <f t="shared" si="166"/>
        <v>WEEKDAY</v>
      </c>
      <c r="F4217" t="e">
        <f t="shared" si="167"/>
        <v>#N/A</v>
      </c>
      <c r="G4217" s="74">
        <v>33048</v>
      </c>
      <c r="H4217" s="77">
        <v>0.95833333333333337</v>
      </c>
      <c r="J4217">
        <v>73.039999999999992</v>
      </c>
      <c r="M4217" s="74">
        <v>37796</v>
      </c>
      <c r="N4217" s="77">
        <v>0.95833333333333337</v>
      </c>
      <c r="P4217">
        <v>71.599999999999994</v>
      </c>
      <c r="S4217" s="74">
        <v>34509</v>
      </c>
      <c r="T4217" s="77">
        <v>0.95833333333333337</v>
      </c>
      <c r="V4217">
        <v>69.98</v>
      </c>
      <c r="X4217" s="42"/>
      <c r="AB4217">
        <v>70.7</v>
      </c>
      <c r="AC4217">
        <v>68</v>
      </c>
      <c r="AE4217" s="74"/>
      <c r="AF4217" s="77"/>
      <c r="AH4217" s="497">
        <v>71.599999999999994</v>
      </c>
      <c r="AJ4217" s="42"/>
      <c r="AK4217" s="74"/>
      <c r="AL4217" s="77"/>
      <c r="AN4217" s="497">
        <v>64.039999999999992</v>
      </c>
      <c r="AP4217" s="42"/>
      <c r="AQ4217" s="74"/>
      <c r="AR4217" s="77"/>
      <c r="AT4217" s="497">
        <v>55.040000000000006</v>
      </c>
      <c r="AV4217" s="42"/>
      <c r="AW4217" s="74"/>
      <c r="AX4217" s="77"/>
      <c r="BA4217" s="497">
        <v>48.379999999999995</v>
      </c>
      <c r="BB4217" s="42"/>
      <c r="BC4217" s="74"/>
      <c r="BD4217" s="77"/>
      <c r="BF4217">
        <v>62.06</v>
      </c>
      <c r="BH4217" s="42"/>
      <c r="BI4217" s="74"/>
      <c r="BJ4217" s="77"/>
      <c r="BL4217" s="497">
        <v>53.06</v>
      </c>
      <c r="BN4217" s="42"/>
      <c r="BO4217" s="74"/>
      <c r="BP4217" s="77"/>
      <c r="BR4217" s="497">
        <v>57.019999999999996</v>
      </c>
      <c r="BT4217" s="42"/>
    </row>
    <row r="4218" spans="1:72" x14ac:dyDescent="0.25">
      <c r="A4218" s="90">
        <v>34509</v>
      </c>
      <c r="B4218" s="20">
        <v>1</v>
      </c>
      <c r="D4218">
        <v>69.080000000000013</v>
      </c>
      <c r="E4218" t="str">
        <f t="shared" si="166"/>
        <v>WEEKDAY</v>
      </c>
      <c r="F4218" t="e">
        <f t="shared" si="167"/>
        <v>#N/A</v>
      </c>
      <c r="G4218" s="74">
        <v>33048</v>
      </c>
      <c r="H4218" s="77">
        <v>1</v>
      </c>
      <c r="J4218">
        <v>71.960000000000008</v>
      </c>
      <c r="M4218" s="74">
        <v>37796</v>
      </c>
      <c r="N4218" s="80">
        <v>1</v>
      </c>
      <c r="P4218">
        <v>71.599999999999994</v>
      </c>
      <c r="S4218" s="74">
        <v>34509</v>
      </c>
      <c r="T4218" s="80">
        <v>1</v>
      </c>
      <c r="V4218">
        <v>71.06</v>
      </c>
      <c r="X4218" s="42"/>
      <c r="AB4218">
        <v>70.2</v>
      </c>
      <c r="AC4218">
        <v>68</v>
      </c>
      <c r="AE4218" s="74"/>
      <c r="AF4218" s="80"/>
      <c r="AH4218" s="497">
        <v>71.599999999999994</v>
      </c>
      <c r="AJ4218" s="42"/>
      <c r="AK4218" s="74"/>
      <c r="AL4218" s="80"/>
      <c r="AN4218" s="497">
        <v>64.039999999999992</v>
      </c>
      <c r="AP4218" s="42"/>
      <c r="AQ4218" s="74"/>
      <c r="AR4218" s="80"/>
      <c r="AT4218" s="497">
        <v>55.040000000000006</v>
      </c>
      <c r="AV4218" s="42"/>
      <c r="AW4218" s="74"/>
      <c r="AX4218" s="80"/>
      <c r="BA4218" s="497">
        <v>46.58</v>
      </c>
      <c r="BB4218" s="42"/>
      <c r="BC4218" s="74"/>
      <c r="BD4218" s="80"/>
      <c r="BF4218">
        <v>60.08</v>
      </c>
      <c r="BH4218" s="42"/>
      <c r="BI4218" s="74"/>
      <c r="BJ4218" s="80"/>
      <c r="BL4218" s="497">
        <v>51.08</v>
      </c>
      <c r="BN4218" s="42"/>
      <c r="BO4218" s="74"/>
      <c r="BP4218" s="80"/>
      <c r="BR4218" s="497">
        <v>57.92</v>
      </c>
      <c r="BT4218" s="42"/>
    </row>
    <row r="4219" spans="1:72" x14ac:dyDescent="0.25">
      <c r="A4219" s="90">
        <v>34510</v>
      </c>
      <c r="B4219" s="20">
        <v>4.1666666666666664E-2</v>
      </c>
      <c r="D4219">
        <v>69.080000000000013</v>
      </c>
      <c r="E4219" t="str">
        <f t="shared" si="166"/>
        <v>SATURDAY</v>
      </c>
      <c r="F4219" t="e">
        <f t="shared" si="167"/>
        <v>#N/A</v>
      </c>
      <c r="G4219" s="74">
        <v>33049</v>
      </c>
      <c r="H4219" s="77">
        <v>4.1666666666666664E-2</v>
      </c>
      <c r="J4219">
        <v>69.98</v>
      </c>
      <c r="M4219" s="74">
        <v>37797</v>
      </c>
      <c r="N4219" s="77">
        <v>4.1666666666666664E-2</v>
      </c>
      <c r="P4219">
        <v>71.599999999999994</v>
      </c>
      <c r="S4219" s="74">
        <v>34510</v>
      </c>
      <c r="T4219" s="77">
        <v>4.1666666666666664E-2</v>
      </c>
      <c r="V4219">
        <v>71.06</v>
      </c>
      <c r="X4219" s="42"/>
      <c r="AB4219">
        <v>69.7</v>
      </c>
      <c r="AC4219">
        <v>68</v>
      </c>
      <c r="AE4219" s="74"/>
      <c r="AF4219" s="77"/>
      <c r="AH4219" s="497">
        <v>71.599999999999994</v>
      </c>
      <c r="AJ4219" s="42"/>
      <c r="AK4219" s="74"/>
      <c r="AL4219" s="77"/>
      <c r="AN4219" s="497">
        <v>64.039999999999992</v>
      </c>
      <c r="AP4219" s="42"/>
      <c r="AQ4219" s="74"/>
      <c r="AR4219" s="77"/>
      <c r="AT4219" s="497">
        <v>53.96</v>
      </c>
      <c r="AV4219" s="42"/>
      <c r="AW4219" s="74"/>
      <c r="AX4219" s="77"/>
      <c r="BA4219" s="497">
        <v>44.96</v>
      </c>
      <c r="BB4219" s="42"/>
      <c r="BC4219" s="74"/>
      <c r="BD4219" s="77"/>
      <c r="BF4219">
        <v>55.040000000000006</v>
      </c>
      <c r="BH4219" s="42"/>
      <c r="BI4219" s="74"/>
      <c r="BJ4219" s="77"/>
      <c r="BL4219" s="497">
        <v>48.019999999999996</v>
      </c>
      <c r="BN4219" s="42"/>
      <c r="BO4219" s="74"/>
      <c r="BP4219" s="77"/>
      <c r="BR4219" s="497">
        <v>60.08</v>
      </c>
      <c r="BT4219" s="42"/>
    </row>
    <row r="4220" spans="1:72" x14ac:dyDescent="0.25">
      <c r="A4220" s="90">
        <v>34510</v>
      </c>
      <c r="B4220" s="20">
        <v>8.3333333333333329E-2</v>
      </c>
      <c r="D4220">
        <v>69.080000000000013</v>
      </c>
      <c r="E4220" t="str">
        <f t="shared" si="166"/>
        <v>SATURDAY</v>
      </c>
      <c r="F4220" t="e">
        <f t="shared" si="167"/>
        <v>#N/A</v>
      </c>
      <c r="G4220" s="74">
        <v>33049</v>
      </c>
      <c r="H4220" s="77">
        <v>8.3333333333333329E-2</v>
      </c>
      <c r="J4220">
        <v>69.080000000000013</v>
      </c>
      <c r="M4220" s="74">
        <v>37797</v>
      </c>
      <c r="N4220" s="77">
        <v>8.3333333333333329E-2</v>
      </c>
      <c r="P4220">
        <v>71.599999999999994</v>
      </c>
      <c r="S4220" s="74">
        <v>34510</v>
      </c>
      <c r="T4220" s="77">
        <v>8.3333333333333329E-2</v>
      </c>
      <c r="V4220">
        <v>71.06</v>
      </c>
      <c r="X4220" s="42"/>
      <c r="AB4220">
        <v>69.2</v>
      </c>
      <c r="AC4220">
        <v>69.080000000000013</v>
      </c>
      <c r="AE4220" s="74"/>
      <c r="AF4220" s="77"/>
      <c r="AH4220" s="497">
        <v>66.2</v>
      </c>
      <c r="AJ4220" s="42"/>
      <c r="AK4220" s="74"/>
      <c r="AL4220" s="77"/>
      <c r="AN4220" s="497">
        <v>62.96</v>
      </c>
      <c r="AP4220" s="42"/>
      <c r="AQ4220" s="74"/>
      <c r="AR4220" s="77"/>
      <c r="AT4220" s="497">
        <v>53.06</v>
      </c>
      <c r="AV4220" s="42"/>
      <c r="AW4220" s="74"/>
      <c r="AX4220" s="77"/>
      <c r="BA4220" s="497">
        <v>43.7</v>
      </c>
      <c r="BB4220" s="42"/>
      <c r="BC4220" s="74"/>
      <c r="BD4220" s="77"/>
      <c r="BF4220">
        <v>55.040000000000006</v>
      </c>
      <c r="BH4220" s="42"/>
      <c r="BI4220" s="74"/>
      <c r="BJ4220" s="77"/>
      <c r="BL4220" s="497">
        <v>44.96</v>
      </c>
      <c r="BN4220" s="42"/>
      <c r="BO4220" s="74"/>
      <c r="BP4220" s="77"/>
      <c r="BR4220" s="497">
        <v>60.980000000000004</v>
      </c>
      <c r="BT4220" s="42"/>
    </row>
    <row r="4221" spans="1:72" x14ac:dyDescent="0.25">
      <c r="A4221" s="90">
        <v>34510</v>
      </c>
      <c r="B4221" s="20">
        <v>0.125</v>
      </c>
      <c r="D4221">
        <v>69.080000000000013</v>
      </c>
      <c r="E4221" t="str">
        <f t="shared" si="166"/>
        <v>SATURDAY</v>
      </c>
      <c r="F4221" t="e">
        <f t="shared" si="167"/>
        <v>#N/A</v>
      </c>
      <c r="G4221" s="74">
        <v>33049</v>
      </c>
      <c r="H4221" s="77">
        <v>0.125</v>
      </c>
      <c r="J4221">
        <v>68</v>
      </c>
      <c r="M4221" s="74">
        <v>37797</v>
      </c>
      <c r="N4221" s="77">
        <v>0.125</v>
      </c>
      <c r="P4221">
        <v>69.800000000000011</v>
      </c>
      <c r="S4221" s="74">
        <v>34510</v>
      </c>
      <c r="T4221" s="77">
        <v>0.125</v>
      </c>
      <c r="V4221">
        <v>71.960000000000008</v>
      </c>
      <c r="X4221" s="42"/>
      <c r="AB4221">
        <v>68.599999999999994</v>
      </c>
      <c r="AC4221">
        <v>69.98</v>
      </c>
      <c r="AE4221" s="74"/>
      <c r="AF4221" s="77"/>
      <c r="AH4221" s="497">
        <v>71.599999999999994</v>
      </c>
      <c r="AJ4221" s="42"/>
      <c r="AK4221" s="74"/>
      <c r="AL4221" s="77"/>
      <c r="AN4221" s="497">
        <v>64.039999999999992</v>
      </c>
      <c r="AP4221" s="42"/>
      <c r="AQ4221" s="74"/>
      <c r="AR4221" s="77"/>
      <c r="AT4221" s="497">
        <v>53.06</v>
      </c>
      <c r="AV4221" s="42"/>
      <c r="AW4221" s="74"/>
      <c r="AX4221" s="77"/>
      <c r="BA4221" s="497">
        <v>42.26</v>
      </c>
      <c r="BB4221" s="42"/>
      <c r="BC4221" s="74"/>
      <c r="BD4221" s="77"/>
      <c r="BF4221">
        <v>53.06</v>
      </c>
      <c r="BH4221" s="42"/>
      <c r="BI4221" s="74"/>
      <c r="BJ4221" s="77"/>
      <c r="BL4221" s="497">
        <v>44.06</v>
      </c>
      <c r="BN4221" s="42"/>
      <c r="BO4221" s="74"/>
      <c r="BP4221" s="77"/>
      <c r="BR4221" s="497">
        <v>60.08</v>
      </c>
      <c r="BT4221" s="42"/>
    </row>
    <row r="4222" spans="1:72" x14ac:dyDescent="0.25">
      <c r="A4222" s="90">
        <v>34510</v>
      </c>
      <c r="B4222" s="20">
        <v>0.16666666666666666</v>
      </c>
      <c r="D4222">
        <v>68</v>
      </c>
      <c r="E4222" t="str">
        <f t="shared" si="166"/>
        <v>SATURDAY</v>
      </c>
      <c r="F4222" t="e">
        <f t="shared" si="167"/>
        <v>#N/A</v>
      </c>
      <c r="G4222" s="74">
        <v>33049</v>
      </c>
      <c r="H4222" s="77">
        <v>0.16666666666666666</v>
      </c>
      <c r="J4222">
        <v>66.92</v>
      </c>
      <c r="M4222" s="74">
        <v>37797</v>
      </c>
      <c r="N4222" s="77">
        <v>0.16666666666666666</v>
      </c>
      <c r="P4222">
        <v>66.2</v>
      </c>
      <c r="S4222" s="74">
        <v>34510</v>
      </c>
      <c r="T4222" s="77">
        <v>0.16666666666666666</v>
      </c>
      <c r="V4222">
        <v>73.039999999999992</v>
      </c>
      <c r="X4222" s="42"/>
      <c r="AB4222">
        <v>68</v>
      </c>
      <c r="AC4222">
        <v>73.039999999999992</v>
      </c>
      <c r="AE4222" s="74"/>
      <c r="AF4222" s="77"/>
      <c r="AH4222" s="497">
        <v>69.800000000000011</v>
      </c>
      <c r="AJ4222" s="42"/>
      <c r="AK4222" s="74"/>
      <c r="AL4222" s="77"/>
      <c r="AN4222" s="497">
        <v>64.039999999999992</v>
      </c>
      <c r="AP4222" s="42"/>
      <c r="AQ4222" s="74"/>
      <c r="AR4222" s="77"/>
      <c r="AT4222" s="497">
        <v>51.980000000000004</v>
      </c>
      <c r="AV4222" s="42"/>
      <c r="AW4222" s="74"/>
      <c r="AX4222" s="77"/>
      <c r="BA4222" s="497">
        <v>41</v>
      </c>
      <c r="BB4222" s="42"/>
      <c r="BC4222" s="74"/>
      <c r="BD4222" s="77"/>
      <c r="BF4222">
        <v>53.06</v>
      </c>
      <c r="BH4222" s="42"/>
      <c r="BI4222" s="74"/>
      <c r="BJ4222" s="77"/>
      <c r="BL4222" s="497">
        <v>42.08</v>
      </c>
      <c r="BN4222" s="42"/>
      <c r="BO4222" s="74"/>
      <c r="BP4222" s="77"/>
      <c r="BR4222" s="497">
        <v>68</v>
      </c>
      <c r="BT4222" s="42"/>
    </row>
    <row r="4223" spans="1:72" x14ac:dyDescent="0.25">
      <c r="A4223" s="90">
        <v>34510</v>
      </c>
      <c r="B4223" s="20">
        <v>0.20833333333333334</v>
      </c>
      <c r="D4223">
        <v>69.080000000000013</v>
      </c>
      <c r="E4223" t="str">
        <f t="shared" si="166"/>
        <v>SATURDAY</v>
      </c>
      <c r="F4223" t="e">
        <f t="shared" si="167"/>
        <v>#N/A</v>
      </c>
      <c r="G4223" s="74">
        <v>33049</v>
      </c>
      <c r="H4223" s="77">
        <v>0.20833333333333334</v>
      </c>
      <c r="J4223">
        <v>66.92</v>
      </c>
      <c r="M4223" s="74">
        <v>37797</v>
      </c>
      <c r="N4223" s="77">
        <v>0.20833333333333334</v>
      </c>
      <c r="P4223">
        <v>68</v>
      </c>
      <c r="S4223" s="74">
        <v>34510</v>
      </c>
      <c r="T4223" s="77">
        <v>0.20833333333333334</v>
      </c>
      <c r="V4223">
        <v>73.039999999999992</v>
      </c>
      <c r="X4223" s="42"/>
      <c r="AB4223">
        <v>67.599999999999994</v>
      </c>
      <c r="AC4223">
        <v>73.039999999999992</v>
      </c>
      <c r="AE4223" s="74"/>
      <c r="AF4223" s="77"/>
      <c r="AH4223" s="497">
        <v>69.800000000000011</v>
      </c>
      <c r="AJ4223" s="42"/>
      <c r="AK4223" s="74"/>
      <c r="AL4223" s="77"/>
      <c r="AN4223" s="497">
        <v>64.039999999999992</v>
      </c>
      <c r="AP4223" s="42"/>
      <c r="AQ4223" s="74"/>
      <c r="AR4223" s="77"/>
      <c r="AT4223" s="497">
        <v>50</v>
      </c>
      <c r="AV4223" s="42"/>
      <c r="AW4223" s="74"/>
      <c r="AX4223" s="77"/>
      <c r="BA4223" s="497">
        <v>44.96</v>
      </c>
      <c r="BB4223" s="42"/>
      <c r="BC4223" s="74"/>
      <c r="BD4223" s="77"/>
      <c r="BF4223">
        <v>51.980000000000004</v>
      </c>
      <c r="BH4223" s="42"/>
      <c r="BI4223" s="74"/>
      <c r="BJ4223" s="77"/>
      <c r="BL4223" s="497">
        <v>44.06</v>
      </c>
      <c r="BN4223" s="42"/>
      <c r="BO4223" s="74"/>
      <c r="BP4223" s="77"/>
      <c r="BR4223" s="497">
        <v>69.080000000000013</v>
      </c>
      <c r="BT4223" s="42"/>
    </row>
    <row r="4224" spans="1:72" x14ac:dyDescent="0.25">
      <c r="A4224" s="90">
        <v>34510</v>
      </c>
      <c r="B4224" s="20">
        <v>0.25</v>
      </c>
      <c r="D4224">
        <v>69.98</v>
      </c>
      <c r="E4224" t="str">
        <f t="shared" si="166"/>
        <v>SATURDAY</v>
      </c>
      <c r="F4224" t="e">
        <f t="shared" si="167"/>
        <v>#N/A</v>
      </c>
      <c r="G4224" s="74">
        <v>33049</v>
      </c>
      <c r="H4224" s="77">
        <v>0.25</v>
      </c>
      <c r="J4224">
        <v>69.080000000000013</v>
      </c>
      <c r="M4224" s="74">
        <v>37797</v>
      </c>
      <c r="N4224" s="77">
        <v>0.25</v>
      </c>
      <c r="P4224">
        <v>69.800000000000011</v>
      </c>
      <c r="S4224" s="74">
        <v>34510</v>
      </c>
      <c r="T4224" s="77">
        <v>0.25</v>
      </c>
      <c r="V4224">
        <v>73.039999999999992</v>
      </c>
      <c r="X4224" s="42"/>
      <c r="AB4224">
        <v>67.5</v>
      </c>
      <c r="AC4224">
        <v>73.039999999999992</v>
      </c>
      <c r="AE4224" s="74"/>
      <c r="AF4224" s="77"/>
      <c r="AH4224" s="497">
        <v>71.599999999999994</v>
      </c>
      <c r="AJ4224" s="42"/>
      <c r="AK4224" s="74"/>
      <c r="AL4224" s="77"/>
      <c r="AN4224" s="497">
        <v>64.94</v>
      </c>
      <c r="AP4224" s="42"/>
      <c r="AQ4224" s="74"/>
      <c r="AR4224" s="77"/>
      <c r="AT4224" s="497">
        <v>53.96</v>
      </c>
      <c r="AV4224" s="42"/>
      <c r="AW4224" s="74"/>
      <c r="AX4224" s="77"/>
      <c r="BA4224" s="497">
        <v>49.1</v>
      </c>
      <c r="BB4224" s="42"/>
      <c r="BC4224" s="74"/>
      <c r="BD4224" s="77"/>
      <c r="BF4224">
        <v>53.96</v>
      </c>
      <c r="BH4224" s="42"/>
      <c r="BI4224" s="74"/>
      <c r="BJ4224" s="77"/>
      <c r="BL4224" s="497">
        <v>46.04</v>
      </c>
      <c r="BN4224" s="42"/>
      <c r="BO4224" s="74"/>
      <c r="BP4224" s="77"/>
      <c r="BR4224" s="497">
        <v>69.98</v>
      </c>
      <c r="BT4224" s="42"/>
    </row>
    <row r="4225" spans="1:72" x14ac:dyDescent="0.25">
      <c r="A4225" s="90">
        <v>34510</v>
      </c>
      <c r="B4225" s="20">
        <v>0.29166666666666669</v>
      </c>
      <c r="D4225">
        <v>71.960000000000008</v>
      </c>
      <c r="E4225" t="str">
        <f t="shared" si="166"/>
        <v>SATURDAY</v>
      </c>
      <c r="F4225" t="e">
        <f t="shared" si="167"/>
        <v>#N/A</v>
      </c>
      <c r="G4225" s="74">
        <v>33049</v>
      </c>
      <c r="H4225" s="77">
        <v>0.29166666666666669</v>
      </c>
      <c r="J4225">
        <v>69.080000000000013</v>
      </c>
      <c r="M4225" s="74">
        <v>37797</v>
      </c>
      <c r="N4225" s="77">
        <v>0.29166666666666669</v>
      </c>
      <c r="P4225">
        <v>73.400000000000006</v>
      </c>
      <c r="S4225" s="74">
        <v>34510</v>
      </c>
      <c r="T4225" s="77">
        <v>0.29166666666666669</v>
      </c>
      <c r="V4225">
        <v>75.02</v>
      </c>
      <c r="X4225" s="42"/>
      <c r="AB4225">
        <v>69.2</v>
      </c>
      <c r="AC4225">
        <v>73.94</v>
      </c>
      <c r="AE4225" s="74"/>
      <c r="AF4225" s="77"/>
      <c r="AH4225" s="497">
        <v>73.400000000000006</v>
      </c>
      <c r="AJ4225" s="42"/>
      <c r="AK4225" s="74"/>
      <c r="AL4225" s="77"/>
      <c r="AN4225" s="497">
        <v>66.02</v>
      </c>
      <c r="AP4225" s="42"/>
      <c r="AQ4225" s="74"/>
      <c r="AR4225" s="77"/>
      <c r="AT4225" s="497">
        <v>57.019999999999996</v>
      </c>
      <c r="AV4225" s="42"/>
      <c r="AW4225" s="74"/>
      <c r="AX4225" s="77"/>
      <c r="BA4225" s="497">
        <v>53.06</v>
      </c>
      <c r="BB4225" s="42"/>
      <c r="BC4225" s="74"/>
      <c r="BD4225" s="77"/>
      <c r="BF4225">
        <v>59</v>
      </c>
      <c r="BH4225" s="42"/>
      <c r="BI4225" s="74"/>
      <c r="BJ4225" s="77"/>
      <c r="BL4225" s="497">
        <v>51.980000000000004</v>
      </c>
      <c r="BN4225" s="42"/>
      <c r="BO4225" s="74"/>
      <c r="BP4225" s="77"/>
      <c r="BR4225" s="497">
        <v>69.98</v>
      </c>
      <c r="BT4225" s="42"/>
    </row>
    <row r="4226" spans="1:72" x14ac:dyDescent="0.25">
      <c r="A4226" s="90">
        <v>34510</v>
      </c>
      <c r="B4226" s="20">
        <v>0.33333333333333331</v>
      </c>
      <c r="D4226">
        <v>73.94</v>
      </c>
      <c r="E4226" t="str">
        <f t="shared" si="166"/>
        <v>SATURDAY</v>
      </c>
      <c r="F4226" t="e">
        <f t="shared" si="167"/>
        <v>#N/A</v>
      </c>
      <c r="G4226" s="74">
        <v>33049</v>
      </c>
      <c r="H4226" s="77">
        <v>0.33333333333333331</v>
      </c>
      <c r="J4226">
        <v>71.06</v>
      </c>
      <c r="M4226" s="74">
        <v>37797</v>
      </c>
      <c r="N4226" s="77">
        <v>0.33333333333333331</v>
      </c>
      <c r="P4226">
        <v>77</v>
      </c>
      <c r="S4226" s="74">
        <v>34510</v>
      </c>
      <c r="T4226" s="77">
        <v>0.33333333333333331</v>
      </c>
      <c r="V4226">
        <v>75.92</v>
      </c>
      <c r="X4226" s="42"/>
      <c r="AB4226">
        <v>71.099999999999994</v>
      </c>
      <c r="AC4226">
        <v>77</v>
      </c>
      <c r="AE4226" s="74"/>
      <c r="AF4226" s="77"/>
      <c r="AH4226" s="497">
        <v>75.2</v>
      </c>
      <c r="AJ4226" s="42"/>
      <c r="AK4226" s="74"/>
      <c r="AL4226" s="77"/>
      <c r="AN4226" s="497">
        <v>69.080000000000013</v>
      </c>
      <c r="AP4226" s="42"/>
      <c r="AQ4226" s="74"/>
      <c r="AR4226" s="77"/>
      <c r="AT4226" s="497">
        <v>59</v>
      </c>
      <c r="AV4226" s="42"/>
      <c r="AW4226" s="74"/>
      <c r="AX4226" s="77"/>
      <c r="BA4226" s="497">
        <v>57.019999999999996</v>
      </c>
      <c r="BB4226" s="42"/>
      <c r="BC4226" s="74"/>
      <c r="BD4226" s="77"/>
      <c r="BF4226">
        <v>64.94</v>
      </c>
      <c r="BH4226" s="42"/>
      <c r="BI4226" s="74"/>
      <c r="BJ4226" s="77"/>
      <c r="BL4226" s="497">
        <v>60.980000000000004</v>
      </c>
      <c r="BN4226" s="42"/>
      <c r="BO4226" s="74"/>
      <c r="BP4226" s="77"/>
      <c r="BR4226" s="497">
        <v>71.06</v>
      </c>
      <c r="BT4226" s="42"/>
    </row>
    <row r="4227" spans="1:72" x14ac:dyDescent="0.25">
      <c r="A4227" s="90">
        <v>34510</v>
      </c>
      <c r="B4227" s="20">
        <v>0.375</v>
      </c>
      <c r="D4227">
        <v>75.02</v>
      </c>
      <c r="E4227" t="str">
        <f t="shared" si="166"/>
        <v>SATURDAY</v>
      </c>
      <c r="F4227" t="e">
        <f t="shared" si="167"/>
        <v>#N/A</v>
      </c>
      <c r="G4227" s="74">
        <v>33049</v>
      </c>
      <c r="H4227" s="77">
        <v>0.375</v>
      </c>
      <c r="J4227">
        <v>71.06</v>
      </c>
      <c r="M4227" s="74">
        <v>37797</v>
      </c>
      <c r="N4227" s="77">
        <v>0.375</v>
      </c>
      <c r="P4227">
        <v>78.800000000000011</v>
      </c>
      <c r="S4227" s="74">
        <v>34510</v>
      </c>
      <c r="T4227" s="77">
        <v>0.375</v>
      </c>
      <c r="V4227">
        <v>78.080000000000013</v>
      </c>
      <c r="X4227" s="42"/>
      <c r="AB4227">
        <v>73.099999999999994</v>
      </c>
      <c r="AC4227">
        <v>78.98</v>
      </c>
      <c r="AE4227" s="74"/>
      <c r="AF4227" s="77"/>
      <c r="AH4227" s="497">
        <v>78.800000000000011</v>
      </c>
      <c r="AJ4227" s="42"/>
      <c r="AK4227" s="74"/>
      <c r="AL4227" s="77"/>
      <c r="AN4227" s="497">
        <v>69.98</v>
      </c>
      <c r="AP4227" s="42"/>
      <c r="AQ4227" s="74"/>
      <c r="AR4227" s="77"/>
      <c r="AT4227" s="497">
        <v>60.08</v>
      </c>
      <c r="AV4227" s="42"/>
      <c r="AW4227" s="74"/>
      <c r="AX4227" s="77"/>
      <c r="BA4227" s="497">
        <v>60.980000000000004</v>
      </c>
      <c r="BB4227" s="42"/>
      <c r="BC4227" s="74"/>
      <c r="BD4227" s="77"/>
      <c r="BF4227">
        <v>69.080000000000013</v>
      </c>
      <c r="BH4227" s="42"/>
      <c r="BI4227" s="74"/>
      <c r="BJ4227" s="77"/>
      <c r="BL4227" s="497">
        <v>64.94</v>
      </c>
      <c r="BN4227" s="42"/>
      <c r="BO4227" s="74"/>
      <c r="BP4227" s="77"/>
      <c r="BR4227" s="497">
        <v>71.06</v>
      </c>
      <c r="BT4227" s="42"/>
    </row>
    <row r="4228" spans="1:72" x14ac:dyDescent="0.25">
      <c r="A4228" s="90">
        <v>34510</v>
      </c>
      <c r="B4228" s="20">
        <v>0.41666666666666669</v>
      </c>
      <c r="D4228">
        <v>77</v>
      </c>
      <c r="E4228" t="str">
        <f t="shared" si="166"/>
        <v>SATURDAY</v>
      </c>
      <c r="F4228" t="e">
        <f t="shared" si="167"/>
        <v>#N/A</v>
      </c>
      <c r="G4228" s="74">
        <v>33049</v>
      </c>
      <c r="H4228" s="77">
        <v>0.41666666666666669</v>
      </c>
      <c r="J4228">
        <v>73.039999999999992</v>
      </c>
      <c r="M4228" s="74">
        <v>37797</v>
      </c>
      <c r="N4228" s="77">
        <v>0.41666666666666669</v>
      </c>
      <c r="P4228">
        <v>82.4</v>
      </c>
      <c r="S4228" s="74">
        <v>34510</v>
      </c>
      <c r="T4228" s="77">
        <v>0.41666666666666669</v>
      </c>
      <c r="V4228">
        <v>78.98</v>
      </c>
      <c r="X4228" s="42"/>
      <c r="AB4228">
        <v>75</v>
      </c>
      <c r="AC4228">
        <v>80.960000000000008</v>
      </c>
      <c r="AE4228" s="74"/>
      <c r="AF4228" s="77"/>
      <c r="AH4228" s="497">
        <v>80.599999999999994</v>
      </c>
      <c r="AJ4228" s="42"/>
      <c r="AK4228" s="74"/>
      <c r="AL4228" s="77"/>
      <c r="AN4228" s="497">
        <v>71.06</v>
      </c>
      <c r="AP4228" s="42"/>
      <c r="AQ4228" s="74"/>
      <c r="AR4228" s="77"/>
      <c r="AT4228" s="497">
        <v>62.96</v>
      </c>
      <c r="AV4228" s="42"/>
      <c r="AW4228" s="74"/>
      <c r="AX4228" s="77"/>
      <c r="BA4228" s="497">
        <v>64.94</v>
      </c>
      <c r="BB4228" s="42"/>
      <c r="BC4228" s="74"/>
      <c r="BD4228" s="77"/>
      <c r="BF4228">
        <v>73.039999999999992</v>
      </c>
      <c r="BH4228" s="42"/>
      <c r="BI4228" s="74"/>
      <c r="BJ4228" s="77"/>
      <c r="BL4228" s="497">
        <v>66.02</v>
      </c>
      <c r="BN4228" s="42"/>
      <c r="BO4228" s="74"/>
      <c r="BP4228" s="77"/>
      <c r="BR4228" s="497">
        <v>73.94</v>
      </c>
      <c r="BT4228" s="42"/>
    </row>
    <row r="4229" spans="1:72" x14ac:dyDescent="0.25">
      <c r="A4229" s="90">
        <v>34510</v>
      </c>
      <c r="B4229" s="20">
        <v>0.45833333333333331</v>
      </c>
      <c r="D4229">
        <v>77</v>
      </c>
      <c r="E4229" t="str">
        <f t="shared" si="166"/>
        <v>SATURDAY</v>
      </c>
      <c r="F4229" t="e">
        <f t="shared" si="167"/>
        <v>#N/A</v>
      </c>
      <c r="G4229" s="74">
        <v>33049</v>
      </c>
      <c r="H4229" s="77">
        <v>0.45833333333333331</v>
      </c>
      <c r="J4229">
        <v>73.039999999999992</v>
      </c>
      <c r="M4229" s="74">
        <v>37797</v>
      </c>
      <c r="N4229" s="77">
        <v>0.45833333333333331</v>
      </c>
      <c r="P4229">
        <v>84.2</v>
      </c>
      <c r="S4229" s="74">
        <v>34510</v>
      </c>
      <c r="T4229" s="77">
        <v>0.45833333333333331</v>
      </c>
      <c r="V4229">
        <v>77</v>
      </c>
      <c r="X4229" s="42"/>
      <c r="AB4229">
        <v>76.5</v>
      </c>
      <c r="AC4229">
        <v>80.06</v>
      </c>
      <c r="AE4229" s="74"/>
      <c r="AF4229" s="77"/>
      <c r="AH4229" s="497">
        <v>84.56</v>
      </c>
      <c r="AJ4229" s="42"/>
      <c r="AK4229" s="74"/>
      <c r="AL4229" s="77"/>
      <c r="AN4229" s="497">
        <v>73.039999999999992</v>
      </c>
      <c r="AP4229" s="42"/>
      <c r="AQ4229" s="74"/>
      <c r="AR4229" s="77"/>
      <c r="AT4229" s="497">
        <v>64.039999999999992</v>
      </c>
      <c r="AV4229" s="42"/>
      <c r="AW4229" s="74"/>
      <c r="AX4229" s="77"/>
      <c r="BA4229" s="497">
        <v>66.02</v>
      </c>
      <c r="BB4229" s="42"/>
      <c r="BC4229" s="74"/>
      <c r="BD4229" s="77"/>
      <c r="BF4229">
        <v>75.02</v>
      </c>
      <c r="BH4229" s="42"/>
      <c r="BI4229" s="74"/>
      <c r="BJ4229" s="77"/>
      <c r="BL4229" s="497">
        <v>66.02</v>
      </c>
      <c r="BN4229" s="42"/>
      <c r="BO4229" s="74"/>
      <c r="BP4229" s="77"/>
      <c r="BR4229" s="497">
        <v>77</v>
      </c>
      <c r="BT4229" s="42"/>
    </row>
    <row r="4230" spans="1:72" x14ac:dyDescent="0.25">
      <c r="A4230" s="90">
        <v>34510</v>
      </c>
      <c r="B4230" s="20">
        <v>0.5</v>
      </c>
      <c r="D4230">
        <v>78.98</v>
      </c>
      <c r="E4230" t="str">
        <f t="shared" si="166"/>
        <v>SATURDAY</v>
      </c>
      <c r="F4230" t="e">
        <f t="shared" si="167"/>
        <v>#N/A</v>
      </c>
      <c r="G4230" s="74">
        <v>33049</v>
      </c>
      <c r="H4230" s="77">
        <v>0.5</v>
      </c>
      <c r="J4230">
        <v>75.92</v>
      </c>
      <c r="M4230" s="74">
        <v>37797</v>
      </c>
      <c r="N4230" s="77">
        <v>0.5</v>
      </c>
      <c r="P4230">
        <v>86</v>
      </c>
      <c r="S4230" s="74">
        <v>34510</v>
      </c>
      <c r="T4230" s="77">
        <v>0.5</v>
      </c>
      <c r="V4230">
        <v>78.98</v>
      </c>
      <c r="X4230" s="42"/>
      <c r="AB4230">
        <v>77.7</v>
      </c>
      <c r="AC4230">
        <v>80.06</v>
      </c>
      <c r="AE4230" s="74"/>
      <c r="AF4230" s="77"/>
      <c r="AH4230" s="497">
        <v>87.800000000000011</v>
      </c>
      <c r="AJ4230" s="42"/>
      <c r="AK4230" s="74"/>
      <c r="AL4230" s="77"/>
      <c r="AN4230" s="497">
        <v>69.98</v>
      </c>
      <c r="AP4230" s="42"/>
      <c r="AQ4230" s="74"/>
      <c r="AR4230" s="77"/>
      <c r="AT4230" s="497">
        <v>64.039999999999992</v>
      </c>
      <c r="AV4230" s="42"/>
      <c r="AW4230" s="74"/>
      <c r="AX4230" s="77"/>
      <c r="BA4230" s="497">
        <v>66.92</v>
      </c>
      <c r="BB4230" s="42"/>
      <c r="BC4230" s="74"/>
      <c r="BD4230" s="77"/>
      <c r="BF4230">
        <v>77</v>
      </c>
      <c r="BH4230" s="42"/>
      <c r="BI4230" s="74"/>
      <c r="BJ4230" s="77"/>
      <c r="BL4230" s="497">
        <v>68</v>
      </c>
      <c r="BN4230" s="42"/>
      <c r="BO4230" s="74"/>
      <c r="BP4230" s="77"/>
      <c r="BR4230" s="497">
        <v>80.06</v>
      </c>
      <c r="BT4230" s="42"/>
    </row>
    <row r="4231" spans="1:72" x14ac:dyDescent="0.25">
      <c r="A4231" s="90">
        <v>34510</v>
      </c>
      <c r="B4231" s="20">
        <v>0.54166666666666663</v>
      </c>
      <c r="D4231">
        <v>80.960000000000008</v>
      </c>
      <c r="E4231" t="str">
        <f t="shared" si="166"/>
        <v>SATURDAY</v>
      </c>
      <c r="F4231" t="e">
        <f t="shared" si="167"/>
        <v>#N/A</v>
      </c>
      <c r="G4231" s="74">
        <v>33049</v>
      </c>
      <c r="H4231" s="77">
        <v>0.54166666666666663</v>
      </c>
      <c r="J4231">
        <v>77</v>
      </c>
      <c r="M4231" s="74">
        <v>37797</v>
      </c>
      <c r="N4231" s="77">
        <v>0.54166666666666663</v>
      </c>
      <c r="P4231">
        <v>87.800000000000011</v>
      </c>
      <c r="S4231" s="74">
        <v>34510</v>
      </c>
      <c r="T4231" s="77">
        <v>0.54166666666666663</v>
      </c>
      <c r="V4231">
        <v>80.06</v>
      </c>
      <c r="X4231" s="42"/>
      <c r="AB4231">
        <v>78.400000000000006</v>
      </c>
      <c r="AC4231">
        <v>80.960000000000008</v>
      </c>
      <c r="AE4231" s="74"/>
      <c r="AF4231" s="77"/>
      <c r="AH4231" s="497">
        <v>87.800000000000011</v>
      </c>
      <c r="AJ4231" s="42"/>
      <c r="AK4231" s="74"/>
      <c r="AL4231" s="77"/>
      <c r="AN4231" s="497">
        <v>73.039999999999992</v>
      </c>
      <c r="AP4231" s="42"/>
      <c r="AQ4231" s="74"/>
      <c r="AR4231" s="77"/>
      <c r="AT4231" s="497">
        <v>64.94</v>
      </c>
      <c r="AV4231" s="42"/>
      <c r="AW4231" s="74"/>
      <c r="AX4231" s="77"/>
      <c r="BA4231" s="497">
        <v>68</v>
      </c>
      <c r="BB4231" s="42"/>
      <c r="BC4231" s="74"/>
      <c r="BD4231" s="77"/>
      <c r="BF4231">
        <v>78.98</v>
      </c>
      <c r="BH4231" s="42"/>
      <c r="BI4231" s="74"/>
      <c r="BJ4231" s="77"/>
      <c r="BL4231" s="497">
        <v>68</v>
      </c>
      <c r="BN4231" s="42"/>
      <c r="BO4231" s="74"/>
      <c r="BP4231" s="77"/>
      <c r="BR4231" s="497">
        <v>80.960000000000008</v>
      </c>
      <c r="BT4231" s="42"/>
    </row>
    <row r="4232" spans="1:72" x14ac:dyDescent="0.25">
      <c r="A4232" s="90">
        <v>34510</v>
      </c>
      <c r="B4232" s="20">
        <v>0.58333333333333337</v>
      </c>
      <c r="D4232">
        <v>82.039999999999992</v>
      </c>
      <c r="E4232" t="str">
        <f t="shared" si="166"/>
        <v>SATURDAY</v>
      </c>
      <c r="F4232" t="e">
        <f t="shared" si="167"/>
        <v>#N/A</v>
      </c>
      <c r="G4232" s="74">
        <v>33049</v>
      </c>
      <c r="H4232" s="77">
        <v>0.58333333333333337</v>
      </c>
      <c r="J4232">
        <v>77</v>
      </c>
      <c r="M4232" s="74">
        <v>37797</v>
      </c>
      <c r="N4232" s="77">
        <v>0.58333333333333337</v>
      </c>
      <c r="P4232">
        <v>87.800000000000011</v>
      </c>
      <c r="S4232" s="74">
        <v>34510</v>
      </c>
      <c r="T4232" s="77">
        <v>0.58333333333333337</v>
      </c>
      <c r="V4232">
        <v>80.06</v>
      </c>
      <c r="X4232" s="42"/>
      <c r="AB4232">
        <v>78.7</v>
      </c>
      <c r="AC4232">
        <v>82.039999999999992</v>
      </c>
      <c r="AE4232" s="74"/>
      <c r="AF4232" s="77"/>
      <c r="AH4232" s="497">
        <v>89.6</v>
      </c>
      <c r="AJ4232" s="42"/>
      <c r="AK4232" s="74"/>
      <c r="AL4232" s="77"/>
      <c r="AN4232" s="497">
        <v>69.98</v>
      </c>
      <c r="AP4232" s="42"/>
      <c r="AQ4232" s="74"/>
      <c r="AR4232" s="77"/>
      <c r="AT4232" s="497">
        <v>64.94</v>
      </c>
      <c r="AV4232" s="42"/>
      <c r="AW4232" s="74"/>
      <c r="AX4232" s="77"/>
      <c r="BA4232" s="497">
        <v>68.72</v>
      </c>
      <c r="BB4232" s="42"/>
      <c r="BC4232" s="74"/>
      <c r="BD4232" s="77"/>
      <c r="BF4232">
        <v>78.98</v>
      </c>
      <c r="BH4232" s="42"/>
      <c r="BI4232" s="74"/>
      <c r="BJ4232" s="77"/>
      <c r="BL4232" s="497">
        <v>66.92</v>
      </c>
      <c r="BN4232" s="42"/>
      <c r="BO4232" s="74"/>
      <c r="BP4232" s="77"/>
      <c r="BR4232" s="497">
        <v>80.960000000000008</v>
      </c>
      <c r="BT4232" s="42"/>
    </row>
    <row r="4233" spans="1:72" x14ac:dyDescent="0.25">
      <c r="A4233" s="90">
        <v>34510</v>
      </c>
      <c r="B4233" s="20">
        <v>0.625</v>
      </c>
      <c r="D4233">
        <v>82.039999999999992</v>
      </c>
      <c r="E4233" t="str">
        <f t="shared" si="166"/>
        <v>SATURDAY</v>
      </c>
      <c r="F4233" t="e">
        <f t="shared" si="167"/>
        <v>#N/A</v>
      </c>
      <c r="G4233" s="74">
        <v>33049</v>
      </c>
      <c r="H4233" s="77">
        <v>0.625</v>
      </c>
      <c r="J4233">
        <v>78.98</v>
      </c>
      <c r="M4233" s="74">
        <v>37797</v>
      </c>
      <c r="N4233" s="77">
        <v>0.625</v>
      </c>
      <c r="P4233">
        <v>87.800000000000011</v>
      </c>
      <c r="S4233" s="74">
        <v>34510</v>
      </c>
      <c r="T4233" s="77">
        <v>0.625</v>
      </c>
      <c r="V4233">
        <v>80.06</v>
      </c>
      <c r="X4233" s="42"/>
      <c r="AB4233">
        <v>78.8</v>
      </c>
      <c r="AC4233">
        <v>80.960000000000008</v>
      </c>
      <c r="AE4233" s="74"/>
      <c r="AF4233" s="77"/>
      <c r="AH4233" s="497">
        <v>87.800000000000011</v>
      </c>
      <c r="AJ4233" s="42"/>
      <c r="AK4233" s="74"/>
      <c r="AL4233" s="77"/>
      <c r="AN4233" s="497">
        <v>75.02</v>
      </c>
      <c r="AP4233" s="42"/>
      <c r="AQ4233" s="74"/>
      <c r="AR4233" s="77"/>
      <c r="AT4233" s="497">
        <v>66.02</v>
      </c>
      <c r="AV4233" s="42"/>
      <c r="AW4233" s="74"/>
      <c r="AX4233" s="77"/>
      <c r="BA4233" s="497">
        <v>69.259999999999991</v>
      </c>
      <c r="BB4233" s="42"/>
      <c r="BC4233" s="74"/>
      <c r="BD4233" s="77"/>
      <c r="BF4233">
        <v>80.06</v>
      </c>
      <c r="BH4233" s="42"/>
      <c r="BI4233" s="74"/>
      <c r="BJ4233" s="77"/>
      <c r="BL4233" s="497">
        <v>69.080000000000013</v>
      </c>
      <c r="BN4233" s="42"/>
      <c r="BO4233" s="74"/>
      <c r="BP4233" s="77"/>
      <c r="BR4233" s="497">
        <v>80.960000000000008</v>
      </c>
      <c r="BT4233" s="42"/>
    </row>
    <row r="4234" spans="1:72" x14ac:dyDescent="0.25">
      <c r="A4234" s="90">
        <v>34510</v>
      </c>
      <c r="B4234" s="20">
        <v>0.66666666666666663</v>
      </c>
      <c r="D4234">
        <v>78.080000000000013</v>
      </c>
      <c r="E4234" t="str">
        <f t="shared" si="166"/>
        <v>SATURDAY</v>
      </c>
      <c r="F4234" t="e">
        <f t="shared" si="167"/>
        <v>#N/A</v>
      </c>
      <c r="G4234" s="74">
        <v>33049</v>
      </c>
      <c r="H4234" s="77">
        <v>0.66666666666666663</v>
      </c>
      <c r="J4234">
        <v>78.080000000000013</v>
      </c>
      <c r="M4234" s="74">
        <v>37797</v>
      </c>
      <c r="N4234" s="77">
        <v>0.66666666666666663</v>
      </c>
      <c r="P4234">
        <v>89.6</v>
      </c>
      <c r="S4234" s="74">
        <v>34510</v>
      </c>
      <c r="T4234" s="77">
        <v>0.66666666666666663</v>
      </c>
      <c r="V4234">
        <v>78.98</v>
      </c>
      <c r="X4234" s="42"/>
      <c r="AB4234">
        <v>78.3</v>
      </c>
      <c r="AC4234">
        <v>80.06</v>
      </c>
      <c r="AE4234" s="74"/>
      <c r="AF4234" s="77"/>
      <c r="AH4234" s="497">
        <v>87.800000000000011</v>
      </c>
      <c r="AJ4234" s="42"/>
      <c r="AK4234" s="74"/>
      <c r="AL4234" s="77"/>
      <c r="AN4234" s="497">
        <v>75.92</v>
      </c>
      <c r="AP4234" s="42"/>
      <c r="AQ4234" s="74"/>
      <c r="AR4234" s="77"/>
      <c r="AT4234" s="497">
        <v>64.94</v>
      </c>
      <c r="AV4234" s="42"/>
      <c r="AW4234" s="74"/>
      <c r="AX4234" s="77"/>
      <c r="BA4234" s="497">
        <v>69.98</v>
      </c>
      <c r="BB4234" s="42"/>
      <c r="BC4234" s="74"/>
      <c r="BD4234" s="77"/>
      <c r="BF4234">
        <v>82.039999999999992</v>
      </c>
      <c r="BH4234" s="42"/>
      <c r="BI4234" s="74"/>
      <c r="BJ4234" s="77"/>
      <c r="BL4234" s="497">
        <v>69.98</v>
      </c>
      <c r="BN4234" s="42"/>
      <c r="BO4234" s="74"/>
      <c r="BP4234" s="77"/>
      <c r="BR4234" s="497">
        <v>80.06</v>
      </c>
      <c r="BT4234" s="42"/>
    </row>
    <row r="4235" spans="1:72" x14ac:dyDescent="0.25">
      <c r="A4235" s="90">
        <v>34510</v>
      </c>
      <c r="B4235" s="20">
        <v>0.70833333333333337</v>
      </c>
      <c r="D4235">
        <v>75.92</v>
      </c>
      <c r="E4235" t="str">
        <f t="shared" si="166"/>
        <v>SATURDAY</v>
      </c>
      <c r="F4235" t="e">
        <f t="shared" si="167"/>
        <v>#N/A</v>
      </c>
      <c r="G4235" s="74">
        <v>33049</v>
      </c>
      <c r="H4235" s="77">
        <v>0.70833333333333337</v>
      </c>
      <c r="J4235">
        <v>77</v>
      </c>
      <c r="M4235" s="74">
        <v>37797</v>
      </c>
      <c r="N4235" s="77">
        <v>0.70833333333333337</v>
      </c>
      <c r="P4235">
        <v>87.800000000000011</v>
      </c>
      <c r="S4235" s="74">
        <v>34510</v>
      </c>
      <c r="T4235" s="77">
        <v>0.70833333333333337</v>
      </c>
      <c r="V4235">
        <v>78.080000000000013</v>
      </c>
      <c r="X4235" s="42"/>
      <c r="AB4235">
        <v>77.3</v>
      </c>
      <c r="AC4235">
        <v>78.98</v>
      </c>
      <c r="AE4235" s="74"/>
      <c r="AF4235" s="77"/>
      <c r="AH4235" s="497">
        <v>87.800000000000011</v>
      </c>
      <c r="AJ4235" s="42"/>
      <c r="AK4235" s="74"/>
      <c r="AL4235" s="77"/>
      <c r="AN4235" s="497">
        <v>75.02</v>
      </c>
      <c r="AP4235" s="42"/>
      <c r="AQ4235" s="74"/>
      <c r="AR4235" s="77"/>
      <c r="AT4235" s="497">
        <v>64.94</v>
      </c>
      <c r="AV4235" s="42"/>
      <c r="AW4235" s="74"/>
      <c r="AX4235" s="77"/>
      <c r="BA4235" s="497">
        <v>68.36</v>
      </c>
      <c r="BB4235" s="42"/>
      <c r="BC4235" s="74"/>
      <c r="BD4235" s="77"/>
      <c r="BF4235">
        <v>80.960000000000008</v>
      </c>
      <c r="BH4235" s="42"/>
      <c r="BI4235" s="74"/>
      <c r="BJ4235" s="77"/>
      <c r="BL4235" s="497">
        <v>69.080000000000013</v>
      </c>
      <c r="BN4235" s="42"/>
      <c r="BO4235" s="74"/>
      <c r="BP4235" s="77"/>
      <c r="BR4235" s="497">
        <v>78.98</v>
      </c>
      <c r="BT4235" s="42"/>
    </row>
    <row r="4236" spans="1:72" x14ac:dyDescent="0.25">
      <c r="A4236" s="90">
        <v>34510</v>
      </c>
      <c r="B4236" s="20">
        <v>0.75</v>
      </c>
      <c r="D4236">
        <v>69.98</v>
      </c>
      <c r="E4236" t="str">
        <f t="shared" si="166"/>
        <v>SATURDAY</v>
      </c>
      <c r="F4236" t="e">
        <f t="shared" si="167"/>
        <v>#N/A</v>
      </c>
      <c r="G4236" s="74">
        <v>33049</v>
      </c>
      <c r="H4236" s="77">
        <v>0.75</v>
      </c>
      <c r="J4236">
        <v>75.92</v>
      </c>
      <c r="M4236" s="74">
        <v>37797</v>
      </c>
      <c r="N4236" s="77">
        <v>0.75</v>
      </c>
      <c r="P4236">
        <v>87.800000000000011</v>
      </c>
      <c r="S4236" s="74">
        <v>34510</v>
      </c>
      <c r="T4236" s="77">
        <v>0.75</v>
      </c>
      <c r="V4236">
        <v>77</v>
      </c>
      <c r="X4236" s="42"/>
      <c r="AB4236">
        <v>76.2</v>
      </c>
      <c r="AC4236">
        <v>78.080000000000013</v>
      </c>
      <c r="AE4236" s="74"/>
      <c r="AF4236" s="77"/>
      <c r="AH4236" s="497">
        <v>84.2</v>
      </c>
      <c r="AJ4236" s="42"/>
      <c r="AK4236" s="74"/>
      <c r="AL4236" s="77"/>
      <c r="AN4236" s="497">
        <v>71.960000000000008</v>
      </c>
      <c r="AP4236" s="42"/>
      <c r="AQ4236" s="74"/>
      <c r="AR4236" s="77"/>
      <c r="AT4236" s="497">
        <v>64.039999999999992</v>
      </c>
      <c r="AV4236" s="42"/>
      <c r="AW4236" s="74"/>
      <c r="AX4236" s="77"/>
      <c r="BA4236" s="497">
        <v>66.56</v>
      </c>
      <c r="BB4236" s="42"/>
      <c r="BC4236" s="74"/>
      <c r="BD4236" s="77"/>
      <c r="BF4236">
        <v>80.06</v>
      </c>
      <c r="BH4236" s="42"/>
      <c r="BI4236" s="74"/>
      <c r="BJ4236" s="77"/>
      <c r="BL4236" s="497">
        <v>68</v>
      </c>
      <c r="BN4236" s="42"/>
      <c r="BO4236" s="74"/>
      <c r="BP4236" s="77"/>
      <c r="BR4236" s="497">
        <v>75.02</v>
      </c>
      <c r="BT4236" s="42"/>
    </row>
    <row r="4237" spans="1:72" x14ac:dyDescent="0.25">
      <c r="A4237" s="90">
        <v>34510</v>
      </c>
      <c r="B4237" s="20">
        <v>0.79166666666666663</v>
      </c>
      <c r="D4237">
        <v>71.06</v>
      </c>
      <c r="E4237" t="str">
        <f t="shared" si="166"/>
        <v>SATURDAY</v>
      </c>
      <c r="F4237" t="e">
        <f t="shared" si="167"/>
        <v>#N/A</v>
      </c>
      <c r="G4237" s="74">
        <v>33049</v>
      </c>
      <c r="H4237" s="77">
        <v>0.79166666666666663</v>
      </c>
      <c r="J4237">
        <v>75.02</v>
      </c>
      <c r="M4237" s="74">
        <v>37797</v>
      </c>
      <c r="N4237" s="77">
        <v>0.79166666666666663</v>
      </c>
      <c r="P4237">
        <v>80.599999999999994</v>
      </c>
      <c r="S4237" s="74">
        <v>34510</v>
      </c>
      <c r="T4237" s="77">
        <v>0.79166666666666663</v>
      </c>
      <c r="V4237">
        <v>82.94</v>
      </c>
      <c r="X4237" s="42"/>
      <c r="AB4237">
        <v>74.8</v>
      </c>
      <c r="AC4237">
        <v>75.92</v>
      </c>
      <c r="AE4237" s="74"/>
      <c r="AF4237" s="77"/>
      <c r="AH4237" s="497">
        <v>82.4</v>
      </c>
      <c r="AJ4237" s="42"/>
      <c r="AK4237" s="74"/>
      <c r="AL4237" s="77"/>
      <c r="AN4237" s="497">
        <v>68</v>
      </c>
      <c r="AP4237" s="42"/>
      <c r="AQ4237" s="74"/>
      <c r="AR4237" s="77"/>
      <c r="AT4237" s="497">
        <v>62.06</v>
      </c>
      <c r="AV4237" s="42"/>
      <c r="AW4237" s="74"/>
      <c r="AX4237" s="77"/>
      <c r="BA4237" s="497">
        <v>64.94</v>
      </c>
      <c r="BB4237" s="42"/>
      <c r="BC4237" s="74"/>
      <c r="BD4237" s="77"/>
      <c r="BF4237">
        <v>78.080000000000013</v>
      </c>
      <c r="BH4237" s="42"/>
      <c r="BI4237" s="74"/>
      <c r="BJ4237" s="77"/>
      <c r="BL4237" s="497">
        <v>66.02</v>
      </c>
      <c r="BN4237" s="42"/>
      <c r="BO4237" s="74"/>
      <c r="BP4237" s="77"/>
      <c r="BR4237" s="497">
        <v>73.039999999999992</v>
      </c>
      <c r="BT4237" s="42"/>
    </row>
    <row r="4238" spans="1:72" x14ac:dyDescent="0.25">
      <c r="A4238" s="90">
        <v>34510</v>
      </c>
      <c r="B4238" s="20">
        <v>0.83333333333333337</v>
      </c>
      <c r="D4238">
        <v>69.080000000000013</v>
      </c>
      <c r="E4238" t="str">
        <f t="shared" si="166"/>
        <v>SATURDAY</v>
      </c>
      <c r="F4238" t="e">
        <f t="shared" si="167"/>
        <v>#N/A</v>
      </c>
      <c r="G4238" s="74">
        <v>33049</v>
      </c>
      <c r="H4238" s="77">
        <v>0.83333333333333337</v>
      </c>
      <c r="J4238">
        <v>73.039999999999992</v>
      </c>
      <c r="M4238" s="74">
        <v>37797</v>
      </c>
      <c r="N4238" s="77">
        <v>0.83333333333333337</v>
      </c>
      <c r="P4238">
        <v>78.800000000000011</v>
      </c>
      <c r="S4238" s="74">
        <v>34510</v>
      </c>
      <c r="T4238" s="77">
        <v>0.83333333333333337</v>
      </c>
      <c r="V4238">
        <v>82.039999999999992</v>
      </c>
      <c r="X4238" s="42"/>
      <c r="AB4238">
        <v>73.400000000000006</v>
      </c>
      <c r="AC4238">
        <v>75.92</v>
      </c>
      <c r="AE4238" s="74"/>
      <c r="AF4238" s="77"/>
      <c r="AH4238" s="497">
        <v>75.2</v>
      </c>
      <c r="AJ4238" s="42"/>
      <c r="AK4238" s="74"/>
      <c r="AL4238" s="77"/>
      <c r="AN4238" s="497">
        <v>66.02</v>
      </c>
      <c r="AP4238" s="42"/>
      <c r="AQ4238" s="74"/>
      <c r="AR4238" s="77"/>
      <c r="AT4238" s="497">
        <v>59</v>
      </c>
      <c r="AV4238" s="42"/>
      <c r="AW4238" s="74"/>
      <c r="AX4238" s="77"/>
      <c r="BA4238" s="497">
        <v>60.620000000000005</v>
      </c>
      <c r="BB4238" s="42"/>
      <c r="BC4238" s="74"/>
      <c r="BD4238" s="77"/>
      <c r="BF4238">
        <v>75.92</v>
      </c>
      <c r="BH4238" s="42"/>
      <c r="BI4238" s="74"/>
      <c r="BJ4238" s="77"/>
      <c r="BL4238" s="497">
        <v>60.980000000000004</v>
      </c>
      <c r="BN4238" s="42"/>
      <c r="BO4238" s="74"/>
      <c r="BP4238" s="77"/>
      <c r="BR4238" s="497">
        <v>69.080000000000013</v>
      </c>
      <c r="BT4238" s="42"/>
    </row>
    <row r="4239" spans="1:72" x14ac:dyDescent="0.25">
      <c r="A4239" s="90">
        <v>34510</v>
      </c>
      <c r="B4239" s="20">
        <v>0.875</v>
      </c>
      <c r="D4239">
        <v>68</v>
      </c>
      <c r="E4239" t="str">
        <f t="shared" si="166"/>
        <v>SATURDAY</v>
      </c>
      <c r="F4239" t="e">
        <f t="shared" si="167"/>
        <v>#N/A</v>
      </c>
      <c r="G4239" s="74">
        <v>33049</v>
      </c>
      <c r="H4239" s="77">
        <v>0.875</v>
      </c>
      <c r="J4239">
        <v>73.039999999999992</v>
      </c>
      <c r="M4239" s="74">
        <v>37797</v>
      </c>
      <c r="N4239" s="77">
        <v>0.875</v>
      </c>
      <c r="P4239">
        <v>77</v>
      </c>
      <c r="S4239" s="74">
        <v>34510</v>
      </c>
      <c r="T4239" s="77">
        <v>0.875</v>
      </c>
      <c r="V4239">
        <v>80.06</v>
      </c>
      <c r="X4239" s="42"/>
      <c r="AB4239">
        <v>72.3</v>
      </c>
      <c r="AC4239">
        <v>73.94</v>
      </c>
      <c r="AE4239" s="74"/>
      <c r="AF4239" s="77"/>
      <c r="AH4239" s="497">
        <v>73.400000000000006</v>
      </c>
      <c r="AJ4239" s="42"/>
      <c r="AK4239" s="74"/>
      <c r="AL4239" s="77"/>
      <c r="AN4239" s="497">
        <v>64.039999999999992</v>
      </c>
      <c r="AP4239" s="42"/>
      <c r="AQ4239" s="74"/>
      <c r="AR4239" s="77"/>
      <c r="AT4239" s="497">
        <v>57.019999999999996</v>
      </c>
      <c r="AV4239" s="42"/>
      <c r="AW4239" s="74"/>
      <c r="AX4239" s="77"/>
      <c r="BA4239" s="497">
        <v>56.3</v>
      </c>
      <c r="BB4239" s="42"/>
      <c r="BC4239" s="74"/>
      <c r="BD4239" s="77"/>
      <c r="BF4239">
        <v>73.039999999999992</v>
      </c>
      <c r="BH4239" s="42"/>
      <c r="BI4239" s="74"/>
      <c r="BJ4239" s="77"/>
      <c r="BL4239" s="497">
        <v>57.019999999999996</v>
      </c>
      <c r="BN4239" s="42"/>
      <c r="BO4239" s="74"/>
      <c r="BP4239" s="77"/>
      <c r="BR4239" s="497">
        <v>66.02</v>
      </c>
      <c r="BT4239" s="42"/>
    </row>
    <row r="4240" spans="1:72" x14ac:dyDescent="0.25">
      <c r="A4240" s="90">
        <v>34510</v>
      </c>
      <c r="B4240" s="20">
        <v>0.91666666666666663</v>
      </c>
      <c r="D4240">
        <v>69.080000000000013</v>
      </c>
      <c r="E4240" t="str">
        <f t="shared" si="166"/>
        <v>SATURDAY</v>
      </c>
      <c r="F4240" t="e">
        <f t="shared" si="167"/>
        <v>#N/A</v>
      </c>
      <c r="G4240" s="74">
        <v>33049</v>
      </c>
      <c r="H4240" s="77">
        <v>0.91666666666666663</v>
      </c>
      <c r="J4240">
        <v>71.960000000000008</v>
      </c>
      <c r="M4240" s="74">
        <v>37797</v>
      </c>
      <c r="N4240" s="77">
        <v>0.91666666666666663</v>
      </c>
      <c r="P4240">
        <v>75.2</v>
      </c>
      <c r="S4240" s="74">
        <v>34510</v>
      </c>
      <c r="T4240" s="77">
        <v>0.91666666666666663</v>
      </c>
      <c r="V4240">
        <v>78.080000000000013</v>
      </c>
      <c r="X4240" s="42"/>
      <c r="AB4240">
        <v>71.599999999999994</v>
      </c>
      <c r="AC4240">
        <v>73.94</v>
      </c>
      <c r="AE4240" s="74"/>
      <c r="AF4240" s="77"/>
      <c r="AH4240" s="497">
        <v>71.599999999999994</v>
      </c>
      <c r="AJ4240" s="42"/>
      <c r="AK4240" s="74"/>
      <c r="AL4240" s="77"/>
      <c r="AN4240" s="497">
        <v>62.96</v>
      </c>
      <c r="AP4240" s="42"/>
      <c r="AQ4240" s="74"/>
      <c r="AR4240" s="77"/>
      <c r="AT4240" s="497">
        <v>55.040000000000006</v>
      </c>
      <c r="AV4240" s="42"/>
      <c r="AW4240" s="74"/>
      <c r="AX4240" s="77"/>
      <c r="BA4240" s="497">
        <v>51.980000000000004</v>
      </c>
      <c r="BB4240" s="42"/>
      <c r="BC4240" s="74"/>
      <c r="BD4240" s="77"/>
      <c r="BF4240">
        <v>71.960000000000008</v>
      </c>
      <c r="BH4240" s="42"/>
      <c r="BI4240" s="74"/>
      <c r="BJ4240" s="77"/>
      <c r="BL4240" s="497">
        <v>55.040000000000006</v>
      </c>
      <c r="BN4240" s="42"/>
      <c r="BO4240" s="74"/>
      <c r="BP4240" s="77"/>
      <c r="BR4240" s="497">
        <v>60.980000000000004</v>
      </c>
      <c r="BT4240" s="42"/>
    </row>
    <row r="4241" spans="1:72" x14ac:dyDescent="0.25">
      <c r="A4241" s="90">
        <v>34510</v>
      </c>
      <c r="B4241" s="20">
        <v>0.95833333333333337</v>
      </c>
      <c r="D4241">
        <v>69.98</v>
      </c>
      <c r="E4241" t="str">
        <f t="shared" si="166"/>
        <v>SATURDAY</v>
      </c>
      <c r="F4241" t="e">
        <f t="shared" si="167"/>
        <v>#N/A</v>
      </c>
      <c r="G4241" s="74">
        <v>33049</v>
      </c>
      <c r="H4241" s="77">
        <v>0.95833333333333337</v>
      </c>
      <c r="J4241">
        <v>71.06</v>
      </c>
      <c r="M4241" s="74">
        <v>37797</v>
      </c>
      <c r="N4241" s="77">
        <v>0.95833333333333337</v>
      </c>
      <c r="P4241">
        <v>75.2</v>
      </c>
      <c r="S4241" s="74">
        <v>34510</v>
      </c>
      <c r="T4241" s="77">
        <v>0.95833333333333337</v>
      </c>
      <c r="V4241">
        <v>75.92</v>
      </c>
      <c r="X4241" s="42"/>
      <c r="AB4241">
        <v>71.099999999999994</v>
      </c>
      <c r="AC4241">
        <v>71.960000000000008</v>
      </c>
      <c r="AE4241" s="74"/>
      <c r="AF4241" s="77"/>
      <c r="AH4241" s="497">
        <v>71.599999999999994</v>
      </c>
      <c r="AJ4241" s="42"/>
      <c r="AK4241" s="74"/>
      <c r="AL4241" s="77"/>
      <c r="AN4241" s="497">
        <v>62.96</v>
      </c>
      <c r="AP4241" s="42"/>
      <c r="AQ4241" s="74"/>
      <c r="AR4241" s="77"/>
      <c r="AT4241" s="497">
        <v>53.06</v>
      </c>
      <c r="AV4241" s="42"/>
      <c r="AW4241" s="74"/>
      <c r="AX4241" s="77"/>
      <c r="BA4241" s="497">
        <v>49.64</v>
      </c>
      <c r="BB4241" s="42"/>
      <c r="BC4241" s="74"/>
      <c r="BD4241" s="77"/>
      <c r="BF4241">
        <v>71.06</v>
      </c>
      <c r="BH4241" s="42"/>
      <c r="BI4241" s="74"/>
      <c r="BJ4241" s="77"/>
      <c r="BL4241" s="497">
        <v>53.06</v>
      </c>
      <c r="BN4241" s="42"/>
      <c r="BO4241" s="74"/>
      <c r="BP4241" s="77"/>
      <c r="BR4241" s="497">
        <v>59</v>
      </c>
      <c r="BT4241" s="42"/>
    </row>
    <row r="4242" spans="1:72" x14ac:dyDescent="0.25">
      <c r="A4242" s="90">
        <v>34510</v>
      </c>
      <c r="B4242" s="20">
        <v>1</v>
      </c>
      <c r="D4242">
        <v>69.98</v>
      </c>
      <c r="E4242" t="str">
        <f t="shared" si="166"/>
        <v>SATURDAY</v>
      </c>
      <c r="F4242" t="e">
        <f t="shared" si="167"/>
        <v>#N/A</v>
      </c>
      <c r="G4242" s="74">
        <v>33049</v>
      </c>
      <c r="H4242" s="77">
        <v>1</v>
      </c>
      <c r="J4242">
        <v>71.06</v>
      </c>
      <c r="M4242" s="74">
        <v>37797</v>
      </c>
      <c r="N4242" s="80">
        <v>1</v>
      </c>
      <c r="P4242">
        <v>73.400000000000006</v>
      </c>
      <c r="S4242" s="74">
        <v>34510</v>
      </c>
      <c r="T4242" s="80">
        <v>1</v>
      </c>
      <c r="V4242">
        <v>73.94</v>
      </c>
      <c r="X4242" s="42"/>
      <c r="AB4242">
        <v>70.599999999999994</v>
      </c>
      <c r="AC4242">
        <v>73.94</v>
      </c>
      <c r="AE4242" s="74"/>
      <c r="AF4242" s="80"/>
      <c r="AH4242" s="497">
        <v>71.599999999999994</v>
      </c>
      <c r="AJ4242" s="42"/>
      <c r="AK4242" s="74"/>
      <c r="AL4242" s="80"/>
      <c r="AN4242" s="497">
        <v>62.06</v>
      </c>
      <c r="AP4242" s="42"/>
      <c r="AQ4242" s="74"/>
      <c r="AR4242" s="80"/>
      <c r="AT4242" s="497">
        <v>53.06</v>
      </c>
      <c r="AV4242" s="42"/>
      <c r="AW4242" s="74"/>
      <c r="AX4242" s="80"/>
      <c r="BA4242" s="497">
        <v>47.3</v>
      </c>
      <c r="BB4242" s="42"/>
      <c r="BC4242" s="74"/>
      <c r="BD4242" s="80"/>
      <c r="BF4242">
        <v>69.98</v>
      </c>
      <c r="BH4242" s="42"/>
      <c r="BI4242" s="74"/>
      <c r="BJ4242" s="80"/>
      <c r="BL4242" s="497">
        <v>50</v>
      </c>
      <c r="BN4242" s="42"/>
      <c r="BO4242" s="74"/>
      <c r="BP4242" s="80"/>
      <c r="BR4242" s="497">
        <v>57.019999999999996</v>
      </c>
      <c r="BT4242" s="42"/>
    </row>
    <row r="4243" spans="1:72" x14ac:dyDescent="0.25">
      <c r="A4243" s="90">
        <v>34511</v>
      </c>
      <c r="B4243" s="20">
        <v>4.1666666666666664E-2</v>
      </c>
      <c r="D4243">
        <v>69.080000000000013</v>
      </c>
      <c r="E4243" t="str">
        <f t="shared" ref="E4243:E4306" si="168">IF(COUNTIF($DI$18:$DI$22, WEEKDAY(A4243))=1, "WEEKDAY", IF(WEEKDAY(A4243) = 1, "SUNDAY", "SATURDAY"))</f>
        <v>SUNDAY</v>
      </c>
      <c r="F4243" t="e">
        <f t="shared" si="167"/>
        <v>#N/A</v>
      </c>
      <c r="G4243" s="74">
        <v>33050</v>
      </c>
      <c r="H4243" s="77">
        <v>4.1666666666666664E-2</v>
      </c>
      <c r="J4243">
        <v>69.080000000000013</v>
      </c>
      <c r="M4243" s="74">
        <v>37798</v>
      </c>
      <c r="N4243" s="77">
        <v>4.1666666666666664E-2</v>
      </c>
      <c r="P4243">
        <v>73.400000000000006</v>
      </c>
      <c r="S4243" s="74">
        <v>34511</v>
      </c>
      <c r="T4243" s="77">
        <v>4.1666666666666664E-2</v>
      </c>
      <c r="V4243">
        <v>71.960000000000008</v>
      </c>
      <c r="X4243" s="42"/>
      <c r="AB4243">
        <v>69.900000000000006</v>
      </c>
      <c r="AC4243">
        <v>69.98</v>
      </c>
      <c r="AE4243" s="74"/>
      <c r="AF4243" s="77"/>
      <c r="AH4243" s="497">
        <v>71.599999999999994</v>
      </c>
      <c r="AJ4243" s="42"/>
      <c r="AK4243" s="74"/>
      <c r="AL4243" s="77"/>
      <c r="AN4243" s="497">
        <v>60.980000000000004</v>
      </c>
      <c r="AP4243" s="42"/>
      <c r="AQ4243" s="74"/>
      <c r="AR4243" s="77"/>
      <c r="AT4243" s="497">
        <v>51.980000000000004</v>
      </c>
      <c r="AV4243" s="42"/>
      <c r="AW4243" s="74"/>
      <c r="AX4243" s="77"/>
      <c r="BA4243" s="497">
        <v>44.96</v>
      </c>
      <c r="BB4243" s="42"/>
      <c r="BC4243" s="74"/>
      <c r="BD4243" s="77"/>
      <c r="BF4243">
        <v>69.98</v>
      </c>
      <c r="BH4243" s="42"/>
      <c r="BI4243" s="74"/>
      <c r="BJ4243" s="77"/>
      <c r="BL4243" s="497">
        <v>46.94</v>
      </c>
      <c r="BN4243" s="42"/>
      <c r="BO4243" s="74"/>
      <c r="BP4243" s="77"/>
      <c r="BR4243" s="497">
        <v>59</v>
      </c>
      <c r="BT4243" s="42"/>
    </row>
    <row r="4244" spans="1:72" x14ac:dyDescent="0.25">
      <c r="A4244" s="90">
        <v>34511</v>
      </c>
      <c r="B4244" s="20">
        <v>8.3333333333333329E-2</v>
      </c>
      <c r="D4244">
        <v>69.080000000000013</v>
      </c>
      <c r="E4244" t="str">
        <f t="shared" si="168"/>
        <v>SUNDAY</v>
      </c>
      <c r="F4244" t="e">
        <f t="shared" si="167"/>
        <v>#N/A</v>
      </c>
      <c r="G4244" s="74">
        <v>33050</v>
      </c>
      <c r="H4244" s="77">
        <v>8.3333333333333329E-2</v>
      </c>
      <c r="J4244">
        <v>69.080000000000013</v>
      </c>
      <c r="M4244" s="74">
        <v>37798</v>
      </c>
      <c r="N4244" s="77">
        <v>8.3333333333333329E-2</v>
      </c>
      <c r="P4244">
        <v>71.599999999999994</v>
      </c>
      <c r="S4244" s="74">
        <v>34511</v>
      </c>
      <c r="T4244" s="77">
        <v>8.3333333333333329E-2</v>
      </c>
      <c r="V4244">
        <v>71.06</v>
      </c>
      <c r="X4244" s="42"/>
      <c r="AB4244">
        <v>69.400000000000006</v>
      </c>
      <c r="AC4244">
        <v>68</v>
      </c>
      <c r="AE4244" s="74"/>
      <c r="AF4244" s="77"/>
      <c r="AH4244" s="497">
        <v>68</v>
      </c>
      <c r="AJ4244" s="42"/>
      <c r="AK4244" s="74"/>
      <c r="AL4244" s="77"/>
      <c r="AN4244" s="497">
        <v>59</v>
      </c>
      <c r="AP4244" s="42"/>
      <c r="AQ4244" s="74"/>
      <c r="AR4244" s="77"/>
      <c r="AT4244" s="497">
        <v>46.94</v>
      </c>
      <c r="AV4244" s="42"/>
      <c r="AW4244" s="74"/>
      <c r="AX4244" s="77"/>
      <c r="BA4244" s="497">
        <v>44.6</v>
      </c>
      <c r="BB4244" s="42"/>
      <c r="BC4244" s="74"/>
      <c r="BD4244" s="77"/>
      <c r="BF4244">
        <v>69.98</v>
      </c>
      <c r="BH4244" s="42"/>
      <c r="BI4244" s="74"/>
      <c r="BJ4244" s="77"/>
      <c r="BL4244" s="497">
        <v>46.94</v>
      </c>
      <c r="BN4244" s="42"/>
      <c r="BO4244" s="74"/>
      <c r="BP4244" s="77"/>
      <c r="BR4244" s="497">
        <v>59</v>
      </c>
      <c r="BT4244" s="42"/>
    </row>
    <row r="4245" spans="1:72" x14ac:dyDescent="0.25">
      <c r="A4245" s="90">
        <v>34511</v>
      </c>
      <c r="B4245" s="20">
        <v>0.125</v>
      </c>
      <c r="D4245">
        <v>69.080000000000013</v>
      </c>
      <c r="E4245" t="str">
        <f t="shared" si="168"/>
        <v>SUNDAY</v>
      </c>
      <c r="F4245" t="e">
        <f t="shared" si="167"/>
        <v>#N/A</v>
      </c>
      <c r="G4245" s="74">
        <v>33050</v>
      </c>
      <c r="H4245" s="77">
        <v>0.125</v>
      </c>
      <c r="J4245">
        <v>68</v>
      </c>
      <c r="M4245" s="74">
        <v>37798</v>
      </c>
      <c r="N4245" s="77">
        <v>0.125</v>
      </c>
      <c r="P4245">
        <v>71.599999999999994</v>
      </c>
      <c r="S4245" s="74">
        <v>34511</v>
      </c>
      <c r="T4245" s="77">
        <v>0.125</v>
      </c>
      <c r="V4245">
        <v>69.98</v>
      </c>
      <c r="X4245" s="42"/>
      <c r="AB4245">
        <v>68.8</v>
      </c>
      <c r="AC4245">
        <v>66.92</v>
      </c>
      <c r="AE4245" s="74"/>
      <c r="AF4245" s="77"/>
      <c r="AH4245" s="497">
        <v>68</v>
      </c>
      <c r="AJ4245" s="42"/>
      <c r="AK4245" s="74"/>
      <c r="AL4245" s="77"/>
      <c r="AN4245" s="497">
        <v>59</v>
      </c>
      <c r="AP4245" s="42"/>
      <c r="AQ4245" s="74"/>
      <c r="AR4245" s="77"/>
      <c r="AT4245" s="497">
        <v>46.94</v>
      </c>
      <c r="AV4245" s="42"/>
      <c r="AW4245" s="74"/>
      <c r="AX4245" s="77"/>
      <c r="BA4245" s="497">
        <v>44.42</v>
      </c>
      <c r="BB4245" s="42"/>
      <c r="BC4245" s="74"/>
      <c r="BD4245" s="77"/>
      <c r="BF4245">
        <v>69.98</v>
      </c>
      <c r="BH4245" s="42"/>
      <c r="BI4245" s="74"/>
      <c r="BJ4245" s="77"/>
      <c r="BL4245" s="497">
        <v>46.04</v>
      </c>
      <c r="BN4245" s="42"/>
      <c r="BO4245" s="74"/>
      <c r="BP4245" s="77"/>
      <c r="BR4245" s="497">
        <v>57.92</v>
      </c>
      <c r="BT4245" s="42"/>
    </row>
    <row r="4246" spans="1:72" x14ac:dyDescent="0.25">
      <c r="A4246" s="90">
        <v>34511</v>
      </c>
      <c r="B4246" s="20">
        <v>0.16666666666666666</v>
      </c>
      <c r="D4246">
        <v>69.080000000000013</v>
      </c>
      <c r="E4246" t="str">
        <f t="shared" si="168"/>
        <v>SUNDAY</v>
      </c>
      <c r="F4246" t="e">
        <f t="shared" si="167"/>
        <v>#N/A</v>
      </c>
      <c r="G4246" s="74">
        <v>33050</v>
      </c>
      <c r="H4246" s="77">
        <v>0.16666666666666666</v>
      </c>
      <c r="J4246">
        <v>66.92</v>
      </c>
      <c r="M4246" s="74">
        <v>37798</v>
      </c>
      <c r="N4246" s="77">
        <v>0.16666666666666666</v>
      </c>
      <c r="P4246">
        <v>69.800000000000011</v>
      </c>
      <c r="S4246" s="74">
        <v>34511</v>
      </c>
      <c r="T4246" s="77">
        <v>0.16666666666666666</v>
      </c>
      <c r="V4246">
        <v>69.080000000000013</v>
      </c>
      <c r="X4246" s="42"/>
      <c r="AB4246">
        <v>68.3</v>
      </c>
      <c r="AC4246">
        <v>66.02</v>
      </c>
      <c r="AE4246" s="74"/>
      <c r="AF4246" s="77"/>
      <c r="AH4246" s="497">
        <v>69.800000000000011</v>
      </c>
      <c r="AJ4246" s="42"/>
      <c r="AK4246" s="74"/>
      <c r="AL4246" s="77"/>
      <c r="AN4246" s="497">
        <v>59</v>
      </c>
      <c r="AP4246" s="42"/>
      <c r="AQ4246" s="74"/>
      <c r="AR4246" s="77"/>
      <c r="AT4246" s="497">
        <v>50</v>
      </c>
      <c r="AV4246" s="42"/>
      <c r="AW4246" s="74"/>
      <c r="AX4246" s="77"/>
      <c r="BA4246" s="497">
        <v>44.06</v>
      </c>
      <c r="BB4246" s="42"/>
      <c r="BC4246" s="74"/>
      <c r="BD4246" s="77"/>
      <c r="BF4246">
        <v>69.080000000000013</v>
      </c>
      <c r="BH4246" s="42"/>
      <c r="BI4246" s="74"/>
      <c r="BJ4246" s="77"/>
      <c r="BL4246" s="497">
        <v>44.96</v>
      </c>
      <c r="BN4246" s="42"/>
      <c r="BO4246" s="74"/>
      <c r="BP4246" s="77"/>
      <c r="BR4246" s="497">
        <v>57.92</v>
      </c>
      <c r="BT4246" s="42"/>
    </row>
    <row r="4247" spans="1:72" x14ac:dyDescent="0.25">
      <c r="A4247" s="90">
        <v>34511</v>
      </c>
      <c r="B4247" s="20">
        <v>0.20833333333333334</v>
      </c>
      <c r="D4247">
        <v>69.98</v>
      </c>
      <c r="E4247" t="str">
        <f t="shared" si="168"/>
        <v>SUNDAY</v>
      </c>
      <c r="F4247" t="e">
        <f t="shared" si="167"/>
        <v>#N/A</v>
      </c>
      <c r="G4247" s="74">
        <v>33050</v>
      </c>
      <c r="H4247" s="77">
        <v>0.20833333333333334</v>
      </c>
      <c r="J4247">
        <v>66.92</v>
      </c>
      <c r="M4247" s="74">
        <v>37798</v>
      </c>
      <c r="N4247" s="77">
        <v>0.20833333333333334</v>
      </c>
      <c r="P4247">
        <v>71.599999999999994</v>
      </c>
      <c r="S4247" s="74">
        <v>34511</v>
      </c>
      <c r="T4247" s="77">
        <v>0.20833333333333334</v>
      </c>
      <c r="V4247">
        <v>69.080000000000013</v>
      </c>
      <c r="X4247" s="42"/>
      <c r="AB4247">
        <v>67.900000000000006</v>
      </c>
      <c r="AC4247">
        <v>66.02</v>
      </c>
      <c r="AE4247" s="74"/>
      <c r="AF4247" s="77"/>
      <c r="AH4247" s="497">
        <v>68</v>
      </c>
      <c r="AJ4247" s="42"/>
      <c r="AK4247" s="74"/>
      <c r="AL4247" s="77"/>
      <c r="AN4247" s="497">
        <v>59</v>
      </c>
      <c r="AP4247" s="42"/>
      <c r="AQ4247" s="74"/>
      <c r="AR4247" s="77"/>
      <c r="AT4247" s="497">
        <v>50</v>
      </c>
      <c r="AV4247" s="42"/>
      <c r="AW4247" s="74"/>
      <c r="AX4247" s="77"/>
      <c r="BA4247" s="497">
        <v>47.120000000000005</v>
      </c>
      <c r="BB4247" s="42"/>
      <c r="BC4247" s="74"/>
      <c r="BD4247" s="77"/>
      <c r="BF4247">
        <v>69.080000000000013</v>
      </c>
      <c r="BH4247" s="42"/>
      <c r="BI4247" s="74"/>
      <c r="BJ4247" s="77"/>
      <c r="BL4247" s="497">
        <v>44.06</v>
      </c>
      <c r="BN4247" s="42"/>
      <c r="BO4247" s="74"/>
      <c r="BP4247" s="77"/>
      <c r="BR4247" s="497">
        <v>57.019999999999996</v>
      </c>
      <c r="BT4247" s="42"/>
    </row>
    <row r="4248" spans="1:72" x14ac:dyDescent="0.25">
      <c r="A4248" s="90">
        <v>34511</v>
      </c>
      <c r="B4248" s="20">
        <v>0.25</v>
      </c>
      <c r="D4248">
        <v>69.98</v>
      </c>
      <c r="E4248" t="str">
        <f t="shared" si="168"/>
        <v>SUNDAY</v>
      </c>
      <c r="F4248" t="e">
        <f t="shared" si="167"/>
        <v>#N/A</v>
      </c>
      <c r="G4248" s="74">
        <v>33050</v>
      </c>
      <c r="H4248" s="77">
        <v>0.25</v>
      </c>
      <c r="J4248">
        <v>66.92</v>
      </c>
      <c r="M4248" s="74">
        <v>37798</v>
      </c>
      <c r="N4248" s="77">
        <v>0.25</v>
      </c>
      <c r="P4248">
        <v>73.400000000000006</v>
      </c>
      <c r="S4248" s="74">
        <v>34511</v>
      </c>
      <c r="T4248" s="77">
        <v>0.25</v>
      </c>
      <c r="V4248">
        <v>71.06</v>
      </c>
      <c r="X4248" s="42"/>
      <c r="AB4248">
        <v>67.8</v>
      </c>
      <c r="AC4248">
        <v>69.080000000000013</v>
      </c>
      <c r="AE4248" s="74"/>
      <c r="AF4248" s="77"/>
      <c r="AH4248" s="497">
        <v>69.800000000000011</v>
      </c>
      <c r="AJ4248" s="42"/>
      <c r="AK4248" s="74"/>
      <c r="AL4248" s="77"/>
      <c r="AN4248" s="497">
        <v>60.08</v>
      </c>
      <c r="AP4248" s="42"/>
      <c r="AQ4248" s="74"/>
      <c r="AR4248" s="77"/>
      <c r="AT4248" s="497">
        <v>51.980000000000004</v>
      </c>
      <c r="AV4248" s="42"/>
      <c r="AW4248" s="74"/>
      <c r="AX4248" s="77"/>
      <c r="BA4248" s="497">
        <v>50</v>
      </c>
      <c r="BB4248" s="42"/>
      <c r="BC4248" s="74"/>
      <c r="BD4248" s="77"/>
      <c r="BF4248">
        <v>69.080000000000013</v>
      </c>
      <c r="BH4248" s="42"/>
      <c r="BI4248" s="74"/>
      <c r="BJ4248" s="77"/>
      <c r="BL4248" s="497">
        <v>48.019999999999996</v>
      </c>
      <c r="BN4248" s="42"/>
      <c r="BO4248" s="74"/>
      <c r="BP4248" s="77"/>
      <c r="BR4248" s="497">
        <v>55.94</v>
      </c>
      <c r="BT4248" s="42"/>
    </row>
    <row r="4249" spans="1:72" x14ac:dyDescent="0.25">
      <c r="A4249" s="90">
        <v>34511</v>
      </c>
      <c r="B4249" s="20">
        <v>0.29166666666666669</v>
      </c>
      <c r="D4249">
        <v>71.06</v>
      </c>
      <c r="E4249" t="str">
        <f t="shared" si="168"/>
        <v>SUNDAY</v>
      </c>
      <c r="F4249" t="e">
        <f t="shared" si="167"/>
        <v>#N/A</v>
      </c>
      <c r="G4249" s="74">
        <v>33050</v>
      </c>
      <c r="H4249" s="77">
        <v>0.29166666666666669</v>
      </c>
      <c r="J4249">
        <v>69.98</v>
      </c>
      <c r="M4249" s="74">
        <v>37798</v>
      </c>
      <c r="N4249" s="77">
        <v>0.29166666666666669</v>
      </c>
      <c r="P4249">
        <v>78.800000000000011</v>
      </c>
      <c r="S4249" s="74">
        <v>34511</v>
      </c>
      <c r="T4249" s="77">
        <v>0.29166666666666669</v>
      </c>
      <c r="V4249">
        <v>73.94</v>
      </c>
      <c r="X4249" s="42"/>
      <c r="AB4249">
        <v>69.5</v>
      </c>
      <c r="AC4249">
        <v>71.960000000000008</v>
      </c>
      <c r="AE4249" s="74"/>
      <c r="AF4249" s="77"/>
      <c r="AH4249" s="497">
        <v>71.599999999999994</v>
      </c>
      <c r="AJ4249" s="42"/>
      <c r="AK4249" s="74"/>
      <c r="AL4249" s="77"/>
      <c r="AN4249" s="497">
        <v>62.96</v>
      </c>
      <c r="AP4249" s="42"/>
      <c r="AQ4249" s="74"/>
      <c r="AR4249" s="77"/>
      <c r="AT4249" s="497">
        <v>57.019999999999996</v>
      </c>
      <c r="AV4249" s="42"/>
      <c r="AW4249" s="74"/>
      <c r="AX4249" s="77"/>
      <c r="BA4249" s="497">
        <v>53.06</v>
      </c>
      <c r="BB4249" s="42"/>
      <c r="BC4249" s="74"/>
      <c r="BD4249" s="77"/>
      <c r="BF4249">
        <v>68</v>
      </c>
      <c r="BH4249" s="42"/>
      <c r="BI4249" s="74"/>
      <c r="BJ4249" s="77"/>
      <c r="BL4249" s="497">
        <v>51.980000000000004</v>
      </c>
      <c r="BN4249" s="42"/>
      <c r="BO4249" s="74"/>
      <c r="BP4249" s="77"/>
      <c r="BR4249" s="497">
        <v>55.040000000000006</v>
      </c>
      <c r="BT4249" s="42"/>
    </row>
    <row r="4250" spans="1:72" x14ac:dyDescent="0.25">
      <c r="A4250" s="90">
        <v>34511</v>
      </c>
      <c r="B4250" s="20">
        <v>0.33333333333333331</v>
      </c>
      <c r="D4250">
        <v>71.960000000000008</v>
      </c>
      <c r="E4250" t="str">
        <f t="shared" si="168"/>
        <v>SUNDAY</v>
      </c>
      <c r="F4250" t="e">
        <f t="shared" si="167"/>
        <v>#N/A</v>
      </c>
      <c r="G4250" s="74">
        <v>33050</v>
      </c>
      <c r="H4250" s="77">
        <v>0.33333333333333331</v>
      </c>
      <c r="J4250">
        <v>73.039999999999992</v>
      </c>
      <c r="M4250" s="74">
        <v>37798</v>
      </c>
      <c r="N4250" s="77">
        <v>0.33333333333333331</v>
      </c>
      <c r="P4250">
        <v>80.599999999999994</v>
      </c>
      <c r="S4250" s="74">
        <v>34511</v>
      </c>
      <c r="T4250" s="77">
        <v>0.33333333333333331</v>
      </c>
      <c r="V4250">
        <v>75.02</v>
      </c>
      <c r="X4250" s="42"/>
      <c r="AB4250">
        <v>71.5</v>
      </c>
      <c r="AC4250">
        <v>75.92</v>
      </c>
      <c r="AE4250" s="74"/>
      <c r="AF4250" s="77"/>
      <c r="AH4250" s="497">
        <v>71.599999999999994</v>
      </c>
      <c r="AJ4250" s="42"/>
      <c r="AK4250" s="74"/>
      <c r="AL4250" s="77"/>
      <c r="AN4250" s="497">
        <v>66.92</v>
      </c>
      <c r="AP4250" s="42"/>
      <c r="AQ4250" s="74"/>
      <c r="AR4250" s="77"/>
      <c r="AT4250" s="497">
        <v>62.06</v>
      </c>
      <c r="AV4250" s="42"/>
      <c r="AW4250" s="74"/>
      <c r="AX4250" s="77"/>
      <c r="BA4250" s="497">
        <v>58.64</v>
      </c>
      <c r="BB4250" s="42"/>
      <c r="BC4250" s="74"/>
      <c r="BD4250" s="77"/>
      <c r="BF4250">
        <v>71.06</v>
      </c>
      <c r="BH4250" s="42"/>
      <c r="BI4250" s="74"/>
      <c r="BJ4250" s="77"/>
      <c r="BL4250" s="497">
        <v>59</v>
      </c>
      <c r="BN4250" s="42"/>
      <c r="BO4250" s="74"/>
      <c r="BP4250" s="77"/>
      <c r="BR4250" s="497">
        <v>55.040000000000006</v>
      </c>
      <c r="BT4250" s="42"/>
    </row>
    <row r="4251" spans="1:72" x14ac:dyDescent="0.25">
      <c r="A4251" s="90">
        <v>34511</v>
      </c>
      <c r="B4251" s="20">
        <v>0.375</v>
      </c>
      <c r="D4251">
        <v>73.039999999999992</v>
      </c>
      <c r="E4251" t="str">
        <f t="shared" si="168"/>
        <v>SUNDAY</v>
      </c>
      <c r="F4251" t="e">
        <f t="shared" si="167"/>
        <v>#N/A</v>
      </c>
      <c r="G4251" s="74">
        <v>33050</v>
      </c>
      <c r="H4251" s="77">
        <v>0.375</v>
      </c>
      <c r="J4251">
        <v>75.02</v>
      </c>
      <c r="M4251" s="74">
        <v>37798</v>
      </c>
      <c r="N4251" s="77">
        <v>0.375</v>
      </c>
      <c r="P4251">
        <v>82.4</v>
      </c>
      <c r="S4251" s="74">
        <v>34511</v>
      </c>
      <c r="T4251" s="77">
        <v>0.375</v>
      </c>
      <c r="V4251">
        <v>77</v>
      </c>
      <c r="X4251" s="42"/>
      <c r="AB4251">
        <v>73.400000000000006</v>
      </c>
      <c r="AC4251">
        <v>80.06</v>
      </c>
      <c r="AE4251" s="74"/>
      <c r="AF4251" s="77"/>
      <c r="AH4251" s="497">
        <v>75.2</v>
      </c>
      <c r="AJ4251" s="42"/>
      <c r="AK4251" s="74"/>
      <c r="AL4251" s="77"/>
      <c r="AN4251" s="497">
        <v>69.98</v>
      </c>
      <c r="AP4251" s="42"/>
      <c r="AQ4251" s="74"/>
      <c r="AR4251" s="77"/>
      <c r="AT4251" s="497">
        <v>64.039999999999992</v>
      </c>
      <c r="AV4251" s="42"/>
      <c r="AW4251" s="74"/>
      <c r="AX4251" s="77"/>
      <c r="BA4251" s="497">
        <v>64.400000000000006</v>
      </c>
      <c r="BB4251" s="42"/>
      <c r="BC4251" s="74"/>
      <c r="BD4251" s="77"/>
      <c r="BF4251">
        <v>73.94</v>
      </c>
      <c r="BH4251" s="42"/>
      <c r="BI4251" s="74"/>
      <c r="BJ4251" s="77"/>
      <c r="BL4251" s="497">
        <v>64.94</v>
      </c>
      <c r="BN4251" s="42"/>
      <c r="BO4251" s="74"/>
      <c r="BP4251" s="77"/>
      <c r="BR4251" s="497">
        <v>55.040000000000006</v>
      </c>
      <c r="BT4251" s="42"/>
    </row>
    <row r="4252" spans="1:72" x14ac:dyDescent="0.25">
      <c r="A4252" s="90">
        <v>34511</v>
      </c>
      <c r="B4252" s="20">
        <v>0.41666666666666669</v>
      </c>
      <c r="D4252">
        <v>73.94</v>
      </c>
      <c r="E4252" t="str">
        <f t="shared" si="168"/>
        <v>SUNDAY</v>
      </c>
      <c r="F4252" t="e">
        <f t="shared" si="167"/>
        <v>#N/A</v>
      </c>
      <c r="G4252" s="74">
        <v>33050</v>
      </c>
      <c r="H4252" s="77">
        <v>0.41666666666666669</v>
      </c>
      <c r="J4252">
        <v>77</v>
      </c>
      <c r="M4252" s="74">
        <v>37798</v>
      </c>
      <c r="N4252" s="77">
        <v>0.41666666666666669</v>
      </c>
      <c r="P4252">
        <v>84.2</v>
      </c>
      <c r="S4252" s="74">
        <v>34511</v>
      </c>
      <c r="T4252" s="77">
        <v>0.41666666666666669</v>
      </c>
      <c r="V4252">
        <v>78.98</v>
      </c>
      <c r="X4252" s="42"/>
      <c r="AB4252">
        <v>75.3</v>
      </c>
      <c r="AC4252">
        <v>78.98</v>
      </c>
      <c r="AE4252" s="74"/>
      <c r="AF4252" s="77"/>
      <c r="AH4252" s="497">
        <v>80.599999999999994</v>
      </c>
      <c r="AJ4252" s="42"/>
      <c r="AK4252" s="74"/>
      <c r="AL4252" s="77"/>
      <c r="AN4252" s="497">
        <v>73.039999999999992</v>
      </c>
      <c r="AP4252" s="42"/>
      <c r="AQ4252" s="74"/>
      <c r="AR4252" s="77"/>
      <c r="AT4252" s="497">
        <v>66.92</v>
      </c>
      <c r="AV4252" s="42"/>
      <c r="AW4252" s="74"/>
      <c r="AX4252" s="77"/>
      <c r="BA4252" s="497">
        <v>69.98</v>
      </c>
      <c r="BB4252" s="42"/>
      <c r="BC4252" s="74"/>
      <c r="BD4252" s="77"/>
      <c r="BF4252">
        <v>73.94</v>
      </c>
      <c r="BH4252" s="42"/>
      <c r="BI4252" s="74"/>
      <c r="BJ4252" s="77"/>
      <c r="BL4252" s="497">
        <v>69.080000000000013</v>
      </c>
      <c r="BN4252" s="42"/>
      <c r="BO4252" s="74"/>
      <c r="BP4252" s="77"/>
      <c r="BR4252" s="497">
        <v>57.019999999999996</v>
      </c>
      <c r="BT4252" s="42"/>
    </row>
    <row r="4253" spans="1:72" x14ac:dyDescent="0.25">
      <c r="A4253" s="90">
        <v>34511</v>
      </c>
      <c r="B4253" s="20">
        <v>0.45833333333333331</v>
      </c>
      <c r="D4253">
        <v>75.92</v>
      </c>
      <c r="E4253" t="str">
        <f t="shared" si="168"/>
        <v>SUNDAY</v>
      </c>
      <c r="F4253" t="e">
        <f t="shared" si="167"/>
        <v>#N/A</v>
      </c>
      <c r="G4253" s="74">
        <v>33050</v>
      </c>
      <c r="H4253" s="77">
        <v>0.45833333333333331</v>
      </c>
      <c r="J4253">
        <v>80.06</v>
      </c>
      <c r="M4253" s="74">
        <v>37798</v>
      </c>
      <c r="N4253" s="77">
        <v>0.45833333333333331</v>
      </c>
      <c r="P4253">
        <v>87.800000000000011</v>
      </c>
      <c r="S4253" s="74">
        <v>34511</v>
      </c>
      <c r="T4253" s="77">
        <v>0.45833333333333331</v>
      </c>
      <c r="V4253">
        <v>82.039999999999992</v>
      </c>
      <c r="X4253" s="42"/>
      <c r="AB4253">
        <v>76.8</v>
      </c>
      <c r="AC4253">
        <v>80.06</v>
      </c>
      <c r="AE4253" s="74"/>
      <c r="AF4253" s="77"/>
      <c r="AH4253" s="497">
        <v>82.4</v>
      </c>
      <c r="AJ4253" s="42"/>
      <c r="AK4253" s="74"/>
      <c r="AL4253" s="77"/>
      <c r="AN4253" s="497">
        <v>75.02</v>
      </c>
      <c r="AP4253" s="42"/>
      <c r="AQ4253" s="74"/>
      <c r="AR4253" s="77"/>
      <c r="AT4253" s="497">
        <v>71.06</v>
      </c>
      <c r="AV4253" s="42"/>
      <c r="AW4253" s="74"/>
      <c r="AX4253" s="77"/>
      <c r="BA4253" s="497">
        <v>71.599999999999994</v>
      </c>
      <c r="BB4253" s="42"/>
      <c r="BC4253" s="74"/>
      <c r="BD4253" s="77"/>
      <c r="BF4253">
        <v>73.94</v>
      </c>
      <c r="BH4253" s="42"/>
      <c r="BI4253" s="74"/>
      <c r="BJ4253" s="77"/>
      <c r="BL4253" s="497">
        <v>71.960000000000008</v>
      </c>
      <c r="BN4253" s="42"/>
      <c r="BO4253" s="74"/>
      <c r="BP4253" s="77"/>
      <c r="BR4253" s="497">
        <v>57.92</v>
      </c>
      <c r="BT4253" s="42"/>
    </row>
    <row r="4254" spans="1:72" x14ac:dyDescent="0.25">
      <c r="A4254" s="90">
        <v>34511</v>
      </c>
      <c r="B4254" s="20">
        <v>0.5</v>
      </c>
      <c r="D4254">
        <v>78.080000000000013</v>
      </c>
      <c r="E4254" t="str">
        <f t="shared" si="168"/>
        <v>SUNDAY</v>
      </c>
      <c r="F4254" t="e">
        <f t="shared" si="167"/>
        <v>#N/A</v>
      </c>
      <c r="G4254" s="74">
        <v>33050</v>
      </c>
      <c r="H4254" s="77">
        <v>0.5</v>
      </c>
      <c r="J4254">
        <v>80.960000000000008</v>
      </c>
      <c r="M4254" s="74">
        <v>37798</v>
      </c>
      <c r="N4254" s="77">
        <v>0.5</v>
      </c>
      <c r="P4254">
        <v>87.800000000000011</v>
      </c>
      <c r="S4254" s="74">
        <v>34511</v>
      </c>
      <c r="T4254" s="77">
        <v>0.5</v>
      </c>
      <c r="V4254">
        <v>80.06</v>
      </c>
      <c r="X4254" s="42"/>
      <c r="AB4254">
        <v>78</v>
      </c>
      <c r="AC4254">
        <v>80.06</v>
      </c>
      <c r="AE4254" s="74"/>
      <c r="AF4254" s="77"/>
      <c r="AH4254" s="497">
        <v>86</v>
      </c>
      <c r="AJ4254" s="42"/>
      <c r="AK4254" s="74"/>
      <c r="AL4254" s="77"/>
      <c r="AN4254" s="497">
        <v>75.92</v>
      </c>
      <c r="AP4254" s="42"/>
      <c r="AQ4254" s="74"/>
      <c r="AR4254" s="77"/>
      <c r="AT4254" s="497">
        <v>71.06</v>
      </c>
      <c r="AV4254" s="42"/>
      <c r="AW4254" s="74"/>
      <c r="AX4254" s="77"/>
      <c r="BA4254" s="497">
        <v>73.400000000000006</v>
      </c>
      <c r="BB4254" s="42"/>
      <c r="BC4254" s="74"/>
      <c r="BD4254" s="77"/>
      <c r="BF4254">
        <v>75.92</v>
      </c>
      <c r="BH4254" s="42"/>
      <c r="BI4254" s="74"/>
      <c r="BJ4254" s="77"/>
      <c r="BL4254" s="497">
        <v>73.94</v>
      </c>
      <c r="BN4254" s="42"/>
      <c r="BO4254" s="74"/>
      <c r="BP4254" s="77"/>
      <c r="BR4254" s="497">
        <v>57.92</v>
      </c>
      <c r="BT4254" s="42"/>
    </row>
    <row r="4255" spans="1:72" x14ac:dyDescent="0.25">
      <c r="A4255" s="90">
        <v>34511</v>
      </c>
      <c r="B4255" s="20">
        <v>0.54166666666666663</v>
      </c>
      <c r="D4255">
        <v>75.92</v>
      </c>
      <c r="E4255" t="str">
        <f t="shared" si="168"/>
        <v>SUNDAY</v>
      </c>
      <c r="F4255" t="e">
        <f t="shared" si="167"/>
        <v>#N/A</v>
      </c>
      <c r="G4255" s="74">
        <v>33050</v>
      </c>
      <c r="H4255" s="77">
        <v>0.54166666666666663</v>
      </c>
      <c r="J4255">
        <v>82.94</v>
      </c>
      <c r="M4255" s="74">
        <v>37798</v>
      </c>
      <c r="N4255" s="77">
        <v>0.54166666666666663</v>
      </c>
      <c r="P4255">
        <v>89.6</v>
      </c>
      <c r="S4255" s="74">
        <v>34511</v>
      </c>
      <c r="T4255" s="77">
        <v>0.54166666666666663</v>
      </c>
      <c r="V4255">
        <v>80.960000000000008</v>
      </c>
      <c r="X4255" s="42"/>
      <c r="AB4255">
        <v>78.7</v>
      </c>
      <c r="AC4255">
        <v>80.960000000000008</v>
      </c>
      <c r="AE4255" s="74"/>
      <c r="AF4255" s="77"/>
      <c r="AH4255" s="497">
        <v>87.800000000000011</v>
      </c>
      <c r="AJ4255" s="42"/>
      <c r="AK4255" s="74"/>
      <c r="AL4255" s="77"/>
      <c r="AN4255" s="497">
        <v>78.080000000000013</v>
      </c>
      <c r="AP4255" s="42"/>
      <c r="AQ4255" s="74"/>
      <c r="AR4255" s="77"/>
      <c r="AT4255" s="497">
        <v>71.960000000000008</v>
      </c>
      <c r="AV4255" s="42"/>
      <c r="AW4255" s="74"/>
      <c r="AX4255" s="77"/>
      <c r="BA4255" s="497">
        <v>75.02</v>
      </c>
      <c r="BB4255" s="42"/>
      <c r="BC4255" s="74"/>
      <c r="BD4255" s="77"/>
      <c r="BF4255">
        <v>78.98</v>
      </c>
      <c r="BH4255" s="42"/>
      <c r="BI4255" s="74"/>
      <c r="BJ4255" s="77"/>
      <c r="BL4255" s="497">
        <v>75.92</v>
      </c>
      <c r="BN4255" s="42"/>
      <c r="BO4255" s="74"/>
      <c r="BP4255" s="77"/>
      <c r="BR4255" s="497">
        <v>57.92</v>
      </c>
      <c r="BT4255" s="42"/>
    </row>
    <row r="4256" spans="1:72" x14ac:dyDescent="0.25">
      <c r="A4256" s="90">
        <v>34511</v>
      </c>
      <c r="B4256" s="20">
        <v>0.58333333333333337</v>
      </c>
      <c r="D4256">
        <v>77</v>
      </c>
      <c r="E4256" t="str">
        <f t="shared" si="168"/>
        <v>SUNDAY</v>
      </c>
      <c r="F4256" t="e">
        <f t="shared" si="167"/>
        <v>#N/A</v>
      </c>
      <c r="G4256" s="74">
        <v>33050</v>
      </c>
      <c r="H4256" s="77">
        <v>0.58333333333333337</v>
      </c>
      <c r="J4256">
        <v>84.02</v>
      </c>
      <c r="M4256" s="74">
        <v>37798</v>
      </c>
      <c r="N4256" s="77">
        <v>0.58333333333333337</v>
      </c>
      <c r="P4256">
        <v>89.6</v>
      </c>
      <c r="S4256" s="74">
        <v>34511</v>
      </c>
      <c r="T4256" s="77">
        <v>0.58333333333333337</v>
      </c>
      <c r="V4256">
        <v>80.960000000000008</v>
      </c>
      <c r="X4256" s="42"/>
      <c r="AB4256">
        <v>79</v>
      </c>
      <c r="AC4256">
        <v>80.960000000000008</v>
      </c>
      <c r="AE4256" s="74"/>
      <c r="AF4256" s="77"/>
      <c r="AH4256" s="497">
        <v>89.6</v>
      </c>
      <c r="AJ4256" s="42"/>
      <c r="AK4256" s="74"/>
      <c r="AL4256" s="77"/>
      <c r="AN4256" s="497">
        <v>77</v>
      </c>
      <c r="AP4256" s="42"/>
      <c r="AQ4256" s="74"/>
      <c r="AR4256" s="77"/>
      <c r="AT4256" s="497">
        <v>71.06</v>
      </c>
      <c r="AV4256" s="42"/>
      <c r="AW4256" s="74"/>
      <c r="AX4256" s="77"/>
      <c r="BA4256" s="497">
        <v>76.099999999999994</v>
      </c>
      <c r="BB4256" s="42"/>
      <c r="BC4256" s="74"/>
      <c r="BD4256" s="77"/>
      <c r="BF4256">
        <v>80.960000000000008</v>
      </c>
      <c r="BH4256" s="42"/>
      <c r="BI4256" s="74"/>
      <c r="BJ4256" s="77"/>
      <c r="BL4256" s="497">
        <v>78.080000000000013</v>
      </c>
      <c r="BN4256" s="42"/>
      <c r="BO4256" s="74"/>
      <c r="BP4256" s="77"/>
      <c r="BR4256" s="497">
        <v>57.019999999999996</v>
      </c>
      <c r="BT4256" s="42"/>
    </row>
    <row r="4257" spans="1:72" x14ac:dyDescent="0.25">
      <c r="A4257" s="90">
        <v>34511</v>
      </c>
      <c r="B4257" s="20">
        <v>0.625</v>
      </c>
      <c r="D4257">
        <v>78.080000000000013</v>
      </c>
      <c r="E4257" t="str">
        <f t="shared" si="168"/>
        <v>SUNDAY</v>
      </c>
      <c r="F4257" t="e">
        <f t="shared" si="167"/>
        <v>#N/A</v>
      </c>
      <c r="G4257" s="74">
        <v>33050</v>
      </c>
      <c r="H4257" s="77">
        <v>0.625</v>
      </c>
      <c r="J4257">
        <v>82.039999999999992</v>
      </c>
      <c r="M4257" s="74">
        <v>37798</v>
      </c>
      <c r="N4257" s="77">
        <v>0.625</v>
      </c>
      <c r="P4257">
        <v>91.4</v>
      </c>
      <c r="S4257" s="74">
        <v>34511</v>
      </c>
      <c r="T4257" s="77">
        <v>0.625</v>
      </c>
      <c r="V4257">
        <v>80.960000000000008</v>
      </c>
      <c r="X4257" s="42"/>
      <c r="AB4257">
        <v>79.2</v>
      </c>
      <c r="AC4257">
        <v>78.98</v>
      </c>
      <c r="AE4257" s="74"/>
      <c r="AF4257" s="77"/>
      <c r="AH4257" s="497">
        <v>89.6</v>
      </c>
      <c r="AJ4257" s="42"/>
      <c r="AK4257" s="74"/>
      <c r="AL4257" s="77"/>
      <c r="AN4257" s="497">
        <v>80.06</v>
      </c>
      <c r="AP4257" s="42"/>
      <c r="AQ4257" s="74"/>
      <c r="AR4257" s="77"/>
      <c r="AT4257" s="497">
        <v>71.06</v>
      </c>
      <c r="AV4257" s="42"/>
      <c r="AW4257" s="74"/>
      <c r="AX4257" s="77"/>
      <c r="BA4257" s="497">
        <v>77</v>
      </c>
      <c r="BB4257" s="42"/>
      <c r="BC4257" s="74"/>
      <c r="BD4257" s="77"/>
      <c r="BF4257">
        <v>82.039999999999992</v>
      </c>
      <c r="BH4257" s="42"/>
      <c r="BI4257" s="74"/>
      <c r="BJ4257" s="77"/>
      <c r="BL4257" s="497">
        <v>75.92</v>
      </c>
      <c r="BN4257" s="42"/>
      <c r="BO4257" s="74"/>
      <c r="BP4257" s="77"/>
      <c r="BR4257" s="497">
        <v>57.019999999999996</v>
      </c>
      <c r="BT4257" s="42"/>
    </row>
    <row r="4258" spans="1:72" x14ac:dyDescent="0.25">
      <c r="A4258" s="90">
        <v>34511</v>
      </c>
      <c r="B4258" s="20">
        <v>0.66666666666666663</v>
      </c>
      <c r="D4258">
        <v>78.080000000000013</v>
      </c>
      <c r="E4258" t="str">
        <f t="shared" si="168"/>
        <v>SUNDAY</v>
      </c>
      <c r="F4258" t="e">
        <f t="shared" si="167"/>
        <v>#N/A</v>
      </c>
      <c r="G4258" s="74">
        <v>33050</v>
      </c>
      <c r="H4258" s="77">
        <v>0.66666666666666663</v>
      </c>
      <c r="J4258">
        <v>82.039999999999992</v>
      </c>
      <c r="M4258" s="74">
        <v>37798</v>
      </c>
      <c r="N4258" s="77">
        <v>0.66666666666666663</v>
      </c>
      <c r="P4258">
        <v>91.4</v>
      </c>
      <c r="S4258" s="74">
        <v>34511</v>
      </c>
      <c r="T4258" s="77">
        <v>0.66666666666666663</v>
      </c>
      <c r="V4258">
        <v>78.98</v>
      </c>
      <c r="X4258" s="42"/>
      <c r="AB4258">
        <v>78.599999999999994</v>
      </c>
      <c r="AC4258">
        <v>80.06</v>
      </c>
      <c r="AE4258" s="74"/>
      <c r="AF4258" s="77"/>
      <c r="AH4258" s="497">
        <v>89.6</v>
      </c>
      <c r="AJ4258" s="42"/>
      <c r="AK4258" s="74"/>
      <c r="AL4258" s="77"/>
      <c r="AN4258" s="497">
        <v>78.98</v>
      </c>
      <c r="AP4258" s="42"/>
      <c r="AQ4258" s="74"/>
      <c r="AR4258" s="77"/>
      <c r="AT4258" s="497">
        <v>71.06</v>
      </c>
      <c r="AV4258" s="42"/>
      <c r="AW4258" s="74"/>
      <c r="AX4258" s="77"/>
      <c r="BA4258" s="497">
        <v>78.080000000000013</v>
      </c>
      <c r="BB4258" s="42"/>
      <c r="BC4258" s="74"/>
      <c r="BD4258" s="77"/>
      <c r="BF4258">
        <v>82.94</v>
      </c>
      <c r="BH4258" s="42"/>
      <c r="BI4258" s="74"/>
      <c r="BJ4258" s="77"/>
      <c r="BL4258" s="497">
        <v>75.02</v>
      </c>
      <c r="BN4258" s="42"/>
      <c r="BO4258" s="74"/>
      <c r="BP4258" s="77"/>
      <c r="BR4258" s="497">
        <v>57.019999999999996</v>
      </c>
      <c r="BT4258" s="42"/>
    </row>
    <row r="4259" spans="1:72" x14ac:dyDescent="0.25">
      <c r="A4259" s="90">
        <v>34511</v>
      </c>
      <c r="B4259" s="20">
        <v>0.70833333333333337</v>
      </c>
      <c r="D4259">
        <v>75.92</v>
      </c>
      <c r="E4259" t="str">
        <f t="shared" si="168"/>
        <v>SUNDAY</v>
      </c>
      <c r="F4259" t="e">
        <f t="shared" si="167"/>
        <v>#N/A</v>
      </c>
      <c r="G4259" s="74">
        <v>33050</v>
      </c>
      <c r="H4259" s="77">
        <v>0.70833333333333337</v>
      </c>
      <c r="J4259">
        <v>80.06</v>
      </c>
      <c r="M4259" s="74">
        <v>37798</v>
      </c>
      <c r="N4259" s="77">
        <v>0.70833333333333337</v>
      </c>
      <c r="P4259">
        <v>89.6</v>
      </c>
      <c r="S4259" s="74">
        <v>34511</v>
      </c>
      <c r="T4259" s="77">
        <v>0.70833333333333337</v>
      </c>
      <c r="V4259">
        <v>78.080000000000013</v>
      </c>
      <c r="X4259" s="42"/>
      <c r="AB4259">
        <v>77.599999999999994</v>
      </c>
      <c r="AC4259">
        <v>78.080000000000013</v>
      </c>
      <c r="AE4259" s="74"/>
      <c r="AF4259" s="77"/>
      <c r="AH4259" s="497">
        <v>87.800000000000011</v>
      </c>
      <c r="AJ4259" s="42"/>
      <c r="AK4259" s="74"/>
      <c r="AL4259" s="77"/>
      <c r="AN4259" s="497">
        <v>78.98</v>
      </c>
      <c r="AP4259" s="42"/>
      <c r="AQ4259" s="74"/>
      <c r="AR4259" s="77"/>
      <c r="AT4259" s="497">
        <v>69.98</v>
      </c>
      <c r="AV4259" s="42"/>
      <c r="AW4259" s="74"/>
      <c r="AX4259" s="77"/>
      <c r="BA4259" s="497">
        <v>77</v>
      </c>
      <c r="BB4259" s="42"/>
      <c r="BC4259" s="74"/>
      <c r="BD4259" s="77"/>
      <c r="BF4259">
        <v>80.06</v>
      </c>
      <c r="BH4259" s="42"/>
      <c r="BI4259" s="74"/>
      <c r="BJ4259" s="77"/>
      <c r="BL4259" s="497">
        <v>73.94</v>
      </c>
      <c r="BN4259" s="42"/>
      <c r="BO4259" s="74"/>
      <c r="BP4259" s="77"/>
      <c r="BR4259" s="497">
        <v>59</v>
      </c>
      <c r="BT4259" s="42"/>
    </row>
    <row r="4260" spans="1:72" x14ac:dyDescent="0.25">
      <c r="A4260" s="90">
        <v>34511</v>
      </c>
      <c r="B4260" s="20">
        <v>0.75</v>
      </c>
      <c r="D4260">
        <v>75.92</v>
      </c>
      <c r="E4260" t="str">
        <f t="shared" si="168"/>
        <v>SUNDAY</v>
      </c>
      <c r="F4260" t="e">
        <f t="shared" si="167"/>
        <v>#N/A</v>
      </c>
      <c r="G4260" s="74">
        <v>33050</v>
      </c>
      <c r="H4260" s="77">
        <v>0.75</v>
      </c>
      <c r="J4260">
        <v>78.080000000000013</v>
      </c>
      <c r="M4260" s="74">
        <v>37798</v>
      </c>
      <c r="N4260" s="77">
        <v>0.75</v>
      </c>
      <c r="P4260">
        <v>89.6</v>
      </c>
      <c r="S4260" s="74">
        <v>34511</v>
      </c>
      <c r="T4260" s="77">
        <v>0.75</v>
      </c>
      <c r="V4260">
        <v>75.92</v>
      </c>
      <c r="X4260" s="42"/>
      <c r="AB4260">
        <v>76.400000000000006</v>
      </c>
      <c r="AC4260">
        <v>77</v>
      </c>
      <c r="AE4260" s="74"/>
      <c r="AF4260" s="77"/>
      <c r="AH4260" s="497">
        <v>84.2</v>
      </c>
      <c r="AJ4260" s="42"/>
      <c r="AK4260" s="74"/>
      <c r="AL4260" s="77"/>
      <c r="AN4260" s="497">
        <v>77</v>
      </c>
      <c r="AP4260" s="42"/>
      <c r="AQ4260" s="74"/>
      <c r="AR4260" s="77"/>
      <c r="AT4260" s="497">
        <v>69.98</v>
      </c>
      <c r="AV4260" s="42"/>
      <c r="AW4260" s="74"/>
      <c r="AX4260" s="77"/>
      <c r="BA4260" s="497">
        <v>76.099999999999994</v>
      </c>
      <c r="BB4260" s="42"/>
      <c r="BC4260" s="74"/>
      <c r="BD4260" s="77"/>
      <c r="BF4260">
        <v>77</v>
      </c>
      <c r="BH4260" s="42"/>
      <c r="BI4260" s="74"/>
      <c r="BJ4260" s="77"/>
      <c r="BL4260" s="497">
        <v>69.98</v>
      </c>
      <c r="BN4260" s="42"/>
      <c r="BO4260" s="74"/>
      <c r="BP4260" s="77"/>
      <c r="BR4260" s="497">
        <v>59</v>
      </c>
      <c r="BT4260" s="42"/>
    </row>
    <row r="4261" spans="1:72" x14ac:dyDescent="0.25">
      <c r="A4261" s="90">
        <v>34511</v>
      </c>
      <c r="B4261" s="20">
        <v>0.79166666666666663</v>
      </c>
      <c r="D4261">
        <v>73.94</v>
      </c>
      <c r="E4261" t="str">
        <f t="shared" si="168"/>
        <v>SUNDAY</v>
      </c>
      <c r="F4261" t="e">
        <f t="shared" si="167"/>
        <v>#N/A</v>
      </c>
      <c r="G4261" s="74">
        <v>33050</v>
      </c>
      <c r="H4261" s="77">
        <v>0.79166666666666663</v>
      </c>
      <c r="J4261">
        <v>78.98</v>
      </c>
      <c r="M4261" s="74">
        <v>37798</v>
      </c>
      <c r="N4261" s="77">
        <v>0.79166666666666663</v>
      </c>
      <c r="P4261">
        <v>84.2</v>
      </c>
      <c r="S4261" s="74">
        <v>34511</v>
      </c>
      <c r="T4261" s="77">
        <v>0.79166666666666663</v>
      </c>
      <c r="V4261">
        <v>73.94</v>
      </c>
      <c r="X4261" s="42"/>
      <c r="AB4261">
        <v>75</v>
      </c>
      <c r="AC4261">
        <v>75.02</v>
      </c>
      <c r="AE4261" s="74"/>
      <c r="AF4261" s="77"/>
      <c r="AH4261" s="497">
        <v>82.4</v>
      </c>
      <c r="AJ4261" s="42"/>
      <c r="AK4261" s="74"/>
      <c r="AL4261" s="77"/>
      <c r="AN4261" s="497">
        <v>73.039999999999992</v>
      </c>
      <c r="AP4261" s="42"/>
      <c r="AQ4261" s="74"/>
      <c r="AR4261" s="77"/>
      <c r="AT4261" s="497">
        <v>68</v>
      </c>
      <c r="AV4261" s="42"/>
      <c r="AW4261" s="74"/>
      <c r="AX4261" s="77"/>
      <c r="BA4261" s="497">
        <v>75.02</v>
      </c>
      <c r="BB4261" s="42"/>
      <c r="BC4261" s="74"/>
      <c r="BD4261" s="77"/>
      <c r="BF4261">
        <v>77</v>
      </c>
      <c r="BH4261" s="42"/>
      <c r="BI4261" s="74"/>
      <c r="BJ4261" s="77"/>
      <c r="BL4261" s="497">
        <v>68</v>
      </c>
      <c r="BN4261" s="42"/>
      <c r="BO4261" s="74"/>
      <c r="BP4261" s="77"/>
      <c r="BR4261" s="497">
        <v>57.92</v>
      </c>
      <c r="BT4261" s="42"/>
    </row>
    <row r="4262" spans="1:72" x14ac:dyDescent="0.25">
      <c r="A4262" s="90">
        <v>34511</v>
      </c>
      <c r="B4262" s="20">
        <v>0.83333333333333337</v>
      </c>
      <c r="D4262">
        <v>73.039999999999992</v>
      </c>
      <c r="E4262" t="str">
        <f t="shared" si="168"/>
        <v>SUNDAY</v>
      </c>
      <c r="F4262" t="e">
        <f t="shared" si="167"/>
        <v>#N/A</v>
      </c>
      <c r="G4262" s="74">
        <v>33050</v>
      </c>
      <c r="H4262" s="77">
        <v>0.83333333333333337</v>
      </c>
      <c r="J4262">
        <v>78.080000000000013</v>
      </c>
      <c r="M4262" s="74">
        <v>37798</v>
      </c>
      <c r="N4262" s="77">
        <v>0.83333333333333337</v>
      </c>
      <c r="P4262">
        <v>78.800000000000011</v>
      </c>
      <c r="S4262" s="74">
        <v>34511</v>
      </c>
      <c r="T4262" s="77">
        <v>0.83333333333333337</v>
      </c>
      <c r="V4262">
        <v>73.039999999999992</v>
      </c>
      <c r="X4262" s="42"/>
      <c r="AB4262">
        <v>73.599999999999994</v>
      </c>
      <c r="AC4262">
        <v>73.94</v>
      </c>
      <c r="AE4262" s="74"/>
      <c r="AF4262" s="77"/>
      <c r="AH4262" s="497">
        <v>80.599999999999994</v>
      </c>
      <c r="AJ4262" s="42"/>
      <c r="AK4262" s="74"/>
      <c r="AL4262" s="77"/>
      <c r="AN4262" s="497">
        <v>71.06</v>
      </c>
      <c r="AP4262" s="42"/>
      <c r="AQ4262" s="74"/>
      <c r="AR4262" s="77"/>
      <c r="AT4262" s="497">
        <v>66.02</v>
      </c>
      <c r="AV4262" s="42"/>
      <c r="AW4262" s="74"/>
      <c r="AX4262" s="77"/>
      <c r="BA4262" s="497">
        <v>72.680000000000007</v>
      </c>
      <c r="BB4262" s="42"/>
      <c r="BC4262" s="74"/>
      <c r="BD4262" s="77"/>
      <c r="BF4262">
        <v>73.94</v>
      </c>
      <c r="BH4262" s="42"/>
      <c r="BI4262" s="74"/>
      <c r="BJ4262" s="77"/>
      <c r="BL4262" s="497">
        <v>66.02</v>
      </c>
      <c r="BN4262" s="42"/>
      <c r="BO4262" s="74"/>
      <c r="BP4262" s="77"/>
      <c r="BR4262" s="497">
        <v>57.019999999999996</v>
      </c>
      <c r="BT4262" s="42"/>
    </row>
    <row r="4263" spans="1:72" x14ac:dyDescent="0.25">
      <c r="A4263" s="90">
        <v>34511</v>
      </c>
      <c r="B4263" s="20">
        <v>0.875</v>
      </c>
      <c r="D4263">
        <v>71.960000000000008</v>
      </c>
      <c r="E4263" t="str">
        <f t="shared" si="168"/>
        <v>SUNDAY</v>
      </c>
      <c r="F4263" t="e">
        <f t="shared" si="167"/>
        <v>#N/A</v>
      </c>
      <c r="G4263" s="74">
        <v>33050</v>
      </c>
      <c r="H4263" s="77">
        <v>0.875</v>
      </c>
      <c r="J4263">
        <v>77</v>
      </c>
      <c r="M4263" s="74">
        <v>37798</v>
      </c>
      <c r="N4263" s="77">
        <v>0.875</v>
      </c>
      <c r="P4263">
        <v>78.800000000000011</v>
      </c>
      <c r="S4263" s="74">
        <v>34511</v>
      </c>
      <c r="T4263" s="77">
        <v>0.875</v>
      </c>
      <c r="V4263">
        <v>71.960000000000008</v>
      </c>
      <c r="X4263" s="42"/>
      <c r="AB4263">
        <v>72.5</v>
      </c>
      <c r="AC4263">
        <v>73.039999999999992</v>
      </c>
      <c r="AE4263" s="74"/>
      <c r="AF4263" s="77"/>
      <c r="AH4263" s="497">
        <v>80.599999999999994</v>
      </c>
      <c r="AJ4263" s="42"/>
      <c r="AK4263" s="74"/>
      <c r="AL4263" s="77"/>
      <c r="AN4263" s="497">
        <v>69.98</v>
      </c>
      <c r="AP4263" s="42"/>
      <c r="AQ4263" s="74"/>
      <c r="AR4263" s="77"/>
      <c r="AT4263" s="497">
        <v>64.039999999999992</v>
      </c>
      <c r="AV4263" s="42"/>
      <c r="AW4263" s="74"/>
      <c r="AX4263" s="77"/>
      <c r="BA4263" s="497">
        <v>70.34</v>
      </c>
      <c r="BB4263" s="42"/>
      <c r="BC4263" s="74"/>
      <c r="BD4263" s="77"/>
      <c r="BF4263">
        <v>71.960000000000008</v>
      </c>
      <c r="BH4263" s="42"/>
      <c r="BI4263" s="74"/>
      <c r="BJ4263" s="77"/>
      <c r="BL4263" s="497">
        <v>62.96</v>
      </c>
      <c r="BN4263" s="42"/>
      <c r="BO4263" s="74"/>
      <c r="BP4263" s="77"/>
      <c r="BR4263" s="497">
        <v>55.94</v>
      </c>
      <c r="BT4263" s="42"/>
    </row>
    <row r="4264" spans="1:72" x14ac:dyDescent="0.25">
      <c r="A4264" s="90">
        <v>34511</v>
      </c>
      <c r="B4264" s="20">
        <v>0.91666666666666663</v>
      </c>
      <c r="D4264">
        <v>71.06</v>
      </c>
      <c r="E4264" t="str">
        <f t="shared" si="168"/>
        <v>SUNDAY</v>
      </c>
      <c r="F4264" t="e">
        <f t="shared" si="167"/>
        <v>#N/A</v>
      </c>
      <c r="G4264" s="74">
        <v>33050</v>
      </c>
      <c r="H4264" s="77">
        <v>0.91666666666666663</v>
      </c>
      <c r="J4264">
        <v>75.92</v>
      </c>
      <c r="M4264" s="74">
        <v>37798</v>
      </c>
      <c r="N4264" s="77">
        <v>0.91666666666666663</v>
      </c>
      <c r="P4264">
        <v>78.800000000000011</v>
      </c>
      <c r="S4264" s="74">
        <v>34511</v>
      </c>
      <c r="T4264" s="77">
        <v>0.91666666666666663</v>
      </c>
      <c r="V4264">
        <v>71.960000000000008</v>
      </c>
      <c r="X4264" s="42"/>
      <c r="AB4264">
        <v>71.8</v>
      </c>
      <c r="AC4264">
        <v>71.960000000000008</v>
      </c>
      <c r="AE4264" s="74"/>
      <c r="AF4264" s="77"/>
      <c r="AH4264" s="497">
        <v>77</v>
      </c>
      <c r="AJ4264" s="42"/>
      <c r="AK4264" s="74"/>
      <c r="AL4264" s="77"/>
      <c r="AN4264" s="497">
        <v>69.98</v>
      </c>
      <c r="AP4264" s="42"/>
      <c r="AQ4264" s="74"/>
      <c r="AR4264" s="77"/>
      <c r="AT4264" s="497">
        <v>62.06</v>
      </c>
      <c r="AV4264" s="42"/>
      <c r="AW4264" s="74"/>
      <c r="AX4264" s="77"/>
      <c r="BA4264" s="497">
        <v>68</v>
      </c>
      <c r="BB4264" s="42"/>
      <c r="BC4264" s="74"/>
      <c r="BD4264" s="77"/>
      <c r="BF4264">
        <v>71.06</v>
      </c>
      <c r="BH4264" s="42"/>
      <c r="BI4264" s="74"/>
      <c r="BJ4264" s="77"/>
      <c r="BL4264" s="497">
        <v>62.06</v>
      </c>
      <c r="BN4264" s="42"/>
      <c r="BO4264" s="74"/>
      <c r="BP4264" s="77"/>
      <c r="BR4264" s="497">
        <v>55.94</v>
      </c>
      <c r="BT4264" s="42"/>
    </row>
    <row r="4265" spans="1:72" x14ac:dyDescent="0.25">
      <c r="A4265" s="90">
        <v>34511</v>
      </c>
      <c r="B4265" s="20">
        <v>0.95833333333333337</v>
      </c>
      <c r="D4265">
        <v>69.080000000000013</v>
      </c>
      <c r="E4265" t="str">
        <f t="shared" si="168"/>
        <v>SUNDAY</v>
      </c>
      <c r="F4265" t="e">
        <f t="shared" si="167"/>
        <v>#N/A</v>
      </c>
      <c r="G4265" s="74">
        <v>33050</v>
      </c>
      <c r="H4265" s="77">
        <v>0.95833333333333337</v>
      </c>
      <c r="J4265">
        <v>75.02</v>
      </c>
      <c r="M4265" s="74">
        <v>37798</v>
      </c>
      <c r="N4265" s="77">
        <v>0.95833333333333337</v>
      </c>
      <c r="P4265">
        <v>75.2</v>
      </c>
      <c r="S4265" s="74">
        <v>34511</v>
      </c>
      <c r="T4265" s="77">
        <v>0.95833333333333337</v>
      </c>
      <c r="V4265">
        <v>71.06</v>
      </c>
      <c r="X4265" s="42"/>
      <c r="AB4265">
        <v>71.3</v>
      </c>
      <c r="AC4265">
        <v>71.960000000000008</v>
      </c>
      <c r="AE4265" s="74"/>
      <c r="AF4265" s="77"/>
      <c r="AH4265" s="497">
        <v>75.02</v>
      </c>
      <c r="AJ4265" s="42"/>
      <c r="AK4265" s="74"/>
      <c r="AL4265" s="77"/>
      <c r="AN4265" s="497">
        <v>68</v>
      </c>
      <c r="AP4265" s="42"/>
      <c r="AQ4265" s="74"/>
      <c r="AR4265" s="77"/>
      <c r="AT4265" s="497">
        <v>62.96</v>
      </c>
      <c r="AV4265" s="42"/>
      <c r="AW4265" s="74"/>
      <c r="AX4265" s="77"/>
      <c r="BA4265" s="497">
        <v>67.64</v>
      </c>
      <c r="BB4265" s="42"/>
      <c r="BC4265" s="74"/>
      <c r="BD4265" s="77"/>
      <c r="BF4265">
        <v>71.06</v>
      </c>
      <c r="BH4265" s="42"/>
      <c r="BI4265" s="74"/>
      <c r="BJ4265" s="77"/>
      <c r="BL4265" s="497">
        <v>57.019999999999996</v>
      </c>
      <c r="BN4265" s="42"/>
      <c r="BO4265" s="74"/>
      <c r="BP4265" s="77"/>
      <c r="BR4265" s="497">
        <v>55.040000000000006</v>
      </c>
      <c r="BT4265" s="42"/>
    </row>
    <row r="4266" spans="1:72" x14ac:dyDescent="0.25">
      <c r="A4266" s="90">
        <v>34511</v>
      </c>
      <c r="B4266" s="20">
        <v>1</v>
      </c>
      <c r="D4266">
        <v>68</v>
      </c>
      <c r="E4266" t="str">
        <f t="shared" si="168"/>
        <v>SUNDAY</v>
      </c>
      <c r="F4266" t="e">
        <f t="shared" si="167"/>
        <v>#N/A</v>
      </c>
      <c r="G4266" s="74">
        <v>33050</v>
      </c>
      <c r="H4266" s="77">
        <v>1</v>
      </c>
      <c r="J4266">
        <v>73.94</v>
      </c>
      <c r="M4266" s="74">
        <v>37798</v>
      </c>
      <c r="N4266" s="80">
        <v>1</v>
      </c>
      <c r="P4266">
        <v>75.2</v>
      </c>
      <c r="S4266" s="74">
        <v>34511</v>
      </c>
      <c r="T4266" s="80">
        <v>1</v>
      </c>
      <c r="V4266">
        <v>71.06</v>
      </c>
      <c r="X4266" s="42"/>
      <c r="AB4266">
        <v>70.8</v>
      </c>
      <c r="AC4266">
        <v>71.960000000000008</v>
      </c>
      <c r="AE4266" s="74"/>
      <c r="AF4266" s="80"/>
      <c r="AH4266" s="497">
        <v>73.400000000000006</v>
      </c>
      <c r="AJ4266" s="42"/>
      <c r="AK4266" s="74"/>
      <c r="AL4266" s="80"/>
      <c r="AN4266" s="497">
        <v>68</v>
      </c>
      <c r="AP4266" s="42"/>
      <c r="AQ4266" s="74"/>
      <c r="AR4266" s="80"/>
      <c r="AT4266" s="497">
        <v>62.96</v>
      </c>
      <c r="AV4266" s="42"/>
      <c r="AW4266" s="74"/>
      <c r="AX4266" s="80"/>
      <c r="BA4266" s="497">
        <v>67.28</v>
      </c>
      <c r="BB4266" s="42"/>
      <c r="BC4266" s="74"/>
      <c r="BD4266" s="80"/>
      <c r="BF4266">
        <v>69.98</v>
      </c>
      <c r="BH4266" s="42"/>
      <c r="BI4266" s="74"/>
      <c r="BJ4266" s="80"/>
      <c r="BL4266" s="497">
        <v>60.08</v>
      </c>
      <c r="BN4266" s="42"/>
      <c r="BO4266" s="74"/>
      <c r="BP4266" s="80"/>
      <c r="BR4266" s="497">
        <v>53.96</v>
      </c>
      <c r="BT4266" s="42"/>
    </row>
    <row r="4267" spans="1:72" x14ac:dyDescent="0.25">
      <c r="A4267" s="90">
        <v>34512</v>
      </c>
      <c r="B4267" s="20">
        <v>4.1666666666666664E-2</v>
      </c>
      <c r="D4267">
        <v>66.92</v>
      </c>
      <c r="E4267" t="str">
        <f t="shared" si="168"/>
        <v>WEEKDAY</v>
      </c>
      <c r="F4267" t="e">
        <f t="shared" ref="F4267:F4330" si="169">IF(E4267="WEEKDAY",VLOOKUP(B4267,$DD$19:$DG$42,2),IF(E4267="SATURDAY",VLOOKUP(B4267,$DD$19:$DG$42,3),VLOOKUP(B4267,$DD$19:$DG$42,4)))</f>
        <v>#N/A</v>
      </c>
      <c r="G4267" s="74">
        <v>33051</v>
      </c>
      <c r="H4267" s="77">
        <v>4.1666666666666664E-2</v>
      </c>
      <c r="J4267">
        <v>73.94</v>
      </c>
      <c r="M4267" s="74">
        <v>37799</v>
      </c>
      <c r="N4267" s="77">
        <v>4.1666666666666664E-2</v>
      </c>
      <c r="P4267">
        <v>77</v>
      </c>
      <c r="S4267" s="74">
        <v>34512</v>
      </c>
      <c r="T4267" s="77">
        <v>4.1666666666666664E-2</v>
      </c>
      <c r="V4267">
        <v>69.98</v>
      </c>
      <c r="X4267" s="42"/>
      <c r="AB4267">
        <v>70.2</v>
      </c>
      <c r="AC4267">
        <v>73.039999999999992</v>
      </c>
      <c r="AE4267" s="74"/>
      <c r="AF4267" s="77"/>
      <c r="AH4267" s="497">
        <v>73.400000000000006</v>
      </c>
      <c r="AJ4267" s="42"/>
      <c r="AK4267" s="74"/>
      <c r="AL4267" s="77"/>
      <c r="AN4267" s="497">
        <v>68</v>
      </c>
      <c r="AP4267" s="42"/>
      <c r="AQ4267" s="74"/>
      <c r="AR4267" s="77"/>
      <c r="AT4267" s="497">
        <v>62.06</v>
      </c>
      <c r="AV4267" s="42"/>
      <c r="AW4267" s="74"/>
      <c r="AX4267" s="77"/>
      <c r="BA4267" s="497">
        <v>66.92</v>
      </c>
      <c r="BB4267" s="42"/>
      <c r="BC4267" s="74"/>
      <c r="BD4267" s="77"/>
      <c r="BF4267">
        <v>69.080000000000013</v>
      </c>
      <c r="BH4267" s="42"/>
      <c r="BI4267" s="74"/>
      <c r="BJ4267" s="77"/>
      <c r="BL4267" s="497">
        <v>62.06</v>
      </c>
      <c r="BN4267" s="42"/>
      <c r="BO4267" s="74"/>
      <c r="BP4267" s="77"/>
      <c r="BR4267" s="497">
        <v>53.06</v>
      </c>
      <c r="BT4267" s="42"/>
    </row>
    <row r="4268" spans="1:72" x14ac:dyDescent="0.25">
      <c r="A4268" s="90">
        <v>34512</v>
      </c>
      <c r="B4268" s="20">
        <v>8.3333333333333329E-2</v>
      </c>
      <c r="D4268">
        <v>66.02</v>
      </c>
      <c r="E4268" t="str">
        <f t="shared" si="168"/>
        <v>WEEKDAY</v>
      </c>
      <c r="F4268" t="e">
        <f t="shared" si="169"/>
        <v>#N/A</v>
      </c>
      <c r="G4268" s="74">
        <v>33051</v>
      </c>
      <c r="H4268" s="77">
        <v>8.3333333333333329E-2</v>
      </c>
      <c r="J4268">
        <v>73.039999999999992</v>
      </c>
      <c r="M4268" s="74">
        <v>37799</v>
      </c>
      <c r="N4268" s="77">
        <v>8.3333333333333329E-2</v>
      </c>
      <c r="P4268">
        <v>73.400000000000006</v>
      </c>
      <c r="S4268" s="74">
        <v>34512</v>
      </c>
      <c r="T4268" s="77">
        <v>8.3333333333333329E-2</v>
      </c>
      <c r="V4268">
        <v>71.06</v>
      </c>
      <c r="X4268" s="42"/>
      <c r="AB4268">
        <v>69.7</v>
      </c>
      <c r="AC4268">
        <v>73.039999999999992</v>
      </c>
      <c r="AE4268" s="74"/>
      <c r="AF4268" s="77"/>
      <c r="AH4268" s="497">
        <v>75.2</v>
      </c>
      <c r="AJ4268" s="42"/>
      <c r="AK4268" s="74"/>
      <c r="AL4268" s="77"/>
      <c r="AN4268" s="497">
        <v>66.92</v>
      </c>
      <c r="AP4268" s="42"/>
      <c r="AQ4268" s="74"/>
      <c r="AR4268" s="77"/>
      <c r="AT4268" s="497">
        <v>60.980000000000004</v>
      </c>
      <c r="AV4268" s="42"/>
      <c r="AW4268" s="74"/>
      <c r="AX4268" s="77"/>
      <c r="BA4268" s="497">
        <v>65.66</v>
      </c>
      <c r="BB4268" s="42"/>
      <c r="BC4268" s="74"/>
      <c r="BD4268" s="77"/>
      <c r="BF4268">
        <v>69.98</v>
      </c>
      <c r="BH4268" s="42"/>
      <c r="BI4268" s="74"/>
      <c r="BJ4268" s="77"/>
      <c r="BL4268" s="497">
        <v>62.96</v>
      </c>
      <c r="BN4268" s="42"/>
      <c r="BO4268" s="74"/>
      <c r="BP4268" s="77"/>
      <c r="BR4268" s="497">
        <v>51.980000000000004</v>
      </c>
      <c r="BT4268" s="42"/>
    </row>
    <row r="4269" spans="1:72" x14ac:dyDescent="0.25">
      <c r="A4269" s="90">
        <v>34512</v>
      </c>
      <c r="B4269" s="20">
        <v>0.125</v>
      </c>
      <c r="D4269">
        <v>64.94</v>
      </c>
      <c r="E4269" t="str">
        <f t="shared" si="168"/>
        <v>WEEKDAY</v>
      </c>
      <c r="F4269" t="e">
        <f t="shared" si="169"/>
        <v>#N/A</v>
      </c>
      <c r="G4269" s="74">
        <v>33051</v>
      </c>
      <c r="H4269" s="77">
        <v>0.125</v>
      </c>
      <c r="J4269">
        <v>73.039999999999992</v>
      </c>
      <c r="M4269" s="74">
        <v>37799</v>
      </c>
      <c r="N4269" s="77">
        <v>0.125</v>
      </c>
      <c r="P4269">
        <v>73.400000000000006</v>
      </c>
      <c r="S4269" s="74">
        <v>34512</v>
      </c>
      <c r="T4269" s="77">
        <v>0.125</v>
      </c>
      <c r="V4269">
        <v>71.06</v>
      </c>
      <c r="X4269" s="42"/>
      <c r="AB4269">
        <v>69.099999999999994</v>
      </c>
      <c r="AC4269">
        <v>73.039999999999992</v>
      </c>
      <c r="AE4269" s="74"/>
      <c r="AF4269" s="77"/>
      <c r="AH4269" s="497">
        <v>73.22</v>
      </c>
      <c r="AJ4269" s="42"/>
      <c r="AK4269" s="74"/>
      <c r="AL4269" s="77"/>
      <c r="AN4269" s="497">
        <v>66.92</v>
      </c>
      <c r="AP4269" s="42"/>
      <c r="AQ4269" s="74"/>
      <c r="AR4269" s="77"/>
      <c r="AT4269" s="497">
        <v>60.08</v>
      </c>
      <c r="AV4269" s="42"/>
      <c r="AW4269" s="74"/>
      <c r="AX4269" s="77"/>
      <c r="BA4269" s="497">
        <v>64.22</v>
      </c>
      <c r="BB4269" s="42"/>
      <c r="BC4269" s="74"/>
      <c r="BD4269" s="77"/>
      <c r="BF4269">
        <v>68</v>
      </c>
      <c r="BH4269" s="42"/>
      <c r="BI4269" s="74"/>
      <c r="BJ4269" s="77"/>
      <c r="BL4269" s="497">
        <v>62.96</v>
      </c>
      <c r="BN4269" s="42"/>
      <c r="BO4269" s="74"/>
      <c r="BP4269" s="77"/>
      <c r="BR4269" s="497">
        <v>51.980000000000004</v>
      </c>
      <c r="BT4269" s="42"/>
    </row>
    <row r="4270" spans="1:72" x14ac:dyDescent="0.25">
      <c r="A4270" s="90">
        <v>34512</v>
      </c>
      <c r="B4270" s="20">
        <v>0.16666666666666666</v>
      </c>
      <c r="D4270">
        <v>64.039999999999992</v>
      </c>
      <c r="E4270" t="str">
        <f t="shared" si="168"/>
        <v>WEEKDAY</v>
      </c>
      <c r="F4270" t="e">
        <f t="shared" si="169"/>
        <v>#N/A</v>
      </c>
      <c r="G4270" s="74">
        <v>33051</v>
      </c>
      <c r="H4270" s="77">
        <v>0.16666666666666666</v>
      </c>
      <c r="J4270">
        <v>73.039999999999992</v>
      </c>
      <c r="M4270" s="74">
        <v>37799</v>
      </c>
      <c r="N4270" s="77">
        <v>0.16666666666666666</v>
      </c>
      <c r="P4270">
        <v>73.400000000000006</v>
      </c>
      <c r="S4270" s="74">
        <v>34512</v>
      </c>
      <c r="T4270" s="77">
        <v>0.16666666666666666</v>
      </c>
      <c r="V4270">
        <v>71.06</v>
      </c>
      <c r="X4270" s="42"/>
      <c r="AB4270">
        <v>68.5</v>
      </c>
      <c r="AC4270">
        <v>73.039999999999992</v>
      </c>
      <c r="AE4270" s="74"/>
      <c r="AF4270" s="77"/>
      <c r="AH4270" s="497">
        <v>71.240000000000009</v>
      </c>
      <c r="AJ4270" s="42"/>
      <c r="AK4270" s="74"/>
      <c r="AL4270" s="77"/>
      <c r="AN4270" s="497">
        <v>66.92</v>
      </c>
      <c r="AP4270" s="42"/>
      <c r="AQ4270" s="74"/>
      <c r="AR4270" s="77"/>
      <c r="AT4270" s="497">
        <v>59</v>
      </c>
      <c r="AV4270" s="42"/>
      <c r="AW4270" s="74"/>
      <c r="AX4270" s="77"/>
      <c r="BA4270" s="497">
        <v>62.96</v>
      </c>
      <c r="BB4270" s="42"/>
      <c r="BC4270" s="74"/>
      <c r="BD4270" s="77"/>
      <c r="BF4270">
        <v>69.080000000000013</v>
      </c>
      <c r="BH4270" s="42"/>
      <c r="BI4270" s="74"/>
      <c r="BJ4270" s="77"/>
      <c r="BL4270" s="497">
        <v>62.96</v>
      </c>
      <c r="BN4270" s="42"/>
      <c r="BO4270" s="74"/>
      <c r="BP4270" s="77"/>
      <c r="BR4270" s="497">
        <v>51.08</v>
      </c>
      <c r="BT4270" s="42"/>
    </row>
    <row r="4271" spans="1:72" x14ac:dyDescent="0.25">
      <c r="A4271" s="90">
        <v>34512</v>
      </c>
      <c r="B4271" s="20">
        <v>0.20833333333333334</v>
      </c>
      <c r="D4271">
        <v>64.039999999999992</v>
      </c>
      <c r="E4271" t="str">
        <f t="shared" si="168"/>
        <v>WEEKDAY</v>
      </c>
      <c r="F4271" t="e">
        <f t="shared" si="169"/>
        <v>#N/A</v>
      </c>
      <c r="G4271" s="74">
        <v>33051</v>
      </c>
      <c r="H4271" s="77">
        <v>0.20833333333333334</v>
      </c>
      <c r="J4271">
        <v>73.039999999999992</v>
      </c>
      <c r="M4271" s="74">
        <v>37799</v>
      </c>
      <c r="N4271" s="77">
        <v>0.20833333333333334</v>
      </c>
      <c r="P4271">
        <v>71.599999999999994</v>
      </c>
      <c r="S4271" s="74">
        <v>34512</v>
      </c>
      <c r="T4271" s="77">
        <v>0.20833333333333334</v>
      </c>
      <c r="V4271">
        <v>69.98</v>
      </c>
      <c r="X4271" s="42"/>
      <c r="AB4271">
        <v>68.099999999999994</v>
      </c>
      <c r="AC4271">
        <v>73.039999999999992</v>
      </c>
      <c r="AE4271" s="74"/>
      <c r="AF4271" s="77"/>
      <c r="AH4271" s="497">
        <v>69.800000000000011</v>
      </c>
      <c r="AJ4271" s="42"/>
      <c r="AK4271" s="74"/>
      <c r="AL4271" s="77"/>
      <c r="AN4271" s="497">
        <v>66.92</v>
      </c>
      <c r="AP4271" s="42"/>
      <c r="AQ4271" s="74"/>
      <c r="AR4271" s="77"/>
      <c r="AT4271" s="497">
        <v>60.08</v>
      </c>
      <c r="AV4271" s="42"/>
      <c r="AW4271" s="74"/>
      <c r="AX4271" s="77"/>
      <c r="BA4271" s="497">
        <v>64.039999999999992</v>
      </c>
      <c r="BB4271" s="42"/>
      <c r="BC4271" s="74"/>
      <c r="BD4271" s="77"/>
      <c r="BF4271">
        <v>69.98</v>
      </c>
      <c r="BH4271" s="42"/>
      <c r="BI4271" s="74"/>
      <c r="BJ4271" s="77"/>
      <c r="BL4271" s="497">
        <v>62.06</v>
      </c>
      <c r="BN4271" s="42"/>
      <c r="BO4271" s="74"/>
      <c r="BP4271" s="77"/>
      <c r="BR4271" s="497">
        <v>51.08</v>
      </c>
      <c r="BT4271" s="42"/>
    </row>
    <row r="4272" spans="1:72" x14ac:dyDescent="0.25">
      <c r="A4272" s="90">
        <v>34512</v>
      </c>
      <c r="B4272" s="20">
        <v>0.25</v>
      </c>
      <c r="D4272">
        <v>64.039999999999992</v>
      </c>
      <c r="E4272" t="str">
        <f t="shared" si="168"/>
        <v>WEEKDAY</v>
      </c>
      <c r="F4272" t="e">
        <f t="shared" si="169"/>
        <v>#N/A</v>
      </c>
      <c r="G4272" s="74">
        <v>33051</v>
      </c>
      <c r="H4272" s="77">
        <v>0.25</v>
      </c>
      <c r="J4272">
        <v>73.039999999999992</v>
      </c>
      <c r="M4272" s="74">
        <v>37799</v>
      </c>
      <c r="N4272" s="77">
        <v>0.25</v>
      </c>
      <c r="P4272">
        <v>75.2</v>
      </c>
      <c r="S4272" s="74">
        <v>34512</v>
      </c>
      <c r="T4272" s="77">
        <v>0.25</v>
      </c>
      <c r="V4272">
        <v>71.06</v>
      </c>
      <c r="X4272" s="42"/>
      <c r="AB4272">
        <v>68</v>
      </c>
      <c r="AC4272">
        <v>73.039999999999992</v>
      </c>
      <c r="AE4272" s="74"/>
      <c r="AF4272" s="77"/>
      <c r="AH4272" s="497">
        <v>69.800000000000011</v>
      </c>
      <c r="AJ4272" s="42"/>
      <c r="AK4272" s="74"/>
      <c r="AL4272" s="77"/>
      <c r="AN4272" s="497">
        <v>66.92</v>
      </c>
      <c r="AP4272" s="42"/>
      <c r="AQ4272" s="74"/>
      <c r="AR4272" s="77"/>
      <c r="AT4272" s="497">
        <v>62.96</v>
      </c>
      <c r="AV4272" s="42"/>
      <c r="AW4272" s="74"/>
      <c r="AX4272" s="77"/>
      <c r="BA4272" s="497">
        <v>64.94</v>
      </c>
      <c r="BB4272" s="42"/>
      <c r="BC4272" s="74"/>
      <c r="BD4272" s="77"/>
      <c r="BF4272">
        <v>71.06</v>
      </c>
      <c r="BH4272" s="42"/>
      <c r="BI4272" s="74"/>
      <c r="BJ4272" s="77"/>
      <c r="BL4272" s="497">
        <v>62.96</v>
      </c>
      <c r="BN4272" s="42"/>
      <c r="BO4272" s="74"/>
      <c r="BP4272" s="77"/>
      <c r="BR4272" s="497">
        <v>53.06</v>
      </c>
      <c r="BT4272" s="42"/>
    </row>
    <row r="4273" spans="1:72" x14ac:dyDescent="0.25">
      <c r="A4273" s="90">
        <v>34512</v>
      </c>
      <c r="B4273" s="20">
        <v>0.29166666666666669</v>
      </c>
      <c r="D4273">
        <v>64.94</v>
      </c>
      <c r="E4273" t="str">
        <f t="shared" si="168"/>
        <v>WEEKDAY</v>
      </c>
      <c r="F4273" t="e">
        <f t="shared" si="169"/>
        <v>#N/A</v>
      </c>
      <c r="G4273" s="74">
        <v>33051</v>
      </c>
      <c r="H4273" s="77">
        <v>0.29166666666666669</v>
      </c>
      <c r="J4273">
        <v>73.94</v>
      </c>
      <c r="M4273" s="74">
        <v>37799</v>
      </c>
      <c r="N4273" s="77">
        <v>0.29166666666666669</v>
      </c>
      <c r="P4273">
        <v>78.800000000000011</v>
      </c>
      <c r="S4273" s="74">
        <v>34512</v>
      </c>
      <c r="T4273" s="77">
        <v>0.29166666666666669</v>
      </c>
      <c r="V4273">
        <v>73.039999999999992</v>
      </c>
      <c r="X4273" s="42"/>
      <c r="AB4273">
        <v>69.7</v>
      </c>
      <c r="AC4273">
        <v>75.02</v>
      </c>
      <c r="AE4273" s="74"/>
      <c r="AF4273" s="77"/>
      <c r="AH4273" s="497">
        <v>75.2</v>
      </c>
      <c r="AJ4273" s="42"/>
      <c r="AK4273" s="74"/>
      <c r="AL4273" s="77"/>
      <c r="AN4273" s="497">
        <v>66.92</v>
      </c>
      <c r="AP4273" s="42"/>
      <c r="AQ4273" s="74"/>
      <c r="AR4273" s="77"/>
      <c r="AT4273" s="497">
        <v>66.02</v>
      </c>
      <c r="AV4273" s="42"/>
      <c r="AW4273" s="74"/>
      <c r="AX4273" s="77"/>
      <c r="BA4273" s="497">
        <v>66.02</v>
      </c>
      <c r="BB4273" s="42"/>
      <c r="BC4273" s="74"/>
      <c r="BD4273" s="77"/>
      <c r="BF4273">
        <v>73.94</v>
      </c>
      <c r="BH4273" s="42"/>
      <c r="BI4273" s="74"/>
      <c r="BJ4273" s="77"/>
      <c r="BL4273" s="497">
        <v>64.94</v>
      </c>
      <c r="BN4273" s="42"/>
      <c r="BO4273" s="74"/>
      <c r="BP4273" s="77"/>
      <c r="BR4273" s="497">
        <v>57.92</v>
      </c>
      <c r="BT4273" s="42"/>
    </row>
    <row r="4274" spans="1:72" x14ac:dyDescent="0.25">
      <c r="A4274" s="90">
        <v>34512</v>
      </c>
      <c r="B4274" s="20">
        <v>0.33333333333333331</v>
      </c>
      <c r="D4274">
        <v>66.92</v>
      </c>
      <c r="E4274" t="str">
        <f t="shared" si="168"/>
        <v>WEEKDAY</v>
      </c>
      <c r="F4274" t="e">
        <f t="shared" si="169"/>
        <v>#N/A</v>
      </c>
      <c r="G4274" s="74">
        <v>33051</v>
      </c>
      <c r="H4274" s="77">
        <v>0.33333333333333331</v>
      </c>
      <c r="J4274">
        <v>77</v>
      </c>
      <c r="M4274" s="74">
        <v>37799</v>
      </c>
      <c r="N4274" s="77">
        <v>0.33333333333333331</v>
      </c>
      <c r="P4274">
        <v>80.599999999999994</v>
      </c>
      <c r="S4274" s="74">
        <v>34512</v>
      </c>
      <c r="T4274" s="77">
        <v>0.33333333333333331</v>
      </c>
      <c r="V4274">
        <v>73.94</v>
      </c>
      <c r="X4274" s="42"/>
      <c r="AB4274">
        <v>71.7</v>
      </c>
      <c r="AC4274">
        <v>75.92</v>
      </c>
      <c r="AE4274" s="74"/>
      <c r="AF4274" s="77"/>
      <c r="AH4274" s="497">
        <v>78.800000000000011</v>
      </c>
      <c r="AJ4274" s="42"/>
      <c r="AK4274" s="74"/>
      <c r="AL4274" s="77"/>
      <c r="AN4274" s="497">
        <v>66.02</v>
      </c>
      <c r="AP4274" s="42"/>
      <c r="AQ4274" s="74"/>
      <c r="AR4274" s="77"/>
      <c r="AT4274" s="497">
        <v>69.080000000000013</v>
      </c>
      <c r="AV4274" s="42"/>
      <c r="AW4274" s="74"/>
      <c r="AX4274" s="77"/>
      <c r="BA4274" s="497">
        <v>68.72</v>
      </c>
      <c r="BB4274" s="42"/>
      <c r="BC4274" s="74"/>
      <c r="BD4274" s="77"/>
      <c r="BF4274">
        <v>77</v>
      </c>
      <c r="BH4274" s="42"/>
      <c r="BI4274" s="74"/>
      <c r="BJ4274" s="77"/>
      <c r="BL4274" s="497">
        <v>66.92</v>
      </c>
      <c r="BN4274" s="42"/>
      <c r="BO4274" s="74"/>
      <c r="BP4274" s="77"/>
      <c r="BR4274" s="497">
        <v>62.06</v>
      </c>
      <c r="BT4274" s="42"/>
    </row>
    <row r="4275" spans="1:72" x14ac:dyDescent="0.25">
      <c r="A4275" s="90">
        <v>34512</v>
      </c>
      <c r="B4275" s="20">
        <v>0.375</v>
      </c>
      <c r="D4275">
        <v>69.080000000000013</v>
      </c>
      <c r="E4275" t="str">
        <f t="shared" si="168"/>
        <v>WEEKDAY</v>
      </c>
      <c r="F4275" t="e">
        <f t="shared" si="169"/>
        <v>#N/A</v>
      </c>
      <c r="G4275" s="74">
        <v>33051</v>
      </c>
      <c r="H4275" s="77">
        <v>0.375</v>
      </c>
      <c r="J4275">
        <v>78.98</v>
      </c>
      <c r="M4275" s="74">
        <v>37799</v>
      </c>
      <c r="N4275" s="77">
        <v>0.375</v>
      </c>
      <c r="P4275">
        <v>82.4</v>
      </c>
      <c r="S4275" s="74">
        <v>34512</v>
      </c>
      <c r="T4275" s="77">
        <v>0.375</v>
      </c>
      <c r="V4275">
        <v>75.92</v>
      </c>
      <c r="X4275" s="42"/>
      <c r="AB4275">
        <v>73.7</v>
      </c>
      <c r="AC4275">
        <v>78.080000000000013</v>
      </c>
      <c r="AE4275" s="74"/>
      <c r="AF4275" s="77"/>
      <c r="AH4275" s="497">
        <v>80.599999999999994</v>
      </c>
      <c r="AJ4275" s="42"/>
      <c r="AK4275" s="74"/>
      <c r="AL4275" s="77"/>
      <c r="AN4275" s="497">
        <v>69.080000000000013</v>
      </c>
      <c r="AP4275" s="42"/>
      <c r="AQ4275" s="74"/>
      <c r="AR4275" s="77"/>
      <c r="AT4275" s="497">
        <v>71.960000000000008</v>
      </c>
      <c r="AV4275" s="42"/>
      <c r="AW4275" s="74"/>
      <c r="AX4275" s="77"/>
      <c r="BA4275" s="497">
        <v>71.240000000000009</v>
      </c>
      <c r="BB4275" s="42"/>
      <c r="BC4275" s="74"/>
      <c r="BD4275" s="77"/>
      <c r="BF4275">
        <v>80.06</v>
      </c>
      <c r="BH4275" s="42"/>
      <c r="BI4275" s="74"/>
      <c r="BJ4275" s="77"/>
      <c r="BL4275" s="497">
        <v>73.039999999999992</v>
      </c>
      <c r="BN4275" s="42"/>
      <c r="BO4275" s="74"/>
      <c r="BP4275" s="77"/>
      <c r="BR4275" s="497">
        <v>64.94</v>
      </c>
      <c r="BT4275" s="42"/>
    </row>
    <row r="4276" spans="1:72" x14ac:dyDescent="0.25">
      <c r="A4276" s="90">
        <v>34512</v>
      </c>
      <c r="B4276" s="20">
        <v>0.41666666666666669</v>
      </c>
      <c r="D4276">
        <v>71.960000000000008</v>
      </c>
      <c r="E4276" t="str">
        <f t="shared" si="168"/>
        <v>WEEKDAY</v>
      </c>
      <c r="F4276" t="e">
        <f t="shared" si="169"/>
        <v>#N/A</v>
      </c>
      <c r="G4276" s="74">
        <v>33051</v>
      </c>
      <c r="H4276" s="77">
        <v>0.41666666666666669</v>
      </c>
      <c r="J4276">
        <v>78.98</v>
      </c>
      <c r="M4276" s="74">
        <v>37799</v>
      </c>
      <c r="N4276" s="77">
        <v>0.41666666666666669</v>
      </c>
      <c r="P4276">
        <v>84.2</v>
      </c>
      <c r="S4276" s="74">
        <v>34512</v>
      </c>
      <c r="T4276" s="77">
        <v>0.41666666666666669</v>
      </c>
      <c r="V4276">
        <v>75.92</v>
      </c>
      <c r="X4276" s="42"/>
      <c r="AB4276">
        <v>75.599999999999994</v>
      </c>
      <c r="AC4276">
        <v>77</v>
      </c>
      <c r="AE4276" s="74"/>
      <c r="AF4276" s="77"/>
      <c r="AH4276" s="497">
        <v>82.4</v>
      </c>
      <c r="AJ4276" s="42"/>
      <c r="AK4276" s="74"/>
      <c r="AL4276" s="77"/>
      <c r="AN4276" s="497">
        <v>69.080000000000013</v>
      </c>
      <c r="AP4276" s="42"/>
      <c r="AQ4276" s="74"/>
      <c r="AR4276" s="77"/>
      <c r="AT4276" s="497">
        <v>75.92</v>
      </c>
      <c r="AV4276" s="42"/>
      <c r="AW4276" s="74"/>
      <c r="AX4276" s="77"/>
      <c r="BA4276" s="497">
        <v>73.94</v>
      </c>
      <c r="BB4276" s="42"/>
      <c r="BC4276" s="74"/>
      <c r="BD4276" s="77"/>
      <c r="BF4276">
        <v>80.960000000000008</v>
      </c>
      <c r="BH4276" s="42"/>
      <c r="BI4276" s="74"/>
      <c r="BJ4276" s="77"/>
      <c r="BL4276" s="497">
        <v>75.02</v>
      </c>
      <c r="BN4276" s="42"/>
      <c r="BO4276" s="74"/>
      <c r="BP4276" s="77"/>
      <c r="BR4276" s="497">
        <v>68</v>
      </c>
      <c r="BT4276" s="42"/>
    </row>
    <row r="4277" spans="1:72" x14ac:dyDescent="0.25">
      <c r="A4277" s="90">
        <v>34512</v>
      </c>
      <c r="B4277" s="20">
        <v>0.45833333333333331</v>
      </c>
      <c r="D4277">
        <v>73.94</v>
      </c>
      <c r="E4277" t="str">
        <f t="shared" si="168"/>
        <v>WEEKDAY</v>
      </c>
      <c r="F4277" t="e">
        <f t="shared" si="169"/>
        <v>#N/A</v>
      </c>
      <c r="G4277" s="74">
        <v>33051</v>
      </c>
      <c r="H4277" s="77">
        <v>0.45833333333333331</v>
      </c>
      <c r="J4277">
        <v>82.94</v>
      </c>
      <c r="M4277" s="74">
        <v>37799</v>
      </c>
      <c r="N4277" s="77">
        <v>0.45833333333333331</v>
      </c>
      <c r="P4277">
        <v>86</v>
      </c>
      <c r="S4277" s="74">
        <v>34512</v>
      </c>
      <c r="T4277" s="77">
        <v>0.45833333333333331</v>
      </c>
      <c r="V4277">
        <v>77</v>
      </c>
      <c r="X4277" s="42"/>
      <c r="AB4277">
        <v>77.099999999999994</v>
      </c>
      <c r="AC4277">
        <v>77</v>
      </c>
      <c r="AE4277" s="74"/>
      <c r="AF4277" s="77"/>
      <c r="AH4277" s="497">
        <v>82.4</v>
      </c>
      <c r="AJ4277" s="42"/>
      <c r="AK4277" s="74"/>
      <c r="AL4277" s="77"/>
      <c r="AN4277" s="497">
        <v>71.06</v>
      </c>
      <c r="AP4277" s="42"/>
      <c r="AQ4277" s="74"/>
      <c r="AR4277" s="77"/>
      <c r="AT4277" s="497">
        <v>78.98</v>
      </c>
      <c r="AV4277" s="42"/>
      <c r="AW4277" s="74"/>
      <c r="AX4277" s="77"/>
      <c r="BA4277" s="497">
        <v>75.56</v>
      </c>
      <c r="BB4277" s="42"/>
      <c r="BC4277" s="74"/>
      <c r="BD4277" s="77"/>
      <c r="BF4277">
        <v>82.94</v>
      </c>
      <c r="BH4277" s="42"/>
      <c r="BI4277" s="74"/>
      <c r="BJ4277" s="77"/>
      <c r="BL4277" s="497">
        <v>75.92</v>
      </c>
      <c r="BN4277" s="42"/>
      <c r="BO4277" s="74"/>
      <c r="BP4277" s="77"/>
      <c r="BR4277" s="497">
        <v>71.960000000000008</v>
      </c>
      <c r="BT4277" s="42"/>
    </row>
    <row r="4278" spans="1:72" x14ac:dyDescent="0.25">
      <c r="A4278" s="90">
        <v>34512</v>
      </c>
      <c r="B4278" s="20">
        <v>0.5</v>
      </c>
      <c r="D4278">
        <v>75.92</v>
      </c>
      <c r="E4278" t="str">
        <f t="shared" si="168"/>
        <v>WEEKDAY</v>
      </c>
      <c r="F4278" t="e">
        <f t="shared" si="169"/>
        <v>#N/A</v>
      </c>
      <c r="G4278" s="74">
        <v>33051</v>
      </c>
      <c r="H4278" s="77">
        <v>0.5</v>
      </c>
      <c r="J4278">
        <v>86</v>
      </c>
      <c r="M4278" s="74">
        <v>37799</v>
      </c>
      <c r="N4278" s="77">
        <v>0.5</v>
      </c>
      <c r="P4278">
        <v>87.800000000000011</v>
      </c>
      <c r="S4278" s="74">
        <v>34512</v>
      </c>
      <c r="T4278" s="77">
        <v>0.5</v>
      </c>
      <c r="V4278">
        <v>78.98</v>
      </c>
      <c r="X4278" s="42"/>
      <c r="AB4278">
        <v>78.3</v>
      </c>
      <c r="AC4278">
        <v>78.98</v>
      </c>
      <c r="AE4278" s="74"/>
      <c r="AF4278" s="77"/>
      <c r="AH4278" s="497">
        <v>84.2</v>
      </c>
      <c r="AJ4278" s="42"/>
      <c r="AK4278" s="74"/>
      <c r="AL4278" s="77"/>
      <c r="AN4278" s="497">
        <v>73.94</v>
      </c>
      <c r="AP4278" s="42"/>
      <c r="AQ4278" s="74"/>
      <c r="AR4278" s="77"/>
      <c r="AT4278" s="497">
        <v>78.080000000000013</v>
      </c>
      <c r="AV4278" s="42"/>
      <c r="AW4278" s="74"/>
      <c r="AX4278" s="77"/>
      <c r="BA4278" s="497">
        <v>77.36</v>
      </c>
      <c r="BB4278" s="42"/>
      <c r="BC4278" s="74"/>
      <c r="BD4278" s="77"/>
      <c r="BF4278">
        <v>86</v>
      </c>
      <c r="BH4278" s="42"/>
      <c r="BI4278" s="74"/>
      <c r="BJ4278" s="77"/>
      <c r="BL4278" s="497">
        <v>77</v>
      </c>
      <c r="BN4278" s="42"/>
      <c r="BO4278" s="74"/>
      <c r="BP4278" s="77"/>
      <c r="BR4278" s="497">
        <v>73.94</v>
      </c>
      <c r="BT4278" s="42"/>
    </row>
    <row r="4279" spans="1:72" x14ac:dyDescent="0.25">
      <c r="A4279" s="90">
        <v>34512</v>
      </c>
      <c r="B4279" s="20">
        <v>0.54166666666666663</v>
      </c>
      <c r="D4279">
        <v>77</v>
      </c>
      <c r="E4279" t="str">
        <f t="shared" si="168"/>
        <v>WEEKDAY</v>
      </c>
      <c r="F4279" t="e">
        <f t="shared" si="169"/>
        <v>#N/A</v>
      </c>
      <c r="G4279" s="74">
        <v>33051</v>
      </c>
      <c r="H4279" s="77">
        <v>0.54166666666666663</v>
      </c>
      <c r="J4279">
        <v>86</v>
      </c>
      <c r="M4279" s="74">
        <v>37799</v>
      </c>
      <c r="N4279" s="77">
        <v>0.54166666666666663</v>
      </c>
      <c r="P4279">
        <v>87.800000000000011</v>
      </c>
      <c r="S4279" s="74">
        <v>34512</v>
      </c>
      <c r="T4279" s="77">
        <v>0.54166666666666663</v>
      </c>
      <c r="V4279">
        <v>80.06</v>
      </c>
      <c r="X4279" s="42"/>
      <c r="AB4279">
        <v>79</v>
      </c>
      <c r="AC4279">
        <v>80.06</v>
      </c>
      <c r="AE4279" s="74"/>
      <c r="AF4279" s="77"/>
      <c r="AH4279" s="497">
        <v>82.4</v>
      </c>
      <c r="AJ4279" s="42"/>
      <c r="AK4279" s="74"/>
      <c r="AL4279" s="77"/>
      <c r="AN4279" s="497">
        <v>71.960000000000008</v>
      </c>
      <c r="AP4279" s="42"/>
      <c r="AQ4279" s="74"/>
      <c r="AR4279" s="77"/>
      <c r="AT4279" s="497">
        <v>78.080000000000013</v>
      </c>
      <c r="AV4279" s="42"/>
      <c r="AW4279" s="74"/>
      <c r="AX4279" s="77"/>
      <c r="BA4279" s="497">
        <v>78.98</v>
      </c>
      <c r="BB4279" s="42"/>
      <c r="BC4279" s="74"/>
      <c r="BD4279" s="77"/>
      <c r="BF4279">
        <v>87.080000000000013</v>
      </c>
      <c r="BH4279" s="42"/>
      <c r="BI4279" s="74"/>
      <c r="BJ4279" s="77"/>
      <c r="BL4279" s="497">
        <v>80.06</v>
      </c>
      <c r="BN4279" s="42"/>
      <c r="BO4279" s="74"/>
      <c r="BP4279" s="77"/>
      <c r="BR4279" s="497">
        <v>75.02</v>
      </c>
      <c r="BT4279" s="42"/>
    </row>
    <row r="4280" spans="1:72" x14ac:dyDescent="0.25">
      <c r="A4280" s="90">
        <v>34512</v>
      </c>
      <c r="B4280" s="20">
        <v>0.58333333333333337</v>
      </c>
      <c r="D4280">
        <v>78.080000000000013</v>
      </c>
      <c r="E4280" t="str">
        <f t="shared" si="168"/>
        <v>WEEKDAY</v>
      </c>
      <c r="F4280" t="e">
        <f t="shared" si="169"/>
        <v>#N/A</v>
      </c>
      <c r="G4280" s="74">
        <v>33051</v>
      </c>
      <c r="H4280" s="77">
        <v>0.58333333333333337</v>
      </c>
      <c r="J4280">
        <v>84.02</v>
      </c>
      <c r="M4280" s="74">
        <v>37799</v>
      </c>
      <c r="N4280" s="77">
        <v>0.58333333333333337</v>
      </c>
      <c r="P4280">
        <v>86</v>
      </c>
      <c r="S4280" s="74">
        <v>34512</v>
      </c>
      <c r="T4280" s="77">
        <v>0.58333333333333337</v>
      </c>
      <c r="V4280">
        <v>80.960000000000008</v>
      </c>
      <c r="X4280" s="42"/>
      <c r="AB4280">
        <v>79.400000000000006</v>
      </c>
      <c r="AC4280">
        <v>80.06</v>
      </c>
      <c r="AE4280" s="74"/>
      <c r="AF4280" s="77"/>
      <c r="AH4280" s="497">
        <v>71.599999999999994</v>
      </c>
      <c r="AJ4280" s="42"/>
      <c r="AK4280" s="74"/>
      <c r="AL4280" s="77"/>
      <c r="AN4280" s="497">
        <v>69.98</v>
      </c>
      <c r="AP4280" s="42"/>
      <c r="AQ4280" s="74"/>
      <c r="AR4280" s="77"/>
      <c r="AT4280" s="497">
        <v>80.960000000000008</v>
      </c>
      <c r="AV4280" s="42"/>
      <c r="AW4280" s="74"/>
      <c r="AX4280" s="77"/>
      <c r="BA4280" s="497">
        <v>78.98</v>
      </c>
      <c r="BB4280" s="42"/>
      <c r="BC4280" s="74"/>
      <c r="BD4280" s="77"/>
      <c r="BF4280">
        <v>80.960000000000008</v>
      </c>
      <c r="BH4280" s="42"/>
      <c r="BI4280" s="74"/>
      <c r="BJ4280" s="77"/>
      <c r="BL4280" s="497">
        <v>82.039999999999992</v>
      </c>
      <c r="BN4280" s="42"/>
      <c r="BO4280" s="74"/>
      <c r="BP4280" s="77"/>
      <c r="BR4280" s="497">
        <v>78.080000000000013</v>
      </c>
      <c r="BT4280" s="42"/>
    </row>
    <row r="4281" spans="1:72" x14ac:dyDescent="0.25">
      <c r="A4281" s="90">
        <v>34512</v>
      </c>
      <c r="B4281" s="20">
        <v>0.625</v>
      </c>
      <c r="D4281">
        <v>78.98</v>
      </c>
      <c r="E4281" t="str">
        <f t="shared" si="168"/>
        <v>WEEKDAY</v>
      </c>
      <c r="F4281" t="e">
        <f t="shared" si="169"/>
        <v>#N/A</v>
      </c>
      <c r="G4281" s="74">
        <v>33051</v>
      </c>
      <c r="H4281" s="77">
        <v>0.625</v>
      </c>
      <c r="J4281">
        <v>82.94</v>
      </c>
      <c r="M4281" s="74">
        <v>37799</v>
      </c>
      <c r="N4281" s="77">
        <v>0.625</v>
      </c>
      <c r="P4281">
        <v>87.800000000000011</v>
      </c>
      <c r="S4281" s="74">
        <v>34512</v>
      </c>
      <c r="T4281" s="77">
        <v>0.625</v>
      </c>
      <c r="V4281">
        <v>71.960000000000008</v>
      </c>
      <c r="X4281" s="42"/>
      <c r="AB4281">
        <v>79.5</v>
      </c>
      <c r="AC4281">
        <v>80.06</v>
      </c>
      <c r="AE4281" s="74"/>
      <c r="AF4281" s="77"/>
      <c r="AH4281" s="497">
        <v>75.2</v>
      </c>
      <c r="AJ4281" s="42"/>
      <c r="AK4281" s="74"/>
      <c r="AL4281" s="77"/>
      <c r="AN4281" s="497">
        <v>64.94</v>
      </c>
      <c r="AP4281" s="42"/>
      <c r="AQ4281" s="74"/>
      <c r="AR4281" s="77"/>
      <c r="AT4281" s="497">
        <v>82.94</v>
      </c>
      <c r="AV4281" s="42"/>
      <c r="AW4281" s="74"/>
      <c r="AX4281" s="77"/>
      <c r="BA4281" s="497">
        <v>78.98</v>
      </c>
      <c r="BB4281" s="42"/>
      <c r="BC4281" s="74"/>
      <c r="BD4281" s="77"/>
      <c r="BF4281">
        <v>78.080000000000013</v>
      </c>
      <c r="BH4281" s="42"/>
      <c r="BI4281" s="74"/>
      <c r="BJ4281" s="77"/>
      <c r="BL4281" s="497">
        <v>77</v>
      </c>
      <c r="BN4281" s="42"/>
      <c r="BO4281" s="74"/>
      <c r="BP4281" s="77"/>
      <c r="BR4281" s="497">
        <v>77</v>
      </c>
      <c r="BT4281" s="42"/>
    </row>
    <row r="4282" spans="1:72" x14ac:dyDescent="0.25">
      <c r="A4282" s="90">
        <v>34512</v>
      </c>
      <c r="B4282" s="20">
        <v>0.66666666666666663</v>
      </c>
      <c r="D4282">
        <v>78.98</v>
      </c>
      <c r="E4282" t="str">
        <f t="shared" si="168"/>
        <v>WEEKDAY</v>
      </c>
      <c r="F4282" t="e">
        <f t="shared" si="169"/>
        <v>#N/A</v>
      </c>
      <c r="G4282" s="74">
        <v>33051</v>
      </c>
      <c r="H4282" s="77">
        <v>0.66666666666666663</v>
      </c>
      <c r="J4282">
        <v>80.960000000000008</v>
      </c>
      <c r="M4282" s="74">
        <v>37799</v>
      </c>
      <c r="N4282" s="77">
        <v>0.66666666666666663</v>
      </c>
      <c r="P4282">
        <v>87.800000000000011</v>
      </c>
      <c r="S4282" s="74">
        <v>34512</v>
      </c>
      <c r="T4282" s="77">
        <v>0.66666666666666663</v>
      </c>
      <c r="V4282">
        <v>75.02</v>
      </c>
      <c r="X4282" s="42"/>
      <c r="AB4282">
        <v>78.900000000000006</v>
      </c>
      <c r="AC4282">
        <v>78.080000000000013</v>
      </c>
      <c r="AE4282" s="74"/>
      <c r="AF4282" s="77"/>
      <c r="AH4282" s="497">
        <v>73.400000000000006</v>
      </c>
      <c r="AJ4282" s="42"/>
      <c r="AK4282" s="74"/>
      <c r="AL4282" s="77"/>
      <c r="AN4282" s="497">
        <v>66.02</v>
      </c>
      <c r="AP4282" s="42"/>
      <c r="AQ4282" s="74"/>
      <c r="AR4282" s="77"/>
      <c r="AT4282" s="497">
        <v>84.92</v>
      </c>
      <c r="AV4282" s="42"/>
      <c r="AW4282" s="74"/>
      <c r="AX4282" s="77"/>
      <c r="BA4282" s="497">
        <v>78.98</v>
      </c>
      <c r="BB4282" s="42"/>
      <c r="BC4282" s="74"/>
      <c r="BD4282" s="77"/>
      <c r="BF4282">
        <v>78.98</v>
      </c>
      <c r="BH4282" s="42"/>
      <c r="BI4282" s="74"/>
      <c r="BJ4282" s="77"/>
      <c r="BL4282" s="497">
        <v>73.94</v>
      </c>
      <c r="BN4282" s="42"/>
      <c r="BO4282" s="74"/>
      <c r="BP4282" s="77"/>
      <c r="BR4282" s="497">
        <v>78.080000000000013</v>
      </c>
      <c r="BT4282" s="42"/>
    </row>
    <row r="4283" spans="1:72" x14ac:dyDescent="0.25">
      <c r="A4283" s="90">
        <v>34512</v>
      </c>
      <c r="B4283" s="20">
        <v>0.70833333333333337</v>
      </c>
      <c r="D4283">
        <v>78.98</v>
      </c>
      <c r="E4283" t="str">
        <f t="shared" si="168"/>
        <v>WEEKDAY</v>
      </c>
      <c r="F4283" t="e">
        <f t="shared" si="169"/>
        <v>#N/A</v>
      </c>
      <c r="G4283" s="74">
        <v>33051</v>
      </c>
      <c r="H4283" s="77">
        <v>0.70833333333333337</v>
      </c>
      <c r="J4283">
        <v>78.98</v>
      </c>
      <c r="M4283" s="74">
        <v>37799</v>
      </c>
      <c r="N4283" s="77">
        <v>0.70833333333333337</v>
      </c>
      <c r="P4283">
        <v>86</v>
      </c>
      <c r="S4283" s="74">
        <v>34512</v>
      </c>
      <c r="T4283" s="77">
        <v>0.70833333333333337</v>
      </c>
      <c r="V4283">
        <v>73.039999999999992</v>
      </c>
      <c r="X4283" s="42"/>
      <c r="AB4283">
        <v>78</v>
      </c>
      <c r="AC4283">
        <v>78.080000000000013</v>
      </c>
      <c r="AE4283" s="74"/>
      <c r="AF4283" s="77"/>
      <c r="AH4283" s="497">
        <v>71.599999999999994</v>
      </c>
      <c r="AJ4283" s="42"/>
      <c r="AK4283" s="74"/>
      <c r="AL4283" s="77"/>
      <c r="AN4283" s="497">
        <v>64.94</v>
      </c>
      <c r="AP4283" s="42"/>
      <c r="AQ4283" s="74"/>
      <c r="AR4283" s="77"/>
      <c r="AT4283" s="497">
        <v>82.039999999999992</v>
      </c>
      <c r="AV4283" s="42"/>
      <c r="AW4283" s="74"/>
      <c r="AX4283" s="77"/>
      <c r="BA4283" s="497">
        <v>74.300000000000011</v>
      </c>
      <c r="BB4283" s="42"/>
      <c r="BC4283" s="74"/>
      <c r="BD4283" s="77"/>
      <c r="BF4283">
        <v>80.06</v>
      </c>
      <c r="BH4283" s="42"/>
      <c r="BI4283" s="74"/>
      <c r="BJ4283" s="77"/>
      <c r="BL4283" s="497">
        <v>73.039999999999992</v>
      </c>
      <c r="BN4283" s="42"/>
      <c r="BO4283" s="74"/>
      <c r="BP4283" s="77"/>
      <c r="BR4283" s="497">
        <v>78.080000000000013</v>
      </c>
      <c r="BT4283" s="42"/>
    </row>
    <row r="4284" spans="1:72" x14ac:dyDescent="0.25">
      <c r="A4284" s="90">
        <v>34512</v>
      </c>
      <c r="B4284" s="20">
        <v>0.75</v>
      </c>
      <c r="D4284">
        <v>78.98</v>
      </c>
      <c r="E4284" t="str">
        <f t="shared" si="168"/>
        <v>WEEKDAY</v>
      </c>
      <c r="F4284" t="e">
        <f t="shared" si="169"/>
        <v>#N/A</v>
      </c>
      <c r="G4284" s="74">
        <v>33051</v>
      </c>
      <c r="H4284" s="77">
        <v>0.75</v>
      </c>
      <c r="J4284">
        <v>78.98</v>
      </c>
      <c r="M4284" s="74">
        <v>37799</v>
      </c>
      <c r="N4284" s="77">
        <v>0.75</v>
      </c>
      <c r="P4284">
        <v>82.4</v>
      </c>
      <c r="S4284" s="74">
        <v>34512</v>
      </c>
      <c r="T4284" s="77">
        <v>0.75</v>
      </c>
      <c r="V4284">
        <v>73.039999999999992</v>
      </c>
      <c r="X4284" s="42"/>
      <c r="AB4284">
        <v>76.7</v>
      </c>
      <c r="AC4284">
        <v>77</v>
      </c>
      <c r="AE4284" s="74"/>
      <c r="AF4284" s="77"/>
      <c r="AH4284" s="497">
        <v>73.400000000000006</v>
      </c>
      <c r="AJ4284" s="42"/>
      <c r="AK4284" s="74"/>
      <c r="AL4284" s="77"/>
      <c r="AN4284" s="497">
        <v>64.039999999999992</v>
      </c>
      <c r="AP4284" s="42"/>
      <c r="AQ4284" s="74"/>
      <c r="AR4284" s="77"/>
      <c r="AT4284" s="497">
        <v>80.06</v>
      </c>
      <c r="AV4284" s="42"/>
      <c r="AW4284" s="74"/>
      <c r="AX4284" s="77"/>
      <c r="BA4284" s="497">
        <v>69.62</v>
      </c>
      <c r="BB4284" s="42"/>
      <c r="BC4284" s="74"/>
      <c r="BD4284" s="77"/>
      <c r="BF4284">
        <v>78.080000000000013</v>
      </c>
      <c r="BH4284" s="42"/>
      <c r="BI4284" s="74"/>
      <c r="BJ4284" s="77"/>
      <c r="BL4284" s="497">
        <v>69.98</v>
      </c>
      <c r="BN4284" s="42"/>
      <c r="BO4284" s="74"/>
      <c r="BP4284" s="77"/>
      <c r="BR4284" s="497">
        <v>75.92</v>
      </c>
      <c r="BT4284" s="42"/>
    </row>
    <row r="4285" spans="1:72" x14ac:dyDescent="0.25">
      <c r="A4285" s="90">
        <v>34512</v>
      </c>
      <c r="B4285" s="20">
        <v>0.79166666666666663</v>
      </c>
      <c r="D4285">
        <v>78.080000000000013</v>
      </c>
      <c r="E4285" t="str">
        <f t="shared" si="168"/>
        <v>WEEKDAY</v>
      </c>
      <c r="F4285" t="e">
        <f t="shared" si="169"/>
        <v>#N/A</v>
      </c>
      <c r="G4285" s="74">
        <v>33051</v>
      </c>
      <c r="H4285" s="77">
        <v>0.79166666666666663</v>
      </c>
      <c r="J4285">
        <v>77</v>
      </c>
      <c r="M4285" s="74">
        <v>37799</v>
      </c>
      <c r="N4285" s="77">
        <v>0.79166666666666663</v>
      </c>
      <c r="P4285">
        <v>78.800000000000011</v>
      </c>
      <c r="S4285" s="74">
        <v>34512</v>
      </c>
      <c r="T4285" s="77">
        <v>0.79166666666666663</v>
      </c>
      <c r="V4285">
        <v>71.06</v>
      </c>
      <c r="X4285" s="42"/>
      <c r="AB4285">
        <v>75.3</v>
      </c>
      <c r="AC4285">
        <v>75.02</v>
      </c>
      <c r="AE4285" s="74"/>
      <c r="AF4285" s="77"/>
      <c r="AH4285" s="497">
        <v>71.599999999999994</v>
      </c>
      <c r="AJ4285" s="42"/>
      <c r="AK4285" s="74"/>
      <c r="AL4285" s="77"/>
      <c r="AN4285" s="497">
        <v>64.039999999999992</v>
      </c>
      <c r="AP4285" s="42"/>
      <c r="AQ4285" s="74"/>
      <c r="AR4285" s="77"/>
      <c r="AT4285" s="497">
        <v>77</v>
      </c>
      <c r="AV4285" s="42"/>
      <c r="AW4285" s="74"/>
      <c r="AX4285" s="77"/>
      <c r="BA4285" s="497">
        <v>64.94</v>
      </c>
      <c r="BB4285" s="42"/>
      <c r="BC4285" s="74"/>
      <c r="BD4285" s="77"/>
      <c r="BF4285">
        <v>75.92</v>
      </c>
      <c r="BH4285" s="42"/>
      <c r="BI4285" s="74"/>
      <c r="BJ4285" s="77"/>
      <c r="BL4285" s="497">
        <v>69.080000000000013</v>
      </c>
      <c r="BN4285" s="42"/>
      <c r="BO4285" s="74"/>
      <c r="BP4285" s="77"/>
      <c r="BR4285" s="497">
        <v>73.039999999999992</v>
      </c>
      <c r="BT4285" s="42"/>
    </row>
    <row r="4286" spans="1:72" x14ac:dyDescent="0.25">
      <c r="A4286" s="90">
        <v>34512</v>
      </c>
      <c r="B4286" s="20">
        <v>0.83333333333333337</v>
      </c>
      <c r="D4286">
        <v>77</v>
      </c>
      <c r="E4286" t="str">
        <f t="shared" si="168"/>
        <v>WEEKDAY</v>
      </c>
      <c r="F4286" t="e">
        <f t="shared" si="169"/>
        <v>#N/A</v>
      </c>
      <c r="G4286" s="74">
        <v>33051</v>
      </c>
      <c r="H4286" s="77">
        <v>0.83333333333333337</v>
      </c>
      <c r="J4286">
        <v>78.98</v>
      </c>
      <c r="M4286" s="74">
        <v>37799</v>
      </c>
      <c r="N4286" s="77">
        <v>0.83333333333333337</v>
      </c>
      <c r="P4286">
        <v>77</v>
      </c>
      <c r="S4286" s="74">
        <v>34512</v>
      </c>
      <c r="T4286" s="77">
        <v>0.83333333333333337</v>
      </c>
      <c r="V4286">
        <v>69.080000000000013</v>
      </c>
      <c r="X4286" s="42"/>
      <c r="AB4286">
        <v>73.900000000000006</v>
      </c>
      <c r="AC4286">
        <v>73.94</v>
      </c>
      <c r="AE4286" s="74"/>
      <c r="AF4286" s="77"/>
      <c r="AH4286" s="497">
        <v>69.800000000000011</v>
      </c>
      <c r="AJ4286" s="42"/>
      <c r="AK4286" s="74"/>
      <c r="AL4286" s="77"/>
      <c r="AN4286" s="497">
        <v>64.039999999999992</v>
      </c>
      <c r="AP4286" s="42"/>
      <c r="AQ4286" s="74"/>
      <c r="AR4286" s="77"/>
      <c r="AT4286" s="497">
        <v>75.02</v>
      </c>
      <c r="AV4286" s="42"/>
      <c r="AW4286" s="74"/>
      <c r="AX4286" s="77"/>
      <c r="BA4286" s="497">
        <v>64.94</v>
      </c>
      <c r="BB4286" s="42"/>
      <c r="BC4286" s="74"/>
      <c r="BD4286" s="77"/>
      <c r="BF4286">
        <v>75.02</v>
      </c>
      <c r="BH4286" s="42"/>
      <c r="BI4286" s="74"/>
      <c r="BJ4286" s="77"/>
      <c r="BL4286" s="497">
        <v>66.92</v>
      </c>
      <c r="BN4286" s="42"/>
      <c r="BO4286" s="74"/>
      <c r="BP4286" s="77"/>
      <c r="BR4286" s="497">
        <v>66.02</v>
      </c>
      <c r="BT4286" s="42"/>
    </row>
    <row r="4287" spans="1:72" x14ac:dyDescent="0.25">
      <c r="A4287" s="90">
        <v>34512</v>
      </c>
      <c r="B4287" s="20">
        <v>0.875</v>
      </c>
      <c r="D4287">
        <v>75.92</v>
      </c>
      <c r="E4287" t="str">
        <f t="shared" si="168"/>
        <v>WEEKDAY</v>
      </c>
      <c r="F4287" t="e">
        <f t="shared" si="169"/>
        <v>#N/A</v>
      </c>
      <c r="G4287" s="74">
        <v>33051</v>
      </c>
      <c r="H4287" s="77">
        <v>0.875</v>
      </c>
      <c r="J4287">
        <v>78.98</v>
      </c>
      <c r="M4287" s="74">
        <v>37799</v>
      </c>
      <c r="N4287" s="77">
        <v>0.875</v>
      </c>
      <c r="P4287">
        <v>75.2</v>
      </c>
      <c r="S4287" s="74">
        <v>34512</v>
      </c>
      <c r="T4287" s="77">
        <v>0.875</v>
      </c>
      <c r="V4287">
        <v>69.98</v>
      </c>
      <c r="X4287" s="42"/>
      <c r="AB4287">
        <v>72.900000000000006</v>
      </c>
      <c r="AC4287">
        <v>73.94</v>
      </c>
      <c r="AE4287" s="74"/>
      <c r="AF4287" s="77"/>
      <c r="AH4287" s="497">
        <v>68</v>
      </c>
      <c r="AJ4287" s="42"/>
      <c r="AK4287" s="74"/>
      <c r="AL4287" s="77"/>
      <c r="AN4287" s="497">
        <v>64.94</v>
      </c>
      <c r="AP4287" s="42"/>
      <c r="AQ4287" s="74"/>
      <c r="AR4287" s="77"/>
      <c r="AT4287" s="497">
        <v>73.94</v>
      </c>
      <c r="AV4287" s="42"/>
      <c r="AW4287" s="74"/>
      <c r="AX4287" s="77"/>
      <c r="BA4287" s="497">
        <v>64.94</v>
      </c>
      <c r="BB4287" s="42"/>
      <c r="BC4287" s="74"/>
      <c r="BD4287" s="77"/>
      <c r="BF4287">
        <v>71.960000000000008</v>
      </c>
      <c r="BH4287" s="42"/>
      <c r="BI4287" s="74"/>
      <c r="BJ4287" s="77"/>
      <c r="BL4287" s="497">
        <v>66.92</v>
      </c>
      <c r="BN4287" s="42"/>
      <c r="BO4287" s="74"/>
      <c r="BP4287" s="77"/>
      <c r="BR4287" s="497">
        <v>60.980000000000004</v>
      </c>
      <c r="BT4287" s="42"/>
    </row>
    <row r="4288" spans="1:72" x14ac:dyDescent="0.25">
      <c r="A4288" s="90">
        <v>34512</v>
      </c>
      <c r="B4288" s="20">
        <v>0.91666666666666663</v>
      </c>
      <c r="D4288">
        <v>75.02</v>
      </c>
      <c r="E4288" t="str">
        <f t="shared" si="168"/>
        <v>WEEKDAY</v>
      </c>
      <c r="F4288" t="e">
        <f t="shared" si="169"/>
        <v>#N/A</v>
      </c>
      <c r="G4288" s="74">
        <v>33051</v>
      </c>
      <c r="H4288" s="77">
        <v>0.91666666666666663</v>
      </c>
      <c r="J4288">
        <v>77</v>
      </c>
      <c r="M4288" s="74">
        <v>37799</v>
      </c>
      <c r="N4288" s="77">
        <v>0.91666666666666663</v>
      </c>
      <c r="P4288">
        <v>73.400000000000006</v>
      </c>
      <c r="S4288" s="74">
        <v>34512</v>
      </c>
      <c r="T4288" s="77">
        <v>0.91666666666666663</v>
      </c>
      <c r="V4288">
        <v>69.080000000000013</v>
      </c>
      <c r="X4288" s="42"/>
      <c r="AB4288">
        <v>72.099999999999994</v>
      </c>
      <c r="AC4288">
        <v>73.039999999999992</v>
      </c>
      <c r="AE4288" s="74"/>
      <c r="AF4288" s="77"/>
      <c r="AH4288" s="497">
        <v>64.400000000000006</v>
      </c>
      <c r="AJ4288" s="42"/>
      <c r="AK4288" s="74"/>
      <c r="AL4288" s="77"/>
      <c r="AN4288" s="497">
        <v>64.94</v>
      </c>
      <c r="AP4288" s="42"/>
      <c r="AQ4288" s="74"/>
      <c r="AR4288" s="77"/>
      <c r="AT4288" s="497">
        <v>73.94</v>
      </c>
      <c r="AV4288" s="42"/>
      <c r="AW4288" s="74"/>
      <c r="AX4288" s="77"/>
      <c r="BA4288" s="497">
        <v>64.94</v>
      </c>
      <c r="BB4288" s="42"/>
      <c r="BC4288" s="74"/>
      <c r="BD4288" s="77"/>
      <c r="BF4288">
        <v>71.06</v>
      </c>
      <c r="BH4288" s="42"/>
      <c r="BI4288" s="74"/>
      <c r="BJ4288" s="77"/>
      <c r="BL4288" s="497">
        <v>66.92</v>
      </c>
      <c r="BN4288" s="42"/>
      <c r="BO4288" s="74"/>
      <c r="BP4288" s="77"/>
      <c r="BR4288" s="497">
        <v>60.980000000000004</v>
      </c>
      <c r="BT4288" s="42"/>
    </row>
    <row r="4289" spans="1:72" x14ac:dyDescent="0.25">
      <c r="A4289" s="90">
        <v>34512</v>
      </c>
      <c r="B4289" s="20">
        <v>0.95833333333333337</v>
      </c>
      <c r="D4289">
        <v>73.94</v>
      </c>
      <c r="E4289" t="str">
        <f t="shared" si="168"/>
        <v>WEEKDAY</v>
      </c>
      <c r="F4289" t="e">
        <f t="shared" si="169"/>
        <v>#N/A</v>
      </c>
      <c r="G4289" s="74">
        <v>33051</v>
      </c>
      <c r="H4289" s="77">
        <v>0.95833333333333337</v>
      </c>
      <c r="J4289">
        <v>77</v>
      </c>
      <c r="M4289" s="74">
        <v>37799</v>
      </c>
      <c r="N4289" s="77">
        <v>0.95833333333333337</v>
      </c>
      <c r="P4289">
        <v>69.800000000000011</v>
      </c>
      <c r="S4289" s="74">
        <v>34512</v>
      </c>
      <c r="T4289" s="77">
        <v>0.95833333333333337</v>
      </c>
      <c r="V4289">
        <v>68</v>
      </c>
      <c r="X4289" s="42"/>
      <c r="AB4289">
        <v>71.599999999999994</v>
      </c>
      <c r="AC4289">
        <v>71.06</v>
      </c>
      <c r="AE4289" s="74"/>
      <c r="AF4289" s="77"/>
      <c r="AH4289" s="497">
        <v>62.6</v>
      </c>
      <c r="AJ4289" s="42"/>
      <c r="AK4289" s="74"/>
      <c r="AL4289" s="77"/>
      <c r="AN4289" s="497">
        <v>64.94</v>
      </c>
      <c r="AP4289" s="42"/>
      <c r="AQ4289" s="74"/>
      <c r="AR4289" s="77"/>
      <c r="AT4289" s="497">
        <v>73.039999999999992</v>
      </c>
      <c r="AV4289" s="42"/>
      <c r="AW4289" s="74"/>
      <c r="AX4289" s="77"/>
      <c r="BA4289" s="497">
        <v>64.039999999999992</v>
      </c>
      <c r="BB4289" s="42"/>
      <c r="BC4289" s="74"/>
      <c r="BD4289" s="77"/>
      <c r="BF4289">
        <v>69.080000000000013</v>
      </c>
      <c r="BH4289" s="42"/>
      <c r="BI4289" s="74"/>
      <c r="BJ4289" s="77"/>
      <c r="BL4289" s="497">
        <v>64.94</v>
      </c>
      <c r="BN4289" s="42"/>
      <c r="BO4289" s="74"/>
      <c r="BP4289" s="77"/>
      <c r="BR4289" s="497">
        <v>57.92</v>
      </c>
      <c r="BT4289" s="42"/>
    </row>
    <row r="4290" spans="1:72" x14ac:dyDescent="0.25">
      <c r="A4290" s="90">
        <v>34512</v>
      </c>
      <c r="B4290" s="20">
        <v>1</v>
      </c>
      <c r="D4290">
        <v>73.94</v>
      </c>
      <c r="E4290" t="str">
        <f t="shared" si="168"/>
        <v>WEEKDAY</v>
      </c>
      <c r="F4290" t="e">
        <f t="shared" si="169"/>
        <v>#N/A</v>
      </c>
      <c r="G4290" s="74">
        <v>33051</v>
      </c>
      <c r="H4290" s="77">
        <v>1</v>
      </c>
      <c r="J4290">
        <v>77</v>
      </c>
      <c r="M4290" s="74">
        <v>37799</v>
      </c>
      <c r="N4290" s="80">
        <v>1</v>
      </c>
      <c r="P4290">
        <v>68</v>
      </c>
      <c r="S4290" s="74">
        <v>34512</v>
      </c>
      <c r="T4290" s="80">
        <v>1</v>
      </c>
      <c r="V4290">
        <v>69.080000000000013</v>
      </c>
      <c r="X4290" s="42"/>
      <c r="AB4290">
        <v>71.099999999999994</v>
      </c>
      <c r="AC4290">
        <v>71.06</v>
      </c>
      <c r="AE4290" s="74"/>
      <c r="AF4290" s="80"/>
      <c r="AH4290" s="497">
        <v>60.8</v>
      </c>
      <c r="AJ4290" s="42"/>
      <c r="AK4290" s="74"/>
      <c r="AL4290" s="80"/>
      <c r="AN4290" s="497">
        <v>64.039999999999992</v>
      </c>
      <c r="AP4290" s="42"/>
      <c r="AQ4290" s="74"/>
      <c r="AR4290" s="80"/>
      <c r="AT4290" s="497">
        <v>71.06</v>
      </c>
      <c r="AV4290" s="42"/>
      <c r="AW4290" s="74"/>
      <c r="AX4290" s="80"/>
      <c r="BA4290" s="497">
        <v>62.96</v>
      </c>
      <c r="BB4290" s="42"/>
      <c r="BC4290" s="74"/>
      <c r="BD4290" s="80"/>
      <c r="BF4290">
        <v>69.98</v>
      </c>
      <c r="BH4290" s="42"/>
      <c r="BI4290" s="74"/>
      <c r="BJ4290" s="80"/>
      <c r="BL4290" s="497">
        <v>64.94</v>
      </c>
      <c r="BN4290" s="42"/>
      <c r="BO4290" s="74"/>
      <c r="BP4290" s="80"/>
      <c r="BR4290" s="497">
        <v>53.96</v>
      </c>
      <c r="BT4290" s="42"/>
    </row>
    <row r="4291" spans="1:72" x14ac:dyDescent="0.25">
      <c r="A4291" s="90">
        <v>34513</v>
      </c>
      <c r="B4291" s="20">
        <v>4.1666666666666664E-2</v>
      </c>
      <c r="D4291">
        <v>71.960000000000008</v>
      </c>
      <c r="E4291" t="str">
        <f t="shared" si="168"/>
        <v>WEEKDAY</v>
      </c>
      <c r="F4291" t="e">
        <f t="shared" si="169"/>
        <v>#N/A</v>
      </c>
      <c r="G4291" s="74">
        <v>33052</v>
      </c>
      <c r="H4291" s="77">
        <v>4.1666666666666664E-2</v>
      </c>
      <c r="J4291">
        <v>75.92</v>
      </c>
      <c r="M4291" s="74">
        <v>37800</v>
      </c>
      <c r="N4291" s="77">
        <v>4.1666666666666664E-2</v>
      </c>
      <c r="P4291">
        <v>64.400000000000006</v>
      </c>
      <c r="S4291" s="74">
        <v>34513</v>
      </c>
      <c r="T4291" s="77">
        <v>4.1666666666666664E-2</v>
      </c>
      <c r="V4291">
        <v>66.92</v>
      </c>
      <c r="X4291" s="42"/>
      <c r="AB4291">
        <v>70.599999999999994</v>
      </c>
      <c r="AC4291">
        <v>69.98</v>
      </c>
      <c r="AE4291" s="74"/>
      <c r="AF4291" s="77"/>
      <c r="AH4291" s="497">
        <v>60.8</v>
      </c>
      <c r="AJ4291" s="42"/>
      <c r="AK4291" s="74"/>
      <c r="AL4291" s="77"/>
      <c r="AN4291" s="497">
        <v>62.96</v>
      </c>
      <c r="AP4291" s="42"/>
      <c r="AQ4291" s="74"/>
      <c r="AR4291" s="77"/>
      <c r="AT4291" s="497">
        <v>69.98</v>
      </c>
      <c r="AV4291" s="42"/>
      <c r="AW4291" s="74"/>
      <c r="AX4291" s="77"/>
      <c r="BA4291" s="497">
        <v>62.06</v>
      </c>
      <c r="BB4291" s="42"/>
      <c r="BC4291" s="74"/>
      <c r="BD4291" s="77"/>
      <c r="BF4291">
        <v>68</v>
      </c>
      <c r="BH4291" s="42"/>
      <c r="BI4291" s="74"/>
      <c r="BJ4291" s="77"/>
      <c r="BL4291" s="497">
        <v>64.94</v>
      </c>
      <c r="BN4291" s="42"/>
      <c r="BO4291" s="74"/>
      <c r="BP4291" s="77"/>
      <c r="BR4291" s="497">
        <v>53.06</v>
      </c>
      <c r="BT4291" s="42"/>
    </row>
    <row r="4292" spans="1:72" x14ac:dyDescent="0.25">
      <c r="A4292" s="90">
        <v>34513</v>
      </c>
      <c r="B4292" s="20">
        <v>8.3333333333333329E-2</v>
      </c>
      <c r="D4292">
        <v>69.98</v>
      </c>
      <c r="E4292" t="str">
        <f t="shared" si="168"/>
        <v>WEEKDAY</v>
      </c>
      <c r="F4292" t="e">
        <f t="shared" si="169"/>
        <v>#N/A</v>
      </c>
      <c r="G4292" s="74">
        <v>33052</v>
      </c>
      <c r="H4292" s="77">
        <v>8.3333333333333329E-2</v>
      </c>
      <c r="J4292">
        <v>77</v>
      </c>
      <c r="M4292" s="74">
        <v>37800</v>
      </c>
      <c r="N4292" s="77">
        <v>8.3333333333333329E-2</v>
      </c>
      <c r="P4292">
        <v>62.6</v>
      </c>
      <c r="S4292" s="74">
        <v>34513</v>
      </c>
      <c r="T4292" s="77">
        <v>8.3333333333333329E-2</v>
      </c>
      <c r="V4292">
        <v>66.92</v>
      </c>
      <c r="X4292" s="42"/>
      <c r="AB4292">
        <v>70</v>
      </c>
      <c r="AC4292">
        <v>69.98</v>
      </c>
      <c r="AE4292" s="74"/>
      <c r="AF4292" s="77"/>
      <c r="AH4292" s="497">
        <v>60.8</v>
      </c>
      <c r="AJ4292" s="42"/>
      <c r="AK4292" s="74"/>
      <c r="AL4292" s="77"/>
      <c r="AN4292" s="497">
        <v>62.96</v>
      </c>
      <c r="AP4292" s="42"/>
      <c r="AQ4292" s="74"/>
      <c r="AR4292" s="77"/>
      <c r="AT4292" s="497">
        <v>71.960000000000008</v>
      </c>
      <c r="AV4292" s="42"/>
      <c r="AW4292" s="74"/>
      <c r="AX4292" s="77"/>
      <c r="BA4292" s="497">
        <v>62.06</v>
      </c>
      <c r="BB4292" s="42"/>
      <c r="BC4292" s="74"/>
      <c r="BD4292" s="77"/>
      <c r="BF4292">
        <v>66.92</v>
      </c>
      <c r="BH4292" s="42"/>
      <c r="BI4292" s="74"/>
      <c r="BJ4292" s="77"/>
      <c r="BL4292" s="497">
        <v>62.06</v>
      </c>
      <c r="BN4292" s="42"/>
      <c r="BO4292" s="74"/>
      <c r="BP4292" s="77"/>
      <c r="BR4292" s="497">
        <v>51.980000000000004</v>
      </c>
      <c r="BT4292" s="42"/>
    </row>
    <row r="4293" spans="1:72" x14ac:dyDescent="0.25">
      <c r="A4293" s="90">
        <v>34513</v>
      </c>
      <c r="B4293" s="20">
        <v>0.125</v>
      </c>
      <c r="D4293">
        <v>69.98</v>
      </c>
      <c r="E4293" t="str">
        <f t="shared" si="168"/>
        <v>WEEKDAY</v>
      </c>
      <c r="F4293" t="e">
        <f t="shared" si="169"/>
        <v>#N/A</v>
      </c>
      <c r="G4293" s="74">
        <v>33052</v>
      </c>
      <c r="H4293" s="77">
        <v>0.125</v>
      </c>
      <c r="J4293">
        <v>73.94</v>
      </c>
      <c r="M4293" s="74">
        <v>37800</v>
      </c>
      <c r="N4293" s="77">
        <v>0.125</v>
      </c>
      <c r="P4293">
        <v>62.6</v>
      </c>
      <c r="S4293" s="74">
        <v>34513</v>
      </c>
      <c r="T4293" s="77">
        <v>0.125</v>
      </c>
      <c r="V4293">
        <v>66.02</v>
      </c>
      <c r="X4293" s="42"/>
      <c r="AB4293">
        <v>69.400000000000006</v>
      </c>
      <c r="AC4293">
        <v>69.080000000000013</v>
      </c>
      <c r="AE4293" s="74"/>
      <c r="AF4293" s="77"/>
      <c r="AH4293" s="497">
        <v>60.8</v>
      </c>
      <c r="AJ4293" s="42"/>
      <c r="AK4293" s="74"/>
      <c r="AL4293" s="77"/>
      <c r="AN4293" s="497">
        <v>62.06</v>
      </c>
      <c r="AP4293" s="42"/>
      <c r="AQ4293" s="74"/>
      <c r="AR4293" s="77"/>
      <c r="AT4293" s="497">
        <v>73.039999999999992</v>
      </c>
      <c r="AV4293" s="42"/>
      <c r="AW4293" s="74"/>
      <c r="AX4293" s="77"/>
      <c r="BA4293" s="497">
        <v>62.06</v>
      </c>
      <c r="BB4293" s="42"/>
      <c r="BC4293" s="74"/>
      <c r="BD4293" s="77"/>
      <c r="BF4293">
        <v>66.02</v>
      </c>
      <c r="BH4293" s="42"/>
      <c r="BI4293" s="74"/>
      <c r="BJ4293" s="77"/>
      <c r="BL4293" s="497">
        <v>62.06</v>
      </c>
      <c r="BN4293" s="42"/>
      <c r="BO4293" s="74"/>
      <c r="BP4293" s="77"/>
      <c r="BR4293" s="497">
        <v>51.980000000000004</v>
      </c>
      <c r="BT4293" s="42"/>
    </row>
    <row r="4294" spans="1:72" x14ac:dyDescent="0.25">
      <c r="A4294" s="90">
        <v>34513</v>
      </c>
      <c r="B4294" s="20">
        <v>0.16666666666666666</v>
      </c>
      <c r="D4294">
        <v>69.98</v>
      </c>
      <c r="E4294" t="str">
        <f t="shared" si="168"/>
        <v>WEEKDAY</v>
      </c>
      <c r="F4294" t="e">
        <f t="shared" si="169"/>
        <v>#N/A</v>
      </c>
      <c r="G4294" s="74">
        <v>33052</v>
      </c>
      <c r="H4294" s="77">
        <v>0.16666666666666666</v>
      </c>
      <c r="J4294">
        <v>71.960000000000008</v>
      </c>
      <c r="M4294" s="74">
        <v>37800</v>
      </c>
      <c r="N4294" s="77">
        <v>0.16666666666666666</v>
      </c>
      <c r="P4294">
        <v>62.6</v>
      </c>
      <c r="S4294" s="74">
        <v>34513</v>
      </c>
      <c r="T4294" s="77">
        <v>0.16666666666666666</v>
      </c>
      <c r="V4294">
        <v>66.92</v>
      </c>
      <c r="X4294" s="42"/>
      <c r="AB4294">
        <v>68.900000000000006</v>
      </c>
      <c r="AC4294">
        <v>69.080000000000013</v>
      </c>
      <c r="AE4294" s="74"/>
      <c r="AF4294" s="77"/>
      <c r="AH4294" s="497">
        <v>60.8</v>
      </c>
      <c r="AJ4294" s="42"/>
      <c r="AK4294" s="74"/>
      <c r="AL4294" s="77"/>
      <c r="AN4294" s="497">
        <v>60.08</v>
      </c>
      <c r="AP4294" s="42"/>
      <c r="AQ4294" s="74"/>
      <c r="AR4294" s="77"/>
      <c r="AT4294" s="497">
        <v>69.98</v>
      </c>
      <c r="AV4294" s="42"/>
      <c r="AW4294" s="74"/>
      <c r="AX4294" s="77"/>
      <c r="BA4294" s="497">
        <v>62.06</v>
      </c>
      <c r="BB4294" s="42"/>
      <c r="BC4294" s="74"/>
      <c r="BD4294" s="77"/>
      <c r="BF4294">
        <v>64.039999999999992</v>
      </c>
      <c r="BH4294" s="42"/>
      <c r="BI4294" s="74"/>
      <c r="BJ4294" s="77"/>
      <c r="BL4294" s="497">
        <v>62.06</v>
      </c>
      <c r="BN4294" s="42"/>
      <c r="BO4294" s="74"/>
      <c r="BP4294" s="77"/>
      <c r="BR4294" s="497">
        <v>51.08</v>
      </c>
      <c r="BT4294" s="42"/>
    </row>
    <row r="4295" spans="1:72" x14ac:dyDescent="0.25">
      <c r="A4295" s="90">
        <v>34513</v>
      </c>
      <c r="B4295" s="20">
        <v>0.20833333333333334</v>
      </c>
      <c r="D4295">
        <v>68</v>
      </c>
      <c r="E4295" t="str">
        <f t="shared" si="168"/>
        <v>WEEKDAY</v>
      </c>
      <c r="F4295" t="e">
        <f t="shared" si="169"/>
        <v>#N/A</v>
      </c>
      <c r="G4295" s="74">
        <v>33052</v>
      </c>
      <c r="H4295" s="77">
        <v>0.20833333333333334</v>
      </c>
      <c r="J4295">
        <v>71.960000000000008</v>
      </c>
      <c r="M4295" s="74">
        <v>37800</v>
      </c>
      <c r="N4295" s="77">
        <v>0.20833333333333334</v>
      </c>
      <c r="P4295">
        <v>64.400000000000006</v>
      </c>
      <c r="S4295" s="74">
        <v>34513</v>
      </c>
      <c r="T4295" s="77">
        <v>0.20833333333333334</v>
      </c>
      <c r="V4295">
        <v>66.92</v>
      </c>
      <c r="X4295" s="42"/>
      <c r="AB4295">
        <v>68.5</v>
      </c>
      <c r="AC4295">
        <v>68</v>
      </c>
      <c r="AE4295" s="74"/>
      <c r="AF4295" s="77"/>
      <c r="AH4295" s="497">
        <v>59</v>
      </c>
      <c r="AJ4295" s="42"/>
      <c r="AK4295" s="74"/>
      <c r="AL4295" s="77"/>
      <c r="AN4295" s="497">
        <v>60.08</v>
      </c>
      <c r="AP4295" s="42"/>
      <c r="AQ4295" s="74"/>
      <c r="AR4295" s="77"/>
      <c r="AT4295" s="497">
        <v>69.080000000000013</v>
      </c>
      <c r="AV4295" s="42"/>
      <c r="AW4295" s="74"/>
      <c r="AX4295" s="77"/>
      <c r="BA4295" s="497">
        <v>62.96</v>
      </c>
      <c r="BB4295" s="42"/>
      <c r="BC4295" s="74"/>
      <c r="BD4295" s="77"/>
      <c r="BF4295">
        <v>62.96</v>
      </c>
      <c r="BH4295" s="42"/>
      <c r="BI4295" s="74"/>
      <c r="BJ4295" s="77"/>
      <c r="BL4295" s="497">
        <v>62.06</v>
      </c>
      <c r="BN4295" s="42"/>
      <c r="BO4295" s="74"/>
      <c r="BP4295" s="77"/>
      <c r="BR4295" s="497">
        <v>53.06</v>
      </c>
      <c r="BT4295" s="42"/>
    </row>
    <row r="4296" spans="1:72" x14ac:dyDescent="0.25">
      <c r="A4296" s="90">
        <v>34513</v>
      </c>
      <c r="B4296" s="20">
        <v>0.25</v>
      </c>
      <c r="D4296">
        <v>69.080000000000013</v>
      </c>
      <c r="E4296" t="str">
        <f t="shared" si="168"/>
        <v>WEEKDAY</v>
      </c>
      <c r="F4296" t="e">
        <f t="shared" si="169"/>
        <v>#N/A</v>
      </c>
      <c r="G4296" s="74">
        <v>33052</v>
      </c>
      <c r="H4296" s="77">
        <v>0.25</v>
      </c>
      <c r="J4296">
        <v>73.039999999999992</v>
      </c>
      <c r="M4296" s="74">
        <v>37800</v>
      </c>
      <c r="N4296" s="77">
        <v>0.25</v>
      </c>
      <c r="P4296">
        <v>64.400000000000006</v>
      </c>
      <c r="S4296" s="74">
        <v>34513</v>
      </c>
      <c r="T4296" s="77">
        <v>0.25</v>
      </c>
      <c r="V4296">
        <v>66.92</v>
      </c>
      <c r="X4296" s="42"/>
      <c r="AB4296">
        <v>68.400000000000006</v>
      </c>
      <c r="AC4296">
        <v>69.98</v>
      </c>
      <c r="AE4296" s="74"/>
      <c r="AF4296" s="77"/>
      <c r="AH4296" s="497">
        <v>60.8</v>
      </c>
      <c r="AJ4296" s="42"/>
      <c r="AK4296" s="74"/>
      <c r="AL4296" s="77"/>
      <c r="AN4296" s="497">
        <v>60.08</v>
      </c>
      <c r="AP4296" s="42"/>
      <c r="AQ4296" s="74"/>
      <c r="AR4296" s="77"/>
      <c r="AT4296" s="497">
        <v>69.98</v>
      </c>
      <c r="AV4296" s="42"/>
      <c r="AW4296" s="74"/>
      <c r="AX4296" s="77"/>
      <c r="BA4296" s="497">
        <v>64.039999999999992</v>
      </c>
      <c r="BB4296" s="42"/>
      <c r="BC4296" s="74"/>
      <c r="BD4296" s="77"/>
      <c r="BF4296">
        <v>62.96</v>
      </c>
      <c r="BH4296" s="42"/>
      <c r="BI4296" s="74"/>
      <c r="BJ4296" s="77"/>
      <c r="BL4296" s="497">
        <v>60.08</v>
      </c>
      <c r="BN4296" s="42"/>
      <c r="BO4296" s="74"/>
      <c r="BP4296" s="77"/>
      <c r="BR4296" s="497">
        <v>57.92</v>
      </c>
      <c r="BT4296" s="42"/>
    </row>
    <row r="4297" spans="1:72" x14ac:dyDescent="0.25">
      <c r="A4297" s="90">
        <v>34513</v>
      </c>
      <c r="B4297" s="20">
        <v>0.29166666666666669</v>
      </c>
      <c r="D4297">
        <v>69.98</v>
      </c>
      <c r="E4297" t="str">
        <f t="shared" si="168"/>
        <v>WEEKDAY</v>
      </c>
      <c r="F4297" t="e">
        <f t="shared" si="169"/>
        <v>#N/A</v>
      </c>
      <c r="G4297" s="74">
        <v>33052</v>
      </c>
      <c r="H4297" s="77">
        <v>0.29166666666666669</v>
      </c>
      <c r="J4297">
        <v>75.02</v>
      </c>
      <c r="M4297" s="74">
        <v>37800</v>
      </c>
      <c r="N4297" s="77">
        <v>0.29166666666666669</v>
      </c>
      <c r="P4297">
        <v>66.2</v>
      </c>
      <c r="S4297" s="74">
        <v>34513</v>
      </c>
      <c r="T4297" s="77">
        <v>0.29166666666666669</v>
      </c>
      <c r="V4297">
        <v>69.98</v>
      </c>
      <c r="X4297" s="42"/>
      <c r="AB4297">
        <v>70</v>
      </c>
      <c r="AC4297">
        <v>71.06</v>
      </c>
      <c r="AE4297" s="74"/>
      <c r="AF4297" s="77"/>
      <c r="AH4297" s="497">
        <v>66.2</v>
      </c>
      <c r="AJ4297" s="42"/>
      <c r="AK4297" s="74"/>
      <c r="AL4297" s="77"/>
      <c r="AN4297" s="497">
        <v>60.08</v>
      </c>
      <c r="AP4297" s="42"/>
      <c r="AQ4297" s="74"/>
      <c r="AR4297" s="77"/>
      <c r="AT4297" s="497">
        <v>71.960000000000008</v>
      </c>
      <c r="AV4297" s="42"/>
      <c r="AW4297" s="74"/>
      <c r="AX4297" s="77"/>
      <c r="BA4297" s="497">
        <v>64.94</v>
      </c>
      <c r="BB4297" s="42"/>
      <c r="BC4297" s="74"/>
      <c r="BD4297" s="77"/>
      <c r="BF4297">
        <v>64.039999999999992</v>
      </c>
      <c r="BH4297" s="42"/>
      <c r="BI4297" s="74"/>
      <c r="BJ4297" s="77"/>
      <c r="BL4297" s="497">
        <v>60.980000000000004</v>
      </c>
      <c r="BN4297" s="42"/>
      <c r="BO4297" s="74"/>
      <c r="BP4297" s="77"/>
      <c r="BR4297" s="497">
        <v>62.96</v>
      </c>
      <c r="BT4297" s="42"/>
    </row>
    <row r="4298" spans="1:72" x14ac:dyDescent="0.25">
      <c r="A4298" s="90">
        <v>34513</v>
      </c>
      <c r="B4298" s="20">
        <v>0.33333333333333331</v>
      </c>
      <c r="D4298">
        <v>71.960000000000008</v>
      </c>
      <c r="E4298" t="str">
        <f t="shared" si="168"/>
        <v>WEEKDAY</v>
      </c>
      <c r="F4298" t="e">
        <f t="shared" si="169"/>
        <v>#N/A</v>
      </c>
      <c r="G4298" s="74">
        <v>33052</v>
      </c>
      <c r="H4298" s="77">
        <v>0.33333333333333331</v>
      </c>
      <c r="J4298">
        <v>78.080000000000013</v>
      </c>
      <c r="M4298" s="74">
        <v>37800</v>
      </c>
      <c r="N4298" s="77">
        <v>0.33333333333333331</v>
      </c>
      <c r="P4298">
        <v>69.800000000000011</v>
      </c>
      <c r="S4298" s="74">
        <v>34513</v>
      </c>
      <c r="T4298" s="77">
        <v>0.33333333333333331</v>
      </c>
      <c r="V4298">
        <v>69.080000000000013</v>
      </c>
      <c r="X4298" s="42"/>
      <c r="AB4298">
        <v>72</v>
      </c>
      <c r="AC4298">
        <v>73.039999999999992</v>
      </c>
      <c r="AE4298" s="74"/>
      <c r="AF4298" s="77"/>
      <c r="AH4298" s="497">
        <v>69.800000000000011</v>
      </c>
      <c r="AJ4298" s="42"/>
      <c r="AK4298" s="74"/>
      <c r="AL4298" s="77"/>
      <c r="AN4298" s="497">
        <v>60.08</v>
      </c>
      <c r="AP4298" s="42"/>
      <c r="AQ4298" s="74"/>
      <c r="AR4298" s="77"/>
      <c r="AT4298" s="497">
        <v>71.960000000000008</v>
      </c>
      <c r="AV4298" s="42"/>
      <c r="AW4298" s="74"/>
      <c r="AX4298" s="77"/>
      <c r="BA4298" s="497">
        <v>64.039999999999992</v>
      </c>
      <c r="BB4298" s="42"/>
      <c r="BC4298" s="74"/>
      <c r="BD4298" s="77"/>
      <c r="BF4298">
        <v>66.02</v>
      </c>
      <c r="BH4298" s="42"/>
      <c r="BI4298" s="74"/>
      <c r="BJ4298" s="77"/>
      <c r="BL4298" s="497">
        <v>62.06</v>
      </c>
      <c r="BN4298" s="42"/>
      <c r="BO4298" s="74"/>
      <c r="BP4298" s="77"/>
      <c r="BR4298" s="497">
        <v>68</v>
      </c>
      <c r="BT4298" s="42"/>
    </row>
    <row r="4299" spans="1:72" x14ac:dyDescent="0.25">
      <c r="A4299" s="90">
        <v>34513</v>
      </c>
      <c r="B4299" s="20">
        <v>0.375</v>
      </c>
      <c r="D4299">
        <v>75.02</v>
      </c>
      <c r="E4299" t="str">
        <f t="shared" si="168"/>
        <v>WEEKDAY</v>
      </c>
      <c r="F4299" t="e">
        <f t="shared" si="169"/>
        <v>#N/A</v>
      </c>
      <c r="G4299" s="74">
        <v>33052</v>
      </c>
      <c r="H4299" s="77">
        <v>0.375</v>
      </c>
      <c r="J4299">
        <v>80.06</v>
      </c>
      <c r="M4299" s="74">
        <v>37800</v>
      </c>
      <c r="N4299" s="77">
        <v>0.375</v>
      </c>
      <c r="P4299">
        <v>71.599999999999994</v>
      </c>
      <c r="S4299" s="74">
        <v>34513</v>
      </c>
      <c r="T4299" s="77">
        <v>0.375</v>
      </c>
      <c r="V4299">
        <v>71.06</v>
      </c>
      <c r="X4299" s="42"/>
      <c r="AB4299">
        <v>74</v>
      </c>
      <c r="AC4299">
        <v>75.02</v>
      </c>
      <c r="AE4299" s="74"/>
      <c r="AF4299" s="77"/>
      <c r="AH4299" s="497">
        <v>69.800000000000011</v>
      </c>
      <c r="AJ4299" s="42"/>
      <c r="AK4299" s="74"/>
      <c r="AL4299" s="77"/>
      <c r="AN4299" s="497">
        <v>60.980000000000004</v>
      </c>
      <c r="AP4299" s="42"/>
      <c r="AQ4299" s="74"/>
      <c r="AR4299" s="77"/>
      <c r="AT4299" s="497">
        <v>75.02</v>
      </c>
      <c r="AV4299" s="42"/>
      <c r="AW4299" s="74"/>
      <c r="AX4299" s="77"/>
      <c r="BA4299" s="497">
        <v>62.96</v>
      </c>
      <c r="BB4299" s="42"/>
      <c r="BC4299" s="74"/>
      <c r="BD4299" s="77"/>
      <c r="BF4299">
        <v>69.080000000000013</v>
      </c>
      <c r="BH4299" s="42"/>
      <c r="BI4299" s="74"/>
      <c r="BJ4299" s="77"/>
      <c r="BL4299" s="497">
        <v>62.96</v>
      </c>
      <c r="BN4299" s="42"/>
      <c r="BO4299" s="74"/>
      <c r="BP4299" s="77"/>
      <c r="BR4299" s="497">
        <v>71.06</v>
      </c>
      <c r="BT4299" s="42"/>
    </row>
    <row r="4300" spans="1:72" x14ac:dyDescent="0.25">
      <c r="A4300" s="90">
        <v>34513</v>
      </c>
      <c r="B4300" s="20">
        <v>0.41666666666666669</v>
      </c>
      <c r="D4300">
        <v>75.92</v>
      </c>
      <c r="E4300" t="str">
        <f t="shared" si="168"/>
        <v>WEEKDAY</v>
      </c>
      <c r="F4300" t="e">
        <f t="shared" si="169"/>
        <v>#N/A</v>
      </c>
      <c r="G4300" s="74">
        <v>33052</v>
      </c>
      <c r="H4300" s="77">
        <v>0.41666666666666669</v>
      </c>
      <c r="J4300">
        <v>80.960000000000008</v>
      </c>
      <c r="M4300" s="74">
        <v>37800</v>
      </c>
      <c r="N4300" s="77">
        <v>0.41666666666666669</v>
      </c>
      <c r="P4300">
        <v>73.400000000000006</v>
      </c>
      <c r="S4300" s="74">
        <v>34513</v>
      </c>
      <c r="T4300" s="77">
        <v>0.41666666666666669</v>
      </c>
      <c r="V4300">
        <v>77</v>
      </c>
      <c r="X4300" s="42"/>
      <c r="AB4300">
        <v>75.8</v>
      </c>
      <c r="AC4300">
        <v>75.92</v>
      </c>
      <c r="AE4300" s="74"/>
      <c r="AF4300" s="77"/>
      <c r="AH4300" s="497">
        <v>73.400000000000006</v>
      </c>
      <c r="AJ4300" s="42"/>
      <c r="AK4300" s="74"/>
      <c r="AL4300" s="77"/>
      <c r="AN4300" s="497">
        <v>62.96</v>
      </c>
      <c r="AP4300" s="42"/>
      <c r="AQ4300" s="74"/>
      <c r="AR4300" s="77"/>
      <c r="AT4300" s="497">
        <v>78.080000000000013</v>
      </c>
      <c r="AV4300" s="42"/>
      <c r="AW4300" s="74"/>
      <c r="AX4300" s="77"/>
      <c r="BA4300" s="497">
        <v>62.06</v>
      </c>
      <c r="BB4300" s="42"/>
      <c r="BC4300" s="74"/>
      <c r="BD4300" s="77"/>
      <c r="BF4300">
        <v>73.039999999999992</v>
      </c>
      <c r="BH4300" s="42"/>
      <c r="BI4300" s="74"/>
      <c r="BJ4300" s="77"/>
      <c r="BL4300" s="497">
        <v>62.96</v>
      </c>
      <c r="BN4300" s="42"/>
      <c r="BO4300" s="74"/>
      <c r="BP4300" s="77"/>
      <c r="BR4300" s="497">
        <v>75.02</v>
      </c>
      <c r="BT4300" s="42"/>
    </row>
    <row r="4301" spans="1:72" x14ac:dyDescent="0.25">
      <c r="A4301" s="90">
        <v>34513</v>
      </c>
      <c r="B4301" s="20">
        <v>0.45833333333333331</v>
      </c>
      <c r="D4301">
        <v>75.92</v>
      </c>
      <c r="E4301" t="str">
        <f t="shared" si="168"/>
        <v>WEEKDAY</v>
      </c>
      <c r="F4301" t="e">
        <f t="shared" si="169"/>
        <v>#N/A</v>
      </c>
      <c r="G4301" s="74">
        <v>33052</v>
      </c>
      <c r="H4301" s="77">
        <v>0.45833333333333331</v>
      </c>
      <c r="J4301">
        <v>84.02</v>
      </c>
      <c r="M4301" s="74">
        <v>37800</v>
      </c>
      <c r="N4301" s="77">
        <v>0.45833333333333331</v>
      </c>
      <c r="P4301">
        <v>75.2</v>
      </c>
      <c r="S4301" s="74">
        <v>34513</v>
      </c>
      <c r="T4301" s="77">
        <v>0.45833333333333331</v>
      </c>
      <c r="V4301">
        <v>75.92</v>
      </c>
      <c r="X4301" s="42"/>
      <c r="AB4301">
        <v>77.400000000000006</v>
      </c>
      <c r="AC4301">
        <v>78.080000000000013</v>
      </c>
      <c r="AE4301" s="74"/>
      <c r="AF4301" s="77"/>
      <c r="AH4301" s="497">
        <v>77</v>
      </c>
      <c r="AJ4301" s="42"/>
      <c r="AK4301" s="74"/>
      <c r="AL4301" s="77"/>
      <c r="AN4301" s="497">
        <v>64.039999999999992</v>
      </c>
      <c r="AP4301" s="42"/>
      <c r="AQ4301" s="74"/>
      <c r="AR4301" s="77"/>
      <c r="AT4301" s="497">
        <v>80.960000000000008</v>
      </c>
      <c r="AV4301" s="42"/>
      <c r="AW4301" s="74"/>
      <c r="AX4301" s="77"/>
      <c r="BA4301" s="497">
        <v>62.42</v>
      </c>
      <c r="BB4301" s="42"/>
      <c r="BC4301" s="74"/>
      <c r="BD4301" s="77"/>
      <c r="BF4301">
        <v>71.960000000000008</v>
      </c>
      <c r="BH4301" s="42"/>
      <c r="BI4301" s="74"/>
      <c r="BJ4301" s="77"/>
      <c r="BL4301" s="497">
        <v>62.96</v>
      </c>
      <c r="BN4301" s="42"/>
      <c r="BO4301" s="74"/>
      <c r="BP4301" s="77"/>
      <c r="BR4301" s="497">
        <v>77</v>
      </c>
      <c r="BT4301" s="42"/>
    </row>
    <row r="4302" spans="1:72" x14ac:dyDescent="0.25">
      <c r="A4302" s="90">
        <v>34513</v>
      </c>
      <c r="B4302" s="20">
        <v>0.5</v>
      </c>
      <c r="D4302">
        <v>78.98</v>
      </c>
      <c r="E4302" t="str">
        <f t="shared" si="168"/>
        <v>WEEKDAY</v>
      </c>
      <c r="F4302" t="e">
        <f t="shared" si="169"/>
        <v>#N/A</v>
      </c>
      <c r="G4302" s="74">
        <v>33052</v>
      </c>
      <c r="H4302" s="77">
        <v>0.5</v>
      </c>
      <c r="J4302">
        <v>86</v>
      </c>
      <c r="M4302" s="74">
        <v>37800</v>
      </c>
      <c r="N4302" s="77">
        <v>0.5</v>
      </c>
      <c r="P4302">
        <v>77</v>
      </c>
      <c r="S4302" s="74">
        <v>34513</v>
      </c>
      <c r="T4302" s="77">
        <v>0.5</v>
      </c>
      <c r="V4302">
        <v>73.94</v>
      </c>
      <c r="X4302" s="42"/>
      <c r="AB4302">
        <v>78.599999999999994</v>
      </c>
      <c r="AC4302">
        <v>78.080000000000013</v>
      </c>
      <c r="AE4302" s="74"/>
      <c r="AF4302" s="77"/>
      <c r="AH4302" s="497">
        <v>77</v>
      </c>
      <c r="AJ4302" s="42"/>
      <c r="AK4302" s="74"/>
      <c r="AL4302" s="77"/>
      <c r="AN4302" s="497">
        <v>66.02</v>
      </c>
      <c r="AP4302" s="42"/>
      <c r="AQ4302" s="74"/>
      <c r="AR4302" s="77"/>
      <c r="AT4302" s="497">
        <v>82.94</v>
      </c>
      <c r="AV4302" s="42"/>
      <c r="AW4302" s="74"/>
      <c r="AX4302" s="77"/>
      <c r="BA4302" s="497">
        <v>62.6</v>
      </c>
      <c r="BB4302" s="42"/>
      <c r="BC4302" s="74"/>
      <c r="BD4302" s="77"/>
      <c r="BF4302">
        <v>71.960000000000008</v>
      </c>
      <c r="BH4302" s="42"/>
      <c r="BI4302" s="74"/>
      <c r="BJ4302" s="77"/>
      <c r="BL4302" s="497">
        <v>62.96</v>
      </c>
      <c r="BN4302" s="42"/>
      <c r="BO4302" s="74"/>
      <c r="BP4302" s="77"/>
      <c r="BR4302" s="497">
        <v>78.98</v>
      </c>
      <c r="BT4302" s="42"/>
    </row>
    <row r="4303" spans="1:72" x14ac:dyDescent="0.25">
      <c r="A4303" s="90">
        <v>34513</v>
      </c>
      <c r="B4303" s="20">
        <v>0.54166666666666663</v>
      </c>
      <c r="D4303">
        <v>77</v>
      </c>
      <c r="E4303" t="str">
        <f t="shared" si="168"/>
        <v>WEEKDAY</v>
      </c>
      <c r="F4303" t="e">
        <f t="shared" si="169"/>
        <v>#N/A</v>
      </c>
      <c r="G4303" s="74">
        <v>33052</v>
      </c>
      <c r="H4303" s="77">
        <v>0.54166666666666663</v>
      </c>
      <c r="J4303">
        <v>87.080000000000013</v>
      </c>
      <c r="M4303" s="74">
        <v>37800</v>
      </c>
      <c r="N4303" s="77">
        <v>0.54166666666666663</v>
      </c>
      <c r="P4303">
        <v>78.800000000000011</v>
      </c>
      <c r="S4303" s="74">
        <v>34513</v>
      </c>
      <c r="T4303" s="77">
        <v>0.54166666666666663</v>
      </c>
      <c r="V4303">
        <v>75.02</v>
      </c>
      <c r="X4303" s="42"/>
      <c r="AB4303">
        <v>79.3</v>
      </c>
      <c r="AC4303">
        <v>75.92</v>
      </c>
      <c r="AE4303" s="74"/>
      <c r="AF4303" s="77"/>
      <c r="AH4303" s="497">
        <v>77</v>
      </c>
      <c r="AJ4303" s="42"/>
      <c r="AK4303" s="74"/>
      <c r="AL4303" s="77"/>
      <c r="AN4303" s="497">
        <v>69.080000000000013</v>
      </c>
      <c r="AP4303" s="42"/>
      <c r="AQ4303" s="74"/>
      <c r="AR4303" s="77"/>
      <c r="AT4303" s="497">
        <v>84.02</v>
      </c>
      <c r="AV4303" s="42"/>
      <c r="AW4303" s="74"/>
      <c r="AX4303" s="77"/>
      <c r="BA4303" s="497">
        <v>62.96</v>
      </c>
      <c r="BB4303" s="42"/>
      <c r="BC4303" s="74"/>
      <c r="BD4303" s="77"/>
      <c r="BF4303">
        <v>73.94</v>
      </c>
      <c r="BH4303" s="42"/>
      <c r="BI4303" s="74"/>
      <c r="BJ4303" s="77"/>
      <c r="BL4303" s="497">
        <v>64.039999999999992</v>
      </c>
      <c r="BN4303" s="42"/>
      <c r="BO4303" s="74"/>
      <c r="BP4303" s="77"/>
      <c r="BR4303" s="497">
        <v>78.080000000000013</v>
      </c>
      <c r="BT4303" s="42"/>
    </row>
    <row r="4304" spans="1:72" x14ac:dyDescent="0.25">
      <c r="A4304" s="90">
        <v>34513</v>
      </c>
      <c r="B4304" s="20">
        <v>0.58333333333333337</v>
      </c>
      <c r="D4304">
        <v>77</v>
      </c>
      <c r="E4304" t="str">
        <f t="shared" si="168"/>
        <v>WEEKDAY</v>
      </c>
      <c r="F4304" t="e">
        <f t="shared" si="169"/>
        <v>#N/A</v>
      </c>
      <c r="G4304" s="74">
        <v>33052</v>
      </c>
      <c r="H4304" s="77">
        <v>0.58333333333333337</v>
      </c>
      <c r="J4304">
        <v>86</v>
      </c>
      <c r="M4304" s="74">
        <v>37800</v>
      </c>
      <c r="N4304" s="77">
        <v>0.58333333333333337</v>
      </c>
      <c r="P4304">
        <v>80.599999999999994</v>
      </c>
      <c r="S4304" s="74">
        <v>34513</v>
      </c>
      <c r="T4304" s="77">
        <v>0.58333333333333337</v>
      </c>
      <c r="V4304">
        <v>71.06</v>
      </c>
      <c r="X4304" s="42"/>
      <c r="AB4304">
        <v>79.7</v>
      </c>
      <c r="AC4304">
        <v>77</v>
      </c>
      <c r="AE4304" s="74"/>
      <c r="AF4304" s="77"/>
      <c r="AH4304" s="497">
        <v>80.599999999999994</v>
      </c>
      <c r="AJ4304" s="42"/>
      <c r="AK4304" s="74"/>
      <c r="AL4304" s="77"/>
      <c r="AN4304" s="497">
        <v>69.98</v>
      </c>
      <c r="AP4304" s="42"/>
      <c r="AQ4304" s="74"/>
      <c r="AR4304" s="77"/>
      <c r="AT4304" s="497">
        <v>84.02</v>
      </c>
      <c r="AV4304" s="42"/>
      <c r="AW4304" s="74"/>
      <c r="AX4304" s="77"/>
      <c r="BA4304" s="497">
        <v>64.039999999999992</v>
      </c>
      <c r="BB4304" s="42"/>
      <c r="BC4304" s="74"/>
      <c r="BD4304" s="77"/>
      <c r="BF4304">
        <v>75.02</v>
      </c>
      <c r="BH4304" s="42"/>
      <c r="BI4304" s="74"/>
      <c r="BJ4304" s="77"/>
      <c r="BL4304" s="497">
        <v>66.02</v>
      </c>
      <c r="BN4304" s="42"/>
      <c r="BO4304" s="74"/>
      <c r="BP4304" s="77"/>
      <c r="BR4304" s="497">
        <v>80.960000000000008</v>
      </c>
      <c r="BT4304" s="42"/>
    </row>
    <row r="4305" spans="1:72" x14ac:dyDescent="0.25">
      <c r="A4305" s="90">
        <v>34513</v>
      </c>
      <c r="B4305" s="20">
        <v>0.625</v>
      </c>
      <c r="D4305">
        <v>75.92</v>
      </c>
      <c r="E4305" t="str">
        <f t="shared" si="168"/>
        <v>WEEKDAY</v>
      </c>
      <c r="F4305" t="e">
        <f t="shared" si="169"/>
        <v>#N/A</v>
      </c>
      <c r="G4305" s="74">
        <v>33052</v>
      </c>
      <c r="H4305" s="77">
        <v>0.625</v>
      </c>
      <c r="J4305">
        <v>87.080000000000013</v>
      </c>
      <c r="M4305" s="74">
        <v>37800</v>
      </c>
      <c r="N4305" s="77">
        <v>0.625</v>
      </c>
      <c r="P4305">
        <v>78.800000000000011</v>
      </c>
      <c r="S4305" s="74">
        <v>34513</v>
      </c>
      <c r="T4305" s="77">
        <v>0.625</v>
      </c>
      <c r="V4305">
        <v>73.039999999999992</v>
      </c>
      <c r="X4305" s="42"/>
      <c r="AB4305">
        <v>79.8</v>
      </c>
      <c r="AC4305">
        <v>77</v>
      </c>
      <c r="AE4305" s="74"/>
      <c r="AF4305" s="77"/>
      <c r="AH4305" s="497">
        <v>82.4</v>
      </c>
      <c r="AJ4305" s="42"/>
      <c r="AK4305" s="74"/>
      <c r="AL4305" s="77"/>
      <c r="AN4305" s="497">
        <v>69.98</v>
      </c>
      <c r="AP4305" s="42"/>
      <c r="AQ4305" s="74"/>
      <c r="AR4305" s="77"/>
      <c r="AT4305" s="497">
        <v>84.92</v>
      </c>
      <c r="AV4305" s="42"/>
      <c r="AW4305" s="74"/>
      <c r="AX4305" s="77"/>
      <c r="BA4305" s="497">
        <v>64.94</v>
      </c>
      <c r="BB4305" s="42"/>
      <c r="BC4305" s="74"/>
      <c r="BD4305" s="77"/>
      <c r="BF4305">
        <v>77</v>
      </c>
      <c r="BH4305" s="42"/>
      <c r="BI4305" s="74"/>
      <c r="BJ4305" s="77"/>
      <c r="BL4305" s="497">
        <v>66.02</v>
      </c>
      <c r="BN4305" s="42"/>
      <c r="BO4305" s="74"/>
      <c r="BP4305" s="77"/>
      <c r="BR4305" s="497">
        <v>82.039999999999992</v>
      </c>
      <c r="BT4305" s="42"/>
    </row>
    <row r="4306" spans="1:72" x14ac:dyDescent="0.25">
      <c r="A4306" s="90">
        <v>34513</v>
      </c>
      <c r="B4306" s="20">
        <v>0.66666666666666663</v>
      </c>
      <c r="D4306">
        <v>75.92</v>
      </c>
      <c r="E4306" t="str">
        <f t="shared" si="168"/>
        <v>WEEKDAY</v>
      </c>
      <c r="F4306" t="e">
        <f t="shared" si="169"/>
        <v>#N/A</v>
      </c>
      <c r="G4306" s="74">
        <v>33052</v>
      </c>
      <c r="H4306" s="77">
        <v>0.66666666666666663</v>
      </c>
      <c r="J4306">
        <v>87.080000000000013</v>
      </c>
      <c r="M4306" s="74">
        <v>37800</v>
      </c>
      <c r="N4306" s="77">
        <v>0.66666666666666663</v>
      </c>
      <c r="P4306">
        <v>80.599999999999994</v>
      </c>
      <c r="S4306" s="74">
        <v>34513</v>
      </c>
      <c r="T4306" s="77">
        <v>0.66666666666666663</v>
      </c>
      <c r="V4306">
        <v>73.94</v>
      </c>
      <c r="X4306" s="42"/>
      <c r="AB4306">
        <v>79.2</v>
      </c>
      <c r="AC4306">
        <v>77</v>
      </c>
      <c r="AE4306" s="74"/>
      <c r="AF4306" s="77"/>
      <c r="AH4306" s="497">
        <v>80.599999999999994</v>
      </c>
      <c r="AJ4306" s="42"/>
      <c r="AK4306" s="74"/>
      <c r="AL4306" s="77"/>
      <c r="AN4306" s="497">
        <v>71.06</v>
      </c>
      <c r="AP4306" s="42"/>
      <c r="AQ4306" s="74"/>
      <c r="AR4306" s="77"/>
      <c r="AT4306" s="497">
        <v>84.02</v>
      </c>
      <c r="AV4306" s="42"/>
      <c r="AW4306" s="74"/>
      <c r="AX4306" s="77"/>
      <c r="BA4306" s="497">
        <v>66.02</v>
      </c>
      <c r="BB4306" s="42"/>
      <c r="BC4306" s="74"/>
      <c r="BD4306" s="77"/>
      <c r="BF4306">
        <v>78.98</v>
      </c>
      <c r="BH4306" s="42"/>
      <c r="BI4306" s="74"/>
      <c r="BJ4306" s="77"/>
      <c r="BL4306" s="497">
        <v>66.02</v>
      </c>
      <c r="BN4306" s="42"/>
      <c r="BO4306" s="74"/>
      <c r="BP4306" s="77"/>
      <c r="BR4306" s="497">
        <v>80.960000000000008</v>
      </c>
      <c r="BT4306" s="42"/>
    </row>
    <row r="4307" spans="1:72" x14ac:dyDescent="0.25">
      <c r="A4307" s="90">
        <v>34513</v>
      </c>
      <c r="B4307" s="20">
        <v>0.70833333333333337</v>
      </c>
      <c r="D4307">
        <v>75.92</v>
      </c>
      <c r="E4307" t="str">
        <f t="shared" ref="E4307:E4370" si="170">IF(COUNTIF($DI$18:$DI$22, WEEKDAY(A4307))=1, "WEEKDAY", IF(WEEKDAY(A4307) = 1, "SUNDAY", "SATURDAY"))</f>
        <v>WEEKDAY</v>
      </c>
      <c r="F4307" t="e">
        <f t="shared" si="169"/>
        <v>#N/A</v>
      </c>
      <c r="G4307" s="74">
        <v>33052</v>
      </c>
      <c r="H4307" s="77">
        <v>0.70833333333333337</v>
      </c>
      <c r="J4307">
        <v>84.02</v>
      </c>
      <c r="M4307" s="74">
        <v>37800</v>
      </c>
      <c r="N4307" s="77">
        <v>0.70833333333333337</v>
      </c>
      <c r="P4307">
        <v>78.800000000000011</v>
      </c>
      <c r="S4307" s="74">
        <v>34513</v>
      </c>
      <c r="T4307" s="77">
        <v>0.70833333333333337</v>
      </c>
      <c r="V4307">
        <v>73.039999999999992</v>
      </c>
      <c r="X4307" s="42"/>
      <c r="AB4307">
        <v>78.3</v>
      </c>
      <c r="AC4307">
        <v>75.92</v>
      </c>
      <c r="AE4307" s="74"/>
      <c r="AF4307" s="77"/>
      <c r="AH4307" s="497">
        <v>78.800000000000011</v>
      </c>
      <c r="AJ4307" s="42"/>
      <c r="AK4307" s="74"/>
      <c r="AL4307" s="77"/>
      <c r="AN4307" s="497">
        <v>71.960000000000008</v>
      </c>
      <c r="AP4307" s="42"/>
      <c r="AQ4307" s="74"/>
      <c r="AR4307" s="77"/>
      <c r="AT4307" s="497">
        <v>84.92</v>
      </c>
      <c r="AV4307" s="42"/>
      <c r="AW4307" s="74"/>
      <c r="AX4307" s="77"/>
      <c r="BA4307" s="497">
        <v>65.300000000000011</v>
      </c>
      <c r="BB4307" s="42"/>
      <c r="BC4307" s="74"/>
      <c r="BD4307" s="77"/>
      <c r="BF4307">
        <v>78.98</v>
      </c>
      <c r="BH4307" s="42"/>
      <c r="BI4307" s="74"/>
      <c r="BJ4307" s="77"/>
      <c r="BL4307" s="497">
        <v>64.94</v>
      </c>
      <c r="BN4307" s="42"/>
      <c r="BO4307" s="74"/>
      <c r="BP4307" s="77"/>
      <c r="BR4307" s="497">
        <v>80.06</v>
      </c>
      <c r="BT4307" s="42"/>
    </row>
    <row r="4308" spans="1:72" x14ac:dyDescent="0.25">
      <c r="A4308" s="90">
        <v>34513</v>
      </c>
      <c r="B4308" s="20">
        <v>0.75</v>
      </c>
      <c r="D4308">
        <v>75.02</v>
      </c>
      <c r="E4308" t="str">
        <f t="shared" si="170"/>
        <v>WEEKDAY</v>
      </c>
      <c r="F4308" t="e">
        <f t="shared" si="169"/>
        <v>#N/A</v>
      </c>
      <c r="G4308" s="74">
        <v>33052</v>
      </c>
      <c r="H4308" s="77">
        <v>0.75</v>
      </c>
      <c r="J4308">
        <v>86</v>
      </c>
      <c r="M4308" s="74">
        <v>37800</v>
      </c>
      <c r="N4308" s="77">
        <v>0.75</v>
      </c>
      <c r="P4308">
        <v>75.2</v>
      </c>
      <c r="S4308" s="74">
        <v>34513</v>
      </c>
      <c r="T4308" s="77">
        <v>0.75</v>
      </c>
      <c r="V4308">
        <v>73.039999999999992</v>
      </c>
      <c r="X4308" s="42"/>
      <c r="AB4308">
        <v>77.099999999999994</v>
      </c>
      <c r="AC4308">
        <v>75.02</v>
      </c>
      <c r="AE4308" s="74"/>
      <c r="AF4308" s="77"/>
      <c r="AH4308" s="497">
        <v>77.36</v>
      </c>
      <c r="AJ4308" s="42"/>
      <c r="AK4308" s="74"/>
      <c r="AL4308" s="77"/>
      <c r="AN4308" s="497">
        <v>71.06</v>
      </c>
      <c r="AP4308" s="42"/>
      <c r="AQ4308" s="74"/>
      <c r="AR4308" s="77"/>
      <c r="AT4308" s="497">
        <v>84.02</v>
      </c>
      <c r="AV4308" s="42"/>
      <c r="AW4308" s="74"/>
      <c r="AX4308" s="77"/>
      <c r="BA4308" s="497">
        <v>64.759999999999991</v>
      </c>
      <c r="BB4308" s="42"/>
      <c r="BC4308" s="74"/>
      <c r="BD4308" s="77"/>
      <c r="BF4308">
        <v>71.06</v>
      </c>
      <c r="BH4308" s="42"/>
      <c r="BI4308" s="74"/>
      <c r="BJ4308" s="77"/>
      <c r="BL4308" s="497">
        <v>64.94</v>
      </c>
      <c r="BN4308" s="42"/>
      <c r="BO4308" s="74"/>
      <c r="BP4308" s="77"/>
      <c r="BR4308" s="497">
        <v>77</v>
      </c>
      <c r="BT4308" s="42"/>
    </row>
    <row r="4309" spans="1:72" x14ac:dyDescent="0.25">
      <c r="A4309" s="90">
        <v>34513</v>
      </c>
      <c r="B4309" s="20">
        <v>0.79166666666666663</v>
      </c>
      <c r="D4309">
        <v>73.94</v>
      </c>
      <c r="E4309" t="str">
        <f t="shared" si="170"/>
        <v>WEEKDAY</v>
      </c>
      <c r="F4309" t="e">
        <f t="shared" si="169"/>
        <v>#N/A</v>
      </c>
      <c r="G4309" s="74">
        <v>33052</v>
      </c>
      <c r="H4309" s="77">
        <v>0.79166666666666663</v>
      </c>
      <c r="J4309">
        <v>82.94</v>
      </c>
      <c r="M4309" s="74">
        <v>37800</v>
      </c>
      <c r="N4309" s="77">
        <v>0.79166666666666663</v>
      </c>
      <c r="P4309">
        <v>71.599999999999994</v>
      </c>
      <c r="S4309" s="74">
        <v>34513</v>
      </c>
      <c r="T4309" s="77">
        <v>0.79166666666666663</v>
      </c>
      <c r="V4309">
        <v>75.92</v>
      </c>
      <c r="X4309" s="42"/>
      <c r="AB4309">
        <v>75.7</v>
      </c>
      <c r="AC4309">
        <v>73.039999999999992</v>
      </c>
      <c r="AE4309" s="74"/>
      <c r="AF4309" s="77"/>
      <c r="AH4309" s="497">
        <v>75.2</v>
      </c>
      <c r="AJ4309" s="42"/>
      <c r="AK4309" s="74"/>
      <c r="AL4309" s="77"/>
      <c r="AN4309" s="497">
        <v>69.080000000000013</v>
      </c>
      <c r="AP4309" s="42"/>
      <c r="AQ4309" s="74"/>
      <c r="AR4309" s="77"/>
      <c r="AT4309" s="497">
        <v>80.06</v>
      </c>
      <c r="AV4309" s="42"/>
      <c r="AW4309" s="74"/>
      <c r="AX4309" s="77"/>
      <c r="BA4309" s="497">
        <v>64.039999999999992</v>
      </c>
      <c r="BB4309" s="42"/>
      <c r="BC4309" s="74"/>
      <c r="BD4309" s="77"/>
      <c r="BF4309">
        <v>71.06</v>
      </c>
      <c r="BH4309" s="42"/>
      <c r="BI4309" s="74"/>
      <c r="BJ4309" s="77"/>
      <c r="BL4309" s="497">
        <v>64.039999999999992</v>
      </c>
      <c r="BN4309" s="42"/>
      <c r="BO4309" s="74"/>
      <c r="BP4309" s="77"/>
      <c r="BR4309" s="497">
        <v>75.02</v>
      </c>
      <c r="BT4309" s="42"/>
    </row>
    <row r="4310" spans="1:72" x14ac:dyDescent="0.25">
      <c r="A4310" s="90">
        <v>34513</v>
      </c>
      <c r="B4310" s="20">
        <v>0.83333333333333337</v>
      </c>
      <c r="D4310">
        <v>73.039999999999992</v>
      </c>
      <c r="E4310" t="str">
        <f t="shared" si="170"/>
        <v>WEEKDAY</v>
      </c>
      <c r="F4310" t="e">
        <f t="shared" si="169"/>
        <v>#N/A</v>
      </c>
      <c r="G4310" s="74">
        <v>33052</v>
      </c>
      <c r="H4310" s="77">
        <v>0.83333333333333337</v>
      </c>
      <c r="J4310">
        <v>80.960000000000008</v>
      </c>
      <c r="M4310" s="74">
        <v>37800</v>
      </c>
      <c r="N4310" s="77">
        <v>0.83333333333333337</v>
      </c>
      <c r="P4310">
        <v>71.599999999999994</v>
      </c>
      <c r="S4310" s="74">
        <v>34513</v>
      </c>
      <c r="T4310" s="77">
        <v>0.83333333333333337</v>
      </c>
      <c r="V4310">
        <v>71.960000000000008</v>
      </c>
      <c r="X4310" s="42"/>
      <c r="AB4310">
        <v>74.2</v>
      </c>
      <c r="AC4310">
        <v>71.06</v>
      </c>
      <c r="AE4310" s="74"/>
      <c r="AF4310" s="77"/>
      <c r="AH4310" s="497">
        <v>73.400000000000006</v>
      </c>
      <c r="AJ4310" s="42"/>
      <c r="AK4310" s="74"/>
      <c r="AL4310" s="77"/>
      <c r="AN4310" s="497">
        <v>66.92</v>
      </c>
      <c r="AP4310" s="42"/>
      <c r="AQ4310" s="74"/>
      <c r="AR4310" s="77"/>
      <c r="AT4310" s="497">
        <v>77</v>
      </c>
      <c r="AV4310" s="42"/>
      <c r="AW4310" s="74"/>
      <c r="AX4310" s="77"/>
      <c r="BA4310" s="497">
        <v>62.42</v>
      </c>
      <c r="BB4310" s="42"/>
      <c r="BC4310" s="74"/>
      <c r="BD4310" s="77"/>
      <c r="BF4310">
        <v>68</v>
      </c>
      <c r="BH4310" s="42"/>
      <c r="BI4310" s="74"/>
      <c r="BJ4310" s="77"/>
      <c r="BL4310" s="497">
        <v>62.06</v>
      </c>
      <c r="BN4310" s="42"/>
      <c r="BO4310" s="74"/>
      <c r="BP4310" s="77"/>
      <c r="BR4310" s="497">
        <v>69.080000000000013</v>
      </c>
      <c r="BT4310" s="42"/>
    </row>
    <row r="4311" spans="1:72" x14ac:dyDescent="0.25">
      <c r="A4311" s="90">
        <v>34513</v>
      </c>
      <c r="B4311" s="20">
        <v>0.875</v>
      </c>
      <c r="D4311">
        <v>73.039999999999992</v>
      </c>
      <c r="E4311" t="str">
        <f t="shared" si="170"/>
        <v>WEEKDAY</v>
      </c>
      <c r="F4311" t="e">
        <f t="shared" si="169"/>
        <v>#N/A</v>
      </c>
      <c r="G4311" s="74">
        <v>33052</v>
      </c>
      <c r="H4311" s="77">
        <v>0.875</v>
      </c>
      <c r="J4311">
        <v>80.06</v>
      </c>
      <c r="M4311" s="74">
        <v>37800</v>
      </c>
      <c r="N4311" s="77">
        <v>0.875</v>
      </c>
      <c r="P4311">
        <v>69.800000000000011</v>
      </c>
      <c r="S4311" s="74">
        <v>34513</v>
      </c>
      <c r="T4311" s="77">
        <v>0.875</v>
      </c>
      <c r="V4311">
        <v>69.98</v>
      </c>
      <c r="X4311" s="42"/>
      <c r="AB4311">
        <v>73.099999999999994</v>
      </c>
      <c r="AC4311">
        <v>71.06</v>
      </c>
      <c r="AE4311" s="74"/>
      <c r="AF4311" s="77"/>
      <c r="AH4311" s="497">
        <v>69.800000000000011</v>
      </c>
      <c r="AJ4311" s="42"/>
      <c r="AK4311" s="74"/>
      <c r="AL4311" s="77"/>
      <c r="AN4311" s="497">
        <v>64.94</v>
      </c>
      <c r="AP4311" s="42"/>
      <c r="AQ4311" s="74"/>
      <c r="AR4311" s="77"/>
      <c r="AT4311" s="497">
        <v>75.02</v>
      </c>
      <c r="AV4311" s="42"/>
      <c r="AW4311" s="74"/>
      <c r="AX4311" s="77"/>
      <c r="BA4311" s="497">
        <v>60.620000000000005</v>
      </c>
      <c r="BB4311" s="42"/>
      <c r="BC4311" s="74"/>
      <c r="BD4311" s="77"/>
      <c r="BF4311">
        <v>66.92</v>
      </c>
      <c r="BH4311" s="42"/>
      <c r="BI4311" s="74"/>
      <c r="BJ4311" s="77"/>
      <c r="BL4311" s="497">
        <v>60.08</v>
      </c>
      <c r="BN4311" s="42"/>
      <c r="BO4311" s="74"/>
      <c r="BP4311" s="77"/>
      <c r="BR4311" s="497">
        <v>60.08</v>
      </c>
      <c r="BT4311" s="42"/>
    </row>
    <row r="4312" spans="1:72" x14ac:dyDescent="0.25">
      <c r="A4312" s="90">
        <v>34513</v>
      </c>
      <c r="B4312" s="20">
        <v>0.91666666666666663</v>
      </c>
      <c r="D4312">
        <v>71.06</v>
      </c>
      <c r="E4312" t="str">
        <f t="shared" si="170"/>
        <v>WEEKDAY</v>
      </c>
      <c r="F4312" t="e">
        <f t="shared" si="169"/>
        <v>#N/A</v>
      </c>
      <c r="G4312" s="74">
        <v>33052</v>
      </c>
      <c r="H4312" s="77">
        <v>0.91666666666666663</v>
      </c>
      <c r="J4312">
        <v>78.080000000000013</v>
      </c>
      <c r="M4312" s="74">
        <v>37800</v>
      </c>
      <c r="N4312" s="77">
        <v>0.91666666666666663</v>
      </c>
      <c r="P4312">
        <v>66.2</v>
      </c>
      <c r="S4312" s="74">
        <v>34513</v>
      </c>
      <c r="T4312" s="77">
        <v>0.91666666666666663</v>
      </c>
      <c r="V4312">
        <v>71.06</v>
      </c>
      <c r="X4312" s="42"/>
      <c r="AB4312">
        <v>72.400000000000006</v>
      </c>
      <c r="AC4312">
        <v>71.06</v>
      </c>
      <c r="AE4312" s="74"/>
      <c r="AF4312" s="77"/>
      <c r="AH4312" s="497">
        <v>66.2</v>
      </c>
      <c r="AJ4312" s="42"/>
      <c r="AK4312" s="74"/>
      <c r="AL4312" s="77"/>
      <c r="AN4312" s="497">
        <v>64.039999999999992</v>
      </c>
      <c r="AP4312" s="42"/>
      <c r="AQ4312" s="74"/>
      <c r="AR4312" s="77"/>
      <c r="AT4312" s="497">
        <v>73.039999999999992</v>
      </c>
      <c r="AV4312" s="42"/>
      <c r="AW4312" s="74"/>
      <c r="AX4312" s="77"/>
      <c r="BA4312" s="497">
        <v>59</v>
      </c>
      <c r="BB4312" s="42"/>
      <c r="BC4312" s="74"/>
      <c r="BD4312" s="77"/>
      <c r="BF4312">
        <v>66.02</v>
      </c>
      <c r="BH4312" s="42"/>
      <c r="BI4312" s="74"/>
      <c r="BJ4312" s="77"/>
      <c r="BL4312" s="497">
        <v>57.92</v>
      </c>
      <c r="BN4312" s="42"/>
      <c r="BO4312" s="74"/>
      <c r="BP4312" s="77"/>
      <c r="BR4312" s="497">
        <v>59</v>
      </c>
      <c r="BT4312" s="42"/>
    </row>
    <row r="4313" spans="1:72" x14ac:dyDescent="0.25">
      <c r="A4313" s="90">
        <v>34513</v>
      </c>
      <c r="B4313" s="20">
        <v>0.95833333333333337</v>
      </c>
      <c r="D4313">
        <v>71.06</v>
      </c>
      <c r="E4313" t="str">
        <f t="shared" si="170"/>
        <v>WEEKDAY</v>
      </c>
      <c r="F4313" t="e">
        <f t="shared" si="169"/>
        <v>#N/A</v>
      </c>
      <c r="G4313" s="74">
        <v>33052</v>
      </c>
      <c r="H4313" s="77">
        <v>0.95833333333333337</v>
      </c>
      <c r="J4313">
        <v>78.98</v>
      </c>
      <c r="M4313" s="74">
        <v>37800</v>
      </c>
      <c r="N4313" s="77">
        <v>0.95833333333333337</v>
      </c>
      <c r="P4313">
        <v>66.2</v>
      </c>
      <c r="S4313" s="74">
        <v>34513</v>
      </c>
      <c r="T4313" s="77">
        <v>0.95833333333333337</v>
      </c>
      <c r="V4313">
        <v>66.92</v>
      </c>
      <c r="X4313" s="42"/>
      <c r="AB4313">
        <v>71.900000000000006</v>
      </c>
      <c r="AC4313">
        <v>69.98</v>
      </c>
      <c r="AE4313" s="74"/>
      <c r="AF4313" s="77"/>
      <c r="AH4313" s="497">
        <v>64.400000000000006</v>
      </c>
      <c r="AJ4313" s="42"/>
      <c r="AK4313" s="74"/>
      <c r="AL4313" s="77"/>
      <c r="AN4313" s="497">
        <v>64.039999999999992</v>
      </c>
      <c r="AP4313" s="42"/>
      <c r="AQ4313" s="74"/>
      <c r="AR4313" s="77"/>
      <c r="AT4313" s="497">
        <v>71.06</v>
      </c>
      <c r="AV4313" s="42"/>
      <c r="AW4313" s="74"/>
      <c r="AX4313" s="77"/>
      <c r="BA4313" s="497">
        <v>57.92</v>
      </c>
      <c r="BB4313" s="42"/>
      <c r="BC4313" s="74"/>
      <c r="BD4313" s="77"/>
      <c r="BF4313">
        <v>66.92</v>
      </c>
      <c r="BH4313" s="42"/>
      <c r="BI4313" s="74"/>
      <c r="BJ4313" s="77"/>
      <c r="BL4313" s="497">
        <v>55.040000000000006</v>
      </c>
      <c r="BN4313" s="42"/>
      <c r="BO4313" s="74"/>
      <c r="BP4313" s="77"/>
      <c r="BR4313" s="497">
        <v>57.92</v>
      </c>
      <c r="BT4313" s="42"/>
    </row>
    <row r="4314" spans="1:72" x14ac:dyDescent="0.25">
      <c r="A4314" s="90">
        <v>34513</v>
      </c>
      <c r="B4314" s="20">
        <v>1</v>
      </c>
      <c r="D4314">
        <v>69.98</v>
      </c>
      <c r="E4314" t="str">
        <f t="shared" si="170"/>
        <v>WEEKDAY</v>
      </c>
      <c r="F4314" t="e">
        <f t="shared" si="169"/>
        <v>#N/A</v>
      </c>
      <c r="G4314" s="74">
        <v>33052</v>
      </c>
      <c r="H4314" s="77">
        <v>1</v>
      </c>
      <c r="J4314">
        <v>75.02</v>
      </c>
      <c r="M4314" s="74">
        <v>37800</v>
      </c>
      <c r="N4314" s="80">
        <v>1</v>
      </c>
      <c r="P4314">
        <v>66.2</v>
      </c>
      <c r="S4314" s="74">
        <v>34513</v>
      </c>
      <c r="T4314" s="80">
        <v>1</v>
      </c>
      <c r="V4314">
        <v>69.080000000000013</v>
      </c>
      <c r="X4314" s="42"/>
      <c r="AB4314">
        <v>71.400000000000006</v>
      </c>
      <c r="AC4314">
        <v>68</v>
      </c>
      <c r="AE4314" s="74"/>
      <c r="AF4314" s="80"/>
      <c r="AH4314" s="497">
        <v>64.400000000000006</v>
      </c>
      <c r="AJ4314" s="42"/>
      <c r="AK4314" s="74"/>
      <c r="AL4314" s="80"/>
      <c r="AN4314" s="497">
        <v>64.039999999999992</v>
      </c>
      <c r="AP4314" s="42"/>
      <c r="AQ4314" s="74"/>
      <c r="AR4314" s="80"/>
      <c r="AT4314" s="497">
        <v>69.98</v>
      </c>
      <c r="AV4314" s="42"/>
      <c r="AW4314" s="74"/>
      <c r="AX4314" s="80"/>
      <c r="BA4314" s="497">
        <v>57.019999999999996</v>
      </c>
      <c r="BB4314" s="42"/>
      <c r="BC4314" s="74"/>
      <c r="BD4314" s="80"/>
      <c r="BF4314">
        <v>66.92</v>
      </c>
      <c r="BH4314" s="42"/>
      <c r="BI4314" s="74"/>
      <c r="BJ4314" s="80"/>
      <c r="BL4314" s="497">
        <v>57.019999999999996</v>
      </c>
      <c r="BN4314" s="42"/>
      <c r="BO4314" s="74"/>
      <c r="BP4314" s="80"/>
      <c r="BR4314" s="497">
        <v>55.040000000000006</v>
      </c>
      <c r="BT4314" s="42"/>
    </row>
    <row r="4315" spans="1:72" x14ac:dyDescent="0.25">
      <c r="A4315" s="90">
        <v>34514</v>
      </c>
      <c r="B4315" s="20">
        <v>4.1666666666666664E-2</v>
      </c>
      <c r="D4315">
        <v>71.960000000000008</v>
      </c>
      <c r="E4315" t="str">
        <f t="shared" si="170"/>
        <v>WEEKDAY</v>
      </c>
      <c r="F4315" t="e">
        <f t="shared" si="169"/>
        <v>#N/A</v>
      </c>
      <c r="G4315" s="74">
        <v>33053</v>
      </c>
      <c r="H4315" s="77">
        <v>4.1666666666666664E-2</v>
      </c>
      <c r="J4315">
        <v>73.039999999999992</v>
      </c>
      <c r="M4315" s="74">
        <v>37801</v>
      </c>
      <c r="N4315" s="77">
        <v>4.1666666666666664E-2</v>
      </c>
      <c r="P4315">
        <v>66.2</v>
      </c>
      <c r="S4315" s="74">
        <v>34514</v>
      </c>
      <c r="T4315" s="77">
        <v>4.1666666666666664E-2</v>
      </c>
      <c r="V4315">
        <v>68</v>
      </c>
      <c r="X4315" s="42"/>
      <c r="AB4315">
        <v>70.8</v>
      </c>
      <c r="AC4315">
        <v>68</v>
      </c>
      <c r="AE4315" s="74"/>
      <c r="AF4315" s="77"/>
      <c r="AH4315" s="497">
        <v>64.400000000000006</v>
      </c>
      <c r="AJ4315" s="42"/>
      <c r="AK4315" s="74"/>
      <c r="AL4315" s="77"/>
      <c r="AN4315" s="497">
        <v>62.96</v>
      </c>
      <c r="AP4315" s="42"/>
      <c r="AQ4315" s="74"/>
      <c r="AR4315" s="77"/>
      <c r="AT4315" s="497">
        <v>71.06</v>
      </c>
      <c r="AV4315" s="42"/>
      <c r="AW4315" s="74"/>
      <c r="AX4315" s="77"/>
      <c r="BA4315" s="497">
        <v>55.94</v>
      </c>
      <c r="BB4315" s="42"/>
      <c r="BC4315" s="74"/>
      <c r="BD4315" s="77"/>
      <c r="BF4315">
        <v>66.02</v>
      </c>
      <c r="BH4315" s="42"/>
      <c r="BI4315" s="74"/>
      <c r="BJ4315" s="77"/>
      <c r="BL4315" s="497">
        <v>55.94</v>
      </c>
      <c r="BN4315" s="42"/>
      <c r="BO4315" s="74"/>
      <c r="BP4315" s="77"/>
      <c r="BR4315" s="497">
        <v>53.96</v>
      </c>
      <c r="BT4315" s="42"/>
    </row>
    <row r="4316" spans="1:72" x14ac:dyDescent="0.25">
      <c r="A4316" s="90">
        <v>34514</v>
      </c>
      <c r="B4316" s="20">
        <v>8.3333333333333329E-2</v>
      </c>
      <c r="D4316">
        <v>64.039999999999992</v>
      </c>
      <c r="E4316" t="str">
        <f t="shared" si="170"/>
        <v>WEEKDAY</v>
      </c>
      <c r="F4316" t="e">
        <f t="shared" si="169"/>
        <v>#N/A</v>
      </c>
      <c r="G4316" s="74">
        <v>33053</v>
      </c>
      <c r="H4316" s="77">
        <v>8.3333333333333329E-2</v>
      </c>
      <c r="J4316">
        <v>73.039999999999992</v>
      </c>
      <c r="M4316" s="74">
        <v>37801</v>
      </c>
      <c r="N4316" s="77">
        <v>8.3333333333333329E-2</v>
      </c>
      <c r="P4316">
        <v>64.400000000000006</v>
      </c>
      <c r="S4316" s="74">
        <v>34514</v>
      </c>
      <c r="T4316" s="77">
        <v>8.3333333333333329E-2</v>
      </c>
      <c r="V4316">
        <v>64.94</v>
      </c>
      <c r="X4316" s="42"/>
      <c r="AB4316">
        <v>70.3</v>
      </c>
      <c r="AC4316">
        <v>69.080000000000013</v>
      </c>
      <c r="AE4316" s="74"/>
      <c r="AF4316" s="77"/>
      <c r="AH4316" s="497">
        <v>63.680000000000007</v>
      </c>
      <c r="AJ4316" s="42"/>
      <c r="AK4316" s="74"/>
      <c r="AL4316" s="77"/>
      <c r="AN4316" s="497">
        <v>62.06</v>
      </c>
      <c r="AP4316" s="42"/>
      <c r="AQ4316" s="74"/>
      <c r="AR4316" s="77"/>
      <c r="AT4316" s="497">
        <v>69.98</v>
      </c>
      <c r="AV4316" s="42"/>
      <c r="AW4316" s="74"/>
      <c r="AX4316" s="77"/>
      <c r="BA4316" s="497">
        <v>55.58</v>
      </c>
      <c r="BB4316" s="42"/>
      <c r="BC4316" s="74"/>
      <c r="BD4316" s="77"/>
      <c r="BF4316">
        <v>66.02</v>
      </c>
      <c r="BH4316" s="42"/>
      <c r="BI4316" s="74"/>
      <c r="BJ4316" s="77"/>
      <c r="BL4316" s="497">
        <v>57.019999999999996</v>
      </c>
      <c r="BN4316" s="42"/>
      <c r="BO4316" s="74"/>
      <c r="BP4316" s="77"/>
      <c r="BR4316" s="497">
        <v>55.040000000000006</v>
      </c>
      <c r="BT4316" s="42"/>
    </row>
    <row r="4317" spans="1:72" x14ac:dyDescent="0.25">
      <c r="A4317" s="90">
        <v>34514</v>
      </c>
      <c r="B4317" s="20">
        <v>0.125</v>
      </c>
      <c r="D4317">
        <v>64.94</v>
      </c>
      <c r="E4317" t="str">
        <f t="shared" si="170"/>
        <v>WEEKDAY</v>
      </c>
      <c r="F4317" t="e">
        <f t="shared" si="169"/>
        <v>#N/A</v>
      </c>
      <c r="G4317" s="74">
        <v>33053</v>
      </c>
      <c r="H4317" s="77">
        <v>0.125</v>
      </c>
      <c r="J4317">
        <v>71.960000000000008</v>
      </c>
      <c r="M4317" s="74">
        <v>37801</v>
      </c>
      <c r="N4317" s="77">
        <v>0.125</v>
      </c>
      <c r="P4317">
        <v>66.2</v>
      </c>
      <c r="S4317" s="74">
        <v>34514</v>
      </c>
      <c r="T4317" s="77">
        <v>0.125</v>
      </c>
      <c r="V4317">
        <v>66.02</v>
      </c>
      <c r="X4317" s="42"/>
      <c r="AB4317">
        <v>69.7</v>
      </c>
      <c r="AC4317">
        <v>69.080000000000013</v>
      </c>
      <c r="AE4317" s="74"/>
      <c r="AF4317" s="77"/>
      <c r="AH4317" s="497">
        <v>62.96</v>
      </c>
      <c r="AJ4317" s="42"/>
      <c r="AK4317" s="74"/>
      <c r="AL4317" s="77"/>
      <c r="AN4317" s="497">
        <v>62.96</v>
      </c>
      <c r="AP4317" s="42"/>
      <c r="AQ4317" s="74"/>
      <c r="AR4317" s="77"/>
      <c r="AT4317" s="497">
        <v>68</v>
      </c>
      <c r="AV4317" s="42"/>
      <c r="AW4317" s="74"/>
      <c r="AX4317" s="77"/>
      <c r="BA4317" s="497">
        <v>55.400000000000006</v>
      </c>
      <c r="BB4317" s="42"/>
      <c r="BC4317" s="74"/>
      <c r="BD4317" s="77"/>
      <c r="BF4317">
        <v>64.94</v>
      </c>
      <c r="BH4317" s="42"/>
      <c r="BI4317" s="74"/>
      <c r="BJ4317" s="77"/>
      <c r="BL4317" s="497">
        <v>55.94</v>
      </c>
      <c r="BN4317" s="42"/>
      <c r="BO4317" s="74"/>
      <c r="BP4317" s="77"/>
      <c r="BR4317" s="497">
        <v>55.040000000000006</v>
      </c>
      <c r="BT4317" s="42"/>
    </row>
    <row r="4318" spans="1:72" x14ac:dyDescent="0.25">
      <c r="A4318" s="90">
        <v>34514</v>
      </c>
      <c r="B4318" s="20">
        <v>0.16666666666666666</v>
      </c>
      <c r="D4318">
        <v>64.94</v>
      </c>
      <c r="E4318" t="str">
        <f t="shared" si="170"/>
        <v>WEEKDAY</v>
      </c>
      <c r="F4318" t="e">
        <f t="shared" si="169"/>
        <v>#N/A</v>
      </c>
      <c r="G4318" s="74">
        <v>33053</v>
      </c>
      <c r="H4318" s="77">
        <v>0.16666666666666666</v>
      </c>
      <c r="J4318">
        <v>71.06</v>
      </c>
      <c r="M4318" s="74">
        <v>37801</v>
      </c>
      <c r="N4318" s="77">
        <v>0.16666666666666666</v>
      </c>
      <c r="P4318">
        <v>64.400000000000006</v>
      </c>
      <c r="S4318" s="74">
        <v>34514</v>
      </c>
      <c r="T4318" s="77">
        <v>0.16666666666666666</v>
      </c>
      <c r="V4318">
        <v>66.02</v>
      </c>
      <c r="X4318" s="42"/>
      <c r="AB4318">
        <v>69.099999999999994</v>
      </c>
      <c r="AC4318">
        <v>69.080000000000013</v>
      </c>
      <c r="AE4318" s="74"/>
      <c r="AF4318" s="77"/>
      <c r="AH4318" s="497">
        <v>62.6</v>
      </c>
      <c r="AJ4318" s="42"/>
      <c r="AK4318" s="74"/>
      <c r="AL4318" s="77"/>
      <c r="AN4318" s="497">
        <v>62.96</v>
      </c>
      <c r="AP4318" s="42"/>
      <c r="AQ4318" s="74"/>
      <c r="AR4318" s="77"/>
      <c r="AT4318" s="497">
        <v>64.94</v>
      </c>
      <c r="AV4318" s="42"/>
      <c r="AW4318" s="74"/>
      <c r="AX4318" s="77"/>
      <c r="BA4318" s="497">
        <v>55.040000000000006</v>
      </c>
      <c r="BB4318" s="42"/>
      <c r="BC4318" s="74"/>
      <c r="BD4318" s="77"/>
      <c r="BF4318">
        <v>66.92</v>
      </c>
      <c r="BH4318" s="42"/>
      <c r="BI4318" s="74"/>
      <c r="BJ4318" s="77"/>
      <c r="BL4318" s="497">
        <v>55.94</v>
      </c>
      <c r="BN4318" s="42"/>
      <c r="BO4318" s="74"/>
      <c r="BP4318" s="77"/>
      <c r="BR4318" s="497">
        <v>53.96</v>
      </c>
      <c r="BT4318" s="42"/>
    </row>
    <row r="4319" spans="1:72" x14ac:dyDescent="0.25">
      <c r="A4319" s="90">
        <v>34514</v>
      </c>
      <c r="B4319" s="20">
        <v>0.20833333333333334</v>
      </c>
      <c r="D4319">
        <v>64.039999999999992</v>
      </c>
      <c r="E4319" t="str">
        <f t="shared" si="170"/>
        <v>WEEKDAY</v>
      </c>
      <c r="F4319" t="e">
        <f t="shared" si="169"/>
        <v>#N/A</v>
      </c>
      <c r="G4319" s="74">
        <v>33053</v>
      </c>
      <c r="H4319" s="77">
        <v>0.20833333333333334</v>
      </c>
      <c r="J4319">
        <v>69.98</v>
      </c>
      <c r="M4319" s="74">
        <v>37801</v>
      </c>
      <c r="N4319" s="77">
        <v>0.20833333333333334</v>
      </c>
      <c r="P4319">
        <v>66.2</v>
      </c>
      <c r="S4319" s="74">
        <v>34514</v>
      </c>
      <c r="T4319" s="77">
        <v>0.20833333333333334</v>
      </c>
      <c r="V4319">
        <v>66.02</v>
      </c>
      <c r="X4319" s="42"/>
      <c r="AB4319">
        <v>68.7</v>
      </c>
      <c r="AC4319">
        <v>69.98</v>
      </c>
      <c r="AE4319" s="74"/>
      <c r="AF4319" s="77"/>
      <c r="AH4319" s="497">
        <v>62.6</v>
      </c>
      <c r="AJ4319" s="42"/>
      <c r="AK4319" s="74"/>
      <c r="AL4319" s="77"/>
      <c r="AN4319" s="497">
        <v>64.039999999999992</v>
      </c>
      <c r="AP4319" s="42"/>
      <c r="AQ4319" s="74"/>
      <c r="AR4319" s="77"/>
      <c r="AT4319" s="497">
        <v>60.980000000000004</v>
      </c>
      <c r="AV4319" s="42"/>
      <c r="AW4319" s="74"/>
      <c r="AX4319" s="77"/>
      <c r="BA4319" s="497">
        <v>56.66</v>
      </c>
      <c r="BB4319" s="42"/>
      <c r="BC4319" s="74"/>
      <c r="BD4319" s="77"/>
      <c r="BF4319">
        <v>69.080000000000013</v>
      </c>
      <c r="BH4319" s="42"/>
      <c r="BI4319" s="74"/>
      <c r="BJ4319" s="77"/>
      <c r="BL4319" s="497">
        <v>55.94</v>
      </c>
      <c r="BN4319" s="42"/>
      <c r="BO4319" s="74"/>
      <c r="BP4319" s="77"/>
      <c r="BR4319" s="497">
        <v>57.92</v>
      </c>
      <c r="BT4319" s="42"/>
    </row>
    <row r="4320" spans="1:72" x14ac:dyDescent="0.25">
      <c r="A4320" s="90">
        <v>34514</v>
      </c>
      <c r="B4320" s="20">
        <v>0.25</v>
      </c>
      <c r="D4320">
        <v>64.94</v>
      </c>
      <c r="E4320" t="str">
        <f t="shared" si="170"/>
        <v>WEEKDAY</v>
      </c>
      <c r="F4320" t="e">
        <f t="shared" si="169"/>
        <v>#N/A</v>
      </c>
      <c r="G4320" s="74">
        <v>33053</v>
      </c>
      <c r="H4320" s="77">
        <v>0.25</v>
      </c>
      <c r="J4320">
        <v>69.98</v>
      </c>
      <c r="M4320" s="74">
        <v>37801</v>
      </c>
      <c r="N4320" s="77">
        <v>0.25</v>
      </c>
      <c r="P4320">
        <v>64.400000000000006</v>
      </c>
      <c r="S4320" s="74">
        <v>34514</v>
      </c>
      <c r="T4320" s="77">
        <v>0.25</v>
      </c>
      <c r="V4320">
        <v>66.02</v>
      </c>
      <c r="X4320" s="42"/>
      <c r="AB4320">
        <v>68.599999999999994</v>
      </c>
      <c r="AC4320">
        <v>71.06</v>
      </c>
      <c r="AE4320" s="74"/>
      <c r="AF4320" s="77"/>
      <c r="AH4320" s="497">
        <v>62.6</v>
      </c>
      <c r="AJ4320" s="42"/>
      <c r="AK4320" s="74"/>
      <c r="AL4320" s="77"/>
      <c r="AN4320" s="497">
        <v>64.94</v>
      </c>
      <c r="AP4320" s="42"/>
      <c r="AQ4320" s="74"/>
      <c r="AR4320" s="77"/>
      <c r="AT4320" s="497">
        <v>66.92</v>
      </c>
      <c r="AV4320" s="42"/>
      <c r="AW4320" s="74"/>
      <c r="AX4320" s="77"/>
      <c r="BA4320" s="497">
        <v>58.46</v>
      </c>
      <c r="BB4320" s="42"/>
      <c r="BC4320" s="74"/>
      <c r="BD4320" s="77"/>
      <c r="BF4320">
        <v>69.080000000000013</v>
      </c>
      <c r="BH4320" s="42"/>
      <c r="BI4320" s="74"/>
      <c r="BJ4320" s="77"/>
      <c r="BL4320" s="497">
        <v>57.019999999999996</v>
      </c>
      <c r="BN4320" s="42"/>
      <c r="BO4320" s="74"/>
      <c r="BP4320" s="77"/>
      <c r="BR4320" s="497">
        <v>64.039999999999992</v>
      </c>
      <c r="BT4320" s="42"/>
    </row>
    <row r="4321" spans="1:72" x14ac:dyDescent="0.25">
      <c r="A4321" s="90">
        <v>34514</v>
      </c>
      <c r="B4321" s="20">
        <v>0.29166666666666669</v>
      </c>
      <c r="D4321">
        <v>64.94</v>
      </c>
      <c r="E4321" t="str">
        <f t="shared" si="170"/>
        <v>WEEKDAY</v>
      </c>
      <c r="F4321" t="e">
        <f t="shared" si="169"/>
        <v>#N/A</v>
      </c>
      <c r="G4321" s="74">
        <v>33053</v>
      </c>
      <c r="H4321" s="77">
        <v>0.29166666666666669</v>
      </c>
      <c r="J4321">
        <v>71.06</v>
      </c>
      <c r="M4321" s="74">
        <v>37801</v>
      </c>
      <c r="N4321" s="77">
        <v>0.29166666666666669</v>
      </c>
      <c r="P4321">
        <v>66.2</v>
      </c>
      <c r="S4321" s="74">
        <v>34514</v>
      </c>
      <c r="T4321" s="77">
        <v>0.29166666666666669</v>
      </c>
      <c r="V4321">
        <v>66.92</v>
      </c>
      <c r="X4321" s="42"/>
      <c r="AB4321">
        <v>70.2</v>
      </c>
      <c r="AC4321">
        <v>71.06</v>
      </c>
      <c r="AE4321" s="74"/>
      <c r="AF4321" s="77"/>
      <c r="AH4321" s="497">
        <v>64.400000000000006</v>
      </c>
      <c r="AJ4321" s="42"/>
      <c r="AK4321" s="74"/>
      <c r="AL4321" s="77"/>
      <c r="AN4321" s="497">
        <v>68</v>
      </c>
      <c r="AP4321" s="42"/>
      <c r="AQ4321" s="74"/>
      <c r="AR4321" s="77"/>
      <c r="AT4321" s="497">
        <v>69.080000000000013</v>
      </c>
      <c r="AV4321" s="42"/>
      <c r="AW4321" s="74"/>
      <c r="AX4321" s="77"/>
      <c r="BA4321" s="497">
        <v>60.08</v>
      </c>
      <c r="BB4321" s="42"/>
      <c r="BC4321" s="74"/>
      <c r="BD4321" s="77"/>
      <c r="BF4321">
        <v>71.06</v>
      </c>
      <c r="BH4321" s="42"/>
      <c r="BI4321" s="74"/>
      <c r="BJ4321" s="77"/>
      <c r="BL4321" s="497">
        <v>60.08</v>
      </c>
      <c r="BN4321" s="42"/>
      <c r="BO4321" s="74"/>
      <c r="BP4321" s="77"/>
      <c r="BR4321" s="497">
        <v>66.02</v>
      </c>
      <c r="BT4321" s="42"/>
    </row>
    <row r="4322" spans="1:72" x14ac:dyDescent="0.25">
      <c r="A4322" s="90">
        <v>34514</v>
      </c>
      <c r="B4322" s="20">
        <v>0.33333333333333331</v>
      </c>
      <c r="D4322">
        <v>66.92</v>
      </c>
      <c r="E4322" t="str">
        <f t="shared" si="170"/>
        <v>WEEKDAY</v>
      </c>
      <c r="F4322" t="e">
        <f t="shared" si="169"/>
        <v>#N/A</v>
      </c>
      <c r="G4322" s="74">
        <v>33053</v>
      </c>
      <c r="H4322" s="77">
        <v>0.33333333333333331</v>
      </c>
      <c r="J4322">
        <v>71.06</v>
      </c>
      <c r="M4322" s="74">
        <v>37801</v>
      </c>
      <c r="N4322" s="77">
        <v>0.33333333333333331</v>
      </c>
      <c r="P4322">
        <v>66.2</v>
      </c>
      <c r="S4322" s="74">
        <v>34514</v>
      </c>
      <c r="T4322" s="77">
        <v>0.33333333333333331</v>
      </c>
      <c r="V4322">
        <v>68</v>
      </c>
      <c r="X4322" s="42"/>
      <c r="AB4322">
        <v>72.2</v>
      </c>
      <c r="AC4322">
        <v>71.06</v>
      </c>
      <c r="AE4322" s="74"/>
      <c r="AF4322" s="77"/>
      <c r="AH4322" s="497">
        <v>66.2</v>
      </c>
      <c r="AJ4322" s="42"/>
      <c r="AK4322" s="74"/>
      <c r="AL4322" s="77"/>
      <c r="AN4322" s="497">
        <v>71.06</v>
      </c>
      <c r="AP4322" s="42"/>
      <c r="AQ4322" s="74"/>
      <c r="AR4322" s="77"/>
      <c r="AT4322" s="497">
        <v>73.039999999999992</v>
      </c>
      <c r="AV4322" s="42"/>
      <c r="AW4322" s="74"/>
      <c r="AX4322" s="77"/>
      <c r="BA4322" s="497">
        <v>63.319999999999993</v>
      </c>
      <c r="BB4322" s="42"/>
      <c r="BC4322" s="74"/>
      <c r="BD4322" s="77"/>
      <c r="BF4322">
        <v>73.039999999999992</v>
      </c>
      <c r="BH4322" s="42"/>
      <c r="BI4322" s="74"/>
      <c r="BJ4322" s="77"/>
      <c r="BL4322" s="497">
        <v>64.039999999999992</v>
      </c>
      <c r="BN4322" s="42"/>
      <c r="BO4322" s="74"/>
      <c r="BP4322" s="77"/>
      <c r="BR4322" s="497">
        <v>71.960000000000008</v>
      </c>
      <c r="BT4322" s="42"/>
    </row>
    <row r="4323" spans="1:72" x14ac:dyDescent="0.25">
      <c r="A4323" s="90">
        <v>34514</v>
      </c>
      <c r="B4323" s="20">
        <v>0.375</v>
      </c>
      <c r="D4323">
        <v>68</v>
      </c>
      <c r="E4323" t="str">
        <f t="shared" si="170"/>
        <v>WEEKDAY</v>
      </c>
      <c r="F4323" t="e">
        <f t="shared" si="169"/>
        <v>#N/A</v>
      </c>
      <c r="G4323" s="74">
        <v>33053</v>
      </c>
      <c r="H4323" s="77">
        <v>0.375</v>
      </c>
      <c r="J4323">
        <v>69.98</v>
      </c>
      <c r="M4323" s="74">
        <v>37801</v>
      </c>
      <c r="N4323" s="77">
        <v>0.375</v>
      </c>
      <c r="P4323">
        <v>69.800000000000011</v>
      </c>
      <c r="S4323" s="74">
        <v>34514</v>
      </c>
      <c r="T4323" s="77">
        <v>0.375</v>
      </c>
      <c r="V4323">
        <v>69.98</v>
      </c>
      <c r="X4323" s="42"/>
      <c r="AB4323">
        <v>74.2</v>
      </c>
      <c r="AC4323">
        <v>71.06</v>
      </c>
      <c r="AE4323" s="74"/>
      <c r="AF4323" s="77"/>
      <c r="AH4323" s="497">
        <v>69.800000000000011</v>
      </c>
      <c r="AJ4323" s="42"/>
      <c r="AK4323" s="74"/>
      <c r="AL4323" s="77"/>
      <c r="AN4323" s="497">
        <v>71.960000000000008</v>
      </c>
      <c r="AP4323" s="42"/>
      <c r="AQ4323" s="74"/>
      <c r="AR4323" s="77"/>
      <c r="AT4323" s="497">
        <v>75.02</v>
      </c>
      <c r="AV4323" s="42"/>
      <c r="AW4323" s="74"/>
      <c r="AX4323" s="77"/>
      <c r="BA4323" s="497">
        <v>66.740000000000009</v>
      </c>
      <c r="BB4323" s="42"/>
      <c r="BC4323" s="74"/>
      <c r="BD4323" s="77"/>
      <c r="BF4323">
        <v>75.92</v>
      </c>
      <c r="BH4323" s="42"/>
      <c r="BI4323" s="74"/>
      <c r="BJ4323" s="77"/>
      <c r="BL4323" s="497">
        <v>68</v>
      </c>
      <c r="BN4323" s="42"/>
      <c r="BO4323" s="74"/>
      <c r="BP4323" s="77"/>
      <c r="BR4323" s="497">
        <v>77</v>
      </c>
      <c r="BT4323" s="42"/>
    </row>
    <row r="4324" spans="1:72" x14ac:dyDescent="0.25">
      <c r="A4324" s="90">
        <v>34514</v>
      </c>
      <c r="B4324" s="20">
        <v>0.41666666666666669</v>
      </c>
      <c r="D4324">
        <v>71.06</v>
      </c>
      <c r="E4324" t="str">
        <f t="shared" si="170"/>
        <v>WEEKDAY</v>
      </c>
      <c r="F4324" t="e">
        <f t="shared" si="169"/>
        <v>#N/A</v>
      </c>
      <c r="G4324" s="74">
        <v>33053</v>
      </c>
      <c r="H4324" s="77">
        <v>0.41666666666666669</v>
      </c>
      <c r="J4324">
        <v>73.039999999999992</v>
      </c>
      <c r="M4324" s="74">
        <v>37801</v>
      </c>
      <c r="N4324" s="77">
        <v>0.41666666666666669</v>
      </c>
      <c r="P4324">
        <v>73.400000000000006</v>
      </c>
      <c r="S4324" s="74">
        <v>34514</v>
      </c>
      <c r="T4324" s="77">
        <v>0.41666666666666669</v>
      </c>
      <c r="V4324">
        <v>71.06</v>
      </c>
      <c r="X4324" s="42"/>
      <c r="AB4324">
        <v>76.099999999999994</v>
      </c>
      <c r="AC4324">
        <v>71.960000000000008</v>
      </c>
      <c r="AE4324" s="74"/>
      <c r="AF4324" s="77"/>
      <c r="AH4324" s="497">
        <v>71.599999999999994</v>
      </c>
      <c r="AJ4324" s="42"/>
      <c r="AK4324" s="74"/>
      <c r="AL4324" s="77"/>
      <c r="AN4324" s="497">
        <v>75.02</v>
      </c>
      <c r="AP4324" s="42"/>
      <c r="AQ4324" s="74"/>
      <c r="AR4324" s="77"/>
      <c r="AT4324" s="497">
        <v>77</v>
      </c>
      <c r="AV4324" s="42"/>
      <c r="AW4324" s="74"/>
      <c r="AX4324" s="77"/>
      <c r="BA4324" s="497">
        <v>69.98</v>
      </c>
      <c r="BB4324" s="42"/>
      <c r="BC4324" s="74"/>
      <c r="BD4324" s="77"/>
      <c r="BF4324">
        <v>75.02</v>
      </c>
      <c r="BH4324" s="42"/>
      <c r="BI4324" s="74"/>
      <c r="BJ4324" s="77"/>
      <c r="BL4324" s="497">
        <v>73.039999999999992</v>
      </c>
      <c r="BN4324" s="42"/>
      <c r="BO4324" s="74"/>
      <c r="BP4324" s="77"/>
      <c r="BR4324" s="497">
        <v>78.98</v>
      </c>
      <c r="BT4324" s="42"/>
    </row>
    <row r="4325" spans="1:72" x14ac:dyDescent="0.25">
      <c r="A4325" s="90">
        <v>34514</v>
      </c>
      <c r="B4325" s="20">
        <v>0.45833333333333331</v>
      </c>
      <c r="D4325">
        <v>71.960000000000008</v>
      </c>
      <c r="E4325" t="str">
        <f t="shared" si="170"/>
        <v>WEEKDAY</v>
      </c>
      <c r="F4325" t="e">
        <f t="shared" si="169"/>
        <v>#N/A</v>
      </c>
      <c r="G4325" s="74">
        <v>33053</v>
      </c>
      <c r="H4325" s="77">
        <v>0.45833333333333331</v>
      </c>
      <c r="J4325">
        <v>73.94</v>
      </c>
      <c r="M4325" s="74">
        <v>37801</v>
      </c>
      <c r="N4325" s="77">
        <v>0.45833333333333331</v>
      </c>
      <c r="P4325">
        <v>74.300000000000011</v>
      </c>
      <c r="S4325" s="74">
        <v>34514</v>
      </c>
      <c r="T4325" s="77">
        <v>0.45833333333333331</v>
      </c>
      <c r="V4325">
        <v>71.960000000000008</v>
      </c>
      <c r="X4325" s="42"/>
      <c r="AB4325">
        <v>77.7</v>
      </c>
      <c r="AC4325">
        <v>71.960000000000008</v>
      </c>
      <c r="AE4325" s="74"/>
      <c r="AF4325" s="77"/>
      <c r="AH4325" s="497">
        <v>73.400000000000006</v>
      </c>
      <c r="AJ4325" s="42"/>
      <c r="AK4325" s="74"/>
      <c r="AL4325" s="77"/>
      <c r="AN4325" s="497">
        <v>75.02</v>
      </c>
      <c r="AP4325" s="42"/>
      <c r="AQ4325" s="74"/>
      <c r="AR4325" s="77"/>
      <c r="AT4325" s="497">
        <v>78.98</v>
      </c>
      <c r="AV4325" s="42"/>
      <c r="AW4325" s="74"/>
      <c r="AX4325" s="77"/>
      <c r="BA4325" s="497">
        <v>71.960000000000008</v>
      </c>
      <c r="BB4325" s="42"/>
      <c r="BC4325" s="74"/>
      <c r="BD4325" s="77"/>
      <c r="BF4325">
        <v>77</v>
      </c>
      <c r="BH4325" s="42"/>
      <c r="BI4325" s="74"/>
      <c r="BJ4325" s="77"/>
      <c r="BL4325" s="497">
        <v>75.02</v>
      </c>
      <c r="BN4325" s="42"/>
      <c r="BO4325" s="74"/>
      <c r="BP4325" s="77"/>
      <c r="BR4325" s="497">
        <v>75.02</v>
      </c>
      <c r="BT4325" s="42"/>
    </row>
    <row r="4326" spans="1:72" x14ac:dyDescent="0.25">
      <c r="A4326" s="90">
        <v>34514</v>
      </c>
      <c r="B4326" s="20">
        <v>0.5</v>
      </c>
      <c r="D4326">
        <v>73.94</v>
      </c>
      <c r="E4326" t="str">
        <f t="shared" si="170"/>
        <v>WEEKDAY</v>
      </c>
      <c r="F4326" t="e">
        <f t="shared" si="169"/>
        <v>#N/A</v>
      </c>
      <c r="G4326" s="74">
        <v>33053</v>
      </c>
      <c r="H4326" s="77">
        <v>0.5</v>
      </c>
      <c r="J4326">
        <v>73.94</v>
      </c>
      <c r="M4326" s="74">
        <v>37801</v>
      </c>
      <c r="N4326" s="77">
        <v>0.5</v>
      </c>
      <c r="P4326">
        <v>75.2</v>
      </c>
      <c r="S4326" s="74">
        <v>34514</v>
      </c>
      <c r="T4326" s="77">
        <v>0.5</v>
      </c>
      <c r="V4326">
        <v>71.06</v>
      </c>
      <c r="X4326" s="42"/>
      <c r="AB4326">
        <v>78.900000000000006</v>
      </c>
      <c r="AC4326">
        <v>73.039999999999992</v>
      </c>
      <c r="AE4326" s="74"/>
      <c r="AF4326" s="77"/>
      <c r="AH4326" s="497">
        <v>75.2</v>
      </c>
      <c r="AJ4326" s="42"/>
      <c r="AK4326" s="74"/>
      <c r="AL4326" s="77"/>
      <c r="AN4326" s="497">
        <v>75.92</v>
      </c>
      <c r="AP4326" s="42"/>
      <c r="AQ4326" s="74"/>
      <c r="AR4326" s="77"/>
      <c r="AT4326" s="497">
        <v>78.98</v>
      </c>
      <c r="AV4326" s="42"/>
      <c r="AW4326" s="74"/>
      <c r="AX4326" s="77"/>
      <c r="BA4326" s="497">
        <v>73.94</v>
      </c>
      <c r="BB4326" s="42"/>
      <c r="BC4326" s="74"/>
      <c r="BD4326" s="77"/>
      <c r="BF4326">
        <v>78.080000000000013</v>
      </c>
      <c r="BH4326" s="42"/>
      <c r="BI4326" s="74"/>
      <c r="BJ4326" s="77"/>
      <c r="BL4326" s="497">
        <v>77</v>
      </c>
      <c r="BN4326" s="42"/>
      <c r="BO4326" s="74"/>
      <c r="BP4326" s="77"/>
      <c r="BR4326" s="497">
        <v>78.080000000000013</v>
      </c>
      <c r="BT4326" s="42"/>
    </row>
    <row r="4327" spans="1:72" x14ac:dyDescent="0.25">
      <c r="A4327" s="90">
        <v>34514</v>
      </c>
      <c r="B4327" s="20">
        <v>0.54166666666666663</v>
      </c>
      <c r="D4327">
        <v>77</v>
      </c>
      <c r="E4327" t="str">
        <f t="shared" si="170"/>
        <v>WEEKDAY</v>
      </c>
      <c r="F4327" t="e">
        <f t="shared" si="169"/>
        <v>#N/A</v>
      </c>
      <c r="G4327" s="74">
        <v>33053</v>
      </c>
      <c r="H4327" s="77">
        <v>0.54166666666666663</v>
      </c>
      <c r="J4327">
        <v>73.94</v>
      </c>
      <c r="M4327" s="74">
        <v>37801</v>
      </c>
      <c r="N4327" s="77">
        <v>0.54166666666666663</v>
      </c>
      <c r="P4327">
        <v>78.800000000000011</v>
      </c>
      <c r="S4327" s="74">
        <v>34514</v>
      </c>
      <c r="T4327" s="77">
        <v>0.54166666666666663</v>
      </c>
      <c r="V4327">
        <v>71.960000000000008</v>
      </c>
      <c r="X4327" s="42"/>
      <c r="AB4327">
        <v>79.599999999999994</v>
      </c>
      <c r="AC4327">
        <v>73.94</v>
      </c>
      <c r="AE4327" s="74"/>
      <c r="AF4327" s="77"/>
      <c r="AH4327" s="497">
        <v>75.2</v>
      </c>
      <c r="AJ4327" s="42"/>
      <c r="AK4327" s="74"/>
      <c r="AL4327" s="77"/>
      <c r="AN4327" s="497">
        <v>75.92</v>
      </c>
      <c r="AP4327" s="42"/>
      <c r="AQ4327" s="74"/>
      <c r="AR4327" s="77"/>
      <c r="AT4327" s="497">
        <v>80.06</v>
      </c>
      <c r="AV4327" s="42"/>
      <c r="AW4327" s="74"/>
      <c r="AX4327" s="77"/>
      <c r="BA4327" s="497">
        <v>75.92</v>
      </c>
      <c r="BB4327" s="42"/>
      <c r="BC4327" s="74"/>
      <c r="BD4327" s="77"/>
      <c r="BF4327">
        <v>78.98</v>
      </c>
      <c r="BH4327" s="42"/>
      <c r="BI4327" s="74"/>
      <c r="BJ4327" s="77"/>
      <c r="BL4327" s="497">
        <v>78.98</v>
      </c>
      <c r="BN4327" s="42"/>
      <c r="BO4327" s="74"/>
      <c r="BP4327" s="77"/>
      <c r="BR4327" s="497">
        <v>80.960000000000008</v>
      </c>
      <c r="BT4327" s="42"/>
    </row>
    <row r="4328" spans="1:72" x14ac:dyDescent="0.25">
      <c r="A4328" s="90">
        <v>34514</v>
      </c>
      <c r="B4328" s="20">
        <v>0.58333333333333337</v>
      </c>
      <c r="D4328">
        <v>77</v>
      </c>
      <c r="E4328" t="str">
        <f t="shared" si="170"/>
        <v>WEEKDAY</v>
      </c>
      <c r="F4328" t="e">
        <f t="shared" si="169"/>
        <v>#N/A</v>
      </c>
      <c r="G4328" s="74">
        <v>33053</v>
      </c>
      <c r="H4328" s="77">
        <v>0.58333333333333337</v>
      </c>
      <c r="J4328">
        <v>80.06</v>
      </c>
      <c r="M4328" s="74">
        <v>37801</v>
      </c>
      <c r="N4328" s="77">
        <v>0.58333333333333337</v>
      </c>
      <c r="P4328">
        <v>78.800000000000011</v>
      </c>
      <c r="S4328" s="74">
        <v>34514</v>
      </c>
      <c r="T4328" s="77">
        <v>0.58333333333333337</v>
      </c>
      <c r="V4328">
        <v>73.039999999999992</v>
      </c>
      <c r="X4328" s="42"/>
      <c r="AB4328">
        <v>80</v>
      </c>
      <c r="AC4328">
        <v>71.960000000000008</v>
      </c>
      <c r="AE4328" s="74"/>
      <c r="AF4328" s="77"/>
      <c r="AH4328" s="497">
        <v>78.800000000000011</v>
      </c>
      <c r="AJ4328" s="42"/>
      <c r="AK4328" s="74"/>
      <c r="AL4328" s="77"/>
      <c r="AN4328" s="497">
        <v>80.06</v>
      </c>
      <c r="AP4328" s="42"/>
      <c r="AQ4328" s="74"/>
      <c r="AR4328" s="77"/>
      <c r="AT4328" s="497">
        <v>80.06</v>
      </c>
      <c r="AV4328" s="42"/>
      <c r="AW4328" s="74"/>
      <c r="AX4328" s="77"/>
      <c r="BA4328" s="497">
        <v>77.36</v>
      </c>
      <c r="BB4328" s="42"/>
      <c r="BC4328" s="74"/>
      <c r="BD4328" s="77"/>
      <c r="BF4328">
        <v>78.98</v>
      </c>
      <c r="BH4328" s="42"/>
      <c r="BI4328" s="74"/>
      <c r="BJ4328" s="77"/>
      <c r="BL4328" s="497">
        <v>80.960000000000008</v>
      </c>
      <c r="BN4328" s="42"/>
      <c r="BO4328" s="74"/>
      <c r="BP4328" s="77"/>
      <c r="BR4328" s="497">
        <v>82.039999999999992</v>
      </c>
      <c r="BT4328" s="42"/>
    </row>
    <row r="4329" spans="1:72" x14ac:dyDescent="0.25">
      <c r="A4329" s="90">
        <v>34514</v>
      </c>
      <c r="B4329" s="20">
        <v>0.625</v>
      </c>
      <c r="D4329">
        <v>78.98</v>
      </c>
      <c r="E4329" t="str">
        <f t="shared" si="170"/>
        <v>WEEKDAY</v>
      </c>
      <c r="F4329" t="e">
        <f t="shared" si="169"/>
        <v>#N/A</v>
      </c>
      <c r="G4329" s="74">
        <v>33053</v>
      </c>
      <c r="H4329" s="77">
        <v>0.625</v>
      </c>
      <c r="J4329">
        <v>86</v>
      </c>
      <c r="M4329" s="74">
        <v>37801</v>
      </c>
      <c r="N4329" s="77">
        <v>0.625</v>
      </c>
      <c r="P4329">
        <v>78.800000000000011</v>
      </c>
      <c r="S4329" s="74">
        <v>34514</v>
      </c>
      <c r="T4329" s="77">
        <v>0.625</v>
      </c>
      <c r="V4329">
        <v>73.039999999999992</v>
      </c>
      <c r="X4329" s="42"/>
      <c r="AB4329">
        <v>80.099999999999994</v>
      </c>
      <c r="AC4329">
        <v>71.960000000000008</v>
      </c>
      <c r="AE4329" s="74"/>
      <c r="AF4329" s="77"/>
      <c r="AH4329" s="497">
        <v>78.800000000000011</v>
      </c>
      <c r="AJ4329" s="42"/>
      <c r="AK4329" s="74"/>
      <c r="AL4329" s="77"/>
      <c r="AN4329" s="497">
        <v>75.02</v>
      </c>
      <c r="AP4329" s="42"/>
      <c r="AQ4329" s="74"/>
      <c r="AR4329" s="77"/>
      <c r="AT4329" s="497">
        <v>80.06</v>
      </c>
      <c r="AV4329" s="42"/>
      <c r="AW4329" s="74"/>
      <c r="AX4329" s="77"/>
      <c r="BA4329" s="497">
        <v>78.62</v>
      </c>
      <c r="BB4329" s="42"/>
      <c r="BC4329" s="74"/>
      <c r="BD4329" s="77"/>
      <c r="BF4329">
        <v>78.080000000000013</v>
      </c>
      <c r="BH4329" s="42"/>
      <c r="BI4329" s="74"/>
      <c r="BJ4329" s="77"/>
      <c r="BL4329" s="497">
        <v>80.06</v>
      </c>
      <c r="BN4329" s="42"/>
      <c r="BO4329" s="74"/>
      <c r="BP4329" s="77"/>
      <c r="BR4329" s="497">
        <v>84.02</v>
      </c>
      <c r="BT4329" s="42"/>
    </row>
    <row r="4330" spans="1:72" x14ac:dyDescent="0.25">
      <c r="A4330" s="90">
        <v>34514</v>
      </c>
      <c r="B4330" s="20">
        <v>0.66666666666666663</v>
      </c>
      <c r="D4330">
        <v>78.98</v>
      </c>
      <c r="E4330" t="str">
        <f t="shared" si="170"/>
        <v>WEEKDAY</v>
      </c>
      <c r="F4330" t="e">
        <f t="shared" si="169"/>
        <v>#N/A</v>
      </c>
      <c r="G4330" s="74">
        <v>33053</v>
      </c>
      <c r="H4330" s="77">
        <v>0.66666666666666663</v>
      </c>
      <c r="J4330">
        <v>87.080000000000013</v>
      </c>
      <c r="M4330" s="74">
        <v>37801</v>
      </c>
      <c r="N4330" s="77">
        <v>0.66666666666666663</v>
      </c>
      <c r="P4330">
        <v>77</v>
      </c>
      <c r="S4330" s="74">
        <v>34514</v>
      </c>
      <c r="T4330" s="77">
        <v>0.66666666666666663</v>
      </c>
      <c r="V4330">
        <v>73.039999999999992</v>
      </c>
      <c r="X4330" s="42"/>
      <c r="AB4330">
        <v>79.5</v>
      </c>
      <c r="AC4330">
        <v>73.94</v>
      </c>
      <c r="AE4330" s="74"/>
      <c r="AF4330" s="77"/>
      <c r="AH4330" s="497">
        <v>77</v>
      </c>
      <c r="AJ4330" s="42"/>
      <c r="AK4330" s="74"/>
      <c r="AL4330" s="77"/>
      <c r="AN4330" s="497">
        <v>75.92</v>
      </c>
      <c r="AP4330" s="42"/>
      <c r="AQ4330" s="74"/>
      <c r="AR4330" s="77"/>
      <c r="AT4330" s="497">
        <v>80.06</v>
      </c>
      <c r="AV4330" s="42"/>
      <c r="AW4330" s="74"/>
      <c r="AX4330" s="77"/>
      <c r="BA4330" s="497">
        <v>80.06</v>
      </c>
      <c r="BB4330" s="42"/>
      <c r="BC4330" s="74"/>
      <c r="BD4330" s="77"/>
      <c r="BF4330">
        <v>80.06</v>
      </c>
      <c r="BH4330" s="42"/>
      <c r="BI4330" s="74"/>
      <c r="BJ4330" s="77"/>
      <c r="BL4330" s="497">
        <v>73.039999999999992</v>
      </c>
      <c r="BN4330" s="42"/>
      <c r="BO4330" s="74"/>
      <c r="BP4330" s="77"/>
      <c r="BR4330" s="497">
        <v>82.039999999999992</v>
      </c>
      <c r="BT4330" s="42"/>
    </row>
    <row r="4331" spans="1:72" x14ac:dyDescent="0.25">
      <c r="A4331" s="90">
        <v>34514</v>
      </c>
      <c r="B4331" s="20">
        <v>0.70833333333333337</v>
      </c>
      <c r="D4331">
        <v>80.06</v>
      </c>
      <c r="E4331" t="str">
        <f t="shared" si="170"/>
        <v>WEEKDAY</v>
      </c>
      <c r="F4331" t="e">
        <f t="shared" ref="F4331:F4394" si="171">IF(E4331="WEEKDAY",VLOOKUP(B4331,$DD$19:$DG$42,2),IF(E4331="SATURDAY",VLOOKUP(B4331,$DD$19:$DG$42,3),VLOOKUP(B4331,$DD$19:$DG$42,4)))</f>
        <v>#N/A</v>
      </c>
      <c r="G4331" s="74">
        <v>33053</v>
      </c>
      <c r="H4331" s="77">
        <v>0.70833333333333337</v>
      </c>
      <c r="J4331">
        <v>82.94</v>
      </c>
      <c r="M4331" s="74">
        <v>37801</v>
      </c>
      <c r="N4331" s="77">
        <v>0.70833333333333337</v>
      </c>
      <c r="P4331">
        <v>75.2</v>
      </c>
      <c r="S4331" s="74">
        <v>34514</v>
      </c>
      <c r="T4331" s="77">
        <v>0.70833333333333337</v>
      </c>
      <c r="V4331">
        <v>71.960000000000008</v>
      </c>
      <c r="X4331" s="42"/>
      <c r="AB4331">
        <v>78.599999999999994</v>
      </c>
      <c r="AC4331">
        <v>75.02</v>
      </c>
      <c r="AE4331" s="74"/>
      <c r="AF4331" s="77"/>
      <c r="AH4331" s="497">
        <v>69.800000000000011</v>
      </c>
      <c r="AJ4331" s="42"/>
      <c r="AK4331" s="74"/>
      <c r="AL4331" s="77"/>
      <c r="AN4331" s="497">
        <v>77</v>
      </c>
      <c r="AP4331" s="42"/>
      <c r="AQ4331" s="74"/>
      <c r="AR4331" s="77"/>
      <c r="AT4331" s="497">
        <v>78.080000000000013</v>
      </c>
      <c r="AV4331" s="42"/>
      <c r="AW4331" s="74"/>
      <c r="AX4331" s="77"/>
      <c r="BA4331" s="497">
        <v>78.44</v>
      </c>
      <c r="BB4331" s="42"/>
      <c r="BC4331" s="74"/>
      <c r="BD4331" s="77"/>
      <c r="BF4331">
        <v>77</v>
      </c>
      <c r="BH4331" s="42"/>
      <c r="BI4331" s="74"/>
      <c r="BJ4331" s="77"/>
      <c r="BL4331" s="497">
        <v>66.92</v>
      </c>
      <c r="BN4331" s="42"/>
      <c r="BO4331" s="74"/>
      <c r="BP4331" s="77"/>
      <c r="BR4331" s="497">
        <v>82.94</v>
      </c>
      <c r="BT4331" s="42"/>
    </row>
    <row r="4332" spans="1:72" x14ac:dyDescent="0.25">
      <c r="A4332" s="90">
        <v>34514</v>
      </c>
      <c r="B4332" s="20">
        <v>0.75</v>
      </c>
      <c r="D4332">
        <v>77</v>
      </c>
      <c r="E4332" t="str">
        <f t="shared" si="170"/>
        <v>WEEKDAY</v>
      </c>
      <c r="F4332" t="e">
        <f t="shared" si="171"/>
        <v>#N/A</v>
      </c>
      <c r="G4332" s="74">
        <v>33053</v>
      </c>
      <c r="H4332" s="77">
        <v>0.75</v>
      </c>
      <c r="J4332">
        <v>82.039999999999992</v>
      </c>
      <c r="M4332" s="74">
        <v>37801</v>
      </c>
      <c r="N4332" s="77">
        <v>0.75</v>
      </c>
      <c r="P4332">
        <v>73.400000000000006</v>
      </c>
      <c r="S4332" s="74">
        <v>34514</v>
      </c>
      <c r="T4332" s="77">
        <v>0.75</v>
      </c>
      <c r="V4332">
        <v>68</v>
      </c>
      <c r="X4332" s="42"/>
      <c r="AB4332">
        <v>77.3</v>
      </c>
      <c r="AC4332">
        <v>73.94</v>
      </c>
      <c r="AE4332" s="74"/>
      <c r="AF4332" s="77"/>
      <c r="AH4332" s="497">
        <v>70.16</v>
      </c>
      <c r="AJ4332" s="42"/>
      <c r="AK4332" s="74"/>
      <c r="AL4332" s="77"/>
      <c r="AN4332" s="497">
        <v>77</v>
      </c>
      <c r="AP4332" s="42"/>
      <c r="AQ4332" s="74"/>
      <c r="AR4332" s="77"/>
      <c r="AT4332" s="497">
        <v>77</v>
      </c>
      <c r="AV4332" s="42"/>
      <c r="AW4332" s="74"/>
      <c r="AX4332" s="77"/>
      <c r="BA4332" s="497">
        <v>76.64</v>
      </c>
      <c r="BB4332" s="42"/>
      <c r="BC4332" s="74"/>
      <c r="BD4332" s="77"/>
      <c r="BF4332">
        <v>75.92</v>
      </c>
      <c r="BH4332" s="42"/>
      <c r="BI4332" s="74"/>
      <c r="BJ4332" s="77"/>
      <c r="BL4332" s="497">
        <v>64.94</v>
      </c>
      <c r="BN4332" s="42"/>
      <c r="BO4332" s="74"/>
      <c r="BP4332" s="77"/>
      <c r="BR4332" s="497">
        <v>82.039999999999992</v>
      </c>
      <c r="BT4332" s="42"/>
    </row>
    <row r="4333" spans="1:72" x14ac:dyDescent="0.25">
      <c r="A4333" s="90">
        <v>34514</v>
      </c>
      <c r="B4333" s="20">
        <v>0.79166666666666663</v>
      </c>
      <c r="D4333">
        <v>78.080000000000013</v>
      </c>
      <c r="E4333" t="str">
        <f t="shared" si="170"/>
        <v>WEEKDAY</v>
      </c>
      <c r="F4333" t="e">
        <f t="shared" si="171"/>
        <v>#N/A</v>
      </c>
      <c r="G4333" s="74">
        <v>33053</v>
      </c>
      <c r="H4333" s="77">
        <v>0.79166666666666663</v>
      </c>
      <c r="J4333">
        <v>82.94</v>
      </c>
      <c r="M4333" s="74">
        <v>37801</v>
      </c>
      <c r="N4333" s="77">
        <v>0.79166666666666663</v>
      </c>
      <c r="P4333">
        <v>71.599999999999994</v>
      </c>
      <c r="S4333" s="74">
        <v>34514</v>
      </c>
      <c r="T4333" s="77">
        <v>0.79166666666666663</v>
      </c>
      <c r="V4333">
        <v>66.92</v>
      </c>
      <c r="X4333" s="42"/>
      <c r="AB4333">
        <v>75.900000000000006</v>
      </c>
      <c r="AC4333">
        <v>71.06</v>
      </c>
      <c r="AE4333" s="74"/>
      <c r="AF4333" s="77"/>
      <c r="AH4333" s="497">
        <v>69.800000000000011</v>
      </c>
      <c r="AJ4333" s="42"/>
      <c r="AK4333" s="74"/>
      <c r="AL4333" s="77"/>
      <c r="AN4333" s="497">
        <v>75.02</v>
      </c>
      <c r="AP4333" s="42"/>
      <c r="AQ4333" s="74"/>
      <c r="AR4333" s="77"/>
      <c r="AT4333" s="497">
        <v>73.039999999999992</v>
      </c>
      <c r="AV4333" s="42"/>
      <c r="AW4333" s="74"/>
      <c r="AX4333" s="77"/>
      <c r="BA4333" s="497">
        <v>75.02</v>
      </c>
      <c r="BB4333" s="42"/>
      <c r="BC4333" s="74"/>
      <c r="BD4333" s="77"/>
      <c r="BF4333">
        <v>73.94</v>
      </c>
      <c r="BH4333" s="42"/>
      <c r="BI4333" s="74"/>
      <c r="BJ4333" s="77"/>
      <c r="BL4333" s="497">
        <v>64.94</v>
      </c>
      <c r="BN4333" s="42"/>
      <c r="BO4333" s="74"/>
      <c r="BP4333" s="77"/>
      <c r="BR4333" s="497">
        <v>78.080000000000013</v>
      </c>
      <c r="BT4333" s="42"/>
    </row>
    <row r="4334" spans="1:72" x14ac:dyDescent="0.25">
      <c r="A4334" s="90">
        <v>34514</v>
      </c>
      <c r="B4334" s="20">
        <v>0.83333333333333337</v>
      </c>
      <c r="D4334">
        <v>77</v>
      </c>
      <c r="E4334" t="str">
        <f t="shared" si="170"/>
        <v>WEEKDAY</v>
      </c>
      <c r="F4334" t="e">
        <f t="shared" si="171"/>
        <v>#N/A</v>
      </c>
      <c r="G4334" s="74">
        <v>33053</v>
      </c>
      <c r="H4334" s="77">
        <v>0.83333333333333337</v>
      </c>
      <c r="J4334">
        <v>82.94</v>
      </c>
      <c r="M4334" s="74">
        <v>37801</v>
      </c>
      <c r="N4334" s="77">
        <v>0.83333333333333337</v>
      </c>
      <c r="P4334">
        <v>69.800000000000011</v>
      </c>
      <c r="S4334" s="74">
        <v>34514</v>
      </c>
      <c r="T4334" s="77">
        <v>0.83333333333333337</v>
      </c>
      <c r="V4334">
        <v>66.02</v>
      </c>
      <c r="X4334" s="42"/>
      <c r="AB4334">
        <v>74.5</v>
      </c>
      <c r="AC4334">
        <v>69.98</v>
      </c>
      <c r="AE4334" s="74"/>
      <c r="AF4334" s="77"/>
      <c r="AH4334" s="497">
        <v>68</v>
      </c>
      <c r="AJ4334" s="42"/>
      <c r="AK4334" s="74"/>
      <c r="AL4334" s="77"/>
      <c r="AN4334" s="497">
        <v>73.94</v>
      </c>
      <c r="AP4334" s="42"/>
      <c r="AQ4334" s="74"/>
      <c r="AR4334" s="77"/>
      <c r="AT4334" s="497">
        <v>60.980000000000004</v>
      </c>
      <c r="AV4334" s="42"/>
      <c r="AW4334" s="74"/>
      <c r="AX4334" s="77"/>
      <c r="BA4334" s="497">
        <v>72.680000000000007</v>
      </c>
      <c r="BB4334" s="42"/>
      <c r="BC4334" s="74"/>
      <c r="BD4334" s="77"/>
      <c r="BF4334">
        <v>71.960000000000008</v>
      </c>
      <c r="BH4334" s="42"/>
      <c r="BI4334" s="74"/>
      <c r="BJ4334" s="77"/>
      <c r="BL4334" s="497">
        <v>64.94</v>
      </c>
      <c r="BN4334" s="42"/>
      <c r="BO4334" s="74"/>
      <c r="BP4334" s="77"/>
      <c r="BR4334" s="497">
        <v>75.92</v>
      </c>
      <c r="BT4334" s="42"/>
    </row>
    <row r="4335" spans="1:72" x14ac:dyDescent="0.25">
      <c r="A4335" s="90">
        <v>34514</v>
      </c>
      <c r="B4335" s="20">
        <v>0.875</v>
      </c>
      <c r="D4335">
        <v>75.92</v>
      </c>
      <c r="E4335" t="str">
        <f t="shared" si="170"/>
        <v>WEEKDAY</v>
      </c>
      <c r="F4335" t="e">
        <f t="shared" si="171"/>
        <v>#N/A</v>
      </c>
      <c r="G4335" s="74">
        <v>33053</v>
      </c>
      <c r="H4335" s="77">
        <v>0.875</v>
      </c>
      <c r="J4335">
        <v>80.960000000000008</v>
      </c>
      <c r="M4335" s="74">
        <v>37801</v>
      </c>
      <c r="N4335" s="77">
        <v>0.875</v>
      </c>
      <c r="P4335">
        <v>69.800000000000011</v>
      </c>
      <c r="S4335" s="74">
        <v>34514</v>
      </c>
      <c r="T4335" s="77">
        <v>0.875</v>
      </c>
      <c r="V4335">
        <v>66.92</v>
      </c>
      <c r="X4335" s="42"/>
      <c r="AB4335">
        <v>73.400000000000006</v>
      </c>
      <c r="AC4335">
        <v>69.080000000000013</v>
      </c>
      <c r="AE4335" s="74"/>
      <c r="AF4335" s="77"/>
      <c r="AH4335" s="497">
        <v>66.2</v>
      </c>
      <c r="AJ4335" s="42"/>
      <c r="AK4335" s="74"/>
      <c r="AL4335" s="77"/>
      <c r="AN4335" s="497">
        <v>66.92</v>
      </c>
      <c r="AP4335" s="42"/>
      <c r="AQ4335" s="74"/>
      <c r="AR4335" s="77"/>
      <c r="AT4335" s="497">
        <v>60.980000000000004</v>
      </c>
      <c r="AV4335" s="42"/>
      <c r="AW4335" s="74"/>
      <c r="AX4335" s="77"/>
      <c r="BA4335" s="497">
        <v>70.34</v>
      </c>
      <c r="BB4335" s="42"/>
      <c r="BC4335" s="74"/>
      <c r="BD4335" s="77"/>
      <c r="BF4335">
        <v>69.98</v>
      </c>
      <c r="BH4335" s="42"/>
      <c r="BI4335" s="74"/>
      <c r="BJ4335" s="77"/>
      <c r="BL4335" s="497">
        <v>64.94</v>
      </c>
      <c r="BN4335" s="42"/>
      <c r="BO4335" s="74"/>
      <c r="BP4335" s="77"/>
      <c r="BR4335" s="497">
        <v>69.98</v>
      </c>
      <c r="BT4335" s="42"/>
    </row>
    <row r="4336" spans="1:72" x14ac:dyDescent="0.25">
      <c r="A4336" s="90">
        <v>34514</v>
      </c>
      <c r="B4336" s="20">
        <v>0.91666666666666663</v>
      </c>
      <c r="D4336">
        <v>75.92</v>
      </c>
      <c r="E4336" t="str">
        <f t="shared" si="170"/>
        <v>WEEKDAY</v>
      </c>
      <c r="F4336" t="e">
        <f t="shared" si="171"/>
        <v>#N/A</v>
      </c>
      <c r="G4336" s="74">
        <v>33053</v>
      </c>
      <c r="H4336" s="77">
        <v>0.91666666666666663</v>
      </c>
      <c r="J4336">
        <v>71.960000000000008</v>
      </c>
      <c r="M4336" s="74">
        <v>37801</v>
      </c>
      <c r="N4336" s="77">
        <v>0.91666666666666663</v>
      </c>
      <c r="P4336">
        <v>68</v>
      </c>
      <c r="S4336" s="74">
        <v>34514</v>
      </c>
      <c r="T4336" s="77">
        <v>0.91666666666666663</v>
      </c>
      <c r="V4336">
        <v>69.080000000000013</v>
      </c>
      <c r="X4336" s="42"/>
      <c r="AB4336">
        <v>72.7</v>
      </c>
      <c r="AC4336">
        <v>68</v>
      </c>
      <c r="AE4336" s="74"/>
      <c r="AF4336" s="77"/>
      <c r="AH4336" s="497">
        <v>63.14</v>
      </c>
      <c r="AJ4336" s="42"/>
      <c r="AK4336" s="74"/>
      <c r="AL4336" s="77"/>
      <c r="AN4336" s="497">
        <v>64.039999999999992</v>
      </c>
      <c r="AP4336" s="42"/>
      <c r="AQ4336" s="74"/>
      <c r="AR4336" s="77"/>
      <c r="AT4336" s="497">
        <v>57.019999999999996</v>
      </c>
      <c r="AV4336" s="42"/>
      <c r="AW4336" s="74"/>
      <c r="AX4336" s="77"/>
      <c r="BA4336" s="497">
        <v>68</v>
      </c>
      <c r="BB4336" s="42"/>
      <c r="BC4336" s="74"/>
      <c r="BD4336" s="77"/>
      <c r="BF4336">
        <v>68</v>
      </c>
      <c r="BH4336" s="42"/>
      <c r="BI4336" s="74"/>
      <c r="BJ4336" s="77"/>
      <c r="BL4336" s="497">
        <v>64.94</v>
      </c>
      <c r="BN4336" s="42"/>
      <c r="BO4336" s="74"/>
      <c r="BP4336" s="77"/>
      <c r="BR4336" s="497">
        <v>71.960000000000008</v>
      </c>
      <c r="BT4336" s="42"/>
    </row>
    <row r="4337" spans="1:72" x14ac:dyDescent="0.25">
      <c r="A4337" s="90">
        <v>34514</v>
      </c>
      <c r="B4337" s="20">
        <v>0.95833333333333337</v>
      </c>
      <c r="D4337">
        <v>75.02</v>
      </c>
      <c r="E4337" t="str">
        <f t="shared" si="170"/>
        <v>WEEKDAY</v>
      </c>
      <c r="F4337" t="e">
        <f t="shared" si="171"/>
        <v>#N/A</v>
      </c>
      <c r="G4337" s="74">
        <v>33053</v>
      </c>
      <c r="H4337" s="77">
        <v>0.95833333333333337</v>
      </c>
      <c r="J4337">
        <v>73.94</v>
      </c>
      <c r="M4337" s="74">
        <v>37801</v>
      </c>
      <c r="N4337" s="77">
        <v>0.95833333333333337</v>
      </c>
      <c r="P4337">
        <v>66.2</v>
      </c>
      <c r="S4337" s="74">
        <v>34514</v>
      </c>
      <c r="T4337" s="77">
        <v>0.95833333333333337</v>
      </c>
      <c r="V4337">
        <v>68</v>
      </c>
      <c r="X4337" s="42"/>
      <c r="AB4337">
        <v>72.099999999999994</v>
      </c>
      <c r="AC4337">
        <v>68</v>
      </c>
      <c r="AE4337" s="74"/>
      <c r="AF4337" s="77"/>
      <c r="AH4337" s="497">
        <v>60.8</v>
      </c>
      <c r="AJ4337" s="42"/>
      <c r="AK4337" s="74"/>
      <c r="AL4337" s="77"/>
      <c r="AN4337" s="497">
        <v>62.96</v>
      </c>
      <c r="AP4337" s="42"/>
      <c r="AQ4337" s="74"/>
      <c r="AR4337" s="77"/>
      <c r="AT4337" s="497">
        <v>55.94</v>
      </c>
      <c r="AV4337" s="42"/>
      <c r="AW4337" s="74"/>
      <c r="AX4337" s="77"/>
      <c r="BA4337" s="497">
        <v>67.64</v>
      </c>
      <c r="BB4337" s="42"/>
      <c r="BC4337" s="74"/>
      <c r="BD4337" s="77"/>
      <c r="BF4337">
        <v>66.92</v>
      </c>
      <c r="BH4337" s="42"/>
      <c r="BI4337" s="74"/>
      <c r="BJ4337" s="77"/>
      <c r="BL4337" s="497">
        <v>66.02</v>
      </c>
      <c r="BN4337" s="42"/>
      <c r="BO4337" s="74"/>
      <c r="BP4337" s="77"/>
      <c r="BR4337" s="497">
        <v>69.98</v>
      </c>
      <c r="BT4337" s="42"/>
    </row>
    <row r="4338" spans="1:72" x14ac:dyDescent="0.25">
      <c r="A4338" s="90">
        <v>34514</v>
      </c>
      <c r="B4338" s="20">
        <v>1</v>
      </c>
      <c r="D4338">
        <v>73.039999999999992</v>
      </c>
      <c r="E4338" t="str">
        <f t="shared" si="170"/>
        <v>WEEKDAY</v>
      </c>
      <c r="F4338" t="e">
        <f t="shared" si="171"/>
        <v>#N/A</v>
      </c>
      <c r="G4338" s="74">
        <v>33053</v>
      </c>
      <c r="H4338" s="77">
        <v>1</v>
      </c>
      <c r="J4338">
        <v>71.06</v>
      </c>
      <c r="M4338" s="74">
        <v>37801</v>
      </c>
      <c r="N4338" s="80">
        <v>1</v>
      </c>
      <c r="P4338">
        <v>66.2</v>
      </c>
      <c r="S4338" s="74">
        <v>34514</v>
      </c>
      <c r="T4338" s="80">
        <v>1</v>
      </c>
      <c r="V4338">
        <v>68</v>
      </c>
      <c r="X4338" s="42"/>
      <c r="AB4338">
        <v>71.599999999999994</v>
      </c>
      <c r="AC4338">
        <v>68</v>
      </c>
      <c r="AE4338" s="74"/>
      <c r="AF4338" s="80"/>
      <c r="AH4338" s="497">
        <v>59</v>
      </c>
      <c r="AJ4338" s="42"/>
      <c r="AK4338" s="74"/>
      <c r="AL4338" s="80"/>
      <c r="AN4338" s="497">
        <v>62.06</v>
      </c>
      <c r="AP4338" s="42"/>
      <c r="AQ4338" s="74"/>
      <c r="AR4338" s="80"/>
      <c r="AT4338" s="497">
        <v>57.92</v>
      </c>
      <c r="AV4338" s="42"/>
      <c r="AW4338" s="74"/>
      <c r="AX4338" s="80"/>
      <c r="BA4338" s="497">
        <v>67.28</v>
      </c>
      <c r="BB4338" s="42"/>
      <c r="BC4338" s="74"/>
      <c r="BD4338" s="80"/>
      <c r="BF4338">
        <v>66.02</v>
      </c>
      <c r="BH4338" s="42"/>
      <c r="BI4338" s="74"/>
      <c r="BJ4338" s="80"/>
      <c r="BL4338" s="497">
        <v>64.94</v>
      </c>
      <c r="BN4338" s="42"/>
      <c r="BO4338" s="74"/>
      <c r="BP4338" s="80"/>
      <c r="BR4338" s="497">
        <v>73.039999999999992</v>
      </c>
      <c r="BT4338" s="42"/>
    </row>
    <row r="4339" spans="1:72" x14ac:dyDescent="0.25">
      <c r="A4339" s="90">
        <v>34515</v>
      </c>
      <c r="B4339" s="20">
        <v>4.1666666666666664E-2</v>
      </c>
      <c r="D4339">
        <v>71.960000000000008</v>
      </c>
      <c r="E4339" t="str">
        <f t="shared" si="170"/>
        <v>WEEKDAY</v>
      </c>
      <c r="F4339" t="e">
        <f t="shared" si="171"/>
        <v>#N/A</v>
      </c>
      <c r="G4339" s="74">
        <v>33054</v>
      </c>
      <c r="H4339" s="77">
        <v>4.1666666666666664E-2</v>
      </c>
      <c r="J4339">
        <v>73.039999999999992</v>
      </c>
      <c r="M4339" s="74">
        <v>37802</v>
      </c>
      <c r="N4339" s="77">
        <v>4.1666666666666664E-2</v>
      </c>
      <c r="P4339">
        <v>66.2</v>
      </c>
      <c r="S4339" s="74">
        <v>34515</v>
      </c>
      <c r="T4339" s="77">
        <v>4.1666666666666664E-2</v>
      </c>
      <c r="V4339">
        <v>68</v>
      </c>
      <c r="X4339" s="42"/>
      <c r="AB4339">
        <v>71.099999999999994</v>
      </c>
      <c r="AC4339">
        <v>68</v>
      </c>
      <c r="AE4339" s="74"/>
      <c r="AF4339" s="77"/>
      <c r="AH4339" s="497">
        <v>59</v>
      </c>
      <c r="AJ4339" s="42"/>
      <c r="AK4339" s="74"/>
      <c r="AL4339" s="77"/>
      <c r="AN4339" s="497">
        <v>62.06</v>
      </c>
      <c r="AP4339" s="42"/>
      <c r="AQ4339" s="74"/>
      <c r="AR4339" s="77"/>
      <c r="AT4339" s="497">
        <v>57.019999999999996</v>
      </c>
      <c r="AV4339" s="42"/>
      <c r="AW4339" s="74"/>
      <c r="AX4339" s="77"/>
      <c r="BA4339" s="497">
        <v>66.92</v>
      </c>
      <c r="BB4339" s="42"/>
      <c r="BC4339" s="74"/>
      <c r="BD4339" s="77"/>
      <c r="BF4339">
        <v>64.94</v>
      </c>
      <c r="BH4339" s="42"/>
      <c r="BI4339" s="74"/>
      <c r="BJ4339" s="77"/>
      <c r="BL4339" s="497">
        <v>66.92</v>
      </c>
      <c r="BN4339" s="42"/>
      <c r="BO4339" s="74"/>
      <c r="BP4339" s="77"/>
      <c r="BR4339" s="497">
        <v>73.039999999999992</v>
      </c>
      <c r="BT4339" s="42"/>
    </row>
    <row r="4340" spans="1:72" x14ac:dyDescent="0.25">
      <c r="A4340" s="90">
        <v>34515</v>
      </c>
      <c r="B4340" s="20">
        <v>8.3333333333333329E-2</v>
      </c>
      <c r="D4340">
        <v>71.960000000000008</v>
      </c>
      <c r="E4340" t="str">
        <f t="shared" si="170"/>
        <v>WEEKDAY</v>
      </c>
      <c r="F4340" t="e">
        <f t="shared" si="171"/>
        <v>#N/A</v>
      </c>
      <c r="G4340" s="74">
        <v>33054</v>
      </c>
      <c r="H4340" s="77">
        <v>8.3333333333333329E-2</v>
      </c>
      <c r="J4340">
        <v>71.960000000000008</v>
      </c>
      <c r="M4340" s="74">
        <v>37802</v>
      </c>
      <c r="N4340" s="77">
        <v>8.3333333333333329E-2</v>
      </c>
      <c r="P4340">
        <v>66.2</v>
      </c>
      <c r="S4340" s="74">
        <v>34515</v>
      </c>
      <c r="T4340" s="77">
        <v>8.3333333333333329E-2</v>
      </c>
      <c r="V4340">
        <v>71.06</v>
      </c>
      <c r="X4340" s="42"/>
      <c r="AB4340">
        <v>70.5</v>
      </c>
      <c r="AC4340">
        <v>69.080000000000013</v>
      </c>
      <c r="AE4340" s="74"/>
      <c r="AF4340" s="77"/>
      <c r="AH4340" s="497">
        <v>59</v>
      </c>
      <c r="AJ4340" s="42"/>
      <c r="AK4340" s="74"/>
      <c r="AL4340" s="77"/>
      <c r="AN4340" s="497">
        <v>64.039999999999992</v>
      </c>
      <c r="AP4340" s="42"/>
      <c r="AQ4340" s="74"/>
      <c r="AR4340" s="77"/>
      <c r="AT4340" s="497">
        <v>55.040000000000006</v>
      </c>
      <c r="AV4340" s="42"/>
      <c r="AW4340" s="74"/>
      <c r="AX4340" s="77"/>
      <c r="BA4340" s="497">
        <v>66.92</v>
      </c>
      <c r="BB4340" s="42"/>
      <c r="BC4340" s="74"/>
      <c r="BD4340" s="77"/>
      <c r="BF4340">
        <v>62.96</v>
      </c>
      <c r="BH4340" s="42"/>
      <c r="BI4340" s="74"/>
      <c r="BJ4340" s="77"/>
      <c r="BL4340" s="497">
        <v>66.02</v>
      </c>
      <c r="BN4340" s="42"/>
      <c r="BO4340" s="74"/>
      <c r="BP4340" s="77"/>
      <c r="BR4340" s="497">
        <v>71.960000000000008</v>
      </c>
      <c r="BT4340" s="42"/>
    </row>
    <row r="4341" spans="1:72" x14ac:dyDescent="0.25">
      <c r="A4341" s="90">
        <v>34515</v>
      </c>
      <c r="B4341" s="20">
        <v>0.125</v>
      </c>
      <c r="D4341">
        <v>71.960000000000008</v>
      </c>
      <c r="E4341" t="str">
        <f t="shared" si="170"/>
        <v>WEEKDAY</v>
      </c>
      <c r="F4341" t="e">
        <f t="shared" si="171"/>
        <v>#N/A</v>
      </c>
      <c r="G4341" s="74">
        <v>33054</v>
      </c>
      <c r="H4341" s="77">
        <v>0.125</v>
      </c>
      <c r="J4341">
        <v>73.039999999999992</v>
      </c>
      <c r="M4341" s="74">
        <v>37802</v>
      </c>
      <c r="N4341" s="77">
        <v>0.125</v>
      </c>
      <c r="P4341">
        <v>66.2</v>
      </c>
      <c r="S4341" s="74">
        <v>34515</v>
      </c>
      <c r="T4341" s="77">
        <v>0.125</v>
      </c>
      <c r="V4341">
        <v>71.06</v>
      </c>
      <c r="X4341" s="42"/>
      <c r="AB4341">
        <v>70</v>
      </c>
      <c r="AC4341">
        <v>69.080000000000013</v>
      </c>
      <c r="AE4341" s="74"/>
      <c r="AF4341" s="77"/>
      <c r="AH4341" s="497">
        <v>58.1</v>
      </c>
      <c r="AJ4341" s="42"/>
      <c r="AK4341" s="74"/>
      <c r="AL4341" s="77"/>
      <c r="AN4341" s="497">
        <v>62.96</v>
      </c>
      <c r="AP4341" s="42"/>
      <c r="AQ4341" s="74"/>
      <c r="AR4341" s="77"/>
      <c r="AT4341" s="497">
        <v>53.06</v>
      </c>
      <c r="AV4341" s="42"/>
      <c r="AW4341" s="74"/>
      <c r="AX4341" s="77"/>
      <c r="BA4341" s="497">
        <v>66.92</v>
      </c>
      <c r="BB4341" s="42"/>
      <c r="BC4341" s="74"/>
      <c r="BD4341" s="77"/>
      <c r="BF4341">
        <v>62.96</v>
      </c>
      <c r="BH4341" s="42"/>
      <c r="BI4341" s="74"/>
      <c r="BJ4341" s="77"/>
      <c r="BL4341" s="497">
        <v>66.02</v>
      </c>
      <c r="BN4341" s="42"/>
      <c r="BO4341" s="74"/>
      <c r="BP4341" s="77"/>
      <c r="BR4341" s="497">
        <v>69.98</v>
      </c>
      <c r="BT4341" s="42"/>
    </row>
    <row r="4342" spans="1:72" x14ac:dyDescent="0.25">
      <c r="A4342" s="90">
        <v>34515</v>
      </c>
      <c r="B4342" s="20">
        <v>0.16666666666666666</v>
      </c>
      <c r="D4342">
        <v>71.06</v>
      </c>
      <c r="E4342" t="str">
        <f t="shared" si="170"/>
        <v>WEEKDAY</v>
      </c>
      <c r="F4342" t="e">
        <f t="shared" si="171"/>
        <v>#N/A</v>
      </c>
      <c r="G4342" s="74">
        <v>33054</v>
      </c>
      <c r="H4342" s="77">
        <v>0.16666666666666666</v>
      </c>
      <c r="J4342">
        <v>73.94</v>
      </c>
      <c r="M4342" s="74">
        <v>37802</v>
      </c>
      <c r="N4342" s="77">
        <v>0.16666666666666666</v>
      </c>
      <c r="P4342">
        <v>66.2</v>
      </c>
      <c r="S4342" s="74">
        <v>34515</v>
      </c>
      <c r="T4342" s="77">
        <v>0.16666666666666666</v>
      </c>
      <c r="V4342">
        <v>69.98</v>
      </c>
      <c r="X4342" s="42"/>
      <c r="AB4342">
        <v>69.400000000000006</v>
      </c>
      <c r="AC4342">
        <v>68</v>
      </c>
      <c r="AE4342" s="74"/>
      <c r="AF4342" s="77"/>
      <c r="AH4342" s="497">
        <v>57.2</v>
      </c>
      <c r="AJ4342" s="42"/>
      <c r="AK4342" s="74"/>
      <c r="AL4342" s="77"/>
      <c r="AN4342" s="497">
        <v>62.06</v>
      </c>
      <c r="AP4342" s="42"/>
      <c r="AQ4342" s="74"/>
      <c r="AR4342" s="77"/>
      <c r="AT4342" s="497">
        <v>51.980000000000004</v>
      </c>
      <c r="AV4342" s="42"/>
      <c r="AW4342" s="74"/>
      <c r="AX4342" s="77"/>
      <c r="BA4342" s="497">
        <v>66.92</v>
      </c>
      <c r="BB4342" s="42"/>
      <c r="BC4342" s="74"/>
      <c r="BD4342" s="77"/>
      <c r="BF4342">
        <v>62.06</v>
      </c>
      <c r="BH4342" s="42"/>
      <c r="BI4342" s="74"/>
      <c r="BJ4342" s="77"/>
      <c r="BL4342" s="497">
        <v>66.02</v>
      </c>
      <c r="BN4342" s="42"/>
      <c r="BO4342" s="74"/>
      <c r="BP4342" s="77"/>
      <c r="BR4342" s="497">
        <v>66.92</v>
      </c>
      <c r="BT4342" s="42"/>
    </row>
    <row r="4343" spans="1:72" x14ac:dyDescent="0.25">
      <c r="A4343" s="90">
        <v>34515</v>
      </c>
      <c r="B4343" s="20">
        <v>0.20833333333333334</v>
      </c>
      <c r="D4343">
        <v>69.080000000000013</v>
      </c>
      <c r="E4343" t="str">
        <f t="shared" si="170"/>
        <v>WEEKDAY</v>
      </c>
      <c r="F4343" t="e">
        <f t="shared" si="171"/>
        <v>#N/A</v>
      </c>
      <c r="G4343" s="74">
        <v>33054</v>
      </c>
      <c r="H4343" s="77">
        <v>0.20833333333333334</v>
      </c>
      <c r="J4343">
        <v>73.94</v>
      </c>
      <c r="M4343" s="74">
        <v>37802</v>
      </c>
      <c r="N4343" s="77">
        <v>0.20833333333333334</v>
      </c>
      <c r="P4343">
        <v>66.2</v>
      </c>
      <c r="S4343" s="74">
        <v>34515</v>
      </c>
      <c r="T4343" s="77">
        <v>0.20833333333333334</v>
      </c>
      <c r="V4343">
        <v>69.080000000000013</v>
      </c>
      <c r="X4343" s="42"/>
      <c r="AB4343">
        <v>69</v>
      </c>
      <c r="AC4343">
        <v>69.080000000000013</v>
      </c>
      <c r="AE4343" s="74"/>
      <c r="AF4343" s="77"/>
      <c r="AH4343" s="497">
        <v>57.2</v>
      </c>
      <c r="AJ4343" s="42"/>
      <c r="AK4343" s="74"/>
      <c r="AL4343" s="77"/>
      <c r="AN4343" s="497">
        <v>60.980000000000004</v>
      </c>
      <c r="AP4343" s="42"/>
      <c r="AQ4343" s="74"/>
      <c r="AR4343" s="77"/>
      <c r="AT4343" s="497">
        <v>53.06</v>
      </c>
      <c r="AV4343" s="42"/>
      <c r="AW4343" s="74"/>
      <c r="AX4343" s="77"/>
      <c r="BA4343" s="497">
        <v>66.92</v>
      </c>
      <c r="BB4343" s="42"/>
      <c r="BC4343" s="74"/>
      <c r="BD4343" s="77"/>
      <c r="BF4343">
        <v>60.980000000000004</v>
      </c>
      <c r="BH4343" s="42"/>
      <c r="BI4343" s="74"/>
      <c r="BJ4343" s="77"/>
      <c r="BL4343" s="497">
        <v>66.02</v>
      </c>
      <c r="BN4343" s="42"/>
      <c r="BO4343" s="74"/>
      <c r="BP4343" s="77"/>
      <c r="BR4343" s="497">
        <v>68</v>
      </c>
      <c r="BT4343" s="42"/>
    </row>
    <row r="4344" spans="1:72" x14ac:dyDescent="0.25">
      <c r="A4344" s="90">
        <v>34515</v>
      </c>
      <c r="B4344" s="20">
        <v>0.25</v>
      </c>
      <c r="D4344">
        <v>69.080000000000013</v>
      </c>
      <c r="E4344" t="str">
        <f t="shared" si="170"/>
        <v>WEEKDAY</v>
      </c>
      <c r="F4344" t="e">
        <f t="shared" si="171"/>
        <v>#N/A</v>
      </c>
      <c r="G4344" s="74">
        <v>33054</v>
      </c>
      <c r="H4344" s="77">
        <v>0.25</v>
      </c>
      <c r="J4344">
        <v>75.02</v>
      </c>
      <c r="M4344" s="74">
        <v>37802</v>
      </c>
      <c r="N4344" s="77">
        <v>0.25</v>
      </c>
      <c r="P4344">
        <v>68</v>
      </c>
      <c r="S4344" s="74">
        <v>34515</v>
      </c>
      <c r="T4344" s="77">
        <v>0.25</v>
      </c>
      <c r="V4344">
        <v>69.080000000000013</v>
      </c>
      <c r="X4344" s="42"/>
      <c r="AB4344">
        <v>68.900000000000006</v>
      </c>
      <c r="AC4344">
        <v>69.080000000000013</v>
      </c>
      <c r="AE4344" s="74"/>
      <c r="AF4344" s="77"/>
      <c r="AH4344" s="497">
        <v>57.2</v>
      </c>
      <c r="AJ4344" s="42"/>
      <c r="AK4344" s="74"/>
      <c r="AL4344" s="77"/>
      <c r="AN4344" s="497">
        <v>60.980000000000004</v>
      </c>
      <c r="AP4344" s="42"/>
      <c r="AQ4344" s="74"/>
      <c r="AR4344" s="77"/>
      <c r="AT4344" s="497">
        <v>60.08</v>
      </c>
      <c r="AV4344" s="42"/>
      <c r="AW4344" s="74"/>
      <c r="AX4344" s="77"/>
      <c r="BA4344" s="497">
        <v>66.92</v>
      </c>
      <c r="BB4344" s="42"/>
      <c r="BC4344" s="74"/>
      <c r="BD4344" s="77"/>
      <c r="BF4344">
        <v>62.06</v>
      </c>
      <c r="BH4344" s="42"/>
      <c r="BI4344" s="74"/>
      <c r="BJ4344" s="77"/>
      <c r="BL4344" s="497">
        <v>66.92</v>
      </c>
      <c r="BN4344" s="42"/>
      <c r="BO4344" s="74"/>
      <c r="BP4344" s="77"/>
      <c r="BR4344" s="497">
        <v>69.080000000000013</v>
      </c>
      <c r="BT4344" s="42"/>
    </row>
    <row r="4345" spans="1:72" x14ac:dyDescent="0.25">
      <c r="A4345" s="90">
        <v>34515</v>
      </c>
      <c r="B4345" s="20">
        <v>0.29166666666666669</v>
      </c>
      <c r="D4345">
        <v>71.06</v>
      </c>
      <c r="E4345" t="str">
        <f t="shared" si="170"/>
        <v>WEEKDAY</v>
      </c>
      <c r="F4345" t="e">
        <f t="shared" si="171"/>
        <v>#N/A</v>
      </c>
      <c r="G4345" s="74">
        <v>33054</v>
      </c>
      <c r="H4345" s="77">
        <v>0.29166666666666669</v>
      </c>
      <c r="J4345">
        <v>75.92</v>
      </c>
      <c r="M4345" s="74">
        <v>37802</v>
      </c>
      <c r="N4345" s="77">
        <v>0.29166666666666669</v>
      </c>
      <c r="P4345">
        <v>71.599999999999994</v>
      </c>
      <c r="S4345" s="74">
        <v>34515</v>
      </c>
      <c r="T4345" s="77">
        <v>0.29166666666666669</v>
      </c>
      <c r="V4345">
        <v>71.06</v>
      </c>
      <c r="X4345" s="42"/>
      <c r="AB4345">
        <v>70.5</v>
      </c>
      <c r="AC4345">
        <v>69.98</v>
      </c>
      <c r="AE4345" s="74"/>
      <c r="AF4345" s="77"/>
      <c r="AH4345" s="497">
        <v>60.8</v>
      </c>
      <c r="AJ4345" s="42"/>
      <c r="AK4345" s="74"/>
      <c r="AL4345" s="77"/>
      <c r="AN4345" s="497">
        <v>64.039999999999992</v>
      </c>
      <c r="AP4345" s="42"/>
      <c r="AQ4345" s="74"/>
      <c r="AR4345" s="77"/>
      <c r="AT4345" s="497">
        <v>62.96</v>
      </c>
      <c r="AV4345" s="42"/>
      <c r="AW4345" s="74"/>
      <c r="AX4345" s="77"/>
      <c r="BA4345" s="497">
        <v>66.92</v>
      </c>
      <c r="BB4345" s="42"/>
      <c r="BC4345" s="74"/>
      <c r="BD4345" s="77"/>
      <c r="BF4345">
        <v>64.94</v>
      </c>
      <c r="BH4345" s="42"/>
      <c r="BI4345" s="74"/>
      <c r="BJ4345" s="77"/>
      <c r="BL4345" s="497">
        <v>68</v>
      </c>
      <c r="BN4345" s="42"/>
      <c r="BO4345" s="74"/>
      <c r="BP4345" s="77"/>
      <c r="BR4345" s="497">
        <v>69.98</v>
      </c>
      <c r="BT4345" s="42"/>
    </row>
    <row r="4346" spans="1:72" x14ac:dyDescent="0.25">
      <c r="A4346" s="90">
        <v>34515</v>
      </c>
      <c r="B4346" s="20">
        <v>0.33333333333333331</v>
      </c>
      <c r="D4346">
        <v>73.94</v>
      </c>
      <c r="E4346" t="str">
        <f t="shared" si="170"/>
        <v>WEEKDAY</v>
      </c>
      <c r="F4346" t="e">
        <f t="shared" si="171"/>
        <v>#N/A</v>
      </c>
      <c r="G4346" s="74">
        <v>33054</v>
      </c>
      <c r="H4346" s="77">
        <v>0.33333333333333331</v>
      </c>
      <c r="J4346">
        <v>77</v>
      </c>
      <c r="M4346" s="74">
        <v>37802</v>
      </c>
      <c r="N4346" s="77">
        <v>0.33333333333333331</v>
      </c>
      <c r="P4346">
        <v>75.2</v>
      </c>
      <c r="S4346" s="74">
        <v>34515</v>
      </c>
      <c r="T4346" s="77">
        <v>0.33333333333333331</v>
      </c>
      <c r="V4346">
        <v>71.06</v>
      </c>
      <c r="X4346" s="42"/>
      <c r="AB4346">
        <v>72.5</v>
      </c>
      <c r="AC4346">
        <v>71.960000000000008</v>
      </c>
      <c r="AE4346" s="74"/>
      <c r="AF4346" s="77"/>
      <c r="AH4346" s="497">
        <v>66.2</v>
      </c>
      <c r="AJ4346" s="42"/>
      <c r="AK4346" s="74"/>
      <c r="AL4346" s="77"/>
      <c r="AN4346" s="497">
        <v>66.02</v>
      </c>
      <c r="AP4346" s="42"/>
      <c r="AQ4346" s="74"/>
      <c r="AR4346" s="77"/>
      <c r="AT4346" s="497">
        <v>66.02</v>
      </c>
      <c r="AV4346" s="42"/>
      <c r="AW4346" s="74"/>
      <c r="AX4346" s="77"/>
      <c r="BA4346" s="497">
        <v>67.64</v>
      </c>
      <c r="BB4346" s="42"/>
      <c r="BC4346" s="74"/>
      <c r="BD4346" s="77"/>
      <c r="BF4346">
        <v>66.02</v>
      </c>
      <c r="BH4346" s="42"/>
      <c r="BI4346" s="74"/>
      <c r="BJ4346" s="77"/>
      <c r="BL4346" s="497">
        <v>66.92</v>
      </c>
      <c r="BN4346" s="42"/>
      <c r="BO4346" s="74"/>
      <c r="BP4346" s="77"/>
      <c r="BR4346" s="497">
        <v>73.94</v>
      </c>
      <c r="BT4346" s="42"/>
    </row>
    <row r="4347" spans="1:72" x14ac:dyDescent="0.25">
      <c r="A4347" s="90">
        <v>34515</v>
      </c>
      <c r="B4347" s="20">
        <v>0.375</v>
      </c>
      <c r="D4347">
        <v>75.92</v>
      </c>
      <c r="E4347" t="str">
        <f t="shared" si="170"/>
        <v>WEEKDAY</v>
      </c>
      <c r="F4347" t="e">
        <f t="shared" si="171"/>
        <v>#N/A</v>
      </c>
      <c r="G4347" s="74">
        <v>33054</v>
      </c>
      <c r="H4347" s="77">
        <v>0.375</v>
      </c>
      <c r="J4347">
        <v>77</v>
      </c>
      <c r="M4347" s="74">
        <v>37802</v>
      </c>
      <c r="N4347" s="77">
        <v>0.375</v>
      </c>
      <c r="P4347">
        <v>78.800000000000011</v>
      </c>
      <c r="S4347" s="74">
        <v>34515</v>
      </c>
      <c r="T4347" s="77">
        <v>0.375</v>
      </c>
      <c r="V4347">
        <v>69.98</v>
      </c>
      <c r="X4347" s="42"/>
      <c r="AB4347">
        <v>74.5</v>
      </c>
      <c r="AC4347">
        <v>71.960000000000008</v>
      </c>
      <c r="AE4347" s="74"/>
      <c r="AF4347" s="77"/>
      <c r="AH4347" s="497">
        <v>69.800000000000011</v>
      </c>
      <c r="AJ4347" s="42"/>
      <c r="AK4347" s="74"/>
      <c r="AL4347" s="77"/>
      <c r="AN4347" s="497">
        <v>66.92</v>
      </c>
      <c r="AP4347" s="42"/>
      <c r="AQ4347" s="74"/>
      <c r="AR4347" s="77"/>
      <c r="AT4347" s="497">
        <v>68</v>
      </c>
      <c r="AV4347" s="42"/>
      <c r="AW4347" s="74"/>
      <c r="AX4347" s="77"/>
      <c r="BA4347" s="497">
        <v>68.36</v>
      </c>
      <c r="BB4347" s="42"/>
      <c r="BC4347" s="74"/>
      <c r="BD4347" s="77"/>
      <c r="BF4347">
        <v>68</v>
      </c>
      <c r="BH4347" s="42"/>
      <c r="BI4347" s="74"/>
      <c r="BJ4347" s="77"/>
      <c r="BL4347" s="497">
        <v>68</v>
      </c>
      <c r="BN4347" s="42"/>
      <c r="BO4347" s="74"/>
      <c r="BP4347" s="77"/>
      <c r="BR4347" s="497">
        <v>78.080000000000013</v>
      </c>
      <c r="BT4347" s="42"/>
    </row>
    <row r="4348" spans="1:72" x14ac:dyDescent="0.25">
      <c r="A4348" s="90">
        <v>34515</v>
      </c>
      <c r="B4348" s="20">
        <v>0.41666666666666669</v>
      </c>
      <c r="D4348">
        <v>78.080000000000013</v>
      </c>
      <c r="E4348" t="str">
        <f t="shared" si="170"/>
        <v>WEEKDAY</v>
      </c>
      <c r="F4348" t="e">
        <f t="shared" si="171"/>
        <v>#N/A</v>
      </c>
      <c r="G4348" s="74">
        <v>33054</v>
      </c>
      <c r="H4348" s="77">
        <v>0.41666666666666669</v>
      </c>
      <c r="J4348">
        <v>78.080000000000013</v>
      </c>
      <c r="M4348" s="74">
        <v>37802</v>
      </c>
      <c r="N4348" s="77">
        <v>0.41666666666666669</v>
      </c>
      <c r="P4348">
        <v>78.800000000000011</v>
      </c>
      <c r="S4348" s="74">
        <v>34515</v>
      </c>
      <c r="T4348" s="77">
        <v>0.41666666666666669</v>
      </c>
      <c r="V4348">
        <v>71.06</v>
      </c>
      <c r="X4348" s="42"/>
      <c r="AB4348">
        <v>76.400000000000006</v>
      </c>
      <c r="AC4348">
        <v>71.06</v>
      </c>
      <c r="AE4348" s="74"/>
      <c r="AF4348" s="77"/>
      <c r="AH4348" s="497">
        <v>71.599999999999994</v>
      </c>
      <c r="AJ4348" s="42"/>
      <c r="AK4348" s="74"/>
      <c r="AL4348" s="77"/>
      <c r="AN4348" s="497">
        <v>69.080000000000013</v>
      </c>
      <c r="AP4348" s="42"/>
      <c r="AQ4348" s="74"/>
      <c r="AR4348" s="77"/>
      <c r="AT4348" s="497">
        <v>69.98</v>
      </c>
      <c r="AV4348" s="42"/>
      <c r="AW4348" s="74"/>
      <c r="AX4348" s="77"/>
      <c r="BA4348" s="497">
        <v>69.080000000000013</v>
      </c>
      <c r="BB4348" s="42"/>
      <c r="BC4348" s="74"/>
      <c r="BD4348" s="77"/>
      <c r="BF4348">
        <v>69.080000000000013</v>
      </c>
      <c r="BH4348" s="42"/>
      <c r="BI4348" s="74"/>
      <c r="BJ4348" s="77"/>
      <c r="BL4348" s="497">
        <v>69.98</v>
      </c>
      <c r="BN4348" s="42"/>
      <c r="BO4348" s="74"/>
      <c r="BP4348" s="77"/>
      <c r="BR4348" s="497">
        <v>80.960000000000008</v>
      </c>
      <c r="BT4348" s="42"/>
    </row>
    <row r="4349" spans="1:72" x14ac:dyDescent="0.25">
      <c r="A4349" s="90">
        <v>34515</v>
      </c>
      <c r="B4349" s="20">
        <v>0.45833333333333331</v>
      </c>
      <c r="D4349">
        <v>80.06</v>
      </c>
      <c r="E4349" t="str">
        <f t="shared" si="170"/>
        <v>WEEKDAY</v>
      </c>
      <c r="F4349" t="e">
        <f t="shared" si="171"/>
        <v>#N/A</v>
      </c>
      <c r="G4349" s="74">
        <v>33054</v>
      </c>
      <c r="H4349" s="77">
        <v>0.45833333333333331</v>
      </c>
      <c r="J4349">
        <v>80.06</v>
      </c>
      <c r="M4349" s="74">
        <v>37802</v>
      </c>
      <c r="N4349" s="77">
        <v>0.45833333333333331</v>
      </c>
      <c r="P4349">
        <v>79.7</v>
      </c>
      <c r="S4349" s="74">
        <v>34515</v>
      </c>
      <c r="T4349" s="77">
        <v>0.45833333333333331</v>
      </c>
      <c r="V4349">
        <v>71.960000000000008</v>
      </c>
      <c r="X4349" s="42"/>
      <c r="AB4349">
        <v>77.900000000000006</v>
      </c>
      <c r="AC4349">
        <v>73.94</v>
      </c>
      <c r="AE4349" s="74"/>
      <c r="AF4349" s="77"/>
      <c r="AH4349" s="497">
        <v>73.400000000000006</v>
      </c>
      <c r="AJ4349" s="42"/>
      <c r="AK4349" s="74"/>
      <c r="AL4349" s="77"/>
      <c r="AN4349" s="497">
        <v>68</v>
      </c>
      <c r="AP4349" s="42"/>
      <c r="AQ4349" s="74"/>
      <c r="AR4349" s="77"/>
      <c r="AT4349" s="497">
        <v>71.960000000000008</v>
      </c>
      <c r="AV4349" s="42"/>
      <c r="AW4349" s="74"/>
      <c r="AX4349" s="77"/>
      <c r="BA4349" s="497">
        <v>70.34</v>
      </c>
      <c r="BB4349" s="42"/>
      <c r="BC4349" s="74"/>
      <c r="BD4349" s="77"/>
      <c r="BF4349">
        <v>69.98</v>
      </c>
      <c r="BH4349" s="42"/>
      <c r="BI4349" s="74"/>
      <c r="BJ4349" s="77"/>
      <c r="BL4349" s="497">
        <v>73.039999999999992</v>
      </c>
      <c r="BN4349" s="42"/>
      <c r="BO4349" s="74"/>
      <c r="BP4349" s="77"/>
      <c r="BR4349" s="497">
        <v>82.94</v>
      </c>
      <c r="BT4349" s="42"/>
    </row>
    <row r="4350" spans="1:72" x14ac:dyDescent="0.25">
      <c r="A4350" s="90">
        <v>34515</v>
      </c>
      <c r="B4350" s="20">
        <v>0.5</v>
      </c>
      <c r="D4350">
        <v>82.94</v>
      </c>
      <c r="E4350" t="str">
        <f t="shared" si="170"/>
        <v>WEEKDAY</v>
      </c>
      <c r="F4350" t="e">
        <f t="shared" si="171"/>
        <v>#N/A</v>
      </c>
      <c r="G4350" s="74">
        <v>33054</v>
      </c>
      <c r="H4350" s="77">
        <v>0.5</v>
      </c>
      <c r="J4350">
        <v>80.06</v>
      </c>
      <c r="M4350" s="74">
        <v>37802</v>
      </c>
      <c r="N4350" s="77">
        <v>0.5</v>
      </c>
      <c r="P4350">
        <v>80.599999999999994</v>
      </c>
      <c r="S4350" s="74">
        <v>34515</v>
      </c>
      <c r="T4350" s="77">
        <v>0.5</v>
      </c>
      <c r="V4350">
        <v>71.06</v>
      </c>
      <c r="X4350" s="42"/>
      <c r="AB4350">
        <v>79.099999999999994</v>
      </c>
      <c r="AC4350">
        <v>75.02</v>
      </c>
      <c r="AE4350" s="74"/>
      <c r="AF4350" s="77"/>
      <c r="AH4350" s="497">
        <v>74.66</v>
      </c>
      <c r="AJ4350" s="42"/>
      <c r="AK4350" s="74"/>
      <c r="AL4350" s="77"/>
      <c r="AN4350" s="497">
        <v>66.92</v>
      </c>
      <c r="AP4350" s="42"/>
      <c r="AQ4350" s="74"/>
      <c r="AR4350" s="77"/>
      <c r="AT4350" s="497">
        <v>73.94</v>
      </c>
      <c r="AV4350" s="42"/>
      <c r="AW4350" s="74"/>
      <c r="AX4350" s="77"/>
      <c r="BA4350" s="497">
        <v>71.78</v>
      </c>
      <c r="BB4350" s="42"/>
      <c r="BC4350" s="74"/>
      <c r="BD4350" s="77"/>
      <c r="BF4350">
        <v>71.06</v>
      </c>
      <c r="BH4350" s="42"/>
      <c r="BI4350" s="74"/>
      <c r="BJ4350" s="77"/>
      <c r="BL4350" s="497">
        <v>75.02</v>
      </c>
      <c r="BN4350" s="42"/>
      <c r="BO4350" s="74"/>
      <c r="BP4350" s="77"/>
      <c r="BR4350" s="497">
        <v>84.92</v>
      </c>
      <c r="BT4350" s="42"/>
    </row>
    <row r="4351" spans="1:72" x14ac:dyDescent="0.25">
      <c r="A4351" s="90">
        <v>34515</v>
      </c>
      <c r="B4351" s="20">
        <v>0.54166666666666663</v>
      </c>
      <c r="D4351">
        <v>82.94</v>
      </c>
      <c r="E4351" t="str">
        <f t="shared" si="170"/>
        <v>WEEKDAY</v>
      </c>
      <c r="F4351" t="e">
        <f t="shared" si="171"/>
        <v>#N/A</v>
      </c>
      <c r="G4351" s="74">
        <v>33054</v>
      </c>
      <c r="H4351" s="77">
        <v>0.54166666666666663</v>
      </c>
      <c r="J4351">
        <v>82.039999999999992</v>
      </c>
      <c r="M4351" s="74">
        <v>37802</v>
      </c>
      <c r="N4351" s="77">
        <v>0.54166666666666663</v>
      </c>
      <c r="P4351">
        <v>78.800000000000011</v>
      </c>
      <c r="S4351" s="74">
        <v>34515</v>
      </c>
      <c r="T4351" s="77">
        <v>0.54166666666666663</v>
      </c>
      <c r="V4351">
        <v>73.94</v>
      </c>
      <c r="X4351" s="42"/>
      <c r="AB4351">
        <v>79.8</v>
      </c>
      <c r="AC4351">
        <v>73.94</v>
      </c>
      <c r="AE4351" s="74"/>
      <c r="AF4351" s="77"/>
      <c r="AH4351" s="497">
        <v>75.2</v>
      </c>
      <c r="AJ4351" s="42"/>
      <c r="AK4351" s="74"/>
      <c r="AL4351" s="77"/>
      <c r="AN4351" s="497">
        <v>66.02</v>
      </c>
      <c r="AP4351" s="42"/>
      <c r="AQ4351" s="74"/>
      <c r="AR4351" s="77"/>
      <c r="AT4351" s="497">
        <v>75.02</v>
      </c>
      <c r="AV4351" s="42"/>
      <c r="AW4351" s="74"/>
      <c r="AX4351" s="77"/>
      <c r="BA4351" s="497">
        <v>73.039999999999992</v>
      </c>
      <c r="BB4351" s="42"/>
      <c r="BC4351" s="74"/>
      <c r="BD4351" s="77"/>
      <c r="BF4351">
        <v>73.039999999999992</v>
      </c>
      <c r="BH4351" s="42"/>
      <c r="BI4351" s="74"/>
      <c r="BJ4351" s="77"/>
      <c r="BL4351" s="497">
        <v>78.98</v>
      </c>
      <c r="BN4351" s="42"/>
      <c r="BO4351" s="74"/>
      <c r="BP4351" s="77"/>
      <c r="BR4351" s="497">
        <v>82.039999999999992</v>
      </c>
      <c r="BT4351" s="42"/>
    </row>
    <row r="4352" spans="1:72" x14ac:dyDescent="0.25">
      <c r="A4352" s="90">
        <v>34515</v>
      </c>
      <c r="B4352" s="20">
        <v>0.58333333333333337</v>
      </c>
      <c r="D4352">
        <v>84.02</v>
      </c>
      <c r="E4352" t="str">
        <f t="shared" si="170"/>
        <v>WEEKDAY</v>
      </c>
      <c r="F4352" t="e">
        <f t="shared" si="171"/>
        <v>#N/A</v>
      </c>
      <c r="G4352" s="74">
        <v>33054</v>
      </c>
      <c r="H4352" s="77">
        <v>0.58333333333333337</v>
      </c>
      <c r="J4352">
        <v>84.92</v>
      </c>
      <c r="M4352" s="74">
        <v>37802</v>
      </c>
      <c r="N4352" s="77">
        <v>0.58333333333333337</v>
      </c>
      <c r="P4352">
        <v>75.2</v>
      </c>
      <c r="S4352" s="74">
        <v>34515</v>
      </c>
      <c r="T4352" s="77">
        <v>0.58333333333333337</v>
      </c>
      <c r="V4352">
        <v>73.039999999999992</v>
      </c>
      <c r="X4352" s="42"/>
      <c r="AB4352">
        <v>80.3</v>
      </c>
      <c r="AC4352">
        <v>77</v>
      </c>
      <c r="AE4352" s="74"/>
      <c r="AF4352" s="77"/>
      <c r="AH4352" s="497">
        <v>77</v>
      </c>
      <c r="AJ4352" s="42"/>
      <c r="AK4352" s="74"/>
      <c r="AL4352" s="77"/>
      <c r="AN4352" s="497">
        <v>68</v>
      </c>
      <c r="AP4352" s="42"/>
      <c r="AQ4352" s="74"/>
      <c r="AR4352" s="77"/>
      <c r="AT4352" s="497">
        <v>75.92</v>
      </c>
      <c r="AV4352" s="42"/>
      <c r="AW4352" s="74"/>
      <c r="AX4352" s="77"/>
      <c r="BA4352" s="497">
        <v>75.02</v>
      </c>
      <c r="BB4352" s="42"/>
      <c r="BC4352" s="74"/>
      <c r="BD4352" s="77"/>
      <c r="BF4352">
        <v>73.94</v>
      </c>
      <c r="BH4352" s="42"/>
      <c r="BI4352" s="74"/>
      <c r="BJ4352" s="77"/>
      <c r="BL4352" s="497">
        <v>80.960000000000008</v>
      </c>
      <c r="BN4352" s="42"/>
      <c r="BO4352" s="74"/>
      <c r="BP4352" s="77"/>
      <c r="BR4352" s="497">
        <v>80.960000000000008</v>
      </c>
      <c r="BT4352" s="42"/>
    </row>
    <row r="4353" spans="1:72" x14ac:dyDescent="0.25">
      <c r="A4353" s="90">
        <v>34515</v>
      </c>
      <c r="B4353" s="20">
        <v>0.625</v>
      </c>
      <c r="D4353">
        <v>82.94</v>
      </c>
      <c r="E4353" t="str">
        <f t="shared" si="170"/>
        <v>WEEKDAY</v>
      </c>
      <c r="F4353" t="e">
        <f t="shared" si="171"/>
        <v>#N/A</v>
      </c>
      <c r="G4353" s="74">
        <v>33054</v>
      </c>
      <c r="H4353" s="77">
        <v>0.625</v>
      </c>
      <c r="J4353">
        <v>82.94</v>
      </c>
      <c r="M4353" s="74">
        <v>37802</v>
      </c>
      <c r="N4353" s="77">
        <v>0.625</v>
      </c>
      <c r="P4353">
        <v>75.2</v>
      </c>
      <c r="S4353" s="74">
        <v>34515</v>
      </c>
      <c r="T4353" s="77">
        <v>0.625</v>
      </c>
      <c r="V4353">
        <v>73.039999999999992</v>
      </c>
      <c r="X4353" s="42"/>
      <c r="AB4353">
        <v>80.3</v>
      </c>
      <c r="AC4353">
        <v>73.94</v>
      </c>
      <c r="AE4353" s="74"/>
      <c r="AF4353" s="77"/>
      <c r="AH4353" s="497">
        <v>77</v>
      </c>
      <c r="AJ4353" s="42"/>
      <c r="AK4353" s="74"/>
      <c r="AL4353" s="77"/>
      <c r="AN4353" s="497">
        <v>69.080000000000013</v>
      </c>
      <c r="AP4353" s="42"/>
      <c r="AQ4353" s="74"/>
      <c r="AR4353" s="77"/>
      <c r="AT4353" s="497">
        <v>73.039999999999992</v>
      </c>
      <c r="AV4353" s="42"/>
      <c r="AW4353" s="74"/>
      <c r="AX4353" s="77"/>
      <c r="BA4353" s="497">
        <v>77</v>
      </c>
      <c r="BB4353" s="42"/>
      <c r="BC4353" s="74"/>
      <c r="BD4353" s="77"/>
      <c r="BF4353">
        <v>75.92</v>
      </c>
      <c r="BH4353" s="42"/>
      <c r="BI4353" s="74"/>
      <c r="BJ4353" s="77"/>
      <c r="BL4353" s="497">
        <v>80.06</v>
      </c>
      <c r="BN4353" s="42"/>
      <c r="BO4353" s="74"/>
      <c r="BP4353" s="77"/>
      <c r="BR4353" s="497">
        <v>80.960000000000008</v>
      </c>
      <c r="BT4353" s="42"/>
    </row>
    <row r="4354" spans="1:72" x14ac:dyDescent="0.25">
      <c r="A4354" s="90">
        <v>34515</v>
      </c>
      <c r="B4354" s="20">
        <v>0.66666666666666663</v>
      </c>
      <c r="D4354">
        <v>82.039999999999992</v>
      </c>
      <c r="E4354" t="str">
        <f t="shared" si="170"/>
        <v>WEEKDAY</v>
      </c>
      <c r="F4354" t="e">
        <f t="shared" si="171"/>
        <v>#N/A</v>
      </c>
      <c r="G4354" s="74">
        <v>33054</v>
      </c>
      <c r="H4354" s="77">
        <v>0.66666666666666663</v>
      </c>
      <c r="J4354">
        <v>84.92</v>
      </c>
      <c r="M4354" s="74">
        <v>37802</v>
      </c>
      <c r="N4354" s="77">
        <v>0.66666666666666663</v>
      </c>
      <c r="P4354">
        <v>75.2</v>
      </c>
      <c r="S4354" s="74">
        <v>34515</v>
      </c>
      <c r="T4354" s="77">
        <v>0.66666666666666663</v>
      </c>
      <c r="V4354">
        <v>71.06</v>
      </c>
      <c r="X4354" s="42"/>
      <c r="AB4354">
        <v>79.7</v>
      </c>
      <c r="AC4354">
        <v>73.94</v>
      </c>
      <c r="AE4354" s="74"/>
      <c r="AF4354" s="77"/>
      <c r="AH4354" s="497">
        <v>77</v>
      </c>
      <c r="AJ4354" s="42"/>
      <c r="AK4354" s="74"/>
      <c r="AL4354" s="77"/>
      <c r="AN4354" s="497">
        <v>68</v>
      </c>
      <c r="AP4354" s="42"/>
      <c r="AQ4354" s="74"/>
      <c r="AR4354" s="77"/>
      <c r="AT4354" s="497">
        <v>77</v>
      </c>
      <c r="AV4354" s="42"/>
      <c r="AW4354" s="74"/>
      <c r="AX4354" s="77"/>
      <c r="BA4354" s="497">
        <v>78.98</v>
      </c>
      <c r="BB4354" s="42"/>
      <c r="BC4354" s="74"/>
      <c r="BD4354" s="77"/>
      <c r="BF4354">
        <v>75.92</v>
      </c>
      <c r="BH4354" s="42"/>
      <c r="BI4354" s="74"/>
      <c r="BJ4354" s="77"/>
      <c r="BL4354" s="497">
        <v>80.06</v>
      </c>
      <c r="BN4354" s="42"/>
      <c r="BO4354" s="74"/>
      <c r="BP4354" s="77"/>
      <c r="BR4354" s="497">
        <v>80.960000000000008</v>
      </c>
      <c r="BT4354" s="42"/>
    </row>
    <row r="4355" spans="1:72" x14ac:dyDescent="0.25">
      <c r="A4355" s="90">
        <v>34515</v>
      </c>
      <c r="B4355" s="20">
        <v>0.70833333333333337</v>
      </c>
      <c r="D4355">
        <v>84.92</v>
      </c>
      <c r="E4355" t="str">
        <f t="shared" si="170"/>
        <v>WEEKDAY</v>
      </c>
      <c r="F4355" t="e">
        <f t="shared" si="171"/>
        <v>#N/A</v>
      </c>
      <c r="G4355" s="74">
        <v>33054</v>
      </c>
      <c r="H4355" s="77">
        <v>0.70833333333333337</v>
      </c>
      <c r="J4355">
        <v>84.92</v>
      </c>
      <c r="M4355" s="74">
        <v>37802</v>
      </c>
      <c r="N4355" s="77">
        <v>0.70833333333333337</v>
      </c>
      <c r="P4355">
        <v>75.2</v>
      </c>
      <c r="S4355" s="74">
        <v>34515</v>
      </c>
      <c r="T4355" s="77">
        <v>0.70833333333333337</v>
      </c>
      <c r="V4355">
        <v>69.080000000000013</v>
      </c>
      <c r="X4355" s="42"/>
      <c r="AB4355">
        <v>78.8</v>
      </c>
      <c r="AC4355">
        <v>73.039999999999992</v>
      </c>
      <c r="AE4355" s="74"/>
      <c r="AF4355" s="77"/>
      <c r="AH4355" s="497">
        <v>77</v>
      </c>
      <c r="AJ4355" s="42"/>
      <c r="AK4355" s="74"/>
      <c r="AL4355" s="77"/>
      <c r="AN4355" s="497">
        <v>69.98</v>
      </c>
      <c r="AP4355" s="42"/>
      <c r="AQ4355" s="74"/>
      <c r="AR4355" s="77"/>
      <c r="AT4355" s="497">
        <v>75.02</v>
      </c>
      <c r="AV4355" s="42"/>
      <c r="AW4355" s="74"/>
      <c r="AX4355" s="77"/>
      <c r="BA4355" s="497">
        <v>77.900000000000006</v>
      </c>
      <c r="BB4355" s="42"/>
      <c r="BC4355" s="74"/>
      <c r="BD4355" s="77"/>
      <c r="BF4355">
        <v>75.02</v>
      </c>
      <c r="BH4355" s="42"/>
      <c r="BI4355" s="74"/>
      <c r="BJ4355" s="77"/>
      <c r="BL4355" s="497">
        <v>80.06</v>
      </c>
      <c r="BN4355" s="42"/>
      <c r="BO4355" s="74"/>
      <c r="BP4355" s="77"/>
      <c r="BR4355" s="497">
        <v>75.02</v>
      </c>
      <c r="BT4355" s="42"/>
    </row>
    <row r="4356" spans="1:72" x14ac:dyDescent="0.25">
      <c r="A4356" s="90">
        <v>34515</v>
      </c>
      <c r="B4356" s="20">
        <v>0.75</v>
      </c>
      <c r="D4356">
        <v>82.94</v>
      </c>
      <c r="E4356" t="str">
        <f t="shared" si="170"/>
        <v>WEEKDAY</v>
      </c>
      <c r="F4356" t="e">
        <f t="shared" si="171"/>
        <v>#N/A</v>
      </c>
      <c r="G4356" s="74">
        <v>33054</v>
      </c>
      <c r="H4356" s="77">
        <v>0.75</v>
      </c>
      <c r="J4356">
        <v>86</v>
      </c>
      <c r="M4356" s="74">
        <v>37802</v>
      </c>
      <c r="N4356" s="77">
        <v>0.75</v>
      </c>
      <c r="P4356">
        <v>73.400000000000006</v>
      </c>
      <c r="S4356" s="74">
        <v>34515</v>
      </c>
      <c r="T4356" s="77">
        <v>0.75</v>
      </c>
      <c r="V4356">
        <v>68</v>
      </c>
      <c r="X4356" s="42"/>
      <c r="AB4356">
        <v>77.599999999999994</v>
      </c>
      <c r="AC4356">
        <v>71.06</v>
      </c>
      <c r="AE4356" s="74"/>
      <c r="AF4356" s="77"/>
      <c r="AH4356" s="497">
        <v>73.400000000000006</v>
      </c>
      <c r="AJ4356" s="42"/>
      <c r="AK4356" s="74"/>
      <c r="AL4356" s="77"/>
      <c r="AN4356" s="497">
        <v>68</v>
      </c>
      <c r="AP4356" s="42"/>
      <c r="AQ4356" s="74"/>
      <c r="AR4356" s="77"/>
      <c r="AT4356" s="497">
        <v>71.06</v>
      </c>
      <c r="AV4356" s="42"/>
      <c r="AW4356" s="74"/>
      <c r="AX4356" s="77"/>
      <c r="BA4356" s="497">
        <v>77</v>
      </c>
      <c r="BB4356" s="42"/>
      <c r="BC4356" s="74"/>
      <c r="BD4356" s="77"/>
      <c r="BF4356">
        <v>73.94</v>
      </c>
      <c r="BH4356" s="42"/>
      <c r="BI4356" s="74"/>
      <c r="BJ4356" s="77"/>
      <c r="BL4356" s="497">
        <v>71.06</v>
      </c>
      <c r="BN4356" s="42"/>
      <c r="BO4356" s="74"/>
      <c r="BP4356" s="77"/>
      <c r="BR4356" s="497">
        <v>71.960000000000008</v>
      </c>
      <c r="BT4356" s="42"/>
    </row>
    <row r="4357" spans="1:72" x14ac:dyDescent="0.25">
      <c r="A4357" s="90">
        <v>34515</v>
      </c>
      <c r="B4357" s="20">
        <v>0.79166666666666663</v>
      </c>
      <c r="D4357">
        <v>78.98</v>
      </c>
      <c r="E4357" t="str">
        <f t="shared" si="170"/>
        <v>WEEKDAY</v>
      </c>
      <c r="F4357" t="e">
        <f t="shared" si="171"/>
        <v>#N/A</v>
      </c>
      <c r="G4357" s="74">
        <v>33054</v>
      </c>
      <c r="H4357" s="77">
        <v>0.79166666666666663</v>
      </c>
      <c r="J4357">
        <v>80.960000000000008</v>
      </c>
      <c r="M4357" s="74">
        <v>37802</v>
      </c>
      <c r="N4357" s="77">
        <v>0.79166666666666663</v>
      </c>
      <c r="P4357">
        <v>71.599999999999994</v>
      </c>
      <c r="S4357" s="74">
        <v>34515</v>
      </c>
      <c r="T4357" s="77">
        <v>0.79166666666666663</v>
      </c>
      <c r="V4357">
        <v>66.92</v>
      </c>
      <c r="X4357" s="42"/>
      <c r="AB4357">
        <v>76.099999999999994</v>
      </c>
      <c r="AC4357">
        <v>69.080000000000013</v>
      </c>
      <c r="AE4357" s="74"/>
      <c r="AF4357" s="77"/>
      <c r="AH4357" s="497">
        <v>71.599999999999994</v>
      </c>
      <c r="AJ4357" s="42"/>
      <c r="AK4357" s="74"/>
      <c r="AL4357" s="77"/>
      <c r="AN4357" s="497">
        <v>66.92</v>
      </c>
      <c r="AP4357" s="42"/>
      <c r="AQ4357" s="74"/>
      <c r="AR4357" s="77"/>
      <c r="AT4357" s="497">
        <v>69.98</v>
      </c>
      <c r="AV4357" s="42"/>
      <c r="AW4357" s="74"/>
      <c r="AX4357" s="77"/>
      <c r="BA4357" s="497">
        <v>75.92</v>
      </c>
      <c r="BB4357" s="42"/>
      <c r="BC4357" s="74"/>
      <c r="BD4357" s="77"/>
      <c r="BF4357">
        <v>71.960000000000008</v>
      </c>
      <c r="BH4357" s="42"/>
      <c r="BI4357" s="74"/>
      <c r="BJ4357" s="77"/>
      <c r="BL4357" s="497">
        <v>69.98</v>
      </c>
      <c r="BN4357" s="42"/>
      <c r="BO4357" s="74"/>
      <c r="BP4357" s="77"/>
      <c r="BR4357" s="497">
        <v>71.06</v>
      </c>
      <c r="BT4357" s="42"/>
    </row>
    <row r="4358" spans="1:72" x14ac:dyDescent="0.25">
      <c r="A4358" s="90">
        <v>34515</v>
      </c>
      <c r="B4358" s="20">
        <v>0.83333333333333337</v>
      </c>
      <c r="D4358">
        <v>78.080000000000013</v>
      </c>
      <c r="E4358" t="str">
        <f t="shared" si="170"/>
        <v>WEEKDAY</v>
      </c>
      <c r="F4358" t="e">
        <f t="shared" si="171"/>
        <v>#N/A</v>
      </c>
      <c r="G4358" s="74">
        <v>33054</v>
      </c>
      <c r="H4358" s="77">
        <v>0.83333333333333337</v>
      </c>
      <c r="J4358">
        <v>78.98</v>
      </c>
      <c r="M4358" s="74">
        <v>37802</v>
      </c>
      <c r="N4358" s="77">
        <v>0.83333333333333337</v>
      </c>
      <c r="P4358">
        <v>69.800000000000011</v>
      </c>
      <c r="S4358" s="74">
        <v>34515</v>
      </c>
      <c r="T4358" s="77">
        <v>0.83333333333333337</v>
      </c>
      <c r="V4358">
        <v>69.080000000000013</v>
      </c>
      <c r="X4358" s="42"/>
      <c r="AB4358">
        <v>74.7</v>
      </c>
      <c r="AC4358">
        <v>68</v>
      </c>
      <c r="AE4358" s="74"/>
      <c r="AF4358" s="77"/>
      <c r="AH4358" s="497">
        <v>64.400000000000006</v>
      </c>
      <c r="AJ4358" s="42"/>
      <c r="AK4358" s="74"/>
      <c r="AL4358" s="77"/>
      <c r="AN4358" s="497">
        <v>66.02</v>
      </c>
      <c r="AP4358" s="42"/>
      <c r="AQ4358" s="74"/>
      <c r="AR4358" s="77"/>
      <c r="AT4358" s="497">
        <v>68</v>
      </c>
      <c r="AV4358" s="42"/>
      <c r="AW4358" s="74"/>
      <c r="AX4358" s="77"/>
      <c r="BA4358" s="497">
        <v>74.300000000000011</v>
      </c>
      <c r="BB4358" s="42"/>
      <c r="BC4358" s="74"/>
      <c r="BD4358" s="77"/>
      <c r="BF4358">
        <v>68</v>
      </c>
      <c r="BH4358" s="42"/>
      <c r="BI4358" s="74"/>
      <c r="BJ4358" s="77"/>
      <c r="BL4358" s="497">
        <v>69.080000000000013</v>
      </c>
      <c r="BN4358" s="42"/>
      <c r="BO4358" s="74"/>
      <c r="BP4358" s="77"/>
      <c r="BR4358" s="497">
        <v>69.98</v>
      </c>
      <c r="BT4358" s="42"/>
    </row>
    <row r="4359" spans="1:72" x14ac:dyDescent="0.25">
      <c r="A4359" s="90">
        <v>34515</v>
      </c>
      <c r="B4359" s="20">
        <v>0.875</v>
      </c>
      <c r="D4359">
        <v>78.98</v>
      </c>
      <c r="E4359" t="str">
        <f t="shared" si="170"/>
        <v>WEEKDAY</v>
      </c>
      <c r="F4359" t="e">
        <f t="shared" si="171"/>
        <v>#N/A</v>
      </c>
      <c r="G4359" s="74">
        <v>33054</v>
      </c>
      <c r="H4359" s="77">
        <v>0.875</v>
      </c>
      <c r="J4359">
        <v>73.94</v>
      </c>
      <c r="M4359" s="74">
        <v>37802</v>
      </c>
      <c r="N4359" s="77">
        <v>0.875</v>
      </c>
      <c r="P4359">
        <v>69.800000000000011</v>
      </c>
      <c r="S4359" s="74">
        <v>34515</v>
      </c>
      <c r="T4359" s="77">
        <v>0.875</v>
      </c>
      <c r="V4359">
        <v>68</v>
      </c>
      <c r="X4359" s="42"/>
      <c r="AB4359">
        <v>73.599999999999994</v>
      </c>
      <c r="AC4359">
        <v>68</v>
      </c>
      <c r="AE4359" s="74"/>
      <c r="AF4359" s="77"/>
      <c r="AH4359" s="497">
        <v>60.8</v>
      </c>
      <c r="AJ4359" s="42"/>
      <c r="AK4359" s="74"/>
      <c r="AL4359" s="77"/>
      <c r="AN4359" s="497">
        <v>64.94</v>
      </c>
      <c r="AP4359" s="42"/>
      <c r="AQ4359" s="74"/>
      <c r="AR4359" s="77"/>
      <c r="AT4359" s="497">
        <v>64.94</v>
      </c>
      <c r="AV4359" s="42"/>
      <c r="AW4359" s="74"/>
      <c r="AX4359" s="77"/>
      <c r="BA4359" s="497">
        <v>72.680000000000007</v>
      </c>
      <c r="BB4359" s="42"/>
      <c r="BC4359" s="74"/>
      <c r="BD4359" s="77"/>
      <c r="BF4359">
        <v>64.94</v>
      </c>
      <c r="BH4359" s="42"/>
      <c r="BI4359" s="74"/>
      <c r="BJ4359" s="77"/>
      <c r="BL4359" s="497">
        <v>68</v>
      </c>
      <c r="BN4359" s="42"/>
      <c r="BO4359" s="74"/>
      <c r="BP4359" s="77"/>
      <c r="BR4359" s="497">
        <v>69.98</v>
      </c>
      <c r="BT4359" s="42"/>
    </row>
    <row r="4360" spans="1:72" x14ac:dyDescent="0.25">
      <c r="A4360" s="90">
        <v>34515</v>
      </c>
      <c r="B4360" s="20">
        <v>0.91666666666666663</v>
      </c>
      <c r="D4360">
        <v>77.539999999999992</v>
      </c>
      <c r="E4360" t="str">
        <f t="shared" si="170"/>
        <v>WEEKDAY</v>
      </c>
      <c r="F4360" t="e">
        <f t="shared" si="171"/>
        <v>#N/A</v>
      </c>
      <c r="G4360" s="74">
        <v>33054</v>
      </c>
      <c r="H4360" s="77">
        <v>0.91666666666666663</v>
      </c>
      <c r="J4360">
        <v>73.94</v>
      </c>
      <c r="M4360" s="74">
        <v>37802</v>
      </c>
      <c r="N4360" s="77">
        <v>0.91666666666666663</v>
      </c>
      <c r="P4360">
        <v>68.36</v>
      </c>
      <c r="S4360" s="74">
        <v>34515</v>
      </c>
      <c r="T4360" s="77">
        <v>0.91666666666666663</v>
      </c>
      <c r="V4360">
        <v>68</v>
      </c>
      <c r="X4360" s="42"/>
      <c r="AB4360">
        <v>72.900000000000006</v>
      </c>
      <c r="AC4360">
        <v>67.64</v>
      </c>
      <c r="AE4360" s="74"/>
      <c r="AF4360" s="77"/>
      <c r="AH4360" s="497">
        <v>61.34</v>
      </c>
      <c r="AJ4360" s="42"/>
      <c r="AK4360" s="74"/>
      <c r="AL4360" s="77"/>
      <c r="AN4360" s="497">
        <v>63.319999999999993</v>
      </c>
      <c r="AP4360" s="42"/>
      <c r="AQ4360" s="74"/>
      <c r="AR4360" s="77"/>
      <c r="AT4360" s="497">
        <v>66.02</v>
      </c>
      <c r="AV4360" s="42"/>
      <c r="AW4360" s="74"/>
      <c r="AX4360" s="77"/>
      <c r="BA4360" s="497">
        <v>70.7</v>
      </c>
      <c r="BB4360" s="42"/>
      <c r="BC4360" s="74"/>
      <c r="BD4360" s="77"/>
      <c r="BF4360">
        <v>64.039999999999992</v>
      </c>
      <c r="BH4360" s="42"/>
      <c r="BI4360" s="74"/>
      <c r="BJ4360" s="77"/>
      <c r="BL4360" s="497">
        <v>67.64</v>
      </c>
      <c r="BN4360" s="42"/>
      <c r="BO4360" s="74"/>
      <c r="BP4360" s="77"/>
      <c r="BR4360" s="497">
        <v>68.180000000000007</v>
      </c>
      <c r="BT4360" s="42"/>
    </row>
    <row r="4361" spans="1:72" x14ac:dyDescent="0.25">
      <c r="A4361" s="90">
        <v>34515</v>
      </c>
      <c r="B4361" s="20">
        <v>0.95833333333333337</v>
      </c>
      <c r="D4361">
        <v>76.099999999999994</v>
      </c>
      <c r="E4361" t="str">
        <f t="shared" si="170"/>
        <v>WEEKDAY</v>
      </c>
      <c r="F4361" t="e">
        <f t="shared" si="171"/>
        <v>#N/A</v>
      </c>
      <c r="G4361" s="74">
        <v>33054</v>
      </c>
      <c r="H4361" s="77">
        <v>0.95833333333333337</v>
      </c>
      <c r="J4361">
        <v>73.94</v>
      </c>
      <c r="M4361" s="74">
        <v>37802</v>
      </c>
      <c r="N4361" s="77">
        <v>0.95833333333333337</v>
      </c>
      <c r="P4361">
        <v>66.740000000000009</v>
      </c>
      <c r="S4361" s="74">
        <v>34515</v>
      </c>
      <c r="T4361" s="77">
        <v>0.95833333333333337</v>
      </c>
      <c r="V4361">
        <v>68</v>
      </c>
      <c r="X4361" s="42"/>
      <c r="AB4361">
        <v>72.400000000000006</v>
      </c>
      <c r="AC4361">
        <v>67.460000000000008</v>
      </c>
      <c r="AE4361" s="74"/>
      <c r="AF4361" s="77"/>
      <c r="AH4361" s="497">
        <v>61.88</v>
      </c>
      <c r="AJ4361" s="42"/>
      <c r="AK4361" s="74"/>
      <c r="AL4361" s="77"/>
      <c r="AN4361" s="497">
        <v>61.88</v>
      </c>
      <c r="AP4361" s="42"/>
      <c r="AQ4361" s="74"/>
      <c r="AR4361" s="77"/>
      <c r="AT4361" s="497">
        <v>67.28</v>
      </c>
      <c r="AV4361" s="42"/>
      <c r="AW4361" s="74"/>
      <c r="AX4361" s="77"/>
      <c r="BA4361" s="497">
        <v>68.72</v>
      </c>
      <c r="BB4361" s="42"/>
      <c r="BC4361" s="74"/>
      <c r="BD4361" s="77"/>
      <c r="BF4361">
        <v>63.319999999999993</v>
      </c>
      <c r="BH4361" s="42"/>
      <c r="BI4361" s="74"/>
      <c r="BJ4361" s="77"/>
      <c r="BL4361" s="497">
        <v>67.099999999999994</v>
      </c>
      <c r="BN4361" s="42"/>
      <c r="BO4361" s="74"/>
      <c r="BP4361" s="77"/>
      <c r="BR4361" s="497">
        <v>66.56</v>
      </c>
      <c r="BT4361" s="42"/>
    </row>
    <row r="4362" spans="1:72" x14ac:dyDescent="0.25">
      <c r="A4362" s="90">
        <v>34515</v>
      </c>
      <c r="B4362" s="20">
        <v>1</v>
      </c>
      <c r="D4362">
        <v>74.66</v>
      </c>
      <c r="E4362" t="str">
        <f t="shared" si="170"/>
        <v>WEEKDAY</v>
      </c>
      <c r="F4362" t="e">
        <f t="shared" si="171"/>
        <v>#N/A</v>
      </c>
      <c r="G4362" s="74">
        <v>33054</v>
      </c>
      <c r="H4362" s="77">
        <v>1</v>
      </c>
      <c r="J4362">
        <v>73.94</v>
      </c>
      <c r="M4362" s="74">
        <v>37802</v>
      </c>
      <c r="N4362" s="80">
        <v>1</v>
      </c>
      <c r="P4362">
        <v>65.300000000000011</v>
      </c>
      <c r="S4362" s="74">
        <v>34515</v>
      </c>
      <c r="T4362" s="80">
        <v>1</v>
      </c>
      <c r="V4362">
        <v>68</v>
      </c>
      <c r="X4362" s="42"/>
      <c r="AB4362">
        <v>71.900000000000006</v>
      </c>
      <c r="AC4362">
        <v>67.099999999999994</v>
      </c>
      <c r="AE4362" s="74"/>
      <c r="AF4362" s="80"/>
      <c r="AH4362" s="497">
        <v>62.42</v>
      </c>
      <c r="AJ4362" s="42"/>
      <c r="AK4362" s="74"/>
      <c r="AL4362" s="80"/>
      <c r="AN4362" s="497">
        <v>60.26</v>
      </c>
      <c r="AP4362" s="42"/>
      <c r="AQ4362" s="74"/>
      <c r="AR4362" s="80"/>
      <c r="AT4362" s="497">
        <v>68.36</v>
      </c>
      <c r="AV4362" s="42"/>
      <c r="AW4362" s="74"/>
      <c r="AX4362" s="80"/>
      <c r="BA4362" s="497">
        <v>66.740000000000009</v>
      </c>
      <c r="BB4362" s="42"/>
      <c r="BC4362" s="74"/>
      <c r="BD4362" s="80"/>
      <c r="BF4362">
        <v>62.42</v>
      </c>
      <c r="BH4362" s="42"/>
      <c r="BI4362" s="74"/>
      <c r="BJ4362" s="80"/>
      <c r="BL4362" s="497">
        <v>66.740000000000009</v>
      </c>
      <c r="BN4362" s="42"/>
      <c r="BO4362" s="74"/>
      <c r="BP4362" s="80"/>
      <c r="BR4362" s="497">
        <v>64.759999999999991</v>
      </c>
      <c r="BT4362" s="42"/>
    </row>
    <row r="4363" spans="1:72" x14ac:dyDescent="0.25">
      <c r="A4363" s="90">
        <v>34516</v>
      </c>
      <c r="B4363" s="20">
        <v>4.1666666666666664E-2</v>
      </c>
      <c r="D4363">
        <v>73.400000000000006</v>
      </c>
      <c r="E4363" t="str">
        <f t="shared" si="170"/>
        <v>WEEKDAY</v>
      </c>
      <c r="F4363" t="e">
        <f t="shared" si="171"/>
        <v>#N/A</v>
      </c>
      <c r="G4363" s="74">
        <v>31959</v>
      </c>
      <c r="H4363" s="77">
        <v>4.1666666666666664E-2</v>
      </c>
      <c r="J4363">
        <v>73.94</v>
      </c>
      <c r="M4363" s="74">
        <v>33420</v>
      </c>
      <c r="N4363" s="77">
        <v>4.1666666666666664E-2</v>
      </c>
      <c r="P4363">
        <v>63.86</v>
      </c>
      <c r="S4363" s="74">
        <v>34516</v>
      </c>
      <c r="T4363" s="77">
        <v>4.1666666666666664E-2</v>
      </c>
      <c r="V4363">
        <v>68</v>
      </c>
      <c r="X4363" s="42"/>
      <c r="AB4363">
        <v>71.3</v>
      </c>
      <c r="AC4363">
        <v>66.92</v>
      </c>
      <c r="AE4363" s="74"/>
      <c r="AF4363" s="77"/>
      <c r="AH4363" s="497">
        <v>62.78</v>
      </c>
      <c r="AJ4363" s="42"/>
      <c r="AK4363" s="74"/>
      <c r="AL4363" s="77"/>
      <c r="AN4363" s="497">
        <v>58.64</v>
      </c>
      <c r="AP4363" s="42"/>
      <c r="AQ4363" s="74"/>
      <c r="AR4363" s="77"/>
      <c r="AT4363" s="497">
        <v>69.62</v>
      </c>
      <c r="AV4363" s="42"/>
      <c r="AW4363" s="74"/>
      <c r="AX4363" s="77"/>
      <c r="BA4363" s="497">
        <v>64.94</v>
      </c>
      <c r="BB4363" s="42"/>
      <c r="BC4363" s="74"/>
      <c r="BD4363" s="77"/>
      <c r="BF4363">
        <v>61.519999999999996</v>
      </c>
      <c r="BH4363" s="42"/>
      <c r="BI4363" s="74"/>
      <c r="BJ4363" s="77"/>
      <c r="BL4363" s="497">
        <v>66.2</v>
      </c>
      <c r="BN4363" s="42"/>
      <c r="BO4363" s="74"/>
      <c r="BP4363" s="77"/>
      <c r="BR4363" s="497">
        <v>63.14</v>
      </c>
      <c r="BT4363" s="42"/>
    </row>
    <row r="4364" spans="1:72" x14ac:dyDescent="0.25">
      <c r="A4364" s="90">
        <v>34516</v>
      </c>
      <c r="B4364" s="20">
        <v>8.3333333333333329E-2</v>
      </c>
      <c r="D4364">
        <v>71.960000000000008</v>
      </c>
      <c r="E4364" t="str">
        <f t="shared" si="170"/>
        <v>WEEKDAY</v>
      </c>
      <c r="F4364" t="e">
        <f t="shared" si="171"/>
        <v>#N/A</v>
      </c>
      <c r="G4364" s="74">
        <v>31959</v>
      </c>
      <c r="H4364" s="77">
        <v>8.3333333333333329E-2</v>
      </c>
      <c r="J4364">
        <v>73.94</v>
      </c>
      <c r="M4364" s="74">
        <v>33420</v>
      </c>
      <c r="N4364" s="77">
        <v>8.3333333333333329E-2</v>
      </c>
      <c r="P4364">
        <v>62.42</v>
      </c>
      <c r="S4364" s="74">
        <v>34516</v>
      </c>
      <c r="T4364" s="77">
        <v>8.3333333333333329E-2</v>
      </c>
      <c r="V4364">
        <v>68</v>
      </c>
      <c r="X4364" s="42"/>
      <c r="AB4364">
        <v>70.8</v>
      </c>
      <c r="AC4364">
        <v>66.56</v>
      </c>
      <c r="AE4364" s="74"/>
      <c r="AF4364" s="77"/>
      <c r="AH4364" s="497">
        <v>63.319999999999993</v>
      </c>
      <c r="AJ4364" s="42"/>
      <c r="AK4364" s="74"/>
      <c r="AL4364" s="77"/>
      <c r="AN4364" s="497">
        <v>57.019999999999996</v>
      </c>
      <c r="AP4364" s="42"/>
      <c r="AQ4364" s="74"/>
      <c r="AR4364" s="77"/>
      <c r="AT4364" s="497">
        <v>70.7</v>
      </c>
      <c r="AV4364" s="42"/>
      <c r="AW4364" s="74"/>
      <c r="AX4364" s="77"/>
      <c r="BA4364" s="497">
        <v>62.96</v>
      </c>
      <c r="BB4364" s="42"/>
      <c r="BC4364" s="74"/>
      <c r="BD4364" s="77"/>
      <c r="BF4364">
        <v>60.620000000000005</v>
      </c>
      <c r="BH4364" s="42"/>
      <c r="BI4364" s="74"/>
      <c r="BJ4364" s="77"/>
      <c r="BL4364" s="497">
        <v>65.84</v>
      </c>
      <c r="BN4364" s="42"/>
      <c r="BO4364" s="74"/>
      <c r="BP4364" s="77"/>
      <c r="BR4364" s="497">
        <v>61.34</v>
      </c>
      <c r="BT4364" s="42"/>
    </row>
    <row r="4365" spans="1:72" x14ac:dyDescent="0.25">
      <c r="A4365" s="90">
        <v>34516</v>
      </c>
      <c r="B4365" s="20">
        <v>0.125</v>
      </c>
      <c r="D4365">
        <v>70.52</v>
      </c>
      <c r="E4365" t="str">
        <f t="shared" si="170"/>
        <v>WEEKDAY</v>
      </c>
      <c r="F4365" t="e">
        <f t="shared" si="171"/>
        <v>#N/A</v>
      </c>
      <c r="G4365" s="74">
        <v>31959</v>
      </c>
      <c r="H4365" s="77">
        <v>0.125</v>
      </c>
      <c r="J4365">
        <v>73.94</v>
      </c>
      <c r="M4365" s="74">
        <v>33420</v>
      </c>
      <c r="N4365" s="77">
        <v>0.125</v>
      </c>
      <c r="P4365">
        <v>60.8</v>
      </c>
      <c r="S4365" s="74">
        <v>34516</v>
      </c>
      <c r="T4365" s="77">
        <v>0.125</v>
      </c>
      <c r="V4365">
        <v>68</v>
      </c>
      <c r="X4365" s="42"/>
      <c r="AB4365">
        <v>70.2</v>
      </c>
      <c r="AC4365">
        <v>66.38</v>
      </c>
      <c r="AE4365" s="74"/>
      <c r="AF4365" s="77"/>
      <c r="AH4365" s="497">
        <v>63.86</v>
      </c>
      <c r="AJ4365" s="42"/>
      <c r="AK4365" s="74"/>
      <c r="AL4365" s="77"/>
      <c r="AN4365" s="497">
        <v>55.58</v>
      </c>
      <c r="AP4365" s="42"/>
      <c r="AQ4365" s="74"/>
      <c r="AR4365" s="77"/>
      <c r="AT4365" s="497">
        <v>71.960000000000008</v>
      </c>
      <c r="AV4365" s="42"/>
      <c r="AW4365" s="74"/>
      <c r="AX4365" s="77"/>
      <c r="BA4365" s="497">
        <v>60.980000000000004</v>
      </c>
      <c r="BB4365" s="42"/>
      <c r="BC4365" s="74"/>
      <c r="BD4365" s="77"/>
      <c r="BF4365">
        <v>59.900000000000006</v>
      </c>
      <c r="BH4365" s="42"/>
      <c r="BI4365" s="74"/>
      <c r="BJ4365" s="77"/>
      <c r="BL4365" s="497">
        <v>65.300000000000011</v>
      </c>
      <c r="BN4365" s="42"/>
      <c r="BO4365" s="74"/>
      <c r="BP4365" s="77"/>
      <c r="BR4365" s="497">
        <v>59.72</v>
      </c>
      <c r="BT4365" s="42"/>
    </row>
    <row r="4366" spans="1:72" x14ac:dyDescent="0.25">
      <c r="A4366" s="90">
        <v>34516</v>
      </c>
      <c r="B4366" s="20">
        <v>0.16666666666666666</v>
      </c>
      <c r="D4366">
        <v>69.080000000000013</v>
      </c>
      <c r="E4366" t="str">
        <f t="shared" si="170"/>
        <v>WEEKDAY</v>
      </c>
      <c r="F4366" t="e">
        <f t="shared" si="171"/>
        <v>#N/A</v>
      </c>
      <c r="G4366" s="74">
        <v>31959</v>
      </c>
      <c r="H4366" s="77">
        <v>0.16666666666666666</v>
      </c>
      <c r="J4366">
        <v>73.94</v>
      </c>
      <c r="M4366" s="74">
        <v>33420</v>
      </c>
      <c r="N4366" s="77">
        <v>0.16666666666666666</v>
      </c>
      <c r="P4366">
        <v>59.36</v>
      </c>
      <c r="S4366" s="74">
        <v>34516</v>
      </c>
      <c r="T4366" s="77">
        <v>0.16666666666666666</v>
      </c>
      <c r="V4366">
        <v>68</v>
      </c>
      <c r="X4366" s="42"/>
      <c r="AB4366">
        <v>69.7</v>
      </c>
      <c r="AC4366">
        <v>66.02</v>
      </c>
      <c r="AE4366" s="74"/>
      <c r="AF4366" s="77"/>
      <c r="AH4366" s="497">
        <v>64.400000000000006</v>
      </c>
      <c r="AJ4366" s="42"/>
      <c r="AK4366" s="74"/>
      <c r="AL4366" s="77"/>
      <c r="AN4366" s="497">
        <v>53.96</v>
      </c>
      <c r="AP4366" s="42"/>
      <c r="AQ4366" s="74"/>
      <c r="AR4366" s="77"/>
      <c r="AT4366" s="497">
        <v>73.039999999999992</v>
      </c>
      <c r="AV4366" s="42"/>
      <c r="AW4366" s="74"/>
      <c r="AX4366" s="77"/>
      <c r="BA4366" s="497">
        <v>59</v>
      </c>
      <c r="BB4366" s="42"/>
      <c r="BC4366" s="74"/>
      <c r="BD4366" s="77"/>
      <c r="BF4366">
        <v>59</v>
      </c>
      <c r="BH4366" s="42"/>
      <c r="BI4366" s="74"/>
      <c r="BJ4366" s="77"/>
      <c r="BL4366" s="497">
        <v>64.94</v>
      </c>
      <c r="BN4366" s="42"/>
      <c r="BO4366" s="74"/>
      <c r="BP4366" s="77"/>
      <c r="BR4366" s="497">
        <v>57.92</v>
      </c>
      <c r="BT4366" s="42"/>
    </row>
    <row r="4367" spans="1:72" x14ac:dyDescent="0.25">
      <c r="A4367" s="90">
        <v>34516</v>
      </c>
      <c r="B4367" s="20">
        <v>0.20833333333333334</v>
      </c>
      <c r="D4367">
        <v>68</v>
      </c>
      <c r="E4367" t="str">
        <f t="shared" si="170"/>
        <v>WEEKDAY</v>
      </c>
      <c r="F4367" t="e">
        <f t="shared" si="171"/>
        <v>#N/A</v>
      </c>
      <c r="G4367" s="74">
        <v>31959</v>
      </c>
      <c r="H4367" s="77">
        <v>0.20833333333333334</v>
      </c>
      <c r="J4367">
        <v>73.039999999999992</v>
      </c>
      <c r="M4367" s="74">
        <v>33420</v>
      </c>
      <c r="N4367" s="77">
        <v>0.20833333333333334</v>
      </c>
      <c r="P4367">
        <v>57.019999999999996</v>
      </c>
      <c r="S4367" s="74">
        <v>34516</v>
      </c>
      <c r="T4367" s="77">
        <v>0.20833333333333334</v>
      </c>
      <c r="V4367">
        <v>68</v>
      </c>
      <c r="X4367" s="42"/>
      <c r="AB4367">
        <v>69.3</v>
      </c>
      <c r="AC4367">
        <v>64.94</v>
      </c>
      <c r="AE4367" s="74"/>
      <c r="AF4367" s="77"/>
      <c r="AH4367" s="497">
        <v>64.400000000000006</v>
      </c>
      <c r="AJ4367" s="42"/>
      <c r="AK4367" s="74"/>
      <c r="AL4367" s="77"/>
      <c r="AN4367" s="497">
        <v>51.08</v>
      </c>
      <c r="AP4367" s="42"/>
      <c r="AQ4367" s="74"/>
      <c r="AR4367" s="77"/>
      <c r="AT4367" s="497">
        <v>73.400000000000006</v>
      </c>
      <c r="AV4367" s="42"/>
      <c r="AW4367" s="74"/>
      <c r="AX4367" s="77"/>
      <c r="BA4367" s="497">
        <v>59</v>
      </c>
      <c r="BB4367" s="42"/>
      <c r="BC4367" s="74"/>
      <c r="BD4367" s="77"/>
      <c r="BF4367">
        <v>57.92</v>
      </c>
      <c r="BH4367" s="42"/>
      <c r="BI4367" s="74"/>
      <c r="BJ4367" s="77"/>
      <c r="BL4367" s="497">
        <v>66.02</v>
      </c>
      <c r="BN4367" s="42"/>
      <c r="BO4367" s="74"/>
      <c r="BP4367" s="77"/>
      <c r="BR4367" s="497">
        <v>57.92</v>
      </c>
      <c r="BT4367" s="42"/>
    </row>
    <row r="4368" spans="1:72" x14ac:dyDescent="0.25">
      <c r="A4368" s="90">
        <v>34516</v>
      </c>
      <c r="B4368" s="20">
        <v>0.25</v>
      </c>
      <c r="D4368">
        <v>71.960000000000008</v>
      </c>
      <c r="E4368" t="str">
        <f t="shared" si="170"/>
        <v>WEEKDAY</v>
      </c>
      <c r="F4368" t="e">
        <f t="shared" si="171"/>
        <v>#N/A</v>
      </c>
      <c r="G4368" s="74">
        <v>31959</v>
      </c>
      <c r="H4368" s="77">
        <v>0.25</v>
      </c>
      <c r="J4368">
        <v>73.039999999999992</v>
      </c>
      <c r="M4368" s="74">
        <v>33420</v>
      </c>
      <c r="N4368" s="77">
        <v>0.25</v>
      </c>
      <c r="P4368">
        <v>62.06</v>
      </c>
      <c r="S4368" s="74">
        <v>34516</v>
      </c>
      <c r="T4368" s="77">
        <v>0.25</v>
      </c>
      <c r="V4368">
        <v>69.080000000000013</v>
      </c>
      <c r="X4368" s="42"/>
      <c r="AB4368">
        <v>69.099999999999994</v>
      </c>
      <c r="AC4368">
        <v>66.92</v>
      </c>
      <c r="AE4368" s="74"/>
      <c r="AF4368" s="77"/>
      <c r="AH4368" s="497">
        <v>64.400000000000006</v>
      </c>
      <c r="AJ4368" s="42"/>
      <c r="AK4368" s="74"/>
      <c r="AL4368" s="77"/>
      <c r="AN4368" s="497">
        <v>53.96</v>
      </c>
      <c r="AP4368" s="42"/>
      <c r="AQ4368" s="74"/>
      <c r="AR4368" s="77"/>
      <c r="AT4368" s="497">
        <v>73.580000000000013</v>
      </c>
      <c r="AV4368" s="42"/>
      <c r="AW4368" s="74"/>
      <c r="AX4368" s="77"/>
      <c r="BA4368" s="497">
        <v>60.08</v>
      </c>
      <c r="BB4368" s="42"/>
      <c r="BC4368" s="74"/>
      <c r="BD4368" s="77"/>
      <c r="BF4368">
        <v>60.08</v>
      </c>
      <c r="BH4368" s="42"/>
      <c r="BI4368" s="74"/>
      <c r="BJ4368" s="77"/>
      <c r="BL4368" s="497">
        <v>66.02</v>
      </c>
      <c r="BN4368" s="42"/>
      <c r="BO4368" s="74"/>
      <c r="BP4368" s="77"/>
      <c r="BR4368" s="497">
        <v>59</v>
      </c>
      <c r="BT4368" s="42"/>
    </row>
    <row r="4369" spans="1:72" x14ac:dyDescent="0.25">
      <c r="A4369" s="90">
        <v>34516</v>
      </c>
      <c r="B4369" s="20">
        <v>0.29166666666666669</v>
      </c>
      <c r="D4369">
        <v>73.039999999999992</v>
      </c>
      <c r="E4369" t="str">
        <f t="shared" si="170"/>
        <v>WEEKDAY</v>
      </c>
      <c r="F4369" t="e">
        <f t="shared" si="171"/>
        <v>#N/A</v>
      </c>
      <c r="G4369" s="74">
        <v>31959</v>
      </c>
      <c r="H4369" s="77">
        <v>0.29166666666666669</v>
      </c>
      <c r="J4369">
        <v>73.94</v>
      </c>
      <c r="M4369" s="74">
        <v>33420</v>
      </c>
      <c r="N4369" s="77">
        <v>0.29166666666666669</v>
      </c>
      <c r="P4369">
        <v>64.039999999999992</v>
      </c>
      <c r="S4369" s="74">
        <v>34516</v>
      </c>
      <c r="T4369" s="77">
        <v>0.29166666666666669</v>
      </c>
      <c r="V4369">
        <v>71.960000000000008</v>
      </c>
      <c r="X4369" s="42"/>
      <c r="AB4369">
        <v>70.7</v>
      </c>
      <c r="AC4369">
        <v>71.06</v>
      </c>
      <c r="AE4369" s="74"/>
      <c r="AF4369" s="77"/>
      <c r="AH4369" s="497">
        <v>64.400000000000006</v>
      </c>
      <c r="AJ4369" s="42"/>
      <c r="AK4369" s="74"/>
      <c r="AL4369" s="77"/>
      <c r="AN4369" s="497">
        <v>55.94</v>
      </c>
      <c r="AP4369" s="42"/>
      <c r="AQ4369" s="74"/>
      <c r="AR4369" s="77"/>
      <c r="AT4369" s="497">
        <v>73.94</v>
      </c>
      <c r="AV4369" s="42"/>
      <c r="AW4369" s="74"/>
      <c r="AX4369" s="77"/>
      <c r="BA4369" s="497">
        <v>60.980000000000004</v>
      </c>
      <c r="BB4369" s="42"/>
      <c r="BC4369" s="74"/>
      <c r="BD4369" s="77"/>
      <c r="BF4369">
        <v>64.039999999999992</v>
      </c>
      <c r="BH4369" s="42"/>
      <c r="BI4369" s="74"/>
      <c r="BJ4369" s="77"/>
      <c r="BL4369" s="497">
        <v>66.92</v>
      </c>
      <c r="BN4369" s="42"/>
      <c r="BO4369" s="74"/>
      <c r="BP4369" s="77"/>
      <c r="BR4369" s="497">
        <v>59</v>
      </c>
      <c r="BT4369" s="42"/>
    </row>
    <row r="4370" spans="1:72" x14ac:dyDescent="0.25">
      <c r="A4370" s="90">
        <v>34516</v>
      </c>
      <c r="B4370" s="20">
        <v>0.33333333333333331</v>
      </c>
      <c r="D4370">
        <v>75.02</v>
      </c>
      <c r="E4370" t="str">
        <f t="shared" si="170"/>
        <v>WEEKDAY</v>
      </c>
      <c r="F4370" t="e">
        <f t="shared" si="171"/>
        <v>#N/A</v>
      </c>
      <c r="G4370" s="74">
        <v>31959</v>
      </c>
      <c r="H4370" s="77">
        <v>0.33333333333333331</v>
      </c>
      <c r="J4370">
        <v>75.92</v>
      </c>
      <c r="M4370" s="74">
        <v>33420</v>
      </c>
      <c r="N4370" s="77">
        <v>0.33333333333333331</v>
      </c>
      <c r="P4370">
        <v>68</v>
      </c>
      <c r="S4370" s="74">
        <v>34516</v>
      </c>
      <c r="T4370" s="77">
        <v>0.33333333333333331</v>
      </c>
      <c r="V4370">
        <v>75.02</v>
      </c>
      <c r="X4370" s="42"/>
      <c r="AB4370">
        <v>72.7</v>
      </c>
      <c r="AC4370">
        <v>75.92</v>
      </c>
      <c r="AE4370" s="74"/>
      <c r="AF4370" s="77"/>
      <c r="AH4370" s="497">
        <v>66.2</v>
      </c>
      <c r="AJ4370" s="42"/>
      <c r="AK4370" s="74"/>
      <c r="AL4370" s="77"/>
      <c r="AN4370" s="497">
        <v>59</v>
      </c>
      <c r="AP4370" s="42"/>
      <c r="AQ4370" s="74"/>
      <c r="AR4370" s="77"/>
      <c r="AT4370" s="497">
        <v>74.66</v>
      </c>
      <c r="AV4370" s="42"/>
      <c r="AW4370" s="74"/>
      <c r="AX4370" s="77"/>
      <c r="BA4370" s="497">
        <v>60.980000000000004</v>
      </c>
      <c r="BB4370" s="42"/>
      <c r="BC4370" s="74"/>
      <c r="BD4370" s="77"/>
      <c r="BF4370">
        <v>66.02</v>
      </c>
      <c r="BH4370" s="42"/>
      <c r="BI4370" s="74"/>
      <c r="BJ4370" s="77"/>
      <c r="BL4370" s="497">
        <v>68</v>
      </c>
      <c r="BN4370" s="42"/>
      <c r="BO4370" s="74"/>
      <c r="BP4370" s="77"/>
      <c r="BR4370" s="497">
        <v>59</v>
      </c>
      <c r="BT4370" s="42"/>
    </row>
    <row r="4371" spans="1:72" x14ac:dyDescent="0.25">
      <c r="A4371" s="90">
        <v>34516</v>
      </c>
      <c r="B4371" s="20">
        <v>0.375</v>
      </c>
      <c r="D4371">
        <v>77</v>
      </c>
      <c r="E4371" t="str">
        <f t="shared" ref="E4371:E4434" si="172">IF(COUNTIF($DI$18:$DI$22, WEEKDAY(A4371))=1, "WEEKDAY", IF(WEEKDAY(A4371) = 1, "SUNDAY", "SATURDAY"))</f>
        <v>WEEKDAY</v>
      </c>
      <c r="F4371" t="e">
        <f t="shared" si="171"/>
        <v>#N/A</v>
      </c>
      <c r="G4371" s="74">
        <v>31959</v>
      </c>
      <c r="H4371" s="77">
        <v>0.375</v>
      </c>
      <c r="J4371">
        <v>77</v>
      </c>
      <c r="M4371" s="74">
        <v>33420</v>
      </c>
      <c r="N4371" s="77">
        <v>0.375</v>
      </c>
      <c r="P4371">
        <v>71.960000000000008</v>
      </c>
      <c r="S4371" s="74">
        <v>34516</v>
      </c>
      <c r="T4371" s="77">
        <v>0.375</v>
      </c>
      <c r="V4371">
        <v>78.080000000000013</v>
      </c>
      <c r="X4371" s="42"/>
      <c r="AB4371">
        <v>74.7</v>
      </c>
      <c r="AC4371">
        <v>78.98</v>
      </c>
      <c r="AE4371" s="74"/>
      <c r="AF4371" s="77"/>
      <c r="AH4371" s="497">
        <v>66.2</v>
      </c>
      <c r="AJ4371" s="42"/>
      <c r="AK4371" s="74"/>
      <c r="AL4371" s="77"/>
      <c r="AN4371" s="497">
        <v>64.039999999999992</v>
      </c>
      <c r="AP4371" s="42"/>
      <c r="AQ4371" s="74"/>
      <c r="AR4371" s="77"/>
      <c r="AT4371" s="497">
        <v>75.2</v>
      </c>
      <c r="AV4371" s="42"/>
      <c r="AW4371" s="74"/>
      <c r="AX4371" s="77"/>
      <c r="BA4371" s="497">
        <v>60.980000000000004</v>
      </c>
      <c r="BB4371" s="42"/>
      <c r="BC4371" s="74"/>
      <c r="BD4371" s="77"/>
      <c r="BF4371">
        <v>66.02</v>
      </c>
      <c r="BH4371" s="42"/>
      <c r="BI4371" s="74"/>
      <c r="BJ4371" s="77"/>
      <c r="BL4371" s="497">
        <v>71.960000000000008</v>
      </c>
      <c r="BN4371" s="42"/>
      <c r="BO4371" s="74"/>
      <c r="BP4371" s="77"/>
      <c r="BR4371" s="497">
        <v>60.08</v>
      </c>
      <c r="BT4371" s="42"/>
    </row>
    <row r="4372" spans="1:72" x14ac:dyDescent="0.25">
      <c r="A4372" s="90">
        <v>34516</v>
      </c>
      <c r="B4372" s="20">
        <v>0.41666666666666669</v>
      </c>
      <c r="D4372">
        <v>80.06</v>
      </c>
      <c r="E4372" t="str">
        <f t="shared" si="172"/>
        <v>WEEKDAY</v>
      </c>
      <c r="F4372" t="e">
        <f t="shared" si="171"/>
        <v>#N/A</v>
      </c>
      <c r="G4372" s="74">
        <v>31959</v>
      </c>
      <c r="H4372" s="77">
        <v>0.41666666666666669</v>
      </c>
      <c r="J4372">
        <v>78.98</v>
      </c>
      <c r="M4372" s="74">
        <v>33420</v>
      </c>
      <c r="N4372" s="77">
        <v>0.41666666666666669</v>
      </c>
      <c r="P4372">
        <v>71.960000000000008</v>
      </c>
      <c r="S4372" s="74">
        <v>34516</v>
      </c>
      <c r="T4372" s="77">
        <v>0.41666666666666669</v>
      </c>
      <c r="V4372">
        <v>78.080000000000013</v>
      </c>
      <c r="X4372" s="42"/>
      <c r="AB4372">
        <v>76.599999999999994</v>
      </c>
      <c r="AC4372">
        <v>80.06</v>
      </c>
      <c r="AE4372" s="74"/>
      <c r="AF4372" s="77"/>
      <c r="AH4372" s="497">
        <v>68</v>
      </c>
      <c r="AJ4372" s="42"/>
      <c r="AK4372" s="74"/>
      <c r="AL4372" s="77"/>
      <c r="AN4372" s="497">
        <v>66.02</v>
      </c>
      <c r="AP4372" s="42"/>
      <c r="AQ4372" s="74"/>
      <c r="AR4372" s="77"/>
      <c r="AT4372" s="497">
        <v>75.92</v>
      </c>
      <c r="AV4372" s="42"/>
      <c r="AW4372" s="74"/>
      <c r="AX4372" s="77"/>
      <c r="BA4372" s="497">
        <v>62.96</v>
      </c>
      <c r="BB4372" s="42"/>
      <c r="BC4372" s="74"/>
      <c r="BD4372" s="77"/>
      <c r="BF4372">
        <v>68</v>
      </c>
      <c r="BH4372" s="42"/>
      <c r="BI4372" s="74"/>
      <c r="BJ4372" s="77"/>
      <c r="BL4372" s="497">
        <v>73.039999999999992</v>
      </c>
      <c r="BN4372" s="42"/>
      <c r="BO4372" s="74"/>
      <c r="BP4372" s="77"/>
      <c r="BR4372" s="497">
        <v>60.08</v>
      </c>
      <c r="BT4372" s="42"/>
    </row>
    <row r="4373" spans="1:72" x14ac:dyDescent="0.25">
      <c r="A4373" s="90">
        <v>34516</v>
      </c>
      <c r="B4373" s="20">
        <v>0.45833333333333331</v>
      </c>
      <c r="D4373">
        <v>82.039999999999992</v>
      </c>
      <c r="E4373" t="str">
        <f t="shared" si="172"/>
        <v>WEEKDAY</v>
      </c>
      <c r="F4373" t="e">
        <f t="shared" si="171"/>
        <v>#N/A</v>
      </c>
      <c r="G4373" s="74">
        <v>31959</v>
      </c>
      <c r="H4373" s="77">
        <v>0.45833333333333331</v>
      </c>
      <c r="J4373">
        <v>77</v>
      </c>
      <c r="M4373" s="74">
        <v>33420</v>
      </c>
      <c r="N4373" s="77">
        <v>0.45833333333333331</v>
      </c>
      <c r="P4373">
        <v>73.94</v>
      </c>
      <c r="S4373" s="74">
        <v>34516</v>
      </c>
      <c r="T4373" s="77">
        <v>0.45833333333333331</v>
      </c>
      <c r="V4373">
        <v>80.960000000000008</v>
      </c>
      <c r="X4373" s="42"/>
      <c r="AB4373">
        <v>78.2</v>
      </c>
      <c r="AC4373">
        <v>82.039999999999992</v>
      </c>
      <c r="AE4373" s="74"/>
      <c r="AF4373" s="77"/>
      <c r="AH4373" s="497">
        <v>71.599999999999994</v>
      </c>
      <c r="AJ4373" s="42"/>
      <c r="AK4373" s="74"/>
      <c r="AL4373" s="77"/>
      <c r="AN4373" s="497">
        <v>66.92</v>
      </c>
      <c r="AP4373" s="42"/>
      <c r="AQ4373" s="74"/>
      <c r="AR4373" s="77"/>
      <c r="AT4373" s="497">
        <v>78.98</v>
      </c>
      <c r="AV4373" s="42"/>
      <c r="AW4373" s="74"/>
      <c r="AX4373" s="77"/>
      <c r="BA4373" s="497">
        <v>64.039999999999992</v>
      </c>
      <c r="BB4373" s="42"/>
      <c r="BC4373" s="74"/>
      <c r="BD4373" s="77"/>
      <c r="BF4373">
        <v>69.98</v>
      </c>
      <c r="BH4373" s="42"/>
      <c r="BI4373" s="74"/>
      <c r="BJ4373" s="77"/>
      <c r="BL4373" s="497">
        <v>75.02</v>
      </c>
      <c r="BN4373" s="42"/>
      <c r="BO4373" s="74"/>
      <c r="BP4373" s="77"/>
      <c r="BR4373" s="497">
        <v>62.06</v>
      </c>
      <c r="BT4373" s="42"/>
    </row>
    <row r="4374" spans="1:72" x14ac:dyDescent="0.25">
      <c r="A4374" s="90">
        <v>34516</v>
      </c>
      <c r="B4374" s="20">
        <v>0.5</v>
      </c>
      <c r="D4374">
        <v>84.02</v>
      </c>
      <c r="E4374" t="str">
        <f t="shared" si="172"/>
        <v>WEEKDAY</v>
      </c>
      <c r="F4374" t="e">
        <f t="shared" si="171"/>
        <v>#N/A</v>
      </c>
      <c r="G4374" s="74">
        <v>31959</v>
      </c>
      <c r="H4374" s="77">
        <v>0.5</v>
      </c>
      <c r="J4374">
        <v>80.06</v>
      </c>
      <c r="M4374" s="74">
        <v>33420</v>
      </c>
      <c r="N4374" s="77">
        <v>0.5</v>
      </c>
      <c r="P4374">
        <v>75.92</v>
      </c>
      <c r="S4374" s="74">
        <v>34516</v>
      </c>
      <c r="T4374" s="77">
        <v>0.5</v>
      </c>
      <c r="V4374">
        <v>78.98</v>
      </c>
      <c r="X4374" s="42"/>
      <c r="AB4374">
        <v>79.400000000000006</v>
      </c>
      <c r="AC4374">
        <v>80.960000000000008</v>
      </c>
      <c r="AE4374" s="74"/>
      <c r="AF4374" s="77"/>
      <c r="AH4374" s="497">
        <v>76.28</v>
      </c>
      <c r="AJ4374" s="42"/>
      <c r="AK4374" s="74"/>
      <c r="AL4374" s="77"/>
      <c r="AN4374" s="497">
        <v>69.080000000000013</v>
      </c>
      <c r="AP4374" s="42"/>
      <c r="AQ4374" s="74"/>
      <c r="AR4374" s="77"/>
      <c r="AT4374" s="497">
        <v>81.86</v>
      </c>
      <c r="AV4374" s="42"/>
      <c r="AW4374" s="74"/>
      <c r="AX4374" s="77"/>
      <c r="BA4374" s="497">
        <v>66.02</v>
      </c>
      <c r="BB4374" s="42"/>
      <c r="BC4374" s="74"/>
      <c r="BD4374" s="77"/>
      <c r="BF4374">
        <v>71.06</v>
      </c>
      <c r="BH4374" s="42"/>
      <c r="BI4374" s="74"/>
      <c r="BJ4374" s="77"/>
      <c r="BL4374" s="497">
        <v>75.02</v>
      </c>
      <c r="BN4374" s="42"/>
      <c r="BO4374" s="74"/>
      <c r="BP4374" s="77"/>
      <c r="BR4374" s="497">
        <v>64.94</v>
      </c>
      <c r="BT4374" s="42"/>
    </row>
    <row r="4375" spans="1:72" x14ac:dyDescent="0.25">
      <c r="A4375" s="90">
        <v>34516</v>
      </c>
      <c r="B4375" s="20">
        <v>0.54166666666666663</v>
      </c>
      <c r="D4375">
        <v>87.98</v>
      </c>
      <c r="E4375" t="str">
        <f t="shared" si="172"/>
        <v>WEEKDAY</v>
      </c>
      <c r="F4375" t="e">
        <f t="shared" si="171"/>
        <v>#N/A</v>
      </c>
      <c r="G4375" s="74">
        <v>31959</v>
      </c>
      <c r="H4375" s="77">
        <v>0.54166666666666663</v>
      </c>
      <c r="J4375">
        <v>80.06</v>
      </c>
      <c r="M4375" s="74">
        <v>33420</v>
      </c>
      <c r="N4375" s="77">
        <v>0.54166666666666663</v>
      </c>
      <c r="P4375">
        <v>77</v>
      </c>
      <c r="S4375" s="74">
        <v>34516</v>
      </c>
      <c r="T4375" s="77">
        <v>0.54166666666666663</v>
      </c>
      <c r="V4375">
        <v>78.080000000000013</v>
      </c>
      <c r="X4375" s="42"/>
      <c r="AB4375">
        <v>80.099999999999994</v>
      </c>
      <c r="AC4375">
        <v>80.06</v>
      </c>
      <c r="AE4375" s="74"/>
      <c r="AF4375" s="77"/>
      <c r="AH4375" s="497">
        <v>80.599999999999994</v>
      </c>
      <c r="AJ4375" s="42"/>
      <c r="AK4375" s="74"/>
      <c r="AL4375" s="77"/>
      <c r="AN4375" s="497">
        <v>69.98</v>
      </c>
      <c r="AP4375" s="42"/>
      <c r="AQ4375" s="74"/>
      <c r="AR4375" s="77"/>
      <c r="AT4375" s="497">
        <v>84.92</v>
      </c>
      <c r="AV4375" s="42"/>
      <c r="AW4375" s="74"/>
      <c r="AX4375" s="77"/>
      <c r="BA4375" s="497">
        <v>69.080000000000013</v>
      </c>
      <c r="BB4375" s="42"/>
      <c r="BC4375" s="74"/>
      <c r="BD4375" s="77"/>
      <c r="BF4375">
        <v>73.039999999999992</v>
      </c>
      <c r="BH4375" s="42"/>
      <c r="BI4375" s="74"/>
      <c r="BJ4375" s="77"/>
      <c r="BL4375" s="497">
        <v>75.92</v>
      </c>
      <c r="BN4375" s="42"/>
      <c r="BO4375" s="74"/>
      <c r="BP4375" s="77"/>
      <c r="BR4375" s="497">
        <v>69.080000000000013</v>
      </c>
      <c r="BT4375" s="42"/>
    </row>
    <row r="4376" spans="1:72" x14ac:dyDescent="0.25">
      <c r="A4376" s="90">
        <v>34516</v>
      </c>
      <c r="B4376" s="20">
        <v>0.58333333333333337</v>
      </c>
      <c r="D4376">
        <v>84.92</v>
      </c>
      <c r="E4376" t="str">
        <f t="shared" si="172"/>
        <v>WEEKDAY</v>
      </c>
      <c r="F4376" t="e">
        <f t="shared" si="171"/>
        <v>#N/A</v>
      </c>
      <c r="G4376" s="74">
        <v>31959</v>
      </c>
      <c r="H4376" s="77">
        <v>0.58333333333333337</v>
      </c>
      <c r="J4376">
        <v>80.960000000000008</v>
      </c>
      <c r="M4376" s="74">
        <v>33420</v>
      </c>
      <c r="N4376" s="77">
        <v>0.58333333333333337</v>
      </c>
      <c r="P4376">
        <v>78.080000000000013</v>
      </c>
      <c r="S4376" s="74">
        <v>34516</v>
      </c>
      <c r="T4376" s="77">
        <v>0.58333333333333337</v>
      </c>
      <c r="V4376">
        <v>80.06</v>
      </c>
      <c r="X4376" s="42"/>
      <c r="AB4376">
        <v>80.5</v>
      </c>
      <c r="AC4376">
        <v>80.960000000000008</v>
      </c>
      <c r="AE4376" s="74"/>
      <c r="AF4376" s="77"/>
      <c r="AH4376" s="497">
        <v>84.2</v>
      </c>
      <c r="AJ4376" s="42"/>
      <c r="AK4376" s="74"/>
      <c r="AL4376" s="77"/>
      <c r="AN4376" s="497">
        <v>71.06</v>
      </c>
      <c r="AP4376" s="42"/>
      <c r="AQ4376" s="74"/>
      <c r="AR4376" s="77"/>
      <c r="AT4376" s="497">
        <v>85.64</v>
      </c>
      <c r="AV4376" s="42"/>
      <c r="AW4376" s="74"/>
      <c r="AX4376" s="77"/>
      <c r="BA4376" s="497">
        <v>69.080000000000013</v>
      </c>
      <c r="BB4376" s="42"/>
      <c r="BC4376" s="74"/>
      <c r="BD4376" s="77"/>
      <c r="BF4376">
        <v>75.02</v>
      </c>
      <c r="BH4376" s="42"/>
      <c r="BI4376" s="74"/>
      <c r="BJ4376" s="77"/>
      <c r="BL4376" s="497">
        <v>75.92</v>
      </c>
      <c r="BN4376" s="42"/>
      <c r="BO4376" s="74"/>
      <c r="BP4376" s="77"/>
      <c r="BR4376" s="497">
        <v>71.06</v>
      </c>
      <c r="BT4376" s="42"/>
    </row>
    <row r="4377" spans="1:72" x14ac:dyDescent="0.25">
      <c r="A4377" s="90">
        <v>34516</v>
      </c>
      <c r="B4377" s="20">
        <v>0.625</v>
      </c>
      <c r="D4377">
        <v>84.02</v>
      </c>
      <c r="E4377" t="str">
        <f t="shared" si="172"/>
        <v>WEEKDAY</v>
      </c>
      <c r="F4377" t="e">
        <f t="shared" si="171"/>
        <v>#N/A</v>
      </c>
      <c r="G4377" s="74">
        <v>31959</v>
      </c>
      <c r="H4377" s="77">
        <v>0.625</v>
      </c>
      <c r="J4377">
        <v>80.06</v>
      </c>
      <c r="M4377" s="74">
        <v>33420</v>
      </c>
      <c r="N4377" s="77">
        <v>0.625</v>
      </c>
      <c r="P4377">
        <v>80.06</v>
      </c>
      <c r="S4377" s="74">
        <v>34516</v>
      </c>
      <c r="T4377" s="77">
        <v>0.625</v>
      </c>
      <c r="V4377">
        <v>78.080000000000013</v>
      </c>
      <c r="X4377" s="42"/>
      <c r="AB4377">
        <v>80.5</v>
      </c>
      <c r="AC4377">
        <v>80.960000000000008</v>
      </c>
      <c r="AE4377" s="74"/>
      <c r="AF4377" s="77"/>
      <c r="AH4377" s="497">
        <v>84.740000000000009</v>
      </c>
      <c r="AJ4377" s="42"/>
      <c r="AK4377" s="74"/>
      <c r="AL4377" s="77"/>
      <c r="AN4377" s="497">
        <v>71.06</v>
      </c>
      <c r="AP4377" s="42"/>
      <c r="AQ4377" s="74"/>
      <c r="AR4377" s="77"/>
      <c r="AT4377" s="497">
        <v>86.36</v>
      </c>
      <c r="AV4377" s="42"/>
      <c r="AW4377" s="74"/>
      <c r="AX4377" s="77"/>
      <c r="BA4377" s="497">
        <v>69.98</v>
      </c>
      <c r="BB4377" s="42"/>
      <c r="BC4377" s="74"/>
      <c r="BD4377" s="77"/>
      <c r="BF4377">
        <v>75.92</v>
      </c>
      <c r="BH4377" s="42"/>
      <c r="BI4377" s="74"/>
      <c r="BJ4377" s="77"/>
      <c r="BL4377" s="497">
        <v>77</v>
      </c>
      <c r="BN4377" s="42"/>
      <c r="BO4377" s="74"/>
      <c r="BP4377" s="77"/>
      <c r="BR4377" s="497">
        <v>71.960000000000008</v>
      </c>
      <c r="BT4377" s="42"/>
    </row>
    <row r="4378" spans="1:72" x14ac:dyDescent="0.25">
      <c r="A4378" s="90">
        <v>34516</v>
      </c>
      <c r="B4378" s="20">
        <v>0.66666666666666663</v>
      </c>
      <c r="D4378">
        <v>84.02</v>
      </c>
      <c r="E4378" t="str">
        <f t="shared" si="172"/>
        <v>WEEKDAY</v>
      </c>
      <c r="F4378" t="e">
        <f t="shared" si="171"/>
        <v>#N/A</v>
      </c>
      <c r="G4378" s="74">
        <v>31959</v>
      </c>
      <c r="H4378" s="77">
        <v>0.66666666666666663</v>
      </c>
      <c r="J4378">
        <v>80.06</v>
      </c>
      <c r="M4378" s="74">
        <v>33420</v>
      </c>
      <c r="N4378" s="77">
        <v>0.66666666666666663</v>
      </c>
      <c r="P4378">
        <v>80.06</v>
      </c>
      <c r="S4378" s="74">
        <v>34516</v>
      </c>
      <c r="T4378" s="77">
        <v>0.66666666666666663</v>
      </c>
      <c r="V4378">
        <v>75.92</v>
      </c>
      <c r="X4378" s="42"/>
      <c r="AB4378">
        <v>79.900000000000006</v>
      </c>
      <c r="AC4378">
        <v>80.06</v>
      </c>
      <c r="AE4378" s="74"/>
      <c r="AF4378" s="77"/>
      <c r="AH4378" s="497">
        <v>84.740000000000009</v>
      </c>
      <c r="AJ4378" s="42"/>
      <c r="AK4378" s="74"/>
      <c r="AL4378" s="77"/>
      <c r="AN4378" s="497">
        <v>69.080000000000013</v>
      </c>
      <c r="AP4378" s="42"/>
      <c r="AQ4378" s="74"/>
      <c r="AR4378" s="77"/>
      <c r="AT4378" s="497">
        <v>87.080000000000013</v>
      </c>
      <c r="AV4378" s="42"/>
      <c r="AW4378" s="74"/>
      <c r="AX4378" s="77"/>
      <c r="BA4378" s="497">
        <v>71.06</v>
      </c>
      <c r="BB4378" s="42"/>
      <c r="BC4378" s="74"/>
      <c r="BD4378" s="77"/>
      <c r="BF4378">
        <v>73.94</v>
      </c>
      <c r="BH4378" s="42"/>
      <c r="BI4378" s="74"/>
      <c r="BJ4378" s="77"/>
      <c r="BL4378" s="497">
        <v>75.92</v>
      </c>
      <c r="BN4378" s="42"/>
      <c r="BO4378" s="74"/>
      <c r="BP4378" s="77"/>
      <c r="BR4378" s="497">
        <v>75.02</v>
      </c>
      <c r="BT4378" s="42"/>
    </row>
    <row r="4379" spans="1:72" x14ac:dyDescent="0.25">
      <c r="A4379" s="90">
        <v>34516</v>
      </c>
      <c r="B4379" s="20">
        <v>0.70833333333333337</v>
      </c>
      <c r="D4379">
        <v>82.94</v>
      </c>
      <c r="E4379" t="str">
        <f t="shared" si="172"/>
        <v>WEEKDAY</v>
      </c>
      <c r="F4379" t="e">
        <f t="shared" si="171"/>
        <v>#N/A</v>
      </c>
      <c r="G4379" s="74">
        <v>31959</v>
      </c>
      <c r="H4379" s="77">
        <v>0.70833333333333337</v>
      </c>
      <c r="J4379">
        <v>80.06</v>
      </c>
      <c r="M4379" s="74">
        <v>33420</v>
      </c>
      <c r="N4379" s="77">
        <v>0.70833333333333337</v>
      </c>
      <c r="P4379">
        <v>80.960000000000008</v>
      </c>
      <c r="S4379" s="74">
        <v>34516</v>
      </c>
      <c r="T4379" s="77">
        <v>0.70833333333333337</v>
      </c>
      <c r="V4379">
        <v>73.039999999999992</v>
      </c>
      <c r="X4379" s="42"/>
      <c r="AB4379">
        <v>79</v>
      </c>
      <c r="AC4379">
        <v>77</v>
      </c>
      <c r="AE4379" s="74"/>
      <c r="AF4379" s="77"/>
      <c r="AH4379" s="497">
        <v>84.2</v>
      </c>
      <c r="AJ4379" s="42"/>
      <c r="AK4379" s="74"/>
      <c r="AL4379" s="77"/>
      <c r="AN4379" s="497">
        <v>68</v>
      </c>
      <c r="AP4379" s="42"/>
      <c r="AQ4379" s="74"/>
      <c r="AR4379" s="77"/>
      <c r="AT4379" s="497">
        <v>84.740000000000009</v>
      </c>
      <c r="AV4379" s="42"/>
      <c r="AW4379" s="74"/>
      <c r="AX4379" s="77"/>
      <c r="BA4379" s="497">
        <v>69.080000000000013</v>
      </c>
      <c r="BB4379" s="42"/>
      <c r="BC4379" s="74"/>
      <c r="BD4379" s="77"/>
      <c r="BF4379">
        <v>75.02</v>
      </c>
      <c r="BH4379" s="42"/>
      <c r="BI4379" s="74"/>
      <c r="BJ4379" s="77"/>
      <c r="BL4379" s="497">
        <v>75.92</v>
      </c>
      <c r="BN4379" s="42"/>
      <c r="BO4379" s="74"/>
      <c r="BP4379" s="77"/>
      <c r="BR4379" s="497">
        <v>64.94</v>
      </c>
      <c r="BT4379" s="42"/>
    </row>
    <row r="4380" spans="1:72" x14ac:dyDescent="0.25">
      <c r="A4380" s="90">
        <v>34516</v>
      </c>
      <c r="B4380" s="20">
        <v>0.75</v>
      </c>
      <c r="D4380">
        <v>80.06</v>
      </c>
      <c r="E4380" t="str">
        <f t="shared" si="172"/>
        <v>WEEKDAY</v>
      </c>
      <c r="F4380" t="e">
        <f t="shared" si="171"/>
        <v>#N/A</v>
      </c>
      <c r="G4380" s="74">
        <v>31959</v>
      </c>
      <c r="H4380" s="77">
        <v>0.75</v>
      </c>
      <c r="J4380">
        <v>75.92</v>
      </c>
      <c r="M4380" s="74">
        <v>33420</v>
      </c>
      <c r="N4380" s="77">
        <v>0.75</v>
      </c>
      <c r="P4380">
        <v>80.06</v>
      </c>
      <c r="S4380" s="74">
        <v>34516</v>
      </c>
      <c r="T4380" s="77">
        <v>0.75</v>
      </c>
      <c r="V4380">
        <v>71.960000000000008</v>
      </c>
      <c r="X4380" s="42"/>
      <c r="AB4380">
        <v>77.7</v>
      </c>
      <c r="AC4380">
        <v>75.92</v>
      </c>
      <c r="AE4380" s="74"/>
      <c r="AF4380" s="77"/>
      <c r="AH4380" s="497">
        <v>83.12</v>
      </c>
      <c r="AJ4380" s="42"/>
      <c r="AK4380" s="74"/>
      <c r="AL4380" s="77"/>
      <c r="AN4380" s="497">
        <v>66.02</v>
      </c>
      <c r="AP4380" s="42"/>
      <c r="AQ4380" s="74"/>
      <c r="AR4380" s="77"/>
      <c r="AT4380" s="497">
        <v>82.4</v>
      </c>
      <c r="AV4380" s="42"/>
      <c r="AW4380" s="74"/>
      <c r="AX4380" s="77"/>
      <c r="BA4380" s="497">
        <v>71.06</v>
      </c>
      <c r="BB4380" s="42"/>
      <c r="BC4380" s="74"/>
      <c r="BD4380" s="77"/>
      <c r="BF4380">
        <v>73.039999999999992</v>
      </c>
      <c r="BH4380" s="42"/>
      <c r="BI4380" s="74"/>
      <c r="BJ4380" s="77"/>
      <c r="BL4380" s="497">
        <v>69.98</v>
      </c>
      <c r="BN4380" s="42"/>
      <c r="BO4380" s="74"/>
      <c r="BP4380" s="77"/>
      <c r="BR4380" s="497">
        <v>64.039999999999992</v>
      </c>
      <c r="BT4380" s="42"/>
    </row>
    <row r="4381" spans="1:72" x14ac:dyDescent="0.25">
      <c r="A4381" s="90">
        <v>34516</v>
      </c>
      <c r="B4381" s="20">
        <v>0.79166666666666663</v>
      </c>
      <c r="D4381">
        <v>77</v>
      </c>
      <c r="E4381" t="str">
        <f t="shared" si="172"/>
        <v>WEEKDAY</v>
      </c>
      <c r="F4381" t="e">
        <f t="shared" si="171"/>
        <v>#N/A</v>
      </c>
      <c r="G4381" s="74">
        <v>31959</v>
      </c>
      <c r="H4381" s="77">
        <v>0.79166666666666663</v>
      </c>
      <c r="J4381">
        <v>69.080000000000013</v>
      </c>
      <c r="M4381" s="74">
        <v>33420</v>
      </c>
      <c r="N4381" s="77">
        <v>0.79166666666666663</v>
      </c>
      <c r="P4381">
        <v>78.080000000000013</v>
      </c>
      <c r="S4381" s="74">
        <v>34516</v>
      </c>
      <c r="T4381" s="77">
        <v>0.79166666666666663</v>
      </c>
      <c r="V4381">
        <v>71.06</v>
      </c>
      <c r="X4381" s="42"/>
      <c r="AB4381">
        <v>76.3</v>
      </c>
      <c r="AC4381">
        <v>73.039999999999992</v>
      </c>
      <c r="AE4381" s="74"/>
      <c r="AF4381" s="77"/>
      <c r="AH4381" s="497">
        <v>80.599999999999994</v>
      </c>
      <c r="AJ4381" s="42"/>
      <c r="AK4381" s="74"/>
      <c r="AL4381" s="77"/>
      <c r="AN4381" s="497">
        <v>64.039999999999992</v>
      </c>
      <c r="AP4381" s="42"/>
      <c r="AQ4381" s="74"/>
      <c r="AR4381" s="77"/>
      <c r="AT4381" s="497">
        <v>80.06</v>
      </c>
      <c r="AV4381" s="42"/>
      <c r="AW4381" s="74"/>
      <c r="AX4381" s="77"/>
      <c r="BA4381" s="497">
        <v>69.080000000000013</v>
      </c>
      <c r="BB4381" s="42"/>
      <c r="BC4381" s="74"/>
      <c r="BD4381" s="77"/>
      <c r="BF4381">
        <v>71.960000000000008</v>
      </c>
      <c r="BH4381" s="42"/>
      <c r="BI4381" s="74"/>
      <c r="BJ4381" s="77"/>
      <c r="BL4381" s="497">
        <v>66.02</v>
      </c>
      <c r="BN4381" s="42"/>
      <c r="BO4381" s="74"/>
      <c r="BP4381" s="77"/>
      <c r="BR4381" s="497">
        <v>64.94</v>
      </c>
      <c r="BT4381" s="42"/>
    </row>
    <row r="4382" spans="1:72" x14ac:dyDescent="0.25">
      <c r="A4382" s="90">
        <v>34516</v>
      </c>
      <c r="B4382" s="20">
        <v>0.83333333333333337</v>
      </c>
      <c r="D4382">
        <v>75.02</v>
      </c>
      <c r="E4382" t="str">
        <f t="shared" si="172"/>
        <v>WEEKDAY</v>
      </c>
      <c r="F4382" t="e">
        <f t="shared" si="171"/>
        <v>#N/A</v>
      </c>
      <c r="G4382" s="74">
        <v>31959</v>
      </c>
      <c r="H4382" s="77">
        <v>0.83333333333333337</v>
      </c>
      <c r="J4382">
        <v>69.98</v>
      </c>
      <c r="M4382" s="74">
        <v>33420</v>
      </c>
      <c r="N4382" s="77">
        <v>0.83333333333333337</v>
      </c>
      <c r="P4382">
        <v>69.080000000000013</v>
      </c>
      <c r="S4382" s="74">
        <v>34516</v>
      </c>
      <c r="T4382" s="77">
        <v>0.83333333333333337</v>
      </c>
      <c r="V4382">
        <v>68</v>
      </c>
      <c r="X4382" s="42"/>
      <c r="AB4382">
        <v>74.900000000000006</v>
      </c>
      <c r="AC4382">
        <v>71.06</v>
      </c>
      <c r="AE4382" s="74"/>
      <c r="AF4382" s="77"/>
      <c r="AH4382" s="497">
        <v>77</v>
      </c>
      <c r="AJ4382" s="42"/>
      <c r="AK4382" s="74"/>
      <c r="AL4382" s="77"/>
      <c r="AN4382" s="497">
        <v>62.96</v>
      </c>
      <c r="AP4382" s="42"/>
      <c r="AQ4382" s="74"/>
      <c r="AR4382" s="77"/>
      <c r="AT4382" s="497">
        <v>75.02</v>
      </c>
      <c r="AV4382" s="42"/>
      <c r="AW4382" s="74"/>
      <c r="AX4382" s="77"/>
      <c r="BA4382" s="497">
        <v>64.039999999999992</v>
      </c>
      <c r="BB4382" s="42"/>
      <c r="BC4382" s="74"/>
      <c r="BD4382" s="77"/>
      <c r="BF4382">
        <v>71.06</v>
      </c>
      <c r="BH4382" s="42"/>
      <c r="BI4382" s="74"/>
      <c r="BJ4382" s="77"/>
      <c r="BL4382" s="497">
        <v>66.02</v>
      </c>
      <c r="BN4382" s="42"/>
      <c r="BO4382" s="74"/>
      <c r="BP4382" s="77"/>
      <c r="BR4382" s="497">
        <v>62.06</v>
      </c>
      <c r="BT4382" s="42"/>
    </row>
    <row r="4383" spans="1:72" x14ac:dyDescent="0.25">
      <c r="A4383" s="90">
        <v>34516</v>
      </c>
      <c r="B4383" s="20">
        <v>0.875</v>
      </c>
      <c r="D4383">
        <v>73.94</v>
      </c>
      <c r="E4383" t="str">
        <f t="shared" si="172"/>
        <v>WEEKDAY</v>
      </c>
      <c r="F4383" t="e">
        <f t="shared" si="171"/>
        <v>#N/A</v>
      </c>
      <c r="G4383" s="74">
        <v>31959</v>
      </c>
      <c r="H4383" s="77">
        <v>0.875</v>
      </c>
      <c r="J4383">
        <v>69.98</v>
      </c>
      <c r="M4383" s="74">
        <v>33420</v>
      </c>
      <c r="N4383" s="77">
        <v>0.875</v>
      </c>
      <c r="P4383">
        <v>64.94</v>
      </c>
      <c r="S4383" s="74">
        <v>34516</v>
      </c>
      <c r="T4383" s="77">
        <v>0.875</v>
      </c>
      <c r="V4383">
        <v>68</v>
      </c>
      <c r="X4383" s="42"/>
      <c r="AB4383">
        <v>73.8</v>
      </c>
      <c r="AC4383">
        <v>71.06</v>
      </c>
      <c r="AE4383" s="74"/>
      <c r="AF4383" s="77"/>
      <c r="AH4383" s="497">
        <v>71.599999999999994</v>
      </c>
      <c r="AJ4383" s="42"/>
      <c r="AK4383" s="74"/>
      <c r="AL4383" s="77"/>
      <c r="AN4383" s="497">
        <v>60.980000000000004</v>
      </c>
      <c r="AP4383" s="42"/>
      <c r="AQ4383" s="74"/>
      <c r="AR4383" s="77"/>
      <c r="AT4383" s="497">
        <v>69.98</v>
      </c>
      <c r="AV4383" s="42"/>
      <c r="AW4383" s="74"/>
      <c r="AX4383" s="77"/>
      <c r="BA4383" s="497">
        <v>62.06</v>
      </c>
      <c r="BB4383" s="42"/>
      <c r="BC4383" s="74"/>
      <c r="BD4383" s="77"/>
      <c r="BF4383">
        <v>69.080000000000013</v>
      </c>
      <c r="BH4383" s="42"/>
      <c r="BI4383" s="74"/>
      <c r="BJ4383" s="77"/>
      <c r="BL4383" s="497">
        <v>64.039999999999992</v>
      </c>
      <c r="BN4383" s="42"/>
      <c r="BO4383" s="74"/>
      <c r="BP4383" s="77"/>
      <c r="BR4383" s="497">
        <v>60.08</v>
      </c>
      <c r="BT4383" s="42"/>
    </row>
    <row r="4384" spans="1:72" x14ac:dyDescent="0.25">
      <c r="A4384" s="90">
        <v>34516</v>
      </c>
      <c r="B4384" s="20">
        <v>0.91666666666666663</v>
      </c>
      <c r="D4384">
        <v>73.039999999999992</v>
      </c>
      <c r="E4384" t="str">
        <f t="shared" si="172"/>
        <v>WEEKDAY</v>
      </c>
      <c r="F4384" t="e">
        <f t="shared" si="171"/>
        <v>#N/A</v>
      </c>
      <c r="G4384" s="74">
        <v>31959</v>
      </c>
      <c r="H4384" s="77">
        <v>0.91666666666666663</v>
      </c>
      <c r="J4384">
        <v>69.98</v>
      </c>
      <c r="M4384" s="74">
        <v>33420</v>
      </c>
      <c r="N4384" s="77">
        <v>0.91666666666666663</v>
      </c>
      <c r="P4384">
        <v>64.94</v>
      </c>
      <c r="S4384" s="74">
        <v>34516</v>
      </c>
      <c r="T4384" s="77">
        <v>0.91666666666666663</v>
      </c>
      <c r="V4384">
        <v>66.92</v>
      </c>
      <c r="X4384" s="42"/>
      <c r="AB4384">
        <v>73.099999999999994</v>
      </c>
      <c r="AC4384">
        <v>71.06</v>
      </c>
      <c r="AE4384" s="74"/>
      <c r="AF4384" s="77"/>
      <c r="AH4384" s="497">
        <v>69.800000000000011</v>
      </c>
      <c r="AJ4384" s="42"/>
      <c r="AK4384" s="74"/>
      <c r="AL4384" s="77"/>
      <c r="AN4384" s="497">
        <v>60.08</v>
      </c>
      <c r="AP4384" s="42"/>
      <c r="AQ4384" s="74"/>
      <c r="AR4384" s="77"/>
      <c r="AT4384" s="497">
        <v>64.94</v>
      </c>
      <c r="AV4384" s="42"/>
      <c r="AW4384" s="74"/>
      <c r="AX4384" s="77"/>
      <c r="BA4384" s="497">
        <v>60.08</v>
      </c>
      <c r="BB4384" s="42"/>
      <c r="BC4384" s="74"/>
      <c r="BD4384" s="77"/>
      <c r="BF4384">
        <v>68</v>
      </c>
      <c r="BH4384" s="42"/>
      <c r="BI4384" s="74"/>
      <c r="BJ4384" s="77"/>
      <c r="BL4384" s="497">
        <v>62.96</v>
      </c>
      <c r="BN4384" s="42"/>
      <c r="BO4384" s="74"/>
      <c r="BP4384" s="77"/>
      <c r="BR4384" s="497">
        <v>55.94</v>
      </c>
      <c r="BT4384" s="42"/>
    </row>
    <row r="4385" spans="1:72" x14ac:dyDescent="0.25">
      <c r="A4385" s="90">
        <v>34516</v>
      </c>
      <c r="B4385" s="20">
        <v>0.95833333333333337</v>
      </c>
      <c r="D4385">
        <v>73.039999999999992</v>
      </c>
      <c r="E4385" t="str">
        <f t="shared" si="172"/>
        <v>WEEKDAY</v>
      </c>
      <c r="F4385" t="e">
        <f t="shared" si="171"/>
        <v>#N/A</v>
      </c>
      <c r="G4385" s="74">
        <v>31959</v>
      </c>
      <c r="H4385" s="77">
        <v>0.95833333333333337</v>
      </c>
      <c r="J4385">
        <v>69.98</v>
      </c>
      <c r="M4385" s="74">
        <v>33420</v>
      </c>
      <c r="N4385" s="77">
        <v>0.95833333333333337</v>
      </c>
      <c r="P4385">
        <v>64.94</v>
      </c>
      <c r="S4385" s="74">
        <v>34516</v>
      </c>
      <c r="T4385" s="77">
        <v>0.95833333333333337</v>
      </c>
      <c r="V4385">
        <v>66.02</v>
      </c>
      <c r="X4385" s="42"/>
      <c r="AB4385">
        <v>72.599999999999994</v>
      </c>
      <c r="AC4385">
        <v>71.06</v>
      </c>
      <c r="AE4385" s="74"/>
      <c r="AF4385" s="77"/>
      <c r="AH4385" s="497">
        <v>66.2</v>
      </c>
      <c r="AJ4385" s="42"/>
      <c r="AK4385" s="74"/>
      <c r="AL4385" s="77"/>
      <c r="AN4385" s="497">
        <v>59</v>
      </c>
      <c r="AP4385" s="42"/>
      <c r="AQ4385" s="74"/>
      <c r="AR4385" s="77"/>
      <c r="AT4385" s="497">
        <v>64.039999999999992</v>
      </c>
      <c r="AV4385" s="42"/>
      <c r="AW4385" s="74"/>
      <c r="AX4385" s="77"/>
      <c r="BA4385" s="497">
        <v>59</v>
      </c>
      <c r="BB4385" s="42"/>
      <c r="BC4385" s="74"/>
      <c r="BD4385" s="77"/>
      <c r="BF4385">
        <v>66.02</v>
      </c>
      <c r="BH4385" s="42"/>
      <c r="BI4385" s="74"/>
      <c r="BJ4385" s="77"/>
      <c r="BL4385" s="497">
        <v>62.96</v>
      </c>
      <c r="BN4385" s="42"/>
      <c r="BO4385" s="74"/>
      <c r="BP4385" s="77"/>
      <c r="BR4385" s="497">
        <v>53.96</v>
      </c>
      <c r="BT4385" s="42"/>
    </row>
    <row r="4386" spans="1:72" x14ac:dyDescent="0.25">
      <c r="A4386" s="90">
        <v>34516</v>
      </c>
      <c r="B4386" s="20">
        <v>1</v>
      </c>
      <c r="D4386">
        <v>73.039999999999992</v>
      </c>
      <c r="E4386" t="str">
        <f t="shared" si="172"/>
        <v>WEEKDAY</v>
      </c>
      <c r="F4386" t="e">
        <f t="shared" si="171"/>
        <v>#N/A</v>
      </c>
      <c r="G4386" s="74">
        <v>31959</v>
      </c>
      <c r="H4386" s="77">
        <v>1</v>
      </c>
      <c r="J4386">
        <v>69.080000000000013</v>
      </c>
      <c r="M4386" s="74">
        <v>33420</v>
      </c>
      <c r="N4386" s="80">
        <v>1</v>
      </c>
      <c r="P4386">
        <v>62.06</v>
      </c>
      <c r="S4386" s="74">
        <v>34516</v>
      </c>
      <c r="T4386" s="80">
        <v>1</v>
      </c>
      <c r="V4386">
        <v>66.02</v>
      </c>
      <c r="X4386" s="42"/>
      <c r="AB4386">
        <v>72.099999999999994</v>
      </c>
      <c r="AC4386">
        <v>69.98</v>
      </c>
      <c r="AE4386" s="74"/>
      <c r="AF4386" s="80"/>
      <c r="AH4386" s="497">
        <v>62.6</v>
      </c>
      <c r="AJ4386" s="42"/>
      <c r="AK4386" s="74"/>
      <c r="AL4386" s="80"/>
      <c r="AN4386" s="497">
        <v>57.92</v>
      </c>
      <c r="AP4386" s="42"/>
      <c r="AQ4386" s="74"/>
      <c r="AR4386" s="80"/>
      <c r="AT4386" s="497">
        <v>62.96</v>
      </c>
      <c r="AV4386" s="42"/>
      <c r="AW4386" s="74"/>
      <c r="AX4386" s="80"/>
      <c r="BA4386" s="497">
        <v>57.92</v>
      </c>
      <c r="BB4386" s="42"/>
      <c r="BC4386" s="74"/>
      <c r="BD4386" s="80"/>
      <c r="BF4386">
        <v>64.94</v>
      </c>
      <c r="BH4386" s="42"/>
      <c r="BI4386" s="74"/>
      <c r="BJ4386" s="80"/>
      <c r="BL4386" s="497">
        <v>62.06</v>
      </c>
      <c r="BN4386" s="42"/>
      <c r="BO4386" s="74"/>
      <c r="BP4386" s="80"/>
      <c r="BR4386" s="497">
        <v>51.980000000000004</v>
      </c>
      <c r="BT4386" s="42"/>
    </row>
    <row r="4387" spans="1:72" x14ac:dyDescent="0.25">
      <c r="A4387" s="90">
        <v>34517</v>
      </c>
      <c r="B4387" s="20">
        <v>4.1666666666666664E-2</v>
      </c>
      <c r="D4387">
        <v>71.960000000000008</v>
      </c>
      <c r="E4387" t="str">
        <f t="shared" si="172"/>
        <v>SATURDAY</v>
      </c>
      <c r="F4387" t="e">
        <f t="shared" si="171"/>
        <v>#N/A</v>
      </c>
      <c r="G4387" s="74">
        <v>31960</v>
      </c>
      <c r="H4387" s="77">
        <v>4.1666666666666664E-2</v>
      </c>
      <c r="J4387">
        <v>69.080000000000013</v>
      </c>
      <c r="M4387" s="74">
        <v>33421</v>
      </c>
      <c r="N4387" s="77">
        <v>4.1666666666666664E-2</v>
      </c>
      <c r="P4387">
        <v>60.980000000000004</v>
      </c>
      <c r="S4387" s="74">
        <v>34517</v>
      </c>
      <c r="T4387" s="77">
        <v>4.1666666666666664E-2</v>
      </c>
      <c r="V4387">
        <v>66.02</v>
      </c>
      <c r="X4387" s="42"/>
      <c r="AB4387">
        <v>71.5</v>
      </c>
      <c r="AC4387">
        <v>69.98</v>
      </c>
      <c r="AE4387" s="74"/>
      <c r="AF4387" s="77"/>
      <c r="AH4387" s="497">
        <v>62.6</v>
      </c>
      <c r="AJ4387" s="42"/>
      <c r="AK4387" s="74"/>
      <c r="AL4387" s="77"/>
      <c r="AN4387" s="497">
        <v>57.019999999999996</v>
      </c>
      <c r="AP4387" s="42"/>
      <c r="AQ4387" s="74"/>
      <c r="AR4387" s="77"/>
      <c r="AT4387" s="497">
        <v>62.06</v>
      </c>
      <c r="AV4387" s="42"/>
      <c r="AW4387" s="74"/>
      <c r="AX4387" s="77"/>
      <c r="BA4387" s="497">
        <v>57.019999999999996</v>
      </c>
      <c r="BB4387" s="42"/>
      <c r="BC4387" s="74"/>
      <c r="BD4387" s="77"/>
      <c r="BF4387">
        <v>66.02</v>
      </c>
      <c r="BH4387" s="42"/>
      <c r="BI4387" s="74"/>
      <c r="BJ4387" s="77"/>
      <c r="BL4387" s="497">
        <v>62.06</v>
      </c>
      <c r="BN4387" s="42"/>
      <c r="BO4387" s="74"/>
      <c r="BP4387" s="77"/>
      <c r="BR4387" s="497">
        <v>50</v>
      </c>
      <c r="BT4387" s="42"/>
    </row>
    <row r="4388" spans="1:72" x14ac:dyDescent="0.25">
      <c r="A4388" s="90">
        <v>34517</v>
      </c>
      <c r="B4388" s="20">
        <v>8.3333333333333329E-2</v>
      </c>
      <c r="D4388">
        <v>71.960000000000008</v>
      </c>
      <c r="E4388" t="str">
        <f t="shared" si="172"/>
        <v>SATURDAY</v>
      </c>
      <c r="F4388" t="e">
        <f t="shared" si="171"/>
        <v>#N/A</v>
      </c>
      <c r="G4388" s="74">
        <v>31960</v>
      </c>
      <c r="H4388" s="77">
        <v>8.3333333333333329E-2</v>
      </c>
      <c r="J4388">
        <v>68</v>
      </c>
      <c r="M4388" s="74">
        <v>33421</v>
      </c>
      <c r="N4388" s="77">
        <v>8.3333333333333329E-2</v>
      </c>
      <c r="P4388">
        <v>62.96</v>
      </c>
      <c r="S4388" s="74">
        <v>34517</v>
      </c>
      <c r="T4388" s="77">
        <v>8.3333333333333329E-2</v>
      </c>
      <c r="V4388">
        <v>66.02</v>
      </c>
      <c r="X4388" s="42"/>
      <c r="AB4388">
        <v>70.900000000000006</v>
      </c>
      <c r="AC4388">
        <v>69.080000000000013</v>
      </c>
      <c r="AE4388" s="74"/>
      <c r="AF4388" s="77"/>
      <c r="AH4388" s="497">
        <v>60.8</v>
      </c>
      <c r="AJ4388" s="42"/>
      <c r="AK4388" s="74"/>
      <c r="AL4388" s="77"/>
      <c r="AN4388" s="497">
        <v>50</v>
      </c>
      <c r="AP4388" s="42"/>
      <c r="AQ4388" s="74"/>
      <c r="AR4388" s="77"/>
      <c r="AT4388" s="497">
        <v>62.78</v>
      </c>
      <c r="AV4388" s="42"/>
      <c r="AW4388" s="74"/>
      <c r="AX4388" s="77"/>
      <c r="BA4388" s="497">
        <v>59</v>
      </c>
      <c r="BB4388" s="42"/>
      <c r="BC4388" s="74"/>
      <c r="BD4388" s="77"/>
      <c r="BF4388">
        <v>69.080000000000013</v>
      </c>
      <c r="BH4388" s="42"/>
      <c r="BI4388" s="74"/>
      <c r="BJ4388" s="77"/>
      <c r="BL4388" s="497">
        <v>62.96</v>
      </c>
      <c r="BN4388" s="42"/>
      <c r="BO4388" s="74"/>
      <c r="BP4388" s="77"/>
      <c r="BR4388" s="497">
        <v>48.92</v>
      </c>
      <c r="BT4388" s="42"/>
    </row>
    <row r="4389" spans="1:72" x14ac:dyDescent="0.25">
      <c r="A4389" s="90">
        <v>34517</v>
      </c>
      <c r="B4389" s="20">
        <v>0.125</v>
      </c>
      <c r="D4389">
        <v>71.960000000000008</v>
      </c>
      <c r="E4389" t="str">
        <f t="shared" si="172"/>
        <v>SATURDAY</v>
      </c>
      <c r="F4389" t="e">
        <f t="shared" si="171"/>
        <v>#N/A</v>
      </c>
      <c r="G4389" s="74">
        <v>31960</v>
      </c>
      <c r="H4389" s="77">
        <v>0.125</v>
      </c>
      <c r="J4389">
        <v>68</v>
      </c>
      <c r="M4389" s="74">
        <v>33421</v>
      </c>
      <c r="N4389" s="77">
        <v>0.125</v>
      </c>
      <c r="P4389">
        <v>62.96</v>
      </c>
      <c r="S4389" s="74">
        <v>34517</v>
      </c>
      <c r="T4389" s="77">
        <v>0.125</v>
      </c>
      <c r="V4389">
        <v>64.94</v>
      </c>
      <c r="X4389" s="42"/>
      <c r="AB4389">
        <v>70.400000000000006</v>
      </c>
      <c r="AC4389">
        <v>66.92</v>
      </c>
      <c r="AE4389" s="74"/>
      <c r="AF4389" s="77"/>
      <c r="AH4389" s="497">
        <v>58.82</v>
      </c>
      <c r="AJ4389" s="42"/>
      <c r="AK4389" s="74"/>
      <c r="AL4389" s="77"/>
      <c r="AN4389" s="497">
        <v>48.92</v>
      </c>
      <c r="AP4389" s="42"/>
      <c r="AQ4389" s="74"/>
      <c r="AR4389" s="77"/>
      <c r="AT4389" s="497">
        <v>63.319999999999993</v>
      </c>
      <c r="AV4389" s="42"/>
      <c r="AW4389" s="74"/>
      <c r="AX4389" s="77"/>
      <c r="BA4389" s="497">
        <v>57.92</v>
      </c>
      <c r="BB4389" s="42"/>
      <c r="BC4389" s="74"/>
      <c r="BD4389" s="77"/>
      <c r="BF4389">
        <v>69.080000000000013</v>
      </c>
      <c r="BH4389" s="42"/>
      <c r="BI4389" s="74"/>
      <c r="BJ4389" s="77"/>
      <c r="BL4389" s="497">
        <v>62.96</v>
      </c>
      <c r="BN4389" s="42"/>
      <c r="BO4389" s="74"/>
      <c r="BP4389" s="77"/>
      <c r="BR4389" s="497">
        <v>48.92</v>
      </c>
      <c r="BT4389" s="42"/>
    </row>
    <row r="4390" spans="1:72" x14ac:dyDescent="0.25">
      <c r="A4390" s="90">
        <v>34517</v>
      </c>
      <c r="B4390" s="20">
        <v>0.16666666666666666</v>
      </c>
      <c r="D4390">
        <v>71.06</v>
      </c>
      <c r="E4390" t="str">
        <f t="shared" si="172"/>
        <v>SATURDAY</v>
      </c>
      <c r="F4390" t="e">
        <f t="shared" si="171"/>
        <v>#N/A</v>
      </c>
      <c r="G4390" s="74">
        <v>31960</v>
      </c>
      <c r="H4390" s="77">
        <v>0.16666666666666666</v>
      </c>
      <c r="J4390">
        <v>66.92</v>
      </c>
      <c r="M4390" s="74">
        <v>33421</v>
      </c>
      <c r="N4390" s="77">
        <v>0.16666666666666666</v>
      </c>
      <c r="P4390">
        <v>62.06</v>
      </c>
      <c r="S4390" s="74">
        <v>34517</v>
      </c>
      <c r="T4390" s="77">
        <v>0.16666666666666666</v>
      </c>
      <c r="V4390">
        <v>66.02</v>
      </c>
      <c r="X4390" s="42"/>
      <c r="AB4390">
        <v>69.900000000000006</v>
      </c>
      <c r="AC4390">
        <v>66.02</v>
      </c>
      <c r="AE4390" s="74"/>
      <c r="AF4390" s="77"/>
      <c r="AH4390" s="497">
        <v>57.2</v>
      </c>
      <c r="AJ4390" s="42"/>
      <c r="AK4390" s="74"/>
      <c r="AL4390" s="77"/>
      <c r="AN4390" s="497">
        <v>51.08</v>
      </c>
      <c r="AP4390" s="42"/>
      <c r="AQ4390" s="74"/>
      <c r="AR4390" s="77"/>
      <c r="AT4390" s="497">
        <v>64.039999999999992</v>
      </c>
      <c r="AV4390" s="42"/>
      <c r="AW4390" s="74"/>
      <c r="AX4390" s="77"/>
      <c r="BA4390" s="497">
        <v>57.92</v>
      </c>
      <c r="BB4390" s="42"/>
      <c r="BC4390" s="74"/>
      <c r="BD4390" s="77"/>
      <c r="BF4390">
        <v>69.98</v>
      </c>
      <c r="BH4390" s="42"/>
      <c r="BI4390" s="74"/>
      <c r="BJ4390" s="77"/>
      <c r="BL4390" s="497">
        <v>62.96</v>
      </c>
      <c r="BN4390" s="42"/>
      <c r="BO4390" s="74"/>
      <c r="BP4390" s="77"/>
      <c r="BR4390" s="497">
        <v>48.92</v>
      </c>
      <c r="BT4390" s="42"/>
    </row>
    <row r="4391" spans="1:72" x14ac:dyDescent="0.25">
      <c r="A4391" s="90">
        <v>34517</v>
      </c>
      <c r="B4391" s="20">
        <v>0.20833333333333334</v>
      </c>
      <c r="D4391">
        <v>71.06</v>
      </c>
      <c r="E4391" t="str">
        <f t="shared" si="172"/>
        <v>SATURDAY</v>
      </c>
      <c r="F4391" t="e">
        <f t="shared" si="171"/>
        <v>#N/A</v>
      </c>
      <c r="G4391" s="74">
        <v>31960</v>
      </c>
      <c r="H4391" s="77">
        <v>0.20833333333333334</v>
      </c>
      <c r="J4391">
        <v>68</v>
      </c>
      <c r="M4391" s="74">
        <v>33421</v>
      </c>
      <c r="N4391" s="77">
        <v>0.20833333333333334</v>
      </c>
      <c r="P4391">
        <v>64.039999999999992</v>
      </c>
      <c r="S4391" s="74">
        <v>34517</v>
      </c>
      <c r="T4391" s="77">
        <v>0.20833333333333334</v>
      </c>
      <c r="V4391">
        <v>64.94</v>
      </c>
      <c r="X4391" s="42"/>
      <c r="AB4391">
        <v>69.5</v>
      </c>
      <c r="AC4391">
        <v>66.02</v>
      </c>
      <c r="AE4391" s="74"/>
      <c r="AF4391" s="77"/>
      <c r="AH4391" s="497">
        <v>59</v>
      </c>
      <c r="AJ4391" s="42"/>
      <c r="AK4391" s="74"/>
      <c r="AL4391" s="77"/>
      <c r="AN4391" s="497">
        <v>48.92</v>
      </c>
      <c r="AP4391" s="42"/>
      <c r="AQ4391" s="74"/>
      <c r="AR4391" s="77"/>
      <c r="AT4391" s="497">
        <v>66.38</v>
      </c>
      <c r="AV4391" s="42"/>
      <c r="AW4391" s="74"/>
      <c r="AX4391" s="77"/>
      <c r="BA4391" s="497">
        <v>57.019999999999996</v>
      </c>
      <c r="BB4391" s="42"/>
      <c r="BC4391" s="74"/>
      <c r="BD4391" s="77"/>
      <c r="BF4391">
        <v>69.98</v>
      </c>
      <c r="BH4391" s="42"/>
      <c r="BI4391" s="74"/>
      <c r="BJ4391" s="77"/>
      <c r="BL4391" s="497">
        <v>62.96</v>
      </c>
      <c r="BN4391" s="42"/>
      <c r="BO4391" s="74"/>
      <c r="BP4391" s="77"/>
      <c r="BR4391" s="497">
        <v>48.92</v>
      </c>
      <c r="BT4391" s="42"/>
    </row>
    <row r="4392" spans="1:72" x14ac:dyDescent="0.25">
      <c r="A4392" s="90">
        <v>34517</v>
      </c>
      <c r="B4392" s="20">
        <v>0.25</v>
      </c>
      <c r="D4392">
        <v>71.960000000000008</v>
      </c>
      <c r="E4392" t="str">
        <f t="shared" si="172"/>
        <v>SATURDAY</v>
      </c>
      <c r="F4392" t="e">
        <f t="shared" si="171"/>
        <v>#N/A</v>
      </c>
      <c r="G4392" s="74">
        <v>31960</v>
      </c>
      <c r="H4392" s="77">
        <v>0.25</v>
      </c>
      <c r="J4392">
        <v>66.92</v>
      </c>
      <c r="M4392" s="74">
        <v>33421</v>
      </c>
      <c r="N4392" s="77">
        <v>0.25</v>
      </c>
      <c r="P4392">
        <v>64.94</v>
      </c>
      <c r="S4392" s="74">
        <v>34517</v>
      </c>
      <c r="T4392" s="77">
        <v>0.25</v>
      </c>
      <c r="V4392">
        <v>68</v>
      </c>
      <c r="X4392" s="42"/>
      <c r="AB4392">
        <v>69.3</v>
      </c>
      <c r="AC4392">
        <v>66.02</v>
      </c>
      <c r="AE4392" s="74"/>
      <c r="AF4392" s="77"/>
      <c r="AH4392" s="497">
        <v>61.34</v>
      </c>
      <c r="AJ4392" s="42"/>
      <c r="AK4392" s="74"/>
      <c r="AL4392" s="77"/>
      <c r="AN4392" s="497">
        <v>51.980000000000004</v>
      </c>
      <c r="AP4392" s="42"/>
      <c r="AQ4392" s="74"/>
      <c r="AR4392" s="77"/>
      <c r="AT4392" s="497">
        <v>68.72</v>
      </c>
      <c r="AV4392" s="42"/>
      <c r="AW4392" s="74"/>
      <c r="AX4392" s="77"/>
      <c r="BA4392" s="497">
        <v>57.019999999999996</v>
      </c>
      <c r="BB4392" s="42"/>
      <c r="BC4392" s="74"/>
      <c r="BD4392" s="77"/>
      <c r="BF4392">
        <v>69.080000000000013</v>
      </c>
      <c r="BH4392" s="42"/>
      <c r="BI4392" s="74"/>
      <c r="BJ4392" s="77"/>
      <c r="BL4392" s="497">
        <v>64.039999999999992</v>
      </c>
      <c r="BN4392" s="42"/>
      <c r="BO4392" s="74"/>
      <c r="BP4392" s="77"/>
      <c r="BR4392" s="497">
        <v>51.08</v>
      </c>
      <c r="BT4392" s="42"/>
    </row>
    <row r="4393" spans="1:72" x14ac:dyDescent="0.25">
      <c r="A4393" s="90">
        <v>34517</v>
      </c>
      <c r="B4393" s="20">
        <v>0.29166666666666669</v>
      </c>
      <c r="D4393">
        <v>77</v>
      </c>
      <c r="E4393" t="str">
        <f t="shared" si="172"/>
        <v>SATURDAY</v>
      </c>
      <c r="F4393" t="e">
        <f t="shared" si="171"/>
        <v>#N/A</v>
      </c>
      <c r="G4393" s="74">
        <v>31960</v>
      </c>
      <c r="H4393" s="77">
        <v>0.29166666666666669</v>
      </c>
      <c r="J4393">
        <v>66.02</v>
      </c>
      <c r="M4393" s="74">
        <v>33421</v>
      </c>
      <c r="N4393" s="77">
        <v>0.29166666666666669</v>
      </c>
      <c r="P4393">
        <v>68</v>
      </c>
      <c r="S4393" s="74">
        <v>34517</v>
      </c>
      <c r="T4393" s="77">
        <v>0.29166666666666669</v>
      </c>
      <c r="V4393">
        <v>73.039999999999992</v>
      </c>
      <c r="X4393" s="42"/>
      <c r="AB4393">
        <v>70.900000000000006</v>
      </c>
      <c r="AC4393">
        <v>73.039999999999992</v>
      </c>
      <c r="AE4393" s="74"/>
      <c r="AF4393" s="77"/>
      <c r="AH4393" s="497">
        <v>66.2</v>
      </c>
      <c r="AJ4393" s="42"/>
      <c r="AK4393" s="74"/>
      <c r="AL4393" s="77"/>
      <c r="AN4393" s="497">
        <v>55.94</v>
      </c>
      <c r="AP4393" s="42"/>
      <c r="AQ4393" s="74"/>
      <c r="AR4393" s="77"/>
      <c r="AT4393" s="497">
        <v>71.06</v>
      </c>
      <c r="AV4393" s="42"/>
      <c r="AW4393" s="74"/>
      <c r="AX4393" s="77"/>
      <c r="BA4393" s="497">
        <v>62.96</v>
      </c>
      <c r="BB4393" s="42"/>
      <c r="BC4393" s="74"/>
      <c r="BD4393" s="77"/>
      <c r="BF4393">
        <v>66.92</v>
      </c>
      <c r="BH4393" s="42"/>
      <c r="BI4393" s="74"/>
      <c r="BJ4393" s="77"/>
      <c r="BL4393" s="497">
        <v>64.94</v>
      </c>
      <c r="BN4393" s="42"/>
      <c r="BO4393" s="74"/>
      <c r="BP4393" s="77"/>
      <c r="BR4393" s="497">
        <v>53.96</v>
      </c>
      <c r="BT4393" s="42"/>
    </row>
    <row r="4394" spans="1:72" x14ac:dyDescent="0.25">
      <c r="A4394" s="90">
        <v>34517</v>
      </c>
      <c r="B4394" s="20">
        <v>0.33333333333333331</v>
      </c>
      <c r="D4394">
        <v>82.039999999999992</v>
      </c>
      <c r="E4394" t="str">
        <f t="shared" si="172"/>
        <v>SATURDAY</v>
      </c>
      <c r="F4394" t="e">
        <f t="shared" si="171"/>
        <v>#N/A</v>
      </c>
      <c r="G4394" s="74">
        <v>31960</v>
      </c>
      <c r="H4394" s="77">
        <v>0.33333333333333331</v>
      </c>
      <c r="J4394">
        <v>66.02</v>
      </c>
      <c r="M4394" s="74">
        <v>33421</v>
      </c>
      <c r="N4394" s="77">
        <v>0.33333333333333331</v>
      </c>
      <c r="P4394">
        <v>71.06</v>
      </c>
      <c r="S4394" s="74">
        <v>34517</v>
      </c>
      <c r="T4394" s="77">
        <v>0.33333333333333331</v>
      </c>
      <c r="V4394">
        <v>75.92</v>
      </c>
      <c r="X4394" s="42"/>
      <c r="AB4394">
        <v>72.900000000000006</v>
      </c>
      <c r="AC4394">
        <v>75.92</v>
      </c>
      <c r="AE4394" s="74"/>
      <c r="AF4394" s="77"/>
      <c r="AH4394" s="497">
        <v>71.599999999999994</v>
      </c>
      <c r="AJ4394" s="42"/>
      <c r="AK4394" s="74"/>
      <c r="AL4394" s="77"/>
      <c r="AN4394" s="497">
        <v>60.08</v>
      </c>
      <c r="AP4394" s="42"/>
      <c r="AQ4394" s="74"/>
      <c r="AR4394" s="77"/>
      <c r="AT4394" s="497">
        <v>72.319999999999993</v>
      </c>
      <c r="AV4394" s="42"/>
      <c r="AW4394" s="74"/>
      <c r="AX4394" s="77"/>
      <c r="BA4394" s="497">
        <v>68</v>
      </c>
      <c r="BB4394" s="42"/>
      <c r="BC4394" s="74"/>
      <c r="BD4394" s="77"/>
      <c r="BF4394">
        <v>68</v>
      </c>
      <c r="BH4394" s="42"/>
      <c r="BI4394" s="74"/>
      <c r="BJ4394" s="77"/>
      <c r="BL4394" s="497">
        <v>64.94</v>
      </c>
      <c r="BN4394" s="42"/>
      <c r="BO4394" s="74"/>
      <c r="BP4394" s="77"/>
      <c r="BR4394" s="497">
        <v>57.92</v>
      </c>
      <c r="BT4394" s="42"/>
    </row>
    <row r="4395" spans="1:72" x14ac:dyDescent="0.25">
      <c r="A4395" s="90">
        <v>34517</v>
      </c>
      <c r="B4395" s="20">
        <v>0.375</v>
      </c>
      <c r="D4395">
        <v>82.94</v>
      </c>
      <c r="E4395" t="str">
        <f t="shared" si="172"/>
        <v>SATURDAY</v>
      </c>
      <c r="F4395" t="e">
        <f t="shared" ref="F4395:F4458" si="173">IF(E4395="WEEKDAY",VLOOKUP(B4395,$DD$19:$DG$42,2),IF(E4395="SATURDAY",VLOOKUP(B4395,$DD$19:$DG$42,3),VLOOKUP(B4395,$DD$19:$DG$42,4)))</f>
        <v>#N/A</v>
      </c>
      <c r="G4395" s="74">
        <v>31960</v>
      </c>
      <c r="H4395" s="77">
        <v>0.375</v>
      </c>
      <c r="J4395">
        <v>66.02</v>
      </c>
      <c r="M4395" s="74">
        <v>33421</v>
      </c>
      <c r="N4395" s="77">
        <v>0.375</v>
      </c>
      <c r="P4395">
        <v>75.02</v>
      </c>
      <c r="S4395" s="74">
        <v>34517</v>
      </c>
      <c r="T4395" s="77">
        <v>0.375</v>
      </c>
      <c r="V4395">
        <v>78.080000000000013</v>
      </c>
      <c r="X4395" s="42"/>
      <c r="AB4395">
        <v>74.8</v>
      </c>
      <c r="AC4395">
        <v>80.06</v>
      </c>
      <c r="AE4395" s="74"/>
      <c r="AF4395" s="77"/>
      <c r="AH4395" s="497">
        <v>73.400000000000006</v>
      </c>
      <c r="AJ4395" s="42"/>
      <c r="AK4395" s="74"/>
      <c r="AL4395" s="77"/>
      <c r="AN4395" s="497">
        <v>64.039999999999992</v>
      </c>
      <c r="AP4395" s="42"/>
      <c r="AQ4395" s="74"/>
      <c r="AR4395" s="77"/>
      <c r="AT4395" s="497">
        <v>73.759999999999991</v>
      </c>
      <c r="AV4395" s="42"/>
      <c r="AW4395" s="74"/>
      <c r="AX4395" s="77"/>
      <c r="BA4395" s="497">
        <v>71.06</v>
      </c>
      <c r="BB4395" s="42"/>
      <c r="BC4395" s="74"/>
      <c r="BD4395" s="77"/>
      <c r="BF4395">
        <v>66.92</v>
      </c>
      <c r="BH4395" s="42"/>
      <c r="BI4395" s="74"/>
      <c r="BJ4395" s="77"/>
      <c r="BL4395" s="497">
        <v>64.94</v>
      </c>
      <c r="BN4395" s="42"/>
      <c r="BO4395" s="74"/>
      <c r="BP4395" s="77"/>
      <c r="BR4395" s="497">
        <v>62.96</v>
      </c>
      <c r="BT4395" s="42"/>
    </row>
    <row r="4396" spans="1:72" x14ac:dyDescent="0.25">
      <c r="A4396" s="90">
        <v>34517</v>
      </c>
      <c r="B4396" s="20">
        <v>0.41666666666666669</v>
      </c>
      <c r="D4396">
        <v>86</v>
      </c>
      <c r="E4396" t="str">
        <f t="shared" si="172"/>
        <v>SATURDAY</v>
      </c>
      <c r="F4396" t="e">
        <f t="shared" si="173"/>
        <v>#N/A</v>
      </c>
      <c r="G4396" s="74">
        <v>31960</v>
      </c>
      <c r="H4396" s="77">
        <v>0.41666666666666669</v>
      </c>
      <c r="J4396">
        <v>66.92</v>
      </c>
      <c r="M4396" s="74">
        <v>33421</v>
      </c>
      <c r="N4396" s="77">
        <v>0.41666666666666669</v>
      </c>
      <c r="P4396">
        <v>75.02</v>
      </c>
      <c r="S4396" s="74">
        <v>34517</v>
      </c>
      <c r="T4396" s="77">
        <v>0.41666666666666669</v>
      </c>
      <c r="V4396">
        <v>78.98</v>
      </c>
      <c r="X4396" s="42"/>
      <c r="AB4396">
        <v>76.8</v>
      </c>
      <c r="AC4396">
        <v>80.960000000000008</v>
      </c>
      <c r="AE4396" s="74"/>
      <c r="AF4396" s="77"/>
      <c r="AH4396" s="497">
        <v>75.2</v>
      </c>
      <c r="AJ4396" s="42"/>
      <c r="AK4396" s="74"/>
      <c r="AL4396" s="77"/>
      <c r="AN4396" s="497">
        <v>66.92</v>
      </c>
      <c r="AP4396" s="42"/>
      <c r="AQ4396" s="74"/>
      <c r="AR4396" s="77"/>
      <c r="AT4396" s="497">
        <v>75.02</v>
      </c>
      <c r="AV4396" s="42"/>
      <c r="AW4396" s="74"/>
      <c r="AX4396" s="77"/>
      <c r="BA4396" s="497">
        <v>73.039999999999992</v>
      </c>
      <c r="BB4396" s="42"/>
      <c r="BC4396" s="74"/>
      <c r="BD4396" s="77"/>
      <c r="BF4396">
        <v>66.92</v>
      </c>
      <c r="BH4396" s="42"/>
      <c r="BI4396" s="74"/>
      <c r="BJ4396" s="77"/>
      <c r="BL4396" s="497">
        <v>69.080000000000013</v>
      </c>
      <c r="BN4396" s="42"/>
      <c r="BO4396" s="74"/>
      <c r="BP4396" s="77"/>
      <c r="BR4396" s="497">
        <v>69.98</v>
      </c>
      <c r="BT4396" s="42"/>
    </row>
    <row r="4397" spans="1:72" x14ac:dyDescent="0.25">
      <c r="A4397" s="90">
        <v>34517</v>
      </c>
      <c r="B4397" s="20">
        <v>0.45833333333333331</v>
      </c>
      <c r="D4397">
        <v>86</v>
      </c>
      <c r="E4397" t="str">
        <f t="shared" si="172"/>
        <v>SATURDAY</v>
      </c>
      <c r="F4397" t="e">
        <f t="shared" si="173"/>
        <v>#N/A</v>
      </c>
      <c r="G4397" s="74">
        <v>31960</v>
      </c>
      <c r="H4397" s="77">
        <v>0.45833333333333331</v>
      </c>
      <c r="J4397">
        <v>66.92</v>
      </c>
      <c r="M4397" s="74">
        <v>33421</v>
      </c>
      <c r="N4397" s="77">
        <v>0.45833333333333331</v>
      </c>
      <c r="P4397">
        <v>75.02</v>
      </c>
      <c r="S4397" s="74">
        <v>34517</v>
      </c>
      <c r="T4397" s="77">
        <v>0.45833333333333331</v>
      </c>
      <c r="V4397">
        <v>80.06</v>
      </c>
      <c r="X4397" s="42"/>
      <c r="AB4397">
        <v>78.3</v>
      </c>
      <c r="AC4397">
        <v>78.080000000000013</v>
      </c>
      <c r="AE4397" s="74"/>
      <c r="AF4397" s="77"/>
      <c r="AH4397" s="497">
        <v>78.800000000000011</v>
      </c>
      <c r="AJ4397" s="42"/>
      <c r="AK4397" s="74"/>
      <c r="AL4397" s="77"/>
      <c r="AN4397" s="497">
        <v>68</v>
      </c>
      <c r="AP4397" s="42"/>
      <c r="AQ4397" s="74"/>
      <c r="AR4397" s="77"/>
      <c r="AT4397" s="497">
        <v>75.02</v>
      </c>
      <c r="AV4397" s="42"/>
      <c r="AW4397" s="74"/>
      <c r="AX4397" s="77"/>
      <c r="BA4397" s="497">
        <v>75.02</v>
      </c>
      <c r="BB4397" s="42"/>
      <c r="BC4397" s="74"/>
      <c r="BD4397" s="77"/>
      <c r="BF4397">
        <v>64.94</v>
      </c>
      <c r="BH4397" s="42"/>
      <c r="BI4397" s="74"/>
      <c r="BJ4397" s="77"/>
      <c r="BL4397" s="497">
        <v>71.06</v>
      </c>
      <c r="BN4397" s="42"/>
      <c r="BO4397" s="74"/>
      <c r="BP4397" s="77"/>
      <c r="BR4397" s="497">
        <v>73.039999999999992</v>
      </c>
      <c r="BT4397" s="42"/>
    </row>
    <row r="4398" spans="1:72" x14ac:dyDescent="0.25">
      <c r="A4398" s="90">
        <v>34517</v>
      </c>
      <c r="B4398" s="20">
        <v>0.5</v>
      </c>
      <c r="D4398">
        <v>87.98</v>
      </c>
      <c r="E4398" t="str">
        <f t="shared" si="172"/>
        <v>SATURDAY</v>
      </c>
      <c r="F4398" t="e">
        <f t="shared" si="173"/>
        <v>#N/A</v>
      </c>
      <c r="G4398" s="74">
        <v>31960</v>
      </c>
      <c r="H4398" s="77">
        <v>0.5</v>
      </c>
      <c r="J4398">
        <v>66.92</v>
      </c>
      <c r="M4398" s="74">
        <v>33421</v>
      </c>
      <c r="N4398" s="77">
        <v>0.5</v>
      </c>
      <c r="P4398">
        <v>75.02</v>
      </c>
      <c r="S4398" s="74">
        <v>34517</v>
      </c>
      <c r="T4398" s="77">
        <v>0.5</v>
      </c>
      <c r="V4398">
        <v>78.080000000000013</v>
      </c>
      <c r="X4398" s="42"/>
      <c r="AB4398">
        <v>79.5</v>
      </c>
      <c r="AC4398">
        <v>80.960000000000008</v>
      </c>
      <c r="AE4398" s="74"/>
      <c r="AF4398" s="77"/>
      <c r="AH4398" s="497">
        <v>80.599999999999994</v>
      </c>
      <c r="AJ4398" s="42"/>
      <c r="AK4398" s="74"/>
      <c r="AL4398" s="77"/>
      <c r="AN4398" s="497">
        <v>69.080000000000013</v>
      </c>
      <c r="AP4398" s="42"/>
      <c r="AQ4398" s="74"/>
      <c r="AR4398" s="77"/>
      <c r="AT4398" s="497">
        <v>75.02</v>
      </c>
      <c r="AV4398" s="42"/>
      <c r="AW4398" s="74"/>
      <c r="AX4398" s="77"/>
      <c r="BA4398" s="497">
        <v>77</v>
      </c>
      <c r="BB4398" s="42"/>
      <c r="BC4398" s="74"/>
      <c r="BD4398" s="77"/>
      <c r="BF4398">
        <v>66.92</v>
      </c>
      <c r="BH4398" s="42"/>
      <c r="BI4398" s="74"/>
      <c r="BJ4398" s="77"/>
      <c r="BL4398" s="497">
        <v>73.94</v>
      </c>
      <c r="BN4398" s="42"/>
      <c r="BO4398" s="74"/>
      <c r="BP4398" s="77"/>
      <c r="BR4398" s="497">
        <v>75.02</v>
      </c>
      <c r="BT4398" s="42"/>
    </row>
    <row r="4399" spans="1:72" x14ac:dyDescent="0.25">
      <c r="A4399" s="90">
        <v>34517</v>
      </c>
      <c r="B4399" s="20">
        <v>0.54166666666666663</v>
      </c>
      <c r="D4399">
        <v>87.98</v>
      </c>
      <c r="E4399" t="str">
        <f t="shared" si="172"/>
        <v>SATURDAY</v>
      </c>
      <c r="F4399" t="e">
        <f t="shared" si="173"/>
        <v>#N/A</v>
      </c>
      <c r="G4399" s="74">
        <v>31960</v>
      </c>
      <c r="H4399" s="77">
        <v>0.54166666666666663</v>
      </c>
      <c r="J4399">
        <v>68</v>
      </c>
      <c r="M4399" s="74">
        <v>33421</v>
      </c>
      <c r="N4399" s="77">
        <v>0.54166666666666663</v>
      </c>
      <c r="P4399">
        <v>77</v>
      </c>
      <c r="S4399" s="74">
        <v>34517</v>
      </c>
      <c r="T4399" s="77">
        <v>0.54166666666666663</v>
      </c>
      <c r="V4399">
        <v>80.06</v>
      </c>
      <c r="X4399" s="42"/>
      <c r="AB4399">
        <v>80.3</v>
      </c>
      <c r="AC4399">
        <v>82.039999999999992</v>
      </c>
      <c r="AE4399" s="74"/>
      <c r="AF4399" s="77"/>
      <c r="AH4399" s="497">
        <v>82.4</v>
      </c>
      <c r="AJ4399" s="42"/>
      <c r="AK4399" s="74"/>
      <c r="AL4399" s="77"/>
      <c r="AN4399" s="497">
        <v>69.98</v>
      </c>
      <c r="AP4399" s="42"/>
      <c r="AQ4399" s="74"/>
      <c r="AR4399" s="77"/>
      <c r="AT4399" s="497">
        <v>75.02</v>
      </c>
      <c r="AV4399" s="42"/>
      <c r="AW4399" s="74"/>
      <c r="AX4399" s="77"/>
      <c r="BA4399" s="497">
        <v>80.960000000000008</v>
      </c>
      <c r="BB4399" s="42"/>
      <c r="BC4399" s="74"/>
      <c r="BD4399" s="77"/>
      <c r="BF4399">
        <v>71.06</v>
      </c>
      <c r="BH4399" s="42"/>
      <c r="BI4399" s="74"/>
      <c r="BJ4399" s="77"/>
      <c r="BL4399" s="497">
        <v>71.960000000000008</v>
      </c>
      <c r="BN4399" s="42"/>
      <c r="BO4399" s="74"/>
      <c r="BP4399" s="77"/>
      <c r="BR4399" s="497">
        <v>77</v>
      </c>
      <c r="BT4399" s="42"/>
    </row>
    <row r="4400" spans="1:72" x14ac:dyDescent="0.25">
      <c r="A4400" s="90">
        <v>34517</v>
      </c>
      <c r="B4400" s="20">
        <v>0.58333333333333337</v>
      </c>
      <c r="D4400">
        <v>87.98</v>
      </c>
      <c r="E4400" t="str">
        <f t="shared" si="172"/>
        <v>SATURDAY</v>
      </c>
      <c r="F4400" t="e">
        <f t="shared" si="173"/>
        <v>#N/A</v>
      </c>
      <c r="G4400" s="74">
        <v>31960</v>
      </c>
      <c r="H4400" s="77">
        <v>0.58333333333333337</v>
      </c>
      <c r="J4400">
        <v>68</v>
      </c>
      <c r="M4400" s="74">
        <v>33421</v>
      </c>
      <c r="N4400" s="77">
        <v>0.58333333333333337</v>
      </c>
      <c r="P4400">
        <v>77</v>
      </c>
      <c r="S4400" s="74">
        <v>34517</v>
      </c>
      <c r="T4400" s="77">
        <v>0.58333333333333337</v>
      </c>
      <c r="V4400">
        <v>78.98</v>
      </c>
      <c r="X4400" s="42"/>
      <c r="AB4400">
        <v>80.599999999999994</v>
      </c>
      <c r="AC4400">
        <v>82.039999999999992</v>
      </c>
      <c r="AE4400" s="74"/>
      <c r="AF4400" s="77"/>
      <c r="AH4400" s="497">
        <v>82.580000000000013</v>
      </c>
      <c r="AJ4400" s="42"/>
      <c r="AK4400" s="74"/>
      <c r="AL4400" s="77"/>
      <c r="AN4400" s="497">
        <v>71.06</v>
      </c>
      <c r="AP4400" s="42"/>
      <c r="AQ4400" s="74"/>
      <c r="AR4400" s="77"/>
      <c r="AT4400" s="497">
        <v>73.759999999999991</v>
      </c>
      <c r="AV4400" s="42"/>
      <c r="AW4400" s="74"/>
      <c r="AX4400" s="77"/>
      <c r="BA4400" s="497">
        <v>82.039999999999992</v>
      </c>
      <c r="BB4400" s="42"/>
      <c r="BC4400" s="74"/>
      <c r="BD4400" s="77"/>
      <c r="BF4400">
        <v>77</v>
      </c>
      <c r="BH4400" s="42"/>
      <c r="BI4400" s="74"/>
      <c r="BJ4400" s="77"/>
      <c r="BL4400" s="497">
        <v>73.039999999999992</v>
      </c>
      <c r="BN4400" s="42"/>
      <c r="BO4400" s="74"/>
      <c r="BP4400" s="77"/>
      <c r="BR4400" s="497">
        <v>78.98</v>
      </c>
      <c r="BT4400" s="42"/>
    </row>
    <row r="4401" spans="1:72" x14ac:dyDescent="0.25">
      <c r="A4401" s="90">
        <v>34517</v>
      </c>
      <c r="B4401" s="20">
        <v>0.625</v>
      </c>
      <c r="D4401">
        <v>86</v>
      </c>
      <c r="E4401" t="str">
        <f t="shared" si="172"/>
        <v>SATURDAY</v>
      </c>
      <c r="F4401" t="e">
        <f t="shared" si="173"/>
        <v>#N/A</v>
      </c>
      <c r="G4401" s="74">
        <v>31960</v>
      </c>
      <c r="H4401" s="77">
        <v>0.625</v>
      </c>
      <c r="J4401">
        <v>69.080000000000013</v>
      </c>
      <c r="M4401" s="74">
        <v>33421</v>
      </c>
      <c r="N4401" s="77">
        <v>0.625</v>
      </c>
      <c r="P4401">
        <v>75.92</v>
      </c>
      <c r="S4401" s="74">
        <v>34517</v>
      </c>
      <c r="T4401" s="77">
        <v>0.625</v>
      </c>
      <c r="V4401">
        <v>77</v>
      </c>
      <c r="X4401" s="42"/>
      <c r="AB4401">
        <v>80.7</v>
      </c>
      <c r="AC4401">
        <v>82.94</v>
      </c>
      <c r="AE4401" s="74"/>
      <c r="AF4401" s="77"/>
      <c r="AH4401" s="497">
        <v>82.4</v>
      </c>
      <c r="AJ4401" s="42"/>
      <c r="AK4401" s="74"/>
      <c r="AL4401" s="77"/>
      <c r="AN4401" s="497">
        <v>71.06</v>
      </c>
      <c r="AP4401" s="42"/>
      <c r="AQ4401" s="74"/>
      <c r="AR4401" s="77"/>
      <c r="AT4401" s="497">
        <v>72.319999999999993</v>
      </c>
      <c r="AV4401" s="42"/>
      <c r="AW4401" s="74"/>
      <c r="AX4401" s="77"/>
      <c r="BA4401" s="497">
        <v>80.960000000000008</v>
      </c>
      <c r="BB4401" s="42"/>
      <c r="BC4401" s="74"/>
      <c r="BD4401" s="77"/>
      <c r="BF4401">
        <v>77</v>
      </c>
      <c r="BH4401" s="42"/>
      <c r="BI4401" s="74"/>
      <c r="BJ4401" s="77"/>
      <c r="BL4401" s="497">
        <v>69.080000000000013</v>
      </c>
      <c r="BN4401" s="42"/>
      <c r="BO4401" s="74"/>
      <c r="BP4401" s="77"/>
      <c r="BR4401" s="497">
        <v>80.960000000000008</v>
      </c>
      <c r="BT4401" s="42"/>
    </row>
    <row r="4402" spans="1:72" x14ac:dyDescent="0.25">
      <c r="A4402" s="90">
        <v>34517</v>
      </c>
      <c r="B4402" s="20">
        <v>0.66666666666666663</v>
      </c>
      <c r="D4402">
        <v>84.02</v>
      </c>
      <c r="E4402" t="str">
        <f t="shared" si="172"/>
        <v>SATURDAY</v>
      </c>
      <c r="F4402" t="e">
        <f t="shared" si="173"/>
        <v>#N/A</v>
      </c>
      <c r="G4402" s="74">
        <v>31960</v>
      </c>
      <c r="H4402" s="77">
        <v>0.66666666666666663</v>
      </c>
      <c r="J4402">
        <v>69.080000000000013</v>
      </c>
      <c r="M4402" s="74">
        <v>33421</v>
      </c>
      <c r="N4402" s="77">
        <v>0.66666666666666663</v>
      </c>
      <c r="P4402">
        <v>73.039999999999992</v>
      </c>
      <c r="S4402" s="74">
        <v>34517</v>
      </c>
      <c r="T4402" s="77">
        <v>0.66666666666666663</v>
      </c>
      <c r="V4402">
        <v>77</v>
      </c>
      <c r="X4402" s="42"/>
      <c r="AB4402">
        <v>80.099999999999994</v>
      </c>
      <c r="AC4402">
        <v>80.06</v>
      </c>
      <c r="AE4402" s="74"/>
      <c r="AF4402" s="77"/>
      <c r="AH4402" s="497">
        <v>82.4</v>
      </c>
      <c r="AJ4402" s="42"/>
      <c r="AK4402" s="74"/>
      <c r="AL4402" s="77"/>
      <c r="AN4402" s="497">
        <v>71.06</v>
      </c>
      <c r="AP4402" s="42"/>
      <c r="AQ4402" s="74"/>
      <c r="AR4402" s="77"/>
      <c r="AT4402" s="497">
        <v>71.06</v>
      </c>
      <c r="AV4402" s="42"/>
      <c r="AW4402" s="74"/>
      <c r="AX4402" s="77"/>
      <c r="BA4402" s="497">
        <v>80.06</v>
      </c>
      <c r="BB4402" s="42"/>
      <c r="BC4402" s="74"/>
      <c r="BD4402" s="77"/>
      <c r="BF4402">
        <v>77</v>
      </c>
      <c r="BH4402" s="42"/>
      <c r="BI4402" s="74"/>
      <c r="BJ4402" s="77"/>
      <c r="BL4402" s="497">
        <v>68</v>
      </c>
      <c r="BN4402" s="42"/>
      <c r="BO4402" s="74"/>
      <c r="BP4402" s="77"/>
      <c r="BR4402" s="497">
        <v>82.039999999999992</v>
      </c>
      <c r="BT4402" s="42"/>
    </row>
    <row r="4403" spans="1:72" x14ac:dyDescent="0.25">
      <c r="A4403" s="90">
        <v>34517</v>
      </c>
      <c r="B4403" s="20">
        <v>0.70833333333333337</v>
      </c>
      <c r="D4403">
        <v>84.02</v>
      </c>
      <c r="E4403" t="str">
        <f t="shared" si="172"/>
        <v>SATURDAY</v>
      </c>
      <c r="F4403" t="e">
        <f t="shared" si="173"/>
        <v>#N/A</v>
      </c>
      <c r="G4403" s="74">
        <v>31960</v>
      </c>
      <c r="H4403" s="77">
        <v>0.70833333333333337</v>
      </c>
      <c r="J4403">
        <v>69.080000000000013</v>
      </c>
      <c r="M4403" s="74">
        <v>33421</v>
      </c>
      <c r="N4403" s="77">
        <v>0.70833333333333337</v>
      </c>
      <c r="P4403">
        <v>71.960000000000008</v>
      </c>
      <c r="S4403" s="74">
        <v>34517</v>
      </c>
      <c r="T4403" s="77">
        <v>0.70833333333333337</v>
      </c>
      <c r="V4403">
        <v>75.92</v>
      </c>
      <c r="X4403" s="42"/>
      <c r="AB4403">
        <v>79.2</v>
      </c>
      <c r="AC4403">
        <v>78.98</v>
      </c>
      <c r="AE4403" s="74"/>
      <c r="AF4403" s="77"/>
      <c r="AH4403" s="497">
        <v>80.599999999999994</v>
      </c>
      <c r="AJ4403" s="42"/>
      <c r="AK4403" s="74"/>
      <c r="AL4403" s="77"/>
      <c r="AN4403" s="497">
        <v>69.98</v>
      </c>
      <c r="AP4403" s="42"/>
      <c r="AQ4403" s="74"/>
      <c r="AR4403" s="77"/>
      <c r="AT4403" s="497">
        <v>69.44</v>
      </c>
      <c r="AV4403" s="42"/>
      <c r="AW4403" s="74"/>
      <c r="AX4403" s="77"/>
      <c r="BA4403" s="497">
        <v>78.080000000000013</v>
      </c>
      <c r="BB4403" s="42"/>
      <c r="BC4403" s="74"/>
      <c r="BD4403" s="77"/>
      <c r="BF4403">
        <v>77</v>
      </c>
      <c r="BH4403" s="42"/>
      <c r="BI4403" s="74"/>
      <c r="BJ4403" s="77"/>
      <c r="BL4403" s="497">
        <v>68</v>
      </c>
      <c r="BN4403" s="42"/>
      <c r="BO4403" s="74"/>
      <c r="BP4403" s="77"/>
      <c r="BR4403" s="497">
        <v>80.06</v>
      </c>
      <c r="BT4403" s="42"/>
    </row>
    <row r="4404" spans="1:72" x14ac:dyDescent="0.25">
      <c r="A4404" s="90">
        <v>34517</v>
      </c>
      <c r="B4404" s="20">
        <v>0.75</v>
      </c>
      <c r="D4404">
        <v>80.960000000000008</v>
      </c>
      <c r="E4404" t="str">
        <f t="shared" si="172"/>
        <v>SATURDAY</v>
      </c>
      <c r="F4404" t="e">
        <f t="shared" si="173"/>
        <v>#N/A</v>
      </c>
      <c r="G4404" s="74">
        <v>31960</v>
      </c>
      <c r="H4404" s="77">
        <v>0.75</v>
      </c>
      <c r="J4404">
        <v>68</v>
      </c>
      <c r="M4404" s="74">
        <v>33421</v>
      </c>
      <c r="N4404" s="77">
        <v>0.75</v>
      </c>
      <c r="P4404">
        <v>71.960000000000008</v>
      </c>
      <c r="S4404" s="74">
        <v>34517</v>
      </c>
      <c r="T4404" s="77">
        <v>0.75</v>
      </c>
      <c r="V4404">
        <v>73.039999999999992</v>
      </c>
      <c r="X4404" s="42"/>
      <c r="AB4404">
        <v>77.900000000000006</v>
      </c>
      <c r="AC4404">
        <v>77</v>
      </c>
      <c r="AE4404" s="74"/>
      <c r="AF4404" s="77"/>
      <c r="AH4404" s="497">
        <v>80.599999999999994</v>
      </c>
      <c r="AJ4404" s="42"/>
      <c r="AK4404" s="74"/>
      <c r="AL4404" s="77"/>
      <c r="AN4404" s="497">
        <v>68</v>
      </c>
      <c r="AP4404" s="42"/>
      <c r="AQ4404" s="74"/>
      <c r="AR4404" s="77"/>
      <c r="AT4404" s="497">
        <v>67.64</v>
      </c>
      <c r="AV4404" s="42"/>
      <c r="AW4404" s="74"/>
      <c r="AX4404" s="77"/>
      <c r="BA4404" s="497">
        <v>77</v>
      </c>
      <c r="BB4404" s="42"/>
      <c r="BC4404" s="74"/>
      <c r="BD4404" s="77"/>
      <c r="BF4404">
        <v>75.02</v>
      </c>
      <c r="BH4404" s="42"/>
      <c r="BI4404" s="74"/>
      <c r="BJ4404" s="77"/>
      <c r="BL4404" s="497">
        <v>66.92</v>
      </c>
      <c r="BN4404" s="42"/>
      <c r="BO4404" s="74"/>
      <c r="BP4404" s="77"/>
      <c r="BR4404" s="497">
        <v>78.98</v>
      </c>
      <c r="BT4404" s="42"/>
    </row>
    <row r="4405" spans="1:72" x14ac:dyDescent="0.25">
      <c r="A4405" s="90">
        <v>34517</v>
      </c>
      <c r="B4405" s="20">
        <v>0.79166666666666663</v>
      </c>
      <c r="D4405">
        <v>78.080000000000013</v>
      </c>
      <c r="E4405" t="str">
        <f t="shared" si="172"/>
        <v>SATURDAY</v>
      </c>
      <c r="F4405" t="e">
        <f t="shared" si="173"/>
        <v>#N/A</v>
      </c>
      <c r="G4405" s="74">
        <v>31960</v>
      </c>
      <c r="H4405" s="77">
        <v>0.79166666666666663</v>
      </c>
      <c r="J4405">
        <v>66.92</v>
      </c>
      <c r="M4405" s="74">
        <v>33421</v>
      </c>
      <c r="N4405" s="77">
        <v>0.79166666666666663</v>
      </c>
      <c r="P4405">
        <v>71.06</v>
      </c>
      <c r="S4405" s="74">
        <v>34517</v>
      </c>
      <c r="T4405" s="77">
        <v>0.79166666666666663</v>
      </c>
      <c r="V4405">
        <v>71.06</v>
      </c>
      <c r="X4405" s="42"/>
      <c r="AB4405">
        <v>76.5</v>
      </c>
      <c r="AC4405">
        <v>75.02</v>
      </c>
      <c r="AE4405" s="74"/>
      <c r="AF4405" s="77"/>
      <c r="AH4405" s="497">
        <v>78.800000000000011</v>
      </c>
      <c r="AJ4405" s="42"/>
      <c r="AK4405" s="74"/>
      <c r="AL4405" s="77"/>
      <c r="AN4405" s="497">
        <v>66.02</v>
      </c>
      <c r="AP4405" s="42"/>
      <c r="AQ4405" s="74"/>
      <c r="AR4405" s="77"/>
      <c r="AT4405" s="497">
        <v>66.02</v>
      </c>
      <c r="AV4405" s="42"/>
      <c r="AW4405" s="74"/>
      <c r="AX4405" s="77"/>
      <c r="BA4405" s="497">
        <v>73.039999999999992</v>
      </c>
      <c r="BB4405" s="42"/>
      <c r="BC4405" s="74"/>
      <c r="BD4405" s="77"/>
      <c r="BF4405">
        <v>73.039999999999992</v>
      </c>
      <c r="BH4405" s="42"/>
      <c r="BI4405" s="74"/>
      <c r="BJ4405" s="77"/>
      <c r="BL4405" s="497">
        <v>66.02</v>
      </c>
      <c r="BN4405" s="42"/>
      <c r="BO4405" s="74"/>
      <c r="BP4405" s="77"/>
      <c r="BR4405" s="497">
        <v>73.039999999999992</v>
      </c>
      <c r="BT4405" s="42"/>
    </row>
    <row r="4406" spans="1:72" x14ac:dyDescent="0.25">
      <c r="A4406" s="90">
        <v>34517</v>
      </c>
      <c r="B4406" s="20">
        <v>0.83333333333333337</v>
      </c>
      <c r="D4406">
        <v>77</v>
      </c>
      <c r="E4406" t="str">
        <f t="shared" si="172"/>
        <v>SATURDAY</v>
      </c>
      <c r="F4406" t="e">
        <f t="shared" si="173"/>
        <v>#N/A</v>
      </c>
      <c r="G4406" s="74">
        <v>31960</v>
      </c>
      <c r="H4406" s="77">
        <v>0.83333333333333337</v>
      </c>
      <c r="J4406">
        <v>66.02</v>
      </c>
      <c r="M4406" s="74">
        <v>33421</v>
      </c>
      <c r="N4406" s="77">
        <v>0.83333333333333337</v>
      </c>
      <c r="P4406">
        <v>68</v>
      </c>
      <c r="S4406" s="74">
        <v>34517</v>
      </c>
      <c r="T4406" s="77">
        <v>0.83333333333333337</v>
      </c>
      <c r="V4406">
        <v>71.960000000000008</v>
      </c>
      <c r="X4406" s="42"/>
      <c r="AB4406">
        <v>75</v>
      </c>
      <c r="AC4406">
        <v>71.960000000000008</v>
      </c>
      <c r="AE4406" s="74"/>
      <c r="AF4406" s="77"/>
      <c r="AH4406" s="497">
        <v>71.599999999999994</v>
      </c>
      <c r="AJ4406" s="42"/>
      <c r="AK4406" s="74"/>
      <c r="AL4406" s="77"/>
      <c r="AN4406" s="497">
        <v>66.02</v>
      </c>
      <c r="AP4406" s="42"/>
      <c r="AQ4406" s="74"/>
      <c r="AR4406" s="77"/>
      <c r="AT4406" s="497">
        <v>64.400000000000006</v>
      </c>
      <c r="AV4406" s="42"/>
      <c r="AW4406" s="74"/>
      <c r="AX4406" s="77"/>
      <c r="BA4406" s="497">
        <v>69.080000000000013</v>
      </c>
      <c r="BB4406" s="42"/>
      <c r="BC4406" s="74"/>
      <c r="BD4406" s="77"/>
      <c r="BF4406">
        <v>69.080000000000013</v>
      </c>
      <c r="BH4406" s="42"/>
      <c r="BI4406" s="74"/>
      <c r="BJ4406" s="77"/>
      <c r="BL4406" s="497">
        <v>66.02</v>
      </c>
      <c r="BN4406" s="42"/>
      <c r="BO4406" s="74"/>
      <c r="BP4406" s="77"/>
      <c r="BR4406" s="497">
        <v>66.92</v>
      </c>
      <c r="BT4406" s="42"/>
    </row>
    <row r="4407" spans="1:72" x14ac:dyDescent="0.25">
      <c r="A4407" s="90">
        <v>34517</v>
      </c>
      <c r="B4407" s="20">
        <v>0.875</v>
      </c>
      <c r="D4407">
        <v>78.98</v>
      </c>
      <c r="E4407" t="str">
        <f t="shared" si="172"/>
        <v>SATURDAY</v>
      </c>
      <c r="F4407" t="e">
        <f t="shared" si="173"/>
        <v>#N/A</v>
      </c>
      <c r="G4407" s="74">
        <v>31960</v>
      </c>
      <c r="H4407" s="77">
        <v>0.875</v>
      </c>
      <c r="J4407">
        <v>66.02</v>
      </c>
      <c r="M4407" s="74">
        <v>33421</v>
      </c>
      <c r="N4407" s="77">
        <v>0.875</v>
      </c>
      <c r="P4407">
        <v>69.080000000000013</v>
      </c>
      <c r="S4407" s="74">
        <v>34517</v>
      </c>
      <c r="T4407" s="77">
        <v>0.875</v>
      </c>
      <c r="V4407">
        <v>71.960000000000008</v>
      </c>
      <c r="X4407" s="42"/>
      <c r="AB4407">
        <v>73.900000000000006</v>
      </c>
      <c r="AC4407">
        <v>71.960000000000008</v>
      </c>
      <c r="AE4407" s="74"/>
      <c r="AF4407" s="77"/>
      <c r="AH4407" s="497">
        <v>68</v>
      </c>
      <c r="AJ4407" s="42"/>
      <c r="AK4407" s="74"/>
      <c r="AL4407" s="77"/>
      <c r="AN4407" s="497">
        <v>64.94</v>
      </c>
      <c r="AP4407" s="42"/>
      <c r="AQ4407" s="74"/>
      <c r="AR4407" s="77"/>
      <c r="AT4407" s="497">
        <v>62.6</v>
      </c>
      <c r="AV4407" s="42"/>
      <c r="AW4407" s="74"/>
      <c r="AX4407" s="77"/>
      <c r="BA4407" s="497">
        <v>64.94</v>
      </c>
      <c r="BB4407" s="42"/>
      <c r="BC4407" s="74"/>
      <c r="BD4407" s="77"/>
      <c r="BF4407">
        <v>66.02</v>
      </c>
      <c r="BH4407" s="42"/>
      <c r="BI4407" s="74"/>
      <c r="BJ4407" s="77"/>
      <c r="BL4407" s="497">
        <v>64.94</v>
      </c>
      <c r="BN4407" s="42"/>
      <c r="BO4407" s="74"/>
      <c r="BP4407" s="77"/>
      <c r="BR4407" s="497">
        <v>66.02</v>
      </c>
      <c r="BT4407" s="42"/>
    </row>
    <row r="4408" spans="1:72" x14ac:dyDescent="0.25">
      <c r="A4408" s="90">
        <v>34517</v>
      </c>
      <c r="B4408" s="20">
        <v>0.91666666666666663</v>
      </c>
      <c r="D4408">
        <v>80.06</v>
      </c>
      <c r="E4408" t="str">
        <f t="shared" si="172"/>
        <v>SATURDAY</v>
      </c>
      <c r="F4408" t="e">
        <f t="shared" si="173"/>
        <v>#N/A</v>
      </c>
      <c r="G4408" s="74">
        <v>31960</v>
      </c>
      <c r="H4408" s="77">
        <v>0.91666666666666663</v>
      </c>
      <c r="J4408">
        <v>66.02</v>
      </c>
      <c r="M4408" s="74">
        <v>33421</v>
      </c>
      <c r="N4408" s="77">
        <v>0.91666666666666663</v>
      </c>
      <c r="P4408">
        <v>69.080000000000013</v>
      </c>
      <c r="S4408" s="74">
        <v>34517</v>
      </c>
      <c r="T4408" s="77">
        <v>0.91666666666666663</v>
      </c>
      <c r="V4408">
        <v>71.06</v>
      </c>
      <c r="X4408" s="42"/>
      <c r="AB4408">
        <v>73.2</v>
      </c>
      <c r="AC4408">
        <v>71.06</v>
      </c>
      <c r="AE4408" s="74"/>
      <c r="AF4408" s="77"/>
      <c r="AH4408" s="497">
        <v>71.599999999999994</v>
      </c>
      <c r="AJ4408" s="42"/>
      <c r="AK4408" s="74"/>
      <c r="AL4408" s="77"/>
      <c r="AN4408" s="497">
        <v>62.06</v>
      </c>
      <c r="AP4408" s="42"/>
      <c r="AQ4408" s="74"/>
      <c r="AR4408" s="77"/>
      <c r="AT4408" s="497">
        <v>60.980000000000004</v>
      </c>
      <c r="AV4408" s="42"/>
      <c r="AW4408" s="74"/>
      <c r="AX4408" s="77"/>
      <c r="BA4408" s="497">
        <v>62.06</v>
      </c>
      <c r="BB4408" s="42"/>
      <c r="BC4408" s="74"/>
      <c r="BD4408" s="77"/>
      <c r="BF4408">
        <v>62.06</v>
      </c>
      <c r="BH4408" s="42"/>
      <c r="BI4408" s="74"/>
      <c r="BJ4408" s="77"/>
      <c r="BL4408" s="497">
        <v>66.02</v>
      </c>
      <c r="BN4408" s="42"/>
      <c r="BO4408" s="74"/>
      <c r="BP4408" s="77"/>
      <c r="BR4408" s="497">
        <v>64.94</v>
      </c>
      <c r="BT4408" s="42"/>
    </row>
    <row r="4409" spans="1:72" x14ac:dyDescent="0.25">
      <c r="A4409" s="90">
        <v>34517</v>
      </c>
      <c r="B4409" s="20">
        <v>0.95833333333333337</v>
      </c>
      <c r="D4409">
        <v>80.06</v>
      </c>
      <c r="E4409" t="str">
        <f t="shared" si="172"/>
        <v>SATURDAY</v>
      </c>
      <c r="F4409" t="e">
        <f t="shared" si="173"/>
        <v>#N/A</v>
      </c>
      <c r="G4409" s="74">
        <v>31960</v>
      </c>
      <c r="H4409" s="77">
        <v>0.95833333333333337</v>
      </c>
      <c r="J4409">
        <v>66.02</v>
      </c>
      <c r="M4409" s="74">
        <v>33421</v>
      </c>
      <c r="N4409" s="77">
        <v>0.95833333333333337</v>
      </c>
      <c r="P4409">
        <v>68</v>
      </c>
      <c r="S4409" s="74">
        <v>34517</v>
      </c>
      <c r="T4409" s="77">
        <v>0.95833333333333337</v>
      </c>
      <c r="V4409">
        <v>71.960000000000008</v>
      </c>
      <c r="X4409" s="42"/>
      <c r="AB4409">
        <v>72.8</v>
      </c>
      <c r="AC4409">
        <v>71.06</v>
      </c>
      <c r="AE4409" s="74"/>
      <c r="AF4409" s="77"/>
      <c r="AH4409" s="497">
        <v>68</v>
      </c>
      <c r="AJ4409" s="42"/>
      <c r="AK4409" s="74"/>
      <c r="AL4409" s="77"/>
      <c r="AN4409" s="497">
        <v>60.08</v>
      </c>
      <c r="AP4409" s="42"/>
      <c r="AQ4409" s="74"/>
      <c r="AR4409" s="77"/>
      <c r="AT4409" s="497">
        <v>59.72</v>
      </c>
      <c r="AV4409" s="42"/>
      <c r="AW4409" s="74"/>
      <c r="AX4409" s="77"/>
      <c r="BA4409" s="497">
        <v>60.980000000000004</v>
      </c>
      <c r="BB4409" s="42"/>
      <c r="BC4409" s="74"/>
      <c r="BD4409" s="77"/>
      <c r="BF4409">
        <v>59</v>
      </c>
      <c r="BH4409" s="42"/>
      <c r="BI4409" s="74"/>
      <c r="BJ4409" s="77"/>
      <c r="BL4409" s="497">
        <v>66.02</v>
      </c>
      <c r="BN4409" s="42"/>
      <c r="BO4409" s="74"/>
      <c r="BP4409" s="77"/>
      <c r="BR4409" s="497">
        <v>64.039999999999992</v>
      </c>
      <c r="BT4409" s="42"/>
    </row>
    <row r="4410" spans="1:72" x14ac:dyDescent="0.25">
      <c r="A4410" s="90">
        <v>34517</v>
      </c>
      <c r="B4410" s="20">
        <v>1</v>
      </c>
      <c r="D4410">
        <v>78.98</v>
      </c>
      <c r="E4410" t="str">
        <f t="shared" si="172"/>
        <v>SATURDAY</v>
      </c>
      <c r="F4410" t="e">
        <f t="shared" si="173"/>
        <v>#N/A</v>
      </c>
      <c r="G4410" s="74">
        <v>31960</v>
      </c>
      <c r="H4410" s="77">
        <v>1</v>
      </c>
      <c r="J4410">
        <v>64.94</v>
      </c>
      <c r="M4410" s="74">
        <v>33421</v>
      </c>
      <c r="N4410" s="80">
        <v>1</v>
      </c>
      <c r="P4410">
        <v>68</v>
      </c>
      <c r="S4410" s="74">
        <v>34517</v>
      </c>
      <c r="T4410" s="80">
        <v>1</v>
      </c>
      <c r="V4410">
        <v>71.06</v>
      </c>
      <c r="X4410" s="42"/>
      <c r="AB4410">
        <v>72.3</v>
      </c>
      <c r="AC4410">
        <v>69.98</v>
      </c>
      <c r="AE4410" s="74"/>
      <c r="AF4410" s="80"/>
      <c r="AH4410" s="497">
        <v>71.599999999999994</v>
      </c>
      <c r="AJ4410" s="42"/>
      <c r="AK4410" s="74"/>
      <c r="AL4410" s="80"/>
      <c r="AN4410" s="497">
        <v>57.92</v>
      </c>
      <c r="AP4410" s="42"/>
      <c r="AQ4410" s="74"/>
      <c r="AR4410" s="80"/>
      <c r="AT4410" s="497">
        <v>58.28</v>
      </c>
      <c r="AV4410" s="42"/>
      <c r="AW4410" s="74"/>
      <c r="AX4410" s="80"/>
      <c r="BA4410" s="497">
        <v>59</v>
      </c>
      <c r="BB4410" s="42"/>
      <c r="BC4410" s="74"/>
      <c r="BD4410" s="80"/>
      <c r="BF4410">
        <v>60.08</v>
      </c>
      <c r="BH4410" s="42"/>
      <c r="BI4410" s="74"/>
      <c r="BJ4410" s="80"/>
      <c r="BL4410" s="497">
        <v>64.94</v>
      </c>
      <c r="BN4410" s="42"/>
      <c r="BO4410" s="74"/>
      <c r="BP4410" s="80"/>
      <c r="BR4410" s="497">
        <v>62.96</v>
      </c>
      <c r="BT4410" s="42"/>
    </row>
    <row r="4411" spans="1:72" x14ac:dyDescent="0.25">
      <c r="A4411" s="90">
        <v>34518</v>
      </c>
      <c r="B4411" s="20">
        <v>4.1666666666666664E-2</v>
      </c>
      <c r="D4411">
        <v>78.080000000000013</v>
      </c>
      <c r="E4411" t="str">
        <f t="shared" si="172"/>
        <v>SUNDAY</v>
      </c>
      <c r="F4411" t="e">
        <f t="shared" si="173"/>
        <v>#N/A</v>
      </c>
      <c r="G4411" s="74">
        <v>31961</v>
      </c>
      <c r="H4411" s="77">
        <v>4.1666666666666664E-2</v>
      </c>
      <c r="J4411">
        <v>64.94</v>
      </c>
      <c r="M4411" s="74">
        <v>33422</v>
      </c>
      <c r="N4411" s="77">
        <v>4.1666666666666664E-2</v>
      </c>
      <c r="P4411">
        <v>68</v>
      </c>
      <c r="S4411" s="74">
        <v>34518</v>
      </c>
      <c r="T4411" s="77">
        <v>4.1666666666666664E-2</v>
      </c>
      <c r="V4411">
        <v>73.039999999999992</v>
      </c>
      <c r="X4411" s="42"/>
      <c r="AB4411">
        <v>71.7</v>
      </c>
      <c r="AC4411">
        <v>69.98</v>
      </c>
      <c r="AE4411" s="74"/>
      <c r="AF4411" s="77"/>
      <c r="AH4411" s="497">
        <v>69.800000000000011</v>
      </c>
      <c r="AJ4411" s="42"/>
      <c r="AK4411" s="74"/>
      <c r="AL4411" s="77"/>
      <c r="AN4411" s="497">
        <v>55.94</v>
      </c>
      <c r="AP4411" s="42"/>
      <c r="AQ4411" s="74"/>
      <c r="AR4411" s="77"/>
      <c r="AT4411" s="497">
        <v>57.019999999999996</v>
      </c>
      <c r="AV4411" s="42"/>
      <c r="AW4411" s="74"/>
      <c r="AX4411" s="77"/>
      <c r="BA4411" s="497">
        <v>59</v>
      </c>
      <c r="BB4411" s="42"/>
      <c r="BC4411" s="74"/>
      <c r="BD4411" s="77"/>
      <c r="BF4411">
        <v>55.94</v>
      </c>
      <c r="BH4411" s="42"/>
      <c r="BI4411" s="74"/>
      <c r="BJ4411" s="77"/>
      <c r="BL4411" s="497">
        <v>64.039999999999992</v>
      </c>
      <c r="BN4411" s="42"/>
      <c r="BO4411" s="74"/>
      <c r="BP4411" s="77"/>
      <c r="BR4411" s="497">
        <v>62.06</v>
      </c>
      <c r="BT4411" s="42"/>
    </row>
    <row r="4412" spans="1:72" x14ac:dyDescent="0.25">
      <c r="A4412" s="90">
        <v>34518</v>
      </c>
      <c r="B4412" s="20">
        <v>8.3333333333333329E-2</v>
      </c>
      <c r="D4412">
        <v>78.080000000000013</v>
      </c>
      <c r="E4412" t="str">
        <f t="shared" si="172"/>
        <v>SUNDAY</v>
      </c>
      <c r="F4412" t="e">
        <f t="shared" si="173"/>
        <v>#N/A</v>
      </c>
      <c r="G4412" s="74">
        <v>31961</v>
      </c>
      <c r="H4412" s="77">
        <v>8.3333333333333329E-2</v>
      </c>
      <c r="J4412">
        <v>64.039999999999992</v>
      </c>
      <c r="M4412" s="74">
        <v>33422</v>
      </c>
      <c r="N4412" s="77">
        <v>8.3333333333333329E-2</v>
      </c>
      <c r="P4412">
        <v>66.92</v>
      </c>
      <c r="S4412" s="74">
        <v>34518</v>
      </c>
      <c r="T4412" s="77">
        <v>8.3333333333333329E-2</v>
      </c>
      <c r="V4412">
        <v>71.960000000000008</v>
      </c>
      <c r="X4412" s="42"/>
      <c r="AB4412">
        <v>71.099999999999994</v>
      </c>
      <c r="AC4412">
        <v>69.98</v>
      </c>
      <c r="AE4412" s="74"/>
      <c r="AF4412" s="77"/>
      <c r="AH4412" s="497">
        <v>69.800000000000011</v>
      </c>
      <c r="AJ4412" s="42"/>
      <c r="AK4412" s="74"/>
      <c r="AL4412" s="77"/>
      <c r="AN4412" s="497">
        <v>53.96</v>
      </c>
      <c r="AP4412" s="42"/>
      <c r="AQ4412" s="74"/>
      <c r="AR4412" s="77"/>
      <c r="AT4412" s="497">
        <v>55.94</v>
      </c>
      <c r="AV4412" s="42"/>
      <c r="AW4412" s="74"/>
      <c r="AX4412" s="77"/>
      <c r="BA4412" s="497">
        <v>57.92</v>
      </c>
      <c r="BB4412" s="42"/>
      <c r="BC4412" s="74"/>
      <c r="BD4412" s="77"/>
      <c r="BF4412">
        <v>57.019999999999996</v>
      </c>
      <c r="BH4412" s="42"/>
      <c r="BI4412" s="74"/>
      <c r="BJ4412" s="77"/>
      <c r="BL4412" s="497">
        <v>60.980000000000004</v>
      </c>
      <c r="BN4412" s="42"/>
      <c r="BO4412" s="74"/>
      <c r="BP4412" s="77"/>
      <c r="BR4412" s="497">
        <v>60.08</v>
      </c>
      <c r="BT4412" s="42"/>
    </row>
    <row r="4413" spans="1:72" x14ac:dyDescent="0.25">
      <c r="A4413" s="90">
        <v>34518</v>
      </c>
      <c r="B4413" s="20">
        <v>0.125</v>
      </c>
      <c r="D4413">
        <v>77</v>
      </c>
      <c r="E4413" t="str">
        <f t="shared" si="172"/>
        <v>SUNDAY</v>
      </c>
      <c r="F4413" t="e">
        <f t="shared" si="173"/>
        <v>#N/A</v>
      </c>
      <c r="G4413" s="74">
        <v>31961</v>
      </c>
      <c r="H4413" s="77">
        <v>0.125</v>
      </c>
      <c r="J4413">
        <v>64.94</v>
      </c>
      <c r="M4413" s="74">
        <v>33422</v>
      </c>
      <c r="N4413" s="77">
        <v>0.125</v>
      </c>
      <c r="P4413">
        <v>66.02</v>
      </c>
      <c r="S4413" s="74">
        <v>34518</v>
      </c>
      <c r="T4413" s="77">
        <v>0.125</v>
      </c>
      <c r="V4413">
        <v>71.960000000000008</v>
      </c>
      <c r="X4413" s="42"/>
      <c r="AB4413">
        <v>70.599999999999994</v>
      </c>
      <c r="AC4413">
        <v>69.98</v>
      </c>
      <c r="AE4413" s="74"/>
      <c r="AF4413" s="77"/>
      <c r="AH4413" s="497">
        <v>69.800000000000011</v>
      </c>
      <c r="AJ4413" s="42"/>
      <c r="AK4413" s="74"/>
      <c r="AL4413" s="77"/>
      <c r="AN4413" s="497">
        <v>53.06</v>
      </c>
      <c r="AP4413" s="42"/>
      <c r="AQ4413" s="74"/>
      <c r="AR4413" s="77"/>
      <c r="AT4413" s="497">
        <v>55.040000000000006</v>
      </c>
      <c r="AV4413" s="42"/>
      <c r="AW4413" s="74"/>
      <c r="AX4413" s="77"/>
      <c r="BA4413" s="497">
        <v>57.019999999999996</v>
      </c>
      <c r="BB4413" s="42"/>
      <c r="BC4413" s="74"/>
      <c r="BD4413" s="77"/>
      <c r="BF4413">
        <v>55.040000000000006</v>
      </c>
      <c r="BH4413" s="42"/>
      <c r="BI4413" s="74"/>
      <c r="BJ4413" s="77"/>
      <c r="BL4413" s="497">
        <v>60.08</v>
      </c>
      <c r="BN4413" s="42"/>
      <c r="BO4413" s="74"/>
      <c r="BP4413" s="77"/>
      <c r="BR4413" s="497">
        <v>59</v>
      </c>
      <c r="BT4413" s="42"/>
    </row>
    <row r="4414" spans="1:72" x14ac:dyDescent="0.25">
      <c r="A4414" s="90">
        <v>34518</v>
      </c>
      <c r="B4414" s="20">
        <v>0.16666666666666666</v>
      </c>
      <c r="D4414">
        <v>78.080000000000013</v>
      </c>
      <c r="E4414" t="str">
        <f t="shared" si="172"/>
        <v>SUNDAY</v>
      </c>
      <c r="F4414" t="e">
        <f t="shared" si="173"/>
        <v>#N/A</v>
      </c>
      <c r="G4414" s="74">
        <v>31961</v>
      </c>
      <c r="H4414" s="77">
        <v>0.16666666666666666</v>
      </c>
      <c r="J4414">
        <v>66.02</v>
      </c>
      <c r="M4414" s="74">
        <v>33422</v>
      </c>
      <c r="N4414" s="77">
        <v>0.16666666666666666</v>
      </c>
      <c r="P4414">
        <v>64.94</v>
      </c>
      <c r="S4414" s="74">
        <v>34518</v>
      </c>
      <c r="T4414" s="77">
        <v>0.16666666666666666</v>
      </c>
      <c r="V4414">
        <v>73.039999999999992</v>
      </c>
      <c r="X4414" s="42"/>
      <c r="AB4414">
        <v>70.099999999999994</v>
      </c>
      <c r="AC4414">
        <v>69.98</v>
      </c>
      <c r="AE4414" s="74"/>
      <c r="AF4414" s="77"/>
      <c r="AH4414" s="497">
        <v>68.180000000000007</v>
      </c>
      <c r="AJ4414" s="42"/>
      <c r="AK4414" s="74"/>
      <c r="AL4414" s="77"/>
      <c r="AN4414" s="497">
        <v>53.06</v>
      </c>
      <c r="AP4414" s="42"/>
      <c r="AQ4414" s="74"/>
      <c r="AR4414" s="77"/>
      <c r="AT4414" s="497">
        <v>53.96</v>
      </c>
      <c r="AV4414" s="42"/>
      <c r="AW4414" s="74"/>
      <c r="AX4414" s="77"/>
      <c r="BA4414" s="497">
        <v>55.94</v>
      </c>
      <c r="BB4414" s="42"/>
      <c r="BC4414" s="74"/>
      <c r="BD4414" s="77"/>
      <c r="BF4414">
        <v>53.06</v>
      </c>
      <c r="BH4414" s="42"/>
      <c r="BI4414" s="74"/>
      <c r="BJ4414" s="77"/>
      <c r="BL4414" s="497">
        <v>55.94</v>
      </c>
      <c r="BN4414" s="42"/>
      <c r="BO4414" s="74"/>
      <c r="BP4414" s="77"/>
      <c r="BR4414" s="497">
        <v>59</v>
      </c>
      <c r="BT4414" s="42"/>
    </row>
    <row r="4415" spans="1:72" x14ac:dyDescent="0.25">
      <c r="A4415" s="90">
        <v>34518</v>
      </c>
      <c r="B4415" s="20">
        <v>0.20833333333333334</v>
      </c>
      <c r="D4415">
        <v>78.98</v>
      </c>
      <c r="E4415" t="str">
        <f t="shared" si="172"/>
        <v>SUNDAY</v>
      </c>
      <c r="F4415" t="e">
        <f t="shared" si="173"/>
        <v>#N/A</v>
      </c>
      <c r="G4415" s="74">
        <v>31961</v>
      </c>
      <c r="H4415" s="77">
        <v>0.20833333333333334</v>
      </c>
      <c r="J4415">
        <v>64.94</v>
      </c>
      <c r="M4415" s="74">
        <v>33422</v>
      </c>
      <c r="N4415" s="77">
        <v>0.20833333333333334</v>
      </c>
      <c r="P4415">
        <v>64.039999999999992</v>
      </c>
      <c r="S4415" s="74">
        <v>34518</v>
      </c>
      <c r="T4415" s="77">
        <v>0.20833333333333334</v>
      </c>
      <c r="V4415">
        <v>71.960000000000008</v>
      </c>
      <c r="X4415" s="42"/>
      <c r="AB4415">
        <v>69.599999999999994</v>
      </c>
      <c r="AC4415">
        <v>69.98</v>
      </c>
      <c r="AE4415" s="74"/>
      <c r="AF4415" s="77"/>
      <c r="AH4415" s="497">
        <v>66.2</v>
      </c>
      <c r="AJ4415" s="42"/>
      <c r="AK4415" s="74"/>
      <c r="AL4415" s="77"/>
      <c r="AN4415" s="497">
        <v>53.06</v>
      </c>
      <c r="AP4415" s="42"/>
      <c r="AQ4415" s="74"/>
      <c r="AR4415" s="77"/>
      <c r="AT4415" s="497">
        <v>57.56</v>
      </c>
      <c r="AV4415" s="42"/>
      <c r="AW4415" s="74"/>
      <c r="AX4415" s="77"/>
      <c r="BA4415" s="497">
        <v>55.040000000000006</v>
      </c>
      <c r="BB4415" s="42"/>
      <c r="BC4415" s="74"/>
      <c r="BD4415" s="77"/>
      <c r="BF4415">
        <v>53.06</v>
      </c>
      <c r="BH4415" s="42"/>
      <c r="BI4415" s="74"/>
      <c r="BJ4415" s="77"/>
      <c r="BL4415" s="497">
        <v>55.94</v>
      </c>
      <c r="BN4415" s="42"/>
      <c r="BO4415" s="74"/>
      <c r="BP4415" s="77"/>
      <c r="BR4415" s="497">
        <v>59</v>
      </c>
      <c r="BT4415" s="42"/>
    </row>
    <row r="4416" spans="1:72" x14ac:dyDescent="0.25">
      <c r="A4416" s="90">
        <v>34518</v>
      </c>
      <c r="B4416" s="20">
        <v>0.25</v>
      </c>
      <c r="D4416">
        <v>78.080000000000013</v>
      </c>
      <c r="E4416" t="str">
        <f t="shared" si="172"/>
        <v>SUNDAY</v>
      </c>
      <c r="F4416" t="e">
        <f t="shared" si="173"/>
        <v>#N/A</v>
      </c>
      <c r="G4416" s="74">
        <v>31961</v>
      </c>
      <c r="H4416" s="77">
        <v>0.25</v>
      </c>
      <c r="J4416">
        <v>64.94</v>
      </c>
      <c r="M4416" s="74">
        <v>33422</v>
      </c>
      <c r="N4416" s="77">
        <v>0.25</v>
      </c>
      <c r="P4416">
        <v>64.94</v>
      </c>
      <c r="S4416" s="74">
        <v>34518</v>
      </c>
      <c r="T4416" s="77">
        <v>0.25</v>
      </c>
      <c r="V4416">
        <v>73.039999999999992</v>
      </c>
      <c r="X4416" s="42"/>
      <c r="AB4416">
        <v>69.5</v>
      </c>
      <c r="AC4416">
        <v>71.06</v>
      </c>
      <c r="AE4416" s="74"/>
      <c r="AF4416" s="77"/>
      <c r="AH4416" s="497">
        <v>64.400000000000006</v>
      </c>
      <c r="AJ4416" s="42"/>
      <c r="AK4416" s="74"/>
      <c r="AL4416" s="77"/>
      <c r="AN4416" s="497">
        <v>53.06</v>
      </c>
      <c r="AP4416" s="42"/>
      <c r="AQ4416" s="74"/>
      <c r="AR4416" s="77"/>
      <c r="AT4416" s="497">
        <v>61.34</v>
      </c>
      <c r="AV4416" s="42"/>
      <c r="AW4416" s="74"/>
      <c r="AX4416" s="77"/>
      <c r="BA4416" s="497">
        <v>57.92</v>
      </c>
      <c r="BB4416" s="42"/>
      <c r="BC4416" s="74"/>
      <c r="BD4416" s="77"/>
      <c r="BF4416">
        <v>53.96</v>
      </c>
      <c r="BH4416" s="42"/>
      <c r="BI4416" s="74"/>
      <c r="BJ4416" s="77"/>
      <c r="BL4416" s="497">
        <v>57.92</v>
      </c>
      <c r="BN4416" s="42"/>
      <c r="BO4416" s="74"/>
      <c r="BP4416" s="77"/>
      <c r="BR4416" s="497">
        <v>60.08</v>
      </c>
      <c r="BT4416" s="42"/>
    </row>
    <row r="4417" spans="1:72" x14ac:dyDescent="0.25">
      <c r="A4417" s="90">
        <v>34518</v>
      </c>
      <c r="B4417" s="20">
        <v>0.29166666666666669</v>
      </c>
      <c r="D4417">
        <v>78.080000000000013</v>
      </c>
      <c r="E4417" t="str">
        <f t="shared" si="172"/>
        <v>SUNDAY</v>
      </c>
      <c r="F4417" t="e">
        <f t="shared" si="173"/>
        <v>#N/A</v>
      </c>
      <c r="G4417" s="74">
        <v>31961</v>
      </c>
      <c r="H4417" s="77">
        <v>0.29166666666666669</v>
      </c>
      <c r="J4417">
        <v>64.94</v>
      </c>
      <c r="M4417" s="74">
        <v>33422</v>
      </c>
      <c r="N4417" s="77">
        <v>0.29166666666666669</v>
      </c>
      <c r="P4417">
        <v>64.94</v>
      </c>
      <c r="S4417" s="74">
        <v>34518</v>
      </c>
      <c r="T4417" s="77">
        <v>0.29166666666666669</v>
      </c>
      <c r="V4417">
        <v>77</v>
      </c>
      <c r="X4417" s="42"/>
      <c r="AB4417">
        <v>71</v>
      </c>
      <c r="AC4417">
        <v>73.039999999999992</v>
      </c>
      <c r="AE4417" s="74"/>
      <c r="AF4417" s="77"/>
      <c r="AH4417" s="497">
        <v>66.2</v>
      </c>
      <c r="AJ4417" s="42"/>
      <c r="AK4417" s="74"/>
      <c r="AL4417" s="77"/>
      <c r="AN4417" s="497">
        <v>57.92</v>
      </c>
      <c r="AP4417" s="42"/>
      <c r="AQ4417" s="74"/>
      <c r="AR4417" s="77"/>
      <c r="AT4417" s="497">
        <v>64.94</v>
      </c>
      <c r="AV4417" s="42"/>
      <c r="AW4417" s="74"/>
      <c r="AX4417" s="77"/>
      <c r="BA4417" s="497">
        <v>64.94</v>
      </c>
      <c r="BB4417" s="42"/>
      <c r="BC4417" s="74"/>
      <c r="BD4417" s="77"/>
      <c r="BF4417">
        <v>60.08</v>
      </c>
      <c r="BH4417" s="42"/>
      <c r="BI4417" s="74"/>
      <c r="BJ4417" s="77"/>
      <c r="BL4417" s="497">
        <v>62.06</v>
      </c>
      <c r="BN4417" s="42"/>
      <c r="BO4417" s="74"/>
      <c r="BP4417" s="77"/>
      <c r="BR4417" s="497">
        <v>62.96</v>
      </c>
      <c r="BT4417" s="42"/>
    </row>
    <row r="4418" spans="1:72" x14ac:dyDescent="0.25">
      <c r="A4418" s="90">
        <v>34518</v>
      </c>
      <c r="B4418" s="20">
        <v>0.33333333333333331</v>
      </c>
      <c r="D4418">
        <v>78.080000000000013</v>
      </c>
      <c r="E4418" t="str">
        <f t="shared" si="172"/>
        <v>SUNDAY</v>
      </c>
      <c r="F4418" t="e">
        <f t="shared" si="173"/>
        <v>#N/A</v>
      </c>
      <c r="G4418" s="74">
        <v>31961</v>
      </c>
      <c r="H4418" s="77">
        <v>0.33333333333333331</v>
      </c>
      <c r="J4418">
        <v>66.02</v>
      </c>
      <c r="M4418" s="74">
        <v>33422</v>
      </c>
      <c r="N4418" s="77">
        <v>0.33333333333333331</v>
      </c>
      <c r="P4418">
        <v>66.02</v>
      </c>
      <c r="S4418" s="74">
        <v>34518</v>
      </c>
      <c r="T4418" s="77">
        <v>0.33333333333333331</v>
      </c>
      <c r="V4418">
        <v>80.06</v>
      </c>
      <c r="X4418" s="42"/>
      <c r="AB4418">
        <v>73.099999999999994</v>
      </c>
      <c r="AC4418">
        <v>77</v>
      </c>
      <c r="AE4418" s="74"/>
      <c r="AF4418" s="77"/>
      <c r="AH4418" s="497">
        <v>66.2</v>
      </c>
      <c r="AJ4418" s="42"/>
      <c r="AK4418" s="74"/>
      <c r="AL4418" s="77"/>
      <c r="AN4418" s="497">
        <v>60.08</v>
      </c>
      <c r="AP4418" s="42"/>
      <c r="AQ4418" s="74"/>
      <c r="AR4418" s="77"/>
      <c r="AT4418" s="497">
        <v>66.38</v>
      </c>
      <c r="AV4418" s="42"/>
      <c r="AW4418" s="74"/>
      <c r="AX4418" s="77"/>
      <c r="BA4418" s="497">
        <v>71.06</v>
      </c>
      <c r="BB4418" s="42"/>
      <c r="BC4418" s="74"/>
      <c r="BD4418" s="77"/>
      <c r="BF4418">
        <v>66.02</v>
      </c>
      <c r="BH4418" s="42"/>
      <c r="BI4418" s="74"/>
      <c r="BJ4418" s="77"/>
      <c r="BL4418" s="497">
        <v>66.92</v>
      </c>
      <c r="BN4418" s="42"/>
      <c r="BO4418" s="74"/>
      <c r="BP4418" s="77"/>
      <c r="BR4418" s="497">
        <v>66.02</v>
      </c>
      <c r="BT4418" s="42"/>
    </row>
    <row r="4419" spans="1:72" x14ac:dyDescent="0.25">
      <c r="A4419" s="90">
        <v>34518</v>
      </c>
      <c r="B4419" s="20">
        <v>0.375</v>
      </c>
      <c r="D4419">
        <v>78.98</v>
      </c>
      <c r="E4419" t="str">
        <f t="shared" si="172"/>
        <v>SUNDAY</v>
      </c>
      <c r="F4419" t="e">
        <f t="shared" si="173"/>
        <v>#N/A</v>
      </c>
      <c r="G4419" s="74">
        <v>31961</v>
      </c>
      <c r="H4419" s="77">
        <v>0.375</v>
      </c>
      <c r="J4419">
        <v>66.92</v>
      </c>
      <c r="M4419" s="74">
        <v>33422</v>
      </c>
      <c r="N4419" s="77">
        <v>0.375</v>
      </c>
      <c r="P4419">
        <v>66.92</v>
      </c>
      <c r="S4419" s="74">
        <v>34518</v>
      </c>
      <c r="T4419" s="77">
        <v>0.375</v>
      </c>
      <c r="V4419">
        <v>80.06</v>
      </c>
      <c r="X4419" s="42"/>
      <c r="AB4419">
        <v>75</v>
      </c>
      <c r="AC4419">
        <v>80.06</v>
      </c>
      <c r="AE4419" s="74"/>
      <c r="AF4419" s="77"/>
      <c r="AH4419" s="497">
        <v>68</v>
      </c>
      <c r="AJ4419" s="42"/>
      <c r="AK4419" s="74"/>
      <c r="AL4419" s="77"/>
      <c r="AN4419" s="497">
        <v>62.96</v>
      </c>
      <c r="AP4419" s="42"/>
      <c r="AQ4419" s="74"/>
      <c r="AR4419" s="77"/>
      <c r="AT4419" s="497">
        <v>67.64</v>
      </c>
      <c r="AV4419" s="42"/>
      <c r="AW4419" s="74"/>
      <c r="AX4419" s="77"/>
      <c r="BA4419" s="497">
        <v>73.94</v>
      </c>
      <c r="BB4419" s="42"/>
      <c r="BC4419" s="74"/>
      <c r="BD4419" s="77"/>
      <c r="BF4419">
        <v>68</v>
      </c>
      <c r="BH4419" s="42"/>
      <c r="BI4419" s="74"/>
      <c r="BJ4419" s="77"/>
      <c r="BL4419" s="497">
        <v>69.080000000000013</v>
      </c>
      <c r="BN4419" s="42"/>
      <c r="BO4419" s="74"/>
      <c r="BP4419" s="77"/>
      <c r="BR4419" s="497">
        <v>71.06</v>
      </c>
      <c r="BT4419" s="42"/>
    </row>
    <row r="4420" spans="1:72" x14ac:dyDescent="0.25">
      <c r="A4420" s="90">
        <v>34518</v>
      </c>
      <c r="B4420" s="20">
        <v>0.41666666666666669</v>
      </c>
      <c r="D4420">
        <v>80.06</v>
      </c>
      <c r="E4420" t="str">
        <f t="shared" si="172"/>
        <v>SUNDAY</v>
      </c>
      <c r="F4420" t="e">
        <f t="shared" si="173"/>
        <v>#N/A</v>
      </c>
      <c r="G4420" s="74">
        <v>31961</v>
      </c>
      <c r="H4420" s="77">
        <v>0.41666666666666669</v>
      </c>
      <c r="J4420">
        <v>69.98</v>
      </c>
      <c r="M4420" s="74">
        <v>33422</v>
      </c>
      <c r="N4420" s="77">
        <v>0.41666666666666669</v>
      </c>
      <c r="P4420">
        <v>68</v>
      </c>
      <c r="S4420" s="74">
        <v>34518</v>
      </c>
      <c r="T4420" s="77">
        <v>0.41666666666666669</v>
      </c>
      <c r="V4420">
        <v>80.06</v>
      </c>
      <c r="X4420" s="42"/>
      <c r="AB4420">
        <v>77</v>
      </c>
      <c r="AC4420">
        <v>78.080000000000013</v>
      </c>
      <c r="AE4420" s="74"/>
      <c r="AF4420" s="77"/>
      <c r="AH4420" s="497">
        <v>69.800000000000011</v>
      </c>
      <c r="AJ4420" s="42"/>
      <c r="AK4420" s="74"/>
      <c r="AL4420" s="77"/>
      <c r="AN4420" s="497">
        <v>62.06</v>
      </c>
      <c r="AP4420" s="42"/>
      <c r="AQ4420" s="74"/>
      <c r="AR4420" s="77"/>
      <c r="AT4420" s="497">
        <v>69.080000000000013</v>
      </c>
      <c r="AV4420" s="42"/>
      <c r="AW4420" s="74"/>
      <c r="AX4420" s="77"/>
      <c r="BA4420" s="497">
        <v>77</v>
      </c>
      <c r="BB4420" s="42"/>
      <c r="BC4420" s="74"/>
      <c r="BD4420" s="77"/>
      <c r="BF4420">
        <v>71.06</v>
      </c>
      <c r="BH4420" s="42"/>
      <c r="BI4420" s="74"/>
      <c r="BJ4420" s="77"/>
      <c r="BL4420" s="497">
        <v>71.06</v>
      </c>
      <c r="BN4420" s="42"/>
      <c r="BO4420" s="74"/>
      <c r="BP4420" s="77"/>
      <c r="BR4420" s="497">
        <v>75.02</v>
      </c>
      <c r="BT4420" s="42"/>
    </row>
    <row r="4421" spans="1:72" x14ac:dyDescent="0.25">
      <c r="A4421" s="90">
        <v>34518</v>
      </c>
      <c r="B4421" s="20">
        <v>0.45833333333333331</v>
      </c>
      <c r="D4421">
        <v>78.98</v>
      </c>
      <c r="E4421" t="str">
        <f t="shared" si="172"/>
        <v>SUNDAY</v>
      </c>
      <c r="F4421" t="e">
        <f t="shared" si="173"/>
        <v>#N/A</v>
      </c>
      <c r="G4421" s="74">
        <v>31961</v>
      </c>
      <c r="H4421" s="77">
        <v>0.45833333333333331</v>
      </c>
      <c r="J4421">
        <v>71.06</v>
      </c>
      <c r="M4421" s="74">
        <v>33422</v>
      </c>
      <c r="N4421" s="77">
        <v>0.45833333333333331</v>
      </c>
      <c r="P4421">
        <v>69.080000000000013</v>
      </c>
      <c r="S4421" s="74">
        <v>34518</v>
      </c>
      <c r="T4421" s="77">
        <v>0.45833333333333331</v>
      </c>
      <c r="V4421">
        <v>82.94</v>
      </c>
      <c r="X4421" s="42"/>
      <c r="AB4421">
        <v>78.5</v>
      </c>
      <c r="AC4421">
        <v>80.960000000000008</v>
      </c>
      <c r="AE4421" s="74"/>
      <c r="AF4421" s="77"/>
      <c r="AH4421" s="497">
        <v>69.080000000000013</v>
      </c>
      <c r="AJ4421" s="42"/>
      <c r="AK4421" s="74"/>
      <c r="AL4421" s="77"/>
      <c r="AN4421" s="497">
        <v>55.94</v>
      </c>
      <c r="AP4421" s="42"/>
      <c r="AQ4421" s="74"/>
      <c r="AR4421" s="77"/>
      <c r="AT4421" s="497">
        <v>71.78</v>
      </c>
      <c r="AV4421" s="42"/>
      <c r="AW4421" s="74"/>
      <c r="AX4421" s="77"/>
      <c r="BA4421" s="497">
        <v>78.98</v>
      </c>
      <c r="BB4421" s="42"/>
      <c r="BC4421" s="74"/>
      <c r="BD4421" s="77"/>
      <c r="BF4421">
        <v>73.039999999999992</v>
      </c>
      <c r="BH4421" s="42"/>
      <c r="BI4421" s="74"/>
      <c r="BJ4421" s="77"/>
      <c r="BL4421" s="497">
        <v>73.039999999999992</v>
      </c>
      <c r="BN4421" s="42"/>
      <c r="BO4421" s="74"/>
      <c r="BP4421" s="77"/>
      <c r="BR4421" s="497">
        <v>78.98</v>
      </c>
      <c r="BT4421" s="42"/>
    </row>
    <row r="4422" spans="1:72" x14ac:dyDescent="0.25">
      <c r="A4422" s="90">
        <v>34518</v>
      </c>
      <c r="B4422" s="20">
        <v>0.5</v>
      </c>
      <c r="D4422">
        <v>80.960000000000008</v>
      </c>
      <c r="E4422" t="str">
        <f t="shared" si="172"/>
        <v>SUNDAY</v>
      </c>
      <c r="F4422" t="e">
        <f t="shared" si="173"/>
        <v>#N/A</v>
      </c>
      <c r="G4422" s="74">
        <v>31961</v>
      </c>
      <c r="H4422" s="77">
        <v>0.5</v>
      </c>
      <c r="J4422">
        <v>75.92</v>
      </c>
      <c r="M4422" s="74">
        <v>33422</v>
      </c>
      <c r="N4422" s="77">
        <v>0.5</v>
      </c>
      <c r="P4422">
        <v>71.960000000000008</v>
      </c>
      <c r="S4422" s="74">
        <v>34518</v>
      </c>
      <c r="T4422" s="77">
        <v>0.5</v>
      </c>
      <c r="V4422">
        <v>84.02</v>
      </c>
      <c r="X4422" s="42"/>
      <c r="AB4422">
        <v>79.7</v>
      </c>
      <c r="AC4422">
        <v>82.94</v>
      </c>
      <c r="AE4422" s="74"/>
      <c r="AF4422" s="77"/>
      <c r="AH4422" s="497">
        <v>68</v>
      </c>
      <c r="AJ4422" s="42"/>
      <c r="AK4422" s="74"/>
      <c r="AL4422" s="77"/>
      <c r="AN4422" s="497">
        <v>55.94</v>
      </c>
      <c r="AP4422" s="42"/>
      <c r="AQ4422" s="74"/>
      <c r="AR4422" s="77"/>
      <c r="AT4422" s="497">
        <v>74.300000000000011</v>
      </c>
      <c r="AV4422" s="42"/>
      <c r="AW4422" s="74"/>
      <c r="AX4422" s="77"/>
      <c r="BA4422" s="497">
        <v>80.06</v>
      </c>
      <c r="BB4422" s="42"/>
      <c r="BC4422" s="74"/>
      <c r="BD4422" s="77"/>
      <c r="BF4422">
        <v>75.02</v>
      </c>
      <c r="BH4422" s="42"/>
      <c r="BI4422" s="74"/>
      <c r="BJ4422" s="77"/>
      <c r="BL4422" s="497">
        <v>73.94</v>
      </c>
      <c r="BN4422" s="42"/>
      <c r="BO4422" s="74"/>
      <c r="BP4422" s="77"/>
      <c r="BR4422" s="497">
        <v>78.98</v>
      </c>
      <c r="BT4422" s="42"/>
    </row>
    <row r="4423" spans="1:72" x14ac:dyDescent="0.25">
      <c r="A4423" s="90">
        <v>34518</v>
      </c>
      <c r="B4423" s="20">
        <v>0.54166666666666663</v>
      </c>
      <c r="D4423">
        <v>80.960000000000008</v>
      </c>
      <c r="E4423" t="str">
        <f t="shared" si="172"/>
        <v>SUNDAY</v>
      </c>
      <c r="F4423" t="e">
        <f t="shared" si="173"/>
        <v>#N/A</v>
      </c>
      <c r="G4423" s="74">
        <v>31961</v>
      </c>
      <c r="H4423" s="77">
        <v>0.54166666666666663</v>
      </c>
      <c r="J4423">
        <v>78.080000000000013</v>
      </c>
      <c r="M4423" s="74">
        <v>33422</v>
      </c>
      <c r="N4423" s="77">
        <v>0.54166666666666663</v>
      </c>
      <c r="P4423">
        <v>73.039999999999992</v>
      </c>
      <c r="S4423" s="74">
        <v>34518</v>
      </c>
      <c r="T4423" s="77">
        <v>0.54166666666666663</v>
      </c>
      <c r="V4423">
        <v>84.02</v>
      </c>
      <c r="X4423" s="42"/>
      <c r="AB4423">
        <v>80.400000000000006</v>
      </c>
      <c r="AC4423">
        <v>82.039999999999992</v>
      </c>
      <c r="AE4423" s="74"/>
      <c r="AF4423" s="77"/>
      <c r="AH4423" s="497">
        <v>69.800000000000011</v>
      </c>
      <c r="AJ4423" s="42"/>
      <c r="AK4423" s="74"/>
      <c r="AL4423" s="77"/>
      <c r="AN4423" s="497">
        <v>57.019999999999996</v>
      </c>
      <c r="AP4423" s="42"/>
      <c r="AQ4423" s="74"/>
      <c r="AR4423" s="77"/>
      <c r="AT4423" s="497">
        <v>77</v>
      </c>
      <c r="AV4423" s="42"/>
      <c r="AW4423" s="74"/>
      <c r="AX4423" s="77"/>
      <c r="BA4423" s="497">
        <v>80.06</v>
      </c>
      <c r="BB4423" s="42"/>
      <c r="BC4423" s="74"/>
      <c r="BD4423" s="77"/>
      <c r="BF4423">
        <v>75.92</v>
      </c>
      <c r="BH4423" s="42"/>
      <c r="BI4423" s="74"/>
      <c r="BJ4423" s="77"/>
      <c r="BL4423" s="497">
        <v>75.02</v>
      </c>
      <c r="BN4423" s="42"/>
      <c r="BO4423" s="74"/>
      <c r="BP4423" s="77"/>
      <c r="BR4423" s="497">
        <v>80.06</v>
      </c>
      <c r="BT4423" s="42"/>
    </row>
    <row r="4424" spans="1:72" x14ac:dyDescent="0.25">
      <c r="A4424" s="90">
        <v>34518</v>
      </c>
      <c r="B4424" s="20">
        <v>0.58333333333333337</v>
      </c>
      <c r="D4424">
        <v>80.960000000000008</v>
      </c>
      <c r="E4424" t="str">
        <f t="shared" si="172"/>
        <v>SUNDAY</v>
      </c>
      <c r="F4424" t="e">
        <f t="shared" si="173"/>
        <v>#N/A</v>
      </c>
      <c r="G4424" s="74">
        <v>31961</v>
      </c>
      <c r="H4424" s="77">
        <v>0.58333333333333337</v>
      </c>
      <c r="J4424">
        <v>78.98</v>
      </c>
      <c r="M4424" s="74">
        <v>33422</v>
      </c>
      <c r="N4424" s="77">
        <v>0.58333333333333337</v>
      </c>
      <c r="P4424">
        <v>75.02</v>
      </c>
      <c r="S4424" s="74">
        <v>34518</v>
      </c>
      <c r="T4424" s="77">
        <v>0.58333333333333337</v>
      </c>
      <c r="V4424">
        <v>82.94</v>
      </c>
      <c r="X4424" s="42"/>
      <c r="AB4424">
        <v>80.8</v>
      </c>
      <c r="AC4424">
        <v>82.039999999999992</v>
      </c>
      <c r="AE4424" s="74"/>
      <c r="AF4424" s="77"/>
      <c r="AH4424" s="497">
        <v>71.599999999999994</v>
      </c>
      <c r="AJ4424" s="42"/>
      <c r="AK4424" s="74"/>
      <c r="AL4424" s="77"/>
      <c r="AN4424" s="497">
        <v>59</v>
      </c>
      <c r="AP4424" s="42"/>
      <c r="AQ4424" s="74"/>
      <c r="AR4424" s="77"/>
      <c r="AT4424" s="497">
        <v>77.72</v>
      </c>
      <c r="AV4424" s="42"/>
      <c r="AW4424" s="74"/>
      <c r="AX4424" s="77"/>
      <c r="BA4424" s="497">
        <v>80.960000000000008</v>
      </c>
      <c r="BB4424" s="42"/>
      <c r="BC4424" s="74"/>
      <c r="BD4424" s="77"/>
      <c r="BF4424">
        <v>78.080000000000013</v>
      </c>
      <c r="BH4424" s="42"/>
      <c r="BI4424" s="74"/>
      <c r="BJ4424" s="77"/>
      <c r="BL4424" s="497">
        <v>75.02</v>
      </c>
      <c r="BN4424" s="42"/>
      <c r="BO4424" s="74"/>
      <c r="BP4424" s="77"/>
      <c r="BR4424" s="497">
        <v>78.98</v>
      </c>
      <c r="BT4424" s="42"/>
    </row>
    <row r="4425" spans="1:72" x14ac:dyDescent="0.25">
      <c r="A4425" s="90">
        <v>34518</v>
      </c>
      <c r="B4425" s="20">
        <v>0.625</v>
      </c>
      <c r="D4425">
        <v>82.039999999999992</v>
      </c>
      <c r="E4425" t="str">
        <f t="shared" si="172"/>
        <v>SUNDAY</v>
      </c>
      <c r="F4425" t="e">
        <f t="shared" si="173"/>
        <v>#N/A</v>
      </c>
      <c r="G4425" s="74">
        <v>31961</v>
      </c>
      <c r="H4425" s="77">
        <v>0.625</v>
      </c>
      <c r="J4425">
        <v>84.92</v>
      </c>
      <c r="M4425" s="74">
        <v>33422</v>
      </c>
      <c r="N4425" s="77">
        <v>0.625</v>
      </c>
      <c r="P4425">
        <v>73.94</v>
      </c>
      <c r="S4425" s="74">
        <v>34518</v>
      </c>
      <c r="T4425" s="77">
        <v>0.625</v>
      </c>
      <c r="V4425">
        <v>82.94</v>
      </c>
      <c r="X4425" s="42"/>
      <c r="AB4425">
        <v>80.900000000000006</v>
      </c>
      <c r="AC4425">
        <v>82.039999999999992</v>
      </c>
      <c r="AE4425" s="74"/>
      <c r="AF4425" s="77"/>
      <c r="AH4425" s="497">
        <v>73.400000000000006</v>
      </c>
      <c r="AJ4425" s="42"/>
      <c r="AK4425" s="74"/>
      <c r="AL4425" s="77"/>
      <c r="AN4425" s="497">
        <v>59</v>
      </c>
      <c r="AP4425" s="42"/>
      <c r="AQ4425" s="74"/>
      <c r="AR4425" s="77"/>
      <c r="AT4425" s="497">
        <v>78.259999999999991</v>
      </c>
      <c r="AV4425" s="42"/>
      <c r="AW4425" s="74"/>
      <c r="AX4425" s="77"/>
      <c r="BA4425" s="497">
        <v>80.960000000000008</v>
      </c>
      <c r="BB4425" s="42"/>
      <c r="BC4425" s="74"/>
      <c r="BD4425" s="77"/>
      <c r="BF4425">
        <v>80.06</v>
      </c>
      <c r="BH4425" s="42"/>
      <c r="BI4425" s="74"/>
      <c r="BJ4425" s="77"/>
      <c r="BL4425" s="497">
        <v>73.94</v>
      </c>
      <c r="BN4425" s="42"/>
      <c r="BO4425" s="74"/>
      <c r="BP4425" s="77"/>
      <c r="BR4425" s="497">
        <v>80.960000000000008</v>
      </c>
      <c r="BT4425" s="42"/>
    </row>
    <row r="4426" spans="1:72" x14ac:dyDescent="0.25">
      <c r="A4426" s="90">
        <v>34518</v>
      </c>
      <c r="B4426" s="20">
        <v>0.66666666666666663</v>
      </c>
      <c r="D4426">
        <v>82.94</v>
      </c>
      <c r="E4426" t="str">
        <f t="shared" si="172"/>
        <v>SUNDAY</v>
      </c>
      <c r="F4426" t="e">
        <f t="shared" si="173"/>
        <v>#N/A</v>
      </c>
      <c r="G4426" s="74">
        <v>31961</v>
      </c>
      <c r="H4426" s="77">
        <v>0.66666666666666663</v>
      </c>
      <c r="J4426">
        <v>84.92</v>
      </c>
      <c r="M4426" s="74">
        <v>33422</v>
      </c>
      <c r="N4426" s="77">
        <v>0.66666666666666663</v>
      </c>
      <c r="P4426">
        <v>71.960000000000008</v>
      </c>
      <c r="S4426" s="74">
        <v>34518</v>
      </c>
      <c r="T4426" s="77">
        <v>0.66666666666666663</v>
      </c>
      <c r="V4426">
        <v>80.06</v>
      </c>
      <c r="X4426" s="42"/>
      <c r="AB4426">
        <v>80.3</v>
      </c>
      <c r="AC4426">
        <v>80.06</v>
      </c>
      <c r="AE4426" s="74"/>
      <c r="AF4426" s="77"/>
      <c r="AH4426" s="497">
        <v>73.400000000000006</v>
      </c>
      <c r="AJ4426" s="42"/>
      <c r="AK4426" s="74"/>
      <c r="AL4426" s="77"/>
      <c r="AN4426" s="497">
        <v>60.08</v>
      </c>
      <c r="AP4426" s="42"/>
      <c r="AQ4426" s="74"/>
      <c r="AR4426" s="77"/>
      <c r="AT4426" s="497">
        <v>78.98</v>
      </c>
      <c r="AV4426" s="42"/>
      <c r="AW4426" s="74"/>
      <c r="AX4426" s="77"/>
      <c r="BA4426" s="497">
        <v>82.039999999999992</v>
      </c>
      <c r="BB4426" s="42"/>
      <c r="BC4426" s="74"/>
      <c r="BD4426" s="77"/>
      <c r="BF4426">
        <v>78.98</v>
      </c>
      <c r="BH4426" s="42"/>
      <c r="BI4426" s="74"/>
      <c r="BJ4426" s="77"/>
      <c r="BL4426" s="497">
        <v>75.02</v>
      </c>
      <c r="BN4426" s="42"/>
      <c r="BO4426" s="74"/>
      <c r="BP4426" s="77"/>
      <c r="BR4426" s="497">
        <v>80.06</v>
      </c>
      <c r="BT4426" s="42"/>
    </row>
    <row r="4427" spans="1:72" x14ac:dyDescent="0.25">
      <c r="A4427" s="90">
        <v>34518</v>
      </c>
      <c r="B4427" s="20">
        <v>0.70833333333333337</v>
      </c>
      <c r="D4427">
        <v>82.039999999999992</v>
      </c>
      <c r="E4427" t="str">
        <f t="shared" si="172"/>
        <v>SUNDAY</v>
      </c>
      <c r="F4427" t="e">
        <f t="shared" si="173"/>
        <v>#N/A</v>
      </c>
      <c r="G4427" s="74">
        <v>31961</v>
      </c>
      <c r="H4427" s="77">
        <v>0.70833333333333337</v>
      </c>
      <c r="J4427">
        <v>84.92</v>
      </c>
      <c r="M4427" s="74">
        <v>33422</v>
      </c>
      <c r="N4427" s="77">
        <v>0.70833333333333337</v>
      </c>
      <c r="P4427">
        <v>71.06</v>
      </c>
      <c r="S4427" s="74">
        <v>34518</v>
      </c>
      <c r="T4427" s="77">
        <v>0.70833333333333337</v>
      </c>
      <c r="V4427">
        <v>77</v>
      </c>
      <c r="X4427" s="42"/>
      <c r="AB4427">
        <v>79.3</v>
      </c>
      <c r="AC4427">
        <v>78.98</v>
      </c>
      <c r="AE4427" s="74"/>
      <c r="AF4427" s="77"/>
      <c r="AH4427" s="497">
        <v>69.800000000000011</v>
      </c>
      <c r="AJ4427" s="42"/>
      <c r="AK4427" s="74"/>
      <c r="AL4427" s="77"/>
      <c r="AN4427" s="497">
        <v>60.08</v>
      </c>
      <c r="AP4427" s="42"/>
      <c r="AQ4427" s="74"/>
      <c r="AR4427" s="77"/>
      <c r="AT4427" s="497">
        <v>77</v>
      </c>
      <c r="AV4427" s="42"/>
      <c r="AW4427" s="74"/>
      <c r="AX4427" s="77"/>
      <c r="BA4427" s="497">
        <v>82.039999999999992</v>
      </c>
      <c r="BB4427" s="42"/>
      <c r="BC4427" s="74"/>
      <c r="BD4427" s="77"/>
      <c r="BF4427">
        <v>77</v>
      </c>
      <c r="BH4427" s="42"/>
      <c r="BI4427" s="74"/>
      <c r="BJ4427" s="77"/>
      <c r="BL4427" s="497">
        <v>73.039999999999992</v>
      </c>
      <c r="BN4427" s="42"/>
      <c r="BO4427" s="74"/>
      <c r="BP4427" s="77"/>
      <c r="BR4427" s="497">
        <v>77</v>
      </c>
      <c r="BT4427" s="42"/>
    </row>
    <row r="4428" spans="1:72" x14ac:dyDescent="0.25">
      <c r="A4428" s="90">
        <v>34518</v>
      </c>
      <c r="B4428" s="20">
        <v>0.75</v>
      </c>
      <c r="D4428">
        <v>80.06</v>
      </c>
      <c r="E4428" t="str">
        <f t="shared" si="172"/>
        <v>SUNDAY</v>
      </c>
      <c r="F4428" t="e">
        <f t="shared" si="173"/>
        <v>#N/A</v>
      </c>
      <c r="G4428" s="74">
        <v>31961</v>
      </c>
      <c r="H4428" s="77">
        <v>0.75</v>
      </c>
      <c r="J4428">
        <v>84.02</v>
      </c>
      <c r="M4428" s="74">
        <v>33422</v>
      </c>
      <c r="N4428" s="77">
        <v>0.75</v>
      </c>
      <c r="P4428">
        <v>71.960000000000008</v>
      </c>
      <c r="S4428" s="74">
        <v>34518</v>
      </c>
      <c r="T4428" s="77">
        <v>0.75</v>
      </c>
      <c r="V4428">
        <v>75.02</v>
      </c>
      <c r="X4428" s="42"/>
      <c r="AB4428">
        <v>78.099999999999994</v>
      </c>
      <c r="AC4428">
        <v>77</v>
      </c>
      <c r="AE4428" s="74"/>
      <c r="AF4428" s="77"/>
      <c r="AH4428" s="497">
        <v>69.800000000000011</v>
      </c>
      <c r="AJ4428" s="42"/>
      <c r="AK4428" s="74"/>
      <c r="AL4428" s="77"/>
      <c r="AN4428" s="497">
        <v>59</v>
      </c>
      <c r="AP4428" s="42"/>
      <c r="AQ4428" s="74"/>
      <c r="AR4428" s="77"/>
      <c r="AT4428" s="497">
        <v>75.02</v>
      </c>
      <c r="AV4428" s="42"/>
      <c r="AW4428" s="74"/>
      <c r="AX4428" s="77"/>
      <c r="BA4428" s="497">
        <v>78.98</v>
      </c>
      <c r="BB4428" s="42"/>
      <c r="BC4428" s="74"/>
      <c r="BD4428" s="77"/>
      <c r="BF4428">
        <v>75.92</v>
      </c>
      <c r="BH4428" s="42"/>
      <c r="BI4428" s="74"/>
      <c r="BJ4428" s="77"/>
      <c r="BL4428" s="497">
        <v>71.06</v>
      </c>
      <c r="BN4428" s="42"/>
      <c r="BO4428" s="74"/>
      <c r="BP4428" s="77"/>
      <c r="BR4428" s="497">
        <v>75.02</v>
      </c>
      <c r="BT4428" s="42"/>
    </row>
    <row r="4429" spans="1:72" x14ac:dyDescent="0.25">
      <c r="A4429" s="90">
        <v>34518</v>
      </c>
      <c r="B4429" s="20">
        <v>0.79166666666666663</v>
      </c>
      <c r="D4429">
        <v>80.06</v>
      </c>
      <c r="E4429" t="str">
        <f t="shared" si="172"/>
        <v>SUNDAY</v>
      </c>
      <c r="F4429" t="e">
        <f t="shared" si="173"/>
        <v>#N/A</v>
      </c>
      <c r="G4429" s="74">
        <v>31961</v>
      </c>
      <c r="H4429" s="77">
        <v>0.79166666666666663</v>
      </c>
      <c r="J4429">
        <v>82.94</v>
      </c>
      <c r="M4429" s="74">
        <v>33422</v>
      </c>
      <c r="N4429" s="77">
        <v>0.79166666666666663</v>
      </c>
      <c r="P4429">
        <v>69.98</v>
      </c>
      <c r="S4429" s="74">
        <v>34518</v>
      </c>
      <c r="T4429" s="77">
        <v>0.79166666666666663</v>
      </c>
      <c r="V4429">
        <v>75.92</v>
      </c>
      <c r="X4429" s="42"/>
      <c r="AB4429">
        <v>76.7</v>
      </c>
      <c r="AC4429">
        <v>75.02</v>
      </c>
      <c r="AE4429" s="74"/>
      <c r="AF4429" s="77"/>
      <c r="AH4429" s="497">
        <v>64.400000000000006</v>
      </c>
      <c r="AJ4429" s="42"/>
      <c r="AK4429" s="74"/>
      <c r="AL4429" s="77"/>
      <c r="AN4429" s="497">
        <v>57.92</v>
      </c>
      <c r="AP4429" s="42"/>
      <c r="AQ4429" s="74"/>
      <c r="AR4429" s="77"/>
      <c r="AT4429" s="497">
        <v>73.039999999999992</v>
      </c>
      <c r="AV4429" s="42"/>
      <c r="AW4429" s="74"/>
      <c r="AX4429" s="77"/>
      <c r="BA4429" s="497">
        <v>78.98</v>
      </c>
      <c r="BB4429" s="42"/>
      <c r="BC4429" s="74"/>
      <c r="BD4429" s="77"/>
      <c r="BF4429">
        <v>77</v>
      </c>
      <c r="BH4429" s="42"/>
      <c r="BI4429" s="74"/>
      <c r="BJ4429" s="77"/>
      <c r="BL4429" s="497">
        <v>69.080000000000013</v>
      </c>
      <c r="BN4429" s="42"/>
      <c r="BO4429" s="74"/>
      <c r="BP4429" s="77"/>
      <c r="BR4429" s="497">
        <v>73.94</v>
      </c>
      <c r="BT4429" s="42"/>
    </row>
    <row r="4430" spans="1:72" x14ac:dyDescent="0.25">
      <c r="A4430" s="90">
        <v>34518</v>
      </c>
      <c r="B4430" s="20">
        <v>0.83333333333333337</v>
      </c>
      <c r="D4430">
        <v>78.080000000000013</v>
      </c>
      <c r="E4430" t="str">
        <f t="shared" si="172"/>
        <v>SUNDAY</v>
      </c>
      <c r="F4430" t="e">
        <f t="shared" si="173"/>
        <v>#N/A</v>
      </c>
      <c r="G4430" s="74">
        <v>31961</v>
      </c>
      <c r="H4430" s="77">
        <v>0.83333333333333337</v>
      </c>
      <c r="J4430">
        <v>80.06</v>
      </c>
      <c r="M4430" s="74">
        <v>33422</v>
      </c>
      <c r="N4430" s="77">
        <v>0.83333333333333337</v>
      </c>
      <c r="P4430">
        <v>69.080000000000013</v>
      </c>
      <c r="S4430" s="74">
        <v>34518</v>
      </c>
      <c r="T4430" s="77">
        <v>0.83333333333333337</v>
      </c>
      <c r="V4430">
        <v>78.080000000000013</v>
      </c>
      <c r="X4430" s="42"/>
      <c r="AB4430">
        <v>75.3</v>
      </c>
      <c r="AC4430">
        <v>73.039999999999992</v>
      </c>
      <c r="AE4430" s="74"/>
      <c r="AF4430" s="77"/>
      <c r="AH4430" s="497">
        <v>64.400000000000006</v>
      </c>
      <c r="AJ4430" s="42"/>
      <c r="AK4430" s="74"/>
      <c r="AL4430" s="77"/>
      <c r="AN4430" s="497">
        <v>57.019999999999996</v>
      </c>
      <c r="AP4430" s="42"/>
      <c r="AQ4430" s="74"/>
      <c r="AR4430" s="77"/>
      <c r="AT4430" s="497">
        <v>69.98</v>
      </c>
      <c r="AV4430" s="42"/>
      <c r="AW4430" s="74"/>
      <c r="AX4430" s="77"/>
      <c r="BA4430" s="497">
        <v>75.92</v>
      </c>
      <c r="BB4430" s="42"/>
      <c r="BC4430" s="74"/>
      <c r="BD4430" s="77"/>
      <c r="BF4430">
        <v>69.98</v>
      </c>
      <c r="BH4430" s="42"/>
      <c r="BI4430" s="74"/>
      <c r="BJ4430" s="77"/>
      <c r="BL4430" s="497">
        <v>62.96</v>
      </c>
      <c r="BN4430" s="42"/>
      <c r="BO4430" s="74"/>
      <c r="BP4430" s="77"/>
      <c r="BR4430" s="497">
        <v>73.94</v>
      </c>
      <c r="BT4430" s="42"/>
    </row>
    <row r="4431" spans="1:72" x14ac:dyDescent="0.25">
      <c r="A4431" s="90">
        <v>34518</v>
      </c>
      <c r="B4431" s="20">
        <v>0.875</v>
      </c>
      <c r="D4431">
        <v>77</v>
      </c>
      <c r="E4431" t="str">
        <f t="shared" si="172"/>
        <v>SUNDAY</v>
      </c>
      <c r="F4431" t="e">
        <f t="shared" si="173"/>
        <v>#N/A</v>
      </c>
      <c r="G4431" s="74">
        <v>31961</v>
      </c>
      <c r="H4431" s="77">
        <v>0.875</v>
      </c>
      <c r="J4431">
        <v>80.06</v>
      </c>
      <c r="M4431" s="74">
        <v>33422</v>
      </c>
      <c r="N4431" s="77">
        <v>0.875</v>
      </c>
      <c r="P4431">
        <v>69.080000000000013</v>
      </c>
      <c r="S4431" s="74">
        <v>34518</v>
      </c>
      <c r="T4431" s="77">
        <v>0.875</v>
      </c>
      <c r="V4431">
        <v>77</v>
      </c>
      <c r="X4431" s="42"/>
      <c r="AB4431">
        <v>74.2</v>
      </c>
      <c r="AC4431">
        <v>71.06</v>
      </c>
      <c r="AE4431" s="74"/>
      <c r="AF4431" s="77"/>
      <c r="AH4431" s="497">
        <v>64.400000000000006</v>
      </c>
      <c r="AJ4431" s="42"/>
      <c r="AK4431" s="74"/>
      <c r="AL4431" s="77"/>
      <c r="AN4431" s="497">
        <v>55.040000000000006</v>
      </c>
      <c r="AP4431" s="42"/>
      <c r="AQ4431" s="74"/>
      <c r="AR4431" s="77"/>
      <c r="AT4431" s="497">
        <v>67.099999999999994</v>
      </c>
      <c r="AV4431" s="42"/>
      <c r="AW4431" s="74"/>
      <c r="AX4431" s="77"/>
      <c r="BA4431" s="497">
        <v>73.039999999999992</v>
      </c>
      <c r="BB4431" s="42"/>
      <c r="BC4431" s="74"/>
      <c r="BD4431" s="77"/>
      <c r="BF4431">
        <v>68</v>
      </c>
      <c r="BH4431" s="42"/>
      <c r="BI4431" s="74"/>
      <c r="BJ4431" s="77"/>
      <c r="BL4431" s="497">
        <v>59</v>
      </c>
      <c r="BN4431" s="42"/>
      <c r="BO4431" s="74"/>
      <c r="BP4431" s="77"/>
      <c r="BR4431" s="497">
        <v>73.039999999999992</v>
      </c>
      <c r="BT4431" s="42"/>
    </row>
    <row r="4432" spans="1:72" x14ac:dyDescent="0.25">
      <c r="A4432" s="90">
        <v>34518</v>
      </c>
      <c r="B4432" s="20">
        <v>0.91666666666666663</v>
      </c>
      <c r="D4432">
        <v>75.92</v>
      </c>
      <c r="E4432" t="str">
        <f t="shared" si="172"/>
        <v>SUNDAY</v>
      </c>
      <c r="F4432" t="e">
        <f t="shared" si="173"/>
        <v>#N/A</v>
      </c>
      <c r="G4432" s="74">
        <v>31961</v>
      </c>
      <c r="H4432" s="77">
        <v>0.91666666666666663</v>
      </c>
      <c r="J4432">
        <v>78.98</v>
      </c>
      <c r="M4432" s="74">
        <v>33422</v>
      </c>
      <c r="N4432" s="77">
        <v>0.91666666666666663</v>
      </c>
      <c r="P4432">
        <v>69.080000000000013</v>
      </c>
      <c r="S4432" s="74">
        <v>34518</v>
      </c>
      <c r="T4432" s="77">
        <v>0.91666666666666663</v>
      </c>
      <c r="V4432">
        <v>77</v>
      </c>
      <c r="X4432" s="42"/>
      <c r="AB4432">
        <v>73.400000000000006</v>
      </c>
      <c r="AC4432">
        <v>69.98</v>
      </c>
      <c r="AE4432" s="74"/>
      <c r="AF4432" s="77"/>
      <c r="AH4432" s="497">
        <v>64.400000000000006</v>
      </c>
      <c r="AJ4432" s="42"/>
      <c r="AK4432" s="74"/>
      <c r="AL4432" s="77"/>
      <c r="AN4432" s="497">
        <v>53.96</v>
      </c>
      <c r="AP4432" s="42"/>
      <c r="AQ4432" s="74"/>
      <c r="AR4432" s="77"/>
      <c r="AT4432" s="497">
        <v>64.039999999999992</v>
      </c>
      <c r="AV4432" s="42"/>
      <c r="AW4432" s="74"/>
      <c r="AX4432" s="77"/>
      <c r="BA4432" s="497">
        <v>71.06</v>
      </c>
      <c r="BB4432" s="42"/>
      <c r="BC4432" s="74"/>
      <c r="BD4432" s="77"/>
      <c r="BF4432">
        <v>66.92</v>
      </c>
      <c r="BH4432" s="42"/>
      <c r="BI4432" s="74"/>
      <c r="BJ4432" s="77"/>
      <c r="BL4432" s="497">
        <v>57.019999999999996</v>
      </c>
      <c r="BN4432" s="42"/>
      <c r="BO4432" s="74"/>
      <c r="BP4432" s="77"/>
      <c r="BR4432" s="497">
        <v>71.960000000000008</v>
      </c>
      <c r="BT4432" s="42"/>
    </row>
    <row r="4433" spans="1:72" x14ac:dyDescent="0.25">
      <c r="A4433" s="90">
        <v>34518</v>
      </c>
      <c r="B4433" s="20">
        <v>0.95833333333333337</v>
      </c>
      <c r="D4433">
        <v>75.92</v>
      </c>
      <c r="E4433" t="str">
        <f t="shared" si="172"/>
        <v>SUNDAY</v>
      </c>
      <c r="F4433" t="e">
        <f t="shared" si="173"/>
        <v>#N/A</v>
      </c>
      <c r="G4433" s="74">
        <v>31961</v>
      </c>
      <c r="H4433" s="77">
        <v>0.95833333333333337</v>
      </c>
      <c r="J4433">
        <v>78.98</v>
      </c>
      <c r="M4433" s="74">
        <v>33422</v>
      </c>
      <c r="N4433" s="77">
        <v>0.95833333333333337</v>
      </c>
      <c r="P4433">
        <v>66.92</v>
      </c>
      <c r="S4433" s="74">
        <v>34518</v>
      </c>
      <c r="T4433" s="77">
        <v>0.95833333333333337</v>
      </c>
      <c r="V4433">
        <v>73.94</v>
      </c>
      <c r="X4433" s="42"/>
      <c r="AB4433">
        <v>72.900000000000006</v>
      </c>
      <c r="AC4433">
        <v>69.080000000000013</v>
      </c>
      <c r="AE4433" s="74"/>
      <c r="AF4433" s="77"/>
      <c r="AH4433" s="497">
        <v>64.22</v>
      </c>
      <c r="AJ4433" s="42"/>
      <c r="AK4433" s="74"/>
      <c r="AL4433" s="77"/>
      <c r="AN4433" s="497">
        <v>51.980000000000004</v>
      </c>
      <c r="AP4433" s="42"/>
      <c r="AQ4433" s="74"/>
      <c r="AR4433" s="77"/>
      <c r="AT4433" s="497">
        <v>63.319999999999993</v>
      </c>
      <c r="AV4433" s="42"/>
      <c r="AW4433" s="74"/>
      <c r="AX4433" s="77"/>
      <c r="BA4433" s="497">
        <v>71.06</v>
      </c>
      <c r="BB4433" s="42"/>
      <c r="BC4433" s="74"/>
      <c r="BD4433" s="77"/>
      <c r="BF4433">
        <v>66.02</v>
      </c>
      <c r="BH4433" s="42"/>
      <c r="BI4433" s="74"/>
      <c r="BJ4433" s="77"/>
      <c r="BL4433" s="497">
        <v>57.92</v>
      </c>
      <c r="BN4433" s="42"/>
      <c r="BO4433" s="74"/>
      <c r="BP4433" s="77"/>
      <c r="BR4433" s="497">
        <v>71.960000000000008</v>
      </c>
      <c r="BT4433" s="42"/>
    </row>
    <row r="4434" spans="1:72" x14ac:dyDescent="0.25">
      <c r="A4434" s="90">
        <v>34518</v>
      </c>
      <c r="B4434" s="20">
        <v>1</v>
      </c>
      <c r="D4434">
        <v>71.960000000000008</v>
      </c>
      <c r="E4434" t="str">
        <f t="shared" si="172"/>
        <v>SUNDAY</v>
      </c>
      <c r="F4434" t="e">
        <f t="shared" si="173"/>
        <v>#N/A</v>
      </c>
      <c r="G4434" s="74">
        <v>31961</v>
      </c>
      <c r="H4434" s="77">
        <v>1</v>
      </c>
      <c r="J4434">
        <v>75.92</v>
      </c>
      <c r="M4434" s="74">
        <v>33422</v>
      </c>
      <c r="N4434" s="80">
        <v>1</v>
      </c>
      <c r="P4434">
        <v>66.92</v>
      </c>
      <c r="S4434" s="74">
        <v>34518</v>
      </c>
      <c r="T4434" s="80">
        <v>1</v>
      </c>
      <c r="V4434">
        <v>71.960000000000008</v>
      </c>
      <c r="X4434" s="42"/>
      <c r="AB4434">
        <v>72.400000000000006</v>
      </c>
      <c r="AC4434">
        <v>68</v>
      </c>
      <c r="AE4434" s="74"/>
      <c r="AF4434" s="80"/>
      <c r="AH4434" s="497">
        <v>64.400000000000006</v>
      </c>
      <c r="AJ4434" s="42"/>
      <c r="AK4434" s="74"/>
      <c r="AL4434" s="80"/>
      <c r="AN4434" s="497">
        <v>50</v>
      </c>
      <c r="AP4434" s="42"/>
      <c r="AQ4434" s="74"/>
      <c r="AR4434" s="80"/>
      <c r="AT4434" s="497">
        <v>62.78</v>
      </c>
      <c r="AV4434" s="42"/>
      <c r="AW4434" s="74"/>
      <c r="AX4434" s="80"/>
      <c r="BA4434" s="497">
        <v>69.98</v>
      </c>
      <c r="BB4434" s="42"/>
      <c r="BC4434" s="74"/>
      <c r="BD4434" s="80"/>
      <c r="BF4434">
        <v>64.94</v>
      </c>
      <c r="BH4434" s="42"/>
      <c r="BI4434" s="74"/>
      <c r="BJ4434" s="80"/>
      <c r="BL4434" s="497">
        <v>55.94</v>
      </c>
      <c r="BN4434" s="42"/>
      <c r="BO4434" s="74"/>
      <c r="BP4434" s="80"/>
      <c r="BR4434" s="497">
        <v>71.06</v>
      </c>
      <c r="BT4434" s="42"/>
    </row>
    <row r="4435" spans="1:72" x14ac:dyDescent="0.25">
      <c r="A4435" s="90">
        <v>34519</v>
      </c>
      <c r="B4435" s="20">
        <v>4.1666666666666664E-2</v>
      </c>
      <c r="D4435">
        <v>71.960000000000008</v>
      </c>
      <c r="E4435" t="str">
        <f t="shared" ref="E4435:E4498" si="174">IF(COUNTIF($DI$18:$DI$22, WEEKDAY(A4435))=1, "WEEKDAY", IF(WEEKDAY(A4435) = 1, "SUNDAY", "SATURDAY"))</f>
        <v>WEEKDAY</v>
      </c>
      <c r="F4435" t="e">
        <f t="shared" si="173"/>
        <v>#N/A</v>
      </c>
      <c r="G4435" s="74">
        <v>31962</v>
      </c>
      <c r="H4435" s="77">
        <v>4.1666666666666664E-2</v>
      </c>
      <c r="J4435">
        <v>77</v>
      </c>
      <c r="M4435" s="74">
        <v>33423</v>
      </c>
      <c r="N4435" s="77">
        <v>4.1666666666666664E-2</v>
      </c>
      <c r="P4435">
        <v>66.92</v>
      </c>
      <c r="S4435" s="74">
        <v>34519</v>
      </c>
      <c r="T4435" s="77">
        <v>4.1666666666666664E-2</v>
      </c>
      <c r="V4435">
        <v>69.98</v>
      </c>
      <c r="X4435" s="42"/>
      <c r="AB4435">
        <v>71.8</v>
      </c>
      <c r="AC4435">
        <v>66.92</v>
      </c>
      <c r="AE4435" s="74"/>
      <c r="AF4435" s="77"/>
      <c r="AH4435" s="497">
        <v>64.400000000000006</v>
      </c>
      <c r="AJ4435" s="42"/>
      <c r="AK4435" s="74"/>
      <c r="AL4435" s="77"/>
      <c r="AN4435" s="497">
        <v>50</v>
      </c>
      <c r="AP4435" s="42"/>
      <c r="AQ4435" s="74"/>
      <c r="AR4435" s="77"/>
      <c r="AT4435" s="497">
        <v>62.06</v>
      </c>
      <c r="AV4435" s="42"/>
      <c r="AW4435" s="74"/>
      <c r="AX4435" s="77"/>
      <c r="BA4435" s="497">
        <v>73.039999999999992</v>
      </c>
      <c r="BB4435" s="42"/>
      <c r="BC4435" s="74"/>
      <c r="BD4435" s="77"/>
      <c r="BF4435">
        <v>62.96</v>
      </c>
      <c r="BH4435" s="42"/>
      <c r="BI4435" s="74"/>
      <c r="BJ4435" s="77"/>
      <c r="BL4435" s="497">
        <v>55.040000000000006</v>
      </c>
      <c r="BN4435" s="42"/>
      <c r="BO4435" s="74"/>
      <c r="BP4435" s="77"/>
      <c r="BR4435" s="497">
        <v>71.06</v>
      </c>
      <c r="BT4435" s="42"/>
    </row>
    <row r="4436" spans="1:72" x14ac:dyDescent="0.25">
      <c r="A4436" s="90">
        <v>34519</v>
      </c>
      <c r="B4436" s="20">
        <v>8.3333333333333329E-2</v>
      </c>
      <c r="D4436">
        <v>71.06</v>
      </c>
      <c r="E4436" t="str">
        <f t="shared" si="174"/>
        <v>WEEKDAY</v>
      </c>
      <c r="F4436" t="e">
        <f t="shared" si="173"/>
        <v>#N/A</v>
      </c>
      <c r="G4436" s="74">
        <v>31962</v>
      </c>
      <c r="H4436" s="77">
        <v>8.3333333333333329E-2</v>
      </c>
      <c r="J4436">
        <v>75.02</v>
      </c>
      <c r="M4436" s="74">
        <v>33423</v>
      </c>
      <c r="N4436" s="77">
        <v>8.3333333333333329E-2</v>
      </c>
      <c r="P4436">
        <v>66.02</v>
      </c>
      <c r="S4436" s="74">
        <v>34519</v>
      </c>
      <c r="T4436" s="77">
        <v>8.3333333333333329E-2</v>
      </c>
      <c r="V4436">
        <v>69.98</v>
      </c>
      <c r="X4436" s="42"/>
      <c r="AB4436">
        <v>71.2</v>
      </c>
      <c r="AC4436">
        <v>68</v>
      </c>
      <c r="AE4436" s="74"/>
      <c r="AF4436" s="77"/>
      <c r="AH4436" s="497">
        <v>64.400000000000006</v>
      </c>
      <c r="AJ4436" s="42"/>
      <c r="AK4436" s="74"/>
      <c r="AL4436" s="77"/>
      <c r="AN4436" s="497">
        <v>48.019999999999996</v>
      </c>
      <c r="AP4436" s="42"/>
      <c r="AQ4436" s="74"/>
      <c r="AR4436" s="77"/>
      <c r="AT4436" s="497">
        <v>62.96</v>
      </c>
      <c r="AV4436" s="42"/>
      <c r="AW4436" s="74"/>
      <c r="AX4436" s="77"/>
      <c r="BA4436" s="497">
        <v>71.960000000000008</v>
      </c>
      <c r="BB4436" s="42"/>
      <c r="BC4436" s="74"/>
      <c r="BD4436" s="77"/>
      <c r="BF4436">
        <v>60.980000000000004</v>
      </c>
      <c r="BH4436" s="42"/>
      <c r="BI4436" s="74"/>
      <c r="BJ4436" s="77"/>
      <c r="BL4436" s="497">
        <v>51.08</v>
      </c>
      <c r="BN4436" s="42"/>
      <c r="BO4436" s="74"/>
      <c r="BP4436" s="77"/>
      <c r="BR4436" s="497">
        <v>69.98</v>
      </c>
      <c r="BT4436" s="42"/>
    </row>
    <row r="4437" spans="1:72" x14ac:dyDescent="0.25">
      <c r="A4437" s="90">
        <v>34519</v>
      </c>
      <c r="B4437" s="20">
        <v>0.125</v>
      </c>
      <c r="D4437">
        <v>71.06</v>
      </c>
      <c r="E4437" t="str">
        <f t="shared" si="174"/>
        <v>WEEKDAY</v>
      </c>
      <c r="F4437" t="e">
        <f t="shared" si="173"/>
        <v>#N/A</v>
      </c>
      <c r="G4437" s="74">
        <v>31962</v>
      </c>
      <c r="H4437" s="77">
        <v>0.125</v>
      </c>
      <c r="J4437">
        <v>75.92</v>
      </c>
      <c r="M4437" s="74">
        <v>33423</v>
      </c>
      <c r="N4437" s="77">
        <v>0.125</v>
      </c>
      <c r="P4437">
        <v>64.039999999999992</v>
      </c>
      <c r="S4437" s="74">
        <v>34519</v>
      </c>
      <c r="T4437" s="77">
        <v>0.125</v>
      </c>
      <c r="V4437">
        <v>69.98</v>
      </c>
      <c r="X4437" s="42"/>
      <c r="AB4437">
        <v>70.7</v>
      </c>
      <c r="AC4437">
        <v>68</v>
      </c>
      <c r="AE4437" s="74"/>
      <c r="AF4437" s="77"/>
      <c r="AH4437" s="497">
        <v>64.22</v>
      </c>
      <c r="AJ4437" s="42"/>
      <c r="AK4437" s="74"/>
      <c r="AL4437" s="77"/>
      <c r="AN4437" s="497">
        <v>48.92</v>
      </c>
      <c r="AP4437" s="42"/>
      <c r="AQ4437" s="74"/>
      <c r="AR4437" s="77"/>
      <c r="AT4437" s="497">
        <v>64.039999999999992</v>
      </c>
      <c r="AV4437" s="42"/>
      <c r="AW4437" s="74"/>
      <c r="AX4437" s="77"/>
      <c r="BA4437" s="497">
        <v>73.039999999999992</v>
      </c>
      <c r="BB4437" s="42"/>
      <c r="BC4437" s="74"/>
      <c r="BD4437" s="77"/>
      <c r="BF4437">
        <v>60.980000000000004</v>
      </c>
      <c r="BH4437" s="42"/>
      <c r="BI4437" s="74"/>
      <c r="BJ4437" s="77"/>
      <c r="BL4437" s="497">
        <v>50</v>
      </c>
      <c r="BN4437" s="42"/>
      <c r="BO4437" s="74"/>
      <c r="BP4437" s="77"/>
      <c r="BR4437" s="497">
        <v>71.06</v>
      </c>
      <c r="BT4437" s="42"/>
    </row>
    <row r="4438" spans="1:72" x14ac:dyDescent="0.25">
      <c r="A4438" s="90">
        <v>34519</v>
      </c>
      <c r="B4438" s="20">
        <v>0.16666666666666666</v>
      </c>
      <c r="D4438">
        <v>71.06</v>
      </c>
      <c r="E4438" t="str">
        <f t="shared" si="174"/>
        <v>WEEKDAY</v>
      </c>
      <c r="F4438" t="e">
        <f t="shared" si="173"/>
        <v>#N/A</v>
      </c>
      <c r="G4438" s="74">
        <v>31962</v>
      </c>
      <c r="H4438" s="77">
        <v>0.16666666666666666</v>
      </c>
      <c r="J4438">
        <v>75.02</v>
      </c>
      <c r="M4438" s="74">
        <v>33423</v>
      </c>
      <c r="N4438" s="77">
        <v>0.16666666666666666</v>
      </c>
      <c r="P4438">
        <v>64.039999999999992</v>
      </c>
      <c r="S4438" s="74">
        <v>34519</v>
      </c>
      <c r="T4438" s="77">
        <v>0.16666666666666666</v>
      </c>
      <c r="V4438">
        <v>69.98</v>
      </c>
      <c r="X4438" s="42"/>
      <c r="AB4438">
        <v>70.099999999999994</v>
      </c>
      <c r="AC4438">
        <v>66.92</v>
      </c>
      <c r="AE4438" s="74"/>
      <c r="AF4438" s="77"/>
      <c r="AH4438" s="497">
        <v>64.400000000000006</v>
      </c>
      <c r="AJ4438" s="42"/>
      <c r="AK4438" s="74"/>
      <c r="AL4438" s="77"/>
      <c r="AN4438" s="497">
        <v>48.92</v>
      </c>
      <c r="AP4438" s="42"/>
      <c r="AQ4438" s="74"/>
      <c r="AR4438" s="77"/>
      <c r="AT4438" s="497">
        <v>64.94</v>
      </c>
      <c r="AV4438" s="42"/>
      <c r="AW4438" s="74"/>
      <c r="AX4438" s="77"/>
      <c r="BA4438" s="497">
        <v>71.960000000000008</v>
      </c>
      <c r="BB4438" s="42"/>
      <c r="BC4438" s="74"/>
      <c r="BD4438" s="77"/>
      <c r="BF4438">
        <v>60.08</v>
      </c>
      <c r="BH4438" s="42"/>
      <c r="BI4438" s="74"/>
      <c r="BJ4438" s="77"/>
      <c r="BL4438" s="497">
        <v>50</v>
      </c>
      <c r="BN4438" s="42"/>
      <c r="BO4438" s="74"/>
      <c r="BP4438" s="77"/>
      <c r="BR4438" s="497">
        <v>71.960000000000008</v>
      </c>
      <c r="BT4438" s="42"/>
    </row>
    <row r="4439" spans="1:72" x14ac:dyDescent="0.25">
      <c r="A4439" s="90">
        <v>34519</v>
      </c>
      <c r="B4439" s="20">
        <v>0.20833333333333334</v>
      </c>
      <c r="D4439">
        <v>69.98</v>
      </c>
      <c r="E4439" t="str">
        <f t="shared" si="174"/>
        <v>WEEKDAY</v>
      </c>
      <c r="F4439" t="e">
        <f t="shared" si="173"/>
        <v>#N/A</v>
      </c>
      <c r="G4439" s="74">
        <v>31962</v>
      </c>
      <c r="H4439" s="77">
        <v>0.20833333333333334</v>
      </c>
      <c r="J4439">
        <v>75.02</v>
      </c>
      <c r="M4439" s="74">
        <v>33423</v>
      </c>
      <c r="N4439" s="77">
        <v>0.20833333333333334</v>
      </c>
      <c r="P4439">
        <v>64.039999999999992</v>
      </c>
      <c r="S4439" s="74">
        <v>34519</v>
      </c>
      <c r="T4439" s="77">
        <v>0.20833333333333334</v>
      </c>
      <c r="V4439">
        <v>69.080000000000013</v>
      </c>
      <c r="X4439" s="42"/>
      <c r="AB4439">
        <v>69.7</v>
      </c>
      <c r="AC4439">
        <v>66.92</v>
      </c>
      <c r="AE4439" s="74"/>
      <c r="AF4439" s="77"/>
      <c r="AH4439" s="497">
        <v>62.6</v>
      </c>
      <c r="AJ4439" s="42"/>
      <c r="AK4439" s="74"/>
      <c r="AL4439" s="77"/>
      <c r="AN4439" s="497">
        <v>48.92</v>
      </c>
      <c r="AP4439" s="42"/>
      <c r="AQ4439" s="74"/>
      <c r="AR4439" s="77"/>
      <c r="AT4439" s="497">
        <v>65.300000000000011</v>
      </c>
      <c r="AV4439" s="42"/>
      <c r="AW4439" s="74"/>
      <c r="AX4439" s="77"/>
      <c r="BA4439" s="497">
        <v>73.94</v>
      </c>
      <c r="BB4439" s="42"/>
      <c r="BC4439" s="74"/>
      <c r="BD4439" s="77"/>
      <c r="BF4439">
        <v>60.08</v>
      </c>
      <c r="BH4439" s="42"/>
      <c r="BI4439" s="74"/>
      <c r="BJ4439" s="77"/>
      <c r="BL4439" s="497">
        <v>50</v>
      </c>
      <c r="BN4439" s="42"/>
      <c r="BO4439" s="74"/>
      <c r="BP4439" s="77"/>
      <c r="BR4439" s="497">
        <v>73.94</v>
      </c>
      <c r="BT4439" s="42"/>
    </row>
    <row r="4440" spans="1:72" x14ac:dyDescent="0.25">
      <c r="A4440" s="90">
        <v>34519</v>
      </c>
      <c r="B4440" s="20">
        <v>0.25</v>
      </c>
      <c r="D4440">
        <v>69.080000000000013</v>
      </c>
      <c r="E4440" t="str">
        <f t="shared" si="174"/>
        <v>WEEKDAY</v>
      </c>
      <c r="F4440" t="e">
        <f t="shared" si="173"/>
        <v>#N/A</v>
      </c>
      <c r="G4440" s="74">
        <v>31962</v>
      </c>
      <c r="H4440" s="77">
        <v>0.25</v>
      </c>
      <c r="J4440">
        <v>75.02</v>
      </c>
      <c r="M4440" s="74">
        <v>33423</v>
      </c>
      <c r="N4440" s="77">
        <v>0.25</v>
      </c>
      <c r="P4440">
        <v>66.02</v>
      </c>
      <c r="S4440" s="74">
        <v>34519</v>
      </c>
      <c r="T4440" s="77">
        <v>0.25</v>
      </c>
      <c r="V4440">
        <v>69.98</v>
      </c>
      <c r="X4440" s="42"/>
      <c r="AB4440">
        <v>69.5</v>
      </c>
      <c r="AC4440">
        <v>68</v>
      </c>
      <c r="AE4440" s="74"/>
      <c r="AF4440" s="77"/>
      <c r="AH4440" s="497">
        <v>62.6</v>
      </c>
      <c r="AJ4440" s="42"/>
      <c r="AK4440" s="74"/>
      <c r="AL4440" s="77"/>
      <c r="AN4440" s="497">
        <v>48.019999999999996</v>
      </c>
      <c r="AP4440" s="42"/>
      <c r="AQ4440" s="74"/>
      <c r="AR4440" s="77"/>
      <c r="AT4440" s="497">
        <v>65.66</v>
      </c>
      <c r="AV4440" s="42"/>
      <c r="AW4440" s="74"/>
      <c r="AX4440" s="77"/>
      <c r="BA4440" s="497">
        <v>75.02</v>
      </c>
      <c r="BB4440" s="42"/>
      <c r="BC4440" s="74"/>
      <c r="BD4440" s="77"/>
      <c r="BF4440">
        <v>60.980000000000004</v>
      </c>
      <c r="BH4440" s="42"/>
      <c r="BI4440" s="74"/>
      <c r="BJ4440" s="77"/>
      <c r="BL4440" s="497">
        <v>51.980000000000004</v>
      </c>
      <c r="BN4440" s="42"/>
      <c r="BO4440" s="74"/>
      <c r="BP4440" s="77"/>
      <c r="BR4440" s="497">
        <v>73.94</v>
      </c>
      <c r="BT4440" s="42"/>
    </row>
    <row r="4441" spans="1:72" x14ac:dyDescent="0.25">
      <c r="A4441" s="90">
        <v>34519</v>
      </c>
      <c r="B4441" s="20">
        <v>0.29166666666666669</v>
      </c>
      <c r="D4441">
        <v>69.080000000000013</v>
      </c>
      <c r="E4441" t="str">
        <f t="shared" si="174"/>
        <v>WEEKDAY</v>
      </c>
      <c r="F4441" t="e">
        <f t="shared" si="173"/>
        <v>#N/A</v>
      </c>
      <c r="G4441" s="74">
        <v>31962</v>
      </c>
      <c r="H4441" s="77">
        <v>0.29166666666666669</v>
      </c>
      <c r="J4441">
        <v>75.92</v>
      </c>
      <c r="M4441" s="74">
        <v>33423</v>
      </c>
      <c r="N4441" s="77">
        <v>0.29166666666666669</v>
      </c>
      <c r="P4441">
        <v>69.080000000000013</v>
      </c>
      <c r="S4441" s="74">
        <v>34519</v>
      </c>
      <c r="T4441" s="77">
        <v>0.29166666666666669</v>
      </c>
      <c r="V4441">
        <v>71.960000000000008</v>
      </c>
      <c r="X4441" s="42"/>
      <c r="AB4441">
        <v>71.099999999999994</v>
      </c>
      <c r="AC4441">
        <v>71.06</v>
      </c>
      <c r="AE4441" s="74"/>
      <c r="AF4441" s="77"/>
      <c r="AH4441" s="497">
        <v>64.400000000000006</v>
      </c>
      <c r="AJ4441" s="42"/>
      <c r="AK4441" s="74"/>
      <c r="AL4441" s="77"/>
      <c r="AN4441" s="497">
        <v>48.92</v>
      </c>
      <c r="AP4441" s="42"/>
      <c r="AQ4441" s="74"/>
      <c r="AR4441" s="77"/>
      <c r="AT4441" s="497">
        <v>66.02</v>
      </c>
      <c r="AV4441" s="42"/>
      <c r="AW4441" s="74"/>
      <c r="AX4441" s="77"/>
      <c r="BA4441" s="497">
        <v>77</v>
      </c>
      <c r="BB4441" s="42"/>
      <c r="BC4441" s="74"/>
      <c r="BD4441" s="77"/>
      <c r="BF4441">
        <v>64.039999999999992</v>
      </c>
      <c r="BH4441" s="42"/>
      <c r="BI4441" s="74"/>
      <c r="BJ4441" s="77"/>
      <c r="BL4441" s="497">
        <v>55.040000000000006</v>
      </c>
      <c r="BN4441" s="42"/>
      <c r="BO4441" s="74"/>
      <c r="BP4441" s="77"/>
      <c r="BR4441" s="497">
        <v>73.94</v>
      </c>
      <c r="BT4441" s="42"/>
    </row>
    <row r="4442" spans="1:72" x14ac:dyDescent="0.25">
      <c r="A4442" s="90">
        <v>34519</v>
      </c>
      <c r="B4442" s="20">
        <v>0.33333333333333331</v>
      </c>
      <c r="D4442">
        <v>71.06</v>
      </c>
      <c r="E4442" t="str">
        <f t="shared" si="174"/>
        <v>WEEKDAY</v>
      </c>
      <c r="F4442" t="e">
        <f t="shared" si="173"/>
        <v>#N/A</v>
      </c>
      <c r="G4442" s="74">
        <v>31962</v>
      </c>
      <c r="H4442" s="77">
        <v>0.33333333333333331</v>
      </c>
      <c r="J4442">
        <v>77</v>
      </c>
      <c r="M4442" s="74">
        <v>33423</v>
      </c>
      <c r="N4442" s="77">
        <v>0.33333333333333331</v>
      </c>
      <c r="P4442">
        <v>71.06</v>
      </c>
      <c r="S4442" s="74">
        <v>34519</v>
      </c>
      <c r="T4442" s="77">
        <v>0.33333333333333331</v>
      </c>
      <c r="V4442">
        <v>75.02</v>
      </c>
      <c r="X4442" s="42"/>
      <c r="AB4442">
        <v>73.099999999999994</v>
      </c>
      <c r="AC4442">
        <v>73.039999999999992</v>
      </c>
      <c r="AE4442" s="74"/>
      <c r="AF4442" s="77"/>
      <c r="AH4442" s="497">
        <v>66.2</v>
      </c>
      <c r="AJ4442" s="42"/>
      <c r="AK4442" s="74"/>
      <c r="AL4442" s="77"/>
      <c r="AN4442" s="497">
        <v>51.08</v>
      </c>
      <c r="AP4442" s="42"/>
      <c r="AQ4442" s="74"/>
      <c r="AR4442" s="77"/>
      <c r="AT4442" s="497">
        <v>69.62</v>
      </c>
      <c r="AV4442" s="42"/>
      <c r="AW4442" s="74"/>
      <c r="AX4442" s="77"/>
      <c r="BA4442" s="497">
        <v>80.06</v>
      </c>
      <c r="BB4442" s="42"/>
      <c r="BC4442" s="74"/>
      <c r="BD4442" s="77"/>
      <c r="BF4442">
        <v>69.98</v>
      </c>
      <c r="BH4442" s="42"/>
      <c r="BI4442" s="74"/>
      <c r="BJ4442" s="77"/>
      <c r="BL4442" s="497">
        <v>62.06</v>
      </c>
      <c r="BN4442" s="42"/>
      <c r="BO4442" s="74"/>
      <c r="BP4442" s="77"/>
      <c r="BR4442" s="497">
        <v>75.92</v>
      </c>
      <c r="BT4442" s="42"/>
    </row>
    <row r="4443" spans="1:72" x14ac:dyDescent="0.25">
      <c r="A4443" s="90">
        <v>34519</v>
      </c>
      <c r="B4443" s="20">
        <v>0.375</v>
      </c>
      <c r="D4443">
        <v>73.94</v>
      </c>
      <c r="E4443" t="str">
        <f t="shared" si="174"/>
        <v>WEEKDAY</v>
      </c>
      <c r="F4443" t="e">
        <f t="shared" si="173"/>
        <v>#N/A</v>
      </c>
      <c r="G4443" s="74">
        <v>31962</v>
      </c>
      <c r="H4443" s="77">
        <v>0.375</v>
      </c>
      <c r="J4443">
        <v>80.06</v>
      </c>
      <c r="M4443" s="74">
        <v>33423</v>
      </c>
      <c r="N4443" s="77">
        <v>0.375</v>
      </c>
      <c r="P4443">
        <v>73.039999999999992</v>
      </c>
      <c r="S4443" s="74">
        <v>34519</v>
      </c>
      <c r="T4443" s="77">
        <v>0.375</v>
      </c>
      <c r="V4443">
        <v>78.080000000000013</v>
      </c>
      <c r="X4443" s="42"/>
      <c r="AB4443">
        <v>75.099999999999994</v>
      </c>
      <c r="AC4443">
        <v>78.98</v>
      </c>
      <c r="AE4443" s="74"/>
      <c r="AF4443" s="77"/>
      <c r="AH4443" s="497">
        <v>68.180000000000007</v>
      </c>
      <c r="AJ4443" s="42"/>
      <c r="AK4443" s="74"/>
      <c r="AL4443" s="77"/>
      <c r="AN4443" s="497">
        <v>53.96</v>
      </c>
      <c r="AP4443" s="42"/>
      <c r="AQ4443" s="74"/>
      <c r="AR4443" s="77"/>
      <c r="AT4443" s="497">
        <v>73.400000000000006</v>
      </c>
      <c r="AV4443" s="42"/>
      <c r="AW4443" s="74"/>
      <c r="AX4443" s="77"/>
      <c r="BA4443" s="497">
        <v>82.94</v>
      </c>
      <c r="BB4443" s="42"/>
      <c r="BC4443" s="74"/>
      <c r="BD4443" s="77"/>
      <c r="BF4443">
        <v>69.98</v>
      </c>
      <c r="BH4443" s="42"/>
      <c r="BI4443" s="74"/>
      <c r="BJ4443" s="77"/>
      <c r="BL4443" s="497">
        <v>66.02</v>
      </c>
      <c r="BN4443" s="42"/>
      <c r="BO4443" s="74"/>
      <c r="BP4443" s="77"/>
      <c r="BR4443" s="497">
        <v>73.94</v>
      </c>
      <c r="BT4443" s="42"/>
    </row>
    <row r="4444" spans="1:72" x14ac:dyDescent="0.25">
      <c r="A4444" s="90">
        <v>34519</v>
      </c>
      <c r="B4444" s="20">
        <v>0.41666666666666669</v>
      </c>
      <c r="D4444">
        <v>75.92</v>
      </c>
      <c r="E4444" t="str">
        <f t="shared" si="174"/>
        <v>WEEKDAY</v>
      </c>
      <c r="F4444" t="e">
        <f t="shared" si="173"/>
        <v>#N/A</v>
      </c>
      <c r="G4444" s="74">
        <v>31962</v>
      </c>
      <c r="H4444" s="77">
        <v>0.41666666666666669</v>
      </c>
      <c r="J4444">
        <v>82.94</v>
      </c>
      <c r="M4444" s="74">
        <v>33423</v>
      </c>
      <c r="N4444" s="77">
        <v>0.41666666666666669</v>
      </c>
      <c r="P4444">
        <v>75.02</v>
      </c>
      <c r="S4444" s="74">
        <v>34519</v>
      </c>
      <c r="T4444" s="77">
        <v>0.41666666666666669</v>
      </c>
      <c r="V4444">
        <v>80.06</v>
      </c>
      <c r="X4444" s="42"/>
      <c r="AB4444">
        <v>77</v>
      </c>
      <c r="AC4444">
        <v>80.06</v>
      </c>
      <c r="AE4444" s="74"/>
      <c r="AF4444" s="77"/>
      <c r="AH4444" s="497">
        <v>69.800000000000011</v>
      </c>
      <c r="AJ4444" s="42"/>
      <c r="AK4444" s="74"/>
      <c r="AL4444" s="77"/>
      <c r="AN4444" s="497">
        <v>53.96</v>
      </c>
      <c r="AP4444" s="42"/>
      <c r="AQ4444" s="74"/>
      <c r="AR4444" s="77"/>
      <c r="AT4444" s="497">
        <v>77</v>
      </c>
      <c r="AV4444" s="42"/>
      <c r="AW4444" s="74"/>
      <c r="AX4444" s="77"/>
      <c r="BA4444" s="497">
        <v>84.92</v>
      </c>
      <c r="BB4444" s="42"/>
      <c r="BC4444" s="74"/>
      <c r="BD4444" s="77"/>
      <c r="BF4444">
        <v>71.960000000000008</v>
      </c>
      <c r="BH4444" s="42"/>
      <c r="BI4444" s="74"/>
      <c r="BJ4444" s="77"/>
      <c r="BL4444" s="497">
        <v>66.92</v>
      </c>
      <c r="BN4444" s="42"/>
      <c r="BO4444" s="74"/>
      <c r="BP4444" s="77"/>
      <c r="BR4444" s="497">
        <v>75.02</v>
      </c>
      <c r="BT4444" s="42"/>
    </row>
    <row r="4445" spans="1:72" x14ac:dyDescent="0.25">
      <c r="A4445" s="90">
        <v>34519</v>
      </c>
      <c r="B4445" s="20">
        <v>0.45833333333333331</v>
      </c>
      <c r="D4445">
        <v>78.080000000000013</v>
      </c>
      <c r="E4445" t="str">
        <f t="shared" si="174"/>
        <v>WEEKDAY</v>
      </c>
      <c r="F4445" t="e">
        <f t="shared" si="173"/>
        <v>#N/A</v>
      </c>
      <c r="G4445" s="74">
        <v>31962</v>
      </c>
      <c r="H4445" s="77">
        <v>0.45833333333333331</v>
      </c>
      <c r="J4445">
        <v>84.92</v>
      </c>
      <c r="M4445" s="74">
        <v>33423</v>
      </c>
      <c r="N4445" s="77">
        <v>0.45833333333333331</v>
      </c>
      <c r="P4445">
        <v>75.92</v>
      </c>
      <c r="S4445" s="74">
        <v>34519</v>
      </c>
      <c r="T4445" s="77">
        <v>0.45833333333333331</v>
      </c>
      <c r="V4445">
        <v>82.039999999999992</v>
      </c>
      <c r="X4445" s="42"/>
      <c r="AB4445">
        <v>78.599999999999994</v>
      </c>
      <c r="AC4445">
        <v>82.039999999999992</v>
      </c>
      <c r="AE4445" s="74"/>
      <c r="AF4445" s="77"/>
      <c r="AH4445" s="497">
        <v>69.800000000000011</v>
      </c>
      <c r="AJ4445" s="42"/>
      <c r="AK4445" s="74"/>
      <c r="AL4445" s="77"/>
      <c r="AN4445" s="497">
        <v>55.94</v>
      </c>
      <c r="AP4445" s="42"/>
      <c r="AQ4445" s="74"/>
      <c r="AR4445" s="77"/>
      <c r="AT4445" s="497">
        <v>78.98</v>
      </c>
      <c r="AV4445" s="42"/>
      <c r="AW4445" s="74"/>
      <c r="AX4445" s="77"/>
      <c r="BA4445" s="497">
        <v>87.98</v>
      </c>
      <c r="BB4445" s="42"/>
      <c r="BC4445" s="74"/>
      <c r="BD4445" s="77"/>
      <c r="BF4445">
        <v>75.02</v>
      </c>
      <c r="BH4445" s="42"/>
      <c r="BI4445" s="74"/>
      <c r="BJ4445" s="77"/>
      <c r="BL4445" s="497">
        <v>69.080000000000013</v>
      </c>
      <c r="BN4445" s="42"/>
      <c r="BO4445" s="74"/>
      <c r="BP4445" s="77"/>
      <c r="BR4445" s="497">
        <v>75.92</v>
      </c>
      <c r="BT4445" s="42"/>
    </row>
    <row r="4446" spans="1:72" x14ac:dyDescent="0.25">
      <c r="A4446" s="90">
        <v>34519</v>
      </c>
      <c r="B4446" s="20">
        <v>0.5</v>
      </c>
      <c r="D4446">
        <v>78.98</v>
      </c>
      <c r="E4446" t="str">
        <f t="shared" si="174"/>
        <v>WEEKDAY</v>
      </c>
      <c r="F4446" t="e">
        <f t="shared" si="173"/>
        <v>#N/A</v>
      </c>
      <c r="G4446" s="74">
        <v>31962</v>
      </c>
      <c r="H4446" s="77">
        <v>0.5</v>
      </c>
      <c r="J4446">
        <v>86</v>
      </c>
      <c r="M4446" s="74">
        <v>33423</v>
      </c>
      <c r="N4446" s="77">
        <v>0.5</v>
      </c>
      <c r="P4446">
        <v>75.92</v>
      </c>
      <c r="S4446" s="74">
        <v>34519</v>
      </c>
      <c r="T4446" s="77">
        <v>0.5</v>
      </c>
      <c r="V4446">
        <v>82.94</v>
      </c>
      <c r="X4446" s="42"/>
      <c r="AB4446">
        <v>79.7</v>
      </c>
      <c r="AC4446">
        <v>82.039999999999992</v>
      </c>
      <c r="AE4446" s="74"/>
      <c r="AF4446" s="77"/>
      <c r="AH4446" s="497">
        <v>64.400000000000006</v>
      </c>
      <c r="AJ4446" s="42"/>
      <c r="AK4446" s="74"/>
      <c r="AL4446" s="77"/>
      <c r="AN4446" s="497">
        <v>57.019999999999996</v>
      </c>
      <c r="AP4446" s="42"/>
      <c r="AQ4446" s="74"/>
      <c r="AR4446" s="77"/>
      <c r="AT4446" s="497">
        <v>80.960000000000008</v>
      </c>
      <c r="AV4446" s="42"/>
      <c r="AW4446" s="74"/>
      <c r="AX4446" s="77"/>
      <c r="BA4446" s="497">
        <v>89.960000000000008</v>
      </c>
      <c r="BB4446" s="42"/>
      <c r="BC4446" s="74"/>
      <c r="BD4446" s="77"/>
      <c r="BF4446">
        <v>75.92</v>
      </c>
      <c r="BH4446" s="42"/>
      <c r="BI4446" s="74"/>
      <c r="BJ4446" s="77"/>
      <c r="BL4446" s="497">
        <v>69.98</v>
      </c>
      <c r="BN4446" s="42"/>
      <c r="BO4446" s="74"/>
      <c r="BP4446" s="77"/>
      <c r="BR4446" s="497">
        <v>75.92</v>
      </c>
      <c r="BT4446" s="42"/>
    </row>
    <row r="4447" spans="1:72" x14ac:dyDescent="0.25">
      <c r="A4447" s="90">
        <v>34519</v>
      </c>
      <c r="B4447" s="20">
        <v>0.54166666666666663</v>
      </c>
      <c r="D4447">
        <v>78.98</v>
      </c>
      <c r="E4447" t="str">
        <f t="shared" si="174"/>
        <v>WEEKDAY</v>
      </c>
      <c r="F4447" t="e">
        <f t="shared" si="173"/>
        <v>#N/A</v>
      </c>
      <c r="G4447" s="74">
        <v>31962</v>
      </c>
      <c r="H4447" s="77">
        <v>0.54166666666666663</v>
      </c>
      <c r="J4447">
        <v>86</v>
      </c>
      <c r="M4447" s="74">
        <v>33423</v>
      </c>
      <c r="N4447" s="77">
        <v>0.54166666666666663</v>
      </c>
      <c r="P4447">
        <v>78.080000000000013</v>
      </c>
      <c r="S4447" s="74">
        <v>34519</v>
      </c>
      <c r="T4447" s="77">
        <v>0.54166666666666663</v>
      </c>
      <c r="V4447">
        <v>82.039999999999992</v>
      </c>
      <c r="X4447" s="42"/>
      <c r="AB4447">
        <v>80.5</v>
      </c>
      <c r="AC4447">
        <v>80.960000000000008</v>
      </c>
      <c r="AE4447" s="74"/>
      <c r="AF4447" s="77"/>
      <c r="AH4447" s="497">
        <v>64.400000000000006</v>
      </c>
      <c r="AJ4447" s="42"/>
      <c r="AK4447" s="74"/>
      <c r="AL4447" s="77"/>
      <c r="AN4447" s="497">
        <v>59</v>
      </c>
      <c r="AP4447" s="42"/>
      <c r="AQ4447" s="74"/>
      <c r="AR4447" s="77"/>
      <c r="AT4447" s="497">
        <v>82.94</v>
      </c>
      <c r="AV4447" s="42"/>
      <c r="AW4447" s="74"/>
      <c r="AX4447" s="77"/>
      <c r="BA4447" s="497">
        <v>93.02</v>
      </c>
      <c r="BB4447" s="42"/>
      <c r="BC4447" s="74"/>
      <c r="BD4447" s="77"/>
      <c r="BF4447">
        <v>77</v>
      </c>
      <c r="BH4447" s="42"/>
      <c r="BI4447" s="74"/>
      <c r="BJ4447" s="77"/>
      <c r="BL4447" s="497">
        <v>71.06</v>
      </c>
      <c r="BN4447" s="42"/>
      <c r="BO4447" s="74"/>
      <c r="BP4447" s="77"/>
      <c r="BR4447" s="497">
        <v>78.080000000000013</v>
      </c>
      <c r="BT4447" s="42"/>
    </row>
    <row r="4448" spans="1:72" x14ac:dyDescent="0.25">
      <c r="A4448" s="90">
        <v>34519</v>
      </c>
      <c r="B4448" s="20">
        <v>0.58333333333333337</v>
      </c>
      <c r="D4448">
        <v>80.06</v>
      </c>
      <c r="E4448" t="str">
        <f t="shared" si="174"/>
        <v>WEEKDAY</v>
      </c>
      <c r="F4448" t="e">
        <f t="shared" si="173"/>
        <v>#N/A</v>
      </c>
      <c r="G4448" s="74">
        <v>31962</v>
      </c>
      <c r="H4448" s="77">
        <v>0.58333333333333337</v>
      </c>
      <c r="J4448">
        <v>87.080000000000013</v>
      </c>
      <c r="M4448" s="74">
        <v>33423</v>
      </c>
      <c r="N4448" s="77">
        <v>0.58333333333333337</v>
      </c>
      <c r="P4448">
        <v>77</v>
      </c>
      <c r="S4448" s="74">
        <v>34519</v>
      </c>
      <c r="T4448" s="77">
        <v>0.58333333333333337</v>
      </c>
      <c r="V4448">
        <v>82.039999999999992</v>
      </c>
      <c r="X4448" s="42"/>
      <c r="AB4448">
        <v>80.8</v>
      </c>
      <c r="AC4448">
        <v>80.960000000000008</v>
      </c>
      <c r="AE4448" s="74"/>
      <c r="AF4448" s="77"/>
      <c r="AH4448" s="497">
        <v>64.580000000000013</v>
      </c>
      <c r="AJ4448" s="42"/>
      <c r="AK4448" s="74"/>
      <c r="AL4448" s="77"/>
      <c r="AN4448" s="497">
        <v>62.96</v>
      </c>
      <c r="AP4448" s="42"/>
      <c r="AQ4448" s="74"/>
      <c r="AR4448" s="77"/>
      <c r="AT4448" s="497">
        <v>83.66</v>
      </c>
      <c r="AV4448" s="42"/>
      <c r="AW4448" s="74"/>
      <c r="AX4448" s="77"/>
      <c r="BA4448" s="497">
        <v>95</v>
      </c>
      <c r="BB4448" s="42"/>
      <c r="BC4448" s="74"/>
      <c r="BD4448" s="77"/>
      <c r="BF4448">
        <v>82.039999999999992</v>
      </c>
      <c r="BH4448" s="42"/>
      <c r="BI4448" s="74"/>
      <c r="BJ4448" s="77"/>
      <c r="BL4448" s="497">
        <v>71.960000000000008</v>
      </c>
      <c r="BN4448" s="42"/>
      <c r="BO4448" s="74"/>
      <c r="BP4448" s="77"/>
      <c r="BR4448" s="497">
        <v>77</v>
      </c>
      <c r="BT4448" s="42"/>
    </row>
    <row r="4449" spans="1:72" x14ac:dyDescent="0.25">
      <c r="A4449" s="90">
        <v>34519</v>
      </c>
      <c r="B4449" s="20">
        <v>0.625</v>
      </c>
      <c r="D4449">
        <v>80.960000000000008</v>
      </c>
      <c r="E4449" t="str">
        <f t="shared" si="174"/>
        <v>WEEKDAY</v>
      </c>
      <c r="F4449" t="e">
        <f t="shared" si="173"/>
        <v>#N/A</v>
      </c>
      <c r="G4449" s="74">
        <v>31962</v>
      </c>
      <c r="H4449" s="77">
        <v>0.625</v>
      </c>
      <c r="J4449">
        <v>87.080000000000013</v>
      </c>
      <c r="M4449" s="74">
        <v>33423</v>
      </c>
      <c r="N4449" s="77">
        <v>0.625</v>
      </c>
      <c r="P4449">
        <v>77</v>
      </c>
      <c r="S4449" s="74">
        <v>34519</v>
      </c>
      <c r="T4449" s="77">
        <v>0.625</v>
      </c>
      <c r="V4449">
        <v>80.960000000000008</v>
      </c>
      <c r="X4449" s="42"/>
      <c r="AB4449">
        <v>80.900000000000006</v>
      </c>
      <c r="AC4449">
        <v>80.06</v>
      </c>
      <c r="AE4449" s="74"/>
      <c r="AF4449" s="77"/>
      <c r="AH4449" s="497">
        <v>64.400000000000006</v>
      </c>
      <c r="AJ4449" s="42"/>
      <c r="AK4449" s="74"/>
      <c r="AL4449" s="77"/>
      <c r="AN4449" s="497">
        <v>62.96</v>
      </c>
      <c r="AP4449" s="42"/>
      <c r="AQ4449" s="74"/>
      <c r="AR4449" s="77"/>
      <c r="AT4449" s="497">
        <v>84.2</v>
      </c>
      <c r="AV4449" s="42"/>
      <c r="AW4449" s="74"/>
      <c r="AX4449" s="77"/>
      <c r="BA4449" s="497">
        <v>96.98</v>
      </c>
      <c r="BB4449" s="42"/>
      <c r="BC4449" s="74"/>
      <c r="BD4449" s="77"/>
      <c r="BF4449">
        <v>80.06</v>
      </c>
      <c r="BH4449" s="42"/>
      <c r="BI4449" s="74"/>
      <c r="BJ4449" s="77"/>
      <c r="BL4449" s="497">
        <v>71.960000000000008</v>
      </c>
      <c r="BN4449" s="42"/>
      <c r="BO4449" s="74"/>
      <c r="BP4449" s="77"/>
      <c r="BR4449" s="497">
        <v>73.039999999999992</v>
      </c>
      <c r="BT4449" s="42"/>
    </row>
    <row r="4450" spans="1:72" x14ac:dyDescent="0.25">
      <c r="A4450" s="90">
        <v>34519</v>
      </c>
      <c r="B4450" s="20">
        <v>0.66666666666666663</v>
      </c>
      <c r="D4450">
        <v>82.94</v>
      </c>
      <c r="E4450" t="str">
        <f t="shared" si="174"/>
        <v>WEEKDAY</v>
      </c>
      <c r="F4450" t="e">
        <f t="shared" si="173"/>
        <v>#N/A</v>
      </c>
      <c r="G4450" s="74">
        <v>31962</v>
      </c>
      <c r="H4450" s="77">
        <v>0.66666666666666663</v>
      </c>
      <c r="J4450">
        <v>86</v>
      </c>
      <c r="M4450" s="74">
        <v>33423</v>
      </c>
      <c r="N4450" s="77">
        <v>0.66666666666666663</v>
      </c>
      <c r="P4450">
        <v>77</v>
      </c>
      <c r="S4450" s="74">
        <v>34519</v>
      </c>
      <c r="T4450" s="77">
        <v>0.66666666666666663</v>
      </c>
      <c r="V4450">
        <v>78.98</v>
      </c>
      <c r="X4450" s="42"/>
      <c r="AB4450">
        <v>80.400000000000006</v>
      </c>
      <c r="AC4450">
        <v>80.06</v>
      </c>
      <c r="AE4450" s="74"/>
      <c r="AF4450" s="77"/>
      <c r="AH4450" s="497">
        <v>64.400000000000006</v>
      </c>
      <c r="AJ4450" s="42"/>
      <c r="AK4450" s="74"/>
      <c r="AL4450" s="77"/>
      <c r="AN4450" s="497">
        <v>64.039999999999992</v>
      </c>
      <c r="AP4450" s="42"/>
      <c r="AQ4450" s="74"/>
      <c r="AR4450" s="77"/>
      <c r="AT4450" s="497">
        <v>84.92</v>
      </c>
      <c r="AV4450" s="42"/>
      <c r="AW4450" s="74"/>
      <c r="AX4450" s="77"/>
      <c r="BA4450" s="497">
        <v>96.08</v>
      </c>
      <c r="BB4450" s="42"/>
      <c r="BC4450" s="74"/>
      <c r="BD4450" s="77"/>
      <c r="BF4450">
        <v>82.94</v>
      </c>
      <c r="BH4450" s="42"/>
      <c r="BI4450" s="74"/>
      <c r="BJ4450" s="77"/>
      <c r="BL4450" s="497">
        <v>71.06</v>
      </c>
      <c r="BN4450" s="42"/>
      <c r="BO4450" s="74"/>
      <c r="BP4450" s="77"/>
      <c r="BR4450" s="497">
        <v>77</v>
      </c>
      <c r="BT4450" s="42"/>
    </row>
    <row r="4451" spans="1:72" x14ac:dyDescent="0.25">
      <c r="A4451" s="90">
        <v>34519</v>
      </c>
      <c r="B4451" s="20">
        <v>0.70833333333333337</v>
      </c>
      <c r="D4451">
        <v>82.039999999999992</v>
      </c>
      <c r="E4451" t="str">
        <f t="shared" si="174"/>
        <v>WEEKDAY</v>
      </c>
      <c r="F4451" t="e">
        <f t="shared" si="173"/>
        <v>#N/A</v>
      </c>
      <c r="G4451" s="74">
        <v>31962</v>
      </c>
      <c r="H4451" s="77">
        <v>0.70833333333333337</v>
      </c>
      <c r="J4451">
        <v>86</v>
      </c>
      <c r="M4451" s="74">
        <v>33423</v>
      </c>
      <c r="N4451" s="77">
        <v>0.70833333333333337</v>
      </c>
      <c r="P4451">
        <v>73.039999999999992</v>
      </c>
      <c r="S4451" s="74">
        <v>34519</v>
      </c>
      <c r="T4451" s="77">
        <v>0.70833333333333337</v>
      </c>
      <c r="V4451">
        <v>77</v>
      </c>
      <c r="X4451" s="42"/>
      <c r="AB4451">
        <v>79.400000000000006</v>
      </c>
      <c r="AC4451">
        <v>78.080000000000013</v>
      </c>
      <c r="AE4451" s="74"/>
      <c r="AF4451" s="77"/>
      <c r="AH4451" s="497">
        <v>59</v>
      </c>
      <c r="AJ4451" s="42"/>
      <c r="AK4451" s="74"/>
      <c r="AL4451" s="77"/>
      <c r="AN4451" s="497">
        <v>64.039999999999992</v>
      </c>
      <c r="AP4451" s="42"/>
      <c r="AQ4451" s="74"/>
      <c r="AR4451" s="77"/>
      <c r="AT4451" s="497">
        <v>83.300000000000011</v>
      </c>
      <c r="AV4451" s="42"/>
      <c r="AW4451" s="74"/>
      <c r="AX4451" s="77"/>
      <c r="BA4451" s="497">
        <v>95</v>
      </c>
      <c r="BB4451" s="42"/>
      <c r="BC4451" s="74"/>
      <c r="BD4451" s="77"/>
      <c r="BF4451">
        <v>80.960000000000008</v>
      </c>
      <c r="BH4451" s="42"/>
      <c r="BI4451" s="74"/>
      <c r="BJ4451" s="77"/>
      <c r="BL4451" s="497">
        <v>69.98</v>
      </c>
      <c r="BN4451" s="42"/>
      <c r="BO4451" s="74"/>
      <c r="BP4451" s="77"/>
      <c r="BR4451" s="497">
        <v>75.92</v>
      </c>
      <c r="BT4451" s="42"/>
    </row>
    <row r="4452" spans="1:72" x14ac:dyDescent="0.25">
      <c r="A4452" s="90">
        <v>34519</v>
      </c>
      <c r="B4452" s="20">
        <v>0.75</v>
      </c>
      <c r="D4452">
        <v>80.06</v>
      </c>
      <c r="E4452" t="str">
        <f t="shared" si="174"/>
        <v>WEEKDAY</v>
      </c>
      <c r="F4452" t="e">
        <f t="shared" si="173"/>
        <v>#N/A</v>
      </c>
      <c r="G4452" s="74">
        <v>31962</v>
      </c>
      <c r="H4452" s="77">
        <v>0.75</v>
      </c>
      <c r="J4452">
        <v>84.02</v>
      </c>
      <c r="M4452" s="74">
        <v>33423</v>
      </c>
      <c r="N4452" s="77">
        <v>0.75</v>
      </c>
      <c r="P4452">
        <v>71.960000000000008</v>
      </c>
      <c r="S4452" s="74">
        <v>34519</v>
      </c>
      <c r="T4452" s="77">
        <v>0.75</v>
      </c>
      <c r="V4452">
        <v>75.02</v>
      </c>
      <c r="X4452" s="42"/>
      <c r="AB4452">
        <v>78.2</v>
      </c>
      <c r="AC4452">
        <v>75.92</v>
      </c>
      <c r="AE4452" s="74"/>
      <c r="AF4452" s="77"/>
      <c r="AH4452" s="497">
        <v>61.519999999999996</v>
      </c>
      <c r="AJ4452" s="42"/>
      <c r="AK4452" s="74"/>
      <c r="AL4452" s="77"/>
      <c r="AN4452" s="497">
        <v>64.039999999999992</v>
      </c>
      <c r="AP4452" s="42"/>
      <c r="AQ4452" s="74"/>
      <c r="AR4452" s="77"/>
      <c r="AT4452" s="497">
        <v>81.680000000000007</v>
      </c>
      <c r="AV4452" s="42"/>
      <c r="AW4452" s="74"/>
      <c r="AX4452" s="77"/>
      <c r="BA4452" s="497">
        <v>93.02</v>
      </c>
      <c r="BB4452" s="42"/>
      <c r="BC4452" s="74"/>
      <c r="BD4452" s="77"/>
      <c r="BF4452">
        <v>78.98</v>
      </c>
      <c r="BH4452" s="42"/>
      <c r="BI4452" s="74"/>
      <c r="BJ4452" s="77"/>
      <c r="BL4452" s="497">
        <v>68</v>
      </c>
      <c r="BN4452" s="42"/>
      <c r="BO4452" s="74"/>
      <c r="BP4452" s="77"/>
      <c r="BR4452" s="497">
        <v>75.02</v>
      </c>
      <c r="BT4452" s="42"/>
    </row>
    <row r="4453" spans="1:72" x14ac:dyDescent="0.25">
      <c r="A4453" s="90">
        <v>34519</v>
      </c>
      <c r="B4453" s="20">
        <v>0.79166666666666663</v>
      </c>
      <c r="D4453">
        <v>78.98</v>
      </c>
      <c r="E4453" t="str">
        <f t="shared" si="174"/>
        <v>WEEKDAY</v>
      </c>
      <c r="F4453" t="e">
        <f t="shared" si="173"/>
        <v>#N/A</v>
      </c>
      <c r="G4453" s="74">
        <v>31962</v>
      </c>
      <c r="H4453" s="77">
        <v>0.79166666666666663</v>
      </c>
      <c r="J4453">
        <v>84.02</v>
      </c>
      <c r="M4453" s="74">
        <v>33423</v>
      </c>
      <c r="N4453" s="77">
        <v>0.79166666666666663</v>
      </c>
      <c r="P4453">
        <v>71.06</v>
      </c>
      <c r="S4453" s="74">
        <v>34519</v>
      </c>
      <c r="T4453" s="77">
        <v>0.79166666666666663</v>
      </c>
      <c r="V4453">
        <v>73.039999999999992</v>
      </c>
      <c r="X4453" s="42"/>
      <c r="AB4453">
        <v>76.8</v>
      </c>
      <c r="AC4453">
        <v>73.94</v>
      </c>
      <c r="AE4453" s="74"/>
      <c r="AF4453" s="77"/>
      <c r="AH4453" s="497">
        <v>62.6</v>
      </c>
      <c r="AJ4453" s="42"/>
      <c r="AK4453" s="74"/>
      <c r="AL4453" s="77"/>
      <c r="AN4453" s="497">
        <v>62.96</v>
      </c>
      <c r="AP4453" s="42"/>
      <c r="AQ4453" s="74"/>
      <c r="AR4453" s="77"/>
      <c r="AT4453" s="497">
        <v>80.06</v>
      </c>
      <c r="AV4453" s="42"/>
      <c r="AW4453" s="74"/>
      <c r="AX4453" s="77"/>
      <c r="BA4453" s="497">
        <v>91.039999999999992</v>
      </c>
      <c r="BB4453" s="42"/>
      <c r="BC4453" s="74"/>
      <c r="BD4453" s="77"/>
      <c r="BF4453">
        <v>77</v>
      </c>
      <c r="BH4453" s="42"/>
      <c r="BI4453" s="74"/>
      <c r="BJ4453" s="77"/>
      <c r="BL4453" s="497">
        <v>66.02</v>
      </c>
      <c r="BN4453" s="42"/>
      <c r="BO4453" s="74"/>
      <c r="BP4453" s="77"/>
      <c r="BR4453" s="497">
        <v>75.02</v>
      </c>
      <c r="BT4453" s="42"/>
    </row>
    <row r="4454" spans="1:72" x14ac:dyDescent="0.25">
      <c r="A4454" s="90">
        <v>34519</v>
      </c>
      <c r="B4454" s="20">
        <v>0.83333333333333337</v>
      </c>
      <c r="D4454">
        <v>75.92</v>
      </c>
      <c r="E4454" t="str">
        <f t="shared" si="174"/>
        <v>WEEKDAY</v>
      </c>
      <c r="F4454" t="e">
        <f t="shared" si="173"/>
        <v>#N/A</v>
      </c>
      <c r="G4454" s="74">
        <v>31962</v>
      </c>
      <c r="H4454" s="77">
        <v>0.83333333333333337</v>
      </c>
      <c r="J4454">
        <v>82.039999999999992</v>
      </c>
      <c r="M4454" s="74">
        <v>33423</v>
      </c>
      <c r="N4454" s="77">
        <v>0.83333333333333337</v>
      </c>
      <c r="P4454">
        <v>66.92</v>
      </c>
      <c r="S4454" s="74">
        <v>34519</v>
      </c>
      <c r="T4454" s="77">
        <v>0.83333333333333337</v>
      </c>
      <c r="V4454">
        <v>71.960000000000008</v>
      </c>
      <c r="X4454" s="42"/>
      <c r="AB4454">
        <v>75.400000000000006</v>
      </c>
      <c r="AC4454">
        <v>71.06</v>
      </c>
      <c r="AE4454" s="74"/>
      <c r="AF4454" s="77"/>
      <c r="AH4454" s="497">
        <v>62.6</v>
      </c>
      <c r="AJ4454" s="42"/>
      <c r="AK4454" s="74"/>
      <c r="AL4454" s="77"/>
      <c r="AN4454" s="497">
        <v>60.980000000000004</v>
      </c>
      <c r="AP4454" s="42"/>
      <c r="AQ4454" s="74"/>
      <c r="AR4454" s="77"/>
      <c r="AT4454" s="497">
        <v>77.36</v>
      </c>
      <c r="AV4454" s="42"/>
      <c r="AW4454" s="74"/>
      <c r="AX4454" s="77"/>
      <c r="BA4454" s="497">
        <v>86</v>
      </c>
      <c r="BB4454" s="42"/>
      <c r="BC4454" s="74"/>
      <c r="BD4454" s="77"/>
      <c r="BF4454">
        <v>75.92</v>
      </c>
      <c r="BH4454" s="42"/>
      <c r="BI4454" s="74"/>
      <c r="BJ4454" s="77"/>
      <c r="BL4454" s="497">
        <v>60.980000000000004</v>
      </c>
      <c r="BN4454" s="42"/>
      <c r="BO4454" s="74"/>
      <c r="BP4454" s="77"/>
      <c r="BR4454" s="497">
        <v>73.94</v>
      </c>
      <c r="BT4454" s="42"/>
    </row>
    <row r="4455" spans="1:72" x14ac:dyDescent="0.25">
      <c r="A4455" s="90">
        <v>34519</v>
      </c>
      <c r="B4455" s="20">
        <v>0.875</v>
      </c>
      <c r="D4455">
        <v>75.02</v>
      </c>
      <c r="E4455" t="str">
        <f t="shared" si="174"/>
        <v>WEEKDAY</v>
      </c>
      <c r="F4455" t="e">
        <f t="shared" si="173"/>
        <v>#N/A</v>
      </c>
      <c r="G4455" s="74">
        <v>31962</v>
      </c>
      <c r="H4455" s="77">
        <v>0.875</v>
      </c>
      <c r="J4455">
        <v>82.94</v>
      </c>
      <c r="M4455" s="74">
        <v>33423</v>
      </c>
      <c r="N4455" s="77">
        <v>0.875</v>
      </c>
      <c r="P4455">
        <v>64.94</v>
      </c>
      <c r="S4455" s="74">
        <v>34519</v>
      </c>
      <c r="T4455" s="77">
        <v>0.875</v>
      </c>
      <c r="V4455">
        <v>71.06</v>
      </c>
      <c r="X4455" s="42"/>
      <c r="AB4455">
        <v>74.2</v>
      </c>
      <c r="AC4455">
        <v>69.080000000000013</v>
      </c>
      <c r="AE4455" s="74"/>
      <c r="AF4455" s="77"/>
      <c r="AH4455" s="497">
        <v>62.6</v>
      </c>
      <c r="AJ4455" s="42"/>
      <c r="AK4455" s="74"/>
      <c r="AL4455" s="77"/>
      <c r="AN4455" s="497">
        <v>59</v>
      </c>
      <c r="AP4455" s="42"/>
      <c r="AQ4455" s="74"/>
      <c r="AR4455" s="77"/>
      <c r="AT4455" s="497">
        <v>74.66</v>
      </c>
      <c r="AV4455" s="42"/>
      <c r="AW4455" s="74"/>
      <c r="AX4455" s="77"/>
      <c r="BA4455" s="497">
        <v>87.080000000000013</v>
      </c>
      <c r="BB4455" s="42"/>
      <c r="BC4455" s="74"/>
      <c r="BD4455" s="77"/>
      <c r="BF4455">
        <v>73.94</v>
      </c>
      <c r="BH4455" s="42"/>
      <c r="BI4455" s="74"/>
      <c r="BJ4455" s="77"/>
      <c r="BL4455" s="497">
        <v>55.040000000000006</v>
      </c>
      <c r="BN4455" s="42"/>
      <c r="BO4455" s="74"/>
      <c r="BP4455" s="77"/>
      <c r="BR4455" s="497">
        <v>73.94</v>
      </c>
      <c r="BT4455" s="42"/>
    </row>
    <row r="4456" spans="1:72" x14ac:dyDescent="0.25">
      <c r="A4456" s="90">
        <v>34519</v>
      </c>
      <c r="B4456" s="20">
        <v>0.91666666666666663</v>
      </c>
      <c r="D4456">
        <v>73.039999999999992</v>
      </c>
      <c r="E4456" t="str">
        <f t="shared" si="174"/>
        <v>WEEKDAY</v>
      </c>
      <c r="F4456" t="e">
        <f t="shared" si="173"/>
        <v>#N/A</v>
      </c>
      <c r="G4456" s="74">
        <v>31962</v>
      </c>
      <c r="H4456" s="77">
        <v>0.91666666666666663</v>
      </c>
      <c r="J4456">
        <v>77</v>
      </c>
      <c r="M4456" s="74">
        <v>33423</v>
      </c>
      <c r="N4456" s="77">
        <v>0.91666666666666663</v>
      </c>
      <c r="P4456">
        <v>64.039999999999992</v>
      </c>
      <c r="S4456" s="74">
        <v>34519</v>
      </c>
      <c r="T4456" s="77">
        <v>0.91666666666666663</v>
      </c>
      <c r="V4456">
        <v>69.98</v>
      </c>
      <c r="X4456" s="42"/>
      <c r="AB4456">
        <v>73.5</v>
      </c>
      <c r="AC4456">
        <v>66.92</v>
      </c>
      <c r="AE4456" s="74"/>
      <c r="AF4456" s="77"/>
      <c r="AH4456" s="497">
        <v>62.6</v>
      </c>
      <c r="AJ4456" s="42"/>
      <c r="AK4456" s="74"/>
      <c r="AL4456" s="77"/>
      <c r="AN4456" s="497">
        <v>57.92</v>
      </c>
      <c r="AP4456" s="42"/>
      <c r="AQ4456" s="74"/>
      <c r="AR4456" s="77"/>
      <c r="AT4456" s="497">
        <v>71.960000000000008</v>
      </c>
      <c r="AV4456" s="42"/>
      <c r="AW4456" s="74"/>
      <c r="AX4456" s="77"/>
      <c r="BA4456" s="497">
        <v>87.98</v>
      </c>
      <c r="BB4456" s="42"/>
      <c r="BC4456" s="74"/>
      <c r="BD4456" s="77"/>
      <c r="BF4456">
        <v>73.039999999999992</v>
      </c>
      <c r="BH4456" s="42"/>
      <c r="BI4456" s="74"/>
      <c r="BJ4456" s="77"/>
      <c r="BL4456" s="497">
        <v>55.94</v>
      </c>
      <c r="BN4456" s="42"/>
      <c r="BO4456" s="74"/>
      <c r="BP4456" s="77"/>
      <c r="BR4456" s="497">
        <v>73.94</v>
      </c>
      <c r="BT4456" s="42"/>
    </row>
    <row r="4457" spans="1:72" x14ac:dyDescent="0.25">
      <c r="A4457" s="90">
        <v>34519</v>
      </c>
      <c r="B4457" s="20">
        <v>0.95833333333333337</v>
      </c>
      <c r="D4457">
        <v>71.960000000000008</v>
      </c>
      <c r="E4457" t="str">
        <f t="shared" si="174"/>
        <v>WEEKDAY</v>
      </c>
      <c r="F4457" t="e">
        <f t="shared" si="173"/>
        <v>#N/A</v>
      </c>
      <c r="G4457" s="74">
        <v>31962</v>
      </c>
      <c r="H4457" s="77">
        <v>0.95833333333333337</v>
      </c>
      <c r="J4457">
        <v>78.080000000000013</v>
      </c>
      <c r="M4457" s="74">
        <v>33423</v>
      </c>
      <c r="N4457" s="77">
        <v>0.95833333333333337</v>
      </c>
      <c r="P4457">
        <v>62.96</v>
      </c>
      <c r="S4457" s="74">
        <v>34519</v>
      </c>
      <c r="T4457" s="77">
        <v>0.95833333333333337</v>
      </c>
      <c r="V4457">
        <v>69.080000000000013</v>
      </c>
      <c r="X4457" s="42"/>
      <c r="AB4457">
        <v>73.099999999999994</v>
      </c>
      <c r="AC4457">
        <v>66.02</v>
      </c>
      <c r="AE4457" s="74"/>
      <c r="AF4457" s="77"/>
      <c r="AH4457" s="497">
        <v>62.6</v>
      </c>
      <c r="AJ4457" s="42"/>
      <c r="AK4457" s="74"/>
      <c r="AL4457" s="77"/>
      <c r="AN4457" s="497">
        <v>57.92</v>
      </c>
      <c r="AP4457" s="42"/>
      <c r="AQ4457" s="74"/>
      <c r="AR4457" s="77"/>
      <c r="AT4457" s="497">
        <v>71.960000000000008</v>
      </c>
      <c r="AV4457" s="42"/>
      <c r="AW4457" s="74"/>
      <c r="AX4457" s="77"/>
      <c r="BA4457" s="497">
        <v>75.92</v>
      </c>
      <c r="BB4457" s="42"/>
      <c r="BC4457" s="74"/>
      <c r="BD4457" s="77"/>
      <c r="BF4457">
        <v>69.080000000000013</v>
      </c>
      <c r="BH4457" s="42"/>
      <c r="BI4457" s="74"/>
      <c r="BJ4457" s="77"/>
      <c r="BL4457" s="497">
        <v>59</v>
      </c>
      <c r="BN4457" s="42"/>
      <c r="BO4457" s="74"/>
      <c r="BP4457" s="77"/>
      <c r="BR4457" s="497">
        <v>73.94</v>
      </c>
      <c r="BT4457" s="42"/>
    </row>
    <row r="4458" spans="1:72" x14ac:dyDescent="0.25">
      <c r="A4458" s="90">
        <v>34519</v>
      </c>
      <c r="B4458" s="20">
        <v>1</v>
      </c>
      <c r="D4458">
        <v>71.960000000000008</v>
      </c>
      <c r="E4458" t="str">
        <f t="shared" si="174"/>
        <v>WEEKDAY</v>
      </c>
      <c r="F4458" t="e">
        <f t="shared" si="173"/>
        <v>#N/A</v>
      </c>
      <c r="G4458" s="74">
        <v>31962</v>
      </c>
      <c r="H4458" s="77">
        <v>1</v>
      </c>
      <c r="J4458">
        <v>75.02</v>
      </c>
      <c r="M4458" s="74">
        <v>33423</v>
      </c>
      <c r="N4458" s="80">
        <v>1</v>
      </c>
      <c r="P4458">
        <v>62.06</v>
      </c>
      <c r="S4458" s="74">
        <v>34519</v>
      </c>
      <c r="T4458" s="80">
        <v>1</v>
      </c>
      <c r="V4458">
        <v>68</v>
      </c>
      <c r="X4458" s="42"/>
      <c r="AB4458">
        <v>72.5</v>
      </c>
      <c r="AC4458">
        <v>64.94</v>
      </c>
      <c r="AE4458" s="74"/>
      <c r="AF4458" s="80"/>
      <c r="AH4458" s="497">
        <v>61.7</v>
      </c>
      <c r="AJ4458" s="42"/>
      <c r="AK4458" s="74"/>
      <c r="AL4458" s="80"/>
      <c r="AN4458" s="497">
        <v>57.92</v>
      </c>
      <c r="AP4458" s="42"/>
      <c r="AQ4458" s="74"/>
      <c r="AR4458" s="80"/>
      <c r="AT4458" s="497">
        <v>71.960000000000008</v>
      </c>
      <c r="AV4458" s="42"/>
      <c r="AW4458" s="74"/>
      <c r="AX4458" s="80"/>
      <c r="BA4458" s="497">
        <v>75.02</v>
      </c>
      <c r="BB4458" s="42"/>
      <c r="BC4458" s="74"/>
      <c r="BD4458" s="80"/>
      <c r="BF4458">
        <v>69.080000000000013</v>
      </c>
      <c r="BH4458" s="42"/>
      <c r="BI4458" s="74"/>
      <c r="BJ4458" s="80"/>
      <c r="BL4458" s="497">
        <v>57.92</v>
      </c>
      <c r="BN4458" s="42"/>
      <c r="BO4458" s="74"/>
      <c r="BP4458" s="80"/>
      <c r="BR4458" s="497">
        <v>73.94</v>
      </c>
      <c r="BT4458" s="42"/>
    </row>
    <row r="4459" spans="1:72" x14ac:dyDescent="0.25">
      <c r="A4459" s="90">
        <v>34520</v>
      </c>
      <c r="B4459" s="20">
        <v>4.1666666666666664E-2</v>
      </c>
      <c r="D4459">
        <v>71.06</v>
      </c>
      <c r="E4459" t="str">
        <f t="shared" si="174"/>
        <v>WEEKDAY</v>
      </c>
      <c r="F4459" t="e">
        <f t="shared" ref="F4459:F4522" si="175">IF(E4459="WEEKDAY",VLOOKUP(B4459,$DD$19:$DG$42,2),IF(E4459="SATURDAY",VLOOKUP(B4459,$DD$19:$DG$42,3),VLOOKUP(B4459,$DD$19:$DG$42,4)))</f>
        <v>#N/A</v>
      </c>
      <c r="G4459" s="74">
        <v>31963</v>
      </c>
      <c r="H4459" s="77">
        <v>4.1666666666666664E-2</v>
      </c>
      <c r="J4459">
        <v>73.039999999999992</v>
      </c>
      <c r="M4459" s="74">
        <v>33424</v>
      </c>
      <c r="N4459" s="77">
        <v>4.1666666666666664E-2</v>
      </c>
      <c r="P4459">
        <v>62.06</v>
      </c>
      <c r="S4459" s="74">
        <v>34520</v>
      </c>
      <c r="T4459" s="77">
        <v>4.1666666666666664E-2</v>
      </c>
      <c r="V4459">
        <v>68</v>
      </c>
      <c r="X4459" s="42"/>
      <c r="AB4459">
        <v>71.900000000000006</v>
      </c>
      <c r="AC4459">
        <v>64.039999999999992</v>
      </c>
      <c r="AE4459" s="74"/>
      <c r="AF4459" s="77"/>
      <c r="AH4459" s="497">
        <v>60.8</v>
      </c>
      <c r="AJ4459" s="42"/>
      <c r="AK4459" s="74"/>
      <c r="AL4459" s="77"/>
      <c r="AN4459" s="497">
        <v>57.92</v>
      </c>
      <c r="AP4459" s="42"/>
      <c r="AQ4459" s="74"/>
      <c r="AR4459" s="77"/>
      <c r="AT4459" s="497">
        <v>71.960000000000008</v>
      </c>
      <c r="AV4459" s="42"/>
      <c r="AW4459" s="74"/>
      <c r="AX4459" s="77"/>
      <c r="BA4459" s="497">
        <v>75.02</v>
      </c>
      <c r="BB4459" s="42"/>
      <c r="BC4459" s="74"/>
      <c r="BD4459" s="77"/>
      <c r="BF4459">
        <v>69.080000000000013</v>
      </c>
      <c r="BH4459" s="42"/>
      <c r="BI4459" s="74"/>
      <c r="BJ4459" s="77"/>
      <c r="BL4459" s="497">
        <v>55.94</v>
      </c>
      <c r="BN4459" s="42"/>
      <c r="BO4459" s="74"/>
      <c r="BP4459" s="77"/>
      <c r="BR4459" s="497">
        <v>69.98</v>
      </c>
      <c r="BT4459" s="42"/>
    </row>
    <row r="4460" spans="1:72" x14ac:dyDescent="0.25">
      <c r="A4460" s="90">
        <v>34520</v>
      </c>
      <c r="B4460" s="20">
        <v>8.3333333333333329E-2</v>
      </c>
      <c r="D4460">
        <v>69.98</v>
      </c>
      <c r="E4460" t="str">
        <f t="shared" si="174"/>
        <v>WEEKDAY</v>
      </c>
      <c r="F4460" t="e">
        <f t="shared" si="175"/>
        <v>#N/A</v>
      </c>
      <c r="G4460" s="74">
        <v>31963</v>
      </c>
      <c r="H4460" s="77">
        <v>8.3333333333333329E-2</v>
      </c>
      <c r="J4460">
        <v>71.06</v>
      </c>
      <c r="M4460" s="74">
        <v>33424</v>
      </c>
      <c r="N4460" s="77">
        <v>8.3333333333333329E-2</v>
      </c>
      <c r="P4460">
        <v>62.06</v>
      </c>
      <c r="S4460" s="74">
        <v>34520</v>
      </c>
      <c r="T4460" s="77">
        <v>8.3333333333333329E-2</v>
      </c>
      <c r="V4460">
        <v>68</v>
      </c>
      <c r="X4460" s="42"/>
      <c r="AB4460">
        <v>71.3</v>
      </c>
      <c r="AC4460">
        <v>62.96</v>
      </c>
      <c r="AE4460" s="74"/>
      <c r="AF4460" s="77"/>
      <c r="AH4460" s="497">
        <v>60.8</v>
      </c>
      <c r="AJ4460" s="42"/>
      <c r="AK4460" s="74"/>
      <c r="AL4460" s="77"/>
      <c r="AN4460" s="497">
        <v>57.019999999999996</v>
      </c>
      <c r="AP4460" s="42"/>
      <c r="AQ4460" s="74"/>
      <c r="AR4460" s="77"/>
      <c r="AT4460" s="497">
        <v>71.06</v>
      </c>
      <c r="AV4460" s="42"/>
      <c r="AW4460" s="74"/>
      <c r="AX4460" s="77"/>
      <c r="BA4460" s="497">
        <v>73.94</v>
      </c>
      <c r="BB4460" s="42"/>
      <c r="BC4460" s="74"/>
      <c r="BD4460" s="77"/>
      <c r="BF4460">
        <v>66.02</v>
      </c>
      <c r="BH4460" s="42"/>
      <c r="BI4460" s="74"/>
      <c r="BJ4460" s="77"/>
      <c r="BL4460" s="497">
        <v>53.06</v>
      </c>
      <c r="BN4460" s="42"/>
      <c r="BO4460" s="74"/>
      <c r="BP4460" s="77"/>
      <c r="BR4460" s="497">
        <v>66.92</v>
      </c>
      <c r="BT4460" s="42"/>
    </row>
    <row r="4461" spans="1:72" x14ac:dyDescent="0.25">
      <c r="A4461" s="90">
        <v>34520</v>
      </c>
      <c r="B4461" s="20">
        <v>0.125</v>
      </c>
      <c r="D4461">
        <v>69.080000000000013</v>
      </c>
      <c r="E4461" t="str">
        <f t="shared" si="174"/>
        <v>WEEKDAY</v>
      </c>
      <c r="F4461" t="e">
        <f t="shared" si="175"/>
        <v>#N/A</v>
      </c>
      <c r="G4461" s="74">
        <v>31963</v>
      </c>
      <c r="H4461" s="77">
        <v>0.125</v>
      </c>
      <c r="J4461">
        <v>69.98</v>
      </c>
      <c r="M4461" s="74">
        <v>33424</v>
      </c>
      <c r="N4461" s="77">
        <v>0.125</v>
      </c>
      <c r="P4461">
        <v>62.06</v>
      </c>
      <c r="S4461" s="74">
        <v>34520</v>
      </c>
      <c r="T4461" s="77">
        <v>0.125</v>
      </c>
      <c r="V4461">
        <v>68</v>
      </c>
      <c r="X4461" s="42"/>
      <c r="AB4461">
        <v>70.7</v>
      </c>
      <c r="AC4461">
        <v>66.02</v>
      </c>
      <c r="AE4461" s="74"/>
      <c r="AF4461" s="77"/>
      <c r="AH4461" s="497">
        <v>60.8</v>
      </c>
      <c r="AJ4461" s="42"/>
      <c r="AK4461" s="74"/>
      <c r="AL4461" s="77"/>
      <c r="AN4461" s="497">
        <v>57.019999999999996</v>
      </c>
      <c r="AP4461" s="42"/>
      <c r="AQ4461" s="74"/>
      <c r="AR4461" s="77"/>
      <c r="AT4461" s="497">
        <v>69.98</v>
      </c>
      <c r="AV4461" s="42"/>
      <c r="AW4461" s="74"/>
      <c r="AX4461" s="77"/>
      <c r="BA4461" s="497">
        <v>73.039999999999992</v>
      </c>
      <c r="BB4461" s="42"/>
      <c r="BC4461" s="74"/>
      <c r="BD4461" s="77"/>
      <c r="BF4461">
        <v>66.02</v>
      </c>
      <c r="BH4461" s="42"/>
      <c r="BI4461" s="74"/>
      <c r="BJ4461" s="77"/>
      <c r="BL4461" s="497">
        <v>50</v>
      </c>
      <c r="BN4461" s="42"/>
      <c r="BO4461" s="74"/>
      <c r="BP4461" s="77"/>
      <c r="BR4461" s="497">
        <v>64.94</v>
      </c>
      <c r="BT4461" s="42"/>
    </row>
    <row r="4462" spans="1:72" x14ac:dyDescent="0.25">
      <c r="A4462" s="90">
        <v>34520</v>
      </c>
      <c r="B4462" s="20">
        <v>0.16666666666666666</v>
      </c>
      <c r="D4462">
        <v>69.080000000000013</v>
      </c>
      <c r="E4462" t="str">
        <f t="shared" si="174"/>
        <v>WEEKDAY</v>
      </c>
      <c r="F4462" t="e">
        <f t="shared" si="175"/>
        <v>#N/A</v>
      </c>
      <c r="G4462" s="74">
        <v>31963</v>
      </c>
      <c r="H4462" s="77">
        <v>0.16666666666666666</v>
      </c>
      <c r="J4462">
        <v>69.080000000000013</v>
      </c>
      <c r="M4462" s="74">
        <v>33424</v>
      </c>
      <c r="N4462" s="77">
        <v>0.16666666666666666</v>
      </c>
      <c r="P4462">
        <v>62.06</v>
      </c>
      <c r="S4462" s="74">
        <v>34520</v>
      </c>
      <c r="T4462" s="77">
        <v>0.16666666666666666</v>
      </c>
      <c r="V4462">
        <v>69.080000000000013</v>
      </c>
      <c r="X4462" s="42"/>
      <c r="AB4462">
        <v>70.2</v>
      </c>
      <c r="AC4462">
        <v>66.92</v>
      </c>
      <c r="AE4462" s="74"/>
      <c r="AF4462" s="77"/>
      <c r="AH4462" s="497">
        <v>60.08</v>
      </c>
      <c r="AJ4462" s="42"/>
      <c r="AK4462" s="74"/>
      <c r="AL4462" s="77"/>
      <c r="AN4462" s="497">
        <v>55.040000000000006</v>
      </c>
      <c r="AP4462" s="42"/>
      <c r="AQ4462" s="74"/>
      <c r="AR4462" s="77"/>
      <c r="AT4462" s="497">
        <v>69.080000000000013</v>
      </c>
      <c r="AV4462" s="42"/>
      <c r="AW4462" s="74"/>
      <c r="AX4462" s="77"/>
      <c r="BA4462" s="497">
        <v>73.039999999999992</v>
      </c>
      <c r="BB4462" s="42"/>
      <c r="BC4462" s="74"/>
      <c r="BD4462" s="77"/>
      <c r="BF4462">
        <v>64.94</v>
      </c>
      <c r="BH4462" s="42"/>
      <c r="BI4462" s="74"/>
      <c r="BJ4462" s="77"/>
      <c r="BL4462" s="497">
        <v>50</v>
      </c>
      <c r="BN4462" s="42"/>
      <c r="BO4462" s="74"/>
      <c r="BP4462" s="77"/>
      <c r="BR4462" s="497">
        <v>64.039999999999992</v>
      </c>
      <c r="BT4462" s="42"/>
    </row>
    <row r="4463" spans="1:72" x14ac:dyDescent="0.25">
      <c r="A4463" s="90">
        <v>34520</v>
      </c>
      <c r="B4463" s="20">
        <v>0.20833333333333334</v>
      </c>
      <c r="D4463">
        <v>69.080000000000013</v>
      </c>
      <c r="E4463" t="str">
        <f t="shared" si="174"/>
        <v>WEEKDAY</v>
      </c>
      <c r="F4463" t="e">
        <f t="shared" si="175"/>
        <v>#N/A</v>
      </c>
      <c r="G4463" s="74">
        <v>31963</v>
      </c>
      <c r="H4463" s="77">
        <v>0.20833333333333334</v>
      </c>
      <c r="J4463">
        <v>69.080000000000013</v>
      </c>
      <c r="M4463" s="74">
        <v>33424</v>
      </c>
      <c r="N4463" s="77">
        <v>0.20833333333333334</v>
      </c>
      <c r="P4463">
        <v>62.06</v>
      </c>
      <c r="S4463" s="74">
        <v>34520</v>
      </c>
      <c r="T4463" s="77">
        <v>0.20833333333333334</v>
      </c>
      <c r="V4463">
        <v>69.080000000000013</v>
      </c>
      <c r="X4463" s="42"/>
      <c r="AB4463">
        <v>69.8</v>
      </c>
      <c r="AC4463">
        <v>66.92</v>
      </c>
      <c r="AE4463" s="74"/>
      <c r="AF4463" s="77"/>
      <c r="AH4463" s="497">
        <v>59</v>
      </c>
      <c r="AJ4463" s="42"/>
      <c r="AK4463" s="74"/>
      <c r="AL4463" s="77"/>
      <c r="AN4463" s="497">
        <v>55.040000000000006</v>
      </c>
      <c r="AP4463" s="42"/>
      <c r="AQ4463" s="74"/>
      <c r="AR4463" s="77"/>
      <c r="AT4463" s="497">
        <v>69.800000000000011</v>
      </c>
      <c r="AV4463" s="42"/>
      <c r="AW4463" s="74"/>
      <c r="AX4463" s="77"/>
      <c r="BA4463" s="497">
        <v>71.960000000000008</v>
      </c>
      <c r="BB4463" s="42"/>
      <c r="BC4463" s="74"/>
      <c r="BD4463" s="77"/>
      <c r="BF4463">
        <v>66.92</v>
      </c>
      <c r="BH4463" s="42"/>
      <c r="BI4463" s="74"/>
      <c r="BJ4463" s="77"/>
      <c r="BL4463" s="497">
        <v>51.08</v>
      </c>
      <c r="BN4463" s="42"/>
      <c r="BO4463" s="74"/>
      <c r="BP4463" s="77"/>
      <c r="BR4463" s="497">
        <v>62.06</v>
      </c>
      <c r="BT4463" s="42"/>
    </row>
    <row r="4464" spans="1:72" x14ac:dyDescent="0.25">
      <c r="A4464" s="90">
        <v>34520</v>
      </c>
      <c r="B4464" s="20">
        <v>0.25</v>
      </c>
      <c r="D4464">
        <v>69.98</v>
      </c>
      <c r="E4464" t="str">
        <f t="shared" si="174"/>
        <v>WEEKDAY</v>
      </c>
      <c r="F4464" t="e">
        <f t="shared" si="175"/>
        <v>#N/A</v>
      </c>
      <c r="G4464" s="74">
        <v>31963</v>
      </c>
      <c r="H4464" s="77">
        <v>0.25</v>
      </c>
      <c r="J4464">
        <v>69.98</v>
      </c>
      <c r="M4464" s="74">
        <v>33424</v>
      </c>
      <c r="N4464" s="77">
        <v>0.25</v>
      </c>
      <c r="P4464">
        <v>62.96</v>
      </c>
      <c r="S4464" s="74">
        <v>34520</v>
      </c>
      <c r="T4464" s="77">
        <v>0.25</v>
      </c>
      <c r="V4464">
        <v>69.98</v>
      </c>
      <c r="X4464" s="42"/>
      <c r="AB4464">
        <v>69.599999999999994</v>
      </c>
      <c r="AC4464">
        <v>69.080000000000013</v>
      </c>
      <c r="AE4464" s="74"/>
      <c r="AF4464" s="77"/>
      <c r="AH4464" s="497">
        <v>60.8</v>
      </c>
      <c r="AJ4464" s="42"/>
      <c r="AK4464" s="74"/>
      <c r="AL4464" s="77"/>
      <c r="AN4464" s="497">
        <v>57.92</v>
      </c>
      <c r="AP4464" s="42"/>
      <c r="AQ4464" s="74"/>
      <c r="AR4464" s="77"/>
      <c r="AT4464" s="497">
        <v>70.34</v>
      </c>
      <c r="AV4464" s="42"/>
      <c r="AW4464" s="74"/>
      <c r="AX4464" s="77"/>
      <c r="BA4464" s="497">
        <v>71.06</v>
      </c>
      <c r="BB4464" s="42"/>
      <c r="BC4464" s="74"/>
      <c r="BD4464" s="77"/>
      <c r="BF4464">
        <v>66.02</v>
      </c>
      <c r="BH4464" s="42"/>
      <c r="BI4464" s="74"/>
      <c r="BJ4464" s="77"/>
      <c r="BL4464" s="497">
        <v>53.06</v>
      </c>
      <c r="BN4464" s="42"/>
      <c r="BO4464" s="74"/>
      <c r="BP4464" s="77"/>
      <c r="BR4464" s="497">
        <v>62.96</v>
      </c>
      <c r="BT4464" s="42"/>
    </row>
    <row r="4465" spans="1:72" x14ac:dyDescent="0.25">
      <c r="A4465" s="90">
        <v>34520</v>
      </c>
      <c r="B4465" s="20">
        <v>0.29166666666666669</v>
      </c>
      <c r="D4465">
        <v>71.06</v>
      </c>
      <c r="E4465" t="str">
        <f t="shared" si="174"/>
        <v>WEEKDAY</v>
      </c>
      <c r="F4465" t="e">
        <f t="shared" si="175"/>
        <v>#N/A</v>
      </c>
      <c r="G4465" s="74">
        <v>31963</v>
      </c>
      <c r="H4465" s="77">
        <v>0.29166666666666669</v>
      </c>
      <c r="J4465">
        <v>71.960000000000008</v>
      </c>
      <c r="M4465" s="74">
        <v>33424</v>
      </c>
      <c r="N4465" s="77">
        <v>0.29166666666666669</v>
      </c>
      <c r="P4465">
        <v>62.96</v>
      </c>
      <c r="S4465" s="74">
        <v>34520</v>
      </c>
      <c r="T4465" s="77">
        <v>0.29166666666666669</v>
      </c>
      <c r="V4465">
        <v>71.960000000000008</v>
      </c>
      <c r="X4465" s="42"/>
      <c r="AB4465">
        <v>71.2</v>
      </c>
      <c r="AC4465">
        <v>69.98</v>
      </c>
      <c r="AE4465" s="74"/>
      <c r="AF4465" s="77"/>
      <c r="AH4465" s="497">
        <v>64.400000000000006</v>
      </c>
      <c r="AJ4465" s="42"/>
      <c r="AK4465" s="74"/>
      <c r="AL4465" s="77"/>
      <c r="AN4465" s="497">
        <v>64.94</v>
      </c>
      <c r="AP4465" s="42"/>
      <c r="AQ4465" s="74"/>
      <c r="AR4465" s="77"/>
      <c r="AT4465" s="497">
        <v>71.06</v>
      </c>
      <c r="AV4465" s="42"/>
      <c r="AW4465" s="74"/>
      <c r="AX4465" s="77"/>
      <c r="BA4465" s="497">
        <v>69.98</v>
      </c>
      <c r="BB4465" s="42"/>
      <c r="BC4465" s="74"/>
      <c r="BD4465" s="77"/>
      <c r="BF4465">
        <v>66.92</v>
      </c>
      <c r="BH4465" s="42"/>
      <c r="BI4465" s="74"/>
      <c r="BJ4465" s="77"/>
      <c r="BL4465" s="497">
        <v>51.980000000000004</v>
      </c>
      <c r="BN4465" s="42"/>
      <c r="BO4465" s="74"/>
      <c r="BP4465" s="77"/>
      <c r="BR4465" s="497">
        <v>62.06</v>
      </c>
      <c r="BT4465" s="42"/>
    </row>
    <row r="4466" spans="1:72" x14ac:dyDescent="0.25">
      <c r="A4466" s="90">
        <v>34520</v>
      </c>
      <c r="B4466" s="20">
        <v>0.33333333333333331</v>
      </c>
      <c r="D4466">
        <v>73.039999999999992</v>
      </c>
      <c r="E4466" t="str">
        <f t="shared" si="174"/>
        <v>WEEKDAY</v>
      </c>
      <c r="F4466" t="e">
        <f t="shared" si="175"/>
        <v>#N/A</v>
      </c>
      <c r="G4466" s="74">
        <v>31963</v>
      </c>
      <c r="H4466" s="77">
        <v>0.33333333333333331</v>
      </c>
      <c r="J4466">
        <v>75.02</v>
      </c>
      <c r="M4466" s="74">
        <v>33424</v>
      </c>
      <c r="N4466" s="77">
        <v>0.33333333333333331</v>
      </c>
      <c r="P4466">
        <v>60.980000000000004</v>
      </c>
      <c r="S4466" s="74">
        <v>34520</v>
      </c>
      <c r="T4466" s="77">
        <v>0.33333333333333331</v>
      </c>
      <c r="V4466">
        <v>73.039999999999992</v>
      </c>
      <c r="X4466" s="42"/>
      <c r="AB4466">
        <v>73.2</v>
      </c>
      <c r="AC4466">
        <v>71.960000000000008</v>
      </c>
      <c r="AE4466" s="74"/>
      <c r="AF4466" s="77"/>
      <c r="AH4466" s="497">
        <v>68</v>
      </c>
      <c r="AJ4466" s="42"/>
      <c r="AK4466" s="74"/>
      <c r="AL4466" s="77"/>
      <c r="AN4466" s="497">
        <v>68</v>
      </c>
      <c r="AP4466" s="42"/>
      <c r="AQ4466" s="74"/>
      <c r="AR4466" s="77"/>
      <c r="AT4466" s="497">
        <v>74.66</v>
      </c>
      <c r="AV4466" s="42"/>
      <c r="AW4466" s="74"/>
      <c r="AX4466" s="77"/>
      <c r="BA4466" s="497">
        <v>71.06</v>
      </c>
      <c r="BB4466" s="42"/>
      <c r="BC4466" s="74"/>
      <c r="BD4466" s="77"/>
      <c r="BF4466">
        <v>68</v>
      </c>
      <c r="BH4466" s="42"/>
      <c r="BI4466" s="74"/>
      <c r="BJ4466" s="77"/>
      <c r="BL4466" s="497">
        <v>53.96</v>
      </c>
      <c r="BN4466" s="42"/>
      <c r="BO4466" s="74"/>
      <c r="BP4466" s="77"/>
      <c r="BR4466" s="497">
        <v>64.94</v>
      </c>
      <c r="BT4466" s="42"/>
    </row>
    <row r="4467" spans="1:72" x14ac:dyDescent="0.25">
      <c r="A4467" s="90">
        <v>34520</v>
      </c>
      <c r="B4467" s="20">
        <v>0.375</v>
      </c>
      <c r="D4467">
        <v>73.94</v>
      </c>
      <c r="E4467" t="str">
        <f t="shared" si="174"/>
        <v>WEEKDAY</v>
      </c>
      <c r="F4467" t="e">
        <f t="shared" si="175"/>
        <v>#N/A</v>
      </c>
      <c r="G4467" s="74">
        <v>31963</v>
      </c>
      <c r="H4467" s="77">
        <v>0.375</v>
      </c>
      <c r="J4467">
        <v>75.02</v>
      </c>
      <c r="M4467" s="74">
        <v>33424</v>
      </c>
      <c r="N4467" s="77">
        <v>0.375</v>
      </c>
      <c r="P4467">
        <v>60.980000000000004</v>
      </c>
      <c r="S4467" s="74">
        <v>34520</v>
      </c>
      <c r="T4467" s="77">
        <v>0.375</v>
      </c>
      <c r="V4467">
        <v>75.02</v>
      </c>
      <c r="X4467" s="42"/>
      <c r="AB4467">
        <v>75.2</v>
      </c>
      <c r="AC4467">
        <v>75.02</v>
      </c>
      <c r="AE4467" s="74"/>
      <c r="AF4467" s="77"/>
      <c r="AH4467" s="497">
        <v>71.599999999999994</v>
      </c>
      <c r="AJ4467" s="42"/>
      <c r="AK4467" s="74"/>
      <c r="AL4467" s="77"/>
      <c r="AN4467" s="497">
        <v>69.98</v>
      </c>
      <c r="AP4467" s="42"/>
      <c r="AQ4467" s="74"/>
      <c r="AR4467" s="77"/>
      <c r="AT4467" s="497">
        <v>78.44</v>
      </c>
      <c r="AV4467" s="42"/>
      <c r="AW4467" s="74"/>
      <c r="AX4467" s="77"/>
      <c r="BA4467" s="497">
        <v>71.06</v>
      </c>
      <c r="BB4467" s="42"/>
      <c r="BC4467" s="74"/>
      <c r="BD4467" s="77"/>
      <c r="BF4467">
        <v>73.039999999999992</v>
      </c>
      <c r="BH4467" s="42"/>
      <c r="BI4467" s="74"/>
      <c r="BJ4467" s="77"/>
      <c r="BL4467" s="497">
        <v>55.040000000000006</v>
      </c>
      <c r="BN4467" s="42"/>
      <c r="BO4467" s="74"/>
      <c r="BP4467" s="77"/>
      <c r="BR4467" s="497">
        <v>66.02</v>
      </c>
      <c r="BT4467" s="42"/>
    </row>
    <row r="4468" spans="1:72" x14ac:dyDescent="0.25">
      <c r="A4468" s="90">
        <v>34520</v>
      </c>
      <c r="B4468" s="20">
        <v>0.41666666666666669</v>
      </c>
      <c r="D4468">
        <v>75.92</v>
      </c>
      <c r="E4468" t="str">
        <f t="shared" si="174"/>
        <v>WEEKDAY</v>
      </c>
      <c r="F4468" t="e">
        <f t="shared" si="175"/>
        <v>#N/A</v>
      </c>
      <c r="G4468" s="74">
        <v>31963</v>
      </c>
      <c r="H4468" s="77">
        <v>0.41666666666666669</v>
      </c>
      <c r="J4468">
        <v>77</v>
      </c>
      <c r="M4468" s="74">
        <v>33424</v>
      </c>
      <c r="N4468" s="77">
        <v>0.41666666666666669</v>
      </c>
      <c r="P4468">
        <v>62.96</v>
      </c>
      <c r="S4468" s="74">
        <v>34520</v>
      </c>
      <c r="T4468" s="77">
        <v>0.41666666666666669</v>
      </c>
      <c r="V4468">
        <v>77</v>
      </c>
      <c r="X4468" s="42"/>
      <c r="AB4468">
        <v>77.099999999999994</v>
      </c>
      <c r="AC4468">
        <v>78.080000000000013</v>
      </c>
      <c r="AE4468" s="74"/>
      <c r="AF4468" s="77"/>
      <c r="AH4468" s="497">
        <v>73.400000000000006</v>
      </c>
      <c r="AJ4468" s="42"/>
      <c r="AK4468" s="74"/>
      <c r="AL4468" s="77"/>
      <c r="AN4468" s="497">
        <v>71.960000000000008</v>
      </c>
      <c r="AP4468" s="42"/>
      <c r="AQ4468" s="74"/>
      <c r="AR4468" s="77"/>
      <c r="AT4468" s="497">
        <v>82.039999999999992</v>
      </c>
      <c r="AV4468" s="42"/>
      <c r="AW4468" s="74"/>
      <c r="AX4468" s="77"/>
      <c r="BA4468" s="497">
        <v>71.06</v>
      </c>
      <c r="BB4468" s="42"/>
      <c r="BC4468" s="74"/>
      <c r="BD4468" s="77"/>
      <c r="BF4468">
        <v>73.94</v>
      </c>
      <c r="BH4468" s="42"/>
      <c r="BI4468" s="74"/>
      <c r="BJ4468" s="77"/>
      <c r="BL4468" s="497">
        <v>57.019999999999996</v>
      </c>
      <c r="BN4468" s="42"/>
      <c r="BO4468" s="74"/>
      <c r="BP4468" s="77"/>
      <c r="BR4468" s="497">
        <v>66.92</v>
      </c>
      <c r="BT4468" s="42"/>
    </row>
    <row r="4469" spans="1:72" x14ac:dyDescent="0.25">
      <c r="A4469" s="90">
        <v>34520</v>
      </c>
      <c r="B4469" s="20">
        <v>0.45833333333333331</v>
      </c>
      <c r="D4469">
        <v>78.080000000000013</v>
      </c>
      <c r="E4469" t="str">
        <f t="shared" si="174"/>
        <v>WEEKDAY</v>
      </c>
      <c r="F4469" t="e">
        <f t="shared" si="175"/>
        <v>#N/A</v>
      </c>
      <c r="G4469" s="74">
        <v>31963</v>
      </c>
      <c r="H4469" s="77">
        <v>0.45833333333333331</v>
      </c>
      <c r="J4469">
        <v>80.06</v>
      </c>
      <c r="M4469" s="74">
        <v>33424</v>
      </c>
      <c r="N4469" s="77">
        <v>0.45833333333333331</v>
      </c>
      <c r="P4469">
        <v>62.96</v>
      </c>
      <c r="S4469" s="74">
        <v>34520</v>
      </c>
      <c r="T4469" s="77">
        <v>0.45833333333333331</v>
      </c>
      <c r="V4469">
        <v>78.080000000000013</v>
      </c>
      <c r="X4469" s="42"/>
      <c r="AB4469">
        <v>78.7</v>
      </c>
      <c r="AC4469">
        <v>78.98</v>
      </c>
      <c r="AE4469" s="74"/>
      <c r="AF4469" s="77"/>
      <c r="AH4469" s="497">
        <v>75.2</v>
      </c>
      <c r="AJ4469" s="42"/>
      <c r="AK4469" s="74"/>
      <c r="AL4469" s="77"/>
      <c r="AN4469" s="497">
        <v>73.94</v>
      </c>
      <c r="AP4469" s="42"/>
      <c r="AQ4469" s="74"/>
      <c r="AR4469" s="77"/>
      <c r="AT4469" s="497">
        <v>83.66</v>
      </c>
      <c r="AV4469" s="42"/>
      <c r="AW4469" s="74"/>
      <c r="AX4469" s="77"/>
      <c r="BA4469" s="497">
        <v>69.080000000000013</v>
      </c>
      <c r="BB4469" s="42"/>
      <c r="BC4469" s="74"/>
      <c r="BD4469" s="77"/>
      <c r="BF4469">
        <v>73.039999999999992</v>
      </c>
      <c r="BH4469" s="42"/>
      <c r="BI4469" s="74"/>
      <c r="BJ4469" s="77"/>
      <c r="BL4469" s="497">
        <v>57.92</v>
      </c>
      <c r="BN4469" s="42"/>
      <c r="BO4469" s="74"/>
      <c r="BP4469" s="77"/>
      <c r="BR4469" s="497">
        <v>68</v>
      </c>
      <c r="BT4469" s="42"/>
    </row>
    <row r="4470" spans="1:72" x14ac:dyDescent="0.25">
      <c r="A4470" s="90">
        <v>34520</v>
      </c>
      <c r="B4470" s="20">
        <v>0.5</v>
      </c>
      <c r="D4470">
        <v>80.960000000000008</v>
      </c>
      <c r="E4470" t="str">
        <f t="shared" si="174"/>
        <v>WEEKDAY</v>
      </c>
      <c r="F4470" t="e">
        <f t="shared" si="175"/>
        <v>#N/A</v>
      </c>
      <c r="G4470" s="74">
        <v>31963</v>
      </c>
      <c r="H4470" s="77">
        <v>0.5</v>
      </c>
      <c r="J4470">
        <v>82.039999999999992</v>
      </c>
      <c r="M4470" s="74">
        <v>33424</v>
      </c>
      <c r="N4470" s="77">
        <v>0.5</v>
      </c>
      <c r="P4470">
        <v>62.96</v>
      </c>
      <c r="S4470" s="74">
        <v>34520</v>
      </c>
      <c r="T4470" s="77">
        <v>0.5</v>
      </c>
      <c r="V4470">
        <v>77</v>
      </c>
      <c r="X4470" s="42"/>
      <c r="AB4470">
        <v>79.8</v>
      </c>
      <c r="AC4470">
        <v>78.98</v>
      </c>
      <c r="AE4470" s="74"/>
      <c r="AF4470" s="77"/>
      <c r="AH4470" s="497">
        <v>77</v>
      </c>
      <c r="AJ4470" s="42"/>
      <c r="AK4470" s="74"/>
      <c r="AL4470" s="77"/>
      <c r="AN4470" s="497">
        <v>75.92</v>
      </c>
      <c r="AP4470" s="42"/>
      <c r="AQ4470" s="74"/>
      <c r="AR4470" s="77"/>
      <c r="AT4470" s="497">
        <v>85.460000000000008</v>
      </c>
      <c r="AV4470" s="42"/>
      <c r="AW4470" s="74"/>
      <c r="AX4470" s="77"/>
      <c r="BA4470" s="497">
        <v>69.98</v>
      </c>
      <c r="BB4470" s="42"/>
      <c r="BC4470" s="74"/>
      <c r="BD4470" s="77"/>
      <c r="BF4470">
        <v>73.039999999999992</v>
      </c>
      <c r="BH4470" s="42"/>
      <c r="BI4470" s="74"/>
      <c r="BJ4470" s="77"/>
      <c r="BL4470" s="497">
        <v>57.92</v>
      </c>
      <c r="BN4470" s="42"/>
      <c r="BO4470" s="74"/>
      <c r="BP4470" s="77"/>
      <c r="BR4470" s="497">
        <v>69.98</v>
      </c>
      <c r="BT4470" s="42"/>
    </row>
    <row r="4471" spans="1:72" x14ac:dyDescent="0.25">
      <c r="A4471" s="90">
        <v>34520</v>
      </c>
      <c r="B4471" s="20">
        <v>0.54166666666666663</v>
      </c>
      <c r="D4471">
        <v>84.02</v>
      </c>
      <c r="E4471" t="str">
        <f t="shared" si="174"/>
        <v>WEEKDAY</v>
      </c>
      <c r="F4471" t="e">
        <f t="shared" si="175"/>
        <v>#N/A</v>
      </c>
      <c r="G4471" s="74">
        <v>31963</v>
      </c>
      <c r="H4471" s="77">
        <v>0.54166666666666663</v>
      </c>
      <c r="J4471">
        <v>82.94</v>
      </c>
      <c r="M4471" s="74">
        <v>33424</v>
      </c>
      <c r="N4471" s="77">
        <v>0.54166666666666663</v>
      </c>
      <c r="P4471">
        <v>64.039999999999992</v>
      </c>
      <c r="S4471" s="74">
        <v>34520</v>
      </c>
      <c r="T4471" s="77">
        <v>0.54166666666666663</v>
      </c>
      <c r="V4471">
        <v>80.06</v>
      </c>
      <c r="X4471" s="42"/>
      <c r="AB4471">
        <v>80.5</v>
      </c>
      <c r="AC4471">
        <v>80.960000000000008</v>
      </c>
      <c r="AE4471" s="74"/>
      <c r="AF4471" s="77"/>
      <c r="AH4471" s="497">
        <v>78.800000000000011</v>
      </c>
      <c r="AJ4471" s="42"/>
      <c r="AK4471" s="74"/>
      <c r="AL4471" s="77"/>
      <c r="AN4471" s="497">
        <v>77</v>
      </c>
      <c r="AP4471" s="42"/>
      <c r="AQ4471" s="74"/>
      <c r="AR4471" s="77"/>
      <c r="AT4471" s="497">
        <v>87.080000000000013</v>
      </c>
      <c r="AV4471" s="42"/>
      <c r="AW4471" s="74"/>
      <c r="AX4471" s="77"/>
      <c r="BA4471" s="497">
        <v>69.080000000000013</v>
      </c>
      <c r="BB4471" s="42"/>
      <c r="BC4471" s="74"/>
      <c r="BD4471" s="77"/>
      <c r="BF4471">
        <v>71.960000000000008</v>
      </c>
      <c r="BH4471" s="42"/>
      <c r="BI4471" s="74"/>
      <c r="BJ4471" s="77"/>
      <c r="BL4471" s="497">
        <v>62.06</v>
      </c>
      <c r="BN4471" s="42"/>
      <c r="BO4471" s="74"/>
      <c r="BP4471" s="77"/>
      <c r="BR4471" s="497">
        <v>71.06</v>
      </c>
      <c r="BT4471" s="42"/>
    </row>
    <row r="4472" spans="1:72" x14ac:dyDescent="0.25">
      <c r="A4472" s="90">
        <v>34520</v>
      </c>
      <c r="B4472" s="20">
        <v>0.58333333333333337</v>
      </c>
      <c r="D4472">
        <v>86</v>
      </c>
      <c r="E4472" t="str">
        <f t="shared" si="174"/>
        <v>WEEKDAY</v>
      </c>
      <c r="F4472" t="e">
        <f t="shared" si="175"/>
        <v>#N/A</v>
      </c>
      <c r="G4472" s="74">
        <v>31963</v>
      </c>
      <c r="H4472" s="77">
        <v>0.58333333333333337</v>
      </c>
      <c r="J4472">
        <v>82.94</v>
      </c>
      <c r="M4472" s="74">
        <v>33424</v>
      </c>
      <c r="N4472" s="77">
        <v>0.58333333333333337</v>
      </c>
      <c r="P4472">
        <v>64.039999999999992</v>
      </c>
      <c r="S4472" s="74">
        <v>34520</v>
      </c>
      <c r="T4472" s="77">
        <v>0.58333333333333337</v>
      </c>
      <c r="V4472">
        <v>80.960000000000008</v>
      </c>
      <c r="X4472" s="42"/>
      <c r="AB4472">
        <v>81</v>
      </c>
      <c r="AC4472">
        <v>80.06</v>
      </c>
      <c r="AE4472" s="74"/>
      <c r="AF4472" s="77"/>
      <c r="AH4472" s="497">
        <v>80.599999999999994</v>
      </c>
      <c r="AJ4472" s="42"/>
      <c r="AK4472" s="74"/>
      <c r="AL4472" s="77"/>
      <c r="AN4472" s="497">
        <v>78.98</v>
      </c>
      <c r="AP4472" s="42"/>
      <c r="AQ4472" s="74"/>
      <c r="AR4472" s="77"/>
      <c r="AT4472" s="497">
        <v>84.02</v>
      </c>
      <c r="AV4472" s="42"/>
      <c r="AW4472" s="74"/>
      <c r="AX4472" s="77"/>
      <c r="BA4472" s="497">
        <v>71.06</v>
      </c>
      <c r="BB4472" s="42"/>
      <c r="BC4472" s="74"/>
      <c r="BD4472" s="77"/>
      <c r="BF4472">
        <v>71.960000000000008</v>
      </c>
      <c r="BH4472" s="42"/>
      <c r="BI4472" s="74"/>
      <c r="BJ4472" s="77"/>
      <c r="BL4472" s="497">
        <v>62.06</v>
      </c>
      <c r="BN4472" s="42"/>
      <c r="BO4472" s="74"/>
      <c r="BP4472" s="77"/>
      <c r="BR4472" s="497">
        <v>69.98</v>
      </c>
      <c r="BT4472" s="42"/>
    </row>
    <row r="4473" spans="1:72" x14ac:dyDescent="0.25">
      <c r="A4473" s="90">
        <v>34520</v>
      </c>
      <c r="B4473" s="20">
        <v>0.625</v>
      </c>
      <c r="D4473">
        <v>84.02</v>
      </c>
      <c r="E4473" t="str">
        <f t="shared" si="174"/>
        <v>WEEKDAY</v>
      </c>
      <c r="F4473" t="e">
        <f t="shared" si="175"/>
        <v>#N/A</v>
      </c>
      <c r="G4473" s="74">
        <v>31963</v>
      </c>
      <c r="H4473" s="77">
        <v>0.625</v>
      </c>
      <c r="J4473">
        <v>84.02</v>
      </c>
      <c r="M4473" s="74">
        <v>33424</v>
      </c>
      <c r="N4473" s="77">
        <v>0.625</v>
      </c>
      <c r="P4473">
        <v>64.039999999999992</v>
      </c>
      <c r="S4473" s="74">
        <v>34520</v>
      </c>
      <c r="T4473" s="77">
        <v>0.625</v>
      </c>
      <c r="V4473">
        <v>77</v>
      </c>
      <c r="X4473" s="42"/>
      <c r="AB4473">
        <v>81</v>
      </c>
      <c r="AC4473">
        <v>80.06</v>
      </c>
      <c r="AE4473" s="74"/>
      <c r="AF4473" s="77"/>
      <c r="AH4473" s="497">
        <v>81.86</v>
      </c>
      <c r="AJ4473" s="42"/>
      <c r="AK4473" s="74"/>
      <c r="AL4473" s="77"/>
      <c r="AN4473" s="497">
        <v>80.06</v>
      </c>
      <c r="AP4473" s="42"/>
      <c r="AQ4473" s="74"/>
      <c r="AR4473" s="77"/>
      <c r="AT4473" s="497">
        <v>81.14</v>
      </c>
      <c r="AV4473" s="42"/>
      <c r="AW4473" s="74"/>
      <c r="AX4473" s="77"/>
      <c r="BA4473" s="497">
        <v>75.02</v>
      </c>
      <c r="BB4473" s="42"/>
      <c r="BC4473" s="74"/>
      <c r="BD4473" s="77"/>
      <c r="BF4473">
        <v>73.039999999999992</v>
      </c>
      <c r="BH4473" s="42"/>
      <c r="BI4473" s="74"/>
      <c r="BJ4473" s="77"/>
      <c r="BL4473" s="497">
        <v>64.039999999999992</v>
      </c>
      <c r="BN4473" s="42"/>
      <c r="BO4473" s="74"/>
      <c r="BP4473" s="77"/>
      <c r="BR4473" s="497">
        <v>71.06</v>
      </c>
      <c r="BT4473" s="42"/>
    </row>
    <row r="4474" spans="1:72" x14ac:dyDescent="0.25">
      <c r="A4474" s="90">
        <v>34520</v>
      </c>
      <c r="B4474" s="20">
        <v>0.66666666666666663</v>
      </c>
      <c r="D4474">
        <v>84.92</v>
      </c>
      <c r="E4474" t="str">
        <f t="shared" si="174"/>
        <v>WEEKDAY</v>
      </c>
      <c r="F4474" t="e">
        <f t="shared" si="175"/>
        <v>#N/A</v>
      </c>
      <c r="G4474" s="74">
        <v>31963</v>
      </c>
      <c r="H4474" s="77">
        <v>0.66666666666666663</v>
      </c>
      <c r="J4474">
        <v>82.94</v>
      </c>
      <c r="M4474" s="74">
        <v>33424</v>
      </c>
      <c r="N4474" s="77">
        <v>0.66666666666666663</v>
      </c>
      <c r="P4474">
        <v>64.039999999999992</v>
      </c>
      <c r="S4474" s="74">
        <v>34520</v>
      </c>
      <c r="T4474" s="77">
        <v>0.66666666666666663</v>
      </c>
      <c r="V4474">
        <v>78.98</v>
      </c>
      <c r="X4474" s="42"/>
      <c r="AB4474">
        <v>80.5</v>
      </c>
      <c r="AC4474">
        <v>80.06</v>
      </c>
      <c r="AE4474" s="74"/>
      <c r="AF4474" s="77"/>
      <c r="AH4474" s="497">
        <v>82.4</v>
      </c>
      <c r="AJ4474" s="42"/>
      <c r="AK4474" s="74"/>
      <c r="AL4474" s="77"/>
      <c r="AN4474" s="497">
        <v>82.039999999999992</v>
      </c>
      <c r="AP4474" s="42"/>
      <c r="AQ4474" s="74"/>
      <c r="AR4474" s="77"/>
      <c r="AT4474" s="497">
        <v>78.080000000000013</v>
      </c>
      <c r="AV4474" s="42"/>
      <c r="AW4474" s="74"/>
      <c r="AX4474" s="77"/>
      <c r="BA4474" s="497">
        <v>73.94</v>
      </c>
      <c r="BB4474" s="42"/>
      <c r="BC4474" s="74"/>
      <c r="BD4474" s="77"/>
      <c r="BF4474">
        <v>75.02</v>
      </c>
      <c r="BH4474" s="42"/>
      <c r="BI4474" s="74"/>
      <c r="BJ4474" s="77"/>
      <c r="BL4474" s="497">
        <v>66.02</v>
      </c>
      <c r="BN4474" s="42"/>
      <c r="BO4474" s="74"/>
      <c r="BP4474" s="77"/>
      <c r="BR4474" s="497">
        <v>71.06</v>
      </c>
      <c r="BT4474" s="42"/>
    </row>
    <row r="4475" spans="1:72" x14ac:dyDescent="0.25">
      <c r="A4475" s="90">
        <v>34520</v>
      </c>
      <c r="B4475" s="20">
        <v>0.70833333333333337</v>
      </c>
      <c r="D4475">
        <v>82.94</v>
      </c>
      <c r="E4475" t="str">
        <f t="shared" si="174"/>
        <v>WEEKDAY</v>
      </c>
      <c r="F4475" t="e">
        <f t="shared" si="175"/>
        <v>#N/A</v>
      </c>
      <c r="G4475" s="74">
        <v>31963</v>
      </c>
      <c r="H4475" s="77">
        <v>0.70833333333333337</v>
      </c>
      <c r="J4475">
        <v>80.06</v>
      </c>
      <c r="M4475" s="74">
        <v>33424</v>
      </c>
      <c r="N4475" s="77">
        <v>0.70833333333333337</v>
      </c>
      <c r="P4475">
        <v>64.039999999999992</v>
      </c>
      <c r="S4475" s="74">
        <v>34520</v>
      </c>
      <c r="T4475" s="77">
        <v>0.70833333333333337</v>
      </c>
      <c r="V4475">
        <v>78.98</v>
      </c>
      <c r="X4475" s="42"/>
      <c r="AB4475">
        <v>79.5</v>
      </c>
      <c r="AC4475">
        <v>78.98</v>
      </c>
      <c r="AE4475" s="74"/>
      <c r="AF4475" s="77"/>
      <c r="AH4475" s="497">
        <v>80.599999999999994</v>
      </c>
      <c r="AJ4475" s="42"/>
      <c r="AK4475" s="74"/>
      <c r="AL4475" s="77"/>
      <c r="AN4475" s="497">
        <v>80.960000000000008</v>
      </c>
      <c r="AP4475" s="42"/>
      <c r="AQ4475" s="74"/>
      <c r="AR4475" s="77"/>
      <c r="AT4475" s="497">
        <v>78.44</v>
      </c>
      <c r="AV4475" s="42"/>
      <c r="AW4475" s="74"/>
      <c r="AX4475" s="77"/>
      <c r="BA4475" s="497">
        <v>75.02</v>
      </c>
      <c r="BB4475" s="42"/>
      <c r="BC4475" s="74"/>
      <c r="BD4475" s="77"/>
      <c r="BF4475">
        <v>73.94</v>
      </c>
      <c r="BH4475" s="42"/>
      <c r="BI4475" s="74"/>
      <c r="BJ4475" s="77"/>
      <c r="BL4475" s="497">
        <v>66.92</v>
      </c>
      <c r="BN4475" s="42"/>
      <c r="BO4475" s="74"/>
      <c r="BP4475" s="77"/>
      <c r="BR4475" s="497">
        <v>69.98</v>
      </c>
      <c r="BT4475" s="42"/>
    </row>
    <row r="4476" spans="1:72" x14ac:dyDescent="0.25">
      <c r="A4476" s="90">
        <v>34520</v>
      </c>
      <c r="B4476" s="20">
        <v>0.75</v>
      </c>
      <c r="D4476">
        <v>80.960000000000008</v>
      </c>
      <c r="E4476" t="str">
        <f t="shared" si="174"/>
        <v>WEEKDAY</v>
      </c>
      <c r="F4476" t="e">
        <f t="shared" si="175"/>
        <v>#N/A</v>
      </c>
      <c r="G4476" s="74">
        <v>31963</v>
      </c>
      <c r="H4476" s="77">
        <v>0.75</v>
      </c>
      <c r="J4476">
        <v>78.080000000000013</v>
      </c>
      <c r="M4476" s="74">
        <v>33424</v>
      </c>
      <c r="N4476" s="77">
        <v>0.75</v>
      </c>
      <c r="P4476">
        <v>64.039999999999992</v>
      </c>
      <c r="S4476" s="74">
        <v>34520</v>
      </c>
      <c r="T4476" s="77">
        <v>0.75</v>
      </c>
      <c r="V4476">
        <v>77</v>
      </c>
      <c r="X4476" s="42"/>
      <c r="AB4476">
        <v>78.3</v>
      </c>
      <c r="AC4476">
        <v>77</v>
      </c>
      <c r="AE4476" s="74"/>
      <c r="AF4476" s="77"/>
      <c r="AH4476" s="497">
        <v>79.52</v>
      </c>
      <c r="AJ4476" s="42"/>
      <c r="AK4476" s="74"/>
      <c r="AL4476" s="77"/>
      <c r="AN4476" s="497">
        <v>78.98</v>
      </c>
      <c r="AP4476" s="42"/>
      <c r="AQ4476" s="74"/>
      <c r="AR4476" s="77"/>
      <c r="AT4476" s="497">
        <v>78.62</v>
      </c>
      <c r="AV4476" s="42"/>
      <c r="AW4476" s="74"/>
      <c r="AX4476" s="77"/>
      <c r="BA4476" s="497">
        <v>73.94</v>
      </c>
      <c r="BB4476" s="42"/>
      <c r="BC4476" s="74"/>
      <c r="BD4476" s="77"/>
      <c r="BF4476">
        <v>71.06</v>
      </c>
      <c r="BH4476" s="42"/>
      <c r="BI4476" s="74"/>
      <c r="BJ4476" s="77"/>
      <c r="BL4476" s="497">
        <v>66.02</v>
      </c>
      <c r="BN4476" s="42"/>
      <c r="BO4476" s="74"/>
      <c r="BP4476" s="77"/>
      <c r="BR4476" s="497">
        <v>69.080000000000013</v>
      </c>
      <c r="BT4476" s="42"/>
    </row>
    <row r="4477" spans="1:72" x14ac:dyDescent="0.25">
      <c r="A4477" s="90">
        <v>34520</v>
      </c>
      <c r="B4477" s="20">
        <v>0.79166666666666663</v>
      </c>
      <c r="D4477">
        <v>78.080000000000013</v>
      </c>
      <c r="E4477" t="str">
        <f t="shared" si="174"/>
        <v>WEEKDAY</v>
      </c>
      <c r="F4477" t="e">
        <f t="shared" si="175"/>
        <v>#N/A</v>
      </c>
      <c r="G4477" s="74">
        <v>31963</v>
      </c>
      <c r="H4477" s="77">
        <v>0.79166666666666663</v>
      </c>
      <c r="J4477">
        <v>75.92</v>
      </c>
      <c r="M4477" s="74">
        <v>33424</v>
      </c>
      <c r="N4477" s="77">
        <v>0.79166666666666663</v>
      </c>
      <c r="P4477">
        <v>64.039999999999992</v>
      </c>
      <c r="S4477" s="74">
        <v>34520</v>
      </c>
      <c r="T4477" s="77">
        <v>0.79166666666666663</v>
      </c>
      <c r="V4477">
        <v>73.94</v>
      </c>
      <c r="X4477" s="42"/>
      <c r="AB4477">
        <v>76.900000000000006</v>
      </c>
      <c r="AC4477">
        <v>75.02</v>
      </c>
      <c r="AE4477" s="74"/>
      <c r="AF4477" s="77"/>
      <c r="AH4477" s="497">
        <v>77</v>
      </c>
      <c r="AJ4477" s="42"/>
      <c r="AK4477" s="74"/>
      <c r="AL4477" s="77"/>
      <c r="AN4477" s="497">
        <v>75.02</v>
      </c>
      <c r="AP4477" s="42"/>
      <c r="AQ4477" s="74"/>
      <c r="AR4477" s="77"/>
      <c r="AT4477" s="497">
        <v>78.98</v>
      </c>
      <c r="AV4477" s="42"/>
      <c r="AW4477" s="74"/>
      <c r="AX4477" s="77"/>
      <c r="BA4477" s="497">
        <v>71.06</v>
      </c>
      <c r="BB4477" s="42"/>
      <c r="BC4477" s="74"/>
      <c r="BD4477" s="77"/>
      <c r="BF4477">
        <v>71.06</v>
      </c>
      <c r="BH4477" s="42"/>
      <c r="BI4477" s="74"/>
      <c r="BJ4477" s="77"/>
      <c r="BL4477" s="497">
        <v>64.94</v>
      </c>
      <c r="BN4477" s="42"/>
      <c r="BO4477" s="74"/>
      <c r="BP4477" s="77"/>
      <c r="BR4477" s="497">
        <v>66.02</v>
      </c>
      <c r="BT4477" s="42"/>
    </row>
    <row r="4478" spans="1:72" x14ac:dyDescent="0.25">
      <c r="A4478" s="90">
        <v>34520</v>
      </c>
      <c r="B4478" s="20">
        <v>0.83333333333333337</v>
      </c>
      <c r="D4478">
        <v>75.92</v>
      </c>
      <c r="E4478" t="str">
        <f t="shared" si="174"/>
        <v>WEEKDAY</v>
      </c>
      <c r="F4478" t="e">
        <f t="shared" si="175"/>
        <v>#N/A</v>
      </c>
      <c r="G4478" s="74">
        <v>31963</v>
      </c>
      <c r="H4478" s="77">
        <v>0.83333333333333337</v>
      </c>
      <c r="J4478">
        <v>73.94</v>
      </c>
      <c r="M4478" s="74">
        <v>33424</v>
      </c>
      <c r="N4478" s="77">
        <v>0.83333333333333337</v>
      </c>
      <c r="P4478">
        <v>64.039999999999992</v>
      </c>
      <c r="S4478" s="74">
        <v>34520</v>
      </c>
      <c r="T4478" s="77">
        <v>0.83333333333333337</v>
      </c>
      <c r="V4478">
        <v>73.94</v>
      </c>
      <c r="X4478" s="42"/>
      <c r="AB4478">
        <v>75.5</v>
      </c>
      <c r="AC4478">
        <v>73.94</v>
      </c>
      <c r="AE4478" s="74"/>
      <c r="AF4478" s="77"/>
      <c r="AH4478" s="497">
        <v>73.400000000000006</v>
      </c>
      <c r="AJ4478" s="42"/>
      <c r="AK4478" s="74"/>
      <c r="AL4478" s="77"/>
      <c r="AN4478" s="497">
        <v>71.960000000000008</v>
      </c>
      <c r="AP4478" s="42"/>
      <c r="AQ4478" s="74"/>
      <c r="AR4478" s="77"/>
      <c r="AT4478" s="497">
        <v>74.66</v>
      </c>
      <c r="AV4478" s="42"/>
      <c r="AW4478" s="74"/>
      <c r="AX4478" s="77"/>
      <c r="BA4478" s="497">
        <v>66.92</v>
      </c>
      <c r="BB4478" s="42"/>
      <c r="BC4478" s="74"/>
      <c r="BD4478" s="77"/>
      <c r="BF4478">
        <v>71.960000000000008</v>
      </c>
      <c r="BH4478" s="42"/>
      <c r="BI4478" s="74"/>
      <c r="BJ4478" s="77"/>
      <c r="BL4478" s="497">
        <v>60.08</v>
      </c>
      <c r="BN4478" s="42"/>
      <c r="BO4478" s="74"/>
      <c r="BP4478" s="77"/>
      <c r="BR4478" s="497">
        <v>60.980000000000004</v>
      </c>
      <c r="BT4478" s="42"/>
    </row>
    <row r="4479" spans="1:72" x14ac:dyDescent="0.25">
      <c r="A4479" s="90">
        <v>34520</v>
      </c>
      <c r="B4479" s="20">
        <v>0.875</v>
      </c>
      <c r="D4479">
        <v>77</v>
      </c>
      <c r="E4479" t="str">
        <f t="shared" si="174"/>
        <v>WEEKDAY</v>
      </c>
      <c r="F4479" t="e">
        <f t="shared" si="175"/>
        <v>#N/A</v>
      </c>
      <c r="G4479" s="74">
        <v>31963</v>
      </c>
      <c r="H4479" s="77">
        <v>0.875</v>
      </c>
      <c r="J4479">
        <v>73.039999999999992</v>
      </c>
      <c r="M4479" s="74">
        <v>33424</v>
      </c>
      <c r="N4479" s="77">
        <v>0.875</v>
      </c>
      <c r="P4479">
        <v>64.039999999999992</v>
      </c>
      <c r="S4479" s="74">
        <v>34520</v>
      </c>
      <c r="T4479" s="77">
        <v>0.875</v>
      </c>
      <c r="V4479">
        <v>73.039999999999992</v>
      </c>
      <c r="X4479" s="42"/>
      <c r="AB4479">
        <v>74.3</v>
      </c>
      <c r="AC4479">
        <v>73.94</v>
      </c>
      <c r="AE4479" s="74"/>
      <c r="AF4479" s="77"/>
      <c r="AH4479" s="497">
        <v>73.400000000000006</v>
      </c>
      <c r="AJ4479" s="42"/>
      <c r="AK4479" s="74"/>
      <c r="AL4479" s="77"/>
      <c r="AN4479" s="497">
        <v>69.98</v>
      </c>
      <c r="AP4479" s="42"/>
      <c r="AQ4479" s="74"/>
      <c r="AR4479" s="77"/>
      <c r="AT4479" s="497">
        <v>70.34</v>
      </c>
      <c r="AV4479" s="42"/>
      <c r="AW4479" s="74"/>
      <c r="AX4479" s="77"/>
      <c r="BA4479" s="497">
        <v>64.94</v>
      </c>
      <c r="BB4479" s="42"/>
      <c r="BC4479" s="74"/>
      <c r="BD4479" s="77"/>
      <c r="BF4479">
        <v>69.080000000000013</v>
      </c>
      <c r="BH4479" s="42"/>
      <c r="BI4479" s="74"/>
      <c r="BJ4479" s="77"/>
      <c r="BL4479" s="497">
        <v>57.92</v>
      </c>
      <c r="BN4479" s="42"/>
      <c r="BO4479" s="74"/>
      <c r="BP4479" s="77"/>
      <c r="BR4479" s="497">
        <v>57.92</v>
      </c>
      <c r="BT4479" s="42"/>
    </row>
    <row r="4480" spans="1:72" x14ac:dyDescent="0.25">
      <c r="A4480" s="90">
        <v>34520</v>
      </c>
      <c r="B4480" s="20">
        <v>0.91666666666666663</v>
      </c>
      <c r="D4480">
        <v>77</v>
      </c>
      <c r="E4480" t="str">
        <f t="shared" si="174"/>
        <v>WEEKDAY</v>
      </c>
      <c r="F4480" t="e">
        <f t="shared" si="175"/>
        <v>#N/A</v>
      </c>
      <c r="G4480" s="74">
        <v>31963</v>
      </c>
      <c r="H4480" s="77">
        <v>0.91666666666666663</v>
      </c>
      <c r="J4480">
        <v>71.960000000000008</v>
      </c>
      <c r="M4480" s="74">
        <v>33424</v>
      </c>
      <c r="N4480" s="77">
        <v>0.91666666666666663</v>
      </c>
      <c r="P4480">
        <v>64.94</v>
      </c>
      <c r="S4480" s="74">
        <v>34520</v>
      </c>
      <c r="T4480" s="77">
        <v>0.91666666666666663</v>
      </c>
      <c r="V4480">
        <v>71.960000000000008</v>
      </c>
      <c r="X4480" s="42"/>
      <c r="AB4480">
        <v>73.7</v>
      </c>
      <c r="AC4480">
        <v>73.94</v>
      </c>
      <c r="AE4480" s="74"/>
      <c r="AF4480" s="77"/>
      <c r="AH4480" s="497">
        <v>73.400000000000006</v>
      </c>
      <c r="AJ4480" s="42"/>
      <c r="AK4480" s="74"/>
      <c r="AL4480" s="77"/>
      <c r="AN4480" s="497">
        <v>68</v>
      </c>
      <c r="AP4480" s="42"/>
      <c r="AQ4480" s="74"/>
      <c r="AR4480" s="77"/>
      <c r="AT4480" s="497">
        <v>66.02</v>
      </c>
      <c r="AV4480" s="42"/>
      <c r="AW4480" s="74"/>
      <c r="AX4480" s="77"/>
      <c r="BA4480" s="497">
        <v>66.02</v>
      </c>
      <c r="BB4480" s="42"/>
      <c r="BC4480" s="74"/>
      <c r="BD4480" s="77"/>
      <c r="BF4480">
        <v>66.02</v>
      </c>
      <c r="BH4480" s="42"/>
      <c r="BI4480" s="74"/>
      <c r="BJ4480" s="77"/>
      <c r="BL4480" s="497">
        <v>59</v>
      </c>
      <c r="BN4480" s="42"/>
      <c r="BO4480" s="74"/>
      <c r="BP4480" s="77"/>
      <c r="BR4480" s="497">
        <v>53.06</v>
      </c>
      <c r="BT4480" s="42"/>
    </row>
    <row r="4481" spans="1:72" x14ac:dyDescent="0.25">
      <c r="A4481" s="90">
        <v>34520</v>
      </c>
      <c r="B4481" s="20">
        <v>0.95833333333333337</v>
      </c>
      <c r="D4481">
        <v>78.080000000000013</v>
      </c>
      <c r="E4481" t="str">
        <f t="shared" si="174"/>
        <v>WEEKDAY</v>
      </c>
      <c r="F4481" t="e">
        <f t="shared" si="175"/>
        <v>#N/A</v>
      </c>
      <c r="G4481" s="74">
        <v>31963</v>
      </c>
      <c r="H4481" s="77">
        <v>0.95833333333333337</v>
      </c>
      <c r="J4481">
        <v>71.960000000000008</v>
      </c>
      <c r="M4481" s="74">
        <v>33424</v>
      </c>
      <c r="N4481" s="77">
        <v>0.95833333333333337</v>
      </c>
      <c r="P4481">
        <v>64.94</v>
      </c>
      <c r="S4481" s="74">
        <v>34520</v>
      </c>
      <c r="T4481" s="77">
        <v>0.95833333333333337</v>
      </c>
      <c r="V4481">
        <v>71.960000000000008</v>
      </c>
      <c r="X4481" s="42"/>
      <c r="AB4481">
        <v>73.2</v>
      </c>
      <c r="AC4481">
        <v>73.94</v>
      </c>
      <c r="AE4481" s="74"/>
      <c r="AF4481" s="77"/>
      <c r="AH4481" s="497">
        <v>60.8</v>
      </c>
      <c r="AJ4481" s="42"/>
      <c r="AK4481" s="74"/>
      <c r="AL4481" s="77"/>
      <c r="AN4481" s="497">
        <v>69.080000000000013</v>
      </c>
      <c r="AP4481" s="42"/>
      <c r="AQ4481" s="74"/>
      <c r="AR4481" s="77"/>
      <c r="AT4481" s="497">
        <v>64.400000000000006</v>
      </c>
      <c r="AV4481" s="42"/>
      <c r="AW4481" s="74"/>
      <c r="AX4481" s="77"/>
      <c r="BA4481" s="497">
        <v>64.94</v>
      </c>
      <c r="BB4481" s="42"/>
      <c r="BC4481" s="74"/>
      <c r="BD4481" s="77"/>
      <c r="BF4481">
        <v>64.94</v>
      </c>
      <c r="BH4481" s="42"/>
      <c r="BI4481" s="74"/>
      <c r="BJ4481" s="77"/>
      <c r="BL4481" s="497">
        <v>55.040000000000006</v>
      </c>
      <c r="BN4481" s="42"/>
      <c r="BO4481" s="74"/>
      <c r="BP4481" s="77"/>
      <c r="BR4481" s="497">
        <v>50</v>
      </c>
      <c r="BT4481" s="42"/>
    </row>
    <row r="4482" spans="1:72" x14ac:dyDescent="0.25">
      <c r="A4482" s="90">
        <v>34520</v>
      </c>
      <c r="B4482" s="20">
        <v>1</v>
      </c>
      <c r="D4482">
        <v>77</v>
      </c>
      <c r="E4482" t="str">
        <f t="shared" si="174"/>
        <v>WEEKDAY</v>
      </c>
      <c r="F4482" t="e">
        <f t="shared" si="175"/>
        <v>#N/A</v>
      </c>
      <c r="G4482" s="74">
        <v>31963</v>
      </c>
      <c r="H4482" s="77">
        <v>1</v>
      </c>
      <c r="J4482">
        <v>69.98</v>
      </c>
      <c r="M4482" s="74">
        <v>33424</v>
      </c>
      <c r="N4482" s="80">
        <v>1</v>
      </c>
      <c r="P4482">
        <v>64.94</v>
      </c>
      <c r="S4482" s="74">
        <v>34520</v>
      </c>
      <c r="T4482" s="80">
        <v>1</v>
      </c>
      <c r="V4482">
        <v>71.06</v>
      </c>
      <c r="X4482" s="42"/>
      <c r="AB4482">
        <v>72.599999999999994</v>
      </c>
      <c r="AC4482">
        <v>73.039999999999992</v>
      </c>
      <c r="AE4482" s="74"/>
      <c r="AF4482" s="80"/>
      <c r="AH4482" s="497">
        <v>57.2</v>
      </c>
      <c r="AJ4482" s="42"/>
      <c r="AK4482" s="74"/>
      <c r="AL4482" s="80"/>
      <c r="AN4482" s="497">
        <v>66.02</v>
      </c>
      <c r="AP4482" s="42"/>
      <c r="AQ4482" s="74"/>
      <c r="AR4482" s="80"/>
      <c r="AT4482" s="497">
        <v>62.6</v>
      </c>
      <c r="AV4482" s="42"/>
      <c r="AW4482" s="74"/>
      <c r="AX4482" s="80"/>
      <c r="BA4482" s="497">
        <v>62.96</v>
      </c>
      <c r="BB4482" s="42"/>
      <c r="BC4482" s="74"/>
      <c r="BD4482" s="80"/>
      <c r="BF4482">
        <v>62.96</v>
      </c>
      <c r="BH4482" s="42"/>
      <c r="BI4482" s="74"/>
      <c r="BJ4482" s="80"/>
      <c r="BL4482" s="497">
        <v>53.96</v>
      </c>
      <c r="BN4482" s="42"/>
      <c r="BO4482" s="74"/>
      <c r="BP4482" s="80"/>
      <c r="BR4482" s="497">
        <v>48.019999999999996</v>
      </c>
      <c r="BT4482" s="42"/>
    </row>
    <row r="4483" spans="1:72" x14ac:dyDescent="0.25">
      <c r="A4483" s="90">
        <v>34521</v>
      </c>
      <c r="B4483" s="20">
        <v>4.1666666666666664E-2</v>
      </c>
      <c r="D4483">
        <v>77</v>
      </c>
      <c r="E4483" t="str">
        <f t="shared" si="174"/>
        <v>WEEKDAY</v>
      </c>
      <c r="F4483" t="e">
        <f t="shared" si="175"/>
        <v>#N/A</v>
      </c>
      <c r="G4483" s="74">
        <v>31964</v>
      </c>
      <c r="H4483" s="77">
        <v>4.1666666666666664E-2</v>
      </c>
      <c r="J4483">
        <v>69.080000000000013</v>
      </c>
      <c r="M4483" s="74">
        <v>33425</v>
      </c>
      <c r="N4483" s="77">
        <v>4.1666666666666664E-2</v>
      </c>
      <c r="P4483">
        <v>64.94</v>
      </c>
      <c r="S4483" s="74">
        <v>34521</v>
      </c>
      <c r="T4483" s="77">
        <v>4.1666666666666664E-2</v>
      </c>
      <c r="V4483">
        <v>71.960000000000008</v>
      </c>
      <c r="X4483" s="42"/>
      <c r="AB4483">
        <v>72</v>
      </c>
      <c r="AC4483">
        <v>73.039999999999992</v>
      </c>
      <c r="AE4483" s="74"/>
      <c r="AF4483" s="77"/>
      <c r="AH4483" s="497">
        <v>57.2</v>
      </c>
      <c r="AJ4483" s="42"/>
      <c r="AK4483" s="74"/>
      <c r="AL4483" s="77"/>
      <c r="AN4483" s="497">
        <v>62.96</v>
      </c>
      <c r="AP4483" s="42"/>
      <c r="AQ4483" s="74"/>
      <c r="AR4483" s="77"/>
      <c r="AT4483" s="497">
        <v>60.980000000000004</v>
      </c>
      <c r="AV4483" s="42"/>
      <c r="AW4483" s="74"/>
      <c r="AX4483" s="77"/>
      <c r="BA4483" s="497">
        <v>60.08</v>
      </c>
      <c r="BB4483" s="42"/>
      <c r="BC4483" s="74"/>
      <c r="BD4483" s="77"/>
      <c r="BF4483">
        <v>62.06</v>
      </c>
      <c r="BH4483" s="42"/>
      <c r="BI4483" s="74"/>
      <c r="BJ4483" s="77"/>
      <c r="BL4483" s="497">
        <v>51.980000000000004</v>
      </c>
      <c r="BN4483" s="42"/>
      <c r="BO4483" s="74"/>
      <c r="BP4483" s="77"/>
      <c r="BR4483" s="497">
        <v>53.96</v>
      </c>
      <c r="BT4483" s="42"/>
    </row>
    <row r="4484" spans="1:72" x14ac:dyDescent="0.25">
      <c r="A4484" s="90">
        <v>34521</v>
      </c>
      <c r="B4484" s="20">
        <v>8.3333333333333329E-2</v>
      </c>
      <c r="D4484">
        <v>75.92</v>
      </c>
      <c r="E4484" t="str">
        <f t="shared" si="174"/>
        <v>WEEKDAY</v>
      </c>
      <c r="F4484" t="e">
        <f t="shared" si="175"/>
        <v>#N/A</v>
      </c>
      <c r="G4484" s="74">
        <v>31964</v>
      </c>
      <c r="H4484" s="77">
        <v>8.3333333333333329E-2</v>
      </c>
      <c r="J4484">
        <v>68</v>
      </c>
      <c r="M4484" s="74">
        <v>33425</v>
      </c>
      <c r="N4484" s="77">
        <v>8.3333333333333329E-2</v>
      </c>
      <c r="P4484">
        <v>64.039999999999992</v>
      </c>
      <c r="S4484" s="74">
        <v>34521</v>
      </c>
      <c r="T4484" s="77">
        <v>8.3333333333333329E-2</v>
      </c>
      <c r="V4484">
        <v>71.960000000000008</v>
      </c>
      <c r="X4484" s="42"/>
      <c r="AB4484">
        <v>71.400000000000006</v>
      </c>
      <c r="AC4484">
        <v>73.039999999999992</v>
      </c>
      <c r="AE4484" s="74"/>
      <c r="AF4484" s="77"/>
      <c r="AH4484" s="497">
        <v>57.2</v>
      </c>
      <c r="AJ4484" s="42"/>
      <c r="AK4484" s="74"/>
      <c r="AL4484" s="77"/>
      <c r="AN4484" s="497">
        <v>62.96</v>
      </c>
      <c r="AP4484" s="42"/>
      <c r="AQ4484" s="74"/>
      <c r="AR4484" s="77"/>
      <c r="AT4484" s="497">
        <v>59.72</v>
      </c>
      <c r="AV4484" s="42"/>
      <c r="AW4484" s="74"/>
      <c r="AX4484" s="77"/>
      <c r="BA4484" s="497">
        <v>62.06</v>
      </c>
      <c r="BB4484" s="42"/>
      <c r="BC4484" s="74"/>
      <c r="BD4484" s="77"/>
      <c r="BF4484">
        <v>60.08</v>
      </c>
      <c r="BH4484" s="42"/>
      <c r="BI4484" s="74"/>
      <c r="BJ4484" s="77"/>
      <c r="BL4484" s="497">
        <v>48.92</v>
      </c>
      <c r="BN4484" s="42"/>
      <c r="BO4484" s="74"/>
      <c r="BP4484" s="77"/>
      <c r="BR4484" s="497">
        <v>53.06</v>
      </c>
      <c r="BT4484" s="42"/>
    </row>
    <row r="4485" spans="1:72" x14ac:dyDescent="0.25">
      <c r="A4485" s="90">
        <v>34521</v>
      </c>
      <c r="B4485" s="20">
        <v>0.125</v>
      </c>
      <c r="D4485">
        <v>75.92</v>
      </c>
      <c r="E4485" t="str">
        <f t="shared" si="174"/>
        <v>WEEKDAY</v>
      </c>
      <c r="F4485" t="e">
        <f t="shared" si="175"/>
        <v>#N/A</v>
      </c>
      <c r="G4485" s="74">
        <v>31964</v>
      </c>
      <c r="H4485" s="77">
        <v>0.125</v>
      </c>
      <c r="J4485">
        <v>66.92</v>
      </c>
      <c r="M4485" s="74">
        <v>33425</v>
      </c>
      <c r="N4485" s="77">
        <v>0.125</v>
      </c>
      <c r="P4485">
        <v>64.039999999999992</v>
      </c>
      <c r="S4485" s="74">
        <v>34521</v>
      </c>
      <c r="T4485" s="77">
        <v>0.125</v>
      </c>
      <c r="V4485">
        <v>71.960000000000008</v>
      </c>
      <c r="X4485" s="42"/>
      <c r="AB4485">
        <v>70.8</v>
      </c>
      <c r="AC4485">
        <v>73.039999999999992</v>
      </c>
      <c r="AE4485" s="74"/>
      <c r="AF4485" s="77"/>
      <c r="AH4485" s="497">
        <v>57.2</v>
      </c>
      <c r="AJ4485" s="42"/>
      <c r="AK4485" s="74"/>
      <c r="AL4485" s="77"/>
      <c r="AN4485" s="497">
        <v>62.06</v>
      </c>
      <c r="AP4485" s="42"/>
      <c r="AQ4485" s="74"/>
      <c r="AR4485" s="77"/>
      <c r="AT4485" s="497">
        <v>58.28</v>
      </c>
      <c r="AV4485" s="42"/>
      <c r="AW4485" s="74"/>
      <c r="AX4485" s="77"/>
      <c r="BA4485" s="497">
        <v>62.06</v>
      </c>
      <c r="BB4485" s="42"/>
      <c r="BC4485" s="74"/>
      <c r="BD4485" s="77"/>
      <c r="BF4485">
        <v>55.94</v>
      </c>
      <c r="BH4485" s="42"/>
      <c r="BI4485" s="74"/>
      <c r="BJ4485" s="77"/>
      <c r="BL4485" s="497">
        <v>51.980000000000004</v>
      </c>
      <c r="BN4485" s="42"/>
      <c r="BO4485" s="74"/>
      <c r="BP4485" s="77"/>
      <c r="BR4485" s="497">
        <v>51.08</v>
      </c>
      <c r="BT4485" s="42"/>
    </row>
    <row r="4486" spans="1:72" x14ac:dyDescent="0.25">
      <c r="A4486" s="90">
        <v>34521</v>
      </c>
      <c r="B4486" s="20">
        <v>0.16666666666666666</v>
      </c>
      <c r="D4486">
        <v>77</v>
      </c>
      <c r="E4486" t="str">
        <f t="shared" si="174"/>
        <v>WEEKDAY</v>
      </c>
      <c r="F4486" t="e">
        <f t="shared" si="175"/>
        <v>#N/A</v>
      </c>
      <c r="G4486" s="74">
        <v>31964</v>
      </c>
      <c r="H4486" s="77">
        <v>0.16666666666666666</v>
      </c>
      <c r="J4486">
        <v>66.92</v>
      </c>
      <c r="M4486" s="74">
        <v>33425</v>
      </c>
      <c r="N4486" s="77">
        <v>0.16666666666666666</v>
      </c>
      <c r="P4486">
        <v>64.039999999999992</v>
      </c>
      <c r="S4486" s="74">
        <v>34521</v>
      </c>
      <c r="T4486" s="77">
        <v>0.16666666666666666</v>
      </c>
      <c r="V4486">
        <v>73.039999999999992</v>
      </c>
      <c r="X4486" s="42"/>
      <c r="AB4486">
        <v>70.3</v>
      </c>
      <c r="AC4486">
        <v>73.039999999999992</v>
      </c>
      <c r="AE4486" s="74"/>
      <c r="AF4486" s="77"/>
      <c r="AH4486" s="497">
        <v>55.400000000000006</v>
      </c>
      <c r="AJ4486" s="42"/>
      <c r="AK4486" s="74"/>
      <c r="AL4486" s="77"/>
      <c r="AN4486" s="497">
        <v>60.08</v>
      </c>
      <c r="AP4486" s="42"/>
      <c r="AQ4486" s="74"/>
      <c r="AR4486" s="77"/>
      <c r="AT4486" s="497">
        <v>57.019999999999996</v>
      </c>
      <c r="AV4486" s="42"/>
      <c r="AW4486" s="74"/>
      <c r="AX4486" s="77"/>
      <c r="BA4486" s="497">
        <v>62.06</v>
      </c>
      <c r="BB4486" s="42"/>
      <c r="BC4486" s="74"/>
      <c r="BD4486" s="77"/>
      <c r="BF4486">
        <v>53.96</v>
      </c>
      <c r="BH4486" s="42"/>
      <c r="BI4486" s="74"/>
      <c r="BJ4486" s="77"/>
      <c r="BL4486" s="497">
        <v>53.96</v>
      </c>
      <c r="BN4486" s="42"/>
      <c r="BO4486" s="74"/>
      <c r="BP4486" s="77"/>
      <c r="BR4486" s="497">
        <v>46.04</v>
      </c>
      <c r="BT4486" s="42"/>
    </row>
    <row r="4487" spans="1:72" x14ac:dyDescent="0.25">
      <c r="A4487" s="90">
        <v>34521</v>
      </c>
      <c r="B4487" s="20">
        <v>0.20833333333333334</v>
      </c>
      <c r="D4487">
        <v>75.92</v>
      </c>
      <c r="E4487" t="str">
        <f t="shared" si="174"/>
        <v>WEEKDAY</v>
      </c>
      <c r="F4487" t="e">
        <f t="shared" si="175"/>
        <v>#N/A</v>
      </c>
      <c r="G4487" s="74">
        <v>31964</v>
      </c>
      <c r="H4487" s="77">
        <v>0.20833333333333334</v>
      </c>
      <c r="J4487">
        <v>66.02</v>
      </c>
      <c r="M4487" s="74">
        <v>33425</v>
      </c>
      <c r="N4487" s="77">
        <v>0.20833333333333334</v>
      </c>
      <c r="P4487">
        <v>64.039999999999992</v>
      </c>
      <c r="S4487" s="74">
        <v>34521</v>
      </c>
      <c r="T4487" s="77">
        <v>0.20833333333333334</v>
      </c>
      <c r="V4487">
        <v>73.039999999999992</v>
      </c>
      <c r="X4487" s="42"/>
      <c r="AB4487">
        <v>69.900000000000006</v>
      </c>
      <c r="AC4487">
        <v>73.039999999999992</v>
      </c>
      <c r="AE4487" s="74"/>
      <c r="AF4487" s="77"/>
      <c r="AH4487" s="497">
        <v>55.400000000000006</v>
      </c>
      <c r="AJ4487" s="42"/>
      <c r="AK4487" s="74"/>
      <c r="AL4487" s="77"/>
      <c r="AN4487" s="497">
        <v>62.06</v>
      </c>
      <c r="AP4487" s="42"/>
      <c r="AQ4487" s="74"/>
      <c r="AR4487" s="77"/>
      <c r="AT4487" s="497">
        <v>60.08</v>
      </c>
      <c r="AV4487" s="42"/>
      <c r="AW4487" s="74"/>
      <c r="AX4487" s="77"/>
      <c r="BA4487" s="497">
        <v>62.06</v>
      </c>
      <c r="BB4487" s="42"/>
      <c r="BC4487" s="74"/>
      <c r="BD4487" s="77"/>
      <c r="BF4487">
        <v>53.06</v>
      </c>
      <c r="BH4487" s="42"/>
      <c r="BI4487" s="74"/>
      <c r="BJ4487" s="77"/>
      <c r="BL4487" s="497">
        <v>51.08</v>
      </c>
      <c r="BN4487" s="42"/>
      <c r="BO4487" s="74"/>
      <c r="BP4487" s="77"/>
      <c r="BR4487" s="497">
        <v>44.96</v>
      </c>
      <c r="BT4487" s="42"/>
    </row>
    <row r="4488" spans="1:72" x14ac:dyDescent="0.25">
      <c r="A4488" s="90">
        <v>34521</v>
      </c>
      <c r="B4488" s="20">
        <v>0.25</v>
      </c>
      <c r="D4488">
        <v>77</v>
      </c>
      <c r="E4488" t="str">
        <f t="shared" si="174"/>
        <v>WEEKDAY</v>
      </c>
      <c r="F4488" t="e">
        <f t="shared" si="175"/>
        <v>#N/A</v>
      </c>
      <c r="G4488" s="74">
        <v>31964</v>
      </c>
      <c r="H4488" s="77">
        <v>0.25</v>
      </c>
      <c r="J4488">
        <v>66.92</v>
      </c>
      <c r="M4488" s="74">
        <v>33425</v>
      </c>
      <c r="N4488" s="77">
        <v>0.25</v>
      </c>
      <c r="P4488">
        <v>64.94</v>
      </c>
      <c r="S4488" s="74">
        <v>34521</v>
      </c>
      <c r="T4488" s="77">
        <v>0.25</v>
      </c>
      <c r="V4488">
        <v>73.94</v>
      </c>
      <c r="X4488" s="42"/>
      <c r="AB4488">
        <v>69.7</v>
      </c>
      <c r="AC4488">
        <v>73.039999999999992</v>
      </c>
      <c r="AE4488" s="74"/>
      <c r="AF4488" s="77"/>
      <c r="AH4488" s="497">
        <v>62.6</v>
      </c>
      <c r="AJ4488" s="42"/>
      <c r="AK4488" s="74"/>
      <c r="AL4488" s="77"/>
      <c r="AN4488" s="497">
        <v>60.980000000000004</v>
      </c>
      <c r="AP4488" s="42"/>
      <c r="AQ4488" s="74"/>
      <c r="AR4488" s="77"/>
      <c r="AT4488" s="497">
        <v>62.96</v>
      </c>
      <c r="AV4488" s="42"/>
      <c r="AW4488" s="74"/>
      <c r="AX4488" s="77"/>
      <c r="BA4488" s="497">
        <v>62.06</v>
      </c>
      <c r="BB4488" s="42"/>
      <c r="BC4488" s="74"/>
      <c r="BD4488" s="77"/>
      <c r="BF4488">
        <v>55.040000000000006</v>
      </c>
      <c r="BH4488" s="42"/>
      <c r="BI4488" s="74"/>
      <c r="BJ4488" s="77"/>
      <c r="BL4488" s="497">
        <v>51.980000000000004</v>
      </c>
      <c r="BN4488" s="42"/>
      <c r="BO4488" s="74"/>
      <c r="BP4488" s="77"/>
      <c r="BR4488" s="497">
        <v>51.980000000000004</v>
      </c>
      <c r="BT4488" s="42"/>
    </row>
    <row r="4489" spans="1:72" x14ac:dyDescent="0.25">
      <c r="A4489" s="90">
        <v>34521</v>
      </c>
      <c r="B4489" s="20">
        <v>0.29166666666666669</v>
      </c>
      <c r="D4489">
        <v>80.06</v>
      </c>
      <c r="E4489" t="str">
        <f t="shared" si="174"/>
        <v>WEEKDAY</v>
      </c>
      <c r="F4489" t="e">
        <f t="shared" si="175"/>
        <v>#N/A</v>
      </c>
      <c r="G4489" s="74">
        <v>31964</v>
      </c>
      <c r="H4489" s="77">
        <v>0.29166666666666669</v>
      </c>
      <c r="J4489">
        <v>68</v>
      </c>
      <c r="M4489" s="74">
        <v>33425</v>
      </c>
      <c r="N4489" s="77">
        <v>0.29166666666666669</v>
      </c>
      <c r="P4489">
        <v>64.94</v>
      </c>
      <c r="S4489" s="74">
        <v>34521</v>
      </c>
      <c r="T4489" s="77">
        <v>0.29166666666666669</v>
      </c>
      <c r="V4489">
        <v>75.02</v>
      </c>
      <c r="X4489" s="42"/>
      <c r="AB4489">
        <v>71.3</v>
      </c>
      <c r="AC4489">
        <v>73.039999999999992</v>
      </c>
      <c r="AE4489" s="74"/>
      <c r="AF4489" s="77"/>
      <c r="AH4489" s="497">
        <v>68</v>
      </c>
      <c r="AJ4489" s="42"/>
      <c r="AK4489" s="74"/>
      <c r="AL4489" s="77"/>
      <c r="AN4489" s="497">
        <v>64.94</v>
      </c>
      <c r="AP4489" s="42"/>
      <c r="AQ4489" s="74"/>
      <c r="AR4489" s="77"/>
      <c r="AT4489" s="497">
        <v>66.02</v>
      </c>
      <c r="AV4489" s="42"/>
      <c r="AW4489" s="74"/>
      <c r="AX4489" s="77"/>
      <c r="BA4489" s="497">
        <v>62.96</v>
      </c>
      <c r="BB4489" s="42"/>
      <c r="BC4489" s="74"/>
      <c r="BD4489" s="77"/>
      <c r="BF4489">
        <v>57.92</v>
      </c>
      <c r="BH4489" s="42"/>
      <c r="BI4489" s="74"/>
      <c r="BJ4489" s="77"/>
      <c r="BL4489" s="497">
        <v>57.92</v>
      </c>
      <c r="BN4489" s="42"/>
      <c r="BO4489" s="74"/>
      <c r="BP4489" s="77"/>
      <c r="BR4489" s="497">
        <v>57.019999999999996</v>
      </c>
      <c r="BT4489" s="42"/>
    </row>
    <row r="4490" spans="1:72" x14ac:dyDescent="0.25">
      <c r="A4490" s="90">
        <v>34521</v>
      </c>
      <c r="B4490" s="20">
        <v>0.33333333333333331</v>
      </c>
      <c r="D4490">
        <v>82.94</v>
      </c>
      <c r="E4490" t="str">
        <f t="shared" si="174"/>
        <v>WEEKDAY</v>
      </c>
      <c r="F4490" t="e">
        <f t="shared" si="175"/>
        <v>#N/A</v>
      </c>
      <c r="G4490" s="74">
        <v>31964</v>
      </c>
      <c r="H4490" s="77">
        <v>0.33333333333333331</v>
      </c>
      <c r="J4490">
        <v>69.98</v>
      </c>
      <c r="M4490" s="74">
        <v>33425</v>
      </c>
      <c r="N4490" s="77">
        <v>0.33333333333333331</v>
      </c>
      <c r="P4490">
        <v>66.02</v>
      </c>
      <c r="S4490" s="74">
        <v>34521</v>
      </c>
      <c r="T4490" s="77">
        <v>0.33333333333333331</v>
      </c>
      <c r="V4490">
        <v>77</v>
      </c>
      <c r="X4490" s="42"/>
      <c r="AB4490">
        <v>73.3</v>
      </c>
      <c r="AC4490">
        <v>78.080000000000013</v>
      </c>
      <c r="AE4490" s="74"/>
      <c r="AF4490" s="77"/>
      <c r="AH4490" s="497">
        <v>71.599999999999994</v>
      </c>
      <c r="AJ4490" s="42"/>
      <c r="AK4490" s="74"/>
      <c r="AL4490" s="77"/>
      <c r="AN4490" s="497">
        <v>69.98</v>
      </c>
      <c r="AP4490" s="42"/>
      <c r="AQ4490" s="74"/>
      <c r="AR4490" s="77"/>
      <c r="AT4490" s="497">
        <v>67.099999999999994</v>
      </c>
      <c r="AV4490" s="42"/>
      <c r="AW4490" s="74"/>
      <c r="AX4490" s="77"/>
      <c r="BA4490" s="497">
        <v>66.02</v>
      </c>
      <c r="BB4490" s="42"/>
      <c r="BC4490" s="74"/>
      <c r="BD4490" s="77"/>
      <c r="BF4490">
        <v>60.08</v>
      </c>
      <c r="BH4490" s="42"/>
      <c r="BI4490" s="74"/>
      <c r="BJ4490" s="77"/>
      <c r="BL4490" s="497">
        <v>62.96</v>
      </c>
      <c r="BN4490" s="42"/>
      <c r="BO4490" s="74"/>
      <c r="BP4490" s="77"/>
      <c r="BR4490" s="497">
        <v>60.08</v>
      </c>
      <c r="BT4490" s="42"/>
    </row>
    <row r="4491" spans="1:72" x14ac:dyDescent="0.25">
      <c r="A4491" s="90">
        <v>34521</v>
      </c>
      <c r="B4491" s="20">
        <v>0.375</v>
      </c>
      <c r="D4491">
        <v>82.94</v>
      </c>
      <c r="E4491" t="str">
        <f t="shared" si="174"/>
        <v>WEEKDAY</v>
      </c>
      <c r="F4491" t="e">
        <f t="shared" si="175"/>
        <v>#N/A</v>
      </c>
      <c r="G4491" s="74">
        <v>31964</v>
      </c>
      <c r="H4491" s="77">
        <v>0.375</v>
      </c>
      <c r="J4491">
        <v>71.06</v>
      </c>
      <c r="M4491" s="74">
        <v>33425</v>
      </c>
      <c r="N4491" s="77">
        <v>0.375</v>
      </c>
      <c r="P4491">
        <v>68</v>
      </c>
      <c r="S4491" s="74">
        <v>34521</v>
      </c>
      <c r="T4491" s="77">
        <v>0.375</v>
      </c>
      <c r="V4491">
        <v>80.06</v>
      </c>
      <c r="X4491" s="42"/>
      <c r="AB4491">
        <v>75.3</v>
      </c>
      <c r="AC4491">
        <v>80.960000000000008</v>
      </c>
      <c r="AE4491" s="74"/>
      <c r="AF4491" s="77"/>
      <c r="AH4491" s="497">
        <v>75.2</v>
      </c>
      <c r="AJ4491" s="42"/>
      <c r="AK4491" s="74"/>
      <c r="AL4491" s="77"/>
      <c r="AN4491" s="497">
        <v>75.92</v>
      </c>
      <c r="AP4491" s="42"/>
      <c r="AQ4491" s="74"/>
      <c r="AR4491" s="77"/>
      <c r="AT4491" s="497">
        <v>68</v>
      </c>
      <c r="AV4491" s="42"/>
      <c r="AW4491" s="74"/>
      <c r="AX4491" s="77"/>
      <c r="BA4491" s="497">
        <v>66.02</v>
      </c>
      <c r="BB4491" s="42"/>
      <c r="BC4491" s="74"/>
      <c r="BD4491" s="77"/>
      <c r="BF4491">
        <v>64.039999999999992</v>
      </c>
      <c r="BH4491" s="42"/>
      <c r="BI4491" s="74"/>
      <c r="BJ4491" s="77"/>
      <c r="BL4491" s="497">
        <v>66.92</v>
      </c>
      <c r="BN4491" s="42"/>
      <c r="BO4491" s="74"/>
      <c r="BP4491" s="77"/>
      <c r="BR4491" s="497">
        <v>62.96</v>
      </c>
      <c r="BT4491" s="42"/>
    </row>
    <row r="4492" spans="1:72" x14ac:dyDescent="0.25">
      <c r="A4492" s="90">
        <v>34521</v>
      </c>
      <c r="B4492" s="20">
        <v>0.41666666666666669</v>
      </c>
      <c r="D4492">
        <v>86</v>
      </c>
      <c r="E4492" t="str">
        <f t="shared" si="174"/>
        <v>WEEKDAY</v>
      </c>
      <c r="F4492" t="e">
        <f t="shared" si="175"/>
        <v>#N/A</v>
      </c>
      <c r="G4492" s="74">
        <v>31964</v>
      </c>
      <c r="H4492" s="77">
        <v>0.41666666666666669</v>
      </c>
      <c r="J4492">
        <v>73.039999999999992</v>
      </c>
      <c r="M4492" s="74">
        <v>33425</v>
      </c>
      <c r="N4492" s="77">
        <v>0.41666666666666669</v>
      </c>
      <c r="P4492">
        <v>69.98</v>
      </c>
      <c r="S4492" s="74">
        <v>34521</v>
      </c>
      <c r="T4492" s="77">
        <v>0.41666666666666669</v>
      </c>
      <c r="V4492">
        <v>84.02</v>
      </c>
      <c r="X4492" s="42"/>
      <c r="AB4492">
        <v>77.2</v>
      </c>
      <c r="AC4492">
        <v>84.02</v>
      </c>
      <c r="AE4492" s="74"/>
      <c r="AF4492" s="77"/>
      <c r="AH4492" s="497">
        <v>78.800000000000011</v>
      </c>
      <c r="AJ4492" s="42"/>
      <c r="AK4492" s="74"/>
      <c r="AL4492" s="77"/>
      <c r="AN4492" s="497">
        <v>78.98</v>
      </c>
      <c r="AP4492" s="42"/>
      <c r="AQ4492" s="74"/>
      <c r="AR4492" s="77"/>
      <c r="AT4492" s="497">
        <v>69.080000000000013</v>
      </c>
      <c r="AV4492" s="42"/>
      <c r="AW4492" s="74"/>
      <c r="AX4492" s="77"/>
      <c r="BA4492" s="497">
        <v>68</v>
      </c>
      <c r="BB4492" s="42"/>
      <c r="BC4492" s="74"/>
      <c r="BD4492" s="77"/>
      <c r="BF4492">
        <v>64.94</v>
      </c>
      <c r="BH4492" s="42"/>
      <c r="BI4492" s="74"/>
      <c r="BJ4492" s="77"/>
      <c r="BL4492" s="497">
        <v>69.98</v>
      </c>
      <c r="BN4492" s="42"/>
      <c r="BO4492" s="74"/>
      <c r="BP4492" s="77"/>
      <c r="BR4492" s="497">
        <v>66.02</v>
      </c>
      <c r="BT4492" s="42"/>
    </row>
    <row r="4493" spans="1:72" x14ac:dyDescent="0.25">
      <c r="A4493" s="90">
        <v>34521</v>
      </c>
      <c r="B4493" s="20">
        <v>0.45833333333333331</v>
      </c>
      <c r="D4493">
        <v>87.98</v>
      </c>
      <c r="E4493" t="str">
        <f t="shared" si="174"/>
        <v>WEEKDAY</v>
      </c>
      <c r="F4493" t="e">
        <f t="shared" si="175"/>
        <v>#N/A</v>
      </c>
      <c r="G4493" s="74">
        <v>31964</v>
      </c>
      <c r="H4493" s="77">
        <v>0.45833333333333331</v>
      </c>
      <c r="J4493">
        <v>73.94</v>
      </c>
      <c r="M4493" s="74">
        <v>33425</v>
      </c>
      <c r="N4493" s="77">
        <v>0.45833333333333331</v>
      </c>
      <c r="P4493">
        <v>71.06</v>
      </c>
      <c r="S4493" s="74">
        <v>34521</v>
      </c>
      <c r="T4493" s="77">
        <v>0.45833333333333331</v>
      </c>
      <c r="V4493">
        <v>86</v>
      </c>
      <c r="X4493" s="42"/>
      <c r="AB4493">
        <v>78.7</v>
      </c>
      <c r="AC4493">
        <v>84.92</v>
      </c>
      <c r="AE4493" s="74"/>
      <c r="AF4493" s="77"/>
      <c r="AH4493" s="497">
        <v>80.599999999999994</v>
      </c>
      <c r="AJ4493" s="42"/>
      <c r="AK4493" s="74"/>
      <c r="AL4493" s="77"/>
      <c r="AN4493" s="497">
        <v>80.960000000000008</v>
      </c>
      <c r="AP4493" s="42"/>
      <c r="AQ4493" s="74"/>
      <c r="AR4493" s="77"/>
      <c r="AT4493" s="497">
        <v>69.080000000000013</v>
      </c>
      <c r="AV4493" s="42"/>
      <c r="AW4493" s="74"/>
      <c r="AX4493" s="77"/>
      <c r="BA4493" s="497">
        <v>69.080000000000013</v>
      </c>
      <c r="BB4493" s="42"/>
      <c r="BC4493" s="74"/>
      <c r="BD4493" s="77"/>
      <c r="BF4493">
        <v>66.92</v>
      </c>
      <c r="BH4493" s="42"/>
      <c r="BI4493" s="74"/>
      <c r="BJ4493" s="77"/>
      <c r="BL4493" s="497">
        <v>69.080000000000013</v>
      </c>
      <c r="BN4493" s="42"/>
      <c r="BO4493" s="74"/>
      <c r="BP4493" s="77"/>
      <c r="BR4493" s="497">
        <v>66.02</v>
      </c>
      <c r="BT4493" s="42"/>
    </row>
    <row r="4494" spans="1:72" x14ac:dyDescent="0.25">
      <c r="A4494" s="90">
        <v>34521</v>
      </c>
      <c r="B4494" s="20">
        <v>0.5</v>
      </c>
      <c r="D4494">
        <v>89.960000000000008</v>
      </c>
      <c r="E4494" t="str">
        <f t="shared" si="174"/>
        <v>WEEKDAY</v>
      </c>
      <c r="F4494" t="e">
        <f t="shared" si="175"/>
        <v>#N/A</v>
      </c>
      <c r="G4494" s="74">
        <v>31964</v>
      </c>
      <c r="H4494" s="77">
        <v>0.5</v>
      </c>
      <c r="J4494">
        <v>78.98</v>
      </c>
      <c r="M4494" s="74">
        <v>33425</v>
      </c>
      <c r="N4494" s="77">
        <v>0.5</v>
      </c>
      <c r="P4494">
        <v>73.94</v>
      </c>
      <c r="S4494" s="74">
        <v>34521</v>
      </c>
      <c r="T4494" s="77">
        <v>0.5</v>
      </c>
      <c r="V4494">
        <v>84.92</v>
      </c>
      <c r="X4494" s="42"/>
      <c r="AB4494">
        <v>79.8</v>
      </c>
      <c r="AC4494">
        <v>86</v>
      </c>
      <c r="AE4494" s="74"/>
      <c r="AF4494" s="77"/>
      <c r="AH4494" s="497">
        <v>82.4</v>
      </c>
      <c r="AJ4494" s="42"/>
      <c r="AK4494" s="74"/>
      <c r="AL4494" s="77"/>
      <c r="AN4494" s="497">
        <v>82.94</v>
      </c>
      <c r="AP4494" s="42"/>
      <c r="AQ4494" s="74"/>
      <c r="AR4494" s="77"/>
      <c r="AT4494" s="497">
        <v>69.080000000000013</v>
      </c>
      <c r="AV4494" s="42"/>
      <c r="AW4494" s="74"/>
      <c r="AX4494" s="77"/>
      <c r="BA4494" s="497">
        <v>69.080000000000013</v>
      </c>
      <c r="BB4494" s="42"/>
      <c r="BC4494" s="74"/>
      <c r="BD4494" s="77"/>
      <c r="BF4494">
        <v>68</v>
      </c>
      <c r="BH4494" s="42"/>
      <c r="BI4494" s="74"/>
      <c r="BJ4494" s="77"/>
      <c r="BL4494" s="497">
        <v>71.960000000000008</v>
      </c>
      <c r="BN4494" s="42"/>
      <c r="BO4494" s="74"/>
      <c r="BP4494" s="77"/>
      <c r="BR4494" s="497">
        <v>68</v>
      </c>
      <c r="BT4494" s="42"/>
    </row>
    <row r="4495" spans="1:72" x14ac:dyDescent="0.25">
      <c r="A4495" s="90">
        <v>34521</v>
      </c>
      <c r="B4495" s="20">
        <v>0.54166666666666663</v>
      </c>
      <c r="D4495">
        <v>93.02</v>
      </c>
      <c r="E4495" t="str">
        <f t="shared" si="174"/>
        <v>WEEKDAY</v>
      </c>
      <c r="F4495" t="e">
        <f t="shared" si="175"/>
        <v>#N/A</v>
      </c>
      <c r="G4495" s="74">
        <v>31964</v>
      </c>
      <c r="H4495" s="77">
        <v>0.54166666666666663</v>
      </c>
      <c r="J4495">
        <v>77</v>
      </c>
      <c r="M4495" s="74">
        <v>33425</v>
      </c>
      <c r="N4495" s="77">
        <v>0.54166666666666663</v>
      </c>
      <c r="P4495">
        <v>75.92</v>
      </c>
      <c r="S4495" s="74">
        <v>34521</v>
      </c>
      <c r="T4495" s="77">
        <v>0.54166666666666663</v>
      </c>
      <c r="V4495">
        <v>87.080000000000013</v>
      </c>
      <c r="X4495" s="42"/>
      <c r="AB4495">
        <v>80.599999999999994</v>
      </c>
      <c r="AC4495">
        <v>87.080000000000013</v>
      </c>
      <c r="AE4495" s="74"/>
      <c r="AF4495" s="77"/>
      <c r="AH4495" s="497">
        <v>82.4</v>
      </c>
      <c r="AJ4495" s="42"/>
      <c r="AK4495" s="74"/>
      <c r="AL4495" s="77"/>
      <c r="AN4495" s="497">
        <v>84.92</v>
      </c>
      <c r="AP4495" s="42"/>
      <c r="AQ4495" s="74"/>
      <c r="AR4495" s="77"/>
      <c r="AT4495" s="497">
        <v>69.080000000000013</v>
      </c>
      <c r="AV4495" s="42"/>
      <c r="AW4495" s="74"/>
      <c r="AX4495" s="77"/>
      <c r="BA4495" s="497">
        <v>71.960000000000008</v>
      </c>
      <c r="BB4495" s="42"/>
      <c r="BC4495" s="74"/>
      <c r="BD4495" s="77"/>
      <c r="BF4495">
        <v>69.080000000000013</v>
      </c>
      <c r="BH4495" s="42"/>
      <c r="BI4495" s="74"/>
      <c r="BJ4495" s="77"/>
      <c r="BL4495" s="497">
        <v>73.94</v>
      </c>
      <c r="BN4495" s="42"/>
      <c r="BO4495" s="74"/>
      <c r="BP4495" s="77"/>
      <c r="BR4495" s="497">
        <v>69.98</v>
      </c>
      <c r="BT4495" s="42"/>
    </row>
    <row r="4496" spans="1:72" x14ac:dyDescent="0.25">
      <c r="A4496" s="90">
        <v>34521</v>
      </c>
      <c r="B4496" s="20">
        <v>0.58333333333333337</v>
      </c>
      <c r="D4496">
        <v>96.98</v>
      </c>
      <c r="E4496" t="str">
        <f t="shared" si="174"/>
        <v>WEEKDAY</v>
      </c>
      <c r="F4496" t="e">
        <f t="shared" si="175"/>
        <v>#N/A</v>
      </c>
      <c r="G4496" s="74">
        <v>31964</v>
      </c>
      <c r="H4496" s="77">
        <v>0.58333333333333337</v>
      </c>
      <c r="J4496">
        <v>77</v>
      </c>
      <c r="M4496" s="74">
        <v>33425</v>
      </c>
      <c r="N4496" s="77">
        <v>0.58333333333333337</v>
      </c>
      <c r="P4496">
        <v>77</v>
      </c>
      <c r="S4496" s="74">
        <v>34521</v>
      </c>
      <c r="T4496" s="77">
        <v>0.58333333333333337</v>
      </c>
      <c r="V4496">
        <v>84.92</v>
      </c>
      <c r="X4496" s="42"/>
      <c r="AB4496">
        <v>81</v>
      </c>
      <c r="AC4496">
        <v>87.080000000000013</v>
      </c>
      <c r="AE4496" s="74"/>
      <c r="AF4496" s="77"/>
      <c r="AH4496" s="497">
        <v>84.2</v>
      </c>
      <c r="AJ4496" s="42"/>
      <c r="AK4496" s="74"/>
      <c r="AL4496" s="77"/>
      <c r="AN4496" s="497">
        <v>84.92</v>
      </c>
      <c r="AP4496" s="42"/>
      <c r="AQ4496" s="74"/>
      <c r="AR4496" s="77"/>
      <c r="AT4496" s="497">
        <v>68.36</v>
      </c>
      <c r="AV4496" s="42"/>
      <c r="AW4496" s="74"/>
      <c r="AX4496" s="77"/>
      <c r="BA4496" s="497">
        <v>71.06</v>
      </c>
      <c r="BB4496" s="42"/>
      <c r="BC4496" s="74"/>
      <c r="BD4496" s="77"/>
      <c r="BF4496">
        <v>71.960000000000008</v>
      </c>
      <c r="BH4496" s="42"/>
      <c r="BI4496" s="74"/>
      <c r="BJ4496" s="77"/>
      <c r="BL4496" s="497">
        <v>73.94</v>
      </c>
      <c r="BN4496" s="42"/>
      <c r="BO4496" s="74"/>
      <c r="BP4496" s="77"/>
      <c r="BR4496" s="497">
        <v>71.06</v>
      </c>
      <c r="BT4496" s="42"/>
    </row>
    <row r="4497" spans="1:72" x14ac:dyDescent="0.25">
      <c r="A4497" s="90">
        <v>34521</v>
      </c>
      <c r="B4497" s="20">
        <v>0.625</v>
      </c>
      <c r="D4497">
        <v>96.08</v>
      </c>
      <c r="E4497" t="str">
        <f t="shared" si="174"/>
        <v>WEEKDAY</v>
      </c>
      <c r="F4497" t="e">
        <f t="shared" si="175"/>
        <v>#N/A</v>
      </c>
      <c r="G4497" s="74">
        <v>31964</v>
      </c>
      <c r="H4497" s="77">
        <v>0.625</v>
      </c>
      <c r="J4497">
        <v>77</v>
      </c>
      <c r="M4497" s="74">
        <v>33425</v>
      </c>
      <c r="N4497" s="77">
        <v>0.625</v>
      </c>
      <c r="P4497">
        <v>78.98</v>
      </c>
      <c r="S4497" s="74">
        <v>34521</v>
      </c>
      <c r="T4497" s="77">
        <v>0.625</v>
      </c>
      <c r="V4497">
        <v>84.92</v>
      </c>
      <c r="X4497" s="42"/>
      <c r="AB4497">
        <v>81</v>
      </c>
      <c r="AC4497">
        <v>87.080000000000013</v>
      </c>
      <c r="AE4497" s="74"/>
      <c r="AF4497" s="77"/>
      <c r="AH4497" s="497">
        <v>84.2</v>
      </c>
      <c r="AJ4497" s="42"/>
      <c r="AK4497" s="74"/>
      <c r="AL4497" s="77"/>
      <c r="AN4497" s="497">
        <v>86</v>
      </c>
      <c r="AP4497" s="42"/>
      <c r="AQ4497" s="74"/>
      <c r="AR4497" s="77"/>
      <c r="AT4497" s="497">
        <v>67.64</v>
      </c>
      <c r="AV4497" s="42"/>
      <c r="AW4497" s="74"/>
      <c r="AX4497" s="77"/>
      <c r="BA4497" s="497">
        <v>71.06</v>
      </c>
      <c r="BB4497" s="42"/>
      <c r="BC4497" s="74"/>
      <c r="BD4497" s="77"/>
      <c r="BF4497">
        <v>71.06</v>
      </c>
      <c r="BH4497" s="42"/>
      <c r="BI4497" s="74"/>
      <c r="BJ4497" s="77"/>
      <c r="BL4497" s="497">
        <v>75.02</v>
      </c>
      <c r="BN4497" s="42"/>
      <c r="BO4497" s="74"/>
      <c r="BP4497" s="77"/>
      <c r="BR4497" s="497">
        <v>69.080000000000013</v>
      </c>
      <c r="BT4497" s="42"/>
    </row>
    <row r="4498" spans="1:72" x14ac:dyDescent="0.25">
      <c r="A4498" s="90">
        <v>34521</v>
      </c>
      <c r="B4498" s="20">
        <v>0.66666666666666663</v>
      </c>
      <c r="D4498">
        <v>89.960000000000008</v>
      </c>
      <c r="E4498" t="str">
        <f t="shared" si="174"/>
        <v>WEEKDAY</v>
      </c>
      <c r="F4498" t="e">
        <f t="shared" si="175"/>
        <v>#N/A</v>
      </c>
      <c r="G4498" s="74">
        <v>31964</v>
      </c>
      <c r="H4498" s="77">
        <v>0.66666666666666663</v>
      </c>
      <c r="J4498">
        <v>78.080000000000013</v>
      </c>
      <c r="M4498" s="74">
        <v>33425</v>
      </c>
      <c r="N4498" s="77">
        <v>0.66666666666666663</v>
      </c>
      <c r="P4498">
        <v>78.98</v>
      </c>
      <c r="S4498" s="74">
        <v>34521</v>
      </c>
      <c r="T4498" s="77">
        <v>0.66666666666666663</v>
      </c>
      <c r="V4498">
        <v>82.94</v>
      </c>
      <c r="X4498" s="42"/>
      <c r="AB4498">
        <v>80.5</v>
      </c>
      <c r="AC4498">
        <v>84.02</v>
      </c>
      <c r="AE4498" s="74"/>
      <c r="AF4498" s="77"/>
      <c r="AH4498" s="497">
        <v>84.2</v>
      </c>
      <c r="AJ4498" s="42"/>
      <c r="AK4498" s="74"/>
      <c r="AL4498" s="77"/>
      <c r="AN4498" s="497">
        <v>86</v>
      </c>
      <c r="AP4498" s="42"/>
      <c r="AQ4498" s="74"/>
      <c r="AR4498" s="77"/>
      <c r="AT4498" s="497">
        <v>66.92</v>
      </c>
      <c r="AV4498" s="42"/>
      <c r="AW4498" s="74"/>
      <c r="AX4498" s="77"/>
      <c r="BA4498" s="497">
        <v>71.06</v>
      </c>
      <c r="BB4498" s="42"/>
      <c r="BC4498" s="74"/>
      <c r="BD4498" s="77"/>
      <c r="BF4498">
        <v>71.960000000000008</v>
      </c>
      <c r="BH4498" s="42"/>
      <c r="BI4498" s="74"/>
      <c r="BJ4498" s="77"/>
      <c r="BL4498" s="497">
        <v>73.94</v>
      </c>
      <c r="BN4498" s="42"/>
      <c r="BO4498" s="74"/>
      <c r="BP4498" s="77"/>
      <c r="BR4498" s="497">
        <v>69.98</v>
      </c>
      <c r="BT4498" s="42"/>
    </row>
    <row r="4499" spans="1:72" x14ac:dyDescent="0.25">
      <c r="A4499" s="90">
        <v>34521</v>
      </c>
      <c r="B4499" s="20">
        <v>0.70833333333333337</v>
      </c>
      <c r="D4499">
        <v>91.039999999999992</v>
      </c>
      <c r="E4499" t="str">
        <f t="shared" ref="E4499:E4562" si="176">IF(COUNTIF($DI$18:$DI$22, WEEKDAY(A4499))=1, "WEEKDAY", IF(WEEKDAY(A4499) = 1, "SUNDAY", "SATURDAY"))</f>
        <v>WEEKDAY</v>
      </c>
      <c r="F4499" t="e">
        <f t="shared" si="175"/>
        <v>#N/A</v>
      </c>
      <c r="G4499" s="74">
        <v>31964</v>
      </c>
      <c r="H4499" s="77">
        <v>0.70833333333333337</v>
      </c>
      <c r="J4499">
        <v>75.02</v>
      </c>
      <c r="M4499" s="74">
        <v>33425</v>
      </c>
      <c r="N4499" s="77">
        <v>0.70833333333333337</v>
      </c>
      <c r="P4499">
        <v>78.98</v>
      </c>
      <c r="S4499" s="74">
        <v>34521</v>
      </c>
      <c r="T4499" s="77">
        <v>0.70833333333333337</v>
      </c>
      <c r="V4499">
        <v>82.94</v>
      </c>
      <c r="X4499" s="42"/>
      <c r="AB4499">
        <v>79.5</v>
      </c>
      <c r="AC4499">
        <v>84.02</v>
      </c>
      <c r="AE4499" s="74"/>
      <c r="AF4499" s="77"/>
      <c r="AH4499" s="497">
        <v>84.2</v>
      </c>
      <c r="AJ4499" s="42"/>
      <c r="AK4499" s="74"/>
      <c r="AL4499" s="77"/>
      <c r="AN4499" s="497">
        <v>86</v>
      </c>
      <c r="AP4499" s="42"/>
      <c r="AQ4499" s="74"/>
      <c r="AR4499" s="77"/>
      <c r="AT4499" s="497">
        <v>66.02</v>
      </c>
      <c r="AV4499" s="42"/>
      <c r="AW4499" s="74"/>
      <c r="AX4499" s="77"/>
      <c r="BA4499" s="497">
        <v>71.06</v>
      </c>
      <c r="BB4499" s="42"/>
      <c r="BC4499" s="74"/>
      <c r="BD4499" s="77"/>
      <c r="BF4499">
        <v>71.960000000000008</v>
      </c>
      <c r="BH4499" s="42"/>
      <c r="BI4499" s="74"/>
      <c r="BJ4499" s="77"/>
      <c r="BL4499" s="497">
        <v>73.94</v>
      </c>
      <c r="BN4499" s="42"/>
      <c r="BO4499" s="74"/>
      <c r="BP4499" s="77"/>
      <c r="BR4499" s="497">
        <v>69.98</v>
      </c>
      <c r="BT4499" s="42"/>
    </row>
    <row r="4500" spans="1:72" x14ac:dyDescent="0.25">
      <c r="A4500" s="90">
        <v>34521</v>
      </c>
      <c r="B4500" s="20">
        <v>0.75</v>
      </c>
      <c r="D4500">
        <v>91.039999999999992</v>
      </c>
      <c r="E4500" t="str">
        <f t="shared" si="176"/>
        <v>WEEKDAY</v>
      </c>
      <c r="F4500" t="e">
        <f t="shared" si="175"/>
        <v>#N/A</v>
      </c>
      <c r="G4500" s="74">
        <v>31964</v>
      </c>
      <c r="H4500" s="77">
        <v>0.75</v>
      </c>
      <c r="J4500">
        <v>73.94</v>
      </c>
      <c r="M4500" s="74">
        <v>33425</v>
      </c>
      <c r="N4500" s="77">
        <v>0.75</v>
      </c>
      <c r="P4500">
        <v>75.92</v>
      </c>
      <c r="S4500" s="74">
        <v>34521</v>
      </c>
      <c r="T4500" s="77">
        <v>0.75</v>
      </c>
      <c r="V4500">
        <v>82.94</v>
      </c>
      <c r="X4500" s="42"/>
      <c r="AB4500">
        <v>78.400000000000006</v>
      </c>
      <c r="AC4500">
        <v>84.02</v>
      </c>
      <c r="AE4500" s="74"/>
      <c r="AF4500" s="77"/>
      <c r="AH4500" s="497">
        <v>84.2</v>
      </c>
      <c r="AJ4500" s="42"/>
      <c r="AK4500" s="74"/>
      <c r="AL4500" s="77"/>
      <c r="AN4500" s="497">
        <v>84.92</v>
      </c>
      <c r="AP4500" s="42"/>
      <c r="AQ4500" s="74"/>
      <c r="AR4500" s="77"/>
      <c r="AT4500" s="497">
        <v>64.94</v>
      </c>
      <c r="AV4500" s="42"/>
      <c r="AW4500" s="74"/>
      <c r="AX4500" s="77"/>
      <c r="BA4500" s="497">
        <v>69.98</v>
      </c>
      <c r="BB4500" s="42"/>
      <c r="BC4500" s="74"/>
      <c r="BD4500" s="77"/>
      <c r="BF4500">
        <v>73.94</v>
      </c>
      <c r="BH4500" s="42"/>
      <c r="BI4500" s="74"/>
      <c r="BJ4500" s="77"/>
      <c r="BL4500" s="497">
        <v>73.039999999999992</v>
      </c>
      <c r="BN4500" s="42"/>
      <c r="BO4500" s="74"/>
      <c r="BP4500" s="77"/>
      <c r="BR4500" s="497">
        <v>66.92</v>
      </c>
      <c r="BT4500" s="42"/>
    </row>
    <row r="4501" spans="1:72" x14ac:dyDescent="0.25">
      <c r="A4501" s="90">
        <v>34521</v>
      </c>
      <c r="B4501" s="20">
        <v>0.79166666666666663</v>
      </c>
      <c r="D4501">
        <v>91.039999999999992</v>
      </c>
      <c r="E4501" t="str">
        <f t="shared" si="176"/>
        <v>WEEKDAY</v>
      </c>
      <c r="F4501" t="e">
        <f t="shared" si="175"/>
        <v>#N/A</v>
      </c>
      <c r="G4501" s="74">
        <v>31964</v>
      </c>
      <c r="H4501" s="77">
        <v>0.79166666666666663</v>
      </c>
      <c r="J4501">
        <v>71.06</v>
      </c>
      <c r="M4501" s="74">
        <v>33425</v>
      </c>
      <c r="N4501" s="77">
        <v>0.79166666666666663</v>
      </c>
      <c r="P4501">
        <v>73.039999999999992</v>
      </c>
      <c r="S4501" s="74">
        <v>34521</v>
      </c>
      <c r="T4501" s="77">
        <v>0.79166666666666663</v>
      </c>
      <c r="V4501">
        <v>78.080000000000013</v>
      </c>
      <c r="X4501" s="42"/>
      <c r="AB4501">
        <v>77.099999999999994</v>
      </c>
      <c r="AC4501">
        <v>80.06</v>
      </c>
      <c r="AE4501" s="74"/>
      <c r="AF4501" s="77"/>
      <c r="AH4501" s="497">
        <v>78.800000000000011</v>
      </c>
      <c r="AJ4501" s="42"/>
      <c r="AK4501" s="74"/>
      <c r="AL4501" s="77"/>
      <c r="AN4501" s="497">
        <v>82.039999999999992</v>
      </c>
      <c r="AP4501" s="42"/>
      <c r="AQ4501" s="74"/>
      <c r="AR4501" s="77"/>
      <c r="AT4501" s="497">
        <v>64.039999999999992</v>
      </c>
      <c r="AV4501" s="42"/>
      <c r="AW4501" s="74"/>
      <c r="AX4501" s="77"/>
      <c r="BA4501" s="497">
        <v>66.92</v>
      </c>
      <c r="BB4501" s="42"/>
      <c r="BC4501" s="74"/>
      <c r="BD4501" s="77"/>
      <c r="BF4501">
        <v>69.98</v>
      </c>
      <c r="BH4501" s="42"/>
      <c r="BI4501" s="74"/>
      <c r="BJ4501" s="77"/>
      <c r="BL4501" s="497">
        <v>71.06</v>
      </c>
      <c r="BN4501" s="42"/>
      <c r="BO4501" s="74"/>
      <c r="BP4501" s="77"/>
      <c r="BR4501" s="497">
        <v>68</v>
      </c>
      <c r="BT4501" s="42"/>
    </row>
    <row r="4502" spans="1:72" x14ac:dyDescent="0.25">
      <c r="A4502" s="90">
        <v>34521</v>
      </c>
      <c r="B4502" s="20">
        <v>0.83333333333333337</v>
      </c>
      <c r="D4502">
        <v>89.06</v>
      </c>
      <c r="E4502" t="str">
        <f t="shared" si="176"/>
        <v>WEEKDAY</v>
      </c>
      <c r="F4502" t="e">
        <f t="shared" si="175"/>
        <v>#N/A</v>
      </c>
      <c r="G4502" s="74">
        <v>31964</v>
      </c>
      <c r="H4502" s="77">
        <v>0.83333333333333337</v>
      </c>
      <c r="J4502">
        <v>68</v>
      </c>
      <c r="M4502" s="74">
        <v>33425</v>
      </c>
      <c r="N4502" s="77">
        <v>0.83333333333333337</v>
      </c>
      <c r="P4502">
        <v>71.06</v>
      </c>
      <c r="S4502" s="74">
        <v>34521</v>
      </c>
      <c r="T4502" s="77">
        <v>0.83333333333333337</v>
      </c>
      <c r="V4502">
        <v>77</v>
      </c>
      <c r="X4502" s="42"/>
      <c r="AB4502">
        <v>75.599999999999994</v>
      </c>
      <c r="AC4502">
        <v>77</v>
      </c>
      <c r="AE4502" s="74"/>
      <c r="AF4502" s="77"/>
      <c r="AH4502" s="497">
        <v>77</v>
      </c>
      <c r="AJ4502" s="42"/>
      <c r="AK4502" s="74"/>
      <c r="AL4502" s="77"/>
      <c r="AN4502" s="497">
        <v>78.98</v>
      </c>
      <c r="AP4502" s="42"/>
      <c r="AQ4502" s="74"/>
      <c r="AR4502" s="77"/>
      <c r="AT4502" s="497">
        <v>63.680000000000007</v>
      </c>
      <c r="AV4502" s="42"/>
      <c r="AW4502" s="74"/>
      <c r="AX4502" s="77"/>
      <c r="BA4502" s="497">
        <v>62.06</v>
      </c>
      <c r="BB4502" s="42"/>
      <c r="BC4502" s="74"/>
      <c r="BD4502" s="77"/>
      <c r="BF4502">
        <v>66.02</v>
      </c>
      <c r="BH4502" s="42"/>
      <c r="BI4502" s="74"/>
      <c r="BJ4502" s="77"/>
      <c r="BL4502" s="497">
        <v>62.96</v>
      </c>
      <c r="BN4502" s="42"/>
      <c r="BO4502" s="74"/>
      <c r="BP4502" s="77"/>
      <c r="BR4502" s="497">
        <v>62.96</v>
      </c>
      <c r="BT4502" s="42"/>
    </row>
    <row r="4503" spans="1:72" x14ac:dyDescent="0.25">
      <c r="A4503" s="90">
        <v>34521</v>
      </c>
      <c r="B4503" s="20">
        <v>0.875</v>
      </c>
      <c r="D4503">
        <v>89.06</v>
      </c>
      <c r="E4503" t="str">
        <f t="shared" si="176"/>
        <v>WEEKDAY</v>
      </c>
      <c r="F4503" t="e">
        <f t="shared" si="175"/>
        <v>#N/A</v>
      </c>
      <c r="G4503" s="74">
        <v>31964</v>
      </c>
      <c r="H4503" s="77">
        <v>0.875</v>
      </c>
      <c r="J4503">
        <v>66.92</v>
      </c>
      <c r="M4503" s="74">
        <v>33425</v>
      </c>
      <c r="N4503" s="77">
        <v>0.875</v>
      </c>
      <c r="P4503">
        <v>69.98</v>
      </c>
      <c r="S4503" s="74">
        <v>34521</v>
      </c>
      <c r="T4503" s="77">
        <v>0.875</v>
      </c>
      <c r="V4503">
        <v>78.080000000000013</v>
      </c>
      <c r="X4503" s="42"/>
      <c r="AB4503">
        <v>74.5</v>
      </c>
      <c r="AC4503">
        <v>75.92</v>
      </c>
      <c r="AE4503" s="74"/>
      <c r="AF4503" s="77"/>
      <c r="AH4503" s="497">
        <v>75.2</v>
      </c>
      <c r="AJ4503" s="42"/>
      <c r="AK4503" s="74"/>
      <c r="AL4503" s="77"/>
      <c r="AN4503" s="497">
        <v>77</v>
      </c>
      <c r="AP4503" s="42"/>
      <c r="AQ4503" s="74"/>
      <c r="AR4503" s="77"/>
      <c r="AT4503" s="497">
        <v>63.319999999999993</v>
      </c>
      <c r="AV4503" s="42"/>
      <c r="AW4503" s="74"/>
      <c r="AX4503" s="77"/>
      <c r="BA4503" s="497">
        <v>59</v>
      </c>
      <c r="BB4503" s="42"/>
      <c r="BC4503" s="74"/>
      <c r="BD4503" s="77"/>
      <c r="BF4503">
        <v>66.02</v>
      </c>
      <c r="BH4503" s="42"/>
      <c r="BI4503" s="74"/>
      <c r="BJ4503" s="77"/>
      <c r="BL4503" s="497">
        <v>57.92</v>
      </c>
      <c r="BN4503" s="42"/>
      <c r="BO4503" s="74"/>
      <c r="BP4503" s="77"/>
      <c r="BR4503" s="497">
        <v>57.019999999999996</v>
      </c>
      <c r="BT4503" s="42"/>
    </row>
    <row r="4504" spans="1:72" x14ac:dyDescent="0.25">
      <c r="A4504" s="90">
        <v>34521</v>
      </c>
      <c r="B4504" s="20">
        <v>0.91666666666666663</v>
      </c>
      <c r="D4504">
        <v>86</v>
      </c>
      <c r="E4504" t="str">
        <f t="shared" si="176"/>
        <v>WEEKDAY</v>
      </c>
      <c r="F4504" t="e">
        <f t="shared" si="175"/>
        <v>#N/A</v>
      </c>
      <c r="G4504" s="74">
        <v>31964</v>
      </c>
      <c r="H4504" s="77">
        <v>0.91666666666666663</v>
      </c>
      <c r="J4504">
        <v>66.02</v>
      </c>
      <c r="M4504" s="74">
        <v>33425</v>
      </c>
      <c r="N4504" s="77">
        <v>0.91666666666666663</v>
      </c>
      <c r="P4504">
        <v>69.98</v>
      </c>
      <c r="S4504" s="74">
        <v>34521</v>
      </c>
      <c r="T4504" s="77">
        <v>0.91666666666666663</v>
      </c>
      <c r="V4504">
        <v>78.080000000000013</v>
      </c>
      <c r="X4504" s="42"/>
      <c r="AB4504">
        <v>73.8</v>
      </c>
      <c r="AC4504">
        <v>75.92</v>
      </c>
      <c r="AE4504" s="74"/>
      <c r="AF4504" s="77"/>
      <c r="AH4504" s="497">
        <v>73.400000000000006</v>
      </c>
      <c r="AJ4504" s="42"/>
      <c r="AK4504" s="74"/>
      <c r="AL4504" s="77"/>
      <c r="AN4504" s="497">
        <v>75.92</v>
      </c>
      <c r="AP4504" s="42"/>
      <c r="AQ4504" s="74"/>
      <c r="AR4504" s="77"/>
      <c r="AT4504" s="497">
        <v>62.96</v>
      </c>
      <c r="AV4504" s="42"/>
      <c r="AW4504" s="74"/>
      <c r="AX4504" s="77"/>
      <c r="BA4504" s="497">
        <v>57.019999999999996</v>
      </c>
      <c r="BB4504" s="42"/>
      <c r="BC4504" s="74"/>
      <c r="BD4504" s="77"/>
      <c r="BF4504">
        <v>62.06</v>
      </c>
      <c r="BH4504" s="42"/>
      <c r="BI4504" s="74"/>
      <c r="BJ4504" s="77"/>
      <c r="BL4504" s="497">
        <v>57.019999999999996</v>
      </c>
      <c r="BN4504" s="42"/>
      <c r="BO4504" s="74"/>
      <c r="BP4504" s="77"/>
      <c r="BR4504" s="497">
        <v>51.980000000000004</v>
      </c>
      <c r="BT4504" s="42"/>
    </row>
    <row r="4505" spans="1:72" x14ac:dyDescent="0.25">
      <c r="A4505" s="90">
        <v>34521</v>
      </c>
      <c r="B4505" s="20">
        <v>0.95833333333333337</v>
      </c>
      <c r="D4505">
        <v>84.92</v>
      </c>
      <c r="E4505" t="str">
        <f t="shared" si="176"/>
        <v>WEEKDAY</v>
      </c>
      <c r="F4505" t="e">
        <f t="shared" si="175"/>
        <v>#N/A</v>
      </c>
      <c r="G4505" s="74">
        <v>31964</v>
      </c>
      <c r="H4505" s="77">
        <v>0.95833333333333337</v>
      </c>
      <c r="J4505">
        <v>64.94</v>
      </c>
      <c r="M4505" s="74">
        <v>33425</v>
      </c>
      <c r="N4505" s="77">
        <v>0.95833333333333337</v>
      </c>
      <c r="P4505">
        <v>69.98</v>
      </c>
      <c r="S4505" s="74">
        <v>34521</v>
      </c>
      <c r="T4505" s="77">
        <v>0.95833333333333337</v>
      </c>
      <c r="V4505">
        <v>80.06</v>
      </c>
      <c r="X4505" s="42"/>
      <c r="AB4505">
        <v>73.3</v>
      </c>
      <c r="AC4505">
        <v>75.02</v>
      </c>
      <c r="AE4505" s="74"/>
      <c r="AF4505" s="77"/>
      <c r="AH4505" s="497">
        <v>71.599999999999994</v>
      </c>
      <c r="AJ4505" s="42"/>
      <c r="AK4505" s="74"/>
      <c r="AL4505" s="77"/>
      <c r="AN4505" s="497">
        <v>75.02</v>
      </c>
      <c r="AP4505" s="42"/>
      <c r="AQ4505" s="74"/>
      <c r="AR4505" s="77"/>
      <c r="AT4505" s="497">
        <v>62.6</v>
      </c>
      <c r="AV4505" s="42"/>
      <c r="AW4505" s="74"/>
      <c r="AX4505" s="77"/>
      <c r="BA4505" s="497">
        <v>55.040000000000006</v>
      </c>
      <c r="BB4505" s="42"/>
      <c r="BC4505" s="74"/>
      <c r="BD4505" s="77"/>
      <c r="BF4505">
        <v>59</v>
      </c>
      <c r="BH4505" s="42"/>
      <c r="BI4505" s="74"/>
      <c r="BJ4505" s="77"/>
      <c r="BL4505" s="497">
        <v>55.94</v>
      </c>
      <c r="BN4505" s="42"/>
      <c r="BO4505" s="74"/>
      <c r="BP4505" s="77"/>
      <c r="BR4505" s="497">
        <v>48.92</v>
      </c>
      <c r="BT4505" s="42"/>
    </row>
    <row r="4506" spans="1:72" x14ac:dyDescent="0.25">
      <c r="A4506" s="90">
        <v>34521</v>
      </c>
      <c r="B4506" s="20">
        <v>1</v>
      </c>
      <c r="D4506">
        <v>82.039999999999992</v>
      </c>
      <c r="E4506" t="str">
        <f t="shared" si="176"/>
        <v>WEEKDAY</v>
      </c>
      <c r="F4506" t="e">
        <f t="shared" si="175"/>
        <v>#N/A</v>
      </c>
      <c r="G4506" s="74">
        <v>31964</v>
      </c>
      <c r="H4506" s="77">
        <v>1</v>
      </c>
      <c r="J4506">
        <v>64.94</v>
      </c>
      <c r="M4506" s="74">
        <v>33425</v>
      </c>
      <c r="N4506" s="80">
        <v>1</v>
      </c>
      <c r="P4506">
        <v>71.06</v>
      </c>
      <c r="S4506" s="74">
        <v>34521</v>
      </c>
      <c r="T4506" s="80">
        <v>1</v>
      </c>
      <c r="V4506">
        <v>82.039999999999992</v>
      </c>
      <c r="X4506" s="42"/>
      <c r="AB4506">
        <v>72.8</v>
      </c>
      <c r="AC4506">
        <v>75.02</v>
      </c>
      <c r="AE4506" s="74"/>
      <c r="AF4506" s="80"/>
      <c r="AH4506" s="497">
        <v>69.800000000000011</v>
      </c>
      <c r="AJ4506" s="42"/>
      <c r="AK4506" s="74"/>
      <c r="AL4506" s="80"/>
      <c r="AN4506" s="497">
        <v>68</v>
      </c>
      <c r="AP4506" s="42"/>
      <c r="AQ4506" s="74"/>
      <c r="AR4506" s="80"/>
      <c r="AT4506" s="497">
        <v>62.42</v>
      </c>
      <c r="AV4506" s="42"/>
      <c r="AW4506" s="74"/>
      <c r="AX4506" s="80"/>
      <c r="BA4506" s="497">
        <v>53.96</v>
      </c>
      <c r="BB4506" s="42"/>
      <c r="BC4506" s="74"/>
      <c r="BD4506" s="80"/>
      <c r="BF4506">
        <v>57.92</v>
      </c>
      <c r="BH4506" s="42"/>
      <c r="BI4506" s="74"/>
      <c r="BJ4506" s="80"/>
      <c r="BL4506" s="497">
        <v>53.96</v>
      </c>
      <c r="BN4506" s="42"/>
      <c r="BO4506" s="74"/>
      <c r="BP4506" s="80"/>
      <c r="BR4506" s="497">
        <v>48.019999999999996</v>
      </c>
      <c r="BT4506" s="42"/>
    </row>
    <row r="4507" spans="1:72" x14ac:dyDescent="0.25">
      <c r="A4507" s="90">
        <v>34522</v>
      </c>
      <c r="B4507" s="20">
        <v>4.1666666666666664E-2</v>
      </c>
      <c r="D4507">
        <v>82.039999999999992</v>
      </c>
      <c r="E4507" t="str">
        <f t="shared" si="176"/>
        <v>WEEKDAY</v>
      </c>
      <c r="F4507" t="e">
        <f t="shared" si="175"/>
        <v>#N/A</v>
      </c>
      <c r="G4507" s="74">
        <v>31965</v>
      </c>
      <c r="H4507" s="77">
        <v>4.1666666666666664E-2</v>
      </c>
      <c r="J4507">
        <v>66.02</v>
      </c>
      <c r="M4507" s="74">
        <v>33426</v>
      </c>
      <c r="N4507" s="77">
        <v>4.1666666666666664E-2</v>
      </c>
      <c r="P4507">
        <v>71.06</v>
      </c>
      <c r="S4507" s="74">
        <v>34522</v>
      </c>
      <c r="T4507" s="77">
        <v>4.1666666666666664E-2</v>
      </c>
      <c r="V4507">
        <v>78.98</v>
      </c>
      <c r="X4507" s="42"/>
      <c r="AB4507">
        <v>72.099999999999994</v>
      </c>
      <c r="AC4507">
        <v>75.02</v>
      </c>
      <c r="AE4507" s="74"/>
      <c r="AF4507" s="77"/>
      <c r="AH4507" s="497">
        <v>66.2</v>
      </c>
      <c r="AJ4507" s="42"/>
      <c r="AK4507" s="74"/>
      <c r="AL4507" s="77"/>
      <c r="AN4507" s="497">
        <v>66.92</v>
      </c>
      <c r="AP4507" s="42"/>
      <c r="AQ4507" s="74"/>
      <c r="AR4507" s="77"/>
      <c r="AT4507" s="497">
        <v>62.06</v>
      </c>
      <c r="AV4507" s="42"/>
      <c r="AW4507" s="74"/>
      <c r="AX4507" s="77"/>
      <c r="BA4507" s="497">
        <v>53.96</v>
      </c>
      <c r="BB4507" s="42"/>
      <c r="BC4507" s="74"/>
      <c r="BD4507" s="77"/>
      <c r="BF4507">
        <v>57.019999999999996</v>
      </c>
      <c r="BH4507" s="42"/>
      <c r="BI4507" s="74"/>
      <c r="BJ4507" s="77"/>
      <c r="BL4507" s="497">
        <v>55.040000000000006</v>
      </c>
      <c r="BN4507" s="42"/>
      <c r="BO4507" s="74"/>
      <c r="BP4507" s="77"/>
      <c r="BR4507" s="497">
        <v>46.04</v>
      </c>
      <c r="BT4507" s="42"/>
    </row>
    <row r="4508" spans="1:72" x14ac:dyDescent="0.25">
      <c r="A4508" s="90">
        <v>34522</v>
      </c>
      <c r="B4508" s="20">
        <v>8.3333333333333329E-2</v>
      </c>
      <c r="D4508">
        <v>80.06</v>
      </c>
      <c r="E4508" t="str">
        <f t="shared" si="176"/>
        <v>WEEKDAY</v>
      </c>
      <c r="F4508" t="e">
        <f t="shared" si="175"/>
        <v>#N/A</v>
      </c>
      <c r="G4508" s="74">
        <v>31965</v>
      </c>
      <c r="H4508" s="77">
        <v>8.3333333333333329E-2</v>
      </c>
      <c r="J4508">
        <v>66.02</v>
      </c>
      <c r="M4508" s="74">
        <v>33426</v>
      </c>
      <c r="N4508" s="77">
        <v>8.3333333333333329E-2</v>
      </c>
      <c r="P4508">
        <v>71.06</v>
      </c>
      <c r="S4508" s="74">
        <v>34522</v>
      </c>
      <c r="T4508" s="77">
        <v>8.3333333333333329E-2</v>
      </c>
      <c r="V4508">
        <v>78.080000000000013</v>
      </c>
      <c r="X4508" s="42"/>
      <c r="AB4508">
        <v>71.5</v>
      </c>
      <c r="AC4508">
        <v>75.02</v>
      </c>
      <c r="AE4508" s="74"/>
      <c r="AF4508" s="77"/>
      <c r="AH4508" s="497">
        <v>68</v>
      </c>
      <c r="AJ4508" s="42"/>
      <c r="AK4508" s="74"/>
      <c r="AL4508" s="77"/>
      <c r="AN4508" s="497">
        <v>66.02</v>
      </c>
      <c r="AP4508" s="42"/>
      <c r="AQ4508" s="74"/>
      <c r="AR4508" s="77"/>
      <c r="AT4508" s="497">
        <v>61.34</v>
      </c>
      <c r="AV4508" s="42"/>
      <c r="AW4508" s="74"/>
      <c r="AX4508" s="77"/>
      <c r="BA4508" s="497">
        <v>53.06</v>
      </c>
      <c r="BB4508" s="42"/>
      <c r="BC4508" s="74"/>
      <c r="BD4508" s="77"/>
      <c r="BF4508">
        <v>55.94</v>
      </c>
      <c r="BH4508" s="42"/>
      <c r="BI4508" s="74"/>
      <c r="BJ4508" s="77"/>
      <c r="BL4508" s="497">
        <v>53.96</v>
      </c>
      <c r="BN4508" s="42"/>
      <c r="BO4508" s="74"/>
      <c r="BP4508" s="77"/>
      <c r="BR4508" s="497">
        <v>46.04</v>
      </c>
      <c r="BT4508" s="42"/>
    </row>
    <row r="4509" spans="1:72" x14ac:dyDescent="0.25">
      <c r="A4509" s="90">
        <v>34522</v>
      </c>
      <c r="B4509" s="20">
        <v>0.125</v>
      </c>
      <c r="D4509">
        <v>80.06</v>
      </c>
      <c r="E4509" t="str">
        <f t="shared" si="176"/>
        <v>WEEKDAY</v>
      </c>
      <c r="F4509" t="e">
        <f t="shared" si="175"/>
        <v>#N/A</v>
      </c>
      <c r="G4509" s="74">
        <v>31965</v>
      </c>
      <c r="H4509" s="77">
        <v>0.125</v>
      </c>
      <c r="J4509">
        <v>66.92</v>
      </c>
      <c r="M4509" s="74">
        <v>33426</v>
      </c>
      <c r="N4509" s="77">
        <v>0.125</v>
      </c>
      <c r="P4509">
        <v>71.06</v>
      </c>
      <c r="S4509" s="74">
        <v>34522</v>
      </c>
      <c r="T4509" s="77">
        <v>0.125</v>
      </c>
      <c r="V4509">
        <v>78.98</v>
      </c>
      <c r="X4509" s="42"/>
      <c r="AB4509">
        <v>70.900000000000006</v>
      </c>
      <c r="AC4509">
        <v>73.94</v>
      </c>
      <c r="AE4509" s="74"/>
      <c r="AF4509" s="77"/>
      <c r="AH4509" s="497">
        <v>62.6</v>
      </c>
      <c r="AJ4509" s="42"/>
      <c r="AK4509" s="74"/>
      <c r="AL4509" s="77"/>
      <c r="AN4509" s="497">
        <v>64.94</v>
      </c>
      <c r="AP4509" s="42"/>
      <c r="AQ4509" s="74"/>
      <c r="AR4509" s="77"/>
      <c r="AT4509" s="497">
        <v>60.8</v>
      </c>
      <c r="AV4509" s="42"/>
      <c r="AW4509" s="74"/>
      <c r="AX4509" s="77"/>
      <c r="BA4509" s="497">
        <v>51.980000000000004</v>
      </c>
      <c r="BB4509" s="42"/>
      <c r="BC4509" s="74"/>
      <c r="BD4509" s="77"/>
      <c r="BF4509">
        <v>55.040000000000006</v>
      </c>
      <c r="BH4509" s="42"/>
      <c r="BI4509" s="74"/>
      <c r="BJ4509" s="77"/>
      <c r="BL4509" s="497">
        <v>51.08</v>
      </c>
      <c r="BN4509" s="42"/>
      <c r="BO4509" s="74"/>
      <c r="BP4509" s="77"/>
      <c r="BR4509" s="497">
        <v>44.96</v>
      </c>
      <c r="BT4509" s="42"/>
    </row>
    <row r="4510" spans="1:72" x14ac:dyDescent="0.25">
      <c r="A4510" s="90">
        <v>34522</v>
      </c>
      <c r="B4510" s="20">
        <v>0.16666666666666666</v>
      </c>
      <c r="D4510">
        <v>78.080000000000013</v>
      </c>
      <c r="E4510" t="str">
        <f t="shared" si="176"/>
        <v>WEEKDAY</v>
      </c>
      <c r="F4510" t="e">
        <f t="shared" si="175"/>
        <v>#N/A</v>
      </c>
      <c r="G4510" s="74">
        <v>31965</v>
      </c>
      <c r="H4510" s="77">
        <v>0.16666666666666666</v>
      </c>
      <c r="J4510">
        <v>66.02</v>
      </c>
      <c r="M4510" s="74">
        <v>33426</v>
      </c>
      <c r="N4510" s="77">
        <v>0.16666666666666666</v>
      </c>
      <c r="P4510">
        <v>69.98</v>
      </c>
      <c r="S4510" s="74">
        <v>34522</v>
      </c>
      <c r="T4510" s="77">
        <v>0.16666666666666666</v>
      </c>
      <c r="V4510">
        <v>78.98</v>
      </c>
      <c r="X4510" s="42"/>
      <c r="AB4510">
        <v>70.400000000000006</v>
      </c>
      <c r="AC4510">
        <v>73.039999999999992</v>
      </c>
      <c r="AE4510" s="74"/>
      <c r="AF4510" s="77"/>
      <c r="AH4510" s="497">
        <v>62.78</v>
      </c>
      <c r="AJ4510" s="42"/>
      <c r="AK4510" s="74"/>
      <c r="AL4510" s="77"/>
      <c r="AN4510" s="497">
        <v>64.94</v>
      </c>
      <c r="AP4510" s="42"/>
      <c r="AQ4510" s="74"/>
      <c r="AR4510" s="77"/>
      <c r="AT4510" s="497">
        <v>60.08</v>
      </c>
      <c r="AV4510" s="42"/>
      <c r="AW4510" s="74"/>
      <c r="AX4510" s="77"/>
      <c r="BA4510" s="497">
        <v>51.08</v>
      </c>
      <c r="BB4510" s="42"/>
      <c r="BC4510" s="74"/>
      <c r="BD4510" s="77"/>
      <c r="BF4510">
        <v>53.96</v>
      </c>
      <c r="BH4510" s="42"/>
      <c r="BI4510" s="74"/>
      <c r="BJ4510" s="77"/>
      <c r="BL4510" s="497">
        <v>50</v>
      </c>
      <c r="BN4510" s="42"/>
      <c r="BO4510" s="74"/>
      <c r="BP4510" s="77"/>
      <c r="BR4510" s="497">
        <v>44.06</v>
      </c>
      <c r="BT4510" s="42"/>
    </row>
    <row r="4511" spans="1:72" x14ac:dyDescent="0.25">
      <c r="A4511" s="90">
        <v>34522</v>
      </c>
      <c r="B4511" s="20">
        <v>0.20833333333333334</v>
      </c>
      <c r="D4511">
        <v>80.06</v>
      </c>
      <c r="E4511" t="str">
        <f t="shared" si="176"/>
        <v>WEEKDAY</v>
      </c>
      <c r="F4511" t="e">
        <f t="shared" si="175"/>
        <v>#N/A</v>
      </c>
      <c r="G4511" s="74">
        <v>31965</v>
      </c>
      <c r="H4511" s="77">
        <v>0.20833333333333334</v>
      </c>
      <c r="J4511">
        <v>66.02</v>
      </c>
      <c r="M4511" s="74">
        <v>33426</v>
      </c>
      <c r="N4511" s="77">
        <v>0.20833333333333334</v>
      </c>
      <c r="P4511">
        <v>69.98</v>
      </c>
      <c r="S4511" s="74">
        <v>34522</v>
      </c>
      <c r="T4511" s="77">
        <v>0.20833333333333334</v>
      </c>
      <c r="V4511">
        <v>78.080000000000013</v>
      </c>
      <c r="X4511" s="42"/>
      <c r="AB4511">
        <v>70</v>
      </c>
      <c r="AC4511">
        <v>73.039999999999992</v>
      </c>
      <c r="AE4511" s="74"/>
      <c r="AF4511" s="77"/>
      <c r="AH4511" s="497">
        <v>62.6</v>
      </c>
      <c r="AJ4511" s="42"/>
      <c r="AK4511" s="74"/>
      <c r="AL4511" s="77"/>
      <c r="AN4511" s="497">
        <v>62.96</v>
      </c>
      <c r="AP4511" s="42"/>
      <c r="AQ4511" s="74"/>
      <c r="AR4511" s="77"/>
      <c r="AT4511" s="497">
        <v>60.08</v>
      </c>
      <c r="AV4511" s="42"/>
      <c r="AW4511" s="74"/>
      <c r="AX4511" s="77"/>
      <c r="BA4511" s="497">
        <v>50</v>
      </c>
      <c r="BB4511" s="42"/>
      <c r="BC4511" s="74"/>
      <c r="BD4511" s="77"/>
      <c r="BF4511">
        <v>53.96</v>
      </c>
      <c r="BH4511" s="42"/>
      <c r="BI4511" s="74"/>
      <c r="BJ4511" s="77"/>
      <c r="BL4511" s="497">
        <v>48.92</v>
      </c>
      <c r="BN4511" s="42"/>
      <c r="BO4511" s="74"/>
      <c r="BP4511" s="77"/>
      <c r="BR4511" s="497">
        <v>44.96</v>
      </c>
      <c r="BT4511" s="42"/>
    </row>
    <row r="4512" spans="1:72" x14ac:dyDescent="0.25">
      <c r="A4512" s="90">
        <v>34522</v>
      </c>
      <c r="B4512" s="20">
        <v>0.25</v>
      </c>
      <c r="D4512">
        <v>78.98</v>
      </c>
      <c r="E4512" t="str">
        <f t="shared" si="176"/>
        <v>WEEKDAY</v>
      </c>
      <c r="F4512" t="e">
        <f t="shared" si="175"/>
        <v>#N/A</v>
      </c>
      <c r="G4512" s="74">
        <v>31965</v>
      </c>
      <c r="H4512" s="77">
        <v>0.25</v>
      </c>
      <c r="J4512">
        <v>66.92</v>
      </c>
      <c r="M4512" s="74">
        <v>33426</v>
      </c>
      <c r="N4512" s="77">
        <v>0.25</v>
      </c>
      <c r="P4512">
        <v>69.98</v>
      </c>
      <c r="S4512" s="74">
        <v>34522</v>
      </c>
      <c r="T4512" s="77">
        <v>0.25</v>
      </c>
      <c r="V4512">
        <v>78.98</v>
      </c>
      <c r="X4512" s="42"/>
      <c r="AB4512">
        <v>69.8</v>
      </c>
      <c r="AC4512">
        <v>77</v>
      </c>
      <c r="AE4512" s="74"/>
      <c r="AF4512" s="77"/>
      <c r="AH4512" s="497">
        <v>64.400000000000006</v>
      </c>
      <c r="AJ4512" s="42"/>
      <c r="AK4512" s="74"/>
      <c r="AL4512" s="77"/>
      <c r="AN4512" s="497">
        <v>68</v>
      </c>
      <c r="AP4512" s="42"/>
      <c r="AQ4512" s="74"/>
      <c r="AR4512" s="77"/>
      <c r="AT4512" s="497">
        <v>60.08</v>
      </c>
      <c r="AV4512" s="42"/>
      <c r="AW4512" s="74"/>
      <c r="AX4512" s="77"/>
      <c r="BA4512" s="497">
        <v>55.040000000000006</v>
      </c>
      <c r="BB4512" s="42"/>
      <c r="BC4512" s="74"/>
      <c r="BD4512" s="77"/>
      <c r="BF4512">
        <v>55.040000000000006</v>
      </c>
      <c r="BH4512" s="42"/>
      <c r="BI4512" s="74"/>
      <c r="BJ4512" s="77"/>
      <c r="BL4512" s="497">
        <v>53.06</v>
      </c>
      <c r="BN4512" s="42"/>
      <c r="BO4512" s="74"/>
      <c r="BP4512" s="77"/>
      <c r="BR4512" s="497">
        <v>51.980000000000004</v>
      </c>
      <c r="BT4512" s="42"/>
    </row>
    <row r="4513" spans="1:72" x14ac:dyDescent="0.25">
      <c r="A4513" s="90">
        <v>34522</v>
      </c>
      <c r="B4513" s="20">
        <v>0.29166666666666669</v>
      </c>
      <c r="D4513">
        <v>78.080000000000013</v>
      </c>
      <c r="E4513" t="str">
        <f t="shared" si="176"/>
        <v>WEEKDAY</v>
      </c>
      <c r="F4513" t="e">
        <f t="shared" si="175"/>
        <v>#N/A</v>
      </c>
      <c r="G4513" s="74">
        <v>31965</v>
      </c>
      <c r="H4513" s="77">
        <v>0.29166666666666669</v>
      </c>
      <c r="J4513">
        <v>69.080000000000013</v>
      </c>
      <c r="M4513" s="74">
        <v>33426</v>
      </c>
      <c r="N4513" s="77">
        <v>0.29166666666666669</v>
      </c>
      <c r="P4513">
        <v>71.06</v>
      </c>
      <c r="S4513" s="74">
        <v>34522</v>
      </c>
      <c r="T4513" s="77">
        <v>0.29166666666666669</v>
      </c>
      <c r="V4513">
        <v>80.06</v>
      </c>
      <c r="X4513" s="42"/>
      <c r="AB4513">
        <v>71.3</v>
      </c>
      <c r="AC4513">
        <v>80.06</v>
      </c>
      <c r="AE4513" s="74"/>
      <c r="AF4513" s="77"/>
      <c r="AH4513" s="497">
        <v>68</v>
      </c>
      <c r="AJ4513" s="42"/>
      <c r="AK4513" s="74"/>
      <c r="AL4513" s="77"/>
      <c r="AN4513" s="497">
        <v>69.98</v>
      </c>
      <c r="AP4513" s="42"/>
      <c r="AQ4513" s="74"/>
      <c r="AR4513" s="77"/>
      <c r="AT4513" s="497">
        <v>60.08</v>
      </c>
      <c r="AV4513" s="42"/>
      <c r="AW4513" s="74"/>
      <c r="AX4513" s="77"/>
      <c r="BA4513" s="497">
        <v>59</v>
      </c>
      <c r="BB4513" s="42"/>
      <c r="BC4513" s="74"/>
      <c r="BD4513" s="77"/>
      <c r="BF4513">
        <v>59</v>
      </c>
      <c r="BH4513" s="42"/>
      <c r="BI4513" s="74"/>
      <c r="BJ4513" s="77"/>
      <c r="BL4513" s="497">
        <v>57.019999999999996</v>
      </c>
      <c r="BN4513" s="42"/>
      <c r="BO4513" s="74"/>
      <c r="BP4513" s="77"/>
      <c r="BR4513" s="497">
        <v>57.019999999999996</v>
      </c>
      <c r="BT4513" s="42"/>
    </row>
    <row r="4514" spans="1:72" x14ac:dyDescent="0.25">
      <c r="A4514" s="90">
        <v>34522</v>
      </c>
      <c r="B4514" s="20">
        <v>0.33333333333333331</v>
      </c>
      <c r="D4514">
        <v>80.06</v>
      </c>
      <c r="E4514" t="str">
        <f t="shared" si="176"/>
        <v>WEEKDAY</v>
      </c>
      <c r="F4514" t="e">
        <f t="shared" si="175"/>
        <v>#N/A</v>
      </c>
      <c r="G4514" s="74">
        <v>31965</v>
      </c>
      <c r="H4514" s="77">
        <v>0.33333333333333331</v>
      </c>
      <c r="J4514">
        <v>69.080000000000013</v>
      </c>
      <c r="M4514" s="74">
        <v>33426</v>
      </c>
      <c r="N4514" s="77">
        <v>0.33333333333333331</v>
      </c>
      <c r="P4514">
        <v>73.039999999999992</v>
      </c>
      <c r="S4514" s="74">
        <v>34522</v>
      </c>
      <c r="T4514" s="77">
        <v>0.33333333333333331</v>
      </c>
      <c r="V4514">
        <v>78.98</v>
      </c>
      <c r="X4514" s="42"/>
      <c r="AB4514">
        <v>73.400000000000006</v>
      </c>
      <c r="AC4514">
        <v>80.960000000000008</v>
      </c>
      <c r="AE4514" s="74"/>
      <c r="AF4514" s="77"/>
      <c r="AH4514" s="497">
        <v>71.599999999999994</v>
      </c>
      <c r="AJ4514" s="42"/>
      <c r="AK4514" s="74"/>
      <c r="AL4514" s="77"/>
      <c r="AN4514" s="497">
        <v>71.960000000000008</v>
      </c>
      <c r="AP4514" s="42"/>
      <c r="AQ4514" s="74"/>
      <c r="AR4514" s="77"/>
      <c r="AT4514" s="497">
        <v>63.319999999999993</v>
      </c>
      <c r="AV4514" s="42"/>
      <c r="AW4514" s="74"/>
      <c r="AX4514" s="77"/>
      <c r="BA4514" s="497">
        <v>64.94</v>
      </c>
      <c r="BB4514" s="42"/>
      <c r="BC4514" s="74"/>
      <c r="BD4514" s="77"/>
      <c r="BF4514">
        <v>62.06</v>
      </c>
      <c r="BH4514" s="42"/>
      <c r="BI4514" s="74"/>
      <c r="BJ4514" s="77"/>
      <c r="BL4514" s="497">
        <v>62.96</v>
      </c>
      <c r="BN4514" s="42"/>
      <c r="BO4514" s="74"/>
      <c r="BP4514" s="77"/>
      <c r="BR4514" s="497">
        <v>62.06</v>
      </c>
      <c r="BT4514" s="42"/>
    </row>
    <row r="4515" spans="1:72" x14ac:dyDescent="0.25">
      <c r="A4515" s="90">
        <v>34522</v>
      </c>
      <c r="B4515" s="20">
        <v>0.375</v>
      </c>
      <c r="D4515">
        <v>82.039999999999992</v>
      </c>
      <c r="E4515" t="str">
        <f t="shared" si="176"/>
        <v>WEEKDAY</v>
      </c>
      <c r="F4515" t="e">
        <f t="shared" si="175"/>
        <v>#N/A</v>
      </c>
      <c r="G4515" s="74">
        <v>31965</v>
      </c>
      <c r="H4515" s="77">
        <v>0.375</v>
      </c>
      <c r="J4515">
        <v>71.06</v>
      </c>
      <c r="M4515" s="74">
        <v>33426</v>
      </c>
      <c r="N4515" s="77">
        <v>0.375</v>
      </c>
      <c r="P4515">
        <v>75.92</v>
      </c>
      <c r="S4515" s="74">
        <v>34522</v>
      </c>
      <c r="T4515" s="77">
        <v>0.375</v>
      </c>
      <c r="V4515">
        <v>82.039999999999992</v>
      </c>
      <c r="X4515" s="42"/>
      <c r="AB4515">
        <v>75.400000000000006</v>
      </c>
      <c r="AC4515">
        <v>82.94</v>
      </c>
      <c r="AE4515" s="74"/>
      <c r="AF4515" s="77"/>
      <c r="AH4515" s="497">
        <v>73.400000000000006</v>
      </c>
      <c r="AJ4515" s="42"/>
      <c r="AK4515" s="74"/>
      <c r="AL4515" s="77"/>
      <c r="AN4515" s="497">
        <v>77</v>
      </c>
      <c r="AP4515" s="42"/>
      <c r="AQ4515" s="74"/>
      <c r="AR4515" s="77"/>
      <c r="AT4515" s="497">
        <v>66.740000000000009</v>
      </c>
      <c r="AV4515" s="42"/>
      <c r="AW4515" s="74"/>
      <c r="AX4515" s="77"/>
      <c r="BA4515" s="497">
        <v>68</v>
      </c>
      <c r="BB4515" s="42"/>
      <c r="BC4515" s="74"/>
      <c r="BD4515" s="77"/>
      <c r="BF4515">
        <v>66.92</v>
      </c>
      <c r="BH4515" s="42"/>
      <c r="BI4515" s="74"/>
      <c r="BJ4515" s="77"/>
      <c r="BL4515" s="497">
        <v>66.92</v>
      </c>
      <c r="BN4515" s="42"/>
      <c r="BO4515" s="74"/>
      <c r="BP4515" s="77"/>
      <c r="BR4515" s="497">
        <v>66.92</v>
      </c>
      <c r="BT4515" s="42"/>
    </row>
    <row r="4516" spans="1:72" x14ac:dyDescent="0.25">
      <c r="A4516" s="90">
        <v>34522</v>
      </c>
      <c r="B4516" s="20">
        <v>0.41666666666666669</v>
      </c>
      <c r="D4516">
        <v>89.06</v>
      </c>
      <c r="E4516" t="str">
        <f t="shared" si="176"/>
        <v>WEEKDAY</v>
      </c>
      <c r="F4516" t="e">
        <f t="shared" si="175"/>
        <v>#N/A</v>
      </c>
      <c r="G4516" s="74">
        <v>31965</v>
      </c>
      <c r="H4516" s="77">
        <v>0.41666666666666669</v>
      </c>
      <c r="J4516">
        <v>71.06</v>
      </c>
      <c r="M4516" s="74">
        <v>33426</v>
      </c>
      <c r="N4516" s="77">
        <v>0.41666666666666669</v>
      </c>
      <c r="P4516">
        <v>78.080000000000013</v>
      </c>
      <c r="S4516" s="74">
        <v>34522</v>
      </c>
      <c r="T4516" s="77">
        <v>0.41666666666666669</v>
      </c>
      <c r="V4516">
        <v>89.06</v>
      </c>
      <c r="X4516" s="42"/>
      <c r="AB4516">
        <v>77.3</v>
      </c>
      <c r="AC4516">
        <v>87.080000000000013</v>
      </c>
      <c r="AE4516" s="74"/>
      <c r="AF4516" s="77"/>
      <c r="AH4516" s="497">
        <v>77</v>
      </c>
      <c r="AJ4516" s="42"/>
      <c r="AK4516" s="74"/>
      <c r="AL4516" s="77"/>
      <c r="AN4516" s="497">
        <v>80.960000000000008</v>
      </c>
      <c r="AP4516" s="42"/>
      <c r="AQ4516" s="74"/>
      <c r="AR4516" s="77"/>
      <c r="AT4516" s="497">
        <v>69.98</v>
      </c>
      <c r="AV4516" s="42"/>
      <c r="AW4516" s="74"/>
      <c r="AX4516" s="77"/>
      <c r="BA4516" s="497">
        <v>69.98</v>
      </c>
      <c r="BB4516" s="42"/>
      <c r="BC4516" s="74"/>
      <c r="BD4516" s="77"/>
      <c r="BF4516">
        <v>66.92</v>
      </c>
      <c r="BH4516" s="42"/>
      <c r="BI4516" s="74"/>
      <c r="BJ4516" s="77"/>
      <c r="BL4516" s="497">
        <v>71.960000000000008</v>
      </c>
      <c r="BN4516" s="42"/>
      <c r="BO4516" s="74"/>
      <c r="BP4516" s="77"/>
      <c r="BR4516" s="497">
        <v>69.98</v>
      </c>
      <c r="BT4516" s="42"/>
    </row>
    <row r="4517" spans="1:72" x14ac:dyDescent="0.25">
      <c r="A4517" s="90">
        <v>34522</v>
      </c>
      <c r="B4517" s="20">
        <v>0.45833333333333331</v>
      </c>
      <c r="D4517">
        <v>91.039999999999992</v>
      </c>
      <c r="E4517" t="str">
        <f t="shared" si="176"/>
        <v>WEEKDAY</v>
      </c>
      <c r="F4517" t="e">
        <f t="shared" si="175"/>
        <v>#N/A</v>
      </c>
      <c r="G4517" s="74">
        <v>31965</v>
      </c>
      <c r="H4517" s="77">
        <v>0.45833333333333331</v>
      </c>
      <c r="J4517">
        <v>69.98</v>
      </c>
      <c r="M4517" s="74">
        <v>33426</v>
      </c>
      <c r="N4517" s="77">
        <v>0.45833333333333331</v>
      </c>
      <c r="P4517">
        <v>84.02</v>
      </c>
      <c r="S4517" s="74">
        <v>34522</v>
      </c>
      <c r="T4517" s="77">
        <v>0.45833333333333331</v>
      </c>
      <c r="V4517">
        <v>91.94</v>
      </c>
      <c r="X4517" s="42"/>
      <c r="AB4517">
        <v>78.8</v>
      </c>
      <c r="AC4517">
        <v>89.960000000000008</v>
      </c>
      <c r="AE4517" s="74"/>
      <c r="AF4517" s="77"/>
      <c r="AH4517" s="497">
        <v>80.599999999999994</v>
      </c>
      <c r="AJ4517" s="42"/>
      <c r="AK4517" s="74"/>
      <c r="AL4517" s="77"/>
      <c r="AN4517" s="497">
        <v>82.039999999999992</v>
      </c>
      <c r="AP4517" s="42"/>
      <c r="AQ4517" s="74"/>
      <c r="AR4517" s="77"/>
      <c r="AT4517" s="497">
        <v>73.400000000000006</v>
      </c>
      <c r="AV4517" s="42"/>
      <c r="AW4517" s="74"/>
      <c r="AX4517" s="77"/>
      <c r="BA4517" s="497">
        <v>71.960000000000008</v>
      </c>
      <c r="BB4517" s="42"/>
      <c r="BC4517" s="74"/>
      <c r="BD4517" s="77"/>
      <c r="BF4517">
        <v>71.06</v>
      </c>
      <c r="BH4517" s="42"/>
      <c r="BI4517" s="74"/>
      <c r="BJ4517" s="77"/>
      <c r="BL4517" s="497">
        <v>75.02</v>
      </c>
      <c r="BN4517" s="42"/>
      <c r="BO4517" s="74"/>
      <c r="BP4517" s="77"/>
      <c r="BR4517" s="497">
        <v>69.98</v>
      </c>
      <c r="BT4517" s="42"/>
    </row>
    <row r="4518" spans="1:72" x14ac:dyDescent="0.25">
      <c r="A4518" s="90">
        <v>34522</v>
      </c>
      <c r="B4518" s="20">
        <v>0.5</v>
      </c>
      <c r="D4518">
        <v>91.039999999999992</v>
      </c>
      <c r="E4518" t="str">
        <f t="shared" si="176"/>
        <v>WEEKDAY</v>
      </c>
      <c r="F4518" t="e">
        <f t="shared" si="175"/>
        <v>#N/A</v>
      </c>
      <c r="G4518" s="74">
        <v>31965</v>
      </c>
      <c r="H4518" s="77">
        <v>0.5</v>
      </c>
      <c r="J4518">
        <v>69.98</v>
      </c>
      <c r="M4518" s="74">
        <v>33426</v>
      </c>
      <c r="N4518" s="77">
        <v>0.5</v>
      </c>
      <c r="P4518">
        <v>80.960000000000008</v>
      </c>
      <c r="S4518" s="74">
        <v>34522</v>
      </c>
      <c r="T4518" s="77">
        <v>0.5</v>
      </c>
      <c r="V4518">
        <v>93.02</v>
      </c>
      <c r="X4518" s="42"/>
      <c r="AB4518">
        <v>79.900000000000006</v>
      </c>
      <c r="AC4518">
        <v>93.02</v>
      </c>
      <c r="AE4518" s="74"/>
      <c r="AF4518" s="77"/>
      <c r="AH4518" s="497">
        <v>80.599999999999994</v>
      </c>
      <c r="AJ4518" s="42"/>
      <c r="AK4518" s="74"/>
      <c r="AL4518" s="77"/>
      <c r="AN4518" s="497">
        <v>82.94</v>
      </c>
      <c r="AP4518" s="42"/>
      <c r="AQ4518" s="74"/>
      <c r="AR4518" s="77"/>
      <c r="AT4518" s="497">
        <v>76.64</v>
      </c>
      <c r="AV4518" s="42"/>
      <c r="AW4518" s="74"/>
      <c r="AX4518" s="77"/>
      <c r="BA4518" s="497">
        <v>73.039999999999992</v>
      </c>
      <c r="BB4518" s="42"/>
      <c r="BC4518" s="74"/>
      <c r="BD4518" s="77"/>
      <c r="BF4518">
        <v>71.960000000000008</v>
      </c>
      <c r="BH4518" s="42"/>
      <c r="BI4518" s="74"/>
      <c r="BJ4518" s="77"/>
      <c r="BL4518" s="497">
        <v>77</v>
      </c>
      <c r="BN4518" s="42"/>
      <c r="BO4518" s="74"/>
      <c r="BP4518" s="77"/>
      <c r="BR4518" s="497">
        <v>71.06</v>
      </c>
      <c r="BT4518" s="42"/>
    </row>
    <row r="4519" spans="1:72" x14ac:dyDescent="0.25">
      <c r="A4519" s="90">
        <v>34522</v>
      </c>
      <c r="B4519" s="20">
        <v>0.54166666666666663</v>
      </c>
      <c r="D4519">
        <v>93.02</v>
      </c>
      <c r="E4519" t="str">
        <f t="shared" si="176"/>
        <v>WEEKDAY</v>
      </c>
      <c r="F4519" t="e">
        <f t="shared" si="175"/>
        <v>#N/A</v>
      </c>
      <c r="G4519" s="74">
        <v>31965</v>
      </c>
      <c r="H4519" s="77">
        <v>0.54166666666666663</v>
      </c>
      <c r="J4519">
        <v>71.06</v>
      </c>
      <c r="M4519" s="74">
        <v>33426</v>
      </c>
      <c r="N4519" s="77">
        <v>0.54166666666666663</v>
      </c>
      <c r="P4519">
        <v>78.98</v>
      </c>
      <c r="S4519" s="74">
        <v>34522</v>
      </c>
      <c r="T4519" s="77">
        <v>0.54166666666666663</v>
      </c>
      <c r="V4519">
        <v>91.039999999999992</v>
      </c>
      <c r="X4519" s="42"/>
      <c r="AB4519">
        <v>80.599999999999994</v>
      </c>
      <c r="AC4519">
        <v>93.02</v>
      </c>
      <c r="AE4519" s="74"/>
      <c r="AF4519" s="77"/>
      <c r="AH4519" s="497">
        <v>82.4</v>
      </c>
      <c r="AJ4519" s="42"/>
      <c r="AK4519" s="74"/>
      <c r="AL4519" s="77"/>
      <c r="AN4519" s="497">
        <v>84.92</v>
      </c>
      <c r="AP4519" s="42"/>
      <c r="AQ4519" s="74"/>
      <c r="AR4519" s="77"/>
      <c r="AT4519" s="497">
        <v>80.06</v>
      </c>
      <c r="AV4519" s="42"/>
      <c r="AW4519" s="74"/>
      <c r="AX4519" s="77"/>
      <c r="BA4519" s="497">
        <v>75.92</v>
      </c>
      <c r="BB4519" s="42"/>
      <c r="BC4519" s="74"/>
      <c r="BD4519" s="77"/>
      <c r="BF4519">
        <v>73.94</v>
      </c>
      <c r="BH4519" s="42"/>
      <c r="BI4519" s="74"/>
      <c r="BJ4519" s="77"/>
      <c r="BL4519" s="497">
        <v>77</v>
      </c>
      <c r="BN4519" s="42"/>
      <c r="BO4519" s="74"/>
      <c r="BP4519" s="77"/>
      <c r="BR4519" s="497">
        <v>73.039999999999992</v>
      </c>
      <c r="BT4519" s="42"/>
    </row>
    <row r="4520" spans="1:72" x14ac:dyDescent="0.25">
      <c r="A4520" s="90">
        <v>34522</v>
      </c>
      <c r="B4520" s="20">
        <v>0.58333333333333337</v>
      </c>
      <c r="D4520">
        <v>93.02</v>
      </c>
      <c r="E4520" t="str">
        <f t="shared" si="176"/>
        <v>WEEKDAY</v>
      </c>
      <c r="F4520" t="e">
        <f t="shared" si="175"/>
        <v>#N/A</v>
      </c>
      <c r="G4520" s="74">
        <v>31965</v>
      </c>
      <c r="H4520" s="77">
        <v>0.58333333333333337</v>
      </c>
      <c r="J4520">
        <v>71.960000000000008</v>
      </c>
      <c r="M4520" s="74">
        <v>33426</v>
      </c>
      <c r="N4520" s="77">
        <v>0.58333333333333337</v>
      </c>
      <c r="P4520">
        <v>80.960000000000008</v>
      </c>
      <c r="S4520" s="74">
        <v>34522</v>
      </c>
      <c r="T4520" s="77">
        <v>0.58333333333333337</v>
      </c>
      <c r="V4520">
        <v>91.039999999999992</v>
      </c>
      <c r="X4520" s="42"/>
      <c r="AB4520">
        <v>81</v>
      </c>
      <c r="AC4520">
        <v>91.94</v>
      </c>
      <c r="AE4520" s="74"/>
      <c r="AF4520" s="77"/>
      <c r="AH4520" s="497">
        <v>84.2</v>
      </c>
      <c r="AJ4520" s="42"/>
      <c r="AK4520" s="74"/>
      <c r="AL4520" s="77"/>
      <c r="AN4520" s="497">
        <v>87.080000000000013</v>
      </c>
      <c r="AP4520" s="42"/>
      <c r="AQ4520" s="74"/>
      <c r="AR4520" s="77"/>
      <c r="AT4520" s="497">
        <v>80.78</v>
      </c>
      <c r="AV4520" s="42"/>
      <c r="AW4520" s="74"/>
      <c r="AX4520" s="77"/>
      <c r="BA4520" s="497">
        <v>73.94</v>
      </c>
      <c r="BB4520" s="42"/>
      <c r="BC4520" s="74"/>
      <c r="BD4520" s="77"/>
      <c r="BF4520">
        <v>73.94</v>
      </c>
      <c r="BH4520" s="42"/>
      <c r="BI4520" s="74"/>
      <c r="BJ4520" s="77"/>
      <c r="BL4520" s="497">
        <v>78.080000000000013</v>
      </c>
      <c r="BN4520" s="42"/>
      <c r="BO4520" s="74"/>
      <c r="BP4520" s="77"/>
      <c r="BR4520" s="497">
        <v>73.94</v>
      </c>
      <c r="BT4520" s="42"/>
    </row>
    <row r="4521" spans="1:72" x14ac:dyDescent="0.25">
      <c r="A4521" s="90">
        <v>34522</v>
      </c>
      <c r="B4521" s="20">
        <v>0.625</v>
      </c>
      <c r="D4521">
        <v>93.02</v>
      </c>
      <c r="E4521" t="str">
        <f t="shared" si="176"/>
        <v>WEEKDAY</v>
      </c>
      <c r="F4521" t="e">
        <f t="shared" si="175"/>
        <v>#N/A</v>
      </c>
      <c r="G4521" s="74">
        <v>31965</v>
      </c>
      <c r="H4521" s="77">
        <v>0.625</v>
      </c>
      <c r="J4521">
        <v>71.06</v>
      </c>
      <c r="M4521" s="74">
        <v>33426</v>
      </c>
      <c r="N4521" s="77">
        <v>0.625</v>
      </c>
      <c r="P4521">
        <v>80.06</v>
      </c>
      <c r="S4521" s="74">
        <v>34522</v>
      </c>
      <c r="T4521" s="77">
        <v>0.625</v>
      </c>
      <c r="V4521">
        <v>89.960000000000008</v>
      </c>
      <c r="X4521" s="42"/>
      <c r="AB4521">
        <v>81.099999999999994</v>
      </c>
      <c r="AC4521">
        <v>89.960000000000008</v>
      </c>
      <c r="AE4521" s="74"/>
      <c r="AF4521" s="77"/>
      <c r="AH4521" s="497">
        <v>84.2</v>
      </c>
      <c r="AJ4521" s="42"/>
      <c r="AK4521" s="74"/>
      <c r="AL4521" s="77"/>
      <c r="AN4521" s="497">
        <v>84.92</v>
      </c>
      <c r="AP4521" s="42"/>
      <c r="AQ4521" s="74"/>
      <c r="AR4521" s="77"/>
      <c r="AT4521" s="497">
        <v>81.319999999999993</v>
      </c>
      <c r="AV4521" s="42"/>
      <c r="AW4521" s="74"/>
      <c r="AX4521" s="77"/>
      <c r="BA4521" s="497">
        <v>75.92</v>
      </c>
      <c r="BB4521" s="42"/>
      <c r="BC4521" s="74"/>
      <c r="BD4521" s="77"/>
      <c r="BF4521">
        <v>75.02</v>
      </c>
      <c r="BH4521" s="42"/>
      <c r="BI4521" s="74"/>
      <c r="BJ4521" s="77"/>
      <c r="BL4521" s="497">
        <v>78.080000000000013</v>
      </c>
      <c r="BN4521" s="42"/>
      <c r="BO4521" s="74"/>
      <c r="BP4521" s="77"/>
      <c r="BR4521" s="497">
        <v>75.92</v>
      </c>
      <c r="BT4521" s="42"/>
    </row>
    <row r="4522" spans="1:72" x14ac:dyDescent="0.25">
      <c r="A4522" s="90">
        <v>34522</v>
      </c>
      <c r="B4522" s="20">
        <v>0.66666666666666663</v>
      </c>
      <c r="D4522">
        <v>96.98</v>
      </c>
      <c r="E4522" t="str">
        <f t="shared" si="176"/>
        <v>WEEKDAY</v>
      </c>
      <c r="F4522" t="e">
        <f t="shared" si="175"/>
        <v>#N/A</v>
      </c>
      <c r="G4522" s="74">
        <v>31965</v>
      </c>
      <c r="H4522" s="77">
        <v>0.66666666666666663</v>
      </c>
      <c r="J4522">
        <v>71.06</v>
      </c>
      <c r="M4522" s="74">
        <v>33426</v>
      </c>
      <c r="N4522" s="77">
        <v>0.66666666666666663</v>
      </c>
      <c r="P4522">
        <v>80.06</v>
      </c>
      <c r="S4522" s="74">
        <v>34522</v>
      </c>
      <c r="T4522" s="77">
        <v>0.66666666666666663</v>
      </c>
      <c r="V4522">
        <v>84.92</v>
      </c>
      <c r="X4522" s="42"/>
      <c r="AB4522">
        <v>80.599999999999994</v>
      </c>
      <c r="AC4522">
        <v>87.080000000000013</v>
      </c>
      <c r="AE4522" s="74"/>
      <c r="AF4522" s="77"/>
      <c r="AH4522" s="497">
        <v>84.2</v>
      </c>
      <c r="AJ4522" s="42"/>
      <c r="AK4522" s="74"/>
      <c r="AL4522" s="77"/>
      <c r="AN4522" s="497">
        <v>84.92</v>
      </c>
      <c r="AP4522" s="42"/>
      <c r="AQ4522" s="74"/>
      <c r="AR4522" s="77"/>
      <c r="AT4522" s="497">
        <v>82.039999999999992</v>
      </c>
      <c r="AV4522" s="42"/>
      <c r="AW4522" s="74"/>
      <c r="AX4522" s="77"/>
      <c r="BA4522" s="497">
        <v>75.02</v>
      </c>
      <c r="BB4522" s="42"/>
      <c r="BC4522" s="74"/>
      <c r="BD4522" s="77"/>
      <c r="BF4522">
        <v>71.960000000000008</v>
      </c>
      <c r="BH4522" s="42"/>
      <c r="BI4522" s="74"/>
      <c r="BJ4522" s="77"/>
      <c r="BL4522" s="497">
        <v>78.080000000000013</v>
      </c>
      <c r="BN4522" s="42"/>
      <c r="BO4522" s="74"/>
      <c r="BP4522" s="77"/>
      <c r="BR4522" s="497">
        <v>75.02</v>
      </c>
      <c r="BT4522" s="42"/>
    </row>
    <row r="4523" spans="1:72" x14ac:dyDescent="0.25">
      <c r="A4523" s="90">
        <v>34522</v>
      </c>
      <c r="B4523" s="20">
        <v>0.70833333333333337</v>
      </c>
      <c r="D4523">
        <v>93.02</v>
      </c>
      <c r="E4523" t="str">
        <f t="shared" si="176"/>
        <v>WEEKDAY</v>
      </c>
      <c r="F4523" t="e">
        <f t="shared" ref="F4523:F4586" si="177">IF(E4523="WEEKDAY",VLOOKUP(B4523,$DD$19:$DG$42,2),IF(E4523="SATURDAY",VLOOKUP(B4523,$DD$19:$DG$42,3),VLOOKUP(B4523,$DD$19:$DG$42,4)))</f>
        <v>#N/A</v>
      </c>
      <c r="G4523" s="74">
        <v>31965</v>
      </c>
      <c r="H4523" s="77">
        <v>0.70833333333333337</v>
      </c>
      <c r="J4523">
        <v>71.06</v>
      </c>
      <c r="M4523" s="74">
        <v>33426</v>
      </c>
      <c r="N4523" s="77">
        <v>0.70833333333333337</v>
      </c>
      <c r="P4523">
        <v>80.06</v>
      </c>
      <c r="S4523" s="74">
        <v>34522</v>
      </c>
      <c r="T4523" s="77">
        <v>0.70833333333333337</v>
      </c>
      <c r="V4523">
        <v>82.94</v>
      </c>
      <c r="X4523" s="42"/>
      <c r="AB4523">
        <v>79.599999999999994</v>
      </c>
      <c r="AC4523">
        <v>86</v>
      </c>
      <c r="AE4523" s="74"/>
      <c r="AF4523" s="77"/>
      <c r="AH4523" s="497">
        <v>80.599999999999994</v>
      </c>
      <c r="AJ4523" s="42"/>
      <c r="AK4523" s="74"/>
      <c r="AL4523" s="77"/>
      <c r="AN4523" s="497">
        <v>84.92</v>
      </c>
      <c r="AP4523" s="42"/>
      <c r="AQ4523" s="74"/>
      <c r="AR4523" s="77"/>
      <c r="AT4523" s="497">
        <v>79.7</v>
      </c>
      <c r="AV4523" s="42"/>
      <c r="AW4523" s="74"/>
      <c r="AX4523" s="77"/>
      <c r="BA4523" s="497">
        <v>75.02</v>
      </c>
      <c r="BB4523" s="42"/>
      <c r="BC4523" s="74"/>
      <c r="BD4523" s="77"/>
      <c r="BF4523">
        <v>71.06</v>
      </c>
      <c r="BH4523" s="42"/>
      <c r="BI4523" s="74"/>
      <c r="BJ4523" s="77"/>
      <c r="BL4523" s="497">
        <v>78.080000000000013</v>
      </c>
      <c r="BN4523" s="42"/>
      <c r="BO4523" s="74"/>
      <c r="BP4523" s="77"/>
      <c r="BR4523" s="497">
        <v>75.02</v>
      </c>
      <c r="BT4523" s="42"/>
    </row>
    <row r="4524" spans="1:72" x14ac:dyDescent="0.25">
      <c r="A4524" s="90">
        <v>34522</v>
      </c>
      <c r="B4524" s="20">
        <v>0.75</v>
      </c>
      <c r="D4524">
        <v>89.960000000000008</v>
      </c>
      <c r="E4524" t="str">
        <f t="shared" si="176"/>
        <v>WEEKDAY</v>
      </c>
      <c r="F4524" t="e">
        <f t="shared" si="177"/>
        <v>#N/A</v>
      </c>
      <c r="G4524" s="74">
        <v>31965</v>
      </c>
      <c r="H4524" s="77">
        <v>0.75</v>
      </c>
      <c r="J4524">
        <v>71.960000000000008</v>
      </c>
      <c r="M4524" s="74">
        <v>33426</v>
      </c>
      <c r="N4524" s="77">
        <v>0.75</v>
      </c>
      <c r="P4524">
        <v>80.06</v>
      </c>
      <c r="S4524" s="74">
        <v>34522</v>
      </c>
      <c r="T4524" s="77">
        <v>0.75</v>
      </c>
      <c r="V4524">
        <v>80.960000000000008</v>
      </c>
      <c r="X4524" s="42"/>
      <c r="AB4524">
        <v>78.5</v>
      </c>
      <c r="AC4524">
        <v>82.94</v>
      </c>
      <c r="AE4524" s="74"/>
      <c r="AF4524" s="77"/>
      <c r="AH4524" s="497">
        <v>80.599999999999994</v>
      </c>
      <c r="AJ4524" s="42"/>
      <c r="AK4524" s="74"/>
      <c r="AL4524" s="77"/>
      <c r="AN4524" s="497">
        <v>82.94</v>
      </c>
      <c r="AP4524" s="42"/>
      <c r="AQ4524" s="74"/>
      <c r="AR4524" s="77"/>
      <c r="AT4524" s="497">
        <v>77.36</v>
      </c>
      <c r="AV4524" s="42"/>
      <c r="AW4524" s="74"/>
      <c r="AX4524" s="77"/>
      <c r="BA4524" s="497">
        <v>73.039999999999992</v>
      </c>
      <c r="BB4524" s="42"/>
      <c r="BC4524" s="74"/>
      <c r="BD4524" s="77"/>
      <c r="BF4524">
        <v>71.06</v>
      </c>
      <c r="BH4524" s="42"/>
      <c r="BI4524" s="74"/>
      <c r="BJ4524" s="77"/>
      <c r="BL4524" s="497">
        <v>77</v>
      </c>
      <c r="BN4524" s="42"/>
      <c r="BO4524" s="74"/>
      <c r="BP4524" s="77"/>
      <c r="BR4524" s="497">
        <v>73.94</v>
      </c>
      <c r="BT4524" s="42"/>
    </row>
    <row r="4525" spans="1:72" x14ac:dyDescent="0.25">
      <c r="A4525" s="90">
        <v>34522</v>
      </c>
      <c r="B4525" s="20">
        <v>0.79166666666666663</v>
      </c>
      <c r="D4525">
        <v>89.960000000000008</v>
      </c>
      <c r="E4525" t="str">
        <f t="shared" si="176"/>
        <v>WEEKDAY</v>
      </c>
      <c r="F4525" t="e">
        <f t="shared" si="177"/>
        <v>#N/A</v>
      </c>
      <c r="G4525" s="74">
        <v>31965</v>
      </c>
      <c r="H4525" s="77">
        <v>0.79166666666666663</v>
      </c>
      <c r="J4525">
        <v>71.06</v>
      </c>
      <c r="M4525" s="74">
        <v>33426</v>
      </c>
      <c r="N4525" s="77">
        <v>0.79166666666666663</v>
      </c>
      <c r="P4525">
        <v>80.06</v>
      </c>
      <c r="S4525" s="74">
        <v>34522</v>
      </c>
      <c r="T4525" s="77">
        <v>0.79166666666666663</v>
      </c>
      <c r="V4525">
        <v>80.06</v>
      </c>
      <c r="X4525" s="42"/>
      <c r="AB4525">
        <v>77.2</v>
      </c>
      <c r="AC4525">
        <v>80.960000000000008</v>
      </c>
      <c r="AE4525" s="74"/>
      <c r="AF4525" s="77"/>
      <c r="AH4525" s="497">
        <v>78.800000000000011</v>
      </c>
      <c r="AJ4525" s="42"/>
      <c r="AK4525" s="74"/>
      <c r="AL4525" s="77"/>
      <c r="AN4525" s="497">
        <v>80.960000000000008</v>
      </c>
      <c r="AP4525" s="42"/>
      <c r="AQ4525" s="74"/>
      <c r="AR4525" s="77"/>
      <c r="AT4525" s="497">
        <v>75.02</v>
      </c>
      <c r="AV4525" s="42"/>
      <c r="AW4525" s="74"/>
      <c r="AX4525" s="77"/>
      <c r="BA4525" s="497">
        <v>71.06</v>
      </c>
      <c r="BB4525" s="42"/>
      <c r="BC4525" s="74"/>
      <c r="BD4525" s="77"/>
      <c r="BF4525">
        <v>69.98</v>
      </c>
      <c r="BH4525" s="42"/>
      <c r="BI4525" s="74"/>
      <c r="BJ4525" s="77"/>
      <c r="BL4525" s="497">
        <v>75.02</v>
      </c>
      <c r="BN4525" s="42"/>
      <c r="BO4525" s="74"/>
      <c r="BP4525" s="77"/>
      <c r="BR4525" s="497">
        <v>68</v>
      </c>
      <c r="BT4525" s="42"/>
    </row>
    <row r="4526" spans="1:72" x14ac:dyDescent="0.25">
      <c r="A4526" s="90">
        <v>34522</v>
      </c>
      <c r="B4526" s="20">
        <v>0.83333333333333337</v>
      </c>
      <c r="D4526">
        <v>89.06</v>
      </c>
      <c r="E4526" t="str">
        <f t="shared" si="176"/>
        <v>WEEKDAY</v>
      </c>
      <c r="F4526" t="e">
        <f t="shared" si="177"/>
        <v>#N/A</v>
      </c>
      <c r="G4526" s="74">
        <v>31965</v>
      </c>
      <c r="H4526" s="77">
        <v>0.83333333333333337</v>
      </c>
      <c r="J4526">
        <v>69.98</v>
      </c>
      <c r="M4526" s="74">
        <v>33426</v>
      </c>
      <c r="N4526" s="77">
        <v>0.83333333333333337</v>
      </c>
      <c r="P4526">
        <v>77</v>
      </c>
      <c r="S4526" s="74">
        <v>34522</v>
      </c>
      <c r="T4526" s="77">
        <v>0.83333333333333337</v>
      </c>
      <c r="V4526">
        <v>78.080000000000013</v>
      </c>
      <c r="X4526" s="42"/>
      <c r="AB4526">
        <v>75.8</v>
      </c>
      <c r="AC4526">
        <v>78.98</v>
      </c>
      <c r="AE4526" s="74"/>
      <c r="AF4526" s="77"/>
      <c r="AH4526" s="497">
        <v>75.2</v>
      </c>
      <c r="AJ4526" s="42"/>
      <c r="AK4526" s="74"/>
      <c r="AL4526" s="77"/>
      <c r="AN4526" s="497">
        <v>78.98</v>
      </c>
      <c r="AP4526" s="42"/>
      <c r="AQ4526" s="74"/>
      <c r="AR4526" s="77"/>
      <c r="AT4526" s="497">
        <v>73.400000000000006</v>
      </c>
      <c r="AV4526" s="42"/>
      <c r="AW4526" s="74"/>
      <c r="AX4526" s="77"/>
      <c r="BA4526" s="497">
        <v>66.02</v>
      </c>
      <c r="BB4526" s="42"/>
      <c r="BC4526" s="74"/>
      <c r="BD4526" s="77"/>
      <c r="BF4526">
        <v>68</v>
      </c>
      <c r="BH4526" s="42"/>
      <c r="BI4526" s="74"/>
      <c r="BJ4526" s="77"/>
      <c r="BL4526" s="497">
        <v>69.98</v>
      </c>
      <c r="BN4526" s="42"/>
      <c r="BO4526" s="74"/>
      <c r="BP4526" s="77"/>
      <c r="BR4526" s="497">
        <v>60.980000000000004</v>
      </c>
      <c r="BT4526" s="42"/>
    </row>
    <row r="4527" spans="1:72" x14ac:dyDescent="0.25">
      <c r="A4527" s="90">
        <v>34522</v>
      </c>
      <c r="B4527" s="20">
        <v>0.875</v>
      </c>
      <c r="D4527">
        <v>87.98</v>
      </c>
      <c r="E4527" t="str">
        <f t="shared" si="176"/>
        <v>WEEKDAY</v>
      </c>
      <c r="F4527" t="e">
        <f t="shared" si="177"/>
        <v>#N/A</v>
      </c>
      <c r="G4527" s="74">
        <v>31965</v>
      </c>
      <c r="H4527" s="77">
        <v>0.875</v>
      </c>
      <c r="J4527">
        <v>69.98</v>
      </c>
      <c r="M4527" s="74">
        <v>33426</v>
      </c>
      <c r="N4527" s="77">
        <v>0.875</v>
      </c>
      <c r="P4527">
        <v>75.02</v>
      </c>
      <c r="S4527" s="74">
        <v>34522</v>
      </c>
      <c r="T4527" s="77">
        <v>0.875</v>
      </c>
      <c r="V4527">
        <v>78.080000000000013</v>
      </c>
      <c r="X4527" s="42"/>
      <c r="AB4527">
        <v>74.5</v>
      </c>
      <c r="AC4527">
        <v>78.98</v>
      </c>
      <c r="AE4527" s="74"/>
      <c r="AF4527" s="77"/>
      <c r="AH4527" s="497">
        <v>73.400000000000006</v>
      </c>
      <c r="AJ4527" s="42"/>
      <c r="AK4527" s="74"/>
      <c r="AL4527" s="77"/>
      <c r="AN4527" s="497">
        <v>77</v>
      </c>
      <c r="AP4527" s="42"/>
      <c r="AQ4527" s="74"/>
      <c r="AR4527" s="77"/>
      <c r="AT4527" s="497">
        <v>71.599999999999994</v>
      </c>
      <c r="AV4527" s="42"/>
      <c r="AW4527" s="74"/>
      <c r="AX4527" s="77"/>
      <c r="BA4527" s="497">
        <v>62.06</v>
      </c>
      <c r="BB4527" s="42"/>
      <c r="BC4527" s="74"/>
      <c r="BD4527" s="77"/>
      <c r="BF4527">
        <v>66.92</v>
      </c>
      <c r="BH4527" s="42"/>
      <c r="BI4527" s="74"/>
      <c r="BJ4527" s="77"/>
      <c r="BL4527" s="497">
        <v>64.94</v>
      </c>
      <c r="BN4527" s="42"/>
      <c r="BO4527" s="74"/>
      <c r="BP4527" s="77"/>
      <c r="BR4527" s="497">
        <v>60.08</v>
      </c>
      <c r="BT4527" s="42"/>
    </row>
    <row r="4528" spans="1:72" x14ac:dyDescent="0.25">
      <c r="A4528" s="90">
        <v>34522</v>
      </c>
      <c r="B4528" s="20">
        <v>0.91666666666666663</v>
      </c>
      <c r="D4528">
        <v>82.039999999999992</v>
      </c>
      <c r="E4528" t="str">
        <f t="shared" si="176"/>
        <v>WEEKDAY</v>
      </c>
      <c r="F4528" t="e">
        <f t="shared" si="177"/>
        <v>#N/A</v>
      </c>
      <c r="G4528" s="74">
        <v>31965</v>
      </c>
      <c r="H4528" s="77">
        <v>0.91666666666666663</v>
      </c>
      <c r="J4528">
        <v>69.98</v>
      </c>
      <c r="M4528" s="74">
        <v>33426</v>
      </c>
      <c r="N4528" s="77">
        <v>0.91666666666666663</v>
      </c>
      <c r="P4528">
        <v>71.960000000000008</v>
      </c>
      <c r="S4528" s="74">
        <v>34522</v>
      </c>
      <c r="T4528" s="77">
        <v>0.91666666666666663</v>
      </c>
      <c r="V4528">
        <v>82.94</v>
      </c>
      <c r="X4528" s="42"/>
      <c r="AB4528">
        <v>73.8</v>
      </c>
      <c r="AC4528">
        <v>78.98</v>
      </c>
      <c r="AE4528" s="74"/>
      <c r="AF4528" s="77"/>
      <c r="AH4528" s="497">
        <v>73.400000000000006</v>
      </c>
      <c r="AJ4528" s="42"/>
      <c r="AK4528" s="74"/>
      <c r="AL4528" s="77"/>
      <c r="AN4528" s="497">
        <v>75.02</v>
      </c>
      <c r="AP4528" s="42"/>
      <c r="AQ4528" s="74"/>
      <c r="AR4528" s="77"/>
      <c r="AT4528" s="497">
        <v>69.98</v>
      </c>
      <c r="AV4528" s="42"/>
      <c r="AW4528" s="74"/>
      <c r="AX4528" s="77"/>
      <c r="BA4528" s="497">
        <v>59</v>
      </c>
      <c r="BB4528" s="42"/>
      <c r="BC4528" s="74"/>
      <c r="BD4528" s="77"/>
      <c r="BF4528">
        <v>66.02</v>
      </c>
      <c r="BH4528" s="42"/>
      <c r="BI4528" s="74"/>
      <c r="BJ4528" s="77"/>
      <c r="BL4528" s="497">
        <v>62.96</v>
      </c>
      <c r="BN4528" s="42"/>
      <c r="BO4528" s="74"/>
      <c r="BP4528" s="77"/>
      <c r="BR4528" s="497">
        <v>57.92</v>
      </c>
      <c r="BT4528" s="42"/>
    </row>
    <row r="4529" spans="1:72" x14ac:dyDescent="0.25">
      <c r="A4529" s="90">
        <v>34522</v>
      </c>
      <c r="B4529" s="20">
        <v>0.95833333333333337</v>
      </c>
      <c r="D4529">
        <v>78.98</v>
      </c>
      <c r="E4529" t="str">
        <f t="shared" si="176"/>
        <v>WEEKDAY</v>
      </c>
      <c r="F4529" t="e">
        <f t="shared" si="177"/>
        <v>#N/A</v>
      </c>
      <c r="G4529" s="74">
        <v>31965</v>
      </c>
      <c r="H4529" s="77">
        <v>0.95833333333333337</v>
      </c>
      <c r="J4529">
        <v>69.98</v>
      </c>
      <c r="M4529" s="74">
        <v>33426</v>
      </c>
      <c r="N4529" s="77">
        <v>0.95833333333333337</v>
      </c>
      <c r="P4529">
        <v>73.039999999999992</v>
      </c>
      <c r="S4529" s="74">
        <v>34522</v>
      </c>
      <c r="T4529" s="77">
        <v>0.95833333333333337</v>
      </c>
      <c r="V4529">
        <v>80.06</v>
      </c>
      <c r="X4529" s="42"/>
      <c r="AB4529">
        <v>73.400000000000006</v>
      </c>
      <c r="AC4529">
        <v>75.92</v>
      </c>
      <c r="AE4529" s="74"/>
      <c r="AF4529" s="77"/>
      <c r="AH4529" s="497">
        <v>71.599999999999994</v>
      </c>
      <c r="AJ4529" s="42"/>
      <c r="AK4529" s="74"/>
      <c r="AL4529" s="77"/>
      <c r="AN4529" s="497">
        <v>75.02</v>
      </c>
      <c r="AP4529" s="42"/>
      <c r="AQ4529" s="74"/>
      <c r="AR4529" s="77"/>
      <c r="AT4529" s="497">
        <v>69.259999999999991</v>
      </c>
      <c r="AV4529" s="42"/>
      <c r="AW4529" s="74"/>
      <c r="AX4529" s="77"/>
      <c r="BA4529" s="497">
        <v>59</v>
      </c>
      <c r="BB4529" s="42"/>
      <c r="BC4529" s="74"/>
      <c r="BD4529" s="77"/>
      <c r="BF4529">
        <v>68</v>
      </c>
      <c r="BH4529" s="42"/>
      <c r="BI4529" s="74"/>
      <c r="BJ4529" s="77"/>
      <c r="BL4529" s="497">
        <v>60.980000000000004</v>
      </c>
      <c r="BN4529" s="42"/>
      <c r="BO4529" s="74"/>
      <c r="BP4529" s="77"/>
      <c r="BR4529" s="497">
        <v>59</v>
      </c>
      <c r="BT4529" s="42"/>
    </row>
    <row r="4530" spans="1:72" x14ac:dyDescent="0.25">
      <c r="A4530" s="90">
        <v>34522</v>
      </c>
      <c r="B4530" s="20">
        <v>1</v>
      </c>
      <c r="D4530">
        <v>78.98</v>
      </c>
      <c r="E4530" t="str">
        <f t="shared" si="176"/>
        <v>WEEKDAY</v>
      </c>
      <c r="F4530" t="e">
        <f t="shared" si="177"/>
        <v>#N/A</v>
      </c>
      <c r="G4530" s="74">
        <v>31965</v>
      </c>
      <c r="H4530" s="77">
        <v>1</v>
      </c>
      <c r="J4530">
        <v>71.06</v>
      </c>
      <c r="M4530" s="74">
        <v>33426</v>
      </c>
      <c r="N4530" s="80">
        <v>1</v>
      </c>
      <c r="P4530">
        <v>71.78</v>
      </c>
      <c r="S4530" s="74">
        <v>34522</v>
      </c>
      <c r="T4530" s="80">
        <v>1</v>
      </c>
      <c r="V4530">
        <v>78.080000000000013</v>
      </c>
      <c r="X4530" s="42"/>
      <c r="AB4530">
        <v>72.900000000000006</v>
      </c>
      <c r="AC4530">
        <v>75.92</v>
      </c>
      <c r="AE4530" s="74"/>
      <c r="AF4530" s="80"/>
      <c r="AH4530" s="497">
        <v>69.800000000000011</v>
      </c>
      <c r="AJ4530" s="42"/>
      <c r="AK4530" s="74"/>
      <c r="AL4530" s="80"/>
      <c r="AN4530" s="497">
        <v>73.94</v>
      </c>
      <c r="AP4530" s="42"/>
      <c r="AQ4530" s="74"/>
      <c r="AR4530" s="80"/>
      <c r="AT4530" s="497">
        <v>68.72</v>
      </c>
      <c r="AV4530" s="42"/>
      <c r="AW4530" s="74"/>
      <c r="AX4530" s="80"/>
      <c r="BA4530" s="497">
        <v>57.92</v>
      </c>
      <c r="BB4530" s="42"/>
      <c r="BC4530" s="74"/>
      <c r="BD4530" s="80"/>
      <c r="BF4530">
        <v>66.92</v>
      </c>
      <c r="BH4530" s="42"/>
      <c r="BI4530" s="74"/>
      <c r="BJ4530" s="80"/>
      <c r="BL4530" s="497">
        <v>60.08</v>
      </c>
      <c r="BN4530" s="42"/>
      <c r="BO4530" s="74"/>
      <c r="BP4530" s="80"/>
      <c r="BR4530" s="497">
        <v>59</v>
      </c>
      <c r="BT4530" s="42"/>
    </row>
    <row r="4531" spans="1:72" x14ac:dyDescent="0.25">
      <c r="A4531" s="90">
        <v>34523</v>
      </c>
      <c r="B4531" s="20">
        <v>4.1666666666666664E-2</v>
      </c>
      <c r="D4531">
        <v>80.06</v>
      </c>
      <c r="E4531" t="str">
        <f t="shared" si="176"/>
        <v>WEEKDAY</v>
      </c>
      <c r="F4531" t="e">
        <f t="shared" si="177"/>
        <v>#N/A</v>
      </c>
      <c r="G4531" s="74">
        <v>31966</v>
      </c>
      <c r="H4531" s="77">
        <v>4.1666666666666664E-2</v>
      </c>
      <c r="J4531">
        <v>69.98</v>
      </c>
      <c r="M4531" s="74">
        <v>33427</v>
      </c>
      <c r="N4531" s="77">
        <v>4.1666666666666664E-2</v>
      </c>
      <c r="P4531">
        <v>71.06</v>
      </c>
      <c r="S4531" s="74">
        <v>34523</v>
      </c>
      <c r="T4531" s="77">
        <v>4.1666666666666664E-2</v>
      </c>
      <c r="V4531">
        <v>77</v>
      </c>
      <c r="X4531" s="42"/>
      <c r="AB4531">
        <v>72.2</v>
      </c>
      <c r="AC4531">
        <v>75.02</v>
      </c>
      <c r="AE4531" s="74"/>
      <c r="AF4531" s="77"/>
      <c r="AH4531" s="497">
        <v>66.2</v>
      </c>
      <c r="AJ4531" s="42"/>
      <c r="AK4531" s="74"/>
      <c r="AL4531" s="77"/>
      <c r="AN4531" s="497">
        <v>71.960000000000008</v>
      </c>
      <c r="AP4531" s="42"/>
      <c r="AQ4531" s="74"/>
      <c r="AR4531" s="77"/>
      <c r="AT4531" s="497">
        <v>68</v>
      </c>
      <c r="AV4531" s="42"/>
      <c r="AW4531" s="74"/>
      <c r="AX4531" s="77"/>
      <c r="BA4531" s="497">
        <v>57.92</v>
      </c>
      <c r="BB4531" s="42"/>
      <c r="BC4531" s="74"/>
      <c r="BD4531" s="77"/>
      <c r="BF4531">
        <v>66.92</v>
      </c>
      <c r="BH4531" s="42"/>
      <c r="BI4531" s="74"/>
      <c r="BJ4531" s="77"/>
      <c r="BL4531" s="497">
        <v>59</v>
      </c>
      <c r="BN4531" s="42"/>
      <c r="BO4531" s="74"/>
      <c r="BP4531" s="77"/>
      <c r="BR4531" s="497">
        <v>59</v>
      </c>
      <c r="BT4531" s="42"/>
    </row>
    <row r="4532" spans="1:72" x14ac:dyDescent="0.25">
      <c r="A4532" s="90">
        <v>34523</v>
      </c>
      <c r="B4532" s="20">
        <v>8.3333333333333329E-2</v>
      </c>
      <c r="D4532">
        <v>80.960000000000008</v>
      </c>
      <c r="E4532" t="str">
        <f t="shared" si="176"/>
        <v>WEEKDAY</v>
      </c>
      <c r="F4532" t="e">
        <f t="shared" si="177"/>
        <v>#N/A</v>
      </c>
      <c r="G4532" s="74">
        <v>31966</v>
      </c>
      <c r="H4532" s="77">
        <v>8.3333333333333329E-2</v>
      </c>
      <c r="J4532">
        <v>71.06</v>
      </c>
      <c r="M4532" s="74">
        <v>33427</v>
      </c>
      <c r="N4532" s="77">
        <v>8.3333333333333329E-2</v>
      </c>
      <c r="P4532">
        <v>69.98</v>
      </c>
      <c r="S4532" s="74">
        <v>34523</v>
      </c>
      <c r="T4532" s="77">
        <v>8.3333333333333329E-2</v>
      </c>
      <c r="V4532">
        <v>75.02</v>
      </c>
      <c r="X4532" s="42"/>
      <c r="AB4532">
        <v>71.599999999999994</v>
      </c>
      <c r="AC4532">
        <v>75.92</v>
      </c>
      <c r="AE4532" s="74"/>
      <c r="AF4532" s="77"/>
      <c r="AH4532" s="497">
        <v>68</v>
      </c>
      <c r="AJ4532" s="42"/>
      <c r="AK4532" s="74"/>
      <c r="AL4532" s="77"/>
      <c r="AN4532" s="497">
        <v>71.06</v>
      </c>
      <c r="AP4532" s="42"/>
      <c r="AQ4532" s="74"/>
      <c r="AR4532" s="77"/>
      <c r="AT4532" s="497">
        <v>68.36</v>
      </c>
      <c r="AV4532" s="42"/>
      <c r="AW4532" s="74"/>
      <c r="AX4532" s="77"/>
      <c r="BA4532" s="497">
        <v>55.94</v>
      </c>
      <c r="BB4532" s="42"/>
      <c r="BC4532" s="74"/>
      <c r="BD4532" s="77"/>
      <c r="BF4532">
        <v>69.98</v>
      </c>
      <c r="BH4532" s="42"/>
      <c r="BI4532" s="74"/>
      <c r="BJ4532" s="77"/>
      <c r="BL4532" s="497">
        <v>55.94</v>
      </c>
      <c r="BN4532" s="42"/>
      <c r="BO4532" s="74"/>
      <c r="BP4532" s="77"/>
      <c r="BR4532" s="497">
        <v>57.019999999999996</v>
      </c>
      <c r="BT4532" s="42"/>
    </row>
    <row r="4533" spans="1:72" x14ac:dyDescent="0.25">
      <c r="A4533" s="90">
        <v>34523</v>
      </c>
      <c r="B4533" s="20">
        <v>0.125</v>
      </c>
      <c r="D4533">
        <v>80.06</v>
      </c>
      <c r="E4533" t="str">
        <f t="shared" si="176"/>
        <v>WEEKDAY</v>
      </c>
      <c r="F4533" t="e">
        <f t="shared" si="177"/>
        <v>#N/A</v>
      </c>
      <c r="G4533" s="74">
        <v>31966</v>
      </c>
      <c r="H4533" s="77">
        <v>0.125</v>
      </c>
      <c r="J4533">
        <v>71.06</v>
      </c>
      <c r="M4533" s="74">
        <v>33427</v>
      </c>
      <c r="N4533" s="77">
        <v>0.125</v>
      </c>
      <c r="P4533">
        <v>69.98</v>
      </c>
      <c r="S4533" s="74">
        <v>34523</v>
      </c>
      <c r="T4533" s="77">
        <v>0.125</v>
      </c>
      <c r="V4533">
        <v>75.92</v>
      </c>
      <c r="X4533" s="42"/>
      <c r="AB4533">
        <v>71</v>
      </c>
      <c r="AC4533">
        <v>73.94</v>
      </c>
      <c r="AE4533" s="74"/>
      <c r="AF4533" s="77"/>
      <c r="AH4533" s="497">
        <v>68</v>
      </c>
      <c r="AJ4533" s="42"/>
      <c r="AK4533" s="74"/>
      <c r="AL4533" s="77"/>
      <c r="AN4533" s="497">
        <v>69.98</v>
      </c>
      <c r="AP4533" s="42"/>
      <c r="AQ4533" s="74"/>
      <c r="AR4533" s="77"/>
      <c r="AT4533" s="497">
        <v>68.72</v>
      </c>
      <c r="AV4533" s="42"/>
      <c r="AW4533" s="74"/>
      <c r="AX4533" s="77"/>
      <c r="BA4533" s="497">
        <v>57.019999999999996</v>
      </c>
      <c r="BB4533" s="42"/>
      <c r="BC4533" s="74"/>
      <c r="BD4533" s="77"/>
      <c r="BF4533">
        <v>66.92</v>
      </c>
      <c r="BH4533" s="42"/>
      <c r="BI4533" s="74"/>
      <c r="BJ4533" s="77"/>
      <c r="BL4533" s="497">
        <v>57.019999999999996</v>
      </c>
      <c r="BN4533" s="42"/>
      <c r="BO4533" s="74"/>
      <c r="BP4533" s="77"/>
      <c r="BR4533" s="497">
        <v>57.019999999999996</v>
      </c>
      <c r="BT4533" s="42"/>
    </row>
    <row r="4534" spans="1:72" x14ac:dyDescent="0.25">
      <c r="A4534" s="90">
        <v>34523</v>
      </c>
      <c r="B4534" s="20">
        <v>0.16666666666666666</v>
      </c>
      <c r="D4534">
        <v>78.98</v>
      </c>
      <c r="E4534" t="str">
        <f t="shared" si="176"/>
        <v>WEEKDAY</v>
      </c>
      <c r="F4534" t="e">
        <f t="shared" si="177"/>
        <v>#N/A</v>
      </c>
      <c r="G4534" s="74">
        <v>31966</v>
      </c>
      <c r="H4534" s="77">
        <v>0.16666666666666666</v>
      </c>
      <c r="J4534">
        <v>69.080000000000013</v>
      </c>
      <c r="M4534" s="74">
        <v>33427</v>
      </c>
      <c r="N4534" s="77">
        <v>0.16666666666666666</v>
      </c>
      <c r="P4534">
        <v>69.98</v>
      </c>
      <c r="S4534" s="74">
        <v>34523</v>
      </c>
      <c r="T4534" s="77">
        <v>0.16666666666666666</v>
      </c>
      <c r="V4534">
        <v>75.92</v>
      </c>
      <c r="X4534" s="42"/>
      <c r="AB4534">
        <v>70.599999999999994</v>
      </c>
      <c r="AC4534">
        <v>75.02</v>
      </c>
      <c r="AE4534" s="74"/>
      <c r="AF4534" s="77"/>
      <c r="AH4534" s="497">
        <v>68</v>
      </c>
      <c r="AJ4534" s="42"/>
      <c r="AK4534" s="74"/>
      <c r="AL4534" s="77"/>
      <c r="AN4534" s="497">
        <v>71.06</v>
      </c>
      <c r="AP4534" s="42"/>
      <c r="AQ4534" s="74"/>
      <c r="AR4534" s="77"/>
      <c r="AT4534" s="497">
        <v>69.080000000000013</v>
      </c>
      <c r="AV4534" s="42"/>
      <c r="AW4534" s="74"/>
      <c r="AX4534" s="77"/>
      <c r="BA4534" s="497">
        <v>55.94</v>
      </c>
      <c r="BB4534" s="42"/>
      <c r="BC4534" s="74"/>
      <c r="BD4534" s="77"/>
      <c r="BF4534">
        <v>64.039999999999992</v>
      </c>
      <c r="BH4534" s="42"/>
      <c r="BI4534" s="74"/>
      <c r="BJ4534" s="77"/>
      <c r="BL4534" s="497">
        <v>57.019999999999996</v>
      </c>
      <c r="BN4534" s="42"/>
      <c r="BO4534" s="74"/>
      <c r="BP4534" s="77"/>
      <c r="BR4534" s="497">
        <v>57.019999999999996</v>
      </c>
      <c r="BT4534" s="42"/>
    </row>
    <row r="4535" spans="1:72" x14ac:dyDescent="0.25">
      <c r="A4535" s="90">
        <v>34523</v>
      </c>
      <c r="B4535" s="20">
        <v>0.20833333333333334</v>
      </c>
      <c r="D4535">
        <v>77</v>
      </c>
      <c r="E4535" t="str">
        <f t="shared" si="176"/>
        <v>WEEKDAY</v>
      </c>
      <c r="F4535" t="e">
        <f t="shared" si="177"/>
        <v>#N/A</v>
      </c>
      <c r="G4535" s="74">
        <v>31966</v>
      </c>
      <c r="H4535" s="77">
        <v>0.20833333333333334</v>
      </c>
      <c r="J4535">
        <v>69.98</v>
      </c>
      <c r="M4535" s="74">
        <v>33427</v>
      </c>
      <c r="N4535" s="77">
        <v>0.20833333333333334</v>
      </c>
      <c r="P4535">
        <v>69.080000000000013</v>
      </c>
      <c r="S4535" s="74">
        <v>34523</v>
      </c>
      <c r="T4535" s="77">
        <v>0.20833333333333334</v>
      </c>
      <c r="V4535">
        <v>77</v>
      </c>
      <c r="X4535" s="42"/>
      <c r="AB4535">
        <v>70.099999999999994</v>
      </c>
      <c r="AC4535">
        <v>73.039999999999992</v>
      </c>
      <c r="AE4535" s="74"/>
      <c r="AF4535" s="77"/>
      <c r="AH4535" s="497">
        <v>66.2</v>
      </c>
      <c r="AJ4535" s="42"/>
      <c r="AK4535" s="74"/>
      <c r="AL4535" s="77"/>
      <c r="AN4535" s="497">
        <v>71.06</v>
      </c>
      <c r="AP4535" s="42"/>
      <c r="AQ4535" s="74"/>
      <c r="AR4535" s="77"/>
      <c r="AT4535" s="497">
        <v>69.44</v>
      </c>
      <c r="AV4535" s="42"/>
      <c r="AW4535" s="74"/>
      <c r="AX4535" s="77"/>
      <c r="BA4535" s="497">
        <v>55.94</v>
      </c>
      <c r="BB4535" s="42"/>
      <c r="BC4535" s="74"/>
      <c r="BD4535" s="77"/>
      <c r="BF4535">
        <v>64.94</v>
      </c>
      <c r="BH4535" s="42"/>
      <c r="BI4535" s="74"/>
      <c r="BJ4535" s="77"/>
      <c r="BL4535" s="497">
        <v>55.94</v>
      </c>
      <c r="BN4535" s="42"/>
      <c r="BO4535" s="74"/>
      <c r="BP4535" s="77"/>
      <c r="BR4535" s="497">
        <v>57.019999999999996</v>
      </c>
      <c r="BT4535" s="42"/>
    </row>
    <row r="4536" spans="1:72" x14ac:dyDescent="0.25">
      <c r="A4536" s="90">
        <v>34523</v>
      </c>
      <c r="B4536" s="20">
        <v>0.25</v>
      </c>
      <c r="D4536">
        <v>78.98</v>
      </c>
      <c r="E4536" t="str">
        <f t="shared" si="176"/>
        <v>WEEKDAY</v>
      </c>
      <c r="F4536" t="e">
        <f t="shared" si="177"/>
        <v>#N/A</v>
      </c>
      <c r="G4536" s="74">
        <v>31966</v>
      </c>
      <c r="H4536" s="77">
        <v>0.25</v>
      </c>
      <c r="J4536">
        <v>69.98</v>
      </c>
      <c r="M4536" s="74">
        <v>33427</v>
      </c>
      <c r="N4536" s="77">
        <v>0.25</v>
      </c>
      <c r="P4536">
        <v>71.960000000000008</v>
      </c>
      <c r="S4536" s="74">
        <v>34523</v>
      </c>
      <c r="T4536" s="77">
        <v>0.25</v>
      </c>
      <c r="V4536">
        <v>78.080000000000013</v>
      </c>
      <c r="X4536" s="42"/>
      <c r="AB4536">
        <v>69.900000000000006</v>
      </c>
      <c r="AC4536">
        <v>75.02</v>
      </c>
      <c r="AE4536" s="74"/>
      <c r="AF4536" s="77"/>
      <c r="AH4536" s="497">
        <v>68</v>
      </c>
      <c r="AJ4536" s="42"/>
      <c r="AK4536" s="74"/>
      <c r="AL4536" s="77"/>
      <c r="AN4536" s="497">
        <v>69.98</v>
      </c>
      <c r="AP4536" s="42"/>
      <c r="AQ4536" s="74"/>
      <c r="AR4536" s="77"/>
      <c r="AT4536" s="497">
        <v>69.62</v>
      </c>
      <c r="AV4536" s="42"/>
      <c r="AW4536" s="74"/>
      <c r="AX4536" s="77"/>
      <c r="BA4536" s="497">
        <v>57.019999999999996</v>
      </c>
      <c r="BB4536" s="42"/>
      <c r="BC4536" s="74"/>
      <c r="BD4536" s="77"/>
      <c r="BF4536">
        <v>64.94</v>
      </c>
      <c r="BH4536" s="42"/>
      <c r="BI4536" s="74"/>
      <c r="BJ4536" s="77"/>
      <c r="BL4536" s="497">
        <v>57.92</v>
      </c>
      <c r="BN4536" s="42"/>
      <c r="BO4536" s="74"/>
      <c r="BP4536" s="77"/>
      <c r="BR4536" s="497">
        <v>59</v>
      </c>
      <c r="BT4536" s="42"/>
    </row>
    <row r="4537" spans="1:72" x14ac:dyDescent="0.25">
      <c r="A4537" s="90">
        <v>34523</v>
      </c>
      <c r="B4537" s="20">
        <v>0.29166666666666669</v>
      </c>
      <c r="D4537">
        <v>80.06</v>
      </c>
      <c r="E4537" t="str">
        <f t="shared" si="176"/>
        <v>WEEKDAY</v>
      </c>
      <c r="F4537" t="e">
        <f t="shared" si="177"/>
        <v>#N/A</v>
      </c>
      <c r="G4537" s="74">
        <v>31966</v>
      </c>
      <c r="H4537" s="77">
        <v>0.29166666666666669</v>
      </c>
      <c r="J4537">
        <v>69.98</v>
      </c>
      <c r="M4537" s="74">
        <v>33427</v>
      </c>
      <c r="N4537" s="77">
        <v>0.29166666666666669</v>
      </c>
      <c r="P4537">
        <v>75.02</v>
      </c>
      <c r="S4537" s="74">
        <v>34523</v>
      </c>
      <c r="T4537" s="77">
        <v>0.29166666666666669</v>
      </c>
      <c r="V4537">
        <v>80.06</v>
      </c>
      <c r="X4537" s="42"/>
      <c r="AB4537">
        <v>71.5</v>
      </c>
      <c r="AC4537">
        <v>78.98</v>
      </c>
      <c r="AE4537" s="74"/>
      <c r="AF4537" s="77"/>
      <c r="AH4537" s="497">
        <v>71.599999999999994</v>
      </c>
      <c r="AJ4537" s="42"/>
      <c r="AK4537" s="74"/>
      <c r="AL4537" s="77"/>
      <c r="AN4537" s="497">
        <v>71.960000000000008</v>
      </c>
      <c r="AP4537" s="42"/>
      <c r="AQ4537" s="74"/>
      <c r="AR4537" s="77"/>
      <c r="AT4537" s="497">
        <v>69.98</v>
      </c>
      <c r="AV4537" s="42"/>
      <c r="AW4537" s="74"/>
      <c r="AX4537" s="77"/>
      <c r="BA4537" s="497">
        <v>60.08</v>
      </c>
      <c r="BB4537" s="42"/>
      <c r="BC4537" s="74"/>
      <c r="BD4537" s="77"/>
      <c r="BF4537">
        <v>66.92</v>
      </c>
      <c r="BH4537" s="42"/>
      <c r="BI4537" s="74"/>
      <c r="BJ4537" s="77"/>
      <c r="BL4537" s="497">
        <v>60.08</v>
      </c>
      <c r="BN4537" s="42"/>
      <c r="BO4537" s="74"/>
      <c r="BP4537" s="77"/>
      <c r="BR4537" s="497">
        <v>64.039999999999992</v>
      </c>
      <c r="BT4537" s="42"/>
    </row>
    <row r="4538" spans="1:72" x14ac:dyDescent="0.25">
      <c r="A4538" s="90">
        <v>34523</v>
      </c>
      <c r="B4538" s="20">
        <v>0.33333333333333331</v>
      </c>
      <c r="D4538">
        <v>80.960000000000008</v>
      </c>
      <c r="E4538" t="str">
        <f t="shared" si="176"/>
        <v>WEEKDAY</v>
      </c>
      <c r="F4538" t="e">
        <f t="shared" si="177"/>
        <v>#N/A</v>
      </c>
      <c r="G4538" s="74">
        <v>31966</v>
      </c>
      <c r="H4538" s="77">
        <v>0.33333333333333331</v>
      </c>
      <c r="J4538">
        <v>71.06</v>
      </c>
      <c r="M4538" s="74">
        <v>33427</v>
      </c>
      <c r="N4538" s="77">
        <v>0.33333333333333331</v>
      </c>
      <c r="P4538">
        <v>78.080000000000013</v>
      </c>
      <c r="S4538" s="74">
        <v>34523</v>
      </c>
      <c r="T4538" s="77">
        <v>0.33333333333333331</v>
      </c>
      <c r="V4538">
        <v>82.94</v>
      </c>
      <c r="X4538" s="42"/>
      <c r="AB4538">
        <v>73.599999999999994</v>
      </c>
      <c r="AC4538">
        <v>82.039999999999992</v>
      </c>
      <c r="AE4538" s="74"/>
      <c r="AF4538" s="77"/>
      <c r="AH4538" s="497">
        <v>71.599999999999994</v>
      </c>
      <c r="AJ4538" s="42"/>
      <c r="AK4538" s="74"/>
      <c r="AL4538" s="77"/>
      <c r="AN4538" s="497">
        <v>75.92</v>
      </c>
      <c r="AP4538" s="42"/>
      <c r="AQ4538" s="74"/>
      <c r="AR4538" s="77"/>
      <c r="AT4538" s="497">
        <v>70.34</v>
      </c>
      <c r="AV4538" s="42"/>
      <c r="AW4538" s="74"/>
      <c r="AX4538" s="77"/>
      <c r="BA4538" s="497">
        <v>66.92</v>
      </c>
      <c r="BB4538" s="42"/>
      <c r="BC4538" s="74"/>
      <c r="BD4538" s="77"/>
      <c r="BF4538">
        <v>69.98</v>
      </c>
      <c r="BH4538" s="42"/>
      <c r="BI4538" s="74"/>
      <c r="BJ4538" s="77"/>
      <c r="BL4538" s="497">
        <v>64.94</v>
      </c>
      <c r="BN4538" s="42"/>
      <c r="BO4538" s="74"/>
      <c r="BP4538" s="77"/>
      <c r="BR4538" s="497">
        <v>69.080000000000013</v>
      </c>
      <c r="BT4538" s="42"/>
    </row>
    <row r="4539" spans="1:72" x14ac:dyDescent="0.25">
      <c r="A4539" s="90">
        <v>34523</v>
      </c>
      <c r="B4539" s="20">
        <v>0.375</v>
      </c>
      <c r="D4539">
        <v>82.039999999999992</v>
      </c>
      <c r="E4539" t="str">
        <f t="shared" si="176"/>
        <v>WEEKDAY</v>
      </c>
      <c r="F4539" t="e">
        <f t="shared" si="177"/>
        <v>#N/A</v>
      </c>
      <c r="G4539" s="74">
        <v>31966</v>
      </c>
      <c r="H4539" s="77">
        <v>0.375</v>
      </c>
      <c r="J4539">
        <v>71.960000000000008</v>
      </c>
      <c r="M4539" s="74">
        <v>33427</v>
      </c>
      <c r="N4539" s="77">
        <v>0.375</v>
      </c>
      <c r="P4539">
        <v>77</v>
      </c>
      <c r="S4539" s="74">
        <v>34523</v>
      </c>
      <c r="T4539" s="77">
        <v>0.375</v>
      </c>
      <c r="V4539">
        <v>82.94</v>
      </c>
      <c r="X4539" s="42"/>
      <c r="AB4539">
        <v>75.5</v>
      </c>
      <c r="AC4539">
        <v>84.92</v>
      </c>
      <c r="AE4539" s="74"/>
      <c r="AF4539" s="77"/>
      <c r="AH4539" s="497">
        <v>75.2</v>
      </c>
      <c r="AJ4539" s="42"/>
      <c r="AK4539" s="74"/>
      <c r="AL4539" s="77"/>
      <c r="AN4539" s="497">
        <v>78.98</v>
      </c>
      <c r="AP4539" s="42"/>
      <c r="AQ4539" s="74"/>
      <c r="AR4539" s="77"/>
      <c r="AT4539" s="497">
        <v>70.7</v>
      </c>
      <c r="AV4539" s="42"/>
      <c r="AW4539" s="74"/>
      <c r="AX4539" s="77"/>
      <c r="BA4539" s="497">
        <v>73.94</v>
      </c>
      <c r="BB4539" s="42"/>
      <c r="BC4539" s="74"/>
      <c r="BD4539" s="77"/>
      <c r="BF4539">
        <v>71.06</v>
      </c>
      <c r="BH4539" s="42"/>
      <c r="BI4539" s="74"/>
      <c r="BJ4539" s="77"/>
      <c r="BL4539" s="497">
        <v>69.98</v>
      </c>
      <c r="BN4539" s="42"/>
      <c r="BO4539" s="74"/>
      <c r="BP4539" s="77"/>
      <c r="BR4539" s="497">
        <v>71.960000000000008</v>
      </c>
      <c r="BT4539" s="42"/>
    </row>
    <row r="4540" spans="1:72" x14ac:dyDescent="0.25">
      <c r="A4540" s="90">
        <v>34523</v>
      </c>
      <c r="B4540" s="20">
        <v>0.41666666666666669</v>
      </c>
      <c r="D4540">
        <v>84.92</v>
      </c>
      <c r="E4540" t="str">
        <f t="shared" si="176"/>
        <v>WEEKDAY</v>
      </c>
      <c r="F4540" t="e">
        <f t="shared" si="177"/>
        <v>#N/A</v>
      </c>
      <c r="G4540" s="74">
        <v>31966</v>
      </c>
      <c r="H4540" s="77">
        <v>0.41666666666666669</v>
      </c>
      <c r="J4540">
        <v>73.039999999999992</v>
      </c>
      <c r="M4540" s="74">
        <v>33427</v>
      </c>
      <c r="N4540" s="77">
        <v>0.41666666666666669</v>
      </c>
      <c r="P4540">
        <v>80.06</v>
      </c>
      <c r="S4540" s="74">
        <v>34523</v>
      </c>
      <c r="T4540" s="77">
        <v>0.41666666666666669</v>
      </c>
      <c r="V4540">
        <v>84.92</v>
      </c>
      <c r="X4540" s="42"/>
      <c r="AB4540">
        <v>77.400000000000006</v>
      </c>
      <c r="AC4540">
        <v>87.080000000000013</v>
      </c>
      <c r="AE4540" s="74"/>
      <c r="AF4540" s="77"/>
      <c r="AH4540" s="497">
        <v>78.800000000000011</v>
      </c>
      <c r="AJ4540" s="42"/>
      <c r="AK4540" s="74"/>
      <c r="AL4540" s="77"/>
      <c r="AN4540" s="497">
        <v>80.960000000000008</v>
      </c>
      <c r="AP4540" s="42"/>
      <c r="AQ4540" s="74"/>
      <c r="AR4540" s="77"/>
      <c r="AT4540" s="497">
        <v>71.06</v>
      </c>
      <c r="AV4540" s="42"/>
      <c r="AW4540" s="74"/>
      <c r="AX4540" s="77"/>
      <c r="BA4540" s="497">
        <v>77</v>
      </c>
      <c r="BB4540" s="42"/>
      <c r="BC4540" s="74"/>
      <c r="BD4540" s="77"/>
      <c r="BF4540">
        <v>71.960000000000008</v>
      </c>
      <c r="BH4540" s="42"/>
      <c r="BI4540" s="74"/>
      <c r="BJ4540" s="77"/>
      <c r="BL4540" s="497">
        <v>75.02</v>
      </c>
      <c r="BN4540" s="42"/>
      <c r="BO4540" s="74"/>
      <c r="BP4540" s="77"/>
      <c r="BR4540" s="497">
        <v>73.94</v>
      </c>
      <c r="BT4540" s="42"/>
    </row>
    <row r="4541" spans="1:72" x14ac:dyDescent="0.25">
      <c r="A4541" s="90">
        <v>34523</v>
      </c>
      <c r="B4541" s="20">
        <v>0.45833333333333331</v>
      </c>
      <c r="D4541">
        <v>89.06</v>
      </c>
      <c r="E4541" t="str">
        <f t="shared" si="176"/>
        <v>WEEKDAY</v>
      </c>
      <c r="F4541" t="e">
        <f t="shared" si="177"/>
        <v>#N/A</v>
      </c>
      <c r="G4541" s="74">
        <v>31966</v>
      </c>
      <c r="H4541" s="77">
        <v>0.45833333333333331</v>
      </c>
      <c r="J4541">
        <v>75.02</v>
      </c>
      <c r="M4541" s="74">
        <v>33427</v>
      </c>
      <c r="N4541" s="77">
        <v>0.45833333333333331</v>
      </c>
      <c r="P4541">
        <v>86</v>
      </c>
      <c r="S4541" s="74">
        <v>34523</v>
      </c>
      <c r="T4541" s="77">
        <v>0.45833333333333331</v>
      </c>
      <c r="V4541">
        <v>87.98</v>
      </c>
      <c r="X4541" s="42"/>
      <c r="AB4541">
        <v>78.900000000000006</v>
      </c>
      <c r="AC4541">
        <v>87.080000000000013</v>
      </c>
      <c r="AE4541" s="74"/>
      <c r="AF4541" s="77"/>
      <c r="AH4541" s="497">
        <v>80.599999999999994</v>
      </c>
      <c r="AJ4541" s="42"/>
      <c r="AK4541" s="74"/>
      <c r="AL4541" s="77"/>
      <c r="AN4541" s="497">
        <v>84.02</v>
      </c>
      <c r="AP4541" s="42"/>
      <c r="AQ4541" s="74"/>
      <c r="AR4541" s="77"/>
      <c r="AT4541" s="497">
        <v>73.039999999999992</v>
      </c>
      <c r="AV4541" s="42"/>
      <c r="AW4541" s="74"/>
      <c r="AX4541" s="77"/>
      <c r="BA4541" s="497">
        <v>78.080000000000013</v>
      </c>
      <c r="BB4541" s="42"/>
      <c r="BC4541" s="74"/>
      <c r="BD4541" s="77"/>
      <c r="BF4541">
        <v>71.960000000000008</v>
      </c>
      <c r="BH4541" s="42"/>
      <c r="BI4541" s="74"/>
      <c r="BJ4541" s="77"/>
      <c r="BL4541" s="497">
        <v>78.080000000000013</v>
      </c>
      <c r="BN4541" s="42"/>
      <c r="BO4541" s="74"/>
      <c r="BP4541" s="77"/>
      <c r="BR4541" s="497">
        <v>77</v>
      </c>
      <c r="BT4541" s="42"/>
    </row>
    <row r="4542" spans="1:72" x14ac:dyDescent="0.25">
      <c r="A4542" s="90">
        <v>34523</v>
      </c>
      <c r="B4542" s="20">
        <v>0.5</v>
      </c>
      <c r="D4542">
        <v>96.08</v>
      </c>
      <c r="E4542" t="str">
        <f t="shared" si="176"/>
        <v>WEEKDAY</v>
      </c>
      <c r="F4542" t="e">
        <f t="shared" si="177"/>
        <v>#N/A</v>
      </c>
      <c r="G4542" s="74">
        <v>31966</v>
      </c>
      <c r="H4542" s="77">
        <v>0.5</v>
      </c>
      <c r="J4542">
        <v>75.92</v>
      </c>
      <c r="M4542" s="74">
        <v>33427</v>
      </c>
      <c r="N4542" s="77">
        <v>0.5</v>
      </c>
      <c r="P4542">
        <v>89.06</v>
      </c>
      <c r="S4542" s="74">
        <v>34523</v>
      </c>
      <c r="T4542" s="77">
        <v>0.5</v>
      </c>
      <c r="V4542">
        <v>89.960000000000008</v>
      </c>
      <c r="X4542" s="42"/>
      <c r="AB4542">
        <v>80.099999999999994</v>
      </c>
      <c r="AC4542">
        <v>87.98</v>
      </c>
      <c r="AE4542" s="74"/>
      <c r="AF4542" s="77"/>
      <c r="AH4542" s="497">
        <v>82.4</v>
      </c>
      <c r="AJ4542" s="42"/>
      <c r="AK4542" s="74"/>
      <c r="AL4542" s="77"/>
      <c r="AN4542" s="497">
        <v>84.02</v>
      </c>
      <c r="AP4542" s="42"/>
      <c r="AQ4542" s="74"/>
      <c r="AR4542" s="77"/>
      <c r="AT4542" s="497">
        <v>75.02</v>
      </c>
      <c r="AV4542" s="42"/>
      <c r="AW4542" s="74"/>
      <c r="AX4542" s="77"/>
      <c r="BA4542" s="497">
        <v>80.06</v>
      </c>
      <c r="BB4542" s="42"/>
      <c r="BC4542" s="74"/>
      <c r="BD4542" s="77"/>
      <c r="BF4542">
        <v>69.98</v>
      </c>
      <c r="BH4542" s="42"/>
      <c r="BI4542" s="74"/>
      <c r="BJ4542" s="77"/>
      <c r="BL4542" s="497">
        <v>80.06</v>
      </c>
      <c r="BN4542" s="42"/>
      <c r="BO4542" s="74"/>
      <c r="BP4542" s="77"/>
      <c r="BR4542" s="497">
        <v>78.080000000000013</v>
      </c>
      <c r="BT4542" s="42"/>
    </row>
    <row r="4543" spans="1:72" x14ac:dyDescent="0.25">
      <c r="A4543" s="90">
        <v>34523</v>
      </c>
      <c r="B4543" s="20">
        <v>0.54166666666666663</v>
      </c>
      <c r="D4543">
        <v>95</v>
      </c>
      <c r="E4543" t="str">
        <f t="shared" si="176"/>
        <v>WEEKDAY</v>
      </c>
      <c r="F4543" t="e">
        <f t="shared" si="177"/>
        <v>#N/A</v>
      </c>
      <c r="G4543" s="74">
        <v>31966</v>
      </c>
      <c r="H4543" s="77">
        <v>0.54166666666666663</v>
      </c>
      <c r="J4543">
        <v>78.080000000000013</v>
      </c>
      <c r="M4543" s="74">
        <v>33427</v>
      </c>
      <c r="N4543" s="77">
        <v>0.54166666666666663</v>
      </c>
      <c r="P4543">
        <v>89.06</v>
      </c>
      <c r="S4543" s="74">
        <v>34523</v>
      </c>
      <c r="T4543" s="77">
        <v>0.54166666666666663</v>
      </c>
      <c r="V4543">
        <v>87.98</v>
      </c>
      <c r="X4543" s="42"/>
      <c r="AB4543">
        <v>80.8</v>
      </c>
      <c r="AC4543">
        <v>89.06</v>
      </c>
      <c r="AE4543" s="74"/>
      <c r="AF4543" s="77"/>
      <c r="AH4543" s="497">
        <v>84.2</v>
      </c>
      <c r="AJ4543" s="42"/>
      <c r="AK4543" s="74"/>
      <c r="AL4543" s="77"/>
      <c r="AN4543" s="497">
        <v>86</v>
      </c>
      <c r="AP4543" s="42"/>
      <c r="AQ4543" s="74"/>
      <c r="AR4543" s="77"/>
      <c r="AT4543" s="497">
        <v>77</v>
      </c>
      <c r="AV4543" s="42"/>
      <c r="AW4543" s="74"/>
      <c r="AX4543" s="77"/>
      <c r="BA4543" s="497">
        <v>75.02</v>
      </c>
      <c r="BB4543" s="42"/>
      <c r="BC4543" s="74"/>
      <c r="BD4543" s="77"/>
      <c r="BF4543">
        <v>71.960000000000008</v>
      </c>
      <c r="BH4543" s="42"/>
      <c r="BI4543" s="74"/>
      <c r="BJ4543" s="77"/>
      <c r="BL4543" s="497">
        <v>82.039999999999992</v>
      </c>
      <c r="BN4543" s="42"/>
      <c r="BO4543" s="74"/>
      <c r="BP4543" s="77"/>
      <c r="BR4543" s="497">
        <v>78.080000000000013</v>
      </c>
      <c r="BT4543" s="42"/>
    </row>
    <row r="4544" spans="1:72" x14ac:dyDescent="0.25">
      <c r="A4544" s="90">
        <v>34523</v>
      </c>
      <c r="B4544" s="20">
        <v>0.58333333333333337</v>
      </c>
      <c r="D4544">
        <v>87.98</v>
      </c>
      <c r="E4544" t="str">
        <f t="shared" si="176"/>
        <v>WEEKDAY</v>
      </c>
      <c r="F4544" t="e">
        <f t="shared" si="177"/>
        <v>#N/A</v>
      </c>
      <c r="G4544" s="74">
        <v>31966</v>
      </c>
      <c r="H4544" s="77">
        <v>0.58333333333333337</v>
      </c>
      <c r="J4544">
        <v>80.06</v>
      </c>
      <c r="M4544" s="74">
        <v>33427</v>
      </c>
      <c r="N4544" s="77">
        <v>0.58333333333333337</v>
      </c>
      <c r="P4544">
        <v>91.039999999999992</v>
      </c>
      <c r="S4544" s="74">
        <v>34523</v>
      </c>
      <c r="T4544" s="77">
        <v>0.58333333333333337</v>
      </c>
      <c r="V4544">
        <v>84.02</v>
      </c>
      <c r="X4544" s="42"/>
      <c r="AB4544">
        <v>81.3</v>
      </c>
      <c r="AC4544">
        <v>84.02</v>
      </c>
      <c r="AE4544" s="74"/>
      <c r="AF4544" s="77"/>
      <c r="AH4544" s="497">
        <v>86</v>
      </c>
      <c r="AJ4544" s="42"/>
      <c r="AK4544" s="74"/>
      <c r="AL4544" s="77"/>
      <c r="AN4544" s="497">
        <v>82.039999999999992</v>
      </c>
      <c r="AP4544" s="42"/>
      <c r="AQ4544" s="74"/>
      <c r="AR4544" s="77"/>
      <c r="AT4544" s="497">
        <v>76.28</v>
      </c>
      <c r="AV4544" s="42"/>
      <c r="AW4544" s="74"/>
      <c r="AX4544" s="77"/>
      <c r="BA4544" s="497">
        <v>77</v>
      </c>
      <c r="BB4544" s="42"/>
      <c r="BC4544" s="74"/>
      <c r="BD4544" s="77"/>
      <c r="BF4544">
        <v>78.080000000000013</v>
      </c>
      <c r="BH4544" s="42"/>
      <c r="BI4544" s="74"/>
      <c r="BJ4544" s="77"/>
      <c r="BL4544" s="497">
        <v>82.039999999999992</v>
      </c>
      <c r="BN4544" s="42"/>
      <c r="BO4544" s="74"/>
      <c r="BP4544" s="77"/>
      <c r="BR4544" s="497">
        <v>78.98</v>
      </c>
      <c r="BT4544" s="42"/>
    </row>
    <row r="4545" spans="1:72" x14ac:dyDescent="0.25">
      <c r="A4545" s="90">
        <v>34523</v>
      </c>
      <c r="B4545" s="20">
        <v>0.625</v>
      </c>
      <c r="D4545">
        <v>75.02</v>
      </c>
      <c r="E4545" t="str">
        <f t="shared" si="176"/>
        <v>WEEKDAY</v>
      </c>
      <c r="F4545" t="e">
        <f t="shared" si="177"/>
        <v>#N/A</v>
      </c>
      <c r="G4545" s="74">
        <v>31966</v>
      </c>
      <c r="H4545" s="77">
        <v>0.625</v>
      </c>
      <c r="J4545">
        <v>82.039999999999992</v>
      </c>
      <c r="M4545" s="74">
        <v>33427</v>
      </c>
      <c r="N4545" s="77">
        <v>0.625</v>
      </c>
      <c r="P4545">
        <v>89.06</v>
      </c>
      <c r="S4545" s="74">
        <v>34523</v>
      </c>
      <c r="T4545" s="77">
        <v>0.625</v>
      </c>
      <c r="V4545">
        <v>80.06</v>
      </c>
      <c r="X4545" s="42"/>
      <c r="AB4545">
        <v>81.3</v>
      </c>
      <c r="AC4545">
        <v>80.960000000000008</v>
      </c>
      <c r="AE4545" s="74"/>
      <c r="AF4545" s="77"/>
      <c r="AH4545" s="497">
        <v>84.2</v>
      </c>
      <c r="AJ4545" s="42"/>
      <c r="AK4545" s="74"/>
      <c r="AL4545" s="77"/>
      <c r="AN4545" s="497">
        <v>75.02</v>
      </c>
      <c r="AP4545" s="42"/>
      <c r="AQ4545" s="74"/>
      <c r="AR4545" s="77"/>
      <c r="AT4545" s="497">
        <v>75.740000000000009</v>
      </c>
      <c r="AV4545" s="42"/>
      <c r="AW4545" s="74"/>
      <c r="AX4545" s="77"/>
      <c r="BA4545" s="497">
        <v>77</v>
      </c>
      <c r="BB4545" s="42"/>
      <c r="BC4545" s="74"/>
      <c r="BD4545" s="77"/>
      <c r="BF4545">
        <v>78.98</v>
      </c>
      <c r="BH4545" s="42"/>
      <c r="BI4545" s="74"/>
      <c r="BJ4545" s="77"/>
      <c r="BL4545" s="497">
        <v>84.92</v>
      </c>
      <c r="BN4545" s="42"/>
      <c r="BO4545" s="74"/>
      <c r="BP4545" s="77"/>
      <c r="BR4545" s="497">
        <v>80.06</v>
      </c>
      <c r="BT4545" s="42"/>
    </row>
    <row r="4546" spans="1:72" x14ac:dyDescent="0.25">
      <c r="A4546" s="90">
        <v>34523</v>
      </c>
      <c r="B4546" s="20">
        <v>0.66666666666666663</v>
      </c>
      <c r="D4546">
        <v>75.02</v>
      </c>
      <c r="E4546" t="str">
        <f t="shared" si="176"/>
        <v>WEEKDAY</v>
      </c>
      <c r="F4546" t="e">
        <f t="shared" si="177"/>
        <v>#N/A</v>
      </c>
      <c r="G4546" s="74">
        <v>31966</v>
      </c>
      <c r="H4546" s="77">
        <v>0.66666666666666663</v>
      </c>
      <c r="J4546">
        <v>82.039999999999992</v>
      </c>
      <c r="M4546" s="74">
        <v>33427</v>
      </c>
      <c r="N4546" s="77">
        <v>0.66666666666666663</v>
      </c>
      <c r="P4546">
        <v>89.960000000000008</v>
      </c>
      <c r="S4546" s="74">
        <v>34523</v>
      </c>
      <c r="T4546" s="77">
        <v>0.66666666666666663</v>
      </c>
      <c r="V4546">
        <v>75.92</v>
      </c>
      <c r="X4546" s="42"/>
      <c r="AB4546">
        <v>80.8</v>
      </c>
      <c r="AC4546">
        <v>73.94</v>
      </c>
      <c r="AE4546" s="74"/>
      <c r="AF4546" s="77"/>
      <c r="AH4546" s="497">
        <v>82.4</v>
      </c>
      <c r="AJ4546" s="42"/>
      <c r="AK4546" s="74"/>
      <c r="AL4546" s="77"/>
      <c r="AN4546" s="497">
        <v>75.92</v>
      </c>
      <c r="AP4546" s="42"/>
      <c r="AQ4546" s="74"/>
      <c r="AR4546" s="77"/>
      <c r="AT4546" s="497">
        <v>75.02</v>
      </c>
      <c r="AV4546" s="42"/>
      <c r="AW4546" s="74"/>
      <c r="AX4546" s="77"/>
      <c r="BA4546" s="497">
        <v>77</v>
      </c>
      <c r="BB4546" s="42"/>
      <c r="BC4546" s="74"/>
      <c r="BD4546" s="77"/>
      <c r="BF4546">
        <v>78.98</v>
      </c>
      <c r="BH4546" s="42"/>
      <c r="BI4546" s="74"/>
      <c r="BJ4546" s="77"/>
      <c r="BL4546" s="497">
        <v>82.039999999999992</v>
      </c>
      <c r="BN4546" s="42"/>
      <c r="BO4546" s="74"/>
      <c r="BP4546" s="77"/>
      <c r="BR4546" s="497">
        <v>78.080000000000013</v>
      </c>
      <c r="BT4546" s="42"/>
    </row>
    <row r="4547" spans="1:72" x14ac:dyDescent="0.25">
      <c r="A4547" s="90">
        <v>34523</v>
      </c>
      <c r="B4547" s="20">
        <v>0.70833333333333337</v>
      </c>
      <c r="D4547">
        <v>77</v>
      </c>
      <c r="E4547" t="str">
        <f t="shared" si="176"/>
        <v>WEEKDAY</v>
      </c>
      <c r="F4547" t="e">
        <f t="shared" si="177"/>
        <v>#N/A</v>
      </c>
      <c r="G4547" s="74">
        <v>31966</v>
      </c>
      <c r="H4547" s="77">
        <v>0.70833333333333337</v>
      </c>
      <c r="J4547">
        <v>82.039999999999992</v>
      </c>
      <c r="M4547" s="74">
        <v>33427</v>
      </c>
      <c r="N4547" s="77">
        <v>0.70833333333333337</v>
      </c>
      <c r="P4547">
        <v>89.960000000000008</v>
      </c>
      <c r="S4547" s="74">
        <v>34523</v>
      </c>
      <c r="T4547" s="77">
        <v>0.70833333333333337</v>
      </c>
      <c r="V4547">
        <v>75.92</v>
      </c>
      <c r="X4547" s="42"/>
      <c r="AB4547">
        <v>79.8</v>
      </c>
      <c r="AC4547">
        <v>73.039999999999992</v>
      </c>
      <c r="AE4547" s="74"/>
      <c r="AF4547" s="77"/>
      <c r="AH4547" s="497">
        <v>80.599999999999994</v>
      </c>
      <c r="AJ4547" s="42"/>
      <c r="AK4547" s="74"/>
      <c r="AL4547" s="77"/>
      <c r="AN4547" s="497">
        <v>77</v>
      </c>
      <c r="AP4547" s="42"/>
      <c r="AQ4547" s="74"/>
      <c r="AR4547" s="77"/>
      <c r="AT4547" s="497">
        <v>74.300000000000011</v>
      </c>
      <c r="AV4547" s="42"/>
      <c r="AW4547" s="74"/>
      <c r="AX4547" s="77"/>
      <c r="BA4547" s="497">
        <v>78.080000000000013</v>
      </c>
      <c r="BB4547" s="42"/>
      <c r="BC4547" s="74"/>
      <c r="BD4547" s="77"/>
      <c r="BF4547">
        <v>77</v>
      </c>
      <c r="BH4547" s="42"/>
      <c r="BI4547" s="74"/>
      <c r="BJ4547" s="77"/>
      <c r="BL4547" s="497">
        <v>80.06</v>
      </c>
      <c r="BN4547" s="42"/>
      <c r="BO4547" s="74"/>
      <c r="BP4547" s="77"/>
      <c r="BR4547" s="497">
        <v>77</v>
      </c>
      <c r="BT4547" s="42"/>
    </row>
    <row r="4548" spans="1:72" x14ac:dyDescent="0.25">
      <c r="A4548" s="90">
        <v>34523</v>
      </c>
      <c r="B4548" s="20">
        <v>0.75</v>
      </c>
      <c r="D4548">
        <v>78.080000000000013</v>
      </c>
      <c r="E4548" t="str">
        <f t="shared" si="176"/>
        <v>WEEKDAY</v>
      </c>
      <c r="F4548" t="e">
        <f t="shared" si="177"/>
        <v>#N/A</v>
      </c>
      <c r="G4548" s="74">
        <v>31966</v>
      </c>
      <c r="H4548" s="77">
        <v>0.75</v>
      </c>
      <c r="J4548">
        <v>80.06</v>
      </c>
      <c r="M4548" s="74">
        <v>33427</v>
      </c>
      <c r="N4548" s="77">
        <v>0.75</v>
      </c>
      <c r="P4548">
        <v>87.98</v>
      </c>
      <c r="S4548" s="74">
        <v>34523</v>
      </c>
      <c r="T4548" s="77">
        <v>0.75</v>
      </c>
      <c r="V4548">
        <v>75.92</v>
      </c>
      <c r="X4548" s="42"/>
      <c r="AB4548">
        <v>78.7</v>
      </c>
      <c r="AC4548">
        <v>73.94</v>
      </c>
      <c r="AE4548" s="74"/>
      <c r="AF4548" s="77"/>
      <c r="AH4548" s="497">
        <v>78.800000000000011</v>
      </c>
      <c r="AJ4548" s="42"/>
      <c r="AK4548" s="74"/>
      <c r="AL4548" s="77"/>
      <c r="AN4548" s="497">
        <v>75.92</v>
      </c>
      <c r="AP4548" s="42"/>
      <c r="AQ4548" s="74"/>
      <c r="AR4548" s="77"/>
      <c r="AT4548" s="497">
        <v>73.759999999999991</v>
      </c>
      <c r="AV4548" s="42"/>
      <c r="AW4548" s="74"/>
      <c r="AX4548" s="77"/>
      <c r="BA4548" s="497">
        <v>77</v>
      </c>
      <c r="BB4548" s="42"/>
      <c r="BC4548" s="74"/>
      <c r="BD4548" s="77"/>
      <c r="BF4548">
        <v>77</v>
      </c>
      <c r="BH4548" s="42"/>
      <c r="BI4548" s="74"/>
      <c r="BJ4548" s="77"/>
      <c r="BL4548" s="497">
        <v>78.080000000000013</v>
      </c>
      <c r="BN4548" s="42"/>
      <c r="BO4548" s="74"/>
      <c r="BP4548" s="77"/>
      <c r="BR4548" s="497">
        <v>75.92</v>
      </c>
      <c r="BT4548" s="42"/>
    </row>
    <row r="4549" spans="1:72" x14ac:dyDescent="0.25">
      <c r="A4549" s="90">
        <v>34523</v>
      </c>
      <c r="B4549" s="20">
        <v>0.79166666666666663</v>
      </c>
      <c r="D4549">
        <v>77</v>
      </c>
      <c r="E4549" t="str">
        <f t="shared" si="176"/>
        <v>WEEKDAY</v>
      </c>
      <c r="F4549" t="e">
        <f t="shared" si="177"/>
        <v>#N/A</v>
      </c>
      <c r="G4549" s="74">
        <v>31966</v>
      </c>
      <c r="H4549" s="77">
        <v>0.79166666666666663</v>
      </c>
      <c r="J4549">
        <v>80.06</v>
      </c>
      <c r="M4549" s="74">
        <v>33427</v>
      </c>
      <c r="N4549" s="77">
        <v>0.79166666666666663</v>
      </c>
      <c r="P4549">
        <v>86</v>
      </c>
      <c r="S4549" s="74">
        <v>34523</v>
      </c>
      <c r="T4549" s="77">
        <v>0.79166666666666663</v>
      </c>
      <c r="V4549">
        <v>77</v>
      </c>
      <c r="X4549" s="42"/>
      <c r="AB4549">
        <v>77.400000000000006</v>
      </c>
      <c r="AC4549">
        <v>73.94</v>
      </c>
      <c r="AE4549" s="74"/>
      <c r="AF4549" s="77"/>
      <c r="AH4549" s="497">
        <v>75.2</v>
      </c>
      <c r="AJ4549" s="42"/>
      <c r="AK4549" s="74"/>
      <c r="AL4549" s="77"/>
      <c r="AN4549" s="497">
        <v>75.92</v>
      </c>
      <c r="AP4549" s="42"/>
      <c r="AQ4549" s="74"/>
      <c r="AR4549" s="77"/>
      <c r="AT4549" s="497">
        <v>73.039999999999992</v>
      </c>
      <c r="AV4549" s="42"/>
      <c r="AW4549" s="74"/>
      <c r="AX4549" s="77"/>
      <c r="BA4549" s="497">
        <v>75.92</v>
      </c>
      <c r="BB4549" s="42"/>
      <c r="BC4549" s="74"/>
      <c r="BD4549" s="77"/>
      <c r="BF4549">
        <v>73.94</v>
      </c>
      <c r="BH4549" s="42"/>
      <c r="BI4549" s="74"/>
      <c r="BJ4549" s="77"/>
      <c r="BL4549" s="497">
        <v>75.02</v>
      </c>
      <c r="BN4549" s="42"/>
      <c r="BO4549" s="74"/>
      <c r="BP4549" s="77"/>
      <c r="BR4549" s="497">
        <v>71.960000000000008</v>
      </c>
      <c r="BT4549" s="42"/>
    </row>
    <row r="4550" spans="1:72" x14ac:dyDescent="0.25">
      <c r="A4550" s="90">
        <v>34523</v>
      </c>
      <c r="B4550" s="20">
        <v>0.83333333333333337</v>
      </c>
      <c r="D4550">
        <v>78.080000000000013</v>
      </c>
      <c r="E4550" t="str">
        <f t="shared" si="176"/>
        <v>WEEKDAY</v>
      </c>
      <c r="F4550" t="e">
        <f t="shared" si="177"/>
        <v>#N/A</v>
      </c>
      <c r="G4550" s="74">
        <v>31966</v>
      </c>
      <c r="H4550" s="77">
        <v>0.83333333333333337</v>
      </c>
      <c r="J4550">
        <v>77</v>
      </c>
      <c r="M4550" s="74">
        <v>33427</v>
      </c>
      <c r="N4550" s="77">
        <v>0.83333333333333337</v>
      </c>
      <c r="P4550">
        <v>82.94</v>
      </c>
      <c r="S4550" s="74">
        <v>34523</v>
      </c>
      <c r="T4550" s="77">
        <v>0.83333333333333337</v>
      </c>
      <c r="V4550">
        <v>75.92</v>
      </c>
      <c r="X4550" s="42"/>
      <c r="AB4550">
        <v>76</v>
      </c>
      <c r="AC4550">
        <v>73.94</v>
      </c>
      <c r="AE4550" s="74"/>
      <c r="AF4550" s="77"/>
      <c r="AH4550" s="497">
        <v>73.400000000000006</v>
      </c>
      <c r="AJ4550" s="42"/>
      <c r="AK4550" s="74"/>
      <c r="AL4550" s="77"/>
      <c r="AN4550" s="497">
        <v>73.94</v>
      </c>
      <c r="AP4550" s="42"/>
      <c r="AQ4550" s="74"/>
      <c r="AR4550" s="77"/>
      <c r="AT4550" s="497">
        <v>71.78</v>
      </c>
      <c r="AV4550" s="42"/>
      <c r="AW4550" s="74"/>
      <c r="AX4550" s="77"/>
      <c r="BA4550" s="497">
        <v>75.92</v>
      </c>
      <c r="BB4550" s="42"/>
      <c r="BC4550" s="74"/>
      <c r="BD4550" s="77"/>
      <c r="BF4550">
        <v>71.06</v>
      </c>
      <c r="BH4550" s="42"/>
      <c r="BI4550" s="74"/>
      <c r="BJ4550" s="77"/>
      <c r="BL4550" s="497">
        <v>73.039999999999992</v>
      </c>
      <c r="BN4550" s="42"/>
      <c r="BO4550" s="74"/>
      <c r="BP4550" s="77"/>
      <c r="BR4550" s="497">
        <v>71.960000000000008</v>
      </c>
      <c r="BT4550" s="42"/>
    </row>
    <row r="4551" spans="1:72" x14ac:dyDescent="0.25">
      <c r="A4551" s="90">
        <v>34523</v>
      </c>
      <c r="B4551" s="20">
        <v>0.875</v>
      </c>
      <c r="D4551">
        <v>77</v>
      </c>
      <c r="E4551" t="str">
        <f t="shared" si="176"/>
        <v>WEEKDAY</v>
      </c>
      <c r="F4551" t="e">
        <f t="shared" si="177"/>
        <v>#N/A</v>
      </c>
      <c r="G4551" s="74">
        <v>31966</v>
      </c>
      <c r="H4551" s="77">
        <v>0.875</v>
      </c>
      <c r="J4551">
        <v>75.02</v>
      </c>
      <c r="M4551" s="74">
        <v>33427</v>
      </c>
      <c r="N4551" s="77">
        <v>0.875</v>
      </c>
      <c r="P4551">
        <v>80.06</v>
      </c>
      <c r="S4551" s="74">
        <v>34523</v>
      </c>
      <c r="T4551" s="77">
        <v>0.875</v>
      </c>
      <c r="V4551">
        <v>75.92</v>
      </c>
      <c r="X4551" s="42"/>
      <c r="AB4551">
        <v>74.7</v>
      </c>
      <c r="AC4551">
        <v>75.02</v>
      </c>
      <c r="AE4551" s="74"/>
      <c r="AF4551" s="77"/>
      <c r="AH4551" s="497">
        <v>71.599999999999994</v>
      </c>
      <c r="AJ4551" s="42"/>
      <c r="AK4551" s="74"/>
      <c r="AL4551" s="77"/>
      <c r="AN4551" s="497">
        <v>73.94</v>
      </c>
      <c r="AP4551" s="42"/>
      <c r="AQ4551" s="74"/>
      <c r="AR4551" s="77"/>
      <c r="AT4551" s="497">
        <v>70.34</v>
      </c>
      <c r="AV4551" s="42"/>
      <c r="AW4551" s="74"/>
      <c r="AX4551" s="77"/>
      <c r="BA4551" s="497">
        <v>75.02</v>
      </c>
      <c r="BB4551" s="42"/>
      <c r="BC4551" s="74"/>
      <c r="BD4551" s="77"/>
      <c r="BF4551">
        <v>69.080000000000013</v>
      </c>
      <c r="BH4551" s="42"/>
      <c r="BI4551" s="74"/>
      <c r="BJ4551" s="77"/>
      <c r="BL4551" s="497">
        <v>69.080000000000013</v>
      </c>
      <c r="BN4551" s="42"/>
      <c r="BO4551" s="74"/>
      <c r="BP4551" s="77"/>
      <c r="BR4551" s="497">
        <v>69.080000000000013</v>
      </c>
      <c r="BT4551" s="42"/>
    </row>
    <row r="4552" spans="1:72" x14ac:dyDescent="0.25">
      <c r="A4552" s="90">
        <v>34523</v>
      </c>
      <c r="B4552" s="20">
        <v>0.91666666666666663</v>
      </c>
      <c r="D4552">
        <v>77</v>
      </c>
      <c r="E4552" t="str">
        <f t="shared" si="176"/>
        <v>WEEKDAY</v>
      </c>
      <c r="F4552" t="e">
        <f t="shared" si="177"/>
        <v>#N/A</v>
      </c>
      <c r="G4552" s="74">
        <v>31966</v>
      </c>
      <c r="H4552" s="77">
        <v>0.91666666666666663</v>
      </c>
      <c r="J4552">
        <v>75.02</v>
      </c>
      <c r="M4552" s="74">
        <v>33427</v>
      </c>
      <c r="N4552" s="77">
        <v>0.91666666666666663</v>
      </c>
      <c r="P4552">
        <v>77</v>
      </c>
      <c r="S4552" s="74">
        <v>34523</v>
      </c>
      <c r="T4552" s="77">
        <v>0.91666666666666663</v>
      </c>
      <c r="V4552">
        <v>75.92</v>
      </c>
      <c r="X4552" s="42"/>
      <c r="AB4552">
        <v>74</v>
      </c>
      <c r="AC4552">
        <v>75.02</v>
      </c>
      <c r="AE4552" s="74"/>
      <c r="AF4552" s="77"/>
      <c r="AH4552" s="497">
        <v>69.800000000000011</v>
      </c>
      <c r="AJ4552" s="42"/>
      <c r="AK4552" s="74"/>
      <c r="AL4552" s="77"/>
      <c r="AN4552" s="497">
        <v>73.039999999999992</v>
      </c>
      <c r="AP4552" s="42"/>
      <c r="AQ4552" s="74"/>
      <c r="AR4552" s="77"/>
      <c r="AT4552" s="497">
        <v>69.080000000000013</v>
      </c>
      <c r="AV4552" s="42"/>
      <c r="AW4552" s="74"/>
      <c r="AX4552" s="77"/>
      <c r="BA4552" s="497">
        <v>75.02</v>
      </c>
      <c r="BB4552" s="42"/>
      <c r="BC4552" s="74"/>
      <c r="BD4552" s="77"/>
      <c r="BF4552">
        <v>68</v>
      </c>
      <c r="BH4552" s="42"/>
      <c r="BI4552" s="74"/>
      <c r="BJ4552" s="77"/>
      <c r="BL4552" s="497">
        <v>68</v>
      </c>
      <c r="BN4552" s="42"/>
      <c r="BO4552" s="74"/>
      <c r="BP4552" s="77"/>
      <c r="BR4552" s="497">
        <v>68</v>
      </c>
      <c r="BT4552" s="42"/>
    </row>
    <row r="4553" spans="1:72" x14ac:dyDescent="0.25">
      <c r="A4553" s="90">
        <v>34523</v>
      </c>
      <c r="B4553" s="20">
        <v>0.95833333333333337</v>
      </c>
      <c r="D4553">
        <v>77</v>
      </c>
      <c r="E4553" t="str">
        <f t="shared" si="176"/>
        <v>WEEKDAY</v>
      </c>
      <c r="F4553" t="e">
        <f t="shared" si="177"/>
        <v>#N/A</v>
      </c>
      <c r="G4553" s="74">
        <v>31966</v>
      </c>
      <c r="H4553" s="77">
        <v>0.95833333333333337</v>
      </c>
      <c r="J4553">
        <v>75.02</v>
      </c>
      <c r="M4553" s="74">
        <v>33427</v>
      </c>
      <c r="N4553" s="77">
        <v>0.95833333333333337</v>
      </c>
      <c r="P4553">
        <v>75.92</v>
      </c>
      <c r="S4553" s="74">
        <v>34523</v>
      </c>
      <c r="T4553" s="77">
        <v>0.95833333333333337</v>
      </c>
      <c r="V4553">
        <v>75.02</v>
      </c>
      <c r="X4553" s="42"/>
      <c r="AB4553">
        <v>73.5</v>
      </c>
      <c r="AC4553">
        <v>75.92</v>
      </c>
      <c r="AE4553" s="74"/>
      <c r="AF4553" s="77"/>
      <c r="AH4553" s="497">
        <v>69.800000000000011</v>
      </c>
      <c r="AJ4553" s="42"/>
      <c r="AK4553" s="74"/>
      <c r="AL4553" s="77"/>
      <c r="AN4553" s="497">
        <v>71.960000000000008</v>
      </c>
      <c r="AP4553" s="42"/>
      <c r="AQ4553" s="74"/>
      <c r="AR4553" s="77"/>
      <c r="AT4553" s="497">
        <v>69.080000000000013</v>
      </c>
      <c r="AV4553" s="42"/>
      <c r="AW4553" s="74"/>
      <c r="AX4553" s="77"/>
      <c r="BA4553" s="497">
        <v>75.02</v>
      </c>
      <c r="BB4553" s="42"/>
      <c r="BC4553" s="74"/>
      <c r="BD4553" s="77"/>
      <c r="BF4553">
        <v>64.94</v>
      </c>
      <c r="BH4553" s="42"/>
      <c r="BI4553" s="74"/>
      <c r="BJ4553" s="77"/>
      <c r="BL4553" s="497">
        <v>66.02</v>
      </c>
      <c r="BN4553" s="42"/>
      <c r="BO4553" s="74"/>
      <c r="BP4553" s="77"/>
      <c r="BR4553" s="497">
        <v>68</v>
      </c>
      <c r="BT4553" s="42"/>
    </row>
    <row r="4554" spans="1:72" x14ac:dyDescent="0.25">
      <c r="A4554" s="90">
        <v>34523</v>
      </c>
      <c r="B4554" s="20">
        <v>1</v>
      </c>
      <c r="D4554">
        <v>73.94</v>
      </c>
      <c r="E4554" t="str">
        <f t="shared" si="176"/>
        <v>WEEKDAY</v>
      </c>
      <c r="F4554" t="e">
        <f t="shared" si="177"/>
        <v>#N/A</v>
      </c>
      <c r="G4554" s="74">
        <v>31966</v>
      </c>
      <c r="H4554" s="77">
        <v>1</v>
      </c>
      <c r="J4554">
        <v>73.039999999999992</v>
      </c>
      <c r="M4554" s="74">
        <v>33427</v>
      </c>
      <c r="N4554" s="80">
        <v>1</v>
      </c>
      <c r="P4554">
        <v>75.02</v>
      </c>
      <c r="S4554" s="74">
        <v>34523</v>
      </c>
      <c r="T4554" s="80">
        <v>1</v>
      </c>
      <c r="V4554">
        <v>73.94</v>
      </c>
      <c r="X4554" s="42"/>
      <c r="AB4554">
        <v>73</v>
      </c>
      <c r="AC4554">
        <v>75.92</v>
      </c>
      <c r="AE4554" s="74"/>
      <c r="AF4554" s="80"/>
      <c r="AH4554" s="497">
        <v>69.800000000000011</v>
      </c>
      <c r="AJ4554" s="42"/>
      <c r="AK4554" s="74"/>
      <c r="AL4554" s="80"/>
      <c r="AN4554" s="497">
        <v>69.98</v>
      </c>
      <c r="AP4554" s="42"/>
      <c r="AQ4554" s="74"/>
      <c r="AR4554" s="80"/>
      <c r="AT4554" s="497">
        <v>69.080000000000013</v>
      </c>
      <c r="AV4554" s="42"/>
      <c r="AW4554" s="74"/>
      <c r="AX4554" s="80"/>
      <c r="BA4554" s="497">
        <v>75.92</v>
      </c>
      <c r="BB4554" s="42"/>
      <c r="BC4554" s="74"/>
      <c r="BD4554" s="80"/>
      <c r="BF4554">
        <v>64.94</v>
      </c>
      <c r="BH4554" s="42"/>
      <c r="BI4554" s="74"/>
      <c r="BJ4554" s="80"/>
      <c r="BL4554" s="497">
        <v>62.96</v>
      </c>
      <c r="BN4554" s="42"/>
      <c r="BO4554" s="74"/>
      <c r="BP4554" s="80"/>
      <c r="BR4554" s="497">
        <v>68</v>
      </c>
      <c r="BT4554" s="42"/>
    </row>
    <row r="4555" spans="1:72" x14ac:dyDescent="0.25">
      <c r="A4555" s="90">
        <v>34524</v>
      </c>
      <c r="B4555" s="20">
        <v>4.1666666666666664E-2</v>
      </c>
      <c r="D4555">
        <v>73.94</v>
      </c>
      <c r="E4555" t="str">
        <f t="shared" si="176"/>
        <v>SATURDAY</v>
      </c>
      <c r="F4555" t="e">
        <f t="shared" si="177"/>
        <v>#N/A</v>
      </c>
      <c r="G4555" s="74">
        <v>31967</v>
      </c>
      <c r="H4555" s="77">
        <v>4.1666666666666664E-2</v>
      </c>
      <c r="J4555">
        <v>73.039999999999992</v>
      </c>
      <c r="M4555" s="74">
        <v>33428</v>
      </c>
      <c r="N4555" s="77">
        <v>4.1666666666666664E-2</v>
      </c>
      <c r="P4555">
        <v>75.02</v>
      </c>
      <c r="S4555" s="74">
        <v>34524</v>
      </c>
      <c r="T4555" s="77">
        <v>4.1666666666666664E-2</v>
      </c>
      <c r="V4555">
        <v>73.94</v>
      </c>
      <c r="X4555" s="42"/>
      <c r="AB4555">
        <v>72.3</v>
      </c>
      <c r="AC4555">
        <v>75.02</v>
      </c>
      <c r="AE4555" s="74"/>
      <c r="AF4555" s="77"/>
      <c r="AH4555" s="497">
        <v>69.800000000000011</v>
      </c>
      <c r="AJ4555" s="42"/>
      <c r="AK4555" s="74"/>
      <c r="AL4555" s="77"/>
      <c r="AN4555" s="497">
        <v>69.080000000000013</v>
      </c>
      <c r="AP4555" s="42"/>
      <c r="AQ4555" s="74"/>
      <c r="AR4555" s="77"/>
      <c r="AT4555" s="497">
        <v>69.080000000000013</v>
      </c>
      <c r="AV4555" s="42"/>
      <c r="AW4555" s="74"/>
      <c r="AX4555" s="77"/>
      <c r="BA4555" s="497">
        <v>73.039999999999992</v>
      </c>
      <c r="BB4555" s="42"/>
      <c r="BC4555" s="74"/>
      <c r="BD4555" s="77"/>
      <c r="BF4555">
        <v>64.039999999999992</v>
      </c>
      <c r="BH4555" s="42"/>
      <c r="BI4555" s="74"/>
      <c r="BJ4555" s="77"/>
      <c r="BL4555" s="497">
        <v>62.06</v>
      </c>
      <c r="BN4555" s="42"/>
      <c r="BO4555" s="74"/>
      <c r="BP4555" s="77"/>
      <c r="BR4555" s="497">
        <v>66.92</v>
      </c>
      <c r="BT4555" s="42"/>
    </row>
    <row r="4556" spans="1:72" x14ac:dyDescent="0.25">
      <c r="A4556" s="90">
        <v>34524</v>
      </c>
      <c r="B4556" s="20">
        <v>8.3333333333333329E-2</v>
      </c>
      <c r="D4556">
        <v>73.94</v>
      </c>
      <c r="E4556" t="str">
        <f t="shared" si="176"/>
        <v>SATURDAY</v>
      </c>
      <c r="F4556" t="e">
        <f t="shared" si="177"/>
        <v>#N/A</v>
      </c>
      <c r="G4556" s="74">
        <v>31967</v>
      </c>
      <c r="H4556" s="77">
        <v>8.3333333333333329E-2</v>
      </c>
      <c r="J4556">
        <v>73.039999999999992</v>
      </c>
      <c r="M4556" s="74">
        <v>33428</v>
      </c>
      <c r="N4556" s="77">
        <v>8.3333333333333329E-2</v>
      </c>
      <c r="P4556">
        <v>71.960000000000008</v>
      </c>
      <c r="S4556" s="74">
        <v>34524</v>
      </c>
      <c r="T4556" s="77">
        <v>8.3333333333333329E-2</v>
      </c>
      <c r="V4556">
        <v>73.94</v>
      </c>
      <c r="X4556" s="42"/>
      <c r="AB4556">
        <v>71.8</v>
      </c>
      <c r="AC4556">
        <v>75.02</v>
      </c>
      <c r="AE4556" s="74"/>
      <c r="AF4556" s="77"/>
      <c r="AH4556" s="497">
        <v>69.800000000000011</v>
      </c>
      <c r="AJ4556" s="42"/>
      <c r="AK4556" s="74"/>
      <c r="AL4556" s="77"/>
      <c r="AN4556" s="497">
        <v>66.92</v>
      </c>
      <c r="AP4556" s="42"/>
      <c r="AQ4556" s="74"/>
      <c r="AR4556" s="77"/>
      <c r="AT4556" s="497">
        <v>66.38</v>
      </c>
      <c r="AV4556" s="42"/>
      <c r="AW4556" s="74"/>
      <c r="AX4556" s="77"/>
      <c r="BA4556" s="497">
        <v>71.960000000000008</v>
      </c>
      <c r="BB4556" s="42"/>
      <c r="BC4556" s="74"/>
      <c r="BD4556" s="77"/>
      <c r="BF4556">
        <v>64.039999999999992</v>
      </c>
      <c r="BH4556" s="42"/>
      <c r="BI4556" s="74"/>
      <c r="BJ4556" s="77"/>
      <c r="BL4556" s="497">
        <v>62.06</v>
      </c>
      <c r="BN4556" s="42"/>
      <c r="BO4556" s="74"/>
      <c r="BP4556" s="77"/>
      <c r="BR4556" s="497">
        <v>68</v>
      </c>
      <c r="BT4556" s="42"/>
    </row>
    <row r="4557" spans="1:72" x14ac:dyDescent="0.25">
      <c r="A4557" s="90">
        <v>34524</v>
      </c>
      <c r="B4557" s="20">
        <v>0.125</v>
      </c>
      <c r="D4557">
        <v>73.94</v>
      </c>
      <c r="E4557" t="str">
        <f t="shared" si="176"/>
        <v>SATURDAY</v>
      </c>
      <c r="F4557" t="e">
        <f t="shared" si="177"/>
        <v>#N/A</v>
      </c>
      <c r="G4557" s="74">
        <v>31967</v>
      </c>
      <c r="H4557" s="77">
        <v>0.125</v>
      </c>
      <c r="J4557">
        <v>73.94</v>
      </c>
      <c r="M4557" s="74">
        <v>33428</v>
      </c>
      <c r="N4557" s="77">
        <v>0.125</v>
      </c>
      <c r="P4557">
        <v>69.98</v>
      </c>
      <c r="S4557" s="74">
        <v>34524</v>
      </c>
      <c r="T4557" s="77">
        <v>0.125</v>
      </c>
      <c r="V4557">
        <v>73.94</v>
      </c>
      <c r="X4557" s="42"/>
      <c r="AB4557">
        <v>71.2</v>
      </c>
      <c r="AC4557">
        <v>73.94</v>
      </c>
      <c r="AE4557" s="74"/>
      <c r="AF4557" s="77"/>
      <c r="AH4557" s="497">
        <v>69.800000000000011</v>
      </c>
      <c r="AJ4557" s="42"/>
      <c r="AK4557" s="74"/>
      <c r="AL4557" s="77"/>
      <c r="AN4557" s="497">
        <v>66.92</v>
      </c>
      <c r="AP4557" s="42"/>
      <c r="AQ4557" s="74"/>
      <c r="AR4557" s="77"/>
      <c r="AT4557" s="497">
        <v>63.680000000000007</v>
      </c>
      <c r="AV4557" s="42"/>
      <c r="AW4557" s="74"/>
      <c r="AX4557" s="77"/>
      <c r="BA4557" s="497">
        <v>71.06</v>
      </c>
      <c r="BB4557" s="42"/>
      <c r="BC4557" s="74"/>
      <c r="BD4557" s="77"/>
      <c r="BF4557">
        <v>59</v>
      </c>
      <c r="BH4557" s="42"/>
      <c r="BI4557" s="74"/>
      <c r="BJ4557" s="77"/>
      <c r="BL4557" s="497">
        <v>60.980000000000004</v>
      </c>
      <c r="BN4557" s="42"/>
      <c r="BO4557" s="74"/>
      <c r="BP4557" s="77"/>
      <c r="BR4557" s="497">
        <v>68</v>
      </c>
      <c r="BT4557" s="42"/>
    </row>
    <row r="4558" spans="1:72" x14ac:dyDescent="0.25">
      <c r="A4558" s="90">
        <v>34524</v>
      </c>
      <c r="B4558" s="20">
        <v>0.16666666666666666</v>
      </c>
      <c r="D4558">
        <v>73.94</v>
      </c>
      <c r="E4558" t="str">
        <f t="shared" si="176"/>
        <v>SATURDAY</v>
      </c>
      <c r="F4558" t="e">
        <f t="shared" si="177"/>
        <v>#N/A</v>
      </c>
      <c r="G4558" s="74">
        <v>31967</v>
      </c>
      <c r="H4558" s="77">
        <v>0.16666666666666666</v>
      </c>
      <c r="J4558">
        <v>73.039999999999992</v>
      </c>
      <c r="M4558" s="74">
        <v>33428</v>
      </c>
      <c r="N4558" s="77">
        <v>0.16666666666666666</v>
      </c>
      <c r="P4558">
        <v>59</v>
      </c>
      <c r="S4558" s="74">
        <v>34524</v>
      </c>
      <c r="T4558" s="77">
        <v>0.16666666666666666</v>
      </c>
      <c r="V4558">
        <v>73.039999999999992</v>
      </c>
      <c r="X4558" s="42"/>
      <c r="AB4558">
        <v>70.8</v>
      </c>
      <c r="AC4558">
        <v>73.039999999999992</v>
      </c>
      <c r="AE4558" s="74"/>
      <c r="AF4558" s="77"/>
      <c r="AH4558" s="497">
        <v>66.2</v>
      </c>
      <c r="AJ4558" s="42"/>
      <c r="AK4558" s="74"/>
      <c r="AL4558" s="77"/>
      <c r="AN4558" s="497">
        <v>66.02</v>
      </c>
      <c r="AP4558" s="42"/>
      <c r="AQ4558" s="74"/>
      <c r="AR4558" s="77"/>
      <c r="AT4558" s="497">
        <v>60.980000000000004</v>
      </c>
      <c r="AV4558" s="42"/>
      <c r="AW4558" s="74"/>
      <c r="AX4558" s="77"/>
      <c r="BA4558" s="497">
        <v>71.06</v>
      </c>
      <c r="BB4558" s="42"/>
      <c r="BC4558" s="74"/>
      <c r="BD4558" s="77"/>
      <c r="BF4558">
        <v>60.08</v>
      </c>
      <c r="BH4558" s="42"/>
      <c r="BI4558" s="74"/>
      <c r="BJ4558" s="77"/>
      <c r="BL4558" s="497">
        <v>59</v>
      </c>
      <c r="BN4558" s="42"/>
      <c r="BO4558" s="74"/>
      <c r="BP4558" s="77"/>
      <c r="BR4558" s="497">
        <v>69.080000000000013</v>
      </c>
      <c r="BT4558" s="42"/>
    </row>
    <row r="4559" spans="1:72" x14ac:dyDescent="0.25">
      <c r="A4559" s="90">
        <v>34524</v>
      </c>
      <c r="B4559" s="20">
        <v>0.20833333333333334</v>
      </c>
      <c r="D4559">
        <v>73.94</v>
      </c>
      <c r="E4559" t="str">
        <f t="shared" si="176"/>
        <v>SATURDAY</v>
      </c>
      <c r="F4559" t="e">
        <f t="shared" si="177"/>
        <v>#N/A</v>
      </c>
      <c r="G4559" s="74">
        <v>31967</v>
      </c>
      <c r="H4559" s="77">
        <v>0.20833333333333334</v>
      </c>
      <c r="J4559">
        <v>73.039999999999992</v>
      </c>
      <c r="M4559" s="74">
        <v>33428</v>
      </c>
      <c r="N4559" s="77">
        <v>0.20833333333333334</v>
      </c>
      <c r="P4559">
        <v>66.92</v>
      </c>
      <c r="S4559" s="74">
        <v>34524</v>
      </c>
      <c r="T4559" s="77">
        <v>0.20833333333333334</v>
      </c>
      <c r="V4559">
        <v>73.039999999999992</v>
      </c>
      <c r="X4559" s="42"/>
      <c r="AB4559">
        <v>70.3</v>
      </c>
      <c r="AC4559">
        <v>73.039999999999992</v>
      </c>
      <c r="AE4559" s="74"/>
      <c r="AF4559" s="77"/>
      <c r="AH4559" s="497">
        <v>66.2</v>
      </c>
      <c r="AJ4559" s="42"/>
      <c r="AK4559" s="74"/>
      <c r="AL4559" s="77"/>
      <c r="AN4559" s="497">
        <v>64.94</v>
      </c>
      <c r="AP4559" s="42"/>
      <c r="AQ4559" s="74"/>
      <c r="AR4559" s="77"/>
      <c r="AT4559" s="497">
        <v>64.94</v>
      </c>
      <c r="AV4559" s="42"/>
      <c r="AW4559" s="74"/>
      <c r="AX4559" s="77"/>
      <c r="BA4559" s="497">
        <v>71.06</v>
      </c>
      <c r="BB4559" s="42"/>
      <c r="BC4559" s="74"/>
      <c r="BD4559" s="77"/>
      <c r="BF4559">
        <v>60.08</v>
      </c>
      <c r="BH4559" s="42"/>
      <c r="BI4559" s="74"/>
      <c r="BJ4559" s="77"/>
      <c r="BL4559" s="497">
        <v>59</v>
      </c>
      <c r="BN4559" s="42"/>
      <c r="BO4559" s="74"/>
      <c r="BP4559" s="77"/>
      <c r="BR4559" s="497">
        <v>69.080000000000013</v>
      </c>
      <c r="BT4559" s="42"/>
    </row>
    <row r="4560" spans="1:72" x14ac:dyDescent="0.25">
      <c r="A4560" s="90">
        <v>34524</v>
      </c>
      <c r="B4560" s="20">
        <v>0.25</v>
      </c>
      <c r="D4560">
        <v>73.039999999999992</v>
      </c>
      <c r="E4560" t="str">
        <f t="shared" si="176"/>
        <v>SATURDAY</v>
      </c>
      <c r="F4560" t="e">
        <f t="shared" si="177"/>
        <v>#N/A</v>
      </c>
      <c r="G4560" s="74">
        <v>31967</v>
      </c>
      <c r="H4560" s="77">
        <v>0.25</v>
      </c>
      <c r="J4560">
        <v>73.94</v>
      </c>
      <c r="M4560" s="74">
        <v>33428</v>
      </c>
      <c r="N4560" s="77">
        <v>0.25</v>
      </c>
      <c r="P4560">
        <v>69.98</v>
      </c>
      <c r="S4560" s="74">
        <v>34524</v>
      </c>
      <c r="T4560" s="77">
        <v>0.25</v>
      </c>
      <c r="V4560">
        <v>75.02</v>
      </c>
      <c r="X4560" s="42"/>
      <c r="AB4560">
        <v>70.099999999999994</v>
      </c>
      <c r="AC4560">
        <v>75.02</v>
      </c>
      <c r="AE4560" s="74"/>
      <c r="AF4560" s="77"/>
      <c r="AH4560" s="497">
        <v>66.2</v>
      </c>
      <c r="AJ4560" s="42"/>
      <c r="AK4560" s="74"/>
      <c r="AL4560" s="77"/>
      <c r="AN4560" s="497">
        <v>68</v>
      </c>
      <c r="AP4560" s="42"/>
      <c r="AQ4560" s="74"/>
      <c r="AR4560" s="77"/>
      <c r="AT4560" s="497">
        <v>69.080000000000013</v>
      </c>
      <c r="AV4560" s="42"/>
      <c r="AW4560" s="74"/>
      <c r="AX4560" s="77"/>
      <c r="BA4560" s="497">
        <v>71.06</v>
      </c>
      <c r="BB4560" s="42"/>
      <c r="BC4560" s="74"/>
      <c r="BD4560" s="77"/>
      <c r="BF4560">
        <v>60.980000000000004</v>
      </c>
      <c r="BH4560" s="42"/>
      <c r="BI4560" s="74"/>
      <c r="BJ4560" s="77"/>
      <c r="BL4560" s="497">
        <v>64.039999999999992</v>
      </c>
      <c r="BN4560" s="42"/>
      <c r="BO4560" s="74"/>
      <c r="BP4560" s="77"/>
      <c r="BR4560" s="497">
        <v>69.080000000000013</v>
      </c>
      <c r="BT4560" s="42"/>
    </row>
    <row r="4561" spans="1:72" x14ac:dyDescent="0.25">
      <c r="A4561" s="90">
        <v>34524</v>
      </c>
      <c r="B4561" s="20">
        <v>0.29166666666666669</v>
      </c>
      <c r="D4561">
        <v>73.94</v>
      </c>
      <c r="E4561" t="str">
        <f t="shared" si="176"/>
        <v>SATURDAY</v>
      </c>
      <c r="F4561" t="e">
        <f t="shared" si="177"/>
        <v>#N/A</v>
      </c>
      <c r="G4561" s="74">
        <v>31967</v>
      </c>
      <c r="H4561" s="77">
        <v>0.29166666666666669</v>
      </c>
      <c r="J4561">
        <v>78.080000000000013</v>
      </c>
      <c r="M4561" s="74">
        <v>33428</v>
      </c>
      <c r="N4561" s="77">
        <v>0.29166666666666669</v>
      </c>
      <c r="P4561">
        <v>73.039999999999992</v>
      </c>
      <c r="S4561" s="74">
        <v>34524</v>
      </c>
      <c r="T4561" s="77">
        <v>0.29166666666666669</v>
      </c>
      <c r="V4561">
        <v>80.06</v>
      </c>
      <c r="X4561" s="42"/>
      <c r="AB4561">
        <v>71.7</v>
      </c>
      <c r="AC4561">
        <v>78.080000000000013</v>
      </c>
      <c r="AE4561" s="74"/>
      <c r="AF4561" s="77"/>
      <c r="AH4561" s="497">
        <v>68</v>
      </c>
      <c r="AJ4561" s="42"/>
      <c r="AK4561" s="74"/>
      <c r="AL4561" s="77"/>
      <c r="AN4561" s="497">
        <v>71.960000000000008</v>
      </c>
      <c r="AP4561" s="42"/>
      <c r="AQ4561" s="74"/>
      <c r="AR4561" s="77"/>
      <c r="AT4561" s="497">
        <v>73.039999999999992</v>
      </c>
      <c r="AV4561" s="42"/>
      <c r="AW4561" s="74"/>
      <c r="AX4561" s="77"/>
      <c r="BA4561" s="497">
        <v>73.039999999999992</v>
      </c>
      <c r="BB4561" s="42"/>
      <c r="BC4561" s="74"/>
      <c r="BD4561" s="77"/>
      <c r="BF4561">
        <v>64.94</v>
      </c>
      <c r="BH4561" s="42"/>
      <c r="BI4561" s="74"/>
      <c r="BJ4561" s="77"/>
      <c r="BL4561" s="497">
        <v>68</v>
      </c>
      <c r="BN4561" s="42"/>
      <c r="BO4561" s="74"/>
      <c r="BP4561" s="77"/>
      <c r="BR4561" s="497">
        <v>69.98</v>
      </c>
      <c r="BT4561" s="42"/>
    </row>
    <row r="4562" spans="1:72" x14ac:dyDescent="0.25">
      <c r="A4562" s="90">
        <v>34524</v>
      </c>
      <c r="B4562" s="20">
        <v>0.33333333333333331</v>
      </c>
      <c r="D4562">
        <v>75.92</v>
      </c>
      <c r="E4562" t="str">
        <f t="shared" si="176"/>
        <v>SATURDAY</v>
      </c>
      <c r="F4562" t="e">
        <f t="shared" si="177"/>
        <v>#N/A</v>
      </c>
      <c r="G4562" s="74">
        <v>31967</v>
      </c>
      <c r="H4562" s="77">
        <v>0.33333333333333331</v>
      </c>
      <c r="J4562">
        <v>80.960000000000008</v>
      </c>
      <c r="M4562" s="74">
        <v>33428</v>
      </c>
      <c r="N4562" s="77">
        <v>0.33333333333333331</v>
      </c>
      <c r="P4562">
        <v>75.02</v>
      </c>
      <c r="S4562" s="74">
        <v>34524</v>
      </c>
      <c r="T4562" s="77">
        <v>0.33333333333333331</v>
      </c>
      <c r="V4562">
        <v>80.960000000000008</v>
      </c>
      <c r="X4562" s="42"/>
      <c r="AB4562">
        <v>73.7</v>
      </c>
      <c r="AC4562">
        <v>82.039999999999992</v>
      </c>
      <c r="AE4562" s="74"/>
      <c r="AF4562" s="77"/>
      <c r="AH4562" s="497">
        <v>69.800000000000011</v>
      </c>
      <c r="AJ4562" s="42"/>
      <c r="AK4562" s="74"/>
      <c r="AL4562" s="77"/>
      <c r="AN4562" s="497">
        <v>75.02</v>
      </c>
      <c r="AP4562" s="42"/>
      <c r="AQ4562" s="74"/>
      <c r="AR4562" s="77"/>
      <c r="AT4562" s="497">
        <v>75.740000000000009</v>
      </c>
      <c r="AV4562" s="42"/>
      <c r="AW4562" s="74"/>
      <c r="AX4562" s="77"/>
      <c r="BA4562" s="497">
        <v>75.92</v>
      </c>
      <c r="BB4562" s="42"/>
      <c r="BC4562" s="74"/>
      <c r="BD4562" s="77"/>
      <c r="BF4562">
        <v>69.080000000000013</v>
      </c>
      <c r="BH4562" s="42"/>
      <c r="BI4562" s="74"/>
      <c r="BJ4562" s="77"/>
      <c r="BL4562" s="497">
        <v>71.960000000000008</v>
      </c>
      <c r="BN4562" s="42"/>
      <c r="BO4562" s="74"/>
      <c r="BP4562" s="77"/>
      <c r="BR4562" s="497">
        <v>71.06</v>
      </c>
      <c r="BT4562" s="42"/>
    </row>
    <row r="4563" spans="1:72" x14ac:dyDescent="0.25">
      <c r="A4563" s="90">
        <v>34524</v>
      </c>
      <c r="B4563" s="20">
        <v>0.375</v>
      </c>
      <c r="D4563">
        <v>78.080000000000013</v>
      </c>
      <c r="E4563" t="str">
        <f t="shared" ref="E4563:E4626" si="178">IF(COUNTIF($DI$18:$DI$22, WEEKDAY(A4563))=1, "WEEKDAY", IF(WEEKDAY(A4563) = 1, "SUNDAY", "SATURDAY"))</f>
        <v>SATURDAY</v>
      </c>
      <c r="F4563" t="e">
        <f t="shared" si="177"/>
        <v>#N/A</v>
      </c>
      <c r="G4563" s="74">
        <v>31967</v>
      </c>
      <c r="H4563" s="77">
        <v>0.375</v>
      </c>
      <c r="J4563">
        <v>82.94</v>
      </c>
      <c r="M4563" s="74">
        <v>33428</v>
      </c>
      <c r="N4563" s="77">
        <v>0.375</v>
      </c>
      <c r="P4563">
        <v>75.92</v>
      </c>
      <c r="S4563" s="74">
        <v>34524</v>
      </c>
      <c r="T4563" s="77">
        <v>0.375</v>
      </c>
      <c r="V4563">
        <v>82.94</v>
      </c>
      <c r="X4563" s="42"/>
      <c r="AB4563">
        <v>75.7</v>
      </c>
      <c r="AC4563">
        <v>84.02</v>
      </c>
      <c r="AE4563" s="74"/>
      <c r="AF4563" s="77"/>
      <c r="AH4563" s="497">
        <v>73.400000000000006</v>
      </c>
      <c r="AJ4563" s="42"/>
      <c r="AK4563" s="74"/>
      <c r="AL4563" s="77"/>
      <c r="AN4563" s="497">
        <v>78.080000000000013</v>
      </c>
      <c r="AP4563" s="42"/>
      <c r="AQ4563" s="74"/>
      <c r="AR4563" s="77"/>
      <c r="AT4563" s="497">
        <v>78.259999999999991</v>
      </c>
      <c r="AV4563" s="42"/>
      <c r="AW4563" s="74"/>
      <c r="AX4563" s="77"/>
      <c r="BA4563" s="497">
        <v>75.02</v>
      </c>
      <c r="BB4563" s="42"/>
      <c r="BC4563" s="74"/>
      <c r="BD4563" s="77"/>
      <c r="BF4563">
        <v>69.98</v>
      </c>
      <c r="BH4563" s="42"/>
      <c r="BI4563" s="74"/>
      <c r="BJ4563" s="77"/>
      <c r="BL4563" s="497">
        <v>75.02</v>
      </c>
      <c r="BN4563" s="42"/>
      <c r="BO4563" s="74"/>
      <c r="BP4563" s="77"/>
      <c r="BR4563" s="497">
        <v>73.039999999999992</v>
      </c>
      <c r="BT4563" s="42"/>
    </row>
    <row r="4564" spans="1:72" x14ac:dyDescent="0.25">
      <c r="A4564" s="90">
        <v>34524</v>
      </c>
      <c r="B4564" s="20">
        <v>0.41666666666666669</v>
      </c>
      <c r="D4564">
        <v>82.039999999999992</v>
      </c>
      <c r="E4564" t="str">
        <f t="shared" si="178"/>
        <v>SATURDAY</v>
      </c>
      <c r="F4564" t="e">
        <f t="shared" si="177"/>
        <v>#N/A</v>
      </c>
      <c r="G4564" s="74">
        <v>31967</v>
      </c>
      <c r="H4564" s="77">
        <v>0.41666666666666669</v>
      </c>
      <c r="J4564">
        <v>86</v>
      </c>
      <c r="M4564" s="74">
        <v>33428</v>
      </c>
      <c r="N4564" s="77">
        <v>0.41666666666666669</v>
      </c>
      <c r="P4564">
        <v>77</v>
      </c>
      <c r="S4564" s="74">
        <v>34524</v>
      </c>
      <c r="T4564" s="77">
        <v>0.41666666666666669</v>
      </c>
      <c r="V4564">
        <v>86</v>
      </c>
      <c r="X4564" s="42"/>
      <c r="AB4564">
        <v>77.599999999999994</v>
      </c>
      <c r="AC4564">
        <v>87.080000000000013</v>
      </c>
      <c r="AE4564" s="74"/>
      <c r="AF4564" s="77"/>
      <c r="AH4564" s="497">
        <v>78.800000000000011</v>
      </c>
      <c r="AJ4564" s="42"/>
      <c r="AK4564" s="74"/>
      <c r="AL4564" s="77"/>
      <c r="AN4564" s="497">
        <v>77</v>
      </c>
      <c r="AP4564" s="42"/>
      <c r="AQ4564" s="74"/>
      <c r="AR4564" s="77"/>
      <c r="AT4564" s="497">
        <v>80.960000000000008</v>
      </c>
      <c r="AV4564" s="42"/>
      <c r="AW4564" s="74"/>
      <c r="AX4564" s="77"/>
      <c r="BA4564" s="497">
        <v>73.039999999999992</v>
      </c>
      <c r="BB4564" s="42"/>
      <c r="BC4564" s="74"/>
      <c r="BD4564" s="77"/>
      <c r="BF4564">
        <v>71.960000000000008</v>
      </c>
      <c r="BH4564" s="42"/>
      <c r="BI4564" s="74"/>
      <c r="BJ4564" s="77"/>
      <c r="BL4564" s="497">
        <v>78.080000000000013</v>
      </c>
      <c r="BN4564" s="42"/>
      <c r="BO4564" s="74"/>
      <c r="BP4564" s="77"/>
      <c r="BR4564" s="497">
        <v>75.02</v>
      </c>
      <c r="BT4564" s="42"/>
    </row>
    <row r="4565" spans="1:72" x14ac:dyDescent="0.25">
      <c r="A4565" s="90">
        <v>34524</v>
      </c>
      <c r="B4565" s="20">
        <v>0.45833333333333331</v>
      </c>
      <c r="D4565">
        <v>84.92</v>
      </c>
      <c r="E4565" t="str">
        <f t="shared" si="178"/>
        <v>SATURDAY</v>
      </c>
      <c r="F4565" t="e">
        <f t="shared" si="177"/>
        <v>#N/A</v>
      </c>
      <c r="G4565" s="74">
        <v>31967</v>
      </c>
      <c r="H4565" s="77">
        <v>0.45833333333333331</v>
      </c>
      <c r="J4565">
        <v>89.06</v>
      </c>
      <c r="M4565" s="74">
        <v>33428</v>
      </c>
      <c r="N4565" s="77">
        <v>0.45833333333333331</v>
      </c>
      <c r="P4565">
        <v>80.06</v>
      </c>
      <c r="S4565" s="74">
        <v>34524</v>
      </c>
      <c r="T4565" s="77">
        <v>0.45833333333333331</v>
      </c>
      <c r="V4565">
        <v>84.92</v>
      </c>
      <c r="X4565" s="42"/>
      <c r="AB4565">
        <v>79.099999999999994</v>
      </c>
      <c r="AC4565">
        <v>89.06</v>
      </c>
      <c r="AE4565" s="74"/>
      <c r="AF4565" s="77"/>
      <c r="AH4565" s="497">
        <v>78.800000000000011</v>
      </c>
      <c r="AJ4565" s="42"/>
      <c r="AK4565" s="74"/>
      <c r="AL4565" s="77"/>
      <c r="AN4565" s="497">
        <v>75.92</v>
      </c>
      <c r="AP4565" s="42"/>
      <c r="AQ4565" s="74"/>
      <c r="AR4565" s="77"/>
      <c r="AT4565" s="497">
        <v>80.240000000000009</v>
      </c>
      <c r="AV4565" s="42"/>
      <c r="AW4565" s="74"/>
      <c r="AX4565" s="77"/>
      <c r="BA4565" s="497">
        <v>73.039999999999992</v>
      </c>
      <c r="BB4565" s="42"/>
      <c r="BC4565" s="74"/>
      <c r="BD4565" s="77"/>
      <c r="BF4565">
        <v>73.039999999999992</v>
      </c>
      <c r="BH4565" s="42"/>
      <c r="BI4565" s="74"/>
      <c r="BJ4565" s="77"/>
      <c r="BL4565" s="497">
        <v>80.960000000000008</v>
      </c>
      <c r="BN4565" s="42"/>
      <c r="BO4565" s="74"/>
      <c r="BP4565" s="77"/>
      <c r="BR4565" s="497">
        <v>80.06</v>
      </c>
      <c r="BT4565" s="42"/>
    </row>
    <row r="4566" spans="1:72" x14ac:dyDescent="0.25">
      <c r="A4566" s="90">
        <v>34524</v>
      </c>
      <c r="B4566" s="20">
        <v>0.5</v>
      </c>
      <c r="D4566">
        <v>87.98</v>
      </c>
      <c r="E4566" t="str">
        <f t="shared" si="178"/>
        <v>SATURDAY</v>
      </c>
      <c r="F4566" t="e">
        <f t="shared" si="177"/>
        <v>#N/A</v>
      </c>
      <c r="G4566" s="74">
        <v>31967</v>
      </c>
      <c r="H4566" s="77">
        <v>0.5</v>
      </c>
      <c r="J4566">
        <v>89.960000000000008</v>
      </c>
      <c r="M4566" s="74">
        <v>33428</v>
      </c>
      <c r="N4566" s="77">
        <v>0.5</v>
      </c>
      <c r="P4566">
        <v>80.06</v>
      </c>
      <c r="S4566" s="74">
        <v>34524</v>
      </c>
      <c r="T4566" s="77">
        <v>0.5</v>
      </c>
      <c r="V4566">
        <v>86</v>
      </c>
      <c r="X4566" s="42"/>
      <c r="AB4566">
        <v>80.3</v>
      </c>
      <c r="AC4566">
        <v>87.98</v>
      </c>
      <c r="AE4566" s="74"/>
      <c r="AF4566" s="77"/>
      <c r="AH4566" s="497">
        <v>80.599999999999994</v>
      </c>
      <c r="AJ4566" s="42"/>
      <c r="AK4566" s="74"/>
      <c r="AL4566" s="77"/>
      <c r="AN4566" s="497">
        <v>78.080000000000013</v>
      </c>
      <c r="AP4566" s="42"/>
      <c r="AQ4566" s="74"/>
      <c r="AR4566" s="77"/>
      <c r="AT4566" s="497">
        <v>79.7</v>
      </c>
      <c r="AV4566" s="42"/>
      <c r="AW4566" s="74"/>
      <c r="AX4566" s="77"/>
      <c r="BA4566" s="497">
        <v>77</v>
      </c>
      <c r="BB4566" s="42"/>
      <c r="BC4566" s="74"/>
      <c r="BD4566" s="77"/>
      <c r="BF4566">
        <v>73.94</v>
      </c>
      <c r="BH4566" s="42"/>
      <c r="BI4566" s="74"/>
      <c r="BJ4566" s="77"/>
      <c r="BL4566" s="497">
        <v>82.94</v>
      </c>
      <c r="BN4566" s="42"/>
      <c r="BO4566" s="74"/>
      <c r="BP4566" s="77"/>
      <c r="BR4566" s="497">
        <v>80.960000000000008</v>
      </c>
      <c r="BT4566" s="42"/>
    </row>
    <row r="4567" spans="1:72" x14ac:dyDescent="0.25">
      <c r="A4567" s="90">
        <v>34524</v>
      </c>
      <c r="B4567" s="20">
        <v>0.54166666666666663</v>
      </c>
      <c r="D4567">
        <v>93.02</v>
      </c>
      <c r="E4567" t="str">
        <f t="shared" si="178"/>
        <v>SATURDAY</v>
      </c>
      <c r="F4567" t="e">
        <f t="shared" si="177"/>
        <v>#N/A</v>
      </c>
      <c r="G4567" s="74">
        <v>31967</v>
      </c>
      <c r="H4567" s="77">
        <v>0.54166666666666663</v>
      </c>
      <c r="J4567">
        <v>91.94</v>
      </c>
      <c r="M4567" s="74">
        <v>33428</v>
      </c>
      <c r="N4567" s="77">
        <v>0.54166666666666663</v>
      </c>
      <c r="P4567">
        <v>81.14</v>
      </c>
      <c r="S4567" s="74">
        <v>34524</v>
      </c>
      <c r="T4567" s="77">
        <v>0.54166666666666663</v>
      </c>
      <c r="V4567">
        <v>89.06</v>
      </c>
      <c r="X4567" s="42"/>
      <c r="AB4567">
        <v>81</v>
      </c>
      <c r="AC4567">
        <v>87.98</v>
      </c>
      <c r="AE4567" s="74"/>
      <c r="AF4567" s="77"/>
      <c r="AH4567" s="497">
        <v>82.4</v>
      </c>
      <c r="AJ4567" s="42"/>
      <c r="AK4567" s="74"/>
      <c r="AL4567" s="77"/>
      <c r="AN4567" s="497">
        <v>78.080000000000013</v>
      </c>
      <c r="AP4567" s="42"/>
      <c r="AQ4567" s="74"/>
      <c r="AR4567" s="77"/>
      <c r="AT4567" s="497">
        <v>78.98</v>
      </c>
      <c r="AV4567" s="42"/>
      <c r="AW4567" s="74"/>
      <c r="AX4567" s="77"/>
      <c r="BA4567" s="497">
        <v>78.98</v>
      </c>
      <c r="BB4567" s="42"/>
      <c r="BC4567" s="74"/>
      <c r="BD4567" s="77"/>
      <c r="BF4567">
        <v>73.94</v>
      </c>
      <c r="BH4567" s="42"/>
      <c r="BI4567" s="74"/>
      <c r="BJ4567" s="77"/>
      <c r="BL4567" s="497">
        <v>82.94</v>
      </c>
      <c r="BN4567" s="42"/>
      <c r="BO4567" s="74"/>
      <c r="BP4567" s="77"/>
      <c r="BR4567" s="497">
        <v>82.039999999999992</v>
      </c>
      <c r="BT4567" s="42"/>
    </row>
    <row r="4568" spans="1:72" x14ac:dyDescent="0.25">
      <c r="A4568" s="90">
        <v>34524</v>
      </c>
      <c r="B4568" s="20">
        <v>0.58333333333333337</v>
      </c>
      <c r="D4568">
        <v>93.02</v>
      </c>
      <c r="E4568" t="str">
        <f t="shared" si="178"/>
        <v>SATURDAY</v>
      </c>
      <c r="F4568" t="e">
        <f t="shared" si="177"/>
        <v>#N/A</v>
      </c>
      <c r="G4568" s="74">
        <v>31967</v>
      </c>
      <c r="H4568" s="77">
        <v>0.58333333333333337</v>
      </c>
      <c r="J4568">
        <v>89.06</v>
      </c>
      <c r="M4568" s="74">
        <v>33428</v>
      </c>
      <c r="N4568" s="77">
        <v>0.58333333333333337</v>
      </c>
      <c r="P4568">
        <v>82.039999999999992</v>
      </c>
      <c r="S4568" s="74">
        <v>34524</v>
      </c>
      <c r="T4568" s="77">
        <v>0.58333333333333337</v>
      </c>
      <c r="V4568">
        <v>89.06</v>
      </c>
      <c r="X4568" s="42"/>
      <c r="AB4568">
        <v>81.5</v>
      </c>
      <c r="AC4568">
        <v>89.06</v>
      </c>
      <c r="AE4568" s="74"/>
      <c r="AF4568" s="77"/>
      <c r="AH4568" s="497">
        <v>84.2</v>
      </c>
      <c r="AJ4568" s="42"/>
      <c r="AK4568" s="74"/>
      <c r="AL4568" s="77"/>
      <c r="AN4568" s="497">
        <v>78.080000000000013</v>
      </c>
      <c r="AP4568" s="42"/>
      <c r="AQ4568" s="74"/>
      <c r="AR4568" s="77"/>
      <c r="AT4568" s="497">
        <v>80.599999999999994</v>
      </c>
      <c r="AV4568" s="42"/>
      <c r="AW4568" s="74"/>
      <c r="AX4568" s="77"/>
      <c r="BA4568" s="497">
        <v>80.960000000000008</v>
      </c>
      <c r="BB4568" s="42"/>
      <c r="BC4568" s="74"/>
      <c r="BD4568" s="77"/>
      <c r="BF4568">
        <v>77</v>
      </c>
      <c r="BH4568" s="42"/>
      <c r="BI4568" s="74"/>
      <c r="BJ4568" s="77"/>
      <c r="BL4568" s="497">
        <v>86</v>
      </c>
      <c r="BN4568" s="42"/>
      <c r="BO4568" s="74"/>
      <c r="BP4568" s="77"/>
      <c r="BR4568" s="497">
        <v>82.039999999999992</v>
      </c>
      <c r="BT4568" s="42"/>
    </row>
    <row r="4569" spans="1:72" x14ac:dyDescent="0.25">
      <c r="A4569" s="90">
        <v>34524</v>
      </c>
      <c r="B4569" s="20">
        <v>0.625</v>
      </c>
      <c r="D4569">
        <v>91.94</v>
      </c>
      <c r="E4569" t="str">
        <f t="shared" si="178"/>
        <v>SATURDAY</v>
      </c>
      <c r="F4569" t="e">
        <f t="shared" si="177"/>
        <v>#N/A</v>
      </c>
      <c r="G4569" s="74">
        <v>31967</v>
      </c>
      <c r="H4569" s="77">
        <v>0.625</v>
      </c>
      <c r="J4569">
        <v>75.02</v>
      </c>
      <c r="M4569" s="74">
        <v>33428</v>
      </c>
      <c r="N4569" s="77">
        <v>0.625</v>
      </c>
      <c r="P4569">
        <v>84.02</v>
      </c>
      <c r="S4569" s="74">
        <v>34524</v>
      </c>
      <c r="T4569" s="77">
        <v>0.625</v>
      </c>
      <c r="V4569">
        <v>80.960000000000008</v>
      </c>
      <c r="X4569" s="42"/>
      <c r="AB4569">
        <v>81.5</v>
      </c>
      <c r="AC4569">
        <v>87.080000000000013</v>
      </c>
      <c r="AE4569" s="74"/>
      <c r="AF4569" s="77"/>
      <c r="AH4569" s="497">
        <v>84.2</v>
      </c>
      <c r="AJ4569" s="42"/>
      <c r="AK4569" s="74"/>
      <c r="AL4569" s="77"/>
      <c r="AN4569" s="497">
        <v>78.98</v>
      </c>
      <c r="AP4569" s="42"/>
      <c r="AQ4569" s="74"/>
      <c r="AR4569" s="77"/>
      <c r="AT4569" s="497">
        <v>82.4</v>
      </c>
      <c r="AV4569" s="42"/>
      <c r="AW4569" s="74"/>
      <c r="AX4569" s="77"/>
      <c r="BA4569" s="497">
        <v>84.02</v>
      </c>
      <c r="BB4569" s="42"/>
      <c r="BC4569" s="74"/>
      <c r="BD4569" s="77"/>
      <c r="BF4569">
        <v>75.92</v>
      </c>
      <c r="BH4569" s="42"/>
      <c r="BI4569" s="74"/>
      <c r="BJ4569" s="77"/>
      <c r="BL4569" s="497">
        <v>84.92</v>
      </c>
      <c r="BN4569" s="42"/>
      <c r="BO4569" s="74"/>
      <c r="BP4569" s="77"/>
      <c r="BR4569" s="497">
        <v>82.039999999999992</v>
      </c>
      <c r="BT4569" s="42"/>
    </row>
    <row r="4570" spans="1:72" x14ac:dyDescent="0.25">
      <c r="A4570" s="90">
        <v>34524</v>
      </c>
      <c r="B4570" s="20">
        <v>0.66666666666666663</v>
      </c>
      <c r="D4570">
        <v>87.98</v>
      </c>
      <c r="E4570" t="str">
        <f t="shared" si="178"/>
        <v>SATURDAY</v>
      </c>
      <c r="F4570" t="e">
        <f t="shared" si="177"/>
        <v>#N/A</v>
      </c>
      <c r="G4570" s="74">
        <v>31967</v>
      </c>
      <c r="H4570" s="77">
        <v>0.66666666666666663</v>
      </c>
      <c r="J4570">
        <v>80.06</v>
      </c>
      <c r="M4570" s="74">
        <v>33428</v>
      </c>
      <c r="N4570" s="77">
        <v>0.66666666666666663</v>
      </c>
      <c r="P4570">
        <v>84.02</v>
      </c>
      <c r="S4570" s="74">
        <v>34524</v>
      </c>
      <c r="T4570" s="77">
        <v>0.66666666666666663</v>
      </c>
      <c r="V4570">
        <v>80.960000000000008</v>
      </c>
      <c r="X4570" s="42"/>
      <c r="AB4570">
        <v>81</v>
      </c>
      <c r="AC4570">
        <v>84.92</v>
      </c>
      <c r="AE4570" s="74"/>
      <c r="AF4570" s="77"/>
      <c r="AH4570" s="497">
        <v>86</v>
      </c>
      <c r="AJ4570" s="42"/>
      <c r="AK4570" s="74"/>
      <c r="AL4570" s="77"/>
      <c r="AN4570" s="497">
        <v>80.06</v>
      </c>
      <c r="AP4570" s="42"/>
      <c r="AQ4570" s="74"/>
      <c r="AR4570" s="77"/>
      <c r="AT4570" s="497">
        <v>84.02</v>
      </c>
      <c r="AV4570" s="42"/>
      <c r="AW4570" s="74"/>
      <c r="AX4570" s="77"/>
      <c r="BA4570" s="497">
        <v>82.94</v>
      </c>
      <c r="BB4570" s="42"/>
      <c r="BC4570" s="74"/>
      <c r="BD4570" s="77"/>
      <c r="BF4570">
        <v>73.039999999999992</v>
      </c>
      <c r="BH4570" s="42"/>
      <c r="BI4570" s="74"/>
      <c r="BJ4570" s="77"/>
      <c r="BL4570" s="497">
        <v>84.02</v>
      </c>
      <c r="BN4570" s="42"/>
      <c r="BO4570" s="74"/>
      <c r="BP4570" s="77"/>
      <c r="BR4570" s="497">
        <v>82.94</v>
      </c>
      <c r="BT4570" s="42"/>
    </row>
    <row r="4571" spans="1:72" x14ac:dyDescent="0.25">
      <c r="A4571" s="90">
        <v>34524</v>
      </c>
      <c r="B4571" s="20">
        <v>0.70833333333333337</v>
      </c>
      <c r="D4571">
        <v>89.06</v>
      </c>
      <c r="E4571" t="str">
        <f t="shared" si="178"/>
        <v>SATURDAY</v>
      </c>
      <c r="F4571" t="e">
        <f t="shared" si="177"/>
        <v>#N/A</v>
      </c>
      <c r="G4571" s="74">
        <v>31967</v>
      </c>
      <c r="H4571" s="77">
        <v>0.70833333333333337</v>
      </c>
      <c r="J4571">
        <v>82.94</v>
      </c>
      <c r="M4571" s="74">
        <v>33428</v>
      </c>
      <c r="N4571" s="77">
        <v>0.70833333333333337</v>
      </c>
      <c r="P4571">
        <v>84.02</v>
      </c>
      <c r="S4571" s="74">
        <v>34524</v>
      </c>
      <c r="T4571" s="77">
        <v>0.70833333333333337</v>
      </c>
      <c r="V4571">
        <v>80.06</v>
      </c>
      <c r="X4571" s="42"/>
      <c r="AB4571">
        <v>80.099999999999994</v>
      </c>
      <c r="AC4571">
        <v>82.039999999999992</v>
      </c>
      <c r="AE4571" s="74"/>
      <c r="AF4571" s="77"/>
      <c r="AH4571" s="497">
        <v>75.2</v>
      </c>
      <c r="AJ4571" s="42"/>
      <c r="AK4571" s="74"/>
      <c r="AL4571" s="77"/>
      <c r="AN4571" s="497">
        <v>80.06</v>
      </c>
      <c r="AP4571" s="42"/>
      <c r="AQ4571" s="74"/>
      <c r="AR4571" s="77"/>
      <c r="AT4571" s="497">
        <v>82.4</v>
      </c>
      <c r="AV4571" s="42"/>
      <c r="AW4571" s="74"/>
      <c r="AX4571" s="77"/>
      <c r="BA4571" s="497">
        <v>80.06</v>
      </c>
      <c r="BB4571" s="42"/>
      <c r="BC4571" s="74"/>
      <c r="BD4571" s="77"/>
      <c r="BF4571">
        <v>71.960000000000008</v>
      </c>
      <c r="BH4571" s="42"/>
      <c r="BI4571" s="74"/>
      <c r="BJ4571" s="77"/>
      <c r="BL4571" s="497">
        <v>82.039999999999992</v>
      </c>
      <c r="BN4571" s="42"/>
      <c r="BO4571" s="74"/>
      <c r="BP4571" s="77"/>
      <c r="BR4571" s="497">
        <v>82.039999999999992</v>
      </c>
      <c r="BT4571" s="42"/>
    </row>
    <row r="4572" spans="1:72" x14ac:dyDescent="0.25">
      <c r="A4572" s="90">
        <v>34524</v>
      </c>
      <c r="B4572" s="20">
        <v>0.75</v>
      </c>
      <c r="D4572">
        <v>87.080000000000013</v>
      </c>
      <c r="E4572" t="str">
        <f t="shared" si="178"/>
        <v>SATURDAY</v>
      </c>
      <c r="F4572" t="e">
        <f t="shared" si="177"/>
        <v>#N/A</v>
      </c>
      <c r="G4572" s="74">
        <v>31967</v>
      </c>
      <c r="H4572" s="77">
        <v>0.75</v>
      </c>
      <c r="J4572">
        <v>84.02</v>
      </c>
      <c r="M4572" s="74">
        <v>33428</v>
      </c>
      <c r="N4572" s="77">
        <v>0.75</v>
      </c>
      <c r="P4572">
        <v>80.960000000000008</v>
      </c>
      <c r="S4572" s="74">
        <v>34524</v>
      </c>
      <c r="T4572" s="77">
        <v>0.75</v>
      </c>
      <c r="V4572">
        <v>80.960000000000008</v>
      </c>
      <c r="X4572" s="42"/>
      <c r="AB4572">
        <v>79</v>
      </c>
      <c r="AC4572">
        <v>78.98</v>
      </c>
      <c r="AE4572" s="74"/>
      <c r="AF4572" s="77"/>
      <c r="AH4572" s="497">
        <v>71.599999999999994</v>
      </c>
      <c r="AJ4572" s="42"/>
      <c r="AK4572" s="74"/>
      <c r="AL4572" s="77"/>
      <c r="AN4572" s="497">
        <v>78.98</v>
      </c>
      <c r="AP4572" s="42"/>
      <c r="AQ4572" s="74"/>
      <c r="AR4572" s="77"/>
      <c r="AT4572" s="497">
        <v>80.599999999999994</v>
      </c>
      <c r="AV4572" s="42"/>
      <c r="AW4572" s="74"/>
      <c r="AX4572" s="77"/>
      <c r="BA4572" s="497">
        <v>77</v>
      </c>
      <c r="BB4572" s="42"/>
      <c r="BC4572" s="74"/>
      <c r="BD4572" s="77"/>
      <c r="BF4572">
        <v>71.06</v>
      </c>
      <c r="BH4572" s="42"/>
      <c r="BI4572" s="74"/>
      <c r="BJ4572" s="77"/>
      <c r="BL4572" s="497">
        <v>82.039999999999992</v>
      </c>
      <c r="BN4572" s="42"/>
      <c r="BO4572" s="74"/>
      <c r="BP4572" s="77"/>
      <c r="BR4572" s="497">
        <v>80.06</v>
      </c>
      <c r="BT4572" s="42"/>
    </row>
    <row r="4573" spans="1:72" x14ac:dyDescent="0.25">
      <c r="A4573" s="90">
        <v>34524</v>
      </c>
      <c r="B4573" s="20">
        <v>0.79166666666666663</v>
      </c>
      <c r="D4573">
        <v>87.080000000000013</v>
      </c>
      <c r="E4573" t="str">
        <f t="shared" si="178"/>
        <v>SATURDAY</v>
      </c>
      <c r="F4573" t="e">
        <f t="shared" si="177"/>
        <v>#N/A</v>
      </c>
      <c r="G4573" s="74">
        <v>31967</v>
      </c>
      <c r="H4573" s="77">
        <v>0.79166666666666663</v>
      </c>
      <c r="J4573">
        <v>84.92</v>
      </c>
      <c r="M4573" s="74">
        <v>33428</v>
      </c>
      <c r="N4573" s="77">
        <v>0.79166666666666663</v>
      </c>
      <c r="P4573">
        <v>78.98</v>
      </c>
      <c r="S4573" s="74">
        <v>34524</v>
      </c>
      <c r="T4573" s="77">
        <v>0.79166666666666663</v>
      </c>
      <c r="V4573">
        <v>80.06</v>
      </c>
      <c r="X4573" s="42"/>
      <c r="AB4573">
        <v>77.7</v>
      </c>
      <c r="AC4573">
        <v>78.98</v>
      </c>
      <c r="AE4573" s="74"/>
      <c r="AF4573" s="77"/>
      <c r="AH4573" s="497">
        <v>71.599999999999994</v>
      </c>
      <c r="AJ4573" s="42"/>
      <c r="AK4573" s="74"/>
      <c r="AL4573" s="77"/>
      <c r="AN4573" s="497">
        <v>75.02</v>
      </c>
      <c r="AP4573" s="42"/>
      <c r="AQ4573" s="74"/>
      <c r="AR4573" s="77"/>
      <c r="AT4573" s="497">
        <v>78.98</v>
      </c>
      <c r="AV4573" s="42"/>
      <c r="AW4573" s="74"/>
      <c r="AX4573" s="77"/>
      <c r="BA4573" s="497">
        <v>75.02</v>
      </c>
      <c r="BB4573" s="42"/>
      <c r="BC4573" s="74"/>
      <c r="BD4573" s="77"/>
      <c r="BF4573">
        <v>71.960000000000008</v>
      </c>
      <c r="BH4573" s="42"/>
      <c r="BI4573" s="74"/>
      <c r="BJ4573" s="77"/>
      <c r="BL4573" s="497">
        <v>80.960000000000008</v>
      </c>
      <c r="BN4573" s="42"/>
      <c r="BO4573" s="74"/>
      <c r="BP4573" s="77"/>
      <c r="BR4573" s="497">
        <v>73.94</v>
      </c>
      <c r="BT4573" s="42"/>
    </row>
    <row r="4574" spans="1:72" x14ac:dyDescent="0.25">
      <c r="A4574" s="90">
        <v>34524</v>
      </c>
      <c r="B4574" s="20">
        <v>0.83333333333333337</v>
      </c>
      <c r="D4574">
        <v>87.080000000000013</v>
      </c>
      <c r="E4574" t="str">
        <f t="shared" si="178"/>
        <v>SATURDAY</v>
      </c>
      <c r="F4574" t="e">
        <f t="shared" si="177"/>
        <v>#N/A</v>
      </c>
      <c r="G4574" s="74">
        <v>31967</v>
      </c>
      <c r="H4574" s="77">
        <v>0.83333333333333337</v>
      </c>
      <c r="J4574">
        <v>82.94</v>
      </c>
      <c r="M4574" s="74">
        <v>33428</v>
      </c>
      <c r="N4574" s="77">
        <v>0.83333333333333337</v>
      </c>
      <c r="P4574">
        <v>75.02</v>
      </c>
      <c r="S4574" s="74">
        <v>34524</v>
      </c>
      <c r="T4574" s="77">
        <v>0.83333333333333337</v>
      </c>
      <c r="V4574">
        <v>78.080000000000013</v>
      </c>
      <c r="X4574" s="42"/>
      <c r="AB4574">
        <v>76.3</v>
      </c>
      <c r="AC4574">
        <v>78.080000000000013</v>
      </c>
      <c r="AE4574" s="74"/>
      <c r="AF4574" s="77"/>
      <c r="AH4574" s="497">
        <v>69.800000000000011</v>
      </c>
      <c r="AJ4574" s="42"/>
      <c r="AK4574" s="74"/>
      <c r="AL4574" s="77"/>
      <c r="AN4574" s="497">
        <v>73.039999999999992</v>
      </c>
      <c r="AP4574" s="42"/>
      <c r="AQ4574" s="74"/>
      <c r="AR4574" s="77"/>
      <c r="AT4574" s="497">
        <v>75.92</v>
      </c>
      <c r="AV4574" s="42"/>
      <c r="AW4574" s="74"/>
      <c r="AX4574" s="77"/>
      <c r="BA4574" s="497">
        <v>69.98</v>
      </c>
      <c r="BB4574" s="42"/>
      <c r="BC4574" s="74"/>
      <c r="BD4574" s="77"/>
      <c r="BF4574">
        <v>69.98</v>
      </c>
      <c r="BH4574" s="42"/>
      <c r="BI4574" s="74"/>
      <c r="BJ4574" s="77"/>
      <c r="BL4574" s="497">
        <v>77</v>
      </c>
      <c r="BN4574" s="42"/>
      <c r="BO4574" s="74"/>
      <c r="BP4574" s="77"/>
      <c r="BR4574" s="497">
        <v>75.02</v>
      </c>
      <c r="BT4574" s="42"/>
    </row>
    <row r="4575" spans="1:72" x14ac:dyDescent="0.25">
      <c r="A4575" s="90">
        <v>34524</v>
      </c>
      <c r="B4575" s="20">
        <v>0.875</v>
      </c>
      <c r="D4575">
        <v>86</v>
      </c>
      <c r="E4575" t="str">
        <f t="shared" si="178"/>
        <v>SATURDAY</v>
      </c>
      <c r="F4575" t="e">
        <f t="shared" si="177"/>
        <v>#N/A</v>
      </c>
      <c r="G4575" s="74">
        <v>31967</v>
      </c>
      <c r="H4575" s="77">
        <v>0.875</v>
      </c>
      <c r="J4575">
        <v>80.960000000000008</v>
      </c>
      <c r="M4575" s="74">
        <v>33428</v>
      </c>
      <c r="N4575" s="77">
        <v>0.875</v>
      </c>
      <c r="P4575">
        <v>68</v>
      </c>
      <c r="S4575" s="74">
        <v>34524</v>
      </c>
      <c r="T4575" s="77">
        <v>0.875</v>
      </c>
      <c r="V4575">
        <v>80.960000000000008</v>
      </c>
      <c r="X4575" s="42"/>
      <c r="AB4575">
        <v>75</v>
      </c>
      <c r="AC4575">
        <v>77</v>
      </c>
      <c r="AE4575" s="74"/>
      <c r="AF4575" s="77"/>
      <c r="AH4575" s="497">
        <v>69.800000000000011</v>
      </c>
      <c r="AJ4575" s="42"/>
      <c r="AK4575" s="74"/>
      <c r="AL4575" s="77"/>
      <c r="AN4575" s="497">
        <v>71.960000000000008</v>
      </c>
      <c r="AP4575" s="42"/>
      <c r="AQ4575" s="74"/>
      <c r="AR4575" s="77"/>
      <c r="AT4575" s="497">
        <v>73.039999999999992</v>
      </c>
      <c r="AV4575" s="42"/>
      <c r="AW4575" s="74"/>
      <c r="AX4575" s="77"/>
      <c r="BA4575" s="497">
        <v>66.92</v>
      </c>
      <c r="BB4575" s="42"/>
      <c r="BC4575" s="74"/>
      <c r="BD4575" s="77"/>
      <c r="BF4575">
        <v>66.02</v>
      </c>
      <c r="BH4575" s="42"/>
      <c r="BI4575" s="74"/>
      <c r="BJ4575" s="77"/>
      <c r="BL4575" s="497">
        <v>75.02</v>
      </c>
      <c r="BN4575" s="42"/>
      <c r="BO4575" s="74"/>
      <c r="BP4575" s="77"/>
      <c r="BR4575" s="497">
        <v>71.06</v>
      </c>
      <c r="BT4575" s="42"/>
    </row>
    <row r="4576" spans="1:72" x14ac:dyDescent="0.25">
      <c r="A4576" s="90">
        <v>34524</v>
      </c>
      <c r="B4576" s="20">
        <v>0.91666666666666663</v>
      </c>
      <c r="D4576">
        <v>86</v>
      </c>
      <c r="E4576" t="str">
        <f t="shared" si="178"/>
        <v>SATURDAY</v>
      </c>
      <c r="F4576" t="e">
        <f t="shared" si="177"/>
        <v>#N/A</v>
      </c>
      <c r="G4576" s="74">
        <v>31967</v>
      </c>
      <c r="H4576" s="77">
        <v>0.91666666666666663</v>
      </c>
      <c r="J4576">
        <v>80.960000000000008</v>
      </c>
      <c r="M4576" s="74">
        <v>33428</v>
      </c>
      <c r="N4576" s="77">
        <v>0.91666666666666663</v>
      </c>
      <c r="P4576">
        <v>64.94</v>
      </c>
      <c r="S4576" s="74">
        <v>34524</v>
      </c>
      <c r="T4576" s="77">
        <v>0.91666666666666663</v>
      </c>
      <c r="V4576">
        <v>80.960000000000008</v>
      </c>
      <c r="X4576" s="42"/>
      <c r="AB4576">
        <v>74.2</v>
      </c>
      <c r="AC4576">
        <v>77</v>
      </c>
      <c r="AE4576" s="74"/>
      <c r="AF4576" s="77"/>
      <c r="AH4576" s="497">
        <v>68</v>
      </c>
      <c r="AJ4576" s="42"/>
      <c r="AK4576" s="74"/>
      <c r="AL4576" s="77"/>
      <c r="AN4576" s="497">
        <v>71.06</v>
      </c>
      <c r="AP4576" s="42"/>
      <c r="AQ4576" s="74"/>
      <c r="AR4576" s="77"/>
      <c r="AT4576" s="497">
        <v>69.98</v>
      </c>
      <c r="AV4576" s="42"/>
      <c r="AW4576" s="74"/>
      <c r="AX4576" s="77"/>
      <c r="BA4576" s="497">
        <v>66.92</v>
      </c>
      <c r="BB4576" s="42"/>
      <c r="BC4576" s="74"/>
      <c r="BD4576" s="77"/>
      <c r="BF4576">
        <v>62.96</v>
      </c>
      <c r="BH4576" s="42"/>
      <c r="BI4576" s="74"/>
      <c r="BJ4576" s="77"/>
      <c r="BL4576" s="497">
        <v>73.94</v>
      </c>
      <c r="BN4576" s="42"/>
      <c r="BO4576" s="74"/>
      <c r="BP4576" s="77"/>
      <c r="BR4576" s="497">
        <v>69.98</v>
      </c>
      <c r="BT4576" s="42"/>
    </row>
    <row r="4577" spans="1:72" x14ac:dyDescent="0.25">
      <c r="A4577" s="90">
        <v>34524</v>
      </c>
      <c r="B4577" s="20">
        <v>0.95833333333333337</v>
      </c>
      <c r="D4577">
        <v>86</v>
      </c>
      <c r="E4577" t="str">
        <f t="shared" si="178"/>
        <v>SATURDAY</v>
      </c>
      <c r="F4577" t="e">
        <f t="shared" si="177"/>
        <v>#N/A</v>
      </c>
      <c r="G4577" s="74">
        <v>31967</v>
      </c>
      <c r="H4577" s="77">
        <v>0.95833333333333337</v>
      </c>
      <c r="J4577">
        <v>80.06</v>
      </c>
      <c r="M4577" s="74">
        <v>33428</v>
      </c>
      <c r="N4577" s="77">
        <v>0.95833333333333337</v>
      </c>
      <c r="P4577">
        <v>64.039999999999992</v>
      </c>
      <c r="S4577" s="74">
        <v>34524</v>
      </c>
      <c r="T4577" s="77">
        <v>0.95833333333333337</v>
      </c>
      <c r="V4577">
        <v>80.960000000000008</v>
      </c>
      <c r="X4577" s="42"/>
      <c r="AB4577">
        <v>73.8</v>
      </c>
      <c r="AC4577">
        <v>77</v>
      </c>
      <c r="AE4577" s="74"/>
      <c r="AF4577" s="77"/>
      <c r="AH4577" s="497">
        <v>66.2</v>
      </c>
      <c r="AJ4577" s="42"/>
      <c r="AK4577" s="74"/>
      <c r="AL4577" s="77"/>
      <c r="AN4577" s="497">
        <v>69.98</v>
      </c>
      <c r="AP4577" s="42"/>
      <c r="AQ4577" s="74"/>
      <c r="AR4577" s="77"/>
      <c r="AT4577" s="497">
        <v>68.36</v>
      </c>
      <c r="AV4577" s="42"/>
      <c r="AW4577" s="74"/>
      <c r="AX4577" s="77"/>
      <c r="BA4577" s="497">
        <v>66.92</v>
      </c>
      <c r="BB4577" s="42"/>
      <c r="BC4577" s="74"/>
      <c r="BD4577" s="77"/>
      <c r="BF4577">
        <v>60.980000000000004</v>
      </c>
      <c r="BH4577" s="42"/>
      <c r="BI4577" s="74"/>
      <c r="BJ4577" s="77"/>
      <c r="BL4577" s="497">
        <v>73.039999999999992</v>
      </c>
      <c r="BN4577" s="42"/>
      <c r="BO4577" s="74"/>
      <c r="BP4577" s="77"/>
      <c r="BR4577" s="497">
        <v>68</v>
      </c>
      <c r="BT4577" s="42"/>
    </row>
    <row r="4578" spans="1:72" x14ac:dyDescent="0.25">
      <c r="A4578" s="90">
        <v>34524</v>
      </c>
      <c r="B4578" s="20">
        <v>1</v>
      </c>
      <c r="D4578">
        <v>84.92</v>
      </c>
      <c r="E4578" t="str">
        <f t="shared" si="178"/>
        <v>SATURDAY</v>
      </c>
      <c r="F4578" t="e">
        <f t="shared" si="177"/>
        <v>#N/A</v>
      </c>
      <c r="G4578" s="74">
        <v>31967</v>
      </c>
      <c r="H4578" s="77">
        <v>1</v>
      </c>
      <c r="J4578">
        <v>77</v>
      </c>
      <c r="M4578" s="74">
        <v>33428</v>
      </c>
      <c r="N4578" s="80">
        <v>1</v>
      </c>
      <c r="P4578">
        <v>62.96</v>
      </c>
      <c r="S4578" s="74">
        <v>34524</v>
      </c>
      <c r="T4578" s="80">
        <v>1</v>
      </c>
      <c r="V4578">
        <v>84.02</v>
      </c>
      <c r="X4578" s="42"/>
      <c r="AB4578">
        <v>73.3</v>
      </c>
      <c r="AC4578">
        <v>78.080000000000013</v>
      </c>
      <c r="AE4578" s="74"/>
      <c r="AF4578" s="80"/>
      <c r="AH4578" s="497">
        <v>66.2</v>
      </c>
      <c r="AJ4578" s="42"/>
      <c r="AK4578" s="74"/>
      <c r="AL4578" s="80"/>
      <c r="AN4578" s="497">
        <v>69.080000000000013</v>
      </c>
      <c r="AP4578" s="42"/>
      <c r="AQ4578" s="74"/>
      <c r="AR4578" s="80"/>
      <c r="AT4578" s="497">
        <v>66.56</v>
      </c>
      <c r="AV4578" s="42"/>
      <c r="AW4578" s="74"/>
      <c r="AX4578" s="80"/>
      <c r="BA4578" s="497">
        <v>66.02</v>
      </c>
      <c r="BB4578" s="42"/>
      <c r="BC4578" s="74"/>
      <c r="BD4578" s="80"/>
      <c r="BF4578">
        <v>60.980000000000004</v>
      </c>
      <c r="BH4578" s="42"/>
      <c r="BI4578" s="74"/>
      <c r="BJ4578" s="80"/>
      <c r="BL4578" s="497">
        <v>71.960000000000008</v>
      </c>
      <c r="BN4578" s="42"/>
      <c r="BO4578" s="74"/>
      <c r="BP4578" s="80"/>
      <c r="BR4578" s="497">
        <v>66.92</v>
      </c>
      <c r="BT4578" s="42"/>
    </row>
    <row r="4579" spans="1:72" x14ac:dyDescent="0.25">
      <c r="A4579" s="90">
        <v>34525</v>
      </c>
      <c r="B4579" s="20">
        <v>4.1666666666666664E-2</v>
      </c>
      <c r="D4579">
        <v>82.94</v>
      </c>
      <c r="E4579" t="str">
        <f t="shared" si="178"/>
        <v>SUNDAY</v>
      </c>
      <c r="F4579" t="e">
        <f t="shared" si="177"/>
        <v>#N/A</v>
      </c>
      <c r="G4579" s="74">
        <v>31968</v>
      </c>
      <c r="H4579" s="77">
        <v>4.1666666666666664E-2</v>
      </c>
      <c r="J4579">
        <v>77</v>
      </c>
      <c r="M4579" s="74">
        <v>33429</v>
      </c>
      <c r="N4579" s="77">
        <v>4.1666666666666664E-2</v>
      </c>
      <c r="P4579">
        <v>62.06</v>
      </c>
      <c r="S4579" s="74">
        <v>34525</v>
      </c>
      <c r="T4579" s="77">
        <v>4.1666666666666664E-2</v>
      </c>
      <c r="V4579">
        <v>82.039999999999992</v>
      </c>
      <c r="X4579" s="42"/>
      <c r="AB4579">
        <v>72.599999999999994</v>
      </c>
      <c r="AC4579">
        <v>78.98</v>
      </c>
      <c r="AE4579" s="74"/>
      <c r="AF4579" s="77"/>
      <c r="AH4579" s="497">
        <v>64.400000000000006</v>
      </c>
      <c r="AJ4579" s="42"/>
      <c r="AK4579" s="74"/>
      <c r="AL4579" s="77"/>
      <c r="AN4579" s="497">
        <v>66.92</v>
      </c>
      <c r="AP4579" s="42"/>
      <c r="AQ4579" s="74"/>
      <c r="AR4579" s="77"/>
      <c r="AT4579" s="497">
        <v>64.94</v>
      </c>
      <c r="AV4579" s="42"/>
      <c r="AW4579" s="74"/>
      <c r="AX4579" s="77"/>
      <c r="BA4579" s="497">
        <v>64.94</v>
      </c>
      <c r="BB4579" s="42"/>
      <c r="BC4579" s="74"/>
      <c r="BD4579" s="77"/>
      <c r="BF4579">
        <v>60.08</v>
      </c>
      <c r="BH4579" s="42"/>
      <c r="BI4579" s="74"/>
      <c r="BJ4579" s="77"/>
      <c r="BL4579" s="497">
        <v>71.06</v>
      </c>
      <c r="BN4579" s="42"/>
      <c r="BO4579" s="74"/>
      <c r="BP4579" s="77"/>
      <c r="BR4579" s="497">
        <v>66.02</v>
      </c>
      <c r="BT4579" s="42"/>
    </row>
    <row r="4580" spans="1:72" x14ac:dyDescent="0.25">
      <c r="A4580" s="90">
        <v>34525</v>
      </c>
      <c r="B4580" s="20">
        <v>8.3333333333333329E-2</v>
      </c>
      <c r="D4580">
        <v>80.960000000000008</v>
      </c>
      <c r="E4580" t="str">
        <f t="shared" si="178"/>
        <v>SUNDAY</v>
      </c>
      <c r="F4580" t="e">
        <f t="shared" si="177"/>
        <v>#N/A</v>
      </c>
      <c r="G4580" s="74">
        <v>31968</v>
      </c>
      <c r="H4580" s="77">
        <v>8.3333333333333329E-2</v>
      </c>
      <c r="J4580">
        <v>75.02</v>
      </c>
      <c r="M4580" s="74">
        <v>33429</v>
      </c>
      <c r="N4580" s="77">
        <v>8.3333333333333329E-2</v>
      </c>
      <c r="P4580">
        <v>60.980000000000004</v>
      </c>
      <c r="S4580" s="74">
        <v>34525</v>
      </c>
      <c r="T4580" s="77">
        <v>8.3333333333333329E-2</v>
      </c>
      <c r="V4580">
        <v>80.06</v>
      </c>
      <c r="X4580" s="42"/>
      <c r="AB4580">
        <v>72</v>
      </c>
      <c r="AC4580">
        <v>78.080000000000013</v>
      </c>
      <c r="AE4580" s="74"/>
      <c r="AF4580" s="77"/>
      <c r="AH4580" s="497">
        <v>62.6</v>
      </c>
      <c r="AJ4580" s="42"/>
      <c r="AK4580" s="74"/>
      <c r="AL4580" s="77"/>
      <c r="AN4580" s="497">
        <v>66.02</v>
      </c>
      <c r="AP4580" s="42"/>
      <c r="AQ4580" s="74"/>
      <c r="AR4580" s="77"/>
      <c r="AT4580" s="497">
        <v>64.22</v>
      </c>
      <c r="AV4580" s="42"/>
      <c r="AW4580" s="74"/>
      <c r="AX4580" s="77"/>
      <c r="BA4580" s="497">
        <v>62.96</v>
      </c>
      <c r="BB4580" s="42"/>
      <c r="BC4580" s="74"/>
      <c r="BD4580" s="77"/>
      <c r="BF4580">
        <v>57.92</v>
      </c>
      <c r="BH4580" s="42"/>
      <c r="BI4580" s="74"/>
      <c r="BJ4580" s="77"/>
      <c r="BL4580" s="497">
        <v>69.98</v>
      </c>
      <c r="BN4580" s="42"/>
      <c r="BO4580" s="74"/>
      <c r="BP4580" s="77"/>
      <c r="BR4580" s="497">
        <v>64.94</v>
      </c>
      <c r="BT4580" s="42"/>
    </row>
    <row r="4581" spans="1:72" x14ac:dyDescent="0.25">
      <c r="A4581" s="90">
        <v>34525</v>
      </c>
      <c r="B4581" s="20">
        <v>0.125</v>
      </c>
      <c r="D4581">
        <v>80.06</v>
      </c>
      <c r="E4581" t="str">
        <f t="shared" si="178"/>
        <v>SUNDAY</v>
      </c>
      <c r="F4581" t="e">
        <f t="shared" si="177"/>
        <v>#N/A</v>
      </c>
      <c r="G4581" s="74">
        <v>31968</v>
      </c>
      <c r="H4581" s="77">
        <v>0.125</v>
      </c>
      <c r="J4581">
        <v>75.02</v>
      </c>
      <c r="M4581" s="74">
        <v>33429</v>
      </c>
      <c r="N4581" s="77">
        <v>0.125</v>
      </c>
      <c r="P4581">
        <v>55.94</v>
      </c>
      <c r="S4581" s="74">
        <v>34525</v>
      </c>
      <c r="T4581" s="77">
        <v>0.125</v>
      </c>
      <c r="V4581">
        <v>78.98</v>
      </c>
      <c r="X4581" s="42"/>
      <c r="AB4581">
        <v>71.5</v>
      </c>
      <c r="AC4581">
        <v>78.080000000000013</v>
      </c>
      <c r="AE4581" s="74"/>
      <c r="AF4581" s="77"/>
      <c r="AH4581" s="497">
        <v>60.8</v>
      </c>
      <c r="AJ4581" s="42"/>
      <c r="AK4581" s="74"/>
      <c r="AL4581" s="77"/>
      <c r="AN4581" s="497">
        <v>66.02</v>
      </c>
      <c r="AP4581" s="42"/>
      <c r="AQ4581" s="74"/>
      <c r="AR4581" s="77"/>
      <c r="AT4581" s="497">
        <v>63.680000000000007</v>
      </c>
      <c r="AV4581" s="42"/>
      <c r="AW4581" s="74"/>
      <c r="AX4581" s="77"/>
      <c r="BA4581" s="497">
        <v>62.96</v>
      </c>
      <c r="BB4581" s="42"/>
      <c r="BC4581" s="74"/>
      <c r="BD4581" s="77"/>
      <c r="BF4581">
        <v>55.94</v>
      </c>
      <c r="BH4581" s="42"/>
      <c r="BI4581" s="74"/>
      <c r="BJ4581" s="77"/>
      <c r="BL4581" s="497">
        <v>69.080000000000013</v>
      </c>
      <c r="BN4581" s="42"/>
      <c r="BO4581" s="74"/>
      <c r="BP4581" s="77"/>
      <c r="BR4581" s="497">
        <v>62.96</v>
      </c>
      <c r="BT4581" s="42"/>
    </row>
    <row r="4582" spans="1:72" x14ac:dyDescent="0.25">
      <c r="A4582" s="90">
        <v>34525</v>
      </c>
      <c r="B4582" s="20">
        <v>0.16666666666666666</v>
      </c>
      <c r="D4582">
        <v>78.080000000000013</v>
      </c>
      <c r="E4582" t="str">
        <f t="shared" si="178"/>
        <v>SUNDAY</v>
      </c>
      <c r="F4582" t="e">
        <f t="shared" si="177"/>
        <v>#N/A</v>
      </c>
      <c r="G4582" s="74">
        <v>31968</v>
      </c>
      <c r="H4582" s="77">
        <v>0.16666666666666666</v>
      </c>
      <c r="J4582">
        <v>73.94</v>
      </c>
      <c r="M4582" s="74">
        <v>33429</v>
      </c>
      <c r="N4582" s="77">
        <v>0.16666666666666666</v>
      </c>
      <c r="P4582">
        <v>55.040000000000006</v>
      </c>
      <c r="S4582" s="74">
        <v>34525</v>
      </c>
      <c r="T4582" s="77">
        <v>0.16666666666666666</v>
      </c>
      <c r="V4582">
        <v>78.98</v>
      </c>
      <c r="X4582" s="42"/>
      <c r="AB4582">
        <v>71</v>
      </c>
      <c r="AC4582">
        <v>78.080000000000013</v>
      </c>
      <c r="AE4582" s="74"/>
      <c r="AF4582" s="77"/>
      <c r="AH4582" s="497">
        <v>59</v>
      </c>
      <c r="AJ4582" s="42"/>
      <c r="AK4582" s="74"/>
      <c r="AL4582" s="77"/>
      <c r="AN4582" s="497">
        <v>66.02</v>
      </c>
      <c r="AP4582" s="42"/>
      <c r="AQ4582" s="74"/>
      <c r="AR4582" s="77"/>
      <c r="AT4582" s="497">
        <v>62.96</v>
      </c>
      <c r="AV4582" s="42"/>
      <c r="AW4582" s="74"/>
      <c r="AX4582" s="77"/>
      <c r="BA4582" s="497">
        <v>62.96</v>
      </c>
      <c r="BB4582" s="42"/>
      <c r="BC4582" s="74"/>
      <c r="BD4582" s="77"/>
      <c r="BF4582">
        <v>57.019999999999996</v>
      </c>
      <c r="BH4582" s="42"/>
      <c r="BI4582" s="74"/>
      <c r="BJ4582" s="77"/>
      <c r="BL4582" s="497">
        <v>69.080000000000013</v>
      </c>
      <c r="BN4582" s="42"/>
      <c r="BO4582" s="74"/>
      <c r="BP4582" s="77"/>
      <c r="BR4582" s="497">
        <v>62.06</v>
      </c>
      <c r="BT4582" s="42"/>
    </row>
    <row r="4583" spans="1:72" x14ac:dyDescent="0.25">
      <c r="A4583" s="90">
        <v>34525</v>
      </c>
      <c r="B4583" s="20">
        <v>0.20833333333333334</v>
      </c>
      <c r="D4583">
        <v>78.080000000000013</v>
      </c>
      <c r="E4583" t="str">
        <f t="shared" si="178"/>
        <v>SUNDAY</v>
      </c>
      <c r="F4583" t="e">
        <f t="shared" si="177"/>
        <v>#N/A</v>
      </c>
      <c r="G4583" s="74">
        <v>31968</v>
      </c>
      <c r="H4583" s="77">
        <v>0.20833333333333334</v>
      </c>
      <c r="J4583">
        <v>73.039999999999992</v>
      </c>
      <c r="M4583" s="74">
        <v>33429</v>
      </c>
      <c r="N4583" s="77">
        <v>0.20833333333333334</v>
      </c>
      <c r="P4583">
        <v>53.96</v>
      </c>
      <c r="S4583" s="74">
        <v>34525</v>
      </c>
      <c r="T4583" s="77">
        <v>0.20833333333333334</v>
      </c>
      <c r="V4583">
        <v>78.98</v>
      </c>
      <c r="X4583" s="42"/>
      <c r="AB4583">
        <v>70.599999999999994</v>
      </c>
      <c r="AC4583">
        <v>77</v>
      </c>
      <c r="AE4583" s="74"/>
      <c r="AF4583" s="77"/>
      <c r="AH4583" s="497">
        <v>57.2</v>
      </c>
      <c r="AJ4583" s="42"/>
      <c r="AK4583" s="74"/>
      <c r="AL4583" s="77"/>
      <c r="AN4583" s="497">
        <v>66.02</v>
      </c>
      <c r="AP4583" s="42"/>
      <c r="AQ4583" s="74"/>
      <c r="AR4583" s="77"/>
      <c r="AT4583" s="497">
        <v>64.039999999999992</v>
      </c>
      <c r="AV4583" s="42"/>
      <c r="AW4583" s="74"/>
      <c r="AX4583" s="77"/>
      <c r="BA4583" s="497">
        <v>62.96</v>
      </c>
      <c r="BB4583" s="42"/>
      <c r="BC4583" s="74"/>
      <c r="BD4583" s="77"/>
      <c r="BF4583">
        <v>55.94</v>
      </c>
      <c r="BH4583" s="42"/>
      <c r="BI4583" s="74"/>
      <c r="BJ4583" s="77"/>
      <c r="BL4583" s="497">
        <v>66.92</v>
      </c>
      <c r="BN4583" s="42"/>
      <c r="BO4583" s="74"/>
      <c r="BP4583" s="77"/>
      <c r="BR4583" s="497">
        <v>62.96</v>
      </c>
      <c r="BT4583" s="42"/>
    </row>
    <row r="4584" spans="1:72" x14ac:dyDescent="0.25">
      <c r="A4584" s="90">
        <v>34525</v>
      </c>
      <c r="B4584" s="20">
        <v>0.25</v>
      </c>
      <c r="D4584">
        <v>77</v>
      </c>
      <c r="E4584" t="str">
        <f t="shared" si="178"/>
        <v>SUNDAY</v>
      </c>
      <c r="F4584" t="e">
        <f t="shared" si="177"/>
        <v>#N/A</v>
      </c>
      <c r="G4584" s="74">
        <v>31968</v>
      </c>
      <c r="H4584" s="77">
        <v>0.25</v>
      </c>
      <c r="J4584">
        <v>75.02</v>
      </c>
      <c r="M4584" s="74">
        <v>33429</v>
      </c>
      <c r="N4584" s="77">
        <v>0.25</v>
      </c>
      <c r="P4584">
        <v>60.980000000000004</v>
      </c>
      <c r="S4584" s="74">
        <v>34525</v>
      </c>
      <c r="T4584" s="77">
        <v>0.25</v>
      </c>
      <c r="V4584">
        <v>78.98</v>
      </c>
      <c r="X4584" s="42"/>
      <c r="AB4584">
        <v>70.400000000000006</v>
      </c>
      <c r="AC4584">
        <v>77</v>
      </c>
      <c r="AE4584" s="74"/>
      <c r="AF4584" s="77"/>
      <c r="AH4584" s="497">
        <v>60.8</v>
      </c>
      <c r="AJ4584" s="42"/>
      <c r="AK4584" s="74"/>
      <c r="AL4584" s="77"/>
      <c r="AN4584" s="497">
        <v>66.92</v>
      </c>
      <c r="AP4584" s="42"/>
      <c r="AQ4584" s="74"/>
      <c r="AR4584" s="77"/>
      <c r="AT4584" s="497">
        <v>64.94</v>
      </c>
      <c r="AV4584" s="42"/>
      <c r="AW4584" s="74"/>
      <c r="AX4584" s="77"/>
      <c r="BA4584" s="497">
        <v>66.02</v>
      </c>
      <c r="BB4584" s="42"/>
      <c r="BC4584" s="74"/>
      <c r="BD4584" s="77"/>
      <c r="BF4584">
        <v>57.92</v>
      </c>
      <c r="BH4584" s="42"/>
      <c r="BI4584" s="74"/>
      <c r="BJ4584" s="77"/>
      <c r="BL4584" s="497">
        <v>66.92</v>
      </c>
      <c r="BN4584" s="42"/>
      <c r="BO4584" s="74"/>
      <c r="BP4584" s="77"/>
      <c r="BR4584" s="497">
        <v>64.039999999999992</v>
      </c>
      <c r="BT4584" s="42"/>
    </row>
    <row r="4585" spans="1:72" x14ac:dyDescent="0.25">
      <c r="A4585" s="90">
        <v>34525</v>
      </c>
      <c r="B4585" s="20">
        <v>0.29166666666666669</v>
      </c>
      <c r="D4585">
        <v>78.080000000000013</v>
      </c>
      <c r="E4585" t="str">
        <f t="shared" si="178"/>
        <v>SUNDAY</v>
      </c>
      <c r="F4585" t="e">
        <f t="shared" si="177"/>
        <v>#N/A</v>
      </c>
      <c r="G4585" s="74">
        <v>31968</v>
      </c>
      <c r="H4585" s="77">
        <v>0.29166666666666669</v>
      </c>
      <c r="J4585">
        <v>78.98</v>
      </c>
      <c r="M4585" s="74">
        <v>33429</v>
      </c>
      <c r="N4585" s="77">
        <v>0.29166666666666669</v>
      </c>
      <c r="P4585">
        <v>66.92</v>
      </c>
      <c r="S4585" s="74">
        <v>34525</v>
      </c>
      <c r="T4585" s="77">
        <v>0.29166666666666669</v>
      </c>
      <c r="V4585">
        <v>80.06</v>
      </c>
      <c r="X4585" s="42"/>
      <c r="AB4585">
        <v>71.900000000000006</v>
      </c>
      <c r="AC4585">
        <v>78.080000000000013</v>
      </c>
      <c r="AE4585" s="74"/>
      <c r="AF4585" s="77"/>
      <c r="AH4585" s="497">
        <v>62.6</v>
      </c>
      <c r="AJ4585" s="42"/>
      <c r="AK4585" s="74"/>
      <c r="AL4585" s="77"/>
      <c r="AN4585" s="497">
        <v>68</v>
      </c>
      <c r="AP4585" s="42"/>
      <c r="AQ4585" s="74"/>
      <c r="AR4585" s="77"/>
      <c r="AT4585" s="497">
        <v>66.02</v>
      </c>
      <c r="AV4585" s="42"/>
      <c r="AW4585" s="74"/>
      <c r="AX4585" s="77"/>
      <c r="BA4585" s="497">
        <v>69.98</v>
      </c>
      <c r="BB4585" s="42"/>
      <c r="BC4585" s="74"/>
      <c r="BD4585" s="77"/>
      <c r="BF4585">
        <v>62.06</v>
      </c>
      <c r="BH4585" s="42"/>
      <c r="BI4585" s="74"/>
      <c r="BJ4585" s="77"/>
      <c r="BL4585" s="497">
        <v>66.92</v>
      </c>
      <c r="BN4585" s="42"/>
      <c r="BO4585" s="74"/>
      <c r="BP4585" s="77"/>
      <c r="BR4585" s="497">
        <v>66.92</v>
      </c>
      <c r="BT4585" s="42"/>
    </row>
    <row r="4586" spans="1:72" x14ac:dyDescent="0.25">
      <c r="A4586" s="90">
        <v>34525</v>
      </c>
      <c r="B4586" s="20">
        <v>0.33333333333333331</v>
      </c>
      <c r="D4586">
        <v>80.06</v>
      </c>
      <c r="E4586" t="str">
        <f t="shared" si="178"/>
        <v>SUNDAY</v>
      </c>
      <c r="F4586" t="e">
        <f t="shared" si="177"/>
        <v>#N/A</v>
      </c>
      <c r="G4586" s="74">
        <v>31968</v>
      </c>
      <c r="H4586" s="77">
        <v>0.33333333333333331</v>
      </c>
      <c r="J4586">
        <v>82.039999999999992</v>
      </c>
      <c r="M4586" s="74">
        <v>33429</v>
      </c>
      <c r="N4586" s="77">
        <v>0.33333333333333331</v>
      </c>
      <c r="P4586">
        <v>71.960000000000008</v>
      </c>
      <c r="S4586" s="74">
        <v>34525</v>
      </c>
      <c r="T4586" s="77">
        <v>0.33333333333333331</v>
      </c>
      <c r="V4586">
        <v>80.960000000000008</v>
      </c>
      <c r="X4586" s="42"/>
      <c r="AB4586">
        <v>74</v>
      </c>
      <c r="AC4586">
        <v>82.039999999999992</v>
      </c>
      <c r="AE4586" s="74"/>
      <c r="AF4586" s="77"/>
      <c r="AH4586" s="497">
        <v>66.2</v>
      </c>
      <c r="AJ4586" s="42"/>
      <c r="AK4586" s="74"/>
      <c r="AL4586" s="77"/>
      <c r="AN4586" s="497">
        <v>73.94</v>
      </c>
      <c r="AP4586" s="42"/>
      <c r="AQ4586" s="74"/>
      <c r="AR4586" s="77"/>
      <c r="AT4586" s="497">
        <v>68.36</v>
      </c>
      <c r="AV4586" s="42"/>
      <c r="AW4586" s="74"/>
      <c r="AX4586" s="77"/>
      <c r="BA4586" s="497">
        <v>73.039999999999992</v>
      </c>
      <c r="BB4586" s="42"/>
      <c r="BC4586" s="74"/>
      <c r="BD4586" s="77"/>
      <c r="BF4586">
        <v>68</v>
      </c>
      <c r="BH4586" s="42"/>
      <c r="BI4586" s="74"/>
      <c r="BJ4586" s="77"/>
      <c r="BL4586" s="497">
        <v>66.02</v>
      </c>
      <c r="BN4586" s="42"/>
      <c r="BO4586" s="74"/>
      <c r="BP4586" s="77"/>
      <c r="BR4586" s="497">
        <v>71.06</v>
      </c>
      <c r="BT4586" s="42"/>
    </row>
    <row r="4587" spans="1:72" x14ac:dyDescent="0.25">
      <c r="A4587" s="90">
        <v>34525</v>
      </c>
      <c r="B4587" s="20">
        <v>0.375</v>
      </c>
      <c r="D4587">
        <v>82.039999999999992</v>
      </c>
      <c r="E4587" t="str">
        <f t="shared" si="178"/>
        <v>SUNDAY</v>
      </c>
      <c r="F4587" t="e">
        <f t="shared" ref="F4587:F4650" si="179">IF(E4587="WEEKDAY",VLOOKUP(B4587,$DD$19:$DG$42,2),IF(E4587="SATURDAY",VLOOKUP(B4587,$DD$19:$DG$42,3),VLOOKUP(B4587,$DD$19:$DG$42,4)))</f>
        <v>#N/A</v>
      </c>
      <c r="G4587" s="74">
        <v>31968</v>
      </c>
      <c r="H4587" s="77">
        <v>0.375</v>
      </c>
      <c r="J4587">
        <v>82.94</v>
      </c>
      <c r="M4587" s="74">
        <v>33429</v>
      </c>
      <c r="N4587" s="77">
        <v>0.375</v>
      </c>
      <c r="P4587">
        <v>75.92</v>
      </c>
      <c r="S4587" s="74">
        <v>34525</v>
      </c>
      <c r="T4587" s="77">
        <v>0.375</v>
      </c>
      <c r="V4587">
        <v>82.94</v>
      </c>
      <c r="X4587" s="42"/>
      <c r="AB4587">
        <v>75.900000000000006</v>
      </c>
      <c r="AC4587">
        <v>82.94</v>
      </c>
      <c r="AE4587" s="74"/>
      <c r="AF4587" s="77"/>
      <c r="AH4587" s="497">
        <v>69.800000000000011</v>
      </c>
      <c r="AJ4587" s="42"/>
      <c r="AK4587" s="74"/>
      <c r="AL4587" s="77"/>
      <c r="AN4587" s="497">
        <v>78.080000000000013</v>
      </c>
      <c r="AP4587" s="42"/>
      <c r="AQ4587" s="74"/>
      <c r="AR4587" s="77"/>
      <c r="AT4587" s="497">
        <v>70.7</v>
      </c>
      <c r="AV4587" s="42"/>
      <c r="AW4587" s="74"/>
      <c r="AX4587" s="77"/>
      <c r="BA4587" s="497">
        <v>75.02</v>
      </c>
      <c r="BB4587" s="42"/>
      <c r="BC4587" s="74"/>
      <c r="BD4587" s="77"/>
      <c r="BF4587">
        <v>71.06</v>
      </c>
      <c r="BH4587" s="42"/>
      <c r="BI4587" s="74"/>
      <c r="BJ4587" s="77"/>
      <c r="BL4587" s="497">
        <v>68</v>
      </c>
      <c r="BN4587" s="42"/>
      <c r="BO4587" s="74"/>
      <c r="BP4587" s="77"/>
      <c r="BR4587" s="497">
        <v>73.039999999999992</v>
      </c>
      <c r="BT4587" s="42"/>
    </row>
    <row r="4588" spans="1:72" x14ac:dyDescent="0.25">
      <c r="A4588" s="90">
        <v>34525</v>
      </c>
      <c r="B4588" s="20">
        <v>0.41666666666666669</v>
      </c>
      <c r="D4588">
        <v>84.02</v>
      </c>
      <c r="E4588" t="str">
        <f t="shared" si="178"/>
        <v>SUNDAY</v>
      </c>
      <c r="F4588" t="e">
        <f t="shared" si="179"/>
        <v>#N/A</v>
      </c>
      <c r="G4588" s="74">
        <v>31968</v>
      </c>
      <c r="H4588" s="77">
        <v>0.41666666666666669</v>
      </c>
      <c r="J4588">
        <v>82.94</v>
      </c>
      <c r="M4588" s="74">
        <v>33429</v>
      </c>
      <c r="N4588" s="77">
        <v>0.41666666666666669</v>
      </c>
      <c r="P4588">
        <v>77</v>
      </c>
      <c r="S4588" s="74">
        <v>34525</v>
      </c>
      <c r="T4588" s="77">
        <v>0.41666666666666669</v>
      </c>
      <c r="V4588">
        <v>86</v>
      </c>
      <c r="X4588" s="42"/>
      <c r="AB4588">
        <v>77.900000000000006</v>
      </c>
      <c r="AC4588">
        <v>84.02</v>
      </c>
      <c r="AE4588" s="74"/>
      <c r="AF4588" s="77"/>
      <c r="AH4588" s="497">
        <v>71.599999999999994</v>
      </c>
      <c r="AJ4588" s="42"/>
      <c r="AK4588" s="74"/>
      <c r="AL4588" s="77"/>
      <c r="AN4588" s="497">
        <v>82.039999999999992</v>
      </c>
      <c r="AP4588" s="42"/>
      <c r="AQ4588" s="74"/>
      <c r="AR4588" s="77"/>
      <c r="AT4588" s="497">
        <v>73.039999999999992</v>
      </c>
      <c r="AV4588" s="42"/>
      <c r="AW4588" s="74"/>
      <c r="AX4588" s="77"/>
      <c r="BA4588" s="497">
        <v>77</v>
      </c>
      <c r="BB4588" s="42"/>
      <c r="BC4588" s="74"/>
      <c r="BD4588" s="77"/>
      <c r="BF4588">
        <v>75.02</v>
      </c>
      <c r="BH4588" s="42"/>
      <c r="BI4588" s="74"/>
      <c r="BJ4588" s="77"/>
      <c r="BL4588" s="497">
        <v>68</v>
      </c>
      <c r="BN4588" s="42"/>
      <c r="BO4588" s="74"/>
      <c r="BP4588" s="77"/>
      <c r="BR4588" s="497">
        <v>71.960000000000008</v>
      </c>
      <c r="BT4588" s="42"/>
    </row>
    <row r="4589" spans="1:72" x14ac:dyDescent="0.25">
      <c r="A4589" s="90">
        <v>34525</v>
      </c>
      <c r="B4589" s="20">
        <v>0.45833333333333331</v>
      </c>
      <c r="D4589">
        <v>86</v>
      </c>
      <c r="E4589" t="str">
        <f t="shared" si="178"/>
        <v>SUNDAY</v>
      </c>
      <c r="F4589" t="e">
        <f t="shared" si="179"/>
        <v>#N/A</v>
      </c>
      <c r="G4589" s="74">
        <v>31968</v>
      </c>
      <c r="H4589" s="77">
        <v>0.45833333333333331</v>
      </c>
      <c r="J4589">
        <v>84.92</v>
      </c>
      <c r="M4589" s="74">
        <v>33429</v>
      </c>
      <c r="N4589" s="77">
        <v>0.45833333333333331</v>
      </c>
      <c r="P4589">
        <v>80.06</v>
      </c>
      <c r="S4589" s="74">
        <v>34525</v>
      </c>
      <c r="T4589" s="77">
        <v>0.45833333333333331</v>
      </c>
      <c r="V4589">
        <v>87.98</v>
      </c>
      <c r="X4589" s="42"/>
      <c r="AB4589">
        <v>79.400000000000006</v>
      </c>
      <c r="AC4589">
        <v>86</v>
      </c>
      <c r="AE4589" s="74"/>
      <c r="AF4589" s="77"/>
      <c r="AH4589" s="497">
        <v>73.400000000000006</v>
      </c>
      <c r="AJ4589" s="42"/>
      <c r="AK4589" s="74"/>
      <c r="AL4589" s="77"/>
      <c r="AN4589" s="497">
        <v>84.02</v>
      </c>
      <c r="AP4589" s="42"/>
      <c r="AQ4589" s="74"/>
      <c r="AR4589" s="77"/>
      <c r="AT4589" s="497">
        <v>73.94</v>
      </c>
      <c r="AV4589" s="42"/>
      <c r="AW4589" s="74"/>
      <c r="AX4589" s="77"/>
      <c r="BA4589" s="497">
        <v>78.98</v>
      </c>
      <c r="BB4589" s="42"/>
      <c r="BC4589" s="74"/>
      <c r="BD4589" s="77"/>
      <c r="BF4589">
        <v>78.98</v>
      </c>
      <c r="BH4589" s="42"/>
      <c r="BI4589" s="74"/>
      <c r="BJ4589" s="77"/>
      <c r="BL4589" s="497">
        <v>69.080000000000013</v>
      </c>
      <c r="BN4589" s="42"/>
      <c r="BO4589" s="74"/>
      <c r="BP4589" s="77"/>
      <c r="BR4589" s="497">
        <v>73.039999999999992</v>
      </c>
      <c r="BT4589" s="42"/>
    </row>
    <row r="4590" spans="1:72" x14ac:dyDescent="0.25">
      <c r="A4590" s="90">
        <v>34525</v>
      </c>
      <c r="B4590" s="20">
        <v>0.5</v>
      </c>
      <c r="D4590">
        <v>86</v>
      </c>
      <c r="E4590" t="str">
        <f t="shared" si="178"/>
        <v>SUNDAY</v>
      </c>
      <c r="F4590" t="e">
        <f t="shared" si="179"/>
        <v>#N/A</v>
      </c>
      <c r="G4590" s="74">
        <v>31968</v>
      </c>
      <c r="H4590" s="77">
        <v>0.5</v>
      </c>
      <c r="J4590">
        <v>87.98</v>
      </c>
      <c r="M4590" s="74">
        <v>33429</v>
      </c>
      <c r="N4590" s="77">
        <v>0.5</v>
      </c>
      <c r="P4590">
        <v>82.039999999999992</v>
      </c>
      <c r="S4590" s="74">
        <v>34525</v>
      </c>
      <c r="T4590" s="77">
        <v>0.5</v>
      </c>
      <c r="V4590">
        <v>87.98</v>
      </c>
      <c r="X4590" s="42"/>
      <c r="AB4590">
        <v>80.599999999999994</v>
      </c>
      <c r="AC4590">
        <v>86</v>
      </c>
      <c r="AE4590" s="74"/>
      <c r="AF4590" s="77"/>
      <c r="AH4590" s="497">
        <v>73.400000000000006</v>
      </c>
      <c r="AJ4590" s="42"/>
      <c r="AK4590" s="74"/>
      <c r="AL4590" s="77"/>
      <c r="AN4590" s="497">
        <v>82.94</v>
      </c>
      <c r="AP4590" s="42"/>
      <c r="AQ4590" s="74"/>
      <c r="AR4590" s="77"/>
      <c r="AT4590" s="497">
        <v>75.02</v>
      </c>
      <c r="AV4590" s="42"/>
      <c r="AW4590" s="74"/>
      <c r="AX4590" s="77"/>
      <c r="BA4590" s="497">
        <v>80.960000000000008</v>
      </c>
      <c r="BB4590" s="42"/>
      <c r="BC4590" s="74"/>
      <c r="BD4590" s="77"/>
      <c r="BF4590">
        <v>78.080000000000013</v>
      </c>
      <c r="BH4590" s="42"/>
      <c r="BI4590" s="74"/>
      <c r="BJ4590" s="77"/>
      <c r="BL4590" s="497">
        <v>73.039999999999992</v>
      </c>
      <c r="BN4590" s="42"/>
      <c r="BO4590" s="74"/>
      <c r="BP4590" s="77"/>
      <c r="BR4590" s="497">
        <v>73.94</v>
      </c>
      <c r="BT4590" s="42"/>
    </row>
    <row r="4591" spans="1:72" x14ac:dyDescent="0.25">
      <c r="A4591" s="90">
        <v>34525</v>
      </c>
      <c r="B4591" s="20">
        <v>0.54166666666666663</v>
      </c>
      <c r="D4591">
        <v>87.080000000000013</v>
      </c>
      <c r="E4591" t="str">
        <f t="shared" si="178"/>
        <v>SUNDAY</v>
      </c>
      <c r="F4591" t="e">
        <f t="shared" si="179"/>
        <v>#N/A</v>
      </c>
      <c r="G4591" s="74">
        <v>31968</v>
      </c>
      <c r="H4591" s="77">
        <v>0.54166666666666663</v>
      </c>
      <c r="J4591">
        <v>89.06</v>
      </c>
      <c r="M4591" s="74">
        <v>33429</v>
      </c>
      <c r="N4591" s="77">
        <v>0.54166666666666663</v>
      </c>
      <c r="P4591">
        <v>82.94</v>
      </c>
      <c r="S4591" s="74">
        <v>34525</v>
      </c>
      <c r="T4591" s="77">
        <v>0.54166666666666663</v>
      </c>
      <c r="V4591">
        <v>89.960000000000008</v>
      </c>
      <c r="X4591" s="42"/>
      <c r="AB4591">
        <v>81.3</v>
      </c>
      <c r="AC4591">
        <v>87.080000000000013</v>
      </c>
      <c r="AE4591" s="74"/>
      <c r="AF4591" s="77"/>
      <c r="AH4591" s="497">
        <v>73.759999999999991</v>
      </c>
      <c r="AJ4591" s="42"/>
      <c r="AK4591" s="74"/>
      <c r="AL4591" s="77"/>
      <c r="AN4591" s="497">
        <v>80.06</v>
      </c>
      <c r="AP4591" s="42"/>
      <c r="AQ4591" s="74"/>
      <c r="AR4591" s="77"/>
      <c r="AT4591" s="497">
        <v>75.92</v>
      </c>
      <c r="AV4591" s="42"/>
      <c r="AW4591" s="74"/>
      <c r="AX4591" s="77"/>
      <c r="BA4591" s="497">
        <v>80.960000000000008</v>
      </c>
      <c r="BB4591" s="42"/>
      <c r="BC4591" s="74"/>
      <c r="BD4591" s="77"/>
      <c r="BF4591">
        <v>78.98</v>
      </c>
      <c r="BH4591" s="42"/>
      <c r="BI4591" s="74"/>
      <c r="BJ4591" s="77"/>
      <c r="BL4591" s="497">
        <v>73.94</v>
      </c>
      <c r="BN4591" s="42"/>
      <c r="BO4591" s="74"/>
      <c r="BP4591" s="77"/>
      <c r="BR4591" s="497">
        <v>75.02</v>
      </c>
      <c r="BT4591" s="42"/>
    </row>
    <row r="4592" spans="1:72" x14ac:dyDescent="0.25">
      <c r="A4592" s="90">
        <v>34525</v>
      </c>
      <c r="B4592" s="20">
        <v>0.58333333333333337</v>
      </c>
      <c r="D4592">
        <v>87.080000000000013</v>
      </c>
      <c r="E4592" t="str">
        <f t="shared" si="178"/>
        <v>SUNDAY</v>
      </c>
      <c r="F4592" t="e">
        <f t="shared" si="179"/>
        <v>#N/A</v>
      </c>
      <c r="G4592" s="74">
        <v>31968</v>
      </c>
      <c r="H4592" s="77">
        <v>0.58333333333333337</v>
      </c>
      <c r="J4592">
        <v>89.06</v>
      </c>
      <c r="M4592" s="74">
        <v>33429</v>
      </c>
      <c r="N4592" s="77">
        <v>0.58333333333333337</v>
      </c>
      <c r="P4592">
        <v>84.02</v>
      </c>
      <c r="S4592" s="74">
        <v>34525</v>
      </c>
      <c r="T4592" s="77">
        <v>0.58333333333333337</v>
      </c>
      <c r="V4592">
        <v>91.039999999999992</v>
      </c>
      <c r="X4592" s="42"/>
      <c r="AB4592">
        <v>81.7</v>
      </c>
      <c r="AC4592">
        <v>87.080000000000013</v>
      </c>
      <c r="AE4592" s="74"/>
      <c r="AF4592" s="77"/>
      <c r="AH4592" s="497">
        <v>73.400000000000006</v>
      </c>
      <c r="AJ4592" s="42"/>
      <c r="AK4592" s="74"/>
      <c r="AL4592" s="77"/>
      <c r="AN4592" s="497">
        <v>71.960000000000008</v>
      </c>
      <c r="AP4592" s="42"/>
      <c r="AQ4592" s="74"/>
      <c r="AR4592" s="77"/>
      <c r="AT4592" s="497">
        <v>76.64</v>
      </c>
      <c r="AV4592" s="42"/>
      <c r="AW4592" s="74"/>
      <c r="AX4592" s="77"/>
      <c r="BA4592" s="497">
        <v>80.960000000000008</v>
      </c>
      <c r="BB4592" s="42"/>
      <c r="BC4592" s="74"/>
      <c r="BD4592" s="77"/>
      <c r="BF4592">
        <v>80.06</v>
      </c>
      <c r="BH4592" s="42"/>
      <c r="BI4592" s="74"/>
      <c r="BJ4592" s="77"/>
      <c r="BL4592" s="497">
        <v>71.960000000000008</v>
      </c>
      <c r="BN4592" s="42"/>
      <c r="BO4592" s="74"/>
      <c r="BP4592" s="77"/>
      <c r="BR4592" s="497">
        <v>75.92</v>
      </c>
      <c r="BT4592" s="42"/>
    </row>
    <row r="4593" spans="1:72" x14ac:dyDescent="0.25">
      <c r="A4593" s="90">
        <v>34525</v>
      </c>
      <c r="B4593" s="20">
        <v>0.625</v>
      </c>
      <c r="D4593">
        <v>87.98</v>
      </c>
      <c r="E4593" t="str">
        <f t="shared" si="178"/>
        <v>SUNDAY</v>
      </c>
      <c r="F4593" t="e">
        <f t="shared" si="179"/>
        <v>#N/A</v>
      </c>
      <c r="G4593" s="74">
        <v>31968</v>
      </c>
      <c r="H4593" s="77">
        <v>0.625</v>
      </c>
      <c r="J4593">
        <v>91.039999999999992</v>
      </c>
      <c r="M4593" s="74">
        <v>33429</v>
      </c>
      <c r="N4593" s="77">
        <v>0.625</v>
      </c>
      <c r="P4593">
        <v>82.039999999999992</v>
      </c>
      <c r="S4593" s="74">
        <v>34525</v>
      </c>
      <c r="T4593" s="77">
        <v>0.625</v>
      </c>
      <c r="V4593">
        <v>91.94</v>
      </c>
      <c r="X4593" s="42"/>
      <c r="AB4593">
        <v>81.7</v>
      </c>
      <c r="AC4593">
        <v>87.080000000000013</v>
      </c>
      <c r="AE4593" s="74"/>
      <c r="AF4593" s="77"/>
      <c r="AH4593" s="497">
        <v>75.2</v>
      </c>
      <c r="AJ4593" s="42"/>
      <c r="AK4593" s="74"/>
      <c r="AL4593" s="77"/>
      <c r="AN4593" s="497">
        <v>75.92</v>
      </c>
      <c r="AP4593" s="42"/>
      <c r="AQ4593" s="74"/>
      <c r="AR4593" s="77"/>
      <c r="AT4593" s="497">
        <v>77.36</v>
      </c>
      <c r="AV4593" s="42"/>
      <c r="AW4593" s="74"/>
      <c r="AX4593" s="77"/>
      <c r="BA4593" s="497">
        <v>80.06</v>
      </c>
      <c r="BB4593" s="42"/>
      <c r="BC4593" s="74"/>
      <c r="BD4593" s="77"/>
      <c r="BF4593">
        <v>78.98</v>
      </c>
      <c r="BH4593" s="42"/>
      <c r="BI4593" s="74"/>
      <c r="BJ4593" s="77"/>
      <c r="BL4593" s="497">
        <v>71.06</v>
      </c>
      <c r="BN4593" s="42"/>
      <c r="BO4593" s="74"/>
      <c r="BP4593" s="77"/>
      <c r="BR4593" s="497">
        <v>77</v>
      </c>
      <c r="BT4593" s="42"/>
    </row>
    <row r="4594" spans="1:72" x14ac:dyDescent="0.25">
      <c r="A4594" s="90">
        <v>34525</v>
      </c>
      <c r="B4594" s="20">
        <v>0.66666666666666663</v>
      </c>
      <c r="D4594">
        <v>87.98</v>
      </c>
      <c r="E4594" t="str">
        <f t="shared" si="178"/>
        <v>SUNDAY</v>
      </c>
      <c r="F4594" t="e">
        <f t="shared" si="179"/>
        <v>#N/A</v>
      </c>
      <c r="G4594" s="74">
        <v>31968</v>
      </c>
      <c r="H4594" s="77">
        <v>0.66666666666666663</v>
      </c>
      <c r="J4594">
        <v>91.039999999999992</v>
      </c>
      <c r="M4594" s="74">
        <v>33429</v>
      </c>
      <c r="N4594" s="77">
        <v>0.66666666666666663</v>
      </c>
      <c r="P4594">
        <v>82.039999999999992</v>
      </c>
      <c r="S4594" s="74">
        <v>34525</v>
      </c>
      <c r="T4594" s="77">
        <v>0.66666666666666663</v>
      </c>
      <c r="V4594">
        <v>87.98</v>
      </c>
      <c r="X4594" s="42"/>
      <c r="AB4594">
        <v>81.2</v>
      </c>
      <c r="AC4594">
        <v>87.080000000000013</v>
      </c>
      <c r="AE4594" s="74"/>
      <c r="AF4594" s="77"/>
      <c r="AH4594" s="497">
        <v>75.2</v>
      </c>
      <c r="AJ4594" s="42"/>
      <c r="AK4594" s="74"/>
      <c r="AL4594" s="77"/>
      <c r="AN4594" s="497">
        <v>75.02</v>
      </c>
      <c r="AP4594" s="42"/>
      <c r="AQ4594" s="74"/>
      <c r="AR4594" s="77"/>
      <c r="AT4594" s="497">
        <v>78.080000000000013</v>
      </c>
      <c r="AV4594" s="42"/>
      <c r="AW4594" s="74"/>
      <c r="AX4594" s="77"/>
      <c r="BA4594" s="497">
        <v>80.06</v>
      </c>
      <c r="BB4594" s="42"/>
      <c r="BC4594" s="74"/>
      <c r="BD4594" s="77"/>
      <c r="BF4594">
        <v>78.98</v>
      </c>
      <c r="BH4594" s="42"/>
      <c r="BI4594" s="74"/>
      <c r="BJ4594" s="77"/>
      <c r="BL4594" s="497">
        <v>71.06</v>
      </c>
      <c r="BN4594" s="42"/>
      <c r="BO4594" s="74"/>
      <c r="BP4594" s="77"/>
      <c r="BR4594" s="497">
        <v>75.92</v>
      </c>
      <c r="BT4594" s="42"/>
    </row>
    <row r="4595" spans="1:72" x14ac:dyDescent="0.25">
      <c r="A4595" s="90">
        <v>34525</v>
      </c>
      <c r="B4595" s="20">
        <v>0.70833333333333337</v>
      </c>
      <c r="D4595">
        <v>87.98</v>
      </c>
      <c r="E4595" t="str">
        <f t="shared" si="178"/>
        <v>SUNDAY</v>
      </c>
      <c r="F4595" t="e">
        <f t="shared" si="179"/>
        <v>#N/A</v>
      </c>
      <c r="G4595" s="74">
        <v>31968</v>
      </c>
      <c r="H4595" s="77">
        <v>0.70833333333333337</v>
      </c>
      <c r="J4595">
        <v>91.039999999999992</v>
      </c>
      <c r="M4595" s="74">
        <v>33429</v>
      </c>
      <c r="N4595" s="77">
        <v>0.70833333333333337</v>
      </c>
      <c r="P4595">
        <v>82.039999999999992</v>
      </c>
      <c r="S4595" s="74">
        <v>34525</v>
      </c>
      <c r="T4595" s="77">
        <v>0.70833333333333337</v>
      </c>
      <c r="V4595">
        <v>86</v>
      </c>
      <c r="X4595" s="42"/>
      <c r="AB4595">
        <v>80.3</v>
      </c>
      <c r="AC4595">
        <v>84.02</v>
      </c>
      <c r="AE4595" s="74"/>
      <c r="AF4595" s="77"/>
      <c r="AH4595" s="497">
        <v>73.400000000000006</v>
      </c>
      <c r="AJ4595" s="42"/>
      <c r="AK4595" s="74"/>
      <c r="AL4595" s="77"/>
      <c r="AN4595" s="497">
        <v>73.94</v>
      </c>
      <c r="AP4595" s="42"/>
      <c r="AQ4595" s="74"/>
      <c r="AR4595" s="77"/>
      <c r="AT4595" s="497">
        <v>75.740000000000009</v>
      </c>
      <c r="AV4595" s="42"/>
      <c r="AW4595" s="74"/>
      <c r="AX4595" s="77"/>
      <c r="BA4595" s="497">
        <v>78.98</v>
      </c>
      <c r="BB4595" s="42"/>
      <c r="BC4595" s="74"/>
      <c r="BD4595" s="77"/>
      <c r="BF4595">
        <v>80.06</v>
      </c>
      <c r="BH4595" s="42"/>
      <c r="BI4595" s="74"/>
      <c r="BJ4595" s="77"/>
      <c r="BL4595" s="497">
        <v>73.039999999999992</v>
      </c>
      <c r="BN4595" s="42"/>
      <c r="BO4595" s="74"/>
      <c r="BP4595" s="77"/>
      <c r="BR4595" s="497">
        <v>75.92</v>
      </c>
      <c r="BT4595" s="42"/>
    </row>
    <row r="4596" spans="1:72" x14ac:dyDescent="0.25">
      <c r="A4596" s="90">
        <v>34525</v>
      </c>
      <c r="B4596" s="20">
        <v>0.75</v>
      </c>
      <c r="D4596">
        <v>86</v>
      </c>
      <c r="E4596" t="str">
        <f t="shared" si="178"/>
        <v>SUNDAY</v>
      </c>
      <c r="F4596" t="e">
        <f t="shared" si="179"/>
        <v>#N/A</v>
      </c>
      <c r="G4596" s="74">
        <v>31968</v>
      </c>
      <c r="H4596" s="77">
        <v>0.75</v>
      </c>
      <c r="J4596">
        <v>86</v>
      </c>
      <c r="M4596" s="74">
        <v>33429</v>
      </c>
      <c r="N4596" s="77">
        <v>0.75</v>
      </c>
      <c r="P4596">
        <v>80.06</v>
      </c>
      <c r="S4596" s="74">
        <v>34525</v>
      </c>
      <c r="T4596" s="77">
        <v>0.75</v>
      </c>
      <c r="V4596">
        <v>86</v>
      </c>
      <c r="X4596" s="42"/>
      <c r="AB4596">
        <v>79.2</v>
      </c>
      <c r="AC4596">
        <v>82.94</v>
      </c>
      <c r="AE4596" s="74"/>
      <c r="AF4596" s="77"/>
      <c r="AH4596" s="497">
        <v>73.400000000000006</v>
      </c>
      <c r="AJ4596" s="42"/>
      <c r="AK4596" s="74"/>
      <c r="AL4596" s="77"/>
      <c r="AN4596" s="497">
        <v>69.98</v>
      </c>
      <c r="AP4596" s="42"/>
      <c r="AQ4596" s="74"/>
      <c r="AR4596" s="77"/>
      <c r="AT4596" s="497">
        <v>73.400000000000006</v>
      </c>
      <c r="AV4596" s="42"/>
      <c r="AW4596" s="74"/>
      <c r="AX4596" s="77"/>
      <c r="BA4596" s="497">
        <v>77</v>
      </c>
      <c r="BB4596" s="42"/>
      <c r="BC4596" s="74"/>
      <c r="BD4596" s="77"/>
      <c r="BF4596">
        <v>80.960000000000008</v>
      </c>
      <c r="BH4596" s="42"/>
      <c r="BI4596" s="74"/>
      <c r="BJ4596" s="77"/>
      <c r="BL4596" s="497">
        <v>73.039999999999992</v>
      </c>
      <c r="BN4596" s="42"/>
      <c r="BO4596" s="74"/>
      <c r="BP4596" s="77"/>
      <c r="BR4596" s="497">
        <v>73.94</v>
      </c>
      <c r="BT4596" s="42"/>
    </row>
    <row r="4597" spans="1:72" x14ac:dyDescent="0.25">
      <c r="A4597" s="90">
        <v>34525</v>
      </c>
      <c r="B4597" s="20">
        <v>0.79166666666666663</v>
      </c>
      <c r="D4597">
        <v>84.02</v>
      </c>
      <c r="E4597" t="str">
        <f t="shared" si="178"/>
        <v>SUNDAY</v>
      </c>
      <c r="F4597" t="e">
        <f t="shared" si="179"/>
        <v>#N/A</v>
      </c>
      <c r="G4597" s="74">
        <v>31968</v>
      </c>
      <c r="H4597" s="77">
        <v>0.79166666666666663</v>
      </c>
      <c r="J4597">
        <v>82.94</v>
      </c>
      <c r="M4597" s="74">
        <v>33429</v>
      </c>
      <c r="N4597" s="77">
        <v>0.79166666666666663</v>
      </c>
      <c r="P4597">
        <v>75.92</v>
      </c>
      <c r="S4597" s="74">
        <v>34525</v>
      </c>
      <c r="T4597" s="77">
        <v>0.79166666666666663</v>
      </c>
      <c r="V4597">
        <v>84.02</v>
      </c>
      <c r="X4597" s="42"/>
      <c r="AB4597">
        <v>77.900000000000006</v>
      </c>
      <c r="AC4597">
        <v>80.960000000000008</v>
      </c>
      <c r="AE4597" s="74"/>
      <c r="AF4597" s="77"/>
      <c r="AH4597" s="497">
        <v>70.34</v>
      </c>
      <c r="AJ4597" s="42"/>
      <c r="AK4597" s="74"/>
      <c r="AL4597" s="77"/>
      <c r="AN4597" s="497">
        <v>68</v>
      </c>
      <c r="AP4597" s="42"/>
      <c r="AQ4597" s="74"/>
      <c r="AR4597" s="77"/>
      <c r="AT4597" s="497">
        <v>71.06</v>
      </c>
      <c r="AV4597" s="42"/>
      <c r="AW4597" s="74"/>
      <c r="AX4597" s="77"/>
      <c r="BA4597" s="497">
        <v>73.039999999999992</v>
      </c>
      <c r="BB4597" s="42"/>
      <c r="BC4597" s="74"/>
      <c r="BD4597" s="77"/>
      <c r="BF4597">
        <v>78.080000000000013</v>
      </c>
      <c r="BH4597" s="42"/>
      <c r="BI4597" s="74"/>
      <c r="BJ4597" s="77"/>
      <c r="BL4597" s="497">
        <v>73.039999999999992</v>
      </c>
      <c r="BN4597" s="42"/>
      <c r="BO4597" s="74"/>
      <c r="BP4597" s="77"/>
      <c r="BR4597" s="497">
        <v>71.06</v>
      </c>
      <c r="BT4597" s="42"/>
    </row>
    <row r="4598" spans="1:72" x14ac:dyDescent="0.25">
      <c r="A4598" s="90">
        <v>34525</v>
      </c>
      <c r="B4598" s="20">
        <v>0.83333333333333337</v>
      </c>
      <c r="D4598">
        <v>82.94</v>
      </c>
      <c r="E4598" t="str">
        <f t="shared" si="178"/>
        <v>SUNDAY</v>
      </c>
      <c r="F4598" t="e">
        <f t="shared" si="179"/>
        <v>#N/A</v>
      </c>
      <c r="G4598" s="74">
        <v>31968</v>
      </c>
      <c r="H4598" s="77">
        <v>0.83333333333333337</v>
      </c>
      <c r="J4598">
        <v>80.06</v>
      </c>
      <c r="M4598" s="74">
        <v>33429</v>
      </c>
      <c r="N4598" s="77">
        <v>0.83333333333333337</v>
      </c>
      <c r="P4598">
        <v>73.94</v>
      </c>
      <c r="S4598" s="74">
        <v>34525</v>
      </c>
      <c r="T4598" s="77">
        <v>0.83333333333333337</v>
      </c>
      <c r="V4598">
        <v>82.94</v>
      </c>
      <c r="X4598" s="42"/>
      <c r="AB4598">
        <v>76.5</v>
      </c>
      <c r="AC4598">
        <v>80.960000000000008</v>
      </c>
      <c r="AE4598" s="74"/>
      <c r="AF4598" s="77"/>
      <c r="AH4598" s="497">
        <v>66.2</v>
      </c>
      <c r="AJ4598" s="42"/>
      <c r="AK4598" s="74"/>
      <c r="AL4598" s="77"/>
      <c r="AN4598" s="497">
        <v>64.039999999999992</v>
      </c>
      <c r="AP4598" s="42"/>
      <c r="AQ4598" s="74"/>
      <c r="AR4598" s="77"/>
      <c r="AT4598" s="497">
        <v>66.02</v>
      </c>
      <c r="AV4598" s="42"/>
      <c r="AW4598" s="74"/>
      <c r="AX4598" s="77"/>
      <c r="BA4598" s="497">
        <v>69.080000000000013</v>
      </c>
      <c r="BB4598" s="42"/>
      <c r="BC4598" s="74"/>
      <c r="BD4598" s="77"/>
      <c r="BF4598">
        <v>73.039999999999992</v>
      </c>
      <c r="BH4598" s="42"/>
      <c r="BI4598" s="74"/>
      <c r="BJ4598" s="77"/>
      <c r="BL4598" s="497">
        <v>71.960000000000008</v>
      </c>
      <c r="BN4598" s="42"/>
      <c r="BO4598" s="74"/>
      <c r="BP4598" s="77"/>
      <c r="BR4598" s="497">
        <v>62.06</v>
      </c>
      <c r="BT4598" s="42"/>
    </row>
    <row r="4599" spans="1:72" x14ac:dyDescent="0.25">
      <c r="A4599" s="90">
        <v>34525</v>
      </c>
      <c r="B4599" s="20">
        <v>0.875</v>
      </c>
      <c r="D4599">
        <v>82.039999999999992</v>
      </c>
      <c r="E4599" t="str">
        <f t="shared" si="178"/>
        <v>SUNDAY</v>
      </c>
      <c r="F4599" t="e">
        <f t="shared" si="179"/>
        <v>#N/A</v>
      </c>
      <c r="G4599" s="74">
        <v>31968</v>
      </c>
      <c r="H4599" s="77">
        <v>0.875</v>
      </c>
      <c r="J4599">
        <v>80.06</v>
      </c>
      <c r="M4599" s="74">
        <v>33429</v>
      </c>
      <c r="N4599" s="77">
        <v>0.875</v>
      </c>
      <c r="P4599">
        <v>71.960000000000008</v>
      </c>
      <c r="S4599" s="74">
        <v>34525</v>
      </c>
      <c r="T4599" s="77">
        <v>0.875</v>
      </c>
      <c r="V4599">
        <v>80.960000000000008</v>
      </c>
      <c r="X4599" s="42"/>
      <c r="AB4599">
        <v>75.2</v>
      </c>
      <c r="AC4599">
        <v>78.98</v>
      </c>
      <c r="AE4599" s="74"/>
      <c r="AF4599" s="77"/>
      <c r="AH4599" s="497">
        <v>66.2</v>
      </c>
      <c r="AJ4599" s="42"/>
      <c r="AK4599" s="74"/>
      <c r="AL4599" s="77"/>
      <c r="AN4599" s="497">
        <v>60.980000000000004</v>
      </c>
      <c r="AP4599" s="42"/>
      <c r="AQ4599" s="74"/>
      <c r="AR4599" s="77"/>
      <c r="AT4599" s="497">
        <v>60.980000000000004</v>
      </c>
      <c r="AV4599" s="42"/>
      <c r="AW4599" s="74"/>
      <c r="AX4599" s="77"/>
      <c r="BA4599" s="497">
        <v>64.94</v>
      </c>
      <c r="BB4599" s="42"/>
      <c r="BC4599" s="74"/>
      <c r="BD4599" s="77"/>
      <c r="BF4599">
        <v>71.06</v>
      </c>
      <c r="BH4599" s="42"/>
      <c r="BI4599" s="74"/>
      <c r="BJ4599" s="77"/>
      <c r="BL4599" s="497">
        <v>69.98</v>
      </c>
      <c r="BN4599" s="42"/>
      <c r="BO4599" s="74"/>
      <c r="BP4599" s="77"/>
      <c r="BR4599" s="497">
        <v>62.06</v>
      </c>
      <c r="BT4599" s="42"/>
    </row>
    <row r="4600" spans="1:72" x14ac:dyDescent="0.25">
      <c r="A4600" s="90">
        <v>34525</v>
      </c>
      <c r="B4600" s="20">
        <v>0.91666666666666663</v>
      </c>
      <c r="D4600">
        <v>80.960000000000008</v>
      </c>
      <c r="E4600" t="str">
        <f t="shared" si="178"/>
        <v>SUNDAY</v>
      </c>
      <c r="F4600" t="e">
        <f t="shared" si="179"/>
        <v>#N/A</v>
      </c>
      <c r="G4600" s="74">
        <v>31968</v>
      </c>
      <c r="H4600" s="77">
        <v>0.91666666666666663</v>
      </c>
      <c r="J4600">
        <v>80.960000000000008</v>
      </c>
      <c r="M4600" s="74">
        <v>33429</v>
      </c>
      <c r="N4600" s="77">
        <v>0.91666666666666663</v>
      </c>
      <c r="P4600">
        <v>71.06</v>
      </c>
      <c r="S4600" s="74">
        <v>34525</v>
      </c>
      <c r="T4600" s="77">
        <v>0.91666666666666663</v>
      </c>
      <c r="V4600">
        <v>80.06</v>
      </c>
      <c r="X4600" s="42"/>
      <c r="AB4600">
        <v>74.5</v>
      </c>
      <c r="AC4600">
        <v>78.98</v>
      </c>
      <c r="AE4600" s="74"/>
      <c r="AF4600" s="77"/>
      <c r="AH4600" s="497">
        <v>64.400000000000006</v>
      </c>
      <c r="AJ4600" s="42"/>
      <c r="AK4600" s="74"/>
      <c r="AL4600" s="77"/>
      <c r="AN4600" s="497">
        <v>59</v>
      </c>
      <c r="AP4600" s="42"/>
      <c r="AQ4600" s="74"/>
      <c r="AR4600" s="77"/>
      <c r="AT4600" s="497">
        <v>55.94</v>
      </c>
      <c r="AV4600" s="42"/>
      <c r="AW4600" s="74"/>
      <c r="AX4600" s="77"/>
      <c r="BA4600" s="497">
        <v>62.96</v>
      </c>
      <c r="BB4600" s="42"/>
      <c r="BC4600" s="74"/>
      <c r="BD4600" s="77"/>
      <c r="BF4600">
        <v>69.98</v>
      </c>
      <c r="BH4600" s="42"/>
      <c r="BI4600" s="74"/>
      <c r="BJ4600" s="77"/>
      <c r="BL4600" s="497">
        <v>68</v>
      </c>
      <c r="BN4600" s="42"/>
      <c r="BO4600" s="74"/>
      <c r="BP4600" s="77"/>
      <c r="BR4600" s="497">
        <v>57.019999999999996</v>
      </c>
      <c r="BT4600" s="42"/>
    </row>
    <row r="4601" spans="1:72" x14ac:dyDescent="0.25">
      <c r="A4601" s="90">
        <v>34525</v>
      </c>
      <c r="B4601" s="20">
        <v>0.95833333333333337</v>
      </c>
      <c r="D4601">
        <v>77</v>
      </c>
      <c r="E4601" t="str">
        <f t="shared" si="178"/>
        <v>SUNDAY</v>
      </c>
      <c r="F4601" t="e">
        <f t="shared" si="179"/>
        <v>#N/A</v>
      </c>
      <c r="G4601" s="74">
        <v>31968</v>
      </c>
      <c r="H4601" s="77">
        <v>0.95833333333333337</v>
      </c>
      <c r="J4601">
        <v>78.080000000000013</v>
      </c>
      <c r="M4601" s="74">
        <v>33429</v>
      </c>
      <c r="N4601" s="77">
        <v>0.95833333333333337</v>
      </c>
      <c r="P4601">
        <v>69.98</v>
      </c>
      <c r="S4601" s="74">
        <v>34525</v>
      </c>
      <c r="T4601" s="77">
        <v>0.95833333333333337</v>
      </c>
      <c r="V4601">
        <v>78.080000000000013</v>
      </c>
      <c r="X4601" s="42"/>
      <c r="AB4601">
        <v>74</v>
      </c>
      <c r="AC4601">
        <v>75.92</v>
      </c>
      <c r="AE4601" s="74"/>
      <c r="AF4601" s="77"/>
      <c r="AH4601" s="497">
        <v>59.72</v>
      </c>
      <c r="AJ4601" s="42"/>
      <c r="AK4601" s="74"/>
      <c r="AL4601" s="77"/>
      <c r="AN4601" s="497">
        <v>55.94</v>
      </c>
      <c r="AP4601" s="42"/>
      <c r="AQ4601" s="74"/>
      <c r="AR4601" s="77"/>
      <c r="AT4601" s="497">
        <v>54.68</v>
      </c>
      <c r="AV4601" s="42"/>
      <c r="AW4601" s="74"/>
      <c r="AX4601" s="77"/>
      <c r="BA4601" s="497">
        <v>62.06</v>
      </c>
      <c r="BB4601" s="42"/>
      <c r="BC4601" s="74"/>
      <c r="BD4601" s="77"/>
      <c r="BF4601">
        <v>69.080000000000013</v>
      </c>
      <c r="BH4601" s="42"/>
      <c r="BI4601" s="74"/>
      <c r="BJ4601" s="77"/>
      <c r="BL4601" s="497">
        <v>66.92</v>
      </c>
      <c r="BN4601" s="42"/>
      <c r="BO4601" s="74"/>
      <c r="BP4601" s="77"/>
      <c r="BR4601" s="497">
        <v>53.96</v>
      </c>
      <c r="BT4601" s="42"/>
    </row>
    <row r="4602" spans="1:72" x14ac:dyDescent="0.25">
      <c r="A4602" s="90">
        <v>34525</v>
      </c>
      <c r="B4602" s="20">
        <v>1</v>
      </c>
      <c r="D4602">
        <v>73.94</v>
      </c>
      <c r="E4602" t="str">
        <f t="shared" si="178"/>
        <v>SUNDAY</v>
      </c>
      <c r="F4602" t="e">
        <f t="shared" si="179"/>
        <v>#N/A</v>
      </c>
      <c r="G4602" s="74">
        <v>31968</v>
      </c>
      <c r="H4602" s="77">
        <v>1</v>
      </c>
      <c r="J4602">
        <v>78.98</v>
      </c>
      <c r="M4602" s="74">
        <v>33429</v>
      </c>
      <c r="N4602" s="80">
        <v>1</v>
      </c>
      <c r="P4602">
        <v>71.06</v>
      </c>
      <c r="S4602" s="74">
        <v>34525</v>
      </c>
      <c r="T4602" s="80">
        <v>1</v>
      </c>
      <c r="V4602">
        <v>73.94</v>
      </c>
      <c r="X4602" s="42"/>
      <c r="AB4602">
        <v>73.5</v>
      </c>
      <c r="AC4602">
        <v>73.94</v>
      </c>
      <c r="AE4602" s="74"/>
      <c r="AF4602" s="80"/>
      <c r="AH4602" s="497">
        <v>55.400000000000006</v>
      </c>
      <c r="AJ4602" s="42"/>
      <c r="AK4602" s="74"/>
      <c r="AL4602" s="80"/>
      <c r="AN4602" s="497">
        <v>55.040000000000006</v>
      </c>
      <c r="AP4602" s="42"/>
      <c r="AQ4602" s="74"/>
      <c r="AR4602" s="80"/>
      <c r="AT4602" s="497">
        <v>53.24</v>
      </c>
      <c r="AV4602" s="42"/>
      <c r="AW4602" s="74"/>
      <c r="AX4602" s="80"/>
      <c r="BA4602" s="497">
        <v>62.06</v>
      </c>
      <c r="BB4602" s="42"/>
      <c r="BC4602" s="74"/>
      <c r="BD4602" s="80"/>
      <c r="BF4602">
        <v>66.92</v>
      </c>
      <c r="BH4602" s="42"/>
      <c r="BI4602" s="74"/>
      <c r="BJ4602" s="80"/>
      <c r="BL4602" s="497">
        <v>69.080000000000013</v>
      </c>
      <c r="BN4602" s="42"/>
      <c r="BO4602" s="74"/>
      <c r="BP4602" s="80"/>
      <c r="BR4602" s="497">
        <v>53.06</v>
      </c>
      <c r="BT4602" s="42"/>
    </row>
    <row r="4603" spans="1:72" x14ac:dyDescent="0.25">
      <c r="A4603" s="90">
        <v>34526</v>
      </c>
      <c r="B4603" s="20">
        <v>4.1666666666666664E-2</v>
      </c>
      <c r="D4603">
        <v>71.960000000000008</v>
      </c>
      <c r="E4603" t="str">
        <f t="shared" si="178"/>
        <v>WEEKDAY</v>
      </c>
      <c r="F4603" t="e">
        <f t="shared" si="179"/>
        <v>#N/A</v>
      </c>
      <c r="G4603" s="74">
        <v>31969</v>
      </c>
      <c r="H4603" s="77">
        <v>4.1666666666666664E-2</v>
      </c>
      <c r="J4603">
        <v>78.98</v>
      </c>
      <c r="M4603" s="74">
        <v>33430</v>
      </c>
      <c r="N4603" s="77">
        <v>4.1666666666666664E-2</v>
      </c>
      <c r="P4603">
        <v>68</v>
      </c>
      <c r="S4603" s="74">
        <v>34526</v>
      </c>
      <c r="T4603" s="77">
        <v>4.1666666666666664E-2</v>
      </c>
      <c r="V4603">
        <v>73.039999999999992</v>
      </c>
      <c r="X4603" s="42"/>
      <c r="AB4603">
        <v>72.8</v>
      </c>
      <c r="AC4603">
        <v>71.06</v>
      </c>
      <c r="AE4603" s="74"/>
      <c r="AF4603" s="77"/>
      <c r="AH4603" s="497">
        <v>53.6</v>
      </c>
      <c r="AJ4603" s="42"/>
      <c r="AK4603" s="74"/>
      <c r="AL4603" s="77"/>
      <c r="AN4603" s="497">
        <v>53.96</v>
      </c>
      <c r="AP4603" s="42"/>
      <c r="AQ4603" s="74"/>
      <c r="AR4603" s="77"/>
      <c r="AT4603" s="497">
        <v>51.980000000000004</v>
      </c>
      <c r="AV4603" s="42"/>
      <c r="AW4603" s="74"/>
      <c r="AX4603" s="77"/>
      <c r="BA4603" s="497">
        <v>59</v>
      </c>
      <c r="BB4603" s="42"/>
      <c r="BC4603" s="74"/>
      <c r="BD4603" s="77"/>
      <c r="BF4603">
        <v>66.02</v>
      </c>
      <c r="BH4603" s="42"/>
      <c r="BI4603" s="74"/>
      <c r="BJ4603" s="77"/>
      <c r="BL4603" s="497">
        <v>68</v>
      </c>
      <c r="BN4603" s="42"/>
      <c r="BO4603" s="74"/>
      <c r="BP4603" s="77"/>
      <c r="BR4603" s="497">
        <v>51.980000000000004</v>
      </c>
      <c r="BT4603" s="42"/>
    </row>
    <row r="4604" spans="1:72" x14ac:dyDescent="0.25">
      <c r="A4604" s="90">
        <v>34526</v>
      </c>
      <c r="B4604" s="20">
        <v>8.3333333333333329E-2</v>
      </c>
      <c r="D4604">
        <v>71.06</v>
      </c>
      <c r="E4604" t="str">
        <f t="shared" si="178"/>
        <v>WEEKDAY</v>
      </c>
      <c r="F4604" t="e">
        <f t="shared" si="179"/>
        <v>#N/A</v>
      </c>
      <c r="G4604" s="74">
        <v>31969</v>
      </c>
      <c r="H4604" s="77">
        <v>8.3333333333333329E-2</v>
      </c>
      <c r="J4604">
        <v>75.92</v>
      </c>
      <c r="M4604" s="74">
        <v>33430</v>
      </c>
      <c r="N4604" s="77">
        <v>8.3333333333333329E-2</v>
      </c>
      <c r="P4604">
        <v>64.94</v>
      </c>
      <c r="S4604" s="74">
        <v>34526</v>
      </c>
      <c r="T4604" s="77">
        <v>8.3333333333333329E-2</v>
      </c>
      <c r="V4604">
        <v>71.06</v>
      </c>
      <c r="X4604" s="42"/>
      <c r="AB4604">
        <v>72.3</v>
      </c>
      <c r="AC4604">
        <v>66.92</v>
      </c>
      <c r="AE4604" s="74"/>
      <c r="AF4604" s="77"/>
      <c r="AH4604" s="497">
        <v>53.6</v>
      </c>
      <c r="AJ4604" s="42"/>
      <c r="AK4604" s="74"/>
      <c r="AL4604" s="77"/>
      <c r="AN4604" s="497">
        <v>53.96</v>
      </c>
      <c r="AP4604" s="42"/>
      <c r="AQ4604" s="74"/>
      <c r="AR4604" s="77"/>
      <c r="AT4604" s="497">
        <v>51.26</v>
      </c>
      <c r="AV4604" s="42"/>
      <c r="AW4604" s="74"/>
      <c r="AX4604" s="77"/>
      <c r="BA4604" s="497">
        <v>57.019999999999996</v>
      </c>
      <c r="BB4604" s="42"/>
      <c r="BC4604" s="74"/>
      <c r="BD4604" s="77"/>
      <c r="BF4604">
        <v>66.02</v>
      </c>
      <c r="BH4604" s="42"/>
      <c r="BI4604" s="74"/>
      <c r="BJ4604" s="77"/>
      <c r="BL4604" s="497">
        <v>68</v>
      </c>
      <c r="BN4604" s="42"/>
      <c r="BO4604" s="74"/>
      <c r="BP4604" s="77"/>
      <c r="BR4604" s="497">
        <v>50</v>
      </c>
      <c r="BT4604" s="42"/>
    </row>
    <row r="4605" spans="1:72" x14ac:dyDescent="0.25">
      <c r="A4605" s="90">
        <v>34526</v>
      </c>
      <c r="B4605" s="20">
        <v>0.125</v>
      </c>
      <c r="D4605">
        <v>69.98</v>
      </c>
      <c r="E4605" t="str">
        <f t="shared" si="178"/>
        <v>WEEKDAY</v>
      </c>
      <c r="F4605" t="e">
        <f t="shared" si="179"/>
        <v>#N/A</v>
      </c>
      <c r="G4605" s="74">
        <v>31969</v>
      </c>
      <c r="H4605" s="77">
        <v>0.125</v>
      </c>
      <c r="J4605">
        <v>75.92</v>
      </c>
      <c r="M4605" s="74">
        <v>33430</v>
      </c>
      <c r="N4605" s="77">
        <v>0.125</v>
      </c>
      <c r="P4605">
        <v>64.039999999999992</v>
      </c>
      <c r="S4605" s="74">
        <v>34526</v>
      </c>
      <c r="T4605" s="77">
        <v>0.125</v>
      </c>
      <c r="V4605">
        <v>69.080000000000013</v>
      </c>
      <c r="X4605" s="42"/>
      <c r="AB4605">
        <v>71.8</v>
      </c>
      <c r="AC4605">
        <v>66.92</v>
      </c>
      <c r="AE4605" s="74"/>
      <c r="AF4605" s="77"/>
      <c r="AH4605" s="497">
        <v>51.8</v>
      </c>
      <c r="AJ4605" s="42"/>
      <c r="AK4605" s="74"/>
      <c r="AL4605" s="77"/>
      <c r="AN4605" s="497">
        <v>51.980000000000004</v>
      </c>
      <c r="AP4605" s="42"/>
      <c r="AQ4605" s="74"/>
      <c r="AR4605" s="77"/>
      <c r="AT4605" s="497">
        <v>50.72</v>
      </c>
      <c r="AV4605" s="42"/>
      <c r="AW4605" s="74"/>
      <c r="AX4605" s="77"/>
      <c r="BA4605" s="497">
        <v>57.019999999999996</v>
      </c>
      <c r="BB4605" s="42"/>
      <c r="BC4605" s="74"/>
      <c r="BD4605" s="77"/>
      <c r="BF4605">
        <v>66.02</v>
      </c>
      <c r="BH4605" s="42"/>
      <c r="BI4605" s="74"/>
      <c r="BJ4605" s="77"/>
      <c r="BL4605" s="497">
        <v>68</v>
      </c>
      <c r="BN4605" s="42"/>
      <c r="BO4605" s="74"/>
      <c r="BP4605" s="77"/>
      <c r="BR4605" s="497">
        <v>48.92</v>
      </c>
      <c r="BT4605" s="42"/>
    </row>
    <row r="4606" spans="1:72" x14ac:dyDescent="0.25">
      <c r="A4606" s="90">
        <v>34526</v>
      </c>
      <c r="B4606" s="20">
        <v>0.16666666666666666</v>
      </c>
      <c r="D4606">
        <v>68</v>
      </c>
      <c r="E4606" t="str">
        <f t="shared" si="178"/>
        <v>WEEKDAY</v>
      </c>
      <c r="F4606" t="e">
        <f t="shared" si="179"/>
        <v>#N/A</v>
      </c>
      <c r="G4606" s="74">
        <v>31969</v>
      </c>
      <c r="H4606" s="77">
        <v>0.16666666666666666</v>
      </c>
      <c r="J4606">
        <v>75.02</v>
      </c>
      <c r="M4606" s="74">
        <v>33430</v>
      </c>
      <c r="N4606" s="77">
        <v>0.16666666666666666</v>
      </c>
      <c r="P4606">
        <v>62.96</v>
      </c>
      <c r="S4606" s="74">
        <v>34526</v>
      </c>
      <c r="T4606" s="77">
        <v>0.16666666666666666</v>
      </c>
      <c r="V4606">
        <v>68</v>
      </c>
      <c r="X4606" s="42"/>
      <c r="AB4606">
        <v>71.3</v>
      </c>
      <c r="AC4606">
        <v>66.02</v>
      </c>
      <c r="AE4606" s="74"/>
      <c r="AF4606" s="77"/>
      <c r="AH4606" s="497">
        <v>51.980000000000004</v>
      </c>
      <c r="AJ4606" s="42"/>
      <c r="AK4606" s="74"/>
      <c r="AL4606" s="77"/>
      <c r="AN4606" s="497">
        <v>51.08</v>
      </c>
      <c r="AP4606" s="42"/>
      <c r="AQ4606" s="74"/>
      <c r="AR4606" s="77"/>
      <c r="AT4606" s="497">
        <v>50</v>
      </c>
      <c r="AV4606" s="42"/>
      <c r="AW4606" s="74"/>
      <c r="AX4606" s="77"/>
      <c r="BA4606" s="497">
        <v>57.019999999999996</v>
      </c>
      <c r="BB4606" s="42"/>
      <c r="BC4606" s="74"/>
      <c r="BD4606" s="77"/>
      <c r="BF4606">
        <v>68</v>
      </c>
      <c r="BH4606" s="42"/>
      <c r="BI4606" s="74"/>
      <c r="BJ4606" s="77"/>
      <c r="BL4606" s="497">
        <v>68</v>
      </c>
      <c r="BN4606" s="42"/>
      <c r="BO4606" s="74"/>
      <c r="BP4606" s="77"/>
      <c r="BR4606" s="497">
        <v>48.92</v>
      </c>
      <c r="BT4606" s="42"/>
    </row>
    <row r="4607" spans="1:72" x14ac:dyDescent="0.25">
      <c r="A4607" s="90">
        <v>34526</v>
      </c>
      <c r="B4607" s="20">
        <v>0.20833333333333334</v>
      </c>
      <c r="D4607">
        <v>66.92</v>
      </c>
      <c r="E4607" t="str">
        <f t="shared" si="178"/>
        <v>WEEKDAY</v>
      </c>
      <c r="F4607" t="e">
        <f t="shared" si="179"/>
        <v>#N/A</v>
      </c>
      <c r="G4607" s="74">
        <v>31969</v>
      </c>
      <c r="H4607" s="77">
        <v>0.20833333333333334</v>
      </c>
      <c r="J4607">
        <v>75.02</v>
      </c>
      <c r="M4607" s="74">
        <v>33430</v>
      </c>
      <c r="N4607" s="77">
        <v>0.20833333333333334</v>
      </c>
      <c r="P4607">
        <v>62.06</v>
      </c>
      <c r="S4607" s="74">
        <v>34526</v>
      </c>
      <c r="T4607" s="77">
        <v>0.20833333333333334</v>
      </c>
      <c r="V4607">
        <v>66.92</v>
      </c>
      <c r="X4607" s="42"/>
      <c r="AB4607">
        <v>70.900000000000006</v>
      </c>
      <c r="AC4607">
        <v>64.94</v>
      </c>
      <c r="AE4607" s="74"/>
      <c r="AF4607" s="77"/>
      <c r="AH4607" s="497">
        <v>51.8</v>
      </c>
      <c r="AJ4607" s="42"/>
      <c r="AK4607" s="74"/>
      <c r="AL4607" s="77"/>
      <c r="AN4607" s="497">
        <v>50</v>
      </c>
      <c r="AP4607" s="42"/>
      <c r="AQ4607" s="74"/>
      <c r="AR4607" s="77"/>
      <c r="AT4607" s="497">
        <v>53.96</v>
      </c>
      <c r="AV4607" s="42"/>
      <c r="AW4607" s="74"/>
      <c r="AX4607" s="77"/>
      <c r="BA4607" s="497">
        <v>57.019999999999996</v>
      </c>
      <c r="BB4607" s="42"/>
      <c r="BC4607" s="74"/>
      <c r="BD4607" s="77"/>
      <c r="BF4607">
        <v>68</v>
      </c>
      <c r="BH4607" s="42"/>
      <c r="BI4607" s="74"/>
      <c r="BJ4607" s="77"/>
      <c r="BL4607" s="497">
        <v>66.92</v>
      </c>
      <c r="BN4607" s="42"/>
      <c r="BO4607" s="74"/>
      <c r="BP4607" s="77"/>
      <c r="BR4607" s="497">
        <v>50</v>
      </c>
      <c r="BT4607" s="42"/>
    </row>
    <row r="4608" spans="1:72" x14ac:dyDescent="0.25">
      <c r="A4608" s="90">
        <v>34526</v>
      </c>
      <c r="B4608" s="20">
        <v>0.25</v>
      </c>
      <c r="D4608">
        <v>68</v>
      </c>
      <c r="E4608" t="str">
        <f t="shared" si="178"/>
        <v>WEEKDAY</v>
      </c>
      <c r="F4608" t="e">
        <f t="shared" si="179"/>
        <v>#N/A</v>
      </c>
      <c r="G4608" s="74">
        <v>31969</v>
      </c>
      <c r="H4608" s="77">
        <v>0.25</v>
      </c>
      <c r="J4608">
        <v>77</v>
      </c>
      <c r="M4608" s="74">
        <v>33430</v>
      </c>
      <c r="N4608" s="77">
        <v>0.25</v>
      </c>
      <c r="P4608">
        <v>62.96</v>
      </c>
      <c r="S4608" s="74">
        <v>34526</v>
      </c>
      <c r="T4608" s="77">
        <v>0.25</v>
      </c>
      <c r="V4608">
        <v>69.080000000000013</v>
      </c>
      <c r="X4608" s="42"/>
      <c r="AB4608">
        <v>70.599999999999994</v>
      </c>
      <c r="AC4608">
        <v>68</v>
      </c>
      <c r="AE4608" s="74"/>
      <c r="AF4608" s="77"/>
      <c r="AH4608" s="497">
        <v>53.6</v>
      </c>
      <c r="AJ4608" s="42"/>
      <c r="AK4608" s="74"/>
      <c r="AL4608" s="77"/>
      <c r="AN4608" s="497">
        <v>53.06</v>
      </c>
      <c r="AP4608" s="42"/>
      <c r="AQ4608" s="74"/>
      <c r="AR4608" s="77"/>
      <c r="AT4608" s="497">
        <v>58.1</v>
      </c>
      <c r="AV4608" s="42"/>
      <c r="AW4608" s="74"/>
      <c r="AX4608" s="77"/>
      <c r="BA4608" s="497">
        <v>59</v>
      </c>
      <c r="BB4608" s="42"/>
      <c r="BC4608" s="74"/>
      <c r="BD4608" s="77"/>
      <c r="BF4608">
        <v>69.98</v>
      </c>
      <c r="BH4608" s="42"/>
      <c r="BI4608" s="74"/>
      <c r="BJ4608" s="77"/>
      <c r="BL4608" s="497">
        <v>66.92</v>
      </c>
      <c r="BN4608" s="42"/>
      <c r="BO4608" s="74"/>
      <c r="BP4608" s="77"/>
      <c r="BR4608" s="497">
        <v>53.06</v>
      </c>
      <c r="BT4608" s="42"/>
    </row>
    <row r="4609" spans="1:72" x14ac:dyDescent="0.25">
      <c r="A4609" s="90">
        <v>34526</v>
      </c>
      <c r="B4609" s="20">
        <v>0.29166666666666669</v>
      </c>
      <c r="D4609">
        <v>69.98</v>
      </c>
      <c r="E4609" t="str">
        <f t="shared" si="178"/>
        <v>WEEKDAY</v>
      </c>
      <c r="F4609" t="e">
        <f t="shared" si="179"/>
        <v>#N/A</v>
      </c>
      <c r="G4609" s="74">
        <v>31969</v>
      </c>
      <c r="H4609" s="77">
        <v>0.29166666666666669</v>
      </c>
      <c r="J4609">
        <v>78.080000000000013</v>
      </c>
      <c r="M4609" s="74">
        <v>33430</v>
      </c>
      <c r="N4609" s="77">
        <v>0.29166666666666669</v>
      </c>
      <c r="P4609">
        <v>69.98</v>
      </c>
      <c r="S4609" s="74">
        <v>34526</v>
      </c>
      <c r="T4609" s="77">
        <v>0.29166666666666669</v>
      </c>
      <c r="V4609">
        <v>71.960000000000008</v>
      </c>
      <c r="X4609" s="42"/>
      <c r="AB4609">
        <v>72.099999999999994</v>
      </c>
      <c r="AC4609">
        <v>69.98</v>
      </c>
      <c r="AE4609" s="74"/>
      <c r="AF4609" s="77"/>
      <c r="AH4609" s="497">
        <v>62.6</v>
      </c>
      <c r="AJ4609" s="42"/>
      <c r="AK4609" s="74"/>
      <c r="AL4609" s="77"/>
      <c r="AN4609" s="497">
        <v>55.94</v>
      </c>
      <c r="AP4609" s="42"/>
      <c r="AQ4609" s="74"/>
      <c r="AR4609" s="77"/>
      <c r="AT4609" s="497">
        <v>62.06</v>
      </c>
      <c r="AV4609" s="42"/>
      <c r="AW4609" s="74"/>
      <c r="AX4609" s="77"/>
      <c r="BA4609" s="497">
        <v>62.06</v>
      </c>
      <c r="BB4609" s="42"/>
      <c r="BC4609" s="74"/>
      <c r="BD4609" s="77"/>
      <c r="BF4609">
        <v>69.98</v>
      </c>
      <c r="BH4609" s="42"/>
      <c r="BI4609" s="74"/>
      <c r="BJ4609" s="77"/>
      <c r="BL4609" s="497">
        <v>68</v>
      </c>
      <c r="BN4609" s="42"/>
      <c r="BO4609" s="74"/>
      <c r="BP4609" s="77"/>
      <c r="BR4609" s="497">
        <v>55.040000000000006</v>
      </c>
      <c r="BT4609" s="42"/>
    </row>
    <row r="4610" spans="1:72" x14ac:dyDescent="0.25">
      <c r="A4610" s="90">
        <v>34526</v>
      </c>
      <c r="B4610" s="20">
        <v>0.33333333333333331</v>
      </c>
      <c r="D4610">
        <v>71.960000000000008</v>
      </c>
      <c r="E4610" t="str">
        <f t="shared" si="178"/>
        <v>WEEKDAY</v>
      </c>
      <c r="F4610" t="e">
        <f t="shared" si="179"/>
        <v>#N/A</v>
      </c>
      <c r="G4610" s="74">
        <v>31969</v>
      </c>
      <c r="H4610" s="77">
        <v>0.33333333333333331</v>
      </c>
      <c r="J4610">
        <v>80.06</v>
      </c>
      <c r="M4610" s="74">
        <v>33430</v>
      </c>
      <c r="N4610" s="77">
        <v>0.33333333333333331</v>
      </c>
      <c r="P4610">
        <v>73.039999999999992</v>
      </c>
      <c r="S4610" s="74">
        <v>34526</v>
      </c>
      <c r="T4610" s="77">
        <v>0.33333333333333331</v>
      </c>
      <c r="V4610">
        <v>73.039999999999992</v>
      </c>
      <c r="X4610" s="42"/>
      <c r="AB4610">
        <v>74.2</v>
      </c>
      <c r="AC4610">
        <v>71.06</v>
      </c>
      <c r="AE4610" s="74"/>
      <c r="AF4610" s="77"/>
      <c r="AH4610" s="497">
        <v>66.2</v>
      </c>
      <c r="AJ4610" s="42"/>
      <c r="AK4610" s="74"/>
      <c r="AL4610" s="77"/>
      <c r="AN4610" s="497">
        <v>57.92</v>
      </c>
      <c r="AP4610" s="42"/>
      <c r="AQ4610" s="74"/>
      <c r="AR4610" s="77"/>
      <c r="AT4610" s="497">
        <v>65.12</v>
      </c>
      <c r="AV4610" s="42"/>
      <c r="AW4610" s="74"/>
      <c r="AX4610" s="77"/>
      <c r="BA4610" s="497">
        <v>62.06</v>
      </c>
      <c r="BB4610" s="42"/>
      <c r="BC4610" s="74"/>
      <c r="BD4610" s="77"/>
      <c r="BF4610">
        <v>71.06</v>
      </c>
      <c r="BH4610" s="42"/>
      <c r="BI4610" s="74"/>
      <c r="BJ4610" s="77"/>
      <c r="BL4610" s="497">
        <v>69.98</v>
      </c>
      <c r="BN4610" s="42"/>
      <c r="BO4610" s="74"/>
      <c r="BP4610" s="77"/>
      <c r="BR4610" s="497">
        <v>62.06</v>
      </c>
      <c r="BT4610" s="42"/>
    </row>
    <row r="4611" spans="1:72" x14ac:dyDescent="0.25">
      <c r="A4611" s="90">
        <v>34526</v>
      </c>
      <c r="B4611" s="20">
        <v>0.375</v>
      </c>
      <c r="D4611">
        <v>73.94</v>
      </c>
      <c r="E4611" t="str">
        <f t="shared" si="178"/>
        <v>WEEKDAY</v>
      </c>
      <c r="F4611" t="e">
        <f t="shared" si="179"/>
        <v>#N/A</v>
      </c>
      <c r="G4611" s="74">
        <v>31969</v>
      </c>
      <c r="H4611" s="77">
        <v>0.375</v>
      </c>
      <c r="J4611">
        <v>82.039999999999992</v>
      </c>
      <c r="M4611" s="74">
        <v>33430</v>
      </c>
      <c r="N4611" s="77">
        <v>0.375</v>
      </c>
      <c r="P4611">
        <v>75.92</v>
      </c>
      <c r="S4611" s="74">
        <v>34526</v>
      </c>
      <c r="T4611" s="77">
        <v>0.375</v>
      </c>
      <c r="V4611">
        <v>75.02</v>
      </c>
      <c r="X4611" s="42"/>
      <c r="AB4611">
        <v>76.2</v>
      </c>
      <c r="AC4611">
        <v>73.94</v>
      </c>
      <c r="AE4611" s="74"/>
      <c r="AF4611" s="77"/>
      <c r="AH4611" s="497">
        <v>69.800000000000011</v>
      </c>
      <c r="AJ4611" s="42"/>
      <c r="AK4611" s="74"/>
      <c r="AL4611" s="77"/>
      <c r="AN4611" s="497">
        <v>60.980000000000004</v>
      </c>
      <c r="AP4611" s="42"/>
      <c r="AQ4611" s="74"/>
      <c r="AR4611" s="77"/>
      <c r="AT4611" s="497">
        <v>68</v>
      </c>
      <c r="AV4611" s="42"/>
      <c r="AW4611" s="74"/>
      <c r="AX4611" s="77"/>
      <c r="BA4611" s="497">
        <v>64.039999999999992</v>
      </c>
      <c r="BB4611" s="42"/>
      <c r="BC4611" s="74"/>
      <c r="BD4611" s="77"/>
      <c r="BF4611">
        <v>73.039999999999992</v>
      </c>
      <c r="BH4611" s="42"/>
      <c r="BI4611" s="74"/>
      <c r="BJ4611" s="77"/>
      <c r="BL4611" s="497">
        <v>73.039999999999992</v>
      </c>
      <c r="BN4611" s="42"/>
      <c r="BO4611" s="74"/>
      <c r="BP4611" s="77"/>
      <c r="BR4611" s="497">
        <v>68</v>
      </c>
      <c r="BT4611" s="42"/>
    </row>
    <row r="4612" spans="1:72" x14ac:dyDescent="0.25">
      <c r="A4612" s="90">
        <v>34526</v>
      </c>
      <c r="B4612" s="20">
        <v>0.41666666666666669</v>
      </c>
      <c r="D4612">
        <v>75.92</v>
      </c>
      <c r="E4612" t="str">
        <f t="shared" si="178"/>
        <v>WEEKDAY</v>
      </c>
      <c r="F4612" t="e">
        <f t="shared" si="179"/>
        <v>#N/A</v>
      </c>
      <c r="G4612" s="74">
        <v>31969</v>
      </c>
      <c r="H4612" s="77">
        <v>0.41666666666666669</v>
      </c>
      <c r="J4612">
        <v>84.92</v>
      </c>
      <c r="M4612" s="74">
        <v>33430</v>
      </c>
      <c r="N4612" s="77">
        <v>0.41666666666666669</v>
      </c>
      <c r="P4612">
        <v>78.080000000000013</v>
      </c>
      <c r="S4612" s="74">
        <v>34526</v>
      </c>
      <c r="T4612" s="77">
        <v>0.41666666666666669</v>
      </c>
      <c r="V4612">
        <v>77</v>
      </c>
      <c r="X4612" s="42"/>
      <c r="AB4612">
        <v>78.099999999999994</v>
      </c>
      <c r="AC4612">
        <v>75.92</v>
      </c>
      <c r="AE4612" s="74"/>
      <c r="AF4612" s="77"/>
      <c r="AH4612" s="497">
        <v>71.599999999999994</v>
      </c>
      <c r="AJ4612" s="42"/>
      <c r="AK4612" s="74"/>
      <c r="AL4612" s="77"/>
      <c r="AN4612" s="497">
        <v>60.08</v>
      </c>
      <c r="AP4612" s="42"/>
      <c r="AQ4612" s="74"/>
      <c r="AR4612" s="77"/>
      <c r="AT4612" s="497">
        <v>71.06</v>
      </c>
      <c r="AV4612" s="42"/>
      <c r="AW4612" s="74"/>
      <c r="AX4612" s="77"/>
      <c r="BA4612" s="497">
        <v>69.080000000000013</v>
      </c>
      <c r="BB4612" s="42"/>
      <c r="BC4612" s="74"/>
      <c r="BD4612" s="77"/>
      <c r="BF4612">
        <v>75.02</v>
      </c>
      <c r="BH4612" s="42"/>
      <c r="BI4612" s="74"/>
      <c r="BJ4612" s="77"/>
      <c r="BL4612" s="497">
        <v>75.92</v>
      </c>
      <c r="BN4612" s="42"/>
      <c r="BO4612" s="74"/>
      <c r="BP4612" s="77"/>
      <c r="BR4612" s="497">
        <v>69.98</v>
      </c>
      <c r="BT4612" s="42"/>
    </row>
    <row r="4613" spans="1:72" x14ac:dyDescent="0.25">
      <c r="A4613" s="90">
        <v>34526</v>
      </c>
      <c r="B4613" s="20">
        <v>0.45833333333333331</v>
      </c>
      <c r="D4613">
        <v>77</v>
      </c>
      <c r="E4613" t="str">
        <f t="shared" si="178"/>
        <v>WEEKDAY</v>
      </c>
      <c r="F4613" t="e">
        <f t="shared" si="179"/>
        <v>#N/A</v>
      </c>
      <c r="G4613" s="74">
        <v>31969</v>
      </c>
      <c r="H4613" s="77">
        <v>0.45833333333333331</v>
      </c>
      <c r="J4613">
        <v>87.080000000000013</v>
      </c>
      <c r="M4613" s="74">
        <v>33430</v>
      </c>
      <c r="N4613" s="77">
        <v>0.45833333333333331</v>
      </c>
      <c r="P4613">
        <v>80.240000000000009</v>
      </c>
      <c r="S4613" s="74">
        <v>34526</v>
      </c>
      <c r="T4613" s="77">
        <v>0.45833333333333331</v>
      </c>
      <c r="V4613">
        <v>78.98</v>
      </c>
      <c r="X4613" s="42"/>
      <c r="AB4613">
        <v>79.7</v>
      </c>
      <c r="AC4613">
        <v>78.080000000000013</v>
      </c>
      <c r="AE4613" s="74"/>
      <c r="AF4613" s="77"/>
      <c r="AH4613" s="497">
        <v>75.2</v>
      </c>
      <c r="AJ4613" s="42"/>
      <c r="AK4613" s="74"/>
      <c r="AL4613" s="77"/>
      <c r="AN4613" s="497">
        <v>62.06</v>
      </c>
      <c r="AP4613" s="42"/>
      <c r="AQ4613" s="74"/>
      <c r="AR4613" s="77"/>
      <c r="AT4613" s="497">
        <v>73.400000000000006</v>
      </c>
      <c r="AV4613" s="42"/>
      <c r="AW4613" s="74"/>
      <c r="AX4613" s="77"/>
      <c r="BA4613" s="497">
        <v>73.94</v>
      </c>
      <c r="BB4613" s="42"/>
      <c r="BC4613" s="74"/>
      <c r="BD4613" s="77"/>
      <c r="BF4613">
        <v>77</v>
      </c>
      <c r="BH4613" s="42"/>
      <c r="BI4613" s="74"/>
      <c r="BJ4613" s="77"/>
      <c r="BL4613" s="497">
        <v>78.080000000000013</v>
      </c>
      <c r="BN4613" s="42"/>
      <c r="BO4613" s="74"/>
      <c r="BP4613" s="77"/>
      <c r="BR4613" s="497">
        <v>73.039999999999992</v>
      </c>
      <c r="BT4613" s="42"/>
    </row>
    <row r="4614" spans="1:72" x14ac:dyDescent="0.25">
      <c r="A4614" s="90">
        <v>34526</v>
      </c>
      <c r="B4614" s="20">
        <v>0.5</v>
      </c>
      <c r="D4614">
        <v>78.98</v>
      </c>
      <c r="E4614" t="str">
        <f t="shared" si="178"/>
        <v>WEEKDAY</v>
      </c>
      <c r="F4614" t="e">
        <f t="shared" si="179"/>
        <v>#N/A</v>
      </c>
      <c r="G4614" s="74">
        <v>31969</v>
      </c>
      <c r="H4614" s="77">
        <v>0.5</v>
      </c>
      <c r="J4614">
        <v>89.06</v>
      </c>
      <c r="M4614" s="74">
        <v>33430</v>
      </c>
      <c r="N4614" s="77">
        <v>0.5</v>
      </c>
      <c r="P4614">
        <v>82.039999999999992</v>
      </c>
      <c r="S4614" s="74">
        <v>34526</v>
      </c>
      <c r="T4614" s="77">
        <v>0.5</v>
      </c>
      <c r="V4614">
        <v>80.960000000000008</v>
      </c>
      <c r="X4614" s="42"/>
      <c r="AB4614">
        <v>80.900000000000006</v>
      </c>
      <c r="AC4614">
        <v>78.98</v>
      </c>
      <c r="AE4614" s="74"/>
      <c r="AF4614" s="77"/>
      <c r="AH4614" s="497">
        <v>73.400000000000006</v>
      </c>
      <c r="AJ4614" s="42"/>
      <c r="AK4614" s="74"/>
      <c r="AL4614" s="77"/>
      <c r="AN4614" s="497">
        <v>62.96</v>
      </c>
      <c r="AP4614" s="42"/>
      <c r="AQ4614" s="74"/>
      <c r="AR4614" s="77"/>
      <c r="AT4614" s="497">
        <v>75.740000000000009</v>
      </c>
      <c r="AV4614" s="42"/>
      <c r="AW4614" s="74"/>
      <c r="AX4614" s="77"/>
      <c r="BA4614" s="497">
        <v>77</v>
      </c>
      <c r="BB4614" s="42"/>
      <c r="BC4614" s="74"/>
      <c r="BD4614" s="77"/>
      <c r="BF4614">
        <v>78.080000000000013</v>
      </c>
      <c r="BH4614" s="42"/>
      <c r="BI4614" s="74"/>
      <c r="BJ4614" s="77"/>
      <c r="BL4614" s="497">
        <v>78.080000000000013</v>
      </c>
      <c r="BN4614" s="42"/>
      <c r="BO4614" s="74"/>
      <c r="BP4614" s="77"/>
      <c r="BR4614" s="497">
        <v>73.94</v>
      </c>
      <c r="BT4614" s="42"/>
    </row>
    <row r="4615" spans="1:72" x14ac:dyDescent="0.25">
      <c r="A4615" s="90">
        <v>34526</v>
      </c>
      <c r="B4615" s="20">
        <v>0.54166666666666663</v>
      </c>
      <c r="D4615">
        <v>78.98</v>
      </c>
      <c r="E4615" t="str">
        <f t="shared" si="178"/>
        <v>WEEKDAY</v>
      </c>
      <c r="F4615" t="e">
        <f t="shared" si="179"/>
        <v>#N/A</v>
      </c>
      <c r="G4615" s="74">
        <v>31969</v>
      </c>
      <c r="H4615" s="77">
        <v>0.54166666666666663</v>
      </c>
      <c r="J4615">
        <v>91.039999999999992</v>
      </c>
      <c r="M4615" s="74">
        <v>33430</v>
      </c>
      <c r="N4615" s="77">
        <v>0.54166666666666663</v>
      </c>
      <c r="P4615">
        <v>84.02</v>
      </c>
      <c r="S4615" s="74">
        <v>34526</v>
      </c>
      <c r="T4615" s="77">
        <v>0.54166666666666663</v>
      </c>
      <c r="V4615">
        <v>82.039999999999992</v>
      </c>
      <c r="X4615" s="42"/>
      <c r="AB4615">
        <v>81.599999999999994</v>
      </c>
      <c r="AC4615">
        <v>78.98</v>
      </c>
      <c r="AE4615" s="74"/>
      <c r="AF4615" s="77"/>
      <c r="AH4615" s="497">
        <v>77</v>
      </c>
      <c r="AJ4615" s="42"/>
      <c r="AK4615" s="74"/>
      <c r="AL4615" s="77"/>
      <c r="AN4615" s="497">
        <v>64.039999999999992</v>
      </c>
      <c r="AP4615" s="42"/>
      <c r="AQ4615" s="74"/>
      <c r="AR4615" s="77"/>
      <c r="AT4615" s="497">
        <v>78.080000000000013</v>
      </c>
      <c r="AV4615" s="42"/>
      <c r="AW4615" s="74"/>
      <c r="AX4615" s="77"/>
      <c r="BA4615" s="497">
        <v>77</v>
      </c>
      <c r="BB4615" s="42"/>
      <c r="BC4615" s="74"/>
      <c r="BD4615" s="77"/>
      <c r="BF4615">
        <v>80.960000000000008</v>
      </c>
      <c r="BH4615" s="42"/>
      <c r="BI4615" s="74"/>
      <c r="BJ4615" s="77"/>
      <c r="BL4615" s="497">
        <v>80.960000000000008</v>
      </c>
      <c r="BN4615" s="42"/>
      <c r="BO4615" s="74"/>
      <c r="BP4615" s="77"/>
      <c r="BR4615" s="497">
        <v>75.02</v>
      </c>
      <c r="BT4615" s="42"/>
    </row>
    <row r="4616" spans="1:72" x14ac:dyDescent="0.25">
      <c r="A4616" s="90">
        <v>34526</v>
      </c>
      <c r="B4616" s="20">
        <v>0.58333333333333337</v>
      </c>
      <c r="D4616">
        <v>80.960000000000008</v>
      </c>
      <c r="E4616" t="str">
        <f t="shared" si="178"/>
        <v>WEEKDAY</v>
      </c>
      <c r="F4616" t="e">
        <f t="shared" si="179"/>
        <v>#N/A</v>
      </c>
      <c r="G4616" s="74">
        <v>31969</v>
      </c>
      <c r="H4616" s="77">
        <v>0.58333333333333337</v>
      </c>
      <c r="J4616">
        <v>89.06</v>
      </c>
      <c r="M4616" s="74">
        <v>33430</v>
      </c>
      <c r="N4616" s="77">
        <v>0.58333333333333337</v>
      </c>
      <c r="P4616">
        <v>84.92</v>
      </c>
      <c r="S4616" s="74">
        <v>34526</v>
      </c>
      <c r="T4616" s="77">
        <v>0.58333333333333337</v>
      </c>
      <c r="V4616">
        <v>84.02</v>
      </c>
      <c r="X4616" s="42"/>
      <c r="AB4616">
        <v>82.1</v>
      </c>
      <c r="AC4616">
        <v>80.960000000000008</v>
      </c>
      <c r="AE4616" s="74"/>
      <c r="AF4616" s="77"/>
      <c r="AH4616" s="497">
        <v>77</v>
      </c>
      <c r="AJ4616" s="42"/>
      <c r="AK4616" s="74"/>
      <c r="AL4616" s="77"/>
      <c r="AN4616" s="497">
        <v>64.94</v>
      </c>
      <c r="AP4616" s="42"/>
      <c r="AQ4616" s="74"/>
      <c r="AR4616" s="77"/>
      <c r="AT4616" s="497">
        <v>77.72</v>
      </c>
      <c r="AV4616" s="42"/>
      <c r="AW4616" s="74"/>
      <c r="AX4616" s="77"/>
      <c r="BA4616" s="497">
        <v>77</v>
      </c>
      <c r="BB4616" s="42"/>
      <c r="BC4616" s="74"/>
      <c r="BD4616" s="77"/>
      <c r="BF4616">
        <v>80.960000000000008</v>
      </c>
      <c r="BH4616" s="42"/>
      <c r="BI4616" s="74"/>
      <c r="BJ4616" s="77"/>
      <c r="BL4616" s="497">
        <v>77</v>
      </c>
      <c r="BN4616" s="42"/>
      <c r="BO4616" s="74"/>
      <c r="BP4616" s="77"/>
      <c r="BR4616" s="497">
        <v>75.02</v>
      </c>
      <c r="BT4616" s="42"/>
    </row>
    <row r="4617" spans="1:72" x14ac:dyDescent="0.25">
      <c r="A4617" s="90">
        <v>34526</v>
      </c>
      <c r="B4617" s="20">
        <v>0.625</v>
      </c>
      <c r="D4617">
        <v>80.960000000000008</v>
      </c>
      <c r="E4617" t="str">
        <f t="shared" si="178"/>
        <v>WEEKDAY</v>
      </c>
      <c r="F4617" t="e">
        <f t="shared" si="179"/>
        <v>#N/A</v>
      </c>
      <c r="G4617" s="74">
        <v>31969</v>
      </c>
      <c r="H4617" s="77">
        <v>0.625</v>
      </c>
      <c r="J4617">
        <v>89.06</v>
      </c>
      <c r="M4617" s="74">
        <v>33430</v>
      </c>
      <c r="N4617" s="77">
        <v>0.625</v>
      </c>
      <c r="P4617">
        <v>84.92</v>
      </c>
      <c r="S4617" s="74">
        <v>34526</v>
      </c>
      <c r="T4617" s="77">
        <v>0.625</v>
      </c>
      <c r="V4617">
        <v>82.94</v>
      </c>
      <c r="X4617" s="42"/>
      <c r="AB4617">
        <v>82</v>
      </c>
      <c r="AC4617">
        <v>82.039999999999992</v>
      </c>
      <c r="AE4617" s="74"/>
      <c r="AF4617" s="77"/>
      <c r="AH4617" s="497">
        <v>78.800000000000011</v>
      </c>
      <c r="AJ4617" s="42"/>
      <c r="AK4617" s="74"/>
      <c r="AL4617" s="77"/>
      <c r="AN4617" s="497">
        <v>64.94</v>
      </c>
      <c r="AP4617" s="42"/>
      <c r="AQ4617" s="74"/>
      <c r="AR4617" s="77"/>
      <c r="AT4617" s="497">
        <v>77.36</v>
      </c>
      <c r="AV4617" s="42"/>
      <c r="AW4617" s="74"/>
      <c r="AX4617" s="77"/>
      <c r="BA4617" s="497">
        <v>75.02</v>
      </c>
      <c r="BB4617" s="42"/>
      <c r="BC4617" s="74"/>
      <c r="BD4617" s="77"/>
      <c r="BF4617">
        <v>80.06</v>
      </c>
      <c r="BH4617" s="42"/>
      <c r="BI4617" s="74"/>
      <c r="BJ4617" s="77"/>
      <c r="BL4617" s="497">
        <v>78.080000000000013</v>
      </c>
      <c r="BN4617" s="42"/>
      <c r="BO4617" s="74"/>
      <c r="BP4617" s="77"/>
      <c r="BR4617" s="497">
        <v>75.92</v>
      </c>
      <c r="BT4617" s="42"/>
    </row>
    <row r="4618" spans="1:72" x14ac:dyDescent="0.25">
      <c r="A4618" s="90">
        <v>34526</v>
      </c>
      <c r="B4618" s="20">
        <v>0.66666666666666663</v>
      </c>
      <c r="D4618">
        <v>82.039999999999992</v>
      </c>
      <c r="E4618" t="str">
        <f t="shared" si="178"/>
        <v>WEEKDAY</v>
      </c>
      <c r="F4618" t="e">
        <f t="shared" si="179"/>
        <v>#N/A</v>
      </c>
      <c r="G4618" s="74">
        <v>31969</v>
      </c>
      <c r="H4618" s="77">
        <v>0.66666666666666663</v>
      </c>
      <c r="J4618">
        <v>89.960000000000008</v>
      </c>
      <c r="M4618" s="74">
        <v>33430</v>
      </c>
      <c r="N4618" s="77">
        <v>0.66666666666666663</v>
      </c>
      <c r="P4618">
        <v>84.92</v>
      </c>
      <c r="S4618" s="74">
        <v>34526</v>
      </c>
      <c r="T4618" s="77">
        <v>0.66666666666666663</v>
      </c>
      <c r="V4618">
        <v>82.94</v>
      </c>
      <c r="X4618" s="42"/>
      <c r="AB4618">
        <v>81.5</v>
      </c>
      <c r="AC4618">
        <v>80.960000000000008</v>
      </c>
      <c r="AE4618" s="74"/>
      <c r="AF4618" s="77"/>
      <c r="AH4618" s="497">
        <v>78.800000000000011</v>
      </c>
      <c r="AJ4618" s="42"/>
      <c r="AK4618" s="74"/>
      <c r="AL4618" s="77"/>
      <c r="AN4618" s="497">
        <v>64.94</v>
      </c>
      <c r="AP4618" s="42"/>
      <c r="AQ4618" s="74"/>
      <c r="AR4618" s="77"/>
      <c r="AT4618" s="497">
        <v>77</v>
      </c>
      <c r="AV4618" s="42"/>
      <c r="AW4618" s="74"/>
      <c r="AX4618" s="77"/>
      <c r="BA4618" s="497">
        <v>75.02</v>
      </c>
      <c r="BB4618" s="42"/>
      <c r="BC4618" s="74"/>
      <c r="BD4618" s="77"/>
      <c r="BF4618">
        <v>77</v>
      </c>
      <c r="BH4618" s="42"/>
      <c r="BI4618" s="74"/>
      <c r="BJ4618" s="77"/>
      <c r="BL4618" s="497">
        <v>78.080000000000013</v>
      </c>
      <c r="BN4618" s="42"/>
      <c r="BO4618" s="74"/>
      <c r="BP4618" s="77"/>
      <c r="BR4618" s="497">
        <v>75.92</v>
      </c>
      <c r="BT4618" s="42"/>
    </row>
    <row r="4619" spans="1:72" x14ac:dyDescent="0.25">
      <c r="A4619" s="90">
        <v>34526</v>
      </c>
      <c r="B4619" s="20">
        <v>0.70833333333333337</v>
      </c>
      <c r="D4619">
        <v>82.039999999999992</v>
      </c>
      <c r="E4619" t="str">
        <f t="shared" si="178"/>
        <v>WEEKDAY</v>
      </c>
      <c r="F4619" t="e">
        <f t="shared" si="179"/>
        <v>#N/A</v>
      </c>
      <c r="G4619" s="74">
        <v>31969</v>
      </c>
      <c r="H4619" s="77">
        <v>0.70833333333333337</v>
      </c>
      <c r="J4619">
        <v>89.06</v>
      </c>
      <c r="M4619" s="74">
        <v>33430</v>
      </c>
      <c r="N4619" s="77">
        <v>0.70833333333333337</v>
      </c>
      <c r="P4619">
        <v>84.02</v>
      </c>
      <c r="S4619" s="74">
        <v>34526</v>
      </c>
      <c r="T4619" s="77">
        <v>0.70833333333333337</v>
      </c>
      <c r="V4619">
        <v>82.94</v>
      </c>
      <c r="X4619" s="42"/>
      <c r="AB4619">
        <v>80.599999999999994</v>
      </c>
      <c r="AC4619">
        <v>82.039999999999992</v>
      </c>
      <c r="AE4619" s="74"/>
      <c r="AF4619" s="77"/>
      <c r="AH4619" s="497">
        <v>77</v>
      </c>
      <c r="AJ4619" s="42"/>
      <c r="AK4619" s="74"/>
      <c r="AL4619" s="77"/>
      <c r="AN4619" s="497">
        <v>64.039999999999992</v>
      </c>
      <c r="AP4619" s="42"/>
      <c r="AQ4619" s="74"/>
      <c r="AR4619" s="77"/>
      <c r="AT4619" s="497">
        <v>76.28</v>
      </c>
      <c r="AV4619" s="42"/>
      <c r="AW4619" s="74"/>
      <c r="AX4619" s="77"/>
      <c r="BA4619" s="497">
        <v>73.94</v>
      </c>
      <c r="BB4619" s="42"/>
      <c r="BC4619" s="74"/>
      <c r="BD4619" s="77"/>
      <c r="BF4619">
        <v>78.080000000000013</v>
      </c>
      <c r="BH4619" s="42"/>
      <c r="BI4619" s="74"/>
      <c r="BJ4619" s="77"/>
      <c r="BL4619" s="497">
        <v>73.94</v>
      </c>
      <c r="BN4619" s="42"/>
      <c r="BO4619" s="74"/>
      <c r="BP4619" s="77"/>
      <c r="BR4619" s="497">
        <v>75.92</v>
      </c>
      <c r="BT4619" s="42"/>
    </row>
    <row r="4620" spans="1:72" x14ac:dyDescent="0.25">
      <c r="A4620" s="90">
        <v>34526</v>
      </c>
      <c r="B4620" s="20">
        <v>0.75</v>
      </c>
      <c r="D4620">
        <v>82.039999999999992</v>
      </c>
      <c r="E4620" t="str">
        <f t="shared" si="178"/>
        <v>WEEKDAY</v>
      </c>
      <c r="F4620" t="e">
        <f t="shared" si="179"/>
        <v>#N/A</v>
      </c>
      <c r="G4620" s="74">
        <v>31969</v>
      </c>
      <c r="H4620" s="77">
        <v>0.75</v>
      </c>
      <c r="J4620">
        <v>87.080000000000013</v>
      </c>
      <c r="M4620" s="74">
        <v>33430</v>
      </c>
      <c r="N4620" s="77">
        <v>0.75</v>
      </c>
      <c r="P4620">
        <v>82.039999999999992</v>
      </c>
      <c r="S4620" s="74">
        <v>34526</v>
      </c>
      <c r="T4620" s="77">
        <v>0.75</v>
      </c>
      <c r="V4620">
        <v>80.960000000000008</v>
      </c>
      <c r="X4620" s="42"/>
      <c r="AB4620">
        <v>79.5</v>
      </c>
      <c r="AC4620">
        <v>80.960000000000008</v>
      </c>
      <c r="AE4620" s="74"/>
      <c r="AF4620" s="77"/>
      <c r="AH4620" s="497">
        <v>77</v>
      </c>
      <c r="AJ4620" s="42"/>
      <c r="AK4620" s="74"/>
      <c r="AL4620" s="77"/>
      <c r="AN4620" s="497">
        <v>62.96</v>
      </c>
      <c r="AP4620" s="42"/>
      <c r="AQ4620" s="74"/>
      <c r="AR4620" s="77"/>
      <c r="AT4620" s="497">
        <v>75.740000000000009</v>
      </c>
      <c r="AV4620" s="42"/>
      <c r="AW4620" s="74"/>
      <c r="AX4620" s="77"/>
      <c r="BA4620" s="497">
        <v>73.039999999999992</v>
      </c>
      <c r="BB4620" s="42"/>
      <c r="BC4620" s="74"/>
      <c r="BD4620" s="77"/>
      <c r="BF4620">
        <v>82.94</v>
      </c>
      <c r="BH4620" s="42"/>
      <c r="BI4620" s="74"/>
      <c r="BJ4620" s="77"/>
      <c r="BL4620" s="497">
        <v>75.02</v>
      </c>
      <c r="BN4620" s="42"/>
      <c r="BO4620" s="74"/>
      <c r="BP4620" s="77"/>
      <c r="BR4620" s="497">
        <v>75.92</v>
      </c>
      <c r="BT4620" s="42"/>
    </row>
    <row r="4621" spans="1:72" x14ac:dyDescent="0.25">
      <c r="A4621" s="90">
        <v>34526</v>
      </c>
      <c r="B4621" s="20">
        <v>0.79166666666666663</v>
      </c>
      <c r="D4621">
        <v>80.06</v>
      </c>
      <c r="E4621" t="str">
        <f t="shared" si="178"/>
        <v>WEEKDAY</v>
      </c>
      <c r="F4621" t="e">
        <f t="shared" si="179"/>
        <v>#N/A</v>
      </c>
      <c r="G4621" s="74">
        <v>31969</v>
      </c>
      <c r="H4621" s="77">
        <v>0.79166666666666663</v>
      </c>
      <c r="J4621">
        <v>80.960000000000008</v>
      </c>
      <c r="M4621" s="74">
        <v>33430</v>
      </c>
      <c r="N4621" s="77">
        <v>0.79166666666666663</v>
      </c>
      <c r="P4621">
        <v>78.98</v>
      </c>
      <c r="S4621" s="74">
        <v>34526</v>
      </c>
      <c r="T4621" s="77">
        <v>0.79166666666666663</v>
      </c>
      <c r="V4621">
        <v>75.92</v>
      </c>
      <c r="X4621" s="42"/>
      <c r="AB4621">
        <v>78.3</v>
      </c>
      <c r="AC4621">
        <v>78.98</v>
      </c>
      <c r="AE4621" s="74"/>
      <c r="AF4621" s="77"/>
      <c r="AH4621" s="497">
        <v>75.2</v>
      </c>
      <c r="AJ4621" s="42"/>
      <c r="AK4621" s="74"/>
      <c r="AL4621" s="77"/>
      <c r="AN4621" s="497">
        <v>62.06</v>
      </c>
      <c r="AP4621" s="42"/>
      <c r="AQ4621" s="74"/>
      <c r="AR4621" s="77"/>
      <c r="AT4621" s="497">
        <v>75.02</v>
      </c>
      <c r="AV4621" s="42"/>
      <c r="AW4621" s="74"/>
      <c r="AX4621" s="77"/>
      <c r="BA4621" s="497">
        <v>71.06</v>
      </c>
      <c r="BB4621" s="42"/>
      <c r="BC4621" s="74"/>
      <c r="BD4621" s="77"/>
      <c r="BF4621">
        <v>80.960000000000008</v>
      </c>
      <c r="BH4621" s="42"/>
      <c r="BI4621" s="74"/>
      <c r="BJ4621" s="77"/>
      <c r="BL4621" s="497">
        <v>73.94</v>
      </c>
      <c r="BN4621" s="42"/>
      <c r="BO4621" s="74"/>
      <c r="BP4621" s="77"/>
      <c r="BR4621" s="497">
        <v>66.02</v>
      </c>
      <c r="BT4621" s="42"/>
    </row>
    <row r="4622" spans="1:72" x14ac:dyDescent="0.25">
      <c r="A4622" s="90">
        <v>34526</v>
      </c>
      <c r="B4622" s="20">
        <v>0.83333333333333337</v>
      </c>
      <c r="D4622">
        <v>78.98</v>
      </c>
      <c r="E4622" t="str">
        <f t="shared" si="178"/>
        <v>WEEKDAY</v>
      </c>
      <c r="F4622" t="e">
        <f t="shared" si="179"/>
        <v>#N/A</v>
      </c>
      <c r="G4622" s="74">
        <v>31969</v>
      </c>
      <c r="H4622" s="77">
        <v>0.83333333333333337</v>
      </c>
      <c r="J4622">
        <v>78.98</v>
      </c>
      <c r="M4622" s="74">
        <v>33430</v>
      </c>
      <c r="N4622" s="77">
        <v>0.83333333333333337</v>
      </c>
      <c r="P4622">
        <v>73.94</v>
      </c>
      <c r="S4622" s="74">
        <v>34526</v>
      </c>
      <c r="T4622" s="77">
        <v>0.83333333333333337</v>
      </c>
      <c r="V4622">
        <v>73.039999999999992</v>
      </c>
      <c r="X4622" s="42"/>
      <c r="AB4622">
        <v>76.8</v>
      </c>
      <c r="AC4622">
        <v>75.92</v>
      </c>
      <c r="AE4622" s="74"/>
      <c r="AF4622" s="77"/>
      <c r="AH4622" s="497">
        <v>75.2</v>
      </c>
      <c r="AJ4622" s="42"/>
      <c r="AK4622" s="74"/>
      <c r="AL4622" s="77"/>
      <c r="AN4622" s="497">
        <v>57.92</v>
      </c>
      <c r="AP4622" s="42"/>
      <c r="AQ4622" s="74"/>
      <c r="AR4622" s="77"/>
      <c r="AT4622" s="497">
        <v>71.960000000000008</v>
      </c>
      <c r="AV4622" s="42"/>
      <c r="AW4622" s="74"/>
      <c r="AX4622" s="77"/>
      <c r="BA4622" s="497">
        <v>66.02</v>
      </c>
      <c r="BB4622" s="42"/>
      <c r="BC4622" s="74"/>
      <c r="BD4622" s="77"/>
      <c r="BF4622">
        <v>73.94</v>
      </c>
      <c r="BH4622" s="42"/>
      <c r="BI4622" s="74"/>
      <c r="BJ4622" s="77"/>
      <c r="BL4622" s="497">
        <v>73.039999999999992</v>
      </c>
      <c r="BN4622" s="42"/>
      <c r="BO4622" s="74"/>
      <c r="BP4622" s="77"/>
      <c r="BR4622" s="497">
        <v>62.96</v>
      </c>
      <c r="BT4622" s="42"/>
    </row>
    <row r="4623" spans="1:72" x14ac:dyDescent="0.25">
      <c r="A4623" s="90">
        <v>34526</v>
      </c>
      <c r="B4623" s="20">
        <v>0.875</v>
      </c>
      <c r="D4623">
        <v>77</v>
      </c>
      <c r="E4623" t="str">
        <f t="shared" si="178"/>
        <v>WEEKDAY</v>
      </c>
      <c r="F4623" t="e">
        <f t="shared" si="179"/>
        <v>#N/A</v>
      </c>
      <c r="G4623" s="74">
        <v>31969</v>
      </c>
      <c r="H4623" s="77">
        <v>0.875</v>
      </c>
      <c r="J4623">
        <v>78.98</v>
      </c>
      <c r="M4623" s="74">
        <v>33430</v>
      </c>
      <c r="N4623" s="77">
        <v>0.875</v>
      </c>
      <c r="P4623">
        <v>69.98</v>
      </c>
      <c r="S4623" s="74">
        <v>34526</v>
      </c>
      <c r="T4623" s="77">
        <v>0.875</v>
      </c>
      <c r="V4623">
        <v>73.039999999999992</v>
      </c>
      <c r="X4623" s="42"/>
      <c r="AB4623">
        <v>75.5</v>
      </c>
      <c r="AC4623">
        <v>71.960000000000008</v>
      </c>
      <c r="AE4623" s="74"/>
      <c r="AF4623" s="77"/>
      <c r="AH4623" s="497">
        <v>62.6</v>
      </c>
      <c r="AJ4623" s="42"/>
      <c r="AK4623" s="74"/>
      <c r="AL4623" s="77"/>
      <c r="AN4623" s="497">
        <v>57.019999999999996</v>
      </c>
      <c r="AP4623" s="42"/>
      <c r="AQ4623" s="74"/>
      <c r="AR4623" s="77"/>
      <c r="AT4623" s="497">
        <v>69.080000000000013</v>
      </c>
      <c r="AV4623" s="42"/>
      <c r="AW4623" s="74"/>
      <c r="AX4623" s="77"/>
      <c r="BA4623" s="497">
        <v>62.96</v>
      </c>
      <c r="BB4623" s="42"/>
      <c r="BC4623" s="74"/>
      <c r="BD4623" s="77"/>
      <c r="BF4623">
        <v>69.98</v>
      </c>
      <c r="BH4623" s="42"/>
      <c r="BI4623" s="74"/>
      <c r="BJ4623" s="77"/>
      <c r="BL4623" s="497">
        <v>71.960000000000008</v>
      </c>
      <c r="BN4623" s="42"/>
      <c r="BO4623" s="74"/>
      <c r="BP4623" s="77"/>
      <c r="BR4623" s="497">
        <v>60.980000000000004</v>
      </c>
      <c r="BT4623" s="42"/>
    </row>
    <row r="4624" spans="1:72" x14ac:dyDescent="0.25">
      <c r="A4624" s="90">
        <v>34526</v>
      </c>
      <c r="B4624" s="20">
        <v>0.91666666666666663</v>
      </c>
      <c r="D4624">
        <v>75.92</v>
      </c>
      <c r="E4624" t="str">
        <f t="shared" si="178"/>
        <v>WEEKDAY</v>
      </c>
      <c r="F4624" t="e">
        <f t="shared" si="179"/>
        <v>#N/A</v>
      </c>
      <c r="G4624" s="74">
        <v>31969</v>
      </c>
      <c r="H4624" s="77">
        <v>0.91666666666666663</v>
      </c>
      <c r="J4624">
        <v>78.080000000000013</v>
      </c>
      <c r="M4624" s="74">
        <v>33430</v>
      </c>
      <c r="N4624" s="77">
        <v>0.91666666666666663</v>
      </c>
      <c r="P4624">
        <v>64.94</v>
      </c>
      <c r="S4624" s="74">
        <v>34526</v>
      </c>
      <c r="T4624" s="77">
        <v>0.91666666666666663</v>
      </c>
      <c r="V4624">
        <v>73.039999999999992</v>
      </c>
      <c r="X4624" s="42"/>
      <c r="AB4624">
        <v>74.900000000000006</v>
      </c>
      <c r="AC4624">
        <v>69.98</v>
      </c>
      <c r="AE4624" s="74"/>
      <c r="AF4624" s="77"/>
      <c r="AH4624" s="497">
        <v>59</v>
      </c>
      <c r="AJ4624" s="42"/>
      <c r="AK4624" s="74"/>
      <c r="AL4624" s="77"/>
      <c r="AN4624" s="497">
        <v>55.94</v>
      </c>
      <c r="AP4624" s="42"/>
      <c r="AQ4624" s="74"/>
      <c r="AR4624" s="77"/>
      <c r="AT4624" s="497">
        <v>66.02</v>
      </c>
      <c r="AV4624" s="42"/>
      <c r="AW4624" s="74"/>
      <c r="AX4624" s="77"/>
      <c r="BA4624" s="497">
        <v>62.06</v>
      </c>
      <c r="BB4624" s="42"/>
      <c r="BC4624" s="74"/>
      <c r="BD4624" s="77"/>
      <c r="BF4624">
        <v>68</v>
      </c>
      <c r="BH4624" s="42"/>
      <c r="BI4624" s="74"/>
      <c r="BJ4624" s="77"/>
      <c r="BL4624" s="497">
        <v>69.98</v>
      </c>
      <c r="BN4624" s="42"/>
      <c r="BO4624" s="74"/>
      <c r="BP4624" s="77"/>
      <c r="BR4624" s="497">
        <v>55.94</v>
      </c>
      <c r="BT4624" s="42"/>
    </row>
    <row r="4625" spans="1:72" x14ac:dyDescent="0.25">
      <c r="A4625" s="90">
        <v>34526</v>
      </c>
      <c r="B4625" s="20">
        <v>0.95833333333333337</v>
      </c>
      <c r="D4625">
        <v>75.02</v>
      </c>
      <c r="E4625" t="str">
        <f t="shared" si="178"/>
        <v>WEEKDAY</v>
      </c>
      <c r="F4625" t="e">
        <f t="shared" si="179"/>
        <v>#N/A</v>
      </c>
      <c r="G4625" s="74">
        <v>31969</v>
      </c>
      <c r="H4625" s="77">
        <v>0.95833333333333337</v>
      </c>
      <c r="J4625">
        <v>77</v>
      </c>
      <c r="M4625" s="74">
        <v>33430</v>
      </c>
      <c r="N4625" s="77">
        <v>0.95833333333333337</v>
      </c>
      <c r="P4625">
        <v>62.96</v>
      </c>
      <c r="S4625" s="74">
        <v>34526</v>
      </c>
      <c r="T4625" s="77">
        <v>0.95833333333333337</v>
      </c>
      <c r="V4625">
        <v>71.06</v>
      </c>
      <c r="X4625" s="42"/>
      <c r="AB4625">
        <v>74.3</v>
      </c>
      <c r="AC4625">
        <v>69.080000000000013</v>
      </c>
      <c r="AE4625" s="74"/>
      <c r="AF4625" s="77"/>
      <c r="AH4625" s="497">
        <v>57.2</v>
      </c>
      <c r="AJ4625" s="42"/>
      <c r="AK4625" s="74"/>
      <c r="AL4625" s="77"/>
      <c r="AN4625" s="497">
        <v>55.040000000000006</v>
      </c>
      <c r="AP4625" s="42"/>
      <c r="AQ4625" s="74"/>
      <c r="AR4625" s="77"/>
      <c r="AT4625" s="497">
        <v>65.300000000000011</v>
      </c>
      <c r="AV4625" s="42"/>
      <c r="AW4625" s="74"/>
      <c r="AX4625" s="77"/>
      <c r="BA4625" s="497">
        <v>62.96</v>
      </c>
      <c r="BB4625" s="42"/>
      <c r="BC4625" s="74"/>
      <c r="BD4625" s="77"/>
      <c r="BF4625">
        <v>64.94</v>
      </c>
      <c r="BH4625" s="42"/>
      <c r="BI4625" s="74"/>
      <c r="BJ4625" s="77"/>
      <c r="BL4625" s="497">
        <v>69.98</v>
      </c>
      <c r="BN4625" s="42"/>
      <c r="BO4625" s="74"/>
      <c r="BP4625" s="77"/>
      <c r="BR4625" s="497">
        <v>55.94</v>
      </c>
      <c r="BT4625" s="42"/>
    </row>
    <row r="4626" spans="1:72" x14ac:dyDescent="0.25">
      <c r="A4626" s="90">
        <v>34526</v>
      </c>
      <c r="B4626" s="20">
        <v>1</v>
      </c>
      <c r="D4626">
        <v>75.02</v>
      </c>
      <c r="E4626" t="str">
        <f t="shared" si="178"/>
        <v>WEEKDAY</v>
      </c>
      <c r="F4626" t="e">
        <f t="shared" si="179"/>
        <v>#N/A</v>
      </c>
      <c r="G4626" s="74">
        <v>31969</v>
      </c>
      <c r="H4626" s="77">
        <v>1</v>
      </c>
      <c r="J4626">
        <v>77</v>
      </c>
      <c r="M4626" s="74">
        <v>33430</v>
      </c>
      <c r="N4626" s="80">
        <v>1</v>
      </c>
      <c r="P4626">
        <v>60.980000000000004</v>
      </c>
      <c r="S4626" s="74">
        <v>34526</v>
      </c>
      <c r="T4626" s="80">
        <v>1</v>
      </c>
      <c r="V4626">
        <v>69.98</v>
      </c>
      <c r="X4626" s="42"/>
      <c r="AB4626">
        <v>73.8</v>
      </c>
      <c r="AC4626">
        <v>68</v>
      </c>
      <c r="AE4626" s="74"/>
      <c r="AF4626" s="80"/>
      <c r="AH4626" s="497">
        <v>57.2</v>
      </c>
      <c r="AJ4626" s="42"/>
      <c r="AK4626" s="74"/>
      <c r="AL4626" s="80"/>
      <c r="AN4626" s="497">
        <v>51.980000000000004</v>
      </c>
      <c r="AP4626" s="42"/>
      <c r="AQ4626" s="74"/>
      <c r="AR4626" s="80"/>
      <c r="AT4626" s="497">
        <v>64.759999999999991</v>
      </c>
      <c r="AV4626" s="42"/>
      <c r="AW4626" s="74"/>
      <c r="AX4626" s="80"/>
      <c r="BA4626" s="497">
        <v>62.96</v>
      </c>
      <c r="BB4626" s="42"/>
      <c r="BC4626" s="74"/>
      <c r="BD4626" s="80"/>
      <c r="BF4626">
        <v>64.039999999999992</v>
      </c>
      <c r="BH4626" s="42"/>
      <c r="BI4626" s="74"/>
      <c r="BJ4626" s="80"/>
      <c r="BL4626" s="497">
        <v>69.98</v>
      </c>
      <c r="BN4626" s="42"/>
      <c r="BO4626" s="74"/>
      <c r="BP4626" s="80"/>
      <c r="BR4626" s="497">
        <v>53.96</v>
      </c>
      <c r="BT4626" s="42"/>
    </row>
    <row r="4627" spans="1:72" x14ac:dyDescent="0.25">
      <c r="A4627" s="90">
        <v>34527</v>
      </c>
      <c r="B4627" s="20">
        <v>4.1666666666666664E-2</v>
      </c>
      <c r="D4627">
        <v>73.94</v>
      </c>
      <c r="E4627" t="str">
        <f t="shared" ref="E4627:E4690" si="180">IF(COUNTIF($DI$18:$DI$22, WEEKDAY(A4627))=1, "WEEKDAY", IF(WEEKDAY(A4627) = 1, "SUNDAY", "SATURDAY"))</f>
        <v>WEEKDAY</v>
      </c>
      <c r="F4627" t="e">
        <f t="shared" si="179"/>
        <v>#N/A</v>
      </c>
      <c r="G4627" s="74">
        <v>31970</v>
      </c>
      <c r="H4627" s="77">
        <v>4.1666666666666664E-2</v>
      </c>
      <c r="J4627">
        <v>77</v>
      </c>
      <c r="M4627" s="74">
        <v>33431</v>
      </c>
      <c r="N4627" s="77">
        <v>4.1666666666666664E-2</v>
      </c>
      <c r="P4627">
        <v>60.980000000000004</v>
      </c>
      <c r="S4627" s="74">
        <v>34527</v>
      </c>
      <c r="T4627" s="77">
        <v>4.1666666666666664E-2</v>
      </c>
      <c r="V4627">
        <v>69.98</v>
      </c>
      <c r="X4627" s="42"/>
      <c r="AB4627">
        <v>73.099999999999994</v>
      </c>
      <c r="AC4627">
        <v>68</v>
      </c>
      <c r="AE4627" s="74"/>
      <c r="AF4627" s="77"/>
      <c r="AH4627" s="497">
        <v>55.400000000000006</v>
      </c>
      <c r="AJ4627" s="42"/>
      <c r="AK4627" s="74"/>
      <c r="AL4627" s="77"/>
      <c r="AN4627" s="497">
        <v>51.08</v>
      </c>
      <c r="AP4627" s="42"/>
      <c r="AQ4627" s="74"/>
      <c r="AR4627" s="77"/>
      <c r="AT4627" s="497">
        <v>64.039999999999992</v>
      </c>
      <c r="AV4627" s="42"/>
      <c r="AW4627" s="74"/>
      <c r="AX4627" s="77"/>
      <c r="BA4627" s="497">
        <v>62.96</v>
      </c>
      <c r="BB4627" s="42"/>
      <c r="BC4627" s="74"/>
      <c r="BD4627" s="77"/>
      <c r="BF4627">
        <v>62.06</v>
      </c>
      <c r="BH4627" s="42"/>
      <c r="BI4627" s="74"/>
      <c r="BJ4627" s="77"/>
      <c r="BL4627" s="497">
        <v>68</v>
      </c>
      <c r="BN4627" s="42"/>
      <c r="BO4627" s="74"/>
      <c r="BP4627" s="77"/>
      <c r="BR4627" s="497">
        <v>53.06</v>
      </c>
      <c r="BT4627" s="42"/>
    </row>
    <row r="4628" spans="1:72" x14ac:dyDescent="0.25">
      <c r="A4628" s="90">
        <v>34527</v>
      </c>
      <c r="B4628" s="20">
        <v>8.3333333333333329E-2</v>
      </c>
      <c r="D4628">
        <v>73.94</v>
      </c>
      <c r="E4628" t="str">
        <f t="shared" si="180"/>
        <v>WEEKDAY</v>
      </c>
      <c r="F4628" t="e">
        <f t="shared" si="179"/>
        <v>#N/A</v>
      </c>
      <c r="G4628" s="74">
        <v>31970</v>
      </c>
      <c r="H4628" s="77">
        <v>8.3333333333333329E-2</v>
      </c>
      <c r="J4628">
        <v>78.080000000000013</v>
      </c>
      <c r="M4628" s="74">
        <v>33431</v>
      </c>
      <c r="N4628" s="77">
        <v>8.3333333333333329E-2</v>
      </c>
      <c r="P4628">
        <v>60.980000000000004</v>
      </c>
      <c r="S4628" s="74">
        <v>34527</v>
      </c>
      <c r="T4628" s="77">
        <v>8.3333333333333329E-2</v>
      </c>
      <c r="V4628">
        <v>69.98</v>
      </c>
      <c r="X4628" s="42"/>
      <c r="AB4628">
        <v>72.5</v>
      </c>
      <c r="AC4628">
        <v>66.92</v>
      </c>
      <c r="AE4628" s="74"/>
      <c r="AF4628" s="77"/>
      <c r="AH4628" s="497">
        <v>55.400000000000006</v>
      </c>
      <c r="AJ4628" s="42"/>
      <c r="AK4628" s="74"/>
      <c r="AL4628" s="77"/>
      <c r="AN4628" s="497">
        <v>50</v>
      </c>
      <c r="AP4628" s="42"/>
      <c r="AQ4628" s="74"/>
      <c r="AR4628" s="77"/>
      <c r="AT4628" s="497">
        <v>64.039999999999992</v>
      </c>
      <c r="AV4628" s="42"/>
      <c r="AW4628" s="74"/>
      <c r="AX4628" s="77"/>
      <c r="BA4628" s="497">
        <v>62.96</v>
      </c>
      <c r="BB4628" s="42"/>
      <c r="BC4628" s="74"/>
      <c r="BD4628" s="77"/>
      <c r="BF4628">
        <v>60.08</v>
      </c>
      <c r="BH4628" s="42"/>
      <c r="BI4628" s="74"/>
      <c r="BJ4628" s="77"/>
      <c r="BL4628" s="497">
        <v>66.02</v>
      </c>
      <c r="BN4628" s="42"/>
      <c r="BO4628" s="74"/>
      <c r="BP4628" s="77"/>
      <c r="BR4628" s="497">
        <v>51.980000000000004</v>
      </c>
      <c r="BT4628" s="42"/>
    </row>
    <row r="4629" spans="1:72" x14ac:dyDescent="0.25">
      <c r="A4629" s="90">
        <v>34527</v>
      </c>
      <c r="B4629" s="20">
        <v>0.125</v>
      </c>
      <c r="D4629">
        <v>73.039999999999992</v>
      </c>
      <c r="E4629" t="str">
        <f t="shared" si="180"/>
        <v>WEEKDAY</v>
      </c>
      <c r="F4629" t="e">
        <f t="shared" si="179"/>
        <v>#N/A</v>
      </c>
      <c r="G4629" s="74">
        <v>31970</v>
      </c>
      <c r="H4629" s="77">
        <v>0.125</v>
      </c>
      <c r="J4629">
        <v>77</v>
      </c>
      <c r="M4629" s="74">
        <v>33431</v>
      </c>
      <c r="N4629" s="77">
        <v>0.125</v>
      </c>
      <c r="P4629">
        <v>60.08</v>
      </c>
      <c r="S4629" s="74">
        <v>34527</v>
      </c>
      <c r="T4629" s="77">
        <v>0.125</v>
      </c>
      <c r="V4629">
        <v>71.06</v>
      </c>
      <c r="X4629" s="42"/>
      <c r="AB4629">
        <v>72</v>
      </c>
      <c r="AC4629">
        <v>66.02</v>
      </c>
      <c r="AE4629" s="74"/>
      <c r="AF4629" s="77"/>
      <c r="AH4629" s="497">
        <v>55.400000000000006</v>
      </c>
      <c r="AJ4629" s="42"/>
      <c r="AK4629" s="74"/>
      <c r="AL4629" s="77"/>
      <c r="AN4629" s="497">
        <v>51.08</v>
      </c>
      <c r="AP4629" s="42"/>
      <c r="AQ4629" s="74"/>
      <c r="AR4629" s="77"/>
      <c r="AT4629" s="497">
        <v>64.039999999999992</v>
      </c>
      <c r="AV4629" s="42"/>
      <c r="AW4629" s="74"/>
      <c r="AX4629" s="77"/>
      <c r="BA4629" s="497">
        <v>60.980000000000004</v>
      </c>
      <c r="BB4629" s="42"/>
      <c r="BC4629" s="74"/>
      <c r="BD4629" s="77"/>
      <c r="BF4629">
        <v>57.019999999999996</v>
      </c>
      <c r="BH4629" s="42"/>
      <c r="BI4629" s="74"/>
      <c r="BJ4629" s="77"/>
      <c r="BL4629" s="497">
        <v>66.02</v>
      </c>
      <c r="BN4629" s="42"/>
      <c r="BO4629" s="74"/>
      <c r="BP4629" s="77"/>
      <c r="BR4629" s="497">
        <v>51.08</v>
      </c>
      <c r="BT4629" s="42"/>
    </row>
    <row r="4630" spans="1:72" x14ac:dyDescent="0.25">
      <c r="A4630" s="90">
        <v>34527</v>
      </c>
      <c r="B4630" s="20">
        <v>0.16666666666666666</v>
      </c>
      <c r="D4630">
        <v>73.039999999999992</v>
      </c>
      <c r="E4630" t="str">
        <f t="shared" si="180"/>
        <v>WEEKDAY</v>
      </c>
      <c r="F4630" t="e">
        <f t="shared" si="179"/>
        <v>#N/A</v>
      </c>
      <c r="G4630" s="74">
        <v>31970</v>
      </c>
      <c r="H4630" s="77">
        <v>0.16666666666666666</v>
      </c>
      <c r="J4630">
        <v>77</v>
      </c>
      <c r="M4630" s="74">
        <v>33431</v>
      </c>
      <c r="N4630" s="77">
        <v>0.16666666666666666</v>
      </c>
      <c r="P4630">
        <v>60.08</v>
      </c>
      <c r="S4630" s="74">
        <v>34527</v>
      </c>
      <c r="T4630" s="77">
        <v>0.16666666666666666</v>
      </c>
      <c r="V4630">
        <v>71.06</v>
      </c>
      <c r="X4630" s="42"/>
      <c r="AB4630">
        <v>71.5</v>
      </c>
      <c r="AC4630">
        <v>66.02</v>
      </c>
      <c r="AE4630" s="74"/>
      <c r="AF4630" s="77"/>
      <c r="AH4630" s="497">
        <v>53.6</v>
      </c>
      <c r="AJ4630" s="42"/>
      <c r="AK4630" s="74"/>
      <c r="AL4630" s="77"/>
      <c r="AN4630" s="497">
        <v>50</v>
      </c>
      <c r="AP4630" s="42"/>
      <c r="AQ4630" s="74"/>
      <c r="AR4630" s="77"/>
      <c r="AT4630" s="497">
        <v>64.039999999999992</v>
      </c>
      <c r="AV4630" s="42"/>
      <c r="AW4630" s="74"/>
      <c r="AX4630" s="77"/>
      <c r="BA4630" s="497">
        <v>62.06</v>
      </c>
      <c r="BB4630" s="42"/>
      <c r="BC4630" s="74"/>
      <c r="BD4630" s="77"/>
      <c r="BF4630">
        <v>55.94</v>
      </c>
      <c r="BH4630" s="42"/>
      <c r="BI4630" s="74"/>
      <c r="BJ4630" s="77"/>
      <c r="BL4630" s="497">
        <v>66.92</v>
      </c>
      <c r="BN4630" s="42"/>
      <c r="BO4630" s="74"/>
      <c r="BP4630" s="77"/>
      <c r="BR4630" s="497">
        <v>50</v>
      </c>
      <c r="BT4630" s="42"/>
    </row>
    <row r="4631" spans="1:72" x14ac:dyDescent="0.25">
      <c r="A4631" s="90">
        <v>34527</v>
      </c>
      <c r="B4631" s="20">
        <v>0.20833333333333334</v>
      </c>
      <c r="D4631">
        <v>71.960000000000008</v>
      </c>
      <c r="E4631" t="str">
        <f t="shared" si="180"/>
        <v>WEEKDAY</v>
      </c>
      <c r="F4631" t="e">
        <f t="shared" si="179"/>
        <v>#N/A</v>
      </c>
      <c r="G4631" s="74">
        <v>31970</v>
      </c>
      <c r="H4631" s="77">
        <v>0.20833333333333334</v>
      </c>
      <c r="J4631">
        <v>75.92</v>
      </c>
      <c r="M4631" s="74">
        <v>33431</v>
      </c>
      <c r="N4631" s="77">
        <v>0.20833333333333334</v>
      </c>
      <c r="P4631">
        <v>55.94</v>
      </c>
      <c r="S4631" s="74">
        <v>34527</v>
      </c>
      <c r="T4631" s="77">
        <v>0.20833333333333334</v>
      </c>
      <c r="V4631">
        <v>71.06</v>
      </c>
      <c r="X4631" s="42"/>
      <c r="AB4631">
        <v>71.099999999999994</v>
      </c>
      <c r="AC4631">
        <v>64.039999999999992</v>
      </c>
      <c r="AE4631" s="74"/>
      <c r="AF4631" s="77"/>
      <c r="AH4631" s="497">
        <v>53.6</v>
      </c>
      <c r="AJ4631" s="42"/>
      <c r="AK4631" s="74"/>
      <c r="AL4631" s="77"/>
      <c r="AN4631" s="497">
        <v>50</v>
      </c>
      <c r="AP4631" s="42"/>
      <c r="AQ4631" s="74"/>
      <c r="AR4631" s="77"/>
      <c r="AT4631" s="497">
        <v>64.94</v>
      </c>
      <c r="AV4631" s="42"/>
      <c r="AW4631" s="74"/>
      <c r="AX4631" s="77"/>
      <c r="BA4631" s="497">
        <v>60.980000000000004</v>
      </c>
      <c r="BB4631" s="42"/>
      <c r="BC4631" s="74"/>
      <c r="BD4631" s="77"/>
      <c r="BF4631">
        <v>53.96</v>
      </c>
      <c r="BH4631" s="42"/>
      <c r="BI4631" s="74"/>
      <c r="BJ4631" s="77"/>
      <c r="BL4631" s="497">
        <v>66.92</v>
      </c>
      <c r="BN4631" s="42"/>
      <c r="BO4631" s="74"/>
      <c r="BP4631" s="77"/>
      <c r="BR4631" s="497">
        <v>48.92</v>
      </c>
      <c r="BT4631" s="42"/>
    </row>
    <row r="4632" spans="1:72" x14ac:dyDescent="0.25">
      <c r="A4632" s="90">
        <v>34527</v>
      </c>
      <c r="B4632" s="20">
        <v>0.25</v>
      </c>
      <c r="D4632">
        <v>73.039999999999992</v>
      </c>
      <c r="E4632" t="str">
        <f t="shared" si="180"/>
        <v>WEEKDAY</v>
      </c>
      <c r="F4632" t="e">
        <f t="shared" si="179"/>
        <v>#N/A</v>
      </c>
      <c r="G4632" s="74">
        <v>31970</v>
      </c>
      <c r="H4632" s="77">
        <v>0.25</v>
      </c>
      <c r="J4632">
        <v>75.92</v>
      </c>
      <c r="M4632" s="74">
        <v>33431</v>
      </c>
      <c r="N4632" s="77">
        <v>0.25</v>
      </c>
      <c r="P4632">
        <v>60.980000000000004</v>
      </c>
      <c r="S4632" s="74">
        <v>34527</v>
      </c>
      <c r="T4632" s="77">
        <v>0.25</v>
      </c>
      <c r="V4632">
        <v>73.94</v>
      </c>
      <c r="X4632" s="42"/>
      <c r="AB4632">
        <v>70.8</v>
      </c>
      <c r="AC4632">
        <v>66.92</v>
      </c>
      <c r="AE4632" s="74"/>
      <c r="AF4632" s="77"/>
      <c r="AH4632" s="497">
        <v>55.400000000000006</v>
      </c>
      <c r="AJ4632" s="42"/>
      <c r="AK4632" s="74"/>
      <c r="AL4632" s="77"/>
      <c r="AN4632" s="497">
        <v>48.92</v>
      </c>
      <c r="AP4632" s="42"/>
      <c r="AQ4632" s="74"/>
      <c r="AR4632" s="77"/>
      <c r="AT4632" s="497">
        <v>66.02</v>
      </c>
      <c r="AV4632" s="42"/>
      <c r="AW4632" s="74"/>
      <c r="AX4632" s="77"/>
      <c r="BA4632" s="497">
        <v>60.08</v>
      </c>
      <c r="BB4632" s="42"/>
      <c r="BC4632" s="74"/>
      <c r="BD4632" s="77"/>
      <c r="BF4632">
        <v>57.019999999999996</v>
      </c>
      <c r="BH4632" s="42"/>
      <c r="BI4632" s="74"/>
      <c r="BJ4632" s="77"/>
      <c r="BL4632" s="497">
        <v>68</v>
      </c>
      <c r="BN4632" s="42"/>
      <c r="BO4632" s="74"/>
      <c r="BP4632" s="77"/>
      <c r="BR4632" s="497">
        <v>53.96</v>
      </c>
      <c r="BT4632" s="42"/>
    </row>
    <row r="4633" spans="1:72" x14ac:dyDescent="0.25">
      <c r="A4633" s="90">
        <v>34527</v>
      </c>
      <c r="B4633" s="20">
        <v>0.29166666666666669</v>
      </c>
      <c r="D4633">
        <v>75.02</v>
      </c>
      <c r="E4633" t="str">
        <f t="shared" si="180"/>
        <v>WEEKDAY</v>
      </c>
      <c r="F4633" t="e">
        <f t="shared" si="179"/>
        <v>#N/A</v>
      </c>
      <c r="G4633" s="74">
        <v>31970</v>
      </c>
      <c r="H4633" s="77">
        <v>0.29166666666666669</v>
      </c>
      <c r="J4633">
        <v>77</v>
      </c>
      <c r="M4633" s="74">
        <v>33431</v>
      </c>
      <c r="N4633" s="77">
        <v>0.29166666666666669</v>
      </c>
      <c r="P4633">
        <v>68</v>
      </c>
      <c r="S4633" s="74">
        <v>34527</v>
      </c>
      <c r="T4633" s="77">
        <v>0.29166666666666669</v>
      </c>
      <c r="V4633">
        <v>77</v>
      </c>
      <c r="X4633" s="42"/>
      <c r="AB4633">
        <v>72.3</v>
      </c>
      <c r="AC4633">
        <v>75.02</v>
      </c>
      <c r="AE4633" s="74"/>
      <c r="AF4633" s="77"/>
      <c r="AH4633" s="497">
        <v>64.400000000000006</v>
      </c>
      <c r="AJ4633" s="42"/>
      <c r="AK4633" s="74"/>
      <c r="AL4633" s="77"/>
      <c r="AN4633" s="497">
        <v>53.96</v>
      </c>
      <c r="AP4633" s="42"/>
      <c r="AQ4633" s="74"/>
      <c r="AR4633" s="77"/>
      <c r="AT4633" s="497">
        <v>66.92</v>
      </c>
      <c r="AV4633" s="42"/>
      <c r="AW4633" s="74"/>
      <c r="AX4633" s="77"/>
      <c r="BA4633" s="497">
        <v>60.980000000000004</v>
      </c>
      <c r="BB4633" s="42"/>
      <c r="BC4633" s="74"/>
      <c r="BD4633" s="77"/>
      <c r="BF4633">
        <v>62.06</v>
      </c>
      <c r="BH4633" s="42"/>
      <c r="BI4633" s="74"/>
      <c r="BJ4633" s="77"/>
      <c r="BL4633" s="497">
        <v>71.06</v>
      </c>
      <c r="BN4633" s="42"/>
      <c r="BO4633" s="74"/>
      <c r="BP4633" s="77"/>
      <c r="BR4633" s="497">
        <v>59</v>
      </c>
      <c r="BT4633" s="42"/>
    </row>
    <row r="4634" spans="1:72" x14ac:dyDescent="0.25">
      <c r="A4634" s="90">
        <v>34527</v>
      </c>
      <c r="B4634" s="20">
        <v>0.33333333333333331</v>
      </c>
      <c r="D4634">
        <v>78.98</v>
      </c>
      <c r="E4634" t="str">
        <f t="shared" si="180"/>
        <v>WEEKDAY</v>
      </c>
      <c r="F4634" t="e">
        <f t="shared" si="179"/>
        <v>#N/A</v>
      </c>
      <c r="G4634" s="74">
        <v>31970</v>
      </c>
      <c r="H4634" s="77">
        <v>0.33333333333333331</v>
      </c>
      <c r="J4634">
        <v>78.98</v>
      </c>
      <c r="M4634" s="74">
        <v>33431</v>
      </c>
      <c r="N4634" s="77">
        <v>0.33333333333333331</v>
      </c>
      <c r="P4634">
        <v>71.960000000000008</v>
      </c>
      <c r="S4634" s="74">
        <v>34527</v>
      </c>
      <c r="T4634" s="77">
        <v>0.33333333333333331</v>
      </c>
      <c r="V4634">
        <v>78.98</v>
      </c>
      <c r="X4634" s="42"/>
      <c r="AB4634">
        <v>74.3</v>
      </c>
      <c r="AC4634">
        <v>78.98</v>
      </c>
      <c r="AE4634" s="74"/>
      <c r="AF4634" s="77"/>
      <c r="AH4634" s="497">
        <v>69.800000000000011</v>
      </c>
      <c r="AJ4634" s="42"/>
      <c r="AK4634" s="74"/>
      <c r="AL4634" s="77"/>
      <c r="AN4634" s="497">
        <v>59</v>
      </c>
      <c r="AP4634" s="42"/>
      <c r="AQ4634" s="74"/>
      <c r="AR4634" s="77"/>
      <c r="AT4634" s="497">
        <v>67.64</v>
      </c>
      <c r="AV4634" s="42"/>
      <c r="AW4634" s="74"/>
      <c r="AX4634" s="77"/>
      <c r="BA4634" s="497">
        <v>62.06</v>
      </c>
      <c r="BB4634" s="42"/>
      <c r="BC4634" s="74"/>
      <c r="BD4634" s="77"/>
      <c r="BF4634">
        <v>64.94</v>
      </c>
      <c r="BH4634" s="42"/>
      <c r="BI4634" s="74"/>
      <c r="BJ4634" s="77"/>
      <c r="BL4634" s="497">
        <v>73.039999999999992</v>
      </c>
      <c r="BN4634" s="42"/>
      <c r="BO4634" s="74"/>
      <c r="BP4634" s="77"/>
      <c r="BR4634" s="497">
        <v>62.96</v>
      </c>
      <c r="BT4634" s="42"/>
    </row>
    <row r="4635" spans="1:72" x14ac:dyDescent="0.25">
      <c r="A4635" s="90">
        <v>34527</v>
      </c>
      <c r="B4635" s="20">
        <v>0.375</v>
      </c>
      <c r="D4635">
        <v>80.06</v>
      </c>
      <c r="E4635" t="str">
        <f t="shared" si="180"/>
        <v>WEEKDAY</v>
      </c>
      <c r="F4635" t="e">
        <f t="shared" si="179"/>
        <v>#N/A</v>
      </c>
      <c r="G4635" s="74">
        <v>31970</v>
      </c>
      <c r="H4635" s="77">
        <v>0.375</v>
      </c>
      <c r="J4635">
        <v>82.039999999999992</v>
      </c>
      <c r="M4635" s="74">
        <v>33431</v>
      </c>
      <c r="N4635" s="77">
        <v>0.375</v>
      </c>
      <c r="P4635">
        <v>76.099999999999994</v>
      </c>
      <c r="S4635" s="74">
        <v>34527</v>
      </c>
      <c r="T4635" s="77">
        <v>0.375</v>
      </c>
      <c r="V4635">
        <v>80.960000000000008</v>
      </c>
      <c r="X4635" s="42"/>
      <c r="AB4635">
        <v>76.3</v>
      </c>
      <c r="AC4635">
        <v>80.06</v>
      </c>
      <c r="AE4635" s="74"/>
      <c r="AF4635" s="77"/>
      <c r="AH4635" s="497">
        <v>69.800000000000011</v>
      </c>
      <c r="AJ4635" s="42"/>
      <c r="AK4635" s="74"/>
      <c r="AL4635" s="77"/>
      <c r="AN4635" s="497">
        <v>62.96</v>
      </c>
      <c r="AP4635" s="42"/>
      <c r="AQ4635" s="74"/>
      <c r="AR4635" s="77"/>
      <c r="AT4635" s="497">
        <v>68.36</v>
      </c>
      <c r="AV4635" s="42"/>
      <c r="AW4635" s="74"/>
      <c r="AX4635" s="77"/>
      <c r="BA4635" s="497">
        <v>62.96</v>
      </c>
      <c r="BB4635" s="42"/>
      <c r="BC4635" s="74"/>
      <c r="BD4635" s="77"/>
      <c r="BF4635">
        <v>66.92</v>
      </c>
      <c r="BH4635" s="42"/>
      <c r="BI4635" s="74"/>
      <c r="BJ4635" s="77"/>
      <c r="BL4635" s="497">
        <v>75.92</v>
      </c>
      <c r="BN4635" s="42"/>
      <c r="BO4635" s="74"/>
      <c r="BP4635" s="77"/>
      <c r="BR4635" s="497">
        <v>64.94</v>
      </c>
      <c r="BT4635" s="42"/>
    </row>
    <row r="4636" spans="1:72" x14ac:dyDescent="0.25">
      <c r="A4636" s="90">
        <v>34527</v>
      </c>
      <c r="B4636" s="20">
        <v>0.41666666666666669</v>
      </c>
      <c r="D4636">
        <v>80.960000000000008</v>
      </c>
      <c r="E4636" t="str">
        <f t="shared" si="180"/>
        <v>WEEKDAY</v>
      </c>
      <c r="F4636" t="e">
        <f t="shared" si="179"/>
        <v>#N/A</v>
      </c>
      <c r="G4636" s="74">
        <v>31970</v>
      </c>
      <c r="H4636" s="77">
        <v>0.41666666666666669</v>
      </c>
      <c r="J4636">
        <v>84.02</v>
      </c>
      <c r="M4636" s="74">
        <v>33431</v>
      </c>
      <c r="N4636" s="77">
        <v>0.41666666666666669</v>
      </c>
      <c r="P4636">
        <v>80.06</v>
      </c>
      <c r="S4636" s="74">
        <v>34527</v>
      </c>
      <c r="T4636" s="77">
        <v>0.41666666666666669</v>
      </c>
      <c r="V4636">
        <v>82.039999999999992</v>
      </c>
      <c r="X4636" s="42"/>
      <c r="AB4636">
        <v>78.2</v>
      </c>
      <c r="AC4636">
        <v>80.960000000000008</v>
      </c>
      <c r="AE4636" s="74"/>
      <c r="AF4636" s="77"/>
      <c r="AH4636" s="497">
        <v>71.599999999999994</v>
      </c>
      <c r="AJ4636" s="42"/>
      <c r="AK4636" s="74"/>
      <c r="AL4636" s="77"/>
      <c r="AN4636" s="497">
        <v>69.080000000000013</v>
      </c>
      <c r="AP4636" s="42"/>
      <c r="AQ4636" s="74"/>
      <c r="AR4636" s="77"/>
      <c r="AT4636" s="497">
        <v>69.080000000000013</v>
      </c>
      <c r="AV4636" s="42"/>
      <c r="AW4636" s="74"/>
      <c r="AX4636" s="77"/>
      <c r="BA4636" s="497">
        <v>62.96</v>
      </c>
      <c r="BB4636" s="42"/>
      <c r="BC4636" s="74"/>
      <c r="BD4636" s="77"/>
      <c r="BF4636">
        <v>69.080000000000013</v>
      </c>
      <c r="BH4636" s="42"/>
      <c r="BI4636" s="74"/>
      <c r="BJ4636" s="77"/>
      <c r="BL4636" s="497">
        <v>78.98</v>
      </c>
      <c r="BN4636" s="42"/>
      <c r="BO4636" s="74"/>
      <c r="BP4636" s="77"/>
      <c r="BR4636" s="497">
        <v>68</v>
      </c>
      <c r="BT4636" s="42"/>
    </row>
    <row r="4637" spans="1:72" x14ac:dyDescent="0.25">
      <c r="A4637" s="90">
        <v>34527</v>
      </c>
      <c r="B4637" s="20">
        <v>0.45833333333333331</v>
      </c>
      <c r="D4637">
        <v>82.94</v>
      </c>
      <c r="E4637" t="str">
        <f t="shared" si="180"/>
        <v>WEEKDAY</v>
      </c>
      <c r="F4637" t="e">
        <f t="shared" si="179"/>
        <v>#N/A</v>
      </c>
      <c r="G4637" s="74">
        <v>31970</v>
      </c>
      <c r="H4637" s="77">
        <v>0.45833333333333331</v>
      </c>
      <c r="J4637">
        <v>86</v>
      </c>
      <c r="M4637" s="74">
        <v>33431</v>
      </c>
      <c r="N4637" s="77">
        <v>0.45833333333333331</v>
      </c>
      <c r="P4637">
        <v>80.960000000000008</v>
      </c>
      <c r="S4637" s="74">
        <v>34527</v>
      </c>
      <c r="T4637" s="77">
        <v>0.45833333333333331</v>
      </c>
      <c r="V4637">
        <v>82.94</v>
      </c>
      <c r="X4637" s="42"/>
      <c r="AB4637">
        <v>79.8</v>
      </c>
      <c r="AC4637">
        <v>80.06</v>
      </c>
      <c r="AE4637" s="74"/>
      <c r="AF4637" s="77"/>
      <c r="AH4637" s="497">
        <v>73.400000000000006</v>
      </c>
      <c r="AJ4637" s="42"/>
      <c r="AK4637" s="74"/>
      <c r="AL4637" s="77"/>
      <c r="AN4637" s="497">
        <v>69.98</v>
      </c>
      <c r="AP4637" s="42"/>
      <c r="AQ4637" s="74"/>
      <c r="AR4637" s="77"/>
      <c r="AT4637" s="497">
        <v>69.98</v>
      </c>
      <c r="AV4637" s="42"/>
      <c r="AW4637" s="74"/>
      <c r="AX4637" s="77"/>
      <c r="BA4637" s="497">
        <v>64.039999999999992</v>
      </c>
      <c r="BB4637" s="42"/>
      <c r="BC4637" s="74"/>
      <c r="BD4637" s="77"/>
      <c r="BF4637">
        <v>71.960000000000008</v>
      </c>
      <c r="BH4637" s="42"/>
      <c r="BI4637" s="74"/>
      <c r="BJ4637" s="77"/>
      <c r="BL4637" s="497">
        <v>82.039999999999992</v>
      </c>
      <c r="BN4637" s="42"/>
      <c r="BO4637" s="74"/>
      <c r="BP4637" s="77"/>
      <c r="BR4637" s="497">
        <v>69.98</v>
      </c>
      <c r="BT4637" s="42"/>
    </row>
    <row r="4638" spans="1:72" x14ac:dyDescent="0.25">
      <c r="A4638" s="90">
        <v>34527</v>
      </c>
      <c r="B4638" s="20">
        <v>0.5</v>
      </c>
      <c r="D4638">
        <v>82.94</v>
      </c>
      <c r="E4638" t="str">
        <f t="shared" si="180"/>
        <v>WEEKDAY</v>
      </c>
      <c r="F4638" t="e">
        <f t="shared" si="179"/>
        <v>#N/A</v>
      </c>
      <c r="G4638" s="74">
        <v>31970</v>
      </c>
      <c r="H4638" s="77">
        <v>0.5</v>
      </c>
      <c r="J4638">
        <v>87.080000000000013</v>
      </c>
      <c r="M4638" s="74">
        <v>33431</v>
      </c>
      <c r="N4638" s="77">
        <v>0.5</v>
      </c>
      <c r="P4638">
        <v>80.960000000000008</v>
      </c>
      <c r="S4638" s="74">
        <v>34527</v>
      </c>
      <c r="T4638" s="77">
        <v>0.5</v>
      </c>
      <c r="V4638">
        <v>84.02</v>
      </c>
      <c r="X4638" s="42"/>
      <c r="AB4638">
        <v>81</v>
      </c>
      <c r="AC4638">
        <v>82.039999999999992</v>
      </c>
      <c r="AE4638" s="74"/>
      <c r="AF4638" s="77"/>
      <c r="AH4638" s="497">
        <v>78.800000000000011</v>
      </c>
      <c r="AJ4638" s="42"/>
      <c r="AK4638" s="74"/>
      <c r="AL4638" s="77"/>
      <c r="AN4638" s="497">
        <v>71.960000000000008</v>
      </c>
      <c r="AP4638" s="42"/>
      <c r="AQ4638" s="74"/>
      <c r="AR4638" s="77"/>
      <c r="AT4638" s="497">
        <v>71.06</v>
      </c>
      <c r="AV4638" s="42"/>
      <c r="AW4638" s="74"/>
      <c r="AX4638" s="77"/>
      <c r="BA4638" s="497">
        <v>64.039999999999992</v>
      </c>
      <c r="BB4638" s="42"/>
      <c r="BC4638" s="74"/>
      <c r="BD4638" s="77"/>
      <c r="BF4638">
        <v>73.039999999999992</v>
      </c>
      <c r="BH4638" s="42"/>
      <c r="BI4638" s="74"/>
      <c r="BJ4638" s="77"/>
      <c r="BL4638" s="497">
        <v>82.94</v>
      </c>
      <c r="BN4638" s="42"/>
      <c r="BO4638" s="74"/>
      <c r="BP4638" s="77"/>
      <c r="BR4638" s="497">
        <v>71.06</v>
      </c>
      <c r="BT4638" s="42"/>
    </row>
    <row r="4639" spans="1:72" x14ac:dyDescent="0.25">
      <c r="A4639" s="90">
        <v>34527</v>
      </c>
      <c r="B4639" s="20">
        <v>0.54166666666666663</v>
      </c>
      <c r="D4639">
        <v>84.92</v>
      </c>
      <c r="E4639" t="str">
        <f t="shared" si="180"/>
        <v>WEEKDAY</v>
      </c>
      <c r="F4639" t="e">
        <f t="shared" si="179"/>
        <v>#N/A</v>
      </c>
      <c r="G4639" s="74">
        <v>31970</v>
      </c>
      <c r="H4639" s="77">
        <v>0.54166666666666663</v>
      </c>
      <c r="J4639">
        <v>87.98</v>
      </c>
      <c r="M4639" s="74">
        <v>33431</v>
      </c>
      <c r="N4639" s="77">
        <v>0.54166666666666663</v>
      </c>
      <c r="P4639">
        <v>82.039999999999992</v>
      </c>
      <c r="S4639" s="74">
        <v>34527</v>
      </c>
      <c r="T4639" s="77">
        <v>0.54166666666666663</v>
      </c>
      <c r="V4639">
        <v>84.02</v>
      </c>
      <c r="X4639" s="42"/>
      <c r="AB4639">
        <v>81.7</v>
      </c>
      <c r="AC4639">
        <v>82.94</v>
      </c>
      <c r="AE4639" s="74"/>
      <c r="AF4639" s="77"/>
      <c r="AH4639" s="497">
        <v>80.599999999999994</v>
      </c>
      <c r="AJ4639" s="42"/>
      <c r="AK4639" s="74"/>
      <c r="AL4639" s="77"/>
      <c r="AN4639" s="497">
        <v>73.039999999999992</v>
      </c>
      <c r="AP4639" s="42"/>
      <c r="AQ4639" s="74"/>
      <c r="AR4639" s="77"/>
      <c r="AT4639" s="497">
        <v>71.960000000000008</v>
      </c>
      <c r="AV4639" s="42"/>
      <c r="AW4639" s="74"/>
      <c r="AX4639" s="77"/>
      <c r="BA4639" s="497">
        <v>64.94</v>
      </c>
      <c r="BB4639" s="42"/>
      <c r="BC4639" s="74"/>
      <c r="BD4639" s="77"/>
      <c r="BF4639">
        <v>73.039999999999992</v>
      </c>
      <c r="BH4639" s="42"/>
      <c r="BI4639" s="74"/>
      <c r="BJ4639" s="77"/>
      <c r="BL4639" s="497">
        <v>82.94</v>
      </c>
      <c r="BN4639" s="42"/>
      <c r="BO4639" s="74"/>
      <c r="BP4639" s="77"/>
      <c r="BR4639" s="497">
        <v>71.06</v>
      </c>
      <c r="BT4639" s="42"/>
    </row>
    <row r="4640" spans="1:72" x14ac:dyDescent="0.25">
      <c r="A4640" s="90">
        <v>34527</v>
      </c>
      <c r="B4640" s="20">
        <v>0.58333333333333337</v>
      </c>
      <c r="D4640">
        <v>84.92</v>
      </c>
      <c r="E4640" t="str">
        <f t="shared" si="180"/>
        <v>WEEKDAY</v>
      </c>
      <c r="F4640" t="e">
        <f t="shared" si="179"/>
        <v>#N/A</v>
      </c>
      <c r="G4640" s="74">
        <v>31970</v>
      </c>
      <c r="H4640" s="77">
        <v>0.58333333333333337</v>
      </c>
      <c r="J4640">
        <v>86</v>
      </c>
      <c r="M4640" s="74">
        <v>33431</v>
      </c>
      <c r="N4640" s="77">
        <v>0.58333333333333337</v>
      </c>
      <c r="P4640">
        <v>80.960000000000008</v>
      </c>
      <c r="S4640" s="74">
        <v>34527</v>
      </c>
      <c r="T4640" s="77">
        <v>0.58333333333333337</v>
      </c>
      <c r="V4640">
        <v>82.94</v>
      </c>
      <c r="X4640" s="42"/>
      <c r="AB4640">
        <v>82.1</v>
      </c>
      <c r="AC4640">
        <v>82.94</v>
      </c>
      <c r="AE4640" s="74"/>
      <c r="AF4640" s="77"/>
      <c r="AH4640" s="497">
        <v>78.800000000000011</v>
      </c>
      <c r="AJ4640" s="42"/>
      <c r="AK4640" s="74"/>
      <c r="AL4640" s="77"/>
      <c r="AN4640" s="497">
        <v>73.94</v>
      </c>
      <c r="AP4640" s="42"/>
      <c r="AQ4640" s="74"/>
      <c r="AR4640" s="77"/>
      <c r="AT4640" s="497">
        <v>73.22</v>
      </c>
      <c r="AV4640" s="42"/>
      <c r="AW4640" s="74"/>
      <c r="AX4640" s="77"/>
      <c r="BA4640" s="497">
        <v>66.02</v>
      </c>
      <c r="BB4640" s="42"/>
      <c r="BC4640" s="74"/>
      <c r="BD4640" s="77"/>
      <c r="BF4640">
        <v>71.960000000000008</v>
      </c>
      <c r="BH4640" s="42"/>
      <c r="BI4640" s="74"/>
      <c r="BJ4640" s="77"/>
      <c r="BL4640" s="497">
        <v>84.92</v>
      </c>
      <c r="BN4640" s="42"/>
      <c r="BO4640" s="74"/>
      <c r="BP4640" s="77"/>
      <c r="BR4640" s="497">
        <v>69.98</v>
      </c>
      <c r="BT4640" s="42"/>
    </row>
    <row r="4641" spans="1:72" x14ac:dyDescent="0.25">
      <c r="A4641" s="90">
        <v>34527</v>
      </c>
      <c r="B4641" s="20">
        <v>0.625</v>
      </c>
      <c r="D4641">
        <v>87.98</v>
      </c>
      <c r="E4641" t="str">
        <f t="shared" si="180"/>
        <v>WEEKDAY</v>
      </c>
      <c r="F4641" t="e">
        <f t="shared" si="179"/>
        <v>#N/A</v>
      </c>
      <c r="G4641" s="74">
        <v>31970</v>
      </c>
      <c r="H4641" s="77">
        <v>0.625</v>
      </c>
      <c r="J4641">
        <v>86</v>
      </c>
      <c r="M4641" s="74">
        <v>33431</v>
      </c>
      <c r="N4641" s="77">
        <v>0.625</v>
      </c>
      <c r="P4641">
        <v>80.960000000000008</v>
      </c>
      <c r="S4641" s="74">
        <v>34527</v>
      </c>
      <c r="T4641" s="77">
        <v>0.625</v>
      </c>
      <c r="V4641">
        <v>82.039999999999992</v>
      </c>
      <c r="X4641" s="42"/>
      <c r="AB4641">
        <v>82.1</v>
      </c>
      <c r="AC4641">
        <v>82.94</v>
      </c>
      <c r="AE4641" s="74"/>
      <c r="AF4641" s="77"/>
      <c r="AH4641" s="497">
        <v>78.800000000000011</v>
      </c>
      <c r="AJ4641" s="42"/>
      <c r="AK4641" s="74"/>
      <c r="AL4641" s="77"/>
      <c r="AN4641" s="497">
        <v>75.02</v>
      </c>
      <c r="AP4641" s="42"/>
      <c r="AQ4641" s="74"/>
      <c r="AR4641" s="77"/>
      <c r="AT4641" s="497">
        <v>74.66</v>
      </c>
      <c r="AV4641" s="42"/>
      <c r="AW4641" s="74"/>
      <c r="AX4641" s="77"/>
      <c r="BA4641" s="497">
        <v>66.02</v>
      </c>
      <c r="BB4641" s="42"/>
      <c r="BC4641" s="74"/>
      <c r="BD4641" s="77"/>
      <c r="BF4641">
        <v>71.960000000000008</v>
      </c>
      <c r="BH4641" s="42"/>
      <c r="BI4641" s="74"/>
      <c r="BJ4641" s="77"/>
      <c r="BL4641" s="497">
        <v>86</v>
      </c>
      <c r="BN4641" s="42"/>
      <c r="BO4641" s="74"/>
      <c r="BP4641" s="77"/>
      <c r="BR4641" s="497">
        <v>68</v>
      </c>
      <c r="BT4641" s="42"/>
    </row>
    <row r="4642" spans="1:72" x14ac:dyDescent="0.25">
      <c r="A4642" s="90">
        <v>34527</v>
      </c>
      <c r="B4642" s="20">
        <v>0.66666666666666663</v>
      </c>
      <c r="D4642">
        <v>89.06</v>
      </c>
      <c r="E4642" t="str">
        <f t="shared" si="180"/>
        <v>WEEKDAY</v>
      </c>
      <c r="F4642" t="e">
        <f t="shared" si="179"/>
        <v>#N/A</v>
      </c>
      <c r="G4642" s="74">
        <v>31970</v>
      </c>
      <c r="H4642" s="77">
        <v>0.66666666666666663</v>
      </c>
      <c r="J4642">
        <v>84.02</v>
      </c>
      <c r="M4642" s="74">
        <v>33431</v>
      </c>
      <c r="N4642" s="77">
        <v>0.66666666666666663</v>
      </c>
      <c r="P4642">
        <v>80.06</v>
      </c>
      <c r="S4642" s="74">
        <v>34527</v>
      </c>
      <c r="T4642" s="77">
        <v>0.66666666666666663</v>
      </c>
      <c r="V4642">
        <v>80.960000000000008</v>
      </c>
      <c r="X4642" s="42"/>
      <c r="AB4642">
        <v>81.599999999999994</v>
      </c>
      <c r="AC4642">
        <v>82.039999999999992</v>
      </c>
      <c r="AE4642" s="74"/>
      <c r="AF4642" s="77"/>
      <c r="AH4642" s="497">
        <v>75.2</v>
      </c>
      <c r="AJ4642" s="42"/>
      <c r="AK4642" s="74"/>
      <c r="AL4642" s="77"/>
      <c r="AN4642" s="497">
        <v>75.02</v>
      </c>
      <c r="AP4642" s="42"/>
      <c r="AQ4642" s="74"/>
      <c r="AR4642" s="77"/>
      <c r="AT4642" s="497">
        <v>75.92</v>
      </c>
      <c r="AV4642" s="42"/>
      <c r="AW4642" s="74"/>
      <c r="AX4642" s="77"/>
      <c r="BA4642" s="497">
        <v>64.039999999999992</v>
      </c>
      <c r="BB4642" s="42"/>
      <c r="BC4642" s="74"/>
      <c r="BD4642" s="77"/>
      <c r="BF4642">
        <v>71.06</v>
      </c>
      <c r="BH4642" s="42"/>
      <c r="BI4642" s="74"/>
      <c r="BJ4642" s="77"/>
      <c r="BL4642" s="497">
        <v>84.92</v>
      </c>
      <c r="BN4642" s="42"/>
      <c r="BO4642" s="74"/>
      <c r="BP4642" s="77"/>
      <c r="BR4642" s="497">
        <v>69.080000000000013</v>
      </c>
      <c r="BT4642" s="42"/>
    </row>
    <row r="4643" spans="1:72" x14ac:dyDescent="0.25">
      <c r="A4643" s="90">
        <v>34527</v>
      </c>
      <c r="B4643" s="20">
        <v>0.70833333333333337</v>
      </c>
      <c r="D4643">
        <v>84.92</v>
      </c>
      <c r="E4643" t="str">
        <f t="shared" si="180"/>
        <v>WEEKDAY</v>
      </c>
      <c r="F4643" t="e">
        <f t="shared" si="179"/>
        <v>#N/A</v>
      </c>
      <c r="G4643" s="74">
        <v>31970</v>
      </c>
      <c r="H4643" s="77">
        <v>0.70833333333333337</v>
      </c>
      <c r="J4643">
        <v>80.960000000000008</v>
      </c>
      <c r="M4643" s="74">
        <v>33431</v>
      </c>
      <c r="N4643" s="77">
        <v>0.70833333333333337</v>
      </c>
      <c r="P4643">
        <v>78.98</v>
      </c>
      <c r="S4643" s="74">
        <v>34527</v>
      </c>
      <c r="T4643" s="77">
        <v>0.70833333333333337</v>
      </c>
      <c r="V4643">
        <v>80.06</v>
      </c>
      <c r="X4643" s="42"/>
      <c r="AB4643">
        <v>80.7</v>
      </c>
      <c r="AC4643">
        <v>80.960000000000008</v>
      </c>
      <c r="AE4643" s="74"/>
      <c r="AF4643" s="77"/>
      <c r="AH4643" s="497">
        <v>73.400000000000006</v>
      </c>
      <c r="AJ4643" s="42"/>
      <c r="AK4643" s="74"/>
      <c r="AL4643" s="77"/>
      <c r="AN4643" s="497">
        <v>73.94</v>
      </c>
      <c r="AP4643" s="42"/>
      <c r="AQ4643" s="74"/>
      <c r="AR4643" s="77"/>
      <c r="AT4643" s="497">
        <v>75.92</v>
      </c>
      <c r="AV4643" s="42"/>
      <c r="AW4643" s="74"/>
      <c r="AX4643" s="77"/>
      <c r="BA4643" s="497">
        <v>64.039999999999992</v>
      </c>
      <c r="BB4643" s="42"/>
      <c r="BC4643" s="74"/>
      <c r="BD4643" s="77"/>
      <c r="BF4643">
        <v>69.98</v>
      </c>
      <c r="BH4643" s="42"/>
      <c r="BI4643" s="74"/>
      <c r="BJ4643" s="77"/>
      <c r="BL4643" s="497">
        <v>84.92</v>
      </c>
      <c r="BN4643" s="42"/>
      <c r="BO4643" s="74"/>
      <c r="BP4643" s="77"/>
      <c r="BR4643" s="497">
        <v>69.080000000000013</v>
      </c>
      <c r="BT4643" s="42"/>
    </row>
    <row r="4644" spans="1:72" x14ac:dyDescent="0.25">
      <c r="A4644" s="90">
        <v>34527</v>
      </c>
      <c r="B4644" s="20">
        <v>0.75</v>
      </c>
      <c r="D4644">
        <v>82.94</v>
      </c>
      <c r="E4644" t="str">
        <f t="shared" si="180"/>
        <v>WEEKDAY</v>
      </c>
      <c r="F4644" t="e">
        <f t="shared" si="179"/>
        <v>#N/A</v>
      </c>
      <c r="G4644" s="74">
        <v>31970</v>
      </c>
      <c r="H4644" s="77">
        <v>0.75</v>
      </c>
      <c r="J4644">
        <v>80.06</v>
      </c>
      <c r="M4644" s="74">
        <v>33431</v>
      </c>
      <c r="N4644" s="77">
        <v>0.75</v>
      </c>
      <c r="P4644">
        <v>75.92</v>
      </c>
      <c r="S4644" s="74">
        <v>34527</v>
      </c>
      <c r="T4644" s="77">
        <v>0.75</v>
      </c>
      <c r="V4644">
        <v>78.080000000000013</v>
      </c>
      <c r="X4644" s="42"/>
      <c r="AB4644">
        <v>79.599999999999994</v>
      </c>
      <c r="AC4644">
        <v>78.98</v>
      </c>
      <c r="AE4644" s="74"/>
      <c r="AF4644" s="77"/>
      <c r="AH4644" s="497">
        <v>73.400000000000006</v>
      </c>
      <c r="AJ4644" s="42"/>
      <c r="AK4644" s="74"/>
      <c r="AL4644" s="77"/>
      <c r="AN4644" s="497">
        <v>73.94</v>
      </c>
      <c r="AP4644" s="42"/>
      <c r="AQ4644" s="74"/>
      <c r="AR4644" s="77"/>
      <c r="AT4644" s="497">
        <v>75.92</v>
      </c>
      <c r="AV4644" s="42"/>
      <c r="AW4644" s="74"/>
      <c r="AX4644" s="77"/>
      <c r="BA4644" s="497">
        <v>64.039999999999992</v>
      </c>
      <c r="BB4644" s="42"/>
      <c r="BC4644" s="74"/>
      <c r="BD4644" s="77"/>
      <c r="BF4644">
        <v>69.98</v>
      </c>
      <c r="BH4644" s="42"/>
      <c r="BI4644" s="74"/>
      <c r="BJ4644" s="77"/>
      <c r="BL4644" s="497">
        <v>84.02</v>
      </c>
      <c r="BN4644" s="42"/>
      <c r="BO4644" s="74"/>
      <c r="BP4644" s="77"/>
      <c r="BR4644" s="497">
        <v>69.98</v>
      </c>
      <c r="BT4644" s="42"/>
    </row>
    <row r="4645" spans="1:72" x14ac:dyDescent="0.25">
      <c r="A4645" s="90">
        <v>34527</v>
      </c>
      <c r="B4645" s="20">
        <v>0.79166666666666663</v>
      </c>
      <c r="D4645">
        <v>84.92</v>
      </c>
      <c r="E4645" t="str">
        <f t="shared" si="180"/>
        <v>WEEKDAY</v>
      </c>
      <c r="F4645" t="e">
        <f t="shared" si="179"/>
        <v>#N/A</v>
      </c>
      <c r="G4645" s="74">
        <v>31970</v>
      </c>
      <c r="H4645" s="77">
        <v>0.79166666666666663</v>
      </c>
      <c r="J4645">
        <v>78.080000000000013</v>
      </c>
      <c r="M4645" s="74">
        <v>33431</v>
      </c>
      <c r="N4645" s="77">
        <v>0.79166666666666663</v>
      </c>
      <c r="P4645">
        <v>73.039999999999992</v>
      </c>
      <c r="S4645" s="74">
        <v>34527</v>
      </c>
      <c r="T4645" s="77">
        <v>0.79166666666666663</v>
      </c>
      <c r="V4645">
        <v>77</v>
      </c>
      <c r="X4645" s="42"/>
      <c r="AB4645">
        <v>78.3</v>
      </c>
      <c r="AC4645">
        <v>75.92</v>
      </c>
      <c r="AE4645" s="74"/>
      <c r="AF4645" s="77"/>
      <c r="AH4645" s="497">
        <v>73.400000000000006</v>
      </c>
      <c r="AJ4645" s="42"/>
      <c r="AK4645" s="74"/>
      <c r="AL4645" s="77"/>
      <c r="AN4645" s="497">
        <v>71.06</v>
      </c>
      <c r="AP4645" s="42"/>
      <c r="AQ4645" s="74"/>
      <c r="AR4645" s="77"/>
      <c r="AT4645" s="497">
        <v>75.92</v>
      </c>
      <c r="AV4645" s="42"/>
      <c r="AW4645" s="74"/>
      <c r="AX4645" s="77"/>
      <c r="BA4645" s="497">
        <v>64.039999999999992</v>
      </c>
      <c r="BB4645" s="42"/>
      <c r="BC4645" s="74"/>
      <c r="BD4645" s="77"/>
      <c r="BF4645">
        <v>69.98</v>
      </c>
      <c r="BH4645" s="42"/>
      <c r="BI4645" s="74"/>
      <c r="BJ4645" s="77"/>
      <c r="BL4645" s="497">
        <v>82.039999999999992</v>
      </c>
      <c r="BN4645" s="42"/>
      <c r="BO4645" s="74"/>
      <c r="BP4645" s="77"/>
      <c r="BR4645" s="497">
        <v>66.92</v>
      </c>
      <c r="BT4645" s="42"/>
    </row>
    <row r="4646" spans="1:72" x14ac:dyDescent="0.25">
      <c r="A4646" s="90">
        <v>34527</v>
      </c>
      <c r="B4646" s="20">
        <v>0.83333333333333337</v>
      </c>
      <c r="D4646">
        <v>82.039999999999992</v>
      </c>
      <c r="E4646" t="str">
        <f t="shared" si="180"/>
        <v>WEEKDAY</v>
      </c>
      <c r="F4646" t="e">
        <f t="shared" si="179"/>
        <v>#N/A</v>
      </c>
      <c r="G4646" s="74">
        <v>31970</v>
      </c>
      <c r="H4646" s="77">
        <v>0.83333333333333337</v>
      </c>
      <c r="J4646">
        <v>77</v>
      </c>
      <c r="M4646" s="74">
        <v>33431</v>
      </c>
      <c r="N4646" s="77">
        <v>0.83333333333333337</v>
      </c>
      <c r="P4646">
        <v>71.06</v>
      </c>
      <c r="S4646" s="74">
        <v>34527</v>
      </c>
      <c r="T4646" s="77">
        <v>0.83333333333333337</v>
      </c>
      <c r="V4646">
        <v>75.92</v>
      </c>
      <c r="X4646" s="42"/>
      <c r="AB4646">
        <v>76.8</v>
      </c>
      <c r="AC4646">
        <v>75.02</v>
      </c>
      <c r="AE4646" s="74"/>
      <c r="AF4646" s="77"/>
      <c r="AH4646" s="497">
        <v>71.599999999999994</v>
      </c>
      <c r="AJ4646" s="42"/>
      <c r="AK4646" s="74"/>
      <c r="AL4646" s="77"/>
      <c r="AN4646" s="497">
        <v>68</v>
      </c>
      <c r="AP4646" s="42"/>
      <c r="AQ4646" s="74"/>
      <c r="AR4646" s="77"/>
      <c r="AT4646" s="497">
        <v>75.56</v>
      </c>
      <c r="AV4646" s="42"/>
      <c r="AW4646" s="74"/>
      <c r="AX4646" s="77"/>
      <c r="BA4646" s="497">
        <v>62.96</v>
      </c>
      <c r="BB4646" s="42"/>
      <c r="BC4646" s="74"/>
      <c r="BD4646" s="77"/>
      <c r="BF4646">
        <v>66.92</v>
      </c>
      <c r="BH4646" s="42"/>
      <c r="BI4646" s="74"/>
      <c r="BJ4646" s="77"/>
      <c r="BL4646" s="497">
        <v>78.080000000000013</v>
      </c>
      <c r="BN4646" s="42"/>
      <c r="BO4646" s="74"/>
      <c r="BP4646" s="77"/>
      <c r="BR4646" s="497">
        <v>62.06</v>
      </c>
      <c r="BT4646" s="42"/>
    </row>
    <row r="4647" spans="1:72" x14ac:dyDescent="0.25">
      <c r="A4647" s="90">
        <v>34527</v>
      </c>
      <c r="B4647" s="20">
        <v>0.875</v>
      </c>
      <c r="D4647">
        <v>82.94</v>
      </c>
      <c r="E4647" t="str">
        <f t="shared" si="180"/>
        <v>WEEKDAY</v>
      </c>
      <c r="F4647" t="e">
        <f t="shared" si="179"/>
        <v>#N/A</v>
      </c>
      <c r="G4647" s="74">
        <v>31970</v>
      </c>
      <c r="H4647" s="77">
        <v>0.875</v>
      </c>
      <c r="J4647">
        <v>75.92</v>
      </c>
      <c r="M4647" s="74">
        <v>33431</v>
      </c>
      <c r="N4647" s="77">
        <v>0.875</v>
      </c>
      <c r="P4647">
        <v>69.98</v>
      </c>
      <c r="S4647" s="74">
        <v>34527</v>
      </c>
      <c r="T4647" s="77">
        <v>0.875</v>
      </c>
      <c r="V4647">
        <v>75.92</v>
      </c>
      <c r="X4647" s="42"/>
      <c r="AB4647">
        <v>75.599999999999994</v>
      </c>
      <c r="AC4647">
        <v>73.94</v>
      </c>
      <c r="AE4647" s="74"/>
      <c r="AF4647" s="77"/>
      <c r="AH4647" s="497">
        <v>71.599999999999994</v>
      </c>
      <c r="AJ4647" s="42"/>
      <c r="AK4647" s="74"/>
      <c r="AL4647" s="77"/>
      <c r="AN4647" s="497">
        <v>68</v>
      </c>
      <c r="AP4647" s="42"/>
      <c r="AQ4647" s="74"/>
      <c r="AR4647" s="77"/>
      <c r="AT4647" s="497">
        <v>75.38</v>
      </c>
      <c r="AV4647" s="42"/>
      <c r="AW4647" s="74"/>
      <c r="AX4647" s="77"/>
      <c r="BA4647" s="497">
        <v>62.96</v>
      </c>
      <c r="BB4647" s="42"/>
      <c r="BC4647" s="74"/>
      <c r="BD4647" s="77"/>
      <c r="BF4647">
        <v>62.96</v>
      </c>
      <c r="BH4647" s="42"/>
      <c r="BI4647" s="74"/>
      <c r="BJ4647" s="77"/>
      <c r="BL4647" s="497">
        <v>71.960000000000008</v>
      </c>
      <c r="BN4647" s="42"/>
      <c r="BO4647" s="74"/>
      <c r="BP4647" s="77"/>
      <c r="BR4647" s="497">
        <v>57.019999999999996</v>
      </c>
      <c r="BT4647" s="42"/>
    </row>
    <row r="4648" spans="1:72" x14ac:dyDescent="0.25">
      <c r="A4648" s="90">
        <v>34527</v>
      </c>
      <c r="B4648" s="20">
        <v>0.91666666666666663</v>
      </c>
      <c r="D4648">
        <v>84.02</v>
      </c>
      <c r="E4648" t="str">
        <f t="shared" si="180"/>
        <v>WEEKDAY</v>
      </c>
      <c r="F4648" t="e">
        <f t="shared" si="179"/>
        <v>#N/A</v>
      </c>
      <c r="G4648" s="74">
        <v>31970</v>
      </c>
      <c r="H4648" s="77">
        <v>0.91666666666666663</v>
      </c>
      <c r="J4648">
        <v>77</v>
      </c>
      <c r="M4648" s="74">
        <v>33431</v>
      </c>
      <c r="N4648" s="77">
        <v>0.91666666666666663</v>
      </c>
      <c r="P4648">
        <v>69.080000000000013</v>
      </c>
      <c r="S4648" s="74">
        <v>34527</v>
      </c>
      <c r="T4648" s="77">
        <v>0.91666666666666663</v>
      </c>
      <c r="V4648">
        <v>75.92</v>
      </c>
      <c r="X4648" s="42"/>
      <c r="AB4648">
        <v>74.900000000000006</v>
      </c>
      <c r="AC4648">
        <v>73.94</v>
      </c>
      <c r="AE4648" s="74"/>
      <c r="AF4648" s="77"/>
      <c r="AH4648" s="497">
        <v>69.800000000000011</v>
      </c>
      <c r="AJ4648" s="42"/>
      <c r="AK4648" s="74"/>
      <c r="AL4648" s="77"/>
      <c r="AN4648" s="497">
        <v>66.02</v>
      </c>
      <c r="AP4648" s="42"/>
      <c r="AQ4648" s="74"/>
      <c r="AR4648" s="77"/>
      <c r="AT4648" s="497">
        <v>75.02</v>
      </c>
      <c r="AV4648" s="42"/>
      <c r="AW4648" s="74"/>
      <c r="AX4648" s="77"/>
      <c r="BA4648" s="497">
        <v>60.980000000000004</v>
      </c>
      <c r="BB4648" s="42"/>
      <c r="BC4648" s="74"/>
      <c r="BD4648" s="77"/>
      <c r="BF4648">
        <v>62.06</v>
      </c>
      <c r="BH4648" s="42"/>
      <c r="BI4648" s="74"/>
      <c r="BJ4648" s="77"/>
      <c r="BL4648" s="497">
        <v>69.98</v>
      </c>
      <c r="BN4648" s="42"/>
      <c r="BO4648" s="74"/>
      <c r="BP4648" s="77"/>
      <c r="BR4648" s="497">
        <v>55.040000000000006</v>
      </c>
      <c r="BT4648" s="42"/>
    </row>
    <row r="4649" spans="1:72" x14ac:dyDescent="0.25">
      <c r="A4649" s="90">
        <v>34527</v>
      </c>
      <c r="B4649" s="20">
        <v>0.95833333333333337</v>
      </c>
      <c r="D4649">
        <v>82.94</v>
      </c>
      <c r="E4649" t="str">
        <f t="shared" si="180"/>
        <v>WEEKDAY</v>
      </c>
      <c r="F4649" t="e">
        <f t="shared" si="179"/>
        <v>#N/A</v>
      </c>
      <c r="G4649" s="74">
        <v>31970</v>
      </c>
      <c r="H4649" s="77">
        <v>0.95833333333333337</v>
      </c>
      <c r="J4649">
        <v>75.92</v>
      </c>
      <c r="M4649" s="74">
        <v>33431</v>
      </c>
      <c r="N4649" s="77">
        <v>0.95833333333333337</v>
      </c>
      <c r="P4649">
        <v>69.080000000000013</v>
      </c>
      <c r="S4649" s="74">
        <v>34527</v>
      </c>
      <c r="T4649" s="77">
        <v>0.95833333333333337</v>
      </c>
      <c r="V4649">
        <v>75.02</v>
      </c>
      <c r="X4649" s="42"/>
      <c r="AB4649">
        <v>74.400000000000006</v>
      </c>
      <c r="AC4649">
        <v>73.94</v>
      </c>
      <c r="AE4649" s="74"/>
      <c r="AF4649" s="77"/>
      <c r="AH4649" s="497">
        <v>64.400000000000006</v>
      </c>
      <c r="AJ4649" s="42"/>
      <c r="AK4649" s="74"/>
      <c r="AL4649" s="77"/>
      <c r="AN4649" s="497">
        <v>64.94</v>
      </c>
      <c r="AP4649" s="42"/>
      <c r="AQ4649" s="74"/>
      <c r="AR4649" s="77"/>
      <c r="AT4649" s="497">
        <v>75.02</v>
      </c>
      <c r="AV4649" s="42"/>
      <c r="AW4649" s="74"/>
      <c r="AX4649" s="77"/>
      <c r="BA4649" s="497">
        <v>60.980000000000004</v>
      </c>
      <c r="BB4649" s="42"/>
      <c r="BC4649" s="74"/>
      <c r="BD4649" s="77"/>
      <c r="BF4649">
        <v>62.06</v>
      </c>
      <c r="BH4649" s="42"/>
      <c r="BI4649" s="74"/>
      <c r="BJ4649" s="77"/>
      <c r="BL4649" s="497">
        <v>69.080000000000013</v>
      </c>
      <c r="BN4649" s="42"/>
      <c r="BO4649" s="74"/>
      <c r="BP4649" s="77"/>
      <c r="BR4649" s="497">
        <v>53.06</v>
      </c>
      <c r="BT4649" s="42"/>
    </row>
    <row r="4650" spans="1:72" x14ac:dyDescent="0.25">
      <c r="A4650" s="90">
        <v>34527</v>
      </c>
      <c r="B4650" s="20">
        <v>1</v>
      </c>
      <c r="D4650">
        <v>82.94</v>
      </c>
      <c r="E4650" t="str">
        <f t="shared" si="180"/>
        <v>WEEKDAY</v>
      </c>
      <c r="F4650" t="e">
        <f t="shared" si="179"/>
        <v>#N/A</v>
      </c>
      <c r="G4650" s="74">
        <v>31970</v>
      </c>
      <c r="H4650" s="77">
        <v>1</v>
      </c>
      <c r="J4650">
        <v>75.02</v>
      </c>
      <c r="M4650" s="74">
        <v>33431</v>
      </c>
      <c r="N4650" s="80">
        <v>1</v>
      </c>
      <c r="P4650">
        <v>69.080000000000013</v>
      </c>
      <c r="S4650" s="74">
        <v>34527</v>
      </c>
      <c r="T4650" s="80">
        <v>1</v>
      </c>
      <c r="V4650">
        <v>75.02</v>
      </c>
      <c r="X4650" s="42"/>
      <c r="AB4650">
        <v>73.900000000000006</v>
      </c>
      <c r="AC4650">
        <v>73.039999999999992</v>
      </c>
      <c r="AE4650" s="74"/>
      <c r="AF4650" s="80"/>
      <c r="AH4650" s="497">
        <v>64.400000000000006</v>
      </c>
      <c r="AJ4650" s="42"/>
      <c r="AK4650" s="74"/>
      <c r="AL4650" s="80"/>
      <c r="AN4650" s="497">
        <v>62.06</v>
      </c>
      <c r="AP4650" s="42"/>
      <c r="AQ4650" s="74"/>
      <c r="AR4650" s="80"/>
      <c r="AT4650" s="497">
        <v>75.02</v>
      </c>
      <c r="AV4650" s="42"/>
      <c r="AW4650" s="74"/>
      <c r="AX4650" s="80"/>
      <c r="BA4650" s="497">
        <v>60.08</v>
      </c>
      <c r="BB4650" s="42"/>
      <c r="BC4650" s="74"/>
      <c r="BD4650" s="80"/>
      <c r="BF4650">
        <v>60.08</v>
      </c>
      <c r="BH4650" s="42"/>
      <c r="BI4650" s="74"/>
      <c r="BJ4650" s="80"/>
      <c r="BL4650" s="497">
        <v>66.92</v>
      </c>
      <c r="BN4650" s="42"/>
      <c r="BO4650" s="74"/>
      <c r="BP4650" s="80"/>
      <c r="BR4650" s="497">
        <v>51.08</v>
      </c>
      <c r="BT4650" s="42"/>
    </row>
    <row r="4651" spans="1:72" x14ac:dyDescent="0.25">
      <c r="A4651" s="90">
        <v>34528</v>
      </c>
      <c r="B4651" s="20">
        <v>4.1666666666666664E-2</v>
      </c>
      <c r="D4651">
        <v>80.06</v>
      </c>
      <c r="E4651" t="str">
        <f t="shared" si="180"/>
        <v>WEEKDAY</v>
      </c>
      <c r="F4651" t="e">
        <f t="shared" ref="F4651:F4714" si="181">IF(E4651="WEEKDAY",VLOOKUP(B4651,$DD$19:$DG$42,2),IF(E4651="SATURDAY",VLOOKUP(B4651,$DD$19:$DG$42,3),VLOOKUP(B4651,$DD$19:$DG$42,4)))</f>
        <v>#N/A</v>
      </c>
      <c r="G4651" s="74">
        <v>31971</v>
      </c>
      <c r="H4651" s="77">
        <v>4.1666666666666664E-2</v>
      </c>
      <c r="J4651">
        <v>75.02</v>
      </c>
      <c r="M4651" s="74">
        <v>33432</v>
      </c>
      <c r="N4651" s="77">
        <v>4.1666666666666664E-2</v>
      </c>
      <c r="P4651">
        <v>69.98</v>
      </c>
      <c r="S4651" s="74">
        <v>34528</v>
      </c>
      <c r="T4651" s="77">
        <v>4.1666666666666664E-2</v>
      </c>
      <c r="V4651">
        <v>73.94</v>
      </c>
      <c r="X4651" s="42"/>
      <c r="AB4651">
        <v>73.099999999999994</v>
      </c>
      <c r="AC4651">
        <v>73.039999999999992</v>
      </c>
      <c r="AE4651" s="74"/>
      <c r="AF4651" s="77"/>
      <c r="AH4651" s="497">
        <v>64.400000000000006</v>
      </c>
      <c r="AJ4651" s="42"/>
      <c r="AK4651" s="74"/>
      <c r="AL4651" s="77"/>
      <c r="AN4651" s="497">
        <v>59</v>
      </c>
      <c r="AP4651" s="42"/>
      <c r="AQ4651" s="74"/>
      <c r="AR4651" s="77"/>
      <c r="AT4651" s="497">
        <v>75.02</v>
      </c>
      <c r="AV4651" s="42"/>
      <c r="AW4651" s="74"/>
      <c r="AX4651" s="77"/>
      <c r="BA4651" s="497">
        <v>59</v>
      </c>
      <c r="BB4651" s="42"/>
      <c r="BC4651" s="74"/>
      <c r="BD4651" s="77"/>
      <c r="BF4651">
        <v>55.040000000000006</v>
      </c>
      <c r="BH4651" s="42"/>
      <c r="BI4651" s="74"/>
      <c r="BJ4651" s="77"/>
      <c r="BL4651" s="497">
        <v>64.94</v>
      </c>
      <c r="BN4651" s="42"/>
      <c r="BO4651" s="74"/>
      <c r="BP4651" s="77"/>
      <c r="BR4651" s="497">
        <v>50</v>
      </c>
      <c r="BT4651" s="42"/>
    </row>
    <row r="4652" spans="1:72" x14ac:dyDescent="0.25">
      <c r="A4652" s="90">
        <v>34528</v>
      </c>
      <c r="B4652" s="20">
        <v>8.3333333333333329E-2</v>
      </c>
      <c r="D4652">
        <v>78.98</v>
      </c>
      <c r="E4652" t="str">
        <f t="shared" si="180"/>
        <v>WEEKDAY</v>
      </c>
      <c r="F4652" t="e">
        <f t="shared" si="181"/>
        <v>#N/A</v>
      </c>
      <c r="G4652" s="74">
        <v>31971</v>
      </c>
      <c r="H4652" s="77">
        <v>8.3333333333333329E-2</v>
      </c>
      <c r="J4652">
        <v>75.02</v>
      </c>
      <c r="M4652" s="74">
        <v>33432</v>
      </c>
      <c r="N4652" s="77">
        <v>8.3333333333333329E-2</v>
      </c>
      <c r="P4652">
        <v>69.98</v>
      </c>
      <c r="S4652" s="74">
        <v>34528</v>
      </c>
      <c r="T4652" s="77">
        <v>8.3333333333333329E-2</v>
      </c>
      <c r="V4652">
        <v>73.94</v>
      </c>
      <c r="X4652" s="42"/>
      <c r="AB4652">
        <v>72.5</v>
      </c>
      <c r="AC4652">
        <v>71.960000000000008</v>
      </c>
      <c r="AE4652" s="74"/>
      <c r="AF4652" s="77"/>
      <c r="AH4652" s="497">
        <v>69.800000000000011</v>
      </c>
      <c r="AJ4652" s="42"/>
      <c r="AK4652" s="74"/>
      <c r="AL4652" s="77"/>
      <c r="AN4652" s="497">
        <v>57.92</v>
      </c>
      <c r="AP4652" s="42"/>
      <c r="AQ4652" s="74"/>
      <c r="AR4652" s="77"/>
      <c r="AT4652" s="497">
        <v>75.02</v>
      </c>
      <c r="AV4652" s="42"/>
      <c r="AW4652" s="74"/>
      <c r="AX4652" s="77"/>
      <c r="BA4652" s="497">
        <v>59</v>
      </c>
      <c r="BB4652" s="42"/>
      <c r="BC4652" s="74"/>
      <c r="BD4652" s="77"/>
      <c r="BF4652">
        <v>59</v>
      </c>
      <c r="BH4652" s="42"/>
      <c r="BI4652" s="74"/>
      <c r="BJ4652" s="77"/>
      <c r="BL4652" s="497">
        <v>64.94</v>
      </c>
      <c r="BN4652" s="42"/>
      <c r="BO4652" s="74"/>
      <c r="BP4652" s="77"/>
      <c r="BR4652" s="497">
        <v>48.92</v>
      </c>
      <c r="BT4652" s="42"/>
    </row>
    <row r="4653" spans="1:72" x14ac:dyDescent="0.25">
      <c r="A4653" s="90">
        <v>34528</v>
      </c>
      <c r="B4653" s="20">
        <v>0.125</v>
      </c>
      <c r="D4653">
        <v>78.080000000000013</v>
      </c>
      <c r="E4653" t="str">
        <f t="shared" si="180"/>
        <v>WEEKDAY</v>
      </c>
      <c r="F4653" t="e">
        <f t="shared" si="181"/>
        <v>#N/A</v>
      </c>
      <c r="G4653" s="74">
        <v>31971</v>
      </c>
      <c r="H4653" s="77">
        <v>0.125</v>
      </c>
      <c r="J4653">
        <v>73.039999999999992</v>
      </c>
      <c r="M4653" s="74">
        <v>33432</v>
      </c>
      <c r="N4653" s="77">
        <v>0.125</v>
      </c>
      <c r="P4653">
        <v>69.98</v>
      </c>
      <c r="S4653" s="74">
        <v>34528</v>
      </c>
      <c r="T4653" s="77">
        <v>0.125</v>
      </c>
      <c r="V4653">
        <v>73.94</v>
      </c>
      <c r="X4653" s="42"/>
      <c r="AB4653">
        <v>72</v>
      </c>
      <c r="AC4653">
        <v>71.960000000000008</v>
      </c>
      <c r="AE4653" s="74"/>
      <c r="AF4653" s="77"/>
      <c r="AH4653" s="497">
        <v>69.62</v>
      </c>
      <c r="AJ4653" s="42"/>
      <c r="AK4653" s="74"/>
      <c r="AL4653" s="77"/>
      <c r="AN4653" s="497">
        <v>57.019999999999996</v>
      </c>
      <c r="AP4653" s="42"/>
      <c r="AQ4653" s="74"/>
      <c r="AR4653" s="77"/>
      <c r="AT4653" s="497">
        <v>75.02</v>
      </c>
      <c r="AV4653" s="42"/>
      <c r="AW4653" s="74"/>
      <c r="AX4653" s="77"/>
      <c r="BA4653" s="497">
        <v>55.94</v>
      </c>
      <c r="BB4653" s="42"/>
      <c r="BC4653" s="74"/>
      <c r="BD4653" s="77"/>
      <c r="BF4653">
        <v>55.94</v>
      </c>
      <c r="BH4653" s="42"/>
      <c r="BI4653" s="74"/>
      <c r="BJ4653" s="77"/>
      <c r="BL4653" s="497">
        <v>64.94</v>
      </c>
      <c r="BN4653" s="42"/>
      <c r="BO4653" s="74"/>
      <c r="BP4653" s="77"/>
      <c r="BR4653" s="497">
        <v>48.019999999999996</v>
      </c>
      <c r="BT4653" s="42"/>
    </row>
    <row r="4654" spans="1:72" x14ac:dyDescent="0.25">
      <c r="A4654" s="90">
        <v>34528</v>
      </c>
      <c r="B4654" s="20">
        <v>0.16666666666666666</v>
      </c>
      <c r="D4654">
        <v>77</v>
      </c>
      <c r="E4654" t="str">
        <f t="shared" si="180"/>
        <v>WEEKDAY</v>
      </c>
      <c r="F4654" t="e">
        <f t="shared" si="181"/>
        <v>#N/A</v>
      </c>
      <c r="G4654" s="74">
        <v>31971</v>
      </c>
      <c r="H4654" s="77">
        <v>0.16666666666666666</v>
      </c>
      <c r="J4654">
        <v>73.039999999999992</v>
      </c>
      <c r="M4654" s="74">
        <v>33432</v>
      </c>
      <c r="N4654" s="77">
        <v>0.16666666666666666</v>
      </c>
      <c r="P4654">
        <v>69.98</v>
      </c>
      <c r="S4654" s="74">
        <v>34528</v>
      </c>
      <c r="T4654" s="77">
        <v>0.16666666666666666</v>
      </c>
      <c r="V4654">
        <v>71.960000000000008</v>
      </c>
      <c r="X4654" s="42"/>
      <c r="AB4654">
        <v>71.599999999999994</v>
      </c>
      <c r="AC4654">
        <v>71.06</v>
      </c>
      <c r="AE4654" s="74"/>
      <c r="AF4654" s="77"/>
      <c r="AH4654" s="497">
        <v>69.800000000000011</v>
      </c>
      <c r="AJ4654" s="42"/>
      <c r="AK4654" s="74"/>
      <c r="AL4654" s="77"/>
      <c r="AN4654" s="497">
        <v>55.94</v>
      </c>
      <c r="AP4654" s="42"/>
      <c r="AQ4654" s="74"/>
      <c r="AR4654" s="77"/>
      <c r="AT4654" s="497">
        <v>75.02</v>
      </c>
      <c r="AV4654" s="42"/>
      <c r="AW4654" s="74"/>
      <c r="AX4654" s="77"/>
      <c r="BA4654" s="497">
        <v>55.94</v>
      </c>
      <c r="BB4654" s="42"/>
      <c r="BC4654" s="74"/>
      <c r="BD4654" s="77"/>
      <c r="BF4654">
        <v>53.06</v>
      </c>
      <c r="BH4654" s="42"/>
      <c r="BI4654" s="74"/>
      <c r="BJ4654" s="77"/>
      <c r="BL4654" s="497">
        <v>64.039999999999992</v>
      </c>
      <c r="BN4654" s="42"/>
      <c r="BO4654" s="74"/>
      <c r="BP4654" s="77"/>
      <c r="BR4654" s="497">
        <v>46.94</v>
      </c>
      <c r="BT4654" s="42"/>
    </row>
    <row r="4655" spans="1:72" x14ac:dyDescent="0.25">
      <c r="A4655" s="90">
        <v>34528</v>
      </c>
      <c r="B4655" s="20">
        <v>0.20833333333333334</v>
      </c>
      <c r="D4655">
        <v>77</v>
      </c>
      <c r="E4655" t="str">
        <f t="shared" si="180"/>
        <v>WEEKDAY</v>
      </c>
      <c r="F4655" t="e">
        <f t="shared" si="181"/>
        <v>#N/A</v>
      </c>
      <c r="G4655" s="74">
        <v>31971</v>
      </c>
      <c r="H4655" s="77">
        <v>0.20833333333333334</v>
      </c>
      <c r="J4655">
        <v>71.960000000000008</v>
      </c>
      <c r="M4655" s="74">
        <v>33432</v>
      </c>
      <c r="N4655" s="77">
        <v>0.20833333333333334</v>
      </c>
      <c r="P4655">
        <v>60.08</v>
      </c>
      <c r="S4655" s="74">
        <v>34528</v>
      </c>
      <c r="T4655" s="77">
        <v>0.20833333333333334</v>
      </c>
      <c r="V4655">
        <v>71.06</v>
      </c>
      <c r="X4655" s="42"/>
      <c r="AB4655">
        <v>71.099999999999994</v>
      </c>
      <c r="AC4655">
        <v>71.06</v>
      </c>
      <c r="AE4655" s="74"/>
      <c r="AF4655" s="77"/>
      <c r="AH4655" s="497">
        <v>68</v>
      </c>
      <c r="AJ4655" s="42"/>
      <c r="AK4655" s="74"/>
      <c r="AL4655" s="77"/>
      <c r="AN4655" s="497">
        <v>55.94</v>
      </c>
      <c r="AP4655" s="42"/>
      <c r="AQ4655" s="74"/>
      <c r="AR4655" s="77"/>
      <c r="AT4655" s="497">
        <v>75.740000000000009</v>
      </c>
      <c r="AV4655" s="42"/>
      <c r="AW4655" s="74"/>
      <c r="AX4655" s="77"/>
      <c r="BA4655" s="497">
        <v>55.040000000000006</v>
      </c>
      <c r="BB4655" s="42"/>
      <c r="BC4655" s="74"/>
      <c r="BD4655" s="77"/>
      <c r="BF4655">
        <v>53.06</v>
      </c>
      <c r="BH4655" s="42"/>
      <c r="BI4655" s="74"/>
      <c r="BJ4655" s="77"/>
      <c r="BL4655" s="497">
        <v>64.94</v>
      </c>
      <c r="BN4655" s="42"/>
      <c r="BO4655" s="74"/>
      <c r="BP4655" s="77"/>
      <c r="BR4655" s="497">
        <v>46.04</v>
      </c>
      <c r="BT4655" s="42"/>
    </row>
    <row r="4656" spans="1:72" x14ac:dyDescent="0.25">
      <c r="A4656" s="90">
        <v>34528</v>
      </c>
      <c r="B4656" s="20">
        <v>0.25</v>
      </c>
      <c r="D4656">
        <v>78.98</v>
      </c>
      <c r="E4656" t="str">
        <f t="shared" si="180"/>
        <v>WEEKDAY</v>
      </c>
      <c r="F4656" t="e">
        <f t="shared" si="181"/>
        <v>#N/A</v>
      </c>
      <c r="G4656" s="74">
        <v>31971</v>
      </c>
      <c r="H4656" s="77">
        <v>0.25</v>
      </c>
      <c r="J4656">
        <v>75.92</v>
      </c>
      <c r="M4656" s="74">
        <v>33432</v>
      </c>
      <c r="N4656" s="77">
        <v>0.25</v>
      </c>
      <c r="P4656">
        <v>69.080000000000013</v>
      </c>
      <c r="S4656" s="74">
        <v>34528</v>
      </c>
      <c r="T4656" s="77">
        <v>0.25</v>
      </c>
      <c r="V4656">
        <v>73.94</v>
      </c>
      <c r="X4656" s="42"/>
      <c r="AB4656">
        <v>70.8</v>
      </c>
      <c r="AC4656">
        <v>73.94</v>
      </c>
      <c r="AE4656" s="74"/>
      <c r="AF4656" s="77"/>
      <c r="AH4656" s="497">
        <v>69.800000000000011</v>
      </c>
      <c r="AJ4656" s="42"/>
      <c r="AK4656" s="74"/>
      <c r="AL4656" s="77"/>
      <c r="AN4656" s="497">
        <v>57.92</v>
      </c>
      <c r="AP4656" s="42"/>
      <c r="AQ4656" s="74"/>
      <c r="AR4656" s="77"/>
      <c r="AT4656" s="497">
        <v>76.28</v>
      </c>
      <c r="AV4656" s="42"/>
      <c r="AW4656" s="74"/>
      <c r="AX4656" s="77"/>
      <c r="BA4656" s="497">
        <v>57.019999999999996</v>
      </c>
      <c r="BB4656" s="42"/>
      <c r="BC4656" s="74"/>
      <c r="BD4656" s="77"/>
      <c r="BF4656">
        <v>55.040000000000006</v>
      </c>
      <c r="BH4656" s="42"/>
      <c r="BI4656" s="74"/>
      <c r="BJ4656" s="77"/>
      <c r="BL4656" s="497">
        <v>66.02</v>
      </c>
      <c r="BN4656" s="42"/>
      <c r="BO4656" s="74"/>
      <c r="BP4656" s="77"/>
      <c r="BR4656" s="497">
        <v>50</v>
      </c>
      <c r="BT4656" s="42"/>
    </row>
    <row r="4657" spans="1:72" x14ac:dyDescent="0.25">
      <c r="A4657" s="90">
        <v>34528</v>
      </c>
      <c r="B4657" s="20">
        <v>0.29166666666666669</v>
      </c>
      <c r="D4657">
        <v>82.039999999999992</v>
      </c>
      <c r="E4657" t="str">
        <f t="shared" si="180"/>
        <v>WEEKDAY</v>
      </c>
      <c r="F4657" t="e">
        <f t="shared" si="181"/>
        <v>#N/A</v>
      </c>
      <c r="G4657" s="74">
        <v>31971</v>
      </c>
      <c r="H4657" s="77">
        <v>0.29166666666666669</v>
      </c>
      <c r="J4657">
        <v>78.080000000000013</v>
      </c>
      <c r="M4657" s="74">
        <v>33432</v>
      </c>
      <c r="N4657" s="77">
        <v>0.29166666666666669</v>
      </c>
      <c r="P4657">
        <v>66.02</v>
      </c>
      <c r="S4657" s="74">
        <v>34528</v>
      </c>
      <c r="T4657" s="77">
        <v>0.29166666666666669</v>
      </c>
      <c r="V4657">
        <v>75.92</v>
      </c>
      <c r="X4657" s="42"/>
      <c r="AB4657">
        <v>72.3</v>
      </c>
      <c r="AC4657">
        <v>78.080000000000013</v>
      </c>
      <c r="AE4657" s="74"/>
      <c r="AF4657" s="77"/>
      <c r="AH4657" s="497">
        <v>69.800000000000011</v>
      </c>
      <c r="AJ4657" s="42"/>
      <c r="AK4657" s="74"/>
      <c r="AL4657" s="77"/>
      <c r="AN4657" s="497">
        <v>60.08</v>
      </c>
      <c r="AP4657" s="42"/>
      <c r="AQ4657" s="74"/>
      <c r="AR4657" s="77"/>
      <c r="AT4657" s="497">
        <v>77</v>
      </c>
      <c r="AV4657" s="42"/>
      <c r="AW4657" s="74"/>
      <c r="AX4657" s="77"/>
      <c r="BA4657" s="497">
        <v>59</v>
      </c>
      <c r="BB4657" s="42"/>
      <c r="BC4657" s="74"/>
      <c r="BD4657" s="77"/>
      <c r="BF4657">
        <v>57.92</v>
      </c>
      <c r="BH4657" s="42"/>
      <c r="BI4657" s="74"/>
      <c r="BJ4657" s="77"/>
      <c r="BL4657" s="497">
        <v>69.98</v>
      </c>
      <c r="BN4657" s="42"/>
      <c r="BO4657" s="74"/>
      <c r="BP4657" s="77"/>
      <c r="BR4657" s="497">
        <v>57.92</v>
      </c>
      <c r="BT4657" s="42"/>
    </row>
    <row r="4658" spans="1:72" x14ac:dyDescent="0.25">
      <c r="A4658" s="90">
        <v>34528</v>
      </c>
      <c r="B4658" s="20">
        <v>0.33333333333333331</v>
      </c>
      <c r="D4658">
        <v>82.039999999999992</v>
      </c>
      <c r="E4658" t="str">
        <f t="shared" si="180"/>
        <v>WEEKDAY</v>
      </c>
      <c r="F4658" t="e">
        <f t="shared" si="181"/>
        <v>#N/A</v>
      </c>
      <c r="G4658" s="74">
        <v>31971</v>
      </c>
      <c r="H4658" s="77">
        <v>0.33333333333333331</v>
      </c>
      <c r="J4658">
        <v>80.960000000000008</v>
      </c>
      <c r="M4658" s="74">
        <v>33432</v>
      </c>
      <c r="N4658" s="77">
        <v>0.33333333333333331</v>
      </c>
      <c r="P4658">
        <v>66.92</v>
      </c>
      <c r="S4658" s="74">
        <v>34528</v>
      </c>
      <c r="T4658" s="77">
        <v>0.33333333333333331</v>
      </c>
      <c r="V4658">
        <v>80.06</v>
      </c>
      <c r="X4658" s="42"/>
      <c r="AB4658">
        <v>74.400000000000006</v>
      </c>
      <c r="AC4658">
        <v>82.039999999999992</v>
      </c>
      <c r="AE4658" s="74"/>
      <c r="AF4658" s="77"/>
      <c r="AH4658" s="497">
        <v>70.88</v>
      </c>
      <c r="AJ4658" s="42"/>
      <c r="AK4658" s="74"/>
      <c r="AL4658" s="77"/>
      <c r="AN4658" s="497">
        <v>64.039999999999992</v>
      </c>
      <c r="AP4658" s="42"/>
      <c r="AQ4658" s="74"/>
      <c r="AR4658" s="77"/>
      <c r="AT4658" s="497">
        <v>78.98</v>
      </c>
      <c r="AV4658" s="42"/>
      <c r="AW4658" s="74"/>
      <c r="AX4658" s="77"/>
      <c r="BA4658" s="497">
        <v>64.039999999999992</v>
      </c>
      <c r="BB4658" s="42"/>
      <c r="BC4658" s="74"/>
      <c r="BD4658" s="77"/>
      <c r="BF4658">
        <v>64.039999999999992</v>
      </c>
      <c r="BH4658" s="42"/>
      <c r="BI4658" s="74"/>
      <c r="BJ4658" s="77"/>
      <c r="BL4658" s="497">
        <v>73.94</v>
      </c>
      <c r="BN4658" s="42"/>
      <c r="BO4658" s="74"/>
      <c r="BP4658" s="77"/>
      <c r="BR4658" s="497">
        <v>62.96</v>
      </c>
      <c r="BT4658" s="42"/>
    </row>
    <row r="4659" spans="1:72" x14ac:dyDescent="0.25">
      <c r="A4659" s="90">
        <v>34528</v>
      </c>
      <c r="B4659" s="20">
        <v>0.375</v>
      </c>
      <c r="D4659">
        <v>84.02</v>
      </c>
      <c r="E4659" t="str">
        <f t="shared" si="180"/>
        <v>WEEKDAY</v>
      </c>
      <c r="F4659" t="e">
        <f t="shared" si="181"/>
        <v>#N/A</v>
      </c>
      <c r="G4659" s="74">
        <v>31971</v>
      </c>
      <c r="H4659" s="77">
        <v>0.375</v>
      </c>
      <c r="J4659">
        <v>82.94</v>
      </c>
      <c r="M4659" s="74">
        <v>33432</v>
      </c>
      <c r="N4659" s="77">
        <v>0.375</v>
      </c>
      <c r="P4659">
        <v>64.94</v>
      </c>
      <c r="S4659" s="74">
        <v>34528</v>
      </c>
      <c r="T4659" s="77">
        <v>0.375</v>
      </c>
      <c r="V4659">
        <v>84.02</v>
      </c>
      <c r="X4659" s="42"/>
      <c r="AB4659">
        <v>76.400000000000006</v>
      </c>
      <c r="AC4659">
        <v>86</v>
      </c>
      <c r="AE4659" s="74"/>
      <c r="AF4659" s="77"/>
      <c r="AH4659" s="497">
        <v>71.599999999999994</v>
      </c>
      <c r="AJ4659" s="42"/>
      <c r="AK4659" s="74"/>
      <c r="AL4659" s="77"/>
      <c r="AN4659" s="497">
        <v>68</v>
      </c>
      <c r="AP4659" s="42"/>
      <c r="AQ4659" s="74"/>
      <c r="AR4659" s="77"/>
      <c r="AT4659" s="497">
        <v>80.960000000000008</v>
      </c>
      <c r="AV4659" s="42"/>
      <c r="AW4659" s="74"/>
      <c r="AX4659" s="77"/>
      <c r="BA4659" s="497">
        <v>68</v>
      </c>
      <c r="BB4659" s="42"/>
      <c r="BC4659" s="74"/>
      <c r="BD4659" s="77"/>
      <c r="BF4659">
        <v>68</v>
      </c>
      <c r="BH4659" s="42"/>
      <c r="BI4659" s="74"/>
      <c r="BJ4659" s="77"/>
      <c r="BL4659" s="497">
        <v>78.98</v>
      </c>
      <c r="BN4659" s="42"/>
      <c r="BO4659" s="74"/>
      <c r="BP4659" s="77"/>
      <c r="BR4659" s="497">
        <v>68</v>
      </c>
      <c r="BT4659" s="42"/>
    </row>
    <row r="4660" spans="1:72" x14ac:dyDescent="0.25">
      <c r="A4660" s="90">
        <v>34528</v>
      </c>
      <c r="B4660" s="20">
        <v>0.41666666666666669</v>
      </c>
      <c r="D4660">
        <v>87.080000000000013</v>
      </c>
      <c r="E4660" t="str">
        <f t="shared" si="180"/>
        <v>WEEKDAY</v>
      </c>
      <c r="F4660" t="e">
        <f t="shared" si="181"/>
        <v>#N/A</v>
      </c>
      <c r="G4660" s="74">
        <v>31971</v>
      </c>
      <c r="H4660" s="77">
        <v>0.41666666666666669</v>
      </c>
      <c r="J4660">
        <v>84.02</v>
      </c>
      <c r="M4660" s="74">
        <v>33432</v>
      </c>
      <c r="N4660" s="77">
        <v>0.41666666666666669</v>
      </c>
      <c r="P4660">
        <v>64.94</v>
      </c>
      <c r="S4660" s="74">
        <v>34528</v>
      </c>
      <c r="T4660" s="77">
        <v>0.41666666666666669</v>
      </c>
      <c r="V4660">
        <v>84.92</v>
      </c>
      <c r="X4660" s="42"/>
      <c r="AB4660">
        <v>78.3</v>
      </c>
      <c r="AC4660">
        <v>87.080000000000013</v>
      </c>
      <c r="AE4660" s="74"/>
      <c r="AF4660" s="77"/>
      <c r="AH4660" s="497">
        <v>71.599999999999994</v>
      </c>
      <c r="AJ4660" s="42"/>
      <c r="AK4660" s="74"/>
      <c r="AL4660" s="77"/>
      <c r="AN4660" s="497">
        <v>71.06</v>
      </c>
      <c r="AP4660" s="42"/>
      <c r="AQ4660" s="74"/>
      <c r="AR4660" s="77"/>
      <c r="AT4660" s="497">
        <v>82.94</v>
      </c>
      <c r="AV4660" s="42"/>
      <c r="AW4660" s="74"/>
      <c r="AX4660" s="77"/>
      <c r="BA4660" s="497">
        <v>69.080000000000013</v>
      </c>
      <c r="BB4660" s="42"/>
      <c r="BC4660" s="74"/>
      <c r="BD4660" s="77"/>
      <c r="BF4660">
        <v>69.98</v>
      </c>
      <c r="BH4660" s="42"/>
      <c r="BI4660" s="74"/>
      <c r="BJ4660" s="77"/>
      <c r="BL4660" s="497">
        <v>82.039999999999992</v>
      </c>
      <c r="BN4660" s="42"/>
      <c r="BO4660" s="74"/>
      <c r="BP4660" s="77"/>
      <c r="BR4660" s="497">
        <v>71.06</v>
      </c>
      <c r="BT4660" s="42"/>
    </row>
    <row r="4661" spans="1:72" x14ac:dyDescent="0.25">
      <c r="A4661" s="90">
        <v>34528</v>
      </c>
      <c r="B4661" s="20">
        <v>0.45833333333333331</v>
      </c>
      <c r="D4661">
        <v>91.039999999999992</v>
      </c>
      <c r="E4661" t="str">
        <f t="shared" si="180"/>
        <v>WEEKDAY</v>
      </c>
      <c r="F4661" t="e">
        <f t="shared" si="181"/>
        <v>#N/A</v>
      </c>
      <c r="G4661" s="74">
        <v>31971</v>
      </c>
      <c r="H4661" s="77">
        <v>0.45833333333333331</v>
      </c>
      <c r="J4661">
        <v>87.080000000000013</v>
      </c>
      <c r="M4661" s="74">
        <v>33432</v>
      </c>
      <c r="N4661" s="77">
        <v>0.45833333333333331</v>
      </c>
      <c r="P4661">
        <v>66.02</v>
      </c>
      <c r="S4661" s="74">
        <v>34528</v>
      </c>
      <c r="T4661" s="77">
        <v>0.45833333333333331</v>
      </c>
      <c r="V4661">
        <v>89.06</v>
      </c>
      <c r="X4661" s="42"/>
      <c r="AB4661">
        <v>79.900000000000006</v>
      </c>
      <c r="AC4661">
        <v>89.06</v>
      </c>
      <c r="AE4661" s="74"/>
      <c r="AF4661" s="77"/>
      <c r="AH4661" s="497">
        <v>71.599999999999994</v>
      </c>
      <c r="AJ4661" s="42"/>
      <c r="AK4661" s="74"/>
      <c r="AL4661" s="77"/>
      <c r="AN4661" s="497">
        <v>73.039999999999992</v>
      </c>
      <c r="AP4661" s="42"/>
      <c r="AQ4661" s="74"/>
      <c r="AR4661" s="77"/>
      <c r="AT4661" s="497">
        <v>85.64</v>
      </c>
      <c r="AV4661" s="42"/>
      <c r="AW4661" s="74"/>
      <c r="AX4661" s="77"/>
      <c r="BA4661" s="497">
        <v>71.960000000000008</v>
      </c>
      <c r="BB4661" s="42"/>
      <c r="BC4661" s="74"/>
      <c r="BD4661" s="77"/>
      <c r="BF4661">
        <v>71.960000000000008</v>
      </c>
      <c r="BH4661" s="42"/>
      <c r="BI4661" s="74"/>
      <c r="BJ4661" s="77"/>
      <c r="BL4661" s="497">
        <v>84.02</v>
      </c>
      <c r="BN4661" s="42"/>
      <c r="BO4661" s="74"/>
      <c r="BP4661" s="77"/>
      <c r="BR4661" s="497">
        <v>73.94</v>
      </c>
      <c r="BT4661" s="42"/>
    </row>
    <row r="4662" spans="1:72" x14ac:dyDescent="0.25">
      <c r="A4662" s="90">
        <v>34528</v>
      </c>
      <c r="B4662" s="20">
        <v>0.5</v>
      </c>
      <c r="D4662">
        <v>91.94</v>
      </c>
      <c r="E4662" t="str">
        <f t="shared" si="180"/>
        <v>WEEKDAY</v>
      </c>
      <c r="F4662" t="e">
        <f t="shared" si="181"/>
        <v>#N/A</v>
      </c>
      <c r="G4662" s="74">
        <v>31971</v>
      </c>
      <c r="H4662" s="77">
        <v>0.5</v>
      </c>
      <c r="J4662">
        <v>87.080000000000013</v>
      </c>
      <c r="M4662" s="74">
        <v>33432</v>
      </c>
      <c r="N4662" s="77">
        <v>0.5</v>
      </c>
      <c r="P4662">
        <v>66.02</v>
      </c>
      <c r="S4662" s="74">
        <v>34528</v>
      </c>
      <c r="T4662" s="77">
        <v>0.5</v>
      </c>
      <c r="V4662">
        <v>91.039999999999992</v>
      </c>
      <c r="X4662" s="42"/>
      <c r="AB4662">
        <v>81.099999999999994</v>
      </c>
      <c r="AC4662">
        <v>89.960000000000008</v>
      </c>
      <c r="AE4662" s="74"/>
      <c r="AF4662" s="77"/>
      <c r="AH4662" s="497">
        <v>75.2</v>
      </c>
      <c r="AJ4662" s="42"/>
      <c r="AK4662" s="74"/>
      <c r="AL4662" s="77"/>
      <c r="AN4662" s="497">
        <v>75.02</v>
      </c>
      <c r="AP4662" s="42"/>
      <c r="AQ4662" s="74"/>
      <c r="AR4662" s="77"/>
      <c r="AT4662" s="497">
        <v>88.34</v>
      </c>
      <c r="AV4662" s="42"/>
      <c r="AW4662" s="74"/>
      <c r="AX4662" s="77"/>
      <c r="BA4662" s="497">
        <v>73.039999999999992</v>
      </c>
      <c r="BB4662" s="42"/>
      <c r="BC4662" s="74"/>
      <c r="BD4662" s="77"/>
      <c r="BF4662">
        <v>75.02</v>
      </c>
      <c r="BH4662" s="42"/>
      <c r="BI4662" s="74"/>
      <c r="BJ4662" s="77"/>
      <c r="BL4662" s="497">
        <v>84.92</v>
      </c>
      <c r="BN4662" s="42"/>
      <c r="BO4662" s="74"/>
      <c r="BP4662" s="77"/>
      <c r="BR4662" s="497">
        <v>75.92</v>
      </c>
      <c r="BT4662" s="42"/>
    </row>
    <row r="4663" spans="1:72" x14ac:dyDescent="0.25">
      <c r="A4663" s="90">
        <v>34528</v>
      </c>
      <c r="B4663" s="20">
        <v>0.54166666666666663</v>
      </c>
      <c r="D4663">
        <v>96.98</v>
      </c>
      <c r="E4663" t="str">
        <f t="shared" si="180"/>
        <v>WEEKDAY</v>
      </c>
      <c r="F4663" t="e">
        <f t="shared" si="181"/>
        <v>#N/A</v>
      </c>
      <c r="G4663" s="74">
        <v>31971</v>
      </c>
      <c r="H4663" s="77">
        <v>0.54166666666666663</v>
      </c>
      <c r="J4663">
        <v>87.98</v>
      </c>
      <c r="M4663" s="74">
        <v>33432</v>
      </c>
      <c r="N4663" s="77">
        <v>0.54166666666666663</v>
      </c>
      <c r="P4663">
        <v>66.02</v>
      </c>
      <c r="S4663" s="74">
        <v>34528</v>
      </c>
      <c r="T4663" s="77">
        <v>0.54166666666666663</v>
      </c>
      <c r="V4663">
        <v>87.080000000000013</v>
      </c>
      <c r="X4663" s="42"/>
      <c r="AB4663">
        <v>81.8</v>
      </c>
      <c r="AC4663">
        <v>91.039999999999992</v>
      </c>
      <c r="AE4663" s="74"/>
      <c r="AF4663" s="77"/>
      <c r="AH4663" s="497">
        <v>75.56</v>
      </c>
      <c r="AJ4663" s="42"/>
      <c r="AK4663" s="74"/>
      <c r="AL4663" s="77"/>
      <c r="AN4663" s="497">
        <v>77</v>
      </c>
      <c r="AP4663" s="42"/>
      <c r="AQ4663" s="74"/>
      <c r="AR4663" s="77"/>
      <c r="AT4663" s="497">
        <v>91.039999999999992</v>
      </c>
      <c r="AV4663" s="42"/>
      <c r="AW4663" s="74"/>
      <c r="AX4663" s="77"/>
      <c r="BA4663" s="497">
        <v>73.94</v>
      </c>
      <c r="BB4663" s="42"/>
      <c r="BC4663" s="74"/>
      <c r="BD4663" s="77"/>
      <c r="BF4663">
        <v>77</v>
      </c>
      <c r="BH4663" s="42"/>
      <c r="BI4663" s="74"/>
      <c r="BJ4663" s="77"/>
      <c r="BL4663" s="497">
        <v>87.080000000000013</v>
      </c>
      <c r="BN4663" s="42"/>
      <c r="BO4663" s="74"/>
      <c r="BP4663" s="77"/>
      <c r="BR4663" s="497">
        <v>75.92</v>
      </c>
      <c r="BT4663" s="42"/>
    </row>
    <row r="4664" spans="1:72" x14ac:dyDescent="0.25">
      <c r="A4664" s="90">
        <v>34528</v>
      </c>
      <c r="B4664" s="20">
        <v>0.58333333333333337</v>
      </c>
      <c r="D4664">
        <v>98.06</v>
      </c>
      <c r="E4664" t="str">
        <f t="shared" si="180"/>
        <v>WEEKDAY</v>
      </c>
      <c r="F4664" t="e">
        <f t="shared" si="181"/>
        <v>#N/A</v>
      </c>
      <c r="G4664" s="74">
        <v>31971</v>
      </c>
      <c r="H4664" s="77">
        <v>0.58333333333333337</v>
      </c>
      <c r="J4664">
        <v>87.080000000000013</v>
      </c>
      <c r="M4664" s="74">
        <v>33432</v>
      </c>
      <c r="N4664" s="77">
        <v>0.58333333333333337</v>
      </c>
      <c r="P4664">
        <v>69.98</v>
      </c>
      <c r="S4664" s="74">
        <v>34528</v>
      </c>
      <c r="T4664" s="77">
        <v>0.58333333333333337</v>
      </c>
      <c r="V4664">
        <v>87.98</v>
      </c>
      <c r="X4664" s="42"/>
      <c r="AB4664">
        <v>82.2</v>
      </c>
      <c r="AC4664">
        <v>89.06</v>
      </c>
      <c r="AE4664" s="74"/>
      <c r="AF4664" s="77"/>
      <c r="AH4664" s="497">
        <v>75.2</v>
      </c>
      <c r="AJ4664" s="42"/>
      <c r="AK4664" s="74"/>
      <c r="AL4664" s="77"/>
      <c r="AN4664" s="497">
        <v>69.98</v>
      </c>
      <c r="AP4664" s="42"/>
      <c r="AQ4664" s="74"/>
      <c r="AR4664" s="77"/>
      <c r="AT4664" s="497">
        <v>88.34</v>
      </c>
      <c r="AV4664" s="42"/>
      <c r="AW4664" s="74"/>
      <c r="AX4664" s="77"/>
      <c r="BA4664" s="497">
        <v>75.92</v>
      </c>
      <c r="BB4664" s="42"/>
      <c r="BC4664" s="74"/>
      <c r="BD4664" s="77"/>
      <c r="BF4664">
        <v>77</v>
      </c>
      <c r="BH4664" s="42"/>
      <c r="BI4664" s="74"/>
      <c r="BJ4664" s="77"/>
      <c r="BL4664" s="497">
        <v>87.98</v>
      </c>
      <c r="BN4664" s="42"/>
      <c r="BO4664" s="74"/>
      <c r="BP4664" s="77"/>
      <c r="BR4664" s="497">
        <v>77</v>
      </c>
      <c r="BT4664" s="42"/>
    </row>
    <row r="4665" spans="1:72" x14ac:dyDescent="0.25">
      <c r="A4665" s="90">
        <v>34528</v>
      </c>
      <c r="B4665" s="20">
        <v>0.625</v>
      </c>
      <c r="D4665">
        <v>95</v>
      </c>
      <c r="E4665" t="str">
        <f t="shared" si="180"/>
        <v>WEEKDAY</v>
      </c>
      <c r="F4665" t="e">
        <f t="shared" si="181"/>
        <v>#N/A</v>
      </c>
      <c r="G4665" s="74">
        <v>31971</v>
      </c>
      <c r="H4665" s="77">
        <v>0.625</v>
      </c>
      <c r="J4665">
        <v>87.080000000000013</v>
      </c>
      <c r="M4665" s="74">
        <v>33432</v>
      </c>
      <c r="N4665" s="77">
        <v>0.625</v>
      </c>
      <c r="P4665">
        <v>69.080000000000013</v>
      </c>
      <c r="S4665" s="74">
        <v>34528</v>
      </c>
      <c r="T4665" s="77">
        <v>0.625</v>
      </c>
      <c r="V4665">
        <v>87.080000000000013</v>
      </c>
      <c r="X4665" s="42"/>
      <c r="AB4665">
        <v>82.2</v>
      </c>
      <c r="AC4665">
        <v>87.080000000000013</v>
      </c>
      <c r="AE4665" s="74"/>
      <c r="AF4665" s="77"/>
      <c r="AH4665" s="497">
        <v>75.2</v>
      </c>
      <c r="AJ4665" s="42"/>
      <c r="AK4665" s="74"/>
      <c r="AL4665" s="77"/>
      <c r="AN4665" s="497">
        <v>78.080000000000013</v>
      </c>
      <c r="AP4665" s="42"/>
      <c r="AQ4665" s="74"/>
      <c r="AR4665" s="77"/>
      <c r="AT4665" s="497">
        <v>85.64</v>
      </c>
      <c r="AV4665" s="42"/>
      <c r="AW4665" s="74"/>
      <c r="AX4665" s="77"/>
      <c r="BA4665" s="497">
        <v>75.92</v>
      </c>
      <c r="BB4665" s="42"/>
      <c r="BC4665" s="74"/>
      <c r="BD4665" s="77"/>
      <c r="BF4665">
        <v>78.080000000000013</v>
      </c>
      <c r="BH4665" s="42"/>
      <c r="BI4665" s="74"/>
      <c r="BJ4665" s="77"/>
      <c r="BL4665" s="497">
        <v>87.98</v>
      </c>
      <c r="BN4665" s="42"/>
      <c r="BO4665" s="74"/>
      <c r="BP4665" s="77"/>
      <c r="BR4665" s="497">
        <v>77</v>
      </c>
      <c r="BT4665" s="42"/>
    </row>
    <row r="4666" spans="1:72" x14ac:dyDescent="0.25">
      <c r="A4666" s="90">
        <v>34528</v>
      </c>
      <c r="B4666" s="20">
        <v>0.66666666666666663</v>
      </c>
      <c r="D4666">
        <v>93.02</v>
      </c>
      <c r="E4666" t="str">
        <f t="shared" si="180"/>
        <v>WEEKDAY</v>
      </c>
      <c r="F4666" t="e">
        <f t="shared" si="181"/>
        <v>#N/A</v>
      </c>
      <c r="G4666" s="74">
        <v>31971</v>
      </c>
      <c r="H4666" s="77">
        <v>0.66666666666666663</v>
      </c>
      <c r="J4666">
        <v>84.92</v>
      </c>
      <c r="M4666" s="74">
        <v>33432</v>
      </c>
      <c r="N4666" s="77">
        <v>0.66666666666666663</v>
      </c>
      <c r="P4666">
        <v>71.06</v>
      </c>
      <c r="S4666" s="74">
        <v>34528</v>
      </c>
      <c r="T4666" s="77">
        <v>0.66666666666666663</v>
      </c>
      <c r="V4666">
        <v>84.02</v>
      </c>
      <c r="X4666" s="42"/>
      <c r="AB4666">
        <v>81.599999999999994</v>
      </c>
      <c r="AC4666">
        <v>87.080000000000013</v>
      </c>
      <c r="AE4666" s="74"/>
      <c r="AF4666" s="77"/>
      <c r="AH4666" s="497">
        <v>73.400000000000006</v>
      </c>
      <c r="AJ4666" s="42"/>
      <c r="AK4666" s="74"/>
      <c r="AL4666" s="77"/>
      <c r="AN4666" s="497">
        <v>78.080000000000013</v>
      </c>
      <c r="AP4666" s="42"/>
      <c r="AQ4666" s="74"/>
      <c r="AR4666" s="77"/>
      <c r="AT4666" s="497">
        <v>82.94</v>
      </c>
      <c r="AV4666" s="42"/>
      <c r="AW4666" s="74"/>
      <c r="AX4666" s="77"/>
      <c r="BA4666" s="497">
        <v>75.92</v>
      </c>
      <c r="BB4666" s="42"/>
      <c r="BC4666" s="74"/>
      <c r="BD4666" s="77"/>
      <c r="BF4666">
        <v>78.080000000000013</v>
      </c>
      <c r="BH4666" s="42"/>
      <c r="BI4666" s="74"/>
      <c r="BJ4666" s="77"/>
      <c r="BL4666" s="497">
        <v>87.080000000000013</v>
      </c>
      <c r="BN4666" s="42"/>
      <c r="BO4666" s="74"/>
      <c r="BP4666" s="77"/>
      <c r="BR4666" s="497">
        <v>77</v>
      </c>
      <c r="BT4666" s="42"/>
    </row>
    <row r="4667" spans="1:72" x14ac:dyDescent="0.25">
      <c r="A4667" s="90">
        <v>34528</v>
      </c>
      <c r="B4667" s="20">
        <v>0.70833333333333337</v>
      </c>
      <c r="D4667">
        <v>91.039999999999992</v>
      </c>
      <c r="E4667" t="str">
        <f t="shared" si="180"/>
        <v>WEEKDAY</v>
      </c>
      <c r="F4667" t="e">
        <f t="shared" si="181"/>
        <v>#N/A</v>
      </c>
      <c r="G4667" s="74">
        <v>31971</v>
      </c>
      <c r="H4667" s="77">
        <v>0.70833333333333337</v>
      </c>
      <c r="J4667">
        <v>84.02</v>
      </c>
      <c r="M4667" s="74">
        <v>33432</v>
      </c>
      <c r="N4667" s="77">
        <v>0.70833333333333337</v>
      </c>
      <c r="P4667">
        <v>73.039999999999992</v>
      </c>
      <c r="S4667" s="74">
        <v>34528</v>
      </c>
      <c r="T4667" s="77">
        <v>0.70833333333333337</v>
      </c>
      <c r="V4667">
        <v>82.039999999999992</v>
      </c>
      <c r="X4667" s="42"/>
      <c r="AB4667">
        <v>80.7</v>
      </c>
      <c r="AC4667">
        <v>84.92</v>
      </c>
      <c r="AE4667" s="74"/>
      <c r="AF4667" s="77"/>
      <c r="AH4667" s="497">
        <v>73.400000000000006</v>
      </c>
      <c r="AJ4667" s="42"/>
      <c r="AK4667" s="74"/>
      <c r="AL4667" s="77"/>
      <c r="AN4667" s="497">
        <v>75.02</v>
      </c>
      <c r="AP4667" s="42"/>
      <c r="AQ4667" s="74"/>
      <c r="AR4667" s="77"/>
      <c r="AT4667" s="497">
        <v>80.960000000000008</v>
      </c>
      <c r="AV4667" s="42"/>
      <c r="AW4667" s="74"/>
      <c r="AX4667" s="77"/>
      <c r="BA4667" s="497">
        <v>75.02</v>
      </c>
      <c r="BB4667" s="42"/>
      <c r="BC4667" s="74"/>
      <c r="BD4667" s="77"/>
      <c r="BF4667">
        <v>78.98</v>
      </c>
      <c r="BH4667" s="42"/>
      <c r="BI4667" s="74"/>
      <c r="BJ4667" s="77"/>
      <c r="BL4667" s="497">
        <v>87.080000000000013</v>
      </c>
      <c r="BN4667" s="42"/>
      <c r="BO4667" s="74"/>
      <c r="BP4667" s="77"/>
      <c r="BR4667" s="497">
        <v>75.92</v>
      </c>
      <c r="BT4667" s="42"/>
    </row>
    <row r="4668" spans="1:72" x14ac:dyDescent="0.25">
      <c r="A4668" s="90">
        <v>34528</v>
      </c>
      <c r="B4668" s="20">
        <v>0.75</v>
      </c>
      <c r="D4668">
        <v>89.960000000000008</v>
      </c>
      <c r="E4668" t="str">
        <f t="shared" si="180"/>
        <v>WEEKDAY</v>
      </c>
      <c r="F4668" t="e">
        <f t="shared" si="181"/>
        <v>#N/A</v>
      </c>
      <c r="G4668" s="74">
        <v>31971</v>
      </c>
      <c r="H4668" s="77">
        <v>0.75</v>
      </c>
      <c r="J4668">
        <v>82.039999999999992</v>
      </c>
      <c r="M4668" s="74">
        <v>33432</v>
      </c>
      <c r="N4668" s="77">
        <v>0.75</v>
      </c>
      <c r="P4668">
        <v>73.94</v>
      </c>
      <c r="S4668" s="74">
        <v>34528</v>
      </c>
      <c r="T4668" s="77">
        <v>0.75</v>
      </c>
      <c r="V4668">
        <v>80.960000000000008</v>
      </c>
      <c r="X4668" s="42"/>
      <c r="AB4668">
        <v>79.599999999999994</v>
      </c>
      <c r="AC4668">
        <v>80.960000000000008</v>
      </c>
      <c r="AE4668" s="74"/>
      <c r="AF4668" s="77"/>
      <c r="AH4668" s="497">
        <v>71.599999999999994</v>
      </c>
      <c r="AJ4668" s="42"/>
      <c r="AK4668" s="74"/>
      <c r="AL4668" s="77"/>
      <c r="AN4668" s="497">
        <v>73.94</v>
      </c>
      <c r="AP4668" s="42"/>
      <c r="AQ4668" s="74"/>
      <c r="AR4668" s="77"/>
      <c r="AT4668" s="497">
        <v>78.98</v>
      </c>
      <c r="AV4668" s="42"/>
      <c r="AW4668" s="74"/>
      <c r="AX4668" s="77"/>
      <c r="BA4668" s="497">
        <v>75.02</v>
      </c>
      <c r="BB4668" s="42"/>
      <c r="BC4668" s="74"/>
      <c r="BD4668" s="77"/>
      <c r="BF4668">
        <v>78.080000000000013</v>
      </c>
      <c r="BH4668" s="42"/>
      <c r="BI4668" s="74"/>
      <c r="BJ4668" s="77"/>
      <c r="BL4668" s="497">
        <v>84.92</v>
      </c>
      <c r="BN4668" s="42"/>
      <c r="BO4668" s="74"/>
      <c r="BP4668" s="77"/>
      <c r="BR4668" s="497">
        <v>75.02</v>
      </c>
      <c r="BT4668" s="42"/>
    </row>
    <row r="4669" spans="1:72" x14ac:dyDescent="0.25">
      <c r="A4669" s="90">
        <v>34528</v>
      </c>
      <c r="B4669" s="20">
        <v>0.79166666666666663</v>
      </c>
      <c r="D4669">
        <v>89.06</v>
      </c>
      <c r="E4669" t="str">
        <f t="shared" si="180"/>
        <v>WEEKDAY</v>
      </c>
      <c r="F4669" t="e">
        <f t="shared" si="181"/>
        <v>#N/A</v>
      </c>
      <c r="G4669" s="74">
        <v>31971</v>
      </c>
      <c r="H4669" s="77">
        <v>0.79166666666666663</v>
      </c>
      <c r="J4669">
        <v>80.06</v>
      </c>
      <c r="M4669" s="74">
        <v>33432</v>
      </c>
      <c r="N4669" s="77">
        <v>0.79166666666666663</v>
      </c>
      <c r="P4669">
        <v>71.960000000000008</v>
      </c>
      <c r="S4669" s="74">
        <v>34528</v>
      </c>
      <c r="T4669" s="77">
        <v>0.79166666666666663</v>
      </c>
      <c r="V4669">
        <v>80.06</v>
      </c>
      <c r="X4669" s="42"/>
      <c r="AB4669">
        <v>78.3</v>
      </c>
      <c r="AC4669">
        <v>78.98</v>
      </c>
      <c r="AE4669" s="74"/>
      <c r="AF4669" s="77"/>
      <c r="AH4669" s="497">
        <v>68</v>
      </c>
      <c r="AJ4669" s="42"/>
      <c r="AK4669" s="74"/>
      <c r="AL4669" s="77"/>
      <c r="AN4669" s="497">
        <v>73.039999999999992</v>
      </c>
      <c r="AP4669" s="42"/>
      <c r="AQ4669" s="74"/>
      <c r="AR4669" s="77"/>
      <c r="AT4669" s="497">
        <v>77</v>
      </c>
      <c r="AV4669" s="42"/>
      <c r="AW4669" s="74"/>
      <c r="AX4669" s="77"/>
      <c r="BA4669" s="497">
        <v>73.039999999999992</v>
      </c>
      <c r="BB4669" s="42"/>
      <c r="BC4669" s="74"/>
      <c r="BD4669" s="77"/>
      <c r="BF4669">
        <v>75.02</v>
      </c>
      <c r="BH4669" s="42"/>
      <c r="BI4669" s="74"/>
      <c r="BJ4669" s="77"/>
      <c r="BL4669" s="497">
        <v>82.039999999999992</v>
      </c>
      <c r="BN4669" s="42"/>
      <c r="BO4669" s="74"/>
      <c r="BP4669" s="77"/>
      <c r="BR4669" s="497">
        <v>71.06</v>
      </c>
      <c r="BT4669" s="42"/>
    </row>
    <row r="4670" spans="1:72" x14ac:dyDescent="0.25">
      <c r="A4670" s="90">
        <v>34528</v>
      </c>
      <c r="B4670" s="20">
        <v>0.83333333333333337</v>
      </c>
      <c r="D4670">
        <v>86</v>
      </c>
      <c r="E4670" t="str">
        <f t="shared" si="180"/>
        <v>WEEKDAY</v>
      </c>
      <c r="F4670" t="e">
        <f t="shared" si="181"/>
        <v>#N/A</v>
      </c>
      <c r="G4670" s="74">
        <v>31971</v>
      </c>
      <c r="H4670" s="77">
        <v>0.83333333333333337</v>
      </c>
      <c r="J4670">
        <v>78.98</v>
      </c>
      <c r="M4670" s="74">
        <v>33432</v>
      </c>
      <c r="N4670" s="77">
        <v>0.83333333333333337</v>
      </c>
      <c r="P4670">
        <v>71.06</v>
      </c>
      <c r="S4670" s="74">
        <v>34528</v>
      </c>
      <c r="T4670" s="77">
        <v>0.83333333333333337</v>
      </c>
      <c r="V4670">
        <v>78.98</v>
      </c>
      <c r="X4670" s="42"/>
      <c r="AB4670">
        <v>76.8</v>
      </c>
      <c r="AC4670">
        <v>78.98</v>
      </c>
      <c r="AE4670" s="74"/>
      <c r="AF4670" s="77"/>
      <c r="AH4670" s="497">
        <v>68.36</v>
      </c>
      <c r="AJ4670" s="42"/>
      <c r="AK4670" s="74"/>
      <c r="AL4670" s="77"/>
      <c r="AN4670" s="497">
        <v>71.960000000000008</v>
      </c>
      <c r="AP4670" s="42"/>
      <c r="AQ4670" s="74"/>
      <c r="AR4670" s="77"/>
      <c r="AT4670" s="497">
        <v>74.300000000000011</v>
      </c>
      <c r="AV4670" s="42"/>
      <c r="AW4670" s="74"/>
      <c r="AX4670" s="77"/>
      <c r="BA4670" s="497">
        <v>69.080000000000013</v>
      </c>
      <c r="BB4670" s="42"/>
      <c r="BC4670" s="74"/>
      <c r="BD4670" s="77"/>
      <c r="BF4670">
        <v>71.06</v>
      </c>
      <c r="BH4670" s="42"/>
      <c r="BI4670" s="74"/>
      <c r="BJ4670" s="77"/>
      <c r="BL4670" s="497">
        <v>77</v>
      </c>
      <c r="BN4670" s="42"/>
      <c r="BO4670" s="74"/>
      <c r="BP4670" s="77"/>
      <c r="BR4670" s="497">
        <v>62.96</v>
      </c>
      <c r="BT4670" s="42"/>
    </row>
    <row r="4671" spans="1:72" x14ac:dyDescent="0.25">
      <c r="A4671" s="90">
        <v>34528</v>
      </c>
      <c r="B4671" s="20">
        <v>0.875</v>
      </c>
      <c r="D4671">
        <v>87.080000000000013</v>
      </c>
      <c r="E4671" t="str">
        <f t="shared" si="180"/>
        <v>WEEKDAY</v>
      </c>
      <c r="F4671" t="e">
        <f t="shared" si="181"/>
        <v>#N/A</v>
      </c>
      <c r="G4671" s="74">
        <v>31971</v>
      </c>
      <c r="H4671" s="77">
        <v>0.875</v>
      </c>
      <c r="J4671">
        <v>78.080000000000013</v>
      </c>
      <c r="M4671" s="74">
        <v>33432</v>
      </c>
      <c r="N4671" s="77">
        <v>0.875</v>
      </c>
      <c r="P4671">
        <v>69.98</v>
      </c>
      <c r="S4671" s="74">
        <v>34528</v>
      </c>
      <c r="T4671" s="77">
        <v>0.875</v>
      </c>
      <c r="V4671">
        <v>80.960000000000008</v>
      </c>
      <c r="X4671" s="42"/>
      <c r="AB4671">
        <v>75.599999999999994</v>
      </c>
      <c r="AC4671">
        <v>78.98</v>
      </c>
      <c r="AE4671" s="74"/>
      <c r="AF4671" s="77"/>
      <c r="AH4671" s="497">
        <v>69.800000000000011</v>
      </c>
      <c r="AJ4671" s="42"/>
      <c r="AK4671" s="74"/>
      <c r="AL4671" s="77"/>
      <c r="AN4671" s="497">
        <v>71.06</v>
      </c>
      <c r="AP4671" s="42"/>
      <c r="AQ4671" s="74"/>
      <c r="AR4671" s="77"/>
      <c r="AT4671" s="497">
        <v>71.78</v>
      </c>
      <c r="AV4671" s="42"/>
      <c r="AW4671" s="74"/>
      <c r="AX4671" s="77"/>
      <c r="BA4671" s="497">
        <v>64.94</v>
      </c>
      <c r="BB4671" s="42"/>
      <c r="BC4671" s="74"/>
      <c r="BD4671" s="77"/>
      <c r="BF4671">
        <v>69.98</v>
      </c>
      <c r="BH4671" s="42"/>
      <c r="BI4671" s="74"/>
      <c r="BJ4671" s="77"/>
      <c r="BL4671" s="497">
        <v>75.92</v>
      </c>
      <c r="BN4671" s="42"/>
      <c r="BO4671" s="74"/>
      <c r="BP4671" s="77"/>
      <c r="BR4671" s="497">
        <v>59</v>
      </c>
      <c r="BT4671" s="42"/>
    </row>
    <row r="4672" spans="1:72" x14ac:dyDescent="0.25">
      <c r="A4672" s="90">
        <v>34528</v>
      </c>
      <c r="B4672" s="20">
        <v>0.91666666666666663</v>
      </c>
      <c r="D4672">
        <v>86</v>
      </c>
      <c r="E4672" t="str">
        <f t="shared" si="180"/>
        <v>WEEKDAY</v>
      </c>
      <c r="F4672" t="e">
        <f t="shared" si="181"/>
        <v>#N/A</v>
      </c>
      <c r="G4672" s="74">
        <v>31971</v>
      </c>
      <c r="H4672" s="77">
        <v>0.91666666666666663</v>
      </c>
      <c r="J4672">
        <v>77</v>
      </c>
      <c r="M4672" s="74">
        <v>33432</v>
      </c>
      <c r="N4672" s="77">
        <v>0.91666666666666663</v>
      </c>
      <c r="P4672">
        <v>69.080000000000013</v>
      </c>
      <c r="S4672" s="74">
        <v>34528</v>
      </c>
      <c r="T4672" s="77">
        <v>0.91666666666666663</v>
      </c>
      <c r="V4672">
        <v>80.06</v>
      </c>
      <c r="X4672" s="42"/>
      <c r="AB4672">
        <v>75</v>
      </c>
      <c r="AC4672">
        <v>77</v>
      </c>
      <c r="AE4672" s="74"/>
      <c r="AF4672" s="77"/>
      <c r="AH4672" s="497">
        <v>66.2</v>
      </c>
      <c r="AJ4672" s="42"/>
      <c r="AK4672" s="74"/>
      <c r="AL4672" s="77"/>
      <c r="AN4672" s="497">
        <v>69.98</v>
      </c>
      <c r="AP4672" s="42"/>
      <c r="AQ4672" s="74"/>
      <c r="AR4672" s="77"/>
      <c r="AT4672" s="497">
        <v>69.080000000000013</v>
      </c>
      <c r="AV4672" s="42"/>
      <c r="AW4672" s="74"/>
      <c r="AX4672" s="77"/>
      <c r="BA4672" s="497">
        <v>64.039999999999992</v>
      </c>
      <c r="BB4672" s="42"/>
      <c r="BC4672" s="74"/>
      <c r="BD4672" s="77"/>
      <c r="BF4672">
        <v>66.92</v>
      </c>
      <c r="BH4672" s="42"/>
      <c r="BI4672" s="74"/>
      <c r="BJ4672" s="77"/>
      <c r="BL4672" s="497">
        <v>75.02</v>
      </c>
      <c r="BN4672" s="42"/>
      <c r="BO4672" s="74"/>
      <c r="BP4672" s="77"/>
      <c r="BR4672" s="497">
        <v>57.019999999999996</v>
      </c>
      <c r="BT4672" s="42"/>
    </row>
    <row r="4673" spans="1:72" x14ac:dyDescent="0.25">
      <c r="A4673" s="90">
        <v>34528</v>
      </c>
      <c r="B4673" s="20">
        <v>0.95833333333333337</v>
      </c>
      <c r="D4673">
        <v>87.080000000000013</v>
      </c>
      <c r="E4673" t="str">
        <f t="shared" si="180"/>
        <v>WEEKDAY</v>
      </c>
      <c r="F4673" t="e">
        <f t="shared" si="181"/>
        <v>#N/A</v>
      </c>
      <c r="G4673" s="74">
        <v>31971</v>
      </c>
      <c r="H4673" s="77">
        <v>0.95833333333333337</v>
      </c>
      <c r="J4673">
        <v>78.080000000000013</v>
      </c>
      <c r="M4673" s="74">
        <v>33432</v>
      </c>
      <c r="N4673" s="77">
        <v>0.95833333333333337</v>
      </c>
      <c r="P4673">
        <v>68</v>
      </c>
      <c r="S4673" s="74">
        <v>34528</v>
      </c>
      <c r="T4673" s="77">
        <v>0.95833333333333337</v>
      </c>
      <c r="V4673">
        <v>80.960000000000008</v>
      </c>
      <c r="X4673" s="42"/>
      <c r="AB4673">
        <v>74.5</v>
      </c>
      <c r="AC4673">
        <v>75.92</v>
      </c>
      <c r="AE4673" s="74"/>
      <c r="AF4673" s="77"/>
      <c r="AH4673" s="497">
        <v>66.2</v>
      </c>
      <c r="AJ4673" s="42"/>
      <c r="AK4673" s="74"/>
      <c r="AL4673" s="77"/>
      <c r="AN4673" s="497">
        <v>69.98</v>
      </c>
      <c r="AP4673" s="42"/>
      <c r="AQ4673" s="74"/>
      <c r="AR4673" s="77"/>
      <c r="AT4673" s="497">
        <v>67.460000000000008</v>
      </c>
      <c r="AV4673" s="42"/>
      <c r="AW4673" s="74"/>
      <c r="AX4673" s="77"/>
      <c r="BA4673" s="497">
        <v>62.96</v>
      </c>
      <c r="BB4673" s="42"/>
      <c r="BC4673" s="74"/>
      <c r="BD4673" s="77"/>
      <c r="BF4673">
        <v>66.92</v>
      </c>
      <c r="BH4673" s="42"/>
      <c r="BI4673" s="74"/>
      <c r="BJ4673" s="77"/>
      <c r="BL4673" s="497">
        <v>71.06</v>
      </c>
      <c r="BN4673" s="42"/>
      <c r="BO4673" s="74"/>
      <c r="BP4673" s="77"/>
      <c r="BR4673" s="497">
        <v>55.94</v>
      </c>
      <c r="BT4673" s="42"/>
    </row>
    <row r="4674" spans="1:72" x14ac:dyDescent="0.25">
      <c r="A4674" s="90">
        <v>34528</v>
      </c>
      <c r="B4674" s="20">
        <v>1</v>
      </c>
      <c r="D4674">
        <v>82.039999999999992</v>
      </c>
      <c r="E4674" t="str">
        <f t="shared" si="180"/>
        <v>WEEKDAY</v>
      </c>
      <c r="F4674" t="e">
        <f t="shared" si="181"/>
        <v>#N/A</v>
      </c>
      <c r="G4674" s="74">
        <v>31971</v>
      </c>
      <c r="H4674" s="77">
        <v>1</v>
      </c>
      <c r="J4674">
        <v>77</v>
      </c>
      <c r="M4674" s="74">
        <v>33432</v>
      </c>
      <c r="N4674" s="80">
        <v>1</v>
      </c>
      <c r="P4674">
        <v>66.92</v>
      </c>
      <c r="S4674" s="74">
        <v>34528</v>
      </c>
      <c r="T4674" s="80">
        <v>1</v>
      </c>
      <c r="V4674">
        <v>80.06</v>
      </c>
      <c r="X4674" s="42"/>
      <c r="AB4674">
        <v>74</v>
      </c>
      <c r="AC4674">
        <v>75.02</v>
      </c>
      <c r="AE4674" s="74"/>
      <c r="AF4674" s="80"/>
      <c r="AH4674" s="497">
        <v>66.2</v>
      </c>
      <c r="AJ4674" s="42"/>
      <c r="AK4674" s="74"/>
      <c r="AL4674" s="80"/>
      <c r="AN4674" s="497">
        <v>69.080000000000013</v>
      </c>
      <c r="AP4674" s="42"/>
      <c r="AQ4674" s="74"/>
      <c r="AR4674" s="80"/>
      <c r="AT4674" s="497">
        <v>65.66</v>
      </c>
      <c r="AV4674" s="42"/>
      <c r="AW4674" s="74"/>
      <c r="AX4674" s="80"/>
      <c r="BA4674" s="497">
        <v>62.96</v>
      </c>
      <c r="BB4674" s="42"/>
      <c r="BC4674" s="74"/>
      <c r="BD4674" s="80"/>
      <c r="BF4674">
        <v>62.96</v>
      </c>
      <c r="BH4674" s="42"/>
      <c r="BI4674" s="74"/>
      <c r="BJ4674" s="80"/>
      <c r="BL4674" s="497">
        <v>69.98</v>
      </c>
      <c r="BN4674" s="42"/>
      <c r="BO4674" s="74"/>
      <c r="BP4674" s="80"/>
      <c r="BR4674" s="497">
        <v>55.040000000000006</v>
      </c>
      <c r="BT4674" s="42"/>
    </row>
    <row r="4675" spans="1:72" x14ac:dyDescent="0.25">
      <c r="A4675" s="90">
        <v>34529</v>
      </c>
      <c r="B4675" s="20">
        <v>4.1666666666666664E-2</v>
      </c>
      <c r="D4675">
        <v>80.960000000000008</v>
      </c>
      <c r="E4675" t="str">
        <f t="shared" si="180"/>
        <v>WEEKDAY</v>
      </c>
      <c r="F4675" t="e">
        <f t="shared" si="181"/>
        <v>#N/A</v>
      </c>
      <c r="G4675" s="74">
        <v>31972</v>
      </c>
      <c r="H4675" s="77">
        <v>4.1666666666666664E-2</v>
      </c>
      <c r="J4675">
        <v>77</v>
      </c>
      <c r="M4675" s="74">
        <v>33433</v>
      </c>
      <c r="N4675" s="77">
        <v>4.1666666666666664E-2</v>
      </c>
      <c r="P4675">
        <v>66.92</v>
      </c>
      <c r="S4675" s="74">
        <v>34529</v>
      </c>
      <c r="T4675" s="77">
        <v>4.1666666666666664E-2</v>
      </c>
      <c r="V4675">
        <v>78.98</v>
      </c>
      <c r="X4675" s="42"/>
      <c r="AB4675">
        <v>73.2</v>
      </c>
      <c r="AC4675">
        <v>73.94</v>
      </c>
      <c r="AE4675" s="74"/>
      <c r="AF4675" s="77"/>
      <c r="AH4675" s="497">
        <v>66.2</v>
      </c>
      <c r="AJ4675" s="42"/>
      <c r="AK4675" s="74"/>
      <c r="AL4675" s="77"/>
      <c r="AN4675" s="497">
        <v>69.080000000000013</v>
      </c>
      <c r="AP4675" s="42"/>
      <c r="AQ4675" s="74"/>
      <c r="AR4675" s="77"/>
      <c r="AT4675" s="497">
        <v>64.039999999999992</v>
      </c>
      <c r="AV4675" s="42"/>
      <c r="AW4675" s="74"/>
      <c r="AX4675" s="77"/>
      <c r="BA4675" s="497">
        <v>62.06</v>
      </c>
      <c r="BB4675" s="42"/>
      <c r="BC4675" s="74"/>
      <c r="BD4675" s="77"/>
      <c r="BF4675">
        <v>62.06</v>
      </c>
      <c r="BH4675" s="42"/>
      <c r="BI4675" s="74"/>
      <c r="BJ4675" s="77"/>
      <c r="BL4675" s="497">
        <v>69.080000000000013</v>
      </c>
      <c r="BN4675" s="42"/>
      <c r="BO4675" s="74"/>
      <c r="BP4675" s="77"/>
      <c r="BR4675" s="497">
        <v>53.96</v>
      </c>
      <c r="BT4675" s="42"/>
    </row>
    <row r="4676" spans="1:72" x14ac:dyDescent="0.25">
      <c r="A4676" s="90">
        <v>34529</v>
      </c>
      <c r="B4676" s="20">
        <v>8.3333333333333329E-2</v>
      </c>
      <c r="D4676">
        <v>80.06</v>
      </c>
      <c r="E4676" t="str">
        <f t="shared" si="180"/>
        <v>WEEKDAY</v>
      </c>
      <c r="F4676" t="e">
        <f t="shared" si="181"/>
        <v>#N/A</v>
      </c>
      <c r="G4676" s="74">
        <v>31972</v>
      </c>
      <c r="H4676" s="77">
        <v>8.3333333333333329E-2</v>
      </c>
      <c r="J4676">
        <v>77</v>
      </c>
      <c r="M4676" s="74">
        <v>33433</v>
      </c>
      <c r="N4676" s="77">
        <v>8.3333333333333329E-2</v>
      </c>
      <c r="P4676">
        <v>64.94</v>
      </c>
      <c r="S4676" s="74">
        <v>34529</v>
      </c>
      <c r="T4676" s="77">
        <v>8.3333333333333329E-2</v>
      </c>
      <c r="V4676">
        <v>78.98</v>
      </c>
      <c r="X4676" s="42"/>
      <c r="AB4676">
        <v>72.599999999999994</v>
      </c>
      <c r="AC4676">
        <v>71.960000000000008</v>
      </c>
      <c r="AE4676" s="74"/>
      <c r="AF4676" s="77"/>
      <c r="AH4676" s="497">
        <v>64.400000000000006</v>
      </c>
      <c r="AJ4676" s="42"/>
      <c r="AK4676" s="74"/>
      <c r="AL4676" s="77"/>
      <c r="AN4676" s="497">
        <v>68</v>
      </c>
      <c r="AP4676" s="42"/>
      <c r="AQ4676" s="74"/>
      <c r="AR4676" s="77"/>
      <c r="AT4676" s="497">
        <v>64.039999999999992</v>
      </c>
      <c r="AV4676" s="42"/>
      <c r="AW4676" s="74"/>
      <c r="AX4676" s="77"/>
      <c r="BA4676" s="497">
        <v>62.06</v>
      </c>
      <c r="BB4676" s="42"/>
      <c r="BC4676" s="74"/>
      <c r="BD4676" s="77"/>
      <c r="BF4676">
        <v>62.06</v>
      </c>
      <c r="BH4676" s="42"/>
      <c r="BI4676" s="74"/>
      <c r="BJ4676" s="77"/>
      <c r="BL4676" s="497">
        <v>69.080000000000013</v>
      </c>
      <c r="BN4676" s="42"/>
      <c r="BO4676" s="74"/>
      <c r="BP4676" s="77"/>
      <c r="BR4676" s="497">
        <v>51.980000000000004</v>
      </c>
      <c r="BT4676" s="42"/>
    </row>
    <row r="4677" spans="1:72" x14ac:dyDescent="0.25">
      <c r="A4677" s="90">
        <v>34529</v>
      </c>
      <c r="B4677" s="20">
        <v>0.125</v>
      </c>
      <c r="D4677">
        <v>77</v>
      </c>
      <c r="E4677" t="str">
        <f t="shared" si="180"/>
        <v>WEEKDAY</v>
      </c>
      <c r="F4677" t="e">
        <f t="shared" si="181"/>
        <v>#N/A</v>
      </c>
      <c r="G4677" s="74">
        <v>31972</v>
      </c>
      <c r="H4677" s="77">
        <v>0.125</v>
      </c>
      <c r="J4677">
        <v>75.92</v>
      </c>
      <c r="M4677" s="74">
        <v>33433</v>
      </c>
      <c r="N4677" s="77">
        <v>0.125</v>
      </c>
      <c r="P4677">
        <v>64.94</v>
      </c>
      <c r="S4677" s="74">
        <v>34529</v>
      </c>
      <c r="T4677" s="77">
        <v>0.125</v>
      </c>
      <c r="V4677">
        <v>75.92</v>
      </c>
      <c r="X4677" s="42"/>
      <c r="AB4677">
        <v>72.099999999999994</v>
      </c>
      <c r="AC4677">
        <v>71.960000000000008</v>
      </c>
      <c r="AE4677" s="74"/>
      <c r="AF4677" s="77"/>
      <c r="AH4677" s="497">
        <v>64.400000000000006</v>
      </c>
      <c r="AJ4677" s="42"/>
      <c r="AK4677" s="74"/>
      <c r="AL4677" s="77"/>
      <c r="AN4677" s="497">
        <v>68</v>
      </c>
      <c r="AP4677" s="42"/>
      <c r="AQ4677" s="74"/>
      <c r="AR4677" s="77"/>
      <c r="AT4677" s="497">
        <v>64.039999999999992</v>
      </c>
      <c r="AV4677" s="42"/>
      <c r="AW4677" s="74"/>
      <c r="AX4677" s="77"/>
      <c r="BA4677" s="497">
        <v>62.06</v>
      </c>
      <c r="BB4677" s="42"/>
      <c r="BC4677" s="74"/>
      <c r="BD4677" s="77"/>
      <c r="BF4677">
        <v>60.08</v>
      </c>
      <c r="BH4677" s="42"/>
      <c r="BI4677" s="74"/>
      <c r="BJ4677" s="77"/>
      <c r="BL4677" s="497">
        <v>69.98</v>
      </c>
      <c r="BN4677" s="42"/>
      <c r="BO4677" s="74"/>
      <c r="BP4677" s="77"/>
      <c r="BR4677" s="497">
        <v>50</v>
      </c>
      <c r="BT4677" s="42"/>
    </row>
    <row r="4678" spans="1:72" x14ac:dyDescent="0.25">
      <c r="A4678" s="90">
        <v>34529</v>
      </c>
      <c r="B4678" s="20">
        <v>0.16666666666666666</v>
      </c>
      <c r="D4678">
        <v>75.02</v>
      </c>
      <c r="E4678" t="str">
        <f t="shared" si="180"/>
        <v>WEEKDAY</v>
      </c>
      <c r="F4678" t="e">
        <f t="shared" si="181"/>
        <v>#N/A</v>
      </c>
      <c r="G4678" s="74">
        <v>31972</v>
      </c>
      <c r="H4678" s="77">
        <v>0.16666666666666666</v>
      </c>
      <c r="J4678">
        <v>75.92</v>
      </c>
      <c r="M4678" s="74">
        <v>33433</v>
      </c>
      <c r="N4678" s="77">
        <v>0.16666666666666666</v>
      </c>
      <c r="P4678">
        <v>66.02</v>
      </c>
      <c r="S4678" s="74">
        <v>34529</v>
      </c>
      <c r="T4678" s="77">
        <v>0.16666666666666666</v>
      </c>
      <c r="V4678">
        <v>75.02</v>
      </c>
      <c r="X4678" s="42"/>
      <c r="AB4678">
        <v>71.7</v>
      </c>
      <c r="AC4678">
        <v>71.960000000000008</v>
      </c>
      <c r="AE4678" s="74"/>
      <c r="AF4678" s="77"/>
      <c r="AH4678" s="497">
        <v>62.6</v>
      </c>
      <c r="AJ4678" s="42"/>
      <c r="AK4678" s="74"/>
      <c r="AL4678" s="77"/>
      <c r="AN4678" s="497">
        <v>66.92</v>
      </c>
      <c r="AP4678" s="42"/>
      <c r="AQ4678" s="74"/>
      <c r="AR4678" s="77"/>
      <c r="AT4678" s="497">
        <v>64.039999999999992</v>
      </c>
      <c r="AV4678" s="42"/>
      <c r="AW4678" s="74"/>
      <c r="AX4678" s="77"/>
      <c r="BA4678" s="497">
        <v>62.96</v>
      </c>
      <c r="BB4678" s="42"/>
      <c r="BC4678" s="74"/>
      <c r="BD4678" s="77"/>
      <c r="BF4678">
        <v>60.08</v>
      </c>
      <c r="BH4678" s="42"/>
      <c r="BI4678" s="74"/>
      <c r="BJ4678" s="77"/>
      <c r="BL4678" s="497">
        <v>66.92</v>
      </c>
      <c r="BN4678" s="42"/>
      <c r="BO4678" s="74"/>
      <c r="BP4678" s="77"/>
      <c r="BR4678" s="497">
        <v>46.94</v>
      </c>
      <c r="BT4678" s="42"/>
    </row>
    <row r="4679" spans="1:72" x14ac:dyDescent="0.25">
      <c r="A4679" s="90">
        <v>34529</v>
      </c>
      <c r="B4679" s="20">
        <v>0.20833333333333334</v>
      </c>
      <c r="D4679">
        <v>73.94</v>
      </c>
      <c r="E4679" t="str">
        <f t="shared" si="180"/>
        <v>WEEKDAY</v>
      </c>
      <c r="F4679" t="e">
        <f t="shared" si="181"/>
        <v>#N/A</v>
      </c>
      <c r="G4679" s="74">
        <v>31972</v>
      </c>
      <c r="H4679" s="77">
        <v>0.20833333333333334</v>
      </c>
      <c r="J4679">
        <v>75.92</v>
      </c>
      <c r="M4679" s="74">
        <v>33433</v>
      </c>
      <c r="N4679" s="77">
        <v>0.20833333333333334</v>
      </c>
      <c r="P4679">
        <v>64.94</v>
      </c>
      <c r="S4679" s="74">
        <v>34529</v>
      </c>
      <c r="T4679" s="77">
        <v>0.20833333333333334</v>
      </c>
      <c r="V4679">
        <v>73.94</v>
      </c>
      <c r="X4679" s="42"/>
      <c r="AB4679">
        <v>71.2</v>
      </c>
      <c r="AC4679">
        <v>71.06</v>
      </c>
      <c r="AE4679" s="74"/>
      <c r="AF4679" s="77"/>
      <c r="AH4679" s="497">
        <v>62.6</v>
      </c>
      <c r="AJ4679" s="42"/>
      <c r="AK4679" s="74"/>
      <c r="AL4679" s="77"/>
      <c r="AN4679" s="497">
        <v>66.02</v>
      </c>
      <c r="AP4679" s="42"/>
      <c r="AQ4679" s="74"/>
      <c r="AR4679" s="77"/>
      <c r="AT4679" s="497">
        <v>66.02</v>
      </c>
      <c r="AV4679" s="42"/>
      <c r="AW4679" s="74"/>
      <c r="AX4679" s="77"/>
      <c r="BA4679" s="497">
        <v>62.96</v>
      </c>
      <c r="BB4679" s="42"/>
      <c r="BC4679" s="74"/>
      <c r="BD4679" s="77"/>
      <c r="BF4679">
        <v>59</v>
      </c>
      <c r="BH4679" s="42"/>
      <c r="BI4679" s="74"/>
      <c r="BJ4679" s="77"/>
      <c r="BL4679" s="497">
        <v>66.92</v>
      </c>
      <c r="BN4679" s="42"/>
      <c r="BO4679" s="74"/>
      <c r="BP4679" s="77"/>
      <c r="BR4679" s="497">
        <v>48.019999999999996</v>
      </c>
      <c r="BT4679" s="42"/>
    </row>
    <row r="4680" spans="1:72" x14ac:dyDescent="0.25">
      <c r="A4680" s="90">
        <v>34529</v>
      </c>
      <c r="B4680" s="20">
        <v>0.25</v>
      </c>
      <c r="D4680">
        <v>77</v>
      </c>
      <c r="E4680" t="str">
        <f t="shared" si="180"/>
        <v>WEEKDAY</v>
      </c>
      <c r="F4680" t="e">
        <f t="shared" si="181"/>
        <v>#N/A</v>
      </c>
      <c r="G4680" s="74">
        <v>31972</v>
      </c>
      <c r="H4680" s="77">
        <v>0.25</v>
      </c>
      <c r="J4680">
        <v>77</v>
      </c>
      <c r="M4680" s="74">
        <v>33433</v>
      </c>
      <c r="N4680" s="77">
        <v>0.25</v>
      </c>
      <c r="P4680">
        <v>66.02</v>
      </c>
      <c r="S4680" s="74">
        <v>34529</v>
      </c>
      <c r="T4680" s="77">
        <v>0.25</v>
      </c>
      <c r="V4680">
        <v>75.92</v>
      </c>
      <c r="X4680" s="42"/>
      <c r="AB4680">
        <v>70.900000000000006</v>
      </c>
      <c r="AC4680">
        <v>73.94</v>
      </c>
      <c r="AE4680" s="74"/>
      <c r="AF4680" s="77"/>
      <c r="AH4680" s="497">
        <v>64.400000000000006</v>
      </c>
      <c r="AJ4680" s="42"/>
      <c r="AK4680" s="74"/>
      <c r="AL4680" s="77"/>
      <c r="AN4680" s="497">
        <v>66.02</v>
      </c>
      <c r="AP4680" s="42"/>
      <c r="AQ4680" s="74"/>
      <c r="AR4680" s="77"/>
      <c r="AT4680" s="497">
        <v>68</v>
      </c>
      <c r="AV4680" s="42"/>
      <c r="AW4680" s="74"/>
      <c r="AX4680" s="77"/>
      <c r="BA4680" s="497">
        <v>62.06</v>
      </c>
      <c r="BB4680" s="42"/>
      <c r="BC4680" s="74"/>
      <c r="BD4680" s="77"/>
      <c r="BF4680">
        <v>60.08</v>
      </c>
      <c r="BH4680" s="42"/>
      <c r="BI4680" s="74"/>
      <c r="BJ4680" s="77"/>
      <c r="BL4680" s="497">
        <v>69.080000000000013</v>
      </c>
      <c r="BN4680" s="42"/>
      <c r="BO4680" s="74"/>
      <c r="BP4680" s="77"/>
      <c r="BR4680" s="497">
        <v>53.06</v>
      </c>
      <c r="BT4680" s="42"/>
    </row>
    <row r="4681" spans="1:72" x14ac:dyDescent="0.25">
      <c r="A4681" s="90">
        <v>34529</v>
      </c>
      <c r="B4681" s="20">
        <v>0.29166666666666669</v>
      </c>
      <c r="D4681">
        <v>78.080000000000013</v>
      </c>
      <c r="E4681" t="str">
        <f t="shared" si="180"/>
        <v>WEEKDAY</v>
      </c>
      <c r="F4681" t="e">
        <f t="shared" si="181"/>
        <v>#N/A</v>
      </c>
      <c r="G4681" s="74">
        <v>31972</v>
      </c>
      <c r="H4681" s="77">
        <v>0.29166666666666669</v>
      </c>
      <c r="J4681">
        <v>78.080000000000013</v>
      </c>
      <c r="M4681" s="74">
        <v>33433</v>
      </c>
      <c r="N4681" s="77">
        <v>0.29166666666666669</v>
      </c>
      <c r="P4681">
        <v>68</v>
      </c>
      <c r="S4681" s="74">
        <v>34529</v>
      </c>
      <c r="T4681" s="77">
        <v>0.29166666666666669</v>
      </c>
      <c r="V4681">
        <v>78.98</v>
      </c>
      <c r="X4681" s="42"/>
      <c r="AB4681">
        <v>72.400000000000006</v>
      </c>
      <c r="AC4681">
        <v>78.080000000000013</v>
      </c>
      <c r="AE4681" s="74"/>
      <c r="AF4681" s="77"/>
      <c r="AH4681" s="497">
        <v>68</v>
      </c>
      <c r="AJ4681" s="42"/>
      <c r="AK4681" s="74"/>
      <c r="AL4681" s="77"/>
      <c r="AN4681" s="497">
        <v>68</v>
      </c>
      <c r="AP4681" s="42"/>
      <c r="AQ4681" s="74"/>
      <c r="AR4681" s="77"/>
      <c r="AT4681" s="497">
        <v>69.98</v>
      </c>
      <c r="AV4681" s="42"/>
      <c r="AW4681" s="74"/>
      <c r="AX4681" s="77"/>
      <c r="BA4681" s="497">
        <v>62.96</v>
      </c>
      <c r="BB4681" s="42"/>
      <c r="BC4681" s="74"/>
      <c r="BD4681" s="77"/>
      <c r="BF4681">
        <v>64.039999999999992</v>
      </c>
      <c r="BH4681" s="42"/>
      <c r="BI4681" s="74"/>
      <c r="BJ4681" s="77"/>
      <c r="BL4681" s="497">
        <v>71.06</v>
      </c>
      <c r="BN4681" s="42"/>
      <c r="BO4681" s="74"/>
      <c r="BP4681" s="77"/>
      <c r="BR4681" s="497">
        <v>60.980000000000004</v>
      </c>
      <c r="BT4681" s="42"/>
    </row>
    <row r="4682" spans="1:72" x14ac:dyDescent="0.25">
      <c r="A4682" s="90">
        <v>34529</v>
      </c>
      <c r="B4682" s="20">
        <v>0.33333333333333331</v>
      </c>
      <c r="D4682">
        <v>78.98</v>
      </c>
      <c r="E4682" t="str">
        <f t="shared" si="180"/>
        <v>WEEKDAY</v>
      </c>
      <c r="F4682" t="e">
        <f t="shared" si="181"/>
        <v>#N/A</v>
      </c>
      <c r="G4682" s="74">
        <v>31972</v>
      </c>
      <c r="H4682" s="77">
        <v>0.33333333333333331</v>
      </c>
      <c r="J4682">
        <v>78.98</v>
      </c>
      <c r="M4682" s="74">
        <v>33433</v>
      </c>
      <c r="N4682" s="77">
        <v>0.33333333333333331</v>
      </c>
      <c r="P4682">
        <v>69.98</v>
      </c>
      <c r="S4682" s="74">
        <v>34529</v>
      </c>
      <c r="T4682" s="77">
        <v>0.33333333333333331</v>
      </c>
      <c r="V4682">
        <v>82.039999999999992</v>
      </c>
      <c r="X4682" s="42"/>
      <c r="AB4682">
        <v>74.5</v>
      </c>
      <c r="AC4682">
        <v>80.06</v>
      </c>
      <c r="AE4682" s="74"/>
      <c r="AF4682" s="77"/>
      <c r="AH4682" s="497">
        <v>71.599999999999994</v>
      </c>
      <c r="AJ4682" s="42"/>
      <c r="AK4682" s="74"/>
      <c r="AL4682" s="77"/>
      <c r="AN4682" s="497">
        <v>69.080000000000013</v>
      </c>
      <c r="AP4682" s="42"/>
      <c r="AQ4682" s="74"/>
      <c r="AR4682" s="77"/>
      <c r="AT4682" s="497">
        <v>71.960000000000008</v>
      </c>
      <c r="AV4682" s="42"/>
      <c r="AW4682" s="74"/>
      <c r="AX4682" s="77"/>
      <c r="BA4682" s="497">
        <v>64.039999999999992</v>
      </c>
      <c r="BB4682" s="42"/>
      <c r="BC4682" s="74"/>
      <c r="BD4682" s="77"/>
      <c r="BF4682">
        <v>69.080000000000013</v>
      </c>
      <c r="BH4682" s="42"/>
      <c r="BI4682" s="74"/>
      <c r="BJ4682" s="77"/>
      <c r="BL4682" s="497">
        <v>75.92</v>
      </c>
      <c r="BN4682" s="42"/>
      <c r="BO4682" s="74"/>
      <c r="BP4682" s="77"/>
      <c r="BR4682" s="497">
        <v>66.92</v>
      </c>
      <c r="BT4682" s="42"/>
    </row>
    <row r="4683" spans="1:72" x14ac:dyDescent="0.25">
      <c r="A4683" s="90">
        <v>34529</v>
      </c>
      <c r="B4683" s="20">
        <v>0.375</v>
      </c>
      <c r="D4683">
        <v>80.06</v>
      </c>
      <c r="E4683" t="str">
        <f t="shared" si="180"/>
        <v>WEEKDAY</v>
      </c>
      <c r="F4683" t="e">
        <f t="shared" si="181"/>
        <v>#N/A</v>
      </c>
      <c r="G4683" s="74">
        <v>31972</v>
      </c>
      <c r="H4683" s="77">
        <v>0.375</v>
      </c>
      <c r="J4683">
        <v>78.98</v>
      </c>
      <c r="M4683" s="74">
        <v>33433</v>
      </c>
      <c r="N4683" s="77">
        <v>0.375</v>
      </c>
      <c r="P4683">
        <v>71.960000000000008</v>
      </c>
      <c r="S4683" s="74">
        <v>34529</v>
      </c>
      <c r="T4683" s="77">
        <v>0.375</v>
      </c>
      <c r="V4683">
        <v>84.02</v>
      </c>
      <c r="X4683" s="42"/>
      <c r="AB4683">
        <v>76.5</v>
      </c>
      <c r="AC4683">
        <v>82.039999999999992</v>
      </c>
      <c r="AE4683" s="74"/>
      <c r="AF4683" s="77"/>
      <c r="AH4683" s="497">
        <v>75.2</v>
      </c>
      <c r="AJ4683" s="42"/>
      <c r="AK4683" s="74"/>
      <c r="AL4683" s="77"/>
      <c r="AN4683" s="497">
        <v>69.98</v>
      </c>
      <c r="AP4683" s="42"/>
      <c r="AQ4683" s="74"/>
      <c r="AR4683" s="77"/>
      <c r="AT4683" s="497">
        <v>73.94</v>
      </c>
      <c r="AV4683" s="42"/>
      <c r="AW4683" s="74"/>
      <c r="AX4683" s="77"/>
      <c r="BA4683" s="497">
        <v>62.96</v>
      </c>
      <c r="BB4683" s="42"/>
      <c r="BC4683" s="74"/>
      <c r="BD4683" s="77"/>
      <c r="BF4683">
        <v>73.94</v>
      </c>
      <c r="BH4683" s="42"/>
      <c r="BI4683" s="74"/>
      <c r="BJ4683" s="77"/>
      <c r="BL4683" s="497">
        <v>80.960000000000008</v>
      </c>
      <c r="BN4683" s="42"/>
      <c r="BO4683" s="74"/>
      <c r="BP4683" s="77"/>
      <c r="BR4683" s="497">
        <v>71.960000000000008</v>
      </c>
      <c r="BT4683" s="42"/>
    </row>
    <row r="4684" spans="1:72" x14ac:dyDescent="0.25">
      <c r="A4684" s="90">
        <v>34529</v>
      </c>
      <c r="B4684" s="20">
        <v>0.41666666666666669</v>
      </c>
      <c r="D4684">
        <v>80.06</v>
      </c>
      <c r="E4684" t="str">
        <f t="shared" si="180"/>
        <v>WEEKDAY</v>
      </c>
      <c r="F4684" t="e">
        <f t="shared" si="181"/>
        <v>#N/A</v>
      </c>
      <c r="G4684" s="74">
        <v>31972</v>
      </c>
      <c r="H4684" s="77">
        <v>0.41666666666666669</v>
      </c>
      <c r="J4684">
        <v>78.98</v>
      </c>
      <c r="M4684" s="74">
        <v>33433</v>
      </c>
      <c r="N4684" s="77">
        <v>0.41666666666666669</v>
      </c>
      <c r="P4684">
        <v>75.92</v>
      </c>
      <c r="S4684" s="74">
        <v>34529</v>
      </c>
      <c r="T4684" s="77">
        <v>0.41666666666666669</v>
      </c>
      <c r="V4684">
        <v>87.080000000000013</v>
      </c>
      <c r="X4684" s="42"/>
      <c r="AB4684">
        <v>78.400000000000006</v>
      </c>
      <c r="AC4684">
        <v>84.92</v>
      </c>
      <c r="AE4684" s="74"/>
      <c r="AF4684" s="77"/>
      <c r="AH4684" s="497">
        <v>80.599999999999994</v>
      </c>
      <c r="AJ4684" s="42"/>
      <c r="AK4684" s="74"/>
      <c r="AL4684" s="77"/>
      <c r="AN4684" s="497">
        <v>71.960000000000008</v>
      </c>
      <c r="AP4684" s="42"/>
      <c r="AQ4684" s="74"/>
      <c r="AR4684" s="77"/>
      <c r="AT4684" s="497">
        <v>75.92</v>
      </c>
      <c r="AV4684" s="42"/>
      <c r="AW4684" s="74"/>
      <c r="AX4684" s="77"/>
      <c r="BA4684" s="497">
        <v>64.039999999999992</v>
      </c>
      <c r="BB4684" s="42"/>
      <c r="BC4684" s="74"/>
      <c r="BD4684" s="77"/>
      <c r="BF4684">
        <v>75.02</v>
      </c>
      <c r="BH4684" s="42"/>
      <c r="BI4684" s="74"/>
      <c r="BJ4684" s="77"/>
      <c r="BL4684" s="497">
        <v>82.94</v>
      </c>
      <c r="BN4684" s="42"/>
      <c r="BO4684" s="74"/>
      <c r="BP4684" s="77"/>
      <c r="BR4684" s="497">
        <v>75.92</v>
      </c>
      <c r="BT4684" s="42"/>
    </row>
    <row r="4685" spans="1:72" x14ac:dyDescent="0.25">
      <c r="A4685" s="90">
        <v>34529</v>
      </c>
      <c r="B4685" s="20">
        <v>0.45833333333333331</v>
      </c>
      <c r="D4685">
        <v>80.960000000000008</v>
      </c>
      <c r="E4685" t="str">
        <f t="shared" si="180"/>
        <v>WEEKDAY</v>
      </c>
      <c r="F4685" t="e">
        <f t="shared" si="181"/>
        <v>#N/A</v>
      </c>
      <c r="G4685" s="74">
        <v>31972</v>
      </c>
      <c r="H4685" s="77">
        <v>0.45833333333333331</v>
      </c>
      <c r="J4685">
        <v>80.960000000000008</v>
      </c>
      <c r="M4685" s="74">
        <v>33433</v>
      </c>
      <c r="N4685" s="77">
        <v>0.45833333333333331</v>
      </c>
      <c r="P4685">
        <v>78.080000000000013</v>
      </c>
      <c r="S4685" s="74">
        <v>34529</v>
      </c>
      <c r="T4685" s="77">
        <v>0.45833333333333331</v>
      </c>
      <c r="V4685">
        <v>84.92</v>
      </c>
      <c r="X4685" s="42"/>
      <c r="AB4685">
        <v>80</v>
      </c>
      <c r="AC4685">
        <v>87.080000000000013</v>
      </c>
      <c r="AE4685" s="74"/>
      <c r="AF4685" s="77"/>
      <c r="AH4685" s="497">
        <v>80.599999999999994</v>
      </c>
      <c r="AJ4685" s="42"/>
      <c r="AK4685" s="74"/>
      <c r="AL4685" s="77"/>
      <c r="AN4685" s="497">
        <v>73.94</v>
      </c>
      <c r="AP4685" s="42"/>
      <c r="AQ4685" s="74"/>
      <c r="AR4685" s="77"/>
      <c r="AT4685" s="497">
        <v>77.539999999999992</v>
      </c>
      <c r="AV4685" s="42"/>
      <c r="AW4685" s="74"/>
      <c r="AX4685" s="77"/>
      <c r="BA4685" s="497">
        <v>69.080000000000013</v>
      </c>
      <c r="BB4685" s="42"/>
      <c r="BC4685" s="74"/>
      <c r="BD4685" s="77"/>
      <c r="BF4685">
        <v>78.98</v>
      </c>
      <c r="BH4685" s="42"/>
      <c r="BI4685" s="74"/>
      <c r="BJ4685" s="77"/>
      <c r="BL4685" s="497">
        <v>86</v>
      </c>
      <c r="BN4685" s="42"/>
      <c r="BO4685" s="74"/>
      <c r="BP4685" s="77"/>
      <c r="BR4685" s="497">
        <v>77</v>
      </c>
      <c r="BT4685" s="42"/>
    </row>
    <row r="4686" spans="1:72" x14ac:dyDescent="0.25">
      <c r="A4686" s="90">
        <v>34529</v>
      </c>
      <c r="B4686" s="20">
        <v>0.5</v>
      </c>
      <c r="D4686">
        <v>78.98</v>
      </c>
      <c r="E4686" t="str">
        <f t="shared" si="180"/>
        <v>WEEKDAY</v>
      </c>
      <c r="F4686" t="e">
        <f t="shared" si="181"/>
        <v>#N/A</v>
      </c>
      <c r="G4686" s="74">
        <v>31972</v>
      </c>
      <c r="H4686" s="77">
        <v>0.5</v>
      </c>
      <c r="J4686">
        <v>84.02</v>
      </c>
      <c r="M4686" s="74">
        <v>33433</v>
      </c>
      <c r="N4686" s="77">
        <v>0.5</v>
      </c>
      <c r="P4686">
        <v>80.960000000000008</v>
      </c>
      <c r="S4686" s="74">
        <v>34529</v>
      </c>
      <c r="T4686" s="77">
        <v>0.5</v>
      </c>
      <c r="V4686">
        <v>84.02</v>
      </c>
      <c r="X4686" s="42"/>
      <c r="AB4686">
        <v>81.2</v>
      </c>
      <c r="AC4686">
        <v>84.02</v>
      </c>
      <c r="AE4686" s="74"/>
      <c r="AF4686" s="77"/>
      <c r="AH4686" s="497">
        <v>84.2</v>
      </c>
      <c r="AJ4686" s="42"/>
      <c r="AK4686" s="74"/>
      <c r="AL4686" s="77"/>
      <c r="AN4686" s="497">
        <v>75.02</v>
      </c>
      <c r="AP4686" s="42"/>
      <c r="AQ4686" s="74"/>
      <c r="AR4686" s="77"/>
      <c r="AT4686" s="497">
        <v>79.34</v>
      </c>
      <c r="AV4686" s="42"/>
      <c r="AW4686" s="74"/>
      <c r="AX4686" s="77"/>
      <c r="BA4686" s="497">
        <v>69.080000000000013</v>
      </c>
      <c r="BB4686" s="42"/>
      <c r="BC4686" s="74"/>
      <c r="BD4686" s="77"/>
      <c r="BF4686">
        <v>78.98</v>
      </c>
      <c r="BH4686" s="42"/>
      <c r="BI4686" s="74"/>
      <c r="BJ4686" s="77"/>
      <c r="BL4686" s="497">
        <v>87.080000000000013</v>
      </c>
      <c r="BN4686" s="42"/>
      <c r="BO4686" s="74"/>
      <c r="BP4686" s="77"/>
      <c r="BR4686" s="497">
        <v>80.06</v>
      </c>
      <c r="BT4686" s="42"/>
    </row>
    <row r="4687" spans="1:72" x14ac:dyDescent="0.25">
      <c r="A4687" s="90">
        <v>34529</v>
      </c>
      <c r="B4687" s="20">
        <v>0.54166666666666663</v>
      </c>
      <c r="D4687">
        <v>78.98</v>
      </c>
      <c r="E4687" t="str">
        <f t="shared" si="180"/>
        <v>WEEKDAY</v>
      </c>
      <c r="F4687" t="e">
        <f t="shared" si="181"/>
        <v>#N/A</v>
      </c>
      <c r="G4687" s="74">
        <v>31972</v>
      </c>
      <c r="H4687" s="77">
        <v>0.54166666666666663</v>
      </c>
      <c r="J4687">
        <v>84.02</v>
      </c>
      <c r="M4687" s="74">
        <v>33433</v>
      </c>
      <c r="N4687" s="77">
        <v>0.54166666666666663</v>
      </c>
      <c r="P4687">
        <v>80.960000000000008</v>
      </c>
      <c r="S4687" s="74">
        <v>34529</v>
      </c>
      <c r="T4687" s="77">
        <v>0.54166666666666663</v>
      </c>
      <c r="V4687">
        <v>82.94</v>
      </c>
      <c r="X4687" s="42"/>
      <c r="AB4687">
        <v>81.900000000000006</v>
      </c>
      <c r="AC4687">
        <v>82.94</v>
      </c>
      <c r="AE4687" s="74"/>
      <c r="AF4687" s="77"/>
      <c r="AH4687" s="497">
        <v>87.800000000000011</v>
      </c>
      <c r="AJ4687" s="42"/>
      <c r="AK4687" s="74"/>
      <c r="AL4687" s="77"/>
      <c r="AN4687" s="497">
        <v>77</v>
      </c>
      <c r="AP4687" s="42"/>
      <c r="AQ4687" s="74"/>
      <c r="AR4687" s="77"/>
      <c r="AT4687" s="497">
        <v>80.960000000000008</v>
      </c>
      <c r="AV4687" s="42"/>
      <c r="AW4687" s="74"/>
      <c r="AX4687" s="77"/>
      <c r="BA4687" s="497">
        <v>71.960000000000008</v>
      </c>
      <c r="BB4687" s="42"/>
      <c r="BC4687" s="74"/>
      <c r="BD4687" s="77"/>
      <c r="BF4687">
        <v>80.960000000000008</v>
      </c>
      <c r="BH4687" s="42"/>
      <c r="BI4687" s="74"/>
      <c r="BJ4687" s="77"/>
      <c r="BL4687" s="497">
        <v>89.06</v>
      </c>
      <c r="BN4687" s="42"/>
      <c r="BO4687" s="74"/>
      <c r="BP4687" s="77"/>
      <c r="BR4687" s="497">
        <v>78.98</v>
      </c>
      <c r="BT4687" s="42"/>
    </row>
    <row r="4688" spans="1:72" x14ac:dyDescent="0.25">
      <c r="A4688" s="90">
        <v>34529</v>
      </c>
      <c r="B4688" s="20">
        <v>0.58333333333333337</v>
      </c>
      <c r="D4688">
        <v>80.06</v>
      </c>
      <c r="E4688" t="str">
        <f t="shared" si="180"/>
        <v>WEEKDAY</v>
      </c>
      <c r="F4688" t="e">
        <f t="shared" si="181"/>
        <v>#N/A</v>
      </c>
      <c r="G4688" s="74">
        <v>31972</v>
      </c>
      <c r="H4688" s="77">
        <v>0.58333333333333337</v>
      </c>
      <c r="J4688">
        <v>84.02</v>
      </c>
      <c r="M4688" s="74">
        <v>33433</v>
      </c>
      <c r="N4688" s="77">
        <v>0.58333333333333337</v>
      </c>
      <c r="P4688">
        <v>80.06</v>
      </c>
      <c r="S4688" s="74">
        <v>34529</v>
      </c>
      <c r="T4688" s="77">
        <v>0.58333333333333337</v>
      </c>
      <c r="V4688">
        <v>80.06</v>
      </c>
      <c r="X4688" s="42"/>
      <c r="AB4688">
        <v>82.3</v>
      </c>
      <c r="AC4688">
        <v>84.02</v>
      </c>
      <c r="AE4688" s="74"/>
      <c r="AF4688" s="77"/>
      <c r="AH4688" s="497">
        <v>84.38</v>
      </c>
      <c r="AJ4688" s="42"/>
      <c r="AK4688" s="74"/>
      <c r="AL4688" s="77"/>
      <c r="AN4688" s="497">
        <v>78.080000000000013</v>
      </c>
      <c r="AP4688" s="42"/>
      <c r="AQ4688" s="74"/>
      <c r="AR4688" s="77"/>
      <c r="AT4688" s="497">
        <v>82.039999999999992</v>
      </c>
      <c r="AV4688" s="42"/>
      <c r="AW4688" s="74"/>
      <c r="AX4688" s="77"/>
      <c r="BA4688" s="497">
        <v>73.94</v>
      </c>
      <c r="BB4688" s="42"/>
      <c r="BC4688" s="74"/>
      <c r="BD4688" s="77"/>
      <c r="BF4688">
        <v>82.94</v>
      </c>
      <c r="BH4688" s="42"/>
      <c r="BI4688" s="74"/>
      <c r="BJ4688" s="77"/>
      <c r="BL4688" s="497">
        <v>89.06</v>
      </c>
      <c r="BN4688" s="42"/>
      <c r="BO4688" s="74"/>
      <c r="BP4688" s="77"/>
      <c r="BR4688" s="497">
        <v>78.98</v>
      </c>
      <c r="BT4688" s="42"/>
    </row>
    <row r="4689" spans="1:72" x14ac:dyDescent="0.25">
      <c r="A4689" s="90">
        <v>34529</v>
      </c>
      <c r="B4689" s="20">
        <v>0.625</v>
      </c>
      <c r="D4689">
        <v>78.98</v>
      </c>
      <c r="E4689" t="str">
        <f t="shared" si="180"/>
        <v>WEEKDAY</v>
      </c>
      <c r="F4689" t="e">
        <f t="shared" si="181"/>
        <v>#N/A</v>
      </c>
      <c r="G4689" s="74">
        <v>31972</v>
      </c>
      <c r="H4689" s="77">
        <v>0.625</v>
      </c>
      <c r="J4689">
        <v>78.98</v>
      </c>
      <c r="M4689" s="74">
        <v>33433</v>
      </c>
      <c r="N4689" s="77">
        <v>0.625</v>
      </c>
      <c r="P4689">
        <v>80.06</v>
      </c>
      <c r="S4689" s="74">
        <v>34529</v>
      </c>
      <c r="T4689" s="77">
        <v>0.625</v>
      </c>
      <c r="V4689">
        <v>78.080000000000013</v>
      </c>
      <c r="X4689" s="42"/>
      <c r="AB4689">
        <v>82.3</v>
      </c>
      <c r="AC4689">
        <v>78.98</v>
      </c>
      <c r="AE4689" s="74"/>
      <c r="AF4689" s="77"/>
      <c r="AH4689" s="497">
        <v>80.599999999999994</v>
      </c>
      <c r="AJ4689" s="42"/>
      <c r="AK4689" s="74"/>
      <c r="AL4689" s="77"/>
      <c r="AN4689" s="497">
        <v>78.080000000000013</v>
      </c>
      <c r="AP4689" s="42"/>
      <c r="AQ4689" s="74"/>
      <c r="AR4689" s="77"/>
      <c r="AT4689" s="497">
        <v>82.94</v>
      </c>
      <c r="AV4689" s="42"/>
      <c r="AW4689" s="74"/>
      <c r="AX4689" s="77"/>
      <c r="BA4689" s="497">
        <v>77</v>
      </c>
      <c r="BB4689" s="42"/>
      <c r="BC4689" s="74"/>
      <c r="BD4689" s="77"/>
      <c r="BF4689">
        <v>84.02</v>
      </c>
      <c r="BH4689" s="42"/>
      <c r="BI4689" s="74"/>
      <c r="BJ4689" s="77"/>
      <c r="BL4689" s="497">
        <v>86</v>
      </c>
      <c r="BN4689" s="42"/>
      <c r="BO4689" s="74"/>
      <c r="BP4689" s="77"/>
      <c r="BR4689" s="497">
        <v>80.06</v>
      </c>
      <c r="BT4689" s="42"/>
    </row>
    <row r="4690" spans="1:72" x14ac:dyDescent="0.25">
      <c r="A4690" s="90">
        <v>34529</v>
      </c>
      <c r="B4690" s="20">
        <v>0.66666666666666663</v>
      </c>
      <c r="D4690">
        <v>75.92</v>
      </c>
      <c r="E4690" t="str">
        <f t="shared" si="180"/>
        <v>WEEKDAY</v>
      </c>
      <c r="F4690" t="e">
        <f t="shared" si="181"/>
        <v>#N/A</v>
      </c>
      <c r="G4690" s="74">
        <v>31972</v>
      </c>
      <c r="H4690" s="77">
        <v>0.66666666666666663</v>
      </c>
      <c r="J4690">
        <v>73.039999999999992</v>
      </c>
      <c r="M4690" s="74">
        <v>33433</v>
      </c>
      <c r="N4690" s="77">
        <v>0.66666666666666663</v>
      </c>
      <c r="P4690">
        <v>77</v>
      </c>
      <c r="S4690" s="74">
        <v>34529</v>
      </c>
      <c r="T4690" s="77">
        <v>0.66666666666666663</v>
      </c>
      <c r="V4690">
        <v>75.02</v>
      </c>
      <c r="X4690" s="42"/>
      <c r="AB4690">
        <v>81.7</v>
      </c>
      <c r="AC4690">
        <v>75.02</v>
      </c>
      <c r="AE4690" s="74"/>
      <c r="AF4690" s="77"/>
      <c r="AH4690" s="497">
        <v>80.599999999999994</v>
      </c>
      <c r="AJ4690" s="42"/>
      <c r="AK4690" s="74"/>
      <c r="AL4690" s="77"/>
      <c r="AN4690" s="497">
        <v>75.92</v>
      </c>
      <c r="AP4690" s="42"/>
      <c r="AQ4690" s="74"/>
      <c r="AR4690" s="77"/>
      <c r="AT4690" s="497">
        <v>84.02</v>
      </c>
      <c r="AV4690" s="42"/>
      <c r="AW4690" s="74"/>
      <c r="AX4690" s="77"/>
      <c r="BA4690" s="497">
        <v>77</v>
      </c>
      <c r="BB4690" s="42"/>
      <c r="BC4690" s="74"/>
      <c r="BD4690" s="77"/>
      <c r="BF4690">
        <v>82.94</v>
      </c>
      <c r="BH4690" s="42"/>
      <c r="BI4690" s="74"/>
      <c r="BJ4690" s="77"/>
      <c r="BL4690" s="497">
        <v>84.02</v>
      </c>
      <c r="BN4690" s="42"/>
      <c r="BO4690" s="74"/>
      <c r="BP4690" s="77"/>
      <c r="BR4690" s="497">
        <v>75.92</v>
      </c>
      <c r="BT4690" s="42"/>
    </row>
    <row r="4691" spans="1:72" x14ac:dyDescent="0.25">
      <c r="A4691" s="90">
        <v>34529</v>
      </c>
      <c r="B4691" s="20">
        <v>0.70833333333333337</v>
      </c>
      <c r="D4691">
        <v>75.92</v>
      </c>
      <c r="E4691" t="str">
        <f t="shared" ref="E4691:E4754" si="182">IF(COUNTIF($DI$18:$DI$22, WEEKDAY(A4691))=1, "WEEKDAY", IF(WEEKDAY(A4691) = 1, "SUNDAY", "SATURDAY"))</f>
        <v>WEEKDAY</v>
      </c>
      <c r="F4691" t="e">
        <f t="shared" si="181"/>
        <v>#N/A</v>
      </c>
      <c r="G4691" s="74">
        <v>31972</v>
      </c>
      <c r="H4691" s="77">
        <v>0.70833333333333337</v>
      </c>
      <c r="J4691">
        <v>71.960000000000008</v>
      </c>
      <c r="M4691" s="74">
        <v>33433</v>
      </c>
      <c r="N4691" s="77">
        <v>0.70833333333333337</v>
      </c>
      <c r="P4691">
        <v>80.06</v>
      </c>
      <c r="S4691" s="74">
        <v>34529</v>
      </c>
      <c r="T4691" s="77">
        <v>0.70833333333333337</v>
      </c>
      <c r="V4691">
        <v>73.039999999999992</v>
      </c>
      <c r="X4691" s="42"/>
      <c r="AB4691">
        <v>80.8</v>
      </c>
      <c r="AC4691">
        <v>73.94</v>
      </c>
      <c r="AE4691" s="74"/>
      <c r="AF4691" s="77"/>
      <c r="AH4691" s="497">
        <v>82.4</v>
      </c>
      <c r="AJ4691" s="42"/>
      <c r="AK4691" s="74"/>
      <c r="AL4691" s="77"/>
      <c r="AN4691" s="497">
        <v>75.02</v>
      </c>
      <c r="AP4691" s="42"/>
      <c r="AQ4691" s="74"/>
      <c r="AR4691" s="77"/>
      <c r="AT4691" s="497">
        <v>81.680000000000007</v>
      </c>
      <c r="AV4691" s="42"/>
      <c r="AW4691" s="74"/>
      <c r="AX4691" s="77"/>
      <c r="BA4691" s="497">
        <v>78.080000000000013</v>
      </c>
      <c r="BB4691" s="42"/>
      <c r="BC4691" s="74"/>
      <c r="BD4691" s="77"/>
      <c r="BF4691">
        <v>82.039999999999992</v>
      </c>
      <c r="BH4691" s="42"/>
      <c r="BI4691" s="74"/>
      <c r="BJ4691" s="77"/>
      <c r="BL4691" s="497">
        <v>80.06</v>
      </c>
      <c r="BN4691" s="42"/>
      <c r="BO4691" s="74"/>
      <c r="BP4691" s="77"/>
      <c r="BR4691" s="497">
        <v>73.94</v>
      </c>
      <c r="BT4691" s="42"/>
    </row>
    <row r="4692" spans="1:72" x14ac:dyDescent="0.25">
      <c r="A4692" s="90">
        <v>34529</v>
      </c>
      <c r="B4692" s="20">
        <v>0.75</v>
      </c>
      <c r="D4692">
        <v>73.039999999999992</v>
      </c>
      <c r="E4692" t="str">
        <f t="shared" si="182"/>
        <v>WEEKDAY</v>
      </c>
      <c r="F4692" t="e">
        <f t="shared" si="181"/>
        <v>#N/A</v>
      </c>
      <c r="G4692" s="74">
        <v>31972</v>
      </c>
      <c r="H4692" s="77">
        <v>0.75</v>
      </c>
      <c r="J4692">
        <v>71.960000000000008</v>
      </c>
      <c r="M4692" s="74">
        <v>33433</v>
      </c>
      <c r="N4692" s="77">
        <v>0.75</v>
      </c>
      <c r="P4692">
        <v>80.960000000000008</v>
      </c>
      <c r="S4692" s="74">
        <v>34529</v>
      </c>
      <c r="T4692" s="77">
        <v>0.75</v>
      </c>
      <c r="V4692">
        <v>73.039999999999992</v>
      </c>
      <c r="X4692" s="42"/>
      <c r="AB4692">
        <v>79.7</v>
      </c>
      <c r="AC4692">
        <v>73.039999999999992</v>
      </c>
      <c r="AE4692" s="74"/>
      <c r="AF4692" s="77"/>
      <c r="AH4692" s="497">
        <v>82.4</v>
      </c>
      <c r="AJ4692" s="42"/>
      <c r="AK4692" s="74"/>
      <c r="AL4692" s="77"/>
      <c r="AN4692" s="497">
        <v>73.94</v>
      </c>
      <c r="AP4692" s="42"/>
      <c r="AQ4692" s="74"/>
      <c r="AR4692" s="77"/>
      <c r="AT4692" s="497">
        <v>79.34</v>
      </c>
      <c r="AV4692" s="42"/>
      <c r="AW4692" s="74"/>
      <c r="AX4692" s="77"/>
      <c r="BA4692" s="497">
        <v>78.080000000000013</v>
      </c>
      <c r="BB4692" s="42"/>
      <c r="BC4692" s="74"/>
      <c r="BD4692" s="77"/>
      <c r="BF4692">
        <v>82.039999999999992</v>
      </c>
      <c r="BH4692" s="42"/>
      <c r="BI4692" s="74"/>
      <c r="BJ4692" s="77"/>
      <c r="BL4692" s="497">
        <v>75.02</v>
      </c>
      <c r="BN4692" s="42"/>
      <c r="BO4692" s="74"/>
      <c r="BP4692" s="77"/>
      <c r="BR4692" s="497">
        <v>73.94</v>
      </c>
      <c r="BT4692" s="42"/>
    </row>
    <row r="4693" spans="1:72" x14ac:dyDescent="0.25">
      <c r="A4693" s="90">
        <v>34529</v>
      </c>
      <c r="B4693" s="20">
        <v>0.79166666666666663</v>
      </c>
      <c r="D4693">
        <v>73.039999999999992</v>
      </c>
      <c r="E4693" t="str">
        <f t="shared" si="182"/>
        <v>WEEKDAY</v>
      </c>
      <c r="F4693" t="e">
        <f t="shared" si="181"/>
        <v>#N/A</v>
      </c>
      <c r="G4693" s="74">
        <v>31972</v>
      </c>
      <c r="H4693" s="77">
        <v>0.79166666666666663</v>
      </c>
      <c r="J4693">
        <v>73.039999999999992</v>
      </c>
      <c r="M4693" s="74">
        <v>33433</v>
      </c>
      <c r="N4693" s="77">
        <v>0.79166666666666663</v>
      </c>
      <c r="P4693">
        <v>77</v>
      </c>
      <c r="S4693" s="74">
        <v>34529</v>
      </c>
      <c r="T4693" s="77">
        <v>0.79166666666666663</v>
      </c>
      <c r="V4693">
        <v>71.960000000000008</v>
      </c>
      <c r="X4693" s="42"/>
      <c r="AB4693">
        <v>78.400000000000006</v>
      </c>
      <c r="AC4693">
        <v>71.960000000000008</v>
      </c>
      <c r="AE4693" s="74"/>
      <c r="AF4693" s="77"/>
      <c r="AH4693" s="497">
        <v>82.4</v>
      </c>
      <c r="AJ4693" s="42"/>
      <c r="AK4693" s="74"/>
      <c r="AL4693" s="77"/>
      <c r="AN4693" s="497">
        <v>73.94</v>
      </c>
      <c r="AP4693" s="42"/>
      <c r="AQ4693" s="74"/>
      <c r="AR4693" s="77"/>
      <c r="AT4693" s="497">
        <v>77</v>
      </c>
      <c r="AV4693" s="42"/>
      <c r="AW4693" s="74"/>
      <c r="AX4693" s="77"/>
      <c r="BA4693" s="497">
        <v>77</v>
      </c>
      <c r="BB4693" s="42"/>
      <c r="BC4693" s="74"/>
      <c r="BD4693" s="77"/>
      <c r="BF4693">
        <v>78.98</v>
      </c>
      <c r="BH4693" s="42"/>
      <c r="BI4693" s="74"/>
      <c r="BJ4693" s="77"/>
      <c r="BL4693" s="497">
        <v>77</v>
      </c>
      <c r="BN4693" s="42"/>
      <c r="BO4693" s="74"/>
      <c r="BP4693" s="77"/>
      <c r="BR4693" s="497">
        <v>73.039999999999992</v>
      </c>
      <c r="BT4693" s="42"/>
    </row>
    <row r="4694" spans="1:72" x14ac:dyDescent="0.25">
      <c r="A4694" s="90">
        <v>34529</v>
      </c>
      <c r="B4694" s="20">
        <v>0.83333333333333337</v>
      </c>
      <c r="D4694">
        <v>71.960000000000008</v>
      </c>
      <c r="E4694" t="str">
        <f t="shared" si="182"/>
        <v>WEEKDAY</v>
      </c>
      <c r="F4694" t="e">
        <f t="shared" si="181"/>
        <v>#N/A</v>
      </c>
      <c r="G4694" s="74">
        <v>31972</v>
      </c>
      <c r="H4694" s="77">
        <v>0.83333333333333337</v>
      </c>
      <c r="J4694">
        <v>73.039999999999992</v>
      </c>
      <c r="M4694" s="74">
        <v>33433</v>
      </c>
      <c r="N4694" s="77">
        <v>0.83333333333333337</v>
      </c>
      <c r="P4694">
        <v>69.98</v>
      </c>
      <c r="S4694" s="74">
        <v>34529</v>
      </c>
      <c r="T4694" s="77">
        <v>0.83333333333333337</v>
      </c>
      <c r="V4694">
        <v>71.06</v>
      </c>
      <c r="X4694" s="42"/>
      <c r="AB4694">
        <v>76.900000000000006</v>
      </c>
      <c r="AC4694">
        <v>71.06</v>
      </c>
      <c r="AE4694" s="74"/>
      <c r="AF4694" s="77"/>
      <c r="AH4694" s="497">
        <v>78.800000000000011</v>
      </c>
      <c r="AJ4694" s="42"/>
      <c r="AK4694" s="74"/>
      <c r="AL4694" s="77"/>
      <c r="AN4694" s="497">
        <v>71.960000000000008</v>
      </c>
      <c r="AP4694" s="42"/>
      <c r="AQ4694" s="74"/>
      <c r="AR4694" s="77"/>
      <c r="AT4694" s="497">
        <v>73.580000000000013</v>
      </c>
      <c r="AV4694" s="42"/>
      <c r="AW4694" s="74"/>
      <c r="AX4694" s="77"/>
      <c r="BA4694" s="497">
        <v>75.92</v>
      </c>
      <c r="BB4694" s="42"/>
      <c r="BC4694" s="74"/>
      <c r="BD4694" s="77"/>
      <c r="BF4694">
        <v>75.92</v>
      </c>
      <c r="BH4694" s="42"/>
      <c r="BI4694" s="74"/>
      <c r="BJ4694" s="77"/>
      <c r="BL4694" s="497">
        <v>75.02</v>
      </c>
      <c r="BN4694" s="42"/>
      <c r="BO4694" s="74"/>
      <c r="BP4694" s="77"/>
      <c r="BR4694" s="497">
        <v>68</v>
      </c>
      <c r="BT4694" s="42"/>
    </row>
    <row r="4695" spans="1:72" x14ac:dyDescent="0.25">
      <c r="A4695" s="90">
        <v>34529</v>
      </c>
      <c r="B4695" s="20">
        <v>0.875</v>
      </c>
      <c r="D4695">
        <v>71.960000000000008</v>
      </c>
      <c r="E4695" t="str">
        <f t="shared" si="182"/>
        <v>WEEKDAY</v>
      </c>
      <c r="F4695" t="e">
        <f t="shared" si="181"/>
        <v>#N/A</v>
      </c>
      <c r="G4695" s="74">
        <v>31972</v>
      </c>
      <c r="H4695" s="77">
        <v>0.875</v>
      </c>
      <c r="J4695">
        <v>68</v>
      </c>
      <c r="M4695" s="74">
        <v>33433</v>
      </c>
      <c r="N4695" s="77">
        <v>0.875</v>
      </c>
      <c r="P4695">
        <v>69.98</v>
      </c>
      <c r="S4695" s="74">
        <v>34529</v>
      </c>
      <c r="T4695" s="77">
        <v>0.875</v>
      </c>
      <c r="V4695">
        <v>71.06</v>
      </c>
      <c r="X4695" s="42"/>
      <c r="AB4695">
        <v>75.7</v>
      </c>
      <c r="AC4695">
        <v>69.080000000000013</v>
      </c>
      <c r="AE4695" s="74"/>
      <c r="AF4695" s="77"/>
      <c r="AH4695" s="497">
        <v>75.2</v>
      </c>
      <c r="AJ4695" s="42"/>
      <c r="AK4695" s="74"/>
      <c r="AL4695" s="77"/>
      <c r="AN4695" s="497">
        <v>69.98</v>
      </c>
      <c r="AP4695" s="42"/>
      <c r="AQ4695" s="74"/>
      <c r="AR4695" s="77"/>
      <c r="AT4695" s="497">
        <v>70.34</v>
      </c>
      <c r="AV4695" s="42"/>
      <c r="AW4695" s="74"/>
      <c r="AX4695" s="77"/>
      <c r="BA4695" s="497">
        <v>75.92</v>
      </c>
      <c r="BB4695" s="42"/>
      <c r="BC4695" s="74"/>
      <c r="BD4695" s="77"/>
      <c r="BF4695">
        <v>73.94</v>
      </c>
      <c r="BH4695" s="42"/>
      <c r="BI4695" s="74"/>
      <c r="BJ4695" s="77"/>
      <c r="BL4695" s="497">
        <v>75.92</v>
      </c>
      <c r="BN4695" s="42"/>
      <c r="BO4695" s="74"/>
      <c r="BP4695" s="77"/>
      <c r="BR4695" s="497">
        <v>66.92</v>
      </c>
      <c r="BT4695" s="42"/>
    </row>
    <row r="4696" spans="1:72" x14ac:dyDescent="0.25">
      <c r="A4696" s="90">
        <v>34529</v>
      </c>
      <c r="B4696" s="20">
        <v>0.91666666666666663</v>
      </c>
      <c r="D4696">
        <v>71.960000000000008</v>
      </c>
      <c r="E4696" t="str">
        <f t="shared" si="182"/>
        <v>WEEKDAY</v>
      </c>
      <c r="F4696" t="e">
        <f t="shared" si="181"/>
        <v>#N/A</v>
      </c>
      <c r="G4696" s="74">
        <v>31972</v>
      </c>
      <c r="H4696" s="77">
        <v>0.91666666666666663</v>
      </c>
      <c r="J4696">
        <v>68</v>
      </c>
      <c r="M4696" s="74">
        <v>33433</v>
      </c>
      <c r="N4696" s="77">
        <v>0.91666666666666663</v>
      </c>
      <c r="P4696">
        <v>69.98</v>
      </c>
      <c r="S4696" s="74">
        <v>34529</v>
      </c>
      <c r="T4696" s="77">
        <v>0.91666666666666663</v>
      </c>
      <c r="V4696">
        <v>71.06</v>
      </c>
      <c r="X4696" s="42"/>
      <c r="AB4696">
        <v>75.099999999999994</v>
      </c>
      <c r="AC4696">
        <v>69.080000000000013</v>
      </c>
      <c r="AE4696" s="74"/>
      <c r="AF4696" s="77"/>
      <c r="AH4696" s="497">
        <v>73.400000000000006</v>
      </c>
      <c r="AJ4696" s="42"/>
      <c r="AK4696" s="74"/>
      <c r="AL4696" s="77"/>
      <c r="AN4696" s="497">
        <v>69.080000000000013</v>
      </c>
      <c r="AP4696" s="42"/>
      <c r="AQ4696" s="74"/>
      <c r="AR4696" s="77"/>
      <c r="AT4696" s="497">
        <v>66.92</v>
      </c>
      <c r="AV4696" s="42"/>
      <c r="AW4696" s="74"/>
      <c r="AX4696" s="77"/>
      <c r="BA4696" s="497">
        <v>75.02</v>
      </c>
      <c r="BB4696" s="42"/>
      <c r="BC4696" s="74"/>
      <c r="BD4696" s="77"/>
      <c r="BF4696">
        <v>73.039999999999992</v>
      </c>
      <c r="BH4696" s="42"/>
      <c r="BI4696" s="74"/>
      <c r="BJ4696" s="77"/>
      <c r="BL4696" s="497">
        <v>75.92</v>
      </c>
      <c r="BN4696" s="42"/>
      <c r="BO4696" s="74"/>
      <c r="BP4696" s="77"/>
      <c r="BR4696" s="497">
        <v>68</v>
      </c>
      <c r="BT4696" s="42"/>
    </row>
    <row r="4697" spans="1:72" x14ac:dyDescent="0.25">
      <c r="A4697" s="90">
        <v>34529</v>
      </c>
      <c r="B4697" s="20">
        <v>0.95833333333333337</v>
      </c>
      <c r="D4697">
        <v>69.98</v>
      </c>
      <c r="E4697" t="str">
        <f t="shared" si="182"/>
        <v>WEEKDAY</v>
      </c>
      <c r="F4697" t="e">
        <f t="shared" si="181"/>
        <v>#N/A</v>
      </c>
      <c r="G4697" s="74">
        <v>31972</v>
      </c>
      <c r="H4697" s="77">
        <v>0.95833333333333337</v>
      </c>
      <c r="J4697">
        <v>66.92</v>
      </c>
      <c r="M4697" s="74">
        <v>33433</v>
      </c>
      <c r="N4697" s="77">
        <v>0.95833333333333337</v>
      </c>
      <c r="P4697">
        <v>66.92</v>
      </c>
      <c r="S4697" s="74">
        <v>34529</v>
      </c>
      <c r="T4697" s="77">
        <v>0.95833333333333337</v>
      </c>
      <c r="V4697">
        <v>71.06</v>
      </c>
      <c r="X4697" s="42"/>
      <c r="AB4697">
        <v>74.599999999999994</v>
      </c>
      <c r="AC4697">
        <v>69.080000000000013</v>
      </c>
      <c r="AE4697" s="74"/>
      <c r="AF4697" s="77"/>
      <c r="AH4697" s="497">
        <v>71.599999999999994</v>
      </c>
      <c r="AJ4697" s="42"/>
      <c r="AK4697" s="74"/>
      <c r="AL4697" s="77"/>
      <c r="AN4697" s="497">
        <v>69.080000000000013</v>
      </c>
      <c r="AP4697" s="42"/>
      <c r="AQ4697" s="74"/>
      <c r="AR4697" s="77"/>
      <c r="AT4697" s="497">
        <v>64.94</v>
      </c>
      <c r="AV4697" s="42"/>
      <c r="AW4697" s="74"/>
      <c r="AX4697" s="77"/>
      <c r="BA4697" s="497">
        <v>73.94</v>
      </c>
      <c r="BB4697" s="42"/>
      <c r="BC4697" s="74"/>
      <c r="BD4697" s="77"/>
      <c r="BF4697">
        <v>73.039999999999992</v>
      </c>
      <c r="BH4697" s="42"/>
      <c r="BI4697" s="74"/>
      <c r="BJ4697" s="77"/>
      <c r="BL4697" s="497">
        <v>75.02</v>
      </c>
      <c r="BN4697" s="42"/>
      <c r="BO4697" s="74"/>
      <c r="BP4697" s="77"/>
      <c r="BR4697" s="497">
        <v>66.92</v>
      </c>
      <c r="BT4697" s="42"/>
    </row>
    <row r="4698" spans="1:72" x14ac:dyDescent="0.25">
      <c r="A4698" s="90">
        <v>34529</v>
      </c>
      <c r="B4698" s="20">
        <v>1</v>
      </c>
      <c r="D4698">
        <v>69.98</v>
      </c>
      <c r="E4698" t="str">
        <f t="shared" si="182"/>
        <v>WEEKDAY</v>
      </c>
      <c r="F4698" t="e">
        <f t="shared" si="181"/>
        <v>#N/A</v>
      </c>
      <c r="G4698" s="74">
        <v>31972</v>
      </c>
      <c r="H4698" s="77">
        <v>1</v>
      </c>
      <c r="J4698">
        <v>68</v>
      </c>
      <c r="M4698" s="74">
        <v>33433</v>
      </c>
      <c r="N4698" s="80">
        <v>1</v>
      </c>
      <c r="P4698">
        <v>66.02</v>
      </c>
      <c r="S4698" s="74">
        <v>34529</v>
      </c>
      <c r="T4698" s="80">
        <v>1</v>
      </c>
      <c r="V4698">
        <v>71.06</v>
      </c>
      <c r="X4698" s="42"/>
      <c r="AB4698">
        <v>74.099999999999994</v>
      </c>
      <c r="AC4698">
        <v>68</v>
      </c>
      <c r="AE4698" s="74"/>
      <c r="AF4698" s="80"/>
      <c r="AH4698" s="497">
        <v>71.599999999999994</v>
      </c>
      <c r="AJ4698" s="42"/>
      <c r="AK4698" s="74"/>
      <c r="AL4698" s="80"/>
      <c r="AN4698" s="497">
        <v>68</v>
      </c>
      <c r="AP4698" s="42"/>
      <c r="AQ4698" s="74"/>
      <c r="AR4698" s="80"/>
      <c r="AT4698" s="497">
        <v>62.96</v>
      </c>
      <c r="AV4698" s="42"/>
      <c r="AW4698" s="74"/>
      <c r="AX4698" s="80"/>
      <c r="BA4698" s="497">
        <v>73.039999999999992</v>
      </c>
      <c r="BB4698" s="42"/>
      <c r="BC4698" s="74"/>
      <c r="BD4698" s="80"/>
      <c r="BF4698">
        <v>69.98</v>
      </c>
      <c r="BH4698" s="42"/>
      <c r="BI4698" s="74"/>
      <c r="BJ4698" s="80"/>
      <c r="BL4698" s="497">
        <v>75.02</v>
      </c>
      <c r="BN4698" s="42"/>
      <c r="BO4698" s="74"/>
      <c r="BP4698" s="80"/>
      <c r="BR4698" s="497">
        <v>66.02</v>
      </c>
      <c r="BT4698" s="42"/>
    </row>
    <row r="4699" spans="1:72" x14ac:dyDescent="0.25">
      <c r="A4699" s="90">
        <v>34530</v>
      </c>
      <c r="B4699" s="20">
        <v>4.1666666666666664E-2</v>
      </c>
      <c r="D4699">
        <v>69.080000000000013</v>
      </c>
      <c r="E4699" t="str">
        <f t="shared" si="182"/>
        <v>WEEKDAY</v>
      </c>
      <c r="F4699" t="e">
        <f t="shared" si="181"/>
        <v>#N/A</v>
      </c>
      <c r="G4699" s="74">
        <v>31973</v>
      </c>
      <c r="H4699" s="77">
        <v>4.1666666666666664E-2</v>
      </c>
      <c r="J4699">
        <v>68</v>
      </c>
      <c r="M4699" s="74">
        <v>33434</v>
      </c>
      <c r="N4699" s="77">
        <v>4.1666666666666664E-2</v>
      </c>
      <c r="P4699">
        <v>64.039999999999992</v>
      </c>
      <c r="S4699" s="74">
        <v>34530</v>
      </c>
      <c r="T4699" s="77">
        <v>4.1666666666666664E-2</v>
      </c>
      <c r="V4699">
        <v>71.06</v>
      </c>
      <c r="X4699" s="42"/>
      <c r="AB4699">
        <v>73.400000000000006</v>
      </c>
      <c r="AC4699">
        <v>68</v>
      </c>
      <c r="AE4699" s="74"/>
      <c r="AF4699" s="77"/>
      <c r="AH4699" s="497">
        <v>71.599999999999994</v>
      </c>
      <c r="AJ4699" s="42"/>
      <c r="AK4699" s="74"/>
      <c r="AL4699" s="77"/>
      <c r="AN4699" s="497">
        <v>66.92</v>
      </c>
      <c r="AP4699" s="42"/>
      <c r="AQ4699" s="74"/>
      <c r="AR4699" s="77"/>
      <c r="AT4699" s="497">
        <v>60.980000000000004</v>
      </c>
      <c r="AV4699" s="42"/>
      <c r="AW4699" s="74"/>
      <c r="AX4699" s="77"/>
      <c r="BA4699" s="497">
        <v>73.039999999999992</v>
      </c>
      <c r="BB4699" s="42"/>
      <c r="BC4699" s="74"/>
      <c r="BD4699" s="77"/>
      <c r="BF4699">
        <v>69.98</v>
      </c>
      <c r="BH4699" s="42"/>
      <c r="BI4699" s="74"/>
      <c r="BJ4699" s="77"/>
      <c r="BL4699" s="497">
        <v>73.94</v>
      </c>
      <c r="BN4699" s="42"/>
      <c r="BO4699" s="74"/>
      <c r="BP4699" s="77"/>
      <c r="BR4699" s="497">
        <v>64.94</v>
      </c>
      <c r="BT4699" s="42"/>
    </row>
    <row r="4700" spans="1:72" x14ac:dyDescent="0.25">
      <c r="A4700" s="90">
        <v>34530</v>
      </c>
      <c r="B4700" s="20">
        <v>8.3333333333333329E-2</v>
      </c>
      <c r="D4700">
        <v>69.080000000000013</v>
      </c>
      <c r="E4700" t="str">
        <f t="shared" si="182"/>
        <v>WEEKDAY</v>
      </c>
      <c r="F4700" t="e">
        <f t="shared" si="181"/>
        <v>#N/A</v>
      </c>
      <c r="G4700" s="74">
        <v>31973</v>
      </c>
      <c r="H4700" s="77">
        <v>8.3333333333333329E-2</v>
      </c>
      <c r="J4700">
        <v>68</v>
      </c>
      <c r="M4700" s="74">
        <v>33434</v>
      </c>
      <c r="N4700" s="77">
        <v>8.3333333333333329E-2</v>
      </c>
      <c r="P4700">
        <v>62.06</v>
      </c>
      <c r="S4700" s="74">
        <v>34530</v>
      </c>
      <c r="T4700" s="77">
        <v>8.3333333333333329E-2</v>
      </c>
      <c r="V4700">
        <v>71.960000000000008</v>
      </c>
      <c r="X4700" s="42"/>
      <c r="AB4700">
        <v>72.7</v>
      </c>
      <c r="AC4700">
        <v>69.080000000000013</v>
      </c>
      <c r="AE4700" s="74"/>
      <c r="AF4700" s="77"/>
      <c r="AH4700" s="497">
        <v>71.599999999999994</v>
      </c>
      <c r="AJ4700" s="42"/>
      <c r="AK4700" s="74"/>
      <c r="AL4700" s="77"/>
      <c r="AN4700" s="497">
        <v>66.02</v>
      </c>
      <c r="AP4700" s="42"/>
      <c r="AQ4700" s="74"/>
      <c r="AR4700" s="77"/>
      <c r="AT4700" s="497">
        <v>59.36</v>
      </c>
      <c r="AV4700" s="42"/>
      <c r="AW4700" s="74"/>
      <c r="AX4700" s="77"/>
      <c r="BA4700" s="497">
        <v>71.960000000000008</v>
      </c>
      <c r="BB4700" s="42"/>
      <c r="BC4700" s="74"/>
      <c r="BD4700" s="77"/>
      <c r="BF4700">
        <v>69.98</v>
      </c>
      <c r="BH4700" s="42"/>
      <c r="BI4700" s="74"/>
      <c r="BJ4700" s="77"/>
      <c r="BL4700" s="497">
        <v>73.039999999999992</v>
      </c>
      <c r="BN4700" s="42"/>
      <c r="BO4700" s="74"/>
      <c r="BP4700" s="77"/>
      <c r="BR4700" s="497">
        <v>66.92</v>
      </c>
      <c r="BT4700" s="42"/>
    </row>
    <row r="4701" spans="1:72" x14ac:dyDescent="0.25">
      <c r="A4701" s="90">
        <v>34530</v>
      </c>
      <c r="B4701" s="20">
        <v>0.125</v>
      </c>
      <c r="D4701">
        <v>69.080000000000013</v>
      </c>
      <c r="E4701" t="str">
        <f t="shared" si="182"/>
        <v>WEEKDAY</v>
      </c>
      <c r="F4701" t="e">
        <f t="shared" si="181"/>
        <v>#N/A</v>
      </c>
      <c r="G4701" s="74">
        <v>31973</v>
      </c>
      <c r="H4701" s="77">
        <v>0.125</v>
      </c>
      <c r="J4701">
        <v>66.92</v>
      </c>
      <c r="M4701" s="74">
        <v>33434</v>
      </c>
      <c r="N4701" s="77">
        <v>0.125</v>
      </c>
      <c r="P4701">
        <v>61.519999999999996</v>
      </c>
      <c r="S4701" s="74">
        <v>34530</v>
      </c>
      <c r="T4701" s="77">
        <v>0.125</v>
      </c>
      <c r="V4701">
        <v>71.06</v>
      </c>
      <c r="X4701" s="42"/>
      <c r="AB4701">
        <v>72.2</v>
      </c>
      <c r="AC4701">
        <v>69.080000000000013</v>
      </c>
      <c r="AE4701" s="74"/>
      <c r="AF4701" s="77"/>
      <c r="AH4701" s="497">
        <v>71.599999999999994</v>
      </c>
      <c r="AJ4701" s="42"/>
      <c r="AK4701" s="74"/>
      <c r="AL4701" s="77"/>
      <c r="AN4701" s="497">
        <v>66.02</v>
      </c>
      <c r="AP4701" s="42"/>
      <c r="AQ4701" s="74"/>
      <c r="AR4701" s="77"/>
      <c r="AT4701" s="497">
        <v>57.56</v>
      </c>
      <c r="AV4701" s="42"/>
      <c r="AW4701" s="74"/>
      <c r="AX4701" s="77"/>
      <c r="BA4701" s="497">
        <v>71.06</v>
      </c>
      <c r="BB4701" s="42"/>
      <c r="BC4701" s="74"/>
      <c r="BD4701" s="77"/>
      <c r="BF4701">
        <v>73.039999999999992</v>
      </c>
      <c r="BH4701" s="42"/>
      <c r="BI4701" s="74"/>
      <c r="BJ4701" s="77"/>
      <c r="BL4701" s="497">
        <v>71.960000000000008</v>
      </c>
      <c r="BN4701" s="42"/>
      <c r="BO4701" s="74"/>
      <c r="BP4701" s="77"/>
      <c r="BR4701" s="497">
        <v>69.080000000000013</v>
      </c>
      <c r="BT4701" s="42"/>
    </row>
    <row r="4702" spans="1:72" x14ac:dyDescent="0.25">
      <c r="A4702" s="90">
        <v>34530</v>
      </c>
      <c r="B4702" s="20">
        <v>0.16666666666666666</v>
      </c>
      <c r="D4702">
        <v>68</v>
      </c>
      <c r="E4702" t="str">
        <f t="shared" si="182"/>
        <v>WEEKDAY</v>
      </c>
      <c r="F4702" t="e">
        <f t="shared" si="181"/>
        <v>#N/A</v>
      </c>
      <c r="G4702" s="74">
        <v>31973</v>
      </c>
      <c r="H4702" s="77">
        <v>0.16666666666666666</v>
      </c>
      <c r="J4702">
        <v>66.02</v>
      </c>
      <c r="M4702" s="74">
        <v>33434</v>
      </c>
      <c r="N4702" s="77">
        <v>0.16666666666666666</v>
      </c>
      <c r="P4702">
        <v>60.980000000000004</v>
      </c>
      <c r="S4702" s="74">
        <v>34530</v>
      </c>
      <c r="T4702" s="77">
        <v>0.16666666666666666</v>
      </c>
      <c r="V4702">
        <v>69.98</v>
      </c>
      <c r="X4702" s="42"/>
      <c r="AB4702">
        <v>71.8</v>
      </c>
      <c r="AC4702">
        <v>69.98</v>
      </c>
      <c r="AE4702" s="74"/>
      <c r="AF4702" s="77"/>
      <c r="AH4702" s="497">
        <v>71.599999999999994</v>
      </c>
      <c r="AJ4702" s="42"/>
      <c r="AK4702" s="74"/>
      <c r="AL4702" s="77"/>
      <c r="AN4702" s="497">
        <v>66.02</v>
      </c>
      <c r="AP4702" s="42"/>
      <c r="AQ4702" s="74"/>
      <c r="AR4702" s="77"/>
      <c r="AT4702" s="497">
        <v>55.94</v>
      </c>
      <c r="AV4702" s="42"/>
      <c r="AW4702" s="74"/>
      <c r="AX4702" s="77"/>
      <c r="BA4702" s="497">
        <v>71.06</v>
      </c>
      <c r="BB4702" s="42"/>
      <c r="BC4702" s="74"/>
      <c r="BD4702" s="77"/>
      <c r="BF4702">
        <v>73.94</v>
      </c>
      <c r="BH4702" s="42"/>
      <c r="BI4702" s="74"/>
      <c r="BJ4702" s="77"/>
      <c r="BL4702" s="497">
        <v>71.960000000000008</v>
      </c>
      <c r="BN4702" s="42"/>
      <c r="BO4702" s="74"/>
      <c r="BP4702" s="77"/>
      <c r="BR4702" s="497">
        <v>71.06</v>
      </c>
      <c r="BT4702" s="42"/>
    </row>
    <row r="4703" spans="1:72" x14ac:dyDescent="0.25">
      <c r="A4703" s="90">
        <v>34530</v>
      </c>
      <c r="B4703" s="20">
        <v>0.20833333333333334</v>
      </c>
      <c r="D4703">
        <v>68</v>
      </c>
      <c r="E4703" t="str">
        <f t="shared" si="182"/>
        <v>WEEKDAY</v>
      </c>
      <c r="F4703" t="e">
        <f t="shared" si="181"/>
        <v>#N/A</v>
      </c>
      <c r="G4703" s="74">
        <v>31973</v>
      </c>
      <c r="H4703" s="77">
        <v>0.20833333333333334</v>
      </c>
      <c r="J4703">
        <v>64.94</v>
      </c>
      <c r="M4703" s="74">
        <v>33434</v>
      </c>
      <c r="N4703" s="77">
        <v>0.20833333333333334</v>
      </c>
      <c r="P4703">
        <v>60.08</v>
      </c>
      <c r="S4703" s="74">
        <v>34530</v>
      </c>
      <c r="T4703" s="77">
        <v>0.20833333333333334</v>
      </c>
      <c r="V4703">
        <v>71.06</v>
      </c>
      <c r="X4703" s="42"/>
      <c r="AB4703">
        <v>71.3</v>
      </c>
      <c r="AC4703">
        <v>69.98</v>
      </c>
      <c r="AE4703" s="74"/>
      <c r="AF4703" s="77"/>
      <c r="AH4703" s="497">
        <v>73.400000000000006</v>
      </c>
      <c r="AJ4703" s="42"/>
      <c r="AK4703" s="74"/>
      <c r="AL4703" s="77"/>
      <c r="AN4703" s="497">
        <v>66.02</v>
      </c>
      <c r="AP4703" s="42"/>
      <c r="AQ4703" s="74"/>
      <c r="AR4703" s="77"/>
      <c r="AT4703" s="497">
        <v>60.26</v>
      </c>
      <c r="AV4703" s="42"/>
      <c r="AW4703" s="74"/>
      <c r="AX4703" s="77"/>
      <c r="BA4703" s="497">
        <v>71.06</v>
      </c>
      <c r="BB4703" s="42"/>
      <c r="BC4703" s="74"/>
      <c r="BD4703" s="77"/>
      <c r="BF4703">
        <v>73.94</v>
      </c>
      <c r="BH4703" s="42"/>
      <c r="BI4703" s="74"/>
      <c r="BJ4703" s="77"/>
      <c r="BL4703" s="497">
        <v>71.06</v>
      </c>
      <c r="BN4703" s="42"/>
      <c r="BO4703" s="74"/>
      <c r="BP4703" s="77"/>
      <c r="BR4703" s="497">
        <v>71.06</v>
      </c>
      <c r="BT4703" s="42"/>
    </row>
    <row r="4704" spans="1:72" x14ac:dyDescent="0.25">
      <c r="A4704" s="90">
        <v>34530</v>
      </c>
      <c r="B4704" s="20">
        <v>0.25</v>
      </c>
      <c r="D4704">
        <v>68</v>
      </c>
      <c r="E4704" t="str">
        <f t="shared" si="182"/>
        <v>WEEKDAY</v>
      </c>
      <c r="F4704" t="e">
        <f t="shared" si="181"/>
        <v>#N/A</v>
      </c>
      <c r="G4704" s="74">
        <v>31973</v>
      </c>
      <c r="H4704" s="77">
        <v>0.25</v>
      </c>
      <c r="J4704">
        <v>64.94</v>
      </c>
      <c r="M4704" s="74">
        <v>33434</v>
      </c>
      <c r="N4704" s="77">
        <v>0.25</v>
      </c>
      <c r="P4704">
        <v>64.039999999999992</v>
      </c>
      <c r="S4704" s="74">
        <v>34530</v>
      </c>
      <c r="T4704" s="77">
        <v>0.25</v>
      </c>
      <c r="V4704">
        <v>69.98</v>
      </c>
      <c r="X4704" s="42"/>
      <c r="AB4704">
        <v>71</v>
      </c>
      <c r="AC4704">
        <v>69.080000000000013</v>
      </c>
      <c r="AE4704" s="74"/>
      <c r="AF4704" s="77"/>
      <c r="AH4704" s="497">
        <v>73.400000000000006</v>
      </c>
      <c r="AJ4704" s="42"/>
      <c r="AK4704" s="74"/>
      <c r="AL4704" s="77"/>
      <c r="AN4704" s="497">
        <v>66.02</v>
      </c>
      <c r="AP4704" s="42"/>
      <c r="AQ4704" s="74"/>
      <c r="AR4704" s="77"/>
      <c r="AT4704" s="497">
        <v>64.759999999999991</v>
      </c>
      <c r="AV4704" s="42"/>
      <c r="AW4704" s="74"/>
      <c r="AX4704" s="77"/>
      <c r="BA4704" s="497">
        <v>71.06</v>
      </c>
      <c r="BB4704" s="42"/>
      <c r="BC4704" s="74"/>
      <c r="BD4704" s="77"/>
      <c r="BF4704">
        <v>75.02</v>
      </c>
      <c r="BH4704" s="42"/>
      <c r="BI4704" s="74"/>
      <c r="BJ4704" s="77"/>
      <c r="BL4704" s="497">
        <v>71.960000000000008</v>
      </c>
      <c r="BN4704" s="42"/>
      <c r="BO4704" s="74"/>
      <c r="BP4704" s="77"/>
      <c r="BR4704" s="497">
        <v>71.960000000000008</v>
      </c>
      <c r="BT4704" s="42"/>
    </row>
    <row r="4705" spans="1:72" x14ac:dyDescent="0.25">
      <c r="A4705" s="90">
        <v>34530</v>
      </c>
      <c r="B4705" s="20">
        <v>0.29166666666666669</v>
      </c>
      <c r="D4705">
        <v>66.92</v>
      </c>
      <c r="E4705" t="str">
        <f t="shared" si="182"/>
        <v>WEEKDAY</v>
      </c>
      <c r="F4705" t="e">
        <f t="shared" si="181"/>
        <v>#N/A</v>
      </c>
      <c r="G4705" s="74">
        <v>31973</v>
      </c>
      <c r="H4705" s="77">
        <v>0.29166666666666669</v>
      </c>
      <c r="J4705">
        <v>66.02</v>
      </c>
      <c r="M4705" s="74">
        <v>33434</v>
      </c>
      <c r="N4705" s="77">
        <v>0.29166666666666669</v>
      </c>
      <c r="P4705">
        <v>69.080000000000013</v>
      </c>
      <c r="S4705" s="74">
        <v>34530</v>
      </c>
      <c r="T4705" s="77">
        <v>0.29166666666666669</v>
      </c>
      <c r="V4705">
        <v>69.080000000000013</v>
      </c>
      <c r="X4705" s="42"/>
      <c r="AB4705">
        <v>72.5</v>
      </c>
      <c r="AC4705">
        <v>68</v>
      </c>
      <c r="AE4705" s="74"/>
      <c r="AF4705" s="77"/>
      <c r="AH4705" s="497">
        <v>73.400000000000006</v>
      </c>
      <c r="AJ4705" s="42"/>
      <c r="AK4705" s="74"/>
      <c r="AL4705" s="77"/>
      <c r="AN4705" s="497">
        <v>66.92</v>
      </c>
      <c r="AP4705" s="42"/>
      <c r="AQ4705" s="74"/>
      <c r="AR4705" s="77"/>
      <c r="AT4705" s="497">
        <v>69.080000000000013</v>
      </c>
      <c r="AV4705" s="42"/>
      <c r="AW4705" s="74"/>
      <c r="AX4705" s="77"/>
      <c r="BA4705" s="497">
        <v>73.039999999999992</v>
      </c>
      <c r="BB4705" s="42"/>
      <c r="BC4705" s="74"/>
      <c r="BD4705" s="77"/>
      <c r="BF4705">
        <v>73.039999999999992</v>
      </c>
      <c r="BH4705" s="42"/>
      <c r="BI4705" s="74"/>
      <c r="BJ4705" s="77"/>
      <c r="BL4705" s="497">
        <v>75.02</v>
      </c>
      <c r="BN4705" s="42"/>
      <c r="BO4705" s="74"/>
      <c r="BP4705" s="77"/>
      <c r="BR4705" s="497">
        <v>73.94</v>
      </c>
      <c r="BT4705" s="42"/>
    </row>
    <row r="4706" spans="1:72" x14ac:dyDescent="0.25">
      <c r="A4706" s="90">
        <v>34530</v>
      </c>
      <c r="B4706" s="20">
        <v>0.33333333333333331</v>
      </c>
      <c r="D4706">
        <v>68</v>
      </c>
      <c r="E4706" t="str">
        <f t="shared" si="182"/>
        <v>WEEKDAY</v>
      </c>
      <c r="F4706" t="e">
        <f t="shared" si="181"/>
        <v>#N/A</v>
      </c>
      <c r="G4706" s="74">
        <v>31973</v>
      </c>
      <c r="H4706" s="77">
        <v>0.33333333333333331</v>
      </c>
      <c r="J4706">
        <v>66.92</v>
      </c>
      <c r="M4706" s="74">
        <v>33434</v>
      </c>
      <c r="N4706" s="77">
        <v>0.33333333333333331</v>
      </c>
      <c r="P4706">
        <v>71.960000000000008</v>
      </c>
      <c r="S4706" s="74">
        <v>34530</v>
      </c>
      <c r="T4706" s="77">
        <v>0.33333333333333331</v>
      </c>
      <c r="V4706">
        <v>69.080000000000013</v>
      </c>
      <c r="X4706" s="42"/>
      <c r="AB4706">
        <v>74.5</v>
      </c>
      <c r="AC4706">
        <v>68</v>
      </c>
      <c r="AE4706" s="74"/>
      <c r="AF4706" s="77"/>
      <c r="AH4706" s="497">
        <v>75.2</v>
      </c>
      <c r="AJ4706" s="42"/>
      <c r="AK4706" s="74"/>
      <c r="AL4706" s="77"/>
      <c r="AN4706" s="497">
        <v>69.080000000000013</v>
      </c>
      <c r="AP4706" s="42"/>
      <c r="AQ4706" s="74"/>
      <c r="AR4706" s="77"/>
      <c r="AT4706" s="497">
        <v>72.319999999999993</v>
      </c>
      <c r="AV4706" s="42"/>
      <c r="AW4706" s="74"/>
      <c r="AX4706" s="77"/>
      <c r="BA4706" s="497">
        <v>73.94</v>
      </c>
      <c r="BB4706" s="42"/>
      <c r="BC4706" s="74"/>
      <c r="BD4706" s="77"/>
      <c r="BF4706">
        <v>75.92</v>
      </c>
      <c r="BH4706" s="42"/>
      <c r="BI4706" s="74"/>
      <c r="BJ4706" s="77"/>
      <c r="BL4706" s="497">
        <v>77</v>
      </c>
      <c r="BN4706" s="42"/>
      <c r="BO4706" s="74"/>
      <c r="BP4706" s="77"/>
      <c r="BR4706" s="497">
        <v>75.92</v>
      </c>
      <c r="BT4706" s="42"/>
    </row>
    <row r="4707" spans="1:72" x14ac:dyDescent="0.25">
      <c r="A4707" s="90">
        <v>34530</v>
      </c>
      <c r="B4707" s="20">
        <v>0.375</v>
      </c>
      <c r="D4707">
        <v>69.080000000000013</v>
      </c>
      <c r="E4707" t="str">
        <f t="shared" si="182"/>
        <v>WEEKDAY</v>
      </c>
      <c r="F4707" t="e">
        <f t="shared" si="181"/>
        <v>#N/A</v>
      </c>
      <c r="G4707" s="74">
        <v>31973</v>
      </c>
      <c r="H4707" s="77">
        <v>0.375</v>
      </c>
      <c r="J4707">
        <v>69.080000000000013</v>
      </c>
      <c r="M4707" s="74">
        <v>33434</v>
      </c>
      <c r="N4707" s="77">
        <v>0.375</v>
      </c>
      <c r="P4707">
        <v>78.080000000000013</v>
      </c>
      <c r="S4707" s="74">
        <v>34530</v>
      </c>
      <c r="T4707" s="77">
        <v>0.375</v>
      </c>
      <c r="V4707">
        <v>69.080000000000013</v>
      </c>
      <c r="X4707" s="42"/>
      <c r="AB4707">
        <v>76.599999999999994</v>
      </c>
      <c r="AC4707">
        <v>68</v>
      </c>
      <c r="AE4707" s="74"/>
      <c r="AF4707" s="77"/>
      <c r="AH4707" s="497">
        <v>73.400000000000006</v>
      </c>
      <c r="AJ4707" s="42"/>
      <c r="AK4707" s="74"/>
      <c r="AL4707" s="77"/>
      <c r="AN4707" s="497">
        <v>69.98</v>
      </c>
      <c r="AP4707" s="42"/>
      <c r="AQ4707" s="74"/>
      <c r="AR4707" s="77"/>
      <c r="AT4707" s="497">
        <v>75.740000000000009</v>
      </c>
      <c r="AV4707" s="42"/>
      <c r="AW4707" s="74"/>
      <c r="AX4707" s="77"/>
      <c r="BA4707" s="497">
        <v>78.080000000000013</v>
      </c>
      <c r="BB4707" s="42"/>
      <c r="BC4707" s="74"/>
      <c r="BD4707" s="77"/>
      <c r="BF4707">
        <v>78.080000000000013</v>
      </c>
      <c r="BH4707" s="42"/>
      <c r="BI4707" s="74"/>
      <c r="BJ4707" s="77"/>
      <c r="BL4707" s="497">
        <v>80.960000000000008</v>
      </c>
      <c r="BN4707" s="42"/>
      <c r="BO4707" s="74"/>
      <c r="BP4707" s="77"/>
      <c r="BR4707" s="497">
        <v>75.92</v>
      </c>
      <c r="BT4707" s="42"/>
    </row>
    <row r="4708" spans="1:72" x14ac:dyDescent="0.25">
      <c r="A4708" s="90">
        <v>34530</v>
      </c>
      <c r="B4708" s="20">
        <v>0.41666666666666669</v>
      </c>
      <c r="D4708">
        <v>69.98</v>
      </c>
      <c r="E4708" t="str">
        <f t="shared" si="182"/>
        <v>WEEKDAY</v>
      </c>
      <c r="F4708" t="e">
        <f t="shared" si="181"/>
        <v>#N/A</v>
      </c>
      <c r="G4708" s="74">
        <v>31973</v>
      </c>
      <c r="H4708" s="77">
        <v>0.41666666666666669</v>
      </c>
      <c r="J4708">
        <v>71.960000000000008</v>
      </c>
      <c r="M4708" s="74">
        <v>33434</v>
      </c>
      <c r="N4708" s="77">
        <v>0.41666666666666669</v>
      </c>
      <c r="P4708">
        <v>80.06</v>
      </c>
      <c r="S4708" s="74">
        <v>34530</v>
      </c>
      <c r="T4708" s="77">
        <v>0.41666666666666669</v>
      </c>
      <c r="V4708">
        <v>71.06</v>
      </c>
      <c r="X4708" s="42"/>
      <c r="AB4708">
        <v>78.5</v>
      </c>
      <c r="AC4708">
        <v>69.080000000000013</v>
      </c>
      <c r="AE4708" s="74"/>
      <c r="AF4708" s="77"/>
      <c r="AH4708" s="497">
        <v>73.400000000000006</v>
      </c>
      <c r="AJ4708" s="42"/>
      <c r="AK4708" s="74"/>
      <c r="AL4708" s="77"/>
      <c r="AN4708" s="497">
        <v>71.960000000000008</v>
      </c>
      <c r="AP4708" s="42"/>
      <c r="AQ4708" s="74"/>
      <c r="AR4708" s="77"/>
      <c r="AT4708" s="497">
        <v>78.98</v>
      </c>
      <c r="AV4708" s="42"/>
      <c r="AW4708" s="74"/>
      <c r="AX4708" s="77"/>
      <c r="BA4708" s="497">
        <v>80.06</v>
      </c>
      <c r="BB4708" s="42"/>
      <c r="BC4708" s="74"/>
      <c r="BD4708" s="77"/>
      <c r="BF4708">
        <v>78.080000000000013</v>
      </c>
      <c r="BH4708" s="42"/>
      <c r="BI4708" s="74"/>
      <c r="BJ4708" s="77"/>
      <c r="BL4708" s="497">
        <v>82.94</v>
      </c>
      <c r="BN4708" s="42"/>
      <c r="BO4708" s="74"/>
      <c r="BP4708" s="77"/>
      <c r="BR4708" s="497">
        <v>77</v>
      </c>
      <c r="BT4708" s="42"/>
    </row>
    <row r="4709" spans="1:72" x14ac:dyDescent="0.25">
      <c r="A4709" s="90">
        <v>34530</v>
      </c>
      <c r="B4709" s="20">
        <v>0.45833333333333331</v>
      </c>
      <c r="D4709">
        <v>71.06</v>
      </c>
      <c r="E4709" t="str">
        <f t="shared" si="182"/>
        <v>WEEKDAY</v>
      </c>
      <c r="F4709" t="e">
        <f t="shared" si="181"/>
        <v>#N/A</v>
      </c>
      <c r="G4709" s="74">
        <v>31973</v>
      </c>
      <c r="H4709" s="77">
        <v>0.45833333333333331</v>
      </c>
      <c r="J4709">
        <v>73.94</v>
      </c>
      <c r="M4709" s="74">
        <v>33434</v>
      </c>
      <c r="N4709" s="77">
        <v>0.45833333333333331</v>
      </c>
      <c r="P4709">
        <v>80.960000000000008</v>
      </c>
      <c r="S4709" s="74">
        <v>34530</v>
      </c>
      <c r="T4709" s="77">
        <v>0.45833333333333331</v>
      </c>
      <c r="V4709">
        <v>71.960000000000008</v>
      </c>
      <c r="X4709" s="42"/>
      <c r="AB4709">
        <v>80.099999999999994</v>
      </c>
      <c r="AC4709">
        <v>69.98</v>
      </c>
      <c r="AE4709" s="74"/>
      <c r="AF4709" s="77"/>
      <c r="AH4709" s="497">
        <v>75.2</v>
      </c>
      <c r="AJ4709" s="42"/>
      <c r="AK4709" s="74"/>
      <c r="AL4709" s="77"/>
      <c r="AN4709" s="497">
        <v>75.92</v>
      </c>
      <c r="AP4709" s="42"/>
      <c r="AQ4709" s="74"/>
      <c r="AR4709" s="77"/>
      <c r="AT4709" s="497">
        <v>81.319999999999993</v>
      </c>
      <c r="AV4709" s="42"/>
      <c r="AW4709" s="74"/>
      <c r="AX4709" s="77"/>
      <c r="BA4709" s="497">
        <v>80.960000000000008</v>
      </c>
      <c r="BB4709" s="42"/>
      <c r="BC4709" s="74"/>
      <c r="BD4709" s="77"/>
      <c r="BF4709">
        <v>71.960000000000008</v>
      </c>
      <c r="BH4709" s="42"/>
      <c r="BI4709" s="74"/>
      <c r="BJ4709" s="77"/>
      <c r="BL4709" s="497">
        <v>84.92</v>
      </c>
      <c r="BN4709" s="42"/>
      <c r="BO4709" s="74"/>
      <c r="BP4709" s="77"/>
      <c r="BR4709" s="497">
        <v>77</v>
      </c>
      <c r="BT4709" s="42"/>
    </row>
    <row r="4710" spans="1:72" x14ac:dyDescent="0.25">
      <c r="A4710" s="90">
        <v>34530</v>
      </c>
      <c r="B4710" s="20">
        <v>0.5</v>
      </c>
      <c r="D4710">
        <v>73.039999999999992</v>
      </c>
      <c r="E4710" t="str">
        <f t="shared" si="182"/>
        <v>WEEKDAY</v>
      </c>
      <c r="F4710" t="e">
        <f t="shared" si="181"/>
        <v>#N/A</v>
      </c>
      <c r="G4710" s="74">
        <v>31973</v>
      </c>
      <c r="H4710" s="77">
        <v>0.5</v>
      </c>
      <c r="J4710">
        <v>73.94</v>
      </c>
      <c r="M4710" s="74">
        <v>33434</v>
      </c>
      <c r="N4710" s="77">
        <v>0.5</v>
      </c>
      <c r="P4710">
        <v>82.94</v>
      </c>
      <c r="S4710" s="74">
        <v>34530</v>
      </c>
      <c r="T4710" s="77">
        <v>0.5</v>
      </c>
      <c r="V4710">
        <v>75.02</v>
      </c>
      <c r="X4710" s="42"/>
      <c r="AB4710">
        <v>81.2</v>
      </c>
      <c r="AC4710">
        <v>71.960000000000008</v>
      </c>
      <c r="AE4710" s="74"/>
      <c r="AF4710" s="77"/>
      <c r="AH4710" s="497">
        <v>77</v>
      </c>
      <c r="AJ4710" s="42"/>
      <c r="AK4710" s="74"/>
      <c r="AL4710" s="77"/>
      <c r="AN4710" s="497">
        <v>75.92</v>
      </c>
      <c r="AP4710" s="42"/>
      <c r="AQ4710" s="74"/>
      <c r="AR4710" s="77"/>
      <c r="AT4710" s="497">
        <v>83.66</v>
      </c>
      <c r="AV4710" s="42"/>
      <c r="AW4710" s="74"/>
      <c r="AX4710" s="77"/>
      <c r="BA4710" s="497">
        <v>82.039999999999992</v>
      </c>
      <c r="BB4710" s="42"/>
      <c r="BC4710" s="74"/>
      <c r="BD4710" s="77"/>
      <c r="BF4710">
        <v>71.960000000000008</v>
      </c>
      <c r="BH4710" s="42"/>
      <c r="BI4710" s="74"/>
      <c r="BJ4710" s="77"/>
      <c r="BL4710" s="497">
        <v>87.98</v>
      </c>
      <c r="BN4710" s="42"/>
      <c r="BO4710" s="74"/>
      <c r="BP4710" s="77"/>
      <c r="BR4710" s="497">
        <v>78.080000000000013</v>
      </c>
      <c r="BT4710" s="42"/>
    </row>
    <row r="4711" spans="1:72" x14ac:dyDescent="0.25">
      <c r="A4711" s="90">
        <v>34530</v>
      </c>
      <c r="B4711" s="20">
        <v>0.54166666666666663</v>
      </c>
      <c r="D4711">
        <v>73.039999999999992</v>
      </c>
      <c r="E4711" t="str">
        <f t="shared" si="182"/>
        <v>WEEKDAY</v>
      </c>
      <c r="F4711" t="e">
        <f t="shared" si="181"/>
        <v>#N/A</v>
      </c>
      <c r="G4711" s="74">
        <v>31973</v>
      </c>
      <c r="H4711" s="77">
        <v>0.54166666666666663</v>
      </c>
      <c r="J4711">
        <v>75.92</v>
      </c>
      <c r="M4711" s="74">
        <v>33434</v>
      </c>
      <c r="N4711" s="77">
        <v>0.54166666666666663</v>
      </c>
      <c r="P4711">
        <v>84.02</v>
      </c>
      <c r="S4711" s="74">
        <v>34530</v>
      </c>
      <c r="T4711" s="77">
        <v>0.54166666666666663</v>
      </c>
      <c r="V4711">
        <v>78.080000000000013</v>
      </c>
      <c r="X4711" s="42"/>
      <c r="AB4711">
        <v>82</v>
      </c>
      <c r="AC4711">
        <v>73.039999999999992</v>
      </c>
      <c r="AE4711" s="74"/>
      <c r="AF4711" s="77"/>
      <c r="AH4711" s="497">
        <v>80.599999999999994</v>
      </c>
      <c r="AJ4711" s="42"/>
      <c r="AK4711" s="74"/>
      <c r="AL4711" s="77"/>
      <c r="AN4711" s="497">
        <v>78.080000000000013</v>
      </c>
      <c r="AP4711" s="42"/>
      <c r="AQ4711" s="74"/>
      <c r="AR4711" s="77"/>
      <c r="AT4711" s="497">
        <v>86</v>
      </c>
      <c r="AV4711" s="42"/>
      <c r="AW4711" s="74"/>
      <c r="AX4711" s="77"/>
      <c r="BA4711" s="497">
        <v>82.94</v>
      </c>
      <c r="BB4711" s="42"/>
      <c r="BC4711" s="74"/>
      <c r="BD4711" s="77"/>
      <c r="BF4711">
        <v>80.06</v>
      </c>
      <c r="BH4711" s="42"/>
      <c r="BI4711" s="74"/>
      <c r="BJ4711" s="77"/>
      <c r="BL4711" s="497">
        <v>89.06</v>
      </c>
      <c r="BN4711" s="42"/>
      <c r="BO4711" s="74"/>
      <c r="BP4711" s="77"/>
      <c r="BR4711" s="497">
        <v>82.94</v>
      </c>
      <c r="BT4711" s="42"/>
    </row>
    <row r="4712" spans="1:72" x14ac:dyDescent="0.25">
      <c r="A4712" s="90">
        <v>34530</v>
      </c>
      <c r="B4712" s="20">
        <v>0.58333333333333337</v>
      </c>
      <c r="D4712">
        <v>73.94</v>
      </c>
      <c r="E4712" t="str">
        <f t="shared" si="182"/>
        <v>WEEKDAY</v>
      </c>
      <c r="F4712" t="e">
        <f t="shared" si="181"/>
        <v>#N/A</v>
      </c>
      <c r="G4712" s="74">
        <v>31973</v>
      </c>
      <c r="H4712" s="77">
        <v>0.58333333333333337</v>
      </c>
      <c r="J4712">
        <v>77</v>
      </c>
      <c r="M4712" s="74">
        <v>33434</v>
      </c>
      <c r="N4712" s="77">
        <v>0.58333333333333337</v>
      </c>
      <c r="P4712">
        <v>84.02</v>
      </c>
      <c r="S4712" s="74">
        <v>34530</v>
      </c>
      <c r="T4712" s="77">
        <v>0.58333333333333337</v>
      </c>
      <c r="V4712">
        <v>80.960000000000008</v>
      </c>
      <c r="X4712" s="42"/>
      <c r="AB4712">
        <v>82.4</v>
      </c>
      <c r="AC4712">
        <v>73.94</v>
      </c>
      <c r="AE4712" s="74"/>
      <c r="AF4712" s="77"/>
      <c r="AH4712" s="497">
        <v>79.88</v>
      </c>
      <c r="AJ4712" s="42"/>
      <c r="AK4712" s="74"/>
      <c r="AL4712" s="77"/>
      <c r="AN4712" s="497">
        <v>80.06</v>
      </c>
      <c r="AP4712" s="42"/>
      <c r="AQ4712" s="74"/>
      <c r="AR4712" s="77"/>
      <c r="AT4712" s="497">
        <v>87.98</v>
      </c>
      <c r="AV4712" s="42"/>
      <c r="AW4712" s="74"/>
      <c r="AX4712" s="77"/>
      <c r="BA4712" s="497">
        <v>78.080000000000013</v>
      </c>
      <c r="BB4712" s="42"/>
      <c r="BC4712" s="74"/>
      <c r="BD4712" s="77"/>
      <c r="BF4712">
        <v>87.080000000000013</v>
      </c>
      <c r="BH4712" s="42"/>
      <c r="BI4712" s="74"/>
      <c r="BJ4712" s="77"/>
      <c r="BL4712" s="497">
        <v>75.92</v>
      </c>
      <c r="BN4712" s="42"/>
      <c r="BO4712" s="74"/>
      <c r="BP4712" s="77"/>
      <c r="BR4712" s="497">
        <v>82.039999999999992</v>
      </c>
      <c r="BT4712" s="42"/>
    </row>
    <row r="4713" spans="1:72" x14ac:dyDescent="0.25">
      <c r="A4713" s="90">
        <v>34530</v>
      </c>
      <c r="B4713" s="20">
        <v>0.625</v>
      </c>
      <c r="D4713">
        <v>75.02</v>
      </c>
      <c r="E4713" t="str">
        <f t="shared" si="182"/>
        <v>WEEKDAY</v>
      </c>
      <c r="F4713" t="e">
        <f t="shared" si="181"/>
        <v>#N/A</v>
      </c>
      <c r="G4713" s="74">
        <v>31973</v>
      </c>
      <c r="H4713" s="77">
        <v>0.625</v>
      </c>
      <c r="J4713">
        <v>77</v>
      </c>
      <c r="M4713" s="74">
        <v>33434</v>
      </c>
      <c r="N4713" s="77">
        <v>0.625</v>
      </c>
      <c r="P4713">
        <v>86</v>
      </c>
      <c r="S4713" s="74">
        <v>34530</v>
      </c>
      <c r="T4713" s="77">
        <v>0.625</v>
      </c>
      <c r="V4713">
        <v>82.039999999999992</v>
      </c>
      <c r="X4713" s="42"/>
      <c r="AB4713">
        <v>82.4</v>
      </c>
      <c r="AC4713">
        <v>73.039999999999992</v>
      </c>
      <c r="AE4713" s="74"/>
      <c r="AF4713" s="77"/>
      <c r="AH4713" s="497">
        <v>78.800000000000011</v>
      </c>
      <c r="AJ4713" s="42"/>
      <c r="AK4713" s="74"/>
      <c r="AL4713" s="77"/>
      <c r="AN4713" s="497">
        <v>80.960000000000008</v>
      </c>
      <c r="AP4713" s="42"/>
      <c r="AQ4713" s="74"/>
      <c r="AR4713" s="77"/>
      <c r="AT4713" s="497">
        <v>89.960000000000008</v>
      </c>
      <c r="AV4713" s="42"/>
      <c r="AW4713" s="74"/>
      <c r="AX4713" s="77"/>
      <c r="BA4713" s="497">
        <v>82.039999999999992</v>
      </c>
      <c r="BB4713" s="42"/>
      <c r="BC4713" s="74"/>
      <c r="BD4713" s="77"/>
      <c r="BF4713">
        <v>87.98</v>
      </c>
      <c r="BH4713" s="42"/>
      <c r="BI4713" s="74"/>
      <c r="BJ4713" s="77"/>
      <c r="BL4713" s="497">
        <v>78.080000000000013</v>
      </c>
      <c r="BN4713" s="42"/>
      <c r="BO4713" s="74"/>
      <c r="BP4713" s="77"/>
      <c r="BR4713" s="497">
        <v>82.039999999999992</v>
      </c>
      <c r="BT4713" s="42"/>
    </row>
    <row r="4714" spans="1:72" x14ac:dyDescent="0.25">
      <c r="A4714" s="90">
        <v>34530</v>
      </c>
      <c r="B4714" s="20">
        <v>0.66666666666666663</v>
      </c>
      <c r="D4714">
        <v>78.080000000000013</v>
      </c>
      <c r="E4714" t="str">
        <f t="shared" si="182"/>
        <v>WEEKDAY</v>
      </c>
      <c r="F4714" t="e">
        <f t="shared" si="181"/>
        <v>#N/A</v>
      </c>
      <c r="G4714" s="74">
        <v>31973</v>
      </c>
      <c r="H4714" s="77">
        <v>0.66666666666666663</v>
      </c>
      <c r="J4714">
        <v>77</v>
      </c>
      <c r="M4714" s="74">
        <v>33434</v>
      </c>
      <c r="N4714" s="77">
        <v>0.66666666666666663</v>
      </c>
      <c r="P4714">
        <v>86</v>
      </c>
      <c r="S4714" s="74">
        <v>34530</v>
      </c>
      <c r="T4714" s="77">
        <v>0.66666666666666663</v>
      </c>
      <c r="V4714">
        <v>82.039999999999992</v>
      </c>
      <c r="X4714" s="42"/>
      <c r="AB4714">
        <v>81.900000000000006</v>
      </c>
      <c r="AC4714">
        <v>73.039999999999992</v>
      </c>
      <c r="AE4714" s="74"/>
      <c r="AF4714" s="77"/>
      <c r="AH4714" s="497">
        <v>80.599999999999994</v>
      </c>
      <c r="AJ4714" s="42"/>
      <c r="AK4714" s="74"/>
      <c r="AL4714" s="77"/>
      <c r="AN4714" s="497">
        <v>80.960000000000008</v>
      </c>
      <c r="AP4714" s="42"/>
      <c r="AQ4714" s="74"/>
      <c r="AR4714" s="77"/>
      <c r="AT4714" s="497">
        <v>91.94</v>
      </c>
      <c r="AV4714" s="42"/>
      <c r="AW4714" s="74"/>
      <c r="AX4714" s="77"/>
      <c r="BA4714" s="497">
        <v>82.94</v>
      </c>
      <c r="BB4714" s="42"/>
      <c r="BC4714" s="74"/>
      <c r="BD4714" s="77"/>
      <c r="BF4714">
        <v>82.94</v>
      </c>
      <c r="BH4714" s="42"/>
      <c r="BI4714" s="74"/>
      <c r="BJ4714" s="77"/>
      <c r="BL4714" s="497">
        <v>82.94</v>
      </c>
      <c r="BN4714" s="42"/>
      <c r="BO4714" s="74"/>
      <c r="BP4714" s="77"/>
      <c r="BR4714" s="497">
        <v>80.960000000000008</v>
      </c>
      <c r="BT4714" s="42"/>
    </row>
    <row r="4715" spans="1:72" x14ac:dyDescent="0.25">
      <c r="A4715" s="90">
        <v>34530</v>
      </c>
      <c r="B4715" s="20">
        <v>0.70833333333333337</v>
      </c>
      <c r="D4715">
        <v>71.06</v>
      </c>
      <c r="E4715" t="str">
        <f t="shared" si="182"/>
        <v>WEEKDAY</v>
      </c>
      <c r="F4715" t="e">
        <f t="shared" ref="F4715:F4778" si="183">IF(E4715="WEEKDAY",VLOOKUP(B4715,$DD$19:$DG$42,2),IF(E4715="SATURDAY",VLOOKUP(B4715,$DD$19:$DG$42,3),VLOOKUP(B4715,$DD$19:$DG$42,4)))</f>
        <v>#N/A</v>
      </c>
      <c r="G4715" s="74">
        <v>31973</v>
      </c>
      <c r="H4715" s="77">
        <v>0.70833333333333337</v>
      </c>
      <c r="J4715">
        <v>75.92</v>
      </c>
      <c r="M4715" s="74">
        <v>33434</v>
      </c>
      <c r="N4715" s="77">
        <v>0.70833333333333337</v>
      </c>
      <c r="P4715">
        <v>86</v>
      </c>
      <c r="S4715" s="74">
        <v>34530</v>
      </c>
      <c r="T4715" s="77">
        <v>0.70833333333333337</v>
      </c>
      <c r="V4715">
        <v>78.98</v>
      </c>
      <c r="X4715" s="42"/>
      <c r="AB4715">
        <v>81</v>
      </c>
      <c r="AC4715">
        <v>73.039999999999992</v>
      </c>
      <c r="AE4715" s="74"/>
      <c r="AF4715" s="77"/>
      <c r="AH4715" s="497">
        <v>78.800000000000011</v>
      </c>
      <c r="AJ4715" s="42"/>
      <c r="AK4715" s="74"/>
      <c r="AL4715" s="77"/>
      <c r="AN4715" s="497">
        <v>80.06</v>
      </c>
      <c r="AP4715" s="42"/>
      <c r="AQ4715" s="74"/>
      <c r="AR4715" s="77"/>
      <c r="AT4715" s="497">
        <v>88.88</v>
      </c>
      <c r="AV4715" s="42"/>
      <c r="AW4715" s="74"/>
      <c r="AX4715" s="77"/>
      <c r="BA4715" s="497">
        <v>75.02</v>
      </c>
      <c r="BB4715" s="42"/>
      <c r="BC4715" s="74"/>
      <c r="BD4715" s="77"/>
      <c r="BF4715">
        <v>75.92</v>
      </c>
      <c r="BH4715" s="42"/>
      <c r="BI4715" s="74"/>
      <c r="BJ4715" s="77"/>
      <c r="BL4715" s="497">
        <v>84.92</v>
      </c>
      <c r="BN4715" s="42"/>
      <c r="BO4715" s="74"/>
      <c r="BP4715" s="77"/>
      <c r="BR4715" s="497">
        <v>77</v>
      </c>
      <c r="BT4715" s="42"/>
    </row>
    <row r="4716" spans="1:72" x14ac:dyDescent="0.25">
      <c r="A4716" s="90">
        <v>34530</v>
      </c>
      <c r="B4716" s="20">
        <v>0.75</v>
      </c>
      <c r="D4716">
        <v>75.92</v>
      </c>
      <c r="E4716" t="str">
        <f t="shared" si="182"/>
        <v>WEEKDAY</v>
      </c>
      <c r="F4716" t="e">
        <f t="shared" si="183"/>
        <v>#N/A</v>
      </c>
      <c r="G4716" s="74">
        <v>31973</v>
      </c>
      <c r="H4716" s="77">
        <v>0.75</v>
      </c>
      <c r="J4716">
        <v>75.92</v>
      </c>
      <c r="M4716" s="74">
        <v>33434</v>
      </c>
      <c r="N4716" s="77">
        <v>0.75</v>
      </c>
      <c r="P4716">
        <v>84.92</v>
      </c>
      <c r="S4716" s="74">
        <v>34530</v>
      </c>
      <c r="T4716" s="77">
        <v>0.75</v>
      </c>
      <c r="V4716">
        <v>78.080000000000013</v>
      </c>
      <c r="X4716" s="42"/>
      <c r="AB4716">
        <v>79.8</v>
      </c>
      <c r="AC4716">
        <v>73.94</v>
      </c>
      <c r="AE4716" s="74"/>
      <c r="AF4716" s="77"/>
      <c r="AH4716" s="497">
        <v>77.72</v>
      </c>
      <c r="AJ4716" s="42"/>
      <c r="AK4716" s="74"/>
      <c r="AL4716" s="77"/>
      <c r="AN4716" s="497">
        <v>78.98</v>
      </c>
      <c r="AP4716" s="42"/>
      <c r="AQ4716" s="74"/>
      <c r="AR4716" s="77"/>
      <c r="AT4716" s="497">
        <v>86</v>
      </c>
      <c r="AV4716" s="42"/>
      <c r="AW4716" s="74"/>
      <c r="AX4716" s="77"/>
      <c r="BA4716" s="497">
        <v>73.039999999999992</v>
      </c>
      <c r="BB4716" s="42"/>
      <c r="BC4716" s="74"/>
      <c r="BD4716" s="77"/>
      <c r="BF4716">
        <v>77</v>
      </c>
      <c r="BH4716" s="42"/>
      <c r="BI4716" s="74"/>
      <c r="BJ4716" s="77"/>
      <c r="BL4716" s="497">
        <v>84.92</v>
      </c>
      <c r="BN4716" s="42"/>
      <c r="BO4716" s="74"/>
      <c r="BP4716" s="77"/>
      <c r="BR4716" s="497">
        <v>78.98</v>
      </c>
      <c r="BT4716" s="42"/>
    </row>
    <row r="4717" spans="1:72" x14ac:dyDescent="0.25">
      <c r="A4717" s="90">
        <v>34530</v>
      </c>
      <c r="B4717" s="20">
        <v>0.79166666666666663</v>
      </c>
      <c r="D4717">
        <v>75.02</v>
      </c>
      <c r="E4717" t="str">
        <f t="shared" si="182"/>
        <v>WEEKDAY</v>
      </c>
      <c r="F4717" t="e">
        <f t="shared" si="183"/>
        <v>#N/A</v>
      </c>
      <c r="G4717" s="74">
        <v>31973</v>
      </c>
      <c r="H4717" s="77">
        <v>0.79166666666666663</v>
      </c>
      <c r="J4717">
        <v>73.94</v>
      </c>
      <c r="M4717" s="74">
        <v>33434</v>
      </c>
      <c r="N4717" s="77">
        <v>0.79166666666666663</v>
      </c>
      <c r="P4717">
        <v>80.960000000000008</v>
      </c>
      <c r="S4717" s="74">
        <v>34530</v>
      </c>
      <c r="T4717" s="77">
        <v>0.79166666666666663</v>
      </c>
      <c r="V4717">
        <v>75.02</v>
      </c>
      <c r="X4717" s="42"/>
      <c r="AB4717">
        <v>78.5</v>
      </c>
      <c r="AC4717">
        <v>73.039999999999992</v>
      </c>
      <c r="AE4717" s="74"/>
      <c r="AF4717" s="77"/>
      <c r="AH4717" s="497">
        <v>75.2</v>
      </c>
      <c r="AJ4717" s="42"/>
      <c r="AK4717" s="74"/>
      <c r="AL4717" s="77"/>
      <c r="AN4717" s="497">
        <v>77</v>
      </c>
      <c r="AP4717" s="42"/>
      <c r="AQ4717" s="74"/>
      <c r="AR4717" s="77"/>
      <c r="AT4717" s="497">
        <v>82.94</v>
      </c>
      <c r="AV4717" s="42"/>
      <c r="AW4717" s="74"/>
      <c r="AX4717" s="77"/>
      <c r="BA4717" s="497">
        <v>73.94</v>
      </c>
      <c r="BB4717" s="42"/>
      <c r="BC4717" s="74"/>
      <c r="BD4717" s="77"/>
      <c r="BF4717">
        <v>78.080000000000013</v>
      </c>
      <c r="BH4717" s="42"/>
      <c r="BI4717" s="74"/>
      <c r="BJ4717" s="77"/>
      <c r="BL4717" s="497">
        <v>82.039999999999992</v>
      </c>
      <c r="BN4717" s="42"/>
      <c r="BO4717" s="74"/>
      <c r="BP4717" s="77"/>
      <c r="BR4717" s="497">
        <v>77</v>
      </c>
      <c r="BT4717" s="42"/>
    </row>
    <row r="4718" spans="1:72" x14ac:dyDescent="0.25">
      <c r="A4718" s="90">
        <v>34530</v>
      </c>
      <c r="B4718" s="20">
        <v>0.83333333333333337</v>
      </c>
      <c r="D4718">
        <v>75.02</v>
      </c>
      <c r="E4718" t="str">
        <f t="shared" si="182"/>
        <v>WEEKDAY</v>
      </c>
      <c r="F4718" t="e">
        <f t="shared" si="183"/>
        <v>#N/A</v>
      </c>
      <c r="G4718" s="74">
        <v>31973</v>
      </c>
      <c r="H4718" s="77">
        <v>0.83333333333333337</v>
      </c>
      <c r="J4718">
        <v>71.960000000000008</v>
      </c>
      <c r="M4718" s="74">
        <v>33434</v>
      </c>
      <c r="N4718" s="77">
        <v>0.83333333333333337</v>
      </c>
      <c r="P4718">
        <v>75.92</v>
      </c>
      <c r="S4718" s="74">
        <v>34530</v>
      </c>
      <c r="T4718" s="77">
        <v>0.83333333333333337</v>
      </c>
      <c r="V4718">
        <v>73.94</v>
      </c>
      <c r="X4718" s="42"/>
      <c r="AB4718">
        <v>77</v>
      </c>
      <c r="AC4718">
        <v>71.06</v>
      </c>
      <c r="AE4718" s="74"/>
      <c r="AF4718" s="77"/>
      <c r="AH4718" s="497">
        <v>75.2</v>
      </c>
      <c r="AJ4718" s="42"/>
      <c r="AK4718" s="74"/>
      <c r="AL4718" s="77"/>
      <c r="AN4718" s="497">
        <v>73.94</v>
      </c>
      <c r="AP4718" s="42"/>
      <c r="AQ4718" s="74"/>
      <c r="AR4718" s="77"/>
      <c r="AT4718" s="497">
        <v>78.98</v>
      </c>
      <c r="AV4718" s="42"/>
      <c r="AW4718" s="74"/>
      <c r="AX4718" s="77"/>
      <c r="BA4718" s="497">
        <v>73.039999999999992</v>
      </c>
      <c r="BB4718" s="42"/>
      <c r="BC4718" s="74"/>
      <c r="BD4718" s="77"/>
      <c r="BF4718">
        <v>77</v>
      </c>
      <c r="BH4718" s="42"/>
      <c r="BI4718" s="74"/>
      <c r="BJ4718" s="77"/>
      <c r="BL4718" s="497">
        <v>78.98</v>
      </c>
      <c r="BN4718" s="42"/>
      <c r="BO4718" s="74"/>
      <c r="BP4718" s="77"/>
      <c r="BR4718" s="497">
        <v>75.92</v>
      </c>
      <c r="BT4718" s="42"/>
    </row>
    <row r="4719" spans="1:72" x14ac:dyDescent="0.25">
      <c r="A4719" s="90">
        <v>34530</v>
      </c>
      <c r="B4719" s="20">
        <v>0.875</v>
      </c>
      <c r="D4719">
        <v>75.92</v>
      </c>
      <c r="E4719" t="str">
        <f t="shared" si="182"/>
        <v>WEEKDAY</v>
      </c>
      <c r="F4719" t="e">
        <f t="shared" si="183"/>
        <v>#N/A</v>
      </c>
      <c r="G4719" s="74">
        <v>31973</v>
      </c>
      <c r="H4719" s="77">
        <v>0.875</v>
      </c>
      <c r="J4719">
        <v>71.06</v>
      </c>
      <c r="M4719" s="74">
        <v>33434</v>
      </c>
      <c r="N4719" s="77">
        <v>0.875</v>
      </c>
      <c r="P4719">
        <v>69.98</v>
      </c>
      <c r="S4719" s="74">
        <v>34530</v>
      </c>
      <c r="T4719" s="77">
        <v>0.875</v>
      </c>
      <c r="V4719">
        <v>73.94</v>
      </c>
      <c r="X4719" s="42"/>
      <c r="AB4719">
        <v>75.8</v>
      </c>
      <c r="AC4719">
        <v>71.06</v>
      </c>
      <c r="AE4719" s="74"/>
      <c r="AF4719" s="77"/>
      <c r="AH4719" s="497">
        <v>73.759999999999991</v>
      </c>
      <c r="AJ4719" s="42"/>
      <c r="AK4719" s="74"/>
      <c r="AL4719" s="77"/>
      <c r="AN4719" s="497">
        <v>71.960000000000008</v>
      </c>
      <c r="AP4719" s="42"/>
      <c r="AQ4719" s="74"/>
      <c r="AR4719" s="77"/>
      <c r="AT4719" s="497">
        <v>75.02</v>
      </c>
      <c r="AV4719" s="42"/>
      <c r="AW4719" s="74"/>
      <c r="AX4719" s="77"/>
      <c r="BA4719" s="497">
        <v>71.960000000000008</v>
      </c>
      <c r="BB4719" s="42"/>
      <c r="BC4719" s="74"/>
      <c r="BD4719" s="77"/>
      <c r="BF4719">
        <v>78.080000000000013</v>
      </c>
      <c r="BH4719" s="42"/>
      <c r="BI4719" s="74"/>
      <c r="BJ4719" s="77"/>
      <c r="BL4719" s="497">
        <v>77</v>
      </c>
      <c r="BN4719" s="42"/>
      <c r="BO4719" s="74"/>
      <c r="BP4719" s="77"/>
      <c r="BR4719" s="497">
        <v>73.039999999999992</v>
      </c>
      <c r="BT4719" s="42"/>
    </row>
    <row r="4720" spans="1:72" x14ac:dyDescent="0.25">
      <c r="A4720" s="90">
        <v>34530</v>
      </c>
      <c r="B4720" s="20">
        <v>0.91666666666666663</v>
      </c>
      <c r="D4720">
        <v>75.02</v>
      </c>
      <c r="E4720" t="str">
        <f t="shared" si="182"/>
        <v>WEEKDAY</v>
      </c>
      <c r="F4720" t="e">
        <f t="shared" si="183"/>
        <v>#N/A</v>
      </c>
      <c r="G4720" s="74">
        <v>31973</v>
      </c>
      <c r="H4720" s="77">
        <v>0.91666666666666663</v>
      </c>
      <c r="J4720">
        <v>69.98</v>
      </c>
      <c r="M4720" s="74">
        <v>33434</v>
      </c>
      <c r="N4720" s="77">
        <v>0.91666666666666663</v>
      </c>
      <c r="P4720">
        <v>68</v>
      </c>
      <c r="S4720" s="74">
        <v>34530</v>
      </c>
      <c r="T4720" s="77">
        <v>0.91666666666666663</v>
      </c>
      <c r="V4720">
        <v>73.039999999999992</v>
      </c>
      <c r="X4720" s="42"/>
      <c r="AB4720">
        <v>75.2</v>
      </c>
      <c r="AC4720">
        <v>71.06</v>
      </c>
      <c r="AE4720" s="74"/>
      <c r="AF4720" s="77"/>
      <c r="AH4720" s="497">
        <v>73.580000000000013</v>
      </c>
      <c r="AJ4720" s="42"/>
      <c r="AK4720" s="74"/>
      <c r="AL4720" s="77"/>
      <c r="AN4720" s="497">
        <v>71.06</v>
      </c>
      <c r="AP4720" s="42"/>
      <c r="AQ4720" s="74"/>
      <c r="AR4720" s="77"/>
      <c r="AT4720" s="497">
        <v>71.06</v>
      </c>
      <c r="AV4720" s="42"/>
      <c r="AW4720" s="74"/>
      <c r="AX4720" s="77"/>
      <c r="BA4720" s="497">
        <v>71.960000000000008</v>
      </c>
      <c r="BB4720" s="42"/>
      <c r="BC4720" s="74"/>
      <c r="BD4720" s="77"/>
      <c r="BF4720">
        <v>77</v>
      </c>
      <c r="BH4720" s="42"/>
      <c r="BI4720" s="74"/>
      <c r="BJ4720" s="77"/>
      <c r="BL4720" s="497">
        <v>75.92</v>
      </c>
      <c r="BN4720" s="42"/>
      <c r="BO4720" s="74"/>
      <c r="BP4720" s="77"/>
      <c r="BR4720" s="497">
        <v>71.960000000000008</v>
      </c>
      <c r="BT4720" s="42"/>
    </row>
    <row r="4721" spans="1:72" x14ac:dyDescent="0.25">
      <c r="A4721" s="90">
        <v>34530</v>
      </c>
      <c r="B4721" s="20">
        <v>0.95833333333333337</v>
      </c>
      <c r="D4721">
        <v>75.02</v>
      </c>
      <c r="E4721" t="str">
        <f t="shared" si="182"/>
        <v>WEEKDAY</v>
      </c>
      <c r="F4721" t="e">
        <f t="shared" si="183"/>
        <v>#N/A</v>
      </c>
      <c r="G4721" s="74">
        <v>31973</v>
      </c>
      <c r="H4721" s="77">
        <v>0.95833333333333337</v>
      </c>
      <c r="J4721">
        <v>68</v>
      </c>
      <c r="M4721" s="74">
        <v>33434</v>
      </c>
      <c r="N4721" s="77">
        <v>0.95833333333333337</v>
      </c>
      <c r="P4721">
        <v>64.94</v>
      </c>
      <c r="S4721" s="74">
        <v>34530</v>
      </c>
      <c r="T4721" s="77">
        <v>0.95833333333333337</v>
      </c>
      <c r="V4721">
        <v>73.039999999999992</v>
      </c>
      <c r="X4721" s="42"/>
      <c r="AB4721">
        <v>74.7</v>
      </c>
      <c r="AC4721">
        <v>69.080000000000013</v>
      </c>
      <c r="AE4721" s="74"/>
      <c r="AF4721" s="77"/>
      <c r="AH4721" s="497">
        <v>73.400000000000006</v>
      </c>
      <c r="AJ4721" s="42"/>
      <c r="AK4721" s="74"/>
      <c r="AL4721" s="77"/>
      <c r="AN4721" s="497">
        <v>69.98</v>
      </c>
      <c r="AP4721" s="42"/>
      <c r="AQ4721" s="74"/>
      <c r="AR4721" s="77"/>
      <c r="AT4721" s="497">
        <v>71.42</v>
      </c>
      <c r="AV4721" s="42"/>
      <c r="AW4721" s="74"/>
      <c r="AX4721" s="77"/>
      <c r="BA4721" s="497">
        <v>71.960000000000008</v>
      </c>
      <c r="BB4721" s="42"/>
      <c r="BC4721" s="74"/>
      <c r="BD4721" s="77"/>
      <c r="BF4721">
        <v>75.92</v>
      </c>
      <c r="BH4721" s="42"/>
      <c r="BI4721" s="74"/>
      <c r="BJ4721" s="77"/>
      <c r="BL4721" s="497">
        <v>75.02</v>
      </c>
      <c r="BN4721" s="42"/>
      <c r="BO4721" s="74"/>
      <c r="BP4721" s="77"/>
      <c r="BR4721" s="497">
        <v>71.960000000000008</v>
      </c>
      <c r="BT4721" s="42"/>
    </row>
    <row r="4722" spans="1:72" x14ac:dyDescent="0.25">
      <c r="A4722" s="90">
        <v>34530</v>
      </c>
      <c r="B4722" s="20">
        <v>1</v>
      </c>
      <c r="D4722">
        <v>75.02</v>
      </c>
      <c r="E4722" t="str">
        <f t="shared" si="182"/>
        <v>WEEKDAY</v>
      </c>
      <c r="F4722" t="e">
        <f t="shared" si="183"/>
        <v>#N/A</v>
      </c>
      <c r="G4722" s="74">
        <v>31973</v>
      </c>
      <c r="H4722" s="77">
        <v>1</v>
      </c>
      <c r="J4722">
        <v>66.92</v>
      </c>
      <c r="M4722" s="74">
        <v>33434</v>
      </c>
      <c r="N4722" s="80">
        <v>1</v>
      </c>
      <c r="P4722">
        <v>62.96</v>
      </c>
      <c r="S4722" s="74">
        <v>34530</v>
      </c>
      <c r="T4722" s="80">
        <v>1</v>
      </c>
      <c r="V4722">
        <v>73.039999999999992</v>
      </c>
      <c r="X4722" s="42"/>
      <c r="AB4722">
        <v>74.2</v>
      </c>
      <c r="AC4722">
        <v>69.080000000000013</v>
      </c>
      <c r="AE4722" s="74"/>
      <c r="AF4722" s="80"/>
      <c r="AH4722" s="497">
        <v>71.599999999999994</v>
      </c>
      <c r="AJ4722" s="42"/>
      <c r="AK4722" s="74"/>
      <c r="AL4722" s="80"/>
      <c r="AN4722" s="497">
        <v>69.080000000000013</v>
      </c>
      <c r="AP4722" s="42"/>
      <c r="AQ4722" s="74"/>
      <c r="AR4722" s="80"/>
      <c r="AT4722" s="497">
        <v>71.599999999999994</v>
      </c>
      <c r="AV4722" s="42"/>
      <c r="AW4722" s="74"/>
      <c r="AX4722" s="80"/>
      <c r="BA4722" s="497">
        <v>71.960000000000008</v>
      </c>
      <c r="BB4722" s="42"/>
      <c r="BC4722" s="74"/>
      <c r="BD4722" s="80"/>
      <c r="BF4722">
        <v>75.92</v>
      </c>
      <c r="BH4722" s="42"/>
      <c r="BI4722" s="74"/>
      <c r="BJ4722" s="80"/>
      <c r="BL4722" s="497">
        <v>75.02</v>
      </c>
      <c r="BN4722" s="42"/>
      <c r="BO4722" s="74"/>
      <c r="BP4722" s="80"/>
      <c r="BR4722" s="497">
        <v>71.960000000000008</v>
      </c>
      <c r="BT4722" s="42"/>
    </row>
    <row r="4723" spans="1:72" x14ac:dyDescent="0.25">
      <c r="A4723" s="90">
        <v>34531</v>
      </c>
      <c r="B4723" s="20">
        <v>4.1666666666666664E-2</v>
      </c>
      <c r="D4723">
        <v>75.02</v>
      </c>
      <c r="E4723" t="str">
        <f t="shared" si="182"/>
        <v>SATURDAY</v>
      </c>
      <c r="F4723" t="e">
        <f t="shared" si="183"/>
        <v>#N/A</v>
      </c>
      <c r="G4723" s="74">
        <v>31974</v>
      </c>
      <c r="H4723" s="77">
        <v>4.1666666666666664E-2</v>
      </c>
      <c r="J4723">
        <v>66.92</v>
      </c>
      <c r="M4723" s="74">
        <v>33435</v>
      </c>
      <c r="N4723" s="77">
        <v>4.1666666666666664E-2</v>
      </c>
      <c r="P4723">
        <v>62.96</v>
      </c>
      <c r="S4723" s="74">
        <v>34531</v>
      </c>
      <c r="T4723" s="77">
        <v>4.1666666666666664E-2</v>
      </c>
      <c r="V4723">
        <v>73.039999999999992</v>
      </c>
      <c r="X4723" s="42"/>
      <c r="AB4723">
        <v>73.5</v>
      </c>
      <c r="AC4723">
        <v>69.98</v>
      </c>
      <c r="AE4723" s="74"/>
      <c r="AF4723" s="77"/>
      <c r="AH4723" s="497">
        <v>71.599999999999994</v>
      </c>
      <c r="AJ4723" s="42"/>
      <c r="AK4723" s="74"/>
      <c r="AL4723" s="77"/>
      <c r="AN4723" s="497">
        <v>69.080000000000013</v>
      </c>
      <c r="AP4723" s="42"/>
      <c r="AQ4723" s="74"/>
      <c r="AR4723" s="77"/>
      <c r="AT4723" s="497">
        <v>71.960000000000008</v>
      </c>
      <c r="AV4723" s="42"/>
      <c r="AW4723" s="74"/>
      <c r="AX4723" s="77"/>
      <c r="BA4723" s="497">
        <v>69.98</v>
      </c>
      <c r="BB4723" s="42"/>
      <c r="BC4723" s="74"/>
      <c r="BD4723" s="77"/>
      <c r="BF4723">
        <v>75.92</v>
      </c>
      <c r="BH4723" s="42"/>
      <c r="BI4723" s="74"/>
      <c r="BJ4723" s="77"/>
      <c r="BL4723" s="497">
        <v>75.02</v>
      </c>
      <c r="BN4723" s="42"/>
      <c r="BO4723" s="74"/>
      <c r="BP4723" s="77"/>
      <c r="BR4723" s="497">
        <v>71.06</v>
      </c>
      <c r="BT4723" s="42"/>
    </row>
    <row r="4724" spans="1:72" x14ac:dyDescent="0.25">
      <c r="A4724" s="90">
        <v>34531</v>
      </c>
      <c r="B4724" s="20">
        <v>8.3333333333333329E-2</v>
      </c>
      <c r="D4724">
        <v>73.039999999999992</v>
      </c>
      <c r="E4724" t="str">
        <f t="shared" si="182"/>
        <v>SATURDAY</v>
      </c>
      <c r="F4724" t="e">
        <f t="shared" si="183"/>
        <v>#N/A</v>
      </c>
      <c r="G4724" s="74">
        <v>31974</v>
      </c>
      <c r="H4724" s="77">
        <v>8.3333333333333329E-2</v>
      </c>
      <c r="J4724">
        <v>66.02</v>
      </c>
      <c r="M4724" s="74">
        <v>33435</v>
      </c>
      <c r="N4724" s="77">
        <v>8.3333333333333329E-2</v>
      </c>
      <c r="P4724">
        <v>62.06</v>
      </c>
      <c r="S4724" s="74">
        <v>34531</v>
      </c>
      <c r="T4724" s="77">
        <v>8.3333333333333329E-2</v>
      </c>
      <c r="V4724">
        <v>73.94</v>
      </c>
      <c r="X4724" s="42"/>
      <c r="AB4724">
        <v>72.900000000000006</v>
      </c>
      <c r="AC4724">
        <v>69.080000000000013</v>
      </c>
      <c r="AE4724" s="74"/>
      <c r="AF4724" s="77"/>
      <c r="AH4724" s="497">
        <v>69.800000000000011</v>
      </c>
      <c r="AJ4724" s="42"/>
      <c r="AK4724" s="74"/>
      <c r="AL4724" s="77"/>
      <c r="AN4724" s="497">
        <v>66.92</v>
      </c>
      <c r="AP4724" s="42"/>
      <c r="AQ4724" s="74"/>
      <c r="AR4724" s="77"/>
      <c r="AT4724" s="497">
        <v>71.240000000000009</v>
      </c>
      <c r="AV4724" s="42"/>
      <c r="AW4724" s="74"/>
      <c r="AX4724" s="77"/>
      <c r="BA4724" s="497">
        <v>69.98</v>
      </c>
      <c r="BB4724" s="42"/>
      <c r="BC4724" s="74"/>
      <c r="BD4724" s="77"/>
      <c r="BF4724">
        <v>75.02</v>
      </c>
      <c r="BH4724" s="42"/>
      <c r="BI4724" s="74"/>
      <c r="BJ4724" s="77"/>
      <c r="BL4724" s="497">
        <v>73.94</v>
      </c>
      <c r="BN4724" s="42"/>
      <c r="BO4724" s="74"/>
      <c r="BP4724" s="77"/>
      <c r="BR4724" s="497">
        <v>71.06</v>
      </c>
      <c r="BT4724" s="42"/>
    </row>
    <row r="4725" spans="1:72" x14ac:dyDescent="0.25">
      <c r="A4725" s="90">
        <v>34531</v>
      </c>
      <c r="B4725" s="20">
        <v>0.125</v>
      </c>
      <c r="D4725">
        <v>71.960000000000008</v>
      </c>
      <c r="E4725" t="str">
        <f t="shared" si="182"/>
        <v>SATURDAY</v>
      </c>
      <c r="F4725" t="e">
        <f t="shared" si="183"/>
        <v>#N/A</v>
      </c>
      <c r="G4725" s="74">
        <v>31974</v>
      </c>
      <c r="H4725" s="77">
        <v>0.125</v>
      </c>
      <c r="J4725">
        <v>64.94</v>
      </c>
      <c r="M4725" s="74">
        <v>33435</v>
      </c>
      <c r="N4725" s="77">
        <v>0.125</v>
      </c>
      <c r="P4725">
        <v>60.08</v>
      </c>
      <c r="S4725" s="74">
        <v>34531</v>
      </c>
      <c r="T4725" s="77">
        <v>0.125</v>
      </c>
      <c r="V4725">
        <v>73.94</v>
      </c>
      <c r="X4725" s="42"/>
      <c r="AB4725">
        <v>72.400000000000006</v>
      </c>
      <c r="AC4725">
        <v>69.080000000000013</v>
      </c>
      <c r="AE4725" s="74"/>
      <c r="AF4725" s="77"/>
      <c r="AH4725" s="497">
        <v>68</v>
      </c>
      <c r="AJ4725" s="42"/>
      <c r="AK4725" s="74"/>
      <c r="AL4725" s="77"/>
      <c r="AN4725" s="497">
        <v>66.02</v>
      </c>
      <c r="AP4725" s="42"/>
      <c r="AQ4725" s="74"/>
      <c r="AR4725" s="77"/>
      <c r="AT4725" s="497">
        <v>70.7</v>
      </c>
      <c r="AV4725" s="42"/>
      <c r="AW4725" s="74"/>
      <c r="AX4725" s="77"/>
      <c r="BA4725" s="497">
        <v>69.080000000000013</v>
      </c>
      <c r="BB4725" s="42"/>
      <c r="BC4725" s="74"/>
      <c r="BD4725" s="77"/>
      <c r="BF4725">
        <v>73.94</v>
      </c>
      <c r="BH4725" s="42"/>
      <c r="BI4725" s="74"/>
      <c r="BJ4725" s="77"/>
      <c r="BL4725" s="497">
        <v>73.039999999999992</v>
      </c>
      <c r="BN4725" s="42"/>
      <c r="BO4725" s="74"/>
      <c r="BP4725" s="77"/>
      <c r="BR4725" s="497">
        <v>69.98</v>
      </c>
      <c r="BT4725" s="42"/>
    </row>
    <row r="4726" spans="1:72" x14ac:dyDescent="0.25">
      <c r="A4726" s="90">
        <v>34531</v>
      </c>
      <c r="B4726" s="20">
        <v>0.16666666666666666</v>
      </c>
      <c r="D4726">
        <v>71.06</v>
      </c>
      <c r="E4726" t="str">
        <f t="shared" si="182"/>
        <v>SATURDAY</v>
      </c>
      <c r="F4726" t="e">
        <f t="shared" si="183"/>
        <v>#N/A</v>
      </c>
      <c r="G4726" s="74">
        <v>31974</v>
      </c>
      <c r="H4726" s="77">
        <v>0.16666666666666666</v>
      </c>
      <c r="J4726">
        <v>64.039999999999992</v>
      </c>
      <c r="M4726" s="74">
        <v>33435</v>
      </c>
      <c r="N4726" s="77">
        <v>0.16666666666666666</v>
      </c>
      <c r="P4726">
        <v>60.08</v>
      </c>
      <c r="S4726" s="74">
        <v>34531</v>
      </c>
      <c r="T4726" s="77">
        <v>0.16666666666666666</v>
      </c>
      <c r="V4726">
        <v>73.94</v>
      </c>
      <c r="X4726" s="42"/>
      <c r="AB4726">
        <v>71.900000000000006</v>
      </c>
      <c r="AC4726">
        <v>69.98</v>
      </c>
      <c r="AE4726" s="74"/>
      <c r="AF4726" s="77"/>
      <c r="AH4726" s="497">
        <v>68</v>
      </c>
      <c r="AJ4726" s="42"/>
      <c r="AK4726" s="74"/>
      <c r="AL4726" s="77"/>
      <c r="AN4726" s="497">
        <v>66.02</v>
      </c>
      <c r="AP4726" s="42"/>
      <c r="AQ4726" s="74"/>
      <c r="AR4726" s="77"/>
      <c r="AT4726" s="497">
        <v>69.98</v>
      </c>
      <c r="AV4726" s="42"/>
      <c r="AW4726" s="74"/>
      <c r="AX4726" s="77"/>
      <c r="BA4726" s="497">
        <v>68</v>
      </c>
      <c r="BB4726" s="42"/>
      <c r="BC4726" s="74"/>
      <c r="BD4726" s="77"/>
      <c r="BF4726">
        <v>73.039999999999992</v>
      </c>
      <c r="BH4726" s="42"/>
      <c r="BI4726" s="74"/>
      <c r="BJ4726" s="77"/>
      <c r="BL4726" s="497">
        <v>73.039999999999992</v>
      </c>
      <c r="BN4726" s="42"/>
      <c r="BO4726" s="74"/>
      <c r="BP4726" s="77"/>
      <c r="BR4726" s="497">
        <v>69.98</v>
      </c>
      <c r="BT4726" s="42"/>
    </row>
    <row r="4727" spans="1:72" x14ac:dyDescent="0.25">
      <c r="A4727" s="90">
        <v>34531</v>
      </c>
      <c r="B4727" s="20">
        <v>0.20833333333333334</v>
      </c>
      <c r="D4727">
        <v>71.06</v>
      </c>
      <c r="E4727" t="str">
        <f t="shared" si="182"/>
        <v>SATURDAY</v>
      </c>
      <c r="F4727" t="e">
        <f t="shared" si="183"/>
        <v>#N/A</v>
      </c>
      <c r="G4727" s="74">
        <v>31974</v>
      </c>
      <c r="H4727" s="77">
        <v>0.20833333333333334</v>
      </c>
      <c r="J4727">
        <v>64.94</v>
      </c>
      <c r="M4727" s="74">
        <v>33435</v>
      </c>
      <c r="N4727" s="77">
        <v>0.20833333333333334</v>
      </c>
      <c r="P4727">
        <v>59</v>
      </c>
      <c r="S4727" s="74">
        <v>34531</v>
      </c>
      <c r="T4727" s="77">
        <v>0.20833333333333334</v>
      </c>
      <c r="V4727">
        <v>71.960000000000008</v>
      </c>
      <c r="X4727" s="42"/>
      <c r="AB4727">
        <v>71.400000000000006</v>
      </c>
      <c r="AC4727">
        <v>69.98</v>
      </c>
      <c r="AE4727" s="74"/>
      <c r="AF4727" s="77"/>
      <c r="AH4727" s="497">
        <v>66.2</v>
      </c>
      <c r="AJ4727" s="42"/>
      <c r="AK4727" s="74"/>
      <c r="AL4727" s="77"/>
      <c r="AN4727" s="497">
        <v>64.94</v>
      </c>
      <c r="AP4727" s="42"/>
      <c r="AQ4727" s="74"/>
      <c r="AR4727" s="77"/>
      <c r="AT4727" s="497">
        <v>70.34</v>
      </c>
      <c r="AV4727" s="42"/>
      <c r="AW4727" s="74"/>
      <c r="AX4727" s="77"/>
      <c r="BA4727" s="497">
        <v>68</v>
      </c>
      <c r="BB4727" s="42"/>
      <c r="BC4727" s="74"/>
      <c r="BD4727" s="77"/>
      <c r="BF4727">
        <v>71.960000000000008</v>
      </c>
      <c r="BH4727" s="42"/>
      <c r="BI4727" s="74"/>
      <c r="BJ4727" s="77"/>
      <c r="BL4727" s="497">
        <v>71.960000000000008</v>
      </c>
      <c r="BN4727" s="42"/>
      <c r="BO4727" s="74"/>
      <c r="BP4727" s="77"/>
      <c r="BR4727" s="497">
        <v>69.98</v>
      </c>
      <c r="BT4727" s="42"/>
    </row>
    <row r="4728" spans="1:72" x14ac:dyDescent="0.25">
      <c r="A4728" s="90">
        <v>34531</v>
      </c>
      <c r="B4728" s="20">
        <v>0.25</v>
      </c>
      <c r="D4728">
        <v>71.06</v>
      </c>
      <c r="E4728" t="str">
        <f t="shared" si="182"/>
        <v>SATURDAY</v>
      </c>
      <c r="F4728" t="e">
        <f t="shared" si="183"/>
        <v>#N/A</v>
      </c>
      <c r="G4728" s="74">
        <v>31974</v>
      </c>
      <c r="H4728" s="77">
        <v>0.25</v>
      </c>
      <c r="J4728">
        <v>64.94</v>
      </c>
      <c r="M4728" s="74">
        <v>33435</v>
      </c>
      <c r="N4728" s="77">
        <v>0.25</v>
      </c>
      <c r="P4728">
        <v>64.94</v>
      </c>
      <c r="S4728" s="74">
        <v>34531</v>
      </c>
      <c r="T4728" s="77">
        <v>0.25</v>
      </c>
      <c r="V4728">
        <v>73.94</v>
      </c>
      <c r="X4728" s="42"/>
      <c r="AB4728">
        <v>71.099999999999994</v>
      </c>
      <c r="AC4728">
        <v>71.06</v>
      </c>
      <c r="AE4728" s="74"/>
      <c r="AF4728" s="77"/>
      <c r="AH4728" s="497">
        <v>68</v>
      </c>
      <c r="AJ4728" s="42"/>
      <c r="AK4728" s="74"/>
      <c r="AL4728" s="77"/>
      <c r="AN4728" s="497">
        <v>64.94</v>
      </c>
      <c r="AP4728" s="42"/>
      <c r="AQ4728" s="74"/>
      <c r="AR4728" s="77"/>
      <c r="AT4728" s="497">
        <v>70.7</v>
      </c>
      <c r="AV4728" s="42"/>
      <c r="AW4728" s="74"/>
      <c r="AX4728" s="77"/>
      <c r="BA4728" s="497">
        <v>68</v>
      </c>
      <c r="BB4728" s="42"/>
      <c r="BC4728" s="74"/>
      <c r="BD4728" s="77"/>
      <c r="BF4728">
        <v>71.960000000000008</v>
      </c>
      <c r="BH4728" s="42"/>
      <c r="BI4728" s="74"/>
      <c r="BJ4728" s="77"/>
      <c r="BL4728" s="497">
        <v>73.039999999999992</v>
      </c>
      <c r="BN4728" s="42"/>
      <c r="BO4728" s="74"/>
      <c r="BP4728" s="77"/>
      <c r="BR4728" s="497">
        <v>69.080000000000013</v>
      </c>
      <c r="BT4728" s="42"/>
    </row>
    <row r="4729" spans="1:72" x14ac:dyDescent="0.25">
      <c r="A4729" s="90">
        <v>34531</v>
      </c>
      <c r="B4729" s="20">
        <v>0.29166666666666669</v>
      </c>
      <c r="D4729">
        <v>73.94</v>
      </c>
      <c r="E4729" t="str">
        <f t="shared" si="182"/>
        <v>SATURDAY</v>
      </c>
      <c r="F4729" t="e">
        <f t="shared" si="183"/>
        <v>#N/A</v>
      </c>
      <c r="G4729" s="74">
        <v>31974</v>
      </c>
      <c r="H4729" s="77">
        <v>0.29166666666666669</v>
      </c>
      <c r="J4729">
        <v>66.02</v>
      </c>
      <c r="M4729" s="74">
        <v>33435</v>
      </c>
      <c r="N4729" s="77">
        <v>0.29166666666666669</v>
      </c>
      <c r="P4729">
        <v>71.06</v>
      </c>
      <c r="S4729" s="74">
        <v>34531</v>
      </c>
      <c r="T4729" s="77">
        <v>0.29166666666666669</v>
      </c>
      <c r="V4729">
        <v>75.92</v>
      </c>
      <c r="X4729" s="42"/>
      <c r="AB4729">
        <v>72.5</v>
      </c>
      <c r="AC4729">
        <v>73.039999999999992</v>
      </c>
      <c r="AE4729" s="74"/>
      <c r="AF4729" s="77"/>
      <c r="AH4729" s="497">
        <v>72.14</v>
      </c>
      <c r="AJ4729" s="42"/>
      <c r="AK4729" s="74"/>
      <c r="AL4729" s="77"/>
      <c r="AN4729" s="497">
        <v>69.080000000000013</v>
      </c>
      <c r="AP4729" s="42"/>
      <c r="AQ4729" s="74"/>
      <c r="AR4729" s="77"/>
      <c r="AT4729" s="497">
        <v>71.06</v>
      </c>
      <c r="AV4729" s="42"/>
      <c r="AW4729" s="74"/>
      <c r="AX4729" s="77"/>
      <c r="BA4729" s="497">
        <v>69.98</v>
      </c>
      <c r="BB4729" s="42"/>
      <c r="BC4729" s="74"/>
      <c r="BD4729" s="77"/>
      <c r="BF4729">
        <v>73.94</v>
      </c>
      <c r="BH4729" s="42"/>
      <c r="BI4729" s="74"/>
      <c r="BJ4729" s="77"/>
      <c r="BL4729" s="497">
        <v>73.94</v>
      </c>
      <c r="BN4729" s="42"/>
      <c r="BO4729" s="74"/>
      <c r="BP4729" s="77"/>
      <c r="BR4729" s="497">
        <v>68</v>
      </c>
      <c r="BT4729" s="42"/>
    </row>
    <row r="4730" spans="1:72" x14ac:dyDescent="0.25">
      <c r="A4730" s="90">
        <v>34531</v>
      </c>
      <c r="B4730" s="20">
        <v>0.33333333333333331</v>
      </c>
      <c r="D4730">
        <v>80.06</v>
      </c>
      <c r="E4730" t="str">
        <f t="shared" si="182"/>
        <v>SATURDAY</v>
      </c>
      <c r="F4730" t="e">
        <f t="shared" si="183"/>
        <v>#N/A</v>
      </c>
      <c r="G4730" s="74">
        <v>31974</v>
      </c>
      <c r="H4730" s="77">
        <v>0.33333333333333331</v>
      </c>
      <c r="J4730">
        <v>68</v>
      </c>
      <c r="M4730" s="74">
        <v>33435</v>
      </c>
      <c r="N4730" s="77">
        <v>0.33333333333333331</v>
      </c>
      <c r="P4730">
        <v>77</v>
      </c>
      <c r="S4730" s="74">
        <v>34531</v>
      </c>
      <c r="T4730" s="77">
        <v>0.33333333333333331</v>
      </c>
      <c r="V4730">
        <v>78.080000000000013</v>
      </c>
      <c r="X4730" s="42"/>
      <c r="AB4730">
        <v>74.5</v>
      </c>
      <c r="AC4730">
        <v>75.02</v>
      </c>
      <c r="AE4730" s="74"/>
      <c r="AF4730" s="77"/>
      <c r="AH4730" s="497">
        <v>75.2</v>
      </c>
      <c r="AJ4730" s="42"/>
      <c r="AK4730" s="74"/>
      <c r="AL4730" s="77"/>
      <c r="AN4730" s="497">
        <v>71.960000000000008</v>
      </c>
      <c r="AP4730" s="42"/>
      <c r="AQ4730" s="74"/>
      <c r="AR4730" s="77"/>
      <c r="AT4730" s="497">
        <v>75.02</v>
      </c>
      <c r="AV4730" s="42"/>
      <c r="AW4730" s="74"/>
      <c r="AX4730" s="77"/>
      <c r="BA4730" s="497">
        <v>73.039999999999992</v>
      </c>
      <c r="BB4730" s="42"/>
      <c r="BC4730" s="74"/>
      <c r="BD4730" s="77"/>
      <c r="BF4730">
        <v>75.92</v>
      </c>
      <c r="BH4730" s="42"/>
      <c r="BI4730" s="74"/>
      <c r="BJ4730" s="77"/>
      <c r="BL4730" s="497">
        <v>75.02</v>
      </c>
      <c r="BN4730" s="42"/>
      <c r="BO4730" s="74"/>
      <c r="BP4730" s="77"/>
      <c r="BR4730" s="497">
        <v>69.98</v>
      </c>
      <c r="BT4730" s="42"/>
    </row>
    <row r="4731" spans="1:72" x14ac:dyDescent="0.25">
      <c r="A4731" s="90">
        <v>34531</v>
      </c>
      <c r="B4731" s="20">
        <v>0.375</v>
      </c>
      <c r="D4731">
        <v>80.960000000000008</v>
      </c>
      <c r="E4731" t="str">
        <f t="shared" si="182"/>
        <v>SATURDAY</v>
      </c>
      <c r="F4731" t="e">
        <f t="shared" si="183"/>
        <v>#N/A</v>
      </c>
      <c r="G4731" s="74">
        <v>31974</v>
      </c>
      <c r="H4731" s="77">
        <v>0.375</v>
      </c>
      <c r="J4731">
        <v>69.98</v>
      </c>
      <c r="M4731" s="74">
        <v>33435</v>
      </c>
      <c r="N4731" s="77">
        <v>0.375</v>
      </c>
      <c r="P4731">
        <v>82.039999999999992</v>
      </c>
      <c r="S4731" s="74">
        <v>34531</v>
      </c>
      <c r="T4731" s="77">
        <v>0.375</v>
      </c>
      <c r="V4731">
        <v>84.02</v>
      </c>
      <c r="X4731" s="42"/>
      <c r="AB4731">
        <v>76.599999999999994</v>
      </c>
      <c r="AC4731">
        <v>78.080000000000013</v>
      </c>
      <c r="AE4731" s="74"/>
      <c r="AF4731" s="77"/>
      <c r="AH4731" s="497">
        <v>78.800000000000011</v>
      </c>
      <c r="AJ4731" s="42"/>
      <c r="AK4731" s="74"/>
      <c r="AL4731" s="77"/>
      <c r="AN4731" s="497">
        <v>73.94</v>
      </c>
      <c r="AP4731" s="42"/>
      <c r="AQ4731" s="74"/>
      <c r="AR4731" s="77"/>
      <c r="AT4731" s="497">
        <v>78.98</v>
      </c>
      <c r="AV4731" s="42"/>
      <c r="AW4731" s="74"/>
      <c r="AX4731" s="77"/>
      <c r="BA4731" s="497">
        <v>73.94</v>
      </c>
      <c r="BB4731" s="42"/>
      <c r="BC4731" s="74"/>
      <c r="BD4731" s="77"/>
      <c r="BF4731">
        <v>78.98</v>
      </c>
      <c r="BH4731" s="42"/>
      <c r="BI4731" s="74"/>
      <c r="BJ4731" s="77"/>
      <c r="BL4731" s="497">
        <v>71.06</v>
      </c>
      <c r="BN4731" s="42"/>
      <c r="BO4731" s="74"/>
      <c r="BP4731" s="77"/>
      <c r="BR4731" s="497">
        <v>73.94</v>
      </c>
      <c r="BT4731" s="42"/>
    </row>
    <row r="4732" spans="1:72" x14ac:dyDescent="0.25">
      <c r="A4732" s="90">
        <v>34531</v>
      </c>
      <c r="B4732" s="20">
        <v>0.41666666666666669</v>
      </c>
      <c r="D4732">
        <v>82.94</v>
      </c>
      <c r="E4732" t="str">
        <f t="shared" si="182"/>
        <v>SATURDAY</v>
      </c>
      <c r="F4732" t="e">
        <f t="shared" si="183"/>
        <v>#N/A</v>
      </c>
      <c r="G4732" s="74">
        <v>31974</v>
      </c>
      <c r="H4732" s="77">
        <v>0.41666666666666669</v>
      </c>
      <c r="J4732">
        <v>71.960000000000008</v>
      </c>
      <c r="M4732" s="74">
        <v>33435</v>
      </c>
      <c r="N4732" s="77">
        <v>0.41666666666666669</v>
      </c>
      <c r="P4732">
        <v>84.02</v>
      </c>
      <c r="S4732" s="74">
        <v>34531</v>
      </c>
      <c r="T4732" s="77">
        <v>0.41666666666666669</v>
      </c>
      <c r="V4732">
        <v>84.92</v>
      </c>
      <c r="X4732" s="42"/>
      <c r="AB4732">
        <v>78.400000000000006</v>
      </c>
      <c r="AC4732">
        <v>80.06</v>
      </c>
      <c r="AE4732" s="74"/>
      <c r="AF4732" s="77"/>
      <c r="AH4732" s="497">
        <v>77</v>
      </c>
      <c r="AJ4732" s="42"/>
      <c r="AK4732" s="74"/>
      <c r="AL4732" s="77"/>
      <c r="AN4732" s="497">
        <v>77</v>
      </c>
      <c r="AP4732" s="42"/>
      <c r="AQ4732" s="74"/>
      <c r="AR4732" s="77"/>
      <c r="AT4732" s="497">
        <v>82.94</v>
      </c>
      <c r="AV4732" s="42"/>
      <c r="AW4732" s="74"/>
      <c r="AX4732" s="77"/>
      <c r="BA4732" s="497">
        <v>77</v>
      </c>
      <c r="BB4732" s="42"/>
      <c r="BC4732" s="74"/>
      <c r="BD4732" s="77"/>
      <c r="BF4732">
        <v>84.02</v>
      </c>
      <c r="BH4732" s="42"/>
      <c r="BI4732" s="74"/>
      <c r="BJ4732" s="77"/>
      <c r="BL4732" s="497">
        <v>73.94</v>
      </c>
      <c r="BN4732" s="42"/>
      <c r="BO4732" s="74"/>
      <c r="BP4732" s="77"/>
      <c r="BR4732" s="497">
        <v>75.92</v>
      </c>
      <c r="BT4732" s="42"/>
    </row>
    <row r="4733" spans="1:72" x14ac:dyDescent="0.25">
      <c r="A4733" s="90">
        <v>34531</v>
      </c>
      <c r="B4733" s="20">
        <v>0.45833333333333331</v>
      </c>
      <c r="D4733">
        <v>86</v>
      </c>
      <c r="E4733" t="str">
        <f t="shared" si="182"/>
        <v>SATURDAY</v>
      </c>
      <c r="F4733" t="e">
        <f t="shared" si="183"/>
        <v>#N/A</v>
      </c>
      <c r="G4733" s="74">
        <v>31974</v>
      </c>
      <c r="H4733" s="77">
        <v>0.45833333333333331</v>
      </c>
      <c r="J4733">
        <v>73.039999999999992</v>
      </c>
      <c r="M4733" s="74">
        <v>33435</v>
      </c>
      <c r="N4733" s="77">
        <v>0.45833333333333331</v>
      </c>
      <c r="P4733">
        <v>86</v>
      </c>
      <c r="S4733" s="74">
        <v>34531</v>
      </c>
      <c r="T4733" s="77">
        <v>0.45833333333333331</v>
      </c>
      <c r="V4733">
        <v>87.080000000000013</v>
      </c>
      <c r="X4733" s="42"/>
      <c r="AB4733">
        <v>80</v>
      </c>
      <c r="AC4733">
        <v>82.039999999999992</v>
      </c>
      <c r="AE4733" s="74"/>
      <c r="AF4733" s="77"/>
      <c r="AH4733" s="497">
        <v>80.599999999999994</v>
      </c>
      <c r="AJ4733" s="42"/>
      <c r="AK4733" s="74"/>
      <c r="AL4733" s="77"/>
      <c r="AN4733" s="497">
        <v>78.080000000000013</v>
      </c>
      <c r="AP4733" s="42"/>
      <c r="AQ4733" s="74"/>
      <c r="AR4733" s="77"/>
      <c r="AT4733" s="497">
        <v>84.38</v>
      </c>
      <c r="AV4733" s="42"/>
      <c r="AW4733" s="74"/>
      <c r="AX4733" s="77"/>
      <c r="BA4733" s="497">
        <v>77</v>
      </c>
      <c r="BB4733" s="42"/>
      <c r="BC4733" s="74"/>
      <c r="BD4733" s="77"/>
      <c r="BF4733">
        <v>82.94</v>
      </c>
      <c r="BH4733" s="42"/>
      <c r="BI4733" s="74"/>
      <c r="BJ4733" s="77"/>
      <c r="BL4733" s="497">
        <v>75.92</v>
      </c>
      <c r="BN4733" s="42"/>
      <c r="BO4733" s="74"/>
      <c r="BP4733" s="77"/>
      <c r="BR4733" s="497">
        <v>77</v>
      </c>
      <c r="BT4733" s="42"/>
    </row>
    <row r="4734" spans="1:72" x14ac:dyDescent="0.25">
      <c r="A4734" s="90">
        <v>34531</v>
      </c>
      <c r="B4734" s="20">
        <v>0.5</v>
      </c>
      <c r="D4734">
        <v>86</v>
      </c>
      <c r="E4734" t="str">
        <f t="shared" si="182"/>
        <v>SATURDAY</v>
      </c>
      <c r="F4734" t="e">
        <f t="shared" si="183"/>
        <v>#N/A</v>
      </c>
      <c r="G4734" s="74">
        <v>31974</v>
      </c>
      <c r="H4734" s="77">
        <v>0.5</v>
      </c>
      <c r="J4734">
        <v>73.94</v>
      </c>
      <c r="M4734" s="74">
        <v>33435</v>
      </c>
      <c r="N4734" s="77">
        <v>0.5</v>
      </c>
      <c r="P4734">
        <v>87.080000000000013</v>
      </c>
      <c r="S4734" s="74">
        <v>34531</v>
      </c>
      <c r="T4734" s="77">
        <v>0.5</v>
      </c>
      <c r="V4734">
        <v>89.06</v>
      </c>
      <c r="X4734" s="42"/>
      <c r="AB4734">
        <v>81.099999999999994</v>
      </c>
      <c r="AC4734">
        <v>86</v>
      </c>
      <c r="AE4734" s="74"/>
      <c r="AF4734" s="77"/>
      <c r="AH4734" s="497">
        <v>82.4</v>
      </c>
      <c r="AJ4734" s="42"/>
      <c r="AK4734" s="74"/>
      <c r="AL4734" s="77"/>
      <c r="AN4734" s="497">
        <v>78.98</v>
      </c>
      <c r="AP4734" s="42"/>
      <c r="AQ4734" s="74"/>
      <c r="AR4734" s="77"/>
      <c r="AT4734" s="497">
        <v>85.64</v>
      </c>
      <c r="AV4734" s="42"/>
      <c r="AW4734" s="74"/>
      <c r="AX4734" s="77"/>
      <c r="BA4734" s="497">
        <v>78.98</v>
      </c>
      <c r="BB4734" s="42"/>
      <c r="BC4734" s="74"/>
      <c r="BD4734" s="77"/>
      <c r="BF4734">
        <v>82.039999999999992</v>
      </c>
      <c r="BH4734" s="42"/>
      <c r="BI4734" s="74"/>
      <c r="BJ4734" s="77"/>
      <c r="BL4734" s="497">
        <v>80.960000000000008</v>
      </c>
      <c r="BN4734" s="42"/>
      <c r="BO4734" s="74"/>
      <c r="BP4734" s="77"/>
      <c r="BR4734" s="497">
        <v>78.080000000000013</v>
      </c>
      <c r="BT4734" s="42"/>
    </row>
    <row r="4735" spans="1:72" x14ac:dyDescent="0.25">
      <c r="A4735" s="90">
        <v>34531</v>
      </c>
      <c r="B4735" s="20">
        <v>0.54166666666666663</v>
      </c>
      <c r="D4735">
        <v>84.92</v>
      </c>
      <c r="E4735" t="str">
        <f t="shared" si="182"/>
        <v>SATURDAY</v>
      </c>
      <c r="F4735" t="e">
        <f t="shared" si="183"/>
        <v>#N/A</v>
      </c>
      <c r="G4735" s="74">
        <v>31974</v>
      </c>
      <c r="H4735" s="77">
        <v>0.54166666666666663</v>
      </c>
      <c r="J4735">
        <v>73.039999999999992</v>
      </c>
      <c r="M4735" s="74">
        <v>33435</v>
      </c>
      <c r="N4735" s="77">
        <v>0.54166666666666663</v>
      </c>
      <c r="P4735">
        <v>89.960000000000008</v>
      </c>
      <c r="S4735" s="74">
        <v>34531</v>
      </c>
      <c r="T4735" s="77">
        <v>0.54166666666666663</v>
      </c>
      <c r="V4735">
        <v>89.06</v>
      </c>
      <c r="X4735" s="42"/>
      <c r="AB4735">
        <v>81.900000000000006</v>
      </c>
      <c r="AC4735">
        <v>84.02</v>
      </c>
      <c r="AE4735" s="74"/>
      <c r="AF4735" s="77"/>
      <c r="AH4735" s="497">
        <v>84.2</v>
      </c>
      <c r="AJ4735" s="42"/>
      <c r="AK4735" s="74"/>
      <c r="AL4735" s="77"/>
      <c r="AN4735" s="497">
        <v>80.06</v>
      </c>
      <c r="AP4735" s="42"/>
      <c r="AQ4735" s="74"/>
      <c r="AR4735" s="77"/>
      <c r="AT4735" s="497">
        <v>87.080000000000013</v>
      </c>
      <c r="AV4735" s="42"/>
      <c r="AW4735" s="74"/>
      <c r="AX4735" s="77"/>
      <c r="BA4735" s="497">
        <v>78.98</v>
      </c>
      <c r="BB4735" s="42"/>
      <c r="BC4735" s="74"/>
      <c r="BD4735" s="77"/>
      <c r="BF4735">
        <v>80.960000000000008</v>
      </c>
      <c r="BH4735" s="42"/>
      <c r="BI4735" s="74"/>
      <c r="BJ4735" s="77"/>
      <c r="BL4735" s="497">
        <v>82.94</v>
      </c>
      <c r="BN4735" s="42"/>
      <c r="BO4735" s="74"/>
      <c r="BP4735" s="77"/>
      <c r="BR4735" s="497">
        <v>80.06</v>
      </c>
      <c r="BT4735" s="42"/>
    </row>
    <row r="4736" spans="1:72" x14ac:dyDescent="0.25">
      <c r="A4736" s="90">
        <v>34531</v>
      </c>
      <c r="B4736" s="20">
        <v>0.58333333333333337</v>
      </c>
      <c r="D4736">
        <v>84.02</v>
      </c>
      <c r="E4736" t="str">
        <f t="shared" si="182"/>
        <v>SATURDAY</v>
      </c>
      <c r="F4736" t="e">
        <f t="shared" si="183"/>
        <v>#N/A</v>
      </c>
      <c r="G4736" s="74">
        <v>31974</v>
      </c>
      <c r="H4736" s="77">
        <v>0.58333333333333337</v>
      </c>
      <c r="J4736">
        <v>73.039999999999992</v>
      </c>
      <c r="M4736" s="74">
        <v>33435</v>
      </c>
      <c r="N4736" s="77">
        <v>0.58333333333333337</v>
      </c>
      <c r="P4736">
        <v>89.06</v>
      </c>
      <c r="S4736" s="74">
        <v>34531</v>
      </c>
      <c r="T4736" s="77">
        <v>0.58333333333333337</v>
      </c>
      <c r="V4736">
        <v>86</v>
      </c>
      <c r="X4736" s="42"/>
      <c r="AB4736">
        <v>82.3</v>
      </c>
      <c r="AC4736">
        <v>82.039999999999992</v>
      </c>
      <c r="AE4736" s="74"/>
      <c r="AF4736" s="77"/>
      <c r="AH4736" s="497">
        <v>84.2</v>
      </c>
      <c r="AJ4736" s="42"/>
      <c r="AK4736" s="74"/>
      <c r="AL4736" s="77"/>
      <c r="AN4736" s="497">
        <v>80.960000000000008</v>
      </c>
      <c r="AP4736" s="42"/>
      <c r="AQ4736" s="74"/>
      <c r="AR4736" s="77"/>
      <c r="AT4736" s="497">
        <v>84.740000000000009</v>
      </c>
      <c r="AV4736" s="42"/>
      <c r="AW4736" s="74"/>
      <c r="AX4736" s="77"/>
      <c r="BA4736" s="497">
        <v>80.960000000000008</v>
      </c>
      <c r="BB4736" s="42"/>
      <c r="BC4736" s="74"/>
      <c r="BD4736" s="77"/>
      <c r="BF4736">
        <v>82.94</v>
      </c>
      <c r="BH4736" s="42"/>
      <c r="BI4736" s="74"/>
      <c r="BJ4736" s="77"/>
      <c r="BL4736" s="497">
        <v>84.92</v>
      </c>
      <c r="BN4736" s="42"/>
      <c r="BO4736" s="74"/>
      <c r="BP4736" s="77"/>
      <c r="BR4736" s="497">
        <v>78.98</v>
      </c>
      <c r="BT4736" s="42"/>
    </row>
    <row r="4737" spans="1:72" x14ac:dyDescent="0.25">
      <c r="A4737" s="90">
        <v>34531</v>
      </c>
      <c r="B4737" s="20">
        <v>0.625</v>
      </c>
      <c r="D4737">
        <v>86</v>
      </c>
      <c r="E4737" t="str">
        <f t="shared" si="182"/>
        <v>SATURDAY</v>
      </c>
      <c r="F4737" t="e">
        <f t="shared" si="183"/>
        <v>#N/A</v>
      </c>
      <c r="G4737" s="74">
        <v>31974</v>
      </c>
      <c r="H4737" s="77">
        <v>0.625</v>
      </c>
      <c r="J4737">
        <v>73.039999999999992</v>
      </c>
      <c r="M4737" s="74">
        <v>33435</v>
      </c>
      <c r="N4737" s="77">
        <v>0.625</v>
      </c>
      <c r="P4737">
        <v>89.960000000000008</v>
      </c>
      <c r="S4737" s="74">
        <v>34531</v>
      </c>
      <c r="T4737" s="77">
        <v>0.625</v>
      </c>
      <c r="V4737">
        <v>87.080000000000013</v>
      </c>
      <c r="X4737" s="42"/>
      <c r="AB4737">
        <v>82.3</v>
      </c>
      <c r="AC4737">
        <v>82.94</v>
      </c>
      <c r="AE4737" s="74"/>
      <c r="AF4737" s="77"/>
      <c r="AH4737" s="497">
        <v>84.2</v>
      </c>
      <c r="AJ4737" s="42"/>
      <c r="AK4737" s="74"/>
      <c r="AL4737" s="77"/>
      <c r="AN4737" s="497">
        <v>77</v>
      </c>
      <c r="AP4737" s="42"/>
      <c r="AQ4737" s="74"/>
      <c r="AR4737" s="77"/>
      <c r="AT4737" s="497">
        <v>82.4</v>
      </c>
      <c r="AV4737" s="42"/>
      <c r="AW4737" s="74"/>
      <c r="AX4737" s="77"/>
      <c r="BA4737" s="497">
        <v>78.98</v>
      </c>
      <c r="BB4737" s="42"/>
      <c r="BC4737" s="74"/>
      <c r="BD4737" s="77"/>
      <c r="BF4737">
        <v>84.92</v>
      </c>
      <c r="BH4737" s="42"/>
      <c r="BI4737" s="74"/>
      <c r="BJ4737" s="77"/>
      <c r="BL4737" s="497">
        <v>87.080000000000013</v>
      </c>
      <c r="BN4737" s="42"/>
      <c r="BO4737" s="74"/>
      <c r="BP4737" s="77"/>
      <c r="BR4737" s="497">
        <v>78.98</v>
      </c>
      <c r="BT4737" s="42"/>
    </row>
    <row r="4738" spans="1:72" x14ac:dyDescent="0.25">
      <c r="A4738" s="90">
        <v>34531</v>
      </c>
      <c r="B4738" s="20">
        <v>0.66666666666666663</v>
      </c>
      <c r="D4738">
        <v>87.080000000000013</v>
      </c>
      <c r="E4738" t="str">
        <f t="shared" si="182"/>
        <v>SATURDAY</v>
      </c>
      <c r="F4738" t="e">
        <f t="shared" si="183"/>
        <v>#N/A</v>
      </c>
      <c r="G4738" s="74">
        <v>31974</v>
      </c>
      <c r="H4738" s="77">
        <v>0.66666666666666663</v>
      </c>
      <c r="J4738">
        <v>73.039999999999992</v>
      </c>
      <c r="M4738" s="74">
        <v>33435</v>
      </c>
      <c r="N4738" s="77">
        <v>0.66666666666666663</v>
      </c>
      <c r="P4738">
        <v>87.98</v>
      </c>
      <c r="S4738" s="74">
        <v>34531</v>
      </c>
      <c r="T4738" s="77">
        <v>0.66666666666666663</v>
      </c>
      <c r="V4738">
        <v>86</v>
      </c>
      <c r="X4738" s="42"/>
      <c r="AB4738">
        <v>81.8</v>
      </c>
      <c r="AC4738">
        <v>84.92</v>
      </c>
      <c r="AE4738" s="74"/>
      <c r="AF4738" s="77"/>
      <c r="AH4738" s="497">
        <v>84.2</v>
      </c>
      <c r="AJ4738" s="42"/>
      <c r="AK4738" s="74"/>
      <c r="AL4738" s="77"/>
      <c r="AN4738" s="497">
        <v>75.92</v>
      </c>
      <c r="AP4738" s="42"/>
      <c r="AQ4738" s="74"/>
      <c r="AR4738" s="77"/>
      <c r="AT4738" s="497">
        <v>80.06</v>
      </c>
      <c r="AV4738" s="42"/>
      <c r="AW4738" s="74"/>
      <c r="AX4738" s="77"/>
      <c r="BA4738" s="497">
        <v>80.06</v>
      </c>
      <c r="BB4738" s="42"/>
      <c r="BC4738" s="74"/>
      <c r="BD4738" s="77"/>
      <c r="BF4738">
        <v>87.080000000000013</v>
      </c>
      <c r="BH4738" s="42"/>
      <c r="BI4738" s="74"/>
      <c r="BJ4738" s="77"/>
      <c r="BL4738" s="497">
        <v>87.080000000000013</v>
      </c>
      <c r="BN4738" s="42"/>
      <c r="BO4738" s="74"/>
      <c r="BP4738" s="77"/>
      <c r="BR4738" s="497">
        <v>78.98</v>
      </c>
      <c r="BT4738" s="42"/>
    </row>
    <row r="4739" spans="1:72" x14ac:dyDescent="0.25">
      <c r="A4739" s="90">
        <v>34531</v>
      </c>
      <c r="B4739" s="20">
        <v>0.70833333333333337</v>
      </c>
      <c r="D4739">
        <v>84.92</v>
      </c>
      <c r="E4739" t="str">
        <f t="shared" si="182"/>
        <v>SATURDAY</v>
      </c>
      <c r="F4739" t="e">
        <f t="shared" si="183"/>
        <v>#N/A</v>
      </c>
      <c r="G4739" s="74">
        <v>31974</v>
      </c>
      <c r="H4739" s="77">
        <v>0.70833333333333337</v>
      </c>
      <c r="J4739">
        <v>73.94</v>
      </c>
      <c r="M4739" s="74">
        <v>33435</v>
      </c>
      <c r="N4739" s="77">
        <v>0.70833333333333337</v>
      </c>
      <c r="P4739">
        <v>84.92</v>
      </c>
      <c r="S4739" s="74">
        <v>34531</v>
      </c>
      <c r="T4739" s="77">
        <v>0.70833333333333337</v>
      </c>
      <c r="V4739">
        <v>84.92</v>
      </c>
      <c r="X4739" s="42"/>
      <c r="AB4739">
        <v>81</v>
      </c>
      <c r="AC4739">
        <v>84.02</v>
      </c>
      <c r="AE4739" s="74"/>
      <c r="AF4739" s="77"/>
      <c r="AH4739" s="497">
        <v>84.2</v>
      </c>
      <c r="AJ4739" s="42"/>
      <c r="AK4739" s="74"/>
      <c r="AL4739" s="77"/>
      <c r="AN4739" s="497">
        <v>69.080000000000013</v>
      </c>
      <c r="AP4739" s="42"/>
      <c r="AQ4739" s="74"/>
      <c r="AR4739" s="77"/>
      <c r="AT4739" s="497">
        <v>79.34</v>
      </c>
      <c r="AV4739" s="42"/>
      <c r="AW4739" s="74"/>
      <c r="AX4739" s="77"/>
      <c r="BA4739" s="497">
        <v>80.06</v>
      </c>
      <c r="BB4739" s="42"/>
      <c r="BC4739" s="74"/>
      <c r="BD4739" s="77"/>
      <c r="BF4739">
        <v>80.960000000000008</v>
      </c>
      <c r="BH4739" s="42"/>
      <c r="BI4739" s="74"/>
      <c r="BJ4739" s="77"/>
      <c r="BL4739" s="497">
        <v>86</v>
      </c>
      <c r="BN4739" s="42"/>
      <c r="BO4739" s="74"/>
      <c r="BP4739" s="77"/>
      <c r="BR4739" s="497">
        <v>77</v>
      </c>
      <c r="BT4739" s="42"/>
    </row>
    <row r="4740" spans="1:72" x14ac:dyDescent="0.25">
      <c r="A4740" s="90">
        <v>34531</v>
      </c>
      <c r="B4740" s="20">
        <v>0.75</v>
      </c>
      <c r="D4740">
        <v>84.92</v>
      </c>
      <c r="E4740" t="str">
        <f t="shared" si="182"/>
        <v>SATURDAY</v>
      </c>
      <c r="F4740" t="e">
        <f t="shared" si="183"/>
        <v>#N/A</v>
      </c>
      <c r="G4740" s="74">
        <v>31974</v>
      </c>
      <c r="H4740" s="77">
        <v>0.75</v>
      </c>
      <c r="J4740">
        <v>73.94</v>
      </c>
      <c r="M4740" s="74">
        <v>33435</v>
      </c>
      <c r="N4740" s="77">
        <v>0.75</v>
      </c>
      <c r="P4740">
        <v>82.94</v>
      </c>
      <c r="S4740" s="74">
        <v>34531</v>
      </c>
      <c r="T4740" s="77">
        <v>0.75</v>
      </c>
      <c r="V4740">
        <v>84.92</v>
      </c>
      <c r="X4740" s="42"/>
      <c r="AB4740">
        <v>79.8</v>
      </c>
      <c r="AC4740">
        <v>82.039999999999992</v>
      </c>
      <c r="AE4740" s="74"/>
      <c r="AF4740" s="77"/>
      <c r="AH4740" s="497">
        <v>80.599999999999994</v>
      </c>
      <c r="AJ4740" s="42"/>
      <c r="AK4740" s="74"/>
      <c r="AL4740" s="77"/>
      <c r="AN4740" s="497">
        <v>66.92</v>
      </c>
      <c r="AP4740" s="42"/>
      <c r="AQ4740" s="74"/>
      <c r="AR4740" s="77"/>
      <c r="AT4740" s="497">
        <v>78.800000000000011</v>
      </c>
      <c r="AV4740" s="42"/>
      <c r="AW4740" s="74"/>
      <c r="AX4740" s="77"/>
      <c r="BA4740" s="497">
        <v>78.98</v>
      </c>
      <c r="BB4740" s="42"/>
      <c r="BC4740" s="74"/>
      <c r="BD4740" s="77"/>
      <c r="BF4740">
        <v>80.06</v>
      </c>
      <c r="BH4740" s="42"/>
      <c r="BI4740" s="74"/>
      <c r="BJ4740" s="77"/>
      <c r="BL4740" s="497">
        <v>82.94</v>
      </c>
      <c r="BN4740" s="42"/>
      <c r="BO4740" s="74"/>
      <c r="BP4740" s="77"/>
      <c r="BR4740" s="497">
        <v>75.92</v>
      </c>
      <c r="BT4740" s="42"/>
    </row>
    <row r="4741" spans="1:72" x14ac:dyDescent="0.25">
      <c r="A4741" s="90">
        <v>34531</v>
      </c>
      <c r="B4741" s="20">
        <v>0.79166666666666663</v>
      </c>
      <c r="D4741">
        <v>82.94</v>
      </c>
      <c r="E4741" t="str">
        <f t="shared" si="182"/>
        <v>SATURDAY</v>
      </c>
      <c r="F4741" t="e">
        <f t="shared" si="183"/>
        <v>#N/A</v>
      </c>
      <c r="G4741" s="74">
        <v>31974</v>
      </c>
      <c r="H4741" s="77">
        <v>0.79166666666666663</v>
      </c>
      <c r="J4741">
        <v>73.94</v>
      </c>
      <c r="M4741" s="74">
        <v>33435</v>
      </c>
      <c r="N4741" s="77">
        <v>0.79166666666666663</v>
      </c>
      <c r="P4741">
        <v>78.98</v>
      </c>
      <c r="S4741" s="74">
        <v>34531</v>
      </c>
      <c r="T4741" s="77">
        <v>0.79166666666666663</v>
      </c>
      <c r="V4741">
        <v>82.94</v>
      </c>
      <c r="X4741" s="42"/>
      <c r="AB4741">
        <v>78.5</v>
      </c>
      <c r="AC4741">
        <v>80.960000000000008</v>
      </c>
      <c r="AE4741" s="74"/>
      <c r="AF4741" s="77"/>
      <c r="AH4741" s="497">
        <v>80.599999999999994</v>
      </c>
      <c r="AJ4741" s="42"/>
      <c r="AK4741" s="74"/>
      <c r="AL4741" s="77"/>
      <c r="AN4741" s="497">
        <v>64.94</v>
      </c>
      <c r="AP4741" s="42"/>
      <c r="AQ4741" s="74"/>
      <c r="AR4741" s="77"/>
      <c r="AT4741" s="497">
        <v>78.080000000000013</v>
      </c>
      <c r="AV4741" s="42"/>
      <c r="AW4741" s="74"/>
      <c r="AX4741" s="77"/>
      <c r="BA4741" s="497">
        <v>75.92</v>
      </c>
      <c r="BB4741" s="42"/>
      <c r="BC4741" s="74"/>
      <c r="BD4741" s="77"/>
      <c r="BF4741">
        <v>75.92</v>
      </c>
      <c r="BH4741" s="42"/>
      <c r="BI4741" s="74"/>
      <c r="BJ4741" s="77"/>
      <c r="BL4741" s="497">
        <v>78.98</v>
      </c>
      <c r="BN4741" s="42"/>
      <c r="BO4741" s="74"/>
      <c r="BP4741" s="77"/>
      <c r="BR4741" s="497">
        <v>73.94</v>
      </c>
      <c r="BT4741" s="42"/>
    </row>
    <row r="4742" spans="1:72" x14ac:dyDescent="0.25">
      <c r="A4742" s="90">
        <v>34531</v>
      </c>
      <c r="B4742" s="20">
        <v>0.83333333333333337</v>
      </c>
      <c r="D4742">
        <v>82.039999999999992</v>
      </c>
      <c r="E4742" t="str">
        <f t="shared" si="182"/>
        <v>SATURDAY</v>
      </c>
      <c r="F4742" t="e">
        <f t="shared" si="183"/>
        <v>#N/A</v>
      </c>
      <c r="G4742" s="74">
        <v>31974</v>
      </c>
      <c r="H4742" s="77">
        <v>0.83333333333333337</v>
      </c>
      <c r="J4742">
        <v>71.06</v>
      </c>
      <c r="M4742" s="74">
        <v>33435</v>
      </c>
      <c r="N4742" s="77">
        <v>0.83333333333333337</v>
      </c>
      <c r="P4742">
        <v>77</v>
      </c>
      <c r="S4742" s="74">
        <v>34531</v>
      </c>
      <c r="T4742" s="77">
        <v>0.83333333333333337</v>
      </c>
      <c r="V4742">
        <v>82.039999999999992</v>
      </c>
      <c r="X4742" s="42"/>
      <c r="AB4742">
        <v>77</v>
      </c>
      <c r="AC4742">
        <v>77</v>
      </c>
      <c r="AE4742" s="74"/>
      <c r="AF4742" s="77"/>
      <c r="AH4742" s="497">
        <v>78.800000000000011</v>
      </c>
      <c r="AJ4742" s="42"/>
      <c r="AK4742" s="74"/>
      <c r="AL4742" s="77"/>
      <c r="AN4742" s="497">
        <v>64.94</v>
      </c>
      <c r="AP4742" s="42"/>
      <c r="AQ4742" s="74"/>
      <c r="AR4742" s="77"/>
      <c r="AT4742" s="497">
        <v>77</v>
      </c>
      <c r="AV4742" s="42"/>
      <c r="AW4742" s="74"/>
      <c r="AX4742" s="77"/>
      <c r="BA4742" s="497">
        <v>73.039999999999992</v>
      </c>
      <c r="BB4742" s="42"/>
      <c r="BC4742" s="74"/>
      <c r="BD4742" s="77"/>
      <c r="BF4742">
        <v>75.02</v>
      </c>
      <c r="BH4742" s="42"/>
      <c r="BI4742" s="74"/>
      <c r="BJ4742" s="77"/>
      <c r="BL4742" s="497">
        <v>75.92</v>
      </c>
      <c r="BN4742" s="42"/>
      <c r="BO4742" s="74"/>
      <c r="BP4742" s="77"/>
      <c r="BR4742" s="497">
        <v>71.960000000000008</v>
      </c>
      <c r="BT4742" s="42"/>
    </row>
    <row r="4743" spans="1:72" x14ac:dyDescent="0.25">
      <c r="A4743" s="90">
        <v>34531</v>
      </c>
      <c r="B4743" s="20">
        <v>0.875</v>
      </c>
      <c r="D4743">
        <v>78.98</v>
      </c>
      <c r="E4743" t="str">
        <f t="shared" si="182"/>
        <v>SATURDAY</v>
      </c>
      <c r="F4743" t="e">
        <f t="shared" si="183"/>
        <v>#N/A</v>
      </c>
      <c r="G4743" s="74">
        <v>31974</v>
      </c>
      <c r="H4743" s="77">
        <v>0.875</v>
      </c>
      <c r="J4743">
        <v>69.98</v>
      </c>
      <c r="M4743" s="74">
        <v>33435</v>
      </c>
      <c r="N4743" s="77">
        <v>0.875</v>
      </c>
      <c r="P4743">
        <v>75.02</v>
      </c>
      <c r="S4743" s="74">
        <v>34531</v>
      </c>
      <c r="T4743" s="77">
        <v>0.875</v>
      </c>
      <c r="V4743">
        <v>82.94</v>
      </c>
      <c r="X4743" s="42"/>
      <c r="AB4743">
        <v>75.8</v>
      </c>
      <c r="AC4743">
        <v>75.02</v>
      </c>
      <c r="AE4743" s="74"/>
      <c r="AF4743" s="77"/>
      <c r="AH4743" s="497">
        <v>69.800000000000011</v>
      </c>
      <c r="AJ4743" s="42"/>
      <c r="AK4743" s="74"/>
      <c r="AL4743" s="77"/>
      <c r="AN4743" s="497">
        <v>64.039999999999992</v>
      </c>
      <c r="AP4743" s="42"/>
      <c r="AQ4743" s="74"/>
      <c r="AR4743" s="77"/>
      <c r="AT4743" s="497">
        <v>76.099999999999994</v>
      </c>
      <c r="AV4743" s="42"/>
      <c r="AW4743" s="74"/>
      <c r="AX4743" s="77"/>
      <c r="BA4743" s="497">
        <v>69.98</v>
      </c>
      <c r="BB4743" s="42"/>
      <c r="BC4743" s="74"/>
      <c r="BD4743" s="77"/>
      <c r="BF4743">
        <v>73.94</v>
      </c>
      <c r="BH4743" s="42"/>
      <c r="BI4743" s="74"/>
      <c r="BJ4743" s="77"/>
      <c r="BL4743" s="497">
        <v>75.92</v>
      </c>
      <c r="BN4743" s="42"/>
      <c r="BO4743" s="74"/>
      <c r="BP4743" s="77"/>
      <c r="BR4743" s="497">
        <v>69.98</v>
      </c>
      <c r="BT4743" s="42"/>
    </row>
    <row r="4744" spans="1:72" x14ac:dyDescent="0.25">
      <c r="A4744" s="90">
        <v>34531</v>
      </c>
      <c r="B4744" s="20">
        <v>0.91666666666666663</v>
      </c>
      <c r="D4744">
        <v>78.98</v>
      </c>
      <c r="E4744" t="str">
        <f t="shared" si="182"/>
        <v>SATURDAY</v>
      </c>
      <c r="F4744" t="e">
        <f t="shared" si="183"/>
        <v>#N/A</v>
      </c>
      <c r="G4744" s="74">
        <v>31974</v>
      </c>
      <c r="H4744" s="77">
        <v>0.91666666666666663</v>
      </c>
      <c r="J4744">
        <v>69.080000000000013</v>
      </c>
      <c r="M4744" s="74">
        <v>33435</v>
      </c>
      <c r="N4744" s="77">
        <v>0.91666666666666663</v>
      </c>
      <c r="P4744">
        <v>73.039999999999992</v>
      </c>
      <c r="S4744" s="74">
        <v>34531</v>
      </c>
      <c r="T4744" s="77">
        <v>0.91666666666666663</v>
      </c>
      <c r="V4744">
        <v>80.960000000000008</v>
      </c>
      <c r="X4744" s="42"/>
      <c r="AB4744">
        <v>75.3</v>
      </c>
      <c r="AC4744">
        <v>75.02</v>
      </c>
      <c r="AE4744" s="74"/>
      <c r="AF4744" s="77"/>
      <c r="AH4744" s="497">
        <v>69.800000000000011</v>
      </c>
      <c r="AJ4744" s="42"/>
      <c r="AK4744" s="74"/>
      <c r="AL4744" s="77"/>
      <c r="AN4744" s="497">
        <v>64.039999999999992</v>
      </c>
      <c r="AP4744" s="42"/>
      <c r="AQ4744" s="74"/>
      <c r="AR4744" s="77"/>
      <c r="AT4744" s="497">
        <v>75.02</v>
      </c>
      <c r="AV4744" s="42"/>
      <c r="AW4744" s="74"/>
      <c r="AX4744" s="77"/>
      <c r="BA4744" s="497">
        <v>69.080000000000013</v>
      </c>
      <c r="BB4744" s="42"/>
      <c r="BC4744" s="74"/>
      <c r="BD4744" s="77"/>
      <c r="BF4744">
        <v>73.039999999999992</v>
      </c>
      <c r="BH4744" s="42"/>
      <c r="BI4744" s="74"/>
      <c r="BJ4744" s="77"/>
      <c r="BL4744" s="497">
        <v>75.02</v>
      </c>
      <c r="BN4744" s="42"/>
      <c r="BO4744" s="74"/>
      <c r="BP4744" s="77"/>
      <c r="BR4744" s="497">
        <v>69.080000000000013</v>
      </c>
      <c r="BT4744" s="42"/>
    </row>
    <row r="4745" spans="1:72" x14ac:dyDescent="0.25">
      <c r="A4745" s="90">
        <v>34531</v>
      </c>
      <c r="B4745" s="20">
        <v>0.95833333333333337</v>
      </c>
      <c r="D4745">
        <v>78.080000000000013</v>
      </c>
      <c r="E4745" t="str">
        <f t="shared" si="182"/>
        <v>SATURDAY</v>
      </c>
      <c r="F4745" t="e">
        <f t="shared" si="183"/>
        <v>#N/A</v>
      </c>
      <c r="G4745" s="74">
        <v>31974</v>
      </c>
      <c r="H4745" s="77">
        <v>0.95833333333333337</v>
      </c>
      <c r="J4745">
        <v>68</v>
      </c>
      <c r="M4745" s="74">
        <v>33435</v>
      </c>
      <c r="N4745" s="77">
        <v>0.95833333333333337</v>
      </c>
      <c r="P4745">
        <v>71.06</v>
      </c>
      <c r="S4745" s="74">
        <v>34531</v>
      </c>
      <c r="T4745" s="77">
        <v>0.95833333333333337</v>
      </c>
      <c r="V4745">
        <v>77</v>
      </c>
      <c r="X4745" s="42"/>
      <c r="AB4745">
        <v>74.8</v>
      </c>
      <c r="AC4745">
        <v>75.02</v>
      </c>
      <c r="AE4745" s="74"/>
      <c r="AF4745" s="77"/>
      <c r="AH4745" s="497">
        <v>66.2</v>
      </c>
      <c r="AJ4745" s="42"/>
      <c r="AK4745" s="74"/>
      <c r="AL4745" s="77"/>
      <c r="AN4745" s="497">
        <v>62.96</v>
      </c>
      <c r="AP4745" s="42"/>
      <c r="AQ4745" s="74"/>
      <c r="AR4745" s="77"/>
      <c r="AT4745" s="497">
        <v>73.759999999999991</v>
      </c>
      <c r="AV4745" s="42"/>
      <c r="AW4745" s="74"/>
      <c r="AX4745" s="77"/>
      <c r="BA4745" s="497">
        <v>66.92</v>
      </c>
      <c r="BB4745" s="42"/>
      <c r="BC4745" s="74"/>
      <c r="BD4745" s="77"/>
      <c r="BF4745">
        <v>73.039999999999992</v>
      </c>
      <c r="BH4745" s="42"/>
      <c r="BI4745" s="74"/>
      <c r="BJ4745" s="77"/>
      <c r="BL4745" s="497">
        <v>73.94</v>
      </c>
      <c r="BN4745" s="42"/>
      <c r="BO4745" s="74"/>
      <c r="BP4745" s="77"/>
      <c r="BR4745" s="497">
        <v>66.92</v>
      </c>
      <c r="BT4745" s="42"/>
    </row>
    <row r="4746" spans="1:72" x14ac:dyDescent="0.25">
      <c r="A4746" s="90">
        <v>34531</v>
      </c>
      <c r="B4746" s="20">
        <v>1</v>
      </c>
      <c r="D4746">
        <v>78.080000000000013</v>
      </c>
      <c r="E4746" t="str">
        <f t="shared" si="182"/>
        <v>SATURDAY</v>
      </c>
      <c r="F4746" t="e">
        <f t="shared" si="183"/>
        <v>#N/A</v>
      </c>
      <c r="G4746" s="74">
        <v>31974</v>
      </c>
      <c r="H4746" s="77">
        <v>1</v>
      </c>
      <c r="J4746">
        <v>68</v>
      </c>
      <c r="M4746" s="74">
        <v>33435</v>
      </c>
      <c r="N4746" s="80">
        <v>1</v>
      </c>
      <c r="P4746">
        <v>71.960000000000008</v>
      </c>
      <c r="S4746" s="74">
        <v>34531</v>
      </c>
      <c r="T4746" s="80">
        <v>1</v>
      </c>
      <c r="V4746">
        <v>75.92</v>
      </c>
      <c r="X4746" s="42"/>
      <c r="AB4746">
        <v>74.2</v>
      </c>
      <c r="AC4746">
        <v>71.960000000000008</v>
      </c>
      <c r="AE4746" s="74"/>
      <c r="AF4746" s="80"/>
      <c r="AH4746" s="497">
        <v>66.02</v>
      </c>
      <c r="AJ4746" s="42"/>
      <c r="AK4746" s="74"/>
      <c r="AL4746" s="80"/>
      <c r="AN4746" s="497">
        <v>62.96</v>
      </c>
      <c r="AP4746" s="42"/>
      <c r="AQ4746" s="74"/>
      <c r="AR4746" s="80"/>
      <c r="AT4746" s="497">
        <v>72.319999999999993</v>
      </c>
      <c r="AV4746" s="42"/>
      <c r="AW4746" s="74"/>
      <c r="AX4746" s="80"/>
      <c r="BA4746" s="497">
        <v>64.94</v>
      </c>
      <c r="BB4746" s="42"/>
      <c r="BC4746" s="74"/>
      <c r="BD4746" s="80"/>
      <c r="BF4746">
        <v>73.94</v>
      </c>
      <c r="BH4746" s="42"/>
      <c r="BI4746" s="74"/>
      <c r="BJ4746" s="80"/>
      <c r="BL4746" s="497">
        <v>71.960000000000008</v>
      </c>
      <c r="BN4746" s="42"/>
      <c r="BO4746" s="74"/>
      <c r="BP4746" s="80"/>
      <c r="BR4746" s="497">
        <v>66.02</v>
      </c>
      <c r="BT4746" s="42"/>
    </row>
    <row r="4747" spans="1:72" x14ac:dyDescent="0.25">
      <c r="A4747" s="90">
        <v>34532</v>
      </c>
      <c r="B4747" s="20">
        <v>4.1666666666666664E-2</v>
      </c>
      <c r="D4747">
        <v>75.92</v>
      </c>
      <c r="E4747" t="str">
        <f t="shared" si="182"/>
        <v>SUNDAY</v>
      </c>
      <c r="F4747" t="e">
        <f t="shared" si="183"/>
        <v>#N/A</v>
      </c>
      <c r="G4747" s="74">
        <v>31975</v>
      </c>
      <c r="H4747" s="77">
        <v>4.1666666666666664E-2</v>
      </c>
      <c r="J4747">
        <v>66.02</v>
      </c>
      <c r="M4747" s="74">
        <v>33436</v>
      </c>
      <c r="N4747" s="77">
        <v>4.1666666666666664E-2</v>
      </c>
      <c r="P4747">
        <v>73.039999999999992</v>
      </c>
      <c r="S4747" s="74">
        <v>34532</v>
      </c>
      <c r="T4747" s="77">
        <v>4.1666666666666664E-2</v>
      </c>
      <c r="V4747">
        <v>73.94</v>
      </c>
      <c r="X4747" s="42"/>
      <c r="AB4747">
        <v>73.599999999999994</v>
      </c>
      <c r="AC4747">
        <v>71.06</v>
      </c>
      <c r="AE4747" s="74"/>
      <c r="AF4747" s="77"/>
      <c r="AH4747" s="497">
        <v>66.02</v>
      </c>
      <c r="AJ4747" s="42"/>
      <c r="AK4747" s="74"/>
      <c r="AL4747" s="77"/>
      <c r="AN4747" s="497">
        <v>62.96</v>
      </c>
      <c r="AP4747" s="42"/>
      <c r="AQ4747" s="74"/>
      <c r="AR4747" s="77"/>
      <c r="AT4747" s="497">
        <v>71.06</v>
      </c>
      <c r="AV4747" s="42"/>
      <c r="AW4747" s="74"/>
      <c r="AX4747" s="77"/>
      <c r="BA4747" s="497">
        <v>64.94</v>
      </c>
      <c r="BB4747" s="42"/>
      <c r="BC4747" s="74"/>
      <c r="BD4747" s="77"/>
      <c r="BF4747">
        <v>73.94</v>
      </c>
      <c r="BH4747" s="42"/>
      <c r="BI4747" s="74"/>
      <c r="BJ4747" s="77"/>
      <c r="BL4747" s="497">
        <v>71.960000000000008</v>
      </c>
      <c r="BN4747" s="42"/>
      <c r="BO4747" s="74"/>
      <c r="BP4747" s="77"/>
      <c r="BR4747" s="497">
        <v>66.02</v>
      </c>
      <c r="BT4747" s="42"/>
    </row>
    <row r="4748" spans="1:72" x14ac:dyDescent="0.25">
      <c r="A4748" s="90">
        <v>34532</v>
      </c>
      <c r="B4748" s="20">
        <v>8.3333333333333329E-2</v>
      </c>
      <c r="D4748">
        <v>75.92</v>
      </c>
      <c r="E4748" t="str">
        <f t="shared" si="182"/>
        <v>SUNDAY</v>
      </c>
      <c r="F4748" t="e">
        <f t="shared" si="183"/>
        <v>#N/A</v>
      </c>
      <c r="G4748" s="74">
        <v>31975</v>
      </c>
      <c r="H4748" s="77">
        <v>8.3333333333333329E-2</v>
      </c>
      <c r="J4748">
        <v>64.039999999999992</v>
      </c>
      <c r="M4748" s="74">
        <v>33436</v>
      </c>
      <c r="N4748" s="77">
        <v>8.3333333333333329E-2</v>
      </c>
      <c r="P4748">
        <v>73.039999999999992</v>
      </c>
      <c r="S4748" s="74">
        <v>34532</v>
      </c>
      <c r="T4748" s="77">
        <v>8.3333333333333329E-2</v>
      </c>
      <c r="V4748">
        <v>75.92</v>
      </c>
      <c r="X4748" s="42"/>
      <c r="AB4748">
        <v>73</v>
      </c>
      <c r="AC4748">
        <v>71.06</v>
      </c>
      <c r="AE4748" s="74"/>
      <c r="AF4748" s="77"/>
      <c r="AH4748" s="497">
        <v>66.2</v>
      </c>
      <c r="AJ4748" s="42"/>
      <c r="AK4748" s="74"/>
      <c r="AL4748" s="77"/>
      <c r="AN4748" s="497">
        <v>64.039999999999992</v>
      </c>
      <c r="AP4748" s="42"/>
      <c r="AQ4748" s="74"/>
      <c r="AR4748" s="77"/>
      <c r="AT4748" s="497">
        <v>71.42</v>
      </c>
      <c r="AV4748" s="42"/>
      <c r="AW4748" s="74"/>
      <c r="AX4748" s="77"/>
      <c r="BA4748" s="497">
        <v>64.039999999999992</v>
      </c>
      <c r="BB4748" s="42"/>
      <c r="BC4748" s="74"/>
      <c r="BD4748" s="77"/>
      <c r="BF4748">
        <v>75.02</v>
      </c>
      <c r="BH4748" s="42"/>
      <c r="BI4748" s="74"/>
      <c r="BJ4748" s="77"/>
      <c r="BL4748" s="497">
        <v>71.06</v>
      </c>
      <c r="BN4748" s="42"/>
      <c r="BO4748" s="74"/>
      <c r="BP4748" s="77"/>
      <c r="BR4748" s="497">
        <v>64.94</v>
      </c>
      <c r="BT4748" s="42"/>
    </row>
    <row r="4749" spans="1:72" x14ac:dyDescent="0.25">
      <c r="A4749" s="90">
        <v>34532</v>
      </c>
      <c r="B4749" s="20">
        <v>0.125</v>
      </c>
      <c r="D4749">
        <v>73.039999999999992</v>
      </c>
      <c r="E4749" t="str">
        <f t="shared" si="182"/>
        <v>SUNDAY</v>
      </c>
      <c r="F4749" t="e">
        <f t="shared" si="183"/>
        <v>#N/A</v>
      </c>
      <c r="G4749" s="74">
        <v>31975</v>
      </c>
      <c r="H4749" s="77">
        <v>0.125</v>
      </c>
      <c r="J4749">
        <v>64.039999999999992</v>
      </c>
      <c r="M4749" s="74">
        <v>33436</v>
      </c>
      <c r="N4749" s="77">
        <v>0.125</v>
      </c>
      <c r="P4749">
        <v>73.039999999999992</v>
      </c>
      <c r="S4749" s="74">
        <v>34532</v>
      </c>
      <c r="T4749" s="77">
        <v>0.125</v>
      </c>
      <c r="V4749">
        <v>73.039999999999992</v>
      </c>
      <c r="X4749" s="42"/>
      <c r="AB4749">
        <v>72.400000000000006</v>
      </c>
      <c r="AC4749">
        <v>69.080000000000013</v>
      </c>
      <c r="AE4749" s="74"/>
      <c r="AF4749" s="77"/>
      <c r="AH4749" s="497">
        <v>66.2</v>
      </c>
      <c r="AJ4749" s="42"/>
      <c r="AK4749" s="74"/>
      <c r="AL4749" s="77"/>
      <c r="AN4749" s="497">
        <v>62.96</v>
      </c>
      <c r="AP4749" s="42"/>
      <c r="AQ4749" s="74"/>
      <c r="AR4749" s="77"/>
      <c r="AT4749" s="497">
        <v>71.599999999999994</v>
      </c>
      <c r="AV4749" s="42"/>
      <c r="AW4749" s="74"/>
      <c r="AX4749" s="77"/>
      <c r="BA4749" s="497">
        <v>64.039999999999992</v>
      </c>
      <c r="BB4749" s="42"/>
      <c r="BC4749" s="74"/>
      <c r="BD4749" s="77"/>
      <c r="BF4749">
        <v>75.92</v>
      </c>
      <c r="BH4749" s="42"/>
      <c r="BI4749" s="74"/>
      <c r="BJ4749" s="77"/>
      <c r="BL4749" s="497">
        <v>69.98</v>
      </c>
      <c r="BN4749" s="42"/>
      <c r="BO4749" s="74"/>
      <c r="BP4749" s="77"/>
      <c r="BR4749" s="497">
        <v>64.94</v>
      </c>
      <c r="BT4749" s="42"/>
    </row>
    <row r="4750" spans="1:72" x14ac:dyDescent="0.25">
      <c r="A4750" s="90">
        <v>34532</v>
      </c>
      <c r="B4750" s="20">
        <v>0.16666666666666666</v>
      </c>
      <c r="D4750">
        <v>71.960000000000008</v>
      </c>
      <c r="E4750" t="str">
        <f t="shared" si="182"/>
        <v>SUNDAY</v>
      </c>
      <c r="F4750" t="e">
        <f t="shared" si="183"/>
        <v>#N/A</v>
      </c>
      <c r="G4750" s="74">
        <v>31975</v>
      </c>
      <c r="H4750" s="77">
        <v>0.16666666666666666</v>
      </c>
      <c r="J4750">
        <v>64.039999999999992</v>
      </c>
      <c r="M4750" s="74">
        <v>33436</v>
      </c>
      <c r="N4750" s="77">
        <v>0.16666666666666666</v>
      </c>
      <c r="P4750">
        <v>69.98</v>
      </c>
      <c r="S4750" s="74">
        <v>34532</v>
      </c>
      <c r="T4750" s="77">
        <v>0.16666666666666666</v>
      </c>
      <c r="V4750">
        <v>71.06</v>
      </c>
      <c r="X4750" s="42"/>
      <c r="AB4750">
        <v>72</v>
      </c>
      <c r="AC4750">
        <v>69.080000000000013</v>
      </c>
      <c r="AE4750" s="74"/>
      <c r="AF4750" s="77"/>
      <c r="AH4750" s="497">
        <v>69.800000000000011</v>
      </c>
      <c r="AJ4750" s="42"/>
      <c r="AK4750" s="74"/>
      <c r="AL4750" s="77"/>
      <c r="AN4750" s="497">
        <v>62.96</v>
      </c>
      <c r="AP4750" s="42"/>
      <c r="AQ4750" s="74"/>
      <c r="AR4750" s="77"/>
      <c r="AT4750" s="497">
        <v>71.960000000000008</v>
      </c>
      <c r="AV4750" s="42"/>
      <c r="AW4750" s="74"/>
      <c r="AX4750" s="77"/>
      <c r="BA4750" s="497">
        <v>64.039999999999992</v>
      </c>
      <c r="BB4750" s="42"/>
      <c r="BC4750" s="74"/>
      <c r="BD4750" s="77"/>
      <c r="BF4750">
        <v>73.94</v>
      </c>
      <c r="BH4750" s="42"/>
      <c r="BI4750" s="74"/>
      <c r="BJ4750" s="77"/>
      <c r="BL4750" s="497">
        <v>68</v>
      </c>
      <c r="BN4750" s="42"/>
      <c r="BO4750" s="74"/>
      <c r="BP4750" s="77"/>
      <c r="BR4750" s="497">
        <v>64.039999999999992</v>
      </c>
      <c r="BT4750" s="42"/>
    </row>
    <row r="4751" spans="1:72" x14ac:dyDescent="0.25">
      <c r="A4751" s="90">
        <v>34532</v>
      </c>
      <c r="B4751" s="20">
        <v>0.20833333333333334</v>
      </c>
      <c r="D4751">
        <v>71.06</v>
      </c>
      <c r="E4751" t="str">
        <f t="shared" si="182"/>
        <v>SUNDAY</v>
      </c>
      <c r="F4751" t="e">
        <f t="shared" si="183"/>
        <v>#N/A</v>
      </c>
      <c r="G4751" s="74">
        <v>31975</v>
      </c>
      <c r="H4751" s="77">
        <v>0.20833333333333334</v>
      </c>
      <c r="J4751">
        <v>64.039999999999992</v>
      </c>
      <c r="M4751" s="74">
        <v>33436</v>
      </c>
      <c r="N4751" s="77">
        <v>0.20833333333333334</v>
      </c>
      <c r="P4751">
        <v>68</v>
      </c>
      <c r="S4751" s="74">
        <v>34532</v>
      </c>
      <c r="T4751" s="77">
        <v>0.20833333333333334</v>
      </c>
      <c r="V4751">
        <v>71.06</v>
      </c>
      <c r="X4751" s="42"/>
      <c r="AB4751">
        <v>71.5</v>
      </c>
      <c r="AC4751">
        <v>69.080000000000013</v>
      </c>
      <c r="AE4751" s="74"/>
      <c r="AF4751" s="77"/>
      <c r="AH4751" s="497">
        <v>66.2</v>
      </c>
      <c r="AJ4751" s="42"/>
      <c r="AK4751" s="74"/>
      <c r="AL4751" s="77"/>
      <c r="AN4751" s="497">
        <v>62.06</v>
      </c>
      <c r="AP4751" s="42"/>
      <c r="AQ4751" s="74"/>
      <c r="AR4751" s="77"/>
      <c r="AT4751" s="497">
        <v>71.960000000000008</v>
      </c>
      <c r="AV4751" s="42"/>
      <c r="AW4751" s="74"/>
      <c r="AX4751" s="77"/>
      <c r="BA4751" s="497">
        <v>64.94</v>
      </c>
      <c r="BB4751" s="42"/>
      <c r="BC4751" s="74"/>
      <c r="BD4751" s="77"/>
      <c r="BF4751">
        <v>73.039999999999992</v>
      </c>
      <c r="BH4751" s="42"/>
      <c r="BI4751" s="74"/>
      <c r="BJ4751" s="77"/>
      <c r="BL4751" s="497">
        <v>66.02</v>
      </c>
      <c r="BN4751" s="42"/>
      <c r="BO4751" s="74"/>
      <c r="BP4751" s="77"/>
      <c r="BR4751" s="497">
        <v>64.039999999999992</v>
      </c>
      <c r="BT4751" s="42"/>
    </row>
    <row r="4752" spans="1:72" x14ac:dyDescent="0.25">
      <c r="A4752" s="90">
        <v>34532</v>
      </c>
      <c r="B4752" s="20">
        <v>0.25</v>
      </c>
      <c r="D4752">
        <v>73.94</v>
      </c>
      <c r="E4752" t="str">
        <f t="shared" si="182"/>
        <v>SUNDAY</v>
      </c>
      <c r="F4752" t="e">
        <f t="shared" si="183"/>
        <v>#N/A</v>
      </c>
      <c r="G4752" s="74">
        <v>31975</v>
      </c>
      <c r="H4752" s="77">
        <v>0.25</v>
      </c>
      <c r="J4752">
        <v>66.92</v>
      </c>
      <c r="M4752" s="74">
        <v>33436</v>
      </c>
      <c r="N4752" s="77">
        <v>0.25</v>
      </c>
      <c r="P4752">
        <v>69.98</v>
      </c>
      <c r="S4752" s="74">
        <v>34532</v>
      </c>
      <c r="T4752" s="77">
        <v>0.25</v>
      </c>
      <c r="V4752">
        <v>71.960000000000008</v>
      </c>
      <c r="X4752" s="42"/>
      <c r="AB4752">
        <v>71.2</v>
      </c>
      <c r="AC4752">
        <v>71.06</v>
      </c>
      <c r="AE4752" s="74"/>
      <c r="AF4752" s="77"/>
      <c r="AH4752" s="497">
        <v>68</v>
      </c>
      <c r="AJ4752" s="42"/>
      <c r="AK4752" s="74"/>
      <c r="AL4752" s="77"/>
      <c r="AN4752" s="497">
        <v>62.06</v>
      </c>
      <c r="AP4752" s="42"/>
      <c r="AQ4752" s="74"/>
      <c r="AR4752" s="77"/>
      <c r="AT4752" s="497">
        <v>71.960000000000008</v>
      </c>
      <c r="AV4752" s="42"/>
      <c r="AW4752" s="74"/>
      <c r="AX4752" s="77"/>
      <c r="BA4752" s="497">
        <v>66.92</v>
      </c>
      <c r="BB4752" s="42"/>
      <c r="BC4752" s="74"/>
      <c r="BD4752" s="77"/>
      <c r="BF4752">
        <v>73.039999999999992</v>
      </c>
      <c r="BH4752" s="42"/>
      <c r="BI4752" s="74"/>
      <c r="BJ4752" s="77"/>
      <c r="BL4752" s="497">
        <v>68</v>
      </c>
      <c r="BN4752" s="42"/>
      <c r="BO4752" s="74"/>
      <c r="BP4752" s="77"/>
      <c r="BR4752" s="497">
        <v>66.02</v>
      </c>
      <c r="BT4752" s="42"/>
    </row>
    <row r="4753" spans="1:72" x14ac:dyDescent="0.25">
      <c r="A4753" s="90">
        <v>34532</v>
      </c>
      <c r="B4753" s="20">
        <v>0.29166666666666669</v>
      </c>
      <c r="D4753">
        <v>75.92</v>
      </c>
      <c r="E4753" t="str">
        <f t="shared" si="182"/>
        <v>SUNDAY</v>
      </c>
      <c r="F4753" t="e">
        <f t="shared" si="183"/>
        <v>#N/A</v>
      </c>
      <c r="G4753" s="74">
        <v>31975</v>
      </c>
      <c r="H4753" s="77">
        <v>0.29166666666666669</v>
      </c>
      <c r="J4753">
        <v>69.98</v>
      </c>
      <c r="M4753" s="74">
        <v>33436</v>
      </c>
      <c r="N4753" s="77">
        <v>0.29166666666666669</v>
      </c>
      <c r="P4753">
        <v>73.94</v>
      </c>
      <c r="S4753" s="74">
        <v>34532</v>
      </c>
      <c r="T4753" s="77">
        <v>0.29166666666666669</v>
      </c>
      <c r="V4753">
        <v>75.02</v>
      </c>
      <c r="X4753" s="42"/>
      <c r="AB4753">
        <v>72.599999999999994</v>
      </c>
      <c r="AC4753">
        <v>73.94</v>
      </c>
      <c r="AE4753" s="74"/>
      <c r="AF4753" s="77"/>
      <c r="AH4753" s="497">
        <v>71.599999999999994</v>
      </c>
      <c r="AJ4753" s="42"/>
      <c r="AK4753" s="74"/>
      <c r="AL4753" s="77"/>
      <c r="AN4753" s="497">
        <v>62.06</v>
      </c>
      <c r="AP4753" s="42"/>
      <c r="AQ4753" s="74"/>
      <c r="AR4753" s="77"/>
      <c r="AT4753" s="497">
        <v>71.960000000000008</v>
      </c>
      <c r="AV4753" s="42"/>
      <c r="AW4753" s="74"/>
      <c r="AX4753" s="77"/>
      <c r="BA4753" s="497">
        <v>69.98</v>
      </c>
      <c r="BB4753" s="42"/>
      <c r="BC4753" s="74"/>
      <c r="BD4753" s="77"/>
      <c r="BF4753">
        <v>73.94</v>
      </c>
      <c r="BH4753" s="42"/>
      <c r="BI4753" s="74"/>
      <c r="BJ4753" s="77"/>
      <c r="BL4753" s="497">
        <v>69.98</v>
      </c>
      <c r="BN4753" s="42"/>
      <c r="BO4753" s="74"/>
      <c r="BP4753" s="77"/>
      <c r="BR4753" s="497">
        <v>71.06</v>
      </c>
      <c r="BT4753" s="42"/>
    </row>
    <row r="4754" spans="1:72" x14ac:dyDescent="0.25">
      <c r="A4754" s="90">
        <v>34532</v>
      </c>
      <c r="B4754" s="20">
        <v>0.33333333333333331</v>
      </c>
      <c r="D4754">
        <v>77</v>
      </c>
      <c r="E4754" t="str">
        <f t="shared" si="182"/>
        <v>SUNDAY</v>
      </c>
      <c r="F4754" t="e">
        <f t="shared" si="183"/>
        <v>#N/A</v>
      </c>
      <c r="G4754" s="74">
        <v>31975</v>
      </c>
      <c r="H4754" s="77">
        <v>0.33333333333333331</v>
      </c>
      <c r="J4754">
        <v>73.039999999999992</v>
      </c>
      <c r="M4754" s="74">
        <v>33436</v>
      </c>
      <c r="N4754" s="77">
        <v>0.33333333333333331</v>
      </c>
      <c r="P4754">
        <v>78.080000000000013</v>
      </c>
      <c r="S4754" s="74">
        <v>34532</v>
      </c>
      <c r="T4754" s="77">
        <v>0.33333333333333331</v>
      </c>
      <c r="V4754">
        <v>78.98</v>
      </c>
      <c r="X4754" s="42"/>
      <c r="AB4754">
        <v>74.5</v>
      </c>
      <c r="AC4754">
        <v>78.080000000000013</v>
      </c>
      <c r="AE4754" s="74"/>
      <c r="AF4754" s="77"/>
      <c r="AH4754" s="497">
        <v>75.2</v>
      </c>
      <c r="AJ4754" s="42"/>
      <c r="AK4754" s="74"/>
      <c r="AL4754" s="77"/>
      <c r="AN4754" s="497">
        <v>62.96</v>
      </c>
      <c r="AP4754" s="42"/>
      <c r="AQ4754" s="74"/>
      <c r="AR4754" s="77"/>
      <c r="AT4754" s="497">
        <v>74.66</v>
      </c>
      <c r="AV4754" s="42"/>
      <c r="AW4754" s="74"/>
      <c r="AX4754" s="77"/>
      <c r="BA4754" s="497">
        <v>75.02</v>
      </c>
      <c r="BB4754" s="42"/>
      <c r="BC4754" s="74"/>
      <c r="BD4754" s="77"/>
      <c r="BF4754">
        <v>75.02</v>
      </c>
      <c r="BH4754" s="42"/>
      <c r="BI4754" s="74"/>
      <c r="BJ4754" s="77"/>
      <c r="BL4754" s="497">
        <v>71.06</v>
      </c>
      <c r="BN4754" s="42"/>
      <c r="BO4754" s="74"/>
      <c r="BP4754" s="77"/>
      <c r="BR4754" s="497">
        <v>75.02</v>
      </c>
      <c r="BT4754" s="42"/>
    </row>
    <row r="4755" spans="1:72" x14ac:dyDescent="0.25">
      <c r="A4755" s="90">
        <v>34532</v>
      </c>
      <c r="B4755" s="20">
        <v>0.375</v>
      </c>
      <c r="D4755">
        <v>78.080000000000013</v>
      </c>
      <c r="E4755" t="str">
        <f t="shared" ref="E4755:E4818" si="184">IF(COUNTIF($DI$18:$DI$22, WEEKDAY(A4755))=1, "WEEKDAY", IF(WEEKDAY(A4755) = 1, "SUNDAY", "SATURDAY"))</f>
        <v>SUNDAY</v>
      </c>
      <c r="F4755" t="e">
        <f t="shared" si="183"/>
        <v>#N/A</v>
      </c>
      <c r="G4755" s="74">
        <v>31975</v>
      </c>
      <c r="H4755" s="77">
        <v>0.375</v>
      </c>
      <c r="J4755">
        <v>75.02</v>
      </c>
      <c r="M4755" s="74">
        <v>33436</v>
      </c>
      <c r="N4755" s="77">
        <v>0.375</v>
      </c>
      <c r="P4755">
        <v>80.960000000000008</v>
      </c>
      <c r="S4755" s="74">
        <v>34532</v>
      </c>
      <c r="T4755" s="77">
        <v>0.375</v>
      </c>
      <c r="V4755">
        <v>82.039999999999992</v>
      </c>
      <c r="X4755" s="42"/>
      <c r="AB4755">
        <v>76.5</v>
      </c>
      <c r="AC4755">
        <v>80.06</v>
      </c>
      <c r="AE4755" s="74"/>
      <c r="AF4755" s="77"/>
      <c r="AH4755" s="497">
        <v>77</v>
      </c>
      <c r="AJ4755" s="42"/>
      <c r="AK4755" s="74"/>
      <c r="AL4755" s="77"/>
      <c r="AN4755" s="497">
        <v>62.96</v>
      </c>
      <c r="AP4755" s="42"/>
      <c r="AQ4755" s="74"/>
      <c r="AR4755" s="77"/>
      <c r="AT4755" s="497">
        <v>77.36</v>
      </c>
      <c r="AV4755" s="42"/>
      <c r="AW4755" s="74"/>
      <c r="AX4755" s="77"/>
      <c r="BA4755" s="497">
        <v>75.02</v>
      </c>
      <c r="BB4755" s="42"/>
      <c r="BC4755" s="74"/>
      <c r="BD4755" s="77"/>
      <c r="BF4755">
        <v>77</v>
      </c>
      <c r="BH4755" s="42"/>
      <c r="BI4755" s="74"/>
      <c r="BJ4755" s="77"/>
      <c r="BL4755" s="497">
        <v>71.06</v>
      </c>
      <c r="BN4755" s="42"/>
      <c r="BO4755" s="74"/>
      <c r="BP4755" s="77"/>
      <c r="BR4755" s="497">
        <v>69.98</v>
      </c>
      <c r="BT4755" s="42"/>
    </row>
    <row r="4756" spans="1:72" x14ac:dyDescent="0.25">
      <c r="A4756" s="90">
        <v>34532</v>
      </c>
      <c r="B4756" s="20">
        <v>0.41666666666666669</v>
      </c>
      <c r="D4756">
        <v>82.039999999999992</v>
      </c>
      <c r="E4756" t="str">
        <f t="shared" si="184"/>
        <v>SUNDAY</v>
      </c>
      <c r="F4756" t="e">
        <f t="shared" si="183"/>
        <v>#N/A</v>
      </c>
      <c r="G4756" s="74">
        <v>31975</v>
      </c>
      <c r="H4756" s="77">
        <v>0.41666666666666669</v>
      </c>
      <c r="J4756">
        <v>75.92</v>
      </c>
      <c r="M4756" s="74">
        <v>33436</v>
      </c>
      <c r="N4756" s="77">
        <v>0.41666666666666669</v>
      </c>
      <c r="P4756">
        <v>84.92</v>
      </c>
      <c r="S4756" s="74">
        <v>34532</v>
      </c>
      <c r="T4756" s="77">
        <v>0.41666666666666669</v>
      </c>
      <c r="V4756">
        <v>82.94</v>
      </c>
      <c r="X4756" s="42"/>
      <c r="AB4756">
        <v>78.400000000000006</v>
      </c>
      <c r="AC4756">
        <v>84.92</v>
      </c>
      <c r="AE4756" s="74"/>
      <c r="AF4756" s="77"/>
      <c r="AH4756" s="497">
        <v>80.599999999999994</v>
      </c>
      <c r="AJ4756" s="42"/>
      <c r="AK4756" s="74"/>
      <c r="AL4756" s="77"/>
      <c r="AN4756" s="497">
        <v>64.94</v>
      </c>
      <c r="AP4756" s="42"/>
      <c r="AQ4756" s="74"/>
      <c r="AR4756" s="77"/>
      <c r="AT4756" s="497">
        <v>80.06</v>
      </c>
      <c r="AV4756" s="42"/>
      <c r="AW4756" s="74"/>
      <c r="AX4756" s="77"/>
      <c r="BA4756" s="497">
        <v>75.02</v>
      </c>
      <c r="BB4756" s="42"/>
      <c r="BC4756" s="74"/>
      <c r="BD4756" s="77"/>
      <c r="BF4756">
        <v>78.080000000000013</v>
      </c>
      <c r="BH4756" s="42"/>
      <c r="BI4756" s="74"/>
      <c r="BJ4756" s="77"/>
      <c r="BL4756" s="497">
        <v>71.960000000000008</v>
      </c>
      <c r="BN4756" s="42"/>
      <c r="BO4756" s="74"/>
      <c r="BP4756" s="77"/>
      <c r="BR4756" s="497">
        <v>77</v>
      </c>
      <c r="BT4756" s="42"/>
    </row>
    <row r="4757" spans="1:72" x14ac:dyDescent="0.25">
      <c r="A4757" s="90">
        <v>34532</v>
      </c>
      <c r="B4757" s="20">
        <v>0.45833333333333331</v>
      </c>
      <c r="D4757">
        <v>82.039999999999992</v>
      </c>
      <c r="E4757" t="str">
        <f t="shared" si="184"/>
        <v>SUNDAY</v>
      </c>
      <c r="F4757" t="e">
        <f t="shared" si="183"/>
        <v>#N/A</v>
      </c>
      <c r="G4757" s="74">
        <v>31975</v>
      </c>
      <c r="H4757" s="77">
        <v>0.45833333333333331</v>
      </c>
      <c r="J4757">
        <v>78.080000000000013</v>
      </c>
      <c r="M4757" s="74">
        <v>33436</v>
      </c>
      <c r="N4757" s="77">
        <v>0.45833333333333331</v>
      </c>
      <c r="P4757">
        <v>87.080000000000013</v>
      </c>
      <c r="S4757" s="74">
        <v>34532</v>
      </c>
      <c r="T4757" s="77">
        <v>0.45833333333333331</v>
      </c>
      <c r="V4757">
        <v>82.94</v>
      </c>
      <c r="X4757" s="42"/>
      <c r="AB4757">
        <v>79.900000000000006</v>
      </c>
      <c r="AC4757">
        <v>84.92</v>
      </c>
      <c r="AE4757" s="74"/>
      <c r="AF4757" s="77"/>
      <c r="AH4757" s="497">
        <v>82.4</v>
      </c>
      <c r="AJ4757" s="42"/>
      <c r="AK4757" s="74"/>
      <c r="AL4757" s="77"/>
      <c r="AN4757" s="497">
        <v>66.02</v>
      </c>
      <c r="AP4757" s="42"/>
      <c r="AQ4757" s="74"/>
      <c r="AR4757" s="77"/>
      <c r="AT4757" s="497">
        <v>80.960000000000008</v>
      </c>
      <c r="AV4757" s="42"/>
      <c r="AW4757" s="74"/>
      <c r="AX4757" s="77"/>
      <c r="BA4757" s="497">
        <v>80.960000000000008</v>
      </c>
      <c r="BB4757" s="42"/>
      <c r="BC4757" s="74"/>
      <c r="BD4757" s="77"/>
      <c r="BF4757">
        <v>78.98</v>
      </c>
      <c r="BH4757" s="42"/>
      <c r="BI4757" s="74"/>
      <c r="BJ4757" s="77"/>
      <c r="BL4757" s="497">
        <v>71.960000000000008</v>
      </c>
      <c r="BN4757" s="42"/>
      <c r="BO4757" s="74"/>
      <c r="BP4757" s="77"/>
      <c r="BR4757" s="497">
        <v>78.98</v>
      </c>
      <c r="BT4757" s="42"/>
    </row>
    <row r="4758" spans="1:72" x14ac:dyDescent="0.25">
      <c r="A4758" s="90">
        <v>34532</v>
      </c>
      <c r="B4758" s="20">
        <v>0.5</v>
      </c>
      <c r="D4758">
        <v>82.039999999999992</v>
      </c>
      <c r="E4758" t="str">
        <f t="shared" si="184"/>
        <v>SUNDAY</v>
      </c>
      <c r="F4758" t="e">
        <f t="shared" si="183"/>
        <v>#N/A</v>
      </c>
      <c r="G4758" s="74">
        <v>31975</v>
      </c>
      <c r="H4758" s="77">
        <v>0.5</v>
      </c>
      <c r="J4758">
        <v>78.080000000000013</v>
      </c>
      <c r="M4758" s="74">
        <v>33436</v>
      </c>
      <c r="N4758" s="77">
        <v>0.5</v>
      </c>
      <c r="P4758">
        <v>91.039999999999992</v>
      </c>
      <c r="S4758" s="74">
        <v>34532</v>
      </c>
      <c r="T4758" s="77">
        <v>0.5</v>
      </c>
      <c r="V4758">
        <v>82.94</v>
      </c>
      <c r="X4758" s="42"/>
      <c r="AB4758">
        <v>81</v>
      </c>
      <c r="AC4758">
        <v>84.02</v>
      </c>
      <c r="AE4758" s="74"/>
      <c r="AF4758" s="77"/>
      <c r="AH4758" s="497">
        <v>84.2</v>
      </c>
      <c r="AJ4758" s="42"/>
      <c r="AK4758" s="74"/>
      <c r="AL4758" s="77"/>
      <c r="AN4758" s="497">
        <v>68</v>
      </c>
      <c r="AP4758" s="42"/>
      <c r="AQ4758" s="74"/>
      <c r="AR4758" s="77"/>
      <c r="AT4758" s="497">
        <v>82.039999999999992</v>
      </c>
      <c r="AV4758" s="42"/>
      <c r="AW4758" s="74"/>
      <c r="AX4758" s="77"/>
      <c r="BA4758" s="497">
        <v>84.92</v>
      </c>
      <c r="BB4758" s="42"/>
      <c r="BC4758" s="74"/>
      <c r="BD4758" s="77"/>
      <c r="BF4758">
        <v>80.960000000000008</v>
      </c>
      <c r="BH4758" s="42"/>
      <c r="BI4758" s="74"/>
      <c r="BJ4758" s="77"/>
      <c r="BL4758" s="497">
        <v>73.039999999999992</v>
      </c>
      <c r="BN4758" s="42"/>
      <c r="BO4758" s="74"/>
      <c r="BP4758" s="77"/>
      <c r="BR4758" s="497">
        <v>80.06</v>
      </c>
      <c r="BT4758" s="42"/>
    </row>
    <row r="4759" spans="1:72" x14ac:dyDescent="0.25">
      <c r="A4759" s="90">
        <v>34532</v>
      </c>
      <c r="B4759" s="20">
        <v>0.54166666666666663</v>
      </c>
      <c r="D4759">
        <v>84.02</v>
      </c>
      <c r="E4759" t="str">
        <f t="shared" si="184"/>
        <v>SUNDAY</v>
      </c>
      <c r="F4759" t="e">
        <f t="shared" si="183"/>
        <v>#N/A</v>
      </c>
      <c r="G4759" s="74">
        <v>31975</v>
      </c>
      <c r="H4759" s="77">
        <v>0.54166666666666663</v>
      </c>
      <c r="J4759">
        <v>80.06</v>
      </c>
      <c r="M4759" s="74">
        <v>33436</v>
      </c>
      <c r="N4759" s="77">
        <v>0.54166666666666663</v>
      </c>
      <c r="P4759">
        <v>93.02</v>
      </c>
      <c r="S4759" s="74">
        <v>34532</v>
      </c>
      <c r="T4759" s="77">
        <v>0.54166666666666663</v>
      </c>
      <c r="V4759">
        <v>82.94</v>
      </c>
      <c r="X4759" s="42"/>
      <c r="AB4759">
        <v>81.8</v>
      </c>
      <c r="AC4759">
        <v>82.039999999999992</v>
      </c>
      <c r="AE4759" s="74"/>
      <c r="AF4759" s="77"/>
      <c r="AH4759" s="497">
        <v>84.2</v>
      </c>
      <c r="AJ4759" s="42"/>
      <c r="AK4759" s="74"/>
      <c r="AL4759" s="77"/>
      <c r="AN4759" s="497">
        <v>69.080000000000013</v>
      </c>
      <c r="AP4759" s="42"/>
      <c r="AQ4759" s="74"/>
      <c r="AR4759" s="77"/>
      <c r="AT4759" s="497">
        <v>82.94</v>
      </c>
      <c r="AV4759" s="42"/>
      <c r="AW4759" s="74"/>
      <c r="AX4759" s="77"/>
      <c r="BA4759" s="497">
        <v>86</v>
      </c>
      <c r="BB4759" s="42"/>
      <c r="BC4759" s="74"/>
      <c r="BD4759" s="77"/>
      <c r="BF4759">
        <v>82.039999999999992</v>
      </c>
      <c r="BH4759" s="42"/>
      <c r="BI4759" s="74"/>
      <c r="BJ4759" s="77"/>
      <c r="BL4759" s="497">
        <v>75.02</v>
      </c>
      <c r="BN4759" s="42"/>
      <c r="BO4759" s="74"/>
      <c r="BP4759" s="77"/>
      <c r="BR4759" s="497">
        <v>82.94</v>
      </c>
      <c r="BT4759" s="42"/>
    </row>
    <row r="4760" spans="1:72" x14ac:dyDescent="0.25">
      <c r="A4760" s="90">
        <v>34532</v>
      </c>
      <c r="B4760" s="20">
        <v>0.58333333333333337</v>
      </c>
      <c r="D4760">
        <v>89.06</v>
      </c>
      <c r="E4760" t="str">
        <f t="shared" si="184"/>
        <v>SUNDAY</v>
      </c>
      <c r="F4760" t="e">
        <f t="shared" si="183"/>
        <v>#N/A</v>
      </c>
      <c r="G4760" s="74">
        <v>31975</v>
      </c>
      <c r="H4760" s="77">
        <v>0.58333333333333337</v>
      </c>
      <c r="J4760">
        <v>80.960000000000008</v>
      </c>
      <c r="M4760" s="74">
        <v>33436</v>
      </c>
      <c r="N4760" s="77">
        <v>0.58333333333333337</v>
      </c>
      <c r="P4760">
        <v>93.02</v>
      </c>
      <c r="S4760" s="74">
        <v>34532</v>
      </c>
      <c r="T4760" s="77">
        <v>0.58333333333333337</v>
      </c>
      <c r="V4760">
        <v>84.02</v>
      </c>
      <c r="X4760" s="42"/>
      <c r="AB4760">
        <v>82.2</v>
      </c>
      <c r="AC4760">
        <v>82.94</v>
      </c>
      <c r="AE4760" s="74"/>
      <c r="AF4760" s="77"/>
      <c r="AH4760" s="497">
        <v>86</v>
      </c>
      <c r="AJ4760" s="42"/>
      <c r="AK4760" s="74"/>
      <c r="AL4760" s="77"/>
      <c r="AN4760" s="497">
        <v>71.06</v>
      </c>
      <c r="AP4760" s="42"/>
      <c r="AQ4760" s="74"/>
      <c r="AR4760" s="77"/>
      <c r="AT4760" s="497">
        <v>83.66</v>
      </c>
      <c r="AV4760" s="42"/>
      <c r="AW4760" s="74"/>
      <c r="AX4760" s="77"/>
      <c r="BA4760" s="497">
        <v>84.92</v>
      </c>
      <c r="BB4760" s="42"/>
      <c r="BC4760" s="74"/>
      <c r="BD4760" s="77"/>
      <c r="BF4760">
        <v>82.039999999999992</v>
      </c>
      <c r="BH4760" s="42"/>
      <c r="BI4760" s="74"/>
      <c r="BJ4760" s="77"/>
      <c r="BL4760" s="497">
        <v>75.02</v>
      </c>
      <c r="BN4760" s="42"/>
      <c r="BO4760" s="74"/>
      <c r="BP4760" s="77"/>
      <c r="BR4760" s="497">
        <v>82.039999999999992</v>
      </c>
      <c r="BT4760" s="42"/>
    </row>
    <row r="4761" spans="1:72" x14ac:dyDescent="0.25">
      <c r="A4761" s="90">
        <v>34532</v>
      </c>
      <c r="B4761" s="20">
        <v>0.625</v>
      </c>
      <c r="D4761">
        <v>84.02</v>
      </c>
      <c r="E4761" t="str">
        <f t="shared" si="184"/>
        <v>SUNDAY</v>
      </c>
      <c r="F4761" t="e">
        <f t="shared" si="183"/>
        <v>#N/A</v>
      </c>
      <c r="G4761" s="74">
        <v>31975</v>
      </c>
      <c r="H4761" s="77">
        <v>0.625</v>
      </c>
      <c r="J4761">
        <v>80.960000000000008</v>
      </c>
      <c r="M4761" s="74">
        <v>33436</v>
      </c>
      <c r="N4761" s="77">
        <v>0.625</v>
      </c>
      <c r="P4761">
        <v>93.92</v>
      </c>
      <c r="S4761" s="74">
        <v>34532</v>
      </c>
      <c r="T4761" s="77">
        <v>0.625</v>
      </c>
      <c r="V4761">
        <v>86</v>
      </c>
      <c r="X4761" s="42"/>
      <c r="AB4761">
        <v>82.2</v>
      </c>
      <c r="AC4761">
        <v>84.92</v>
      </c>
      <c r="AE4761" s="74"/>
      <c r="AF4761" s="77"/>
      <c r="AH4761" s="497">
        <v>87.800000000000011</v>
      </c>
      <c r="AJ4761" s="42"/>
      <c r="AK4761" s="74"/>
      <c r="AL4761" s="77"/>
      <c r="AN4761" s="497">
        <v>73.039999999999992</v>
      </c>
      <c r="AP4761" s="42"/>
      <c r="AQ4761" s="74"/>
      <c r="AR4761" s="77"/>
      <c r="AT4761" s="497">
        <v>84.2</v>
      </c>
      <c r="AV4761" s="42"/>
      <c r="AW4761" s="74"/>
      <c r="AX4761" s="77"/>
      <c r="BA4761" s="497">
        <v>87.98</v>
      </c>
      <c r="BB4761" s="42"/>
      <c r="BC4761" s="74"/>
      <c r="BD4761" s="77"/>
      <c r="BF4761">
        <v>77</v>
      </c>
      <c r="BH4761" s="42"/>
      <c r="BI4761" s="74"/>
      <c r="BJ4761" s="77"/>
      <c r="BL4761" s="497">
        <v>75.92</v>
      </c>
      <c r="BN4761" s="42"/>
      <c r="BO4761" s="74"/>
      <c r="BP4761" s="77"/>
      <c r="BR4761" s="497">
        <v>82.039999999999992</v>
      </c>
      <c r="BT4761" s="42"/>
    </row>
    <row r="4762" spans="1:72" x14ac:dyDescent="0.25">
      <c r="A4762" s="90">
        <v>34532</v>
      </c>
      <c r="B4762" s="20">
        <v>0.66666666666666663</v>
      </c>
      <c r="D4762">
        <v>86</v>
      </c>
      <c r="E4762" t="str">
        <f t="shared" si="184"/>
        <v>SUNDAY</v>
      </c>
      <c r="F4762" t="e">
        <f t="shared" si="183"/>
        <v>#N/A</v>
      </c>
      <c r="G4762" s="74">
        <v>31975</v>
      </c>
      <c r="H4762" s="77">
        <v>0.66666666666666663</v>
      </c>
      <c r="J4762">
        <v>80.960000000000008</v>
      </c>
      <c r="M4762" s="74">
        <v>33436</v>
      </c>
      <c r="N4762" s="77">
        <v>0.66666666666666663</v>
      </c>
      <c r="P4762">
        <v>93.02</v>
      </c>
      <c r="S4762" s="74">
        <v>34532</v>
      </c>
      <c r="T4762" s="77">
        <v>0.66666666666666663</v>
      </c>
      <c r="V4762">
        <v>82.94</v>
      </c>
      <c r="X4762" s="42"/>
      <c r="AB4762">
        <v>81.8</v>
      </c>
      <c r="AC4762">
        <v>82.94</v>
      </c>
      <c r="AE4762" s="74"/>
      <c r="AF4762" s="77"/>
      <c r="AH4762" s="497">
        <v>87.800000000000011</v>
      </c>
      <c r="AJ4762" s="42"/>
      <c r="AK4762" s="74"/>
      <c r="AL4762" s="77"/>
      <c r="AN4762" s="497">
        <v>73.94</v>
      </c>
      <c r="AP4762" s="42"/>
      <c r="AQ4762" s="74"/>
      <c r="AR4762" s="77"/>
      <c r="AT4762" s="497">
        <v>84.92</v>
      </c>
      <c r="AV4762" s="42"/>
      <c r="AW4762" s="74"/>
      <c r="AX4762" s="77"/>
      <c r="BA4762" s="497">
        <v>86</v>
      </c>
      <c r="BB4762" s="42"/>
      <c r="BC4762" s="74"/>
      <c r="BD4762" s="77"/>
      <c r="BF4762">
        <v>73.039999999999992</v>
      </c>
      <c r="BH4762" s="42"/>
      <c r="BI4762" s="74"/>
      <c r="BJ4762" s="77"/>
      <c r="BL4762" s="497">
        <v>75.02</v>
      </c>
      <c r="BN4762" s="42"/>
      <c r="BO4762" s="74"/>
      <c r="BP4762" s="77"/>
      <c r="BR4762" s="497">
        <v>82.94</v>
      </c>
      <c r="BT4762" s="42"/>
    </row>
    <row r="4763" spans="1:72" x14ac:dyDescent="0.25">
      <c r="A4763" s="90">
        <v>34532</v>
      </c>
      <c r="B4763" s="20">
        <v>0.70833333333333337</v>
      </c>
      <c r="D4763">
        <v>84.92</v>
      </c>
      <c r="E4763" t="str">
        <f t="shared" si="184"/>
        <v>SUNDAY</v>
      </c>
      <c r="F4763" t="e">
        <f t="shared" si="183"/>
        <v>#N/A</v>
      </c>
      <c r="G4763" s="74">
        <v>31975</v>
      </c>
      <c r="H4763" s="77">
        <v>0.70833333333333337</v>
      </c>
      <c r="J4763">
        <v>80.960000000000008</v>
      </c>
      <c r="M4763" s="74">
        <v>33436</v>
      </c>
      <c r="N4763" s="77">
        <v>0.70833333333333337</v>
      </c>
      <c r="P4763">
        <v>91.94</v>
      </c>
      <c r="S4763" s="74">
        <v>34532</v>
      </c>
      <c r="T4763" s="77">
        <v>0.70833333333333337</v>
      </c>
      <c r="V4763">
        <v>82.94</v>
      </c>
      <c r="X4763" s="42"/>
      <c r="AB4763">
        <v>80.900000000000006</v>
      </c>
      <c r="AC4763">
        <v>82.039999999999992</v>
      </c>
      <c r="AE4763" s="74"/>
      <c r="AF4763" s="77"/>
      <c r="AH4763" s="497">
        <v>82.4</v>
      </c>
      <c r="AJ4763" s="42"/>
      <c r="AK4763" s="74"/>
      <c r="AL4763" s="77"/>
      <c r="AN4763" s="497">
        <v>73.94</v>
      </c>
      <c r="AP4763" s="42"/>
      <c r="AQ4763" s="74"/>
      <c r="AR4763" s="77"/>
      <c r="AT4763" s="497">
        <v>84.02</v>
      </c>
      <c r="AV4763" s="42"/>
      <c r="AW4763" s="74"/>
      <c r="AX4763" s="77"/>
      <c r="BA4763" s="497">
        <v>86</v>
      </c>
      <c r="BB4763" s="42"/>
      <c r="BC4763" s="74"/>
      <c r="BD4763" s="77"/>
      <c r="BF4763">
        <v>69.080000000000013</v>
      </c>
      <c r="BH4763" s="42"/>
      <c r="BI4763" s="74"/>
      <c r="BJ4763" s="77"/>
      <c r="BL4763" s="497">
        <v>75.92</v>
      </c>
      <c r="BN4763" s="42"/>
      <c r="BO4763" s="74"/>
      <c r="BP4763" s="77"/>
      <c r="BR4763" s="497">
        <v>82.94</v>
      </c>
      <c r="BT4763" s="42"/>
    </row>
    <row r="4764" spans="1:72" x14ac:dyDescent="0.25">
      <c r="A4764" s="90">
        <v>34532</v>
      </c>
      <c r="B4764" s="20">
        <v>0.75</v>
      </c>
      <c r="D4764">
        <v>84.02</v>
      </c>
      <c r="E4764" t="str">
        <f t="shared" si="184"/>
        <v>SUNDAY</v>
      </c>
      <c r="F4764" t="e">
        <f t="shared" si="183"/>
        <v>#N/A</v>
      </c>
      <c r="G4764" s="74">
        <v>31975</v>
      </c>
      <c r="H4764" s="77">
        <v>0.75</v>
      </c>
      <c r="J4764">
        <v>78.080000000000013</v>
      </c>
      <c r="M4764" s="74">
        <v>33436</v>
      </c>
      <c r="N4764" s="77">
        <v>0.75</v>
      </c>
      <c r="P4764">
        <v>89.960000000000008</v>
      </c>
      <c r="S4764" s="74">
        <v>34532</v>
      </c>
      <c r="T4764" s="77">
        <v>0.75</v>
      </c>
      <c r="V4764">
        <v>80.960000000000008</v>
      </c>
      <c r="X4764" s="42"/>
      <c r="AB4764">
        <v>79.7</v>
      </c>
      <c r="AC4764">
        <v>80.06</v>
      </c>
      <c r="AE4764" s="74"/>
      <c r="AF4764" s="77"/>
      <c r="AH4764" s="497">
        <v>84.2</v>
      </c>
      <c r="AJ4764" s="42"/>
      <c r="AK4764" s="74"/>
      <c r="AL4764" s="77"/>
      <c r="AN4764" s="497">
        <v>71.960000000000008</v>
      </c>
      <c r="AP4764" s="42"/>
      <c r="AQ4764" s="74"/>
      <c r="AR4764" s="77"/>
      <c r="AT4764" s="497">
        <v>82.94</v>
      </c>
      <c r="AV4764" s="42"/>
      <c r="AW4764" s="74"/>
      <c r="AX4764" s="77"/>
      <c r="BA4764" s="497">
        <v>84.92</v>
      </c>
      <c r="BB4764" s="42"/>
      <c r="BC4764" s="74"/>
      <c r="BD4764" s="77"/>
      <c r="BF4764">
        <v>75.02</v>
      </c>
      <c r="BH4764" s="42"/>
      <c r="BI4764" s="74"/>
      <c r="BJ4764" s="77"/>
      <c r="BL4764" s="497">
        <v>75.02</v>
      </c>
      <c r="BN4764" s="42"/>
      <c r="BO4764" s="74"/>
      <c r="BP4764" s="77"/>
      <c r="BR4764" s="497">
        <v>80.960000000000008</v>
      </c>
      <c r="BT4764" s="42"/>
    </row>
    <row r="4765" spans="1:72" x14ac:dyDescent="0.25">
      <c r="A4765" s="90">
        <v>34532</v>
      </c>
      <c r="B4765" s="20">
        <v>0.79166666666666663</v>
      </c>
      <c r="D4765">
        <v>82.94</v>
      </c>
      <c r="E4765" t="str">
        <f t="shared" si="184"/>
        <v>SUNDAY</v>
      </c>
      <c r="F4765" t="e">
        <f t="shared" si="183"/>
        <v>#N/A</v>
      </c>
      <c r="G4765" s="74">
        <v>31975</v>
      </c>
      <c r="H4765" s="77">
        <v>0.79166666666666663</v>
      </c>
      <c r="J4765">
        <v>77</v>
      </c>
      <c r="M4765" s="74">
        <v>33436</v>
      </c>
      <c r="N4765" s="77">
        <v>0.79166666666666663</v>
      </c>
      <c r="P4765">
        <v>87.080000000000013</v>
      </c>
      <c r="S4765" s="74">
        <v>34532</v>
      </c>
      <c r="T4765" s="77">
        <v>0.79166666666666663</v>
      </c>
      <c r="V4765">
        <v>78.98</v>
      </c>
      <c r="X4765" s="42"/>
      <c r="AB4765">
        <v>78.400000000000006</v>
      </c>
      <c r="AC4765">
        <v>78.080000000000013</v>
      </c>
      <c r="AE4765" s="74"/>
      <c r="AF4765" s="77"/>
      <c r="AH4765" s="497">
        <v>80.599999999999994</v>
      </c>
      <c r="AJ4765" s="42"/>
      <c r="AK4765" s="74"/>
      <c r="AL4765" s="77"/>
      <c r="AN4765" s="497">
        <v>69.98</v>
      </c>
      <c r="AP4765" s="42"/>
      <c r="AQ4765" s="74"/>
      <c r="AR4765" s="77"/>
      <c r="AT4765" s="497">
        <v>82.039999999999992</v>
      </c>
      <c r="AV4765" s="42"/>
      <c r="AW4765" s="74"/>
      <c r="AX4765" s="77"/>
      <c r="BA4765" s="497">
        <v>82.039999999999992</v>
      </c>
      <c r="BB4765" s="42"/>
      <c r="BC4765" s="74"/>
      <c r="BD4765" s="77"/>
      <c r="BF4765">
        <v>75.02</v>
      </c>
      <c r="BH4765" s="42"/>
      <c r="BI4765" s="74"/>
      <c r="BJ4765" s="77"/>
      <c r="BL4765" s="497">
        <v>73.039999999999992</v>
      </c>
      <c r="BN4765" s="42"/>
      <c r="BO4765" s="74"/>
      <c r="BP4765" s="77"/>
      <c r="BR4765" s="497">
        <v>78.98</v>
      </c>
      <c r="BT4765" s="42"/>
    </row>
    <row r="4766" spans="1:72" x14ac:dyDescent="0.25">
      <c r="A4766" s="90">
        <v>34532</v>
      </c>
      <c r="B4766" s="20">
        <v>0.83333333333333337</v>
      </c>
      <c r="D4766">
        <v>80.960000000000008</v>
      </c>
      <c r="E4766" t="str">
        <f t="shared" si="184"/>
        <v>SUNDAY</v>
      </c>
      <c r="F4766" t="e">
        <f t="shared" si="183"/>
        <v>#N/A</v>
      </c>
      <c r="G4766" s="74">
        <v>31975</v>
      </c>
      <c r="H4766" s="77">
        <v>0.83333333333333337</v>
      </c>
      <c r="J4766">
        <v>75.02</v>
      </c>
      <c r="M4766" s="74">
        <v>33436</v>
      </c>
      <c r="N4766" s="77">
        <v>0.83333333333333337</v>
      </c>
      <c r="P4766">
        <v>84.92</v>
      </c>
      <c r="S4766" s="74">
        <v>34532</v>
      </c>
      <c r="T4766" s="77">
        <v>0.83333333333333337</v>
      </c>
      <c r="V4766">
        <v>78.080000000000013</v>
      </c>
      <c r="X4766" s="42"/>
      <c r="AB4766">
        <v>76.900000000000006</v>
      </c>
      <c r="AC4766">
        <v>77</v>
      </c>
      <c r="AE4766" s="74"/>
      <c r="AF4766" s="77"/>
      <c r="AH4766" s="497">
        <v>73.400000000000006</v>
      </c>
      <c r="AJ4766" s="42"/>
      <c r="AK4766" s="74"/>
      <c r="AL4766" s="77"/>
      <c r="AN4766" s="497">
        <v>66.92</v>
      </c>
      <c r="AP4766" s="42"/>
      <c r="AQ4766" s="74"/>
      <c r="AR4766" s="77"/>
      <c r="AT4766" s="497">
        <v>79.34</v>
      </c>
      <c r="AV4766" s="42"/>
      <c r="AW4766" s="74"/>
      <c r="AX4766" s="77"/>
      <c r="BA4766" s="497">
        <v>75.92</v>
      </c>
      <c r="BB4766" s="42"/>
      <c r="BC4766" s="74"/>
      <c r="BD4766" s="77"/>
      <c r="BF4766">
        <v>73.039999999999992</v>
      </c>
      <c r="BH4766" s="42"/>
      <c r="BI4766" s="74"/>
      <c r="BJ4766" s="77"/>
      <c r="BL4766" s="497">
        <v>69.98</v>
      </c>
      <c r="BN4766" s="42"/>
      <c r="BO4766" s="74"/>
      <c r="BP4766" s="77"/>
      <c r="BR4766" s="497">
        <v>77</v>
      </c>
      <c r="BT4766" s="42"/>
    </row>
    <row r="4767" spans="1:72" x14ac:dyDescent="0.25">
      <c r="A4767" s="90">
        <v>34532</v>
      </c>
      <c r="B4767" s="20">
        <v>0.875</v>
      </c>
      <c r="D4767">
        <v>80.06</v>
      </c>
      <c r="E4767" t="str">
        <f t="shared" si="184"/>
        <v>SUNDAY</v>
      </c>
      <c r="F4767" t="e">
        <f t="shared" si="183"/>
        <v>#N/A</v>
      </c>
      <c r="G4767" s="74">
        <v>31975</v>
      </c>
      <c r="H4767" s="77">
        <v>0.875</v>
      </c>
      <c r="J4767">
        <v>73.94</v>
      </c>
      <c r="M4767" s="74">
        <v>33436</v>
      </c>
      <c r="N4767" s="77">
        <v>0.875</v>
      </c>
      <c r="P4767">
        <v>82.94</v>
      </c>
      <c r="S4767" s="74">
        <v>34532</v>
      </c>
      <c r="T4767" s="77">
        <v>0.875</v>
      </c>
      <c r="V4767">
        <v>77</v>
      </c>
      <c r="X4767" s="42"/>
      <c r="AB4767">
        <v>75.8</v>
      </c>
      <c r="AC4767">
        <v>73.94</v>
      </c>
      <c r="AE4767" s="74"/>
      <c r="AF4767" s="77"/>
      <c r="AH4767" s="497">
        <v>71.78</v>
      </c>
      <c r="AJ4767" s="42"/>
      <c r="AK4767" s="74"/>
      <c r="AL4767" s="77"/>
      <c r="AN4767" s="497">
        <v>66.02</v>
      </c>
      <c r="AP4767" s="42"/>
      <c r="AQ4767" s="74"/>
      <c r="AR4767" s="77"/>
      <c r="AT4767" s="497">
        <v>76.64</v>
      </c>
      <c r="AV4767" s="42"/>
      <c r="AW4767" s="74"/>
      <c r="AX4767" s="77"/>
      <c r="BA4767" s="497">
        <v>73.039999999999992</v>
      </c>
      <c r="BB4767" s="42"/>
      <c r="BC4767" s="74"/>
      <c r="BD4767" s="77"/>
      <c r="BF4767">
        <v>71.960000000000008</v>
      </c>
      <c r="BH4767" s="42"/>
      <c r="BI4767" s="74"/>
      <c r="BJ4767" s="77"/>
      <c r="BL4767" s="497">
        <v>69.98</v>
      </c>
      <c r="BN4767" s="42"/>
      <c r="BO4767" s="74"/>
      <c r="BP4767" s="77"/>
      <c r="BR4767" s="497">
        <v>75.02</v>
      </c>
      <c r="BT4767" s="42"/>
    </row>
    <row r="4768" spans="1:72" x14ac:dyDescent="0.25">
      <c r="A4768" s="90">
        <v>34532</v>
      </c>
      <c r="B4768" s="20">
        <v>0.91666666666666663</v>
      </c>
      <c r="D4768">
        <v>78.98</v>
      </c>
      <c r="E4768" t="str">
        <f t="shared" si="184"/>
        <v>SUNDAY</v>
      </c>
      <c r="F4768" t="e">
        <f t="shared" si="183"/>
        <v>#N/A</v>
      </c>
      <c r="G4768" s="74">
        <v>31975</v>
      </c>
      <c r="H4768" s="77">
        <v>0.91666666666666663</v>
      </c>
      <c r="J4768">
        <v>73.94</v>
      </c>
      <c r="M4768" s="74">
        <v>33436</v>
      </c>
      <c r="N4768" s="77">
        <v>0.91666666666666663</v>
      </c>
      <c r="P4768">
        <v>82.039999999999992</v>
      </c>
      <c r="S4768" s="74">
        <v>34532</v>
      </c>
      <c r="T4768" s="77">
        <v>0.91666666666666663</v>
      </c>
      <c r="V4768">
        <v>77</v>
      </c>
      <c r="X4768" s="42"/>
      <c r="AB4768">
        <v>75.2</v>
      </c>
      <c r="AC4768">
        <v>73.039999999999992</v>
      </c>
      <c r="AE4768" s="74"/>
      <c r="AF4768" s="77"/>
      <c r="AH4768" s="497">
        <v>71.599999999999994</v>
      </c>
      <c r="AJ4768" s="42"/>
      <c r="AK4768" s="74"/>
      <c r="AL4768" s="77"/>
      <c r="AN4768" s="497">
        <v>64.94</v>
      </c>
      <c r="AP4768" s="42"/>
      <c r="AQ4768" s="74"/>
      <c r="AR4768" s="77"/>
      <c r="AT4768" s="497">
        <v>73.94</v>
      </c>
      <c r="AV4768" s="42"/>
      <c r="AW4768" s="74"/>
      <c r="AX4768" s="77"/>
      <c r="BA4768" s="497">
        <v>73.039999999999992</v>
      </c>
      <c r="BB4768" s="42"/>
      <c r="BC4768" s="74"/>
      <c r="BD4768" s="77"/>
      <c r="BF4768">
        <v>71.960000000000008</v>
      </c>
      <c r="BH4768" s="42"/>
      <c r="BI4768" s="74"/>
      <c r="BJ4768" s="77"/>
      <c r="BL4768" s="497">
        <v>66.92</v>
      </c>
      <c r="BN4768" s="42"/>
      <c r="BO4768" s="74"/>
      <c r="BP4768" s="77"/>
      <c r="BR4768" s="497">
        <v>73.039999999999992</v>
      </c>
      <c r="BT4768" s="42"/>
    </row>
    <row r="4769" spans="1:72" x14ac:dyDescent="0.25">
      <c r="A4769" s="90">
        <v>34532</v>
      </c>
      <c r="B4769" s="20">
        <v>0.95833333333333337</v>
      </c>
      <c r="D4769">
        <v>78.98</v>
      </c>
      <c r="E4769" t="str">
        <f t="shared" si="184"/>
        <v>SUNDAY</v>
      </c>
      <c r="F4769" t="e">
        <f t="shared" si="183"/>
        <v>#N/A</v>
      </c>
      <c r="G4769" s="74">
        <v>31975</v>
      </c>
      <c r="H4769" s="77">
        <v>0.95833333333333337</v>
      </c>
      <c r="J4769">
        <v>73.94</v>
      </c>
      <c r="M4769" s="74">
        <v>33436</v>
      </c>
      <c r="N4769" s="77">
        <v>0.95833333333333337</v>
      </c>
      <c r="P4769">
        <v>80.06</v>
      </c>
      <c r="S4769" s="74">
        <v>34532</v>
      </c>
      <c r="T4769" s="77">
        <v>0.95833333333333337</v>
      </c>
      <c r="V4769">
        <v>77</v>
      </c>
      <c r="X4769" s="42"/>
      <c r="AB4769">
        <v>74.7</v>
      </c>
      <c r="AC4769">
        <v>73.039999999999992</v>
      </c>
      <c r="AE4769" s="74"/>
      <c r="AF4769" s="77"/>
      <c r="AH4769" s="497">
        <v>69.800000000000011</v>
      </c>
      <c r="AJ4769" s="42"/>
      <c r="AK4769" s="74"/>
      <c r="AL4769" s="77"/>
      <c r="AN4769" s="497">
        <v>64.039999999999992</v>
      </c>
      <c r="AP4769" s="42"/>
      <c r="AQ4769" s="74"/>
      <c r="AR4769" s="77"/>
      <c r="AT4769" s="497">
        <v>74.66</v>
      </c>
      <c r="AV4769" s="42"/>
      <c r="AW4769" s="74"/>
      <c r="AX4769" s="77"/>
      <c r="BA4769" s="497">
        <v>71.06</v>
      </c>
      <c r="BB4769" s="42"/>
      <c r="BC4769" s="74"/>
      <c r="BD4769" s="77"/>
      <c r="BF4769">
        <v>69.98</v>
      </c>
      <c r="BH4769" s="42"/>
      <c r="BI4769" s="74"/>
      <c r="BJ4769" s="77"/>
      <c r="BL4769" s="497">
        <v>66.02</v>
      </c>
      <c r="BN4769" s="42"/>
      <c r="BO4769" s="74"/>
      <c r="BP4769" s="77"/>
      <c r="BR4769" s="497">
        <v>71.960000000000008</v>
      </c>
      <c r="BT4769" s="42"/>
    </row>
    <row r="4770" spans="1:72" x14ac:dyDescent="0.25">
      <c r="A4770" s="90">
        <v>34532</v>
      </c>
      <c r="B4770" s="20">
        <v>1</v>
      </c>
      <c r="D4770">
        <v>78.080000000000013</v>
      </c>
      <c r="E4770" t="str">
        <f t="shared" si="184"/>
        <v>SUNDAY</v>
      </c>
      <c r="F4770" t="e">
        <f t="shared" si="183"/>
        <v>#N/A</v>
      </c>
      <c r="G4770" s="74">
        <v>31975</v>
      </c>
      <c r="H4770" s="77">
        <v>1</v>
      </c>
      <c r="J4770">
        <v>71.960000000000008</v>
      </c>
      <c r="M4770" s="74">
        <v>33436</v>
      </c>
      <c r="N4770" s="80">
        <v>1</v>
      </c>
      <c r="P4770">
        <v>78.080000000000013</v>
      </c>
      <c r="S4770" s="74">
        <v>34532</v>
      </c>
      <c r="T4770" s="80">
        <v>1</v>
      </c>
      <c r="V4770">
        <v>77</v>
      </c>
      <c r="X4770" s="42"/>
      <c r="AB4770">
        <v>74.2</v>
      </c>
      <c r="AC4770">
        <v>71.960000000000008</v>
      </c>
      <c r="AE4770" s="74"/>
      <c r="AF4770" s="80"/>
      <c r="AH4770" s="497">
        <v>68</v>
      </c>
      <c r="AJ4770" s="42"/>
      <c r="AK4770" s="74"/>
      <c r="AL4770" s="80"/>
      <c r="AN4770" s="497">
        <v>62.06</v>
      </c>
      <c r="AP4770" s="42"/>
      <c r="AQ4770" s="74"/>
      <c r="AR4770" s="80"/>
      <c r="AT4770" s="497">
        <v>75.2</v>
      </c>
      <c r="AV4770" s="42"/>
      <c r="AW4770" s="74"/>
      <c r="AX4770" s="80"/>
      <c r="BA4770" s="497">
        <v>69.98</v>
      </c>
      <c r="BB4770" s="42"/>
      <c r="BC4770" s="74"/>
      <c r="BD4770" s="80"/>
      <c r="BF4770">
        <v>66.02</v>
      </c>
      <c r="BH4770" s="42"/>
      <c r="BI4770" s="74"/>
      <c r="BJ4770" s="80"/>
      <c r="BL4770" s="497">
        <v>64.94</v>
      </c>
      <c r="BN4770" s="42"/>
      <c r="BO4770" s="74"/>
      <c r="BP4770" s="80"/>
      <c r="BR4770" s="497">
        <v>71.960000000000008</v>
      </c>
      <c r="BT4770" s="42"/>
    </row>
    <row r="4771" spans="1:72" x14ac:dyDescent="0.25">
      <c r="A4771" s="90">
        <v>34533</v>
      </c>
      <c r="B4771" s="20">
        <v>4.1666666666666664E-2</v>
      </c>
      <c r="D4771">
        <v>77</v>
      </c>
      <c r="E4771" t="str">
        <f t="shared" si="184"/>
        <v>WEEKDAY</v>
      </c>
      <c r="F4771" t="e">
        <f t="shared" si="183"/>
        <v>#N/A</v>
      </c>
      <c r="G4771" s="74">
        <v>31976</v>
      </c>
      <c r="H4771" s="77">
        <v>4.1666666666666664E-2</v>
      </c>
      <c r="J4771">
        <v>71.06</v>
      </c>
      <c r="M4771" s="74">
        <v>33437</v>
      </c>
      <c r="N4771" s="77">
        <v>4.1666666666666664E-2</v>
      </c>
      <c r="P4771">
        <v>78.080000000000013</v>
      </c>
      <c r="S4771" s="74">
        <v>34533</v>
      </c>
      <c r="T4771" s="77">
        <v>4.1666666666666664E-2</v>
      </c>
      <c r="V4771">
        <v>75.92</v>
      </c>
      <c r="X4771" s="42"/>
      <c r="AB4771">
        <v>73.5</v>
      </c>
      <c r="AC4771">
        <v>73.039999999999992</v>
      </c>
      <c r="AE4771" s="74"/>
      <c r="AF4771" s="77"/>
      <c r="AH4771" s="497">
        <v>66.2</v>
      </c>
      <c r="AJ4771" s="42"/>
      <c r="AK4771" s="74"/>
      <c r="AL4771" s="77"/>
      <c r="AN4771" s="497">
        <v>60.980000000000004</v>
      </c>
      <c r="AP4771" s="42"/>
      <c r="AQ4771" s="74"/>
      <c r="AR4771" s="77"/>
      <c r="AT4771" s="497">
        <v>75.92</v>
      </c>
      <c r="AV4771" s="42"/>
      <c r="AW4771" s="74"/>
      <c r="AX4771" s="77"/>
      <c r="BA4771" s="497">
        <v>69.080000000000013</v>
      </c>
      <c r="BB4771" s="42"/>
      <c r="BC4771" s="74"/>
      <c r="BD4771" s="77"/>
      <c r="BF4771">
        <v>66.02</v>
      </c>
      <c r="BH4771" s="42"/>
      <c r="BI4771" s="74"/>
      <c r="BJ4771" s="77"/>
      <c r="BL4771" s="497">
        <v>62.96</v>
      </c>
      <c r="BN4771" s="42"/>
      <c r="BO4771" s="74"/>
      <c r="BP4771" s="77"/>
      <c r="BR4771" s="497">
        <v>71.960000000000008</v>
      </c>
      <c r="BT4771" s="42"/>
    </row>
    <row r="4772" spans="1:72" x14ac:dyDescent="0.25">
      <c r="A4772" s="90">
        <v>34533</v>
      </c>
      <c r="B4772" s="20">
        <v>8.3333333333333329E-2</v>
      </c>
      <c r="D4772">
        <v>75.02</v>
      </c>
      <c r="E4772" t="str">
        <f t="shared" si="184"/>
        <v>WEEKDAY</v>
      </c>
      <c r="F4772" t="e">
        <f t="shared" si="183"/>
        <v>#N/A</v>
      </c>
      <c r="G4772" s="74">
        <v>31976</v>
      </c>
      <c r="H4772" s="77">
        <v>8.3333333333333329E-2</v>
      </c>
      <c r="J4772">
        <v>69.98</v>
      </c>
      <c r="M4772" s="74">
        <v>33437</v>
      </c>
      <c r="N4772" s="77">
        <v>8.3333333333333329E-2</v>
      </c>
      <c r="P4772">
        <v>75.92</v>
      </c>
      <c r="S4772" s="74">
        <v>34533</v>
      </c>
      <c r="T4772" s="77">
        <v>8.3333333333333329E-2</v>
      </c>
      <c r="V4772">
        <v>75.02</v>
      </c>
      <c r="X4772" s="42"/>
      <c r="AB4772">
        <v>72.900000000000006</v>
      </c>
      <c r="AC4772">
        <v>73.039999999999992</v>
      </c>
      <c r="AE4772" s="74"/>
      <c r="AF4772" s="77"/>
      <c r="AH4772" s="497">
        <v>64.400000000000006</v>
      </c>
      <c r="AJ4772" s="42"/>
      <c r="AK4772" s="74"/>
      <c r="AL4772" s="77"/>
      <c r="AN4772" s="497">
        <v>60.980000000000004</v>
      </c>
      <c r="AP4772" s="42"/>
      <c r="AQ4772" s="74"/>
      <c r="AR4772" s="77"/>
      <c r="AT4772" s="497">
        <v>73.22</v>
      </c>
      <c r="AV4772" s="42"/>
      <c r="AW4772" s="74"/>
      <c r="AX4772" s="77"/>
      <c r="BA4772" s="497">
        <v>68</v>
      </c>
      <c r="BB4772" s="42"/>
      <c r="BC4772" s="74"/>
      <c r="BD4772" s="77"/>
      <c r="BF4772">
        <v>64.94</v>
      </c>
      <c r="BH4772" s="42"/>
      <c r="BI4772" s="74"/>
      <c r="BJ4772" s="77"/>
      <c r="BL4772" s="497">
        <v>62.06</v>
      </c>
      <c r="BN4772" s="42"/>
      <c r="BO4772" s="74"/>
      <c r="BP4772" s="77"/>
      <c r="BR4772" s="497">
        <v>71.960000000000008</v>
      </c>
      <c r="BT4772" s="42"/>
    </row>
    <row r="4773" spans="1:72" x14ac:dyDescent="0.25">
      <c r="A4773" s="90">
        <v>34533</v>
      </c>
      <c r="B4773" s="20">
        <v>0.125</v>
      </c>
      <c r="D4773">
        <v>73.94</v>
      </c>
      <c r="E4773" t="str">
        <f t="shared" si="184"/>
        <v>WEEKDAY</v>
      </c>
      <c r="F4773" t="e">
        <f t="shared" si="183"/>
        <v>#N/A</v>
      </c>
      <c r="G4773" s="74">
        <v>31976</v>
      </c>
      <c r="H4773" s="77">
        <v>0.125</v>
      </c>
      <c r="J4773">
        <v>69.080000000000013</v>
      </c>
      <c r="M4773" s="74">
        <v>33437</v>
      </c>
      <c r="N4773" s="77">
        <v>0.125</v>
      </c>
      <c r="P4773">
        <v>75.02</v>
      </c>
      <c r="S4773" s="74">
        <v>34533</v>
      </c>
      <c r="T4773" s="77">
        <v>0.125</v>
      </c>
      <c r="V4773">
        <v>75.02</v>
      </c>
      <c r="X4773" s="42"/>
      <c r="AB4773">
        <v>72.400000000000006</v>
      </c>
      <c r="AC4773">
        <v>73.039999999999992</v>
      </c>
      <c r="AE4773" s="74"/>
      <c r="AF4773" s="77"/>
      <c r="AH4773" s="497">
        <v>64.400000000000006</v>
      </c>
      <c r="AJ4773" s="42"/>
      <c r="AK4773" s="74"/>
      <c r="AL4773" s="77"/>
      <c r="AN4773" s="497">
        <v>57.92</v>
      </c>
      <c r="AP4773" s="42"/>
      <c r="AQ4773" s="74"/>
      <c r="AR4773" s="77"/>
      <c r="AT4773" s="497">
        <v>70.7</v>
      </c>
      <c r="AV4773" s="42"/>
      <c r="AW4773" s="74"/>
      <c r="AX4773" s="77"/>
      <c r="BA4773" s="497">
        <v>68</v>
      </c>
      <c r="BB4773" s="42"/>
      <c r="BC4773" s="74"/>
      <c r="BD4773" s="77"/>
      <c r="BF4773">
        <v>64.039999999999992</v>
      </c>
      <c r="BH4773" s="42"/>
      <c r="BI4773" s="74"/>
      <c r="BJ4773" s="77"/>
      <c r="BL4773" s="497">
        <v>62.06</v>
      </c>
      <c r="BN4773" s="42"/>
      <c r="BO4773" s="74"/>
      <c r="BP4773" s="77"/>
      <c r="BR4773" s="497">
        <v>73.039999999999992</v>
      </c>
      <c r="BT4773" s="42"/>
    </row>
    <row r="4774" spans="1:72" x14ac:dyDescent="0.25">
      <c r="A4774" s="90">
        <v>34533</v>
      </c>
      <c r="B4774" s="20">
        <v>0.16666666666666666</v>
      </c>
      <c r="D4774">
        <v>73.94</v>
      </c>
      <c r="E4774" t="str">
        <f t="shared" si="184"/>
        <v>WEEKDAY</v>
      </c>
      <c r="F4774" t="e">
        <f t="shared" si="183"/>
        <v>#N/A</v>
      </c>
      <c r="G4774" s="74">
        <v>31976</v>
      </c>
      <c r="H4774" s="77">
        <v>0.16666666666666666</v>
      </c>
      <c r="J4774">
        <v>69.98</v>
      </c>
      <c r="M4774" s="74">
        <v>33437</v>
      </c>
      <c r="N4774" s="77">
        <v>0.16666666666666666</v>
      </c>
      <c r="P4774">
        <v>73.039999999999992</v>
      </c>
      <c r="S4774" s="74">
        <v>34533</v>
      </c>
      <c r="T4774" s="77">
        <v>0.16666666666666666</v>
      </c>
      <c r="V4774">
        <v>75.92</v>
      </c>
      <c r="X4774" s="42"/>
      <c r="AB4774">
        <v>71.900000000000006</v>
      </c>
      <c r="AC4774">
        <v>73.039999999999992</v>
      </c>
      <c r="AE4774" s="74"/>
      <c r="AF4774" s="77"/>
      <c r="AH4774" s="497">
        <v>64.400000000000006</v>
      </c>
      <c r="AJ4774" s="42"/>
      <c r="AK4774" s="74"/>
      <c r="AL4774" s="77"/>
      <c r="AN4774" s="497">
        <v>60.08</v>
      </c>
      <c r="AP4774" s="42"/>
      <c r="AQ4774" s="74"/>
      <c r="AR4774" s="77"/>
      <c r="AT4774" s="497">
        <v>68</v>
      </c>
      <c r="AV4774" s="42"/>
      <c r="AW4774" s="74"/>
      <c r="AX4774" s="77"/>
      <c r="BA4774" s="497">
        <v>68</v>
      </c>
      <c r="BB4774" s="42"/>
      <c r="BC4774" s="74"/>
      <c r="BD4774" s="77"/>
      <c r="BF4774">
        <v>64.039999999999992</v>
      </c>
      <c r="BH4774" s="42"/>
      <c r="BI4774" s="74"/>
      <c r="BJ4774" s="77"/>
      <c r="BL4774" s="497">
        <v>60.980000000000004</v>
      </c>
      <c r="BN4774" s="42"/>
      <c r="BO4774" s="74"/>
      <c r="BP4774" s="77"/>
      <c r="BR4774" s="497">
        <v>71.960000000000008</v>
      </c>
      <c r="BT4774" s="42"/>
    </row>
    <row r="4775" spans="1:72" x14ac:dyDescent="0.25">
      <c r="A4775" s="90">
        <v>34533</v>
      </c>
      <c r="B4775" s="20">
        <v>0.20833333333333334</v>
      </c>
      <c r="D4775">
        <v>73.94</v>
      </c>
      <c r="E4775" t="str">
        <f t="shared" si="184"/>
        <v>WEEKDAY</v>
      </c>
      <c r="F4775" t="e">
        <f t="shared" si="183"/>
        <v>#N/A</v>
      </c>
      <c r="G4775" s="74">
        <v>31976</v>
      </c>
      <c r="H4775" s="77">
        <v>0.20833333333333334</v>
      </c>
      <c r="J4775">
        <v>71.06</v>
      </c>
      <c r="M4775" s="74">
        <v>33437</v>
      </c>
      <c r="N4775" s="77">
        <v>0.20833333333333334</v>
      </c>
      <c r="P4775">
        <v>71.960000000000008</v>
      </c>
      <c r="S4775" s="74">
        <v>34533</v>
      </c>
      <c r="T4775" s="77">
        <v>0.20833333333333334</v>
      </c>
      <c r="V4775">
        <v>75.92</v>
      </c>
      <c r="X4775" s="42"/>
      <c r="AB4775">
        <v>71.400000000000006</v>
      </c>
      <c r="AC4775">
        <v>73.039999999999992</v>
      </c>
      <c r="AE4775" s="74"/>
      <c r="AF4775" s="77"/>
      <c r="AH4775" s="497">
        <v>62.6</v>
      </c>
      <c r="AJ4775" s="42"/>
      <c r="AK4775" s="74"/>
      <c r="AL4775" s="77"/>
      <c r="AN4775" s="497">
        <v>57.92</v>
      </c>
      <c r="AP4775" s="42"/>
      <c r="AQ4775" s="74"/>
      <c r="AR4775" s="77"/>
      <c r="AT4775" s="497">
        <v>71.42</v>
      </c>
      <c r="AV4775" s="42"/>
      <c r="AW4775" s="74"/>
      <c r="AX4775" s="77"/>
      <c r="BA4775" s="497">
        <v>68</v>
      </c>
      <c r="BB4775" s="42"/>
      <c r="BC4775" s="74"/>
      <c r="BD4775" s="77"/>
      <c r="BF4775">
        <v>62.96</v>
      </c>
      <c r="BH4775" s="42"/>
      <c r="BI4775" s="74"/>
      <c r="BJ4775" s="77"/>
      <c r="BL4775" s="497">
        <v>59</v>
      </c>
      <c r="BN4775" s="42"/>
      <c r="BO4775" s="74"/>
      <c r="BP4775" s="77"/>
      <c r="BR4775" s="497">
        <v>71.960000000000008</v>
      </c>
      <c r="BT4775" s="42"/>
    </row>
    <row r="4776" spans="1:72" x14ac:dyDescent="0.25">
      <c r="A4776" s="90">
        <v>34533</v>
      </c>
      <c r="B4776" s="20">
        <v>0.25</v>
      </c>
      <c r="D4776">
        <v>73.94</v>
      </c>
      <c r="E4776" t="str">
        <f t="shared" si="184"/>
        <v>WEEKDAY</v>
      </c>
      <c r="F4776" t="e">
        <f t="shared" si="183"/>
        <v>#N/A</v>
      </c>
      <c r="G4776" s="74">
        <v>31976</v>
      </c>
      <c r="H4776" s="77">
        <v>0.25</v>
      </c>
      <c r="J4776">
        <v>71.06</v>
      </c>
      <c r="M4776" s="74">
        <v>33437</v>
      </c>
      <c r="N4776" s="77">
        <v>0.25</v>
      </c>
      <c r="P4776">
        <v>73.94</v>
      </c>
      <c r="S4776" s="74">
        <v>34533</v>
      </c>
      <c r="T4776" s="77">
        <v>0.25</v>
      </c>
      <c r="V4776">
        <v>75.92</v>
      </c>
      <c r="X4776" s="42"/>
      <c r="AB4776">
        <v>71.099999999999994</v>
      </c>
      <c r="AC4776">
        <v>73.039999999999992</v>
      </c>
      <c r="AE4776" s="74"/>
      <c r="AF4776" s="77"/>
      <c r="AH4776" s="497">
        <v>64.400000000000006</v>
      </c>
      <c r="AJ4776" s="42"/>
      <c r="AK4776" s="74"/>
      <c r="AL4776" s="77"/>
      <c r="AN4776" s="497">
        <v>60.08</v>
      </c>
      <c r="AP4776" s="42"/>
      <c r="AQ4776" s="74"/>
      <c r="AR4776" s="77"/>
      <c r="AT4776" s="497">
        <v>74.66</v>
      </c>
      <c r="AV4776" s="42"/>
      <c r="AW4776" s="74"/>
      <c r="AX4776" s="77"/>
      <c r="BA4776" s="497">
        <v>69.98</v>
      </c>
      <c r="BB4776" s="42"/>
      <c r="BC4776" s="74"/>
      <c r="BD4776" s="77"/>
      <c r="BF4776">
        <v>64.039999999999992</v>
      </c>
      <c r="BH4776" s="42"/>
      <c r="BI4776" s="74"/>
      <c r="BJ4776" s="77"/>
      <c r="BL4776" s="497">
        <v>60.980000000000004</v>
      </c>
      <c r="BN4776" s="42"/>
      <c r="BO4776" s="74"/>
      <c r="BP4776" s="77"/>
      <c r="BR4776" s="497">
        <v>73.039999999999992</v>
      </c>
      <c r="BT4776" s="42"/>
    </row>
    <row r="4777" spans="1:72" x14ac:dyDescent="0.25">
      <c r="A4777" s="90">
        <v>34533</v>
      </c>
      <c r="B4777" s="20">
        <v>0.29166666666666669</v>
      </c>
      <c r="D4777">
        <v>73.94</v>
      </c>
      <c r="E4777" t="str">
        <f t="shared" si="184"/>
        <v>WEEKDAY</v>
      </c>
      <c r="F4777" t="e">
        <f t="shared" si="183"/>
        <v>#N/A</v>
      </c>
      <c r="G4777" s="74">
        <v>31976</v>
      </c>
      <c r="H4777" s="77">
        <v>0.29166666666666669</v>
      </c>
      <c r="J4777">
        <v>71.960000000000008</v>
      </c>
      <c r="M4777" s="74">
        <v>33437</v>
      </c>
      <c r="N4777" s="77">
        <v>0.29166666666666669</v>
      </c>
      <c r="P4777">
        <v>78.080000000000013</v>
      </c>
      <c r="S4777" s="74">
        <v>34533</v>
      </c>
      <c r="T4777" s="77">
        <v>0.29166666666666669</v>
      </c>
      <c r="V4777">
        <v>75.92</v>
      </c>
      <c r="X4777" s="42"/>
      <c r="AB4777">
        <v>72.5</v>
      </c>
      <c r="AC4777">
        <v>73.94</v>
      </c>
      <c r="AE4777" s="74"/>
      <c r="AF4777" s="77"/>
      <c r="AH4777" s="497">
        <v>68</v>
      </c>
      <c r="AJ4777" s="42"/>
      <c r="AK4777" s="74"/>
      <c r="AL4777" s="77"/>
      <c r="AN4777" s="497">
        <v>60.980000000000004</v>
      </c>
      <c r="AP4777" s="42"/>
      <c r="AQ4777" s="74"/>
      <c r="AR4777" s="77"/>
      <c r="AT4777" s="497">
        <v>78.080000000000013</v>
      </c>
      <c r="AV4777" s="42"/>
      <c r="AW4777" s="74"/>
      <c r="AX4777" s="77"/>
      <c r="BA4777" s="497">
        <v>77</v>
      </c>
      <c r="BB4777" s="42"/>
      <c r="BC4777" s="74"/>
      <c r="BD4777" s="77"/>
      <c r="BF4777">
        <v>68</v>
      </c>
      <c r="BH4777" s="42"/>
      <c r="BI4777" s="74"/>
      <c r="BJ4777" s="77"/>
      <c r="BL4777" s="497">
        <v>64.94</v>
      </c>
      <c r="BN4777" s="42"/>
      <c r="BO4777" s="74"/>
      <c r="BP4777" s="77"/>
      <c r="BR4777" s="497">
        <v>75.02</v>
      </c>
      <c r="BT4777" s="42"/>
    </row>
    <row r="4778" spans="1:72" x14ac:dyDescent="0.25">
      <c r="A4778" s="90">
        <v>34533</v>
      </c>
      <c r="B4778" s="20">
        <v>0.33333333333333331</v>
      </c>
      <c r="D4778">
        <v>73.039999999999992</v>
      </c>
      <c r="E4778" t="str">
        <f t="shared" si="184"/>
        <v>WEEKDAY</v>
      </c>
      <c r="F4778" t="e">
        <f t="shared" si="183"/>
        <v>#N/A</v>
      </c>
      <c r="G4778" s="74">
        <v>31976</v>
      </c>
      <c r="H4778" s="77">
        <v>0.33333333333333331</v>
      </c>
      <c r="J4778">
        <v>75.92</v>
      </c>
      <c r="M4778" s="74">
        <v>33437</v>
      </c>
      <c r="N4778" s="77">
        <v>0.33333333333333331</v>
      </c>
      <c r="P4778">
        <v>82.039999999999992</v>
      </c>
      <c r="S4778" s="74">
        <v>34533</v>
      </c>
      <c r="T4778" s="77">
        <v>0.33333333333333331</v>
      </c>
      <c r="V4778">
        <v>75.92</v>
      </c>
      <c r="X4778" s="42"/>
      <c r="AB4778">
        <v>74.5</v>
      </c>
      <c r="AC4778">
        <v>73.94</v>
      </c>
      <c r="AE4778" s="74"/>
      <c r="AF4778" s="77"/>
      <c r="AH4778" s="497">
        <v>75.2</v>
      </c>
      <c r="AJ4778" s="42"/>
      <c r="AK4778" s="74"/>
      <c r="AL4778" s="77"/>
      <c r="AN4778" s="497">
        <v>64.94</v>
      </c>
      <c r="AP4778" s="42"/>
      <c r="AQ4778" s="74"/>
      <c r="AR4778" s="77"/>
      <c r="AT4778" s="497">
        <v>79.7</v>
      </c>
      <c r="AV4778" s="42"/>
      <c r="AW4778" s="74"/>
      <c r="AX4778" s="77"/>
      <c r="BA4778" s="497">
        <v>80.06</v>
      </c>
      <c r="BB4778" s="42"/>
      <c r="BC4778" s="74"/>
      <c r="BD4778" s="77"/>
      <c r="BF4778">
        <v>69.98</v>
      </c>
      <c r="BH4778" s="42"/>
      <c r="BI4778" s="74"/>
      <c r="BJ4778" s="77"/>
      <c r="BL4778" s="497">
        <v>69.98</v>
      </c>
      <c r="BN4778" s="42"/>
      <c r="BO4778" s="74"/>
      <c r="BP4778" s="77"/>
      <c r="BR4778" s="497">
        <v>78.080000000000013</v>
      </c>
      <c r="BT4778" s="42"/>
    </row>
    <row r="4779" spans="1:72" x14ac:dyDescent="0.25">
      <c r="A4779" s="90">
        <v>34533</v>
      </c>
      <c r="B4779" s="20">
        <v>0.375</v>
      </c>
      <c r="D4779">
        <v>71.960000000000008</v>
      </c>
      <c r="E4779" t="str">
        <f t="shared" si="184"/>
        <v>WEEKDAY</v>
      </c>
      <c r="F4779" t="e">
        <f t="shared" ref="F4779:F4842" si="185">IF(E4779="WEEKDAY",VLOOKUP(B4779,$DD$19:$DG$42,2),IF(E4779="SATURDAY",VLOOKUP(B4779,$DD$19:$DG$42,3),VLOOKUP(B4779,$DD$19:$DG$42,4)))</f>
        <v>#N/A</v>
      </c>
      <c r="G4779" s="74">
        <v>31976</v>
      </c>
      <c r="H4779" s="77">
        <v>0.375</v>
      </c>
      <c r="J4779">
        <v>78.98</v>
      </c>
      <c r="M4779" s="74">
        <v>33437</v>
      </c>
      <c r="N4779" s="77">
        <v>0.375</v>
      </c>
      <c r="P4779">
        <v>86</v>
      </c>
      <c r="S4779" s="74">
        <v>34533</v>
      </c>
      <c r="T4779" s="77">
        <v>0.375</v>
      </c>
      <c r="V4779">
        <v>75.02</v>
      </c>
      <c r="X4779" s="42"/>
      <c r="AB4779">
        <v>76.400000000000006</v>
      </c>
      <c r="AC4779">
        <v>73.039999999999992</v>
      </c>
      <c r="AE4779" s="74"/>
      <c r="AF4779" s="77"/>
      <c r="AH4779" s="497">
        <v>78.800000000000011</v>
      </c>
      <c r="AJ4779" s="42"/>
      <c r="AK4779" s="74"/>
      <c r="AL4779" s="77"/>
      <c r="AN4779" s="497">
        <v>66.92</v>
      </c>
      <c r="AP4779" s="42"/>
      <c r="AQ4779" s="74"/>
      <c r="AR4779" s="77"/>
      <c r="AT4779" s="497">
        <v>81.319999999999993</v>
      </c>
      <c r="AV4779" s="42"/>
      <c r="AW4779" s="74"/>
      <c r="AX4779" s="77"/>
      <c r="BA4779" s="497">
        <v>82.039999999999992</v>
      </c>
      <c r="BB4779" s="42"/>
      <c r="BC4779" s="74"/>
      <c r="BD4779" s="77"/>
      <c r="BF4779">
        <v>73.039999999999992</v>
      </c>
      <c r="BH4779" s="42"/>
      <c r="BI4779" s="74"/>
      <c r="BJ4779" s="77"/>
      <c r="BL4779" s="497">
        <v>73.039999999999992</v>
      </c>
      <c r="BN4779" s="42"/>
      <c r="BO4779" s="74"/>
      <c r="BP4779" s="77"/>
      <c r="BR4779" s="497">
        <v>80.06</v>
      </c>
      <c r="BT4779" s="42"/>
    </row>
    <row r="4780" spans="1:72" x14ac:dyDescent="0.25">
      <c r="A4780" s="90">
        <v>34533</v>
      </c>
      <c r="B4780" s="20">
        <v>0.41666666666666669</v>
      </c>
      <c r="D4780">
        <v>71.960000000000008</v>
      </c>
      <c r="E4780" t="str">
        <f t="shared" si="184"/>
        <v>WEEKDAY</v>
      </c>
      <c r="F4780" t="e">
        <f t="shared" si="185"/>
        <v>#N/A</v>
      </c>
      <c r="G4780" s="74">
        <v>31976</v>
      </c>
      <c r="H4780" s="77">
        <v>0.41666666666666669</v>
      </c>
      <c r="J4780">
        <v>82.039999999999992</v>
      </c>
      <c r="M4780" s="74">
        <v>33437</v>
      </c>
      <c r="N4780" s="77">
        <v>0.41666666666666669</v>
      </c>
      <c r="P4780">
        <v>89.960000000000008</v>
      </c>
      <c r="S4780" s="74">
        <v>34533</v>
      </c>
      <c r="T4780" s="77">
        <v>0.41666666666666669</v>
      </c>
      <c r="V4780">
        <v>73.94</v>
      </c>
      <c r="X4780" s="42"/>
      <c r="AB4780">
        <v>78.2</v>
      </c>
      <c r="AC4780">
        <v>71.06</v>
      </c>
      <c r="AE4780" s="74"/>
      <c r="AF4780" s="77"/>
      <c r="AH4780" s="497">
        <v>80.599999999999994</v>
      </c>
      <c r="AJ4780" s="42"/>
      <c r="AK4780" s="74"/>
      <c r="AL4780" s="77"/>
      <c r="AN4780" s="497">
        <v>71.06</v>
      </c>
      <c r="AP4780" s="42"/>
      <c r="AQ4780" s="74"/>
      <c r="AR4780" s="77"/>
      <c r="AT4780" s="497">
        <v>82.94</v>
      </c>
      <c r="AV4780" s="42"/>
      <c r="AW4780" s="74"/>
      <c r="AX4780" s="77"/>
      <c r="BA4780" s="497">
        <v>84.02</v>
      </c>
      <c r="BB4780" s="42"/>
      <c r="BC4780" s="74"/>
      <c r="BD4780" s="77"/>
      <c r="BF4780">
        <v>73.94</v>
      </c>
      <c r="BH4780" s="42"/>
      <c r="BI4780" s="74"/>
      <c r="BJ4780" s="77"/>
      <c r="BL4780" s="497">
        <v>75.02</v>
      </c>
      <c r="BN4780" s="42"/>
      <c r="BO4780" s="74"/>
      <c r="BP4780" s="77"/>
      <c r="BR4780" s="497">
        <v>82.039999999999992</v>
      </c>
      <c r="BT4780" s="42"/>
    </row>
    <row r="4781" spans="1:72" x14ac:dyDescent="0.25">
      <c r="A4781" s="90">
        <v>34533</v>
      </c>
      <c r="B4781" s="20">
        <v>0.45833333333333331</v>
      </c>
      <c r="D4781">
        <v>71.960000000000008</v>
      </c>
      <c r="E4781" t="str">
        <f t="shared" si="184"/>
        <v>WEEKDAY</v>
      </c>
      <c r="F4781" t="e">
        <f t="shared" si="185"/>
        <v>#N/A</v>
      </c>
      <c r="G4781" s="74">
        <v>31976</v>
      </c>
      <c r="H4781" s="77">
        <v>0.45833333333333331</v>
      </c>
      <c r="J4781">
        <v>84.02</v>
      </c>
      <c r="M4781" s="74">
        <v>33437</v>
      </c>
      <c r="N4781" s="77">
        <v>0.45833333333333331</v>
      </c>
      <c r="P4781">
        <v>91.039999999999992</v>
      </c>
      <c r="S4781" s="74">
        <v>34533</v>
      </c>
      <c r="T4781" s="77">
        <v>0.45833333333333331</v>
      </c>
      <c r="V4781">
        <v>73.039999999999992</v>
      </c>
      <c r="X4781" s="42"/>
      <c r="AB4781">
        <v>79.8</v>
      </c>
      <c r="AC4781">
        <v>71.960000000000008</v>
      </c>
      <c r="AE4781" s="74"/>
      <c r="AF4781" s="77"/>
      <c r="AH4781" s="497">
        <v>84.2</v>
      </c>
      <c r="AJ4781" s="42"/>
      <c r="AK4781" s="74"/>
      <c r="AL4781" s="77"/>
      <c r="AN4781" s="497">
        <v>71.960000000000008</v>
      </c>
      <c r="AP4781" s="42"/>
      <c r="AQ4781" s="74"/>
      <c r="AR4781" s="77"/>
      <c r="AT4781" s="497">
        <v>84.56</v>
      </c>
      <c r="AV4781" s="42"/>
      <c r="AW4781" s="74"/>
      <c r="AX4781" s="77"/>
      <c r="BA4781" s="497">
        <v>84.02</v>
      </c>
      <c r="BB4781" s="42"/>
      <c r="BC4781" s="74"/>
      <c r="BD4781" s="77"/>
      <c r="BF4781">
        <v>77</v>
      </c>
      <c r="BH4781" s="42"/>
      <c r="BI4781" s="74"/>
      <c r="BJ4781" s="77"/>
      <c r="BL4781" s="497">
        <v>78.080000000000013</v>
      </c>
      <c r="BN4781" s="42"/>
      <c r="BO4781" s="74"/>
      <c r="BP4781" s="77"/>
      <c r="BR4781" s="497">
        <v>84.02</v>
      </c>
      <c r="BT4781" s="42"/>
    </row>
    <row r="4782" spans="1:72" x14ac:dyDescent="0.25">
      <c r="A4782" s="90">
        <v>34533</v>
      </c>
      <c r="B4782" s="20">
        <v>0.5</v>
      </c>
      <c r="D4782">
        <v>73.039999999999992</v>
      </c>
      <c r="E4782" t="str">
        <f t="shared" si="184"/>
        <v>WEEKDAY</v>
      </c>
      <c r="F4782" t="e">
        <f t="shared" si="185"/>
        <v>#N/A</v>
      </c>
      <c r="G4782" s="74">
        <v>31976</v>
      </c>
      <c r="H4782" s="77">
        <v>0.5</v>
      </c>
      <c r="J4782">
        <v>84.92</v>
      </c>
      <c r="M4782" s="74">
        <v>33437</v>
      </c>
      <c r="N4782" s="77">
        <v>0.5</v>
      </c>
      <c r="P4782">
        <v>93.92</v>
      </c>
      <c r="S4782" s="74">
        <v>34533</v>
      </c>
      <c r="T4782" s="77">
        <v>0.5</v>
      </c>
      <c r="V4782">
        <v>75.02</v>
      </c>
      <c r="X4782" s="42"/>
      <c r="AB4782">
        <v>80.900000000000006</v>
      </c>
      <c r="AC4782">
        <v>71.960000000000008</v>
      </c>
      <c r="AE4782" s="74"/>
      <c r="AF4782" s="77"/>
      <c r="AH4782" s="497">
        <v>84.2</v>
      </c>
      <c r="AJ4782" s="42"/>
      <c r="AK4782" s="74"/>
      <c r="AL4782" s="77"/>
      <c r="AN4782" s="497">
        <v>73.94</v>
      </c>
      <c r="AP4782" s="42"/>
      <c r="AQ4782" s="74"/>
      <c r="AR4782" s="77"/>
      <c r="AT4782" s="497">
        <v>86.36</v>
      </c>
      <c r="AV4782" s="42"/>
      <c r="AW4782" s="74"/>
      <c r="AX4782" s="77"/>
      <c r="BA4782" s="497">
        <v>86</v>
      </c>
      <c r="BB4782" s="42"/>
      <c r="BC4782" s="74"/>
      <c r="BD4782" s="77"/>
      <c r="BF4782">
        <v>77</v>
      </c>
      <c r="BH4782" s="42"/>
      <c r="BI4782" s="74"/>
      <c r="BJ4782" s="77"/>
      <c r="BL4782" s="497">
        <v>78.080000000000013</v>
      </c>
      <c r="BN4782" s="42"/>
      <c r="BO4782" s="74"/>
      <c r="BP4782" s="77"/>
      <c r="BR4782" s="497">
        <v>84.92</v>
      </c>
      <c r="BT4782" s="42"/>
    </row>
    <row r="4783" spans="1:72" x14ac:dyDescent="0.25">
      <c r="A4783" s="90">
        <v>34533</v>
      </c>
      <c r="B4783" s="20">
        <v>0.54166666666666663</v>
      </c>
      <c r="D4783">
        <v>73.039999999999992</v>
      </c>
      <c r="E4783" t="str">
        <f t="shared" si="184"/>
        <v>WEEKDAY</v>
      </c>
      <c r="F4783" t="e">
        <f t="shared" si="185"/>
        <v>#N/A</v>
      </c>
      <c r="G4783" s="74">
        <v>31976</v>
      </c>
      <c r="H4783" s="77">
        <v>0.54166666666666663</v>
      </c>
      <c r="J4783">
        <v>87.080000000000013</v>
      </c>
      <c r="M4783" s="74">
        <v>33437</v>
      </c>
      <c r="N4783" s="77">
        <v>0.54166666666666663</v>
      </c>
      <c r="P4783">
        <v>95</v>
      </c>
      <c r="S4783" s="74">
        <v>34533</v>
      </c>
      <c r="T4783" s="77">
        <v>0.54166666666666663</v>
      </c>
      <c r="V4783">
        <v>75.92</v>
      </c>
      <c r="X4783" s="42"/>
      <c r="AB4783">
        <v>81.599999999999994</v>
      </c>
      <c r="AC4783">
        <v>71.960000000000008</v>
      </c>
      <c r="AE4783" s="74"/>
      <c r="AF4783" s="77"/>
      <c r="AH4783" s="497">
        <v>84.2</v>
      </c>
      <c r="AJ4783" s="42"/>
      <c r="AK4783" s="74"/>
      <c r="AL4783" s="77"/>
      <c r="AN4783" s="497">
        <v>75.92</v>
      </c>
      <c r="AP4783" s="42"/>
      <c r="AQ4783" s="74"/>
      <c r="AR4783" s="77"/>
      <c r="AT4783" s="497">
        <v>87.98</v>
      </c>
      <c r="AV4783" s="42"/>
      <c r="AW4783" s="74"/>
      <c r="AX4783" s="77"/>
      <c r="BA4783" s="497">
        <v>87.080000000000013</v>
      </c>
      <c r="BB4783" s="42"/>
      <c r="BC4783" s="74"/>
      <c r="BD4783" s="77"/>
      <c r="BF4783">
        <v>78.98</v>
      </c>
      <c r="BH4783" s="42"/>
      <c r="BI4783" s="74"/>
      <c r="BJ4783" s="77"/>
      <c r="BL4783" s="497">
        <v>75.92</v>
      </c>
      <c r="BN4783" s="42"/>
      <c r="BO4783" s="74"/>
      <c r="BP4783" s="77"/>
      <c r="BR4783" s="497">
        <v>86</v>
      </c>
      <c r="BT4783" s="42"/>
    </row>
    <row r="4784" spans="1:72" x14ac:dyDescent="0.25">
      <c r="A4784" s="90">
        <v>34533</v>
      </c>
      <c r="B4784" s="20">
        <v>0.58333333333333337</v>
      </c>
      <c r="D4784">
        <v>73.94</v>
      </c>
      <c r="E4784" t="str">
        <f t="shared" si="184"/>
        <v>WEEKDAY</v>
      </c>
      <c r="F4784" t="e">
        <f t="shared" si="185"/>
        <v>#N/A</v>
      </c>
      <c r="G4784" s="74">
        <v>31976</v>
      </c>
      <c r="H4784" s="77">
        <v>0.58333333333333337</v>
      </c>
      <c r="J4784">
        <v>87.98</v>
      </c>
      <c r="M4784" s="74">
        <v>33437</v>
      </c>
      <c r="N4784" s="77">
        <v>0.58333333333333337</v>
      </c>
      <c r="P4784">
        <v>96.08</v>
      </c>
      <c r="S4784" s="74">
        <v>34533</v>
      </c>
      <c r="T4784" s="77">
        <v>0.58333333333333337</v>
      </c>
      <c r="V4784">
        <v>77</v>
      </c>
      <c r="X4784" s="42"/>
      <c r="AB4784">
        <v>82.1</v>
      </c>
      <c r="AC4784">
        <v>73.94</v>
      </c>
      <c r="AE4784" s="74"/>
      <c r="AF4784" s="77"/>
      <c r="AH4784" s="497">
        <v>86</v>
      </c>
      <c r="AJ4784" s="42"/>
      <c r="AK4784" s="74"/>
      <c r="AL4784" s="77"/>
      <c r="AN4784" s="497">
        <v>77</v>
      </c>
      <c r="AP4784" s="42"/>
      <c r="AQ4784" s="74"/>
      <c r="AR4784" s="77"/>
      <c r="AT4784" s="497">
        <v>88.7</v>
      </c>
      <c r="AV4784" s="42"/>
      <c r="AW4784" s="74"/>
      <c r="AX4784" s="77"/>
      <c r="BA4784" s="497">
        <v>87.98</v>
      </c>
      <c r="BB4784" s="42"/>
      <c r="BC4784" s="74"/>
      <c r="BD4784" s="77"/>
      <c r="BF4784">
        <v>80.960000000000008</v>
      </c>
      <c r="BH4784" s="42"/>
      <c r="BI4784" s="74"/>
      <c r="BJ4784" s="77"/>
      <c r="BL4784" s="497">
        <v>77</v>
      </c>
      <c r="BN4784" s="42"/>
      <c r="BO4784" s="74"/>
      <c r="BP4784" s="77"/>
      <c r="BR4784" s="497">
        <v>86</v>
      </c>
      <c r="BT4784" s="42"/>
    </row>
    <row r="4785" spans="1:72" x14ac:dyDescent="0.25">
      <c r="A4785" s="90">
        <v>34533</v>
      </c>
      <c r="B4785" s="20">
        <v>0.625</v>
      </c>
      <c r="D4785">
        <v>75.02</v>
      </c>
      <c r="E4785" t="str">
        <f t="shared" si="184"/>
        <v>WEEKDAY</v>
      </c>
      <c r="F4785" t="e">
        <f t="shared" si="185"/>
        <v>#N/A</v>
      </c>
      <c r="G4785" s="74">
        <v>31976</v>
      </c>
      <c r="H4785" s="77">
        <v>0.625</v>
      </c>
      <c r="J4785">
        <v>89.06</v>
      </c>
      <c r="M4785" s="74">
        <v>33437</v>
      </c>
      <c r="N4785" s="77">
        <v>0.625</v>
      </c>
      <c r="P4785">
        <v>96.98</v>
      </c>
      <c r="S4785" s="74">
        <v>34533</v>
      </c>
      <c r="T4785" s="77">
        <v>0.625</v>
      </c>
      <c r="V4785">
        <v>77</v>
      </c>
      <c r="X4785" s="42"/>
      <c r="AB4785">
        <v>82</v>
      </c>
      <c r="AC4785">
        <v>75.02</v>
      </c>
      <c r="AE4785" s="74"/>
      <c r="AF4785" s="77"/>
      <c r="AH4785" s="497">
        <v>87.800000000000011</v>
      </c>
      <c r="AJ4785" s="42"/>
      <c r="AK4785" s="74"/>
      <c r="AL4785" s="77"/>
      <c r="AN4785" s="497">
        <v>78.080000000000013</v>
      </c>
      <c r="AP4785" s="42"/>
      <c r="AQ4785" s="74"/>
      <c r="AR4785" s="77"/>
      <c r="AT4785" s="497">
        <v>89.240000000000009</v>
      </c>
      <c r="AV4785" s="42"/>
      <c r="AW4785" s="74"/>
      <c r="AX4785" s="77"/>
      <c r="BA4785" s="497">
        <v>89.06</v>
      </c>
      <c r="BB4785" s="42"/>
      <c r="BC4785" s="74"/>
      <c r="BD4785" s="77"/>
      <c r="BF4785">
        <v>80.960000000000008</v>
      </c>
      <c r="BH4785" s="42"/>
      <c r="BI4785" s="74"/>
      <c r="BJ4785" s="77"/>
      <c r="BL4785" s="497">
        <v>78.080000000000013</v>
      </c>
      <c r="BN4785" s="42"/>
      <c r="BO4785" s="74"/>
      <c r="BP4785" s="77"/>
      <c r="BR4785" s="497">
        <v>87.080000000000013</v>
      </c>
      <c r="BT4785" s="42"/>
    </row>
    <row r="4786" spans="1:72" x14ac:dyDescent="0.25">
      <c r="A4786" s="90">
        <v>34533</v>
      </c>
      <c r="B4786" s="20">
        <v>0.66666666666666663</v>
      </c>
      <c r="D4786">
        <v>73.94</v>
      </c>
      <c r="E4786" t="str">
        <f t="shared" si="184"/>
        <v>WEEKDAY</v>
      </c>
      <c r="F4786" t="e">
        <f t="shared" si="185"/>
        <v>#N/A</v>
      </c>
      <c r="G4786" s="74">
        <v>31976</v>
      </c>
      <c r="H4786" s="77">
        <v>0.66666666666666663</v>
      </c>
      <c r="J4786">
        <v>89.06</v>
      </c>
      <c r="M4786" s="74">
        <v>33437</v>
      </c>
      <c r="N4786" s="77">
        <v>0.66666666666666663</v>
      </c>
      <c r="P4786">
        <v>96.98</v>
      </c>
      <c r="S4786" s="74">
        <v>34533</v>
      </c>
      <c r="T4786" s="77">
        <v>0.66666666666666663</v>
      </c>
      <c r="V4786">
        <v>75.02</v>
      </c>
      <c r="X4786" s="42"/>
      <c r="AB4786">
        <v>81.5</v>
      </c>
      <c r="AC4786">
        <v>75.02</v>
      </c>
      <c r="AE4786" s="74"/>
      <c r="AF4786" s="77"/>
      <c r="AH4786" s="497">
        <v>87.800000000000011</v>
      </c>
      <c r="AJ4786" s="42"/>
      <c r="AK4786" s="74"/>
      <c r="AL4786" s="77"/>
      <c r="AN4786" s="497">
        <v>78.080000000000013</v>
      </c>
      <c r="AP4786" s="42"/>
      <c r="AQ4786" s="74"/>
      <c r="AR4786" s="77"/>
      <c r="AT4786" s="497">
        <v>89.960000000000008</v>
      </c>
      <c r="AV4786" s="42"/>
      <c r="AW4786" s="74"/>
      <c r="AX4786" s="77"/>
      <c r="BA4786" s="497">
        <v>89.06</v>
      </c>
      <c r="BB4786" s="42"/>
      <c r="BC4786" s="74"/>
      <c r="BD4786" s="77"/>
      <c r="BF4786">
        <v>84.92</v>
      </c>
      <c r="BH4786" s="42"/>
      <c r="BI4786" s="74"/>
      <c r="BJ4786" s="77"/>
      <c r="BL4786" s="497">
        <v>78.98</v>
      </c>
      <c r="BN4786" s="42"/>
      <c r="BO4786" s="74"/>
      <c r="BP4786" s="77"/>
      <c r="BR4786" s="497">
        <v>84.92</v>
      </c>
      <c r="BT4786" s="42"/>
    </row>
    <row r="4787" spans="1:72" x14ac:dyDescent="0.25">
      <c r="A4787" s="90">
        <v>34533</v>
      </c>
      <c r="B4787" s="20">
        <v>0.70833333333333337</v>
      </c>
      <c r="D4787">
        <v>73.94</v>
      </c>
      <c r="E4787" t="str">
        <f t="shared" si="184"/>
        <v>WEEKDAY</v>
      </c>
      <c r="F4787" t="e">
        <f t="shared" si="185"/>
        <v>#N/A</v>
      </c>
      <c r="G4787" s="74">
        <v>31976</v>
      </c>
      <c r="H4787" s="77">
        <v>0.70833333333333337</v>
      </c>
      <c r="J4787">
        <v>87.98</v>
      </c>
      <c r="M4787" s="74">
        <v>33437</v>
      </c>
      <c r="N4787" s="77">
        <v>0.70833333333333337</v>
      </c>
      <c r="P4787">
        <v>95</v>
      </c>
      <c r="S4787" s="74">
        <v>34533</v>
      </c>
      <c r="T4787" s="77">
        <v>0.70833333333333337</v>
      </c>
      <c r="V4787">
        <v>75.02</v>
      </c>
      <c r="X4787" s="42"/>
      <c r="AB4787">
        <v>80.599999999999994</v>
      </c>
      <c r="AC4787">
        <v>75.02</v>
      </c>
      <c r="AE4787" s="74"/>
      <c r="AF4787" s="77"/>
      <c r="AH4787" s="497">
        <v>84.2</v>
      </c>
      <c r="AJ4787" s="42"/>
      <c r="AK4787" s="74"/>
      <c r="AL4787" s="77"/>
      <c r="AN4787" s="497">
        <v>78.080000000000013</v>
      </c>
      <c r="AP4787" s="42"/>
      <c r="AQ4787" s="74"/>
      <c r="AR4787" s="77"/>
      <c r="AT4787" s="497">
        <v>87.62</v>
      </c>
      <c r="AV4787" s="42"/>
      <c r="AW4787" s="74"/>
      <c r="AX4787" s="77"/>
      <c r="BA4787" s="497">
        <v>87.98</v>
      </c>
      <c r="BB4787" s="42"/>
      <c r="BC4787" s="74"/>
      <c r="BD4787" s="77"/>
      <c r="BF4787">
        <v>82.94</v>
      </c>
      <c r="BH4787" s="42"/>
      <c r="BI4787" s="74"/>
      <c r="BJ4787" s="77"/>
      <c r="BL4787" s="497">
        <v>78.98</v>
      </c>
      <c r="BN4787" s="42"/>
      <c r="BO4787" s="74"/>
      <c r="BP4787" s="77"/>
      <c r="BR4787" s="497">
        <v>84.02</v>
      </c>
      <c r="BT4787" s="42"/>
    </row>
    <row r="4788" spans="1:72" x14ac:dyDescent="0.25">
      <c r="A4788" s="90">
        <v>34533</v>
      </c>
      <c r="B4788" s="20">
        <v>0.75</v>
      </c>
      <c r="D4788">
        <v>73.94</v>
      </c>
      <c r="E4788" t="str">
        <f t="shared" si="184"/>
        <v>WEEKDAY</v>
      </c>
      <c r="F4788" t="e">
        <f t="shared" si="185"/>
        <v>#N/A</v>
      </c>
      <c r="G4788" s="74">
        <v>31976</v>
      </c>
      <c r="H4788" s="77">
        <v>0.75</v>
      </c>
      <c r="J4788">
        <v>86</v>
      </c>
      <c r="M4788" s="74">
        <v>33437</v>
      </c>
      <c r="N4788" s="77">
        <v>0.75</v>
      </c>
      <c r="P4788">
        <v>91.94</v>
      </c>
      <c r="S4788" s="74">
        <v>34533</v>
      </c>
      <c r="T4788" s="77">
        <v>0.75</v>
      </c>
      <c r="V4788">
        <v>73.94</v>
      </c>
      <c r="X4788" s="42"/>
      <c r="AB4788">
        <v>79.5</v>
      </c>
      <c r="AC4788">
        <v>73.94</v>
      </c>
      <c r="AE4788" s="74"/>
      <c r="AF4788" s="77"/>
      <c r="AH4788" s="497">
        <v>84.2</v>
      </c>
      <c r="AJ4788" s="42"/>
      <c r="AK4788" s="74"/>
      <c r="AL4788" s="77"/>
      <c r="AN4788" s="497">
        <v>77</v>
      </c>
      <c r="AP4788" s="42"/>
      <c r="AQ4788" s="74"/>
      <c r="AR4788" s="77"/>
      <c r="AT4788" s="497">
        <v>85.28</v>
      </c>
      <c r="AV4788" s="42"/>
      <c r="AW4788" s="74"/>
      <c r="AX4788" s="77"/>
      <c r="BA4788" s="497">
        <v>86</v>
      </c>
      <c r="BB4788" s="42"/>
      <c r="BC4788" s="74"/>
      <c r="BD4788" s="77"/>
      <c r="BF4788">
        <v>80.06</v>
      </c>
      <c r="BH4788" s="42"/>
      <c r="BI4788" s="74"/>
      <c r="BJ4788" s="77"/>
      <c r="BL4788" s="497">
        <v>78.080000000000013</v>
      </c>
      <c r="BN4788" s="42"/>
      <c r="BO4788" s="74"/>
      <c r="BP4788" s="77"/>
      <c r="BR4788" s="497">
        <v>82.039999999999992</v>
      </c>
      <c r="BT4788" s="42"/>
    </row>
    <row r="4789" spans="1:72" x14ac:dyDescent="0.25">
      <c r="A4789" s="90">
        <v>34533</v>
      </c>
      <c r="B4789" s="20">
        <v>0.79166666666666663</v>
      </c>
      <c r="D4789">
        <v>73.039999999999992</v>
      </c>
      <c r="E4789" t="str">
        <f t="shared" si="184"/>
        <v>WEEKDAY</v>
      </c>
      <c r="F4789" t="e">
        <f t="shared" si="185"/>
        <v>#N/A</v>
      </c>
      <c r="G4789" s="74">
        <v>31976</v>
      </c>
      <c r="H4789" s="77">
        <v>0.79166666666666663</v>
      </c>
      <c r="J4789">
        <v>86</v>
      </c>
      <c r="M4789" s="74">
        <v>33437</v>
      </c>
      <c r="N4789" s="77">
        <v>0.79166666666666663</v>
      </c>
      <c r="P4789">
        <v>89.06</v>
      </c>
      <c r="S4789" s="74">
        <v>34533</v>
      </c>
      <c r="T4789" s="77">
        <v>0.79166666666666663</v>
      </c>
      <c r="V4789">
        <v>73.039999999999992</v>
      </c>
      <c r="X4789" s="42"/>
      <c r="AB4789">
        <v>78.099999999999994</v>
      </c>
      <c r="AC4789">
        <v>73.039999999999992</v>
      </c>
      <c r="AE4789" s="74"/>
      <c r="AF4789" s="77"/>
      <c r="AH4789" s="497">
        <v>80.599999999999994</v>
      </c>
      <c r="AJ4789" s="42"/>
      <c r="AK4789" s="74"/>
      <c r="AL4789" s="77"/>
      <c r="AN4789" s="497">
        <v>73.039999999999992</v>
      </c>
      <c r="AP4789" s="42"/>
      <c r="AQ4789" s="74"/>
      <c r="AR4789" s="77"/>
      <c r="AT4789" s="497">
        <v>82.94</v>
      </c>
      <c r="AV4789" s="42"/>
      <c r="AW4789" s="74"/>
      <c r="AX4789" s="77"/>
      <c r="BA4789" s="497">
        <v>82.94</v>
      </c>
      <c r="BB4789" s="42"/>
      <c r="BC4789" s="74"/>
      <c r="BD4789" s="77"/>
      <c r="BF4789">
        <v>78.080000000000013</v>
      </c>
      <c r="BH4789" s="42"/>
      <c r="BI4789" s="74"/>
      <c r="BJ4789" s="77"/>
      <c r="BL4789" s="497">
        <v>75.02</v>
      </c>
      <c r="BN4789" s="42"/>
      <c r="BO4789" s="74"/>
      <c r="BP4789" s="77"/>
      <c r="BR4789" s="497">
        <v>80.06</v>
      </c>
      <c r="BT4789" s="42"/>
    </row>
    <row r="4790" spans="1:72" x14ac:dyDescent="0.25">
      <c r="A4790" s="90">
        <v>34533</v>
      </c>
      <c r="B4790" s="20">
        <v>0.83333333333333337</v>
      </c>
      <c r="D4790">
        <v>69.98</v>
      </c>
      <c r="E4790" t="str">
        <f t="shared" si="184"/>
        <v>WEEKDAY</v>
      </c>
      <c r="F4790" t="e">
        <f t="shared" si="185"/>
        <v>#N/A</v>
      </c>
      <c r="G4790" s="74">
        <v>31976</v>
      </c>
      <c r="H4790" s="77">
        <v>0.83333333333333337</v>
      </c>
      <c r="J4790">
        <v>84.92</v>
      </c>
      <c r="M4790" s="74">
        <v>33437</v>
      </c>
      <c r="N4790" s="77">
        <v>0.83333333333333337</v>
      </c>
      <c r="P4790">
        <v>86</v>
      </c>
      <c r="S4790" s="74">
        <v>34533</v>
      </c>
      <c r="T4790" s="77">
        <v>0.83333333333333337</v>
      </c>
      <c r="V4790">
        <v>71.960000000000008</v>
      </c>
      <c r="X4790" s="42"/>
      <c r="AB4790">
        <v>76.7</v>
      </c>
      <c r="AC4790">
        <v>71.06</v>
      </c>
      <c r="AE4790" s="74"/>
      <c r="AF4790" s="77"/>
      <c r="AH4790" s="497">
        <v>77</v>
      </c>
      <c r="AJ4790" s="42"/>
      <c r="AK4790" s="74"/>
      <c r="AL4790" s="77"/>
      <c r="AN4790" s="497">
        <v>73.039999999999992</v>
      </c>
      <c r="AP4790" s="42"/>
      <c r="AQ4790" s="74"/>
      <c r="AR4790" s="77"/>
      <c r="AT4790" s="497">
        <v>80.240000000000009</v>
      </c>
      <c r="AV4790" s="42"/>
      <c r="AW4790" s="74"/>
      <c r="AX4790" s="77"/>
      <c r="BA4790" s="497">
        <v>80.960000000000008</v>
      </c>
      <c r="BB4790" s="42"/>
      <c r="BC4790" s="74"/>
      <c r="BD4790" s="77"/>
      <c r="BF4790">
        <v>75.02</v>
      </c>
      <c r="BH4790" s="42"/>
      <c r="BI4790" s="74"/>
      <c r="BJ4790" s="77"/>
      <c r="BL4790" s="497">
        <v>73.94</v>
      </c>
      <c r="BN4790" s="42"/>
      <c r="BO4790" s="74"/>
      <c r="BP4790" s="77"/>
      <c r="BR4790" s="497">
        <v>78.98</v>
      </c>
      <c r="BT4790" s="42"/>
    </row>
    <row r="4791" spans="1:72" x14ac:dyDescent="0.25">
      <c r="A4791" s="90">
        <v>34533</v>
      </c>
      <c r="B4791" s="20">
        <v>0.875</v>
      </c>
      <c r="D4791">
        <v>73.039999999999992</v>
      </c>
      <c r="E4791" t="str">
        <f t="shared" si="184"/>
        <v>WEEKDAY</v>
      </c>
      <c r="F4791" t="e">
        <f t="shared" si="185"/>
        <v>#N/A</v>
      </c>
      <c r="G4791" s="74">
        <v>31976</v>
      </c>
      <c r="H4791" s="77">
        <v>0.875</v>
      </c>
      <c r="J4791">
        <v>84.02</v>
      </c>
      <c r="M4791" s="74">
        <v>33437</v>
      </c>
      <c r="N4791" s="77">
        <v>0.875</v>
      </c>
      <c r="P4791">
        <v>84.92</v>
      </c>
      <c r="S4791" s="74">
        <v>34533</v>
      </c>
      <c r="T4791" s="77">
        <v>0.875</v>
      </c>
      <c r="V4791">
        <v>71.960000000000008</v>
      </c>
      <c r="X4791" s="42"/>
      <c r="AB4791">
        <v>75.599999999999994</v>
      </c>
      <c r="AC4791">
        <v>69.98</v>
      </c>
      <c r="AE4791" s="74"/>
      <c r="AF4791" s="77"/>
      <c r="AH4791" s="497">
        <v>75.2</v>
      </c>
      <c r="AJ4791" s="42"/>
      <c r="AK4791" s="74"/>
      <c r="AL4791" s="77"/>
      <c r="AN4791" s="497">
        <v>71.960000000000008</v>
      </c>
      <c r="AP4791" s="42"/>
      <c r="AQ4791" s="74"/>
      <c r="AR4791" s="77"/>
      <c r="AT4791" s="497">
        <v>77.72</v>
      </c>
      <c r="AV4791" s="42"/>
      <c r="AW4791" s="74"/>
      <c r="AX4791" s="77"/>
      <c r="BA4791" s="497">
        <v>77</v>
      </c>
      <c r="BB4791" s="42"/>
      <c r="BC4791" s="74"/>
      <c r="BD4791" s="77"/>
      <c r="BF4791">
        <v>73.94</v>
      </c>
      <c r="BH4791" s="42"/>
      <c r="BI4791" s="74"/>
      <c r="BJ4791" s="77"/>
      <c r="BL4791" s="497">
        <v>66.92</v>
      </c>
      <c r="BN4791" s="42"/>
      <c r="BO4791" s="74"/>
      <c r="BP4791" s="77"/>
      <c r="BR4791" s="497">
        <v>78.080000000000013</v>
      </c>
      <c r="BT4791" s="42"/>
    </row>
    <row r="4792" spans="1:72" x14ac:dyDescent="0.25">
      <c r="A4792" s="90">
        <v>34533</v>
      </c>
      <c r="B4792" s="20">
        <v>0.91666666666666663</v>
      </c>
      <c r="D4792">
        <v>73.94</v>
      </c>
      <c r="E4792" t="str">
        <f t="shared" si="184"/>
        <v>WEEKDAY</v>
      </c>
      <c r="F4792" t="e">
        <f t="shared" si="185"/>
        <v>#N/A</v>
      </c>
      <c r="G4792" s="74">
        <v>31976</v>
      </c>
      <c r="H4792" s="77">
        <v>0.91666666666666663</v>
      </c>
      <c r="J4792">
        <v>82.039999999999992</v>
      </c>
      <c r="M4792" s="74">
        <v>33437</v>
      </c>
      <c r="N4792" s="77">
        <v>0.91666666666666663</v>
      </c>
      <c r="P4792">
        <v>82.94</v>
      </c>
      <c r="S4792" s="74">
        <v>34533</v>
      </c>
      <c r="T4792" s="77">
        <v>0.91666666666666663</v>
      </c>
      <c r="V4792">
        <v>71.960000000000008</v>
      </c>
      <c r="X4792" s="42"/>
      <c r="AB4792">
        <v>75.099999999999994</v>
      </c>
      <c r="AC4792">
        <v>69.080000000000013</v>
      </c>
      <c r="AE4792" s="74"/>
      <c r="AF4792" s="77"/>
      <c r="AH4792" s="497">
        <v>71.599999999999994</v>
      </c>
      <c r="AJ4792" s="42"/>
      <c r="AK4792" s="74"/>
      <c r="AL4792" s="77"/>
      <c r="AN4792" s="497">
        <v>69.98</v>
      </c>
      <c r="AP4792" s="42"/>
      <c r="AQ4792" s="74"/>
      <c r="AR4792" s="77"/>
      <c r="AT4792" s="497">
        <v>75.02</v>
      </c>
      <c r="AV4792" s="42"/>
      <c r="AW4792" s="74"/>
      <c r="AX4792" s="77"/>
      <c r="BA4792" s="497">
        <v>75.92</v>
      </c>
      <c r="BB4792" s="42"/>
      <c r="BC4792" s="74"/>
      <c r="BD4792" s="77"/>
      <c r="BF4792">
        <v>73.039999999999992</v>
      </c>
      <c r="BH4792" s="42"/>
      <c r="BI4792" s="74"/>
      <c r="BJ4792" s="77"/>
      <c r="BL4792" s="497">
        <v>66.92</v>
      </c>
      <c r="BN4792" s="42"/>
      <c r="BO4792" s="74"/>
      <c r="BP4792" s="77"/>
      <c r="BR4792" s="497">
        <v>75.02</v>
      </c>
      <c r="BT4792" s="42"/>
    </row>
    <row r="4793" spans="1:72" x14ac:dyDescent="0.25">
      <c r="A4793" s="90">
        <v>34533</v>
      </c>
      <c r="B4793" s="20">
        <v>0.95833333333333337</v>
      </c>
      <c r="D4793">
        <v>73.039999999999992</v>
      </c>
      <c r="E4793" t="str">
        <f t="shared" si="184"/>
        <v>WEEKDAY</v>
      </c>
      <c r="F4793" t="e">
        <f t="shared" si="185"/>
        <v>#N/A</v>
      </c>
      <c r="G4793" s="74">
        <v>31976</v>
      </c>
      <c r="H4793" s="77">
        <v>0.95833333333333337</v>
      </c>
      <c r="J4793">
        <v>80.960000000000008</v>
      </c>
      <c r="M4793" s="74">
        <v>33437</v>
      </c>
      <c r="N4793" s="77">
        <v>0.95833333333333337</v>
      </c>
      <c r="P4793">
        <v>80.06</v>
      </c>
      <c r="S4793" s="74">
        <v>34533</v>
      </c>
      <c r="T4793" s="77">
        <v>0.95833333333333337</v>
      </c>
      <c r="V4793">
        <v>71.960000000000008</v>
      </c>
      <c r="X4793" s="42"/>
      <c r="AB4793">
        <v>74.599999999999994</v>
      </c>
      <c r="AC4793">
        <v>68</v>
      </c>
      <c r="AE4793" s="74"/>
      <c r="AF4793" s="77"/>
      <c r="AH4793" s="497">
        <v>71.599999999999994</v>
      </c>
      <c r="AJ4793" s="42"/>
      <c r="AK4793" s="74"/>
      <c r="AL4793" s="77"/>
      <c r="AN4793" s="497">
        <v>68</v>
      </c>
      <c r="AP4793" s="42"/>
      <c r="AQ4793" s="74"/>
      <c r="AR4793" s="77"/>
      <c r="AT4793" s="497">
        <v>73.400000000000006</v>
      </c>
      <c r="AV4793" s="42"/>
      <c r="AW4793" s="74"/>
      <c r="AX4793" s="77"/>
      <c r="BA4793" s="497">
        <v>73.94</v>
      </c>
      <c r="BB4793" s="42"/>
      <c r="BC4793" s="74"/>
      <c r="BD4793" s="77"/>
      <c r="BF4793">
        <v>71.960000000000008</v>
      </c>
      <c r="BH4793" s="42"/>
      <c r="BI4793" s="74"/>
      <c r="BJ4793" s="77"/>
      <c r="BL4793" s="497">
        <v>62.06</v>
      </c>
      <c r="BN4793" s="42"/>
      <c r="BO4793" s="74"/>
      <c r="BP4793" s="77"/>
      <c r="BR4793" s="497">
        <v>75.02</v>
      </c>
      <c r="BT4793" s="42"/>
    </row>
    <row r="4794" spans="1:72" x14ac:dyDescent="0.25">
      <c r="A4794" s="90">
        <v>34533</v>
      </c>
      <c r="B4794" s="20">
        <v>1</v>
      </c>
      <c r="D4794">
        <v>73.94</v>
      </c>
      <c r="E4794" t="str">
        <f t="shared" si="184"/>
        <v>WEEKDAY</v>
      </c>
      <c r="F4794" t="e">
        <f t="shared" si="185"/>
        <v>#N/A</v>
      </c>
      <c r="G4794" s="74">
        <v>31976</v>
      </c>
      <c r="H4794" s="77">
        <v>1</v>
      </c>
      <c r="J4794">
        <v>80.06</v>
      </c>
      <c r="M4794" s="74">
        <v>33437</v>
      </c>
      <c r="N4794" s="80">
        <v>1</v>
      </c>
      <c r="P4794">
        <v>80.06</v>
      </c>
      <c r="S4794" s="74">
        <v>34533</v>
      </c>
      <c r="T4794" s="80">
        <v>1</v>
      </c>
      <c r="V4794">
        <v>71.960000000000008</v>
      </c>
      <c r="X4794" s="42"/>
      <c r="AB4794">
        <v>74.099999999999994</v>
      </c>
      <c r="AC4794">
        <v>66.92</v>
      </c>
      <c r="AE4794" s="74"/>
      <c r="AF4794" s="80"/>
      <c r="AH4794" s="497">
        <v>69.800000000000011</v>
      </c>
      <c r="AJ4794" s="42"/>
      <c r="AK4794" s="74"/>
      <c r="AL4794" s="80"/>
      <c r="AN4794" s="497">
        <v>66.92</v>
      </c>
      <c r="AP4794" s="42"/>
      <c r="AQ4794" s="74"/>
      <c r="AR4794" s="80"/>
      <c r="AT4794" s="497">
        <v>71.599999999999994</v>
      </c>
      <c r="AV4794" s="42"/>
      <c r="AW4794" s="74"/>
      <c r="AX4794" s="80"/>
      <c r="BA4794" s="497">
        <v>75.92</v>
      </c>
      <c r="BB4794" s="42"/>
      <c r="BC4794" s="74"/>
      <c r="BD4794" s="80"/>
      <c r="BF4794">
        <v>71.06</v>
      </c>
      <c r="BH4794" s="42"/>
      <c r="BI4794" s="74"/>
      <c r="BJ4794" s="80"/>
      <c r="BL4794" s="497">
        <v>62.06</v>
      </c>
      <c r="BN4794" s="42"/>
      <c r="BO4794" s="74"/>
      <c r="BP4794" s="80"/>
      <c r="BR4794" s="497">
        <v>75.02</v>
      </c>
      <c r="BT4794" s="42"/>
    </row>
    <row r="4795" spans="1:72" x14ac:dyDescent="0.25">
      <c r="A4795" s="90">
        <v>34534</v>
      </c>
      <c r="B4795" s="20">
        <v>4.1666666666666664E-2</v>
      </c>
      <c r="D4795">
        <v>73.039999999999992</v>
      </c>
      <c r="E4795" t="str">
        <f t="shared" si="184"/>
        <v>WEEKDAY</v>
      </c>
      <c r="F4795" t="e">
        <f t="shared" si="185"/>
        <v>#N/A</v>
      </c>
      <c r="G4795" s="74">
        <v>31977</v>
      </c>
      <c r="H4795" s="77">
        <v>4.1666666666666664E-2</v>
      </c>
      <c r="J4795">
        <v>78.98</v>
      </c>
      <c r="M4795" s="74">
        <v>33438</v>
      </c>
      <c r="N4795" s="77">
        <v>4.1666666666666664E-2</v>
      </c>
      <c r="P4795">
        <v>80.06</v>
      </c>
      <c r="S4795" s="74">
        <v>34534</v>
      </c>
      <c r="T4795" s="77">
        <v>4.1666666666666664E-2</v>
      </c>
      <c r="V4795">
        <v>73.039999999999992</v>
      </c>
      <c r="X4795" s="42"/>
      <c r="AB4795">
        <v>73.5</v>
      </c>
      <c r="AC4795">
        <v>66.92</v>
      </c>
      <c r="AE4795" s="74"/>
      <c r="AF4795" s="77"/>
      <c r="AH4795" s="497">
        <v>69.800000000000011</v>
      </c>
      <c r="AJ4795" s="42"/>
      <c r="AK4795" s="74"/>
      <c r="AL4795" s="77"/>
      <c r="AN4795" s="497">
        <v>66.92</v>
      </c>
      <c r="AP4795" s="42"/>
      <c r="AQ4795" s="74"/>
      <c r="AR4795" s="77"/>
      <c r="AT4795" s="497">
        <v>69.98</v>
      </c>
      <c r="AV4795" s="42"/>
      <c r="AW4795" s="74"/>
      <c r="AX4795" s="77"/>
      <c r="BA4795" s="497">
        <v>75.02</v>
      </c>
      <c r="BB4795" s="42"/>
      <c r="BC4795" s="74"/>
      <c r="BD4795" s="77"/>
      <c r="BF4795">
        <v>69.98</v>
      </c>
      <c r="BH4795" s="42"/>
      <c r="BI4795" s="74"/>
      <c r="BJ4795" s="77"/>
      <c r="BL4795" s="497">
        <v>59</v>
      </c>
      <c r="BN4795" s="42"/>
      <c r="BO4795" s="74"/>
      <c r="BP4795" s="77"/>
      <c r="BR4795" s="497">
        <v>73.94</v>
      </c>
      <c r="BT4795" s="42"/>
    </row>
    <row r="4796" spans="1:72" x14ac:dyDescent="0.25">
      <c r="A4796" s="90">
        <v>34534</v>
      </c>
      <c r="B4796" s="20">
        <v>8.3333333333333329E-2</v>
      </c>
      <c r="D4796">
        <v>71.960000000000008</v>
      </c>
      <c r="E4796" t="str">
        <f t="shared" si="184"/>
        <v>WEEKDAY</v>
      </c>
      <c r="F4796" t="e">
        <f t="shared" si="185"/>
        <v>#N/A</v>
      </c>
      <c r="G4796" s="74">
        <v>31977</v>
      </c>
      <c r="H4796" s="77">
        <v>8.3333333333333329E-2</v>
      </c>
      <c r="J4796">
        <v>77</v>
      </c>
      <c r="M4796" s="74">
        <v>33438</v>
      </c>
      <c r="N4796" s="77">
        <v>8.3333333333333329E-2</v>
      </c>
      <c r="P4796">
        <v>73.94</v>
      </c>
      <c r="S4796" s="74">
        <v>34534</v>
      </c>
      <c r="T4796" s="77">
        <v>8.3333333333333329E-2</v>
      </c>
      <c r="V4796">
        <v>71.06</v>
      </c>
      <c r="X4796" s="42"/>
      <c r="AB4796">
        <v>72.900000000000006</v>
      </c>
      <c r="AC4796">
        <v>68</v>
      </c>
      <c r="AE4796" s="74"/>
      <c r="AF4796" s="77"/>
      <c r="AH4796" s="497">
        <v>69.800000000000011</v>
      </c>
      <c r="AJ4796" s="42"/>
      <c r="AK4796" s="74"/>
      <c r="AL4796" s="77"/>
      <c r="AN4796" s="497">
        <v>64.94</v>
      </c>
      <c r="AP4796" s="42"/>
      <c r="AQ4796" s="74"/>
      <c r="AR4796" s="77"/>
      <c r="AT4796" s="497">
        <v>69.259999999999991</v>
      </c>
      <c r="AV4796" s="42"/>
      <c r="AW4796" s="74"/>
      <c r="AX4796" s="77"/>
      <c r="BA4796" s="497">
        <v>73.039999999999992</v>
      </c>
      <c r="BB4796" s="42"/>
      <c r="BC4796" s="74"/>
      <c r="BD4796" s="77"/>
      <c r="BF4796">
        <v>69.98</v>
      </c>
      <c r="BH4796" s="42"/>
      <c r="BI4796" s="74"/>
      <c r="BJ4796" s="77"/>
      <c r="BL4796" s="497">
        <v>57.92</v>
      </c>
      <c r="BN4796" s="42"/>
      <c r="BO4796" s="74"/>
      <c r="BP4796" s="77"/>
      <c r="BR4796" s="497">
        <v>73.039999999999992</v>
      </c>
      <c r="BT4796" s="42"/>
    </row>
    <row r="4797" spans="1:72" x14ac:dyDescent="0.25">
      <c r="A4797" s="90">
        <v>34534</v>
      </c>
      <c r="B4797" s="20">
        <v>0.125</v>
      </c>
      <c r="D4797">
        <v>71.960000000000008</v>
      </c>
      <c r="E4797" t="str">
        <f t="shared" si="184"/>
        <v>WEEKDAY</v>
      </c>
      <c r="F4797" t="e">
        <f t="shared" si="185"/>
        <v>#N/A</v>
      </c>
      <c r="G4797" s="74">
        <v>31977</v>
      </c>
      <c r="H4797" s="77">
        <v>0.125</v>
      </c>
      <c r="J4797">
        <v>77</v>
      </c>
      <c r="M4797" s="74">
        <v>33438</v>
      </c>
      <c r="N4797" s="77">
        <v>0.125</v>
      </c>
      <c r="P4797">
        <v>71.960000000000008</v>
      </c>
      <c r="S4797" s="74">
        <v>34534</v>
      </c>
      <c r="T4797" s="77">
        <v>0.125</v>
      </c>
      <c r="V4797">
        <v>71.06</v>
      </c>
      <c r="X4797" s="42"/>
      <c r="AB4797">
        <v>72.400000000000006</v>
      </c>
      <c r="AC4797">
        <v>68</v>
      </c>
      <c r="AE4797" s="74"/>
      <c r="AF4797" s="77"/>
      <c r="AH4797" s="497">
        <v>70.52</v>
      </c>
      <c r="AJ4797" s="42"/>
      <c r="AK4797" s="74"/>
      <c r="AL4797" s="77"/>
      <c r="AN4797" s="497">
        <v>64.039999999999992</v>
      </c>
      <c r="AP4797" s="42"/>
      <c r="AQ4797" s="74"/>
      <c r="AR4797" s="77"/>
      <c r="AT4797" s="497">
        <v>68.72</v>
      </c>
      <c r="AV4797" s="42"/>
      <c r="AW4797" s="74"/>
      <c r="AX4797" s="77"/>
      <c r="BA4797" s="497">
        <v>73.039999999999992</v>
      </c>
      <c r="BB4797" s="42"/>
      <c r="BC4797" s="74"/>
      <c r="BD4797" s="77"/>
      <c r="BF4797">
        <v>71.06</v>
      </c>
      <c r="BH4797" s="42"/>
      <c r="BI4797" s="74"/>
      <c r="BJ4797" s="77"/>
      <c r="BL4797" s="497">
        <v>57.92</v>
      </c>
      <c r="BN4797" s="42"/>
      <c r="BO4797" s="74"/>
      <c r="BP4797" s="77"/>
      <c r="BR4797" s="497">
        <v>71.960000000000008</v>
      </c>
      <c r="BT4797" s="42"/>
    </row>
    <row r="4798" spans="1:72" x14ac:dyDescent="0.25">
      <c r="A4798" s="90">
        <v>34534</v>
      </c>
      <c r="B4798" s="20">
        <v>0.16666666666666666</v>
      </c>
      <c r="D4798">
        <v>71.960000000000008</v>
      </c>
      <c r="E4798" t="str">
        <f t="shared" si="184"/>
        <v>WEEKDAY</v>
      </c>
      <c r="F4798" t="e">
        <f t="shared" si="185"/>
        <v>#N/A</v>
      </c>
      <c r="G4798" s="74">
        <v>31977</v>
      </c>
      <c r="H4798" s="77">
        <v>0.16666666666666666</v>
      </c>
      <c r="J4798">
        <v>75.92</v>
      </c>
      <c r="M4798" s="74">
        <v>33438</v>
      </c>
      <c r="N4798" s="77">
        <v>0.16666666666666666</v>
      </c>
      <c r="P4798">
        <v>71.960000000000008</v>
      </c>
      <c r="S4798" s="74">
        <v>34534</v>
      </c>
      <c r="T4798" s="77">
        <v>0.16666666666666666</v>
      </c>
      <c r="V4798">
        <v>71.06</v>
      </c>
      <c r="X4798" s="42"/>
      <c r="AB4798">
        <v>71.900000000000006</v>
      </c>
      <c r="AC4798">
        <v>69.98</v>
      </c>
      <c r="AE4798" s="74"/>
      <c r="AF4798" s="77"/>
      <c r="AH4798" s="497">
        <v>71.599999999999994</v>
      </c>
      <c r="AJ4798" s="42"/>
      <c r="AK4798" s="74"/>
      <c r="AL4798" s="77"/>
      <c r="AN4798" s="497">
        <v>60.980000000000004</v>
      </c>
      <c r="AP4798" s="42"/>
      <c r="AQ4798" s="74"/>
      <c r="AR4798" s="77"/>
      <c r="AT4798" s="497">
        <v>68</v>
      </c>
      <c r="AV4798" s="42"/>
      <c r="AW4798" s="74"/>
      <c r="AX4798" s="77"/>
      <c r="BA4798" s="497">
        <v>71.960000000000008</v>
      </c>
      <c r="BB4798" s="42"/>
      <c r="BC4798" s="74"/>
      <c r="BD4798" s="77"/>
      <c r="BF4798">
        <v>71.06</v>
      </c>
      <c r="BH4798" s="42"/>
      <c r="BI4798" s="74"/>
      <c r="BJ4798" s="77"/>
      <c r="BL4798" s="497">
        <v>59</v>
      </c>
      <c r="BN4798" s="42"/>
      <c r="BO4798" s="74"/>
      <c r="BP4798" s="77"/>
      <c r="BR4798" s="497">
        <v>71.06</v>
      </c>
      <c r="BT4798" s="42"/>
    </row>
    <row r="4799" spans="1:72" x14ac:dyDescent="0.25">
      <c r="A4799" s="90">
        <v>34534</v>
      </c>
      <c r="B4799" s="20">
        <v>0.20833333333333334</v>
      </c>
      <c r="D4799">
        <v>73.039999999999992</v>
      </c>
      <c r="E4799" t="str">
        <f t="shared" si="184"/>
        <v>WEEKDAY</v>
      </c>
      <c r="F4799" t="e">
        <f t="shared" si="185"/>
        <v>#N/A</v>
      </c>
      <c r="G4799" s="74">
        <v>31977</v>
      </c>
      <c r="H4799" s="77">
        <v>0.20833333333333334</v>
      </c>
      <c r="J4799">
        <v>75.92</v>
      </c>
      <c r="M4799" s="74">
        <v>33438</v>
      </c>
      <c r="N4799" s="77">
        <v>0.20833333333333334</v>
      </c>
      <c r="P4799">
        <v>69.98</v>
      </c>
      <c r="S4799" s="74">
        <v>34534</v>
      </c>
      <c r="T4799" s="77">
        <v>0.20833333333333334</v>
      </c>
      <c r="V4799">
        <v>71.06</v>
      </c>
      <c r="X4799" s="42"/>
      <c r="AB4799">
        <v>71.400000000000006</v>
      </c>
      <c r="AC4799">
        <v>68</v>
      </c>
      <c r="AE4799" s="74"/>
      <c r="AF4799" s="77"/>
      <c r="AH4799" s="497">
        <v>71.599999999999994</v>
      </c>
      <c r="AJ4799" s="42"/>
      <c r="AK4799" s="74"/>
      <c r="AL4799" s="77"/>
      <c r="AN4799" s="497">
        <v>62.96</v>
      </c>
      <c r="AP4799" s="42"/>
      <c r="AQ4799" s="74"/>
      <c r="AR4799" s="77"/>
      <c r="AT4799" s="497">
        <v>70.34</v>
      </c>
      <c r="AV4799" s="42"/>
      <c r="AW4799" s="74"/>
      <c r="AX4799" s="77"/>
      <c r="BA4799" s="497">
        <v>69.080000000000013</v>
      </c>
      <c r="BB4799" s="42"/>
      <c r="BC4799" s="74"/>
      <c r="BD4799" s="77"/>
      <c r="BF4799">
        <v>71.960000000000008</v>
      </c>
      <c r="BH4799" s="42"/>
      <c r="BI4799" s="74"/>
      <c r="BJ4799" s="77"/>
      <c r="BL4799" s="497">
        <v>57.92</v>
      </c>
      <c r="BN4799" s="42"/>
      <c r="BO4799" s="74"/>
      <c r="BP4799" s="77"/>
      <c r="BR4799" s="497">
        <v>69.98</v>
      </c>
      <c r="BT4799" s="42"/>
    </row>
    <row r="4800" spans="1:72" x14ac:dyDescent="0.25">
      <c r="A4800" s="90">
        <v>34534</v>
      </c>
      <c r="B4800" s="20">
        <v>0.25</v>
      </c>
      <c r="D4800">
        <v>73.94</v>
      </c>
      <c r="E4800" t="str">
        <f t="shared" si="184"/>
        <v>WEEKDAY</v>
      </c>
      <c r="F4800" t="e">
        <f t="shared" si="185"/>
        <v>#N/A</v>
      </c>
      <c r="G4800" s="74">
        <v>31977</v>
      </c>
      <c r="H4800" s="77">
        <v>0.25</v>
      </c>
      <c r="J4800">
        <v>77</v>
      </c>
      <c r="M4800" s="74">
        <v>33438</v>
      </c>
      <c r="N4800" s="77">
        <v>0.25</v>
      </c>
      <c r="P4800">
        <v>73.94</v>
      </c>
      <c r="S4800" s="74">
        <v>34534</v>
      </c>
      <c r="T4800" s="77">
        <v>0.25</v>
      </c>
      <c r="V4800">
        <v>71.960000000000008</v>
      </c>
      <c r="X4800" s="42"/>
      <c r="AB4800">
        <v>71.099999999999994</v>
      </c>
      <c r="AC4800">
        <v>69.98</v>
      </c>
      <c r="AE4800" s="74"/>
      <c r="AF4800" s="77"/>
      <c r="AH4800" s="497">
        <v>71.599999999999994</v>
      </c>
      <c r="AJ4800" s="42"/>
      <c r="AK4800" s="74"/>
      <c r="AL4800" s="77"/>
      <c r="AN4800" s="497">
        <v>64.039999999999992</v>
      </c>
      <c r="AP4800" s="42"/>
      <c r="AQ4800" s="74"/>
      <c r="AR4800" s="77"/>
      <c r="AT4800" s="497">
        <v>72.680000000000007</v>
      </c>
      <c r="AV4800" s="42"/>
      <c r="AW4800" s="74"/>
      <c r="AX4800" s="77"/>
      <c r="BA4800" s="497">
        <v>71.960000000000008</v>
      </c>
      <c r="BB4800" s="42"/>
      <c r="BC4800" s="74"/>
      <c r="BD4800" s="77"/>
      <c r="BF4800">
        <v>71.960000000000008</v>
      </c>
      <c r="BH4800" s="42"/>
      <c r="BI4800" s="74"/>
      <c r="BJ4800" s="77"/>
      <c r="BL4800" s="497">
        <v>60.08</v>
      </c>
      <c r="BN4800" s="42"/>
      <c r="BO4800" s="74"/>
      <c r="BP4800" s="77"/>
      <c r="BR4800" s="497">
        <v>69.98</v>
      </c>
      <c r="BT4800" s="42"/>
    </row>
    <row r="4801" spans="1:72" x14ac:dyDescent="0.25">
      <c r="A4801" s="90">
        <v>34534</v>
      </c>
      <c r="B4801" s="20">
        <v>0.29166666666666669</v>
      </c>
      <c r="D4801">
        <v>75.92</v>
      </c>
      <c r="E4801" t="str">
        <f t="shared" si="184"/>
        <v>WEEKDAY</v>
      </c>
      <c r="F4801" t="e">
        <f t="shared" si="185"/>
        <v>#N/A</v>
      </c>
      <c r="G4801" s="74">
        <v>31977</v>
      </c>
      <c r="H4801" s="77">
        <v>0.29166666666666669</v>
      </c>
      <c r="J4801">
        <v>78.080000000000013</v>
      </c>
      <c r="M4801" s="74">
        <v>33438</v>
      </c>
      <c r="N4801" s="77">
        <v>0.29166666666666669</v>
      </c>
      <c r="P4801">
        <v>78.98</v>
      </c>
      <c r="S4801" s="74">
        <v>34534</v>
      </c>
      <c r="T4801" s="77">
        <v>0.29166666666666669</v>
      </c>
      <c r="V4801">
        <v>73.94</v>
      </c>
      <c r="X4801" s="42"/>
      <c r="AB4801">
        <v>72.5</v>
      </c>
      <c r="AC4801">
        <v>73.039999999999992</v>
      </c>
      <c r="AE4801" s="74"/>
      <c r="AF4801" s="77"/>
      <c r="AH4801" s="497">
        <v>73.400000000000006</v>
      </c>
      <c r="AJ4801" s="42"/>
      <c r="AK4801" s="74"/>
      <c r="AL4801" s="77"/>
      <c r="AN4801" s="497">
        <v>66.02</v>
      </c>
      <c r="AP4801" s="42"/>
      <c r="AQ4801" s="74"/>
      <c r="AR4801" s="77"/>
      <c r="AT4801" s="497">
        <v>75.02</v>
      </c>
      <c r="AV4801" s="42"/>
      <c r="AW4801" s="74"/>
      <c r="AX4801" s="77"/>
      <c r="BA4801" s="497">
        <v>73.94</v>
      </c>
      <c r="BB4801" s="42"/>
      <c r="BC4801" s="74"/>
      <c r="BD4801" s="77"/>
      <c r="BF4801">
        <v>71.960000000000008</v>
      </c>
      <c r="BH4801" s="42"/>
      <c r="BI4801" s="74"/>
      <c r="BJ4801" s="77"/>
      <c r="BL4801" s="497">
        <v>64.039999999999992</v>
      </c>
      <c r="BN4801" s="42"/>
      <c r="BO4801" s="74"/>
      <c r="BP4801" s="77"/>
      <c r="BR4801" s="497">
        <v>71.06</v>
      </c>
      <c r="BT4801" s="42"/>
    </row>
    <row r="4802" spans="1:72" x14ac:dyDescent="0.25">
      <c r="A4802" s="90">
        <v>34534</v>
      </c>
      <c r="B4802" s="20">
        <v>0.33333333333333331</v>
      </c>
      <c r="D4802">
        <v>78.98</v>
      </c>
      <c r="E4802" t="str">
        <f t="shared" si="184"/>
        <v>WEEKDAY</v>
      </c>
      <c r="F4802" t="e">
        <f t="shared" si="185"/>
        <v>#N/A</v>
      </c>
      <c r="G4802" s="74">
        <v>31977</v>
      </c>
      <c r="H4802" s="77">
        <v>0.33333333333333331</v>
      </c>
      <c r="J4802">
        <v>80.06</v>
      </c>
      <c r="M4802" s="74">
        <v>33438</v>
      </c>
      <c r="N4802" s="77">
        <v>0.33333333333333331</v>
      </c>
      <c r="P4802">
        <v>82.94</v>
      </c>
      <c r="S4802" s="74">
        <v>34534</v>
      </c>
      <c r="T4802" s="77">
        <v>0.33333333333333331</v>
      </c>
      <c r="V4802">
        <v>77</v>
      </c>
      <c r="X4802" s="42"/>
      <c r="AB4802">
        <v>74.400000000000006</v>
      </c>
      <c r="AC4802">
        <v>75.92</v>
      </c>
      <c r="AE4802" s="74"/>
      <c r="AF4802" s="77"/>
      <c r="AH4802" s="497">
        <v>73.400000000000006</v>
      </c>
      <c r="AJ4802" s="42"/>
      <c r="AK4802" s="74"/>
      <c r="AL4802" s="77"/>
      <c r="AN4802" s="497">
        <v>71.06</v>
      </c>
      <c r="AP4802" s="42"/>
      <c r="AQ4802" s="74"/>
      <c r="AR4802" s="77"/>
      <c r="AT4802" s="497">
        <v>78.98</v>
      </c>
      <c r="AV4802" s="42"/>
      <c r="AW4802" s="74"/>
      <c r="AX4802" s="77"/>
      <c r="BA4802" s="497">
        <v>73.94</v>
      </c>
      <c r="BB4802" s="42"/>
      <c r="BC4802" s="74"/>
      <c r="BD4802" s="77"/>
      <c r="BF4802">
        <v>71.960000000000008</v>
      </c>
      <c r="BH4802" s="42"/>
      <c r="BI4802" s="74"/>
      <c r="BJ4802" s="77"/>
      <c r="BL4802" s="497">
        <v>68</v>
      </c>
      <c r="BN4802" s="42"/>
      <c r="BO4802" s="74"/>
      <c r="BP4802" s="77"/>
      <c r="BR4802" s="497">
        <v>73.94</v>
      </c>
      <c r="BT4802" s="42"/>
    </row>
    <row r="4803" spans="1:72" x14ac:dyDescent="0.25">
      <c r="A4803" s="90">
        <v>34534</v>
      </c>
      <c r="B4803" s="20">
        <v>0.375</v>
      </c>
      <c r="D4803">
        <v>80.06</v>
      </c>
      <c r="E4803" t="str">
        <f t="shared" si="184"/>
        <v>WEEKDAY</v>
      </c>
      <c r="F4803" t="e">
        <f t="shared" si="185"/>
        <v>#N/A</v>
      </c>
      <c r="G4803" s="74">
        <v>31977</v>
      </c>
      <c r="H4803" s="77">
        <v>0.375</v>
      </c>
      <c r="J4803">
        <v>82.94</v>
      </c>
      <c r="M4803" s="74">
        <v>33438</v>
      </c>
      <c r="N4803" s="77">
        <v>0.375</v>
      </c>
      <c r="P4803">
        <v>87.080000000000013</v>
      </c>
      <c r="S4803" s="74">
        <v>34534</v>
      </c>
      <c r="T4803" s="77">
        <v>0.375</v>
      </c>
      <c r="V4803">
        <v>78.98</v>
      </c>
      <c r="X4803" s="42"/>
      <c r="AB4803">
        <v>76.400000000000006</v>
      </c>
      <c r="AC4803">
        <v>80.06</v>
      </c>
      <c r="AE4803" s="74"/>
      <c r="AF4803" s="77"/>
      <c r="AH4803" s="497">
        <v>74.48</v>
      </c>
      <c r="AJ4803" s="42"/>
      <c r="AK4803" s="74"/>
      <c r="AL4803" s="77"/>
      <c r="AN4803" s="497">
        <v>73.94</v>
      </c>
      <c r="AP4803" s="42"/>
      <c r="AQ4803" s="74"/>
      <c r="AR4803" s="77"/>
      <c r="AT4803" s="497">
        <v>83.12</v>
      </c>
      <c r="AV4803" s="42"/>
      <c r="AW4803" s="74"/>
      <c r="AX4803" s="77"/>
      <c r="BA4803" s="497">
        <v>75.92</v>
      </c>
      <c r="BB4803" s="42"/>
      <c r="BC4803" s="74"/>
      <c r="BD4803" s="77"/>
      <c r="BF4803">
        <v>75.02</v>
      </c>
      <c r="BH4803" s="42"/>
      <c r="BI4803" s="74"/>
      <c r="BJ4803" s="77"/>
      <c r="BL4803" s="497">
        <v>73.039999999999992</v>
      </c>
      <c r="BN4803" s="42"/>
      <c r="BO4803" s="74"/>
      <c r="BP4803" s="77"/>
      <c r="BR4803" s="497">
        <v>75.92</v>
      </c>
      <c r="BT4803" s="42"/>
    </row>
    <row r="4804" spans="1:72" x14ac:dyDescent="0.25">
      <c r="A4804" s="90">
        <v>34534</v>
      </c>
      <c r="B4804" s="20">
        <v>0.41666666666666669</v>
      </c>
      <c r="D4804">
        <v>82.94</v>
      </c>
      <c r="E4804" t="str">
        <f t="shared" si="184"/>
        <v>WEEKDAY</v>
      </c>
      <c r="F4804" t="e">
        <f t="shared" si="185"/>
        <v>#N/A</v>
      </c>
      <c r="G4804" s="74">
        <v>31977</v>
      </c>
      <c r="H4804" s="77">
        <v>0.41666666666666669</v>
      </c>
      <c r="J4804">
        <v>86</v>
      </c>
      <c r="M4804" s="74">
        <v>33438</v>
      </c>
      <c r="N4804" s="77">
        <v>0.41666666666666669</v>
      </c>
      <c r="P4804">
        <v>89.960000000000008</v>
      </c>
      <c r="S4804" s="74">
        <v>34534</v>
      </c>
      <c r="T4804" s="77">
        <v>0.41666666666666669</v>
      </c>
      <c r="V4804">
        <v>80.06</v>
      </c>
      <c r="X4804" s="42"/>
      <c r="AB4804">
        <v>78.2</v>
      </c>
      <c r="AC4804">
        <v>80.960000000000008</v>
      </c>
      <c r="AE4804" s="74"/>
      <c r="AF4804" s="77"/>
      <c r="AH4804" s="497">
        <v>75.2</v>
      </c>
      <c r="AJ4804" s="42"/>
      <c r="AK4804" s="74"/>
      <c r="AL4804" s="77"/>
      <c r="AN4804" s="497">
        <v>77</v>
      </c>
      <c r="AP4804" s="42"/>
      <c r="AQ4804" s="74"/>
      <c r="AR4804" s="77"/>
      <c r="AT4804" s="497">
        <v>87.080000000000013</v>
      </c>
      <c r="AV4804" s="42"/>
      <c r="AW4804" s="74"/>
      <c r="AX4804" s="77"/>
      <c r="BA4804" s="497">
        <v>80.06</v>
      </c>
      <c r="BB4804" s="42"/>
      <c r="BC4804" s="74"/>
      <c r="BD4804" s="77"/>
      <c r="BF4804">
        <v>78.080000000000013</v>
      </c>
      <c r="BH4804" s="42"/>
      <c r="BI4804" s="74"/>
      <c r="BJ4804" s="77"/>
      <c r="BL4804" s="497">
        <v>77</v>
      </c>
      <c r="BN4804" s="42"/>
      <c r="BO4804" s="74"/>
      <c r="BP4804" s="77"/>
      <c r="BR4804" s="497">
        <v>78.98</v>
      </c>
      <c r="BT4804" s="42"/>
    </row>
    <row r="4805" spans="1:72" x14ac:dyDescent="0.25">
      <c r="A4805" s="90">
        <v>34534</v>
      </c>
      <c r="B4805" s="20">
        <v>0.45833333333333331</v>
      </c>
      <c r="D4805">
        <v>82.039999999999992</v>
      </c>
      <c r="E4805" t="str">
        <f t="shared" si="184"/>
        <v>WEEKDAY</v>
      </c>
      <c r="F4805" t="e">
        <f t="shared" si="185"/>
        <v>#N/A</v>
      </c>
      <c r="G4805" s="74">
        <v>31977</v>
      </c>
      <c r="H4805" s="77">
        <v>0.45833333333333331</v>
      </c>
      <c r="J4805">
        <v>86</v>
      </c>
      <c r="M4805" s="74">
        <v>33438</v>
      </c>
      <c r="N4805" s="77">
        <v>0.45833333333333331</v>
      </c>
      <c r="P4805">
        <v>95</v>
      </c>
      <c r="S4805" s="74">
        <v>34534</v>
      </c>
      <c r="T4805" s="77">
        <v>0.45833333333333331</v>
      </c>
      <c r="V4805">
        <v>80.06</v>
      </c>
      <c r="X4805" s="42"/>
      <c r="AB4805">
        <v>79.7</v>
      </c>
      <c r="AC4805">
        <v>80.960000000000008</v>
      </c>
      <c r="AE4805" s="74"/>
      <c r="AF4805" s="77"/>
      <c r="AH4805" s="497">
        <v>78.800000000000011</v>
      </c>
      <c r="AJ4805" s="42"/>
      <c r="AK4805" s="74"/>
      <c r="AL4805" s="77"/>
      <c r="AN4805" s="497">
        <v>80.06</v>
      </c>
      <c r="AP4805" s="42"/>
      <c r="AQ4805" s="74"/>
      <c r="AR4805" s="77"/>
      <c r="AT4805" s="497">
        <v>89.78</v>
      </c>
      <c r="AV4805" s="42"/>
      <c r="AW4805" s="74"/>
      <c r="AX4805" s="77"/>
      <c r="BA4805" s="497">
        <v>82.039999999999992</v>
      </c>
      <c r="BB4805" s="42"/>
      <c r="BC4805" s="74"/>
      <c r="BD4805" s="77"/>
      <c r="BF4805">
        <v>80.06</v>
      </c>
      <c r="BH4805" s="42"/>
      <c r="BI4805" s="74"/>
      <c r="BJ4805" s="77"/>
      <c r="BL4805" s="497">
        <v>78.98</v>
      </c>
      <c r="BN4805" s="42"/>
      <c r="BO4805" s="74"/>
      <c r="BP4805" s="77"/>
      <c r="BR4805" s="497">
        <v>80.960000000000008</v>
      </c>
      <c r="BT4805" s="42"/>
    </row>
    <row r="4806" spans="1:72" x14ac:dyDescent="0.25">
      <c r="A4806" s="90">
        <v>34534</v>
      </c>
      <c r="B4806" s="20">
        <v>0.5</v>
      </c>
      <c r="D4806">
        <v>84.92</v>
      </c>
      <c r="E4806" t="str">
        <f t="shared" si="184"/>
        <v>WEEKDAY</v>
      </c>
      <c r="F4806" t="e">
        <f t="shared" si="185"/>
        <v>#N/A</v>
      </c>
      <c r="G4806" s="74">
        <v>31977</v>
      </c>
      <c r="H4806" s="77">
        <v>0.5</v>
      </c>
      <c r="J4806">
        <v>87.080000000000013</v>
      </c>
      <c r="M4806" s="74">
        <v>33438</v>
      </c>
      <c r="N4806" s="77">
        <v>0.5</v>
      </c>
      <c r="P4806">
        <v>95</v>
      </c>
      <c r="S4806" s="74">
        <v>34534</v>
      </c>
      <c r="T4806" s="77">
        <v>0.5</v>
      </c>
      <c r="V4806">
        <v>82.039999999999992</v>
      </c>
      <c r="X4806" s="42"/>
      <c r="AB4806">
        <v>80.8</v>
      </c>
      <c r="AC4806">
        <v>80.06</v>
      </c>
      <c r="AE4806" s="74"/>
      <c r="AF4806" s="77"/>
      <c r="AH4806" s="497">
        <v>80.599999999999994</v>
      </c>
      <c r="AJ4806" s="42"/>
      <c r="AK4806" s="74"/>
      <c r="AL4806" s="77"/>
      <c r="AN4806" s="497">
        <v>80.960000000000008</v>
      </c>
      <c r="AP4806" s="42"/>
      <c r="AQ4806" s="74"/>
      <c r="AR4806" s="77"/>
      <c r="AT4806" s="497">
        <v>92.300000000000011</v>
      </c>
      <c r="AV4806" s="42"/>
      <c r="AW4806" s="74"/>
      <c r="AX4806" s="77"/>
      <c r="BA4806" s="497">
        <v>82.94</v>
      </c>
      <c r="BB4806" s="42"/>
      <c r="BC4806" s="74"/>
      <c r="BD4806" s="77"/>
      <c r="BF4806">
        <v>84.02</v>
      </c>
      <c r="BH4806" s="42"/>
      <c r="BI4806" s="74"/>
      <c r="BJ4806" s="77"/>
      <c r="BL4806" s="497">
        <v>78.98</v>
      </c>
      <c r="BN4806" s="42"/>
      <c r="BO4806" s="74"/>
      <c r="BP4806" s="77"/>
      <c r="BR4806" s="497">
        <v>82.039999999999992</v>
      </c>
      <c r="BT4806" s="42"/>
    </row>
    <row r="4807" spans="1:72" x14ac:dyDescent="0.25">
      <c r="A4807" s="90">
        <v>34534</v>
      </c>
      <c r="B4807" s="20">
        <v>0.54166666666666663</v>
      </c>
      <c r="D4807">
        <v>84.02</v>
      </c>
      <c r="E4807" t="str">
        <f t="shared" si="184"/>
        <v>WEEKDAY</v>
      </c>
      <c r="F4807" t="e">
        <f t="shared" si="185"/>
        <v>#N/A</v>
      </c>
      <c r="G4807" s="74">
        <v>31977</v>
      </c>
      <c r="H4807" s="77">
        <v>0.54166666666666663</v>
      </c>
      <c r="J4807">
        <v>89.06</v>
      </c>
      <c r="M4807" s="74">
        <v>33438</v>
      </c>
      <c r="N4807" s="77">
        <v>0.54166666666666663</v>
      </c>
      <c r="P4807">
        <v>93.92</v>
      </c>
      <c r="S4807" s="74">
        <v>34534</v>
      </c>
      <c r="T4807" s="77">
        <v>0.54166666666666663</v>
      </c>
      <c r="V4807">
        <v>80.960000000000008</v>
      </c>
      <c r="X4807" s="42"/>
      <c r="AB4807">
        <v>81.599999999999994</v>
      </c>
      <c r="AC4807">
        <v>82.039999999999992</v>
      </c>
      <c r="AE4807" s="74"/>
      <c r="AF4807" s="77"/>
      <c r="AH4807" s="497">
        <v>82.4</v>
      </c>
      <c r="AJ4807" s="42"/>
      <c r="AK4807" s="74"/>
      <c r="AL4807" s="77"/>
      <c r="AN4807" s="497">
        <v>82.039999999999992</v>
      </c>
      <c r="AP4807" s="42"/>
      <c r="AQ4807" s="74"/>
      <c r="AR4807" s="77"/>
      <c r="AT4807" s="497">
        <v>95</v>
      </c>
      <c r="AV4807" s="42"/>
      <c r="AW4807" s="74"/>
      <c r="AX4807" s="77"/>
      <c r="BA4807" s="497">
        <v>84.92</v>
      </c>
      <c r="BB4807" s="42"/>
      <c r="BC4807" s="74"/>
      <c r="BD4807" s="77"/>
      <c r="BF4807">
        <v>86</v>
      </c>
      <c r="BH4807" s="42"/>
      <c r="BI4807" s="74"/>
      <c r="BJ4807" s="77"/>
      <c r="BL4807" s="497">
        <v>80.06</v>
      </c>
      <c r="BN4807" s="42"/>
      <c r="BO4807" s="74"/>
      <c r="BP4807" s="77"/>
      <c r="BR4807" s="497">
        <v>82.94</v>
      </c>
      <c r="BT4807" s="42"/>
    </row>
    <row r="4808" spans="1:72" x14ac:dyDescent="0.25">
      <c r="A4808" s="90">
        <v>34534</v>
      </c>
      <c r="B4808" s="20">
        <v>0.58333333333333337</v>
      </c>
      <c r="D4808">
        <v>84.02</v>
      </c>
      <c r="E4808" t="str">
        <f t="shared" si="184"/>
        <v>WEEKDAY</v>
      </c>
      <c r="F4808" t="e">
        <f t="shared" si="185"/>
        <v>#N/A</v>
      </c>
      <c r="G4808" s="74">
        <v>31977</v>
      </c>
      <c r="H4808" s="77">
        <v>0.58333333333333337</v>
      </c>
      <c r="J4808">
        <v>87.98</v>
      </c>
      <c r="M4808" s="74">
        <v>33438</v>
      </c>
      <c r="N4808" s="77">
        <v>0.58333333333333337</v>
      </c>
      <c r="P4808">
        <v>91.94</v>
      </c>
      <c r="S4808" s="74">
        <v>34534</v>
      </c>
      <c r="T4808" s="77">
        <v>0.58333333333333337</v>
      </c>
      <c r="V4808">
        <v>82.039999999999992</v>
      </c>
      <c r="X4808" s="42"/>
      <c r="AB4808">
        <v>82</v>
      </c>
      <c r="AC4808">
        <v>80.960000000000008</v>
      </c>
      <c r="AE4808" s="74"/>
      <c r="AF4808" s="77"/>
      <c r="AH4808" s="497">
        <v>82.4</v>
      </c>
      <c r="AJ4808" s="42"/>
      <c r="AK4808" s="74"/>
      <c r="AL4808" s="77"/>
      <c r="AN4808" s="497">
        <v>84.02</v>
      </c>
      <c r="AP4808" s="42"/>
      <c r="AQ4808" s="74"/>
      <c r="AR4808" s="77"/>
      <c r="AT4808" s="497">
        <v>95</v>
      </c>
      <c r="AV4808" s="42"/>
      <c r="AW4808" s="74"/>
      <c r="AX4808" s="77"/>
      <c r="BA4808" s="497">
        <v>84.92</v>
      </c>
      <c r="BB4808" s="42"/>
      <c r="BC4808" s="74"/>
      <c r="BD4808" s="77"/>
      <c r="BF4808">
        <v>87.080000000000013</v>
      </c>
      <c r="BH4808" s="42"/>
      <c r="BI4808" s="74"/>
      <c r="BJ4808" s="77"/>
      <c r="BL4808" s="497">
        <v>80.06</v>
      </c>
      <c r="BN4808" s="42"/>
      <c r="BO4808" s="74"/>
      <c r="BP4808" s="77"/>
      <c r="BR4808" s="497">
        <v>84.02</v>
      </c>
      <c r="BT4808" s="42"/>
    </row>
    <row r="4809" spans="1:72" x14ac:dyDescent="0.25">
      <c r="A4809" s="90">
        <v>34534</v>
      </c>
      <c r="B4809" s="20">
        <v>0.625</v>
      </c>
      <c r="D4809">
        <v>87.080000000000013</v>
      </c>
      <c r="E4809" t="str">
        <f t="shared" si="184"/>
        <v>WEEKDAY</v>
      </c>
      <c r="F4809" t="e">
        <f t="shared" si="185"/>
        <v>#N/A</v>
      </c>
      <c r="G4809" s="74">
        <v>31977</v>
      </c>
      <c r="H4809" s="77">
        <v>0.625</v>
      </c>
      <c r="J4809">
        <v>86</v>
      </c>
      <c r="M4809" s="74">
        <v>33438</v>
      </c>
      <c r="N4809" s="77">
        <v>0.625</v>
      </c>
      <c r="P4809">
        <v>91.94</v>
      </c>
      <c r="S4809" s="74">
        <v>34534</v>
      </c>
      <c r="T4809" s="77">
        <v>0.625</v>
      </c>
      <c r="V4809">
        <v>82.039999999999992</v>
      </c>
      <c r="X4809" s="42"/>
      <c r="AB4809">
        <v>81.900000000000006</v>
      </c>
      <c r="AC4809">
        <v>80.960000000000008</v>
      </c>
      <c r="AE4809" s="74"/>
      <c r="AF4809" s="77"/>
      <c r="AH4809" s="497">
        <v>77</v>
      </c>
      <c r="AJ4809" s="42"/>
      <c r="AK4809" s="74"/>
      <c r="AL4809" s="77"/>
      <c r="AN4809" s="497">
        <v>82.94</v>
      </c>
      <c r="AP4809" s="42"/>
      <c r="AQ4809" s="74"/>
      <c r="AR4809" s="77"/>
      <c r="AT4809" s="497">
        <v>95</v>
      </c>
      <c r="AV4809" s="42"/>
      <c r="AW4809" s="74"/>
      <c r="AX4809" s="77"/>
      <c r="BA4809" s="497">
        <v>87.080000000000013</v>
      </c>
      <c r="BB4809" s="42"/>
      <c r="BC4809" s="74"/>
      <c r="BD4809" s="77"/>
      <c r="BF4809">
        <v>87.98</v>
      </c>
      <c r="BH4809" s="42"/>
      <c r="BI4809" s="74"/>
      <c r="BJ4809" s="77"/>
      <c r="BL4809" s="497">
        <v>78.98</v>
      </c>
      <c r="BN4809" s="42"/>
      <c r="BO4809" s="74"/>
      <c r="BP4809" s="77"/>
      <c r="BR4809" s="497">
        <v>86</v>
      </c>
      <c r="BT4809" s="42"/>
    </row>
    <row r="4810" spans="1:72" x14ac:dyDescent="0.25">
      <c r="A4810" s="90">
        <v>34534</v>
      </c>
      <c r="B4810" s="20">
        <v>0.66666666666666663</v>
      </c>
      <c r="D4810">
        <v>87.080000000000013</v>
      </c>
      <c r="E4810" t="str">
        <f t="shared" si="184"/>
        <v>WEEKDAY</v>
      </c>
      <c r="F4810" t="e">
        <f t="shared" si="185"/>
        <v>#N/A</v>
      </c>
      <c r="G4810" s="74">
        <v>31977</v>
      </c>
      <c r="H4810" s="77">
        <v>0.66666666666666663</v>
      </c>
      <c r="J4810">
        <v>84.92</v>
      </c>
      <c r="M4810" s="74">
        <v>33438</v>
      </c>
      <c r="N4810" s="77">
        <v>0.66666666666666663</v>
      </c>
      <c r="P4810">
        <v>87.98</v>
      </c>
      <c r="S4810" s="74">
        <v>34534</v>
      </c>
      <c r="T4810" s="77">
        <v>0.66666666666666663</v>
      </c>
      <c r="V4810">
        <v>80.960000000000008</v>
      </c>
      <c r="X4810" s="42"/>
      <c r="AB4810">
        <v>81.5</v>
      </c>
      <c r="AC4810">
        <v>82.94</v>
      </c>
      <c r="AE4810" s="74"/>
      <c r="AF4810" s="77"/>
      <c r="AH4810" s="497">
        <v>82.4</v>
      </c>
      <c r="AJ4810" s="42"/>
      <c r="AK4810" s="74"/>
      <c r="AL4810" s="77"/>
      <c r="AN4810" s="497">
        <v>82.94</v>
      </c>
      <c r="AP4810" s="42"/>
      <c r="AQ4810" s="74"/>
      <c r="AR4810" s="77"/>
      <c r="AT4810" s="497">
        <v>95</v>
      </c>
      <c r="AV4810" s="42"/>
      <c r="AW4810" s="74"/>
      <c r="AX4810" s="77"/>
      <c r="BA4810" s="497">
        <v>87.080000000000013</v>
      </c>
      <c r="BB4810" s="42"/>
      <c r="BC4810" s="74"/>
      <c r="BD4810" s="77"/>
      <c r="BF4810">
        <v>86</v>
      </c>
      <c r="BH4810" s="42"/>
      <c r="BI4810" s="74"/>
      <c r="BJ4810" s="77"/>
      <c r="BL4810" s="497">
        <v>78.98</v>
      </c>
      <c r="BN4810" s="42"/>
      <c r="BO4810" s="74"/>
      <c r="BP4810" s="77"/>
      <c r="BR4810" s="497">
        <v>84.92</v>
      </c>
      <c r="BT4810" s="42"/>
    </row>
    <row r="4811" spans="1:72" x14ac:dyDescent="0.25">
      <c r="A4811" s="90">
        <v>34534</v>
      </c>
      <c r="B4811" s="20">
        <v>0.70833333333333337</v>
      </c>
      <c r="D4811">
        <v>84.92</v>
      </c>
      <c r="E4811" t="str">
        <f t="shared" si="184"/>
        <v>WEEKDAY</v>
      </c>
      <c r="F4811" t="e">
        <f t="shared" si="185"/>
        <v>#N/A</v>
      </c>
      <c r="G4811" s="74">
        <v>31977</v>
      </c>
      <c r="H4811" s="77">
        <v>0.70833333333333337</v>
      </c>
      <c r="J4811">
        <v>78.98</v>
      </c>
      <c r="M4811" s="74">
        <v>33438</v>
      </c>
      <c r="N4811" s="77">
        <v>0.70833333333333337</v>
      </c>
      <c r="P4811">
        <v>86</v>
      </c>
      <c r="S4811" s="74">
        <v>34534</v>
      </c>
      <c r="T4811" s="77">
        <v>0.70833333333333337</v>
      </c>
      <c r="V4811">
        <v>80.06</v>
      </c>
      <c r="X4811" s="42"/>
      <c r="AB4811">
        <v>80.599999999999994</v>
      </c>
      <c r="AC4811">
        <v>80.960000000000008</v>
      </c>
      <c r="AE4811" s="74"/>
      <c r="AF4811" s="77"/>
      <c r="AH4811" s="497">
        <v>80.599999999999994</v>
      </c>
      <c r="AJ4811" s="42"/>
      <c r="AK4811" s="74"/>
      <c r="AL4811" s="77"/>
      <c r="AN4811" s="497">
        <v>82.039999999999992</v>
      </c>
      <c r="AP4811" s="42"/>
      <c r="AQ4811" s="74"/>
      <c r="AR4811" s="77"/>
      <c r="AT4811" s="497">
        <v>88.34</v>
      </c>
      <c r="AV4811" s="42"/>
      <c r="AW4811" s="74"/>
      <c r="AX4811" s="77"/>
      <c r="BA4811" s="497">
        <v>87.080000000000013</v>
      </c>
      <c r="BB4811" s="42"/>
      <c r="BC4811" s="74"/>
      <c r="BD4811" s="77"/>
      <c r="BF4811">
        <v>82.94</v>
      </c>
      <c r="BH4811" s="42"/>
      <c r="BI4811" s="74"/>
      <c r="BJ4811" s="77"/>
      <c r="BL4811" s="497">
        <v>78.080000000000013</v>
      </c>
      <c r="BN4811" s="42"/>
      <c r="BO4811" s="74"/>
      <c r="BP4811" s="77"/>
      <c r="BR4811" s="497">
        <v>84.02</v>
      </c>
      <c r="BT4811" s="42"/>
    </row>
    <row r="4812" spans="1:72" x14ac:dyDescent="0.25">
      <c r="A4812" s="90">
        <v>34534</v>
      </c>
      <c r="B4812" s="20">
        <v>0.75</v>
      </c>
      <c r="D4812">
        <v>82.94</v>
      </c>
      <c r="E4812" t="str">
        <f t="shared" si="184"/>
        <v>WEEKDAY</v>
      </c>
      <c r="F4812" t="e">
        <f t="shared" si="185"/>
        <v>#N/A</v>
      </c>
      <c r="G4812" s="74">
        <v>31977</v>
      </c>
      <c r="H4812" s="77">
        <v>0.75</v>
      </c>
      <c r="J4812">
        <v>78.98</v>
      </c>
      <c r="M4812" s="74">
        <v>33438</v>
      </c>
      <c r="N4812" s="77">
        <v>0.75</v>
      </c>
      <c r="P4812">
        <v>82.039999999999992</v>
      </c>
      <c r="S4812" s="74">
        <v>34534</v>
      </c>
      <c r="T4812" s="77">
        <v>0.75</v>
      </c>
      <c r="V4812">
        <v>78.98</v>
      </c>
      <c r="X4812" s="42"/>
      <c r="AB4812">
        <v>79.400000000000006</v>
      </c>
      <c r="AC4812">
        <v>78.98</v>
      </c>
      <c r="AE4812" s="74"/>
      <c r="AF4812" s="77"/>
      <c r="AH4812" s="497">
        <v>82.4</v>
      </c>
      <c r="AJ4812" s="42"/>
      <c r="AK4812" s="74"/>
      <c r="AL4812" s="77"/>
      <c r="AN4812" s="497">
        <v>80.06</v>
      </c>
      <c r="AP4812" s="42"/>
      <c r="AQ4812" s="74"/>
      <c r="AR4812" s="77"/>
      <c r="AT4812" s="497">
        <v>81.680000000000007</v>
      </c>
      <c r="AV4812" s="42"/>
      <c r="AW4812" s="74"/>
      <c r="AX4812" s="77"/>
      <c r="BA4812" s="497">
        <v>86</v>
      </c>
      <c r="BB4812" s="42"/>
      <c r="BC4812" s="74"/>
      <c r="BD4812" s="77"/>
      <c r="BF4812">
        <v>82.94</v>
      </c>
      <c r="BH4812" s="42"/>
      <c r="BI4812" s="74"/>
      <c r="BJ4812" s="77"/>
      <c r="BL4812" s="497">
        <v>77</v>
      </c>
      <c r="BN4812" s="42"/>
      <c r="BO4812" s="74"/>
      <c r="BP4812" s="77"/>
      <c r="BR4812" s="497">
        <v>78.98</v>
      </c>
      <c r="BT4812" s="42"/>
    </row>
    <row r="4813" spans="1:72" x14ac:dyDescent="0.25">
      <c r="A4813" s="90">
        <v>34534</v>
      </c>
      <c r="B4813" s="20">
        <v>0.79166666666666663</v>
      </c>
      <c r="D4813">
        <v>82.94</v>
      </c>
      <c r="E4813" t="str">
        <f t="shared" si="184"/>
        <v>WEEKDAY</v>
      </c>
      <c r="F4813" t="e">
        <f t="shared" si="185"/>
        <v>#N/A</v>
      </c>
      <c r="G4813" s="74">
        <v>31977</v>
      </c>
      <c r="H4813" s="77">
        <v>0.79166666666666663</v>
      </c>
      <c r="J4813">
        <v>78.080000000000013</v>
      </c>
      <c r="M4813" s="74">
        <v>33438</v>
      </c>
      <c r="N4813" s="77">
        <v>0.79166666666666663</v>
      </c>
      <c r="P4813">
        <v>80.960000000000008</v>
      </c>
      <c r="S4813" s="74">
        <v>34534</v>
      </c>
      <c r="T4813" s="77">
        <v>0.79166666666666663</v>
      </c>
      <c r="V4813">
        <v>78.080000000000013</v>
      </c>
      <c r="X4813" s="42"/>
      <c r="AB4813">
        <v>78.099999999999994</v>
      </c>
      <c r="AC4813">
        <v>77</v>
      </c>
      <c r="AE4813" s="74"/>
      <c r="AF4813" s="77"/>
      <c r="AH4813" s="497">
        <v>80.599999999999994</v>
      </c>
      <c r="AJ4813" s="42"/>
      <c r="AK4813" s="74"/>
      <c r="AL4813" s="77"/>
      <c r="AN4813" s="497">
        <v>78.080000000000013</v>
      </c>
      <c r="AP4813" s="42"/>
      <c r="AQ4813" s="74"/>
      <c r="AR4813" s="77"/>
      <c r="AT4813" s="497">
        <v>75.02</v>
      </c>
      <c r="AV4813" s="42"/>
      <c r="AW4813" s="74"/>
      <c r="AX4813" s="77"/>
      <c r="BA4813" s="497">
        <v>82.039999999999992</v>
      </c>
      <c r="BB4813" s="42"/>
      <c r="BC4813" s="74"/>
      <c r="BD4813" s="77"/>
      <c r="BF4813">
        <v>82.039999999999992</v>
      </c>
      <c r="BH4813" s="42"/>
      <c r="BI4813" s="74"/>
      <c r="BJ4813" s="77"/>
      <c r="BL4813" s="497">
        <v>75.02</v>
      </c>
      <c r="BN4813" s="42"/>
      <c r="BO4813" s="74"/>
      <c r="BP4813" s="77"/>
      <c r="BR4813" s="497">
        <v>78.080000000000013</v>
      </c>
      <c r="BT4813" s="42"/>
    </row>
    <row r="4814" spans="1:72" x14ac:dyDescent="0.25">
      <c r="A4814" s="90">
        <v>34534</v>
      </c>
      <c r="B4814" s="20">
        <v>0.83333333333333337</v>
      </c>
      <c r="D4814">
        <v>80.06</v>
      </c>
      <c r="E4814" t="str">
        <f t="shared" si="184"/>
        <v>WEEKDAY</v>
      </c>
      <c r="F4814" t="e">
        <f t="shared" si="185"/>
        <v>#N/A</v>
      </c>
      <c r="G4814" s="74">
        <v>31977</v>
      </c>
      <c r="H4814" s="77">
        <v>0.83333333333333337</v>
      </c>
      <c r="J4814">
        <v>75.92</v>
      </c>
      <c r="M4814" s="74">
        <v>33438</v>
      </c>
      <c r="N4814" s="77">
        <v>0.83333333333333337</v>
      </c>
      <c r="P4814">
        <v>71.06</v>
      </c>
      <c r="S4814" s="74">
        <v>34534</v>
      </c>
      <c r="T4814" s="77">
        <v>0.83333333333333337</v>
      </c>
      <c r="V4814">
        <v>77</v>
      </c>
      <c r="X4814" s="42"/>
      <c r="AB4814">
        <v>76.7</v>
      </c>
      <c r="AC4814">
        <v>75.92</v>
      </c>
      <c r="AE4814" s="74"/>
      <c r="AF4814" s="77"/>
      <c r="AH4814" s="497">
        <v>75.2</v>
      </c>
      <c r="AJ4814" s="42"/>
      <c r="AK4814" s="74"/>
      <c r="AL4814" s="77"/>
      <c r="AN4814" s="497">
        <v>75.92</v>
      </c>
      <c r="AP4814" s="42"/>
      <c r="AQ4814" s="74"/>
      <c r="AR4814" s="77"/>
      <c r="AT4814" s="497">
        <v>73.759999999999991</v>
      </c>
      <c r="AV4814" s="42"/>
      <c r="AW4814" s="74"/>
      <c r="AX4814" s="77"/>
      <c r="BA4814" s="497">
        <v>77</v>
      </c>
      <c r="BB4814" s="42"/>
      <c r="BC4814" s="74"/>
      <c r="BD4814" s="77"/>
      <c r="BF4814">
        <v>80.960000000000008</v>
      </c>
      <c r="BH4814" s="42"/>
      <c r="BI4814" s="74"/>
      <c r="BJ4814" s="77"/>
      <c r="BL4814" s="497">
        <v>71.960000000000008</v>
      </c>
      <c r="BN4814" s="42"/>
      <c r="BO4814" s="74"/>
      <c r="BP4814" s="77"/>
      <c r="BR4814" s="497">
        <v>73.94</v>
      </c>
      <c r="BT4814" s="42"/>
    </row>
    <row r="4815" spans="1:72" x14ac:dyDescent="0.25">
      <c r="A4815" s="90">
        <v>34534</v>
      </c>
      <c r="B4815" s="20">
        <v>0.875</v>
      </c>
      <c r="D4815">
        <v>80.06</v>
      </c>
      <c r="E4815" t="str">
        <f t="shared" si="184"/>
        <v>WEEKDAY</v>
      </c>
      <c r="F4815" t="e">
        <f t="shared" si="185"/>
        <v>#N/A</v>
      </c>
      <c r="G4815" s="74">
        <v>31977</v>
      </c>
      <c r="H4815" s="77">
        <v>0.875</v>
      </c>
      <c r="J4815">
        <v>75.02</v>
      </c>
      <c r="M4815" s="74">
        <v>33438</v>
      </c>
      <c r="N4815" s="77">
        <v>0.875</v>
      </c>
      <c r="P4815">
        <v>71.06</v>
      </c>
      <c r="S4815" s="74">
        <v>34534</v>
      </c>
      <c r="T4815" s="77">
        <v>0.875</v>
      </c>
      <c r="V4815">
        <v>77</v>
      </c>
      <c r="X4815" s="42"/>
      <c r="AB4815">
        <v>75.599999999999994</v>
      </c>
      <c r="AC4815">
        <v>75.92</v>
      </c>
      <c r="AE4815" s="74"/>
      <c r="AF4815" s="77"/>
      <c r="AH4815" s="497">
        <v>73.400000000000006</v>
      </c>
      <c r="AJ4815" s="42"/>
      <c r="AK4815" s="74"/>
      <c r="AL4815" s="77"/>
      <c r="AN4815" s="497">
        <v>75.02</v>
      </c>
      <c r="AP4815" s="42"/>
      <c r="AQ4815" s="74"/>
      <c r="AR4815" s="77"/>
      <c r="AT4815" s="497">
        <v>72.319999999999993</v>
      </c>
      <c r="AV4815" s="42"/>
      <c r="AW4815" s="74"/>
      <c r="AX4815" s="77"/>
      <c r="BA4815" s="497">
        <v>75.02</v>
      </c>
      <c r="BB4815" s="42"/>
      <c r="BC4815" s="74"/>
      <c r="BD4815" s="77"/>
      <c r="BF4815">
        <v>80.06</v>
      </c>
      <c r="BH4815" s="42"/>
      <c r="BI4815" s="74"/>
      <c r="BJ4815" s="77"/>
      <c r="BL4815" s="497">
        <v>66.92</v>
      </c>
      <c r="BN4815" s="42"/>
      <c r="BO4815" s="74"/>
      <c r="BP4815" s="77"/>
      <c r="BR4815" s="497">
        <v>69.98</v>
      </c>
      <c r="BT4815" s="42"/>
    </row>
    <row r="4816" spans="1:72" x14ac:dyDescent="0.25">
      <c r="A4816" s="90">
        <v>34534</v>
      </c>
      <c r="B4816" s="20">
        <v>0.91666666666666663</v>
      </c>
      <c r="D4816">
        <v>80.06</v>
      </c>
      <c r="E4816" t="str">
        <f t="shared" si="184"/>
        <v>WEEKDAY</v>
      </c>
      <c r="F4816" t="e">
        <f t="shared" si="185"/>
        <v>#N/A</v>
      </c>
      <c r="G4816" s="74">
        <v>31977</v>
      </c>
      <c r="H4816" s="77">
        <v>0.91666666666666663</v>
      </c>
      <c r="J4816">
        <v>73.94</v>
      </c>
      <c r="M4816" s="74">
        <v>33438</v>
      </c>
      <c r="N4816" s="77">
        <v>0.91666666666666663</v>
      </c>
      <c r="P4816">
        <v>71.06</v>
      </c>
      <c r="S4816" s="74">
        <v>34534</v>
      </c>
      <c r="T4816" s="77">
        <v>0.91666666666666663</v>
      </c>
      <c r="V4816">
        <v>77</v>
      </c>
      <c r="X4816" s="42"/>
      <c r="AB4816">
        <v>75</v>
      </c>
      <c r="AC4816">
        <v>75.92</v>
      </c>
      <c r="AE4816" s="74"/>
      <c r="AF4816" s="77"/>
      <c r="AH4816" s="497">
        <v>71.599999999999994</v>
      </c>
      <c r="AJ4816" s="42"/>
      <c r="AK4816" s="74"/>
      <c r="AL4816" s="77"/>
      <c r="AN4816" s="497">
        <v>73.94</v>
      </c>
      <c r="AP4816" s="42"/>
      <c r="AQ4816" s="74"/>
      <c r="AR4816" s="77"/>
      <c r="AT4816" s="497">
        <v>71.06</v>
      </c>
      <c r="AV4816" s="42"/>
      <c r="AW4816" s="74"/>
      <c r="AX4816" s="77"/>
      <c r="BA4816" s="497">
        <v>73.039999999999992</v>
      </c>
      <c r="BB4816" s="42"/>
      <c r="BC4816" s="74"/>
      <c r="BD4816" s="77"/>
      <c r="BF4816">
        <v>80.06</v>
      </c>
      <c r="BH4816" s="42"/>
      <c r="BI4816" s="74"/>
      <c r="BJ4816" s="77"/>
      <c r="BL4816" s="497">
        <v>66.02</v>
      </c>
      <c r="BN4816" s="42"/>
      <c r="BO4816" s="74"/>
      <c r="BP4816" s="77"/>
      <c r="BR4816" s="497">
        <v>71.06</v>
      </c>
      <c r="BT4816" s="42"/>
    </row>
    <row r="4817" spans="1:72" x14ac:dyDescent="0.25">
      <c r="A4817" s="90">
        <v>34534</v>
      </c>
      <c r="B4817" s="20">
        <v>0.95833333333333337</v>
      </c>
      <c r="D4817">
        <v>80.06</v>
      </c>
      <c r="E4817" t="str">
        <f t="shared" si="184"/>
        <v>WEEKDAY</v>
      </c>
      <c r="F4817" t="e">
        <f t="shared" si="185"/>
        <v>#N/A</v>
      </c>
      <c r="G4817" s="74">
        <v>31977</v>
      </c>
      <c r="H4817" s="77">
        <v>0.95833333333333337</v>
      </c>
      <c r="J4817">
        <v>73.039999999999992</v>
      </c>
      <c r="M4817" s="74">
        <v>33438</v>
      </c>
      <c r="N4817" s="77">
        <v>0.95833333333333337</v>
      </c>
      <c r="P4817">
        <v>69.98</v>
      </c>
      <c r="S4817" s="74">
        <v>34534</v>
      </c>
      <c r="T4817" s="77">
        <v>0.95833333333333337</v>
      </c>
      <c r="V4817">
        <v>77</v>
      </c>
      <c r="X4817" s="42"/>
      <c r="AB4817">
        <v>74.599999999999994</v>
      </c>
      <c r="AC4817">
        <v>75.92</v>
      </c>
      <c r="AE4817" s="74"/>
      <c r="AF4817" s="77"/>
      <c r="AH4817" s="497">
        <v>71.599999999999994</v>
      </c>
      <c r="AJ4817" s="42"/>
      <c r="AK4817" s="74"/>
      <c r="AL4817" s="77"/>
      <c r="AN4817" s="497">
        <v>73.039999999999992</v>
      </c>
      <c r="AP4817" s="42"/>
      <c r="AQ4817" s="74"/>
      <c r="AR4817" s="77"/>
      <c r="AT4817" s="497">
        <v>69.98</v>
      </c>
      <c r="AV4817" s="42"/>
      <c r="AW4817" s="74"/>
      <c r="AX4817" s="77"/>
      <c r="BA4817" s="497">
        <v>73.94</v>
      </c>
      <c r="BB4817" s="42"/>
      <c r="BC4817" s="74"/>
      <c r="BD4817" s="77"/>
      <c r="BF4817">
        <v>80.06</v>
      </c>
      <c r="BH4817" s="42"/>
      <c r="BI4817" s="74"/>
      <c r="BJ4817" s="77"/>
      <c r="BL4817" s="497">
        <v>62.96</v>
      </c>
      <c r="BN4817" s="42"/>
      <c r="BO4817" s="74"/>
      <c r="BP4817" s="77"/>
      <c r="BR4817" s="497">
        <v>69.080000000000013</v>
      </c>
      <c r="BT4817" s="42"/>
    </row>
    <row r="4818" spans="1:72" x14ac:dyDescent="0.25">
      <c r="A4818" s="90">
        <v>34534</v>
      </c>
      <c r="B4818" s="20">
        <v>1</v>
      </c>
      <c r="D4818">
        <v>80.06</v>
      </c>
      <c r="E4818" t="str">
        <f t="shared" si="184"/>
        <v>WEEKDAY</v>
      </c>
      <c r="F4818" t="e">
        <f t="shared" si="185"/>
        <v>#N/A</v>
      </c>
      <c r="G4818" s="74">
        <v>31977</v>
      </c>
      <c r="H4818" s="77">
        <v>1</v>
      </c>
      <c r="J4818">
        <v>73.039999999999992</v>
      </c>
      <c r="M4818" s="74">
        <v>33438</v>
      </c>
      <c r="N4818" s="80">
        <v>1</v>
      </c>
      <c r="P4818">
        <v>69.98</v>
      </c>
      <c r="S4818" s="74">
        <v>34534</v>
      </c>
      <c r="T4818" s="80">
        <v>1</v>
      </c>
      <c r="V4818">
        <v>77</v>
      </c>
      <c r="X4818" s="42"/>
      <c r="AB4818">
        <v>74.099999999999994</v>
      </c>
      <c r="AC4818">
        <v>75.92</v>
      </c>
      <c r="AE4818" s="74"/>
      <c r="AF4818" s="80"/>
      <c r="AH4818" s="497">
        <v>71.599999999999994</v>
      </c>
      <c r="AJ4818" s="42"/>
      <c r="AK4818" s="74"/>
      <c r="AL4818" s="80"/>
      <c r="AN4818" s="497">
        <v>71.960000000000008</v>
      </c>
      <c r="AP4818" s="42"/>
      <c r="AQ4818" s="74"/>
      <c r="AR4818" s="80"/>
      <c r="AT4818" s="497">
        <v>69.080000000000013</v>
      </c>
      <c r="AV4818" s="42"/>
      <c r="AW4818" s="74"/>
      <c r="AX4818" s="80"/>
      <c r="BA4818" s="497">
        <v>73.039999999999992</v>
      </c>
      <c r="BB4818" s="42"/>
      <c r="BC4818" s="74"/>
      <c r="BD4818" s="80"/>
      <c r="BF4818">
        <v>78.98</v>
      </c>
      <c r="BH4818" s="42"/>
      <c r="BI4818" s="74"/>
      <c r="BJ4818" s="80"/>
      <c r="BL4818" s="497">
        <v>62.96</v>
      </c>
      <c r="BN4818" s="42"/>
      <c r="BO4818" s="74"/>
      <c r="BP4818" s="80"/>
      <c r="BR4818" s="497">
        <v>66.92</v>
      </c>
      <c r="BT4818" s="42"/>
    </row>
    <row r="4819" spans="1:72" x14ac:dyDescent="0.25">
      <c r="A4819" s="90">
        <v>34535</v>
      </c>
      <c r="B4819" s="20">
        <v>4.1666666666666664E-2</v>
      </c>
      <c r="D4819">
        <v>80.06</v>
      </c>
      <c r="E4819" t="str">
        <f t="shared" ref="E4819:E4882" si="186">IF(COUNTIF($DI$18:$DI$22, WEEKDAY(A4819))=1, "WEEKDAY", IF(WEEKDAY(A4819) = 1, "SUNDAY", "SATURDAY"))</f>
        <v>WEEKDAY</v>
      </c>
      <c r="F4819" t="e">
        <f t="shared" si="185"/>
        <v>#N/A</v>
      </c>
      <c r="G4819" s="74">
        <v>31978</v>
      </c>
      <c r="H4819" s="77">
        <v>4.1666666666666664E-2</v>
      </c>
      <c r="J4819">
        <v>73.039999999999992</v>
      </c>
      <c r="M4819" s="74">
        <v>33439</v>
      </c>
      <c r="N4819" s="77">
        <v>4.1666666666666664E-2</v>
      </c>
      <c r="P4819">
        <v>69.98</v>
      </c>
      <c r="S4819" s="74">
        <v>34535</v>
      </c>
      <c r="T4819" s="77">
        <v>4.1666666666666664E-2</v>
      </c>
      <c r="V4819">
        <v>75.92</v>
      </c>
      <c r="X4819" s="42"/>
      <c r="AB4819">
        <v>73.5</v>
      </c>
      <c r="AC4819">
        <v>75.92</v>
      </c>
      <c r="AE4819" s="74"/>
      <c r="AF4819" s="77"/>
      <c r="AH4819" s="497">
        <v>68</v>
      </c>
      <c r="AJ4819" s="42"/>
      <c r="AK4819" s="74"/>
      <c r="AL4819" s="77"/>
      <c r="AN4819" s="497">
        <v>69.98</v>
      </c>
      <c r="AP4819" s="42"/>
      <c r="AQ4819" s="74"/>
      <c r="AR4819" s="77"/>
      <c r="AT4819" s="497">
        <v>68</v>
      </c>
      <c r="AV4819" s="42"/>
      <c r="AW4819" s="74"/>
      <c r="AX4819" s="77"/>
      <c r="BA4819" s="497">
        <v>71.06</v>
      </c>
      <c r="BB4819" s="42"/>
      <c r="BC4819" s="74"/>
      <c r="BD4819" s="77"/>
      <c r="BF4819">
        <v>77</v>
      </c>
      <c r="BH4819" s="42"/>
      <c r="BI4819" s="74"/>
      <c r="BJ4819" s="77"/>
      <c r="BL4819" s="497">
        <v>60.08</v>
      </c>
      <c r="BN4819" s="42"/>
      <c r="BO4819" s="74"/>
      <c r="BP4819" s="77"/>
      <c r="BR4819" s="497">
        <v>68</v>
      </c>
      <c r="BT4819" s="42"/>
    </row>
    <row r="4820" spans="1:72" x14ac:dyDescent="0.25">
      <c r="A4820" s="90">
        <v>34535</v>
      </c>
      <c r="B4820" s="20">
        <v>8.3333333333333329E-2</v>
      </c>
      <c r="D4820">
        <v>78.080000000000013</v>
      </c>
      <c r="E4820" t="str">
        <f t="shared" si="186"/>
        <v>WEEKDAY</v>
      </c>
      <c r="F4820" t="e">
        <f t="shared" si="185"/>
        <v>#N/A</v>
      </c>
      <c r="G4820" s="74">
        <v>31978</v>
      </c>
      <c r="H4820" s="77">
        <v>8.3333333333333329E-2</v>
      </c>
      <c r="J4820">
        <v>71.960000000000008</v>
      </c>
      <c r="M4820" s="74">
        <v>33439</v>
      </c>
      <c r="N4820" s="77">
        <v>8.3333333333333329E-2</v>
      </c>
      <c r="P4820">
        <v>69.98</v>
      </c>
      <c r="S4820" s="74">
        <v>34535</v>
      </c>
      <c r="T4820" s="77">
        <v>8.3333333333333329E-2</v>
      </c>
      <c r="V4820">
        <v>75.92</v>
      </c>
      <c r="X4820" s="42"/>
      <c r="AB4820">
        <v>73</v>
      </c>
      <c r="AC4820">
        <v>75.02</v>
      </c>
      <c r="AE4820" s="74"/>
      <c r="AF4820" s="77"/>
      <c r="AH4820" s="497">
        <v>66.2</v>
      </c>
      <c r="AJ4820" s="42"/>
      <c r="AK4820" s="74"/>
      <c r="AL4820" s="77"/>
      <c r="AN4820" s="497">
        <v>69.98</v>
      </c>
      <c r="AP4820" s="42"/>
      <c r="AQ4820" s="74"/>
      <c r="AR4820" s="77"/>
      <c r="AT4820" s="497">
        <v>67.28</v>
      </c>
      <c r="AV4820" s="42"/>
      <c r="AW4820" s="74"/>
      <c r="AX4820" s="77"/>
      <c r="BA4820" s="497">
        <v>71.960000000000008</v>
      </c>
      <c r="BB4820" s="42"/>
      <c r="BC4820" s="74"/>
      <c r="BD4820" s="77"/>
      <c r="BF4820">
        <v>77</v>
      </c>
      <c r="BH4820" s="42"/>
      <c r="BI4820" s="74"/>
      <c r="BJ4820" s="77"/>
      <c r="BL4820" s="497">
        <v>57.92</v>
      </c>
      <c r="BN4820" s="42"/>
      <c r="BO4820" s="74"/>
      <c r="BP4820" s="77"/>
      <c r="BR4820" s="497">
        <v>64.94</v>
      </c>
      <c r="BT4820" s="42"/>
    </row>
    <row r="4821" spans="1:72" x14ac:dyDescent="0.25">
      <c r="A4821" s="90">
        <v>34535</v>
      </c>
      <c r="B4821" s="20">
        <v>0.125</v>
      </c>
      <c r="D4821">
        <v>78.080000000000013</v>
      </c>
      <c r="E4821" t="str">
        <f t="shared" si="186"/>
        <v>WEEKDAY</v>
      </c>
      <c r="F4821" t="e">
        <f t="shared" si="185"/>
        <v>#N/A</v>
      </c>
      <c r="G4821" s="74">
        <v>31978</v>
      </c>
      <c r="H4821" s="77">
        <v>0.125</v>
      </c>
      <c r="J4821">
        <v>73.039999999999992</v>
      </c>
      <c r="M4821" s="74">
        <v>33439</v>
      </c>
      <c r="N4821" s="77">
        <v>0.125</v>
      </c>
      <c r="P4821">
        <v>68</v>
      </c>
      <c r="S4821" s="74">
        <v>34535</v>
      </c>
      <c r="T4821" s="77">
        <v>0.125</v>
      </c>
      <c r="V4821">
        <v>75.92</v>
      </c>
      <c r="X4821" s="42"/>
      <c r="AB4821">
        <v>72.400000000000006</v>
      </c>
      <c r="AC4821">
        <v>75.02</v>
      </c>
      <c r="AE4821" s="74"/>
      <c r="AF4821" s="77"/>
      <c r="AH4821" s="497">
        <v>64.400000000000006</v>
      </c>
      <c r="AJ4821" s="42"/>
      <c r="AK4821" s="74"/>
      <c r="AL4821" s="77"/>
      <c r="AN4821" s="497">
        <v>69.98</v>
      </c>
      <c r="AP4821" s="42"/>
      <c r="AQ4821" s="74"/>
      <c r="AR4821" s="77"/>
      <c r="AT4821" s="497">
        <v>66.740000000000009</v>
      </c>
      <c r="AV4821" s="42"/>
      <c r="AW4821" s="74"/>
      <c r="AX4821" s="77"/>
      <c r="BA4821" s="497">
        <v>71.960000000000008</v>
      </c>
      <c r="BB4821" s="42"/>
      <c r="BC4821" s="74"/>
      <c r="BD4821" s="77"/>
      <c r="BF4821">
        <v>78.080000000000013</v>
      </c>
      <c r="BH4821" s="42"/>
      <c r="BI4821" s="74"/>
      <c r="BJ4821" s="77"/>
      <c r="BL4821" s="497">
        <v>57.92</v>
      </c>
      <c r="BN4821" s="42"/>
      <c r="BO4821" s="74"/>
      <c r="BP4821" s="77"/>
      <c r="BR4821" s="497">
        <v>64.94</v>
      </c>
      <c r="BT4821" s="42"/>
    </row>
    <row r="4822" spans="1:72" x14ac:dyDescent="0.25">
      <c r="A4822" s="90">
        <v>34535</v>
      </c>
      <c r="B4822" s="20">
        <v>0.16666666666666666</v>
      </c>
      <c r="D4822">
        <v>78.080000000000013</v>
      </c>
      <c r="E4822" t="str">
        <f t="shared" si="186"/>
        <v>WEEKDAY</v>
      </c>
      <c r="F4822" t="e">
        <f t="shared" si="185"/>
        <v>#N/A</v>
      </c>
      <c r="G4822" s="74">
        <v>31978</v>
      </c>
      <c r="H4822" s="77">
        <v>0.16666666666666666</v>
      </c>
      <c r="J4822">
        <v>73.039999999999992</v>
      </c>
      <c r="M4822" s="74">
        <v>33439</v>
      </c>
      <c r="N4822" s="77">
        <v>0.16666666666666666</v>
      </c>
      <c r="P4822">
        <v>68</v>
      </c>
      <c r="S4822" s="74">
        <v>34535</v>
      </c>
      <c r="T4822" s="77">
        <v>0.16666666666666666</v>
      </c>
      <c r="V4822">
        <v>75.02</v>
      </c>
      <c r="X4822" s="42"/>
      <c r="AB4822">
        <v>72</v>
      </c>
      <c r="AC4822">
        <v>75.02</v>
      </c>
      <c r="AE4822" s="74"/>
      <c r="AF4822" s="77"/>
      <c r="AH4822" s="497">
        <v>64.400000000000006</v>
      </c>
      <c r="AJ4822" s="42"/>
      <c r="AK4822" s="74"/>
      <c r="AL4822" s="77"/>
      <c r="AN4822" s="497">
        <v>68</v>
      </c>
      <c r="AP4822" s="42"/>
      <c r="AQ4822" s="74"/>
      <c r="AR4822" s="77"/>
      <c r="AT4822" s="497">
        <v>66.02</v>
      </c>
      <c r="AV4822" s="42"/>
      <c r="AW4822" s="74"/>
      <c r="AX4822" s="77"/>
      <c r="BA4822" s="497">
        <v>73.94</v>
      </c>
      <c r="BB4822" s="42"/>
      <c r="BC4822" s="74"/>
      <c r="BD4822" s="77"/>
      <c r="BF4822">
        <v>77</v>
      </c>
      <c r="BH4822" s="42"/>
      <c r="BI4822" s="74"/>
      <c r="BJ4822" s="77"/>
      <c r="BL4822" s="497">
        <v>55.94</v>
      </c>
      <c r="BN4822" s="42"/>
      <c r="BO4822" s="74"/>
      <c r="BP4822" s="77"/>
      <c r="BR4822" s="497">
        <v>62.96</v>
      </c>
      <c r="BT4822" s="42"/>
    </row>
    <row r="4823" spans="1:72" x14ac:dyDescent="0.25">
      <c r="A4823" s="90">
        <v>34535</v>
      </c>
      <c r="B4823" s="20">
        <v>0.20833333333333334</v>
      </c>
      <c r="D4823">
        <v>78.080000000000013</v>
      </c>
      <c r="E4823" t="str">
        <f t="shared" si="186"/>
        <v>WEEKDAY</v>
      </c>
      <c r="F4823" t="e">
        <f t="shared" si="185"/>
        <v>#N/A</v>
      </c>
      <c r="G4823" s="74">
        <v>31978</v>
      </c>
      <c r="H4823" s="77">
        <v>0.20833333333333334</v>
      </c>
      <c r="J4823">
        <v>73.039999999999992</v>
      </c>
      <c r="M4823" s="74">
        <v>33439</v>
      </c>
      <c r="N4823" s="77">
        <v>0.20833333333333334</v>
      </c>
      <c r="P4823">
        <v>69.080000000000013</v>
      </c>
      <c r="S4823" s="74">
        <v>34535</v>
      </c>
      <c r="T4823" s="77">
        <v>0.20833333333333334</v>
      </c>
      <c r="V4823">
        <v>75.02</v>
      </c>
      <c r="X4823" s="42"/>
      <c r="AB4823">
        <v>71.5</v>
      </c>
      <c r="AC4823">
        <v>75.02</v>
      </c>
      <c r="AE4823" s="74"/>
      <c r="AF4823" s="77"/>
      <c r="AH4823" s="497">
        <v>64.400000000000006</v>
      </c>
      <c r="AJ4823" s="42"/>
      <c r="AK4823" s="74"/>
      <c r="AL4823" s="77"/>
      <c r="AN4823" s="497">
        <v>68</v>
      </c>
      <c r="AP4823" s="42"/>
      <c r="AQ4823" s="74"/>
      <c r="AR4823" s="77"/>
      <c r="AT4823" s="497">
        <v>68.36</v>
      </c>
      <c r="AV4823" s="42"/>
      <c r="AW4823" s="74"/>
      <c r="AX4823" s="77"/>
      <c r="BA4823" s="497">
        <v>73.94</v>
      </c>
      <c r="BB4823" s="42"/>
      <c r="BC4823" s="74"/>
      <c r="BD4823" s="77"/>
      <c r="BF4823">
        <v>75.02</v>
      </c>
      <c r="BH4823" s="42"/>
      <c r="BI4823" s="74"/>
      <c r="BJ4823" s="77"/>
      <c r="BL4823" s="497">
        <v>55.94</v>
      </c>
      <c r="BN4823" s="42"/>
      <c r="BO4823" s="74"/>
      <c r="BP4823" s="77"/>
      <c r="BR4823" s="497">
        <v>62.06</v>
      </c>
      <c r="BT4823" s="42"/>
    </row>
    <row r="4824" spans="1:72" x14ac:dyDescent="0.25">
      <c r="A4824" s="90">
        <v>34535</v>
      </c>
      <c r="B4824" s="20">
        <v>0.25</v>
      </c>
      <c r="D4824">
        <v>78.080000000000013</v>
      </c>
      <c r="E4824" t="str">
        <f t="shared" si="186"/>
        <v>WEEKDAY</v>
      </c>
      <c r="F4824" t="e">
        <f t="shared" si="185"/>
        <v>#N/A</v>
      </c>
      <c r="G4824" s="74">
        <v>31978</v>
      </c>
      <c r="H4824" s="77">
        <v>0.25</v>
      </c>
      <c r="J4824">
        <v>73.039999999999992</v>
      </c>
      <c r="M4824" s="74">
        <v>33439</v>
      </c>
      <c r="N4824" s="77">
        <v>0.25</v>
      </c>
      <c r="P4824">
        <v>69.98</v>
      </c>
      <c r="S4824" s="74">
        <v>34535</v>
      </c>
      <c r="T4824" s="77">
        <v>0.25</v>
      </c>
      <c r="V4824">
        <v>75.92</v>
      </c>
      <c r="X4824" s="42"/>
      <c r="AB4824">
        <v>71.2</v>
      </c>
      <c r="AC4824">
        <v>75.02</v>
      </c>
      <c r="AE4824" s="74"/>
      <c r="AF4824" s="77"/>
      <c r="AH4824" s="497">
        <v>64.400000000000006</v>
      </c>
      <c r="AJ4824" s="42"/>
      <c r="AK4824" s="74"/>
      <c r="AL4824" s="77"/>
      <c r="AN4824" s="497">
        <v>68</v>
      </c>
      <c r="AP4824" s="42"/>
      <c r="AQ4824" s="74"/>
      <c r="AR4824" s="77"/>
      <c r="AT4824" s="497">
        <v>70.7</v>
      </c>
      <c r="AV4824" s="42"/>
      <c r="AW4824" s="74"/>
      <c r="AX4824" s="77"/>
      <c r="BA4824" s="497">
        <v>73.039999999999992</v>
      </c>
      <c r="BB4824" s="42"/>
      <c r="BC4824" s="74"/>
      <c r="BD4824" s="77"/>
      <c r="BF4824">
        <v>75.02</v>
      </c>
      <c r="BH4824" s="42"/>
      <c r="BI4824" s="74"/>
      <c r="BJ4824" s="77"/>
      <c r="BL4824" s="497">
        <v>60.08</v>
      </c>
      <c r="BN4824" s="42"/>
      <c r="BO4824" s="74"/>
      <c r="BP4824" s="77"/>
      <c r="BR4824" s="497">
        <v>62.96</v>
      </c>
      <c r="BT4824" s="42"/>
    </row>
    <row r="4825" spans="1:72" x14ac:dyDescent="0.25">
      <c r="A4825" s="90">
        <v>34535</v>
      </c>
      <c r="B4825" s="20">
        <v>0.29166666666666669</v>
      </c>
      <c r="D4825">
        <v>80.960000000000008</v>
      </c>
      <c r="E4825" t="str">
        <f t="shared" si="186"/>
        <v>WEEKDAY</v>
      </c>
      <c r="F4825" t="e">
        <f t="shared" si="185"/>
        <v>#N/A</v>
      </c>
      <c r="G4825" s="74">
        <v>31978</v>
      </c>
      <c r="H4825" s="77">
        <v>0.29166666666666669</v>
      </c>
      <c r="J4825">
        <v>73.94</v>
      </c>
      <c r="M4825" s="74">
        <v>33439</v>
      </c>
      <c r="N4825" s="77">
        <v>0.29166666666666669</v>
      </c>
      <c r="P4825">
        <v>73.039999999999992</v>
      </c>
      <c r="S4825" s="74">
        <v>34535</v>
      </c>
      <c r="T4825" s="77">
        <v>0.29166666666666669</v>
      </c>
      <c r="V4825">
        <v>77</v>
      </c>
      <c r="X4825" s="42"/>
      <c r="AB4825">
        <v>72.5</v>
      </c>
      <c r="AC4825">
        <v>75.92</v>
      </c>
      <c r="AE4825" s="74"/>
      <c r="AF4825" s="77"/>
      <c r="AH4825" s="497">
        <v>64.400000000000006</v>
      </c>
      <c r="AJ4825" s="42"/>
      <c r="AK4825" s="74"/>
      <c r="AL4825" s="77"/>
      <c r="AN4825" s="497">
        <v>69.080000000000013</v>
      </c>
      <c r="AP4825" s="42"/>
      <c r="AQ4825" s="74"/>
      <c r="AR4825" s="77"/>
      <c r="AT4825" s="497">
        <v>73.039999999999992</v>
      </c>
      <c r="AV4825" s="42"/>
      <c r="AW4825" s="74"/>
      <c r="AX4825" s="77"/>
      <c r="BA4825" s="497">
        <v>75.02</v>
      </c>
      <c r="BB4825" s="42"/>
      <c r="BC4825" s="74"/>
      <c r="BD4825" s="77"/>
      <c r="BF4825">
        <v>77</v>
      </c>
      <c r="BH4825" s="42"/>
      <c r="BI4825" s="74"/>
      <c r="BJ4825" s="77"/>
      <c r="BL4825" s="497">
        <v>64.039999999999992</v>
      </c>
      <c r="BN4825" s="42"/>
      <c r="BO4825" s="74"/>
      <c r="BP4825" s="77"/>
      <c r="BR4825" s="497">
        <v>64.94</v>
      </c>
      <c r="BT4825" s="42"/>
    </row>
    <row r="4826" spans="1:72" x14ac:dyDescent="0.25">
      <c r="A4826" s="90">
        <v>34535</v>
      </c>
      <c r="B4826" s="20">
        <v>0.33333333333333331</v>
      </c>
      <c r="D4826">
        <v>82.94</v>
      </c>
      <c r="E4826" t="str">
        <f t="shared" si="186"/>
        <v>WEEKDAY</v>
      </c>
      <c r="F4826" t="e">
        <f t="shared" si="185"/>
        <v>#N/A</v>
      </c>
      <c r="G4826" s="74">
        <v>31978</v>
      </c>
      <c r="H4826" s="77">
        <v>0.33333333333333331</v>
      </c>
      <c r="J4826">
        <v>75.02</v>
      </c>
      <c r="M4826" s="74">
        <v>33439</v>
      </c>
      <c r="N4826" s="77">
        <v>0.33333333333333331</v>
      </c>
      <c r="P4826">
        <v>78.080000000000013</v>
      </c>
      <c r="S4826" s="74">
        <v>34535</v>
      </c>
      <c r="T4826" s="77">
        <v>0.33333333333333331</v>
      </c>
      <c r="V4826">
        <v>78.080000000000013</v>
      </c>
      <c r="X4826" s="42"/>
      <c r="AB4826">
        <v>74.400000000000006</v>
      </c>
      <c r="AC4826">
        <v>77</v>
      </c>
      <c r="AE4826" s="74"/>
      <c r="AF4826" s="77"/>
      <c r="AH4826" s="497">
        <v>66.2</v>
      </c>
      <c r="AJ4826" s="42"/>
      <c r="AK4826" s="74"/>
      <c r="AL4826" s="77"/>
      <c r="AN4826" s="497">
        <v>73.039999999999992</v>
      </c>
      <c r="AP4826" s="42"/>
      <c r="AQ4826" s="74"/>
      <c r="AR4826" s="77"/>
      <c r="AT4826" s="497">
        <v>76.28</v>
      </c>
      <c r="AV4826" s="42"/>
      <c r="AW4826" s="74"/>
      <c r="AX4826" s="77"/>
      <c r="BA4826" s="497">
        <v>78.98</v>
      </c>
      <c r="BB4826" s="42"/>
      <c r="BC4826" s="74"/>
      <c r="BD4826" s="77"/>
      <c r="BF4826">
        <v>78.98</v>
      </c>
      <c r="BH4826" s="42"/>
      <c r="BI4826" s="74"/>
      <c r="BJ4826" s="77"/>
      <c r="BL4826" s="497">
        <v>69.98</v>
      </c>
      <c r="BN4826" s="42"/>
      <c r="BO4826" s="74"/>
      <c r="BP4826" s="77"/>
      <c r="BR4826" s="497">
        <v>68</v>
      </c>
      <c r="BT4826" s="42"/>
    </row>
    <row r="4827" spans="1:72" x14ac:dyDescent="0.25">
      <c r="A4827" s="90">
        <v>34535</v>
      </c>
      <c r="B4827" s="20">
        <v>0.375</v>
      </c>
      <c r="D4827">
        <v>84.92</v>
      </c>
      <c r="E4827" t="str">
        <f t="shared" si="186"/>
        <v>WEEKDAY</v>
      </c>
      <c r="F4827" t="e">
        <f t="shared" si="185"/>
        <v>#N/A</v>
      </c>
      <c r="G4827" s="74">
        <v>31978</v>
      </c>
      <c r="H4827" s="77">
        <v>0.375</v>
      </c>
      <c r="J4827">
        <v>75.92</v>
      </c>
      <c r="M4827" s="74">
        <v>33439</v>
      </c>
      <c r="N4827" s="77">
        <v>0.375</v>
      </c>
      <c r="P4827">
        <v>82.94</v>
      </c>
      <c r="S4827" s="74">
        <v>34535</v>
      </c>
      <c r="T4827" s="77">
        <v>0.375</v>
      </c>
      <c r="V4827">
        <v>78.98</v>
      </c>
      <c r="X4827" s="42"/>
      <c r="AB4827">
        <v>76.3</v>
      </c>
      <c r="AC4827">
        <v>80.960000000000008</v>
      </c>
      <c r="AE4827" s="74"/>
      <c r="AF4827" s="77"/>
      <c r="AH4827" s="497">
        <v>66.2</v>
      </c>
      <c r="AJ4827" s="42"/>
      <c r="AK4827" s="74"/>
      <c r="AL4827" s="77"/>
      <c r="AN4827" s="497">
        <v>75.92</v>
      </c>
      <c r="AP4827" s="42"/>
      <c r="AQ4827" s="74"/>
      <c r="AR4827" s="77"/>
      <c r="AT4827" s="497">
        <v>79.7</v>
      </c>
      <c r="AV4827" s="42"/>
      <c r="AW4827" s="74"/>
      <c r="AX4827" s="77"/>
      <c r="BA4827" s="497">
        <v>82.039999999999992</v>
      </c>
      <c r="BB4827" s="42"/>
      <c r="BC4827" s="74"/>
      <c r="BD4827" s="77"/>
      <c r="BF4827">
        <v>80.960000000000008</v>
      </c>
      <c r="BH4827" s="42"/>
      <c r="BI4827" s="74"/>
      <c r="BJ4827" s="77"/>
      <c r="BL4827" s="497">
        <v>73.94</v>
      </c>
      <c r="BN4827" s="42"/>
      <c r="BO4827" s="74"/>
      <c r="BP4827" s="77"/>
      <c r="BR4827" s="497">
        <v>68</v>
      </c>
      <c r="BT4827" s="42"/>
    </row>
    <row r="4828" spans="1:72" x14ac:dyDescent="0.25">
      <c r="A4828" s="90">
        <v>34535</v>
      </c>
      <c r="B4828" s="20">
        <v>0.41666666666666669</v>
      </c>
      <c r="D4828">
        <v>87.080000000000013</v>
      </c>
      <c r="E4828" t="str">
        <f t="shared" si="186"/>
        <v>WEEKDAY</v>
      </c>
      <c r="F4828" t="e">
        <f t="shared" si="185"/>
        <v>#N/A</v>
      </c>
      <c r="G4828" s="74">
        <v>31978</v>
      </c>
      <c r="H4828" s="77">
        <v>0.41666666666666669</v>
      </c>
      <c r="J4828">
        <v>78.98</v>
      </c>
      <c r="M4828" s="74">
        <v>33439</v>
      </c>
      <c r="N4828" s="77">
        <v>0.41666666666666669</v>
      </c>
      <c r="P4828">
        <v>98.960000000000008</v>
      </c>
      <c r="S4828" s="74">
        <v>34535</v>
      </c>
      <c r="T4828" s="77">
        <v>0.41666666666666669</v>
      </c>
      <c r="V4828">
        <v>82.039999999999992</v>
      </c>
      <c r="X4828" s="42"/>
      <c r="AB4828">
        <v>78.099999999999994</v>
      </c>
      <c r="AC4828">
        <v>82.94</v>
      </c>
      <c r="AE4828" s="74"/>
      <c r="AF4828" s="77"/>
      <c r="AH4828" s="497">
        <v>69.800000000000011</v>
      </c>
      <c r="AJ4828" s="42"/>
      <c r="AK4828" s="74"/>
      <c r="AL4828" s="77"/>
      <c r="AN4828" s="497">
        <v>78.98</v>
      </c>
      <c r="AP4828" s="42"/>
      <c r="AQ4828" s="74"/>
      <c r="AR4828" s="77"/>
      <c r="AT4828" s="497">
        <v>82.94</v>
      </c>
      <c r="AV4828" s="42"/>
      <c r="AW4828" s="74"/>
      <c r="AX4828" s="77"/>
      <c r="BA4828" s="497">
        <v>82.94</v>
      </c>
      <c r="BB4828" s="42"/>
      <c r="BC4828" s="74"/>
      <c r="BD4828" s="77"/>
      <c r="BF4828">
        <v>84.02</v>
      </c>
      <c r="BH4828" s="42"/>
      <c r="BI4828" s="74"/>
      <c r="BJ4828" s="77"/>
      <c r="BL4828" s="497">
        <v>78.080000000000013</v>
      </c>
      <c r="BN4828" s="42"/>
      <c r="BO4828" s="74"/>
      <c r="BP4828" s="77"/>
      <c r="BR4828" s="497">
        <v>69.98</v>
      </c>
      <c r="BT4828" s="42"/>
    </row>
    <row r="4829" spans="1:72" x14ac:dyDescent="0.25">
      <c r="A4829" s="90">
        <v>34535</v>
      </c>
      <c r="B4829" s="20">
        <v>0.45833333333333331</v>
      </c>
      <c r="D4829">
        <v>89.960000000000008</v>
      </c>
      <c r="E4829" t="str">
        <f t="shared" si="186"/>
        <v>WEEKDAY</v>
      </c>
      <c r="F4829" t="e">
        <f t="shared" si="185"/>
        <v>#N/A</v>
      </c>
      <c r="G4829" s="74">
        <v>31978</v>
      </c>
      <c r="H4829" s="77">
        <v>0.45833333333333331</v>
      </c>
      <c r="J4829">
        <v>78.98</v>
      </c>
      <c r="M4829" s="74">
        <v>33439</v>
      </c>
      <c r="N4829" s="77">
        <v>0.45833333333333331</v>
      </c>
      <c r="P4829">
        <v>89.960000000000008</v>
      </c>
      <c r="S4829" s="74">
        <v>34535</v>
      </c>
      <c r="T4829" s="77">
        <v>0.45833333333333331</v>
      </c>
      <c r="V4829">
        <v>82.94</v>
      </c>
      <c r="X4829" s="42"/>
      <c r="AB4829">
        <v>79.599999999999994</v>
      </c>
      <c r="AC4829">
        <v>84.02</v>
      </c>
      <c r="AE4829" s="74"/>
      <c r="AF4829" s="77"/>
      <c r="AH4829" s="497">
        <v>71.599999999999994</v>
      </c>
      <c r="AJ4829" s="42"/>
      <c r="AK4829" s="74"/>
      <c r="AL4829" s="77"/>
      <c r="AN4829" s="497">
        <v>80.06</v>
      </c>
      <c r="AP4829" s="42"/>
      <c r="AQ4829" s="74"/>
      <c r="AR4829" s="77"/>
      <c r="AT4829" s="497">
        <v>85.28</v>
      </c>
      <c r="AV4829" s="42"/>
      <c r="AW4829" s="74"/>
      <c r="AX4829" s="77"/>
      <c r="BA4829" s="497">
        <v>82.039999999999992</v>
      </c>
      <c r="BB4829" s="42"/>
      <c r="BC4829" s="74"/>
      <c r="BD4829" s="77"/>
      <c r="BF4829">
        <v>84.92</v>
      </c>
      <c r="BH4829" s="42"/>
      <c r="BI4829" s="74"/>
      <c r="BJ4829" s="77"/>
      <c r="BL4829" s="497">
        <v>80.06</v>
      </c>
      <c r="BN4829" s="42"/>
      <c r="BO4829" s="74"/>
      <c r="BP4829" s="77"/>
      <c r="BR4829" s="497">
        <v>71.06</v>
      </c>
      <c r="BT4829" s="42"/>
    </row>
    <row r="4830" spans="1:72" x14ac:dyDescent="0.25">
      <c r="A4830" s="90">
        <v>34535</v>
      </c>
      <c r="B4830" s="20">
        <v>0.5</v>
      </c>
      <c r="D4830">
        <v>91.039999999999992</v>
      </c>
      <c r="E4830" t="str">
        <f t="shared" si="186"/>
        <v>WEEKDAY</v>
      </c>
      <c r="F4830" t="e">
        <f t="shared" si="185"/>
        <v>#N/A</v>
      </c>
      <c r="G4830" s="74">
        <v>31978</v>
      </c>
      <c r="H4830" s="77">
        <v>0.5</v>
      </c>
      <c r="J4830">
        <v>75.02</v>
      </c>
      <c r="M4830" s="74">
        <v>33439</v>
      </c>
      <c r="N4830" s="77">
        <v>0.5</v>
      </c>
      <c r="P4830">
        <v>91.94</v>
      </c>
      <c r="S4830" s="74">
        <v>34535</v>
      </c>
      <c r="T4830" s="77">
        <v>0.5</v>
      </c>
      <c r="V4830">
        <v>86</v>
      </c>
      <c r="X4830" s="42"/>
      <c r="AB4830">
        <v>80.8</v>
      </c>
      <c r="AC4830">
        <v>87.080000000000013</v>
      </c>
      <c r="AE4830" s="74"/>
      <c r="AF4830" s="77"/>
      <c r="AH4830" s="497">
        <v>71.599999999999994</v>
      </c>
      <c r="AJ4830" s="42"/>
      <c r="AK4830" s="74"/>
      <c r="AL4830" s="77"/>
      <c r="AN4830" s="497">
        <v>82.039999999999992</v>
      </c>
      <c r="AP4830" s="42"/>
      <c r="AQ4830" s="74"/>
      <c r="AR4830" s="77"/>
      <c r="AT4830" s="497">
        <v>87.62</v>
      </c>
      <c r="AV4830" s="42"/>
      <c r="AW4830" s="74"/>
      <c r="AX4830" s="77"/>
      <c r="BA4830" s="497">
        <v>69.98</v>
      </c>
      <c r="BB4830" s="42"/>
      <c r="BC4830" s="74"/>
      <c r="BD4830" s="77"/>
      <c r="BF4830">
        <v>84.02</v>
      </c>
      <c r="BH4830" s="42"/>
      <c r="BI4830" s="74"/>
      <c r="BJ4830" s="77"/>
      <c r="BL4830" s="497">
        <v>82.039999999999992</v>
      </c>
      <c r="BN4830" s="42"/>
      <c r="BO4830" s="74"/>
      <c r="BP4830" s="77"/>
      <c r="BR4830" s="497">
        <v>71.06</v>
      </c>
      <c r="BT4830" s="42"/>
    </row>
    <row r="4831" spans="1:72" x14ac:dyDescent="0.25">
      <c r="A4831" s="90">
        <v>34535</v>
      </c>
      <c r="B4831" s="20">
        <v>0.54166666666666663</v>
      </c>
      <c r="D4831">
        <v>91.039999999999992</v>
      </c>
      <c r="E4831" t="str">
        <f t="shared" si="186"/>
        <v>WEEKDAY</v>
      </c>
      <c r="F4831" t="e">
        <f t="shared" si="185"/>
        <v>#N/A</v>
      </c>
      <c r="G4831" s="74">
        <v>31978</v>
      </c>
      <c r="H4831" s="77">
        <v>0.54166666666666663</v>
      </c>
      <c r="J4831">
        <v>78.080000000000013</v>
      </c>
      <c r="M4831" s="74">
        <v>33439</v>
      </c>
      <c r="N4831" s="77">
        <v>0.54166666666666663</v>
      </c>
      <c r="P4831">
        <v>95</v>
      </c>
      <c r="S4831" s="74">
        <v>34535</v>
      </c>
      <c r="T4831" s="77">
        <v>0.54166666666666663</v>
      </c>
      <c r="V4831">
        <v>86</v>
      </c>
      <c r="X4831" s="42"/>
      <c r="AB4831">
        <v>81.599999999999994</v>
      </c>
      <c r="AC4831">
        <v>86</v>
      </c>
      <c r="AE4831" s="74"/>
      <c r="AF4831" s="77"/>
      <c r="AH4831" s="497">
        <v>71.599999999999994</v>
      </c>
      <c r="AJ4831" s="42"/>
      <c r="AK4831" s="74"/>
      <c r="AL4831" s="77"/>
      <c r="AN4831" s="497">
        <v>82.039999999999992</v>
      </c>
      <c r="AP4831" s="42"/>
      <c r="AQ4831" s="74"/>
      <c r="AR4831" s="77"/>
      <c r="AT4831" s="497">
        <v>89.960000000000008</v>
      </c>
      <c r="AV4831" s="42"/>
      <c r="AW4831" s="74"/>
      <c r="AX4831" s="77"/>
      <c r="BA4831" s="497">
        <v>71.06</v>
      </c>
      <c r="BB4831" s="42"/>
      <c r="BC4831" s="74"/>
      <c r="BD4831" s="77"/>
      <c r="BF4831">
        <v>86</v>
      </c>
      <c r="BH4831" s="42"/>
      <c r="BI4831" s="74"/>
      <c r="BJ4831" s="77"/>
      <c r="BL4831" s="497">
        <v>82.94</v>
      </c>
      <c r="BN4831" s="42"/>
      <c r="BO4831" s="74"/>
      <c r="BP4831" s="77"/>
      <c r="BR4831" s="497">
        <v>73.039999999999992</v>
      </c>
      <c r="BT4831" s="42"/>
    </row>
    <row r="4832" spans="1:72" x14ac:dyDescent="0.25">
      <c r="A4832" s="90">
        <v>34535</v>
      </c>
      <c r="B4832" s="20">
        <v>0.58333333333333337</v>
      </c>
      <c r="D4832">
        <v>91.94</v>
      </c>
      <c r="E4832" t="str">
        <f t="shared" si="186"/>
        <v>WEEKDAY</v>
      </c>
      <c r="F4832" t="e">
        <f t="shared" si="185"/>
        <v>#N/A</v>
      </c>
      <c r="G4832" s="74">
        <v>31978</v>
      </c>
      <c r="H4832" s="77">
        <v>0.58333333333333337</v>
      </c>
      <c r="J4832">
        <v>82.039999999999992</v>
      </c>
      <c r="M4832" s="74">
        <v>33439</v>
      </c>
      <c r="N4832" s="77">
        <v>0.58333333333333337</v>
      </c>
      <c r="P4832">
        <v>95</v>
      </c>
      <c r="S4832" s="74">
        <v>34535</v>
      </c>
      <c r="T4832" s="77">
        <v>0.58333333333333337</v>
      </c>
      <c r="V4832">
        <v>84.92</v>
      </c>
      <c r="X4832" s="42"/>
      <c r="AB4832">
        <v>82</v>
      </c>
      <c r="AC4832">
        <v>84.02</v>
      </c>
      <c r="AE4832" s="74"/>
      <c r="AF4832" s="77"/>
      <c r="AH4832" s="497">
        <v>73.400000000000006</v>
      </c>
      <c r="AJ4832" s="42"/>
      <c r="AK4832" s="74"/>
      <c r="AL4832" s="77"/>
      <c r="AN4832" s="497">
        <v>84.92</v>
      </c>
      <c r="AP4832" s="42"/>
      <c r="AQ4832" s="74"/>
      <c r="AR4832" s="77"/>
      <c r="AT4832" s="497">
        <v>91.22</v>
      </c>
      <c r="AV4832" s="42"/>
      <c r="AW4832" s="74"/>
      <c r="AX4832" s="77"/>
      <c r="BA4832" s="497">
        <v>71.06</v>
      </c>
      <c r="BB4832" s="42"/>
      <c r="BC4832" s="74"/>
      <c r="BD4832" s="77"/>
      <c r="BF4832">
        <v>86</v>
      </c>
      <c r="BH4832" s="42"/>
      <c r="BI4832" s="74"/>
      <c r="BJ4832" s="77"/>
      <c r="BL4832" s="497">
        <v>82.94</v>
      </c>
      <c r="BN4832" s="42"/>
      <c r="BO4832" s="74"/>
      <c r="BP4832" s="77"/>
      <c r="BR4832" s="497">
        <v>71.06</v>
      </c>
      <c r="BT4832" s="42"/>
    </row>
    <row r="4833" spans="1:72" x14ac:dyDescent="0.25">
      <c r="A4833" s="90">
        <v>34535</v>
      </c>
      <c r="B4833" s="20">
        <v>0.625</v>
      </c>
      <c r="D4833">
        <v>89.06</v>
      </c>
      <c r="E4833" t="str">
        <f t="shared" si="186"/>
        <v>WEEKDAY</v>
      </c>
      <c r="F4833" t="e">
        <f t="shared" si="185"/>
        <v>#N/A</v>
      </c>
      <c r="G4833" s="74">
        <v>31978</v>
      </c>
      <c r="H4833" s="77">
        <v>0.625</v>
      </c>
      <c r="J4833">
        <v>84.02</v>
      </c>
      <c r="M4833" s="74">
        <v>33439</v>
      </c>
      <c r="N4833" s="77">
        <v>0.625</v>
      </c>
      <c r="P4833">
        <v>96.08</v>
      </c>
      <c r="S4833" s="74">
        <v>34535</v>
      </c>
      <c r="T4833" s="77">
        <v>0.625</v>
      </c>
      <c r="V4833">
        <v>82.94</v>
      </c>
      <c r="X4833" s="42"/>
      <c r="AB4833">
        <v>81.900000000000006</v>
      </c>
      <c r="AC4833">
        <v>84.02</v>
      </c>
      <c r="AE4833" s="74"/>
      <c r="AF4833" s="77"/>
      <c r="AH4833" s="497">
        <v>75.2</v>
      </c>
      <c r="AJ4833" s="42"/>
      <c r="AK4833" s="74"/>
      <c r="AL4833" s="77"/>
      <c r="AN4833" s="497">
        <v>86</v>
      </c>
      <c r="AP4833" s="42"/>
      <c r="AQ4833" s="74"/>
      <c r="AR4833" s="77"/>
      <c r="AT4833" s="497">
        <v>92.66</v>
      </c>
      <c r="AV4833" s="42"/>
      <c r="AW4833" s="74"/>
      <c r="AX4833" s="77"/>
      <c r="BA4833" s="497">
        <v>71.960000000000008</v>
      </c>
      <c r="BB4833" s="42"/>
      <c r="BC4833" s="74"/>
      <c r="BD4833" s="77"/>
      <c r="BF4833">
        <v>84.02</v>
      </c>
      <c r="BH4833" s="42"/>
      <c r="BI4833" s="74"/>
      <c r="BJ4833" s="77"/>
      <c r="BL4833" s="497">
        <v>84.02</v>
      </c>
      <c r="BN4833" s="42"/>
      <c r="BO4833" s="74"/>
      <c r="BP4833" s="77"/>
      <c r="BR4833" s="497">
        <v>71.06</v>
      </c>
      <c r="BT4833" s="42"/>
    </row>
    <row r="4834" spans="1:72" x14ac:dyDescent="0.25">
      <c r="A4834" s="90">
        <v>34535</v>
      </c>
      <c r="B4834" s="20">
        <v>0.66666666666666663</v>
      </c>
      <c r="D4834">
        <v>89.06</v>
      </c>
      <c r="E4834" t="str">
        <f t="shared" si="186"/>
        <v>WEEKDAY</v>
      </c>
      <c r="F4834" t="e">
        <f t="shared" si="185"/>
        <v>#N/A</v>
      </c>
      <c r="G4834" s="74">
        <v>31978</v>
      </c>
      <c r="H4834" s="77">
        <v>0.66666666666666663</v>
      </c>
      <c r="J4834">
        <v>82.94</v>
      </c>
      <c r="M4834" s="74">
        <v>33439</v>
      </c>
      <c r="N4834" s="77">
        <v>0.66666666666666663</v>
      </c>
      <c r="P4834">
        <v>95</v>
      </c>
      <c r="S4834" s="74">
        <v>34535</v>
      </c>
      <c r="T4834" s="77">
        <v>0.66666666666666663</v>
      </c>
      <c r="V4834">
        <v>84.02</v>
      </c>
      <c r="X4834" s="42"/>
      <c r="AB4834">
        <v>81.400000000000006</v>
      </c>
      <c r="AC4834">
        <v>84.02</v>
      </c>
      <c r="AE4834" s="74"/>
      <c r="AF4834" s="77"/>
      <c r="AH4834" s="497">
        <v>75.2</v>
      </c>
      <c r="AJ4834" s="42"/>
      <c r="AK4834" s="74"/>
      <c r="AL4834" s="77"/>
      <c r="AN4834" s="497">
        <v>84.02</v>
      </c>
      <c r="AP4834" s="42"/>
      <c r="AQ4834" s="74"/>
      <c r="AR4834" s="77"/>
      <c r="AT4834" s="497">
        <v>93.92</v>
      </c>
      <c r="AV4834" s="42"/>
      <c r="AW4834" s="74"/>
      <c r="AX4834" s="77"/>
      <c r="BA4834" s="497">
        <v>73.039999999999992</v>
      </c>
      <c r="BB4834" s="42"/>
      <c r="BC4834" s="74"/>
      <c r="BD4834" s="77"/>
      <c r="BF4834">
        <v>84.92</v>
      </c>
      <c r="BH4834" s="42"/>
      <c r="BI4834" s="74"/>
      <c r="BJ4834" s="77"/>
      <c r="BL4834" s="497">
        <v>82.039999999999992</v>
      </c>
      <c r="BN4834" s="42"/>
      <c r="BO4834" s="74"/>
      <c r="BP4834" s="77"/>
      <c r="BR4834" s="497">
        <v>71.960000000000008</v>
      </c>
      <c r="BT4834" s="42"/>
    </row>
    <row r="4835" spans="1:72" x14ac:dyDescent="0.25">
      <c r="A4835" s="90">
        <v>34535</v>
      </c>
      <c r="B4835" s="20">
        <v>0.70833333333333337</v>
      </c>
      <c r="D4835">
        <v>89.06</v>
      </c>
      <c r="E4835" t="str">
        <f t="shared" si="186"/>
        <v>WEEKDAY</v>
      </c>
      <c r="F4835" t="e">
        <f t="shared" si="185"/>
        <v>#N/A</v>
      </c>
      <c r="G4835" s="74">
        <v>31978</v>
      </c>
      <c r="H4835" s="77">
        <v>0.70833333333333337</v>
      </c>
      <c r="J4835">
        <v>84.02</v>
      </c>
      <c r="M4835" s="74">
        <v>33439</v>
      </c>
      <c r="N4835" s="77">
        <v>0.70833333333333337</v>
      </c>
      <c r="P4835">
        <v>93.92</v>
      </c>
      <c r="S4835" s="74">
        <v>34535</v>
      </c>
      <c r="T4835" s="77">
        <v>0.70833333333333337</v>
      </c>
      <c r="V4835">
        <v>84.02</v>
      </c>
      <c r="X4835" s="42"/>
      <c r="AB4835">
        <v>80.599999999999994</v>
      </c>
      <c r="AC4835">
        <v>82.94</v>
      </c>
      <c r="AE4835" s="74"/>
      <c r="AF4835" s="77"/>
      <c r="AH4835" s="497">
        <v>73.400000000000006</v>
      </c>
      <c r="AJ4835" s="42"/>
      <c r="AK4835" s="74"/>
      <c r="AL4835" s="77"/>
      <c r="AN4835" s="497">
        <v>84.02</v>
      </c>
      <c r="AP4835" s="42"/>
      <c r="AQ4835" s="74"/>
      <c r="AR4835" s="77"/>
      <c r="AT4835" s="497">
        <v>90.68</v>
      </c>
      <c r="AV4835" s="42"/>
      <c r="AW4835" s="74"/>
      <c r="AX4835" s="77"/>
      <c r="BA4835" s="497">
        <v>73.039999999999992</v>
      </c>
      <c r="BB4835" s="42"/>
      <c r="BC4835" s="74"/>
      <c r="BD4835" s="77"/>
      <c r="BF4835">
        <v>84.92</v>
      </c>
      <c r="BH4835" s="42"/>
      <c r="BI4835" s="74"/>
      <c r="BJ4835" s="77"/>
      <c r="BL4835" s="497">
        <v>82.039999999999992</v>
      </c>
      <c r="BN4835" s="42"/>
      <c r="BO4835" s="74"/>
      <c r="BP4835" s="77"/>
      <c r="BR4835" s="497">
        <v>71.06</v>
      </c>
      <c r="BT4835" s="42"/>
    </row>
    <row r="4836" spans="1:72" x14ac:dyDescent="0.25">
      <c r="A4836" s="90">
        <v>34535</v>
      </c>
      <c r="B4836" s="20">
        <v>0.75</v>
      </c>
      <c r="D4836">
        <v>87.080000000000013</v>
      </c>
      <c r="E4836" t="str">
        <f t="shared" si="186"/>
        <v>WEEKDAY</v>
      </c>
      <c r="F4836" t="e">
        <f t="shared" si="185"/>
        <v>#N/A</v>
      </c>
      <c r="G4836" s="74">
        <v>31978</v>
      </c>
      <c r="H4836" s="77">
        <v>0.75</v>
      </c>
      <c r="J4836">
        <v>84.92</v>
      </c>
      <c r="M4836" s="74">
        <v>33439</v>
      </c>
      <c r="N4836" s="77">
        <v>0.75</v>
      </c>
      <c r="P4836">
        <v>93.02</v>
      </c>
      <c r="S4836" s="74">
        <v>34535</v>
      </c>
      <c r="T4836" s="77">
        <v>0.75</v>
      </c>
      <c r="V4836">
        <v>82.039999999999992</v>
      </c>
      <c r="X4836" s="42"/>
      <c r="AB4836">
        <v>79.400000000000006</v>
      </c>
      <c r="AC4836">
        <v>80.960000000000008</v>
      </c>
      <c r="AE4836" s="74"/>
      <c r="AF4836" s="77"/>
      <c r="AH4836" s="497">
        <v>71.599999999999994</v>
      </c>
      <c r="AJ4836" s="42"/>
      <c r="AK4836" s="74"/>
      <c r="AL4836" s="77"/>
      <c r="AN4836" s="497">
        <v>82.039999999999992</v>
      </c>
      <c r="AP4836" s="42"/>
      <c r="AQ4836" s="74"/>
      <c r="AR4836" s="77"/>
      <c r="AT4836" s="497">
        <v>87.259999999999991</v>
      </c>
      <c r="AV4836" s="42"/>
      <c r="AW4836" s="74"/>
      <c r="AX4836" s="77"/>
      <c r="BA4836" s="497">
        <v>73.039999999999992</v>
      </c>
      <c r="BB4836" s="42"/>
      <c r="BC4836" s="74"/>
      <c r="BD4836" s="77"/>
      <c r="BF4836">
        <v>84.92</v>
      </c>
      <c r="BH4836" s="42"/>
      <c r="BI4836" s="74"/>
      <c r="BJ4836" s="77"/>
      <c r="BL4836" s="497">
        <v>80.960000000000008</v>
      </c>
      <c r="BN4836" s="42"/>
      <c r="BO4836" s="74"/>
      <c r="BP4836" s="77"/>
      <c r="BR4836" s="497">
        <v>71.960000000000008</v>
      </c>
      <c r="BT4836" s="42"/>
    </row>
    <row r="4837" spans="1:72" x14ac:dyDescent="0.25">
      <c r="A4837" s="90">
        <v>34535</v>
      </c>
      <c r="B4837" s="20">
        <v>0.79166666666666663</v>
      </c>
      <c r="D4837">
        <v>84.92</v>
      </c>
      <c r="E4837" t="str">
        <f t="shared" si="186"/>
        <v>WEEKDAY</v>
      </c>
      <c r="F4837" t="e">
        <f t="shared" si="185"/>
        <v>#N/A</v>
      </c>
      <c r="G4837" s="74">
        <v>31978</v>
      </c>
      <c r="H4837" s="77">
        <v>0.79166666666666663</v>
      </c>
      <c r="J4837">
        <v>84.92</v>
      </c>
      <c r="M4837" s="74">
        <v>33439</v>
      </c>
      <c r="N4837" s="77">
        <v>0.79166666666666663</v>
      </c>
      <c r="P4837">
        <v>89.06</v>
      </c>
      <c r="S4837" s="74">
        <v>34535</v>
      </c>
      <c r="T4837" s="77">
        <v>0.79166666666666663</v>
      </c>
      <c r="V4837">
        <v>80.06</v>
      </c>
      <c r="X4837" s="42"/>
      <c r="AB4837">
        <v>78.099999999999994</v>
      </c>
      <c r="AC4837">
        <v>78.98</v>
      </c>
      <c r="AE4837" s="74"/>
      <c r="AF4837" s="77"/>
      <c r="AH4837" s="497">
        <v>71.599999999999994</v>
      </c>
      <c r="AJ4837" s="42"/>
      <c r="AK4837" s="74"/>
      <c r="AL4837" s="77"/>
      <c r="AN4837" s="497">
        <v>80.06</v>
      </c>
      <c r="AP4837" s="42"/>
      <c r="AQ4837" s="74"/>
      <c r="AR4837" s="77"/>
      <c r="AT4837" s="497">
        <v>84.02</v>
      </c>
      <c r="AV4837" s="42"/>
      <c r="AW4837" s="74"/>
      <c r="AX4837" s="77"/>
      <c r="BA4837" s="497">
        <v>73.039999999999992</v>
      </c>
      <c r="BB4837" s="42"/>
      <c r="BC4837" s="74"/>
      <c r="BD4837" s="77"/>
      <c r="BF4837">
        <v>84.02</v>
      </c>
      <c r="BH4837" s="42"/>
      <c r="BI4837" s="74"/>
      <c r="BJ4837" s="77"/>
      <c r="BL4837" s="497">
        <v>80.960000000000008</v>
      </c>
      <c r="BN4837" s="42"/>
      <c r="BO4837" s="74"/>
      <c r="BP4837" s="77"/>
      <c r="BR4837" s="497">
        <v>71.06</v>
      </c>
      <c r="BT4837" s="42"/>
    </row>
    <row r="4838" spans="1:72" x14ac:dyDescent="0.25">
      <c r="A4838" s="90">
        <v>34535</v>
      </c>
      <c r="B4838" s="20">
        <v>0.83333333333333337</v>
      </c>
      <c r="D4838">
        <v>84.92</v>
      </c>
      <c r="E4838" t="str">
        <f t="shared" si="186"/>
        <v>WEEKDAY</v>
      </c>
      <c r="F4838" t="e">
        <f t="shared" si="185"/>
        <v>#N/A</v>
      </c>
      <c r="G4838" s="74">
        <v>31978</v>
      </c>
      <c r="H4838" s="77">
        <v>0.83333333333333337</v>
      </c>
      <c r="J4838">
        <v>82.94</v>
      </c>
      <c r="M4838" s="74">
        <v>33439</v>
      </c>
      <c r="N4838" s="77">
        <v>0.83333333333333337</v>
      </c>
      <c r="P4838">
        <v>84.02</v>
      </c>
      <c r="S4838" s="74">
        <v>34535</v>
      </c>
      <c r="T4838" s="77">
        <v>0.83333333333333337</v>
      </c>
      <c r="V4838">
        <v>80.06</v>
      </c>
      <c r="X4838" s="42"/>
      <c r="AB4838">
        <v>76.7</v>
      </c>
      <c r="AC4838">
        <v>78.98</v>
      </c>
      <c r="AE4838" s="74"/>
      <c r="AF4838" s="77"/>
      <c r="AH4838" s="497">
        <v>68</v>
      </c>
      <c r="AJ4838" s="42"/>
      <c r="AK4838" s="74"/>
      <c r="AL4838" s="77"/>
      <c r="AN4838" s="497">
        <v>78.080000000000013</v>
      </c>
      <c r="AP4838" s="42"/>
      <c r="AQ4838" s="74"/>
      <c r="AR4838" s="77"/>
      <c r="AT4838" s="497">
        <v>82.4</v>
      </c>
      <c r="AV4838" s="42"/>
      <c r="AW4838" s="74"/>
      <c r="AX4838" s="77"/>
      <c r="BA4838" s="497">
        <v>71.960000000000008</v>
      </c>
      <c r="BB4838" s="42"/>
      <c r="BC4838" s="74"/>
      <c r="BD4838" s="77"/>
      <c r="BF4838">
        <v>80.06</v>
      </c>
      <c r="BH4838" s="42"/>
      <c r="BI4838" s="74"/>
      <c r="BJ4838" s="77"/>
      <c r="BL4838" s="497">
        <v>73.039999999999992</v>
      </c>
      <c r="BN4838" s="42"/>
      <c r="BO4838" s="74"/>
      <c r="BP4838" s="77"/>
      <c r="BR4838" s="497">
        <v>69.080000000000013</v>
      </c>
      <c r="BT4838" s="42"/>
    </row>
    <row r="4839" spans="1:72" x14ac:dyDescent="0.25">
      <c r="A4839" s="90">
        <v>34535</v>
      </c>
      <c r="B4839" s="20">
        <v>0.875</v>
      </c>
      <c r="D4839">
        <v>84.92</v>
      </c>
      <c r="E4839" t="str">
        <f t="shared" si="186"/>
        <v>WEEKDAY</v>
      </c>
      <c r="F4839" t="e">
        <f t="shared" si="185"/>
        <v>#N/A</v>
      </c>
      <c r="G4839" s="74">
        <v>31978</v>
      </c>
      <c r="H4839" s="77">
        <v>0.875</v>
      </c>
      <c r="J4839">
        <v>82.039999999999992</v>
      </c>
      <c r="M4839" s="74">
        <v>33439</v>
      </c>
      <c r="N4839" s="77">
        <v>0.875</v>
      </c>
      <c r="P4839">
        <v>82.94</v>
      </c>
      <c r="S4839" s="74">
        <v>34535</v>
      </c>
      <c r="T4839" s="77">
        <v>0.875</v>
      </c>
      <c r="V4839">
        <v>80.960000000000008</v>
      </c>
      <c r="X4839" s="42"/>
      <c r="AB4839">
        <v>75.599999999999994</v>
      </c>
      <c r="AC4839">
        <v>78.080000000000013</v>
      </c>
      <c r="AE4839" s="74"/>
      <c r="AF4839" s="77"/>
      <c r="AH4839" s="497">
        <v>68</v>
      </c>
      <c r="AJ4839" s="42"/>
      <c r="AK4839" s="74"/>
      <c r="AL4839" s="77"/>
      <c r="AN4839" s="497">
        <v>77</v>
      </c>
      <c r="AP4839" s="42"/>
      <c r="AQ4839" s="74"/>
      <c r="AR4839" s="77"/>
      <c r="AT4839" s="497">
        <v>80.599999999999994</v>
      </c>
      <c r="AV4839" s="42"/>
      <c r="AW4839" s="74"/>
      <c r="AX4839" s="77"/>
      <c r="BA4839" s="497">
        <v>71.960000000000008</v>
      </c>
      <c r="BB4839" s="42"/>
      <c r="BC4839" s="74"/>
      <c r="BD4839" s="77"/>
      <c r="BF4839">
        <v>78.080000000000013</v>
      </c>
      <c r="BH4839" s="42"/>
      <c r="BI4839" s="74"/>
      <c r="BJ4839" s="77"/>
      <c r="BL4839" s="497">
        <v>69.080000000000013</v>
      </c>
      <c r="BN4839" s="42"/>
      <c r="BO4839" s="74"/>
      <c r="BP4839" s="77"/>
      <c r="BR4839" s="497">
        <v>68</v>
      </c>
      <c r="BT4839" s="42"/>
    </row>
    <row r="4840" spans="1:72" x14ac:dyDescent="0.25">
      <c r="A4840" s="90">
        <v>34535</v>
      </c>
      <c r="B4840" s="20">
        <v>0.91666666666666663</v>
      </c>
      <c r="D4840">
        <v>84.92</v>
      </c>
      <c r="E4840" t="str">
        <f t="shared" si="186"/>
        <v>WEEKDAY</v>
      </c>
      <c r="F4840" t="e">
        <f t="shared" si="185"/>
        <v>#N/A</v>
      </c>
      <c r="G4840" s="74">
        <v>31978</v>
      </c>
      <c r="H4840" s="77">
        <v>0.91666666666666663</v>
      </c>
      <c r="J4840">
        <v>78.080000000000013</v>
      </c>
      <c r="M4840" s="74">
        <v>33439</v>
      </c>
      <c r="N4840" s="77">
        <v>0.91666666666666663</v>
      </c>
      <c r="P4840">
        <v>84.02</v>
      </c>
      <c r="S4840" s="74">
        <v>34535</v>
      </c>
      <c r="T4840" s="77">
        <v>0.91666666666666663</v>
      </c>
      <c r="V4840">
        <v>80.06</v>
      </c>
      <c r="X4840" s="42"/>
      <c r="AB4840">
        <v>75.099999999999994</v>
      </c>
      <c r="AC4840">
        <v>78.080000000000013</v>
      </c>
      <c r="AE4840" s="74"/>
      <c r="AF4840" s="77"/>
      <c r="AH4840" s="497">
        <v>68</v>
      </c>
      <c r="AJ4840" s="42"/>
      <c r="AK4840" s="74"/>
      <c r="AL4840" s="77"/>
      <c r="AN4840" s="497">
        <v>75.02</v>
      </c>
      <c r="AP4840" s="42"/>
      <c r="AQ4840" s="74"/>
      <c r="AR4840" s="77"/>
      <c r="AT4840" s="497">
        <v>78.98</v>
      </c>
      <c r="AV4840" s="42"/>
      <c r="AW4840" s="74"/>
      <c r="AX4840" s="77"/>
      <c r="BA4840" s="497">
        <v>69.98</v>
      </c>
      <c r="BB4840" s="42"/>
      <c r="BC4840" s="74"/>
      <c r="BD4840" s="77"/>
      <c r="BF4840">
        <v>77</v>
      </c>
      <c r="BH4840" s="42"/>
      <c r="BI4840" s="74"/>
      <c r="BJ4840" s="77"/>
      <c r="BL4840" s="497">
        <v>66.92</v>
      </c>
      <c r="BN4840" s="42"/>
      <c r="BO4840" s="74"/>
      <c r="BP4840" s="77"/>
      <c r="BR4840" s="497">
        <v>66.92</v>
      </c>
      <c r="BT4840" s="42"/>
    </row>
    <row r="4841" spans="1:72" x14ac:dyDescent="0.25">
      <c r="A4841" s="90">
        <v>34535</v>
      </c>
      <c r="B4841" s="20">
        <v>0.95833333333333337</v>
      </c>
      <c r="D4841">
        <v>84.02</v>
      </c>
      <c r="E4841" t="str">
        <f t="shared" si="186"/>
        <v>WEEKDAY</v>
      </c>
      <c r="F4841" t="e">
        <f t="shared" si="185"/>
        <v>#N/A</v>
      </c>
      <c r="G4841" s="74">
        <v>31978</v>
      </c>
      <c r="H4841" s="77">
        <v>0.95833333333333337</v>
      </c>
      <c r="J4841">
        <v>78.080000000000013</v>
      </c>
      <c r="M4841" s="74">
        <v>33439</v>
      </c>
      <c r="N4841" s="77">
        <v>0.95833333333333337</v>
      </c>
      <c r="P4841">
        <v>84.02</v>
      </c>
      <c r="S4841" s="74">
        <v>34535</v>
      </c>
      <c r="T4841" s="77">
        <v>0.95833333333333337</v>
      </c>
      <c r="V4841">
        <v>78.98</v>
      </c>
      <c r="X4841" s="42"/>
      <c r="AB4841">
        <v>74.599999999999994</v>
      </c>
      <c r="AC4841">
        <v>78.080000000000013</v>
      </c>
      <c r="AE4841" s="74"/>
      <c r="AF4841" s="77"/>
      <c r="AH4841" s="497">
        <v>64.400000000000006</v>
      </c>
      <c r="AJ4841" s="42"/>
      <c r="AK4841" s="74"/>
      <c r="AL4841" s="77"/>
      <c r="AN4841" s="497">
        <v>75.02</v>
      </c>
      <c r="AP4841" s="42"/>
      <c r="AQ4841" s="74"/>
      <c r="AR4841" s="77"/>
      <c r="AT4841" s="497">
        <v>77.900000000000006</v>
      </c>
      <c r="AV4841" s="42"/>
      <c r="AW4841" s="74"/>
      <c r="AX4841" s="77"/>
      <c r="BA4841" s="497">
        <v>69.98</v>
      </c>
      <c r="BB4841" s="42"/>
      <c r="BC4841" s="74"/>
      <c r="BD4841" s="77"/>
      <c r="BF4841">
        <v>78.080000000000013</v>
      </c>
      <c r="BH4841" s="42"/>
      <c r="BI4841" s="74"/>
      <c r="BJ4841" s="77"/>
      <c r="BL4841" s="497">
        <v>64.039999999999992</v>
      </c>
      <c r="BN4841" s="42"/>
      <c r="BO4841" s="74"/>
      <c r="BP4841" s="77"/>
      <c r="BR4841" s="497">
        <v>68</v>
      </c>
      <c r="BT4841" s="42"/>
    </row>
    <row r="4842" spans="1:72" x14ac:dyDescent="0.25">
      <c r="A4842" s="90">
        <v>34535</v>
      </c>
      <c r="B4842" s="20">
        <v>1</v>
      </c>
      <c r="D4842">
        <v>82.94</v>
      </c>
      <c r="E4842" t="str">
        <f t="shared" si="186"/>
        <v>WEEKDAY</v>
      </c>
      <c r="F4842" t="e">
        <f t="shared" si="185"/>
        <v>#N/A</v>
      </c>
      <c r="G4842" s="74">
        <v>31978</v>
      </c>
      <c r="H4842" s="77">
        <v>1</v>
      </c>
      <c r="J4842">
        <v>78.98</v>
      </c>
      <c r="M4842" s="74">
        <v>33439</v>
      </c>
      <c r="N4842" s="80">
        <v>1</v>
      </c>
      <c r="P4842">
        <v>80.960000000000008</v>
      </c>
      <c r="S4842" s="74">
        <v>34535</v>
      </c>
      <c r="T4842" s="80">
        <v>1</v>
      </c>
      <c r="V4842">
        <v>78.98</v>
      </c>
      <c r="X4842" s="42"/>
      <c r="AB4842">
        <v>74.2</v>
      </c>
      <c r="AC4842">
        <v>78.080000000000013</v>
      </c>
      <c r="AE4842" s="74"/>
      <c r="AF4842" s="80"/>
      <c r="AH4842" s="497">
        <v>62.6</v>
      </c>
      <c r="AJ4842" s="42"/>
      <c r="AK4842" s="74"/>
      <c r="AL4842" s="80"/>
      <c r="AN4842" s="497">
        <v>73.94</v>
      </c>
      <c r="AP4842" s="42"/>
      <c r="AQ4842" s="74"/>
      <c r="AR4842" s="80"/>
      <c r="AT4842" s="497">
        <v>77</v>
      </c>
      <c r="AV4842" s="42"/>
      <c r="AW4842" s="74"/>
      <c r="AX4842" s="80"/>
      <c r="BA4842" s="497">
        <v>69.98</v>
      </c>
      <c r="BB4842" s="42"/>
      <c r="BC4842" s="74"/>
      <c r="BD4842" s="80"/>
      <c r="BF4842">
        <v>80.06</v>
      </c>
      <c r="BH4842" s="42"/>
      <c r="BI4842" s="74"/>
      <c r="BJ4842" s="80"/>
      <c r="BL4842" s="497">
        <v>62.06</v>
      </c>
      <c r="BN4842" s="42"/>
      <c r="BO4842" s="74"/>
      <c r="BP4842" s="80"/>
      <c r="BR4842" s="497">
        <v>68</v>
      </c>
      <c r="BT4842" s="42"/>
    </row>
    <row r="4843" spans="1:72" x14ac:dyDescent="0.25">
      <c r="A4843" s="90">
        <v>34536</v>
      </c>
      <c r="B4843" s="20">
        <v>4.1666666666666664E-2</v>
      </c>
      <c r="D4843">
        <v>82.039999999999992</v>
      </c>
      <c r="E4843" t="str">
        <f t="shared" si="186"/>
        <v>WEEKDAY</v>
      </c>
      <c r="F4843" t="e">
        <f t="shared" ref="F4843:F4906" si="187">IF(E4843="WEEKDAY",VLOOKUP(B4843,$DD$19:$DG$42,2),IF(E4843="SATURDAY",VLOOKUP(B4843,$DD$19:$DG$42,3),VLOOKUP(B4843,$DD$19:$DG$42,4)))</f>
        <v>#N/A</v>
      </c>
      <c r="G4843" s="74">
        <v>31979</v>
      </c>
      <c r="H4843" s="77">
        <v>4.1666666666666664E-2</v>
      </c>
      <c r="J4843">
        <v>78.080000000000013</v>
      </c>
      <c r="M4843" s="74">
        <v>33440</v>
      </c>
      <c r="N4843" s="77">
        <v>4.1666666666666664E-2</v>
      </c>
      <c r="P4843">
        <v>80.960000000000008</v>
      </c>
      <c r="S4843" s="74">
        <v>34536</v>
      </c>
      <c r="T4843" s="77">
        <v>4.1666666666666664E-2</v>
      </c>
      <c r="V4843">
        <v>78.080000000000013</v>
      </c>
      <c r="X4843" s="42"/>
      <c r="AB4843">
        <v>73.599999999999994</v>
      </c>
      <c r="AC4843">
        <v>77</v>
      </c>
      <c r="AE4843" s="74"/>
      <c r="AF4843" s="77"/>
      <c r="AH4843" s="497">
        <v>62.6</v>
      </c>
      <c r="AJ4843" s="42"/>
      <c r="AK4843" s="74"/>
      <c r="AL4843" s="77"/>
      <c r="AN4843" s="497">
        <v>73.039999999999992</v>
      </c>
      <c r="AP4843" s="42"/>
      <c r="AQ4843" s="74"/>
      <c r="AR4843" s="77"/>
      <c r="AT4843" s="497">
        <v>75.92</v>
      </c>
      <c r="AV4843" s="42"/>
      <c r="AW4843" s="74"/>
      <c r="AX4843" s="77"/>
      <c r="BA4843" s="497">
        <v>69.080000000000013</v>
      </c>
      <c r="BB4843" s="42"/>
      <c r="BC4843" s="74"/>
      <c r="BD4843" s="77"/>
      <c r="BF4843">
        <v>82.94</v>
      </c>
      <c r="BH4843" s="42"/>
      <c r="BI4843" s="74"/>
      <c r="BJ4843" s="77"/>
      <c r="BL4843" s="497">
        <v>60.980000000000004</v>
      </c>
      <c r="BN4843" s="42"/>
      <c r="BO4843" s="74"/>
      <c r="BP4843" s="77"/>
      <c r="BR4843" s="497">
        <v>69.080000000000013</v>
      </c>
      <c r="BT4843" s="42"/>
    </row>
    <row r="4844" spans="1:72" x14ac:dyDescent="0.25">
      <c r="A4844" s="90">
        <v>34536</v>
      </c>
      <c r="B4844" s="20">
        <v>8.3333333333333329E-2</v>
      </c>
      <c r="D4844">
        <v>80.960000000000008</v>
      </c>
      <c r="E4844" t="str">
        <f t="shared" si="186"/>
        <v>WEEKDAY</v>
      </c>
      <c r="F4844" t="e">
        <f t="shared" si="187"/>
        <v>#N/A</v>
      </c>
      <c r="G4844" s="74">
        <v>31979</v>
      </c>
      <c r="H4844" s="77">
        <v>8.3333333333333329E-2</v>
      </c>
      <c r="J4844">
        <v>78.98</v>
      </c>
      <c r="M4844" s="74">
        <v>33440</v>
      </c>
      <c r="N4844" s="77">
        <v>8.3333333333333329E-2</v>
      </c>
      <c r="P4844">
        <v>80.960000000000008</v>
      </c>
      <c r="S4844" s="74">
        <v>34536</v>
      </c>
      <c r="T4844" s="77">
        <v>8.3333333333333329E-2</v>
      </c>
      <c r="V4844">
        <v>78.080000000000013</v>
      </c>
      <c r="X4844" s="42"/>
      <c r="AB4844">
        <v>73.099999999999994</v>
      </c>
      <c r="AC4844">
        <v>77</v>
      </c>
      <c r="AE4844" s="74"/>
      <c r="AF4844" s="77"/>
      <c r="AH4844" s="497">
        <v>62.6</v>
      </c>
      <c r="AJ4844" s="42"/>
      <c r="AK4844" s="74"/>
      <c r="AL4844" s="77"/>
      <c r="AN4844" s="497">
        <v>73.039999999999992</v>
      </c>
      <c r="AP4844" s="42"/>
      <c r="AQ4844" s="74"/>
      <c r="AR4844" s="77"/>
      <c r="AT4844" s="497">
        <v>74.66</v>
      </c>
      <c r="AV4844" s="42"/>
      <c r="AW4844" s="74"/>
      <c r="AX4844" s="77"/>
      <c r="BA4844" s="497">
        <v>69.080000000000013</v>
      </c>
      <c r="BB4844" s="42"/>
      <c r="BC4844" s="74"/>
      <c r="BD4844" s="77"/>
      <c r="BF4844">
        <v>84.02</v>
      </c>
      <c r="BH4844" s="42"/>
      <c r="BI4844" s="74"/>
      <c r="BJ4844" s="77"/>
      <c r="BL4844" s="497">
        <v>59</v>
      </c>
      <c r="BN4844" s="42"/>
      <c r="BO4844" s="74"/>
      <c r="BP4844" s="77"/>
      <c r="BR4844" s="497">
        <v>68</v>
      </c>
      <c r="BT4844" s="42"/>
    </row>
    <row r="4845" spans="1:72" x14ac:dyDescent="0.25">
      <c r="A4845" s="90">
        <v>34536</v>
      </c>
      <c r="B4845" s="20">
        <v>0.125</v>
      </c>
      <c r="D4845">
        <v>80.06</v>
      </c>
      <c r="E4845" t="str">
        <f t="shared" si="186"/>
        <v>WEEKDAY</v>
      </c>
      <c r="F4845" t="e">
        <f t="shared" si="187"/>
        <v>#N/A</v>
      </c>
      <c r="G4845" s="74">
        <v>31979</v>
      </c>
      <c r="H4845" s="77">
        <v>0.125</v>
      </c>
      <c r="J4845">
        <v>75.92</v>
      </c>
      <c r="M4845" s="74">
        <v>33440</v>
      </c>
      <c r="N4845" s="77">
        <v>0.125</v>
      </c>
      <c r="P4845">
        <v>75.92</v>
      </c>
      <c r="S4845" s="74">
        <v>34536</v>
      </c>
      <c r="T4845" s="77">
        <v>0.125</v>
      </c>
      <c r="V4845">
        <v>77</v>
      </c>
      <c r="X4845" s="42"/>
      <c r="AB4845">
        <v>72.5</v>
      </c>
      <c r="AC4845">
        <v>77</v>
      </c>
      <c r="AE4845" s="74"/>
      <c r="AF4845" s="77"/>
      <c r="AH4845" s="497">
        <v>62.6</v>
      </c>
      <c r="AJ4845" s="42"/>
      <c r="AK4845" s="74"/>
      <c r="AL4845" s="77"/>
      <c r="AN4845" s="497">
        <v>71.960000000000008</v>
      </c>
      <c r="AP4845" s="42"/>
      <c r="AQ4845" s="74"/>
      <c r="AR4845" s="77"/>
      <c r="AT4845" s="497">
        <v>73.22</v>
      </c>
      <c r="AV4845" s="42"/>
      <c r="AW4845" s="74"/>
      <c r="AX4845" s="77"/>
      <c r="BA4845" s="497">
        <v>68</v>
      </c>
      <c r="BB4845" s="42"/>
      <c r="BC4845" s="74"/>
      <c r="BD4845" s="77"/>
      <c r="BF4845">
        <v>84.02</v>
      </c>
      <c r="BH4845" s="42"/>
      <c r="BI4845" s="74"/>
      <c r="BJ4845" s="77"/>
      <c r="BL4845" s="497">
        <v>60.08</v>
      </c>
      <c r="BN4845" s="42"/>
      <c r="BO4845" s="74"/>
      <c r="BP4845" s="77"/>
      <c r="BR4845" s="497">
        <v>68</v>
      </c>
      <c r="BT4845" s="42"/>
    </row>
    <row r="4846" spans="1:72" x14ac:dyDescent="0.25">
      <c r="A4846" s="90">
        <v>34536</v>
      </c>
      <c r="B4846" s="20">
        <v>0.16666666666666666</v>
      </c>
      <c r="D4846">
        <v>80.06</v>
      </c>
      <c r="E4846" t="str">
        <f t="shared" si="186"/>
        <v>WEEKDAY</v>
      </c>
      <c r="F4846" t="e">
        <f t="shared" si="187"/>
        <v>#N/A</v>
      </c>
      <c r="G4846" s="74">
        <v>31979</v>
      </c>
      <c r="H4846" s="77">
        <v>0.16666666666666666</v>
      </c>
      <c r="J4846">
        <v>75.02</v>
      </c>
      <c r="M4846" s="74">
        <v>33440</v>
      </c>
      <c r="N4846" s="77">
        <v>0.16666666666666666</v>
      </c>
      <c r="P4846">
        <v>73.94</v>
      </c>
      <c r="S4846" s="74">
        <v>34536</v>
      </c>
      <c r="T4846" s="77">
        <v>0.16666666666666666</v>
      </c>
      <c r="V4846">
        <v>75.92</v>
      </c>
      <c r="X4846" s="42"/>
      <c r="AB4846">
        <v>72.099999999999994</v>
      </c>
      <c r="AC4846">
        <v>75.92</v>
      </c>
      <c r="AE4846" s="74"/>
      <c r="AF4846" s="77"/>
      <c r="AH4846" s="497">
        <v>62.6</v>
      </c>
      <c r="AJ4846" s="42"/>
      <c r="AK4846" s="74"/>
      <c r="AL4846" s="77"/>
      <c r="AN4846" s="497">
        <v>71.06</v>
      </c>
      <c r="AP4846" s="42"/>
      <c r="AQ4846" s="74"/>
      <c r="AR4846" s="77"/>
      <c r="AT4846" s="497">
        <v>71.960000000000008</v>
      </c>
      <c r="AV4846" s="42"/>
      <c r="AW4846" s="74"/>
      <c r="AX4846" s="77"/>
      <c r="BA4846" s="497">
        <v>68</v>
      </c>
      <c r="BB4846" s="42"/>
      <c r="BC4846" s="74"/>
      <c r="BD4846" s="77"/>
      <c r="BF4846">
        <v>80.06</v>
      </c>
      <c r="BH4846" s="42"/>
      <c r="BI4846" s="74"/>
      <c r="BJ4846" s="77"/>
      <c r="BL4846" s="497">
        <v>57.92</v>
      </c>
      <c r="BN4846" s="42"/>
      <c r="BO4846" s="74"/>
      <c r="BP4846" s="77"/>
      <c r="BR4846" s="497">
        <v>66.92</v>
      </c>
      <c r="BT4846" s="42"/>
    </row>
    <row r="4847" spans="1:72" x14ac:dyDescent="0.25">
      <c r="A4847" s="90">
        <v>34536</v>
      </c>
      <c r="B4847" s="20">
        <v>0.20833333333333334</v>
      </c>
      <c r="D4847">
        <v>78.98</v>
      </c>
      <c r="E4847" t="str">
        <f t="shared" si="186"/>
        <v>WEEKDAY</v>
      </c>
      <c r="F4847" t="e">
        <f t="shared" si="187"/>
        <v>#N/A</v>
      </c>
      <c r="G4847" s="74">
        <v>31979</v>
      </c>
      <c r="H4847" s="77">
        <v>0.20833333333333334</v>
      </c>
      <c r="J4847">
        <v>75.02</v>
      </c>
      <c r="M4847" s="74">
        <v>33440</v>
      </c>
      <c r="N4847" s="77">
        <v>0.20833333333333334</v>
      </c>
      <c r="P4847">
        <v>73.039999999999992</v>
      </c>
      <c r="S4847" s="74">
        <v>34536</v>
      </c>
      <c r="T4847" s="77">
        <v>0.20833333333333334</v>
      </c>
      <c r="V4847">
        <v>75.92</v>
      </c>
      <c r="X4847" s="42"/>
      <c r="AB4847">
        <v>71.599999999999994</v>
      </c>
      <c r="AC4847">
        <v>75.02</v>
      </c>
      <c r="AE4847" s="74"/>
      <c r="AF4847" s="77"/>
      <c r="AH4847" s="497">
        <v>62.6</v>
      </c>
      <c r="AJ4847" s="42"/>
      <c r="AK4847" s="74"/>
      <c r="AL4847" s="77"/>
      <c r="AN4847" s="497">
        <v>71.06</v>
      </c>
      <c r="AP4847" s="42"/>
      <c r="AQ4847" s="74"/>
      <c r="AR4847" s="77"/>
      <c r="AT4847" s="497">
        <v>75.02</v>
      </c>
      <c r="AV4847" s="42"/>
      <c r="AW4847" s="74"/>
      <c r="AX4847" s="77"/>
      <c r="BA4847" s="497">
        <v>66.92</v>
      </c>
      <c r="BB4847" s="42"/>
      <c r="BC4847" s="74"/>
      <c r="BD4847" s="77"/>
      <c r="BF4847">
        <v>78.080000000000013</v>
      </c>
      <c r="BH4847" s="42"/>
      <c r="BI4847" s="74"/>
      <c r="BJ4847" s="77"/>
      <c r="BL4847" s="497">
        <v>57.92</v>
      </c>
      <c r="BN4847" s="42"/>
      <c r="BO4847" s="74"/>
      <c r="BP4847" s="77"/>
      <c r="BR4847" s="497">
        <v>66.02</v>
      </c>
      <c r="BT4847" s="42"/>
    </row>
    <row r="4848" spans="1:72" x14ac:dyDescent="0.25">
      <c r="A4848" s="90">
        <v>34536</v>
      </c>
      <c r="B4848" s="20">
        <v>0.25</v>
      </c>
      <c r="D4848">
        <v>80.06</v>
      </c>
      <c r="E4848" t="str">
        <f t="shared" si="186"/>
        <v>WEEKDAY</v>
      </c>
      <c r="F4848" t="e">
        <f t="shared" si="187"/>
        <v>#N/A</v>
      </c>
      <c r="G4848" s="74">
        <v>31979</v>
      </c>
      <c r="H4848" s="77">
        <v>0.25</v>
      </c>
      <c r="J4848">
        <v>75.02</v>
      </c>
      <c r="M4848" s="74">
        <v>33440</v>
      </c>
      <c r="N4848" s="77">
        <v>0.25</v>
      </c>
      <c r="P4848">
        <v>75.02</v>
      </c>
      <c r="S4848" s="74">
        <v>34536</v>
      </c>
      <c r="T4848" s="77">
        <v>0.25</v>
      </c>
      <c r="V4848">
        <v>77</v>
      </c>
      <c r="X4848" s="42"/>
      <c r="AB4848">
        <v>71.3</v>
      </c>
      <c r="AC4848">
        <v>77</v>
      </c>
      <c r="AE4848" s="74"/>
      <c r="AF4848" s="77"/>
      <c r="AH4848" s="497">
        <v>62.6</v>
      </c>
      <c r="AJ4848" s="42"/>
      <c r="AK4848" s="74"/>
      <c r="AL4848" s="77"/>
      <c r="AN4848" s="497">
        <v>71.960000000000008</v>
      </c>
      <c r="AP4848" s="42"/>
      <c r="AQ4848" s="74"/>
      <c r="AR4848" s="77"/>
      <c r="AT4848" s="497">
        <v>77.900000000000006</v>
      </c>
      <c r="AV4848" s="42"/>
      <c r="AW4848" s="74"/>
      <c r="AX4848" s="77"/>
      <c r="BA4848" s="497">
        <v>66.92</v>
      </c>
      <c r="BB4848" s="42"/>
      <c r="BC4848" s="74"/>
      <c r="BD4848" s="77"/>
      <c r="BF4848">
        <v>78.080000000000013</v>
      </c>
      <c r="BH4848" s="42"/>
      <c r="BI4848" s="74"/>
      <c r="BJ4848" s="77"/>
      <c r="BL4848" s="497">
        <v>60.980000000000004</v>
      </c>
      <c r="BN4848" s="42"/>
      <c r="BO4848" s="74"/>
      <c r="BP4848" s="77"/>
      <c r="BR4848" s="497">
        <v>66.02</v>
      </c>
      <c r="BT4848" s="42"/>
    </row>
    <row r="4849" spans="1:72" x14ac:dyDescent="0.25">
      <c r="A4849" s="90">
        <v>34536</v>
      </c>
      <c r="B4849" s="20">
        <v>0.29166666666666669</v>
      </c>
      <c r="D4849">
        <v>80.960000000000008</v>
      </c>
      <c r="E4849" t="str">
        <f t="shared" si="186"/>
        <v>WEEKDAY</v>
      </c>
      <c r="F4849" t="e">
        <f t="shared" si="187"/>
        <v>#N/A</v>
      </c>
      <c r="G4849" s="74">
        <v>31979</v>
      </c>
      <c r="H4849" s="77">
        <v>0.29166666666666669</v>
      </c>
      <c r="J4849">
        <v>77</v>
      </c>
      <c r="M4849" s="74">
        <v>33440</v>
      </c>
      <c r="N4849" s="77">
        <v>0.29166666666666669</v>
      </c>
      <c r="P4849">
        <v>80.06</v>
      </c>
      <c r="S4849" s="74">
        <v>34536</v>
      </c>
      <c r="T4849" s="77">
        <v>0.29166666666666669</v>
      </c>
      <c r="V4849">
        <v>77</v>
      </c>
      <c r="X4849" s="42"/>
      <c r="AB4849">
        <v>72.5</v>
      </c>
      <c r="AC4849">
        <v>78.080000000000013</v>
      </c>
      <c r="AE4849" s="74"/>
      <c r="AF4849" s="77"/>
      <c r="AH4849" s="497">
        <v>66.2</v>
      </c>
      <c r="AJ4849" s="42"/>
      <c r="AK4849" s="74"/>
      <c r="AL4849" s="77"/>
      <c r="AN4849" s="497">
        <v>73.94</v>
      </c>
      <c r="AP4849" s="42"/>
      <c r="AQ4849" s="74"/>
      <c r="AR4849" s="77"/>
      <c r="AT4849" s="497">
        <v>80.960000000000008</v>
      </c>
      <c r="AV4849" s="42"/>
      <c r="AW4849" s="74"/>
      <c r="AX4849" s="77"/>
      <c r="BA4849" s="497">
        <v>69.080000000000013</v>
      </c>
      <c r="BB4849" s="42"/>
      <c r="BC4849" s="74"/>
      <c r="BD4849" s="77"/>
      <c r="BF4849">
        <v>78.98</v>
      </c>
      <c r="BH4849" s="42"/>
      <c r="BI4849" s="74"/>
      <c r="BJ4849" s="77"/>
      <c r="BL4849" s="497">
        <v>64.94</v>
      </c>
      <c r="BN4849" s="42"/>
      <c r="BO4849" s="74"/>
      <c r="BP4849" s="77"/>
      <c r="BR4849" s="497">
        <v>66.92</v>
      </c>
      <c r="BT4849" s="42"/>
    </row>
    <row r="4850" spans="1:72" x14ac:dyDescent="0.25">
      <c r="A4850" s="90">
        <v>34536</v>
      </c>
      <c r="B4850" s="20">
        <v>0.33333333333333331</v>
      </c>
      <c r="D4850">
        <v>82.94</v>
      </c>
      <c r="E4850" t="str">
        <f t="shared" si="186"/>
        <v>WEEKDAY</v>
      </c>
      <c r="F4850" t="e">
        <f t="shared" si="187"/>
        <v>#N/A</v>
      </c>
      <c r="G4850" s="74">
        <v>31979</v>
      </c>
      <c r="H4850" s="77">
        <v>0.33333333333333331</v>
      </c>
      <c r="J4850">
        <v>78.98</v>
      </c>
      <c r="M4850" s="74">
        <v>33440</v>
      </c>
      <c r="N4850" s="77">
        <v>0.33333333333333331</v>
      </c>
      <c r="P4850">
        <v>84.02</v>
      </c>
      <c r="S4850" s="74">
        <v>34536</v>
      </c>
      <c r="T4850" s="77">
        <v>0.33333333333333331</v>
      </c>
      <c r="V4850">
        <v>78.080000000000013</v>
      </c>
      <c r="X4850" s="42"/>
      <c r="AB4850">
        <v>74.5</v>
      </c>
      <c r="AC4850">
        <v>80.06</v>
      </c>
      <c r="AE4850" s="74"/>
      <c r="AF4850" s="77"/>
      <c r="AH4850" s="497">
        <v>69.800000000000011</v>
      </c>
      <c r="AJ4850" s="42"/>
      <c r="AK4850" s="74"/>
      <c r="AL4850" s="77"/>
      <c r="AN4850" s="497">
        <v>75.02</v>
      </c>
      <c r="AP4850" s="42"/>
      <c r="AQ4850" s="74"/>
      <c r="AR4850" s="77"/>
      <c r="AT4850" s="497">
        <v>84.02</v>
      </c>
      <c r="AV4850" s="42"/>
      <c r="AW4850" s="74"/>
      <c r="AX4850" s="77"/>
      <c r="BA4850" s="497">
        <v>71.960000000000008</v>
      </c>
      <c r="BB4850" s="42"/>
      <c r="BC4850" s="74"/>
      <c r="BD4850" s="77"/>
      <c r="BF4850">
        <v>80.06</v>
      </c>
      <c r="BH4850" s="42"/>
      <c r="BI4850" s="74"/>
      <c r="BJ4850" s="77"/>
      <c r="BL4850" s="497">
        <v>71.06</v>
      </c>
      <c r="BN4850" s="42"/>
      <c r="BO4850" s="74"/>
      <c r="BP4850" s="77"/>
      <c r="BR4850" s="497">
        <v>69.98</v>
      </c>
      <c r="BT4850" s="42"/>
    </row>
    <row r="4851" spans="1:72" x14ac:dyDescent="0.25">
      <c r="A4851" s="90">
        <v>34536</v>
      </c>
      <c r="B4851" s="20">
        <v>0.375</v>
      </c>
      <c r="D4851">
        <v>86</v>
      </c>
      <c r="E4851" t="str">
        <f t="shared" si="186"/>
        <v>WEEKDAY</v>
      </c>
      <c r="F4851" t="e">
        <f t="shared" si="187"/>
        <v>#N/A</v>
      </c>
      <c r="G4851" s="74">
        <v>31979</v>
      </c>
      <c r="H4851" s="77">
        <v>0.375</v>
      </c>
      <c r="J4851">
        <v>82.94</v>
      </c>
      <c r="M4851" s="74">
        <v>33440</v>
      </c>
      <c r="N4851" s="77">
        <v>0.375</v>
      </c>
      <c r="P4851">
        <v>87.080000000000013</v>
      </c>
      <c r="S4851" s="74">
        <v>34536</v>
      </c>
      <c r="T4851" s="77">
        <v>0.375</v>
      </c>
      <c r="V4851">
        <v>80.960000000000008</v>
      </c>
      <c r="X4851" s="42"/>
      <c r="AB4851">
        <v>76.400000000000006</v>
      </c>
      <c r="AC4851">
        <v>80.960000000000008</v>
      </c>
      <c r="AE4851" s="74"/>
      <c r="AF4851" s="77"/>
      <c r="AH4851" s="497">
        <v>69.800000000000011</v>
      </c>
      <c r="AJ4851" s="42"/>
      <c r="AK4851" s="74"/>
      <c r="AL4851" s="77"/>
      <c r="AN4851" s="497">
        <v>77</v>
      </c>
      <c r="AP4851" s="42"/>
      <c r="AQ4851" s="74"/>
      <c r="AR4851" s="77"/>
      <c r="AT4851" s="497">
        <v>86.9</v>
      </c>
      <c r="AV4851" s="42"/>
      <c r="AW4851" s="74"/>
      <c r="AX4851" s="77"/>
      <c r="BA4851" s="497">
        <v>75.92</v>
      </c>
      <c r="BB4851" s="42"/>
      <c r="BC4851" s="74"/>
      <c r="BD4851" s="77"/>
      <c r="BF4851">
        <v>80.960000000000008</v>
      </c>
      <c r="BH4851" s="42"/>
      <c r="BI4851" s="74"/>
      <c r="BJ4851" s="77"/>
      <c r="BL4851" s="497">
        <v>75.02</v>
      </c>
      <c r="BN4851" s="42"/>
      <c r="BO4851" s="74"/>
      <c r="BP4851" s="77"/>
      <c r="BR4851" s="497">
        <v>71.06</v>
      </c>
      <c r="BT4851" s="42"/>
    </row>
    <row r="4852" spans="1:72" x14ac:dyDescent="0.25">
      <c r="A4852" s="90">
        <v>34536</v>
      </c>
      <c r="B4852" s="20">
        <v>0.41666666666666669</v>
      </c>
      <c r="D4852">
        <v>89.960000000000008</v>
      </c>
      <c r="E4852" t="str">
        <f t="shared" si="186"/>
        <v>WEEKDAY</v>
      </c>
      <c r="F4852" t="e">
        <f t="shared" si="187"/>
        <v>#N/A</v>
      </c>
      <c r="G4852" s="74">
        <v>31979</v>
      </c>
      <c r="H4852" s="77">
        <v>0.41666666666666669</v>
      </c>
      <c r="J4852">
        <v>84.02</v>
      </c>
      <c r="M4852" s="74">
        <v>33440</v>
      </c>
      <c r="N4852" s="77">
        <v>0.41666666666666669</v>
      </c>
      <c r="P4852">
        <v>91.94</v>
      </c>
      <c r="S4852" s="74">
        <v>34536</v>
      </c>
      <c r="T4852" s="77">
        <v>0.41666666666666669</v>
      </c>
      <c r="V4852">
        <v>82.94</v>
      </c>
      <c r="X4852" s="42"/>
      <c r="AB4852">
        <v>78.2</v>
      </c>
      <c r="AC4852">
        <v>82.94</v>
      </c>
      <c r="AE4852" s="74"/>
      <c r="AF4852" s="77"/>
      <c r="AH4852" s="497">
        <v>73.400000000000006</v>
      </c>
      <c r="AJ4852" s="42"/>
      <c r="AK4852" s="74"/>
      <c r="AL4852" s="77"/>
      <c r="AN4852" s="497">
        <v>82.039999999999992</v>
      </c>
      <c r="AP4852" s="42"/>
      <c r="AQ4852" s="74"/>
      <c r="AR4852" s="77"/>
      <c r="AT4852" s="497">
        <v>89.960000000000008</v>
      </c>
      <c r="AV4852" s="42"/>
      <c r="AW4852" s="74"/>
      <c r="AX4852" s="77"/>
      <c r="BA4852" s="497">
        <v>78.080000000000013</v>
      </c>
      <c r="BB4852" s="42"/>
      <c r="BC4852" s="74"/>
      <c r="BD4852" s="77"/>
      <c r="BF4852">
        <v>82.94</v>
      </c>
      <c r="BH4852" s="42"/>
      <c r="BI4852" s="74"/>
      <c r="BJ4852" s="77"/>
      <c r="BL4852" s="497">
        <v>80.06</v>
      </c>
      <c r="BN4852" s="42"/>
      <c r="BO4852" s="74"/>
      <c r="BP4852" s="77"/>
      <c r="BR4852" s="497">
        <v>75.02</v>
      </c>
      <c r="BT4852" s="42"/>
    </row>
    <row r="4853" spans="1:72" x14ac:dyDescent="0.25">
      <c r="A4853" s="90">
        <v>34536</v>
      </c>
      <c r="B4853" s="20">
        <v>0.45833333333333331</v>
      </c>
      <c r="D4853">
        <v>91.039999999999992</v>
      </c>
      <c r="E4853" t="str">
        <f t="shared" si="186"/>
        <v>WEEKDAY</v>
      </c>
      <c r="F4853" t="e">
        <f t="shared" si="187"/>
        <v>#N/A</v>
      </c>
      <c r="G4853" s="74">
        <v>31979</v>
      </c>
      <c r="H4853" s="77">
        <v>0.45833333333333331</v>
      </c>
      <c r="J4853">
        <v>84.92</v>
      </c>
      <c r="M4853" s="74">
        <v>33440</v>
      </c>
      <c r="N4853" s="77">
        <v>0.45833333333333331</v>
      </c>
      <c r="P4853">
        <v>93.02</v>
      </c>
      <c r="S4853" s="74">
        <v>34536</v>
      </c>
      <c r="T4853" s="77">
        <v>0.45833333333333331</v>
      </c>
      <c r="V4853">
        <v>84.92</v>
      </c>
      <c r="X4853" s="42"/>
      <c r="AB4853">
        <v>79.7</v>
      </c>
      <c r="AC4853">
        <v>84.02</v>
      </c>
      <c r="AE4853" s="74"/>
      <c r="AF4853" s="77"/>
      <c r="AH4853" s="497">
        <v>75.2</v>
      </c>
      <c r="AJ4853" s="42"/>
      <c r="AK4853" s="74"/>
      <c r="AL4853" s="77"/>
      <c r="AN4853" s="497">
        <v>82.94</v>
      </c>
      <c r="AP4853" s="42"/>
      <c r="AQ4853" s="74"/>
      <c r="AR4853" s="77"/>
      <c r="AT4853" s="497">
        <v>91.94</v>
      </c>
      <c r="AV4853" s="42"/>
      <c r="AW4853" s="74"/>
      <c r="AX4853" s="77"/>
      <c r="BA4853" s="497">
        <v>78.98</v>
      </c>
      <c r="BB4853" s="42"/>
      <c r="BC4853" s="74"/>
      <c r="BD4853" s="77"/>
      <c r="BF4853">
        <v>84.92</v>
      </c>
      <c r="BH4853" s="42"/>
      <c r="BI4853" s="74"/>
      <c r="BJ4853" s="77"/>
      <c r="BL4853" s="497">
        <v>82.039999999999992</v>
      </c>
      <c r="BN4853" s="42"/>
      <c r="BO4853" s="74"/>
      <c r="BP4853" s="77"/>
      <c r="BR4853" s="497">
        <v>77</v>
      </c>
      <c r="BT4853" s="42"/>
    </row>
    <row r="4854" spans="1:72" x14ac:dyDescent="0.25">
      <c r="A4854" s="90">
        <v>34536</v>
      </c>
      <c r="B4854" s="20">
        <v>0.5</v>
      </c>
      <c r="D4854">
        <v>91.94</v>
      </c>
      <c r="E4854" t="str">
        <f t="shared" si="186"/>
        <v>WEEKDAY</v>
      </c>
      <c r="F4854" t="e">
        <f t="shared" si="187"/>
        <v>#N/A</v>
      </c>
      <c r="G4854" s="74">
        <v>31979</v>
      </c>
      <c r="H4854" s="77">
        <v>0.5</v>
      </c>
      <c r="J4854">
        <v>87.98</v>
      </c>
      <c r="M4854" s="74">
        <v>33440</v>
      </c>
      <c r="N4854" s="77">
        <v>0.5</v>
      </c>
      <c r="P4854">
        <v>93.92</v>
      </c>
      <c r="S4854" s="74">
        <v>34536</v>
      </c>
      <c r="T4854" s="77">
        <v>0.5</v>
      </c>
      <c r="V4854">
        <v>84.02</v>
      </c>
      <c r="X4854" s="42"/>
      <c r="AB4854">
        <v>80.8</v>
      </c>
      <c r="AC4854">
        <v>84.02</v>
      </c>
      <c r="AE4854" s="74"/>
      <c r="AF4854" s="77"/>
      <c r="AH4854" s="497">
        <v>78.800000000000011</v>
      </c>
      <c r="AJ4854" s="42"/>
      <c r="AK4854" s="74"/>
      <c r="AL4854" s="77"/>
      <c r="AN4854" s="497">
        <v>84.02</v>
      </c>
      <c r="AP4854" s="42"/>
      <c r="AQ4854" s="74"/>
      <c r="AR4854" s="77"/>
      <c r="AT4854" s="497">
        <v>94.1</v>
      </c>
      <c r="AV4854" s="42"/>
      <c r="AW4854" s="74"/>
      <c r="AX4854" s="77"/>
      <c r="BA4854" s="497">
        <v>80.960000000000008</v>
      </c>
      <c r="BB4854" s="42"/>
      <c r="BC4854" s="74"/>
      <c r="BD4854" s="77"/>
      <c r="BF4854">
        <v>86</v>
      </c>
      <c r="BH4854" s="42"/>
      <c r="BI4854" s="74"/>
      <c r="BJ4854" s="77"/>
      <c r="BL4854" s="497">
        <v>82.94</v>
      </c>
      <c r="BN4854" s="42"/>
      <c r="BO4854" s="74"/>
      <c r="BP4854" s="77"/>
      <c r="BR4854" s="497">
        <v>80.960000000000008</v>
      </c>
      <c r="BT4854" s="42"/>
    </row>
    <row r="4855" spans="1:72" x14ac:dyDescent="0.25">
      <c r="A4855" s="90">
        <v>34536</v>
      </c>
      <c r="B4855" s="20">
        <v>0.54166666666666663</v>
      </c>
      <c r="D4855">
        <v>89.960000000000008</v>
      </c>
      <c r="E4855" t="str">
        <f t="shared" si="186"/>
        <v>WEEKDAY</v>
      </c>
      <c r="F4855" t="e">
        <f t="shared" si="187"/>
        <v>#N/A</v>
      </c>
      <c r="G4855" s="74">
        <v>31979</v>
      </c>
      <c r="H4855" s="77">
        <v>0.54166666666666663</v>
      </c>
      <c r="J4855">
        <v>87.98</v>
      </c>
      <c r="M4855" s="74">
        <v>33440</v>
      </c>
      <c r="N4855" s="77">
        <v>0.54166666666666663</v>
      </c>
      <c r="P4855">
        <v>96.08</v>
      </c>
      <c r="S4855" s="74">
        <v>34536</v>
      </c>
      <c r="T4855" s="77">
        <v>0.54166666666666663</v>
      </c>
      <c r="V4855">
        <v>84.02</v>
      </c>
      <c r="X4855" s="42"/>
      <c r="AB4855">
        <v>81.599999999999994</v>
      </c>
      <c r="AC4855">
        <v>84.02</v>
      </c>
      <c r="AE4855" s="74"/>
      <c r="AF4855" s="77"/>
      <c r="AH4855" s="497">
        <v>78.800000000000011</v>
      </c>
      <c r="AJ4855" s="42"/>
      <c r="AK4855" s="74"/>
      <c r="AL4855" s="77"/>
      <c r="AN4855" s="497">
        <v>87.080000000000013</v>
      </c>
      <c r="AP4855" s="42"/>
      <c r="AQ4855" s="74"/>
      <c r="AR4855" s="77"/>
      <c r="AT4855" s="497">
        <v>96.08</v>
      </c>
      <c r="AV4855" s="42"/>
      <c r="AW4855" s="74"/>
      <c r="AX4855" s="77"/>
      <c r="BA4855" s="497">
        <v>82.039999999999992</v>
      </c>
      <c r="BB4855" s="42"/>
      <c r="BC4855" s="74"/>
      <c r="BD4855" s="77"/>
      <c r="BF4855">
        <v>87.080000000000013</v>
      </c>
      <c r="BH4855" s="42"/>
      <c r="BI4855" s="74"/>
      <c r="BJ4855" s="77"/>
      <c r="BL4855" s="497">
        <v>84.92</v>
      </c>
      <c r="BN4855" s="42"/>
      <c r="BO4855" s="74"/>
      <c r="BP4855" s="77"/>
      <c r="BR4855" s="497">
        <v>82.039999999999992</v>
      </c>
      <c r="BT4855" s="42"/>
    </row>
    <row r="4856" spans="1:72" x14ac:dyDescent="0.25">
      <c r="A4856" s="90">
        <v>34536</v>
      </c>
      <c r="B4856" s="20">
        <v>0.58333333333333337</v>
      </c>
      <c r="D4856">
        <v>87.98</v>
      </c>
      <c r="E4856" t="str">
        <f t="shared" si="186"/>
        <v>WEEKDAY</v>
      </c>
      <c r="F4856" t="e">
        <f t="shared" si="187"/>
        <v>#N/A</v>
      </c>
      <c r="G4856" s="74">
        <v>31979</v>
      </c>
      <c r="H4856" s="77">
        <v>0.58333333333333337</v>
      </c>
      <c r="J4856">
        <v>89.960000000000008</v>
      </c>
      <c r="M4856" s="74">
        <v>33440</v>
      </c>
      <c r="N4856" s="77">
        <v>0.58333333333333337</v>
      </c>
      <c r="P4856">
        <v>89.06</v>
      </c>
      <c r="S4856" s="74">
        <v>34536</v>
      </c>
      <c r="T4856" s="77">
        <v>0.58333333333333337</v>
      </c>
      <c r="V4856">
        <v>84.92</v>
      </c>
      <c r="X4856" s="42"/>
      <c r="AB4856">
        <v>82.1</v>
      </c>
      <c r="AC4856">
        <v>84.92</v>
      </c>
      <c r="AE4856" s="74"/>
      <c r="AF4856" s="77"/>
      <c r="AH4856" s="497">
        <v>80.599999999999994</v>
      </c>
      <c r="AJ4856" s="42"/>
      <c r="AK4856" s="74"/>
      <c r="AL4856" s="77"/>
      <c r="AN4856" s="497">
        <v>89.06</v>
      </c>
      <c r="AP4856" s="42"/>
      <c r="AQ4856" s="74"/>
      <c r="AR4856" s="77"/>
      <c r="AT4856" s="497">
        <v>91.4</v>
      </c>
      <c r="AV4856" s="42"/>
      <c r="AW4856" s="74"/>
      <c r="AX4856" s="77"/>
      <c r="BA4856" s="497">
        <v>82.039999999999992</v>
      </c>
      <c r="BB4856" s="42"/>
      <c r="BC4856" s="74"/>
      <c r="BD4856" s="77"/>
      <c r="BF4856">
        <v>89.06</v>
      </c>
      <c r="BH4856" s="42"/>
      <c r="BI4856" s="74"/>
      <c r="BJ4856" s="77"/>
      <c r="BL4856" s="497">
        <v>86</v>
      </c>
      <c r="BN4856" s="42"/>
      <c r="BO4856" s="74"/>
      <c r="BP4856" s="77"/>
      <c r="BR4856" s="497">
        <v>82.94</v>
      </c>
      <c r="BT4856" s="42"/>
    </row>
    <row r="4857" spans="1:72" x14ac:dyDescent="0.25">
      <c r="A4857" s="90">
        <v>34536</v>
      </c>
      <c r="B4857" s="20">
        <v>0.625</v>
      </c>
      <c r="D4857">
        <v>87.98</v>
      </c>
      <c r="E4857" t="str">
        <f t="shared" si="186"/>
        <v>WEEKDAY</v>
      </c>
      <c r="F4857" t="e">
        <f t="shared" si="187"/>
        <v>#N/A</v>
      </c>
      <c r="G4857" s="74">
        <v>31979</v>
      </c>
      <c r="H4857" s="77">
        <v>0.625</v>
      </c>
      <c r="J4857">
        <v>89.960000000000008</v>
      </c>
      <c r="M4857" s="74">
        <v>33440</v>
      </c>
      <c r="N4857" s="77">
        <v>0.625</v>
      </c>
      <c r="P4857">
        <v>93.92</v>
      </c>
      <c r="S4857" s="74">
        <v>34536</v>
      </c>
      <c r="T4857" s="77">
        <v>0.625</v>
      </c>
      <c r="V4857">
        <v>84.02</v>
      </c>
      <c r="X4857" s="42"/>
      <c r="AB4857">
        <v>82</v>
      </c>
      <c r="AC4857">
        <v>84.92</v>
      </c>
      <c r="AE4857" s="74"/>
      <c r="AF4857" s="77"/>
      <c r="AH4857" s="497">
        <v>80.599999999999994</v>
      </c>
      <c r="AJ4857" s="42"/>
      <c r="AK4857" s="74"/>
      <c r="AL4857" s="77"/>
      <c r="AN4857" s="497">
        <v>87.080000000000013</v>
      </c>
      <c r="AP4857" s="42"/>
      <c r="AQ4857" s="74"/>
      <c r="AR4857" s="77"/>
      <c r="AT4857" s="497">
        <v>86.72</v>
      </c>
      <c r="AV4857" s="42"/>
      <c r="AW4857" s="74"/>
      <c r="AX4857" s="77"/>
      <c r="BA4857" s="497">
        <v>82.94</v>
      </c>
      <c r="BB4857" s="42"/>
      <c r="BC4857" s="74"/>
      <c r="BD4857" s="77"/>
      <c r="BF4857">
        <v>87.080000000000013</v>
      </c>
      <c r="BH4857" s="42"/>
      <c r="BI4857" s="74"/>
      <c r="BJ4857" s="77"/>
      <c r="BL4857" s="497">
        <v>86</v>
      </c>
      <c r="BN4857" s="42"/>
      <c r="BO4857" s="74"/>
      <c r="BP4857" s="77"/>
      <c r="BR4857" s="497">
        <v>82.039999999999992</v>
      </c>
      <c r="BT4857" s="42"/>
    </row>
    <row r="4858" spans="1:72" x14ac:dyDescent="0.25">
      <c r="A4858" s="90">
        <v>34536</v>
      </c>
      <c r="B4858" s="20">
        <v>0.66666666666666663</v>
      </c>
      <c r="D4858">
        <v>86</v>
      </c>
      <c r="E4858" t="str">
        <f t="shared" si="186"/>
        <v>WEEKDAY</v>
      </c>
      <c r="F4858" t="e">
        <f t="shared" si="187"/>
        <v>#N/A</v>
      </c>
      <c r="G4858" s="74">
        <v>31979</v>
      </c>
      <c r="H4858" s="77">
        <v>0.66666666666666663</v>
      </c>
      <c r="J4858">
        <v>91.039999999999992</v>
      </c>
      <c r="M4858" s="74">
        <v>33440</v>
      </c>
      <c r="N4858" s="77">
        <v>0.66666666666666663</v>
      </c>
      <c r="P4858">
        <v>96.08</v>
      </c>
      <c r="S4858" s="74">
        <v>34536</v>
      </c>
      <c r="T4858" s="77">
        <v>0.66666666666666663</v>
      </c>
      <c r="V4858">
        <v>82.94</v>
      </c>
      <c r="X4858" s="42"/>
      <c r="AB4858">
        <v>81.5</v>
      </c>
      <c r="AC4858">
        <v>82.039999999999992</v>
      </c>
      <c r="AE4858" s="74"/>
      <c r="AF4858" s="77"/>
      <c r="AH4858" s="497">
        <v>80.599999999999994</v>
      </c>
      <c r="AJ4858" s="42"/>
      <c r="AK4858" s="74"/>
      <c r="AL4858" s="77"/>
      <c r="AN4858" s="497">
        <v>84.92</v>
      </c>
      <c r="AP4858" s="42"/>
      <c r="AQ4858" s="74"/>
      <c r="AR4858" s="77"/>
      <c r="AT4858" s="497">
        <v>82.039999999999992</v>
      </c>
      <c r="AV4858" s="42"/>
      <c r="AW4858" s="74"/>
      <c r="AX4858" s="77"/>
      <c r="BA4858" s="497">
        <v>82.039999999999992</v>
      </c>
      <c r="BB4858" s="42"/>
      <c r="BC4858" s="74"/>
      <c r="BD4858" s="77"/>
      <c r="BF4858">
        <v>84.92</v>
      </c>
      <c r="BH4858" s="42"/>
      <c r="BI4858" s="74"/>
      <c r="BJ4858" s="77"/>
      <c r="BL4858" s="497">
        <v>84.92</v>
      </c>
      <c r="BN4858" s="42"/>
      <c r="BO4858" s="74"/>
      <c r="BP4858" s="77"/>
      <c r="BR4858" s="497">
        <v>80.06</v>
      </c>
      <c r="BT4858" s="42"/>
    </row>
    <row r="4859" spans="1:72" x14ac:dyDescent="0.25">
      <c r="A4859" s="90">
        <v>34536</v>
      </c>
      <c r="B4859" s="20">
        <v>0.70833333333333337</v>
      </c>
      <c r="D4859">
        <v>87.98</v>
      </c>
      <c r="E4859" t="str">
        <f t="shared" si="186"/>
        <v>WEEKDAY</v>
      </c>
      <c r="F4859" t="e">
        <f t="shared" si="187"/>
        <v>#N/A</v>
      </c>
      <c r="G4859" s="74">
        <v>31979</v>
      </c>
      <c r="H4859" s="77">
        <v>0.70833333333333337</v>
      </c>
      <c r="J4859">
        <v>89.960000000000008</v>
      </c>
      <c r="M4859" s="74">
        <v>33440</v>
      </c>
      <c r="N4859" s="77">
        <v>0.70833333333333337</v>
      </c>
      <c r="P4859">
        <v>89.06</v>
      </c>
      <c r="S4859" s="74">
        <v>34536</v>
      </c>
      <c r="T4859" s="77">
        <v>0.70833333333333337</v>
      </c>
      <c r="V4859">
        <v>82.94</v>
      </c>
      <c r="X4859" s="42"/>
      <c r="AB4859">
        <v>80.599999999999994</v>
      </c>
      <c r="AC4859">
        <v>80.960000000000008</v>
      </c>
      <c r="AE4859" s="74"/>
      <c r="AF4859" s="77"/>
      <c r="AH4859" s="497">
        <v>80.599999999999994</v>
      </c>
      <c r="AJ4859" s="42"/>
      <c r="AK4859" s="74"/>
      <c r="AL4859" s="77"/>
      <c r="AN4859" s="497">
        <v>77</v>
      </c>
      <c r="AP4859" s="42"/>
      <c r="AQ4859" s="74"/>
      <c r="AR4859" s="77"/>
      <c r="AT4859" s="497">
        <v>80.42</v>
      </c>
      <c r="AV4859" s="42"/>
      <c r="AW4859" s="74"/>
      <c r="AX4859" s="77"/>
      <c r="BA4859" s="497">
        <v>80.960000000000008</v>
      </c>
      <c r="BB4859" s="42"/>
      <c r="BC4859" s="74"/>
      <c r="BD4859" s="77"/>
      <c r="BF4859">
        <v>84.02</v>
      </c>
      <c r="BH4859" s="42"/>
      <c r="BI4859" s="74"/>
      <c r="BJ4859" s="77"/>
      <c r="BL4859" s="497">
        <v>82.039999999999992</v>
      </c>
      <c r="BN4859" s="42"/>
      <c r="BO4859" s="74"/>
      <c r="BP4859" s="77"/>
      <c r="BR4859" s="497">
        <v>78.080000000000013</v>
      </c>
      <c r="BT4859" s="42"/>
    </row>
    <row r="4860" spans="1:72" x14ac:dyDescent="0.25">
      <c r="A4860" s="90">
        <v>34536</v>
      </c>
      <c r="B4860" s="20">
        <v>0.75</v>
      </c>
      <c r="D4860">
        <v>87.98</v>
      </c>
      <c r="E4860" t="str">
        <f t="shared" si="186"/>
        <v>WEEKDAY</v>
      </c>
      <c r="F4860" t="e">
        <f t="shared" si="187"/>
        <v>#N/A</v>
      </c>
      <c r="G4860" s="74">
        <v>31979</v>
      </c>
      <c r="H4860" s="77">
        <v>0.75</v>
      </c>
      <c r="J4860">
        <v>89.06</v>
      </c>
      <c r="M4860" s="74">
        <v>33440</v>
      </c>
      <c r="N4860" s="77">
        <v>0.75</v>
      </c>
      <c r="P4860">
        <v>77</v>
      </c>
      <c r="S4860" s="74">
        <v>34536</v>
      </c>
      <c r="T4860" s="77">
        <v>0.75</v>
      </c>
      <c r="V4860">
        <v>80.06</v>
      </c>
      <c r="X4860" s="42"/>
      <c r="AB4860">
        <v>79.400000000000006</v>
      </c>
      <c r="AC4860">
        <v>80.960000000000008</v>
      </c>
      <c r="AE4860" s="74"/>
      <c r="AF4860" s="77"/>
      <c r="AH4860" s="497">
        <v>78.800000000000011</v>
      </c>
      <c r="AJ4860" s="42"/>
      <c r="AK4860" s="74"/>
      <c r="AL4860" s="77"/>
      <c r="AN4860" s="497">
        <v>71.960000000000008</v>
      </c>
      <c r="AP4860" s="42"/>
      <c r="AQ4860" s="74"/>
      <c r="AR4860" s="77"/>
      <c r="AT4860" s="497">
        <v>78.62</v>
      </c>
      <c r="AV4860" s="42"/>
      <c r="AW4860" s="74"/>
      <c r="AX4860" s="77"/>
      <c r="BA4860" s="497">
        <v>78.080000000000013</v>
      </c>
      <c r="BB4860" s="42"/>
      <c r="BC4860" s="74"/>
      <c r="BD4860" s="77"/>
      <c r="BF4860">
        <v>84.02</v>
      </c>
      <c r="BH4860" s="42"/>
      <c r="BI4860" s="74"/>
      <c r="BJ4860" s="77"/>
      <c r="BL4860" s="497">
        <v>80.06</v>
      </c>
      <c r="BN4860" s="42"/>
      <c r="BO4860" s="74"/>
      <c r="BP4860" s="77"/>
      <c r="BR4860" s="497">
        <v>75.02</v>
      </c>
      <c r="BT4860" s="42"/>
    </row>
    <row r="4861" spans="1:72" x14ac:dyDescent="0.25">
      <c r="A4861" s="90">
        <v>34536</v>
      </c>
      <c r="B4861" s="20">
        <v>0.79166666666666663</v>
      </c>
      <c r="D4861">
        <v>84.02</v>
      </c>
      <c r="E4861" t="str">
        <f t="shared" si="186"/>
        <v>WEEKDAY</v>
      </c>
      <c r="F4861" t="e">
        <f t="shared" si="187"/>
        <v>#N/A</v>
      </c>
      <c r="G4861" s="74">
        <v>31979</v>
      </c>
      <c r="H4861" s="77">
        <v>0.79166666666666663</v>
      </c>
      <c r="J4861">
        <v>87.98</v>
      </c>
      <c r="M4861" s="74">
        <v>33440</v>
      </c>
      <c r="N4861" s="77">
        <v>0.79166666666666663</v>
      </c>
      <c r="P4861">
        <v>75.92</v>
      </c>
      <c r="S4861" s="74">
        <v>34536</v>
      </c>
      <c r="T4861" s="77">
        <v>0.79166666666666663</v>
      </c>
      <c r="V4861">
        <v>78.98</v>
      </c>
      <c r="X4861" s="42"/>
      <c r="AB4861">
        <v>78.099999999999994</v>
      </c>
      <c r="AC4861">
        <v>80.06</v>
      </c>
      <c r="AE4861" s="74"/>
      <c r="AF4861" s="77"/>
      <c r="AH4861" s="497">
        <v>75.2</v>
      </c>
      <c r="AJ4861" s="42"/>
      <c r="AK4861" s="74"/>
      <c r="AL4861" s="77"/>
      <c r="AN4861" s="497">
        <v>69.98</v>
      </c>
      <c r="AP4861" s="42"/>
      <c r="AQ4861" s="74"/>
      <c r="AR4861" s="77"/>
      <c r="AT4861" s="497">
        <v>77</v>
      </c>
      <c r="AV4861" s="42"/>
      <c r="AW4861" s="74"/>
      <c r="AX4861" s="77"/>
      <c r="BA4861" s="497">
        <v>77</v>
      </c>
      <c r="BB4861" s="42"/>
      <c r="BC4861" s="74"/>
      <c r="BD4861" s="77"/>
      <c r="BF4861">
        <v>80.960000000000008</v>
      </c>
      <c r="BH4861" s="42"/>
      <c r="BI4861" s="74"/>
      <c r="BJ4861" s="77"/>
      <c r="BL4861" s="497">
        <v>78.080000000000013</v>
      </c>
      <c r="BN4861" s="42"/>
      <c r="BO4861" s="74"/>
      <c r="BP4861" s="77"/>
      <c r="BR4861" s="497">
        <v>71.06</v>
      </c>
      <c r="BT4861" s="42"/>
    </row>
    <row r="4862" spans="1:72" x14ac:dyDescent="0.25">
      <c r="A4862" s="90">
        <v>34536</v>
      </c>
      <c r="B4862" s="20">
        <v>0.83333333333333337</v>
      </c>
      <c r="D4862">
        <v>82.039999999999992</v>
      </c>
      <c r="E4862" t="str">
        <f t="shared" si="186"/>
        <v>WEEKDAY</v>
      </c>
      <c r="F4862" t="e">
        <f t="shared" si="187"/>
        <v>#N/A</v>
      </c>
      <c r="G4862" s="74">
        <v>31979</v>
      </c>
      <c r="H4862" s="77">
        <v>0.83333333333333337</v>
      </c>
      <c r="J4862">
        <v>84.92</v>
      </c>
      <c r="M4862" s="74">
        <v>33440</v>
      </c>
      <c r="N4862" s="77">
        <v>0.83333333333333337</v>
      </c>
      <c r="P4862">
        <v>75.02</v>
      </c>
      <c r="S4862" s="74">
        <v>34536</v>
      </c>
      <c r="T4862" s="77">
        <v>0.83333333333333337</v>
      </c>
      <c r="V4862">
        <v>78.98</v>
      </c>
      <c r="X4862" s="42"/>
      <c r="AB4862">
        <v>76.8</v>
      </c>
      <c r="AC4862">
        <v>78.080000000000013</v>
      </c>
      <c r="AE4862" s="74"/>
      <c r="AF4862" s="77"/>
      <c r="AH4862" s="497">
        <v>72.86</v>
      </c>
      <c r="AJ4862" s="42"/>
      <c r="AK4862" s="74"/>
      <c r="AL4862" s="77"/>
      <c r="AN4862" s="497">
        <v>69.98</v>
      </c>
      <c r="AP4862" s="42"/>
      <c r="AQ4862" s="74"/>
      <c r="AR4862" s="77"/>
      <c r="AT4862" s="497">
        <v>76.28</v>
      </c>
      <c r="AV4862" s="42"/>
      <c r="AW4862" s="74"/>
      <c r="AX4862" s="77"/>
      <c r="BA4862" s="497">
        <v>71.960000000000008</v>
      </c>
      <c r="BB4862" s="42"/>
      <c r="BC4862" s="74"/>
      <c r="BD4862" s="77"/>
      <c r="BF4862">
        <v>73.94</v>
      </c>
      <c r="BH4862" s="42"/>
      <c r="BI4862" s="74"/>
      <c r="BJ4862" s="77"/>
      <c r="BL4862" s="497">
        <v>75.02</v>
      </c>
      <c r="BN4862" s="42"/>
      <c r="BO4862" s="74"/>
      <c r="BP4862" s="77"/>
      <c r="BR4862" s="497">
        <v>69.080000000000013</v>
      </c>
      <c r="BT4862" s="42"/>
    </row>
    <row r="4863" spans="1:72" x14ac:dyDescent="0.25">
      <c r="A4863" s="90">
        <v>34536</v>
      </c>
      <c r="B4863" s="20">
        <v>0.875</v>
      </c>
      <c r="D4863">
        <v>80.960000000000008</v>
      </c>
      <c r="E4863" t="str">
        <f t="shared" si="186"/>
        <v>WEEKDAY</v>
      </c>
      <c r="F4863" t="e">
        <f t="shared" si="187"/>
        <v>#N/A</v>
      </c>
      <c r="G4863" s="74">
        <v>31979</v>
      </c>
      <c r="H4863" s="77">
        <v>0.875</v>
      </c>
      <c r="J4863">
        <v>84.92</v>
      </c>
      <c r="M4863" s="74">
        <v>33440</v>
      </c>
      <c r="N4863" s="77">
        <v>0.875</v>
      </c>
      <c r="P4863">
        <v>75.02</v>
      </c>
      <c r="S4863" s="74">
        <v>34536</v>
      </c>
      <c r="T4863" s="77">
        <v>0.875</v>
      </c>
      <c r="V4863">
        <v>78.080000000000013</v>
      </c>
      <c r="X4863" s="42"/>
      <c r="AB4863">
        <v>75.7</v>
      </c>
      <c r="AC4863">
        <v>78.080000000000013</v>
      </c>
      <c r="AE4863" s="74"/>
      <c r="AF4863" s="77"/>
      <c r="AH4863" s="497">
        <v>71.599999999999994</v>
      </c>
      <c r="AJ4863" s="42"/>
      <c r="AK4863" s="74"/>
      <c r="AL4863" s="77"/>
      <c r="AN4863" s="497">
        <v>69.98</v>
      </c>
      <c r="AP4863" s="42"/>
      <c r="AQ4863" s="74"/>
      <c r="AR4863" s="77"/>
      <c r="AT4863" s="497">
        <v>75.740000000000009</v>
      </c>
      <c r="AV4863" s="42"/>
      <c r="AW4863" s="74"/>
      <c r="AX4863" s="77"/>
      <c r="BA4863" s="497">
        <v>69.98</v>
      </c>
      <c r="BB4863" s="42"/>
      <c r="BC4863" s="74"/>
      <c r="BD4863" s="77"/>
      <c r="BF4863">
        <v>73.039999999999992</v>
      </c>
      <c r="BH4863" s="42"/>
      <c r="BI4863" s="74"/>
      <c r="BJ4863" s="77"/>
      <c r="BL4863" s="497">
        <v>73.039999999999992</v>
      </c>
      <c r="BN4863" s="42"/>
      <c r="BO4863" s="74"/>
      <c r="BP4863" s="77"/>
      <c r="BR4863" s="497">
        <v>69.080000000000013</v>
      </c>
      <c r="BT4863" s="42"/>
    </row>
    <row r="4864" spans="1:72" x14ac:dyDescent="0.25">
      <c r="A4864" s="90">
        <v>34536</v>
      </c>
      <c r="B4864" s="20">
        <v>0.91666666666666663</v>
      </c>
      <c r="D4864">
        <v>80.960000000000008</v>
      </c>
      <c r="E4864" t="str">
        <f t="shared" si="186"/>
        <v>WEEKDAY</v>
      </c>
      <c r="F4864" t="e">
        <f t="shared" si="187"/>
        <v>#N/A</v>
      </c>
      <c r="G4864" s="74">
        <v>31979</v>
      </c>
      <c r="H4864" s="77">
        <v>0.91666666666666663</v>
      </c>
      <c r="J4864">
        <v>82.94</v>
      </c>
      <c r="M4864" s="74">
        <v>33440</v>
      </c>
      <c r="N4864" s="77">
        <v>0.91666666666666663</v>
      </c>
      <c r="P4864">
        <v>75.02</v>
      </c>
      <c r="S4864" s="74">
        <v>34536</v>
      </c>
      <c r="T4864" s="77">
        <v>0.91666666666666663</v>
      </c>
      <c r="V4864">
        <v>78.080000000000013</v>
      </c>
      <c r="X4864" s="42"/>
      <c r="AB4864">
        <v>75.2</v>
      </c>
      <c r="AC4864">
        <v>78.080000000000013</v>
      </c>
      <c r="AE4864" s="74"/>
      <c r="AF4864" s="77"/>
      <c r="AH4864" s="497">
        <v>62.6</v>
      </c>
      <c r="AJ4864" s="42"/>
      <c r="AK4864" s="74"/>
      <c r="AL4864" s="77"/>
      <c r="AN4864" s="497">
        <v>69.98</v>
      </c>
      <c r="AP4864" s="42"/>
      <c r="AQ4864" s="74"/>
      <c r="AR4864" s="77"/>
      <c r="AT4864" s="497">
        <v>75.02</v>
      </c>
      <c r="AV4864" s="42"/>
      <c r="AW4864" s="74"/>
      <c r="AX4864" s="77"/>
      <c r="BA4864" s="497">
        <v>69.080000000000013</v>
      </c>
      <c r="BB4864" s="42"/>
      <c r="BC4864" s="74"/>
      <c r="BD4864" s="77"/>
      <c r="BF4864">
        <v>71.960000000000008</v>
      </c>
      <c r="BH4864" s="42"/>
      <c r="BI4864" s="74"/>
      <c r="BJ4864" s="77"/>
      <c r="BL4864" s="497">
        <v>71.06</v>
      </c>
      <c r="BN4864" s="42"/>
      <c r="BO4864" s="74"/>
      <c r="BP4864" s="77"/>
      <c r="BR4864" s="497">
        <v>69.080000000000013</v>
      </c>
      <c r="BT4864" s="42"/>
    </row>
    <row r="4865" spans="1:72" x14ac:dyDescent="0.25">
      <c r="A4865" s="90">
        <v>34536</v>
      </c>
      <c r="B4865" s="20">
        <v>0.95833333333333337</v>
      </c>
      <c r="D4865">
        <v>82.039999999999992</v>
      </c>
      <c r="E4865" t="str">
        <f t="shared" si="186"/>
        <v>WEEKDAY</v>
      </c>
      <c r="F4865" t="e">
        <f t="shared" si="187"/>
        <v>#N/A</v>
      </c>
      <c r="G4865" s="74">
        <v>31979</v>
      </c>
      <c r="H4865" s="77">
        <v>0.95833333333333337</v>
      </c>
      <c r="J4865">
        <v>80.06</v>
      </c>
      <c r="M4865" s="74">
        <v>33440</v>
      </c>
      <c r="N4865" s="77">
        <v>0.95833333333333337</v>
      </c>
      <c r="P4865">
        <v>73.039999999999992</v>
      </c>
      <c r="S4865" s="74">
        <v>34536</v>
      </c>
      <c r="T4865" s="77">
        <v>0.95833333333333337</v>
      </c>
      <c r="V4865">
        <v>77</v>
      </c>
      <c r="X4865" s="42"/>
      <c r="AB4865">
        <v>74.8</v>
      </c>
      <c r="AC4865">
        <v>78.080000000000013</v>
      </c>
      <c r="AE4865" s="74"/>
      <c r="AF4865" s="77"/>
      <c r="AH4865" s="497">
        <v>59</v>
      </c>
      <c r="AJ4865" s="42"/>
      <c r="AK4865" s="74"/>
      <c r="AL4865" s="77"/>
      <c r="AN4865" s="497">
        <v>69.98</v>
      </c>
      <c r="AP4865" s="42"/>
      <c r="AQ4865" s="74"/>
      <c r="AR4865" s="77"/>
      <c r="AT4865" s="497">
        <v>73.400000000000006</v>
      </c>
      <c r="AV4865" s="42"/>
      <c r="AW4865" s="74"/>
      <c r="AX4865" s="77"/>
      <c r="BA4865" s="497">
        <v>66.02</v>
      </c>
      <c r="BB4865" s="42"/>
      <c r="BC4865" s="74"/>
      <c r="BD4865" s="77"/>
      <c r="BF4865">
        <v>73.039999999999992</v>
      </c>
      <c r="BH4865" s="42"/>
      <c r="BI4865" s="74"/>
      <c r="BJ4865" s="77"/>
      <c r="BL4865" s="497">
        <v>69.080000000000013</v>
      </c>
      <c r="BN4865" s="42"/>
      <c r="BO4865" s="74"/>
      <c r="BP4865" s="77"/>
      <c r="BR4865" s="497">
        <v>64.94</v>
      </c>
      <c r="BT4865" s="42"/>
    </row>
    <row r="4866" spans="1:72" x14ac:dyDescent="0.25">
      <c r="A4866" s="90">
        <v>34536</v>
      </c>
      <c r="B4866" s="20">
        <v>1</v>
      </c>
      <c r="D4866">
        <v>82.039999999999992</v>
      </c>
      <c r="E4866" t="str">
        <f t="shared" si="186"/>
        <v>WEEKDAY</v>
      </c>
      <c r="F4866" t="e">
        <f t="shared" si="187"/>
        <v>#N/A</v>
      </c>
      <c r="G4866" s="74">
        <v>31979</v>
      </c>
      <c r="H4866" s="77">
        <v>1</v>
      </c>
      <c r="J4866">
        <v>77</v>
      </c>
      <c r="M4866" s="74">
        <v>33440</v>
      </c>
      <c r="N4866" s="80">
        <v>1</v>
      </c>
      <c r="P4866">
        <v>75.92</v>
      </c>
      <c r="S4866" s="74">
        <v>34536</v>
      </c>
      <c r="T4866" s="80">
        <v>1</v>
      </c>
      <c r="V4866">
        <v>77</v>
      </c>
      <c r="X4866" s="42"/>
      <c r="AB4866">
        <v>74.3</v>
      </c>
      <c r="AC4866">
        <v>78.080000000000013</v>
      </c>
      <c r="AE4866" s="74"/>
      <c r="AF4866" s="80"/>
      <c r="AH4866" s="497">
        <v>57.2</v>
      </c>
      <c r="AJ4866" s="42"/>
      <c r="AK4866" s="74"/>
      <c r="AL4866" s="80"/>
      <c r="AN4866" s="497">
        <v>69.080000000000013</v>
      </c>
      <c r="AP4866" s="42"/>
      <c r="AQ4866" s="74"/>
      <c r="AR4866" s="80"/>
      <c r="AT4866" s="497">
        <v>71.599999999999994</v>
      </c>
      <c r="AV4866" s="42"/>
      <c r="AW4866" s="74"/>
      <c r="AX4866" s="80"/>
      <c r="BA4866" s="497">
        <v>64.94</v>
      </c>
      <c r="BB4866" s="42"/>
      <c r="BC4866" s="74"/>
      <c r="BD4866" s="80"/>
      <c r="BF4866">
        <v>73.039999999999992</v>
      </c>
      <c r="BH4866" s="42"/>
      <c r="BI4866" s="74"/>
      <c r="BJ4866" s="80"/>
      <c r="BL4866" s="497">
        <v>66.92</v>
      </c>
      <c r="BN4866" s="42"/>
      <c r="BO4866" s="74"/>
      <c r="BP4866" s="80"/>
      <c r="BR4866" s="497">
        <v>66.92</v>
      </c>
      <c r="BT4866" s="42"/>
    </row>
    <row r="4867" spans="1:72" x14ac:dyDescent="0.25">
      <c r="A4867" s="90">
        <v>34537</v>
      </c>
      <c r="B4867" s="20">
        <v>4.1666666666666664E-2</v>
      </c>
      <c r="D4867">
        <v>80.960000000000008</v>
      </c>
      <c r="E4867" t="str">
        <f t="shared" si="186"/>
        <v>WEEKDAY</v>
      </c>
      <c r="F4867" t="e">
        <f t="shared" si="187"/>
        <v>#N/A</v>
      </c>
      <c r="G4867" s="74">
        <v>31980</v>
      </c>
      <c r="H4867" s="77">
        <v>4.1666666666666664E-2</v>
      </c>
      <c r="J4867">
        <v>78.080000000000013</v>
      </c>
      <c r="M4867" s="74">
        <v>33441</v>
      </c>
      <c r="N4867" s="77">
        <v>4.1666666666666664E-2</v>
      </c>
      <c r="P4867">
        <v>73.94</v>
      </c>
      <c r="S4867" s="74">
        <v>34537</v>
      </c>
      <c r="T4867" s="77">
        <v>4.1666666666666664E-2</v>
      </c>
      <c r="V4867">
        <v>77</v>
      </c>
      <c r="X4867" s="42"/>
      <c r="AB4867">
        <v>73.7</v>
      </c>
      <c r="AC4867">
        <v>78.080000000000013</v>
      </c>
      <c r="AE4867" s="74"/>
      <c r="AF4867" s="77"/>
      <c r="AH4867" s="497">
        <v>57.2</v>
      </c>
      <c r="AJ4867" s="42"/>
      <c r="AK4867" s="74"/>
      <c r="AL4867" s="77"/>
      <c r="AN4867" s="497">
        <v>69.080000000000013</v>
      </c>
      <c r="AP4867" s="42"/>
      <c r="AQ4867" s="74"/>
      <c r="AR4867" s="77"/>
      <c r="AT4867" s="497">
        <v>69.98</v>
      </c>
      <c r="AV4867" s="42"/>
      <c r="AW4867" s="74"/>
      <c r="AX4867" s="77"/>
      <c r="BA4867" s="497">
        <v>64.039999999999992</v>
      </c>
      <c r="BB4867" s="42"/>
      <c r="BC4867" s="74"/>
      <c r="BD4867" s="77"/>
      <c r="BF4867">
        <v>71.960000000000008</v>
      </c>
      <c r="BH4867" s="42"/>
      <c r="BI4867" s="74"/>
      <c r="BJ4867" s="77"/>
      <c r="BL4867" s="497">
        <v>68</v>
      </c>
      <c r="BN4867" s="42"/>
      <c r="BO4867" s="74"/>
      <c r="BP4867" s="77"/>
      <c r="BR4867" s="497">
        <v>64.94</v>
      </c>
      <c r="BT4867" s="42"/>
    </row>
    <row r="4868" spans="1:72" x14ac:dyDescent="0.25">
      <c r="A4868" s="90">
        <v>34537</v>
      </c>
      <c r="B4868" s="20">
        <v>8.3333333333333329E-2</v>
      </c>
      <c r="D4868">
        <v>80.960000000000008</v>
      </c>
      <c r="E4868" t="str">
        <f t="shared" si="186"/>
        <v>WEEKDAY</v>
      </c>
      <c r="F4868" t="e">
        <f t="shared" si="187"/>
        <v>#N/A</v>
      </c>
      <c r="G4868" s="74">
        <v>31980</v>
      </c>
      <c r="H4868" s="77">
        <v>8.3333333333333329E-2</v>
      </c>
      <c r="J4868">
        <v>75.92</v>
      </c>
      <c r="M4868" s="74">
        <v>33441</v>
      </c>
      <c r="N4868" s="77">
        <v>8.3333333333333329E-2</v>
      </c>
      <c r="P4868">
        <v>73.94</v>
      </c>
      <c r="S4868" s="74">
        <v>34537</v>
      </c>
      <c r="T4868" s="77">
        <v>8.3333333333333329E-2</v>
      </c>
      <c r="V4868">
        <v>77</v>
      </c>
      <c r="X4868" s="42"/>
      <c r="AB4868">
        <v>73.2</v>
      </c>
      <c r="AC4868">
        <v>78.080000000000013</v>
      </c>
      <c r="AE4868" s="74"/>
      <c r="AF4868" s="77"/>
      <c r="AH4868" s="497">
        <v>55.400000000000006</v>
      </c>
      <c r="AJ4868" s="42"/>
      <c r="AK4868" s="74"/>
      <c r="AL4868" s="77"/>
      <c r="AN4868" s="497">
        <v>69.98</v>
      </c>
      <c r="AP4868" s="42"/>
      <c r="AQ4868" s="74"/>
      <c r="AR4868" s="77"/>
      <c r="AT4868" s="497">
        <v>68.36</v>
      </c>
      <c r="AV4868" s="42"/>
      <c r="AW4868" s="74"/>
      <c r="AX4868" s="77"/>
      <c r="BA4868" s="497">
        <v>62.96</v>
      </c>
      <c r="BB4868" s="42"/>
      <c r="BC4868" s="74"/>
      <c r="BD4868" s="77"/>
      <c r="BF4868">
        <v>73.039999999999992</v>
      </c>
      <c r="BH4868" s="42"/>
      <c r="BI4868" s="74"/>
      <c r="BJ4868" s="77"/>
      <c r="BL4868" s="497">
        <v>66.02</v>
      </c>
      <c r="BN4868" s="42"/>
      <c r="BO4868" s="74"/>
      <c r="BP4868" s="77"/>
      <c r="BR4868" s="497">
        <v>62.96</v>
      </c>
      <c r="BT4868" s="42"/>
    </row>
    <row r="4869" spans="1:72" x14ac:dyDescent="0.25">
      <c r="A4869" s="90">
        <v>34537</v>
      </c>
      <c r="B4869" s="20">
        <v>0.125</v>
      </c>
      <c r="D4869">
        <v>80.960000000000008</v>
      </c>
      <c r="E4869" t="str">
        <f t="shared" si="186"/>
        <v>WEEKDAY</v>
      </c>
      <c r="F4869" t="e">
        <f t="shared" si="187"/>
        <v>#N/A</v>
      </c>
      <c r="G4869" s="74">
        <v>31980</v>
      </c>
      <c r="H4869" s="77">
        <v>0.125</v>
      </c>
      <c r="J4869">
        <v>73.94</v>
      </c>
      <c r="M4869" s="74">
        <v>33441</v>
      </c>
      <c r="N4869" s="77">
        <v>0.125</v>
      </c>
      <c r="P4869">
        <v>73.94</v>
      </c>
      <c r="S4869" s="74">
        <v>34537</v>
      </c>
      <c r="T4869" s="77">
        <v>0.125</v>
      </c>
      <c r="V4869">
        <v>75.92</v>
      </c>
      <c r="X4869" s="42"/>
      <c r="AB4869">
        <v>72.599999999999994</v>
      </c>
      <c r="AC4869">
        <v>78.080000000000013</v>
      </c>
      <c r="AE4869" s="74"/>
      <c r="AF4869" s="77"/>
      <c r="AH4869" s="497">
        <v>55.400000000000006</v>
      </c>
      <c r="AJ4869" s="42"/>
      <c r="AK4869" s="74"/>
      <c r="AL4869" s="77"/>
      <c r="AN4869" s="497">
        <v>69.98</v>
      </c>
      <c r="AP4869" s="42"/>
      <c r="AQ4869" s="74"/>
      <c r="AR4869" s="77"/>
      <c r="AT4869" s="497">
        <v>66.56</v>
      </c>
      <c r="AV4869" s="42"/>
      <c r="AW4869" s="74"/>
      <c r="AX4869" s="77"/>
      <c r="BA4869" s="497">
        <v>62.06</v>
      </c>
      <c r="BB4869" s="42"/>
      <c r="BC4869" s="74"/>
      <c r="BD4869" s="77"/>
      <c r="BF4869">
        <v>71.960000000000008</v>
      </c>
      <c r="BH4869" s="42"/>
      <c r="BI4869" s="74"/>
      <c r="BJ4869" s="77"/>
      <c r="BL4869" s="497">
        <v>64.94</v>
      </c>
      <c r="BN4869" s="42"/>
      <c r="BO4869" s="74"/>
      <c r="BP4869" s="77"/>
      <c r="BR4869" s="497">
        <v>62.06</v>
      </c>
      <c r="BT4869" s="42"/>
    </row>
    <row r="4870" spans="1:72" x14ac:dyDescent="0.25">
      <c r="A4870" s="90">
        <v>34537</v>
      </c>
      <c r="B4870" s="20">
        <v>0.16666666666666666</v>
      </c>
      <c r="D4870">
        <v>80.960000000000008</v>
      </c>
      <c r="E4870" t="str">
        <f t="shared" si="186"/>
        <v>WEEKDAY</v>
      </c>
      <c r="F4870" t="e">
        <f t="shared" si="187"/>
        <v>#N/A</v>
      </c>
      <c r="G4870" s="74">
        <v>31980</v>
      </c>
      <c r="H4870" s="77">
        <v>0.16666666666666666</v>
      </c>
      <c r="J4870">
        <v>73.039999999999992</v>
      </c>
      <c r="M4870" s="74">
        <v>33441</v>
      </c>
      <c r="N4870" s="77">
        <v>0.16666666666666666</v>
      </c>
      <c r="P4870">
        <v>73.039999999999992</v>
      </c>
      <c r="S4870" s="74">
        <v>34537</v>
      </c>
      <c r="T4870" s="77">
        <v>0.16666666666666666</v>
      </c>
      <c r="V4870">
        <v>75.92</v>
      </c>
      <c r="X4870" s="42"/>
      <c r="AB4870">
        <v>72.2</v>
      </c>
      <c r="AC4870">
        <v>78.080000000000013</v>
      </c>
      <c r="AE4870" s="74"/>
      <c r="AF4870" s="77"/>
      <c r="AH4870" s="497">
        <v>55.400000000000006</v>
      </c>
      <c r="AJ4870" s="42"/>
      <c r="AK4870" s="74"/>
      <c r="AL4870" s="77"/>
      <c r="AN4870" s="497">
        <v>69.080000000000013</v>
      </c>
      <c r="AP4870" s="42"/>
      <c r="AQ4870" s="74"/>
      <c r="AR4870" s="77"/>
      <c r="AT4870" s="497">
        <v>64.94</v>
      </c>
      <c r="AV4870" s="42"/>
      <c r="AW4870" s="74"/>
      <c r="AX4870" s="77"/>
      <c r="BA4870" s="497">
        <v>60.980000000000004</v>
      </c>
      <c r="BB4870" s="42"/>
      <c r="BC4870" s="74"/>
      <c r="BD4870" s="77"/>
      <c r="BF4870">
        <v>71.06</v>
      </c>
      <c r="BH4870" s="42"/>
      <c r="BI4870" s="74"/>
      <c r="BJ4870" s="77"/>
      <c r="BL4870" s="497">
        <v>68</v>
      </c>
      <c r="BN4870" s="42"/>
      <c r="BO4870" s="74"/>
      <c r="BP4870" s="77"/>
      <c r="BR4870" s="497">
        <v>60.980000000000004</v>
      </c>
      <c r="BT4870" s="42"/>
    </row>
    <row r="4871" spans="1:72" x14ac:dyDescent="0.25">
      <c r="A4871" s="90">
        <v>34537</v>
      </c>
      <c r="B4871" s="20">
        <v>0.20833333333333334</v>
      </c>
      <c r="D4871">
        <v>80.06</v>
      </c>
      <c r="E4871" t="str">
        <f t="shared" si="186"/>
        <v>WEEKDAY</v>
      </c>
      <c r="F4871" t="e">
        <f t="shared" si="187"/>
        <v>#N/A</v>
      </c>
      <c r="G4871" s="74">
        <v>31980</v>
      </c>
      <c r="H4871" s="77">
        <v>0.20833333333333334</v>
      </c>
      <c r="J4871">
        <v>71.960000000000008</v>
      </c>
      <c r="M4871" s="74">
        <v>33441</v>
      </c>
      <c r="N4871" s="77">
        <v>0.20833333333333334</v>
      </c>
      <c r="P4871">
        <v>73.039999999999992</v>
      </c>
      <c r="S4871" s="74">
        <v>34537</v>
      </c>
      <c r="T4871" s="77">
        <v>0.20833333333333334</v>
      </c>
      <c r="V4871">
        <v>75.92</v>
      </c>
      <c r="X4871" s="42"/>
      <c r="AB4871">
        <v>71.7</v>
      </c>
      <c r="AC4871">
        <v>77</v>
      </c>
      <c r="AE4871" s="74"/>
      <c r="AF4871" s="77"/>
      <c r="AH4871" s="497">
        <v>53.6</v>
      </c>
      <c r="AJ4871" s="42"/>
      <c r="AK4871" s="74"/>
      <c r="AL4871" s="77"/>
      <c r="AN4871" s="497">
        <v>69.080000000000013</v>
      </c>
      <c r="AP4871" s="42"/>
      <c r="AQ4871" s="74"/>
      <c r="AR4871" s="77"/>
      <c r="AT4871" s="497">
        <v>64.94</v>
      </c>
      <c r="AV4871" s="42"/>
      <c r="AW4871" s="74"/>
      <c r="AX4871" s="77"/>
      <c r="BA4871" s="497">
        <v>60.980000000000004</v>
      </c>
      <c r="BB4871" s="42"/>
      <c r="BC4871" s="74"/>
      <c r="BD4871" s="77"/>
      <c r="BF4871">
        <v>69.98</v>
      </c>
      <c r="BH4871" s="42"/>
      <c r="BI4871" s="74"/>
      <c r="BJ4871" s="77"/>
      <c r="BL4871" s="497">
        <v>62.96</v>
      </c>
      <c r="BN4871" s="42"/>
      <c r="BO4871" s="74"/>
      <c r="BP4871" s="77"/>
      <c r="BR4871" s="497">
        <v>60.980000000000004</v>
      </c>
      <c r="BT4871" s="42"/>
    </row>
    <row r="4872" spans="1:72" x14ac:dyDescent="0.25">
      <c r="A4872" s="90">
        <v>34537</v>
      </c>
      <c r="B4872" s="20">
        <v>0.25</v>
      </c>
      <c r="D4872">
        <v>80.06</v>
      </c>
      <c r="E4872" t="str">
        <f t="shared" si="186"/>
        <v>WEEKDAY</v>
      </c>
      <c r="F4872" t="e">
        <f t="shared" si="187"/>
        <v>#N/A</v>
      </c>
      <c r="G4872" s="74">
        <v>31980</v>
      </c>
      <c r="H4872" s="77">
        <v>0.25</v>
      </c>
      <c r="J4872">
        <v>73.039999999999992</v>
      </c>
      <c r="M4872" s="74">
        <v>33441</v>
      </c>
      <c r="N4872" s="77">
        <v>0.25</v>
      </c>
      <c r="P4872">
        <v>73.039999999999992</v>
      </c>
      <c r="S4872" s="74">
        <v>34537</v>
      </c>
      <c r="T4872" s="77">
        <v>0.25</v>
      </c>
      <c r="V4872">
        <v>77</v>
      </c>
      <c r="X4872" s="42"/>
      <c r="AB4872">
        <v>71.400000000000006</v>
      </c>
      <c r="AC4872">
        <v>78.080000000000013</v>
      </c>
      <c r="AE4872" s="74"/>
      <c r="AF4872" s="77"/>
      <c r="AH4872" s="497">
        <v>55.400000000000006</v>
      </c>
      <c r="AJ4872" s="42"/>
      <c r="AK4872" s="74"/>
      <c r="AL4872" s="77"/>
      <c r="AN4872" s="497">
        <v>69.98</v>
      </c>
      <c r="AP4872" s="42"/>
      <c r="AQ4872" s="74"/>
      <c r="AR4872" s="77"/>
      <c r="AT4872" s="497">
        <v>64.94</v>
      </c>
      <c r="AV4872" s="42"/>
      <c r="AW4872" s="74"/>
      <c r="AX4872" s="77"/>
      <c r="BA4872" s="497">
        <v>62.96</v>
      </c>
      <c r="BB4872" s="42"/>
      <c r="BC4872" s="74"/>
      <c r="BD4872" s="77"/>
      <c r="BF4872">
        <v>69.98</v>
      </c>
      <c r="BH4872" s="42"/>
      <c r="BI4872" s="74"/>
      <c r="BJ4872" s="77"/>
      <c r="BL4872" s="497">
        <v>68</v>
      </c>
      <c r="BN4872" s="42"/>
      <c r="BO4872" s="74"/>
      <c r="BP4872" s="77"/>
      <c r="BR4872" s="497">
        <v>62.96</v>
      </c>
      <c r="BT4872" s="42"/>
    </row>
    <row r="4873" spans="1:72" x14ac:dyDescent="0.25">
      <c r="A4873" s="90">
        <v>34537</v>
      </c>
      <c r="B4873" s="20">
        <v>0.29166666666666669</v>
      </c>
      <c r="D4873">
        <v>80.960000000000008</v>
      </c>
      <c r="E4873" t="str">
        <f t="shared" si="186"/>
        <v>WEEKDAY</v>
      </c>
      <c r="F4873" t="e">
        <f t="shared" si="187"/>
        <v>#N/A</v>
      </c>
      <c r="G4873" s="74">
        <v>31980</v>
      </c>
      <c r="H4873" s="77">
        <v>0.29166666666666669</v>
      </c>
      <c r="J4873">
        <v>73.94</v>
      </c>
      <c r="M4873" s="74">
        <v>33441</v>
      </c>
      <c r="N4873" s="77">
        <v>0.29166666666666669</v>
      </c>
      <c r="P4873">
        <v>75.02</v>
      </c>
      <c r="S4873" s="74">
        <v>34537</v>
      </c>
      <c r="T4873" s="77">
        <v>0.29166666666666669</v>
      </c>
      <c r="V4873">
        <v>78.98</v>
      </c>
      <c r="X4873" s="42"/>
      <c r="AB4873">
        <v>72.599999999999994</v>
      </c>
      <c r="AC4873">
        <v>78.98</v>
      </c>
      <c r="AE4873" s="74"/>
      <c r="AF4873" s="77"/>
      <c r="AH4873" s="497">
        <v>59.540000000000006</v>
      </c>
      <c r="AJ4873" s="42"/>
      <c r="AK4873" s="74"/>
      <c r="AL4873" s="77"/>
      <c r="AN4873" s="497">
        <v>69.98</v>
      </c>
      <c r="AP4873" s="42"/>
      <c r="AQ4873" s="74"/>
      <c r="AR4873" s="77"/>
      <c r="AT4873" s="497">
        <v>64.94</v>
      </c>
      <c r="AV4873" s="42"/>
      <c r="AW4873" s="74"/>
      <c r="AX4873" s="77"/>
      <c r="BA4873" s="497">
        <v>66.02</v>
      </c>
      <c r="BB4873" s="42"/>
      <c r="BC4873" s="74"/>
      <c r="BD4873" s="77"/>
      <c r="BF4873">
        <v>69.98</v>
      </c>
      <c r="BH4873" s="42"/>
      <c r="BI4873" s="74"/>
      <c r="BJ4873" s="77"/>
      <c r="BL4873" s="497">
        <v>73.039999999999992</v>
      </c>
      <c r="BN4873" s="42"/>
      <c r="BO4873" s="74"/>
      <c r="BP4873" s="77"/>
      <c r="BR4873" s="497">
        <v>66.92</v>
      </c>
      <c r="BT4873" s="42"/>
    </row>
    <row r="4874" spans="1:72" x14ac:dyDescent="0.25">
      <c r="A4874" s="90">
        <v>34537</v>
      </c>
      <c r="B4874" s="20">
        <v>0.33333333333333331</v>
      </c>
      <c r="D4874">
        <v>82.039999999999992</v>
      </c>
      <c r="E4874" t="str">
        <f t="shared" si="186"/>
        <v>WEEKDAY</v>
      </c>
      <c r="F4874" t="e">
        <f t="shared" si="187"/>
        <v>#N/A</v>
      </c>
      <c r="G4874" s="74">
        <v>31980</v>
      </c>
      <c r="H4874" s="77">
        <v>0.33333333333333331</v>
      </c>
      <c r="J4874">
        <v>75.92</v>
      </c>
      <c r="M4874" s="74">
        <v>33441</v>
      </c>
      <c r="N4874" s="77">
        <v>0.33333333333333331</v>
      </c>
      <c r="P4874">
        <v>78.080000000000013</v>
      </c>
      <c r="S4874" s="74">
        <v>34537</v>
      </c>
      <c r="T4874" s="77">
        <v>0.33333333333333331</v>
      </c>
      <c r="V4874">
        <v>78.98</v>
      </c>
      <c r="X4874" s="42"/>
      <c r="AB4874">
        <v>74.5</v>
      </c>
      <c r="AC4874">
        <v>80.06</v>
      </c>
      <c r="AE4874" s="74"/>
      <c r="AF4874" s="77"/>
      <c r="AH4874" s="497">
        <v>62.6</v>
      </c>
      <c r="AJ4874" s="42"/>
      <c r="AK4874" s="74"/>
      <c r="AL4874" s="77"/>
      <c r="AN4874" s="497">
        <v>71.960000000000008</v>
      </c>
      <c r="AP4874" s="42"/>
      <c r="AQ4874" s="74"/>
      <c r="AR4874" s="77"/>
      <c r="AT4874" s="497">
        <v>66.56</v>
      </c>
      <c r="AV4874" s="42"/>
      <c r="AW4874" s="74"/>
      <c r="AX4874" s="77"/>
      <c r="BA4874" s="497">
        <v>69.98</v>
      </c>
      <c r="BB4874" s="42"/>
      <c r="BC4874" s="74"/>
      <c r="BD4874" s="77"/>
      <c r="BF4874">
        <v>69.98</v>
      </c>
      <c r="BH4874" s="42"/>
      <c r="BI4874" s="74"/>
      <c r="BJ4874" s="77"/>
      <c r="BL4874" s="497">
        <v>78.080000000000013</v>
      </c>
      <c r="BN4874" s="42"/>
      <c r="BO4874" s="74"/>
      <c r="BP4874" s="77"/>
      <c r="BR4874" s="497">
        <v>69.98</v>
      </c>
      <c r="BT4874" s="42"/>
    </row>
    <row r="4875" spans="1:72" x14ac:dyDescent="0.25">
      <c r="A4875" s="90">
        <v>34537</v>
      </c>
      <c r="B4875" s="20">
        <v>0.375</v>
      </c>
      <c r="D4875">
        <v>82.94</v>
      </c>
      <c r="E4875" t="str">
        <f t="shared" si="186"/>
        <v>WEEKDAY</v>
      </c>
      <c r="F4875" t="e">
        <f t="shared" si="187"/>
        <v>#N/A</v>
      </c>
      <c r="G4875" s="74">
        <v>31980</v>
      </c>
      <c r="H4875" s="77">
        <v>0.375</v>
      </c>
      <c r="J4875">
        <v>78.98</v>
      </c>
      <c r="M4875" s="74">
        <v>33441</v>
      </c>
      <c r="N4875" s="77">
        <v>0.375</v>
      </c>
      <c r="P4875">
        <v>80.06</v>
      </c>
      <c r="S4875" s="74">
        <v>34537</v>
      </c>
      <c r="T4875" s="77">
        <v>0.375</v>
      </c>
      <c r="V4875">
        <v>78.98</v>
      </c>
      <c r="X4875" s="42"/>
      <c r="AB4875">
        <v>76.400000000000006</v>
      </c>
      <c r="AC4875">
        <v>80.960000000000008</v>
      </c>
      <c r="AE4875" s="74"/>
      <c r="AF4875" s="77"/>
      <c r="AH4875" s="497">
        <v>64.400000000000006</v>
      </c>
      <c r="AJ4875" s="42"/>
      <c r="AK4875" s="74"/>
      <c r="AL4875" s="77"/>
      <c r="AN4875" s="497">
        <v>75.92</v>
      </c>
      <c r="AP4875" s="42"/>
      <c r="AQ4875" s="74"/>
      <c r="AR4875" s="77"/>
      <c r="AT4875" s="497">
        <v>68.36</v>
      </c>
      <c r="AV4875" s="42"/>
      <c r="AW4875" s="74"/>
      <c r="AX4875" s="77"/>
      <c r="BA4875" s="497">
        <v>73.039999999999992</v>
      </c>
      <c r="BB4875" s="42"/>
      <c r="BC4875" s="74"/>
      <c r="BD4875" s="77"/>
      <c r="BF4875">
        <v>69.080000000000013</v>
      </c>
      <c r="BH4875" s="42"/>
      <c r="BI4875" s="74"/>
      <c r="BJ4875" s="77"/>
      <c r="BL4875" s="497">
        <v>82.94</v>
      </c>
      <c r="BN4875" s="42"/>
      <c r="BO4875" s="74"/>
      <c r="BP4875" s="77"/>
      <c r="BR4875" s="497">
        <v>71.06</v>
      </c>
      <c r="BT4875" s="42"/>
    </row>
    <row r="4876" spans="1:72" x14ac:dyDescent="0.25">
      <c r="A4876" s="90">
        <v>34537</v>
      </c>
      <c r="B4876" s="20">
        <v>0.41666666666666669</v>
      </c>
      <c r="D4876">
        <v>84.92</v>
      </c>
      <c r="E4876" t="str">
        <f t="shared" si="186"/>
        <v>WEEKDAY</v>
      </c>
      <c r="F4876" t="e">
        <f t="shared" si="187"/>
        <v>#N/A</v>
      </c>
      <c r="G4876" s="74">
        <v>31980</v>
      </c>
      <c r="H4876" s="77">
        <v>0.41666666666666669</v>
      </c>
      <c r="J4876">
        <v>82.039999999999992</v>
      </c>
      <c r="M4876" s="74">
        <v>33441</v>
      </c>
      <c r="N4876" s="77">
        <v>0.41666666666666669</v>
      </c>
      <c r="P4876">
        <v>82.039999999999992</v>
      </c>
      <c r="S4876" s="74">
        <v>34537</v>
      </c>
      <c r="T4876" s="77">
        <v>0.41666666666666669</v>
      </c>
      <c r="V4876">
        <v>80.06</v>
      </c>
      <c r="X4876" s="42"/>
      <c r="AB4876">
        <v>78.2</v>
      </c>
      <c r="AC4876">
        <v>82.039999999999992</v>
      </c>
      <c r="AE4876" s="74"/>
      <c r="AF4876" s="77"/>
      <c r="AH4876" s="497">
        <v>66.2</v>
      </c>
      <c r="AJ4876" s="42"/>
      <c r="AK4876" s="74"/>
      <c r="AL4876" s="77"/>
      <c r="AN4876" s="497">
        <v>78.080000000000013</v>
      </c>
      <c r="AP4876" s="42"/>
      <c r="AQ4876" s="74"/>
      <c r="AR4876" s="77"/>
      <c r="AT4876" s="497">
        <v>69.98</v>
      </c>
      <c r="AV4876" s="42"/>
      <c r="AW4876" s="74"/>
      <c r="AX4876" s="77"/>
      <c r="BA4876" s="497">
        <v>75.92</v>
      </c>
      <c r="BB4876" s="42"/>
      <c r="BC4876" s="74"/>
      <c r="BD4876" s="77"/>
      <c r="BF4876">
        <v>69.98</v>
      </c>
      <c r="BH4876" s="42"/>
      <c r="BI4876" s="74"/>
      <c r="BJ4876" s="77"/>
      <c r="BL4876" s="497">
        <v>87.080000000000013</v>
      </c>
      <c r="BN4876" s="42"/>
      <c r="BO4876" s="74"/>
      <c r="BP4876" s="77"/>
      <c r="BR4876" s="497">
        <v>73.039999999999992</v>
      </c>
      <c r="BT4876" s="42"/>
    </row>
    <row r="4877" spans="1:72" x14ac:dyDescent="0.25">
      <c r="A4877" s="90">
        <v>34537</v>
      </c>
      <c r="B4877" s="20">
        <v>0.45833333333333331</v>
      </c>
      <c r="D4877">
        <v>86</v>
      </c>
      <c r="E4877" t="str">
        <f t="shared" si="186"/>
        <v>WEEKDAY</v>
      </c>
      <c r="F4877" t="e">
        <f t="shared" si="187"/>
        <v>#N/A</v>
      </c>
      <c r="G4877" s="74">
        <v>31980</v>
      </c>
      <c r="H4877" s="77">
        <v>0.45833333333333331</v>
      </c>
      <c r="J4877">
        <v>84.02</v>
      </c>
      <c r="M4877" s="74">
        <v>33441</v>
      </c>
      <c r="N4877" s="77">
        <v>0.45833333333333331</v>
      </c>
      <c r="P4877">
        <v>84.02</v>
      </c>
      <c r="S4877" s="74">
        <v>34537</v>
      </c>
      <c r="T4877" s="77">
        <v>0.45833333333333331</v>
      </c>
      <c r="V4877">
        <v>80.960000000000008</v>
      </c>
      <c r="X4877" s="42"/>
      <c r="AB4877">
        <v>79.7</v>
      </c>
      <c r="AC4877">
        <v>84.02</v>
      </c>
      <c r="AE4877" s="74"/>
      <c r="AF4877" s="77"/>
      <c r="AH4877" s="497">
        <v>71.599999999999994</v>
      </c>
      <c r="AJ4877" s="42"/>
      <c r="AK4877" s="74"/>
      <c r="AL4877" s="77"/>
      <c r="AN4877" s="497">
        <v>80.06</v>
      </c>
      <c r="AP4877" s="42"/>
      <c r="AQ4877" s="74"/>
      <c r="AR4877" s="77"/>
      <c r="AT4877" s="497">
        <v>72.319999999999993</v>
      </c>
      <c r="AV4877" s="42"/>
      <c r="AW4877" s="74"/>
      <c r="AX4877" s="77"/>
      <c r="BA4877" s="497">
        <v>77</v>
      </c>
      <c r="BB4877" s="42"/>
      <c r="BC4877" s="74"/>
      <c r="BD4877" s="77"/>
      <c r="BF4877">
        <v>71.06</v>
      </c>
      <c r="BH4877" s="42"/>
      <c r="BI4877" s="74"/>
      <c r="BJ4877" s="77"/>
      <c r="BL4877" s="497">
        <v>87.98</v>
      </c>
      <c r="BN4877" s="42"/>
      <c r="BO4877" s="74"/>
      <c r="BP4877" s="77"/>
      <c r="BR4877" s="497">
        <v>78.080000000000013</v>
      </c>
      <c r="BT4877" s="42"/>
    </row>
    <row r="4878" spans="1:72" x14ac:dyDescent="0.25">
      <c r="A4878" s="90">
        <v>34537</v>
      </c>
      <c r="B4878" s="20">
        <v>0.5</v>
      </c>
      <c r="D4878">
        <v>89.06</v>
      </c>
      <c r="E4878" t="str">
        <f t="shared" si="186"/>
        <v>WEEKDAY</v>
      </c>
      <c r="F4878" t="e">
        <f t="shared" si="187"/>
        <v>#N/A</v>
      </c>
      <c r="G4878" s="74">
        <v>31980</v>
      </c>
      <c r="H4878" s="77">
        <v>0.5</v>
      </c>
      <c r="J4878">
        <v>86</v>
      </c>
      <c r="M4878" s="74">
        <v>33441</v>
      </c>
      <c r="N4878" s="77">
        <v>0.5</v>
      </c>
      <c r="P4878">
        <v>84.02</v>
      </c>
      <c r="S4878" s="74">
        <v>34537</v>
      </c>
      <c r="T4878" s="77">
        <v>0.5</v>
      </c>
      <c r="V4878">
        <v>84.02</v>
      </c>
      <c r="X4878" s="42"/>
      <c r="AB4878">
        <v>80.8</v>
      </c>
      <c r="AC4878">
        <v>82.94</v>
      </c>
      <c r="AE4878" s="74"/>
      <c r="AF4878" s="77"/>
      <c r="AH4878" s="497">
        <v>75.2</v>
      </c>
      <c r="AJ4878" s="42"/>
      <c r="AK4878" s="74"/>
      <c r="AL4878" s="77"/>
      <c r="AN4878" s="497">
        <v>80.960000000000008</v>
      </c>
      <c r="AP4878" s="42"/>
      <c r="AQ4878" s="74"/>
      <c r="AR4878" s="77"/>
      <c r="AT4878" s="497">
        <v>74.66</v>
      </c>
      <c r="AV4878" s="42"/>
      <c r="AW4878" s="74"/>
      <c r="AX4878" s="77"/>
      <c r="BA4878" s="497">
        <v>78.080000000000013</v>
      </c>
      <c r="BB4878" s="42"/>
      <c r="BC4878" s="74"/>
      <c r="BD4878" s="77"/>
      <c r="BF4878">
        <v>69.98</v>
      </c>
      <c r="BH4878" s="42"/>
      <c r="BI4878" s="74"/>
      <c r="BJ4878" s="77"/>
      <c r="BL4878" s="497">
        <v>89.960000000000008</v>
      </c>
      <c r="BN4878" s="42"/>
      <c r="BO4878" s="74"/>
      <c r="BP4878" s="77"/>
      <c r="BR4878" s="497">
        <v>78.080000000000013</v>
      </c>
      <c r="BT4878" s="42"/>
    </row>
    <row r="4879" spans="1:72" x14ac:dyDescent="0.25">
      <c r="A4879" s="90">
        <v>34537</v>
      </c>
      <c r="B4879" s="20">
        <v>0.54166666666666663</v>
      </c>
      <c r="D4879">
        <v>89.960000000000008</v>
      </c>
      <c r="E4879" t="str">
        <f t="shared" si="186"/>
        <v>WEEKDAY</v>
      </c>
      <c r="F4879" t="e">
        <f t="shared" si="187"/>
        <v>#N/A</v>
      </c>
      <c r="G4879" s="74">
        <v>31980</v>
      </c>
      <c r="H4879" s="77">
        <v>0.54166666666666663</v>
      </c>
      <c r="J4879">
        <v>87.080000000000013</v>
      </c>
      <c r="M4879" s="74">
        <v>33441</v>
      </c>
      <c r="N4879" s="77">
        <v>0.54166666666666663</v>
      </c>
      <c r="P4879">
        <v>84.02</v>
      </c>
      <c r="S4879" s="74">
        <v>34537</v>
      </c>
      <c r="T4879" s="77">
        <v>0.54166666666666663</v>
      </c>
      <c r="V4879">
        <v>80.06</v>
      </c>
      <c r="X4879" s="42"/>
      <c r="AB4879">
        <v>81.599999999999994</v>
      </c>
      <c r="AC4879">
        <v>82.94</v>
      </c>
      <c r="AE4879" s="74"/>
      <c r="AF4879" s="77"/>
      <c r="AH4879" s="497">
        <v>77</v>
      </c>
      <c r="AJ4879" s="42"/>
      <c r="AK4879" s="74"/>
      <c r="AL4879" s="77"/>
      <c r="AN4879" s="497">
        <v>82.039999999999992</v>
      </c>
      <c r="AP4879" s="42"/>
      <c r="AQ4879" s="74"/>
      <c r="AR4879" s="77"/>
      <c r="AT4879" s="497">
        <v>77</v>
      </c>
      <c r="AV4879" s="42"/>
      <c r="AW4879" s="74"/>
      <c r="AX4879" s="77"/>
      <c r="BA4879" s="497">
        <v>78.98</v>
      </c>
      <c r="BB4879" s="42"/>
      <c r="BC4879" s="74"/>
      <c r="BD4879" s="77"/>
      <c r="BF4879">
        <v>69.080000000000013</v>
      </c>
      <c r="BH4879" s="42"/>
      <c r="BI4879" s="74"/>
      <c r="BJ4879" s="77"/>
      <c r="BL4879" s="497">
        <v>91.94</v>
      </c>
      <c r="BN4879" s="42"/>
      <c r="BO4879" s="74"/>
      <c r="BP4879" s="77"/>
      <c r="BR4879" s="497">
        <v>78.080000000000013</v>
      </c>
      <c r="BT4879" s="42"/>
    </row>
    <row r="4880" spans="1:72" x14ac:dyDescent="0.25">
      <c r="A4880" s="90">
        <v>34537</v>
      </c>
      <c r="B4880" s="20">
        <v>0.58333333333333337</v>
      </c>
      <c r="D4880">
        <v>89.960000000000008</v>
      </c>
      <c r="E4880" t="str">
        <f t="shared" si="186"/>
        <v>WEEKDAY</v>
      </c>
      <c r="F4880" t="e">
        <f t="shared" si="187"/>
        <v>#N/A</v>
      </c>
      <c r="G4880" s="74">
        <v>31980</v>
      </c>
      <c r="H4880" s="77">
        <v>0.58333333333333337</v>
      </c>
      <c r="J4880">
        <v>87.98</v>
      </c>
      <c r="M4880" s="74">
        <v>33441</v>
      </c>
      <c r="N4880" s="77">
        <v>0.58333333333333337</v>
      </c>
      <c r="P4880">
        <v>86</v>
      </c>
      <c r="S4880" s="74">
        <v>34537</v>
      </c>
      <c r="T4880" s="77">
        <v>0.58333333333333337</v>
      </c>
      <c r="V4880">
        <v>82.039999999999992</v>
      </c>
      <c r="X4880" s="42"/>
      <c r="AB4880">
        <v>82.1</v>
      </c>
      <c r="AC4880">
        <v>82.94</v>
      </c>
      <c r="AE4880" s="74"/>
      <c r="AF4880" s="77"/>
      <c r="AH4880" s="497">
        <v>78.080000000000013</v>
      </c>
      <c r="AJ4880" s="42"/>
      <c r="AK4880" s="74"/>
      <c r="AL4880" s="77"/>
      <c r="AN4880" s="497">
        <v>84.02</v>
      </c>
      <c r="AP4880" s="42"/>
      <c r="AQ4880" s="74"/>
      <c r="AR4880" s="77"/>
      <c r="AT4880" s="497">
        <v>76.64</v>
      </c>
      <c r="AV4880" s="42"/>
      <c r="AW4880" s="74"/>
      <c r="AX4880" s="77"/>
      <c r="BA4880" s="497">
        <v>80.06</v>
      </c>
      <c r="BB4880" s="42"/>
      <c r="BC4880" s="74"/>
      <c r="BD4880" s="77"/>
      <c r="BF4880">
        <v>69.98</v>
      </c>
      <c r="BH4880" s="42"/>
      <c r="BI4880" s="74"/>
      <c r="BJ4880" s="77"/>
      <c r="BL4880" s="497">
        <v>91.94</v>
      </c>
      <c r="BN4880" s="42"/>
      <c r="BO4880" s="74"/>
      <c r="BP4880" s="77"/>
      <c r="BR4880" s="497">
        <v>78.080000000000013</v>
      </c>
      <c r="BT4880" s="42"/>
    </row>
    <row r="4881" spans="1:72" x14ac:dyDescent="0.25">
      <c r="A4881" s="90">
        <v>34537</v>
      </c>
      <c r="B4881" s="20">
        <v>0.625</v>
      </c>
      <c r="D4881">
        <v>89.06</v>
      </c>
      <c r="E4881" t="str">
        <f t="shared" si="186"/>
        <v>WEEKDAY</v>
      </c>
      <c r="F4881" t="e">
        <f t="shared" si="187"/>
        <v>#N/A</v>
      </c>
      <c r="G4881" s="74">
        <v>31980</v>
      </c>
      <c r="H4881" s="77">
        <v>0.625</v>
      </c>
      <c r="J4881">
        <v>87.98</v>
      </c>
      <c r="M4881" s="74">
        <v>33441</v>
      </c>
      <c r="N4881" s="77">
        <v>0.625</v>
      </c>
      <c r="P4881">
        <v>84.92</v>
      </c>
      <c r="S4881" s="74">
        <v>34537</v>
      </c>
      <c r="T4881" s="77">
        <v>0.625</v>
      </c>
      <c r="V4881">
        <v>80.06</v>
      </c>
      <c r="X4881" s="42"/>
      <c r="AB4881">
        <v>82</v>
      </c>
      <c r="AC4881">
        <v>82.039999999999992</v>
      </c>
      <c r="AE4881" s="74"/>
      <c r="AF4881" s="77"/>
      <c r="AH4881" s="497">
        <v>78.800000000000011</v>
      </c>
      <c r="AJ4881" s="42"/>
      <c r="AK4881" s="74"/>
      <c r="AL4881" s="77"/>
      <c r="AN4881" s="497">
        <v>86</v>
      </c>
      <c r="AP4881" s="42"/>
      <c r="AQ4881" s="74"/>
      <c r="AR4881" s="77"/>
      <c r="AT4881" s="497">
        <v>76.28</v>
      </c>
      <c r="AV4881" s="42"/>
      <c r="AW4881" s="74"/>
      <c r="AX4881" s="77"/>
      <c r="BA4881" s="497">
        <v>78.080000000000013</v>
      </c>
      <c r="BB4881" s="42"/>
      <c r="BC4881" s="74"/>
      <c r="BD4881" s="77"/>
      <c r="BF4881">
        <v>69.080000000000013</v>
      </c>
      <c r="BH4881" s="42"/>
      <c r="BI4881" s="74"/>
      <c r="BJ4881" s="77"/>
      <c r="BL4881" s="497">
        <v>91.039999999999992</v>
      </c>
      <c r="BN4881" s="42"/>
      <c r="BO4881" s="74"/>
      <c r="BP4881" s="77"/>
      <c r="BR4881" s="497">
        <v>78.98</v>
      </c>
      <c r="BT4881" s="42"/>
    </row>
    <row r="4882" spans="1:72" x14ac:dyDescent="0.25">
      <c r="A4882" s="90">
        <v>34537</v>
      </c>
      <c r="B4882" s="20">
        <v>0.66666666666666663</v>
      </c>
      <c r="D4882">
        <v>87.080000000000013</v>
      </c>
      <c r="E4882" t="str">
        <f t="shared" si="186"/>
        <v>WEEKDAY</v>
      </c>
      <c r="F4882" t="e">
        <f t="shared" si="187"/>
        <v>#N/A</v>
      </c>
      <c r="G4882" s="74">
        <v>31980</v>
      </c>
      <c r="H4882" s="77">
        <v>0.66666666666666663</v>
      </c>
      <c r="J4882">
        <v>87.080000000000013</v>
      </c>
      <c r="M4882" s="74">
        <v>33441</v>
      </c>
      <c r="N4882" s="77">
        <v>0.66666666666666663</v>
      </c>
      <c r="P4882">
        <v>82.039999999999992</v>
      </c>
      <c r="S4882" s="74">
        <v>34537</v>
      </c>
      <c r="T4882" s="77">
        <v>0.66666666666666663</v>
      </c>
      <c r="V4882">
        <v>80.06</v>
      </c>
      <c r="X4882" s="42"/>
      <c r="AB4882">
        <v>81.5</v>
      </c>
      <c r="AC4882">
        <v>82.039999999999992</v>
      </c>
      <c r="AE4882" s="74"/>
      <c r="AF4882" s="77"/>
      <c r="AH4882" s="497">
        <v>77</v>
      </c>
      <c r="AJ4882" s="42"/>
      <c r="AK4882" s="74"/>
      <c r="AL4882" s="77"/>
      <c r="AN4882" s="497">
        <v>84.92</v>
      </c>
      <c r="AP4882" s="42"/>
      <c r="AQ4882" s="74"/>
      <c r="AR4882" s="77"/>
      <c r="AT4882" s="497">
        <v>75.92</v>
      </c>
      <c r="AV4882" s="42"/>
      <c r="AW4882" s="74"/>
      <c r="AX4882" s="77"/>
      <c r="BA4882" s="497">
        <v>77</v>
      </c>
      <c r="BB4882" s="42"/>
      <c r="BC4882" s="74"/>
      <c r="BD4882" s="77"/>
      <c r="BF4882">
        <v>71.06</v>
      </c>
      <c r="BH4882" s="42"/>
      <c r="BI4882" s="74"/>
      <c r="BJ4882" s="77"/>
      <c r="BL4882" s="497">
        <v>89.960000000000008</v>
      </c>
      <c r="BN4882" s="42"/>
      <c r="BO4882" s="74"/>
      <c r="BP4882" s="77"/>
      <c r="BR4882" s="497">
        <v>80.06</v>
      </c>
      <c r="BT4882" s="42"/>
    </row>
    <row r="4883" spans="1:72" x14ac:dyDescent="0.25">
      <c r="A4883" s="90">
        <v>34537</v>
      </c>
      <c r="B4883" s="20">
        <v>0.70833333333333337</v>
      </c>
      <c r="D4883">
        <v>87.080000000000013</v>
      </c>
      <c r="E4883" t="str">
        <f t="shared" ref="E4883:E4946" si="188">IF(COUNTIF($DI$18:$DI$22, WEEKDAY(A4883))=1, "WEEKDAY", IF(WEEKDAY(A4883) = 1, "SUNDAY", "SATURDAY"))</f>
        <v>WEEKDAY</v>
      </c>
      <c r="F4883" t="e">
        <f t="shared" si="187"/>
        <v>#N/A</v>
      </c>
      <c r="G4883" s="74">
        <v>31980</v>
      </c>
      <c r="H4883" s="77">
        <v>0.70833333333333337</v>
      </c>
      <c r="J4883">
        <v>86</v>
      </c>
      <c r="M4883" s="74">
        <v>33441</v>
      </c>
      <c r="N4883" s="77">
        <v>0.70833333333333337</v>
      </c>
      <c r="P4883">
        <v>80.06</v>
      </c>
      <c r="S4883" s="74">
        <v>34537</v>
      </c>
      <c r="T4883" s="77">
        <v>0.70833333333333337</v>
      </c>
      <c r="V4883">
        <v>80.06</v>
      </c>
      <c r="X4883" s="42"/>
      <c r="AB4883">
        <v>80.7</v>
      </c>
      <c r="AC4883">
        <v>80.960000000000008</v>
      </c>
      <c r="AE4883" s="74"/>
      <c r="AF4883" s="77"/>
      <c r="AH4883" s="497">
        <v>76.28</v>
      </c>
      <c r="AJ4883" s="42"/>
      <c r="AK4883" s="74"/>
      <c r="AL4883" s="77"/>
      <c r="AN4883" s="497">
        <v>84.92</v>
      </c>
      <c r="AP4883" s="42"/>
      <c r="AQ4883" s="74"/>
      <c r="AR4883" s="77"/>
      <c r="AT4883" s="497">
        <v>72.86</v>
      </c>
      <c r="AV4883" s="42"/>
      <c r="AW4883" s="74"/>
      <c r="AX4883" s="77"/>
      <c r="BA4883" s="497">
        <v>75.92</v>
      </c>
      <c r="BB4883" s="42"/>
      <c r="BC4883" s="74"/>
      <c r="BD4883" s="77"/>
      <c r="BF4883">
        <v>71.06</v>
      </c>
      <c r="BH4883" s="42"/>
      <c r="BI4883" s="74"/>
      <c r="BJ4883" s="77"/>
      <c r="BL4883" s="497">
        <v>89.960000000000008</v>
      </c>
      <c r="BN4883" s="42"/>
      <c r="BO4883" s="74"/>
      <c r="BP4883" s="77"/>
      <c r="BR4883" s="497">
        <v>75.92</v>
      </c>
      <c r="BT4883" s="42"/>
    </row>
    <row r="4884" spans="1:72" x14ac:dyDescent="0.25">
      <c r="A4884" s="90">
        <v>34537</v>
      </c>
      <c r="B4884" s="20">
        <v>0.75</v>
      </c>
      <c r="D4884">
        <v>86</v>
      </c>
      <c r="E4884" t="str">
        <f t="shared" si="188"/>
        <v>WEEKDAY</v>
      </c>
      <c r="F4884" t="e">
        <f t="shared" si="187"/>
        <v>#N/A</v>
      </c>
      <c r="G4884" s="74">
        <v>31980</v>
      </c>
      <c r="H4884" s="77">
        <v>0.75</v>
      </c>
      <c r="J4884">
        <v>84.92</v>
      </c>
      <c r="M4884" s="74">
        <v>33441</v>
      </c>
      <c r="N4884" s="77">
        <v>0.75</v>
      </c>
      <c r="P4884">
        <v>78.98</v>
      </c>
      <c r="S4884" s="74">
        <v>34537</v>
      </c>
      <c r="T4884" s="77">
        <v>0.75</v>
      </c>
      <c r="V4884">
        <v>78.98</v>
      </c>
      <c r="X4884" s="42"/>
      <c r="AB4884">
        <v>79.5</v>
      </c>
      <c r="AC4884">
        <v>80.06</v>
      </c>
      <c r="AE4884" s="74"/>
      <c r="AF4884" s="77"/>
      <c r="AH4884" s="497">
        <v>75.2</v>
      </c>
      <c r="AJ4884" s="42"/>
      <c r="AK4884" s="74"/>
      <c r="AL4884" s="77"/>
      <c r="AN4884" s="497">
        <v>82.94</v>
      </c>
      <c r="AP4884" s="42"/>
      <c r="AQ4884" s="74"/>
      <c r="AR4884" s="77"/>
      <c r="AT4884" s="497">
        <v>69.98</v>
      </c>
      <c r="AV4884" s="42"/>
      <c r="AW4884" s="74"/>
      <c r="AX4884" s="77"/>
      <c r="BA4884" s="497">
        <v>73.94</v>
      </c>
      <c r="BB4884" s="42"/>
      <c r="BC4884" s="74"/>
      <c r="BD4884" s="77"/>
      <c r="BF4884">
        <v>71.06</v>
      </c>
      <c r="BH4884" s="42"/>
      <c r="BI4884" s="74"/>
      <c r="BJ4884" s="77"/>
      <c r="BL4884" s="497">
        <v>89.06</v>
      </c>
      <c r="BN4884" s="42"/>
      <c r="BO4884" s="74"/>
      <c r="BP4884" s="77"/>
      <c r="BR4884" s="497">
        <v>73.94</v>
      </c>
      <c r="BT4884" s="42"/>
    </row>
    <row r="4885" spans="1:72" x14ac:dyDescent="0.25">
      <c r="A4885" s="90">
        <v>34537</v>
      </c>
      <c r="B4885" s="20">
        <v>0.79166666666666663</v>
      </c>
      <c r="D4885">
        <v>84.02</v>
      </c>
      <c r="E4885" t="str">
        <f t="shared" si="188"/>
        <v>WEEKDAY</v>
      </c>
      <c r="F4885" t="e">
        <f t="shared" si="187"/>
        <v>#N/A</v>
      </c>
      <c r="G4885" s="74">
        <v>31980</v>
      </c>
      <c r="H4885" s="77">
        <v>0.79166666666666663</v>
      </c>
      <c r="J4885">
        <v>82.94</v>
      </c>
      <c r="M4885" s="74">
        <v>33441</v>
      </c>
      <c r="N4885" s="77">
        <v>0.79166666666666663</v>
      </c>
      <c r="P4885">
        <v>77</v>
      </c>
      <c r="S4885" s="74">
        <v>34537</v>
      </c>
      <c r="T4885" s="77">
        <v>0.79166666666666663</v>
      </c>
      <c r="V4885">
        <v>77</v>
      </c>
      <c r="X4885" s="42"/>
      <c r="AB4885">
        <v>78.2</v>
      </c>
      <c r="AC4885">
        <v>78.98</v>
      </c>
      <c r="AE4885" s="74"/>
      <c r="AF4885" s="77"/>
      <c r="AH4885" s="497">
        <v>73.400000000000006</v>
      </c>
      <c r="AJ4885" s="42"/>
      <c r="AK4885" s="74"/>
      <c r="AL4885" s="77"/>
      <c r="AN4885" s="497">
        <v>80.960000000000008</v>
      </c>
      <c r="AP4885" s="42"/>
      <c r="AQ4885" s="74"/>
      <c r="AR4885" s="77"/>
      <c r="AT4885" s="497">
        <v>66.92</v>
      </c>
      <c r="AV4885" s="42"/>
      <c r="AW4885" s="74"/>
      <c r="AX4885" s="77"/>
      <c r="BA4885" s="497">
        <v>71.960000000000008</v>
      </c>
      <c r="BB4885" s="42"/>
      <c r="BC4885" s="74"/>
      <c r="BD4885" s="77"/>
      <c r="BF4885">
        <v>71.06</v>
      </c>
      <c r="BH4885" s="42"/>
      <c r="BI4885" s="74"/>
      <c r="BJ4885" s="77"/>
      <c r="BL4885" s="497">
        <v>86</v>
      </c>
      <c r="BN4885" s="42"/>
      <c r="BO4885" s="74"/>
      <c r="BP4885" s="77"/>
      <c r="BR4885" s="497">
        <v>71.960000000000008</v>
      </c>
      <c r="BT4885" s="42"/>
    </row>
    <row r="4886" spans="1:72" x14ac:dyDescent="0.25">
      <c r="A4886" s="90">
        <v>34537</v>
      </c>
      <c r="B4886" s="20">
        <v>0.83333333333333337</v>
      </c>
      <c r="D4886">
        <v>82.94</v>
      </c>
      <c r="E4886" t="str">
        <f t="shared" si="188"/>
        <v>WEEKDAY</v>
      </c>
      <c r="F4886" t="e">
        <f t="shared" si="187"/>
        <v>#N/A</v>
      </c>
      <c r="G4886" s="74">
        <v>31980</v>
      </c>
      <c r="H4886" s="77">
        <v>0.83333333333333337</v>
      </c>
      <c r="J4886">
        <v>80.960000000000008</v>
      </c>
      <c r="M4886" s="74">
        <v>33441</v>
      </c>
      <c r="N4886" s="77">
        <v>0.83333333333333337</v>
      </c>
      <c r="P4886">
        <v>73.039999999999992</v>
      </c>
      <c r="S4886" s="74">
        <v>34537</v>
      </c>
      <c r="T4886" s="77">
        <v>0.83333333333333337</v>
      </c>
      <c r="V4886">
        <v>75.92</v>
      </c>
      <c r="X4886" s="42"/>
      <c r="AB4886">
        <v>76.900000000000006</v>
      </c>
      <c r="AC4886">
        <v>78.080000000000013</v>
      </c>
      <c r="AE4886" s="74"/>
      <c r="AF4886" s="77"/>
      <c r="AH4886" s="497">
        <v>66.2</v>
      </c>
      <c r="AJ4886" s="42"/>
      <c r="AK4886" s="74"/>
      <c r="AL4886" s="77"/>
      <c r="AN4886" s="497">
        <v>80.06</v>
      </c>
      <c r="AP4886" s="42"/>
      <c r="AQ4886" s="74"/>
      <c r="AR4886" s="77"/>
      <c r="AT4886" s="497">
        <v>63.319999999999993</v>
      </c>
      <c r="AV4886" s="42"/>
      <c r="AW4886" s="74"/>
      <c r="AX4886" s="77"/>
      <c r="BA4886" s="497">
        <v>71.06</v>
      </c>
      <c r="BB4886" s="42"/>
      <c r="BC4886" s="74"/>
      <c r="BD4886" s="77"/>
      <c r="BF4886">
        <v>69.080000000000013</v>
      </c>
      <c r="BH4886" s="42"/>
      <c r="BI4886" s="74"/>
      <c r="BJ4886" s="77"/>
      <c r="BL4886" s="497">
        <v>82.94</v>
      </c>
      <c r="BN4886" s="42"/>
      <c r="BO4886" s="74"/>
      <c r="BP4886" s="77"/>
      <c r="BR4886" s="497">
        <v>71.06</v>
      </c>
      <c r="BT4886" s="42"/>
    </row>
    <row r="4887" spans="1:72" x14ac:dyDescent="0.25">
      <c r="A4887" s="90">
        <v>34537</v>
      </c>
      <c r="B4887" s="20">
        <v>0.875</v>
      </c>
      <c r="D4887">
        <v>82.94</v>
      </c>
      <c r="E4887" t="str">
        <f t="shared" si="188"/>
        <v>WEEKDAY</v>
      </c>
      <c r="F4887" t="e">
        <f t="shared" si="187"/>
        <v>#N/A</v>
      </c>
      <c r="G4887" s="74">
        <v>31980</v>
      </c>
      <c r="H4887" s="77">
        <v>0.875</v>
      </c>
      <c r="J4887">
        <v>80.06</v>
      </c>
      <c r="M4887" s="74">
        <v>33441</v>
      </c>
      <c r="N4887" s="77">
        <v>0.875</v>
      </c>
      <c r="P4887">
        <v>71.960000000000008</v>
      </c>
      <c r="S4887" s="74">
        <v>34537</v>
      </c>
      <c r="T4887" s="77">
        <v>0.875</v>
      </c>
      <c r="V4887">
        <v>75.02</v>
      </c>
      <c r="X4887" s="42"/>
      <c r="AB4887">
        <v>75.900000000000006</v>
      </c>
      <c r="AC4887">
        <v>78.080000000000013</v>
      </c>
      <c r="AE4887" s="74"/>
      <c r="AF4887" s="77"/>
      <c r="AH4887" s="497">
        <v>64.400000000000006</v>
      </c>
      <c r="AJ4887" s="42"/>
      <c r="AK4887" s="74"/>
      <c r="AL4887" s="77"/>
      <c r="AN4887" s="497">
        <v>78.98</v>
      </c>
      <c r="AP4887" s="42"/>
      <c r="AQ4887" s="74"/>
      <c r="AR4887" s="77"/>
      <c r="AT4887" s="497">
        <v>59.540000000000006</v>
      </c>
      <c r="AV4887" s="42"/>
      <c r="AW4887" s="74"/>
      <c r="AX4887" s="77"/>
      <c r="BA4887" s="497">
        <v>69.98</v>
      </c>
      <c r="BB4887" s="42"/>
      <c r="BC4887" s="74"/>
      <c r="BD4887" s="77"/>
      <c r="BF4887">
        <v>69.080000000000013</v>
      </c>
      <c r="BH4887" s="42"/>
      <c r="BI4887" s="74"/>
      <c r="BJ4887" s="77"/>
      <c r="BL4887" s="497">
        <v>77</v>
      </c>
      <c r="BN4887" s="42"/>
      <c r="BO4887" s="74"/>
      <c r="BP4887" s="77"/>
      <c r="BR4887" s="497">
        <v>69.98</v>
      </c>
      <c r="BT4887" s="42"/>
    </row>
    <row r="4888" spans="1:72" x14ac:dyDescent="0.25">
      <c r="A4888" s="90">
        <v>34537</v>
      </c>
      <c r="B4888" s="20">
        <v>0.91666666666666663</v>
      </c>
      <c r="D4888">
        <v>82.039999999999992</v>
      </c>
      <c r="E4888" t="str">
        <f t="shared" si="188"/>
        <v>WEEKDAY</v>
      </c>
      <c r="F4888" t="e">
        <f t="shared" si="187"/>
        <v>#N/A</v>
      </c>
      <c r="G4888" s="74">
        <v>31980</v>
      </c>
      <c r="H4888" s="77">
        <v>0.91666666666666663</v>
      </c>
      <c r="J4888">
        <v>80.960000000000008</v>
      </c>
      <c r="M4888" s="74">
        <v>33441</v>
      </c>
      <c r="N4888" s="77">
        <v>0.91666666666666663</v>
      </c>
      <c r="P4888">
        <v>71.960000000000008</v>
      </c>
      <c r="S4888" s="74">
        <v>34537</v>
      </c>
      <c r="T4888" s="77">
        <v>0.91666666666666663</v>
      </c>
      <c r="V4888">
        <v>75.02</v>
      </c>
      <c r="X4888" s="42"/>
      <c r="AB4888">
        <v>75.400000000000006</v>
      </c>
      <c r="AC4888">
        <v>77</v>
      </c>
      <c r="AE4888" s="74"/>
      <c r="AF4888" s="77"/>
      <c r="AH4888" s="497">
        <v>62.6</v>
      </c>
      <c r="AJ4888" s="42"/>
      <c r="AK4888" s="74"/>
      <c r="AL4888" s="77"/>
      <c r="AN4888" s="497">
        <v>75.92</v>
      </c>
      <c r="AP4888" s="42"/>
      <c r="AQ4888" s="74"/>
      <c r="AR4888" s="77"/>
      <c r="AT4888" s="497">
        <v>55.94</v>
      </c>
      <c r="AV4888" s="42"/>
      <c r="AW4888" s="74"/>
      <c r="AX4888" s="77"/>
      <c r="BA4888" s="497">
        <v>69.98</v>
      </c>
      <c r="BB4888" s="42"/>
      <c r="BC4888" s="74"/>
      <c r="BD4888" s="77"/>
      <c r="BF4888">
        <v>69.98</v>
      </c>
      <c r="BH4888" s="42"/>
      <c r="BI4888" s="74"/>
      <c r="BJ4888" s="77"/>
      <c r="BL4888" s="497">
        <v>75.92</v>
      </c>
      <c r="BN4888" s="42"/>
      <c r="BO4888" s="74"/>
      <c r="BP4888" s="77"/>
      <c r="BR4888" s="497">
        <v>69.080000000000013</v>
      </c>
      <c r="BT4888" s="42"/>
    </row>
    <row r="4889" spans="1:72" x14ac:dyDescent="0.25">
      <c r="A4889" s="90">
        <v>34537</v>
      </c>
      <c r="B4889" s="20">
        <v>0.95833333333333337</v>
      </c>
      <c r="D4889">
        <v>82.039999999999992</v>
      </c>
      <c r="E4889" t="str">
        <f t="shared" si="188"/>
        <v>WEEKDAY</v>
      </c>
      <c r="F4889" t="e">
        <f t="shared" si="187"/>
        <v>#N/A</v>
      </c>
      <c r="G4889" s="74">
        <v>31980</v>
      </c>
      <c r="H4889" s="77">
        <v>0.95833333333333337</v>
      </c>
      <c r="J4889">
        <v>80.06</v>
      </c>
      <c r="M4889" s="74">
        <v>33441</v>
      </c>
      <c r="N4889" s="77">
        <v>0.95833333333333337</v>
      </c>
      <c r="P4889">
        <v>73.039999999999992</v>
      </c>
      <c r="S4889" s="74">
        <v>34537</v>
      </c>
      <c r="T4889" s="77">
        <v>0.95833333333333337</v>
      </c>
      <c r="V4889">
        <v>73.94</v>
      </c>
      <c r="X4889" s="42"/>
      <c r="AB4889">
        <v>74.8</v>
      </c>
      <c r="AC4889">
        <v>77</v>
      </c>
      <c r="AE4889" s="74"/>
      <c r="AF4889" s="77"/>
      <c r="AH4889" s="497">
        <v>60.8</v>
      </c>
      <c r="AJ4889" s="42"/>
      <c r="AK4889" s="74"/>
      <c r="AL4889" s="77"/>
      <c r="AN4889" s="497">
        <v>75.92</v>
      </c>
      <c r="AP4889" s="42"/>
      <c r="AQ4889" s="74"/>
      <c r="AR4889" s="77"/>
      <c r="AT4889" s="497">
        <v>55.94</v>
      </c>
      <c r="AV4889" s="42"/>
      <c r="AW4889" s="74"/>
      <c r="AX4889" s="77"/>
      <c r="BA4889" s="497">
        <v>69.080000000000013</v>
      </c>
      <c r="BB4889" s="42"/>
      <c r="BC4889" s="74"/>
      <c r="BD4889" s="77"/>
      <c r="BF4889">
        <v>69.080000000000013</v>
      </c>
      <c r="BH4889" s="42"/>
      <c r="BI4889" s="74"/>
      <c r="BJ4889" s="77"/>
      <c r="BL4889" s="497">
        <v>75.02</v>
      </c>
      <c r="BN4889" s="42"/>
      <c r="BO4889" s="74"/>
      <c r="BP4889" s="77"/>
      <c r="BR4889" s="497">
        <v>68</v>
      </c>
      <c r="BT4889" s="42"/>
    </row>
    <row r="4890" spans="1:72" x14ac:dyDescent="0.25">
      <c r="A4890" s="90">
        <v>34537</v>
      </c>
      <c r="B4890" s="20">
        <v>1</v>
      </c>
      <c r="D4890">
        <v>80.06</v>
      </c>
      <c r="E4890" t="str">
        <f t="shared" si="188"/>
        <v>WEEKDAY</v>
      </c>
      <c r="F4890" t="e">
        <f t="shared" si="187"/>
        <v>#N/A</v>
      </c>
      <c r="G4890" s="74">
        <v>31980</v>
      </c>
      <c r="H4890" s="77">
        <v>1</v>
      </c>
      <c r="J4890">
        <v>77</v>
      </c>
      <c r="M4890" s="74">
        <v>33441</v>
      </c>
      <c r="N4890" s="80">
        <v>1</v>
      </c>
      <c r="P4890">
        <v>71.960000000000008</v>
      </c>
      <c r="S4890" s="74">
        <v>34537</v>
      </c>
      <c r="T4890" s="80">
        <v>1</v>
      </c>
      <c r="V4890">
        <v>77</v>
      </c>
      <c r="X4890" s="42"/>
      <c r="AB4890">
        <v>74.400000000000006</v>
      </c>
      <c r="AC4890">
        <v>77</v>
      </c>
      <c r="AE4890" s="74"/>
      <c r="AF4890" s="80"/>
      <c r="AH4890" s="497">
        <v>62.6</v>
      </c>
      <c r="AJ4890" s="42"/>
      <c r="AK4890" s="74"/>
      <c r="AL4890" s="80"/>
      <c r="AN4890" s="497">
        <v>75.92</v>
      </c>
      <c r="AP4890" s="42"/>
      <c r="AQ4890" s="74"/>
      <c r="AR4890" s="80"/>
      <c r="AT4890" s="497">
        <v>55.94</v>
      </c>
      <c r="AV4890" s="42"/>
      <c r="AW4890" s="74"/>
      <c r="AX4890" s="80"/>
      <c r="BA4890" s="497">
        <v>69.080000000000013</v>
      </c>
      <c r="BB4890" s="42"/>
      <c r="BC4890" s="74"/>
      <c r="BD4890" s="80"/>
      <c r="BF4890">
        <v>68</v>
      </c>
      <c r="BH4890" s="42"/>
      <c r="BI4890" s="74"/>
      <c r="BJ4890" s="80"/>
      <c r="BL4890" s="497">
        <v>71.06</v>
      </c>
      <c r="BN4890" s="42"/>
      <c r="BO4890" s="74"/>
      <c r="BP4890" s="80"/>
      <c r="BR4890" s="497">
        <v>66.92</v>
      </c>
      <c r="BT4890" s="42"/>
    </row>
    <row r="4891" spans="1:72" x14ac:dyDescent="0.25">
      <c r="A4891" s="90">
        <v>34538</v>
      </c>
      <c r="B4891" s="20">
        <v>4.1666666666666664E-2</v>
      </c>
      <c r="D4891">
        <v>78.080000000000013</v>
      </c>
      <c r="E4891" t="str">
        <f t="shared" si="188"/>
        <v>SATURDAY</v>
      </c>
      <c r="F4891" t="e">
        <f t="shared" si="187"/>
        <v>#N/A</v>
      </c>
      <c r="G4891" s="74">
        <v>31981</v>
      </c>
      <c r="H4891" s="77">
        <v>4.1666666666666664E-2</v>
      </c>
      <c r="J4891">
        <v>73.94</v>
      </c>
      <c r="M4891" s="74">
        <v>33442</v>
      </c>
      <c r="N4891" s="77">
        <v>4.1666666666666664E-2</v>
      </c>
      <c r="P4891">
        <v>71.960000000000008</v>
      </c>
      <c r="S4891" s="74">
        <v>34538</v>
      </c>
      <c r="T4891" s="77">
        <v>4.1666666666666664E-2</v>
      </c>
      <c r="V4891">
        <v>73.94</v>
      </c>
      <c r="X4891" s="42"/>
      <c r="AB4891">
        <v>73.8</v>
      </c>
      <c r="AC4891">
        <v>75.92</v>
      </c>
      <c r="AE4891" s="74"/>
      <c r="AF4891" s="77"/>
      <c r="AH4891" s="497">
        <v>64.400000000000006</v>
      </c>
      <c r="AJ4891" s="42"/>
      <c r="AK4891" s="74"/>
      <c r="AL4891" s="77"/>
      <c r="AN4891" s="497">
        <v>75.92</v>
      </c>
      <c r="AP4891" s="42"/>
      <c r="AQ4891" s="74"/>
      <c r="AR4891" s="77"/>
      <c r="AT4891" s="497">
        <v>55.94</v>
      </c>
      <c r="AV4891" s="42"/>
      <c r="AW4891" s="74"/>
      <c r="AX4891" s="77"/>
      <c r="BA4891" s="497">
        <v>68</v>
      </c>
      <c r="BB4891" s="42"/>
      <c r="BC4891" s="74"/>
      <c r="BD4891" s="77"/>
      <c r="BF4891">
        <v>68</v>
      </c>
      <c r="BH4891" s="42"/>
      <c r="BI4891" s="74"/>
      <c r="BJ4891" s="77"/>
      <c r="BL4891" s="497">
        <v>69.98</v>
      </c>
      <c r="BN4891" s="42"/>
      <c r="BO4891" s="74"/>
      <c r="BP4891" s="77"/>
      <c r="BR4891" s="497">
        <v>66.92</v>
      </c>
      <c r="BT4891" s="42"/>
    </row>
    <row r="4892" spans="1:72" x14ac:dyDescent="0.25">
      <c r="A4892" s="90">
        <v>34538</v>
      </c>
      <c r="B4892" s="20">
        <v>8.3333333333333329E-2</v>
      </c>
      <c r="D4892">
        <v>78.080000000000013</v>
      </c>
      <c r="E4892" t="str">
        <f t="shared" si="188"/>
        <v>SATURDAY</v>
      </c>
      <c r="F4892" t="e">
        <f t="shared" si="187"/>
        <v>#N/A</v>
      </c>
      <c r="G4892" s="74">
        <v>31981</v>
      </c>
      <c r="H4892" s="77">
        <v>8.3333333333333329E-2</v>
      </c>
      <c r="J4892">
        <v>73.039999999999992</v>
      </c>
      <c r="M4892" s="74">
        <v>33442</v>
      </c>
      <c r="N4892" s="77">
        <v>8.3333333333333329E-2</v>
      </c>
      <c r="P4892">
        <v>71.960000000000008</v>
      </c>
      <c r="S4892" s="74">
        <v>34538</v>
      </c>
      <c r="T4892" s="77">
        <v>8.3333333333333329E-2</v>
      </c>
      <c r="V4892">
        <v>73.039999999999992</v>
      </c>
      <c r="X4892" s="42"/>
      <c r="AB4892">
        <v>73.3</v>
      </c>
      <c r="AC4892">
        <v>75.02</v>
      </c>
      <c r="AE4892" s="74"/>
      <c r="AF4892" s="77"/>
      <c r="AH4892" s="497">
        <v>64.400000000000006</v>
      </c>
      <c r="AJ4892" s="42"/>
      <c r="AK4892" s="74"/>
      <c r="AL4892" s="77"/>
      <c r="AN4892" s="497">
        <v>75.02</v>
      </c>
      <c r="AP4892" s="42"/>
      <c r="AQ4892" s="74"/>
      <c r="AR4892" s="77"/>
      <c r="AT4892" s="497">
        <v>55.040000000000006</v>
      </c>
      <c r="AV4892" s="42"/>
      <c r="AW4892" s="74"/>
      <c r="AX4892" s="77"/>
      <c r="BA4892" s="497">
        <v>69.080000000000013</v>
      </c>
      <c r="BB4892" s="42"/>
      <c r="BC4892" s="74"/>
      <c r="BD4892" s="77"/>
      <c r="BF4892">
        <v>69.080000000000013</v>
      </c>
      <c r="BH4892" s="42"/>
      <c r="BI4892" s="74"/>
      <c r="BJ4892" s="77"/>
      <c r="BL4892" s="497">
        <v>69.080000000000013</v>
      </c>
      <c r="BN4892" s="42"/>
      <c r="BO4892" s="74"/>
      <c r="BP4892" s="77"/>
      <c r="BR4892" s="497">
        <v>66.92</v>
      </c>
      <c r="BT4892" s="42"/>
    </row>
    <row r="4893" spans="1:72" x14ac:dyDescent="0.25">
      <c r="A4893" s="90">
        <v>34538</v>
      </c>
      <c r="B4893" s="20">
        <v>0.125</v>
      </c>
      <c r="D4893">
        <v>78.080000000000013</v>
      </c>
      <c r="E4893" t="str">
        <f t="shared" si="188"/>
        <v>SATURDAY</v>
      </c>
      <c r="F4893" t="e">
        <f t="shared" si="187"/>
        <v>#N/A</v>
      </c>
      <c r="G4893" s="74">
        <v>31981</v>
      </c>
      <c r="H4893" s="77">
        <v>0.125</v>
      </c>
      <c r="J4893">
        <v>73.94</v>
      </c>
      <c r="M4893" s="74">
        <v>33442</v>
      </c>
      <c r="N4893" s="77">
        <v>0.125</v>
      </c>
      <c r="P4893">
        <v>73.039999999999992</v>
      </c>
      <c r="S4893" s="74">
        <v>34538</v>
      </c>
      <c r="T4893" s="77">
        <v>0.125</v>
      </c>
      <c r="V4893">
        <v>73.039999999999992</v>
      </c>
      <c r="X4893" s="42"/>
      <c r="AB4893">
        <v>72.7</v>
      </c>
      <c r="AC4893">
        <v>75.02</v>
      </c>
      <c r="AE4893" s="74"/>
      <c r="AF4893" s="77"/>
      <c r="AH4893" s="497">
        <v>64.400000000000006</v>
      </c>
      <c r="AJ4893" s="42"/>
      <c r="AK4893" s="74"/>
      <c r="AL4893" s="77"/>
      <c r="AN4893" s="497">
        <v>75.02</v>
      </c>
      <c r="AP4893" s="42"/>
      <c r="AQ4893" s="74"/>
      <c r="AR4893" s="77"/>
      <c r="AT4893" s="497">
        <v>53.96</v>
      </c>
      <c r="AV4893" s="42"/>
      <c r="AW4893" s="74"/>
      <c r="AX4893" s="77"/>
      <c r="BA4893" s="497">
        <v>69.98</v>
      </c>
      <c r="BB4893" s="42"/>
      <c r="BC4893" s="74"/>
      <c r="BD4893" s="77"/>
      <c r="BF4893">
        <v>68</v>
      </c>
      <c r="BH4893" s="42"/>
      <c r="BI4893" s="74"/>
      <c r="BJ4893" s="77"/>
      <c r="BL4893" s="497">
        <v>66.92</v>
      </c>
      <c r="BN4893" s="42"/>
      <c r="BO4893" s="74"/>
      <c r="BP4893" s="77"/>
      <c r="BR4893" s="497">
        <v>66.02</v>
      </c>
      <c r="BT4893" s="42"/>
    </row>
    <row r="4894" spans="1:72" x14ac:dyDescent="0.25">
      <c r="A4894" s="90">
        <v>34538</v>
      </c>
      <c r="B4894" s="20">
        <v>0.16666666666666666</v>
      </c>
      <c r="D4894">
        <v>77</v>
      </c>
      <c r="E4894" t="str">
        <f t="shared" si="188"/>
        <v>SATURDAY</v>
      </c>
      <c r="F4894" t="e">
        <f t="shared" si="187"/>
        <v>#N/A</v>
      </c>
      <c r="G4894" s="74">
        <v>31981</v>
      </c>
      <c r="H4894" s="77">
        <v>0.16666666666666666</v>
      </c>
      <c r="J4894">
        <v>73.039999999999992</v>
      </c>
      <c r="M4894" s="74">
        <v>33442</v>
      </c>
      <c r="N4894" s="77">
        <v>0.16666666666666666</v>
      </c>
      <c r="P4894">
        <v>73.039999999999992</v>
      </c>
      <c r="S4894" s="74">
        <v>34538</v>
      </c>
      <c r="T4894" s="77">
        <v>0.16666666666666666</v>
      </c>
      <c r="V4894">
        <v>73.94</v>
      </c>
      <c r="X4894" s="42"/>
      <c r="AB4894">
        <v>72.2</v>
      </c>
      <c r="AC4894">
        <v>75.92</v>
      </c>
      <c r="AE4894" s="74"/>
      <c r="AF4894" s="77"/>
      <c r="AH4894" s="497">
        <v>64.400000000000006</v>
      </c>
      <c r="AJ4894" s="42"/>
      <c r="AK4894" s="74"/>
      <c r="AL4894" s="77"/>
      <c r="AN4894" s="497">
        <v>73.94</v>
      </c>
      <c r="AP4894" s="42"/>
      <c r="AQ4894" s="74"/>
      <c r="AR4894" s="77"/>
      <c r="AT4894" s="497">
        <v>53.06</v>
      </c>
      <c r="AV4894" s="42"/>
      <c r="AW4894" s="74"/>
      <c r="AX4894" s="77"/>
      <c r="BA4894" s="497">
        <v>69.98</v>
      </c>
      <c r="BB4894" s="42"/>
      <c r="BC4894" s="74"/>
      <c r="BD4894" s="77"/>
      <c r="BF4894">
        <v>66.92</v>
      </c>
      <c r="BH4894" s="42"/>
      <c r="BI4894" s="74"/>
      <c r="BJ4894" s="77"/>
      <c r="BL4894" s="497">
        <v>69.98</v>
      </c>
      <c r="BN4894" s="42"/>
      <c r="BO4894" s="74"/>
      <c r="BP4894" s="77"/>
      <c r="BR4894" s="497">
        <v>64.94</v>
      </c>
      <c r="BT4894" s="42"/>
    </row>
    <row r="4895" spans="1:72" x14ac:dyDescent="0.25">
      <c r="A4895" s="90">
        <v>34538</v>
      </c>
      <c r="B4895" s="20">
        <v>0.20833333333333334</v>
      </c>
      <c r="D4895">
        <v>78.080000000000013</v>
      </c>
      <c r="E4895" t="str">
        <f t="shared" si="188"/>
        <v>SATURDAY</v>
      </c>
      <c r="F4895" t="e">
        <f t="shared" si="187"/>
        <v>#N/A</v>
      </c>
      <c r="G4895" s="74">
        <v>31981</v>
      </c>
      <c r="H4895" s="77">
        <v>0.20833333333333334</v>
      </c>
      <c r="J4895">
        <v>73.039999999999992</v>
      </c>
      <c r="M4895" s="74">
        <v>33442</v>
      </c>
      <c r="N4895" s="77">
        <v>0.20833333333333334</v>
      </c>
      <c r="P4895">
        <v>73.94</v>
      </c>
      <c r="S4895" s="74">
        <v>34538</v>
      </c>
      <c r="T4895" s="77">
        <v>0.20833333333333334</v>
      </c>
      <c r="V4895">
        <v>73.039999999999992</v>
      </c>
      <c r="X4895" s="42"/>
      <c r="AB4895">
        <v>71.7</v>
      </c>
      <c r="AC4895">
        <v>75.02</v>
      </c>
      <c r="AE4895" s="74"/>
      <c r="AF4895" s="77"/>
      <c r="AH4895" s="497">
        <v>62.6</v>
      </c>
      <c r="AJ4895" s="42"/>
      <c r="AK4895" s="74"/>
      <c r="AL4895" s="77"/>
      <c r="AN4895" s="497">
        <v>73.94</v>
      </c>
      <c r="AP4895" s="42"/>
      <c r="AQ4895" s="74"/>
      <c r="AR4895" s="77"/>
      <c r="AT4895" s="497">
        <v>56.120000000000005</v>
      </c>
      <c r="AV4895" s="42"/>
      <c r="AW4895" s="74"/>
      <c r="AX4895" s="77"/>
      <c r="BA4895" s="497">
        <v>71.960000000000008</v>
      </c>
      <c r="BB4895" s="42"/>
      <c r="BC4895" s="74"/>
      <c r="BD4895" s="77"/>
      <c r="BF4895">
        <v>66.02</v>
      </c>
      <c r="BH4895" s="42"/>
      <c r="BI4895" s="74"/>
      <c r="BJ4895" s="77"/>
      <c r="BL4895" s="497">
        <v>68</v>
      </c>
      <c r="BN4895" s="42"/>
      <c r="BO4895" s="74"/>
      <c r="BP4895" s="77"/>
      <c r="BR4895" s="497">
        <v>62.96</v>
      </c>
      <c r="BT4895" s="42"/>
    </row>
    <row r="4896" spans="1:72" x14ac:dyDescent="0.25">
      <c r="A4896" s="90">
        <v>34538</v>
      </c>
      <c r="B4896" s="20">
        <v>0.25</v>
      </c>
      <c r="D4896">
        <v>78.080000000000013</v>
      </c>
      <c r="E4896" t="str">
        <f t="shared" si="188"/>
        <v>SATURDAY</v>
      </c>
      <c r="F4896" t="e">
        <f t="shared" si="187"/>
        <v>#N/A</v>
      </c>
      <c r="G4896" s="74">
        <v>31981</v>
      </c>
      <c r="H4896" s="77">
        <v>0.25</v>
      </c>
      <c r="J4896">
        <v>73.039999999999992</v>
      </c>
      <c r="M4896" s="74">
        <v>33442</v>
      </c>
      <c r="N4896" s="77">
        <v>0.25</v>
      </c>
      <c r="P4896">
        <v>75.02</v>
      </c>
      <c r="S4896" s="74">
        <v>34538</v>
      </c>
      <c r="T4896" s="77">
        <v>0.25</v>
      </c>
      <c r="V4896">
        <v>73.039999999999992</v>
      </c>
      <c r="X4896" s="42"/>
      <c r="AB4896">
        <v>71.400000000000006</v>
      </c>
      <c r="AC4896">
        <v>77</v>
      </c>
      <c r="AE4896" s="74"/>
      <c r="AF4896" s="77"/>
      <c r="AH4896" s="497">
        <v>62.6</v>
      </c>
      <c r="AJ4896" s="42"/>
      <c r="AK4896" s="74"/>
      <c r="AL4896" s="77"/>
      <c r="AN4896" s="497">
        <v>73.94</v>
      </c>
      <c r="AP4896" s="42"/>
      <c r="AQ4896" s="74"/>
      <c r="AR4896" s="77"/>
      <c r="AT4896" s="497">
        <v>59</v>
      </c>
      <c r="AV4896" s="42"/>
      <c r="AW4896" s="74"/>
      <c r="AX4896" s="77"/>
      <c r="BA4896" s="497">
        <v>71.960000000000008</v>
      </c>
      <c r="BB4896" s="42"/>
      <c r="BC4896" s="74"/>
      <c r="BD4896" s="77"/>
      <c r="BF4896">
        <v>64.039999999999992</v>
      </c>
      <c r="BH4896" s="42"/>
      <c r="BI4896" s="74"/>
      <c r="BJ4896" s="77"/>
      <c r="BL4896" s="497">
        <v>69.080000000000013</v>
      </c>
      <c r="BN4896" s="42"/>
      <c r="BO4896" s="74"/>
      <c r="BP4896" s="77"/>
      <c r="BR4896" s="497">
        <v>62.06</v>
      </c>
      <c r="BT4896" s="42"/>
    </row>
    <row r="4897" spans="1:72" x14ac:dyDescent="0.25">
      <c r="A4897" s="90">
        <v>34538</v>
      </c>
      <c r="B4897" s="20">
        <v>0.29166666666666669</v>
      </c>
      <c r="D4897">
        <v>78.98</v>
      </c>
      <c r="E4897" t="str">
        <f t="shared" si="188"/>
        <v>SATURDAY</v>
      </c>
      <c r="F4897" t="e">
        <f t="shared" si="187"/>
        <v>#N/A</v>
      </c>
      <c r="G4897" s="74">
        <v>31981</v>
      </c>
      <c r="H4897" s="77">
        <v>0.29166666666666669</v>
      </c>
      <c r="J4897">
        <v>73.94</v>
      </c>
      <c r="M4897" s="74">
        <v>33442</v>
      </c>
      <c r="N4897" s="77">
        <v>0.29166666666666669</v>
      </c>
      <c r="P4897">
        <v>77</v>
      </c>
      <c r="S4897" s="74">
        <v>34538</v>
      </c>
      <c r="T4897" s="77">
        <v>0.29166666666666669</v>
      </c>
      <c r="V4897">
        <v>73.94</v>
      </c>
      <c r="X4897" s="42"/>
      <c r="AB4897">
        <v>72.599999999999994</v>
      </c>
      <c r="AC4897">
        <v>78.080000000000013</v>
      </c>
      <c r="AE4897" s="74"/>
      <c r="AF4897" s="77"/>
      <c r="AH4897" s="497">
        <v>62.6</v>
      </c>
      <c r="AJ4897" s="42"/>
      <c r="AK4897" s="74"/>
      <c r="AL4897" s="77"/>
      <c r="AN4897" s="497">
        <v>75.92</v>
      </c>
      <c r="AP4897" s="42"/>
      <c r="AQ4897" s="74"/>
      <c r="AR4897" s="77"/>
      <c r="AT4897" s="497">
        <v>62.06</v>
      </c>
      <c r="AV4897" s="42"/>
      <c r="AW4897" s="74"/>
      <c r="AX4897" s="77"/>
      <c r="BA4897" s="497">
        <v>69.98</v>
      </c>
      <c r="BB4897" s="42"/>
      <c r="BC4897" s="74"/>
      <c r="BD4897" s="77"/>
      <c r="BF4897">
        <v>66.02</v>
      </c>
      <c r="BH4897" s="42"/>
      <c r="BI4897" s="74"/>
      <c r="BJ4897" s="77"/>
      <c r="BL4897" s="497">
        <v>71.960000000000008</v>
      </c>
      <c r="BN4897" s="42"/>
      <c r="BO4897" s="74"/>
      <c r="BP4897" s="77"/>
      <c r="BR4897" s="497">
        <v>62.96</v>
      </c>
      <c r="BT4897" s="42"/>
    </row>
    <row r="4898" spans="1:72" x14ac:dyDescent="0.25">
      <c r="A4898" s="90">
        <v>34538</v>
      </c>
      <c r="B4898" s="20">
        <v>0.33333333333333331</v>
      </c>
      <c r="D4898">
        <v>80.06</v>
      </c>
      <c r="E4898" t="str">
        <f t="shared" si="188"/>
        <v>SATURDAY</v>
      </c>
      <c r="F4898" t="e">
        <f t="shared" si="187"/>
        <v>#N/A</v>
      </c>
      <c r="G4898" s="74">
        <v>31981</v>
      </c>
      <c r="H4898" s="77">
        <v>0.33333333333333331</v>
      </c>
      <c r="J4898">
        <v>75.02</v>
      </c>
      <c r="M4898" s="74">
        <v>33442</v>
      </c>
      <c r="N4898" s="77">
        <v>0.33333333333333331</v>
      </c>
      <c r="P4898">
        <v>78.080000000000013</v>
      </c>
      <c r="S4898" s="74">
        <v>34538</v>
      </c>
      <c r="T4898" s="77">
        <v>0.33333333333333331</v>
      </c>
      <c r="V4898">
        <v>75.92</v>
      </c>
      <c r="X4898" s="42"/>
      <c r="AB4898">
        <v>74.5</v>
      </c>
      <c r="AC4898">
        <v>77</v>
      </c>
      <c r="AE4898" s="74"/>
      <c r="AF4898" s="77"/>
      <c r="AH4898" s="497">
        <v>62.6</v>
      </c>
      <c r="AJ4898" s="42"/>
      <c r="AK4898" s="74"/>
      <c r="AL4898" s="77"/>
      <c r="AN4898" s="497">
        <v>80.06</v>
      </c>
      <c r="AP4898" s="42"/>
      <c r="AQ4898" s="74"/>
      <c r="AR4898" s="77"/>
      <c r="AT4898" s="497">
        <v>65.66</v>
      </c>
      <c r="AV4898" s="42"/>
      <c r="AW4898" s="74"/>
      <c r="AX4898" s="77"/>
      <c r="BA4898" s="497">
        <v>69.080000000000013</v>
      </c>
      <c r="BB4898" s="42"/>
      <c r="BC4898" s="74"/>
      <c r="BD4898" s="77"/>
      <c r="BF4898">
        <v>66.92</v>
      </c>
      <c r="BH4898" s="42"/>
      <c r="BI4898" s="74"/>
      <c r="BJ4898" s="77"/>
      <c r="BL4898" s="497">
        <v>77</v>
      </c>
      <c r="BN4898" s="42"/>
      <c r="BO4898" s="74"/>
      <c r="BP4898" s="77"/>
      <c r="BR4898" s="497">
        <v>64.94</v>
      </c>
      <c r="BT4898" s="42"/>
    </row>
    <row r="4899" spans="1:72" x14ac:dyDescent="0.25">
      <c r="A4899" s="90">
        <v>34538</v>
      </c>
      <c r="B4899" s="20">
        <v>0.375</v>
      </c>
      <c r="D4899">
        <v>80.06</v>
      </c>
      <c r="E4899" t="str">
        <f t="shared" si="188"/>
        <v>SATURDAY</v>
      </c>
      <c r="F4899" t="e">
        <f t="shared" si="187"/>
        <v>#N/A</v>
      </c>
      <c r="G4899" s="74">
        <v>31981</v>
      </c>
      <c r="H4899" s="77">
        <v>0.375</v>
      </c>
      <c r="J4899">
        <v>77</v>
      </c>
      <c r="M4899" s="74">
        <v>33442</v>
      </c>
      <c r="N4899" s="77">
        <v>0.375</v>
      </c>
      <c r="P4899">
        <v>82.94</v>
      </c>
      <c r="S4899" s="74">
        <v>34538</v>
      </c>
      <c r="T4899" s="77">
        <v>0.375</v>
      </c>
      <c r="V4899">
        <v>77</v>
      </c>
      <c r="X4899" s="42"/>
      <c r="AB4899">
        <v>76.400000000000006</v>
      </c>
      <c r="AC4899">
        <v>78.080000000000013</v>
      </c>
      <c r="AE4899" s="74"/>
      <c r="AF4899" s="77"/>
      <c r="AH4899" s="497">
        <v>62.6</v>
      </c>
      <c r="AJ4899" s="42"/>
      <c r="AK4899" s="74"/>
      <c r="AL4899" s="77"/>
      <c r="AN4899" s="497">
        <v>82.039999999999992</v>
      </c>
      <c r="AP4899" s="42"/>
      <c r="AQ4899" s="74"/>
      <c r="AR4899" s="77"/>
      <c r="AT4899" s="497">
        <v>69.44</v>
      </c>
      <c r="AV4899" s="42"/>
      <c r="AW4899" s="74"/>
      <c r="AX4899" s="77"/>
      <c r="BA4899" s="497">
        <v>68</v>
      </c>
      <c r="BB4899" s="42"/>
      <c r="BC4899" s="74"/>
      <c r="BD4899" s="77"/>
      <c r="BF4899">
        <v>69.080000000000013</v>
      </c>
      <c r="BH4899" s="42"/>
      <c r="BI4899" s="74"/>
      <c r="BJ4899" s="77"/>
      <c r="BL4899" s="497">
        <v>82.039999999999992</v>
      </c>
      <c r="BN4899" s="42"/>
      <c r="BO4899" s="74"/>
      <c r="BP4899" s="77"/>
      <c r="BR4899" s="497">
        <v>64.94</v>
      </c>
      <c r="BT4899" s="42"/>
    </row>
    <row r="4900" spans="1:72" x14ac:dyDescent="0.25">
      <c r="A4900" s="90">
        <v>34538</v>
      </c>
      <c r="B4900" s="20">
        <v>0.41666666666666669</v>
      </c>
      <c r="D4900">
        <v>80.960000000000008</v>
      </c>
      <c r="E4900" t="str">
        <f t="shared" si="188"/>
        <v>SATURDAY</v>
      </c>
      <c r="F4900" t="e">
        <f t="shared" si="187"/>
        <v>#N/A</v>
      </c>
      <c r="G4900" s="74">
        <v>31981</v>
      </c>
      <c r="H4900" s="77">
        <v>0.41666666666666669</v>
      </c>
      <c r="J4900">
        <v>82.039999999999992</v>
      </c>
      <c r="M4900" s="74">
        <v>33442</v>
      </c>
      <c r="N4900" s="77">
        <v>0.41666666666666669</v>
      </c>
      <c r="P4900">
        <v>87.98</v>
      </c>
      <c r="S4900" s="74">
        <v>34538</v>
      </c>
      <c r="T4900" s="77">
        <v>0.41666666666666669</v>
      </c>
      <c r="V4900">
        <v>77</v>
      </c>
      <c r="X4900" s="42"/>
      <c r="AB4900">
        <v>78.2</v>
      </c>
      <c r="AC4900">
        <v>80.06</v>
      </c>
      <c r="AE4900" s="74"/>
      <c r="AF4900" s="77"/>
      <c r="AH4900" s="497">
        <v>64.400000000000006</v>
      </c>
      <c r="AJ4900" s="42"/>
      <c r="AK4900" s="74"/>
      <c r="AL4900" s="77"/>
      <c r="AN4900" s="497">
        <v>82.94</v>
      </c>
      <c r="AP4900" s="42"/>
      <c r="AQ4900" s="74"/>
      <c r="AR4900" s="77"/>
      <c r="AT4900" s="497">
        <v>73.039999999999992</v>
      </c>
      <c r="AV4900" s="42"/>
      <c r="AW4900" s="74"/>
      <c r="AX4900" s="77"/>
      <c r="BA4900" s="497">
        <v>69.080000000000013</v>
      </c>
      <c r="BB4900" s="42"/>
      <c r="BC4900" s="74"/>
      <c r="BD4900" s="77"/>
      <c r="BF4900">
        <v>69.080000000000013</v>
      </c>
      <c r="BH4900" s="42"/>
      <c r="BI4900" s="74"/>
      <c r="BJ4900" s="77"/>
      <c r="BL4900" s="497">
        <v>86</v>
      </c>
      <c r="BN4900" s="42"/>
      <c r="BO4900" s="74"/>
      <c r="BP4900" s="77"/>
      <c r="BR4900" s="497">
        <v>66.02</v>
      </c>
      <c r="BT4900" s="42"/>
    </row>
    <row r="4901" spans="1:72" x14ac:dyDescent="0.25">
      <c r="A4901" s="90">
        <v>34538</v>
      </c>
      <c r="B4901" s="20">
        <v>0.45833333333333331</v>
      </c>
      <c r="D4901">
        <v>84.02</v>
      </c>
      <c r="E4901" t="str">
        <f t="shared" si="188"/>
        <v>SATURDAY</v>
      </c>
      <c r="F4901" t="e">
        <f t="shared" si="187"/>
        <v>#N/A</v>
      </c>
      <c r="G4901" s="74">
        <v>31981</v>
      </c>
      <c r="H4901" s="77">
        <v>0.45833333333333331</v>
      </c>
      <c r="J4901">
        <v>82.94</v>
      </c>
      <c r="M4901" s="74">
        <v>33442</v>
      </c>
      <c r="N4901" s="77">
        <v>0.45833333333333331</v>
      </c>
      <c r="P4901">
        <v>89.960000000000008</v>
      </c>
      <c r="S4901" s="74">
        <v>34538</v>
      </c>
      <c r="T4901" s="77">
        <v>0.45833333333333331</v>
      </c>
      <c r="V4901">
        <v>80.06</v>
      </c>
      <c r="X4901" s="42"/>
      <c r="AB4901">
        <v>79.7</v>
      </c>
      <c r="AC4901">
        <v>80.960000000000008</v>
      </c>
      <c r="AE4901" s="74"/>
      <c r="AF4901" s="77"/>
      <c r="AH4901" s="497">
        <v>64.400000000000006</v>
      </c>
      <c r="AJ4901" s="42"/>
      <c r="AK4901" s="74"/>
      <c r="AL4901" s="77"/>
      <c r="AN4901" s="497">
        <v>86</v>
      </c>
      <c r="AP4901" s="42"/>
      <c r="AQ4901" s="74"/>
      <c r="AR4901" s="77"/>
      <c r="AT4901" s="497">
        <v>74.66</v>
      </c>
      <c r="AV4901" s="42"/>
      <c r="AW4901" s="74"/>
      <c r="AX4901" s="77"/>
      <c r="BA4901" s="497">
        <v>69.98</v>
      </c>
      <c r="BB4901" s="42"/>
      <c r="BC4901" s="74"/>
      <c r="BD4901" s="77"/>
      <c r="BF4901">
        <v>71.960000000000008</v>
      </c>
      <c r="BH4901" s="42"/>
      <c r="BI4901" s="74"/>
      <c r="BJ4901" s="77"/>
      <c r="BL4901" s="497">
        <v>89.960000000000008</v>
      </c>
      <c r="BN4901" s="42"/>
      <c r="BO4901" s="74"/>
      <c r="BP4901" s="77"/>
      <c r="BR4901" s="497">
        <v>64.94</v>
      </c>
      <c r="BT4901" s="42"/>
    </row>
    <row r="4902" spans="1:72" x14ac:dyDescent="0.25">
      <c r="A4902" s="90">
        <v>34538</v>
      </c>
      <c r="B4902" s="20">
        <v>0.5</v>
      </c>
      <c r="D4902">
        <v>87.080000000000013</v>
      </c>
      <c r="E4902" t="str">
        <f t="shared" si="188"/>
        <v>SATURDAY</v>
      </c>
      <c r="F4902" t="e">
        <f t="shared" si="187"/>
        <v>#N/A</v>
      </c>
      <c r="G4902" s="74">
        <v>31981</v>
      </c>
      <c r="H4902" s="77">
        <v>0.5</v>
      </c>
      <c r="J4902">
        <v>84.02</v>
      </c>
      <c r="M4902" s="74">
        <v>33442</v>
      </c>
      <c r="N4902" s="77">
        <v>0.5</v>
      </c>
      <c r="P4902">
        <v>89.06</v>
      </c>
      <c r="S4902" s="74">
        <v>34538</v>
      </c>
      <c r="T4902" s="77">
        <v>0.5</v>
      </c>
      <c r="V4902">
        <v>73.94</v>
      </c>
      <c r="X4902" s="42"/>
      <c r="AB4902">
        <v>80.8</v>
      </c>
      <c r="AC4902">
        <v>82.039999999999992</v>
      </c>
      <c r="AE4902" s="74"/>
      <c r="AF4902" s="77"/>
      <c r="AH4902" s="497">
        <v>64.400000000000006</v>
      </c>
      <c r="AJ4902" s="42"/>
      <c r="AK4902" s="74"/>
      <c r="AL4902" s="77"/>
      <c r="AN4902" s="497">
        <v>86</v>
      </c>
      <c r="AP4902" s="42"/>
      <c r="AQ4902" s="74"/>
      <c r="AR4902" s="77"/>
      <c r="AT4902" s="497">
        <v>76.460000000000008</v>
      </c>
      <c r="AV4902" s="42"/>
      <c r="AW4902" s="74"/>
      <c r="AX4902" s="77"/>
      <c r="BA4902" s="497">
        <v>69.98</v>
      </c>
      <c r="BB4902" s="42"/>
      <c r="BC4902" s="74"/>
      <c r="BD4902" s="77"/>
      <c r="BF4902">
        <v>73.039999999999992</v>
      </c>
      <c r="BH4902" s="42"/>
      <c r="BI4902" s="74"/>
      <c r="BJ4902" s="77"/>
      <c r="BL4902" s="497">
        <v>91.94</v>
      </c>
      <c r="BN4902" s="42"/>
      <c r="BO4902" s="74"/>
      <c r="BP4902" s="77"/>
      <c r="BR4902" s="497">
        <v>66.02</v>
      </c>
      <c r="BT4902" s="42"/>
    </row>
    <row r="4903" spans="1:72" x14ac:dyDescent="0.25">
      <c r="A4903" s="90">
        <v>34538</v>
      </c>
      <c r="B4903" s="20">
        <v>0.54166666666666663</v>
      </c>
      <c r="D4903">
        <v>80.960000000000008</v>
      </c>
      <c r="E4903" t="str">
        <f t="shared" si="188"/>
        <v>SATURDAY</v>
      </c>
      <c r="F4903" t="e">
        <f t="shared" si="187"/>
        <v>#N/A</v>
      </c>
      <c r="G4903" s="74">
        <v>31981</v>
      </c>
      <c r="H4903" s="77">
        <v>0.54166666666666663</v>
      </c>
      <c r="J4903">
        <v>86</v>
      </c>
      <c r="M4903" s="74">
        <v>33442</v>
      </c>
      <c r="N4903" s="77">
        <v>0.54166666666666663</v>
      </c>
      <c r="P4903">
        <v>89.06</v>
      </c>
      <c r="S4903" s="74">
        <v>34538</v>
      </c>
      <c r="T4903" s="77">
        <v>0.54166666666666663</v>
      </c>
      <c r="V4903">
        <v>80.06</v>
      </c>
      <c r="X4903" s="42"/>
      <c r="AB4903">
        <v>81.599999999999994</v>
      </c>
      <c r="AC4903">
        <v>78.080000000000013</v>
      </c>
      <c r="AE4903" s="74"/>
      <c r="AF4903" s="77"/>
      <c r="AH4903" s="497">
        <v>66.2</v>
      </c>
      <c r="AJ4903" s="42"/>
      <c r="AK4903" s="74"/>
      <c r="AL4903" s="77"/>
      <c r="AN4903" s="497">
        <v>87.98</v>
      </c>
      <c r="AP4903" s="42"/>
      <c r="AQ4903" s="74"/>
      <c r="AR4903" s="77"/>
      <c r="AT4903" s="497">
        <v>78.080000000000013</v>
      </c>
      <c r="AV4903" s="42"/>
      <c r="AW4903" s="74"/>
      <c r="AX4903" s="77"/>
      <c r="BA4903" s="497">
        <v>69.98</v>
      </c>
      <c r="BB4903" s="42"/>
      <c r="BC4903" s="74"/>
      <c r="BD4903" s="77"/>
      <c r="BF4903">
        <v>73.94</v>
      </c>
      <c r="BH4903" s="42"/>
      <c r="BI4903" s="74"/>
      <c r="BJ4903" s="77"/>
      <c r="BL4903" s="497">
        <v>93.02</v>
      </c>
      <c r="BN4903" s="42"/>
      <c r="BO4903" s="74"/>
      <c r="BP4903" s="77"/>
      <c r="BR4903" s="497">
        <v>66.92</v>
      </c>
      <c r="BT4903" s="42"/>
    </row>
    <row r="4904" spans="1:72" x14ac:dyDescent="0.25">
      <c r="A4904" s="90">
        <v>34538</v>
      </c>
      <c r="B4904" s="20">
        <v>0.58333333333333337</v>
      </c>
      <c r="D4904">
        <v>82.94</v>
      </c>
      <c r="E4904" t="str">
        <f t="shared" si="188"/>
        <v>SATURDAY</v>
      </c>
      <c r="F4904" t="e">
        <f t="shared" si="187"/>
        <v>#N/A</v>
      </c>
      <c r="G4904" s="74">
        <v>31981</v>
      </c>
      <c r="H4904" s="77">
        <v>0.58333333333333337</v>
      </c>
      <c r="J4904">
        <v>84.92</v>
      </c>
      <c r="M4904" s="74">
        <v>33442</v>
      </c>
      <c r="N4904" s="77">
        <v>0.58333333333333337</v>
      </c>
      <c r="P4904">
        <v>93.02</v>
      </c>
      <c r="S4904" s="74">
        <v>34538</v>
      </c>
      <c r="T4904" s="77">
        <v>0.58333333333333337</v>
      </c>
      <c r="V4904">
        <v>73.039999999999992</v>
      </c>
      <c r="X4904" s="42"/>
      <c r="AB4904">
        <v>82</v>
      </c>
      <c r="AC4904">
        <v>80.06</v>
      </c>
      <c r="AE4904" s="74"/>
      <c r="AF4904" s="77"/>
      <c r="AH4904" s="497">
        <v>66.2</v>
      </c>
      <c r="AJ4904" s="42"/>
      <c r="AK4904" s="74"/>
      <c r="AL4904" s="77"/>
      <c r="AN4904" s="497">
        <v>91.039999999999992</v>
      </c>
      <c r="AP4904" s="42"/>
      <c r="AQ4904" s="74"/>
      <c r="AR4904" s="77"/>
      <c r="AT4904" s="497">
        <v>78.44</v>
      </c>
      <c r="AV4904" s="42"/>
      <c r="AW4904" s="74"/>
      <c r="AX4904" s="77"/>
      <c r="BA4904" s="497">
        <v>68</v>
      </c>
      <c r="BB4904" s="42"/>
      <c r="BC4904" s="74"/>
      <c r="BD4904" s="77"/>
      <c r="BF4904">
        <v>71.960000000000008</v>
      </c>
      <c r="BH4904" s="42"/>
      <c r="BI4904" s="74"/>
      <c r="BJ4904" s="77"/>
      <c r="BL4904" s="497">
        <v>95</v>
      </c>
      <c r="BN4904" s="42"/>
      <c r="BO4904" s="74"/>
      <c r="BP4904" s="77"/>
      <c r="BR4904" s="497">
        <v>66.92</v>
      </c>
      <c r="BT4904" s="42"/>
    </row>
    <row r="4905" spans="1:72" x14ac:dyDescent="0.25">
      <c r="A4905" s="90">
        <v>34538</v>
      </c>
      <c r="B4905" s="20">
        <v>0.625</v>
      </c>
      <c r="D4905">
        <v>75.02</v>
      </c>
      <c r="E4905" t="str">
        <f t="shared" si="188"/>
        <v>SATURDAY</v>
      </c>
      <c r="F4905" t="e">
        <f t="shared" si="187"/>
        <v>#N/A</v>
      </c>
      <c r="G4905" s="74">
        <v>31981</v>
      </c>
      <c r="H4905" s="77">
        <v>0.625</v>
      </c>
      <c r="J4905">
        <v>84.92</v>
      </c>
      <c r="M4905" s="74">
        <v>33442</v>
      </c>
      <c r="N4905" s="77">
        <v>0.625</v>
      </c>
      <c r="P4905">
        <v>87.98</v>
      </c>
      <c r="S4905" s="74">
        <v>34538</v>
      </c>
      <c r="T4905" s="77">
        <v>0.625</v>
      </c>
      <c r="V4905">
        <v>75.02</v>
      </c>
      <c r="X4905" s="42"/>
      <c r="AB4905">
        <v>82</v>
      </c>
      <c r="AC4905">
        <v>78.080000000000013</v>
      </c>
      <c r="AE4905" s="74"/>
      <c r="AF4905" s="77"/>
      <c r="AH4905" s="497">
        <v>68</v>
      </c>
      <c r="AJ4905" s="42"/>
      <c r="AK4905" s="74"/>
      <c r="AL4905" s="77"/>
      <c r="AN4905" s="497">
        <v>84.92</v>
      </c>
      <c r="AP4905" s="42"/>
      <c r="AQ4905" s="74"/>
      <c r="AR4905" s="77"/>
      <c r="AT4905" s="497">
        <v>78.62</v>
      </c>
      <c r="AV4905" s="42"/>
      <c r="AW4905" s="74"/>
      <c r="AX4905" s="77"/>
      <c r="BA4905" s="497">
        <v>68</v>
      </c>
      <c r="BB4905" s="42"/>
      <c r="BC4905" s="74"/>
      <c r="BD4905" s="77"/>
      <c r="BF4905">
        <v>75.02</v>
      </c>
      <c r="BH4905" s="42"/>
      <c r="BI4905" s="74"/>
      <c r="BJ4905" s="77"/>
      <c r="BL4905" s="497">
        <v>89.960000000000008</v>
      </c>
      <c r="BN4905" s="42"/>
      <c r="BO4905" s="74"/>
      <c r="BP4905" s="77"/>
      <c r="BR4905" s="497">
        <v>66.92</v>
      </c>
      <c r="BT4905" s="42"/>
    </row>
    <row r="4906" spans="1:72" x14ac:dyDescent="0.25">
      <c r="A4906" s="90">
        <v>34538</v>
      </c>
      <c r="B4906" s="20">
        <v>0.66666666666666663</v>
      </c>
      <c r="D4906">
        <v>75.02</v>
      </c>
      <c r="E4906" t="str">
        <f t="shared" si="188"/>
        <v>SATURDAY</v>
      </c>
      <c r="F4906" t="e">
        <f t="shared" si="187"/>
        <v>#N/A</v>
      </c>
      <c r="G4906" s="74">
        <v>31981</v>
      </c>
      <c r="H4906" s="77">
        <v>0.66666666666666663</v>
      </c>
      <c r="J4906">
        <v>84.92</v>
      </c>
      <c r="M4906" s="74">
        <v>33442</v>
      </c>
      <c r="N4906" s="77">
        <v>0.66666666666666663</v>
      </c>
      <c r="P4906">
        <v>75.92</v>
      </c>
      <c r="S4906" s="74">
        <v>34538</v>
      </c>
      <c r="T4906" s="77">
        <v>0.66666666666666663</v>
      </c>
      <c r="V4906">
        <v>75.02</v>
      </c>
      <c r="X4906" s="42"/>
      <c r="AB4906">
        <v>81.5</v>
      </c>
      <c r="AC4906">
        <v>73.94</v>
      </c>
      <c r="AE4906" s="74"/>
      <c r="AF4906" s="77"/>
      <c r="AH4906" s="497">
        <v>68</v>
      </c>
      <c r="AJ4906" s="42"/>
      <c r="AK4906" s="74"/>
      <c r="AL4906" s="77"/>
      <c r="AN4906" s="497">
        <v>77</v>
      </c>
      <c r="AP4906" s="42"/>
      <c r="AQ4906" s="74"/>
      <c r="AR4906" s="77"/>
      <c r="AT4906" s="497">
        <v>78.98</v>
      </c>
      <c r="AV4906" s="42"/>
      <c r="AW4906" s="74"/>
      <c r="AX4906" s="77"/>
      <c r="BA4906" s="497">
        <v>68</v>
      </c>
      <c r="BB4906" s="42"/>
      <c r="BC4906" s="74"/>
      <c r="BD4906" s="77"/>
      <c r="BF4906">
        <v>73.039999999999992</v>
      </c>
      <c r="BH4906" s="42"/>
      <c r="BI4906" s="74"/>
      <c r="BJ4906" s="77"/>
      <c r="BL4906" s="497">
        <v>86</v>
      </c>
      <c r="BN4906" s="42"/>
      <c r="BO4906" s="74"/>
      <c r="BP4906" s="77"/>
      <c r="BR4906" s="497">
        <v>69.080000000000013</v>
      </c>
      <c r="BT4906" s="42"/>
    </row>
    <row r="4907" spans="1:72" x14ac:dyDescent="0.25">
      <c r="A4907" s="90">
        <v>34538</v>
      </c>
      <c r="B4907" s="20">
        <v>0.70833333333333337</v>
      </c>
      <c r="D4907">
        <v>75.02</v>
      </c>
      <c r="E4907" t="str">
        <f t="shared" si="188"/>
        <v>SATURDAY</v>
      </c>
      <c r="F4907" t="e">
        <f t="shared" ref="F4907:F4970" si="189">IF(E4907="WEEKDAY",VLOOKUP(B4907,$DD$19:$DG$42,2),IF(E4907="SATURDAY",VLOOKUP(B4907,$DD$19:$DG$42,3),VLOOKUP(B4907,$DD$19:$DG$42,4)))</f>
        <v>#N/A</v>
      </c>
      <c r="G4907" s="74">
        <v>31981</v>
      </c>
      <c r="H4907" s="77">
        <v>0.70833333333333337</v>
      </c>
      <c r="J4907">
        <v>82.94</v>
      </c>
      <c r="M4907" s="74">
        <v>33442</v>
      </c>
      <c r="N4907" s="77">
        <v>0.70833333333333337</v>
      </c>
      <c r="P4907">
        <v>69.98</v>
      </c>
      <c r="S4907" s="74">
        <v>34538</v>
      </c>
      <c r="T4907" s="77">
        <v>0.70833333333333337</v>
      </c>
      <c r="V4907">
        <v>71.960000000000008</v>
      </c>
      <c r="X4907" s="42"/>
      <c r="AB4907">
        <v>80.599999999999994</v>
      </c>
      <c r="AC4907">
        <v>71.960000000000008</v>
      </c>
      <c r="AE4907" s="74"/>
      <c r="AF4907" s="77"/>
      <c r="AH4907" s="497">
        <v>68</v>
      </c>
      <c r="AJ4907" s="42"/>
      <c r="AK4907" s="74"/>
      <c r="AL4907" s="77"/>
      <c r="AN4907" s="497">
        <v>77</v>
      </c>
      <c r="AP4907" s="42"/>
      <c r="AQ4907" s="74"/>
      <c r="AR4907" s="77"/>
      <c r="AT4907" s="497">
        <v>77.900000000000006</v>
      </c>
      <c r="AV4907" s="42"/>
      <c r="AW4907" s="74"/>
      <c r="AX4907" s="77"/>
      <c r="BA4907" s="497">
        <v>68</v>
      </c>
      <c r="BB4907" s="42"/>
      <c r="BC4907" s="74"/>
      <c r="BD4907" s="77"/>
      <c r="BF4907">
        <v>71.06</v>
      </c>
      <c r="BH4907" s="42"/>
      <c r="BI4907" s="74"/>
      <c r="BJ4907" s="77"/>
      <c r="BL4907" s="497">
        <v>77</v>
      </c>
      <c r="BN4907" s="42"/>
      <c r="BO4907" s="74"/>
      <c r="BP4907" s="77"/>
      <c r="BR4907" s="497">
        <v>68</v>
      </c>
      <c r="BT4907" s="42"/>
    </row>
    <row r="4908" spans="1:72" x14ac:dyDescent="0.25">
      <c r="A4908" s="90">
        <v>34538</v>
      </c>
      <c r="B4908" s="20">
        <v>0.75</v>
      </c>
      <c r="D4908">
        <v>75.92</v>
      </c>
      <c r="E4908" t="str">
        <f t="shared" si="188"/>
        <v>SATURDAY</v>
      </c>
      <c r="F4908" t="e">
        <f t="shared" si="189"/>
        <v>#N/A</v>
      </c>
      <c r="G4908" s="74">
        <v>31981</v>
      </c>
      <c r="H4908" s="77">
        <v>0.75</v>
      </c>
      <c r="J4908">
        <v>80.960000000000008</v>
      </c>
      <c r="M4908" s="74">
        <v>33442</v>
      </c>
      <c r="N4908" s="77">
        <v>0.75</v>
      </c>
      <c r="P4908">
        <v>69.98</v>
      </c>
      <c r="S4908" s="74">
        <v>34538</v>
      </c>
      <c r="T4908" s="77">
        <v>0.75</v>
      </c>
      <c r="V4908">
        <v>71.06</v>
      </c>
      <c r="X4908" s="42"/>
      <c r="AB4908">
        <v>79.5</v>
      </c>
      <c r="AC4908">
        <v>71.960000000000008</v>
      </c>
      <c r="AE4908" s="74"/>
      <c r="AF4908" s="77"/>
      <c r="AH4908" s="497">
        <v>69.800000000000011</v>
      </c>
      <c r="AJ4908" s="42"/>
      <c r="AK4908" s="74"/>
      <c r="AL4908" s="77"/>
      <c r="AN4908" s="497">
        <v>78.080000000000013</v>
      </c>
      <c r="AP4908" s="42"/>
      <c r="AQ4908" s="74"/>
      <c r="AR4908" s="77"/>
      <c r="AT4908" s="497">
        <v>77</v>
      </c>
      <c r="AV4908" s="42"/>
      <c r="AW4908" s="74"/>
      <c r="AX4908" s="77"/>
      <c r="BA4908" s="497">
        <v>66.92</v>
      </c>
      <c r="BB4908" s="42"/>
      <c r="BC4908" s="74"/>
      <c r="BD4908" s="77"/>
      <c r="BF4908">
        <v>73.039999999999992</v>
      </c>
      <c r="BH4908" s="42"/>
      <c r="BI4908" s="74"/>
      <c r="BJ4908" s="77"/>
      <c r="BL4908" s="497">
        <v>78.080000000000013</v>
      </c>
      <c r="BN4908" s="42"/>
      <c r="BO4908" s="74"/>
      <c r="BP4908" s="77"/>
      <c r="BR4908" s="497">
        <v>68</v>
      </c>
      <c r="BT4908" s="42"/>
    </row>
    <row r="4909" spans="1:72" x14ac:dyDescent="0.25">
      <c r="A4909" s="90">
        <v>34538</v>
      </c>
      <c r="B4909" s="20">
        <v>0.79166666666666663</v>
      </c>
      <c r="D4909">
        <v>77</v>
      </c>
      <c r="E4909" t="str">
        <f t="shared" si="188"/>
        <v>SATURDAY</v>
      </c>
      <c r="F4909" t="e">
        <f t="shared" si="189"/>
        <v>#N/A</v>
      </c>
      <c r="G4909" s="74">
        <v>31981</v>
      </c>
      <c r="H4909" s="77">
        <v>0.79166666666666663</v>
      </c>
      <c r="J4909">
        <v>78.98</v>
      </c>
      <c r="M4909" s="74">
        <v>33442</v>
      </c>
      <c r="N4909" s="77">
        <v>0.79166666666666663</v>
      </c>
      <c r="P4909">
        <v>71.960000000000008</v>
      </c>
      <c r="S4909" s="74">
        <v>34538</v>
      </c>
      <c r="T4909" s="77">
        <v>0.79166666666666663</v>
      </c>
      <c r="V4909">
        <v>71.960000000000008</v>
      </c>
      <c r="X4909" s="42"/>
      <c r="AB4909">
        <v>78.2</v>
      </c>
      <c r="AC4909">
        <v>73.039999999999992</v>
      </c>
      <c r="AE4909" s="74"/>
      <c r="AF4909" s="77"/>
      <c r="AH4909" s="497">
        <v>68</v>
      </c>
      <c r="AJ4909" s="42"/>
      <c r="AK4909" s="74"/>
      <c r="AL4909" s="77"/>
      <c r="AN4909" s="497">
        <v>77</v>
      </c>
      <c r="AP4909" s="42"/>
      <c r="AQ4909" s="74"/>
      <c r="AR4909" s="77"/>
      <c r="AT4909" s="497">
        <v>75.92</v>
      </c>
      <c r="AV4909" s="42"/>
      <c r="AW4909" s="74"/>
      <c r="AX4909" s="77"/>
      <c r="BA4909" s="497">
        <v>66.02</v>
      </c>
      <c r="BB4909" s="42"/>
      <c r="BC4909" s="74"/>
      <c r="BD4909" s="77"/>
      <c r="BF4909">
        <v>71.960000000000008</v>
      </c>
      <c r="BH4909" s="42"/>
      <c r="BI4909" s="74"/>
      <c r="BJ4909" s="77"/>
      <c r="BL4909" s="497">
        <v>78.98</v>
      </c>
      <c r="BN4909" s="42"/>
      <c r="BO4909" s="74"/>
      <c r="BP4909" s="77"/>
      <c r="BR4909" s="497">
        <v>66.92</v>
      </c>
      <c r="BT4909" s="42"/>
    </row>
    <row r="4910" spans="1:72" x14ac:dyDescent="0.25">
      <c r="A4910" s="90">
        <v>34538</v>
      </c>
      <c r="B4910" s="20">
        <v>0.83333333333333337</v>
      </c>
      <c r="D4910">
        <v>75.92</v>
      </c>
      <c r="E4910" t="str">
        <f t="shared" si="188"/>
        <v>SATURDAY</v>
      </c>
      <c r="F4910" t="e">
        <f t="shared" si="189"/>
        <v>#N/A</v>
      </c>
      <c r="G4910" s="74">
        <v>31981</v>
      </c>
      <c r="H4910" s="77">
        <v>0.83333333333333337</v>
      </c>
      <c r="J4910">
        <v>77</v>
      </c>
      <c r="M4910" s="74">
        <v>33442</v>
      </c>
      <c r="N4910" s="77">
        <v>0.83333333333333337</v>
      </c>
      <c r="P4910">
        <v>71.06</v>
      </c>
      <c r="S4910" s="74">
        <v>34538</v>
      </c>
      <c r="T4910" s="77">
        <v>0.83333333333333337</v>
      </c>
      <c r="V4910">
        <v>71.06</v>
      </c>
      <c r="X4910" s="42"/>
      <c r="AB4910">
        <v>76.8</v>
      </c>
      <c r="AC4910">
        <v>73.94</v>
      </c>
      <c r="AE4910" s="74"/>
      <c r="AF4910" s="77"/>
      <c r="AH4910" s="497">
        <v>64.400000000000006</v>
      </c>
      <c r="AJ4910" s="42"/>
      <c r="AK4910" s="74"/>
      <c r="AL4910" s="77"/>
      <c r="AN4910" s="497">
        <v>75.02</v>
      </c>
      <c r="AP4910" s="42"/>
      <c r="AQ4910" s="74"/>
      <c r="AR4910" s="77"/>
      <c r="AT4910" s="497">
        <v>71.960000000000008</v>
      </c>
      <c r="AV4910" s="42"/>
      <c r="AW4910" s="74"/>
      <c r="AX4910" s="77"/>
      <c r="BA4910" s="497">
        <v>66.02</v>
      </c>
      <c r="BB4910" s="42"/>
      <c r="BC4910" s="74"/>
      <c r="BD4910" s="77"/>
      <c r="BF4910">
        <v>69.98</v>
      </c>
      <c r="BH4910" s="42"/>
      <c r="BI4910" s="74"/>
      <c r="BJ4910" s="77"/>
      <c r="BL4910" s="497">
        <v>77</v>
      </c>
      <c r="BN4910" s="42"/>
      <c r="BO4910" s="74"/>
      <c r="BP4910" s="77"/>
      <c r="BR4910" s="497">
        <v>66.02</v>
      </c>
      <c r="BT4910" s="42"/>
    </row>
    <row r="4911" spans="1:72" x14ac:dyDescent="0.25">
      <c r="A4911" s="90">
        <v>34538</v>
      </c>
      <c r="B4911" s="20">
        <v>0.875</v>
      </c>
      <c r="D4911">
        <v>75.02</v>
      </c>
      <c r="E4911" t="str">
        <f t="shared" si="188"/>
        <v>SATURDAY</v>
      </c>
      <c r="F4911" t="e">
        <f t="shared" si="189"/>
        <v>#N/A</v>
      </c>
      <c r="G4911" s="74">
        <v>31981</v>
      </c>
      <c r="H4911" s="77">
        <v>0.875</v>
      </c>
      <c r="J4911">
        <v>77</v>
      </c>
      <c r="M4911" s="74">
        <v>33442</v>
      </c>
      <c r="N4911" s="77">
        <v>0.875</v>
      </c>
      <c r="P4911">
        <v>71.06</v>
      </c>
      <c r="S4911" s="74">
        <v>34538</v>
      </c>
      <c r="T4911" s="77">
        <v>0.875</v>
      </c>
      <c r="V4911">
        <v>71.06</v>
      </c>
      <c r="X4911" s="42"/>
      <c r="AB4911">
        <v>75.8</v>
      </c>
      <c r="AC4911">
        <v>73.94</v>
      </c>
      <c r="AE4911" s="74"/>
      <c r="AF4911" s="77"/>
      <c r="AH4911" s="497">
        <v>62.6</v>
      </c>
      <c r="AJ4911" s="42"/>
      <c r="AK4911" s="74"/>
      <c r="AL4911" s="77"/>
      <c r="AN4911" s="497">
        <v>71.960000000000008</v>
      </c>
      <c r="AP4911" s="42"/>
      <c r="AQ4911" s="74"/>
      <c r="AR4911" s="77"/>
      <c r="AT4911" s="497">
        <v>68</v>
      </c>
      <c r="AV4911" s="42"/>
      <c r="AW4911" s="74"/>
      <c r="AX4911" s="77"/>
      <c r="BA4911" s="497">
        <v>66.92</v>
      </c>
      <c r="BB4911" s="42"/>
      <c r="BC4911" s="74"/>
      <c r="BD4911" s="77"/>
      <c r="BF4911">
        <v>69.080000000000013</v>
      </c>
      <c r="BH4911" s="42"/>
      <c r="BI4911" s="74"/>
      <c r="BJ4911" s="77"/>
      <c r="BL4911" s="497">
        <v>77</v>
      </c>
      <c r="BN4911" s="42"/>
      <c r="BO4911" s="74"/>
      <c r="BP4911" s="77"/>
      <c r="BR4911" s="497">
        <v>66.02</v>
      </c>
      <c r="BT4911" s="42"/>
    </row>
    <row r="4912" spans="1:72" x14ac:dyDescent="0.25">
      <c r="A4912" s="90">
        <v>34538</v>
      </c>
      <c r="B4912" s="20">
        <v>0.91666666666666663</v>
      </c>
      <c r="D4912">
        <v>75.92</v>
      </c>
      <c r="E4912" t="str">
        <f t="shared" si="188"/>
        <v>SATURDAY</v>
      </c>
      <c r="F4912" t="e">
        <f t="shared" si="189"/>
        <v>#N/A</v>
      </c>
      <c r="G4912" s="74">
        <v>31981</v>
      </c>
      <c r="H4912" s="77">
        <v>0.91666666666666663</v>
      </c>
      <c r="J4912">
        <v>77</v>
      </c>
      <c r="M4912" s="74">
        <v>33442</v>
      </c>
      <c r="N4912" s="77">
        <v>0.91666666666666663</v>
      </c>
      <c r="P4912">
        <v>71.960000000000008</v>
      </c>
      <c r="S4912" s="74">
        <v>34538</v>
      </c>
      <c r="T4912" s="77">
        <v>0.91666666666666663</v>
      </c>
      <c r="V4912">
        <v>73.039999999999992</v>
      </c>
      <c r="X4912" s="42"/>
      <c r="AB4912">
        <v>75.400000000000006</v>
      </c>
      <c r="AC4912">
        <v>73.94</v>
      </c>
      <c r="AE4912" s="74"/>
      <c r="AF4912" s="77"/>
      <c r="AH4912" s="497">
        <v>62.6</v>
      </c>
      <c r="AJ4912" s="42"/>
      <c r="AK4912" s="74"/>
      <c r="AL4912" s="77"/>
      <c r="AN4912" s="497">
        <v>69.080000000000013</v>
      </c>
      <c r="AP4912" s="42"/>
      <c r="AQ4912" s="74"/>
      <c r="AR4912" s="77"/>
      <c r="AT4912" s="497">
        <v>64.039999999999992</v>
      </c>
      <c r="AV4912" s="42"/>
      <c r="AW4912" s="74"/>
      <c r="AX4912" s="77"/>
      <c r="BA4912" s="497">
        <v>66.02</v>
      </c>
      <c r="BB4912" s="42"/>
      <c r="BC4912" s="74"/>
      <c r="BD4912" s="77"/>
      <c r="BF4912">
        <v>68</v>
      </c>
      <c r="BH4912" s="42"/>
      <c r="BI4912" s="74"/>
      <c r="BJ4912" s="77"/>
      <c r="BL4912" s="497">
        <v>75.02</v>
      </c>
      <c r="BN4912" s="42"/>
      <c r="BO4912" s="74"/>
      <c r="BP4912" s="77"/>
      <c r="BR4912" s="497">
        <v>64.94</v>
      </c>
      <c r="BT4912" s="42"/>
    </row>
    <row r="4913" spans="1:72" x14ac:dyDescent="0.25">
      <c r="A4913" s="90">
        <v>34538</v>
      </c>
      <c r="B4913" s="20">
        <v>0.95833333333333337</v>
      </c>
      <c r="D4913">
        <v>77</v>
      </c>
      <c r="E4913" t="str">
        <f t="shared" si="188"/>
        <v>SATURDAY</v>
      </c>
      <c r="F4913" t="e">
        <f t="shared" si="189"/>
        <v>#N/A</v>
      </c>
      <c r="G4913" s="74">
        <v>31981</v>
      </c>
      <c r="H4913" s="77">
        <v>0.95833333333333337</v>
      </c>
      <c r="J4913">
        <v>77</v>
      </c>
      <c r="M4913" s="74">
        <v>33442</v>
      </c>
      <c r="N4913" s="77">
        <v>0.95833333333333337</v>
      </c>
      <c r="P4913">
        <v>71.06</v>
      </c>
      <c r="S4913" s="74">
        <v>34538</v>
      </c>
      <c r="T4913" s="77">
        <v>0.95833333333333337</v>
      </c>
      <c r="V4913">
        <v>69.98</v>
      </c>
      <c r="X4913" s="42"/>
      <c r="AB4913">
        <v>74.8</v>
      </c>
      <c r="AC4913">
        <v>73.94</v>
      </c>
      <c r="AE4913" s="74"/>
      <c r="AF4913" s="77"/>
      <c r="AH4913" s="497">
        <v>59</v>
      </c>
      <c r="AJ4913" s="42"/>
      <c r="AK4913" s="74"/>
      <c r="AL4913" s="77"/>
      <c r="AN4913" s="497">
        <v>68</v>
      </c>
      <c r="AP4913" s="42"/>
      <c r="AQ4913" s="74"/>
      <c r="AR4913" s="77"/>
      <c r="AT4913" s="497">
        <v>62.42</v>
      </c>
      <c r="AV4913" s="42"/>
      <c r="AW4913" s="74"/>
      <c r="AX4913" s="77"/>
      <c r="BA4913" s="497">
        <v>66.02</v>
      </c>
      <c r="BB4913" s="42"/>
      <c r="BC4913" s="74"/>
      <c r="BD4913" s="77"/>
      <c r="BF4913">
        <v>66.92</v>
      </c>
      <c r="BH4913" s="42"/>
      <c r="BI4913" s="74"/>
      <c r="BJ4913" s="77"/>
      <c r="BL4913" s="497">
        <v>73.94</v>
      </c>
      <c r="BN4913" s="42"/>
      <c r="BO4913" s="74"/>
      <c r="BP4913" s="77"/>
      <c r="BR4913" s="497">
        <v>66.92</v>
      </c>
      <c r="BT4913" s="42"/>
    </row>
    <row r="4914" spans="1:72" x14ac:dyDescent="0.25">
      <c r="A4914" s="90">
        <v>34538</v>
      </c>
      <c r="B4914" s="20">
        <v>1</v>
      </c>
      <c r="D4914">
        <v>75.92</v>
      </c>
      <c r="E4914" t="str">
        <f t="shared" si="188"/>
        <v>SATURDAY</v>
      </c>
      <c r="F4914" t="e">
        <f t="shared" si="189"/>
        <v>#N/A</v>
      </c>
      <c r="G4914" s="74">
        <v>31981</v>
      </c>
      <c r="H4914" s="77">
        <v>1</v>
      </c>
      <c r="J4914">
        <v>77</v>
      </c>
      <c r="M4914" s="74">
        <v>33442</v>
      </c>
      <c r="N4914" s="80">
        <v>1</v>
      </c>
      <c r="P4914">
        <v>71.06</v>
      </c>
      <c r="S4914" s="74">
        <v>34538</v>
      </c>
      <c r="T4914" s="80">
        <v>1</v>
      </c>
      <c r="V4914">
        <v>71.960000000000008</v>
      </c>
      <c r="X4914" s="42"/>
      <c r="AB4914">
        <v>74.400000000000006</v>
      </c>
      <c r="AC4914">
        <v>73.039999999999992</v>
      </c>
      <c r="AE4914" s="74"/>
      <c r="AF4914" s="80"/>
      <c r="AH4914" s="497">
        <v>59</v>
      </c>
      <c r="AJ4914" s="42"/>
      <c r="AK4914" s="74"/>
      <c r="AL4914" s="80"/>
      <c r="AN4914" s="497">
        <v>66.92</v>
      </c>
      <c r="AP4914" s="42"/>
      <c r="AQ4914" s="74"/>
      <c r="AR4914" s="80"/>
      <c r="AT4914" s="497">
        <v>60.620000000000005</v>
      </c>
      <c r="AV4914" s="42"/>
      <c r="AW4914" s="74"/>
      <c r="AX4914" s="80"/>
      <c r="BA4914" s="497">
        <v>66.92</v>
      </c>
      <c r="BB4914" s="42"/>
      <c r="BC4914" s="74"/>
      <c r="BD4914" s="80"/>
      <c r="BF4914">
        <v>64.94</v>
      </c>
      <c r="BH4914" s="42"/>
      <c r="BI4914" s="74"/>
      <c r="BJ4914" s="80"/>
      <c r="BL4914" s="497">
        <v>73.039999999999992</v>
      </c>
      <c r="BN4914" s="42"/>
      <c r="BO4914" s="74"/>
      <c r="BP4914" s="80"/>
      <c r="BR4914" s="497">
        <v>64.039999999999992</v>
      </c>
      <c r="BT4914" s="42"/>
    </row>
    <row r="4915" spans="1:72" x14ac:dyDescent="0.25">
      <c r="A4915" s="90">
        <v>34539</v>
      </c>
      <c r="B4915" s="20">
        <v>4.1666666666666664E-2</v>
      </c>
      <c r="D4915">
        <v>75.02</v>
      </c>
      <c r="E4915" t="str">
        <f t="shared" si="188"/>
        <v>SUNDAY</v>
      </c>
      <c r="F4915" t="e">
        <f t="shared" si="189"/>
        <v>#N/A</v>
      </c>
      <c r="G4915" s="74">
        <v>31982</v>
      </c>
      <c r="H4915" s="77">
        <v>4.1666666666666664E-2</v>
      </c>
      <c r="J4915">
        <v>77</v>
      </c>
      <c r="M4915" s="74">
        <v>33443</v>
      </c>
      <c r="N4915" s="77">
        <v>4.1666666666666664E-2</v>
      </c>
      <c r="P4915">
        <v>69.98</v>
      </c>
      <c r="S4915" s="74">
        <v>34539</v>
      </c>
      <c r="T4915" s="77">
        <v>4.1666666666666664E-2</v>
      </c>
      <c r="V4915">
        <v>73.039999999999992</v>
      </c>
      <c r="X4915" s="42"/>
      <c r="AB4915">
        <v>73.8</v>
      </c>
      <c r="AC4915">
        <v>71.06</v>
      </c>
      <c r="AE4915" s="74"/>
      <c r="AF4915" s="77"/>
      <c r="AH4915" s="497">
        <v>60.8</v>
      </c>
      <c r="AJ4915" s="42"/>
      <c r="AK4915" s="74"/>
      <c r="AL4915" s="77"/>
      <c r="AN4915" s="497">
        <v>64.94</v>
      </c>
      <c r="AP4915" s="42"/>
      <c r="AQ4915" s="74"/>
      <c r="AR4915" s="77"/>
      <c r="AT4915" s="497">
        <v>59</v>
      </c>
      <c r="AV4915" s="42"/>
      <c r="AW4915" s="74"/>
      <c r="AX4915" s="77"/>
      <c r="BA4915" s="497">
        <v>66.92</v>
      </c>
      <c r="BB4915" s="42"/>
      <c r="BC4915" s="74"/>
      <c r="BD4915" s="77"/>
      <c r="BF4915">
        <v>64.039999999999992</v>
      </c>
      <c r="BH4915" s="42"/>
      <c r="BI4915" s="74"/>
      <c r="BJ4915" s="77"/>
      <c r="BL4915" s="497">
        <v>73.039999999999992</v>
      </c>
      <c r="BN4915" s="42"/>
      <c r="BO4915" s="74"/>
      <c r="BP4915" s="77"/>
      <c r="BR4915" s="497">
        <v>64.94</v>
      </c>
      <c r="BT4915" s="42"/>
    </row>
    <row r="4916" spans="1:72" x14ac:dyDescent="0.25">
      <c r="A4916" s="90">
        <v>34539</v>
      </c>
      <c r="B4916" s="20">
        <v>8.3333333333333329E-2</v>
      </c>
      <c r="D4916">
        <v>75.02</v>
      </c>
      <c r="E4916" t="str">
        <f t="shared" si="188"/>
        <v>SUNDAY</v>
      </c>
      <c r="F4916" t="e">
        <f t="shared" si="189"/>
        <v>#N/A</v>
      </c>
      <c r="G4916" s="74">
        <v>31982</v>
      </c>
      <c r="H4916" s="77">
        <v>8.3333333333333329E-2</v>
      </c>
      <c r="J4916">
        <v>77</v>
      </c>
      <c r="M4916" s="74">
        <v>33443</v>
      </c>
      <c r="N4916" s="77">
        <v>8.3333333333333329E-2</v>
      </c>
      <c r="P4916">
        <v>69.98</v>
      </c>
      <c r="S4916" s="74">
        <v>34539</v>
      </c>
      <c r="T4916" s="77">
        <v>8.3333333333333329E-2</v>
      </c>
      <c r="V4916">
        <v>71.960000000000008</v>
      </c>
      <c r="X4916" s="42"/>
      <c r="AB4916">
        <v>73.3</v>
      </c>
      <c r="AC4916">
        <v>71.06</v>
      </c>
      <c r="AE4916" s="74"/>
      <c r="AF4916" s="77"/>
      <c r="AH4916" s="497">
        <v>62.6</v>
      </c>
      <c r="AJ4916" s="42"/>
      <c r="AK4916" s="74"/>
      <c r="AL4916" s="77"/>
      <c r="AN4916" s="497">
        <v>64.039999999999992</v>
      </c>
      <c r="AP4916" s="42"/>
      <c r="AQ4916" s="74"/>
      <c r="AR4916" s="77"/>
      <c r="AT4916" s="497">
        <v>57.379999999999995</v>
      </c>
      <c r="AV4916" s="42"/>
      <c r="AW4916" s="74"/>
      <c r="AX4916" s="77"/>
      <c r="BA4916" s="497">
        <v>66.92</v>
      </c>
      <c r="BB4916" s="42"/>
      <c r="BC4916" s="74"/>
      <c r="BD4916" s="77"/>
      <c r="BF4916">
        <v>62.96</v>
      </c>
      <c r="BH4916" s="42"/>
      <c r="BI4916" s="74"/>
      <c r="BJ4916" s="77"/>
      <c r="BL4916" s="497">
        <v>73.039999999999992</v>
      </c>
      <c r="BN4916" s="42"/>
      <c r="BO4916" s="74"/>
      <c r="BP4916" s="77"/>
      <c r="BR4916" s="497">
        <v>64.039999999999992</v>
      </c>
      <c r="BT4916" s="42"/>
    </row>
    <row r="4917" spans="1:72" x14ac:dyDescent="0.25">
      <c r="A4917" s="90">
        <v>34539</v>
      </c>
      <c r="B4917" s="20">
        <v>0.125</v>
      </c>
      <c r="D4917">
        <v>73.94</v>
      </c>
      <c r="E4917" t="str">
        <f t="shared" si="188"/>
        <v>SUNDAY</v>
      </c>
      <c r="F4917" t="e">
        <f t="shared" si="189"/>
        <v>#N/A</v>
      </c>
      <c r="G4917" s="74">
        <v>31982</v>
      </c>
      <c r="H4917" s="77">
        <v>0.125</v>
      </c>
      <c r="J4917">
        <v>77</v>
      </c>
      <c r="M4917" s="74">
        <v>33443</v>
      </c>
      <c r="N4917" s="77">
        <v>0.125</v>
      </c>
      <c r="P4917">
        <v>69.98</v>
      </c>
      <c r="S4917" s="74">
        <v>34539</v>
      </c>
      <c r="T4917" s="77">
        <v>0.125</v>
      </c>
      <c r="V4917">
        <v>71.960000000000008</v>
      </c>
      <c r="X4917" s="42"/>
      <c r="AB4917">
        <v>72.7</v>
      </c>
      <c r="AC4917">
        <v>71.06</v>
      </c>
      <c r="AE4917" s="74"/>
      <c r="AF4917" s="77"/>
      <c r="AH4917" s="497">
        <v>62.6</v>
      </c>
      <c r="AJ4917" s="42"/>
      <c r="AK4917" s="74"/>
      <c r="AL4917" s="77"/>
      <c r="AN4917" s="497">
        <v>62.06</v>
      </c>
      <c r="AP4917" s="42"/>
      <c r="AQ4917" s="74"/>
      <c r="AR4917" s="77"/>
      <c r="AT4917" s="497">
        <v>55.58</v>
      </c>
      <c r="AV4917" s="42"/>
      <c r="AW4917" s="74"/>
      <c r="AX4917" s="77"/>
      <c r="BA4917" s="497">
        <v>66.02</v>
      </c>
      <c r="BB4917" s="42"/>
      <c r="BC4917" s="74"/>
      <c r="BD4917" s="77"/>
      <c r="BF4917">
        <v>62.96</v>
      </c>
      <c r="BH4917" s="42"/>
      <c r="BI4917" s="74"/>
      <c r="BJ4917" s="77"/>
      <c r="BL4917" s="497">
        <v>71.960000000000008</v>
      </c>
      <c r="BN4917" s="42"/>
      <c r="BO4917" s="74"/>
      <c r="BP4917" s="77"/>
      <c r="BR4917" s="497">
        <v>64.039999999999992</v>
      </c>
      <c r="BT4917" s="42"/>
    </row>
    <row r="4918" spans="1:72" x14ac:dyDescent="0.25">
      <c r="A4918" s="90">
        <v>34539</v>
      </c>
      <c r="B4918" s="20">
        <v>0.16666666666666666</v>
      </c>
      <c r="D4918">
        <v>73.94</v>
      </c>
      <c r="E4918" t="str">
        <f t="shared" si="188"/>
        <v>SUNDAY</v>
      </c>
      <c r="F4918" t="e">
        <f t="shared" si="189"/>
        <v>#N/A</v>
      </c>
      <c r="G4918" s="74">
        <v>31982</v>
      </c>
      <c r="H4918" s="77">
        <v>0.16666666666666666</v>
      </c>
      <c r="J4918">
        <v>75.92</v>
      </c>
      <c r="M4918" s="74">
        <v>33443</v>
      </c>
      <c r="N4918" s="77">
        <v>0.16666666666666666</v>
      </c>
      <c r="P4918">
        <v>68.180000000000007</v>
      </c>
      <c r="S4918" s="74">
        <v>34539</v>
      </c>
      <c r="T4918" s="77">
        <v>0.16666666666666666</v>
      </c>
      <c r="V4918">
        <v>69.98</v>
      </c>
      <c r="X4918" s="42"/>
      <c r="AB4918">
        <v>72.2</v>
      </c>
      <c r="AC4918">
        <v>71.06</v>
      </c>
      <c r="AE4918" s="74"/>
      <c r="AF4918" s="77"/>
      <c r="AH4918" s="497">
        <v>62.6</v>
      </c>
      <c r="AJ4918" s="42"/>
      <c r="AK4918" s="74"/>
      <c r="AL4918" s="77"/>
      <c r="AN4918" s="497">
        <v>60.980000000000004</v>
      </c>
      <c r="AP4918" s="42"/>
      <c r="AQ4918" s="74"/>
      <c r="AR4918" s="77"/>
      <c r="AT4918" s="497">
        <v>53.96</v>
      </c>
      <c r="AV4918" s="42"/>
      <c r="AW4918" s="74"/>
      <c r="AX4918" s="77"/>
      <c r="BA4918" s="497">
        <v>62.96</v>
      </c>
      <c r="BB4918" s="42"/>
      <c r="BC4918" s="74"/>
      <c r="BD4918" s="77"/>
      <c r="BF4918">
        <v>60.980000000000004</v>
      </c>
      <c r="BH4918" s="42"/>
      <c r="BI4918" s="74"/>
      <c r="BJ4918" s="77"/>
      <c r="BL4918" s="497">
        <v>71.960000000000008</v>
      </c>
      <c r="BN4918" s="42"/>
      <c r="BO4918" s="74"/>
      <c r="BP4918" s="77"/>
      <c r="BR4918" s="497">
        <v>64.039999999999992</v>
      </c>
      <c r="BT4918" s="42"/>
    </row>
    <row r="4919" spans="1:72" x14ac:dyDescent="0.25">
      <c r="A4919" s="90">
        <v>34539</v>
      </c>
      <c r="B4919" s="20">
        <v>0.20833333333333334</v>
      </c>
      <c r="D4919">
        <v>73.039999999999992</v>
      </c>
      <c r="E4919" t="str">
        <f t="shared" si="188"/>
        <v>SUNDAY</v>
      </c>
      <c r="F4919" t="e">
        <f t="shared" si="189"/>
        <v>#N/A</v>
      </c>
      <c r="G4919" s="74">
        <v>31982</v>
      </c>
      <c r="H4919" s="77">
        <v>0.20833333333333334</v>
      </c>
      <c r="J4919">
        <v>75.92</v>
      </c>
      <c r="M4919" s="74">
        <v>33443</v>
      </c>
      <c r="N4919" s="77">
        <v>0.20833333333333334</v>
      </c>
      <c r="P4919">
        <v>66.56</v>
      </c>
      <c r="S4919" s="74">
        <v>34539</v>
      </c>
      <c r="T4919" s="77">
        <v>0.20833333333333334</v>
      </c>
      <c r="V4919">
        <v>69.080000000000013</v>
      </c>
      <c r="X4919" s="42"/>
      <c r="AB4919">
        <v>71.7</v>
      </c>
      <c r="AC4919">
        <v>71.06</v>
      </c>
      <c r="AE4919" s="74"/>
      <c r="AF4919" s="77"/>
      <c r="AH4919" s="497">
        <v>62.6</v>
      </c>
      <c r="AJ4919" s="42"/>
      <c r="AK4919" s="74"/>
      <c r="AL4919" s="77"/>
      <c r="AN4919" s="497">
        <v>60.08</v>
      </c>
      <c r="AP4919" s="42"/>
      <c r="AQ4919" s="74"/>
      <c r="AR4919" s="77"/>
      <c r="AT4919" s="497">
        <v>57.56</v>
      </c>
      <c r="AV4919" s="42"/>
      <c r="AW4919" s="74"/>
      <c r="AX4919" s="77"/>
      <c r="BA4919" s="497">
        <v>62.96</v>
      </c>
      <c r="BB4919" s="42"/>
      <c r="BC4919" s="74"/>
      <c r="BD4919" s="77"/>
      <c r="BF4919">
        <v>60.980000000000004</v>
      </c>
      <c r="BH4919" s="42"/>
      <c r="BI4919" s="74"/>
      <c r="BJ4919" s="77"/>
      <c r="BL4919" s="497">
        <v>71.960000000000008</v>
      </c>
      <c r="BN4919" s="42"/>
      <c r="BO4919" s="74"/>
      <c r="BP4919" s="77"/>
      <c r="BR4919" s="497">
        <v>64.94</v>
      </c>
      <c r="BT4919" s="42"/>
    </row>
    <row r="4920" spans="1:72" x14ac:dyDescent="0.25">
      <c r="A4920" s="90">
        <v>34539</v>
      </c>
      <c r="B4920" s="20">
        <v>0.25</v>
      </c>
      <c r="D4920">
        <v>73.94</v>
      </c>
      <c r="E4920" t="str">
        <f t="shared" si="188"/>
        <v>SUNDAY</v>
      </c>
      <c r="F4920" t="e">
        <f t="shared" si="189"/>
        <v>#N/A</v>
      </c>
      <c r="G4920" s="74">
        <v>31982</v>
      </c>
      <c r="H4920" s="77">
        <v>0.25</v>
      </c>
      <c r="J4920">
        <v>77</v>
      </c>
      <c r="M4920" s="74">
        <v>33443</v>
      </c>
      <c r="N4920" s="77">
        <v>0.25</v>
      </c>
      <c r="P4920">
        <v>66.92</v>
      </c>
      <c r="S4920" s="74">
        <v>34539</v>
      </c>
      <c r="T4920" s="77">
        <v>0.25</v>
      </c>
      <c r="V4920">
        <v>71.06</v>
      </c>
      <c r="X4920" s="42"/>
      <c r="AB4920">
        <v>71.400000000000006</v>
      </c>
      <c r="AC4920">
        <v>71.960000000000008</v>
      </c>
      <c r="AE4920" s="74"/>
      <c r="AF4920" s="77"/>
      <c r="AH4920" s="497">
        <v>61.34</v>
      </c>
      <c r="AJ4920" s="42"/>
      <c r="AK4920" s="74"/>
      <c r="AL4920" s="77"/>
      <c r="AN4920" s="497">
        <v>60.980000000000004</v>
      </c>
      <c r="AP4920" s="42"/>
      <c r="AQ4920" s="74"/>
      <c r="AR4920" s="77"/>
      <c r="AT4920" s="497">
        <v>61.34</v>
      </c>
      <c r="AV4920" s="42"/>
      <c r="AW4920" s="74"/>
      <c r="AX4920" s="77"/>
      <c r="BA4920" s="497">
        <v>64.94</v>
      </c>
      <c r="BB4920" s="42"/>
      <c r="BC4920" s="74"/>
      <c r="BD4920" s="77"/>
      <c r="BF4920">
        <v>60.980000000000004</v>
      </c>
      <c r="BH4920" s="42"/>
      <c r="BI4920" s="74"/>
      <c r="BJ4920" s="77"/>
      <c r="BL4920" s="497">
        <v>71.960000000000008</v>
      </c>
      <c r="BN4920" s="42"/>
      <c r="BO4920" s="74"/>
      <c r="BP4920" s="77"/>
      <c r="BR4920" s="497">
        <v>64.039999999999992</v>
      </c>
      <c r="BT4920" s="42"/>
    </row>
    <row r="4921" spans="1:72" x14ac:dyDescent="0.25">
      <c r="A4921" s="90">
        <v>34539</v>
      </c>
      <c r="B4921" s="20">
        <v>0.29166666666666669</v>
      </c>
      <c r="D4921">
        <v>75.02</v>
      </c>
      <c r="E4921" t="str">
        <f t="shared" si="188"/>
        <v>SUNDAY</v>
      </c>
      <c r="F4921" t="e">
        <f t="shared" si="189"/>
        <v>#N/A</v>
      </c>
      <c r="G4921" s="74">
        <v>31982</v>
      </c>
      <c r="H4921" s="77">
        <v>0.29166666666666669</v>
      </c>
      <c r="J4921">
        <v>78.080000000000013</v>
      </c>
      <c r="M4921" s="74">
        <v>33443</v>
      </c>
      <c r="N4921" s="77">
        <v>0.29166666666666669</v>
      </c>
      <c r="P4921">
        <v>68</v>
      </c>
      <c r="S4921" s="74">
        <v>34539</v>
      </c>
      <c r="T4921" s="77">
        <v>0.29166666666666669</v>
      </c>
      <c r="V4921">
        <v>71.960000000000008</v>
      </c>
      <c r="X4921" s="42"/>
      <c r="AB4921">
        <v>72.5</v>
      </c>
      <c r="AC4921">
        <v>73.039999999999992</v>
      </c>
      <c r="AE4921" s="74"/>
      <c r="AF4921" s="77"/>
      <c r="AH4921" s="497">
        <v>62.42</v>
      </c>
      <c r="AJ4921" s="42"/>
      <c r="AK4921" s="74"/>
      <c r="AL4921" s="77"/>
      <c r="AN4921" s="497">
        <v>62.06</v>
      </c>
      <c r="AP4921" s="42"/>
      <c r="AQ4921" s="74"/>
      <c r="AR4921" s="77"/>
      <c r="AT4921" s="497">
        <v>64.94</v>
      </c>
      <c r="AV4921" s="42"/>
      <c r="AW4921" s="74"/>
      <c r="AX4921" s="77"/>
      <c r="BA4921" s="497">
        <v>68</v>
      </c>
      <c r="BB4921" s="42"/>
      <c r="BC4921" s="74"/>
      <c r="BD4921" s="77"/>
      <c r="BF4921">
        <v>64.039999999999992</v>
      </c>
      <c r="BH4921" s="42"/>
      <c r="BI4921" s="74"/>
      <c r="BJ4921" s="77"/>
      <c r="BL4921" s="497">
        <v>75.02</v>
      </c>
      <c r="BN4921" s="42"/>
      <c r="BO4921" s="74"/>
      <c r="BP4921" s="77"/>
      <c r="BR4921" s="497">
        <v>64.94</v>
      </c>
      <c r="BT4921" s="42"/>
    </row>
    <row r="4922" spans="1:72" x14ac:dyDescent="0.25">
      <c r="A4922" s="90">
        <v>34539</v>
      </c>
      <c r="B4922" s="20">
        <v>0.33333333333333331</v>
      </c>
      <c r="D4922">
        <v>77</v>
      </c>
      <c r="E4922" t="str">
        <f t="shared" si="188"/>
        <v>SUNDAY</v>
      </c>
      <c r="F4922" t="e">
        <f t="shared" si="189"/>
        <v>#N/A</v>
      </c>
      <c r="G4922" s="74">
        <v>31982</v>
      </c>
      <c r="H4922" s="77">
        <v>0.33333333333333331</v>
      </c>
      <c r="J4922">
        <v>80.960000000000008</v>
      </c>
      <c r="M4922" s="74">
        <v>33443</v>
      </c>
      <c r="N4922" s="77">
        <v>0.33333333333333331</v>
      </c>
      <c r="P4922">
        <v>69.98</v>
      </c>
      <c r="S4922" s="74">
        <v>34539</v>
      </c>
      <c r="T4922" s="77">
        <v>0.33333333333333331</v>
      </c>
      <c r="V4922">
        <v>71.06</v>
      </c>
      <c r="X4922" s="42"/>
      <c r="AB4922">
        <v>74.5</v>
      </c>
      <c r="AC4922">
        <v>75.02</v>
      </c>
      <c r="AE4922" s="74"/>
      <c r="AF4922" s="77"/>
      <c r="AH4922" s="497">
        <v>62.6</v>
      </c>
      <c r="AJ4922" s="42"/>
      <c r="AK4922" s="74"/>
      <c r="AL4922" s="77"/>
      <c r="AN4922" s="497">
        <v>62.96</v>
      </c>
      <c r="AP4922" s="42"/>
      <c r="AQ4922" s="74"/>
      <c r="AR4922" s="77"/>
      <c r="AT4922" s="497">
        <v>69.259999999999991</v>
      </c>
      <c r="AV4922" s="42"/>
      <c r="AW4922" s="74"/>
      <c r="AX4922" s="77"/>
      <c r="BA4922" s="497">
        <v>69.080000000000013</v>
      </c>
      <c r="BB4922" s="42"/>
      <c r="BC4922" s="74"/>
      <c r="BD4922" s="77"/>
      <c r="BF4922">
        <v>66.92</v>
      </c>
      <c r="BH4922" s="42"/>
      <c r="BI4922" s="74"/>
      <c r="BJ4922" s="77"/>
      <c r="BL4922" s="497">
        <v>80.06</v>
      </c>
      <c r="BN4922" s="42"/>
      <c r="BO4922" s="74"/>
      <c r="BP4922" s="77"/>
      <c r="BR4922" s="497">
        <v>69.080000000000013</v>
      </c>
      <c r="BT4922" s="42"/>
    </row>
    <row r="4923" spans="1:72" x14ac:dyDescent="0.25">
      <c r="A4923" s="90">
        <v>34539</v>
      </c>
      <c r="B4923" s="20">
        <v>0.375</v>
      </c>
      <c r="D4923">
        <v>80.06</v>
      </c>
      <c r="E4923" t="str">
        <f t="shared" si="188"/>
        <v>SUNDAY</v>
      </c>
      <c r="F4923" t="e">
        <f t="shared" si="189"/>
        <v>#N/A</v>
      </c>
      <c r="G4923" s="74">
        <v>31982</v>
      </c>
      <c r="H4923" s="77">
        <v>0.375</v>
      </c>
      <c r="J4923">
        <v>84.02</v>
      </c>
      <c r="M4923" s="74">
        <v>33443</v>
      </c>
      <c r="N4923" s="77">
        <v>0.375</v>
      </c>
      <c r="P4923">
        <v>71.960000000000008</v>
      </c>
      <c r="S4923" s="74">
        <v>34539</v>
      </c>
      <c r="T4923" s="77">
        <v>0.375</v>
      </c>
      <c r="V4923">
        <v>75.02</v>
      </c>
      <c r="X4923" s="42"/>
      <c r="AB4923">
        <v>76.400000000000006</v>
      </c>
      <c r="AC4923">
        <v>77</v>
      </c>
      <c r="AE4923" s="74"/>
      <c r="AF4923" s="77"/>
      <c r="AH4923" s="497">
        <v>64.400000000000006</v>
      </c>
      <c r="AJ4923" s="42"/>
      <c r="AK4923" s="74"/>
      <c r="AL4923" s="77"/>
      <c r="AN4923" s="497">
        <v>66.02</v>
      </c>
      <c r="AP4923" s="42"/>
      <c r="AQ4923" s="74"/>
      <c r="AR4923" s="77"/>
      <c r="AT4923" s="497">
        <v>73.759999999999991</v>
      </c>
      <c r="AV4923" s="42"/>
      <c r="AW4923" s="74"/>
      <c r="AX4923" s="77"/>
      <c r="BA4923" s="497">
        <v>71.06</v>
      </c>
      <c r="BB4923" s="42"/>
      <c r="BC4923" s="74"/>
      <c r="BD4923" s="77"/>
      <c r="BF4923">
        <v>71.06</v>
      </c>
      <c r="BH4923" s="42"/>
      <c r="BI4923" s="74"/>
      <c r="BJ4923" s="77"/>
      <c r="BL4923" s="497">
        <v>82.94</v>
      </c>
      <c r="BN4923" s="42"/>
      <c r="BO4923" s="74"/>
      <c r="BP4923" s="77"/>
      <c r="BR4923" s="497">
        <v>69.98</v>
      </c>
      <c r="BT4923" s="42"/>
    </row>
    <row r="4924" spans="1:72" x14ac:dyDescent="0.25">
      <c r="A4924" s="90">
        <v>34539</v>
      </c>
      <c r="B4924" s="20">
        <v>0.41666666666666669</v>
      </c>
      <c r="D4924">
        <v>80.960000000000008</v>
      </c>
      <c r="E4924" t="str">
        <f t="shared" si="188"/>
        <v>SUNDAY</v>
      </c>
      <c r="F4924" t="e">
        <f t="shared" si="189"/>
        <v>#N/A</v>
      </c>
      <c r="G4924" s="74">
        <v>31982</v>
      </c>
      <c r="H4924" s="77">
        <v>0.41666666666666669</v>
      </c>
      <c r="J4924">
        <v>87.080000000000013</v>
      </c>
      <c r="M4924" s="74">
        <v>33443</v>
      </c>
      <c r="N4924" s="77">
        <v>0.41666666666666669</v>
      </c>
      <c r="P4924">
        <v>73.94</v>
      </c>
      <c r="S4924" s="74">
        <v>34539</v>
      </c>
      <c r="T4924" s="77">
        <v>0.41666666666666669</v>
      </c>
      <c r="V4924">
        <v>78.98</v>
      </c>
      <c r="X4924" s="42"/>
      <c r="AB4924">
        <v>78.2</v>
      </c>
      <c r="AC4924">
        <v>80.06</v>
      </c>
      <c r="AE4924" s="74"/>
      <c r="AF4924" s="77"/>
      <c r="AH4924" s="497">
        <v>68</v>
      </c>
      <c r="AJ4924" s="42"/>
      <c r="AK4924" s="74"/>
      <c r="AL4924" s="77"/>
      <c r="AN4924" s="497">
        <v>68</v>
      </c>
      <c r="AP4924" s="42"/>
      <c r="AQ4924" s="74"/>
      <c r="AR4924" s="77"/>
      <c r="AT4924" s="497">
        <v>78.080000000000013</v>
      </c>
      <c r="AV4924" s="42"/>
      <c r="AW4924" s="74"/>
      <c r="AX4924" s="77"/>
      <c r="BA4924" s="497">
        <v>71.960000000000008</v>
      </c>
      <c r="BB4924" s="42"/>
      <c r="BC4924" s="74"/>
      <c r="BD4924" s="77"/>
      <c r="BF4924">
        <v>75.02</v>
      </c>
      <c r="BH4924" s="42"/>
      <c r="BI4924" s="74"/>
      <c r="BJ4924" s="77"/>
      <c r="BL4924" s="497">
        <v>86</v>
      </c>
      <c r="BN4924" s="42"/>
      <c r="BO4924" s="74"/>
      <c r="BP4924" s="77"/>
      <c r="BR4924" s="497">
        <v>73.039999999999992</v>
      </c>
      <c r="BT4924" s="42"/>
    </row>
    <row r="4925" spans="1:72" x14ac:dyDescent="0.25">
      <c r="A4925" s="90">
        <v>34539</v>
      </c>
      <c r="B4925" s="20">
        <v>0.45833333333333331</v>
      </c>
      <c r="D4925">
        <v>82.94</v>
      </c>
      <c r="E4925" t="str">
        <f t="shared" si="188"/>
        <v>SUNDAY</v>
      </c>
      <c r="F4925" t="e">
        <f t="shared" si="189"/>
        <v>#N/A</v>
      </c>
      <c r="G4925" s="74">
        <v>31982</v>
      </c>
      <c r="H4925" s="77">
        <v>0.45833333333333331</v>
      </c>
      <c r="J4925">
        <v>89.960000000000008</v>
      </c>
      <c r="M4925" s="74">
        <v>33443</v>
      </c>
      <c r="N4925" s="77">
        <v>0.45833333333333331</v>
      </c>
      <c r="P4925">
        <v>78.080000000000013</v>
      </c>
      <c r="S4925" s="74">
        <v>34539</v>
      </c>
      <c r="T4925" s="77">
        <v>0.45833333333333331</v>
      </c>
      <c r="V4925">
        <v>82.039999999999992</v>
      </c>
      <c r="X4925" s="42"/>
      <c r="AB4925">
        <v>79.599999999999994</v>
      </c>
      <c r="AC4925">
        <v>80.960000000000008</v>
      </c>
      <c r="AE4925" s="74"/>
      <c r="AF4925" s="77"/>
      <c r="AH4925" s="497">
        <v>71.599999999999994</v>
      </c>
      <c r="AJ4925" s="42"/>
      <c r="AK4925" s="74"/>
      <c r="AL4925" s="77"/>
      <c r="AN4925" s="497">
        <v>69.98</v>
      </c>
      <c r="AP4925" s="42"/>
      <c r="AQ4925" s="74"/>
      <c r="AR4925" s="77"/>
      <c r="AT4925" s="497">
        <v>80.42</v>
      </c>
      <c r="AV4925" s="42"/>
      <c r="AW4925" s="74"/>
      <c r="AX4925" s="77"/>
      <c r="BA4925" s="497">
        <v>75.02</v>
      </c>
      <c r="BB4925" s="42"/>
      <c r="BC4925" s="74"/>
      <c r="BD4925" s="77"/>
      <c r="BF4925">
        <v>78.080000000000013</v>
      </c>
      <c r="BH4925" s="42"/>
      <c r="BI4925" s="74"/>
      <c r="BJ4925" s="77"/>
      <c r="BL4925" s="497">
        <v>89.06</v>
      </c>
      <c r="BN4925" s="42"/>
      <c r="BO4925" s="74"/>
      <c r="BP4925" s="77"/>
      <c r="BR4925" s="497">
        <v>77</v>
      </c>
      <c r="BT4925" s="42"/>
    </row>
    <row r="4926" spans="1:72" x14ac:dyDescent="0.25">
      <c r="A4926" s="90">
        <v>34539</v>
      </c>
      <c r="B4926" s="20">
        <v>0.5</v>
      </c>
      <c r="D4926">
        <v>84.02</v>
      </c>
      <c r="E4926" t="str">
        <f t="shared" si="188"/>
        <v>SUNDAY</v>
      </c>
      <c r="F4926" t="e">
        <f t="shared" si="189"/>
        <v>#N/A</v>
      </c>
      <c r="G4926" s="74">
        <v>31982</v>
      </c>
      <c r="H4926" s="77">
        <v>0.5</v>
      </c>
      <c r="J4926">
        <v>91.94</v>
      </c>
      <c r="M4926" s="74">
        <v>33443</v>
      </c>
      <c r="N4926" s="77">
        <v>0.5</v>
      </c>
      <c r="P4926">
        <v>78.98</v>
      </c>
      <c r="S4926" s="74">
        <v>34539</v>
      </c>
      <c r="T4926" s="77">
        <v>0.5</v>
      </c>
      <c r="V4926">
        <v>82.039999999999992</v>
      </c>
      <c r="X4926" s="42"/>
      <c r="AB4926">
        <v>80.7</v>
      </c>
      <c r="AC4926">
        <v>84.02</v>
      </c>
      <c r="AE4926" s="74"/>
      <c r="AF4926" s="77"/>
      <c r="AH4926" s="497">
        <v>73.400000000000006</v>
      </c>
      <c r="AJ4926" s="42"/>
      <c r="AK4926" s="74"/>
      <c r="AL4926" s="77"/>
      <c r="AN4926" s="497">
        <v>71.960000000000008</v>
      </c>
      <c r="AP4926" s="42"/>
      <c r="AQ4926" s="74"/>
      <c r="AR4926" s="77"/>
      <c r="AT4926" s="497">
        <v>82.580000000000013</v>
      </c>
      <c r="AV4926" s="42"/>
      <c r="AW4926" s="74"/>
      <c r="AX4926" s="77"/>
      <c r="BA4926" s="497">
        <v>77</v>
      </c>
      <c r="BB4926" s="42"/>
      <c r="BC4926" s="74"/>
      <c r="BD4926" s="77"/>
      <c r="BF4926">
        <v>78.98</v>
      </c>
      <c r="BH4926" s="42"/>
      <c r="BI4926" s="74"/>
      <c r="BJ4926" s="77"/>
      <c r="BL4926" s="497">
        <v>89.960000000000008</v>
      </c>
      <c r="BN4926" s="42"/>
      <c r="BO4926" s="74"/>
      <c r="BP4926" s="77"/>
      <c r="BR4926" s="497">
        <v>78.080000000000013</v>
      </c>
      <c r="BT4926" s="42"/>
    </row>
    <row r="4927" spans="1:72" x14ac:dyDescent="0.25">
      <c r="A4927" s="90">
        <v>34539</v>
      </c>
      <c r="B4927" s="20">
        <v>0.54166666666666663</v>
      </c>
      <c r="D4927">
        <v>84.02</v>
      </c>
      <c r="E4927" t="str">
        <f t="shared" si="188"/>
        <v>SUNDAY</v>
      </c>
      <c r="F4927" t="e">
        <f t="shared" si="189"/>
        <v>#N/A</v>
      </c>
      <c r="G4927" s="74">
        <v>31982</v>
      </c>
      <c r="H4927" s="77">
        <v>0.54166666666666663</v>
      </c>
      <c r="J4927">
        <v>91.94</v>
      </c>
      <c r="M4927" s="74">
        <v>33443</v>
      </c>
      <c r="N4927" s="77">
        <v>0.54166666666666663</v>
      </c>
      <c r="P4927">
        <v>82.039999999999992</v>
      </c>
      <c r="S4927" s="74">
        <v>34539</v>
      </c>
      <c r="T4927" s="77">
        <v>0.54166666666666663</v>
      </c>
      <c r="V4927">
        <v>84.02</v>
      </c>
      <c r="X4927" s="42"/>
      <c r="AB4927">
        <v>81.5</v>
      </c>
      <c r="AC4927">
        <v>82.039999999999992</v>
      </c>
      <c r="AE4927" s="74"/>
      <c r="AF4927" s="77"/>
      <c r="AH4927" s="497">
        <v>75.2</v>
      </c>
      <c r="AJ4927" s="42"/>
      <c r="AK4927" s="74"/>
      <c r="AL4927" s="77"/>
      <c r="AN4927" s="497">
        <v>73.94</v>
      </c>
      <c r="AP4927" s="42"/>
      <c r="AQ4927" s="74"/>
      <c r="AR4927" s="77"/>
      <c r="AT4927" s="497">
        <v>84.92</v>
      </c>
      <c r="AV4927" s="42"/>
      <c r="AW4927" s="74"/>
      <c r="AX4927" s="77"/>
      <c r="BA4927" s="497">
        <v>78.98</v>
      </c>
      <c r="BB4927" s="42"/>
      <c r="BC4927" s="74"/>
      <c r="BD4927" s="77"/>
      <c r="BF4927">
        <v>78.080000000000013</v>
      </c>
      <c r="BH4927" s="42"/>
      <c r="BI4927" s="74"/>
      <c r="BJ4927" s="77"/>
      <c r="BL4927" s="497">
        <v>93.02</v>
      </c>
      <c r="BN4927" s="42"/>
      <c r="BO4927" s="74"/>
      <c r="BP4927" s="77"/>
      <c r="BR4927" s="497">
        <v>80.06</v>
      </c>
      <c r="BT4927" s="42"/>
    </row>
    <row r="4928" spans="1:72" x14ac:dyDescent="0.25">
      <c r="A4928" s="90">
        <v>34539</v>
      </c>
      <c r="B4928" s="20">
        <v>0.58333333333333337</v>
      </c>
      <c r="D4928">
        <v>89.06</v>
      </c>
      <c r="E4928" t="str">
        <f t="shared" si="188"/>
        <v>SUNDAY</v>
      </c>
      <c r="F4928" t="e">
        <f t="shared" si="189"/>
        <v>#N/A</v>
      </c>
      <c r="G4928" s="74">
        <v>31982</v>
      </c>
      <c r="H4928" s="77">
        <v>0.58333333333333337</v>
      </c>
      <c r="J4928">
        <v>93.02</v>
      </c>
      <c r="M4928" s="74">
        <v>33443</v>
      </c>
      <c r="N4928" s="77">
        <v>0.58333333333333337</v>
      </c>
      <c r="P4928">
        <v>82.94</v>
      </c>
      <c r="S4928" s="74">
        <v>34539</v>
      </c>
      <c r="T4928" s="77">
        <v>0.58333333333333337</v>
      </c>
      <c r="V4928">
        <v>84.02</v>
      </c>
      <c r="X4928" s="42"/>
      <c r="AB4928">
        <v>81.900000000000006</v>
      </c>
      <c r="AC4928">
        <v>82.039999999999992</v>
      </c>
      <c r="AE4928" s="74"/>
      <c r="AF4928" s="77"/>
      <c r="AH4928" s="497">
        <v>75.2</v>
      </c>
      <c r="AJ4928" s="42"/>
      <c r="AK4928" s="74"/>
      <c r="AL4928" s="77"/>
      <c r="AN4928" s="497">
        <v>75.02</v>
      </c>
      <c r="AP4928" s="42"/>
      <c r="AQ4928" s="74"/>
      <c r="AR4928" s="77"/>
      <c r="AT4928" s="497">
        <v>84.92</v>
      </c>
      <c r="AV4928" s="42"/>
      <c r="AW4928" s="74"/>
      <c r="AX4928" s="77"/>
      <c r="BA4928" s="497">
        <v>80.06</v>
      </c>
      <c r="BB4928" s="42"/>
      <c r="BC4928" s="74"/>
      <c r="BD4928" s="77"/>
      <c r="BF4928">
        <v>78.98</v>
      </c>
      <c r="BH4928" s="42"/>
      <c r="BI4928" s="74"/>
      <c r="BJ4928" s="77"/>
      <c r="BL4928" s="497">
        <v>91.039999999999992</v>
      </c>
      <c r="BN4928" s="42"/>
      <c r="BO4928" s="74"/>
      <c r="BP4928" s="77"/>
      <c r="BR4928" s="497">
        <v>80.960000000000008</v>
      </c>
      <c r="BT4928" s="42"/>
    </row>
    <row r="4929" spans="1:72" x14ac:dyDescent="0.25">
      <c r="A4929" s="90">
        <v>34539</v>
      </c>
      <c r="B4929" s="20">
        <v>0.625</v>
      </c>
      <c r="D4929">
        <v>89.06</v>
      </c>
      <c r="E4929" t="str">
        <f t="shared" si="188"/>
        <v>SUNDAY</v>
      </c>
      <c r="F4929" t="e">
        <f t="shared" si="189"/>
        <v>#N/A</v>
      </c>
      <c r="G4929" s="74">
        <v>31982</v>
      </c>
      <c r="H4929" s="77">
        <v>0.625</v>
      </c>
      <c r="J4929">
        <v>91.039999999999992</v>
      </c>
      <c r="M4929" s="74">
        <v>33443</v>
      </c>
      <c r="N4929" s="77">
        <v>0.625</v>
      </c>
      <c r="P4929">
        <v>84.02</v>
      </c>
      <c r="S4929" s="74">
        <v>34539</v>
      </c>
      <c r="T4929" s="77">
        <v>0.625</v>
      </c>
      <c r="V4929">
        <v>82.039999999999992</v>
      </c>
      <c r="X4929" s="42"/>
      <c r="AB4929">
        <v>81.8</v>
      </c>
      <c r="AC4929">
        <v>82.94</v>
      </c>
      <c r="AE4929" s="74"/>
      <c r="AF4929" s="77"/>
      <c r="AH4929" s="497">
        <v>78.800000000000011</v>
      </c>
      <c r="AJ4929" s="42"/>
      <c r="AK4929" s="74"/>
      <c r="AL4929" s="77"/>
      <c r="AN4929" s="497">
        <v>75.02</v>
      </c>
      <c r="AP4929" s="42"/>
      <c r="AQ4929" s="74"/>
      <c r="AR4929" s="77"/>
      <c r="AT4929" s="497">
        <v>84.92</v>
      </c>
      <c r="AV4929" s="42"/>
      <c r="AW4929" s="74"/>
      <c r="AX4929" s="77"/>
      <c r="BA4929" s="497">
        <v>80.960000000000008</v>
      </c>
      <c r="BB4929" s="42"/>
      <c r="BC4929" s="74"/>
      <c r="BD4929" s="77"/>
      <c r="BF4929">
        <v>78.080000000000013</v>
      </c>
      <c r="BH4929" s="42"/>
      <c r="BI4929" s="74"/>
      <c r="BJ4929" s="77"/>
      <c r="BL4929" s="497">
        <v>84.92</v>
      </c>
      <c r="BN4929" s="42"/>
      <c r="BO4929" s="74"/>
      <c r="BP4929" s="77"/>
      <c r="BR4929" s="497">
        <v>82.039999999999992</v>
      </c>
      <c r="BT4929" s="42"/>
    </row>
    <row r="4930" spans="1:72" x14ac:dyDescent="0.25">
      <c r="A4930" s="90">
        <v>34539</v>
      </c>
      <c r="B4930" s="20">
        <v>0.66666666666666663</v>
      </c>
      <c r="D4930">
        <v>87.080000000000013</v>
      </c>
      <c r="E4930" t="str">
        <f t="shared" si="188"/>
        <v>SUNDAY</v>
      </c>
      <c r="F4930" t="e">
        <f t="shared" si="189"/>
        <v>#N/A</v>
      </c>
      <c r="G4930" s="74">
        <v>31982</v>
      </c>
      <c r="H4930" s="77">
        <v>0.66666666666666663</v>
      </c>
      <c r="J4930">
        <v>91.94</v>
      </c>
      <c r="M4930" s="74">
        <v>33443</v>
      </c>
      <c r="N4930" s="77">
        <v>0.66666666666666663</v>
      </c>
      <c r="P4930">
        <v>86</v>
      </c>
      <c r="S4930" s="74">
        <v>34539</v>
      </c>
      <c r="T4930" s="77">
        <v>0.66666666666666663</v>
      </c>
      <c r="V4930">
        <v>78.98</v>
      </c>
      <c r="X4930" s="42"/>
      <c r="AB4930">
        <v>81.3</v>
      </c>
      <c r="AC4930">
        <v>80.06</v>
      </c>
      <c r="AE4930" s="74"/>
      <c r="AF4930" s="77"/>
      <c r="AH4930" s="497">
        <v>78.800000000000011</v>
      </c>
      <c r="AJ4930" s="42"/>
      <c r="AK4930" s="74"/>
      <c r="AL4930" s="77"/>
      <c r="AN4930" s="497">
        <v>73.94</v>
      </c>
      <c r="AP4930" s="42"/>
      <c r="AQ4930" s="74"/>
      <c r="AR4930" s="77"/>
      <c r="AT4930" s="497">
        <v>84.92</v>
      </c>
      <c r="AV4930" s="42"/>
      <c r="AW4930" s="74"/>
      <c r="AX4930" s="77"/>
      <c r="BA4930" s="497">
        <v>80.06</v>
      </c>
      <c r="BB4930" s="42"/>
      <c r="BC4930" s="74"/>
      <c r="BD4930" s="77"/>
      <c r="BF4930">
        <v>80.06</v>
      </c>
      <c r="BH4930" s="42"/>
      <c r="BI4930" s="74"/>
      <c r="BJ4930" s="77"/>
      <c r="BL4930" s="497">
        <v>89.960000000000008</v>
      </c>
      <c r="BN4930" s="42"/>
      <c r="BO4930" s="74"/>
      <c r="BP4930" s="77"/>
      <c r="BR4930" s="497">
        <v>82.94</v>
      </c>
      <c r="BT4930" s="42"/>
    </row>
    <row r="4931" spans="1:72" x14ac:dyDescent="0.25">
      <c r="A4931" s="90">
        <v>34539</v>
      </c>
      <c r="B4931" s="20">
        <v>0.70833333333333337</v>
      </c>
      <c r="D4931">
        <v>84.92</v>
      </c>
      <c r="E4931" t="str">
        <f t="shared" si="188"/>
        <v>SUNDAY</v>
      </c>
      <c r="F4931" t="e">
        <f t="shared" si="189"/>
        <v>#N/A</v>
      </c>
      <c r="G4931" s="74">
        <v>31982</v>
      </c>
      <c r="H4931" s="77">
        <v>0.70833333333333337</v>
      </c>
      <c r="J4931">
        <v>89.960000000000008</v>
      </c>
      <c r="M4931" s="74">
        <v>33443</v>
      </c>
      <c r="N4931" s="77">
        <v>0.70833333333333337</v>
      </c>
      <c r="P4931">
        <v>84.02</v>
      </c>
      <c r="S4931" s="74">
        <v>34539</v>
      </c>
      <c r="T4931" s="77">
        <v>0.70833333333333337</v>
      </c>
      <c r="V4931">
        <v>78.080000000000013</v>
      </c>
      <c r="X4931" s="42"/>
      <c r="AB4931">
        <v>80.5</v>
      </c>
      <c r="AC4931">
        <v>80.06</v>
      </c>
      <c r="AE4931" s="74"/>
      <c r="AF4931" s="77"/>
      <c r="AH4931" s="497">
        <v>78.800000000000011</v>
      </c>
      <c r="AJ4931" s="42"/>
      <c r="AK4931" s="74"/>
      <c r="AL4931" s="77"/>
      <c r="AN4931" s="497">
        <v>73.94</v>
      </c>
      <c r="AP4931" s="42"/>
      <c r="AQ4931" s="74"/>
      <c r="AR4931" s="77"/>
      <c r="AT4931" s="497">
        <v>81.680000000000007</v>
      </c>
      <c r="AV4931" s="42"/>
      <c r="AW4931" s="74"/>
      <c r="AX4931" s="77"/>
      <c r="BA4931" s="497">
        <v>80.06</v>
      </c>
      <c r="BB4931" s="42"/>
      <c r="BC4931" s="74"/>
      <c r="BD4931" s="77"/>
      <c r="BF4931">
        <v>78.98</v>
      </c>
      <c r="BH4931" s="42"/>
      <c r="BI4931" s="74"/>
      <c r="BJ4931" s="77"/>
      <c r="BL4931" s="497">
        <v>91.94</v>
      </c>
      <c r="BN4931" s="42"/>
      <c r="BO4931" s="74"/>
      <c r="BP4931" s="77"/>
      <c r="BR4931" s="497">
        <v>82.039999999999992</v>
      </c>
      <c r="BT4931" s="42"/>
    </row>
    <row r="4932" spans="1:72" x14ac:dyDescent="0.25">
      <c r="A4932" s="90">
        <v>34539</v>
      </c>
      <c r="B4932" s="20">
        <v>0.75</v>
      </c>
      <c r="D4932">
        <v>80.06</v>
      </c>
      <c r="E4932" t="str">
        <f t="shared" si="188"/>
        <v>SUNDAY</v>
      </c>
      <c r="F4932" t="e">
        <f t="shared" si="189"/>
        <v>#N/A</v>
      </c>
      <c r="G4932" s="74">
        <v>31982</v>
      </c>
      <c r="H4932" s="77">
        <v>0.75</v>
      </c>
      <c r="J4932">
        <v>87.98</v>
      </c>
      <c r="M4932" s="74">
        <v>33443</v>
      </c>
      <c r="N4932" s="77">
        <v>0.75</v>
      </c>
      <c r="P4932">
        <v>84.02</v>
      </c>
      <c r="S4932" s="74">
        <v>34539</v>
      </c>
      <c r="T4932" s="77">
        <v>0.75</v>
      </c>
      <c r="V4932">
        <v>75.92</v>
      </c>
      <c r="X4932" s="42"/>
      <c r="AB4932">
        <v>79.3</v>
      </c>
      <c r="AC4932">
        <v>80.06</v>
      </c>
      <c r="AE4932" s="74"/>
      <c r="AF4932" s="77"/>
      <c r="AH4932" s="497">
        <v>75.2</v>
      </c>
      <c r="AJ4932" s="42"/>
      <c r="AK4932" s="74"/>
      <c r="AL4932" s="77"/>
      <c r="AN4932" s="497">
        <v>73.039999999999992</v>
      </c>
      <c r="AP4932" s="42"/>
      <c r="AQ4932" s="74"/>
      <c r="AR4932" s="77"/>
      <c r="AT4932" s="497">
        <v>78.259999999999991</v>
      </c>
      <c r="AV4932" s="42"/>
      <c r="AW4932" s="74"/>
      <c r="AX4932" s="77"/>
      <c r="BA4932" s="497">
        <v>78.080000000000013</v>
      </c>
      <c r="BB4932" s="42"/>
      <c r="BC4932" s="74"/>
      <c r="BD4932" s="77"/>
      <c r="BF4932">
        <v>77</v>
      </c>
      <c r="BH4932" s="42"/>
      <c r="BI4932" s="74"/>
      <c r="BJ4932" s="77"/>
      <c r="BL4932" s="497">
        <v>89.06</v>
      </c>
      <c r="BN4932" s="42"/>
      <c r="BO4932" s="74"/>
      <c r="BP4932" s="77"/>
      <c r="BR4932" s="497">
        <v>75.92</v>
      </c>
      <c r="BT4932" s="42"/>
    </row>
    <row r="4933" spans="1:72" x14ac:dyDescent="0.25">
      <c r="A4933" s="90">
        <v>34539</v>
      </c>
      <c r="B4933" s="20">
        <v>0.79166666666666663</v>
      </c>
      <c r="D4933">
        <v>80.06</v>
      </c>
      <c r="E4933" t="str">
        <f t="shared" si="188"/>
        <v>SUNDAY</v>
      </c>
      <c r="F4933" t="e">
        <f t="shared" si="189"/>
        <v>#N/A</v>
      </c>
      <c r="G4933" s="74">
        <v>31982</v>
      </c>
      <c r="H4933" s="77">
        <v>0.79166666666666663</v>
      </c>
      <c r="J4933">
        <v>87.98</v>
      </c>
      <c r="M4933" s="74">
        <v>33443</v>
      </c>
      <c r="N4933" s="77">
        <v>0.79166666666666663</v>
      </c>
      <c r="P4933">
        <v>80.960000000000008</v>
      </c>
      <c r="S4933" s="74">
        <v>34539</v>
      </c>
      <c r="T4933" s="77">
        <v>0.79166666666666663</v>
      </c>
      <c r="V4933">
        <v>75.02</v>
      </c>
      <c r="X4933" s="42"/>
      <c r="AB4933">
        <v>78</v>
      </c>
      <c r="AC4933">
        <v>75.02</v>
      </c>
      <c r="AE4933" s="74"/>
      <c r="AF4933" s="77"/>
      <c r="AH4933" s="497">
        <v>75.2</v>
      </c>
      <c r="AJ4933" s="42"/>
      <c r="AK4933" s="74"/>
      <c r="AL4933" s="77"/>
      <c r="AN4933" s="497">
        <v>69.98</v>
      </c>
      <c r="AP4933" s="42"/>
      <c r="AQ4933" s="74"/>
      <c r="AR4933" s="77"/>
      <c r="AT4933" s="497">
        <v>75.02</v>
      </c>
      <c r="AV4933" s="42"/>
      <c r="AW4933" s="74"/>
      <c r="AX4933" s="77"/>
      <c r="BA4933" s="497">
        <v>73.94</v>
      </c>
      <c r="BB4933" s="42"/>
      <c r="BC4933" s="74"/>
      <c r="BD4933" s="77"/>
      <c r="BF4933">
        <v>75.92</v>
      </c>
      <c r="BH4933" s="42"/>
      <c r="BI4933" s="74"/>
      <c r="BJ4933" s="77"/>
      <c r="BL4933" s="497">
        <v>82.94</v>
      </c>
      <c r="BN4933" s="42"/>
      <c r="BO4933" s="74"/>
      <c r="BP4933" s="77"/>
      <c r="BR4933" s="497">
        <v>77</v>
      </c>
      <c r="BT4933" s="42"/>
    </row>
    <row r="4934" spans="1:72" x14ac:dyDescent="0.25">
      <c r="A4934" s="90">
        <v>34539</v>
      </c>
      <c r="B4934" s="20">
        <v>0.83333333333333337</v>
      </c>
      <c r="D4934">
        <v>78.98</v>
      </c>
      <c r="E4934" t="str">
        <f t="shared" si="188"/>
        <v>SUNDAY</v>
      </c>
      <c r="F4934" t="e">
        <f t="shared" si="189"/>
        <v>#N/A</v>
      </c>
      <c r="G4934" s="74">
        <v>31982</v>
      </c>
      <c r="H4934" s="77">
        <v>0.83333333333333337</v>
      </c>
      <c r="J4934">
        <v>87.98</v>
      </c>
      <c r="M4934" s="74">
        <v>33443</v>
      </c>
      <c r="N4934" s="77">
        <v>0.83333333333333337</v>
      </c>
      <c r="P4934">
        <v>73.94</v>
      </c>
      <c r="S4934" s="74">
        <v>34539</v>
      </c>
      <c r="T4934" s="77">
        <v>0.83333333333333337</v>
      </c>
      <c r="V4934">
        <v>73.94</v>
      </c>
      <c r="X4934" s="42"/>
      <c r="AB4934">
        <v>76.599999999999994</v>
      </c>
      <c r="AC4934">
        <v>75.02</v>
      </c>
      <c r="AE4934" s="74"/>
      <c r="AF4934" s="77"/>
      <c r="AH4934" s="497">
        <v>71.599999999999994</v>
      </c>
      <c r="AJ4934" s="42"/>
      <c r="AK4934" s="74"/>
      <c r="AL4934" s="77"/>
      <c r="AN4934" s="497">
        <v>66.02</v>
      </c>
      <c r="AP4934" s="42"/>
      <c r="AQ4934" s="74"/>
      <c r="AR4934" s="77"/>
      <c r="AT4934" s="497">
        <v>75.02</v>
      </c>
      <c r="AV4934" s="42"/>
      <c r="AW4934" s="74"/>
      <c r="AX4934" s="77"/>
      <c r="BA4934" s="497">
        <v>69.080000000000013</v>
      </c>
      <c r="BB4934" s="42"/>
      <c r="BC4934" s="74"/>
      <c r="BD4934" s="77"/>
      <c r="BF4934">
        <v>71.960000000000008</v>
      </c>
      <c r="BH4934" s="42"/>
      <c r="BI4934" s="74"/>
      <c r="BJ4934" s="77"/>
      <c r="BL4934" s="497">
        <v>80.960000000000008</v>
      </c>
      <c r="BN4934" s="42"/>
      <c r="BO4934" s="74"/>
      <c r="BP4934" s="77"/>
      <c r="BR4934" s="497">
        <v>71.06</v>
      </c>
      <c r="BT4934" s="42"/>
    </row>
    <row r="4935" spans="1:72" x14ac:dyDescent="0.25">
      <c r="A4935" s="90">
        <v>34539</v>
      </c>
      <c r="B4935" s="20">
        <v>0.875</v>
      </c>
      <c r="D4935">
        <v>78.98</v>
      </c>
      <c r="E4935" t="str">
        <f t="shared" si="188"/>
        <v>SUNDAY</v>
      </c>
      <c r="F4935" t="e">
        <f t="shared" si="189"/>
        <v>#N/A</v>
      </c>
      <c r="G4935" s="74">
        <v>31982</v>
      </c>
      <c r="H4935" s="77">
        <v>0.875</v>
      </c>
      <c r="J4935">
        <v>86</v>
      </c>
      <c r="M4935" s="74">
        <v>33443</v>
      </c>
      <c r="N4935" s="77">
        <v>0.875</v>
      </c>
      <c r="P4935">
        <v>69.080000000000013</v>
      </c>
      <c r="S4935" s="74">
        <v>34539</v>
      </c>
      <c r="T4935" s="77">
        <v>0.875</v>
      </c>
      <c r="V4935">
        <v>73.039999999999992</v>
      </c>
      <c r="X4935" s="42"/>
      <c r="AB4935">
        <v>75.7</v>
      </c>
      <c r="AC4935">
        <v>73.94</v>
      </c>
      <c r="AE4935" s="74"/>
      <c r="AF4935" s="77"/>
      <c r="AH4935" s="497">
        <v>69.800000000000011</v>
      </c>
      <c r="AJ4935" s="42"/>
      <c r="AK4935" s="74"/>
      <c r="AL4935" s="77"/>
      <c r="AN4935" s="497">
        <v>64.94</v>
      </c>
      <c r="AP4935" s="42"/>
      <c r="AQ4935" s="74"/>
      <c r="AR4935" s="77"/>
      <c r="AT4935" s="497">
        <v>75.02</v>
      </c>
      <c r="AV4935" s="42"/>
      <c r="AW4935" s="74"/>
      <c r="AX4935" s="77"/>
      <c r="BA4935" s="497">
        <v>66.02</v>
      </c>
      <c r="BB4935" s="42"/>
      <c r="BC4935" s="74"/>
      <c r="BD4935" s="77"/>
      <c r="BF4935">
        <v>69.98</v>
      </c>
      <c r="BH4935" s="42"/>
      <c r="BI4935" s="74"/>
      <c r="BJ4935" s="77"/>
      <c r="BL4935" s="497">
        <v>78.98</v>
      </c>
      <c r="BN4935" s="42"/>
      <c r="BO4935" s="74"/>
      <c r="BP4935" s="77"/>
      <c r="BR4935" s="497">
        <v>66.92</v>
      </c>
      <c r="BT4935" s="42"/>
    </row>
    <row r="4936" spans="1:72" x14ac:dyDescent="0.25">
      <c r="A4936" s="90">
        <v>34539</v>
      </c>
      <c r="B4936" s="20">
        <v>0.91666666666666663</v>
      </c>
      <c r="D4936">
        <v>78.98</v>
      </c>
      <c r="E4936" t="str">
        <f t="shared" si="188"/>
        <v>SUNDAY</v>
      </c>
      <c r="F4936" t="e">
        <f t="shared" si="189"/>
        <v>#N/A</v>
      </c>
      <c r="G4936" s="74">
        <v>31982</v>
      </c>
      <c r="H4936" s="77">
        <v>0.91666666666666663</v>
      </c>
      <c r="J4936">
        <v>82.039999999999992</v>
      </c>
      <c r="M4936" s="74">
        <v>33443</v>
      </c>
      <c r="N4936" s="77">
        <v>0.91666666666666663</v>
      </c>
      <c r="P4936">
        <v>66.92</v>
      </c>
      <c r="S4936" s="74">
        <v>34539</v>
      </c>
      <c r="T4936" s="77">
        <v>0.91666666666666663</v>
      </c>
      <c r="V4936">
        <v>75.02</v>
      </c>
      <c r="X4936" s="42"/>
      <c r="AB4936">
        <v>75.2</v>
      </c>
      <c r="AC4936">
        <v>73.94</v>
      </c>
      <c r="AE4936" s="74"/>
      <c r="AF4936" s="77"/>
      <c r="AH4936" s="497">
        <v>69.800000000000011</v>
      </c>
      <c r="AJ4936" s="42"/>
      <c r="AK4936" s="74"/>
      <c r="AL4936" s="77"/>
      <c r="AN4936" s="497">
        <v>64.94</v>
      </c>
      <c r="AP4936" s="42"/>
      <c r="AQ4936" s="74"/>
      <c r="AR4936" s="77"/>
      <c r="AT4936" s="497">
        <v>75.02</v>
      </c>
      <c r="AV4936" s="42"/>
      <c r="AW4936" s="74"/>
      <c r="AX4936" s="77"/>
      <c r="BA4936" s="497">
        <v>62.96</v>
      </c>
      <c r="BB4936" s="42"/>
      <c r="BC4936" s="74"/>
      <c r="BD4936" s="77"/>
      <c r="BF4936">
        <v>69.080000000000013</v>
      </c>
      <c r="BH4936" s="42"/>
      <c r="BI4936" s="74"/>
      <c r="BJ4936" s="77"/>
      <c r="BL4936" s="497">
        <v>77</v>
      </c>
      <c r="BN4936" s="42"/>
      <c r="BO4936" s="74"/>
      <c r="BP4936" s="77"/>
      <c r="BR4936" s="497">
        <v>64.94</v>
      </c>
      <c r="BT4936" s="42"/>
    </row>
    <row r="4937" spans="1:72" x14ac:dyDescent="0.25">
      <c r="A4937" s="90">
        <v>34539</v>
      </c>
      <c r="B4937" s="20">
        <v>0.95833333333333337</v>
      </c>
      <c r="D4937">
        <v>80.06</v>
      </c>
      <c r="E4937" t="str">
        <f t="shared" si="188"/>
        <v>SUNDAY</v>
      </c>
      <c r="F4937" t="e">
        <f t="shared" si="189"/>
        <v>#N/A</v>
      </c>
      <c r="G4937" s="74">
        <v>31982</v>
      </c>
      <c r="H4937" s="77">
        <v>0.95833333333333337</v>
      </c>
      <c r="J4937">
        <v>82.039999999999992</v>
      </c>
      <c r="M4937" s="74">
        <v>33443</v>
      </c>
      <c r="N4937" s="77">
        <v>0.95833333333333337</v>
      </c>
      <c r="P4937">
        <v>66.02</v>
      </c>
      <c r="S4937" s="74">
        <v>34539</v>
      </c>
      <c r="T4937" s="77">
        <v>0.95833333333333337</v>
      </c>
      <c r="V4937">
        <v>75.02</v>
      </c>
      <c r="X4937" s="42"/>
      <c r="AB4937">
        <v>74.7</v>
      </c>
      <c r="AC4937">
        <v>73.94</v>
      </c>
      <c r="AE4937" s="74"/>
      <c r="AF4937" s="77"/>
      <c r="AH4937" s="497">
        <v>68</v>
      </c>
      <c r="AJ4937" s="42"/>
      <c r="AK4937" s="74"/>
      <c r="AL4937" s="77"/>
      <c r="AN4937" s="497">
        <v>64.039999999999992</v>
      </c>
      <c r="AP4937" s="42"/>
      <c r="AQ4937" s="74"/>
      <c r="AR4937" s="77"/>
      <c r="AT4937" s="497">
        <v>74.300000000000011</v>
      </c>
      <c r="AV4937" s="42"/>
      <c r="AW4937" s="74"/>
      <c r="AX4937" s="77"/>
      <c r="BA4937" s="497">
        <v>62.06</v>
      </c>
      <c r="BB4937" s="42"/>
      <c r="BC4937" s="74"/>
      <c r="BD4937" s="77"/>
      <c r="BF4937">
        <v>66.02</v>
      </c>
      <c r="BH4937" s="42"/>
      <c r="BI4937" s="74"/>
      <c r="BJ4937" s="77"/>
      <c r="BL4937" s="497">
        <v>77</v>
      </c>
      <c r="BN4937" s="42"/>
      <c r="BO4937" s="74"/>
      <c r="BP4937" s="77"/>
      <c r="BR4937" s="497">
        <v>64.94</v>
      </c>
      <c r="BT4937" s="42"/>
    </row>
    <row r="4938" spans="1:72" x14ac:dyDescent="0.25">
      <c r="A4938" s="90">
        <v>34539</v>
      </c>
      <c r="B4938" s="20">
        <v>1</v>
      </c>
      <c r="D4938">
        <v>78.98</v>
      </c>
      <c r="E4938" t="str">
        <f t="shared" si="188"/>
        <v>SUNDAY</v>
      </c>
      <c r="F4938" t="e">
        <f t="shared" si="189"/>
        <v>#N/A</v>
      </c>
      <c r="G4938" s="74">
        <v>31982</v>
      </c>
      <c r="H4938" s="77">
        <v>1</v>
      </c>
      <c r="J4938">
        <v>80.960000000000008</v>
      </c>
      <c r="M4938" s="74">
        <v>33443</v>
      </c>
      <c r="N4938" s="80">
        <v>1</v>
      </c>
      <c r="P4938">
        <v>64.039999999999992</v>
      </c>
      <c r="S4938" s="74">
        <v>34539</v>
      </c>
      <c r="T4938" s="80">
        <v>1</v>
      </c>
      <c r="V4938">
        <v>73.94</v>
      </c>
      <c r="X4938" s="42"/>
      <c r="AB4938">
        <v>74.2</v>
      </c>
      <c r="AC4938">
        <v>73.94</v>
      </c>
      <c r="AE4938" s="74"/>
      <c r="AF4938" s="80"/>
      <c r="AH4938" s="497">
        <v>66.2</v>
      </c>
      <c r="AJ4938" s="42"/>
      <c r="AK4938" s="74"/>
      <c r="AL4938" s="80"/>
      <c r="AN4938" s="497">
        <v>62.96</v>
      </c>
      <c r="AP4938" s="42"/>
      <c r="AQ4938" s="74"/>
      <c r="AR4938" s="80"/>
      <c r="AT4938" s="497">
        <v>73.759999999999991</v>
      </c>
      <c r="AV4938" s="42"/>
      <c r="AW4938" s="74"/>
      <c r="AX4938" s="80"/>
      <c r="BA4938" s="497">
        <v>60.980000000000004</v>
      </c>
      <c r="BB4938" s="42"/>
      <c r="BC4938" s="74"/>
      <c r="BD4938" s="80"/>
      <c r="BF4938">
        <v>64.94</v>
      </c>
      <c r="BH4938" s="42"/>
      <c r="BI4938" s="74"/>
      <c r="BJ4938" s="80"/>
      <c r="BL4938" s="497">
        <v>75.92</v>
      </c>
      <c r="BN4938" s="42"/>
      <c r="BO4938" s="74"/>
      <c r="BP4938" s="80"/>
      <c r="BR4938" s="497">
        <v>62.06</v>
      </c>
      <c r="BT4938" s="42"/>
    </row>
    <row r="4939" spans="1:72" x14ac:dyDescent="0.25">
      <c r="A4939" s="90">
        <v>34540</v>
      </c>
      <c r="B4939" s="20">
        <v>4.1666666666666664E-2</v>
      </c>
      <c r="D4939">
        <v>78.98</v>
      </c>
      <c r="E4939" t="str">
        <f t="shared" si="188"/>
        <v>WEEKDAY</v>
      </c>
      <c r="F4939" t="e">
        <f t="shared" si="189"/>
        <v>#N/A</v>
      </c>
      <c r="G4939" s="74">
        <v>31983</v>
      </c>
      <c r="H4939" s="77">
        <v>4.1666666666666664E-2</v>
      </c>
      <c r="J4939">
        <v>80.960000000000008</v>
      </c>
      <c r="M4939" s="74">
        <v>33444</v>
      </c>
      <c r="N4939" s="77">
        <v>4.1666666666666664E-2</v>
      </c>
      <c r="P4939">
        <v>64.039999999999992</v>
      </c>
      <c r="S4939" s="74">
        <v>34540</v>
      </c>
      <c r="T4939" s="77">
        <v>4.1666666666666664E-2</v>
      </c>
      <c r="V4939">
        <v>73.94</v>
      </c>
      <c r="X4939" s="42"/>
      <c r="AB4939">
        <v>73.7</v>
      </c>
      <c r="AC4939">
        <v>73.039999999999992</v>
      </c>
      <c r="AE4939" s="74"/>
      <c r="AF4939" s="77"/>
      <c r="AH4939" s="497">
        <v>68</v>
      </c>
      <c r="AJ4939" s="42"/>
      <c r="AK4939" s="74"/>
      <c r="AL4939" s="77"/>
      <c r="AN4939" s="497">
        <v>62.06</v>
      </c>
      <c r="AP4939" s="42"/>
      <c r="AQ4939" s="74"/>
      <c r="AR4939" s="77"/>
      <c r="AT4939" s="497">
        <v>73.039999999999992</v>
      </c>
      <c r="AV4939" s="42"/>
      <c r="AW4939" s="74"/>
      <c r="AX4939" s="77"/>
      <c r="BA4939" s="497">
        <v>60.08</v>
      </c>
      <c r="BB4939" s="42"/>
      <c r="BC4939" s="74"/>
      <c r="BD4939" s="77"/>
      <c r="BF4939">
        <v>62.96</v>
      </c>
      <c r="BH4939" s="42"/>
      <c r="BI4939" s="74"/>
      <c r="BJ4939" s="77"/>
      <c r="BL4939" s="497">
        <v>77</v>
      </c>
      <c r="BN4939" s="42"/>
      <c r="BO4939" s="74"/>
      <c r="BP4939" s="77"/>
      <c r="BR4939" s="497">
        <v>60.980000000000004</v>
      </c>
      <c r="BT4939" s="42"/>
    </row>
    <row r="4940" spans="1:72" x14ac:dyDescent="0.25">
      <c r="A4940" s="90">
        <v>34540</v>
      </c>
      <c r="B4940" s="20">
        <v>8.3333333333333329E-2</v>
      </c>
      <c r="D4940">
        <v>78.98</v>
      </c>
      <c r="E4940" t="str">
        <f t="shared" si="188"/>
        <v>WEEKDAY</v>
      </c>
      <c r="F4940" t="e">
        <f t="shared" si="189"/>
        <v>#N/A</v>
      </c>
      <c r="G4940" s="74">
        <v>31983</v>
      </c>
      <c r="H4940" s="77">
        <v>8.3333333333333329E-2</v>
      </c>
      <c r="J4940">
        <v>80.06</v>
      </c>
      <c r="M4940" s="74">
        <v>33444</v>
      </c>
      <c r="N4940" s="77">
        <v>8.3333333333333329E-2</v>
      </c>
      <c r="P4940">
        <v>64.039999999999992</v>
      </c>
      <c r="S4940" s="74">
        <v>34540</v>
      </c>
      <c r="T4940" s="77">
        <v>8.3333333333333329E-2</v>
      </c>
      <c r="V4940">
        <v>75.02</v>
      </c>
      <c r="X4940" s="42"/>
      <c r="AB4940">
        <v>73.2</v>
      </c>
      <c r="AC4940">
        <v>71.960000000000008</v>
      </c>
      <c r="AE4940" s="74"/>
      <c r="AF4940" s="77"/>
      <c r="AH4940" s="497">
        <v>68</v>
      </c>
      <c r="AJ4940" s="42"/>
      <c r="AK4940" s="74"/>
      <c r="AL4940" s="77"/>
      <c r="AN4940" s="497">
        <v>60.08</v>
      </c>
      <c r="AP4940" s="42"/>
      <c r="AQ4940" s="74"/>
      <c r="AR4940" s="77"/>
      <c r="AT4940" s="497">
        <v>72.319999999999993</v>
      </c>
      <c r="AV4940" s="42"/>
      <c r="AW4940" s="74"/>
      <c r="AX4940" s="77"/>
      <c r="BA4940" s="497">
        <v>59</v>
      </c>
      <c r="BB4940" s="42"/>
      <c r="BC4940" s="74"/>
      <c r="BD4940" s="77"/>
      <c r="BF4940">
        <v>60.980000000000004</v>
      </c>
      <c r="BH4940" s="42"/>
      <c r="BI4940" s="74"/>
      <c r="BJ4940" s="77"/>
      <c r="BL4940" s="497">
        <v>75.92</v>
      </c>
      <c r="BN4940" s="42"/>
      <c r="BO4940" s="74"/>
      <c r="BP4940" s="77"/>
      <c r="BR4940" s="497">
        <v>59</v>
      </c>
      <c r="BT4940" s="42"/>
    </row>
    <row r="4941" spans="1:72" x14ac:dyDescent="0.25">
      <c r="A4941" s="90">
        <v>34540</v>
      </c>
      <c r="B4941" s="20">
        <v>0.125</v>
      </c>
      <c r="D4941">
        <v>77</v>
      </c>
      <c r="E4941" t="str">
        <f t="shared" si="188"/>
        <v>WEEKDAY</v>
      </c>
      <c r="F4941" t="e">
        <f t="shared" si="189"/>
        <v>#N/A</v>
      </c>
      <c r="G4941" s="74">
        <v>31983</v>
      </c>
      <c r="H4941" s="77">
        <v>0.125</v>
      </c>
      <c r="J4941">
        <v>80.06</v>
      </c>
      <c r="M4941" s="74">
        <v>33444</v>
      </c>
      <c r="N4941" s="77">
        <v>0.125</v>
      </c>
      <c r="P4941">
        <v>64.039999999999992</v>
      </c>
      <c r="S4941" s="74">
        <v>34540</v>
      </c>
      <c r="T4941" s="77">
        <v>0.125</v>
      </c>
      <c r="V4941">
        <v>75.02</v>
      </c>
      <c r="X4941" s="42"/>
      <c r="AB4941">
        <v>72.599999999999994</v>
      </c>
      <c r="AC4941">
        <v>71.960000000000008</v>
      </c>
      <c r="AE4941" s="74"/>
      <c r="AF4941" s="77"/>
      <c r="AH4941" s="497">
        <v>68</v>
      </c>
      <c r="AJ4941" s="42"/>
      <c r="AK4941" s="74"/>
      <c r="AL4941" s="77"/>
      <c r="AN4941" s="497">
        <v>60.08</v>
      </c>
      <c r="AP4941" s="42"/>
      <c r="AQ4941" s="74"/>
      <c r="AR4941" s="77"/>
      <c r="AT4941" s="497">
        <v>71.78</v>
      </c>
      <c r="AV4941" s="42"/>
      <c r="AW4941" s="74"/>
      <c r="AX4941" s="77"/>
      <c r="BA4941" s="497">
        <v>59</v>
      </c>
      <c r="BB4941" s="42"/>
      <c r="BC4941" s="74"/>
      <c r="BD4941" s="77"/>
      <c r="BF4941">
        <v>60.08</v>
      </c>
      <c r="BH4941" s="42"/>
      <c r="BI4941" s="74"/>
      <c r="BJ4941" s="77"/>
      <c r="BL4941" s="497">
        <v>75.92</v>
      </c>
      <c r="BN4941" s="42"/>
      <c r="BO4941" s="74"/>
      <c r="BP4941" s="77"/>
      <c r="BR4941" s="497">
        <v>59</v>
      </c>
      <c r="BT4941" s="42"/>
    </row>
    <row r="4942" spans="1:72" x14ac:dyDescent="0.25">
      <c r="A4942" s="90">
        <v>34540</v>
      </c>
      <c r="B4942" s="20">
        <v>0.16666666666666666</v>
      </c>
      <c r="D4942">
        <v>77</v>
      </c>
      <c r="E4942" t="str">
        <f t="shared" si="188"/>
        <v>WEEKDAY</v>
      </c>
      <c r="F4942" t="e">
        <f t="shared" si="189"/>
        <v>#N/A</v>
      </c>
      <c r="G4942" s="74">
        <v>31983</v>
      </c>
      <c r="H4942" s="77">
        <v>0.16666666666666666</v>
      </c>
      <c r="J4942">
        <v>78.98</v>
      </c>
      <c r="M4942" s="74">
        <v>33444</v>
      </c>
      <c r="N4942" s="77">
        <v>0.16666666666666666</v>
      </c>
      <c r="P4942">
        <v>64.94</v>
      </c>
      <c r="S4942" s="74">
        <v>34540</v>
      </c>
      <c r="T4942" s="77">
        <v>0.16666666666666666</v>
      </c>
      <c r="V4942">
        <v>73.94</v>
      </c>
      <c r="X4942" s="42"/>
      <c r="AB4942">
        <v>72.099999999999994</v>
      </c>
      <c r="AC4942">
        <v>71.960000000000008</v>
      </c>
      <c r="AE4942" s="74"/>
      <c r="AF4942" s="77"/>
      <c r="AH4942" s="497">
        <v>68</v>
      </c>
      <c r="AJ4942" s="42"/>
      <c r="AK4942" s="74"/>
      <c r="AL4942" s="77"/>
      <c r="AN4942" s="497">
        <v>59</v>
      </c>
      <c r="AP4942" s="42"/>
      <c r="AQ4942" s="74"/>
      <c r="AR4942" s="77"/>
      <c r="AT4942" s="497">
        <v>71.06</v>
      </c>
      <c r="AV4942" s="42"/>
      <c r="AW4942" s="74"/>
      <c r="AX4942" s="77"/>
      <c r="BA4942" s="497">
        <v>59</v>
      </c>
      <c r="BB4942" s="42"/>
      <c r="BC4942" s="74"/>
      <c r="BD4942" s="77"/>
      <c r="BF4942">
        <v>59</v>
      </c>
      <c r="BH4942" s="42"/>
      <c r="BI4942" s="74"/>
      <c r="BJ4942" s="77"/>
      <c r="BL4942" s="497">
        <v>75.92</v>
      </c>
      <c r="BN4942" s="42"/>
      <c r="BO4942" s="74"/>
      <c r="BP4942" s="77"/>
      <c r="BR4942" s="497">
        <v>57.92</v>
      </c>
      <c r="BT4942" s="42"/>
    </row>
    <row r="4943" spans="1:72" x14ac:dyDescent="0.25">
      <c r="A4943" s="90">
        <v>34540</v>
      </c>
      <c r="B4943" s="20">
        <v>0.20833333333333334</v>
      </c>
      <c r="D4943">
        <v>77</v>
      </c>
      <c r="E4943" t="str">
        <f t="shared" si="188"/>
        <v>WEEKDAY</v>
      </c>
      <c r="F4943" t="e">
        <f t="shared" si="189"/>
        <v>#N/A</v>
      </c>
      <c r="G4943" s="74">
        <v>31983</v>
      </c>
      <c r="H4943" s="77">
        <v>0.20833333333333334</v>
      </c>
      <c r="J4943">
        <v>78.98</v>
      </c>
      <c r="M4943" s="74">
        <v>33444</v>
      </c>
      <c r="N4943" s="77">
        <v>0.20833333333333334</v>
      </c>
      <c r="P4943">
        <v>64.039999999999992</v>
      </c>
      <c r="S4943" s="74">
        <v>34540</v>
      </c>
      <c r="T4943" s="77">
        <v>0.20833333333333334</v>
      </c>
      <c r="V4943">
        <v>75.02</v>
      </c>
      <c r="X4943" s="42"/>
      <c r="AB4943">
        <v>71.7</v>
      </c>
      <c r="AC4943">
        <v>71.960000000000008</v>
      </c>
      <c r="AE4943" s="74"/>
      <c r="AF4943" s="77"/>
      <c r="AH4943" s="497">
        <v>68</v>
      </c>
      <c r="AJ4943" s="42"/>
      <c r="AK4943" s="74"/>
      <c r="AL4943" s="77"/>
      <c r="AN4943" s="497">
        <v>57.92</v>
      </c>
      <c r="AP4943" s="42"/>
      <c r="AQ4943" s="74"/>
      <c r="AR4943" s="77"/>
      <c r="AT4943" s="497">
        <v>69.080000000000013</v>
      </c>
      <c r="AV4943" s="42"/>
      <c r="AW4943" s="74"/>
      <c r="AX4943" s="77"/>
      <c r="BA4943" s="497">
        <v>57.92</v>
      </c>
      <c r="BB4943" s="42"/>
      <c r="BC4943" s="74"/>
      <c r="BD4943" s="77"/>
      <c r="BF4943">
        <v>59</v>
      </c>
      <c r="BH4943" s="42"/>
      <c r="BI4943" s="74"/>
      <c r="BJ4943" s="77"/>
      <c r="BL4943" s="497">
        <v>75.92</v>
      </c>
      <c r="BN4943" s="42"/>
      <c r="BO4943" s="74"/>
      <c r="BP4943" s="77"/>
      <c r="BR4943" s="497">
        <v>57.019999999999996</v>
      </c>
      <c r="BT4943" s="42"/>
    </row>
    <row r="4944" spans="1:72" x14ac:dyDescent="0.25">
      <c r="A4944" s="90">
        <v>34540</v>
      </c>
      <c r="B4944" s="20">
        <v>0.25</v>
      </c>
      <c r="D4944">
        <v>78.080000000000013</v>
      </c>
      <c r="E4944" t="str">
        <f t="shared" si="188"/>
        <v>WEEKDAY</v>
      </c>
      <c r="F4944" t="e">
        <f t="shared" si="189"/>
        <v>#N/A</v>
      </c>
      <c r="G4944" s="74">
        <v>31983</v>
      </c>
      <c r="H4944" s="77">
        <v>0.25</v>
      </c>
      <c r="J4944">
        <v>80.06</v>
      </c>
      <c r="M4944" s="74">
        <v>33444</v>
      </c>
      <c r="N4944" s="77">
        <v>0.25</v>
      </c>
      <c r="P4944">
        <v>66.02</v>
      </c>
      <c r="S4944" s="74">
        <v>34540</v>
      </c>
      <c r="T4944" s="77">
        <v>0.25</v>
      </c>
      <c r="V4944">
        <v>75.02</v>
      </c>
      <c r="X4944" s="42"/>
      <c r="AB4944">
        <v>71.3</v>
      </c>
      <c r="AC4944">
        <v>73.039999999999992</v>
      </c>
      <c r="AE4944" s="74"/>
      <c r="AF4944" s="77"/>
      <c r="AH4944" s="497">
        <v>69.800000000000011</v>
      </c>
      <c r="AJ4944" s="42"/>
      <c r="AK4944" s="74"/>
      <c r="AL4944" s="77"/>
      <c r="AN4944" s="497">
        <v>60.08</v>
      </c>
      <c r="AP4944" s="42"/>
      <c r="AQ4944" s="74"/>
      <c r="AR4944" s="77"/>
      <c r="AT4944" s="497">
        <v>66.92</v>
      </c>
      <c r="AV4944" s="42"/>
      <c r="AW4944" s="74"/>
      <c r="AX4944" s="77"/>
      <c r="BA4944" s="497">
        <v>60.980000000000004</v>
      </c>
      <c r="BB4944" s="42"/>
      <c r="BC4944" s="74"/>
      <c r="BD4944" s="77"/>
      <c r="BF4944">
        <v>60.980000000000004</v>
      </c>
      <c r="BH4944" s="42"/>
      <c r="BI4944" s="74"/>
      <c r="BJ4944" s="77"/>
      <c r="BL4944" s="497">
        <v>78.080000000000013</v>
      </c>
      <c r="BN4944" s="42"/>
      <c r="BO4944" s="74"/>
      <c r="BP4944" s="77"/>
      <c r="BR4944" s="497">
        <v>60.08</v>
      </c>
      <c r="BT4944" s="42"/>
    </row>
    <row r="4945" spans="1:72" x14ac:dyDescent="0.25">
      <c r="A4945" s="90">
        <v>34540</v>
      </c>
      <c r="B4945" s="20">
        <v>0.29166666666666669</v>
      </c>
      <c r="D4945">
        <v>80.06</v>
      </c>
      <c r="E4945" t="str">
        <f t="shared" si="188"/>
        <v>WEEKDAY</v>
      </c>
      <c r="F4945" t="e">
        <f t="shared" si="189"/>
        <v>#N/A</v>
      </c>
      <c r="G4945" s="74">
        <v>31983</v>
      </c>
      <c r="H4945" s="77">
        <v>0.29166666666666669</v>
      </c>
      <c r="J4945">
        <v>80.960000000000008</v>
      </c>
      <c r="M4945" s="74">
        <v>33444</v>
      </c>
      <c r="N4945" s="77">
        <v>0.29166666666666669</v>
      </c>
      <c r="P4945">
        <v>66.02</v>
      </c>
      <c r="S4945" s="74">
        <v>34540</v>
      </c>
      <c r="T4945" s="77">
        <v>0.29166666666666669</v>
      </c>
      <c r="V4945">
        <v>77</v>
      </c>
      <c r="X4945" s="42"/>
      <c r="AB4945">
        <v>72.400000000000006</v>
      </c>
      <c r="AC4945">
        <v>75.92</v>
      </c>
      <c r="AE4945" s="74"/>
      <c r="AF4945" s="77"/>
      <c r="AH4945" s="497">
        <v>69.800000000000011</v>
      </c>
      <c r="AJ4945" s="42"/>
      <c r="AK4945" s="74"/>
      <c r="AL4945" s="77"/>
      <c r="AN4945" s="497">
        <v>62.06</v>
      </c>
      <c r="AP4945" s="42"/>
      <c r="AQ4945" s="74"/>
      <c r="AR4945" s="77"/>
      <c r="AT4945" s="497">
        <v>64.94</v>
      </c>
      <c r="AV4945" s="42"/>
      <c r="AW4945" s="74"/>
      <c r="AX4945" s="77"/>
      <c r="BA4945" s="497">
        <v>66.02</v>
      </c>
      <c r="BB4945" s="42"/>
      <c r="BC4945" s="74"/>
      <c r="BD4945" s="77"/>
      <c r="BF4945">
        <v>62.06</v>
      </c>
      <c r="BH4945" s="42"/>
      <c r="BI4945" s="74"/>
      <c r="BJ4945" s="77"/>
      <c r="BL4945" s="497">
        <v>78.98</v>
      </c>
      <c r="BN4945" s="42"/>
      <c r="BO4945" s="74"/>
      <c r="BP4945" s="77"/>
      <c r="BR4945" s="497">
        <v>64.94</v>
      </c>
      <c r="BT4945" s="42"/>
    </row>
    <row r="4946" spans="1:72" x14ac:dyDescent="0.25">
      <c r="A4946" s="90">
        <v>34540</v>
      </c>
      <c r="B4946" s="20">
        <v>0.33333333333333331</v>
      </c>
      <c r="D4946">
        <v>82.94</v>
      </c>
      <c r="E4946" t="str">
        <f t="shared" si="188"/>
        <v>WEEKDAY</v>
      </c>
      <c r="F4946" t="e">
        <f t="shared" si="189"/>
        <v>#N/A</v>
      </c>
      <c r="G4946" s="74">
        <v>31983</v>
      </c>
      <c r="H4946" s="77">
        <v>0.33333333333333331</v>
      </c>
      <c r="J4946">
        <v>82.94</v>
      </c>
      <c r="M4946" s="74">
        <v>33444</v>
      </c>
      <c r="N4946" s="77">
        <v>0.33333333333333331</v>
      </c>
      <c r="P4946">
        <v>64.94</v>
      </c>
      <c r="S4946" s="74">
        <v>34540</v>
      </c>
      <c r="T4946" s="77">
        <v>0.33333333333333331</v>
      </c>
      <c r="V4946">
        <v>80.960000000000008</v>
      </c>
      <c r="X4946" s="42"/>
      <c r="AB4946">
        <v>74.400000000000006</v>
      </c>
      <c r="AC4946">
        <v>78.080000000000013</v>
      </c>
      <c r="AE4946" s="74"/>
      <c r="AF4946" s="77"/>
      <c r="AH4946" s="497">
        <v>69.800000000000011</v>
      </c>
      <c r="AJ4946" s="42"/>
      <c r="AK4946" s="74"/>
      <c r="AL4946" s="77"/>
      <c r="AN4946" s="497">
        <v>66.92</v>
      </c>
      <c r="AP4946" s="42"/>
      <c r="AQ4946" s="74"/>
      <c r="AR4946" s="77"/>
      <c r="AT4946" s="497">
        <v>65.300000000000011</v>
      </c>
      <c r="AV4946" s="42"/>
      <c r="AW4946" s="74"/>
      <c r="AX4946" s="77"/>
      <c r="BA4946" s="497">
        <v>71.06</v>
      </c>
      <c r="BB4946" s="42"/>
      <c r="BC4946" s="74"/>
      <c r="BD4946" s="77"/>
      <c r="BF4946">
        <v>69.080000000000013</v>
      </c>
      <c r="BH4946" s="42"/>
      <c r="BI4946" s="74"/>
      <c r="BJ4946" s="77"/>
      <c r="BL4946" s="497">
        <v>78.080000000000013</v>
      </c>
      <c r="BN4946" s="42"/>
      <c r="BO4946" s="74"/>
      <c r="BP4946" s="77"/>
      <c r="BR4946" s="497">
        <v>69.98</v>
      </c>
      <c r="BT4946" s="42"/>
    </row>
    <row r="4947" spans="1:72" x14ac:dyDescent="0.25">
      <c r="A4947" s="90">
        <v>34540</v>
      </c>
      <c r="B4947" s="20">
        <v>0.375</v>
      </c>
      <c r="D4947">
        <v>84.92</v>
      </c>
      <c r="E4947" t="str">
        <f t="shared" ref="E4947:E5010" si="190">IF(COUNTIF($DI$18:$DI$22, WEEKDAY(A4947))=1, "WEEKDAY", IF(WEEKDAY(A4947) = 1, "SUNDAY", "SATURDAY"))</f>
        <v>WEEKDAY</v>
      </c>
      <c r="F4947" t="e">
        <f t="shared" si="189"/>
        <v>#N/A</v>
      </c>
      <c r="G4947" s="74">
        <v>31983</v>
      </c>
      <c r="H4947" s="77">
        <v>0.375</v>
      </c>
      <c r="J4947">
        <v>86</v>
      </c>
      <c r="M4947" s="74">
        <v>33444</v>
      </c>
      <c r="N4947" s="77">
        <v>0.375</v>
      </c>
      <c r="P4947">
        <v>64.94</v>
      </c>
      <c r="S4947" s="74">
        <v>34540</v>
      </c>
      <c r="T4947" s="77">
        <v>0.375</v>
      </c>
      <c r="V4947">
        <v>82.94</v>
      </c>
      <c r="X4947" s="42"/>
      <c r="AB4947">
        <v>76.3</v>
      </c>
      <c r="AC4947">
        <v>82.039999999999992</v>
      </c>
      <c r="AE4947" s="74"/>
      <c r="AF4947" s="77"/>
      <c r="AH4947" s="497">
        <v>71.599999999999994</v>
      </c>
      <c r="AJ4947" s="42"/>
      <c r="AK4947" s="74"/>
      <c r="AL4947" s="77"/>
      <c r="AN4947" s="497">
        <v>69.98</v>
      </c>
      <c r="AP4947" s="42"/>
      <c r="AQ4947" s="74"/>
      <c r="AR4947" s="77"/>
      <c r="AT4947" s="497">
        <v>65.66</v>
      </c>
      <c r="AV4947" s="42"/>
      <c r="AW4947" s="74"/>
      <c r="AX4947" s="77"/>
      <c r="BA4947" s="497">
        <v>73.94</v>
      </c>
      <c r="BB4947" s="42"/>
      <c r="BC4947" s="74"/>
      <c r="BD4947" s="77"/>
      <c r="BF4947">
        <v>71.960000000000008</v>
      </c>
      <c r="BH4947" s="42"/>
      <c r="BI4947" s="74"/>
      <c r="BJ4947" s="77"/>
      <c r="BL4947" s="497">
        <v>77</v>
      </c>
      <c r="BN4947" s="42"/>
      <c r="BO4947" s="74"/>
      <c r="BP4947" s="77"/>
      <c r="BR4947" s="497">
        <v>73.039999999999992</v>
      </c>
      <c r="BT4947" s="42"/>
    </row>
    <row r="4948" spans="1:72" x14ac:dyDescent="0.25">
      <c r="A4948" s="90">
        <v>34540</v>
      </c>
      <c r="B4948" s="20">
        <v>0.41666666666666669</v>
      </c>
      <c r="D4948">
        <v>87.98</v>
      </c>
      <c r="E4948" t="str">
        <f t="shared" si="190"/>
        <v>WEEKDAY</v>
      </c>
      <c r="F4948" t="e">
        <f t="shared" si="189"/>
        <v>#N/A</v>
      </c>
      <c r="G4948" s="74">
        <v>31983</v>
      </c>
      <c r="H4948" s="77">
        <v>0.41666666666666669</v>
      </c>
      <c r="J4948">
        <v>89.06</v>
      </c>
      <c r="M4948" s="74">
        <v>33444</v>
      </c>
      <c r="N4948" s="77">
        <v>0.41666666666666669</v>
      </c>
      <c r="P4948">
        <v>66.02</v>
      </c>
      <c r="S4948" s="74">
        <v>34540</v>
      </c>
      <c r="T4948" s="77">
        <v>0.41666666666666669</v>
      </c>
      <c r="V4948">
        <v>84.92</v>
      </c>
      <c r="X4948" s="42"/>
      <c r="AB4948">
        <v>78.099999999999994</v>
      </c>
      <c r="AC4948">
        <v>84.92</v>
      </c>
      <c r="AE4948" s="74"/>
      <c r="AF4948" s="77"/>
      <c r="AH4948" s="497">
        <v>71.599999999999994</v>
      </c>
      <c r="AJ4948" s="42"/>
      <c r="AK4948" s="74"/>
      <c r="AL4948" s="77"/>
      <c r="AN4948" s="497">
        <v>69.98</v>
      </c>
      <c r="AP4948" s="42"/>
      <c r="AQ4948" s="74"/>
      <c r="AR4948" s="77"/>
      <c r="AT4948" s="497">
        <v>66.02</v>
      </c>
      <c r="AV4948" s="42"/>
      <c r="AW4948" s="74"/>
      <c r="AX4948" s="77"/>
      <c r="BA4948" s="497">
        <v>77</v>
      </c>
      <c r="BB4948" s="42"/>
      <c r="BC4948" s="74"/>
      <c r="BD4948" s="77"/>
      <c r="BF4948">
        <v>75.02</v>
      </c>
      <c r="BH4948" s="42"/>
      <c r="BI4948" s="74"/>
      <c r="BJ4948" s="77"/>
      <c r="BL4948" s="497">
        <v>78.98</v>
      </c>
      <c r="BN4948" s="42"/>
      <c r="BO4948" s="74"/>
      <c r="BP4948" s="77"/>
      <c r="BR4948" s="497">
        <v>75.02</v>
      </c>
      <c r="BT4948" s="42"/>
    </row>
    <row r="4949" spans="1:72" x14ac:dyDescent="0.25">
      <c r="A4949" s="90">
        <v>34540</v>
      </c>
      <c r="B4949" s="20">
        <v>0.45833333333333331</v>
      </c>
      <c r="D4949">
        <v>89.960000000000008</v>
      </c>
      <c r="E4949" t="str">
        <f t="shared" si="190"/>
        <v>WEEKDAY</v>
      </c>
      <c r="F4949" t="e">
        <f t="shared" si="189"/>
        <v>#N/A</v>
      </c>
      <c r="G4949" s="74">
        <v>31983</v>
      </c>
      <c r="H4949" s="77">
        <v>0.45833333333333331</v>
      </c>
      <c r="J4949">
        <v>91.039999999999992</v>
      </c>
      <c r="M4949" s="74">
        <v>33444</v>
      </c>
      <c r="N4949" s="77">
        <v>0.45833333333333331</v>
      </c>
      <c r="P4949">
        <v>66.92</v>
      </c>
      <c r="S4949" s="74">
        <v>34540</v>
      </c>
      <c r="T4949" s="77">
        <v>0.45833333333333331</v>
      </c>
      <c r="V4949">
        <v>87.080000000000013</v>
      </c>
      <c r="X4949" s="42"/>
      <c r="AB4949">
        <v>79.5</v>
      </c>
      <c r="AC4949">
        <v>86</v>
      </c>
      <c r="AE4949" s="74"/>
      <c r="AF4949" s="77"/>
      <c r="AH4949" s="497">
        <v>71.599999999999994</v>
      </c>
      <c r="AJ4949" s="42"/>
      <c r="AK4949" s="74"/>
      <c r="AL4949" s="77"/>
      <c r="AN4949" s="497">
        <v>69.080000000000013</v>
      </c>
      <c r="AP4949" s="42"/>
      <c r="AQ4949" s="74"/>
      <c r="AR4949" s="77"/>
      <c r="AT4949" s="497">
        <v>67.28</v>
      </c>
      <c r="AV4949" s="42"/>
      <c r="AW4949" s="74"/>
      <c r="AX4949" s="77"/>
      <c r="BA4949" s="497">
        <v>78.98</v>
      </c>
      <c r="BB4949" s="42"/>
      <c r="BC4949" s="74"/>
      <c r="BD4949" s="77"/>
      <c r="BF4949">
        <v>77</v>
      </c>
      <c r="BH4949" s="42"/>
      <c r="BI4949" s="74"/>
      <c r="BJ4949" s="77"/>
      <c r="BL4949" s="497">
        <v>80.960000000000008</v>
      </c>
      <c r="BN4949" s="42"/>
      <c r="BO4949" s="74"/>
      <c r="BP4949" s="77"/>
      <c r="BR4949" s="497">
        <v>75.92</v>
      </c>
      <c r="BT4949" s="42"/>
    </row>
    <row r="4950" spans="1:72" x14ac:dyDescent="0.25">
      <c r="A4950" s="90">
        <v>34540</v>
      </c>
      <c r="B4950" s="20">
        <v>0.5</v>
      </c>
      <c r="D4950">
        <v>91.039999999999992</v>
      </c>
      <c r="E4950" t="str">
        <f t="shared" si="190"/>
        <v>WEEKDAY</v>
      </c>
      <c r="F4950" t="e">
        <f t="shared" si="189"/>
        <v>#N/A</v>
      </c>
      <c r="G4950" s="74">
        <v>31983</v>
      </c>
      <c r="H4950" s="77">
        <v>0.5</v>
      </c>
      <c r="J4950">
        <v>91.039999999999992</v>
      </c>
      <c r="M4950" s="74">
        <v>33444</v>
      </c>
      <c r="N4950" s="77">
        <v>0.5</v>
      </c>
      <c r="P4950">
        <v>68</v>
      </c>
      <c r="S4950" s="74">
        <v>34540</v>
      </c>
      <c r="T4950" s="77">
        <v>0.5</v>
      </c>
      <c r="V4950">
        <v>87.080000000000013</v>
      </c>
      <c r="X4950" s="42"/>
      <c r="AB4950">
        <v>80.599999999999994</v>
      </c>
      <c r="AC4950">
        <v>86</v>
      </c>
      <c r="AE4950" s="74"/>
      <c r="AF4950" s="77"/>
      <c r="AH4950" s="497">
        <v>75.2</v>
      </c>
      <c r="AJ4950" s="42"/>
      <c r="AK4950" s="74"/>
      <c r="AL4950" s="77"/>
      <c r="AN4950" s="497">
        <v>69.98</v>
      </c>
      <c r="AP4950" s="42"/>
      <c r="AQ4950" s="74"/>
      <c r="AR4950" s="77"/>
      <c r="AT4950" s="497">
        <v>68.72</v>
      </c>
      <c r="AV4950" s="42"/>
      <c r="AW4950" s="74"/>
      <c r="AX4950" s="77"/>
      <c r="BA4950" s="497">
        <v>80.06</v>
      </c>
      <c r="BB4950" s="42"/>
      <c r="BC4950" s="74"/>
      <c r="BD4950" s="77"/>
      <c r="BF4950">
        <v>80.06</v>
      </c>
      <c r="BH4950" s="42"/>
      <c r="BI4950" s="74"/>
      <c r="BJ4950" s="77"/>
      <c r="BL4950" s="497">
        <v>84.02</v>
      </c>
      <c r="BN4950" s="42"/>
      <c r="BO4950" s="74"/>
      <c r="BP4950" s="77"/>
      <c r="BR4950" s="497">
        <v>78.98</v>
      </c>
      <c r="BT4950" s="42"/>
    </row>
    <row r="4951" spans="1:72" x14ac:dyDescent="0.25">
      <c r="A4951" s="90">
        <v>34540</v>
      </c>
      <c r="B4951" s="20">
        <v>0.54166666666666663</v>
      </c>
      <c r="D4951">
        <v>89.960000000000008</v>
      </c>
      <c r="E4951" t="str">
        <f t="shared" si="190"/>
        <v>WEEKDAY</v>
      </c>
      <c r="F4951" t="e">
        <f t="shared" si="189"/>
        <v>#N/A</v>
      </c>
      <c r="G4951" s="74">
        <v>31983</v>
      </c>
      <c r="H4951" s="77">
        <v>0.54166666666666663</v>
      </c>
      <c r="J4951">
        <v>89.960000000000008</v>
      </c>
      <c r="M4951" s="74">
        <v>33444</v>
      </c>
      <c r="N4951" s="77">
        <v>0.54166666666666663</v>
      </c>
      <c r="P4951">
        <v>69.080000000000013</v>
      </c>
      <c r="S4951" s="74">
        <v>34540</v>
      </c>
      <c r="T4951" s="77">
        <v>0.54166666666666663</v>
      </c>
      <c r="V4951">
        <v>84.02</v>
      </c>
      <c r="X4951" s="42"/>
      <c r="AB4951">
        <v>81.400000000000006</v>
      </c>
      <c r="AC4951">
        <v>84.92</v>
      </c>
      <c r="AE4951" s="74"/>
      <c r="AF4951" s="77"/>
      <c r="AH4951" s="497">
        <v>78.800000000000011</v>
      </c>
      <c r="AJ4951" s="42"/>
      <c r="AK4951" s="74"/>
      <c r="AL4951" s="77"/>
      <c r="AN4951" s="497">
        <v>69.98</v>
      </c>
      <c r="AP4951" s="42"/>
      <c r="AQ4951" s="74"/>
      <c r="AR4951" s="77"/>
      <c r="AT4951" s="497">
        <v>69.98</v>
      </c>
      <c r="AV4951" s="42"/>
      <c r="AW4951" s="74"/>
      <c r="AX4951" s="77"/>
      <c r="BA4951" s="497">
        <v>82.039999999999992</v>
      </c>
      <c r="BB4951" s="42"/>
      <c r="BC4951" s="74"/>
      <c r="BD4951" s="77"/>
      <c r="BF4951">
        <v>80.06</v>
      </c>
      <c r="BH4951" s="42"/>
      <c r="BI4951" s="74"/>
      <c r="BJ4951" s="77"/>
      <c r="BL4951" s="497">
        <v>89.06</v>
      </c>
      <c r="BN4951" s="42"/>
      <c r="BO4951" s="74"/>
      <c r="BP4951" s="77"/>
      <c r="BR4951" s="497">
        <v>86</v>
      </c>
      <c r="BT4951" s="42"/>
    </row>
    <row r="4952" spans="1:72" x14ac:dyDescent="0.25">
      <c r="A4952" s="90">
        <v>34540</v>
      </c>
      <c r="B4952" s="20">
        <v>0.58333333333333337</v>
      </c>
      <c r="D4952">
        <v>89.960000000000008</v>
      </c>
      <c r="E4952" t="str">
        <f t="shared" si="190"/>
        <v>WEEKDAY</v>
      </c>
      <c r="F4952" t="e">
        <f t="shared" si="189"/>
        <v>#N/A</v>
      </c>
      <c r="G4952" s="74">
        <v>31983</v>
      </c>
      <c r="H4952" s="77">
        <v>0.58333333333333337</v>
      </c>
      <c r="J4952">
        <v>91.94</v>
      </c>
      <c r="M4952" s="74">
        <v>33444</v>
      </c>
      <c r="N4952" s="77">
        <v>0.58333333333333337</v>
      </c>
      <c r="P4952">
        <v>70.16</v>
      </c>
      <c r="S4952" s="74">
        <v>34540</v>
      </c>
      <c r="T4952" s="77">
        <v>0.58333333333333337</v>
      </c>
      <c r="V4952">
        <v>82.039999999999992</v>
      </c>
      <c r="X4952" s="42"/>
      <c r="AB4952">
        <v>81.900000000000006</v>
      </c>
      <c r="AC4952">
        <v>84.02</v>
      </c>
      <c r="AE4952" s="74"/>
      <c r="AF4952" s="77"/>
      <c r="AH4952" s="497">
        <v>75.2</v>
      </c>
      <c r="AJ4952" s="42"/>
      <c r="AK4952" s="74"/>
      <c r="AL4952" s="77"/>
      <c r="AN4952" s="497">
        <v>69.98</v>
      </c>
      <c r="AP4952" s="42"/>
      <c r="AQ4952" s="74"/>
      <c r="AR4952" s="77"/>
      <c r="AT4952" s="497">
        <v>70.7</v>
      </c>
      <c r="AV4952" s="42"/>
      <c r="AW4952" s="74"/>
      <c r="AX4952" s="77"/>
      <c r="BA4952" s="497">
        <v>82.039999999999992</v>
      </c>
      <c r="BB4952" s="42"/>
      <c r="BC4952" s="74"/>
      <c r="BD4952" s="77"/>
      <c r="BF4952">
        <v>80.960000000000008</v>
      </c>
      <c r="BH4952" s="42"/>
      <c r="BI4952" s="74"/>
      <c r="BJ4952" s="77"/>
      <c r="BL4952" s="497">
        <v>93.02</v>
      </c>
      <c r="BN4952" s="42"/>
      <c r="BO4952" s="74"/>
      <c r="BP4952" s="77"/>
      <c r="BR4952" s="497">
        <v>82.039999999999992</v>
      </c>
      <c r="BT4952" s="42"/>
    </row>
    <row r="4953" spans="1:72" x14ac:dyDescent="0.25">
      <c r="A4953" s="90">
        <v>34540</v>
      </c>
      <c r="B4953" s="20">
        <v>0.625</v>
      </c>
      <c r="D4953">
        <v>84.02</v>
      </c>
      <c r="E4953" t="str">
        <f t="shared" si="190"/>
        <v>WEEKDAY</v>
      </c>
      <c r="F4953" t="e">
        <f t="shared" si="189"/>
        <v>#N/A</v>
      </c>
      <c r="G4953" s="74">
        <v>31983</v>
      </c>
      <c r="H4953" s="77">
        <v>0.625</v>
      </c>
      <c r="J4953">
        <v>93.02</v>
      </c>
      <c r="M4953" s="74">
        <v>33444</v>
      </c>
      <c r="N4953" s="77">
        <v>0.625</v>
      </c>
      <c r="P4953">
        <v>71.06</v>
      </c>
      <c r="S4953" s="74">
        <v>34540</v>
      </c>
      <c r="T4953" s="77">
        <v>0.625</v>
      </c>
      <c r="V4953">
        <v>75.92</v>
      </c>
      <c r="X4953" s="42"/>
      <c r="AB4953">
        <v>81.8</v>
      </c>
      <c r="AC4953">
        <v>80.960000000000008</v>
      </c>
      <c r="AE4953" s="74"/>
      <c r="AF4953" s="77"/>
      <c r="AH4953" s="497">
        <v>80.599999999999994</v>
      </c>
      <c r="AJ4953" s="42"/>
      <c r="AK4953" s="74"/>
      <c r="AL4953" s="77"/>
      <c r="AN4953" s="497">
        <v>64.94</v>
      </c>
      <c r="AP4953" s="42"/>
      <c r="AQ4953" s="74"/>
      <c r="AR4953" s="77"/>
      <c r="AT4953" s="497">
        <v>71.240000000000009</v>
      </c>
      <c r="AV4953" s="42"/>
      <c r="AW4953" s="74"/>
      <c r="AX4953" s="77"/>
      <c r="BA4953" s="497">
        <v>80.06</v>
      </c>
      <c r="BB4953" s="42"/>
      <c r="BC4953" s="74"/>
      <c r="BD4953" s="77"/>
      <c r="BF4953">
        <v>82.039999999999992</v>
      </c>
      <c r="BH4953" s="42"/>
      <c r="BI4953" s="74"/>
      <c r="BJ4953" s="77"/>
      <c r="BL4953" s="497">
        <v>93.92</v>
      </c>
      <c r="BN4953" s="42"/>
      <c r="BO4953" s="74"/>
      <c r="BP4953" s="77"/>
      <c r="BR4953" s="497">
        <v>84.02</v>
      </c>
      <c r="BT4953" s="42"/>
    </row>
    <row r="4954" spans="1:72" x14ac:dyDescent="0.25">
      <c r="A4954" s="90">
        <v>34540</v>
      </c>
      <c r="B4954" s="20">
        <v>0.66666666666666663</v>
      </c>
      <c r="D4954">
        <v>87.98</v>
      </c>
      <c r="E4954" t="str">
        <f t="shared" si="190"/>
        <v>WEEKDAY</v>
      </c>
      <c r="F4954" t="e">
        <f t="shared" si="189"/>
        <v>#N/A</v>
      </c>
      <c r="G4954" s="74">
        <v>31983</v>
      </c>
      <c r="H4954" s="77">
        <v>0.66666666666666663</v>
      </c>
      <c r="J4954">
        <v>91.94</v>
      </c>
      <c r="M4954" s="74">
        <v>33444</v>
      </c>
      <c r="N4954" s="77">
        <v>0.66666666666666663</v>
      </c>
      <c r="P4954">
        <v>71.960000000000008</v>
      </c>
      <c r="S4954" s="74">
        <v>34540</v>
      </c>
      <c r="T4954" s="77">
        <v>0.66666666666666663</v>
      </c>
      <c r="V4954">
        <v>80.960000000000008</v>
      </c>
      <c r="X4954" s="42"/>
      <c r="AB4954">
        <v>81.3</v>
      </c>
      <c r="AC4954">
        <v>78.080000000000013</v>
      </c>
      <c r="AE4954" s="74"/>
      <c r="AF4954" s="77"/>
      <c r="AH4954" s="497">
        <v>79.16</v>
      </c>
      <c r="AJ4954" s="42"/>
      <c r="AK4954" s="74"/>
      <c r="AL4954" s="77"/>
      <c r="AN4954" s="497">
        <v>68</v>
      </c>
      <c r="AP4954" s="42"/>
      <c r="AQ4954" s="74"/>
      <c r="AR4954" s="77"/>
      <c r="AT4954" s="497">
        <v>71.960000000000008</v>
      </c>
      <c r="AV4954" s="42"/>
      <c r="AW4954" s="74"/>
      <c r="AX4954" s="77"/>
      <c r="BA4954" s="497">
        <v>80.960000000000008</v>
      </c>
      <c r="BB4954" s="42"/>
      <c r="BC4954" s="74"/>
      <c r="BD4954" s="77"/>
      <c r="BF4954">
        <v>82.039999999999992</v>
      </c>
      <c r="BH4954" s="42"/>
      <c r="BI4954" s="74"/>
      <c r="BJ4954" s="77"/>
      <c r="BL4954" s="497">
        <v>89.960000000000008</v>
      </c>
      <c r="BN4954" s="42"/>
      <c r="BO4954" s="74"/>
      <c r="BP4954" s="77"/>
      <c r="BR4954" s="497">
        <v>84.02</v>
      </c>
      <c r="BT4954" s="42"/>
    </row>
    <row r="4955" spans="1:72" x14ac:dyDescent="0.25">
      <c r="A4955" s="90">
        <v>34540</v>
      </c>
      <c r="B4955" s="20">
        <v>0.70833333333333337</v>
      </c>
      <c r="D4955">
        <v>84.02</v>
      </c>
      <c r="E4955" t="str">
        <f t="shared" si="190"/>
        <v>WEEKDAY</v>
      </c>
      <c r="F4955" t="e">
        <f t="shared" si="189"/>
        <v>#N/A</v>
      </c>
      <c r="G4955" s="74">
        <v>31983</v>
      </c>
      <c r="H4955" s="77">
        <v>0.70833333333333337</v>
      </c>
      <c r="J4955">
        <v>89.06</v>
      </c>
      <c r="M4955" s="74">
        <v>33444</v>
      </c>
      <c r="N4955" s="77">
        <v>0.70833333333333337</v>
      </c>
      <c r="P4955">
        <v>73.039999999999992</v>
      </c>
      <c r="S4955" s="74">
        <v>34540</v>
      </c>
      <c r="T4955" s="77">
        <v>0.70833333333333337</v>
      </c>
      <c r="V4955">
        <v>77</v>
      </c>
      <c r="X4955" s="42"/>
      <c r="AB4955">
        <v>80.400000000000006</v>
      </c>
      <c r="AC4955">
        <v>82.039999999999992</v>
      </c>
      <c r="AE4955" s="74"/>
      <c r="AF4955" s="77"/>
      <c r="AH4955" s="497">
        <v>77</v>
      </c>
      <c r="AJ4955" s="42"/>
      <c r="AK4955" s="74"/>
      <c r="AL4955" s="77"/>
      <c r="AN4955" s="497">
        <v>71.960000000000008</v>
      </c>
      <c r="AP4955" s="42"/>
      <c r="AQ4955" s="74"/>
      <c r="AR4955" s="77"/>
      <c r="AT4955" s="497">
        <v>72.319999999999993</v>
      </c>
      <c r="AV4955" s="42"/>
      <c r="AW4955" s="74"/>
      <c r="AX4955" s="77"/>
      <c r="BA4955" s="497">
        <v>80.06</v>
      </c>
      <c r="BB4955" s="42"/>
      <c r="BC4955" s="74"/>
      <c r="BD4955" s="77"/>
      <c r="BF4955">
        <v>80.06</v>
      </c>
      <c r="BH4955" s="42"/>
      <c r="BI4955" s="74"/>
      <c r="BJ4955" s="77"/>
      <c r="BL4955" s="497">
        <v>87.98</v>
      </c>
      <c r="BN4955" s="42"/>
      <c r="BO4955" s="74"/>
      <c r="BP4955" s="77"/>
      <c r="BR4955" s="497">
        <v>82.94</v>
      </c>
      <c r="BT4955" s="42"/>
    </row>
    <row r="4956" spans="1:72" x14ac:dyDescent="0.25">
      <c r="A4956" s="90">
        <v>34540</v>
      </c>
      <c r="B4956" s="20">
        <v>0.75</v>
      </c>
      <c r="D4956">
        <v>80.06</v>
      </c>
      <c r="E4956" t="str">
        <f t="shared" si="190"/>
        <v>WEEKDAY</v>
      </c>
      <c r="F4956" t="e">
        <f t="shared" si="189"/>
        <v>#N/A</v>
      </c>
      <c r="G4956" s="74">
        <v>31983</v>
      </c>
      <c r="H4956" s="77">
        <v>0.75</v>
      </c>
      <c r="J4956">
        <v>89.06</v>
      </c>
      <c r="M4956" s="74">
        <v>33444</v>
      </c>
      <c r="N4956" s="77">
        <v>0.75</v>
      </c>
      <c r="P4956">
        <v>73.94</v>
      </c>
      <c r="S4956" s="74">
        <v>34540</v>
      </c>
      <c r="T4956" s="77">
        <v>0.75</v>
      </c>
      <c r="V4956">
        <v>75.02</v>
      </c>
      <c r="X4956" s="42"/>
      <c r="AB4956">
        <v>79.2</v>
      </c>
      <c r="AC4956">
        <v>78.080000000000013</v>
      </c>
      <c r="AE4956" s="74"/>
      <c r="AF4956" s="77"/>
      <c r="AH4956" s="497">
        <v>75.2</v>
      </c>
      <c r="AJ4956" s="42"/>
      <c r="AK4956" s="74"/>
      <c r="AL4956" s="77"/>
      <c r="AN4956" s="497">
        <v>69.98</v>
      </c>
      <c r="AP4956" s="42"/>
      <c r="AQ4956" s="74"/>
      <c r="AR4956" s="77"/>
      <c r="AT4956" s="497">
        <v>72.680000000000007</v>
      </c>
      <c r="AV4956" s="42"/>
      <c r="AW4956" s="74"/>
      <c r="AX4956" s="77"/>
      <c r="BA4956" s="497">
        <v>78.080000000000013</v>
      </c>
      <c r="BB4956" s="42"/>
      <c r="BC4956" s="74"/>
      <c r="BD4956" s="77"/>
      <c r="BF4956">
        <v>80.06</v>
      </c>
      <c r="BH4956" s="42"/>
      <c r="BI4956" s="74"/>
      <c r="BJ4956" s="77"/>
      <c r="BL4956" s="497">
        <v>89.06</v>
      </c>
      <c r="BN4956" s="42"/>
      <c r="BO4956" s="74"/>
      <c r="BP4956" s="77"/>
      <c r="BR4956" s="497">
        <v>82.039999999999992</v>
      </c>
      <c r="BT4956" s="42"/>
    </row>
    <row r="4957" spans="1:72" x14ac:dyDescent="0.25">
      <c r="A4957" s="90">
        <v>34540</v>
      </c>
      <c r="B4957" s="20">
        <v>0.79166666666666663</v>
      </c>
      <c r="D4957">
        <v>78.98</v>
      </c>
      <c r="E4957" t="str">
        <f t="shared" si="190"/>
        <v>WEEKDAY</v>
      </c>
      <c r="F4957" t="e">
        <f t="shared" si="189"/>
        <v>#N/A</v>
      </c>
      <c r="G4957" s="74">
        <v>31983</v>
      </c>
      <c r="H4957" s="77">
        <v>0.79166666666666663</v>
      </c>
      <c r="J4957">
        <v>84.02</v>
      </c>
      <c r="M4957" s="74">
        <v>33444</v>
      </c>
      <c r="N4957" s="77">
        <v>0.79166666666666663</v>
      </c>
      <c r="P4957">
        <v>71.960000000000008</v>
      </c>
      <c r="S4957" s="74">
        <v>34540</v>
      </c>
      <c r="T4957" s="77">
        <v>0.79166666666666663</v>
      </c>
      <c r="V4957">
        <v>75.02</v>
      </c>
      <c r="X4957" s="42"/>
      <c r="AB4957">
        <v>78</v>
      </c>
      <c r="AC4957">
        <v>77</v>
      </c>
      <c r="AE4957" s="74"/>
      <c r="AF4957" s="77"/>
      <c r="AH4957" s="497">
        <v>71.599999999999994</v>
      </c>
      <c r="AJ4957" s="42"/>
      <c r="AK4957" s="74"/>
      <c r="AL4957" s="77"/>
      <c r="AN4957" s="497">
        <v>68</v>
      </c>
      <c r="AP4957" s="42"/>
      <c r="AQ4957" s="74"/>
      <c r="AR4957" s="77"/>
      <c r="AT4957" s="497">
        <v>73.039999999999992</v>
      </c>
      <c r="AV4957" s="42"/>
      <c r="AW4957" s="74"/>
      <c r="AX4957" s="77"/>
      <c r="BA4957" s="497">
        <v>73.94</v>
      </c>
      <c r="BB4957" s="42"/>
      <c r="BC4957" s="74"/>
      <c r="BD4957" s="77"/>
      <c r="BF4957">
        <v>78.080000000000013</v>
      </c>
      <c r="BH4957" s="42"/>
      <c r="BI4957" s="74"/>
      <c r="BJ4957" s="77"/>
      <c r="BL4957" s="497">
        <v>87.080000000000013</v>
      </c>
      <c r="BN4957" s="42"/>
      <c r="BO4957" s="74"/>
      <c r="BP4957" s="77"/>
      <c r="BR4957" s="497">
        <v>75.02</v>
      </c>
      <c r="BT4957" s="42"/>
    </row>
    <row r="4958" spans="1:72" x14ac:dyDescent="0.25">
      <c r="A4958" s="90">
        <v>34540</v>
      </c>
      <c r="B4958" s="20">
        <v>0.83333333333333337</v>
      </c>
      <c r="D4958">
        <v>78.98</v>
      </c>
      <c r="E4958" t="str">
        <f t="shared" si="190"/>
        <v>WEEKDAY</v>
      </c>
      <c r="F4958" t="e">
        <f t="shared" si="189"/>
        <v>#N/A</v>
      </c>
      <c r="G4958" s="74">
        <v>31983</v>
      </c>
      <c r="H4958" s="77">
        <v>0.83333333333333337</v>
      </c>
      <c r="J4958">
        <v>84.92</v>
      </c>
      <c r="M4958" s="74">
        <v>33444</v>
      </c>
      <c r="N4958" s="77">
        <v>0.83333333333333337</v>
      </c>
      <c r="P4958">
        <v>71.960000000000008</v>
      </c>
      <c r="S4958" s="74">
        <v>34540</v>
      </c>
      <c r="T4958" s="77">
        <v>0.83333333333333337</v>
      </c>
      <c r="V4958">
        <v>73.039999999999992</v>
      </c>
      <c r="X4958" s="42"/>
      <c r="AB4958">
        <v>76.599999999999994</v>
      </c>
      <c r="AC4958">
        <v>75.92</v>
      </c>
      <c r="AE4958" s="74"/>
      <c r="AF4958" s="77"/>
      <c r="AH4958" s="497">
        <v>69.800000000000011</v>
      </c>
      <c r="AJ4958" s="42"/>
      <c r="AK4958" s="74"/>
      <c r="AL4958" s="77"/>
      <c r="AN4958" s="497">
        <v>64.94</v>
      </c>
      <c r="AP4958" s="42"/>
      <c r="AQ4958" s="74"/>
      <c r="AR4958" s="77"/>
      <c r="AT4958" s="497">
        <v>71.78</v>
      </c>
      <c r="AV4958" s="42"/>
      <c r="AW4958" s="74"/>
      <c r="AX4958" s="77"/>
      <c r="BA4958" s="497">
        <v>71.06</v>
      </c>
      <c r="BB4958" s="42"/>
      <c r="BC4958" s="74"/>
      <c r="BD4958" s="77"/>
      <c r="BF4958">
        <v>73.94</v>
      </c>
      <c r="BH4958" s="42"/>
      <c r="BI4958" s="74"/>
      <c r="BJ4958" s="77"/>
      <c r="BL4958" s="497">
        <v>86</v>
      </c>
      <c r="BN4958" s="42"/>
      <c r="BO4958" s="74"/>
      <c r="BP4958" s="77"/>
      <c r="BR4958" s="497">
        <v>69.080000000000013</v>
      </c>
      <c r="BT4958" s="42"/>
    </row>
    <row r="4959" spans="1:72" x14ac:dyDescent="0.25">
      <c r="A4959" s="90">
        <v>34540</v>
      </c>
      <c r="B4959" s="20">
        <v>0.875</v>
      </c>
      <c r="D4959">
        <v>77</v>
      </c>
      <c r="E4959" t="str">
        <f t="shared" si="190"/>
        <v>WEEKDAY</v>
      </c>
      <c r="F4959" t="e">
        <f t="shared" si="189"/>
        <v>#N/A</v>
      </c>
      <c r="G4959" s="74">
        <v>31983</v>
      </c>
      <c r="H4959" s="77">
        <v>0.875</v>
      </c>
      <c r="J4959">
        <v>87.080000000000013</v>
      </c>
      <c r="M4959" s="74">
        <v>33444</v>
      </c>
      <c r="N4959" s="77">
        <v>0.875</v>
      </c>
      <c r="P4959">
        <v>69.98</v>
      </c>
      <c r="S4959" s="74">
        <v>34540</v>
      </c>
      <c r="T4959" s="77">
        <v>0.875</v>
      </c>
      <c r="V4959">
        <v>73.039999999999992</v>
      </c>
      <c r="X4959" s="42"/>
      <c r="AB4959">
        <v>75.7</v>
      </c>
      <c r="AC4959">
        <v>75.02</v>
      </c>
      <c r="AE4959" s="74"/>
      <c r="AF4959" s="77"/>
      <c r="AH4959" s="497">
        <v>69.800000000000011</v>
      </c>
      <c r="AJ4959" s="42"/>
      <c r="AK4959" s="74"/>
      <c r="AL4959" s="77"/>
      <c r="AN4959" s="497">
        <v>64.039999999999992</v>
      </c>
      <c r="AP4959" s="42"/>
      <c r="AQ4959" s="74"/>
      <c r="AR4959" s="77"/>
      <c r="AT4959" s="497">
        <v>70.34</v>
      </c>
      <c r="AV4959" s="42"/>
      <c r="AW4959" s="74"/>
      <c r="AX4959" s="77"/>
      <c r="BA4959" s="497">
        <v>66.02</v>
      </c>
      <c r="BB4959" s="42"/>
      <c r="BC4959" s="74"/>
      <c r="BD4959" s="77"/>
      <c r="BF4959">
        <v>71.960000000000008</v>
      </c>
      <c r="BH4959" s="42"/>
      <c r="BI4959" s="74"/>
      <c r="BJ4959" s="77"/>
      <c r="BL4959" s="497">
        <v>84.92</v>
      </c>
      <c r="BN4959" s="42"/>
      <c r="BO4959" s="74"/>
      <c r="BP4959" s="77"/>
      <c r="BR4959" s="497">
        <v>66.02</v>
      </c>
      <c r="BT4959" s="42"/>
    </row>
    <row r="4960" spans="1:72" x14ac:dyDescent="0.25">
      <c r="A4960" s="90">
        <v>34540</v>
      </c>
      <c r="B4960" s="20">
        <v>0.91666666666666663</v>
      </c>
      <c r="D4960">
        <v>77</v>
      </c>
      <c r="E4960" t="str">
        <f t="shared" si="190"/>
        <v>WEEKDAY</v>
      </c>
      <c r="F4960" t="e">
        <f t="shared" si="189"/>
        <v>#N/A</v>
      </c>
      <c r="G4960" s="74">
        <v>31983</v>
      </c>
      <c r="H4960" s="77">
        <v>0.91666666666666663</v>
      </c>
      <c r="J4960">
        <v>86</v>
      </c>
      <c r="M4960" s="74">
        <v>33444</v>
      </c>
      <c r="N4960" s="77">
        <v>0.91666666666666663</v>
      </c>
      <c r="P4960">
        <v>69.98</v>
      </c>
      <c r="S4960" s="74">
        <v>34540</v>
      </c>
      <c r="T4960" s="77">
        <v>0.91666666666666663</v>
      </c>
      <c r="V4960">
        <v>71.960000000000008</v>
      </c>
      <c r="X4960" s="42"/>
      <c r="AB4960">
        <v>75.2</v>
      </c>
      <c r="AC4960">
        <v>73.94</v>
      </c>
      <c r="AE4960" s="74"/>
      <c r="AF4960" s="77"/>
      <c r="AH4960" s="497">
        <v>69.800000000000011</v>
      </c>
      <c r="AJ4960" s="42"/>
      <c r="AK4960" s="74"/>
      <c r="AL4960" s="77"/>
      <c r="AN4960" s="497">
        <v>62.06</v>
      </c>
      <c r="AP4960" s="42"/>
      <c r="AQ4960" s="74"/>
      <c r="AR4960" s="77"/>
      <c r="AT4960" s="497">
        <v>69.080000000000013</v>
      </c>
      <c r="AV4960" s="42"/>
      <c r="AW4960" s="74"/>
      <c r="AX4960" s="77"/>
      <c r="BA4960" s="497">
        <v>64.94</v>
      </c>
      <c r="BB4960" s="42"/>
      <c r="BC4960" s="74"/>
      <c r="BD4960" s="77"/>
      <c r="BF4960">
        <v>73.039999999999992</v>
      </c>
      <c r="BH4960" s="42"/>
      <c r="BI4960" s="74"/>
      <c r="BJ4960" s="77"/>
      <c r="BL4960" s="497">
        <v>84.02</v>
      </c>
      <c r="BN4960" s="42"/>
      <c r="BO4960" s="74"/>
      <c r="BP4960" s="77"/>
      <c r="BR4960" s="497">
        <v>64.039999999999992</v>
      </c>
      <c r="BT4960" s="42"/>
    </row>
    <row r="4961" spans="1:72" x14ac:dyDescent="0.25">
      <c r="A4961" s="90">
        <v>34540</v>
      </c>
      <c r="B4961" s="20">
        <v>0.95833333333333337</v>
      </c>
      <c r="D4961">
        <v>77</v>
      </c>
      <c r="E4961" t="str">
        <f t="shared" si="190"/>
        <v>WEEKDAY</v>
      </c>
      <c r="F4961" t="e">
        <f t="shared" si="189"/>
        <v>#N/A</v>
      </c>
      <c r="G4961" s="74">
        <v>31983</v>
      </c>
      <c r="H4961" s="77">
        <v>0.95833333333333337</v>
      </c>
      <c r="J4961">
        <v>84.92</v>
      </c>
      <c r="M4961" s="74">
        <v>33444</v>
      </c>
      <c r="N4961" s="77">
        <v>0.95833333333333337</v>
      </c>
      <c r="P4961">
        <v>69.080000000000013</v>
      </c>
      <c r="S4961" s="74">
        <v>34540</v>
      </c>
      <c r="T4961" s="77">
        <v>0.95833333333333337</v>
      </c>
      <c r="V4961">
        <v>73.039999999999992</v>
      </c>
      <c r="X4961" s="42"/>
      <c r="AB4961">
        <v>74.7</v>
      </c>
      <c r="AC4961">
        <v>73.94</v>
      </c>
      <c r="AE4961" s="74"/>
      <c r="AF4961" s="77"/>
      <c r="AH4961" s="497">
        <v>68</v>
      </c>
      <c r="AJ4961" s="42"/>
      <c r="AK4961" s="74"/>
      <c r="AL4961" s="77"/>
      <c r="AN4961" s="497">
        <v>62.06</v>
      </c>
      <c r="AP4961" s="42"/>
      <c r="AQ4961" s="74"/>
      <c r="AR4961" s="77"/>
      <c r="AT4961" s="497">
        <v>66.02</v>
      </c>
      <c r="AV4961" s="42"/>
      <c r="AW4961" s="74"/>
      <c r="AX4961" s="77"/>
      <c r="BA4961" s="497">
        <v>62.06</v>
      </c>
      <c r="BB4961" s="42"/>
      <c r="BC4961" s="74"/>
      <c r="BD4961" s="77"/>
      <c r="BF4961">
        <v>71.06</v>
      </c>
      <c r="BH4961" s="42"/>
      <c r="BI4961" s="74"/>
      <c r="BJ4961" s="77"/>
      <c r="BL4961" s="497">
        <v>82.039999999999992</v>
      </c>
      <c r="BN4961" s="42"/>
      <c r="BO4961" s="74"/>
      <c r="BP4961" s="77"/>
      <c r="BR4961" s="497">
        <v>62.06</v>
      </c>
      <c r="BT4961" s="42"/>
    </row>
    <row r="4962" spans="1:72" x14ac:dyDescent="0.25">
      <c r="A4962" s="90">
        <v>34540</v>
      </c>
      <c r="B4962" s="20">
        <v>1</v>
      </c>
      <c r="D4962">
        <v>75.92</v>
      </c>
      <c r="E4962" t="str">
        <f t="shared" si="190"/>
        <v>WEEKDAY</v>
      </c>
      <c r="F4962" t="e">
        <f t="shared" si="189"/>
        <v>#N/A</v>
      </c>
      <c r="G4962" s="74">
        <v>31983</v>
      </c>
      <c r="H4962" s="77">
        <v>1</v>
      </c>
      <c r="J4962">
        <v>84.92</v>
      </c>
      <c r="M4962" s="74">
        <v>33444</v>
      </c>
      <c r="N4962" s="80">
        <v>1</v>
      </c>
      <c r="P4962">
        <v>68</v>
      </c>
      <c r="S4962" s="74">
        <v>34540</v>
      </c>
      <c r="T4962" s="80">
        <v>1</v>
      </c>
      <c r="V4962">
        <v>71.960000000000008</v>
      </c>
      <c r="X4962" s="42"/>
      <c r="AB4962">
        <v>74.2</v>
      </c>
      <c r="AC4962">
        <v>73.039999999999992</v>
      </c>
      <c r="AE4962" s="74"/>
      <c r="AF4962" s="80"/>
      <c r="AH4962" s="497">
        <v>67.099999999999994</v>
      </c>
      <c r="AJ4962" s="42"/>
      <c r="AK4962" s="74"/>
      <c r="AL4962" s="80"/>
      <c r="AN4962" s="497">
        <v>62.06</v>
      </c>
      <c r="AP4962" s="42"/>
      <c r="AQ4962" s="74"/>
      <c r="AR4962" s="80"/>
      <c r="AT4962" s="497">
        <v>63.14</v>
      </c>
      <c r="AV4962" s="42"/>
      <c r="AW4962" s="74"/>
      <c r="AX4962" s="80"/>
      <c r="BA4962" s="497">
        <v>60.980000000000004</v>
      </c>
      <c r="BB4962" s="42"/>
      <c r="BC4962" s="74"/>
      <c r="BD4962" s="80"/>
      <c r="BF4962">
        <v>71.06</v>
      </c>
      <c r="BH4962" s="42"/>
      <c r="BI4962" s="74"/>
      <c r="BJ4962" s="80"/>
      <c r="BL4962" s="497">
        <v>80.960000000000008</v>
      </c>
      <c r="BN4962" s="42"/>
      <c r="BO4962" s="74"/>
      <c r="BP4962" s="80"/>
      <c r="BR4962" s="497">
        <v>62.06</v>
      </c>
      <c r="BT4962" s="42"/>
    </row>
    <row r="4963" spans="1:72" x14ac:dyDescent="0.25">
      <c r="A4963" s="90">
        <v>34541</v>
      </c>
      <c r="B4963" s="20">
        <v>4.1666666666666664E-2</v>
      </c>
      <c r="D4963">
        <v>75.02</v>
      </c>
      <c r="E4963" t="str">
        <f t="shared" si="190"/>
        <v>WEEKDAY</v>
      </c>
      <c r="F4963" t="e">
        <f t="shared" si="189"/>
        <v>#N/A</v>
      </c>
      <c r="G4963" s="74">
        <v>31984</v>
      </c>
      <c r="H4963" s="77">
        <v>4.1666666666666664E-2</v>
      </c>
      <c r="J4963">
        <v>82.94</v>
      </c>
      <c r="M4963" s="74">
        <v>33445</v>
      </c>
      <c r="N4963" s="77">
        <v>4.1666666666666664E-2</v>
      </c>
      <c r="P4963">
        <v>68</v>
      </c>
      <c r="S4963" s="74">
        <v>34541</v>
      </c>
      <c r="T4963" s="77">
        <v>4.1666666666666664E-2</v>
      </c>
      <c r="V4963">
        <v>71.960000000000008</v>
      </c>
      <c r="X4963" s="42"/>
      <c r="AB4963">
        <v>73.7</v>
      </c>
      <c r="AC4963">
        <v>71.06</v>
      </c>
      <c r="AE4963" s="74"/>
      <c r="AF4963" s="77"/>
      <c r="AH4963" s="497">
        <v>66.2</v>
      </c>
      <c r="AJ4963" s="42"/>
      <c r="AK4963" s="74"/>
      <c r="AL4963" s="77"/>
      <c r="AN4963" s="497">
        <v>62.06</v>
      </c>
      <c r="AP4963" s="42"/>
      <c r="AQ4963" s="74"/>
      <c r="AR4963" s="77"/>
      <c r="AT4963" s="497">
        <v>60.08</v>
      </c>
      <c r="AV4963" s="42"/>
      <c r="AW4963" s="74"/>
      <c r="AX4963" s="77"/>
      <c r="BA4963" s="497">
        <v>60.08</v>
      </c>
      <c r="BB4963" s="42"/>
      <c r="BC4963" s="74"/>
      <c r="BD4963" s="77"/>
      <c r="BF4963">
        <v>71.06</v>
      </c>
      <c r="BH4963" s="42"/>
      <c r="BI4963" s="74"/>
      <c r="BJ4963" s="77"/>
      <c r="BL4963" s="497">
        <v>80.960000000000008</v>
      </c>
      <c r="BN4963" s="42"/>
      <c r="BO4963" s="74"/>
      <c r="BP4963" s="77"/>
      <c r="BR4963" s="497">
        <v>62.06</v>
      </c>
      <c r="BT4963" s="42"/>
    </row>
    <row r="4964" spans="1:72" x14ac:dyDescent="0.25">
      <c r="A4964" s="90">
        <v>34541</v>
      </c>
      <c r="B4964" s="20">
        <v>8.3333333333333329E-2</v>
      </c>
      <c r="D4964">
        <v>75.02</v>
      </c>
      <c r="E4964" t="str">
        <f t="shared" si="190"/>
        <v>WEEKDAY</v>
      </c>
      <c r="F4964" t="e">
        <f t="shared" si="189"/>
        <v>#N/A</v>
      </c>
      <c r="G4964" s="74">
        <v>31984</v>
      </c>
      <c r="H4964" s="77">
        <v>8.3333333333333329E-2</v>
      </c>
      <c r="J4964">
        <v>75.92</v>
      </c>
      <c r="M4964" s="74">
        <v>33445</v>
      </c>
      <c r="N4964" s="77">
        <v>8.3333333333333329E-2</v>
      </c>
      <c r="P4964">
        <v>69.080000000000013</v>
      </c>
      <c r="S4964" s="74">
        <v>34541</v>
      </c>
      <c r="T4964" s="77">
        <v>8.3333333333333329E-2</v>
      </c>
      <c r="V4964">
        <v>71.06</v>
      </c>
      <c r="X4964" s="42"/>
      <c r="AB4964">
        <v>73.099999999999994</v>
      </c>
      <c r="AC4964">
        <v>71.06</v>
      </c>
      <c r="AE4964" s="74"/>
      <c r="AF4964" s="77"/>
      <c r="AH4964" s="497">
        <v>66.2</v>
      </c>
      <c r="AJ4964" s="42"/>
      <c r="AK4964" s="74"/>
      <c r="AL4964" s="77"/>
      <c r="AN4964" s="497">
        <v>60.08</v>
      </c>
      <c r="AP4964" s="42"/>
      <c r="AQ4964" s="74"/>
      <c r="AR4964" s="77"/>
      <c r="AT4964" s="497">
        <v>58.64</v>
      </c>
      <c r="AV4964" s="42"/>
      <c r="AW4964" s="74"/>
      <c r="AX4964" s="77"/>
      <c r="BA4964" s="497">
        <v>60.08</v>
      </c>
      <c r="BB4964" s="42"/>
      <c r="BC4964" s="74"/>
      <c r="BD4964" s="77"/>
      <c r="BF4964">
        <v>71.06</v>
      </c>
      <c r="BH4964" s="42"/>
      <c r="BI4964" s="74"/>
      <c r="BJ4964" s="77"/>
      <c r="BL4964" s="497">
        <v>80.06</v>
      </c>
      <c r="BN4964" s="42"/>
      <c r="BO4964" s="74"/>
      <c r="BP4964" s="77"/>
      <c r="BR4964" s="497">
        <v>60.980000000000004</v>
      </c>
      <c r="BT4964" s="42"/>
    </row>
    <row r="4965" spans="1:72" x14ac:dyDescent="0.25">
      <c r="A4965" s="90">
        <v>34541</v>
      </c>
      <c r="B4965" s="20">
        <v>0.125</v>
      </c>
      <c r="D4965">
        <v>73.94</v>
      </c>
      <c r="E4965" t="str">
        <f t="shared" si="190"/>
        <v>WEEKDAY</v>
      </c>
      <c r="F4965" t="e">
        <f t="shared" si="189"/>
        <v>#N/A</v>
      </c>
      <c r="G4965" s="74">
        <v>31984</v>
      </c>
      <c r="H4965" s="77">
        <v>0.125</v>
      </c>
      <c r="J4965">
        <v>75.92</v>
      </c>
      <c r="M4965" s="74">
        <v>33445</v>
      </c>
      <c r="N4965" s="77">
        <v>0.125</v>
      </c>
      <c r="P4965">
        <v>69.080000000000013</v>
      </c>
      <c r="S4965" s="74">
        <v>34541</v>
      </c>
      <c r="T4965" s="77">
        <v>0.125</v>
      </c>
      <c r="V4965">
        <v>71.06</v>
      </c>
      <c r="X4965" s="42"/>
      <c r="AB4965">
        <v>72.599999999999994</v>
      </c>
      <c r="AC4965">
        <v>69.98</v>
      </c>
      <c r="AE4965" s="74"/>
      <c r="AF4965" s="77"/>
      <c r="AH4965" s="497">
        <v>66.2</v>
      </c>
      <c r="AJ4965" s="42"/>
      <c r="AK4965" s="74"/>
      <c r="AL4965" s="77"/>
      <c r="AN4965" s="497">
        <v>60.08</v>
      </c>
      <c r="AP4965" s="42"/>
      <c r="AQ4965" s="74"/>
      <c r="AR4965" s="77"/>
      <c r="AT4965" s="497">
        <v>57.379999999999995</v>
      </c>
      <c r="AV4965" s="42"/>
      <c r="AW4965" s="74"/>
      <c r="AX4965" s="77"/>
      <c r="BA4965" s="497">
        <v>60.08</v>
      </c>
      <c r="BB4965" s="42"/>
      <c r="BC4965" s="74"/>
      <c r="BD4965" s="77"/>
      <c r="BF4965">
        <v>69.080000000000013</v>
      </c>
      <c r="BH4965" s="42"/>
      <c r="BI4965" s="74"/>
      <c r="BJ4965" s="77"/>
      <c r="BL4965" s="497">
        <v>75.02</v>
      </c>
      <c r="BN4965" s="42"/>
      <c r="BO4965" s="74"/>
      <c r="BP4965" s="77"/>
      <c r="BR4965" s="497">
        <v>57.92</v>
      </c>
      <c r="BT4965" s="42"/>
    </row>
    <row r="4966" spans="1:72" x14ac:dyDescent="0.25">
      <c r="A4966" s="90">
        <v>34541</v>
      </c>
      <c r="B4966" s="20">
        <v>0.16666666666666666</v>
      </c>
      <c r="D4966">
        <v>73.94</v>
      </c>
      <c r="E4966" t="str">
        <f t="shared" si="190"/>
        <v>WEEKDAY</v>
      </c>
      <c r="F4966" t="e">
        <f t="shared" si="189"/>
        <v>#N/A</v>
      </c>
      <c r="G4966" s="74">
        <v>31984</v>
      </c>
      <c r="H4966" s="77">
        <v>0.16666666666666666</v>
      </c>
      <c r="J4966">
        <v>75.02</v>
      </c>
      <c r="M4966" s="74">
        <v>33445</v>
      </c>
      <c r="N4966" s="77">
        <v>0.16666666666666666</v>
      </c>
      <c r="P4966">
        <v>69.080000000000013</v>
      </c>
      <c r="S4966" s="74">
        <v>34541</v>
      </c>
      <c r="T4966" s="77">
        <v>0.16666666666666666</v>
      </c>
      <c r="V4966">
        <v>71.06</v>
      </c>
      <c r="X4966" s="42"/>
      <c r="AB4966">
        <v>72.099999999999994</v>
      </c>
      <c r="AC4966">
        <v>69.98</v>
      </c>
      <c r="AE4966" s="74"/>
      <c r="AF4966" s="77"/>
      <c r="AH4966" s="497">
        <v>66.2</v>
      </c>
      <c r="AJ4966" s="42"/>
      <c r="AK4966" s="74"/>
      <c r="AL4966" s="77"/>
      <c r="AN4966" s="497">
        <v>57.92</v>
      </c>
      <c r="AP4966" s="42"/>
      <c r="AQ4966" s="74"/>
      <c r="AR4966" s="77"/>
      <c r="AT4966" s="497">
        <v>55.94</v>
      </c>
      <c r="AV4966" s="42"/>
      <c r="AW4966" s="74"/>
      <c r="AX4966" s="77"/>
      <c r="BA4966" s="497">
        <v>59</v>
      </c>
      <c r="BB4966" s="42"/>
      <c r="BC4966" s="74"/>
      <c r="BD4966" s="77"/>
      <c r="BF4966">
        <v>69.080000000000013</v>
      </c>
      <c r="BH4966" s="42"/>
      <c r="BI4966" s="74"/>
      <c r="BJ4966" s="77"/>
      <c r="BL4966" s="497">
        <v>73.039999999999992</v>
      </c>
      <c r="BN4966" s="42"/>
      <c r="BO4966" s="74"/>
      <c r="BP4966" s="77"/>
      <c r="BR4966" s="497">
        <v>57.019999999999996</v>
      </c>
      <c r="BT4966" s="42"/>
    </row>
    <row r="4967" spans="1:72" x14ac:dyDescent="0.25">
      <c r="A4967" s="90">
        <v>34541</v>
      </c>
      <c r="B4967" s="20">
        <v>0.20833333333333334</v>
      </c>
      <c r="D4967">
        <v>73.94</v>
      </c>
      <c r="E4967" t="str">
        <f t="shared" si="190"/>
        <v>WEEKDAY</v>
      </c>
      <c r="F4967" t="e">
        <f t="shared" si="189"/>
        <v>#N/A</v>
      </c>
      <c r="G4967" s="74">
        <v>31984</v>
      </c>
      <c r="H4967" s="77">
        <v>0.20833333333333334</v>
      </c>
      <c r="J4967">
        <v>75.02</v>
      </c>
      <c r="M4967" s="74">
        <v>33445</v>
      </c>
      <c r="N4967" s="77">
        <v>0.20833333333333334</v>
      </c>
      <c r="P4967">
        <v>69.080000000000013</v>
      </c>
      <c r="S4967" s="74">
        <v>34541</v>
      </c>
      <c r="T4967" s="77">
        <v>0.20833333333333334</v>
      </c>
      <c r="V4967">
        <v>71.06</v>
      </c>
      <c r="X4967" s="42"/>
      <c r="AB4967">
        <v>71.599999999999994</v>
      </c>
      <c r="AC4967">
        <v>68</v>
      </c>
      <c r="AE4967" s="74"/>
      <c r="AF4967" s="77"/>
      <c r="AH4967" s="497">
        <v>66.2</v>
      </c>
      <c r="AJ4967" s="42"/>
      <c r="AK4967" s="74"/>
      <c r="AL4967" s="77"/>
      <c r="AN4967" s="497">
        <v>57.019999999999996</v>
      </c>
      <c r="AP4967" s="42"/>
      <c r="AQ4967" s="74"/>
      <c r="AR4967" s="77"/>
      <c r="AT4967" s="497">
        <v>58.28</v>
      </c>
      <c r="AV4967" s="42"/>
      <c r="AW4967" s="74"/>
      <c r="AX4967" s="77"/>
      <c r="BA4967" s="497">
        <v>57.92</v>
      </c>
      <c r="BB4967" s="42"/>
      <c r="BC4967" s="74"/>
      <c r="BD4967" s="77"/>
      <c r="BF4967">
        <v>68</v>
      </c>
      <c r="BH4967" s="42"/>
      <c r="BI4967" s="74"/>
      <c r="BJ4967" s="77"/>
      <c r="BL4967" s="497">
        <v>71.960000000000008</v>
      </c>
      <c r="BN4967" s="42"/>
      <c r="BO4967" s="74"/>
      <c r="BP4967" s="77"/>
      <c r="BR4967" s="497">
        <v>55.94</v>
      </c>
      <c r="BT4967" s="42"/>
    </row>
    <row r="4968" spans="1:72" x14ac:dyDescent="0.25">
      <c r="A4968" s="90">
        <v>34541</v>
      </c>
      <c r="B4968" s="20">
        <v>0.25</v>
      </c>
      <c r="D4968">
        <v>75.02</v>
      </c>
      <c r="E4968" t="str">
        <f t="shared" si="190"/>
        <v>WEEKDAY</v>
      </c>
      <c r="F4968" t="e">
        <f t="shared" si="189"/>
        <v>#N/A</v>
      </c>
      <c r="G4968" s="74">
        <v>31984</v>
      </c>
      <c r="H4968" s="77">
        <v>0.25</v>
      </c>
      <c r="J4968">
        <v>75.92</v>
      </c>
      <c r="M4968" s="74">
        <v>33445</v>
      </c>
      <c r="N4968" s="77">
        <v>0.25</v>
      </c>
      <c r="P4968">
        <v>71.06</v>
      </c>
      <c r="S4968" s="74">
        <v>34541</v>
      </c>
      <c r="T4968" s="77">
        <v>0.25</v>
      </c>
      <c r="V4968">
        <v>71.960000000000008</v>
      </c>
      <c r="X4968" s="42"/>
      <c r="AB4968">
        <v>71.2</v>
      </c>
      <c r="AC4968">
        <v>73.039999999999992</v>
      </c>
      <c r="AE4968" s="74"/>
      <c r="AF4968" s="77"/>
      <c r="AH4968" s="497">
        <v>66.2</v>
      </c>
      <c r="AJ4968" s="42"/>
      <c r="AK4968" s="74"/>
      <c r="AL4968" s="77"/>
      <c r="AN4968" s="497">
        <v>59</v>
      </c>
      <c r="AP4968" s="42"/>
      <c r="AQ4968" s="74"/>
      <c r="AR4968" s="77"/>
      <c r="AT4968" s="497">
        <v>60.620000000000005</v>
      </c>
      <c r="AV4968" s="42"/>
      <c r="AW4968" s="74"/>
      <c r="AX4968" s="77"/>
      <c r="BA4968" s="497">
        <v>60.08</v>
      </c>
      <c r="BB4968" s="42"/>
      <c r="BC4968" s="74"/>
      <c r="BD4968" s="77"/>
      <c r="BF4968">
        <v>69.080000000000013</v>
      </c>
      <c r="BH4968" s="42"/>
      <c r="BI4968" s="74"/>
      <c r="BJ4968" s="77"/>
      <c r="BL4968" s="497">
        <v>71.960000000000008</v>
      </c>
      <c r="BN4968" s="42"/>
      <c r="BO4968" s="74"/>
      <c r="BP4968" s="77"/>
      <c r="BR4968" s="497">
        <v>60.980000000000004</v>
      </c>
      <c r="BT4968" s="42"/>
    </row>
    <row r="4969" spans="1:72" x14ac:dyDescent="0.25">
      <c r="A4969" s="90">
        <v>34541</v>
      </c>
      <c r="B4969" s="20">
        <v>0.29166666666666669</v>
      </c>
      <c r="D4969">
        <v>75.92</v>
      </c>
      <c r="E4969" t="str">
        <f t="shared" si="190"/>
        <v>WEEKDAY</v>
      </c>
      <c r="F4969" t="e">
        <f t="shared" si="189"/>
        <v>#N/A</v>
      </c>
      <c r="G4969" s="74">
        <v>31984</v>
      </c>
      <c r="H4969" s="77">
        <v>0.29166666666666669</v>
      </c>
      <c r="J4969">
        <v>78.080000000000013</v>
      </c>
      <c r="M4969" s="74">
        <v>33445</v>
      </c>
      <c r="N4969" s="77">
        <v>0.29166666666666669</v>
      </c>
      <c r="P4969">
        <v>69.98</v>
      </c>
      <c r="S4969" s="74">
        <v>34541</v>
      </c>
      <c r="T4969" s="77">
        <v>0.29166666666666669</v>
      </c>
      <c r="V4969">
        <v>73.94</v>
      </c>
      <c r="X4969" s="42"/>
      <c r="AB4969">
        <v>72.3</v>
      </c>
      <c r="AC4969">
        <v>73.94</v>
      </c>
      <c r="AE4969" s="74"/>
      <c r="AF4969" s="77"/>
      <c r="AH4969" s="497">
        <v>68</v>
      </c>
      <c r="AJ4969" s="42"/>
      <c r="AK4969" s="74"/>
      <c r="AL4969" s="77"/>
      <c r="AN4969" s="497">
        <v>60.980000000000004</v>
      </c>
      <c r="AP4969" s="42"/>
      <c r="AQ4969" s="74"/>
      <c r="AR4969" s="77"/>
      <c r="AT4969" s="497">
        <v>62.96</v>
      </c>
      <c r="AV4969" s="42"/>
      <c r="AW4969" s="74"/>
      <c r="AX4969" s="77"/>
      <c r="BA4969" s="497">
        <v>64.039999999999992</v>
      </c>
      <c r="BB4969" s="42"/>
      <c r="BC4969" s="74"/>
      <c r="BD4969" s="77"/>
      <c r="BF4969">
        <v>69.080000000000013</v>
      </c>
      <c r="BH4969" s="42"/>
      <c r="BI4969" s="74"/>
      <c r="BJ4969" s="77"/>
      <c r="BL4969" s="497">
        <v>71.960000000000008</v>
      </c>
      <c r="BN4969" s="42"/>
      <c r="BO4969" s="74"/>
      <c r="BP4969" s="77"/>
      <c r="BR4969" s="497">
        <v>66.02</v>
      </c>
      <c r="BT4969" s="42"/>
    </row>
    <row r="4970" spans="1:72" x14ac:dyDescent="0.25">
      <c r="A4970" s="90">
        <v>34541</v>
      </c>
      <c r="B4970" s="20">
        <v>0.33333333333333331</v>
      </c>
      <c r="D4970">
        <v>78.080000000000013</v>
      </c>
      <c r="E4970" t="str">
        <f t="shared" si="190"/>
        <v>WEEKDAY</v>
      </c>
      <c r="F4970" t="e">
        <f t="shared" si="189"/>
        <v>#N/A</v>
      </c>
      <c r="G4970" s="74">
        <v>31984</v>
      </c>
      <c r="H4970" s="77">
        <v>0.33333333333333331</v>
      </c>
      <c r="J4970">
        <v>80.960000000000008</v>
      </c>
      <c r="M4970" s="74">
        <v>33445</v>
      </c>
      <c r="N4970" s="77">
        <v>0.33333333333333331</v>
      </c>
      <c r="P4970">
        <v>73.039999999999992</v>
      </c>
      <c r="S4970" s="74">
        <v>34541</v>
      </c>
      <c r="T4970" s="77">
        <v>0.33333333333333331</v>
      </c>
      <c r="V4970">
        <v>75.02</v>
      </c>
      <c r="X4970" s="42"/>
      <c r="AB4970">
        <v>74.3</v>
      </c>
      <c r="AC4970">
        <v>77</v>
      </c>
      <c r="AE4970" s="74"/>
      <c r="AF4970" s="77"/>
      <c r="AH4970" s="497">
        <v>68</v>
      </c>
      <c r="AJ4970" s="42"/>
      <c r="AK4970" s="74"/>
      <c r="AL4970" s="77"/>
      <c r="AN4970" s="497">
        <v>64.94</v>
      </c>
      <c r="AP4970" s="42"/>
      <c r="AQ4970" s="74"/>
      <c r="AR4970" s="77"/>
      <c r="AT4970" s="497">
        <v>64.94</v>
      </c>
      <c r="AV4970" s="42"/>
      <c r="AW4970" s="74"/>
      <c r="AX4970" s="77"/>
      <c r="BA4970" s="497">
        <v>69.98</v>
      </c>
      <c r="BB4970" s="42"/>
      <c r="BC4970" s="74"/>
      <c r="BD4970" s="77"/>
      <c r="BF4970">
        <v>71.960000000000008</v>
      </c>
      <c r="BH4970" s="42"/>
      <c r="BI4970" s="74"/>
      <c r="BJ4970" s="77"/>
      <c r="BL4970" s="497">
        <v>73.039999999999992</v>
      </c>
      <c r="BN4970" s="42"/>
      <c r="BO4970" s="74"/>
      <c r="BP4970" s="77"/>
      <c r="BR4970" s="497">
        <v>71.06</v>
      </c>
      <c r="BT4970" s="42"/>
    </row>
    <row r="4971" spans="1:72" x14ac:dyDescent="0.25">
      <c r="A4971" s="90">
        <v>34541</v>
      </c>
      <c r="B4971" s="20">
        <v>0.375</v>
      </c>
      <c r="D4971">
        <v>80.06</v>
      </c>
      <c r="E4971" t="str">
        <f t="shared" si="190"/>
        <v>WEEKDAY</v>
      </c>
      <c r="F4971" t="e">
        <f t="shared" ref="F4971:F5034" si="191">IF(E4971="WEEKDAY",VLOOKUP(B4971,$DD$19:$DG$42,2),IF(E4971="SATURDAY",VLOOKUP(B4971,$DD$19:$DG$42,3),VLOOKUP(B4971,$DD$19:$DG$42,4)))</f>
        <v>#N/A</v>
      </c>
      <c r="G4971" s="74">
        <v>31984</v>
      </c>
      <c r="H4971" s="77">
        <v>0.375</v>
      </c>
      <c r="J4971">
        <v>82.94</v>
      </c>
      <c r="M4971" s="74">
        <v>33445</v>
      </c>
      <c r="N4971" s="77">
        <v>0.375</v>
      </c>
      <c r="P4971">
        <v>75.02</v>
      </c>
      <c r="S4971" s="74">
        <v>34541</v>
      </c>
      <c r="T4971" s="77">
        <v>0.375</v>
      </c>
      <c r="V4971">
        <v>75.92</v>
      </c>
      <c r="X4971" s="42"/>
      <c r="AB4971">
        <v>76.2</v>
      </c>
      <c r="AC4971">
        <v>78.98</v>
      </c>
      <c r="AE4971" s="74"/>
      <c r="AF4971" s="77"/>
      <c r="AH4971" s="497">
        <v>68</v>
      </c>
      <c r="AJ4971" s="42"/>
      <c r="AK4971" s="74"/>
      <c r="AL4971" s="77"/>
      <c r="AN4971" s="497">
        <v>68</v>
      </c>
      <c r="AP4971" s="42"/>
      <c r="AQ4971" s="74"/>
      <c r="AR4971" s="77"/>
      <c r="AT4971" s="497">
        <v>67.099999999999994</v>
      </c>
      <c r="AV4971" s="42"/>
      <c r="AW4971" s="74"/>
      <c r="AX4971" s="77"/>
      <c r="BA4971" s="497">
        <v>75.02</v>
      </c>
      <c r="BB4971" s="42"/>
      <c r="BC4971" s="74"/>
      <c r="BD4971" s="77"/>
      <c r="BF4971">
        <v>73.94</v>
      </c>
      <c r="BH4971" s="42"/>
      <c r="BI4971" s="74"/>
      <c r="BJ4971" s="77"/>
      <c r="BL4971" s="497">
        <v>75.02</v>
      </c>
      <c r="BN4971" s="42"/>
      <c r="BO4971" s="74"/>
      <c r="BP4971" s="77"/>
      <c r="BR4971" s="497">
        <v>75.02</v>
      </c>
      <c r="BT4971" s="42"/>
    </row>
    <row r="4972" spans="1:72" x14ac:dyDescent="0.25">
      <c r="A4972" s="90">
        <v>34541</v>
      </c>
      <c r="B4972" s="20">
        <v>0.41666666666666669</v>
      </c>
      <c r="D4972">
        <v>80.960000000000008</v>
      </c>
      <c r="E4972" t="str">
        <f t="shared" si="190"/>
        <v>WEEKDAY</v>
      </c>
      <c r="F4972" t="e">
        <f t="shared" si="191"/>
        <v>#N/A</v>
      </c>
      <c r="G4972" s="74">
        <v>31984</v>
      </c>
      <c r="H4972" s="77">
        <v>0.41666666666666669</v>
      </c>
      <c r="J4972">
        <v>82.039999999999992</v>
      </c>
      <c r="M4972" s="74">
        <v>33445</v>
      </c>
      <c r="N4972" s="77">
        <v>0.41666666666666669</v>
      </c>
      <c r="P4972">
        <v>75.02</v>
      </c>
      <c r="S4972" s="74">
        <v>34541</v>
      </c>
      <c r="T4972" s="77">
        <v>0.41666666666666669</v>
      </c>
      <c r="V4972">
        <v>77</v>
      </c>
      <c r="X4972" s="42"/>
      <c r="AB4972">
        <v>78</v>
      </c>
      <c r="AC4972">
        <v>78.98</v>
      </c>
      <c r="AE4972" s="74"/>
      <c r="AF4972" s="77"/>
      <c r="AH4972" s="497">
        <v>68</v>
      </c>
      <c r="AJ4972" s="42"/>
      <c r="AK4972" s="74"/>
      <c r="AL4972" s="77"/>
      <c r="AN4972" s="497">
        <v>71.06</v>
      </c>
      <c r="AP4972" s="42"/>
      <c r="AQ4972" s="74"/>
      <c r="AR4972" s="77"/>
      <c r="AT4972" s="497">
        <v>69.080000000000013</v>
      </c>
      <c r="AV4972" s="42"/>
      <c r="AW4972" s="74"/>
      <c r="AX4972" s="77"/>
      <c r="BA4972" s="497">
        <v>78.080000000000013</v>
      </c>
      <c r="BB4972" s="42"/>
      <c r="BC4972" s="74"/>
      <c r="BD4972" s="77"/>
      <c r="BF4972">
        <v>77</v>
      </c>
      <c r="BH4972" s="42"/>
      <c r="BI4972" s="74"/>
      <c r="BJ4972" s="77"/>
      <c r="BL4972" s="497">
        <v>75.92</v>
      </c>
      <c r="BN4972" s="42"/>
      <c r="BO4972" s="74"/>
      <c r="BP4972" s="77"/>
      <c r="BR4972" s="497">
        <v>78.98</v>
      </c>
      <c r="BT4972" s="42"/>
    </row>
    <row r="4973" spans="1:72" x14ac:dyDescent="0.25">
      <c r="A4973" s="90">
        <v>34541</v>
      </c>
      <c r="B4973" s="20">
        <v>0.45833333333333331</v>
      </c>
      <c r="D4973">
        <v>82.039999999999992</v>
      </c>
      <c r="E4973" t="str">
        <f t="shared" si="190"/>
        <v>WEEKDAY</v>
      </c>
      <c r="F4973" t="e">
        <f t="shared" si="191"/>
        <v>#N/A</v>
      </c>
      <c r="G4973" s="74">
        <v>31984</v>
      </c>
      <c r="H4973" s="77">
        <v>0.45833333333333331</v>
      </c>
      <c r="J4973">
        <v>78.98</v>
      </c>
      <c r="M4973" s="74">
        <v>33445</v>
      </c>
      <c r="N4973" s="77">
        <v>0.45833333333333331</v>
      </c>
      <c r="P4973">
        <v>73.94</v>
      </c>
      <c r="S4973" s="74">
        <v>34541</v>
      </c>
      <c r="T4973" s="77">
        <v>0.45833333333333331</v>
      </c>
      <c r="V4973">
        <v>78.080000000000013</v>
      </c>
      <c r="X4973" s="42"/>
      <c r="AB4973">
        <v>79.400000000000006</v>
      </c>
      <c r="AC4973">
        <v>82.039999999999992</v>
      </c>
      <c r="AE4973" s="74"/>
      <c r="AF4973" s="77"/>
      <c r="AH4973" s="497">
        <v>69.800000000000011</v>
      </c>
      <c r="AJ4973" s="42"/>
      <c r="AK4973" s="74"/>
      <c r="AL4973" s="77"/>
      <c r="AN4973" s="497">
        <v>73.94</v>
      </c>
      <c r="AP4973" s="42"/>
      <c r="AQ4973" s="74"/>
      <c r="AR4973" s="77"/>
      <c r="AT4973" s="497">
        <v>70.34</v>
      </c>
      <c r="AV4973" s="42"/>
      <c r="AW4973" s="74"/>
      <c r="AX4973" s="77"/>
      <c r="BA4973" s="497">
        <v>82.039999999999992</v>
      </c>
      <c r="BB4973" s="42"/>
      <c r="BC4973" s="74"/>
      <c r="BD4973" s="77"/>
      <c r="BF4973">
        <v>78.98</v>
      </c>
      <c r="BH4973" s="42"/>
      <c r="BI4973" s="74"/>
      <c r="BJ4973" s="77"/>
      <c r="BL4973" s="497">
        <v>78.080000000000013</v>
      </c>
      <c r="BN4973" s="42"/>
      <c r="BO4973" s="74"/>
      <c r="BP4973" s="77"/>
      <c r="BR4973" s="497">
        <v>82.94</v>
      </c>
      <c r="BT4973" s="42"/>
    </row>
    <row r="4974" spans="1:72" x14ac:dyDescent="0.25">
      <c r="A4974" s="90">
        <v>34541</v>
      </c>
      <c r="B4974" s="20">
        <v>0.5</v>
      </c>
      <c r="D4974">
        <v>84.02</v>
      </c>
      <c r="E4974" t="str">
        <f t="shared" si="190"/>
        <v>WEEKDAY</v>
      </c>
      <c r="F4974" t="e">
        <f t="shared" si="191"/>
        <v>#N/A</v>
      </c>
      <c r="G4974" s="74">
        <v>31984</v>
      </c>
      <c r="H4974" s="77">
        <v>0.5</v>
      </c>
      <c r="J4974">
        <v>71.06</v>
      </c>
      <c r="M4974" s="74">
        <v>33445</v>
      </c>
      <c r="N4974" s="77">
        <v>0.5</v>
      </c>
      <c r="P4974">
        <v>78.080000000000013</v>
      </c>
      <c r="S4974" s="74">
        <v>34541</v>
      </c>
      <c r="T4974" s="77">
        <v>0.5</v>
      </c>
      <c r="V4974">
        <v>78.98</v>
      </c>
      <c r="X4974" s="42"/>
      <c r="AB4974">
        <v>80.400000000000006</v>
      </c>
      <c r="AC4974">
        <v>82.94</v>
      </c>
      <c r="AE4974" s="74"/>
      <c r="AF4974" s="77"/>
      <c r="AH4974" s="497">
        <v>73.400000000000006</v>
      </c>
      <c r="AJ4974" s="42"/>
      <c r="AK4974" s="74"/>
      <c r="AL4974" s="77"/>
      <c r="AN4974" s="497">
        <v>77</v>
      </c>
      <c r="AP4974" s="42"/>
      <c r="AQ4974" s="74"/>
      <c r="AR4974" s="77"/>
      <c r="AT4974" s="497">
        <v>71.78</v>
      </c>
      <c r="AV4974" s="42"/>
      <c r="AW4974" s="74"/>
      <c r="AX4974" s="77"/>
      <c r="BA4974" s="497">
        <v>82.94</v>
      </c>
      <c r="BB4974" s="42"/>
      <c r="BC4974" s="74"/>
      <c r="BD4974" s="77"/>
      <c r="BF4974">
        <v>80.06</v>
      </c>
      <c r="BH4974" s="42"/>
      <c r="BI4974" s="74"/>
      <c r="BJ4974" s="77"/>
      <c r="BL4974" s="497">
        <v>78.080000000000013</v>
      </c>
      <c r="BN4974" s="42"/>
      <c r="BO4974" s="74"/>
      <c r="BP4974" s="77"/>
      <c r="BR4974" s="497">
        <v>84.92</v>
      </c>
      <c r="BT4974" s="42"/>
    </row>
    <row r="4975" spans="1:72" x14ac:dyDescent="0.25">
      <c r="A4975" s="90">
        <v>34541</v>
      </c>
      <c r="B4975" s="20">
        <v>0.54166666666666663</v>
      </c>
      <c r="D4975">
        <v>87.080000000000013</v>
      </c>
      <c r="E4975" t="str">
        <f t="shared" si="190"/>
        <v>WEEKDAY</v>
      </c>
      <c r="F4975" t="e">
        <f t="shared" si="191"/>
        <v>#N/A</v>
      </c>
      <c r="G4975" s="74">
        <v>31984</v>
      </c>
      <c r="H4975" s="77">
        <v>0.54166666666666663</v>
      </c>
      <c r="J4975">
        <v>73.039999999999992</v>
      </c>
      <c r="M4975" s="74">
        <v>33445</v>
      </c>
      <c r="N4975" s="77">
        <v>0.54166666666666663</v>
      </c>
      <c r="P4975">
        <v>75.02</v>
      </c>
      <c r="S4975" s="74">
        <v>34541</v>
      </c>
      <c r="T4975" s="77">
        <v>0.54166666666666663</v>
      </c>
      <c r="V4975">
        <v>82.039999999999992</v>
      </c>
      <c r="X4975" s="42"/>
      <c r="AB4975">
        <v>81.3</v>
      </c>
      <c r="AC4975">
        <v>80.960000000000008</v>
      </c>
      <c r="AE4975" s="74"/>
      <c r="AF4975" s="77"/>
      <c r="AH4975" s="497">
        <v>77</v>
      </c>
      <c r="AJ4975" s="42"/>
      <c r="AK4975" s="74"/>
      <c r="AL4975" s="77"/>
      <c r="AN4975" s="497">
        <v>77</v>
      </c>
      <c r="AP4975" s="42"/>
      <c r="AQ4975" s="74"/>
      <c r="AR4975" s="77"/>
      <c r="AT4975" s="497">
        <v>73.039999999999992</v>
      </c>
      <c r="AV4975" s="42"/>
      <c r="AW4975" s="74"/>
      <c r="AX4975" s="77"/>
      <c r="BA4975" s="497">
        <v>82.94</v>
      </c>
      <c r="BB4975" s="42"/>
      <c r="BC4975" s="74"/>
      <c r="BD4975" s="77"/>
      <c r="BF4975">
        <v>78.98</v>
      </c>
      <c r="BH4975" s="42"/>
      <c r="BI4975" s="74"/>
      <c r="BJ4975" s="77"/>
      <c r="BL4975" s="497">
        <v>80.06</v>
      </c>
      <c r="BN4975" s="42"/>
      <c r="BO4975" s="74"/>
      <c r="BP4975" s="77"/>
      <c r="BR4975" s="497">
        <v>86</v>
      </c>
      <c r="BT4975" s="42"/>
    </row>
    <row r="4976" spans="1:72" x14ac:dyDescent="0.25">
      <c r="A4976" s="90">
        <v>34541</v>
      </c>
      <c r="B4976" s="20">
        <v>0.58333333333333337</v>
      </c>
      <c r="D4976">
        <v>86</v>
      </c>
      <c r="E4976" t="str">
        <f t="shared" si="190"/>
        <v>WEEKDAY</v>
      </c>
      <c r="F4976" t="e">
        <f t="shared" si="191"/>
        <v>#N/A</v>
      </c>
      <c r="G4976" s="74">
        <v>31984</v>
      </c>
      <c r="H4976" s="77">
        <v>0.58333333333333337</v>
      </c>
      <c r="J4976">
        <v>78.98</v>
      </c>
      <c r="M4976" s="74">
        <v>33445</v>
      </c>
      <c r="N4976" s="77">
        <v>0.58333333333333337</v>
      </c>
      <c r="P4976">
        <v>75.02</v>
      </c>
      <c r="S4976" s="74">
        <v>34541</v>
      </c>
      <c r="T4976" s="77">
        <v>0.58333333333333337</v>
      </c>
      <c r="V4976">
        <v>78.98</v>
      </c>
      <c r="X4976" s="42"/>
      <c r="AB4976">
        <v>81.7</v>
      </c>
      <c r="AC4976">
        <v>82.94</v>
      </c>
      <c r="AE4976" s="74"/>
      <c r="AF4976" s="77"/>
      <c r="AH4976" s="497">
        <v>78.800000000000011</v>
      </c>
      <c r="AJ4976" s="42"/>
      <c r="AK4976" s="74"/>
      <c r="AL4976" s="77"/>
      <c r="AN4976" s="497">
        <v>78.080000000000013</v>
      </c>
      <c r="AP4976" s="42"/>
      <c r="AQ4976" s="74"/>
      <c r="AR4976" s="77"/>
      <c r="AT4976" s="497">
        <v>73.039999999999992</v>
      </c>
      <c r="AV4976" s="42"/>
      <c r="AW4976" s="74"/>
      <c r="AX4976" s="77"/>
      <c r="BA4976" s="497">
        <v>86</v>
      </c>
      <c r="BB4976" s="42"/>
      <c r="BC4976" s="74"/>
      <c r="BD4976" s="77"/>
      <c r="BF4976">
        <v>80.06</v>
      </c>
      <c r="BH4976" s="42"/>
      <c r="BI4976" s="74"/>
      <c r="BJ4976" s="77"/>
      <c r="BL4976" s="497">
        <v>78.98</v>
      </c>
      <c r="BN4976" s="42"/>
      <c r="BO4976" s="74"/>
      <c r="BP4976" s="77"/>
      <c r="BR4976" s="497">
        <v>87.080000000000013</v>
      </c>
      <c r="BT4976" s="42"/>
    </row>
    <row r="4977" spans="1:72" x14ac:dyDescent="0.25">
      <c r="A4977" s="90">
        <v>34541</v>
      </c>
      <c r="B4977" s="20">
        <v>0.625</v>
      </c>
      <c r="D4977">
        <v>84.92</v>
      </c>
      <c r="E4977" t="str">
        <f t="shared" si="190"/>
        <v>WEEKDAY</v>
      </c>
      <c r="F4977" t="e">
        <f t="shared" si="191"/>
        <v>#N/A</v>
      </c>
      <c r="G4977" s="74">
        <v>31984</v>
      </c>
      <c r="H4977" s="77">
        <v>0.625</v>
      </c>
      <c r="J4977">
        <v>78.080000000000013</v>
      </c>
      <c r="M4977" s="74">
        <v>33445</v>
      </c>
      <c r="N4977" s="77">
        <v>0.625</v>
      </c>
      <c r="P4977">
        <v>71.960000000000008</v>
      </c>
      <c r="S4977" s="74">
        <v>34541</v>
      </c>
      <c r="T4977" s="77">
        <v>0.625</v>
      </c>
      <c r="V4977">
        <v>77</v>
      </c>
      <c r="X4977" s="42"/>
      <c r="AB4977">
        <v>81.7</v>
      </c>
      <c r="AC4977">
        <v>82.039999999999992</v>
      </c>
      <c r="AE4977" s="74"/>
      <c r="AF4977" s="77"/>
      <c r="AH4977" s="497">
        <v>78.800000000000011</v>
      </c>
      <c r="AJ4977" s="42"/>
      <c r="AK4977" s="74"/>
      <c r="AL4977" s="77"/>
      <c r="AN4977" s="497">
        <v>78.98</v>
      </c>
      <c r="AP4977" s="42"/>
      <c r="AQ4977" s="74"/>
      <c r="AR4977" s="77"/>
      <c r="AT4977" s="497">
        <v>73.039999999999992</v>
      </c>
      <c r="AV4977" s="42"/>
      <c r="AW4977" s="74"/>
      <c r="AX4977" s="77"/>
      <c r="BA4977" s="497">
        <v>84.92</v>
      </c>
      <c r="BB4977" s="42"/>
      <c r="BC4977" s="74"/>
      <c r="BD4977" s="77"/>
      <c r="BF4977">
        <v>80.960000000000008</v>
      </c>
      <c r="BH4977" s="42"/>
      <c r="BI4977" s="74"/>
      <c r="BJ4977" s="77"/>
      <c r="BL4977" s="497">
        <v>75.92</v>
      </c>
      <c r="BN4977" s="42"/>
      <c r="BO4977" s="74"/>
      <c r="BP4977" s="77"/>
      <c r="BR4977" s="497">
        <v>87.080000000000013</v>
      </c>
      <c r="BT4977" s="42"/>
    </row>
    <row r="4978" spans="1:72" x14ac:dyDescent="0.25">
      <c r="A4978" s="90">
        <v>34541</v>
      </c>
      <c r="B4978" s="20">
        <v>0.66666666666666663</v>
      </c>
      <c r="D4978">
        <v>80.06</v>
      </c>
      <c r="E4978" t="str">
        <f t="shared" si="190"/>
        <v>WEEKDAY</v>
      </c>
      <c r="F4978" t="e">
        <f t="shared" si="191"/>
        <v>#N/A</v>
      </c>
      <c r="G4978" s="74">
        <v>31984</v>
      </c>
      <c r="H4978" s="77">
        <v>0.66666666666666663</v>
      </c>
      <c r="J4978">
        <v>78.080000000000013</v>
      </c>
      <c r="M4978" s="74">
        <v>33445</v>
      </c>
      <c r="N4978" s="77">
        <v>0.66666666666666663</v>
      </c>
      <c r="P4978">
        <v>71.960000000000008</v>
      </c>
      <c r="S4978" s="74">
        <v>34541</v>
      </c>
      <c r="T4978" s="77">
        <v>0.66666666666666663</v>
      </c>
      <c r="V4978">
        <v>75.92</v>
      </c>
      <c r="X4978" s="42"/>
      <c r="AB4978">
        <v>81.2</v>
      </c>
      <c r="AC4978">
        <v>78.080000000000013</v>
      </c>
      <c r="AE4978" s="74"/>
      <c r="AF4978" s="77"/>
      <c r="AH4978" s="497">
        <v>78.800000000000011</v>
      </c>
      <c r="AJ4978" s="42"/>
      <c r="AK4978" s="74"/>
      <c r="AL4978" s="77"/>
      <c r="AN4978" s="497">
        <v>77</v>
      </c>
      <c r="AP4978" s="42"/>
      <c r="AQ4978" s="74"/>
      <c r="AR4978" s="77"/>
      <c r="AT4978" s="497">
        <v>73.039999999999992</v>
      </c>
      <c r="AV4978" s="42"/>
      <c r="AW4978" s="74"/>
      <c r="AX4978" s="77"/>
      <c r="BA4978" s="497">
        <v>82.039999999999992</v>
      </c>
      <c r="BB4978" s="42"/>
      <c r="BC4978" s="74"/>
      <c r="BD4978" s="77"/>
      <c r="BF4978">
        <v>78.98</v>
      </c>
      <c r="BH4978" s="42"/>
      <c r="BI4978" s="74"/>
      <c r="BJ4978" s="77"/>
      <c r="BL4978" s="497">
        <v>71.960000000000008</v>
      </c>
      <c r="BN4978" s="42"/>
      <c r="BO4978" s="74"/>
      <c r="BP4978" s="77"/>
      <c r="BR4978" s="497">
        <v>87.080000000000013</v>
      </c>
      <c r="BT4978" s="42"/>
    </row>
    <row r="4979" spans="1:72" x14ac:dyDescent="0.25">
      <c r="A4979" s="90">
        <v>34541</v>
      </c>
      <c r="B4979" s="20">
        <v>0.70833333333333337</v>
      </c>
      <c r="D4979">
        <v>77</v>
      </c>
      <c r="E4979" t="str">
        <f t="shared" si="190"/>
        <v>WEEKDAY</v>
      </c>
      <c r="F4979" t="e">
        <f t="shared" si="191"/>
        <v>#N/A</v>
      </c>
      <c r="G4979" s="74">
        <v>31984</v>
      </c>
      <c r="H4979" s="77">
        <v>0.70833333333333337</v>
      </c>
      <c r="J4979">
        <v>80.06</v>
      </c>
      <c r="M4979" s="74">
        <v>33445</v>
      </c>
      <c r="N4979" s="77">
        <v>0.70833333333333337</v>
      </c>
      <c r="P4979">
        <v>73.039999999999992</v>
      </c>
      <c r="S4979" s="74">
        <v>34541</v>
      </c>
      <c r="T4979" s="77">
        <v>0.70833333333333337</v>
      </c>
      <c r="V4979">
        <v>73.94</v>
      </c>
      <c r="X4979" s="42"/>
      <c r="AB4979">
        <v>80.400000000000006</v>
      </c>
      <c r="AC4979">
        <v>77</v>
      </c>
      <c r="AE4979" s="74"/>
      <c r="AF4979" s="77"/>
      <c r="AH4979" s="497">
        <v>80.599999999999994</v>
      </c>
      <c r="AJ4979" s="42"/>
      <c r="AK4979" s="74"/>
      <c r="AL4979" s="77"/>
      <c r="AN4979" s="497">
        <v>77</v>
      </c>
      <c r="AP4979" s="42"/>
      <c r="AQ4979" s="74"/>
      <c r="AR4979" s="77"/>
      <c r="AT4979" s="497">
        <v>70.7</v>
      </c>
      <c r="AV4979" s="42"/>
      <c r="AW4979" s="74"/>
      <c r="AX4979" s="77"/>
      <c r="BA4979" s="497">
        <v>84.02</v>
      </c>
      <c r="BB4979" s="42"/>
      <c r="BC4979" s="74"/>
      <c r="BD4979" s="77"/>
      <c r="BF4979">
        <v>75.92</v>
      </c>
      <c r="BH4979" s="42"/>
      <c r="BI4979" s="74"/>
      <c r="BJ4979" s="77"/>
      <c r="BL4979" s="497">
        <v>71.06</v>
      </c>
      <c r="BN4979" s="42"/>
      <c r="BO4979" s="74"/>
      <c r="BP4979" s="77"/>
      <c r="BR4979" s="497">
        <v>87.080000000000013</v>
      </c>
      <c r="BT4979" s="42"/>
    </row>
    <row r="4980" spans="1:72" x14ac:dyDescent="0.25">
      <c r="A4980" s="90">
        <v>34541</v>
      </c>
      <c r="B4980" s="20">
        <v>0.75</v>
      </c>
      <c r="D4980">
        <v>75.02</v>
      </c>
      <c r="E4980" t="str">
        <f t="shared" si="190"/>
        <v>WEEKDAY</v>
      </c>
      <c r="F4980" t="e">
        <f t="shared" si="191"/>
        <v>#N/A</v>
      </c>
      <c r="G4980" s="74">
        <v>31984</v>
      </c>
      <c r="H4980" s="77">
        <v>0.75</v>
      </c>
      <c r="J4980">
        <v>80.960000000000008</v>
      </c>
      <c r="M4980" s="74">
        <v>33445</v>
      </c>
      <c r="N4980" s="77">
        <v>0.75</v>
      </c>
      <c r="P4980">
        <v>71.06</v>
      </c>
      <c r="S4980" s="74">
        <v>34541</v>
      </c>
      <c r="T4980" s="77">
        <v>0.75</v>
      </c>
      <c r="V4980">
        <v>71.960000000000008</v>
      </c>
      <c r="X4980" s="42"/>
      <c r="AB4980">
        <v>79.2</v>
      </c>
      <c r="AC4980">
        <v>77</v>
      </c>
      <c r="AE4980" s="74"/>
      <c r="AF4980" s="77"/>
      <c r="AH4980" s="497">
        <v>75.2</v>
      </c>
      <c r="AJ4980" s="42"/>
      <c r="AK4980" s="74"/>
      <c r="AL4980" s="77"/>
      <c r="AN4980" s="497">
        <v>75.92</v>
      </c>
      <c r="AP4980" s="42"/>
      <c r="AQ4980" s="74"/>
      <c r="AR4980" s="77"/>
      <c r="AT4980" s="497">
        <v>68.36</v>
      </c>
      <c r="AV4980" s="42"/>
      <c r="AW4980" s="74"/>
      <c r="AX4980" s="77"/>
      <c r="BA4980" s="497">
        <v>82.039999999999992</v>
      </c>
      <c r="BB4980" s="42"/>
      <c r="BC4980" s="74"/>
      <c r="BD4980" s="77"/>
      <c r="BF4980">
        <v>73.94</v>
      </c>
      <c r="BH4980" s="42"/>
      <c r="BI4980" s="74"/>
      <c r="BJ4980" s="77"/>
      <c r="BL4980" s="497">
        <v>69.98</v>
      </c>
      <c r="BN4980" s="42"/>
      <c r="BO4980" s="74"/>
      <c r="BP4980" s="77"/>
      <c r="BR4980" s="497">
        <v>84.92</v>
      </c>
      <c r="BT4980" s="42"/>
    </row>
    <row r="4981" spans="1:72" x14ac:dyDescent="0.25">
      <c r="A4981" s="90">
        <v>34541</v>
      </c>
      <c r="B4981" s="20">
        <v>0.79166666666666663</v>
      </c>
      <c r="D4981">
        <v>75.02</v>
      </c>
      <c r="E4981" t="str">
        <f t="shared" si="190"/>
        <v>WEEKDAY</v>
      </c>
      <c r="F4981" t="e">
        <f t="shared" si="191"/>
        <v>#N/A</v>
      </c>
      <c r="G4981" s="74">
        <v>31984</v>
      </c>
      <c r="H4981" s="77">
        <v>0.79166666666666663</v>
      </c>
      <c r="J4981">
        <v>78.98</v>
      </c>
      <c r="M4981" s="74">
        <v>33445</v>
      </c>
      <c r="N4981" s="77">
        <v>0.79166666666666663</v>
      </c>
      <c r="P4981">
        <v>68</v>
      </c>
      <c r="S4981" s="74">
        <v>34541</v>
      </c>
      <c r="T4981" s="77">
        <v>0.79166666666666663</v>
      </c>
      <c r="V4981">
        <v>71.960000000000008</v>
      </c>
      <c r="X4981" s="42"/>
      <c r="AB4981">
        <v>77.900000000000006</v>
      </c>
      <c r="AC4981">
        <v>75.02</v>
      </c>
      <c r="AE4981" s="74"/>
      <c r="AF4981" s="77"/>
      <c r="AH4981" s="497">
        <v>71.960000000000008</v>
      </c>
      <c r="AJ4981" s="42"/>
      <c r="AK4981" s="74"/>
      <c r="AL4981" s="77"/>
      <c r="AN4981" s="497">
        <v>73.94</v>
      </c>
      <c r="AP4981" s="42"/>
      <c r="AQ4981" s="74"/>
      <c r="AR4981" s="77"/>
      <c r="AT4981" s="497">
        <v>66.02</v>
      </c>
      <c r="AV4981" s="42"/>
      <c r="AW4981" s="74"/>
      <c r="AX4981" s="77"/>
      <c r="BA4981" s="497">
        <v>78.98</v>
      </c>
      <c r="BB4981" s="42"/>
      <c r="BC4981" s="74"/>
      <c r="BD4981" s="77"/>
      <c r="BF4981">
        <v>71.960000000000008</v>
      </c>
      <c r="BH4981" s="42"/>
      <c r="BI4981" s="74"/>
      <c r="BJ4981" s="77"/>
      <c r="BL4981" s="497">
        <v>69.98</v>
      </c>
      <c r="BN4981" s="42"/>
      <c r="BO4981" s="74"/>
      <c r="BP4981" s="77"/>
      <c r="BR4981" s="497">
        <v>78.080000000000013</v>
      </c>
      <c r="BT4981" s="42"/>
    </row>
    <row r="4982" spans="1:72" x14ac:dyDescent="0.25">
      <c r="A4982" s="90">
        <v>34541</v>
      </c>
      <c r="B4982" s="20">
        <v>0.83333333333333337</v>
      </c>
      <c r="D4982">
        <v>75.02</v>
      </c>
      <c r="E4982" t="str">
        <f t="shared" si="190"/>
        <v>WEEKDAY</v>
      </c>
      <c r="F4982" t="e">
        <f t="shared" si="191"/>
        <v>#N/A</v>
      </c>
      <c r="G4982" s="74">
        <v>31984</v>
      </c>
      <c r="H4982" s="77">
        <v>0.83333333333333337</v>
      </c>
      <c r="J4982">
        <v>78.080000000000013</v>
      </c>
      <c r="M4982" s="74">
        <v>33445</v>
      </c>
      <c r="N4982" s="77">
        <v>0.83333333333333337</v>
      </c>
      <c r="P4982">
        <v>66.92</v>
      </c>
      <c r="S4982" s="74">
        <v>34541</v>
      </c>
      <c r="T4982" s="77">
        <v>0.83333333333333337</v>
      </c>
      <c r="V4982">
        <v>71.960000000000008</v>
      </c>
      <c r="X4982" s="42"/>
      <c r="AB4982">
        <v>76.599999999999994</v>
      </c>
      <c r="AC4982">
        <v>73.94</v>
      </c>
      <c r="AE4982" s="74"/>
      <c r="AF4982" s="77"/>
      <c r="AH4982" s="497">
        <v>67.64</v>
      </c>
      <c r="AJ4982" s="42"/>
      <c r="AK4982" s="74"/>
      <c r="AL4982" s="77"/>
      <c r="AN4982" s="497">
        <v>71.960000000000008</v>
      </c>
      <c r="AP4982" s="42"/>
      <c r="AQ4982" s="74"/>
      <c r="AR4982" s="77"/>
      <c r="AT4982" s="497">
        <v>63.319999999999993</v>
      </c>
      <c r="AV4982" s="42"/>
      <c r="AW4982" s="74"/>
      <c r="AX4982" s="77"/>
      <c r="BA4982" s="497">
        <v>73.94</v>
      </c>
      <c r="BB4982" s="42"/>
      <c r="BC4982" s="74"/>
      <c r="BD4982" s="77"/>
      <c r="BF4982">
        <v>71.06</v>
      </c>
      <c r="BH4982" s="42"/>
      <c r="BI4982" s="74"/>
      <c r="BJ4982" s="77"/>
      <c r="BL4982" s="497">
        <v>68</v>
      </c>
      <c r="BN4982" s="42"/>
      <c r="BO4982" s="74"/>
      <c r="BP4982" s="77"/>
      <c r="BR4982" s="497">
        <v>71.06</v>
      </c>
      <c r="BT4982" s="42"/>
    </row>
    <row r="4983" spans="1:72" x14ac:dyDescent="0.25">
      <c r="A4983" s="90">
        <v>34541</v>
      </c>
      <c r="B4983" s="20">
        <v>0.875</v>
      </c>
      <c r="D4983">
        <v>75.02</v>
      </c>
      <c r="E4983" t="str">
        <f t="shared" si="190"/>
        <v>WEEKDAY</v>
      </c>
      <c r="F4983" t="e">
        <f t="shared" si="191"/>
        <v>#N/A</v>
      </c>
      <c r="G4983" s="74">
        <v>31984</v>
      </c>
      <c r="H4983" s="77">
        <v>0.875</v>
      </c>
      <c r="J4983">
        <v>77</v>
      </c>
      <c r="M4983" s="74">
        <v>33445</v>
      </c>
      <c r="N4983" s="77">
        <v>0.875</v>
      </c>
      <c r="P4983">
        <v>66.92</v>
      </c>
      <c r="S4983" s="74">
        <v>34541</v>
      </c>
      <c r="T4983" s="77">
        <v>0.875</v>
      </c>
      <c r="V4983">
        <v>73.039999999999992</v>
      </c>
      <c r="X4983" s="42"/>
      <c r="AB4983">
        <v>75.599999999999994</v>
      </c>
      <c r="AC4983">
        <v>73.94</v>
      </c>
      <c r="AE4983" s="74"/>
      <c r="AF4983" s="77"/>
      <c r="AH4983" s="497">
        <v>64.400000000000006</v>
      </c>
      <c r="AJ4983" s="42"/>
      <c r="AK4983" s="74"/>
      <c r="AL4983" s="77"/>
      <c r="AN4983" s="497">
        <v>71.06</v>
      </c>
      <c r="AP4983" s="42"/>
      <c r="AQ4983" s="74"/>
      <c r="AR4983" s="77"/>
      <c r="AT4983" s="497">
        <v>60.620000000000005</v>
      </c>
      <c r="AV4983" s="42"/>
      <c r="AW4983" s="74"/>
      <c r="AX4983" s="77"/>
      <c r="BA4983" s="497">
        <v>71.960000000000008</v>
      </c>
      <c r="BB4983" s="42"/>
      <c r="BC4983" s="74"/>
      <c r="BD4983" s="77"/>
      <c r="BF4983">
        <v>69.98</v>
      </c>
      <c r="BH4983" s="42"/>
      <c r="BI4983" s="74"/>
      <c r="BJ4983" s="77"/>
      <c r="BL4983" s="497">
        <v>68</v>
      </c>
      <c r="BN4983" s="42"/>
      <c r="BO4983" s="74"/>
      <c r="BP4983" s="77"/>
      <c r="BR4983" s="497">
        <v>66.92</v>
      </c>
      <c r="BT4983" s="42"/>
    </row>
    <row r="4984" spans="1:72" x14ac:dyDescent="0.25">
      <c r="A4984" s="90">
        <v>34541</v>
      </c>
      <c r="B4984" s="20">
        <v>0.91666666666666663</v>
      </c>
      <c r="D4984">
        <v>73.94</v>
      </c>
      <c r="E4984" t="str">
        <f t="shared" si="190"/>
        <v>WEEKDAY</v>
      </c>
      <c r="F4984" t="e">
        <f t="shared" si="191"/>
        <v>#N/A</v>
      </c>
      <c r="G4984" s="74">
        <v>31984</v>
      </c>
      <c r="H4984" s="77">
        <v>0.91666666666666663</v>
      </c>
      <c r="J4984">
        <v>77</v>
      </c>
      <c r="M4984" s="74">
        <v>33445</v>
      </c>
      <c r="N4984" s="77">
        <v>0.91666666666666663</v>
      </c>
      <c r="P4984">
        <v>66.92</v>
      </c>
      <c r="S4984" s="74">
        <v>34541</v>
      </c>
      <c r="T4984" s="77">
        <v>0.91666666666666663</v>
      </c>
      <c r="V4984">
        <v>71.960000000000008</v>
      </c>
      <c r="X4984" s="42"/>
      <c r="AB4984">
        <v>75.099999999999994</v>
      </c>
      <c r="AC4984">
        <v>73.94</v>
      </c>
      <c r="AE4984" s="74"/>
      <c r="AF4984" s="77"/>
      <c r="AH4984" s="497">
        <v>64.400000000000006</v>
      </c>
      <c r="AJ4984" s="42"/>
      <c r="AK4984" s="74"/>
      <c r="AL4984" s="77"/>
      <c r="AN4984" s="497">
        <v>69.98</v>
      </c>
      <c r="AP4984" s="42"/>
      <c r="AQ4984" s="74"/>
      <c r="AR4984" s="77"/>
      <c r="AT4984" s="497">
        <v>57.92</v>
      </c>
      <c r="AV4984" s="42"/>
      <c r="AW4984" s="74"/>
      <c r="AX4984" s="77"/>
      <c r="BA4984" s="497">
        <v>69.98</v>
      </c>
      <c r="BB4984" s="42"/>
      <c r="BC4984" s="74"/>
      <c r="BD4984" s="77"/>
      <c r="BF4984">
        <v>69.98</v>
      </c>
      <c r="BH4984" s="42"/>
      <c r="BI4984" s="74"/>
      <c r="BJ4984" s="77"/>
      <c r="BL4984" s="497">
        <v>66.92</v>
      </c>
      <c r="BN4984" s="42"/>
      <c r="BO4984" s="74"/>
      <c r="BP4984" s="77"/>
      <c r="BR4984" s="497">
        <v>66.02</v>
      </c>
      <c r="BT4984" s="42"/>
    </row>
    <row r="4985" spans="1:72" x14ac:dyDescent="0.25">
      <c r="A4985" s="90">
        <v>34541</v>
      </c>
      <c r="B4985" s="20">
        <v>0.95833333333333337</v>
      </c>
      <c r="D4985">
        <v>73.94</v>
      </c>
      <c r="E4985" t="str">
        <f t="shared" si="190"/>
        <v>WEEKDAY</v>
      </c>
      <c r="F4985" t="e">
        <f t="shared" si="191"/>
        <v>#N/A</v>
      </c>
      <c r="G4985" s="74">
        <v>31984</v>
      </c>
      <c r="H4985" s="77">
        <v>0.95833333333333337</v>
      </c>
      <c r="J4985">
        <v>75.92</v>
      </c>
      <c r="M4985" s="74">
        <v>33445</v>
      </c>
      <c r="N4985" s="77">
        <v>0.95833333333333337</v>
      </c>
      <c r="P4985">
        <v>66.92</v>
      </c>
      <c r="S4985" s="74">
        <v>34541</v>
      </c>
      <c r="T4985" s="77">
        <v>0.95833333333333337</v>
      </c>
      <c r="V4985">
        <v>71.960000000000008</v>
      </c>
      <c r="X4985" s="42"/>
      <c r="AB4985">
        <v>74.7</v>
      </c>
      <c r="AC4985">
        <v>73.94</v>
      </c>
      <c r="AE4985" s="74"/>
      <c r="AF4985" s="77"/>
      <c r="AH4985" s="497">
        <v>64.400000000000006</v>
      </c>
      <c r="AJ4985" s="42"/>
      <c r="AK4985" s="74"/>
      <c r="AL4985" s="77"/>
      <c r="AN4985" s="497">
        <v>69.98</v>
      </c>
      <c r="AP4985" s="42"/>
      <c r="AQ4985" s="74"/>
      <c r="AR4985" s="77"/>
      <c r="AT4985" s="497">
        <v>57.019999999999996</v>
      </c>
      <c r="AV4985" s="42"/>
      <c r="AW4985" s="74"/>
      <c r="AX4985" s="77"/>
      <c r="BA4985" s="497">
        <v>69.080000000000013</v>
      </c>
      <c r="BB4985" s="42"/>
      <c r="BC4985" s="74"/>
      <c r="BD4985" s="77"/>
      <c r="BF4985">
        <v>69.080000000000013</v>
      </c>
      <c r="BH4985" s="42"/>
      <c r="BI4985" s="74"/>
      <c r="BJ4985" s="77"/>
      <c r="BL4985" s="497">
        <v>66.92</v>
      </c>
      <c r="BN4985" s="42"/>
      <c r="BO4985" s="74"/>
      <c r="BP4985" s="77"/>
      <c r="BR4985" s="497">
        <v>64.039999999999992</v>
      </c>
      <c r="BT4985" s="42"/>
    </row>
    <row r="4986" spans="1:72" x14ac:dyDescent="0.25">
      <c r="A4986" s="90">
        <v>34541</v>
      </c>
      <c r="B4986" s="20">
        <v>1</v>
      </c>
      <c r="D4986">
        <v>75.02</v>
      </c>
      <c r="E4986" t="str">
        <f t="shared" si="190"/>
        <v>WEEKDAY</v>
      </c>
      <c r="F4986" t="e">
        <f t="shared" si="191"/>
        <v>#N/A</v>
      </c>
      <c r="G4986" s="74">
        <v>31984</v>
      </c>
      <c r="H4986" s="77">
        <v>1</v>
      </c>
      <c r="J4986">
        <v>75.92</v>
      </c>
      <c r="M4986" s="74">
        <v>33445</v>
      </c>
      <c r="N4986" s="80">
        <v>1</v>
      </c>
      <c r="P4986">
        <v>66.02</v>
      </c>
      <c r="S4986" s="74">
        <v>34541</v>
      </c>
      <c r="T4986" s="80">
        <v>1</v>
      </c>
      <c r="V4986">
        <v>71.960000000000008</v>
      </c>
      <c r="X4986" s="42"/>
      <c r="AB4986">
        <v>74.2</v>
      </c>
      <c r="AC4986">
        <v>73.94</v>
      </c>
      <c r="AE4986" s="74"/>
      <c r="AF4986" s="80"/>
      <c r="AH4986" s="497">
        <v>64.400000000000006</v>
      </c>
      <c r="AJ4986" s="42"/>
      <c r="AK4986" s="74"/>
      <c r="AL4986" s="80"/>
      <c r="AN4986" s="497">
        <v>69.080000000000013</v>
      </c>
      <c r="AP4986" s="42"/>
      <c r="AQ4986" s="74"/>
      <c r="AR4986" s="80"/>
      <c r="AT4986" s="497">
        <v>55.94</v>
      </c>
      <c r="AV4986" s="42"/>
      <c r="AW4986" s="74"/>
      <c r="AX4986" s="80"/>
      <c r="BA4986" s="497">
        <v>68</v>
      </c>
      <c r="BB4986" s="42"/>
      <c r="BC4986" s="74"/>
      <c r="BD4986" s="80"/>
      <c r="BF4986">
        <v>69.080000000000013</v>
      </c>
      <c r="BH4986" s="42"/>
      <c r="BI4986" s="74"/>
      <c r="BJ4986" s="80"/>
      <c r="BL4986" s="497">
        <v>66.02</v>
      </c>
      <c r="BN4986" s="42"/>
      <c r="BO4986" s="74"/>
      <c r="BP4986" s="80"/>
      <c r="BR4986" s="497">
        <v>62.96</v>
      </c>
      <c r="BT4986" s="42"/>
    </row>
    <row r="4987" spans="1:72" x14ac:dyDescent="0.25">
      <c r="A4987" s="90">
        <v>34542</v>
      </c>
      <c r="B4987" s="20">
        <v>4.1666666666666664E-2</v>
      </c>
      <c r="D4987">
        <v>73.94</v>
      </c>
      <c r="E4987" t="str">
        <f t="shared" si="190"/>
        <v>WEEKDAY</v>
      </c>
      <c r="F4987" t="e">
        <f t="shared" si="191"/>
        <v>#N/A</v>
      </c>
      <c r="G4987" s="74">
        <v>31985</v>
      </c>
      <c r="H4987" s="77">
        <v>4.1666666666666664E-2</v>
      </c>
      <c r="J4987">
        <v>75.02</v>
      </c>
      <c r="M4987" s="74">
        <v>33446</v>
      </c>
      <c r="N4987" s="77">
        <v>4.1666666666666664E-2</v>
      </c>
      <c r="P4987">
        <v>66.02</v>
      </c>
      <c r="S4987" s="74">
        <v>34542</v>
      </c>
      <c r="T4987" s="77">
        <v>4.1666666666666664E-2</v>
      </c>
      <c r="V4987">
        <v>71.960000000000008</v>
      </c>
      <c r="X4987" s="42"/>
      <c r="AB4987">
        <v>73.7</v>
      </c>
      <c r="AC4987">
        <v>73.039999999999992</v>
      </c>
      <c r="AE4987" s="74"/>
      <c r="AF4987" s="77"/>
      <c r="AH4987" s="497">
        <v>64.400000000000006</v>
      </c>
      <c r="AJ4987" s="42"/>
      <c r="AK4987" s="74"/>
      <c r="AL4987" s="77"/>
      <c r="AN4987" s="497">
        <v>68</v>
      </c>
      <c r="AP4987" s="42"/>
      <c r="AQ4987" s="74"/>
      <c r="AR4987" s="77"/>
      <c r="AT4987" s="497">
        <v>55.040000000000006</v>
      </c>
      <c r="AV4987" s="42"/>
      <c r="AW4987" s="74"/>
      <c r="AX4987" s="77"/>
      <c r="BA4987" s="497">
        <v>66.92</v>
      </c>
      <c r="BB4987" s="42"/>
      <c r="BC4987" s="74"/>
      <c r="BD4987" s="77"/>
      <c r="BF4987">
        <v>66.92</v>
      </c>
      <c r="BH4987" s="42"/>
      <c r="BI4987" s="74"/>
      <c r="BJ4987" s="77"/>
      <c r="BL4987" s="497">
        <v>66.02</v>
      </c>
      <c r="BN4987" s="42"/>
      <c r="BO4987" s="74"/>
      <c r="BP4987" s="77"/>
      <c r="BR4987" s="497">
        <v>62.06</v>
      </c>
      <c r="BT4987" s="42"/>
    </row>
    <row r="4988" spans="1:72" x14ac:dyDescent="0.25">
      <c r="A4988" s="90">
        <v>34542</v>
      </c>
      <c r="B4988" s="20">
        <v>8.3333333333333329E-2</v>
      </c>
      <c r="D4988">
        <v>73.94</v>
      </c>
      <c r="E4988" t="str">
        <f t="shared" si="190"/>
        <v>WEEKDAY</v>
      </c>
      <c r="F4988" t="e">
        <f t="shared" si="191"/>
        <v>#N/A</v>
      </c>
      <c r="G4988" s="74">
        <v>31985</v>
      </c>
      <c r="H4988" s="77">
        <v>8.3333333333333329E-2</v>
      </c>
      <c r="J4988">
        <v>73.94</v>
      </c>
      <c r="M4988" s="74">
        <v>33446</v>
      </c>
      <c r="N4988" s="77">
        <v>8.3333333333333329E-2</v>
      </c>
      <c r="P4988">
        <v>64.94</v>
      </c>
      <c r="S4988" s="74">
        <v>34542</v>
      </c>
      <c r="T4988" s="77">
        <v>8.3333333333333329E-2</v>
      </c>
      <c r="V4988">
        <v>71.960000000000008</v>
      </c>
      <c r="X4988" s="42"/>
      <c r="AB4988">
        <v>73.099999999999994</v>
      </c>
      <c r="AC4988">
        <v>73.039999999999992</v>
      </c>
      <c r="AE4988" s="74"/>
      <c r="AF4988" s="77"/>
      <c r="AH4988" s="497">
        <v>64.400000000000006</v>
      </c>
      <c r="AJ4988" s="42"/>
      <c r="AK4988" s="74"/>
      <c r="AL4988" s="77"/>
      <c r="AN4988" s="497">
        <v>68</v>
      </c>
      <c r="AP4988" s="42"/>
      <c r="AQ4988" s="74"/>
      <c r="AR4988" s="77"/>
      <c r="AT4988" s="497">
        <v>53.06</v>
      </c>
      <c r="AV4988" s="42"/>
      <c r="AW4988" s="74"/>
      <c r="AX4988" s="77"/>
      <c r="BA4988" s="497">
        <v>64.94</v>
      </c>
      <c r="BB4988" s="42"/>
      <c r="BC4988" s="74"/>
      <c r="BD4988" s="77"/>
      <c r="BF4988">
        <v>69.080000000000013</v>
      </c>
      <c r="BH4988" s="42"/>
      <c r="BI4988" s="74"/>
      <c r="BJ4988" s="77"/>
      <c r="BL4988" s="497">
        <v>64.94</v>
      </c>
      <c r="BN4988" s="42"/>
      <c r="BO4988" s="74"/>
      <c r="BP4988" s="77"/>
      <c r="BR4988" s="497">
        <v>60.980000000000004</v>
      </c>
      <c r="BT4988" s="42"/>
    </row>
    <row r="4989" spans="1:72" x14ac:dyDescent="0.25">
      <c r="A4989" s="90">
        <v>34542</v>
      </c>
      <c r="B4989" s="20">
        <v>0.125</v>
      </c>
      <c r="D4989">
        <v>73.94</v>
      </c>
      <c r="E4989" t="str">
        <f t="shared" si="190"/>
        <v>WEEKDAY</v>
      </c>
      <c r="F4989" t="e">
        <f t="shared" si="191"/>
        <v>#N/A</v>
      </c>
      <c r="G4989" s="74">
        <v>31985</v>
      </c>
      <c r="H4989" s="77">
        <v>0.125</v>
      </c>
      <c r="J4989">
        <v>73.94</v>
      </c>
      <c r="M4989" s="74">
        <v>33446</v>
      </c>
      <c r="N4989" s="77">
        <v>0.125</v>
      </c>
      <c r="P4989">
        <v>64.94</v>
      </c>
      <c r="S4989" s="74">
        <v>34542</v>
      </c>
      <c r="T4989" s="77">
        <v>0.125</v>
      </c>
      <c r="V4989">
        <v>71.960000000000008</v>
      </c>
      <c r="X4989" s="42"/>
      <c r="AB4989">
        <v>72.599999999999994</v>
      </c>
      <c r="AC4989">
        <v>71.960000000000008</v>
      </c>
      <c r="AE4989" s="74"/>
      <c r="AF4989" s="77"/>
      <c r="AH4989" s="497">
        <v>64.400000000000006</v>
      </c>
      <c r="AJ4989" s="42"/>
      <c r="AK4989" s="74"/>
      <c r="AL4989" s="77"/>
      <c r="AN4989" s="497">
        <v>68</v>
      </c>
      <c r="AP4989" s="42"/>
      <c r="AQ4989" s="74"/>
      <c r="AR4989" s="77"/>
      <c r="AT4989" s="497">
        <v>50.900000000000006</v>
      </c>
      <c r="AV4989" s="42"/>
      <c r="AW4989" s="74"/>
      <c r="AX4989" s="77"/>
      <c r="BA4989" s="497">
        <v>64.039999999999992</v>
      </c>
      <c r="BB4989" s="42"/>
      <c r="BC4989" s="74"/>
      <c r="BD4989" s="77"/>
      <c r="BF4989">
        <v>69.080000000000013</v>
      </c>
      <c r="BH4989" s="42"/>
      <c r="BI4989" s="74"/>
      <c r="BJ4989" s="77"/>
      <c r="BL4989" s="497">
        <v>64.94</v>
      </c>
      <c r="BN4989" s="42"/>
      <c r="BO4989" s="74"/>
      <c r="BP4989" s="77"/>
      <c r="BR4989" s="497">
        <v>59</v>
      </c>
      <c r="BT4989" s="42"/>
    </row>
    <row r="4990" spans="1:72" x14ac:dyDescent="0.25">
      <c r="A4990" s="90">
        <v>34542</v>
      </c>
      <c r="B4990" s="20">
        <v>0.16666666666666666</v>
      </c>
      <c r="D4990">
        <v>73.94</v>
      </c>
      <c r="E4990" t="str">
        <f t="shared" si="190"/>
        <v>WEEKDAY</v>
      </c>
      <c r="F4990" t="e">
        <f t="shared" si="191"/>
        <v>#N/A</v>
      </c>
      <c r="G4990" s="74">
        <v>31985</v>
      </c>
      <c r="H4990" s="77">
        <v>0.16666666666666666</v>
      </c>
      <c r="J4990">
        <v>71.06</v>
      </c>
      <c r="M4990" s="74">
        <v>33446</v>
      </c>
      <c r="N4990" s="77">
        <v>0.16666666666666666</v>
      </c>
      <c r="P4990">
        <v>64.039999999999992</v>
      </c>
      <c r="S4990" s="74">
        <v>34542</v>
      </c>
      <c r="T4990" s="77">
        <v>0.16666666666666666</v>
      </c>
      <c r="V4990">
        <v>71.06</v>
      </c>
      <c r="X4990" s="42"/>
      <c r="AB4990">
        <v>72.099999999999994</v>
      </c>
      <c r="AC4990">
        <v>71.960000000000008</v>
      </c>
      <c r="AE4990" s="74"/>
      <c r="AF4990" s="77"/>
      <c r="AH4990" s="497">
        <v>64.400000000000006</v>
      </c>
      <c r="AJ4990" s="42"/>
      <c r="AK4990" s="74"/>
      <c r="AL4990" s="77"/>
      <c r="AN4990" s="497">
        <v>69.080000000000013</v>
      </c>
      <c r="AP4990" s="42"/>
      <c r="AQ4990" s="74"/>
      <c r="AR4990" s="77"/>
      <c r="AT4990" s="497">
        <v>48.92</v>
      </c>
      <c r="AV4990" s="42"/>
      <c r="AW4990" s="74"/>
      <c r="AX4990" s="77"/>
      <c r="BA4990" s="497">
        <v>62.96</v>
      </c>
      <c r="BB4990" s="42"/>
      <c r="BC4990" s="74"/>
      <c r="BD4990" s="77"/>
      <c r="BF4990">
        <v>68</v>
      </c>
      <c r="BH4990" s="42"/>
      <c r="BI4990" s="74"/>
      <c r="BJ4990" s="77"/>
      <c r="BL4990" s="497">
        <v>64.94</v>
      </c>
      <c r="BN4990" s="42"/>
      <c r="BO4990" s="74"/>
      <c r="BP4990" s="77"/>
      <c r="BR4990" s="497">
        <v>60.08</v>
      </c>
      <c r="BT4990" s="42"/>
    </row>
    <row r="4991" spans="1:72" x14ac:dyDescent="0.25">
      <c r="A4991" s="90">
        <v>34542</v>
      </c>
      <c r="B4991" s="20">
        <v>0.20833333333333334</v>
      </c>
      <c r="D4991">
        <v>73.94</v>
      </c>
      <c r="E4991" t="str">
        <f t="shared" si="190"/>
        <v>WEEKDAY</v>
      </c>
      <c r="F4991" t="e">
        <f t="shared" si="191"/>
        <v>#N/A</v>
      </c>
      <c r="G4991" s="74">
        <v>31985</v>
      </c>
      <c r="H4991" s="77">
        <v>0.20833333333333334</v>
      </c>
      <c r="J4991">
        <v>69.98</v>
      </c>
      <c r="M4991" s="74">
        <v>33446</v>
      </c>
      <c r="N4991" s="77">
        <v>0.20833333333333334</v>
      </c>
      <c r="P4991">
        <v>64.039999999999992</v>
      </c>
      <c r="S4991" s="74">
        <v>34542</v>
      </c>
      <c r="T4991" s="77">
        <v>0.20833333333333334</v>
      </c>
      <c r="V4991">
        <v>71.960000000000008</v>
      </c>
      <c r="X4991" s="42"/>
      <c r="AB4991">
        <v>71.599999999999994</v>
      </c>
      <c r="AC4991">
        <v>71.06</v>
      </c>
      <c r="AE4991" s="74"/>
      <c r="AF4991" s="77"/>
      <c r="AH4991" s="497">
        <v>64.400000000000006</v>
      </c>
      <c r="AJ4991" s="42"/>
      <c r="AK4991" s="74"/>
      <c r="AL4991" s="77"/>
      <c r="AN4991" s="497">
        <v>69.98</v>
      </c>
      <c r="AP4991" s="42"/>
      <c r="AQ4991" s="74"/>
      <c r="AR4991" s="77"/>
      <c r="AT4991" s="497">
        <v>51.980000000000004</v>
      </c>
      <c r="AV4991" s="42"/>
      <c r="AW4991" s="74"/>
      <c r="AX4991" s="77"/>
      <c r="BA4991" s="497">
        <v>62.06</v>
      </c>
      <c r="BB4991" s="42"/>
      <c r="BC4991" s="74"/>
      <c r="BD4991" s="77"/>
      <c r="BF4991">
        <v>68</v>
      </c>
      <c r="BH4991" s="42"/>
      <c r="BI4991" s="74"/>
      <c r="BJ4991" s="77"/>
      <c r="BL4991" s="497">
        <v>64.94</v>
      </c>
      <c r="BN4991" s="42"/>
      <c r="BO4991" s="74"/>
      <c r="BP4991" s="77"/>
      <c r="BR4991" s="497">
        <v>59</v>
      </c>
      <c r="BT4991" s="42"/>
    </row>
    <row r="4992" spans="1:72" x14ac:dyDescent="0.25">
      <c r="A4992" s="90">
        <v>34542</v>
      </c>
      <c r="B4992" s="20">
        <v>0.25</v>
      </c>
      <c r="D4992">
        <v>73.94</v>
      </c>
      <c r="E4992" t="str">
        <f t="shared" si="190"/>
        <v>WEEKDAY</v>
      </c>
      <c r="F4992" t="e">
        <f t="shared" si="191"/>
        <v>#N/A</v>
      </c>
      <c r="G4992" s="74">
        <v>31985</v>
      </c>
      <c r="H4992" s="77">
        <v>0.25</v>
      </c>
      <c r="J4992">
        <v>71.06</v>
      </c>
      <c r="M4992" s="74">
        <v>33446</v>
      </c>
      <c r="N4992" s="77">
        <v>0.25</v>
      </c>
      <c r="P4992">
        <v>62.96</v>
      </c>
      <c r="S4992" s="74">
        <v>34542</v>
      </c>
      <c r="T4992" s="77">
        <v>0.25</v>
      </c>
      <c r="V4992">
        <v>73.039999999999992</v>
      </c>
      <c r="X4992" s="42"/>
      <c r="AB4992">
        <v>71.2</v>
      </c>
      <c r="AC4992">
        <v>71.06</v>
      </c>
      <c r="AE4992" s="74"/>
      <c r="AF4992" s="77"/>
      <c r="AH4992" s="497">
        <v>66.2</v>
      </c>
      <c r="AJ4992" s="42"/>
      <c r="AK4992" s="74"/>
      <c r="AL4992" s="77"/>
      <c r="AN4992" s="497">
        <v>69.98</v>
      </c>
      <c r="AP4992" s="42"/>
      <c r="AQ4992" s="74"/>
      <c r="AR4992" s="77"/>
      <c r="AT4992" s="497">
        <v>54.86</v>
      </c>
      <c r="AV4992" s="42"/>
      <c r="AW4992" s="74"/>
      <c r="AX4992" s="77"/>
      <c r="BA4992" s="497">
        <v>64.039999999999992</v>
      </c>
      <c r="BB4992" s="42"/>
      <c r="BC4992" s="74"/>
      <c r="BD4992" s="77"/>
      <c r="BF4992">
        <v>69.080000000000013</v>
      </c>
      <c r="BH4992" s="42"/>
      <c r="BI4992" s="74"/>
      <c r="BJ4992" s="77"/>
      <c r="BL4992" s="497">
        <v>64.94</v>
      </c>
      <c r="BN4992" s="42"/>
      <c r="BO4992" s="74"/>
      <c r="BP4992" s="77"/>
      <c r="BR4992" s="497">
        <v>62.06</v>
      </c>
      <c r="BT4992" s="42"/>
    </row>
    <row r="4993" spans="1:72" x14ac:dyDescent="0.25">
      <c r="A4993" s="90">
        <v>34542</v>
      </c>
      <c r="B4993" s="20">
        <v>0.29166666666666669</v>
      </c>
      <c r="D4993">
        <v>75.92</v>
      </c>
      <c r="E4993" t="str">
        <f t="shared" si="190"/>
        <v>WEEKDAY</v>
      </c>
      <c r="F4993" t="e">
        <f t="shared" si="191"/>
        <v>#N/A</v>
      </c>
      <c r="G4993" s="74">
        <v>31985</v>
      </c>
      <c r="H4993" s="77">
        <v>0.29166666666666669</v>
      </c>
      <c r="J4993">
        <v>73.039999999999992</v>
      </c>
      <c r="M4993" s="74">
        <v>33446</v>
      </c>
      <c r="N4993" s="77">
        <v>0.29166666666666669</v>
      </c>
      <c r="P4993">
        <v>62.96</v>
      </c>
      <c r="S4993" s="74">
        <v>34542</v>
      </c>
      <c r="T4993" s="77">
        <v>0.29166666666666669</v>
      </c>
      <c r="V4993">
        <v>73.94</v>
      </c>
      <c r="X4993" s="42"/>
      <c r="AB4993">
        <v>72.3</v>
      </c>
      <c r="AC4993">
        <v>73.039999999999992</v>
      </c>
      <c r="AE4993" s="74"/>
      <c r="AF4993" s="77"/>
      <c r="AH4993" s="497">
        <v>66.2</v>
      </c>
      <c r="AJ4993" s="42"/>
      <c r="AK4993" s="74"/>
      <c r="AL4993" s="77"/>
      <c r="AN4993" s="497">
        <v>69.98</v>
      </c>
      <c r="AP4993" s="42"/>
      <c r="AQ4993" s="74"/>
      <c r="AR4993" s="77"/>
      <c r="AT4993" s="497">
        <v>57.92</v>
      </c>
      <c r="AV4993" s="42"/>
      <c r="AW4993" s="74"/>
      <c r="AX4993" s="77"/>
      <c r="BA4993" s="497">
        <v>69.080000000000013</v>
      </c>
      <c r="BB4993" s="42"/>
      <c r="BC4993" s="74"/>
      <c r="BD4993" s="77"/>
      <c r="BF4993">
        <v>69.98</v>
      </c>
      <c r="BH4993" s="42"/>
      <c r="BI4993" s="74"/>
      <c r="BJ4993" s="77"/>
      <c r="BL4993" s="497">
        <v>64.94</v>
      </c>
      <c r="BN4993" s="42"/>
      <c r="BO4993" s="74"/>
      <c r="BP4993" s="77"/>
      <c r="BR4993" s="497">
        <v>66.92</v>
      </c>
      <c r="BT4993" s="42"/>
    </row>
    <row r="4994" spans="1:72" x14ac:dyDescent="0.25">
      <c r="A4994" s="90">
        <v>34542</v>
      </c>
      <c r="B4994" s="20">
        <v>0.33333333333333331</v>
      </c>
      <c r="D4994">
        <v>78.080000000000013</v>
      </c>
      <c r="E4994" t="str">
        <f t="shared" si="190"/>
        <v>WEEKDAY</v>
      </c>
      <c r="F4994" t="e">
        <f t="shared" si="191"/>
        <v>#N/A</v>
      </c>
      <c r="G4994" s="74">
        <v>31985</v>
      </c>
      <c r="H4994" s="77">
        <v>0.33333333333333331</v>
      </c>
      <c r="J4994">
        <v>75.02</v>
      </c>
      <c r="M4994" s="74">
        <v>33446</v>
      </c>
      <c r="N4994" s="77">
        <v>0.33333333333333331</v>
      </c>
      <c r="P4994">
        <v>62.96</v>
      </c>
      <c r="S4994" s="74">
        <v>34542</v>
      </c>
      <c r="T4994" s="77">
        <v>0.33333333333333331</v>
      </c>
      <c r="V4994">
        <v>75.92</v>
      </c>
      <c r="X4994" s="42"/>
      <c r="AB4994">
        <v>74.3</v>
      </c>
      <c r="AC4994">
        <v>75.92</v>
      </c>
      <c r="AE4994" s="74"/>
      <c r="AF4994" s="77"/>
      <c r="AH4994" s="497">
        <v>66.2</v>
      </c>
      <c r="AJ4994" s="42"/>
      <c r="AK4994" s="74"/>
      <c r="AL4994" s="77"/>
      <c r="AN4994" s="497">
        <v>71.960000000000008</v>
      </c>
      <c r="AP4994" s="42"/>
      <c r="AQ4994" s="74"/>
      <c r="AR4994" s="77"/>
      <c r="AT4994" s="497">
        <v>61.34</v>
      </c>
      <c r="AV4994" s="42"/>
      <c r="AW4994" s="74"/>
      <c r="AX4994" s="77"/>
      <c r="BA4994" s="497">
        <v>75.02</v>
      </c>
      <c r="BB4994" s="42"/>
      <c r="BC4994" s="74"/>
      <c r="BD4994" s="77"/>
      <c r="BF4994">
        <v>71.960000000000008</v>
      </c>
      <c r="BH4994" s="42"/>
      <c r="BI4994" s="74"/>
      <c r="BJ4994" s="77"/>
      <c r="BL4994" s="497">
        <v>66.92</v>
      </c>
      <c r="BN4994" s="42"/>
      <c r="BO4994" s="74"/>
      <c r="BP4994" s="77"/>
      <c r="BR4994" s="497">
        <v>73.94</v>
      </c>
      <c r="BT4994" s="42"/>
    </row>
    <row r="4995" spans="1:72" x14ac:dyDescent="0.25">
      <c r="A4995" s="90">
        <v>34542</v>
      </c>
      <c r="B4995" s="20">
        <v>0.375</v>
      </c>
      <c r="D4995">
        <v>78.98</v>
      </c>
      <c r="E4995" t="str">
        <f t="shared" si="190"/>
        <v>WEEKDAY</v>
      </c>
      <c r="F4995" t="e">
        <f t="shared" si="191"/>
        <v>#N/A</v>
      </c>
      <c r="G4995" s="74">
        <v>31985</v>
      </c>
      <c r="H4995" s="77">
        <v>0.375</v>
      </c>
      <c r="J4995">
        <v>77</v>
      </c>
      <c r="M4995" s="74">
        <v>33446</v>
      </c>
      <c r="N4995" s="77">
        <v>0.375</v>
      </c>
      <c r="P4995">
        <v>66.02</v>
      </c>
      <c r="S4995" s="74">
        <v>34542</v>
      </c>
      <c r="T4995" s="77">
        <v>0.375</v>
      </c>
      <c r="V4995">
        <v>78.080000000000013</v>
      </c>
      <c r="X4995" s="42"/>
      <c r="AB4995">
        <v>76.2</v>
      </c>
      <c r="AC4995">
        <v>75.92</v>
      </c>
      <c r="AE4995" s="74"/>
      <c r="AF4995" s="77"/>
      <c r="AH4995" s="497">
        <v>68.180000000000007</v>
      </c>
      <c r="AJ4995" s="42"/>
      <c r="AK4995" s="74"/>
      <c r="AL4995" s="77"/>
      <c r="AN4995" s="497">
        <v>75.02</v>
      </c>
      <c r="AP4995" s="42"/>
      <c r="AQ4995" s="74"/>
      <c r="AR4995" s="77"/>
      <c r="AT4995" s="497">
        <v>64.580000000000013</v>
      </c>
      <c r="AV4995" s="42"/>
      <c r="AW4995" s="74"/>
      <c r="AX4995" s="77"/>
      <c r="BA4995" s="497">
        <v>78.080000000000013</v>
      </c>
      <c r="BB4995" s="42"/>
      <c r="BC4995" s="74"/>
      <c r="BD4995" s="77"/>
      <c r="BF4995">
        <v>75.02</v>
      </c>
      <c r="BH4995" s="42"/>
      <c r="BI4995" s="74"/>
      <c r="BJ4995" s="77"/>
      <c r="BL4995" s="497">
        <v>69.080000000000013</v>
      </c>
      <c r="BN4995" s="42"/>
      <c r="BO4995" s="74"/>
      <c r="BP4995" s="77"/>
      <c r="BR4995" s="497">
        <v>78.98</v>
      </c>
      <c r="BT4995" s="42"/>
    </row>
    <row r="4996" spans="1:72" x14ac:dyDescent="0.25">
      <c r="A4996" s="90">
        <v>34542</v>
      </c>
      <c r="B4996" s="20">
        <v>0.41666666666666669</v>
      </c>
      <c r="D4996">
        <v>78.98</v>
      </c>
      <c r="E4996" t="str">
        <f t="shared" si="190"/>
        <v>WEEKDAY</v>
      </c>
      <c r="F4996" t="e">
        <f t="shared" si="191"/>
        <v>#N/A</v>
      </c>
      <c r="G4996" s="74">
        <v>31985</v>
      </c>
      <c r="H4996" s="77">
        <v>0.41666666666666669</v>
      </c>
      <c r="J4996">
        <v>78.98</v>
      </c>
      <c r="M4996" s="74">
        <v>33446</v>
      </c>
      <c r="N4996" s="77">
        <v>0.41666666666666669</v>
      </c>
      <c r="P4996">
        <v>66.02</v>
      </c>
      <c r="S4996" s="74">
        <v>34542</v>
      </c>
      <c r="T4996" s="77">
        <v>0.41666666666666669</v>
      </c>
      <c r="V4996">
        <v>78.98</v>
      </c>
      <c r="X4996" s="42"/>
      <c r="AB4996">
        <v>78</v>
      </c>
      <c r="AC4996">
        <v>78.98</v>
      </c>
      <c r="AE4996" s="74"/>
      <c r="AF4996" s="77"/>
      <c r="AH4996" s="497">
        <v>69.98</v>
      </c>
      <c r="AJ4996" s="42"/>
      <c r="AK4996" s="74"/>
      <c r="AL4996" s="77"/>
      <c r="AN4996" s="497">
        <v>78.080000000000013</v>
      </c>
      <c r="AP4996" s="42"/>
      <c r="AQ4996" s="74"/>
      <c r="AR4996" s="77"/>
      <c r="AT4996" s="497">
        <v>68</v>
      </c>
      <c r="AV4996" s="42"/>
      <c r="AW4996" s="74"/>
      <c r="AX4996" s="77"/>
      <c r="BA4996" s="497">
        <v>80.960000000000008</v>
      </c>
      <c r="BB4996" s="42"/>
      <c r="BC4996" s="74"/>
      <c r="BD4996" s="77"/>
      <c r="BF4996">
        <v>77</v>
      </c>
      <c r="BH4996" s="42"/>
      <c r="BI4996" s="74"/>
      <c r="BJ4996" s="77"/>
      <c r="BL4996" s="497">
        <v>73.039999999999992</v>
      </c>
      <c r="BN4996" s="42"/>
      <c r="BO4996" s="74"/>
      <c r="BP4996" s="77"/>
      <c r="BR4996" s="497">
        <v>80.960000000000008</v>
      </c>
      <c r="BT4996" s="42"/>
    </row>
    <row r="4997" spans="1:72" x14ac:dyDescent="0.25">
      <c r="A4997" s="90">
        <v>34542</v>
      </c>
      <c r="B4997" s="20">
        <v>0.45833333333333331</v>
      </c>
      <c r="D4997">
        <v>80.960000000000008</v>
      </c>
      <c r="E4997" t="str">
        <f t="shared" si="190"/>
        <v>WEEKDAY</v>
      </c>
      <c r="F4997" t="e">
        <f t="shared" si="191"/>
        <v>#N/A</v>
      </c>
      <c r="G4997" s="74">
        <v>31985</v>
      </c>
      <c r="H4997" s="77">
        <v>0.45833333333333331</v>
      </c>
      <c r="J4997">
        <v>80.960000000000008</v>
      </c>
      <c r="M4997" s="74">
        <v>33446</v>
      </c>
      <c r="N4997" s="77">
        <v>0.45833333333333331</v>
      </c>
      <c r="P4997">
        <v>69.98</v>
      </c>
      <c r="S4997" s="74">
        <v>34542</v>
      </c>
      <c r="T4997" s="77">
        <v>0.45833333333333331</v>
      </c>
      <c r="V4997">
        <v>82.94</v>
      </c>
      <c r="X4997" s="42"/>
      <c r="AB4997">
        <v>79.400000000000006</v>
      </c>
      <c r="AC4997">
        <v>80.960000000000008</v>
      </c>
      <c r="AE4997" s="74"/>
      <c r="AF4997" s="77"/>
      <c r="AH4997" s="497">
        <v>70.16</v>
      </c>
      <c r="AJ4997" s="42"/>
      <c r="AK4997" s="74"/>
      <c r="AL4997" s="77"/>
      <c r="AN4997" s="497">
        <v>78.080000000000013</v>
      </c>
      <c r="AP4997" s="42"/>
      <c r="AQ4997" s="74"/>
      <c r="AR4997" s="77"/>
      <c r="AT4997" s="497">
        <v>69.080000000000013</v>
      </c>
      <c r="AV4997" s="42"/>
      <c r="AW4997" s="74"/>
      <c r="AX4997" s="77"/>
      <c r="BA4997" s="497">
        <v>84.02</v>
      </c>
      <c r="BB4997" s="42"/>
      <c r="BC4997" s="74"/>
      <c r="BD4997" s="77"/>
      <c r="BF4997">
        <v>82.039999999999992</v>
      </c>
      <c r="BH4997" s="42"/>
      <c r="BI4997" s="74"/>
      <c r="BJ4997" s="77"/>
      <c r="BL4997" s="497">
        <v>73.039999999999992</v>
      </c>
      <c r="BN4997" s="42"/>
      <c r="BO4997" s="74"/>
      <c r="BP4997" s="77"/>
      <c r="BR4997" s="497">
        <v>82.94</v>
      </c>
      <c r="BT4997" s="42"/>
    </row>
    <row r="4998" spans="1:72" x14ac:dyDescent="0.25">
      <c r="A4998" s="90">
        <v>34542</v>
      </c>
      <c r="B4998" s="20">
        <v>0.5</v>
      </c>
      <c r="D4998">
        <v>82.94</v>
      </c>
      <c r="E4998" t="str">
        <f t="shared" si="190"/>
        <v>WEEKDAY</v>
      </c>
      <c r="F4998" t="e">
        <f t="shared" si="191"/>
        <v>#N/A</v>
      </c>
      <c r="G4998" s="74">
        <v>31985</v>
      </c>
      <c r="H4998" s="77">
        <v>0.5</v>
      </c>
      <c r="J4998">
        <v>80.06</v>
      </c>
      <c r="M4998" s="74">
        <v>33446</v>
      </c>
      <c r="N4998" s="77">
        <v>0.5</v>
      </c>
      <c r="P4998">
        <v>73.039999999999992</v>
      </c>
      <c r="S4998" s="74">
        <v>34542</v>
      </c>
      <c r="T4998" s="77">
        <v>0.5</v>
      </c>
      <c r="V4998">
        <v>84.92</v>
      </c>
      <c r="X4998" s="42"/>
      <c r="AB4998">
        <v>80.400000000000006</v>
      </c>
      <c r="AC4998">
        <v>82.94</v>
      </c>
      <c r="AE4998" s="74"/>
      <c r="AF4998" s="77"/>
      <c r="AH4998" s="497">
        <v>72.14</v>
      </c>
      <c r="AJ4998" s="42"/>
      <c r="AK4998" s="74"/>
      <c r="AL4998" s="77"/>
      <c r="AN4998" s="497">
        <v>80.960000000000008</v>
      </c>
      <c r="AP4998" s="42"/>
      <c r="AQ4998" s="74"/>
      <c r="AR4998" s="77"/>
      <c r="AT4998" s="497">
        <v>69.98</v>
      </c>
      <c r="AV4998" s="42"/>
      <c r="AW4998" s="74"/>
      <c r="AX4998" s="77"/>
      <c r="BA4998" s="497">
        <v>84.02</v>
      </c>
      <c r="BB4998" s="42"/>
      <c r="BC4998" s="74"/>
      <c r="BD4998" s="77"/>
      <c r="BF4998">
        <v>84.02</v>
      </c>
      <c r="BH4998" s="42"/>
      <c r="BI4998" s="74"/>
      <c r="BJ4998" s="77"/>
      <c r="BL4998" s="497">
        <v>73.039999999999992</v>
      </c>
      <c r="BN4998" s="42"/>
      <c r="BO4998" s="74"/>
      <c r="BP4998" s="77"/>
      <c r="BR4998" s="497">
        <v>84.92</v>
      </c>
      <c r="BT4998" s="42"/>
    </row>
    <row r="4999" spans="1:72" x14ac:dyDescent="0.25">
      <c r="A4999" s="90">
        <v>34542</v>
      </c>
      <c r="B4999" s="20">
        <v>0.54166666666666663</v>
      </c>
      <c r="D4999">
        <v>82.94</v>
      </c>
      <c r="E4999" t="str">
        <f t="shared" si="190"/>
        <v>WEEKDAY</v>
      </c>
      <c r="F4999" t="e">
        <f t="shared" si="191"/>
        <v>#N/A</v>
      </c>
      <c r="G4999" s="74">
        <v>31985</v>
      </c>
      <c r="H4999" s="77">
        <v>0.54166666666666663</v>
      </c>
      <c r="J4999">
        <v>80.960000000000008</v>
      </c>
      <c r="M4999" s="74">
        <v>33446</v>
      </c>
      <c r="N4999" s="77">
        <v>0.54166666666666663</v>
      </c>
      <c r="P4999">
        <v>73.94</v>
      </c>
      <c r="S4999" s="74">
        <v>34542</v>
      </c>
      <c r="T4999" s="77">
        <v>0.54166666666666663</v>
      </c>
      <c r="V4999">
        <v>86</v>
      </c>
      <c r="X4999" s="42"/>
      <c r="AB4999">
        <v>81.3</v>
      </c>
      <c r="AC4999">
        <v>84.02</v>
      </c>
      <c r="AE4999" s="74"/>
      <c r="AF4999" s="77"/>
      <c r="AH4999" s="497">
        <v>72.14</v>
      </c>
      <c r="AJ4999" s="42"/>
      <c r="AK4999" s="74"/>
      <c r="AL4999" s="77"/>
      <c r="AN4999" s="497">
        <v>82.94</v>
      </c>
      <c r="AP4999" s="42"/>
      <c r="AQ4999" s="74"/>
      <c r="AR4999" s="77"/>
      <c r="AT4999" s="497">
        <v>71.06</v>
      </c>
      <c r="AV4999" s="42"/>
      <c r="AW4999" s="74"/>
      <c r="AX4999" s="77"/>
      <c r="BA4999" s="497">
        <v>86</v>
      </c>
      <c r="BB4999" s="42"/>
      <c r="BC4999" s="74"/>
      <c r="BD4999" s="77"/>
      <c r="BF4999">
        <v>84.92</v>
      </c>
      <c r="BH4999" s="42"/>
      <c r="BI4999" s="74"/>
      <c r="BJ4999" s="77"/>
      <c r="BL4999" s="497">
        <v>75.92</v>
      </c>
      <c r="BN4999" s="42"/>
      <c r="BO4999" s="74"/>
      <c r="BP4999" s="77"/>
      <c r="BR4999" s="497">
        <v>86</v>
      </c>
      <c r="BT4999" s="42"/>
    </row>
    <row r="5000" spans="1:72" x14ac:dyDescent="0.25">
      <c r="A5000" s="90">
        <v>34542</v>
      </c>
      <c r="B5000" s="20">
        <v>0.58333333333333337</v>
      </c>
      <c r="D5000">
        <v>84.02</v>
      </c>
      <c r="E5000" t="str">
        <f t="shared" si="190"/>
        <v>WEEKDAY</v>
      </c>
      <c r="F5000" t="e">
        <f t="shared" si="191"/>
        <v>#N/A</v>
      </c>
      <c r="G5000" s="74">
        <v>31985</v>
      </c>
      <c r="H5000" s="77">
        <v>0.58333333333333337</v>
      </c>
      <c r="J5000">
        <v>82.039999999999992</v>
      </c>
      <c r="M5000" s="74">
        <v>33446</v>
      </c>
      <c r="N5000" s="77">
        <v>0.58333333333333337</v>
      </c>
      <c r="P5000">
        <v>75.92</v>
      </c>
      <c r="S5000" s="74">
        <v>34542</v>
      </c>
      <c r="T5000" s="77">
        <v>0.58333333333333337</v>
      </c>
      <c r="V5000">
        <v>82.039999999999992</v>
      </c>
      <c r="X5000" s="42"/>
      <c r="AB5000">
        <v>81.7</v>
      </c>
      <c r="AC5000">
        <v>84.92</v>
      </c>
      <c r="AE5000" s="74"/>
      <c r="AF5000" s="77"/>
      <c r="AH5000" s="497">
        <v>72.319999999999993</v>
      </c>
      <c r="AJ5000" s="42"/>
      <c r="AK5000" s="74"/>
      <c r="AL5000" s="77"/>
      <c r="AN5000" s="497">
        <v>84.02</v>
      </c>
      <c r="AP5000" s="42"/>
      <c r="AQ5000" s="74"/>
      <c r="AR5000" s="77"/>
      <c r="AT5000" s="497">
        <v>71.960000000000008</v>
      </c>
      <c r="AV5000" s="42"/>
      <c r="AW5000" s="74"/>
      <c r="AX5000" s="77"/>
      <c r="BA5000" s="497">
        <v>87.080000000000013</v>
      </c>
      <c r="BB5000" s="42"/>
      <c r="BC5000" s="74"/>
      <c r="BD5000" s="77"/>
      <c r="BF5000">
        <v>84.92</v>
      </c>
      <c r="BH5000" s="42"/>
      <c r="BI5000" s="74"/>
      <c r="BJ5000" s="77"/>
      <c r="BL5000" s="497">
        <v>77</v>
      </c>
      <c r="BN5000" s="42"/>
      <c r="BO5000" s="74"/>
      <c r="BP5000" s="77"/>
      <c r="BR5000" s="497">
        <v>86</v>
      </c>
      <c r="BT5000" s="42"/>
    </row>
    <row r="5001" spans="1:72" x14ac:dyDescent="0.25">
      <c r="A5001" s="90">
        <v>34542</v>
      </c>
      <c r="B5001" s="20">
        <v>0.625</v>
      </c>
      <c r="D5001">
        <v>84.92</v>
      </c>
      <c r="E5001" t="str">
        <f t="shared" si="190"/>
        <v>WEEKDAY</v>
      </c>
      <c r="F5001" t="e">
        <f t="shared" si="191"/>
        <v>#N/A</v>
      </c>
      <c r="G5001" s="74">
        <v>31985</v>
      </c>
      <c r="H5001" s="77">
        <v>0.625</v>
      </c>
      <c r="J5001">
        <v>82.94</v>
      </c>
      <c r="M5001" s="74">
        <v>33446</v>
      </c>
      <c r="N5001" s="77">
        <v>0.625</v>
      </c>
      <c r="P5001">
        <v>75.02</v>
      </c>
      <c r="S5001" s="74">
        <v>34542</v>
      </c>
      <c r="T5001" s="77">
        <v>0.625</v>
      </c>
      <c r="V5001">
        <v>82.039999999999992</v>
      </c>
      <c r="X5001" s="42"/>
      <c r="AB5001">
        <v>81.7</v>
      </c>
      <c r="AC5001">
        <v>87.080000000000013</v>
      </c>
      <c r="AE5001" s="74"/>
      <c r="AF5001" s="77"/>
      <c r="AH5001" s="497">
        <v>72.5</v>
      </c>
      <c r="AJ5001" s="42"/>
      <c r="AK5001" s="74"/>
      <c r="AL5001" s="77"/>
      <c r="AN5001" s="497">
        <v>82.039999999999992</v>
      </c>
      <c r="AP5001" s="42"/>
      <c r="AQ5001" s="74"/>
      <c r="AR5001" s="77"/>
      <c r="AT5001" s="497">
        <v>73.039999999999992</v>
      </c>
      <c r="AV5001" s="42"/>
      <c r="AW5001" s="74"/>
      <c r="AX5001" s="77"/>
      <c r="BA5001" s="497">
        <v>87.98</v>
      </c>
      <c r="BB5001" s="42"/>
      <c r="BC5001" s="74"/>
      <c r="BD5001" s="77"/>
      <c r="BF5001">
        <v>84.92</v>
      </c>
      <c r="BH5001" s="42"/>
      <c r="BI5001" s="74"/>
      <c r="BJ5001" s="77"/>
      <c r="BL5001" s="497">
        <v>78.080000000000013</v>
      </c>
      <c r="BN5001" s="42"/>
      <c r="BO5001" s="74"/>
      <c r="BP5001" s="77"/>
      <c r="BR5001" s="497">
        <v>87.080000000000013</v>
      </c>
      <c r="BT5001" s="42"/>
    </row>
    <row r="5002" spans="1:72" x14ac:dyDescent="0.25">
      <c r="A5002" s="90">
        <v>34542</v>
      </c>
      <c r="B5002" s="20">
        <v>0.66666666666666663</v>
      </c>
      <c r="D5002">
        <v>84.02</v>
      </c>
      <c r="E5002" t="str">
        <f t="shared" si="190"/>
        <v>WEEKDAY</v>
      </c>
      <c r="F5002" t="e">
        <f t="shared" si="191"/>
        <v>#N/A</v>
      </c>
      <c r="G5002" s="74">
        <v>31985</v>
      </c>
      <c r="H5002" s="77">
        <v>0.66666666666666663</v>
      </c>
      <c r="J5002">
        <v>82.94</v>
      </c>
      <c r="M5002" s="74">
        <v>33446</v>
      </c>
      <c r="N5002" s="77">
        <v>0.66666666666666663</v>
      </c>
      <c r="P5002">
        <v>75.92</v>
      </c>
      <c r="S5002" s="74">
        <v>34542</v>
      </c>
      <c r="T5002" s="77">
        <v>0.66666666666666663</v>
      </c>
      <c r="V5002">
        <v>80.06</v>
      </c>
      <c r="X5002" s="42"/>
      <c r="AB5002">
        <v>81.2</v>
      </c>
      <c r="AC5002">
        <v>82.94</v>
      </c>
      <c r="AE5002" s="74"/>
      <c r="AF5002" s="77"/>
      <c r="AH5002" s="497">
        <v>72.5</v>
      </c>
      <c r="AJ5002" s="42"/>
      <c r="AK5002" s="74"/>
      <c r="AL5002" s="77"/>
      <c r="AN5002" s="497">
        <v>84.02</v>
      </c>
      <c r="AP5002" s="42"/>
      <c r="AQ5002" s="74"/>
      <c r="AR5002" s="77"/>
      <c r="AT5002" s="497">
        <v>73.94</v>
      </c>
      <c r="AV5002" s="42"/>
      <c r="AW5002" s="74"/>
      <c r="AX5002" s="77"/>
      <c r="BA5002" s="497">
        <v>87.080000000000013</v>
      </c>
      <c r="BB5002" s="42"/>
      <c r="BC5002" s="74"/>
      <c r="BD5002" s="77"/>
      <c r="BF5002">
        <v>84.92</v>
      </c>
      <c r="BH5002" s="42"/>
      <c r="BI5002" s="74"/>
      <c r="BJ5002" s="77"/>
      <c r="BL5002" s="497">
        <v>77</v>
      </c>
      <c r="BN5002" s="42"/>
      <c r="BO5002" s="74"/>
      <c r="BP5002" s="77"/>
      <c r="BR5002" s="497">
        <v>87.080000000000013</v>
      </c>
      <c r="BT5002" s="42"/>
    </row>
    <row r="5003" spans="1:72" x14ac:dyDescent="0.25">
      <c r="A5003" s="90">
        <v>34542</v>
      </c>
      <c r="B5003" s="20">
        <v>0.70833333333333337</v>
      </c>
      <c r="D5003">
        <v>82.94</v>
      </c>
      <c r="E5003" t="str">
        <f t="shared" si="190"/>
        <v>WEEKDAY</v>
      </c>
      <c r="F5003" t="e">
        <f t="shared" si="191"/>
        <v>#N/A</v>
      </c>
      <c r="G5003" s="74">
        <v>31985</v>
      </c>
      <c r="H5003" s="77">
        <v>0.70833333333333337</v>
      </c>
      <c r="J5003">
        <v>82.94</v>
      </c>
      <c r="M5003" s="74">
        <v>33446</v>
      </c>
      <c r="N5003" s="77">
        <v>0.70833333333333337</v>
      </c>
      <c r="P5003">
        <v>75.02</v>
      </c>
      <c r="S5003" s="74">
        <v>34542</v>
      </c>
      <c r="T5003" s="77">
        <v>0.70833333333333337</v>
      </c>
      <c r="V5003">
        <v>77</v>
      </c>
      <c r="X5003" s="42"/>
      <c r="AB5003">
        <v>80.400000000000006</v>
      </c>
      <c r="AC5003">
        <v>78.98</v>
      </c>
      <c r="AE5003" s="74"/>
      <c r="AF5003" s="77"/>
      <c r="AH5003" s="497">
        <v>72.680000000000007</v>
      </c>
      <c r="AJ5003" s="42"/>
      <c r="AK5003" s="74"/>
      <c r="AL5003" s="77"/>
      <c r="AN5003" s="497">
        <v>82.94</v>
      </c>
      <c r="AP5003" s="42"/>
      <c r="AQ5003" s="74"/>
      <c r="AR5003" s="77"/>
      <c r="AT5003" s="497">
        <v>72.680000000000007</v>
      </c>
      <c r="AV5003" s="42"/>
      <c r="AW5003" s="74"/>
      <c r="AX5003" s="77"/>
      <c r="BA5003" s="497">
        <v>84.92</v>
      </c>
      <c r="BB5003" s="42"/>
      <c r="BC5003" s="74"/>
      <c r="BD5003" s="77"/>
      <c r="BF5003">
        <v>84.02</v>
      </c>
      <c r="BH5003" s="42"/>
      <c r="BI5003" s="74"/>
      <c r="BJ5003" s="77"/>
      <c r="BL5003" s="497">
        <v>77</v>
      </c>
      <c r="BN5003" s="42"/>
      <c r="BO5003" s="74"/>
      <c r="BP5003" s="77"/>
      <c r="BR5003" s="497">
        <v>84.92</v>
      </c>
      <c r="BT5003" s="42"/>
    </row>
    <row r="5004" spans="1:72" x14ac:dyDescent="0.25">
      <c r="A5004" s="90">
        <v>34542</v>
      </c>
      <c r="B5004" s="20">
        <v>0.75</v>
      </c>
      <c r="D5004">
        <v>78.98</v>
      </c>
      <c r="E5004" t="str">
        <f t="shared" si="190"/>
        <v>WEEKDAY</v>
      </c>
      <c r="F5004" t="e">
        <f t="shared" si="191"/>
        <v>#N/A</v>
      </c>
      <c r="G5004" s="74">
        <v>31985</v>
      </c>
      <c r="H5004" s="77">
        <v>0.75</v>
      </c>
      <c r="J5004">
        <v>80.960000000000008</v>
      </c>
      <c r="M5004" s="74">
        <v>33446</v>
      </c>
      <c r="N5004" s="77">
        <v>0.75</v>
      </c>
      <c r="P5004">
        <v>75.02</v>
      </c>
      <c r="S5004" s="74">
        <v>34542</v>
      </c>
      <c r="T5004" s="77">
        <v>0.75</v>
      </c>
      <c r="V5004">
        <v>75.92</v>
      </c>
      <c r="X5004" s="42"/>
      <c r="AB5004">
        <v>79.2</v>
      </c>
      <c r="AC5004">
        <v>77</v>
      </c>
      <c r="AE5004" s="74"/>
      <c r="AF5004" s="77"/>
      <c r="AH5004" s="497">
        <v>69.259999999999991</v>
      </c>
      <c r="AJ5004" s="42"/>
      <c r="AK5004" s="74"/>
      <c r="AL5004" s="77"/>
      <c r="AN5004" s="497">
        <v>80.960000000000008</v>
      </c>
      <c r="AP5004" s="42"/>
      <c r="AQ5004" s="74"/>
      <c r="AR5004" s="77"/>
      <c r="AT5004" s="497">
        <v>71.240000000000009</v>
      </c>
      <c r="AV5004" s="42"/>
      <c r="AW5004" s="74"/>
      <c r="AX5004" s="77"/>
      <c r="BA5004" s="497">
        <v>84.02</v>
      </c>
      <c r="BB5004" s="42"/>
      <c r="BC5004" s="74"/>
      <c r="BD5004" s="77"/>
      <c r="BF5004">
        <v>78.98</v>
      </c>
      <c r="BH5004" s="42"/>
      <c r="BI5004" s="74"/>
      <c r="BJ5004" s="77"/>
      <c r="BL5004" s="497">
        <v>75.92</v>
      </c>
      <c r="BN5004" s="42"/>
      <c r="BO5004" s="74"/>
      <c r="BP5004" s="77"/>
      <c r="BR5004" s="497">
        <v>82.94</v>
      </c>
      <c r="BT5004" s="42"/>
    </row>
    <row r="5005" spans="1:72" x14ac:dyDescent="0.25">
      <c r="A5005" s="90">
        <v>34542</v>
      </c>
      <c r="B5005" s="20">
        <v>0.79166666666666663</v>
      </c>
      <c r="D5005">
        <v>78.080000000000013</v>
      </c>
      <c r="E5005" t="str">
        <f t="shared" si="190"/>
        <v>WEEKDAY</v>
      </c>
      <c r="F5005" t="e">
        <f t="shared" si="191"/>
        <v>#N/A</v>
      </c>
      <c r="G5005" s="74">
        <v>31985</v>
      </c>
      <c r="H5005" s="77">
        <v>0.79166666666666663</v>
      </c>
      <c r="J5005">
        <v>78.080000000000013</v>
      </c>
      <c r="M5005" s="74">
        <v>33446</v>
      </c>
      <c r="N5005" s="77">
        <v>0.79166666666666663</v>
      </c>
      <c r="P5005">
        <v>70.16</v>
      </c>
      <c r="S5005" s="74">
        <v>34542</v>
      </c>
      <c r="T5005" s="77">
        <v>0.79166666666666663</v>
      </c>
      <c r="V5005">
        <v>75.92</v>
      </c>
      <c r="X5005" s="42"/>
      <c r="AB5005">
        <v>77.900000000000006</v>
      </c>
      <c r="AC5005">
        <v>75.92</v>
      </c>
      <c r="AE5005" s="74"/>
      <c r="AF5005" s="77"/>
      <c r="AH5005" s="497">
        <v>67.460000000000008</v>
      </c>
      <c r="AJ5005" s="42"/>
      <c r="AK5005" s="74"/>
      <c r="AL5005" s="77"/>
      <c r="AN5005" s="497">
        <v>78.98</v>
      </c>
      <c r="AP5005" s="42"/>
      <c r="AQ5005" s="74"/>
      <c r="AR5005" s="77"/>
      <c r="AT5005" s="497">
        <v>69.98</v>
      </c>
      <c r="AV5005" s="42"/>
      <c r="AW5005" s="74"/>
      <c r="AX5005" s="77"/>
      <c r="BA5005" s="497">
        <v>80.960000000000008</v>
      </c>
      <c r="BB5005" s="42"/>
      <c r="BC5005" s="74"/>
      <c r="BD5005" s="77"/>
      <c r="BF5005">
        <v>75.02</v>
      </c>
      <c r="BH5005" s="42"/>
      <c r="BI5005" s="74"/>
      <c r="BJ5005" s="77"/>
      <c r="BL5005" s="497">
        <v>73.94</v>
      </c>
      <c r="BN5005" s="42"/>
      <c r="BO5005" s="74"/>
      <c r="BP5005" s="77"/>
      <c r="BR5005" s="497">
        <v>78.98</v>
      </c>
      <c r="BT5005" s="42"/>
    </row>
    <row r="5006" spans="1:72" x14ac:dyDescent="0.25">
      <c r="A5006" s="90">
        <v>34542</v>
      </c>
      <c r="B5006" s="20">
        <v>0.83333333333333337</v>
      </c>
      <c r="D5006">
        <v>77</v>
      </c>
      <c r="E5006" t="str">
        <f t="shared" si="190"/>
        <v>WEEKDAY</v>
      </c>
      <c r="F5006" t="e">
        <f t="shared" si="191"/>
        <v>#N/A</v>
      </c>
      <c r="G5006" s="74">
        <v>31985</v>
      </c>
      <c r="H5006" s="77">
        <v>0.83333333333333337</v>
      </c>
      <c r="J5006">
        <v>75.02</v>
      </c>
      <c r="M5006" s="74">
        <v>33446</v>
      </c>
      <c r="N5006" s="77">
        <v>0.83333333333333337</v>
      </c>
      <c r="P5006">
        <v>64.94</v>
      </c>
      <c r="S5006" s="74">
        <v>34542</v>
      </c>
      <c r="T5006" s="77">
        <v>0.83333333333333337</v>
      </c>
      <c r="V5006">
        <v>75.02</v>
      </c>
      <c r="X5006" s="42"/>
      <c r="AB5006">
        <v>76.599999999999994</v>
      </c>
      <c r="AC5006">
        <v>75.02</v>
      </c>
      <c r="AE5006" s="74"/>
      <c r="AF5006" s="77"/>
      <c r="AH5006" s="497">
        <v>65.84</v>
      </c>
      <c r="AJ5006" s="42"/>
      <c r="AK5006" s="74"/>
      <c r="AL5006" s="77"/>
      <c r="AN5006" s="497">
        <v>69.98</v>
      </c>
      <c r="AP5006" s="42"/>
      <c r="AQ5006" s="74"/>
      <c r="AR5006" s="77"/>
      <c r="AT5006" s="497">
        <v>64.94</v>
      </c>
      <c r="AV5006" s="42"/>
      <c r="AW5006" s="74"/>
      <c r="AX5006" s="77"/>
      <c r="BA5006" s="497">
        <v>77</v>
      </c>
      <c r="BB5006" s="42"/>
      <c r="BC5006" s="74"/>
      <c r="BD5006" s="77"/>
      <c r="BF5006">
        <v>71.960000000000008</v>
      </c>
      <c r="BH5006" s="42"/>
      <c r="BI5006" s="74"/>
      <c r="BJ5006" s="77"/>
      <c r="BL5006" s="497">
        <v>69.98</v>
      </c>
      <c r="BN5006" s="42"/>
      <c r="BO5006" s="74"/>
      <c r="BP5006" s="77"/>
      <c r="BR5006" s="497">
        <v>71.06</v>
      </c>
      <c r="BT5006" s="42"/>
    </row>
    <row r="5007" spans="1:72" x14ac:dyDescent="0.25">
      <c r="A5007" s="90">
        <v>34542</v>
      </c>
      <c r="B5007" s="20">
        <v>0.875</v>
      </c>
      <c r="D5007">
        <v>77</v>
      </c>
      <c r="E5007" t="str">
        <f t="shared" si="190"/>
        <v>WEEKDAY</v>
      </c>
      <c r="F5007" t="e">
        <f t="shared" si="191"/>
        <v>#N/A</v>
      </c>
      <c r="G5007" s="74">
        <v>31985</v>
      </c>
      <c r="H5007" s="77">
        <v>0.875</v>
      </c>
      <c r="J5007">
        <v>75.02</v>
      </c>
      <c r="M5007" s="74">
        <v>33446</v>
      </c>
      <c r="N5007" s="77">
        <v>0.875</v>
      </c>
      <c r="P5007">
        <v>62.78</v>
      </c>
      <c r="S5007" s="74">
        <v>34542</v>
      </c>
      <c r="T5007" s="77">
        <v>0.875</v>
      </c>
      <c r="V5007">
        <v>75.02</v>
      </c>
      <c r="X5007" s="42"/>
      <c r="AB5007">
        <v>75.599999999999994</v>
      </c>
      <c r="AC5007">
        <v>75.02</v>
      </c>
      <c r="AE5007" s="74"/>
      <c r="AF5007" s="77"/>
      <c r="AH5007" s="497">
        <v>64.22</v>
      </c>
      <c r="AJ5007" s="42"/>
      <c r="AK5007" s="74"/>
      <c r="AL5007" s="77"/>
      <c r="AN5007" s="497">
        <v>64.94</v>
      </c>
      <c r="AP5007" s="42"/>
      <c r="AQ5007" s="74"/>
      <c r="AR5007" s="77"/>
      <c r="AT5007" s="497">
        <v>60.08</v>
      </c>
      <c r="AV5007" s="42"/>
      <c r="AW5007" s="74"/>
      <c r="AX5007" s="77"/>
      <c r="BA5007" s="497">
        <v>73.94</v>
      </c>
      <c r="BB5007" s="42"/>
      <c r="BC5007" s="74"/>
      <c r="BD5007" s="77"/>
      <c r="BF5007">
        <v>68</v>
      </c>
      <c r="BH5007" s="42"/>
      <c r="BI5007" s="74"/>
      <c r="BJ5007" s="77"/>
      <c r="BL5007" s="497">
        <v>69.080000000000013</v>
      </c>
      <c r="BN5007" s="42"/>
      <c r="BO5007" s="74"/>
      <c r="BP5007" s="77"/>
      <c r="BR5007" s="497">
        <v>68</v>
      </c>
      <c r="BT5007" s="42"/>
    </row>
    <row r="5008" spans="1:72" x14ac:dyDescent="0.25">
      <c r="A5008" s="90">
        <v>34542</v>
      </c>
      <c r="B5008" s="20">
        <v>0.91666666666666663</v>
      </c>
      <c r="D5008">
        <v>75.02</v>
      </c>
      <c r="E5008" t="str">
        <f t="shared" si="190"/>
        <v>WEEKDAY</v>
      </c>
      <c r="F5008" t="e">
        <f t="shared" si="191"/>
        <v>#N/A</v>
      </c>
      <c r="G5008" s="74">
        <v>31985</v>
      </c>
      <c r="H5008" s="77">
        <v>0.91666666666666663</v>
      </c>
      <c r="J5008">
        <v>73.94</v>
      </c>
      <c r="M5008" s="74">
        <v>33446</v>
      </c>
      <c r="N5008" s="77">
        <v>0.91666666666666663</v>
      </c>
      <c r="P5008">
        <v>60.980000000000004</v>
      </c>
      <c r="S5008" s="74">
        <v>34542</v>
      </c>
      <c r="T5008" s="77">
        <v>0.91666666666666663</v>
      </c>
      <c r="V5008">
        <v>71.06</v>
      </c>
      <c r="X5008" s="42"/>
      <c r="AB5008">
        <v>75.099999999999994</v>
      </c>
      <c r="AC5008">
        <v>73.94</v>
      </c>
      <c r="AE5008" s="74"/>
      <c r="AF5008" s="77"/>
      <c r="AH5008" s="497">
        <v>64.22</v>
      </c>
      <c r="AJ5008" s="42"/>
      <c r="AK5008" s="74"/>
      <c r="AL5008" s="77"/>
      <c r="AN5008" s="497">
        <v>64.94</v>
      </c>
      <c r="AP5008" s="42"/>
      <c r="AQ5008" s="74"/>
      <c r="AR5008" s="77"/>
      <c r="AT5008" s="497">
        <v>55.040000000000006</v>
      </c>
      <c r="AV5008" s="42"/>
      <c r="AW5008" s="74"/>
      <c r="AX5008" s="77"/>
      <c r="BA5008" s="497">
        <v>71.06</v>
      </c>
      <c r="BB5008" s="42"/>
      <c r="BC5008" s="74"/>
      <c r="BD5008" s="77"/>
      <c r="BF5008">
        <v>66.92</v>
      </c>
      <c r="BH5008" s="42"/>
      <c r="BI5008" s="74"/>
      <c r="BJ5008" s="77"/>
      <c r="BL5008" s="497">
        <v>66.02</v>
      </c>
      <c r="BN5008" s="42"/>
      <c r="BO5008" s="74"/>
      <c r="BP5008" s="77"/>
      <c r="BR5008" s="497">
        <v>66.02</v>
      </c>
      <c r="BT5008" s="42"/>
    </row>
    <row r="5009" spans="1:72" x14ac:dyDescent="0.25">
      <c r="A5009" s="90">
        <v>34542</v>
      </c>
      <c r="B5009" s="20">
        <v>0.95833333333333337</v>
      </c>
      <c r="D5009">
        <v>71.960000000000008</v>
      </c>
      <c r="E5009" t="str">
        <f t="shared" si="190"/>
        <v>WEEKDAY</v>
      </c>
      <c r="F5009" t="e">
        <f t="shared" si="191"/>
        <v>#N/A</v>
      </c>
      <c r="G5009" s="74">
        <v>31985</v>
      </c>
      <c r="H5009" s="77">
        <v>0.95833333333333337</v>
      </c>
      <c r="J5009">
        <v>73.94</v>
      </c>
      <c r="M5009" s="74">
        <v>33446</v>
      </c>
      <c r="N5009" s="77">
        <v>0.95833333333333337</v>
      </c>
      <c r="P5009">
        <v>60.08</v>
      </c>
      <c r="S5009" s="74">
        <v>34542</v>
      </c>
      <c r="T5009" s="77">
        <v>0.95833333333333337</v>
      </c>
      <c r="V5009">
        <v>73.039999999999992</v>
      </c>
      <c r="X5009" s="42"/>
      <c r="AB5009">
        <v>74.599999999999994</v>
      </c>
      <c r="AC5009">
        <v>73.94</v>
      </c>
      <c r="AE5009" s="74"/>
      <c r="AF5009" s="77"/>
      <c r="AH5009" s="497">
        <v>64.400000000000006</v>
      </c>
      <c r="AJ5009" s="42"/>
      <c r="AK5009" s="74"/>
      <c r="AL5009" s="77"/>
      <c r="AN5009" s="497">
        <v>64.94</v>
      </c>
      <c r="AP5009" s="42"/>
      <c r="AQ5009" s="74"/>
      <c r="AR5009" s="77"/>
      <c r="AT5009" s="497">
        <v>53.42</v>
      </c>
      <c r="AV5009" s="42"/>
      <c r="AW5009" s="74"/>
      <c r="AX5009" s="77"/>
      <c r="BA5009" s="497">
        <v>69.98</v>
      </c>
      <c r="BB5009" s="42"/>
      <c r="BC5009" s="74"/>
      <c r="BD5009" s="77"/>
      <c r="BF5009">
        <v>66.92</v>
      </c>
      <c r="BH5009" s="42"/>
      <c r="BI5009" s="74"/>
      <c r="BJ5009" s="77"/>
      <c r="BL5009" s="497">
        <v>64.94</v>
      </c>
      <c r="BN5009" s="42"/>
      <c r="BO5009" s="74"/>
      <c r="BP5009" s="77"/>
      <c r="BR5009" s="497">
        <v>64.94</v>
      </c>
      <c r="BT5009" s="42"/>
    </row>
    <row r="5010" spans="1:72" x14ac:dyDescent="0.25">
      <c r="A5010" s="90">
        <v>34542</v>
      </c>
      <c r="B5010" s="20">
        <v>1</v>
      </c>
      <c r="D5010">
        <v>75.02</v>
      </c>
      <c r="E5010" t="str">
        <f t="shared" si="190"/>
        <v>WEEKDAY</v>
      </c>
      <c r="F5010" t="e">
        <f t="shared" si="191"/>
        <v>#N/A</v>
      </c>
      <c r="G5010" s="74">
        <v>31985</v>
      </c>
      <c r="H5010" s="77">
        <v>1</v>
      </c>
      <c r="J5010">
        <v>73.039999999999992</v>
      </c>
      <c r="M5010" s="74">
        <v>33446</v>
      </c>
      <c r="N5010" s="80">
        <v>1</v>
      </c>
      <c r="P5010">
        <v>59</v>
      </c>
      <c r="S5010" s="74">
        <v>34542</v>
      </c>
      <c r="T5010" s="80">
        <v>1</v>
      </c>
      <c r="V5010">
        <v>75.02</v>
      </c>
      <c r="X5010" s="42"/>
      <c r="AB5010">
        <v>74.2</v>
      </c>
      <c r="AC5010">
        <v>75.02</v>
      </c>
      <c r="AE5010" s="74"/>
      <c r="AF5010" s="80"/>
      <c r="AH5010" s="497">
        <v>64.400000000000006</v>
      </c>
      <c r="AJ5010" s="42"/>
      <c r="AK5010" s="74"/>
      <c r="AL5010" s="80"/>
      <c r="AN5010" s="497">
        <v>64.94</v>
      </c>
      <c r="AP5010" s="42"/>
      <c r="AQ5010" s="74"/>
      <c r="AR5010" s="80"/>
      <c r="AT5010" s="497">
        <v>51.620000000000005</v>
      </c>
      <c r="AV5010" s="42"/>
      <c r="AW5010" s="74"/>
      <c r="AX5010" s="80"/>
      <c r="BA5010" s="497">
        <v>69.080000000000013</v>
      </c>
      <c r="BB5010" s="42"/>
      <c r="BC5010" s="74"/>
      <c r="BD5010" s="80"/>
      <c r="BF5010">
        <v>66.92</v>
      </c>
      <c r="BH5010" s="42"/>
      <c r="BI5010" s="74"/>
      <c r="BJ5010" s="80"/>
      <c r="BL5010" s="497">
        <v>62.96</v>
      </c>
      <c r="BN5010" s="42"/>
      <c r="BO5010" s="74"/>
      <c r="BP5010" s="80"/>
      <c r="BR5010" s="497">
        <v>64.039999999999992</v>
      </c>
      <c r="BT5010" s="42"/>
    </row>
    <row r="5011" spans="1:72" x14ac:dyDescent="0.25">
      <c r="A5011" s="90">
        <v>34543</v>
      </c>
      <c r="B5011" s="20">
        <v>4.1666666666666664E-2</v>
      </c>
      <c r="D5011">
        <v>77</v>
      </c>
      <c r="E5011" t="str">
        <f t="shared" ref="E5011:E5074" si="192">IF(COUNTIF($DI$18:$DI$22, WEEKDAY(A5011))=1, "WEEKDAY", IF(WEEKDAY(A5011) = 1, "SUNDAY", "SATURDAY"))</f>
        <v>WEEKDAY</v>
      </c>
      <c r="F5011" t="e">
        <f t="shared" si="191"/>
        <v>#N/A</v>
      </c>
      <c r="G5011" s="74">
        <v>31986</v>
      </c>
      <c r="H5011" s="77">
        <v>4.1666666666666664E-2</v>
      </c>
      <c r="J5011">
        <v>73.039999999999992</v>
      </c>
      <c r="M5011" s="74">
        <v>33447</v>
      </c>
      <c r="N5011" s="77">
        <v>4.1666666666666664E-2</v>
      </c>
      <c r="P5011">
        <v>59</v>
      </c>
      <c r="S5011" s="74">
        <v>34543</v>
      </c>
      <c r="T5011" s="77">
        <v>4.1666666666666664E-2</v>
      </c>
      <c r="V5011">
        <v>75.92</v>
      </c>
      <c r="X5011" s="42"/>
      <c r="AB5011">
        <v>73.599999999999994</v>
      </c>
      <c r="AC5011">
        <v>75.92</v>
      </c>
      <c r="AE5011" s="74"/>
      <c r="AF5011" s="77"/>
      <c r="AH5011" s="497">
        <v>62.6</v>
      </c>
      <c r="AJ5011" s="42"/>
      <c r="AK5011" s="74"/>
      <c r="AL5011" s="77"/>
      <c r="AN5011" s="497">
        <v>64.039999999999992</v>
      </c>
      <c r="AP5011" s="42"/>
      <c r="AQ5011" s="74"/>
      <c r="AR5011" s="77"/>
      <c r="AT5011" s="497">
        <v>50</v>
      </c>
      <c r="AV5011" s="42"/>
      <c r="AW5011" s="74"/>
      <c r="AX5011" s="77"/>
      <c r="BA5011" s="497">
        <v>68</v>
      </c>
      <c r="BB5011" s="42"/>
      <c r="BC5011" s="74"/>
      <c r="BD5011" s="77"/>
      <c r="BF5011">
        <v>66.92</v>
      </c>
      <c r="BH5011" s="42"/>
      <c r="BI5011" s="74"/>
      <c r="BJ5011" s="77"/>
      <c r="BL5011" s="497">
        <v>64.94</v>
      </c>
      <c r="BN5011" s="42"/>
      <c r="BO5011" s="74"/>
      <c r="BP5011" s="77"/>
      <c r="BR5011" s="497">
        <v>62.96</v>
      </c>
      <c r="BT5011" s="42"/>
    </row>
    <row r="5012" spans="1:72" x14ac:dyDescent="0.25">
      <c r="A5012" s="90">
        <v>34543</v>
      </c>
      <c r="B5012" s="20">
        <v>8.3333333333333329E-2</v>
      </c>
      <c r="D5012">
        <v>75.92</v>
      </c>
      <c r="E5012" t="str">
        <f t="shared" si="192"/>
        <v>WEEKDAY</v>
      </c>
      <c r="F5012" t="e">
        <f t="shared" si="191"/>
        <v>#N/A</v>
      </c>
      <c r="G5012" s="74">
        <v>31986</v>
      </c>
      <c r="H5012" s="77">
        <v>8.3333333333333329E-2</v>
      </c>
      <c r="J5012">
        <v>71.960000000000008</v>
      </c>
      <c r="M5012" s="74">
        <v>33447</v>
      </c>
      <c r="N5012" s="77">
        <v>8.3333333333333329E-2</v>
      </c>
      <c r="P5012">
        <v>60.980000000000004</v>
      </c>
      <c r="S5012" s="74">
        <v>34543</v>
      </c>
      <c r="T5012" s="77">
        <v>8.3333333333333329E-2</v>
      </c>
      <c r="V5012">
        <v>75.02</v>
      </c>
      <c r="X5012" s="42"/>
      <c r="AB5012">
        <v>73.099999999999994</v>
      </c>
      <c r="AC5012">
        <v>75.92</v>
      </c>
      <c r="AE5012" s="74"/>
      <c r="AF5012" s="77"/>
      <c r="AH5012" s="497">
        <v>62.6</v>
      </c>
      <c r="AJ5012" s="42"/>
      <c r="AK5012" s="74"/>
      <c r="AL5012" s="77"/>
      <c r="AN5012" s="497">
        <v>64.039999999999992</v>
      </c>
      <c r="AP5012" s="42"/>
      <c r="AQ5012" s="74"/>
      <c r="AR5012" s="77"/>
      <c r="AT5012" s="497">
        <v>48.74</v>
      </c>
      <c r="AV5012" s="42"/>
      <c r="AW5012" s="74"/>
      <c r="AX5012" s="77"/>
      <c r="BA5012" s="497">
        <v>66.02</v>
      </c>
      <c r="BB5012" s="42"/>
      <c r="BC5012" s="74"/>
      <c r="BD5012" s="77"/>
      <c r="BF5012">
        <v>66.92</v>
      </c>
      <c r="BH5012" s="42"/>
      <c r="BI5012" s="74"/>
      <c r="BJ5012" s="77"/>
      <c r="BL5012" s="497">
        <v>64.039999999999992</v>
      </c>
      <c r="BN5012" s="42"/>
      <c r="BO5012" s="74"/>
      <c r="BP5012" s="77"/>
      <c r="BR5012" s="497">
        <v>62.06</v>
      </c>
      <c r="BT5012" s="42"/>
    </row>
    <row r="5013" spans="1:72" x14ac:dyDescent="0.25">
      <c r="A5013" s="90">
        <v>34543</v>
      </c>
      <c r="B5013" s="20">
        <v>0.125</v>
      </c>
      <c r="D5013">
        <v>75.02</v>
      </c>
      <c r="E5013" t="str">
        <f t="shared" si="192"/>
        <v>WEEKDAY</v>
      </c>
      <c r="F5013" t="e">
        <f t="shared" si="191"/>
        <v>#N/A</v>
      </c>
      <c r="G5013" s="74">
        <v>31986</v>
      </c>
      <c r="H5013" s="77">
        <v>0.125</v>
      </c>
      <c r="J5013">
        <v>71.06</v>
      </c>
      <c r="M5013" s="74">
        <v>33447</v>
      </c>
      <c r="N5013" s="77">
        <v>0.125</v>
      </c>
      <c r="P5013">
        <v>60.08</v>
      </c>
      <c r="S5013" s="74">
        <v>34543</v>
      </c>
      <c r="T5013" s="77">
        <v>0.125</v>
      </c>
      <c r="V5013">
        <v>73.039999999999992</v>
      </c>
      <c r="X5013" s="42"/>
      <c r="AB5013">
        <v>72.5</v>
      </c>
      <c r="AC5013">
        <v>75.92</v>
      </c>
      <c r="AE5013" s="74"/>
      <c r="AF5013" s="77"/>
      <c r="AH5013" s="497">
        <v>62.6</v>
      </c>
      <c r="AJ5013" s="42"/>
      <c r="AK5013" s="74"/>
      <c r="AL5013" s="77"/>
      <c r="AN5013" s="497">
        <v>64.039999999999992</v>
      </c>
      <c r="AP5013" s="42"/>
      <c r="AQ5013" s="74"/>
      <c r="AR5013" s="77"/>
      <c r="AT5013" s="497">
        <v>47.3</v>
      </c>
      <c r="AV5013" s="42"/>
      <c r="AW5013" s="74"/>
      <c r="AX5013" s="77"/>
      <c r="BA5013" s="497">
        <v>64.94</v>
      </c>
      <c r="BB5013" s="42"/>
      <c r="BC5013" s="74"/>
      <c r="BD5013" s="77"/>
      <c r="BF5013">
        <v>66.92</v>
      </c>
      <c r="BH5013" s="42"/>
      <c r="BI5013" s="74"/>
      <c r="BJ5013" s="77"/>
      <c r="BL5013" s="497">
        <v>64.039999999999992</v>
      </c>
      <c r="BN5013" s="42"/>
      <c r="BO5013" s="74"/>
      <c r="BP5013" s="77"/>
      <c r="BR5013" s="497">
        <v>62.06</v>
      </c>
      <c r="BT5013" s="42"/>
    </row>
    <row r="5014" spans="1:72" x14ac:dyDescent="0.25">
      <c r="A5014" s="90">
        <v>34543</v>
      </c>
      <c r="B5014" s="20">
        <v>0.16666666666666666</v>
      </c>
      <c r="D5014">
        <v>75.02</v>
      </c>
      <c r="E5014" t="str">
        <f t="shared" si="192"/>
        <v>WEEKDAY</v>
      </c>
      <c r="F5014" t="e">
        <f t="shared" si="191"/>
        <v>#N/A</v>
      </c>
      <c r="G5014" s="74">
        <v>31986</v>
      </c>
      <c r="H5014" s="77">
        <v>0.16666666666666666</v>
      </c>
      <c r="J5014">
        <v>71.06</v>
      </c>
      <c r="M5014" s="74">
        <v>33447</v>
      </c>
      <c r="N5014" s="77">
        <v>0.16666666666666666</v>
      </c>
      <c r="P5014">
        <v>60.08</v>
      </c>
      <c r="S5014" s="74">
        <v>34543</v>
      </c>
      <c r="T5014" s="77">
        <v>0.16666666666666666</v>
      </c>
      <c r="V5014">
        <v>73.039999999999992</v>
      </c>
      <c r="X5014" s="42"/>
      <c r="AB5014">
        <v>72.099999999999994</v>
      </c>
      <c r="AC5014">
        <v>75.92</v>
      </c>
      <c r="AE5014" s="74"/>
      <c r="AF5014" s="77"/>
      <c r="AH5014" s="497">
        <v>59</v>
      </c>
      <c r="AJ5014" s="42"/>
      <c r="AK5014" s="74"/>
      <c r="AL5014" s="77"/>
      <c r="AN5014" s="497">
        <v>64.039999999999992</v>
      </c>
      <c r="AP5014" s="42"/>
      <c r="AQ5014" s="74"/>
      <c r="AR5014" s="77"/>
      <c r="AT5014" s="497">
        <v>46.04</v>
      </c>
      <c r="AV5014" s="42"/>
      <c r="AW5014" s="74"/>
      <c r="AX5014" s="77"/>
      <c r="BA5014" s="497">
        <v>64.039999999999992</v>
      </c>
      <c r="BB5014" s="42"/>
      <c r="BC5014" s="74"/>
      <c r="BD5014" s="77"/>
      <c r="BF5014">
        <v>66.92</v>
      </c>
      <c r="BH5014" s="42"/>
      <c r="BI5014" s="74"/>
      <c r="BJ5014" s="77"/>
      <c r="BL5014" s="497">
        <v>64.039999999999992</v>
      </c>
      <c r="BN5014" s="42"/>
      <c r="BO5014" s="74"/>
      <c r="BP5014" s="77"/>
      <c r="BR5014" s="497">
        <v>60.980000000000004</v>
      </c>
      <c r="BT5014" s="42"/>
    </row>
    <row r="5015" spans="1:72" x14ac:dyDescent="0.25">
      <c r="A5015" s="90">
        <v>34543</v>
      </c>
      <c r="B5015" s="20">
        <v>0.20833333333333334</v>
      </c>
      <c r="D5015">
        <v>75.02</v>
      </c>
      <c r="E5015" t="str">
        <f t="shared" si="192"/>
        <v>WEEKDAY</v>
      </c>
      <c r="F5015" t="e">
        <f t="shared" si="191"/>
        <v>#N/A</v>
      </c>
      <c r="G5015" s="74">
        <v>31986</v>
      </c>
      <c r="H5015" s="77">
        <v>0.20833333333333334</v>
      </c>
      <c r="J5015">
        <v>69.98</v>
      </c>
      <c r="M5015" s="74">
        <v>33447</v>
      </c>
      <c r="N5015" s="77">
        <v>0.20833333333333334</v>
      </c>
      <c r="P5015">
        <v>60.980000000000004</v>
      </c>
      <c r="S5015" s="74">
        <v>34543</v>
      </c>
      <c r="T5015" s="77">
        <v>0.20833333333333334</v>
      </c>
      <c r="V5015">
        <v>71.960000000000008</v>
      </c>
      <c r="X5015" s="42"/>
      <c r="AB5015">
        <v>71.599999999999994</v>
      </c>
      <c r="AC5015">
        <v>75.02</v>
      </c>
      <c r="AE5015" s="74"/>
      <c r="AF5015" s="77"/>
      <c r="AH5015" s="497">
        <v>57.2</v>
      </c>
      <c r="AJ5015" s="42"/>
      <c r="AK5015" s="74"/>
      <c r="AL5015" s="77"/>
      <c r="AN5015" s="497">
        <v>64.039999999999992</v>
      </c>
      <c r="AP5015" s="42"/>
      <c r="AQ5015" s="74"/>
      <c r="AR5015" s="77"/>
      <c r="AT5015" s="497">
        <v>50</v>
      </c>
      <c r="AV5015" s="42"/>
      <c r="AW5015" s="74"/>
      <c r="AX5015" s="77"/>
      <c r="BA5015" s="497">
        <v>64.039999999999992</v>
      </c>
      <c r="BB5015" s="42"/>
      <c r="BC5015" s="74"/>
      <c r="BD5015" s="77"/>
      <c r="BF5015">
        <v>68</v>
      </c>
      <c r="BH5015" s="42"/>
      <c r="BI5015" s="74"/>
      <c r="BJ5015" s="77"/>
      <c r="BL5015" s="497">
        <v>62.96</v>
      </c>
      <c r="BN5015" s="42"/>
      <c r="BO5015" s="74"/>
      <c r="BP5015" s="77"/>
      <c r="BR5015" s="497">
        <v>59</v>
      </c>
      <c r="BT5015" s="42"/>
    </row>
    <row r="5016" spans="1:72" x14ac:dyDescent="0.25">
      <c r="A5016" s="90">
        <v>34543</v>
      </c>
      <c r="B5016" s="20">
        <v>0.25</v>
      </c>
      <c r="D5016">
        <v>75.02</v>
      </c>
      <c r="E5016" t="str">
        <f t="shared" si="192"/>
        <v>WEEKDAY</v>
      </c>
      <c r="F5016" t="e">
        <f t="shared" si="191"/>
        <v>#N/A</v>
      </c>
      <c r="G5016" s="74">
        <v>31986</v>
      </c>
      <c r="H5016" s="77">
        <v>0.25</v>
      </c>
      <c r="J5016">
        <v>71.960000000000008</v>
      </c>
      <c r="M5016" s="74">
        <v>33447</v>
      </c>
      <c r="N5016" s="77">
        <v>0.25</v>
      </c>
      <c r="P5016">
        <v>60.980000000000004</v>
      </c>
      <c r="S5016" s="74">
        <v>34543</v>
      </c>
      <c r="T5016" s="77">
        <v>0.25</v>
      </c>
      <c r="V5016">
        <v>73.039999999999992</v>
      </c>
      <c r="X5016" s="42"/>
      <c r="AB5016">
        <v>71.3</v>
      </c>
      <c r="AC5016">
        <v>75.02</v>
      </c>
      <c r="AE5016" s="74"/>
      <c r="AF5016" s="77"/>
      <c r="AH5016" s="497">
        <v>59</v>
      </c>
      <c r="AJ5016" s="42"/>
      <c r="AK5016" s="74"/>
      <c r="AL5016" s="77"/>
      <c r="AN5016" s="497">
        <v>62.96</v>
      </c>
      <c r="AP5016" s="42"/>
      <c r="AQ5016" s="74"/>
      <c r="AR5016" s="77"/>
      <c r="AT5016" s="497">
        <v>53.96</v>
      </c>
      <c r="AV5016" s="42"/>
      <c r="AW5016" s="74"/>
      <c r="AX5016" s="77"/>
      <c r="BA5016" s="497">
        <v>66.02</v>
      </c>
      <c r="BB5016" s="42"/>
      <c r="BC5016" s="74"/>
      <c r="BD5016" s="77"/>
      <c r="BF5016">
        <v>69.080000000000013</v>
      </c>
      <c r="BH5016" s="42"/>
      <c r="BI5016" s="74"/>
      <c r="BJ5016" s="77"/>
      <c r="BL5016" s="497">
        <v>64.94</v>
      </c>
      <c r="BN5016" s="42"/>
      <c r="BO5016" s="74"/>
      <c r="BP5016" s="77"/>
      <c r="BR5016" s="497">
        <v>64.039999999999992</v>
      </c>
      <c r="BT5016" s="42"/>
    </row>
    <row r="5017" spans="1:72" x14ac:dyDescent="0.25">
      <c r="A5017" s="90">
        <v>34543</v>
      </c>
      <c r="B5017" s="20">
        <v>0.29166666666666669</v>
      </c>
      <c r="D5017">
        <v>75.92</v>
      </c>
      <c r="E5017" t="str">
        <f t="shared" si="192"/>
        <v>WEEKDAY</v>
      </c>
      <c r="F5017" t="e">
        <f t="shared" si="191"/>
        <v>#N/A</v>
      </c>
      <c r="G5017" s="74">
        <v>31986</v>
      </c>
      <c r="H5017" s="77">
        <v>0.29166666666666669</v>
      </c>
      <c r="J5017">
        <v>73.94</v>
      </c>
      <c r="M5017" s="74">
        <v>33447</v>
      </c>
      <c r="N5017" s="77">
        <v>0.29166666666666669</v>
      </c>
      <c r="P5017">
        <v>64.94</v>
      </c>
      <c r="S5017" s="74">
        <v>34543</v>
      </c>
      <c r="T5017" s="77">
        <v>0.29166666666666669</v>
      </c>
      <c r="V5017">
        <v>75.02</v>
      </c>
      <c r="X5017" s="42"/>
      <c r="AB5017">
        <v>72.3</v>
      </c>
      <c r="AC5017">
        <v>77</v>
      </c>
      <c r="AE5017" s="74"/>
      <c r="AF5017" s="77"/>
      <c r="AH5017" s="497">
        <v>60.44</v>
      </c>
      <c r="AJ5017" s="42"/>
      <c r="AK5017" s="74"/>
      <c r="AL5017" s="77"/>
      <c r="AN5017" s="497">
        <v>62.96</v>
      </c>
      <c r="AP5017" s="42"/>
      <c r="AQ5017" s="74"/>
      <c r="AR5017" s="77"/>
      <c r="AT5017" s="497">
        <v>57.92</v>
      </c>
      <c r="AV5017" s="42"/>
      <c r="AW5017" s="74"/>
      <c r="AX5017" s="77"/>
      <c r="BA5017" s="497">
        <v>71.06</v>
      </c>
      <c r="BB5017" s="42"/>
      <c r="BC5017" s="74"/>
      <c r="BD5017" s="77"/>
      <c r="BF5017">
        <v>71.06</v>
      </c>
      <c r="BH5017" s="42"/>
      <c r="BI5017" s="74"/>
      <c r="BJ5017" s="77"/>
      <c r="BL5017" s="497">
        <v>66.92</v>
      </c>
      <c r="BN5017" s="42"/>
      <c r="BO5017" s="74"/>
      <c r="BP5017" s="77"/>
      <c r="BR5017" s="497">
        <v>68</v>
      </c>
      <c r="BT5017" s="42"/>
    </row>
    <row r="5018" spans="1:72" x14ac:dyDescent="0.25">
      <c r="A5018" s="90">
        <v>34543</v>
      </c>
      <c r="B5018" s="20">
        <v>0.33333333333333331</v>
      </c>
      <c r="D5018">
        <v>78.080000000000013</v>
      </c>
      <c r="E5018" t="str">
        <f t="shared" si="192"/>
        <v>WEEKDAY</v>
      </c>
      <c r="F5018" t="e">
        <f t="shared" si="191"/>
        <v>#N/A</v>
      </c>
      <c r="G5018" s="74">
        <v>31986</v>
      </c>
      <c r="H5018" s="77">
        <v>0.33333333333333331</v>
      </c>
      <c r="J5018">
        <v>77</v>
      </c>
      <c r="M5018" s="74">
        <v>33447</v>
      </c>
      <c r="N5018" s="77">
        <v>0.33333333333333331</v>
      </c>
      <c r="P5018">
        <v>69.080000000000013</v>
      </c>
      <c r="S5018" s="74">
        <v>34543</v>
      </c>
      <c r="T5018" s="77">
        <v>0.33333333333333331</v>
      </c>
      <c r="V5018">
        <v>75.02</v>
      </c>
      <c r="X5018" s="42"/>
      <c r="AB5018">
        <v>74.3</v>
      </c>
      <c r="AC5018">
        <v>78.98</v>
      </c>
      <c r="AE5018" s="74"/>
      <c r="AF5018" s="77"/>
      <c r="AH5018" s="497">
        <v>63.680000000000007</v>
      </c>
      <c r="AJ5018" s="42"/>
      <c r="AK5018" s="74"/>
      <c r="AL5018" s="77"/>
      <c r="AN5018" s="497">
        <v>64.94</v>
      </c>
      <c r="AP5018" s="42"/>
      <c r="AQ5018" s="74"/>
      <c r="AR5018" s="77"/>
      <c r="AT5018" s="497">
        <v>63.319999999999993</v>
      </c>
      <c r="AV5018" s="42"/>
      <c r="AW5018" s="74"/>
      <c r="AX5018" s="77"/>
      <c r="BA5018" s="497">
        <v>75.02</v>
      </c>
      <c r="BB5018" s="42"/>
      <c r="BC5018" s="74"/>
      <c r="BD5018" s="77"/>
      <c r="BF5018">
        <v>71.06</v>
      </c>
      <c r="BH5018" s="42"/>
      <c r="BI5018" s="74"/>
      <c r="BJ5018" s="77"/>
      <c r="BL5018" s="497">
        <v>69.080000000000013</v>
      </c>
      <c r="BN5018" s="42"/>
      <c r="BO5018" s="74"/>
      <c r="BP5018" s="77"/>
      <c r="BR5018" s="497">
        <v>73.94</v>
      </c>
      <c r="BT5018" s="42"/>
    </row>
    <row r="5019" spans="1:72" x14ac:dyDescent="0.25">
      <c r="A5019" s="90">
        <v>34543</v>
      </c>
      <c r="B5019" s="20">
        <v>0.375</v>
      </c>
      <c r="D5019">
        <v>78.98</v>
      </c>
      <c r="E5019" t="str">
        <f t="shared" si="192"/>
        <v>WEEKDAY</v>
      </c>
      <c r="F5019" t="e">
        <f t="shared" si="191"/>
        <v>#N/A</v>
      </c>
      <c r="G5019" s="74">
        <v>31986</v>
      </c>
      <c r="H5019" s="77">
        <v>0.375</v>
      </c>
      <c r="J5019">
        <v>78.080000000000013</v>
      </c>
      <c r="M5019" s="74">
        <v>33447</v>
      </c>
      <c r="N5019" s="77">
        <v>0.375</v>
      </c>
      <c r="P5019">
        <v>71.960000000000008</v>
      </c>
      <c r="S5019" s="74">
        <v>34543</v>
      </c>
      <c r="T5019" s="77">
        <v>0.375</v>
      </c>
      <c r="V5019">
        <v>73.94</v>
      </c>
      <c r="X5019" s="42"/>
      <c r="AB5019">
        <v>76.2</v>
      </c>
      <c r="AC5019">
        <v>78.98</v>
      </c>
      <c r="AE5019" s="74"/>
      <c r="AF5019" s="77"/>
      <c r="AH5019" s="497">
        <v>63.5</v>
      </c>
      <c r="AJ5019" s="42"/>
      <c r="AK5019" s="74"/>
      <c r="AL5019" s="77"/>
      <c r="AN5019" s="497">
        <v>62.96</v>
      </c>
      <c r="AP5019" s="42"/>
      <c r="AQ5019" s="74"/>
      <c r="AR5019" s="77"/>
      <c r="AT5019" s="497">
        <v>68.539999999999992</v>
      </c>
      <c r="AV5019" s="42"/>
      <c r="AW5019" s="74"/>
      <c r="AX5019" s="77"/>
      <c r="BA5019" s="497">
        <v>78.98</v>
      </c>
      <c r="BB5019" s="42"/>
      <c r="BC5019" s="74"/>
      <c r="BD5019" s="77"/>
      <c r="BF5019">
        <v>69.98</v>
      </c>
      <c r="BH5019" s="42"/>
      <c r="BI5019" s="74"/>
      <c r="BJ5019" s="77"/>
      <c r="BL5019" s="497">
        <v>71.06</v>
      </c>
      <c r="BN5019" s="42"/>
      <c r="BO5019" s="74"/>
      <c r="BP5019" s="77"/>
      <c r="BR5019" s="497">
        <v>77</v>
      </c>
      <c r="BT5019" s="42"/>
    </row>
    <row r="5020" spans="1:72" x14ac:dyDescent="0.25">
      <c r="A5020" s="90">
        <v>34543</v>
      </c>
      <c r="B5020" s="20">
        <v>0.41666666666666669</v>
      </c>
      <c r="D5020">
        <v>82.039999999999992</v>
      </c>
      <c r="E5020" t="str">
        <f t="shared" si="192"/>
        <v>WEEKDAY</v>
      </c>
      <c r="F5020" t="e">
        <f t="shared" si="191"/>
        <v>#N/A</v>
      </c>
      <c r="G5020" s="74">
        <v>31986</v>
      </c>
      <c r="H5020" s="77">
        <v>0.41666666666666669</v>
      </c>
      <c r="J5020">
        <v>80.06</v>
      </c>
      <c r="M5020" s="74">
        <v>33447</v>
      </c>
      <c r="N5020" s="77">
        <v>0.41666666666666669</v>
      </c>
      <c r="P5020">
        <v>75.02</v>
      </c>
      <c r="S5020" s="74">
        <v>34543</v>
      </c>
      <c r="T5020" s="77">
        <v>0.41666666666666669</v>
      </c>
      <c r="V5020">
        <v>77</v>
      </c>
      <c r="X5020" s="42"/>
      <c r="AB5020">
        <v>78</v>
      </c>
      <c r="AC5020">
        <v>78.080000000000013</v>
      </c>
      <c r="AE5020" s="74"/>
      <c r="AF5020" s="77"/>
      <c r="AH5020" s="497">
        <v>62.96</v>
      </c>
      <c r="AJ5020" s="42"/>
      <c r="AK5020" s="74"/>
      <c r="AL5020" s="77"/>
      <c r="AN5020" s="497">
        <v>62.96</v>
      </c>
      <c r="AP5020" s="42"/>
      <c r="AQ5020" s="74"/>
      <c r="AR5020" s="77"/>
      <c r="AT5020" s="497">
        <v>73.94</v>
      </c>
      <c r="AV5020" s="42"/>
      <c r="AW5020" s="74"/>
      <c r="AX5020" s="77"/>
      <c r="BA5020" s="497">
        <v>82.94</v>
      </c>
      <c r="BB5020" s="42"/>
      <c r="BC5020" s="74"/>
      <c r="BD5020" s="77"/>
      <c r="BF5020">
        <v>71.06</v>
      </c>
      <c r="BH5020" s="42"/>
      <c r="BI5020" s="74"/>
      <c r="BJ5020" s="77"/>
      <c r="BL5020" s="497">
        <v>73.94</v>
      </c>
      <c r="BN5020" s="42"/>
      <c r="BO5020" s="74"/>
      <c r="BP5020" s="77"/>
      <c r="BR5020" s="497">
        <v>80.960000000000008</v>
      </c>
      <c r="BT5020" s="42"/>
    </row>
    <row r="5021" spans="1:72" x14ac:dyDescent="0.25">
      <c r="A5021" s="90">
        <v>34543</v>
      </c>
      <c r="B5021" s="20">
        <v>0.45833333333333331</v>
      </c>
      <c r="D5021">
        <v>84.02</v>
      </c>
      <c r="E5021" t="str">
        <f t="shared" si="192"/>
        <v>WEEKDAY</v>
      </c>
      <c r="F5021" t="e">
        <f t="shared" si="191"/>
        <v>#N/A</v>
      </c>
      <c r="G5021" s="74">
        <v>31986</v>
      </c>
      <c r="H5021" s="77">
        <v>0.45833333333333331</v>
      </c>
      <c r="J5021">
        <v>82.94</v>
      </c>
      <c r="M5021" s="74">
        <v>33447</v>
      </c>
      <c r="N5021" s="77">
        <v>0.45833333333333331</v>
      </c>
      <c r="P5021">
        <v>75.02</v>
      </c>
      <c r="S5021" s="74">
        <v>34543</v>
      </c>
      <c r="T5021" s="77">
        <v>0.45833333333333331</v>
      </c>
      <c r="V5021">
        <v>78.080000000000013</v>
      </c>
      <c r="X5021" s="42"/>
      <c r="AB5021">
        <v>79.400000000000006</v>
      </c>
      <c r="AC5021">
        <v>78.98</v>
      </c>
      <c r="AE5021" s="74"/>
      <c r="AF5021" s="77"/>
      <c r="AH5021" s="497">
        <v>64.400000000000006</v>
      </c>
      <c r="AJ5021" s="42"/>
      <c r="AK5021" s="74"/>
      <c r="AL5021" s="77"/>
      <c r="AN5021" s="497">
        <v>66.02</v>
      </c>
      <c r="AP5021" s="42"/>
      <c r="AQ5021" s="74"/>
      <c r="AR5021" s="77"/>
      <c r="AT5021" s="497">
        <v>75.56</v>
      </c>
      <c r="AV5021" s="42"/>
      <c r="AW5021" s="74"/>
      <c r="AX5021" s="77"/>
      <c r="BA5021" s="497">
        <v>84.02</v>
      </c>
      <c r="BB5021" s="42"/>
      <c r="BC5021" s="74"/>
      <c r="BD5021" s="77"/>
      <c r="BF5021">
        <v>71.06</v>
      </c>
      <c r="BH5021" s="42"/>
      <c r="BI5021" s="74"/>
      <c r="BJ5021" s="77"/>
      <c r="BL5021" s="497">
        <v>77</v>
      </c>
      <c r="BN5021" s="42"/>
      <c r="BO5021" s="74"/>
      <c r="BP5021" s="77"/>
      <c r="BR5021" s="497">
        <v>82.94</v>
      </c>
      <c r="BT5021" s="42"/>
    </row>
    <row r="5022" spans="1:72" x14ac:dyDescent="0.25">
      <c r="A5022" s="90">
        <v>34543</v>
      </c>
      <c r="B5022" s="20">
        <v>0.5</v>
      </c>
      <c r="D5022">
        <v>84.02</v>
      </c>
      <c r="E5022" t="str">
        <f t="shared" si="192"/>
        <v>WEEKDAY</v>
      </c>
      <c r="F5022" t="e">
        <f t="shared" si="191"/>
        <v>#N/A</v>
      </c>
      <c r="G5022" s="74">
        <v>31986</v>
      </c>
      <c r="H5022" s="77">
        <v>0.5</v>
      </c>
      <c r="J5022">
        <v>84.92</v>
      </c>
      <c r="M5022" s="74">
        <v>33447</v>
      </c>
      <c r="N5022" s="77">
        <v>0.5</v>
      </c>
      <c r="P5022">
        <v>77</v>
      </c>
      <c r="S5022" s="74">
        <v>34543</v>
      </c>
      <c r="T5022" s="77">
        <v>0.5</v>
      </c>
      <c r="V5022">
        <v>78.080000000000013</v>
      </c>
      <c r="X5022" s="42"/>
      <c r="AB5022">
        <v>80.400000000000006</v>
      </c>
      <c r="AC5022">
        <v>80.06</v>
      </c>
      <c r="AE5022" s="74"/>
      <c r="AF5022" s="77"/>
      <c r="AH5022" s="497">
        <v>67.64</v>
      </c>
      <c r="AJ5022" s="42"/>
      <c r="AK5022" s="74"/>
      <c r="AL5022" s="77"/>
      <c r="AN5022" s="497">
        <v>66.02</v>
      </c>
      <c r="AP5022" s="42"/>
      <c r="AQ5022" s="74"/>
      <c r="AR5022" s="77"/>
      <c r="AT5022" s="497">
        <v>77.36</v>
      </c>
      <c r="AV5022" s="42"/>
      <c r="AW5022" s="74"/>
      <c r="AX5022" s="77"/>
      <c r="BA5022" s="497">
        <v>86</v>
      </c>
      <c r="BB5022" s="42"/>
      <c r="BC5022" s="74"/>
      <c r="BD5022" s="77"/>
      <c r="BF5022">
        <v>71.06</v>
      </c>
      <c r="BH5022" s="42"/>
      <c r="BI5022" s="74"/>
      <c r="BJ5022" s="77"/>
      <c r="BL5022" s="497">
        <v>77</v>
      </c>
      <c r="BN5022" s="42"/>
      <c r="BO5022" s="74"/>
      <c r="BP5022" s="77"/>
      <c r="BR5022" s="497">
        <v>84.92</v>
      </c>
      <c r="BT5022" s="42"/>
    </row>
    <row r="5023" spans="1:72" x14ac:dyDescent="0.25">
      <c r="A5023" s="90">
        <v>34543</v>
      </c>
      <c r="B5023" s="20">
        <v>0.54166666666666663</v>
      </c>
      <c r="D5023">
        <v>78.080000000000013</v>
      </c>
      <c r="E5023" t="str">
        <f t="shared" si="192"/>
        <v>WEEKDAY</v>
      </c>
      <c r="F5023" t="e">
        <f t="shared" si="191"/>
        <v>#N/A</v>
      </c>
      <c r="G5023" s="74">
        <v>31986</v>
      </c>
      <c r="H5023" s="77">
        <v>0.54166666666666663</v>
      </c>
      <c r="J5023">
        <v>86</v>
      </c>
      <c r="M5023" s="74">
        <v>33447</v>
      </c>
      <c r="N5023" s="77">
        <v>0.54166666666666663</v>
      </c>
      <c r="P5023">
        <v>78.080000000000013</v>
      </c>
      <c r="S5023" s="74">
        <v>34543</v>
      </c>
      <c r="T5023" s="77">
        <v>0.54166666666666663</v>
      </c>
      <c r="V5023">
        <v>77</v>
      </c>
      <c r="X5023" s="42"/>
      <c r="AB5023">
        <v>81.3</v>
      </c>
      <c r="AC5023">
        <v>78.98</v>
      </c>
      <c r="AE5023" s="74"/>
      <c r="AF5023" s="77"/>
      <c r="AH5023" s="497">
        <v>69.080000000000013</v>
      </c>
      <c r="AJ5023" s="42"/>
      <c r="AK5023" s="74"/>
      <c r="AL5023" s="77"/>
      <c r="AN5023" s="497">
        <v>66.92</v>
      </c>
      <c r="AP5023" s="42"/>
      <c r="AQ5023" s="74"/>
      <c r="AR5023" s="77"/>
      <c r="AT5023" s="497">
        <v>78.98</v>
      </c>
      <c r="AV5023" s="42"/>
      <c r="AW5023" s="74"/>
      <c r="AX5023" s="77"/>
      <c r="BA5023" s="497">
        <v>86</v>
      </c>
      <c r="BB5023" s="42"/>
      <c r="BC5023" s="74"/>
      <c r="BD5023" s="77"/>
      <c r="BF5023">
        <v>71.960000000000008</v>
      </c>
      <c r="BH5023" s="42"/>
      <c r="BI5023" s="74"/>
      <c r="BJ5023" s="77"/>
      <c r="BL5023" s="497">
        <v>78.080000000000013</v>
      </c>
      <c r="BN5023" s="42"/>
      <c r="BO5023" s="74"/>
      <c r="BP5023" s="77"/>
      <c r="BR5023" s="497">
        <v>86</v>
      </c>
      <c r="BT5023" s="42"/>
    </row>
    <row r="5024" spans="1:72" x14ac:dyDescent="0.25">
      <c r="A5024" s="90">
        <v>34543</v>
      </c>
      <c r="B5024" s="20">
        <v>0.58333333333333337</v>
      </c>
      <c r="D5024">
        <v>80.06</v>
      </c>
      <c r="E5024" t="str">
        <f t="shared" si="192"/>
        <v>WEEKDAY</v>
      </c>
      <c r="F5024" t="e">
        <f t="shared" si="191"/>
        <v>#N/A</v>
      </c>
      <c r="G5024" s="74">
        <v>31986</v>
      </c>
      <c r="H5024" s="77">
        <v>0.58333333333333337</v>
      </c>
      <c r="J5024">
        <v>86</v>
      </c>
      <c r="M5024" s="74">
        <v>33447</v>
      </c>
      <c r="N5024" s="77">
        <v>0.58333333333333337</v>
      </c>
      <c r="P5024">
        <v>77</v>
      </c>
      <c r="S5024" s="74">
        <v>34543</v>
      </c>
      <c r="T5024" s="77">
        <v>0.58333333333333337</v>
      </c>
      <c r="V5024">
        <v>73.039999999999992</v>
      </c>
      <c r="X5024" s="42"/>
      <c r="AB5024">
        <v>81.599999999999994</v>
      </c>
      <c r="AC5024">
        <v>78.98</v>
      </c>
      <c r="AE5024" s="74"/>
      <c r="AF5024" s="77"/>
      <c r="AH5024" s="497">
        <v>66.92</v>
      </c>
      <c r="AJ5024" s="42"/>
      <c r="AK5024" s="74"/>
      <c r="AL5024" s="77"/>
      <c r="AN5024" s="497">
        <v>66.92</v>
      </c>
      <c r="AP5024" s="42"/>
      <c r="AQ5024" s="74"/>
      <c r="AR5024" s="77"/>
      <c r="AT5024" s="497">
        <v>79.34</v>
      </c>
      <c r="AV5024" s="42"/>
      <c r="AW5024" s="74"/>
      <c r="AX5024" s="77"/>
      <c r="BA5024" s="497">
        <v>87.98</v>
      </c>
      <c r="BB5024" s="42"/>
      <c r="BC5024" s="74"/>
      <c r="BD5024" s="77"/>
      <c r="BF5024">
        <v>73.039999999999992</v>
      </c>
      <c r="BH5024" s="42"/>
      <c r="BI5024" s="74"/>
      <c r="BJ5024" s="77"/>
      <c r="BL5024" s="497">
        <v>78.080000000000013</v>
      </c>
      <c r="BN5024" s="42"/>
      <c r="BO5024" s="74"/>
      <c r="BP5024" s="77"/>
      <c r="BR5024" s="497">
        <v>87.98</v>
      </c>
      <c r="BT5024" s="42"/>
    </row>
    <row r="5025" spans="1:72" x14ac:dyDescent="0.25">
      <c r="A5025" s="90">
        <v>34543</v>
      </c>
      <c r="B5025" s="20">
        <v>0.625</v>
      </c>
      <c r="D5025">
        <v>82.039999999999992</v>
      </c>
      <c r="E5025" t="str">
        <f t="shared" si="192"/>
        <v>WEEKDAY</v>
      </c>
      <c r="F5025" t="e">
        <f t="shared" si="191"/>
        <v>#N/A</v>
      </c>
      <c r="G5025" s="74">
        <v>31986</v>
      </c>
      <c r="H5025" s="77">
        <v>0.625</v>
      </c>
      <c r="J5025">
        <v>82.039999999999992</v>
      </c>
      <c r="M5025" s="74">
        <v>33447</v>
      </c>
      <c r="N5025" s="77">
        <v>0.625</v>
      </c>
      <c r="P5025">
        <v>77</v>
      </c>
      <c r="S5025" s="74">
        <v>34543</v>
      </c>
      <c r="T5025" s="77">
        <v>0.625</v>
      </c>
      <c r="V5025">
        <v>75.92</v>
      </c>
      <c r="X5025" s="42"/>
      <c r="AB5025">
        <v>81.599999999999994</v>
      </c>
      <c r="AC5025">
        <v>77</v>
      </c>
      <c r="AE5025" s="74"/>
      <c r="AF5025" s="77"/>
      <c r="AH5025" s="497">
        <v>66.56</v>
      </c>
      <c r="AJ5025" s="42"/>
      <c r="AK5025" s="74"/>
      <c r="AL5025" s="77"/>
      <c r="AN5025" s="497">
        <v>66.02</v>
      </c>
      <c r="AP5025" s="42"/>
      <c r="AQ5025" s="74"/>
      <c r="AR5025" s="77"/>
      <c r="AT5025" s="497">
        <v>79.7</v>
      </c>
      <c r="AV5025" s="42"/>
      <c r="AW5025" s="74"/>
      <c r="AX5025" s="77"/>
      <c r="BA5025" s="497">
        <v>87.98</v>
      </c>
      <c r="BB5025" s="42"/>
      <c r="BC5025" s="74"/>
      <c r="BD5025" s="77"/>
      <c r="BF5025">
        <v>73.039999999999992</v>
      </c>
      <c r="BH5025" s="42"/>
      <c r="BI5025" s="74"/>
      <c r="BJ5025" s="77"/>
      <c r="BL5025" s="497">
        <v>75.02</v>
      </c>
      <c r="BN5025" s="42"/>
      <c r="BO5025" s="74"/>
      <c r="BP5025" s="77"/>
      <c r="BR5025" s="497">
        <v>87.080000000000013</v>
      </c>
      <c r="BT5025" s="42"/>
    </row>
    <row r="5026" spans="1:72" x14ac:dyDescent="0.25">
      <c r="A5026" s="90">
        <v>34543</v>
      </c>
      <c r="B5026" s="20">
        <v>0.66666666666666663</v>
      </c>
      <c r="D5026">
        <v>82.94</v>
      </c>
      <c r="E5026" t="str">
        <f t="shared" si="192"/>
        <v>WEEKDAY</v>
      </c>
      <c r="F5026" t="e">
        <f t="shared" si="191"/>
        <v>#N/A</v>
      </c>
      <c r="G5026" s="74">
        <v>31986</v>
      </c>
      <c r="H5026" s="77">
        <v>0.66666666666666663</v>
      </c>
      <c r="J5026">
        <v>82.039999999999992</v>
      </c>
      <c r="M5026" s="74">
        <v>33447</v>
      </c>
      <c r="N5026" s="77">
        <v>0.66666666666666663</v>
      </c>
      <c r="P5026">
        <v>78.080000000000013</v>
      </c>
      <c r="S5026" s="74">
        <v>34543</v>
      </c>
      <c r="T5026" s="77">
        <v>0.66666666666666663</v>
      </c>
      <c r="V5026">
        <v>77</v>
      </c>
      <c r="X5026" s="42"/>
      <c r="AB5026">
        <v>81.099999999999994</v>
      </c>
      <c r="AC5026">
        <v>78.080000000000013</v>
      </c>
      <c r="AE5026" s="74"/>
      <c r="AF5026" s="77"/>
      <c r="AH5026" s="497">
        <v>66.2</v>
      </c>
      <c r="AJ5026" s="42"/>
      <c r="AK5026" s="74"/>
      <c r="AL5026" s="77"/>
      <c r="AN5026" s="497">
        <v>64.94</v>
      </c>
      <c r="AP5026" s="42"/>
      <c r="AQ5026" s="74"/>
      <c r="AR5026" s="77"/>
      <c r="AT5026" s="497">
        <v>80.06</v>
      </c>
      <c r="AV5026" s="42"/>
      <c r="AW5026" s="74"/>
      <c r="AX5026" s="77"/>
      <c r="BA5026" s="497">
        <v>87.080000000000013</v>
      </c>
      <c r="BB5026" s="42"/>
      <c r="BC5026" s="74"/>
      <c r="BD5026" s="77"/>
      <c r="BF5026">
        <v>73.94</v>
      </c>
      <c r="BH5026" s="42"/>
      <c r="BI5026" s="74"/>
      <c r="BJ5026" s="77"/>
      <c r="BL5026" s="497">
        <v>75.02</v>
      </c>
      <c r="BN5026" s="42"/>
      <c r="BO5026" s="74"/>
      <c r="BP5026" s="77"/>
      <c r="BR5026" s="497">
        <v>87.080000000000013</v>
      </c>
      <c r="BT5026" s="42"/>
    </row>
    <row r="5027" spans="1:72" x14ac:dyDescent="0.25">
      <c r="A5027" s="90">
        <v>34543</v>
      </c>
      <c r="B5027" s="20">
        <v>0.70833333333333337</v>
      </c>
      <c r="D5027">
        <v>82.039999999999992</v>
      </c>
      <c r="E5027" t="str">
        <f t="shared" si="192"/>
        <v>WEEKDAY</v>
      </c>
      <c r="F5027" t="e">
        <f t="shared" si="191"/>
        <v>#N/A</v>
      </c>
      <c r="G5027" s="74">
        <v>31986</v>
      </c>
      <c r="H5027" s="77">
        <v>0.70833333333333337</v>
      </c>
      <c r="J5027">
        <v>80.960000000000008</v>
      </c>
      <c r="M5027" s="74">
        <v>33447</v>
      </c>
      <c r="N5027" s="77">
        <v>0.70833333333333337</v>
      </c>
      <c r="P5027">
        <v>78.98</v>
      </c>
      <c r="S5027" s="74">
        <v>34543</v>
      </c>
      <c r="T5027" s="77">
        <v>0.70833333333333337</v>
      </c>
      <c r="V5027">
        <v>75.92</v>
      </c>
      <c r="X5027" s="42"/>
      <c r="AB5027">
        <v>80.3</v>
      </c>
      <c r="AC5027">
        <v>75.92</v>
      </c>
      <c r="AE5027" s="74"/>
      <c r="AF5027" s="77"/>
      <c r="AH5027" s="497">
        <v>65.84</v>
      </c>
      <c r="AJ5027" s="42"/>
      <c r="AK5027" s="74"/>
      <c r="AL5027" s="77"/>
      <c r="AN5027" s="497">
        <v>66.02</v>
      </c>
      <c r="AP5027" s="42"/>
      <c r="AQ5027" s="74"/>
      <c r="AR5027" s="77"/>
      <c r="AT5027" s="497">
        <v>77.36</v>
      </c>
      <c r="AV5027" s="42"/>
      <c r="AW5027" s="74"/>
      <c r="AX5027" s="77"/>
      <c r="BA5027" s="497">
        <v>87.080000000000013</v>
      </c>
      <c r="BB5027" s="42"/>
      <c r="BC5027" s="74"/>
      <c r="BD5027" s="77"/>
      <c r="BF5027">
        <v>73.039999999999992</v>
      </c>
      <c r="BH5027" s="42"/>
      <c r="BI5027" s="74"/>
      <c r="BJ5027" s="77"/>
      <c r="BL5027" s="497">
        <v>77</v>
      </c>
      <c r="BN5027" s="42"/>
      <c r="BO5027" s="74"/>
      <c r="BP5027" s="77"/>
      <c r="BR5027" s="497">
        <v>86</v>
      </c>
      <c r="BT5027" s="42"/>
    </row>
    <row r="5028" spans="1:72" x14ac:dyDescent="0.25">
      <c r="A5028" s="90">
        <v>34543</v>
      </c>
      <c r="B5028" s="20">
        <v>0.75</v>
      </c>
      <c r="D5028">
        <v>80.960000000000008</v>
      </c>
      <c r="E5028" t="str">
        <f t="shared" si="192"/>
        <v>WEEKDAY</v>
      </c>
      <c r="F5028" t="e">
        <f t="shared" si="191"/>
        <v>#N/A</v>
      </c>
      <c r="G5028" s="74">
        <v>31986</v>
      </c>
      <c r="H5028" s="77">
        <v>0.75</v>
      </c>
      <c r="J5028">
        <v>80.960000000000008</v>
      </c>
      <c r="M5028" s="74">
        <v>33447</v>
      </c>
      <c r="N5028" s="77">
        <v>0.75</v>
      </c>
      <c r="P5028">
        <v>75.92</v>
      </c>
      <c r="S5028" s="74">
        <v>34543</v>
      </c>
      <c r="T5028" s="77">
        <v>0.75</v>
      </c>
      <c r="V5028">
        <v>75.02</v>
      </c>
      <c r="X5028" s="42"/>
      <c r="AB5028">
        <v>79.2</v>
      </c>
      <c r="AC5028">
        <v>75.92</v>
      </c>
      <c r="AE5028" s="74"/>
      <c r="AF5028" s="77"/>
      <c r="AH5028" s="497">
        <v>65.48</v>
      </c>
      <c r="AJ5028" s="42"/>
      <c r="AK5028" s="74"/>
      <c r="AL5028" s="77"/>
      <c r="AN5028" s="497">
        <v>64.94</v>
      </c>
      <c r="AP5028" s="42"/>
      <c r="AQ5028" s="74"/>
      <c r="AR5028" s="77"/>
      <c r="AT5028" s="497">
        <v>74.66</v>
      </c>
      <c r="AV5028" s="42"/>
      <c r="AW5028" s="74"/>
      <c r="AX5028" s="77"/>
      <c r="BA5028" s="497">
        <v>84.92</v>
      </c>
      <c r="BB5028" s="42"/>
      <c r="BC5028" s="74"/>
      <c r="BD5028" s="77"/>
      <c r="BF5028">
        <v>71.960000000000008</v>
      </c>
      <c r="BH5028" s="42"/>
      <c r="BI5028" s="74"/>
      <c r="BJ5028" s="77"/>
      <c r="BL5028" s="497">
        <v>75.02</v>
      </c>
      <c r="BN5028" s="42"/>
      <c r="BO5028" s="74"/>
      <c r="BP5028" s="77"/>
      <c r="BR5028" s="497">
        <v>84.02</v>
      </c>
      <c r="BT5028" s="42"/>
    </row>
    <row r="5029" spans="1:72" x14ac:dyDescent="0.25">
      <c r="A5029" s="90">
        <v>34543</v>
      </c>
      <c r="B5029" s="20">
        <v>0.79166666666666663</v>
      </c>
      <c r="D5029">
        <v>80.06</v>
      </c>
      <c r="E5029" t="str">
        <f t="shared" si="192"/>
        <v>WEEKDAY</v>
      </c>
      <c r="F5029" t="e">
        <f t="shared" si="191"/>
        <v>#N/A</v>
      </c>
      <c r="G5029" s="74">
        <v>31986</v>
      </c>
      <c r="H5029" s="77">
        <v>0.79166666666666663</v>
      </c>
      <c r="J5029">
        <v>80.06</v>
      </c>
      <c r="M5029" s="74">
        <v>33447</v>
      </c>
      <c r="N5029" s="77">
        <v>0.79166666666666663</v>
      </c>
      <c r="P5029">
        <v>73.039999999999992</v>
      </c>
      <c r="S5029" s="74">
        <v>34543</v>
      </c>
      <c r="T5029" s="77">
        <v>0.79166666666666663</v>
      </c>
      <c r="V5029">
        <v>73.94</v>
      </c>
      <c r="X5029" s="42"/>
      <c r="AB5029">
        <v>77.900000000000006</v>
      </c>
      <c r="AC5029">
        <v>73.94</v>
      </c>
      <c r="AE5029" s="74"/>
      <c r="AF5029" s="77"/>
      <c r="AH5029" s="497">
        <v>67.28</v>
      </c>
      <c r="AJ5029" s="42"/>
      <c r="AK5029" s="74"/>
      <c r="AL5029" s="77"/>
      <c r="AN5029" s="497">
        <v>64.94</v>
      </c>
      <c r="AP5029" s="42"/>
      <c r="AQ5029" s="74"/>
      <c r="AR5029" s="77"/>
      <c r="AT5029" s="497">
        <v>71.960000000000008</v>
      </c>
      <c r="AV5029" s="42"/>
      <c r="AW5029" s="74"/>
      <c r="AX5029" s="77"/>
      <c r="BA5029" s="497">
        <v>82.94</v>
      </c>
      <c r="BB5029" s="42"/>
      <c r="BC5029" s="74"/>
      <c r="BD5029" s="77"/>
      <c r="BF5029">
        <v>71.960000000000008</v>
      </c>
      <c r="BH5029" s="42"/>
      <c r="BI5029" s="74"/>
      <c r="BJ5029" s="77"/>
      <c r="BL5029" s="497">
        <v>73.039999999999992</v>
      </c>
      <c r="BN5029" s="42"/>
      <c r="BO5029" s="74"/>
      <c r="BP5029" s="77"/>
      <c r="BR5029" s="497">
        <v>80.960000000000008</v>
      </c>
      <c r="BT5029" s="42"/>
    </row>
    <row r="5030" spans="1:72" x14ac:dyDescent="0.25">
      <c r="A5030" s="90">
        <v>34543</v>
      </c>
      <c r="B5030" s="20">
        <v>0.83333333333333337</v>
      </c>
      <c r="D5030">
        <v>78.98</v>
      </c>
      <c r="E5030" t="str">
        <f t="shared" si="192"/>
        <v>WEEKDAY</v>
      </c>
      <c r="F5030" t="e">
        <f t="shared" si="191"/>
        <v>#N/A</v>
      </c>
      <c r="G5030" s="74">
        <v>31986</v>
      </c>
      <c r="H5030" s="77">
        <v>0.83333333333333337</v>
      </c>
      <c r="J5030">
        <v>77</v>
      </c>
      <c r="M5030" s="74">
        <v>33447</v>
      </c>
      <c r="N5030" s="77">
        <v>0.83333333333333337</v>
      </c>
      <c r="P5030">
        <v>66.02</v>
      </c>
      <c r="S5030" s="74">
        <v>34543</v>
      </c>
      <c r="T5030" s="77">
        <v>0.83333333333333337</v>
      </c>
      <c r="V5030">
        <v>75.92</v>
      </c>
      <c r="X5030" s="42"/>
      <c r="AB5030">
        <v>76.599999999999994</v>
      </c>
      <c r="AC5030">
        <v>73.94</v>
      </c>
      <c r="AE5030" s="74"/>
      <c r="AF5030" s="77"/>
      <c r="AH5030" s="497">
        <v>68.180000000000007</v>
      </c>
      <c r="AJ5030" s="42"/>
      <c r="AK5030" s="74"/>
      <c r="AL5030" s="77"/>
      <c r="AN5030" s="497">
        <v>62.06</v>
      </c>
      <c r="AP5030" s="42"/>
      <c r="AQ5030" s="74"/>
      <c r="AR5030" s="77"/>
      <c r="AT5030" s="497">
        <v>69.98</v>
      </c>
      <c r="AV5030" s="42"/>
      <c r="AW5030" s="74"/>
      <c r="AX5030" s="77"/>
      <c r="BA5030" s="497">
        <v>78.080000000000013</v>
      </c>
      <c r="BB5030" s="42"/>
      <c r="BC5030" s="74"/>
      <c r="BD5030" s="77"/>
      <c r="BF5030">
        <v>69.98</v>
      </c>
      <c r="BH5030" s="42"/>
      <c r="BI5030" s="74"/>
      <c r="BJ5030" s="77"/>
      <c r="BL5030" s="497">
        <v>69.98</v>
      </c>
      <c r="BN5030" s="42"/>
      <c r="BO5030" s="74"/>
      <c r="BP5030" s="77"/>
      <c r="BR5030" s="497">
        <v>73.94</v>
      </c>
      <c r="BT5030" s="42"/>
    </row>
    <row r="5031" spans="1:72" x14ac:dyDescent="0.25">
      <c r="A5031" s="90">
        <v>34543</v>
      </c>
      <c r="B5031" s="20">
        <v>0.875</v>
      </c>
      <c r="D5031">
        <v>75.92</v>
      </c>
      <c r="E5031" t="str">
        <f t="shared" si="192"/>
        <v>WEEKDAY</v>
      </c>
      <c r="F5031" t="e">
        <f t="shared" si="191"/>
        <v>#N/A</v>
      </c>
      <c r="G5031" s="74">
        <v>31986</v>
      </c>
      <c r="H5031" s="77">
        <v>0.875</v>
      </c>
      <c r="J5031">
        <v>77</v>
      </c>
      <c r="M5031" s="74">
        <v>33447</v>
      </c>
      <c r="N5031" s="77">
        <v>0.875</v>
      </c>
      <c r="P5031">
        <v>64.94</v>
      </c>
      <c r="S5031" s="74">
        <v>34543</v>
      </c>
      <c r="T5031" s="77">
        <v>0.875</v>
      </c>
      <c r="V5031">
        <v>75.92</v>
      </c>
      <c r="X5031" s="42"/>
      <c r="AB5031">
        <v>75.7</v>
      </c>
      <c r="AC5031">
        <v>73.039999999999992</v>
      </c>
      <c r="AE5031" s="74"/>
      <c r="AF5031" s="77"/>
      <c r="AH5031" s="497">
        <v>69.800000000000011</v>
      </c>
      <c r="AJ5031" s="42"/>
      <c r="AK5031" s="74"/>
      <c r="AL5031" s="77"/>
      <c r="AN5031" s="497">
        <v>60.980000000000004</v>
      </c>
      <c r="AP5031" s="42"/>
      <c r="AQ5031" s="74"/>
      <c r="AR5031" s="77"/>
      <c r="AT5031" s="497">
        <v>68</v>
      </c>
      <c r="AV5031" s="42"/>
      <c r="AW5031" s="74"/>
      <c r="AX5031" s="77"/>
      <c r="BA5031" s="497">
        <v>73.94</v>
      </c>
      <c r="BB5031" s="42"/>
      <c r="BC5031" s="74"/>
      <c r="BD5031" s="77"/>
      <c r="BF5031">
        <v>69.98</v>
      </c>
      <c r="BH5031" s="42"/>
      <c r="BI5031" s="74"/>
      <c r="BJ5031" s="77"/>
      <c r="BL5031" s="497">
        <v>69.98</v>
      </c>
      <c r="BN5031" s="42"/>
      <c r="BO5031" s="74"/>
      <c r="BP5031" s="77"/>
      <c r="BR5031" s="497">
        <v>69.98</v>
      </c>
      <c r="BT5031" s="42"/>
    </row>
    <row r="5032" spans="1:72" x14ac:dyDescent="0.25">
      <c r="A5032" s="90">
        <v>34543</v>
      </c>
      <c r="B5032" s="20">
        <v>0.91666666666666663</v>
      </c>
      <c r="D5032">
        <v>77</v>
      </c>
      <c r="E5032" t="str">
        <f t="shared" si="192"/>
        <v>WEEKDAY</v>
      </c>
      <c r="F5032" t="e">
        <f t="shared" si="191"/>
        <v>#N/A</v>
      </c>
      <c r="G5032" s="74">
        <v>31986</v>
      </c>
      <c r="H5032" s="77">
        <v>0.91666666666666663</v>
      </c>
      <c r="J5032">
        <v>75.02</v>
      </c>
      <c r="M5032" s="74">
        <v>33447</v>
      </c>
      <c r="N5032" s="77">
        <v>0.91666666666666663</v>
      </c>
      <c r="P5032">
        <v>64.94</v>
      </c>
      <c r="S5032" s="74">
        <v>34543</v>
      </c>
      <c r="T5032" s="77">
        <v>0.91666666666666663</v>
      </c>
      <c r="V5032">
        <v>75.92</v>
      </c>
      <c r="X5032" s="42"/>
      <c r="AB5032">
        <v>75.099999999999994</v>
      </c>
      <c r="AC5032">
        <v>73.039999999999992</v>
      </c>
      <c r="AE5032" s="74"/>
      <c r="AF5032" s="77"/>
      <c r="AH5032" s="497">
        <v>73.039999999999992</v>
      </c>
      <c r="AJ5032" s="42"/>
      <c r="AK5032" s="74"/>
      <c r="AL5032" s="77"/>
      <c r="AN5032" s="497">
        <v>60.08</v>
      </c>
      <c r="AP5032" s="42"/>
      <c r="AQ5032" s="74"/>
      <c r="AR5032" s="77"/>
      <c r="AT5032" s="497">
        <v>66.02</v>
      </c>
      <c r="AV5032" s="42"/>
      <c r="AW5032" s="74"/>
      <c r="AX5032" s="77"/>
      <c r="BA5032" s="497">
        <v>73.039999999999992</v>
      </c>
      <c r="BB5032" s="42"/>
      <c r="BC5032" s="74"/>
      <c r="BD5032" s="77"/>
      <c r="BF5032">
        <v>69.98</v>
      </c>
      <c r="BH5032" s="42"/>
      <c r="BI5032" s="74"/>
      <c r="BJ5032" s="77"/>
      <c r="BL5032" s="497">
        <v>69.98</v>
      </c>
      <c r="BN5032" s="42"/>
      <c r="BO5032" s="74"/>
      <c r="BP5032" s="77"/>
      <c r="BR5032" s="497">
        <v>68</v>
      </c>
      <c r="BT5032" s="42"/>
    </row>
    <row r="5033" spans="1:72" x14ac:dyDescent="0.25">
      <c r="A5033" s="90">
        <v>34543</v>
      </c>
      <c r="B5033" s="20">
        <v>0.95833333333333337</v>
      </c>
      <c r="D5033">
        <v>75.92</v>
      </c>
      <c r="E5033" t="str">
        <f t="shared" si="192"/>
        <v>WEEKDAY</v>
      </c>
      <c r="F5033" t="e">
        <f t="shared" si="191"/>
        <v>#N/A</v>
      </c>
      <c r="G5033" s="74">
        <v>31986</v>
      </c>
      <c r="H5033" s="77">
        <v>0.95833333333333337</v>
      </c>
      <c r="J5033">
        <v>73.94</v>
      </c>
      <c r="M5033" s="74">
        <v>33447</v>
      </c>
      <c r="N5033" s="77">
        <v>0.95833333333333337</v>
      </c>
      <c r="P5033">
        <v>64.039999999999992</v>
      </c>
      <c r="S5033" s="74">
        <v>34543</v>
      </c>
      <c r="T5033" s="77">
        <v>0.95833333333333337</v>
      </c>
      <c r="V5033">
        <v>75.02</v>
      </c>
      <c r="X5033" s="42"/>
      <c r="AB5033">
        <v>74.599999999999994</v>
      </c>
      <c r="AC5033">
        <v>71.960000000000008</v>
      </c>
      <c r="AE5033" s="74"/>
      <c r="AF5033" s="77"/>
      <c r="AH5033" s="497">
        <v>62.6</v>
      </c>
      <c r="AJ5033" s="42"/>
      <c r="AK5033" s="74"/>
      <c r="AL5033" s="77"/>
      <c r="AN5033" s="497">
        <v>59</v>
      </c>
      <c r="AP5033" s="42"/>
      <c r="AQ5033" s="74"/>
      <c r="AR5033" s="77"/>
      <c r="AT5033" s="497">
        <v>64.400000000000006</v>
      </c>
      <c r="AV5033" s="42"/>
      <c r="AW5033" s="74"/>
      <c r="AX5033" s="77"/>
      <c r="BA5033" s="497">
        <v>71.06</v>
      </c>
      <c r="BB5033" s="42"/>
      <c r="BC5033" s="74"/>
      <c r="BD5033" s="77"/>
      <c r="BF5033">
        <v>69.98</v>
      </c>
      <c r="BH5033" s="42"/>
      <c r="BI5033" s="74"/>
      <c r="BJ5033" s="77"/>
      <c r="BL5033" s="497">
        <v>69.080000000000013</v>
      </c>
      <c r="BN5033" s="42"/>
      <c r="BO5033" s="74"/>
      <c r="BP5033" s="77"/>
      <c r="BR5033" s="497">
        <v>66.02</v>
      </c>
      <c r="BT5033" s="42"/>
    </row>
    <row r="5034" spans="1:72" x14ac:dyDescent="0.25">
      <c r="A5034" s="90">
        <v>34543</v>
      </c>
      <c r="B5034" s="20">
        <v>1</v>
      </c>
      <c r="D5034">
        <v>75.02</v>
      </c>
      <c r="E5034" t="str">
        <f t="shared" si="192"/>
        <v>WEEKDAY</v>
      </c>
      <c r="F5034" t="e">
        <f t="shared" si="191"/>
        <v>#N/A</v>
      </c>
      <c r="G5034" s="74">
        <v>31986</v>
      </c>
      <c r="H5034" s="77">
        <v>1</v>
      </c>
      <c r="J5034">
        <v>71.960000000000008</v>
      </c>
      <c r="M5034" s="74">
        <v>33447</v>
      </c>
      <c r="N5034" s="80">
        <v>1</v>
      </c>
      <c r="P5034">
        <v>62.96</v>
      </c>
      <c r="S5034" s="74">
        <v>34543</v>
      </c>
      <c r="T5034" s="80">
        <v>1</v>
      </c>
      <c r="V5034">
        <v>73.94</v>
      </c>
      <c r="X5034" s="42"/>
      <c r="AB5034">
        <v>74.2</v>
      </c>
      <c r="AC5034">
        <v>71.960000000000008</v>
      </c>
      <c r="AE5034" s="74"/>
      <c r="AF5034" s="80"/>
      <c r="AH5034" s="497">
        <v>62.6</v>
      </c>
      <c r="AJ5034" s="42"/>
      <c r="AK5034" s="74"/>
      <c r="AL5034" s="80"/>
      <c r="AN5034" s="497">
        <v>57.92</v>
      </c>
      <c r="AP5034" s="42"/>
      <c r="AQ5034" s="74"/>
      <c r="AR5034" s="80"/>
      <c r="AT5034" s="497">
        <v>62.6</v>
      </c>
      <c r="AV5034" s="42"/>
      <c r="AW5034" s="74"/>
      <c r="AX5034" s="80"/>
      <c r="BA5034" s="497">
        <v>69.98</v>
      </c>
      <c r="BB5034" s="42"/>
      <c r="BC5034" s="74"/>
      <c r="BD5034" s="80"/>
      <c r="BF5034">
        <v>71.06</v>
      </c>
      <c r="BH5034" s="42"/>
      <c r="BI5034" s="74"/>
      <c r="BJ5034" s="80"/>
      <c r="BL5034" s="497">
        <v>69.080000000000013</v>
      </c>
      <c r="BN5034" s="42"/>
      <c r="BO5034" s="74"/>
      <c r="BP5034" s="80"/>
      <c r="BR5034" s="497">
        <v>64.94</v>
      </c>
      <c r="BT5034" s="42"/>
    </row>
    <row r="5035" spans="1:72" x14ac:dyDescent="0.25">
      <c r="A5035" s="90">
        <v>34544</v>
      </c>
      <c r="B5035" s="20">
        <v>4.1666666666666664E-2</v>
      </c>
      <c r="D5035">
        <v>73.039999999999992</v>
      </c>
      <c r="E5035" t="str">
        <f t="shared" si="192"/>
        <v>WEEKDAY</v>
      </c>
      <c r="F5035" t="e">
        <f t="shared" ref="F5035:F5098" si="193">IF(E5035="WEEKDAY",VLOOKUP(B5035,$DD$19:$DG$42,2),IF(E5035="SATURDAY",VLOOKUP(B5035,$DD$19:$DG$42,3),VLOOKUP(B5035,$DD$19:$DG$42,4)))</f>
        <v>#N/A</v>
      </c>
      <c r="G5035" s="74">
        <v>31987</v>
      </c>
      <c r="H5035" s="77">
        <v>4.1666666666666664E-2</v>
      </c>
      <c r="J5035">
        <v>69.98</v>
      </c>
      <c r="M5035" s="74">
        <v>33448</v>
      </c>
      <c r="N5035" s="77">
        <v>4.1666666666666664E-2</v>
      </c>
      <c r="P5035">
        <v>62.06</v>
      </c>
      <c r="S5035" s="74">
        <v>34544</v>
      </c>
      <c r="T5035" s="77">
        <v>4.1666666666666664E-2</v>
      </c>
      <c r="V5035">
        <v>73.039999999999992</v>
      </c>
      <c r="X5035" s="42"/>
      <c r="AB5035">
        <v>73.599999999999994</v>
      </c>
      <c r="AC5035">
        <v>71.960000000000008</v>
      </c>
      <c r="AE5035" s="74"/>
      <c r="AF5035" s="77"/>
      <c r="AH5035" s="497">
        <v>62.6</v>
      </c>
      <c r="AJ5035" s="42"/>
      <c r="AK5035" s="74"/>
      <c r="AL5035" s="77"/>
      <c r="AN5035" s="497">
        <v>57.92</v>
      </c>
      <c r="AP5035" s="42"/>
      <c r="AQ5035" s="74"/>
      <c r="AR5035" s="77"/>
      <c r="AT5035" s="497">
        <v>60.980000000000004</v>
      </c>
      <c r="AV5035" s="42"/>
      <c r="AW5035" s="74"/>
      <c r="AX5035" s="77"/>
      <c r="BA5035" s="497">
        <v>68</v>
      </c>
      <c r="BB5035" s="42"/>
      <c r="BC5035" s="74"/>
      <c r="BD5035" s="77"/>
      <c r="BF5035">
        <v>69.98</v>
      </c>
      <c r="BH5035" s="42"/>
      <c r="BI5035" s="74"/>
      <c r="BJ5035" s="77"/>
      <c r="BL5035" s="497">
        <v>69.080000000000013</v>
      </c>
      <c r="BN5035" s="42"/>
      <c r="BO5035" s="74"/>
      <c r="BP5035" s="77"/>
      <c r="BR5035" s="497">
        <v>64.039999999999992</v>
      </c>
      <c r="BT5035" s="42"/>
    </row>
    <row r="5036" spans="1:72" x14ac:dyDescent="0.25">
      <c r="A5036" s="90">
        <v>34544</v>
      </c>
      <c r="B5036" s="20">
        <v>8.3333333333333329E-2</v>
      </c>
      <c r="D5036">
        <v>73.039999999999992</v>
      </c>
      <c r="E5036" t="str">
        <f t="shared" si="192"/>
        <v>WEEKDAY</v>
      </c>
      <c r="F5036" t="e">
        <f t="shared" si="193"/>
        <v>#N/A</v>
      </c>
      <c r="G5036" s="74">
        <v>31987</v>
      </c>
      <c r="H5036" s="77">
        <v>8.3333333333333329E-2</v>
      </c>
      <c r="J5036">
        <v>68</v>
      </c>
      <c r="M5036" s="74">
        <v>33448</v>
      </c>
      <c r="N5036" s="77">
        <v>8.3333333333333329E-2</v>
      </c>
      <c r="P5036">
        <v>62.06</v>
      </c>
      <c r="S5036" s="74">
        <v>34544</v>
      </c>
      <c r="T5036" s="77">
        <v>8.3333333333333329E-2</v>
      </c>
      <c r="V5036">
        <v>73.039999999999992</v>
      </c>
      <c r="X5036" s="42"/>
      <c r="AB5036">
        <v>73.099999999999994</v>
      </c>
      <c r="AC5036">
        <v>71.960000000000008</v>
      </c>
      <c r="AE5036" s="74"/>
      <c r="AF5036" s="77"/>
      <c r="AH5036" s="497">
        <v>62.6</v>
      </c>
      <c r="AJ5036" s="42"/>
      <c r="AK5036" s="74"/>
      <c r="AL5036" s="77"/>
      <c r="AN5036" s="497">
        <v>57.019999999999996</v>
      </c>
      <c r="AP5036" s="42"/>
      <c r="AQ5036" s="74"/>
      <c r="AR5036" s="77"/>
      <c r="AT5036" s="497">
        <v>60.620000000000005</v>
      </c>
      <c r="AV5036" s="42"/>
      <c r="AW5036" s="74"/>
      <c r="AX5036" s="77"/>
      <c r="BA5036" s="497">
        <v>66.92</v>
      </c>
      <c r="BB5036" s="42"/>
      <c r="BC5036" s="74"/>
      <c r="BD5036" s="77"/>
      <c r="BF5036">
        <v>71.06</v>
      </c>
      <c r="BH5036" s="42"/>
      <c r="BI5036" s="74"/>
      <c r="BJ5036" s="77"/>
      <c r="BL5036" s="497">
        <v>68</v>
      </c>
      <c r="BN5036" s="42"/>
      <c r="BO5036" s="74"/>
      <c r="BP5036" s="77"/>
      <c r="BR5036" s="497">
        <v>62.96</v>
      </c>
      <c r="BT5036" s="42"/>
    </row>
    <row r="5037" spans="1:72" x14ac:dyDescent="0.25">
      <c r="A5037" s="90">
        <v>34544</v>
      </c>
      <c r="B5037" s="20">
        <v>0.125</v>
      </c>
      <c r="D5037">
        <v>71.960000000000008</v>
      </c>
      <c r="E5037" t="str">
        <f t="shared" si="192"/>
        <v>WEEKDAY</v>
      </c>
      <c r="F5037" t="e">
        <f t="shared" si="193"/>
        <v>#N/A</v>
      </c>
      <c r="G5037" s="74">
        <v>31987</v>
      </c>
      <c r="H5037" s="77">
        <v>0.125</v>
      </c>
      <c r="J5037">
        <v>66.02</v>
      </c>
      <c r="M5037" s="74">
        <v>33448</v>
      </c>
      <c r="N5037" s="77">
        <v>0.125</v>
      </c>
      <c r="P5037">
        <v>62.06</v>
      </c>
      <c r="S5037" s="74">
        <v>34544</v>
      </c>
      <c r="T5037" s="77">
        <v>0.125</v>
      </c>
      <c r="V5037">
        <v>71.06</v>
      </c>
      <c r="X5037" s="42"/>
      <c r="AB5037">
        <v>72.5</v>
      </c>
      <c r="AC5037">
        <v>71.960000000000008</v>
      </c>
      <c r="AE5037" s="74"/>
      <c r="AF5037" s="77"/>
      <c r="AH5037" s="497">
        <v>61.519999999999996</v>
      </c>
      <c r="AJ5037" s="42"/>
      <c r="AK5037" s="74"/>
      <c r="AL5037" s="77"/>
      <c r="AN5037" s="497">
        <v>55.94</v>
      </c>
      <c r="AP5037" s="42"/>
      <c r="AQ5037" s="74"/>
      <c r="AR5037" s="77"/>
      <c r="AT5037" s="497">
        <v>60.44</v>
      </c>
      <c r="AV5037" s="42"/>
      <c r="AW5037" s="74"/>
      <c r="AX5037" s="77"/>
      <c r="BA5037" s="497">
        <v>66.92</v>
      </c>
      <c r="BB5037" s="42"/>
      <c r="BC5037" s="74"/>
      <c r="BD5037" s="77"/>
      <c r="BF5037">
        <v>69.080000000000013</v>
      </c>
      <c r="BH5037" s="42"/>
      <c r="BI5037" s="74"/>
      <c r="BJ5037" s="77"/>
      <c r="BL5037" s="497">
        <v>66.02</v>
      </c>
      <c r="BN5037" s="42"/>
      <c r="BO5037" s="74"/>
      <c r="BP5037" s="77"/>
      <c r="BR5037" s="497">
        <v>62.96</v>
      </c>
      <c r="BT5037" s="42"/>
    </row>
    <row r="5038" spans="1:72" x14ac:dyDescent="0.25">
      <c r="A5038" s="90">
        <v>34544</v>
      </c>
      <c r="B5038" s="20">
        <v>0.16666666666666666</v>
      </c>
      <c r="D5038">
        <v>71.960000000000008</v>
      </c>
      <c r="E5038" t="str">
        <f t="shared" si="192"/>
        <v>WEEKDAY</v>
      </c>
      <c r="F5038" t="e">
        <f t="shared" si="193"/>
        <v>#N/A</v>
      </c>
      <c r="G5038" s="74">
        <v>31987</v>
      </c>
      <c r="H5038" s="77">
        <v>0.16666666666666666</v>
      </c>
      <c r="J5038">
        <v>64.94</v>
      </c>
      <c r="M5038" s="74">
        <v>33448</v>
      </c>
      <c r="N5038" s="77">
        <v>0.16666666666666666</v>
      </c>
      <c r="P5038">
        <v>62.06</v>
      </c>
      <c r="S5038" s="74">
        <v>34544</v>
      </c>
      <c r="T5038" s="77">
        <v>0.16666666666666666</v>
      </c>
      <c r="V5038">
        <v>71.06</v>
      </c>
      <c r="X5038" s="42"/>
      <c r="AB5038">
        <v>72.099999999999994</v>
      </c>
      <c r="AC5038">
        <v>69.98</v>
      </c>
      <c r="AE5038" s="74"/>
      <c r="AF5038" s="77"/>
      <c r="AH5038" s="497">
        <v>60.8</v>
      </c>
      <c r="AJ5038" s="42"/>
      <c r="AK5038" s="74"/>
      <c r="AL5038" s="77"/>
      <c r="AN5038" s="497">
        <v>51.980000000000004</v>
      </c>
      <c r="AP5038" s="42"/>
      <c r="AQ5038" s="74"/>
      <c r="AR5038" s="77"/>
      <c r="AT5038" s="497">
        <v>60.08</v>
      </c>
      <c r="AV5038" s="42"/>
      <c r="AW5038" s="74"/>
      <c r="AX5038" s="77"/>
      <c r="BA5038" s="497">
        <v>66.92</v>
      </c>
      <c r="BB5038" s="42"/>
      <c r="BC5038" s="74"/>
      <c r="BD5038" s="77"/>
      <c r="BF5038">
        <v>69.98</v>
      </c>
      <c r="BH5038" s="42"/>
      <c r="BI5038" s="74"/>
      <c r="BJ5038" s="77"/>
      <c r="BL5038" s="497">
        <v>64.94</v>
      </c>
      <c r="BN5038" s="42"/>
      <c r="BO5038" s="74"/>
      <c r="BP5038" s="77"/>
      <c r="BR5038" s="497">
        <v>60.08</v>
      </c>
      <c r="BT5038" s="42"/>
    </row>
    <row r="5039" spans="1:72" x14ac:dyDescent="0.25">
      <c r="A5039" s="90">
        <v>34544</v>
      </c>
      <c r="B5039" s="20">
        <v>0.20833333333333334</v>
      </c>
      <c r="D5039">
        <v>71.06</v>
      </c>
      <c r="E5039" t="str">
        <f t="shared" si="192"/>
        <v>WEEKDAY</v>
      </c>
      <c r="F5039" t="e">
        <f t="shared" si="193"/>
        <v>#N/A</v>
      </c>
      <c r="G5039" s="74">
        <v>31987</v>
      </c>
      <c r="H5039" s="77">
        <v>0.20833333333333334</v>
      </c>
      <c r="J5039">
        <v>62.96</v>
      </c>
      <c r="M5039" s="74">
        <v>33448</v>
      </c>
      <c r="N5039" s="77">
        <v>0.20833333333333334</v>
      </c>
      <c r="P5039">
        <v>62.96</v>
      </c>
      <c r="S5039" s="74">
        <v>34544</v>
      </c>
      <c r="T5039" s="77">
        <v>0.20833333333333334</v>
      </c>
      <c r="V5039">
        <v>71.960000000000008</v>
      </c>
      <c r="X5039" s="42"/>
      <c r="AB5039">
        <v>71.5</v>
      </c>
      <c r="AC5039">
        <v>69.98</v>
      </c>
      <c r="AE5039" s="74"/>
      <c r="AF5039" s="77"/>
      <c r="AH5039" s="497">
        <v>60.8</v>
      </c>
      <c r="AJ5039" s="42"/>
      <c r="AK5039" s="74"/>
      <c r="AL5039" s="77"/>
      <c r="AN5039" s="497">
        <v>50</v>
      </c>
      <c r="AP5039" s="42"/>
      <c r="AQ5039" s="74"/>
      <c r="AR5039" s="77"/>
      <c r="AT5039" s="497">
        <v>61.34</v>
      </c>
      <c r="AV5039" s="42"/>
      <c r="AW5039" s="74"/>
      <c r="AX5039" s="77"/>
      <c r="BA5039" s="497">
        <v>66.02</v>
      </c>
      <c r="BB5039" s="42"/>
      <c r="BC5039" s="74"/>
      <c r="BD5039" s="77"/>
      <c r="BF5039">
        <v>69.080000000000013</v>
      </c>
      <c r="BH5039" s="42"/>
      <c r="BI5039" s="74"/>
      <c r="BJ5039" s="77"/>
      <c r="BL5039" s="497">
        <v>62.06</v>
      </c>
      <c r="BN5039" s="42"/>
      <c r="BO5039" s="74"/>
      <c r="BP5039" s="77"/>
      <c r="BR5039" s="497">
        <v>59</v>
      </c>
      <c r="BT5039" s="42"/>
    </row>
    <row r="5040" spans="1:72" x14ac:dyDescent="0.25">
      <c r="A5040" s="90">
        <v>34544</v>
      </c>
      <c r="B5040" s="20">
        <v>0.25</v>
      </c>
      <c r="D5040">
        <v>71.06</v>
      </c>
      <c r="E5040" t="str">
        <f t="shared" si="192"/>
        <v>WEEKDAY</v>
      </c>
      <c r="F5040" t="e">
        <f t="shared" si="193"/>
        <v>#N/A</v>
      </c>
      <c r="G5040" s="74">
        <v>31987</v>
      </c>
      <c r="H5040" s="77">
        <v>0.25</v>
      </c>
      <c r="J5040">
        <v>64.94</v>
      </c>
      <c r="M5040" s="74">
        <v>33448</v>
      </c>
      <c r="N5040" s="77">
        <v>0.25</v>
      </c>
      <c r="P5040">
        <v>64.039999999999992</v>
      </c>
      <c r="S5040" s="74">
        <v>34544</v>
      </c>
      <c r="T5040" s="77">
        <v>0.25</v>
      </c>
      <c r="V5040">
        <v>71.06</v>
      </c>
      <c r="X5040" s="42"/>
      <c r="AB5040">
        <v>71.2</v>
      </c>
      <c r="AC5040">
        <v>69.98</v>
      </c>
      <c r="AE5040" s="74"/>
      <c r="AF5040" s="77"/>
      <c r="AH5040" s="497">
        <v>60.8</v>
      </c>
      <c r="AJ5040" s="42"/>
      <c r="AK5040" s="74"/>
      <c r="AL5040" s="77"/>
      <c r="AN5040" s="497">
        <v>51.08</v>
      </c>
      <c r="AP5040" s="42"/>
      <c r="AQ5040" s="74"/>
      <c r="AR5040" s="77"/>
      <c r="AT5040" s="497">
        <v>62.78</v>
      </c>
      <c r="AV5040" s="42"/>
      <c r="AW5040" s="74"/>
      <c r="AX5040" s="77"/>
      <c r="BA5040" s="497">
        <v>68</v>
      </c>
      <c r="BB5040" s="42"/>
      <c r="BC5040" s="74"/>
      <c r="BD5040" s="77"/>
      <c r="BF5040">
        <v>69.080000000000013</v>
      </c>
      <c r="BH5040" s="42"/>
      <c r="BI5040" s="74"/>
      <c r="BJ5040" s="77"/>
      <c r="BL5040" s="497">
        <v>64.039999999999992</v>
      </c>
      <c r="BN5040" s="42"/>
      <c r="BO5040" s="74"/>
      <c r="BP5040" s="77"/>
      <c r="BR5040" s="497">
        <v>62.96</v>
      </c>
      <c r="BT5040" s="42"/>
    </row>
    <row r="5041" spans="1:72" x14ac:dyDescent="0.25">
      <c r="A5041" s="90">
        <v>34544</v>
      </c>
      <c r="B5041" s="20">
        <v>0.29166666666666669</v>
      </c>
      <c r="D5041">
        <v>71.960000000000008</v>
      </c>
      <c r="E5041" t="str">
        <f t="shared" si="192"/>
        <v>WEEKDAY</v>
      </c>
      <c r="F5041" t="e">
        <f t="shared" si="193"/>
        <v>#N/A</v>
      </c>
      <c r="G5041" s="74">
        <v>31987</v>
      </c>
      <c r="H5041" s="77">
        <v>0.29166666666666669</v>
      </c>
      <c r="J5041">
        <v>66.92</v>
      </c>
      <c r="M5041" s="74">
        <v>33448</v>
      </c>
      <c r="N5041" s="77">
        <v>0.29166666666666669</v>
      </c>
      <c r="P5041">
        <v>62.96</v>
      </c>
      <c r="S5041" s="74">
        <v>34544</v>
      </c>
      <c r="T5041" s="77">
        <v>0.29166666666666669</v>
      </c>
      <c r="V5041">
        <v>73.039999999999992</v>
      </c>
      <c r="X5041" s="42"/>
      <c r="AB5041">
        <v>72.2</v>
      </c>
      <c r="AC5041">
        <v>73.039999999999992</v>
      </c>
      <c r="AE5041" s="74"/>
      <c r="AF5041" s="77"/>
      <c r="AH5041" s="497">
        <v>64.580000000000013</v>
      </c>
      <c r="AJ5041" s="42"/>
      <c r="AK5041" s="74"/>
      <c r="AL5041" s="77"/>
      <c r="AN5041" s="497">
        <v>53.96</v>
      </c>
      <c r="AP5041" s="42"/>
      <c r="AQ5041" s="74"/>
      <c r="AR5041" s="77"/>
      <c r="AT5041" s="497">
        <v>64.039999999999992</v>
      </c>
      <c r="AV5041" s="42"/>
      <c r="AW5041" s="74"/>
      <c r="AX5041" s="77"/>
      <c r="BA5041" s="497">
        <v>71.06</v>
      </c>
      <c r="BB5041" s="42"/>
      <c r="BC5041" s="74"/>
      <c r="BD5041" s="77"/>
      <c r="BF5041">
        <v>69.98</v>
      </c>
      <c r="BH5041" s="42"/>
      <c r="BI5041" s="74"/>
      <c r="BJ5041" s="77"/>
      <c r="BL5041" s="497">
        <v>66.92</v>
      </c>
      <c r="BN5041" s="42"/>
      <c r="BO5041" s="74"/>
      <c r="BP5041" s="77"/>
      <c r="BR5041" s="497">
        <v>69.080000000000013</v>
      </c>
      <c r="BT5041" s="42"/>
    </row>
    <row r="5042" spans="1:72" x14ac:dyDescent="0.25">
      <c r="A5042" s="90">
        <v>34544</v>
      </c>
      <c r="B5042" s="20">
        <v>0.33333333333333331</v>
      </c>
      <c r="D5042">
        <v>75.02</v>
      </c>
      <c r="E5042" t="str">
        <f t="shared" si="192"/>
        <v>WEEKDAY</v>
      </c>
      <c r="F5042" t="e">
        <f t="shared" si="193"/>
        <v>#N/A</v>
      </c>
      <c r="G5042" s="74">
        <v>31987</v>
      </c>
      <c r="H5042" s="77">
        <v>0.33333333333333331</v>
      </c>
      <c r="J5042">
        <v>69.080000000000013</v>
      </c>
      <c r="M5042" s="74">
        <v>33448</v>
      </c>
      <c r="N5042" s="77">
        <v>0.33333333333333331</v>
      </c>
      <c r="P5042">
        <v>64.94</v>
      </c>
      <c r="S5042" s="74">
        <v>34544</v>
      </c>
      <c r="T5042" s="77">
        <v>0.33333333333333331</v>
      </c>
      <c r="V5042">
        <v>75.02</v>
      </c>
      <c r="X5042" s="42"/>
      <c r="AB5042">
        <v>74.2</v>
      </c>
      <c r="AC5042">
        <v>73.94</v>
      </c>
      <c r="AE5042" s="74"/>
      <c r="AF5042" s="77"/>
      <c r="AH5042" s="497">
        <v>67.460000000000008</v>
      </c>
      <c r="AJ5042" s="42"/>
      <c r="AK5042" s="74"/>
      <c r="AL5042" s="77"/>
      <c r="AN5042" s="497">
        <v>57.92</v>
      </c>
      <c r="AP5042" s="42"/>
      <c r="AQ5042" s="74"/>
      <c r="AR5042" s="77"/>
      <c r="AT5042" s="497">
        <v>67.28</v>
      </c>
      <c r="AV5042" s="42"/>
      <c r="AW5042" s="74"/>
      <c r="AX5042" s="77"/>
      <c r="BA5042" s="497">
        <v>75.92</v>
      </c>
      <c r="BB5042" s="42"/>
      <c r="BC5042" s="74"/>
      <c r="BD5042" s="77"/>
      <c r="BF5042">
        <v>69.080000000000013</v>
      </c>
      <c r="BH5042" s="42"/>
      <c r="BI5042" s="74"/>
      <c r="BJ5042" s="77"/>
      <c r="BL5042" s="497">
        <v>69.98</v>
      </c>
      <c r="BN5042" s="42"/>
      <c r="BO5042" s="74"/>
      <c r="BP5042" s="77"/>
      <c r="BR5042" s="497">
        <v>75.02</v>
      </c>
      <c r="BT5042" s="42"/>
    </row>
    <row r="5043" spans="1:72" x14ac:dyDescent="0.25">
      <c r="A5043" s="90">
        <v>34544</v>
      </c>
      <c r="B5043" s="20">
        <v>0.375</v>
      </c>
      <c r="D5043">
        <v>75.02</v>
      </c>
      <c r="E5043" t="str">
        <f t="shared" si="192"/>
        <v>WEEKDAY</v>
      </c>
      <c r="F5043" t="e">
        <f t="shared" si="193"/>
        <v>#N/A</v>
      </c>
      <c r="G5043" s="74">
        <v>31987</v>
      </c>
      <c r="H5043" s="77">
        <v>0.375</v>
      </c>
      <c r="J5043">
        <v>69.98</v>
      </c>
      <c r="M5043" s="74">
        <v>33448</v>
      </c>
      <c r="N5043" s="77">
        <v>0.375</v>
      </c>
      <c r="P5043">
        <v>66.02</v>
      </c>
      <c r="S5043" s="74">
        <v>34544</v>
      </c>
      <c r="T5043" s="77">
        <v>0.375</v>
      </c>
      <c r="V5043">
        <v>77</v>
      </c>
      <c r="X5043" s="42"/>
      <c r="AB5043">
        <v>76.099999999999994</v>
      </c>
      <c r="AC5043">
        <v>75.92</v>
      </c>
      <c r="AE5043" s="74"/>
      <c r="AF5043" s="77"/>
      <c r="AH5043" s="497">
        <v>69.800000000000011</v>
      </c>
      <c r="AJ5043" s="42"/>
      <c r="AK5043" s="74"/>
      <c r="AL5043" s="77"/>
      <c r="AN5043" s="497">
        <v>62.06</v>
      </c>
      <c r="AP5043" s="42"/>
      <c r="AQ5043" s="74"/>
      <c r="AR5043" s="77"/>
      <c r="AT5043" s="497">
        <v>70.7</v>
      </c>
      <c r="AV5043" s="42"/>
      <c r="AW5043" s="74"/>
      <c r="AX5043" s="77"/>
      <c r="BA5043" s="497">
        <v>80.06</v>
      </c>
      <c r="BB5043" s="42"/>
      <c r="BC5043" s="74"/>
      <c r="BD5043" s="77"/>
      <c r="BF5043">
        <v>69.98</v>
      </c>
      <c r="BH5043" s="42"/>
      <c r="BI5043" s="74"/>
      <c r="BJ5043" s="77"/>
      <c r="BL5043" s="497">
        <v>71.960000000000008</v>
      </c>
      <c r="BN5043" s="42"/>
      <c r="BO5043" s="74"/>
      <c r="BP5043" s="77"/>
      <c r="BR5043" s="497">
        <v>80.06</v>
      </c>
      <c r="BT5043" s="42"/>
    </row>
    <row r="5044" spans="1:72" x14ac:dyDescent="0.25">
      <c r="A5044" s="90">
        <v>34544</v>
      </c>
      <c r="B5044" s="20">
        <v>0.41666666666666669</v>
      </c>
      <c r="D5044">
        <v>75.92</v>
      </c>
      <c r="E5044" t="str">
        <f t="shared" si="192"/>
        <v>WEEKDAY</v>
      </c>
      <c r="F5044" t="e">
        <f t="shared" si="193"/>
        <v>#N/A</v>
      </c>
      <c r="G5044" s="74">
        <v>31987</v>
      </c>
      <c r="H5044" s="77">
        <v>0.41666666666666669</v>
      </c>
      <c r="J5044">
        <v>71.960000000000008</v>
      </c>
      <c r="M5044" s="74">
        <v>33448</v>
      </c>
      <c r="N5044" s="77">
        <v>0.41666666666666669</v>
      </c>
      <c r="P5044">
        <v>64.94</v>
      </c>
      <c r="S5044" s="74">
        <v>34544</v>
      </c>
      <c r="T5044" s="77">
        <v>0.41666666666666669</v>
      </c>
      <c r="V5044">
        <v>78.98</v>
      </c>
      <c r="X5044" s="42"/>
      <c r="AB5044">
        <v>77.900000000000006</v>
      </c>
      <c r="AC5044">
        <v>78.98</v>
      </c>
      <c r="AE5044" s="74"/>
      <c r="AF5044" s="77"/>
      <c r="AH5044" s="497">
        <v>73.400000000000006</v>
      </c>
      <c r="AJ5044" s="42"/>
      <c r="AK5044" s="74"/>
      <c r="AL5044" s="77"/>
      <c r="AN5044" s="497">
        <v>66.02</v>
      </c>
      <c r="AP5044" s="42"/>
      <c r="AQ5044" s="74"/>
      <c r="AR5044" s="77"/>
      <c r="AT5044" s="497">
        <v>73.94</v>
      </c>
      <c r="AV5044" s="42"/>
      <c r="AW5044" s="74"/>
      <c r="AX5044" s="77"/>
      <c r="BA5044" s="497">
        <v>84.02</v>
      </c>
      <c r="BB5044" s="42"/>
      <c r="BC5044" s="74"/>
      <c r="BD5044" s="77"/>
      <c r="BF5044">
        <v>73.039999999999992</v>
      </c>
      <c r="BH5044" s="42"/>
      <c r="BI5044" s="74"/>
      <c r="BJ5044" s="77"/>
      <c r="BL5044" s="497">
        <v>73.94</v>
      </c>
      <c r="BN5044" s="42"/>
      <c r="BO5044" s="74"/>
      <c r="BP5044" s="77"/>
      <c r="BR5044" s="497">
        <v>82.94</v>
      </c>
      <c r="BT5044" s="42"/>
    </row>
    <row r="5045" spans="1:72" x14ac:dyDescent="0.25">
      <c r="A5045" s="90">
        <v>34544</v>
      </c>
      <c r="B5045" s="20">
        <v>0.45833333333333331</v>
      </c>
      <c r="D5045">
        <v>78.080000000000013</v>
      </c>
      <c r="E5045" t="str">
        <f t="shared" si="192"/>
        <v>WEEKDAY</v>
      </c>
      <c r="F5045" t="e">
        <f t="shared" si="193"/>
        <v>#N/A</v>
      </c>
      <c r="G5045" s="74">
        <v>31987</v>
      </c>
      <c r="H5045" s="77">
        <v>0.45833333333333331</v>
      </c>
      <c r="J5045">
        <v>75.02</v>
      </c>
      <c r="M5045" s="74">
        <v>33448</v>
      </c>
      <c r="N5045" s="77">
        <v>0.45833333333333331</v>
      </c>
      <c r="P5045">
        <v>66.92</v>
      </c>
      <c r="S5045" s="74">
        <v>34544</v>
      </c>
      <c r="T5045" s="77">
        <v>0.45833333333333331</v>
      </c>
      <c r="V5045">
        <v>78.98</v>
      </c>
      <c r="X5045" s="42"/>
      <c r="AB5045">
        <v>79.3</v>
      </c>
      <c r="AC5045">
        <v>80.960000000000008</v>
      </c>
      <c r="AE5045" s="74"/>
      <c r="AF5045" s="77"/>
      <c r="AH5045" s="497">
        <v>75.2</v>
      </c>
      <c r="AJ5045" s="42"/>
      <c r="AK5045" s="74"/>
      <c r="AL5045" s="77"/>
      <c r="AN5045" s="497">
        <v>69.080000000000013</v>
      </c>
      <c r="AP5045" s="42"/>
      <c r="AQ5045" s="74"/>
      <c r="AR5045" s="77"/>
      <c r="AT5045" s="497">
        <v>75.92</v>
      </c>
      <c r="AV5045" s="42"/>
      <c r="AW5045" s="74"/>
      <c r="AX5045" s="77"/>
      <c r="BA5045" s="497">
        <v>87.080000000000013</v>
      </c>
      <c r="BB5045" s="42"/>
      <c r="BC5045" s="74"/>
      <c r="BD5045" s="77"/>
      <c r="BF5045">
        <v>77</v>
      </c>
      <c r="BH5045" s="42"/>
      <c r="BI5045" s="74"/>
      <c r="BJ5045" s="77"/>
      <c r="BL5045" s="497">
        <v>77</v>
      </c>
      <c r="BN5045" s="42"/>
      <c r="BO5045" s="74"/>
      <c r="BP5045" s="77"/>
      <c r="BR5045" s="497">
        <v>86</v>
      </c>
      <c r="BT5045" s="42"/>
    </row>
    <row r="5046" spans="1:72" x14ac:dyDescent="0.25">
      <c r="A5046" s="90">
        <v>34544</v>
      </c>
      <c r="B5046" s="20">
        <v>0.5</v>
      </c>
      <c r="D5046">
        <v>78.98</v>
      </c>
      <c r="E5046" t="str">
        <f t="shared" si="192"/>
        <v>WEEKDAY</v>
      </c>
      <c r="F5046" t="e">
        <f t="shared" si="193"/>
        <v>#N/A</v>
      </c>
      <c r="G5046" s="74">
        <v>31987</v>
      </c>
      <c r="H5046" s="77">
        <v>0.5</v>
      </c>
      <c r="J5046">
        <v>75.92</v>
      </c>
      <c r="M5046" s="74">
        <v>33448</v>
      </c>
      <c r="N5046" s="77">
        <v>0.5</v>
      </c>
      <c r="P5046">
        <v>68</v>
      </c>
      <c r="S5046" s="74">
        <v>34544</v>
      </c>
      <c r="T5046" s="77">
        <v>0.5</v>
      </c>
      <c r="V5046">
        <v>75.02</v>
      </c>
      <c r="X5046" s="42"/>
      <c r="AB5046">
        <v>80.3</v>
      </c>
      <c r="AC5046">
        <v>80.06</v>
      </c>
      <c r="AE5046" s="74"/>
      <c r="AF5046" s="77"/>
      <c r="AH5046" s="497">
        <v>75.2</v>
      </c>
      <c r="AJ5046" s="42"/>
      <c r="AK5046" s="74"/>
      <c r="AL5046" s="77"/>
      <c r="AN5046" s="497">
        <v>69.98</v>
      </c>
      <c r="AP5046" s="42"/>
      <c r="AQ5046" s="74"/>
      <c r="AR5046" s="77"/>
      <c r="AT5046" s="497">
        <v>78.080000000000013</v>
      </c>
      <c r="AV5046" s="42"/>
      <c r="AW5046" s="74"/>
      <c r="AX5046" s="77"/>
      <c r="BA5046" s="497">
        <v>87.98</v>
      </c>
      <c r="BB5046" s="42"/>
      <c r="BC5046" s="74"/>
      <c r="BD5046" s="77"/>
      <c r="BF5046">
        <v>78.080000000000013</v>
      </c>
      <c r="BH5046" s="42"/>
      <c r="BI5046" s="74"/>
      <c r="BJ5046" s="77"/>
      <c r="BL5046" s="497">
        <v>78.080000000000013</v>
      </c>
      <c r="BN5046" s="42"/>
      <c r="BO5046" s="74"/>
      <c r="BP5046" s="77"/>
      <c r="BR5046" s="497">
        <v>87.98</v>
      </c>
      <c r="BT5046" s="42"/>
    </row>
    <row r="5047" spans="1:72" x14ac:dyDescent="0.25">
      <c r="A5047" s="90">
        <v>34544</v>
      </c>
      <c r="B5047" s="20">
        <v>0.54166666666666663</v>
      </c>
      <c r="D5047">
        <v>78.98</v>
      </c>
      <c r="E5047" t="str">
        <f t="shared" si="192"/>
        <v>WEEKDAY</v>
      </c>
      <c r="F5047" t="e">
        <f t="shared" si="193"/>
        <v>#N/A</v>
      </c>
      <c r="G5047" s="74">
        <v>31987</v>
      </c>
      <c r="H5047" s="77">
        <v>0.54166666666666663</v>
      </c>
      <c r="J5047">
        <v>78.080000000000013</v>
      </c>
      <c r="M5047" s="74">
        <v>33448</v>
      </c>
      <c r="N5047" s="77">
        <v>0.54166666666666663</v>
      </c>
      <c r="P5047">
        <v>68</v>
      </c>
      <c r="S5047" s="74">
        <v>34544</v>
      </c>
      <c r="T5047" s="77">
        <v>0.54166666666666663</v>
      </c>
      <c r="V5047">
        <v>78.98</v>
      </c>
      <c r="X5047" s="42"/>
      <c r="AB5047">
        <v>81.2</v>
      </c>
      <c r="AC5047">
        <v>80.06</v>
      </c>
      <c r="AE5047" s="74"/>
      <c r="AF5047" s="77"/>
      <c r="AH5047" s="497">
        <v>75.2</v>
      </c>
      <c r="AJ5047" s="42"/>
      <c r="AK5047" s="74"/>
      <c r="AL5047" s="77"/>
      <c r="AN5047" s="497">
        <v>71.06</v>
      </c>
      <c r="AP5047" s="42"/>
      <c r="AQ5047" s="74"/>
      <c r="AR5047" s="77"/>
      <c r="AT5047" s="497">
        <v>80.06</v>
      </c>
      <c r="AV5047" s="42"/>
      <c r="AW5047" s="74"/>
      <c r="AX5047" s="77"/>
      <c r="BA5047" s="497">
        <v>86</v>
      </c>
      <c r="BB5047" s="42"/>
      <c r="BC5047" s="74"/>
      <c r="BD5047" s="77"/>
      <c r="BF5047">
        <v>78.98</v>
      </c>
      <c r="BH5047" s="42"/>
      <c r="BI5047" s="74"/>
      <c r="BJ5047" s="77"/>
      <c r="BL5047" s="497">
        <v>78.98</v>
      </c>
      <c r="BN5047" s="42"/>
      <c r="BO5047" s="74"/>
      <c r="BP5047" s="77"/>
      <c r="BR5047" s="497">
        <v>89.06</v>
      </c>
      <c r="BT5047" s="42"/>
    </row>
    <row r="5048" spans="1:72" x14ac:dyDescent="0.25">
      <c r="A5048" s="90">
        <v>34544</v>
      </c>
      <c r="B5048" s="20">
        <v>0.58333333333333337</v>
      </c>
      <c r="D5048">
        <v>82.039999999999992</v>
      </c>
      <c r="E5048" t="str">
        <f t="shared" si="192"/>
        <v>WEEKDAY</v>
      </c>
      <c r="F5048" t="e">
        <f t="shared" si="193"/>
        <v>#N/A</v>
      </c>
      <c r="G5048" s="74">
        <v>31987</v>
      </c>
      <c r="H5048" s="77">
        <v>0.58333333333333337</v>
      </c>
      <c r="J5048">
        <v>78.98</v>
      </c>
      <c r="M5048" s="74">
        <v>33448</v>
      </c>
      <c r="N5048" s="77">
        <v>0.58333333333333337</v>
      </c>
      <c r="P5048">
        <v>66.92</v>
      </c>
      <c r="S5048" s="74">
        <v>34544</v>
      </c>
      <c r="T5048" s="77">
        <v>0.58333333333333337</v>
      </c>
      <c r="V5048">
        <v>80.06</v>
      </c>
      <c r="X5048" s="42"/>
      <c r="AB5048">
        <v>81.599999999999994</v>
      </c>
      <c r="AC5048">
        <v>82.039999999999992</v>
      </c>
      <c r="AE5048" s="74"/>
      <c r="AF5048" s="77"/>
      <c r="AH5048" s="497">
        <v>75.2</v>
      </c>
      <c r="AJ5048" s="42"/>
      <c r="AK5048" s="74"/>
      <c r="AL5048" s="77"/>
      <c r="AN5048" s="497">
        <v>69.98</v>
      </c>
      <c r="AP5048" s="42"/>
      <c r="AQ5048" s="74"/>
      <c r="AR5048" s="77"/>
      <c r="AT5048" s="497">
        <v>79.7</v>
      </c>
      <c r="AV5048" s="42"/>
      <c r="AW5048" s="74"/>
      <c r="AX5048" s="77"/>
      <c r="BA5048" s="497">
        <v>86</v>
      </c>
      <c r="BB5048" s="42"/>
      <c r="BC5048" s="74"/>
      <c r="BD5048" s="77"/>
      <c r="BF5048">
        <v>78.080000000000013</v>
      </c>
      <c r="BH5048" s="42"/>
      <c r="BI5048" s="74"/>
      <c r="BJ5048" s="77"/>
      <c r="BL5048" s="497">
        <v>78.98</v>
      </c>
      <c r="BN5048" s="42"/>
      <c r="BO5048" s="74"/>
      <c r="BP5048" s="77"/>
      <c r="BR5048" s="497">
        <v>91.039999999999992</v>
      </c>
      <c r="BT5048" s="42"/>
    </row>
    <row r="5049" spans="1:72" x14ac:dyDescent="0.25">
      <c r="A5049" s="90">
        <v>34544</v>
      </c>
      <c r="B5049" s="20">
        <v>0.625</v>
      </c>
      <c r="D5049">
        <v>82.94</v>
      </c>
      <c r="E5049" t="str">
        <f t="shared" si="192"/>
        <v>WEEKDAY</v>
      </c>
      <c r="F5049" t="e">
        <f t="shared" si="193"/>
        <v>#N/A</v>
      </c>
      <c r="G5049" s="74">
        <v>31987</v>
      </c>
      <c r="H5049" s="77">
        <v>0.625</v>
      </c>
      <c r="J5049">
        <v>80.06</v>
      </c>
      <c r="M5049" s="74">
        <v>33448</v>
      </c>
      <c r="N5049" s="77">
        <v>0.625</v>
      </c>
      <c r="P5049">
        <v>64.94</v>
      </c>
      <c r="S5049" s="74">
        <v>34544</v>
      </c>
      <c r="T5049" s="77">
        <v>0.625</v>
      </c>
      <c r="V5049">
        <v>78.080000000000013</v>
      </c>
      <c r="X5049" s="42"/>
      <c r="AB5049">
        <v>81.599999999999994</v>
      </c>
      <c r="AC5049">
        <v>82.039999999999992</v>
      </c>
      <c r="AE5049" s="74"/>
      <c r="AF5049" s="77"/>
      <c r="AH5049" s="497">
        <v>75.2</v>
      </c>
      <c r="AJ5049" s="42"/>
      <c r="AK5049" s="74"/>
      <c r="AL5049" s="77"/>
      <c r="AN5049" s="497">
        <v>69.080000000000013</v>
      </c>
      <c r="AP5049" s="42"/>
      <c r="AQ5049" s="74"/>
      <c r="AR5049" s="77"/>
      <c r="AT5049" s="497">
        <v>79.34</v>
      </c>
      <c r="AV5049" s="42"/>
      <c r="AW5049" s="74"/>
      <c r="AX5049" s="77"/>
      <c r="BA5049" s="497">
        <v>87.080000000000013</v>
      </c>
      <c r="BB5049" s="42"/>
      <c r="BC5049" s="74"/>
      <c r="BD5049" s="77"/>
      <c r="BF5049">
        <v>78.080000000000013</v>
      </c>
      <c r="BH5049" s="42"/>
      <c r="BI5049" s="74"/>
      <c r="BJ5049" s="77"/>
      <c r="BL5049" s="497">
        <v>78.98</v>
      </c>
      <c r="BN5049" s="42"/>
      <c r="BO5049" s="74"/>
      <c r="BP5049" s="77"/>
      <c r="BR5049" s="497">
        <v>89.960000000000008</v>
      </c>
      <c r="BT5049" s="42"/>
    </row>
    <row r="5050" spans="1:72" x14ac:dyDescent="0.25">
      <c r="A5050" s="90">
        <v>34544</v>
      </c>
      <c r="B5050" s="20">
        <v>0.66666666666666663</v>
      </c>
      <c r="D5050">
        <v>86</v>
      </c>
      <c r="E5050" t="str">
        <f t="shared" si="192"/>
        <v>WEEKDAY</v>
      </c>
      <c r="F5050" t="e">
        <f t="shared" si="193"/>
        <v>#N/A</v>
      </c>
      <c r="G5050" s="74">
        <v>31987</v>
      </c>
      <c r="H5050" s="77">
        <v>0.66666666666666663</v>
      </c>
      <c r="J5050">
        <v>80.06</v>
      </c>
      <c r="M5050" s="74">
        <v>33448</v>
      </c>
      <c r="N5050" s="77">
        <v>0.66666666666666663</v>
      </c>
      <c r="P5050">
        <v>66.02</v>
      </c>
      <c r="S5050" s="74">
        <v>34544</v>
      </c>
      <c r="T5050" s="77">
        <v>0.66666666666666663</v>
      </c>
      <c r="V5050">
        <v>78.98</v>
      </c>
      <c r="X5050" s="42"/>
      <c r="AB5050">
        <v>81</v>
      </c>
      <c r="AC5050">
        <v>82.039999999999992</v>
      </c>
      <c r="AE5050" s="74"/>
      <c r="AF5050" s="77"/>
      <c r="AH5050" s="497">
        <v>70.16</v>
      </c>
      <c r="AJ5050" s="42"/>
      <c r="AK5050" s="74"/>
      <c r="AL5050" s="77"/>
      <c r="AN5050" s="497">
        <v>69.080000000000013</v>
      </c>
      <c r="AP5050" s="42"/>
      <c r="AQ5050" s="74"/>
      <c r="AR5050" s="77"/>
      <c r="AT5050" s="497">
        <v>78.98</v>
      </c>
      <c r="AV5050" s="42"/>
      <c r="AW5050" s="74"/>
      <c r="AX5050" s="77"/>
      <c r="BA5050" s="497">
        <v>87.080000000000013</v>
      </c>
      <c r="BB5050" s="42"/>
      <c r="BC5050" s="74"/>
      <c r="BD5050" s="77"/>
      <c r="BF5050">
        <v>78.98</v>
      </c>
      <c r="BH5050" s="42"/>
      <c r="BI5050" s="74"/>
      <c r="BJ5050" s="77"/>
      <c r="BL5050" s="497">
        <v>80.06</v>
      </c>
      <c r="BN5050" s="42"/>
      <c r="BO5050" s="74"/>
      <c r="BP5050" s="77"/>
      <c r="BR5050" s="497">
        <v>89.06</v>
      </c>
      <c r="BT5050" s="42"/>
    </row>
    <row r="5051" spans="1:72" x14ac:dyDescent="0.25">
      <c r="A5051" s="90">
        <v>34544</v>
      </c>
      <c r="B5051" s="20">
        <v>0.70833333333333337</v>
      </c>
      <c r="D5051">
        <v>82.039999999999992</v>
      </c>
      <c r="E5051" t="str">
        <f t="shared" si="192"/>
        <v>WEEKDAY</v>
      </c>
      <c r="F5051" t="e">
        <f t="shared" si="193"/>
        <v>#N/A</v>
      </c>
      <c r="G5051" s="74">
        <v>31987</v>
      </c>
      <c r="H5051" s="77">
        <v>0.70833333333333337</v>
      </c>
      <c r="J5051">
        <v>75.92</v>
      </c>
      <c r="M5051" s="74">
        <v>33448</v>
      </c>
      <c r="N5051" s="77">
        <v>0.70833333333333337</v>
      </c>
      <c r="P5051">
        <v>69.080000000000013</v>
      </c>
      <c r="S5051" s="74">
        <v>34544</v>
      </c>
      <c r="T5051" s="77">
        <v>0.70833333333333337</v>
      </c>
      <c r="V5051">
        <v>77</v>
      </c>
      <c r="X5051" s="42"/>
      <c r="AB5051">
        <v>80.2</v>
      </c>
      <c r="AC5051">
        <v>78.98</v>
      </c>
      <c r="AE5051" s="74"/>
      <c r="AF5051" s="77"/>
      <c r="AH5051" s="497">
        <v>64.400000000000006</v>
      </c>
      <c r="AJ5051" s="42"/>
      <c r="AK5051" s="74"/>
      <c r="AL5051" s="77"/>
      <c r="AN5051" s="497">
        <v>69.080000000000013</v>
      </c>
      <c r="AP5051" s="42"/>
      <c r="AQ5051" s="74"/>
      <c r="AR5051" s="77"/>
      <c r="AT5051" s="497">
        <v>77</v>
      </c>
      <c r="AV5051" s="42"/>
      <c r="AW5051" s="74"/>
      <c r="AX5051" s="77"/>
      <c r="BA5051" s="497">
        <v>86</v>
      </c>
      <c r="BB5051" s="42"/>
      <c r="BC5051" s="74"/>
      <c r="BD5051" s="77"/>
      <c r="BF5051">
        <v>77</v>
      </c>
      <c r="BH5051" s="42"/>
      <c r="BI5051" s="74"/>
      <c r="BJ5051" s="77"/>
      <c r="BL5051" s="497">
        <v>80.06</v>
      </c>
      <c r="BN5051" s="42"/>
      <c r="BO5051" s="74"/>
      <c r="BP5051" s="77"/>
      <c r="BR5051" s="497">
        <v>87.98</v>
      </c>
      <c r="BT5051" s="42"/>
    </row>
    <row r="5052" spans="1:72" x14ac:dyDescent="0.25">
      <c r="A5052" s="90">
        <v>34544</v>
      </c>
      <c r="B5052" s="20">
        <v>0.75</v>
      </c>
      <c r="D5052">
        <v>80.06</v>
      </c>
      <c r="E5052" t="str">
        <f t="shared" si="192"/>
        <v>WEEKDAY</v>
      </c>
      <c r="F5052" t="e">
        <f t="shared" si="193"/>
        <v>#N/A</v>
      </c>
      <c r="G5052" s="74">
        <v>31987</v>
      </c>
      <c r="H5052" s="77">
        <v>0.75</v>
      </c>
      <c r="J5052">
        <v>78.080000000000013</v>
      </c>
      <c r="M5052" s="74">
        <v>33448</v>
      </c>
      <c r="N5052" s="77">
        <v>0.75</v>
      </c>
      <c r="P5052">
        <v>69.080000000000013</v>
      </c>
      <c r="S5052" s="74">
        <v>34544</v>
      </c>
      <c r="T5052" s="77">
        <v>0.75</v>
      </c>
      <c r="V5052">
        <v>75.92</v>
      </c>
      <c r="X5052" s="42"/>
      <c r="AB5052">
        <v>79.099999999999994</v>
      </c>
      <c r="AC5052">
        <v>77</v>
      </c>
      <c r="AE5052" s="74"/>
      <c r="AF5052" s="77"/>
      <c r="AH5052" s="497">
        <v>64.400000000000006</v>
      </c>
      <c r="AJ5052" s="42"/>
      <c r="AK5052" s="74"/>
      <c r="AL5052" s="77"/>
      <c r="AN5052" s="497">
        <v>69.080000000000013</v>
      </c>
      <c r="AP5052" s="42"/>
      <c r="AQ5052" s="74"/>
      <c r="AR5052" s="77"/>
      <c r="AT5052" s="497">
        <v>75.02</v>
      </c>
      <c r="AV5052" s="42"/>
      <c r="AW5052" s="74"/>
      <c r="AX5052" s="77"/>
      <c r="BA5052" s="497">
        <v>82.94</v>
      </c>
      <c r="BB5052" s="42"/>
      <c r="BC5052" s="74"/>
      <c r="BD5052" s="77"/>
      <c r="BF5052">
        <v>75.92</v>
      </c>
      <c r="BH5052" s="42"/>
      <c r="BI5052" s="74"/>
      <c r="BJ5052" s="77"/>
      <c r="BL5052" s="497">
        <v>77</v>
      </c>
      <c r="BN5052" s="42"/>
      <c r="BO5052" s="74"/>
      <c r="BP5052" s="77"/>
      <c r="BR5052" s="497">
        <v>87.98</v>
      </c>
      <c r="BT5052" s="42"/>
    </row>
    <row r="5053" spans="1:72" x14ac:dyDescent="0.25">
      <c r="A5053" s="90">
        <v>34544</v>
      </c>
      <c r="B5053" s="20">
        <v>0.79166666666666663</v>
      </c>
      <c r="D5053">
        <v>78.080000000000013</v>
      </c>
      <c r="E5053" t="str">
        <f t="shared" si="192"/>
        <v>WEEKDAY</v>
      </c>
      <c r="F5053" t="e">
        <f t="shared" si="193"/>
        <v>#N/A</v>
      </c>
      <c r="G5053" s="74">
        <v>31987</v>
      </c>
      <c r="H5053" s="77">
        <v>0.79166666666666663</v>
      </c>
      <c r="J5053">
        <v>73.94</v>
      </c>
      <c r="M5053" s="74">
        <v>33448</v>
      </c>
      <c r="N5053" s="77">
        <v>0.79166666666666663</v>
      </c>
      <c r="P5053">
        <v>66.92</v>
      </c>
      <c r="S5053" s="74">
        <v>34544</v>
      </c>
      <c r="T5053" s="77">
        <v>0.79166666666666663</v>
      </c>
      <c r="V5053">
        <v>75.02</v>
      </c>
      <c r="X5053" s="42"/>
      <c r="AB5053">
        <v>77.8</v>
      </c>
      <c r="AC5053">
        <v>75.02</v>
      </c>
      <c r="AE5053" s="74"/>
      <c r="AF5053" s="77"/>
      <c r="AH5053" s="497">
        <v>64.400000000000006</v>
      </c>
      <c r="AJ5053" s="42"/>
      <c r="AK5053" s="74"/>
      <c r="AL5053" s="77"/>
      <c r="AN5053" s="497">
        <v>66.02</v>
      </c>
      <c r="AP5053" s="42"/>
      <c r="AQ5053" s="74"/>
      <c r="AR5053" s="77"/>
      <c r="AT5053" s="497">
        <v>73.039999999999992</v>
      </c>
      <c r="AV5053" s="42"/>
      <c r="AW5053" s="74"/>
      <c r="AX5053" s="77"/>
      <c r="BA5053" s="497">
        <v>82.039999999999992</v>
      </c>
      <c r="BB5053" s="42"/>
      <c r="BC5053" s="74"/>
      <c r="BD5053" s="77"/>
      <c r="BF5053">
        <v>73.039999999999992</v>
      </c>
      <c r="BH5053" s="42"/>
      <c r="BI5053" s="74"/>
      <c r="BJ5053" s="77"/>
      <c r="BL5053" s="497">
        <v>75.02</v>
      </c>
      <c r="BN5053" s="42"/>
      <c r="BO5053" s="74"/>
      <c r="BP5053" s="77"/>
      <c r="BR5053" s="497">
        <v>82.039999999999992</v>
      </c>
      <c r="BT5053" s="42"/>
    </row>
    <row r="5054" spans="1:72" x14ac:dyDescent="0.25">
      <c r="A5054" s="90">
        <v>34544</v>
      </c>
      <c r="B5054" s="20">
        <v>0.83333333333333337</v>
      </c>
      <c r="D5054">
        <v>77</v>
      </c>
      <c r="E5054" t="str">
        <f t="shared" si="192"/>
        <v>WEEKDAY</v>
      </c>
      <c r="F5054" t="e">
        <f t="shared" si="193"/>
        <v>#N/A</v>
      </c>
      <c r="G5054" s="74">
        <v>31987</v>
      </c>
      <c r="H5054" s="77">
        <v>0.83333333333333337</v>
      </c>
      <c r="J5054">
        <v>73.039999999999992</v>
      </c>
      <c r="M5054" s="74">
        <v>33448</v>
      </c>
      <c r="N5054" s="77">
        <v>0.83333333333333337</v>
      </c>
      <c r="P5054">
        <v>64.94</v>
      </c>
      <c r="S5054" s="74">
        <v>34544</v>
      </c>
      <c r="T5054" s="77">
        <v>0.83333333333333337</v>
      </c>
      <c r="V5054">
        <v>75.02</v>
      </c>
      <c r="X5054" s="42"/>
      <c r="AB5054">
        <v>76.5</v>
      </c>
      <c r="AC5054">
        <v>75.02</v>
      </c>
      <c r="AE5054" s="74"/>
      <c r="AF5054" s="77"/>
      <c r="AH5054" s="497">
        <v>64.400000000000006</v>
      </c>
      <c r="AJ5054" s="42"/>
      <c r="AK5054" s="74"/>
      <c r="AL5054" s="77"/>
      <c r="AN5054" s="497">
        <v>66.02</v>
      </c>
      <c r="AP5054" s="42"/>
      <c r="AQ5054" s="74"/>
      <c r="AR5054" s="77"/>
      <c r="AT5054" s="497">
        <v>71.960000000000008</v>
      </c>
      <c r="AV5054" s="42"/>
      <c r="AW5054" s="74"/>
      <c r="AX5054" s="77"/>
      <c r="BA5054" s="497">
        <v>75.92</v>
      </c>
      <c r="BB5054" s="42"/>
      <c r="BC5054" s="74"/>
      <c r="BD5054" s="77"/>
      <c r="BF5054">
        <v>71.960000000000008</v>
      </c>
      <c r="BH5054" s="42"/>
      <c r="BI5054" s="74"/>
      <c r="BJ5054" s="77"/>
      <c r="BL5054" s="497">
        <v>69.98</v>
      </c>
      <c r="BN5054" s="42"/>
      <c r="BO5054" s="74"/>
      <c r="BP5054" s="77"/>
      <c r="BR5054" s="497">
        <v>75.02</v>
      </c>
      <c r="BT5054" s="42"/>
    </row>
    <row r="5055" spans="1:72" x14ac:dyDescent="0.25">
      <c r="A5055" s="90">
        <v>34544</v>
      </c>
      <c r="B5055" s="20">
        <v>0.875</v>
      </c>
      <c r="D5055">
        <v>77</v>
      </c>
      <c r="E5055" t="str">
        <f t="shared" si="192"/>
        <v>WEEKDAY</v>
      </c>
      <c r="F5055" t="e">
        <f t="shared" si="193"/>
        <v>#N/A</v>
      </c>
      <c r="G5055" s="74">
        <v>31987</v>
      </c>
      <c r="H5055" s="77">
        <v>0.875</v>
      </c>
      <c r="J5055">
        <v>71.06</v>
      </c>
      <c r="M5055" s="74">
        <v>33448</v>
      </c>
      <c r="N5055" s="77">
        <v>0.875</v>
      </c>
      <c r="P5055">
        <v>64.94</v>
      </c>
      <c r="S5055" s="74">
        <v>34544</v>
      </c>
      <c r="T5055" s="77">
        <v>0.875</v>
      </c>
      <c r="V5055">
        <v>73.039999999999992</v>
      </c>
      <c r="X5055" s="42"/>
      <c r="AB5055">
        <v>75.599999999999994</v>
      </c>
      <c r="AC5055">
        <v>75.02</v>
      </c>
      <c r="AE5055" s="74"/>
      <c r="AF5055" s="77"/>
      <c r="AH5055" s="497">
        <v>64.400000000000006</v>
      </c>
      <c r="AJ5055" s="42"/>
      <c r="AK5055" s="74"/>
      <c r="AL5055" s="77"/>
      <c r="AN5055" s="497">
        <v>64.94</v>
      </c>
      <c r="AP5055" s="42"/>
      <c r="AQ5055" s="74"/>
      <c r="AR5055" s="77"/>
      <c r="AT5055" s="497">
        <v>71.06</v>
      </c>
      <c r="AV5055" s="42"/>
      <c r="AW5055" s="74"/>
      <c r="AX5055" s="77"/>
      <c r="BA5055" s="497">
        <v>73.94</v>
      </c>
      <c r="BB5055" s="42"/>
      <c r="BC5055" s="74"/>
      <c r="BD5055" s="77"/>
      <c r="BF5055">
        <v>73.039999999999992</v>
      </c>
      <c r="BH5055" s="42"/>
      <c r="BI5055" s="74"/>
      <c r="BJ5055" s="77"/>
      <c r="BL5055" s="497">
        <v>66.92</v>
      </c>
      <c r="BN5055" s="42"/>
      <c r="BO5055" s="74"/>
      <c r="BP5055" s="77"/>
      <c r="BR5055" s="497">
        <v>75.92</v>
      </c>
      <c r="BT5055" s="42"/>
    </row>
    <row r="5056" spans="1:72" x14ac:dyDescent="0.25">
      <c r="A5056" s="90">
        <v>34544</v>
      </c>
      <c r="B5056" s="20">
        <v>0.91666666666666663</v>
      </c>
      <c r="D5056">
        <v>77</v>
      </c>
      <c r="E5056" t="str">
        <f t="shared" si="192"/>
        <v>WEEKDAY</v>
      </c>
      <c r="F5056" t="e">
        <f t="shared" si="193"/>
        <v>#N/A</v>
      </c>
      <c r="G5056" s="74">
        <v>31987</v>
      </c>
      <c r="H5056" s="77">
        <v>0.91666666666666663</v>
      </c>
      <c r="J5056">
        <v>71.06</v>
      </c>
      <c r="M5056" s="74">
        <v>33448</v>
      </c>
      <c r="N5056" s="77">
        <v>0.91666666666666663</v>
      </c>
      <c r="P5056">
        <v>64.400000000000006</v>
      </c>
      <c r="S5056" s="74">
        <v>34544</v>
      </c>
      <c r="T5056" s="77">
        <v>0.91666666666666663</v>
      </c>
      <c r="V5056">
        <v>71.960000000000008</v>
      </c>
      <c r="X5056" s="42"/>
      <c r="AB5056">
        <v>75</v>
      </c>
      <c r="AC5056">
        <v>75.02</v>
      </c>
      <c r="AE5056" s="74"/>
      <c r="AF5056" s="77"/>
      <c r="AH5056" s="497">
        <v>64.400000000000006</v>
      </c>
      <c r="AJ5056" s="42"/>
      <c r="AK5056" s="74"/>
      <c r="AL5056" s="77"/>
      <c r="AN5056" s="497">
        <v>64.94</v>
      </c>
      <c r="AP5056" s="42"/>
      <c r="AQ5056" s="74"/>
      <c r="AR5056" s="77"/>
      <c r="AT5056" s="497">
        <v>69.98</v>
      </c>
      <c r="AV5056" s="42"/>
      <c r="AW5056" s="74"/>
      <c r="AX5056" s="77"/>
      <c r="BA5056" s="497">
        <v>73.039999999999992</v>
      </c>
      <c r="BB5056" s="42"/>
      <c r="BC5056" s="74"/>
      <c r="BD5056" s="77"/>
      <c r="BF5056">
        <v>71.06</v>
      </c>
      <c r="BH5056" s="42"/>
      <c r="BI5056" s="74"/>
      <c r="BJ5056" s="77"/>
      <c r="BL5056" s="497">
        <v>64.039999999999992</v>
      </c>
      <c r="BN5056" s="42"/>
      <c r="BO5056" s="74"/>
      <c r="BP5056" s="77"/>
      <c r="BR5056" s="497">
        <v>71.960000000000008</v>
      </c>
      <c r="BT5056" s="42"/>
    </row>
    <row r="5057" spans="1:72" x14ac:dyDescent="0.25">
      <c r="A5057" s="90">
        <v>34544</v>
      </c>
      <c r="B5057" s="20">
        <v>0.95833333333333337</v>
      </c>
      <c r="D5057">
        <v>75.92</v>
      </c>
      <c r="E5057" t="str">
        <f t="shared" si="192"/>
        <v>WEEKDAY</v>
      </c>
      <c r="F5057" t="e">
        <f t="shared" si="193"/>
        <v>#N/A</v>
      </c>
      <c r="G5057" s="74">
        <v>31987</v>
      </c>
      <c r="H5057" s="77">
        <v>0.95833333333333337</v>
      </c>
      <c r="J5057">
        <v>69.98</v>
      </c>
      <c r="M5057" s="74">
        <v>33448</v>
      </c>
      <c r="N5057" s="77">
        <v>0.95833333333333337</v>
      </c>
      <c r="P5057">
        <v>64.039999999999992</v>
      </c>
      <c r="S5057" s="74">
        <v>34544</v>
      </c>
      <c r="T5057" s="77">
        <v>0.95833333333333337</v>
      </c>
      <c r="V5057">
        <v>71.960000000000008</v>
      </c>
      <c r="X5057" s="42"/>
      <c r="AB5057">
        <v>74.5</v>
      </c>
      <c r="AC5057">
        <v>75.02</v>
      </c>
      <c r="AE5057" s="74"/>
      <c r="AF5057" s="77"/>
      <c r="AH5057" s="497">
        <v>64.400000000000006</v>
      </c>
      <c r="AJ5057" s="42"/>
      <c r="AK5057" s="74"/>
      <c r="AL5057" s="77"/>
      <c r="AN5057" s="497">
        <v>66.02</v>
      </c>
      <c r="AP5057" s="42"/>
      <c r="AQ5057" s="74"/>
      <c r="AR5057" s="77"/>
      <c r="AT5057" s="497">
        <v>68.900000000000006</v>
      </c>
      <c r="AV5057" s="42"/>
      <c r="AW5057" s="74"/>
      <c r="AX5057" s="77"/>
      <c r="BA5057" s="497">
        <v>71.960000000000008</v>
      </c>
      <c r="BB5057" s="42"/>
      <c r="BC5057" s="74"/>
      <c r="BD5057" s="77"/>
      <c r="BF5057">
        <v>69.98</v>
      </c>
      <c r="BH5057" s="42"/>
      <c r="BI5057" s="74"/>
      <c r="BJ5057" s="77"/>
      <c r="BL5057" s="497">
        <v>64.039999999999992</v>
      </c>
      <c r="BN5057" s="42"/>
      <c r="BO5057" s="74"/>
      <c r="BP5057" s="77"/>
      <c r="BR5057" s="497">
        <v>69.98</v>
      </c>
      <c r="BT5057" s="42"/>
    </row>
    <row r="5058" spans="1:72" x14ac:dyDescent="0.25">
      <c r="A5058" s="90">
        <v>34544</v>
      </c>
      <c r="B5058" s="20">
        <v>1</v>
      </c>
      <c r="D5058">
        <v>75.02</v>
      </c>
      <c r="E5058" t="str">
        <f t="shared" si="192"/>
        <v>WEEKDAY</v>
      </c>
      <c r="F5058" t="e">
        <f t="shared" si="193"/>
        <v>#N/A</v>
      </c>
      <c r="G5058" s="74">
        <v>31987</v>
      </c>
      <c r="H5058" s="77">
        <v>1</v>
      </c>
      <c r="J5058">
        <v>69.98</v>
      </c>
      <c r="M5058" s="74">
        <v>33448</v>
      </c>
      <c r="N5058" s="80">
        <v>1</v>
      </c>
      <c r="P5058">
        <v>64.94</v>
      </c>
      <c r="S5058" s="74">
        <v>34544</v>
      </c>
      <c r="T5058" s="80">
        <v>1</v>
      </c>
      <c r="V5058">
        <v>71.960000000000008</v>
      </c>
      <c r="X5058" s="42"/>
      <c r="AB5058">
        <v>74.099999999999994</v>
      </c>
      <c r="AC5058">
        <v>75.02</v>
      </c>
      <c r="AE5058" s="74"/>
      <c r="AF5058" s="80"/>
      <c r="AH5058" s="497">
        <v>64.400000000000006</v>
      </c>
      <c r="AJ5058" s="42"/>
      <c r="AK5058" s="74"/>
      <c r="AL5058" s="80"/>
      <c r="AN5058" s="497">
        <v>66.02</v>
      </c>
      <c r="AP5058" s="42"/>
      <c r="AQ5058" s="74"/>
      <c r="AR5058" s="80"/>
      <c r="AT5058" s="497">
        <v>68</v>
      </c>
      <c r="AV5058" s="42"/>
      <c r="AW5058" s="74"/>
      <c r="AX5058" s="80"/>
      <c r="BA5058" s="497">
        <v>69.98</v>
      </c>
      <c r="BB5058" s="42"/>
      <c r="BC5058" s="74"/>
      <c r="BD5058" s="80"/>
      <c r="BF5058">
        <v>69.98</v>
      </c>
      <c r="BH5058" s="42"/>
      <c r="BI5058" s="74"/>
      <c r="BJ5058" s="80"/>
      <c r="BL5058" s="497">
        <v>64.039999999999992</v>
      </c>
      <c r="BN5058" s="42"/>
      <c r="BO5058" s="74"/>
      <c r="BP5058" s="80"/>
      <c r="BR5058" s="497">
        <v>68</v>
      </c>
      <c r="BT5058" s="42"/>
    </row>
    <row r="5059" spans="1:72" x14ac:dyDescent="0.25">
      <c r="A5059" s="90">
        <v>34545</v>
      </c>
      <c r="B5059" s="20">
        <v>4.1666666666666664E-2</v>
      </c>
      <c r="D5059">
        <v>75.92</v>
      </c>
      <c r="E5059" t="str">
        <f t="shared" si="192"/>
        <v>SATURDAY</v>
      </c>
      <c r="F5059" t="e">
        <f t="shared" si="193"/>
        <v>#N/A</v>
      </c>
      <c r="G5059" s="74">
        <v>31988</v>
      </c>
      <c r="H5059" s="77">
        <v>4.1666666666666664E-2</v>
      </c>
      <c r="J5059">
        <v>69.080000000000013</v>
      </c>
      <c r="M5059" s="74">
        <v>33449</v>
      </c>
      <c r="N5059" s="77">
        <v>4.1666666666666664E-2</v>
      </c>
      <c r="P5059">
        <v>64.039999999999992</v>
      </c>
      <c r="S5059" s="74">
        <v>34545</v>
      </c>
      <c r="T5059" s="77">
        <v>4.1666666666666664E-2</v>
      </c>
      <c r="V5059">
        <v>73.94</v>
      </c>
      <c r="X5059" s="42"/>
      <c r="AB5059">
        <v>73.5</v>
      </c>
      <c r="AC5059">
        <v>75.02</v>
      </c>
      <c r="AE5059" s="74"/>
      <c r="AF5059" s="77"/>
      <c r="AH5059" s="497">
        <v>64.400000000000006</v>
      </c>
      <c r="AJ5059" s="42"/>
      <c r="AK5059" s="74"/>
      <c r="AL5059" s="77"/>
      <c r="AN5059" s="497">
        <v>64.94</v>
      </c>
      <c r="AP5059" s="42"/>
      <c r="AQ5059" s="74"/>
      <c r="AR5059" s="77"/>
      <c r="AT5059" s="497">
        <v>66.92</v>
      </c>
      <c r="AV5059" s="42"/>
      <c r="AW5059" s="74"/>
      <c r="AX5059" s="77"/>
      <c r="BA5059" s="497">
        <v>69.98</v>
      </c>
      <c r="BB5059" s="42"/>
      <c r="BC5059" s="74"/>
      <c r="BD5059" s="77"/>
      <c r="BF5059">
        <v>69.080000000000013</v>
      </c>
      <c r="BH5059" s="42"/>
      <c r="BI5059" s="74"/>
      <c r="BJ5059" s="77"/>
      <c r="BL5059" s="497">
        <v>62.96</v>
      </c>
      <c r="BN5059" s="42"/>
      <c r="BO5059" s="74"/>
      <c r="BP5059" s="77"/>
      <c r="BR5059" s="497">
        <v>68</v>
      </c>
      <c r="BT5059" s="42"/>
    </row>
    <row r="5060" spans="1:72" x14ac:dyDescent="0.25">
      <c r="A5060" s="90">
        <v>34545</v>
      </c>
      <c r="B5060" s="20">
        <v>8.3333333333333329E-2</v>
      </c>
      <c r="D5060">
        <v>75.92</v>
      </c>
      <c r="E5060" t="str">
        <f t="shared" si="192"/>
        <v>SATURDAY</v>
      </c>
      <c r="F5060" t="e">
        <f t="shared" si="193"/>
        <v>#N/A</v>
      </c>
      <c r="G5060" s="74">
        <v>31988</v>
      </c>
      <c r="H5060" s="77">
        <v>8.3333333333333329E-2</v>
      </c>
      <c r="J5060">
        <v>69.080000000000013</v>
      </c>
      <c r="M5060" s="74">
        <v>33449</v>
      </c>
      <c r="N5060" s="77">
        <v>8.3333333333333329E-2</v>
      </c>
      <c r="P5060">
        <v>64.039999999999992</v>
      </c>
      <c r="S5060" s="74">
        <v>34545</v>
      </c>
      <c r="T5060" s="77">
        <v>8.3333333333333329E-2</v>
      </c>
      <c r="V5060">
        <v>73.94</v>
      </c>
      <c r="X5060" s="42"/>
      <c r="AB5060">
        <v>73</v>
      </c>
      <c r="AC5060">
        <v>75.02</v>
      </c>
      <c r="AE5060" s="74"/>
      <c r="AF5060" s="77"/>
      <c r="AH5060" s="497">
        <v>63.5</v>
      </c>
      <c r="AJ5060" s="42"/>
      <c r="AK5060" s="74"/>
      <c r="AL5060" s="77"/>
      <c r="AN5060" s="497">
        <v>64.039999999999992</v>
      </c>
      <c r="AP5060" s="42"/>
      <c r="AQ5060" s="74"/>
      <c r="AR5060" s="77"/>
      <c r="AT5060" s="497">
        <v>66.2</v>
      </c>
      <c r="AV5060" s="42"/>
      <c r="AW5060" s="74"/>
      <c r="AX5060" s="77"/>
      <c r="BA5060" s="497">
        <v>69.080000000000013</v>
      </c>
      <c r="BB5060" s="42"/>
      <c r="BC5060" s="74"/>
      <c r="BD5060" s="77"/>
      <c r="BF5060">
        <v>69.080000000000013</v>
      </c>
      <c r="BH5060" s="42"/>
      <c r="BI5060" s="74"/>
      <c r="BJ5060" s="77"/>
      <c r="BL5060" s="497">
        <v>59</v>
      </c>
      <c r="BN5060" s="42"/>
      <c r="BO5060" s="74"/>
      <c r="BP5060" s="77"/>
      <c r="BR5060" s="497">
        <v>69.080000000000013</v>
      </c>
      <c r="BT5060" s="42"/>
    </row>
    <row r="5061" spans="1:72" x14ac:dyDescent="0.25">
      <c r="A5061" s="90">
        <v>34545</v>
      </c>
      <c r="B5061" s="20">
        <v>0.125</v>
      </c>
      <c r="D5061">
        <v>75.92</v>
      </c>
      <c r="E5061" t="str">
        <f t="shared" si="192"/>
        <v>SATURDAY</v>
      </c>
      <c r="F5061" t="e">
        <f t="shared" si="193"/>
        <v>#N/A</v>
      </c>
      <c r="G5061" s="74">
        <v>31988</v>
      </c>
      <c r="H5061" s="77">
        <v>0.125</v>
      </c>
      <c r="J5061">
        <v>69.080000000000013</v>
      </c>
      <c r="M5061" s="74">
        <v>33449</v>
      </c>
      <c r="N5061" s="77">
        <v>0.125</v>
      </c>
      <c r="P5061">
        <v>64.039999999999992</v>
      </c>
      <c r="S5061" s="74">
        <v>34545</v>
      </c>
      <c r="T5061" s="77">
        <v>0.125</v>
      </c>
      <c r="V5061">
        <v>73.039999999999992</v>
      </c>
      <c r="X5061" s="42"/>
      <c r="AB5061">
        <v>72.400000000000006</v>
      </c>
      <c r="AC5061">
        <v>75.02</v>
      </c>
      <c r="AE5061" s="74"/>
      <c r="AF5061" s="77"/>
      <c r="AH5061" s="497">
        <v>62.6</v>
      </c>
      <c r="AJ5061" s="42"/>
      <c r="AK5061" s="74"/>
      <c r="AL5061" s="77"/>
      <c r="AN5061" s="497">
        <v>62.06</v>
      </c>
      <c r="AP5061" s="42"/>
      <c r="AQ5061" s="74"/>
      <c r="AR5061" s="77"/>
      <c r="AT5061" s="497">
        <v>65.66</v>
      </c>
      <c r="AV5061" s="42"/>
      <c r="AW5061" s="74"/>
      <c r="AX5061" s="77"/>
      <c r="BA5061" s="497">
        <v>66.92</v>
      </c>
      <c r="BB5061" s="42"/>
      <c r="BC5061" s="74"/>
      <c r="BD5061" s="77"/>
      <c r="BF5061">
        <v>69.080000000000013</v>
      </c>
      <c r="BH5061" s="42"/>
      <c r="BI5061" s="74"/>
      <c r="BJ5061" s="77"/>
      <c r="BL5061" s="497">
        <v>59</v>
      </c>
      <c r="BN5061" s="42"/>
      <c r="BO5061" s="74"/>
      <c r="BP5061" s="77"/>
      <c r="BR5061" s="497">
        <v>68</v>
      </c>
      <c r="BT5061" s="42"/>
    </row>
    <row r="5062" spans="1:72" x14ac:dyDescent="0.25">
      <c r="A5062" s="90">
        <v>34545</v>
      </c>
      <c r="B5062" s="20">
        <v>0.16666666666666666</v>
      </c>
      <c r="D5062">
        <v>75.02</v>
      </c>
      <c r="E5062" t="str">
        <f t="shared" si="192"/>
        <v>SATURDAY</v>
      </c>
      <c r="F5062" t="e">
        <f t="shared" si="193"/>
        <v>#N/A</v>
      </c>
      <c r="G5062" s="74">
        <v>31988</v>
      </c>
      <c r="H5062" s="77">
        <v>0.16666666666666666</v>
      </c>
      <c r="J5062">
        <v>69.080000000000013</v>
      </c>
      <c r="M5062" s="74">
        <v>33449</v>
      </c>
      <c r="N5062" s="77">
        <v>0.16666666666666666</v>
      </c>
      <c r="P5062">
        <v>62.96</v>
      </c>
      <c r="S5062" s="74">
        <v>34545</v>
      </c>
      <c r="T5062" s="77">
        <v>0.16666666666666666</v>
      </c>
      <c r="V5062">
        <v>71.960000000000008</v>
      </c>
      <c r="X5062" s="42"/>
      <c r="AB5062">
        <v>71.900000000000006</v>
      </c>
      <c r="AC5062">
        <v>75.02</v>
      </c>
      <c r="AE5062" s="74"/>
      <c r="AF5062" s="77"/>
      <c r="AH5062" s="497">
        <v>62.78</v>
      </c>
      <c r="AJ5062" s="42"/>
      <c r="AK5062" s="74"/>
      <c r="AL5062" s="77"/>
      <c r="AN5062" s="497">
        <v>59</v>
      </c>
      <c r="AP5062" s="42"/>
      <c r="AQ5062" s="74"/>
      <c r="AR5062" s="77"/>
      <c r="AT5062" s="497">
        <v>64.94</v>
      </c>
      <c r="AV5062" s="42"/>
      <c r="AW5062" s="74"/>
      <c r="AX5062" s="77"/>
      <c r="BA5062" s="497">
        <v>66.92</v>
      </c>
      <c r="BB5062" s="42"/>
      <c r="BC5062" s="74"/>
      <c r="BD5062" s="77"/>
      <c r="BF5062">
        <v>66.92</v>
      </c>
      <c r="BH5062" s="42"/>
      <c r="BI5062" s="74"/>
      <c r="BJ5062" s="77"/>
      <c r="BL5062" s="497">
        <v>59</v>
      </c>
      <c r="BN5062" s="42"/>
      <c r="BO5062" s="74"/>
      <c r="BP5062" s="77"/>
      <c r="BR5062" s="497">
        <v>68</v>
      </c>
      <c r="BT5062" s="42"/>
    </row>
    <row r="5063" spans="1:72" x14ac:dyDescent="0.25">
      <c r="A5063" s="90">
        <v>34545</v>
      </c>
      <c r="B5063" s="20">
        <v>0.20833333333333334</v>
      </c>
      <c r="D5063">
        <v>75.02</v>
      </c>
      <c r="E5063" t="str">
        <f t="shared" si="192"/>
        <v>SATURDAY</v>
      </c>
      <c r="F5063" t="e">
        <f t="shared" si="193"/>
        <v>#N/A</v>
      </c>
      <c r="G5063" s="74">
        <v>31988</v>
      </c>
      <c r="H5063" s="77">
        <v>0.20833333333333334</v>
      </c>
      <c r="J5063">
        <v>69.080000000000013</v>
      </c>
      <c r="M5063" s="74">
        <v>33449</v>
      </c>
      <c r="N5063" s="77">
        <v>0.20833333333333334</v>
      </c>
      <c r="P5063">
        <v>62.6</v>
      </c>
      <c r="S5063" s="74">
        <v>34545</v>
      </c>
      <c r="T5063" s="77">
        <v>0.20833333333333334</v>
      </c>
      <c r="V5063">
        <v>71.960000000000008</v>
      </c>
      <c r="X5063" s="42"/>
      <c r="AB5063">
        <v>71.400000000000006</v>
      </c>
      <c r="AC5063">
        <v>75.02</v>
      </c>
      <c r="AE5063" s="74"/>
      <c r="AF5063" s="77"/>
      <c r="AH5063" s="497">
        <v>62.6</v>
      </c>
      <c r="AJ5063" s="42"/>
      <c r="AK5063" s="74"/>
      <c r="AL5063" s="77"/>
      <c r="AN5063" s="497">
        <v>57.92</v>
      </c>
      <c r="AP5063" s="42"/>
      <c r="AQ5063" s="74"/>
      <c r="AR5063" s="77"/>
      <c r="AT5063" s="497">
        <v>65.300000000000011</v>
      </c>
      <c r="AV5063" s="42"/>
      <c r="AW5063" s="74"/>
      <c r="AX5063" s="77"/>
      <c r="BA5063" s="497">
        <v>66.02</v>
      </c>
      <c r="BB5063" s="42"/>
      <c r="BC5063" s="74"/>
      <c r="BD5063" s="77"/>
      <c r="BF5063">
        <v>68</v>
      </c>
      <c r="BH5063" s="42"/>
      <c r="BI5063" s="74"/>
      <c r="BJ5063" s="77"/>
      <c r="BL5063" s="497">
        <v>57.92</v>
      </c>
      <c r="BN5063" s="42"/>
      <c r="BO5063" s="74"/>
      <c r="BP5063" s="77"/>
      <c r="BR5063" s="497">
        <v>66.92</v>
      </c>
      <c r="BT5063" s="42"/>
    </row>
    <row r="5064" spans="1:72" x14ac:dyDescent="0.25">
      <c r="A5064" s="90">
        <v>34545</v>
      </c>
      <c r="B5064" s="20">
        <v>0.25</v>
      </c>
      <c r="D5064">
        <v>75.02</v>
      </c>
      <c r="E5064" t="str">
        <f t="shared" si="192"/>
        <v>SATURDAY</v>
      </c>
      <c r="F5064" t="e">
        <f t="shared" si="193"/>
        <v>#N/A</v>
      </c>
      <c r="G5064" s="74">
        <v>31988</v>
      </c>
      <c r="H5064" s="77">
        <v>0.25</v>
      </c>
      <c r="J5064">
        <v>69.080000000000013</v>
      </c>
      <c r="M5064" s="74">
        <v>33449</v>
      </c>
      <c r="N5064" s="77">
        <v>0.25</v>
      </c>
      <c r="P5064">
        <v>64.039999999999992</v>
      </c>
      <c r="S5064" s="74">
        <v>34545</v>
      </c>
      <c r="T5064" s="77">
        <v>0.25</v>
      </c>
      <c r="V5064">
        <v>71.960000000000008</v>
      </c>
      <c r="X5064" s="42"/>
      <c r="AB5064">
        <v>71.099999999999994</v>
      </c>
      <c r="AC5064">
        <v>75.92</v>
      </c>
      <c r="AE5064" s="74"/>
      <c r="AF5064" s="77"/>
      <c r="AH5064" s="497">
        <v>62.6</v>
      </c>
      <c r="AJ5064" s="42"/>
      <c r="AK5064" s="74"/>
      <c r="AL5064" s="77"/>
      <c r="AN5064" s="497">
        <v>57.92</v>
      </c>
      <c r="AP5064" s="42"/>
      <c r="AQ5064" s="74"/>
      <c r="AR5064" s="77"/>
      <c r="AT5064" s="497">
        <v>65.66</v>
      </c>
      <c r="AV5064" s="42"/>
      <c r="AW5064" s="74"/>
      <c r="AX5064" s="77"/>
      <c r="BA5064" s="497">
        <v>68</v>
      </c>
      <c r="BB5064" s="42"/>
      <c r="BC5064" s="74"/>
      <c r="BD5064" s="77"/>
      <c r="BF5064">
        <v>66.02</v>
      </c>
      <c r="BH5064" s="42"/>
      <c r="BI5064" s="74"/>
      <c r="BJ5064" s="77"/>
      <c r="BL5064" s="497">
        <v>60.08</v>
      </c>
      <c r="BN5064" s="42"/>
      <c r="BO5064" s="74"/>
      <c r="BP5064" s="77"/>
      <c r="BR5064" s="497">
        <v>68</v>
      </c>
      <c r="BT5064" s="42"/>
    </row>
    <row r="5065" spans="1:72" x14ac:dyDescent="0.25">
      <c r="A5065" s="90">
        <v>34545</v>
      </c>
      <c r="B5065" s="20">
        <v>0.29166666666666669</v>
      </c>
      <c r="D5065">
        <v>75.92</v>
      </c>
      <c r="E5065" t="str">
        <f t="shared" si="192"/>
        <v>SATURDAY</v>
      </c>
      <c r="F5065" t="e">
        <f t="shared" si="193"/>
        <v>#N/A</v>
      </c>
      <c r="G5065" s="74">
        <v>31988</v>
      </c>
      <c r="H5065" s="77">
        <v>0.29166666666666669</v>
      </c>
      <c r="J5065">
        <v>71.06</v>
      </c>
      <c r="M5065" s="74">
        <v>33449</v>
      </c>
      <c r="N5065" s="77">
        <v>0.29166666666666669</v>
      </c>
      <c r="P5065">
        <v>66.02</v>
      </c>
      <c r="S5065" s="74">
        <v>34545</v>
      </c>
      <c r="T5065" s="77">
        <v>0.29166666666666669</v>
      </c>
      <c r="V5065">
        <v>71.960000000000008</v>
      </c>
      <c r="X5065" s="42"/>
      <c r="AB5065">
        <v>72</v>
      </c>
      <c r="AC5065">
        <v>75.92</v>
      </c>
      <c r="AE5065" s="74"/>
      <c r="AF5065" s="77"/>
      <c r="AH5065" s="497">
        <v>64.400000000000006</v>
      </c>
      <c r="AJ5065" s="42"/>
      <c r="AK5065" s="74"/>
      <c r="AL5065" s="77"/>
      <c r="AN5065" s="497">
        <v>57.92</v>
      </c>
      <c r="AP5065" s="42"/>
      <c r="AQ5065" s="74"/>
      <c r="AR5065" s="77"/>
      <c r="AT5065" s="497">
        <v>66.02</v>
      </c>
      <c r="AV5065" s="42"/>
      <c r="AW5065" s="74"/>
      <c r="AX5065" s="77"/>
      <c r="BA5065" s="497">
        <v>71.06</v>
      </c>
      <c r="BB5065" s="42"/>
      <c r="BC5065" s="74"/>
      <c r="BD5065" s="77"/>
      <c r="BF5065">
        <v>66.92</v>
      </c>
      <c r="BH5065" s="42"/>
      <c r="BI5065" s="74"/>
      <c r="BJ5065" s="77"/>
      <c r="BL5065" s="497">
        <v>62.06</v>
      </c>
      <c r="BN5065" s="42"/>
      <c r="BO5065" s="74"/>
      <c r="BP5065" s="77"/>
      <c r="BR5065" s="497">
        <v>73.94</v>
      </c>
      <c r="BT5065" s="42"/>
    </row>
    <row r="5066" spans="1:72" x14ac:dyDescent="0.25">
      <c r="A5066" s="90">
        <v>34545</v>
      </c>
      <c r="B5066" s="20">
        <v>0.33333333333333331</v>
      </c>
      <c r="D5066">
        <v>80.960000000000008</v>
      </c>
      <c r="E5066" t="str">
        <f t="shared" si="192"/>
        <v>SATURDAY</v>
      </c>
      <c r="F5066" t="e">
        <f t="shared" si="193"/>
        <v>#N/A</v>
      </c>
      <c r="G5066" s="74">
        <v>31988</v>
      </c>
      <c r="H5066" s="77">
        <v>0.33333333333333331</v>
      </c>
      <c r="J5066">
        <v>75.02</v>
      </c>
      <c r="M5066" s="74">
        <v>33449</v>
      </c>
      <c r="N5066" s="77">
        <v>0.33333333333333331</v>
      </c>
      <c r="P5066">
        <v>66.92</v>
      </c>
      <c r="S5066" s="74">
        <v>34545</v>
      </c>
      <c r="T5066" s="77">
        <v>0.33333333333333331</v>
      </c>
      <c r="V5066">
        <v>75.02</v>
      </c>
      <c r="X5066" s="42"/>
      <c r="AB5066">
        <v>74</v>
      </c>
      <c r="AC5066">
        <v>75.92</v>
      </c>
      <c r="AE5066" s="74"/>
      <c r="AF5066" s="77"/>
      <c r="AH5066" s="497">
        <v>66.2</v>
      </c>
      <c r="AJ5066" s="42"/>
      <c r="AK5066" s="74"/>
      <c r="AL5066" s="77"/>
      <c r="AN5066" s="497">
        <v>60.08</v>
      </c>
      <c r="AP5066" s="42"/>
      <c r="AQ5066" s="74"/>
      <c r="AR5066" s="77"/>
      <c r="AT5066" s="497">
        <v>66.38</v>
      </c>
      <c r="AV5066" s="42"/>
      <c r="AW5066" s="74"/>
      <c r="AX5066" s="77"/>
      <c r="BA5066" s="497">
        <v>77</v>
      </c>
      <c r="BB5066" s="42"/>
      <c r="BC5066" s="74"/>
      <c r="BD5066" s="77"/>
      <c r="BF5066">
        <v>69.080000000000013</v>
      </c>
      <c r="BH5066" s="42"/>
      <c r="BI5066" s="74"/>
      <c r="BJ5066" s="77"/>
      <c r="BL5066" s="497">
        <v>68</v>
      </c>
      <c r="BN5066" s="42"/>
      <c r="BO5066" s="74"/>
      <c r="BP5066" s="77"/>
      <c r="BR5066" s="497">
        <v>80.06</v>
      </c>
      <c r="BT5066" s="42"/>
    </row>
    <row r="5067" spans="1:72" x14ac:dyDescent="0.25">
      <c r="A5067" s="90">
        <v>34545</v>
      </c>
      <c r="B5067" s="20">
        <v>0.375</v>
      </c>
      <c r="D5067">
        <v>82.039999999999992</v>
      </c>
      <c r="E5067" t="str">
        <f t="shared" si="192"/>
        <v>SATURDAY</v>
      </c>
      <c r="F5067" t="e">
        <f t="shared" si="193"/>
        <v>#N/A</v>
      </c>
      <c r="G5067" s="74">
        <v>31988</v>
      </c>
      <c r="H5067" s="77">
        <v>0.375</v>
      </c>
      <c r="J5067">
        <v>77</v>
      </c>
      <c r="M5067" s="74">
        <v>33449</v>
      </c>
      <c r="N5067" s="77">
        <v>0.375</v>
      </c>
      <c r="P5067">
        <v>69.98</v>
      </c>
      <c r="S5067" s="74">
        <v>34545</v>
      </c>
      <c r="T5067" s="77">
        <v>0.375</v>
      </c>
      <c r="V5067">
        <v>78.080000000000013</v>
      </c>
      <c r="X5067" s="42"/>
      <c r="AB5067">
        <v>75.900000000000006</v>
      </c>
      <c r="AC5067">
        <v>77</v>
      </c>
      <c r="AE5067" s="74"/>
      <c r="AF5067" s="77"/>
      <c r="AH5067" s="497">
        <v>66.2</v>
      </c>
      <c r="AJ5067" s="42"/>
      <c r="AK5067" s="74"/>
      <c r="AL5067" s="77"/>
      <c r="AN5067" s="497">
        <v>60.980000000000004</v>
      </c>
      <c r="AP5067" s="42"/>
      <c r="AQ5067" s="74"/>
      <c r="AR5067" s="77"/>
      <c r="AT5067" s="497">
        <v>66.56</v>
      </c>
      <c r="AV5067" s="42"/>
      <c r="AW5067" s="74"/>
      <c r="AX5067" s="77"/>
      <c r="BA5067" s="497">
        <v>82.039999999999992</v>
      </c>
      <c r="BB5067" s="42"/>
      <c r="BC5067" s="74"/>
      <c r="BD5067" s="77"/>
      <c r="BF5067">
        <v>73.039999999999992</v>
      </c>
      <c r="BH5067" s="42"/>
      <c r="BI5067" s="74"/>
      <c r="BJ5067" s="77"/>
      <c r="BL5067" s="497">
        <v>73.039999999999992</v>
      </c>
      <c r="BN5067" s="42"/>
      <c r="BO5067" s="74"/>
      <c r="BP5067" s="77"/>
      <c r="BR5067" s="497">
        <v>82.039999999999992</v>
      </c>
      <c r="BT5067" s="42"/>
    </row>
    <row r="5068" spans="1:72" x14ac:dyDescent="0.25">
      <c r="A5068" s="90">
        <v>34545</v>
      </c>
      <c r="B5068" s="20">
        <v>0.41666666666666669</v>
      </c>
      <c r="D5068">
        <v>84.02</v>
      </c>
      <c r="E5068" t="str">
        <f t="shared" si="192"/>
        <v>SATURDAY</v>
      </c>
      <c r="F5068" t="e">
        <f t="shared" si="193"/>
        <v>#N/A</v>
      </c>
      <c r="G5068" s="74">
        <v>31988</v>
      </c>
      <c r="H5068" s="77">
        <v>0.41666666666666669</v>
      </c>
      <c r="J5068">
        <v>78.080000000000013</v>
      </c>
      <c r="M5068" s="74">
        <v>33449</v>
      </c>
      <c r="N5068" s="77">
        <v>0.41666666666666669</v>
      </c>
      <c r="P5068">
        <v>73.039999999999992</v>
      </c>
      <c r="S5068" s="74">
        <v>34545</v>
      </c>
      <c r="T5068" s="77">
        <v>0.41666666666666669</v>
      </c>
      <c r="V5068">
        <v>78.98</v>
      </c>
      <c r="X5068" s="42"/>
      <c r="AB5068">
        <v>77.7</v>
      </c>
      <c r="AC5068">
        <v>78.080000000000013</v>
      </c>
      <c r="AE5068" s="74"/>
      <c r="AF5068" s="77"/>
      <c r="AH5068" s="497">
        <v>69.800000000000011</v>
      </c>
      <c r="AJ5068" s="42"/>
      <c r="AK5068" s="74"/>
      <c r="AL5068" s="77"/>
      <c r="AN5068" s="497">
        <v>64.039999999999992</v>
      </c>
      <c r="AP5068" s="42"/>
      <c r="AQ5068" s="74"/>
      <c r="AR5068" s="77"/>
      <c r="AT5068" s="497">
        <v>66.92</v>
      </c>
      <c r="AV5068" s="42"/>
      <c r="AW5068" s="74"/>
      <c r="AX5068" s="77"/>
      <c r="BA5068" s="497">
        <v>84.02</v>
      </c>
      <c r="BB5068" s="42"/>
      <c r="BC5068" s="74"/>
      <c r="BD5068" s="77"/>
      <c r="BF5068">
        <v>75.02</v>
      </c>
      <c r="BH5068" s="42"/>
      <c r="BI5068" s="74"/>
      <c r="BJ5068" s="77"/>
      <c r="BL5068" s="497">
        <v>77</v>
      </c>
      <c r="BN5068" s="42"/>
      <c r="BO5068" s="74"/>
      <c r="BP5068" s="77"/>
      <c r="BR5068" s="497">
        <v>84.92</v>
      </c>
      <c r="BT5068" s="42"/>
    </row>
    <row r="5069" spans="1:72" x14ac:dyDescent="0.25">
      <c r="A5069" s="90">
        <v>34545</v>
      </c>
      <c r="B5069" s="20">
        <v>0.45833333333333331</v>
      </c>
      <c r="D5069">
        <v>86</v>
      </c>
      <c r="E5069" t="str">
        <f t="shared" si="192"/>
        <v>SATURDAY</v>
      </c>
      <c r="F5069" t="e">
        <f t="shared" si="193"/>
        <v>#N/A</v>
      </c>
      <c r="G5069" s="74">
        <v>31988</v>
      </c>
      <c r="H5069" s="77">
        <v>0.45833333333333331</v>
      </c>
      <c r="J5069">
        <v>80.960000000000008</v>
      </c>
      <c r="M5069" s="74">
        <v>33449</v>
      </c>
      <c r="N5069" s="77">
        <v>0.45833333333333331</v>
      </c>
      <c r="P5069">
        <v>73.039999999999992</v>
      </c>
      <c r="S5069" s="74">
        <v>34545</v>
      </c>
      <c r="T5069" s="77">
        <v>0.45833333333333331</v>
      </c>
      <c r="V5069">
        <v>78.98</v>
      </c>
      <c r="X5069" s="42"/>
      <c r="AB5069">
        <v>79.099999999999994</v>
      </c>
      <c r="AC5069">
        <v>80.06</v>
      </c>
      <c r="AE5069" s="74"/>
      <c r="AF5069" s="77"/>
      <c r="AH5069" s="497">
        <v>71.599999999999994</v>
      </c>
      <c r="AJ5069" s="42"/>
      <c r="AK5069" s="74"/>
      <c r="AL5069" s="77"/>
      <c r="AN5069" s="497">
        <v>64.94</v>
      </c>
      <c r="AP5069" s="42"/>
      <c r="AQ5069" s="74"/>
      <c r="AR5069" s="77"/>
      <c r="AT5069" s="497">
        <v>68.539999999999992</v>
      </c>
      <c r="AV5069" s="42"/>
      <c r="AW5069" s="74"/>
      <c r="AX5069" s="77"/>
      <c r="BA5069" s="497">
        <v>86</v>
      </c>
      <c r="BB5069" s="42"/>
      <c r="BC5069" s="74"/>
      <c r="BD5069" s="77"/>
      <c r="BF5069">
        <v>77</v>
      </c>
      <c r="BH5069" s="42"/>
      <c r="BI5069" s="74"/>
      <c r="BJ5069" s="77"/>
      <c r="BL5069" s="497">
        <v>80.06</v>
      </c>
      <c r="BN5069" s="42"/>
      <c r="BO5069" s="74"/>
      <c r="BP5069" s="77"/>
      <c r="BR5069" s="497">
        <v>86</v>
      </c>
      <c r="BT5069" s="42"/>
    </row>
    <row r="5070" spans="1:72" x14ac:dyDescent="0.25">
      <c r="A5070" s="90">
        <v>34545</v>
      </c>
      <c r="B5070" s="20">
        <v>0.5</v>
      </c>
      <c r="D5070">
        <v>89.06</v>
      </c>
      <c r="E5070" t="str">
        <f t="shared" si="192"/>
        <v>SATURDAY</v>
      </c>
      <c r="F5070" t="e">
        <f t="shared" si="193"/>
        <v>#N/A</v>
      </c>
      <c r="G5070" s="74">
        <v>31988</v>
      </c>
      <c r="H5070" s="77">
        <v>0.5</v>
      </c>
      <c r="J5070">
        <v>82.94</v>
      </c>
      <c r="M5070" s="74">
        <v>33449</v>
      </c>
      <c r="N5070" s="77">
        <v>0.5</v>
      </c>
      <c r="P5070">
        <v>73.039999999999992</v>
      </c>
      <c r="S5070" s="74">
        <v>34545</v>
      </c>
      <c r="T5070" s="77">
        <v>0.5</v>
      </c>
      <c r="V5070">
        <v>78.98</v>
      </c>
      <c r="X5070" s="42"/>
      <c r="AB5070">
        <v>80.099999999999994</v>
      </c>
      <c r="AC5070">
        <v>80.960000000000008</v>
      </c>
      <c r="AE5070" s="74"/>
      <c r="AF5070" s="77"/>
      <c r="AH5070" s="497">
        <v>73.400000000000006</v>
      </c>
      <c r="AJ5070" s="42"/>
      <c r="AK5070" s="74"/>
      <c r="AL5070" s="77"/>
      <c r="AN5070" s="497">
        <v>64.039999999999992</v>
      </c>
      <c r="AP5070" s="42"/>
      <c r="AQ5070" s="74"/>
      <c r="AR5070" s="77"/>
      <c r="AT5070" s="497">
        <v>70.34</v>
      </c>
      <c r="AV5070" s="42"/>
      <c r="AW5070" s="74"/>
      <c r="AX5070" s="77"/>
      <c r="BA5070" s="497">
        <v>86</v>
      </c>
      <c r="BB5070" s="42"/>
      <c r="BC5070" s="74"/>
      <c r="BD5070" s="77"/>
      <c r="BF5070">
        <v>78.080000000000013</v>
      </c>
      <c r="BH5070" s="42"/>
      <c r="BI5070" s="74"/>
      <c r="BJ5070" s="77"/>
      <c r="BL5070" s="497">
        <v>82.94</v>
      </c>
      <c r="BN5070" s="42"/>
      <c r="BO5070" s="74"/>
      <c r="BP5070" s="77"/>
      <c r="BR5070" s="497">
        <v>87.080000000000013</v>
      </c>
      <c r="BT5070" s="42"/>
    </row>
    <row r="5071" spans="1:72" x14ac:dyDescent="0.25">
      <c r="A5071" s="90">
        <v>34545</v>
      </c>
      <c r="B5071" s="20">
        <v>0.54166666666666663</v>
      </c>
      <c r="D5071">
        <v>89.06</v>
      </c>
      <c r="E5071" t="str">
        <f t="shared" si="192"/>
        <v>SATURDAY</v>
      </c>
      <c r="F5071" t="e">
        <f t="shared" si="193"/>
        <v>#N/A</v>
      </c>
      <c r="G5071" s="74">
        <v>31988</v>
      </c>
      <c r="H5071" s="77">
        <v>0.54166666666666663</v>
      </c>
      <c r="J5071">
        <v>82.039999999999992</v>
      </c>
      <c r="M5071" s="74">
        <v>33449</v>
      </c>
      <c r="N5071" s="77">
        <v>0.54166666666666663</v>
      </c>
      <c r="P5071">
        <v>73.94</v>
      </c>
      <c r="S5071" s="74">
        <v>34545</v>
      </c>
      <c r="T5071" s="77">
        <v>0.54166666666666663</v>
      </c>
      <c r="V5071">
        <v>80.960000000000008</v>
      </c>
      <c r="X5071" s="42"/>
      <c r="AB5071">
        <v>80.900000000000006</v>
      </c>
      <c r="AC5071">
        <v>82.94</v>
      </c>
      <c r="AE5071" s="74"/>
      <c r="AF5071" s="77"/>
      <c r="AH5071" s="497">
        <v>71.599999999999994</v>
      </c>
      <c r="AJ5071" s="42"/>
      <c r="AK5071" s="74"/>
      <c r="AL5071" s="77"/>
      <c r="AN5071" s="497">
        <v>66.02</v>
      </c>
      <c r="AP5071" s="42"/>
      <c r="AQ5071" s="74"/>
      <c r="AR5071" s="77"/>
      <c r="AT5071" s="497">
        <v>71.960000000000008</v>
      </c>
      <c r="AV5071" s="42"/>
      <c r="AW5071" s="74"/>
      <c r="AX5071" s="77"/>
      <c r="BA5071" s="497">
        <v>87.98</v>
      </c>
      <c r="BB5071" s="42"/>
      <c r="BC5071" s="74"/>
      <c r="BD5071" s="77"/>
      <c r="BF5071">
        <v>78.080000000000013</v>
      </c>
      <c r="BH5071" s="42"/>
      <c r="BI5071" s="74"/>
      <c r="BJ5071" s="77"/>
      <c r="BL5071" s="497">
        <v>84.02</v>
      </c>
      <c r="BN5071" s="42"/>
      <c r="BO5071" s="74"/>
      <c r="BP5071" s="77"/>
      <c r="BR5071" s="497">
        <v>87.98</v>
      </c>
      <c r="BT5071" s="42"/>
    </row>
    <row r="5072" spans="1:72" x14ac:dyDescent="0.25">
      <c r="A5072" s="90">
        <v>34545</v>
      </c>
      <c r="B5072" s="20">
        <v>0.58333333333333337</v>
      </c>
      <c r="D5072">
        <v>87.98</v>
      </c>
      <c r="E5072" t="str">
        <f t="shared" si="192"/>
        <v>SATURDAY</v>
      </c>
      <c r="F5072" t="e">
        <f t="shared" si="193"/>
        <v>#N/A</v>
      </c>
      <c r="G5072" s="74">
        <v>31988</v>
      </c>
      <c r="H5072" s="77">
        <v>0.58333333333333337</v>
      </c>
      <c r="J5072">
        <v>80.960000000000008</v>
      </c>
      <c r="M5072" s="74">
        <v>33449</v>
      </c>
      <c r="N5072" s="77">
        <v>0.58333333333333337</v>
      </c>
      <c r="P5072">
        <v>75.02</v>
      </c>
      <c r="S5072" s="74">
        <v>34545</v>
      </c>
      <c r="T5072" s="77">
        <v>0.58333333333333337</v>
      </c>
      <c r="V5072">
        <v>80.960000000000008</v>
      </c>
      <c r="X5072" s="42"/>
      <c r="AB5072">
        <v>81.400000000000006</v>
      </c>
      <c r="AC5072">
        <v>82.039999999999992</v>
      </c>
      <c r="AE5072" s="74"/>
      <c r="AF5072" s="77"/>
      <c r="AH5072" s="497">
        <v>71.599999999999994</v>
      </c>
      <c r="AJ5072" s="42"/>
      <c r="AK5072" s="74"/>
      <c r="AL5072" s="77"/>
      <c r="AN5072" s="497">
        <v>66.92</v>
      </c>
      <c r="AP5072" s="42"/>
      <c r="AQ5072" s="74"/>
      <c r="AR5072" s="77"/>
      <c r="AT5072" s="497">
        <v>73.94</v>
      </c>
      <c r="AV5072" s="42"/>
      <c r="AW5072" s="74"/>
      <c r="AX5072" s="77"/>
      <c r="BA5072" s="497">
        <v>89.06</v>
      </c>
      <c r="BB5072" s="42"/>
      <c r="BC5072" s="74"/>
      <c r="BD5072" s="77"/>
      <c r="BF5072">
        <v>78.080000000000013</v>
      </c>
      <c r="BH5072" s="42"/>
      <c r="BI5072" s="74"/>
      <c r="BJ5072" s="77"/>
      <c r="BL5072" s="497">
        <v>84.02</v>
      </c>
      <c r="BN5072" s="42"/>
      <c r="BO5072" s="74"/>
      <c r="BP5072" s="77"/>
      <c r="BR5072" s="497">
        <v>89.960000000000008</v>
      </c>
      <c r="BT5072" s="42"/>
    </row>
    <row r="5073" spans="1:72" x14ac:dyDescent="0.25">
      <c r="A5073" s="90">
        <v>34545</v>
      </c>
      <c r="B5073" s="20">
        <v>0.625</v>
      </c>
      <c r="D5073">
        <v>87.080000000000013</v>
      </c>
      <c r="E5073" t="str">
        <f t="shared" si="192"/>
        <v>SATURDAY</v>
      </c>
      <c r="F5073" t="e">
        <f t="shared" si="193"/>
        <v>#N/A</v>
      </c>
      <c r="G5073" s="74">
        <v>31988</v>
      </c>
      <c r="H5073" s="77">
        <v>0.625</v>
      </c>
      <c r="J5073">
        <v>82.039999999999992</v>
      </c>
      <c r="M5073" s="74">
        <v>33449</v>
      </c>
      <c r="N5073" s="77">
        <v>0.625</v>
      </c>
      <c r="P5073">
        <v>74.300000000000011</v>
      </c>
      <c r="S5073" s="74">
        <v>34545</v>
      </c>
      <c r="T5073" s="77">
        <v>0.625</v>
      </c>
      <c r="V5073">
        <v>78.080000000000013</v>
      </c>
      <c r="X5073" s="42"/>
      <c r="AB5073">
        <v>81.400000000000006</v>
      </c>
      <c r="AC5073">
        <v>82.039999999999992</v>
      </c>
      <c r="AE5073" s="74"/>
      <c r="AF5073" s="77"/>
      <c r="AH5073" s="497">
        <v>71.599999999999994</v>
      </c>
      <c r="AJ5073" s="42"/>
      <c r="AK5073" s="74"/>
      <c r="AL5073" s="77"/>
      <c r="AN5073" s="497">
        <v>69.98</v>
      </c>
      <c r="AP5073" s="42"/>
      <c r="AQ5073" s="74"/>
      <c r="AR5073" s="77"/>
      <c r="AT5073" s="497">
        <v>76.099999999999994</v>
      </c>
      <c r="AV5073" s="42"/>
      <c r="AW5073" s="74"/>
      <c r="AX5073" s="77"/>
      <c r="BA5073" s="497">
        <v>89.06</v>
      </c>
      <c r="BB5073" s="42"/>
      <c r="BC5073" s="74"/>
      <c r="BD5073" s="77"/>
      <c r="BF5073">
        <v>75.92</v>
      </c>
      <c r="BH5073" s="42"/>
      <c r="BI5073" s="74"/>
      <c r="BJ5073" s="77"/>
      <c r="BL5073" s="497">
        <v>86</v>
      </c>
      <c r="BN5073" s="42"/>
      <c r="BO5073" s="74"/>
      <c r="BP5073" s="77"/>
      <c r="BR5073" s="497">
        <v>91.039999999999992</v>
      </c>
      <c r="BT5073" s="42"/>
    </row>
    <row r="5074" spans="1:72" x14ac:dyDescent="0.25">
      <c r="A5074" s="90">
        <v>34545</v>
      </c>
      <c r="B5074" s="20">
        <v>0.66666666666666663</v>
      </c>
      <c r="D5074">
        <v>86</v>
      </c>
      <c r="E5074" t="str">
        <f t="shared" si="192"/>
        <v>SATURDAY</v>
      </c>
      <c r="F5074" t="e">
        <f t="shared" si="193"/>
        <v>#N/A</v>
      </c>
      <c r="G5074" s="74">
        <v>31988</v>
      </c>
      <c r="H5074" s="77">
        <v>0.66666666666666663</v>
      </c>
      <c r="J5074">
        <v>75.92</v>
      </c>
      <c r="M5074" s="74">
        <v>33449</v>
      </c>
      <c r="N5074" s="77">
        <v>0.66666666666666663</v>
      </c>
      <c r="P5074">
        <v>73.039999999999992</v>
      </c>
      <c r="S5074" s="74">
        <v>34545</v>
      </c>
      <c r="T5074" s="77">
        <v>0.66666666666666663</v>
      </c>
      <c r="V5074">
        <v>78.98</v>
      </c>
      <c r="X5074" s="42"/>
      <c r="AB5074">
        <v>80.8</v>
      </c>
      <c r="AC5074">
        <v>80.960000000000008</v>
      </c>
      <c r="AE5074" s="74"/>
      <c r="AF5074" s="77"/>
      <c r="AH5074" s="497">
        <v>71.599999999999994</v>
      </c>
      <c r="AJ5074" s="42"/>
      <c r="AK5074" s="74"/>
      <c r="AL5074" s="77"/>
      <c r="AN5074" s="497">
        <v>66.02</v>
      </c>
      <c r="AP5074" s="42"/>
      <c r="AQ5074" s="74"/>
      <c r="AR5074" s="77"/>
      <c r="AT5074" s="497">
        <v>78.080000000000013</v>
      </c>
      <c r="AV5074" s="42"/>
      <c r="AW5074" s="74"/>
      <c r="AX5074" s="77"/>
      <c r="BA5074" s="497">
        <v>87.080000000000013</v>
      </c>
      <c r="BB5074" s="42"/>
      <c r="BC5074" s="74"/>
      <c r="BD5074" s="77"/>
      <c r="BF5074">
        <v>77</v>
      </c>
      <c r="BH5074" s="42"/>
      <c r="BI5074" s="74"/>
      <c r="BJ5074" s="77"/>
      <c r="BL5074" s="497">
        <v>84.92</v>
      </c>
      <c r="BN5074" s="42"/>
      <c r="BO5074" s="74"/>
      <c r="BP5074" s="77"/>
      <c r="BR5074" s="497">
        <v>89.960000000000008</v>
      </c>
      <c r="BT5074" s="42"/>
    </row>
    <row r="5075" spans="1:72" x14ac:dyDescent="0.25">
      <c r="A5075" s="90">
        <v>34545</v>
      </c>
      <c r="B5075" s="20">
        <v>0.70833333333333337</v>
      </c>
      <c r="D5075">
        <v>84.92</v>
      </c>
      <c r="E5075" t="str">
        <f t="shared" ref="E5075:E5138" si="194">IF(COUNTIF($DI$18:$DI$22, WEEKDAY(A5075))=1, "WEEKDAY", IF(WEEKDAY(A5075) = 1, "SUNDAY", "SATURDAY"))</f>
        <v>SATURDAY</v>
      </c>
      <c r="F5075" t="e">
        <f t="shared" si="193"/>
        <v>#N/A</v>
      </c>
      <c r="G5075" s="74">
        <v>31988</v>
      </c>
      <c r="H5075" s="77">
        <v>0.70833333333333337</v>
      </c>
      <c r="J5075">
        <v>78.080000000000013</v>
      </c>
      <c r="M5075" s="74">
        <v>33449</v>
      </c>
      <c r="N5075" s="77">
        <v>0.70833333333333337</v>
      </c>
      <c r="P5075">
        <v>71.960000000000008</v>
      </c>
      <c r="S5075" s="74">
        <v>34545</v>
      </c>
      <c r="T5075" s="77">
        <v>0.70833333333333337</v>
      </c>
      <c r="V5075">
        <v>80.06</v>
      </c>
      <c r="X5075" s="42"/>
      <c r="AB5075">
        <v>80</v>
      </c>
      <c r="AC5075">
        <v>78.080000000000013</v>
      </c>
      <c r="AE5075" s="74"/>
      <c r="AF5075" s="77"/>
      <c r="AH5075" s="497">
        <v>70.88</v>
      </c>
      <c r="AJ5075" s="42"/>
      <c r="AK5075" s="74"/>
      <c r="AL5075" s="77"/>
      <c r="AN5075" s="497">
        <v>66.92</v>
      </c>
      <c r="AP5075" s="42"/>
      <c r="AQ5075" s="74"/>
      <c r="AR5075" s="77"/>
      <c r="AT5075" s="497">
        <v>76.460000000000008</v>
      </c>
      <c r="AV5075" s="42"/>
      <c r="AW5075" s="74"/>
      <c r="AX5075" s="77"/>
      <c r="BA5075" s="497">
        <v>87.080000000000013</v>
      </c>
      <c r="BB5075" s="42"/>
      <c r="BC5075" s="74"/>
      <c r="BD5075" s="77"/>
      <c r="BF5075">
        <v>75.92</v>
      </c>
      <c r="BH5075" s="42"/>
      <c r="BI5075" s="74"/>
      <c r="BJ5075" s="77"/>
      <c r="BL5075" s="497">
        <v>84.92</v>
      </c>
      <c r="BN5075" s="42"/>
      <c r="BO5075" s="74"/>
      <c r="BP5075" s="77"/>
      <c r="BR5075" s="497">
        <v>89.06</v>
      </c>
      <c r="BT5075" s="42"/>
    </row>
    <row r="5076" spans="1:72" x14ac:dyDescent="0.25">
      <c r="A5076" s="90">
        <v>34545</v>
      </c>
      <c r="B5076" s="20">
        <v>0.75</v>
      </c>
      <c r="D5076">
        <v>84.02</v>
      </c>
      <c r="E5076" t="str">
        <f t="shared" si="194"/>
        <v>SATURDAY</v>
      </c>
      <c r="F5076" t="e">
        <f t="shared" si="193"/>
        <v>#N/A</v>
      </c>
      <c r="G5076" s="74">
        <v>31988</v>
      </c>
      <c r="H5076" s="77">
        <v>0.75</v>
      </c>
      <c r="J5076">
        <v>78.98</v>
      </c>
      <c r="M5076" s="74">
        <v>33449</v>
      </c>
      <c r="N5076" s="77">
        <v>0.75</v>
      </c>
      <c r="P5076">
        <v>71.06</v>
      </c>
      <c r="S5076" s="74">
        <v>34545</v>
      </c>
      <c r="T5076" s="77">
        <v>0.75</v>
      </c>
      <c r="V5076">
        <v>78.98</v>
      </c>
      <c r="X5076" s="42"/>
      <c r="AB5076">
        <v>78.900000000000006</v>
      </c>
      <c r="AC5076">
        <v>77</v>
      </c>
      <c r="AE5076" s="74"/>
      <c r="AF5076" s="77"/>
      <c r="AH5076" s="497">
        <v>69.800000000000011</v>
      </c>
      <c r="AJ5076" s="42"/>
      <c r="AK5076" s="74"/>
      <c r="AL5076" s="77"/>
      <c r="AN5076" s="497">
        <v>64.94</v>
      </c>
      <c r="AP5076" s="42"/>
      <c r="AQ5076" s="74"/>
      <c r="AR5076" s="77"/>
      <c r="AT5076" s="497">
        <v>74.66</v>
      </c>
      <c r="AV5076" s="42"/>
      <c r="AW5076" s="74"/>
      <c r="AX5076" s="77"/>
      <c r="BA5076" s="497">
        <v>86</v>
      </c>
      <c r="BB5076" s="42"/>
      <c r="BC5076" s="74"/>
      <c r="BD5076" s="77"/>
      <c r="BF5076">
        <v>75.92</v>
      </c>
      <c r="BH5076" s="42"/>
      <c r="BI5076" s="74"/>
      <c r="BJ5076" s="77"/>
      <c r="BL5076" s="497">
        <v>82.039999999999992</v>
      </c>
      <c r="BN5076" s="42"/>
      <c r="BO5076" s="74"/>
      <c r="BP5076" s="77"/>
      <c r="BR5076" s="497">
        <v>87.080000000000013</v>
      </c>
      <c r="BT5076" s="42"/>
    </row>
    <row r="5077" spans="1:72" x14ac:dyDescent="0.25">
      <c r="A5077" s="90">
        <v>34545</v>
      </c>
      <c r="B5077" s="20">
        <v>0.79166666666666663</v>
      </c>
      <c r="D5077">
        <v>80.960000000000008</v>
      </c>
      <c r="E5077" t="str">
        <f t="shared" si="194"/>
        <v>SATURDAY</v>
      </c>
      <c r="F5077" t="e">
        <f t="shared" si="193"/>
        <v>#N/A</v>
      </c>
      <c r="G5077" s="74">
        <v>31988</v>
      </c>
      <c r="H5077" s="77">
        <v>0.79166666666666663</v>
      </c>
      <c r="J5077">
        <v>77</v>
      </c>
      <c r="M5077" s="74">
        <v>33449</v>
      </c>
      <c r="N5077" s="77">
        <v>0.79166666666666663</v>
      </c>
      <c r="P5077">
        <v>69.259999999999991</v>
      </c>
      <c r="S5077" s="74">
        <v>34545</v>
      </c>
      <c r="T5077" s="77">
        <v>0.79166666666666663</v>
      </c>
      <c r="V5077">
        <v>75.92</v>
      </c>
      <c r="X5077" s="42"/>
      <c r="AB5077">
        <v>77.7</v>
      </c>
      <c r="AC5077">
        <v>75.92</v>
      </c>
      <c r="AE5077" s="74"/>
      <c r="AF5077" s="77"/>
      <c r="AH5077" s="497">
        <v>69.800000000000011</v>
      </c>
      <c r="AJ5077" s="42"/>
      <c r="AK5077" s="74"/>
      <c r="AL5077" s="77"/>
      <c r="AN5077" s="497">
        <v>62.06</v>
      </c>
      <c r="AP5077" s="42"/>
      <c r="AQ5077" s="74"/>
      <c r="AR5077" s="77"/>
      <c r="AT5077" s="497">
        <v>73.039999999999992</v>
      </c>
      <c r="AV5077" s="42"/>
      <c r="AW5077" s="74"/>
      <c r="AX5077" s="77"/>
      <c r="BA5077" s="497">
        <v>82.94</v>
      </c>
      <c r="BB5077" s="42"/>
      <c r="BC5077" s="74"/>
      <c r="BD5077" s="77"/>
      <c r="BF5077">
        <v>73.94</v>
      </c>
      <c r="BH5077" s="42"/>
      <c r="BI5077" s="74"/>
      <c r="BJ5077" s="77"/>
      <c r="BL5077" s="497">
        <v>80.06</v>
      </c>
      <c r="BN5077" s="42"/>
      <c r="BO5077" s="74"/>
      <c r="BP5077" s="77"/>
      <c r="BR5077" s="497">
        <v>80.960000000000008</v>
      </c>
      <c r="BT5077" s="42"/>
    </row>
    <row r="5078" spans="1:72" x14ac:dyDescent="0.25">
      <c r="A5078" s="90">
        <v>34545</v>
      </c>
      <c r="B5078" s="20">
        <v>0.83333333333333337</v>
      </c>
      <c r="D5078">
        <v>78.98</v>
      </c>
      <c r="E5078" t="str">
        <f t="shared" si="194"/>
        <v>SATURDAY</v>
      </c>
      <c r="F5078" t="e">
        <f t="shared" si="193"/>
        <v>#N/A</v>
      </c>
      <c r="G5078" s="74">
        <v>31988</v>
      </c>
      <c r="H5078" s="77">
        <v>0.83333333333333337</v>
      </c>
      <c r="J5078">
        <v>77</v>
      </c>
      <c r="M5078" s="74">
        <v>33449</v>
      </c>
      <c r="N5078" s="77">
        <v>0.83333333333333337</v>
      </c>
      <c r="P5078">
        <v>66.92</v>
      </c>
      <c r="S5078" s="74">
        <v>34545</v>
      </c>
      <c r="T5078" s="77">
        <v>0.83333333333333337</v>
      </c>
      <c r="V5078">
        <v>75.02</v>
      </c>
      <c r="X5078" s="42"/>
      <c r="AB5078">
        <v>76.400000000000006</v>
      </c>
      <c r="AC5078">
        <v>75.02</v>
      </c>
      <c r="AE5078" s="74"/>
      <c r="AF5078" s="77"/>
      <c r="AH5078" s="497">
        <v>68</v>
      </c>
      <c r="AJ5078" s="42"/>
      <c r="AK5078" s="74"/>
      <c r="AL5078" s="77"/>
      <c r="AN5078" s="497">
        <v>59</v>
      </c>
      <c r="AP5078" s="42"/>
      <c r="AQ5078" s="74"/>
      <c r="AR5078" s="77"/>
      <c r="AT5078" s="497">
        <v>69.44</v>
      </c>
      <c r="AV5078" s="42"/>
      <c r="AW5078" s="74"/>
      <c r="AX5078" s="77"/>
      <c r="BA5078" s="497">
        <v>80.06</v>
      </c>
      <c r="BB5078" s="42"/>
      <c r="BC5078" s="74"/>
      <c r="BD5078" s="77"/>
      <c r="BF5078">
        <v>71.960000000000008</v>
      </c>
      <c r="BH5078" s="42"/>
      <c r="BI5078" s="74"/>
      <c r="BJ5078" s="77"/>
      <c r="BL5078" s="497">
        <v>78.080000000000013</v>
      </c>
      <c r="BN5078" s="42"/>
      <c r="BO5078" s="74"/>
      <c r="BP5078" s="77"/>
      <c r="BR5078" s="497">
        <v>73.039999999999992</v>
      </c>
      <c r="BT5078" s="42"/>
    </row>
    <row r="5079" spans="1:72" x14ac:dyDescent="0.25">
      <c r="A5079" s="90">
        <v>34545</v>
      </c>
      <c r="B5079" s="20">
        <v>0.875</v>
      </c>
      <c r="D5079">
        <v>78.080000000000013</v>
      </c>
      <c r="E5079" t="str">
        <f t="shared" si="194"/>
        <v>SATURDAY</v>
      </c>
      <c r="F5079" t="e">
        <f t="shared" si="193"/>
        <v>#N/A</v>
      </c>
      <c r="G5079" s="74">
        <v>31988</v>
      </c>
      <c r="H5079" s="77">
        <v>0.875</v>
      </c>
      <c r="J5079">
        <v>75.92</v>
      </c>
      <c r="M5079" s="74">
        <v>33449</v>
      </c>
      <c r="N5079" s="77">
        <v>0.875</v>
      </c>
      <c r="P5079">
        <v>64.94</v>
      </c>
      <c r="S5079" s="74">
        <v>34545</v>
      </c>
      <c r="T5079" s="77">
        <v>0.875</v>
      </c>
      <c r="V5079">
        <v>73.94</v>
      </c>
      <c r="X5079" s="42"/>
      <c r="AB5079">
        <v>75.400000000000006</v>
      </c>
      <c r="AC5079">
        <v>75.02</v>
      </c>
      <c r="AE5079" s="74"/>
      <c r="AF5079" s="77"/>
      <c r="AH5079" s="497">
        <v>68</v>
      </c>
      <c r="AJ5079" s="42"/>
      <c r="AK5079" s="74"/>
      <c r="AL5079" s="77"/>
      <c r="AN5079" s="497">
        <v>57.019999999999996</v>
      </c>
      <c r="AP5079" s="42"/>
      <c r="AQ5079" s="74"/>
      <c r="AR5079" s="77"/>
      <c r="AT5079" s="497">
        <v>65.66</v>
      </c>
      <c r="AV5079" s="42"/>
      <c r="AW5079" s="74"/>
      <c r="AX5079" s="77"/>
      <c r="BA5079" s="497">
        <v>78.080000000000013</v>
      </c>
      <c r="BB5079" s="42"/>
      <c r="BC5079" s="74"/>
      <c r="BD5079" s="77"/>
      <c r="BF5079">
        <v>71.06</v>
      </c>
      <c r="BH5079" s="42"/>
      <c r="BI5079" s="74"/>
      <c r="BJ5079" s="77"/>
      <c r="BL5079" s="497">
        <v>73.039999999999992</v>
      </c>
      <c r="BN5079" s="42"/>
      <c r="BO5079" s="74"/>
      <c r="BP5079" s="77"/>
      <c r="BR5079" s="497">
        <v>69.98</v>
      </c>
      <c r="BT5079" s="42"/>
    </row>
    <row r="5080" spans="1:72" x14ac:dyDescent="0.25">
      <c r="A5080" s="90">
        <v>34545</v>
      </c>
      <c r="B5080" s="20">
        <v>0.91666666666666663</v>
      </c>
      <c r="D5080">
        <v>78.080000000000013</v>
      </c>
      <c r="E5080" t="str">
        <f t="shared" si="194"/>
        <v>SATURDAY</v>
      </c>
      <c r="F5080" t="e">
        <f t="shared" si="193"/>
        <v>#N/A</v>
      </c>
      <c r="G5080" s="74">
        <v>31988</v>
      </c>
      <c r="H5080" s="77">
        <v>0.91666666666666663</v>
      </c>
      <c r="J5080">
        <v>75.92</v>
      </c>
      <c r="M5080" s="74">
        <v>33449</v>
      </c>
      <c r="N5080" s="77">
        <v>0.91666666666666663</v>
      </c>
      <c r="P5080">
        <v>62.06</v>
      </c>
      <c r="S5080" s="74">
        <v>34545</v>
      </c>
      <c r="T5080" s="77">
        <v>0.91666666666666663</v>
      </c>
      <c r="V5080">
        <v>73.039999999999992</v>
      </c>
      <c r="X5080" s="42"/>
      <c r="AB5080">
        <v>74.900000000000006</v>
      </c>
      <c r="AC5080">
        <v>75.02</v>
      </c>
      <c r="AE5080" s="74"/>
      <c r="AF5080" s="77"/>
      <c r="AH5080" s="497">
        <v>66.2</v>
      </c>
      <c r="AJ5080" s="42"/>
      <c r="AK5080" s="74"/>
      <c r="AL5080" s="77"/>
      <c r="AN5080" s="497">
        <v>55.94</v>
      </c>
      <c r="AP5080" s="42"/>
      <c r="AQ5080" s="74"/>
      <c r="AR5080" s="77"/>
      <c r="AT5080" s="497">
        <v>62.06</v>
      </c>
      <c r="AV5080" s="42"/>
      <c r="AW5080" s="74"/>
      <c r="AX5080" s="77"/>
      <c r="BA5080" s="497">
        <v>75.92</v>
      </c>
      <c r="BB5080" s="42"/>
      <c r="BC5080" s="74"/>
      <c r="BD5080" s="77"/>
      <c r="BF5080">
        <v>69.98</v>
      </c>
      <c r="BH5080" s="42"/>
      <c r="BI5080" s="74"/>
      <c r="BJ5080" s="77"/>
      <c r="BL5080" s="497">
        <v>71.960000000000008</v>
      </c>
      <c r="BN5080" s="42"/>
      <c r="BO5080" s="74"/>
      <c r="BP5080" s="77"/>
      <c r="BR5080" s="497">
        <v>69.080000000000013</v>
      </c>
      <c r="BT5080" s="42"/>
    </row>
    <row r="5081" spans="1:72" x14ac:dyDescent="0.25">
      <c r="A5081" s="90">
        <v>34545</v>
      </c>
      <c r="B5081" s="20">
        <v>0.95833333333333337</v>
      </c>
      <c r="D5081">
        <v>78.080000000000013</v>
      </c>
      <c r="E5081" t="str">
        <f t="shared" si="194"/>
        <v>SATURDAY</v>
      </c>
      <c r="F5081" t="e">
        <f t="shared" si="193"/>
        <v>#N/A</v>
      </c>
      <c r="G5081" s="74">
        <v>31988</v>
      </c>
      <c r="H5081" s="77">
        <v>0.95833333333333337</v>
      </c>
      <c r="J5081">
        <v>75.92</v>
      </c>
      <c r="M5081" s="74">
        <v>33449</v>
      </c>
      <c r="N5081" s="77">
        <v>0.95833333333333337</v>
      </c>
      <c r="P5081">
        <v>62.06</v>
      </c>
      <c r="S5081" s="74">
        <v>34545</v>
      </c>
      <c r="T5081" s="77">
        <v>0.95833333333333337</v>
      </c>
      <c r="V5081">
        <v>71.960000000000008</v>
      </c>
      <c r="X5081" s="42"/>
      <c r="AB5081">
        <v>74.400000000000006</v>
      </c>
      <c r="AC5081">
        <v>73.94</v>
      </c>
      <c r="AE5081" s="74"/>
      <c r="AF5081" s="77"/>
      <c r="AH5081" s="497">
        <v>66.2</v>
      </c>
      <c r="AJ5081" s="42"/>
      <c r="AK5081" s="74"/>
      <c r="AL5081" s="77"/>
      <c r="AN5081" s="497">
        <v>55.040000000000006</v>
      </c>
      <c r="AP5081" s="42"/>
      <c r="AQ5081" s="74"/>
      <c r="AR5081" s="77"/>
      <c r="AT5081" s="497">
        <v>60.980000000000004</v>
      </c>
      <c r="AV5081" s="42"/>
      <c r="AW5081" s="74"/>
      <c r="AX5081" s="77"/>
      <c r="BA5081" s="497">
        <v>75.92</v>
      </c>
      <c r="BB5081" s="42"/>
      <c r="BC5081" s="74"/>
      <c r="BD5081" s="77"/>
      <c r="BF5081">
        <v>68</v>
      </c>
      <c r="BH5081" s="42"/>
      <c r="BI5081" s="74"/>
      <c r="BJ5081" s="77"/>
      <c r="BL5081" s="497">
        <v>71.960000000000008</v>
      </c>
      <c r="BN5081" s="42"/>
      <c r="BO5081" s="74"/>
      <c r="BP5081" s="77"/>
      <c r="BR5081" s="497">
        <v>66.92</v>
      </c>
      <c r="BT5081" s="42"/>
    </row>
    <row r="5082" spans="1:72" x14ac:dyDescent="0.25">
      <c r="A5082" s="90">
        <v>34545</v>
      </c>
      <c r="B5082" s="20">
        <v>1</v>
      </c>
      <c r="D5082">
        <v>78.98</v>
      </c>
      <c r="E5082" t="str">
        <f t="shared" si="194"/>
        <v>SATURDAY</v>
      </c>
      <c r="F5082" t="e">
        <f t="shared" si="193"/>
        <v>#N/A</v>
      </c>
      <c r="G5082" s="74">
        <v>31988</v>
      </c>
      <c r="H5082" s="77">
        <v>1</v>
      </c>
      <c r="J5082">
        <v>75.02</v>
      </c>
      <c r="M5082" s="74">
        <v>33449</v>
      </c>
      <c r="N5082" s="80">
        <v>1</v>
      </c>
      <c r="P5082">
        <v>62.06</v>
      </c>
      <c r="S5082" s="74">
        <v>34545</v>
      </c>
      <c r="T5082" s="80">
        <v>1</v>
      </c>
      <c r="V5082">
        <v>73.94</v>
      </c>
      <c r="X5082" s="42"/>
      <c r="AB5082">
        <v>73.900000000000006</v>
      </c>
      <c r="AC5082">
        <v>73.94</v>
      </c>
      <c r="AE5082" s="74"/>
      <c r="AF5082" s="80"/>
      <c r="AH5082" s="497">
        <v>66.2</v>
      </c>
      <c r="AJ5082" s="42"/>
      <c r="AK5082" s="74"/>
      <c r="AL5082" s="80"/>
      <c r="AN5082" s="497">
        <v>53.96</v>
      </c>
      <c r="AP5082" s="42"/>
      <c r="AQ5082" s="74"/>
      <c r="AR5082" s="80"/>
      <c r="AT5082" s="497">
        <v>60.08</v>
      </c>
      <c r="AV5082" s="42"/>
      <c r="AW5082" s="74"/>
      <c r="AX5082" s="80"/>
      <c r="BA5082" s="497">
        <v>73.94</v>
      </c>
      <c r="BB5082" s="42"/>
      <c r="BC5082" s="74"/>
      <c r="BD5082" s="80"/>
      <c r="BF5082">
        <v>66.92</v>
      </c>
      <c r="BH5082" s="42"/>
      <c r="BI5082" s="74"/>
      <c r="BJ5082" s="80"/>
      <c r="BL5082" s="497">
        <v>71.960000000000008</v>
      </c>
      <c r="BN5082" s="42"/>
      <c r="BO5082" s="74"/>
      <c r="BP5082" s="80"/>
      <c r="BR5082" s="497">
        <v>66.92</v>
      </c>
      <c r="BT5082" s="42"/>
    </row>
    <row r="5083" spans="1:72" x14ac:dyDescent="0.25">
      <c r="A5083" s="90">
        <v>34546</v>
      </c>
      <c r="B5083" s="20">
        <v>4.1666666666666664E-2</v>
      </c>
      <c r="D5083">
        <v>78.080000000000013</v>
      </c>
      <c r="E5083" t="str">
        <f t="shared" si="194"/>
        <v>SUNDAY</v>
      </c>
      <c r="F5083" t="e">
        <f t="shared" si="193"/>
        <v>#N/A</v>
      </c>
      <c r="G5083" s="74">
        <v>31989</v>
      </c>
      <c r="H5083" s="77">
        <v>4.1666666666666664E-2</v>
      </c>
      <c r="J5083">
        <v>73.039999999999992</v>
      </c>
      <c r="M5083" s="74">
        <v>33450</v>
      </c>
      <c r="N5083" s="77">
        <v>4.1666666666666664E-2</v>
      </c>
      <c r="P5083">
        <v>62.24</v>
      </c>
      <c r="S5083" s="74">
        <v>34546</v>
      </c>
      <c r="T5083" s="77">
        <v>4.1666666666666664E-2</v>
      </c>
      <c r="V5083">
        <v>73.94</v>
      </c>
      <c r="X5083" s="42"/>
      <c r="AB5083">
        <v>73.400000000000006</v>
      </c>
      <c r="AC5083">
        <v>73.94</v>
      </c>
      <c r="AE5083" s="74"/>
      <c r="AF5083" s="77"/>
      <c r="AH5083" s="497">
        <v>66.2</v>
      </c>
      <c r="AJ5083" s="42"/>
      <c r="AK5083" s="74"/>
      <c r="AL5083" s="77"/>
      <c r="AN5083" s="497">
        <v>53.06</v>
      </c>
      <c r="AP5083" s="42"/>
      <c r="AQ5083" s="74"/>
      <c r="AR5083" s="77"/>
      <c r="AT5083" s="497">
        <v>59</v>
      </c>
      <c r="AV5083" s="42"/>
      <c r="AW5083" s="74"/>
      <c r="AX5083" s="77"/>
      <c r="BA5083" s="497">
        <v>73.94</v>
      </c>
      <c r="BB5083" s="42"/>
      <c r="BC5083" s="74"/>
      <c r="BD5083" s="77"/>
      <c r="BF5083">
        <v>66.02</v>
      </c>
      <c r="BH5083" s="42"/>
      <c r="BI5083" s="74"/>
      <c r="BJ5083" s="77"/>
      <c r="BL5083" s="497">
        <v>71.960000000000008</v>
      </c>
      <c r="BN5083" s="42"/>
      <c r="BO5083" s="74"/>
      <c r="BP5083" s="77"/>
      <c r="BR5083" s="497">
        <v>73.039999999999992</v>
      </c>
      <c r="BT5083" s="42"/>
    </row>
    <row r="5084" spans="1:72" x14ac:dyDescent="0.25">
      <c r="A5084" s="90">
        <v>34546</v>
      </c>
      <c r="B5084" s="20">
        <v>8.3333333333333329E-2</v>
      </c>
      <c r="D5084">
        <v>78.080000000000013</v>
      </c>
      <c r="E5084" t="str">
        <f t="shared" si="194"/>
        <v>SUNDAY</v>
      </c>
      <c r="F5084" t="e">
        <f t="shared" si="193"/>
        <v>#N/A</v>
      </c>
      <c r="G5084" s="74">
        <v>31989</v>
      </c>
      <c r="H5084" s="77">
        <v>8.3333333333333329E-2</v>
      </c>
      <c r="J5084">
        <v>73.94</v>
      </c>
      <c r="M5084" s="74">
        <v>33450</v>
      </c>
      <c r="N5084" s="77">
        <v>8.3333333333333329E-2</v>
      </c>
      <c r="P5084">
        <v>62.06</v>
      </c>
      <c r="S5084" s="74">
        <v>34546</v>
      </c>
      <c r="T5084" s="77">
        <v>8.3333333333333329E-2</v>
      </c>
      <c r="V5084">
        <v>73.94</v>
      </c>
      <c r="X5084" s="42"/>
      <c r="AB5084">
        <v>72.8</v>
      </c>
      <c r="AC5084">
        <v>73.039999999999992</v>
      </c>
      <c r="AE5084" s="74"/>
      <c r="AF5084" s="77"/>
      <c r="AH5084" s="497">
        <v>65.12</v>
      </c>
      <c r="AJ5084" s="42"/>
      <c r="AK5084" s="74"/>
      <c r="AL5084" s="77"/>
      <c r="AN5084" s="497">
        <v>53.06</v>
      </c>
      <c r="AP5084" s="42"/>
      <c r="AQ5084" s="74"/>
      <c r="AR5084" s="77"/>
      <c r="AT5084" s="497">
        <v>59.36</v>
      </c>
      <c r="AV5084" s="42"/>
      <c r="AW5084" s="74"/>
      <c r="AX5084" s="77"/>
      <c r="BA5084" s="497">
        <v>73.039999999999992</v>
      </c>
      <c r="BB5084" s="42"/>
      <c r="BC5084" s="74"/>
      <c r="BD5084" s="77"/>
      <c r="BF5084">
        <v>66.02</v>
      </c>
      <c r="BH5084" s="42"/>
      <c r="BI5084" s="74"/>
      <c r="BJ5084" s="77"/>
      <c r="BL5084" s="497">
        <v>71.06</v>
      </c>
      <c r="BN5084" s="42"/>
      <c r="BO5084" s="74"/>
      <c r="BP5084" s="77"/>
      <c r="BR5084" s="497">
        <v>69.98</v>
      </c>
      <c r="BT5084" s="42"/>
    </row>
    <row r="5085" spans="1:72" x14ac:dyDescent="0.25">
      <c r="A5085" s="90">
        <v>34546</v>
      </c>
      <c r="B5085" s="20">
        <v>0.125</v>
      </c>
      <c r="D5085">
        <v>77</v>
      </c>
      <c r="E5085" t="str">
        <f t="shared" si="194"/>
        <v>SUNDAY</v>
      </c>
      <c r="F5085" t="e">
        <f t="shared" si="193"/>
        <v>#N/A</v>
      </c>
      <c r="G5085" s="74">
        <v>31989</v>
      </c>
      <c r="H5085" s="77">
        <v>0.125</v>
      </c>
      <c r="J5085">
        <v>71.960000000000008</v>
      </c>
      <c r="M5085" s="74">
        <v>33450</v>
      </c>
      <c r="N5085" s="77">
        <v>0.125</v>
      </c>
      <c r="P5085">
        <v>62.06</v>
      </c>
      <c r="S5085" s="74">
        <v>34546</v>
      </c>
      <c r="T5085" s="77">
        <v>0.125</v>
      </c>
      <c r="V5085">
        <v>75.02</v>
      </c>
      <c r="X5085" s="42"/>
      <c r="AB5085">
        <v>72.2</v>
      </c>
      <c r="AC5085">
        <v>73.039999999999992</v>
      </c>
      <c r="AE5085" s="74"/>
      <c r="AF5085" s="77"/>
      <c r="AH5085" s="497">
        <v>64.400000000000006</v>
      </c>
      <c r="AJ5085" s="42"/>
      <c r="AK5085" s="74"/>
      <c r="AL5085" s="77"/>
      <c r="AN5085" s="497">
        <v>53.06</v>
      </c>
      <c r="AP5085" s="42"/>
      <c r="AQ5085" s="74"/>
      <c r="AR5085" s="77"/>
      <c r="AT5085" s="497">
        <v>59.72</v>
      </c>
      <c r="AV5085" s="42"/>
      <c r="AW5085" s="74"/>
      <c r="AX5085" s="77"/>
      <c r="BA5085" s="497">
        <v>71.960000000000008</v>
      </c>
      <c r="BB5085" s="42"/>
      <c r="BC5085" s="74"/>
      <c r="BD5085" s="77"/>
      <c r="BF5085">
        <v>64.94</v>
      </c>
      <c r="BH5085" s="42"/>
      <c r="BI5085" s="74"/>
      <c r="BJ5085" s="77"/>
      <c r="BL5085" s="497">
        <v>69.98</v>
      </c>
      <c r="BN5085" s="42"/>
      <c r="BO5085" s="74"/>
      <c r="BP5085" s="77"/>
      <c r="BR5085" s="497">
        <v>69.080000000000013</v>
      </c>
      <c r="BT5085" s="42"/>
    </row>
    <row r="5086" spans="1:72" x14ac:dyDescent="0.25">
      <c r="A5086" s="90">
        <v>34546</v>
      </c>
      <c r="B5086" s="20">
        <v>0.16666666666666666</v>
      </c>
      <c r="D5086">
        <v>77</v>
      </c>
      <c r="E5086" t="str">
        <f t="shared" si="194"/>
        <v>SUNDAY</v>
      </c>
      <c r="F5086" t="e">
        <f t="shared" si="193"/>
        <v>#N/A</v>
      </c>
      <c r="G5086" s="74">
        <v>31989</v>
      </c>
      <c r="H5086" s="77">
        <v>0.16666666666666666</v>
      </c>
      <c r="J5086">
        <v>71.960000000000008</v>
      </c>
      <c r="M5086" s="74">
        <v>33450</v>
      </c>
      <c r="N5086" s="77">
        <v>0.16666666666666666</v>
      </c>
      <c r="P5086">
        <v>62.96</v>
      </c>
      <c r="S5086" s="74">
        <v>34546</v>
      </c>
      <c r="T5086" s="77">
        <v>0.16666666666666666</v>
      </c>
      <c r="V5086">
        <v>75.02</v>
      </c>
      <c r="X5086" s="42"/>
      <c r="AB5086">
        <v>71.7</v>
      </c>
      <c r="AC5086">
        <v>73.039999999999992</v>
      </c>
      <c r="AE5086" s="74"/>
      <c r="AF5086" s="77"/>
      <c r="AH5086" s="497">
        <v>64.400000000000006</v>
      </c>
      <c r="AJ5086" s="42"/>
      <c r="AK5086" s="74"/>
      <c r="AL5086" s="77"/>
      <c r="AN5086" s="497">
        <v>53.06</v>
      </c>
      <c r="AP5086" s="42"/>
      <c r="AQ5086" s="74"/>
      <c r="AR5086" s="77"/>
      <c r="AT5086" s="497">
        <v>60.08</v>
      </c>
      <c r="AV5086" s="42"/>
      <c r="AW5086" s="74"/>
      <c r="AX5086" s="77"/>
      <c r="BA5086" s="497">
        <v>71.960000000000008</v>
      </c>
      <c r="BB5086" s="42"/>
      <c r="BC5086" s="74"/>
      <c r="BD5086" s="77"/>
      <c r="BF5086">
        <v>64.039999999999992</v>
      </c>
      <c r="BH5086" s="42"/>
      <c r="BI5086" s="74"/>
      <c r="BJ5086" s="77"/>
      <c r="BL5086" s="497">
        <v>71.06</v>
      </c>
      <c r="BN5086" s="42"/>
      <c r="BO5086" s="74"/>
      <c r="BP5086" s="77"/>
      <c r="BR5086" s="497">
        <v>68</v>
      </c>
      <c r="BT5086" s="42"/>
    </row>
    <row r="5087" spans="1:72" x14ac:dyDescent="0.25">
      <c r="A5087" s="90">
        <v>34546</v>
      </c>
      <c r="B5087" s="20">
        <v>0.20833333333333334</v>
      </c>
      <c r="D5087">
        <v>78.080000000000013</v>
      </c>
      <c r="E5087" t="str">
        <f t="shared" si="194"/>
        <v>SUNDAY</v>
      </c>
      <c r="F5087" t="e">
        <f t="shared" si="193"/>
        <v>#N/A</v>
      </c>
      <c r="G5087" s="74">
        <v>31989</v>
      </c>
      <c r="H5087" s="77">
        <v>0.20833333333333334</v>
      </c>
      <c r="J5087">
        <v>73.039999999999992</v>
      </c>
      <c r="M5087" s="74">
        <v>33450</v>
      </c>
      <c r="N5087" s="77">
        <v>0.20833333333333334</v>
      </c>
      <c r="P5087">
        <v>62.06</v>
      </c>
      <c r="S5087" s="74">
        <v>34546</v>
      </c>
      <c r="T5087" s="77">
        <v>0.20833333333333334</v>
      </c>
      <c r="V5087">
        <v>73.94</v>
      </c>
      <c r="X5087" s="42"/>
      <c r="AB5087">
        <v>71.099999999999994</v>
      </c>
      <c r="AC5087">
        <v>73.039999999999992</v>
      </c>
      <c r="AE5087" s="74"/>
      <c r="AF5087" s="77"/>
      <c r="AH5087" s="497">
        <v>64.400000000000006</v>
      </c>
      <c r="AJ5087" s="42"/>
      <c r="AK5087" s="74"/>
      <c r="AL5087" s="77"/>
      <c r="AN5087" s="497">
        <v>51.980000000000004</v>
      </c>
      <c r="AP5087" s="42"/>
      <c r="AQ5087" s="74"/>
      <c r="AR5087" s="77"/>
      <c r="AT5087" s="497">
        <v>61.7</v>
      </c>
      <c r="AV5087" s="42"/>
      <c r="AW5087" s="74"/>
      <c r="AX5087" s="77"/>
      <c r="BA5087" s="497">
        <v>73.039999999999992</v>
      </c>
      <c r="BB5087" s="42"/>
      <c r="BC5087" s="74"/>
      <c r="BD5087" s="77"/>
      <c r="BF5087">
        <v>64.039999999999992</v>
      </c>
      <c r="BH5087" s="42"/>
      <c r="BI5087" s="74"/>
      <c r="BJ5087" s="77"/>
      <c r="BL5087" s="497">
        <v>73.039999999999992</v>
      </c>
      <c r="BN5087" s="42"/>
      <c r="BO5087" s="74"/>
      <c r="BP5087" s="77"/>
      <c r="BR5087" s="497">
        <v>64.94</v>
      </c>
      <c r="BT5087" s="42"/>
    </row>
    <row r="5088" spans="1:72" x14ac:dyDescent="0.25">
      <c r="A5088" s="90">
        <v>34546</v>
      </c>
      <c r="B5088" s="20">
        <v>0.25</v>
      </c>
      <c r="D5088">
        <v>78.080000000000013</v>
      </c>
      <c r="E5088" t="str">
        <f t="shared" si="194"/>
        <v>SUNDAY</v>
      </c>
      <c r="F5088" t="e">
        <f t="shared" si="193"/>
        <v>#N/A</v>
      </c>
      <c r="G5088" s="74">
        <v>31989</v>
      </c>
      <c r="H5088" s="77">
        <v>0.25</v>
      </c>
      <c r="J5088">
        <v>71.960000000000008</v>
      </c>
      <c r="M5088" s="74">
        <v>33450</v>
      </c>
      <c r="N5088" s="77">
        <v>0.25</v>
      </c>
      <c r="P5088">
        <v>62.96</v>
      </c>
      <c r="S5088" s="74">
        <v>34546</v>
      </c>
      <c r="T5088" s="77">
        <v>0.25</v>
      </c>
      <c r="V5088">
        <v>73.94</v>
      </c>
      <c r="X5088" s="42"/>
      <c r="AB5088">
        <v>70.8</v>
      </c>
      <c r="AC5088">
        <v>73.039999999999992</v>
      </c>
      <c r="AE5088" s="74"/>
      <c r="AF5088" s="77"/>
      <c r="AH5088" s="497">
        <v>64.400000000000006</v>
      </c>
      <c r="AJ5088" s="42"/>
      <c r="AK5088" s="74"/>
      <c r="AL5088" s="77"/>
      <c r="AN5088" s="497">
        <v>53.06</v>
      </c>
      <c r="AP5088" s="42"/>
      <c r="AQ5088" s="74"/>
      <c r="AR5088" s="77"/>
      <c r="AT5088" s="497">
        <v>63.319999999999993</v>
      </c>
      <c r="AV5088" s="42"/>
      <c r="AW5088" s="74"/>
      <c r="AX5088" s="77"/>
      <c r="BA5088" s="497">
        <v>73.039999999999992</v>
      </c>
      <c r="BB5088" s="42"/>
      <c r="BC5088" s="74"/>
      <c r="BD5088" s="77"/>
      <c r="BF5088">
        <v>62.96</v>
      </c>
      <c r="BH5088" s="42"/>
      <c r="BI5088" s="74"/>
      <c r="BJ5088" s="77"/>
      <c r="BL5088" s="497">
        <v>73.94</v>
      </c>
      <c r="BN5088" s="42"/>
      <c r="BO5088" s="74"/>
      <c r="BP5088" s="77"/>
      <c r="BR5088" s="497">
        <v>62.06</v>
      </c>
      <c r="BT5088" s="42"/>
    </row>
    <row r="5089" spans="1:72" x14ac:dyDescent="0.25">
      <c r="A5089" s="90">
        <v>34546</v>
      </c>
      <c r="B5089" s="20">
        <v>0.29166666666666669</v>
      </c>
      <c r="D5089">
        <v>77</v>
      </c>
      <c r="E5089" t="str">
        <f t="shared" si="194"/>
        <v>SUNDAY</v>
      </c>
      <c r="F5089" t="e">
        <f t="shared" si="193"/>
        <v>#N/A</v>
      </c>
      <c r="G5089" s="74">
        <v>31989</v>
      </c>
      <c r="H5089" s="77">
        <v>0.29166666666666669</v>
      </c>
      <c r="J5089">
        <v>71.960000000000008</v>
      </c>
      <c r="M5089" s="74">
        <v>33450</v>
      </c>
      <c r="N5089" s="77">
        <v>0.29166666666666669</v>
      </c>
      <c r="P5089">
        <v>66.02</v>
      </c>
      <c r="S5089" s="74">
        <v>34546</v>
      </c>
      <c r="T5089" s="77">
        <v>0.29166666666666669</v>
      </c>
      <c r="V5089">
        <v>75.02</v>
      </c>
      <c r="X5089" s="42"/>
      <c r="AB5089">
        <v>71.8</v>
      </c>
      <c r="AC5089">
        <v>73.94</v>
      </c>
      <c r="AE5089" s="74"/>
      <c r="AF5089" s="77"/>
      <c r="AH5089" s="497">
        <v>66.02</v>
      </c>
      <c r="AJ5089" s="42"/>
      <c r="AK5089" s="74"/>
      <c r="AL5089" s="77"/>
      <c r="AN5089" s="497">
        <v>55.040000000000006</v>
      </c>
      <c r="AP5089" s="42"/>
      <c r="AQ5089" s="74"/>
      <c r="AR5089" s="77"/>
      <c r="AT5089" s="497">
        <v>64.94</v>
      </c>
      <c r="AV5089" s="42"/>
      <c r="AW5089" s="74"/>
      <c r="AX5089" s="77"/>
      <c r="BA5089" s="497">
        <v>71.960000000000008</v>
      </c>
      <c r="BB5089" s="42"/>
      <c r="BC5089" s="74"/>
      <c r="BD5089" s="77"/>
      <c r="BF5089">
        <v>64.039999999999992</v>
      </c>
      <c r="BH5089" s="42"/>
      <c r="BI5089" s="74"/>
      <c r="BJ5089" s="77"/>
      <c r="BL5089" s="497">
        <v>75.02</v>
      </c>
      <c r="BN5089" s="42"/>
      <c r="BO5089" s="74"/>
      <c r="BP5089" s="77"/>
      <c r="BR5089" s="497">
        <v>60.980000000000004</v>
      </c>
      <c r="BT5089" s="42"/>
    </row>
    <row r="5090" spans="1:72" x14ac:dyDescent="0.25">
      <c r="A5090" s="90">
        <v>34546</v>
      </c>
      <c r="B5090" s="20">
        <v>0.33333333333333331</v>
      </c>
      <c r="D5090">
        <v>77</v>
      </c>
      <c r="E5090" t="str">
        <f t="shared" si="194"/>
        <v>SUNDAY</v>
      </c>
      <c r="F5090" t="e">
        <f t="shared" si="193"/>
        <v>#N/A</v>
      </c>
      <c r="G5090" s="74">
        <v>31989</v>
      </c>
      <c r="H5090" s="77">
        <v>0.33333333333333331</v>
      </c>
      <c r="J5090">
        <v>75.02</v>
      </c>
      <c r="M5090" s="74">
        <v>33450</v>
      </c>
      <c r="N5090" s="77">
        <v>0.33333333333333331</v>
      </c>
      <c r="P5090">
        <v>69.080000000000013</v>
      </c>
      <c r="S5090" s="74">
        <v>34546</v>
      </c>
      <c r="T5090" s="77">
        <v>0.33333333333333331</v>
      </c>
      <c r="V5090">
        <v>78.080000000000013</v>
      </c>
      <c r="X5090" s="42"/>
      <c r="AB5090">
        <v>73.8</v>
      </c>
      <c r="AC5090">
        <v>77</v>
      </c>
      <c r="AE5090" s="74"/>
      <c r="AF5090" s="77"/>
      <c r="AH5090" s="497">
        <v>67.819999999999993</v>
      </c>
      <c r="AJ5090" s="42"/>
      <c r="AK5090" s="74"/>
      <c r="AL5090" s="77"/>
      <c r="AN5090" s="497">
        <v>57.019999999999996</v>
      </c>
      <c r="AP5090" s="42"/>
      <c r="AQ5090" s="74"/>
      <c r="AR5090" s="77"/>
      <c r="AT5090" s="497">
        <v>68</v>
      </c>
      <c r="AV5090" s="42"/>
      <c r="AW5090" s="74"/>
      <c r="AX5090" s="77"/>
      <c r="BA5090" s="497">
        <v>68</v>
      </c>
      <c r="BB5090" s="42"/>
      <c r="BC5090" s="74"/>
      <c r="BD5090" s="77"/>
      <c r="BF5090">
        <v>69.080000000000013</v>
      </c>
      <c r="BH5090" s="42"/>
      <c r="BI5090" s="74"/>
      <c r="BJ5090" s="77"/>
      <c r="BL5090" s="497">
        <v>75.02</v>
      </c>
      <c r="BN5090" s="42"/>
      <c r="BO5090" s="74"/>
      <c r="BP5090" s="77"/>
      <c r="BR5090" s="497">
        <v>60.980000000000004</v>
      </c>
      <c r="BT5090" s="42"/>
    </row>
    <row r="5091" spans="1:72" x14ac:dyDescent="0.25">
      <c r="A5091" s="90">
        <v>34546</v>
      </c>
      <c r="B5091" s="20">
        <v>0.375</v>
      </c>
      <c r="D5091">
        <v>78.080000000000013</v>
      </c>
      <c r="E5091" t="str">
        <f t="shared" si="194"/>
        <v>SUNDAY</v>
      </c>
      <c r="F5091" t="e">
        <f t="shared" si="193"/>
        <v>#N/A</v>
      </c>
      <c r="G5091" s="74">
        <v>31989</v>
      </c>
      <c r="H5091" s="77">
        <v>0.375</v>
      </c>
      <c r="J5091">
        <v>75.02</v>
      </c>
      <c r="M5091" s="74">
        <v>33450</v>
      </c>
      <c r="N5091" s="77">
        <v>0.375</v>
      </c>
      <c r="P5091">
        <v>73.039999999999992</v>
      </c>
      <c r="S5091" s="74">
        <v>34546</v>
      </c>
      <c r="T5091" s="77">
        <v>0.375</v>
      </c>
      <c r="V5091">
        <v>78.98</v>
      </c>
      <c r="X5091" s="42"/>
      <c r="AB5091">
        <v>75.8</v>
      </c>
      <c r="AC5091">
        <v>78.080000000000013</v>
      </c>
      <c r="AE5091" s="74"/>
      <c r="AF5091" s="77"/>
      <c r="AH5091" s="497">
        <v>67.64</v>
      </c>
      <c r="AJ5091" s="42"/>
      <c r="AK5091" s="74"/>
      <c r="AL5091" s="77"/>
      <c r="AN5091" s="497">
        <v>59</v>
      </c>
      <c r="AP5091" s="42"/>
      <c r="AQ5091" s="74"/>
      <c r="AR5091" s="77"/>
      <c r="AT5091" s="497">
        <v>70.88</v>
      </c>
      <c r="AV5091" s="42"/>
      <c r="AW5091" s="74"/>
      <c r="AX5091" s="77"/>
      <c r="BA5091" s="497">
        <v>66.02</v>
      </c>
      <c r="BB5091" s="42"/>
      <c r="BC5091" s="74"/>
      <c r="BD5091" s="77"/>
      <c r="BF5091">
        <v>73.039999999999992</v>
      </c>
      <c r="BH5091" s="42"/>
      <c r="BI5091" s="74"/>
      <c r="BJ5091" s="77"/>
      <c r="BL5091" s="497">
        <v>77</v>
      </c>
      <c r="BN5091" s="42"/>
      <c r="BO5091" s="74"/>
      <c r="BP5091" s="77"/>
      <c r="BR5091" s="497">
        <v>60.08</v>
      </c>
      <c r="BT5091" s="42"/>
    </row>
    <row r="5092" spans="1:72" x14ac:dyDescent="0.25">
      <c r="A5092" s="90">
        <v>34546</v>
      </c>
      <c r="B5092" s="20">
        <v>0.41666666666666669</v>
      </c>
      <c r="D5092">
        <v>80.06</v>
      </c>
      <c r="E5092" t="str">
        <f t="shared" si="194"/>
        <v>SUNDAY</v>
      </c>
      <c r="F5092" t="e">
        <f t="shared" si="193"/>
        <v>#N/A</v>
      </c>
      <c r="G5092" s="74">
        <v>31989</v>
      </c>
      <c r="H5092" s="77">
        <v>0.41666666666666669</v>
      </c>
      <c r="J5092">
        <v>75.92</v>
      </c>
      <c r="M5092" s="74">
        <v>33450</v>
      </c>
      <c r="N5092" s="77">
        <v>0.41666666666666669</v>
      </c>
      <c r="P5092">
        <v>73.94</v>
      </c>
      <c r="S5092" s="74">
        <v>34546</v>
      </c>
      <c r="T5092" s="77">
        <v>0.41666666666666669</v>
      </c>
      <c r="V5092">
        <v>78.98</v>
      </c>
      <c r="X5092" s="42"/>
      <c r="AB5092">
        <v>77.7</v>
      </c>
      <c r="AC5092">
        <v>78.98</v>
      </c>
      <c r="AE5092" s="74"/>
      <c r="AF5092" s="77"/>
      <c r="AH5092" s="497">
        <v>67.64</v>
      </c>
      <c r="AJ5092" s="42"/>
      <c r="AK5092" s="74"/>
      <c r="AL5092" s="77"/>
      <c r="AN5092" s="497">
        <v>57.92</v>
      </c>
      <c r="AP5092" s="42"/>
      <c r="AQ5092" s="74"/>
      <c r="AR5092" s="77"/>
      <c r="AT5092" s="497">
        <v>73.94</v>
      </c>
      <c r="AV5092" s="42"/>
      <c r="AW5092" s="74"/>
      <c r="AX5092" s="77"/>
      <c r="BA5092" s="497">
        <v>62.96</v>
      </c>
      <c r="BB5092" s="42"/>
      <c r="BC5092" s="74"/>
      <c r="BD5092" s="77"/>
      <c r="BF5092">
        <v>75.92</v>
      </c>
      <c r="BH5092" s="42"/>
      <c r="BI5092" s="74"/>
      <c r="BJ5092" s="77"/>
      <c r="BL5092" s="497">
        <v>78.98</v>
      </c>
      <c r="BN5092" s="42"/>
      <c r="BO5092" s="74"/>
      <c r="BP5092" s="77"/>
      <c r="BR5092" s="497">
        <v>60.08</v>
      </c>
      <c r="BT5092" s="42"/>
    </row>
    <row r="5093" spans="1:72" x14ac:dyDescent="0.25">
      <c r="A5093" s="90">
        <v>34546</v>
      </c>
      <c r="B5093" s="20">
        <v>0.45833333333333331</v>
      </c>
      <c r="D5093">
        <v>80.960000000000008</v>
      </c>
      <c r="E5093" t="str">
        <f t="shared" si="194"/>
        <v>SUNDAY</v>
      </c>
      <c r="F5093" t="e">
        <f t="shared" si="193"/>
        <v>#N/A</v>
      </c>
      <c r="G5093" s="74">
        <v>31989</v>
      </c>
      <c r="H5093" s="77">
        <v>0.45833333333333331</v>
      </c>
      <c r="J5093">
        <v>77</v>
      </c>
      <c r="M5093" s="74">
        <v>33450</v>
      </c>
      <c r="N5093" s="77">
        <v>0.45833333333333331</v>
      </c>
      <c r="P5093">
        <v>73.94</v>
      </c>
      <c r="S5093" s="74">
        <v>34546</v>
      </c>
      <c r="T5093" s="77">
        <v>0.45833333333333331</v>
      </c>
      <c r="V5093">
        <v>80.960000000000008</v>
      </c>
      <c r="X5093" s="42"/>
      <c r="AB5093">
        <v>79.099999999999994</v>
      </c>
      <c r="AC5093">
        <v>78.080000000000013</v>
      </c>
      <c r="AE5093" s="74"/>
      <c r="AF5093" s="77"/>
      <c r="AH5093" s="497">
        <v>67.460000000000008</v>
      </c>
      <c r="AJ5093" s="42"/>
      <c r="AK5093" s="74"/>
      <c r="AL5093" s="77"/>
      <c r="AN5093" s="497">
        <v>57.92</v>
      </c>
      <c r="AP5093" s="42"/>
      <c r="AQ5093" s="74"/>
      <c r="AR5093" s="77"/>
      <c r="AT5093" s="497">
        <v>76.64</v>
      </c>
      <c r="AV5093" s="42"/>
      <c r="AW5093" s="74"/>
      <c r="AX5093" s="77"/>
      <c r="BA5093" s="497">
        <v>62.96</v>
      </c>
      <c r="BB5093" s="42"/>
      <c r="BC5093" s="74"/>
      <c r="BD5093" s="77"/>
      <c r="BF5093">
        <v>77</v>
      </c>
      <c r="BH5093" s="42"/>
      <c r="BI5093" s="74"/>
      <c r="BJ5093" s="77"/>
      <c r="BL5093" s="497">
        <v>82.039999999999992</v>
      </c>
      <c r="BN5093" s="42"/>
      <c r="BO5093" s="74"/>
      <c r="BP5093" s="77"/>
      <c r="BR5093" s="497">
        <v>60.08</v>
      </c>
      <c r="BT5093" s="42"/>
    </row>
    <row r="5094" spans="1:72" x14ac:dyDescent="0.25">
      <c r="A5094" s="90">
        <v>34546</v>
      </c>
      <c r="B5094" s="20">
        <v>0.5</v>
      </c>
      <c r="D5094">
        <v>82.039999999999992</v>
      </c>
      <c r="E5094" t="str">
        <f t="shared" si="194"/>
        <v>SUNDAY</v>
      </c>
      <c r="F5094" t="e">
        <f t="shared" si="193"/>
        <v>#N/A</v>
      </c>
      <c r="G5094" s="74">
        <v>31989</v>
      </c>
      <c r="H5094" s="77">
        <v>0.5</v>
      </c>
      <c r="J5094">
        <v>80.06</v>
      </c>
      <c r="M5094" s="74">
        <v>33450</v>
      </c>
      <c r="N5094" s="77">
        <v>0.5</v>
      </c>
      <c r="P5094">
        <v>75.92</v>
      </c>
      <c r="S5094" s="74">
        <v>34546</v>
      </c>
      <c r="T5094" s="77">
        <v>0.5</v>
      </c>
      <c r="V5094">
        <v>84.02</v>
      </c>
      <c r="X5094" s="42"/>
      <c r="AB5094">
        <v>80.099999999999994</v>
      </c>
      <c r="AC5094">
        <v>82.039999999999992</v>
      </c>
      <c r="AE5094" s="74"/>
      <c r="AF5094" s="77"/>
      <c r="AH5094" s="497">
        <v>68.539999999999992</v>
      </c>
      <c r="AJ5094" s="42"/>
      <c r="AK5094" s="74"/>
      <c r="AL5094" s="77"/>
      <c r="AN5094" s="497">
        <v>59</v>
      </c>
      <c r="AP5094" s="42"/>
      <c r="AQ5094" s="74"/>
      <c r="AR5094" s="77"/>
      <c r="AT5094" s="497">
        <v>79.34</v>
      </c>
      <c r="AV5094" s="42"/>
      <c r="AW5094" s="74"/>
      <c r="AX5094" s="77"/>
      <c r="BA5094" s="497">
        <v>62.96</v>
      </c>
      <c r="BB5094" s="42"/>
      <c r="BC5094" s="74"/>
      <c r="BD5094" s="77"/>
      <c r="BF5094">
        <v>78.080000000000013</v>
      </c>
      <c r="BH5094" s="42"/>
      <c r="BI5094" s="74"/>
      <c r="BJ5094" s="77"/>
      <c r="BL5094" s="497">
        <v>84.02</v>
      </c>
      <c r="BN5094" s="42"/>
      <c r="BO5094" s="74"/>
      <c r="BP5094" s="77"/>
      <c r="BR5094" s="497">
        <v>60.980000000000004</v>
      </c>
      <c r="BT5094" s="42"/>
    </row>
    <row r="5095" spans="1:72" x14ac:dyDescent="0.25">
      <c r="A5095" s="90">
        <v>34546</v>
      </c>
      <c r="B5095" s="20">
        <v>0.54166666666666663</v>
      </c>
      <c r="D5095">
        <v>84.02</v>
      </c>
      <c r="E5095" t="str">
        <f t="shared" si="194"/>
        <v>SUNDAY</v>
      </c>
      <c r="F5095" t="e">
        <f t="shared" si="193"/>
        <v>#N/A</v>
      </c>
      <c r="G5095" s="74">
        <v>31989</v>
      </c>
      <c r="H5095" s="77">
        <v>0.54166666666666663</v>
      </c>
      <c r="J5095">
        <v>80.960000000000008</v>
      </c>
      <c r="M5095" s="74">
        <v>33450</v>
      </c>
      <c r="N5095" s="77">
        <v>0.54166666666666663</v>
      </c>
      <c r="P5095">
        <v>78.98</v>
      </c>
      <c r="S5095" s="74">
        <v>34546</v>
      </c>
      <c r="T5095" s="77">
        <v>0.54166666666666663</v>
      </c>
      <c r="V5095">
        <v>82.039999999999992</v>
      </c>
      <c r="X5095" s="42"/>
      <c r="AB5095">
        <v>81</v>
      </c>
      <c r="AC5095">
        <v>86</v>
      </c>
      <c r="AE5095" s="74"/>
      <c r="AF5095" s="77"/>
      <c r="AH5095" s="497">
        <v>69.080000000000013</v>
      </c>
      <c r="AJ5095" s="42"/>
      <c r="AK5095" s="74"/>
      <c r="AL5095" s="77"/>
      <c r="AN5095" s="497">
        <v>59</v>
      </c>
      <c r="AP5095" s="42"/>
      <c r="AQ5095" s="74"/>
      <c r="AR5095" s="77"/>
      <c r="AT5095" s="497">
        <v>82.039999999999992</v>
      </c>
      <c r="AV5095" s="42"/>
      <c r="AW5095" s="74"/>
      <c r="AX5095" s="77"/>
      <c r="BA5095" s="497">
        <v>64.039999999999992</v>
      </c>
      <c r="BB5095" s="42"/>
      <c r="BC5095" s="74"/>
      <c r="BD5095" s="77"/>
      <c r="BF5095">
        <v>78.98</v>
      </c>
      <c r="BH5095" s="42"/>
      <c r="BI5095" s="74"/>
      <c r="BJ5095" s="77"/>
      <c r="BL5095" s="497">
        <v>87.080000000000013</v>
      </c>
      <c r="BN5095" s="42"/>
      <c r="BO5095" s="74"/>
      <c r="BP5095" s="77"/>
      <c r="BR5095" s="497">
        <v>62.96</v>
      </c>
      <c r="BT5095" s="42"/>
    </row>
    <row r="5096" spans="1:72" x14ac:dyDescent="0.25">
      <c r="A5096" s="90">
        <v>34546</v>
      </c>
      <c r="B5096" s="20">
        <v>0.58333333333333337</v>
      </c>
      <c r="D5096">
        <v>82.94</v>
      </c>
      <c r="E5096" t="str">
        <f t="shared" si="194"/>
        <v>SUNDAY</v>
      </c>
      <c r="F5096" t="e">
        <f t="shared" si="193"/>
        <v>#N/A</v>
      </c>
      <c r="G5096" s="74">
        <v>31989</v>
      </c>
      <c r="H5096" s="77">
        <v>0.58333333333333337</v>
      </c>
      <c r="J5096">
        <v>82.94</v>
      </c>
      <c r="M5096" s="74">
        <v>33450</v>
      </c>
      <c r="N5096" s="77">
        <v>0.58333333333333337</v>
      </c>
      <c r="P5096">
        <v>80.06</v>
      </c>
      <c r="S5096" s="74">
        <v>34546</v>
      </c>
      <c r="T5096" s="77">
        <v>0.58333333333333337</v>
      </c>
      <c r="V5096">
        <v>80.960000000000008</v>
      </c>
      <c r="X5096" s="42"/>
      <c r="AB5096">
        <v>81.3</v>
      </c>
      <c r="AC5096">
        <v>84.92</v>
      </c>
      <c r="AE5096" s="74"/>
      <c r="AF5096" s="77"/>
      <c r="AH5096" s="497">
        <v>67.099999999999994</v>
      </c>
      <c r="AJ5096" s="42"/>
      <c r="AK5096" s="74"/>
      <c r="AL5096" s="77"/>
      <c r="AN5096" s="497">
        <v>60.08</v>
      </c>
      <c r="AP5096" s="42"/>
      <c r="AQ5096" s="74"/>
      <c r="AR5096" s="77"/>
      <c r="AT5096" s="497">
        <v>83.66</v>
      </c>
      <c r="AV5096" s="42"/>
      <c r="AW5096" s="74"/>
      <c r="AX5096" s="77"/>
      <c r="BA5096" s="497">
        <v>64.039999999999992</v>
      </c>
      <c r="BB5096" s="42"/>
      <c r="BC5096" s="74"/>
      <c r="BD5096" s="77"/>
      <c r="BF5096">
        <v>77</v>
      </c>
      <c r="BH5096" s="42"/>
      <c r="BI5096" s="74"/>
      <c r="BJ5096" s="77"/>
      <c r="BL5096" s="497">
        <v>87.98</v>
      </c>
      <c r="BN5096" s="42"/>
      <c r="BO5096" s="74"/>
      <c r="BP5096" s="77"/>
      <c r="BR5096" s="497">
        <v>64.039999999999992</v>
      </c>
      <c r="BT5096" s="42"/>
    </row>
    <row r="5097" spans="1:72" x14ac:dyDescent="0.25">
      <c r="A5097" s="90">
        <v>34546</v>
      </c>
      <c r="B5097" s="20">
        <v>0.625</v>
      </c>
      <c r="D5097">
        <v>82.94</v>
      </c>
      <c r="E5097" t="str">
        <f t="shared" si="194"/>
        <v>SUNDAY</v>
      </c>
      <c r="F5097" t="e">
        <f t="shared" si="193"/>
        <v>#N/A</v>
      </c>
      <c r="G5097" s="74">
        <v>31989</v>
      </c>
      <c r="H5097" s="77">
        <v>0.625</v>
      </c>
      <c r="J5097">
        <v>84.02</v>
      </c>
      <c r="M5097" s="74">
        <v>33450</v>
      </c>
      <c r="N5097" s="77">
        <v>0.625</v>
      </c>
      <c r="P5097">
        <v>82.039999999999992</v>
      </c>
      <c r="S5097" s="74">
        <v>34546</v>
      </c>
      <c r="T5097" s="77">
        <v>0.625</v>
      </c>
      <c r="V5097">
        <v>80.960000000000008</v>
      </c>
      <c r="X5097" s="42"/>
      <c r="AB5097">
        <v>81.3</v>
      </c>
      <c r="AC5097">
        <v>82.94</v>
      </c>
      <c r="AE5097" s="74"/>
      <c r="AF5097" s="77"/>
      <c r="AH5097" s="497">
        <v>67.099999999999994</v>
      </c>
      <c r="AJ5097" s="42"/>
      <c r="AK5097" s="74"/>
      <c r="AL5097" s="77"/>
      <c r="AN5097" s="497">
        <v>60.08</v>
      </c>
      <c r="AP5097" s="42"/>
      <c r="AQ5097" s="74"/>
      <c r="AR5097" s="77"/>
      <c r="AT5097" s="497">
        <v>85.460000000000008</v>
      </c>
      <c r="AV5097" s="42"/>
      <c r="AW5097" s="74"/>
      <c r="AX5097" s="77"/>
      <c r="BA5097" s="497">
        <v>64.039999999999992</v>
      </c>
      <c r="BB5097" s="42"/>
      <c r="BC5097" s="74"/>
      <c r="BD5097" s="77"/>
      <c r="BF5097">
        <v>78.080000000000013</v>
      </c>
      <c r="BH5097" s="42"/>
      <c r="BI5097" s="74"/>
      <c r="BJ5097" s="77"/>
      <c r="BL5097" s="497">
        <v>87.080000000000013</v>
      </c>
      <c r="BN5097" s="42"/>
      <c r="BO5097" s="74"/>
      <c r="BP5097" s="77"/>
      <c r="BR5097" s="497">
        <v>64.039999999999992</v>
      </c>
      <c r="BT5097" s="42"/>
    </row>
    <row r="5098" spans="1:72" x14ac:dyDescent="0.25">
      <c r="A5098" s="90">
        <v>34546</v>
      </c>
      <c r="B5098" s="20">
        <v>0.66666666666666663</v>
      </c>
      <c r="D5098">
        <v>84.02</v>
      </c>
      <c r="E5098" t="str">
        <f t="shared" si="194"/>
        <v>SUNDAY</v>
      </c>
      <c r="F5098" t="e">
        <f t="shared" si="193"/>
        <v>#N/A</v>
      </c>
      <c r="G5098" s="74">
        <v>31989</v>
      </c>
      <c r="H5098" s="77">
        <v>0.66666666666666663</v>
      </c>
      <c r="J5098">
        <v>80.06</v>
      </c>
      <c r="M5098" s="74">
        <v>33450</v>
      </c>
      <c r="N5098" s="77">
        <v>0.66666666666666663</v>
      </c>
      <c r="P5098">
        <v>80.06</v>
      </c>
      <c r="S5098" s="74">
        <v>34546</v>
      </c>
      <c r="T5098" s="77">
        <v>0.66666666666666663</v>
      </c>
      <c r="V5098">
        <v>80.06</v>
      </c>
      <c r="X5098" s="42"/>
      <c r="AB5098">
        <v>80.7</v>
      </c>
      <c r="AC5098">
        <v>82.039999999999992</v>
      </c>
      <c r="AE5098" s="74"/>
      <c r="AF5098" s="77"/>
      <c r="AH5098" s="497">
        <v>66.92</v>
      </c>
      <c r="AJ5098" s="42"/>
      <c r="AK5098" s="74"/>
      <c r="AL5098" s="77"/>
      <c r="AN5098" s="497">
        <v>60.08</v>
      </c>
      <c r="AP5098" s="42"/>
      <c r="AQ5098" s="74"/>
      <c r="AR5098" s="77"/>
      <c r="AT5098" s="497">
        <v>87.080000000000013</v>
      </c>
      <c r="AV5098" s="42"/>
      <c r="AW5098" s="74"/>
      <c r="AX5098" s="77"/>
      <c r="BA5098" s="497">
        <v>64.039999999999992</v>
      </c>
      <c r="BB5098" s="42"/>
      <c r="BC5098" s="74"/>
      <c r="BD5098" s="77"/>
      <c r="BF5098">
        <v>80.960000000000008</v>
      </c>
      <c r="BH5098" s="42"/>
      <c r="BI5098" s="74"/>
      <c r="BJ5098" s="77"/>
      <c r="BL5098" s="497">
        <v>73.94</v>
      </c>
      <c r="BN5098" s="42"/>
      <c r="BO5098" s="74"/>
      <c r="BP5098" s="77"/>
      <c r="BR5098" s="497">
        <v>64.039999999999992</v>
      </c>
      <c r="BT5098" s="42"/>
    </row>
    <row r="5099" spans="1:72" x14ac:dyDescent="0.25">
      <c r="A5099" s="90">
        <v>34546</v>
      </c>
      <c r="B5099" s="20">
        <v>0.70833333333333337</v>
      </c>
      <c r="D5099">
        <v>82.039999999999992</v>
      </c>
      <c r="E5099" t="str">
        <f t="shared" si="194"/>
        <v>SUNDAY</v>
      </c>
      <c r="F5099" t="e">
        <f t="shared" ref="F5099:F5162" si="195">IF(E5099="WEEKDAY",VLOOKUP(B5099,$DD$19:$DG$42,2),IF(E5099="SATURDAY",VLOOKUP(B5099,$DD$19:$DG$42,3),VLOOKUP(B5099,$DD$19:$DG$42,4)))</f>
        <v>#N/A</v>
      </c>
      <c r="G5099" s="74">
        <v>31989</v>
      </c>
      <c r="H5099" s="77">
        <v>0.70833333333333337</v>
      </c>
      <c r="J5099">
        <v>78.98</v>
      </c>
      <c r="M5099" s="74">
        <v>33450</v>
      </c>
      <c r="N5099" s="77">
        <v>0.70833333333333337</v>
      </c>
      <c r="P5099">
        <v>77</v>
      </c>
      <c r="S5099" s="74">
        <v>34546</v>
      </c>
      <c r="T5099" s="77">
        <v>0.70833333333333337</v>
      </c>
      <c r="V5099">
        <v>77</v>
      </c>
      <c r="X5099" s="42"/>
      <c r="AB5099">
        <v>80</v>
      </c>
      <c r="AC5099">
        <v>80.960000000000008</v>
      </c>
      <c r="AE5099" s="74"/>
      <c r="AF5099" s="77"/>
      <c r="AH5099" s="497">
        <v>65.12</v>
      </c>
      <c r="AJ5099" s="42"/>
      <c r="AK5099" s="74"/>
      <c r="AL5099" s="77"/>
      <c r="AN5099" s="497">
        <v>60.08</v>
      </c>
      <c r="AP5099" s="42"/>
      <c r="AQ5099" s="74"/>
      <c r="AR5099" s="77"/>
      <c r="AT5099" s="497">
        <v>85.460000000000008</v>
      </c>
      <c r="AV5099" s="42"/>
      <c r="AW5099" s="74"/>
      <c r="AX5099" s="77"/>
      <c r="BA5099" s="497">
        <v>64.94</v>
      </c>
      <c r="BB5099" s="42"/>
      <c r="BC5099" s="74"/>
      <c r="BD5099" s="77"/>
      <c r="BF5099">
        <v>80.06</v>
      </c>
      <c r="BH5099" s="42"/>
      <c r="BI5099" s="74"/>
      <c r="BJ5099" s="77"/>
      <c r="BL5099" s="497">
        <v>77</v>
      </c>
      <c r="BN5099" s="42"/>
      <c r="BO5099" s="74"/>
      <c r="BP5099" s="77"/>
      <c r="BR5099" s="497">
        <v>64.94</v>
      </c>
      <c r="BT5099" s="42"/>
    </row>
    <row r="5100" spans="1:72" x14ac:dyDescent="0.25">
      <c r="A5100" s="90">
        <v>34546</v>
      </c>
      <c r="B5100" s="20">
        <v>0.75</v>
      </c>
      <c r="D5100">
        <v>82.039999999999992</v>
      </c>
      <c r="E5100" t="str">
        <f t="shared" si="194"/>
        <v>SUNDAY</v>
      </c>
      <c r="F5100" t="e">
        <f t="shared" si="195"/>
        <v>#N/A</v>
      </c>
      <c r="G5100" s="74">
        <v>31989</v>
      </c>
      <c r="H5100" s="77">
        <v>0.75</v>
      </c>
      <c r="J5100">
        <v>78.080000000000013</v>
      </c>
      <c r="M5100" s="74">
        <v>33450</v>
      </c>
      <c r="N5100" s="77">
        <v>0.75</v>
      </c>
      <c r="P5100">
        <v>77</v>
      </c>
      <c r="S5100" s="74">
        <v>34546</v>
      </c>
      <c r="T5100" s="77">
        <v>0.75</v>
      </c>
      <c r="V5100">
        <v>75.02</v>
      </c>
      <c r="X5100" s="42"/>
      <c r="AB5100">
        <v>79</v>
      </c>
      <c r="AC5100">
        <v>78.98</v>
      </c>
      <c r="AE5100" s="74"/>
      <c r="AF5100" s="77"/>
      <c r="AH5100" s="497">
        <v>64.94</v>
      </c>
      <c r="AJ5100" s="42"/>
      <c r="AK5100" s="74"/>
      <c r="AL5100" s="77"/>
      <c r="AN5100" s="497">
        <v>60.08</v>
      </c>
      <c r="AP5100" s="42"/>
      <c r="AQ5100" s="74"/>
      <c r="AR5100" s="77"/>
      <c r="AT5100" s="497">
        <v>83.66</v>
      </c>
      <c r="AV5100" s="42"/>
      <c r="AW5100" s="74"/>
      <c r="AX5100" s="77"/>
      <c r="BA5100" s="497">
        <v>64.94</v>
      </c>
      <c r="BB5100" s="42"/>
      <c r="BC5100" s="74"/>
      <c r="BD5100" s="77"/>
      <c r="BF5100">
        <v>80.06</v>
      </c>
      <c r="BH5100" s="42"/>
      <c r="BI5100" s="74"/>
      <c r="BJ5100" s="77"/>
      <c r="BL5100" s="497">
        <v>75.02</v>
      </c>
      <c r="BN5100" s="42"/>
      <c r="BO5100" s="74"/>
      <c r="BP5100" s="77"/>
      <c r="BR5100" s="497">
        <v>64.94</v>
      </c>
      <c r="BT5100" s="42"/>
    </row>
    <row r="5101" spans="1:72" x14ac:dyDescent="0.25">
      <c r="A5101" s="90">
        <v>34546</v>
      </c>
      <c r="B5101" s="20">
        <v>0.79166666666666663</v>
      </c>
      <c r="D5101">
        <v>80.960000000000008</v>
      </c>
      <c r="E5101" t="str">
        <f t="shared" si="194"/>
        <v>SUNDAY</v>
      </c>
      <c r="F5101" t="e">
        <f t="shared" si="195"/>
        <v>#N/A</v>
      </c>
      <c r="G5101" s="74">
        <v>31989</v>
      </c>
      <c r="H5101" s="77">
        <v>0.79166666666666663</v>
      </c>
      <c r="J5101">
        <v>75.92</v>
      </c>
      <c r="M5101" s="74">
        <v>33450</v>
      </c>
      <c r="N5101" s="77">
        <v>0.79166666666666663</v>
      </c>
      <c r="P5101">
        <v>73.94</v>
      </c>
      <c r="S5101" s="74">
        <v>34546</v>
      </c>
      <c r="T5101" s="77">
        <v>0.79166666666666663</v>
      </c>
      <c r="V5101">
        <v>75.92</v>
      </c>
      <c r="X5101" s="42"/>
      <c r="AB5101">
        <v>77.7</v>
      </c>
      <c r="AC5101">
        <v>78.080000000000013</v>
      </c>
      <c r="AE5101" s="74"/>
      <c r="AF5101" s="77"/>
      <c r="AH5101" s="497">
        <v>64.759999999999991</v>
      </c>
      <c r="AJ5101" s="42"/>
      <c r="AK5101" s="74"/>
      <c r="AL5101" s="77"/>
      <c r="AN5101" s="497">
        <v>60.08</v>
      </c>
      <c r="AP5101" s="42"/>
      <c r="AQ5101" s="74"/>
      <c r="AR5101" s="77"/>
      <c r="AT5101" s="497">
        <v>82.039999999999992</v>
      </c>
      <c r="AV5101" s="42"/>
      <c r="AW5101" s="74"/>
      <c r="AX5101" s="77"/>
      <c r="BA5101" s="497">
        <v>64.039999999999992</v>
      </c>
      <c r="BB5101" s="42"/>
      <c r="BC5101" s="74"/>
      <c r="BD5101" s="77"/>
      <c r="BF5101">
        <v>78.98</v>
      </c>
      <c r="BH5101" s="42"/>
      <c r="BI5101" s="74"/>
      <c r="BJ5101" s="77"/>
      <c r="BL5101" s="497">
        <v>73.94</v>
      </c>
      <c r="BN5101" s="42"/>
      <c r="BO5101" s="74"/>
      <c r="BP5101" s="77"/>
      <c r="BR5101" s="497">
        <v>64.94</v>
      </c>
      <c r="BT5101" s="42"/>
    </row>
    <row r="5102" spans="1:72" x14ac:dyDescent="0.25">
      <c r="A5102" s="90">
        <v>34546</v>
      </c>
      <c r="B5102" s="20">
        <v>0.83333333333333337</v>
      </c>
      <c r="D5102">
        <v>80.06</v>
      </c>
      <c r="E5102" t="str">
        <f t="shared" si="194"/>
        <v>SUNDAY</v>
      </c>
      <c r="F5102" t="e">
        <f t="shared" si="195"/>
        <v>#N/A</v>
      </c>
      <c r="G5102" s="74">
        <v>31989</v>
      </c>
      <c r="H5102" s="77">
        <v>0.83333333333333337</v>
      </c>
      <c r="J5102">
        <v>75.02</v>
      </c>
      <c r="M5102" s="74">
        <v>33450</v>
      </c>
      <c r="N5102" s="77">
        <v>0.83333333333333337</v>
      </c>
      <c r="P5102">
        <v>71.960000000000008</v>
      </c>
      <c r="S5102" s="74">
        <v>34546</v>
      </c>
      <c r="T5102" s="77">
        <v>0.83333333333333337</v>
      </c>
      <c r="V5102">
        <v>75.92</v>
      </c>
      <c r="X5102" s="42"/>
      <c r="AB5102">
        <v>76.3</v>
      </c>
      <c r="AC5102">
        <v>75.92</v>
      </c>
      <c r="AE5102" s="74"/>
      <c r="AF5102" s="77"/>
      <c r="AH5102" s="497">
        <v>61.16</v>
      </c>
      <c r="AJ5102" s="42"/>
      <c r="AK5102" s="74"/>
      <c r="AL5102" s="77"/>
      <c r="AN5102" s="497">
        <v>60.08</v>
      </c>
      <c r="AP5102" s="42"/>
      <c r="AQ5102" s="74"/>
      <c r="AR5102" s="77"/>
      <c r="AT5102" s="497">
        <v>80.06</v>
      </c>
      <c r="AV5102" s="42"/>
      <c r="AW5102" s="74"/>
      <c r="AX5102" s="77"/>
      <c r="BA5102" s="497">
        <v>64.039999999999992</v>
      </c>
      <c r="BB5102" s="42"/>
      <c r="BC5102" s="74"/>
      <c r="BD5102" s="77"/>
      <c r="BF5102">
        <v>77</v>
      </c>
      <c r="BH5102" s="42"/>
      <c r="BI5102" s="74"/>
      <c r="BJ5102" s="77"/>
      <c r="BL5102" s="497">
        <v>73.039999999999992</v>
      </c>
      <c r="BN5102" s="42"/>
      <c r="BO5102" s="74"/>
      <c r="BP5102" s="77"/>
      <c r="BR5102" s="497">
        <v>64.039999999999992</v>
      </c>
      <c r="BT5102" s="42"/>
    </row>
    <row r="5103" spans="1:72" x14ac:dyDescent="0.25">
      <c r="A5103" s="90">
        <v>34546</v>
      </c>
      <c r="B5103" s="20">
        <v>0.875</v>
      </c>
      <c r="D5103">
        <v>80.06</v>
      </c>
      <c r="E5103" t="str">
        <f t="shared" si="194"/>
        <v>SUNDAY</v>
      </c>
      <c r="F5103" t="e">
        <f t="shared" si="195"/>
        <v>#N/A</v>
      </c>
      <c r="G5103" s="74">
        <v>31989</v>
      </c>
      <c r="H5103" s="77">
        <v>0.875</v>
      </c>
      <c r="J5103">
        <v>73.039999999999992</v>
      </c>
      <c r="M5103" s="74">
        <v>33450</v>
      </c>
      <c r="N5103" s="77">
        <v>0.875</v>
      </c>
      <c r="P5103">
        <v>71.06</v>
      </c>
      <c r="S5103" s="74">
        <v>34546</v>
      </c>
      <c r="T5103" s="77">
        <v>0.875</v>
      </c>
      <c r="V5103">
        <v>75.02</v>
      </c>
      <c r="X5103" s="42"/>
      <c r="AB5103">
        <v>75.400000000000006</v>
      </c>
      <c r="AC5103">
        <v>75.92</v>
      </c>
      <c r="AE5103" s="74"/>
      <c r="AF5103" s="77"/>
      <c r="AH5103" s="497">
        <v>60.980000000000004</v>
      </c>
      <c r="AJ5103" s="42"/>
      <c r="AK5103" s="74"/>
      <c r="AL5103" s="77"/>
      <c r="AN5103" s="497">
        <v>60.08</v>
      </c>
      <c r="AP5103" s="42"/>
      <c r="AQ5103" s="74"/>
      <c r="AR5103" s="77"/>
      <c r="AT5103" s="497">
        <v>77.900000000000006</v>
      </c>
      <c r="AV5103" s="42"/>
      <c r="AW5103" s="74"/>
      <c r="AX5103" s="77"/>
      <c r="BA5103" s="497">
        <v>60.980000000000004</v>
      </c>
      <c r="BB5103" s="42"/>
      <c r="BC5103" s="74"/>
      <c r="BD5103" s="77"/>
      <c r="BF5103">
        <v>75.02</v>
      </c>
      <c r="BH5103" s="42"/>
      <c r="BI5103" s="74"/>
      <c r="BJ5103" s="77"/>
      <c r="BL5103" s="497">
        <v>73.039999999999992</v>
      </c>
      <c r="BN5103" s="42"/>
      <c r="BO5103" s="74"/>
      <c r="BP5103" s="77"/>
      <c r="BR5103" s="497">
        <v>62.06</v>
      </c>
      <c r="BT5103" s="42"/>
    </row>
    <row r="5104" spans="1:72" x14ac:dyDescent="0.25">
      <c r="A5104" s="90">
        <v>34546</v>
      </c>
      <c r="B5104" s="20">
        <v>0.91666666666666663</v>
      </c>
      <c r="D5104">
        <v>78.259999999999991</v>
      </c>
      <c r="E5104" t="str">
        <f t="shared" si="194"/>
        <v>SUNDAY</v>
      </c>
      <c r="F5104" t="e">
        <f t="shared" si="195"/>
        <v>#N/A</v>
      </c>
      <c r="G5104" s="74">
        <v>31989</v>
      </c>
      <c r="H5104" s="77">
        <v>0.91666666666666663</v>
      </c>
      <c r="J5104">
        <v>72.5</v>
      </c>
      <c r="M5104" s="74">
        <v>33450</v>
      </c>
      <c r="N5104" s="77">
        <v>0.91666666666666663</v>
      </c>
      <c r="P5104">
        <v>70.7</v>
      </c>
      <c r="S5104" s="74">
        <v>34546</v>
      </c>
      <c r="T5104" s="77">
        <v>0.91666666666666663</v>
      </c>
      <c r="V5104">
        <v>75.02</v>
      </c>
      <c r="X5104" s="42"/>
      <c r="AB5104">
        <v>74.8</v>
      </c>
      <c r="AC5104">
        <v>75.740000000000009</v>
      </c>
      <c r="AE5104" s="74"/>
      <c r="AF5104" s="77"/>
      <c r="AH5104" s="497">
        <v>61.519999999999996</v>
      </c>
      <c r="AJ5104" s="42"/>
      <c r="AK5104" s="74"/>
      <c r="AL5104" s="77"/>
      <c r="AN5104" s="497">
        <v>59.36</v>
      </c>
      <c r="AP5104" s="42"/>
      <c r="AQ5104" s="74"/>
      <c r="AR5104" s="77"/>
      <c r="AT5104" s="497">
        <v>75.02</v>
      </c>
      <c r="AV5104" s="42"/>
      <c r="AW5104" s="74"/>
      <c r="AX5104" s="77"/>
      <c r="BA5104" s="497">
        <v>62.06</v>
      </c>
      <c r="BB5104" s="42"/>
      <c r="BC5104" s="74"/>
      <c r="BD5104" s="77"/>
      <c r="BF5104">
        <v>72.14</v>
      </c>
      <c r="BH5104" s="42"/>
      <c r="BI5104" s="74"/>
      <c r="BJ5104" s="77"/>
      <c r="BL5104" s="497">
        <v>70.7</v>
      </c>
      <c r="BN5104" s="42"/>
      <c r="BO5104" s="74"/>
      <c r="BP5104" s="77"/>
      <c r="BR5104" s="497">
        <v>61.7</v>
      </c>
      <c r="BT5104" s="42"/>
    </row>
    <row r="5105" spans="1:72" x14ac:dyDescent="0.25">
      <c r="A5105" s="90">
        <v>34546</v>
      </c>
      <c r="B5105" s="20">
        <v>0.95833333333333337</v>
      </c>
      <c r="D5105">
        <v>76.28</v>
      </c>
      <c r="E5105" t="str">
        <f t="shared" si="194"/>
        <v>SUNDAY</v>
      </c>
      <c r="F5105" t="e">
        <f t="shared" si="195"/>
        <v>#N/A</v>
      </c>
      <c r="G5105" s="74">
        <v>31989</v>
      </c>
      <c r="H5105" s="77">
        <v>0.95833333333333337</v>
      </c>
      <c r="J5105">
        <v>71.960000000000008</v>
      </c>
      <c r="M5105" s="74">
        <v>33450</v>
      </c>
      <c r="N5105" s="77">
        <v>0.95833333333333337</v>
      </c>
      <c r="P5105">
        <v>70.52</v>
      </c>
      <c r="S5105" s="74">
        <v>34546</v>
      </c>
      <c r="T5105" s="77">
        <v>0.95833333333333337</v>
      </c>
      <c r="V5105">
        <v>75.02</v>
      </c>
      <c r="X5105" s="42"/>
      <c r="AB5105">
        <v>74.3</v>
      </c>
      <c r="AC5105">
        <v>75.740000000000009</v>
      </c>
      <c r="AE5105" s="74"/>
      <c r="AF5105" s="77"/>
      <c r="AH5105" s="497">
        <v>62.06</v>
      </c>
      <c r="AJ5105" s="42"/>
      <c r="AK5105" s="74"/>
      <c r="AL5105" s="77"/>
      <c r="AN5105" s="497">
        <v>58.64</v>
      </c>
      <c r="AP5105" s="42"/>
      <c r="AQ5105" s="74"/>
      <c r="AR5105" s="77"/>
      <c r="AT5105" s="497">
        <v>72.14</v>
      </c>
      <c r="AV5105" s="42"/>
      <c r="AW5105" s="74"/>
      <c r="AX5105" s="77"/>
      <c r="BA5105" s="497">
        <v>62.96</v>
      </c>
      <c r="BB5105" s="42"/>
      <c r="BC5105" s="74"/>
      <c r="BD5105" s="77"/>
      <c r="BF5105">
        <v>69.259999999999991</v>
      </c>
      <c r="BH5105" s="42"/>
      <c r="BI5105" s="74"/>
      <c r="BJ5105" s="77"/>
      <c r="BL5105" s="497">
        <v>68.539999999999992</v>
      </c>
      <c r="BN5105" s="42"/>
      <c r="BO5105" s="74"/>
      <c r="BP5105" s="77"/>
      <c r="BR5105" s="497">
        <v>61.519999999999996</v>
      </c>
      <c r="BT5105" s="42"/>
    </row>
    <row r="5106" spans="1:72" x14ac:dyDescent="0.25">
      <c r="A5106" s="90">
        <v>34546</v>
      </c>
      <c r="B5106" s="20">
        <v>1</v>
      </c>
      <c r="D5106">
        <v>74.48</v>
      </c>
      <c r="E5106" t="str">
        <f t="shared" si="194"/>
        <v>SUNDAY</v>
      </c>
      <c r="F5106" t="e">
        <f t="shared" si="195"/>
        <v>#N/A</v>
      </c>
      <c r="G5106" s="74">
        <v>31989</v>
      </c>
      <c r="H5106" s="77">
        <v>1</v>
      </c>
      <c r="J5106">
        <v>71.42</v>
      </c>
      <c r="M5106" s="74">
        <v>33450</v>
      </c>
      <c r="N5106" s="80">
        <v>1</v>
      </c>
      <c r="P5106">
        <v>70.16</v>
      </c>
      <c r="S5106" s="74">
        <v>34546</v>
      </c>
      <c r="T5106" s="80">
        <v>1</v>
      </c>
      <c r="V5106">
        <v>75.02</v>
      </c>
      <c r="X5106" s="42"/>
      <c r="AB5106">
        <v>73.8</v>
      </c>
      <c r="AC5106">
        <v>75.56</v>
      </c>
      <c r="AE5106" s="74"/>
      <c r="AF5106" s="80"/>
      <c r="AH5106" s="497">
        <v>62.6</v>
      </c>
      <c r="AJ5106" s="42"/>
      <c r="AK5106" s="74"/>
      <c r="AL5106" s="80"/>
      <c r="AN5106" s="497">
        <v>57.92</v>
      </c>
      <c r="AP5106" s="42"/>
      <c r="AQ5106" s="74"/>
      <c r="AR5106" s="80"/>
      <c r="AT5106" s="497">
        <v>69.259999999999991</v>
      </c>
      <c r="AV5106" s="42"/>
      <c r="AW5106" s="74"/>
      <c r="AX5106" s="80"/>
      <c r="BA5106" s="497">
        <v>64.039999999999992</v>
      </c>
      <c r="BB5106" s="42"/>
      <c r="BC5106" s="74"/>
      <c r="BD5106" s="80"/>
      <c r="BF5106">
        <v>66.38</v>
      </c>
      <c r="BH5106" s="42"/>
      <c r="BI5106" s="74"/>
      <c r="BJ5106" s="80"/>
      <c r="BL5106" s="497">
        <v>66.2</v>
      </c>
      <c r="BN5106" s="42"/>
      <c r="BO5106" s="74"/>
      <c r="BP5106" s="80"/>
      <c r="BR5106" s="497">
        <v>61.16</v>
      </c>
      <c r="BT5106" s="42"/>
    </row>
    <row r="5107" spans="1:72" x14ac:dyDescent="0.25">
      <c r="A5107" s="90">
        <v>34912</v>
      </c>
      <c r="B5107" s="20">
        <v>4.1666666666666664E-2</v>
      </c>
      <c r="D5107">
        <v>72.5</v>
      </c>
      <c r="E5107" t="str">
        <f t="shared" si="194"/>
        <v>WEEKDAY</v>
      </c>
      <c r="F5107" t="e">
        <f t="shared" si="195"/>
        <v>#N/A</v>
      </c>
      <c r="G5107" s="74">
        <v>31990</v>
      </c>
      <c r="H5107" s="77">
        <v>4.1666666666666664E-2</v>
      </c>
      <c r="J5107">
        <v>70.7</v>
      </c>
      <c r="M5107" s="74">
        <v>34547</v>
      </c>
      <c r="N5107" s="77">
        <v>4.1666666666666664E-2</v>
      </c>
      <c r="P5107">
        <v>69.800000000000011</v>
      </c>
      <c r="S5107" s="74">
        <v>34912</v>
      </c>
      <c r="T5107" s="77">
        <v>4.1666666666666664E-2</v>
      </c>
      <c r="V5107">
        <v>75.02</v>
      </c>
      <c r="X5107" s="42"/>
      <c r="AB5107">
        <v>73.2</v>
      </c>
      <c r="AC5107">
        <v>75.38</v>
      </c>
      <c r="AE5107" s="74"/>
      <c r="AF5107" s="77"/>
      <c r="AH5107" s="497">
        <v>63.319999999999993</v>
      </c>
      <c r="AJ5107" s="42"/>
      <c r="AK5107" s="74"/>
      <c r="AL5107" s="77"/>
      <c r="AN5107" s="497">
        <v>57.2</v>
      </c>
      <c r="AP5107" s="42"/>
      <c r="AQ5107" s="74"/>
      <c r="AR5107" s="77"/>
      <c r="AT5107" s="497">
        <v>66.56</v>
      </c>
      <c r="AV5107" s="42"/>
      <c r="AW5107" s="74"/>
      <c r="AX5107" s="77"/>
      <c r="BA5107" s="497">
        <v>64.94</v>
      </c>
      <c r="BB5107" s="42"/>
      <c r="BC5107" s="74"/>
      <c r="BD5107" s="77"/>
      <c r="BF5107">
        <v>63.680000000000007</v>
      </c>
      <c r="BH5107" s="42"/>
      <c r="BI5107" s="74"/>
      <c r="BJ5107" s="77"/>
      <c r="BL5107" s="497">
        <v>63.86</v>
      </c>
      <c r="BN5107" s="42"/>
      <c r="BO5107" s="74"/>
      <c r="BP5107" s="77"/>
      <c r="BR5107" s="497">
        <v>60.980000000000004</v>
      </c>
      <c r="BT5107" s="42"/>
    </row>
    <row r="5108" spans="1:72" x14ac:dyDescent="0.25">
      <c r="A5108" s="90">
        <v>34912</v>
      </c>
      <c r="B5108" s="20">
        <v>8.3333333333333329E-2</v>
      </c>
      <c r="D5108">
        <v>70.7</v>
      </c>
      <c r="E5108" t="str">
        <f t="shared" si="194"/>
        <v>WEEKDAY</v>
      </c>
      <c r="F5108" t="e">
        <f t="shared" si="195"/>
        <v>#N/A</v>
      </c>
      <c r="G5108" s="74">
        <v>31990</v>
      </c>
      <c r="H5108" s="77">
        <v>8.3333333333333329E-2</v>
      </c>
      <c r="J5108">
        <v>70.16</v>
      </c>
      <c r="M5108" s="74">
        <v>34547</v>
      </c>
      <c r="N5108" s="77">
        <v>8.3333333333333329E-2</v>
      </c>
      <c r="P5108">
        <v>69.44</v>
      </c>
      <c r="S5108" s="74">
        <v>34912</v>
      </c>
      <c r="T5108" s="77">
        <v>8.3333333333333329E-2</v>
      </c>
      <c r="V5108">
        <v>75.02</v>
      </c>
      <c r="X5108" s="42"/>
      <c r="AB5108">
        <v>72.599999999999994</v>
      </c>
      <c r="AC5108">
        <v>75.2</v>
      </c>
      <c r="AE5108" s="74"/>
      <c r="AF5108" s="77"/>
      <c r="AH5108" s="497">
        <v>63.86</v>
      </c>
      <c r="AJ5108" s="42"/>
      <c r="AK5108" s="74"/>
      <c r="AL5108" s="77"/>
      <c r="AN5108" s="497">
        <v>56.480000000000004</v>
      </c>
      <c r="AP5108" s="42"/>
      <c r="AQ5108" s="74"/>
      <c r="AR5108" s="77"/>
      <c r="AT5108" s="497">
        <v>63.680000000000007</v>
      </c>
      <c r="AV5108" s="42"/>
      <c r="AW5108" s="74"/>
      <c r="AX5108" s="77"/>
      <c r="BA5108" s="497">
        <v>66.02</v>
      </c>
      <c r="BB5108" s="42"/>
      <c r="BC5108" s="74"/>
      <c r="BD5108" s="77"/>
      <c r="BF5108">
        <v>60.8</v>
      </c>
      <c r="BH5108" s="42"/>
      <c r="BI5108" s="74"/>
      <c r="BJ5108" s="77"/>
      <c r="BL5108" s="497">
        <v>61.519999999999996</v>
      </c>
      <c r="BN5108" s="42"/>
      <c r="BO5108" s="74"/>
      <c r="BP5108" s="77"/>
      <c r="BR5108" s="497">
        <v>60.620000000000005</v>
      </c>
      <c r="BT5108" s="42"/>
    </row>
    <row r="5109" spans="1:72" x14ac:dyDescent="0.25">
      <c r="A5109" s="90">
        <v>34912</v>
      </c>
      <c r="B5109" s="20">
        <v>0.125</v>
      </c>
      <c r="D5109">
        <v>68.72</v>
      </c>
      <c r="E5109" t="str">
        <f t="shared" si="194"/>
        <v>WEEKDAY</v>
      </c>
      <c r="F5109" t="e">
        <f t="shared" si="195"/>
        <v>#N/A</v>
      </c>
      <c r="G5109" s="74">
        <v>31990</v>
      </c>
      <c r="H5109" s="77">
        <v>0.125</v>
      </c>
      <c r="J5109">
        <v>69.62</v>
      </c>
      <c r="M5109" s="74">
        <v>34547</v>
      </c>
      <c r="N5109" s="77">
        <v>0.125</v>
      </c>
      <c r="P5109">
        <v>69.259999999999991</v>
      </c>
      <c r="S5109" s="74">
        <v>34912</v>
      </c>
      <c r="T5109" s="77">
        <v>0.125</v>
      </c>
      <c r="V5109">
        <v>75.02</v>
      </c>
      <c r="X5109" s="42"/>
      <c r="AB5109">
        <v>72.099999999999994</v>
      </c>
      <c r="AC5109">
        <v>75.2</v>
      </c>
      <c r="AE5109" s="74"/>
      <c r="AF5109" s="77"/>
      <c r="AH5109" s="497">
        <v>64.400000000000006</v>
      </c>
      <c r="AJ5109" s="42"/>
      <c r="AK5109" s="74"/>
      <c r="AL5109" s="77"/>
      <c r="AN5109" s="497">
        <v>55.76</v>
      </c>
      <c r="AP5109" s="42"/>
      <c r="AQ5109" s="74"/>
      <c r="AR5109" s="77"/>
      <c r="AT5109" s="497">
        <v>60.8</v>
      </c>
      <c r="AV5109" s="42"/>
      <c r="AW5109" s="74"/>
      <c r="AX5109" s="77"/>
      <c r="BA5109" s="497">
        <v>66.92</v>
      </c>
      <c r="BB5109" s="42"/>
      <c r="BC5109" s="74"/>
      <c r="BD5109" s="77"/>
      <c r="BF5109">
        <v>57.92</v>
      </c>
      <c r="BH5109" s="42"/>
      <c r="BI5109" s="74"/>
      <c r="BJ5109" s="77"/>
      <c r="BL5109" s="497">
        <v>59.36</v>
      </c>
      <c r="BN5109" s="42"/>
      <c r="BO5109" s="74"/>
      <c r="BP5109" s="77"/>
      <c r="BR5109" s="497">
        <v>60.44</v>
      </c>
      <c r="BT5109" s="42"/>
    </row>
    <row r="5110" spans="1:72" x14ac:dyDescent="0.25">
      <c r="A5110" s="90">
        <v>34912</v>
      </c>
      <c r="B5110" s="20">
        <v>0.16666666666666666</v>
      </c>
      <c r="D5110">
        <v>66.92</v>
      </c>
      <c r="E5110" t="str">
        <f t="shared" si="194"/>
        <v>WEEKDAY</v>
      </c>
      <c r="F5110" t="e">
        <f t="shared" si="195"/>
        <v>#N/A</v>
      </c>
      <c r="G5110" s="74">
        <v>31990</v>
      </c>
      <c r="H5110" s="77">
        <v>0.16666666666666666</v>
      </c>
      <c r="J5110">
        <v>69.080000000000013</v>
      </c>
      <c r="M5110" s="74">
        <v>34547</v>
      </c>
      <c r="N5110" s="77">
        <v>0.16666666666666666</v>
      </c>
      <c r="P5110">
        <v>68.900000000000006</v>
      </c>
      <c r="S5110" s="74">
        <v>34912</v>
      </c>
      <c r="T5110" s="77">
        <v>0.16666666666666666</v>
      </c>
      <c r="V5110">
        <v>75.02</v>
      </c>
      <c r="X5110" s="42"/>
      <c r="AB5110">
        <v>71.599999999999994</v>
      </c>
      <c r="AC5110">
        <v>75.02</v>
      </c>
      <c r="AE5110" s="74"/>
      <c r="AF5110" s="77"/>
      <c r="AH5110" s="497">
        <v>64.94</v>
      </c>
      <c r="AJ5110" s="42"/>
      <c r="AK5110" s="74"/>
      <c r="AL5110" s="77"/>
      <c r="AN5110" s="497">
        <v>55.040000000000006</v>
      </c>
      <c r="AP5110" s="42"/>
      <c r="AQ5110" s="74"/>
      <c r="AR5110" s="77"/>
      <c r="AT5110" s="497">
        <v>57.92</v>
      </c>
      <c r="AV5110" s="42"/>
      <c r="AW5110" s="74"/>
      <c r="AX5110" s="77"/>
      <c r="BA5110" s="497">
        <v>68</v>
      </c>
      <c r="BB5110" s="42"/>
      <c r="BC5110" s="74"/>
      <c r="BD5110" s="77"/>
      <c r="BF5110">
        <v>55.040000000000006</v>
      </c>
      <c r="BH5110" s="42"/>
      <c r="BI5110" s="74"/>
      <c r="BJ5110" s="77"/>
      <c r="BL5110" s="497">
        <v>57.019999999999996</v>
      </c>
      <c r="BN5110" s="42"/>
      <c r="BO5110" s="74"/>
      <c r="BP5110" s="77"/>
      <c r="BR5110" s="497">
        <v>60.08</v>
      </c>
      <c r="BT5110" s="42"/>
    </row>
    <row r="5111" spans="1:72" x14ac:dyDescent="0.25">
      <c r="A5111" s="90">
        <v>34912</v>
      </c>
      <c r="B5111" s="20">
        <v>0.20833333333333334</v>
      </c>
      <c r="D5111">
        <v>66.02</v>
      </c>
      <c r="E5111" t="str">
        <f t="shared" si="194"/>
        <v>WEEKDAY</v>
      </c>
      <c r="F5111" t="e">
        <f t="shared" si="195"/>
        <v>#N/A</v>
      </c>
      <c r="G5111" s="74">
        <v>31990</v>
      </c>
      <c r="H5111" s="77">
        <v>0.20833333333333334</v>
      </c>
      <c r="J5111">
        <v>66.02</v>
      </c>
      <c r="M5111" s="74">
        <v>34547</v>
      </c>
      <c r="N5111" s="77">
        <v>0.20833333333333334</v>
      </c>
      <c r="P5111">
        <v>68.900000000000006</v>
      </c>
      <c r="S5111" s="74">
        <v>34912</v>
      </c>
      <c r="T5111" s="77">
        <v>0.20833333333333334</v>
      </c>
      <c r="V5111">
        <v>75.02</v>
      </c>
      <c r="X5111" s="42"/>
      <c r="AB5111">
        <v>71.099999999999994</v>
      </c>
      <c r="AC5111">
        <v>73.94</v>
      </c>
      <c r="AE5111" s="74"/>
      <c r="AF5111" s="77"/>
      <c r="AH5111" s="497">
        <v>64.94</v>
      </c>
      <c r="AJ5111" s="42"/>
      <c r="AK5111" s="74"/>
      <c r="AL5111" s="77"/>
      <c r="AN5111" s="497">
        <v>53.96</v>
      </c>
      <c r="AP5111" s="42"/>
      <c r="AQ5111" s="74"/>
      <c r="AR5111" s="77"/>
      <c r="AT5111" s="497">
        <v>57.019999999999996</v>
      </c>
      <c r="AV5111" s="42"/>
      <c r="AW5111" s="74"/>
      <c r="AX5111" s="77"/>
      <c r="BA5111" s="497">
        <v>68</v>
      </c>
      <c r="BB5111" s="42"/>
      <c r="BC5111" s="74"/>
      <c r="BD5111" s="77"/>
      <c r="BF5111">
        <v>51.980000000000004</v>
      </c>
      <c r="BH5111" s="42"/>
      <c r="BI5111" s="74"/>
      <c r="BJ5111" s="77"/>
      <c r="BL5111" s="497">
        <v>55.040000000000006</v>
      </c>
      <c r="BN5111" s="42"/>
      <c r="BO5111" s="74"/>
      <c r="BP5111" s="77"/>
      <c r="BR5111" s="497">
        <v>60.980000000000004</v>
      </c>
      <c r="BT5111" s="42"/>
    </row>
    <row r="5112" spans="1:72" x14ac:dyDescent="0.25">
      <c r="A5112" s="90">
        <v>34912</v>
      </c>
      <c r="B5112" s="20">
        <v>0.25</v>
      </c>
      <c r="D5112">
        <v>66.92</v>
      </c>
      <c r="E5112" t="str">
        <f t="shared" si="194"/>
        <v>WEEKDAY</v>
      </c>
      <c r="F5112" t="e">
        <f t="shared" si="195"/>
        <v>#N/A</v>
      </c>
      <c r="G5112" s="74">
        <v>31990</v>
      </c>
      <c r="H5112" s="77">
        <v>0.25</v>
      </c>
      <c r="J5112">
        <v>66.02</v>
      </c>
      <c r="M5112" s="74">
        <v>34547</v>
      </c>
      <c r="N5112" s="77">
        <v>0.25</v>
      </c>
      <c r="P5112">
        <v>68.900000000000006</v>
      </c>
      <c r="S5112" s="74">
        <v>34912</v>
      </c>
      <c r="T5112" s="77">
        <v>0.25</v>
      </c>
      <c r="V5112">
        <v>75.02</v>
      </c>
      <c r="X5112" s="42"/>
      <c r="AB5112">
        <v>70.8</v>
      </c>
      <c r="AC5112">
        <v>75.92</v>
      </c>
      <c r="AE5112" s="74"/>
      <c r="AF5112" s="77"/>
      <c r="AH5112" s="497">
        <v>65.84</v>
      </c>
      <c r="AJ5112" s="42"/>
      <c r="AK5112" s="74"/>
      <c r="AL5112" s="77"/>
      <c r="AN5112" s="497">
        <v>53.96</v>
      </c>
      <c r="AP5112" s="42"/>
      <c r="AQ5112" s="74"/>
      <c r="AR5112" s="77"/>
      <c r="AT5112" s="497">
        <v>57.92</v>
      </c>
      <c r="AV5112" s="42"/>
      <c r="AW5112" s="74"/>
      <c r="AX5112" s="77"/>
      <c r="BA5112" s="497">
        <v>66.92</v>
      </c>
      <c r="BB5112" s="42"/>
      <c r="BC5112" s="74"/>
      <c r="BD5112" s="77"/>
      <c r="BF5112">
        <v>51.980000000000004</v>
      </c>
      <c r="BH5112" s="42"/>
      <c r="BI5112" s="74"/>
      <c r="BJ5112" s="77"/>
      <c r="BL5112" s="497">
        <v>57.019999999999996</v>
      </c>
      <c r="BN5112" s="42"/>
      <c r="BO5112" s="74"/>
      <c r="BP5112" s="77"/>
      <c r="BR5112" s="497">
        <v>62.06</v>
      </c>
      <c r="BT5112" s="42"/>
    </row>
    <row r="5113" spans="1:72" x14ac:dyDescent="0.25">
      <c r="A5113" s="90">
        <v>34912</v>
      </c>
      <c r="B5113" s="20">
        <v>0.29166666666666669</v>
      </c>
      <c r="D5113">
        <v>68</v>
      </c>
      <c r="E5113" t="str">
        <f t="shared" si="194"/>
        <v>WEEKDAY</v>
      </c>
      <c r="F5113" t="e">
        <f t="shared" si="195"/>
        <v>#N/A</v>
      </c>
      <c r="G5113" s="74">
        <v>31990</v>
      </c>
      <c r="H5113" s="77">
        <v>0.29166666666666669</v>
      </c>
      <c r="J5113">
        <v>69.080000000000013</v>
      </c>
      <c r="M5113" s="74">
        <v>34547</v>
      </c>
      <c r="N5113" s="77">
        <v>0.29166666666666669</v>
      </c>
      <c r="P5113">
        <v>73.94</v>
      </c>
      <c r="S5113" s="74">
        <v>34912</v>
      </c>
      <c r="T5113" s="77">
        <v>0.29166666666666669</v>
      </c>
      <c r="V5113">
        <v>78.080000000000013</v>
      </c>
      <c r="X5113" s="42"/>
      <c r="AB5113">
        <v>71.7</v>
      </c>
      <c r="AC5113">
        <v>80.06</v>
      </c>
      <c r="AE5113" s="74"/>
      <c r="AF5113" s="77"/>
      <c r="AH5113" s="497">
        <v>68.900000000000006</v>
      </c>
      <c r="AJ5113" s="42"/>
      <c r="AK5113" s="74"/>
      <c r="AL5113" s="77"/>
      <c r="AN5113" s="497">
        <v>55.94</v>
      </c>
      <c r="AP5113" s="42"/>
      <c r="AQ5113" s="74"/>
      <c r="AR5113" s="77"/>
      <c r="AT5113" s="497">
        <v>60.980000000000004</v>
      </c>
      <c r="AV5113" s="42"/>
      <c r="AW5113" s="74"/>
      <c r="AX5113" s="77"/>
      <c r="BA5113" s="497">
        <v>68</v>
      </c>
      <c r="BB5113" s="42"/>
      <c r="BC5113" s="74"/>
      <c r="BD5113" s="77"/>
      <c r="BF5113">
        <v>57.019999999999996</v>
      </c>
      <c r="BH5113" s="42"/>
      <c r="BI5113" s="74"/>
      <c r="BJ5113" s="77"/>
      <c r="BL5113" s="497">
        <v>64.039999999999992</v>
      </c>
      <c r="BN5113" s="42"/>
      <c r="BO5113" s="74"/>
      <c r="BP5113" s="77"/>
      <c r="BR5113" s="497">
        <v>64.94</v>
      </c>
      <c r="BT5113" s="42"/>
    </row>
    <row r="5114" spans="1:72" x14ac:dyDescent="0.25">
      <c r="A5114" s="90">
        <v>34912</v>
      </c>
      <c r="B5114" s="20">
        <v>0.33333333333333331</v>
      </c>
      <c r="D5114">
        <v>69.98</v>
      </c>
      <c r="E5114" t="str">
        <f t="shared" si="194"/>
        <v>WEEKDAY</v>
      </c>
      <c r="F5114" t="e">
        <f t="shared" si="195"/>
        <v>#N/A</v>
      </c>
      <c r="G5114" s="74">
        <v>31990</v>
      </c>
      <c r="H5114" s="77">
        <v>0.33333333333333331</v>
      </c>
      <c r="J5114">
        <v>69.98</v>
      </c>
      <c r="M5114" s="74">
        <v>34547</v>
      </c>
      <c r="N5114" s="77">
        <v>0.33333333333333331</v>
      </c>
      <c r="P5114">
        <v>77</v>
      </c>
      <c r="S5114" s="74">
        <v>34912</v>
      </c>
      <c r="T5114" s="77">
        <v>0.33333333333333331</v>
      </c>
      <c r="V5114">
        <v>80.06</v>
      </c>
      <c r="X5114" s="42"/>
      <c r="AB5114">
        <v>73.8</v>
      </c>
      <c r="AC5114">
        <v>82.039999999999992</v>
      </c>
      <c r="AE5114" s="74"/>
      <c r="AF5114" s="77"/>
      <c r="AH5114" s="497">
        <v>70.88</v>
      </c>
      <c r="AJ5114" s="42"/>
      <c r="AK5114" s="74"/>
      <c r="AL5114" s="77"/>
      <c r="AN5114" s="497">
        <v>59</v>
      </c>
      <c r="AP5114" s="42"/>
      <c r="AQ5114" s="74"/>
      <c r="AR5114" s="77"/>
      <c r="AT5114" s="497">
        <v>64.039999999999992</v>
      </c>
      <c r="AV5114" s="42"/>
      <c r="AW5114" s="74"/>
      <c r="AX5114" s="77"/>
      <c r="BA5114" s="497">
        <v>69.080000000000013</v>
      </c>
      <c r="BB5114" s="42"/>
      <c r="BC5114" s="74"/>
      <c r="BD5114" s="77"/>
      <c r="BF5114">
        <v>62.96</v>
      </c>
      <c r="BH5114" s="42"/>
      <c r="BI5114" s="74"/>
      <c r="BJ5114" s="77"/>
      <c r="BL5114" s="497">
        <v>69.080000000000013</v>
      </c>
      <c r="BN5114" s="42"/>
      <c r="BO5114" s="74"/>
      <c r="BP5114" s="77"/>
      <c r="BR5114" s="497">
        <v>69.080000000000013</v>
      </c>
      <c r="BT5114" s="42"/>
    </row>
    <row r="5115" spans="1:72" x14ac:dyDescent="0.25">
      <c r="A5115" s="90">
        <v>34912</v>
      </c>
      <c r="B5115" s="20">
        <v>0.375</v>
      </c>
      <c r="D5115">
        <v>71.960000000000008</v>
      </c>
      <c r="E5115" t="str">
        <f t="shared" si="194"/>
        <v>WEEKDAY</v>
      </c>
      <c r="F5115" t="e">
        <f t="shared" si="195"/>
        <v>#N/A</v>
      </c>
      <c r="G5115" s="74">
        <v>31990</v>
      </c>
      <c r="H5115" s="77">
        <v>0.375</v>
      </c>
      <c r="J5115">
        <v>73.039999999999992</v>
      </c>
      <c r="M5115" s="74">
        <v>34547</v>
      </c>
      <c r="N5115" s="77">
        <v>0.375</v>
      </c>
      <c r="P5115">
        <v>77.900000000000006</v>
      </c>
      <c r="S5115" s="74">
        <v>34912</v>
      </c>
      <c r="T5115" s="77">
        <v>0.375</v>
      </c>
      <c r="V5115">
        <v>82.94</v>
      </c>
      <c r="X5115" s="42"/>
      <c r="AB5115">
        <v>75.8</v>
      </c>
      <c r="AC5115">
        <v>84.92</v>
      </c>
      <c r="AE5115" s="74"/>
      <c r="AF5115" s="77"/>
      <c r="AH5115" s="497">
        <v>74.84</v>
      </c>
      <c r="AJ5115" s="42"/>
      <c r="AK5115" s="74"/>
      <c r="AL5115" s="77"/>
      <c r="AN5115" s="497">
        <v>62.96</v>
      </c>
      <c r="AP5115" s="42"/>
      <c r="AQ5115" s="74"/>
      <c r="AR5115" s="77"/>
      <c r="AT5115" s="497">
        <v>66.02</v>
      </c>
      <c r="AV5115" s="42"/>
      <c r="AW5115" s="74"/>
      <c r="AX5115" s="77"/>
      <c r="BA5115" s="497">
        <v>73.039999999999992</v>
      </c>
      <c r="BB5115" s="42"/>
      <c r="BC5115" s="74"/>
      <c r="BD5115" s="77"/>
      <c r="BF5115">
        <v>66.92</v>
      </c>
      <c r="BH5115" s="42"/>
      <c r="BI5115" s="74"/>
      <c r="BJ5115" s="77"/>
      <c r="BL5115" s="497">
        <v>71.06</v>
      </c>
      <c r="BN5115" s="42"/>
      <c r="BO5115" s="74"/>
      <c r="BP5115" s="77"/>
      <c r="BR5115" s="497">
        <v>71.06</v>
      </c>
      <c r="BT5115" s="42"/>
    </row>
    <row r="5116" spans="1:72" x14ac:dyDescent="0.25">
      <c r="A5116" s="90">
        <v>34912</v>
      </c>
      <c r="B5116" s="20">
        <v>0.41666666666666669</v>
      </c>
      <c r="D5116">
        <v>75.02</v>
      </c>
      <c r="E5116" t="str">
        <f t="shared" si="194"/>
        <v>WEEKDAY</v>
      </c>
      <c r="F5116" t="e">
        <f t="shared" si="195"/>
        <v>#N/A</v>
      </c>
      <c r="G5116" s="74">
        <v>31990</v>
      </c>
      <c r="H5116" s="77">
        <v>0.41666666666666669</v>
      </c>
      <c r="J5116">
        <v>77</v>
      </c>
      <c r="M5116" s="74">
        <v>34547</v>
      </c>
      <c r="N5116" s="77">
        <v>0.41666666666666669</v>
      </c>
      <c r="P5116">
        <v>79.88</v>
      </c>
      <c r="S5116" s="74">
        <v>34912</v>
      </c>
      <c r="T5116" s="77">
        <v>0.41666666666666669</v>
      </c>
      <c r="V5116">
        <v>84.92</v>
      </c>
      <c r="X5116" s="42"/>
      <c r="AB5116">
        <v>77.7</v>
      </c>
      <c r="AC5116">
        <v>86</v>
      </c>
      <c r="AE5116" s="74"/>
      <c r="AF5116" s="77"/>
      <c r="AH5116" s="497">
        <v>80.960000000000008</v>
      </c>
      <c r="AJ5116" s="42"/>
      <c r="AK5116" s="74"/>
      <c r="AL5116" s="77"/>
      <c r="AN5116" s="497">
        <v>64.94</v>
      </c>
      <c r="AP5116" s="42"/>
      <c r="AQ5116" s="74"/>
      <c r="AR5116" s="77"/>
      <c r="AT5116" s="497">
        <v>69.080000000000013</v>
      </c>
      <c r="AV5116" s="42"/>
      <c r="AW5116" s="74"/>
      <c r="AX5116" s="77"/>
      <c r="BA5116" s="497">
        <v>77</v>
      </c>
      <c r="BB5116" s="42"/>
      <c r="BC5116" s="74"/>
      <c r="BD5116" s="77"/>
      <c r="BF5116">
        <v>69.98</v>
      </c>
      <c r="BH5116" s="42"/>
      <c r="BI5116" s="74"/>
      <c r="BJ5116" s="77"/>
      <c r="BL5116" s="497">
        <v>73.039999999999992</v>
      </c>
      <c r="BN5116" s="42"/>
      <c r="BO5116" s="74"/>
      <c r="BP5116" s="77"/>
      <c r="BR5116" s="497">
        <v>75.02</v>
      </c>
      <c r="BT5116" s="42"/>
    </row>
    <row r="5117" spans="1:72" x14ac:dyDescent="0.25">
      <c r="A5117" s="90">
        <v>34912</v>
      </c>
      <c r="B5117" s="20">
        <v>0.45833333333333331</v>
      </c>
      <c r="D5117">
        <v>75.92</v>
      </c>
      <c r="E5117" t="str">
        <f t="shared" si="194"/>
        <v>WEEKDAY</v>
      </c>
      <c r="F5117" t="e">
        <f t="shared" si="195"/>
        <v>#N/A</v>
      </c>
      <c r="G5117" s="74">
        <v>31990</v>
      </c>
      <c r="H5117" s="77">
        <v>0.45833333333333331</v>
      </c>
      <c r="J5117">
        <v>78.080000000000013</v>
      </c>
      <c r="M5117" s="74">
        <v>34547</v>
      </c>
      <c r="N5117" s="77">
        <v>0.45833333333333331</v>
      </c>
      <c r="P5117">
        <v>78.98</v>
      </c>
      <c r="S5117" s="74">
        <v>34912</v>
      </c>
      <c r="T5117" s="77">
        <v>0.45833333333333331</v>
      </c>
      <c r="V5117">
        <v>87.080000000000013</v>
      </c>
      <c r="X5117" s="42"/>
      <c r="AB5117">
        <v>79.099999999999994</v>
      </c>
      <c r="AC5117">
        <v>87.98</v>
      </c>
      <c r="AE5117" s="74"/>
      <c r="AF5117" s="77"/>
      <c r="AH5117" s="497">
        <v>82.94</v>
      </c>
      <c r="AJ5117" s="42"/>
      <c r="AK5117" s="74"/>
      <c r="AL5117" s="77"/>
      <c r="AN5117" s="497">
        <v>68</v>
      </c>
      <c r="AP5117" s="42"/>
      <c r="AQ5117" s="74"/>
      <c r="AR5117" s="77"/>
      <c r="AT5117" s="497">
        <v>71.06</v>
      </c>
      <c r="AV5117" s="42"/>
      <c r="AW5117" s="74"/>
      <c r="AX5117" s="77"/>
      <c r="BA5117" s="497">
        <v>82.039999999999992</v>
      </c>
      <c r="BB5117" s="42"/>
      <c r="BC5117" s="74"/>
      <c r="BD5117" s="77"/>
      <c r="BF5117">
        <v>69.080000000000013</v>
      </c>
      <c r="BH5117" s="42"/>
      <c r="BI5117" s="74"/>
      <c r="BJ5117" s="77"/>
      <c r="BL5117" s="497">
        <v>75.02</v>
      </c>
      <c r="BN5117" s="42"/>
      <c r="BO5117" s="74"/>
      <c r="BP5117" s="77"/>
      <c r="BR5117" s="497">
        <v>75.92</v>
      </c>
      <c r="BT5117" s="42"/>
    </row>
    <row r="5118" spans="1:72" x14ac:dyDescent="0.25">
      <c r="A5118" s="90">
        <v>34912</v>
      </c>
      <c r="B5118" s="20">
        <v>0.5</v>
      </c>
      <c r="D5118">
        <v>78.080000000000013</v>
      </c>
      <c r="E5118" t="str">
        <f t="shared" si="194"/>
        <v>WEEKDAY</v>
      </c>
      <c r="F5118" t="e">
        <f t="shared" si="195"/>
        <v>#N/A</v>
      </c>
      <c r="G5118" s="74">
        <v>31990</v>
      </c>
      <c r="H5118" s="77">
        <v>0.5</v>
      </c>
      <c r="J5118">
        <v>80.06</v>
      </c>
      <c r="M5118" s="74">
        <v>34547</v>
      </c>
      <c r="N5118" s="77">
        <v>0.5</v>
      </c>
      <c r="P5118">
        <v>80.960000000000008</v>
      </c>
      <c r="S5118" s="74">
        <v>34912</v>
      </c>
      <c r="T5118" s="77">
        <v>0.5</v>
      </c>
      <c r="V5118">
        <v>89.960000000000008</v>
      </c>
      <c r="X5118" s="42"/>
      <c r="AB5118">
        <v>80.2</v>
      </c>
      <c r="AC5118">
        <v>87.080000000000013</v>
      </c>
      <c r="AE5118" s="74"/>
      <c r="AF5118" s="77"/>
      <c r="AH5118" s="497">
        <v>84.740000000000009</v>
      </c>
      <c r="AJ5118" s="42"/>
      <c r="AK5118" s="74"/>
      <c r="AL5118" s="77"/>
      <c r="AN5118" s="497">
        <v>69.080000000000013</v>
      </c>
      <c r="AP5118" s="42"/>
      <c r="AQ5118" s="74"/>
      <c r="AR5118" s="77"/>
      <c r="AT5118" s="497">
        <v>73.039999999999992</v>
      </c>
      <c r="AV5118" s="42"/>
      <c r="AW5118" s="74"/>
      <c r="AX5118" s="77"/>
      <c r="BA5118" s="497">
        <v>82.94</v>
      </c>
      <c r="BB5118" s="42"/>
      <c r="BC5118" s="74"/>
      <c r="BD5118" s="77"/>
      <c r="BF5118">
        <v>71.960000000000008</v>
      </c>
      <c r="BH5118" s="42"/>
      <c r="BI5118" s="74"/>
      <c r="BJ5118" s="77"/>
      <c r="BL5118" s="497">
        <v>73.94</v>
      </c>
      <c r="BN5118" s="42"/>
      <c r="BO5118" s="74"/>
      <c r="BP5118" s="77"/>
      <c r="BR5118" s="497">
        <v>78.080000000000013</v>
      </c>
      <c r="BT5118" s="42"/>
    </row>
    <row r="5119" spans="1:72" x14ac:dyDescent="0.25">
      <c r="A5119" s="90">
        <v>34912</v>
      </c>
      <c r="B5119" s="20">
        <v>0.54166666666666663</v>
      </c>
      <c r="D5119">
        <v>78.080000000000013</v>
      </c>
      <c r="E5119" t="str">
        <f t="shared" si="194"/>
        <v>WEEKDAY</v>
      </c>
      <c r="F5119" t="e">
        <f t="shared" si="195"/>
        <v>#N/A</v>
      </c>
      <c r="G5119" s="74">
        <v>31990</v>
      </c>
      <c r="H5119" s="77">
        <v>0.54166666666666663</v>
      </c>
      <c r="J5119">
        <v>78.080000000000013</v>
      </c>
      <c r="M5119" s="74">
        <v>34547</v>
      </c>
      <c r="N5119" s="77">
        <v>0.54166666666666663</v>
      </c>
      <c r="P5119">
        <v>79.88</v>
      </c>
      <c r="S5119" s="74">
        <v>34912</v>
      </c>
      <c r="T5119" s="77">
        <v>0.54166666666666663</v>
      </c>
      <c r="V5119">
        <v>89.06</v>
      </c>
      <c r="X5119" s="42"/>
      <c r="AB5119">
        <v>81.099999999999994</v>
      </c>
      <c r="AC5119">
        <v>87.98</v>
      </c>
      <c r="AE5119" s="74"/>
      <c r="AF5119" s="77"/>
      <c r="AH5119" s="497">
        <v>86</v>
      </c>
      <c r="AJ5119" s="42"/>
      <c r="AK5119" s="74"/>
      <c r="AL5119" s="77"/>
      <c r="AN5119" s="497">
        <v>71.06</v>
      </c>
      <c r="AP5119" s="42"/>
      <c r="AQ5119" s="74"/>
      <c r="AR5119" s="77"/>
      <c r="AT5119" s="497">
        <v>73.94</v>
      </c>
      <c r="AV5119" s="42"/>
      <c r="AW5119" s="74"/>
      <c r="AX5119" s="77"/>
      <c r="BA5119" s="497">
        <v>77</v>
      </c>
      <c r="BB5119" s="42"/>
      <c r="BC5119" s="74"/>
      <c r="BD5119" s="77"/>
      <c r="BF5119">
        <v>73.94</v>
      </c>
      <c r="BH5119" s="42"/>
      <c r="BI5119" s="74"/>
      <c r="BJ5119" s="77"/>
      <c r="BL5119" s="497">
        <v>75.02</v>
      </c>
      <c r="BN5119" s="42"/>
      <c r="BO5119" s="74"/>
      <c r="BP5119" s="77"/>
      <c r="BR5119" s="497">
        <v>80.06</v>
      </c>
      <c r="BT5119" s="42"/>
    </row>
    <row r="5120" spans="1:72" x14ac:dyDescent="0.25">
      <c r="A5120" s="90">
        <v>34912</v>
      </c>
      <c r="B5120" s="20">
        <v>0.58333333333333337</v>
      </c>
      <c r="D5120">
        <v>78.98</v>
      </c>
      <c r="E5120" t="str">
        <f t="shared" si="194"/>
        <v>WEEKDAY</v>
      </c>
      <c r="F5120" t="e">
        <f t="shared" si="195"/>
        <v>#N/A</v>
      </c>
      <c r="G5120" s="74">
        <v>31990</v>
      </c>
      <c r="H5120" s="77">
        <v>0.58333333333333337</v>
      </c>
      <c r="J5120">
        <v>78.080000000000013</v>
      </c>
      <c r="M5120" s="74">
        <v>34547</v>
      </c>
      <c r="N5120" s="77">
        <v>0.58333333333333337</v>
      </c>
      <c r="P5120">
        <v>80.960000000000008</v>
      </c>
      <c r="S5120" s="74">
        <v>34912</v>
      </c>
      <c r="T5120" s="77">
        <v>0.58333333333333337</v>
      </c>
      <c r="V5120">
        <v>89.06</v>
      </c>
      <c r="X5120" s="42"/>
      <c r="AB5120">
        <v>81.400000000000006</v>
      </c>
      <c r="AC5120">
        <v>89.06</v>
      </c>
      <c r="AE5120" s="74"/>
      <c r="AF5120" s="77"/>
      <c r="AH5120" s="497">
        <v>84.92</v>
      </c>
      <c r="AJ5120" s="42"/>
      <c r="AK5120" s="74"/>
      <c r="AL5120" s="77"/>
      <c r="AN5120" s="497">
        <v>71.06</v>
      </c>
      <c r="AP5120" s="42"/>
      <c r="AQ5120" s="74"/>
      <c r="AR5120" s="77"/>
      <c r="AT5120" s="497">
        <v>75.02</v>
      </c>
      <c r="AV5120" s="42"/>
      <c r="AW5120" s="74"/>
      <c r="AX5120" s="77"/>
      <c r="BA5120" s="497">
        <v>82.039999999999992</v>
      </c>
      <c r="BB5120" s="42"/>
      <c r="BC5120" s="74"/>
      <c r="BD5120" s="77"/>
      <c r="BF5120">
        <v>73.94</v>
      </c>
      <c r="BH5120" s="42"/>
      <c r="BI5120" s="74"/>
      <c r="BJ5120" s="77"/>
      <c r="BL5120" s="497">
        <v>75.92</v>
      </c>
      <c r="BN5120" s="42"/>
      <c r="BO5120" s="74"/>
      <c r="BP5120" s="77"/>
      <c r="BR5120" s="497">
        <v>80.06</v>
      </c>
      <c r="BT5120" s="42"/>
    </row>
    <row r="5121" spans="1:72" x14ac:dyDescent="0.25">
      <c r="A5121" s="90">
        <v>34912</v>
      </c>
      <c r="B5121" s="20">
        <v>0.625</v>
      </c>
      <c r="D5121">
        <v>78.98</v>
      </c>
      <c r="E5121" t="str">
        <f t="shared" si="194"/>
        <v>WEEKDAY</v>
      </c>
      <c r="F5121" t="e">
        <f t="shared" si="195"/>
        <v>#N/A</v>
      </c>
      <c r="G5121" s="74">
        <v>31990</v>
      </c>
      <c r="H5121" s="77">
        <v>0.625</v>
      </c>
      <c r="J5121">
        <v>80.960000000000008</v>
      </c>
      <c r="M5121" s="74">
        <v>34547</v>
      </c>
      <c r="N5121" s="77">
        <v>0.625</v>
      </c>
      <c r="P5121">
        <v>81.86</v>
      </c>
      <c r="S5121" s="74">
        <v>34912</v>
      </c>
      <c r="T5121" s="77">
        <v>0.625</v>
      </c>
      <c r="V5121">
        <v>87.080000000000013</v>
      </c>
      <c r="X5121" s="42"/>
      <c r="AB5121">
        <v>81.400000000000006</v>
      </c>
      <c r="AC5121">
        <v>87.080000000000013</v>
      </c>
      <c r="AE5121" s="74"/>
      <c r="AF5121" s="77"/>
      <c r="AH5121" s="497">
        <v>83.84</v>
      </c>
      <c r="AJ5121" s="42"/>
      <c r="AK5121" s="74"/>
      <c r="AL5121" s="77"/>
      <c r="AN5121" s="497">
        <v>71.960000000000008</v>
      </c>
      <c r="AP5121" s="42"/>
      <c r="AQ5121" s="74"/>
      <c r="AR5121" s="77"/>
      <c r="AT5121" s="497">
        <v>75.92</v>
      </c>
      <c r="AV5121" s="42"/>
      <c r="AW5121" s="74"/>
      <c r="AX5121" s="77"/>
      <c r="BA5121" s="497">
        <v>82.039999999999992</v>
      </c>
      <c r="BB5121" s="42"/>
      <c r="BC5121" s="74"/>
      <c r="BD5121" s="77"/>
      <c r="BF5121">
        <v>75.02</v>
      </c>
      <c r="BH5121" s="42"/>
      <c r="BI5121" s="74"/>
      <c r="BJ5121" s="77"/>
      <c r="BL5121" s="497">
        <v>75.92</v>
      </c>
      <c r="BN5121" s="42"/>
      <c r="BO5121" s="74"/>
      <c r="BP5121" s="77"/>
      <c r="BR5121" s="497">
        <v>80.06</v>
      </c>
      <c r="BT5121" s="42"/>
    </row>
    <row r="5122" spans="1:72" x14ac:dyDescent="0.25">
      <c r="A5122" s="90">
        <v>34912</v>
      </c>
      <c r="B5122" s="20">
        <v>0.66666666666666663</v>
      </c>
      <c r="D5122">
        <v>80.06</v>
      </c>
      <c r="E5122" t="str">
        <f t="shared" si="194"/>
        <v>WEEKDAY</v>
      </c>
      <c r="F5122" t="e">
        <f t="shared" si="195"/>
        <v>#N/A</v>
      </c>
      <c r="G5122" s="74">
        <v>31990</v>
      </c>
      <c r="H5122" s="77">
        <v>0.66666666666666663</v>
      </c>
      <c r="J5122">
        <v>80.06</v>
      </c>
      <c r="M5122" s="74">
        <v>34547</v>
      </c>
      <c r="N5122" s="77">
        <v>0.66666666666666663</v>
      </c>
      <c r="P5122">
        <v>78.98</v>
      </c>
      <c r="S5122" s="74">
        <v>34912</v>
      </c>
      <c r="T5122" s="77">
        <v>0.66666666666666663</v>
      </c>
      <c r="V5122">
        <v>86</v>
      </c>
      <c r="X5122" s="42"/>
      <c r="AB5122">
        <v>80.8</v>
      </c>
      <c r="AC5122">
        <v>86</v>
      </c>
      <c r="AE5122" s="74"/>
      <c r="AF5122" s="77"/>
      <c r="AH5122" s="497">
        <v>71.960000000000008</v>
      </c>
      <c r="AJ5122" s="42"/>
      <c r="AK5122" s="74"/>
      <c r="AL5122" s="77"/>
      <c r="AN5122" s="497">
        <v>71.06</v>
      </c>
      <c r="AP5122" s="42"/>
      <c r="AQ5122" s="74"/>
      <c r="AR5122" s="77"/>
      <c r="AT5122" s="497">
        <v>73.94</v>
      </c>
      <c r="AV5122" s="42"/>
      <c r="AW5122" s="74"/>
      <c r="AX5122" s="77"/>
      <c r="BA5122" s="497">
        <v>80.960000000000008</v>
      </c>
      <c r="BB5122" s="42"/>
      <c r="BC5122" s="74"/>
      <c r="BD5122" s="77"/>
      <c r="BF5122">
        <v>75.02</v>
      </c>
      <c r="BH5122" s="42"/>
      <c r="BI5122" s="74"/>
      <c r="BJ5122" s="77"/>
      <c r="BL5122" s="497">
        <v>75.92</v>
      </c>
      <c r="BN5122" s="42"/>
      <c r="BO5122" s="74"/>
      <c r="BP5122" s="77"/>
      <c r="BR5122" s="497">
        <v>80.960000000000008</v>
      </c>
      <c r="BT5122" s="42"/>
    </row>
    <row r="5123" spans="1:72" x14ac:dyDescent="0.25">
      <c r="A5123" s="90">
        <v>34912</v>
      </c>
      <c r="B5123" s="20">
        <v>0.70833333333333337</v>
      </c>
      <c r="D5123">
        <v>80.06</v>
      </c>
      <c r="E5123" t="str">
        <f t="shared" si="194"/>
        <v>WEEKDAY</v>
      </c>
      <c r="F5123" t="e">
        <f t="shared" si="195"/>
        <v>#N/A</v>
      </c>
      <c r="G5123" s="74">
        <v>31990</v>
      </c>
      <c r="H5123" s="77">
        <v>0.70833333333333337</v>
      </c>
      <c r="J5123">
        <v>78.98</v>
      </c>
      <c r="M5123" s="74">
        <v>34547</v>
      </c>
      <c r="N5123" s="77">
        <v>0.70833333333333337</v>
      </c>
      <c r="P5123">
        <v>78.98</v>
      </c>
      <c r="S5123" s="74">
        <v>34912</v>
      </c>
      <c r="T5123" s="77">
        <v>0.70833333333333337</v>
      </c>
      <c r="V5123">
        <v>84.02</v>
      </c>
      <c r="X5123" s="42"/>
      <c r="AB5123">
        <v>80.2</v>
      </c>
      <c r="AC5123">
        <v>84.92</v>
      </c>
      <c r="AE5123" s="74"/>
      <c r="AF5123" s="77"/>
      <c r="AH5123" s="497">
        <v>73.94</v>
      </c>
      <c r="AJ5123" s="42"/>
      <c r="AK5123" s="74"/>
      <c r="AL5123" s="77"/>
      <c r="AN5123" s="497">
        <v>71.06</v>
      </c>
      <c r="AP5123" s="42"/>
      <c r="AQ5123" s="74"/>
      <c r="AR5123" s="77"/>
      <c r="AT5123" s="497">
        <v>73.94</v>
      </c>
      <c r="AV5123" s="42"/>
      <c r="AW5123" s="74"/>
      <c r="AX5123" s="77"/>
      <c r="BA5123" s="497">
        <v>77</v>
      </c>
      <c r="BB5123" s="42"/>
      <c r="BC5123" s="74"/>
      <c r="BD5123" s="77"/>
      <c r="BF5123">
        <v>75.02</v>
      </c>
      <c r="BH5123" s="42"/>
      <c r="BI5123" s="74"/>
      <c r="BJ5123" s="77"/>
      <c r="BL5123" s="497">
        <v>75.92</v>
      </c>
      <c r="BN5123" s="42"/>
      <c r="BO5123" s="74"/>
      <c r="BP5123" s="77"/>
      <c r="BR5123" s="497">
        <v>80.960000000000008</v>
      </c>
      <c r="BT5123" s="42"/>
    </row>
    <row r="5124" spans="1:72" x14ac:dyDescent="0.25">
      <c r="A5124" s="90">
        <v>34912</v>
      </c>
      <c r="B5124" s="20">
        <v>0.75</v>
      </c>
      <c r="D5124">
        <v>78.98</v>
      </c>
      <c r="E5124" t="str">
        <f t="shared" si="194"/>
        <v>WEEKDAY</v>
      </c>
      <c r="F5124" t="e">
        <f t="shared" si="195"/>
        <v>#N/A</v>
      </c>
      <c r="G5124" s="74">
        <v>31990</v>
      </c>
      <c r="H5124" s="77">
        <v>0.75</v>
      </c>
      <c r="J5124">
        <v>77</v>
      </c>
      <c r="M5124" s="74">
        <v>34547</v>
      </c>
      <c r="N5124" s="77">
        <v>0.75</v>
      </c>
      <c r="P5124">
        <v>77</v>
      </c>
      <c r="S5124" s="74">
        <v>34912</v>
      </c>
      <c r="T5124" s="77">
        <v>0.75</v>
      </c>
      <c r="V5124">
        <v>82.039999999999992</v>
      </c>
      <c r="X5124" s="42"/>
      <c r="AB5124">
        <v>79.099999999999994</v>
      </c>
      <c r="AC5124">
        <v>80.06</v>
      </c>
      <c r="AE5124" s="74"/>
      <c r="AF5124" s="77"/>
      <c r="AH5124" s="497">
        <v>74.84</v>
      </c>
      <c r="AJ5124" s="42"/>
      <c r="AK5124" s="74"/>
      <c r="AL5124" s="77"/>
      <c r="AN5124" s="497">
        <v>69.080000000000013</v>
      </c>
      <c r="AP5124" s="42"/>
      <c r="AQ5124" s="74"/>
      <c r="AR5124" s="77"/>
      <c r="AT5124" s="497">
        <v>73.039999999999992</v>
      </c>
      <c r="AV5124" s="42"/>
      <c r="AW5124" s="74"/>
      <c r="AX5124" s="77"/>
      <c r="BA5124" s="497">
        <v>71.06</v>
      </c>
      <c r="BB5124" s="42"/>
      <c r="BC5124" s="74"/>
      <c r="BD5124" s="77"/>
      <c r="BF5124">
        <v>73.94</v>
      </c>
      <c r="BH5124" s="42"/>
      <c r="BI5124" s="74"/>
      <c r="BJ5124" s="77"/>
      <c r="BL5124" s="497">
        <v>75.02</v>
      </c>
      <c r="BN5124" s="42"/>
      <c r="BO5124" s="74"/>
      <c r="BP5124" s="77"/>
      <c r="BR5124" s="497">
        <v>80.06</v>
      </c>
      <c r="BT5124" s="42"/>
    </row>
    <row r="5125" spans="1:72" x14ac:dyDescent="0.25">
      <c r="A5125" s="90">
        <v>34912</v>
      </c>
      <c r="B5125" s="20">
        <v>0.79166666666666663</v>
      </c>
      <c r="D5125">
        <v>75.92</v>
      </c>
      <c r="E5125" t="str">
        <f t="shared" si="194"/>
        <v>WEEKDAY</v>
      </c>
      <c r="F5125" t="e">
        <f t="shared" si="195"/>
        <v>#N/A</v>
      </c>
      <c r="G5125" s="74">
        <v>31990</v>
      </c>
      <c r="H5125" s="77">
        <v>0.79166666666666663</v>
      </c>
      <c r="J5125">
        <v>75.92</v>
      </c>
      <c r="M5125" s="74">
        <v>34547</v>
      </c>
      <c r="N5125" s="77">
        <v>0.79166666666666663</v>
      </c>
      <c r="P5125">
        <v>75.92</v>
      </c>
      <c r="S5125" s="74">
        <v>34912</v>
      </c>
      <c r="T5125" s="77">
        <v>0.79166666666666663</v>
      </c>
      <c r="V5125">
        <v>80.06</v>
      </c>
      <c r="X5125" s="42"/>
      <c r="AB5125">
        <v>77.8</v>
      </c>
      <c r="AC5125">
        <v>78.98</v>
      </c>
      <c r="AE5125" s="74"/>
      <c r="AF5125" s="77"/>
      <c r="AH5125" s="497">
        <v>74.84</v>
      </c>
      <c r="AJ5125" s="42"/>
      <c r="AK5125" s="74"/>
      <c r="AL5125" s="77"/>
      <c r="AN5125" s="497">
        <v>66.92</v>
      </c>
      <c r="AP5125" s="42"/>
      <c r="AQ5125" s="74"/>
      <c r="AR5125" s="77"/>
      <c r="AT5125" s="497">
        <v>68</v>
      </c>
      <c r="AV5125" s="42"/>
      <c r="AW5125" s="74"/>
      <c r="AX5125" s="77"/>
      <c r="BA5125" s="497">
        <v>69.080000000000013</v>
      </c>
      <c r="BB5125" s="42"/>
      <c r="BC5125" s="74"/>
      <c r="BD5125" s="77"/>
      <c r="BF5125">
        <v>71.960000000000008</v>
      </c>
      <c r="BH5125" s="42"/>
      <c r="BI5125" s="74"/>
      <c r="BJ5125" s="77"/>
      <c r="BL5125" s="497">
        <v>71.960000000000008</v>
      </c>
      <c r="BN5125" s="42"/>
      <c r="BO5125" s="74"/>
      <c r="BP5125" s="77"/>
      <c r="BR5125" s="497">
        <v>75.92</v>
      </c>
      <c r="BT5125" s="42"/>
    </row>
    <row r="5126" spans="1:72" x14ac:dyDescent="0.25">
      <c r="A5126" s="90">
        <v>34912</v>
      </c>
      <c r="B5126" s="20">
        <v>0.83333333333333337</v>
      </c>
      <c r="D5126">
        <v>73.94</v>
      </c>
      <c r="E5126" t="str">
        <f t="shared" si="194"/>
        <v>WEEKDAY</v>
      </c>
      <c r="F5126" t="e">
        <f t="shared" si="195"/>
        <v>#N/A</v>
      </c>
      <c r="G5126" s="74">
        <v>31990</v>
      </c>
      <c r="H5126" s="77">
        <v>0.83333333333333337</v>
      </c>
      <c r="J5126">
        <v>73.94</v>
      </c>
      <c r="M5126" s="74">
        <v>34547</v>
      </c>
      <c r="N5126" s="77">
        <v>0.83333333333333337</v>
      </c>
      <c r="P5126">
        <v>73.94</v>
      </c>
      <c r="S5126" s="74">
        <v>34912</v>
      </c>
      <c r="T5126" s="77">
        <v>0.83333333333333337</v>
      </c>
      <c r="V5126">
        <v>78.98</v>
      </c>
      <c r="X5126" s="42"/>
      <c r="AB5126">
        <v>76.400000000000006</v>
      </c>
      <c r="AC5126">
        <v>77</v>
      </c>
      <c r="AE5126" s="74"/>
      <c r="AF5126" s="77"/>
      <c r="AH5126" s="497">
        <v>73.94</v>
      </c>
      <c r="AJ5126" s="42"/>
      <c r="AK5126" s="74"/>
      <c r="AL5126" s="77"/>
      <c r="AN5126" s="497">
        <v>64.039999999999992</v>
      </c>
      <c r="AP5126" s="42"/>
      <c r="AQ5126" s="74"/>
      <c r="AR5126" s="77"/>
      <c r="AT5126" s="497">
        <v>64.94</v>
      </c>
      <c r="AV5126" s="42"/>
      <c r="AW5126" s="74"/>
      <c r="AX5126" s="77"/>
      <c r="BA5126" s="497">
        <v>69.080000000000013</v>
      </c>
      <c r="BB5126" s="42"/>
      <c r="BC5126" s="74"/>
      <c r="BD5126" s="77"/>
      <c r="BF5126">
        <v>68</v>
      </c>
      <c r="BH5126" s="42"/>
      <c r="BI5126" s="74"/>
      <c r="BJ5126" s="77"/>
      <c r="BL5126" s="497">
        <v>69.080000000000013</v>
      </c>
      <c r="BN5126" s="42"/>
      <c r="BO5126" s="74"/>
      <c r="BP5126" s="77"/>
      <c r="BR5126" s="497">
        <v>69.080000000000013</v>
      </c>
      <c r="BT5126" s="42"/>
    </row>
    <row r="5127" spans="1:72" x14ac:dyDescent="0.25">
      <c r="A5127" s="90">
        <v>34912</v>
      </c>
      <c r="B5127" s="20">
        <v>0.875</v>
      </c>
      <c r="D5127">
        <v>73.94</v>
      </c>
      <c r="E5127" t="str">
        <f t="shared" si="194"/>
        <v>WEEKDAY</v>
      </c>
      <c r="F5127" t="e">
        <f t="shared" si="195"/>
        <v>#N/A</v>
      </c>
      <c r="G5127" s="74">
        <v>31990</v>
      </c>
      <c r="H5127" s="77">
        <v>0.875</v>
      </c>
      <c r="J5127">
        <v>73.94</v>
      </c>
      <c r="M5127" s="74">
        <v>34547</v>
      </c>
      <c r="N5127" s="77">
        <v>0.875</v>
      </c>
      <c r="P5127">
        <v>70.88</v>
      </c>
      <c r="S5127" s="74">
        <v>34912</v>
      </c>
      <c r="T5127" s="77">
        <v>0.875</v>
      </c>
      <c r="V5127">
        <v>78.98</v>
      </c>
      <c r="X5127" s="42"/>
      <c r="AB5127">
        <v>75.5</v>
      </c>
      <c r="AC5127">
        <v>75.92</v>
      </c>
      <c r="AE5127" s="74"/>
      <c r="AF5127" s="77"/>
      <c r="AH5127" s="497">
        <v>73.94</v>
      </c>
      <c r="AJ5127" s="42"/>
      <c r="AK5127" s="74"/>
      <c r="AL5127" s="77"/>
      <c r="AN5127" s="497">
        <v>62.06</v>
      </c>
      <c r="AP5127" s="42"/>
      <c r="AQ5127" s="74"/>
      <c r="AR5127" s="77"/>
      <c r="AT5127" s="497">
        <v>60.08</v>
      </c>
      <c r="AV5127" s="42"/>
      <c r="AW5127" s="74"/>
      <c r="AX5127" s="77"/>
      <c r="BA5127" s="497">
        <v>69.080000000000013</v>
      </c>
      <c r="BB5127" s="42"/>
      <c r="BC5127" s="74"/>
      <c r="BD5127" s="77"/>
      <c r="BF5127">
        <v>64.039999999999992</v>
      </c>
      <c r="BH5127" s="42"/>
      <c r="BI5127" s="74"/>
      <c r="BJ5127" s="77"/>
      <c r="BL5127" s="497">
        <v>64.94</v>
      </c>
      <c r="BN5127" s="42"/>
      <c r="BO5127" s="74"/>
      <c r="BP5127" s="77"/>
      <c r="BR5127" s="497">
        <v>64.039999999999992</v>
      </c>
      <c r="BT5127" s="42"/>
    </row>
    <row r="5128" spans="1:72" x14ac:dyDescent="0.25">
      <c r="A5128" s="90">
        <v>34912</v>
      </c>
      <c r="B5128" s="20">
        <v>0.91666666666666663</v>
      </c>
      <c r="D5128">
        <v>73.039999999999992</v>
      </c>
      <c r="E5128" t="str">
        <f t="shared" si="194"/>
        <v>WEEKDAY</v>
      </c>
      <c r="F5128" t="e">
        <f t="shared" si="195"/>
        <v>#N/A</v>
      </c>
      <c r="G5128" s="74">
        <v>31990</v>
      </c>
      <c r="H5128" s="77">
        <v>0.91666666666666663</v>
      </c>
      <c r="J5128">
        <v>73.94</v>
      </c>
      <c r="M5128" s="74">
        <v>34547</v>
      </c>
      <c r="N5128" s="77">
        <v>0.91666666666666663</v>
      </c>
      <c r="P5128">
        <v>72.86</v>
      </c>
      <c r="S5128" s="74">
        <v>34912</v>
      </c>
      <c r="T5128" s="77">
        <v>0.91666666666666663</v>
      </c>
      <c r="V5128">
        <v>78.98</v>
      </c>
      <c r="X5128" s="42"/>
      <c r="AB5128">
        <v>74.900000000000006</v>
      </c>
      <c r="AC5128">
        <v>75.92</v>
      </c>
      <c r="AE5128" s="74"/>
      <c r="AF5128" s="77"/>
      <c r="AH5128" s="497">
        <v>72.86</v>
      </c>
      <c r="AJ5128" s="42"/>
      <c r="AK5128" s="74"/>
      <c r="AL5128" s="77"/>
      <c r="AN5128" s="497">
        <v>60.980000000000004</v>
      </c>
      <c r="AP5128" s="42"/>
      <c r="AQ5128" s="74"/>
      <c r="AR5128" s="77"/>
      <c r="AT5128" s="497">
        <v>59</v>
      </c>
      <c r="AV5128" s="42"/>
      <c r="AW5128" s="74"/>
      <c r="AX5128" s="77"/>
      <c r="BA5128" s="497">
        <v>69.080000000000013</v>
      </c>
      <c r="BB5128" s="42"/>
      <c r="BC5128" s="74"/>
      <c r="BD5128" s="77"/>
      <c r="BF5128">
        <v>64.039999999999992</v>
      </c>
      <c r="BH5128" s="42"/>
      <c r="BI5128" s="74"/>
      <c r="BJ5128" s="77"/>
      <c r="BL5128" s="497">
        <v>62.96</v>
      </c>
      <c r="BN5128" s="42"/>
      <c r="BO5128" s="74"/>
      <c r="BP5128" s="77"/>
      <c r="BR5128" s="497">
        <v>62.06</v>
      </c>
      <c r="BT5128" s="42"/>
    </row>
    <row r="5129" spans="1:72" x14ac:dyDescent="0.25">
      <c r="A5129" s="90">
        <v>34912</v>
      </c>
      <c r="B5129" s="20">
        <v>0.95833333333333337</v>
      </c>
      <c r="D5129">
        <v>73.039999999999992</v>
      </c>
      <c r="E5129" t="str">
        <f t="shared" si="194"/>
        <v>WEEKDAY</v>
      </c>
      <c r="F5129" t="e">
        <f t="shared" si="195"/>
        <v>#N/A</v>
      </c>
      <c r="G5129" s="74">
        <v>31990</v>
      </c>
      <c r="H5129" s="77">
        <v>0.95833333333333337</v>
      </c>
      <c r="J5129">
        <v>73.039999999999992</v>
      </c>
      <c r="M5129" s="74">
        <v>34547</v>
      </c>
      <c r="N5129" s="77">
        <v>0.95833333333333337</v>
      </c>
      <c r="P5129">
        <v>71.960000000000008</v>
      </c>
      <c r="S5129" s="74">
        <v>34912</v>
      </c>
      <c r="T5129" s="77">
        <v>0.95833333333333337</v>
      </c>
      <c r="V5129">
        <v>78.080000000000013</v>
      </c>
      <c r="X5129" s="42"/>
      <c r="AB5129">
        <v>74.400000000000006</v>
      </c>
      <c r="AC5129">
        <v>77</v>
      </c>
      <c r="AE5129" s="74"/>
      <c r="AF5129" s="77"/>
      <c r="AH5129" s="497">
        <v>72.86</v>
      </c>
      <c r="AJ5129" s="42"/>
      <c r="AK5129" s="74"/>
      <c r="AL5129" s="77"/>
      <c r="AN5129" s="497">
        <v>60.08</v>
      </c>
      <c r="AP5129" s="42"/>
      <c r="AQ5129" s="74"/>
      <c r="AR5129" s="77"/>
      <c r="AT5129" s="497">
        <v>57.92</v>
      </c>
      <c r="AV5129" s="42"/>
      <c r="AW5129" s="74"/>
      <c r="AX5129" s="77"/>
      <c r="BA5129" s="497">
        <v>68</v>
      </c>
      <c r="BB5129" s="42"/>
      <c r="BC5129" s="74"/>
      <c r="BD5129" s="77"/>
      <c r="BF5129">
        <v>62.96</v>
      </c>
      <c r="BH5129" s="42"/>
      <c r="BI5129" s="74"/>
      <c r="BJ5129" s="77"/>
      <c r="BL5129" s="497">
        <v>60.980000000000004</v>
      </c>
      <c r="BN5129" s="42"/>
      <c r="BO5129" s="74"/>
      <c r="BP5129" s="77"/>
      <c r="BR5129" s="497">
        <v>60.08</v>
      </c>
      <c r="BT5129" s="42"/>
    </row>
    <row r="5130" spans="1:72" x14ac:dyDescent="0.25">
      <c r="A5130" s="90">
        <v>34912</v>
      </c>
      <c r="B5130" s="20">
        <v>1</v>
      </c>
      <c r="D5130">
        <v>71.960000000000008</v>
      </c>
      <c r="E5130" t="str">
        <f t="shared" si="194"/>
        <v>WEEKDAY</v>
      </c>
      <c r="F5130" t="e">
        <f t="shared" si="195"/>
        <v>#N/A</v>
      </c>
      <c r="G5130" s="74">
        <v>31990</v>
      </c>
      <c r="H5130" s="77">
        <v>1</v>
      </c>
      <c r="J5130">
        <v>73.039999999999992</v>
      </c>
      <c r="M5130" s="74">
        <v>34547</v>
      </c>
      <c r="N5130" s="80">
        <v>1</v>
      </c>
      <c r="P5130">
        <v>72.86</v>
      </c>
      <c r="S5130" s="74">
        <v>34912</v>
      </c>
      <c r="T5130" s="80">
        <v>1</v>
      </c>
      <c r="V5130">
        <v>78.080000000000013</v>
      </c>
      <c r="X5130" s="42"/>
      <c r="AB5130">
        <v>73.900000000000006</v>
      </c>
      <c r="AC5130">
        <v>77</v>
      </c>
      <c r="AE5130" s="74"/>
      <c r="AF5130" s="80"/>
      <c r="AH5130" s="497">
        <v>72.86</v>
      </c>
      <c r="AJ5130" s="42"/>
      <c r="AK5130" s="74"/>
      <c r="AL5130" s="80"/>
      <c r="AN5130" s="497">
        <v>59</v>
      </c>
      <c r="AP5130" s="42"/>
      <c r="AQ5130" s="74"/>
      <c r="AR5130" s="80"/>
      <c r="AT5130" s="497">
        <v>55.94</v>
      </c>
      <c r="AV5130" s="42"/>
      <c r="AW5130" s="74"/>
      <c r="AX5130" s="80"/>
      <c r="BA5130" s="497">
        <v>68</v>
      </c>
      <c r="BB5130" s="42"/>
      <c r="BC5130" s="74"/>
      <c r="BD5130" s="80"/>
      <c r="BF5130">
        <v>60.980000000000004</v>
      </c>
      <c r="BH5130" s="42"/>
      <c r="BI5130" s="74"/>
      <c r="BJ5130" s="80"/>
      <c r="BL5130" s="497">
        <v>60.980000000000004</v>
      </c>
      <c r="BN5130" s="42"/>
      <c r="BO5130" s="74"/>
      <c r="BP5130" s="80"/>
      <c r="BR5130" s="497">
        <v>59</v>
      </c>
      <c r="BT5130" s="42"/>
    </row>
    <row r="5131" spans="1:72" x14ac:dyDescent="0.25">
      <c r="A5131" s="90">
        <v>34913</v>
      </c>
      <c r="B5131" s="20">
        <v>4.1666666666666664E-2</v>
      </c>
      <c r="D5131">
        <v>71.960000000000008</v>
      </c>
      <c r="E5131" t="str">
        <f t="shared" si="194"/>
        <v>WEEKDAY</v>
      </c>
      <c r="F5131" t="e">
        <f t="shared" si="195"/>
        <v>#N/A</v>
      </c>
      <c r="G5131" s="74">
        <v>31991</v>
      </c>
      <c r="H5131" s="77">
        <v>4.1666666666666664E-2</v>
      </c>
      <c r="J5131">
        <v>73.039999999999992</v>
      </c>
      <c r="M5131" s="74">
        <v>34548</v>
      </c>
      <c r="N5131" s="77">
        <v>4.1666666666666664E-2</v>
      </c>
      <c r="P5131">
        <v>71.960000000000008</v>
      </c>
      <c r="S5131" s="74">
        <v>34913</v>
      </c>
      <c r="T5131" s="77">
        <v>4.1666666666666664E-2</v>
      </c>
      <c r="V5131">
        <v>78.080000000000013</v>
      </c>
      <c r="X5131" s="42"/>
      <c r="AB5131">
        <v>73.3</v>
      </c>
      <c r="AC5131">
        <v>73.94</v>
      </c>
      <c r="AE5131" s="74"/>
      <c r="AF5131" s="77"/>
      <c r="AH5131" s="497">
        <v>71.960000000000008</v>
      </c>
      <c r="AJ5131" s="42"/>
      <c r="AK5131" s="74"/>
      <c r="AL5131" s="77"/>
      <c r="AN5131" s="497">
        <v>57.92</v>
      </c>
      <c r="AP5131" s="42"/>
      <c r="AQ5131" s="74"/>
      <c r="AR5131" s="77"/>
      <c r="AT5131" s="497">
        <v>53.96</v>
      </c>
      <c r="AV5131" s="42"/>
      <c r="AW5131" s="74"/>
      <c r="AX5131" s="77"/>
      <c r="BA5131" s="497">
        <v>66.92</v>
      </c>
      <c r="BB5131" s="42"/>
      <c r="BC5131" s="74"/>
      <c r="BD5131" s="77"/>
      <c r="BF5131">
        <v>55.040000000000006</v>
      </c>
      <c r="BH5131" s="42"/>
      <c r="BI5131" s="74"/>
      <c r="BJ5131" s="77"/>
      <c r="BL5131" s="497">
        <v>60.08</v>
      </c>
      <c r="BN5131" s="42"/>
      <c r="BO5131" s="74"/>
      <c r="BP5131" s="77"/>
      <c r="BR5131" s="497">
        <v>57.92</v>
      </c>
      <c r="BT5131" s="42"/>
    </row>
    <row r="5132" spans="1:72" x14ac:dyDescent="0.25">
      <c r="A5132" s="90">
        <v>34913</v>
      </c>
      <c r="B5132" s="20">
        <v>8.3333333333333329E-2</v>
      </c>
      <c r="D5132">
        <v>71.06</v>
      </c>
      <c r="E5132" t="str">
        <f t="shared" si="194"/>
        <v>WEEKDAY</v>
      </c>
      <c r="F5132" t="e">
        <f t="shared" si="195"/>
        <v>#N/A</v>
      </c>
      <c r="G5132" s="74">
        <v>31991</v>
      </c>
      <c r="H5132" s="77">
        <v>8.3333333333333329E-2</v>
      </c>
      <c r="J5132">
        <v>73.039999999999992</v>
      </c>
      <c r="M5132" s="74">
        <v>34548</v>
      </c>
      <c r="N5132" s="77">
        <v>8.3333333333333329E-2</v>
      </c>
      <c r="P5132">
        <v>71.960000000000008</v>
      </c>
      <c r="S5132" s="74">
        <v>34913</v>
      </c>
      <c r="T5132" s="77">
        <v>8.3333333333333329E-2</v>
      </c>
      <c r="V5132">
        <v>77</v>
      </c>
      <c r="X5132" s="42"/>
      <c r="AB5132">
        <v>72.7</v>
      </c>
      <c r="AC5132">
        <v>73.039999999999992</v>
      </c>
      <c r="AE5132" s="74"/>
      <c r="AF5132" s="77"/>
      <c r="AH5132" s="497">
        <v>70.88</v>
      </c>
      <c r="AJ5132" s="42"/>
      <c r="AK5132" s="74"/>
      <c r="AL5132" s="77"/>
      <c r="AN5132" s="497">
        <v>55.94</v>
      </c>
      <c r="AP5132" s="42"/>
      <c r="AQ5132" s="74"/>
      <c r="AR5132" s="77"/>
      <c r="AT5132" s="497">
        <v>53.06</v>
      </c>
      <c r="AV5132" s="42"/>
      <c r="AW5132" s="74"/>
      <c r="AX5132" s="77"/>
      <c r="BA5132" s="497">
        <v>66.92</v>
      </c>
      <c r="BB5132" s="42"/>
      <c r="BC5132" s="74"/>
      <c r="BD5132" s="77"/>
      <c r="BF5132">
        <v>57.92</v>
      </c>
      <c r="BH5132" s="42"/>
      <c r="BI5132" s="74"/>
      <c r="BJ5132" s="77"/>
      <c r="BL5132" s="497">
        <v>57.92</v>
      </c>
      <c r="BN5132" s="42"/>
      <c r="BO5132" s="74"/>
      <c r="BP5132" s="77"/>
      <c r="BR5132" s="497">
        <v>57.019999999999996</v>
      </c>
      <c r="BT5132" s="42"/>
    </row>
    <row r="5133" spans="1:72" x14ac:dyDescent="0.25">
      <c r="A5133" s="90">
        <v>34913</v>
      </c>
      <c r="B5133" s="20">
        <v>0.125</v>
      </c>
      <c r="D5133">
        <v>71.06</v>
      </c>
      <c r="E5133" t="str">
        <f t="shared" si="194"/>
        <v>WEEKDAY</v>
      </c>
      <c r="F5133" t="e">
        <f t="shared" si="195"/>
        <v>#N/A</v>
      </c>
      <c r="G5133" s="74">
        <v>31991</v>
      </c>
      <c r="H5133" s="77">
        <v>0.125</v>
      </c>
      <c r="J5133">
        <v>71.960000000000008</v>
      </c>
      <c r="M5133" s="74">
        <v>34548</v>
      </c>
      <c r="N5133" s="77">
        <v>0.125</v>
      </c>
      <c r="P5133">
        <v>69.98</v>
      </c>
      <c r="S5133" s="74">
        <v>34913</v>
      </c>
      <c r="T5133" s="77">
        <v>0.125</v>
      </c>
      <c r="V5133">
        <v>77</v>
      </c>
      <c r="X5133" s="42"/>
      <c r="AB5133">
        <v>72.099999999999994</v>
      </c>
      <c r="AC5133">
        <v>73.039999999999992</v>
      </c>
      <c r="AE5133" s="74"/>
      <c r="AF5133" s="77"/>
      <c r="AH5133" s="497">
        <v>68.900000000000006</v>
      </c>
      <c r="AJ5133" s="42"/>
      <c r="AK5133" s="74"/>
      <c r="AL5133" s="77"/>
      <c r="AN5133" s="497">
        <v>55.94</v>
      </c>
      <c r="AP5133" s="42"/>
      <c r="AQ5133" s="74"/>
      <c r="AR5133" s="77"/>
      <c r="AT5133" s="497">
        <v>53.06</v>
      </c>
      <c r="AV5133" s="42"/>
      <c r="AW5133" s="74"/>
      <c r="AX5133" s="77"/>
      <c r="BA5133" s="497">
        <v>69.080000000000013</v>
      </c>
      <c r="BB5133" s="42"/>
      <c r="BC5133" s="74"/>
      <c r="BD5133" s="77"/>
      <c r="BF5133">
        <v>55.94</v>
      </c>
      <c r="BH5133" s="42"/>
      <c r="BI5133" s="74"/>
      <c r="BJ5133" s="77"/>
      <c r="BL5133" s="497">
        <v>57.92</v>
      </c>
      <c r="BN5133" s="42"/>
      <c r="BO5133" s="74"/>
      <c r="BP5133" s="77"/>
      <c r="BR5133" s="497">
        <v>55.94</v>
      </c>
      <c r="BT5133" s="42"/>
    </row>
    <row r="5134" spans="1:72" x14ac:dyDescent="0.25">
      <c r="A5134" s="90">
        <v>34913</v>
      </c>
      <c r="B5134" s="20">
        <v>0.16666666666666666</v>
      </c>
      <c r="D5134">
        <v>69.98</v>
      </c>
      <c r="E5134" t="str">
        <f t="shared" si="194"/>
        <v>WEEKDAY</v>
      </c>
      <c r="F5134" t="e">
        <f t="shared" si="195"/>
        <v>#N/A</v>
      </c>
      <c r="G5134" s="74">
        <v>31991</v>
      </c>
      <c r="H5134" s="77">
        <v>0.16666666666666666</v>
      </c>
      <c r="J5134">
        <v>71.960000000000008</v>
      </c>
      <c r="M5134" s="74">
        <v>34548</v>
      </c>
      <c r="N5134" s="77">
        <v>0.16666666666666666</v>
      </c>
      <c r="P5134">
        <v>69.98</v>
      </c>
      <c r="S5134" s="74">
        <v>34913</v>
      </c>
      <c r="T5134" s="77">
        <v>0.16666666666666666</v>
      </c>
      <c r="V5134">
        <v>77</v>
      </c>
      <c r="X5134" s="42"/>
      <c r="AB5134">
        <v>71.599999999999994</v>
      </c>
      <c r="AC5134">
        <v>75.02</v>
      </c>
      <c r="AE5134" s="74"/>
      <c r="AF5134" s="77"/>
      <c r="AH5134" s="497">
        <v>68</v>
      </c>
      <c r="AJ5134" s="42"/>
      <c r="AK5134" s="74"/>
      <c r="AL5134" s="77"/>
      <c r="AN5134" s="497">
        <v>55.040000000000006</v>
      </c>
      <c r="AP5134" s="42"/>
      <c r="AQ5134" s="74"/>
      <c r="AR5134" s="77"/>
      <c r="AT5134" s="497">
        <v>51.980000000000004</v>
      </c>
      <c r="AV5134" s="42"/>
      <c r="AW5134" s="74"/>
      <c r="AX5134" s="77"/>
      <c r="BA5134" s="497">
        <v>66.02</v>
      </c>
      <c r="BB5134" s="42"/>
      <c r="BC5134" s="74"/>
      <c r="BD5134" s="77"/>
      <c r="BF5134">
        <v>55.040000000000006</v>
      </c>
      <c r="BH5134" s="42"/>
      <c r="BI5134" s="74"/>
      <c r="BJ5134" s="77"/>
      <c r="BL5134" s="497">
        <v>55.94</v>
      </c>
      <c r="BN5134" s="42"/>
      <c r="BO5134" s="74"/>
      <c r="BP5134" s="77"/>
      <c r="BR5134" s="497">
        <v>55.040000000000006</v>
      </c>
      <c r="BT5134" s="42"/>
    </row>
    <row r="5135" spans="1:72" x14ac:dyDescent="0.25">
      <c r="A5135" s="90">
        <v>34913</v>
      </c>
      <c r="B5135" s="20">
        <v>0.20833333333333334</v>
      </c>
      <c r="D5135">
        <v>69.98</v>
      </c>
      <c r="E5135" t="str">
        <f t="shared" si="194"/>
        <v>WEEKDAY</v>
      </c>
      <c r="F5135" t="e">
        <f t="shared" si="195"/>
        <v>#N/A</v>
      </c>
      <c r="G5135" s="74">
        <v>31991</v>
      </c>
      <c r="H5135" s="77">
        <v>0.20833333333333334</v>
      </c>
      <c r="J5135">
        <v>71.960000000000008</v>
      </c>
      <c r="M5135" s="74">
        <v>34548</v>
      </c>
      <c r="N5135" s="77">
        <v>0.20833333333333334</v>
      </c>
      <c r="P5135">
        <v>70.88</v>
      </c>
      <c r="S5135" s="74">
        <v>34913</v>
      </c>
      <c r="T5135" s="77">
        <v>0.20833333333333334</v>
      </c>
      <c r="V5135">
        <v>75.92</v>
      </c>
      <c r="X5135" s="42"/>
      <c r="AB5135">
        <v>71.099999999999994</v>
      </c>
      <c r="AC5135">
        <v>75.92</v>
      </c>
      <c r="AE5135" s="74"/>
      <c r="AF5135" s="77"/>
      <c r="AH5135" s="497">
        <v>66.92</v>
      </c>
      <c r="AJ5135" s="42"/>
      <c r="AK5135" s="74"/>
      <c r="AL5135" s="77"/>
      <c r="AN5135" s="497">
        <v>55.040000000000006</v>
      </c>
      <c r="AP5135" s="42"/>
      <c r="AQ5135" s="74"/>
      <c r="AR5135" s="77"/>
      <c r="AT5135" s="497">
        <v>51.08</v>
      </c>
      <c r="AV5135" s="42"/>
      <c r="AW5135" s="74"/>
      <c r="AX5135" s="77"/>
      <c r="BA5135" s="497">
        <v>69.080000000000013</v>
      </c>
      <c r="BB5135" s="42"/>
      <c r="BC5135" s="74"/>
      <c r="BD5135" s="77"/>
      <c r="BF5135">
        <v>53.06</v>
      </c>
      <c r="BH5135" s="42"/>
      <c r="BI5135" s="74"/>
      <c r="BJ5135" s="77"/>
      <c r="BL5135" s="497">
        <v>55.040000000000006</v>
      </c>
      <c r="BN5135" s="42"/>
      <c r="BO5135" s="74"/>
      <c r="BP5135" s="77"/>
      <c r="BR5135" s="497">
        <v>55.040000000000006</v>
      </c>
      <c r="BT5135" s="42"/>
    </row>
    <row r="5136" spans="1:72" x14ac:dyDescent="0.25">
      <c r="A5136" s="90">
        <v>34913</v>
      </c>
      <c r="B5136" s="20">
        <v>0.25</v>
      </c>
      <c r="D5136">
        <v>69.080000000000013</v>
      </c>
      <c r="E5136" t="str">
        <f t="shared" si="194"/>
        <v>WEEKDAY</v>
      </c>
      <c r="F5136" t="e">
        <f t="shared" si="195"/>
        <v>#N/A</v>
      </c>
      <c r="G5136" s="74">
        <v>31991</v>
      </c>
      <c r="H5136" s="77">
        <v>0.25</v>
      </c>
      <c r="J5136">
        <v>71.960000000000008</v>
      </c>
      <c r="M5136" s="74">
        <v>34548</v>
      </c>
      <c r="N5136" s="77">
        <v>0.25</v>
      </c>
      <c r="P5136">
        <v>70.88</v>
      </c>
      <c r="S5136" s="74">
        <v>34913</v>
      </c>
      <c r="T5136" s="77">
        <v>0.25</v>
      </c>
      <c r="V5136">
        <v>77</v>
      </c>
      <c r="X5136" s="42"/>
      <c r="AB5136">
        <v>70.8</v>
      </c>
      <c r="AC5136">
        <v>75.02</v>
      </c>
      <c r="AE5136" s="74"/>
      <c r="AF5136" s="77"/>
      <c r="AH5136" s="497">
        <v>68.900000000000006</v>
      </c>
      <c r="AJ5136" s="42"/>
      <c r="AK5136" s="74"/>
      <c r="AL5136" s="77"/>
      <c r="AN5136" s="497">
        <v>55.94</v>
      </c>
      <c r="AP5136" s="42"/>
      <c r="AQ5136" s="74"/>
      <c r="AR5136" s="77"/>
      <c r="AT5136" s="497">
        <v>53.06</v>
      </c>
      <c r="AV5136" s="42"/>
      <c r="AW5136" s="74"/>
      <c r="AX5136" s="77"/>
      <c r="BA5136" s="497">
        <v>69.98</v>
      </c>
      <c r="BB5136" s="42"/>
      <c r="BC5136" s="74"/>
      <c r="BD5136" s="77"/>
      <c r="BF5136">
        <v>51.980000000000004</v>
      </c>
      <c r="BH5136" s="42"/>
      <c r="BI5136" s="74"/>
      <c r="BJ5136" s="77"/>
      <c r="BL5136" s="497">
        <v>55.94</v>
      </c>
      <c r="BN5136" s="42"/>
      <c r="BO5136" s="74"/>
      <c r="BP5136" s="77"/>
      <c r="BR5136" s="497">
        <v>57.92</v>
      </c>
      <c r="BT5136" s="42"/>
    </row>
    <row r="5137" spans="1:72" x14ac:dyDescent="0.25">
      <c r="A5137" s="90">
        <v>34913</v>
      </c>
      <c r="B5137" s="20">
        <v>0.29166666666666669</v>
      </c>
      <c r="D5137">
        <v>71.960000000000008</v>
      </c>
      <c r="E5137" t="str">
        <f t="shared" si="194"/>
        <v>WEEKDAY</v>
      </c>
      <c r="F5137" t="e">
        <f t="shared" si="195"/>
        <v>#N/A</v>
      </c>
      <c r="G5137" s="74">
        <v>31991</v>
      </c>
      <c r="H5137" s="77">
        <v>0.29166666666666669</v>
      </c>
      <c r="J5137">
        <v>73.039999999999992</v>
      </c>
      <c r="M5137" s="74">
        <v>34548</v>
      </c>
      <c r="N5137" s="77">
        <v>0.29166666666666669</v>
      </c>
      <c r="P5137">
        <v>72.86</v>
      </c>
      <c r="S5137" s="74">
        <v>34913</v>
      </c>
      <c r="T5137" s="77">
        <v>0.29166666666666669</v>
      </c>
      <c r="V5137">
        <v>78.98</v>
      </c>
      <c r="X5137" s="42"/>
      <c r="AB5137">
        <v>71.7</v>
      </c>
      <c r="AC5137">
        <v>78.080000000000013</v>
      </c>
      <c r="AE5137" s="74"/>
      <c r="AF5137" s="77"/>
      <c r="AH5137" s="497">
        <v>73.94</v>
      </c>
      <c r="AJ5137" s="42"/>
      <c r="AK5137" s="74"/>
      <c r="AL5137" s="77"/>
      <c r="AN5137" s="497">
        <v>59</v>
      </c>
      <c r="AP5137" s="42"/>
      <c r="AQ5137" s="74"/>
      <c r="AR5137" s="77"/>
      <c r="AT5137" s="497">
        <v>59</v>
      </c>
      <c r="AV5137" s="42"/>
      <c r="AW5137" s="74"/>
      <c r="AX5137" s="77"/>
      <c r="BA5137" s="497">
        <v>73.039999999999992</v>
      </c>
      <c r="BB5137" s="42"/>
      <c r="BC5137" s="74"/>
      <c r="BD5137" s="77"/>
      <c r="BF5137">
        <v>60.08</v>
      </c>
      <c r="BH5137" s="42"/>
      <c r="BI5137" s="74"/>
      <c r="BJ5137" s="77"/>
      <c r="BL5137" s="497">
        <v>60.980000000000004</v>
      </c>
      <c r="BN5137" s="42"/>
      <c r="BO5137" s="74"/>
      <c r="BP5137" s="77"/>
      <c r="BR5137" s="497">
        <v>64.94</v>
      </c>
      <c r="BT5137" s="42"/>
    </row>
    <row r="5138" spans="1:72" x14ac:dyDescent="0.25">
      <c r="A5138" s="90">
        <v>34913</v>
      </c>
      <c r="B5138" s="20">
        <v>0.33333333333333331</v>
      </c>
      <c r="D5138">
        <v>73.94</v>
      </c>
      <c r="E5138" t="str">
        <f t="shared" si="194"/>
        <v>WEEKDAY</v>
      </c>
      <c r="F5138" t="e">
        <f t="shared" si="195"/>
        <v>#N/A</v>
      </c>
      <c r="G5138" s="74">
        <v>31991</v>
      </c>
      <c r="H5138" s="77">
        <v>0.33333333333333331</v>
      </c>
      <c r="J5138">
        <v>75.92</v>
      </c>
      <c r="M5138" s="74">
        <v>34548</v>
      </c>
      <c r="N5138" s="77">
        <v>0.33333333333333331</v>
      </c>
      <c r="P5138">
        <v>78.98</v>
      </c>
      <c r="S5138" s="74">
        <v>34913</v>
      </c>
      <c r="T5138" s="77">
        <v>0.33333333333333331</v>
      </c>
      <c r="V5138">
        <v>82.94</v>
      </c>
      <c r="X5138" s="42"/>
      <c r="AB5138">
        <v>73.8</v>
      </c>
      <c r="AC5138">
        <v>80.960000000000008</v>
      </c>
      <c r="AE5138" s="74"/>
      <c r="AF5138" s="77"/>
      <c r="AH5138" s="497">
        <v>75.92</v>
      </c>
      <c r="AJ5138" s="42"/>
      <c r="AK5138" s="74"/>
      <c r="AL5138" s="77"/>
      <c r="AN5138" s="497">
        <v>60.980000000000004</v>
      </c>
      <c r="AP5138" s="42"/>
      <c r="AQ5138" s="74"/>
      <c r="AR5138" s="77"/>
      <c r="AT5138" s="497">
        <v>62.96</v>
      </c>
      <c r="AV5138" s="42"/>
      <c r="AW5138" s="74"/>
      <c r="AX5138" s="77"/>
      <c r="BA5138" s="497">
        <v>75.02</v>
      </c>
      <c r="BB5138" s="42"/>
      <c r="BC5138" s="74"/>
      <c r="BD5138" s="77"/>
      <c r="BF5138">
        <v>64.94</v>
      </c>
      <c r="BH5138" s="42"/>
      <c r="BI5138" s="74"/>
      <c r="BJ5138" s="77"/>
      <c r="BL5138" s="497">
        <v>64.94</v>
      </c>
      <c r="BN5138" s="42"/>
      <c r="BO5138" s="74"/>
      <c r="BP5138" s="77"/>
      <c r="BR5138" s="497">
        <v>73.039999999999992</v>
      </c>
      <c r="BT5138" s="42"/>
    </row>
    <row r="5139" spans="1:72" x14ac:dyDescent="0.25">
      <c r="A5139" s="90">
        <v>34913</v>
      </c>
      <c r="B5139" s="20">
        <v>0.375</v>
      </c>
      <c r="D5139">
        <v>75.92</v>
      </c>
      <c r="E5139" t="str">
        <f t="shared" ref="E5139:E5202" si="196">IF(COUNTIF($DI$18:$DI$22, WEEKDAY(A5139))=1, "WEEKDAY", IF(WEEKDAY(A5139) = 1, "SUNDAY", "SATURDAY"))</f>
        <v>WEEKDAY</v>
      </c>
      <c r="F5139" t="e">
        <f t="shared" si="195"/>
        <v>#N/A</v>
      </c>
      <c r="G5139" s="74">
        <v>31991</v>
      </c>
      <c r="H5139" s="77">
        <v>0.375</v>
      </c>
      <c r="J5139">
        <v>77</v>
      </c>
      <c r="M5139" s="74">
        <v>34548</v>
      </c>
      <c r="N5139" s="77">
        <v>0.375</v>
      </c>
      <c r="P5139">
        <v>77.900000000000006</v>
      </c>
      <c r="S5139" s="74">
        <v>34913</v>
      </c>
      <c r="T5139" s="77">
        <v>0.375</v>
      </c>
      <c r="V5139">
        <v>84.92</v>
      </c>
      <c r="X5139" s="42"/>
      <c r="AB5139">
        <v>75.900000000000006</v>
      </c>
      <c r="AC5139">
        <v>84.02</v>
      </c>
      <c r="AE5139" s="74"/>
      <c r="AF5139" s="77"/>
      <c r="AH5139" s="497">
        <v>78.98</v>
      </c>
      <c r="AJ5139" s="42"/>
      <c r="AK5139" s="74"/>
      <c r="AL5139" s="77"/>
      <c r="AN5139" s="497">
        <v>64.94</v>
      </c>
      <c r="AP5139" s="42"/>
      <c r="AQ5139" s="74"/>
      <c r="AR5139" s="77"/>
      <c r="AT5139" s="497">
        <v>66.92</v>
      </c>
      <c r="AV5139" s="42"/>
      <c r="AW5139" s="74"/>
      <c r="AX5139" s="77"/>
      <c r="BA5139" s="497">
        <v>77</v>
      </c>
      <c r="BB5139" s="42"/>
      <c r="BC5139" s="74"/>
      <c r="BD5139" s="77"/>
      <c r="BF5139">
        <v>66.92</v>
      </c>
      <c r="BH5139" s="42"/>
      <c r="BI5139" s="74"/>
      <c r="BJ5139" s="77"/>
      <c r="BL5139" s="497">
        <v>71.06</v>
      </c>
      <c r="BN5139" s="42"/>
      <c r="BO5139" s="74"/>
      <c r="BP5139" s="77"/>
      <c r="BR5139" s="497">
        <v>78.080000000000013</v>
      </c>
      <c r="BT5139" s="42"/>
    </row>
    <row r="5140" spans="1:72" x14ac:dyDescent="0.25">
      <c r="A5140" s="90">
        <v>34913</v>
      </c>
      <c r="B5140" s="20">
        <v>0.41666666666666669</v>
      </c>
      <c r="D5140">
        <v>77</v>
      </c>
      <c r="E5140" t="str">
        <f t="shared" si="196"/>
        <v>WEEKDAY</v>
      </c>
      <c r="F5140" t="e">
        <f t="shared" si="195"/>
        <v>#N/A</v>
      </c>
      <c r="G5140" s="74">
        <v>31991</v>
      </c>
      <c r="H5140" s="77">
        <v>0.41666666666666669</v>
      </c>
      <c r="J5140">
        <v>77</v>
      </c>
      <c r="M5140" s="74">
        <v>34548</v>
      </c>
      <c r="N5140" s="77">
        <v>0.41666666666666669</v>
      </c>
      <c r="P5140">
        <v>81.680000000000007</v>
      </c>
      <c r="S5140" s="74">
        <v>34913</v>
      </c>
      <c r="T5140" s="77">
        <v>0.41666666666666669</v>
      </c>
      <c r="V5140">
        <v>84.92</v>
      </c>
      <c r="X5140" s="42"/>
      <c r="AB5140">
        <v>77.8</v>
      </c>
      <c r="AC5140">
        <v>84.02</v>
      </c>
      <c r="AE5140" s="74"/>
      <c r="AF5140" s="77"/>
      <c r="AH5140" s="497">
        <v>81.86</v>
      </c>
      <c r="AJ5140" s="42"/>
      <c r="AK5140" s="74"/>
      <c r="AL5140" s="77"/>
      <c r="AN5140" s="497">
        <v>66.92</v>
      </c>
      <c r="AP5140" s="42"/>
      <c r="AQ5140" s="74"/>
      <c r="AR5140" s="77"/>
      <c r="AT5140" s="497">
        <v>69.080000000000013</v>
      </c>
      <c r="AV5140" s="42"/>
      <c r="AW5140" s="74"/>
      <c r="AX5140" s="77"/>
      <c r="BA5140" s="497">
        <v>77</v>
      </c>
      <c r="BB5140" s="42"/>
      <c r="BC5140" s="74"/>
      <c r="BD5140" s="77"/>
      <c r="BF5140">
        <v>69.98</v>
      </c>
      <c r="BH5140" s="42"/>
      <c r="BI5140" s="74"/>
      <c r="BJ5140" s="77"/>
      <c r="BL5140" s="497">
        <v>73.94</v>
      </c>
      <c r="BN5140" s="42"/>
      <c r="BO5140" s="74"/>
      <c r="BP5140" s="77"/>
      <c r="BR5140" s="497">
        <v>82.039999999999992</v>
      </c>
      <c r="BT5140" s="42"/>
    </row>
    <row r="5141" spans="1:72" x14ac:dyDescent="0.25">
      <c r="A5141" s="90">
        <v>34913</v>
      </c>
      <c r="B5141" s="20">
        <v>0.45833333333333331</v>
      </c>
      <c r="D5141">
        <v>80.06</v>
      </c>
      <c r="E5141" t="str">
        <f t="shared" si="196"/>
        <v>WEEKDAY</v>
      </c>
      <c r="F5141" t="e">
        <f t="shared" si="195"/>
        <v>#N/A</v>
      </c>
      <c r="G5141" s="74">
        <v>31991</v>
      </c>
      <c r="H5141" s="77">
        <v>0.45833333333333331</v>
      </c>
      <c r="J5141">
        <v>75.92</v>
      </c>
      <c r="M5141" s="74">
        <v>34548</v>
      </c>
      <c r="N5141" s="77">
        <v>0.45833333333333331</v>
      </c>
      <c r="P5141">
        <v>84.92</v>
      </c>
      <c r="S5141" s="74">
        <v>34913</v>
      </c>
      <c r="T5141" s="77">
        <v>0.45833333333333331</v>
      </c>
      <c r="V5141">
        <v>86</v>
      </c>
      <c r="X5141" s="42"/>
      <c r="AB5141">
        <v>79.2</v>
      </c>
      <c r="AC5141">
        <v>86</v>
      </c>
      <c r="AE5141" s="74"/>
      <c r="AF5141" s="77"/>
      <c r="AH5141" s="497">
        <v>83.84</v>
      </c>
      <c r="AJ5141" s="42"/>
      <c r="AK5141" s="74"/>
      <c r="AL5141" s="77"/>
      <c r="AN5141" s="497">
        <v>69.080000000000013</v>
      </c>
      <c r="AP5141" s="42"/>
      <c r="AQ5141" s="74"/>
      <c r="AR5141" s="77"/>
      <c r="AT5141" s="497">
        <v>71.960000000000008</v>
      </c>
      <c r="AV5141" s="42"/>
      <c r="AW5141" s="74"/>
      <c r="AX5141" s="77"/>
      <c r="BA5141" s="497">
        <v>82.039999999999992</v>
      </c>
      <c r="BB5141" s="42"/>
      <c r="BC5141" s="74"/>
      <c r="BD5141" s="77"/>
      <c r="BF5141">
        <v>69.98</v>
      </c>
      <c r="BH5141" s="42"/>
      <c r="BI5141" s="74"/>
      <c r="BJ5141" s="77"/>
      <c r="BL5141" s="497">
        <v>77</v>
      </c>
      <c r="BN5141" s="42"/>
      <c r="BO5141" s="74"/>
      <c r="BP5141" s="77"/>
      <c r="BR5141" s="497">
        <v>86</v>
      </c>
      <c r="BT5141" s="42"/>
    </row>
    <row r="5142" spans="1:72" x14ac:dyDescent="0.25">
      <c r="A5142" s="90">
        <v>34913</v>
      </c>
      <c r="B5142" s="20">
        <v>0.5</v>
      </c>
      <c r="D5142">
        <v>80.960000000000008</v>
      </c>
      <c r="E5142" t="str">
        <f t="shared" si="196"/>
        <v>WEEKDAY</v>
      </c>
      <c r="F5142" t="e">
        <f t="shared" si="195"/>
        <v>#N/A</v>
      </c>
      <c r="G5142" s="74">
        <v>31991</v>
      </c>
      <c r="H5142" s="77">
        <v>0.5</v>
      </c>
      <c r="J5142">
        <v>77</v>
      </c>
      <c r="M5142" s="74">
        <v>34548</v>
      </c>
      <c r="N5142" s="77">
        <v>0.5</v>
      </c>
      <c r="P5142">
        <v>86</v>
      </c>
      <c r="S5142" s="74">
        <v>34913</v>
      </c>
      <c r="T5142" s="77">
        <v>0.5</v>
      </c>
      <c r="V5142">
        <v>84.92</v>
      </c>
      <c r="X5142" s="42"/>
      <c r="AB5142">
        <v>80.3</v>
      </c>
      <c r="AC5142">
        <v>87.98</v>
      </c>
      <c r="AE5142" s="74"/>
      <c r="AF5142" s="77"/>
      <c r="AH5142" s="497">
        <v>86</v>
      </c>
      <c r="AJ5142" s="42"/>
      <c r="AK5142" s="74"/>
      <c r="AL5142" s="77"/>
      <c r="AN5142" s="497">
        <v>71.06</v>
      </c>
      <c r="AP5142" s="42"/>
      <c r="AQ5142" s="74"/>
      <c r="AR5142" s="77"/>
      <c r="AT5142" s="497">
        <v>73.039999999999992</v>
      </c>
      <c r="AV5142" s="42"/>
      <c r="AW5142" s="74"/>
      <c r="AX5142" s="77"/>
      <c r="BA5142" s="497">
        <v>82.039999999999992</v>
      </c>
      <c r="BB5142" s="42"/>
      <c r="BC5142" s="74"/>
      <c r="BD5142" s="77"/>
      <c r="BF5142">
        <v>71.960000000000008</v>
      </c>
      <c r="BH5142" s="42"/>
      <c r="BI5142" s="74"/>
      <c r="BJ5142" s="77"/>
      <c r="BL5142" s="497">
        <v>80.06</v>
      </c>
      <c r="BN5142" s="42"/>
      <c r="BO5142" s="74"/>
      <c r="BP5142" s="77"/>
      <c r="BR5142" s="497">
        <v>87.080000000000013</v>
      </c>
      <c r="BT5142" s="42"/>
    </row>
    <row r="5143" spans="1:72" x14ac:dyDescent="0.25">
      <c r="A5143" s="90">
        <v>34913</v>
      </c>
      <c r="B5143" s="20">
        <v>0.54166666666666663</v>
      </c>
      <c r="D5143">
        <v>82.94</v>
      </c>
      <c r="E5143" t="str">
        <f t="shared" si="196"/>
        <v>WEEKDAY</v>
      </c>
      <c r="F5143" t="e">
        <f t="shared" si="195"/>
        <v>#N/A</v>
      </c>
      <c r="G5143" s="74">
        <v>31991</v>
      </c>
      <c r="H5143" s="77">
        <v>0.54166666666666663</v>
      </c>
      <c r="J5143">
        <v>78.080000000000013</v>
      </c>
      <c r="M5143" s="74">
        <v>34548</v>
      </c>
      <c r="N5143" s="77">
        <v>0.54166666666666663</v>
      </c>
      <c r="P5143">
        <v>86</v>
      </c>
      <c r="S5143" s="74">
        <v>34913</v>
      </c>
      <c r="T5143" s="77">
        <v>0.54166666666666663</v>
      </c>
      <c r="V5143">
        <v>86</v>
      </c>
      <c r="X5143" s="42"/>
      <c r="AB5143">
        <v>81.099999999999994</v>
      </c>
      <c r="AC5143">
        <v>89.06</v>
      </c>
      <c r="AE5143" s="74"/>
      <c r="AF5143" s="77"/>
      <c r="AH5143" s="497">
        <v>88.88</v>
      </c>
      <c r="AJ5143" s="42"/>
      <c r="AK5143" s="74"/>
      <c r="AL5143" s="77"/>
      <c r="AN5143" s="497">
        <v>71.06</v>
      </c>
      <c r="AP5143" s="42"/>
      <c r="AQ5143" s="74"/>
      <c r="AR5143" s="77"/>
      <c r="AT5143" s="497">
        <v>75.02</v>
      </c>
      <c r="AV5143" s="42"/>
      <c r="AW5143" s="74"/>
      <c r="AX5143" s="77"/>
      <c r="BA5143" s="497">
        <v>84.02</v>
      </c>
      <c r="BB5143" s="42"/>
      <c r="BC5143" s="74"/>
      <c r="BD5143" s="77"/>
      <c r="BF5143">
        <v>75.02</v>
      </c>
      <c r="BH5143" s="42"/>
      <c r="BI5143" s="74"/>
      <c r="BJ5143" s="77"/>
      <c r="BL5143" s="497">
        <v>80.06</v>
      </c>
      <c r="BN5143" s="42"/>
      <c r="BO5143" s="74"/>
      <c r="BP5143" s="77"/>
      <c r="BR5143" s="497">
        <v>87.080000000000013</v>
      </c>
      <c r="BT5143" s="42"/>
    </row>
    <row r="5144" spans="1:72" x14ac:dyDescent="0.25">
      <c r="A5144" s="90">
        <v>34913</v>
      </c>
      <c r="B5144" s="20">
        <v>0.58333333333333337</v>
      </c>
      <c r="D5144">
        <v>82.039999999999992</v>
      </c>
      <c r="E5144" t="str">
        <f t="shared" si="196"/>
        <v>WEEKDAY</v>
      </c>
      <c r="F5144" t="e">
        <f t="shared" si="195"/>
        <v>#N/A</v>
      </c>
      <c r="G5144" s="74">
        <v>31991</v>
      </c>
      <c r="H5144" s="77">
        <v>0.58333333333333337</v>
      </c>
      <c r="J5144">
        <v>77</v>
      </c>
      <c r="M5144" s="74">
        <v>34548</v>
      </c>
      <c r="N5144" s="77">
        <v>0.58333333333333337</v>
      </c>
      <c r="P5144">
        <v>86</v>
      </c>
      <c r="S5144" s="74">
        <v>34913</v>
      </c>
      <c r="T5144" s="77">
        <v>0.58333333333333337</v>
      </c>
      <c r="V5144">
        <v>86</v>
      </c>
      <c r="X5144" s="42"/>
      <c r="AB5144">
        <v>81.5</v>
      </c>
      <c r="AC5144">
        <v>87.98</v>
      </c>
      <c r="AE5144" s="74"/>
      <c r="AF5144" s="77"/>
      <c r="AH5144" s="497">
        <v>87.98</v>
      </c>
      <c r="AJ5144" s="42"/>
      <c r="AK5144" s="74"/>
      <c r="AL5144" s="77"/>
      <c r="AN5144" s="497">
        <v>71.960000000000008</v>
      </c>
      <c r="AP5144" s="42"/>
      <c r="AQ5144" s="74"/>
      <c r="AR5144" s="77"/>
      <c r="AT5144" s="497">
        <v>75.92</v>
      </c>
      <c r="AV5144" s="42"/>
      <c r="AW5144" s="74"/>
      <c r="AX5144" s="77"/>
      <c r="BA5144" s="497">
        <v>84.02</v>
      </c>
      <c r="BB5144" s="42"/>
      <c r="BC5144" s="74"/>
      <c r="BD5144" s="77"/>
      <c r="BF5144">
        <v>75.02</v>
      </c>
      <c r="BH5144" s="42"/>
      <c r="BI5144" s="74"/>
      <c r="BJ5144" s="77"/>
      <c r="BL5144" s="497">
        <v>82.039999999999992</v>
      </c>
      <c r="BN5144" s="42"/>
      <c r="BO5144" s="74"/>
      <c r="BP5144" s="77"/>
      <c r="BR5144" s="497">
        <v>84.02</v>
      </c>
      <c r="BT5144" s="42"/>
    </row>
    <row r="5145" spans="1:72" x14ac:dyDescent="0.25">
      <c r="A5145" s="90">
        <v>34913</v>
      </c>
      <c r="B5145" s="20">
        <v>0.625</v>
      </c>
      <c r="D5145">
        <v>84.02</v>
      </c>
      <c r="E5145" t="str">
        <f t="shared" si="196"/>
        <v>WEEKDAY</v>
      </c>
      <c r="F5145" t="e">
        <f t="shared" si="195"/>
        <v>#N/A</v>
      </c>
      <c r="G5145" s="74">
        <v>31991</v>
      </c>
      <c r="H5145" s="77">
        <v>0.625</v>
      </c>
      <c r="J5145">
        <v>77</v>
      </c>
      <c r="M5145" s="74">
        <v>34548</v>
      </c>
      <c r="N5145" s="77">
        <v>0.625</v>
      </c>
      <c r="P5145">
        <v>83.84</v>
      </c>
      <c r="S5145" s="74">
        <v>34913</v>
      </c>
      <c r="T5145" s="77">
        <v>0.625</v>
      </c>
      <c r="V5145">
        <v>87.080000000000013</v>
      </c>
      <c r="X5145" s="42"/>
      <c r="AB5145">
        <v>81.5</v>
      </c>
      <c r="AC5145">
        <v>87.98</v>
      </c>
      <c r="AE5145" s="74"/>
      <c r="AF5145" s="77"/>
      <c r="AH5145" s="497">
        <v>88.88</v>
      </c>
      <c r="AJ5145" s="42"/>
      <c r="AK5145" s="74"/>
      <c r="AL5145" s="77"/>
      <c r="AN5145" s="497">
        <v>73.039999999999992</v>
      </c>
      <c r="AP5145" s="42"/>
      <c r="AQ5145" s="74"/>
      <c r="AR5145" s="77"/>
      <c r="AT5145" s="497">
        <v>77</v>
      </c>
      <c r="AV5145" s="42"/>
      <c r="AW5145" s="74"/>
      <c r="AX5145" s="77"/>
      <c r="BA5145" s="497">
        <v>84.02</v>
      </c>
      <c r="BB5145" s="42"/>
      <c r="BC5145" s="74"/>
      <c r="BD5145" s="77"/>
      <c r="BF5145">
        <v>73.94</v>
      </c>
      <c r="BH5145" s="42"/>
      <c r="BI5145" s="74"/>
      <c r="BJ5145" s="77"/>
      <c r="BL5145" s="497">
        <v>82.94</v>
      </c>
      <c r="BN5145" s="42"/>
      <c r="BO5145" s="74"/>
      <c r="BP5145" s="77"/>
      <c r="BR5145" s="497">
        <v>87.080000000000013</v>
      </c>
      <c r="BT5145" s="42"/>
    </row>
    <row r="5146" spans="1:72" x14ac:dyDescent="0.25">
      <c r="A5146" s="90">
        <v>34913</v>
      </c>
      <c r="B5146" s="20">
        <v>0.66666666666666663</v>
      </c>
      <c r="D5146">
        <v>82.039999999999992</v>
      </c>
      <c r="E5146" t="str">
        <f t="shared" si="196"/>
        <v>WEEKDAY</v>
      </c>
      <c r="F5146" t="e">
        <f t="shared" si="195"/>
        <v>#N/A</v>
      </c>
      <c r="G5146" s="74">
        <v>31991</v>
      </c>
      <c r="H5146" s="77">
        <v>0.66666666666666663</v>
      </c>
      <c r="J5146">
        <v>75.92</v>
      </c>
      <c r="M5146" s="74">
        <v>34548</v>
      </c>
      <c r="N5146" s="77">
        <v>0.66666666666666663</v>
      </c>
      <c r="P5146">
        <v>82.94</v>
      </c>
      <c r="S5146" s="74">
        <v>34913</v>
      </c>
      <c r="T5146" s="77">
        <v>0.66666666666666663</v>
      </c>
      <c r="V5146">
        <v>86</v>
      </c>
      <c r="X5146" s="42"/>
      <c r="AB5146">
        <v>80.900000000000006</v>
      </c>
      <c r="AC5146">
        <v>84.92</v>
      </c>
      <c r="AE5146" s="74"/>
      <c r="AF5146" s="77"/>
      <c r="AH5146" s="497">
        <v>86.9</v>
      </c>
      <c r="AJ5146" s="42"/>
      <c r="AK5146" s="74"/>
      <c r="AL5146" s="77"/>
      <c r="AN5146" s="497">
        <v>73.94</v>
      </c>
      <c r="AP5146" s="42"/>
      <c r="AQ5146" s="74"/>
      <c r="AR5146" s="77"/>
      <c r="AT5146" s="497">
        <v>77</v>
      </c>
      <c r="AV5146" s="42"/>
      <c r="AW5146" s="74"/>
      <c r="AX5146" s="77"/>
      <c r="BA5146" s="497">
        <v>82.94</v>
      </c>
      <c r="BB5146" s="42"/>
      <c r="BC5146" s="74"/>
      <c r="BD5146" s="77"/>
      <c r="BF5146">
        <v>75.02</v>
      </c>
      <c r="BH5146" s="42"/>
      <c r="BI5146" s="74"/>
      <c r="BJ5146" s="77"/>
      <c r="BL5146" s="497">
        <v>82.039999999999992</v>
      </c>
      <c r="BN5146" s="42"/>
      <c r="BO5146" s="74"/>
      <c r="BP5146" s="77"/>
      <c r="BR5146" s="497">
        <v>87.080000000000013</v>
      </c>
      <c r="BT5146" s="42"/>
    </row>
    <row r="5147" spans="1:72" x14ac:dyDescent="0.25">
      <c r="A5147" s="90">
        <v>34913</v>
      </c>
      <c r="B5147" s="20">
        <v>0.70833333333333337</v>
      </c>
      <c r="D5147">
        <v>80.960000000000008</v>
      </c>
      <c r="E5147" t="str">
        <f t="shared" si="196"/>
        <v>WEEKDAY</v>
      </c>
      <c r="F5147" t="e">
        <f t="shared" si="195"/>
        <v>#N/A</v>
      </c>
      <c r="G5147" s="74">
        <v>31991</v>
      </c>
      <c r="H5147" s="77">
        <v>0.70833333333333337</v>
      </c>
      <c r="J5147">
        <v>77</v>
      </c>
      <c r="M5147" s="74">
        <v>34548</v>
      </c>
      <c r="N5147" s="77">
        <v>0.70833333333333337</v>
      </c>
      <c r="P5147">
        <v>81.86</v>
      </c>
      <c r="S5147" s="74">
        <v>34913</v>
      </c>
      <c r="T5147" s="77">
        <v>0.70833333333333337</v>
      </c>
      <c r="V5147">
        <v>84.92</v>
      </c>
      <c r="X5147" s="42"/>
      <c r="AB5147">
        <v>80.2</v>
      </c>
      <c r="AC5147">
        <v>82.94</v>
      </c>
      <c r="AE5147" s="74"/>
      <c r="AF5147" s="77"/>
      <c r="AH5147" s="497">
        <v>86</v>
      </c>
      <c r="AJ5147" s="42"/>
      <c r="AK5147" s="74"/>
      <c r="AL5147" s="77"/>
      <c r="AN5147" s="497">
        <v>73.039999999999992</v>
      </c>
      <c r="AP5147" s="42"/>
      <c r="AQ5147" s="74"/>
      <c r="AR5147" s="77"/>
      <c r="AT5147" s="497">
        <v>75.92</v>
      </c>
      <c r="AV5147" s="42"/>
      <c r="AW5147" s="74"/>
      <c r="AX5147" s="77"/>
      <c r="BA5147" s="497">
        <v>82.039999999999992</v>
      </c>
      <c r="BB5147" s="42"/>
      <c r="BC5147" s="74"/>
      <c r="BD5147" s="77"/>
      <c r="BF5147">
        <v>75.02</v>
      </c>
      <c r="BH5147" s="42"/>
      <c r="BI5147" s="74"/>
      <c r="BJ5147" s="77"/>
      <c r="BL5147" s="497">
        <v>82.039999999999992</v>
      </c>
      <c r="BN5147" s="42"/>
      <c r="BO5147" s="74"/>
      <c r="BP5147" s="77"/>
      <c r="BR5147" s="497">
        <v>86</v>
      </c>
      <c r="BT5147" s="42"/>
    </row>
    <row r="5148" spans="1:72" x14ac:dyDescent="0.25">
      <c r="A5148" s="90">
        <v>34913</v>
      </c>
      <c r="B5148" s="20">
        <v>0.75</v>
      </c>
      <c r="D5148">
        <v>78.98</v>
      </c>
      <c r="E5148" t="str">
        <f t="shared" si="196"/>
        <v>WEEKDAY</v>
      </c>
      <c r="F5148" t="e">
        <f t="shared" si="195"/>
        <v>#N/A</v>
      </c>
      <c r="G5148" s="74">
        <v>31991</v>
      </c>
      <c r="H5148" s="77">
        <v>0.75</v>
      </c>
      <c r="J5148">
        <v>75.02</v>
      </c>
      <c r="M5148" s="74">
        <v>34548</v>
      </c>
      <c r="N5148" s="77">
        <v>0.75</v>
      </c>
      <c r="P5148">
        <v>79.88</v>
      </c>
      <c r="S5148" s="74">
        <v>34913</v>
      </c>
      <c r="T5148" s="77">
        <v>0.75</v>
      </c>
      <c r="V5148">
        <v>80.960000000000008</v>
      </c>
      <c r="X5148" s="42"/>
      <c r="AB5148">
        <v>79.2</v>
      </c>
      <c r="AC5148">
        <v>80.960000000000008</v>
      </c>
      <c r="AE5148" s="74"/>
      <c r="AF5148" s="77"/>
      <c r="AH5148" s="497">
        <v>84.92</v>
      </c>
      <c r="AJ5148" s="42"/>
      <c r="AK5148" s="74"/>
      <c r="AL5148" s="77"/>
      <c r="AN5148" s="497">
        <v>71.06</v>
      </c>
      <c r="AP5148" s="42"/>
      <c r="AQ5148" s="74"/>
      <c r="AR5148" s="77"/>
      <c r="AT5148" s="497">
        <v>75.02</v>
      </c>
      <c r="AV5148" s="42"/>
      <c r="AW5148" s="74"/>
      <c r="AX5148" s="77"/>
      <c r="BA5148" s="497">
        <v>80.960000000000008</v>
      </c>
      <c r="BB5148" s="42"/>
      <c r="BC5148" s="74"/>
      <c r="BD5148" s="77"/>
      <c r="BF5148">
        <v>73.039999999999992</v>
      </c>
      <c r="BH5148" s="42"/>
      <c r="BI5148" s="74"/>
      <c r="BJ5148" s="77"/>
      <c r="BL5148" s="497">
        <v>80.06</v>
      </c>
      <c r="BN5148" s="42"/>
      <c r="BO5148" s="74"/>
      <c r="BP5148" s="77"/>
      <c r="BR5148" s="497">
        <v>84.02</v>
      </c>
      <c r="BT5148" s="42"/>
    </row>
    <row r="5149" spans="1:72" x14ac:dyDescent="0.25">
      <c r="A5149" s="90">
        <v>34913</v>
      </c>
      <c r="B5149" s="20">
        <v>0.79166666666666663</v>
      </c>
      <c r="D5149">
        <v>78.080000000000013</v>
      </c>
      <c r="E5149" t="str">
        <f t="shared" si="196"/>
        <v>WEEKDAY</v>
      </c>
      <c r="F5149" t="e">
        <f t="shared" si="195"/>
        <v>#N/A</v>
      </c>
      <c r="G5149" s="74">
        <v>31991</v>
      </c>
      <c r="H5149" s="77">
        <v>0.79166666666666663</v>
      </c>
      <c r="J5149">
        <v>75.92</v>
      </c>
      <c r="M5149" s="74">
        <v>34548</v>
      </c>
      <c r="N5149" s="77">
        <v>0.79166666666666663</v>
      </c>
      <c r="P5149">
        <v>75.92</v>
      </c>
      <c r="S5149" s="74">
        <v>34913</v>
      </c>
      <c r="T5149" s="77">
        <v>0.79166666666666663</v>
      </c>
      <c r="V5149">
        <v>82.039999999999992</v>
      </c>
      <c r="X5149" s="42"/>
      <c r="AB5149">
        <v>77.900000000000006</v>
      </c>
      <c r="AC5149">
        <v>69.080000000000013</v>
      </c>
      <c r="AE5149" s="74"/>
      <c r="AF5149" s="77"/>
      <c r="AH5149" s="497">
        <v>80.960000000000008</v>
      </c>
      <c r="AJ5149" s="42"/>
      <c r="AK5149" s="74"/>
      <c r="AL5149" s="77"/>
      <c r="AN5149" s="497">
        <v>69.080000000000013</v>
      </c>
      <c r="AP5149" s="42"/>
      <c r="AQ5149" s="74"/>
      <c r="AR5149" s="77"/>
      <c r="AT5149" s="497">
        <v>69.98</v>
      </c>
      <c r="AV5149" s="42"/>
      <c r="AW5149" s="74"/>
      <c r="AX5149" s="77"/>
      <c r="BA5149" s="497">
        <v>80.06</v>
      </c>
      <c r="BB5149" s="42"/>
      <c r="BC5149" s="74"/>
      <c r="BD5149" s="77"/>
      <c r="BF5149">
        <v>71.06</v>
      </c>
      <c r="BH5149" s="42"/>
      <c r="BI5149" s="74"/>
      <c r="BJ5149" s="77"/>
      <c r="BL5149" s="497">
        <v>77</v>
      </c>
      <c r="BN5149" s="42"/>
      <c r="BO5149" s="74"/>
      <c r="BP5149" s="77"/>
      <c r="BR5149" s="497">
        <v>80.06</v>
      </c>
      <c r="BT5149" s="42"/>
    </row>
    <row r="5150" spans="1:72" x14ac:dyDescent="0.25">
      <c r="A5150" s="90">
        <v>34913</v>
      </c>
      <c r="B5150" s="20">
        <v>0.83333333333333337</v>
      </c>
      <c r="D5150">
        <v>75.02</v>
      </c>
      <c r="E5150" t="str">
        <f t="shared" si="196"/>
        <v>WEEKDAY</v>
      </c>
      <c r="F5150" t="e">
        <f t="shared" si="195"/>
        <v>#N/A</v>
      </c>
      <c r="G5150" s="74">
        <v>31991</v>
      </c>
      <c r="H5150" s="77">
        <v>0.83333333333333337</v>
      </c>
      <c r="J5150">
        <v>75.92</v>
      </c>
      <c r="M5150" s="74">
        <v>34548</v>
      </c>
      <c r="N5150" s="77">
        <v>0.83333333333333337</v>
      </c>
      <c r="P5150">
        <v>74.84</v>
      </c>
      <c r="S5150" s="74">
        <v>34913</v>
      </c>
      <c r="T5150" s="77">
        <v>0.83333333333333337</v>
      </c>
      <c r="V5150">
        <v>80.960000000000008</v>
      </c>
      <c r="X5150" s="42"/>
      <c r="AB5150">
        <v>76.5</v>
      </c>
      <c r="AC5150">
        <v>69.98</v>
      </c>
      <c r="AE5150" s="74"/>
      <c r="AF5150" s="77"/>
      <c r="AH5150" s="497">
        <v>77</v>
      </c>
      <c r="AJ5150" s="42"/>
      <c r="AK5150" s="74"/>
      <c r="AL5150" s="77"/>
      <c r="AN5150" s="497">
        <v>64.94</v>
      </c>
      <c r="AP5150" s="42"/>
      <c r="AQ5150" s="74"/>
      <c r="AR5150" s="77"/>
      <c r="AT5150" s="497">
        <v>62.96</v>
      </c>
      <c r="AV5150" s="42"/>
      <c r="AW5150" s="74"/>
      <c r="AX5150" s="77"/>
      <c r="BA5150" s="497">
        <v>75.92</v>
      </c>
      <c r="BB5150" s="42"/>
      <c r="BC5150" s="74"/>
      <c r="BD5150" s="77"/>
      <c r="BF5150">
        <v>66.92</v>
      </c>
      <c r="BH5150" s="42"/>
      <c r="BI5150" s="74"/>
      <c r="BJ5150" s="77"/>
      <c r="BL5150" s="497">
        <v>73.039999999999992</v>
      </c>
      <c r="BN5150" s="42"/>
      <c r="BO5150" s="74"/>
      <c r="BP5150" s="77"/>
      <c r="BR5150" s="497">
        <v>73.039999999999992</v>
      </c>
      <c r="BT5150" s="42"/>
    </row>
    <row r="5151" spans="1:72" x14ac:dyDescent="0.25">
      <c r="A5151" s="90">
        <v>34913</v>
      </c>
      <c r="B5151" s="20">
        <v>0.875</v>
      </c>
      <c r="D5151">
        <v>75.92</v>
      </c>
      <c r="E5151" t="str">
        <f t="shared" si="196"/>
        <v>WEEKDAY</v>
      </c>
      <c r="F5151" t="e">
        <f t="shared" si="195"/>
        <v>#N/A</v>
      </c>
      <c r="G5151" s="74">
        <v>31991</v>
      </c>
      <c r="H5151" s="77">
        <v>0.875</v>
      </c>
      <c r="J5151">
        <v>75.02</v>
      </c>
      <c r="M5151" s="74">
        <v>34548</v>
      </c>
      <c r="N5151" s="77">
        <v>0.875</v>
      </c>
      <c r="P5151">
        <v>74.84</v>
      </c>
      <c r="S5151" s="74">
        <v>34913</v>
      </c>
      <c r="T5151" s="77">
        <v>0.875</v>
      </c>
      <c r="V5151">
        <v>80.960000000000008</v>
      </c>
      <c r="X5151" s="42"/>
      <c r="AB5151">
        <v>75.599999999999994</v>
      </c>
      <c r="AC5151">
        <v>71.06</v>
      </c>
      <c r="AE5151" s="74"/>
      <c r="AF5151" s="77"/>
      <c r="AH5151" s="497">
        <v>75.92</v>
      </c>
      <c r="AJ5151" s="42"/>
      <c r="AK5151" s="74"/>
      <c r="AL5151" s="77"/>
      <c r="AN5151" s="497">
        <v>64.039999999999992</v>
      </c>
      <c r="AP5151" s="42"/>
      <c r="AQ5151" s="74"/>
      <c r="AR5151" s="77"/>
      <c r="AT5151" s="497">
        <v>60.08</v>
      </c>
      <c r="AV5151" s="42"/>
      <c r="AW5151" s="74"/>
      <c r="AX5151" s="77"/>
      <c r="BA5151" s="497">
        <v>75.02</v>
      </c>
      <c r="BB5151" s="42"/>
      <c r="BC5151" s="74"/>
      <c r="BD5151" s="77"/>
      <c r="BF5151">
        <v>64.94</v>
      </c>
      <c r="BH5151" s="42"/>
      <c r="BI5151" s="74"/>
      <c r="BJ5151" s="77"/>
      <c r="BL5151" s="497">
        <v>69.080000000000013</v>
      </c>
      <c r="BN5151" s="42"/>
      <c r="BO5151" s="74"/>
      <c r="BP5151" s="77"/>
      <c r="BR5151" s="497">
        <v>69.98</v>
      </c>
      <c r="BT5151" s="42"/>
    </row>
    <row r="5152" spans="1:72" x14ac:dyDescent="0.25">
      <c r="A5152" s="90">
        <v>34913</v>
      </c>
      <c r="B5152" s="20">
        <v>0.91666666666666663</v>
      </c>
      <c r="D5152">
        <v>73.94</v>
      </c>
      <c r="E5152" t="str">
        <f t="shared" si="196"/>
        <v>WEEKDAY</v>
      </c>
      <c r="F5152" t="e">
        <f t="shared" si="195"/>
        <v>#N/A</v>
      </c>
      <c r="G5152" s="74">
        <v>31991</v>
      </c>
      <c r="H5152" s="77">
        <v>0.91666666666666663</v>
      </c>
      <c r="J5152">
        <v>75.02</v>
      </c>
      <c r="M5152" s="74">
        <v>34548</v>
      </c>
      <c r="N5152" s="77">
        <v>0.91666666666666663</v>
      </c>
      <c r="P5152">
        <v>73.94</v>
      </c>
      <c r="S5152" s="74">
        <v>34913</v>
      </c>
      <c r="T5152" s="77">
        <v>0.91666666666666663</v>
      </c>
      <c r="V5152">
        <v>82.039999999999992</v>
      </c>
      <c r="X5152" s="42"/>
      <c r="AB5152">
        <v>75</v>
      </c>
      <c r="AC5152">
        <v>71.960000000000008</v>
      </c>
      <c r="AE5152" s="74"/>
      <c r="AF5152" s="77"/>
      <c r="AH5152" s="497">
        <v>74.84</v>
      </c>
      <c r="AJ5152" s="42"/>
      <c r="AK5152" s="74"/>
      <c r="AL5152" s="77"/>
      <c r="AN5152" s="497">
        <v>62.06</v>
      </c>
      <c r="AP5152" s="42"/>
      <c r="AQ5152" s="74"/>
      <c r="AR5152" s="77"/>
      <c r="AT5152" s="497">
        <v>57.92</v>
      </c>
      <c r="AV5152" s="42"/>
      <c r="AW5152" s="74"/>
      <c r="AX5152" s="77"/>
      <c r="BA5152" s="497">
        <v>75.02</v>
      </c>
      <c r="BB5152" s="42"/>
      <c r="BC5152" s="74"/>
      <c r="BD5152" s="77"/>
      <c r="BF5152">
        <v>62.96</v>
      </c>
      <c r="BH5152" s="42"/>
      <c r="BI5152" s="74"/>
      <c r="BJ5152" s="77"/>
      <c r="BL5152" s="497">
        <v>68</v>
      </c>
      <c r="BN5152" s="42"/>
      <c r="BO5152" s="74"/>
      <c r="BP5152" s="77"/>
      <c r="BR5152" s="497">
        <v>71.960000000000008</v>
      </c>
      <c r="BT5152" s="42"/>
    </row>
    <row r="5153" spans="1:72" x14ac:dyDescent="0.25">
      <c r="A5153" s="90">
        <v>34913</v>
      </c>
      <c r="B5153" s="20">
        <v>0.95833333333333337</v>
      </c>
      <c r="D5153">
        <v>73.039999999999992</v>
      </c>
      <c r="E5153" t="str">
        <f t="shared" si="196"/>
        <v>WEEKDAY</v>
      </c>
      <c r="F5153" t="e">
        <f t="shared" si="195"/>
        <v>#N/A</v>
      </c>
      <c r="G5153" s="74">
        <v>31991</v>
      </c>
      <c r="H5153" s="77">
        <v>0.95833333333333337</v>
      </c>
      <c r="J5153">
        <v>75.02</v>
      </c>
      <c r="M5153" s="74">
        <v>34548</v>
      </c>
      <c r="N5153" s="77">
        <v>0.95833333333333337</v>
      </c>
      <c r="P5153">
        <v>74.84</v>
      </c>
      <c r="S5153" s="74">
        <v>34913</v>
      </c>
      <c r="T5153" s="77">
        <v>0.95833333333333337</v>
      </c>
      <c r="V5153">
        <v>80.960000000000008</v>
      </c>
      <c r="X5153" s="42"/>
      <c r="AB5153">
        <v>74.5</v>
      </c>
      <c r="AC5153">
        <v>71.06</v>
      </c>
      <c r="AE5153" s="74"/>
      <c r="AF5153" s="77"/>
      <c r="AH5153" s="497">
        <v>73.94</v>
      </c>
      <c r="AJ5153" s="42"/>
      <c r="AK5153" s="74"/>
      <c r="AL5153" s="77"/>
      <c r="AN5153" s="497">
        <v>60.08</v>
      </c>
      <c r="AP5153" s="42"/>
      <c r="AQ5153" s="74"/>
      <c r="AR5153" s="77"/>
      <c r="AT5153" s="497">
        <v>57.019999999999996</v>
      </c>
      <c r="AV5153" s="42"/>
      <c r="AW5153" s="74"/>
      <c r="AX5153" s="77"/>
      <c r="BA5153" s="497">
        <v>73.94</v>
      </c>
      <c r="BB5153" s="42"/>
      <c r="BC5153" s="74"/>
      <c r="BD5153" s="77"/>
      <c r="BF5153">
        <v>60.08</v>
      </c>
      <c r="BH5153" s="42"/>
      <c r="BI5153" s="74"/>
      <c r="BJ5153" s="77"/>
      <c r="BL5153" s="497">
        <v>66.02</v>
      </c>
      <c r="BN5153" s="42"/>
      <c r="BO5153" s="74"/>
      <c r="BP5153" s="77"/>
      <c r="BR5153" s="497">
        <v>71.06</v>
      </c>
      <c r="BT5153" s="42"/>
    </row>
    <row r="5154" spans="1:72" x14ac:dyDescent="0.25">
      <c r="A5154" s="90">
        <v>34913</v>
      </c>
      <c r="B5154" s="20">
        <v>1</v>
      </c>
      <c r="D5154">
        <v>71.960000000000008</v>
      </c>
      <c r="E5154" t="str">
        <f t="shared" si="196"/>
        <v>WEEKDAY</v>
      </c>
      <c r="F5154" t="e">
        <f t="shared" si="195"/>
        <v>#N/A</v>
      </c>
      <c r="G5154" s="74">
        <v>31991</v>
      </c>
      <c r="H5154" s="77">
        <v>1</v>
      </c>
      <c r="J5154">
        <v>75.02</v>
      </c>
      <c r="M5154" s="74">
        <v>34548</v>
      </c>
      <c r="N5154" s="80">
        <v>1</v>
      </c>
      <c r="P5154">
        <v>73.94</v>
      </c>
      <c r="S5154" s="74">
        <v>34913</v>
      </c>
      <c r="T5154" s="80">
        <v>1</v>
      </c>
      <c r="V5154">
        <v>80.960000000000008</v>
      </c>
      <c r="X5154" s="42"/>
      <c r="AB5154">
        <v>74</v>
      </c>
      <c r="AC5154">
        <v>73.039999999999992</v>
      </c>
      <c r="AE5154" s="74"/>
      <c r="AF5154" s="80"/>
      <c r="AH5154" s="497">
        <v>73.22</v>
      </c>
      <c r="AJ5154" s="42"/>
      <c r="AK5154" s="74"/>
      <c r="AL5154" s="80"/>
      <c r="AN5154" s="497">
        <v>57.92</v>
      </c>
      <c r="AP5154" s="42"/>
      <c r="AQ5154" s="74"/>
      <c r="AR5154" s="80"/>
      <c r="AT5154" s="497">
        <v>55.94</v>
      </c>
      <c r="AV5154" s="42"/>
      <c r="AW5154" s="74"/>
      <c r="AX5154" s="80"/>
      <c r="BA5154" s="497">
        <v>73.039999999999992</v>
      </c>
      <c r="BB5154" s="42"/>
      <c r="BC5154" s="74"/>
      <c r="BD5154" s="80"/>
      <c r="BF5154">
        <v>55.94</v>
      </c>
      <c r="BH5154" s="42"/>
      <c r="BI5154" s="74"/>
      <c r="BJ5154" s="80"/>
      <c r="BL5154" s="497">
        <v>64.039999999999992</v>
      </c>
      <c r="BN5154" s="42"/>
      <c r="BO5154" s="74"/>
      <c r="BP5154" s="80"/>
      <c r="BR5154" s="497">
        <v>71.960000000000008</v>
      </c>
      <c r="BT5154" s="42"/>
    </row>
    <row r="5155" spans="1:72" x14ac:dyDescent="0.25">
      <c r="A5155" s="90">
        <v>34914</v>
      </c>
      <c r="B5155" s="20">
        <v>4.1666666666666664E-2</v>
      </c>
      <c r="D5155">
        <v>71.06</v>
      </c>
      <c r="E5155" t="str">
        <f t="shared" si="196"/>
        <v>WEEKDAY</v>
      </c>
      <c r="F5155" t="e">
        <f t="shared" si="195"/>
        <v>#N/A</v>
      </c>
      <c r="G5155" s="74">
        <v>31992</v>
      </c>
      <c r="H5155" s="77">
        <v>4.1666666666666664E-2</v>
      </c>
      <c r="J5155">
        <v>75.02</v>
      </c>
      <c r="M5155" s="74">
        <v>34549</v>
      </c>
      <c r="N5155" s="77">
        <v>4.1666666666666664E-2</v>
      </c>
      <c r="P5155">
        <v>74.84</v>
      </c>
      <c r="S5155" s="74">
        <v>34914</v>
      </c>
      <c r="T5155" s="77">
        <v>4.1666666666666664E-2</v>
      </c>
      <c r="V5155">
        <v>80.06</v>
      </c>
      <c r="X5155" s="42"/>
      <c r="AB5155">
        <v>73.400000000000006</v>
      </c>
      <c r="AC5155">
        <v>73.039999999999992</v>
      </c>
      <c r="AE5155" s="74"/>
      <c r="AF5155" s="77"/>
      <c r="AH5155" s="497">
        <v>72.86</v>
      </c>
      <c r="AJ5155" s="42"/>
      <c r="AK5155" s="74"/>
      <c r="AL5155" s="77"/>
      <c r="AN5155" s="497">
        <v>57.019999999999996</v>
      </c>
      <c r="AP5155" s="42"/>
      <c r="AQ5155" s="74"/>
      <c r="AR5155" s="77"/>
      <c r="AT5155" s="497">
        <v>55.94</v>
      </c>
      <c r="AV5155" s="42"/>
      <c r="AW5155" s="74"/>
      <c r="AX5155" s="77"/>
      <c r="BA5155" s="497">
        <v>68</v>
      </c>
      <c r="BB5155" s="42"/>
      <c r="BC5155" s="74"/>
      <c r="BD5155" s="77"/>
      <c r="BF5155">
        <v>55.040000000000006</v>
      </c>
      <c r="BH5155" s="42"/>
      <c r="BI5155" s="74"/>
      <c r="BJ5155" s="77"/>
      <c r="BL5155" s="497">
        <v>62.06</v>
      </c>
      <c r="BN5155" s="42"/>
      <c r="BO5155" s="74"/>
      <c r="BP5155" s="77"/>
      <c r="BR5155" s="497">
        <v>71.960000000000008</v>
      </c>
      <c r="BT5155" s="42"/>
    </row>
    <row r="5156" spans="1:72" x14ac:dyDescent="0.25">
      <c r="A5156" s="90">
        <v>34914</v>
      </c>
      <c r="B5156" s="20">
        <v>8.3333333333333329E-2</v>
      </c>
      <c r="D5156">
        <v>69.98</v>
      </c>
      <c r="E5156" t="str">
        <f t="shared" si="196"/>
        <v>WEEKDAY</v>
      </c>
      <c r="F5156" t="e">
        <f t="shared" si="195"/>
        <v>#N/A</v>
      </c>
      <c r="G5156" s="74">
        <v>31992</v>
      </c>
      <c r="H5156" s="77">
        <v>8.3333333333333329E-2</v>
      </c>
      <c r="J5156">
        <v>75.02</v>
      </c>
      <c r="M5156" s="74">
        <v>34549</v>
      </c>
      <c r="N5156" s="77">
        <v>8.3333333333333329E-2</v>
      </c>
      <c r="P5156">
        <v>73.94</v>
      </c>
      <c r="S5156" s="74">
        <v>34914</v>
      </c>
      <c r="T5156" s="77">
        <v>8.3333333333333329E-2</v>
      </c>
      <c r="V5156">
        <v>80.06</v>
      </c>
      <c r="X5156" s="42"/>
      <c r="AB5156">
        <v>72.8</v>
      </c>
      <c r="AC5156">
        <v>71.960000000000008</v>
      </c>
      <c r="AE5156" s="74"/>
      <c r="AF5156" s="77"/>
      <c r="AH5156" s="497">
        <v>71.599999999999994</v>
      </c>
      <c r="AJ5156" s="42"/>
      <c r="AK5156" s="74"/>
      <c r="AL5156" s="77"/>
      <c r="AN5156" s="497">
        <v>57.019999999999996</v>
      </c>
      <c r="AP5156" s="42"/>
      <c r="AQ5156" s="74"/>
      <c r="AR5156" s="77"/>
      <c r="AT5156" s="497">
        <v>53.96</v>
      </c>
      <c r="AV5156" s="42"/>
      <c r="AW5156" s="74"/>
      <c r="AX5156" s="77"/>
      <c r="BA5156" s="497">
        <v>69.080000000000013</v>
      </c>
      <c r="BB5156" s="42"/>
      <c r="BC5156" s="74"/>
      <c r="BD5156" s="77"/>
      <c r="BF5156">
        <v>53.06</v>
      </c>
      <c r="BH5156" s="42"/>
      <c r="BI5156" s="74"/>
      <c r="BJ5156" s="77"/>
      <c r="BL5156" s="497">
        <v>62.96</v>
      </c>
      <c r="BN5156" s="42"/>
      <c r="BO5156" s="74"/>
      <c r="BP5156" s="77"/>
      <c r="BR5156" s="497">
        <v>71.06</v>
      </c>
      <c r="BT5156" s="42"/>
    </row>
    <row r="5157" spans="1:72" x14ac:dyDescent="0.25">
      <c r="A5157" s="90">
        <v>34914</v>
      </c>
      <c r="B5157" s="20">
        <v>0.125</v>
      </c>
      <c r="D5157">
        <v>69.98</v>
      </c>
      <c r="E5157" t="str">
        <f t="shared" si="196"/>
        <v>WEEKDAY</v>
      </c>
      <c r="F5157" t="e">
        <f t="shared" si="195"/>
        <v>#N/A</v>
      </c>
      <c r="G5157" s="74">
        <v>31992</v>
      </c>
      <c r="H5157" s="77">
        <v>0.125</v>
      </c>
      <c r="J5157">
        <v>75.02</v>
      </c>
      <c r="M5157" s="74">
        <v>34549</v>
      </c>
      <c r="N5157" s="77">
        <v>0.125</v>
      </c>
      <c r="P5157">
        <v>72.86</v>
      </c>
      <c r="S5157" s="74">
        <v>34914</v>
      </c>
      <c r="T5157" s="77">
        <v>0.125</v>
      </c>
      <c r="V5157">
        <v>78.98</v>
      </c>
      <c r="X5157" s="42"/>
      <c r="AB5157">
        <v>72.2</v>
      </c>
      <c r="AC5157">
        <v>71.960000000000008</v>
      </c>
      <c r="AE5157" s="74"/>
      <c r="AF5157" s="77"/>
      <c r="AH5157" s="497">
        <v>70.88</v>
      </c>
      <c r="AJ5157" s="42"/>
      <c r="AK5157" s="74"/>
      <c r="AL5157" s="77"/>
      <c r="AN5157" s="497">
        <v>57.92</v>
      </c>
      <c r="AP5157" s="42"/>
      <c r="AQ5157" s="74"/>
      <c r="AR5157" s="77"/>
      <c r="AT5157" s="497">
        <v>53.06</v>
      </c>
      <c r="AV5157" s="42"/>
      <c r="AW5157" s="74"/>
      <c r="AX5157" s="77"/>
      <c r="BA5157" s="497">
        <v>68</v>
      </c>
      <c r="BB5157" s="42"/>
      <c r="BC5157" s="74"/>
      <c r="BD5157" s="77"/>
      <c r="BF5157">
        <v>53.06</v>
      </c>
      <c r="BH5157" s="42"/>
      <c r="BI5157" s="74"/>
      <c r="BJ5157" s="77"/>
      <c r="BL5157" s="497">
        <v>60.980000000000004</v>
      </c>
      <c r="BN5157" s="42"/>
      <c r="BO5157" s="74"/>
      <c r="BP5157" s="77"/>
      <c r="BR5157" s="497">
        <v>73.039999999999992</v>
      </c>
      <c r="BT5157" s="42"/>
    </row>
    <row r="5158" spans="1:72" x14ac:dyDescent="0.25">
      <c r="A5158" s="90">
        <v>34914</v>
      </c>
      <c r="B5158" s="20">
        <v>0.16666666666666666</v>
      </c>
      <c r="D5158">
        <v>69.080000000000013</v>
      </c>
      <c r="E5158" t="str">
        <f t="shared" si="196"/>
        <v>WEEKDAY</v>
      </c>
      <c r="F5158" t="e">
        <f t="shared" si="195"/>
        <v>#N/A</v>
      </c>
      <c r="G5158" s="74">
        <v>31992</v>
      </c>
      <c r="H5158" s="77">
        <v>0.16666666666666666</v>
      </c>
      <c r="J5158">
        <v>75.92</v>
      </c>
      <c r="M5158" s="74">
        <v>34549</v>
      </c>
      <c r="N5158" s="77">
        <v>0.16666666666666666</v>
      </c>
      <c r="P5158">
        <v>71.960000000000008</v>
      </c>
      <c r="S5158" s="74">
        <v>34914</v>
      </c>
      <c r="T5158" s="77">
        <v>0.16666666666666666</v>
      </c>
      <c r="V5158">
        <v>78.98</v>
      </c>
      <c r="X5158" s="42"/>
      <c r="AB5158">
        <v>71.7</v>
      </c>
      <c r="AC5158">
        <v>71.06</v>
      </c>
      <c r="AE5158" s="74"/>
      <c r="AF5158" s="77"/>
      <c r="AH5158" s="497">
        <v>69.98</v>
      </c>
      <c r="AJ5158" s="42"/>
      <c r="AK5158" s="74"/>
      <c r="AL5158" s="77"/>
      <c r="AN5158" s="497">
        <v>55.94</v>
      </c>
      <c r="AP5158" s="42"/>
      <c r="AQ5158" s="74"/>
      <c r="AR5158" s="77"/>
      <c r="AT5158" s="497">
        <v>51.08</v>
      </c>
      <c r="AV5158" s="42"/>
      <c r="AW5158" s="74"/>
      <c r="AX5158" s="77"/>
      <c r="BA5158" s="497">
        <v>68</v>
      </c>
      <c r="BB5158" s="42"/>
      <c r="BC5158" s="74"/>
      <c r="BD5158" s="77"/>
      <c r="BF5158">
        <v>51.980000000000004</v>
      </c>
      <c r="BH5158" s="42"/>
      <c r="BI5158" s="74"/>
      <c r="BJ5158" s="77"/>
      <c r="BL5158" s="497">
        <v>59</v>
      </c>
      <c r="BN5158" s="42"/>
      <c r="BO5158" s="74"/>
      <c r="BP5158" s="77"/>
      <c r="BR5158" s="497">
        <v>73.039999999999992</v>
      </c>
      <c r="BT5158" s="42"/>
    </row>
    <row r="5159" spans="1:72" x14ac:dyDescent="0.25">
      <c r="A5159" s="90">
        <v>34914</v>
      </c>
      <c r="B5159" s="20">
        <v>0.20833333333333334</v>
      </c>
      <c r="D5159">
        <v>69.080000000000013</v>
      </c>
      <c r="E5159" t="str">
        <f t="shared" si="196"/>
        <v>WEEKDAY</v>
      </c>
      <c r="F5159" t="e">
        <f t="shared" si="195"/>
        <v>#N/A</v>
      </c>
      <c r="G5159" s="74">
        <v>31992</v>
      </c>
      <c r="H5159" s="77">
        <v>0.20833333333333334</v>
      </c>
      <c r="J5159">
        <v>73.94</v>
      </c>
      <c r="M5159" s="74">
        <v>34549</v>
      </c>
      <c r="N5159" s="77">
        <v>0.20833333333333334</v>
      </c>
      <c r="P5159">
        <v>70.88</v>
      </c>
      <c r="S5159" s="74">
        <v>34914</v>
      </c>
      <c r="T5159" s="77">
        <v>0.20833333333333334</v>
      </c>
      <c r="V5159">
        <v>78.080000000000013</v>
      </c>
      <c r="X5159" s="42"/>
      <c r="AB5159">
        <v>71.2</v>
      </c>
      <c r="AC5159">
        <v>71.06</v>
      </c>
      <c r="AE5159" s="74"/>
      <c r="AF5159" s="77"/>
      <c r="AH5159" s="497">
        <v>70.88</v>
      </c>
      <c r="AJ5159" s="42"/>
      <c r="AK5159" s="74"/>
      <c r="AL5159" s="77"/>
      <c r="AN5159" s="497">
        <v>55.040000000000006</v>
      </c>
      <c r="AP5159" s="42"/>
      <c r="AQ5159" s="74"/>
      <c r="AR5159" s="77"/>
      <c r="AT5159" s="497">
        <v>50</v>
      </c>
      <c r="AV5159" s="42"/>
      <c r="AW5159" s="74"/>
      <c r="AX5159" s="77"/>
      <c r="BA5159" s="497">
        <v>68</v>
      </c>
      <c r="BB5159" s="42"/>
      <c r="BC5159" s="74"/>
      <c r="BD5159" s="77"/>
      <c r="BF5159">
        <v>51.980000000000004</v>
      </c>
      <c r="BH5159" s="42"/>
      <c r="BI5159" s="74"/>
      <c r="BJ5159" s="77"/>
      <c r="BL5159" s="497">
        <v>59</v>
      </c>
      <c r="BN5159" s="42"/>
      <c r="BO5159" s="74"/>
      <c r="BP5159" s="77"/>
      <c r="BR5159" s="497">
        <v>73.039999999999992</v>
      </c>
      <c r="BT5159" s="42"/>
    </row>
    <row r="5160" spans="1:72" x14ac:dyDescent="0.25">
      <c r="A5160" s="90">
        <v>34914</v>
      </c>
      <c r="B5160" s="20">
        <v>0.25</v>
      </c>
      <c r="D5160">
        <v>71.06</v>
      </c>
      <c r="E5160" t="str">
        <f t="shared" si="196"/>
        <v>WEEKDAY</v>
      </c>
      <c r="F5160" t="e">
        <f t="shared" si="195"/>
        <v>#N/A</v>
      </c>
      <c r="G5160" s="74">
        <v>31992</v>
      </c>
      <c r="H5160" s="77">
        <v>0.25</v>
      </c>
      <c r="J5160">
        <v>75.02</v>
      </c>
      <c r="M5160" s="74">
        <v>34549</v>
      </c>
      <c r="N5160" s="77">
        <v>0.25</v>
      </c>
      <c r="P5160">
        <v>71.960000000000008</v>
      </c>
      <c r="S5160" s="74">
        <v>34914</v>
      </c>
      <c r="T5160" s="77">
        <v>0.25</v>
      </c>
      <c r="V5160">
        <v>78.98</v>
      </c>
      <c r="X5160" s="42"/>
      <c r="AB5160">
        <v>70.900000000000006</v>
      </c>
      <c r="AC5160">
        <v>71.06</v>
      </c>
      <c r="AE5160" s="74"/>
      <c r="AF5160" s="77"/>
      <c r="AH5160" s="497">
        <v>69.98</v>
      </c>
      <c r="AJ5160" s="42"/>
      <c r="AK5160" s="74"/>
      <c r="AL5160" s="77"/>
      <c r="AN5160" s="497">
        <v>55.040000000000006</v>
      </c>
      <c r="AP5160" s="42"/>
      <c r="AQ5160" s="74"/>
      <c r="AR5160" s="77"/>
      <c r="AT5160" s="497">
        <v>53.06</v>
      </c>
      <c r="AV5160" s="42"/>
      <c r="AW5160" s="74"/>
      <c r="AX5160" s="77"/>
      <c r="BA5160" s="497">
        <v>68</v>
      </c>
      <c r="BB5160" s="42"/>
      <c r="BC5160" s="74"/>
      <c r="BD5160" s="77"/>
      <c r="BF5160">
        <v>51.980000000000004</v>
      </c>
      <c r="BH5160" s="42"/>
      <c r="BI5160" s="74"/>
      <c r="BJ5160" s="77"/>
      <c r="BL5160" s="497">
        <v>60.980000000000004</v>
      </c>
      <c r="BN5160" s="42"/>
      <c r="BO5160" s="74"/>
      <c r="BP5160" s="77"/>
      <c r="BR5160" s="497">
        <v>73.94</v>
      </c>
      <c r="BT5160" s="42"/>
    </row>
    <row r="5161" spans="1:72" x14ac:dyDescent="0.25">
      <c r="A5161" s="90">
        <v>34914</v>
      </c>
      <c r="B5161" s="20">
        <v>0.29166666666666669</v>
      </c>
      <c r="D5161">
        <v>71.960000000000008</v>
      </c>
      <c r="E5161" t="str">
        <f t="shared" si="196"/>
        <v>WEEKDAY</v>
      </c>
      <c r="F5161" t="e">
        <f t="shared" si="195"/>
        <v>#N/A</v>
      </c>
      <c r="G5161" s="74">
        <v>31992</v>
      </c>
      <c r="H5161" s="77">
        <v>0.29166666666666669</v>
      </c>
      <c r="J5161">
        <v>75.02</v>
      </c>
      <c r="M5161" s="74">
        <v>34549</v>
      </c>
      <c r="N5161" s="77">
        <v>0.29166666666666669</v>
      </c>
      <c r="P5161">
        <v>71.960000000000008</v>
      </c>
      <c r="S5161" s="74">
        <v>34914</v>
      </c>
      <c r="T5161" s="77">
        <v>0.29166666666666669</v>
      </c>
      <c r="V5161">
        <v>78.98</v>
      </c>
      <c r="X5161" s="42"/>
      <c r="AB5161">
        <v>71.8</v>
      </c>
      <c r="AC5161">
        <v>73.94</v>
      </c>
      <c r="AE5161" s="74"/>
      <c r="AF5161" s="77"/>
      <c r="AH5161" s="497">
        <v>71.960000000000008</v>
      </c>
      <c r="AJ5161" s="42"/>
      <c r="AK5161" s="74"/>
      <c r="AL5161" s="77"/>
      <c r="AN5161" s="497">
        <v>57.019999999999996</v>
      </c>
      <c r="AP5161" s="42"/>
      <c r="AQ5161" s="74"/>
      <c r="AR5161" s="77"/>
      <c r="AT5161" s="497">
        <v>57.92</v>
      </c>
      <c r="AV5161" s="42"/>
      <c r="AW5161" s="74"/>
      <c r="AX5161" s="77"/>
      <c r="BA5161" s="497">
        <v>71.960000000000008</v>
      </c>
      <c r="BB5161" s="42"/>
      <c r="BC5161" s="74"/>
      <c r="BD5161" s="77"/>
      <c r="BF5161">
        <v>57.019999999999996</v>
      </c>
      <c r="BH5161" s="42"/>
      <c r="BI5161" s="74"/>
      <c r="BJ5161" s="77"/>
      <c r="BL5161" s="497">
        <v>64.039999999999992</v>
      </c>
      <c r="BN5161" s="42"/>
      <c r="BO5161" s="74"/>
      <c r="BP5161" s="77"/>
      <c r="BR5161" s="497">
        <v>75.92</v>
      </c>
      <c r="BT5161" s="42"/>
    </row>
    <row r="5162" spans="1:72" x14ac:dyDescent="0.25">
      <c r="A5162" s="90">
        <v>34914</v>
      </c>
      <c r="B5162" s="20">
        <v>0.33333333333333331</v>
      </c>
      <c r="D5162">
        <v>73.94</v>
      </c>
      <c r="E5162" t="str">
        <f t="shared" si="196"/>
        <v>WEEKDAY</v>
      </c>
      <c r="F5162" t="e">
        <f t="shared" si="195"/>
        <v>#N/A</v>
      </c>
      <c r="G5162" s="74">
        <v>31992</v>
      </c>
      <c r="H5162" s="77">
        <v>0.33333333333333331</v>
      </c>
      <c r="J5162">
        <v>75.02</v>
      </c>
      <c r="M5162" s="74">
        <v>34549</v>
      </c>
      <c r="N5162" s="77">
        <v>0.33333333333333331</v>
      </c>
      <c r="P5162">
        <v>77</v>
      </c>
      <c r="S5162" s="74">
        <v>34914</v>
      </c>
      <c r="T5162" s="77">
        <v>0.33333333333333331</v>
      </c>
      <c r="V5162">
        <v>80.06</v>
      </c>
      <c r="X5162" s="42"/>
      <c r="AB5162">
        <v>73.900000000000006</v>
      </c>
      <c r="AC5162">
        <v>77</v>
      </c>
      <c r="AE5162" s="74"/>
      <c r="AF5162" s="77"/>
      <c r="AH5162" s="497">
        <v>74.84</v>
      </c>
      <c r="AJ5162" s="42"/>
      <c r="AK5162" s="74"/>
      <c r="AL5162" s="77"/>
      <c r="AN5162" s="497">
        <v>62.96</v>
      </c>
      <c r="AP5162" s="42"/>
      <c r="AQ5162" s="74"/>
      <c r="AR5162" s="77"/>
      <c r="AT5162" s="497">
        <v>64.039999999999992</v>
      </c>
      <c r="AV5162" s="42"/>
      <c r="AW5162" s="74"/>
      <c r="AX5162" s="77"/>
      <c r="BA5162" s="497">
        <v>75.02</v>
      </c>
      <c r="BB5162" s="42"/>
      <c r="BC5162" s="74"/>
      <c r="BD5162" s="77"/>
      <c r="BF5162">
        <v>64.039999999999992</v>
      </c>
      <c r="BH5162" s="42"/>
      <c r="BI5162" s="74"/>
      <c r="BJ5162" s="77"/>
      <c r="BL5162" s="497">
        <v>69.080000000000013</v>
      </c>
      <c r="BN5162" s="42"/>
      <c r="BO5162" s="74"/>
      <c r="BP5162" s="77"/>
      <c r="BR5162" s="497">
        <v>75.02</v>
      </c>
      <c r="BT5162" s="42"/>
    </row>
    <row r="5163" spans="1:72" x14ac:dyDescent="0.25">
      <c r="A5163" s="90">
        <v>34914</v>
      </c>
      <c r="B5163" s="20">
        <v>0.375</v>
      </c>
      <c r="D5163">
        <v>75.02</v>
      </c>
      <c r="E5163" t="str">
        <f t="shared" si="196"/>
        <v>WEEKDAY</v>
      </c>
      <c r="F5163" t="e">
        <f t="shared" ref="F5163:F5226" si="197">IF(E5163="WEEKDAY",VLOOKUP(B5163,$DD$19:$DG$42,2),IF(E5163="SATURDAY",VLOOKUP(B5163,$DD$19:$DG$42,3),VLOOKUP(B5163,$DD$19:$DG$42,4)))</f>
        <v>#N/A</v>
      </c>
      <c r="G5163" s="74">
        <v>31992</v>
      </c>
      <c r="H5163" s="77">
        <v>0.375</v>
      </c>
      <c r="J5163">
        <v>75.92</v>
      </c>
      <c r="M5163" s="74">
        <v>34549</v>
      </c>
      <c r="N5163" s="77">
        <v>0.375</v>
      </c>
      <c r="P5163">
        <v>79.88</v>
      </c>
      <c r="S5163" s="74">
        <v>34914</v>
      </c>
      <c r="T5163" s="77">
        <v>0.375</v>
      </c>
      <c r="V5163">
        <v>82.039999999999992</v>
      </c>
      <c r="X5163" s="42"/>
      <c r="AB5163">
        <v>76</v>
      </c>
      <c r="AC5163">
        <v>80.06</v>
      </c>
      <c r="AE5163" s="74"/>
      <c r="AF5163" s="77"/>
      <c r="AH5163" s="497">
        <v>78.98</v>
      </c>
      <c r="AJ5163" s="42"/>
      <c r="AK5163" s="74"/>
      <c r="AL5163" s="77"/>
      <c r="AN5163" s="497">
        <v>66.92</v>
      </c>
      <c r="AP5163" s="42"/>
      <c r="AQ5163" s="74"/>
      <c r="AR5163" s="77"/>
      <c r="AT5163" s="497">
        <v>66.92</v>
      </c>
      <c r="AV5163" s="42"/>
      <c r="AW5163" s="74"/>
      <c r="AX5163" s="77"/>
      <c r="BA5163" s="497">
        <v>78.080000000000013</v>
      </c>
      <c r="BB5163" s="42"/>
      <c r="BC5163" s="74"/>
      <c r="BD5163" s="77"/>
      <c r="BF5163">
        <v>71.06</v>
      </c>
      <c r="BH5163" s="42"/>
      <c r="BI5163" s="74"/>
      <c r="BJ5163" s="77"/>
      <c r="BL5163" s="497">
        <v>73.94</v>
      </c>
      <c r="BN5163" s="42"/>
      <c r="BO5163" s="74"/>
      <c r="BP5163" s="77"/>
      <c r="BR5163" s="497">
        <v>69.98</v>
      </c>
      <c r="BT5163" s="42"/>
    </row>
    <row r="5164" spans="1:72" x14ac:dyDescent="0.25">
      <c r="A5164" s="90">
        <v>34914</v>
      </c>
      <c r="B5164" s="20">
        <v>0.41666666666666669</v>
      </c>
      <c r="D5164">
        <v>78.080000000000013</v>
      </c>
      <c r="E5164" t="str">
        <f t="shared" si="196"/>
        <v>WEEKDAY</v>
      </c>
      <c r="F5164" t="e">
        <f t="shared" si="197"/>
        <v>#N/A</v>
      </c>
      <c r="G5164" s="74">
        <v>31992</v>
      </c>
      <c r="H5164" s="77">
        <v>0.41666666666666669</v>
      </c>
      <c r="J5164">
        <v>78.080000000000013</v>
      </c>
      <c r="M5164" s="74">
        <v>34549</v>
      </c>
      <c r="N5164" s="77">
        <v>0.41666666666666669</v>
      </c>
      <c r="P5164">
        <v>81.86</v>
      </c>
      <c r="S5164" s="74">
        <v>34914</v>
      </c>
      <c r="T5164" s="77">
        <v>0.41666666666666669</v>
      </c>
      <c r="V5164">
        <v>84.92</v>
      </c>
      <c r="X5164" s="42"/>
      <c r="AB5164">
        <v>77.8</v>
      </c>
      <c r="AC5164">
        <v>80.960000000000008</v>
      </c>
      <c r="AE5164" s="74"/>
      <c r="AF5164" s="77"/>
      <c r="AH5164" s="497">
        <v>83.84</v>
      </c>
      <c r="AJ5164" s="42"/>
      <c r="AK5164" s="74"/>
      <c r="AL5164" s="77"/>
      <c r="AN5164" s="497">
        <v>71.960000000000008</v>
      </c>
      <c r="AP5164" s="42"/>
      <c r="AQ5164" s="74"/>
      <c r="AR5164" s="77"/>
      <c r="AT5164" s="497">
        <v>69.98</v>
      </c>
      <c r="AV5164" s="42"/>
      <c r="AW5164" s="74"/>
      <c r="AX5164" s="77"/>
      <c r="BA5164" s="497">
        <v>78.98</v>
      </c>
      <c r="BB5164" s="42"/>
      <c r="BC5164" s="74"/>
      <c r="BD5164" s="77"/>
      <c r="BF5164">
        <v>73.94</v>
      </c>
      <c r="BH5164" s="42"/>
      <c r="BI5164" s="74"/>
      <c r="BJ5164" s="77"/>
      <c r="BL5164" s="497">
        <v>78.98</v>
      </c>
      <c r="BN5164" s="42"/>
      <c r="BO5164" s="74"/>
      <c r="BP5164" s="77"/>
      <c r="BR5164" s="497">
        <v>69.080000000000013</v>
      </c>
      <c r="BT5164" s="42"/>
    </row>
    <row r="5165" spans="1:72" x14ac:dyDescent="0.25">
      <c r="A5165" s="90">
        <v>34914</v>
      </c>
      <c r="B5165" s="20">
        <v>0.45833333333333331</v>
      </c>
      <c r="D5165">
        <v>80.06</v>
      </c>
      <c r="E5165" t="str">
        <f t="shared" si="196"/>
        <v>WEEKDAY</v>
      </c>
      <c r="F5165" t="e">
        <f t="shared" si="197"/>
        <v>#N/A</v>
      </c>
      <c r="G5165" s="74">
        <v>31992</v>
      </c>
      <c r="H5165" s="77">
        <v>0.45833333333333331</v>
      </c>
      <c r="J5165">
        <v>82.039999999999992</v>
      </c>
      <c r="M5165" s="74">
        <v>34549</v>
      </c>
      <c r="N5165" s="77">
        <v>0.45833333333333331</v>
      </c>
      <c r="P5165">
        <v>83.84</v>
      </c>
      <c r="S5165" s="74">
        <v>34914</v>
      </c>
      <c r="T5165" s="77">
        <v>0.45833333333333331</v>
      </c>
      <c r="V5165">
        <v>84.02</v>
      </c>
      <c r="X5165" s="42"/>
      <c r="AB5165">
        <v>79.3</v>
      </c>
      <c r="AC5165">
        <v>82.039999999999992</v>
      </c>
      <c r="AE5165" s="74"/>
      <c r="AF5165" s="77"/>
      <c r="AH5165" s="497">
        <v>86</v>
      </c>
      <c r="AJ5165" s="42"/>
      <c r="AK5165" s="74"/>
      <c r="AL5165" s="77"/>
      <c r="AN5165" s="497">
        <v>73.94</v>
      </c>
      <c r="AP5165" s="42"/>
      <c r="AQ5165" s="74"/>
      <c r="AR5165" s="77"/>
      <c r="AT5165" s="497">
        <v>73.039999999999992</v>
      </c>
      <c r="AV5165" s="42"/>
      <c r="AW5165" s="74"/>
      <c r="AX5165" s="77"/>
      <c r="BA5165" s="497">
        <v>80.06</v>
      </c>
      <c r="BB5165" s="42"/>
      <c r="BC5165" s="74"/>
      <c r="BD5165" s="77"/>
      <c r="BF5165">
        <v>77</v>
      </c>
      <c r="BH5165" s="42"/>
      <c r="BI5165" s="74"/>
      <c r="BJ5165" s="77"/>
      <c r="BL5165" s="497">
        <v>82.039999999999992</v>
      </c>
      <c r="BN5165" s="42"/>
      <c r="BO5165" s="74"/>
      <c r="BP5165" s="77"/>
      <c r="BR5165" s="497">
        <v>71.06</v>
      </c>
      <c r="BT5165" s="42"/>
    </row>
    <row r="5166" spans="1:72" x14ac:dyDescent="0.25">
      <c r="A5166" s="90">
        <v>34914</v>
      </c>
      <c r="B5166" s="20">
        <v>0.5</v>
      </c>
      <c r="D5166">
        <v>82.94</v>
      </c>
      <c r="E5166" t="str">
        <f t="shared" si="196"/>
        <v>WEEKDAY</v>
      </c>
      <c r="F5166" t="e">
        <f t="shared" si="197"/>
        <v>#N/A</v>
      </c>
      <c r="G5166" s="74">
        <v>31992</v>
      </c>
      <c r="H5166" s="77">
        <v>0.5</v>
      </c>
      <c r="J5166">
        <v>82.94</v>
      </c>
      <c r="M5166" s="74">
        <v>34549</v>
      </c>
      <c r="N5166" s="77">
        <v>0.5</v>
      </c>
      <c r="P5166">
        <v>84.92</v>
      </c>
      <c r="S5166" s="74">
        <v>34914</v>
      </c>
      <c r="T5166" s="77">
        <v>0.5</v>
      </c>
      <c r="V5166">
        <v>82.94</v>
      </c>
      <c r="X5166" s="42"/>
      <c r="AB5166">
        <v>80.400000000000006</v>
      </c>
      <c r="AC5166">
        <v>84.02</v>
      </c>
      <c r="AE5166" s="74"/>
      <c r="AF5166" s="77"/>
      <c r="AH5166" s="497">
        <v>87.98</v>
      </c>
      <c r="AJ5166" s="42"/>
      <c r="AK5166" s="74"/>
      <c r="AL5166" s="77"/>
      <c r="AN5166" s="497">
        <v>75.92</v>
      </c>
      <c r="AP5166" s="42"/>
      <c r="AQ5166" s="74"/>
      <c r="AR5166" s="77"/>
      <c r="AT5166" s="497">
        <v>75.92</v>
      </c>
      <c r="AV5166" s="42"/>
      <c r="AW5166" s="74"/>
      <c r="AX5166" s="77"/>
      <c r="BA5166" s="497">
        <v>80.06</v>
      </c>
      <c r="BB5166" s="42"/>
      <c r="BC5166" s="74"/>
      <c r="BD5166" s="77"/>
      <c r="BF5166">
        <v>78.080000000000013</v>
      </c>
      <c r="BH5166" s="42"/>
      <c r="BI5166" s="74"/>
      <c r="BJ5166" s="77"/>
      <c r="BL5166" s="497">
        <v>82.94</v>
      </c>
      <c r="BN5166" s="42"/>
      <c r="BO5166" s="74"/>
      <c r="BP5166" s="77"/>
      <c r="BR5166" s="497">
        <v>73.039999999999992</v>
      </c>
      <c r="BT5166" s="42"/>
    </row>
    <row r="5167" spans="1:72" x14ac:dyDescent="0.25">
      <c r="A5167" s="90">
        <v>34914</v>
      </c>
      <c r="B5167" s="20">
        <v>0.54166666666666663</v>
      </c>
      <c r="D5167">
        <v>84.02</v>
      </c>
      <c r="E5167" t="str">
        <f t="shared" si="196"/>
        <v>WEEKDAY</v>
      </c>
      <c r="F5167" t="e">
        <f t="shared" si="197"/>
        <v>#N/A</v>
      </c>
      <c r="G5167" s="74">
        <v>31992</v>
      </c>
      <c r="H5167" s="77">
        <v>0.54166666666666663</v>
      </c>
      <c r="J5167">
        <v>86</v>
      </c>
      <c r="M5167" s="74">
        <v>34549</v>
      </c>
      <c r="N5167" s="77">
        <v>0.54166666666666663</v>
      </c>
      <c r="P5167">
        <v>83.84</v>
      </c>
      <c r="S5167" s="74">
        <v>34914</v>
      </c>
      <c r="T5167" s="77">
        <v>0.54166666666666663</v>
      </c>
      <c r="V5167">
        <v>84.02</v>
      </c>
      <c r="X5167" s="42"/>
      <c r="AB5167">
        <v>81.2</v>
      </c>
      <c r="AC5167">
        <v>84.02</v>
      </c>
      <c r="AE5167" s="74"/>
      <c r="AF5167" s="77"/>
      <c r="AH5167" s="497">
        <v>87.98</v>
      </c>
      <c r="AJ5167" s="42"/>
      <c r="AK5167" s="74"/>
      <c r="AL5167" s="77"/>
      <c r="AN5167" s="497">
        <v>77</v>
      </c>
      <c r="AP5167" s="42"/>
      <c r="AQ5167" s="74"/>
      <c r="AR5167" s="77"/>
      <c r="AT5167" s="497">
        <v>77</v>
      </c>
      <c r="AV5167" s="42"/>
      <c r="AW5167" s="74"/>
      <c r="AX5167" s="77"/>
      <c r="BA5167" s="497">
        <v>78.080000000000013</v>
      </c>
      <c r="BB5167" s="42"/>
      <c r="BC5167" s="74"/>
      <c r="BD5167" s="77"/>
      <c r="BF5167">
        <v>80.06</v>
      </c>
      <c r="BH5167" s="42"/>
      <c r="BI5167" s="74"/>
      <c r="BJ5167" s="77"/>
      <c r="BL5167" s="497">
        <v>84.02</v>
      </c>
      <c r="BN5167" s="42"/>
      <c r="BO5167" s="74"/>
      <c r="BP5167" s="77"/>
      <c r="BR5167" s="497">
        <v>73.039999999999992</v>
      </c>
      <c r="BT5167" s="42"/>
    </row>
    <row r="5168" spans="1:72" x14ac:dyDescent="0.25">
      <c r="A5168" s="90">
        <v>34914</v>
      </c>
      <c r="B5168" s="20">
        <v>0.58333333333333337</v>
      </c>
      <c r="D5168">
        <v>84.92</v>
      </c>
      <c r="E5168" t="str">
        <f t="shared" si="196"/>
        <v>WEEKDAY</v>
      </c>
      <c r="F5168" t="e">
        <f t="shared" si="197"/>
        <v>#N/A</v>
      </c>
      <c r="G5168" s="74">
        <v>31992</v>
      </c>
      <c r="H5168" s="77">
        <v>0.58333333333333337</v>
      </c>
      <c r="J5168">
        <v>89.06</v>
      </c>
      <c r="M5168" s="74">
        <v>34549</v>
      </c>
      <c r="N5168" s="77">
        <v>0.58333333333333337</v>
      </c>
      <c r="P5168">
        <v>82.94</v>
      </c>
      <c r="S5168" s="74">
        <v>34914</v>
      </c>
      <c r="T5168" s="77">
        <v>0.58333333333333337</v>
      </c>
      <c r="V5168">
        <v>86</v>
      </c>
      <c r="X5168" s="42"/>
      <c r="AB5168">
        <v>81.5</v>
      </c>
      <c r="AC5168">
        <v>82.94</v>
      </c>
      <c r="AE5168" s="74"/>
      <c r="AF5168" s="77"/>
      <c r="AH5168" s="497">
        <v>88.88</v>
      </c>
      <c r="AJ5168" s="42"/>
      <c r="AK5168" s="74"/>
      <c r="AL5168" s="77"/>
      <c r="AN5168" s="497">
        <v>77</v>
      </c>
      <c r="AP5168" s="42"/>
      <c r="AQ5168" s="74"/>
      <c r="AR5168" s="77"/>
      <c r="AT5168" s="497">
        <v>78.080000000000013</v>
      </c>
      <c r="AV5168" s="42"/>
      <c r="AW5168" s="74"/>
      <c r="AX5168" s="77"/>
      <c r="BA5168" s="497">
        <v>75.92</v>
      </c>
      <c r="BB5168" s="42"/>
      <c r="BC5168" s="74"/>
      <c r="BD5168" s="77"/>
      <c r="BF5168">
        <v>80.06</v>
      </c>
      <c r="BH5168" s="42"/>
      <c r="BI5168" s="74"/>
      <c r="BJ5168" s="77"/>
      <c r="BL5168" s="497">
        <v>84.92</v>
      </c>
      <c r="BN5168" s="42"/>
      <c r="BO5168" s="74"/>
      <c r="BP5168" s="77"/>
      <c r="BR5168" s="497">
        <v>71.960000000000008</v>
      </c>
      <c r="BT5168" s="42"/>
    </row>
    <row r="5169" spans="1:72" x14ac:dyDescent="0.25">
      <c r="A5169" s="90">
        <v>34914</v>
      </c>
      <c r="B5169" s="20">
        <v>0.625</v>
      </c>
      <c r="D5169">
        <v>84.92</v>
      </c>
      <c r="E5169" t="str">
        <f t="shared" si="196"/>
        <v>WEEKDAY</v>
      </c>
      <c r="F5169" t="e">
        <f t="shared" si="197"/>
        <v>#N/A</v>
      </c>
      <c r="G5169" s="74">
        <v>31992</v>
      </c>
      <c r="H5169" s="77">
        <v>0.625</v>
      </c>
      <c r="J5169">
        <v>87.98</v>
      </c>
      <c r="M5169" s="74">
        <v>34549</v>
      </c>
      <c r="N5169" s="77">
        <v>0.625</v>
      </c>
      <c r="P5169">
        <v>83.84</v>
      </c>
      <c r="S5169" s="74">
        <v>34914</v>
      </c>
      <c r="T5169" s="77">
        <v>0.625</v>
      </c>
      <c r="V5169">
        <v>84.02</v>
      </c>
      <c r="X5169" s="42"/>
      <c r="AB5169">
        <v>81.5</v>
      </c>
      <c r="AC5169">
        <v>82.94</v>
      </c>
      <c r="AE5169" s="74"/>
      <c r="AF5169" s="77"/>
      <c r="AH5169" s="497">
        <v>88.88</v>
      </c>
      <c r="AJ5169" s="42"/>
      <c r="AK5169" s="74"/>
      <c r="AL5169" s="77"/>
      <c r="AN5169" s="497">
        <v>78.080000000000013</v>
      </c>
      <c r="AP5169" s="42"/>
      <c r="AQ5169" s="74"/>
      <c r="AR5169" s="77"/>
      <c r="AT5169" s="497">
        <v>78.98</v>
      </c>
      <c r="AV5169" s="42"/>
      <c r="AW5169" s="74"/>
      <c r="AX5169" s="77"/>
      <c r="BA5169" s="497">
        <v>71.06</v>
      </c>
      <c r="BB5169" s="42"/>
      <c r="BC5169" s="74"/>
      <c r="BD5169" s="77"/>
      <c r="BF5169">
        <v>80.960000000000008</v>
      </c>
      <c r="BH5169" s="42"/>
      <c r="BI5169" s="74"/>
      <c r="BJ5169" s="77"/>
      <c r="BL5169" s="497">
        <v>84.92</v>
      </c>
      <c r="BN5169" s="42"/>
      <c r="BO5169" s="74"/>
      <c r="BP5169" s="77"/>
      <c r="BR5169" s="497">
        <v>71.06</v>
      </c>
      <c r="BT5169" s="42"/>
    </row>
    <row r="5170" spans="1:72" x14ac:dyDescent="0.25">
      <c r="A5170" s="90">
        <v>34914</v>
      </c>
      <c r="B5170" s="20">
        <v>0.66666666666666663</v>
      </c>
      <c r="D5170">
        <v>84.02</v>
      </c>
      <c r="E5170" t="str">
        <f t="shared" si="196"/>
        <v>WEEKDAY</v>
      </c>
      <c r="F5170" t="e">
        <f t="shared" si="197"/>
        <v>#N/A</v>
      </c>
      <c r="G5170" s="74">
        <v>31992</v>
      </c>
      <c r="H5170" s="77">
        <v>0.66666666666666663</v>
      </c>
      <c r="J5170">
        <v>89.06</v>
      </c>
      <c r="M5170" s="74">
        <v>34549</v>
      </c>
      <c r="N5170" s="77">
        <v>0.66666666666666663</v>
      </c>
      <c r="P5170">
        <v>83.84</v>
      </c>
      <c r="S5170" s="74">
        <v>34914</v>
      </c>
      <c r="T5170" s="77">
        <v>0.66666666666666663</v>
      </c>
      <c r="V5170">
        <v>82.94</v>
      </c>
      <c r="X5170" s="42"/>
      <c r="AB5170">
        <v>80.900000000000006</v>
      </c>
      <c r="AC5170">
        <v>84.02</v>
      </c>
      <c r="AE5170" s="74"/>
      <c r="AF5170" s="77"/>
      <c r="AH5170" s="497">
        <v>87.98</v>
      </c>
      <c r="AJ5170" s="42"/>
      <c r="AK5170" s="74"/>
      <c r="AL5170" s="77"/>
      <c r="AN5170" s="497">
        <v>78.080000000000013</v>
      </c>
      <c r="AP5170" s="42"/>
      <c r="AQ5170" s="74"/>
      <c r="AR5170" s="77"/>
      <c r="AT5170" s="497">
        <v>80.06</v>
      </c>
      <c r="AV5170" s="42"/>
      <c r="AW5170" s="74"/>
      <c r="AX5170" s="77"/>
      <c r="BA5170" s="497">
        <v>73.94</v>
      </c>
      <c r="BB5170" s="42"/>
      <c r="BC5170" s="74"/>
      <c r="BD5170" s="77"/>
      <c r="BF5170">
        <v>80.06</v>
      </c>
      <c r="BH5170" s="42"/>
      <c r="BI5170" s="74"/>
      <c r="BJ5170" s="77"/>
      <c r="BL5170" s="497">
        <v>84.92</v>
      </c>
      <c r="BN5170" s="42"/>
      <c r="BO5170" s="74"/>
      <c r="BP5170" s="77"/>
      <c r="BR5170" s="497">
        <v>71.06</v>
      </c>
      <c r="BT5170" s="42"/>
    </row>
    <row r="5171" spans="1:72" x14ac:dyDescent="0.25">
      <c r="A5171" s="90">
        <v>34914</v>
      </c>
      <c r="B5171" s="20">
        <v>0.70833333333333337</v>
      </c>
      <c r="D5171">
        <v>82.94</v>
      </c>
      <c r="E5171" t="str">
        <f t="shared" si="196"/>
        <v>WEEKDAY</v>
      </c>
      <c r="F5171" t="e">
        <f t="shared" si="197"/>
        <v>#N/A</v>
      </c>
      <c r="G5171" s="74">
        <v>31992</v>
      </c>
      <c r="H5171" s="77">
        <v>0.70833333333333337</v>
      </c>
      <c r="J5171">
        <v>87.98</v>
      </c>
      <c r="M5171" s="74">
        <v>34549</v>
      </c>
      <c r="N5171" s="77">
        <v>0.70833333333333337</v>
      </c>
      <c r="P5171">
        <v>81.86</v>
      </c>
      <c r="S5171" s="74">
        <v>34914</v>
      </c>
      <c r="T5171" s="77">
        <v>0.70833333333333337</v>
      </c>
      <c r="V5171">
        <v>82.039999999999992</v>
      </c>
      <c r="X5171" s="42"/>
      <c r="AB5171">
        <v>80.2</v>
      </c>
      <c r="AC5171">
        <v>82.039999999999992</v>
      </c>
      <c r="AE5171" s="74"/>
      <c r="AF5171" s="77"/>
      <c r="AH5171" s="497">
        <v>86.9</v>
      </c>
      <c r="AJ5171" s="42"/>
      <c r="AK5171" s="74"/>
      <c r="AL5171" s="77"/>
      <c r="AN5171" s="497">
        <v>75.92</v>
      </c>
      <c r="AP5171" s="42"/>
      <c r="AQ5171" s="74"/>
      <c r="AR5171" s="77"/>
      <c r="AT5171" s="497">
        <v>80.06</v>
      </c>
      <c r="AV5171" s="42"/>
      <c r="AW5171" s="74"/>
      <c r="AX5171" s="77"/>
      <c r="BA5171" s="497">
        <v>71.06</v>
      </c>
      <c r="BB5171" s="42"/>
      <c r="BC5171" s="74"/>
      <c r="BD5171" s="77"/>
      <c r="BF5171">
        <v>80.06</v>
      </c>
      <c r="BH5171" s="42"/>
      <c r="BI5171" s="74"/>
      <c r="BJ5171" s="77"/>
      <c r="BL5171" s="497">
        <v>82.94</v>
      </c>
      <c r="BN5171" s="42"/>
      <c r="BO5171" s="74"/>
      <c r="BP5171" s="77"/>
      <c r="BR5171" s="497">
        <v>71.06</v>
      </c>
      <c r="BT5171" s="42"/>
    </row>
    <row r="5172" spans="1:72" x14ac:dyDescent="0.25">
      <c r="A5172" s="90">
        <v>34914</v>
      </c>
      <c r="B5172" s="20">
        <v>0.75</v>
      </c>
      <c r="D5172">
        <v>80.06</v>
      </c>
      <c r="E5172" t="str">
        <f t="shared" si="196"/>
        <v>WEEKDAY</v>
      </c>
      <c r="F5172" t="e">
        <f t="shared" si="197"/>
        <v>#N/A</v>
      </c>
      <c r="G5172" s="74">
        <v>31992</v>
      </c>
      <c r="H5172" s="77">
        <v>0.75</v>
      </c>
      <c r="J5172">
        <v>87.080000000000013</v>
      </c>
      <c r="M5172" s="74">
        <v>34549</v>
      </c>
      <c r="N5172" s="77">
        <v>0.75</v>
      </c>
      <c r="P5172">
        <v>79.88</v>
      </c>
      <c r="S5172" s="74">
        <v>34914</v>
      </c>
      <c r="T5172" s="77">
        <v>0.75</v>
      </c>
      <c r="V5172">
        <v>80.06</v>
      </c>
      <c r="X5172" s="42"/>
      <c r="AB5172">
        <v>79.2</v>
      </c>
      <c r="AC5172">
        <v>82.039999999999992</v>
      </c>
      <c r="AE5172" s="74"/>
      <c r="AF5172" s="77"/>
      <c r="AH5172" s="497">
        <v>83.84</v>
      </c>
      <c r="AJ5172" s="42"/>
      <c r="AK5172" s="74"/>
      <c r="AL5172" s="77"/>
      <c r="AN5172" s="497">
        <v>75.92</v>
      </c>
      <c r="AP5172" s="42"/>
      <c r="AQ5172" s="74"/>
      <c r="AR5172" s="77"/>
      <c r="AT5172" s="497">
        <v>77</v>
      </c>
      <c r="AV5172" s="42"/>
      <c r="AW5172" s="74"/>
      <c r="AX5172" s="77"/>
      <c r="BA5172" s="497">
        <v>69.800000000000011</v>
      </c>
      <c r="BB5172" s="42"/>
      <c r="BC5172" s="74"/>
      <c r="BD5172" s="77"/>
      <c r="BF5172">
        <v>78.98</v>
      </c>
      <c r="BH5172" s="42"/>
      <c r="BI5172" s="74"/>
      <c r="BJ5172" s="77"/>
      <c r="BL5172" s="497">
        <v>80.06</v>
      </c>
      <c r="BN5172" s="42"/>
      <c r="BO5172" s="74"/>
      <c r="BP5172" s="77"/>
      <c r="BR5172" s="497">
        <v>71.06</v>
      </c>
      <c r="BT5172" s="42"/>
    </row>
    <row r="5173" spans="1:72" x14ac:dyDescent="0.25">
      <c r="A5173" s="90">
        <v>34914</v>
      </c>
      <c r="B5173" s="20">
        <v>0.79166666666666663</v>
      </c>
      <c r="D5173">
        <v>78.98</v>
      </c>
      <c r="E5173" t="str">
        <f t="shared" si="196"/>
        <v>WEEKDAY</v>
      </c>
      <c r="F5173" t="e">
        <f t="shared" si="197"/>
        <v>#N/A</v>
      </c>
      <c r="G5173" s="74">
        <v>31992</v>
      </c>
      <c r="H5173" s="77">
        <v>0.79166666666666663</v>
      </c>
      <c r="J5173">
        <v>84.92</v>
      </c>
      <c r="M5173" s="74">
        <v>34549</v>
      </c>
      <c r="N5173" s="77">
        <v>0.79166666666666663</v>
      </c>
      <c r="P5173">
        <v>78.98</v>
      </c>
      <c r="S5173" s="74">
        <v>34914</v>
      </c>
      <c r="T5173" s="77">
        <v>0.79166666666666663</v>
      </c>
      <c r="V5173">
        <v>78.98</v>
      </c>
      <c r="X5173" s="42"/>
      <c r="AB5173">
        <v>77.900000000000006</v>
      </c>
      <c r="AC5173">
        <v>80.06</v>
      </c>
      <c r="AE5173" s="74"/>
      <c r="AF5173" s="77"/>
      <c r="AH5173" s="497">
        <v>81.86</v>
      </c>
      <c r="AJ5173" s="42"/>
      <c r="AK5173" s="74"/>
      <c r="AL5173" s="77"/>
      <c r="AN5173" s="497">
        <v>71.06</v>
      </c>
      <c r="AP5173" s="42"/>
      <c r="AQ5173" s="74"/>
      <c r="AR5173" s="77"/>
      <c r="AT5173" s="497">
        <v>73.94</v>
      </c>
      <c r="AV5173" s="42"/>
      <c r="AW5173" s="74"/>
      <c r="AX5173" s="77"/>
      <c r="BA5173" s="497">
        <v>68</v>
      </c>
      <c r="BB5173" s="42"/>
      <c r="BC5173" s="74"/>
      <c r="BD5173" s="77"/>
      <c r="BF5173">
        <v>77</v>
      </c>
      <c r="BH5173" s="42"/>
      <c r="BI5173" s="74"/>
      <c r="BJ5173" s="77"/>
      <c r="BL5173" s="497">
        <v>75.92</v>
      </c>
      <c r="BN5173" s="42"/>
      <c r="BO5173" s="74"/>
      <c r="BP5173" s="77"/>
      <c r="BR5173" s="497">
        <v>71.06</v>
      </c>
      <c r="BT5173" s="42"/>
    </row>
    <row r="5174" spans="1:72" x14ac:dyDescent="0.25">
      <c r="A5174" s="90">
        <v>34914</v>
      </c>
      <c r="B5174" s="20">
        <v>0.83333333333333337</v>
      </c>
      <c r="D5174">
        <v>77</v>
      </c>
      <c r="E5174" t="str">
        <f t="shared" si="196"/>
        <v>WEEKDAY</v>
      </c>
      <c r="F5174" t="e">
        <f t="shared" si="197"/>
        <v>#N/A</v>
      </c>
      <c r="G5174" s="74">
        <v>31992</v>
      </c>
      <c r="H5174" s="77">
        <v>0.83333333333333337</v>
      </c>
      <c r="J5174">
        <v>82.039999999999992</v>
      </c>
      <c r="M5174" s="74">
        <v>34549</v>
      </c>
      <c r="N5174" s="77">
        <v>0.83333333333333337</v>
      </c>
      <c r="P5174">
        <v>74.84</v>
      </c>
      <c r="S5174" s="74">
        <v>34914</v>
      </c>
      <c r="T5174" s="77">
        <v>0.83333333333333337</v>
      </c>
      <c r="V5174">
        <v>78.98</v>
      </c>
      <c r="X5174" s="42"/>
      <c r="AB5174">
        <v>76.5</v>
      </c>
      <c r="AC5174">
        <v>78.98</v>
      </c>
      <c r="AE5174" s="74"/>
      <c r="AF5174" s="77"/>
      <c r="AH5174" s="497">
        <v>74.84</v>
      </c>
      <c r="AJ5174" s="42"/>
      <c r="AK5174" s="74"/>
      <c r="AL5174" s="77"/>
      <c r="AN5174" s="497">
        <v>68</v>
      </c>
      <c r="AP5174" s="42"/>
      <c r="AQ5174" s="74"/>
      <c r="AR5174" s="77"/>
      <c r="AT5174" s="497">
        <v>68</v>
      </c>
      <c r="AV5174" s="42"/>
      <c r="AW5174" s="74"/>
      <c r="AX5174" s="77"/>
      <c r="BA5174" s="497">
        <v>64.039999999999992</v>
      </c>
      <c r="BB5174" s="42"/>
      <c r="BC5174" s="74"/>
      <c r="BD5174" s="77"/>
      <c r="BF5174">
        <v>73.039999999999992</v>
      </c>
      <c r="BH5174" s="42"/>
      <c r="BI5174" s="74"/>
      <c r="BJ5174" s="77"/>
      <c r="BL5174" s="497">
        <v>75.02</v>
      </c>
      <c r="BN5174" s="42"/>
      <c r="BO5174" s="74"/>
      <c r="BP5174" s="77"/>
      <c r="BR5174" s="497">
        <v>69.080000000000013</v>
      </c>
      <c r="BT5174" s="42"/>
    </row>
    <row r="5175" spans="1:72" x14ac:dyDescent="0.25">
      <c r="A5175" s="90">
        <v>34914</v>
      </c>
      <c r="B5175" s="20">
        <v>0.875</v>
      </c>
      <c r="D5175">
        <v>75.92</v>
      </c>
      <c r="E5175" t="str">
        <f t="shared" si="196"/>
        <v>WEEKDAY</v>
      </c>
      <c r="F5175" t="e">
        <f t="shared" si="197"/>
        <v>#N/A</v>
      </c>
      <c r="G5175" s="74">
        <v>31992</v>
      </c>
      <c r="H5175" s="77">
        <v>0.875</v>
      </c>
      <c r="J5175">
        <v>80.960000000000008</v>
      </c>
      <c r="M5175" s="74">
        <v>34549</v>
      </c>
      <c r="N5175" s="77">
        <v>0.875</v>
      </c>
      <c r="P5175">
        <v>73.94</v>
      </c>
      <c r="S5175" s="74">
        <v>34914</v>
      </c>
      <c r="T5175" s="77">
        <v>0.875</v>
      </c>
      <c r="V5175">
        <v>78.98</v>
      </c>
      <c r="X5175" s="42"/>
      <c r="AB5175">
        <v>75.599999999999994</v>
      </c>
      <c r="AC5175">
        <v>75.92</v>
      </c>
      <c r="AE5175" s="74"/>
      <c r="AF5175" s="77"/>
      <c r="AH5175" s="497">
        <v>73.94</v>
      </c>
      <c r="AJ5175" s="42"/>
      <c r="AK5175" s="74"/>
      <c r="AL5175" s="77"/>
      <c r="AN5175" s="497">
        <v>66.92</v>
      </c>
      <c r="AP5175" s="42"/>
      <c r="AQ5175" s="74"/>
      <c r="AR5175" s="77"/>
      <c r="AT5175" s="497">
        <v>64.039999999999992</v>
      </c>
      <c r="AV5175" s="42"/>
      <c r="AW5175" s="74"/>
      <c r="AX5175" s="77"/>
      <c r="BA5175" s="497">
        <v>62.96</v>
      </c>
      <c r="BB5175" s="42"/>
      <c r="BC5175" s="74"/>
      <c r="BD5175" s="77"/>
      <c r="BF5175">
        <v>71.06</v>
      </c>
      <c r="BH5175" s="42"/>
      <c r="BI5175" s="74"/>
      <c r="BJ5175" s="77"/>
      <c r="BL5175" s="497">
        <v>73.039999999999992</v>
      </c>
      <c r="BN5175" s="42"/>
      <c r="BO5175" s="74"/>
      <c r="BP5175" s="77"/>
      <c r="BR5175" s="497">
        <v>68</v>
      </c>
      <c r="BT5175" s="42"/>
    </row>
    <row r="5176" spans="1:72" x14ac:dyDescent="0.25">
      <c r="A5176" s="90">
        <v>34914</v>
      </c>
      <c r="B5176" s="20">
        <v>0.91666666666666663</v>
      </c>
      <c r="D5176">
        <v>75.92</v>
      </c>
      <c r="E5176" t="str">
        <f t="shared" si="196"/>
        <v>WEEKDAY</v>
      </c>
      <c r="F5176" t="e">
        <f t="shared" si="197"/>
        <v>#N/A</v>
      </c>
      <c r="G5176" s="74">
        <v>31992</v>
      </c>
      <c r="H5176" s="77">
        <v>0.91666666666666663</v>
      </c>
      <c r="J5176">
        <v>78.98</v>
      </c>
      <c r="M5176" s="74">
        <v>34549</v>
      </c>
      <c r="N5176" s="77">
        <v>0.91666666666666663</v>
      </c>
      <c r="P5176">
        <v>72.86</v>
      </c>
      <c r="S5176" s="74">
        <v>34914</v>
      </c>
      <c r="T5176" s="77">
        <v>0.91666666666666663</v>
      </c>
      <c r="V5176">
        <v>78.080000000000013</v>
      </c>
      <c r="X5176" s="42"/>
      <c r="AB5176">
        <v>75</v>
      </c>
      <c r="AC5176">
        <v>75.02</v>
      </c>
      <c r="AE5176" s="74"/>
      <c r="AF5176" s="77"/>
      <c r="AH5176" s="497">
        <v>71.960000000000008</v>
      </c>
      <c r="AJ5176" s="42"/>
      <c r="AK5176" s="74"/>
      <c r="AL5176" s="77"/>
      <c r="AN5176" s="497">
        <v>66.02</v>
      </c>
      <c r="AP5176" s="42"/>
      <c r="AQ5176" s="74"/>
      <c r="AR5176" s="77"/>
      <c r="AT5176" s="497">
        <v>62.06</v>
      </c>
      <c r="AV5176" s="42"/>
      <c r="AW5176" s="74"/>
      <c r="AX5176" s="77"/>
      <c r="BA5176" s="497">
        <v>62.06</v>
      </c>
      <c r="BB5176" s="42"/>
      <c r="BC5176" s="74"/>
      <c r="BD5176" s="77"/>
      <c r="BF5176">
        <v>64.94</v>
      </c>
      <c r="BH5176" s="42"/>
      <c r="BI5176" s="74"/>
      <c r="BJ5176" s="77"/>
      <c r="BL5176" s="497">
        <v>69.98</v>
      </c>
      <c r="BN5176" s="42"/>
      <c r="BO5176" s="74"/>
      <c r="BP5176" s="77"/>
      <c r="BR5176" s="497">
        <v>68</v>
      </c>
      <c r="BT5176" s="42"/>
    </row>
    <row r="5177" spans="1:72" x14ac:dyDescent="0.25">
      <c r="A5177" s="90">
        <v>34914</v>
      </c>
      <c r="B5177" s="20">
        <v>0.95833333333333337</v>
      </c>
      <c r="D5177">
        <v>75.92</v>
      </c>
      <c r="E5177" t="str">
        <f t="shared" si="196"/>
        <v>WEEKDAY</v>
      </c>
      <c r="F5177" t="e">
        <f t="shared" si="197"/>
        <v>#N/A</v>
      </c>
      <c r="G5177" s="74">
        <v>31992</v>
      </c>
      <c r="H5177" s="77">
        <v>0.95833333333333337</v>
      </c>
      <c r="J5177">
        <v>78.98</v>
      </c>
      <c r="M5177" s="74">
        <v>34549</v>
      </c>
      <c r="N5177" s="77">
        <v>0.95833333333333337</v>
      </c>
      <c r="P5177">
        <v>70.88</v>
      </c>
      <c r="S5177" s="74">
        <v>34914</v>
      </c>
      <c r="T5177" s="77">
        <v>0.95833333333333337</v>
      </c>
      <c r="V5177">
        <v>77</v>
      </c>
      <c r="X5177" s="42"/>
      <c r="AB5177">
        <v>74.599999999999994</v>
      </c>
      <c r="AC5177">
        <v>75.02</v>
      </c>
      <c r="AE5177" s="74"/>
      <c r="AF5177" s="77"/>
      <c r="AH5177" s="497">
        <v>71.960000000000008</v>
      </c>
      <c r="AJ5177" s="42"/>
      <c r="AK5177" s="74"/>
      <c r="AL5177" s="77"/>
      <c r="AN5177" s="497">
        <v>64.94</v>
      </c>
      <c r="AP5177" s="42"/>
      <c r="AQ5177" s="74"/>
      <c r="AR5177" s="77"/>
      <c r="AT5177" s="497">
        <v>60.980000000000004</v>
      </c>
      <c r="AV5177" s="42"/>
      <c r="AW5177" s="74"/>
      <c r="AX5177" s="77"/>
      <c r="BA5177" s="497">
        <v>62.06</v>
      </c>
      <c r="BB5177" s="42"/>
      <c r="BC5177" s="74"/>
      <c r="BD5177" s="77"/>
      <c r="BF5177">
        <v>62.06</v>
      </c>
      <c r="BH5177" s="42"/>
      <c r="BI5177" s="74"/>
      <c r="BJ5177" s="77"/>
      <c r="BL5177" s="497">
        <v>66.92</v>
      </c>
      <c r="BN5177" s="42"/>
      <c r="BO5177" s="74"/>
      <c r="BP5177" s="77"/>
      <c r="BR5177" s="497">
        <v>68</v>
      </c>
      <c r="BT5177" s="42"/>
    </row>
    <row r="5178" spans="1:72" x14ac:dyDescent="0.25">
      <c r="A5178" s="90">
        <v>34914</v>
      </c>
      <c r="B5178" s="20">
        <v>1</v>
      </c>
      <c r="D5178">
        <v>75.02</v>
      </c>
      <c r="E5178" t="str">
        <f t="shared" si="196"/>
        <v>WEEKDAY</v>
      </c>
      <c r="F5178" t="e">
        <f t="shared" si="197"/>
        <v>#N/A</v>
      </c>
      <c r="G5178" s="74">
        <v>31992</v>
      </c>
      <c r="H5178" s="77">
        <v>1</v>
      </c>
      <c r="J5178">
        <v>77</v>
      </c>
      <c r="M5178" s="74">
        <v>34549</v>
      </c>
      <c r="N5178" s="80">
        <v>1</v>
      </c>
      <c r="P5178">
        <v>70.88</v>
      </c>
      <c r="S5178" s="74">
        <v>34914</v>
      </c>
      <c r="T5178" s="80">
        <v>1</v>
      </c>
      <c r="V5178">
        <v>75.92</v>
      </c>
      <c r="X5178" s="42"/>
      <c r="AB5178">
        <v>74</v>
      </c>
      <c r="AC5178">
        <v>73.94</v>
      </c>
      <c r="AE5178" s="74"/>
      <c r="AF5178" s="80"/>
      <c r="AH5178" s="497">
        <v>71.960000000000008</v>
      </c>
      <c r="AJ5178" s="42"/>
      <c r="AK5178" s="74"/>
      <c r="AL5178" s="80"/>
      <c r="AN5178" s="497">
        <v>64.039999999999992</v>
      </c>
      <c r="AP5178" s="42"/>
      <c r="AQ5178" s="74"/>
      <c r="AR5178" s="80"/>
      <c r="AT5178" s="497">
        <v>60.08</v>
      </c>
      <c r="AV5178" s="42"/>
      <c r="AW5178" s="74"/>
      <c r="AX5178" s="80"/>
      <c r="BA5178" s="497">
        <v>59</v>
      </c>
      <c r="BB5178" s="42"/>
      <c r="BC5178" s="74"/>
      <c r="BD5178" s="80"/>
      <c r="BF5178">
        <v>60.08</v>
      </c>
      <c r="BH5178" s="42"/>
      <c r="BI5178" s="74"/>
      <c r="BJ5178" s="80"/>
      <c r="BL5178" s="497">
        <v>64.94</v>
      </c>
      <c r="BN5178" s="42"/>
      <c r="BO5178" s="74"/>
      <c r="BP5178" s="80"/>
      <c r="BR5178" s="497">
        <v>68</v>
      </c>
      <c r="BT5178" s="42"/>
    </row>
    <row r="5179" spans="1:72" x14ac:dyDescent="0.25">
      <c r="A5179" s="90">
        <v>34915</v>
      </c>
      <c r="B5179" s="20">
        <v>4.1666666666666664E-2</v>
      </c>
      <c r="D5179">
        <v>73.94</v>
      </c>
      <c r="E5179" t="str">
        <f t="shared" si="196"/>
        <v>WEEKDAY</v>
      </c>
      <c r="F5179" t="e">
        <f t="shared" si="197"/>
        <v>#N/A</v>
      </c>
      <c r="G5179" s="74">
        <v>31993</v>
      </c>
      <c r="H5179" s="77">
        <v>4.1666666666666664E-2</v>
      </c>
      <c r="J5179">
        <v>77</v>
      </c>
      <c r="M5179" s="74">
        <v>34550</v>
      </c>
      <c r="N5179" s="77">
        <v>4.1666666666666664E-2</v>
      </c>
      <c r="P5179">
        <v>70.88</v>
      </c>
      <c r="S5179" s="74">
        <v>34915</v>
      </c>
      <c r="T5179" s="77">
        <v>4.1666666666666664E-2</v>
      </c>
      <c r="V5179">
        <v>75.92</v>
      </c>
      <c r="X5179" s="42"/>
      <c r="AB5179">
        <v>73.400000000000006</v>
      </c>
      <c r="AC5179">
        <v>73.94</v>
      </c>
      <c r="AE5179" s="74"/>
      <c r="AF5179" s="77"/>
      <c r="AH5179" s="497">
        <v>70.88</v>
      </c>
      <c r="AJ5179" s="42"/>
      <c r="AK5179" s="74"/>
      <c r="AL5179" s="77"/>
      <c r="AN5179" s="497">
        <v>62.96</v>
      </c>
      <c r="AP5179" s="42"/>
      <c r="AQ5179" s="74"/>
      <c r="AR5179" s="77"/>
      <c r="AT5179" s="497">
        <v>59</v>
      </c>
      <c r="AV5179" s="42"/>
      <c r="AW5179" s="74"/>
      <c r="AX5179" s="77"/>
      <c r="BA5179" s="497">
        <v>57.019999999999996</v>
      </c>
      <c r="BB5179" s="42"/>
      <c r="BC5179" s="74"/>
      <c r="BD5179" s="77"/>
      <c r="BF5179">
        <v>57.92</v>
      </c>
      <c r="BH5179" s="42"/>
      <c r="BI5179" s="74"/>
      <c r="BJ5179" s="77"/>
      <c r="BL5179" s="497">
        <v>64.94</v>
      </c>
      <c r="BN5179" s="42"/>
      <c r="BO5179" s="74"/>
      <c r="BP5179" s="77"/>
      <c r="BR5179" s="497">
        <v>68</v>
      </c>
      <c r="BT5179" s="42"/>
    </row>
    <row r="5180" spans="1:72" x14ac:dyDescent="0.25">
      <c r="A5180" s="90">
        <v>34915</v>
      </c>
      <c r="B5180" s="20">
        <v>8.3333333333333329E-2</v>
      </c>
      <c r="D5180">
        <v>73.94</v>
      </c>
      <c r="E5180" t="str">
        <f t="shared" si="196"/>
        <v>WEEKDAY</v>
      </c>
      <c r="F5180" t="e">
        <f t="shared" si="197"/>
        <v>#N/A</v>
      </c>
      <c r="G5180" s="74">
        <v>31993</v>
      </c>
      <c r="H5180" s="77">
        <v>8.3333333333333329E-2</v>
      </c>
      <c r="J5180">
        <v>75.92</v>
      </c>
      <c r="M5180" s="74">
        <v>34550</v>
      </c>
      <c r="N5180" s="77">
        <v>8.3333333333333329E-2</v>
      </c>
      <c r="P5180">
        <v>70.88</v>
      </c>
      <c r="S5180" s="74">
        <v>34915</v>
      </c>
      <c r="T5180" s="77">
        <v>8.3333333333333329E-2</v>
      </c>
      <c r="V5180">
        <v>75.02</v>
      </c>
      <c r="X5180" s="42"/>
      <c r="AB5180">
        <v>72.7</v>
      </c>
      <c r="AC5180">
        <v>73.039999999999992</v>
      </c>
      <c r="AE5180" s="74"/>
      <c r="AF5180" s="77"/>
      <c r="AH5180" s="497">
        <v>68.900000000000006</v>
      </c>
      <c r="AJ5180" s="42"/>
      <c r="AK5180" s="74"/>
      <c r="AL5180" s="77"/>
      <c r="AN5180" s="497">
        <v>60.08</v>
      </c>
      <c r="AP5180" s="42"/>
      <c r="AQ5180" s="74"/>
      <c r="AR5180" s="77"/>
      <c r="AT5180" s="497">
        <v>55.94</v>
      </c>
      <c r="AV5180" s="42"/>
      <c r="AW5180" s="74"/>
      <c r="AX5180" s="77"/>
      <c r="BA5180" s="497">
        <v>59</v>
      </c>
      <c r="BB5180" s="42"/>
      <c r="BC5180" s="74"/>
      <c r="BD5180" s="77"/>
      <c r="BF5180">
        <v>55.040000000000006</v>
      </c>
      <c r="BH5180" s="42"/>
      <c r="BI5180" s="74"/>
      <c r="BJ5180" s="77"/>
      <c r="BL5180" s="497">
        <v>66.02</v>
      </c>
      <c r="BN5180" s="42"/>
      <c r="BO5180" s="74"/>
      <c r="BP5180" s="77"/>
      <c r="BR5180" s="497">
        <v>68</v>
      </c>
      <c r="BT5180" s="42"/>
    </row>
    <row r="5181" spans="1:72" x14ac:dyDescent="0.25">
      <c r="A5181" s="90">
        <v>34915</v>
      </c>
      <c r="B5181" s="20">
        <v>0.125</v>
      </c>
      <c r="D5181">
        <v>73.94</v>
      </c>
      <c r="E5181" t="str">
        <f t="shared" si="196"/>
        <v>WEEKDAY</v>
      </c>
      <c r="F5181" t="e">
        <f t="shared" si="197"/>
        <v>#N/A</v>
      </c>
      <c r="G5181" s="74">
        <v>31993</v>
      </c>
      <c r="H5181" s="77">
        <v>0.125</v>
      </c>
      <c r="J5181">
        <v>75.92</v>
      </c>
      <c r="M5181" s="74">
        <v>34550</v>
      </c>
      <c r="N5181" s="77">
        <v>0.125</v>
      </c>
      <c r="P5181">
        <v>69.98</v>
      </c>
      <c r="S5181" s="74">
        <v>34915</v>
      </c>
      <c r="T5181" s="77">
        <v>0.125</v>
      </c>
      <c r="V5181">
        <v>75.02</v>
      </c>
      <c r="X5181" s="42"/>
      <c r="AB5181">
        <v>72.2</v>
      </c>
      <c r="AC5181">
        <v>71.960000000000008</v>
      </c>
      <c r="AE5181" s="74"/>
      <c r="AF5181" s="77"/>
      <c r="AH5181" s="497">
        <v>69.98</v>
      </c>
      <c r="AJ5181" s="42"/>
      <c r="AK5181" s="74"/>
      <c r="AL5181" s="77"/>
      <c r="AN5181" s="497">
        <v>59</v>
      </c>
      <c r="AP5181" s="42"/>
      <c r="AQ5181" s="74"/>
      <c r="AR5181" s="77"/>
      <c r="AT5181" s="497">
        <v>55.94</v>
      </c>
      <c r="AV5181" s="42"/>
      <c r="AW5181" s="74"/>
      <c r="AX5181" s="77"/>
      <c r="BA5181" s="497">
        <v>55.94</v>
      </c>
      <c r="BB5181" s="42"/>
      <c r="BC5181" s="74"/>
      <c r="BD5181" s="77"/>
      <c r="BF5181">
        <v>55.94</v>
      </c>
      <c r="BH5181" s="42"/>
      <c r="BI5181" s="74"/>
      <c r="BJ5181" s="77"/>
      <c r="BL5181" s="497">
        <v>64.94</v>
      </c>
      <c r="BN5181" s="42"/>
      <c r="BO5181" s="74"/>
      <c r="BP5181" s="77"/>
      <c r="BR5181" s="497">
        <v>66.02</v>
      </c>
      <c r="BT5181" s="42"/>
    </row>
    <row r="5182" spans="1:72" x14ac:dyDescent="0.25">
      <c r="A5182" s="90">
        <v>34915</v>
      </c>
      <c r="B5182" s="20">
        <v>0.16666666666666666</v>
      </c>
      <c r="D5182">
        <v>73.94</v>
      </c>
      <c r="E5182" t="str">
        <f t="shared" si="196"/>
        <v>WEEKDAY</v>
      </c>
      <c r="F5182" t="e">
        <f t="shared" si="197"/>
        <v>#N/A</v>
      </c>
      <c r="G5182" s="74">
        <v>31993</v>
      </c>
      <c r="H5182" s="77">
        <v>0.16666666666666666</v>
      </c>
      <c r="J5182">
        <v>73.94</v>
      </c>
      <c r="M5182" s="74">
        <v>34550</v>
      </c>
      <c r="N5182" s="77">
        <v>0.16666666666666666</v>
      </c>
      <c r="P5182">
        <v>69.98</v>
      </c>
      <c r="S5182" s="74">
        <v>34915</v>
      </c>
      <c r="T5182" s="77">
        <v>0.16666666666666666</v>
      </c>
      <c r="V5182">
        <v>75.02</v>
      </c>
      <c r="X5182" s="42"/>
      <c r="AB5182">
        <v>71.7</v>
      </c>
      <c r="AC5182">
        <v>69.98</v>
      </c>
      <c r="AE5182" s="74"/>
      <c r="AF5182" s="77"/>
      <c r="AH5182" s="497">
        <v>68</v>
      </c>
      <c r="AJ5182" s="42"/>
      <c r="AK5182" s="74"/>
      <c r="AL5182" s="77"/>
      <c r="AN5182" s="497">
        <v>57.92</v>
      </c>
      <c r="AP5182" s="42"/>
      <c r="AQ5182" s="74"/>
      <c r="AR5182" s="77"/>
      <c r="AT5182" s="497">
        <v>55.040000000000006</v>
      </c>
      <c r="AV5182" s="42"/>
      <c r="AW5182" s="74"/>
      <c r="AX5182" s="77"/>
      <c r="BA5182" s="497">
        <v>57.019999999999996</v>
      </c>
      <c r="BB5182" s="42"/>
      <c r="BC5182" s="74"/>
      <c r="BD5182" s="77"/>
      <c r="BF5182">
        <v>53.96</v>
      </c>
      <c r="BH5182" s="42"/>
      <c r="BI5182" s="74"/>
      <c r="BJ5182" s="77"/>
      <c r="BL5182" s="497">
        <v>64.94</v>
      </c>
      <c r="BN5182" s="42"/>
      <c r="BO5182" s="74"/>
      <c r="BP5182" s="77"/>
      <c r="BR5182" s="497">
        <v>62.06</v>
      </c>
      <c r="BT5182" s="42"/>
    </row>
    <row r="5183" spans="1:72" x14ac:dyDescent="0.25">
      <c r="A5183" s="90">
        <v>34915</v>
      </c>
      <c r="B5183" s="20">
        <v>0.20833333333333334</v>
      </c>
      <c r="D5183">
        <v>73.94</v>
      </c>
      <c r="E5183" t="str">
        <f t="shared" si="196"/>
        <v>WEEKDAY</v>
      </c>
      <c r="F5183" t="e">
        <f t="shared" si="197"/>
        <v>#N/A</v>
      </c>
      <c r="G5183" s="74">
        <v>31993</v>
      </c>
      <c r="H5183" s="77">
        <v>0.20833333333333334</v>
      </c>
      <c r="J5183">
        <v>73.94</v>
      </c>
      <c r="M5183" s="74">
        <v>34550</v>
      </c>
      <c r="N5183" s="77">
        <v>0.20833333333333334</v>
      </c>
      <c r="P5183">
        <v>68</v>
      </c>
      <c r="S5183" s="74">
        <v>34915</v>
      </c>
      <c r="T5183" s="77">
        <v>0.20833333333333334</v>
      </c>
      <c r="V5183">
        <v>75.02</v>
      </c>
      <c r="X5183" s="42"/>
      <c r="AB5183">
        <v>71.099999999999994</v>
      </c>
      <c r="AC5183">
        <v>71.06</v>
      </c>
      <c r="AE5183" s="74"/>
      <c r="AF5183" s="77"/>
      <c r="AH5183" s="497">
        <v>66.92</v>
      </c>
      <c r="AJ5183" s="42"/>
      <c r="AK5183" s="74"/>
      <c r="AL5183" s="77"/>
      <c r="AN5183" s="497">
        <v>59</v>
      </c>
      <c r="AP5183" s="42"/>
      <c r="AQ5183" s="74"/>
      <c r="AR5183" s="77"/>
      <c r="AT5183" s="497">
        <v>53.96</v>
      </c>
      <c r="AV5183" s="42"/>
      <c r="AW5183" s="74"/>
      <c r="AX5183" s="77"/>
      <c r="BA5183" s="497">
        <v>55.94</v>
      </c>
      <c r="BB5183" s="42"/>
      <c r="BC5183" s="74"/>
      <c r="BD5183" s="77"/>
      <c r="BF5183">
        <v>53.96</v>
      </c>
      <c r="BH5183" s="42"/>
      <c r="BI5183" s="74"/>
      <c r="BJ5183" s="77"/>
      <c r="BL5183" s="497">
        <v>64.94</v>
      </c>
      <c r="BN5183" s="42"/>
      <c r="BO5183" s="74"/>
      <c r="BP5183" s="77"/>
      <c r="BR5183" s="497">
        <v>60.980000000000004</v>
      </c>
      <c r="BT5183" s="42"/>
    </row>
    <row r="5184" spans="1:72" x14ac:dyDescent="0.25">
      <c r="A5184" s="90">
        <v>34915</v>
      </c>
      <c r="B5184" s="20">
        <v>0.25</v>
      </c>
      <c r="D5184">
        <v>73.039999999999992</v>
      </c>
      <c r="E5184" t="str">
        <f t="shared" si="196"/>
        <v>WEEKDAY</v>
      </c>
      <c r="F5184" t="e">
        <f t="shared" si="197"/>
        <v>#N/A</v>
      </c>
      <c r="G5184" s="74">
        <v>31993</v>
      </c>
      <c r="H5184" s="77">
        <v>0.25</v>
      </c>
      <c r="J5184">
        <v>75.92</v>
      </c>
      <c r="M5184" s="74">
        <v>34550</v>
      </c>
      <c r="N5184" s="77">
        <v>0.25</v>
      </c>
      <c r="P5184">
        <v>68</v>
      </c>
      <c r="S5184" s="74">
        <v>34915</v>
      </c>
      <c r="T5184" s="77">
        <v>0.25</v>
      </c>
      <c r="V5184">
        <v>77</v>
      </c>
      <c r="X5184" s="42"/>
      <c r="AB5184">
        <v>70.8</v>
      </c>
      <c r="AC5184">
        <v>73.039999999999992</v>
      </c>
      <c r="AE5184" s="74"/>
      <c r="AF5184" s="77"/>
      <c r="AH5184" s="497">
        <v>68</v>
      </c>
      <c r="AJ5184" s="42"/>
      <c r="AK5184" s="74"/>
      <c r="AL5184" s="77"/>
      <c r="AN5184" s="497">
        <v>57.019999999999996</v>
      </c>
      <c r="AP5184" s="42"/>
      <c r="AQ5184" s="74"/>
      <c r="AR5184" s="77"/>
      <c r="AT5184" s="497">
        <v>57.019999999999996</v>
      </c>
      <c r="AV5184" s="42"/>
      <c r="AW5184" s="74"/>
      <c r="AX5184" s="77"/>
      <c r="BA5184" s="497">
        <v>57.92</v>
      </c>
      <c r="BB5184" s="42"/>
      <c r="BC5184" s="74"/>
      <c r="BD5184" s="77"/>
      <c r="BF5184">
        <v>53.96</v>
      </c>
      <c r="BH5184" s="42"/>
      <c r="BI5184" s="74"/>
      <c r="BJ5184" s="77"/>
      <c r="BL5184" s="497">
        <v>66.02</v>
      </c>
      <c r="BN5184" s="42"/>
      <c r="BO5184" s="74"/>
      <c r="BP5184" s="77"/>
      <c r="BR5184" s="497">
        <v>60.980000000000004</v>
      </c>
      <c r="BT5184" s="42"/>
    </row>
    <row r="5185" spans="1:72" x14ac:dyDescent="0.25">
      <c r="A5185" s="90">
        <v>34915</v>
      </c>
      <c r="B5185" s="20">
        <v>0.29166666666666669</v>
      </c>
      <c r="D5185">
        <v>73.94</v>
      </c>
      <c r="E5185" t="str">
        <f t="shared" si="196"/>
        <v>WEEKDAY</v>
      </c>
      <c r="F5185" t="e">
        <f t="shared" si="197"/>
        <v>#N/A</v>
      </c>
      <c r="G5185" s="74">
        <v>31993</v>
      </c>
      <c r="H5185" s="77">
        <v>0.29166666666666669</v>
      </c>
      <c r="J5185">
        <v>78.080000000000013</v>
      </c>
      <c r="M5185" s="74">
        <v>34550</v>
      </c>
      <c r="N5185" s="77">
        <v>0.29166666666666669</v>
      </c>
      <c r="P5185">
        <v>73.94</v>
      </c>
      <c r="S5185" s="74">
        <v>34915</v>
      </c>
      <c r="T5185" s="77">
        <v>0.29166666666666669</v>
      </c>
      <c r="V5185">
        <v>80.06</v>
      </c>
      <c r="X5185" s="42"/>
      <c r="AB5185">
        <v>71.7</v>
      </c>
      <c r="AC5185">
        <v>77</v>
      </c>
      <c r="AE5185" s="74"/>
      <c r="AF5185" s="77"/>
      <c r="AH5185" s="497">
        <v>73.94</v>
      </c>
      <c r="AJ5185" s="42"/>
      <c r="AK5185" s="74"/>
      <c r="AL5185" s="77"/>
      <c r="AN5185" s="497">
        <v>62.06</v>
      </c>
      <c r="AP5185" s="42"/>
      <c r="AQ5185" s="74"/>
      <c r="AR5185" s="77"/>
      <c r="AT5185" s="497">
        <v>62.96</v>
      </c>
      <c r="AV5185" s="42"/>
      <c r="AW5185" s="74"/>
      <c r="AX5185" s="77"/>
      <c r="BA5185" s="497">
        <v>60.08</v>
      </c>
      <c r="BB5185" s="42"/>
      <c r="BC5185" s="74"/>
      <c r="BD5185" s="77"/>
      <c r="BF5185">
        <v>59</v>
      </c>
      <c r="BH5185" s="42"/>
      <c r="BI5185" s="74"/>
      <c r="BJ5185" s="77"/>
      <c r="BL5185" s="497">
        <v>69.080000000000013</v>
      </c>
      <c r="BN5185" s="42"/>
      <c r="BO5185" s="74"/>
      <c r="BP5185" s="77"/>
      <c r="BR5185" s="497">
        <v>60.980000000000004</v>
      </c>
      <c r="BT5185" s="42"/>
    </row>
    <row r="5186" spans="1:72" x14ac:dyDescent="0.25">
      <c r="A5186" s="90">
        <v>34915</v>
      </c>
      <c r="B5186" s="20">
        <v>0.33333333333333331</v>
      </c>
      <c r="D5186">
        <v>77</v>
      </c>
      <c r="E5186" t="str">
        <f t="shared" si="196"/>
        <v>WEEKDAY</v>
      </c>
      <c r="F5186" t="e">
        <f t="shared" si="197"/>
        <v>#N/A</v>
      </c>
      <c r="G5186" s="74">
        <v>31993</v>
      </c>
      <c r="H5186" s="77">
        <v>0.33333333333333331</v>
      </c>
      <c r="J5186">
        <v>82.039999999999992</v>
      </c>
      <c r="M5186" s="74">
        <v>34550</v>
      </c>
      <c r="N5186" s="77">
        <v>0.33333333333333331</v>
      </c>
      <c r="P5186">
        <v>77</v>
      </c>
      <c r="S5186" s="74">
        <v>34915</v>
      </c>
      <c r="T5186" s="77">
        <v>0.33333333333333331</v>
      </c>
      <c r="V5186">
        <v>82.039999999999992</v>
      </c>
      <c r="X5186" s="42"/>
      <c r="AB5186">
        <v>73.8</v>
      </c>
      <c r="AC5186">
        <v>80.960000000000008</v>
      </c>
      <c r="AE5186" s="74"/>
      <c r="AF5186" s="77"/>
      <c r="AH5186" s="497">
        <v>77.900000000000006</v>
      </c>
      <c r="AJ5186" s="42"/>
      <c r="AK5186" s="74"/>
      <c r="AL5186" s="77"/>
      <c r="AN5186" s="497">
        <v>66.92</v>
      </c>
      <c r="AP5186" s="42"/>
      <c r="AQ5186" s="74"/>
      <c r="AR5186" s="77"/>
      <c r="AT5186" s="497">
        <v>68</v>
      </c>
      <c r="AV5186" s="42"/>
      <c r="AW5186" s="74"/>
      <c r="AX5186" s="77"/>
      <c r="BA5186" s="497">
        <v>64.039999999999992</v>
      </c>
      <c r="BB5186" s="42"/>
      <c r="BC5186" s="74"/>
      <c r="BD5186" s="77"/>
      <c r="BF5186">
        <v>66.92</v>
      </c>
      <c r="BH5186" s="42"/>
      <c r="BI5186" s="74"/>
      <c r="BJ5186" s="77"/>
      <c r="BL5186" s="497">
        <v>71.06</v>
      </c>
      <c r="BN5186" s="42"/>
      <c r="BO5186" s="74"/>
      <c r="BP5186" s="77"/>
      <c r="BR5186" s="497">
        <v>62.96</v>
      </c>
      <c r="BT5186" s="42"/>
    </row>
    <row r="5187" spans="1:72" x14ac:dyDescent="0.25">
      <c r="A5187" s="90">
        <v>34915</v>
      </c>
      <c r="B5187" s="20">
        <v>0.375</v>
      </c>
      <c r="D5187">
        <v>78.080000000000013</v>
      </c>
      <c r="E5187" t="str">
        <f t="shared" si="196"/>
        <v>WEEKDAY</v>
      </c>
      <c r="F5187" t="e">
        <f t="shared" si="197"/>
        <v>#N/A</v>
      </c>
      <c r="G5187" s="74">
        <v>31993</v>
      </c>
      <c r="H5187" s="77">
        <v>0.375</v>
      </c>
      <c r="J5187">
        <v>82.94</v>
      </c>
      <c r="M5187" s="74">
        <v>34550</v>
      </c>
      <c r="N5187" s="77">
        <v>0.375</v>
      </c>
      <c r="P5187">
        <v>79.88</v>
      </c>
      <c r="S5187" s="74">
        <v>34915</v>
      </c>
      <c r="T5187" s="77">
        <v>0.375</v>
      </c>
      <c r="V5187">
        <v>84.02</v>
      </c>
      <c r="X5187" s="42"/>
      <c r="AB5187">
        <v>75.900000000000006</v>
      </c>
      <c r="AC5187">
        <v>84.92</v>
      </c>
      <c r="AE5187" s="74"/>
      <c r="AF5187" s="77"/>
      <c r="AH5187" s="497">
        <v>80.960000000000008</v>
      </c>
      <c r="AJ5187" s="42"/>
      <c r="AK5187" s="74"/>
      <c r="AL5187" s="77"/>
      <c r="AN5187" s="497">
        <v>69.98</v>
      </c>
      <c r="AP5187" s="42"/>
      <c r="AQ5187" s="74"/>
      <c r="AR5187" s="77"/>
      <c r="AT5187" s="497">
        <v>71.06</v>
      </c>
      <c r="AV5187" s="42"/>
      <c r="AW5187" s="74"/>
      <c r="AX5187" s="77"/>
      <c r="BA5187" s="497">
        <v>66.02</v>
      </c>
      <c r="BB5187" s="42"/>
      <c r="BC5187" s="74"/>
      <c r="BD5187" s="77"/>
      <c r="BF5187">
        <v>71.960000000000008</v>
      </c>
      <c r="BH5187" s="42"/>
      <c r="BI5187" s="74"/>
      <c r="BJ5187" s="77"/>
      <c r="BL5187" s="497">
        <v>75.92</v>
      </c>
      <c r="BN5187" s="42"/>
      <c r="BO5187" s="74"/>
      <c r="BP5187" s="77"/>
      <c r="BR5187" s="497">
        <v>64.94</v>
      </c>
      <c r="BT5187" s="42"/>
    </row>
    <row r="5188" spans="1:72" x14ac:dyDescent="0.25">
      <c r="A5188" s="90">
        <v>34915</v>
      </c>
      <c r="B5188" s="20">
        <v>0.41666666666666669</v>
      </c>
      <c r="D5188">
        <v>77</v>
      </c>
      <c r="E5188" t="str">
        <f t="shared" si="196"/>
        <v>WEEKDAY</v>
      </c>
      <c r="F5188" t="e">
        <f t="shared" si="197"/>
        <v>#N/A</v>
      </c>
      <c r="G5188" s="74">
        <v>31993</v>
      </c>
      <c r="H5188" s="77">
        <v>0.41666666666666669</v>
      </c>
      <c r="J5188">
        <v>84.02</v>
      </c>
      <c r="M5188" s="74">
        <v>34550</v>
      </c>
      <c r="N5188" s="77">
        <v>0.41666666666666669</v>
      </c>
      <c r="P5188">
        <v>81.86</v>
      </c>
      <c r="S5188" s="74">
        <v>34915</v>
      </c>
      <c r="T5188" s="77">
        <v>0.41666666666666669</v>
      </c>
      <c r="V5188">
        <v>84.92</v>
      </c>
      <c r="X5188" s="42"/>
      <c r="AB5188">
        <v>77.8</v>
      </c>
      <c r="AC5188">
        <v>87.080000000000013</v>
      </c>
      <c r="AE5188" s="74"/>
      <c r="AF5188" s="77"/>
      <c r="AH5188" s="497">
        <v>81.86</v>
      </c>
      <c r="AJ5188" s="42"/>
      <c r="AK5188" s="74"/>
      <c r="AL5188" s="77"/>
      <c r="AN5188" s="497">
        <v>75.02</v>
      </c>
      <c r="AP5188" s="42"/>
      <c r="AQ5188" s="74"/>
      <c r="AR5188" s="77"/>
      <c r="AT5188" s="497">
        <v>75.02</v>
      </c>
      <c r="AV5188" s="42"/>
      <c r="AW5188" s="74"/>
      <c r="AX5188" s="77"/>
      <c r="BA5188" s="497">
        <v>69.080000000000013</v>
      </c>
      <c r="BB5188" s="42"/>
      <c r="BC5188" s="74"/>
      <c r="BD5188" s="77"/>
      <c r="BF5188">
        <v>77</v>
      </c>
      <c r="BH5188" s="42"/>
      <c r="BI5188" s="74"/>
      <c r="BJ5188" s="77"/>
      <c r="BL5188" s="497">
        <v>80.960000000000008</v>
      </c>
      <c r="BN5188" s="42"/>
      <c r="BO5188" s="74"/>
      <c r="BP5188" s="77"/>
      <c r="BR5188" s="497">
        <v>66.02</v>
      </c>
      <c r="BT5188" s="42"/>
    </row>
    <row r="5189" spans="1:72" x14ac:dyDescent="0.25">
      <c r="A5189" s="90">
        <v>34915</v>
      </c>
      <c r="B5189" s="20">
        <v>0.45833333333333331</v>
      </c>
      <c r="D5189">
        <v>78.98</v>
      </c>
      <c r="E5189" t="str">
        <f t="shared" si="196"/>
        <v>WEEKDAY</v>
      </c>
      <c r="F5189" t="e">
        <f t="shared" si="197"/>
        <v>#N/A</v>
      </c>
      <c r="G5189" s="74">
        <v>31993</v>
      </c>
      <c r="H5189" s="77">
        <v>0.45833333333333331</v>
      </c>
      <c r="J5189">
        <v>84.92</v>
      </c>
      <c r="M5189" s="74">
        <v>34550</v>
      </c>
      <c r="N5189" s="77">
        <v>0.45833333333333331</v>
      </c>
      <c r="P5189">
        <v>83.84</v>
      </c>
      <c r="S5189" s="74">
        <v>34915</v>
      </c>
      <c r="T5189" s="77">
        <v>0.45833333333333331</v>
      </c>
      <c r="V5189">
        <v>87.080000000000013</v>
      </c>
      <c r="X5189" s="42"/>
      <c r="AB5189">
        <v>79.3</v>
      </c>
      <c r="AC5189">
        <v>87.080000000000013</v>
      </c>
      <c r="AE5189" s="74"/>
      <c r="AF5189" s="77"/>
      <c r="AH5189" s="497">
        <v>86</v>
      </c>
      <c r="AJ5189" s="42"/>
      <c r="AK5189" s="74"/>
      <c r="AL5189" s="77"/>
      <c r="AN5189" s="497">
        <v>78.080000000000013</v>
      </c>
      <c r="AP5189" s="42"/>
      <c r="AQ5189" s="74"/>
      <c r="AR5189" s="77"/>
      <c r="AT5189" s="497">
        <v>78.080000000000013</v>
      </c>
      <c r="AV5189" s="42"/>
      <c r="AW5189" s="74"/>
      <c r="AX5189" s="77"/>
      <c r="BA5189" s="497">
        <v>69.98</v>
      </c>
      <c r="BB5189" s="42"/>
      <c r="BC5189" s="74"/>
      <c r="BD5189" s="77"/>
      <c r="BF5189">
        <v>80.06</v>
      </c>
      <c r="BH5189" s="42"/>
      <c r="BI5189" s="74"/>
      <c r="BJ5189" s="77"/>
      <c r="BL5189" s="497">
        <v>84.92</v>
      </c>
      <c r="BN5189" s="42"/>
      <c r="BO5189" s="74"/>
      <c r="BP5189" s="77"/>
      <c r="BR5189" s="497">
        <v>69.080000000000013</v>
      </c>
      <c r="BT5189" s="42"/>
    </row>
    <row r="5190" spans="1:72" x14ac:dyDescent="0.25">
      <c r="A5190" s="90">
        <v>34915</v>
      </c>
      <c r="B5190" s="20">
        <v>0.5</v>
      </c>
      <c r="D5190">
        <v>82.039999999999992</v>
      </c>
      <c r="E5190" t="str">
        <f t="shared" si="196"/>
        <v>WEEKDAY</v>
      </c>
      <c r="F5190" t="e">
        <f t="shared" si="197"/>
        <v>#N/A</v>
      </c>
      <c r="G5190" s="74">
        <v>31993</v>
      </c>
      <c r="H5190" s="77">
        <v>0.5</v>
      </c>
      <c r="J5190">
        <v>87.080000000000013</v>
      </c>
      <c r="M5190" s="74">
        <v>34550</v>
      </c>
      <c r="N5190" s="77">
        <v>0.5</v>
      </c>
      <c r="P5190">
        <v>83.84</v>
      </c>
      <c r="S5190" s="74">
        <v>34915</v>
      </c>
      <c r="T5190" s="77">
        <v>0.5</v>
      </c>
      <c r="V5190">
        <v>87.080000000000013</v>
      </c>
      <c r="X5190" s="42"/>
      <c r="AB5190">
        <v>80.3</v>
      </c>
      <c r="AC5190">
        <v>86</v>
      </c>
      <c r="AE5190" s="74"/>
      <c r="AF5190" s="77"/>
      <c r="AH5190" s="497">
        <v>87.98</v>
      </c>
      <c r="AJ5190" s="42"/>
      <c r="AK5190" s="74"/>
      <c r="AL5190" s="77"/>
      <c r="AN5190" s="497">
        <v>80.06</v>
      </c>
      <c r="AP5190" s="42"/>
      <c r="AQ5190" s="74"/>
      <c r="AR5190" s="77"/>
      <c r="AT5190" s="497">
        <v>82.039999999999992</v>
      </c>
      <c r="AV5190" s="42"/>
      <c r="AW5190" s="74"/>
      <c r="AX5190" s="77"/>
      <c r="BA5190" s="497">
        <v>71.960000000000008</v>
      </c>
      <c r="BB5190" s="42"/>
      <c r="BC5190" s="74"/>
      <c r="BD5190" s="77"/>
      <c r="BF5190">
        <v>82.039999999999992</v>
      </c>
      <c r="BH5190" s="42"/>
      <c r="BI5190" s="74"/>
      <c r="BJ5190" s="77"/>
      <c r="BL5190" s="497">
        <v>86</v>
      </c>
      <c r="BN5190" s="42"/>
      <c r="BO5190" s="74"/>
      <c r="BP5190" s="77"/>
      <c r="BR5190" s="497">
        <v>69.98</v>
      </c>
      <c r="BT5190" s="42"/>
    </row>
    <row r="5191" spans="1:72" x14ac:dyDescent="0.25">
      <c r="A5191" s="90">
        <v>34915</v>
      </c>
      <c r="B5191" s="20">
        <v>0.54166666666666663</v>
      </c>
      <c r="D5191">
        <v>82.94</v>
      </c>
      <c r="E5191" t="str">
        <f t="shared" si="196"/>
        <v>WEEKDAY</v>
      </c>
      <c r="F5191" t="e">
        <f t="shared" si="197"/>
        <v>#N/A</v>
      </c>
      <c r="G5191" s="74">
        <v>31993</v>
      </c>
      <c r="H5191" s="77">
        <v>0.54166666666666663</v>
      </c>
      <c r="J5191">
        <v>89.06</v>
      </c>
      <c r="M5191" s="74">
        <v>34550</v>
      </c>
      <c r="N5191" s="77">
        <v>0.54166666666666663</v>
      </c>
      <c r="P5191">
        <v>84.92</v>
      </c>
      <c r="S5191" s="74">
        <v>34915</v>
      </c>
      <c r="T5191" s="77">
        <v>0.54166666666666663</v>
      </c>
      <c r="V5191">
        <v>87.98</v>
      </c>
      <c r="X5191" s="42"/>
      <c r="AB5191">
        <v>81.099999999999994</v>
      </c>
      <c r="AC5191">
        <v>86</v>
      </c>
      <c r="AE5191" s="74"/>
      <c r="AF5191" s="77"/>
      <c r="AH5191" s="497">
        <v>86.9</v>
      </c>
      <c r="AJ5191" s="42"/>
      <c r="AK5191" s="74"/>
      <c r="AL5191" s="77"/>
      <c r="AN5191" s="497">
        <v>80.06</v>
      </c>
      <c r="AP5191" s="42"/>
      <c r="AQ5191" s="74"/>
      <c r="AR5191" s="77"/>
      <c r="AT5191" s="497">
        <v>82.039999999999992</v>
      </c>
      <c r="AV5191" s="42"/>
      <c r="AW5191" s="74"/>
      <c r="AX5191" s="77"/>
      <c r="BA5191" s="497">
        <v>69.98</v>
      </c>
      <c r="BB5191" s="42"/>
      <c r="BC5191" s="74"/>
      <c r="BD5191" s="77"/>
      <c r="BF5191">
        <v>82.94</v>
      </c>
      <c r="BH5191" s="42"/>
      <c r="BI5191" s="74"/>
      <c r="BJ5191" s="77"/>
      <c r="BL5191" s="497">
        <v>87.080000000000013</v>
      </c>
      <c r="BN5191" s="42"/>
      <c r="BO5191" s="74"/>
      <c r="BP5191" s="77"/>
      <c r="BR5191" s="497">
        <v>71.960000000000008</v>
      </c>
      <c r="BT5191" s="42"/>
    </row>
    <row r="5192" spans="1:72" x14ac:dyDescent="0.25">
      <c r="A5192" s="90">
        <v>34915</v>
      </c>
      <c r="B5192" s="20">
        <v>0.58333333333333337</v>
      </c>
      <c r="D5192">
        <v>84.02</v>
      </c>
      <c r="E5192" t="str">
        <f t="shared" si="196"/>
        <v>WEEKDAY</v>
      </c>
      <c r="F5192" t="e">
        <f t="shared" si="197"/>
        <v>#N/A</v>
      </c>
      <c r="G5192" s="74">
        <v>31993</v>
      </c>
      <c r="H5192" s="77">
        <v>0.58333333333333337</v>
      </c>
      <c r="J5192">
        <v>89.960000000000008</v>
      </c>
      <c r="M5192" s="74">
        <v>34550</v>
      </c>
      <c r="N5192" s="77">
        <v>0.58333333333333337</v>
      </c>
      <c r="P5192">
        <v>86</v>
      </c>
      <c r="S5192" s="74">
        <v>34915</v>
      </c>
      <c r="T5192" s="77">
        <v>0.58333333333333337</v>
      </c>
      <c r="V5192">
        <v>89.06</v>
      </c>
      <c r="X5192" s="42"/>
      <c r="AB5192">
        <v>81.5</v>
      </c>
      <c r="AC5192">
        <v>84.92</v>
      </c>
      <c r="AE5192" s="74"/>
      <c r="AF5192" s="77"/>
      <c r="AH5192" s="497">
        <v>88.88</v>
      </c>
      <c r="AJ5192" s="42"/>
      <c r="AK5192" s="74"/>
      <c r="AL5192" s="77"/>
      <c r="AN5192" s="497">
        <v>78.080000000000013</v>
      </c>
      <c r="AP5192" s="42"/>
      <c r="AQ5192" s="74"/>
      <c r="AR5192" s="77"/>
      <c r="AT5192" s="497">
        <v>84.02</v>
      </c>
      <c r="AV5192" s="42"/>
      <c r="AW5192" s="74"/>
      <c r="AX5192" s="77"/>
      <c r="BA5192" s="497">
        <v>71.960000000000008</v>
      </c>
      <c r="BB5192" s="42"/>
      <c r="BC5192" s="74"/>
      <c r="BD5192" s="77"/>
      <c r="BF5192">
        <v>84.02</v>
      </c>
      <c r="BH5192" s="42"/>
      <c r="BI5192" s="74"/>
      <c r="BJ5192" s="77"/>
      <c r="BL5192" s="497">
        <v>87.080000000000013</v>
      </c>
      <c r="BN5192" s="42"/>
      <c r="BO5192" s="74"/>
      <c r="BP5192" s="77"/>
      <c r="BR5192" s="497">
        <v>71.960000000000008</v>
      </c>
      <c r="BT5192" s="42"/>
    </row>
    <row r="5193" spans="1:72" x14ac:dyDescent="0.25">
      <c r="A5193" s="90">
        <v>34915</v>
      </c>
      <c r="B5193" s="20">
        <v>0.625</v>
      </c>
      <c r="D5193">
        <v>84.92</v>
      </c>
      <c r="E5193" t="str">
        <f t="shared" si="196"/>
        <v>WEEKDAY</v>
      </c>
      <c r="F5193" t="e">
        <f t="shared" si="197"/>
        <v>#N/A</v>
      </c>
      <c r="G5193" s="74">
        <v>31993</v>
      </c>
      <c r="H5193" s="77">
        <v>0.625</v>
      </c>
      <c r="J5193">
        <v>89.06</v>
      </c>
      <c r="M5193" s="74">
        <v>34550</v>
      </c>
      <c r="N5193" s="77">
        <v>0.625</v>
      </c>
      <c r="P5193">
        <v>83.84</v>
      </c>
      <c r="S5193" s="74">
        <v>34915</v>
      </c>
      <c r="T5193" s="77">
        <v>0.625</v>
      </c>
      <c r="V5193">
        <v>87.98</v>
      </c>
      <c r="X5193" s="42"/>
      <c r="AB5193">
        <v>81.400000000000006</v>
      </c>
      <c r="AC5193">
        <v>84.92</v>
      </c>
      <c r="AE5193" s="74"/>
      <c r="AF5193" s="77"/>
      <c r="AH5193" s="497">
        <v>87.98</v>
      </c>
      <c r="AJ5193" s="42"/>
      <c r="AK5193" s="74"/>
      <c r="AL5193" s="77"/>
      <c r="AN5193" s="497">
        <v>82.039999999999992</v>
      </c>
      <c r="AP5193" s="42"/>
      <c r="AQ5193" s="74"/>
      <c r="AR5193" s="77"/>
      <c r="AT5193" s="497">
        <v>80.960000000000008</v>
      </c>
      <c r="AV5193" s="42"/>
      <c r="AW5193" s="74"/>
      <c r="AX5193" s="77"/>
      <c r="BA5193" s="497">
        <v>73.039999999999992</v>
      </c>
      <c r="BB5193" s="42"/>
      <c r="BC5193" s="74"/>
      <c r="BD5193" s="77"/>
      <c r="BF5193">
        <v>82.94</v>
      </c>
      <c r="BH5193" s="42"/>
      <c r="BI5193" s="74"/>
      <c r="BJ5193" s="77"/>
      <c r="BL5193" s="497">
        <v>86</v>
      </c>
      <c r="BN5193" s="42"/>
      <c r="BO5193" s="74"/>
      <c r="BP5193" s="77"/>
      <c r="BR5193" s="497">
        <v>73.039999999999992</v>
      </c>
      <c r="BT5193" s="42"/>
    </row>
    <row r="5194" spans="1:72" x14ac:dyDescent="0.25">
      <c r="A5194" s="90">
        <v>34915</v>
      </c>
      <c r="B5194" s="20">
        <v>0.66666666666666663</v>
      </c>
      <c r="D5194">
        <v>84.92</v>
      </c>
      <c r="E5194" t="str">
        <f t="shared" si="196"/>
        <v>WEEKDAY</v>
      </c>
      <c r="F5194" t="e">
        <f t="shared" si="197"/>
        <v>#N/A</v>
      </c>
      <c r="G5194" s="74">
        <v>31993</v>
      </c>
      <c r="H5194" s="77">
        <v>0.66666666666666663</v>
      </c>
      <c r="J5194">
        <v>91.039999999999992</v>
      </c>
      <c r="M5194" s="74">
        <v>34550</v>
      </c>
      <c r="N5194" s="77">
        <v>0.66666666666666663</v>
      </c>
      <c r="P5194">
        <v>82.94</v>
      </c>
      <c r="S5194" s="74">
        <v>34915</v>
      </c>
      <c r="T5194" s="77">
        <v>0.66666666666666663</v>
      </c>
      <c r="V5194">
        <v>87.080000000000013</v>
      </c>
      <c r="X5194" s="42"/>
      <c r="AB5194">
        <v>80.900000000000006</v>
      </c>
      <c r="AC5194">
        <v>84.92</v>
      </c>
      <c r="AE5194" s="74"/>
      <c r="AF5194" s="77"/>
      <c r="AH5194" s="497">
        <v>87.98</v>
      </c>
      <c r="AJ5194" s="42"/>
      <c r="AK5194" s="74"/>
      <c r="AL5194" s="77"/>
      <c r="AN5194" s="497">
        <v>80.06</v>
      </c>
      <c r="AP5194" s="42"/>
      <c r="AQ5194" s="74"/>
      <c r="AR5194" s="77"/>
      <c r="AT5194" s="497">
        <v>82.94</v>
      </c>
      <c r="AV5194" s="42"/>
      <c r="AW5194" s="74"/>
      <c r="AX5194" s="77"/>
      <c r="BA5194" s="497">
        <v>73.94</v>
      </c>
      <c r="BB5194" s="42"/>
      <c r="BC5194" s="74"/>
      <c r="BD5194" s="77"/>
      <c r="BF5194">
        <v>84.02</v>
      </c>
      <c r="BH5194" s="42"/>
      <c r="BI5194" s="74"/>
      <c r="BJ5194" s="77"/>
      <c r="BL5194" s="497">
        <v>84.92</v>
      </c>
      <c r="BN5194" s="42"/>
      <c r="BO5194" s="74"/>
      <c r="BP5194" s="77"/>
      <c r="BR5194" s="497">
        <v>73.039999999999992</v>
      </c>
      <c r="BT5194" s="42"/>
    </row>
    <row r="5195" spans="1:72" x14ac:dyDescent="0.25">
      <c r="A5195" s="90">
        <v>34915</v>
      </c>
      <c r="B5195" s="20">
        <v>0.70833333333333337</v>
      </c>
      <c r="D5195">
        <v>82.94</v>
      </c>
      <c r="E5195" t="str">
        <f t="shared" si="196"/>
        <v>WEEKDAY</v>
      </c>
      <c r="F5195" t="e">
        <f t="shared" si="197"/>
        <v>#N/A</v>
      </c>
      <c r="G5195" s="74">
        <v>31993</v>
      </c>
      <c r="H5195" s="77">
        <v>0.70833333333333337</v>
      </c>
      <c r="J5195">
        <v>91.039999999999992</v>
      </c>
      <c r="M5195" s="74">
        <v>34550</v>
      </c>
      <c r="N5195" s="77">
        <v>0.70833333333333337</v>
      </c>
      <c r="P5195">
        <v>80.960000000000008</v>
      </c>
      <c r="S5195" s="74">
        <v>34915</v>
      </c>
      <c r="T5195" s="77">
        <v>0.70833333333333337</v>
      </c>
      <c r="V5195">
        <v>87.080000000000013</v>
      </c>
      <c r="X5195" s="42"/>
      <c r="AB5195">
        <v>80.2</v>
      </c>
      <c r="AC5195">
        <v>82.94</v>
      </c>
      <c r="AE5195" s="74"/>
      <c r="AF5195" s="77"/>
      <c r="AH5195" s="497">
        <v>86.9</v>
      </c>
      <c r="AJ5195" s="42"/>
      <c r="AK5195" s="74"/>
      <c r="AL5195" s="77"/>
      <c r="AN5195" s="497">
        <v>77</v>
      </c>
      <c r="AP5195" s="42"/>
      <c r="AQ5195" s="74"/>
      <c r="AR5195" s="77"/>
      <c r="AT5195" s="497">
        <v>82.039999999999992</v>
      </c>
      <c r="AV5195" s="42"/>
      <c r="AW5195" s="74"/>
      <c r="AX5195" s="77"/>
      <c r="BA5195" s="497">
        <v>71.960000000000008</v>
      </c>
      <c r="BB5195" s="42"/>
      <c r="BC5195" s="74"/>
      <c r="BD5195" s="77"/>
      <c r="BF5195">
        <v>82.94</v>
      </c>
      <c r="BH5195" s="42"/>
      <c r="BI5195" s="74"/>
      <c r="BJ5195" s="77"/>
      <c r="BL5195" s="497">
        <v>82.94</v>
      </c>
      <c r="BN5195" s="42"/>
      <c r="BO5195" s="74"/>
      <c r="BP5195" s="77"/>
      <c r="BR5195" s="497">
        <v>71.06</v>
      </c>
      <c r="BT5195" s="42"/>
    </row>
    <row r="5196" spans="1:72" x14ac:dyDescent="0.25">
      <c r="A5196" s="90">
        <v>34915</v>
      </c>
      <c r="B5196" s="20">
        <v>0.75</v>
      </c>
      <c r="D5196">
        <v>82.039999999999992</v>
      </c>
      <c r="E5196" t="str">
        <f t="shared" si="196"/>
        <v>WEEKDAY</v>
      </c>
      <c r="F5196" t="e">
        <f t="shared" si="197"/>
        <v>#N/A</v>
      </c>
      <c r="G5196" s="74">
        <v>31993</v>
      </c>
      <c r="H5196" s="77">
        <v>0.75</v>
      </c>
      <c r="J5196">
        <v>87.080000000000013</v>
      </c>
      <c r="M5196" s="74">
        <v>34550</v>
      </c>
      <c r="N5196" s="77">
        <v>0.75</v>
      </c>
      <c r="P5196">
        <v>79.88</v>
      </c>
      <c r="S5196" s="74">
        <v>34915</v>
      </c>
      <c r="T5196" s="77">
        <v>0.75</v>
      </c>
      <c r="V5196">
        <v>86</v>
      </c>
      <c r="X5196" s="42"/>
      <c r="AB5196">
        <v>79.099999999999994</v>
      </c>
      <c r="AC5196">
        <v>80.06</v>
      </c>
      <c r="AE5196" s="74"/>
      <c r="AF5196" s="77"/>
      <c r="AH5196" s="497">
        <v>84.92</v>
      </c>
      <c r="AJ5196" s="42"/>
      <c r="AK5196" s="74"/>
      <c r="AL5196" s="77"/>
      <c r="AN5196" s="497">
        <v>78.080000000000013</v>
      </c>
      <c r="AP5196" s="42"/>
      <c r="AQ5196" s="74"/>
      <c r="AR5196" s="77"/>
      <c r="AT5196" s="497">
        <v>80.960000000000008</v>
      </c>
      <c r="AV5196" s="42"/>
      <c r="AW5196" s="74"/>
      <c r="AX5196" s="77"/>
      <c r="BA5196" s="497">
        <v>71.06</v>
      </c>
      <c r="BB5196" s="42"/>
      <c r="BC5196" s="74"/>
      <c r="BD5196" s="77"/>
      <c r="BF5196">
        <v>80.960000000000008</v>
      </c>
      <c r="BH5196" s="42"/>
      <c r="BI5196" s="74"/>
      <c r="BJ5196" s="77"/>
      <c r="BL5196" s="497">
        <v>82.039999999999992</v>
      </c>
      <c r="BN5196" s="42"/>
      <c r="BO5196" s="74"/>
      <c r="BP5196" s="77"/>
      <c r="BR5196" s="497">
        <v>73.039999999999992</v>
      </c>
      <c r="BT5196" s="42"/>
    </row>
    <row r="5197" spans="1:72" x14ac:dyDescent="0.25">
      <c r="A5197" s="90">
        <v>34915</v>
      </c>
      <c r="B5197" s="20">
        <v>0.79166666666666663</v>
      </c>
      <c r="D5197">
        <v>80.06</v>
      </c>
      <c r="E5197" t="str">
        <f t="shared" si="196"/>
        <v>WEEKDAY</v>
      </c>
      <c r="F5197" t="e">
        <f t="shared" si="197"/>
        <v>#N/A</v>
      </c>
      <c r="G5197" s="74">
        <v>31993</v>
      </c>
      <c r="H5197" s="77">
        <v>0.79166666666666663</v>
      </c>
      <c r="J5197">
        <v>84.92</v>
      </c>
      <c r="M5197" s="74">
        <v>34550</v>
      </c>
      <c r="N5197" s="77">
        <v>0.79166666666666663</v>
      </c>
      <c r="P5197">
        <v>78.98</v>
      </c>
      <c r="S5197" s="74">
        <v>34915</v>
      </c>
      <c r="T5197" s="77">
        <v>0.79166666666666663</v>
      </c>
      <c r="V5197">
        <v>91.94</v>
      </c>
      <c r="X5197" s="42"/>
      <c r="AB5197">
        <v>77.8</v>
      </c>
      <c r="AC5197">
        <v>78.98</v>
      </c>
      <c r="AE5197" s="74"/>
      <c r="AF5197" s="77"/>
      <c r="AH5197" s="497">
        <v>82.94</v>
      </c>
      <c r="AJ5197" s="42"/>
      <c r="AK5197" s="74"/>
      <c r="AL5197" s="77"/>
      <c r="AN5197" s="497">
        <v>75.02</v>
      </c>
      <c r="AP5197" s="42"/>
      <c r="AQ5197" s="74"/>
      <c r="AR5197" s="77"/>
      <c r="AT5197" s="497">
        <v>75.92</v>
      </c>
      <c r="AV5197" s="42"/>
      <c r="AW5197" s="74"/>
      <c r="AX5197" s="77"/>
      <c r="BA5197" s="497">
        <v>68</v>
      </c>
      <c r="BB5197" s="42"/>
      <c r="BC5197" s="74"/>
      <c r="BD5197" s="77"/>
      <c r="BF5197">
        <v>80.06</v>
      </c>
      <c r="BH5197" s="42"/>
      <c r="BI5197" s="74"/>
      <c r="BJ5197" s="77"/>
      <c r="BL5197" s="497">
        <v>78.98</v>
      </c>
      <c r="BN5197" s="42"/>
      <c r="BO5197" s="74"/>
      <c r="BP5197" s="77"/>
      <c r="BR5197" s="497">
        <v>71.06</v>
      </c>
      <c r="BT5197" s="42"/>
    </row>
    <row r="5198" spans="1:72" x14ac:dyDescent="0.25">
      <c r="A5198" s="90">
        <v>34915</v>
      </c>
      <c r="B5198" s="20">
        <v>0.83333333333333337</v>
      </c>
      <c r="D5198">
        <v>78.080000000000013</v>
      </c>
      <c r="E5198" t="str">
        <f t="shared" si="196"/>
        <v>WEEKDAY</v>
      </c>
      <c r="F5198" t="e">
        <f t="shared" si="197"/>
        <v>#N/A</v>
      </c>
      <c r="G5198" s="74">
        <v>31993</v>
      </c>
      <c r="H5198" s="77">
        <v>0.83333333333333337</v>
      </c>
      <c r="J5198">
        <v>82.039999999999992</v>
      </c>
      <c r="M5198" s="74">
        <v>34550</v>
      </c>
      <c r="N5198" s="77">
        <v>0.83333333333333337</v>
      </c>
      <c r="P5198">
        <v>77.900000000000006</v>
      </c>
      <c r="S5198" s="74">
        <v>34915</v>
      </c>
      <c r="T5198" s="77">
        <v>0.83333333333333337</v>
      </c>
      <c r="V5198">
        <v>89.960000000000008</v>
      </c>
      <c r="X5198" s="42"/>
      <c r="AB5198">
        <v>76.400000000000006</v>
      </c>
      <c r="AC5198">
        <v>78.98</v>
      </c>
      <c r="AE5198" s="74"/>
      <c r="AF5198" s="77"/>
      <c r="AH5198" s="497">
        <v>81.86</v>
      </c>
      <c r="AJ5198" s="42"/>
      <c r="AK5198" s="74"/>
      <c r="AL5198" s="77"/>
      <c r="AN5198" s="497">
        <v>71.06</v>
      </c>
      <c r="AP5198" s="42"/>
      <c r="AQ5198" s="74"/>
      <c r="AR5198" s="77"/>
      <c r="AT5198" s="497">
        <v>69.98</v>
      </c>
      <c r="AV5198" s="42"/>
      <c r="AW5198" s="74"/>
      <c r="AX5198" s="77"/>
      <c r="BA5198" s="497">
        <v>64.039999999999992</v>
      </c>
      <c r="BB5198" s="42"/>
      <c r="BC5198" s="74"/>
      <c r="BD5198" s="77"/>
      <c r="BF5198">
        <v>75.02</v>
      </c>
      <c r="BH5198" s="42"/>
      <c r="BI5198" s="74"/>
      <c r="BJ5198" s="77"/>
      <c r="BL5198" s="497">
        <v>75.92</v>
      </c>
      <c r="BN5198" s="42"/>
      <c r="BO5198" s="74"/>
      <c r="BP5198" s="77"/>
      <c r="BR5198" s="497">
        <v>64.039999999999992</v>
      </c>
      <c r="BT5198" s="42"/>
    </row>
    <row r="5199" spans="1:72" x14ac:dyDescent="0.25">
      <c r="A5199" s="90">
        <v>34915</v>
      </c>
      <c r="B5199" s="20">
        <v>0.875</v>
      </c>
      <c r="D5199">
        <v>77</v>
      </c>
      <c r="E5199" t="str">
        <f t="shared" si="196"/>
        <v>WEEKDAY</v>
      </c>
      <c r="F5199" t="e">
        <f t="shared" si="197"/>
        <v>#N/A</v>
      </c>
      <c r="G5199" s="74">
        <v>31993</v>
      </c>
      <c r="H5199" s="77">
        <v>0.875</v>
      </c>
      <c r="J5199">
        <v>82.039999999999992</v>
      </c>
      <c r="M5199" s="74">
        <v>34550</v>
      </c>
      <c r="N5199" s="77">
        <v>0.875</v>
      </c>
      <c r="P5199">
        <v>77</v>
      </c>
      <c r="S5199" s="74">
        <v>34915</v>
      </c>
      <c r="T5199" s="77">
        <v>0.875</v>
      </c>
      <c r="V5199">
        <v>89.960000000000008</v>
      </c>
      <c r="X5199" s="42"/>
      <c r="AB5199">
        <v>75.5</v>
      </c>
      <c r="AC5199">
        <v>78.98</v>
      </c>
      <c r="AE5199" s="74"/>
      <c r="AF5199" s="77"/>
      <c r="AH5199" s="497">
        <v>82.94</v>
      </c>
      <c r="AJ5199" s="42"/>
      <c r="AK5199" s="74"/>
      <c r="AL5199" s="77"/>
      <c r="AN5199" s="497">
        <v>68</v>
      </c>
      <c r="AP5199" s="42"/>
      <c r="AQ5199" s="74"/>
      <c r="AR5199" s="77"/>
      <c r="AT5199" s="497">
        <v>64.94</v>
      </c>
      <c r="AV5199" s="42"/>
      <c r="AW5199" s="74"/>
      <c r="AX5199" s="77"/>
      <c r="BA5199" s="497">
        <v>60.980000000000004</v>
      </c>
      <c r="BB5199" s="42"/>
      <c r="BC5199" s="74"/>
      <c r="BD5199" s="77"/>
      <c r="BF5199">
        <v>71.06</v>
      </c>
      <c r="BH5199" s="42"/>
      <c r="BI5199" s="74"/>
      <c r="BJ5199" s="77"/>
      <c r="BL5199" s="497">
        <v>75.92</v>
      </c>
      <c r="BN5199" s="42"/>
      <c r="BO5199" s="74"/>
      <c r="BP5199" s="77"/>
      <c r="BR5199" s="497">
        <v>60.980000000000004</v>
      </c>
      <c r="BT5199" s="42"/>
    </row>
    <row r="5200" spans="1:72" x14ac:dyDescent="0.25">
      <c r="A5200" s="90">
        <v>34915</v>
      </c>
      <c r="B5200" s="20">
        <v>0.91666666666666663</v>
      </c>
      <c r="D5200">
        <v>77</v>
      </c>
      <c r="E5200" t="str">
        <f t="shared" si="196"/>
        <v>WEEKDAY</v>
      </c>
      <c r="F5200" t="e">
        <f t="shared" si="197"/>
        <v>#N/A</v>
      </c>
      <c r="G5200" s="74">
        <v>31993</v>
      </c>
      <c r="H5200" s="77">
        <v>0.91666666666666663</v>
      </c>
      <c r="J5200">
        <v>80.960000000000008</v>
      </c>
      <c r="M5200" s="74">
        <v>34550</v>
      </c>
      <c r="N5200" s="77">
        <v>0.91666666666666663</v>
      </c>
      <c r="P5200">
        <v>79.88</v>
      </c>
      <c r="S5200" s="74">
        <v>34915</v>
      </c>
      <c r="T5200" s="77">
        <v>0.91666666666666663</v>
      </c>
      <c r="V5200">
        <v>82.94</v>
      </c>
      <c r="X5200" s="42"/>
      <c r="AB5200">
        <v>75</v>
      </c>
      <c r="AC5200">
        <v>78.98</v>
      </c>
      <c r="AE5200" s="74"/>
      <c r="AF5200" s="77"/>
      <c r="AH5200" s="497">
        <v>81.86</v>
      </c>
      <c r="AJ5200" s="42"/>
      <c r="AK5200" s="74"/>
      <c r="AL5200" s="77"/>
      <c r="AN5200" s="497">
        <v>69.080000000000013</v>
      </c>
      <c r="AP5200" s="42"/>
      <c r="AQ5200" s="74"/>
      <c r="AR5200" s="77"/>
      <c r="AT5200" s="497">
        <v>64.039999999999992</v>
      </c>
      <c r="AV5200" s="42"/>
      <c r="AW5200" s="74"/>
      <c r="AX5200" s="77"/>
      <c r="BA5200" s="497">
        <v>59</v>
      </c>
      <c r="BB5200" s="42"/>
      <c r="BC5200" s="74"/>
      <c r="BD5200" s="77"/>
      <c r="BF5200">
        <v>69.080000000000013</v>
      </c>
      <c r="BH5200" s="42"/>
      <c r="BI5200" s="74"/>
      <c r="BJ5200" s="77"/>
      <c r="BL5200" s="497">
        <v>73.94</v>
      </c>
      <c r="BN5200" s="42"/>
      <c r="BO5200" s="74"/>
      <c r="BP5200" s="77"/>
      <c r="BR5200" s="497">
        <v>59</v>
      </c>
      <c r="BT5200" s="42"/>
    </row>
    <row r="5201" spans="1:72" x14ac:dyDescent="0.25">
      <c r="A5201" s="90">
        <v>34915</v>
      </c>
      <c r="B5201" s="20">
        <v>0.95833333333333337</v>
      </c>
      <c r="D5201">
        <v>75.92</v>
      </c>
      <c r="E5201" t="str">
        <f t="shared" si="196"/>
        <v>WEEKDAY</v>
      </c>
      <c r="F5201" t="e">
        <f t="shared" si="197"/>
        <v>#N/A</v>
      </c>
      <c r="G5201" s="74">
        <v>31993</v>
      </c>
      <c r="H5201" s="77">
        <v>0.95833333333333337</v>
      </c>
      <c r="J5201">
        <v>80.06</v>
      </c>
      <c r="M5201" s="74">
        <v>34550</v>
      </c>
      <c r="N5201" s="77">
        <v>0.95833333333333337</v>
      </c>
      <c r="P5201">
        <v>78.98</v>
      </c>
      <c r="S5201" s="74">
        <v>34915</v>
      </c>
      <c r="T5201" s="77">
        <v>0.95833333333333337</v>
      </c>
      <c r="V5201">
        <v>82.94</v>
      </c>
      <c r="X5201" s="42"/>
      <c r="AB5201">
        <v>74.5</v>
      </c>
      <c r="AC5201">
        <v>78.080000000000013</v>
      </c>
      <c r="AE5201" s="74"/>
      <c r="AF5201" s="77"/>
      <c r="AH5201" s="497">
        <v>79.88</v>
      </c>
      <c r="AJ5201" s="42"/>
      <c r="AK5201" s="74"/>
      <c r="AL5201" s="77"/>
      <c r="AN5201" s="497">
        <v>66.02</v>
      </c>
      <c r="AP5201" s="42"/>
      <c r="AQ5201" s="74"/>
      <c r="AR5201" s="77"/>
      <c r="AT5201" s="497">
        <v>62.96</v>
      </c>
      <c r="AV5201" s="42"/>
      <c r="AW5201" s="74"/>
      <c r="AX5201" s="77"/>
      <c r="BA5201" s="497">
        <v>59</v>
      </c>
      <c r="BB5201" s="42"/>
      <c r="BC5201" s="74"/>
      <c r="BD5201" s="77"/>
      <c r="BF5201">
        <v>66.92</v>
      </c>
      <c r="BH5201" s="42"/>
      <c r="BI5201" s="74"/>
      <c r="BJ5201" s="77"/>
      <c r="BL5201" s="497">
        <v>73.039999999999992</v>
      </c>
      <c r="BN5201" s="42"/>
      <c r="BO5201" s="74"/>
      <c r="BP5201" s="77"/>
      <c r="BR5201" s="497">
        <v>57.92</v>
      </c>
      <c r="BT5201" s="42"/>
    </row>
    <row r="5202" spans="1:72" x14ac:dyDescent="0.25">
      <c r="A5202" s="90">
        <v>34915</v>
      </c>
      <c r="B5202" s="20">
        <v>1</v>
      </c>
      <c r="D5202">
        <v>75.92</v>
      </c>
      <c r="E5202" t="str">
        <f t="shared" si="196"/>
        <v>WEEKDAY</v>
      </c>
      <c r="F5202" t="e">
        <f t="shared" si="197"/>
        <v>#N/A</v>
      </c>
      <c r="G5202" s="74">
        <v>31993</v>
      </c>
      <c r="H5202" s="77">
        <v>1</v>
      </c>
      <c r="J5202">
        <v>78.98</v>
      </c>
      <c r="M5202" s="74">
        <v>34550</v>
      </c>
      <c r="N5202" s="80">
        <v>1</v>
      </c>
      <c r="P5202">
        <v>78.98</v>
      </c>
      <c r="S5202" s="74">
        <v>34915</v>
      </c>
      <c r="T5202" s="80">
        <v>1</v>
      </c>
      <c r="V5202">
        <v>82.94</v>
      </c>
      <c r="X5202" s="42"/>
      <c r="AB5202">
        <v>73.900000000000006</v>
      </c>
      <c r="AC5202">
        <v>78.080000000000013</v>
      </c>
      <c r="AE5202" s="74"/>
      <c r="AF5202" s="80"/>
      <c r="AH5202" s="497">
        <v>77</v>
      </c>
      <c r="AJ5202" s="42"/>
      <c r="AK5202" s="74"/>
      <c r="AL5202" s="80"/>
      <c r="AN5202" s="497">
        <v>64.039999999999992</v>
      </c>
      <c r="AP5202" s="42"/>
      <c r="AQ5202" s="74"/>
      <c r="AR5202" s="80"/>
      <c r="AT5202" s="497">
        <v>60.08</v>
      </c>
      <c r="AV5202" s="42"/>
      <c r="AW5202" s="74"/>
      <c r="AX5202" s="80"/>
      <c r="BA5202" s="497">
        <v>57.92</v>
      </c>
      <c r="BB5202" s="42"/>
      <c r="BC5202" s="74"/>
      <c r="BD5202" s="80"/>
      <c r="BF5202">
        <v>64.94</v>
      </c>
      <c r="BH5202" s="42"/>
      <c r="BI5202" s="74"/>
      <c r="BJ5202" s="80"/>
      <c r="BL5202" s="497">
        <v>71.960000000000008</v>
      </c>
      <c r="BN5202" s="42"/>
      <c r="BO5202" s="74"/>
      <c r="BP5202" s="80"/>
      <c r="BR5202" s="497">
        <v>57.92</v>
      </c>
      <c r="BT5202" s="42"/>
    </row>
    <row r="5203" spans="1:72" x14ac:dyDescent="0.25">
      <c r="A5203" s="90">
        <v>34916</v>
      </c>
      <c r="B5203" s="20">
        <v>4.1666666666666664E-2</v>
      </c>
      <c r="D5203">
        <v>73.94</v>
      </c>
      <c r="E5203" t="str">
        <f t="shared" ref="E5203:E5266" si="198">IF(COUNTIF($DI$18:$DI$22, WEEKDAY(A5203))=1, "WEEKDAY", IF(WEEKDAY(A5203) = 1, "SUNDAY", "SATURDAY"))</f>
        <v>SATURDAY</v>
      </c>
      <c r="F5203" t="e">
        <f t="shared" si="197"/>
        <v>#N/A</v>
      </c>
      <c r="G5203" s="74">
        <v>31994</v>
      </c>
      <c r="H5203" s="77">
        <v>4.1666666666666664E-2</v>
      </c>
      <c r="J5203">
        <v>78.98</v>
      </c>
      <c r="M5203" s="74">
        <v>34551</v>
      </c>
      <c r="N5203" s="77">
        <v>4.1666666666666664E-2</v>
      </c>
      <c r="P5203">
        <v>77.900000000000006</v>
      </c>
      <c r="S5203" s="74">
        <v>34916</v>
      </c>
      <c r="T5203" s="77">
        <v>4.1666666666666664E-2</v>
      </c>
      <c r="V5203">
        <v>78.080000000000013</v>
      </c>
      <c r="X5203" s="42"/>
      <c r="AB5203">
        <v>73.3</v>
      </c>
      <c r="AC5203">
        <v>78.080000000000013</v>
      </c>
      <c r="AE5203" s="74"/>
      <c r="AF5203" s="77"/>
      <c r="AH5203" s="497">
        <v>74.84</v>
      </c>
      <c r="AJ5203" s="42"/>
      <c r="AK5203" s="74"/>
      <c r="AL5203" s="77"/>
      <c r="AN5203" s="497">
        <v>62.96</v>
      </c>
      <c r="AP5203" s="42"/>
      <c r="AQ5203" s="74"/>
      <c r="AR5203" s="77"/>
      <c r="AT5203" s="497">
        <v>60.08</v>
      </c>
      <c r="AV5203" s="42"/>
      <c r="AW5203" s="74"/>
      <c r="AX5203" s="77"/>
      <c r="BA5203" s="497">
        <v>57.019999999999996</v>
      </c>
      <c r="BB5203" s="42"/>
      <c r="BC5203" s="74"/>
      <c r="BD5203" s="77"/>
      <c r="BF5203">
        <v>64.039999999999992</v>
      </c>
      <c r="BH5203" s="42"/>
      <c r="BI5203" s="74"/>
      <c r="BJ5203" s="77"/>
      <c r="BL5203" s="497">
        <v>73.039999999999992</v>
      </c>
      <c r="BN5203" s="42"/>
      <c r="BO5203" s="74"/>
      <c r="BP5203" s="77"/>
      <c r="BR5203" s="497">
        <v>57.019999999999996</v>
      </c>
      <c r="BT5203" s="42"/>
    </row>
    <row r="5204" spans="1:72" x14ac:dyDescent="0.25">
      <c r="A5204" s="90">
        <v>34916</v>
      </c>
      <c r="B5204" s="20">
        <v>8.3333333333333329E-2</v>
      </c>
      <c r="D5204">
        <v>73.94</v>
      </c>
      <c r="E5204" t="str">
        <f t="shared" si="198"/>
        <v>SATURDAY</v>
      </c>
      <c r="F5204" t="e">
        <f t="shared" si="197"/>
        <v>#N/A</v>
      </c>
      <c r="G5204" s="74">
        <v>31994</v>
      </c>
      <c r="H5204" s="77">
        <v>8.3333333333333329E-2</v>
      </c>
      <c r="J5204">
        <v>77</v>
      </c>
      <c r="M5204" s="74">
        <v>34551</v>
      </c>
      <c r="N5204" s="77">
        <v>8.3333333333333329E-2</v>
      </c>
      <c r="P5204">
        <v>77</v>
      </c>
      <c r="S5204" s="74">
        <v>34916</v>
      </c>
      <c r="T5204" s="77">
        <v>8.3333333333333329E-2</v>
      </c>
      <c r="V5204">
        <v>80.06</v>
      </c>
      <c r="X5204" s="42"/>
      <c r="AB5204">
        <v>72.599999999999994</v>
      </c>
      <c r="AC5204">
        <v>78.080000000000013</v>
      </c>
      <c r="AE5204" s="74"/>
      <c r="AF5204" s="77"/>
      <c r="AH5204" s="497">
        <v>71.960000000000008</v>
      </c>
      <c r="AJ5204" s="42"/>
      <c r="AK5204" s="74"/>
      <c r="AL5204" s="77"/>
      <c r="AN5204" s="497">
        <v>62.06</v>
      </c>
      <c r="AP5204" s="42"/>
      <c r="AQ5204" s="74"/>
      <c r="AR5204" s="77"/>
      <c r="AT5204" s="497">
        <v>59</v>
      </c>
      <c r="AV5204" s="42"/>
      <c r="AW5204" s="74"/>
      <c r="AX5204" s="77"/>
      <c r="BA5204" s="497">
        <v>59</v>
      </c>
      <c r="BB5204" s="42"/>
      <c r="BC5204" s="74"/>
      <c r="BD5204" s="77"/>
      <c r="BF5204">
        <v>64.039999999999992</v>
      </c>
      <c r="BH5204" s="42"/>
      <c r="BI5204" s="74"/>
      <c r="BJ5204" s="77"/>
      <c r="BL5204" s="497">
        <v>68</v>
      </c>
      <c r="BN5204" s="42"/>
      <c r="BO5204" s="74"/>
      <c r="BP5204" s="77"/>
      <c r="BR5204" s="497">
        <v>55.94</v>
      </c>
      <c r="BT5204" s="42"/>
    </row>
    <row r="5205" spans="1:72" x14ac:dyDescent="0.25">
      <c r="A5205" s="90">
        <v>34916</v>
      </c>
      <c r="B5205" s="20">
        <v>0.125</v>
      </c>
      <c r="D5205">
        <v>73.039999999999992</v>
      </c>
      <c r="E5205" t="str">
        <f t="shared" si="198"/>
        <v>SATURDAY</v>
      </c>
      <c r="F5205" t="e">
        <f t="shared" si="197"/>
        <v>#N/A</v>
      </c>
      <c r="G5205" s="74">
        <v>31994</v>
      </c>
      <c r="H5205" s="77">
        <v>0.125</v>
      </c>
      <c r="J5205">
        <v>77</v>
      </c>
      <c r="M5205" s="74">
        <v>34551</v>
      </c>
      <c r="N5205" s="77">
        <v>0.125</v>
      </c>
      <c r="P5205">
        <v>77</v>
      </c>
      <c r="S5205" s="74">
        <v>34916</v>
      </c>
      <c r="T5205" s="77">
        <v>0.125</v>
      </c>
      <c r="V5205">
        <v>78.080000000000013</v>
      </c>
      <c r="X5205" s="42"/>
      <c r="AB5205">
        <v>72.099999999999994</v>
      </c>
      <c r="AC5205">
        <v>78.080000000000013</v>
      </c>
      <c r="AE5205" s="74"/>
      <c r="AF5205" s="77"/>
      <c r="AH5205" s="497">
        <v>71.960000000000008</v>
      </c>
      <c r="AJ5205" s="42"/>
      <c r="AK5205" s="74"/>
      <c r="AL5205" s="77"/>
      <c r="AN5205" s="497">
        <v>60.980000000000004</v>
      </c>
      <c r="AP5205" s="42"/>
      <c r="AQ5205" s="74"/>
      <c r="AR5205" s="77"/>
      <c r="AT5205" s="497">
        <v>57.92</v>
      </c>
      <c r="AV5205" s="42"/>
      <c r="AW5205" s="74"/>
      <c r="AX5205" s="77"/>
      <c r="BA5205" s="497">
        <v>60.08</v>
      </c>
      <c r="BB5205" s="42"/>
      <c r="BC5205" s="74"/>
      <c r="BD5205" s="77"/>
      <c r="BF5205">
        <v>62.06</v>
      </c>
      <c r="BH5205" s="42"/>
      <c r="BI5205" s="74"/>
      <c r="BJ5205" s="77"/>
      <c r="BL5205" s="497">
        <v>66.92</v>
      </c>
      <c r="BN5205" s="42"/>
      <c r="BO5205" s="74"/>
      <c r="BP5205" s="77"/>
      <c r="BR5205" s="497">
        <v>53.96</v>
      </c>
      <c r="BT5205" s="42"/>
    </row>
    <row r="5206" spans="1:72" x14ac:dyDescent="0.25">
      <c r="A5206" s="90">
        <v>34916</v>
      </c>
      <c r="B5206" s="20">
        <v>0.16666666666666666</v>
      </c>
      <c r="D5206">
        <v>71.960000000000008</v>
      </c>
      <c r="E5206" t="str">
        <f t="shared" si="198"/>
        <v>SATURDAY</v>
      </c>
      <c r="F5206" t="e">
        <f t="shared" si="197"/>
        <v>#N/A</v>
      </c>
      <c r="G5206" s="74">
        <v>31994</v>
      </c>
      <c r="H5206" s="77">
        <v>0.16666666666666666</v>
      </c>
      <c r="J5206">
        <v>75.92</v>
      </c>
      <c r="M5206" s="74">
        <v>34551</v>
      </c>
      <c r="N5206" s="77">
        <v>0.16666666666666666</v>
      </c>
      <c r="P5206">
        <v>75.92</v>
      </c>
      <c r="S5206" s="74">
        <v>34916</v>
      </c>
      <c r="T5206" s="77">
        <v>0.16666666666666666</v>
      </c>
      <c r="V5206">
        <v>78.080000000000013</v>
      </c>
      <c r="X5206" s="42"/>
      <c r="AB5206">
        <v>71.599999999999994</v>
      </c>
      <c r="AC5206">
        <v>77</v>
      </c>
      <c r="AE5206" s="74"/>
      <c r="AF5206" s="77"/>
      <c r="AH5206" s="497">
        <v>71.960000000000008</v>
      </c>
      <c r="AJ5206" s="42"/>
      <c r="AK5206" s="74"/>
      <c r="AL5206" s="77"/>
      <c r="AN5206" s="497">
        <v>60.08</v>
      </c>
      <c r="AP5206" s="42"/>
      <c r="AQ5206" s="74"/>
      <c r="AR5206" s="77"/>
      <c r="AT5206" s="497">
        <v>57.019999999999996</v>
      </c>
      <c r="AV5206" s="42"/>
      <c r="AW5206" s="74"/>
      <c r="AX5206" s="77"/>
      <c r="BA5206" s="497">
        <v>57.92</v>
      </c>
      <c r="BB5206" s="42"/>
      <c r="BC5206" s="74"/>
      <c r="BD5206" s="77"/>
      <c r="BF5206">
        <v>62.06</v>
      </c>
      <c r="BH5206" s="42"/>
      <c r="BI5206" s="74"/>
      <c r="BJ5206" s="77"/>
      <c r="BL5206" s="497">
        <v>68</v>
      </c>
      <c r="BN5206" s="42"/>
      <c r="BO5206" s="74"/>
      <c r="BP5206" s="77"/>
      <c r="BR5206" s="497">
        <v>53.06</v>
      </c>
      <c r="BT5206" s="42"/>
    </row>
    <row r="5207" spans="1:72" x14ac:dyDescent="0.25">
      <c r="A5207" s="90">
        <v>34916</v>
      </c>
      <c r="B5207" s="20">
        <v>0.20833333333333334</v>
      </c>
      <c r="D5207">
        <v>71.06</v>
      </c>
      <c r="E5207" t="str">
        <f t="shared" si="198"/>
        <v>SATURDAY</v>
      </c>
      <c r="F5207" t="e">
        <f t="shared" si="197"/>
        <v>#N/A</v>
      </c>
      <c r="G5207" s="74">
        <v>31994</v>
      </c>
      <c r="H5207" s="77">
        <v>0.20833333333333334</v>
      </c>
      <c r="J5207">
        <v>75.02</v>
      </c>
      <c r="M5207" s="74">
        <v>34551</v>
      </c>
      <c r="N5207" s="77">
        <v>0.20833333333333334</v>
      </c>
      <c r="P5207">
        <v>74.84</v>
      </c>
      <c r="S5207" s="74">
        <v>34916</v>
      </c>
      <c r="T5207" s="77">
        <v>0.20833333333333334</v>
      </c>
      <c r="V5207">
        <v>78.98</v>
      </c>
      <c r="X5207" s="42"/>
      <c r="AB5207">
        <v>71.099999999999994</v>
      </c>
      <c r="AC5207">
        <v>75.02</v>
      </c>
      <c r="AE5207" s="74"/>
      <c r="AF5207" s="77"/>
      <c r="AH5207" s="497">
        <v>73.400000000000006</v>
      </c>
      <c r="AJ5207" s="42"/>
      <c r="AK5207" s="74"/>
      <c r="AL5207" s="77"/>
      <c r="AN5207" s="497">
        <v>60.980000000000004</v>
      </c>
      <c r="AP5207" s="42"/>
      <c r="AQ5207" s="74"/>
      <c r="AR5207" s="77"/>
      <c r="AT5207" s="497">
        <v>55.94</v>
      </c>
      <c r="AV5207" s="42"/>
      <c r="AW5207" s="74"/>
      <c r="AX5207" s="77"/>
      <c r="BA5207" s="497">
        <v>57.92</v>
      </c>
      <c r="BB5207" s="42"/>
      <c r="BC5207" s="74"/>
      <c r="BD5207" s="77"/>
      <c r="BF5207">
        <v>62.06</v>
      </c>
      <c r="BH5207" s="42"/>
      <c r="BI5207" s="74"/>
      <c r="BJ5207" s="77"/>
      <c r="BL5207" s="497">
        <v>68</v>
      </c>
      <c r="BN5207" s="42"/>
      <c r="BO5207" s="74"/>
      <c r="BP5207" s="77"/>
      <c r="BR5207" s="497">
        <v>51.980000000000004</v>
      </c>
      <c r="BT5207" s="42"/>
    </row>
    <row r="5208" spans="1:72" x14ac:dyDescent="0.25">
      <c r="A5208" s="90">
        <v>34916</v>
      </c>
      <c r="B5208" s="20">
        <v>0.25</v>
      </c>
      <c r="D5208">
        <v>71.960000000000008</v>
      </c>
      <c r="E5208" t="str">
        <f t="shared" si="198"/>
        <v>SATURDAY</v>
      </c>
      <c r="F5208" t="e">
        <f t="shared" si="197"/>
        <v>#N/A</v>
      </c>
      <c r="G5208" s="74">
        <v>31994</v>
      </c>
      <c r="H5208" s="77">
        <v>0.25</v>
      </c>
      <c r="J5208">
        <v>77</v>
      </c>
      <c r="M5208" s="74">
        <v>34551</v>
      </c>
      <c r="N5208" s="77">
        <v>0.25</v>
      </c>
      <c r="P5208">
        <v>75.92</v>
      </c>
      <c r="S5208" s="74">
        <v>34916</v>
      </c>
      <c r="T5208" s="77">
        <v>0.25</v>
      </c>
      <c r="V5208">
        <v>80.06</v>
      </c>
      <c r="X5208" s="42"/>
      <c r="AB5208">
        <v>70.8</v>
      </c>
      <c r="AC5208">
        <v>77</v>
      </c>
      <c r="AE5208" s="74"/>
      <c r="AF5208" s="77"/>
      <c r="AH5208" s="497">
        <v>75.92</v>
      </c>
      <c r="AJ5208" s="42"/>
      <c r="AK5208" s="74"/>
      <c r="AL5208" s="77"/>
      <c r="AN5208" s="497">
        <v>60.08</v>
      </c>
      <c r="AP5208" s="42"/>
      <c r="AQ5208" s="74"/>
      <c r="AR5208" s="77"/>
      <c r="AT5208" s="497">
        <v>57.019999999999996</v>
      </c>
      <c r="AV5208" s="42"/>
      <c r="AW5208" s="74"/>
      <c r="AX5208" s="77"/>
      <c r="BA5208" s="497">
        <v>60.08</v>
      </c>
      <c r="BB5208" s="42"/>
      <c r="BC5208" s="74"/>
      <c r="BD5208" s="77"/>
      <c r="BF5208">
        <v>62.96</v>
      </c>
      <c r="BH5208" s="42"/>
      <c r="BI5208" s="74"/>
      <c r="BJ5208" s="77"/>
      <c r="BL5208" s="497">
        <v>68</v>
      </c>
      <c r="BN5208" s="42"/>
      <c r="BO5208" s="74"/>
      <c r="BP5208" s="77"/>
      <c r="BR5208" s="497">
        <v>55.94</v>
      </c>
      <c r="BT5208" s="42"/>
    </row>
    <row r="5209" spans="1:72" x14ac:dyDescent="0.25">
      <c r="A5209" s="90">
        <v>34916</v>
      </c>
      <c r="B5209" s="20">
        <v>0.29166666666666669</v>
      </c>
      <c r="D5209">
        <v>73.039999999999992</v>
      </c>
      <c r="E5209" t="str">
        <f t="shared" si="198"/>
        <v>SATURDAY</v>
      </c>
      <c r="F5209" t="e">
        <f t="shared" si="197"/>
        <v>#N/A</v>
      </c>
      <c r="G5209" s="74">
        <v>31994</v>
      </c>
      <c r="H5209" s="77">
        <v>0.29166666666666669</v>
      </c>
      <c r="J5209">
        <v>78.98</v>
      </c>
      <c r="M5209" s="74">
        <v>34551</v>
      </c>
      <c r="N5209" s="77">
        <v>0.29166666666666669</v>
      </c>
      <c r="P5209">
        <v>75.92</v>
      </c>
      <c r="S5209" s="74">
        <v>34916</v>
      </c>
      <c r="T5209" s="77">
        <v>0.29166666666666669</v>
      </c>
      <c r="V5209">
        <v>80.06</v>
      </c>
      <c r="X5209" s="42"/>
      <c r="AB5209">
        <v>71.599999999999994</v>
      </c>
      <c r="AC5209">
        <v>78.98</v>
      </c>
      <c r="AE5209" s="74"/>
      <c r="AF5209" s="77"/>
      <c r="AH5209" s="497">
        <v>77</v>
      </c>
      <c r="AJ5209" s="42"/>
      <c r="AK5209" s="74"/>
      <c r="AL5209" s="77"/>
      <c r="AN5209" s="497">
        <v>64.039999999999992</v>
      </c>
      <c r="AP5209" s="42"/>
      <c r="AQ5209" s="74"/>
      <c r="AR5209" s="77"/>
      <c r="AT5209" s="497">
        <v>62.96</v>
      </c>
      <c r="AV5209" s="42"/>
      <c r="AW5209" s="74"/>
      <c r="AX5209" s="77"/>
      <c r="BA5209" s="497">
        <v>62.96</v>
      </c>
      <c r="BB5209" s="42"/>
      <c r="BC5209" s="74"/>
      <c r="BD5209" s="77"/>
      <c r="BF5209">
        <v>66.02</v>
      </c>
      <c r="BH5209" s="42"/>
      <c r="BI5209" s="74"/>
      <c r="BJ5209" s="77"/>
      <c r="BL5209" s="497">
        <v>69.080000000000013</v>
      </c>
      <c r="BN5209" s="42"/>
      <c r="BO5209" s="74"/>
      <c r="BP5209" s="77"/>
      <c r="BR5209" s="497">
        <v>66.92</v>
      </c>
      <c r="BT5209" s="42"/>
    </row>
    <row r="5210" spans="1:72" x14ac:dyDescent="0.25">
      <c r="A5210" s="90">
        <v>34916</v>
      </c>
      <c r="B5210" s="20">
        <v>0.33333333333333331</v>
      </c>
      <c r="D5210">
        <v>75.02</v>
      </c>
      <c r="E5210" t="str">
        <f t="shared" si="198"/>
        <v>SATURDAY</v>
      </c>
      <c r="F5210" t="e">
        <f t="shared" si="197"/>
        <v>#N/A</v>
      </c>
      <c r="G5210" s="74">
        <v>31994</v>
      </c>
      <c r="H5210" s="77">
        <v>0.33333333333333331</v>
      </c>
      <c r="J5210">
        <v>80.06</v>
      </c>
      <c r="M5210" s="74">
        <v>34551</v>
      </c>
      <c r="N5210" s="77">
        <v>0.33333333333333331</v>
      </c>
      <c r="P5210">
        <v>77</v>
      </c>
      <c r="S5210" s="74">
        <v>34916</v>
      </c>
      <c r="T5210" s="77">
        <v>0.33333333333333331</v>
      </c>
      <c r="V5210">
        <v>82.039999999999992</v>
      </c>
      <c r="X5210" s="42"/>
      <c r="AB5210">
        <v>73.7</v>
      </c>
      <c r="AC5210">
        <v>80.960000000000008</v>
      </c>
      <c r="AE5210" s="74"/>
      <c r="AF5210" s="77"/>
      <c r="AH5210" s="497">
        <v>77</v>
      </c>
      <c r="AJ5210" s="42"/>
      <c r="AK5210" s="74"/>
      <c r="AL5210" s="77"/>
      <c r="AN5210" s="497">
        <v>68</v>
      </c>
      <c r="AP5210" s="42"/>
      <c r="AQ5210" s="74"/>
      <c r="AR5210" s="77"/>
      <c r="AT5210" s="497">
        <v>69.98</v>
      </c>
      <c r="AV5210" s="42"/>
      <c r="AW5210" s="74"/>
      <c r="AX5210" s="77"/>
      <c r="BA5210" s="497">
        <v>66.02</v>
      </c>
      <c r="BB5210" s="42"/>
      <c r="BC5210" s="74"/>
      <c r="BD5210" s="77"/>
      <c r="BF5210">
        <v>69.98</v>
      </c>
      <c r="BH5210" s="42"/>
      <c r="BI5210" s="74"/>
      <c r="BJ5210" s="77"/>
      <c r="BL5210" s="497">
        <v>69.98</v>
      </c>
      <c r="BN5210" s="42"/>
      <c r="BO5210" s="74"/>
      <c r="BP5210" s="77"/>
      <c r="BR5210" s="497">
        <v>66.02</v>
      </c>
      <c r="BT5210" s="42"/>
    </row>
    <row r="5211" spans="1:72" x14ac:dyDescent="0.25">
      <c r="A5211" s="90">
        <v>34916</v>
      </c>
      <c r="B5211" s="20">
        <v>0.375</v>
      </c>
      <c r="D5211">
        <v>78.080000000000013</v>
      </c>
      <c r="E5211" t="str">
        <f t="shared" si="198"/>
        <v>SATURDAY</v>
      </c>
      <c r="F5211" t="e">
        <f t="shared" si="197"/>
        <v>#N/A</v>
      </c>
      <c r="G5211" s="74">
        <v>31994</v>
      </c>
      <c r="H5211" s="77">
        <v>0.375</v>
      </c>
      <c r="J5211">
        <v>80.06</v>
      </c>
      <c r="M5211" s="74">
        <v>34551</v>
      </c>
      <c r="N5211" s="77">
        <v>0.375</v>
      </c>
      <c r="P5211">
        <v>79.88</v>
      </c>
      <c r="S5211" s="74">
        <v>34916</v>
      </c>
      <c r="T5211" s="77">
        <v>0.375</v>
      </c>
      <c r="V5211">
        <v>84.92</v>
      </c>
      <c r="X5211" s="42"/>
      <c r="AB5211">
        <v>75.8</v>
      </c>
      <c r="AC5211">
        <v>82.94</v>
      </c>
      <c r="AE5211" s="74"/>
      <c r="AF5211" s="77"/>
      <c r="AH5211" s="497">
        <v>78.98</v>
      </c>
      <c r="AJ5211" s="42"/>
      <c r="AK5211" s="74"/>
      <c r="AL5211" s="77"/>
      <c r="AN5211" s="497">
        <v>73.039999999999992</v>
      </c>
      <c r="AP5211" s="42"/>
      <c r="AQ5211" s="74"/>
      <c r="AR5211" s="77"/>
      <c r="AT5211" s="497">
        <v>73.039999999999992</v>
      </c>
      <c r="AV5211" s="42"/>
      <c r="AW5211" s="74"/>
      <c r="AX5211" s="77"/>
      <c r="BA5211" s="497">
        <v>69.98</v>
      </c>
      <c r="BB5211" s="42"/>
      <c r="BC5211" s="74"/>
      <c r="BD5211" s="77"/>
      <c r="BF5211">
        <v>75.92</v>
      </c>
      <c r="BH5211" s="42"/>
      <c r="BI5211" s="74"/>
      <c r="BJ5211" s="77"/>
      <c r="BL5211" s="497">
        <v>71.960000000000008</v>
      </c>
      <c r="BN5211" s="42"/>
      <c r="BO5211" s="74"/>
      <c r="BP5211" s="77"/>
      <c r="BR5211" s="497">
        <v>69.98</v>
      </c>
      <c r="BT5211" s="42"/>
    </row>
    <row r="5212" spans="1:72" x14ac:dyDescent="0.25">
      <c r="A5212" s="90">
        <v>34916</v>
      </c>
      <c r="B5212" s="20">
        <v>0.41666666666666669</v>
      </c>
      <c r="D5212">
        <v>80.06</v>
      </c>
      <c r="E5212" t="str">
        <f t="shared" si="198"/>
        <v>SATURDAY</v>
      </c>
      <c r="F5212" t="e">
        <f t="shared" si="197"/>
        <v>#N/A</v>
      </c>
      <c r="G5212" s="74">
        <v>31994</v>
      </c>
      <c r="H5212" s="77">
        <v>0.41666666666666669</v>
      </c>
      <c r="J5212">
        <v>80.06</v>
      </c>
      <c r="M5212" s="74">
        <v>34551</v>
      </c>
      <c r="N5212" s="77">
        <v>0.41666666666666669</v>
      </c>
      <c r="P5212">
        <v>79.88</v>
      </c>
      <c r="S5212" s="74">
        <v>34916</v>
      </c>
      <c r="T5212" s="77">
        <v>0.41666666666666669</v>
      </c>
      <c r="V5212">
        <v>86</v>
      </c>
      <c r="X5212" s="42"/>
      <c r="AB5212">
        <v>77.7</v>
      </c>
      <c r="AC5212">
        <v>82.94</v>
      </c>
      <c r="AE5212" s="74"/>
      <c r="AF5212" s="77"/>
      <c r="AH5212" s="497">
        <v>77.900000000000006</v>
      </c>
      <c r="AJ5212" s="42"/>
      <c r="AK5212" s="74"/>
      <c r="AL5212" s="77"/>
      <c r="AN5212" s="497">
        <v>75.02</v>
      </c>
      <c r="AP5212" s="42"/>
      <c r="AQ5212" s="74"/>
      <c r="AR5212" s="77"/>
      <c r="AT5212" s="497">
        <v>78.080000000000013</v>
      </c>
      <c r="AV5212" s="42"/>
      <c r="AW5212" s="74"/>
      <c r="AX5212" s="77"/>
      <c r="BA5212" s="497">
        <v>71.960000000000008</v>
      </c>
      <c r="BB5212" s="42"/>
      <c r="BC5212" s="74"/>
      <c r="BD5212" s="77"/>
      <c r="BF5212">
        <v>80.960000000000008</v>
      </c>
      <c r="BH5212" s="42"/>
      <c r="BI5212" s="74"/>
      <c r="BJ5212" s="77"/>
      <c r="BL5212" s="497">
        <v>73.039999999999992</v>
      </c>
      <c r="BN5212" s="42"/>
      <c r="BO5212" s="74"/>
      <c r="BP5212" s="77"/>
      <c r="BR5212" s="497">
        <v>73.039999999999992</v>
      </c>
      <c r="BT5212" s="42"/>
    </row>
    <row r="5213" spans="1:72" x14ac:dyDescent="0.25">
      <c r="A5213" s="90">
        <v>34916</v>
      </c>
      <c r="B5213" s="20">
        <v>0.45833333333333331</v>
      </c>
      <c r="D5213">
        <v>82.039999999999992</v>
      </c>
      <c r="E5213" t="str">
        <f t="shared" si="198"/>
        <v>SATURDAY</v>
      </c>
      <c r="F5213" t="e">
        <f t="shared" si="197"/>
        <v>#N/A</v>
      </c>
      <c r="G5213" s="74">
        <v>31994</v>
      </c>
      <c r="H5213" s="77">
        <v>0.45833333333333331</v>
      </c>
      <c r="J5213">
        <v>82.94</v>
      </c>
      <c r="M5213" s="74">
        <v>34551</v>
      </c>
      <c r="N5213" s="77">
        <v>0.45833333333333331</v>
      </c>
      <c r="P5213">
        <v>78.98</v>
      </c>
      <c r="S5213" s="74">
        <v>34916</v>
      </c>
      <c r="T5213" s="77">
        <v>0.45833333333333331</v>
      </c>
      <c r="V5213">
        <v>84.92</v>
      </c>
      <c r="X5213" s="42"/>
      <c r="AB5213">
        <v>79.2</v>
      </c>
      <c r="AC5213">
        <v>84.02</v>
      </c>
      <c r="AE5213" s="74"/>
      <c r="AF5213" s="77"/>
      <c r="AH5213" s="497">
        <v>77</v>
      </c>
      <c r="AJ5213" s="42"/>
      <c r="AK5213" s="74"/>
      <c r="AL5213" s="77"/>
      <c r="AN5213" s="497">
        <v>77</v>
      </c>
      <c r="AP5213" s="42"/>
      <c r="AQ5213" s="74"/>
      <c r="AR5213" s="77"/>
      <c r="AT5213" s="497">
        <v>80.06</v>
      </c>
      <c r="AV5213" s="42"/>
      <c r="AW5213" s="74"/>
      <c r="AX5213" s="77"/>
      <c r="BA5213" s="497">
        <v>73.94</v>
      </c>
      <c r="BB5213" s="42"/>
      <c r="BC5213" s="74"/>
      <c r="BD5213" s="77"/>
      <c r="BF5213">
        <v>82.039999999999992</v>
      </c>
      <c r="BH5213" s="42"/>
      <c r="BI5213" s="74"/>
      <c r="BJ5213" s="77"/>
      <c r="BL5213" s="497">
        <v>71.960000000000008</v>
      </c>
      <c r="BN5213" s="42"/>
      <c r="BO5213" s="74"/>
      <c r="BP5213" s="77"/>
      <c r="BR5213" s="497">
        <v>73.94</v>
      </c>
      <c r="BT5213" s="42"/>
    </row>
    <row r="5214" spans="1:72" x14ac:dyDescent="0.25">
      <c r="A5214" s="90">
        <v>34916</v>
      </c>
      <c r="B5214" s="20">
        <v>0.5</v>
      </c>
      <c r="D5214">
        <v>82.94</v>
      </c>
      <c r="E5214" t="str">
        <f t="shared" si="198"/>
        <v>SATURDAY</v>
      </c>
      <c r="F5214" t="e">
        <f t="shared" si="197"/>
        <v>#N/A</v>
      </c>
      <c r="G5214" s="74">
        <v>31994</v>
      </c>
      <c r="H5214" s="77">
        <v>0.5</v>
      </c>
      <c r="J5214">
        <v>82.94</v>
      </c>
      <c r="M5214" s="74">
        <v>34551</v>
      </c>
      <c r="N5214" s="77">
        <v>0.5</v>
      </c>
      <c r="P5214">
        <v>75.92</v>
      </c>
      <c r="S5214" s="74">
        <v>34916</v>
      </c>
      <c r="T5214" s="77">
        <v>0.5</v>
      </c>
      <c r="V5214">
        <v>80.06</v>
      </c>
      <c r="X5214" s="42"/>
      <c r="AB5214">
        <v>80.2</v>
      </c>
      <c r="AC5214">
        <v>84.02</v>
      </c>
      <c r="AE5214" s="74"/>
      <c r="AF5214" s="77"/>
      <c r="AH5214" s="497">
        <v>77</v>
      </c>
      <c r="AJ5214" s="42"/>
      <c r="AK5214" s="74"/>
      <c r="AL5214" s="77"/>
      <c r="AN5214" s="497">
        <v>78.98</v>
      </c>
      <c r="AP5214" s="42"/>
      <c r="AQ5214" s="74"/>
      <c r="AR5214" s="77"/>
      <c r="AT5214" s="497">
        <v>84.02</v>
      </c>
      <c r="AV5214" s="42"/>
      <c r="AW5214" s="74"/>
      <c r="AX5214" s="77"/>
      <c r="BA5214" s="497">
        <v>75.02</v>
      </c>
      <c r="BB5214" s="42"/>
      <c r="BC5214" s="74"/>
      <c r="BD5214" s="77"/>
      <c r="BF5214">
        <v>82.039999999999992</v>
      </c>
      <c r="BH5214" s="42"/>
      <c r="BI5214" s="74"/>
      <c r="BJ5214" s="77"/>
      <c r="BL5214" s="497">
        <v>73.039999999999992</v>
      </c>
      <c r="BN5214" s="42"/>
      <c r="BO5214" s="74"/>
      <c r="BP5214" s="77"/>
      <c r="BR5214" s="497">
        <v>75.92</v>
      </c>
      <c r="BT5214" s="42"/>
    </row>
    <row r="5215" spans="1:72" x14ac:dyDescent="0.25">
      <c r="A5215" s="90">
        <v>34916</v>
      </c>
      <c r="B5215" s="20">
        <v>0.54166666666666663</v>
      </c>
      <c r="D5215">
        <v>84.02</v>
      </c>
      <c r="E5215" t="str">
        <f t="shared" si="198"/>
        <v>SATURDAY</v>
      </c>
      <c r="F5215" t="e">
        <f t="shared" si="197"/>
        <v>#N/A</v>
      </c>
      <c r="G5215" s="74">
        <v>31994</v>
      </c>
      <c r="H5215" s="77">
        <v>0.54166666666666663</v>
      </c>
      <c r="J5215">
        <v>82.039999999999992</v>
      </c>
      <c r="M5215" s="74">
        <v>34551</v>
      </c>
      <c r="N5215" s="77">
        <v>0.54166666666666663</v>
      </c>
      <c r="P5215">
        <v>78.98</v>
      </c>
      <c r="S5215" s="74">
        <v>34916</v>
      </c>
      <c r="T5215" s="77">
        <v>0.54166666666666663</v>
      </c>
      <c r="V5215">
        <v>82.039999999999992</v>
      </c>
      <c r="X5215" s="42"/>
      <c r="AB5215">
        <v>81</v>
      </c>
      <c r="AC5215">
        <v>84.92</v>
      </c>
      <c r="AE5215" s="74"/>
      <c r="AF5215" s="77"/>
      <c r="AH5215" s="497">
        <v>68.900000000000006</v>
      </c>
      <c r="AJ5215" s="42"/>
      <c r="AK5215" s="74"/>
      <c r="AL5215" s="77"/>
      <c r="AN5215" s="497">
        <v>80.960000000000008</v>
      </c>
      <c r="AP5215" s="42"/>
      <c r="AQ5215" s="74"/>
      <c r="AR5215" s="77"/>
      <c r="AT5215" s="497">
        <v>84.92</v>
      </c>
      <c r="AV5215" s="42"/>
      <c r="AW5215" s="74"/>
      <c r="AX5215" s="77"/>
      <c r="BA5215" s="497">
        <v>75.92</v>
      </c>
      <c r="BB5215" s="42"/>
      <c r="BC5215" s="74"/>
      <c r="BD5215" s="77"/>
      <c r="BF5215">
        <v>82.039999999999992</v>
      </c>
      <c r="BH5215" s="42"/>
      <c r="BI5215" s="74"/>
      <c r="BJ5215" s="77"/>
      <c r="BL5215" s="497">
        <v>73.94</v>
      </c>
      <c r="BN5215" s="42"/>
      <c r="BO5215" s="74"/>
      <c r="BP5215" s="77"/>
      <c r="BR5215" s="497">
        <v>78.080000000000013</v>
      </c>
      <c r="BT5215" s="42"/>
    </row>
    <row r="5216" spans="1:72" x14ac:dyDescent="0.25">
      <c r="A5216" s="90">
        <v>34916</v>
      </c>
      <c r="B5216" s="20">
        <v>0.58333333333333337</v>
      </c>
      <c r="D5216">
        <v>84.02</v>
      </c>
      <c r="E5216" t="str">
        <f t="shared" si="198"/>
        <v>SATURDAY</v>
      </c>
      <c r="F5216" t="e">
        <f t="shared" si="197"/>
        <v>#N/A</v>
      </c>
      <c r="G5216" s="74">
        <v>31994</v>
      </c>
      <c r="H5216" s="77">
        <v>0.58333333333333337</v>
      </c>
      <c r="J5216">
        <v>80.06</v>
      </c>
      <c r="M5216" s="74">
        <v>34551</v>
      </c>
      <c r="N5216" s="77">
        <v>0.58333333333333337</v>
      </c>
      <c r="P5216">
        <v>72.86</v>
      </c>
      <c r="S5216" s="74">
        <v>34916</v>
      </c>
      <c r="T5216" s="77">
        <v>0.58333333333333337</v>
      </c>
      <c r="V5216">
        <v>84.02</v>
      </c>
      <c r="X5216" s="42"/>
      <c r="AB5216">
        <v>81.3</v>
      </c>
      <c r="AC5216">
        <v>87.080000000000013</v>
      </c>
      <c r="AE5216" s="74"/>
      <c r="AF5216" s="77"/>
      <c r="AH5216" s="497">
        <v>69.98</v>
      </c>
      <c r="AJ5216" s="42"/>
      <c r="AK5216" s="74"/>
      <c r="AL5216" s="77"/>
      <c r="AN5216" s="497">
        <v>80.06</v>
      </c>
      <c r="AP5216" s="42"/>
      <c r="AQ5216" s="74"/>
      <c r="AR5216" s="77"/>
      <c r="AT5216" s="497">
        <v>84.92</v>
      </c>
      <c r="AV5216" s="42"/>
      <c r="AW5216" s="74"/>
      <c r="AX5216" s="77"/>
      <c r="BA5216" s="497">
        <v>77</v>
      </c>
      <c r="BB5216" s="42"/>
      <c r="BC5216" s="74"/>
      <c r="BD5216" s="77"/>
      <c r="BF5216">
        <v>86</v>
      </c>
      <c r="BH5216" s="42"/>
      <c r="BI5216" s="74"/>
      <c r="BJ5216" s="77"/>
      <c r="BL5216" s="497">
        <v>75.02</v>
      </c>
      <c r="BN5216" s="42"/>
      <c r="BO5216" s="74"/>
      <c r="BP5216" s="77"/>
      <c r="BR5216" s="497">
        <v>78.98</v>
      </c>
      <c r="BT5216" s="42"/>
    </row>
    <row r="5217" spans="1:72" x14ac:dyDescent="0.25">
      <c r="A5217" s="90">
        <v>34916</v>
      </c>
      <c r="B5217" s="20">
        <v>0.625</v>
      </c>
      <c r="D5217">
        <v>84.92</v>
      </c>
      <c r="E5217" t="str">
        <f t="shared" si="198"/>
        <v>SATURDAY</v>
      </c>
      <c r="F5217" t="e">
        <f t="shared" si="197"/>
        <v>#N/A</v>
      </c>
      <c r="G5217" s="74">
        <v>31994</v>
      </c>
      <c r="H5217" s="77">
        <v>0.625</v>
      </c>
      <c r="J5217">
        <v>75.02</v>
      </c>
      <c r="M5217" s="74">
        <v>34551</v>
      </c>
      <c r="N5217" s="77">
        <v>0.625</v>
      </c>
      <c r="P5217">
        <v>64.94</v>
      </c>
      <c r="S5217" s="74">
        <v>34916</v>
      </c>
      <c r="T5217" s="77">
        <v>0.625</v>
      </c>
      <c r="V5217">
        <v>78.98</v>
      </c>
      <c r="X5217" s="42"/>
      <c r="AB5217">
        <v>81.3</v>
      </c>
      <c r="AC5217">
        <v>87.080000000000013</v>
      </c>
      <c r="AE5217" s="74"/>
      <c r="AF5217" s="77"/>
      <c r="AH5217" s="497">
        <v>68</v>
      </c>
      <c r="AJ5217" s="42"/>
      <c r="AK5217" s="74"/>
      <c r="AL5217" s="77"/>
      <c r="AN5217" s="497">
        <v>80.06</v>
      </c>
      <c r="AP5217" s="42"/>
      <c r="AQ5217" s="74"/>
      <c r="AR5217" s="77"/>
      <c r="AT5217" s="497">
        <v>86</v>
      </c>
      <c r="AV5217" s="42"/>
      <c r="AW5217" s="74"/>
      <c r="AX5217" s="77"/>
      <c r="BA5217" s="497">
        <v>77</v>
      </c>
      <c r="BB5217" s="42"/>
      <c r="BC5217" s="74"/>
      <c r="BD5217" s="77"/>
      <c r="BF5217">
        <v>84.92</v>
      </c>
      <c r="BH5217" s="42"/>
      <c r="BI5217" s="74"/>
      <c r="BJ5217" s="77"/>
      <c r="BL5217" s="497">
        <v>73.039999999999992</v>
      </c>
      <c r="BN5217" s="42"/>
      <c r="BO5217" s="74"/>
      <c r="BP5217" s="77"/>
      <c r="BR5217" s="497">
        <v>80.06</v>
      </c>
      <c r="BT5217" s="42"/>
    </row>
    <row r="5218" spans="1:72" x14ac:dyDescent="0.25">
      <c r="A5218" s="90">
        <v>34916</v>
      </c>
      <c r="B5218" s="20">
        <v>0.66666666666666663</v>
      </c>
      <c r="D5218">
        <v>84.02</v>
      </c>
      <c r="E5218" t="str">
        <f t="shared" si="198"/>
        <v>SATURDAY</v>
      </c>
      <c r="F5218" t="e">
        <f t="shared" si="197"/>
        <v>#N/A</v>
      </c>
      <c r="G5218" s="74">
        <v>31994</v>
      </c>
      <c r="H5218" s="77">
        <v>0.66666666666666663</v>
      </c>
      <c r="J5218">
        <v>73.94</v>
      </c>
      <c r="M5218" s="74">
        <v>34551</v>
      </c>
      <c r="N5218" s="77">
        <v>0.66666666666666663</v>
      </c>
      <c r="P5218">
        <v>64.94</v>
      </c>
      <c r="S5218" s="74">
        <v>34916</v>
      </c>
      <c r="T5218" s="77">
        <v>0.66666666666666663</v>
      </c>
      <c r="V5218">
        <v>77</v>
      </c>
      <c r="X5218" s="42"/>
      <c r="AB5218">
        <v>80.8</v>
      </c>
      <c r="AC5218">
        <v>84.92</v>
      </c>
      <c r="AE5218" s="74"/>
      <c r="AF5218" s="77"/>
      <c r="AH5218" s="497">
        <v>65.84</v>
      </c>
      <c r="AJ5218" s="42"/>
      <c r="AK5218" s="74"/>
      <c r="AL5218" s="77"/>
      <c r="AN5218" s="497">
        <v>78.080000000000013</v>
      </c>
      <c r="AP5218" s="42"/>
      <c r="AQ5218" s="74"/>
      <c r="AR5218" s="77"/>
      <c r="AT5218" s="497">
        <v>84.92</v>
      </c>
      <c r="AV5218" s="42"/>
      <c r="AW5218" s="74"/>
      <c r="AX5218" s="77"/>
      <c r="BA5218" s="497">
        <v>77</v>
      </c>
      <c r="BB5218" s="42"/>
      <c r="BC5218" s="74"/>
      <c r="BD5218" s="77"/>
      <c r="BF5218">
        <v>80.960000000000008</v>
      </c>
      <c r="BH5218" s="42"/>
      <c r="BI5218" s="74"/>
      <c r="BJ5218" s="77"/>
      <c r="BL5218" s="497">
        <v>75.02</v>
      </c>
      <c r="BN5218" s="42"/>
      <c r="BO5218" s="74"/>
      <c r="BP5218" s="77"/>
      <c r="BR5218" s="497">
        <v>80.06</v>
      </c>
      <c r="BT5218" s="42"/>
    </row>
    <row r="5219" spans="1:72" x14ac:dyDescent="0.25">
      <c r="A5219" s="90">
        <v>34916</v>
      </c>
      <c r="B5219" s="20">
        <v>0.70833333333333337</v>
      </c>
      <c r="D5219">
        <v>82.94</v>
      </c>
      <c r="E5219" t="str">
        <f t="shared" si="198"/>
        <v>SATURDAY</v>
      </c>
      <c r="F5219" t="e">
        <f t="shared" si="197"/>
        <v>#N/A</v>
      </c>
      <c r="G5219" s="74">
        <v>31994</v>
      </c>
      <c r="H5219" s="77">
        <v>0.70833333333333337</v>
      </c>
      <c r="J5219">
        <v>73.039999999999992</v>
      </c>
      <c r="M5219" s="74">
        <v>34551</v>
      </c>
      <c r="N5219" s="77">
        <v>0.70833333333333337</v>
      </c>
      <c r="P5219">
        <v>64.94</v>
      </c>
      <c r="S5219" s="74">
        <v>34916</v>
      </c>
      <c r="T5219" s="77">
        <v>0.70833333333333337</v>
      </c>
      <c r="V5219">
        <v>75.92</v>
      </c>
      <c r="X5219" s="42"/>
      <c r="AB5219">
        <v>80.099999999999994</v>
      </c>
      <c r="AC5219">
        <v>84.02</v>
      </c>
      <c r="AE5219" s="74"/>
      <c r="AF5219" s="77"/>
      <c r="AH5219" s="497">
        <v>62.96</v>
      </c>
      <c r="AJ5219" s="42"/>
      <c r="AK5219" s="74"/>
      <c r="AL5219" s="77"/>
      <c r="AN5219" s="497">
        <v>77</v>
      </c>
      <c r="AP5219" s="42"/>
      <c r="AQ5219" s="74"/>
      <c r="AR5219" s="77"/>
      <c r="AT5219" s="497">
        <v>84.02</v>
      </c>
      <c r="AV5219" s="42"/>
      <c r="AW5219" s="74"/>
      <c r="AX5219" s="77"/>
      <c r="BA5219" s="497">
        <v>75.92</v>
      </c>
      <c r="BB5219" s="42"/>
      <c r="BC5219" s="74"/>
      <c r="BD5219" s="77"/>
      <c r="BF5219">
        <v>82.039999999999992</v>
      </c>
      <c r="BH5219" s="42"/>
      <c r="BI5219" s="74"/>
      <c r="BJ5219" s="77"/>
      <c r="BL5219" s="497">
        <v>75.02</v>
      </c>
      <c r="BN5219" s="42"/>
      <c r="BO5219" s="74"/>
      <c r="BP5219" s="77"/>
      <c r="BR5219" s="497">
        <v>80.06</v>
      </c>
      <c r="BT5219" s="42"/>
    </row>
    <row r="5220" spans="1:72" x14ac:dyDescent="0.25">
      <c r="A5220" s="90">
        <v>34916</v>
      </c>
      <c r="B5220" s="20">
        <v>0.75</v>
      </c>
      <c r="D5220">
        <v>80.960000000000008</v>
      </c>
      <c r="E5220" t="str">
        <f t="shared" si="198"/>
        <v>SATURDAY</v>
      </c>
      <c r="F5220" t="e">
        <f t="shared" si="197"/>
        <v>#N/A</v>
      </c>
      <c r="G5220" s="74">
        <v>31994</v>
      </c>
      <c r="H5220" s="77">
        <v>0.75</v>
      </c>
      <c r="J5220">
        <v>71.06</v>
      </c>
      <c r="M5220" s="74">
        <v>34551</v>
      </c>
      <c r="N5220" s="77">
        <v>0.75</v>
      </c>
      <c r="P5220">
        <v>62.96</v>
      </c>
      <c r="S5220" s="74">
        <v>34916</v>
      </c>
      <c r="T5220" s="77">
        <v>0.75</v>
      </c>
      <c r="V5220">
        <v>75.92</v>
      </c>
      <c r="X5220" s="42"/>
      <c r="AB5220">
        <v>79.099999999999994</v>
      </c>
      <c r="AC5220">
        <v>82.039999999999992</v>
      </c>
      <c r="AE5220" s="74"/>
      <c r="AF5220" s="77"/>
      <c r="AH5220" s="497">
        <v>60.980000000000004</v>
      </c>
      <c r="AJ5220" s="42"/>
      <c r="AK5220" s="74"/>
      <c r="AL5220" s="77"/>
      <c r="AN5220" s="497">
        <v>75.02</v>
      </c>
      <c r="AP5220" s="42"/>
      <c r="AQ5220" s="74"/>
      <c r="AR5220" s="77"/>
      <c r="AT5220" s="497">
        <v>80.960000000000008</v>
      </c>
      <c r="AV5220" s="42"/>
      <c r="AW5220" s="74"/>
      <c r="AX5220" s="77"/>
      <c r="BA5220" s="497">
        <v>73.94</v>
      </c>
      <c r="BB5220" s="42"/>
      <c r="BC5220" s="74"/>
      <c r="BD5220" s="77"/>
      <c r="BF5220">
        <v>78.98</v>
      </c>
      <c r="BH5220" s="42"/>
      <c r="BI5220" s="74"/>
      <c r="BJ5220" s="77"/>
      <c r="BL5220" s="497">
        <v>71.06</v>
      </c>
      <c r="BN5220" s="42"/>
      <c r="BO5220" s="74"/>
      <c r="BP5220" s="77"/>
      <c r="BR5220" s="497">
        <v>78.080000000000013</v>
      </c>
      <c r="BT5220" s="42"/>
    </row>
    <row r="5221" spans="1:72" x14ac:dyDescent="0.25">
      <c r="A5221" s="90">
        <v>34916</v>
      </c>
      <c r="B5221" s="20">
        <v>0.79166666666666663</v>
      </c>
      <c r="D5221">
        <v>78.080000000000013</v>
      </c>
      <c r="E5221" t="str">
        <f t="shared" si="198"/>
        <v>SATURDAY</v>
      </c>
      <c r="F5221" t="e">
        <f t="shared" si="197"/>
        <v>#N/A</v>
      </c>
      <c r="G5221" s="74">
        <v>31994</v>
      </c>
      <c r="H5221" s="77">
        <v>0.79166666666666663</v>
      </c>
      <c r="J5221">
        <v>71.06</v>
      </c>
      <c r="M5221" s="74">
        <v>34551</v>
      </c>
      <c r="N5221" s="77">
        <v>0.79166666666666663</v>
      </c>
      <c r="P5221">
        <v>60.980000000000004</v>
      </c>
      <c r="S5221" s="74">
        <v>34916</v>
      </c>
      <c r="T5221" s="77">
        <v>0.79166666666666663</v>
      </c>
      <c r="V5221">
        <v>75.92</v>
      </c>
      <c r="X5221" s="42"/>
      <c r="AB5221">
        <v>77.8</v>
      </c>
      <c r="AC5221">
        <v>82.039999999999992</v>
      </c>
      <c r="AE5221" s="74"/>
      <c r="AF5221" s="77"/>
      <c r="AH5221" s="497">
        <v>59</v>
      </c>
      <c r="AJ5221" s="42"/>
      <c r="AK5221" s="74"/>
      <c r="AL5221" s="77"/>
      <c r="AN5221" s="497">
        <v>73.039999999999992</v>
      </c>
      <c r="AP5221" s="42"/>
      <c r="AQ5221" s="74"/>
      <c r="AR5221" s="77"/>
      <c r="AT5221" s="497">
        <v>77</v>
      </c>
      <c r="AV5221" s="42"/>
      <c r="AW5221" s="74"/>
      <c r="AX5221" s="77"/>
      <c r="BA5221" s="497">
        <v>69.98</v>
      </c>
      <c r="BB5221" s="42"/>
      <c r="BC5221" s="74"/>
      <c r="BD5221" s="77"/>
      <c r="BF5221">
        <v>78.080000000000013</v>
      </c>
      <c r="BH5221" s="42"/>
      <c r="BI5221" s="74"/>
      <c r="BJ5221" s="77"/>
      <c r="BL5221" s="497">
        <v>71.960000000000008</v>
      </c>
      <c r="BN5221" s="42"/>
      <c r="BO5221" s="74"/>
      <c r="BP5221" s="77"/>
      <c r="BR5221" s="497">
        <v>75.02</v>
      </c>
      <c r="BT5221" s="42"/>
    </row>
    <row r="5222" spans="1:72" x14ac:dyDescent="0.25">
      <c r="A5222" s="90">
        <v>34916</v>
      </c>
      <c r="B5222" s="20">
        <v>0.83333333333333337</v>
      </c>
      <c r="D5222">
        <v>77</v>
      </c>
      <c r="E5222" t="str">
        <f t="shared" si="198"/>
        <v>SATURDAY</v>
      </c>
      <c r="F5222" t="e">
        <f t="shared" si="197"/>
        <v>#N/A</v>
      </c>
      <c r="G5222" s="74">
        <v>31994</v>
      </c>
      <c r="H5222" s="77">
        <v>0.83333333333333337</v>
      </c>
      <c r="J5222">
        <v>71.06</v>
      </c>
      <c r="M5222" s="74">
        <v>34551</v>
      </c>
      <c r="N5222" s="77">
        <v>0.83333333333333337</v>
      </c>
      <c r="P5222">
        <v>57.92</v>
      </c>
      <c r="S5222" s="74">
        <v>34916</v>
      </c>
      <c r="T5222" s="77">
        <v>0.83333333333333337</v>
      </c>
      <c r="V5222">
        <v>77</v>
      </c>
      <c r="X5222" s="42"/>
      <c r="AB5222">
        <v>76.400000000000006</v>
      </c>
      <c r="AC5222">
        <v>82.039999999999992</v>
      </c>
      <c r="AE5222" s="74"/>
      <c r="AF5222" s="77"/>
      <c r="AH5222" s="497">
        <v>59</v>
      </c>
      <c r="AJ5222" s="42"/>
      <c r="AK5222" s="74"/>
      <c r="AL5222" s="77"/>
      <c r="AN5222" s="497">
        <v>69.080000000000013</v>
      </c>
      <c r="AP5222" s="42"/>
      <c r="AQ5222" s="74"/>
      <c r="AR5222" s="77"/>
      <c r="AT5222" s="497">
        <v>75.02</v>
      </c>
      <c r="AV5222" s="42"/>
      <c r="AW5222" s="74"/>
      <c r="AX5222" s="77"/>
      <c r="BA5222" s="497">
        <v>64.039999999999992</v>
      </c>
      <c r="BB5222" s="42"/>
      <c r="BC5222" s="74"/>
      <c r="BD5222" s="77"/>
      <c r="BF5222">
        <v>75.02</v>
      </c>
      <c r="BH5222" s="42"/>
      <c r="BI5222" s="74"/>
      <c r="BJ5222" s="77"/>
      <c r="BL5222" s="497">
        <v>71.960000000000008</v>
      </c>
      <c r="BN5222" s="42"/>
      <c r="BO5222" s="74"/>
      <c r="BP5222" s="77"/>
      <c r="BR5222" s="497">
        <v>69.98</v>
      </c>
      <c r="BT5222" s="42"/>
    </row>
    <row r="5223" spans="1:72" x14ac:dyDescent="0.25">
      <c r="A5223" s="90">
        <v>34916</v>
      </c>
      <c r="B5223" s="20">
        <v>0.875</v>
      </c>
      <c r="D5223">
        <v>77</v>
      </c>
      <c r="E5223" t="str">
        <f t="shared" si="198"/>
        <v>SATURDAY</v>
      </c>
      <c r="F5223" t="e">
        <f t="shared" si="197"/>
        <v>#N/A</v>
      </c>
      <c r="G5223" s="74">
        <v>31994</v>
      </c>
      <c r="H5223" s="77">
        <v>0.875</v>
      </c>
      <c r="J5223">
        <v>71.960000000000008</v>
      </c>
      <c r="M5223" s="74">
        <v>34551</v>
      </c>
      <c r="N5223" s="77">
        <v>0.875</v>
      </c>
      <c r="P5223">
        <v>57.379999999999995</v>
      </c>
      <c r="S5223" s="74">
        <v>34916</v>
      </c>
      <c r="T5223" s="77">
        <v>0.875</v>
      </c>
      <c r="V5223">
        <v>77</v>
      </c>
      <c r="X5223" s="42"/>
      <c r="AB5223">
        <v>75.5</v>
      </c>
      <c r="AC5223">
        <v>80.960000000000008</v>
      </c>
      <c r="AE5223" s="74"/>
      <c r="AF5223" s="77"/>
      <c r="AH5223" s="497">
        <v>59</v>
      </c>
      <c r="AJ5223" s="42"/>
      <c r="AK5223" s="74"/>
      <c r="AL5223" s="77"/>
      <c r="AN5223" s="497">
        <v>68</v>
      </c>
      <c r="AP5223" s="42"/>
      <c r="AQ5223" s="74"/>
      <c r="AR5223" s="77"/>
      <c r="AT5223" s="497">
        <v>75.02</v>
      </c>
      <c r="AV5223" s="42"/>
      <c r="AW5223" s="74"/>
      <c r="AX5223" s="77"/>
      <c r="BA5223" s="497">
        <v>62.96</v>
      </c>
      <c r="BB5223" s="42"/>
      <c r="BC5223" s="74"/>
      <c r="BD5223" s="77"/>
      <c r="BF5223">
        <v>73.039999999999992</v>
      </c>
      <c r="BH5223" s="42"/>
      <c r="BI5223" s="74"/>
      <c r="BJ5223" s="77"/>
      <c r="BL5223" s="497">
        <v>71.960000000000008</v>
      </c>
      <c r="BN5223" s="42"/>
      <c r="BO5223" s="74"/>
      <c r="BP5223" s="77"/>
      <c r="BR5223" s="497">
        <v>66.92</v>
      </c>
      <c r="BT5223" s="42"/>
    </row>
    <row r="5224" spans="1:72" x14ac:dyDescent="0.25">
      <c r="A5224" s="90">
        <v>34916</v>
      </c>
      <c r="B5224" s="20">
        <v>0.91666666666666663</v>
      </c>
      <c r="D5224">
        <v>75.92</v>
      </c>
      <c r="E5224" t="str">
        <f t="shared" si="198"/>
        <v>SATURDAY</v>
      </c>
      <c r="F5224" t="e">
        <f t="shared" si="197"/>
        <v>#N/A</v>
      </c>
      <c r="G5224" s="74">
        <v>31994</v>
      </c>
      <c r="H5224" s="77">
        <v>0.91666666666666663</v>
      </c>
      <c r="J5224">
        <v>71.960000000000008</v>
      </c>
      <c r="M5224" s="74">
        <v>34551</v>
      </c>
      <c r="N5224" s="77">
        <v>0.91666666666666663</v>
      </c>
      <c r="P5224">
        <v>57.019999999999996</v>
      </c>
      <c r="S5224" s="74">
        <v>34916</v>
      </c>
      <c r="T5224" s="77">
        <v>0.91666666666666663</v>
      </c>
      <c r="V5224">
        <v>75.92</v>
      </c>
      <c r="X5224" s="42"/>
      <c r="AB5224">
        <v>74.900000000000006</v>
      </c>
      <c r="AC5224">
        <v>80.960000000000008</v>
      </c>
      <c r="AE5224" s="74"/>
      <c r="AF5224" s="77"/>
      <c r="AH5224" s="497">
        <v>57.92</v>
      </c>
      <c r="AJ5224" s="42"/>
      <c r="AK5224" s="74"/>
      <c r="AL5224" s="77"/>
      <c r="AN5224" s="497">
        <v>66.92</v>
      </c>
      <c r="AP5224" s="42"/>
      <c r="AQ5224" s="74"/>
      <c r="AR5224" s="77"/>
      <c r="AT5224" s="497">
        <v>71.960000000000008</v>
      </c>
      <c r="AV5224" s="42"/>
      <c r="AW5224" s="74"/>
      <c r="AX5224" s="77"/>
      <c r="BA5224" s="497">
        <v>60.980000000000004</v>
      </c>
      <c r="BB5224" s="42"/>
      <c r="BC5224" s="74"/>
      <c r="BD5224" s="77"/>
      <c r="BF5224">
        <v>73.039999999999992</v>
      </c>
      <c r="BH5224" s="42"/>
      <c r="BI5224" s="74"/>
      <c r="BJ5224" s="77"/>
      <c r="BL5224" s="497">
        <v>71.06</v>
      </c>
      <c r="BN5224" s="42"/>
      <c r="BO5224" s="74"/>
      <c r="BP5224" s="77"/>
      <c r="BR5224" s="497">
        <v>64.94</v>
      </c>
      <c r="BT5224" s="42"/>
    </row>
    <row r="5225" spans="1:72" x14ac:dyDescent="0.25">
      <c r="A5225" s="90">
        <v>34916</v>
      </c>
      <c r="B5225" s="20">
        <v>0.95833333333333337</v>
      </c>
      <c r="D5225">
        <v>75.92</v>
      </c>
      <c r="E5225" t="str">
        <f t="shared" si="198"/>
        <v>SATURDAY</v>
      </c>
      <c r="F5225" t="e">
        <f t="shared" si="197"/>
        <v>#N/A</v>
      </c>
      <c r="G5225" s="74">
        <v>31994</v>
      </c>
      <c r="H5225" s="77">
        <v>0.95833333333333337</v>
      </c>
      <c r="J5225">
        <v>71.06</v>
      </c>
      <c r="M5225" s="74">
        <v>34551</v>
      </c>
      <c r="N5225" s="77">
        <v>0.95833333333333337</v>
      </c>
      <c r="P5225">
        <v>56.84</v>
      </c>
      <c r="S5225" s="74">
        <v>34916</v>
      </c>
      <c r="T5225" s="77">
        <v>0.95833333333333337</v>
      </c>
      <c r="V5225">
        <v>75.92</v>
      </c>
      <c r="X5225" s="42"/>
      <c r="AB5225">
        <v>74.400000000000006</v>
      </c>
      <c r="AC5225">
        <v>82.039999999999992</v>
      </c>
      <c r="AE5225" s="74"/>
      <c r="AF5225" s="77"/>
      <c r="AH5225" s="497">
        <v>57.92</v>
      </c>
      <c r="AJ5225" s="42"/>
      <c r="AK5225" s="74"/>
      <c r="AL5225" s="77"/>
      <c r="AN5225" s="497">
        <v>64.94</v>
      </c>
      <c r="AP5225" s="42"/>
      <c r="AQ5225" s="74"/>
      <c r="AR5225" s="77"/>
      <c r="AT5225" s="497">
        <v>71.06</v>
      </c>
      <c r="AV5225" s="42"/>
      <c r="AW5225" s="74"/>
      <c r="AX5225" s="77"/>
      <c r="BA5225" s="497">
        <v>59</v>
      </c>
      <c r="BB5225" s="42"/>
      <c r="BC5225" s="74"/>
      <c r="BD5225" s="77"/>
      <c r="BF5225">
        <v>69.98</v>
      </c>
      <c r="BH5225" s="42"/>
      <c r="BI5225" s="74"/>
      <c r="BJ5225" s="77"/>
      <c r="BL5225" s="497">
        <v>69.98</v>
      </c>
      <c r="BN5225" s="42"/>
      <c r="BO5225" s="74"/>
      <c r="BP5225" s="77"/>
      <c r="BR5225" s="497">
        <v>62.96</v>
      </c>
      <c r="BT5225" s="42"/>
    </row>
    <row r="5226" spans="1:72" x14ac:dyDescent="0.25">
      <c r="A5226" s="90">
        <v>34916</v>
      </c>
      <c r="B5226" s="20">
        <v>1</v>
      </c>
      <c r="D5226">
        <v>75.92</v>
      </c>
      <c r="E5226" t="str">
        <f t="shared" si="198"/>
        <v>SATURDAY</v>
      </c>
      <c r="F5226" t="e">
        <f t="shared" si="197"/>
        <v>#N/A</v>
      </c>
      <c r="G5226" s="74">
        <v>31994</v>
      </c>
      <c r="H5226" s="77">
        <v>1</v>
      </c>
      <c r="J5226">
        <v>69.080000000000013</v>
      </c>
      <c r="M5226" s="74">
        <v>34551</v>
      </c>
      <c r="N5226" s="80">
        <v>1</v>
      </c>
      <c r="P5226">
        <v>55.94</v>
      </c>
      <c r="S5226" s="74">
        <v>34916</v>
      </c>
      <c r="T5226" s="80">
        <v>1</v>
      </c>
      <c r="V5226">
        <v>75.92</v>
      </c>
      <c r="X5226" s="42"/>
      <c r="AB5226">
        <v>73.8</v>
      </c>
      <c r="AC5226">
        <v>80.960000000000008</v>
      </c>
      <c r="AE5226" s="74"/>
      <c r="AF5226" s="80"/>
      <c r="AH5226" s="497">
        <v>56.84</v>
      </c>
      <c r="AJ5226" s="42"/>
      <c r="AK5226" s="74"/>
      <c r="AL5226" s="80"/>
      <c r="AN5226" s="497">
        <v>64.94</v>
      </c>
      <c r="AP5226" s="42"/>
      <c r="AQ5226" s="74"/>
      <c r="AR5226" s="80"/>
      <c r="AT5226" s="497">
        <v>69.080000000000013</v>
      </c>
      <c r="AV5226" s="42"/>
      <c r="AW5226" s="74"/>
      <c r="AX5226" s="80"/>
      <c r="BA5226" s="497">
        <v>57.92</v>
      </c>
      <c r="BB5226" s="42"/>
      <c r="BC5226" s="74"/>
      <c r="BD5226" s="80"/>
      <c r="BF5226">
        <v>69.080000000000013</v>
      </c>
      <c r="BH5226" s="42"/>
      <c r="BI5226" s="74"/>
      <c r="BJ5226" s="80"/>
      <c r="BL5226" s="497">
        <v>69.98</v>
      </c>
      <c r="BN5226" s="42"/>
      <c r="BO5226" s="74"/>
      <c r="BP5226" s="80"/>
      <c r="BR5226" s="497">
        <v>64.039999999999992</v>
      </c>
      <c r="BT5226" s="42"/>
    </row>
    <row r="5227" spans="1:72" x14ac:dyDescent="0.25">
      <c r="A5227" s="90">
        <v>34917</v>
      </c>
      <c r="B5227" s="20">
        <v>4.1666666666666664E-2</v>
      </c>
      <c r="D5227">
        <v>75.92</v>
      </c>
      <c r="E5227" t="str">
        <f t="shared" si="198"/>
        <v>SUNDAY</v>
      </c>
      <c r="F5227" t="e">
        <f t="shared" ref="F5227:F5290" si="199">IF(E5227="WEEKDAY",VLOOKUP(B5227,$DD$19:$DG$42,2),IF(E5227="SATURDAY",VLOOKUP(B5227,$DD$19:$DG$42,3),VLOOKUP(B5227,$DD$19:$DG$42,4)))</f>
        <v>#N/A</v>
      </c>
      <c r="G5227" s="74">
        <v>31995</v>
      </c>
      <c r="H5227" s="77">
        <v>4.1666666666666664E-2</v>
      </c>
      <c r="J5227">
        <v>68</v>
      </c>
      <c r="M5227" s="74">
        <v>34552</v>
      </c>
      <c r="N5227" s="77">
        <v>4.1666666666666664E-2</v>
      </c>
      <c r="P5227">
        <v>55.94</v>
      </c>
      <c r="S5227" s="74">
        <v>34917</v>
      </c>
      <c r="T5227" s="77">
        <v>4.1666666666666664E-2</v>
      </c>
      <c r="V5227">
        <v>77</v>
      </c>
      <c r="X5227" s="42"/>
      <c r="AB5227">
        <v>73.2</v>
      </c>
      <c r="AC5227">
        <v>80.06</v>
      </c>
      <c r="AE5227" s="74"/>
      <c r="AF5227" s="77"/>
      <c r="AH5227" s="497">
        <v>54.86</v>
      </c>
      <c r="AJ5227" s="42"/>
      <c r="AK5227" s="74"/>
      <c r="AL5227" s="77"/>
      <c r="AN5227" s="497">
        <v>64.039999999999992</v>
      </c>
      <c r="AP5227" s="42"/>
      <c r="AQ5227" s="74"/>
      <c r="AR5227" s="77"/>
      <c r="AT5227" s="497">
        <v>68</v>
      </c>
      <c r="AV5227" s="42"/>
      <c r="AW5227" s="74"/>
      <c r="AX5227" s="77"/>
      <c r="BA5227" s="497">
        <v>57.019999999999996</v>
      </c>
      <c r="BB5227" s="42"/>
      <c r="BC5227" s="74"/>
      <c r="BD5227" s="77"/>
      <c r="BF5227">
        <v>69.080000000000013</v>
      </c>
      <c r="BH5227" s="42"/>
      <c r="BI5227" s="74"/>
      <c r="BJ5227" s="77"/>
      <c r="BL5227" s="497">
        <v>69.98</v>
      </c>
      <c r="BN5227" s="42"/>
      <c r="BO5227" s="74"/>
      <c r="BP5227" s="77"/>
      <c r="BR5227" s="497">
        <v>64.94</v>
      </c>
      <c r="BT5227" s="42"/>
    </row>
    <row r="5228" spans="1:72" x14ac:dyDescent="0.25">
      <c r="A5228" s="90">
        <v>34917</v>
      </c>
      <c r="B5228" s="20">
        <v>8.3333333333333329E-2</v>
      </c>
      <c r="D5228">
        <v>75.02</v>
      </c>
      <c r="E5228" t="str">
        <f t="shared" si="198"/>
        <v>SUNDAY</v>
      </c>
      <c r="F5228" t="e">
        <f t="shared" si="199"/>
        <v>#N/A</v>
      </c>
      <c r="G5228" s="74">
        <v>31995</v>
      </c>
      <c r="H5228" s="77">
        <v>8.3333333333333329E-2</v>
      </c>
      <c r="J5228">
        <v>68</v>
      </c>
      <c r="M5228" s="74">
        <v>34552</v>
      </c>
      <c r="N5228" s="77">
        <v>8.3333333333333329E-2</v>
      </c>
      <c r="P5228">
        <v>54.86</v>
      </c>
      <c r="S5228" s="74">
        <v>34917</v>
      </c>
      <c r="T5228" s="77">
        <v>8.3333333333333329E-2</v>
      </c>
      <c r="V5228">
        <v>77</v>
      </c>
      <c r="X5228" s="42"/>
      <c r="AB5228">
        <v>72.599999999999994</v>
      </c>
      <c r="AC5228">
        <v>78.080000000000013</v>
      </c>
      <c r="AE5228" s="74"/>
      <c r="AF5228" s="77"/>
      <c r="AH5228" s="497">
        <v>52.879999999999995</v>
      </c>
      <c r="AJ5228" s="42"/>
      <c r="AK5228" s="74"/>
      <c r="AL5228" s="77"/>
      <c r="AN5228" s="497">
        <v>62.06</v>
      </c>
      <c r="AP5228" s="42"/>
      <c r="AQ5228" s="74"/>
      <c r="AR5228" s="77"/>
      <c r="AT5228" s="497">
        <v>66.92</v>
      </c>
      <c r="AV5228" s="42"/>
      <c r="AW5228" s="74"/>
      <c r="AX5228" s="77"/>
      <c r="BA5228" s="497">
        <v>55.94</v>
      </c>
      <c r="BB5228" s="42"/>
      <c r="BC5228" s="74"/>
      <c r="BD5228" s="77"/>
      <c r="BF5228">
        <v>69.080000000000013</v>
      </c>
      <c r="BH5228" s="42"/>
      <c r="BI5228" s="74"/>
      <c r="BJ5228" s="77"/>
      <c r="BL5228" s="497">
        <v>69.98</v>
      </c>
      <c r="BN5228" s="42"/>
      <c r="BO5228" s="74"/>
      <c r="BP5228" s="77"/>
      <c r="BR5228" s="497">
        <v>66.02</v>
      </c>
      <c r="BT5228" s="42"/>
    </row>
    <row r="5229" spans="1:72" x14ac:dyDescent="0.25">
      <c r="A5229" s="90">
        <v>34917</v>
      </c>
      <c r="B5229" s="20">
        <v>0.125</v>
      </c>
      <c r="D5229">
        <v>75.02</v>
      </c>
      <c r="E5229" t="str">
        <f t="shared" si="198"/>
        <v>SUNDAY</v>
      </c>
      <c r="F5229" t="e">
        <f t="shared" si="199"/>
        <v>#N/A</v>
      </c>
      <c r="G5229" s="74">
        <v>31995</v>
      </c>
      <c r="H5229" s="77">
        <v>0.125</v>
      </c>
      <c r="J5229">
        <v>66.92</v>
      </c>
      <c r="M5229" s="74">
        <v>34552</v>
      </c>
      <c r="N5229" s="77">
        <v>0.125</v>
      </c>
      <c r="P5229">
        <v>52.879999999999995</v>
      </c>
      <c r="S5229" s="74">
        <v>34917</v>
      </c>
      <c r="T5229" s="77">
        <v>0.125</v>
      </c>
      <c r="V5229">
        <v>77</v>
      </c>
      <c r="X5229" s="42"/>
      <c r="AB5229">
        <v>72.099999999999994</v>
      </c>
      <c r="AC5229">
        <v>68</v>
      </c>
      <c r="AE5229" s="74"/>
      <c r="AF5229" s="77"/>
      <c r="AH5229" s="497">
        <v>51.980000000000004</v>
      </c>
      <c r="AJ5229" s="42"/>
      <c r="AK5229" s="74"/>
      <c r="AL5229" s="77"/>
      <c r="AN5229" s="497">
        <v>62.96</v>
      </c>
      <c r="AP5229" s="42"/>
      <c r="AQ5229" s="74"/>
      <c r="AR5229" s="77"/>
      <c r="AT5229" s="497">
        <v>64.94</v>
      </c>
      <c r="AV5229" s="42"/>
      <c r="AW5229" s="74"/>
      <c r="AX5229" s="77"/>
      <c r="BA5229" s="497">
        <v>55.94</v>
      </c>
      <c r="BB5229" s="42"/>
      <c r="BC5229" s="74"/>
      <c r="BD5229" s="77"/>
      <c r="BF5229">
        <v>69.080000000000013</v>
      </c>
      <c r="BH5229" s="42"/>
      <c r="BI5229" s="74"/>
      <c r="BJ5229" s="77"/>
      <c r="BL5229" s="497">
        <v>69.080000000000013</v>
      </c>
      <c r="BN5229" s="42"/>
      <c r="BO5229" s="74"/>
      <c r="BP5229" s="77"/>
      <c r="BR5229" s="497">
        <v>66.02</v>
      </c>
      <c r="BT5229" s="42"/>
    </row>
    <row r="5230" spans="1:72" x14ac:dyDescent="0.25">
      <c r="A5230" s="90">
        <v>34917</v>
      </c>
      <c r="B5230" s="20">
        <v>0.16666666666666666</v>
      </c>
      <c r="D5230">
        <v>73.94</v>
      </c>
      <c r="E5230" t="str">
        <f t="shared" si="198"/>
        <v>SUNDAY</v>
      </c>
      <c r="F5230" t="e">
        <f t="shared" si="199"/>
        <v>#N/A</v>
      </c>
      <c r="G5230" s="74">
        <v>31995</v>
      </c>
      <c r="H5230" s="77">
        <v>0.16666666666666666</v>
      </c>
      <c r="J5230">
        <v>66.02</v>
      </c>
      <c r="M5230" s="74">
        <v>34552</v>
      </c>
      <c r="N5230" s="77">
        <v>0.16666666666666666</v>
      </c>
      <c r="P5230">
        <v>52.879999999999995</v>
      </c>
      <c r="S5230" s="74">
        <v>34917</v>
      </c>
      <c r="T5230" s="77">
        <v>0.16666666666666666</v>
      </c>
      <c r="V5230">
        <v>75.02</v>
      </c>
      <c r="X5230" s="42"/>
      <c r="AB5230">
        <v>71.599999999999994</v>
      </c>
      <c r="AC5230">
        <v>68</v>
      </c>
      <c r="AE5230" s="74"/>
      <c r="AF5230" s="77"/>
      <c r="AH5230" s="497">
        <v>50.900000000000006</v>
      </c>
      <c r="AJ5230" s="42"/>
      <c r="AK5230" s="74"/>
      <c r="AL5230" s="77"/>
      <c r="AN5230" s="497">
        <v>60.980000000000004</v>
      </c>
      <c r="AP5230" s="42"/>
      <c r="AQ5230" s="74"/>
      <c r="AR5230" s="77"/>
      <c r="AT5230" s="497">
        <v>62.96</v>
      </c>
      <c r="AV5230" s="42"/>
      <c r="AW5230" s="74"/>
      <c r="AX5230" s="77"/>
      <c r="BA5230" s="497">
        <v>57.019999999999996</v>
      </c>
      <c r="BB5230" s="42"/>
      <c r="BC5230" s="74"/>
      <c r="BD5230" s="77"/>
      <c r="BF5230">
        <v>69.080000000000013</v>
      </c>
      <c r="BH5230" s="42"/>
      <c r="BI5230" s="74"/>
      <c r="BJ5230" s="77"/>
      <c r="BL5230" s="497">
        <v>69.080000000000013</v>
      </c>
      <c r="BN5230" s="42"/>
      <c r="BO5230" s="74"/>
      <c r="BP5230" s="77"/>
      <c r="BR5230" s="497">
        <v>64.039999999999992</v>
      </c>
      <c r="BT5230" s="42"/>
    </row>
    <row r="5231" spans="1:72" x14ac:dyDescent="0.25">
      <c r="A5231" s="90">
        <v>34917</v>
      </c>
      <c r="B5231" s="20">
        <v>0.20833333333333334</v>
      </c>
      <c r="D5231">
        <v>73.94</v>
      </c>
      <c r="E5231" t="str">
        <f t="shared" si="198"/>
        <v>SUNDAY</v>
      </c>
      <c r="F5231" t="e">
        <f t="shared" si="199"/>
        <v>#N/A</v>
      </c>
      <c r="G5231" s="74">
        <v>31995</v>
      </c>
      <c r="H5231" s="77">
        <v>0.20833333333333334</v>
      </c>
      <c r="J5231">
        <v>66.02</v>
      </c>
      <c r="M5231" s="74">
        <v>34552</v>
      </c>
      <c r="N5231" s="77">
        <v>0.20833333333333334</v>
      </c>
      <c r="P5231">
        <v>51.980000000000004</v>
      </c>
      <c r="S5231" s="74">
        <v>34917</v>
      </c>
      <c r="T5231" s="77">
        <v>0.20833333333333334</v>
      </c>
      <c r="V5231">
        <v>73.94</v>
      </c>
      <c r="X5231" s="42"/>
      <c r="AB5231">
        <v>71.099999999999994</v>
      </c>
      <c r="AC5231">
        <v>68</v>
      </c>
      <c r="AE5231" s="74"/>
      <c r="AF5231" s="77"/>
      <c r="AH5231" s="497">
        <v>50.900000000000006</v>
      </c>
      <c r="AJ5231" s="42"/>
      <c r="AK5231" s="74"/>
      <c r="AL5231" s="77"/>
      <c r="AN5231" s="497">
        <v>59</v>
      </c>
      <c r="AP5231" s="42"/>
      <c r="AQ5231" s="74"/>
      <c r="AR5231" s="77"/>
      <c r="AT5231" s="497">
        <v>62.96</v>
      </c>
      <c r="AV5231" s="42"/>
      <c r="AW5231" s="74"/>
      <c r="AX5231" s="77"/>
      <c r="BA5231" s="497">
        <v>55.040000000000006</v>
      </c>
      <c r="BB5231" s="42"/>
      <c r="BC5231" s="74"/>
      <c r="BD5231" s="77"/>
      <c r="BF5231">
        <v>68</v>
      </c>
      <c r="BH5231" s="42"/>
      <c r="BI5231" s="74"/>
      <c r="BJ5231" s="77"/>
      <c r="BL5231" s="497">
        <v>69.080000000000013</v>
      </c>
      <c r="BN5231" s="42"/>
      <c r="BO5231" s="74"/>
      <c r="BP5231" s="77"/>
      <c r="BR5231" s="497">
        <v>62.06</v>
      </c>
      <c r="BT5231" s="42"/>
    </row>
    <row r="5232" spans="1:72" x14ac:dyDescent="0.25">
      <c r="A5232" s="90">
        <v>34917</v>
      </c>
      <c r="B5232" s="20">
        <v>0.25</v>
      </c>
      <c r="D5232">
        <v>73.039999999999992</v>
      </c>
      <c r="E5232" t="str">
        <f t="shared" si="198"/>
        <v>SUNDAY</v>
      </c>
      <c r="F5232" t="e">
        <f t="shared" si="199"/>
        <v>#N/A</v>
      </c>
      <c r="G5232" s="74">
        <v>31995</v>
      </c>
      <c r="H5232" s="77">
        <v>0.25</v>
      </c>
      <c r="J5232">
        <v>66.02</v>
      </c>
      <c r="M5232" s="74">
        <v>34552</v>
      </c>
      <c r="N5232" s="77">
        <v>0.25</v>
      </c>
      <c r="P5232">
        <v>51.980000000000004</v>
      </c>
      <c r="S5232" s="74">
        <v>34917</v>
      </c>
      <c r="T5232" s="77">
        <v>0.25</v>
      </c>
      <c r="V5232">
        <v>73.94</v>
      </c>
      <c r="X5232" s="42"/>
      <c r="AB5232">
        <v>70.8</v>
      </c>
      <c r="AC5232">
        <v>69.080000000000013</v>
      </c>
      <c r="AE5232" s="74"/>
      <c r="AF5232" s="77"/>
      <c r="AH5232" s="497">
        <v>52.879999999999995</v>
      </c>
      <c r="AJ5232" s="42"/>
      <c r="AK5232" s="74"/>
      <c r="AL5232" s="77"/>
      <c r="AN5232" s="497">
        <v>60.08</v>
      </c>
      <c r="AP5232" s="42"/>
      <c r="AQ5232" s="74"/>
      <c r="AR5232" s="77"/>
      <c r="AT5232" s="497">
        <v>62.96</v>
      </c>
      <c r="AV5232" s="42"/>
      <c r="AW5232" s="74"/>
      <c r="AX5232" s="77"/>
      <c r="BA5232" s="497">
        <v>57.019999999999996</v>
      </c>
      <c r="BB5232" s="42"/>
      <c r="BC5232" s="74"/>
      <c r="BD5232" s="77"/>
      <c r="BF5232">
        <v>66.92</v>
      </c>
      <c r="BH5232" s="42"/>
      <c r="BI5232" s="74"/>
      <c r="BJ5232" s="77"/>
      <c r="BL5232" s="497">
        <v>69.080000000000013</v>
      </c>
      <c r="BN5232" s="42"/>
      <c r="BO5232" s="74"/>
      <c r="BP5232" s="77"/>
      <c r="BR5232" s="497">
        <v>64.039999999999992</v>
      </c>
      <c r="BT5232" s="42"/>
    </row>
    <row r="5233" spans="1:72" x14ac:dyDescent="0.25">
      <c r="A5233" s="90">
        <v>34917</v>
      </c>
      <c r="B5233" s="20">
        <v>0.29166666666666669</v>
      </c>
      <c r="D5233">
        <v>73.94</v>
      </c>
      <c r="E5233" t="str">
        <f t="shared" si="198"/>
        <v>SUNDAY</v>
      </c>
      <c r="F5233" t="e">
        <f t="shared" si="199"/>
        <v>#N/A</v>
      </c>
      <c r="G5233" s="74">
        <v>31995</v>
      </c>
      <c r="H5233" s="77">
        <v>0.29166666666666669</v>
      </c>
      <c r="J5233">
        <v>66.92</v>
      </c>
      <c r="M5233" s="74">
        <v>34552</v>
      </c>
      <c r="N5233" s="77">
        <v>0.29166666666666669</v>
      </c>
      <c r="P5233">
        <v>54.86</v>
      </c>
      <c r="S5233" s="74">
        <v>34917</v>
      </c>
      <c r="T5233" s="77">
        <v>0.29166666666666669</v>
      </c>
      <c r="V5233">
        <v>73.039999999999992</v>
      </c>
      <c r="X5233" s="42"/>
      <c r="AB5233">
        <v>71.599999999999994</v>
      </c>
      <c r="AC5233">
        <v>71.960000000000008</v>
      </c>
      <c r="AE5233" s="74"/>
      <c r="AF5233" s="77"/>
      <c r="AH5233" s="497">
        <v>55.94</v>
      </c>
      <c r="AJ5233" s="42"/>
      <c r="AK5233" s="74"/>
      <c r="AL5233" s="77"/>
      <c r="AN5233" s="497">
        <v>60.980000000000004</v>
      </c>
      <c r="AP5233" s="42"/>
      <c r="AQ5233" s="74"/>
      <c r="AR5233" s="77"/>
      <c r="AT5233" s="497">
        <v>66.92</v>
      </c>
      <c r="AV5233" s="42"/>
      <c r="AW5233" s="74"/>
      <c r="AX5233" s="77"/>
      <c r="BA5233" s="497">
        <v>60.980000000000004</v>
      </c>
      <c r="BB5233" s="42"/>
      <c r="BC5233" s="74"/>
      <c r="BD5233" s="77"/>
      <c r="BF5233">
        <v>68</v>
      </c>
      <c r="BH5233" s="42"/>
      <c r="BI5233" s="74"/>
      <c r="BJ5233" s="77"/>
      <c r="BL5233" s="497">
        <v>69.080000000000013</v>
      </c>
      <c r="BN5233" s="42"/>
      <c r="BO5233" s="74"/>
      <c r="BP5233" s="77"/>
      <c r="BR5233" s="497">
        <v>71.06</v>
      </c>
      <c r="BT5233" s="42"/>
    </row>
    <row r="5234" spans="1:72" x14ac:dyDescent="0.25">
      <c r="A5234" s="90">
        <v>34917</v>
      </c>
      <c r="B5234" s="20">
        <v>0.33333333333333331</v>
      </c>
      <c r="D5234">
        <v>75.92</v>
      </c>
      <c r="E5234" t="str">
        <f t="shared" si="198"/>
        <v>SUNDAY</v>
      </c>
      <c r="F5234" t="e">
        <f t="shared" si="199"/>
        <v>#N/A</v>
      </c>
      <c r="G5234" s="74">
        <v>31995</v>
      </c>
      <c r="H5234" s="77">
        <v>0.33333333333333331</v>
      </c>
      <c r="J5234">
        <v>68</v>
      </c>
      <c r="M5234" s="74">
        <v>34552</v>
      </c>
      <c r="N5234" s="77">
        <v>0.33333333333333331</v>
      </c>
      <c r="P5234">
        <v>57.92</v>
      </c>
      <c r="S5234" s="74">
        <v>34917</v>
      </c>
      <c r="T5234" s="77">
        <v>0.33333333333333331</v>
      </c>
      <c r="V5234">
        <v>71.960000000000008</v>
      </c>
      <c r="X5234" s="42"/>
      <c r="AB5234">
        <v>73.7</v>
      </c>
      <c r="AC5234">
        <v>73.039999999999992</v>
      </c>
      <c r="AE5234" s="74"/>
      <c r="AF5234" s="77"/>
      <c r="AH5234" s="497">
        <v>59</v>
      </c>
      <c r="AJ5234" s="42"/>
      <c r="AK5234" s="74"/>
      <c r="AL5234" s="77"/>
      <c r="AN5234" s="497">
        <v>66.02</v>
      </c>
      <c r="AP5234" s="42"/>
      <c r="AQ5234" s="74"/>
      <c r="AR5234" s="77"/>
      <c r="AT5234" s="497">
        <v>69.98</v>
      </c>
      <c r="AV5234" s="42"/>
      <c r="AW5234" s="74"/>
      <c r="AX5234" s="77"/>
      <c r="BA5234" s="497">
        <v>64.94</v>
      </c>
      <c r="BB5234" s="42"/>
      <c r="BC5234" s="74"/>
      <c r="BD5234" s="77"/>
      <c r="BF5234">
        <v>71.06</v>
      </c>
      <c r="BH5234" s="42"/>
      <c r="BI5234" s="74"/>
      <c r="BJ5234" s="77"/>
      <c r="BL5234" s="497">
        <v>69.080000000000013</v>
      </c>
      <c r="BN5234" s="42"/>
      <c r="BO5234" s="74"/>
      <c r="BP5234" s="77"/>
      <c r="BR5234" s="497">
        <v>73.94</v>
      </c>
      <c r="BT5234" s="42"/>
    </row>
    <row r="5235" spans="1:72" x14ac:dyDescent="0.25">
      <c r="A5235" s="90">
        <v>34917</v>
      </c>
      <c r="B5235" s="20">
        <v>0.375</v>
      </c>
      <c r="D5235">
        <v>78.98</v>
      </c>
      <c r="E5235" t="str">
        <f t="shared" si="198"/>
        <v>SUNDAY</v>
      </c>
      <c r="F5235" t="e">
        <f t="shared" si="199"/>
        <v>#N/A</v>
      </c>
      <c r="G5235" s="74">
        <v>31995</v>
      </c>
      <c r="H5235" s="77">
        <v>0.375</v>
      </c>
      <c r="J5235">
        <v>68</v>
      </c>
      <c r="M5235" s="74">
        <v>34552</v>
      </c>
      <c r="N5235" s="77">
        <v>0.375</v>
      </c>
      <c r="P5235">
        <v>60.980000000000004</v>
      </c>
      <c r="S5235" s="74">
        <v>34917</v>
      </c>
      <c r="T5235" s="77">
        <v>0.375</v>
      </c>
      <c r="V5235">
        <v>71.06</v>
      </c>
      <c r="X5235" s="42"/>
      <c r="AB5235">
        <v>75.7</v>
      </c>
      <c r="AC5235">
        <v>73.94</v>
      </c>
      <c r="AE5235" s="74"/>
      <c r="AF5235" s="77"/>
      <c r="AH5235" s="497">
        <v>61.88</v>
      </c>
      <c r="AJ5235" s="42"/>
      <c r="AK5235" s="74"/>
      <c r="AL5235" s="77"/>
      <c r="AN5235" s="497">
        <v>69.080000000000013</v>
      </c>
      <c r="AP5235" s="42"/>
      <c r="AQ5235" s="74"/>
      <c r="AR5235" s="77"/>
      <c r="AT5235" s="497">
        <v>73.94</v>
      </c>
      <c r="AV5235" s="42"/>
      <c r="AW5235" s="74"/>
      <c r="AX5235" s="77"/>
      <c r="BA5235" s="497">
        <v>68</v>
      </c>
      <c r="BB5235" s="42"/>
      <c r="BC5235" s="74"/>
      <c r="BD5235" s="77"/>
      <c r="BF5235">
        <v>75.02</v>
      </c>
      <c r="BH5235" s="42"/>
      <c r="BI5235" s="74"/>
      <c r="BJ5235" s="77"/>
      <c r="BL5235" s="497">
        <v>68</v>
      </c>
      <c r="BN5235" s="42"/>
      <c r="BO5235" s="74"/>
      <c r="BP5235" s="77"/>
      <c r="BR5235" s="497">
        <v>73.94</v>
      </c>
      <c r="BT5235" s="42"/>
    </row>
    <row r="5236" spans="1:72" x14ac:dyDescent="0.25">
      <c r="A5236" s="90">
        <v>34917</v>
      </c>
      <c r="B5236" s="20">
        <v>0.41666666666666669</v>
      </c>
      <c r="D5236">
        <v>82.039999999999992</v>
      </c>
      <c r="E5236" t="str">
        <f t="shared" si="198"/>
        <v>SUNDAY</v>
      </c>
      <c r="F5236" t="e">
        <f t="shared" si="199"/>
        <v>#N/A</v>
      </c>
      <c r="G5236" s="74">
        <v>31995</v>
      </c>
      <c r="H5236" s="77">
        <v>0.41666666666666669</v>
      </c>
      <c r="J5236">
        <v>68</v>
      </c>
      <c r="M5236" s="74">
        <v>34552</v>
      </c>
      <c r="N5236" s="77">
        <v>0.41666666666666669</v>
      </c>
      <c r="P5236">
        <v>63.86</v>
      </c>
      <c r="S5236" s="74">
        <v>34917</v>
      </c>
      <c r="T5236" s="77">
        <v>0.41666666666666669</v>
      </c>
      <c r="V5236">
        <v>69.98</v>
      </c>
      <c r="X5236" s="42"/>
      <c r="AB5236">
        <v>77.599999999999994</v>
      </c>
      <c r="AC5236">
        <v>73.039999999999992</v>
      </c>
      <c r="AE5236" s="74"/>
      <c r="AF5236" s="77"/>
      <c r="AH5236" s="497">
        <v>64.94</v>
      </c>
      <c r="AJ5236" s="42"/>
      <c r="AK5236" s="74"/>
      <c r="AL5236" s="77"/>
      <c r="AN5236" s="497">
        <v>71.06</v>
      </c>
      <c r="AP5236" s="42"/>
      <c r="AQ5236" s="74"/>
      <c r="AR5236" s="77"/>
      <c r="AT5236" s="497">
        <v>75.92</v>
      </c>
      <c r="AV5236" s="42"/>
      <c r="AW5236" s="74"/>
      <c r="AX5236" s="77"/>
      <c r="BA5236" s="497">
        <v>69.98</v>
      </c>
      <c r="BB5236" s="42"/>
      <c r="BC5236" s="74"/>
      <c r="BD5236" s="77"/>
      <c r="BF5236">
        <v>78.080000000000013</v>
      </c>
      <c r="BH5236" s="42"/>
      <c r="BI5236" s="74"/>
      <c r="BJ5236" s="77"/>
      <c r="BL5236" s="497">
        <v>66.92</v>
      </c>
      <c r="BN5236" s="42"/>
      <c r="BO5236" s="74"/>
      <c r="BP5236" s="77"/>
      <c r="BR5236" s="497">
        <v>78.080000000000013</v>
      </c>
      <c r="BT5236" s="42"/>
    </row>
    <row r="5237" spans="1:72" x14ac:dyDescent="0.25">
      <c r="A5237" s="90">
        <v>34917</v>
      </c>
      <c r="B5237" s="20">
        <v>0.45833333333333331</v>
      </c>
      <c r="D5237">
        <v>82.94</v>
      </c>
      <c r="E5237" t="str">
        <f t="shared" si="198"/>
        <v>SUNDAY</v>
      </c>
      <c r="F5237" t="e">
        <f t="shared" si="199"/>
        <v>#N/A</v>
      </c>
      <c r="G5237" s="74">
        <v>31995</v>
      </c>
      <c r="H5237" s="77">
        <v>0.45833333333333331</v>
      </c>
      <c r="J5237">
        <v>71.960000000000008</v>
      </c>
      <c r="M5237" s="74">
        <v>34552</v>
      </c>
      <c r="N5237" s="77">
        <v>0.45833333333333331</v>
      </c>
      <c r="P5237">
        <v>66.92</v>
      </c>
      <c r="S5237" s="74">
        <v>34917</v>
      </c>
      <c r="T5237" s="77">
        <v>0.45833333333333331</v>
      </c>
      <c r="V5237">
        <v>69.98</v>
      </c>
      <c r="X5237" s="42"/>
      <c r="AB5237">
        <v>79.099999999999994</v>
      </c>
      <c r="AC5237">
        <v>73.039999999999992</v>
      </c>
      <c r="AE5237" s="74"/>
      <c r="AF5237" s="77"/>
      <c r="AH5237" s="497">
        <v>66.92</v>
      </c>
      <c r="AJ5237" s="42"/>
      <c r="AK5237" s="74"/>
      <c r="AL5237" s="77"/>
      <c r="AN5237" s="497">
        <v>75.92</v>
      </c>
      <c r="AP5237" s="42"/>
      <c r="AQ5237" s="74"/>
      <c r="AR5237" s="77"/>
      <c r="AT5237" s="497">
        <v>80.06</v>
      </c>
      <c r="AV5237" s="42"/>
      <c r="AW5237" s="74"/>
      <c r="AX5237" s="77"/>
      <c r="BA5237" s="497">
        <v>68</v>
      </c>
      <c r="BB5237" s="42"/>
      <c r="BC5237" s="74"/>
      <c r="BD5237" s="77"/>
      <c r="BF5237">
        <v>80.06</v>
      </c>
      <c r="BH5237" s="42"/>
      <c r="BI5237" s="74"/>
      <c r="BJ5237" s="77"/>
      <c r="BL5237" s="497">
        <v>66.92</v>
      </c>
      <c r="BN5237" s="42"/>
      <c r="BO5237" s="74"/>
      <c r="BP5237" s="77"/>
      <c r="BR5237" s="497">
        <v>78.98</v>
      </c>
      <c r="BT5237" s="42"/>
    </row>
    <row r="5238" spans="1:72" x14ac:dyDescent="0.25">
      <c r="A5238" s="90">
        <v>34917</v>
      </c>
      <c r="B5238" s="20">
        <v>0.5</v>
      </c>
      <c r="D5238">
        <v>87.080000000000013</v>
      </c>
      <c r="E5238" t="str">
        <f t="shared" si="198"/>
        <v>SUNDAY</v>
      </c>
      <c r="F5238" t="e">
        <f t="shared" si="199"/>
        <v>#N/A</v>
      </c>
      <c r="G5238" s="74">
        <v>31995</v>
      </c>
      <c r="H5238" s="77">
        <v>0.5</v>
      </c>
      <c r="J5238">
        <v>73.94</v>
      </c>
      <c r="M5238" s="74">
        <v>34552</v>
      </c>
      <c r="N5238" s="77">
        <v>0.5</v>
      </c>
      <c r="P5238">
        <v>68.900000000000006</v>
      </c>
      <c r="S5238" s="74">
        <v>34917</v>
      </c>
      <c r="T5238" s="77">
        <v>0.5</v>
      </c>
      <c r="V5238">
        <v>69.98</v>
      </c>
      <c r="X5238" s="42"/>
      <c r="AB5238">
        <v>80.2</v>
      </c>
      <c r="AC5238">
        <v>73.94</v>
      </c>
      <c r="AE5238" s="74"/>
      <c r="AF5238" s="77"/>
      <c r="AH5238" s="497">
        <v>68.900000000000006</v>
      </c>
      <c r="AJ5238" s="42"/>
      <c r="AK5238" s="74"/>
      <c r="AL5238" s="77"/>
      <c r="AN5238" s="497">
        <v>75.92</v>
      </c>
      <c r="AP5238" s="42"/>
      <c r="AQ5238" s="74"/>
      <c r="AR5238" s="77"/>
      <c r="AT5238" s="497">
        <v>82.039999999999992</v>
      </c>
      <c r="AV5238" s="42"/>
      <c r="AW5238" s="74"/>
      <c r="AX5238" s="77"/>
      <c r="BA5238" s="497">
        <v>71.06</v>
      </c>
      <c r="BB5238" s="42"/>
      <c r="BC5238" s="74"/>
      <c r="BD5238" s="77"/>
      <c r="BF5238">
        <v>80.06</v>
      </c>
      <c r="BH5238" s="42"/>
      <c r="BI5238" s="74"/>
      <c r="BJ5238" s="77"/>
      <c r="BL5238" s="497">
        <v>66.92</v>
      </c>
      <c r="BN5238" s="42"/>
      <c r="BO5238" s="74"/>
      <c r="BP5238" s="77"/>
      <c r="BR5238" s="497">
        <v>78.98</v>
      </c>
      <c r="BT5238" s="42"/>
    </row>
    <row r="5239" spans="1:72" x14ac:dyDescent="0.25">
      <c r="A5239" s="90">
        <v>34917</v>
      </c>
      <c r="B5239" s="20">
        <v>0.54166666666666663</v>
      </c>
      <c r="D5239">
        <v>86</v>
      </c>
      <c r="E5239" t="str">
        <f t="shared" si="198"/>
        <v>SUNDAY</v>
      </c>
      <c r="F5239" t="e">
        <f t="shared" si="199"/>
        <v>#N/A</v>
      </c>
      <c r="G5239" s="74">
        <v>31995</v>
      </c>
      <c r="H5239" s="77">
        <v>0.54166666666666663</v>
      </c>
      <c r="J5239">
        <v>77</v>
      </c>
      <c r="M5239" s="74">
        <v>34552</v>
      </c>
      <c r="N5239" s="77">
        <v>0.54166666666666663</v>
      </c>
      <c r="P5239">
        <v>68.900000000000006</v>
      </c>
      <c r="S5239" s="74">
        <v>34917</v>
      </c>
      <c r="T5239" s="77">
        <v>0.54166666666666663</v>
      </c>
      <c r="V5239">
        <v>71.06</v>
      </c>
      <c r="X5239" s="42"/>
      <c r="AB5239">
        <v>80.900000000000006</v>
      </c>
      <c r="AC5239">
        <v>73.039999999999992</v>
      </c>
      <c r="AE5239" s="74"/>
      <c r="AF5239" s="77"/>
      <c r="AH5239" s="497">
        <v>70.88</v>
      </c>
      <c r="AJ5239" s="42"/>
      <c r="AK5239" s="74"/>
      <c r="AL5239" s="77"/>
      <c r="AN5239" s="497">
        <v>75.92</v>
      </c>
      <c r="AP5239" s="42"/>
      <c r="AQ5239" s="74"/>
      <c r="AR5239" s="77"/>
      <c r="AT5239" s="497">
        <v>82.94</v>
      </c>
      <c r="AV5239" s="42"/>
      <c r="AW5239" s="74"/>
      <c r="AX5239" s="77"/>
      <c r="BA5239" s="497">
        <v>64.94</v>
      </c>
      <c r="BB5239" s="42"/>
      <c r="BC5239" s="74"/>
      <c r="BD5239" s="77"/>
      <c r="BF5239">
        <v>80.960000000000008</v>
      </c>
      <c r="BH5239" s="42"/>
      <c r="BI5239" s="74"/>
      <c r="BJ5239" s="77"/>
      <c r="BL5239" s="497">
        <v>68</v>
      </c>
      <c r="BN5239" s="42"/>
      <c r="BO5239" s="74"/>
      <c r="BP5239" s="77"/>
      <c r="BR5239" s="497">
        <v>80.06</v>
      </c>
      <c r="BT5239" s="42"/>
    </row>
    <row r="5240" spans="1:72" x14ac:dyDescent="0.25">
      <c r="A5240" s="90">
        <v>34917</v>
      </c>
      <c r="B5240" s="20">
        <v>0.58333333333333337</v>
      </c>
      <c r="D5240">
        <v>86</v>
      </c>
      <c r="E5240" t="str">
        <f t="shared" si="198"/>
        <v>SUNDAY</v>
      </c>
      <c r="F5240" t="e">
        <f t="shared" si="199"/>
        <v>#N/A</v>
      </c>
      <c r="G5240" s="74">
        <v>31995</v>
      </c>
      <c r="H5240" s="77">
        <v>0.58333333333333337</v>
      </c>
      <c r="J5240">
        <v>78.080000000000013</v>
      </c>
      <c r="M5240" s="74">
        <v>34552</v>
      </c>
      <c r="N5240" s="77">
        <v>0.58333333333333337</v>
      </c>
      <c r="P5240">
        <v>70.88</v>
      </c>
      <c r="S5240" s="74">
        <v>34917</v>
      </c>
      <c r="T5240" s="77">
        <v>0.58333333333333337</v>
      </c>
      <c r="V5240">
        <v>73.94</v>
      </c>
      <c r="X5240" s="42"/>
      <c r="AB5240">
        <v>81.3</v>
      </c>
      <c r="AC5240">
        <v>73.94</v>
      </c>
      <c r="AE5240" s="74"/>
      <c r="AF5240" s="77"/>
      <c r="AH5240" s="497">
        <v>71.960000000000008</v>
      </c>
      <c r="AJ5240" s="42"/>
      <c r="AK5240" s="74"/>
      <c r="AL5240" s="77"/>
      <c r="AN5240" s="497">
        <v>78.080000000000013</v>
      </c>
      <c r="AP5240" s="42"/>
      <c r="AQ5240" s="74"/>
      <c r="AR5240" s="77"/>
      <c r="AT5240" s="497">
        <v>82.94</v>
      </c>
      <c r="AV5240" s="42"/>
      <c r="AW5240" s="74"/>
      <c r="AX5240" s="77"/>
      <c r="BA5240" s="497">
        <v>62.6</v>
      </c>
      <c r="BB5240" s="42"/>
      <c r="BC5240" s="74"/>
      <c r="BD5240" s="77"/>
      <c r="BF5240">
        <v>80.06</v>
      </c>
      <c r="BH5240" s="42"/>
      <c r="BI5240" s="74"/>
      <c r="BJ5240" s="77"/>
      <c r="BL5240" s="497">
        <v>69.98</v>
      </c>
      <c r="BN5240" s="42"/>
      <c r="BO5240" s="74"/>
      <c r="BP5240" s="77"/>
      <c r="BR5240" s="497">
        <v>80.06</v>
      </c>
      <c r="BT5240" s="42"/>
    </row>
    <row r="5241" spans="1:72" x14ac:dyDescent="0.25">
      <c r="A5241" s="90">
        <v>34917</v>
      </c>
      <c r="B5241" s="20">
        <v>0.625</v>
      </c>
      <c r="D5241">
        <v>84.02</v>
      </c>
      <c r="E5241" t="str">
        <f t="shared" si="198"/>
        <v>SUNDAY</v>
      </c>
      <c r="F5241" t="e">
        <f t="shared" si="199"/>
        <v>#N/A</v>
      </c>
      <c r="G5241" s="74">
        <v>31995</v>
      </c>
      <c r="H5241" s="77">
        <v>0.625</v>
      </c>
      <c r="J5241">
        <v>78.080000000000013</v>
      </c>
      <c r="M5241" s="74">
        <v>34552</v>
      </c>
      <c r="N5241" s="77">
        <v>0.625</v>
      </c>
      <c r="P5241">
        <v>71.960000000000008</v>
      </c>
      <c r="S5241" s="74">
        <v>34917</v>
      </c>
      <c r="T5241" s="77">
        <v>0.625</v>
      </c>
      <c r="V5241">
        <v>73.039999999999992</v>
      </c>
      <c r="X5241" s="42"/>
      <c r="AB5241">
        <v>81.3</v>
      </c>
      <c r="AC5241">
        <v>73.94</v>
      </c>
      <c r="AE5241" s="74"/>
      <c r="AF5241" s="77"/>
      <c r="AH5241" s="497">
        <v>72.86</v>
      </c>
      <c r="AJ5241" s="42"/>
      <c r="AK5241" s="74"/>
      <c r="AL5241" s="77"/>
      <c r="AN5241" s="497">
        <v>78.080000000000013</v>
      </c>
      <c r="AP5241" s="42"/>
      <c r="AQ5241" s="74"/>
      <c r="AR5241" s="77"/>
      <c r="AT5241" s="497">
        <v>82.94</v>
      </c>
      <c r="AV5241" s="42"/>
      <c r="AW5241" s="74"/>
      <c r="AX5241" s="77"/>
      <c r="BA5241" s="497">
        <v>64.039999999999992</v>
      </c>
      <c r="BB5241" s="42"/>
      <c r="BC5241" s="74"/>
      <c r="BD5241" s="77"/>
      <c r="BF5241">
        <v>82.94</v>
      </c>
      <c r="BH5241" s="42"/>
      <c r="BI5241" s="74"/>
      <c r="BJ5241" s="77"/>
      <c r="BL5241" s="497">
        <v>69.98</v>
      </c>
      <c r="BN5241" s="42"/>
      <c r="BO5241" s="74"/>
      <c r="BP5241" s="77"/>
      <c r="BR5241" s="497">
        <v>80.960000000000008</v>
      </c>
      <c r="BT5241" s="42"/>
    </row>
    <row r="5242" spans="1:72" x14ac:dyDescent="0.25">
      <c r="A5242" s="90">
        <v>34917</v>
      </c>
      <c r="B5242" s="20">
        <v>0.66666666666666663</v>
      </c>
      <c r="D5242">
        <v>82.039999999999992</v>
      </c>
      <c r="E5242" t="str">
        <f t="shared" si="198"/>
        <v>SUNDAY</v>
      </c>
      <c r="F5242" t="e">
        <f t="shared" si="199"/>
        <v>#N/A</v>
      </c>
      <c r="G5242" s="74">
        <v>31995</v>
      </c>
      <c r="H5242" s="77">
        <v>0.66666666666666663</v>
      </c>
      <c r="J5242">
        <v>78.080000000000013</v>
      </c>
      <c r="M5242" s="74">
        <v>34552</v>
      </c>
      <c r="N5242" s="77">
        <v>0.66666666666666663</v>
      </c>
      <c r="P5242">
        <v>72.86</v>
      </c>
      <c r="S5242" s="74">
        <v>34917</v>
      </c>
      <c r="T5242" s="77">
        <v>0.66666666666666663</v>
      </c>
      <c r="V5242">
        <v>73.039999999999992</v>
      </c>
      <c r="X5242" s="42"/>
      <c r="AB5242">
        <v>80.8</v>
      </c>
      <c r="AC5242">
        <v>73.94</v>
      </c>
      <c r="AE5242" s="74"/>
      <c r="AF5242" s="77"/>
      <c r="AH5242" s="497">
        <v>72.86</v>
      </c>
      <c r="AJ5242" s="42"/>
      <c r="AK5242" s="74"/>
      <c r="AL5242" s="77"/>
      <c r="AN5242" s="497">
        <v>75.92</v>
      </c>
      <c r="AP5242" s="42"/>
      <c r="AQ5242" s="74"/>
      <c r="AR5242" s="77"/>
      <c r="AT5242" s="497">
        <v>82.94</v>
      </c>
      <c r="AV5242" s="42"/>
      <c r="AW5242" s="74"/>
      <c r="AX5242" s="77"/>
      <c r="BA5242" s="497">
        <v>64.94</v>
      </c>
      <c r="BB5242" s="42"/>
      <c r="BC5242" s="74"/>
      <c r="BD5242" s="77"/>
      <c r="BF5242">
        <v>82.039999999999992</v>
      </c>
      <c r="BH5242" s="42"/>
      <c r="BI5242" s="74"/>
      <c r="BJ5242" s="77"/>
      <c r="BL5242" s="497">
        <v>69.98</v>
      </c>
      <c r="BN5242" s="42"/>
      <c r="BO5242" s="74"/>
      <c r="BP5242" s="77"/>
      <c r="BR5242" s="497">
        <v>82.039999999999992</v>
      </c>
      <c r="BT5242" s="42"/>
    </row>
    <row r="5243" spans="1:72" x14ac:dyDescent="0.25">
      <c r="A5243" s="90">
        <v>34917</v>
      </c>
      <c r="B5243" s="20">
        <v>0.70833333333333337</v>
      </c>
      <c r="D5243">
        <v>82.039999999999992</v>
      </c>
      <c r="E5243" t="str">
        <f t="shared" si="198"/>
        <v>SUNDAY</v>
      </c>
      <c r="F5243" t="e">
        <f t="shared" si="199"/>
        <v>#N/A</v>
      </c>
      <c r="G5243" s="74">
        <v>31995</v>
      </c>
      <c r="H5243" s="77">
        <v>0.70833333333333337</v>
      </c>
      <c r="J5243">
        <v>75.92</v>
      </c>
      <c r="M5243" s="74">
        <v>34552</v>
      </c>
      <c r="N5243" s="77">
        <v>0.70833333333333337</v>
      </c>
      <c r="P5243">
        <v>72.86</v>
      </c>
      <c r="S5243" s="74">
        <v>34917</v>
      </c>
      <c r="T5243" s="77">
        <v>0.70833333333333337</v>
      </c>
      <c r="V5243">
        <v>69.98</v>
      </c>
      <c r="X5243" s="42"/>
      <c r="AB5243">
        <v>80.099999999999994</v>
      </c>
      <c r="AC5243">
        <v>73.94</v>
      </c>
      <c r="AE5243" s="74"/>
      <c r="AF5243" s="77"/>
      <c r="AH5243" s="497">
        <v>71.960000000000008</v>
      </c>
      <c r="AJ5243" s="42"/>
      <c r="AK5243" s="74"/>
      <c r="AL5243" s="77"/>
      <c r="AN5243" s="497">
        <v>75.92</v>
      </c>
      <c r="AP5243" s="42"/>
      <c r="AQ5243" s="74"/>
      <c r="AR5243" s="77"/>
      <c r="AT5243" s="497">
        <v>80.960000000000008</v>
      </c>
      <c r="AV5243" s="42"/>
      <c r="AW5243" s="74"/>
      <c r="AX5243" s="77"/>
      <c r="BA5243" s="497">
        <v>64.94</v>
      </c>
      <c r="BB5243" s="42"/>
      <c r="BC5243" s="74"/>
      <c r="BD5243" s="77"/>
      <c r="BF5243">
        <v>82.039999999999992</v>
      </c>
      <c r="BH5243" s="42"/>
      <c r="BI5243" s="74"/>
      <c r="BJ5243" s="77"/>
      <c r="BL5243" s="497">
        <v>69.98</v>
      </c>
      <c r="BN5243" s="42"/>
      <c r="BO5243" s="74"/>
      <c r="BP5243" s="77"/>
      <c r="BR5243" s="497">
        <v>80.06</v>
      </c>
      <c r="BT5243" s="42"/>
    </row>
    <row r="5244" spans="1:72" x14ac:dyDescent="0.25">
      <c r="A5244" s="90">
        <v>34917</v>
      </c>
      <c r="B5244" s="20">
        <v>0.75</v>
      </c>
      <c r="D5244">
        <v>80.06</v>
      </c>
      <c r="E5244" t="str">
        <f t="shared" si="198"/>
        <v>SUNDAY</v>
      </c>
      <c r="F5244" t="e">
        <f t="shared" si="199"/>
        <v>#N/A</v>
      </c>
      <c r="G5244" s="74">
        <v>31995</v>
      </c>
      <c r="H5244" s="77">
        <v>0.75</v>
      </c>
      <c r="J5244">
        <v>75.02</v>
      </c>
      <c r="M5244" s="74">
        <v>34552</v>
      </c>
      <c r="N5244" s="77">
        <v>0.75</v>
      </c>
      <c r="P5244">
        <v>69.98</v>
      </c>
      <c r="S5244" s="74">
        <v>34917</v>
      </c>
      <c r="T5244" s="77">
        <v>0.75</v>
      </c>
      <c r="V5244">
        <v>68</v>
      </c>
      <c r="X5244" s="42"/>
      <c r="AB5244">
        <v>79</v>
      </c>
      <c r="AC5244">
        <v>73.039999999999992</v>
      </c>
      <c r="AE5244" s="74"/>
      <c r="AF5244" s="77"/>
      <c r="AH5244" s="497">
        <v>70.88</v>
      </c>
      <c r="AJ5244" s="42"/>
      <c r="AK5244" s="74"/>
      <c r="AL5244" s="77"/>
      <c r="AN5244" s="497">
        <v>71.960000000000008</v>
      </c>
      <c r="AP5244" s="42"/>
      <c r="AQ5244" s="74"/>
      <c r="AR5244" s="77"/>
      <c r="AT5244" s="497">
        <v>78.98</v>
      </c>
      <c r="AV5244" s="42"/>
      <c r="AW5244" s="74"/>
      <c r="AX5244" s="77"/>
      <c r="BA5244" s="497">
        <v>64.94</v>
      </c>
      <c r="BB5244" s="42"/>
      <c r="BC5244" s="74"/>
      <c r="BD5244" s="77"/>
      <c r="BF5244">
        <v>80.06</v>
      </c>
      <c r="BH5244" s="42"/>
      <c r="BI5244" s="74"/>
      <c r="BJ5244" s="77"/>
      <c r="BL5244" s="497">
        <v>69.98</v>
      </c>
      <c r="BN5244" s="42"/>
      <c r="BO5244" s="74"/>
      <c r="BP5244" s="77"/>
      <c r="BR5244" s="497">
        <v>80.06</v>
      </c>
      <c r="BT5244" s="42"/>
    </row>
    <row r="5245" spans="1:72" x14ac:dyDescent="0.25">
      <c r="A5245" s="90">
        <v>34917</v>
      </c>
      <c r="B5245" s="20">
        <v>0.79166666666666663</v>
      </c>
      <c r="D5245">
        <v>78.080000000000013</v>
      </c>
      <c r="E5245" t="str">
        <f t="shared" si="198"/>
        <v>SUNDAY</v>
      </c>
      <c r="F5245" t="e">
        <f t="shared" si="199"/>
        <v>#N/A</v>
      </c>
      <c r="G5245" s="74">
        <v>31995</v>
      </c>
      <c r="H5245" s="77">
        <v>0.79166666666666663</v>
      </c>
      <c r="J5245">
        <v>75.02</v>
      </c>
      <c r="M5245" s="74">
        <v>34552</v>
      </c>
      <c r="N5245" s="77">
        <v>0.79166666666666663</v>
      </c>
      <c r="P5245">
        <v>66.92</v>
      </c>
      <c r="S5245" s="74">
        <v>34917</v>
      </c>
      <c r="T5245" s="77">
        <v>0.79166666666666663</v>
      </c>
      <c r="V5245">
        <v>68</v>
      </c>
      <c r="X5245" s="42"/>
      <c r="AB5245">
        <v>77.7</v>
      </c>
      <c r="AC5245">
        <v>69.98</v>
      </c>
      <c r="AE5245" s="74"/>
      <c r="AF5245" s="77"/>
      <c r="AH5245" s="497">
        <v>65.84</v>
      </c>
      <c r="AJ5245" s="42"/>
      <c r="AK5245" s="74"/>
      <c r="AL5245" s="77"/>
      <c r="AN5245" s="497">
        <v>71.06</v>
      </c>
      <c r="AP5245" s="42"/>
      <c r="AQ5245" s="74"/>
      <c r="AR5245" s="77"/>
      <c r="AT5245" s="497">
        <v>75.92</v>
      </c>
      <c r="AV5245" s="42"/>
      <c r="AW5245" s="74"/>
      <c r="AX5245" s="77"/>
      <c r="BA5245" s="497">
        <v>64.94</v>
      </c>
      <c r="BB5245" s="42"/>
      <c r="BC5245" s="74"/>
      <c r="BD5245" s="77"/>
      <c r="BF5245">
        <v>78.98</v>
      </c>
      <c r="BH5245" s="42"/>
      <c r="BI5245" s="74"/>
      <c r="BJ5245" s="77"/>
      <c r="BL5245" s="497">
        <v>68</v>
      </c>
      <c r="BN5245" s="42"/>
      <c r="BO5245" s="74"/>
      <c r="BP5245" s="77"/>
      <c r="BR5245" s="497">
        <v>75.02</v>
      </c>
      <c r="BT5245" s="42"/>
    </row>
    <row r="5246" spans="1:72" x14ac:dyDescent="0.25">
      <c r="A5246" s="90">
        <v>34917</v>
      </c>
      <c r="B5246" s="20">
        <v>0.83333333333333337</v>
      </c>
      <c r="D5246">
        <v>77</v>
      </c>
      <c r="E5246" t="str">
        <f t="shared" si="198"/>
        <v>SUNDAY</v>
      </c>
      <c r="F5246" t="e">
        <f t="shared" si="199"/>
        <v>#N/A</v>
      </c>
      <c r="G5246" s="74">
        <v>31995</v>
      </c>
      <c r="H5246" s="77">
        <v>0.83333333333333337</v>
      </c>
      <c r="J5246">
        <v>73.94</v>
      </c>
      <c r="M5246" s="74">
        <v>34552</v>
      </c>
      <c r="N5246" s="77">
        <v>0.83333333333333337</v>
      </c>
      <c r="P5246">
        <v>60.980000000000004</v>
      </c>
      <c r="S5246" s="74">
        <v>34917</v>
      </c>
      <c r="T5246" s="77">
        <v>0.83333333333333337</v>
      </c>
      <c r="V5246">
        <v>66.92</v>
      </c>
      <c r="X5246" s="42"/>
      <c r="AB5246">
        <v>76.3</v>
      </c>
      <c r="AC5246">
        <v>68</v>
      </c>
      <c r="AE5246" s="74"/>
      <c r="AF5246" s="77"/>
      <c r="AH5246" s="497">
        <v>59</v>
      </c>
      <c r="AJ5246" s="42"/>
      <c r="AK5246" s="74"/>
      <c r="AL5246" s="77"/>
      <c r="AN5246" s="497">
        <v>68</v>
      </c>
      <c r="AP5246" s="42"/>
      <c r="AQ5246" s="74"/>
      <c r="AR5246" s="77"/>
      <c r="AT5246" s="497">
        <v>73.039999999999992</v>
      </c>
      <c r="AV5246" s="42"/>
      <c r="AW5246" s="74"/>
      <c r="AX5246" s="77"/>
      <c r="BA5246" s="497">
        <v>64.94</v>
      </c>
      <c r="BB5246" s="42"/>
      <c r="BC5246" s="74"/>
      <c r="BD5246" s="77"/>
      <c r="BF5246">
        <v>77</v>
      </c>
      <c r="BH5246" s="42"/>
      <c r="BI5246" s="74"/>
      <c r="BJ5246" s="77"/>
      <c r="BL5246" s="497">
        <v>66.92</v>
      </c>
      <c r="BN5246" s="42"/>
      <c r="BO5246" s="74"/>
      <c r="BP5246" s="77"/>
      <c r="BR5246" s="497">
        <v>69.98</v>
      </c>
      <c r="BT5246" s="42"/>
    </row>
    <row r="5247" spans="1:72" x14ac:dyDescent="0.25">
      <c r="A5247" s="90">
        <v>34917</v>
      </c>
      <c r="B5247" s="20">
        <v>0.875</v>
      </c>
      <c r="D5247">
        <v>77</v>
      </c>
      <c r="E5247" t="str">
        <f t="shared" si="198"/>
        <v>SUNDAY</v>
      </c>
      <c r="F5247" t="e">
        <f t="shared" si="199"/>
        <v>#N/A</v>
      </c>
      <c r="G5247" s="74">
        <v>31995</v>
      </c>
      <c r="H5247" s="77">
        <v>0.875</v>
      </c>
      <c r="J5247">
        <v>71.960000000000008</v>
      </c>
      <c r="M5247" s="74">
        <v>34552</v>
      </c>
      <c r="N5247" s="77">
        <v>0.875</v>
      </c>
      <c r="P5247">
        <v>59</v>
      </c>
      <c r="S5247" s="74">
        <v>34917</v>
      </c>
      <c r="T5247" s="77">
        <v>0.875</v>
      </c>
      <c r="V5247">
        <v>66.92</v>
      </c>
      <c r="X5247" s="42"/>
      <c r="AB5247">
        <v>75.400000000000006</v>
      </c>
      <c r="AC5247">
        <v>66.92</v>
      </c>
      <c r="AE5247" s="74"/>
      <c r="AF5247" s="77"/>
      <c r="AH5247" s="497">
        <v>56.84</v>
      </c>
      <c r="AJ5247" s="42"/>
      <c r="AK5247" s="74"/>
      <c r="AL5247" s="77"/>
      <c r="AN5247" s="497">
        <v>66.92</v>
      </c>
      <c r="AP5247" s="42"/>
      <c r="AQ5247" s="74"/>
      <c r="AR5247" s="77"/>
      <c r="AT5247" s="497">
        <v>71.06</v>
      </c>
      <c r="AV5247" s="42"/>
      <c r="AW5247" s="74"/>
      <c r="AX5247" s="77"/>
      <c r="BA5247" s="497">
        <v>64.94</v>
      </c>
      <c r="BB5247" s="42"/>
      <c r="BC5247" s="74"/>
      <c r="BD5247" s="77"/>
      <c r="BF5247">
        <v>75.92</v>
      </c>
      <c r="BH5247" s="42"/>
      <c r="BI5247" s="74"/>
      <c r="BJ5247" s="77"/>
      <c r="BL5247" s="497">
        <v>66.02</v>
      </c>
      <c r="BN5247" s="42"/>
      <c r="BO5247" s="74"/>
      <c r="BP5247" s="77"/>
      <c r="BR5247" s="497">
        <v>66.92</v>
      </c>
      <c r="BT5247" s="42"/>
    </row>
    <row r="5248" spans="1:72" x14ac:dyDescent="0.25">
      <c r="A5248" s="90">
        <v>34917</v>
      </c>
      <c r="B5248" s="20">
        <v>0.91666666666666663</v>
      </c>
      <c r="D5248">
        <v>75.92</v>
      </c>
      <c r="E5248" t="str">
        <f t="shared" si="198"/>
        <v>SUNDAY</v>
      </c>
      <c r="F5248" t="e">
        <f t="shared" si="199"/>
        <v>#N/A</v>
      </c>
      <c r="G5248" s="74">
        <v>31995</v>
      </c>
      <c r="H5248" s="77">
        <v>0.91666666666666663</v>
      </c>
      <c r="J5248">
        <v>71.06</v>
      </c>
      <c r="M5248" s="74">
        <v>34552</v>
      </c>
      <c r="N5248" s="77">
        <v>0.91666666666666663</v>
      </c>
      <c r="P5248">
        <v>56.84</v>
      </c>
      <c r="S5248" s="74">
        <v>34917</v>
      </c>
      <c r="T5248" s="77">
        <v>0.91666666666666663</v>
      </c>
      <c r="V5248">
        <v>68</v>
      </c>
      <c r="X5248" s="42"/>
      <c r="AB5248">
        <v>74.8</v>
      </c>
      <c r="AC5248">
        <v>66.02</v>
      </c>
      <c r="AE5248" s="74"/>
      <c r="AF5248" s="77"/>
      <c r="AH5248" s="497">
        <v>53.96</v>
      </c>
      <c r="AJ5248" s="42"/>
      <c r="AK5248" s="74"/>
      <c r="AL5248" s="77"/>
      <c r="AN5248" s="497">
        <v>66.02</v>
      </c>
      <c r="AP5248" s="42"/>
      <c r="AQ5248" s="74"/>
      <c r="AR5248" s="77"/>
      <c r="AT5248" s="497">
        <v>69.080000000000013</v>
      </c>
      <c r="AV5248" s="42"/>
      <c r="AW5248" s="74"/>
      <c r="AX5248" s="77"/>
      <c r="BA5248" s="497">
        <v>64.94</v>
      </c>
      <c r="BB5248" s="42"/>
      <c r="BC5248" s="74"/>
      <c r="BD5248" s="77"/>
      <c r="BF5248">
        <v>75.02</v>
      </c>
      <c r="BH5248" s="42"/>
      <c r="BI5248" s="74"/>
      <c r="BJ5248" s="77"/>
      <c r="BL5248" s="497">
        <v>64.94</v>
      </c>
      <c r="BN5248" s="42"/>
      <c r="BO5248" s="74"/>
      <c r="BP5248" s="77"/>
      <c r="BR5248" s="497">
        <v>66.02</v>
      </c>
      <c r="BT5248" s="42"/>
    </row>
    <row r="5249" spans="1:72" x14ac:dyDescent="0.25">
      <c r="A5249" s="90">
        <v>34917</v>
      </c>
      <c r="B5249" s="20">
        <v>0.95833333333333337</v>
      </c>
      <c r="D5249">
        <v>75.92</v>
      </c>
      <c r="E5249" t="str">
        <f t="shared" si="198"/>
        <v>SUNDAY</v>
      </c>
      <c r="F5249" t="e">
        <f t="shared" si="199"/>
        <v>#N/A</v>
      </c>
      <c r="G5249" s="74">
        <v>31995</v>
      </c>
      <c r="H5249" s="77">
        <v>0.95833333333333337</v>
      </c>
      <c r="J5249">
        <v>69.98</v>
      </c>
      <c r="M5249" s="74">
        <v>34552</v>
      </c>
      <c r="N5249" s="77">
        <v>0.95833333333333337</v>
      </c>
      <c r="P5249">
        <v>56.84</v>
      </c>
      <c r="S5249" s="74">
        <v>34917</v>
      </c>
      <c r="T5249" s="77">
        <v>0.95833333333333337</v>
      </c>
      <c r="V5249">
        <v>66.92</v>
      </c>
      <c r="X5249" s="42"/>
      <c r="AB5249">
        <v>74.3</v>
      </c>
      <c r="AC5249">
        <v>64.94</v>
      </c>
      <c r="AE5249" s="74"/>
      <c r="AF5249" s="77"/>
      <c r="AH5249" s="497">
        <v>53.96</v>
      </c>
      <c r="AJ5249" s="42"/>
      <c r="AK5249" s="74"/>
      <c r="AL5249" s="77"/>
      <c r="AN5249" s="497">
        <v>64.94</v>
      </c>
      <c r="AP5249" s="42"/>
      <c r="AQ5249" s="74"/>
      <c r="AR5249" s="77"/>
      <c r="AT5249" s="497">
        <v>68</v>
      </c>
      <c r="AV5249" s="42"/>
      <c r="AW5249" s="74"/>
      <c r="AX5249" s="77"/>
      <c r="BA5249" s="497">
        <v>66.02</v>
      </c>
      <c r="BB5249" s="42"/>
      <c r="BC5249" s="74"/>
      <c r="BD5249" s="77"/>
      <c r="BF5249">
        <v>73.94</v>
      </c>
      <c r="BH5249" s="42"/>
      <c r="BI5249" s="74"/>
      <c r="BJ5249" s="77"/>
      <c r="BL5249" s="497">
        <v>64.039999999999992</v>
      </c>
      <c r="BN5249" s="42"/>
      <c r="BO5249" s="74"/>
      <c r="BP5249" s="77"/>
      <c r="BR5249" s="497">
        <v>64.039999999999992</v>
      </c>
      <c r="BT5249" s="42"/>
    </row>
    <row r="5250" spans="1:72" x14ac:dyDescent="0.25">
      <c r="A5250" s="90">
        <v>34917</v>
      </c>
      <c r="B5250" s="20">
        <v>1</v>
      </c>
      <c r="D5250">
        <v>75.02</v>
      </c>
      <c r="E5250" t="str">
        <f t="shared" si="198"/>
        <v>SUNDAY</v>
      </c>
      <c r="F5250" t="e">
        <f t="shared" si="199"/>
        <v>#N/A</v>
      </c>
      <c r="G5250" s="74">
        <v>31995</v>
      </c>
      <c r="H5250" s="77">
        <v>1</v>
      </c>
      <c r="J5250">
        <v>69.98</v>
      </c>
      <c r="M5250" s="74">
        <v>34552</v>
      </c>
      <c r="N5250" s="80">
        <v>1</v>
      </c>
      <c r="P5250">
        <v>56.84</v>
      </c>
      <c r="S5250" s="74">
        <v>34917</v>
      </c>
      <c r="T5250" s="80">
        <v>1</v>
      </c>
      <c r="V5250">
        <v>66.92</v>
      </c>
      <c r="X5250" s="42"/>
      <c r="AB5250">
        <v>73.8</v>
      </c>
      <c r="AC5250">
        <v>62.96</v>
      </c>
      <c r="AE5250" s="74"/>
      <c r="AF5250" s="80"/>
      <c r="AH5250" s="497">
        <v>51.980000000000004</v>
      </c>
      <c r="AJ5250" s="42"/>
      <c r="AK5250" s="74"/>
      <c r="AL5250" s="80"/>
      <c r="AN5250" s="497">
        <v>64.94</v>
      </c>
      <c r="AP5250" s="42"/>
      <c r="AQ5250" s="74"/>
      <c r="AR5250" s="80"/>
      <c r="AT5250" s="497">
        <v>66.02</v>
      </c>
      <c r="AV5250" s="42"/>
      <c r="AW5250" s="74"/>
      <c r="AX5250" s="80"/>
      <c r="BA5250" s="497">
        <v>66.02</v>
      </c>
      <c r="BB5250" s="42"/>
      <c r="BC5250" s="74"/>
      <c r="BD5250" s="80"/>
      <c r="BF5250">
        <v>73.039999999999992</v>
      </c>
      <c r="BH5250" s="42"/>
      <c r="BI5250" s="74"/>
      <c r="BJ5250" s="80"/>
      <c r="BL5250" s="497">
        <v>64.039999999999992</v>
      </c>
      <c r="BN5250" s="42"/>
      <c r="BO5250" s="74"/>
      <c r="BP5250" s="80"/>
      <c r="BR5250" s="497">
        <v>60.980000000000004</v>
      </c>
      <c r="BT5250" s="42"/>
    </row>
    <row r="5251" spans="1:72" x14ac:dyDescent="0.25">
      <c r="A5251" s="90">
        <v>34918</v>
      </c>
      <c r="B5251" s="20">
        <v>4.1666666666666664E-2</v>
      </c>
      <c r="D5251">
        <v>73.039999999999992</v>
      </c>
      <c r="E5251" t="str">
        <f t="shared" si="198"/>
        <v>WEEKDAY</v>
      </c>
      <c r="F5251" t="e">
        <f t="shared" si="199"/>
        <v>#N/A</v>
      </c>
      <c r="G5251" s="74">
        <v>31996</v>
      </c>
      <c r="H5251" s="77">
        <v>4.1666666666666664E-2</v>
      </c>
      <c r="J5251">
        <v>69.98</v>
      </c>
      <c r="M5251" s="74">
        <v>34553</v>
      </c>
      <c r="N5251" s="77">
        <v>4.1666666666666664E-2</v>
      </c>
      <c r="P5251">
        <v>55.94</v>
      </c>
      <c r="S5251" s="74">
        <v>34918</v>
      </c>
      <c r="T5251" s="77">
        <v>4.1666666666666664E-2</v>
      </c>
      <c r="V5251">
        <v>66.92</v>
      </c>
      <c r="X5251" s="42"/>
      <c r="AB5251">
        <v>73.099999999999994</v>
      </c>
      <c r="AC5251">
        <v>62.06</v>
      </c>
      <c r="AE5251" s="74"/>
      <c r="AF5251" s="77"/>
      <c r="AH5251" s="497">
        <v>50.900000000000006</v>
      </c>
      <c r="AJ5251" s="42"/>
      <c r="AK5251" s="74"/>
      <c r="AL5251" s="77"/>
      <c r="AN5251" s="497">
        <v>64.039999999999992</v>
      </c>
      <c r="AP5251" s="42"/>
      <c r="AQ5251" s="74"/>
      <c r="AR5251" s="77"/>
      <c r="AT5251" s="497">
        <v>66.02</v>
      </c>
      <c r="AV5251" s="42"/>
      <c r="AW5251" s="74"/>
      <c r="AX5251" s="77"/>
      <c r="BA5251" s="497">
        <v>66.92</v>
      </c>
      <c r="BB5251" s="42"/>
      <c r="BC5251" s="74"/>
      <c r="BD5251" s="77"/>
      <c r="BF5251">
        <v>73.039999999999992</v>
      </c>
      <c r="BH5251" s="42"/>
      <c r="BI5251" s="74"/>
      <c r="BJ5251" s="77"/>
      <c r="BL5251" s="497">
        <v>64.039999999999992</v>
      </c>
      <c r="BN5251" s="42"/>
      <c r="BO5251" s="74"/>
      <c r="BP5251" s="77"/>
      <c r="BR5251" s="497">
        <v>60.08</v>
      </c>
      <c r="BT5251" s="42"/>
    </row>
    <row r="5252" spans="1:72" x14ac:dyDescent="0.25">
      <c r="A5252" s="90">
        <v>34918</v>
      </c>
      <c r="B5252" s="20">
        <v>8.3333333333333329E-2</v>
      </c>
      <c r="D5252">
        <v>73.039999999999992</v>
      </c>
      <c r="E5252" t="str">
        <f t="shared" si="198"/>
        <v>WEEKDAY</v>
      </c>
      <c r="F5252" t="e">
        <f t="shared" si="199"/>
        <v>#N/A</v>
      </c>
      <c r="G5252" s="74">
        <v>31996</v>
      </c>
      <c r="H5252" s="77">
        <v>8.3333333333333329E-2</v>
      </c>
      <c r="J5252">
        <v>69.080000000000013</v>
      </c>
      <c r="M5252" s="74">
        <v>34553</v>
      </c>
      <c r="N5252" s="77">
        <v>8.3333333333333329E-2</v>
      </c>
      <c r="P5252">
        <v>54.86</v>
      </c>
      <c r="S5252" s="74">
        <v>34918</v>
      </c>
      <c r="T5252" s="77">
        <v>8.3333333333333329E-2</v>
      </c>
      <c r="V5252">
        <v>66.92</v>
      </c>
      <c r="X5252" s="42"/>
      <c r="AB5252">
        <v>72.5</v>
      </c>
      <c r="AC5252">
        <v>62.96</v>
      </c>
      <c r="AE5252" s="74"/>
      <c r="AF5252" s="77"/>
      <c r="AH5252" s="497">
        <v>50</v>
      </c>
      <c r="AJ5252" s="42"/>
      <c r="AK5252" s="74"/>
      <c r="AL5252" s="77"/>
      <c r="AN5252" s="497">
        <v>62.96</v>
      </c>
      <c r="AP5252" s="42"/>
      <c r="AQ5252" s="74"/>
      <c r="AR5252" s="77"/>
      <c r="AT5252" s="497">
        <v>64.94</v>
      </c>
      <c r="AV5252" s="42"/>
      <c r="AW5252" s="74"/>
      <c r="AX5252" s="77"/>
      <c r="BA5252" s="497">
        <v>66.92</v>
      </c>
      <c r="BB5252" s="42"/>
      <c r="BC5252" s="74"/>
      <c r="BD5252" s="77"/>
      <c r="BF5252">
        <v>68</v>
      </c>
      <c r="BH5252" s="42"/>
      <c r="BI5252" s="74"/>
      <c r="BJ5252" s="77"/>
      <c r="BL5252" s="497">
        <v>64.94</v>
      </c>
      <c r="BN5252" s="42"/>
      <c r="BO5252" s="74"/>
      <c r="BP5252" s="77"/>
      <c r="BR5252" s="497">
        <v>59</v>
      </c>
      <c r="BT5252" s="42"/>
    </row>
    <row r="5253" spans="1:72" x14ac:dyDescent="0.25">
      <c r="A5253" s="90">
        <v>34918</v>
      </c>
      <c r="B5253" s="20">
        <v>0.125</v>
      </c>
      <c r="D5253">
        <v>71.960000000000008</v>
      </c>
      <c r="E5253" t="str">
        <f t="shared" si="198"/>
        <v>WEEKDAY</v>
      </c>
      <c r="F5253" t="e">
        <f t="shared" si="199"/>
        <v>#N/A</v>
      </c>
      <c r="G5253" s="74">
        <v>31996</v>
      </c>
      <c r="H5253" s="77">
        <v>0.125</v>
      </c>
      <c r="J5253">
        <v>69.98</v>
      </c>
      <c r="M5253" s="74">
        <v>34553</v>
      </c>
      <c r="N5253" s="77">
        <v>0.125</v>
      </c>
      <c r="P5253">
        <v>54.14</v>
      </c>
      <c r="S5253" s="74">
        <v>34918</v>
      </c>
      <c r="T5253" s="77">
        <v>0.125</v>
      </c>
      <c r="V5253">
        <v>66.02</v>
      </c>
      <c r="X5253" s="42"/>
      <c r="AB5253">
        <v>72</v>
      </c>
      <c r="AC5253">
        <v>62.96</v>
      </c>
      <c r="AE5253" s="74"/>
      <c r="AF5253" s="77"/>
      <c r="AH5253" s="497">
        <v>48.92</v>
      </c>
      <c r="AJ5253" s="42"/>
      <c r="AK5253" s="74"/>
      <c r="AL5253" s="77"/>
      <c r="AN5253" s="497">
        <v>64.039999999999992</v>
      </c>
      <c r="AP5253" s="42"/>
      <c r="AQ5253" s="74"/>
      <c r="AR5253" s="77"/>
      <c r="AT5253" s="497">
        <v>64.94</v>
      </c>
      <c r="AV5253" s="42"/>
      <c r="AW5253" s="74"/>
      <c r="AX5253" s="77"/>
      <c r="BA5253" s="497">
        <v>68</v>
      </c>
      <c r="BB5253" s="42"/>
      <c r="BC5253" s="74"/>
      <c r="BD5253" s="77"/>
      <c r="BF5253">
        <v>68</v>
      </c>
      <c r="BH5253" s="42"/>
      <c r="BI5253" s="74"/>
      <c r="BJ5253" s="77"/>
      <c r="BL5253" s="497">
        <v>64.94</v>
      </c>
      <c r="BN5253" s="42"/>
      <c r="BO5253" s="74"/>
      <c r="BP5253" s="77"/>
      <c r="BR5253" s="497">
        <v>57.019999999999996</v>
      </c>
      <c r="BT5253" s="42"/>
    </row>
    <row r="5254" spans="1:72" x14ac:dyDescent="0.25">
      <c r="A5254" s="90">
        <v>34918</v>
      </c>
      <c r="B5254" s="20">
        <v>0.16666666666666666</v>
      </c>
      <c r="D5254">
        <v>71.06</v>
      </c>
      <c r="E5254" t="str">
        <f t="shared" si="198"/>
        <v>WEEKDAY</v>
      </c>
      <c r="F5254" t="e">
        <f t="shared" si="199"/>
        <v>#N/A</v>
      </c>
      <c r="G5254" s="74">
        <v>31996</v>
      </c>
      <c r="H5254" s="77">
        <v>0.16666666666666666</v>
      </c>
      <c r="J5254">
        <v>69.98</v>
      </c>
      <c r="M5254" s="74">
        <v>34553</v>
      </c>
      <c r="N5254" s="77">
        <v>0.16666666666666666</v>
      </c>
      <c r="P5254">
        <v>52.879999999999995</v>
      </c>
      <c r="S5254" s="74">
        <v>34918</v>
      </c>
      <c r="T5254" s="77">
        <v>0.16666666666666666</v>
      </c>
      <c r="V5254">
        <v>64.94</v>
      </c>
      <c r="X5254" s="42"/>
      <c r="AB5254">
        <v>71.5</v>
      </c>
      <c r="AC5254">
        <v>62.06</v>
      </c>
      <c r="AE5254" s="74"/>
      <c r="AF5254" s="77"/>
      <c r="AH5254" s="497">
        <v>47.84</v>
      </c>
      <c r="AJ5254" s="42"/>
      <c r="AK5254" s="74"/>
      <c r="AL5254" s="77"/>
      <c r="AN5254" s="497">
        <v>62.06</v>
      </c>
      <c r="AP5254" s="42"/>
      <c r="AQ5254" s="74"/>
      <c r="AR5254" s="77"/>
      <c r="AT5254" s="497">
        <v>64.94</v>
      </c>
      <c r="AV5254" s="42"/>
      <c r="AW5254" s="74"/>
      <c r="AX5254" s="77"/>
      <c r="BA5254" s="497">
        <v>69.98</v>
      </c>
      <c r="BB5254" s="42"/>
      <c r="BC5254" s="74"/>
      <c r="BD5254" s="77"/>
      <c r="BF5254">
        <v>68</v>
      </c>
      <c r="BH5254" s="42"/>
      <c r="BI5254" s="74"/>
      <c r="BJ5254" s="77"/>
      <c r="BL5254" s="497">
        <v>64.039999999999992</v>
      </c>
      <c r="BN5254" s="42"/>
      <c r="BO5254" s="74"/>
      <c r="BP5254" s="77"/>
      <c r="BR5254" s="497">
        <v>55.94</v>
      </c>
      <c r="BT5254" s="42"/>
    </row>
    <row r="5255" spans="1:72" x14ac:dyDescent="0.25">
      <c r="A5255" s="90">
        <v>34918</v>
      </c>
      <c r="B5255" s="20">
        <v>0.20833333333333334</v>
      </c>
      <c r="D5255">
        <v>69.98</v>
      </c>
      <c r="E5255" t="str">
        <f t="shared" si="198"/>
        <v>WEEKDAY</v>
      </c>
      <c r="F5255" t="e">
        <f t="shared" si="199"/>
        <v>#N/A</v>
      </c>
      <c r="G5255" s="74">
        <v>31996</v>
      </c>
      <c r="H5255" s="77">
        <v>0.20833333333333334</v>
      </c>
      <c r="J5255">
        <v>69.080000000000013</v>
      </c>
      <c r="M5255" s="74">
        <v>34553</v>
      </c>
      <c r="N5255" s="77">
        <v>0.20833333333333334</v>
      </c>
      <c r="P5255">
        <v>52.879999999999995</v>
      </c>
      <c r="S5255" s="74">
        <v>34918</v>
      </c>
      <c r="T5255" s="77">
        <v>0.20833333333333334</v>
      </c>
      <c r="V5255">
        <v>66.92</v>
      </c>
      <c r="X5255" s="42"/>
      <c r="AB5255">
        <v>71</v>
      </c>
      <c r="AC5255">
        <v>62.06</v>
      </c>
      <c r="AE5255" s="74"/>
      <c r="AF5255" s="77"/>
      <c r="AH5255" s="497">
        <v>47.84</v>
      </c>
      <c r="AJ5255" s="42"/>
      <c r="AK5255" s="74"/>
      <c r="AL5255" s="77"/>
      <c r="AN5255" s="497">
        <v>62.96</v>
      </c>
      <c r="AP5255" s="42"/>
      <c r="AQ5255" s="74"/>
      <c r="AR5255" s="77"/>
      <c r="AT5255" s="497">
        <v>64.039999999999992</v>
      </c>
      <c r="AV5255" s="42"/>
      <c r="AW5255" s="74"/>
      <c r="AX5255" s="77"/>
      <c r="BA5255" s="497">
        <v>69.080000000000013</v>
      </c>
      <c r="BB5255" s="42"/>
      <c r="BC5255" s="74"/>
      <c r="BD5255" s="77"/>
      <c r="BF5255">
        <v>68</v>
      </c>
      <c r="BH5255" s="42"/>
      <c r="BI5255" s="74"/>
      <c r="BJ5255" s="77"/>
      <c r="BL5255" s="497">
        <v>62.96</v>
      </c>
      <c r="BN5255" s="42"/>
      <c r="BO5255" s="74"/>
      <c r="BP5255" s="77"/>
      <c r="BR5255" s="497">
        <v>57.019999999999996</v>
      </c>
      <c r="BT5255" s="42"/>
    </row>
    <row r="5256" spans="1:72" x14ac:dyDescent="0.25">
      <c r="A5256" s="90">
        <v>34918</v>
      </c>
      <c r="B5256" s="20">
        <v>0.25</v>
      </c>
      <c r="D5256">
        <v>71.06</v>
      </c>
      <c r="E5256" t="str">
        <f t="shared" si="198"/>
        <v>WEEKDAY</v>
      </c>
      <c r="F5256" t="e">
        <f t="shared" si="199"/>
        <v>#N/A</v>
      </c>
      <c r="G5256" s="74">
        <v>31996</v>
      </c>
      <c r="H5256" s="77">
        <v>0.25</v>
      </c>
      <c r="J5256">
        <v>69.080000000000013</v>
      </c>
      <c r="M5256" s="74">
        <v>34553</v>
      </c>
      <c r="N5256" s="77">
        <v>0.25</v>
      </c>
      <c r="P5256">
        <v>54.86</v>
      </c>
      <c r="S5256" s="74">
        <v>34918</v>
      </c>
      <c r="T5256" s="77">
        <v>0.25</v>
      </c>
      <c r="V5256">
        <v>66.92</v>
      </c>
      <c r="X5256" s="42"/>
      <c r="AB5256">
        <v>70.7</v>
      </c>
      <c r="AC5256">
        <v>62.96</v>
      </c>
      <c r="AE5256" s="74"/>
      <c r="AF5256" s="77"/>
      <c r="AH5256" s="497">
        <v>50</v>
      </c>
      <c r="AJ5256" s="42"/>
      <c r="AK5256" s="74"/>
      <c r="AL5256" s="77"/>
      <c r="AN5256" s="497">
        <v>62.06</v>
      </c>
      <c r="AP5256" s="42"/>
      <c r="AQ5256" s="74"/>
      <c r="AR5256" s="77"/>
      <c r="AT5256" s="497">
        <v>66.92</v>
      </c>
      <c r="AV5256" s="42"/>
      <c r="AW5256" s="74"/>
      <c r="AX5256" s="77"/>
      <c r="BA5256" s="497">
        <v>71.599999999999994</v>
      </c>
      <c r="BB5256" s="42"/>
      <c r="BC5256" s="74"/>
      <c r="BD5256" s="77"/>
      <c r="BF5256">
        <v>69.080000000000013</v>
      </c>
      <c r="BH5256" s="42"/>
      <c r="BI5256" s="74"/>
      <c r="BJ5256" s="77"/>
      <c r="BL5256" s="497">
        <v>62.96</v>
      </c>
      <c r="BN5256" s="42"/>
      <c r="BO5256" s="74"/>
      <c r="BP5256" s="77"/>
      <c r="BR5256" s="497">
        <v>59</v>
      </c>
      <c r="BT5256" s="42"/>
    </row>
    <row r="5257" spans="1:72" x14ac:dyDescent="0.25">
      <c r="A5257" s="90">
        <v>34918</v>
      </c>
      <c r="B5257" s="20">
        <v>0.29166666666666669</v>
      </c>
      <c r="D5257">
        <v>71.960000000000008</v>
      </c>
      <c r="E5257" t="str">
        <f t="shared" si="198"/>
        <v>WEEKDAY</v>
      </c>
      <c r="F5257" t="e">
        <f t="shared" si="199"/>
        <v>#N/A</v>
      </c>
      <c r="G5257" s="74">
        <v>31996</v>
      </c>
      <c r="H5257" s="77">
        <v>0.29166666666666669</v>
      </c>
      <c r="J5257">
        <v>69.98</v>
      </c>
      <c r="M5257" s="74">
        <v>34553</v>
      </c>
      <c r="N5257" s="77">
        <v>0.29166666666666669</v>
      </c>
      <c r="P5257">
        <v>60.980000000000004</v>
      </c>
      <c r="S5257" s="74">
        <v>34918</v>
      </c>
      <c r="T5257" s="77">
        <v>0.29166666666666669</v>
      </c>
      <c r="V5257">
        <v>66.92</v>
      </c>
      <c r="X5257" s="42"/>
      <c r="AB5257">
        <v>71.5</v>
      </c>
      <c r="AC5257">
        <v>66.02</v>
      </c>
      <c r="AE5257" s="74"/>
      <c r="AF5257" s="77"/>
      <c r="AH5257" s="497">
        <v>55.94</v>
      </c>
      <c r="AJ5257" s="42"/>
      <c r="AK5257" s="74"/>
      <c r="AL5257" s="77"/>
      <c r="AN5257" s="497">
        <v>66.02</v>
      </c>
      <c r="AP5257" s="42"/>
      <c r="AQ5257" s="74"/>
      <c r="AR5257" s="77"/>
      <c r="AT5257" s="497">
        <v>69.080000000000013</v>
      </c>
      <c r="AV5257" s="42"/>
      <c r="AW5257" s="74"/>
      <c r="AX5257" s="77"/>
      <c r="BA5257" s="497">
        <v>69.98</v>
      </c>
      <c r="BB5257" s="42"/>
      <c r="BC5257" s="74"/>
      <c r="BD5257" s="77"/>
      <c r="BF5257">
        <v>69.98</v>
      </c>
      <c r="BH5257" s="42"/>
      <c r="BI5257" s="74"/>
      <c r="BJ5257" s="77"/>
      <c r="BL5257" s="497">
        <v>64.039999999999992</v>
      </c>
      <c r="BN5257" s="42"/>
      <c r="BO5257" s="74"/>
      <c r="BP5257" s="77"/>
      <c r="BR5257" s="497">
        <v>66.92</v>
      </c>
      <c r="BT5257" s="42"/>
    </row>
    <row r="5258" spans="1:72" x14ac:dyDescent="0.25">
      <c r="A5258" s="90">
        <v>34918</v>
      </c>
      <c r="B5258" s="20">
        <v>0.33333333333333331</v>
      </c>
      <c r="D5258">
        <v>73.94</v>
      </c>
      <c r="E5258" t="str">
        <f t="shared" si="198"/>
        <v>WEEKDAY</v>
      </c>
      <c r="F5258" t="e">
        <f t="shared" si="199"/>
        <v>#N/A</v>
      </c>
      <c r="G5258" s="74">
        <v>31996</v>
      </c>
      <c r="H5258" s="77">
        <v>0.33333333333333331</v>
      </c>
      <c r="J5258">
        <v>71.960000000000008</v>
      </c>
      <c r="M5258" s="74">
        <v>34553</v>
      </c>
      <c r="N5258" s="77">
        <v>0.33333333333333331</v>
      </c>
      <c r="P5258">
        <v>64.94</v>
      </c>
      <c r="S5258" s="74">
        <v>34918</v>
      </c>
      <c r="T5258" s="77">
        <v>0.33333333333333331</v>
      </c>
      <c r="V5258">
        <v>68</v>
      </c>
      <c r="X5258" s="42"/>
      <c r="AB5258">
        <v>73.599999999999994</v>
      </c>
      <c r="AC5258">
        <v>68</v>
      </c>
      <c r="AE5258" s="74"/>
      <c r="AF5258" s="77"/>
      <c r="AH5258" s="497">
        <v>66.92</v>
      </c>
      <c r="AJ5258" s="42"/>
      <c r="AK5258" s="74"/>
      <c r="AL5258" s="77"/>
      <c r="AN5258" s="497">
        <v>69.080000000000013</v>
      </c>
      <c r="AP5258" s="42"/>
      <c r="AQ5258" s="74"/>
      <c r="AR5258" s="77"/>
      <c r="AT5258" s="497">
        <v>69.98</v>
      </c>
      <c r="AV5258" s="42"/>
      <c r="AW5258" s="74"/>
      <c r="AX5258" s="77"/>
      <c r="BA5258" s="497">
        <v>69.98</v>
      </c>
      <c r="BB5258" s="42"/>
      <c r="BC5258" s="74"/>
      <c r="BD5258" s="77"/>
      <c r="BF5258">
        <v>71.06</v>
      </c>
      <c r="BH5258" s="42"/>
      <c r="BI5258" s="74"/>
      <c r="BJ5258" s="77"/>
      <c r="BL5258" s="497">
        <v>66.02</v>
      </c>
      <c r="BN5258" s="42"/>
      <c r="BO5258" s="74"/>
      <c r="BP5258" s="77"/>
      <c r="BR5258" s="497">
        <v>69.080000000000013</v>
      </c>
      <c r="BT5258" s="42"/>
    </row>
    <row r="5259" spans="1:72" x14ac:dyDescent="0.25">
      <c r="A5259" s="90">
        <v>34918</v>
      </c>
      <c r="B5259" s="20">
        <v>0.375</v>
      </c>
      <c r="D5259">
        <v>75.92</v>
      </c>
      <c r="E5259" t="str">
        <f t="shared" si="198"/>
        <v>WEEKDAY</v>
      </c>
      <c r="F5259" t="e">
        <f t="shared" si="199"/>
        <v>#N/A</v>
      </c>
      <c r="G5259" s="74">
        <v>31996</v>
      </c>
      <c r="H5259" s="77">
        <v>0.375</v>
      </c>
      <c r="J5259">
        <v>75.02</v>
      </c>
      <c r="M5259" s="74">
        <v>34553</v>
      </c>
      <c r="N5259" s="77">
        <v>0.375</v>
      </c>
      <c r="P5259">
        <v>69.98</v>
      </c>
      <c r="S5259" s="74">
        <v>34918</v>
      </c>
      <c r="T5259" s="77">
        <v>0.375</v>
      </c>
      <c r="V5259">
        <v>71.06</v>
      </c>
      <c r="X5259" s="42"/>
      <c r="AB5259">
        <v>75.599999999999994</v>
      </c>
      <c r="AC5259">
        <v>69.98</v>
      </c>
      <c r="AE5259" s="74"/>
      <c r="AF5259" s="77"/>
      <c r="AH5259" s="497">
        <v>68.539999999999992</v>
      </c>
      <c r="AJ5259" s="42"/>
      <c r="AK5259" s="74"/>
      <c r="AL5259" s="77"/>
      <c r="AN5259" s="497">
        <v>68</v>
      </c>
      <c r="AP5259" s="42"/>
      <c r="AQ5259" s="74"/>
      <c r="AR5259" s="77"/>
      <c r="AT5259" s="497">
        <v>73.039999999999992</v>
      </c>
      <c r="AV5259" s="42"/>
      <c r="AW5259" s="74"/>
      <c r="AX5259" s="77"/>
      <c r="BA5259" s="497">
        <v>71.960000000000008</v>
      </c>
      <c r="BB5259" s="42"/>
      <c r="BC5259" s="74"/>
      <c r="BD5259" s="77"/>
      <c r="BF5259">
        <v>71.960000000000008</v>
      </c>
      <c r="BH5259" s="42"/>
      <c r="BI5259" s="74"/>
      <c r="BJ5259" s="77"/>
      <c r="BL5259" s="497">
        <v>68</v>
      </c>
      <c r="BN5259" s="42"/>
      <c r="BO5259" s="74"/>
      <c r="BP5259" s="77"/>
      <c r="BR5259" s="497">
        <v>73.039999999999992</v>
      </c>
      <c r="BT5259" s="42"/>
    </row>
    <row r="5260" spans="1:72" x14ac:dyDescent="0.25">
      <c r="A5260" s="90">
        <v>34918</v>
      </c>
      <c r="B5260" s="20">
        <v>0.41666666666666669</v>
      </c>
      <c r="D5260">
        <v>78.080000000000013</v>
      </c>
      <c r="E5260" t="str">
        <f t="shared" si="198"/>
        <v>WEEKDAY</v>
      </c>
      <c r="F5260" t="e">
        <f t="shared" si="199"/>
        <v>#N/A</v>
      </c>
      <c r="G5260" s="74">
        <v>31996</v>
      </c>
      <c r="H5260" s="77">
        <v>0.41666666666666669</v>
      </c>
      <c r="J5260">
        <v>77</v>
      </c>
      <c r="M5260" s="74">
        <v>34553</v>
      </c>
      <c r="N5260" s="77">
        <v>0.41666666666666669</v>
      </c>
      <c r="P5260">
        <v>71.960000000000008</v>
      </c>
      <c r="S5260" s="74">
        <v>34918</v>
      </c>
      <c r="T5260" s="77">
        <v>0.41666666666666669</v>
      </c>
      <c r="V5260">
        <v>71.960000000000008</v>
      </c>
      <c r="X5260" s="42"/>
      <c r="AB5260">
        <v>77.5</v>
      </c>
      <c r="AC5260">
        <v>73.039999999999992</v>
      </c>
      <c r="AE5260" s="74"/>
      <c r="AF5260" s="77"/>
      <c r="AH5260" s="497">
        <v>69.98</v>
      </c>
      <c r="AJ5260" s="42"/>
      <c r="AK5260" s="74"/>
      <c r="AL5260" s="77"/>
      <c r="AN5260" s="497">
        <v>66.92</v>
      </c>
      <c r="AP5260" s="42"/>
      <c r="AQ5260" s="74"/>
      <c r="AR5260" s="77"/>
      <c r="AT5260" s="497">
        <v>75.02</v>
      </c>
      <c r="AV5260" s="42"/>
      <c r="AW5260" s="74"/>
      <c r="AX5260" s="77"/>
      <c r="BA5260" s="497">
        <v>77</v>
      </c>
      <c r="BB5260" s="42"/>
      <c r="BC5260" s="74"/>
      <c r="BD5260" s="77"/>
      <c r="BF5260">
        <v>73.94</v>
      </c>
      <c r="BH5260" s="42"/>
      <c r="BI5260" s="74"/>
      <c r="BJ5260" s="77"/>
      <c r="BL5260" s="497">
        <v>71.06</v>
      </c>
      <c r="BN5260" s="42"/>
      <c r="BO5260" s="74"/>
      <c r="BP5260" s="77"/>
      <c r="BR5260" s="497">
        <v>75.92</v>
      </c>
      <c r="BT5260" s="42"/>
    </row>
    <row r="5261" spans="1:72" x14ac:dyDescent="0.25">
      <c r="A5261" s="90">
        <v>34918</v>
      </c>
      <c r="B5261" s="20">
        <v>0.45833333333333331</v>
      </c>
      <c r="D5261">
        <v>80.960000000000008</v>
      </c>
      <c r="E5261" t="str">
        <f t="shared" si="198"/>
        <v>WEEKDAY</v>
      </c>
      <c r="F5261" t="e">
        <f t="shared" si="199"/>
        <v>#N/A</v>
      </c>
      <c r="G5261" s="74">
        <v>31996</v>
      </c>
      <c r="H5261" s="77">
        <v>0.45833333333333331</v>
      </c>
      <c r="J5261">
        <v>78.080000000000013</v>
      </c>
      <c r="M5261" s="74">
        <v>34553</v>
      </c>
      <c r="N5261" s="77">
        <v>0.45833333333333331</v>
      </c>
      <c r="P5261">
        <v>73.94</v>
      </c>
      <c r="S5261" s="74">
        <v>34918</v>
      </c>
      <c r="T5261" s="77">
        <v>0.45833333333333331</v>
      </c>
      <c r="V5261">
        <v>75.02</v>
      </c>
      <c r="X5261" s="42"/>
      <c r="AB5261">
        <v>79</v>
      </c>
      <c r="AC5261">
        <v>75.02</v>
      </c>
      <c r="AE5261" s="74"/>
      <c r="AF5261" s="77"/>
      <c r="AH5261" s="497">
        <v>73.94</v>
      </c>
      <c r="AJ5261" s="42"/>
      <c r="AK5261" s="74"/>
      <c r="AL5261" s="77"/>
      <c r="AN5261" s="497">
        <v>71.06</v>
      </c>
      <c r="AP5261" s="42"/>
      <c r="AQ5261" s="74"/>
      <c r="AR5261" s="77"/>
      <c r="AT5261" s="497">
        <v>78.080000000000013</v>
      </c>
      <c r="AV5261" s="42"/>
      <c r="AW5261" s="74"/>
      <c r="AX5261" s="77"/>
      <c r="BA5261" s="497">
        <v>80.960000000000008</v>
      </c>
      <c r="BB5261" s="42"/>
      <c r="BC5261" s="74"/>
      <c r="BD5261" s="77"/>
      <c r="BF5261">
        <v>73.94</v>
      </c>
      <c r="BH5261" s="42"/>
      <c r="BI5261" s="74"/>
      <c r="BJ5261" s="77"/>
      <c r="BL5261" s="497">
        <v>69.98</v>
      </c>
      <c r="BN5261" s="42"/>
      <c r="BO5261" s="74"/>
      <c r="BP5261" s="77"/>
      <c r="BR5261" s="497">
        <v>77</v>
      </c>
      <c r="BT5261" s="42"/>
    </row>
    <row r="5262" spans="1:72" x14ac:dyDescent="0.25">
      <c r="A5262" s="90">
        <v>34918</v>
      </c>
      <c r="B5262" s="20">
        <v>0.5</v>
      </c>
      <c r="D5262">
        <v>82.94</v>
      </c>
      <c r="E5262" t="str">
        <f t="shared" si="198"/>
        <v>WEEKDAY</v>
      </c>
      <c r="F5262" t="e">
        <f t="shared" si="199"/>
        <v>#N/A</v>
      </c>
      <c r="G5262" s="74">
        <v>31996</v>
      </c>
      <c r="H5262" s="77">
        <v>0.5</v>
      </c>
      <c r="J5262">
        <v>78.080000000000013</v>
      </c>
      <c r="M5262" s="74">
        <v>34553</v>
      </c>
      <c r="N5262" s="77">
        <v>0.5</v>
      </c>
      <c r="P5262">
        <v>72.86</v>
      </c>
      <c r="S5262" s="74">
        <v>34918</v>
      </c>
      <c r="T5262" s="77">
        <v>0.5</v>
      </c>
      <c r="V5262">
        <v>77</v>
      </c>
      <c r="X5262" s="42"/>
      <c r="AB5262">
        <v>80.099999999999994</v>
      </c>
      <c r="AC5262">
        <v>75.02</v>
      </c>
      <c r="AE5262" s="74"/>
      <c r="AF5262" s="77"/>
      <c r="AH5262" s="497">
        <v>75.92</v>
      </c>
      <c r="AJ5262" s="42"/>
      <c r="AK5262" s="74"/>
      <c r="AL5262" s="77"/>
      <c r="AN5262" s="497">
        <v>71.960000000000008</v>
      </c>
      <c r="AP5262" s="42"/>
      <c r="AQ5262" s="74"/>
      <c r="AR5262" s="77"/>
      <c r="AT5262" s="497">
        <v>80.06</v>
      </c>
      <c r="AV5262" s="42"/>
      <c r="AW5262" s="74"/>
      <c r="AX5262" s="77"/>
      <c r="BA5262" s="497">
        <v>82.039999999999992</v>
      </c>
      <c r="BB5262" s="42"/>
      <c r="BC5262" s="74"/>
      <c r="BD5262" s="77"/>
      <c r="BF5262">
        <v>75.02</v>
      </c>
      <c r="BH5262" s="42"/>
      <c r="BI5262" s="74"/>
      <c r="BJ5262" s="77"/>
      <c r="BL5262" s="497">
        <v>71.960000000000008</v>
      </c>
      <c r="BN5262" s="42"/>
      <c r="BO5262" s="74"/>
      <c r="BP5262" s="77"/>
      <c r="BR5262" s="497">
        <v>77</v>
      </c>
      <c r="BT5262" s="42"/>
    </row>
    <row r="5263" spans="1:72" x14ac:dyDescent="0.25">
      <c r="A5263" s="90">
        <v>34918</v>
      </c>
      <c r="B5263" s="20">
        <v>0.54166666666666663</v>
      </c>
      <c r="D5263">
        <v>82.94</v>
      </c>
      <c r="E5263" t="str">
        <f t="shared" si="198"/>
        <v>WEEKDAY</v>
      </c>
      <c r="F5263" t="e">
        <f t="shared" si="199"/>
        <v>#N/A</v>
      </c>
      <c r="G5263" s="74">
        <v>31996</v>
      </c>
      <c r="H5263" s="77">
        <v>0.54166666666666663</v>
      </c>
      <c r="J5263">
        <v>78.98</v>
      </c>
      <c r="M5263" s="74">
        <v>34553</v>
      </c>
      <c r="N5263" s="77">
        <v>0.54166666666666663</v>
      </c>
      <c r="P5263">
        <v>73.94</v>
      </c>
      <c r="S5263" s="74">
        <v>34918</v>
      </c>
      <c r="T5263" s="77">
        <v>0.54166666666666663</v>
      </c>
      <c r="V5263">
        <v>73.94</v>
      </c>
      <c r="X5263" s="42"/>
      <c r="AB5263">
        <v>80.8</v>
      </c>
      <c r="AC5263">
        <v>75.92</v>
      </c>
      <c r="AE5263" s="74"/>
      <c r="AF5263" s="77"/>
      <c r="AH5263" s="497">
        <v>75.92</v>
      </c>
      <c r="AJ5263" s="42"/>
      <c r="AK5263" s="74"/>
      <c r="AL5263" s="77"/>
      <c r="AN5263" s="497">
        <v>75.92</v>
      </c>
      <c r="AP5263" s="42"/>
      <c r="AQ5263" s="74"/>
      <c r="AR5263" s="77"/>
      <c r="AT5263" s="497">
        <v>78.98</v>
      </c>
      <c r="AV5263" s="42"/>
      <c r="AW5263" s="74"/>
      <c r="AX5263" s="77"/>
      <c r="BA5263" s="497">
        <v>82.039999999999992</v>
      </c>
      <c r="BB5263" s="42"/>
      <c r="BC5263" s="74"/>
      <c r="BD5263" s="77"/>
      <c r="BF5263">
        <v>75.02</v>
      </c>
      <c r="BH5263" s="42"/>
      <c r="BI5263" s="74"/>
      <c r="BJ5263" s="77"/>
      <c r="BL5263" s="497">
        <v>71.960000000000008</v>
      </c>
      <c r="BN5263" s="42"/>
      <c r="BO5263" s="74"/>
      <c r="BP5263" s="77"/>
      <c r="BR5263" s="497">
        <v>80.960000000000008</v>
      </c>
      <c r="BT5263" s="42"/>
    </row>
    <row r="5264" spans="1:72" x14ac:dyDescent="0.25">
      <c r="A5264" s="90">
        <v>34918</v>
      </c>
      <c r="B5264" s="20">
        <v>0.58333333333333337</v>
      </c>
      <c r="D5264">
        <v>84.02</v>
      </c>
      <c r="E5264" t="str">
        <f t="shared" si="198"/>
        <v>WEEKDAY</v>
      </c>
      <c r="F5264" t="e">
        <f t="shared" si="199"/>
        <v>#N/A</v>
      </c>
      <c r="G5264" s="74">
        <v>31996</v>
      </c>
      <c r="H5264" s="77">
        <v>0.58333333333333337</v>
      </c>
      <c r="J5264">
        <v>78.080000000000013</v>
      </c>
      <c r="M5264" s="74">
        <v>34553</v>
      </c>
      <c r="N5264" s="77">
        <v>0.58333333333333337</v>
      </c>
      <c r="P5264">
        <v>75.92</v>
      </c>
      <c r="S5264" s="74">
        <v>34918</v>
      </c>
      <c r="T5264" s="77">
        <v>0.58333333333333337</v>
      </c>
      <c r="V5264">
        <v>75.92</v>
      </c>
      <c r="X5264" s="42"/>
      <c r="AB5264">
        <v>81.2</v>
      </c>
      <c r="AC5264">
        <v>78.080000000000013</v>
      </c>
      <c r="AE5264" s="74"/>
      <c r="AF5264" s="77"/>
      <c r="AH5264" s="497">
        <v>77.900000000000006</v>
      </c>
      <c r="AJ5264" s="42"/>
      <c r="AK5264" s="74"/>
      <c r="AL5264" s="77"/>
      <c r="AN5264" s="497">
        <v>75.02</v>
      </c>
      <c r="AP5264" s="42"/>
      <c r="AQ5264" s="74"/>
      <c r="AR5264" s="77"/>
      <c r="AT5264" s="497">
        <v>78.080000000000013</v>
      </c>
      <c r="AV5264" s="42"/>
      <c r="AW5264" s="74"/>
      <c r="AX5264" s="77"/>
      <c r="BA5264" s="497">
        <v>82.94</v>
      </c>
      <c r="BB5264" s="42"/>
      <c r="BC5264" s="74"/>
      <c r="BD5264" s="77"/>
      <c r="BF5264">
        <v>71.06</v>
      </c>
      <c r="BH5264" s="42"/>
      <c r="BI5264" s="74"/>
      <c r="BJ5264" s="77"/>
      <c r="BL5264" s="497">
        <v>71.960000000000008</v>
      </c>
      <c r="BN5264" s="42"/>
      <c r="BO5264" s="74"/>
      <c r="BP5264" s="77"/>
      <c r="BR5264" s="497">
        <v>82.039999999999992</v>
      </c>
      <c r="BT5264" s="42"/>
    </row>
    <row r="5265" spans="1:72" x14ac:dyDescent="0.25">
      <c r="A5265" s="90">
        <v>34918</v>
      </c>
      <c r="B5265" s="20">
        <v>0.625</v>
      </c>
      <c r="D5265">
        <v>84.02</v>
      </c>
      <c r="E5265" t="str">
        <f t="shared" si="198"/>
        <v>WEEKDAY</v>
      </c>
      <c r="F5265" t="e">
        <f t="shared" si="199"/>
        <v>#N/A</v>
      </c>
      <c r="G5265" s="74">
        <v>31996</v>
      </c>
      <c r="H5265" s="77">
        <v>0.625</v>
      </c>
      <c r="J5265">
        <v>78.080000000000013</v>
      </c>
      <c r="M5265" s="74">
        <v>34553</v>
      </c>
      <c r="N5265" s="77">
        <v>0.625</v>
      </c>
      <c r="P5265">
        <v>74.84</v>
      </c>
      <c r="S5265" s="74">
        <v>34918</v>
      </c>
      <c r="T5265" s="77">
        <v>0.625</v>
      </c>
      <c r="V5265">
        <v>75.92</v>
      </c>
      <c r="X5265" s="42"/>
      <c r="AB5265">
        <v>81.2</v>
      </c>
      <c r="AC5265">
        <v>78.080000000000013</v>
      </c>
      <c r="AE5265" s="74"/>
      <c r="AF5265" s="77"/>
      <c r="AH5265" s="497">
        <v>78.98</v>
      </c>
      <c r="AJ5265" s="42"/>
      <c r="AK5265" s="74"/>
      <c r="AL5265" s="77"/>
      <c r="AN5265" s="497">
        <v>75.02</v>
      </c>
      <c r="AP5265" s="42"/>
      <c r="AQ5265" s="74"/>
      <c r="AR5265" s="77"/>
      <c r="AT5265" s="497">
        <v>78.080000000000013</v>
      </c>
      <c r="AV5265" s="42"/>
      <c r="AW5265" s="74"/>
      <c r="AX5265" s="77"/>
      <c r="BA5265" s="497">
        <v>84.92</v>
      </c>
      <c r="BB5265" s="42"/>
      <c r="BC5265" s="74"/>
      <c r="BD5265" s="77"/>
      <c r="BF5265">
        <v>75.92</v>
      </c>
      <c r="BH5265" s="42"/>
      <c r="BI5265" s="74"/>
      <c r="BJ5265" s="77"/>
      <c r="BL5265" s="497">
        <v>73.039999999999992</v>
      </c>
      <c r="BN5265" s="42"/>
      <c r="BO5265" s="74"/>
      <c r="BP5265" s="77"/>
      <c r="BR5265" s="497">
        <v>80.06</v>
      </c>
      <c r="BT5265" s="42"/>
    </row>
    <row r="5266" spans="1:72" x14ac:dyDescent="0.25">
      <c r="A5266" s="90">
        <v>34918</v>
      </c>
      <c r="B5266" s="20">
        <v>0.66666666666666663</v>
      </c>
      <c r="D5266">
        <v>82.039999999999992</v>
      </c>
      <c r="E5266" t="str">
        <f t="shared" si="198"/>
        <v>WEEKDAY</v>
      </c>
      <c r="F5266" t="e">
        <f t="shared" si="199"/>
        <v>#N/A</v>
      </c>
      <c r="G5266" s="74">
        <v>31996</v>
      </c>
      <c r="H5266" s="77">
        <v>0.66666666666666663</v>
      </c>
      <c r="J5266">
        <v>78.080000000000013</v>
      </c>
      <c r="M5266" s="74">
        <v>34553</v>
      </c>
      <c r="N5266" s="77">
        <v>0.66666666666666663</v>
      </c>
      <c r="P5266">
        <v>75.92</v>
      </c>
      <c r="S5266" s="74">
        <v>34918</v>
      </c>
      <c r="T5266" s="77">
        <v>0.66666666666666663</v>
      </c>
      <c r="V5266">
        <v>78.080000000000013</v>
      </c>
      <c r="X5266" s="42"/>
      <c r="AB5266">
        <v>80.7</v>
      </c>
      <c r="AC5266">
        <v>78.080000000000013</v>
      </c>
      <c r="AE5266" s="74"/>
      <c r="AF5266" s="77"/>
      <c r="AH5266" s="497">
        <v>77.900000000000006</v>
      </c>
      <c r="AJ5266" s="42"/>
      <c r="AK5266" s="74"/>
      <c r="AL5266" s="77"/>
      <c r="AN5266" s="497">
        <v>71.06</v>
      </c>
      <c r="AP5266" s="42"/>
      <c r="AQ5266" s="74"/>
      <c r="AR5266" s="77"/>
      <c r="AT5266" s="497">
        <v>78.98</v>
      </c>
      <c r="AV5266" s="42"/>
      <c r="AW5266" s="74"/>
      <c r="AX5266" s="77"/>
      <c r="BA5266" s="497">
        <v>84.02</v>
      </c>
      <c r="BB5266" s="42"/>
      <c r="BC5266" s="74"/>
      <c r="BD5266" s="77"/>
      <c r="BF5266">
        <v>77</v>
      </c>
      <c r="BH5266" s="42"/>
      <c r="BI5266" s="74"/>
      <c r="BJ5266" s="77"/>
      <c r="BL5266" s="497">
        <v>73.039999999999992</v>
      </c>
      <c r="BN5266" s="42"/>
      <c r="BO5266" s="74"/>
      <c r="BP5266" s="77"/>
      <c r="BR5266" s="497">
        <v>80.960000000000008</v>
      </c>
      <c r="BT5266" s="42"/>
    </row>
    <row r="5267" spans="1:72" x14ac:dyDescent="0.25">
      <c r="A5267" s="90">
        <v>34918</v>
      </c>
      <c r="B5267" s="20">
        <v>0.70833333333333337</v>
      </c>
      <c r="D5267">
        <v>80.960000000000008</v>
      </c>
      <c r="E5267" t="str">
        <f t="shared" ref="E5267:E5330" si="200">IF(COUNTIF($DI$18:$DI$22, WEEKDAY(A5267))=1, "WEEKDAY", IF(WEEKDAY(A5267) = 1, "SUNDAY", "SATURDAY"))</f>
        <v>WEEKDAY</v>
      </c>
      <c r="F5267" t="e">
        <f t="shared" si="199"/>
        <v>#N/A</v>
      </c>
      <c r="G5267" s="74">
        <v>31996</v>
      </c>
      <c r="H5267" s="77">
        <v>0.70833333333333337</v>
      </c>
      <c r="J5267">
        <v>77</v>
      </c>
      <c r="M5267" s="74">
        <v>34553</v>
      </c>
      <c r="N5267" s="77">
        <v>0.70833333333333337</v>
      </c>
      <c r="P5267">
        <v>73.94</v>
      </c>
      <c r="S5267" s="74">
        <v>34918</v>
      </c>
      <c r="T5267" s="77">
        <v>0.70833333333333337</v>
      </c>
      <c r="V5267">
        <v>78.98</v>
      </c>
      <c r="X5267" s="42"/>
      <c r="AB5267">
        <v>79.900000000000006</v>
      </c>
      <c r="AC5267">
        <v>77</v>
      </c>
      <c r="AE5267" s="74"/>
      <c r="AF5267" s="77"/>
      <c r="AH5267" s="497">
        <v>78.98</v>
      </c>
      <c r="AJ5267" s="42"/>
      <c r="AK5267" s="74"/>
      <c r="AL5267" s="77"/>
      <c r="AN5267" s="497">
        <v>66.02</v>
      </c>
      <c r="AP5267" s="42"/>
      <c r="AQ5267" s="74"/>
      <c r="AR5267" s="77"/>
      <c r="AT5267" s="497">
        <v>80.06</v>
      </c>
      <c r="AV5267" s="42"/>
      <c r="AW5267" s="74"/>
      <c r="AX5267" s="77"/>
      <c r="BA5267" s="497">
        <v>84.02</v>
      </c>
      <c r="BB5267" s="42"/>
      <c r="BC5267" s="74"/>
      <c r="BD5267" s="77"/>
      <c r="BF5267">
        <v>75.02</v>
      </c>
      <c r="BH5267" s="42"/>
      <c r="BI5267" s="74"/>
      <c r="BJ5267" s="77"/>
      <c r="BL5267" s="497">
        <v>73.94</v>
      </c>
      <c r="BN5267" s="42"/>
      <c r="BO5267" s="74"/>
      <c r="BP5267" s="77"/>
      <c r="BR5267" s="497">
        <v>80.06</v>
      </c>
      <c r="BT5267" s="42"/>
    </row>
    <row r="5268" spans="1:72" x14ac:dyDescent="0.25">
      <c r="A5268" s="90">
        <v>34918</v>
      </c>
      <c r="B5268" s="20">
        <v>0.75</v>
      </c>
      <c r="D5268">
        <v>78.98</v>
      </c>
      <c r="E5268" t="str">
        <f t="shared" si="200"/>
        <v>WEEKDAY</v>
      </c>
      <c r="F5268" t="e">
        <f t="shared" si="199"/>
        <v>#N/A</v>
      </c>
      <c r="G5268" s="74">
        <v>31996</v>
      </c>
      <c r="H5268" s="77">
        <v>0.75</v>
      </c>
      <c r="J5268">
        <v>75.02</v>
      </c>
      <c r="M5268" s="74">
        <v>34553</v>
      </c>
      <c r="N5268" s="77">
        <v>0.75</v>
      </c>
      <c r="P5268">
        <v>71.960000000000008</v>
      </c>
      <c r="S5268" s="74">
        <v>34918</v>
      </c>
      <c r="T5268" s="77">
        <v>0.75</v>
      </c>
      <c r="V5268">
        <v>77</v>
      </c>
      <c r="X5268" s="42"/>
      <c r="AB5268">
        <v>78.900000000000006</v>
      </c>
      <c r="AC5268">
        <v>75.92</v>
      </c>
      <c r="AE5268" s="74"/>
      <c r="AF5268" s="77"/>
      <c r="AH5268" s="497">
        <v>77.900000000000006</v>
      </c>
      <c r="AJ5268" s="42"/>
      <c r="AK5268" s="74"/>
      <c r="AL5268" s="77"/>
      <c r="AN5268" s="497">
        <v>64.94</v>
      </c>
      <c r="AP5268" s="42"/>
      <c r="AQ5268" s="74"/>
      <c r="AR5268" s="77"/>
      <c r="AT5268" s="497">
        <v>73.039999999999992</v>
      </c>
      <c r="AV5268" s="42"/>
      <c r="AW5268" s="74"/>
      <c r="AX5268" s="77"/>
      <c r="BA5268" s="497">
        <v>82.039999999999992</v>
      </c>
      <c r="BB5268" s="42"/>
      <c r="BC5268" s="74"/>
      <c r="BD5268" s="77"/>
      <c r="BF5268">
        <v>73.94</v>
      </c>
      <c r="BH5268" s="42"/>
      <c r="BI5268" s="74"/>
      <c r="BJ5268" s="77"/>
      <c r="BL5268" s="497">
        <v>73.039999999999992</v>
      </c>
      <c r="BN5268" s="42"/>
      <c r="BO5268" s="74"/>
      <c r="BP5268" s="77"/>
      <c r="BR5268" s="497">
        <v>78.080000000000013</v>
      </c>
      <c r="BT5268" s="42"/>
    </row>
    <row r="5269" spans="1:72" x14ac:dyDescent="0.25">
      <c r="A5269" s="90">
        <v>34918</v>
      </c>
      <c r="B5269" s="20">
        <v>0.79166666666666663</v>
      </c>
      <c r="D5269">
        <v>78.080000000000013</v>
      </c>
      <c r="E5269" t="str">
        <f t="shared" si="200"/>
        <v>WEEKDAY</v>
      </c>
      <c r="F5269" t="e">
        <f t="shared" si="199"/>
        <v>#N/A</v>
      </c>
      <c r="G5269" s="74">
        <v>31996</v>
      </c>
      <c r="H5269" s="77">
        <v>0.79166666666666663</v>
      </c>
      <c r="J5269">
        <v>73.039999999999992</v>
      </c>
      <c r="M5269" s="74">
        <v>34553</v>
      </c>
      <c r="N5269" s="77">
        <v>0.79166666666666663</v>
      </c>
      <c r="P5269">
        <v>68</v>
      </c>
      <c r="S5269" s="74">
        <v>34918</v>
      </c>
      <c r="T5269" s="77">
        <v>0.79166666666666663</v>
      </c>
      <c r="V5269">
        <v>69.98</v>
      </c>
      <c r="X5269" s="42"/>
      <c r="AB5269">
        <v>77.599999999999994</v>
      </c>
      <c r="AC5269">
        <v>73.039999999999992</v>
      </c>
      <c r="AE5269" s="74"/>
      <c r="AF5269" s="77"/>
      <c r="AH5269" s="497">
        <v>68.900000000000006</v>
      </c>
      <c r="AJ5269" s="42"/>
      <c r="AK5269" s="74"/>
      <c r="AL5269" s="77"/>
      <c r="AN5269" s="497">
        <v>64.94</v>
      </c>
      <c r="AP5269" s="42"/>
      <c r="AQ5269" s="74"/>
      <c r="AR5269" s="77"/>
      <c r="AT5269" s="497">
        <v>71.960000000000008</v>
      </c>
      <c r="AV5269" s="42"/>
      <c r="AW5269" s="74"/>
      <c r="AX5269" s="77"/>
      <c r="BA5269" s="497">
        <v>78.98</v>
      </c>
      <c r="BB5269" s="42"/>
      <c r="BC5269" s="74"/>
      <c r="BD5269" s="77"/>
      <c r="BF5269">
        <v>73.94</v>
      </c>
      <c r="BH5269" s="42"/>
      <c r="BI5269" s="74"/>
      <c r="BJ5269" s="77"/>
      <c r="BL5269" s="497">
        <v>69.98</v>
      </c>
      <c r="BN5269" s="42"/>
      <c r="BO5269" s="74"/>
      <c r="BP5269" s="77"/>
      <c r="BR5269" s="497">
        <v>75.92</v>
      </c>
      <c r="BT5269" s="42"/>
    </row>
    <row r="5270" spans="1:72" x14ac:dyDescent="0.25">
      <c r="A5270" s="90">
        <v>34918</v>
      </c>
      <c r="B5270" s="20">
        <v>0.83333333333333337</v>
      </c>
      <c r="D5270">
        <v>75.92</v>
      </c>
      <c r="E5270" t="str">
        <f t="shared" si="200"/>
        <v>WEEKDAY</v>
      </c>
      <c r="F5270" t="e">
        <f t="shared" si="199"/>
        <v>#N/A</v>
      </c>
      <c r="G5270" s="74">
        <v>31996</v>
      </c>
      <c r="H5270" s="77">
        <v>0.83333333333333337</v>
      </c>
      <c r="J5270">
        <v>71.960000000000008</v>
      </c>
      <c r="M5270" s="74">
        <v>34553</v>
      </c>
      <c r="N5270" s="77">
        <v>0.83333333333333337</v>
      </c>
      <c r="P5270">
        <v>65.84</v>
      </c>
      <c r="S5270" s="74">
        <v>34918</v>
      </c>
      <c r="T5270" s="77">
        <v>0.83333333333333337</v>
      </c>
      <c r="V5270">
        <v>69.080000000000013</v>
      </c>
      <c r="X5270" s="42"/>
      <c r="AB5270">
        <v>76.099999999999994</v>
      </c>
      <c r="AC5270">
        <v>71.06</v>
      </c>
      <c r="AE5270" s="74"/>
      <c r="AF5270" s="77"/>
      <c r="AH5270" s="497">
        <v>61.88</v>
      </c>
      <c r="AJ5270" s="42"/>
      <c r="AK5270" s="74"/>
      <c r="AL5270" s="77"/>
      <c r="AN5270" s="497">
        <v>64.94</v>
      </c>
      <c r="AP5270" s="42"/>
      <c r="AQ5270" s="74"/>
      <c r="AR5270" s="77"/>
      <c r="AT5270" s="497">
        <v>73.94</v>
      </c>
      <c r="AV5270" s="42"/>
      <c r="AW5270" s="74"/>
      <c r="AX5270" s="77"/>
      <c r="BA5270" s="497">
        <v>73.94</v>
      </c>
      <c r="BB5270" s="42"/>
      <c r="BC5270" s="74"/>
      <c r="BD5270" s="77"/>
      <c r="BF5270">
        <v>73.039999999999992</v>
      </c>
      <c r="BH5270" s="42"/>
      <c r="BI5270" s="74"/>
      <c r="BJ5270" s="77"/>
      <c r="BL5270" s="497">
        <v>66.02</v>
      </c>
      <c r="BN5270" s="42"/>
      <c r="BO5270" s="74"/>
      <c r="BP5270" s="77"/>
      <c r="BR5270" s="497">
        <v>73.94</v>
      </c>
      <c r="BT5270" s="42"/>
    </row>
    <row r="5271" spans="1:72" x14ac:dyDescent="0.25">
      <c r="A5271" s="90">
        <v>34918</v>
      </c>
      <c r="B5271" s="20">
        <v>0.875</v>
      </c>
      <c r="D5271">
        <v>75.02</v>
      </c>
      <c r="E5271" t="str">
        <f t="shared" si="200"/>
        <v>WEEKDAY</v>
      </c>
      <c r="F5271" t="e">
        <f t="shared" si="199"/>
        <v>#N/A</v>
      </c>
      <c r="G5271" s="74">
        <v>31996</v>
      </c>
      <c r="H5271" s="77">
        <v>0.875</v>
      </c>
      <c r="J5271">
        <v>71.960000000000008</v>
      </c>
      <c r="M5271" s="74">
        <v>34553</v>
      </c>
      <c r="N5271" s="77">
        <v>0.875</v>
      </c>
      <c r="P5271">
        <v>60.980000000000004</v>
      </c>
      <c r="S5271" s="74">
        <v>34918</v>
      </c>
      <c r="T5271" s="77">
        <v>0.875</v>
      </c>
      <c r="V5271">
        <v>68</v>
      </c>
      <c r="X5271" s="42"/>
      <c r="AB5271">
        <v>75.2</v>
      </c>
      <c r="AC5271">
        <v>68</v>
      </c>
      <c r="AE5271" s="74"/>
      <c r="AF5271" s="77"/>
      <c r="AH5271" s="497">
        <v>60.980000000000004</v>
      </c>
      <c r="AJ5271" s="42"/>
      <c r="AK5271" s="74"/>
      <c r="AL5271" s="77"/>
      <c r="AN5271" s="497">
        <v>64.039999999999992</v>
      </c>
      <c r="AP5271" s="42"/>
      <c r="AQ5271" s="74"/>
      <c r="AR5271" s="77"/>
      <c r="AT5271" s="497">
        <v>73.039999999999992</v>
      </c>
      <c r="AV5271" s="42"/>
      <c r="AW5271" s="74"/>
      <c r="AX5271" s="77"/>
      <c r="BA5271" s="497">
        <v>73.039999999999992</v>
      </c>
      <c r="BB5271" s="42"/>
      <c r="BC5271" s="74"/>
      <c r="BD5271" s="77"/>
      <c r="BF5271">
        <v>71.960000000000008</v>
      </c>
      <c r="BH5271" s="42"/>
      <c r="BI5271" s="74"/>
      <c r="BJ5271" s="77"/>
      <c r="BL5271" s="497">
        <v>66.02</v>
      </c>
      <c r="BN5271" s="42"/>
      <c r="BO5271" s="74"/>
      <c r="BP5271" s="77"/>
      <c r="BR5271" s="497">
        <v>73.94</v>
      </c>
      <c r="BT5271" s="42"/>
    </row>
    <row r="5272" spans="1:72" x14ac:dyDescent="0.25">
      <c r="A5272" s="90">
        <v>34918</v>
      </c>
      <c r="B5272" s="20">
        <v>0.91666666666666663</v>
      </c>
      <c r="D5272">
        <v>73.94</v>
      </c>
      <c r="E5272" t="str">
        <f t="shared" si="200"/>
        <v>WEEKDAY</v>
      </c>
      <c r="F5272" t="e">
        <f t="shared" si="199"/>
        <v>#N/A</v>
      </c>
      <c r="G5272" s="74">
        <v>31996</v>
      </c>
      <c r="H5272" s="77">
        <v>0.91666666666666663</v>
      </c>
      <c r="J5272">
        <v>71.960000000000008</v>
      </c>
      <c r="M5272" s="74">
        <v>34553</v>
      </c>
      <c r="N5272" s="77">
        <v>0.91666666666666663</v>
      </c>
      <c r="P5272">
        <v>59.900000000000006</v>
      </c>
      <c r="S5272" s="74">
        <v>34918</v>
      </c>
      <c r="T5272" s="77">
        <v>0.91666666666666663</v>
      </c>
      <c r="V5272">
        <v>66.92</v>
      </c>
      <c r="X5272" s="42"/>
      <c r="AB5272">
        <v>74.7</v>
      </c>
      <c r="AC5272">
        <v>66.02</v>
      </c>
      <c r="AE5272" s="74"/>
      <c r="AF5272" s="77"/>
      <c r="AH5272" s="497">
        <v>59</v>
      </c>
      <c r="AJ5272" s="42"/>
      <c r="AK5272" s="74"/>
      <c r="AL5272" s="77"/>
      <c r="AN5272" s="497">
        <v>64.039999999999992</v>
      </c>
      <c r="AP5272" s="42"/>
      <c r="AQ5272" s="74"/>
      <c r="AR5272" s="77"/>
      <c r="AT5272" s="497">
        <v>71.06</v>
      </c>
      <c r="AV5272" s="42"/>
      <c r="AW5272" s="74"/>
      <c r="AX5272" s="77"/>
      <c r="BA5272" s="497">
        <v>73.94</v>
      </c>
      <c r="BB5272" s="42"/>
      <c r="BC5272" s="74"/>
      <c r="BD5272" s="77"/>
      <c r="BF5272">
        <v>71.06</v>
      </c>
      <c r="BH5272" s="42"/>
      <c r="BI5272" s="74"/>
      <c r="BJ5272" s="77"/>
      <c r="BL5272" s="497">
        <v>64.039999999999992</v>
      </c>
      <c r="BN5272" s="42"/>
      <c r="BO5272" s="74"/>
      <c r="BP5272" s="77"/>
      <c r="BR5272" s="497">
        <v>73.039999999999992</v>
      </c>
      <c r="BT5272" s="42"/>
    </row>
    <row r="5273" spans="1:72" x14ac:dyDescent="0.25">
      <c r="A5273" s="90">
        <v>34918</v>
      </c>
      <c r="B5273" s="20">
        <v>0.95833333333333337</v>
      </c>
      <c r="D5273">
        <v>73.039999999999992</v>
      </c>
      <c r="E5273" t="str">
        <f t="shared" si="200"/>
        <v>WEEKDAY</v>
      </c>
      <c r="F5273" t="e">
        <f t="shared" si="199"/>
        <v>#N/A</v>
      </c>
      <c r="G5273" s="74">
        <v>31996</v>
      </c>
      <c r="H5273" s="77">
        <v>0.95833333333333337</v>
      </c>
      <c r="J5273">
        <v>71.960000000000008</v>
      </c>
      <c r="M5273" s="74">
        <v>34553</v>
      </c>
      <c r="N5273" s="77">
        <v>0.95833333333333337</v>
      </c>
      <c r="P5273">
        <v>57.92</v>
      </c>
      <c r="S5273" s="74">
        <v>34918</v>
      </c>
      <c r="T5273" s="77">
        <v>0.95833333333333337</v>
      </c>
      <c r="V5273">
        <v>64.039999999999992</v>
      </c>
      <c r="X5273" s="42"/>
      <c r="AB5273">
        <v>74.3</v>
      </c>
      <c r="AC5273">
        <v>64.94</v>
      </c>
      <c r="AE5273" s="74"/>
      <c r="AF5273" s="77"/>
      <c r="AH5273" s="497">
        <v>57.74</v>
      </c>
      <c r="AJ5273" s="42"/>
      <c r="AK5273" s="74"/>
      <c r="AL5273" s="77"/>
      <c r="AN5273" s="497">
        <v>64.94</v>
      </c>
      <c r="AP5273" s="42"/>
      <c r="AQ5273" s="74"/>
      <c r="AR5273" s="77"/>
      <c r="AT5273" s="497">
        <v>68</v>
      </c>
      <c r="AV5273" s="42"/>
      <c r="AW5273" s="74"/>
      <c r="AX5273" s="77"/>
      <c r="BA5273" s="497">
        <v>73.039999999999992</v>
      </c>
      <c r="BB5273" s="42"/>
      <c r="BC5273" s="74"/>
      <c r="BD5273" s="77"/>
      <c r="BF5273">
        <v>69.98</v>
      </c>
      <c r="BH5273" s="42"/>
      <c r="BI5273" s="74"/>
      <c r="BJ5273" s="77"/>
      <c r="BL5273" s="497">
        <v>62.96</v>
      </c>
      <c r="BN5273" s="42"/>
      <c r="BO5273" s="74"/>
      <c r="BP5273" s="77"/>
      <c r="BR5273" s="497">
        <v>71.960000000000008</v>
      </c>
      <c r="BT5273" s="42"/>
    </row>
    <row r="5274" spans="1:72" x14ac:dyDescent="0.25">
      <c r="A5274" s="90">
        <v>34918</v>
      </c>
      <c r="B5274" s="20">
        <v>1</v>
      </c>
      <c r="D5274">
        <v>71.960000000000008</v>
      </c>
      <c r="E5274" t="str">
        <f t="shared" si="200"/>
        <v>WEEKDAY</v>
      </c>
      <c r="F5274" t="e">
        <f t="shared" si="199"/>
        <v>#N/A</v>
      </c>
      <c r="G5274" s="74">
        <v>31996</v>
      </c>
      <c r="H5274" s="77">
        <v>1</v>
      </c>
      <c r="J5274">
        <v>71.960000000000008</v>
      </c>
      <c r="M5274" s="74">
        <v>34553</v>
      </c>
      <c r="N5274" s="80">
        <v>1</v>
      </c>
      <c r="P5274">
        <v>57.92</v>
      </c>
      <c r="S5274" s="74">
        <v>34918</v>
      </c>
      <c r="T5274" s="80">
        <v>1</v>
      </c>
      <c r="V5274">
        <v>62.06</v>
      </c>
      <c r="X5274" s="42"/>
      <c r="AB5274">
        <v>73.7</v>
      </c>
      <c r="AC5274">
        <v>62.06</v>
      </c>
      <c r="AE5274" s="74"/>
      <c r="AF5274" s="80"/>
      <c r="AH5274" s="497">
        <v>56.480000000000004</v>
      </c>
      <c r="AJ5274" s="42"/>
      <c r="AK5274" s="74"/>
      <c r="AL5274" s="80"/>
      <c r="AN5274" s="497">
        <v>64.039999999999992</v>
      </c>
      <c r="AP5274" s="42"/>
      <c r="AQ5274" s="74"/>
      <c r="AR5274" s="80"/>
      <c r="AT5274" s="497">
        <v>66.92</v>
      </c>
      <c r="AV5274" s="42"/>
      <c r="AW5274" s="74"/>
      <c r="AX5274" s="80"/>
      <c r="BA5274" s="497">
        <v>73.039999999999992</v>
      </c>
      <c r="BB5274" s="42"/>
      <c r="BC5274" s="74"/>
      <c r="BD5274" s="80"/>
      <c r="BF5274">
        <v>69.98</v>
      </c>
      <c r="BH5274" s="42"/>
      <c r="BI5274" s="74"/>
      <c r="BJ5274" s="80"/>
      <c r="BL5274" s="497">
        <v>62.06</v>
      </c>
      <c r="BN5274" s="42"/>
      <c r="BO5274" s="74"/>
      <c r="BP5274" s="80"/>
      <c r="BR5274" s="497">
        <v>73.039999999999992</v>
      </c>
      <c r="BT5274" s="42"/>
    </row>
    <row r="5275" spans="1:72" x14ac:dyDescent="0.25">
      <c r="A5275" s="90">
        <v>34919</v>
      </c>
      <c r="B5275" s="20">
        <v>4.1666666666666664E-2</v>
      </c>
      <c r="D5275">
        <v>71.06</v>
      </c>
      <c r="E5275" t="str">
        <f t="shared" si="200"/>
        <v>WEEKDAY</v>
      </c>
      <c r="F5275" t="e">
        <f t="shared" si="199"/>
        <v>#N/A</v>
      </c>
      <c r="G5275" s="74">
        <v>31997</v>
      </c>
      <c r="H5275" s="77">
        <v>4.1666666666666664E-2</v>
      </c>
      <c r="J5275">
        <v>71.06</v>
      </c>
      <c r="M5275" s="74">
        <v>34554</v>
      </c>
      <c r="N5275" s="77">
        <v>4.1666666666666664E-2</v>
      </c>
      <c r="P5275">
        <v>56.84</v>
      </c>
      <c r="S5275" s="74">
        <v>34919</v>
      </c>
      <c r="T5275" s="77">
        <v>4.1666666666666664E-2</v>
      </c>
      <c r="V5275">
        <v>62.06</v>
      </c>
      <c r="X5275" s="42"/>
      <c r="AB5275">
        <v>73</v>
      </c>
      <c r="AC5275">
        <v>62.96</v>
      </c>
      <c r="AE5275" s="74"/>
      <c r="AF5275" s="77"/>
      <c r="AH5275" s="497">
        <v>55.76</v>
      </c>
      <c r="AJ5275" s="42"/>
      <c r="AK5275" s="74"/>
      <c r="AL5275" s="77"/>
      <c r="AN5275" s="497">
        <v>64.039999999999992</v>
      </c>
      <c r="AP5275" s="42"/>
      <c r="AQ5275" s="74"/>
      <c r="AR5275" s="77"/>
      <c r="AT5275" s="497">
        <v>66.92</v>
      </c>
      <c r="AV5275" s="42"/>
      <c r="AW5275" s="74"/>
      <c r="AX5275" s="77"/>
      <c r="BA5275" s="497">
        <v>71.960000000000008</v>
      </c>
      <c r="BB5275" s="42"/>
      <c r="BC5275" s="74"/>
      <c r="BD5275" s="77"/>
      <c r="BF5275">
        <v>69.98</v>
      </c>
      <c r="BH5275" s="42"/>
      <c r="BI5275" s="74"/>
      <c r="BJ5275" s="77"/>
      <c r="BL5275" s="497">
        <v>60.08</v>
      </c>
      <c r="BN5275" s="42"/>
      <c r="BO5275" s="74"/>
      <c r="BP5275" s="77"/>
      <c r="BR5275" s="497">
        <v>71.960000000000008</v>
      </c>
      <c r="BT5275" s="42"/>
    </row>
    <row r="5276" spans="1:72" x14ac:dyDescent="0.25">
      <c r="A5276" s="90">
        <v>34919</v>
      </c>
      <c r="B5276" s="20">
        <v>8.3333333333333329E-2</v>
      </c>
      <c r="D5276">
        <v>71.06</v>
      </c>
      <c r="E5276" t="str">
        <f t="shared" si="200"/>
        <v>WEEKDAY</v>
      </c>
      <c r="F5276" t="e">
        <f t="shared" si="199"/>
        <v>#N/A</v>
      </c>
      <c r="G5276" s="74">
        <v>31997</v>
      </c>
      <c r="H5276" s="77">
        <v>8.3333333333333329E-2</v>
      </c>
      <c r="J5276">
        <v>71.06</v>
      </c>
      <c r="M5276" s="74">
        <v>34554</v>
      </c>
      <c r="N5276" s="77">
        <v>8.3333333333333329E-2</v>
      </c>
      <c r="P5276">
        <v>56.84</v>
      </c>
      <c r="S5276" s="74">
        <v>34919</v>
      </c>
      <c r="T5276" s="77">
        <v>8.3333333333333329E-2</v>
      </c>
      <c r="V5276">
        <v>60.980000000000004</v>
      </c>
      <c r="X5276" s="42"/>
      <c r="AB5276">
        <v>72.400000000000006</v>
      </c>
      <c r="AC5276">
        <v>64.039999999999992</v>
      </c>
      <c r="AE5276" s="74"/>
      <c r="AF5276" s="77"/>
      <c r="AH5276" s="497">
        <v>54.86</v>
      </c>
      <c r="AJ5276" s="42"/>
      <c r="AK5276" s="74"/>
      <c r="AL5276" s="77"/>
      <c r="AN5276" s="497">
        <v>64.039999999999992</v>
      </c>
      <c r="AP5276" s="42"/>
      <c r="AQ5276" s="74"/>
      <c r="AR5276" s="77"/>
      <c r="AT5276" s="497">
        <v>66.92</v>
      </c>
      <c r="AV5276" s="42"/>
      <c r="AW5276" s="74"/>
      <c r="AX5276" s="77"/>
      <c r="BA5276" s="497">
        <v>71.960000000000008</v>
      </c>
      <c r="BB5276" s="42"/>
      <c r="BC5276" s="74"/>
      <c r="BD5276" s="77"/>
      <c r="BF5276">
        <v>69.98</v>
      </c>
      <c r="BH5276" s="42"/>
      <c r="BI5276" s="74"/>
      <c r="BJ5276" s="77"/>
      <c r="BL5276" s="497">
        <v>60.08</v>
      </c>
      <c r="BN5276" s="42"/>
      <c r="BO5276" s="74"/>
      <c r="BP5276" s="77"/>
      <c r="BR5276" s="497">
        <v>71.960000000000008</v>
      </c>
      <c r="BT5276" s="42"/>
    </row>
    <row r="5277" spans="1:72" x14ac:dyDescent="0.25">
      <c r="A5277" s="90">
        <v>34919</v>
      </c>
      <c r="B5277" s="20">
        <v>0.125</v>
      </c>
      <c r="D5277">
        <v>69.98</v>
      </c>
      <c r="E5277" t="str">
        <f t="shared" si="200"/>
        <v>WEEKDAY</v>
      </c>
      <c r="F5277" t="e">
        <f t="shared" si="199"/>
        <v>#N/A</v>
      </c>
      <c r="G5277" s="74">
        <v>31997</v>
      </c>
      <c r="H5277" s="77">
        <v>0.125</v>
      </c>
      <c r="J5277">
        <v>71.06</v>
      </c>
      <c r="M5277" s="74">
        <v>34554</v>
      </c>
      <c r="N5277" s="77">
        <v>0.125</v>
      </c>
      <c r="P5277">
        <v>56.120000000000005</v>
      </c>
      <c r="S5277" s="74">
        <v>34919</v>
      </c>
      <c r="T5277" s="77">
        <v>0.125</v>
      </c>
      <c r="V5277">
        <v>60.980000000000004</v>
      </c>
      <c r="X5277" s="42"/>
      <c r="AB5277">
        <v>72</v>
      </c>
      <c r="AC5277">
        <v>62.96</v>
      </c>
      <c r="AE5277" s="74"/>
      <c r="AF5277" s="77"/>
      <c r="AH5277" s="497">
        <v>53.96</v>
      </c>
      <c r="AJ5277" s="42"/>
      <c r="AK5277" s="74"/>
      <c r="AL5277" s="77"/>
      <c r="AN5277" s="497">
        <v>64.039999999999992</v>
      </c>
      <c r="AP5277" s="42"/>
      <c r="AQ5277" s="74"/>
      <c r="AR5277" s="77"/>
      <c r="AT5277" s="497">
        <v>66.92</v>
      </c>
      <c r="AV5277" s="42"/>
      <c r="AW5277" s="74"/>
      <c r="AX5277" s="77"/>
      <c r="BA5277" s="497">
        <v>71.06</v>
      </c>
      <c r="BB5277" s="42"/>
      <c r="BC5277" s="74"/>
      <c r="BD5277" s="77"/>
      <c r="BF5277">
        <v>69.98</v>
      </c>
      <c r="BH5277" s="42"/>
      <c r="BI5277" s="74"/>
      <c r="BJ5277" s="77"/>
      <c r="BL5277" s="497">
        <v>59</v>
      </c>
      <c r="BN5277" s="42"/>
      <c r="BO5277" s="74"/>
      <c r="BP5277" s="77"/>
      <c r="BR5277" s="497">
        <v>71.06</v>
      </c>
      <c r="BT5277" s="42"/>
    </row>
    <row r="5278" spans="1:72" x14ac:dyDescent="0.25">
      <c r="A5278" s="90">
        <v>34919</v>
      </c>
      <c r="B5278" s="20">
        <v>0.16666666666666666</v>
      </c>
      <c r="D5278">
        <v>69.080000000000013</v>
      </c>
      <c r="E5278" t="str">
        <f t="shared" si="200"/>
        <v>WEEKDAY</v>
      </c>
      <c r="F5278" t="e">
        <f t="shared" si="199"/>
        <v>#N/A</v>
      </c>
      <c r="G5278" s="74">
        <v>31997</v>
      </c>
      <c r="H5278" s="77">
        <v>0.16666666666666666</v>
      </c>
      <c r="J5278">
        <v>71.06</v>
      </c>
      <c r="M5278" s="74">
        <v>34554</v>
      </c>
      <c r="N5278" s="77">
        <v>0.16666666666666666</v>
      </c>
      <c r="P5278">
        <v>54.86</v>
      </c>
      <c r="S5278" s="74">
        <v>34919</v>
      </c>
      <c r="T5278" s="77">
        <v>0.16666666666666666</v>
      </c>
      <c r="V5278">
        <v>60.08</v>
      </c>
      <c r="X5278" s="42"/>
      <c r="AB5278">
        <v>71.5</v>
      </c>
      <c r="AC5278">
        <v>62.96</v>
      </c>
      <c r="AE5278" s="74"/>
      <c r="AF5278" s="77"/>
      <c r="AH5278" s="497">
        <v>52.879999999999995</v>
      </c>
      <c r="AJ5278" s="42"/>
      <c r="AK5278" s="74"/>
      <c r="AL5278" s="77"/>
      <c r="AN5278" s="497">
        <v>64.039999999999992</v>
      </c>
      <c r="AP5278" s="42"/>
      <c r="AQ5278" s="74"/>
      <c r="AR5278" s="77"/>
      <c r="AT5278" s="497">
        <v>66.92</v>
      </c>
      <c r="AV5278" s="42"/>
      <c r="AW5278" s="74"/>
      <c r="AX5278" s="77"/>
      <c r="BA5278" s="497">
        <v>71.06</v>
      </c>
      <c r="BB5278" s="42"/>
      <c r="BC5278" s="74"/>
      <c r="BD5278" s="77"/>
      <c r="BF5278">
        <v>69.080000000000013</v>
      </c>
      <c r="BH5278" s="42"/>
      <c r="BI5278" s="74"/>
      <c r="BJ5278" s="77"/>
      <c r="BL5278" s="497">
        <v>57.92</v>
      </c>
      <c r="BN5278" s="42"/>
      <c r="BO5278" s="74"/>
      <c r="BP5278" s="77"/>
      <c r="BR5278" s="497">
        <v>71.06</v>
      </c>
      <c r="BT5278" s="42"/>
    </row>
    <row r="5279" spans="1:72" x14ac:dyDescent="0.25">
      <c r="A5279" s="90">
        <v>34919</v>
      </c>
      <c r="B5279" s="20">
        <v>0.20833333333333334</v>
      </c>
      <c r="D5279">
        <v>69.080000000000013</v>
      </c>
      <c r="E5279" t="str">
        <f t="shared" si="200"/>
        <v>WEEKDAY</v>
      </c>
      <c r="F5279" t="e">
        <f t="shared" si="199"/>
        <v>#N/A</v>
      </c>
      <c r="G5279" s="74">
        <v>31997</v>
      </c>
      <c r="H5279" s="77">
        <v>0.20833333333333334</v>
      </c>
      <c r="J5279">
        <v>71.06</v>
      </c>
      <c r="M5279" s="74">
        <v>34554</v>
      </c>
      <c r="N5279" s="77">
        <v>0.20833333333333334</v>
      </c>
      <c r="P5279">
        <v>54.86</v>
      </c>
      <c r="S5279" s="74">
        <v>34919</v>
      </c>
      <c r="T5279" s="77">
        <v>0.20833333333333334</v>
      </c>
      <c r="V5279">
        <v>59</v>
      </c>
      <c r="X5279" s="42"/>
      <c r="AB5279">
        <v>70.900000000000006</v>
      </c>
      <c r="AC5279">
        <v>62.96</v>
      </c>
      <c r="AE5279" s="74"/>
      <c r="AF5279" s="77"/>
      <c r="AH5279" s="497">
        <v>52.879999999999995</v>
      </c>
      <c r="AJ5279" s="42"/>
      <c r="AK5279" s="74"/>
      <c r="AL5279" s="77"/>
      <c r="AN5279" s="497">
        <v>64.039999999999992</v>
      </c>
      <c r="AP5279" s="42"/>
      <c r="AQ5279" s="74"/>
      <c r="AR5279" s="77"/>
      <c r="AT5279" s="497">
        <v>66.92</v>
      </c>
      <c r="AV5279" s="42"/>
      <c r="AW5279" s="74"/>
      <c r="AX5279" s="77"/>
      <c r="BA5279" s="497">
        <v>69.98</v>
      </c>
      <c r="BB5279" s="42"/>
      <c r="BC5279" s="74"/>
      <c r="BD5279" s="77"/>
      <c r="BF5279">
        <v>69.080000000000013</v>
      </c>
      <c r="BH5279" s="42"/>
      <c r="BI5279" s="74"/>
      <c r="BJ5279" s="77"/>
      <c r="BL5279" s="497">
        <v>57.019999999999996</v>
      </c>
      <c r="BN5279" s="42"/>
      <c r="BO5279" s="74"/>
      <c r="BP5279" s="77"/>
      <c r="BR5279" s="497">
        <v>69.98</v>
      </c>
      <c r="BT5279" s="42"/>
    </row>
    <row r="5280" spans="1:72" x14ac:dyDescent="0.25">
      <c r="A5280" s="90">
        <v>34919</v>
      </c>
      <c r="B5280" s="20">
        <v>0.25</v>
      </c>
      <c r="D5280">
        <v>69.080000000000013</v>
      </c>
      <c r="E5280" t="str">
        <f t="shared" si="200"/>
        <v>WEEKDAY</v>
      </c>
      <c r="F5280" t="e">
        <f t="shared" si="199"/>
        <v>#N/A</v>
      </c>
      <c r="G5280" s="74">
        <v>31997</v>
      </c>
      <c r="H5280" s="77">
        <v>0.25</v>
      </c>
      <c r="J5280">
        <v>71.06</v>
      </c>
      <c r="M5280" s="74">
        <v>34554</v>
      </c>
      <c r="N5280" s="77">
        <v>0.25</v>
      </c>
      <c r="P5280">
        <v>54.86</v>
      </c>
      <c r="S5280" s="74">
        <v>34919</v>
      </c>
      <c r="T5280" s="77">
        <v>0.25</v>
      </c>
      <c r="V5280">
        <v>62.96</v>
      </c>
      <c r="X5280" s="42"/>
      <c r="AB5280">
        <v>70.7</v>
      </c>
      <c r="AC5280">
        <v>64.94</v>
      </c>
      <c r="AE5280" s="74"/>
      <c r="AF5280" s="77"/>
      <c r="AH5280" s="497">
        <v>54.86</v>
      </c>
      <c r="AJ5280" s="42"/>
      <c r="AK5280" s="74"/>
      <c r="AL5280" s="77"/>
      <c r="AN5280" s="497">
        <v>64.039999999999992</v>
      </c>
      <c r="AP5280" s="42"/>
      <c r="AQ5280" s="74"/>
      <c r="AR5280" s="77"/>
      <c r="AT5280" s="497">
        <v>66.92</v>
      </c>
      <c r="AV5280" s="42"/>
      <c r="AW5280" s="74"/>
      <c r="AX5280" s="77"/>
      <c r="BA5280" s="497">
        <v>69.080000000000013</v>
      </c>
      <c r="BB5280" s="42"/>
      <c r="BC5280" s="74"/>
      <c r="BD5280" s="77"/>
      <c r="BF5280">
        <v>69.080000000000013</v>
      </c>
      <c r="BH5280" s="42"/>
      <c r="BI5280" s="74"/>
      <c r="BJ5280" s="77"/>
      <c r="BL5280" s="497">
        <v>57.019999999999996</v>
      </c>
      <c r="BN5280" s="42"/>
      <c r="BO5280" s="74"/>
      <c r="BP5280" s="77"/>
      <c r="BR5280" s="497">
        <v>71.06</v>
      </c>
      <c r="BT5280" s="42"/>
    </row>
    <row r="5281" spans="1:72" x14ac:dyDescent="0.25">
      <c r="A5281" s="90">
        <v>34919</v>
      </c>
      <c r="B5281" s="20">
        <v>0.29166666666666669</v>
      </c>
      <c r="D5281">
        <v>71.06</v>
      </c>
      <c r="E5281" t="str">
        <f t="shared" si="200"/>
        <v>WEEKDAY</v>
      </c>
      <c r="F5281" t="e">
        <f t="shared" si="199"/>
        <v>#N/A</v>
      </c>
      <c r="G5281" s="74">
        <v>31997</v>
      </c>
      <c r="H5281" s="77">
        <v>0.29166666666666669</v>
      </c>
      <c r="J5281">
        <v>73.94</v>
      </c>
      <c r="M5281" s="74">
        <v>34554</v>
      </c>
      <c r="N5281" s="77">
        <v>0.29166666666666669</v>
      </c>
      <c r="P5281">
        <v>64.94</v>
      </c>
      <c r="S5281" s="74">
        <v>34919</v>
      </c>
      <c r="T5281" s="77">
        <v>0.29166666666666669</v>
      </c>
      <c r="V5281">
        <v>66.92</v>
      </c>
      <c r="X5281" s="42"/>
      <c r="AB5281">
        <v>71.400000000000006</v>
      </c>
      <c r="AC5281">
        <v>69.080000000000013</v>
      </c>
      <c r="AE5281" s="74"/>
      <c r="AF5281" s="77"/>
      <c r="AH5281" s="497">
        <v>60.980000000000004</v>
      </c>
      <c r="AJ5281" s="42"/>
      <c r="AK5281" s="74"/>
      <c r="AL5281" s="77"/>
      <c r="AN5281" s="497">
        <v>64.94</v>
      </c>
      <c r="AP5281" s="42"/>
      <c r="AQ5281" s="74"/>
      <c r="AR5281" s="77"/>
      <c r="AT5281" s="497">
        <v>66.92</v>
      </c>
      <c r="AV5281" s="42"/>
      <c r="AW5281" s="74"/>
      <c r="AX5281" s="77"/>
      <c r="BA5281" s="497">
        <v>73.039999999999992</v>
      </c>
      <c r="BB5281" s="42"/>
      <c r="BC5281" s="74"/>
      <c r="BD5281" s="77"/>
      <c r="BF5281">
        <v>69.98</v>
      </c>
      <c r="BH5281" s="42"/>
      <c r="BI5281" s="74"/>
      <c r="BJ5281" s="77"/>
      <c r="BL5281" s="497">
        <v>60.08</v>
      </c>
      <c r="BN5281" s="42"/>
      <c r="BO5281" s="74"/>
      <c r="BP5281" s="77"/>
      <c r="BR5281" s="497">
        <v>71.960000000000008</v>
      </c>
      <c r="BT5281" s="42"/>
    </row>
    <row r="5282" spans="1:72" x14ac:dyDescent="0.25">
      <c r="A5282" s="90">
        <v>34919</v>
      </c>
      <c r="B5282" s="20">
        <v>0.33333333333333331</v>
      </c>
      <c r="D5282">
        <v>73.039999999999992</v>
      </c>
      <c r="E5282" t="str">
        <f t="shared" si="200"/>
        <v>WEEKDAY</v>
      </c>
      <c r="F5282" t="e">
        <f t="shared" si="199"/>
        <v>#N/A</v>
      </c>
      <c r="G5282" s="74">
        <v>31997</v>
      </c>
      <c r="H5282" s="77">
        <v>0.33333333333333331</v>
      </c>
      <c r="J5282">
        <v>75.02</v>
      </c>
      <c r="M5282" s="74">
        <v>34554</v>
      </c>
      <c r="N5282" s="77">
        <v>0.33333333333333331</v>
      </c>
      <c r="P5282">
        <v>69.98</v>
      </c>
      <c r="S5282" s="74">
        <v>34919</v>
      </c>
      <c r="T5282" s="77">
        <v>0.33333333333333331</v>
      </c>
      <c r="V5282">
        <v>69.98</v>
      </c>
      <c r="X5282" s="42"/>
      <c r="AB5282">
        <v>73.5</v>
      </c>
      <c r="AC5282">
        <v>71.960000000000008</v>
      </c>
      <c r="AE5282" s="74"/>
      <c r="AF5282" s="77"/>
      <c r="AH5282" s="497">
        <v>68</v>
      </c>
      <c r="AJ5282" s="42"/>
      <c r="AK5282" s="74"/>
      <c r="AL5282" s="77"/>
      <c r="AN5282" s="497">
        <v>66.92</v>
      </c>
      <c r="AP5282" s="42"/>
      <c r="AQ5282" s="74"/>
      <c r="AR5282" s="77"/>
      <c r="AT5282" s="497">
        <v>69.080000000000013</v>
      </c>
      <c r="AV5282" s="42"/>
      <c r="AW5282" s="74"/>
      <c r="AX5282" s="77"/>
      <c r="BA5282" s="497">
        <v>75.02</v>
      </c>
      <c r="BB5282" s="42"/>
      <c r="BC5282" s="74"/>
      <c r="BD5282" s="77"/>
      <c r="BF5282">
        <v>73.039999999999992</v>
      </c>
      <c r="BH5282" s="42"/>
      <c r="BI5282" s="74"/>
      <c r="BJ5282" s="77"/>
      <c r="BL5282" s="497">
        <v>64.039999999999992</v>
      </c>
      <c r="BN5282" s="42"/>
      <c r="BO5282" s="74"/>
      <c r="BP5282" s="77"/>
      <c r="BR5282" s="497">
        <v>73.94</v>
      </c>
      <c r="BT5282" s="42"/>
    </row>
    <row r="5283" spans="1:72" x14ac:dyDescent="0.25">
      <c r="A5283" s="90">
        <v>34919</v>
      </c>
      <c r="B5283" s="20">
        <v>0.375</v>
      </c>
      <c r="D5283">
        <v>73.94</v>
      </c>
      <c r="E5283" t="str">
        <f t="shared" si="200"/>
        <v>WEEKDAY</v>
      </c>
      <c r="F5283" t="e">
        <f t="shared" si="199"/>
        <v>#N/A</v>
      </c>
      <c r="G5283" s="74">
        <v>31997</v>
      </c>
      <c r="H5283" s="77">
        <v>0.375</v>
      </c>
      <c r="J5283">
        <v>78.080000000000013</v>
      </c>
      <c r="M5283" s="74">
        <v>34554</v>
      </c>
      <c r="N5283" s="77">
        <v>0.375</v>
      </c>
      <c r="P5283">
        <v>72.86</v>
      </c>
      <c r="S5283" s="74">
        <v>34919</v>
      </c>
      <c r="T5283" s="77">
        <v>0.375</v>
      </c>
      <c r="V5283">
        <v>73.94</v>
      </c>
      <c r="X5283" s="42"/>
      <c r="AB5283">
        <v>75.5</v>
      </c>
      <c r="AC5283">
        <v>73.039999999999992</v>
      </c>
      <c r="AE5283" s="74"/>
      <c r="AF5283" s="77"/>
      <c r="AH5283" s="497">
        <v>72.86</v>
      </c>
      <c r="AJ5283" s="42"/>
      <c r="AK5283" s="74"/>
      <c r="AL5283" s="77"/>
      <c r="AN5283" s="497">
        <v>69.98</v>
      </c>
      <c r="AP5283" s="42"/>
      <c r="AQ5283" s="74"/>
      <c r="AR5283" s="77"/>
      <c r="AT5283" s="497">
        <v>73.039999999999992</v>
      </c>
      <c r="AV5283" s="42"/>
      <c r="AW5283" s="74"/>
      <c r="AX5283" s="77"/>
      <c r="BA5283" s="497">
        <v>75.92</v>
      </c>
      <c r="BB5283" s="42"/>
      <c r="BC5283" s="74"/>
      <c r="BD5283" s="77"/>
      <c r="BF5283">
        <v>73.94</v>
      </c>
      <c r="BH5283" s="42"/>
      <c r="BI5283" s="74"/>
      <c r="BJ5283" s="77"/>
      <c r="BL5283" s="497">
        <v>68</v>
      </c>
      <c r="BN5283" s="42"/>
      <c r="BO5283" s="74"/>
      <c r="BP5283" s="77"/>
      <c r="BR5283" s="497">
        <v>75.02</v>
      </c>
      <c r="BT5283" s="42"/>
    </row>
    <row r="5284" spans="1:72" x14ac:dyDescent="0.25">
      <c r="A5284" s="90">
        <v>34919</v>
      </c>
      <c r="B5284" s="20">
        <v>0.41666666666666669</v>
      </c>
      <c r="D5284">
        <v>77</v>
      </c>
      <c r="E5284" t="str">
        <f t="shared" si="200"/>
        <v>WEEKDAY</v>
      </c>
      <c r="F5284" t="e">
        <f t="shared" si="199"/>
        <v>#N/A</v>
      </c>
      <c r="G5284" s="74">
        <v>31997</v>
      </c>
      <c r="H5284" s="77">
        <v>0.41666666666666669</v>
      </c>
      <c r="J5284">
        <v>80.06</v>
      </c>
      <c r="M5284" s="74">
        <v>34554</v>
      </c>
      <c r="N5284" s="77">
        <v>0.41666666666666669</v>
      </c>
      <c r="P5284">
        <v>75.92</v>
      </c>
      <c r="S5284" s="74">
        <v>34919</v>
      </c>
      <c r="T5284" s="77">
        <v>0.41666666666666669</v>
      </c>
      <c r="V5284">
        <v>77</v>
      </c>
      <c r="X5284" s="42"/>
      <c r="AB5284">
        <v>77.3</v>
      </c>
      <c r="AC5284">
        <v>75.02</v>
      </c>
      <c r="AE5284" s="74"/>
      <c r="AF5284" s="77"/>
      <c r="AH5284" s="497">
        <v>77</v>
      </c>
      <c r="AJ5284" s="42"/>
      <c r="AK5284" s="74"/>
      <c r="AL5284" s="77"/>
      <c r="AN5284" s="497">
        <v>73.94</v>
      </c>
      <c r="AP5284" s="42"/>
      <c r="AQ5284" s="74"/>
      <c r="AR5284" s="77"/>
      <c r="AT5284" s="497">
        <v>75.02</v>
      </c>
      <c r="AV5284" s="42"/>
      <c r="AW5284" s="74"/>
      <c r="AX5284" s="77"/>
      <c r="BA5284" s="497">
        <v>78.080000000000013</v>
      </c>
      <c r="BB5284" s="42"/>
      <c r="BC5284" s="74"/>
      <c r="BD5284" s="77"/>
      <c r="BF5284">
        <v>75.92</v>
      </c>
      <c r="BH5284" s="42"/>
      <c r="BI5284" s="74"/>
      <c r="BJ5284" s="77"/>
      <c r="BL5284" s="497">
        <v>71.06</v>
      </c>
      <c r="BN5284" s="42"/>
      <c r="BO5284" s="74"/>
      <c r="BP5284" s="77"/>
      <c r="BR5284" s="497">
        <v>78.080000000000013</v>
      </c>
      <c r="BT5284" s="42"/>
    </row>
    <row r="5285" spans="1:72" x14ac:dyDescent="0.25">
      <c r="A5285" s="90">
        <v>34919</v>
      </c>
      <c r="B5285" s="20">
        <v>0.45833333333333331</v>
      </c>
      <c r="D5285">
        <v>78.98</v>
      </c>
      <c r="E5285" t="str">
        <f t="shared" si="200"/>
        <v>WEEKDAY</v>
      </c>
      <c r="F5285" t="e">
        <f t="shared" si="199"/>
        <v>#N/A</v>
      </c>
      <c r="G5285" s="74">
        <v>31997</v>
      </c>
      <c r="H5285" s="77">
        <v>0.45833333333333331</v>
      </c>
      <c r="J5285">
        <v>82.039999999999992</v>
      </c>
      <c r="M5285" s="74">
        <v>34554</v>
      </c>
      <c r="N5285" s="77">
        <v>0.45833333333333331</v>
      </c>
      <c r="P5285">
        <v>77</v>
      </c>
      <c r="S5285" s="74">
        <v>34919</v>
      </c>
      <c r="T5285" s="77">
        <v>0.45833333333333331</v>
      </c>
      <c r="V5285">
        <v>78.98</v>
      </c>
      <c r="X5285" s="42"/>
      <c r="AB5285">
        <v>78.8</v>
      </c>
      <c r="AC5285">
        <v>75.92</v>
      </c>
      <c r="AE5285" s="74"/>
      <c r="AF5285" s="77"/>
      <c r="AH5285" s="497">
        <v>78.98</v>
      </c>
      <c r="AJ5285" s="42"/>
      <c r="AK5285" s="74"/>
      <c r="AL5285" s="77"/>
      <c r="AN5285" s="497">
        <v>75.92</v>
      </c>
      <c r="AP5285" s="42"/>
      <c r="AQ5285" s="74"/>
      <c r="AR5285" s="77"/>
      <c r="AT5285" s="497">
        <v>77</v>
      </c>
      <c r="AV5285" s="42"/>
      <c r="AW5285" s="74"/>
      <c r="AX5285" s="77"/>
      <c r="BA5285" s="497">
        <v>80.06</v>
      </c>
      <c r="BB5285" s="42"/>
      <c r="BC5285" s="74"/>
      <c r="BD5285" s="77"/>
      <c r="BF5285">
        <v>78.080000000000013</v>
      </c>
      <c r="BH5285" s="42"/>
      <c r="BI5285" s="74"/>
      <c r="BJ5285" s="77"/>
      <c r="BL5285" s="497">
        <v>71.960000000000008</v>
      </c>
      <c r="BN5285" s="42"/>
      <c r="BO5285" s="74"/>
      <c r="BP5285" s="77"/>
      <c r="BR5285" s="497">
        <v>77</v>
      </c>
      <c r="BT5285" s="42"/>
    </row>
    <row r="5286" spans="1:72" x14ac:dyDescent="0.25">
      <c r="A5286" s="90">
        <v>34919</v>
      </c>
      <c r="B5286" s="20">
        <v>0.5</v>
      </c>
      <c r="D5286">
        <v>80.960000000000008</v>
      </c>
      <c r="E5286" t="str">
        <f t="shared" si="200"/>
        <v>WEEKDAY</v>
      </c>
      <c r="F5286" t="e">
        <f t="shared" si="199"/>
        <v>#N/A</v>
      </c>
      <c r="G5286" s="74">
        <v>31997</v>
      </c>
      <c r="H5286" s="77">
        <v>0.5</v>
      </c>
      <c r="J5286">
        <v>82.94</v>
      </c>
      <c r="M5286" s="74">
        <v>34554</v>
      </c>
      <c r="N5286" s="77">
        <v>0.5</v>
      </c>
      <c r="P5286">
        <v>75.92</v>
      </c>
      <c r="S5286" s="74">
        <v>34919</v>
      </c>
      <c r="T5286" s="77">
        <v>0.5</v>
      </c>
      <c r="V5286">
        <v>80.06</v>
      </c>
      <c r="X5286" s="42"/>
      <c r="AB5286">
        <v>79.900000000000006</v>
      </c>
      <c r="AC5286">
        <v>78.080000000000013</v>
      </c>
      <c r="AE5286" s="74"/>
      <c r="AF5286" s="77"/>
      <c r="AH5286" s="497">
        <v>79.88</v>
      </c>
      <c r="AJ5286" s="42"/>
      <c r="AK5286" s="74"/>
      <c r="AL5286" s="77"/>
      <c r="AN5286" s="497">
        <v>77</v>
      </c>
      <c r="AP5286" s="42"/>
      <c r="AQ5286" s="74"/>
      <c r="AR5286" s="77"/>
      <c r="AT5286" s="497">
        <v>78.080000000000013</v>
      </c>
      <c r="AV5286" s="42"/>
      <c r="AW5286" s="74"/>
      <c r="AX5286" s="77"/>
      <c r="BA5286" s="497">
        <v>82.039999999999992</v>
      </c>
      <c r="BB5286" s="42"/>
      <c r="BC5286" s="74"/>
      <c r="BD5286" s="77"/>
      <c r="BF5286">
        <v>80.06</v>
      </c>
      <c r="BH5286" s="42"/>
      <c r="BI5286" s="74"/>
      <c r="BJ5286" s="77"/>
      <c r="BL5286" s="497">
        <v>73.94</v>
      </c>
      <c r="BN5286" s="42"/>
      <c r="BO5286" s="74"/>
      <c r="BP5286" s="77"/>
      <c r="BR5286" s="497">
        <v>69.080000000000013</v>
      </c>
      <c r="BT5286" s="42"/>
    </row>
    <row r="5287" spans="1:72" x14ac:dyDescent="0.25">
      <c r="A5287" s="90">
        <v>34919</v>
      </c>
      <c r="B5287" s="20">
        <v>0.54166666666666663</v>
      </c>
      <c r="D5287">
        <v>80.960000000000008</v>
      </c>
      <c r="E5287" t="str">
        <f t="shared" si="200"/>
        <v>WEEKDAY</v>
      </c>
      <c r="F5287" t="e">
        <f t="shared" si="199"/>
        <v>#N/A</v>
      </c>
      <c r="G5287" s="74">
        <v>31997</v>
      </c>
      <c r="H5287" s="77">
        <v>0.54166666666666663</v>
      </c>
      <c r="J5287">
        <v>84.92</v>
      </c>
      <c r="M5287" s="74">
        <v>34554</v>
      </c>
      <c r="N5287" s="77">
        <v>0.54166666666666663</v>
      </c>
      <c r="P5287">
        <v>77</v>
      </c>
      <c r="S5287" s="74">
        <v>34919</v>
      </c>
      <c r="T5287" s="77">
        <v>0.54166666666666663</v>
      </c>
      <c r="V5287">
        <v>80.06</v>
      </c>
      <c r="X5287" s="42"/>
      <c r="AB5287">
        <v>80.7</v>
      </c>
      <c r="AC5287">
        <v>78.080000000000013</v>
      </c>
      <c r="AE5287" s="74"/>
      <c r="AF5287" s="77"/>
      <c r="AH5287" s="497">
        <v>80.960000000000008</v>
      </c>
      <c r="AJ5287" s="42"/>
      <c r="AK5287" s="74"/>
      <c r="AL5287" s="77"/>
      <c r="AN5287" s="497">
        <v>78.98</v>
      </c>
      <c r="AP5287" s="42"/>
      <c r="AQ5287" s="74"/>
      <c r="AR5287" s="77"/>
      <c r="AT5287" s="497">
        <v>80.960000000000008</v>
      </c>
      <c r="AV5287" s="42"/>
      <c r="AW5287" s="74"/>
      <c r="AX5287" s="77"/>
      <c r="BA5287" s="497">
        <v>80.960000000000008</v>
      </c>
      <c r="BB5287" s="42"/>
      <c r="BC5287" s="74"/>
      <c r="BD5287" s="77"/>
      <c r="BF5287">
        <v>80.960000000000008</v>
      </c>
      <c r="BH5287" s="42"/>
      <c r="BI5287" s="74"/>
      <c r="BJ5287" s="77"/>
      <c r="BL5287" s="497">
        <v>75.02</v>
      </c>
      <c r="BN5287" s="42"/>
      <c r="BO5287" s="74"/>
      <c r="BP5287" s="77"/>
      <c r="BR5287" s="497">
        <v>73.94</v>
      </c>
      <c r="BT5287" s="42"/>
    </row>
    <row r="5288" spans="1:72" x14ac:dyDescent="0.25">
      <c r="A5288" s="90">
        <v>34919</v>
      </c>
      <c r="B5288" s="20">
        <v>0.58333333333333337</v>
      </c>
      <c r="D5288">
        <v>82.94</v>
      </c>
      <c r="E5288" t="str">
        <f t="shared" si="200"/>
        <v>WEEKDAY</v>
      </c>
      <c r="F5288" t="e">
        <f t="shared" si="199"/>
        <v>#N/A</v>
      </c>
      <c r="G5288" s="74">
        <v>31997</v>
      </c>
      <c r="H5288" s="77">
        <v>0.58333333333333337</v>
      </c>
      <c r="J5288">
        <v>87.080000000000013</v>
      </c>
      <c r="M5288" s="74">
        <v>34554</v>
      </c>
      <c r="N5288" s="77">
        <v>0.58333333333333337</v>
      </c>
      <c r="P5288">
        <v>77.900000000000006</v>
      </c>
      <c r="S5288" s="74">
        <v>34919</v>
      </c>
      <c r="T5288" s="77">
        <v>0.58333333333333337</v>
      </c>
      <c r="V5288">
        <v>78.98</v>
      </c>
      <c r="X5288" s="42"/>
      <c r="AB5288">
        <v>81</v>
      </c>
      <c r="AC5288">
        <v>80.06</v>
      </c>
      <c r="AE5288" s="74"/>
      <c r="AF5288" s="77"/>
      <c r="AH5288" s="497">
        <v>81.86</v>
      </c>
      <c r="AJ5288" s="42"/>
      <c r="AK5288" s="74"/>
      <c r="AL5288" s="77"/>
      <c r="AN5288" s="497">
        <v>80.06</v>
      </c>
      <c r="AP5288" s="42"/>
      <c r="AQ5288" s="74"/>
      <c r="AR5288" s="77"/>
      <c r="AT5288" s="497">
        <v>82.94</v>
      </c>
      <c r="AV5288" s="42"/>
      <c r="AW5288" s="74"/>
      <c r="AX5288" s="77"/>
      <c r="BA5288" s="497">
        <v>84.02</v>
      </c>
      <c r="BB5288" s="42"/>
      <c r="BC5288" s="74"/>
      <c r="BD5288" s="77"/>
      <c r="BF5288">
        <v>82.039999999999992</v>
      </c>
      <c r="BH5288" s="42"/>
      <c r="BI5288" s="74"/>
      <c r="BJ5288" s="77"/>
      <c r="BL5288" s="497">
        <v>75.92</v>
      </c>
      <c r="BN5288" s="42"/>
      <c r="BO5288" s="74"/>
      <c r="BP5288" s="77"/>
      <c r="BR5288" s="497">
        <v>78.98</v>
      </c>
      <c r="BT5288" s="42"/>
    </row>
    <row r="5289" spans="1:72" x14ac:dyDescent="0.25">
      <c r="A5289" s="90">
        <v>34919</v>
      </c>
      <c r="B5289" s="20">
        <v>0.625</v>
      </c>
      <c r="D5289">
        <v>82.94</v>
      </c>
      <c r="E5289" t="str">
        <f t="shared" si="200"/>
        <v>WEEKDAY</v>
      </c>
      <c r="F5289" t="e">
        <f t="shared" si="199"/>
        <v>#N/A</v>
      </c>
      <c r="G5289" s="74">
        <v>31997</v>
      </c>
      <c r="H5289" s="77">
        <v>0.625</v>
      </c>
      <c r="J5289">
        <v>87.98</v>
      </c>
      <c r="M5289" s="74">
        <v>34554</v>
      </c>
      <c r="N5289" s="77">
        <v>0.625</v>
      </c>
      <c r="P5289">
        <v>75.92</v>
      </c>
      <c r="S5289" s="74">
        <v>34919</v>
      </c>
      <c r="T5289" s="77">
        <v>0.625</v>
      </c>
      <c r="V5289">
        <v>78.98</v>
      </c>
      <c r="X5289" s="42"/>
      <c r="AB5289">
        <v>81.099999999999994</v>
      </c>
      <c r="AC5289">
        <v>80.06</v>
      </c>
      <c r="AE5289" s="74"/>
      <c r="AF5289" s="77"/>
      <c r="AH5289" s="497">
        <v>81.86</v>
      </c>
      <c r="AJ5289" s="42"/>
      <c r="AK5289" s="74"/>
      <c r="AL5289" s="77"/>
      <c r="AN5289" s="497">
        <v>82.039999999999992</v>
      </c>
      <c r="AP5289" s="42"/>
      <c r="AQ5289" s="74"/>
      <c r="AR5289" s="77"/>
      <c r="AT5289" s="497">
        <v>84.92</v>
      </c>
      <c r="AV5289" s="42"/>
      <c r="AW5289" s="74"/>
      <c r="AX5289" s="77"/>
      <c r="BA5289" s="497">
        <v>84.02</v>
      </c>
      <c r="BB5289" s="42"/>
      <c r="BC5289" s="74"/>
      <c r="BD5289" s="77"/>
      <c r="BF5289">
        <v>82.039999999999992</v>
      </c>
      <c r="BH5289" s="42"/>
      <c r="BI5289" s="74"/>
      <c r="BJ5289" s="77"/>
      <c r="BL5289" s="497">
        <v>77</v>
      </c>
      <c r="BN5289" s="42"/>
      <c r="BO5289" s="74"/>
      <c r="BP5289" s="77"/>
      <c r="BR5289" s="497">
        <v>77</v>
      </c>
      <c r="BT5289" s="42"/>
    </row>
    <row r="5290" spans="1:72" x14ac:dyDescent="0.25">
      <c r="A5290" s="90">
        <v>34919</v>
      </c>
      <c r="B5290" s="20">
        <v>0.66666666666666663</v>
      </c>
      <c r="D5290">
        <v>82.94</v>
      </c>
      <c r="E5290" t="str">
        <f t="shared" si="200"/>
        <v>WEEKDAY</v>
      </c>
      <c r="F5290" t="e">
        <f t="shared" si="199"/>
        <v>#N/A</v>
      </c>
      <c r="G5290" s="74">
        <v>31997</v>
      </c>
      <c r="H5290" s="77">
        <v>0.66666666666666663</v>
      </c>
      <c r="J5290">
        <v>87.080000000000013</v>
      </c>
      <c r="M5290" s="74">
        <v>34554</v>
      </c>
      <c r="N5290" s="77">
        <v>0.66666666666666663</v>
      </c>
      <c r="P5290">
        <v>75.92</v>
      </c>
      <c r="S5290" s="74">
        <v>34919</v>
      </c>
      <c r="T5290" s="77">
        <v>0.66666666666666663</v>
      </c>
      <c r="V5290">
        <v>78.080000000000013</v>
      </c>
      <c r="X5290" s="42"/>
      <c r="AB5290">
        <v>80.599999999999994</v>
      </c>
      <c r="AC5290">
        <v>80.06</v>
      </c>
      <c r="AE5290" s="74"/>
      <c r="AF5290" s="77"/>
      <c r="AH5290" s="497">
        <v>82.94</v>
      </c>
      <c r="AJ5290" s="42"/>
      <c r="AK5290" s="74"/>
      <c r="AL5290" s="77"/>
      <c r="AN5290" s="497">
        <v>78.080000000000013</v>
      </c>
      <c r="AP5290" s="42"/>
      <c r="AQ5290" s="74"/>
      <c r="AR5290" s="77"/>
      <c r="AT5290" s="497">
        <v>84.02</v>
      </c>
      <c r="AV5290" s="42"/>
      <c r="AW5290" s="74"/>
      <c r="AX5290" s="77"/>
      <c r="BA5290" s="497">
        <v>84.02</v>
      </c>
      <c r="BB5290" s="42"/>
      <c r="BC5290" s="74"/>
      <c r="BD5290" s="77"/>
      <c r="BF5290">
        <v>82.039999999999992</v>
      </c>
      <c r="BH5290" s="42"/>
      <c r="BI5290" s="74"/>
      <c r="BJ5290" s="77"/>
      <c r="BL5290" s="497">
        <v>78.080000000000013</v>
      </c>
      <c r="BN5290" s="42"/>
      <c r="BO5290" s="74"/>
      <c r="BP5290" s="77"/>
      <c r="BR5290" s="497">
        <v>75.92</v>
      </c>
      <c r="BT5290" s="42"/>
    </row>
    <row r="5291" spans="1:72" x14ac:dyDescent="0.25">
      <c r="A5291" s="90">
        <v>34919</v>
      </c>
      <c r="B5291" s="20">
        <v>0.70833333333333337</v>
      </c>
      <c r="D5291">
        <v>80.960000000000008</v>
      </c>
      <c r="E5291" t="str">
        <f t="shared" si="200"/>
        <v>WEEKDAY</v>
      </c>
      <c r="F5291" t="e">
        <f t="shared" ref="F5291:F5354" si="201">IF(E5291="WEEKDAY",VLOOKUP(B5291,$DD$19:$DG$42,2),IF(E5291="SATURDAY",VLOOKUP(B5291,$DD$19:$DG$42,3),VLOOKUP(B5291,$DD$19:$DG$42,4)))</f>
        <v>#N/A</v>
      </c>
      <c r="G5291" s="74">
        <v>31997</v>
      </c>
      <c r="H5291" s="77">
        <v>0.70833333333333337</v>
      </c>
      <c r="J5291">
        <v>86</v>
      </c>
      <c r="M5291" s="74">
        <v>34554</v>
      </c>
      <c r="N5291" s="77">
        <v>0.70833333333333337</v>
      </c>
      <c r="P5291">
        <v>74.84</v>
      </c>
      <c r="S5291" s="74">
        <v>34919</v>
      </c>
      <c r="T5291" s="77">
        <v>0.70833333333333337</v>
      </c>
      <c r="V5291">
        <v>75.92</v>
      </c>
      <c r="X5291" s="42"/>
      <c r="AB5291">
        <v>79.8</v>
      </c>
      <c r="AC5291">
        <v>78.98</v>
      </c>
      <c r="AE5291" s="74"/>
      <c r="AF5291" s="77"/>
      <c r="AH5291" s="497">
        <v>80.960000000000008</v>
      </c>
      <c r="AJ5291" s="42"/>
      <c r="AK5291" s="74"/>
      <c r="AL5291" s="77"/>
      <c r="AN5291" s="497">
        <v>80.06</v>
      </c>
      <c r="AP5291" s="42"/>
      <c r="AQ5291" s="74"/>
      <c r="AR5291" s="77"/>
      <c r="AT5291" s="497">
        <v>82.039999999999992</v>
      </c>
      <c r="AV5291" s="42"/>
      <c r="AW5291" s="74"/>
      <c r="AX5291" s="77"/>
      <c r="BA5291" s="497">
        <v>82.94</v>
      </c>
      <c r="BB5291" s="42"/>
      <c r="BC5291" s="74"/>
      <c r="BD5291" s="77"/>
      <c r="BF5291">
        <v>82.039999999999992</v>
      </c>
      <c r="BH5291" s="42"/>
      <c r="BI5291" s="74"/>
      <c r="BJ5291" s="77"/>
      <c r="BL5291" s="497">
        <v>77</v>
      </c>
      <c r="BN5291" s="42"/>
      <c r="BO5291" s="74"/>
      <c r="BP5291" s="77"/>
      <c r="BR5291" s="497">
        <v>75.92</v>
      </c>
      <c r="BT5291" s="42"/>
    </row>
    <row r="5292" spans="1:72" x14ac:dyDescent="0.25">
      <c r="A5292" s="90">
        <v>34919</v>
      </c>
      <c r="B5292" s="20">
        <v>0.75</v>
      </c>
      <c r="D5292">
        <v>80.06</v>
      </c>
      <c r="E5292" t="str">
        <f t="shared" si="200"/>
        <v>WEEKDAY</v>
      </c>
      <c r="F5292" t="e">
        <f t="shared" si="201"/>
        <v>#N/A</v>
      </c>
      <c r="G5292" s="74">
        <v>31997</v>
      </c>
      <c r="H5292" s="77">
        <v>0.75</v>
      </c>
      <c r="J5292">
        <v>82.039999999999992</v>
      </c>
      <c r="M5292" s="74">
        <v>34554</v>
      </c>
      <c r="N5292" s="77">
        <v>0.75</v>
      </c>
      <c r="P5292">
        <v>73.94</v>
      </c>
      <c r="S5292" s="74">
        <v>34919</v>
      </c>
      <c r="T5292" s="77">
        <v>0.75</v>
      </c>
      <c r="V5292">
        <v>71.960000000000008</v>
      </c>
      <c r="X5292" s="42"/>
      <c r="AB5292">
        <v>78.8</v>
      </c>
      <c r="AC5292">
        <v>78.080000000000013</v>
      </c>
      <c r="AE5292" s="74"/>
      <c r="AF5292" s="77"/>
      <c r="AH5292" s="497">
        <v>79.34</v>
      </c>
      <c r="AJ5292" s="42"/>
      <c r="AK5292" s="74"/>
      <c r="AL5292" s="77"/>
      <c r="AN5292" s="497">
        <v>78.98</v>
      </c>
      <c r="AP5292" s="42"/>
      <c r="AQ5292" s="74"/>
      <c r="AR5292" s="77"/>
      <c r="AT5292" s="497">
        <v>80.960000000000008</v>
      </c>
      <c r="AV5292" s="42"/>
      <c r="AW5292" s="74"/>
      <c r="AX5292" s="77"/>
      <c r="BA5292" s="497">
        <v>82.039999999999992</v>
      </c>
      <c r="BB5292" s="42"/>
      <c r="BC5292" s="74"/>
      <c r="BD5292" s="77"/>
      <c r="BF5292">
        <v>80.06</v>
      </c>
      <c r="BH5292" s="42"/>
      <c r="BI5292" s="74"/>
      <c r="BJ5292" s="77"/>
      <c r="BL5292" s="497">
        <v>75.92</v>
      </c>
      <c r="BN5292" s="42"/>
      <c r="BO5292" s="74"/>
      <c r="BP5292" s="77"/>
      <c r="BR5292" s="497">
        <v>75.92</v>
      </c>
      <c r="BT5292" s="42"/>
    </row>
    <row r="5293" spans="1:72" x14ac:dyDescent="0.25">
      <c r="A5293" s="90">
        <v>34919</v>
      </c>
      <c r="B5293" s="20">
        <v>0.79166666666666663</v>
      </c>
      <c r="D5293">
        <v>78.080000000000013</v>
      </c>
      <c r="E5293" t="str">
        <f t="shared" si="200"/>
        <v>WEEKDAY</v>
      </c>
      <c r="F5293" t="e">
        <f t="shared" si="201"/>
        <v>#N/A</v>
      </c>
      <c r="G5293" s="74">
        <v>31997</v>
      </c>
      <c r="H5293" s="77">
        <v>0.79166666666666663</v>
      </c>
      <c r="J5293">
        <v>82.94</v>
      </c>
      <c r="M5293" s="74">
        <v>34554</v>
      </c>
      <c r="N5293" s="77">
        <v>0.79166666666666663</v>
      </c>
      <c r="P5293">
        <v>69.98</v>
      </c>
      <c r="S5293" s="74">
        <v>34919</v>
      </c>
      <c r="T5293" s="77">
        <v>0.79166666666666663</v>
      </c>
      <c r="V5293">
        <v>71.06</v>
      </c>
      <c r="X5293" s="42"/>
      <c r="AB5293">
        <v>77.5</v>
      </c>
      <c r="AC5293">
        <v>75.02</v>
      </c>
      <c r="AE5293" s="74"/>
      <c r="AF5293" s="77"/>
      <c r="AH5293" s="497">
        <v>75.92</v>
      </c>
      <c r="AJ5293" s="42"/>
      <c r="AK5293" s="74"/>
      <c r="AL5293" s="77"/>
      <c r="AN5293" s="497">
        <v>75.92</v>
      </c>
      <c r="AP5293" s="42"/>
      <c r="AQ5293" s="74"/>
      <c r="AR5293" s="77"/>
      <c r="AT5293" s="497">
        <v>75.92</v>
      </c>
      <c r="AV5293" s="42"/>
      <c r="AW5293" s="74"/>
      <c r="AX5293" s="77"/>
      <c r="BA5293" s="497">
        <v>77</v>
      </c>
      <c r="BB5293" s="42"/>
      <c r="BC5293" s="74"/>
      <c r="BD5293" s="77"/>
      <c r="BF5293">
        <v>78.080000000000013</v>
      </c>
      <c r="BH5293" s="42"/>
      <c r="BI5293" s="74"/>
      <c r="BJ5293" s="77"/>
      <c r="BL5293" s="497">
        <v>73.039999999999992</v>
      </c>
      <c r="BN5293" s="42"/>
      <c r="BO5293" s="74"/>
      <c r="BP5293" s="77"/>
      <c r="BR5293" s="497">
        <v>73.94</v>
      </c>
      <c r="BT5293" s="42"/>
    </row>
    <row r="5294" spans="1:72" x14ac:dyDescent="0.25">
      <c r="A5294" s="90">
        <v>34919</v>
      </c>
      <c r="B5294" s="20">
        <v>0.83333333333333337</v>
      </c>
      <c r="D5294">
        <v>78.080000000000013</v>
      </c>
      <c r="E5294" t="str">
        <f t="shared" si="200"/>
        <v>WEEKDAY</v>
      </c>
      <c r="F5294" t="e">
        <f t="shared" si="201"/>
        <v>#N/A</v>
      </c>
      <c r="G5294" s="74">
        <v>31997</v>
      </c>
      <c r="H5294" s="77">
        <v>0.83333333333333337</v>
      </c>
      <c r="J5294">
        <v>80.06</v>
      </c>
      <c r="M5294" s="74">
        <v>34554</v>
      </c>
      <c r="N5294" s="77">
        <v>0.83333333333333337</v>
      </c>
      <c r="P5294">
        <v>66.92</v>
      </c>
      <c r="S5294" s="74">
        <v>34919</v>
      </c>
      <c r="T5294" s="77">
        <v>0.83333333333333337</v>
      </c>
      <c r="V5294">
        <v>69.98</v>
      </c>
      <c r="X5294" s="42"/>
      <c r="AB5294">
        <v>76.099999999999994</v>
      </c>
      <c r="AC5294">
        <v>71.06</v>
      </c>
      <c r="AE5294" s="74"/>
      <c r="AF5294" s="77"/>
      <c r="AH5294" s="497">
        <v>71.960000000000008</v>
      </c>
      <c r="AJ5294" s="42"/>
      <c r="AK5294" s="74"/>
      <c r="AL5294" s="77"/>
      <c r="AN5294" s="497">
        <v>71.06</v>
      </c>
      <c r="AP5294" s="42"/>
      <c r="AQ5294" s="74"/>
      <c r="AR5294" s="77"/>
      <c r="AT5294" s="497">
        <v>71.06</v>
      </c>
      <c r="AV5294" s="42"/>
      <c r="AW5294" s="74"/>
      <c r="AX5294" s="77"/>
      <c r="BA5294" s="497">
        <v>73.94</v>
      </c>
      <c r="BB5294" s="42"/>
      <c r="BC5294" s="74"/>
      <c r="BD5294" s="77"/>
      <c r="BF5294">
        <v>75.02</v>
      </c>
      <c r="BH5294" s="42"/>
      <c r="BI5294" s="74"/>
      <c r="BJ5294" s="77"/>
      <c r="BL5294" s="497">
        <v>69.98</v>
      </c>
      <c r="BN5294" s="42"/>
      <c r="BO5294" s="74"/>
      <c r="BP5294" s="77"/>
      <c r="BR5294" s="497">
        <v>71.960000000000008</v>
      </c>
      <c r="BT5294" s="42"/>
    </row>
    <row r="5295" spans="1:72" x14ac:dyDescent="0.25">
      <c r="A5295" s="90">
        <v>34919</v>
      </c>
      <c r="B5295" s="20">
        <v>0.875</v>
      </c>
      <c r="D5295">
        <v>77</v>
      </c>
      <c r="E5295" t="str">
        <f t="shared" si="200"/>
        <v>WEEKDAY</v>
      </c>
      <c r="F5295" t="e">
        <f t="shared" si="201"/>
        <v>#N/A</v>
      </c>
      <c r="G5295" s="74">
        <v>31997</v>
      </c>
      <c r="H5295" s="77">
        <v>0.875</v>
      </c>
      <c r="J5295">
        <v>80.960000000000008</v>
      </c>
      <c r="M5295" s="74">
        <v>34554</v>
      </c>
      <c r="N5295" s="77">
        <v>0.875</v>
      </c>
      <c r="P5295">
        <v>64.94</v>
      </c>
      <c r="S5295" s="74">
        <v>34919</v>
      </c>
      <c r="T5295" s="77">
        <v>0.875</v>
      </c>
      <c r="V5295">
        <v>69.080000000000013</v>
      </c>
      <c r="X5295" s="42"/>
      <c r="AB5295">
        <v>75.2</v>
      </c>
      <c r="AC5295">
        <v>69.98</v>
      </c>
      <c r="AE5295" s="74"/>
      <c r="AF5295" s="77"/>
      <c r="AH5295" s="497">
        <v>65.84</v>
      </c>
      <c r="AJ5295" s="42"/>
      <c r="AK5295" s="74"/>
      <c r="AL5295" s="77"/>
      <c r="AN5295" s="497">
        <v>69.080000000000013</v>
      </c>
      <c r="AP5295" s="42"/>
      <c r="AQ5295" s="74"/>
      <c r="AR5295" s="77"/>
      <c r="AT5295" s="497">
        <v>73.039999999999992</v>
      </c>
      <c r="AV5295" s="42"/>
      <c r="AW5295" s="74"/>
      <c r="AX5295" s="77"/>
      <c r="BA5295" s="497">
        <v>71.960000000000008</v>
      </c>
      <c r="BB5295" s="42"/>
      <c r="BC5295" s="74"/>
      <c r="BD5295" s="77"/>
      <c r="BF5295">
        <v>73.039999999999992</v>
      </c>
      <c r="BH5295" s="42"/>
      <c r="BI5295" s="74"/>
      <c r="BJ5295" s="77"/>
      <c r="BL5295" s="497">
        <v>64.039999999999992</v>
      </c>
      <c r="BN5295" s="42"/>
      <c r="BO5295" s="74"/>
      <c r="BP5295" s="77"/>
      <c r="BR5295" s="497">
        <v>71.06</v>
      </c>
      <c r="BT5295" s="42"/>
    </row>
    <row r="5296" spans="1:72" x14ac:dyDescent="0.25">
      <c r="A5296" s="90">
        <v>34919</v>
      </c>
      <c r="B5296" s="20">
        <v>0.91666666666666663</v>
      </c>
      <c r="D5296">
        <v>75.02</v>
      </c>
      <c r="E5296" t="str">
        <f t="shared" si="200"/>
        <v>WEEKDAY</v>
      </c>
      <c r="F5296" t="e">
        <f t="shared" si="201"/>
        <v>#N/A</v>
      </c>
      <c r="G5296" s="74">
        <v>31997</v>
      </c>
      <c r="H5296" s="77">
        <v>0.91666666666666663</v>
      </c>
      <c r="J5296">
        <v>78.98</v>
      </c>
      <c r="M5296" s="74">
        <v>34554</v>
      </c>
      <c r="N5296" s="77">
        <v>0.91666666666666663</v>
      </c>
      <c r="P5296">
        <v>63.86</v>
      </c>
      <c r="S5296" s="74">
        <v>34919</v>
      </c>
      <c r="T5296" s="77">
        <v>0.91666666666666663</v>
      </c>
      <c r="V5296">
        <v>68</v>
      </c>
      <c r="X5296" s="42"/>
      <c r="AB5296">
        <v>74.599999999999994</v>
      </c>
      <c r="AC5296">
        <v>66.92</v>
      </c>
      <c r="AE5296" s="74"/>
      <c r="AF5296" s="77"/>
      <c r="AH5296" s="497">
        <v>65.84</v>
      </c>
      <c r="AJ5296" s="42"/>
      <c r="AK5296" s="74"/>
      <c r="AL5296" s="77"/>
      <c r="AN5296" s="497">
        <v>68</v>
      </c>
      <c r="AP5296" s="42"/>
      <c r="AQ5296" s="74"/>
      <c r="AR5296" s="77"/>
      <c r="AT5296" s="497">
        <v>66.92</v>
      </c>
      <c r="AV5296" s="42"/>
      <c r="AW5296" s="74"/>
      <c r="AX5296" s="77"/>
      <c r="BA5296" s="497">
        <v>71.960000000000008</v>
      </c>
      <c r="BB5296" s="42"/>
      <c r="BC5296" s="74"/>
      <c r="BD5296" s="77"/>
      <c r="BF5296">
        <v>69.98</v>
      </c>
      <c r="BH5296" s="42"/>
      <c r="BI5296" s="74"/>
      <c r="BJ5296" s="77"/>
      <c r="BL5296" s="497">
        <v>62.96</v>
      </c>
      <c r="BN5296" s="42"/>
      <c r="BO5296" s="74"/>
      <c r="BP5296" s="77"/>
      <c r="BR5296" s="497">
        <v>71.06</v>
      </c>
      <c r="BT5296" s="42"/>
    </row>
    <row r="5297" spans="1:72" x14ac:dyDescent="0.25">
      <c r="A5297" s="90">
        <v>34919</v>
      </c>
      <c r="B5297" s="20">
        <v>0.95833333333333337</v>
      </c>
      <c r="D5297">
        <v>75.02</v>
      </c>
      <c r="E5297" t="str">
        <f t="shared" si="200"/>
        <v>WEEKDAY</v>
      </c>
      <c r="F5297" t="e">
        <f t="shared" si="201"/>
        <v>#N/A</v>
      </c>
      <c r="G5297" s="74">
        <v>31997</v>
      </c>
      <c r="H5297" s="77">
        <v>0.95833333333333337</v>
      </c>
      <c r="J5297">
        <v>80.06</v>
      </c>
      <c r="M5297" s="74">
        <v>34554</v>
      </c>
      <c r="N5297" s="77">
        <v>0.95833333333333337</v>
      </c>
      <c r="P5297">
        <v>60.980000000000004</v>
      </c>
      <c r="S5297" s="74">
        <v>34919</v>
      </c>
      <c r="T5297" s="77">
        <v>0.95833333333333337</v>
      </c>
      <c r="V5297">
        <v>68</v>
      </c>
      <c r="X5297" s="42"/>
      <c r="AB5297">
        <v>74.2</v>
      </c>
      <c r="AC5297">
        <v>66.02</v>
      </c>
      <c r="AE5297" s="74"/>
      <c r="AF5297" s="77"/>
      <c r="AH5297" s="497">
        <v>65.84</v>
      </c>
      <c r="AJ5297" s="42"/>
      <c r="AK5297" s="74"/>
      <c r="AL5297" s="77"/>
      <c r="AN5297" s="497">
        <v>64.94</v>
      </c>
      <c r="AP5297" s="42"/>
      <c r="AQ5297" s="74"/>
      <c r="AR5297" s="77"/>
      <c r="AT5297" s="497">
        <v>64.039999999999992</v>
      </c>
      <c r="AV5297" s="42"/>
      <c r="AW5297" s="74"/>
      <c r="AX5297" s="77"/>
      <c r="BA5297" s="497">
        <v>71.960000000000008</v>
      </c>
      <c r="BB5297" s="42"/>
      <c r="BC5297" s="74"/>
      <c r="BD5297" s="77"/>
      <c r="BF5297">
        <v>68</v>
      </c>
      <c r="BH5297" s="42"/>
      <c r="BI5297" s="74"/>
      <c r="BJ5297" s="77"/>
      <c r="BL5297" s="497">
        <v>60.980000000000004</v>
      </c>
      <c r="BN5297" s="42"/>
      <c r="BO5297" s="74"/>
      <c r="BP5297" s="77"/>
      <c r="BR5297" s="497">
        <v>71.06</v>
      </c>
      <c r="BT5297" s="42"/>
    </row>
    <row r="5298" spans="1:72" x14ac:dyDescent="0.25">
      <c r="A5298" s="90">
        <v>34919</v>
      </c>
      <c r="B5298" s="20">
        <v>1</v>
      </c>
      <c r="D5298">
        <v>75.02</v>
      </c>
      <c r="E5298" t="str">
        <f t="shared" si="200"/>
        <v>WEEKDAY</v>
      </c>
      <c r="F5298" t="e">
        <f t="shared" si="201"/>
        <v>#N/A</v>
      </c>
      <c r="G5298" s="74">
        <v>31997</v>
      </c>
      <c r="H5298" s="77">
        <v>1</v>
      </c>
      <c r="J5298">
        <v>78.080000000000013</v>
      </c>
      <c r="M5298" s="74">
        <v>34554</v>
      </c>
      <c r="N5298" s="80">
        <v>1</v>
      </c>
      <c r="P5298">
        <v>59</v>
      </c>
      <c r="S5298" s="74">
        <v>34919</v>
      </c>
      <c r="T5298" s="80">
        <v>1</v>
      </c>
      <c r="V5298">
        <v>66.02</v>
      </c>
      <c r="X5298" s="42"/>
      <c r="AB5298">
        <v>73.599999999999994</v>
      </c>
      <c r="AC5298">
        <v>64.94</v>
      </c>
      <c r="AE5298" s="74"/>
      <c r="AF5298" s="80"/>
      <c r="AH5298" s="497">
        <v>60.980000000000004</v>
      </c>
      <c r="AJ5298" s="42"/>
      <c r="AK5298" s="74"/>
      <c r="AL5298" s="80"/>
      <c r="AN5298" s="497">
        <v>64.94</v>
      </c>
      <c r="AP5298" s="42"/>
      <c r="AQ5298" s="74"/>
      <c r="AR5298" s="80"/>
      <c r="AT5298" s="497">
        <v>62.06</v>
      </c>
      <c r="AV5298" s="42"/>
      <c r="AW5298" s="74"/>
      <c r="AX5298" s="80"/>
      <c r="BA5298" s="497">
        <v>71.960000000000008</v>
      </c>
      <c r="BB5298" s="42"/>
      <c r="BC5298" s="74"/>
      <c r="BD5298" s="80"/>
      <c r="BF5298">
        <v>66.02</v>
      </c>
      <c r="BH5298" s="42"/>
      <c r="BI5298" s="74"/>
      <c r="BJ5298" s="80"/>
      <c r="BL5298" s="497">
        <v>62.06</v>
      </c>
      <c r="BN5298" s="42"/>
      <c r="BO5298" s="74"/>
      <c r="BP5298" s="80"/>
      <c r="BR5298" s="497">
        <v>69.98</v>
      </c>
      <c r="BT5298" s="42"/>
    </row>
    <row r="5299" spans="1:72" x14ac:dyDescent="0.25">
      <c r="A5299" s="90">
        <v>34920</v>
      </c>
      <c r="B5299" s="20">
        <v>4.1666666666666664E-2</v>
      </c>
      <c r="D5299">
        <v>73.94</v>
      </c>
      <c r="E5299" t="str">
        <f t="shared" si="200"/>
        <v>WEEKDAY</v>
      </c>
      <c r="F5299" t="e">
        <f t="shared" si="201"/>
        <v>#N/A</v>
      </c>
      <c r="G5299" s="74">
        <v>31998</v>
      </c>
      <c r="H5299" s="77">
        <v>4.1666666666666664E-2</v>
      </c>
      <c r="J5299">
        <v>77</v>
      </c>
      <c r="M5299" s="74">
        <v>34555</v>
      </c>
      <c r="N5299" s="77">
        <v>4.1666666666666664E-2</v>
      </c>
      <c r="P5299">
        <v>57.92</v>
      </c>
      <c r="S5299" s="74">
        <v>34920</v>
      </c>
      <c r="T5299" s="77">
        <v>4.1666666666666664E-2</v>
      </c>
      <c r="V5299">
        <v>66.02</v>
      </c>
      <c r="X5299" s="42"/>
      <c r="AB5299">
        <v>72.900000000000006</v>
      </c>
      <c r="AC5299">
        <v>64.039999999999992</v>
      </c>
      <c r="AE5299" s="74"/>
      <c r="AF5299" s="77"/>
      <c r="AH5299" s="497">
        <v>59</v>
      </c>
      <c r="AJ5299" s="42"/>
      <c r="AK5299" s="74"/>
      <c r="AL5299" s="77"/>
      <c r="AN5299" s="497">
        <v>64.94</v>
      </c>
      <c r="AP5299" s="42"/>
      <c r="AQ5299" s="74"/>
      <c r="AR5299" s="77"/>
      <c r="AT5299" s="497">
        <v>59</v>
      </c>
      <c r="AV5299" s="42"/>
      <c r="AW5299" s="74"/>
      <c r="AX5299" s="77"/>
      <c r="BA5299" s="497">
        <v>71.960000000000008</v>
      </c>
      <c r="BB5299" s="42"/>
      <c r="BC5299" s="74"/>
      <c r="BD5299" s="77"/>
      <c r="BF5299">
        <v>64.94</v>
      </c>
      <c r="BH5299" s="42"/>
      <c r="BI5299" s="74"/>
      <c r="BJ5299" s="77"/>
      <c r="BL5299" s="497">
        <v>59</v>
      </c>
      <c r="BN5299" s="42"/>
      <c r="BO5299" s="74"/>
      <c r="BP5299" s="77"/>
      <c r="BR5299" s="497">
        <v>69.98</v>
      </c>
      <c r="BT5299" s="42"/>
    </row>
    <row r="5300" spans="1:72" x14ac:dyDescent="0.25">
      <c r="A5300" s="90">
        <v>34920</v>
      </c>
      <c r="B5300" s="20">
        <v>8.3333333333333329E-2</v>
      </c>
      <c r="D5300">
        <v>73.94</v>
      </c>
      <c r="E5300" t="str">
        <f t="shared" si="200"/>
        <v>WEEKDAY</v>
      </c>
      <c r="F5300" t="e">
        <f t="shared" si="201"/>
        <v>#N/A</v>
      </c>
      <c r="G5300" s="74">
        <v>31998</v>
      </c>
      <c r="H5300" s="77">
        <v>8.3333333333333329E-2</v>
      </c>
      <c r="J5300">
        <v>75.92</v>
      </c>
      <c r="M5300" s="74">
        <v>34555</v>
      </c>
      <c r="N5300" s="77">
        <v>8.3333333333333329E-2</v>
      </c>
      <c r="P5300">
        <v>57.92</v>
      </c>
      <c r="S5300" s="74">
        <v>34920</v>
      </c>
      <c r="T5300" s="77">
        <v>8.3333333333333329E-2</v>
      </c>
      <c r="V5300">
        <v>64.94</v>
      </c>
      <c r="X5300" s="42"/>
      <c r="AB5300">
        <v>72.3</v>
      </c>
      <c r="AC5300">
        <v>64.039999999999992</v>
      </c>
      <c r="AE5300" s="74"/>
      <c r="AF5300" s="77"/>
      <c r="AH5300" s="497">
        <v>57.92</v>
      </c>
      <c r="AJ5300" s="42"/>
      <c r="AK5300" s="74"/>
      <c r="AL5300" s="77"/>
      <c r="AN5300" s="497">
        <v>64.039999999999992</v>
      </c>
      <c r="AP5300" s="42"/>
      <c r="AQ5300" s="74"/>
      <c r="AR5300" s="77"/>
      <c r="AT5300" s="497">
        <v>57.92</v>
      </c>
      <c r="AV5300" s="42"/>
      <c r="AW5300" s="74"/>
      <c r="AX5300" s="77"/>
      <c r="BA5300" s="497">
        <v>71.960000000000008</v>
      </c>
      <c r="BB5300" s="42"/>
      <c r="BC5300" s="74"/>
      <c r="BD5300" s="77"/>
      <c r="BF5300">
        <v>62.96</v>
      </c>
      <c r="BH5300" s="42"/>
      <c r="BI5300" s="74"/>
      <c r="BJ5300" s="77"/>
      <c r="BL5300" s="497">
        <v>60.08</v>
      </c>
      <c r="BN5300" s="42"/>
      <c r="BO5300" s="74"/>
      <c r="BP5300" s="77"/>
      <c r="BR5300" s="497">
        <v>69.080000000000013</v>
      </c>
      <c r="BT5300" s="42"/>
    </row>
    <row r="5301" spans="1:72" x14ac:dyDescent="0.25">
      <c r="A5301" s="90">
        <v>34920</v>
      </c>
      <c r="B5301" s="20">
        <v>0.125</v>
      </c>
      <c r="D5301">
        <v>73.94</v>
      </c>
      <c r="E5301" t="str">
        <f t="shared" si="200"/>
        <v>WEEKDAY</v>
      </c>
      <c r="F5301" t="e">
        <f t="shared" si="201"/>
        <v>#N/A</v>
      </c>
      <c r="G5301" s="74">
        <v>31998</v>
      </c>
      <c r="H5301" s="77">
        <v>0.125</v>
      </c>
      <c r="J5301">
        <v>75.02</v>
      </c>
      <c r="M5301" s="74">
        <v>34555</v>
      </c>
      <c r="N5301" s="77">
        <v>0.125</v>
      </c>
      <c r="P5301">
        <v>56.84</v>
      </c>
      <c r="S5301" s="74">
        <v>34920</v>
      </c>
      <c r="T5301" s="77">
        <v>0.125</v>
      </c>
      <c r="V5301">
        <v>64.039999999999992</v>
      </c>
      <c r="X5301" s="42"/>
      <c r="AB5301">
        <v>71.900000000000006</v>
      </c>
      <c r="AC5301">
        <v>64.039999999999992</v>
      </c>
      <c r="AE5301" s="74"/>
      <c r="AF5301" s="77"/>
      <c r="AH5301" s="497">
        <v>56.84</v>
      </c>
      <c r="AJ5301" s="42"/>
      <c r="AK5301" s="74"/>
      <c r="AL5301" s="77"/>
      <c r="AN5301" s="497">
        <v>62.96</v>
      </c>
      <c r="AP5301" s="42"/>
      <c r="AQ5301" s="74"/>
      <c r="AR5301" s="77"/>
      <c r="AT5301" s="497">
        <v>57.92</v>
      </c>
      <c r="AV5301" s="42"/>
      <c r="AW5301" s="74"/>
      <c r="AX5301" s="77"/>
      <c r="BA5301" s="497">
        <v>73.039999999999992</v>
      </c>
      <c r="BB5301" s="42"/>
      <c r="BC5301" s="74"/>
      <c r="BD5301" s="77"/>
      <c r="BF5301">
        <v>62.96</v>
      </c>
      <c r="BH5301" s="42"/>
      <c r="BI5301" s="74"/>
      <c r="BJ5301" s="77"/>
      <c r="BL5301" s="497">
        <v>57.92</v>
      </c>
      <c r="BN5301" s="42"/>
      <c r="BO5301" s="74"/>
      <c r="BP5301" s="77"/>
      <c r="BR5301" s="497">
        <v>69.080000000000013</v>
      </c>
      <c r="BT5301" s="42"/>
    </row>
    <row r="5302" spans="1:72" x14ac:dyDescent="0.25">
      <c r="A5302" s="90">
        <v>34920</v>
      </c>
      <c r="B5302" s="20">
        <v>0.16666666666666666</v>
      </c>
      <c r="D5302">
        <v>73.039999999999992</v>
      </c>
      <c r="E5302" t="str">
        <f t="shared" si="200"/>
        <v>WEEKDAY</v>
      </c>
      <c r="F5302" t="e">
        <f t="shared" si="201"/>
        <v>#N/A</v>
      </c>
      <c r="G5302" s="74">
        <v>31998</v>
      </c>
      <c r="H5302" s="77">
        <v>0.16666666666666666</v>
      </c>
      <c r="J5302">
        <v>73.039999999999992</v>
      </c>
      <c r="M5302" s="74">
        <v>34555</v>
      </c>
      <c r="N5302" s="77">
        <v>0.16666666666666666</v>
      </c>
      <c r="P5302">
        <v>56.84</v>
      </c>
      <c r="S5302" s="74">
        <v>34920</v>
      </c>
      <c r="T5302" s="77">
        <v>0.16666666666666666</v>
      </c>
      <c r="V5302">
        <v>62.96</v>
      </c>
      <c r="X5302" s="42"/>
      <c r="AB5302">
        <v>71.3</v>
      </c>
      <c r="AC5302">
        <v>62.06</v>
      </c>
      <c r="AE5302" s="74"/>
      <c r="AF5302" s="77"/>
      <c r="AH5302" s="497">
        <v>55.94</v>
      </c>
      <c r="AJ5302" s="42"/>
      <c r="AK5302" s="74"/>
      <c r="AL5302" s="77"/>
      <c r="AN5302" s="497">
        <v>60.980000000000004</v>
      </c>
      <c r="AP5302" s="42"/>
      <c r="AQ5302" s="74"/>
      <c r="AR5302" s="77"/>
      <c r="AT5302" s="497">
        <v>57.019999999999996</v>
      </c>
      <c r="AV5302" s="42"/>
      <c r="AW5302" s="74"/>
      <c r="AX5302" s="77"/>
      <c r="BA5302" s="497">
        <v>75.02</v>
      </c>
      <c r="BB5302" s="42"/>
      <c r="BC5302" s="74"/>
      <c r="BD5302" s="77"/>
      <c r="BF5302">
        <v>62.96</v>
      </c>
      <c r="BH5302" s="42"/>
      <c r="BI5302" s="74"/>
      <c r="BJ5302" s="77"/>
      <c r="BL5302" s="497">
        <v>57.92</v>
      </c>
      <c r="BN5302" s="42"/>
      <c r="BO5302" s="74"/>
      <c r="BP5302" s="77"/>
      <c r="BR5302" s="497">
        <v>69.080000000000013</v>
      </c>
      <c r="BT5302" s="42"/>
    </row>
    <row r="5303" spans="1:72" x14ac:dyDescent="0.25">
      <c r="A5303" s="90">
        <v>34920</v>
      </c>
      <c r="B5303" s="20">
        <v>0.20833333333333334</v>
      </c>
      <c r="D5303">
        <v>73.039999999999992</v>
      </c>
      <c r="E5303" t="str">
        <f t="shared" si="200"/>
        <v>WEEKDAY</v>
      </c>
      <c r="F5303" t="e">
        <f t="shared" si="201"/>
        <v>#N/A</v>
      </c>
      <c r="G5303" s="74">
        <v>31998</v>
      </c>
      <c r="H5303" s="77">
        <v>0.20833333333333334</v>
      </c>
      <c r="J5303">
        <v>73.039999999999992</v>
      </c>
      <c r="M5303" s="74">
        <v>34555</v>
      </c>
      <c r="N5303" s="77">
        <v>0.20833333333333334</v>
      </c>
      <c r="P5303">
        <v>55.94</v>
      </c>
      <c r="S5303" s="74">
        <v>34920</v>
      </c>
      <c r="T5303" s="77">
        <v>0.20833333333333334</v>
      </c>
      <c r="V5303">
        <v>62.06</v>
      </c>
      <c r="X5303" s="42"/>
      <c r="AB5303">
        <v>70.8</v>
      </c>
      <c r="AC5303">
        <v>60.980000000000004</v>
      </c>
      <c r="AE5303" s="74"/>
      <c r="AF5303" s="77"/>
      <c r="AH5303" s="497">
        <v>55.94</v>
      </c>
      <c r="AJ5303" s="42"/>
      <c r="AK5303" s="74"/>
      <c r="AL5303" s="77"/>
      <c r="AN5303" s="497">
        <v>59</v>
      </c>
      <c r="AP5303" s="42"/>
      <c r="AQ5303" s="74"/>
      <c r="AR5303" s="77"/>
      <c r="AT5303" s="497">
        <v>57.92</v>
      </c>
      <c r="AV5303" s="42"/>
      <c r="AW5303" s="74"/>
      <c r="AX5303" s="77"/>
      <c r="BA5303" s="497">
        <v>75.02</v>
      </c>
      <c r="BB5303" s="42"/>
      <c r="BC5303" s="74"/>
      <c r="BD5303" s="77"/>
      <c r="BF5303">
        <v>59</v>
      </c>
      <c r="BH5303" s="42"/>
      <c r="BI5303" s="74"/>
      <c r="BJ5303" s="77"/>
      <c r="BL5303" s="497">
        <v>55.94</v>
      </c>
      <c r="BN5303" s="42"/>
      <c r="BO5303" s="74"/>
      <c r="BP5303" s="77"/>
      <c r="BR5303" s="497">
        <v>69.080000000000013</v>
      </c>
      <c r="BT5303" s="42"/>
    </row>
    <row r="5304" spans="1:72" x14ac:dyDescent="0.25">
      <c r="A5304" s="90">
        <v>34920</v>
      </c>
      <c r="B5304" s="20">
        <v>0.25</v>
      </c>
      <c r="D5304">
        <v>73.039999999999992</v>
      </c>
      <c r="E5304" t="str">
        <f t="shared" si="200"/>
        <v>WEEKDAY</v>
      </c>
      <c r="F5304" t="e">
        <f t="shared" si="201"/>
        <v>#N/A</v>
      </c>
      <c r="G5304" s="74">
        <v>31998</v>
      </c>
      <c r="H5304" s="77">
        <v>0.25</v>
      </c>
      <c r="J5304">
        <v>71.960000000000008</v>
      </c>
      <c r="M5304" s="74">
        <v>34555</v>
      </c>
      <c r="N5304" s="77">
        <v>0.25</v>
      </c>
      <c r="P5304">
        <v>57.92</v>
      </c>
      <c r="S5304" s="74">
        <v>34920</v>
      </c>
      <c r="T5304" s="77">
        <v>0.25</v>
      </c>
      <c r="V5304">
        <v>66.92</v>
      </c>
      <c r="X5304" s="42"/>
      <c r="AB5304">
        <v>70.5</v>
      </c>
      <c r="AC5304">
        <v>64.94</v>
      </c>
      <c r="AE5304" s="74"/>
      <c r="AF5304" s="77"/>
      <c r="AH5304" s="497">
        <v>56.84</v>
      </c>
      <c r="AJ5304" s="42"/>
      <c r="AK5304" s="74"/>
      <c r="AL5304" s="77"/>
      <c r="AN5304" s="497">
        <v>62.96</v>
      </c>
      <c r="AP5304" s="42"/>
      <c r="AQ5304" s="74"/>
      <c r="AR5304" s="77"/>
      <c r="AT5304" s="497">
        <v>59</v>
      </c>
      <c r="AV5304" s="42"/>
      <c r="AW5304" s="74"/>
      <c r="AX5304" s="77"/>
      <c r="BA5304" s="497">
        <v>75.02</v>
      </c>
      <c r="BB5304" s="42"/>
      <c r="BC5304" s="74"/>
      <c r="BD5304" s="77"/>
      <c r="BF5304">
        <v>62.96</v>
      </c>
      <c r="BH5304" s="42"/>
      <c r="BI5304" s="74"/>
      <c r="BJ5304" s="77"/>
      <c r="BL5304" s="497">
        <v>57.92</v>
      </c>
      <c r="BN5304" s="42"/>
      <c r="BO5304" s="74"/>
      <c r="BP5304" s="77"/>
      <c r="BR5304" s="497">
        <v>69.98</v>
      </c>
      <c r="BT5304" s="42"/>
    </row>
    <row r="5305" spans="1:72" x14ac:dyDescent="0.25">
      <c r="A5305" s="90">
        <v>34920</v>
      </c>
      <c r="B5305" s="20">
        <v>0.29166666666666669</v>
      </c>
      <c r="D5305">
        <v>75.02</v>
      </c>
      <c r="E5305" t="str">
        <f t="shared" si="200"/>
        <v>WEEKDAY</v>
      </c>
      <c r="F5305" t="e">
        <f t="shared" si="201"/>
        <v>#N/A</v>
      </c>
      <c r="G5305" s="74">
        <v>31998</v>
      </c>
      <c r="H5305" s="77">
        <v>0.29166666666666669</v>
      </c>
      <c r="J5305">
        <v>71.960000000000008</v>
      </c>
      <c r="M5305" s="74">
        <v>34555</v>
      </c>
      <c r="N5305" s="77">
        <v>0.29166666666666669</v>
      </c>
      <c r="P5305">
        <v>65.84</v>
      </c>
      <c r="S5305" s="74">
        <v>34920</v>
      </c>
      <c r="T5305" s="77">
        <v>0.29166666666666669</v>
      </c>
      <c r="V5305">
        <v>71.06</v>
      </c>
      <c r="X5305" s="42"/>
      <c r="AB5305">
        <v>71.3</v>
      </c>
      <c r="AC5305">
        <v>69.080000000000013</v>
      </c>
      <c r="AE5305" s="74"/>
      <c r="AF5305" s="77"/>
      <c r="AH5305" s="497">
        <v>64.94</v>
      </c>
      <c r="AJ5305" s="42"/>
      <c r="AK5305" s="74"/>
      <c r="AL5305" s="77"/>
      <c r="AN5305" s="497">
        <v>64.94</v>
      </c>
      <c r="AP5305" s="42"/>
      <c r="AQ5305" s="74"/>
      <c r="AR5305" s="77"/>
      <c r="AT5305" s="497">
        <v>66.02</v>
      </c>
      <c r="AV5305" s="42"/>
      <c r="AW5305" s="74"/>
      <c r="AX5305" s="77"/>
      <c r="BA5305" s="497">
        <v>75.92</v>
      </c>
      <c r="BB5305" s="42"/>
      <c r="BC5305" s="74"/>
      <c r="BD5305" s="77"/>
      <c r="BF5305">
        <v>66.02</v>
      </c>
      <c r="BH5305" s="42"/>
      <c r="BI5305" s="74"/>
      <c r="BJ5305" s="77"/>
      <c r="BL5305" s="497">
        <v>60.08</v>
      </c>
      <c r="BN5305" s="42"/>
      <c r="BO5305" s="74"/>
      <c r="BP5305" s="77"/>
      <c r="BR5305" s="497">
        <v>71.06</v>
      </c>
      <c r="BT5305" s="42"/>
    </row>
    <row r="5306" spans="1:72" x14ac:dyDescent="0.25">
      <c r="A5306" s="90">
        <v>34920</v>
      </c>
      <c r="B5306" s="20">
        <v>0.33333333333333331</v>
      </c>
      <c r="D5306">
        <v>77</v>
      </c>
      <c r="E5306" t="str">
        <f t="shared" si="200"/>
        <v>WEEKDAY</v>
      </c>
      <c r="F5306" t="e">
        <f t="shared" si="201"/>
        <v>#N/A</v>
      </c>
      <c r="G5306" s="74">
        <v>31998</v>
      </c>
      <c r="H5306" s="77">
        <v>0.33333333333333331</v>
      </c>
      <c r="J5306">
        <v>73.94</v>
      </c>
      <c r="M5306" s="74">
        <v>34555</v>
      </c>
      <c r="N5306" s="77">
        <v>0.33333333333333331</v>
      </c>
      <c r="P5306">
        <v>69.98</v>
      </c>
      <c r="S5306" s="74">
        <v>34920</v>
      </c>
      <c r="T5306" s="77">
        <v>0.33333333333333331</v>
      </c>
      <c r="V5306">
        <v>75.02</v>
      </c>
      <c r="X5306" s="42"/>
      <c r="AB5306">
        <v>73.3</v>
      </c>
      <c r="AC5306">
        <v>73.039999999999992</v>
      </c>
      <c r="AE5306" s="74"/>
      <c r="AF5306" s="77"/>
      <c r="AH5306" s="497">
        <v>68.900000000000006</v>
      </c>
      <c r="AJ5306" s="42"/>
      <c r="AK5306" s="74"/>
      <c r="AL5306" s="77"/>
      <c r="AN5306" s="497">
        <v>69.080000000000013</v>
      </c>
      <c r="AP5306" s="42"/>
      <c r="AQ5306" s="74"/>
      <c r="AR5306" s="77"/>
      <c r="AT5306" s="497">
        <v>69.080000000000013</v>
      </c>
      <c r="AV5306" s="42"/>
      <c r="AW5306" s="74"/>
      <c r="AX5306" s="77"/>
      <c r="BA5306" s="497">
        <v>78.080000000000013</v>
      </c>
      <c r="BB5306" s="42"/>
      <c r="BC5306" s="74"/>
      <c r="BD5306" s="77"/>
      <c r="BF5306">
        <v>71.06</v>
      </c>
      <c r="BH5306" s="42"/>
      <c r="BI5306" s="74"/>
      <c r="BJ5306" s="77"/>
      <c r="BL5306" s="497">
        <v>62.96</v>
      </c>
      <c r="BN5306" s="42"/>
      <c r="BO5306" s="74"/>
      <c r="BP5306" s="77"/>
      <c r="BR5306" s="497">
        <v>71.960000000000008</v>
      </c>
      <c r="BT5306" s="42"/>
    </row>
    <row r="5307" spans="1:72" x14ac:dyDescent="0.25">
      <c r="A5307" s="90">
        <v>34920</v>
      </c>
      <c r="B5307" s="20">
        <v>0.375</v>
      </c>
      <c r="D5307">
        <v>80.06</v>
      </c>
      <c r="E5307" t="str">
        <f t="shared" si="200"/>
        <v>WEEKDAY</v>
      </c>
      <c r="F5307" t="e">
        <f t="shared" si="201"/>
        <v>#N/A</v>
      </c>
      <c r="G5307" s="74">
        <v>31998</v>
      </c>
      <c r="H5307" s="77">
        <v>0.375</v>
      </c>
      <c r="J5307">
        <v>73.94</v>
      </c>
      <c r="M5307" s="74">
        <v>34555</v>
      </c>
      <c r="N5307" s="77">
        <v>0.375</v>
      </c>
      <c r="P5307">
        <v>73.94</v>
      </c>
      <c r="S5307" s="74">
        <v>34920</v>
      </c>
      <c r="T5307" s="77">
        <v>0.375</v>
      </c>
      <c r="V5307">
        <v>78.98</v>
      </c>
      <c r="X5307" s="42"/>
      <c r="AB5307">
        <v>75.3</v>
      </c>
      <c r="AC5307">
        <v>75.02</v>
      </c>
      <c r="AE5307" s="74"/>
      <c r="AF5307" s="77"/>
      <c r="AH5307" s="497">
        <v>73.94</v>
      </c>
      <c r="AJ5307" s="42"/>
      <c r="AK5307" s="74"/>
      <c r="AL5307" s="77"/>
      <c r="AN5307" s="497">
        <v>73.039999999999992</v>
      </c>
      <c r="AP5307" s="42"/>
      <c r="AQ5307" s="74"/>
      <c r="AR5307" s="77"/>
      <c r="AT5307" s="497">
        <v>73.039999999999992</v>
      </c>
      <c r="AV5307" s="42"/>
      <c r="AW5307" s="74"/>
      <c r="AX5307" s="77"/>
      <c r="BA5307" s="497">
        <v>77</v>
      </c>
      <c r="BB5307" s="42"/>
      <c r="BC5307" s="74"/>
      <c r="BD5307" s="77"/>
      <c r="BF5307">
        <v>73.94</v>
      </c>
      <c r="BH5307" s="42"/>
      <c r="BI5307" s="74"/>
      <c r="BJ5307" s="77"/>
      <c r="BL5307" s="497">
        <v>68</v>
      </c>
      <c r="BN5307" s="42"/>
      <c r="BO5307" s="74"/>
      <c r="BP5307" s="77"/>
      <c r="BR5307" s="497">
        <v>75.02</v>
      </c>
      <c r="BT5307" s="42"/>
    </row>
    <row r="5308" spans="1:72" x14ac:dyDescent="0.25">
      <c r="A5308" s="90">
        <v>34920</v>
      </c>
      <c r="B5308" s="20">
        <v>0.41666666666666669</v>
      </c>
      <c r="D5308">
        <v>80.960000000000008</v>
      </c>
      <c r="E5308" t="str">
        <f t="shared" si="200"/>
        <v>WEEKDAY</v>
      </c>
      <c r="F5308" t="e">
        <f t="shared" si="201"/>
        <v>#N/A</v>
      </c>
      <c r="G5308" s="74">
        <v>31998</v>
      </c>
      <c r="H5308" s="77">
        <v>0.41666666666666669</v>
      </c>
      <c r="J5308">
        <v>75.02</v>
      </c>
      <c r="M5308" s="74">
        <v>34555</v>
      </c>
      <c r="N5308" s="77">
        <v>0.41666666666666669</v>
      </c>
      <c r="P5308">
        <v>73.94</v>
      </c>
      <c r="S5308" s="74">
        <v>34920</v>
      </c>
      <c r="T5308" s="77">
        <v>0.41666666666666669</v>
      </c>
      <c r="V5308">
        <v>78.98</v>
      </c>
      <c r="X5308" s="42"/>
      <c r="AB5308">
        <v>77.099999999999994</v>
      </c>
      <c r="AC5308">
        <v>77</v>
      </c>
      <c r="AE5308" s="74"/>
      <c r="AF5308" s="77"/>
      <c r="AH5308" s="497">
        <v>77</v>
      </c>
      <c r="AJ5308" s="42"/>
      <c r="AK5308" s="74"/>
      <c r="AL5308" s="77"/>
      <c r="AN5308" s="497">
        <v>75.92</v>
      </c>
      <c r="AP5308" s="42"/>
      <c r="AQ5308" s="74"/>
      <c r="AR5308" s="77"/>
      <c r="AT5308" s="497">
        <v>75.92</v>
      </c>
      <c r="AV5308" s="42"/>
      <c r="AW5308" s="74"/>
      <c r="AX5308" s="77"/>
      <c r="BA5308" s="497">
        <v>77</v>
      </c>
      <c r="BB5308" s="42"/>
      <c r="BC5308" s="74"/>
      <c r="BD5308" s="77"/>
      <c r="BF5308">
        <v>78.080000000000013</v>
      </c>
      <c r="BH5308" s="42"/>
      <c r="BI5308" s="74"/>
      <c r="BJ5308" s="77"/>
      <c r="BL5308" s="497">
        <v>73.039999999999992</v>
      </c>
      <c r="BN5308" s="42"/>
      <c r="BO5308" s="74"/>
      <c r="BP5308" s="77"/>
      <c r="BR5308" s="497">
        <v>73.94</v>
      </c>
      <c r="BT5308" s="42"/>
    </row>
    <row r="5309" spans="1:72" x14ac:dyDescent="0.25">
      <c r="A5309" s="90">
        <v>34920</v>
      </c>
      <c r="B5309" s="20">
        <v>0.45833333333333331</v>
      </c>
      <c r="D5309">
        <v>82.94</v>
      </c>
      <c r="E5309" t="str">
        <f t="shared" si="200"/>
        <v>WEEKDAY</v>
      </c>
      <c r="F5309" t="e">
        <f t="shared" si="201"/>
        <v>#N/A</v>
      </c>
      <c r="G5309" s="74">
        <v>31998</v>
      </c>
      <c r="H5309" s="77">
        <v>0.45833333333333331</v>
      </c>
      <c r="J5309">
        <v>75.92</v>
      </c>
      <c r="M5309" s="74">
        <v>34555</v>
      </c>
      <c r="N5309" s="77">
        <v>0.45833333333333331</v>
      </c>
      <c r="P5309">
        <v>77.900000000000006</v>
      </c>
      <c r="S5309" s="74">
        <v>34920</v>
      </c>
      <c r="T5309" s="77">
        <v>0.45833333333333331</v>
      </c>
      <c r="V5309">
        <v>78.080000000000013</v>
      </c>
      <c r="X5309" s="42"/>
      <c r="AB5309">
        <v>78.7</v>
      </c>
      <c r="AC5309">
        <v>77</v>
      </c>
      <c r="AE5309" s="74"/>
      <c r="AF5309" s="77"/>
      <c r="AH5309" s="497">
        <v>79.88</v>
      </c>
      <c r="AJ5309" s="42"/>
      <c r="AK5309" s="74"/>
      <c r="AL5309" s="77"/>
      <c r="AN5309" s="497">
        <v>78.98</v>
      </c>
      <c r="AP5309" s="42"/>
      <c r="AQ5309" s="74"/>
      <c r="AR5309" s="77"/>
      <c r="AT5309" s="497">
        <v>80.06</v>
      </c>
      <c r="AV5309" s="42"/>
      <c r="AW5309" s="74"/>
      <c r="AX5309" s="77"/>
      <c r="BA5309" s="497">
        <v>78.98</v>
      </c>
      <c r="BB5309" s="42"/>
      <c r="BC5309" s="74"/>
      <c r="BD5309" s="77"/>
      <c r="BF5309">
        <v>80.06</v>
      </c>
      <c r="BH5309" s="42"/>
      <c r="BI5309" s="74"/>
      <c r="BJ5309" s="77"/>
      <c r="BL5309" s="497">
        <v>75.92</v>
      </c>
      <c r="BN5309" s="42"/>
      <c r="BO5309" s="74"/>
      <c r="BP5309" s="77"/>
      <c r="BR5309" s="497">
        <v>73.94</v>
      </c>
      <c r="BT5309" s="42"/>
    </row>
    <row r="5310" spans="1:72" x14ac:dyDescent="0.25">
      <c r="A5310" s="90">
        <v>34920</v>
      </c>
      <c r="B5310" s="20">
        <v>0.5</v>
      </c>
      <c r="D5310">
        <v>84.02</v>
      </c>
      <c r="E5310" t="str">
        <f t="shared" si="200"/>
        <v>WEEKDAY</v>
      </c>
      <c r="F5310" t="e">
        <f t="shared" si="201"/>
        <v>#N/A</v>
      </c>
      <c r="G5310" s="74">
        <v>31998</v>
      </c>
      <c r="H5310" s="77">
        <v>0.5</v>
      </c>
      <c r="J5310">
        <v>78.080000000000013</v>
      </c>
      <c r="M5310" s="74">
        <v>34555</v>
      </c>
      <c r="N5310" s="77">
        <v>0.5</v>
      </c>
      <c r="P5310">
        <v>79.88</v>
      </c>
      <c r="S5310" s="74">
        <v>34920</v>
      </c>
      <c r="T5310" s="77">
        <v>0.5</v>
      </c>
      <c r="V5310">
        <v>78.080000000000013</v>
      </c>
      <c r="X5310" s="42"/>
      <c r="AB5310">
        <v>79.8</v>
      </c>
      <c r="AC5310">
        <v>78.98</v>
      </c>
      <c r="AE5310" s="74"/>
      <c r="AF5310" s="77"/>
      <c r="AH5310" s="497">
        <v>82.94</v>
      </c>
      <c r="AJ5310" s="42"/>
      <c r="AK5310" s="74"/>
      <c r="AL5310" s="77"/>
      <c r="AN5310" s="497">
        <v>80.960000000000008</v>
      </c>
      <c r="AP5310" s="42"/>
      <c r="AQ5310" s="74"/>
      <c r="AR5310" s="77"/>
      <c r="AT5310" s="497">
        <v>82.039999999999992</v>
      </c>
      <c r="AV5310" s="42"/>
      <c r="AW5310" s="74"/>
      <c r="AX5310" s="77"/>
      <c r="BA5310" s="497">
        <v>80.06</v>
      </c>
      <c r="BB5310" s="42"/>
      <c r="BC5310" s="74"/>
      <c r="BD5310" s="77"/>
      <c r="BF5310">
        <v>82.039999999999992</v>
      </c>
      <c r="BH5310" s="42"/>
      <c r="BI5310" s="74"/>
      <c r="BJ5310" s="77"/>
      <c r="BL5310" s="497">
        <v>80.06</v>
      </c>
      <c r="BN5310" s="42"/>
      <c r="BO5310" s="74"/>
      <c r="BP5310" s="77"/>
      <c r="BR5310" s="497">
        <v>75.02</v>
      </c>
      <c r="BT5310" s="42"/>
    </row>
    <row r="5311" spans="1:72" x14ac:dyDescent="0.25">
      <c r="A5311" s="90">
        <v>34920</v>
      </c>
      <c r="B5311" s="20">
        <v>0.54166666666666663</v>
      </c>
      <c r="D5311">
        <v>82.94</v>
      </c>
      <c r="E5311" t="str">
        <f t="shared" si="200"/>
        <v>WEEKDAY</v>
      </c>
      <c r="F5311" t="e">
        <f t="shared" si="201"/>
        <v>#N/A</v>
      </c>
      <c r="G5311" s="74">
        <v>31998</v>
      </c>
      <c r="H5311" s="77">
        <v>0.54166666666666663</v>
      </c>
      <c r="J5311">
        <v>78.98</v>
      </c>
      <c r="M5311" s="74">
        <v>34555</v>
      </c>
      <c r="N5311" s="77">
        <v>0.54166666666666663</v>
      </c>
      <c r="P5311">
        <v>80.960000000000008</v>
      </c>
      <c r="S5311" s="74">
        <v>34920</v>
      </c>
      <c r="T5311" s="77">
        <v>0.54166666666666663</v>
      </c>
      <c r="V5311">
        <v>80.06</v>
      </c>
      <c r="X5311" s="42"/>
      <c r="AB5311">
        <v>80.5</v>
      </c>
      <c r="AC5311">
        <v>80.06</v>
      </c>
      <c r="AE5311" s="74"/>
      <c r="AF5311" s="77"/>
      <c r="AH5311" s="497">
        <v>83.84</v>
      </c>
      <c r="AJ5311" s="42"/>
      <c r="AK5311" s="74"/>
      <c r="AL5311" s="77"/>
      <c r="AN5311" s="497">
        <v>82.94</v>
      </c>
      <c r="AP5311" s="42"/>
      <c r="AQ5311" s="74"/>
      <c r="AR5311" s="77"/>
      <c r="AT5311" s="497">
        <v>84.02</v>
      </c>
      <c r="AV5311" s="42"/>
      <c r="AW5311" s="74"/>
      <c r="AX5311" s="77"/>
      <c r="BA5311" s="497">
        <v>82.94</v>
      </c>
      <c r="BB5311" s="42"/>
      <c r="BC5311" s="74"/>
      <c r="BD5311" s="77"/>
      <c r="BF5311">
        <v>84.02</v>
      </c>
      <c r="BH5311" s="42"/>
      <c r="BI5311" s="74"/>
      <c r="BJ5311" s="77"/>
      <c r="BL5311" s="497">
        <v>80.06</v>
      </c>
      <c r="BN5311" s="42"/>
      <c r="BO5311" s="74"/>
      <c r="BP5311" s="77"/>
      <c r="BR5311" s="497">
        <v>71.06</v>
      </c>
      <c r="BT5311" s="42"/>
    </row>
    <row r="5312" spans="1:72" x14ac:dyDescent="0.25">
      <c r="A5312" s="90">
        <v>34920</v>
      </c>
      <c r="B5312" s="20">
        <v>0.58333333333333337</v>
      </c>
      <c r="D5312">
        <v>84.02</v>
      </c>
      <c r="E5312" t="str">
        <f t="shared" si="200"/>
        <v>WEEKDAY</v>
      </c>
      <c r="F5312" t="e">
        <f t="shared" si="201"/>
        <v>#N/A</v>
      </c>
      <c r="G5312" s="74">
        <v>31998</v>
      </c>
      <c r="H5312" s="77">
        <v>0.58333333333333337</v>
      </c>
      <c r="J5312">
        <v>75.92</v>
      </c>
      <c r="M5312" s="74">
        <v>34555</v>
      </c>
      <c r="N5312" s="77">
        <v>0.58333333333333337</v>
      </c>
      <c r="P5312">
        <v>81.86</v>
      </c>
      <c r="S5312" s="74">
        <v>34920</v>
      </c>
      <c r="T5312" s="77">
        <v>0.58333333333333337</v>
      </c>
      <c r="V5312">
        <v>78.080000000000013</v>
      </c>
      <c r="X5312" s="42"/>
      <c r="AB5312">
        <v>80.900000000000006</v>
      </c>
      <c r="AC5312">
        <v>80.960000000000008</v>
      </c>
      <c r="AE5312" s="74"/>
      <c r="AF5312" s="77"/>
      <c r="AH5312" s="497">
        <v>86</v>
      </c>
      <c r="AJ5312" s="42"/>
      <c r="AK5312" s="74"/>
      <c r="AL5312" s="77"/>
      <c r="AN5312" s="497">
        <v>84.02</v>
      </c>
      <c r="AP5312" s="42"/>
      <c r="AQ5312" s="74"/>
      <c r="AR5312" s="77"/>
      <c r="AT5312" s="497">
        <v>86</v>
      </c>
      <c r="AV5312" s="42"/>
      <c r="AW5312" s="74"/>
      <c r="AX5312" s="77"/>
      <c r="BA5312" s="497">
        <v>84.92</v>
      </c>
      <c r="BB5312" s="42"/>
      <c r="BC5312" s="74"/>
      <c r="BD5312" s="77"/>
      <c r="BF5312">
        <v>84.92</v>
      </c>
      <c r="BH5312" s="42"/>
      <c r="BI5312" s="74"/>
      <c r="BJ5312" s="77"/>
      <c r="BL5312" s="497">
        <v>80.06</v>
      </c>
      <c r="BN5312" s="42"/>
      <c r="BO5312" s="74"/>
      <c r="BP5312" s="77"/>
      <c r="BR5312" s="497">
        <v>71.06</v>
      </c>
      <c r="BT5312" s="42"/>
    </row>
    <row r="5313" spans="1:72" x14ac:dyDescent="0.25">
      <c r="A5313" s="90">
        <v>34920</v>
      </c>
      <c r="B5313" s="20">
        <v>0.625</v>
      </c>
      <c r="D5313">
        <v>84.92</v>
      </c>
      <c r="E5313" t="str">
        <f t="shared" si="200"/>
        <v>WEEKDAY</v>
      </c>
      <c r="F5313" t="e">
        <f t="shared" si="201"/>
        <v>#N/A</v>
      </c>
      <c r="G5313" s="74">
        <v>31998</v>
      </c>
      <c r="H5313" s="77">
        <v>0.625</v>
      </c>
      <c r="J5313">
        <v>75.92</v>
      </c>
      <c r="M5313" s="74">
        <v>34555</v>
      </c>
      <c r="N5313" s="77">
        <v>0.625</v>
      </c>
      <c r="P5313">
        <v>80.960000000000008</v>
      </c>
      <c r="S5313" s="74">
        <v>34920</v>
      </c>
      <c r="T5313" s="77">
        <v>0.625</v>
      </c>
      <c r="V5313">
        <v>78.080000000000013</v>
      </c>
      <c r="X5313" s="42"/>
      <c r="AB5313">
        <v>80.900000000000006</v>
      </c>
      <c r="AC5313">
        <v>80.960000000000008</v>
      </c>
      <c r="AE5313" s="74"/>
      <c r="AF5313" s="77"/>
      <c r="AH5313" s="497">
        <v>86</v>
      </c>
      <c r="AJ5313" s="42"/>
      <c r="AK5313" s="74"/>
      <c r="AL5313" s="77"/>
      <c r="AN5313" s="497">
        <v>82.94</v>
      </c>
      <c r="AP5313" s="42"/>
      <c r="AQ5313" s="74"/>
      <c r="AR5313" s="77"/>
      <c r="AT5313" s="497">
        <v>87.080000000000013</v>
      </c>
      <c r="AV5313" s="42"/>
      <c r="AW5313" s="74"/>
      <c r="AX5313" s="77"/>
      <c r="BA5313" s="497">
        <v>80.960000000000008</v>
      </c>
      <c r="BB5313" s="42"/>
      <c r="BC5313" s="74"/>
      <c r="BD5313" s="77"/>
      <c r="BF5313">
        <v>84.92</v>
      </c>
      <c r="BH5313" s="42"/>
      <c r="BI5313" s="74"/>
      <c r="BJ5313" s="77"/>
      <c r="BL5313" s="497">
        <v>78.98</v>
      </c>
      <c r="BN5313" s="42"/>
      <c r="BO5313" s="74"/>
      <c r="BP5313" s="77"/>
      <c r="BR5313" s="497">
        <v>73.94</v>
      </c>
      <c r="BT5313" s="42"/>
    </row>
    <row r="5314" spans="1:72" x14ac:dyDescent="0.25">
      <c r="A5314" s="90">
        <v>34920</v>
      </c>
      <c r="B5314" s="20">
        <v>0.66666666666666663</v>
      </c>
      <c r="D5314">
        <v>82.039999999999992</v>
      </c>
      <c r="E5314" t="str">
        <f t="shared" si="200"/>
        <v>WEEKDAY</v>
      </c>
      <c r="F5314" t="e">
        <f t="shared" si="201"/>
        <v>#N/A</v>
      </c>
      <c r="G5314" s="74">
        <v>31998</v>
      </c>
      <c r="H5314" s="77">
        <v>0.66666666666666663</v>
      </c>
      <c r="J5314">
        <v>78.080000000000013</v>
      </c>
      <c r="M5314" s="74">
        <v>34555</v>
      </c>
      <c r="N5314" s="77">
        <v>0.66666666666666663</v>
      </c>
      <c r="P5314">
        <v>78.98</v>
      </c>
      <c r="S5314" s="74">
        <v>34920</v>
      </c>
      <c r="T5314" s="77">
        <v>0.66666666666666663</v>
      </c>
      <c r="V5314">
        <v>77</v>
      </c>
      <c r="X5314" s="42"/>
      <c r="AB5314">
        <v>80.5</v>
      </c>
      <c r="AC5314">
        <v>80.960000000000008</v>
      </c>
      <c r="AE5314" s="74"/>
      <c r="AF5314" s="77"/>
      <c r="AH5314" s="497">
        <v>86</v>
      </c>
      <c r="AJ5314" s="42"/>
      <c r="AK5314" s="74"/>
      <c r="AL5314" s="77"/>
      <c r="AN5314" s="497">
        <v>80.960000000000008</v>
      </c>
      <c r="AP5314" s="42"/>
      <c r="AQ5314" s="74"/>
      <c r="AR5314" s="77"/>
      <c r="AT5314" s="497">
        <v>86</v>
      </c>
      <c r="AV5314" s="42"/>
      <c r="AW5314" s="74"/>
      <c r="AX5314" s="77"/>
      <c r="BA5314" s="497">
        <v>80.06</v>
      </c>
      <c r="BB5314" s="42"/>
      <c r="BC5314" s="74"/>
      <c r="BD5314" s="77"/>
      <c r="BF5314">
        <v>84.92</v>
      </c>
      <c r="BH5314" s="42"/>
      <c r="BI5314" s="74"/>
      <c r="BJ5314" s="77"/>
      <c r="BL5314" s="497">
        <v>78.080000000000013</v>
      </c>
      <c r="BN5314" s="42"/>
      <c r="BO5314" s="74"/>
      <c r="BP5314" s="77"/>
      <c r="BR5314" s="497">
        <v>73.94</v>
      </c>
      <c r="BT5314" s="42"/>
    </row>
    <row r="5315" spans="1:72" x14ac:dyDescent="0.25">
      <c r="A5315" s="90">
        <v>34920</v>
      </c>
      <c r="B5315" s="20">
        <v>0.70833333333333337</v>
      </c>
      <c r="D5315">
        <v>82.039999999999992</v>
      </c>
      <c r="E5315" t="str">
        <f t="shared" si="200"/>
        <v>WEEKDAY</v>
      </c>
      <c r="F5315" t="e">
        <f t="shared" si="201"/>
        <v>#N/A</v>
      </c>
      <c r="G5315" s="74">
        <v>31998</v>
      </c>
      <c r="H5315" s="77">
        <v>0.70833333333333337</v>
      </c>
      <c r="J5315">
        <v>78.080000000000013</v>
      </c>
      <c r="M5315" s="74">
        <v>34555</v>
      </c>
      <c r="N5315" s="77">
        <v>0.70833333333333337</v>
      </c>
      <c r="P5315">
        <v>77</v>
      </c>
      <c r="S5315" s="74">
        <v>34920</v>
      </c>
      <c r="T5315" s="77">
        <v>0.70833333333333337</v>
      </c>
      <c r="V5315">
        <v>75.92</v>
      </c>
      <c r="X5315" s="42"/>
      <c r="AB5315">
        <v>79.7</v>
      </c>
      <c r="AC5315">
        <v>77</v>
      </c>
      <c r="AE5315" s="74"/>
      <c r="AF5315" s="77"/>
      <c r="AH5315" s="497">
        <v>84.92</v>
      </c>
      <c r="AJ5315" s="42"/>
      <c r="AK5315" s="74"/>
      <c r="AL5315" s="77"/>
      <c r="AN5315" s="497">
        <v>82.039999999999992</v>
      </c>
      <c r="AP5315" s="42"/>
      <c r="AQ5315" s="74"/>
      <c r="AR5315" s="77"/>
      <c r="AT5315" s="497">
        <v>86</v>
      </c>
      <c r="AV5315" s="42"/>
      <c r="AW5315" s="74"/>
      <c r="AX5315" s="77"/>
      <c r="BA5315" s="497">
        <v>78.080000000000013</v>
      </c>
      <c r="BB5315" s="42"/>
      <c r="BC5315" s="74"/>
      <c r="BD5315" s="77"/>
      <c r="BF5315">
        <v>84.92</v>
      </c>
      <c r="BH5315" s="42"/>
      <c r="BI5315" s="74"/>
      <c r="BJ5315" s="77"/>
      <c r="BL5315" s="497">
        <v>77</v>
      </c>
      <c r="BN5315" s="42"/>
      <c r="BO5315" s="74"/>
      <c r="BP5315" s="77"/>
      <c r="BR5315" s="497">
        <v>73.94</v>
      </c>
      <c r="BT5315" s="42"/>
    </row>
    <row r="5316" spans="1:72" x14ac:dyDescent="0.25">
      <c r="A5316" s="90">
        <v>34920</v>
      </c>
      <c r="B5316" s="20">
        <v>0.75</v>
      </c>
      <c r="D5316">
        <v>80.06</v>
      </c>
      <c r="E5316" t="str">
        <f t="shared" si="200"/>
        <v>WEEKDAY</v>
      </c>
      <c r="F5316" t="e">
        <f t="shared" si="201"/>
        <v>#N/A</v>
      </c>
      <c r="G5316" s="74">
        <v>31998</v>
      </c>
      <c r="H5316" s="77">
        <v>0.75</v>
      </c>
      <c r="J5316">
        <v>77</v>
      </c>
      <c r="M5316" s="74">
        <v>34555</v>
      </c>
      <c r="N5316" s="77">
        <v>0.75</v>
      </c>
      <c r="P5316">
        <v>74.84</v>
      </c>
      <c r="S5316" s="74">
        <v>34920</v>
      </c>
      <c r="T5316" s="77">
        <v>0.75</v>
      </c>
      <c r="V5316">
        <v>73.94</v>
      </c>
      <c r="X5316" s="42"/>
      <c r="AB5316">
        <v>78.7</v>
      </c>
      <c r="AC5316">
        <v>73.94</v>
      </c>
      <c r="AE5316" s="74"/>
      <c r="AF5316" s="77"/>
      <c r="AH5316" s="497">
        <v>81.86</v>
      </c>
      <c r="AJ5316" s="42"/>
      <c r="AK5316" s="74"/>
      <c r="AL5316" s="77"/>
      <c r="AN5316" s="497">
        <v>80.960000000000008</v>
      </c>
      <c r="AP5316" s="42"/>
      <c r="AQ5316" s="74"/>
      <c r="AR5316" s="77"/>
      <c r="AT5316" s="497">
        <v>84.02</v>
      </c>
      <c r="AV5316" s="42"/>
      <c r="AW5316" s="74"/>
      <c r="AX5316" s="77"/>
      <c r="BA5316" s="497">
        <v>75.92</v>
      </c>
      <c r="BB5316" s="42"/>
      <c r="BC5316" s="74"/>
      <c r="BD5316" s="77"/>
      <c r="BF5316">
        <v>84.02</v>
      </c>
      <c r="BH5316" s="42"/>
      <c r="BI5316" s="74"/>
      <c r="BJ5316" s="77"/>
      <c r="BL5316" s="497">
        <v>75.02</v>
      </c>
      <c r="BN5316" s="42"/>
      <c r="BO5316" s="74"/>
      <c r="BP5316" s="77"/>
      <c r="BR5316" s="497">
        <v>75.02</v>
      </c>
      <c r="BT5316" s="42"/>
    </row>
    <row r="5317" spans="1:72" x14ac:dyDescent="0.25">
      <c r="A5317" s="90">
        <v>34920</v>
      </c>
      <c r="B5317" s="20">
        <v>0.79166666666666663</v>
      </c>
      <c r="D5317">
        <v>78.080000000000013</v>
      </c>
      <c r="E5317" t="str">
        <f t="shared" si="200"/>
        <v>WEEKDAY</v>
      </c>
      <c r="F5317" t="e">
        <f t="shared" si="201"/>
        <v>#N/A</v>
      </c>
      <c r="G5317" s="74">
        <v>31998</v>
      </c>
      <c r="H5317" s="77">
        <v>0.79166666666666663</v>
      </c>
      <c r="J5317">
        <v>75.02</v>
      </c>
      <c r="M5317" s="74">
        <v>34555</v>
      </c>
      <c r="N5317" s="77">
        <v>0.79166666666666663</v>
      </c>
      <c r="P5317">
        <v>70.88</v>
      </c>
      <c r="S5317" s="74">
        <v>34920</v>
      </c>
      <c r="T5317" s="77">
        <v>0.79166666666666663</v>
      </c>
      <c r="V5317">
        <v>73.039999999999992</v>
      </c>
      <c r="X5317" s="42"/>
      <c r="AB5317">
        <v>77.3</v>
      </c>
      <c r="AC5317">
        <v>71.960000000000008</v>
      </c>
      <c r="AE5317" s="74"/>
      <c r="AF5317" s="77"/>
      <c r="AH5317" s="497">
        <v>79.88</v>
      </c>
      <c r="AJ5317" s="42"/>
      <c r="AK5317" s="74"/>
      <c r="AL5317" s="77"/>
      <c r="AN5317" s="497">
        <v>78.080000000000013</v>
      </c>
      <c r="AP5317" s="42"/>
      <c r="AQ5317" s="74"/>
      <c r="AR5317" s="77"/>
      <c r="AT5317" s="497">
        <v>78.080000000000013</v>
      </c>
      <c r="AV5317" s="42"/>
      <c r="AW5317" s="74"/>
      <c r="AX5317" s="77"/>
      <c r="BA5317" s="497">
        <v>75.02</v>
      </c>
      <c r="BB5317" s="42"/>
      <c r="BC5317" s="74"/>
      <c r="BD5317" s="77"/>
      <c r="BF5317">
        <v>82.039999999999992</v>
      </c>
      <c r="BH5317" s="42"/>
      <c r="BI5317" s="74"/>
      <c r="BJ5317" s="77"/>
      <c r="BL5317" s="497">
        <v>73.039999999999992</v>
      </c>
      <c r="BN5317" s="42"/>
      <c r="BO5317" s="74"/>
      <c r="BP5317" s="77"/>
      <c r="BR5317" s="497">
        <v>73.039999999999992</v>
      </c>
      <c r="BT5317" s="42"/>
    </row>
    <row r="5318" spans="1:72" x14ac:dyDescent="0.25">
      <c r="A5318" s="90">
        <v>34920</v>
      </c>
      <c r="B5318" s="20">
        <v>0.83333333333333337</v>
      </c>
      <c r="D5318">
        <v>78.98</v>
      </c>
      <c r="E5318" t="str">
        <f t="shared" si="200"/>
        <v>WEEKDAY</v>
      </c>
      <c r="F5318" t="e">
        <f t="shared" si="201"/>
        <v>#N/A</v>
      </c>
      <c r="G5318" s="74">
        <v>31998</v>
      </c>
      <c r="H5318" s="77">
        <v>0.83333333333333337</v>
      </c>
      <c r="J5318">
        <v>71.960000000000008</v>
      </c>
      <c r="M5318" s="74">
        <v>34555</v>
      </c>
      <c r="N5318" s="77">
        <v>0.83333333333333337</v>
      </c>
      <c r="P5318">
        <v>68.900000000000006</v>
      </c>
      <c r="S5318" s="74">
        <v>34920</v>
      </c>
      <c r="T5318" s="77">
        <v>0.83333333333333337</v>
      </c>
      <c r="V5318">
        <v>71.960000000000008</v>
      </c>
      <c r="X5318" s="42"/>
      <c r="AB5318">
        <v>75.900000000000006</v>
      </c>
      <c r="AC5318">
        <v>69.98</v>
      </c>
      <c r="AE5318" s="74"/>
      <c r="AF5318" s="77"/>
      <c r="AH5318" s="497">
        <v>77</v>
      </c>
      <c r="AJ5318" s="42"/>
      <c r="AK5318" s="74"/>
      <c r="AL5318" s="77"/>
      <c r="AN5318" s="497">
        <v>75.92</v>
      </c>
      <c r="AP5318" s="42"/>
      <c r="AQ5318" s="74"/>
      <c r="AR5318" s="77"/>
      <c r="AT5318" s="497">
        <v>71.06</v>
      </c>
      <c r="AV5318" s="42"/>
      <c r="AW5318" s="74"/>
      <c r="AX5318" s="77"/>
      <c r="BA5318" s="497">
        <v>73.039999999999992</v>
      </c>
      <c r="BB5318" s="42"/>
      <c r="BC5318" s="74"/>
      <c r="BD5318" s="77"/>
      <c r="BF5318">
        <v>75.02</v>
      </c>
      <c r="BH5318" s="42"/>
      <c r="BI5318" s="74"/>
      <c r="BJ5318" s="77"/>
      <c r="BL5318" s="497">
        <v>69.98</v>
      </c>
      <c r="BN5318" s="42"/>
      <c r="BO5318" s="74"/>
      <c r="BP5318" s="77"/>
      <c r="BR5318" s="497">
        <v>71.06</v>
      </c>
      <c r="BT5318" s="42"/>
    </row>
    <row r="5319" spans="1:72" x14ac:dyDescent="0.25">
      <c r="A5319" s="90">
        <v>34920</v>
      </c>
      <c r="B5319" s="20">
        <v>0.875</v>
      </c>
      <c r="D5319">
        <v>77</v>
      </c>
      <c r="E5319" t="str">
        <f t="shared" si="200"/>
        <v>WEEKDAY</v>
      </c>
      <c r="F5319" t="e">
        <f t="shared" si="201"/>
        <v>#N/A</v>
      </c>
      <c r="G5319" s="74">
        <v>31998</v>
      </c>
      <c r="H5319" s="77">
        <v>0.875</v>
      </c>
      <c r="J5319">
        <v>71.06</v>
      </c>
      <c r="M5319" s="74">
        <v>34555</v>
      </c>
      <c r="N5319" s="77">
        <v>0.875</v>
      </c>
      <c r="P5319">
        <v>68</v>
      </c>
      <c r="S5319" s="74">
        <v>34920</v>
      </c>
      <c r="T5319" s="77">
        <v>0.875</v>
      </c>
      <c r="V5319">
        <v>69.98</v>
      </c>
      <c r="X5319" s="42"/>
      <c r="AB5319">
        <v>75</v>
      </c>
      <c r="AC5319">
        <v>69.080000000000013</v>
      </c>
      <c r="AE5319" s="74"/>
      <c r="AF5319" s="77"/>
      <c r="AH5319" s="497">
        <v>74.84</v>
      </c>
      <c r="AJ5319" s="42"/>
      <c r="AK5319" s="74"/>
      <c r="AL5319" s="77"/>
      <c r="AN5319" s="497">
        <v>73.94</v>
      </c>
      <c r="AP5319" s="42"/>
      <c r="AQ5319" s="74"/>
      <c r="AR5319" s="77"/>
      <c r="AT5319" s="497">
        <v>68</v>
      </c>
      <c r="AV5319" s="42"/>
      <c r="AW5319" s="74"/>
      <c r="AX5319" s="77"/>
      <c r="BA5319" s="497">
        <v>71.960000000000008</v>
      </c>
      <c r="BB5319" s="42"/>
      <c r="BC5319" s="74"/>
      <c r="BD5319" s="77"/>
      <c r="BF5319">
        <v>75.02</v>
      </c>
      <c r="BH5319" s="42"/>
      <c r="BI5319" s="74"/>
      <c r="BJ5319" s="77"/>
      <c r="BL5319" s="497">
        <v>68</v>
      </c>
      <c r="BN5319" s="42"/>
      <c r="BO5319" s="74"/>
      <c r="BP5319" s="77"/>
      <c r="BR5319" s="497">
        <v>69.98</v>
      </c>
      <c r="BT5319" s="42"/>
    </row>
    <row r="5320" spans="1:72" x14ac:dyDescent="0.25">
      <c r="A5320" s="90">
        <v>34920</v>
      </c>
      <c r="B5320" s="20">
        <v>0.91666666666666663</v>
      </c>
      <c r="D5320">
        <v>75.92</v>
      </c>
      <c r="E5320" t="str">
        <f t="shared" si="200"/>
        <v>WEEKDAY</v>
      </c>
      <c r="F5320" t="e">
        <f t="shared" si="201"/>
        <v>#N/A</v>
      </c>
      <c r="G5320" s="74">
        <v>31998</v>
      </c>
      <c r="H5320" s="77">
        <v>0.91666666666666663</v>
      </c>
      <c r="J5320">
        <v>69.080000000000013</v>
      </c>
      <c r="M5320" s="74">
        <v>34555</v>
      </c>
      <c r="N5320" s="77">
        <v>0.91666666666666663</v>
      </c>
      <c r="P5320">
        <v>65.84</v>
      </c>
      <c r="S5320" s="74">
        <v>34920</v>
      </c>
      <c r="T5320" s="77">
        <v>0.91666666666666663</v>
      </c>
      <c r="V5320">
        <v>69.98</v>
      </c>
      <c r="X5320" s="42"/>
      <c r="AB5320">
        <v>74.5</v>
      </c>
      <c r="AC5320">
        <v>69.080000000000013</v>
      </c>
      <c r="AE5320" s="74"/>
      <c r="AF5320" s="77"/>
      <c r="AH5320" s="497">
        <v>73.94</v>
      </c>
      <c r="AJ5320" s="42"/>
      <c r="AK5320" s="74"/>
      <c r="AL5320" s="77"/>
      <c r="AN5320" s="497">
        <v>73.039999999999992</v>
      </c>
      <c r="AP5320" s="42"/>
      <c r="AQ5320" s="74"/>
      <c r="AR5320" s="77"/>
      <c r="AT5320" s="497">
        <v>69.080000000000013</v>
      </c>
      <c r="AV5320" s="42"/>
      <c r="AW5320" s="74"/>
      <c r="AX5320" s="77"/>
      <c r="BA5320" s="497">
        <v>69.080000000000013</v>
      </c>
      <c r="BB5320" s="42"/>
      <c r="BC5320" s="74"/>
      <c r="BD5320" s="77"/>
      <c r="BF5320">
        <v>69.080000000000013</v>
      </c>
      <c r="BH5320" s="42"/>
      <c r="BI5320" s="74"/>
      <c r="BJ5320" s="77"/>
      <c r="BL5320" s="497">
        <v>66.92</v>
      </c>
      <c r="BN5320" s="42"/>
      <c r="BO5320" s="74"/>
      <c r="BP5320" s="77"/>
      <c r="BR5320" s="497">
        <v>69.080000000000013</v>
      </c>
      <c r="BT5320" s="42"/>
    </row>
    <row r="5321" spans="1:72" x14ac:dyDescent="0.25">
      <c r="A5321" s="90">
        <v>34920</v>
      </c>
      <c r="B5321" s="20">
        <v>0.95833333333333337</v>
      </c>
      <c r="D5321">
        <v>75.92</v>
      </c>
      <c r="E5321" t="str">
        <f t="shared" si="200"/>
        <v>WEEKDAY</v>
      </c>
      <c r="F5321" t="e">
        <f t="shared" si="201"/>
        <v>#N/A</v>
      </c>
      <c r="G5321" s="74">
        <v>31998</v>
      </c>
      <c r="H5321" s="77">
        <v>0.95833333333333337</v>
      </c>
      <c r="J5321">
        <v>68</v>
      </c>
      <c r="M5321" s="74">
        <v>34555</v>
      </c>
      <c r="N5321" s="77">
        <v>0.95833333333333337</v>
      </c>
      <c r="P5321">
        <v>65.84</v>
      </c>
      <c r="S5321" s="74">
        <v>34920</v>
      </c>
      <c r="T5321" s="77">
        <v>0.95833333333333337</v>
      </c>
      <c r="V5321">
        <v>69.080000000000013</v>
      </c>
      <c r="X5321" s="42"/>
      <c r="AB5321">
        <v>74.099999999999994</v>
      </c>
      <c r="AC5321">
        <v>66.92</v>
      </c>
      <c r="AE5321" s="74"/>
      <c r="AF5321" s="77"/>
      <c r="AH5321" s="497">
        <v>71.960000000000008</v>
      </c>
      <c r="AJ5321" s="42"/>
      <c r="AK5321" s="74"/>
      <c r="AL5321" s="77"/>
      <c r="AN5321" s="497">
        <v>68</v>
      </c>
      <c r="AP5321" s="42"/>
      <c r="AQ5321" s="74"/>
      <c r="AR5321" s="77"/>
      <c r="AT5321" s="497">
        <v>64.039999999999992</v>
      </c>
      <c r="AV5321" s="42"/>
      <c r="AW5321" s="74"/>
      <c r="AX5321" s="77"/>
      <c r="BA5321" s="497">
        <v>68</v>
      </c>
      <c r="BB5321" s="42"/>
      <c r="BC5321" s="74"/>
      <c r="BD5321" s="77"/>
      <c r="BF5321">
        <v>66.92</v>
      </c>
      <c r="BH5321" s="42"/>
      <c r="BI5321" s="74"/>
      <c r="BJ5321" s="77"/>
      <c r="BL5321" s="497">
        <v>64.94</v>
      </c>
      <c r="BN5321" s="42"/>
      <c r="BO5321" s="74"/>
      <c r="BP5321" s="77"/>
      <c r="BR5321" s="497">
        <v>68</v>
      </c>
      <c r="BT5321" s="42"/>
    </row>
    <row r="5322" spans="1:72" x14ac:dyDescent="0.25">
      <c r="A5322" s="90">
        <v>34920</v>
      </c>
      <c r="B5322" s="20">
        <v>1</v>
      </c>
      <c r="D5322">
        <v>75.92</v>
      </c>
      <c r="E5322" t="str">
        <f t="shared" si="200"/>
        <v>WEEKDAY</v>
      </c>
      <c r="F5322" t="e">
        <f t="shared" si="201"/>
        <v>#N/A</v>
      </c>
      <c r="G5322" s="74">
        <v>31998</v>
      </c>
      <c r="H5322" s="77">
        <v>1</v>
      </c>
      <c r="J5322">
        <v>69.080000000000013</v>
      </c>
      <c r="M5322" s="74">
        <v>34555</v>
      </c>
      <c r="N5322" s="80">
        <v>1</v>
      </c>
      <c r="P5322">
        <v>66.92</v>
      </c>
      <c r="S5322" s="74">
        <v>34920</v>
      </c>
      <c r="T5322" s="80">
        <v>1</v>
      </c>
      <c r="V5322">
        <v>68</v>
      </c>
      <c r="X5322" s="42"/>
      <c r="AB5322">
        <v>73.5</v>
      </c>
      <c r="AC5322">
        <v>66.02</v>
      </c>
      <c r="AE5322" s="74"/>
      <c r="AF5322" s="80"/>
      <c r="AH5322" s="497">
        <v>68.900000000000006</v>
      </c>
      <c r="AJ5322" s="42"/>
      <c r="AK5322" s="74"/>
      <c r="AL5322" s="80"/>
      <c r="AN5322" s="497">
        <v>66.92</v>
      </c>
      <c r="AP5322" s="42"/>
      <c r="AQ5322" s="74"/>
      <c r="AR5322" s="80"/>
      <c r="AT5322" s="497">
        <v>62.96</v>
      </c>
      <c r="AV5322" s="42"/>
      <c r="AW5322" s="74"/>
      <c r="AX5322" s="80"/>
      <c r="BA5322" s="497">
        <v>68</v>
      </c>
      <c r="BB5322" s="42"/>
      <c r="BC5322" s="74"/>
      <c r="BD5322" s="80"/>
      <c r="BF5322">
        <v>64.039999999999992</v>
      </c>
      <c r="BH5322" s="42"/>
      <c r="BI5322" s="74"/>
      <c r="BJ5322" s="80"/>
      <c r="BL5322" s="497">
        <v>64.039999999999992</v>
      </c>
      <c r="BN5322" s="42"/>
      <c r="BO5322" s="74"/>
      <c r="BP5322" s="80"/>
      <c r="BR5322" s="497">
        <v>66.92</v>
      </c>
      <c r="BT5322" s="42"/>
    </row>
    <row r="5323" spans="1:72" x14ac:dyDescent="0.25">
      <c r="A5323" s="90">
        <v>34921</v>
      </c>
      <c r="B5323" s="20">
        <v>4.1666666666666664E-2</v>
      </c>
      <c r="D5323">
        <v>75.92</v>
      </c>
      <c r="E5323" t="str">
        <f t="shared" si="200"/>
        <v>WEEKDAY</v>
      </c>
      <c r="F5323" t="e">
        <f t="shared" si="201"/>
        <v>#N/A</v>
      </c>
      <c r="G5323" s="74">
        <v>31999</v>
      </c>
      <c r="H5323" s="77">
        <v>4.1666666666666664E-2</v>
      </c>
      <c r="J5323">
        <v>68</v>
      </c>
      <c r="M5323" s="74">
        <v>34556</v>
      </c>
      <c r="N5323" s="77">
        <v>4.1666666666666664E-2</v>
      </c>
      <c r="P5323">
        <v>68</v>
      </c>
      <c r="S5323" s="74">
        <v>34921</v>
      </c>
      <c r="T5323" s="77">
        <v>4.1666666666666664E-2</v>
      </c>
      <c r="V5323">
        <v>69.080000000000013</v>
      </c>
      <c r="X5323" s="42"/>
      <c r="AB5323">
        <v>72.8</v>
      </c>
      <c r="AC5323">
        <v>66.02</v>
      </c>
      <c r="AE5323" s="74"/>
      <c r="AF5323" s="77"/>
      <c r="AH5323" s="497">
        <v>69.98</v>
      </c>
      <c r="AJ5323" s="42"/>
      <c r="AK5323" s="74"/>
      <c r="AL5323" s="77"/>
      <c r="AN5323" s="497">
        <v>64.039999999999992</v>
      </c>
      <c r="AP5323" s="42"/>
      <c r="AQ5323" s="74"/>
      <c r="AR5323" s="77"/>
      <c r="AT5323" s="497">
        <v>62.06</v>
      </c>
      <c r="AV5323" s="42"/>
      <c r="AW5323" s="74"/>
      <c r="AX5323" s="77"/>
      <c r="BA5323" s="497">
        <v>66.02</v>
      </c>
      <c r="BB5323" s="42"/>
      <c r="BC5323" s="74"/>
      <c r="BD5323" s="77"/>
      <c r="BF5323">
        <v>64.039999999999992</v>
      </c>
      <c r="BH5323" s="42"/>
      <c r="BI5323" s="74"/>
      <c r="BJ5323" s="77"/>
      <c r="BL5323" s="497">
        <v>62.96</v>
      </c>
      <c r="BN5323" s="42"/>
      <c r="BO5323" s="74"/>
      <c r="BP5323" s="77"/>
      <c r="BR5323" s="497">
        <v>66.02</v>
      </c>
      <c r="BT5323" s="42"/>
    </row>
    <row r="5324" spans="1:72" x14ac:dyDescent="0.25">
      <c r="A5324" s="90">
        <v>34921</v>
      </c>
      <c r="B5324" s="20">
        <v>8.3333333333333329E-2</v>
      </c>
      <c r="D5324">
        <v>75.92</v>
      </c>
      <c r="E5324" t="str">
        <f t="shared" si="200"/>
        <v>WEEKDAY</v>
      </c>
      <c r="F5324" t="e">
        <f t="shared" si="201"/>
        <v>#N/A</v>
      </c>
      <c r="G5324" s="74">
        <v>31999</v>
      </c>
      <c r="H5324" s="77">
        <v>8.3333333333333329E-2</v>
      </c>
      <c r="J5324">
        <v>68</v>
      </c>
      <c r="M5324" s="74">
        <v>34556</v>
      </c>
      <c r="N5324" s="77">
        <v>8.3333333333333329E-2</v>
      </c>
      <c r="P5324">
        <v>68</v>
      </c>
      <c r="S5324" s="74">
        <v>34921</v>
      </c>
      <c r="T5324" s="77">
        <v>8.3333333333333329E-2</v>
      </c>
      <c r="V5324">
        <v>68</v>
      </c>
      <c r="X5324" s="42"/>
      <c r="AB5324">
        <v>72.2</v>
      </c>
      <c r="AC5324">
        <v>62.96</v>
      </c>
      <c r="AE5324" s="74"/>
      <c r="AF5324" s="77"/>
      <c r="AH5324" s="497">
        <v>71.960000000000008</v>
      </c>
      <c r="AJ5324" s="42"/>
      <c r="AK5324" s="74"/>
      <c r="AL5324" s="77"/>
      <c r="AN5324" s="497">
        <v>64.039999999999992</v>
      </c>
      <c r="AP5324" s="42"/>
      <c r="AQ5324" s="74"/>
      <c r="AR5324" s="77"/>
      <c r="AT5324" s="497">
        <v>60.08</v>
      </c>
      <c r="AV5324" s="42"/>
      <c r="AW5324" s="74"/>
      <c r="AX5324" s="77"/>
      <c r="BA5324" s="497">
        <v>66.92</v>
      </c>
      <c r="BB5324" s="42"/>
      <c r="BC5324" s="74"/>
      <c r="BD5324" s="77"/>
      <c r="BF5324">
        <v>62.06</v>
      </c>
      <c r="BH5324" s="42"/>
      <c r="BI5324" s="74"/>
      <c r="BJ5324" s="77"/>
      <c r="BL5324" s="497">
        <v>62.96</v>
      </c>
      <c r="BN5324" s="42"/>
      <c r="BO5324" s="74"/>
      <c r="BP5324" s="77"/>
      <c r="BR5324" s="497">
        <v>64.039999999999992</v>
      </c>
      <c r="BT5324" s="42"/>
    </row>
    <row r="5325" spans="1:72" x14ac:dyDescent="0.25">
      <c r="A5325" s="90">
        <v>34921</v>
      </c>
      <c r="B5325" s="20">
        <v>0.125</v>
      </c>
      <c r="D5325">
        <v>75.92</v>
      </c>
      <c r="E5325" t="str">
        <f t="shared" si="200"/>
        <v>WEEKDAY</v>
      </c>
      <c r="F5325" t="e">
        <f t="shared" si="201"/>
        <v>#N/A</v>
      </c>
      <c r="G5325" s="74">
        <v>31999</v>
      </c>
      <c r="H5325" s="77">
        <v>0.125</v>
      </c>
      <c r="J5325">
        <v>68</v>
      </c>
      <c r="M5325" s="74">
        <v>34556</v>
      </c>
      <c r="N5325" s="77">
        <v>0.125</v>
      </c>
      <c r="P5325">
        <v>68</v>
      </c>
      <c r="S5325" s="74">
        <v>34921</v>
      </c>
      <c r="T5325" s="77">
        <v>0.125</v>
      </c>
      <c r="V5325">
        <v>68</v>
      </c>
      <c r="X5325" s="42"/>
      <c r="AB5325">
        <v>71.8</v>
      </c>
      <c r="AC5325">
        <v>62.06</v>
      </c>
      <c r="AE5325" s="74"/>
      <c r="AF5325" s="77"/>
      <c r="AH5325" s="497">
        <v>70.88</v>
      </c>
      <c r="AJ5325" s="42"/>
      <c r="AK5325" s="74"/>
      <c r="AL5325" s="77"/>
      <c r="AN5325" s="497">
        <v>62.96</v>
      </c>
      <c r="AP5325" s="42"/>
      <c r="AQ5325" s="74"/>
      <c r="AR5325" s="77"/>
      <c r="AT5325" s="497">
        <v>60.980000000000004</v>
      </c>
      <c r="AV5325" s="42"/>
      <c r="AW5325" s="74"/>
      <c r="AX5325" s="77"/>
      <c r="BA5325" s="497">
        <v>66.2</v>
      </c>
      <c r="BB5325" s="42"/>
      <c r="BC5325" s="74"/>
      <c r="BD5325" s="77"/>
      <c r="BF5325">
        <v>62.06</v>
      </c>
      <c r="BH5325" s="42"/>
      <c r="BI5325" s="74"/>
      <c r="BJ5325" s="77"/>
      <c r="BL5325" s="497">
        <v>60.980000000000004</v>
      </c>
      <c r="BN5325" s="42"/>
      <c r="BO5325" s="74"/>
      <c r="BP5325" s="77"/>
      <c r="BR5325" s="497">
        <v>62.06</v>
      </c>
      <c r="BT5325" s="42"/>
    </row>
    <row r="5326" spans="1:72" x14ac:dyDescent="0.25">
      <c r="A5326" s="90">
        <v>34921</v>
      </c>
      <c r="B5326" s="20">
        <v>0.16666666666666666</v>
      </c>
      <c r="D5326">
        <v>75.02</v>
      </c>
      <c r="E5326" t="str">
        <f t="shared" si="200"/>
        <v>WEEKDAY</v>
      </c>
      <c r="F5326" t="e">
        <f t="shared" si="201"/>
        <v>#N/A</v>
      </c>
      <c r="G5326" s="74">
        <v>31999</v>
      </c>
      <c r="H5326" s="77">
        <v>0.16666666666666666</v>
      </c>
      <c r="J5326">
        <v>69.080000000000013</v>
      </c>
      <c r="M5326" s="74">
        <v>34556</v>
      </c>
      <c r="N5326" s="77">
        <v>0.16666666666666666</v>
      </c>
      <c r="P5326">
        <v>68</v>
      </c>
      <c r="S5326" s="74">
        <v>34921</v>
      </c>
      <c r="T5326" s="77">
        <v>0.16666666666666666</v>
      </c>
      <c r="V5326">
        <v>66.92</v>
      </c>
      <c r="X5326" s="42"/>
      <c r="AB5326">
        <v>71.3</v>
      </c>
      <c r="AC5326">
        <v>60.08</v>
      </c>
      <c r="AE5326" s="74"/>
      <c r="AF5326" s="77"/>
      <c r="AH5326" s="497">
        <v>69.98</v>
      </c>
      <c r="AJ5326" s="42"/>
      <c r="AK5326" s="74"/>
      <c r="AL5326" s="77"/>
      <c r="AN5326" s="497">
        <v>60.980000000000004</v>
      </c>
      <c r="AP5326" s="42"/>
      <c r="AQ5326" s="74"/>
      <c r="AR5326" s="77"/>
      <c r="AT5326" s="497">
        <v>59</v>
      </c>
      <c r="AV5326" s="42"/>
      <c r="AW5326" s="74"/>
      <c r="AX5326" s="77"/>
      <c r="BA5326" s="497">
        <v>66.92</v>
      </c>
      <c r="BB5326" s="42"/>
      <c r="BC5326" s="74"/>
      <c r="BD5326" s="77"/>
      <c r="BF5326">
        <v>62.06</v>
      </c>
      <c r="BH5326" s="42"/>
      <c r="BI5326" s="74"/>
      <c r="BJ5326" s="77"/>
      <c r="BL5326" s="497">
        <v>60.08</v>
      </c>
      <c r="BN5326" s="42"/>
      <c r="BO5326" s="74"/>
      <c r="BP5326" s="77"/>
      <c r="BR5326" s="497">
        <v>60.08</v>
      </c>
      <c r="BT5326" s="42"/>
    </row>
    <row r="5327" spans="1:72" x14ac:dyDescent="0.25">
      <c r="A5327" s="90">
        <v>34921</v>
      </c>
      <c r="B5327" s="20">
        <v>0.20833333333333334</v>
      </c>
      <c r="D5327">
        <v>75.2</v>
      </c>
      <c r="E5327" t="str">
        <f t="shared" si="200"/>
        <v>WEEKDAY</v>
      </c>
      <c r="F5327" t="e">
        <f t="shared" si="201"/>
        <v>#N/A</v>
      </c>
      <c r="G5327" s="74">
        <v>31999</v>
      </c>
      <c r="H5327" s="77">
        <v>0.20833333333333334</v>
      </c>
      <c r="J5327">
        <v>69.080000000000013</v>
      </c>
      <c r="M5327" s="74">
        <v>34556</v>
      </c>
      <c r="N5327" s="77">
        <v>0.20833333333333334</v>
      </c>
      <c r="P5327">
        <v>68</v>
      </c>
      <c r="S5327" s="74">
        <v>34921</v>
      </c>
      <c r="T5327" s="77">
        <v>0.20833333333333334</v>
      </c>
      <c r="V5327">
        <v>66.92</v>
      </c>
      <c r="X5327" s="42"/>
      <c r="AB5327">
        <v>70.7</v>
      </c>
      <c r="AC5327">
        <v>60.980000000000004</v>
      </c>
      <c r="AE5327" s="74"/>
      <c r="AF5327" s="77"/>
      <c r="AH5327" s="497">
        <v>68</v>
      </c>
      <c r="AJ5327" s="42"/>
      <c r="AK5327" s="74"/>
      <c r="AL5327" s="77"/>
      <c r="AN5327" s="497">
        <v>62.06</v>
      </c>
      <c r="AP5327" s="42"/>
      <c r="AQ5327" s="74"/>
      <c r="AR5327" s="77"/>
      <c r="AT5327" s="497">
        <v>57.92</v>
      </c>
      <c r="AV5327" s="42"/>
      <c r="AW5327" s="74"/>
      <c r="AX5327" s="77"/>
      <c r="BA5327" s="497">
        <v>64.94</v>
      </c>
      <c r="BB5327" s="42"/>
      <c r="BC5327" s="74"/>
      <c r="BD5327" s="77"/>
      <c r="BF5327">
        <v>62.06</v>
      </c>
      <c r="BH5327" s="42"/>
      <c r="BI5327" s="74"/>
      <c r="BJ5327" s="77"/>
      <c r="BL5327" s="497">
        <v>59</v>
      </c>
      <c r="BN5327" s="42"/>
      <c r="BO5327" s="74"/>
      <c r="BP5327" s="77"/>
      <c r="BR5327" s="497">
        <v>62.06</v>
      </c>
      <c r="BT5327" s="42"/>
    </row>
    <row r="5328" spans="1:72" x14ac:dyDescent="0.25">
      <c r="A5328" s="90">
        <v>34921</v>
      </c>
      <c r="B5328" s="20">
        <v>0.25</v>
      </c>
      <c r="D5328">
        <v>75.02</v>
      </c>
      <c r="E5328" t="str">
        <f t="shared" si="200"/>
        <v>WEEKDAY</v>
      </c>
      <c r="F5328" t="e">
        <f t="shared" si="201"/>
        <v>#N/A</v>
      </c>
      <c r="G5328" s="74">
        <v>31999</v>
      </c>
      <c r="H5328" s="77">
        <v>0.25</v>
      </c>
      <c r="J5328">
        <v>69.080000000000013</v>
      </c>
      <c r="M5328" s="74">
        <v>34556</v>
      </c>
      <c r="N5328" s="77">
        <v>0.25</v>
      </c>
      <c r="P5328">
        <v>68</v>
      </c>
      <c r="S5328" s="74">
        <v>34921</v>
      </c>
      <c r="T5328" s="77">
        <v>0.25</v>
      </c>
      <c r="V5328">
        <v>69.080000000000013</v>
      </c>
      <c r="X5328" s="42"/>
      <c r="AB5328">
        <v>70.400000000000006</v>
      </c>
      <c r="AC5328">
        <v>64.039999999999992</v>
      </c>
      <c r="AE5328" s="74"/>
      <c r="AF5328" s="77"/>
      <c r="AH5328" s="497">
        <v>65.84</v>
      </c>
      <c r="AJ5328" s="42"/>
      <c r="AK5328" s="74"/>
      <c r="AL5328" s="77"/>
      <c r="AN5328" s="497">
        <v>62.06</v>
      </c>
      <c r="AP5328" s="42"/>
      <c r="AQ5328" s="74"/>
      <c r="AR5328" s="77"/>
      <c r="AT5328" s="497">
        <v>60.08</v>
      </c>
      <c r="AV5328" s="42"/>
      <c r="AW5328" s="74"/>
      <c r="AX5328" s="77"/>
      <c r="BA5328" s="497">
        <v>64.94</v>
      </c>
      <c r="BB5328" s="42"/>
      <c r="BC5328" s="74"/>
      <c r="BD5328" s="77"/>
      <c r="BF5328">
        <v>62.06</v>
      </c>
      <c r="BH5328" s="42"/>
      <c r="BI5328" s="74"/>
      <c r="BJ5328" s="77"/>
      <c r="BL5328" s="497">
        <v>59</v>
      </c>
      <c r="BN5328" s="42"/>
      <c r="BO5328" s="74"/>
      <c r="BP5328" s="77"/>
      <c r="BR5328" s="497">
        <v>62.06</v>
      </c>
      <c r="BT5328" s="42"/>
    </row>
    <row r="5329" spans="1:72" x14ac:dyDescent="0.25">
      <c r="A5329" s="90">
        <v>34921</v>
      </c>
      <c r="B5329" s="20">
        <v>0.29166666666666669</v>
      </c>
      <c r="D5329">
        <v>75.92</v>
      </c>
      <c r="E5329" t="str">
        <f t="shared" si="200"/>
        <v>WEEKDAY</v>
      </c>
      <c r="F5329" t="e">
        <f t="shared" si="201"/>
        <v>#N/A</v>
      </c>
      <c r="G5329" s="74">
        <v>31999</v>
      </c>
      <c r="H5329" s="77">
        <v>0.29166666666666669</v>
      </c>
      <c r="J5329">
        <v>69.080000000000013</v>
      </c>
      <c r="M5329" s="74">
        <v>34556</v>
      </c>
      <c r="N5329" s="77">
        <v>0.29166666666666669</v>
      </c>
      <c r="P5329">
        <v>68</v>
      </c>
      <c r="S5329" s="74">
        <v>34921</v>
      </c>
      <c r="T5329" s="77">
        <v>0.29166666666666669</v>
      </c>
      <c r="V5329">
        <v>71.960000000000008</v>
      </c>
      <c r="X5329" s="42"/>
      <c r="AB5329">
        <v>71.099999999999994</v>
      </c>
      <c r="AC5329">
        <v>69.98</v>
      </c>
      <c r="AE5329" s="74"/>
      <c r="AF5329" s="77"/>
      <c r="AH5329" s="497">
        <v>66.92</v>
      </c>
      <c r="AJ5329" s="42"/>
      <c r="AK5329" s="74"/>
      <c r="AL5329" s="77"/>
      <c r="AN5329" s="497">
        <v>64.039999999999992</v>
      </c>
      <c r="AP5329" s="42"/>
      <c r="AQ5329" s="74"/>
      <c r="AR5329" s="77"/>
      <c r="AT5329" s="497">
        <v>64.94</v>
      </c>
      <c r="AV5329" s="42"/>
      <c r="AW5329" s="74"/>
      <c r="AX5329" s="77"/>
      <c r="BA5329" s="497">
        <v>66.02</v>
      </c>
      <c r="BB5329" s="42"/>
      <c r="BC5329" s="74"/>
      <c r="BD5329" s="77"/>
      <c r="BF5329">
        <v>68</v>
      </c>
      <c r="BH5329" s="42"/>
      <c r="BI5329" s="74"/>
      <c r="BJ5329" s="77"/>
      <c r="BL5329" s="497">
        <v>62.06</v>
      </c>
      <c r="BN5329" s="42"/>
      <c r="BO5329" s="74"/>
      <c r="BP5329" s="77"/>
      <c r="BR5329" s="497">
        <v>62.96</v>
      </c>
      <c r="BT5329" s="42"/>
    </row>
    <row r="5330" spans="1:72" x14ac:dyDescent="0.25">
      <c r="A5330" s="90">
        <v>34921</v>
      </c>
      <c r="B5330" s="20">
        <v>0.33333333333333331</v>
      </c>
      <c r="D5330">
        <v>77</v>
      </c>
      <c r="E5330" t="str">
        <f t="shared" si="200"/>
        <v>WEEKDAY</v>
      </c>
      <c r="F5330" t="e">
        <f t="shared" si="201"/>
        <v>#N/A</v>
      </c>
      <c r="G5330" s="74">
        <v>31999</v>
      </c>
      <c r="H5330" s="77">
        <v>0.33333333333333331</v>
      </c>
      <c r="J5330">
        <v>69.98</v>
      </c>
      <c r="M5330" s="74">
        <v>34556</v>
      </c>
      <c r="N5330" s="77">
        <v>0.33333333333333331</v>
      </c>
      <c r="P5330">
        <v>68</v>
      </c>
      <c r="S5330" s="74">
        <v>34921</v>
      </c>
      <c r="T5330" s="77">
        <v>0.33333333333333331</v>
      </c>
      <c r="V5330">
        <v>75.02</v>
      </c>
      <c r="X5330" s="42"/>
      <c r="AB5330">
        <v>73.2</v>
      </c>
      <c r="AC5330">
        <v>73.94</v>
      </c>
      <c r="AE5330" s="74"/>
      <c r="AF5330" s="77"/>
      <c r="AH5330" s="497">
        <v>69.98</v>
      </c>
      <c r="AJ5330" s="42"/>
      <c r="AK5330" s="74"/>
      <c r="AL5330" s="77"/>
      <c r="AN5330" s="497">
        <v>69.080000000000013</v>
      </c>
      <c r="AP5330" s="42"/>
      <c r="AQ5330" s="74"/>
      <c r="AR5330" s="77"/>
      <c r="AT5330" s="497">
        <v>71.06</v>
      </c>
      <c r="AV5330" s="42"/>
      <c r="AW5330" s="74"/>
      <c r="AX5330" s="77"/>
      <c r="BA5330" s="497">
        <v>68</v>
      </c>
      <c r="BB5330" s="42"/>
      <c r="BC5330" s="74"/>
      <c r="BD5330" s="77"/>
      <c r="BF5330">
        <v>71.06</v>
      </c>
      <c r="BH5330" s="42"/>
      <c r="BI5330" s="74"/>
      <c r="BJ5330" s="77"/>
      <c r="BL5330" s="497">
        <v>66.02</v>
      </c>
      <c r="BN5330" s="42"/>
      <c r="BO5330" s="74"/>
      <c r="BP5330" s="77"/>
      <c r="BR5330" s="497">
        <v>66.02</v>
      </c>
      <c r="BT5330" s="42"/>
    </row>
    <row r="5331" spans="1:72" x14ac:dyDescent="0.25">
      <c r="A5331" s="90">
        <v>34921</v>
      </c>
      <c r="B5331" s="20">
        <v>0.375</v>
      </c>
      <c r="D5331">
        <v>80.06</v>
      </c>
      <c r="E5331" t="str">
        <f t="shared" ref="E5331:E5394" si="202">IF(COUNTIF($DI$18:$DI$22, WEEKDAY(A5331))=1, "WEEKDAY", IF(WEEKDAY(A5331) = 1, "SUNDAY", "SATURDAY"))</f>
        <v>WEEKDAY</v>
      </c>
      <c r="F5331" t="e">
        <f t="shared" si="201"/>
        <v>#N/A</v>
      </c>
      <c r="G5331" s="74">
        <v>31999</v>
      </c>
      <c r="H5331" s="77">
        <v>0.375</v>
      </c>
      <c r="J5331">
        <v>71.06</v>
      </c>
      <c r="M5331" s="74">
        <v>34556</v>
      </c>
      <c r="N5331" s="77">
        <v>0.375</v>
      </c>
      <c r="P5331">
        <v>66.92</v>
      </c>
      <c r="S5331" s="74">
        <v>34921</v>
      </c>
      <c r="T5331" s="77">
        <v>0.375</v>
      </c>
      <c r="V5331">
        <v>78.080000000000013</v>
      </c>
      <c r="X5331" s="42"/>
      <c r="AB5331">
        <v>75.2</v>
      </c>
      <c r="AC5331">
        <v>77</v>
      </c>
      <c r="AE5331" s="74"/>
      <c r="AF5331" s="77"/>
      <c r="AH5331" s="497">
        <v>72.86</v>
      </c>
      <c r="AJ5331" s="42"/>
      <c r="AK5331" s="74"/>
      <c r="AL5331" s="77"/>
      <c r="AN5331" s="497">
        <v>73.94</v>
      </c>
      <c r="AP5331" s="42"/>
      <c r="AQ5331" s="74"/>
      <c r="AR5331" s="77"/>
      <c r="AT5331" s="497">
        <v>75.92</v>
      </c>
      <c r="AV5331" s="42"/>
      <c r="AW5331" s="74"/>
      <c r="AX5331" s="77"/>
      <c r="BA5331" s="497">
        <v>71.06</v>
      </c>
      <c r="BB5331" s="42"/>
      <c r="BC5331" s="74"/>
      <c r="BD5331" s="77"/>
      <c r="BF5331">
        <v>77</v>
      </c>
      <c r="BH5331" s="42"/>
      <c r="BI5331" s="74"/>
      <c r="BJ5331" s="77"/>
      <c r="BL5331" s="497">
        <v>69.98</v>
      </c>
      <c r="BN5331" s="42"/>
      <c r="BO5331" s="74"/>
      <c r="BP5331" s="77"/>
      <c r="BR5331" s="497">
        <v>68</v>
      </c>
      <c r="BT5331" s="42"/>
    </row>
    <row r="5332" spans="1:72" x14ac:dyDescent="0.25">
      <c r="A5332" s="90">
        <v>34921</v>
      </c>
      <c r="B5332" s="20">
        <v>0.41666666666666669</v>
      </c>
      <c r="D5332">
        <v>80.960000000000008</v>
      </c>
      <c r="E5332" t="str">
        <f t="shared" si="202"/>
        <v>WEEKDAY</v>
      </c>
      <c r="F5332" t="e">
        <f t="shared" si="201"/>
        <v>#N/A</v>
      </c>
      <c r="G5332" s="74">
        <v>31999</v>
      </c>
      <c r="H5332" s="77">
        <v>0.41666666666666669</v>
      </c>
      <c r="J5332">
        <v>71.960000000000008</v>
      </c>
      <c r="M5332" s="74">
        <v>34556</v>
      </c>
      <c r="N5332" s="77">
        <v>0.41666666666666669</v>
      </c>
      <c r="P5332">
        <v>66.92</v>
      </c>
      <c r="S5332" s="74">
        <v>34921</v>
      </c>
      <c r="T5332" s="77">
        <v>0.41666666666666669</v>
      </c>
      <c r="V5332">
        <v>77</v>
      </c>
      <c r="X5332" s="42"/>
      <c r="AB5332">
        <v>77</v>
      </c>
      <c r="AC5332">
        <v>80.06</v>
      </c>
      <c r="AE5332" s="74"/>
      <c r="AF5332" s="77"/>
      <c r="AH5332" s="497">
        <v>72.86</v>
      </c>
      <c r="AJ5332" s="42"/>
      <c r="AK5332" s="74"/>
      <c r="AL5332" s="77"/>
      <c r="AN5332" s="497">
        <v>78.080000000000013</v>
      </c>
      <c r="AP5332" s="42"/>
      <c r="AQ5332" s="74"/>
      <c r="AR5332" s="77"/>
      <c r="AT5332" s="497">
        <v>80.06</v>
      </c>
      <c r="AV5332" s="42"/>
      <c r="AW5332" s="74"/>
      <c r="AX5332" s="77"/>
      <c r="BA5332" s="497">
        <v>71.960000000000008</v>
      </c>
      <c r="BB5332" s="42"/>
      <c r="BC5332" s="74"/>
      <c r="BD5332" s="77"/>
      <c r="BF5332">
        <v>82.039999999999992</v>
      </c>
      <c r="BH5332" s="42"/>
      <c r="BI5332" s="74"/>
      <c r="BJ5332" s="77"/>
      <c r="BL5332" s="497">
        <v>75.92</v>
      </c>
      <c r="BN5332" s="42"/>
      <c r="BO5332" s="74"/>
      <c r="BP5332" s="77"/>
      <c r="BR5332" s="497">
        <v>68</v>
      </c>
      <c r="BT5332" s="42"/>
    </row>
    <row r="5333" spans="1:72" x14ac:dyDescent="0.25">
      <c r="A5333" s="90">
        <v>34921</v>
      </c>
      <c r="B5333" s="20">
        <v>0.45833333333333331</v>
      </c>
      <c r="D5333">
        <v>82.94</v>
      </c>
      <c r="E5333" t="str">
        <f t="shared" si="202"/>
        <v>WEEKDAY</v>
      </c>
      <c r="F5333" t="e">
        <f t="shared" si="201"/>
        <v>#N/A</v>
      </c>
      <c r="G5333" s="74">
        <v>31999</v>
      </c>
      <c r="H5333" s="77">
        <v>0.45833333333333331</v>
      </c>
      <c r="J5333">
        <v>71.960000000000008</v>
      </c>
      <c r="M5333" s="74">
        <v>34556</v>
      </c>
      <c r="N5333" s="77">
        <v>0.45833333333333331</v>
      </c>
      <c r="P5333">
        <v>68</v>
      </c>
      <c r="S5333" s="74">
        <v>34921</v>
      </c>
      <c r="T5333" s="77">
        <v>0.45833333333333331</v>
      </c>
      <c r="V5333">
        <v>78.080000000000013</v>
      </c>
      <c r="X5333" s="42"/>
      <c r="AB5333">
        <v>78.599999999999994</v>
      </c>
      <c r="AC5333">
        <v>80.06</v>
      </c>
      <c r="AE5333" s="74"/>
      <c r="AF5333" s="77"/>
      <c r="AH5333" s="497">
        <v>77</v>
      </c>
      <c r="AJ5333" s="42"/>
      <c r="AK5333" s="74"/>
      <c r="AL5333" s="77"/>
      <c r="AN5333" s="497">
        <v>80.960000000000008</v>
      </c>
      <c r="AP5333" s="42"/>
      <c r="AQ5333" s="74"/>
      <c r="AR5333" s="77"/>
      <c r="AT5333" s="497">
        <v>82.94</v>
      </c>
      <c r="AV5333" s="42"/>
      <c r="AW5333" s="74"/>
      <c r="AX5333" s="77"/>
      <c r="BA5333" s="497">
        <v>75.02</v>
      </c>
      <c r="BB5333" s="42"/>
      <c r="BC5333" s="74"/>
      <c r="BD5333" s="77"/>
      <c r="BF5333">
        <v>84.02</v>
      </c>
      <c r="BH5333" s="42"/>
      <c r="BI5333" s="74"/>
      <c r="BJ5333" s="77"/>
      <c r="BL5333" s="497">
        <v>77</v>
      </c>
      <c r="BN5333" s="42"/>
      <c r="BO5333" s="74"/>
      <c r="BP5333" s="77"/>
      <c r="BR5333" s="497">
        <v>69.98</v>
      </c>
      <c r="BT5333" s="42"/>
    </row>
    <row r="5334" spans="1:72" x14ac:dyDescent="0.25">
      <c r="A5334" s="90">
        <v>34921</v>
      </c>
      <c r="B5334" s="20">
        <v>0.5</v>
      </c>
      <c r="D5334">
        <v>82.94</v>
      </c>
      <c r="E5334" t="str">
        <f t="shared" si="202"/>
        <v>WEEKDAY</v>
      </c>
      <c r="F5334" t="e">
        <f t="shared" si="201"/>
        <v>#N/A</v>
      </c>
      <c r="G5334" s="74">
        <v>31999</v>
      </c>
      <c r="H5334" s="77">
        <v>0.5</v>
      </c>
      <c r="J5334">
        <v>73.94</v>
      </c>
      <c r="M5334" s="74">
        <v>34556</v>
      </c>
      <c r="N5334" s="77">
        <v>0.5</v>
      </c>
      <c r="P5334">
        <v>69.98</v>
      </c>
      <c r="S5334" s="74">
        <v>34921</v>
      </c>
      <c r="T5334" s="77">
        <v>0.5</v>
      </c>
      <c r="V5334">
        <v>78.98</v>
      </c>
      <c r="X5334" s="42"/>
      <c r="AB5334">
        <v>79.7</v>
      </c>
      <c r="AC5334">
        <v>80.960000000000008</v>
      </c>
      <c r="AE5334" s="74"/>
      <c r="AF5334" s="77"/>
      <c r="AH5334" s="497">
        <v>78.98</v>
      </c>
      <c r="AJ5334" s="42"/>
      <c r="AK5334" s="74"/>
      <c r="AL5334" s="77"/>
      <c r="AN5334" s="497">
        <v>82.94</v>
      </c>
      <c r="AP5334" s="42"/>
      <c r="AQ5334" s="74"/>
      <c r="AR5334" s="77"/>
      <c r="AT5334" s="497">
        <v>87.080000000000013</v>
      </c>
      <c r="AV5334" s="42"/>
      <c r="AW5334" s="74"/>
      <c r="AX5334" s="77"/>
      <c r="BA5334" s="497">
        <v>77</v>
      </c>
      <c r="BB5334" s="42"/>
      <c r="BC5334" s="74"/>
      <c r="BD5334" s="77"/>
      <c r="BF5334">
        <v>86</v>
      </c>
      <c r="BH5334" s="42"/>
      <c r="BI5334" s="74"/>
      <c r="BJ5334" s="77"/>
      <c r="BL5334" s="497">
        <v>78.080000000000013</v>
      </c>
      <c r="BN5334" s="42"/>
      <c r="BO5334" s="74"/>
      <c r="BP5334" s="77"/>
      <c r="BR5334" s="497">
        <v>77</v>
      </c>
      <c r="BT5334" s="42"/>
    </row>
    <row r="5335" spans="1:72" x14ac:dyDescent="0.25">
      <c r="A5335" s="90">
        <v>34921</v>
      </c>
      <c r="B5335" s="20">
        <v>0.54166666666666663</v>
      </c>
      <c r="D5335">
        <v>84.92</v>
      </c>
      <c r="E5335" t="str">
        <f t="shared" si="202"/>
        <v>WEEKDAY</v>
      </c>
      <c r="F5335" t="e">
        <f t="shared" si="201"/>
        <v>#N/A</v>
      </c>
      <c r="G5335" s="74">
        <v>31999</v>
      </c>
      <c r="H5335" s="77">
        <v>0.54166666666666663</v>
      </c>
      <c r="J5335">
        <v>75.02</v>
      </c>
      <c r="M5335" s="74">
        <v>34556</v>
      </c>
      <c r="N5335" s="77">
        <v>0.54166666666666663</v>
      </c>
      <c r="P5335">
        <v>69.98</v>
      </c>
      <c r="S5335" s="74">
        <v>34921</v>
      </c>
      <c r="T5335" s="77">
        <v>0.54166666666666663</v>
      </c>
      <c r="V5335">
        <v>80.06</v>
      </c>
      <c r="X5335" s="42"/>
      <c r="AB5335">
        <v>80.400000000000006</v>
      </c>
      <c r="AC5335">
        <v>82.039999999999992</v>
      </c>
      <c r="AE5335" s="74"/>
      <c r="AF5335" s="77"/>
      <c r="AH5335" s="497">
        <v>77</v>
      </c>
      <c r="AJ5335" s="42"/>
      <c r="AK5335" s="74"/>
      <c r="AL5335" s="77"/>
      <c r="AN5335" s="497">
        <v>82.94</v>
      </c>
      <c r="AP5335" s="42"/>
      <c r="AQ5335" s="74"/>
      <c r="AR5335" s="77"/>
      <c r="AT5335" s="497">
        <v>87.080000000000013</v>
      </c>
      <c r="AV5335" s="42"/>
      <c r="AW5335" s="74"/>
      <c r="AX5335" s="77"/>
      <c r="BA5335" s="497">
        <v>78.98</v>
      </c>
      <c r="BB5335" s="42"/>
      <c r="BC5335" s="74"/>
      <c r="BD5335" s="77"/>
      <c r="BF5335">
        <v>84.02</v>
      </c>
      <c r="BH5335" s="42"/>
      <c r="BI5335" s="74"/>
      <c r="BJ5335" s="77"/>
      <c r="BL5335" s="497">
        <v>80.06</v>
      </c>
      <c r="BN5335" s="42"/>
      <c r="BO5335" s="74"/>
      <c r="BP5335" s="77"/>
      <c r="BR5335" s="497">
        <v>78.080000000000013</v>
      </c>
      <c r="BT5335" s="42"/>
    </row>
    <row r="5336" spans="1:72" x14ac:dyDescent="0.25">
      <c r="A5336" s="90">
        <v>34921</v>
      </c>
      <c r="B5336" s="20">
        <v>0.58333333333333337</v>
      </c>
      <c r="D5336">
        <v>84.92</v>
      </c>
      <c r="E5336" t="str">
        <f t="shared" si="202"/>
        <v>WEEKDAY</v>
      </c>
      <c r="F5336" t="e">
        <f t="shared" si="201"/>
        <v>#N/A</v>
      </c>
      <c r="G5336" s="74">
        <v>31999</v>
      </c>
      <c r="H5336" s="77">
        <v>0.58333333333333337</v>
      </c>
      <c r="J5336">
        <v>78.080000000000013</v>
      </c>
      <c r="M5336" s="74">
        <v>34556</v>
      </c>
      <c r="N5336" s="77">
        <v>0.58333333333333337</v>
      </c>
      <c r="P5336">
        <v>73.94</v>
      </c>
      <c r="S5336" s="74">
        <v>34921</v>
      </c>
      <c r="T5336" s="77">
        <v>0.58333333333333337</v>
      </c>
      <c r="V5336">
        <v>78.98</v>
      </c>
      <c r="X5336" s="42"/>
      <c r="AB5336">
        <v>80.8</v>
      </c>
      <c r="AC5336">
        <v>82.039999999999992</v>
      </c>
      <c r="AE5336" s="74"/>
      <c r="AF5336" s="77"/>
      <c r="AH5336" s="497">
        <v>77.900000000000006</v>
      </c>
      <c r="AJ5336" s="42"/>
      <c r="AK5336" s="74"/>
      <c r="AL5336" s="77"/>
      <c r="AN5336" s="497">
        <v>84.02</v>
      </c>
      <c r="AP5336" s="42"/>
      <c r="AQ5336" s="74"/>
      <c r="AR5336" s="77"/>
      <c r="AT5336" s="497">
        <v>87.98</v>
      </c>
      <c r="AV5336" s="42"/>
      <c r="AW5336" s="74"/>
      <c r="AX5336" s="77"/>
      <c r="BA5336" s="497">
        <v>77</v>
      </c>
      <c r="BB5336" s="42"/>
      <c r="BC5336" s="74"/>
      <c r="BD5336" s="77"/>
      <c r="BF5336">
        <v>87.080000000000013</v>
      </c>
      <c r="BH5336" s="42"/>
      <c r="BI5336" s="74"/>
      <c r="BJ5336" s="77"/>
      <c r="BL5336" s="497">
        <v>80.960000000000008</v>
      </c>
      <c r="BN5336" s="42"/>
      <c r="BO5336" s="74"/>
      <c r="BP5336" s="77"/>
      <c r="BR5336" s="497">
        <v>78.98</v>
      </c>
      <c r="BT5336" s="42"/>
    </row>
    <row r="5337" spans="1:72" x14ac:dyDescent="0.25">
      <c r="A5337" s="90">
        <v>34921</v>
      </c>
      <c r="B5337" s="20">
        <v>0.625</v>
      </c>
      <c r="D5337">
        <v>82.94</v>
      </c>
      <c r="E5337" t="str">
        <f t="shared" si="202"/>
        <v>WEEKDAY</v>
      </c>
      <c r="F5337" t="e">
        <f t="shared" si="201"/>
        <v>#N/A</v>
      </c>
      <c r="G5337" s="74">
        <v>31999</v>
      </c>
      <c r="H5337" s="77">
        <v>0.625</v>
      </c>
      <c r="J5337">
        <v>78.080000000000013</v>
      </c>
      <c r="M5337" s="74">
        <v>34556</v>
      </c>
      <c r="N5337" s="77">
        <v>0.625</v>
      </c>
      <c r="P5337">
        <v>75.740000000000009</v>
      </c>
      <c r="S5337" s="74">
        <v>34921</v>
      </c>
      <c r="T5337" s="77">
        <v>0.625</v>
      </c>
      <c r="V5337">
        <v>78.98</v>
      </c>
      <c r="X5337" s="42"/>
      <c r="AB5337">
        <v>80.8</v>
      </c>
      <c r="AC5337">
        <v>80.960000000000008</v>
      </c>
      <c r="AE5337" s="74"/>
      <c r="AF5337" s="77"/>
      <c r="AH5337" s="497">
        <v>78.800000000000011</v>
      </c>
      <c r="AJ5337" s="42"/>
      <c r="AK5337" s="74"/>
      <c r="AL5337" s="77"/>
      <c r="AN5337" s="497">
        <v>80.06</v>
      </c>
      <c r="AP5337" s="42"/>
      <c r="AQ5337" s="74"/>
      <c r="AR5337" s="77"/>
      <c r="AT5337" s="497">
        <v>84.92</v>
      </c>
      <c r="AV5337" s="42"/>
      <c r="AW5337" s="74"/>
      <c r="AX5337" s="77"/>
      <c r="BA5337" s="497">
        <v>78.080000000000013</v>
      </c>
      <c r="BB5337" s="42"/>
      <c r="BC5337" s="74"/>
      <c r="BD5337" s="77"/>
      <c r="BF5337">
        <v>86</v>
      </c>
      <c r="BH5337" s="42"/>
      <c r="BI5337" s="74"/>
      <c r="BJ5337" s="77"/>
      <c r="BL5337" s="497">
        <v>78.98</v>
      </c>
      <c r="BN5337" s="42"/>
      <c r="BO5337" s="74"/>
      <c r="BP5337" s="77"/>
      <c r="BR5337" s="497">
        <v>78.98</v>
      </c>
      <c r="BT5337" s="42"/>
    </row>
    <row r="5338" spans="1:72" x14ac:dyDescent="0.25">
      <c r="A5338" s="90">
        <v>34921</v>
      </c>
      <c r="B5338" s="20">
        <v>0.66666666666666663</v>
      </c>
      <c r="D5338">
        <v>84.02</v>
      </c>
      <c r="E5338" t="str">
        <f t="shared" si="202"/>
        <v>WEEKDAY</v>
      </c>
      <c r="F5338" t="e">
        <f t="shared" si="201"/>
        <v>#N/A</v>
      </c>
      <c r="G5338" s="74">
        <v>31999</v>
      </c>
      <c r="H5338" s="77">
        <v>0.66666666666666663</v>
      </c>
      <c r="J5338">
        <v>75.02</v>
      </c>
      <c r="M5338" s="74">
        <v>34556</v>
      </c>
      <c r="N5338" s="77">
        <v>0.66666666666666663</v>
      </c>
      <c r="P5338">
        <v>77</v>
      </c>
      <c r="S5338" s="74">
        <v>34921</v>
      </c>
      <c r="T5338" s="77">
        <v>0.66666666666666663</v>
      </c>
      <c r="V5338">
        <v>78.98</v>
      </c>
      <c r="X5338" s="42"/>
      <c r="AB5338">
        <v>80.400000000000006</v>
      </c>
      <c r="AC5338">
        <v>78.98</v>
      </c>
      <c r="AE5338" s="74"/>
      <c r="AF5338" s="77"/>
      <c r="AH5338" s="497">
        <v>78.98</v>
      </c>
      <c r="AJ5338" s="42"/>
      <c r="AK5338" s="74"/>
      <c r="AL5338" s="77"/>
      <c r="AN5338" s="497">
        <v>82.94</v>
      </c>
      <c r="AP5338" s="42"/>
      <c r="AQ5338" s="74"/>
      <c r="AR5338" s="77"/>
      <c r="AT5338" s="497">
        <v>84.02</v>
      </c>
      <c r="AV5338" s="42"/>
      <c r="AW5338" s="74"/>
      <c r="AX5338" s="77"/>
      <c r="BA5338" s="497">
        <v>78.98</v>
      </c>
      <c r="BB5338" s="42"/>
      <c r="BC5338" s="74"/>
      <c r="BD5338" s="77"/>
      <c r="BF5338">
        <v>84.92</v>
      </c>
      <c r="BH5338" s="42"/>
      <c r="BI5338" s="74"/>
      <c r="BJ5338" s="77"/>
      <c r="BL5338" s="497">
        <v>78.98</v>
      </c>
      <c r="BN5338" s="42"/>
      <c r="BO5338" s="74"/>
      <c r="BP5338" s="77"/>
      <c r="BR5338" s="497">
        <v>75.02</v>
      </c>
      <c r="BT5338" s="42"/>
    </row>
    <row r="5339" spans="1:72" x14ac:dyDescent="0.25">
      <c r="A5339" s="90">
        <v>34921</v>
      </c>
      <c r="B5339" s="20">
        <v>0.70833333333333337</v>
      </c>
      <c r="D5339">
        <v>80.960000000000008</v>
      </c>
      <c r="E5339" t="str">
        <f t="shared" si="202"/>
        <v>WEEKDAY</v>
      </c>
      <c r="F5339" t="e">
        <f t="shared" si="201"/>
        <v>#N/A</v>
      </c>
      <c r="G5339" s="74">
        <v>31999</v>
      </c>
      <c r="H5339" s="77">
        <v>0.70833333333333337</v>
      </c>
      <c r="J5339">
        <v>75.02</v>
      </c>
      <c r="M5339" s="74">
        <v>34556</v>
      </c>
      <c r="N5339" s="77">
        <v>0.70833333333333337</v>
      </c>
      <c r="P5339">
        <v>75.92</v>
      </c>
      <c r="S5339" s="74">
        <v>34921</v>
      </c>
      <c r="T5339" s="77">
        <v>0.70833333333333337</v>
      </c>
      <c r="V5339">
        <v>78.080000000000013</v>
      </c>
      <c r="X5339" s="42"/>
      <c r="AB5339">
        <v>79.599999999999994</v>
      </c>
      <c r="AC5339">
        <v>78.080000000000013</v>
      </c>
      <c r="AE5339" s="74"/>
      <c r="AF5339" s="77"/>
      <c r="AH5339" s="497">
        <v>78.98</v>
      </c>
      <c r="AJ5339" s="42"/>
      <c r="AK5339" s="74"/>
      <c r="AL5339" s="77"/>
      <c r="AN5339" s="497">
        <v>80.06</v>
      </c>
      <c r="AP5339" s="42"/>
      <c r="AQ5339" s="74"/>
      <c r="AR5339" s="77"/>
      <c r="AT5339" s="497">
        <v>82.94</v>
      </c>
      <c r="AV5339" s="42"/>
      <c r="AW5339" s="74"/>
      <c r="AX5339" s="77"/>
      <c r="BA5339" s="497">
        <v>77</v>
      </c>
      <c r="BB5339" s="42"/>
      <c r="BC5339" s="74"/>
      <c r="BD5339" s="77"/>
      <c r="BF5339">
        <v>82.94</v>
      </c>
      <c r="BH5339" s="42"/>
      <c r="BI5339" s="74"/>
      <c r="BJ5339" s="77"/>
      <c r="BL5339" s="497">
        <v>78.98</v>
      </c>
      <c r="BN5339" s="42"/>
      <c r="BO5339" s="74"/>
      <c r="BP5339" s="77"/>
      <c r="BR5339" s="497">
        <v>75.92</v>
      </c>
      <c r="BT5339" s="42"/>
    </row>
    <row r="5340" spans="1:72" x14ac:dyDescent="0.25">
      <c r="A5340" s="90">
        <v>34921</v>
      </c>
      <c r="B5340" s="20">
        <v>0.75</v>
      </c>
      <c r="D5340">
        <v>80.06</v>
      </c>
      <c r="E5340" t="str">
        <f t="shared" si="202"/>
        <v>WEEKDAY</v>
      </c>
      <c r="F5340" t="e">
        <f t="shared" si="201"/>
        <v>#N/A</v>
      </c>
      <c r="G5340" s="74">
        <v>31999</v>
      </c>
      <c r="H5340" s="77">
        <v>0.75</v>
      </c>
      <c r="J5340">
        <v>73.94</v>
      </c>
      <c r="M5340" s="74">
        <v>34556</v>
      </c>
      <c r="N5340" s="77">
        <v>0.75</v>
      </c>
      <c r="P5340">
        <v>75.92</v>
      </c>
      <c r="S5340" s="74">
        <v>34921</v>
      </c>
      <c r="T5340" s="77">
        <v>0.75</v>
      </c>
      <c r="V5340">
        <v>75.92</v>
      </c>
      <c r="X5340" s="42"/>
      <c r="AB5340">
        <v>78.599999999999994</v>
      </c>
      <c r="AC5340">
        <v>75.92</v>
      </c>
      <c r="AE5340" s="74"/>
      <c r="AF5340" s="77"/>
      <c r="AH5340" s="497">
        <v>77</v>
      </c>
      <c r="AJ5340" s="42"/>
      <c r="AK5340" s="74"/>
      <c r="AL5340" s="77"/>
      <c r="AN5340" s="497">
        <v>78.98</v>
      </c>
      <c r="AP5340" s="42"/>
      <c r="AQ5340" s="74"/>
      <c r="AR5340" s="77"/>
      <c r="AT5340" s="497">
        <v>82.039999999999992</v>
      </c>
      <c r="AV5340" s="42"/>
      <c r="AW5340" s="74"/>
      <c r="AX5340" s="77"/>
      <c r="BA5340" s="497">
        <v>75.92</v>
      </c>
      <c r="BB5340" s="42"/>
      <c r="BC5340" s="74"/>
      <c r="BD5340" s="77"/>
      <c r="BF5340">
        <v>80.960000000000008</v>
      </c>
      <c r="BH5340" s="42"/>
      <c r="BI5340" s="74"/>
      <c r="BJ5340" s="77"/>
      <c r="BL5340" s="497">
        <v>77</v>
      </c>
      <c r="BN5340" s="42"/>
      <c r="BO5340" s="74"/>
      <c r="BP5340" s="77"/>
      <c r="BR5340" s="497">
        <v>73.94</v>
      </c>
      <c r="BT5340" s="42"/>
    </row>
    <row r="5341" spans="1:72" x14ac:dyDescent="0.25">
      <c r="A5341" s="90">
        <v>34921</v>
      </c>
      <c r="B5341" s="20">
        <v>0.79166666666666663</v>
      </c>
      <c r="D5341">
        <v>78.98</v>
      </c>
      <c r="E5341" t="str">
        <f t="shared" si="202"/>
        <v>WEEKDAY</v>
      </c>
      <c r="F5341" t="e">
        <f t="shared" si="201"/>
        <v>#N/A</v>
      </c>
      <c r="G5341" s="74">
        <v>31999</v>
      </c>
      <c r="H5341" s="77">
        <v>0.79166666666666663</v>
      </c>
      <c r="J5341">
        <v>71.960000000000008</v>
      </c>
      <c r="M5341" s="74">
        <v>34556</v>
      </c>
      <c r="N5341" s="77">
        <v>0.79166666666666663</v>
      </c>
      <c r="P5341">
        <v>70.88</v>
      </c>
      <c r="S5341" s="74">
        <v>34921</v>
      </c>
      <c r="T5341" s="77">
        <v>0.79166666666666663</v>
      </c>
      <c r="V5341">
        <v>73.94</v>
      </c>
      <c r="X5341" s="42"/>
      <c r="AB5341">
        <v>77.2</v>
      </c>
      <c r="AC5341">
        <v>73.94</v>
      </c>
      <c r="AE5341" s="74"/>
      <c r="AF5341" s="77"/>
      <c r="AH5341" s="497">
        <v>71.960000000000008</v>
      </c>
      <c r="AJ5341" s="42"/>
      <c r="AK5341" s="74"/>
      <c r="AL5341" s="77"/>
      <c r="AN5341" s="497">
        <v>75.92</v>
      </c>
      <c r="AP5341" s="42"/>
      <c r="AQ5341" s="74"/>
      <c r="AR5341" s="77"/>
      <c r="AT5341" s="497">
        <v>80.06</v>
      </c>
      <c r="AV5341" s="42"/>
      <c r="AW5341" s="74"/>
      <c r="AX5341" s="77"/>
      <c r="BA5341" s="497">
        <v>73.039999999999992</v>
      </c>
      <c r="BB5341" s="42"/>
      <c r="BC5341" s="74"/>
      <c r="BD5341" s="77"/>
      <c r="BF5341">
        <v>78.080000000000013</v>
      </c>
      <c r="BH5341" s="42"/>
      <c r="BI5341" s="74"/>
      <c r="BJ5341" s="77"/>
      <c r="BL5341" s="497">
        <v>75.02</v>
      </c>
      <c r="BN5341" s="42"/>
      <c r="BO5341" s="74"/>
      <c r="BP5341" s="77"/>
      <c r="BR5341" s="497">
        <v>71.960000000000008</v>
      </c>
      <c r="BT5341" s="42"/>
    </row>
    <row r="5342" spans="1:72" x14ac:dyDescent="0.25">
      <c r="A5342" s="90">
        <v>34921</v>
      </c>
      <c r="B5342" s="20">
        <v>0.83333333333333337</v>
      </c>
      <c r="D5342">
        <v>78.98</v>
      </c>
      <c r="E5342" t="str">
        <f t="shared" si="202"/>
        <v>WEEKDAY</v>
      </c>
      <c r="F5342" t="e">
        <f t="shared" si="201"/>
        <v>#N/A</v>
      </c>
      <c r="G5342" s="74">
        <v>31999</v>
      </c>
      <c r="H5342" s="77">
        <v>0.83333333333333337</v>
      </c>
      <c r="J5342">
        <v>69.98</v>
      </c>
      <c r="M5342" s="74">
        <v>34556</v>
      </c>
      <c r="N5342" s="77">
        <v>0.83333333333333337</v>
      </c>
      <c r="P5342">
        <v>66.92</v>
      </c>
      <c r="S5342" s="74">
        <v>34921</v>
      </c>
      <c r="T5342" s="77">
        <v>0.83333333333333337</v>
      </c>
      <c r="V5342">
        <v>73.94</v>
      </c>
      <c r="X5342" s="42"/>
      <c r="AB5342">
        <v>75.8</v>
      </c>
      <c r="AC5342">
        <v>73.039999999999992</v>
      </c>
      <c r="AE5342" s="74"/>
      <c r="AF5342" s="77"/>
      <c r="AH5342" s="497">
        <v>68.900000000000006</v>
      </c>
      <c r="AJ5342" s="42"/>
      <c r="AK5342" s="74"/>
      <c r="AL5342" s="77"/>
      <c r="AN5342" s="497">
        <v>73.039999999999992</v>
      </c>
      <c r="AP5342" s="42"/>
      <c r="AQ5342" s="74"/>
      <c r="AR5342" s="77"/>
      <c r="AT5342" s="497">
        <v>78.080000000000013</v>
      </c>
      <c r="AV5342" s="42"/>
      <c r="AW5342" s="74"/>
      <c r="AX5342" s="77"/>
      <c r="BA5342" s="497">
        <v>69.080000000000013</v>
      </c>
      <c r="BB5342" s="42"/>
      <c r="BC5342" s="74"/>
      <c r="BD5342" s="77"/>
      <c r="BF5342">
        <v>78.080000000000013</v>
      </c>
      <c r="BH5342" s="42"/>
      <c r="BI5342" s="74"/>
      <c r="BJ5342" s="77"/>
      <c r="BL5342" s="497">
        <v>73.039999999999992</v>
      </c>
      <c r="BN5342" s="42"/>
      <c r="BO5342" s="74"/>
      <c r="BP5342" s="77"/>
      <c r="BR5342" s="497">
        <v>69.080000000000013</v>
      </c>
      <c r="BT5342" s="42"/>
    </row>
    <row r="5343" spans="1:72" x14ac:dyDescent="0.25">
      <c r="A5343" s="90">
        <v>34921</v>
      </c>
      <c r="B5343" s="20">
        <v>0.875</v>
      </c>
      <c r="D5343">
        <v>78.98</v>
      </c>
      <c r="E5343" t="str">
        <f t="shared" si="202"/>
        <v>WEEKDAY</v>
      </c>
      <c r="F5343" t="e">
        <f t="shared" si="201"/>
        <v>#N/A</v>
      </c>
      <c r="G5343" s="74">
        <v>31999</v>
      </c>
      <c r="H5343" s="77">
        <v>0.875</v>
      </c>
      <c r="J5343">
        <v>69.98</v>
      </c>
      <c r="M5343" s="74">
        <v>34556</v>
      </c>
      <c r="N5343" s="77">
        <v>0.875</v>
      </c>
      <c r="P5343">
        <v>65.84</v>
      </c>
      <c r="S5343" s="74">
        <v>34921</v>
      </c>
      <c r="T5343" s="77">
        <v>0.875</v>
      </c>
      <c r="V5343">
        <v>73.94</v>
      </c>
      <c r="X5343" s="42"/>
      <c r="AB5343">
        <v>74.900000000000006</v>
      </c>
      <c r="AC5343">
        <v>73.039999999999992</v>
      </c>
      <c r="AE5343" s="74"/>
      <c r="AF5343" s="77"/>
      <c r="AH5343" s="497">
        <v>63.86</v>
      </c>
      <c r="AJ5343" s="42"/>
      <c r="AK5343" s="74"/>
      <c r="AL5343" s="77"/>
      <c r="AN5343" s="497">
        <v>71.960000000000008</v>
      </c>
      <c r="AP5343" s="42"/>
      <c r="AQ5343" s="74"/>
      <c r="AR5343" s="77"/>
      <c r="AT5343" s="497">
        <v>75.92</v>
      </c>
      <c r="AV5343" s="42"/>
      <c r="AW5343" s="74"/>
      <c r="AX5343" s="77"/>
      <c r="BA5343" s="497">
        <v>68</v>
      </c>
      <c r="BB5343" s="42"/>
      <c r="BC5343" s="74"/>
      <c r="BD5343" s="77"/>
      <c r="BF5343">
        <v>78.98</v>
      </c>
      <c r="BH5343" s="42"/>
      <c r="BI5343" s="74"/>
      <c r="BJ5343" s="77"/>
      <c r="BL5343" s="497">
        <v>71.06</v>
      </c>
      <c r="BN5343" s="42"/>
      <c r="BO5343" s="74"/>
      <c r="BP5343" s="77"/>
      <c r="BR5343" s="497">
        <v>60.08</v>
      </c>
      <c r="BT5343" s="42"/>
    </row>
    <row r="5344" spans="1:72" x14ac:dyDescent="0.25">
      <c r="A5344" s="90">
        <v>34921</v>
      </c>
      <c r="B5344" s="20">
        <v>0.91666666666666663</v>
      </c>
      <c r="D5344">
        <v>78.98</v>
      </c>
      <c r="E5344" t="str">
        <f t="shared" si="202"/>
        <v>WEEKDAY</v>
      </c>
      <c r="F5344" t="e">
        <f t="shared" si="201"/>
        <v>#N/A</v>
      </c>
      <c r="G5344" s="74">
        <v>31999</v>
      </c>
      <c r="H5344" s="77">
        <v>0.91666666666666663</v>
      </c>
      <c r="J5344">
        <v>68</v>
      </c>
      <c r="M5344" s="74">
        <v>34556</v>
      </c>
      <c r="N5344" s="77">
        <v>0.91666666666666663</v>
      </c>
      <c r="P5344">
        <v>65.84</v>
      </c>
      <c r="S5344" s="74">
        <v>34921</v>
      </c>
      <c r="T5344" s="77">
        <v>0.91666666666666663</v>
      </c>
      <c r="V5344">
        <v>73.94</v>
      </c>
      <c r="X5344" s="42"/>
      <c r="AB5344">
        <v>74.400000000000006</v>
      </c>
      <c r="AC5344">
        <v>71.960000000000008</v>
      </c>
      <c r="AE5344" s="74"/>
      <c r="AF5344" s="77"/>
      <c r="AH5344" s="497">
        <v>60.980000000000004</v>
      </c>
      <c r="AJ5344" s="42"/>
      <c r="AK5344" s="74"/>
      <c r="AL5344" s="77"/>
      <c r="AN5344" s="497">
        <v>71.960000000000008</v>
      </c>
      <c r="AP5344" s="42"/>
      <c r="AQ5344" s="74"/>
      <c r="AR5344" s="77"/>
      <c r="AT5344" s="497">
        <v>75.02</v>
      </c>
      <c r="AV5344" s="42"/>
      <c r="AW5344" s="74"/>
      <c r="AX5344" s="77"/>
      <c r="BA5344" s="497">
        <v>64.94</v>
      </c>
      <c r="BB5344" s="42"/>
      <c r="BC5344" s="74"/>
      <c r="BD5344" s="77"/>
      <c r="BF5344">
        <v>78.080000000000013</v>
      </c>
      <c r="BH5344" s="42"/>
      <c r="BI5344" s="74"/>
      <c r="BJ5344" s="77"/>
      <c r="BL5344" s="497">
        <v>69.98</v>
      </c>
      <c r="BN5344" s="42"/>
      <c r="BO5344" s="74"/>
      <c r="BP5344" s="77"/>
      <c r="BR5344" s="497">
        <v>57.019999999999996</v>
      </c>
      <c r="BT5344" s="42"/>
    </row>
    <row r="5345" spans="1:72" x14ac:dyDescent="0.25">
      <c r="A5345" s="90">
        <v>34921</v>
      </c>
      <c r="B5345" s="20">
        <v>0.95833333333333337</v>
      </c>
      <c r="D5345">
        <v>75.92</v>
      </c>
      <c r="E5345" t="str">
        <f t="shared" si="202"/>
        <v>WEEKDAY</v>
      </c>
      <c r="F5345" t="e">
        <f t="shared" si="201"/>
        <v>#N/A</v>
      </c>
      <c r="G5345" s="74">
        <v>31999</v>
      </c>
      <c r="H5345" s="77">
        <v>0.95833333333333337</v>
      </c>
      <c r="J5345">
        <v>66.92</v>
      </c>
      <c r="M5345" s="74">
        <v>34556</v>
      </c>
      <c r="N5345" s="77">
        <v>0.95833333333333337</v>
      </c>
      <c r="P5345">
        <v>62.96</v>
      </c>
      <c r="S5345" s="74">
        <v>34921</v>
      </c>
      <c r="T5345" s="77">
        <v>0.95833333333333337</v>
      </c>
      <c r="V5345">
        <v>73.039999999999992</v>
      </c>
      <c r="X5345" s="42"/>
      <c r="AB5345">
        <v>74</v>
      </c>
      <c r="AC5345">
        <v>71.960000000000008</v>
      </c>
      <c r="AE5345" s="74"/>
      <c r="AF5345" s="77"/>
      <c r="AH5345" s="497">
        <v>59</v>
      </c>
      <c r="AJ5345" s="42"/>
      <c r="AK5345" s="74"/>
      <c r="AL5345" s="77"/>
      <c r="AN5345" s="497">
        <v>69.98</v>
      </c>
      <c r="AP5345" s="42"/>
      <c r="AQ5345" s="74"/>
      <c r="AR5345" s="77"/>
      <c r="AT5345" s="497">
        <v>73.94</v>
      </c>
      <c r="AV5345" s="42"/>
      <c r="AW5345" s="74"/>
      <c r="AX5345" s="77"/>
      <c r="BA5345" s="497">
        <v>64.94</v>
      </c>
      <c r="BB5345" s="42"/>
      <c r="BC5345" s="74"/>
      <c r="BD5345" s="77"/>
      <c r="BF5345">
        <v>71.960000000000008</v>
      </c>
      <c r="BH5345" s="42"/>
      <c r="BI5345" s="74"/>
      <c r="BJ5345" s="77"/>
      <c r="BL5345" s="497">
        <v>69.080000000000013</v>
      </c>
      <c r="BN5345" s="42"/>
      <c r="BO5345" s="74"/>
      <c r="BP5345" s="77"/>
      <c r="BR5345" s="497">
        <v>55.94</v>
      </c>
      <c r="BT5345" s="42"/>
    </row>
    <row r="5346" spans="1:72" x14ac:dyDescent="0.25">
      <c r="A5346" s="90">
        <v>34921</v>
      </c>
      <c r="B5346" s="20">
        <v>1</v>
      </c>
      <c r="D5346">
        <v>75.92</v>
      </c>
      <c r="E5346" t="str">
        <f t="shared" si="202"/>
        <v>WEEKDAY</v>
      </c>
      <c r="F5346" t="e">
        <f t="shared" si="201"/>
        <v>#N/A</v>
      </c>
      <c r="G5346" s="74">
        <v>31999</v>
      </c>
      <c r="H5346" s="77">
        <v>1</v>
      </c>
      <c r="J5346">
        <v>66.02</v>
      </c>
      <c r="M5346" s="74">
        <v>34556</v>
      </c>
      <c r="N5346" s="80">
        <v>1</v>
      </c>
      <c r="P5346">
        <v>59.900000000000006</v>
      </c>
      <c r="S5346" s="74">
        <v>34921</v>
      </c>
      <c r="T5346" s="80">
        <v>1</v>
      </c>
      <c r="V5346">
        <v>73.039999999999992</v>
      </c>
      <c r="X5346" s="42"/>
      <c r="AB5346">
        <v>73.400000000000006</v>
      </c>
      <c r="AC5346">
        <v>71.960000000000008</v>
      </c>
      <c r="AE5346" s="74"/>
      <c r="AF5346" s="80"/>
      <c r="AH5346" s="497">
        <v>58.64</v>
      </c>
      <c r="AJ5346" s="42"/>
      <c r="AK5346" s="74"/>
      <c r="AL5346" s="80"/>
      <c r="AN5346" s="497">
        <v>69.98</v>
      </c>
      <c r="AP5346" s="42"/>
      <c r="AQ5346" s="74"/>
      <c r="AR5346" s="80"/>
      <c r="AT5346" s="497">
        <v>71.960000000000008</v>
      </c>
      <c r="AV5346" s="42"/>
      <c r="AW5346" s="74"/>
      <c r="AX5346" s="80"/>
      <c r="BA5346" s="497">
        <v>62.96</v>
      </c>
      <c r="BB5346" s="42"/>
      <c r="BC5346" s="74"/>
      <c r="BD5346" s="80"/>
      <c r="BF5346">
        <v>73.039999999999992</v>
      </c>
      <c r="BH5346" s="42"/>
      <c r="BI5346" s="74"/>
      <c r="BJ5346" s="80"/>
      <c r="BL5346" s="497">
        <v>66.02</v>
      </c>
      <c r="BN5346" s="42"/>
      <c r="BO5346" s="74"/>
      <c r="BP5346" s="80"/>
      <c r="BR5346" s="497">
        <v>55.040000000000006</v>
      </c>
      <c r="BT5346" s="42"/>
    </row>
    <row r="5347" spans="1:72" x14ac:dyDescent="0.25">
      <c r="A5347" s="90">
        <v>34922</v>
      </c>
      <c r="B5347" s="20">
        <v>4.1666666666666664E-2</v>
      </c>
      <c r="D5347">
        <v>75.02</v>
      </c>
      <c r="E5347" t="str">
        <f t="shared" si="202"/>
        <v>WEEKDAY</v>
      </c>
      <c r="F5347" t="e">
        <f t="shared" si="201"/>
        <v>#N/A</v>
      </c>
      <c r="G5347" s="74">
        <v>32000</v>
      </c>
      <c r="H5347" s="77">
        <v>4.1666666666666664E-2</v>
      </c>
      <c r="J5347">
        <v>66.02</v>
      </c>
      <c r="M5347" s="74">
        <v>34557</v>
      </c>
      <c r="N5347" s="77">
        <v>4.1666666666666664E-2</v>
      </c>
      <c r="P5347">
        <v>59.900000000000006</v>
      </c>
      <c r="S5347" s="74">
        <v>34922</v>
      </c>
      <c r="T5347" s="77">
        <v>4.1666666666666664E-2</v>
      </c>
      <c r="V5347">
        <v>73.039999999999992</v>
      </c>
      <c r="X5347" s="42"/>
      <c r="AB5347">
        <v>72.7</v>
      </c>
      <c r="AC5347">
        <v>71.06</v>
      </c>
      <c r="AE5347" s="74"/>
      <c r="AF5347" s="77"/>
      <c r="AH5347" s="497">
        <v>58.82</v>
      </c>
      <c r="AJ5347" s="42"/>
      <c r="AK5347" s="74"/>
      <c r="AL5347" s="77"/>
      <c r="AN5347" s="497">
        <v>69.080000000000013</v>
      </c>
      <c r="AP5347" s="42"/>
      <c r="AQ5347" s="74"/>
      <c r="AR5347" s="77"/>
      <c r="AT5347" s="497">
        <v>71.06</v>
      </c>
      <c r="AV5347" s="42"/>
      <c r="AW5347" s="74"/>
      <c r="AX5347" s="77"/>
      <c r="BA5347" s="497">
        <v>62.96</v>
      </c>
      <c r="BB5347" s="42"/>
      <c r="BC5347" s="74"/>
      <c r="BD5347" s="77"/>
      <c r="BF5347">
        <v>69.98</v>
      </c>
      <c r="BH5347" s="42"/>
      <c r="BI5347" s="74"/>
      <c r="BJ5347" s="77"/>
      <c r="BL5347" s="497">
        <v>66.02</v>
      </c>
      <c r="BN5347" s="42"/>
      <c r="BO5347" s="74"/>
      <c r="BP5347" s="77"/>
      <c r="BR5347" s="497">
        <v>53.06</v>
      </c>
      <c r="BT5347" s="42"/>
    </row>
    <row r="5348" spans="1:72" x14ac:dyDescent="0.25">
      <c r="A5348" s="90">
        <v>34922</v>
      </c>
      <c r="B5348" s="20">
        <v>8.3333333333333329E-2</v>
      </c>
      <c r="D5348">
        <v>75.92</v>
      </c>
      <c r="E5348" t="str">
        <f t="shared" si="202"/>
        <v>WEEKDAY</v>
      </c>
      <c r="F5348" t="e">
        <f t="shared" si="201"/>
        <v>#N/A</v>
      </c>
      <c r="G5348" s="74">
        <v>32000</v>
      </c>
      <c r="H5348" s="77">
        <v>8.3333333333333329E-2</v>
      </c>
      <c r="J5348">
        <v>64.94</v>
      </c>
      <c r="M5348" s="74">
        <v>34557</v>
      </c>
      <c r="N5348" s="77">
        <v>8.3333333333333329E-2</v>
      </c>
      <c r="P5348">
        <v>59.72</v>
      </c>
      <c r="S5348" s="74">
        <v>34922</v>
      </c>
      <c r="T5348" s="77">
        <v>8.3333333333333329E-2</v>
      </c>
      <c r="V5348">
        <v>71.960000000000008</v>
      </c>
      <c r="X5348" s="42"/>
      <c r="AB5348">
        <v>72.2</v>
      </c>
      <c r="AC5348">
        <v>69.98</v>
      </c>
      <c r="AE5348" s="74"/>
      <c r="AF5348" s="77"/>
      <c r="AH5348" s="497">
        <v>58.64</v>
      </c>
      <c r="AJ5348" s="42"/>
      <c r="AK5348" s="74"/>
      <c r="AL5348" s="77"/>
      <c r="AN5348" s="497">
        <v>69.080000000000013</v>
      </c>
      <c r="AP5348" s="42"/>
      <c r="AQ5348" s="74"/>
      <c r="AR5348" s="77"/>
      <c r="AT5348" s="497">
        <v>71.06</v>
      </c>
      <c r="AV5348" s="42"/>
      <c r="AW5348" s="74"/>
      <c r="AX5348" s="77"/>
      <c r="BA5348" s="497">
        <v>62.06</v>
      </c>
      <c r="BB5348" s="42"/>
      <c r="BC5348" s="74"/>
      <c r="BD5348" s="77"/>
      <c r="BF5348">
        <v>68</v>
      </c>
      <c r="BH5348" s="42"/>
      <c r="BI5348" s="74"/>
      <c r="BJ5348" s="77"/>
      <c r="BL5348" s="497">
        <v>64.039999999999992</v>
      </c>
      <c r="BN5348" s="42"/>
      <c r="BO5348" s="74"/>
      <c r="BP5348" s="77"/>
      <c r="BR5348" s="497">
        <v>51.980000000000004</v>
      </c>
      <c r="BT5348" s="42"/>
    </row>
    <row r="5349" spans="1:72" x14ac:dyDescent="0.25">
      <c r="A5349" s="90">
        <v>34922</v>
      </c>
      <c r="B5349" s="20">
        <v>0.125</v>
      </c>
      <c r="D5349">
        <v>73.94</v>
      </c>
      <c r="E5349" t="str">
        <f t="shared" si="202"/>
        <v>WEEKDAY</v>
      </c>
      <c r="F5349" t="e">
        <f t="shared" si="201"/>
        <v>#N/A</v>
      </c>
      <c r="G5349" s="74">
        <v>32000</v>
      </c>
      <c r="H5349" s="77">
        <v>0.125</v>
      </c>
      <c r="J5349">
        <v>64.94</v>
      </c>
      <c r="M5349" s="74">
        <v>34557</v>
      </c>
      <c r="N5349" s="77">
        <v>0.125</v>
      </c>
      <c r="P5349">
        <v>59.900000000000006</v>
      </c>
      <c r="S5349" s="74">
        <v>34922</v>
      </c>
      <c r="T5349" s="77">
        <v>0.125</v>
      </c>
      <c r="V5349">
        <v>71.960000000000008</v>
      </c>
      <c r="X5349" s="42"/>
      <c r="AB5349">
        <v>71.7</v>
      </c>
      <c r="AC5349">
        <v>69.080000000000013</v>
      </c>
      <c r="AE5349" s="74"/>
      <c r="AF5349" s="77"/>
      <c r="AH5349" s="497">
        <v>59</v>
      </c>
      <c r="AJ5349" s="42"/>
      <c r="AK5349" s="74"/>
      <c r="AL5349" s="77"/>
      <c r="AN5349" s="497">
        <v>69.080000000000013</v>
      </c>
      <c r="AP5349" s="42"/>
      <c r="AQ5349" s="74"/>
      <c r="AR5349" s="77"/>
      <c r="AT5349" s="497">
        <v>69.98</v>
      </c>
      <c r="AV5349" s="42"/>
      <c r="AW5349" s="74"/>
      <c r="AX5349" s="77"/>
      <c r="BA5349" s="497">
        <v>62.96</v>
      </c>
      <c r="BB5349" s="42"/>
      <c r="BC5349" s="74"/>
      <c r="BD5349" s="77"/>
      <c r="BF5349">
        <v>66.02</v>
      </c>
      <c r="BH5349" s="42"/>
      <c r="BI5349" s="74"/>
      <c r="BJ5349" s="77"/>
      <c r="BL5349" s="497">
        <v>64.039999999999992</v>
      </c>
      <c r="BN5349" s="42"/>
      <c r="BO5349" s="74"/>
      <c r="BP5349" s="77"/>
      <c r="BR5349" s="497">
        <v>51.08</v>
      </c>
      <c r="BT5349" s="42"/>
    </row>
    <row r="5350" spans="1:72" x14ac:dyDescent="0.25">
      <c r="A5350" s="90">
        <v>34922</v>
      </c>
      <c r="B5350" s="20">
        <v>0.16666666666666666</v>
      </c>
      <c r="D5350">
        <v>75.02</v>
      </c>
      <c r="E5350" t="str">
        <f t="shared" si="202"/>
        <v>WEEKDAY</v>
      </c>
      <c r="F5350" t="e">
        <f t="shared" si="201"/>
        <v>#N/A</v>
      </c>
      <c r="G5350" s="74">
        <v>32000</v>
      </c>
      <c r="H5350" s="77">
        <v>0.16666666666666666</v>
      </c>
      <c r="J5350">
        <v>64.039999999999992</v>
      </c>
      <c r="M5350" s="74">
        <v>34557</v>
      </c>
      <c r="N5350" s="77">
        <v>0.16666666666666666</v>
      </c>
      <c r="P5350">
        <v>59.900000000000006</v>
      </c>
      <c r="S5350" s="74">
        <v>34922</v>
      </c>
      <c r="T5350" s="77">
        <v>0.16666666666666666</v>
      </c>
      <c r="V5350">
        <v>71.06</v>
      </c>
      <c r="X5350" s="42"/>
      <c r="AB5350">
        <v>71.099999999999994</v>
      </c>
      <c r="AC5350">
        <v>68</v>
      </c>
      <c r="AE5350" s="74"/>
      <c r="AF5350" s="77"/>
      <c r="AH5350" s="497">
        <v>59.900000000000006</v>
      </c>
      <c r="AJ5350" s="42"/>
      <c r="AK5350" s="74"/>
      <c r="AL5350" s="77"/>
      <c r="AN5350" s="497">
        <v>66.92</v>
      </c>
      <c r="AP5350" s="42"/>
      <c r="AQ5350" s="74"/>
      <c r="AR5350" s="77"/>
      <c r="AT5350" s="497">
        <v>69.98</v>
      </c>
      <c r="AV5350" s="42"/>
      <c r="AW5350" s="74"/>
      <c r="AX5350" s="77"/>
      <c r="BA5350" s="497">
        <v>62.96</v>
      </c>
      <c r="BB5350" s="42"/>
      <c r="BC5350" s="74"/>
      <c r="BD5350" s="77"/>
      <c r="BF5350">
        <v>66.02</v>
      </c>
      <c r="BH5350" s="42"/>
      <c r="BI5350" s="74"/>
      <c r="BJ5350" s="77"/>
      <c r="BL5350" s="497">
        <v>62.96</v>
      </c>
      <c r="BN5350" s="42"/>
      <c r="BO5350" s="74"/>
      <c r="BP5350" s="77"/>
      <c r="BR5350" s="497">
        <v>48.92</v>
      </c>
      <c r="BT5350" s="42"/>
    </row>
    <row r="5351" spans="1:72" x14ac:dyDescent="0.25">
      <c r="A5351" s="90">
        <v>34922</v>
      </c>
      <c r="B5351" s="20">
        <v>0.20833333333333334</v>
      </c>
      <c r="D5351">
        <v>75.02</v>
      </c>
      <c r="E5351" t="str">
        <f t="shared" si="202"/>
        <v>WEEKDAY</v>
      </c>
      <c r="F5351" t="e">
        <f t="shared" si="201"/>
        <v>#N/A</v>
      </c>
      <c r="G5351" s="74">
        <v>32000</v>
      </c>
      <c r="H5351" s="77">
        <v>0.20833333333333334</v>
      </c>
      <c r="J5351">
        <v>62.96</v>
      </c>
      <c r="M5351" s="74">
        <v>34557</v>
      </c>
      <c r="N5351" s="77">
        <v>0.20833333333333334</v>
      </c>
      <c r="P5351">
        <v>59.900000000000006</v>
      </c>
      <c r="S5351" s="74">
        <v>34922</v>
      </c>
      <c r="T5351" s="77">
        <v>0.20833333333333334</v>
      </c>
      <c r="V5351">
        <v>71.06</v>
      </c>
      <c r="X5351" s="42"/>
      <c r="AB5351">
        <v>70.599999999999994</v>
      </c>
      <c r="AC5351">
        <v>69.080000000000013</v>
      </c>
      <c r="AE5351" s="74"/>
      <c r="AF5351" s="77"/>
      <c r="AH5351" s="497">
        <v>59.900000000000006</v>
      </c>
      <c r="AJ5351" s="42"/>
      <c r="AK5351" s="74"/>
      <c r="AL5351" s="77"/>
      <c r="AN5351" s="497">
        <v>66.02</v>
      </c>
      <c r="AP5351" s="42"/>
      <c r="AQ5351" s="74"/>
      <c r="AR5351" s="77"/>
      <c r="AT5351" s="497">
        <v>69.080000000000013</v>
      </c>
      <c r="AV5351" s="42"/>
      <c r="AW5351" s="74"/>
      <c r="AX5351" s="77"/>
      <c r="BA5351" s="497">
        <v>62.96</v>
      </c>
      <c r="BB5351" s="42"/>
      <c r="BC5351" s="74"/>
      <c r="BD5351" s="77"/>
      <c r="BF5351">
        <v>64.039999999999992</v>
      </c>
      <c r="BH5351" s="42"/>
      <c r="BI5351" s="74"/>
      <c r="BJ5351" s="77"/>
      <c r="BL5351" s="497">
        <v>62.96</v>
      </c>
      <c r="BN5351" s="42"/>
      <c r="BO5351" s="74"/>
      <c r="BP5351" s="77"/>
      <c r="BR5351" s="497">
        <v>48.019999999999996</v>
      </c>
      <c r="BT5351" s="42"/>
    </row>
    <row r="5352" spans="1:72" x14ac:dyDescent="0.25">
      <c r="A5352" s="90">
        <v>34922</v>
      </c>
      <c r="B5352" s="20">
        <v>0.25</v>
      </c>
      <c r="D5352">
        <v>75.02</v>
      </c>
      <c r="E5352" t="str">
        <f t="shared" si="202"/>
        <v>WEEKDAY</v>
      </c>
      <c r="F5352" t="e">
        <f t="shared" si="201"/>
        <v>#N/A</v>
      </c>
      <c r="G5352" s="74">
        <v>32000</v>
      </c>
      <c r="H5352" s="77">
        <v>0.25</v>
      </c>
      <c r="J5352">
        <v>64.94</v>
      </c>
      <c r="M5352" s="74">
        <v>34557</v>
      </c>
      <c r="N5352" s="77">
        <v>0.25</v>
      </c>
      <c r="P5352">
        <v>59.900000000000006</v>
      </c>
      <c r="S5352" s="74">
        <v>34922</v>
      </c>
      <c r="T5352" s="77">
        <v>0.25</v>
      </c>
      <c r="V5352">
        <v>73.039999999999992</v>
      </c>
      <c r="X5352" s="42"/>
      <c r="AB5352">
        <v>70.3</v>
      </c>
      <c r="AC5352">
        <v>69.98</v>
      </c>
      <c r="AE5352" s="74"/>
      <c r="AF5352" s="77"/>
      <c r="AH5352" s="497">
        <v>59.900000000000006</v>
      </c>
      <c r="AJ5352" s="42"/>
      <c r="AK5352" s="74"/>
      <c r="AL5352" s="77"/>
      <c r="AN5352" s="497">
        <v>66.92</v>
      </c>
      <c r="AP5352" s="42"/>
      <c r="AQ5352" s="74"/>
      <c r="AR5352" s="77"/>
      <c r="AT5352" s="497">
        <v>69.080000000000013</v>
      </c>
      <c r="AV5352" s="42"/>
      <c r="AW5352" s="74"/>
      <c r="AX5352" s="77"/>
      <c r="BA5352" s="497">
        <v>62.96</v>
      </c>
      <c r="BB5352" s="42"/>
      <c r="BC5352" s="74"/>
      <c r="BD5352" s="77"/>
      <c r="BF5352">
        <v>64.039999999999992</v>
      </c>
      <c r="BH5352" s="42"/>
      <c r="BI5352" s="74"/>
      <c r="BJ5352" s="77"/>
      <c r="BL5352" s="497">
        <v>62.06</v>
      </c>
      <c r="BN5352" s="42"/>
      <c r="BO5352" s="74"/>
      <c r="BP5352" s="77"/>
      <c r="BR5352" s="497">
        <v>55.040000000000006</v>
      </c>
      <c r="BT5352" s="42"/>
    </row>
    <row r="5353" spans="1:72" x14ac:dyDescent="0.25">
      <c r="A5353" s="90">
        <v>34922</v>
      </c>
      <c r="B5353" s="20">
        <v>0.29166666666666669</v>
      </c>
      <c r="D5353">
        <v>75.02</v>
      </c>
      <c r="E5353" t="str">
        <f t="shared" si="202"/>
        <v>WEEKDAY</v>
      </c>
      <c r="F5353" t="e">
        <f t="shared" si="201"/>
        <v>#N/A</v>
      </c>
      <c r="G5353" s="74">
        <v>32000</v>
      </c>
      <c r="H5353" s="77">
        <v>0.29166666666666669</v>
      </c>
      <c r="J5353">
        <v>66.02</v>
      </c>
      <c r="M5353" s="74">
        <v>34557</v>
      </c>
      <c r="N5353" s="77">
        <v>0.29166666666666669</v>
      </c>
      <c r="P5353">
        <v>60.980000000000004</v>
      </c>
      <c r="S5353" s="74">
        <v>34922</v>
      </c>
      <c r="T5353" s="77">
        <v>0.29166666666666669</v>
      </c>
      <c r="V5353">
        <v>75.02</v>
      </c>
      <c r="X5353" s="42"/>
      <c r="AB5353">
        <v>71</v>
      </c>
      <c r="AC5353">
        <v>73.039999999999992</v>
      </c>
      <c r="AE5353" s="74"/>
      <c r="AF5353" s="77"/>
      <c r="AH5353" s="497">
        <v>62.96</v>
      </c>
      <c r="AJ5353" s="42"/>
      <c r="AK5353" s="74"/>
      <c r="AL5353" s="77"/>
      <c r="AN5353" s="497">
        <v>66.92</v>
      </c>
      <c r="AP5353" s="42"/>
      <c r="AQ5353" s="74"/>
      <c r="AR5353" s="77"/>
      <c r="AT5353" s="497">
        <v>71.06</v>
      </c>
      <c r="AV5353" s="42"/>
      <c r="AW5353" s="74"/>
      <c r="AX5353" s="77"/>
      <c r="BA5353" s="497">
        <v>64.94</v>
      </c>
      <c r="BB5353" s="42"/>
      <c r="BC5353" s="74"/>
      <c r="BD5353" s="77"/>
      <c r="BF5353">
        <v>64.94</v>
      </c>
      <c r="BH5353" s="42"/>
      <c r="BI5353" s="74"/>
      <c r="BJ5353" s="77"/>
      <c r="BL5353" s="497">
        <v>64.039999999999992</v>
      </c>
      <c r="BN5353" s="42"/>
      <c r="BO5353" s="74"/>
      <c r="BP5353" s="77"/>
      <c r="BR5353" s="497">
        <v>60.980000000000004</v>
      </c>
      <c r="BT5353" s="42"/>
    </row>
    <row r="5354" spans="1:72" x14ac:dyDescent="0.25">
      <c r="A5354" s="90">
        <v>34922</v>
      </c>
      <c r="B5354" s="20">
        <v>0.33333333333333331</v>
      </c>
      <c r="D5354">
        <v>75.92</v>
      </c>
      <c r="E5354" t="str">
        <f t="shared" si="202"/>
        <v>WEEKDAY</v>
      </c>
      <c r="F5354" t="e">
        <f t="shared" si="201"/>
        <v>#N/A</v>
      </c>
      <c r="G5354" s="74">
        <v>32000</v>
      </c>
      <c r="H5354" s="77">
        <v>0.33333333333333331</v>
      </c>
      <c r="J5354">
        <v>69.98</v>
      </c>
      <c r="M5354" s="74">
        <v>34557</v>
      </c>
      <c r="N5354" s="77">
        <v>0.33333333333333331</v>
      </c>
      <c r="P5354">
        <v>62.96</v>
      </c>
      <c r="S5354" s="74">
        <v>34922</v>
      </c>
      <c r="T5354" s="77">
        <v>0.33333333333333331</v>
      </c>
      <c r="V5354">
        <v>78.080000000000013</v>
      </c>
      <c r="X5354" s="42"/>
      <c r="AB5354">
        <v>73</v>
      </c>
      <c r="AC5354">
        <v>75.02</v>
      </c>
      <c r="AE5354" s="74"/>
      <c r="AF5354" s="77"/>
      <c r="AH5354" s="497">
        <v>63.86</v>
      </c>
      <c r="AJ5354" s="42"/>
      <c r="AK5354" s="74"/>
      <c r="AL5354" s="77"/>
      <c r="AN5354" s="497">
        <v>69.080000000000013</v>
      </c>
      <c r="AP5354" s="42"/>
      <c r="AQ5354" s="74"/>
      <c r="AR5354" s="77"/>
      <c r="AT5354" s="497">
        <v>73.039999999999992</v>
      </c>
      <c r="AV5354" s="42"/>
      <c r="AW5354" s="74"/>
      <c r="AX5354" s="77"/>
      <c r="BA5354" s="497">
        <v>68</v>
      </c>
      <c r="BB5354" s="42"/>
      <c r="BC5354" s="74"/>
      <c r="BD5354" s="77"/>
      <c r="BF5354">
        <v>66.02</v>
      </c>
      <c r="BH5354" s="42"/>
      <c r="BI5354" s="74"/>
      <c r="BJ5354" s="77"/>
      <c r="BL5354" s="497">
        <v>69.080000000000013</v>
      </c>
      <c r="BN5354" s="42"/>
      <c r="BO5354" s="74"/>
      <c r="BP5354" s="77"/>
      <c r="BR5354" s="497">
        <v>68</v>
      </c>
      <c r="BT5354" s="42"/>
    </row>
    <row r="5355" spans="1:72" x14ac:dyDescent="0.25">
      <c r="A5355" s="90">
        <v>34922</v>
      </c>
      <c r="B5355" s="20">
        <v>0.375</v>
      </c>
      <c r="D5355">
        <v>78.080000000000013</v>
      </c>
      <c r="E5355" t="str">
        <f t="shared" si="202"/>
        <v>WEEKDAY</v>
      </c>
      <c r="F5355" t="e">
        <f t="shared" ref="F5355:F5418" si="203">IF(E5355="WEEKDAY",VLOOKUP(B5355,$DD$19:$DG$42,2),IF(E5355="SATURDAY",VLOOKUP(B5355,$DD$19:$DG$42,3),VLOOKUP(B5355,$DD$19:$DG$42,4)))</f>
        <v>#N/A</v>
      </c>
      <c r="G5355" s="74">
        <v>32000</v>
      </c>
      <c r="H5355" s="77">
        <v>0.375</v>
      </c>
      <c r="J5355">
        <v>75.02</v>
      </c>
      <c r="M5355" s="74">
        <v>34557</v>
      </c>
      <c r="N5355" s="77">
        <v>0.375</v>
      </c>
      <c r="P5355">
        <v>62.96</v>
      </c>
      <c r="S5355" s="74">
        <v>34922</v>
      </c>
      <c r="T5355" s="77">
        <v>0.375</v>
      </c>
      <c r="V5355">
        <v>78.080000000000013</v>
      </c>
      <c r="X5355" s="42"/>
      <c r="AB5355">
        <v>75</v>
      </c>
      <c r="AC5355">
        <v>77</v>
      </c>
      <c r="AE5355" s="74"/>
      <c r="AF5355" s="77"/>
      <c r="AH5355" s="497">
        <v>65.84</v>
      </c>
      <c r="AJ5355" s="42"/>
      <c r="AK5355" s="74"/>
      <c r="AL5355" s="77"/>
      <c r="AN5355" s="497">
        <v>69.080000000000013</v>
      </c>
      <c r="AP5355" s="42"/>
      <c r="AQ5355" s="74"/>
      <c r="AR5355" s="77"/>
      <c r="AT5355" s="497">
        <v>75.92</v>
      </c>
      <c r="AV5355" s="42"/>
      <c r="AW5355" s="74"/>
      <c r="AX5355" s="77"/>
      <c r="BA5355" s="497">
        <v>71.06</v>
      </c>
      <c r="BB5355" s="42"/>
      <c r="BC5355" s="74"/>
      <c r="BD5355" s="77"/>
      <c r="BF5355">
        <v>68</v>
      </c>
      <c r="BH5355" s="42"/>
      <c r="BI5355" s="74"/>
      <c r="BJ5355" s="77"/>
      <c r="BL5355" s="497">
        <v>73.039999999999992</v>
      </c>
      <c r="BN5355" s="42"/>
      <c r="BO5355" s="74"/>
      <c r="BP5355" s="77"/>
      <c r="BR5355" s="497">
        <v>73.039999999999992</v>
      </c>
      <c r="BT5355" s="42"/>
    </row>
    <row r="5356" spans="1:72" x14ac:dyDescent="0.25">
      <c r="A5356" s="90">
        <v>34922</v>
      </c>
      <c r="B5356" s="20">
        <v>0.41666666666666669</v>
      </c>
      <c r="D5356">
        <v>78.98</v>
      </c>
      <c r="E5356" t="str">
        <f t="shared" si="202"/>
        <v>WEEKDAY</v>
      </c>
      <c r="F5356" t="e">
        <f t="shared" si="203"/>
        <v>#N/A</v>
      </c>
      <c r="G5356" s="74">
        <v>32000</v>
      </c>
      <c r="H5356" s="77">
        <v>0.41666666666666669</v>
      </c>
      <c r="J5356">
        <v>78.98</v>
      </c>
      <c r="M5356" s="74">
        <v>34557</v>
      </c>
      <c r="N5356" s="77">
        <v>0.41666666666666669</v>
      </c>
      <c r="P5356">
        <v>71.960000000000008</v>
      </c>
      <c r="S5356" s="74">
        <v>34922</v>
      </c>
      <c r="T5356" s="77">
        <v>0.41666666666666669</v>
      </c>
      <c r="V5356">
        <v>80.960000000000008</v>
      </c>
      <c r="X5356" s="42"/>
      <c r="AB5356">
        <v>76.8</v>
      </c>
      <c r="AC5356">
        <v>80.06</v>
      </c>
      <c r="AE5356" s="74"/>
      <c r="AF5356" s="77"/>
      <c r="AH5356" s="497">
        <v>66.92</v>
      </c>
      <c r="AJ5356" s="42"/>
      <c r="AK5356" s="74"/>
      <c r="AL5356" s="77"/>
      <c r="AN5356" s="497">
        <v>71.06</v>
      </c>
      <c r="AP5356" s="42"/>
      <c r="AQ5356" s="74"/>
      <c r="AR5356" s="77"/>
      <c r="AT5356" s="497">
        <v>78.98</v>
      </c>
      <c r="AV5356" s="42"/>
      <c r="AW5356" s="74"/>
      <c r="AX5356" s="77"/>
      <c r="BA5356" s="497">
        <v>71.06</v>
      </c>
      <c r="BB5356" s="42"/>
      <c r="BC5356" s="74"/>
      <c r="BD5356" s="77"/>
      <c r="BF5356">
        <v>69.080000000000013</v>
      </c>
      <c r="BH5356" s="42"/>
      <c r="BI5356" s="74"/>
      <c r="BJ5356" s="77"/>
      <c r="BL5356" s="497">
        <v>77</v>
      </c>
      <c r="BN5356" s="42"/>
      <c r="BO5356" s="74"/>
      <c r="BP5356" s="77"/>
      <c r="BR5356" s="497">
        <v>75.02</v>
      </c>
      <c r="BT5356" s="42"/>
    </row>
    <row r="5357" spans="1:72" x14ac:dyDescent="0.25">
      <c r="A5357" s="90">
        <v>34922</v>
      </c>
      <c r="B5357" s="20">
        <v>0.45833333333333331</v>
      </c>
      <c r="D5357">
        <v>80.06</v>
      </c>
      <c r="E5357" t="str">
        <f t="shared" si="202"/>
        <v>WEEKDAY</v>
      </c>
      <c r="F5357" t="e">
        <f t="shared" si="203"/>
        <v>#N/A</v>
      </c>
      <c r="G5357" s="74">
        <v>32000</v>
      </c>
      <c r="H5357" s="77">
        <v>0.45833333333333331</v>
      </c>
      <c r="J5357">
        <v>80.06</v>
      </c>
      <c r="M5357" s="74">
        <v>34557</v>
      </c>
      <c r="N5357" s="77">
        <v>0.45833333333333331</v>
      </c>
      <c r="P5357">
        <v>72.14</v>
      </c>
      <c r="S5357" s="74">
        <v>34922</v>
      </c>
      <c r="T5357" s="77">
        <v>0.45833333333333331</v>
      </c>
      <c r="V5357">
        <v>82.039999999999992</v>
      </c>
      <c r="X5357" s="42"/>
      <c r="AB5357">
        <v>78.400000000000006</v>
      </c>
      <c r="AC5357">
        <v>80.960000000000008</v>
      </c>
      <c r="AE5357" s="74"/>
      <c r="AF5357" s="77"/>
      <c r="AH5357" s="497">
        <v>70.88</v>
      </c>
      <c r="AJ5357" s="42"/>
      <c r="AK5357" s="74"/>
      <c r="AL5357" s="77"/>
      <c r="AN5357" s="497">
        <v>73.94</v>
      </c>
      <c r="AP5357" s="42"/>
      <c r="AQ5357" s="74"/>
      <c r="AR5357" s="77"/>
      <c r="AT5357" s="497">
        <v>80.06</v>
      </c>
      <c r="AV5357" s="42"/>
      <c r="AW5357" s="74"/>
      <c r="AX5357" s="77"/>
      <c r="BA5357" s="497">
        <v>71.960000000000008</v>
      </c>
      <c r="BB5357" s="42"/>
      <c r="BC5357" s="74"/>
      <c r="BD5357" s="77"/>
      <c r="BF5357">
        <v>71.960000000000008</v>
      </c>
      <c r="BH5357" s="42"/>
      <c r="BI5357" s="74"/>
      <c r="BJ5357" s="77"/>
      <c r="BL5357" s="497">
        <v>77</v>
      </c>
      <c r="BN5357" s="42"/>
      <c r="BO5357" s="74"/>
      <c r="BP5357" s="77"/>
      <c r="BR5357" s="497">
        <v>75.92</v>
      </c>
      <c r="BT5357" s="42"/>
    </row>
    <row r="5358" spans="1:72" x14ac:dyDescent="0.25">
      <c r="A5358" s="90">
        <v>34922</v>
      </c>
      <c r="B5358" s="20">
        <v>0.5</v>
      </c>
      <c r="D5358">
        <v>82.039999999999992</v>
      </c>
      <c r="E5358" t="str">
        <f t="shared" si="202"/>
        <v>WEEKDAY</v>
      </c>
      <c r="F5358" t="e">
        <f t="shared" si="203"/>
        <v>#N/A</v>
      </c>
      <c r="G5358" s="74">
        <v>32000</v>
      </c>
      <c r="H5358" s="77">
        <v>0.5</v>
      </c>
      <c r="J5358">
        <v>80.960000000000008</v>
      </c>
      <c r="M5358" s="74">
        <v>34557</v>
      </c>
      <c r="N5358" s="77">
        <v>0.5</v>
      </c>
      <c r="P5358">
        <v>71.960000000000008</v>
      </c>
      <c r="S5358" s="74">
        <v>34922</v>
      </c>
      <c r="T5358" s="77">
        <v>0.5</v>
      </c>
      <c r="V5358">
        <v>82.94</v>
      </c>
      <c r="X5358" s="42"/>
      <c r="AB5358">
        <v>79.5</v>
      </c>
      <c r="AC5358">
        <v>82.94</v>
      </c>
      <c r="AE5358" s="74"/>
      <c r="AF5358" s="77"/>
      <c r="AH5358" s="497">
        <v>70.88</v>
      </c>
      <c r="AJ5358" s="42"/>
      <c r="AK5358" s="74"/>
      <c r="AL5358" s="77"/>
      <c r="AN5358" s="497">
        <v>68</v>
      </c>
      <c r="AP5358" s="42"/>
      <c r="AQ5358" s="74"/>
      <c r="AR5358" s="77"/>
      <c r="AT5358" s="497">
        <v>80.960000000000008</v>
      </c>
      <c r="AV5358" s="42"/>
      <c r="AW5358" s="74"/>
      <c r="AX5358" s="77"/>
      <c r="BA5358" s="497">
        <v>71.06</v>
      </c>
      <c r="BB5358" s="42"/>
      <c r="BC5358" s="74"/>
      <c r="BD5358" s="77"/>
      <c r="BF5358">
        <v>73.94</v>
      </c>
      <c r="BH5358" s="42"/>
      <c r="BI5358" s="74"/>
      <c r="BJ5358" s="77"/>
      <c r="BL5358" s="497">
        <v>78.98</v>
      </c>
      <c r="BN5358" s="42"/>
      <c r="BO5358" s="74"/>
      <c r="BP5358" s="77"/>
      <c r="BR5358" s="497">
        <v>77</v>
      </c>
      <c r="BT5358" s="42"/>
    </row>
    <row r="5359" spans="1:72" x14ac:dyDescent="0.25">
      <c r="A5359" s="90">
        <v>34922</v>
      </c>
      <c r="B5359" s="20">
        <v>0.54166666666666663</v>
      </c>
      <c r="D5359">
        <v>82.039999999999992</v>
      </c>
      <c r="E5359" t="str">
        <f t="shared" si="202"/>
        <v>WEEKDAY</v>
      </c>
      <c r="F5359" t="e">
        <f t="shared" si="203"/>
        <v>#N/A</v>
      </c>
      <c r="G5359" s="74">
        <v>32000</v>
      </c>
      <c r="H5359" s="77">
        <v>0.54166666666666663</v>
      </c>
      <c r="J5359">
        <v>82.039999999999992</v>
      </c>
      <c r="M5359" s="74">
        <v>34557</v>
      </c>
      <c r="N5359" s="77">
        <v>0.54166666666666663</v>
      </c>
      <c r="P5359">
        <v>73.94</v>
      </c>
      <c r="S5359" s="74">
        <v>34922</v>
      </c>
      <c r="T5359" s="77">
        <v>0.54166666666666663</v>
      </c>
      <c r="V5359">
        <v>82.94</v>
      </c>
      <c r="X5359" s="42"/>
      <c r="AB5359">
        <v>80.2</v>
      </c>
      <c r="AC5359">
        <v>82.039999999999992</v>
      </c>
      <c r="AE5359" s="74"/>
      <c r="AF5359" s="77"/>
      <c r="AH5359" s="497">
        <v>72.86</v>
      </c>
      <c r="AJ5359" s="42"/>
      <c r="AK5359" s="74"/>
      <c r="AL5359" s="77"/>
      <c r="AN5359" s="497">
        <v>71.06</v>
      </c>
      <c r="AP5359" s="42"/>
      <c r="AQ5359" s="74"/>
      <c r="AR5359" s="77"/>
      <c r="AT5359" s="497">
        <v>80.960000000000008</v>
      </c>
      <c r="AV5359" s="42"/>
      <c r="AW5359" s="74"/>
      <c r="AX5359" s="77"/>
      <c r="BA5359" s="497">
        <v>71.960000000000008</v>
      </c>
      <c r="BB5359" s="42"/>
      <c r="BC5359" s="74"/>
      <c r="BD5359" s="77"/>
      <c r="BF5359">
        <v>75.02</v>
      </c>
      <c r="BH5359" s="42"/>
      <c r="BI5359" s="74"/>
      <c r="BJ5359" s="77"/>
      <c r="BL5359" s="497">
        <v>78.98</v>
      </c>
      <c r="BN5359" s="42"/>
      <c r="BO5359" s="74"/>
      <c r="BP5359" s="77"/>
      <c r="BR5359" s="497">
        <v>78.98</v>
      </c>
      <c r="BT5359" s="42"/>
    </row>
    <row r="5360" spans="1:72" x14ac:dyDescent="0.25">
      <c r="A5360" s="90">
        <v>34922</v>
      </c>
      <c r="B5360" s="20">
        <v>0.58333333333333337</v>
      </c>
      <c r="D5360">
        <v>84.92</v>
      </c>
      <c r="E5360" t="str">
        <f t="shared" si="202"/>
        <v>WEEKDAY</v>
      </c>
      <c r="F5360" t="e">
        <f t="shared" si="203"/>
        <v>#N/A</v>
      </c>
      <c r="G5360" s="74">
        <v>32000</v>
      </c>
      <c r="H5360" s="77">
        <v>0.58333333333333337</v>
      </c>
      <c r="J5360">
        <v>80.960000000000008</v>
      </c>
      <c r="M5360" s="74">
        <v>34557</v>
      </c>
      <c r="N5360" s="77">
        <v>0.58333333333333337</v>
      </c>
      <c r="P5360">
        <v>73.94</v>
      </c>
      <c r="S5360" s="74">
        <v>34922</v>
      </c>
      <c r="T5360" s="77">
        <v>0.58333333333333337</v>
      </c>
      <c r="V5360">
        <v>84.02</v>
      </c>
      <c r="X5360" s="42"/>
      <c r="AB5360">
        <v>80.599999999999994</v>
      </c>
      <c r="AC5360">
        <v>80.06</v>
      </c>
      <c r="AE5360" s="74"/>
      <c r="AF5360" s="77"/>
      <c r="AH5360" s="497">
        <v>72.86</v>
      </c>
      <c r="AJ5360" s="42"/>
      <c r="AK5360" s="74"/>
      <c r="AL5360" s="77"/>
      <c r="AN5360" s="497">
        <v>77</v>
      </c>
      <c r="AP5360" s="42"/>
      <c r="AQ5360" s="74"/>
      <c r="AR5360" s="77"/>
      <c r="AT5360" s="497">
        <v>82.039999999999992</v>
      </c>
      <c r="AV5360" s="42"/>
      <c r="AW5360" s="74"/>
      <c r="AX5360" s="77"/>
      <c r="BA5360" s="497">
        <v>69.98</v>
      </c>
      <c r="BB5360" s="42"/>
      <c r="BC5360" s="74"/>
      <c r="BD5360" s="77"/>
      <c r="BF5360">
        <v>75.92</v>
      </c>
      <c r="BH5360" s="42"/>
      <c r="BI5360" s="74"/>
      <c r="BJ5360" s="77"/>
      <c r="BL5360" s="497">
        <v>78.98</v>
      </c>
      <c r="BN5360" s="42"/>
      <c r="BO5360" s="74"/>
      <c r="BP5360" s="77"/>
      <c r="BR5360" s="497">
        <v>80.960000000000008</v>
      </c>
      <c r="BT5360" s="42"/>
    </row>
    <row r="5361" spans="1:72" x14ac:dyDescent="0.25">
      <c r="A5361" s="90">
        <v>34922</v>
      </c>
      <c r="B5361" s="20">
        <v>0.625</v>
      </c>
      <c r="D5361">
        <v>87.080000000000013</v>
      </c>
      <c r="E5361" t="str">
        <f t="shared" si="202"/>
        <v>WEEKDAY</v>
      </c>
      <c r="F5361" t="e">
        <f t="shared" si="203"/>
        <v>#N/A</v>
      </c>
      <c r="G5361" s="74">
        <v>32000</v>
      </c>
      <c r="H5361" s="77">
        <v>0.625</v>
      </c>
      <c r="J5361">
        <v>82.039999999999992</v>
      </c>
      <c r="M5361" s="74">
        <v>34557</v>
      </c>
      <c r="N5361" s="77">
        <v>0.625</v>
      </c>
      <c r="P5361">
        <v>74.84</v>
      </c>
      <c r="S5361" s="74">
        <v>34922</v>
      </c>
      <c r="T5361" s="77">
        <v>0.625</v>
      </c>
      <c r="V5361">
        <v>82.039999999999992</v>
      </c>
      <c r="X5361" s="42"/>
      <c r="AB5361">
        <v>80.7</v>
      </c>
      <c r="AC5361">
        <v>80.960000000000008</v>
      </c>
      <c r="AE5361" s="74"/>
      <c r="AF5361" s="77"/>
      <c r="AH5361" s="497">
        <v>73.94</v>
      </c>
      <c r="AJ5361" s="42"/>
      <c r="AK5361" s="74"/>
      <c r="AL5361" s="77"/>
      <c r="AN5361" s="497">
        <v>78.080000000000013</v>
      </c>
      <c r="AP5361" s="42"/>
      <c r="AQ5361" s="74"/>
      <c r="AR5361" s="77"/>
      <c r="AT5361" s="497">
        <v>77</v>
      </c>
      <c r="AV5361" s="42"/>
      <c r="AW5361" s="74"/>
      <c r="AX5361" s="77"/>
      <c r="BA5361" s="497">
        <v>68</v>
      </c>
      <c r="BB5361" s="42"/>
      <c r="BC5361" s="74"/>
      <c r="BD5361" s="77"/>
      <c r="BF5361">
        <v>77</v>
      </c>
      <c r="BH5361" s="42"/>
      <c r="BI5361" s="74"/>
      <c r="BJ5361" s="77"/>
      <c r="BL5361" s="497">
        <v>80.06</v>
      </c>
      <c r="BN5361" s="42"/>
      <c r="BO5361" s="74"/>
      <c r="BP5361" s="77"/>
      <c r="BR5361" s="497">
        <v>78.98</v>
      </c>
      <c r="BT5361" s="42"/>
    </row>
    <row r="5362" spans="1:72" x14ac:dyDescent="0.25">
      <c r="A5362" s="90">
        <v>34922</v>
      </c>
      <c r="B5362" s="20">
        <v>0.66666666666666663</v>
      </c>
      <c r="D5362">
        <v>87.98</v>
      </c>
      <c r="E5362" t="str">
        <f t="shared" si="202"/>
        <v>WEEKDAY</v>
      </c>
      <c r="F5362" t="e">
        <f t="shared" si="203"/>
        <v>#N/A</v>
      </c>
      <c r="G5362" s="74">
        <v>32000</v>
      </c>
      <c r="H5362" s="77">
        <v>0.66666666666666663</v>
      </c>
      <c r="J5362">
        <v>82.039999999999992</v>
      </c>
      <c r="M5362" s="74">
        <v>34557</v>
      </c>
      <c r="N5362" s="77">
        <v>0.66666666666666663</v>
      </c>
      <c r="P5362">
        <v>73.94</v>
      </c>
      <c r="S5362" s="74">
        <v>34922</v>
      </c>
      <c r="T5362" s="77">
        <v>0.66666666666666663</v>
      </c>
      <c r="V5362">
        <v>80.960000000000008</v>
      </c>
      <c r="X5362" s="42"/>
      <c r="AB5362">
        <v>80.3</v>
      </c>
      <c r="AC5362">
        <v>80.06</v>
      </c>
      <c r="AE5362" s="74"/>
      <c r="AF5362" s="77"/>
      <c r="AH5362" s="497">
        <v>72.86</v>
      </c>
      <c r="AJ5362" s="42"/>
      <c r="AK5362" s="74"/>
      <c r="AL5362" s="77"/>
      <c r="AN5362" s="497">
        <v>78.080000000000013</v>
      </c>
      <c r="AP5362" s="42"/>
      <c r="AQ5362" s="74"/>
      <c r="AR5362" s="77"/>
      <c r="AT5362" s="497">
        <v>80.960000000000008</v>
      </c>
      <c r="AV5362" s="42"/>
      <c r="AW5362" s="74"/>
      <c r="AX5362" s="77"/>
      <c r="BA5362" s="497">
        <v>68</v>
      </c>
      <c r="BB5362" s="42"/>
      <c r="BC5362" s="74"/>
      <c r="BD5362" s="77"/>
      <c r="BF5362">
        <v>77</v>
      </c>
      <c r="BH5362" s="42"/>
      <c r="BI5362" s="74"/>
      <c r="BJ5362" s="77"/>
      <c r="BL5362" s="497">
        <v>78.98</v>
      </c>
      <c r="BN5362" s="42"/>
      <c r="BO5362" s="74"/>
      <c r="BP5362" s="77"/>
      <c r="BR5362" s="497">
        <v>78.98</v>
      </c>
      <c r="BT5362" s="42"/>
    </row>
    <row r="5363" spans="1:72" x14ac:dyDescent="0.25">
      <c r="A5363" s="90">
        <v>34922</v>
      </c>
      <c r="B5363" s="20">
        <v>0.70833333333333337</v>
      </c>
      <c r="D5363">
        <v>87.98</v>
      </c>
      <c r="E5363" t="str">
        <f t="shared" si="202"/>
        <v>WEEKDAY</v>
      </c>
      <c r="F5363" t="e">
        <f t="shared" si="203"/>
        <v>#N/A</v>
      </c>
      <c r="G5363" s="74">
        <v>32000</v>
      </c>
      <c r="H5363" s="77">
        <v>0.70833333333333337</v>
      </c>
      <c r="J5363">
        <v>82.039999999999992</v>
      </c>
      <c r="M5363" s="74">
        <v>34557</v>
      </c>
      <c r="N5363" s="77">
        <v>0.70833333333333337</v>
      </c>
      <c r="P5363">
        <v>70.88</v>
      </c>
      <c r="S5363" s="74">
        <v>34922</v>
      </c>
      <c r="T5363" s="77">
        <v>0.70833333333333337</v>
      </c>
      <c r="V5363">
        <v>80.06</v>
      </c>
      <c r="X5363" s="42"/>
      <c r="AB5363">
        <v>79.5</v>
      </c>
      <c r="AC5363">
        <v>78.98</v>
      </c>
      <c r="AE5363" s="74"/>
      <c r="AF5363" s="77"/>
      <c r="AH5363" s="497">
        <v>72.86</v>
      </c>
      <c r="AJ5363" s="42"/>
      <c r="AK5363" s="74"/>
      <c r="AL5363" s="77"/>
      <c r="AN5363" s="497">
        <v>77</v>
      </c>
      <c r="AP5363" s="42"/>
      <c r="AQ5363" s="74"/>
      <c r="AR5363" s="77"/>
      <c r="AT5363" s="497">
        <v>80.960000000000008</v>
      </c>
      <c r="AV5363" s="42"/>
      <c r="AW5363" s="74"/>
      <c r="AX5363" s="77"/>
      <c r="BA5363" s="497">
        <v>66.02</v>
      </c>
      <c r="BB5363" s="42"/>
      <c r="BC5363" s="74"/>
      <c r="BD5363" s="77"/>
      <c r="BF5363">
        <v>77</v>
      </c>
      <c r="BH5363" s="42"/>
      <c r="BI5363" s="74"/>
      <c r="BJ5363" s="77"/>
      <c r="BL5363" s="497">
        <v>78.98</v>
      </c>
      <c r="BN5363" s="42"/>
      <c r="BO5363" s="74"/>
      <c r="BP5363" s="77"/>
      <c r="BR5363" s="497">
        <v>78.98</v>
      </c>
      <c r="BT5363" s="42"/>
    </row>
    <row r="5364" spans="1:72" x14ac:dyDescent="0.25">
      <c r="A5364" s="90">
        <v>34922</v>
      </c>
      <c r="B5364" s="20">
        <v>0.75</v>
      </c>
      <c r="D5364">
        <v>87.080000000000013</v>
      </c>
      <c r="E5364" t="str">
        <f t="shared" si="202"/>
        <v>WEEKDAY</v>
      </c>
      <c r="F5364" t="e">
        <f t="shared" si="203"/>
        <v>#N/A</v>
      </c>
      <c r="G5364" s="74">
        <v>32000</v>
      </c>
      <c r="H5364" s="77">
        <v>0.75</v>
      </c>
      <c r="J5364">
        <v>80.06</v>
      </c>
      <c r="M5364" s="74">
        <v>34557</v>
      </c>
      <c r="N5364" s="77">
        <v>0.75</v>
      </c>
      <c r="P5364">
        <v>68.900000000000006</v>
      </c>
      <c r="S5364" s="74">
        <v>34922</v>
      </c>
      <c r="T5364" s="77">
        <v>0.75</v>
      </c>
      <c r="V5364">
        <v>78.080000000000013</v>
      </c>
      <c r="X5364" s="42"/>
      <c r="AB5364">
        <v>78.5</v>
      </c>
      <c r="AC5364">
        <v>75.92</v>
      </c>
      <c r="AE5364" s="74"/>
      <c r="AF5364" s="77"/>
      <c r="AH5364" s="497">
        <v>71.960000000000008</v>
      </c>
      <c r="AJ5364" s="42"/>
      <c r="AK5364" s="74"/>
      <c r="AL5364" s="77"/>
      <c r="AN5364" s="497">
        <v>73.94</v>
      </c>
      <c r="AP5364" s="42"/>
      <c r="AQ5364" s="74"/>
      <c r="AR5364" s="77"/>
      <c r="AT5364" s="497">
        <v>80.06</v>
      </c>
      <c r="AV5364" s="42"/>
      <c r="AW5364" s="74"/>
      <c r="AX5364" s="77"/>
      <c r="BA5364" s="497">
        <v>66.92</v>
      </c>
      <c r="BB5364" s="42"/>
      <c r="BC5364" s="74"/>
      <c r="BD5364" s="77"/>
      <c r="BF5364">
        <v>75.02</v>
      </c>
      <c r="BH5364" s="42"/>
      <c r="BI5364" s="74"/>
      <c r="BJ5364" s="77"/>
      <c r="BL5364" s="497">
        <v>77</v>
      </c>
      <c r="BN5364" s="42"/>
      <c r="BO5364" s="74"/>
      <c r="BP5364" s="77"/>
      <c r="BR5364" s="497">
        <v>78.080000000000013</v>
      </c>
      <c r="BT5364" s="42"/>
    </row>
    <row r="5365" spans="1:72" x14ac:dyDescent="0.25">
      <c r="A5365" s="90">
        <v>34922</v>
      </c>
      <c r="B5365" s="20">
        <v>0.79166666666666663</v>
      </c>
      <c r="D5365">
        <v>86</v>
      </c>
      <c r="E5365" t="str">
        <f t="shared" si="202"/>
        <v>WEEKDAY</v>
      </c>
      <c r="F5365" t="e">
        <f t="shared" si="203"/>
        <v>#N/A</v>
      </c>
      <c r="G5365" s="74">
        <v>32000</v>
      </c>
      <c r="H5365" s="77">
        <v>0.79166666666666663</v>
      </c>
      <c r="J5365">
        <v>78.080000000000013</v>
      </c>
      <c r="M5365" s="74">
        <v>34557</v>
      </c>
      <c r="N5365" s="77">
        <v>0.79166666666666663</v>
      </c>
      <c r="P5365">
        <v>65.84</v>
      </c>
      <c r="S5365" s="74">
        <v>34922</v>
      </c>
      <c r="T5365" s="77">
        <v>0.79166666666666663</v>
      </c>
      <c r="V5365">
        <v>77</v>
      </c>
      <c r="X5365" s="42"/>
      <c r="AB5365">
        <v>77.099999999999994</v>
      </c>
      <c r="AC5365">
        <v>73.94</v>
      </c>
      <c r="AE5365" s="74"/>
      <c r="AF5365" s="77"/>
      <c r="AH5365" s="497">
        <v>69.98</v>
      </c>
      <c r="AJ5365" s="42"/>
      <c r="AK5365" s="74"/>
      <c r="AL5365" s="77"/>
      <c r="AN5365" s="497">
        <v>69.98</v>
      </c>
      <c r="AP5365" s="42"/>
      <c r="AQ5365" s="74"/>
      <c r="AR5365" s="77"/>
      <c r="AT5365" s="497">
        <v>75.92</v>
      </c>
      <c r="AV5365" s="42"/>
      <c r="AW5365" s="74"/>
      <c r="AX5365" s="77"/>
      <c r="BA5365" s="497">
        <v>66.92</v>
      </c>
      <c r="BB5365" s="42"/>
      <c r="BC5365" s="74"/>
      <c r="BD5365" s="77"/>
      <c r="BF5365">
        <v>71.960000000000008</v>
      </c>
      <c r="BH5365" s="42"/>
      <c r="BI5365" s="74"/>
      <c r="BJ5365" s="77"/>
      <c r="BL5365" s="497">
        <v>75.92</v>
      </c>
      <c r="BN5365" s="42"/>
      <c r="BO5365" s="74"/>
      <c r="BP5365" s="77"/>
      <c r="BR5365" s="497">
        <v>73.94</v>
      </c>
      <c r="BT5365" s="42"/>
    </row>
    <row r="5366" spans="1:72" x14ac:dyDescent="0.25">
      <c r="A5366" s="90">
        <v>34922</v>
      </c>
      <c r="B5366" s="20">
        <v>0.83333333333333337</v>
      </c>
      <c r="D5366">
        <v>78.080000000000013</v>
      </c>
      <c r="E5366" t="str">
        <f t="shared" si="202"/>
        <v>WEEKDAY</v>
      </c>
      <c r="F5366" t="e">
        <f t="shared" si="203"/>
        <v>#N/A</v>
      </c>
      <c r="G5366" s="74">
        <v>32000</v>
      </c>
      <c r="H5366" s="77">
        <v>0.83333333333333337</v>
      </c>
      <c r="J5366">
        <v>77</v>
      </c>
      <c r="M5366" s="74">
        <v>34557</v>
      </c>
      <c r="N5366" s="77">
        <v>0.83333333333333337</v>
      </c>
      <c r="P5366">
        <v>64.94</v>
      </c>
      <c r="S5366" s="74">
        <v>34922</v>
      </c>
      <c r="T5366" s="77">
        <v>0.83333333333333337</v>
      </c>
      <c r="V5366">
        <v>75.92</v>
      </c>
      <c r="X5366" s="42"/>
      <c r="AB5366">
        <v>75.7</v>
      </c>
      <c r="AC5366">
        <v>73.039999999999992</v>
      </c>
      <c r="AE5366" s="74"/>
      <c r="AF5366" s="77"/>
      <c r="AH5366" s="497">
        <v>69.98</v>
      </c>
      <c r="AJ5366" s="42"/>
      <c r="AK5366" s="74"/>
      <c r="AL5366" s="77"/>
      <c r="AN5366" s="497">
        <v>66.02</v>
      </c>
      <c r="AP5366" s="42"/>
      <c r="AQ5366" s="74"/>
      <c r="AR5366" s="77"/>
      <c r="AT5366" s="497">
        <v>73.039999999999992</v>
      </c>
      <c r="AV5366" s="42"/>
      <c r="AW5366" s="74"/>
      <c r="AX5366" s="77"/>
      <c r="BA5366" s="497">
        <v>62.06</v>
      </c>
      <c r="BB5366" s="42"/>
      <c r="BC5366" s="74"/>
      <c r="BD5366" s="77"/>
      <c r="BF5366">
        <v>68</v>
      </c>
      <c r="BH5366" s="42"/>
      <c r="BI5366" s="74"/>
      <c r="BJ5366" s="77"/>
      <c r="BL5366" s="497">
        <v>71.960000000000008</v>
      </c>
      <c r="BN5366" s="42"/>
      <c r="BO5366" s="74"/>
      <c r="BP5366" s="77"/>
      <c r="BR5366" s="497">
        <v>66.92</v>
      </c>
      <c r="BT5366" s="42"/>
    </row>
    <row r="5367" spans="1:72" x14ac:dyDescent="0.25">
      <c r="A5367" s="90">
        <v>34922</v>
      </c>
      <c r="B5367" s="20">
        <v>0.875</v>
      </c>
      <c r="D5367">
        <v>77</v>
      </c>
      <c r="E5367" t="str">
        <f t="shared" si="202"/>
        <v>WEEKDAY</v>
      </c>
      <c r="F5367" t="e">
        <f t="shared" si="203"/>
        <v>#N/A</v>
      </c>
      <c r="G5367" s="74">
        <v>32000</v>
      </c>
      <c r="H5367" s="77">
        <v>0.875</v>
      </c>
      <c r="J5367">
        <v>75.02</v>
      </c>
      <c r="M5367" s="74">
        <v>34557</v>
      </c>
      <c r="N5367" s="77">
        <v>0.875</v>
      </c>
      <c r="P5367">
        <v>64.94</v>
      </c>
      <c r="S5367" s="74">
        <v>34922</v>
      </c>
      <c r="T5367" s="77">
        <v>0.875</v>
      </c>
      <c r="V5367">
        <v>75.02</v>
      </c>
      <c r="X5367" s="42"/>
      <c r="AB5367">
        <v>74.8</v>
      </c>
      <c r="AC5367">
        <v>73.039999999999992</v>
      </c>
      <c r="AE5367" s="74"/>
      <c r="AF5367" s="77"/>
      <c r="AH5367" s="497">
        <v>68.900000000000006</v>
      </c>
      <c r="AJ5367" s="42"/>
      <c r="AK5367" s="74"/>
      <c r="AL5367" s="77"/>
      <c r="AN5367" s="497">
        <v>64.039999999999992</v>
      </c>
      <c r="AP5367" s="42"/>
      <c r="AQ5367" s="74"/>
      <c r="AR5367" s="77"/>
      <c r="AT5367" s="497">
        <v>71.06</v>
      </c>
      <c r="AV5367" s="42"/>
      <c r="AW5367" s="74"/>
      <c r="AX5367" s="77"/>
      <c r="BA5367" s="497">
        <v>60.980000000000004</v>
      </c>
      <c r="BB5367" s="42"/>
      <c r="BC5367" s="74"/>
      <c r="BD5367" s="77"/>
      <c r="BF5367">
        <v>66.02</v>
      </c>
      <c r="BH5367" s="42"/>
      <c r="BI5367" s="74"/>
      <c r="BJ5367" s="77"/>
      <c r="BL5367" s="497">
        <v>68</v>
      </c>
      <c r="BN5367" s="42"/>
      <c r="BO5367" s="74"/>
      <c r="BP5367" s="77"/>
      <c r="BR5367" s="497">
        <v>64.94</v>
      </c>
      <c r="BT5367" s="42"/>
    </row>
    <row r="5368" spans="1:72" x14ac:dyDescent="0.25">
      <c r="A5368" s="90">
        <v>34922</v>
      </c>
      <c r="B5368" s="20">
        <v>0.91666666666666663</v>
      </c>
      <c r="D5368">
        <v>75.92</v>
      </c>
      <c r="E5368" t="str">
        <f t="shared" si="202"/>
        <v>WEEKDAY</v>
      </c>
      <c r="F5368" t="e">
        <f t="shared" si="203"/>
        <v>#N/A</v>
      </c>
      <c r="G5368" s="74">
        <v>32000</v>
      </c>
      <c r="H5368" s="77">
        <v>0.91666666666666663</v>
      </c>
      <c r="J5368">
        <v>73.039999999999992</v>
      </c>
      <c r="M5368" s="74">
        <v>34557</v>
      </c>
      <c r="N5368" s="77">
        <v>0.91666666666666663</v>
      </c>
      <c r="P5368">
        <v>64.94</v>
      </c>
      <c r="S5368" s="74">
        <v>34922</v>
      </c>
      <c r="T5368" s="77">
        <v>0.91666666666666663</v>
      </c>
      <c r="V5368">
        <v>75.02</v>
      </c>
      <c r="X5368" s="42"/>
      <c r="AB5368">
        <v>74.3</v>
      </c>
      <c r="AC5368">
        <v>73.039999999999992</v>
      </c>
      <c r="AE5368" s="74"/>
      <c r="AF5368" s="77"/>
      <c r="AH5368" s="497">
        <v>66.92</v>
      </c>
      <c r="AJ5368" s="42"/>
      <c r="AK5368" s="74"/>
      <c r="AL5368" s="77"/>
      <c r="AN5368" s="497">
        <v>62.96</v>
      </c>
      <c r="AP5368" s="42"/>
      <c r="AQ5368" s="74"/>
      <c r="AR5368" s="77"/>
      <c r="AT5368" s="497">
        <v>69.98</v>
      </c>
      <c r="AV5368" s="42"/>
      <c r="AW5368" s="74"/>
      <c r="AX5368" s="77"/>
      <c r="BA5368" s="497">
        <v>62.06</v>
      </c>
      <c r="BB5368" s="42"/>
      <c r="BC5368" s="74"/>
      <c r="BD5368" s="77"/>
      <c r="BF5368">
        <v>64.039999999999992</v>
      </c>
      <c r="BH5368" s="42"/>
      <c r="BI5368" s="74"/>
      <c r="BJ5368" s="77"/>
      <c r="BL5368" s="497">
        <v>69.080000000000013</v>
      </c>
      <c r="BN5368" s="42"/>
      <c r="BO5368" s="74"/>
      <c r="BP5368" s="77"/>
      <c r="BR5368" s="497">
        <v>62.06</v>
      </c>
      <c r="BT5368" s="42"/>
    </row>
    <row r="5369" spans="1:72" x14ac:dyDescent="0.25">
      <c r="A5369" s="90">
        <v>34922</v>
      </c>
      <c r="B5369" s="20">
        <v>0.95833333333333337</v>
      </c>
      <c r="D5369">
        <v>75.02</v>
      </c>
      <c r="E5369" t="str">
        <f t="shared" si="202"/>
        <v>WEEKDAY</v>
      </c>
      <c r="F5369" t="e">
        <f t="shared" si="203"/>
        <v>#N/A</v>
      </c>
      <c r="G5369" s="74">
        <v>32000</v>
      </c>
      <c r="H5369" s="77">
        <v>0.95833333333333337</v>
      </c>
      <c r="J5369">
        <v>71.960000000000008</v>
      </c>
      <c r="M5369" s="74">
        <v>34557</v>
      </c>
      <c r="N5369" s="77">
        <v>0.95833333333333337</v>
      </c>
      <c r="P5369">
        <v>64.94</v>
      </c>
      <c r="S5369" s="74">
        <v>34922</v>
      </c>
      <c r="T5369" s="77">
        <v>0.95833333333333337</v>
      </c>
      <c r="V5369">
        <v>75.02</v>
      </c>
      <c r="X5369" s="42"/>
      <c r="AB5369">
        <v>73.8</v>
      </c>
      <c r="AC5369">
        <v>71.960000000000008</v>
      </c>
      <c r="AE5369" s="74"/>
      <c r="AF5369" s="77"/>
      <c r="AH5369" s="497">
        <v>65.66</v>
      </c>
      <c r="AJ5369" s="42"/>
      <c r="AK5369" s="74"/>
      <c r="AL5369" s="77"/>
      <c r="AN5369" s="497">
        <v>62.06</v>
      </c>
      <c r="AP5369" s="42"/>
      <c r="AQ5369" s="74"/>
      <c r="AR5369" s="77"/>
      <c r="AT5369" s="497">
        <v>66.92</v>
      </c>
      <c r="AV5369" s="42"/>
      <c r="AW5369" s="74"/>
      <c r="AX5369" s="77"/>
      <c r="BA5369" s="497">
        <v>62.06</v>
      </c>
      <c r="BB5369" s="42"/>
      <c r="BC5369" s="74"/>
      <c r="BD5369" s="77"/>
      <c r="BF5369">
        <v>62.06</v>
      </c>
      <c r="BH5369" s="42"/>
      <c r="BI5369" s="74"/>
      <c r="BJ5369" s="77"/>
      <c r="BL5369" s="497">
        <v>66.02</v>
      </c>
      <c r="BN5369" s="42"/>
      <c r="BO5369" s="74"/>
      <c r="BP5369" s="77"/>
      <c r="BR5369" s="497">
        <v>60.980000000000004</v>
      </c>
      <c r="BT5369" s="42"/>
    </row>
    <row r="5370" spans="1:72" x14ac:dyDescent="0.25">
      <c r="A5370" s="90">
        <v>34922</v>
      </c>
      <c r="B5370" s="20">
        <v>1</v>
      </c>
      <c r="D5370">
        <v>73.94</v>
      </c>
      <c r="E5370" t="str">
        <f t="shared" si="202"/>
        <v>WEEKDAY</v>
      </c>
      <c r="F5370" t="e">
        <f t="shared" si="203"/>
        <v>#N/A</v>
      </c>
      <c r="G5370" s="74">
        <v>32000</v>
      </c>
      <c r="H5370" s="77">
        <v>1</v>
      </c>
      <c r="J5370">
        <v>69.080000000000013</v>
      </c>
      <c r="M5370" s="74">
        <v>34557</v>
      </c>
      <c r="N5370" s="80">
        <v>1</v>
      </c>
      <c r="P5370">
        <v>64.94</v>
      </c>
      <c r="S5370" s="74">
        <v>34922</v>
      </c>
      <c r="T5370" s="80">
        <v>1</v>
      </c>
      <c r="V5370">
        <v>75.02</v>
      </c>
      <c r="X5370" s="42"/>
      <c r="AB5370">
        <v>73.3</v>
      </c>
      <c r="AC5370">
        <v>71.960000000000008</v>
      </c>
      <c r="AE5370" s="74"/>
      <c r="AF5370" s="80"/>
      <c r="AH5370" s="497">
        <v>64.94</v>
      </c>
      <c r="AJ5370" s="42"/>
      <c r="AK5370" s="74"/>
      <c r="AL5370" s="80"/>
      <c r="AN5370" s="497">
        <v>60.08</v>
      </c>
      <c r="AP5370" s="42"/>
      <c r="AQ5370" s="74"/>
      <c r="AR5370" s="80"/>
      <c r="AT5370" s="497">
        <v>66.92</v>
      </c>
      <c r="AV5370" s="42"/>
      <c r="AW5370" s="74"/>
      <c r="AX5370" s="80"/>
      <c r="BA5370" s="497">
        <v>60.08</v>
      </c>
      <c r="BB5370" s="42"/>
      <c r="BC5370" s="74"/>
      <c r="BD5370" s="80"/>
      <c r="BF5370">
        <v>60.08</v>
      </c>
      <c r="BH5370" s="42"/>
      <c r="BI5370" s="74"/>
      <c r="BJ5370" s="80"/>
      <c r="BL5370" s="497">
        <v>66.02</v>
      </c>
      <c r="BN5370" s="42"/>
      <c r="BO5370" s="74"/>
      <c r="BP5370" s="80"/>
      <c r="BR5370" s="497">
        <v>60.980000000000004</v>
      </c>
      <c r="BT5370" s="42"/>
    </row>
    <row r="5371" spans="1:72" x14ac:dyDescent="0.25">
      <c r="A5371" s="90">
        <v>34923</v>
      </c>
      <c r="B5371" s="20">
        <v>4.1666666666666664E-2</v>
      </c>
      <c r="D5371">
        <v>75.02</v>
      </c>
      <c r="E5371" t="str">
        <f t="shared" si="202"/>
        <v>SATURDAY</v>
      </c>
      <c r="F5371" t="e">
        <f t="shared" si="203"/>
        <v>#N/A</v>
      </c>
      <c r="G5371" s="74">
        <v>32001</v>
      </c>
      <c r="H5371" s="77">
        <v>4.1666666666666664E-2</v>
      </c>
      <c r="J5371">
        <v>69.98</v>
      </c>
      <c r="M5371" s="74">
        <v>34558</v>
      </c>
      <c r="N5371" s="77">
        <v>4.1666666666666664E-2</v>
      </c>
      <c r="P5371">
        <v>64.94</v>
      </c>
      <c r="S5371" s="74">
        <v>34923</v>
      </c>
      <c r="T5371" s="77">
        <v>4.1666666666666664E-2</v>
      </c>
      <c r="V5371">
        <v>73.94</v>
      </c>
      <c r="X5371" s="42"/>
      <c r="AB5371">
        <v>72.599999999999994</v>
      </c>
      <c r="AC5371">
        <v>71.06</v>
      </c>
      <c r="AE5371" s="74"/>
      <c r="AF5371" s="77"/>
      <c r="AH5371" s="497">
        <v>64.759999999999991</v>
      </c>
      <c r="AJ5371" s="42"/>
      <c r="AK5371" s="74"/>
      <c r="AL5371" s="77"/>
      <c r="AN5371" s="497">
        <v>60.08</v>
      </c>
      <c r="AP5371" s="42"/>
      <c r="AQ5371" s="74"/>
      <c r="AR5371" s="77"/>
      <c r="AT5371" s="497">
        <v>64.039999999999992</v>
      </c>
      <c r="AV5371" s="42"/>
      <c r="AW5371" s="74"/>
      <c r="AX5371" s="77"/>
      <c r="BA5371" s="497">
        <v>59</v>
      </c>
      <c r="BB5371" s="42"/>
      <c r="BC5371" s="74"/>
      <c r="BD5371" s="77"/>
      <c r="BF5371">
        <v>57.92</v>
      </c>
      <c r="BH5371" s="42"/>
      <c r="BI5371" s="74"/>
      <c r="BJ5371" s="77"/>
      <c r="BL5371" s="497">
        <v>64.94</v>
      </c>
      <c r="BN5371" s="42"/>
      <c r="BO5371" s="74"/>
      <c r="BP5371" s="77"/>
      <c r="BR5371" s="497">
        <v>59</v>
      </c>
      <c r="BT5371" s="42"/>
    </row>
    <row r="5372" spans="1:72" x14ac:dyDescent="0.25">
      <c r="A5372" s="90">
        <v>34923</v>
      </c>
      <c r="B5372" s="20">
        <v>8.3333333333333329E-2</v>
      </c>
      <c r="D5372">
        <v>73.94</v>
      </c>
      <c r="E5372" t="str">
        <f t="shared" si="202"/>
        <v>SATURDAY</v>
      </c>
      <c r="F5372" t="e">
        <f t="shared" si="203"/>
        <v>#N/A</v>
      </c>
      <c r="G5372" s="74">
        <v>32001</v>
      </c>
      <c r="H5372" s="77">
        <v>8.3333333333333329E-2</v>
      </c>
      <c r="J5372">
        <v>68</v>
      </c>
      <c r="M5372" s="74">
        <v>34558</v>
      </c>
      <c r="N5372" s="77">
        <v>8.3333333333333329E-2</v>
      </c>
      <c r="P5372">
        <v>64.94</v>
      </c>
      <c r="S5372" s="74">
        <v>34923</v>
      </c>
      <c r="T5372" s="77">
        <v>8.3333333333333329E-2</v>
      </c>
      <c r="V5372">
        <v>73.94</v>
      </c>
      <c r="X5372" s="42"/>
      <c r="AB5372">
        <v>72</v>
      </c>
      <c r="AC5372">
        <v>71.06</v>
      </c>
      <c r="AE5372" s="74"/>
      <c r="AF5372" s="77"/>
      <c r="AH5372" s="497">
        <v>64.580000000000013</v>
      </c>
      <c r="AJ5372" s="42"/>
      <c r="AK5372" s="74"/>
      <c r="AL5372" s="77"/>
      <c r="AN5372" s="497">
        <v>60.08</v>
      </c>
      <c r="AP5372" s="42"/>
      <c r="AQ5372" s="74"/>
      <c r="AR5372" s="77"/>
      <c r="AT5372" s="497">
        <v>64.039999999999992</v>
      </c>
      <c r="AV5372" s="42"/>
      <c r="AW5372" s="74"/>
      <c r="AX5372" s="77"/>
      <c r="BA5372" s="497">
        <v>59</v>
      </c>
      <c r="BB5372" s="42"/>
      <c r="BC5372" s="74"/>
      <c r="BD5372" s="77"/>
      <c r="BF5372">
        <v>57.019999999999996</v>
      </c>
      <c r="BH5372" s="42"/>
      <c r="BI5372" s="74"/>
      <c r="BJ5372" s="77"/>
      <c r="BL5372" s="497">
        <v>64.94</v>
      </c>
      <c r="BN5372" s="42"/>
      <c r="BO5372" s="74"/>
      <c r="BP5372" s="77"/>
      <c r="BR5372" s="497">
        <v>59</v>
      </c>
      <c r="BT5372" s="42"/>
    </row>
    <row r="5373" spans="1:72" x14ac:dyDescent="0.25">
      <c r="A5373" s="90">
        <v>34923</v>
      </c>
      <c r="B5373" s="20">
        <v>0.125</v>
      </c>
      <c r="D5373">
        <v>73.039999999999992</v>
      </c>
      <c r="E5373" t="str">
        <f t="shared" si="202"/>
        <v>SATURDAY</v>
      </c>
      <c r="F5373" t="e">
        <f t="shared" si="203"/>
        <v>#N/A</v>
      </c>
      <c r="G5373" s="74">
        <v>32001</v>
      </c>
      <c r="H5373" s="77">
        <v>0.125</v>
      </c>
      <c r="J5373">
        <v>64.94</v>
      </c>
      <c r="M5373" s="74">
        <v>34558</v>
      </c>
      <c r="N5373" s="77">
        <v>0.125</v>
      </c>
      <c r="P5373">
        <v>64.94</v>
      </c>
      <c r="S5373" s="74">
        <v>34923</v>
      </c>
      <c r="T5373" s="77">
        <v>0.125</v>
      </c>
      <c r="V5373">
        <v>73.039999999999992</v>
      </c>
      <c r="X5373" s="42"/>
      <c r="AB5373">
        <v>71.5</v>
      </c>
      <c r="AC5373">
        <v>71.06</v>
      </c>
      <c r="AE5373" s="74"/>
      <c r="AF5373" s="77"/>
      <c r="AH5373" s="497">
        <v>64.94</v>
      </c>
      <c r="AJ5373" s="42"/>
      <c r="AK5373" s="74"/>
      <c r="AL5373" s="77"/>
      <c r="AN5373" s="497">
        <v>59</v>
      </c>
      <c r="AP5373" s="42"/>
      <c r="AQ5373" s="74"/>
      <c r="AR5373" s="77"/>
      <c r="AT5373" s="497">
        <v>62.06</v>
      </c>
      <c r="AV5373" s="42"/>
      <c r="AW5373" s="74"/>
      <c r="AX5373" s="77"/>
      <c r="BA5373" s="497">
        <v>59</v>
      </c>
      <c r="BB5373" s="42"/>
      <c r="BC5373" s="74"/>
      <c r="BD5373" s="77"/>
      <c r="BF5373">
        <v>57.92</v>
      </c>
      <c r="BH5373" s="42"/>
      <c r="BI5373" s="74"/>
      <c r="BJ5373" s="77"/>
      <c r="BL5373" s="497">
        <v>64.039999999999992</v>
      </c>
      <c r="BN5373" s="42"/>
      <c r="BO5373" s="74"/>
      <c r="BP5373" s="77"/>
      <c r="BR5373" s="497">
        <v>57.92</v>
      </c>
      <c r="BT5373" s="42"/>
    </row>
    <row r="5374" spans="1:72" x14ac:dyDescent="0.25">
      <c r="A5374" s="90">
        <v>34923</v>
      </c>
      <c r="B5374" s="20">
        <v>0.16666666666666666</v>
      </c>
      <c r="D5374">
        <v>71.960000000000008</v>
      </c>
      <c r="E5374" t="str">
        <f t="shared" si="202"/>
        <v>SATURDAY</v>
      </c>
      <c r="F5374" t="e">
        <f t="shared" si="203"/>
        <v>#N/A</v>
      </c>
      <c r="G5374" s="74">
        <v>32001</v>
      </c>
      <c r="H5374" s="77">
        <v>0.16666666666666666</v>
      </c>
      <c r="J5374">
        <v>64.039999999999992</v>
      </c>
      <c r="M5374" s="74">
        <v>34558</v>
      </c>
      <c r="N5374" s="77">
        <v>0.16666666666666666</v>
      </c>
      <c r="P5374">
        <v>63.86</v>
      </c>
      <c r="S5374" s="74">
        <v>34923</v>
      </c>
      <c r="T5374" s="77">
        <v>0.16666666666666666</v>
      </c>
      <c r="V5374">
        <v>73.039999999999992</v>
      </c>
      <c r="X5374" s="42"/>
      <c r="AB5374">
        <v>71</v>
      </c>
      <c r="AC5374">
        <v>69.98</v>
      </c>
      <c r="AE5374" s="74"/>
      <c r="AF5374" s="77"/>
      <c r="AH5374" s="497">
        <v>65.300000000000011</v>
      </c>
      <c r="AJ5374" s="42"/>
      <c r="AK5374" s="74"/>
      <c r="AL5374" s="77"/>
      <c r="AN5374" s="497">
        <v>57.92</v>
      </c>
      <c r="AP5374" s="42"/>
      <c r="AQ5374" s="74"/>
      <c r="AR5374" s="77"/>
      <c r="AT5374" s="497">
        <v>62.06</v>
      </c>
      <c r="AV5374" s="42"/>
      <c r="AW5374" s="74"/>
      <c r="AX5374" s="77"/>
      <c r="BA5374" s="497">
        <v>60.08</v>
      </c>
      <c r="BB5374" s="42"/>
      <c r="BC5374" s="74"/>
      <c r="BD5374" s="77"/>
      <c r="BF5374">
        <v>55.94</v>
      </c>
      <c r="BH5374" s="42"/>
      <c r="BI5374" s="74"/>
      <c r="BJ5374" s="77"/>
      <c r="BL5374" s="497">
        <v>62.96</v>
      </c>
      <c r="BN5374" s="42"/>
      <c r="BO5374" s="74"/>
      <c r="BP5374" s="77"/>
      <c r="BR5374" s="497">
        <v>57.92</v>
      </c>
      <c r="BT5374" s="42"/>
    </row>
    <row r="5375" spans="1:72" x14ac:dyDescent="0.25">
      <c r="A5375" s="90">
        <v>34923</v>
      </c>
      <c r="B5375" s="20">
        <v>0.20833333333333334</v>
      </c>
      <c r="D5375">
        <v>71.06</v>
      </c>
      <c r="E5375" t="str">
        <f t="shared" si="202"/>
        <v>SATURDAY</v>
      </c>
      <c r="F5375" t="e">
        <f t="shared" si="203"/>
        <v>#N/A</v>
      </c>
      <c r="G5375" s="74">
        <v>32001</v>
      </c>
      <c r="H5375" s="77">
        <v>0.20833333333333334</v>
      </c>
      <c r="J5375">
        <v>62.96</v>
      </c>
      <c r="M5375" s="74">
        <v>34558</v>
      </c>
      <c r="N5375" s="77">
        <v>0.20833333333333334</v>
      </c>
      <c r="P5375">
        <v>63.86</v>
      </c>
      <c r="S5375" s="74">
        <v>34923</v>
      </c>
      <c r="T5375" s="77">
        <v>0.20833333333333334</v>
      </c>
      <c r="V5375">
        <v>73.039999999999992</v>
      </c>
      <c r="X5375" s="42"/>
      <c r="AB5375">
        <v>70.400000000000006</v>
      </c>
      <c r="AC5375">
        <v>69.98</v>
      </c>
      <c r="AE5375" s="74"/>
      <c r="AF5375" s="77"/>
      <c r="AH5375" s="497">
        <v>65.12</v>
      </c>
      <c r="AJ5375" s="42"/>
      <c r="AK5375" s="74"/>
      <c r="AL5375" s="77"/>
      <c r="AN5375" s="497">
        <v>57.019999999999996</v>
      </c>
      <c r="AP5375" s="42"/>
      <c r="AQ5375" s="74"/>
      <c r="AR5375" s="77"/>
      <c r="AT5375" s="497">
        <v>60.08</v>
      </c>
      <c r="AV5375" s="42"/>
      <c r="AW5375" s="74"/>
      <c r="AX5375" s="77"/>
      <c r="BA5375" s="497">
        <v>60.08</v>
      </c>
      <c r="BB5375" s="42"/>
      <c r="BC5375" s="74"/>
      <c r="BD5375" s="77"/>
      <c r="BF5375">
        <v>55.040000000000006</v>
      </c>
      <c r="BH5375" s="42"/>
      <c r="BI5375" s="74"/>
      <c r="BJ5375" s="77"/>
      <c r="BL5375" s="497">
        <v>62.96</v>
      </c>
      <c r="BN5375" s="42"/>
      <c r="BO5375" s="74"/>
      <c r="BP5375" s="77"/>
      <c r="BR5375" s="497">
        <v>60.08</v>
      </c>
      <c r="BT5375" s="42"/>
    </row>
    <row r="5376" spans="1:72" x14ac:dyDescent="0.25">
      <c r="A5376" s="90">
        <v>34923</v>
      </c>
      <c r="B5376" s="20">
        <v>0.25</v>
      </c>
      <c r="D5376">
        <v>69.98</v>
      </c>
      <c r="E5376" t="str">
        <f t="shared" si="202"/>
        <v>SATURDAY</v>
      </c>
      <c r="F5376" t="e">
        <f t="shared" si="203"/>
        <v>#N/A</v>
      </c>
      <c r="G5376" s="74">
        <v>32001</v>
      </c>
      <c r="H5376" s="77">
        <v>0.25</v>
      </c>
      <c r="J5376">
        <v>64.039999999999992</v>
      </c>
      <c r="M5376" s="74">
        <v>34558</v>
      </c>
      <c r="N5376" s="77">
        <v>0.25</v>
      </c>
      <c r="P5376">
        <v>63.86</v>
      </c>
      <c r="S5376" s="74">
        <v>34923</v>
      </c>
      <c r="T5376" s="77">
        <v>0.25</v>
      </c>
      <c r="V5376">
        <v>73.94</v>
      </c>
      <c r="X5376" s="42"/>
      <c r="AB5376">
        <v>70.099999999999994</v>
      </c>
      <c r="AC5376">
        <v>69.98</v>
      </c>
      <c r="AE5376" s="74"/>
      <c r="AF5376" s="77"/>
      <c r="AH5376" s="497">
        <v>64.94</v>
      </c>
      <c r="AJ5376" s="42"/>
      <c r="AK5376" s="74"/>
      <c r="AL5376" s="77"/>
      <c r="AN5376" s="497">
        <v>57.92</v>
      </c>
      <c r="AP5376" s="42"/>
      <c r="AQ5376" s="74"/>
      <c r="AR5376" s="77"/>
      <c r="AT5376" s="497">
        <v>60.08</v>
      </c>
      <c r="AV5376" s="42"/>
      <c r="AW5376" s="74"/>
      <c r="AX5376" s="77"/>
      <c r="BA5376" s="497">
        <v>60.08</v>
      </c>
      <c r="BB5376" s="42"/>
      <c r="BC5376" s="74"/>
      <c r="BD5376" s="77"/>
      <c r="BF5376">
        <v>55.040000000000006</v>
      </c>
      <c r="BH5376" s="42"/>
      <c r="BI5376" s="74"/>
      <c r="BJ5376" s="77"/>
      <c r="BL5376" s="497">
        <v>62.96</v>
      </c>
      <c r="BN5376" s="42"/>
      <c r="BO5376" s="74"/>
      <c r="BP5376" s="77"/>
      <c r="BR5376" s="497">
        <v>60.980000000000004</v>
      </c>
      <c r="BT5376" s="42"/>
    </row>
    <row r="5377" spans="1:72" x14ac:dyDescent="0.25">
      <c r="A5377" s="90">
        <v>34923</v>
      </c>
      <c r="B5377" s="20">
        <v>0.29166666666666669</v>
      </c>
      <c r="D5377">
        <v>71.960000000000008</v>
      </c>
      <c r="E5377" t="str">
        <f t="shared" si="202"/>
        <v>SATURDAY</v>
      </c>
      <c r="F5377" t="e">
        <f t="shared" si="203"/>
        <v>#N/A</v>
      </c>
      <c r="G5377" s="74">
        <v>32001</v>
      </c>
      <c r="H5377" s="77">
        <v>0.29166666666666669</v>
      </c>
      <c r="J5377">
        <v>64.94</v>
      </c>
      <c r="M5377" s="74">
        <v>34558</v>
      </c>
      <c r="N5377" s="77">
        <v>0.29166666666666669</v>
      </c>
      <c r="P5377">
        <v>63.86</v>
      </c>
      <c r="S5377" s="74">
        <v>34923</v>
      </c>
      <c r="T5377" s="77">
        <v>0.29166666666666669</v>
      </c>
      <c r="V5377">
        <v>73.94</v>
      </c>
      <c r="X5377" s="42"/>
      <c r="AB5377">
        <v>70.8</v>
      </c>
      <c r="AC5377">
        <v>73.94</v>
      </c>
      <c r="AE5377" s="74"/>
      <c r="AF5377" s="77"/>
      <c r="AH5377" s="497">
        <v>64.94</v>
      </c>
      <c r="AJ5377" s="42"/>
      <c r="AK5377" s="74"/>
      <c r="AL5377" s="77"/>
      <c r="AN5377" s="497">
        <v>60.08</v>
      </c>
      <c r="AP5377" s="42"/>
      <c r="AQ5377" s="74"/>
      <c r="AR5377" s="77"/>
      <c r="AT5377" s="497">
        <v>62.06</v>
      </c>
      <c r="AV5377" s="42"/>
      <c r="AW5377" s="74"/>
      <c r="AX5377" s="77"/>
      <c r="BA5377" s="497">
        <v>60.08</v>
      </c>
      <c r="BB5377" s="42"/>
      <c r="BC5377" s="74"/>
      <c r="BD5377" s="77"/>
      <c r="BF5377">
        <v>59</v>
      </c>
      <c r="BH5377" s="42"/>
      <c r="BI5377" s="74"/>
      <c r="BJ5377" s="77"/>
      <c r="BL5377" s="497">
        <v>64.94</v>
      </c>
      <c r="BN5377" s="42"/>
      <c r="BO5377" s="74"/>
      <c r="BP5377" s="77"/>
      <c r="BR5377" s="497">
        <v>62.96</v>
      </c>
      <c r="BT5377" s="42"/>
    </row>
    <row r="5378" spans="1:72" x14ac:dyDescent="0.25">
      <c r="A5378" s="90">
        <v>34923</v>
      </c>
      <c r="B5378" s="20">
        <v>0.33333333333333331</v>
      </c>
      <c r="D5378">
        <v>73.039999999999992</v>
      </c>
      <c r="E5378" t="str">
        <f t="shared" si="202"/>
        <v>SATURDAY</v>
      </c>
      <c r="F5378" t="e">
        <f t="shared" si="203"/>
        <v>#N/A</v>
      </c>
      <c r="G5378" s="74">
        <v>32001</v>
      </c>
      <c r="H5378" s="77">
        <v>0.33333333333333331</v>
      </c>
      <c r="J5378">
        <v>68</v>
      </c>
      <c r="M5378" s="74">
        <v>34558</v>
      </c>
      <c r="N5378" s="77">
        <v>0.33333333333333331</v>
      </c>
      <c r="P5378">
        <v>65.84</v>
      </c>
      <c r="S5378" s="74">
        <v>34923</v>
      </c>
      <c r="T5378" s="77">
        <v>0.33333333333333331</v>
      </c>
      <c r="V5378">
        <v>78.080000000000013</v>
      </c>
      <c r="X5378" s="42"/>
      <c r="AB5378">
        <v>72.8</v>
      </c>
      <c r="AC5378">
        <v>77</v>
      </c>
      <c r="AE5378" s="74"/>
      <c r="AF5378" s="77"/>
      <c r="AH5378" s="497">
        <v>66.92</v>
      </c>
      <c r="AJ5378" s="42"/>
      <c r="AK5378" s="74"/>
      <c r="AL5378" s="77"/>
      <c r="AN5378" s="497">
        <v>64.039999999999992</v>
      </c>
      <c r="AP5378" s="42"/>
      <c r="AQ5378" s="74"/>
      <c r="AR5378" s="77"/>
      <c r="AT5378" s="497">
        <v>64.94</v>
      </c>
      <c r="AV5378" s="42"/>
      <c r="AW5378" s="74"/>
      <c r="AX5378" s="77"/>
      <c r="BA5378" s="497">
        <v>60.980000000000004</v>
      </c>
      <c r="BB5378" s="42"/>
      <c r="BC5378" s="74"/>
      <c r="BD5378" s="77"/>
      <c r="BF5378">
        <v>62.96</v>
      </c>
      <c r="BH5378" s="42"/>
      <c r="BI5378" s="74"/>
      <c r="BJ5378" s="77"/>
      <c r="BL5378" s="497">
        <v>66.92</v>
      </c>
      <c r="BN5378" s="42"/>
      <c r="BO5378" s="74"/>
      <c r="BP5378" s="77"/>
      <c r="BR5378" s="497">
        <v>64.039999999999992</v>
      </c>
      <c r="BT5378" s="42"/>
    </row>
    <row r="5379" spans="1:72" x14ac:dyDescent="0.25">
      <c r="A5379" s="90">
        <v>34923</v>
      </c>
      <c r="B5379" s="20">
        <v>0.375</v>
      </c>
      <c r="D5379">
        <v>75.02</v>
      </c>
      <c r="E5379" t="str">
        <f t="shared" si="202"/>
        <v>SATURDAY</v>
      </c>
      <c r="F5379" t="e">
        <f t="shared" si="203"/>
        <v>#N/A</v>
      </c>
      <c r="G5379" s="74">
        <v>32001</v>
      </c>
      <c r="H5379" s="77">
        <v>0.375</v>
      </c>
      <c r="J5379">
        <v>69.98</v>
      </c>
      <c r="M5379" s="74">
        <v>34558</v>
      </c>
      <c r="N5379" s="77">
        <v>0.375</v>
      </c>
      <c r="P5379">
        <v>68</v>
      </c>
      <c r="S5379" s="74">
        <v>34923</v>
      </c>
      <c r="T5379" s="77">
        <v>0.375</v>
      </c>
      <c r="V5379">
        <v>78.98</v>
      </c>
      <c r="X5379" s="42"/>
      <c r="AB5379">
        <v>74.7</v>
      </c>
      <c r="AC5379">
        <v>80.06</v>
      </c>
      <c r="AE5379" s="74"/>
      <c r="AF5379" s="77"/>
      <c r="AH5379" s="497">
        <v>68.900000000000006</v>
      </c>
      <c r="AJ5379" s="42"/>
      <c r="AK5379" s="74"/>
      <c r="AL5379" s="77"/>
      <c r="AN5379" s="497">
        <v>66.02</v>
      </c>
      <c r="AP5379" s="42"/>
      <c r="AQ5379" s="74"/>
      <c r="AR5379" s="77"/>
      <c r="AT5379" s="497">
        <v>66.02</v>
      </c>
      <c r="AV5379" s="42"/>
      <c r="AW5379" s="74"/>
      <c r="AX5379" s="77"/>
      <c r="BA5379" s="497">
        <v>62.06</v>
      </c>
      <c r="BB5379" s="42"/>
      <c r="BC5379" s="74"/>
      <c r="BD5379" s="77"/>
      <c r="BF5379">
        <v>66.02</v>
      </c>
      <c r="BH5379" s="42"/>
      <c r="BI5379" s="74"/>
      <c r="BJ5379" s="77"/>
      <c r="BL5379" s="497">
        <v>69.080000000000013</v>
      </c>
      <c r="BN5379" s="42"/>
      <c r="BO5379" s="74"/>
      <c r="BP5379" s="77"/>
      <c r="BR5379" s="497">
        <v>69.080000000000013</v>
      </c>
      <c r="BT5379" s="42"/>
    </row>
    <row r="5380" spans="1:72" x14ac:dyDescent="0.25">
      <c r="A5380" s="90">
        <v>34923</v>
      </c>
      <c r="B5380" s="20">
        <v>0.41666666666666669</v>
      </c>
      <c r="D5380">
        <v>78.080000000000013</v>
      </c>
      <c r="E5380" t="str">
        <f t="shared" si="202"/>
        <v>SATURDAY</v>
      </c>
      <c r="F5380" t="e">
        <f t="shared" si="203"/>
        <v>#N/A</v>
      </c>
      <c r="G5380" s="74">
        <v>32001</v>
      </c>
      <c r="H5380" s="77">
        <v>0.41666666666666669</v>
      </c>
      <c r="J5380">
        <v>71.06</v>
      </c>
      <c r="M5380" s="74">
        <v>34558</v>
      </c>
      <c r="N5380" s="77">
        <v>0.41666666666666669</v>
      </c>
      <c r="P5380">
        <v>69.98</v>
      </c>
      <c r="S5380" s="74">
        <v>34923</v>
      </c>
      <c r="T5380" s="77">
        <v>0.41666666666666669</v>
      </c>
      <c r="V5380">
        <v>80.960000000000008</v>
      </c>
      <c r="X5380" s="42"/>
      <c r="AB5380">
        <v>76.599999999999994</v>
      </c>
      <c r="AC5380">
        <v>82.94</v>
      </c>
      <c r="AE5380" s="74"/>
      <c r="AF5380" s="77"/>
      <c r="AH5380" s="497">
        <v>71.960000000000008</v>
      </c>
      <c r="AJ5380" s="42"/>
      <c r="AK5380" s="74"/>
      <c r="AL5380" s="77"/>
      <c r="AN5380" s="497">
        <v>69.080000000000013</v>
      </c>
      <c r="AP5380" s="42"/>
      <c r="AQ5380" s="74"/>
      <c r="AR5380" s="77"/>
      <c r="AT5380" s="497">
        <v>69.080000000000013</v>
      </c>
      <c r="AV5380" s="42"/>
      <c r="AW5380" s="74"/>
      <c r="AX5380" s="77"/>
      <c r="BA5380" s="497">
        <v>62.96</v>
      </c>
      <c r="BB5380" s="42"/>
      <c r="BC5380" s="74"/>
      <c r="BD5380" s="77"/>
      <c r="BF5380">
        <v>71.06</v>
      </c>
      <c r="BH5380" s="42"/>
      <c r="BI5380" s="74"/>
      <c r="BJ5380" s="77"/>
      <c r="BL5380" s="497">
        <v>73.94</v>
      </c>
      <c r="BN5380" s="42"/>
      <c r="BO5380" s="74"/>
      <c r="BP5380" s="77"/>
      <c r="BR5380" s="497">
        <v>73.039999999999992</v>
      </c>
      <c r="BT5380" s="42"/>
    </row>
    <row r="5381" spans="1:72" x14ac:dyDescent="0.25">
      <c r="A5381" s="90">
        <v>34923</v>
      </c>
      <c r="B5381" s="20">
        <v>0.45833333333333331</v>
      </c>
      <c r="D5381">
        <v>80.06</v>
      </c>
      <c r="E5381" t="str">
        <f t="shared" si="202"/>
        <v>SATURDAY</v>
      </c>
      <c r="F5381" t="e">
        <f t="shared" si="203"/>
        <v>#N/A</v>
      </c>
      <c r="G5381" s="74">
        <v>32001</v>
      </c>
      <c r="H5381" s="77">
        <v>0.45833333333333331</v>
      </c>
      <c r="J5381">
        <v>73.039999999999992</v>
      </c>
      <c r="M5381" s="74">
        <v>34558</v>
      </c>
      <c r="N5381" s="77">
        <v>0.45833333333333331</v>
      </c>
      <c r="P5381">
        <v>70.88</v>
      </c>
      <c r="S5381" s="74">
        <v>34923</v>
      </c>
      <c r="T5381" s="77">
        <v>0.45833333333333331</v>
      </c>
      <c r="V5381">
        <v>82.94</v>
      </c>
      <c r="X5381" s="42"/>
      <c r="AB5381">
        <v>78.099999999999994</v>
      </c>
      <c r="AC5381">
        <v>84.02</v>
      </c>
      <c r="AE5381" s="74"/>
      <c r="AF5381" s="77"/>
      <c r="AH5381" s="497">
        <v>74.84</v>
      </c>
      <c r="AJ5381" s="42"/>
      <c r="AK5381" s="74"/>
      <c r="AL5381" s="77"/>
      <c r="AN5381" s="497">
        <v>71.960000000000008</v>
      </c>
      <c r="AP5381" s="42"/>
      <c r="AQ5381" s="74"/>
      <c r="AR5381" s="77"/>
      <c r="AT5381" s="497">
        <v>71.06</v>
      </c>
      <c r="AV5381" s="42"/>
      <c r="AW5381" s="74"/>
      <c r="AX5381" s="77"/>
      <c r="BA5381" s="497">
        <v>64.94</v>
      </c>
      <c r="BB5381" s="42"/>
      <c r="BC5381" s="74"/>
      <c r="BD5381" s="77"/>
      <c r="BF5381">
        <v>71.06</v>
      </c>
      <c r="BH5381" s="42"/>
      <c r="BI5381" s="74"/>
      <c r="BJ5381" s="77"/>
      <c r="BL5381" s="497">
        <v>78.080000000000013</v>
      </c>
      <c r="BN5381" s="42"/>
      <c r="BO5381" s="74"/>
      <c r="BP5381" s="77"/>
      <c r="BR5381" s="497">
        <v>77</v>
      </c>
      <c r="BT5381" s="42"/>
    </row>
    <row r="5382" spans="1:72" x14ac:dyDescent="0.25">
      <c r="A5382" s="90">
        <v>34923</v>
      </c>
      <c r="B5382" s="20">
        <v>0.5</v>
      </c>
      <c r="D5382">
        <v>82.039999999999992</v>
      </c>
      <c r="E5382" t="str">
        <f t="shared" si="202"/>
        <v>SATURDAY</v>
      </c>
      <c r="F5382" t="e">
        <f t="shared" si="203"/>
        <v>#N/A</v>
      </c>
      <c r="G5382" s="74">
        <v>32001</v>
      </c>
      <c r="H5382" s="77">
        <v>0.5</v>
      </c>
      <c r="J5382">
        <v>75.02</v>
      </c>
      <c r="M5382" s="74">
        <v>34558</v>
      </c>
      <c r="N5382" s="77">
        <v>0.5</v>
      </c>
      <c r="P5382">
        <v>74.84</v>
      </c>
      <c r="S5382" s="74">
        <v>34923</v>
      </c>
      <c r="T5382" s="77">
        <v>0.5</v>
      </c>
      <c r="V5382">
        <v>84.92</v>
      </c>
      <c r="X5382" s="42"/>
      <c r="AB5382">
        <v>79.2</v>
      </c>
      <c r="AC5382">
        <v>84.92</v>
      </c>
      <c r="AE5382" s="74"/>
      <c r="AF5382" s="77"/>
      <c r="AH5382" s="497">
        <v>75.92</v>
      </c>
      <c r="AJ5382" s="42"/>
      <c r="AK5382" s="74"/>
      <c r="AL5382" s="77"/>
      <c r="AN5382" s="497">
        <v>75.02</v>
      </c>
      <c r="AP5382" s="42"/>
      <c r="AQ5382" s="74"/>
      <c r="AR5382" s="77"/>
      <c r="AT5382" s="497">
        <v>73.039999999999992</v>
      </c>
      <c r="AV5382" s="42"/>
      <c r="AW5382" s="74"/>
      <c r="AX5382" s="77"/>
      <c r="BA5382" s="497">
        <v>68</v>
      </c>
      <c r="BB5382" s="42"/>
      <c r="BC5382" s="74"/>
      <c r="BD5382" s="77"/>
      <c r="BF5382">
        <v>73.94</v>
      </c>
      <c r="BH5382" s="42"/>
      <c r="BI5382" s="74"/>
      <c r="BJ5382" s="77"/>
      <c r="BL5382" s="497">
        <v>78.98</v>
      </c>
      <c r="BN5382" s="42"/>
      <c r="BO5382" s="74"/>
      <c r="BP5382" s="77"/>
      <c r="BR5382" s="497">
        <v>78.98</v>
      </c>
      <c r="BT5382" s="42"/>
    </row>
    <row r="5383" spans="1:72" x14ac:dyDescent="0.25">
      <c r="A5383" s="90">
        <v>34923</v>
      </c>
      <c r="B5383" s="20">
        <v>0.54166666666666663</v>
      </c>
      <c r="D5383">
        <v>82.94</v>
      </c>
      <c r="E5383" t="str">
        <f t="shared" si="202"/>
        <v>SATURDAY</v>
      </c>
      <c r="F5383" t="e">
        <f t="shared" si="203"/>
        <v>#N/A</v>
      </c>
      <c r="G5383" s="74">
        <v>32001</v>
      </c>
      <c r="H5383" s="77">
        <v>0.54166666666666663</v>
      </c>
      <c r="J5383">
        <v>75.92</v>
      </c>
      <c r="M5383" s="74">
        <v>34558</v>
      </c>
      <c r="N5383" s="77">
        <v>0.54166666666666663</v>
      </c>
      <c r="P5383">
        <v>75.92</v>
      </c>
      <c r="S5383" s="74">
        <v>34923</v>
      </c>
      <c r="T5383" s="77">
        <v>0.54166666666666663</v>
      </c>
      <c r="V5383">
        <v>84.02</v>
      </c>
      <c r="X5383" s="42"/>
      <c r="AB5383">
        <v>80</v>
      </c>
      <c r="AC5383">
        <v>86</v>
      </c>
      <c r="AE5383" s="74"/>
      <c r="AF5383" s="77"/>
      <c r="AH5383" s="497">
        <v>78.98</v>
      </c>
      <c r="AJ5383" s="42"/>
      <c r="AK5383" s="74"/>
      <c r="AL5383" s="77"/>
      <c r="AN5383" s="497">
        <v>75.92</v>
      </c>
      <c r="AP5383" s="42"/>
      <c r="AQ5383" s="74"/>
      <c r="AR5383" s="77"/>
      <c r="AT5383" s="497">
        <v>73.94</v>
      </c>
      <c r="AV5383" s="42"/>
      <c r="AW5383" s="74"/>
      <c r="AX5383" s="77"/>
      <c r="BA5383" s="497">
        <v>71.960000000000008</v>
      </c>
      <c r="BB5383" s="42"/>
      <c r="BC5383" s="74"/>
      <c r="BD5383" s="77"/>
      <c r="BF5383">
        <v>75.02</v>
      </c>
      <c r="BH5383" s="42"/>
      <c r="BI5383" s="74"/>
      <c r="BJ5383" s="77"/>
      <c r="BL5383" s="497">
        <v>80.960000000000008</v>
      </c>
      <c r="BN5383" s="42"/>
      <c r="BO5383" s="74"/>
      <c r="BP5383" s="77"/>
      <c r="BR5383" s="497">
        <v>78.98</v>
      </c>
      <c r="BT5383" s="42"/>
    </row>
    <row r="5384" spans="1:72" x14ac:dyDescent="0.25">
      <c r="A5384" s="90">
        <v>34923</v>
      </c>
      <c r="B5384" s="20">
        <v>0.58333333333333337</v>
      </c>
      <c r="D5384">
        <v>84.02</v>
      </c>
      <c r="E5384" t="str">
        <f t="shared" si="202"/>
        <v>SATURDAY</v>
      </c>
      <c r="F5384" t="e">
        <f t="shared" si="203"/>
        <v>#N/A</v>
      </c>
      <c r="G5384" s="74">
        <v>32001</v>
      </c>
      <c r="H5384" s="77">
        <v>0.58333333333333337</v>
      </c>
      <c r="J5384">
        <v>77</v>
      </c>
      <c r="M5384" s="74">
        <v>34558</v>
      </c>
      <c r="N5384" s="77">
        <v>0.58333333333333337</v>
      </c>
      <c r="P5384">
        <v>75.92</v>
      </c>
      <c r="S5384" s="74">
        <v>34923</v>
      </c>
      <c r="T5384" s="77">
        <v>0.58333333333333337</v>
      </c>
      <c r="V5384">
        <v>84.02</v>
      </c>
      <c r="X5384" s="42"/>
      <c r="AB5384">
        <v>80.400000000000006</v>
      </c>
      <c r="AC5384">
        <v>87.080000000000013</v>
      </c>
      <c r="AE5384" s="74"/>
      <c r="AF5384" s="77"/>
      <c r="AH5384" s="497">
        <v>79.88</v>
      </c>
      <c r="AJ5384" s="42"/>
      <c r="AK5384" s="74"/>
      <c r="AL5384" s="77"/>
      <c r="AN5384" s="497">
        <v>77</v>
      </c>
      <c r="AP5384" s="42"/>
      <c r="AQ5384" s="74"/>
      <c r="AR5384" s="77"/>
      <c r="AT5384" s="497">
        <v>75.02</v>
      </c>
      <c r="AV5384" s="42"/>
      <c r="AW5384" s="74"/>
      <c r="AX5384" s="77"/>
      <c r="BA5384" s="497">
        <v>71.06</v>
      </c>
      <c r="BB5384" s="42"/>
      <c r="BC5384" s="74"/>
      <c r="BD5384" s="77"/>
      <c r="BF5384">
        <v>75.92</v>
      </c>
      <c r="BH5384" s="42"/>
      <c r="BI5384" s="74"/>
      <c r="BJ5384" s="77"/>
      <c r="BL5384" s="497">
        <v>80.960000000000008</v>
      </c>
      <c r="BN5384" s="42"/>
      <c r="BO5384" s="74"/>
      <c r="BP5384" s="77"/>
      <c r="BR5384" s="497">
        <v>78.98</v>
      </c>
      <c r="BT5384" s="42"/>
    </row>
    <row r="5385" spans="1:72" x14ac:dyDescent="0.25">
      <c r="A5385" s="90">
        <v>34923</v>
      </c>
      <c r="B5385" s="20">
        <v>0.625</v>
      </c>
      <c r="D5385">
        <v>82.94</v>
      </c>
      <c r="E5385" t="str">
        <f t="shared" si="202"/>
        <v>SATURDAY</v>
      </c>
      <c r="F5385" t="e">
        <f t="shared" si="203"/>
        <v>#N/A</v>
      </c>
      <c r="G5385" s="74">
        <v>32001</v>
      </c>
      <c r="H5385" s="77">
        <v>0.625</v>
      </c>
      <c r="J5385">
        <v>78.080000000000013</v>
      </c>
      <c r="M5385" s="74">
        <v>34558</v>
      </c>
      <c r="N5385" s="77">
        <v>0.625</v>
      </c>
      <c r="P5385">
        <v>74.84</v>
      </c>
      <c r="S5385" s="74">
        <v>34923</v>
      </c>
      <c r="T5385" s="77">
        <v>0.625</v>
      </c>
      <c r="V5385">
        <v>84.02</v>
      </c>
      <c r="X5385" s="42"/>
      <c r="AB5385">
        <v>80.5</v>
      </c>
      <c r="AC5385">
        <v>86</v>
      </c>
      <c r="AE5385" s="74"/>
      <c r="AF5385" s="77"/>
      <c r="AH5385" s="497">
        <v>80.960000000000008</v>
      </c>
      <c r="AJ5385" s="42"/>
      <c r="AK5385" s="74"/>
      <c r="AL5385" s="77"/>
      <c r="AN5385" s="497">
        <v>77</v>
      </c>
      <c r="AP5385" s="42"/>
      <c r="AQ5385" s="74"/>
      <c r="AR5385" s="77"/>
      <c r="AT5385" s="497">
        <v>75.02</v>
      </c>
      <c r="AV5385" s="42"/>
      <c r="AW5385" s="74"/>
      <c r="AX5385" s="77"/>
      <c r="BA5385" s="497">
        <v>73.039999999999992</v>
      </c>
      <c r="BB5385" s="42"/>
      <c r="BC5385" s="74"/>
      <c r="BD5385" s="77"/>
      <c r="BF5385">
        <v>77</v>
      </c>
      <c r="BH5385" s="42"/>
      <c r="BI5385" s="74"/>
      <c r="BJ5385" s="77"/>
      <c r="BL5385" s="497">
        <v>78.080000000000013</v>
      </c>
      <c r="BN5385" s="42"/>
      <c r="BO5385" s="74"/>
      <c r="BP5385" s="77"/>
      <c r="BR5385" s="497">
        <v>80.960000000000008</v>
      </c>
      <c r="BT5385" s="42"/>
    </row>
    <row r="5386" spans="1:72" x14ac:dyDescent="0.25">
      <c r="A5386" s="90">
        <v>34923</v>
      </c>
      <c r="B5386" s="20">
        <v>0.66666666666666663</v>
      </c>
      <c r="D5386">
        <v>84.02</v>
      </c>
      <c r="E5386" t="str">
        <f t="shared" si="202"/>
        <v>SATURDAY</v>
      </c>
      <c r="F5386" t="e">
        <f t="shared" si="203"/>
        <v>#N/A</v>
      </c>
      <c r="G5386" s="74">
        <v>32001</v>
      </c>
      <c r="H5386" s="77">
        <v>0.66666666666666663</v>
      </c>
      <c r="J5386">
        <v>78.080000000000013</v>
      </c>
      <c r="M5386" s="74">
        <v>34558</v>
      </c>
      <c r="N5386" s="77">
        <v>0.66666666666666663</v>
      </c>
      <c r="P5386">
        <v>73.94</v>
      </c>
      <c r="S5386" s="74">
        <v>34923</v>
      </c>
      <c r="T5386" s="77">
        <v>0.66666666666666663</v>
      </c>
      <c r="V5386">
        <v>82.039999999999992</v>
      </c>
      <c r="X5386" s="42"/>
      <c r="AB5386">
        <v>80.099999999999994</v>
      </c>
      <c r="AC5386">
        <v>84.02</v>
      </c>
      <c r="AE5386" s="74"/>
      <c r="AF5386" s="77"/>
      <c r="AH5386" s="497">
        <v>79.88</v>
      </c>
      <c r="AJ5386" s="42"/>
      <c r="AK5386" s="74"/>
      <c r="AL5386" s="77"/>
      <c r="AN5386" s="497">
        <v>77</v>
      </c>
      <c r="AP5386" s="42"/>
      <c r="AQ5386" s="74"/>
      <c r="AR5386" s="77"/>
      <c r="AT5386" s="497">
        <v>75.02</v>
      </c>
      <c r="AV5386" s="42"/>
      <c r="AW5386" s="74"/>
      <c r="AX5386" s="77"/>
      <c r="BA5386" s="497">
        <v>69.98</v>
      </c>
      <c r="BB5386" s="42"/>
      <c r="BC5386" s="74"/>
      <c r="BD5386" s="77"/>
      <c r="BF5386">
        <v>77</v>
      </c>
      <c r="BH5386" s="42"/>
      <c r="BI5386" s="74"/>
      <c r="BJ5386" s="77"/>
      <c r="BL5386" s="497">
        <v>78.98</v>
      </c>
      <c r="BN5386" s="42"/>
      <c r="BO5386" s="74"/>
      <c r="BP5386" s="77"/>
      <c r="BR5386" s="497">
        <v>80.06</v>
      </c>
      <c r="BT5386" s="42"/>
    </row>
    <row r="5387" spans="1:72" x14ac:dyDescent="0.25">
      <c r="A5387" s="90">
        <v>34923</v>
      </c>
      <c r="B5387" s="20">
        <v>0.70833333333333337</v>
      </c>
      <c r="D5387">
        <v>82.94</v>
      </c>
      <c r="E5387" t="str">
        <f t="shared" si="202"/>
        <v>SATURDAY</v>
      </c>
      <c r="F5387" t="e">
        <f t="shared" si="203"/>
        <v>#N/A</v>
      </c>
      <c r="G5387" s="74">
        <v>32001</v>
      </c>
      <c r="H5387" s="77">
        <v>0.70833333333333337</v>
      </c>
      <c r="J5387">
        <v>77</v>
      </c>
      <c r="M5387" s="74">
        <v>34558</v>
      </c>
      <c r="N5387" s="77">
        <v>0.70833333333333337</v>
      </c>
      <c r="P5387">
        <v>73.94</v>
      </c>
      <c r="S5387" s="74">
        <v>34923</v>
      </c>
      <c r="T5387" s="77">
        <v>0.70833333333333337</v>
      </c>
      <c r="V5387">
        <v>82.039999999999992</v>
      </c>
      <c r="X5387" s="42"/>
      <c r="AB5387">
        <v>79.2</v>
      </c>
      <c r="AC5387">
        <v>82.039999999999992</v>
      </c>
      <c r="AE5387" s="74"/>
      <c r="AF5387" s="77"/>
      <c r="AH5387" s="497">
        <v>78.98</v>
      </c>
      <c r="AJ5387" s="42"/>
      <c r="AK5387" s="74"/>
      <c r="AL5387" s="77"/>
      <c r="AN5387" s="497">
        <v>75.92</v>
      </c>
      <c r="AP5387" s="42"/>
      <c r="AQ5387" s="74"/>
      <c r="AR5387" s="77"/>
      <c r="AT5387" s="497">
        <v>75.02</v>
      </c>
      <c r="AV5387" s="42"/>
      <c r="AW5387" s="74"/>
      <c r="AX5387" s="77"/>
      <c r="BA5387" s="497">
        <v>69.080000000000013</v>
      </c>
      <c r="BB5387" s="42"/>
      <c r="BC5387" s="74"/>
      <c r="BD5387" s="77"/>
      <c r="BF5387">
        <v>77</v>
      </c>
      <c r="BH5387" s="42"/>
      <c r="BI5387" s="74"/>
      <c r="BJ5387" s="77"/>
      <c r="BL5387" s="497">
        <v>77</v>
      </c>
      <c r="BN5387" s="42"/>
      <c r="BO5387" s="74"/>
      <c r="BP5387" s="77"/>
      <c r="BR5387" s="497">
        <v>78.98</v>
      </c>
      <c r="BT5387" s="42"/>
    </row>
    <row r="5388" spans="1:72" x14ac:dyDescent="0.25">
      <c r="A5388" s="90">
        <v>34923</v>
      </c>
      <c r="B5388" s="20">
        <v>0.75</v>
      </c>
      <c r="D5388">
        <v>82.039999999999992</v>
      </c>
      <c r="E5388" t="str">
        <f t="shared" si="202"/>
        <v>SATURDAY</v>
      </c>
      <c r="F5388" t="e">
        <f t="shared" si="203"/>
        <v>#N/A</v>
      </c>
      <c r="G5388" s="74">
        <v>32001</v>
      </c>
      <c r="H5388" s="77">
        <v>0.75</v>
      </c>
      <c r="J5388">
        <v>73.94</v>
      </c>
      <c r="M5388" s="74">
        <v>34558</v>
      </c>
      <c r="N5388" s="77">
        <v>0.75</v>
      </c>
      <c r="P5388">
        <v>72.86</v>
      </c>
      <c r="S5388" s="74">
        <v>34923</v>
      </c>
      <c r="T5388" s="77">
        <v>0.75</v>
      </c>
      <c r="V5388">
        <v>82.94</v>
      </c>
      <c r="X5388" s="42"/>
      <c r="AB5388">
        <v>78.2</v>
      </c>
      <c r="AC5388">
        <v>78.98</v>
      </c>
      <c r="AE5388" s="74"/>
      <c r="AF5388" s="77"/>
      <c r="AH5388" s="497">
        <v>78.98</v>
      </c>
      <c r="AJ5388" s="42"/>
      <c r="AK5388" s="74"/>
      <c r="AL5388" s="77"/>
      <c r="AN5388" s="497">
        <v>73.039999999999992</v>
      </c>
      <c r="AP5388" s="42"/>
      <c r="AQ5388" s="74"/>
      <c r="AR5388" s="77"/>
      <c r="AT5388" s="497">
        <v>73.039999999999992</v>
      </c>
      <c r="AV5388" s="42"/>
      <c r="AW5388" s="74"/>
      <c r="AX5388" s="77"/>
      <c r="BA5388" s="497">
        <v>69.080000000000013</v>
      </c>
      <c r="BB5388" s="42"/>
      <c r="BC5388" s="74"/>
      <c r="BD5388" s="77"/>
      <c r="BF5388">
        <v>73.94</v>
      </c>
      <c r="BH5388" s="42"/>
      <c r="BI5388" s="74"/>
      <c r="BJ5388" s="77"/>
      <c r="BL5388" s="497">
        <v>73.039999999999992</v>
      </c>
      <c r="BN5388" s="42"/>
      <c r="BO5388" s="74"/>
      <c r="BP5388" s="77"/>
      <c r="BR5388" s="497">
        <v>75.02</v>
      </c>
      <c r="BT5388" s="42"/>
    </row>
    <row r="5389" spans="1:72" x14ac:dyDescent="0.25">
      <c r="A5389" s="90">
        <v>34923</v>
      </c>
      <c r="B5389" s="20">
        <v>0.79166666666666663</v>
      </c>
      <c r="D5389">
        <v>80.960000000000008</v>
      </c>
      <c r="E5389" t="str">
        <f t="shared" si="202"/>
        <v>SATURDAY</v>
      </c>
      <c r="F5389" t="e">
        <f t="shared" si="203"/>
        <v>#N/A</v>
      </c>
      <c r="G5389" s="74">
        <v>32001</v>
      </c>
      <c r="H5389" s="77">
        <v>0.79166666666666663</v>
      </c>
      <c r="J5389">
        <v>71.960000000000008</v>
      </c>
      <c r="M5389" s="74">
        <v>34558</v>
      </c>
      <c r="N5389" s="77">
        <v>0.79166666666666663</v>
      </c>
      <c r="P5389">
        <v>70.88</v>
      </c>
      <c r="S5389" s="74">
        <v>34923</v>
      </c>
      <c r="T5389" s="77">
        <v>0.79166666666666663</v>
      </c>
      <c r="V5389">
        <v>89.06</v>
      </c>
      <c r="X5389" s="42"/>
      <c r="AB5389">
        <v>76.8</v>
      </c>
      <c r="AC5389">
        <v>77</v>
      </c>
      <c r="AE5389" s="74"/>
      <c r="AF5389" s="77"/>
      <c r="AH5389" s="497">
        <v>78.98</v>
      </c>
      <c r="AJ5389" s="42"/>
      <c r="AK5389" s="74"/>
      <c r="AL5389" s="77"/>
      <c r="AN5389" s="497">
        <v>69.98</v>
      </c>
      <c r="AP5389" s="42"/>
      <c r="AQ5389" s="74"/>
      <c r="AR5389" s="77"/>
      <c r="AT5389" s="497">
        <v>68</v>
      </c>
      <c r="AV5389" s="42"/>
      <c r="AW5389" s="74"/>
      <c r="AX5389" s="77"/>
      <c r="BA5389" s="497">
        <v>66.92</v>
      </c>
      <c r="BB5389" s="42"/>
      <c r="BC5389" s="74"/>
      <c r="BD5389" s="77"/>
      <c r="BF5389">
        <v>69.080000000000013</v>
      </c>
      <c r="BH5389" s="42"/>
      <c r="BI5389" s="74"/>
      <c r="BJ5389" s="77"/>
      <c r="BL5389" s="497">
        <v>68</v>
      </c>
      <c r="BN5389" s="42"/>
      <c r="BO5389" s="74"/>
      <c r="BP5389" s="77"/>
      <c r="BR5389" s="497">
        <v>71.06</v>
      </c>
      <c r="BT5389" s="42"/>
    </row>
    <row r="5390" spans="1:72" x14ac:dyDescent="0.25">
      <c r="A5390" s="90">
        <v>34923</v>
      </c>
      <c r="B5390" s="20">
        <v>0.83333333333333337</v>
      </c>
      <c r="D5390">
        <v>78.080000000000013</v>
      </c>
      <c r="E5390" t="str">
        <f t="shared" si="202"/>
        <v>SATURDAY</v>
      </c>
      <c r="F5390" t="e">
        <f t="shared" si="203"/>
        <v>#N/A</v>
      </c>
      <c r="G5390" s="74">
        <v>32001</v>
      </c>
      <c r="H5390" s="77">
        <v>0.83333333333333337</v>
      </c>
      <c r="J5390">
        <v>71.06</v>
      </c>
      <c r="M5390" s="74">
        <v>34558</v>
      </c>
      <c r="N5390" s="77">
        <v>0.83333333333333337</v>
      </c>
      <c r="P5390">
        <v>69.98</v>
      </c>
      <c r="S5390" s="74">
        <v>34923</v>
      </c>
      <c r="T5390" s="77">
        <v>0.83333333333333337</v>
      </c>
      <c r="V5390">
        <v>84.92</v>
      </c>
      <c r="X5390" s="42"/>
      <c r="AB5390">
        <v>75.400000000000006</v>
      </c>
      <c r="AC5390">
        <v>75.92</v>
      </c>
      <c r="AE5390" s="74"/>
      <c r="AF5390" s="77"/>
      <c r="AH5390" s="497">
        <v>75.92</v>
      </c>
      <c r="AJ5390" s="42"/>
      <c r="AK5390" s="74"/>
      <c r="AL5390" s="77"/>
      <c r="AN5390" s="497">
        <v>66.92</v>
      </c>
      <c r="AP5390" s="42"/>
      <c r="AQ5390" s="74"/>
      <c r="AR5390" s="77"/>
      <c r="AT5390" s="497">
        <v>62.06</v>
      </c>
      <c r="AV5390" s="42"/>
      <c r="AW5390" s="74"/>
      <c r="AX5390" s="77"/>
      <c r="BA5390" s="497">
        <v>64.039999999999992</v>
      </c>
      <c r="BB5390" s="42"/>
      <c r="BC5390" s="74"/>
      <c r="BD5390" s="77"/>
      <c r="BF5390">
        <v>64.94</v>
      </c>
      <c r="BH5390" s="42"/>
      <c r="BI5390" s="74"/>
      <c r="BJ5390" s="77"/>
      <c r="BL5390" s="497">
        <v>68</v>
      </c>
      <c r="BN5390" s="42"/>
      <c r="BO5390" s="74"/>
      <c r="BP5390" s="77"/>
      <c r="BR5390" s="497">
        <v>68</v>
      </c>
      <c r="BT5390" s="42"/>
    </row>
    <row r="5391" spans="1:72" x14ac:dyDescent="0.25">
      <c r="A5391" s="90">
        <v>34923</v>
      </c>
      <c r="B5391" s="20">
        <v>0.875</v>
      </c>
      <c r="D5391">
        <v>75.92</v>
      </c>
      <c r="E5391" t="str">
        <f t="shared" si="202"/>
        <v>SATURDAY</v>
      </c>
      <c r="F5391" t="e">
        <f t="shared" si="203"/>
        <v>#N/A</v>
      </c>
      <c r="G5391" s="74">
        <v>32001</v>
      </c>
      <c r="H5391" s="77">
        <v>0.875</v>
      </c>
      <c r="J5391">
        <v>71.06</v>
      </c>
      <c r="M5391" s="74">
        <v>34558</v>
      </c>
      <c r="N5391" s="77">
        <v>0.875</v>
      </c>
      <c r="P5391">
        <v>69.98</v>
      </c>
      <c r="S5391" s="74">
        <v>34923</v>
      </c>
      <c r="T5391" s="77">
        <v>0.875</v>
      </c>
      <c r="V5391">
        <v>82.94</v>
      </c>
      <c r="X5391" s="42"/>
      <c r="AB5391">
        <v>74.599999999999994</v>
      </c>
      <c r="AC5391">
        <v>75.92</v>
      </c>
      <c r="AE5391" s="74"/>
      <c r="AF5391" s="77"/>
      <c r="AH5391" s="497">
        <v>73.94</v>
      </c>
      <c r="AJ5391" s="42"/>
      <c r="AK5391" s="74"/>
      <c r="AL5391" s="77"/>
      <c r="AN5391" s="497">
        <v>64.039999999999992</v>
      </c>
      <c r="AP5391" s="42"/>
      <c r="AQ5391" s="74"/>
      <c r="AR5391" s="77"/>
      <c r="AT5391" s="497">
        <v>60.980000000000004</v>
      </c>
      <c r="AV5391" s="42"/>
      <c r="AW5391" s="74"/>
      <c r="AX5391" s="77"/>
      <c r="BA5391" s="497">
        <v>62.06</v>
      </c>
      <c r="BB5391" s="42"/>
      <c r="BC5391" s="74"/>
      <c r="BD5391" s="77"/>
      <c r="BF5391">
        <v>62.96</v>
      </c>
      <c r="BH5391" s="42"/>
      <c r="BI5391" s="74"/>
      <c r="BJ5391" s="77"/>
      <c r="BL5391" s="497">
        <v>68</v>
      </c>
      <c r="BN5391" s="42"/>
      <c r="BO5391" s="74"/>
      <c r="BP5391" s="77"/>
      <c r="BR5391" s="497">
        <v>66.02</v>
      </c>
      <c r="BT5391" s="42"/>
    </row>
    <row r="5392" spans="1:72" x14ac:dyDescent="0.25">
      <c r="A5392" s="90">
        <v>34923</v>
      </c>
      <c r="B5392" s="20">
        <v>0.91666666666666663</v>
      </c>
      <c r="D5392">
        <v>75.02</v>
      </c>
      <c r="E5392" t="str">
        <f t="shared" si="202"/>
        <v>SATURDAY</v>
      </c>
      <c r="F5392" t="e">
        <f t="shared" si="203"/>
        <v>#N/A</v>
      </c>
      <c r="G5392" s="74">
        <v>32001</v>
      </c>
      <c r="H5392" s="77">
        <v>0.91666666666666663</v>
      </c>
      <c r="J5392">
        <v>69.98</v>
      </c>
      <c r="M5392" s="74">
        <v>34558</v>
      </c>
      <c r="N5392" s="77">
        <v>0.91666666666666663</v>
      </c>
      <c r="P5392">
        <v>68.900000000000006</v>
      </c>
      <c r="S5392" s="74">
        <v>34923</v>
      </c>
      <c r="T5392" s="77">
        <v>0.91666666666666663</v>
      </c>
      <c r="V5392">
        <v>82.94</v>
      </c>
      <c r="X5392" s="42"/>
      <c r="AB5392">
        <v>74</v>
      </c>
      <c r="AC5392">
        <v>75.92</v>
      </c>
      <c r="AE5392" s="74"/>
      <c r="AF5392" s="77"/>
      <c r="AH5392" s="497">
        <v>73.94</v>
      </c>
      <c r="AJ5392" s="42"/>
      <c r="AK5392" s="74"/>
      <c r="AL5392" s="77"/>
      <c r="AN5392" s="497">
        <v>62.06</v>
      </c>
      <c r="AP5392" s="42"/>
      <c r="AQ5392" s="74"/>
      <c r="AR5392" s="77"/>
      <c r="AT5392" s="497">
        <v>62.06</v>
      </c>
      <c r="AV5392" s="42"/>
      <c r="AW5392" s="74"/>
      <c r="AX5392" s="77"/>
      <c r="BA5392" s="497">
        <v>62.06</v>
      </c>
      <c r="BB5392" s="42"/>
      <c r="BC5392" s="74"/>
      <c r="BD5392" s="77"/>
      <c r="BF5392">
        <v>60.980000000000004</v>
      </c>
      <c r="BH5392" s="42"/>
      <c r="BI5392" s="74"/>
      <c r="BJ5392" s="77"/>
      <c r="BL5392" s="497">
        <v>68</v>
      </c>
      <c r="BN5392" s="42"/>
      <c r="BO5392" s="74"/>
      <c r="BP5392" s="77"/>
      <c r="BR5392" s="497">
        <v>64.039999999999992</v>
      </c>
      <c r="BT5392" s="42"/>
    </row>
    <row r="5393" spans="1:72" x14ac:dyDescent="0.25">
      <c r="A5393" s="90">
        <v>34923</v>
      </c>
      <c r="B5393" s="20">
        <v>0.95833333333333337</v>
      </c>
      <c r="D5393">
        <v>71.960000000000008</v>
      </c>
      <c r="E5393" t="str">
        <f t="shared" si="202"/>
        <v>SATURDAY</v>
      </c>
      <c r="F5393" t="e">
        <f t="shared" si="203"/>
        <v>#N/A</v>
      </c>
      <c r="G5393" s="74">
        <v>32001</v>
      </c>
      <c r="H5393" s="77">
        <v>0.95833333333333337</v>
      </c>
      <c r="J5393">
        <v>69.080000000000013</v>
      </c>
      <c r="M5393" s="74">
        <v>34558</v>
      </c>
      <c r="N5393" s="77">
        <v>0.95833333333333337</v>
      </c>
      <c r="P5393">
        <v>69.98</v>
      </c>
      <c r="S5393" s="74">
        <v>34923</v>
      </c>
      <c r="T5393" s="77">
        <v>0.95833333333333337</v>
      </c>
      <c r="V5393">
        <v>80.960000000000008</v>
      </c>
      <c r="X5393" s="42"/>
      <c r="AB5393">
        <v>73.599999999999994</v>
      </c>
      <c r="AC5393">
        <v>75.92</v>
      </c>
      <c r="AE5393" s="74"/>
      <c r="AF5393" s="77"/>
      <c r="AH5393" s="497">
        <v>73.94</v>
      </c>
      <c r="AJ5393" s="42"/>
      <c r="AK5393" s="74"/>
      <c r="AL5393" s="77"/>
      <c r="AN5393" s="497">
        <v>60.980000000000004</v>
      </c>
      <c r="AP5393" s="42"/>
      <c r="AQ5393" s="74"/>
      <c r="AR5393" s="77"/>
      <c r="AT5393" s="497">
        <v>59</v>
      </c>
      <c r="AV5393" s="42"/>
      <c r="AW5393" s="74"/>
      <c r="AX5393" s="77"/>
      <c r="BA5393" s="497">
        <v>59</v>
      </c>
      <c r="BB5393" s="42"/>
      <c r="BC5393" s="74"/>
      <c r="BD5393" s="77"/>
      <c r="BF5393">
        <v>60.08</v>
      </c>
      <c r="BH5393" s="42"/>
      <c r="BI5393" s="74"/>
      <c r="BJ5393" s="77"/>
      <c r="BL5393" s="497">
        <v>68</v>
      </c>
      <c r="BN5393" s="42"/>
      <c r="BO5393" s="74"/>
      <c r="BP5393" s="77"/>
      <c r="BR5393" s="497">
        <v>64.039999999999992</v>
      </c>
      <c r="BT5393" s="42"/>
    </row>
    <row r="5394" spans="1:72" x14ac:dyDescent="0.25">
      <c r="A5394" s="90">
        <v>34923</v>
      </c>
      <c r="B5394" s="20">
        <v>1</v>
      </c>
      <c r="D5394">
        <v>71.06</v>
      </c>
      <c r="E5394" t="str">
        <f t="shared" si="202"/>
        <v>SATURDAY</v>
      </c>
      <c r="F5394" t="e">
        <f t="shared" si="203"/>
        <v>#N/A</v>
      </c>
      <c r="G5394" s="74">
        <v>32001</v>
      </c>
      <c r="H5394" s="77">
        <v>1</v>
      </c>
      <c r="J5394">
        <v>68</v>
      </c>
      <c r="M5394" s="74">
        <v>34558</v>
      </c>
      <c r="N5394" s="80">
        <v>1</v>
      </c>
      <c r="P5394">
        <v>69.98</v>
      </c>
      <c r="S5394" s="74">
        <v>34923</v>
      </c>
      <c r="T5394" s="80">
        <v>1</v>
      </c>
      <c r="V5394">
        <v>80.960000000000008</v>
      </c>
      <c r="X5394" s="42"/>
      <c r="AB5394">
        <v>73</v>
      </c>
      <c r="AC5394">
        <v>75.02</v>
      </c>
      <c r="AE5394" s="74"/>
      <c r="AF5394" s="80"/>
      <c r="AH5394" s="497">
        <v>72.86</v>
      </c>
      <c r="AJ5394" s="42"/>
      <c r="AK5394" s="74"/>
      <c r="AL5394" s="80"/>
      <c r="AN5394" s="497">
        <v>59</v>
      </c>
      <c r="AP5394" s="42"/>
      <c r="AQ5394" s="74"/>
      <c r="AR5394" s="80"/>
      <c r="AT5394" s="497">
        <v>55.040000000000006</v>
      </c>
      <c r="AV5394" s="42"/>
      <c r="AW5394" s="74"/>
      <c r="AX5394" s="80"/>
      <c r="BA5394" s="497">
        <v>60.08</v>
      </c>
      <c r="BB5394" s="42"/>
      <c r="BC5394" s="74"/>
      <c r="BD5394" s="80"/>
      <c r="BF5394">
        <v>59</v>
      </c>
      <c r="BH5394" s="42"/>
      <c r="BI5394" s="74"/>
      <c r="BJ5394" s="80"/>
      <c r="BL5394" s="497">
        <v>66.92</v>
      </c>
      <c r="BN5394" s="42"/>
      <c r="BO5394" s="74"/>
      <c r="BP5394" s="80"/>
      <c r="BR5394" s="497">
        <v>66.92</v>
      </c>
      <c r="BT5394" s="42"/>
    </row>
    <row r="5395" spans="1:72" x14ac:dyDescent="0.25">
      <c r="A5395" s="90">
        <v>34924</v>
      </c>
      <c r="B5395" s="20">
        <v>4.1666666666666664E-2</v>
      </c>
      <c r="D5395">
        <v>69.98</v>
      </c>
      <c r="E5395" t="str">
        <f t="shared" ref="E5395:E5458" si="204">IF(COUNTIF($DI$18:$DI$22, WEEKDAY(A5395))=1, "WEEKDAY", IF(WEEKDAY(A5395) = 1, "SUNDAY", "SATURDAY"))</f>
        <v>SUNDAY</v>
      </c>
      <c r="F5395" t="e">
        <f t="shared" si="203"/>
        <v>#N/A</v>
      </c>
      <c r="G5395" s="74">
        <v>32002</v>
      </c>
      <c r="H5395" s="77">
        <v>4.1666666666666664E-2</v>
      </c>
      <c r="J5395">
        <v>68</v>
      </c>
      <c r="M5395" s="74">
        <v>34559</v>
      </c>
      <c r="N5395" s="77">
        <v>4.1666666666666664E-2</v>
      </c>
      <c r="P5395">
        <v>69.98</v>
      </c>
      <c r="S5395" s="74">
        <v>34924</v>
      </c>
      <c r="T5395" s="77">
        <v>4.1666666666666664E-2</v>
      </c>
      <c r="V5395">
        <v>82.039999999999992</v>
      </c>
      <c r="X5395" s="42"/>
      <c r="AB5395">
        <v>72.400000000000006</v>
      </c>
      <c r="AC5395">
        <v>73.94</v>
      </c>
      <c r="AE5395" s="74"/>
      <c r="AF5395" s="77"/>
      <c r="AH5395" s="497">
        <v>72.86</v>
      </c>
      <c r="AJ5395" s="42"/>
      <c r="AK5395" s="74"/>
      <c r="AL5395" s="77"/>
      <c r="AN5395" s="497">
        <v>59</v>
      </c>
      <c r="AP5395" s="42"/>
      <c r="AQ5395" s="74"/>
      <c r="AR5395" s="77"/>
      <c r="AT5395" s="497">
        <v>55.040000000000006</v>
      </c>
      <c r="AV5395" s="42"/>
      <c r="AW5395" s="74"/>
      <c r="AX5395" s="77"/>
      <c r="BA5395" s="497">
        <v>62.06</v>
      </c>
      <c r="BB5395" s="42"/>
      <c r="BC5395" s="74"/>
      <c r="BD5395" s="77"/>
      <c r="BF5395">
        <v>60.08</v>
      </c>
      <c r="BH5395" s="42"/>
      <c r="BI5395" s="74"/>
      <c r="BJ5395" s="77"/>
      <c r="BL5395" s="497">
        <v>68</v>
      </c>
      <c r="BN5395" s="42"/>
      <c r="BO5395" s="74"/>
      <c r="BP5395" s="77"/>
      <c r="BR5395" s="497">
        <v>66.92</v>
      </c>
      <c r="BT5395" s="42"/>
    </row>
    <row r="5396" spans="1:72" x14ac:dyDescent="0.25">
      <c r="A5396" s="90">
        <v>34924</v>
      </c>
      <c r="B5396" s="20">
        <v>8.3333333333333329E-2</v>
      </c>
      <c r="D5396">
        <v>69.080000000000013</v>
      </c>
      <c r="E5396" t="str">
        <f t="shared" si="204"/>
        <v>SUNDAY</v>
      </c>
      <c r="F5396" t="e">
        <f t="shared" si="203"/>
        <v>#N/A</v>
      </c>
      <c r="G5396" s="74">
        <v>32002</v>
      </c>
      <c r="H5396" s="77">
        <v>8.3333333333333329E-2</v>
      </c>
      <c r="J5396">
        <v>66.92</v>
      </c>
      <c r="M5396" s="74">
        <v>34559</v>
      </c>
      <c r="N5396" s="77">
        <v>8.3333333333333329E-2</v>
      </c>
      <c r="P5396">
        <v>68.900000000000006</v>
      </c>
      <c r="S5396" s="74">
        <v>34924</v>
      </c>
      <c r="T5396" s="77">
        <v>8.3333333333333329E-2</v>
      </c>
      <c r="V5396">
        <v>80.06</v>
      </c>
      <c r="X5396" s="42"/>
      <c r="AB5396">
        <v>71.8</v>
      </c>
      <c r="AC5396">
        <v>75.02</v>
      </c>
      <c r="AE5396" s="74"/>
      <c r="AF5396" s="77"/>
      <c r="AH5396" s="497">
        <v>72.86</v>
      </c>
      <c r="AJ5396" s="42"/>
      <c r="AK5396" s="74"/>
      <c r="AL5396" s="77"/>
      <c r="AN5396" s="497">
        <v>59</v>
      </c>
      <c r="AP5396" s="42"/>
      <c r="AQ5396" s="74"/>
      <c r="AR5396" s="77"/>
      <c r="AT5396" s="497">
        <v>51.980000000000004</v>
      </c>
      <c r="AV5396" s="42"/>
      <c r="AW5396" s="74"/>
      <c r="AX5396" s="77"/>
      <c r="BA5396" s="497">
        <v>60.980000000000004</v>
      </c>
      <c r="BB5396" s="42"/>
      <c r="BC5396" s="74"/>
      <c r="BD5396" s="77"/>
      <c r="BF5396">
        <v>57.92</v>
      </c>
      <c r="BH5396" s="42"/>
      <c r="BI5396" s="74"/>
      <c r="BJ5396" s="77"/>
      <c r="BL5396" s="497">
        <v>66.92</v>
      </c>
      <c r="BN5396" s="42"/>
      <c r="BO5396" s="74"/>
      <c r="BP5396" s="77"/>
      <c r="BR5396" s="497">
        <v>66.92</v>
      </c>
      <c r="BT5396" s="42"/>
    </row>
    <row r="5397" spans="1:72" x14ac:dyDescent="0.25">
      <c r="A5397" s="90">
        <v>34924</v>
      </c>
      <c r="B5397" s="20">
        <v>0.125</v>
      </c>
      <c r="D5397">
        <v>69.080000000000013</v>
      </c>
      <c r="E5397" t="str">
        <f t="shared" si="204"/>
        <v>SUNDAY</v>
      </c>
      <c r="F5397" t="e">
        <f t="shared" si="203"/>
        <v>#N/A</v>
      </c>
      <c r="G5397" s="74">
        <v>32002</v>
      </c>
      <c r="H5397" s="77">
        <v>0.125</v>
      </c>
      <c r="J5397">
        <v>66.02</v>
      </c>
      <c r="M5397" s="74">
        <v>34559</v>
      </c>
      <c r="N5397" s="77">
        <v>0.125</v>
      </c>
      <c r="P5397">
        <v>69.98</v>
      </c>
      <c r="S5397" s="74">
        <v>34924</v>
      </c>
      <c r="T5397" s="77">
        <v>0.125</v>
      </c>
      <c r="V5397">
        <v>78.080000000000013</v>
      </c>
      <c r="X5397" s="42"/>
      <c r="AB5397">
        <v>71.3</v>
      </c>
      <c r="AC5397">
        <v>73.039999999999992</v>
      </c>
      <c r="AE5397" s="74"/>
      <c r="AF5397" s="77"/>
      <c r="AH5397" s="497">
        <v>73.94</v>
      </c>
      <c r="AJ5397" s="42"/>
      <c r="AK5397" s="74"/>
      <c r="AL5397" s="77"/>
      <c r="AN5397" s="497">
        <v>57.019999999999996</v>
      </c>
      <c r="AP5397" s="42"/>
      <c r="AQ5397" s="74"/>
      <c r="AR5397" s="77"/>
      <c r="AT5397" s="497">
        <v>51.08</v>
      </c>
      <c r="AV5397" s="42"/>
      <c r="AW5397" s="74"/>
      <c r="AX5397" s="77"/>
      <c r="BA5397" s="497">
        <v>60.08</v>
      </c>
      <c r="BB5397" s="42"/>
      <c r="BC5397" s="74"/>
      <c r="BD5397" s="77"/>
      <c r="BF5397">
        <v>59</v>
      </c>
      <c r="BH5397" s="42"/>
      <c r="BI5397" s="74"/>
      <c r="BJ5397" s="77"/>
      <c r="BL5397" s="497">
        <v>66.92</v>
      </c>
      <c r="BN5397" s="42"/>
      <c r="BO5397" s="74"/>
      <c r="BP5397" s="77"/>
      <c r="BR5397" s="497">
        <v>64.039999999999992</v>
      </c>
      <c r="BT5397" s="42"/>
    </row>
    <row r="5398" spans="1:72" x14ac:dyDescent="0.25">
      <c r="A5398" s="90">
        <v>34924</v>
      </c>
      <c r="B5398" s="20">
        <v>0.16666666666666666</v>
      </c>
      <c r="D5398">
        <v>68</v>
      </c>
      <c r="E5398" t="str">
        <f t="shared" si="204"/>
        <v>SUNDAY</v>
      </c>
      <c r="F5398" t="e">
        <f t="shared" si="203"/>
        <v>#N/A</v>
      </c>
      <c r="G5398" s="74">
        <v>32002</v>
      </c>
      <c r="H5398" s="77">
        <v>0.16666666666666666</v>
      </c>
      <c r="J5398">
        <v>64.94</v>
      </c>
      <c r="M5398" s="74">
        <v>34559</v>
      </c>
      <c r="N5398" s="77">
        <v>0.16666666666666666</v>
      </c>
      <c r="P5398">
        <v>68.900000000000006</v>
      </c>
      <c r="S5398" s="74">
        <v>34924</v>
      </c>
      <c r="T5398" s="77">
        <v>0.16666666666666666</v>
      </c>
      <c r="V5398">
        <v>77</v>
      </c>
      <c r="X5398" s="42"/>
      <c r="AB5398">
        <v>70.8</v>
      </c>
      <c r="AC5398">
        <v>73.94</v>
      </c>
      <c r="AE5398" s="74"/>
      <c r="AF5398" s="77"/>
      <c r="AH5398" s="497">
        <v>73.94</v>
      </c>
      <c r="AJ5398" s="42"/>
      <c r="AK5398" s="74"/>
      <c r="AL5398" s="77"/>
      <c r="AN5398" s="497">
        <v>53.96</v>
      </c>
      <c r="AP5398" s="42"/>
      <c r="AQ5398" s="74"/>
      <c r="AR5398" s="77"/>
      <c r="AT5398" s="497">
        <v>50</v>
      </c>
      <c r="AV5398" s="42"/>
      <c r="AW5398" s="74"/>
      <c r="AX5398" s="77"/>
      <c r="BA5398" s="497">
        <v>60.08</v>
      </c>
      <c r="BB5398" s="42"/>
      <c r="BC5398" s="74"/>
      <c r="BD5398" s="77"/>
      <c r="BF5398">
        <v>59</v>
      </c>
      <c r="BH5398" s="42"/>
      <c r="BI5398" s="74"/>
      <c r="BJ5398" s="77"/>
      <c r="BL5398" s="497">
        <v>66.92</v>
      </c>
      <c r="BN5398" s="42"/>
      <c r="BO5398" s="74"/>
      <c r="BP5398" s="77"/>
      <c r="BR5398" s="497">
        <v>64.039999999999992</v>
      </c>
      <c r="BT5398" s="42"/>
    </row>
    <row r="5399" spans="1:72" x14ac:dyDescent="0.25">
      <c r="A5399" s="90">
        <v>34924</v>
      </c>
      <c r="B5399" s="20">
        <v>0.20833333333333334</v>
      </c>
      <c r="D5399">
        <v>68</v>
      </c>
      <c r="E5399" t="str">
        <f t="shared" si="204"/>
        <v>SUNDAY</v>
      </c>
      <c r="F5399" t="e">
        <f t="shared" si="203"/>
        <v>#N/A</v>
      </c>
      <c r="G5399" s="74">
        <v>32002</v>
      </c>
      <c r="H5399" s="77">
        <v>0.20833333333333334</v>
      </c>
      <c r="J5399">
        <v>64.94</v>
      </c>
      <c r="M5399" s="74">
        <v>34559</v>
      </c>
      <c r="N5399" s="77">
        <v>0.20833333333333334</v>
      </c>
      <c r="P5399">
        <v>69.98</v>
      </c>
      <c r="S5399" s="74">
        <v>34924</v>
      </c>
      <c r="T5399" s="77">
        <v>0.20833333333333334</v>
      </c>
      <c r="V5399">
        <v>75.02</v>
      </c>
      <c r="X5399" s="42"/>
      <c r="AB5399">
        <v>70.3</v>
      </c>
      <c r="AC5399">
        <v>73.039999999999992</v>
      </c>
      <c r="AE5399" s="74"/>
      <c r="AF5399" s="77"/>
      <c r="AH5399" s="497">
        <v>73.94</v>
      </c>
      <c r="AJ5399" s="42"/>
      <c r="AK5399" s="74"/>
      <c r="AL5399" s="77"/>
      <c r="AN5399" s="497">
        <v>53.06</v>
      </c>
      <c r="AP5399" s="42"/>
      <c r="AQ5399" s="74"/>
      <c r="AR5399" s="77"/>
      <c r="AT5399" s="497">
        <v>48.92</v>
      </c>
      <c r="AV5399" s="42"/>
      <c r="AW5399" s="74"/>
      <c r="AX5399" s="77"/>
      <c r="BA5399" s="497">
        <v>57.019999999999996</v>
      </c>
      <c r="BB5399" s="42"/>
      <c r="BC5399" s="74"/>
      <c r="BD5399" s="77"/>
      <c r="BF5399">
        <v>60.08</v>
      </c>
      <c r="BH5399" s="42"/>
      <c r="BI5399" s="74"/>
      <c r="BJ5399" s="77"/>
      <c r="BL5399" s="497">
        <v>68</v>
      </c>
      <c r="BN5399" s="42"/>
      <c r="BO5399" s="74"/>
      <c r="BP5399" s="77"/>
      <c r="BR5399" s="497">
        <v>60.980000000000004</v>
      </c>
      <c r="BT5399" s="42"/>
    </row>
    <row r="5400" spans="1:72" x14ac:dyDescent="0.25">
      <c r="A5400" s="90">
        <v>34924</v>
      </c>
      <c r="B5400" s="20">
        <v>0.25</v>
      </c>
      <c r="D5400">
        <v>69.080000000000013</v>
      </c>
      <c r="E5400" t="str">
        <f t="shared" si="204"/>
        <v>SUNDAY</v>
      </c>
      <c r="F5400" t="e">
        <f t="shared" si="203"/>
        <v>#N/A</v>
      </c>
      <c r="G5400" s="74">
        <v>32002</v>
      </c>
      <c r="H5400" s="77">
        <v>0.25</v>
      </c>
      <c r="J5400">
        <v>66.02</v>
      </c>
      <c r="M5400" s="74">
        <v>34559</v>
      </c>
      <c r="N5400" s="77">
        <v>0.25</v>
      </c>
      <c r="P5400">
        <v>69.98</v>
      </c>
      <c r="S5400" s="74">
        <v>34924</v>
      </c>
      <c r="T5400" s="77">
        <v>0.25</v>
      </c>
      <c r="V5400">
        <v>75.02</v>
      </c>
      <c r="X5400" s="42"/>
      <c r="AB5400">
        <v>70</v>
      </c>
      <c r="AC5400">
        <v>75.02</v>
      </c>
      <c r="AE5400" s="74"/>
      <c r="AF5400" s="77"/>
      <c r="AH5400" s="497">
        <v>73.94</v>
      </c>
      <c r="AJ5400" s="42"/>
      <c r="AK5400" s="74"/>
      <c r="AL5400" s="77"/>
      <c r="AN5400" s="497">
        <v>53.96</v>
      </c>
      <c r="AP5400" s="42"/>
      <c r="AQ5400" s="74"/>
      <c r="AR5400" s="77"/>
      <c r="AT5400" s="497">
        <v>51.08</v>
      </c>
      <c r="AV5400" s="42"/>
      <c r="AW5400" s="74"/>
      <c r="AX5400" s="77"/>
      <c r="BA5400" s="497">
        <v>57.92</v>
      </c>
      <c r="BB5400" s="42"/>
      <c r="BC5400" s="74"/>
      <c r="BD5400" s="77"/>
      <c r="BF5400">
        <v>60.980000000000004</v>
      </c>
      <c r="BH5400" s="42"/>
      <c r="BI5400" s="74"/>
      <c r="BJ5400" s="77"/>
      <c r="BL5400" s="497">
        <v>66.92</v>
      </c>
      <c r="BN5400" s="42"/>
      <c r="BO5400" s="74"/>
      <c r="BP5400" s="77"/>
      <c r="BR5400" s="497">
        <v>64.039999999999992</v>
      </c>
      <c r="BT5400" s="42"/>
    </row>
    <row r="5401" spans="1:72" x14ac:dyDescent="0.25">
      <c r="A5401" s="90">
        <v>34924</v>
      </c>
      <c r="B5401" s="20">
        <v>0.29166666666666669</v>
      </c>
      <c r="D5401">
        <v>68</v>
      </c>
      <c r="E5401" t="str">
        <f t="shared" si="204"/>
        <v>SUNDAY</v>
      </c>
      <c r="F5401" t="e">
        <f t="shared" si="203"/>
        <v>#N/A</v>
      </c>
      <c r="G5401" s="74">
        <v>32002</v>
      </c>
      <c r="H5401" s="77">
        <v>0.29166666666666669</v>
      </c>
      <c r="J5401">
        <v>69.080000000000013</v>
      </c>
      <c r="M5401" s="74">
        <v>34559</v>
      </c>
      <c r="N5401" s="77">
        <v>0.29166666666666669</v>
      </c>
      <c r="P5401">
        <v>72.86</v>
      </c>
      <c r="S5401" s="74">
        <v>34924</v>
      </c>
      <c r="T5401" s="77">
        <v>0.29166666666666669</v>
      </c>
      <c r="V5401">
        <v>77</v>
      </c>
      <c r="X5401" s="42"/>
      <c r="AB5401">
        <v>70.599999999999994</v>
      </c>
      <c r="AC5401">
        <v>77</v>
      </c>
      <c r="AE5401" s="74"/>
      <c r="AF5401" s="77"/>
      <c r="AH5401" s="497">
        <v>77</v>
      </c>
      <c r="AJ5401" s="42"/>
      <c r="AK5401" s="74"/>
      <c r="AL5401" s="77"/>
      <c r="AN5401" s="497">
        <v>60.08</v>
      </c>
      <c r="AP5401" s="42"/>
      <c r="AQ5401" s="74"/>
      <c r="AR5401" s="77"/>
      <c r="AT5401" s="497">
        <v>57.019999999999996</v>
      </c>
      <c r="AV5401" s="42"/>
      <c r="AW5401" s="74"/>
      <c r="AX5401" s="77"/>
      <c r="BA5401" s="497">
        <v>62.06</v>
      </c>
      <c r="BB5401" s="42"/>
      <c r="BC5401" s="74"/>
      <c r="BD5401" s="77"/>
      <c r="BF5401">
        <v>64.039999999999992</v>
      </c>
      <c r="BH5401" s="42"/>
      <c r="BI5401" s="74"/>
      <c r="BJ5401" s="77"/>
      <c r="BL5401" s="497">
        <v>66.92</v>
      </c>
      <c r="BN5401" s="42"/>
      <c r="BO5401" s="74"/>
      <c r="BP5401" s="77"/>
      <c r="BR5401" s="497">
        <v>69.080000000000013</v>
      </c>
      <c r="BT5401" s="42"/>
    </row>
    <row r="5402" spans="1:72" x14ac:dyDescent="0.25">
      <c r="A5402" s="90">
        <v>34924</v>
      </c>
      <c r="B5402" s="20">
        <v>0.33333333333333331</v>
      </c>
      <c r="D5402">
        <v>68</v>
      </c>
      <c r="E5402" t="str">
        <f t="shared" si="204"/>
        <v>SUNDAY</v>
      </c>
      <c r="F5402" t="e">
        <f t="shared" si="203"/>
        <v>#N/A</v>
      </c>
      <c r="G5402" s="74">
        <v>32002</v>
      </c>
      <c r="H5402" s="77">
        <v>0.33333333333333331</v>
      </c>
      <c r="J5402">
        <v>71.06</v>
      </c>
      <c r="M5402" s="74">
        <v>34559</v>
      </c>
      <c r="N5402" s="77">
        <v>0.33333333333333331</v>
      </c>
      <c r="P5402">
        <v>74.84</v>
      </c>
      <c r="S5402" s="74">
        <v>34924</v>
      </c>
      <c r="T5402" s="77">
        <v>0.33333333333333331</v>
      </c>
      <c r="V5402">
        <v>78.98</v>
      </c>
      <c r="X5402" s="42"/>
      <c r="AB5402">
        <v>72.599999999999994</v>
      </c>
      <c r="AC5402">
        <v>80.06</v>
      </c>
      <c r="AE5402" s="74"/>
      <c r="AF5402" s="77"/>
      <c r="AH5402" s="497">
        <v>77.900000000000006</v>
      </c>
      <c r="AJ5402" s="42"/>
      <c r="AK5402" s="74"/>
      <c r="AL5402" s="77"/>
      <c r="AN5402" s="497">
        <v>64.94</v>
      </c>
      <c r="AP5402" s="42"/>
      <c r="AQ5402" s="74"/>
      <c r="AR5402" s="77"/>
      <c r="AT5402" s="497">
        <v>62.96</v>
      </c>
      <c r="AV5402" s="42"/>
      <c r="AW5402" s="74"/>
      <c r="AX5402" s="77"/>
      <c r="BA5402" s="497">
        <v>64.94</v>
      </c>
      <c r="BB5402" s="42"/>
      <c r="BC5402" s="74"/>
      <c r="BD5402" s="77"/>
      <c r="BF5402">
        <v>69.080000000000013</v>
      </c>
      <c r="BH5402" s="42"/>
      <c r="BI5402" s="74"/>
      <c r="BJ5402" s="77"/>
      <c r="BL5402" s="497">
        <v>68</v>
      </c>
      <c r="BN5402" s="42"/>
      <c r="BO5402" s="74"/>
      <c r="BP5402" s="77"/>
      <c r="BR5402" s="497">
        <v>71.06</v>
      </c>
      <c r="BT5402" s="42"/>
    </row>
    <row r="5403" spans="1:72" x14ac:dyDescent="0.25">
      <c r="A5403" s="90">
        <v>34924</v>
      </c>
      <c r="B5403" s="20">
        <v>0.375</v>
      </c>
      <c r="D5403">
        <v>69.98</v>
      </c>
      <c r="E5403" t="str">
        <f t="shared" si="204"/>
        <v>SUNDAY</v>
      </c>
      <c r="F5403" t="e">
        <f t="shared" si="203"/>
        <v>#N/A</v>
      </c>
      <c r="G5403" s="74">
        <v>32002</v>
      </c>
      <c r="H5403" s="77">
        <v>0.375</v>
      </c>
      <c r="J5403">
        <v>73.039999999999992</v>
      </c>
      <c r="M5403" s="74">
        <v>34559</v>
      </c>
      <c r="N5403" s="77">
        <v>0.375</v>
      </c>
      <c r="P5403">
        <v>78.98</v>
      </c>
      <c r="S5403" s="74">
        <v>34924</v>
      </c>
      <c r="T5403" s="77">
        <v>0.375</v>
      </c>
      <c r="V5403">
        <v>82.039999999999992</v>
      </c>
      <c r="X5403" s="42"/>
      <c r="AB5403">
        <v>74.5</v>
      </c>
      <c r="AC5403">
        <v>84.02</v>
      </c>
      <c r="AE5403" s="74"/>
      <c r="AF5403" s="77"/>
      <c r="AH5403" s="497">
        <v>81.86</v>
      </c>
      <c r="AJ5403" s="42"/>
      <c r="AK5403" s="74"/>
      <c r="AL5403" s="77"/>
      <c r="AN5403" s="497">
        <v>69.98</v>
      </c>
      <c r="AP5403" s="42"/>
      <c r="AQ5403" s="74"/>
      <c r="AR5403" s="77"/>
      <c r="AT5403" s="497">
        <v>68</v>
      </c>
      <c r="AV5403" s="42"/>
      <c r="AW5403" s="74"/>
      <c r="AX5403" s="77"/>
      <c r="BA5403" s="497">
        <v>69.080000000000013</v>
      </c>
      <c r="BB5403" s="42"/>
      <c r="BC5403" s="74"/>
      <c r="BD5403" s="77"/>
      <c r="BF5403">
        <v>73.039999999999992</v>
      </c>
      <c r="BH5403" s="42"/>
      <c r="BI5403" s="74"/>
      <c r="BJ5403" s="77"/>
      <c r="BL5403" s="497">
        <v>68</v>
      </c>
      <c r="BN5403" s="42"/>
      <c r="BO5403" s="74"/>
      <c r="BP5403" s="77"/>
      <c r="BR5403" s="497">
        <v>75.92</v>
      </c>
      <c r="BT5403" s="42"/>
    </row>
    <row r="5404" spans="1:72" x14ac:dyDescent="0.25">
      <c r="A5404" s="90">
        <v>34924</v>
      </c>
      <c r="B5404" s="20">
        <v>0.41666666666666669</v>
      </c>
      <c r="D5404">
        <v>71.599999999999994</v>
      </c>
      <c r="E5404" t="str">
        <f t="shared" si="204"/>
        <v>SUNDAY</v>
      </c>
      <c r="F5404" t="e">
        <f t="shared" si="203"/>
        <v>#N/A</v>
      </c>
      <c r="G5404" s="74">
        <v>32002</v>
      </c>
      <c r="H5404" s="77">
        <v>0.41666666666666669</v>
      </c>
      <c r="J5404">
        <v>73.94</v>
      </c>
      <c r="M5404" s="74">
        <v>34559</v>
      </c>
      <c r="N5404" s="77">
        <v>0.41666666666666669</v>
      </c>
      <c r="P5404">
        <v>82.94</v>
      </c>
      <c r="S5404" s="74">
        <v>34924</v>
      </c>
      <c r="T5404" s="77">
        <v>0.41666666666666669</v>
      </c>
      <c r="V5404">
        <v>84.02</v>
      </c>
      <c r="X5404" s="42"/>
      <c r="AB5404">
        <v>76.400000000000006</v>
      </c>
      <c r="AC5404">
        <v>87.98</v>
      </c>
      <c r="AE5404" s="74"/>
      <c r="AF5404" s="77"/>
      <c r="AH5404" s="497">
        <v>82.94</v>
      </c>
      <c r="AJ5404" s="42"/>
      <c r="AK5404" s="74"/>
      <c r="AL5404" s="77"/>
      <c r="AN5404" s="497">
        <v>75.02</v>
      </c>
      <c r="AP5404" s="42"/>
      <c r="AQ5404" s="74"/>
      <c r="AR5404" s="77"/>
      <c r="AT5404" s="497">
        <v>71.06</v>
      </c>
      <c r="AV5404" s="42"/>
      <c r="AW5404" s="74"/>
      <c r="AX5404" s="77"/>
      <c r="BA5404" s="497">
        <v>73.039999999999992</v>
      </c>
      <c r="BB5404" s="42"/>
      <c r="BC5404" s="74"/>
      <c r="BD5404" s="77"/>
      <c r="BF5404">
        <v>77</v>
      </c>
      <c r="BH5404" s="42"/>
      <c r="BI5404" s="74"/>
      <c r="BJ5404" s="77"/>
      <c r="BL5404" s="497">
        <v>68</v>
      </c>
      <c r="BN5404" s="42"/>
      <c r="BO5404" s="74"/>
      <c r="BP5404" s="77"/>
      <c r="BR5404" s="497">
        <v>78.080000000000013</v>
      </c>
      <c r="BT5404" s="42"/>
    </row>
    <row r="5405" spans="1:72" x14ac:dyDescent="0.25">
      <c r="A5405" s="90">
        <v>34924</v>
      </c>
      <c r="B5405" s="20">
        <v>0.45833333333333331</v>
      </c>
      <c r="D5405">
        <v>71.960000000000008</v>
      </c>
      <c r="E5405" t="str">
        <f t="shared" si="204"/>
        <v>SUNDAY</v>
      </c>
      <c r="F5405" t="e">
        <f t="shared" si="203"/>
        <v>#N/A</v>
      </c>
      <c r="G5405" s="74">
        <v>32002</v>
      </c>
      <c r="H5405" s="77">
        <v>0.45833333333333331</v>
      </c>
      <c r="J5405">
        <v>75.92</v>
      </c>
      <c r="M5405" s="74">
        <v>34559</v>
      </c>
      <c r="N5405" s="77">
        <v>0.45833333333333331</v>
      </c>
      <c r="P5405">
        <v>84.92</v>
      </c>
      <c r="S5405" s="74">
        <v>34924</v>
      </c>
      <c r="T5405" s="77">
        <v>0.45833333333333331</v>
      </c>
      <c r="V5405">
        <v>86</v>
      </c>
      <c r="X5405" s="42"/>
      <c r="AB5405">
        <v>77.900000000000006</v>
      </c>
      <c r="AC5405">
        <v>91.039999999999992</v>
      </c>
      <c r="AE5405" s="74"/>
      <c r="AF5405" s="77"/>
      <c r="AH5405" s="497">
        <v>86.9</v>
      </c>
      <c r="AJ5405" s="42"/>
      <c r="AK5405" s="74"/>
      <c r="AL5405" s="77"/>
      <c r="AN5405" s="497">
        <v>78.080000000000013</v>
      </c>
      <c r="AP5405" s="42"/>
      <c r="AQ5405" s="74"/>
      <c r="AR5405" s="77"/>
      <c r="AT5405" s="497">
        <v>75.02</v>
      </c>
      <c r="AV5405" s="42"/>
      <c r="AW5405" s="74"/>
      <c r="AX5405" s="77"/>
      <c r="BA5405" s="497">
        <v>75.02</v>
      </c>
      <c r="BB5405" s="42"/>
      <c r="BC5405" s="74"/>
      <c r="BD5405" s="77"/>
      <c r="BF5405">
        <v>82.039999999999992</v>
      </c>
      <c r="BH5405" s="42"/>
      <c r="BI5405" s="74"/>
      <c r="BJ5405" s="77"/>
      <c r="BL5405" s="497">
        <v>68</v>
      </c>
      <c r="BN5405" s="42"/>
      <c r="BO5405" s="74"/>
      <c r="BP5405" s="77"/>
      <c r="BR5405" s="497">
        <v>80.960000000000008</v>
      </c>
      <c r="BT5405" s="42"/>
    </row>
    <row r="5406" spans="1:72" x14ac:dyDescent="0.25">
      <c r="A5406" s="90">
        <v>34924</v>
      </c>
      <c r="B5406" s="20">
        <v>0.5</v>
      </c>
      <c r="D5406">
        <v>73.94</v>
      </c>
      <c r="E5406" t="str">
        <f t="shared" si="204"/>
        <v>SUNDAY</v>
      </c>
      <c r="F5406" t="e">
        <f t="shared" si="203"/>
        <v>#N/A</v>
      </c>
      <c r="G5406" s="74">
        <v>32002</v>
      </c>
      <c r="H5406" s="77">
        <v>0.5</v>
      </c>
      <c r="J5406">
        <v>75.92</v>
      </c>
      <c r="M5406" s="74">
        <v>34559</v>
      </c>
      <c r="N5406" s="77">
        <v>0.5</v>
      </c>
      <c r="P5406">
        <v>86</v>
      </c>
      <c r="S5406" s="74">
        <v>34924</v>
      </c>
      <c r="T5406" s="77">
        <v>0.5</v>
      </c>
      <c r="V5406">
        <v>87.080000000000013</v>
      </c>
      <c r="X5406" s="42"/>
      <c r="AB5406">
        <v>79.099999999999994</v>
      </c>
      <c r="AC5406">
        <v>87.98</v>
      </c>
      <c r="AE5406" s="74"/>
      <c r="AF5406" s="77"/>
      <c r="AH5406" s="497">
        <v>87.98</v>
      </c>
      <c r="AJ5406" s="42"/>
      <c r="AK5406" s="74"/>
      <c r="AL5406" s="77"/>
      <c r="AN5406" s="497">
        <v>82.039999999999992</v>
      </c>
      <c r="AP5406" s="42"/>
      <c r="AQ5406" s="74"/>
      <c r="AR5406" s="77"/>
      <c r="AT5406" s="497">
        <v>77</v>
      </c>
      <c r="AV5406" s="42"/>
      <c r="AW5406" s="74"/>
      <c r="AX5406" s="77"/>
      <c r="BA5406" s="497">
        <v>75.92</v>
      </c>
      <c r="BB5406" s="42"/>
      <c r="BC5406" s="74"/>
      <c r="BD5406" s="77"/>
      <c r="BF5406">
        <v>84.02</v>
      </c>
      <c r="BH5406" s="42"/>
      <c r="BI5406" s="74"/>
      <c r="BJ5406" s="77"/>
      <c r="BL5406" s="497">
        <v>69.080000000000013</v>
      </c>
      <c r="BN5406" s="42"/>
      <c r="BO5406" s="74"/>
      <c r="BP5406" s="77"/>
      <c r="BR5406" s="497">
        <v>82.039999999999992</v>
      </c>
      <c r="BT5406" s="42"/>
    </row>
    <row r="5407" spans="1:72" x14ac:dyDescent="0.25">
      <c r="A5407" s="90">
        <v>34924</v>
      </c>
      <c r="B5407" s="20">
        <v>0.54166666666666663</v>
      </c>
      <c r="D5407">
        <v>75.02</v>
      </c>
      <c r="E5407" t="str">
        <f t="shared" si="204"/>
        <v>SUNDAY</v>
      </c>
      <c r="F5407" t="e">
        <f t="shared" si="203"/>
        <v>#N/A</v>
      </c>
      <c r="G5407" s="74">
        <v>32002</v>
      </c>
      <c r="H5407" s="77">
        <v>0.54166666666666663</v>
      </c>
      <c r="J5407">
        <v>77</v>
      </c>
      <c r="M5407" s="74">
        <v>34559</v>
      </c>
      <c r="N5407" s="77">
        <v>0.54166666666666663</v>
      </c>
      <c r="P5407">
        <v>88.88</v>
      </c>
      <c r="S5407" s="74">
        <v>34924</v>
      </c>
      <c r="T5407" s="77">
        <v>0.54166666666666663</v>
      </c>
      <c r="V5407">
        <v>87.98</v>
      </c>
      <c r="X5407" s="42"/>
      <c r="AB5407">
        <v>79.8</v>
      </c>
      <c r="AC5407">
        <v>89.06</v>
      </c>
      <c r="AE5407" s="74"/>
      <c r="AF5407" s="77"/>
      <c r="AH5407" s="497">
        <v>86.9</v>
      </c>
      <c r="AJ5407" s="42"/>
      <c r="AK5407" s="74"/>
      <c r="AL5407" s="77"/>
      <c r="AN5407" s="497">
        <v>82.94</v>
      </c>
      <c r="AP5407" s="42"/>
      <c r="AQ5407" s="74"/>
      <c r="AR5407" s="77"/>
      <c r="AT5407" s="497">
        <v>80.06</v>
      </c>
      <c r="AV5407" s="42"/>
      <c r="AW5407" s="74"/>
      <c r="AX5407" s="77"/>
      <c r="BA5407" s="497">
        <v>75.92</v>
      </c>
      <c r="BB5407" s="42"/>
      <c r="BC5407" s="74"/>
      <c r="BD5407" s="77"/>
      <c r="BF5407">
        <v>86</v>
      </c>
      <c r="BH5407" s="42"/>
      <c r="BI5407" s="74"/>
      <c r="BJ5407" s="77"/>
      <c r="BL5407" s="497">
        <v>69.080000000000013</v>
      </c>
      <c r="BN5407" s="42"/>
      <c r="BO5407" s="74"/>
      <c r="BP5407" s="77"/>
      <c r="BR5407" s="497">
        <v>84.02</v>
      </c>
      <c r="BT5407" s="42"/>
    </row>
    <row r="5408" spans="1:72" x14ac:dyDescent="0.25">
      <c r="A5408" s="90">
        <v>34924</v>
      </c>
      <c r="B5408" s="20">
        <v>0.58333333333333337</v>
      </c>
      <c r="D5408">
        <v>75.92</v>
      </c>
      <c r="E5408" t="str">
        <f t="shared" si="204"/>
        <v>SUNDAY</v>
      </c>
      <c r="F5408" t="e">
        <f t="shared" si="203"/>
        <v>#N/A</v>
      </c>
      <c r="G5408" s="74">
        <v>32002</v>
      </c>
      <c r="H5408" s="77">
        <v>0.58333333333333337</v>
      </c>
      <c r="J5408">
        <v>75.02</v>
      </c>
      <c r="M5408" s="74">
        <v>34559</v>
      </c>
      <c r="N5408" s="77">
        <v>0.58333333333333337</v>
      </c>
      <c r="P5408">
        <v>84.92</v>
      </c>
      <c r="S5408" s="74">
        <v>34924</v>
      </c>
      <c r="T5408" s="77">
        <v>0.58333333333333337</v>
      </c>
      <c r="V5408">
        <v>89.06</v>
      </c>
      <c r="X5408" s="42"/>
      <c r="AB5408">
        <v>80.2</v>
      </c>
      <c r="AC5408">
        <v>89.06</v>
      </c>
      <c r="AE5408" s="74"/>
      <c r="AF5408" s="77"/>
      <c r="AH5408" s="497">
        <v>87.98</v>
      </c>
      <c r="AJ5408" s="42"/>
      <c r="AK5408" s="74"/>
      <c r="AL5408" s="77"/>
      <c r="AN5408" s="497">
        <v>82.94</v>
      </c>
      <c r="AP5408" s="42"/>
      <c r="AQ5408" s="74"/>
      <c r="AR5408" s="77"/>
      <c r="AT5408" s="497">
        <v>82.039999999999992</v>
      </c>
      <c r="AV5408" s="42"/>
      <c r="AW5408" s="74"/>
      <c r="AX5408" s="77"/>
      <c r="BA5408" s="497">
        <v>78.080000000000013</v>
      </c>
      <c r="BB5408" s="42"/>
      <c r="BC5408" s="74"/>
      <c r="BD5408" s="77"/>
      <c r="BF5408">
        <v>86</v>
      </c>
      <c r="BH5408" s="42"/>
      <c r="BI5408" s="74"/>
      <c r="BJ5408" s="77"/>
      <c r="BL5408" s="497">
        <v>68</v>
      </c>
      <c r="BN5408" s="42"/>
      <c r="BO5408" s="74"/>
      <c r="BP5408" s="77"/>
      <c r="BR5408" s="497">
        <v>84.92</v>
      </c>
      <c r="BT5408" s="42"/>
    </row>
    <row r="5409" spans="1:72" x14ac:dyDescent="0.25">
      <c r="A5409" s="90">
        <v>34924</v>
      </c>
      <c r="B5409" s="20">
        <v>0.625</v>
      </c>
      <c r="D5409">
        <v>78.080000000000013</v>
      </c>
      <c r="E5409" t="str">
        <f t="shared" si="204"/>
        <v>SUNDAY</v>
      </c>
      <c r="F5409" t="e">
        <f t="shared" si="203"/>
        <v>#N/A</v>
      </c>
      <c r="G5409" s="74">
        <v>32002</v>
      </c>
      <c r="H5409" s="77">
        <v>0.625</v>
      </c>
      <c r="J5409">
        <v>75.02</v>
      </c>
      <c r="M5409" s="74">
        <v>34559</v>
      </c>
      <c r="N5409" s="77">
        <v>0.625</v>
      </c>
      <c r="P5409">
        <v>81.86</v>
      </c>
      <c r="S5409" s="74">
        <v>34924</v>
      </c>
      <c r="T5409" s="77">
        <v>0.625</v>
      </c>
      <c r="V5409">
        <v>87.080000000000013</v>
      </c>
      <c r="X5409" s="42"/>
      <c r="AB5409">
        <v>80.3</v>
      </c>
      <c r="AC5409">
        <v>87.080000000000013</v>
      </c>
      <c r="AE5409" s="74"/>
      <c r="AF5409" s="77"/>
      <c r="AH5409" s="497">
        <v>86.9</v>
      </c>
      <c r="AJ5409" s="42"/>
      <c r="AK5409" s="74"/>
      <c r="AL5409" s="77"/>
      <c r="AN5409" s="497">
        <v>82.94</v>
      </c>
      <c r="AP5409" s="42"/>
      <c r="AQ5409" s="74"/>
      <c r="AR5409" s="77"/>
      <c r="AT5409" s="497">
        <v>82.039999999999992</v>
      </c>
      <c r="AV5409" s="42"/>
      <c r="AW5409" s="74"/>
      <c r="AX5409" s="77"/>
      <c r="BA5409" s="497">
        <v>75.92</v>
      </c>
      <c r="BB5409" s="42"/>
      <c r="BC5409" s="74"/>
      <c r="BD5409" s="77"/>
      <c r="BF5409">
        <v>86</v>
      </c>
      <c r="BH5409" s="42"/>
      <c r="BI5409" s="74"/>
      <c r="BJ5409" s="77"/>
      <c r="BL5409" s="497">
        <v>66.92</v>
      </c>
      <c r="BN5409" s="42"/>
      <c r="BO5409" s="74"/>
      <c r="BP5409" s="77"/>
      <c r="BR5409" s="497">
        <v>84.92</v>
      </c>
      <c r="BT5409" s="42"/>
    </row>
    <row r="5410" spans="1:72" x14ac:dyDescent="0.25">
      <c r="A5410" s="90">
        <v>34924</v>
      </c>
      <c r="B5410" s="20">
        <v>0.66666666666666663</v>
      </c>
      <c r="D5410">
        <v>75.92</v>
      </c>
      <c r="E5410" t="str">
        <f t="shared" si="204"/>
        <v>SUNDAY</v>
      </c>
      <c r="F5410" t="e">
        <f t="shared" si="203"/>
        <v>#N/A</v>
      </c>
      <c r="G5410" s="74">
        <v>32002</v>
      </c>
      <c r="H5410" s="77">
        <v>0.66666666666666663</v>
      </c>
      <c r="J5410">
        <v>75.92</v>
      </c>
      <c r="M5410" s="74">
        <v>34559</v>
      </c>
      <c r="N5410" s="77">
        <v>0.66666666666666663</v>
      </c>
      <c r="P5410">
        <v>82.94</v>
      </c>
      <c r="S5410" s="74">
        <v>34924</v>
      </c>
      <c r="T5410" s="77">
        <v>0.66666666666666663</v>
      </c>
      <c r="V5410">
        <v>86</v>
      </c>
      <c r="X5410" s="42"/>
      <c r="AB5410">
        <v>79.900000000000006</v>
      </c>
      <c r="AC5410">
        <v>87.98</v>
      </c>
      <c r="AE5410" s="74"/>
      <c r="AF5410" s="77"/>
      <c r="AH5410" s="497">
        <v>73.94</v>
      </c>
      <c r="AJ5410" s="42"/>
      <c r="AK5410" s="74"/>
      <c r="AL5410" s="77"/>
      <c r="AN5410" s="497">
        <v>82.94</v>
      </c>
      <c r="AP5410" s="42"/>
      <c r="AQ5410" s="74"/>
      <c r="AR5410" s="77"/>
      <c r="AT5410" s="497">
        <v>80.06</v>
      </c>
      <c r="AV5410" s="42"/>
      <c r="AW5410" s="74"/>
      <c r="AX5410" s="77"/>
      <c r="BA5410" s="497">
        <v>77</v>
      </c>
      <c r="BB5410" s="42"/>
      <c r="BC5410" s="74"/>
      <c r="BD5410" s="77"/>
      <c r="BF5410">
        <v>84.92</v>
      </c>
      <c r="BH5410" s="42"/>
      <c r="BI5410" s="74"/>
      <c r="BJ5410" s="77"/>
      <c r="BL5410" s="497">
        <v>68</v>
      </c>
      <c r="BN5410" s="42"/>
      <c r="BO5410" s="74"/>
      <c r="BP5410" s="77"/>
      <c r="BR5410" s="497">
        <v>86</v>
      </c>
      <c r="BT5410" s="42"/>
    </row>
    <row r="5411" spans="1:72" x14ac:dyDescent="0.25">
      <c r="A5411" s="90">
        <v>34924</v>
      </c>
      <c r="B5411" s="20">
        <v>0.70833333333333337</v>
      </c>
      <c r="D5411">
        <v>75.92</v>
      </c>
      <c r="E5411" t="str">
        <f t="shared" si="204"/>
        <v>SUNDAY</v>
      </c>
      <c r="F5411" t="e">
        <f t="shared" si="203"/>
        <v>#N/A</v>
      </c>
      <c r="G5411" s="74">
        <v>32002</v>
      </c>
      <c r="H5411" s="77">
        <v>0.70833333333333337</v>
      </c>
      <c r="J5411">
        <v>73.94</v>
      </c>
      <c r="M5411" s="74">
        <v>34559</v>
      </c>
      <c r="N5411" s="77">
        <v>0.70833333333333337</v>
      </c>
      <c r="P5411">
        <v>73.94</v>
      </c>
      <c r="S5411" s="74">
        <v>34924</v>
      </c>
      <c r="T5411" s="77">
        <v>0.70833333333333337</v>
      </c>
      <c r="V5411">
        <v>84.92</v>
      </c>
      <c r="X5411" s="42"/>
      <c r="AB5411">
        <v>79.099999999999994</v>
      </c>
      <c r="AC5411">
        <v>84.92</v>
      </c>
      <c r="AE5411" s="74"/>
      <c r="AF5411" s="77"/>
      <c r="AH5411" s="497">
        <v>72.86</v>
      </c>
      <c r="AJ5411" s="42"/>
      <c r="AK5411" s="74"/>
      <c r="AL5411" s="77"/>
      <c r="AN5411" s="497">
        <v>82.039999999999992</v>
      </c>
      <c r="AP5411" s="42"/>
      <c r="AQ5411" s="74"/>
      <c r="AR5411" s="77"/>
      <c r="AT5411" s="497">
        <v>80.06</v>
      </c>
      <c r="AV5411" s="42"/>
      <c r="AW5411" s="74"/>
      <c r="AX5411" s="77"/>
      <c r="BA5411" s="497">
        <v>75.92</v>
      </c>
      <c r="BB5411" s="42"/>
      <c r="BC5411" s="74"/>
      <c r="BD5411" s="77"/>
      <c r="BF5411">
        <v>80.960000000000008</v>
      </c>
      <c r="BH5411" s="42"/>
      <c r="BI5411" s="74"/>
      <c r="BJ5411" s="77"/>
      <c r="BL5411" s="497">
        <v>66.92</v>
      </c>
      <c r="BN5411" s="42"/>
      <c r="BO5411" s="74"/>
      <c r="BP5411" s="77"/>
      <c r="BR5411" s="497">
        <v>84.92</v>
      </c>
      <c r="BT5411" s="42"/>
    </row>
    <row r="5412" spans="1:72" x14ac:dyDescent="0.25">
      <c r="A5412" s="90">
        <v>34924</v>
      </c>
      <c r="B5412" s="20">
        <v>0.75</v>
      </c>
      <c r="D5412">
        <v>75.02</v>
      </c>
      <c r="E5412" t="str">
        <f t="shared" si="204"/>
        <v>SUNDAY</v>
      </c>
      <c r="F5412" t="e">
        <f t="shared" si="203"/>
        <v>#N/A</v>
      </c>
      <c r="G5412" s="74">
        <v>32002</v>
      </c>
      <c r="H5412" s="77">
        <v>0.75</v>
      </c>
      <c r="J5412">
        <v>73.039999999999992</v>
      </c>
      <c r="M5412" s="74">
        <v>34559</v>
      </c>
      <c r="N5412" s="77">
        <v>0.75</v>
      </c>
      <c r="P5412">
        <v>72.86</v>
      </c>
      <c r="S5412" s="74">
        <v>34924</v>
      </c>
      <c r="T5412" s="77">
        <v>0.75</v>
      </c>
      <c r="V5412">
        <v>84.02</v>
      </c>
      <c r="X5412" s="42"/>
      <c r="AB5412">
        <v>78</v>
      </c>
      <c r="AC5412">
        <v>82.94</v>
      </c>
      <c r="AE5412" s="74"/>
      <c r="AF5412" s="77"/>
      <c r="AH5412" s="497">
        <v>72.86</v>
      </c>
      <c r="AJ5412" s="42"/>
      <c r="AK5412" s="74"/>
      <c r="AL5412" s="77"/>
      <c r="AN5412" s="497">
        <v>78.080000000000013</v>
      </c>
      <c r="AP5412" s="42"/>
      <c r="AQ5412" s="74"/>
      <c r="AR5412" s="77"/>
      <c r="AT5412" s="497">
        <v>78.98</v>
      </c>
      <c r="AV5412" s="42"/>
      <c r="AW5412" s="74"/>
      <c r="AX5412" s="77"/>
      <c r="BA5412" s="497">
        <v>75.02</v>
      </c>
      <c r="BB5412" s="42"/>
      <c r="BC5412" s="74"/>
      <c r="BD5412" s="77"/>
      <c r="BF5412">
        <v>80.06</v>
      </c>
      <c r="BH5412" s="42"/>
      <c r="BI5412" s="74"/>
      <c r="BJ5412" s="77"/>
      <c r="BL5412" s="497">
        <v>66.92</v>
      </c>
      <c r="BN5412" s="42"/>
      <c r="BO5412" s="74"/>
      <c r="BP5412" s="77"/>
      <c r="BR5412" s="497">
        <v>82.039999999999992</v>
      </c>
      <c r="BT5412" s="42"/>
    </row>
    <row r="5413" spans="1:72" x14ac:dyDescent="0.25">
      <c r="A5413" s="90">
        <v>34924</v>
      </c>
      <c r="B5413" s="20">
        <v>0.79166666666666663</v>
      </c>
      <c r="D5413">
        <v>73.94</v>
      </c>
      <c r="E5413" t="str">
        <f t="shared" si="204"/>
        <v>SUNDAY</v>
      </c>
      <c r="F5413" t="e">
        <f t="shared" si="203"/>
        <v>#N/A</v>
      </c>
      <c r="G5413" s="74">
        <v>32002</v>
      </c>
      <c r="H5413" s="77">
        <v>0.79166666666666663</v>
      </c>
      <c r="J5413">
        <v>73.039999999999992</v>
      </c>
      <c r="M5413" s="74">
        <v>34559</v>
      </c>
      <c r="N5413" s="77">
        <v>0.79166666666666663</v>
      </c>
      <c r="P5413">
        <v>71.960000000000008</v>
      </c>
      <c r="S5413" s="74">
        <v>34924</v>
      </c>
      <c r="T5413" s="77">
        <v>0.79166666666666663</v>
      </c>
      <c r="V5413">
        <v>78.080000000000013</v>
      </c>
      <c r="X5413" s="42"/>
      <c r="AB5413">
        <v>76.7</v>
      </c>
      <c r="AC5413">
        <v>80.06</v>
      </c>
      <c r="AE5413" s="74"/>
      <c r="AF5413" s="77"/>
      <c r="AH5413" s="497">
        <v>72.86</v>
      </c>
      <c r="AJ5413" s="42"/>
      <c r="AK5413" s="74"/>
      <c r="AL5413" s="77"/>
      <c r="AN5413" s="497">
        <v>78.080000000000013</v>
      </c>
      <c r="AP5413" s="42"/>
      <c r="AQ5413" s="74"/>
      <c r="AR5413" s="77"/>
      <c r="AT5413" s="497">
        <v>78.080000000000013</v>
      </c>
      <c r="AV5413" s="42"/>
      <c r="AW5413" s="74"/>
      <c r="AX5413" s="77"/>
      <c r="BA5413" s="497">
        <v>71.06</v>
      </c>
      <c r="BB5413" s="42"/>
      <c r="BC5413" s="74"/>
      <c r="BD5413" s="77"/>
      <c r="BF5413">
        <v>78.080000000000013</v>
      </c>
      <c r="BH5413" s="42"/>
      <c r="BI5413" s="74"/>
      <c r="BJ5413" s="77"/>
      <c r="BL5413" s="497">
        <v>66.02</v>
      </c>
      <c r="BN5413" s="42"/>
      <c r="BO5413" s="74"/>
      <c r="BP5413" s="77"/>
      <c r="BR5413" s="497">
        <v>77</v>
      </c>
      <c r="BT5413" s="42"/>
    </row>
    <row r="5414" spans="1:72" x14ac:dyDescent="0.25">
      <c r="A5414" s="90">
        <v>34924</v>
      </c>
      <c r="B5414" s="20">
        <v>0.83333333333333337</v>
      </c>
      <c r="D5414">
        <v>73.039999999999992</v>
      </c>
      <c r="E5414" t="str">
        <f t="shared" si="204"/>
        <v>SUNDAY</v>
      </c>
      <c r="F5414" t="e">
        <f t="shared" si="203"/>
        <v>#N/A</v>
      </c>
      <c r="G5414" s="74">
        <v>32002</v>
      </c>
      <c r="H5414" s="77">
        <v>0.83333333333333337</v>
      </c>
      <c r="J5414">
        <v>69.080000000000013</v>
      </c>
      <c r="M5414" s="74">
        <v>34559</v>
      </c>
      <c r="N5414" s="77">
        <v>0.83333333333333337</v>
      </c>
      <c r="P5414">
        <v>70.88</v>
      </c>
      <c r="S5414" s="74">
        <v>34924</v>
      </c>
      <c r="T5414" s="77">
        <v>0.83333333333333337</v>
      </c>
      <c r="V5414">
        <v>77</v>
      </c>
      <c r="X5414" s="42"/>
      <c r="AB5414">
        <v>75.2</v>
      </c>
      <c r="AC5414">
        <v>78.080000000000013</v>
      </c>
      <c r="AE5414" s="74"/>
      <c r="AF5414" s="77"/>
      <c r="AH5414" s="497">
        <v>72.86</v>
      </c>
      <c r="AJ5414" s="42"/>
      <c r="AK5414" s="74"/>
      <c r="AL5414" s="77"/>
      <c r="AN5414" s="497">
        <v>75.92</v>
      </c>
      <c r="AP5414" s="42"/>
      <c r="AQ5414" s="74"/>
      <c r="AR5414" s="77"/>
      <c r="AT5414" s="497">
        <v>75.02</v>
      </c>
      <c r="AV5414" s="42"/>
      <c r="AW5414" s="74"/>
      <c r="AX5414" s="77"/>
      <c r="BA5414" s="497">
        <v>66.92</v>
      </c>
      <c r="BB5414" s="42"/>
      <c r="BC5414" s="74"/>
      <c r="BD5414" s="77"/>
      <c r="BF5414">
        <v>77</v>
      </c>
      <c r="BH5414" s="42"/>
      <c r="BI5414" s="74"/>
      <c r="BJ5414" s="77"/>
      <c r="BL5414" s="497">
        <v>64.94</v>
      </c>
      <c r="BN5414" s="42"/>
      <c r="BO5414" s="74"/>
      <c r="BP5414" s="77"/>
      <c r="BR5414" s="497">
        <v>75.92</v>
      </c>
      <c r="BT5414" s="42"/>
    </row>
    <row r="5415" spans="1:72" x14ac:dyDescent="0.25">
      <c r="A5415" s="90">
        <v>34924</v>
      </c>
      <c r="B5415" s="20">
        <v>0.875</v>
      </c>
      <c r="D5415">
        <v>73.039999999999992</v>
      </c>
      <c r="E5415" t="str">
        <f t="shared" si="204"/>
        <v>SUNDAY</v>
      </c>
      <c r="F5415" t="e">
        <f t="shared" si="203"/>
        <v>#N/A</v>
      </c>
      <c r="G5415" s="74">
        <v>32002</v>
      </c>
      <c r="H5415" s="77">
        <v>0.875</v>
      </c>
      <c r="J5415">
        <v>68</v>
      </c>
      <c r="M5415" s="74">
        <v>34559</v>
      </c>
      <c r="N5415" s="77">
        <v>0.875</v>
      </c>
      <c r="P5415">
        <v>70.88</v>
      </c>
      <c r="S5415" s="74">
        <v>34924</v>
      </c>
      <c r="T5415" s="77">
        <v>0.875</v>
      </c>
      <c r="V5415">
        <v>75.92</v>
      </c>
      <c r="X5415" s="42"/>
      <c r="AB5415">
        <v>74.400000000000006</v>
      </c>
      <c r="AC5415">
        <v>78.080000000000013</v>
      </c>
      <c r="AE5415" s="74"/>
      <c r="AF5415" s="77"/>
      <c r="AH5415" s="497">
        <v>72.86</v>
      </c>
      <c r="AJ5415" s="42"/>
      <c r="AK5415" s="74"/>
      <c r="AL5415" s="77"/>
      <c r="AN5415" s="497">
        <v>75.02</v>
      </c>
      <c r="AP5415" s="42"/>
      <c r="AQ5415" s="74"/>
      <c r="AR5415" s="77"/>
      <c r="AT5415" s="497">
        <v>75.02</v>
      </c>
      <c r="AV5415" s="42"/>
      <c r="AW5415" s="74"/>
      <c r="AX5415" s="77"/>
      <c r="BA5415" s="497">
        <v>66.92</v>
      </c>
      <c r="BB5415" s="42"/>
      <c r="BC5415" s="74"/>
      <c r="BD5415" s="77"/>
      <c r="BF5415">
        <v>75.92</v>
      </c>
      <c r="BH5415" s="42"/>
      <c r="BI5415" s="74"/>
      <c r="BJ5415" s="77"/>
      <c r="BL5415" s="497">
        <v>64.94</v>
      </c>
      <c r="BN5415" s="42"/>
      <c r="BO5415" s="74"/>
      <c r="BP5415" s="77"/>
      <c r="BR5415" s="497">
        <v>73.94</v>
      </c>
      <c r="BT5415" s="42"/>
    </row>
    <row r="5416" spans="1:72" x14ac:dyDescent="0.25">
      <c r="A5416" s="90">
        <v>34924</v>
      </c>
      <c r="B5416" s="20">
        <v>0.91666666666666663</v>
      </c>
      <c r="D5416">
        <v>73.039999999999992</v>
      </c>
      <c r="E5416" t="str">
        <f t="shared" si="204"/>
        <v>SUNDAY</v>
      </c>
      <c r="F5416" t="e">
        <f t="shared" si="203"/>
        <v>#N/A</v>
      </c>
      <c r="G5416" s="74">
        <v>32002</v>
      </c>
      <c r="H5416" s="77">
        <v>0.91666666666666663</v>
      </c>
      <c r="J5416">
        <v>68</v>
      </c>
      <c r="M5416" s="74">
        <v>34559</v>
      </c>
      <c r="N5416" s="77">
        <v>0.91666666666666663</v>
      </c>
      <c r="P5416">
        <v>71.960000000000008</v>
      </c>
      <c r="S5416" s="74">
        <v>34924</v>
      </c>
      <c r="T5416" s="77">
        <v>0.91666666666666663</v>
      </c>
      <c r="V5416">
        <v>75.92</v>
      </c>
      <c r="X5416" s="42"/>
      <c r="AB5416">
        <v>73.900000000000006</v>
      </c>
      <c r="AC5416">
        <v>78.080000000000013</v>
      </c>
      <c r="AE5416" s="74"/>
      <c r="AF5416" s="77"/>
      <c r="AH5416" s="497">
        <v>72.86</v>
      </c>
      <c r="AJ5416" s="42"/>
      <c r="AK5416" s="74"/>
      <c r="AL5416" s="77"/>
      <c r="AN5416" s="497">
        <v>73.94</v>
      </c>
      <c r="AP5416" s="42"/>
      <c r="AQ5416" s="74"/>
      <c r="AR5416" s="77"/>
      <c r="AT5416" s="497">
        <v>75.02</v>
      </c>
      <c r="AV5416" s="42"/>
      <c r="AW5416" s="74"/>
      <c r="AX5416" s="77"/>
      <c r="BA5416" s="497">
        <v>66.92</v>
      </c>
      <c r="BB5416" s="42"/>
      <c r="BC5416" s="74"/>
      <c r="BD5416" s="77"/>
      <c r="BF5416">
        <v>75.92</v>
      </c>
      <c r="BH5416" s="42"/>
      <c r="BI5416" s="74"/>
      <c r="BJ5416" s="77"/>
      <c r="BL5416" s="497">
        <v>64.039999999999992</v>
      </c>
      <c r="BN5416" s="42"/>
      <c r="BO5416" s="74"/>
      <c r="BP5416" s="77"/>
      <c r="BR5416" s="497">
        <v>69.98</v>
      </c>
      <c r="BT5416" s="42"/>
    </row>
    <row r="5417" spans="1:72" x14ac:dyDescent="0.25">
      <c r="A5417" s="90">
        <v>34924</v>
      </c>
      <c r="B5417" s="20">
        <v>0.95833333333333337</v>
      </c>
      <c r="D5417">
        <v>73.039999999999992</v>
      </c>
      <c r="E5417" t="str">
        <f t="shared" si="204"/>
        <v>SUNDAY</v>
      </c>
      <c r="F5417" t="e">
        <f t="shared" si="203"/>
        <v>#N/A</v>
      </c>
      <c r="G5417" s="74">
        <v>32002</v>
      </c>
      <c r="H5417" s="77">
        <v>0.95833333333333337</v>
      </c>
      <c r="J5417">
        <v>66.92</v>
      </c>
      <c r="M5417" s="74">
        <v>34559</v>
      </c>
      <c r="N5417" s="77">
        <v>0.95833333333333337</v>
      </c>
      <c r="P5417">
        <v>71.960000000000008</v>
      </c>
      <c r="S5417" s="74">
        <v>34924</v>
      </c>
      <c r="T5417" s="77">
        <v>0.95833333333333337</v>
      </c>
      <c r="V5417">
        <v>75.02</v>
      </c>
      <c r="X5417" s="42"/>
      <c r="AB5417">
        <v>73.400000000000006</v>
      </c>
      <c r="AC5417">
        <v>78.98</v>
      </c>
      <c r="AE5417" s="74"/>
      <c r="AF5417" s="77"/>
      <c r="AH5417" s="497">
        <v>71.42</v>
      </c>
      <c r="AJ5417" s="42"/>
      <c r="AK5417" s="74"/>
      <c r="AL5417" s="77"/>
      <c r="AN5417" s="497">
        <v>73.039999999999992</v>
      </c>
      <c r="AP5417" s="42"/>
      <c r="AQ5417" s="74"/>
      <c r="AR5417" s="77"/>
      <c r="AT5417" s="497">
        <v>73.94</v>
      </c>
      <c r="AV5417" s="42"/>
      <c r="AW5417" s="74"/>
      <c r="AX5417" s="77"/>
      <c r="BA5417" s="497">
        <v>64.94</v>
      </c>
      <c r="BB5417" s="42"/>
      <c r="BC5417" s="74"/>
      <c r="BD5417" s="77"/>
      <c r="BF5417">
        <v>75.92</v>
      </c>
      <c r="BH5417" s="42"/>
      <c r="BI5417" s="74"/>
      <c r="BJ5417" s="77"/>
      <c r="BL5417" s="497">
        <v>62.96</v>
      </c>
      <c r="BN5417" s="42"/>
      <c r="BO5417" s="74"/>
      <c r="BP5417" s="77"/>
      <c r="BR5417" s="497">
        <v>71.960000000000008</v>
      </c>
      <c r="BT5417" s="42"/>
    </row>
    <row r="5418" spans="1:72" x14ac:dyDescent="0.25">
      <c r="A5418" s="90">
        <v>34924</v>
      </c>
      <c r="B5418" s="20">
        <v>1</v>
      </c>
      <c r="D5418">
        <v>73.039999999999992</v>
      </c>
      <c r="E5418" t="str">
        <f t="shared" si="204"/>
        <v>SUNDAY</v>
      </c>
      <c r="F5418" t="e">
        <f t="shared" si="203"/>
        <v>#N/A</v>
      </c>
      <c r="G5418" s="74">
        <v>32002</v>
      </c>
      <c r="H5418" s="77">
        <v>1</v>
      </c>
      <c r="J5418">
        <v>66.92</v>
      </c>
      <c r="M5418" s="74">
        <v>34559</v>
      </c>
      <c r="N5418" s="80">
        <v>1</v>
      </c>
      <c r="P5418">
        <v>72.86</v>
      </c>
      <c r="S5418" s="74">
        <v>34924</v>
      </c>
      <c r="T5418" s="80">
        <v>1</v>
      </c>
      <c r="V5418">
        <v>73.94</v>
      </c>
      <c r="X5418" s="42"/>
      <c r="AB5418">
        <v>72.900000000000006</v>
      </c>
      <c r="AC5418">
        <v>77</v>
      </c>
      <c r="AE5418" s="74"/>
      <c r="AF5418" s="80"/>
      <c r="AH5418" s="497">
        <v>69.98</v>
      </c>
      <c r="AJ5418" s="42"/>
      <c r="AK5418" s="74"/>
      <c r="AL5418" s="80"/>
      <c r="AN5418" s="497">
        <v>73.039999999999992</v>
      </c>
      <c r="AP5418" s="42"/>
      <c r="AQ5418" s="74"/>
      <c r="AR5418" s="80"/>
      <c r="AT5418" s="497">
        <v>73.94</v>
      </c>
      <c r="AV5418" s="42"/>
      <c r="AW5418" s="74"/>
      <c r="AX5418" s="80"/>
      <c r="BA5418" s="497">
        <v>64.039999999999992</v>
      </c>
      <c r="BB5418" s="42"/>
      <c r="BC5418" s="74"/>
      <c r="BD5418" s="80"/>
      <c r="BF5418">
        <v>75.02</v>
      </c>
      <c r="BH5418" s="42"/>
      <c r="BI5418" s="74"/>
      <c r="BJ5418" s="80"/>
      <c r="BL5418" s="497">
        <v>62.96</v>
      </c>
      <c r="BN5418" s="42"/>
      <c r="BO5418" s="74"/>
      <c r="BP5418" s="80"/>
      <c r="BR5418" s="497">
        <v>69.080000000000013</v>
      </c>
      <c r="BT5418" s="42"/>
    </row>
    <row r="5419" spans="1:72" x14ac:dyDescent="0.25">
      <c r="A5419" s="90">
        <v>34925</v>
      </c>
      <c r="B5419" s="20">
        <v>4.1666666666666664E-2</v>
      </c>
      <c r="D5419">
        <v>71.960000000000008</v>
      </c>
      <c r="E5419" t="str">
        <f t="shared" si="204"/>
        <v>WEEKDAY</v>
      </c>
      <c r="F5419" t="e">
        <f t="shared" ref="F5419:F5482" si="205">IF(E5419="WEEKDAY",VLOOKUP(B5419,$DD$19:$DG$42,2),IF(E5419="SATURDAY",VLOOKUP(B5419,$DD$19:$DG$42,3),VLOOKUP(B5419,$DD$19:$DG$42,4)))</f>
        <v>#N/A</v>
      </c>
      <c r="G5419" s="74">
        <v>32003</v>
      </c>
      <c r="H5419" s="77">
        <v>4.1666666666666664E-2</v>
      </c>
      <c r="J5419">
        <v>66.02</v>
      </c>
      <c r="M5419" s="74">
        <v>34560</v>
      </c>
      <c r="N5419" s="77">
        <v>4.1666666666666664E-2</v>
      </c>
      <c r="P5419">
        <v>72.86</v>
      </c>
      <c r="S5419" s="74">
        <v>34925</v>
      </c>
      <c r="T5419" s="77">
        <v>4.1666666666666664E-2</v>
      </c>
      <c r="V5419">
        <v>75.02</v>
      </c>
      <c r="X5419" s="42"/>
      <c r="AB5419">
        <v>72.2</v>
      </c>
      <c r="AC5419">
        <v>75.92</v>
      </c>
      <c r="AE5419" s="74"/>
      <c r="AF5419" s="77"/>
      <c r="AH5419" s="497">
        <v>72.86</v>
      </c>
      <c r="AJ5419" s="42"/>
      <c r="AK5419" s="74"/>
      <c r="AL5419" s="77"/>
      <c r="AN5419" s="497">
        <v>73.039999999999992</v>
      </c>
      <c r="AP5419" s="42"/>
      <c r="AQ5419" s="74"/>
      <c r="AR5419" s="77"/>
      <c r="AT5419" s="497">
        <v>73.94</v>
      </c>
      <c r="AV5419" s="42"/>
      <c r="AW5419" s="74"/>
      <c r="AX5419" s="77"/>
      <c r="BA5419" s="497">
        <v>62.06</v>
      </c>
      <c r="BB5419" s="42"/>
      <c r="BC5419" s="74"/>
      <c r="BD5419" s="77"/>
      <c r="BF5419">
        <v>75.02</v>
      </c>
      <c r="BH5419" s="42"/>
      <c r="BI5419" s="74"/>
      <c r="BJ5419" s="77"/>
      <c r="BL5419" s="497">
        <v>62.06</v>
      </c>
      <c r="BN5419" s="42"/>
      <c r="BO5419" s="74"/>
      <c r="BP5419" s="77"/>
      <c r="BR5419" s="497">
        <v>69.98</v>
      </c>
      <c r="BT5419" s="42"/>
    </row>
    <row r="5420" spans="1:72" x14ac:dyDescent="0.25">
      <c r="A5420" s="90">
        <v>34925</v>
      </c>
      <c r="B5420" s="20">
        <v>8.3333333333333329E-2</v>
      </c>
      <c r="D5420">
        <v>71.960000000000008</v>
      </c>
      <c r="E5420" t="str">
        <f t="shared" si="204"/>
        <v>WEEKDAY</v>
      </c>
      <c r="F5420" t="e">
        <f t="shared" si="205"/>
        <v>#N/A</v>
      </c>
      <c r="G5420" s="74">
        <v>32003</v>
      </c>
      <c r="H5420" s="77">
        <v>8.3333333333333329E-2</v>
      </c>
      <c r="J5420">
        <v>64.94</v>
      </c>
      <c r="M5420" s="74">
        <v>34560</v>
      </c>
      <c r="N5420" s="77">
        <v>8.3333333333333329E-2</v>
      </c>
      <c r="P5420">
        <v>72.680000000000007</v>
      </c>
      <c r="S5420" s="74">
        <v>34925</v>
      </c>
      <c r="T5420" s="77">
        <v>8.3333333333333329E-2</v>
      </c>
      <c r="V5420">
        <v>73.94</v>
      </c>
      <c r="X5420" s="42"/>
      <c r="AB5420">
        <v>71.599999999999994</v>
      </c>
      <c r="AC5420">
        <v>75.02</v>
      </c>
      <c r="AE5420" s="74"/>
      <c r="AF5420" s="77"/>
      <c r="AH5420" s="497">
        <v>73.22</v>
      </c>
      <c r="AJ5420" s="42"/>
      <c r="AK5420" s="74"/>
      <c r="AL5420" s="77"/>
      <c r="AN5420" s="497">
        <v>73.039999999999992</v>
      </c>
      <c r="AP5420" s="42"/>
      <c r="AQ5420" s="74"/>
      <c r="AR5420" s="77"/>
      <c r="AT5420" s="497">
        <v>73.039999999999992</v>
      </c>
      <c r="AV5420" s="42"/>
      <c r="AW5420" s="74"/>
      <c r="AX5420" s="77"/>
      <c r="BA5420" s="497">
        <v>60.980000000000004</v>
      </c>
      <c r="BB5420" s="42"/>
      <c r="BC5420" s="74"/>
      <c r="BD5420" s="77"/>
      <c r="BF5420">
        <v>75.02</v>
      </c>
      <c r="BH5420" s="42"/>
      <c r="BI5420" s="74"/>
      <c r="BJ5420" s="77"/>
      <c r="BL5420" s="497">
        <v>60.980000000000004</v>
      </c>
      <c r="BN5420" s="42"/>
      <c r="BO5420" s="74"/>
      <c r="BP5420" s="77"/>
      <c r="BR5420" s="497">
        <v>68</v>
      </c>
      <c r="BT5420" s="42"/>
    </row>
    <row r="5421" spans="1:72" x14ac:dyDescent="0.25">
      <c r="A5421" s="90">
        <v>34925</v>
      </c>
      <c r="B5421" s="20">
        <v>0.125</v>
      </c>
      <c r="D5421">
        <v>71.960000000000008</v>
      </c>
      <c r="E5421" t="str">
        <f t="shared" si="204"/>
        <v>WEEKDAY</v>
      </c>
      <c r="F5421" t="e">
        <f t="shared" si="205"/>
        <v>#N/A</v>
      </c>
      <c r="G5421" s="74">
        <v>32003</v>
      </c>
      <c r="H5421" s="77">
        <v>0.125</v>
      </c>
      <c r="J5421">
        <v>64.94</v>
      </c>
      <c r="M5421" s="74">
        <v>34560</v>
      </c>
      <c r="N5421" s="77">
        <v>0.125</v>
      </c>
      <c r="P5421">
        <v>72.86</v>
      </c>
      <c r="S5421" s="74">
        <v>34925</v>
      </c>
      <c r="T5421" s="77">
        <v>0.125</v>
      </c>
      <c r="V5421">
        <v>71.960000000000008</v>
      </c>
      <c r="X5421" s="42"/>
      <c r="AB5421">
        <v>71.2</v>
      </c>
      <c r="AC5421">
        <v>75.02</v>
      </c>
      <c r="AE5421" s="74"/>
      <c r="AF5421" s="77"/>
      <c r="AH5421" s="497">
        <v>73.94</v>
      </c>
      <c r="AJ5421" s="42"/>
      <c r="AK5421" s="74"/>
      <c r="AL5421" s="77"/>
      <c r="AN5421" s="497">
        <v>71.960000000000008</v>
      </c>
      <c r="AP5421" s="42"/>
      <c r="AQ5421" s="74"/>
      <c r="AR5421" s="77"/>
      <c r="AT5421" s="497">
        <v>71.06</v>
      </c>
      <c r="AV5421" s="42"/>
      <c r="AW5421" s="74"/>
      <c r="AX5421" s="77"/>
      <c r="BA5421" s="497">
        <v>60.980000000000004</v>
      </c>
      <c r="BB5421" s="42"/>
      <c r="BC5421" s="74"/>
      <c r="BD5421" s="77"/>
      <c r="BF5421">
        <v>75.02</v>
      </c>
      <c r="BH5421" s="42"/>
      <c r="BI5421" s="74"/>
      <c r="BJ5421" s="77"/>
      <c r="BL5421" s="497">
        <v>62.06</v>
      </c>
      <c r="BN5421" s="42"/>
      <c r="BO5421" s="74"/>
      <c r="BP5421" s="77"/>
      <c r="BR5421" s="497">
        <v>68</v>
      </c>
      <c r="BT5421" s="42"/>
    </row>
    <row r="5422" spans="1:72" x14ac:dyDescent="0.25">
      <c r="A5422" s="90">
        <v>34925</v>
      </c>
      <c r="B5422" s="20">
        <v>0.16666666666666666</v>
      </c>
      <c r="D5422">
        <v>71.06</v>
      </c>
      <c r="E5422" t="str">
        <f t="shared" si="204"/>
        <v>WEEKDAY</v>
      </c>
      <c r="F5422" t="e">
        <f t="shared" si="205"/>
        <v>#N/A</v>
      </c>
      <c r="G5422" s="74">
        <v>32003</v>
      </c>
      <c r="H5422" s="77">
        <v>0.16666666666666666</v>
      </c>
      <c r="J5422">
        <v>64.039999999999992</v>
      </c>
      <c r="M5422" s="74">
        <v>34560</v>
      </c>
      <c r="N5422" s="77">
        <v>0.16666666666666666</v>
      </c>
      <c r="P5422">
        <v>72.86</v>
      </c>
      <c r="S5422" s="74">
        <v>34925</v>
      </c>
      <c r="T5422" s="77">
        <v>0.16666666666666666</v>
      </c>
      <c r="V5422">
        <v>71.960000000000008</v>
      </c>
      <c r="X5422" s="42"/>
      <c r="AB5422">
        <v>70.7</v>
      </c>
      <c r="AC5422">
        <v>73.94</v>
      </c>
      <c r="AE5422" s="74"/>
      <c r="AF5422" s="77"/>
      <c r="AH5422" s="497">
        <v>73.400000000000006</v>
      </c>
      <c r="AJ5422" s="42"/>
      <c r="AK5422" s="74"/>
      <c r="AL5422" s="77"/>
      <c r="AN5422" s="497">
        <v>71.06</v>
      </c>
      <c r="AP5422" s="42"/>
      <c r="AQ5422" s="74"/>
      <c r="AR5422" s="77"/>
      <c r="AT5422" s="497">
        <v>69.98</v>
      </c>
      <c r="AV5422" s="42"/>
      <c r="AW5422" s="74"/>
      <c r="AX5422" s="77"/>
      <c r="BA5422" s="497">
        <v>60.980000000000004</v>
      </c>
      <c r="BB5422" s="42"/>
      <c r="BC5422" s="74"/>
      <c r="BD5422" s="77"/>
      <c r="BF5422">
        <v>73.94</v>
      </c>
      <c r="BH5422" s="42"/>
      <c r="BI5422" s="74"/>
      <c r="BJ5422" s="77"/>
      <c r="BL5422" s="497">
        <v>62.06</v>
      </c>
      <c r="BN5422" s="42"/>
      <c r="BO5422" s="74"/>
      <c r="BP5422" s="77"/>
      <c r="BR5422" s="497">
        <v>68</v>
      </c>
      <c r="BT5422" s="42"/>
    </row>
    <row r="5423" spans="1:72" x14ac:dyDescent="0.25">
      <c r="A5423" s="90">
        <v>34925</v>
      </c>
      <c r="B5423" s="20">
        <v>0.20833333333333334</v>
      </c>
      <c r="D5423">
        <v>71.06</v>
      </c>
      <c r="E5423" t="str">
        <f t="shared" si="204"/>
        <v>WEEKDAY</v>
      </c>
      <c r="F5423" t="e">
        <f t="shared" si="205"/>
        <v>#N/A</v>
      </c>
      <c r="G5423" s="74">
        <v>32003</v>
      </c>
      <c r="H5423" s="77">
        <v>0.20833333333333334</v>
      </c>
      <c r="J5423">
        <v>64.039999999999992</v>
      </c>
      <c r="M5423" s="74">
        <v>34560</v>
      </c>
      <c r="N5423" s="77">
        <v>0.20833333333333334</v>
      </c>
      <c r="P5423">
        <v>73.94</v>
      </c>
      <c r="S5423" s="74">
        <v>34925</v>
      </c>
      <c r="T5423" s="77">
        <v>0.20833333333333334</v>
      </c>
      <c r="V5423">
        <v>71.960000000000008</v>
      </c>
      <c r="X5423" s="42"/>
      <c r="AB5423">
        <v>70.2</v>
      </c>
      <c r="AC5423">
        <v>75.02</v>
      </c>
      <c r="AE5423" s="74"/>
      <c r="AF5423" s="77"/>
      <c r="AH5423" s="497">
        <v>72.86</v>
      </c>
      <c r="AJ5423" s="42"/>
      <c r="AK5423" s="74"/>
      <c r="AL5423" s="77"/>
      <c r="AN5423" s="497">
        <v>71.06</v>
      </c>
      <c r="AP5423" s="42"/>
      <c r="AQ5423" s="74"/>
      <c r="AR5423" s="77"/>
      <c r="AT5423" s="497">
        <v>71.06</v>
      </c>
      <c r="AV5423" s="42"/>
      <c r="AW5423" s="74"/>
      <c r="AX5423" s="77"/>
      <c r="BA5423" s="497">
        <v>62.06</v>
      </c>
      <c r="BB5423" s="42"/>
      <c r="BC5423" s="74"/>
      <c r="BD5423" s="77"/>
      <c r="BF5423">
        <v>73.039999999999992</v>
      </c>
      <c r="BH5423" s="42"/>
      <c r="BI5423" s="74"/>
      <c r="BJ5423" s="77"/>
      <c r="BL5423" s="497">
        <v>62.06</v>
      </c>
      <c r="BN5423" s="42"/>
      <c r="BO5423" s="74"/>
      <c r="BP5423" s="77"/>
      <c r="BR5423" s="497">
        <v>64.94</v>
      </c>
      <c r="BT5423" s="42"/>
    </row>
    <row r="5424" spans="1:72" x14ac:dyDescent="0.25">
      <c r="A5424" s="90">
        <v>34925</v>
      </c>
      <c r="B5424" s="20">
        <v>0.25</v>
      </c>
      <c r="D5424">
        <v>71.960000000000008</v>
      </c>
      <c r="E5424" t="str">
        <f t="shared" si="204"/>
        <v>WEEKDAY</v>
      </c>
      <c r="F5424" t="e">
        <f t="shared" si="205"/>
        <v>#N/A</v>
      </c>
      <c r="G5424" s="74">
        <v>32003</v>
      </c>
      <c r="H5424" s="77">
        <v>0.25</v>
      </c>
      <c r="J5424">
        <v>64.94</v>
      </c>
      <c r="M5424" s="74">
        <v>34560</v>
      </c>
      <c r="N5424" s="77">
        <v>0.25</v>
      </c>
      <c r="P5424">
        <v>74.84</v>
      </c>
      <c r="S5424" s="74">
        <v>34925</v>
      </c>
      <c r="T5424" s="77">
        <v>0.25</v>
      </c>
      <c r="V5424">
        <v>73.94</v>
      </c>
      <c r="X5424" s="42"/>
      <c r="AB5424">
        <v>69.900000000000006</v>
      </c>
      <c r="AC5424">
        <v>75.92</v>
      </c>
      <c r="AE5424" s="74"/>
      <c r="AF5424" s="77"/>
      <c r="AH5424" s="497">
        <v>75.92</v>
      </c>
      <c r="AJ5424" s="42"/>
      <c r="AK5424" s="74"/>
      <c r="AL5424" s="77"/>
      <c r="AN5424" s="497">
        <v>71.06</v>
      </c>
      <c r="AP5424" s="42"/>
      <c r="AQ5424" s="74"/>
      <c r="AR5424" s="77"/>
      <c r="AT5424" s="497">
        <v>71.960000000000008</v>
      </c>
      <c r="AV5424" s="42"/>
      <c r="AW5424" s="74"/>
      <c r="AX5424" s="77"/>
      <c r="BA5424" s="497">
        <v>62.06</v>
      </c>
      <c r="BB5424" s="42"/>
      <c r="BC5424" s="74"/>
      <c r="BD5424" s="77"/>
      <c r="BF5424">
        <v>73.039999999999992</v>
      </c>
      <c r="BH5424" s="42"/>
      <c r="BI5424" s="74"/>
      <c r="BJ5424" s="77"/>
      <c r="BL5424" s="497">
        <v>62.06</v>
      </c>
      <c r="BN5424" s="42"/>
      <c r="BO5424" s="74"/>
      <c r="BP5424" s="77"/>
      <c r="BR5424" s="497">
        <v>66.92</v>
      </c>
      <c r="BT5424" s="42"/>
    </row>
    <row r="5425" spans="1:72" x14ac:dyDescent="0.25">
      <c r="A5425" s="90">
        <v>34925</v>
      </c>
      <c r="B5425" s="20">
        <v>0.29166666666666669</v>
      </c>
      <c r="D5425">
        <v>73.039999999999992</v>
      </c>
      <c r="E5425" t="str">
        <f t="shared" si="204"/>
        <v>WEEKDAY</v>
      </c>
      <c r="F5425" t="e">
        <f t="shared" si="205"/>
        <v>#N/A</v>
      </c>
      <c r="G5425" s="74">
        <v>32003</v>
      </c>
      <c r="H5425" s="77">
        <v>0.29166666666666669</v>
      </c>
      <c r="J5425">
        <v>68</v>
      </c>
      <c r="M5425" s="74">
        <v>34560</v>
      </c>
      <c r="N5425" s="77">
        <v>0.29166666666666669</v>
      </c>
      <c r="P5425">
        <v>75.92</v>
      </c>
      <c r="S5425" s="74">
        <v>34925</v>
      </c>
      <c r="T5425" s="77">
        <v>0.29166666666666669</v>
      </c>
      <c r="V5425">
        <v>75.92</v>
      </c>
      <c r="X5425" s="42"/>
      <c r="AB5425">
        <v>70.5</v>
      </c>
      <c r="AC5425">
        <v>78.080000000000013</v>
      </c>
      <c r="AE5425" s="74"/>
      <c r="AF5425" s="77"/>
      <c r="AH5425" s="497">
        <v>77.900000000000006</v>
      </c>
      <c r="AJ5425" s="42"/>
      <c r="AK5425" s="74"/>
      <c r="AL5425" s="77"/>
      <c r="AN5425" s="497">
        <v>73.039999999999992</v>
      </c>
      <c r="AP5425" s="42"/>
      <c r="AQ5425" s="74"/>
      <c r="AR5425" s="77"/>
      <c r="AT5425" s="497">
        <v>73.94</v>
      </c>
      <c r="AV5425" s="42"/>
      <c r="AW5425" s="74"/>
      <c r="AX5425" s="77"/>
      <c r="BA5425" s="497">
        <v>64.94</v>
      </c>
      <c r="BB5425" s="42"/>
      <c r="BC5425" s="74"/>
      <c r="BD5425" s="77"/>
      <c r="BF5425">
        <v>73.94</v>
      </c>
      <c r="BH5425" s="42"/>
      <c r="BI5425" s="74"/>
      <c r="BJ5425" s="77"/>
      <c r="BL5425" s="497">
        <v>62.96</v>
      </c>
      <c r="BN5425" s="42"/>
      <c r="BO5425" s="74"/>
      <c r="BP5425" s="77"/>
      <c r="BR5425" s="497">
        <v>69.98</v>
      </c>
      <c r="BT5425" s="42"/>
    </row>
    <row r="5426" spans="1:72" x14ac:dyDescent="0.25">
      <c r="A5426" s="90">
        <v>34925</v>
      </c>
      <c r="B5426" s="20">
        <v>0.33333333333333331</v>
      </c>
      <c r="D5426">
        <v>73.94</v>
      </c>
      <c r="E5426" t="str">
        <f t="shared" si="204"/>
        <v>WEEKDAY</v>
      </c>
      <c r="F5426" t="e">
        <f t="shared" si="205"/>
        <v>#N/A</v>
      </c>
      <c r="G5426" s="74">
        <v>32003</v>
      </c>
      <c r="H5426" s="77">
        <v>0.33333333333333331</v>
      </c>
      <c r="J5426">
        <v>69.98</v>
      </c>
      <c r="M5426" s="74">
        <v>34560</v>
      </c>
      <c r="N5426" s="77">
        <v>0.33333333333333331</v>
      </c>
      <c r="P5426">
        <v>78.98</v>
      </c>
      <c r="S5426" s="74">
        <v>34925</v>
      </c>
      <c r="T5426" s="77">
        <v>0.33333333333333331</v>
      </c>
      <c r="V5426">
        <v>78.080000000000013</v>
      </c>
      <c r="X5426" s="42"/>
      <c r="AB5426">
        <v>72.5</v>
      </c>
      <c r="AC5426">
        <v>80.960000000000008</v>
      </c>
      <c r="AE5426" s="74"/>
      <c r="AF5426" s="77"/>
      <c r="AH5426" s="497">
        <v>78.98</v>
      </c>
      <c r="AJ5426" s="42"/>
      <c r="AK5426" s="74"/>
      <c r="AL5426" s="77"/>
      <c r="AN5426" s="497">
        <v>75.92</v>
      </c>
      <c r="AP5426" s="42"/>
      <c r="AQ5426" s="74"/>
      <c r="AR5426" s="77"/>
      <c r="AT5426" s="497">
        <v>78.080000000000013</v>
      </c>
      <c r="AV5426" s="42"/>
      <c r="AW5426" s="74"/>
      <c r="AX5426" s="77"/>
      <c r="BA5426" s="497">
        <v>66.92</v>
      </c>
      <c r="BB5426" s="42"/>
      <c r="BC5426" s="74"/>
      <c r="BD5426" s="77"/>
      <c r="BF5426">
        <v>75.92</v>
      </c>
      <c r="BH5426" s="42"/>
      <c r="BI5426" s="74"/>
      <c r="BJ5426" s="77"/>
      <c r="BL5426" s="497">
        <v>66.02</v>
      </c>
      <c r="BN5426" s="42"/>
      <c r="BO5426" s="74"/>
      <c r="BP5426" s="77"/>
      <c r="BR5426" s="497">
        <v>73.94</v>
      </c>
      <c r="BT5426" s="42"/>
    </row>
    <row r="5427" spans="1:72" x14ac:dyDescent="0.25">
      <c r="A5427" s="90">
        <v>34925</v>
      </c>
      <c r="B5427" s="20">
        <v>0.375</v>
      </c>
      <c r="D5427">
        <v>73.94</v>
      </c>
      <c r="E5427" t="str">
        <f t="shared" si="204"/>
        <v>WEEKDAY</v>
      </c>
      <c r="F5427" t="e">
        <f t="shared" si="205"/>
        <v>#N/A</v>
      </c>
      <c r="G5427" s="74">
        <v>32003</v>
      </c>
      <c r="H5427" s="77">
        <v>0.375</v>
      </c>
      <c r="J5427">
        <v>71.06</v>
      </c>
      <c r="M5427" s="74">
        <v>34560</v>
      </c>
      <c r="N5427" s="77">
        <v>0.375</v>
      </c>
      <c r="P5427">
        <v>81.86</v>
      </c>
      <c r="S5427" s="74">
        <v>34925</v>
      </c>
      <c r="T5427" s="77">
        <v>0.375</v>
      </c>
      <c r="V5427">
        <v>80.960000000000008</v>
      </c>
      <c r="X5427" s="42"/>
      <c r="AB5427">
        <v>74.400000000000006</v>
      </c>
      <c r="AC5427">
        <v>82.039999999999992</v>
      </c>
      <c r="AE5427" s="74"/>
      <c r="AF5427" s="77"/>
      <c r="AH5427" s="497">
        <v>79.88</v>
      </c>
      <c r="AJ5427" s="42"/>
      <c r="AK5427" s="74"/>
      <c r="AL5427" s="77"/>
      <c r="AN5427" s="497">
        <v>78.98</v>
      </c>
      <c r="AP5427" s="42"/>
      <c r="AQ5427" s="74"/>
      <c r="AR5427" s="77"/>
      <c r="AT5427" s="497">
        <v>80.960000000000008</v>
      </c>
      <c r="AV5427" s="42"/>
      <c r="AW5427" s="74"/>
      <c r="AX5427" s="77"/>
      <c r="BA5427" s="497">
        <v>69.080000000000013</v>
      </c>
      <c r="BB5427" s="42"/>
      <c r="BC5427" s="74"/>
      <c r="BD5427" s="77"/>
      <c r="BF5427">
        <v>75.92</v>
      </c>
      <c r="BH5427" s="42"/>
      <c r="BI5427" s="74"/>
      <c r="BJ5427" s="77"/>
      <c r="BL5427" s="497">
        <v>69.080000000000013</v>
      </c>
      <c r="BN5427" s="42"/>
      <c r="BO5427" s="74"/>
      <c r="BP5427" s="77"/>
      <c r="BR5427" s="497">
        <v>75.02</v>
      </c>
      <c r="BT5427" s="42"/>
    </row>
    <row r="5428" spans="1:72" x14ac:dyDescent="0.25">
      <c r="A5428" s="90">
        <v>34925</v>
      </c>
      <c r="B5428" s="20">
        <v>0.41666666666666669</v>
      </c>
      <c r="D5428">
        <v>75.02</v>
      </c>
      <c r="E5428" t="str">
        <f t="shared" si="204"/>
        <v>WEEKDAY</v>
      </c>
      <c r="F5428" t="e">
        <f t="shared" si="205"/>
        <v>#N/A</v>
      </c>
      <c r="G5428" s="74">
        <v>32003</v>
      </c>
      <c r="H5428" s="77">
        <v>0.41666666666666669</v>
      </c>
      <c r="J5428">
        <v>73.039999999999992</v>
      </c>
      <c r="M5428" s="74">
        <v>34560</v>
      </c>
      <c r="N5428" s="77">
        <v>0.41666666666666669</v>
      </c>
      <c r="P5428">
        <v>83.84</v>
      </c>
      <c r="S5428" s="74">
        <v>34925</v>
      </c>
      <c r="T5428" s="77">
        <v>0.41666666666666669</v>
      </c>
      <c r="V5428">
        <v>82.039999999999992</v>
      </c>
      <c r="X5428" s="42"/>
      <c r="AB5428">
        <v>76.3</v>
      </c>
      <c r="AC5428">
        <v>84.02</v>
      </c>
      <c r="AE5428" s="74"/>
      <c r="AF5428" s="77"/>
      <c r="AH5428" s="497">
        <v>72.86</v>
      </c>
      <c r="AJ5428" s="42"/>
      <c r="AK5428" s="74"/>
      <c r="AL5428" s="77"/>
      <c r="AN5428" s="497">
        <v>80.06</v>
      </c>
      <c r="AP5428" s="42"/>
      <c r="AQ5428" s="74"/>
      <c r="AR5428" s="77"/>
      <c r="AT5428" s="497">
        <v>84.02</v>
      </c>
      <c r="AV5428" s="42"/>
      <c r="AW5428" s="74"/>
      <c r="AX5428" s="77"/>
      <c r="BA5428" s="497">
        <v>71.06</v>
      </c>
      <c r="BB5428" s="42"/>
      <c r="BC5428" s="74"/>
      <c r="BD5428" s="77"/>
      <c r="BF5428">
        <v>75.02</v>
      </c>
      <c r="BH5428" s="42"/>
      <c r="BI5428" s="74"/>
      <c r="BJ5428" s="77"/>
      <c r="BL5428" s="497">
        <v>69.98</v>
      </c>
      <c r="BN5428" s="42"/>
      <c r="BO5428" s="74"/>
      <c r="BP5428" s="77"/>
      <c r="BR5428" s="497">
        <v>80.960000000000008</v>
      </c>
      <c r="BT5428" s="42"/>
    </row>
    <row r="5429" spans="1:72" x14ac:dyDescent="0.25">
      <c r="A5429" s="90">
        <v>34925</v>
      </c>
      <c r="B5429" s="20">
        <v>0.45833333333333331</v>
      </c>
      <c r="D5429">
        <v>75.92</v>
      </c>
      <c r="E5429" t="str">
        <f t="shared" si="204"/>
        <v>WEEKDAY</v>
      </c>
      <c r="F5429" t="e">
        <f t="shared" si="205"/>
        <v>#N/A</v>
      </c>
      <c r="G5429" s="74">
        <v>32003</v>
      </c>
      <c r="H5429" s="77">
        <v>0.45833333333333331</v>
      </c>
      <c r="J5429">
        <v>75.02</v>
      </c>
      <c r="M5429" s="74">
        <v>34560</v>
      </c>
      <c r="N5429" s="77">
        <v>0.45833333333333331</v>
      </c>
      <c r="P5429">
        <v>84.92</v>
      </c>
      <c r="S5429" s="74">
        <v>34925</v>
      </c>
      <c r="T5429" s="77">
        <v>0.45833333333333331</v>
      </c>
      <c r="V5429">
        <v>82.94</v>
      </c>
      <c r="X5429" s="42"/>
      <c r="AB5429">
        <v>77.900000000000006</v>
      </c>
      <c r="AC5429">
        <v>86</v>
      </c>
      <c r="AE5429" s="74"/>
      <c r="AF5429" s="77"/>
      <c r="AH5429" s="497">
        <v>70.88</v>
      </c>
      <c r="AJ5429" s="42"/>
      <c r="AK5429" s="74"/>
      <c r="AL5429" s="77"/>
      <c r="AN5429" s="497">
        <v>82.94</v>
      </c>
      <c r="AP5429" s="42"/>
      <c r="AQ5429" s="74"/>
      <c r="AR5429" s="77"/>
      <c r="AT5429" s="497">
        <v>84.02</v>
      </c>
      <c r="AV5429" s="42"/>
      <c r="AW5429" s="74"/>
      <c r="AX5429" s="77"/>
      <c r="BA5429" s="497">
        <v>71.06</v>
      </c>
      <c r="BB5429" s="42"/>
      <c r="BC5429" s="74"/>
      <c r="BD5429" s="77"/>
      <c r="BF5429">
        <v>75.92</v>
      </c>
      <c r="BH5429" s="42"/>
      <c r="BI5429" s="74"/>
      <c r="BJ5429" s="77"/>
      <c r="BL5429" s="497">
        <v>69.98</v>
      </c>
      <c r="BN5429" s="42"/>
      <c r="BO5429" s="74"/>
      <c r="BP5429" s="77"/>
      <c r="BR5429" s="497">
        <v>84.02</v>
      </c>
      <c r="BT5429" s="42"/>
    </row>
    <row r="5430" spans="1:72" x14ac:dyDescent="0.25">
      <c r="A5430" s="90">
        <v>34925</v>
      </c>
      <c r="B5430" s="20">
        <v>0.5</v>
      </c>
      <c r="D5430">
        <v>77</v>
      </c>
      <c r="E5430" t="str">
        <f t="shared" si="204"/>
        <v>WEEKDAY</v>
      </c>
      <c r="F5430" t="e">
        <f t="shared" si="205"/>
        <v>#N/A</v>
      </c>
      <c r="G5430" s="74">
        <v>32003</v>
      </c>
      <c r="H5430" s="77">
        <v>0.5</v>
      </c>
      <c r="J5430">
        <v>75.92</v>
      </c>
      <c r="M5430" s="74">
        <v>34560</v>
      </c>
      <c r="N5430" s="77">
        <v>0.5</v>
      </c>
      <c r="P5430">
        <v>80.960000000000008</v>
      </c>
      <c r="S5430" s="74">
        <v>34925</v>
      </c>
      <c r="T5430" s="77">
        <v>0.5</v>
      </c>
      <c r="V5430">
        <v>84.02</v>
      </c>
      <c r="X5430" s="42"/>
      <c r="AB5430">
        <v>79.099999999999994</v>
      </c>
      <c r="AC5430">
        <v>86</v>
      </c>
      <c r="AE5430" s="74"/>
      <c r="AF5430" s="77"/>
      <c r="AH5430" s="497">
        <v>71.960000000000008</v>
      </c>
      <c r="AJ5430" s="42"/>
      <c r="AK5430" s="74"/>
      <c r="AL5430" s="77"/>
      <c r="AN5430" s="497">
        <v>78.080000000000013</v>
      </c>
      <c r="AP5430" s="42"/>
      <c r="AQ5430" s="74"/>
      <c r="AR5430" s="77"/>
      <c r="AT5430" s="497">
        <v>87.98</v>
      </c>
      <c r="AV5430" s="42"/>
      <c r="AW5430" s="74"/>
      <c r="AX5430" s="77"/>
      <c r="BA5430" s="497">
        <v>75.02</v>
      </c>
      <c r="BB5430" s="42"/>
      <c r="BC5430" s="74"/>
      <c r="BD5430" s="77"/>
      <c r="BF5430">
        <v>80.06</v>
      </c>
      <c r="BH5430" s="42"/>
      <c r="BI5430" s="74"/>
      <c r="BJ5430" s="77"/>
      <c r="BL5430" s="497">
        <v>73.039999999999992</v>
      </c>
      <c r="BN5430" s="42"/>
      <c r="BO5430" s="74"/>
      <c r="BP5430" s="77"/>
      <c r="BR5430" s="497">
        <v>84.92</v>
      </c>
      <c r="BT5430" s="42"/>
    </row>
    <row r="5431" spans="1:72" x14ac:dyDescent="0.25">
      <c r="A5431" s="90">
        <v>34925</v>
      </c>
      <c r="B5431" s="20">
        <v>0.54166666666666663</v>
      </c>
      <c r="D5431">
        <v>77</v>
      </c>
      <c r="E5431" t="str">
        <f t="shared" si="204"/>
        <v>WEEKDAY</v>
      </c>
      <c r="F5431" t="e">
        <f t="shared" si="205"/>
        <v>#N/A</v>
      </c>
      <c r="G5431" s="74">
        <v>32003</v>
      </c>
      <c r="H5431" s="77">
        <v>0.54166666666666663</v>
      </c>
      <c r="J5431">
        <v>78.080000000000013</v>
      </c>
      <c r="M5431" s="74">
        <v>34560</v>
      </c>
      <c r="N5431" s="77">
        <v>0.54166666666666663</v>
      </c>
      <c r="P5431">
        <v>72.86</v>
      </c>
      <c r="S5431" s="74">
        <v>34925</v>
      </c>
      <c r="T5431" s="77">
        <v>0.54166666666666663</v>
      </c>
      <c r="V5431">
        <v>84.92</v>
      </c>
      <c r="X5431" s="42"/>
      <c r="AB5431">
        <v>79.8</v>
      </c>
      <c r="AC5431">
        <v>84.92</v>
      </c>
      <c r="AE5431" s="74"/>
      <c r="AF5431" s="77"/>
      <c r="AH5431" s="497">
        <v>70.88</v>
      </c>
      <c r="AJ5431" s="42"/>
      <c r="AK5431" s="74"/>
      <c r="AL5431" s="77"/>
      <c r="AN5431" s="497">
        <v>89.06</v>
      </c>
      <c r="AP5431" s="42"/>
      <c r="AQ5431" s="74"/>
      <c r="AR5431" s="77"/>
      <c r="AT5431" s="497">
        <v>89.06</v>
      </c>
      <c r="AV5431" s="42"/>
      <c r="AW5431" s="74"/>
      <c r="AX5431" s="77"/>
      <c r="BA5431" s="497">
        <v>75.92</v>
      </c>
      <c r="BB5431" s="42"/>
      <c r="BC5431" s="74"/>
      <c r="BD5431" s="77"/>
      <c r="BF5431">
        <v>78.98</v>
      </c>
      <c r="BH5431" s="42"/>
      <c r="BI5431" s="74"/>
      <c r="BJ5431" s="77"/>
      <c r="BL5431" s="497">
        <v>73.039999999999992</v>
      </c>
      <c r="BN5431" s="42"/>
      <c r="BO5431" s="74"/>
      <c r="BP5431" s="77"/>
      <c r="BR5431" s="497">
        <v>86</v>
      </c>
      <c r="BT5431" s="42"/>
    </row>
    <row r="5432" spans="1:72" x14ac:dyDescent="0.25">
      <c r="A5432" s="90">
        <v>34925</v>
      </c>
      <c r="B5432" s="20">
        <v>0.58333333333333337</v>
      </c>
      <c r="D5432">
        <v>75.92</v>
      </c>
      <c r="E5432" t="str">
        <f t="shared" si="204"/>
        <v>WEEKDAY</v>
      </c>
      <c r="F5432" t="e">
        <f t="shared" si="205"/>
        <v>#N/A</v>
      </c>
      <c r="G5432" s="74">
        <v>32003</v>
      </c>
      <c r="H5432" s="77">
        <v>0.58333333333333337</v>
      </c>
      <c r="J5432">
        <v>78.98</v>
      </c>
      <c r="M5432" s="74">
        <v>34560</v>
      </c>
      <c r="N5432" s="77">
        <v>0.58333333333333337</v>
      </c>
      <c r="P5432">
        <v>68.900000000000006</v>
      </c>
      <c r="S5432" s="74">
        <v>34925</v>
      </c>
      <c r="T5432" s="77">
        <v>0.58333333333333337</v>
      </c>
      <c r="V5432">
        <v>86</v>
      </c>
      <c r="X5432" s="42"/>
      <c r="AB5432">
        <v>80.099999999999994</v>
      </c>
      <c r="AC5432">
        <v>84.02</v>
      </c>
      <c r="AE5432" s="74"/>
      <c r="AF5432" s="77"/>
      <c r="AH5432" s="497">
        <v>71.960000000000008</v>
      </c>
      <c r="AJ5432" s="42"/>
      <c r="AK5432" s="74"/>
      <c r="AL5432" s="77"/>
      <c r="AN5432" s="497">
        <v>93.02</v>
      </c>
      <c r="AP5432" s="42"/>
      <c r="AQ5432" s="74"/>
      <c r="AR5432" s="77"/>
      <c r="AT5432" s="497">
        <v>89.960000000000008</v>
      </c>
      <c r="AV5432" s="42"/>
      <c r="AW5432" s="74"/>
      <c r="AX5432" s="77"/>
      <c r="BA5432" s="497">
        <v>75.92</v>
      </c>
      <c r="BB5432" s="42"/>
      <c r="BC5432" s="74"/>
      <c r="BD5432" s="77"/>
      <c r="BF5432">
        <v>82.94</v>
      </c>
      <c r="BH5432" s="42"/>
      <c r="BI5432" s="74"/>
      <c r="BJ5432" s="77"/>
      <c r="BL5432" s="497">
        <v>71.960000000000008</v>
      </c>
      <c r="BN5432" s="42"/>
      <c r="BO5432" s="74"/>
      <c r="BP5432" s="77"/>
      <c r="BR5432" s="497">
        <v>86</v>
      </c>
      <c r="BT5432" s="42"/>
    </row>
    <row r="5433" spans="1:72" x14ac:dyDescent="0.25">
      <c r="A5433" s="90">
        <v>34925</v>
      </c>
      <c r="B5433" s="20">
        <v>0.625</v>
      </c>
      <c r="D5433">
        <v>77</v>
      </c>
      <c r="E5433" t="str">
        <f t="shared" si="204"/>
        <v>WEEKDAY</v>
      </c>
      <c r="F5433" t="e">
        <f t="shared" si="205"/>
        <v>#N/A</v>
      </c>
      <c r="G5433" s="74">
        <v>32003</v>
      </c>
      <c r="H5433" s="77">
        <v>0.625</v>
      </c>
      <c r="J5433">
        <v>78.98</v>
      </c>
      <c r="M5433" s="74">
        <v>34560</v>
      </c>
      <c r="N5433" s="77">
        <v>0.625</v>
      </c>
      <c r="P5433">
        <v>69.98</v>
      </c>
      <c r="S5433" s="74">
        <v>34925</v>
      </c>
      <c r="T5433" s="77">
        <v>0.625</v>
      </c>
      <c r="V5433">
        <v>82.94</v>
      </c>
      <c r="X5433" s="42"/>
      <c r="AB5433">
        <v>80.2</v>
      </c>
      <c r="AC5433">
        <v>82.94</v>
      </c>
      <c r="AE5433" s="74"/>
      <c r="AF5433" s="77"/>
      <c r="AH5433" s="497">
        <v>72.86</v>
      </c>
      <c r="AJ5433" s="42"/>
      <c r="AK5433" s="74"/>
      <c r="AL5433" s="77"/>
      <c r="AN5433" s="497">
        <v>89.960000000000008</v>
      </c>
      <c r="AP5433" s="42"/>
      <c r="AQ5433" s="74"/>
      <c r="AR5433" s="77"/>
      <c r="AT5433" s="497">
        <v>89.960000000000008</v>
      </c>
      <c r="AV5433" s="42"/>
      <c r="AW5433" s="74"/>
      <c r="AX5433" s="77"/>
      <c r="BA5433" s="497">
        <v>77</v>
      </c>
      <c r="BB5433" s="42"/>
      <c r="BC5433" s="74"/>
      <c r="BD5433" s="77"/>
      <c r="BF5433">
        <v>82.039999999999992</v>
      </c>
      <c r="BH5433" s="42"/>
      <c r="BI5433" s="74"/>
      <c r="BJ5433" s="77"/>
      <c r="BL5433" s="497">
        <v>73.039999999999992</v>
      </c>
      <c r="BN5433" s="42"/>
      <c r="BO5433" s="74"/>
      <c r="BP5433" s="77"/>
      <c r="BR5433" s="497">
        <v>87.080000000000013</v>
      </c>
      <c r="BT5433" s="42"/>
    </row>
    <row r="5434" spans="1:72" x14ac:dyDescent="0.25">
      <c r="A5434" s="90">
        <v>34925</v>
      </c>
      <c r="B5434" s="20">
        <v>0.66666666666666663</v>
      </c>
      <c r="D5434">
        <v>75.92</v>
      </c>
      <c r="E5434" t="str">
        <f t="shared" si="204"/>
        <v>WEEKDAY</v>
      </c>
      <c r="F5434" t="e">
        <f t="shared" si="205"/>
        <v>#N/A</v>
      </c>
      <c r="G5434" s="74">
        <v>32003</v>
      </c>
      <c r="H5434" s="77">
        <v>0.66666666666666663</v>
      </c>
      <c r="J5434">
        <v>78.98</v>
      </c>
      <c r="M5434" s="74">
        <v>34560</v>
      </c>
      <c r="N5434" s="77">
        <v>0.66666666666666663</v>
      </c>
      <c r="P5434">
        <v>70.88</v>
      </c>
      <c r="S5434" s="74">
        <v>34925</v>
      </c>
      <c r="T5434" s="77">
        <v>0.66666666666666663</v>
      </c>
      <c r="V5434">
        <v>82.039999999999992</v>
      </c>
      <c r="X5434" s="42"/>
      <c r="AB5434">
        <v>79.900000000000006</v>
      </c>
      <c r="AC5434">
        <v>82.94</v>
      </c>
      <c r="AE5434" s="74"/>
      <c r="AF5434" s="77"/>
      <c r="AH5434" s="497">
        <v>72.86</v>
      </c>
      <c r="AJ5434" s="42"/>
      <c r="AK5434" s="74"/>
      <c r="AL5434" s="77"/>
      <c r="AN5434" s="497">
        <v>91.94</v>
      </c>
      <c r="AP5434" s="42"/>
      <c r="AQ5434" s="74"/>
      <c r="AR5434" s="77"/>
      <c r="AT5434" s="497">
        <v>91.039999999999992</v>
      </c>
      <c r="AV5434" s="42"/>
      <c r="AW5434" s="74"/>
      <c r="AX5434" s="77"/>
      <c r="BA5434" s="497">
        <v>75.92</v>
      </c>
      <c r="BB5434" s="42"/>
      <c r="BC5434" s="74"/>
      <c r="BD5434" s="77"/>
      <c r="BF5434">
        <v>82.039999999999992</v>
      </c>
      <c r="BH5434" s="42"/>
      <c r="BI5434" s="74"/>
      <c r="BJ5434" s="77"/>
      <c r="BL5434" s="497">
        <v>73.94</v>
      </c>
      <c r="BN5434" s="42"/>
      <c r="BO5434" s="74"/>
      <c r="BP5434" s="77"/>
      <c r="BR5434" s="497">
        <v>89.06</v>
      </c>
      <c r="BT5434" s="42"/>
    </row>
    <row r="5435" spans="1:72" x14ac:dyDescent="0.25">
      <c r="A5435" s="90">
        <v>34925</v>
      </c>
      <c r="B5435" s="20">
        <v>0.70833333333333337</v>
      </c>
      <c r="D5435">
        <v>75.92</v>
      </c>
      <c r="E5435" t="str">
        <f t="shared" si="204"/>
        <v>WEEKDAY</v>
      </c>
      <c r="F5435" t="e">
        <f t="shared" si="205"/>
        <v>#N/A</v>
      </c>
      <c r="G5435" s="74">
        <v>32003</v>
      </c>
      <c r="H5435" s="77">
        <v>0.70833333333333337</v>
      </c>
      <c r="J5435">
        <v>77</v>
      </c>
      <c r="M5435" s="74">
        <v>34560</v>
      </c>
      <c r="N5435" s="77">
        <v>0.70833333333333337</v>
      </c>
      <c r="P5435">
        <v>70.88</v>
      </c>
      <c r="S5435" s="74">
        <v>34925</v>
      </c>
      <c r="T5435" s="77">
        <v>0.70833333333333337</v>
      </c>
      <c r="V5435">
        <v>80.960000000000008</v>
      </c>
      <c r="X5435" s="42"/>
      <c r="AB5435">
        <v>79</v>
      </c>
      <c r="AC5435">
        <v>80.960000000000008</v>
      </c>
      <c r="AE5435" s="74"/>
      <c r="AF5435" s="77"/>
      <c r="AH5435" s="497">
        <v>73.94</v>
      </c>
      <c r="AJ5435" s="42"/>
      <c r="AK5435" s="74"/>
      <c r="AL5435" s="77"/>
      <c r="AN5435" s="497">
        <v>82.94</v>
      </c>
      <c r="AP5435" s="42"/>
      <c r="AQ5435" s="74"/>
      <c r="AR5435" s="77"/>
      <c r="AT5435" s="497">
        <v>87.98</v>
      </c>
      <c r="AV5435" s="42"/>
      <c r="AW5435" s="74"/>
      <c r="AX5435" s="77"/>
      <c r="BA5435" s="497">
        <v>75.02</v>
      </c>
      <c r="BB5435" s="42"/>
      <c r="BC5435" s="74"/>
      <c r="BD5435" s="77"/>
      <c r="BF5435">
        <v>80.960000000000008</v>
      </c>
      <c r="BH5435" s="42"/>
      <c r="BI5435" s="74"/>
      <c r="BJ5435" s="77"/>
      <c r="BL5435" s="497">
        <v>73.039999999999992</v>
      </c>
      <c r="BN5435" s="42"/>
      <c r="BO5435" s="74"/>
      <c r="BP5435" s="77"/>
      <c r="BR5435" s="497">
        <v>87.98</v>
      </c>
      <c r="BT5435" s="42"/>
    </row>
    <row r="5436" spans="1:72" x14ac:dyDescent="0.25">
      <c r="A5436" s="90">
        <v>34925</v>
      </c>
      <c r="B5436" s="20">
        <v>0.75</v>
      </c>
      <c r="D5436">
        <v>75.02</v>
      </c>
      <c r="E5436" t="str">
        <f t="shared" si="204"/>
        <v>WEEKDAY</v>
      </c>
      <c r="F5436" t="e">
        <f t="shared" si="205"/>
        <v>#N/A</v>
      </c>
      <c r="G5436" s="74">
        <v>32003</v>
      </c>
      <c r="H5436" s="77">
        <v>0.75</v>
      </c>
      <c r="J5436">
        <v>75.92</v>
      </c>
      <c r="M5436" s="74">
        <v>34560</v>
      </c>
      <c r="N5436" s="77">
        <v>0.75</v>
      </c>
      <c r="P5436">
        <v>70.88</v>
      </c>
      <c r="S5436" s="74">
        <v>34925</v>
      </c>
      <c r="T5436" s="77">
        <v>0.75</v>
      </c>
      <c r="V5436">
        <v>78.98</v>
      </c>
      <c r="X5436" s="42"/>
      <c r="AB5436">
        <v>78</v>
      </c>
      <c r="AC5436">
        <v>80.06</v>
      </c>
      <c r="AE5436" s="74"/>
      <c r="AF5436" s="77"/>
      <c r="AH5436" s="497">
        <v>73.94</v>
      </c>
      <c r="AJ5436" s="42"/>
      <c r="AK5436" s="74"/>
      <c r="AL5436" s="77"/>
      <c r="AN5436" s="497">
        <v>77</v>
      </c>
      <c r="AP5436" s="42"/>
      <c r="AQ5436" s="74"/>
      <c r="AR5436" s="77"/>
      <c r="AT5436" s="497">
        <v>84.02</v>
      </c>
      <c r="AV5436" s="42"/>
      <c r="AW5436" s="74"/>
      <c r="AX5436" s="77"/>
      <c r="BA5436" s="497">
        <v>73.94</v>
      </c>
      <c r="BB5436" s="42"/>
      <c r="BC5436" s="74"/>
      <c r="BD5436" s="77"/>
      <c r="BF5436">
        <v>78.98</v>
      </c>
      <c r="BH5436" s="42"/>
      <c r="BI5436" s="74"/>
      <c r="BJ5436" s="77"/>
      <c r="BL5436" s="497">
        <v>69.98</v>
      </c>
      <c r="BN5436" s="42"/>
      <c r="BO5436" s="74"/>
      <c r="BP5436" s="77"/>
      <c r="BR5436" s="497">
        <v>87.98</v>
      </c>
      <c r="BT5436" s="42"/>
    </row>
    <row r="5437" spans="1:72" x14ac:dyDescent="0.25">
      <c r="A5437" s="90">
        <v>34925</v>
      </c>
      <c r="B5437" s="20">
        <v>0.79166666666666663</v>
      </c>
      <c r="D5437">
        <v>73.94</v>
      </c>
      <c r="E5437" t="str">
        <f t="shared" si="204"/>
        <v>WEEKDAY</v>
      </c>
      <c r="F5437" t="e">
        <f t="shared" si="205"/>
        <v>#N/A</v>
      </c>
      <c r="G5437" s="74">
        <v>32003</v>
      </c>
      <c r="H5437" s="77">
        <v>0.79166666666666663</v>
      </c>
      <c r="J5437">
        <v>73.94</v>
      </c>
      <c r="M5437" s="74">
        <v>34560</v>
      </c>
      <c r="N5437" s="77">
        <v>0.79166666666666663</v>
      </c>
      <c r="P5437">
        <v>69.98</v>
      </c>
      <c r="S5437" s="74">
        <v>34925</v>
      </c>
      <c r="T5437" s="77">
        <v>0.79166666666666663</v>
      </c>
      <c r="V5437">
        <v>77</v>
      </c>
      <c r="X5437" s="42"/>
      <c r="AB5437">
        <v>76.599999999999994</v>
      </c>
      <c r="AC5437">
        <v>78.98</v>
      </c>
      <c r="AE5437" s="74"/>
      <c r="AF5437" s="77"/>
      <c r="AH5437" s="497">
        <v>72.86</v>
      </c>
      <c r="AJ5437" s="42"/>
      <c r="AK5437" s="74"/>
      <c r="AL5437" s="77"/>
      <c r="AN5437" s="497">
        <v>77</v>
      </c>
      <c r="AP5437" s="42"/>
      <c r="AQ5437" s="74"/>
      <c r="AR5437" s="77"/>
      <c r="AT5437" s="497">
        <v>82.94</v>
      </c>
      <c r="AV5437" s="42"/>
      <c r="AW5437" s="74"/>
      <c r="AX5437" s="77"/>
      <c r="BA5437" s="497">
        <v>71.960000000000008</v>
      </c>
      <c r="BB5437" s="42"/>
      <c r="BC5437" s="74"/>
      <c r="BD5437" s="77"/>
      <c r="BF5437">
        <v>77</v>
      </c>
      <c r="BH5437" s="42"/>
      <c r="BI5437" s="74"/>
      <c r="BJ5437" s="77"/>
      <c r="BL5437" s="497">
        <v>66.92</v>
      </c>
      <c r="BN5437" s="42"/>
      <c r="BO5437" s="74"/>
      <c r="BP5437" s="77"/>
      <c r="BR5437" s="497">
        <v>82.039999999999992</v>
      </c>
      <c r="BT5437" s="42"/>
    </row>
    <row r="5438" spans="1:72" x14ac:dyDescent="0.25">
      <c r="A5438" s="90">
        <v>34925</v>
      </c>
      <c r="B5438" s="20">
        <v>0.83333333333333337</v>
      </c>
      <c r="D5438">
        <v>73.039999999999992</v>
      </c>
      <c r="E5438" t="str">
        <f t="shared" si="204"/>
        <v>WEEKDAY</v>
      </c>
      <c r="F5438" t="e">
        <f t="shared" si="205"/>
        <v>#N/A</v>
      </c>
      <c r="G5438" s="74">
        <v>32003</v>
      </c>
      <c r="H5438" s="77">
        <v>0.83333333333333337</v>
      </c>
      <c r="J5438">
        <v>71.960000000000008</v>
      </c>
      <c r="M5438" s="74">
        <v>34560</v>
      </c>
      <c r="N5438" s="77">
        <v>0.83333333333333337</v>
      </c>
      <c r="P5438">
        <v>69.98</v>
      </c>
      <c r="S5438" s="74">
        <v>34925</v>
      </c>
      <c r="T5438" s="77">
        <v>0.83333333333333337</v>
      </c>
      <c r="V5438">
        <v>77</v>
      </c>
      <c r="X5438" s="42"/>
      <c r="AB5438">
        <v>75.2</v>
      </c>
      <c r="AC5438">
        <v>78.080000000000013</v>
      </c>
      <c r="AE5438" s="74"/>
      <c r="AF5438" s="77"/>
      <c r="AH5438" s="497">
        <v>71.960000000000008</v>
      </c>
      <c r="AJ5438" s="42"/>
      <c r="AK5438" s="74"/>
      <c r="AL5438" s="77"/>
      <c r="AN5438" s="497">
        <v>75.02</v>
      </c>
      <c r="AP5438" s="42"/>
      <c r="AQ5438" s="74"/>
      <c r="AR5438" s="77"/>
      <c r="AT5438" s="497">
        <v>82.039999999999992</v>
      </c>
      <c r="AV5438" s="42"/>
      <c r="AW5438" s="74"/>
      <c r="AX5438" s="77"/>
      <c r="BA5438" s="497">
        <v>68</v>
      </c>
      <c r="BB5438" s="42"/>
      <c r="BC5438" s="74"/>
      <c r="BD5438" s="77"/>
      <c r="BF5438">
        <v>75.92</v>
      </c>
      <c r="BH5438" s="42"/>
      <c r="BI5438" s="74"/>
      <c r="BJ5438" s="77"/>
      <c r="BL5438" s="497">
        <v>64.039999999999992</v>
      </c>
      <c r="BN5438" s="42"/>
      <c r="BO5438" s="74"/>
      <c r="BP5438" s="77"/>
      <c r="BR5438" s="497">
        <v>75.92</v>
      </c>
      <c r="BT5438" s="42"/>
    </row>
    <row r="5439" spans="1:72" x14ac:dyDescent="0.25">
      <c r="A5439" s="90">
        <v>34925</v>
      </c>
      <c r="B5439" s="20">
        <v>0.875</v>
      </c>
      <c r="D5439">
        <v>73.039999999999992</v>
      </c>
      <c r="E5439" t="str">
        <f t="shared" si="204"/>
        <v>WEEKDAY</v>
      </c>
      <c r="F5439" t="e">
        <f t="shared" si="205"/>
        <v>#N/A</v>
      </c>
      <c r="G5439" s="74">
        <v>32003</v>
      </c>
      <c r="H5439" s="77">
        <v>0.875</v>
      </c>
      <c r="J5439">
        <v>71.960000000000008</v>
      </c>
      <c r="M5439" s="74">
        <v>34560</v>
      </c>
      <c r="N5439" s="77">
        <v>0.875</v>
      </c>
      <c r="P5439">
        <v>69.98</v>
      </c>
      <c r="S5439" s="74">
        <v>34925</v>
      </c>
      <c r="T5439" s="77">
        <v>0.875</v>
      </c>
      <c r="V5439">
        <v>77</v>
      </c>
      <c r="X5439" s="42"/>
      <c r="AB5439">
        <v>74.3</v>
      </c>
      <c r="AC5439">
        <v>77</v>
      </c>
      <c r="AE5439" s="74"/>
      <c r="AF5439" s="77"/>
      <c r="AH5439" s="497">
        <v>68.900000000000006</v>
      </c>
      <c r="AJ5439" s="42"/>
      <c r="AK5439" s="74"/>
      <c r="AL5439" s="77"/>
      <c r="AN5439" s="497">
        <v>71.960000000000008</v>
      </c>
      <c r="AP5439" s="42"/>
      <c r="AQ5439" s="74"/>
      <c r="AR5439" s="77"/>
      <c r="AT5439" s="497">
        <v>78.080000000000013</v>
      </c>
      <c r="AV5439" s="42"/>
      <c r="AW5439" s="74"/>
      <c r="AX5439" s="77"/>
      <c r="BA5439" s="497">
        <v>66.92</v>
      </c>
      <c r="BB5439" s="42"/>
      <c r="BC5439" s="74"/>
      <c r="BD5439" s="77"/>
      <c r="BF5439">
        <v>75.92</v>
      </c>
      <c r="BH5439" s="42"/>
      <c r="BI5439" s="74"/>
      <c r="BJ5439" s="77"/>
      <c r="BL5439" s="497">
        <v>60.980000000000004</v>
      </c>
      <c r="BN5439" s="42"/>
      <c r="BO5439" s="74"/>
      <c r="BP5439" s="77"/>
      <c r="BR5439" s="497">
        <v>73.94</v>
      </c>
      <c r="BT5439" s="42"/>
    </row>
    <row r="5440" spans="1:72" x14ac:dyDescent="0.25">
      <c r="A5440" s="90">
        <v>34925</v>
      </c>
      <c r="B5440" s="20">
        <v>0.91666666666666663</v>
      </c>
      <c r="D5440">
        <v>73.039999999999992</v>
      </c>
      <c r="E5440" t="str">
        <f t="shared" si="204"/>
        <v>WEEKDAY</v>
      </c>
      <c r="F5440" t="e">
        <f t="shared" si="205"/>
        <v>#N/A</v>
      </c>
      <c r="G5440" s="74">
        <v>32003</v>
      </c>
      <c r="H5440" s="77">
        <v>0.91666666666666663</v>
      </c>
      <c r="J5440">
        <v>71.960000000000008</v>
      </c>
      <c r="M5440" s="74">
        <v>34560</v>
      </c>
      <c r="N5440" s="77">
        <v>0.91666666666666663</v>
      </c>
      <c r="P5440">
        <v>65.84</v>
      </c>
      <c r="S5440" s="74">
        <v>34925</v>
      </c>
      <c r="T5440" s="77">
        <v>0.91666666666666663</v>
      </c>
      <c r="V5440">
        <v>75.92</v>
      </c>
      <c r="X5440" s="42"/>
      <c r="AB5440">
        <v>73.900000000000006</v>
      </c>
      <c r="AC5440">
        <v>75.92</v>
      </c>
      <c r="AE5440" s="74"/>
      <c r="AF5440" s="77"/>
      <c r="AH5440" s="497">
        <v>66.92</v>
      </c>
      <c r="AJ5440" s="42"/>
      <c r="AK5440" s="74"/>
      <c r="AL5440" s="77"/>
      <c r="AN5440" s="497">
        <v>71.06</v>
      </c>
      <c r="AP5440" s="42"/>
      <c r="AQ5440" s="74"/>
      <c r="AR5440" s="77"/>
      <c r="AT5440" s="497">
        <v>78.080000000000013</v>
      </c>
      <c r="AV5440" s="42"/>
      <c r="AW5440" s="74"/>
      <c r="AX5440" s="77"/>
      <c r="BA5440" s="497">
        <v>66.02</v>
      </c>
      <c r="BB5440" s="42"/>
      <c r="BC5440" s="74"/>
      <c r="BD5440" s="77"/>
      <c r="BF5440">
        <v>75.02</v>
      </c>
      <c r="BH5440" s="42"/>
      <c r="BI5440" s="74"/>
      <c r="BJ5440" s="77"/>
      <c r="BL5440" s="497">
        <v>60.980000000000004</v>
      </c>
      <c r="BN5440" s="42"/>
      <c r="BO5440" s="74"/>
      <c r="BP5440" s="77"/>
      <c r="BR5440" s="497">
        <v>73.039999999999992</v>
      </c>
      <c r="BT5440" s="42"/>
    </row>
    <row r="5441" spans="1:72" x14ac:dyDescent="0.25">
      <c r="A5441" s="90">
        <v>34925</v>
      </c>
      <c r="B5441" s="20">
        <v>0.95833333333333337</v>
      </c>
      <c r="D5441">
        <v>73.039999999999992</v>
      </c>
      <c r="E5441" t="str">
        <f t="shared" si="204"/>
        <v>WEEKDAY</v>
      </c>
      <c r="F5441" t="e">
        <f t="shared" si="205"/>
        <v>#N/A</v>
      </c>
      <c r="G5441" s="74">
        <v>32003</v>
      </c>
      <c r="H5441" s="77">
        <v>0.95833333333333337</v>
      </c>
      <c r="J5441">
        <v>71.960000000000008</v>
      </c>
      <c r="M5441" s="74">
        <v>34560</v>
      </c>
      <c r="N5441" s="77">
        <v>0.95833333333333337</v>
      </c>
      <c r="P5441">
        <v>66.92</v>
      </c>
      <c r="S5441" s="74">
        <v>34925</v>
      </c>
      <c r="T5441" s="77">
        <v>0.95833333333333337</v>
      </c>
      <c r="V5441">
        <v>75.92</v>
      </c>
      <c r="X5441" s="42"/>
      <c r="AB5441">
        <v>73.400000000000006</v>
      </c>
      <c r="AC5441">
        <v>75.92</v>
      </c>
      <c r="AE5441" s="74"/>
      <c r="AF5441" s="77"/>
      <c r="AH5441" s="497">
        <v>60.980000000000004</v>
      </c>
      <c r="AJ5441" s="42"/>
      <c r="AK5441" s="74"/>
      <c r="AL5441" s="77"/>
      <c r="AN5441" s="497">
        <v>73.039999999999992</v>
      </c>
      <c r="AP5441" s="42"/>
      <c r="AQ5441" s="74"/>
      <c r="AR5441" s="77"/>
      <c r="AT5441" s="497">
        <v>77</v>
      </c>
      <c r="AV5441" s="42"/>
      <c r="AW5441" s="74"/>
      <c r="AX5441" s="77"/>
      <c r="BA5441" s="497">
        <v>62.96</v>
      </c>
      <c r="BB5441" s="42"/>
      <c r="BC5441" s="74"/>
      <c r="BD5441" s="77"/>
      <c r="BF5441">
        <v>75.02</v>
      </c>
      <c r="BH5441" s="42"/>
      <c r="BI5441" s="74"/>
      <c r="BJ5441" s="77"/>
      <c r="BL5441" s="497">
        <v>60.08</v>
      </c>
      <c r="BN5441" s="42"/>
      <c r="BO5441" s="74"/>
      <c r="BP5441" s="77"/>
      <c r="BR5441" s="497">
        <v>69.98</v>
      </c>
      <c r="BT5441" s="42"/>
    </row>
    <row r="5442" spans="1:72" x14ac:dyDescent="0.25">
      <c r="A5442" s="90">
        <v>34925</v>
      </c>
      <c r="B5442" s="20">
        <v>1</v>
      </c>
      <c r="D5442">
        <v>73.039999999999992</v>
      </c>
      <c r="E5442" t="str">
        <f t="shared" si="204"/>
        <v>WEEKDAY</v>
      </c>
      <c r="F5442" t="e">
        <f t="shared" si="205"/>
        <v>#N/A</v>
      </c>
      <c r="G5442" s="74">
        <v>32003</v>
      </c>
      <c r="H5442" s="77">
        <v>1</v>
      </c>
      <c r="J5442">
        <v>73.039999999999992</v>
      </c>
      <c r="M5442" s="74">
        <v>34560</v>
      </c>
      <c r="N5442" s="80">
        <v>1</v>
      </c>
      <c r="P5442">
        <v>65.84</v>
      </c>
      <c r="S5442" s="74">
        <v>34925</v>
      </c>
      <c r="T5442" s="80">
        <v>1</v>
      </c>
      <c r="V5442">
        <v>75.92</v>
      </c>
      <c r="X5442" s="42"/>
      <c r="AB5442">
        <v>72.900000000000006</v>
      </c>
      <c r="AC5442">
        <v>75.02</v>
      </c>
      <c r="AE5442" s="74"/>
      <c r="AF5442" s="80"/>
      <c r="AH5442" s="497">
        <v>59.900000000000006</v>
      </c>
      <c r="AJ5442" s="42"/>
      <c r="AK5442" s="74"/>
      <c r="AL5442" s="80"/>
      <c r="AN5442" s="497">
        <v>73.039999999999992</v>
      </c>
      <c r="AP5442" s="42"/>
      <c r="AQ5442" s="74"/>
      <c r="AR5442" s="80"/>
      <c r="AT5442" s="497">
        <v>75.02</v>
      </c>
      <c r="AV5442" s="42"/>
      <c r="AW5442" s="74"/>
      <c r="AX5442" s="80"/>
      <c r="BA5442" s="497">
        <v>64.039999999999992</v>
      </c>
      <c r="BB5442" s="42"/>
      <c r="BC5442" s="74"/>
      <c r="BD5442" s="80"/>
      <c r="BF5442">
        <v>75.92</v>
      </c>
      <c r="BH5442" s="42"/>
      <c r="BI5442" s="74"/>
      <c r="BJ5442" s="80"/>
      <c r="BL5442" s="497">
        <v>57.92</v>
      </c>
      <c r="BN5442" s="42"/>
      <c r="BO5442" s="74"/>
      <c r="BP5442" s="80"/>
      <c r="BR5442" s="497">
        <v>69.98</v>
      </c>
      <c r="BT5442" s="42"/>
    </row>
    <row r="5443" spans="1:72" x14ac:dyDescent="0.25">
      <c r="A5443" s="90">
        <v>34926</v>
      </c>
      <c r="B5443" s="20">
        <v>4.1666666666666664E-2</v>
      </c>
      <c r="D5443">
        <v>73.039999999999992</v>
      </c>
      <c r="E5443" t="str">
        <f t="shared" si="204"/>
        <v>WEEKDAY</v>
      </c>
      <c r="F5443" t="e">
        <f t="shared" si="205"/>
        <v>#N/A</v>
      </c>
      <c r="G5443" s="74">
        <v>32004</v>
      </c>
      <c r="H5443" s="77">
        <v>4.1666666666666664E-2</v>
      </c>
      <c r="J5443">
        <v>73.039999999999992</v>
      </c>
      <c r="M5443" s="74">
        <v>34561</v>
      </c>
      <c r="N5443" s="77">
        <v>4.1666666666666664E-2</v>
      </c>
      <c r="P5443">
        <v>64.94</v>
      </c>
      <c r="S5443" s="74">
        <v>34926</v>
      </c>
      <c r="T5443" s="77">
        <v>4.1666666666666664E-2</v>
      </c>
      <c r="V5443">
        <v>75.92</v>
      </c>
      <c r="X5443" s="42"/>
      <c r="AB5443">
        <v>72.2</v>
      </c>
      <c r="AC5443">
        <v>75.02</v>
      </c>
      <c r="AE5443" s="74"/>
      <c r="AF5443" s="77"/>
      <c r="AH5443" s="497">
        <v>59</v>
      </c>
      <c r="AJ5443" s="42"/>
      <c r="AK5443" s="74"/>
      <c r="AL5443" s="77"/>
      <c r="AN5443" s="497">
        <v>71.960000000000008</v>
      </c>
      <c r="AP5443" s="42"/>
      <c r="AQ5443" s="74"/>
      <c r="AR5443" s="77"/>
      <c r="AT5443" s="497">
        <v>73.94</v>
      </c>
      <c r="AV5443" s="42"/>
      <c r="AW5443" s="74"/>
      <c r="AX5443" s="77"/>
      <c r="BA5443" s="497">
        <v>62.06</v>
      </c>
      <c r="BB5443" s="42"/>
      <c r="BC5443" s="74"/>
      <c r="BD5443" s="77"/>
      <c r="BF5443">
        <v>75.92</v>
      </c>
      <c r="BH5443" s="42"/>
      <c r="BI5443" s="74"/>
      <c r="BJ5443" s="77"/>
      <c r="BL5443" s="497">
        <v>57.019999999999996</v>
      </c>
      <c r="BN5443" s="42"/>
      <c r="BO5443" s="74"/>
      <c r="BP5443" s="77"/>
      <c r="BR5443" s="497">
        <v>66.92</v>
      </c>
      <c r="BT5443" s="42"/>
    </row>
    <row r="5444" spans="1:72" x14ac:dyDescent="0.25">
      <c r="A5444" s="90">
        <v>34926</v>
      </c>
      <c r="B5444" s="20">
        <v>8.3333333333333329E-2</v>
      </c>
      <c r="D5444">
        <v>73.039999999999992</v>
      </c>
      <c r="E5444" t="str">
        <f t="shared" si="204"/>
        <v>WEEKDAY</v>
      </c>
      <c r="F5444" t="e">
        <f t="shared" si="205"/>
        <v>#N/A</v>
      </c>
      <c r="G5444" s="74">
        <v>32004</v>
      </c>
      <c r="H5444" s="77">
        <v>8.3333333333333329E-2</v>
      </c>
      <c r="J5444">
        <v>71.960000000000008</v>
      </c>
      <c r="M5444" s="74">
        <v>34561</v>
      </c>
      <c r="N5444" s="77">
        <v>8.3333333333333329E-2</v>
      </c>
      <c r="P5444">
        <v>63.86</v>
      </c>
      <c r="S5444" s="74">
        <v>34926</v>
      </c>
      <c r="T5444" s="77">
        <v>8.3333333333333329E-2</v>
      </c>
      <c r="V5444">
        <v>75.92</v>
      </c>
      <c r="X5444" s="42"/>
      <c r="AB5444">
        <v>71.599999999999994</v>
      </c>
      <c r="AC5444">
        <v>75.02</v>
      </c>
      <c r="AE5444" s="74"/>
      <c r="AF5444" s="77"/>
      <c r="AH5444" s="497">
        <v>56.84</v>
      </c>
      <c r="AJ5444" s="42"/>
      <c r="AK5444" s="74"/>
      <c r="AL5444" s="77"/>
      <c r="AN5444" s="497">
        <v>71.06</v>
      </c>
      <c r="AP5444" s="42"/>
      <c r="AQ5444" s="74"/>
      <c r="AR5444" s="77"/>
      <c r="AT5444" s="497">
        <v>73.94</v>
      </c>
      <c r="AV5444" s="42"/>
      <c r="AW5444" s="74"/>
      <c r="AX5444" s="77"/>
      <c r="BA5444" s="497">
        <v>62.06</v>
      </c>
      <c r="BB5444" s="42"/>
      <c r="BC5444" s="74"/>
      <c r="BD5444" s="77"/>
      <c r="BF5444">
        <v>73.039999999999992</v>
      </c>
      <c r="BH5444" s="42"/>
      <c r="BI5444" s="74"/>
      <c r="BJ5444" s="77"/>
      <c r="BL5444" s="497">
        <v>55.040000000000006</v>
      </c>
      <c r="BN5444" s="42"/>
      <c r="BO5444" s="74"/>
      <c r="BP5444" s="77"/>
      <c r="BR5444" s="497">
        <v>66.92</v>
      </c>
      <c r="BT5444" s="42"/>
    </row>
    <row r="5445" spans="1:72" x14ac:dyDescent="0.25">
      <c r="A5445" s="90">
        <v>34926</v>
      </c>
      <c r="B5445" s="20">
        <v>0.125</v>
      </c>
      <c r="D5445">
        <v>71.960000000000008</v>
      </c>
      <c r="E5445" t="str">
        <f t="shared" si="204"/>
        <v>WEEKDAY</v>
      </c>
      <c r="F5445" t="e">
        <f t="shared" si="205"/>
        <v>#N/A</v>
      </c>
      <c r="G5445" s="74">
        <v>32004</v>
      </c>
      <c r="H5445" s="77">
        <v>0.125</v>
      </c>
      <c r="J5445">
        <v>73.039999999999992</v>
      </c>
      <c r="M5445" s="74">
        <v>34561</v>
      </c>
      <c r="N5445" s="77">
        <v>0.125</v>
      </c>
      <c r="P5445">
        <v>61.88</v>
      </c>
      <c r="S5445" s="74">
        <v>34926</v>
      </c>
      <c r="T5445" s="77">
        <v>0.125</v>
      </c>
      <c r="V5445">
        <v>75.92</v>
      </c>
      <c r="X5445" s="42"/>
      <c r="AB5445">
        <v>71.2</v>
      </c>
      <c r="AC5445">
        <v>75.02</v>
      </c>
      <c r="AE5445" s="74"/>
      <c r="AF5445" s="77"/>
      <c r="AH5445" s="497">
        <v>55.94</v>
      </c>
      <c r="AJ5445" s="42"/>
      <c r="AK5445" s="74"/>
      <c r="AL5445" s="77"/>
      <c r="AN5445" s="497">
        <v>71.960000000000008</v>
      </c>
      <c r="AP5445" s="42"/>
      <c r="AQ5445" s="74"/>
      <c r="AR5445" s="77"/>
      <c r="AT5445" s="497">
        <v>73.94</v>
      </c>
      <c r="AV5445" s="42"/>
      <c r="AW5445" s="74"/>
      <c r="AX5445" s="77"/>
      <c r="BA5445" s="497">
        <v>60.980000000000004</v>
      </c>
      <c r="BB5445" s="42"/>
      <c r="BC5445" s="74"/>
      <c r="BD5445" s="77"/>
      <c r="BF5445">
        <v>73.039999999999992</v>
      </c>
      <c r="BH5445" s="42"/>
      <c r="BI5445" s="74"/>
      <c r="BJ5445" s="77"/>
      <c r="BL5445" s="497">
        <v>55.040000000000006</v>
      </c>
      <c r="BN5445" s="42"/>
      <c r="BO5445" s="74"/>
      <c r="BP5445" s="77"/>
      <c r="BR5445" s="497">
        <v>66.92</v>
      </c>
      <c r="BT5445" s="42"/>
    </row>
    <row r="5446" spans="1:72" x14ac:dyDescent="0.25">
      <c r="A5446" s="90">
        <v>34926</v>
      </c>
      <c r="B5446" s="20">
        <v>0.16666666666666666</v>
      </c>
      <c r="D5446">
        <v>73.039999999999992</v>
      </c>
      <c r="E5446" t="str">
        <f t="shared" si="204"/>
        <v>WEEKDAY</v>
      </c>
      <c r="F5446" t="e">
        <f t="shared" si="205"/>
        <v>#N/A</v>
      </c>
      <c r="G5446" s="74">
        <v>32004</v>
      </c>
      <c r="H5446" s="77">
        <v>0.16666666666666666</v>
      </c>
      <c r="J5446">
        <v>73.039999999999992</v>
      </c>
      <c r="M5446" s="74">
        <v>34561</v>
      </c>
      <c r="N5446" s="77">
        <v>0.16666666666666666</v>
      </c>
      <c r="P5446">
        <v>61.16</v>
      </c>
      <c r="S5446" s="74">
        <v>34926</v>
      </c>
      <c r="T5446" s="77">
        <v>0.16666666666666666</v>
      </c>
      <c r="V5446">
        <v>75.92</v>
      </c>
      <c r="X5446" s="42"/>
      <c r="AB5446">
        <v>70.7</v>
      </c>
      <c r="AC5446">
        <v>75.02</v>
      </c>
      <c r="AE5446" s="74"/>
      <c r="AF5446" s="77"/>
      <c r="AH5446" s="497">
        <v>52.879999999999995</v>
      </c>
      <c r="AJ5446" s="42"/>
      <c r="AK5446" s="74"/>
      <c r="AL5446" s="77"/>
      <c r="AN5446" s="497">
        <v>71.06</v>
      </c>
      <c r="AP5446" s="42"/>
      <c r="AQ5446" s="74"/>
      <c r="AR5446" s="77"/>
      <c r="AT5446" s="497">
        <v>71.06</v>
      </c>
      <c r="AV5446" s="42"/>
      <c r="AW5446" s="74"/>
      <c r="AX5446" s="77"/>
      <c r="BA5446" s="497">
        <v>60.08</v>
      </c>
      <c r="BB5446" s="42"/>
      <c r="BC5446" s="74"/>
      <c r="BD5446" s="77"/>
      <c r="BF5446">
        <v>71.960000000000008</v>
      </c>
      <c r="BH5446" s="42"/>
      <c r="BI5446" s="74"/>
      <c r="BJ5446" s="77"/>
      <c r="BL5446" s="497">
        <v>55.040000000000006</v>
      </c>
      <c r="BN5446" s="42"/>
      <c r="BO5446" s="74"/>
      <c r="BP5446" s="77"/>
      <c r="BR5446" s="497">
        <v>64.94</v>
      </c>
      <c r="BT5446" s="42"/>
    </row>
    <row r="5447" spans="1:72" x14ac:dyDescent="0.25">
      <c r="A5447" s="90">
        <v>34926</v>
      </c>
      <c r="B5447" s="20">
        <v>0.20833333333333334</v>
      </c>
      <c r="D5447">
        <v>73.039999999999992</v>
      </c>
      <c r="E5447" t="str">
        <f t="shared" si="204"/>
        <v>WEEKDAY</v>
      </c>
      <c r="F5447" t="e">
        <f t="shared" si="205"/>
        <v>#N/A</v>
      </c>
      <c r="G5447" s="74">
        <v>32004</v>
      </c>
      <c r="H5447" s="77">
        <v>0.20833333333333334</v>
      </c>
      <c r="J5447">
        <v>71.960000000000008</v>
      </c>
      <c r="M5447" s="74">
        <v>34561</v>
      </c>
      <c r="N5447" s="77">
        <v>0.20833333333333334</v>
      </c>
      <c r="P5447">
        <v>60.980000000000004</v>
      </c>
      <c r="S5447" s="74">
        <v>34926</v>
      </c>
      <c r="T5447" s="77">
        <v>0.20833333333333334</v>
      </c>
      <c r="V5447">
        <v>75.92</v>
      </c>
      <c r="X5447" s="42"/>
      <c r="AB5447">
        <v>70.2</v>
      </c>
      <c r="AC5447">
        <v>75.02</v>
      </c>
      <c r="AE5447" s="74"/>
      <c r="AF5447" s="77"/>
      <c r="AH5447" s="497">
        <v>53.96</v>
      </c>
      <c r="AJ5447" s="42"/>
      <c r="AK5447" s="74"/>
      <c r="AL5447" s="77"/>
      <c r="AN5447" s="497">
        <v>71.06</v>
      </c>
      <c r="AP5447" s="42"/>
      <c r="AQ5447" s="74"/>
      <c r="AR5447" s="77"/>
      <c r="AT5447" s="497">
        <v>71.960000000000008</v>
      </c>
      <c r="AV5447" s="42"/>
      <c r="AW5447" s="74"/>
      <c r="AX5447" s="77"/>
      <c r="BA5447" s="497">
        <v>59</v>
      </c>
      <c r="BB5447" s="42"/>
      <c r="BC5447" s="74"/>
      <c r="BD5447" s="77"/>
      <c r="BF5447">
        <v>73.039999999999992</v>
      </c>
      <c r="BH5447" s="42"/>
      <c r="BI5447" s="74"/>
      <c r="BJ5447" s="77"/>
      <c r="BL5447" s="497">
        <v>55.040000000000006</v>
      </c>
      <c r="BN5447" s="42"/>
      <c r="BO5447" s="74"/>
      <c r="BP5447" s="77"/>
      <c r="BR5447" s="497">
        <v>64.94</v>
      </c>
      <c r="BT5447" s="42"/>
    </row>
    <row r="5448" spans="1:72" x14ac:dyDescent="0.25">
      <c r="A5448" s="90">
        <v>34926</v>
      </c>
      <c r="B5448" s="20">
        <v>0.25</v>
      </c>
      <c r="D5448">
        <v>73.039999999999992</v>
      </c>
      <c r="E5448" t="str">
        <f t="shared" si="204"/>
        <v>WEEKDAY</v>
      </c>
      <c r="F5448" t="e">
        <f t="shared" si="205"/>
        <v>#N/A</v>
      </c>
      <c r="G5448" s="74">
        <v>32004</v>
      </c>
      <c r="H5448" s="77">
        <v>0.25</v>
      </c>
      <c r="J5448">
        <v>73.039999999999992</v>
      </c>
      <c r="M5448" s="74">
        <v>34561</v>
      </c>
      <c r="N5448" s="77">
        <v>0.25</v>
      </c>
      <c r="P5448">
        <v>59.900000000000006</v>
      </c>
      <c r="S5448" s="74">
        <v>34926</v>
      </c>
      <c r="T5448" s="77">
        <v>0.25</v>
      </c>
      <c r="V5448">
        <v>75.92</v>
      </c>
      <c r="X5448" s="42"/>
      <c r="AB5448">
        <v>69.900000000000006</v>
      </c>
      <c r="AC5448">
        <v>75.92</v>
      </c>
      <c r="AE5448" s="74"/>
      <c r="AF5448" s="77"/>
      <c r="AH5448" s="497">
        <v>52.879999999999995</v>
      </c>
      <c r="AJ5448" s="42"/>
      <c r="AK5448" s="74"/>
      <c r="AL5448" s="77"/>
      <c r="AN5448" s="497">
        <v>71.06</v>
      </c>
      <c r="AP5448" s="42"/>
      <c r="AQ5448" s="74"/>
      <c r="AR5448" s="77"/>
      <c r="AT5448" s="497">
        <v>73.039999999999992</v>
      </c>
      <c r="AV5448" s="42"/>
      <c r="AW5448" s="74"/>
      <c r="AX5448" s="77"/>
      <c r="BA5448" s="497">
        <v>60.08</v>
      </c>
      <c r="BB5448" s="42"/>
      <c r="BC5448" s="74"/>
      <c r="BD5448" s="77"/>
      <c r="BF5448">
        <v>71.960000000000008</v>
      </c>
      <c r="BH5448" s="42"/>
      <c r="BI5448" s="74"/>
      <c r="BJ5448" s="77"/>
      <c r="BL5448" s="497">
        <v>55.040000000000006</v>
      </c>
      <c r="BN5448" s="42"/>
      <c r="BO5448" s="74"/>
      <c r="BP5448" s="77"/>
      <c r="BR5448" s="497">
        <v>66.92</v>
      </c>
      <c r="BT5448" s="42"/>
    </row>
    <row r="5449" spans="1:72" x14ac:dyDescent="0.25">
      <c r="A5449" s="90">
        <v>34926</v>
      </c>
      <c r="B5449" s="20">
        <v>0.29166666666666669</v>
      </c>
      <c r="D5449">
        <v>73.039999999999992</v>
      </c>
      <c r="E5449" t="str">
        <f t="shared" si="204"/>
        <v>WEEKDAY</v>
      </c>
      <c r="F5449" t="e">
        <f t="shared" si="205"/>
        <v>#N/A</v>
      </c>
      <c r="G5449" s="74">
        <v>32004</v>
      </c>
      <c r="H5449" s="77">
        <v>0.29166666666666669</v>
      </c>
      <c r="J5449">
        <v>73.94</v>
      </c>
      <c r="M5449" s="74">
        <v>34561</v>
      </c>
      <c r="N5449" s="77">
        <v>0.29166666666666669</v>
      </c>
      <c r="P5449">
        <v>62.96</v>
      </c>
      <c r="S5449" s="74">
        <v>34926</v>
      </c>
      <c r="T5449" s="77">
        <v>0.29166666666666669</v>
      </c>
      <c r="V5449">
        <v>75.92</v>
      </c>
      <c r="X5449" s="42"/>
      <c r="AB5449">
        <v>70.5</v>
      </c>
      <c r="AC5449">
        <v>77</v>
      </c>
      <c r="AE5449" s="74"/>
      <c r="AF5449" s="77"/>
      <c r="AH5449" s="497">
        <v>61.88</v>
      </c>
      <c r="AJ5449" s="42"/>
      <c r="AK5449" s="74"/>
      <c r="AL5449" s="77"/>
      <c r="AN5449" s="497">
        <v>71.960000000000008</v>
      </c>
      <c r="AP5449" s="42"/>
      <c r="AQ5449" s="74"/>
      <c r="AR5449" s="77"/>
      <c r="AT5449" s="497">
        <v>75.02</v>
      </c>
      <c r="AV5449" s="42"/>
      <c r="AW5449" s="74"/>
      <c r="AX5449" s="77"/>
      <c r="BA5449" s="497">
        <v>62.96</v>
      </c>
      <c r="BB5449" s="42"/>
      <c r="BC5449" s="74"/>
      <c r="BD5449" s="77"/>
      <c r="BF5449">
        <v>73.039999999999992</v>
      </c>
      <c r="BH5449" s="42"/>
      <c r="BI5449" s="74"/>
      <c r="BJ5449" s="77"/>
      <c r="BL5449" s="497">
        <v>59</v>
      </c>
      <c r="BN5449" s="42"/>
      <c r="BO5449" s="74"/>
      <c r="BP5449" s="77"/>
      <c r="BR5449" s="497">
        <v>73.94</v>
      </c>
      <c r="BT5449" s="42"/>
    </row>
    <row r="5450" spans="1:72" x14ac:dyDescent="0.25">
      <c r="A5450" s="90">
        <v>34926</v>
      </c>
      <c r="B5450" s="20">
        <v>0.33333333333333331</v>
      </c>
      <c r="D5450">
        <v>75.02</v>
      </c>
      <c r="E5450" t="str">
        <f t="shared" si="204"/>
        <v>WEEKDAY</v>
      </c>
      <c r="F5450" t="e">
        <f t="shared" si="205"/>
        <v>#N/A</v>
      </c>
      <c r="G5450" s="74">
        <v>32004</v>
      </c>
      <c r="H5450" s="77">
        <v>0.33333333333333331</v>
      </c>
      <c r="J5450">
        <v>75.92</v>
      </c>
      <c r="M5450" s="74">
        <v>34561</v>
      </c>
      <c r="N5450" s="77">
        <v>0.33333333333333331</v>
      </c>
      <c r="P5450">
        <v>64.94</v>
      </c>
      <c r="S5450" s="74">
        <v>34926</v>
      </c>
      <c r="T5450" s="77">
        <v>0.33333333333333331</v>
      </c>
      <c r="V5450">
        <v>80.06</v>
      </c>
      <c r="X5450" s="42"/>
      <c r="AB5450">
        <v>72.5</v>
      </c>
      <c r="AC5450">
        <v>78.080000000000013</v>
      </c>
      <c r="AE5450" s="74"/>
      <c r="AF5450" s="77"/>
      <c r="AH5450" s="497">
        <v>64.94</v>
      </c>
      <c r="AJ5450" s="42"/>
      <c r="AK5450" s="74"/>
      <c r="AL5450" s="77"/>
      <c r="AN5450" s="497">
        <v>75.02</v>
      </c>
      <c r="AP5450" s="42"/>
      <c r="AQ5450" s="74"/>
      <c r="AR5450" s="77"/>
      <c r="AT5450" s="497">
        <v>77</v>
      </c>
      <c r="AV5450" s="42"/>
      <c r="AW5450" s="74"/>
      <c r="AX5450" s="77"/>
      <c r="BA5450" s="497">
        <v>66.92</v>
      </c>
      <c r="BB5450" s="42"/>
      <c r="BC5450" s="74"/>
      <c r="BD5450" s="77"/>
      <c r="BF5450">
        <v>75.02</v>
      </c>
      <c r="BH5450" s="42"/>
      <c r="BI5450" s="74"/>
      <c r="BJ5450" s="77"/>
      <c r="BL5450" s="497">
        <v>62.06</v>
      </c>
      <c r="BN5450" s="42"/>
      <c r="BO5450" s="74"/>
      <c r="BP5450" s="77"/>
      <c r="BR5450" s="497">
        <v>80.06</v>
      </c>
      <c r="BT5450" s="42"/>
    </row>
    <row r="5451" spans="1:72" x14ac:dyDescent="0.25">
      <c r="A5451" s="90">
        <v>34926</v>
      </c>
      <c r="B5451" s="20">
        <v>0.375</v>
      </c>
      <c r="D5451">
        <v>75.02</v>
      </c>
      <c r="E5451" t="str">
        <f t="shared" si="204"/>
        <v>WEEKDAY</v>
      </c>
      <c r="F5451" t="e">
        <f t="shared" si="205"/>
        <v>#N/A</v>
      </c>
      <c r="G5451" s="74">
        <v>32004</v>
      </c>
      <c r="H5451" s="77">
        <v>0.375</v>
      </c>
      <c r="J5451">
        <v>78.080000000000013</v>
      </c>
      <c r="M5451" s="74">
        <v>34561</v>
      </c>
      <c r="N5451" s="77">
        <v>0.375</v>
      </c>
      <c r="P5451">
        <v>68</v>
      </c>
      <c r="S5451" s="74">
        <v>34926</v>
      </c>
      <c r="T5451" s="77">
        <v>0.375</v>
      </c>
      <c r="V5451">
        <v>80.06</v>
      </c>
      <c r="X5451" s="42"/>
      <c r="AB5451">
        <v>74.400000000000006</v>
      </c>
      <c r="AC5451">
        <v>78.080000000000013</v>
      </c>
      <c r="AE5451" s="74"/>
      <c r="AF5451" s="77"/>
      <c r="AH5451" s="497">
        <v>68</v>
      </c>
      <c r="AJ5451" s="42"/>
      <c r="AK5451" s="74"/>
      <c r="AL5451" s="77"/>
      <c r="AN5451" s="497">
        <v>78.080000000000013</v>
      </c>
      <c r="AP5451" s="42"/>
      <c r="AQ5451" s="74"/>
      <c r="AR5451" s="77"/>
      <c r="AT5451" s="497">
        <v>78.98</v>
      </c>
      <c r="AV5451" s="42"/>
      <c r="AW5451" s="74"/>
      <c r="AX5451" s="77"/>
      <c r="BA5451" s="497">
        <v>71.06</v>
      </c>
      <c r="BB5451" s="42"/>
      <c r="BC5451" s="74"/>
      <c r="BD5451" s="77"/>
      <c r="BF5451">
        <v>78.98</v>
      </c>
      <c r="BH5451" s="42"/>
      <c r="BI5451" s="74"/>
      <c r="BJ5451" s="77"/>
      <c r="BL5451" s="497">
        <v>68</v>
      </c>
      <c r="BN5451" s="42"/>
      <c r="BO5451" s="74"/>
      <c r="BP5451" s="77"/>
      <c r="BR5451" s="497">
        <v>80.960000000000008</v>
      </c>
      <c r="BT5451" s="42"/>
    </row>
    <row r="5452" spans="1:72" x14ac:dyDescent="0.25">
      <c r="A5452" s="90">
        <v>34926</v>
      </c>
      <c r="B5452" s="20">
        <v>0.41666666666666669</v>
      </c>
      <c r="D5452">
        <v>78.98</v>
      </c>
      <c r="E5452" t="str">
        <f t="shared" si="204"/>
        <v>WEEKDAY</v>
      </c>
      <c r="F5452" t="e">
        <f t="shared" si="205"/>
        <v>#N/A</v>
      </c>
      <c r="G5452" s="74">
        <v>32004</v>
      </c>
      <c r="H5452" s="77">
        <v>0.41666666666666669</v>
      </c>
      <c r="J5452">
        <v>80.06</v>
      </c>
      <c r="M5452" s="74">
        <v>34561</v>
      </c>
      <c r="N5452" s="77">
        <v>0.41666666666666669</v>
      </c>
      <c r="P5452">
        <v>68.900000000000006</v>
      </c>
      <c r="S5452" s="74">
        <v>34926</v>
      </c>
      <c r="T5452" s="77">
        <v>0.41666666666666669</v>
      </c>
      <c r="V5452">
        <v>82.94</v>
      </c>
      <c r="X5452" s="42"/>
      <c r="AB5452">
        <v>76.3</v>
      </c>
      <c r="AC5452">
        <v>80.06</v>
      </c>
      <c r="AE5452" s="74"/>
      <c r="AF5452" s="77"/>
      <c r="AH5452" s="497">
        <v>68</v>
      </c>
      <c r="AJ5452" s="42"/>
      <c r="AK5452" s="74"/>
      <c r="AL5452" s="77"/>
      <c r="AN5452" s="497">
        <v>82.94</v>
      </c>
      <c r="AP5452" s="42"/>
      <c r="AQ5452" s="74"/>
      <c r="AR5452" s="77"/>
      <c r="AT5452" s="497">
        <v>82.039999999999992</v>
      </c>
      <c r="AV5452" s="42"/>
      <c r="AW5452" s="74"/>
      <c r="AX5452" s="77"/>
      <c r="BA5452" s="497">
        <v>75.02</v>
      </c>
      <c r="BB5452" s="42"/>
      <c r="BC5452" s="74"/>
      <c r="BD5452" s="77"/>
      <c r="BF5452">
        <v>80.06</v>
      </c>
      <c r="BH5452" s="42"/>
      <c r="BI5452" s="74"/>
      <c r="BJ5452" s="77"/>
      <c r="BL5452" s="497">
        <v>73.039999999999992</v>
      </c>
      <c r="BN5452" s="42"/>
      <c r="BO5452" s="74"/>
      <c r="BP5452" s="77"/>
      <c r="BR5452" s="497">
        <v>86</v>
      </c>
      <c r="BT5452" s="42"/>
    </row>
    <row r="5453" spans="1:72" x14ac:dyDescent="0.25">
      <c r="A5453" s="90">
        <v>34926</v>
      </c>
      <c r="B5453" s="20">
        <v>0.45833333333333331</v>
      </c>
      <c r="D5453">
        <v>80.06</v>
      </c>
      <c r="E5453" t="str">
        <f t="shared" si="204"/>
        <v>WEEKDAY</v>
      </c>
      <c r="F5453" t="e">
        <f t="shared" si="205"/>
        <v>#N/A</v>
      </c>
      <c r="G5453" s="74">
        <v>32004</v>
      </c>
      <c r="H5453" s="77">
        <v>0.45833333333333331</v>
      </c>
      <c r="J5453">
        <v>82.039999999999992</v>
      </c>
      <c r="M5453" s="74">
        <v>34561</v>
      </c>
      <c r="N5453" s="77">
        <v>0.45833333333333331</v>
      </c>
      <c r="P5453">
        <v>68</v>
      </c>
      <c r="S5453" s="74">
        <v>34926</v>
      </c>
      <c r="T5453" s="77">
        <v>0.45833333333333331</v>
      </c>
      <c r="V5453">
        <v>82.94</v>
      </c>
      <c r="X5453" s="42"/>
      <c r="AB5453">
        <v>77.8</v>
      </c>
      <c r="AC5453">
        <v>80.960000000000008</v>
      </c>
      <c r="AE5453" s="74"/>
      <c r="AF5453" s="77"/>
      <c r="AH5453" s="497">
        <v>71.960000000000008</v>
      </c>
      <c r="AJ5453" s="42"/>
      <c r="AK5453" s="74"/>
      <c r="AL5453" s="77"/>
      <c r="AN5453" s="497">
        <v>87.080000000000013</v>
      </c>
      <c r="AP5453" s="42"/>
      <c r="AQ5453" s="74"/>
      <c r="AR5453" s="77"/>
      <c r="AT5453" s="497">
        <v>86</v>
      </c>
      <c r="AV5453" s="42"/>
      <c r="AW5453" s="74"/>
      <c r="AX5453" s="77"/>
      <c r="BA5453" s="497">
        <v>78.080000000000013</v>
      </c>
      <c r="BB5453" s="42"/>
      <c r="BC5453" s="74"/>
      <c r="BD5453" s="77"/>
      <c r="BF5453">
        <v>80.06</v>
      </c>
      <c r="BH5453" s="42"/>
      <c r="BI5453" s="74"/>
      <c r="BJ5453" s="77"/>
      <c r="BL5453" s="497">
        <v>75.02</v>
      </c>
      <c r="BN5453" s="42"/>
      <c r="BO5453" s="74"/>
      <c r="BP5453" s="77"/>
      <c r="BR5453" s="497">
        <v>89.06</v>
      </c>
      <c r="BT5453" s="42"/>
    </row>
    <row r="5454" spans="1:72" x14ac:dyDescent="0.25">
      <c r="A5454" s="90">
        <v>34926</v>
      </c>
      <c r="B5454" s="20">
        <v>0.5</v>
      </c>
      <c r="D5454">
        <v>82.039999999999992</v>
      </c>
      <c r="E5454" t="str">
        <f t="shared" si="204"/>
        <v>WEEKDAY</v>
      </c>
      <c r="F5454" t="e">
        <f t="shared" si="205"/>
        <v>#N/A</v>
      </c>
      <c r="G5454" s="74">
        <v>32004</v>
      </c>
      <c r="H5454" s="77">
        <v>0.5</v>
      </c>
      <c r="J5454">
        <v>82.94</v>
      </c>
      <c r="M5454" s="74">
        <v>34561</v>
      </c>
      <c r="N5454" s="77">
        <v>0.5</v>
      </c>
      <c r="P5454">
        <v>68.900000000000006</v>
      </c>
      <c r="S5454" s="74">
        <v>34926</v>
      </c>
      <c r="T5454" s="77">
        <v>0.5</v>
      </c>
      <c r="V5454">
        <v>84.02</v>
      </c>
      <c r="X5454" s="42"/>
      <c r="AB5454">
        <v>79</v>
      </c>
      <c r="AC5454">
        <v>82.94</v>
      </c>
      <c r="AE5454" s="74"/>
      <c r="AF5454" s="77"/>
      <c r="AH5454" s="497">
        <v>72.86</v>
      </c>
      <c r="AJ5454" s="42"/>
      <c r="AK5454" s="74"/>
      <c r="AL5454" s="77"/>
      <c r="AN5454" s="497">
        <v>86</v>
      </c>
      <c r="AP5454" s="42"/>
      <c r="AQ5454" s="74"/>
      <c r="AR5454" s="77"/>
      <c r="AT5454" s="497">
        <v>89.06</v>
      </c>
      <c r="AV5454" s="42"/>
      <c r="AW5454" s="74"/>
      <c r="AX5454" s="77"/>
      <c r="BA5454" s="497">
        <v>80.06</v>
      </c>
      <c r="BB5454" s="42"/>
      <c r="BC5454" s="74"/>
      <c r="BD5454" s="77"/>
      <c r="BF5454">
        <v>80.06</v>
      </c>
      <c r="BH5454" s="42"/>
      <c r="BI5454" s="74"/>
      <c r="BJ5454" s="77"/>
      <c r="BL5454" s="497">
        <v>77</v>
      </c>
      <c r="BN5454" s="42"/>
      <c r="BO5454" s="74"/>
      <c r="BP5454" s="77"/>
      <c r="BR5454" s="497">
        <v>91.039999999999992</v>
      </c>
      <c r="BT5454" s="42"/>
    </row>
    <row r="5455" spans="1:72" x14ac:dyDescent="0.25">
      <c r="A5455" s="90">
        <v>34926</v>
      </c>
      <c r="B5455" s="20">
        <v>0.54166666666666663</v>
      </c>
      <c r="D5455">
        <v>82.039999999999992</v>
      </c>
      <c r="E5455" t="str">
        <f t="shared" si="204"/>
        <v>WEEKDAY</v>
      </c>
      <c r="F5455" t="e">
        <f t="shared" si="205"/>
        <v>#N/A</v>
      </c>
      <c r="G5455" s="74">
        <v>32004</v>
      </c>
      <c r="H5455" s="77">
        <v>0.54166666666666663</v>
      </c>
      <c r="J5455">
        <v>86</v>
      </c>
      <c r="M5455" s="74">
        <v>34561</v>
      </c>
      <c r="N5455" s="77">
        <v>0.54166666666666663</v>
      </c>
      <c r="P5455">
        <v>73.94</v>
      </c>
      <c r="S5455" s="74">
        <v>34926</v>
      </c>
      <c r="T5455" s="77">
        <v>0.54166666666666663</v>
      </c>
      <c r="V5455">
        <v>84.92</v>
      </c>
      <c r="X5455" s="42"/>
      <c r="AB5455">
        <v>79.7</v>
      </c>
      <c r="AC5455">
        <v>84.02</v>
      </c>
      <c r="AE5455" s="74"/>
      <c r="AF5455" s="77"/>
      <c r="AH5455" s="497">
        <v>70.88</v>
      </c>
      <c r="AJ5455" s="42"/>
      <c r="AK5455" s="74"/>
      <c r="AL5455" s="77"/>
      <c r="AN5455" s="497">
        <v>89.06</v>
      </c>
      <c r="AP5455" s="42"/>
      <c r="AQ5455" s="74"/>
      <c r="AR5455" s="77"/>
      <c r="AT5455" s="497">
        <v>91.039999999999992</v>
      </c>
      <c r="AV5455" s="42"/>
      <c r="AW5455" s="74"/>
      <c r="AX5455" s="77"/>
      <c r="BA5455" s="497">
        <v>80.960000000000008</v>
      </c>
      <c r="BB5455" s="42"/>
      <c r="BC5455" s="74"/>
      <c r="BD5455" s="77"/>
      <c r="BF5455">
        <v>82.039999999999992</v>
      </c>
      <c r="BH5455" s="42"/>
      <c r="BI5455" s="74"/>
      <c r="BJ5455" s="77"/>
      <c r="BL5455" s="497">
        <v>78.080000000000013</v>
      </c>
      <c r="BN5455" s="42"/>
      <c r="BO5455" s="74"/>
      <c r="BP5455" s="77"/>
      <c r="BR5455" s="497">
        <v>91.039999999999992</v>
      </c>
      <c r="BT5455" s="42"/>
    </row>
    <row r="5456" spans="1:72" x14ac:dyDescent="0.25">
      <c r="A5456" s="90">
        <v>34926</v>
      </c>
      <c r="B5456" s="20">
        <v>0.58333333333333337</v>
      </c>
      <c r="D5456">
        <v>82.039999999999992</v>
      </c>
      <c r="E5456" t="str">
        <f t="shared" si="204"/>
        <v>WEEKDAY</v>
      </c>
      <c r="F5456" t="e">
        <f t="shared" si="205"/>
        <v>#N/A</v>
      </c>
      <c r="G5456" s="74">
        <v>32004</v>
      </c>
      <c r="H5456" s="77">
        <v>0.58333333333333337</v>
      </c>
      <c r="J5456">
        <v>86</v>
      </c>
      <c r="M5456" s="74">
        <v>34561</v>
      </c>
      <c r="N5456" s="77">
        <v>0.58333333333333337</v>
      </c>
      <c r="P5456">
        <v>72.86</v>
      </c>
      <c r="S5456" s="74">
        <v>34926</v>
      </c>
      <c r="T5456" s="77">
        <v>0.58333333333333337</v>
      </c>
      <c r="V5456">
        <v>84.02</v>
      </c>
      <c r="X5456" s="42"/>
      <c r="AB5456">
        <v>80.099999999999994</v>
      </c>
      <c r="AC5456">
        <v>84.92</v>
      </c>
      <c r="AE5456" s="74"/>
      <c r="AF5456" s="77"/>
      <c r="AH5456" s="497">
        <v>72.86</v>
      </c>
      <c r="AJ5456" s="42"/>
      <c r="AK5456" s="74"/>
      <c r="AL5456" s="77"/>
      <c r="AN5456" s="497">
        <v>89.960000000000008</v>
      </c>
      <c r="AP5456" s="42"/>
      <c r="AQ5456" s="74"/>
      <c r="AR5456" s="77"/>
      <c r="AT5456" s="497">
        <v>91.039999999999992</v>
      </c>
      <c r="AV5456" s="42"/>
      <c r="AW5456" s="74"/>
      <c r="AX5456" s="77"/>
      <c r="BA5456" s="497">
        <v>82.039999999999992</v>
      </c>
      <c r="BB5456" s="42"/>
      <c r="BC5456" s="74"/>
      <c r="BD5456" s="77"/>
      <c r="BF5456">
        <v>78.98</v>
      </c>
      <c r="BH5456" s="42"/>
      <c r="BI5456" s="74"/>
      <c r="BJ5456" s="77"/>
      <c r="BL5456" s="497">
        <v>78.98</v>
      </c>
      <c r="BN5456" s="42"/>
      <c r="BO5456" s="74"/>
      <c r="BP5456" s="77"/>
      <c r="BR5456" s="497">
        <v>93.02</v>
      </c>
      <c r="BT5456" s="42"/>
    </row>
    <row r="5457" spans="1:72" x14ac:dyDescent="0.25">
      <c r="A5457" s="90">
        <v>34926</v>
      </c>
      <c r="B5457" s="20">
        <v>0.625</v>
      </c>
      <c r="D5457">
        <v>82.039999999999992</v>
      </c>
      <c r="E5457" t="str">
        <f t="shared" si="204"/>
        <v>WEEKDAY</v>
      </c>
      <c r="F5457" t="e">
        <f t="shared" si="205"/>
        <v>#N/A</v>
      </c>
      <c r="G5457" s="74">
        <v>32004</v>
      </c>
      <c r="H5457" s="77">
        <v>0.625</v>
      </c>
      <c r="J5457">
        <v>84.02</v>
      </c>
      <c r="M5457" s="74">
        <v>34561</v>
      </c>
      <c r="N5457" s="77">
        <v>0.625</v>
      </c>
      <c r="P5457">
        <v>70.88</v>
      </c>
      <c r="S5457" s="74">
        <v>34926</v>
      </c>
      <c r="T5457" s="77">
        <v>0.625</v>
      </c>
      <c r="V5457">
        <v>82.94</v>
      </c>
      <c r="X5457" s="42"/>
      <c r="AB5457">
        <v>80.2</v>
      </c>
      <c r="AC5457">
        <v>84.02</v>
      </c>
      <c r="AE5457" s="74"/>
      <c r="AF5457" s="77"/>
      <c r="AH5457" s="497">
        <v>72.86</v>
      </c>
      <c r="AJ5457" s="42"/>
      <c r="AK5457" s="74"/>
      <c r="AL5457" s="77"/>
      <c r="AN5457" s="497">
        <v>87.080000000000013</v>
      </c>
      <c r="AP5457" s="42"/>
      <c r="AQ5457" s="74"/>
      <c r="AR5457" s="77"/>
      <c r="AT5457" s="497">
        <v>82.039999999999992</v>
      </c>
      <c r="AV5457" s="42"/>
      <c r="AW5457" s="74"/>
      <c r="AX5457" s="77"/>
      <c r="BA5457" s="497">
        <v>82.94</v>
      </c>
      <c r="BB5457" s="42"/>
      <c r="BC5457" s="74"/>
      <c r="BD5457" s="77"/>
      <c r="BF5457">
        <v>73.94</v>
      </c>
      <c r="BH5457" s="42"/>
      <c r="BI5457" s="74"/>
      <c r="BJ5457" s="77"/>
      <c r="BL5457" s="497">
        <v>80.06</v>
      </c>
      <c r="BN5457" s="42"/>
      <c r="BO5457" s="74"/>
      <c r="BP5457" s="77"/>
      <c r="BR5457" s="497">
        <v>93.92</v>
      </c>
      <c r="BT5457" s="42"/>
    </row>
    <row r="5458" spans="1:72" x14ac:dyDescent="0.25">
      <c r="A5458" s="90">
        <v>34926</v>
      </c>
      <c r="B5458" s="20">
        <v>0.66666666666666663</v>
      </c>
      <c r="D5458">
        <v>82.039999999999992</v>
      </c>
      <c r="E5458" t="str">
        <f t="shared" si="204"/>
        <v>WEEKDAY</v>
      </c>
      <c r="F5458" t="e">
        <f t="shared" si="205"/>
        <v>#N/A</v>
      </c>
      <c r="G5458" s="74">
        <v>32004</v>
      </c>
      <c r="H5458" s="77">
        <v>0.66666666666666663</v>
      </c>
      <c r="J5458">
        <v>82.94</v>
      </c>
      <c r="M5458" s="74">
        <v>34561</v>
      </c>
      <c r="N5458" s="77">
        <v>0.66666666666666663</v>
      </c>
      <c r="P5458">
        <v>72.86</v>
      </c>
      <c r="S5458" s="74">
        <v>34926</v>
      </c>
      <c r="T5458" s="77">
        <v>0.66666666666666663</v>
      </c>
      <c r="V5458">
        <v>82.039999999999992</v>
      </c>
      <c r="X5458" s="42"/>
      <c r="AB5458">
        <v>79.8</v>
      </c>
      <c r="AC5458">
        <v>82.039999999999992</v>
      </c>
      <c r="AE5458" s="74"/>
      <c r="AF5458" s="77"/>
      <c r="AH5458" s="497">
        <v>73.94</v>
      </c>
      <c r="AJ5458" s="42"/>
      <c r="AK5458" s="74"/>
      <c r="AL5458" s="77"/>
      <c r="AN5458" s="497">
        <v>84.92</v>
      </c>
      <c r="AP5458" s="42"/>
      <c r="AQ5458" s="74"/>
      <c r="AR5458" s="77"/>
      <c r="AT5458" s="497">
        <v>87.98</v>
      </c>
      <c r="AV5458" s="42"/>
      <c r="AW5458" s="74"/>
      <c r="AX5458" s="77"/>
      <c r="BA5458" s="497">
        <v>82.94</v>
      </c>
      <c r="BB5458" s="42"/>
      <c r="BC5458" s="74"/>
      <c r="BD5458" s="77"/>
      <c r="BF5458">
        <v>71.960000000000008</v>
      </c>
      <c r="BH5458" s="42"/>
      <c r="BI5458" s="74"/>
      <c r="BJ5458" s="77"/>
      <c r="BL5458" s="497">
        <v>78.98</v>
      </c>
      <c r="BN5458" s="42"/>
      <c r="BO5458" s="74"/>
      <c r="BP5458" s="77"/>
      <c r="BR5458" s="497">
        <v>93.92</v>
      </c>
      <c r="BT5458" s="42"/>
    </row>
    <row r="5459" spans="1:72" x14ac:dyDescent="0.25">
      <c r="A5459" s="90">
        <v>34926</v>
      </c>
      <c r="B5459" s="20">
        <v>0.70833333333333337</v>
      </c>
      <c r="D5459">
        <v>78.98</v>
      </c>
      <c r="E5459" t="str">
        <f t="shared" ref="E5459:E5522" si="206">IF(COUNTIF($DI$18:$DI$22, WEEKDAY(A5459))=1, "WEEKDAY", IF(WEEKDAY(A5459) = 1, "SUNDAY", "SATURDAY"))</f>
        <v>WEEKDAY</v>
      </c>
      <c r="F5459" t="e">
        <f t="shared" si="205"/>
        <v>#N/A</v>
      </c>
      <c r="G5459" s="74">
        <v>32004</v>
      </c>
      <c r="H5459" s="77">
        <v>0.70833333333333337</v>
      </c>
      <c r="J5459">
        <v>82.039999999999992</v>
      </c>
      <c r="M5459" s="74">
        <v>34561</v>
      </c>
      <c r="N5459" s="77">
        <v>0.70833333333333337</v>
      </c>
      <c r="P5459">
        <v>72.86</v>
      </c>
      <c r="S5459" s="74">
        <v>34926</v>
      </c>
      <c r="T5459" s="77">
        <v>0.70833333333333337</v>
      </c>
      <c r="V5459">
        <v>82.039999999999992</v>
      </c>
      <c r="X5459" s="42"/>
      <c r="AB5459">
        <v>78.900000000000006</v>
      </c>
      <c r="AC5459">
        <v>80.06</v>
      </c>
      <c r="AE5459" s="74"/>
      <c r="AF5459" s="77"/>
      <c r="AH5459" s="497">
        <v>72.86</v>
      </c>
      <c r="AJ5459" s="42"/>
      <c r="AK5459" s="74"/>
      <c r="AL5459" s="77"/>
      <c r="AN5459" s="497">
        <v>84.02</v>
      </c>
      <c r="AP5459" s="42"/>
      <c r="AQ5459" s="74"/>
      <c r="AR5459" s="77"/>
      <c r="AT5459" s="497">
        <v>87.080000000000013</v>
      </c>
      <c r="AV5459" s="42"/>
      <c r="AW5459" s="74"/>
      <c r="AX5459" s="77"/>
      <c r="BA5459" s="497">
        <v>82.039999999999992</v>
      </c>
      <c r="BB5459" s="42"/>
      <c r="BC5459" s="74"/>
      <c r="BD5459" s="77"/>
      <c r="BF5459">
        <v>69.080000000000013</v>
      </c>
      <c r="BH5459" s="42"/>
      <c r="BI5459" s="74"/>
      <c r="BJ5459" s="77"/>
      <c r="BL5459" s="497">
        <v>78.98</v>
      </c>
      <c r="BN5459" s="42"/>
      <c r="BO5459" s="74"/>
      <c r="BP5459" s="77"/>
      <c r="BR5459" s="497">
        <v>91.94</v>
      </c>
      <c r="BT5459" s="42"/>
    </row>
    <row r="5460" spans="1:72" x14ac:dyDescent="0.25">
      <c r="A5460" s="90">
        <v>34926</v>
      </c>
      <c r="B5460" s="20">
        <v>0.75</v>
      </c>
      <c r="D5460">
        <v>78.080000000000013</v>
      </c>
      <c r="E5460" t="str">
        <f t="shared" si="206"/>
        <v>WEEKDAY</v>
      </c>
      <c r="F5460" t="e">
        <f t="shared" si="205"/>
        <v>#N/A</v>
      </c>
      <c r="G5460" s="74">
        <v>32004</v>
      </c>
      <c r="H5460" s="77">
        <v>0.75</v>
      </c>
      <c r="J5460">
        <v>80.06</v>
      </c>
      <c r="M5460" s="74">
        <v>34561</v>
      </c>
      <c r="N5460" s="77">
        <v>0.75</v>
      </c>
      <c r="P5460">
        <v>70.88</v>
      </c>
      <c r="S5460" s="74">
        <v>34926</v>
      </c>
      <c r="T5460" s="77">
        <v>0.75</v>
      </c>
      <c r="V5460">
        <v>80.06</v>
      </c>
      <c r="X5460" s="42"/>
      <c r="AB5460">
        <v>77.900000000000006</v>
      </c>
      <c r="AC5460">
        <v>78.080000000000013</v>
      </c>
      <c r="AE5460" s="74"/>
      <c r="AF5460" s="77"/>
      <c r="AH5460" s="497">
        <v>70.88</v>
      </c>
      <c r="AJ5460" s="42"/>
      <c r="AK5460" s="74"/>
      <c r="AL5460" s="77"/>
      <c r="AN5460" s="497">
        <v>82.039999999999992</v>
      </c>
      <c r="AP5460" s="42"/>
      <c r="AQ5460" s="74"/>
      <c r="AR5460" s="77"/>
      <c r="AT5460" s="497">
        <v>77</v>
      </c>
      <c r="AV5460" s="42"/>
      <c r="AW5460" s="74"/>
      <c r="AX5460" s="77"/>
      <c r="BA5460" s="497">
        <v>80.06</v>
      </c>
      <c r="BB5460" s="42"/>
      <c r="BC5460" s="74"/>
      <c r="BD5460" s="77"/>
      <c r="BF5460">
        <v>64.94</v>
      </c>
      <c r="BH5460" s="42"/>
      <c r="BI5460" s="74"/>
      <c r="BJ5460" s="77"/>
      <c r="BL5460" s="497">
        <v>77</v>
      </c>
      <c r="BN5460" s="42"/>
      <c r="BO5460" s="74"/>
      <c r="BP5460" s="77"/>
      <c r="BR5460" s="497">
        <v>91.039999999999992</v>
      </c>
      <c r="BT5460" s="42"/>
    </row>
    <row r="5461" spans="1:72" x14ac:dyDescent="0.25">
      <c r="A5461" s="90">
        <v>34926</v>
      </c>
      <c r="B5461" s="20">
        <v>0.79166666666666663</v>
      </c>
      <c r="D5461">
        <v>75.92</v>
      </c>
      <c r="E5461" t="str">
        <f t="shared" si="206"/>
        <v>WEEKDAY</v>
      </c>
      <c r="F5461" t="e">
        <f t="shared" si="205"/>
        <v>#N/A</v>
      </c>
      <c r="G5461" s="74">
        <v>32004</v>
      </c>
      <c r="H5461" s="77">
        <v>0.79166666666666663</v>
      </c>
      <c r="J5461">
        <v>78.080000000000013</v>
      </c>
      <c r="M5461" s="74">
        <v>34561</v>
      </c>
      <c r="N5461" s="77">
        <v>0.79166666666666663</v>
      </c>
      <c r="P5461">
        <v>66.92</v>
      </c>
      <c r="S5461" s="74">
        <v>34926</v>
      </c>
      <c r="T5461" s="77">
        <v>0.79166666666666663</v>
      </c>
      <c r="V5461">
        <v>77</v>
      </c>
      <c r="X5461" s="42"/>
      <c r="AB5461">
        <v>76.5</v>
      </c>
      <c r="AC5461">
        <v>77</v>
      </c>
      <c r="AE5461" s="74"/>
      <c r="AF5461" s="77"/>
      <c r="AH5461" s="497">
        <v>63.86</v>
      </c>
      <c r="AJ5461" s="42"/>
      <c r="AK5461" s="74"/>
      <c r="AL5461" s="77"/>
      <c r="AN5461" s="497">
        <v>80.06</v>
      </c>
      <c r="AP5461" s="42"/>
      <c r="AQ5461" s="74"/>
      <c r="AR5461" s="77"/>
      <c r="AT5461" s="497">
        <v>73.94</v>
      </c>
      <c r="AV5461" s="42"/>
      <c r="AW5461" s="74"/>
      <c r="AX5461" s="77"/>
      <c r="BA5461" s="497">
        <v>75.92</v>
      </c>
      <c r="BB5461" s="42"/>
      <c r="BC5461" s="74"/>
      <c r="BD5461" s="77"/>
      <c r="BF5461">
        <v>64.94</v>
      </c>
      <c r="BH5461" s="42"/>
      <c r="BI5461" s="74"/>
      <c r="BJ5461" s="77"/>
      <c r="BL5461" s="497">
        <v>73.039999999999992</v>
      </c>
      <c r="BN5461" s="42"/>
      <c r="BO5461" s="74"/>
      <c r="BP5461" s="77"/>
      <c r="BR5461" s="497">
        <v>82.039999999999992</v>
      </c>
      <c r="BT5461" s="42"/>
    </row>
    <row r="5462" spans="1:72" x14ac:dyDescent="0.25">
      <c r="A5462" s="90">
        <v>34926</v>
      </c>
      <c r="B5462" s="20">
        <v>0.83333333333333337</v>
      </c>
      <c r="D5462">
        <v>75.02</v>
      </c>
      <c r="E5462" t="str">
        <f t="shared" si="206"/>
        <v>WEEKDAY</v>
      </c>
      <c r="F5462" t="e">
        <f t="shared" si="205"/>
        <v>#N/A</v>
      </c>
      <c r="G5462" s="74">
        <v>32004</v>
      </c>
      <c r="H5462" s="77">
        <v>0.83333333333333337</v>
      </c>
      <c r="J5462">
        <v>77</v>
      </c>
      <c r="M5462" s="74">
        <v>34561</v>
      </c>
      <c r="N5462" s="77">
        <v>0.83333333333333337</v>
      </c>
      <c r="P5462">
        <v>61.88</v>
      </c>
      <c r="S5462" s="74">
        <v>34926</v>
      </c>
      <c r="T5462" s="77">
        <v>0.83333333333333337</v>
      </c>
      <c r="V5462">
        <v>75.92</v>
      </c>
      <c r="X5462" s="42"/>
      <c r="AB5462">
        <v>75.099999999999994</v>
      </c>
      <c r="AC5462">
        <v>77</v>
      </c>
      <c r="AE5462" s="74"/>
      <c r="AF5462" s="77"/>
      <c r="AH5462" s="497">
        <v>57.92</v>
      </c>
      <c r="AJ5462" s="42"/>
      <c r="AK5462" s="74"/>
      <c r="AL5462" s="77"/>
      <c r="AN5462" s="497">
        <v>75.02</v>
      </c>
      <c r="AP5462" s="42"/>
      <c r="AQ5462" s="74"/>
      <c r="AR5462" s="77"/>
      <c r="AT5462" s="497">
        <v>73.94</v>
      </c>
      <c r="AV5462" s="42"/>
      <c r="AW5462" s="74"/>
      <c r="AX5462" s="77"/>
      <c r="BA5462" s="497">
        <v>73.039999999999992</v>
      </c>
      <c r="BB5462" s="42"/>
      <c r="BC5462" s="74"/>
      <c r="BD5462" s="77"/>
      <c r="BF5462">
        <v>66.02</v>
      </c>
      <c r="BH5462" s="42"/>
      <c r="BI5462" s="74"/>
      <c r="BJ5462" s="77"/>
      <c r="BL5462" s="497">
        <v>71.06</v>
      </c>
      <c r="BN5462" s="42"/>
      <c r="BO5462" s="74"/>
      <c r="BP5462" s="77"/>
      <c r="BR5462" s="497">
        <v>78.98</v>
      </c>
      <c r="BT5462" s="42"/>
    </row>
    <row r="5463" spans="1:72" x14ac:dyDescent="0.25">
      <c r="A5463" s="90">
        <v>34926</v>
      </c>
      <c r="B5463" s="20">
        <v>0.875</v>
      </c>
      <c r="D5463">
        <v>75.02</v>
      </c>
      <c r="E5463" t="str">
        <f t="shared" si="206"/>
        <v>WEEKDAY</v>
      </c>
      <c r="F5463" t="e">
        <f t="shared" si="205"/>
        <v>#N/A</v>
      </c>
      <c r="G5463" s="74">
        <v>32004</v>
      </c>
      <c r="H5463" s="77">
        <v>0.875</v>
      </c>
      <c r="J5463">
        <v>77</v>
      </c>
      <c r="M5463" s="74">
        <v>34561</v>
      </c>
      <c r="N5463" s="77">
        <v>0.875</v>
      </c>
      <c r="P5463">
        <v>59</v>
      </c>
      <c r="S5463" s="74">
        <v>34926</v>
      </c>
      <c r="T5463" s="77">
        <v>0.875</v>
      </c>
      <c r="V5463">
        <v>75.92</v>
      </c>
      <c r="X5463" s="42"/>
      <c r="AB5463">
        <v>74.3</v>
      </c>
      <c r="AC5463">
        <v>78.080000000000013</v>
      </c>
      <c r="AE5463" s="74"/>
      <c r="AF5463" s="77"/>
      <c r="AH5463" s="497">
        <v>56.84</v>
      </c>
      <c r="AJ5463" s="42"/>
      <c r="AK5463" s="74"/>
      <c r="AL5463" s="77"/>
      <c r="AN5463" s="497">
        <v>71.960000000000008</v>
      </c>
      <c r="AP5463" s="42"/>
      <c r="AQ5463" s="74"/>
      <c r="AR5463" s="77"/>
      <c r="AT5463" s="497">
        <v>73.94</v>
      </c>
      <c r="AV5463" s="42"/>
      <c r="AW5463" s="74"/>
      <c r="AX5463" s="77"/>
      <c r="BA5463" s="497">
        <v>73.94</v>
      </c>
      <c r="BB5463" s="42"/>
      <c r="BC5463" s="74"/>
      <c r="BD5463" s="77"/>
      <c r="BF5463">
        <v>64.94</v>
      </c>
      <c r="BH5463" s="42"/>
      <c r="BI5463" s="74"/>
      <c r="BJ5463" s="77"/>
      <c r="BL5463" s="497">
        <v>69.080000000000013</v>
      </c>
      <c r="BN5463" s="42"/>
      <c r="BO5463" s="74"/>
      <c r="BP5463" s="77"/>
      <c r="BR5463" s="497">
        <v>77</v>
      </c>
      <c r="BT5463" s="42"/>
    </row>
    <row r="5464" spans="1:72" x14ac:dyDescent="0.25">
      <c r="A5464" s="90">
        <v>34926</v>
      </c>
      <c r="B5464" s="20">
        <v>0.91666666666666663</v>
      </c>
      <c r="D5464">
        <v>75.02</v>
      </c>
      <c r="E5464" t="str">
        <f t="shared" si="206"/>
        <v>WEEKDAY</v>
      </c>
      <c r="F5464" t="e">
        <f t="shared" si="205"/>
        <v>#N/A</v>
      </c>
      <c r="G5464" s="74">
        <v>32004</v>
      </c>
      <c r="H5464" s="77">
        <v>0.91666666666666663</v>
      </c>
      <c r="J5464">
        <v>77</v>
      </c>
      <c r="M5464" s="74">
        <v>34561</v>
      </c>
      <c r="N5464" s="77">
        <v>0.91666666666666663</v>
      </c>
      <c r="P5464">
        <v>56.84</v>
      </c>
      <c r="S5464" s="74">
        <v>34926</v>
      </c>
      <c r="T5464" s="77">
        <v>0.91666666666666663</v>
      </c>
      <c r="V5464">
        <v>73.94</v>
      </c>
      <c r="X5464" s="42"/>
      <c r="AB5464">
        <v>73.8</v>
      </c>
      <c r="AC5464">
        <v>77</v>
      </c>
      <c r="AE5464" s="74"/>
      <c r="AF5464" s="77"/>
      <c r="AH5464" s="497">
        <v>54.86</v>
      </c>
      <c r="AJ5464" s="42"/>
      <c r="AK5464" s="74"/>
      <c r="AL5464" s="77"/>
      <c r="AN5464" s="497">
        <v>71.960000000000008</v>
      </c>
      <c r="AP5464" s="42"/>
      <c r="AQ5464" s="74"/>
      <c r="AR5464" s="77"/>
      <c r="AT5464" s="497">
        <v>73.039999999999992</v>
      </c>
      <c r="AV5464" s="42"/>
      <c r="AW5464" s="74"/>
      <c r="AX5464" s="77"/>
      <c r="BA5464" s="497">
        <v>75.92</v>
      </c>
      <c r="BB5464" s="42"/>
      <c r="BC5464" s="74"/>
      <c r="BD5464" s="77"/>
      <c r="BF5464">
        <v>64.94</v>
      </c>
      <c r="BH5464" s="42"/>
      <c r="BI5464" s="74"/>
      <c r="BJ5464" s="77"/>
      <c r="BL5464" s="497">
        <v>69.080000000000013</v>
      </c>
      <c r="BN5464" s="42"/>
      <c r="BO5464" s="74"/>
      <c r="BP5464" s="77"/>
      <c r="BR5464" s="497">
        <v>78.080000000000013</v>
      </c>
      <c r="BT5464" s="42"/>
    </row>
    <row r="5465" spans="1:72" x14ac:dyDescent="0.25">
      <c r="A5465" s="90">
        <v>34926</v>
      </c>
      <c r="B5465" s="20">
        <v>0.95833333333333337</v>
      </c>
      <c r="D5465">
        <v>75.02</v>
      </c>
      <c r="E5465" t="str">
        <f t="shared" si="206"/>
        <v>WEEKDAY</v>
      </c>
      <c r="F5465" t="e">
        <f t="shared" si="205"/>
        <v>#N/A</v>
      </c>
      <c r="G5465" s="74">
        <v>32004</v>
      </c>
      <c r="H5465" s="77">
        <v>0.95833333333333337</v>
      </c>
      <c r="J5465">
        <v>77</v>
      </c>
      <c r="M5465" s="74">
        <v>34561</v>
      </c>
      <c r="N5465" s="77">
        <v>0.95833333333333337</v>
      </c>
      <c r="P5465">
        <v>55.94</v>
      </c>
      <c r="S5465" s="74">
        <v>34926</v>
      </c>
      <c r="T5465" s="77">
        <v>0.95833333333333337</v>
      </c>
      <c r="V5465">
        <v>75.02</v>
      </c>
      <c r="X5465" s="42"/>
      <c r="AB5465">
        <v>73.3</v>
      </c>
      <c r="AC5465">
        <v>77</v>
      </c>
      <c r="AE5465" s="74"/>
      <c r="AF5465" s="77"/>
      <c r="AH5465" s="497">
        <v>52.879999999999995</v>
      </c>
      <c r="AJ5465" s="42"/>
      <c r="AK5465" s="74"/>
      <c r="AL5465" s="77"/>
      <c r="AN5465" s="497">
        <v>69.98</v>
      </c>
      <c r="AP5465" s="42"/>
      <c r="AQ5465" s="74"/>
      <c r="AR5465" s="77"/>
      <c r="AT5465" s="497">
        <v>71.960000000000008</v>
      </c>
      <c r="AV5465" s="42"/>
      <c r="AW5465" s="74"/>
      <c r="AX5465" s="77"/>
      <c r="BA5465" s="497">
        <v>75.92</v>
      </c>
      <c r="BB5465" s="42"/>
      <c r="BC5465" s="74"/>
      <c r="BD5465" s="77"/>
      <c r="BF5465">
        <v>64.039999999999992</v>
      </c>
      <c r="BH5465" s="42"/>
      <c r="BI5465" s="74"/>
      <c r="BJ5465" s="77"/>
      <c r="BL5465" s="497">
        <v>69.080000000000013</v>
      </c>
      <c r="BN5465" s="42"/>
      <c r="BO5465" s="74"/>
      <c r="BP5465" s="77"/>
      <c r="BR5465" s="497">
        <v>75.92</v>
      </c>
      <c r="BT5465" s="42"/>
    </row>
    <row r="5466" spans="1:72" x14ac:dyDescent="0.25">
      <c r="A5466" s="90">
        <v>34926</v>
      </c>
      <c r="B5466" s="20">
        <v>1</v>
      </c>
      <c r="D5466">
        <v>75.02</v>
      </c>
      <c r="E5466" t="str">
        <f t="shared" si="206"/>
        <v>WEEKDAY</v>
      </c>
      <c r="F5466" t="e">
        <f t="shared" si="205"/>
        <v>#N/A</v>
      </c>
      <c r="G5466" s="74">
        <v>32004</v>
      </c>
      <c r="H5466" s="77">
        <v>1</v>
      </c>
      <c r="J5466">
        <v>75.92</v>
      </c>
      <c r="M5466" s="74">
        <v>34561</v>
      </c>
      <c r="N5466" s="80">
        <v>1</v>
      </c>
      <c r="P5466">
        <v>54.86</v>
      </c>
      <c r="S5466" s="74">
        <v>34926</v>
      </c>
      <c r="T5466" s="80">
        <v>1</v>
      </c>
      <c r="V5466">
        <v>73.039999999999992</v>
      </c>
      <c r="X5466" s="42"/>
      <c r="AB5466">
        <v>72.8</v>
      </c>
      <c r="AC5466">
        <v>77</v>
      </c>
      <c r="AE5466" s="74"/>
      <c r="AF5466" s="80"/>
      <c r="AH5466" s="497">
        <v>52.879999999999995</v>
      </c>
      <c r="AJ5466" s="42"/>
      <c r="AK5466" s="74"/>
      <c r="AL5466" s="80"/>
      <c r="AN5466" s="497">
        <v>69.080000000000013</v>
      </c>
      <c r="AP5466" s="42"/>
      <c r="AQ5466" s="74"/>
      <c r="AR5466" s="80"/>
      <c r="AT5466" s="497">
        <v>71.960000000000008</v>
      </c>
      <c r="AV5466" s="42"/>
      <c r="AW5466" s="74"/>
      <c r="AX5466" s="80"/>
      <c r="BA5466" s="497">
        <v>75.92</v>
      </c>
      <c r="BB5466" s="42"/>
      <c r="BC5466" s="74"/>
      <c r="BD5466" s="80"/>
      <c r="BF5466">
        <v>64.039999999999992</v>
      </c>
      <c r="BH5466" s="42"/>
      <c r="BI5466" s="74"/>
      <c r="BJ5466" s="80"/>
      <c r="BL5466" s="497">
        <v>68</v>
      </c>
      <c r="BN5466" s="42"/>
      <c r="BO5466" s="74"/>
      <c r="BP5466" s="80"/>
      <c r="BR5466" s="497">
        <v>73.94</v>
      </c>
      <c r="BT5466" s="42"/>
    </row>
    <row r="5467" spans="1:72" x14ac:dyDescent="0.25">
      <c r="A5467" s="90">
        <v>34927</v>
      </c>
      <c r="B5467" s="20">
        <v>4.1666666666666664E-2</v>
      </c>
      <c r="D5467">
        <v>73.94</v>
      </c>
      <c r="E5467" t="str">
        <f t="shared" si="206"/>
        <v>WEEKDAY</v>
      </c>
      <c r="F5467" t="e">
        <f t="shared" si="205"/>
        <v>#N/A</v>
      </c>
      <c r="G5467" s="74">
        <v>32005</v>
      </c>
      <c r="H5467" s="77">
        <v>4.1666666666666664E-2</v>
      </c>
      <c r="J5467">
        <v>75.02</v>
      </c>
      <c r="M5467" s="74">
        <v>34562</v>
      </c>
      <c r="N5467" s="77">
        <v>4.1666666666666664E-2</v>
      </c>
      <c r="P5467">
        <v>54.86</v>
      </c>
      <c r="S5467" s="74">
        <v>34927</v>
      </c>
      <c r="T5467" s="77">
        <v>4.1666666666666664E-2</v>
      </c>
      <c r="V5467">
        <v>73.039999999999992</v>
      </c>
      <c r="X5467" s="42"/>
      <c r="AB5467">
        <v>72.099999999999994</v>
      </c>
      <c r="AC5467">
        <v>77</v>
      </c>
      <c r="AE5467" s="74"/>
      <c r="AF5467" s="77"/>
      <c r="AH5467" s="497">
        <v>52.879999999999995</v>
      </c>
      <c r="AJ5467" s="42"/>
      <c r="AK5467" s="74"/>
      <c r="AL5467" s="77"/>
      <c r="AN5467" s="497">
        <v>66.92</v>
      </c>
      <c r="AP5467" s="42"/>
      <c r="AQ5467" s="74"/>
      <c r="AR5467" s="77"/>
      <c r="AT5467" s="497">
        <v>73.039999999999992</v>
      </c>
      <c r="AV5467" s="42"/>
      <c r="AW5467" s="74"/>
      <c r="AX5467" s="77"/>
      <c r="BA5467" s="497">
        <v>73.039999999999992</v>
      </c>
      <c r="BB5467" s="42"/>
      <c r="BC5467" s="74"/>
      <c r="BD5467" s="77"/>
      <c r="BF5467">
        <v>62.96</v>
      </c>
      <c r="BH5467" s="42"/>
      <c r="BI5467" s="74"/>
      <c r="BJ5467" s="77"/>
      <c r="BL5467" s="497">
        <v>68</v>
      </c>
      <c r="BN5467" s="42"/>
      <c r="BO5467" s="74"/>
      <c r="BP5467" s="77"/>
      <c r="BR5467" s="497">
        <v>71.06</v>
      </c>
      <c r="BT5467" s="42"/>
    </row>
    <row r="5468" spans="1:72" x14ac:dyDescent="0.25">
      <c r="A5468" s="90">
        <v>34927</v>
      </c>
      <c r="B5468" s="20">
        <v>8.3333333333333329E-2</v>
      </c>
      <c r="D5468">
        <v>73.94</v>
      </c>
      <c r="E5468" t="str">
        <f t="shared" si="206"/>
        <v>WEEKDAY</v>
      </c>
      <c r="F5468" t="e">
        <f t="shared" si="205"/>
        <v>#N/A</v>
      </c>
      <c r="G5468" s="74">
        <v>32005</v>
      </c>
      <c r="H5468" s="77">
        <v>8.3333333333333329E-2</v>
      </c>
      <c r="J5468">
        <v>73.039999999999992</v>
      </c>
      <c r="M5468" s="74">
        <v>34562</v>
      </c>
      <c r="N5468" s="77">
        <v>8.3333333333333329E-2</v>
      </c>
      <c r="P5468">
        <v>53.96</v>
      </c>
      <c r="S5468" s="74">
        <v>34927</v>
      </c>
      <c r="T5468" s="77">
        <v>8.3333333333333329E-2</v>
      </c>
      <c r="V5468">
        <v>73.039999999999992</v>
      </c>
      <c r="X5468" s="42"/>
      <c r="AB5468">
        <v>71.5</v>
      </c>
      <c r="AC5468">
        <v>77</v>
      </c>
      <c r="AE5468" s="74"/>
      <c r="AF5468" s="77"/>
      <c r="AH5468" s="497">
        <v>51.980000000000004</v>
      </c>
      <c r="AJ5468" s="42"/>
      <c r="AK5468" s="74"/>
      <c r="AL5468" s="77"/>
      <c r="AN5468" s="497">
        <v>66.92</v>
      </c>
      <c r="AP5468" s="42"/>
      <c r="AQ5468" s="74"/>
      <c r="AR5468" s="77"/>
      <c r="AT5468" s="497">
        <v>71.960000000000008</v>
      </c>
      <c r="AV5468" s="42"/>
      <c r="AW5468" s="74"/>
      <c r="AX5468" s="77"/>
      <c r="BA5468" s="497">
        <v>73.94</v>
      </c>
      <c r="BB5468" s="42"/>
      <c r="BC5468" s="74"/>
      <c r="BD5468" s="77"/>
      <c r="BF5468">
        <v>62.96</v>
      </c>
      <c r="BH5468" s="42"/>
      <c r="BI5468" s="74"/>
      <c r="BJ5468" s="77"/>
      <c r="BL5468" s="497">
        <v>66.02</v>
      </c>
      <c r="BN5468" s="42"/>
      <c r="BO5468" s="74"/>
      <c r="BP5468" s="77"/>
      <c r="BR5468" s="497">
        <v>71.06</v>
      </c>
      <c r="BT5468" s="42"/>
    </row>
    <row r="5469" spans="1:72" x14ac:dyDescent="0.25">
      <c r="A5469" s="90">
        <v>34927</v>
      </c>
      <c r="B5469" s="20">
        <v>0.125</v>
      </c>
      <c r="D5469">
        <v>73.94</v>
      </c>
      <c r="E5469" t="str">
        <f t="shared" si="206"/>
        <v>WEEKDAY</v>
      </c>
      <c r="F5469" t="e">
        <f t="shared" si="205"/>
        <v>#N/A</v>
      </c>
      <c r="G5469" s="74">
        <v>32005</v>
      </c>
      <c r="H5469" s="77">
        <v>0.125</v>
      </c>
      <c r="J5469">
        <v>73.039999999999992</v>
      </c>
      <c r="M5469" s="74">
        <v>34562</v>
      </c>
      <c r="N5469" s="77">
        <v>0.125</v>
      </c>
      <c r="P5469">
        <v>54.86</v>
      </c>
      <c r="S5469" s="74">
        <v>34927</v>
      </c>
      <c r="T5469" s="77">
        <v>0.125</v>
      </c>
      <c r="V5469">
        <v>73.94</v>
      </c>
      <c r="X5469" s="42"/>
      <c r="AB5469">
        <v>71.099999999999994</v>
      </c>
      <c r="AC5469">
        <v>75.92</v>
      </c>
      <c r="AE5469" s="74"/>
      <c r="AF5469" s="77"/>
      <c r="AH5469" s="497">
        <v>50.900000000000006</v>
      </c>
      <c r="AJ5469" s="42"/>
      <c r="AK5469" s="74"/>
      <c r="AL5469" s="77"/>
      <c r="AN5469" s="497">
        <v>64.94</v>
      </c>
      <c r="AP5469" s="42"/>
      <c r="AQ5469" s="74"/>
      <c r="AR5469" s="77"/>
      <c r="AT5469" s="497">
        <v>71.06</v>
      </c>
      <c r="AV5469" s="42"/>
      <c r="AW5469" s="74"/>
      <c r="AX5469" s="77"/>
      <c r="BA5469" s="497">
        <v>69.080000000000013</v>
      </c>
      <c r="BB5469" s="42"/>
      <c r="BC5469" s="74"/>
      <c r="BD5469" s="77"/>
      <c r="BF5469">
        <v>62.06</v>
      </c>
      <c r="BH5469" s="42"/>
      <c r="BI5469" s="74"/>
      <c r="BJ5469" s="77"/>
      <c r="BL5469" s="497">
        <v>66.02</v>
      </c>
      <c r="BN5469" s="42"/>
      <c r="BO5469" s="74"/>
      <c r="BP5469" s="77"/>
      <c r="BR5469" s="497">
        <v>68</v>
      </c>
      <c r="BT5469" s="42"/>
    </row>
    <row r="5470" spans="1:72" x14ac:dyDescent="0.25">
      <c r="A5470" s="90">
        <v>34927</v>
      </c>
      <c r="B5470" s="20">
        <v>0.16666666666666666</v>
      </c>
      <c r="D5470">
        <v>73.94</v>
      </c>
      <c r="E5470" t="str">
        <f t="shared" si="206"/>
        <v>WEEKDAY</v>
      </c>
      <c r="F5470" t="e">
        <f t="shared" si="205"/>
        <v>#N/A</v>
      </c>
      <c r="G5470" s="74">
        <v>32005</v>
      </c>
      <c r="H5470" s="77">
        <v>0.16666666666666666</v>
      </c>
      <c r="J5470">
        <v>71.960000000000008</v>
      </c>
      <c r="M5470" s="74">
        <v>34562</v>
      </c>
      <c r="N5470" s="77">
        <v>0.16666666666666666</v>
      </c>
      <c r="P5470">
        <v>54.86</v>
      </c>
      <c r="S5470" s="74">
        <v>34927</v>
      </c>
      <c r="T5470" s="77">
        <v>0.16666666666666666</v>
      </c>
      <c r="V5470">
        <v>73.94</v>
      </c>
      <c r="X5470" s="42"/>
      <c r="AB5470">
        <v>70.599999999999994</v>
      </c>
      <c r="AC5470">
        <v>75.92</v>
      </c>
      <c r="AE5470" s="74"/>
      <c r="AF5470" s="77"/>
      <c r="AH5470" s="497">
        <v>50.900000000000006</v>
      </c>
      <c r="AJ5470" s="42"/>
      <c r="AK5470" s="74"/>
      <c r="AL5470" s="77"/>
      <c r="AN5470" s="497">
        <v>64.039999999999992</v>
      </c>
      <c r="AP5470" s="42"/>
      <c r="AQ5470" s="74"/>
      <c r="AR5470" s="77"/>
      <c r="AT5470" s="497">
        <v>69.98</v>
      </c>
      <c r="AV5470" s="42"/>
      <c r="AW5470" s="74"/>
      <c r="AX5470" s="77"/>
      <c r="BA5470" s="497">
        <v>66.92</v>
      </c>
      <c r="BB5470" s="42"/>
      <c r="BC5470" s="74"/>
      <c r="BD5470" s="77"/>
      <c r="BF5470">
        <v>62.06</v>
      </c>
      <c r="BH5470" s="42"/>
      <c r="BI5470" s="74"/>
      <c r="BJ5470" s="77"/>
      <c r="BL5470" s="497">
        <v>66.02</v>
      </c>
      <c r="BN5470" s="42"/>
      <c r="BO5470" s="74"/>
      <c r="BP5470" s="77"/>
      <c r="BR5470" s="497">
        <v>66.92</v>
      </c>
      <c r="BT5470" s="42"/>
    </row>
    <row r="5471" spans="1:72" x14ac:dyDescent="0.25">
      <c r="A5471" s="90">
        <v>34927</v>
      </c>
      <c r="B5471" s="20">
        <v>0.20833333333333334</v>
      </c>
      <c r="D5471">
        <v>73.94</v>
      </c>
      <c r="E5471" t="str">
        <f t="shared" si="206"/>
        <v>WEEKDAY</v>
      </c>
      <c r="F5471" t="e">
        <f t="shared" si="205"/>
        <v>#N/A</v>
      </c>
      <c r="G5471" s="74">
        <v>32005</v>
      </c>
      <c r="H5471" s="77">
        <v>0.20833333333333334</v>
      </c>
      <c r="J5471">
        <v>71.960000000000008</v>
      </c>
      <c r="M5471" s="74">
        <v>34562</v>
      </c>
      <c r="N5471" s="77">
        <v>0.20833333333333334</v>
      </c>
      <c r="P5471">
        <v>54.86</v>
      </c>
      <c r="S5471" s="74">
        <v>34927</v>
      </c>
      <c r="T5471" s="77">
        <v>0.20833333333333334</v>
      </c>
      <c r="V5471">
        <v>73.039999999999992</v>
      </c>
      <c r="X5471" s="42"/>
      <c r="AB5471">
        <v>70.099999999999994</v>
      </c>
      <c r="AC5471">
        <v>75.92</v>
      </c>
      <c r="AE5471" s="74"/>
      <c r="AF5471" s="77"/>
      <c r="AH5471" s="497">
        <v>48.92</v>
      </c>
      <c r="AJ5471" s="42"/>
      <c r="AK5471" s="74"/>
      <c r="AL5471" s="77"/>
      <c r="AN5471" s="497">
        <v>62.96</v>
      </c>
      <c r="AP5471" s="42"/>
      <c r="AQ5471" s="74"/>
      <c r="AR5471" s="77"/>
      <c r="AT5471" s="497">
        <v>68</v>
      </c>
      <c r="AV5471" s="42"/>
      <c r="AW5471" s="74"/>
      <c r="AX5471" s="77"/>
      <c r="BA5471" s="497">
        <v>66.92</v>
      </c>
      <c r="BB5471" s="42"/>
      <c r="BC5471" s="74"/>
      <c r="BD5471" s="77"/>
      <c r="BF5471">
        <v>60.980000000000004</v>
      </c>
      <c r="BH5471" s="42"/>
      <c r="BI5471" s="74"/>
      <c r="BJ5471" s="77"/>
      <c r="BL5471" s="497">
        <v>64.94</v>
      </c>
      <c r="BN5471" s="42"/>
      <c r="BO5471" s="74"/>
      <c r="BP5471" s="77"/>
      <c r="BR5471" s="497">
        <v>66.92</v>
      </c>
      <c r="BT5471" s="42"/>
    </row>
    <row r="5472" spans="1:72" x14ac:dyDescent="0.25">
      <c r="A5472" s="90">
        <v>34927</v>
      </c>
      <c r="B5472" s="20">
        <v>0.25</v>
      </c>
      <c r="D5472">
        <v>73.94</v>
      </c>
      <c r="E5472" t="str">
        <f t="shared" si="206"/>
        <v>WEEKDAY</v>
      </c>
      <c r="F5472" t="e">
        <f t="shared" si="205"/>
        <v>#N/A</v>
      </c>
      <c r="G5472" s="74">
        <v>32005</v>
      </c>
      <c r="H5472" s="77">
        <v>0.25</v>
      </c>
      <c r="J5472">
        <v>73.039999999999992</v>
      </c>
      <c r="M5472" s="74">
        <v>34562</v>
      </c>
      <c r="N5472" s="77">
        <v>0.25</v>
      </c>
      <c r="P5472">
        <v>54.86</v>
      </c>
      <c r="S5472" s="74">
        <v>34927</v>
      </c>
      <c r="T5472" s="77">
        <v>0.25</v>
      </c>
      <c r="V5472">
        <v>73.039999999999992</v>
      </c>
      <c r="X5472" s="42"/>
      <c r="AB5472">
        <v>69.8</v>
      </c>
      <c r="AC5472">
        <v>75.92</v>
      </c>
      <c r="AE5472" s="74"/>
      <c r="AF5472" s="77"/>
      <c r="AH5472" s="497">
        <v>50</v>
      </c>
      <c r="AJ5472" s="42"/>
      <c r="AK5472" s="74"/>
      <c r="AL5472" s="77"/>
      <c r="AN5472" s="497">
        <v>62.06</v>
      </c>
      <c r="AP5472" s="42"/>
      <c r="AQ5472" s="74"/>
      <c r="AR5472" s="77"/>
      <c r="AT5472" s="497">
        <v>68</v>
      </c>
      <c r="AV5472" s="42"/>
      <c r="AW5472" s="74"/>
      <c r="AX5472" s="77"/>
      <c r="BA5472" s="497">
        <v>64.039999999999992</v>
      </c>
      <c r="BB5472" s="42"/>
      <c r="BC5472" s="74"/>
      <c r="BD5472" s="77"/>
      <c r="BF5472">
        <v>60.08</v>
      </c>
      <c r="BH5472" s="42"/>
      <c r="BI5472" s="74"/>
      <c r="BJ5472" s="77"/>
      <c r="BL5472" s="497">
        <v>66.02</v>
      </c>
      <c r="BN5472" s="42"/>
      <c r="BO5472" s="74"/>
      <c r="BP5472" s="77"/>
      <c r="BR5472" s="497">
        <v>66.92</v>
      </c>
      <c r="BT5472" s="42"/>
    </row>
    <row r="5473" spans="1:72" x14ac:dyDescent="0.25">
      <c r="A5473" s="90">
        <v>34927</v>
      </c>
      <c r="B5473" s="20">
        <v>0.29166666666666669</v>
      </c>
      <c r="D5473">
        <v>75.02</v>
      </c>
      <c r="E5473" t="str">
        <f t="shared" si="206"/>
        <v>WEEKDAY</v>
      </c>
      <c r="F5473" t="e">
        <f t="shared" si="205"/>
        <v>#N/A</v>
      </c>
      <c r="G5473" s="74">
        <v>32005</v>
      </c>
      <c r="H5473" s="77">
        <v>0.29166666666666669</v>
      </c>
      <c r="J5473">
        <v>75.02</v>
      </c>
      <c r="M5473" s="74">
        <v>34562</v>
      </c>
      <c r="N5473" s="77">
        <v>0.29166666666666669</v>
      </c>
      <c r="P5473">
        <v>59.900000000000006</v>
      </c>
      <c r="S5473" s="74">
        <v>34927</v>
      </c>
      <c r="T5473" s="77">
        <v>0.29166666666666669</v>
      </c>
      <c r="V5473">
        <v>75.02</v>
      </c>
      <c r="X5473" s="42"/>
      <c r="AB5473">
        <v>70.3</v>
      </c>
      <c r="AC5473">
        <v>77</v>
      </c>
      <c r="AE5473" s="74"/>
      <c r="AF5473" s="77"/>
      <c r="AH5473" s="497">
        <v>54.86</v>
      </c>
      <c r="AJ5473" s="42"/>
      <c r="AK5473" s="74"/>
      <c r="AL5473" s="77"/>
      <c r="AN5473" s="497">
        <v>62.96</v>
      </c>
      <c r="AP5473" s="42"/>
      <c r="AQ5473" s="74"/>
      <c r="AR5473" s="77"/>
      <c r="AT5473" s="497">
        <v>68</v>
      </c>
      <c r="AV5473" s="42"/>
      <c r="AW5473" s="74"/>
      <c r="AX5473" s="77"/>
      <c r="BA5473" s="497">
        <v>64.94</v>
      </c>
      <c r="BB5473" s="42"/>
      <c r="BC5473" s="74"/>
      <c r="BD5473" s="77"/>
      <c r="BF5473">
        <v>60.980000000000004</v>
      </c>
      <c r="BH5473" s="42"/>
      <c r="BI5473" s="74"/>
      <c r="BJ5473" s="77"/>
      <c r="BL5473" s="497">
        <v>66.92</v>
      </c>
      <c r="BN5473" s="42"/>
      <c r="BO5473" s="74"/>
      <c r="BP5473" s="77"/>
      <c r="BR5473" s="497">
        <v>71.960000000000008</v>
      </c>
      <c r="BT5473" s="42"/>
    </row>
    <row r="5474" spans="1:72" x14ac:dyDescent="0.25">
      <c r="A5474" s="90">
        <v>34927</v>
      </c>
      <c r="B5474" s="20">
        <v>0.33333333333333331</v>
      </c>
      <c r="D5474">
        <v>75.92</v>
      </c>
      <c r="E5474" t="str">
        <f t="shared" si="206"/>
        <v>WEEKDAY</v>
      </c>
      <c r="F5474" t="e">
        <f t="shared" si="205"/>
        <v>#N/A</v>
      </c>
      <c r="G5474" s="74">
        <v>32005</v>
      </c>
      <c r="H5474" s="77">
        <v>0.33333333333333331</v>
      </c>
      <c r="J5474">
        <v>78.080000000000013</v>
      </c>
      <c r="M5474" s="74">
        <v>34562</v>
      </c>
      <c r="N5474" s="77">
        <v>0.33333333333333331</v>
      </c>
      <c r="P5474">
        <v>72.86</v>
      </c>
      <c r="S5474" s="74">
        <v>34927</v>
      </c>
      <c r="T5474" s="77">
        <v>0.33333333333333331</v>
      </c>
      <c r="V5474">
        <v>77</v>
      </c>
      <c r="X5474" s="42"/>
      <c r="AB5474">
        <v>72.3</v>
      </c>
      <c r="AC5474">
        <v>78.98</v>
      </c>
      <c r="AE5474" s="74"/>
      <c r="AF5474" s="77"/>
      <c r="AH5474" s="497">
        <v>61.88</v>
      </c>
      <c r="AJ5474" s="42"/>
      <c r="AK5474" s="74"/>
      <c r="AL5474" s="77"/>
      <c r="AN5474" s="497">
        <v>62.96</v>
      </c>
      <c r="AP5474" s="42"/>
      <c r="AQ5474" s="74"/>
      <c r="AR5474" s="77"/>
      <c r="AT5474" s="497">
        <v>66.92</v>
      </c>
      <c r="AV5474" s="42"/>
      <c r="AW5474" s="74"/>
      <c r="AX5474" s="77"/>
      <c r="BA5474" s="497">
        <v>68</v>
      </c>
      <c r="BB5474" s="42"/>
      <c r="BC5474" s="74"/>
      <c r="BD5474" s="77"/>
      <c r="BF5474">
        <v>66.02</v>
      </c>
      <c r="BH5474" s="42"/>
      <c r="BI5474" s="74"/>
      <c r="BJ5474" s="77"/>
      <c r="BL5474" s="497">
        <v>66.92</v>
      </c>
      <c r="BN5474" s="42"/>
      <c r="BO5474" s="74"/>
      <c r="BP5474" s="77"/>
      <c r="BR5474" s="497">
        <v>80.06</v>
      </c>
      <c r="BT5474" s="42"/>
    </row>
    <row r="5475" spans="1:72" x14ac:dyDescent="0.25">
      <c r="A5475" s="90">
        <v>34927</v>
      </c>
      <c r="B5475" s="20">
        <v>0.375</v>
      </c>
      <c r="D5475">
        <v>80.06</v>
      </c>
      <c r="E5475" t="str">
        <f t="shared" si="206"/>
        <v>WEEKDAY</v>
      </c>
      <c r="F5475" t="e">
        <f t="shared" si="205"/>
        <v>#N/A</v>
      </c>
      <c r="G5475" s="74">
        <v>32005</v>
      </c>
      <c r="H5475" s="77">
        <v>0.375</v>
      </c>
      <c r="J5475">
        <v>78.98</v>
      </c>
      <c r="M5475" s="74">
        <v>34562</v>
      </c>
      <c r="N5475" s="77">
        <v>0.375</v>
      </c>
      <c r="P5475">
        <v>69.98</v>
      </c>
      <c r="S5475" s="74">
        <v>34927</v>
      </c>
      <c r="T5475" s="77">
        <v>0.375</v>
      </c>
      <c r="V5475">
        <v>80.960000000000008</v>
      </c>
      <c r="X5475" s="42"/>
      <c r="AB5475">
        <v>74.2</v>
      </c>
      <c r="AC5475">
        <v>80.960000000000008</v>
      </c>
      <c r="AE5475" s="74"/>
      <c r="AF5475" s="77"/>
      <c r="AH5475" s="497">
        <v>68</v>
      </c>
      <c r="AJ5475" s="42"/>
      <c r="AK5475" s="74"/>
      <c r="AL5475" s="77"/>
      <c r="AN5475" s="497">
        <v>62.96</v>
      </c>
      <c r="AP5475" s="42"/>
      <c r="AQ5475" s="74"/>
      <c r="AR5475" s="77"/>
      <c r="AT5475" s="497">
        <v>68</v>
      </c>
      <c r="AV5475" s="42"/>
      <c r="AW5475" s="74"/>
      <c r="AX5475" s="77"/>
      <c r="BA5475" s="497">
        <v>69.98</v>
      </c>
      <c r="BB5475" s="42"/>
      <c r="BC5475" s="74"/>
      <c r="BD5475" s="77"/>
      <c r="BF5475">
        <v>68</v>
      </c>
      <c r="BH5475" s="42"/>
      <c r="BI5475" s="74"/>
      <c r="BJ5475" s="77"/>
      <c r="BL5475" s="497">
        <v>71.960000000000008</v>
      </c>
      <c r="BN5475" s="42"/>
      <c r="BO5475" s="74"/>
      <c r="BP5475" s="77"/>
      <c r="BR5475" s="497">
        <v>82.039999999999992</v>
      </c>
      <c r="BT5475" s="42"/>
    </row>
    <row r="5476" spans="1:72" x14ac:dyDescent="0.25">
      <c r="A5476" s="90">
        <v>34927</v>
      </c>
      <c r="B5476" s="20">
        <v>0.41666666666666669</v>
      </c>
      <c r="D5476">
        <v>82.039999999999992</v>
      </c>
      <c r="E5476" t="str">
        <f t="shared" si="206"/>
        <v>WEEKDAY</v>
      </c>
      <c r="F5476" t="e">
        <f t="shared" si="205"/>
        <v>#N/A</v>
      </c>
      <c r="G5476" s="74">
        <v>32005</v>
      </c>
      <c r="H5476" s="77">
        <v>0.41666666666666669</v>
      </c>
      <c r="J5476">
        <v>82.94</v>
      </c>
      <c r="M5476" s="74">
        <v>34562</v>
      </c>
      <c r="N5476" s="77">
        <v>0.41666666666666669</v>
      </c>
      <c r="P5476">
        <v>72.86</v>
      </c>
      <c r="S5476" s="74">
        <v>34927</v>
      </c>
      <c r="T5476" s="77">
        <v>0.41666666666666669</v>
      </c>
      <c r="V5476">
        <v>84.02</v>
      </c>
      <c r="X5476" s="42"/>
      <c r="AB5476">
        <v>76</v>
      </c>
      <c r="AC5476">
        <v>84.02</v>
      </c>
      <c r="AE5476" s="74"/>
      <c r="AF5476" s="77"/>
      <c r="AH5476" s="497">
        <v>71.960000000000008</v>
      </c>
      <c r="AJ5476" s="42"/>
      <c r="AK5476" s="74"/>
      <c r="AL5476" s="77"/>
      <c r="AN5476" s="497">
        <v>64.039999999999992</v>
      </c>
      <c r="AP5476" s="42"/>
      <c r="AQ5476" s="74"/>
      <c r="AR5476" s="77"/>
      <c r="AT5476" s="497">
        <v>69.080000000000013</v>
      </c>
      <c r="AV5476" s="42"/>
      <c r="AW5476" s="74"/>
      <c r="AX5476" s="77"/>
      <c r="BA5476" s="497">
        <v>71.960000000000008</v>
      </c>
      <c r="BB5476" s="42"/>
      <c r="BC5476" s="74"/>
      <c r="BD5476" s="77"/>
      <c r="BF5476">
        <v>71.06</v>
      </c>
      <c r="BH5476" s="42"/>
      <c r="BI5476" s="74"/>
      <c r="BJ5476" s="77"/>
      <c r="BL5476" s="497">
        <v>71.960000000000008</v>
      </c>
      <c r="BN5476" s="42"/>
      <c r="BO5476" s="74"/>
      <c r="BP5476" s="77"/>
      <c r="BR5476" s="497">
        <v>86</v>
      </c>
      <c r="BT5476" s="42"/>
    </row>
    <row r="5477" spans="1:72" x14ac:dyDescent="0.25">
      <c r="A5477" s="90">
        <v>34927</v>
      </c>
      <c r="B5477" s="20">
        <v>0.45833333333333331</v>
      </c>
      <c r="D5477">
        <v>82.94</v>
      </c>
      <c r="E5477" t="str">
        <f t="shared" si="206"/>
        <v>WEEKDAY</v>
      </c>
      <c r="F5477" t="e">
        <f t="shared" si="205"/>
        <v>#N/A</v>
      </c>
      <c r="G5477" s="74">
        <v>32005</v>
      </c>
      <c r="H5477" s="77">
        <v>0.45833333333333331</v>
      </c>
      <c r="J5477">
        <v>84.92</v>
      </c>
      <c r="M5477" s="74">
        <v>34562</v>
      </c>
      <c r="N5477" s="77">
        <v>0.45833333333333331</v>
      </c>
      <c r="P5477">
        <v>73.94</v>
      </c>
      <c r="S5477" s="74">
        <v>34927</v>
      </c>
      <c r="T5477" s="77">
        <v>0.45833333333333331</v>
      </c>
      <c r="V5477">
        <v>87.080000000000013</v>
      </c>
      <c r="X5477" s="42"/>
      <c r="AB5477">
        <v>77.599999999999994</v>
      </c>
      <c r="AC5477">
        <v>84.92</v>
      </c>
      <c r="AE5477" s="74"/>
      <c r="AF5477" s="77"/>
      <c r="AH5477" s="497">
        <v>74.84</v>
      </c>
      <c r="AJ5477" s="42"/>
      <c r="AK5477" s="74"/>
      <c r="AL5477" s="77"/>
      <c r="AN5477" s="497">
        <v>66.02</v>
      </c>
      <c r="AP5477" s="42"/>
      <c r="AQ5477" s="74"/>
      <c r="AR5477" s="77"/>
      <c r="AT5477" s="497">
        <v>71.06</v>
      </c>
      <c r="AV5477" s="42"/>
      <c r="AW5477" s="74"/>
      <c r="AX5477" s="77"/>
      <c r="BA5477" s="497">
        <v>73.039999999999992</v>
      </c>
      <c r="BB5477" s="42"/>
      <c r="BC5477" s="74"/>
      <c r="BD5477" s="77"/>
      <c r="BF5477">
        <v>73.94</v>
      </c>
      <c r="BH5477" s="42"/>
      <c r="BI5477" s="74"/>
      <c r="BJ5477" s="77"/>
      <c r="BL5477" s="497">
        <v>75.92</v>
      </c>
      <c r="BN5477" s="42"/>
      <c r="BO5477" s="74"/>
      <c r="BP5477" s="77"/>
      <c r="BR5477" s="497">
        <v>87.080000000000013</v>
      </c>
      <c r="BT5477" s="42"/>
    </row>
    <row r="5478" spans="1:72" x14ac:dyDescent="0.25">
      <c r="A5478" s="90">
        <v>34927</v>
      </c>
      <c r="B5478" s="20">
        <v>0.5</v>
      </c>
      <c r="D5478">
        <v>84.92</v>
      </c>
      <c r="E5478" t="str">
        <f t="shared" si="206"/>
        <v>WEEKDAY</v>
      </c>
      <c r="F5478" t="e">
        <f t="shared" si="205"/>
        <v>#N/A</v>
      </c>
      <c r="G5478" s="74">
        <v>32005</v>
      </c>
      <c r="H5478" s="77">
        <v>0.5</v>
      </c>
      <c r="J5478">
        <v>84.92</v>
      </c>
      <c r="M5478" s="74">
        <v>34562</v>
      </c>
      <c r="N5478" s="77">
        <v>0.5</v>
      </c>
      <c r="P5478">
        <v>73.94</v>
      </c>
      <c r="S5478" s="74">
        <v>34927</v>
      </c>
      <c r="T5478" s="77">
        <v>0.5</v>
      </c>
      <c r="V5478">
        <v>87.080000000000013</v>
      </c>
      <c r="X5478" s="42"/>
      <c r="AB5478">
        <v>78.8</v>
      </c>
      <c r="AC5478">
        <v>86</v>
      </c>
      <c r="AE5478" s="74"/>
      <c r="AF5478" s="77"/>
      <c r="AH5478" s="497">
        <v>74.84</v>
      </c>
      <c r="AJ5478" s="42"/>
      <c r="AK5478" s="74"/>
      <c r="AL5478" s="77"/>
      <c r="AN5478" s="497">
        <v>66.92</v>
      </c>
      <c r="AP5478" s="42"/>
      <c r="AQ5478" s="74"/>
      <c r="AR5478" s="77"/>
      <c r="AT5478" s="497">
        <v>71.06</v>
      </c>
      <c r="AV5478" s="42"/>
      <c r="AW5478" s="74"/>
      <c r="AX5478" s="77"/>
      <c r="BA5478" s="497">
        <v>71.06</v>
      </c>
      <c r="BB5478" s="42"/>
      <c r="BC5478" s="74"/>
      <c r="BD5478" s="77"/>
      <c r="BF5478">
        <v>75.92</v>
      </c>
      <c r="BH5478" s="42"/>
      <c r="BI5478" s="74"/>
      <c r="BJ5478" s="77"/>
      <c r="BL5478" s="497">
        <v>77</v>
      </c>
      <c r="BN5478" s="42"/>
      <c r="BO5478" s="74"/>
      <c r="BP5478" s="77"/>
      <c r="BR5478" s="497">
        <v>87.98</v>
      </c>
      <c r="BT5478" s="42"/>
    </row>
    <row r="5479" spans="1:72" x14ac:dyDescent="0.25">
      <c r="A5479" s="90">
        <v>34927</v>
      </c>
      <c r="B5479" s="20">
        <v>0.54166666666666663</v>
      </c>
      <c r="D5479">
        <v>86</v>
      </c>
      <c r="E5479" t="str">
        <f t="shared" si="206"/>
        <v>WEEKDAY</v>
      </c>
      <c r="F5479" t="e">
        <f t="shared" si="205"/>
        <v>#N/A</v>
      </c>
      <c r="G5479" s="74">
        <v>32005</v>
      </c>
      <c r="H5479" s="77">
        <v>0.54166666666666663</v>
      </c>
      <c r="J5479">
        <v>87.080000000000013</v>
      </c>
      <c r="M5479" s="74">
        <v>34562</v>
      </c>
      <c r="N5479" s="77">
        <v>0.54166666666666663</v>
      </c>
      <c r="P5479">
        <v>77</v>
      </c>
      <c r="S5479" s="74">
        <v>34927</v>
      </c>
      <c r="T5479" s="77">
        <v>0.54166666666666663</v>
      </c>
      <c r="V5479">
        <v>89.960000000000008</v>
      </c>
      <c r="X5479" s="42"/>
      <c r="AB5479">
        <v>79.5</v>
      </c>
      <c r="AC5479">
        <v>86</v>
      </c>
      <c r="AE5479" s="74"/>
      <c r="AF5479" s="77"/>
      <c r="AH5479" s="497">
        <v>75.92</v>
      </c>
      <c r="AJ5479" s="42"/>
      <c r="AK5479" s="74"/>
      <c r="AL5479" s="77"/>
      <c r="AN5479" s="497">
        <v>71.06</v>
      </c>
      <c r="AP5479" s="42"/>
      <c r="AQ5479" s="74"/>
      <c r="AR5479" s="77"/>
      <c r="AT5479" s="497">
        <v>73.039999999999992</v>
      </c>
      <c r="AV5479" s="42"/>
      <c r="AW5479" s="74"/>
      <c r="AX5479" s="77"/>
      <c r="BA5479" s="497">
        <v>73.94</v>
      </c>
      <c r="BB5479" s="42"/>
      <c r="BC5479" s="74"/>
      <c r="BD5479" s="77"/>
      <c r="BF5479">
        <v>77</v>
      </c>
      <c r="BH5479" s="42"/>
      <c r="BI5479" s="74"/>
      <c r="BJ5479" s="77"/>
      <c r="BL5479" s="497">
        <v>78.080000000000013</v>
      </c>
      <c r="BN5479" s="42"/>
      <c r="BO5479" s="74"/>
      <c r="BP5479" s="77"/>
      <c r="BR5479" s="497">
        <v>86</v>
      </c>
      <c r="BT5479" s="42"/>
    </row>
    <row r="5480" spans="1:72" x14ac:dyDescent="0.25">
      <c r="A5480" s="90">
        <v>34927</v>
      </c>
      <c r="B5480" s="20">
        <v>0.58333333333333337</v>
      </c>
      <c r="D5480">
        <v>86</v>
      </c>
      <c r="E5480" t="str">
        <f t="shared" si="206"/>
        <v>WEEKDAY</v>
      </c>
      <c r="F5480" t="e">
        <f t="shared" si="205"/>
        <v>#N/A</v>
      </c>
      <c r="G5480" s="74">
        <v>32005</v>
      </c>
      <c r="H5480" s="77">
        <v>0.58333333333333337</v>
      </c>
      <c r="J5480">
        <v>86</v>
      </c>
      <c r="M5480" s="74">
        <v>34562</v>
      </c>
      <c r="N5480" s="77">
        <v>0.58333333333333337</v>
      </c>
      <c r="P5480">
        <v>73.94</v>
      </c>
      <c r="S5480" s="74">
        <v>34927</v>
      </c>
      <c r="T5480" s="77">
        <v>0.58333333333333337</v>
      </c>
      <c r="V5480">
        <v>89.960000000000008</v>
      </c>
      <c r="X5480" s="42"/>
      <c r="AB5480">
        <v>80</v>
      </c>
      <c r="AC5480">
        <v>82.039999999999992</v>
      </c>
      <c r="AE5480" s="74"/>
      <c r="AF5480" s="77"/>
      <c r="AH5480" s="497">
        <v>77</v>
      </c>
      <c r="AJ5480" s="42"/>
      <c r="AK5480" s="74"/>
      <c r="AL5480" s="77"/>
      <c r="AN5480" s="497">
        <v>71.06</v>
      </c>
      <c r="AP5480" s="42"/>
      <c r="AQ5480" s="74"/>
      <c r="AR5480" s="77"/>
      <c r="AT5480" s="497">
        <v>73.039999999999992</v>
      </c>
      <c r="AV5480" s="42"/>
      <c r="AW5480" s="74"/>
      <c r="AX5480" s="77"/>
      <c r="BA5480" s="497">
        <v>71.960000000000008</v>
      </c>
      <c r="BB5480" s="42"/>
      <c r="BC5480" s="74"/>
      <c r="BD5480" s="77"/>
      <c r="BF5480">
        <v>78.080000000000013</v>
      </c>
      <c r="BH5480" s="42"/>
      <c r="BI5480" s="74"/>
      <c r="BJ5480" s="77"/>
      <c r="BL5480" s="497">
        <v>80.06</v>
      </c>
      <c r="BN5480" s="42"/>
      <c r="BO5480" s="74"/>
      <c r="BP5480" s="77"/>
      <c r="BR5480" s="497">
        <v>80.960000000000008</v>
      </c>
      <c r="BT5480" s="42"/>
    </row>
    <row r="5481" spans="1:72" x14ac:dyDescent="0.25">
      <c r="A5481" s="90">
        <v>34927</v>
      </c>
      <c r="B5481" s="20">
        <v>0.625</v>
      </c>
      <c r="D5481">
        <v>84.02</v>
      </c>
      <c r="E5481" t="str">
        <f t="shared" si="206"/>
        <v>WEEKDAY</v>
      </c>
      <c r="F5481" t="e">
        <f t="shared" si="205"/>
        <v>#N/A</v>
      </c>
      <c r="G5481" s="74">
        <v>32005</v>
      </c>
      <c r="H5481" s="77">
        <v>0.625</v>
      </c>
      <c r="J5481">
        <v>84.92</v>
      </c>
      <c r="M5481" s="74">
        <v>34562</v>
      </c>
      <c r="N5481" s="77">
        <v>0.625</v>
      </c>
      <c r="P5481">
        <v>74.84</v>
      </c>
      <c r="S5481" s="74">
        <v>34927</v>
      </c>
      <c r="T5481" s="77">
        <v>0.625</v>
      </c>
      <c r="V5481">
        <v>89.960000000000008</v>
      </c>
      <c r="X5481" s="42"/>
      <c r="AB5481">
        <v>80</v>
      </c>
      <c r="AC5481">
        <v>78.98</v>
      </c>
      <c r="AE5481" s="74"/>
      <c r="AF5481" s="77"/>
      <c r="AH5481" s="497">
        <v>77</v>
      </c>
      <c r="AJ5481" s="42"/>
      <c r="AK5481" s="74"/>
      <c r="AL5481" s="77"/>
      <c r="AN5481" s="497">
        <v>71.06</v>
      </c>
      <c r="AP5481" s="42"/>
      <c r="AQ5481" s="74"/>
      <c r="AR5481" s="77"/>
      <c r="AT5481" s="497">
        <v>75.02</v>
      </c>
      <c r="AV5481" s="42"/>
      <c r="AW5481" s="74"/>
      <c r="AX5481" s="77"/>
      <c r="BA5481" s="497">
        <v>73.039999999999992</v>
      </c>
      <c r="BB5481" s="42"/>
      <c r="BC5481" s="74"/>
      <c r="BD5481" s="77"/>
      <c r="BF5481">
        <v>80.06</v>
      </c>
      <c r="BH5481" s="42"/>
      <c r="BI5481" s="74"/>
      <c r="BJ5481" s="77"/>
      <c r="BL5481" s="497">
        <v>77</v>
      </c>
      <c r="BN5481" s="42"/>
      <c r="BO5481" s="74"/>
      <c r="BP5481" s="77"/>
      <c r="BR5481" s="497">
        <v>84.02</v>
      </c>
      <c r="BT5481" s="42"/>
    </row>
    <row r="5482" spans="1:72" x14ac:dyDescent="0.25">
      <c r="A5482" s="90">
        <v>34927</v>
      </c>
      <c r="B5482" s="20">
        <v>0.66666666666666663</v>
      </c>
      <c r="D5482">
        <v>84.02</v>
      </c>
      <c r="E5482" t="str">
        <f t="shared" si="206"/>
        <v>WEEKDAY</v>
      </c>
      <c r="F5482" t="e">
        <f t="shared" si="205"/>
        <v>#N/A</v>
      </c>
      <c r="G5482" s="74">
        <v>32005</v>
      </c>
      <c r="H5482" s="77">
        <v>0.66666666666666663</v>
      </c>
      <c r="J5482">
        <v>84.02</v>
      </c>
      <c r="M5482" s="74">
        <v>34562</v>
      </c>
      <c r="N5482" s="77">
        <v>0.66666666666666663</v>
      </c>
      <c r="P5482">
        <v>72.86</v>
      </c>
      <c r="S5482" s="74">
        <v>34927</v>
      </c>
      <c r="T5482" s="77">
        <v>0.66666666666666663</v>
      </c>
      <c r="V5482">
        <v>87.98</v>
      </c>
      <c r="X5482" s="42"/>
      <c r="AB5482">
        <v>79.599999999999994</v>
      </c>
      <c r="AC5482">
        <v>78.080000000000013</v>
      </c>
      <c r="AE5482" s="74"/>
      <c r="AF5482" s="77"/>
      <c r="AH5482" s="497">
        <v>76.28</v>
      </c>
      <c r="AJ5482" s="42"/>
      <c r="AK5482" s="74"/>
      <c r="AL5482" s="77"/>
      <c r="AN5482" s="497">
        <v>73.039999999999992</v>
      </c>
      <c r="AP5482" s="42"/>
      <c r="AQ5482" s="74"/>
      <c r="AR5482" s="77"/>
      <c r="AT5482" s="497">
        <v>73.94</v>
      </c>
      <c r="AV5482" s="42"/>
      <c r="AW5482" s="74"/>
      <c r="AX5482" s="77"/>
      <c r="BA5482" s="497">
        <v>71.960000000000008</v>
      </c>
      <c r="BB5482" s="42"/>
      <c r="BC5482" s="74"/>
      <c r="BD5482" s="77"/>
      <c r="BF5482">
        <v>78.98</v>
      </c>
      <c r="BH5482" s="42"/>
      <c r="BI5482" s="74"/>
      <c r="BJ5482" s="77"/>
      <c r="BL5482" s="497">
        <v>80.06</v>
      </c>
      <c r="BN5482" s="42"/>
      <c r="BO5482" s="74"/>
      <c r="BP5482" s="77"/>
      <c r="BR5482" s="497">
        <v>86</v>
      </c>
      <c r="BT5482" s="42"/>
    </row>
    <row r="5483" spans="1:72" x14ac:dyDescent="0.25">
      <c r="A5483" s="90">
        <v>34927</v>
      </c>
      <c r="B5483" s="20">
        <v>0.70833333333333337</v>
      </c>
      <c r="D5483">
        <v>82.94</v>
      </c>
      <c r="E5483" t="str">
        <f t="shared" si="206"/>
        <v>WEEKDAY</v>
      </c>
      <c r="F5483" t="e">
        <f t="shared" ref="F5483:F5546" si="207">IF(E5483="WEEKDAY",VLOOKUP(B5483,$DD$19:$DG$42,2),IF(E5483="SATURDAY",VLOOKUP(B5483,$DD$19:$DG$42,3),VLOOKUP(B5483,$DD$19:$DG$42,4)))</f>
        <v>#N/A</v>
      </c>
      <c r="G5483" s="74">
        <v>32005</v>
      </c>
      <c r="H5483" s="77">
        <v>0.70833333333333337</v>
      </c>
      <c r="J5483">
        <v>82.94</v>
      </c>
      <c r="M5483" s="74">
        <v>34562</v>
      </c>
      <c r="N5483" s="77">
        <v>0.70833333333333337</v>
      </c>
      <c r="P5483">
        <v>72.86</v>
      </c>
      <c r="S5483" s="74">
        <v>34927</v>
      </c>
      <c r="T5483" s="77">
        <v>0.70833333333333337</v>
      </c>
      <c r="V5483">
        <v>86</v>
      </c>
      <c r="X5483" s="42"/>
      <c r="AB5483">
        <v>78.7</v>
      </c>
      <c r="AC5483">
        <v>78.080000000000013</v>
      </c>
      <c r="AE5483" s="74"/>
      <c r="AF5483" s="77"/>
      <c r="AH5483" s="497">
        <v>74.84</v>
      </c>
      <c r="AJ5483" s="42"/>
      <c r="AK5483" s="74"/>
      <c r="AL5483" s="77"/>
      <c r="AN5483" s="497">
        <v>71.960000000000008</v>
      </c>
      <c r="AP5483" s="42"/>
      <c r="AQ5483" s="74"/>
      <c r="AR5483" s="77"/>
      <c r="AT5483" s="497">
        <v>73.94</v>
      </c>
      <c r="AV5483" s="42"/>
      <c r="AW5483" s="74"/>
      <c r="AX5483" s="77"/>
      <c r="BA5483" s="497">
        <v>69.080000000000013</v>
      </c>
      <c r="BB5483" s="42"/>
      <c r="BC5483" s="74"/>
      <c r="BD5483" s="77"/>
      <c r="BF5483">
        <v>78.98</v>
      </c>
      <c r="BH5483" s="42"/>
      <c r="BI5483" s="74"/>
      <c r="BJ5483" s="77"/>
      <c r="BL5483" s="497">
        <v>80.06</v>
      </c>
      <c r="BN5483" s="42"/>
      <c r="BO5483" s="74"/>
      <c r="BP5483" s="77"/>
      <c r="BR5483" s="497">
        <v>87.080000000000013</v>
      </c>
      <c r="BT5483" s="42"/>
    </row>
    <row r="5484" spans="1:72" x14ac:dyDescent="0.25">
      <c r="A5484" s="90">
        <v>34927</v>
      </c>
      <c r="B5484" s="20">
        <v>0.75</v>
      </c>
      <c r="D5484">
        <v>82.039999999999992</v>
      </c>
      <c r="E5484" t="str">
        <f t="shared" si="206"/>
        <v>WEEKDAY</v>
      </c>
      <c r="F5484" t="e">
        <f t="shared" si="207"/>
        <v>#N/A</v>
      </c>
      <c r="G5484" s="74">
        <v>32005</v>
      </c>
      <c r="H5484" s="77">
        <v>0.75</v>
      </c>
      <c r="J5484">
        <v>82.039999999999992</v>
      </c>
      <c r="M5484" s="74">
        <v>34562</v>
      </c>
      <c r="N5484" s="77">
        <v>0.75</v>
      </c>
      <c r="P5484">
        <v>69.98</v>
      </c>
      <c r="S5484" s="74">
        <v>34927</v>
      </c>
      <c r="T5484" s="77">
        <v>0.75</v>
      </c>
      <c r="V5484">
        <v>84.92</v>
      </c>
      <c r="X5484" s="42"/>
      <c r="AB5484">
        <v>77.7</v>
      </c>
      <c r="AC5484">
        <v>78.080000000000013</v>
      </c>
      <c r="AE5484" s="74"/>
      <c r="AF5484" s="77"/>
      <c r="AH5484" s="497">
        <v>72.86</v>
      </c>
      <c r="AJ5484" s="42"/>
      <c r="AK5484" s="74"/>
      <c r="AL5484" s="77"/>
      <c r="AN5484" s="497">
        <v>71.06</v>
      </c>
      <c r="AP5484" s="42"/>
      <c r="AQ5484" s="74"/>
      <c r="AR5484" s="77"/>
      <c r="AT5484" s="497">
        <v>73.94</v>
      </c>
      <c r="AV5484" s="42"/>
      <c r="AW5484" s="74"/>
      <c r="AX5484" s="77"/>
      <c r="BA5484" s="497">
        <v>69.080000000000013</v>
      </c>
      <c r="BB5484" s="42"/>
      <c r="BC5484" s="74"/>
      <c r="BD5484" s="77"/>
      <c r="BF5484">
        <v>77</v>
      </c>
      <c r="BH5484" s="42"/>
      <c r="BI5484" s="74"/>
      <c r="BJ5484" s="77"/>
      <c r="BL5484" s="497">
        <v>77</v>
      </c>
      <c r="BN5484" s="42"/>
      <c r="BO5484" s="74"/>
      <c r="BP5484" s="77"/>
      <c r="BR5484" s="497">
        <v>82.039999999999992</v>
      </c>
      <c r="BT5484" s="42"/>
    </row>
    <row r="5485" spans="1:72" x14ac:dyDescent="0.25">
      <c r="A5485" s="90">
        <v>34927</v>
      </c>
      <c r="B5485" s="20">
        <v>0.79166666666666663</v>
      </c>
      <c r="D5485">
        <v>80.06</v>
      </c>
      <c r="E5485" t="str">
        <f t="shared" si="206"/>
        <v>WEEKDAY</v>
      </c>
      <c r="F5485" t="e">
        <f t="shared" si="207"/>
        <v>#N/A</v>
      </c>
      <c r="G5485" s="74">
        <v>32005</v>
      </c>
      <c r="H5485" s="77">
        <v>0.79166666666666663</v>
      </c>
      <c r="J5485">
        <v>80.960000000000008</v>
      </c>
      <c r="M5485" s="74">
        <v>34562</v>
      </c>
      <c r="N5485" s="77">
        <v>0.79166666666666663</v>
      </c>
      <c r="P5485">
        <v>67.64</v>
      </c>
      <c r="S5485" s="74">
        <v>34927</v>
      </c>
      <c r="T5485" s="77">
        <v>0.79166666666666663</v>
      </c>
      <c r="V5485">
        <v>82.94</v>
      </c>
      <c r="X5485" s="42"/>
      <c r="AB5485">
        <v>76.3</v>
      </c>
      <c r="AC5485">
        <v>77</v>
      </c>
      <c r="AE5485" s="74"/>
      <c r="AF5485" s="77"/>
      <c r="AH5485" s="497">
        <v>68.72</v>
      </c>
      <c r="AJ5485" s="42"/>
      <c r="AK5485" s="74"/>
      <c r="AL5485" s="77"/>
      <c r="AN5485" s="497">
        <v>69.080000000000013</v>
      </c>
      <c r="AP5485" s="42"/>
      <c r="AQ5485" s="74"/>
      <c r="AR5485" s="77"/>
      <c r="AT5485" s="497">
        <v>71.06</v>
      </c>
      <c r="AV5485" s="42"/>
      <c r="AW5485" s="74"/>
      <c r="AX5485" s="77"/>
      <c r="BA5485" s="497">
        <v>68</v>
      </c>
      <c r="BB5485" s="42"/>
      <c r="BC5485" s="74"/>
      <c r="BD5485" s="77"/>
      <c r="BF5485">
        <v>75.92</v>
      </c>
      <c r="BH5485" s="42"/>
      <c r="BI5485" s="74"/>
      <c r="BJ5485" s="77"/>
      <c r="BL5485" s="497">
        <v>75.92</v>
      </c>
      <c r="BN5485" s="42"/>
      <c r="BO5485" s="74"/>
      <c r="BP5485" s="77"/>
      <c r="BR5485" s="497">
        <v>80.960000000000008</v>
      </c>
      <c r="BT5485" s="42"/>
    </row>
    <row r="5486" spans="1:72" x14ac:dyDescent="0.25">
      <c r="A5486" s="90">
        <v>34927</v>
      </c>
      <c r="B5486" s="20">
        <v>0.83333333333333337</v>
      </c>
      <c r="D5486">
        <v>78.98</v>
      </c>
      <c r="E5486" t="str">
        <f t="shared" si="206"/>
        <v>WEEKDAY</v>
      </c>
      <c r="F5486" t="e">
        <f t="shared" si="207"/>
        <v>#N/A</v>
      </c>
      <c r="G5486" s="74">
        <v>32005</v>
      </c>
      <c r="H5486" s="77">
        <v>0.83333333333333337</v>
      </c>
      <c r="J5486">
        <v>80.06</v>
      </c>
      <c r="M5486" s="74">
        <v>34562</v>
      </c>
      <c r="N5486" s="77">
        <v>0.83333333333333337</v>
      </c>
      <c r="P5486">
        <v>65.84</v>
      </c>
      <c r="S5486" s="74">
        <v>34927</v>
      </c>
      <c r="T5486" s="77">
        <v>0.83333333333333337</v>
      </c>
      <c r="V5486">
        <v>80.06</v>
      </c>
      <c r="X5486" s="42"/>
      <c r="AB5486">
        <v>74.900000000000006</v>
      </c>
      <c r="AC5486">
        <v>77</v>
      </c>
      <c r="AE5486" s="74"/>
      <c r="AF5486" s="77"/>
      <c r="AH5486" s="497">
        <v>65.300000000000011</v>
      </c>
      <c r="AJ5486" s="42"/>
      <c r="AK5486" s="74"/>
      <c r="AL5486" s="77"/>
      <c r="AN5486" s="497">
        <v>66.02</v>
      </c>
      <c r="AP5486" s="42"/>
      <c r="AQ5486" s="74"/>
      <c r="AR5486" s="77"/>
      <c r="AT5486" s="497">
        <v>69.080000000000013</v>
      </c>
      <c r="AV5486" s="42"/>
      <c r="AW5486" s="74"/>
      <c r="AX5486" s="77"/>
      <c r="BA5486" s="497">
        <v>66.02</v>
      </c>
      <c r="BB5486" s="42"/>
      <c r="BC5486" s="74"/>
      <c r="BD5486" s="77"/>
      <c r="BF5486">
        <v>73.039999999999992</v>
      </c>
      <c r="BH5486" s="42"/>
      <c r="BI5486" s="74"/>
      <c r="BJ5486" s="77"/>
      <c r="BL5486" s="497">
        <v>73.039999999999992</v>
      </c>
      <c r="BN5486" s="42"/>
      <c r="BO5486" s="74"/>
      <c r="BP5486" s="77"/>
      <c r="BR5486" s="497">
        <v>68</v>
      </c>
      <c r="BT5486" s="42"/>
    </row>
    <row r="5487" spans="1:72" x14ac:dyDescent="0.25">
      <c r="A5487" s="90">
        <v>34927</v>
      </c>
      <c r="B5487" s="20">
        <v>0.875</v>
      </c>
      <c r="D5487">
        <v>78.080000000000013</v>
      </c>
      <c r="E5487" t="str">
        <f t="shared" si="206"/>
        <v>WEEKDAY</v>
      </c>
      <c r="F5487" t="e">
        <f t="shared" si="207"/>
        <v>#N/A</v>
      </c>
      <c r="G5487" s="74">
        <v>32005</v>
      </c>
      <c r="H5487" s="77">
        <v>0.875</v>
      </c>
      <c r="J5487">
        <v>80.960000000000008</v>
      </c>
      <c r="M5487" s="74">
        <v>34562</v>
      </c>
      <c r="N5487" s="77">
        <v>0.875</v>
      </c>
      <c r="P5487">
        <v>65.300000000000011</v>
      </c>
      <c r="S5487" s="74">
        <v>34927</v>
      </c>
      <c r="T5487" s="77">
        <v>0.875</v>
      </c>
      <c r="V5487">
        <v>80.06</v>
      </c>
      <c r="X5487" s="42"/>
      <c r="AB5487">
        <v>74.099999999999994</v>
      </c>
      <c r="AC5487">
        <v>77</v>
      </c>
      <c r="AE5487" s="74"/>
      <c r="AF5487" s="77"/>
      <c r="AH5487" s="497">
        <v>62.96</v>
      </c>
      <c r="AJ5487" s="42"/>
      <c r="AK5487" s="74"/>
      <c r="AL5487" s="77"/>
      <c r="AN5487" s="497">
        <v>64.94</v>
      </c>
      <c r="AP5487" s="42"/>
      <c r="AQ5487" s="74"/>
      <c r="AR5487" s="77"/>
      <c r="AT5487" s="497">
        <v>66.92</v>
      </c>
      <c r="AV5487" s="42"/>
      <c r="AW5487" s="74"/>
      <c r="AX5487" s="77"/>
      <c r="BA5487" s="497">
        <v>64.94</v>
      </c>
      <c r="BB5487" s="42"/>
      <c r="BC5487" s="74"/>
      <c r="BD5487" s="77"/>
      <c r="BF5487">
        <v>69.98</v>
      </c>
      <c r="BH5487" s="42"/>
      <c r="BI5487" s="74"/>
      <c r="BJ5487" s="77"/>
      <c r="BL5487" s="497">
        <v>71.06</v>
      </c>
      <c r="BN5487" s="42"/>
      <c r="BO5487" s="74"/>
      <c r="BP5487" s="77"/>
      <c r="BR5487" s="497">
        <v>69.080000000000013</v>
      </c>
      <c r="BT5487" s="42"/>
    </row>
    <row r="5488" spans="1:72" x14ac:dyDescent="0.25">
      <c r="A5488" s="90">
        <v>34927</v>
      </c>
      <c r="B5488" s="20">
        <v>0.91666666666666663</v>
      </c>
      <c r="D5488">
        <v>77</v>
      </c>
      <c r="E5488" t="str">
        <f t="shared" si="206"/>
        <v>WEEKDAY</v>
      </c>
      <c r="F5488" t="e">
        <f t="shared" si="207"/>
        <v>#N/A</v>
      </c>
      <c r="G5488" s="74">
        <v>32005</v>
      </c>
      <c r="H5488" s="77">
        <v>0.91666666666666663</v>
      </c>
      <c r="J5488">
        <v>80.960000000000008</v>
      </c>
      <c r="M5488" s="74">
        <v>34562</v>
      </c>
      <c r="N5488" s="77">
        <v>0.91666666666666663</v>
      </c>
      <c r="P5488">
        <v>64.94</v>
      </c>
      <c r="S5488" s="74">
        <v>34927</v>
      </c>
      <c r="T5488" s="77">
        <v>0.91666666666666663</v>
      </c>
      <c r="V5488">
        <v>78.98</v>
      </c>
      <c r="X5488" s="42"/>
      <c r="AB5488">
        <v>73.599999999999994</v>
      </c>
      <c r="AC5488">
        <v>75.92</v>
      </c>
      <c r="AE5488" s="74"/>
      <c r="AF5488" s="77"/>
      <c r="AH5488" s="497">
        <v>61.88</v>
      </c>
      <c r="AJ5488" s="42"/>
      <c r="AK5488" s="74"/>
      <c r="AL5488" s="77"/>
      <c r="AN5488" s="497">
        <v>64.039999999999992</v>
      </c>
      <c r="AP5488" s="42"/>
      <c r="AQ5488" s="74"/>
      <c r="AR5488" s="77"/>
      <c r="AT5488" s="497">
        <v>64.94</v>
      </c>
      <c r="AV5488" s="42"/>
      <c r="AW5488" s="74"/>
      <c r="AX5488" s="77"/>
      <c r="BA5488" s="497">
        <v>60.980000000000004</v>
      </c>
      <c r="BB5488" s="42"/>
      <c r="BC5488" s="74"/>
      <c r="BD5488" s="77"/>
      <c r="BF5488">
        <v>68</v>
      </c>
      <c r="BH5488" s="42"/>
      <c r="BI5488" s="74"/>
      <c r="BJ5488" s="77"/>
      <c r="BL5488" s="497">
        <v>69.98</v>
      </c>
      <c r="BN5488" s="42"/>
      <c r="BO5488" s="74"/>
      <c r="BP5488" s="77"/>
      <c r="BR5488" s="497">
        <v>69.98</v>
      </c>
      <c r="BT5488" s="42"/>
    </row>
    <row r="5489" spans="1:72" x14ac:dyDescent="0.25">
      <c r="A5489" s="90">
        <v>34927</v>
      </c>
      <c r="B5489" s="20">
        <v>0.95833333333333337</v>
      </c>
      <c r="D5489">
        <v>77</v>
      </c>
      <c r="E5489" t="str">
        <f t="shared" si="206"/>
        <v>WEEKDAY</v>
      </c>
      <c r="F5489" t="e">
        <f t="shared" si="207"/>
        <v>#N/A</v>
      </c>
      <c r="G5489" s="74">
        <v>32005</v>
      </c>
      <c r="H5489" s="77">
        <v>0.95833333333333337</v>
      </c>
      <c r="J5489">
        <v>80.06</v>
      </c>
      <c r="M5489" s="74">
        <v>34562</v>
      </c>
      <c r="N5489" s="77">
        <v>0.95833333333333337</v>
      </c>
      <c r="P5489">
        <v>64.94</v>
      </c>
      <c r="S5489" s="74">
        <v>34927</v>
      </c>
      <c r="T5489" s="77">
        <v>0.95833333333333337</v>
      </c>
      <c r="V5489">
        <v>78.98</v>
      </c>
      <c r="X5489" s="42"/>
      <c r="AB5489">
        <v>73.099999999999994</v>
      </c>
      <c r="AC5489">
        <v>75.92</v>
      </c>
      <c r="AE5489" s="74"/>
      <c r="AF5489" s="77"/>
      <c r="AH5489" s="497">
        <v>60.980000000000004</v>
      </c>
      <c r="AJ5489" s="42"/>
      <c r="AK5489" s="74"/>
      <c r="AL5489" s="77"/>
      <c r="AN5489" s="497">
        <v>64.039999999999992</v>
      </c>
      <c r="AP5489" s="42"/>
      <c r="AQ5489" s="74"/>
      <c r="AR5489" s="77"/>
      <c r="AT5489" s="497">
        <v>62.96</v>
      </c>
      <c r="AV5489" s="42"/>
      <c r="AW5489" s="74"/>
      <c r="AX5489" s="77"/>
      <c r="BA5489" s="497">
        <v>59</v>
      </c>
      <c r="BB5489" s="42"/>
      <c r="BC5489" s="74"/>
      <c r="BD5489" s="77"/>
      <c r="BF5489">
        <v>64.94</v>
      </c>
      <c r="BH5489" s="42"/>
      <c r="BI5489" s="74"/>
      <c r="BJ5489" s="77"/>
      <c r="BL5489" s="497">
        <v>69.98</v>
      </c>
      <c r="BN5489" s="42"/>
      <c r="BO5489" s="74"/>
      <c r="BP5489" s="77"/>
      <c r="BR5489" s="497">
        <v>71.06</v>
      </c>
      <c r="BT5489" s="42"/>
    </row>
    <row r="5490" spans="1:72" x14ac:dyDescent="0.25">
      <c r="A5490" s="90">
        <v>34927</v>
      </c>
      <c r="B5490" s="20">
        <v>1</v>
      </c>
      <c r="D5490">
        <v>75.92</v>
      </c>
      <c r="E5490" t="str">
        <f t="shared" si="206"/>
        <v>WEEKDAY</v>
      </c>
      <c r="F5490" t="e">
        <f t="shared" si="207"/>
        <v>#N/A</v>
      </c>
      <c r="G5490" s="74">
        <v>32005</v>
      </c>
      <c r="H5490" s="77">
        <v>1</v>
      </c>
      <c r="J5490">
        <v>78.98</v>
      </c>
      <c r="M5490" s="74">
        <v>34562</v>
      </c>
      <c r="N5490" s="80">
        <v>1</v>
      </c>
      <c r="P5490">
        <v>66.92</v>
      </c>
      <c r="S5490" s="74">
        <v>34927</v>
      </c>
      <c r="T5490" s="80">
        <v>1</v>
      </c>
      <c r="V5490">
        <v>78.080000000000013</v>
      </c>
      <c r="X5490" s="42"/>
      <c r="AB5490">
        <v>72.599999999999994</v>
      </c>
      <c r="AC5490">
        <v>75.02</v>
      </c>
      <c r="AE5490" s="74"/>
      <c r="AF5490" s="80"/>
      <c r="AH5490" s="497">
        <v>59.900000000000006</v>
      </c>
      <c r="AJ5490" s="42"/>
      <c r="AK5490" s="74"/>
      <c r="AL5490" s="80"/>
      <c r="AN5490" s="497">
        <v>62.96</v>
      </c>
      <c r="AP5490" s="42"/>
      <c r="AQ5490" s="74"/>
      <c r="AR5490" s="80"/>
      <c r="AT5490" s="497">
        <v>60.08</v>
      </c>
      <c r="AV5490" s="42"/>
      <c r="AW5490" s="74"/>
      <c r="AX5490" s="80"/>
      <c r="BA5490" s="497">
        <v>57.92</v>
      </c>
      <c r="BB5490" s="42"/>
      <c r="BC5490" s="74"/>
      <c r="BD5490" s="80"/>
      <c r="BF5490">
        <v>62.96</v>
      </c>
      <c r="BH5490" s="42"/>
      <c r="BI5490" s="74"/>
      <c r="BJ5490" s="80"/>
      <c r="BL5490" s="497">
        <v>69.080000000000013</v>
      </c>
      <c r="BN5490" s="42"/>
      <c r="BO5490" s="74"/>
      <c r="BP5490" s="80"/>
      <c r="BR5490" s="497">
        <v>71.06</v>
      </c>
      <c r="BT5490" s="42"/>
    </row>
    <row r="5491" spans="1:72" x14ac:dyDescent="0.25">
      <c r="A5491" s="90">
        <v>34928</v>
      </c>
      <c r="B5491" s="20">
        <v>4.1666666666666664E-2</v>
      </c>
      <c r="D5491">
        <v>75.92</v>
      </c>
      <c r="E5491" t="str">
        <f t="shared" si="206"/>
        <v>WEEKDAY</v>
      </c>
      <c r="F5491" t="e">
        <f t="shared" si="207"/>
        <v>#N/A</v>
      </c>
      <c r="G5491" s="74">
        <v>32006</v>
      </c>
      <c r="H5491" s="77">
        <v>4.1666666666666664E-2</v>
      </c>
      <c r="J5491">
        <v>78.080000000000013</v>
      </c>
      <c r="M5491" s="74">
        <v>34563</v>
      </c>
      <c r="N5491" s="77">
        <v>4.1666666666666664E-2</v>
      </c>
      <c r="P5491">
        <v>65.84</v>
      </c>
      <c r="S5491" s="74">
        <v>34928</v>
      </c>
      <c r="T5491" s="77">
        <v>4.1666666666666664E-2</v>
      </c>
      <c r="V5491">
        <v>78.98</v>
      </c>
      <c r="X5491" s="42"/>
      <c r="AB5491">
        <v>71.900000000000006</v>
      </c>
      <c r="AC5491">
        <v>75.02</v>
      </c>
      <c r="AE5491" s="74"/>
      <c r="AF5491" s="77"/>
      <c r="AH5491" s="497">
        <v>61.88</v>
      </c>
      <c r="AJ5491" s="42"/>
      <c r="AK5491" s="74"/>
      <c r="AL5491" s="77"/>
      <c r="AN5491" s="497">
        <v>60.980000000000004</v>
      </c>
      <c r="AP5491" s="42"/>
      <c r="AQ5491" s="74"/>
      <c r="AR5491" s="77"/>
      <c r="AT5491" s="497">
        <v>57.92</v>
      </c>
      <c r="AV5491" s="42"/>
      <c r="AW5491" s="74"/>
      <c r="AX5491" s="77"/>
      <c r="BA5491" s="497">
        <v>57.019999999999996</v>
      </c>
      <c r="BB5491" s="42"/>
      <c r="BC5491" s="74"/>
      <c r="BD5491" s="77"/>
      <c r="BF5491">
        <v>60.980000000000004</v>
      </c>
      <c r="BH5491" s="42"/>
      <c r="BI5491" s="74"/>
      <c r="BJ5491" s="77"/>
      <c r="BL5491" s="497">
        <v>68</v>
      </c>
      <c r="BN5491" s="42"/>
      <c r="BO5491" s="74"/>
      <c r="BP5491" s="77"/>
      <c r="BR5491" s="497">
        <v>71.06</v>
      </c>
      <c r="BT5491" s="42"/>
    </row>
    <row r="5492" spans="1:72" x14ac:dyDescent="0.25">
      <c r="A5492" s="90">
        <v>34928</v>
      </c>
      <c r="B5492" s="20">
        <v>8.3333333333333329E-2</v>
      </c>
      <c r="D5492">
        <v>75.92</v>
      </c>
      <c r="E5492" t="str">
        <f t="shared" si="206"/>
        <v>WEEKDAY</v>
      </c>
      <c r="F5492" t="e">
        <f t="shared" si="207"/>
        <v>#N/A</v>
      </c>
      <c r="G5492" s="74">
        <v>32006</v>
      </c>
      <c r="H5492" s="77">
        <v>8.3333333333333329E-2</v>
      </c>
      <c r="J5492">
        <v>78.080000000000013</v>
      </c>
      <c r="M5492" s="74">
        <v>34563</v>
      </c>
      <c r="N5492" s="77">
        <v>8.3333333333333329E-2</v>
      </c>
      <c r="P5492">
        <v>65.84</v>
      </c>
      <c r="S5492" s="74">
        <v>34928</v>
      </c>
      <c r="T5492" s="77">
        <v>8.3333333333333329E-2</v>
      </c>
      <c r="V5492">
        <v>78.080000000000013</v>
      </c>
      <c r="X5492" s="42"/>
      <c r="AB5492">
        <v>71.3</v>
      </c>
      <c r="AC5492">
        <v>73.94</v>
      </c>
      <c r="AE5492" s="74"/>
      <c r="AF5492" s="77"/>
      <c r="AH5492" s="497">
        <v>63.86</v>
      </c>
      <c r="AJ5492" s="42"/>
      <c r="AK5492" s="74"/>
      <c r="AL5492" s="77"/>
      <c r="AN5492" s="497">
        <v>60.08</v>
      </c>
      <c r="AP5492" s="42"/>
      <c r="AQ5492" s="74"/>
      <c r="AR5492" s="77"/>
      <c r="AT5492" s="497">
        <v>53.96</v>
      </c>
      <c r="AV5492" s="42"/>
      <c r="AW5492" s="74"/>
      <c r="AX5492" s="77"/>
      <c r="BA5492" s="497">
        <v>57.019999999999996</v>
      </c>
      <c r="BB5492" s="42"/>
      <c r="BC5492" s="74"/>
      <c r="BD5492" s="77"/>
      <c r="BF5492">
        <v>57.92</v>
      </c>
      <c r="BH5492" s="42"/>
      <c r="BI5492" s="74"/>
      <c r="BJ5492" s="77"/>
      <c r="BL5492" s="497">
        <v>66.92</v>
      </c>
      <c r="BN5492" s="42"/>
      <c r="BO5492" s="74"/>
      <c r="BP5492" s="77"/>
      <c r="BR5492" s="497">
        <v>71.06</v>
      </c>
      <c r="BT5492" s="42"/>
    </row>
    <row r="5493" spans="1:72" x14ac:dyDescent="0.25">
      <c r="A5493" s="90">
        <v>34928</v>
      </c>
      <c r="B5493" s="20">
        <v>0.125</v>
      </c>
      <c r="D5493">
        <v>75.02</v>
      </c>
      <c r="E5493" t="str">
        <f t="shared" si="206"/>
        <v>WEEKDAY</v>
      </c>
      <c r="F5493" t="e">
        <f t="shared" si="207"/>
        <v>#N/A</v>
      </c>
      <c r="G5493" s="74">
        <v>32006</v>
      </c>
      <c r="H5493" s="77">
        <v>0.125</v>
      </c>
      <c r="J5493">
        <v>77</v>
      </c>
      <c r="M5493" s="74">
        <v>34563</v>
      </c>
      <c r="N5493" s="77">
        <v>0.125</v>
      </c>
      <c r="P5493">
        <v>65.84</v>
      </c>
      <c r="S5493" s="74">
        <v>34928</v>
      </c>
      <c r="T5493" s="77">
        <v>0.125</v>
      </c>
      <c r="V5493">
        <v>78.080000000000013</v>
      </c>
      <c r="X5493" s="42"/>
      <c r="AB5493">
        <v>70.900000000000006</v>
      </c>
      <c r="AC5493">
        <v>73.039999999999992</v>
      </c>
      <c r="AE5493" s="74"/>
      <c r="AF5493" s="77"/>
      <c r="AH5493" s="497">
        <v>63.86</v>
      </c>
      <c r="AJ5493" s="42"/>
      <c r="AK5493" s="74"/>
      <c r="AL5493" s="77"/>
      <c r="AN5493" s="497">
        <v>57.92</v>
      </c>
      <c r="AP5493" s="42"/>
      <c r="AQ5493" s="74"/>
      <c r="AR5493" s="77"/>
      <c r="AT5493" s="497">
        <v>55.040000000000006</v>
      </c>
      <c r="AV5493" s="42"/>
      <c r="AW5493" s="74"/>
      <c r="AX5493" s="77"/>
      <c r="BA5493" s="497">
        <v>55.94</v>
      </c>
      <c r="BB5493" s="42"/>
      <c r="BC5493" s="74"/>
      <c r="BD5493" s="77"/>
      <c r="BF5493">
        <v>55.94</v>
      </c>
      <c r="BH5493" s="42"/>
      <c r="BI5493" s="74"/>
      <c r="BJ5493" s="77"/>
      <c r="BL5493" s="497">
        <v>66.92</v>
      </c>
      <c r="BN5493" s="42"/>
      <c r="BO5493" s="74"/>
      <c r="BP5493" s="77"/>
      <c r="BR5493" s="497">
        <v>69.98</v>
      </c>
      <c r="BT5493" s="42"/>
    </row>
    <row r="5494" spans="1:72" x14ac:dyDescent="0.25">
      <c r="A5494" s="90">
        <v>34928</v>
      </c>
      <c r="B5494" s="20">
        <v>0.16666666666666666</v>
      </c>
      <c r="D5494">
        <v>75.02</v>
      </c>
      <c r="E5494" t="str">
        <f t="shared" si="206"/>
        <v>WEEKDAY</v>
      </c>
      <c r="F5494" t="e">
        <f t="shared" si="207"/>
        <v>#N/A</v>
      </c>
      <c r="G5494" s="74">
        <v>32006</v>
      </c>
      <c r="H5494" s="77">
        <v>0.16666666666666666</v>
      </c>
      <c r="J5494">
        <v>77</v>
      </c>
      <c r="M5494" s="74">
        <v>34563</v>
      </c>
      <c r="N5494" s="77">
        <v>0.16666666666666666</v>
      </c>
      <c r="P5494">
        <v>65.84</v>
      </c>
      <c r="S5494" s="74">
        <v>34928</v>
      </c>
      <c r="T5494" s="77">
        <v>0.16666666666666666</v>
      </c>
      <c r="V5494">
        <v>77</v>
      </c>
      <c r="X5494" s="42"/>
      <c r="AB5494">
        <v>70.400000000000006</v>
      </c>
      <c r="AC5494">
        <v>73.039999999999992</v>
      </c>
      <c r="AE5494" s="74"/>
      <c r="AF5494" s="77"/>
      <c r="AH5494" s="497">
        <v>63.86</v>
      </c>
      <c r="AJ5494" s="42"/>
      <c r="AK5494" s="74"/>
      <c r="AL5494" s="77"/>
      <c r="AN5494" s="497">
        <v>57.019999999999996</v>
      </c>
      <c r="AP5494" s="42"/>
      <c r="AQ5494" s="74"/>
      <c r="AR5494" s="77"/>
      <c r="AT5494" s="497">
        <v>53.06</v>
      </c>
      <c r="AV5494" s="42"/>
      <c r="AW5494" s="74"/>
      <c r="AX5494" s="77"/>
      <c r="BA5494" s="497">
        <v>55.94</v>
      </c>
      <c r="BB5494" s="42"/>
      <c r="BC5494" s="74"/>
      <c r="BD5494" s="77"/>
      <c r="BF5494">
        <v>55.94</v>
      </c>
      <c r="BH5494" s="42"/>
      <c r="BI5494" s="74"/>
      <c r="BJ5494" s="77"/>
      <c r="BL5494" s="497">
        <v>66.02</v>
      </c>
      <c r="BN5494" s="42"/>
      <c r="BO5494" s="74"/>
      <c r="BP5494" s="77"/>
      <c r="BR5494" s="497">
        <v>69.98</v>
      </c>
      <c r="BT5494" s="42"/>
    </row>
    <row r="5495" spans="1:72" x14ac:dyDescent="0.25">
      <c r="A5495" s="90">
        <v>34928</v>
      </c>
      <c r="B5495" s="20">
        <v>0.20833333333333334</v>
      </c>
      <c r="D5495">
        <v>75.02</v>
      </c>
      <c r="E5495" t="str">
        <f t="shared" si="206"/>
        <v>WEEKDAY</v>
      </c>
      <c r="F5495" t="e">
        <f t="shared" si="207"/>
        <v>#N/A</v>
      </c>
      <c r="G5495" s="74">
        <v>32006</v>
      </c>
      <c r="H5495" s="77">
        <v>0.20833333333333334</v>
      </c>
      <c r="J5495">
        <v>75.92</v>
      </c>
      <c r="M5495" s="74">
        <v>34563</v>
      </c>
      <c r="N5495" s="77">
        <v>0.20833333333333334</v>
      </c>
      <c r="P5495">
        <v>65.84</v>
      </c>
      <c r="S5495" s="74">
        <v>34928</v>
      </c>
      <c r="T5495" s="77">
        <v>0.20833333333333334</v>
      </c>
      <c r="V5495">
        <v>77</v>
      </c>
      <c r="X5495" s="42"/>
      <c r="AB5495">
        <v>69.900000000000006</v>
      </c>
      <c r="AC5495">
        <v>73.039999999999992</v>
      </c>
      <c r="AE5495" s="74"/>
      <c r="AF5495" s="77"/>
      <c r="AH5495" s="497">
        <v>63.86</v>
      </c>
      <c r="AJ5495" s="42"/>
      <c r="AK5495" s="74"/>
      <c r="AL5495" s="77"/>
      <c r="AN5495" s="497">
        <v>57.019999999999996</v>
      </c>
      <c r="AP5495" s="42"/>
      <c r="AQ5495" s="74"/>
      <c r="AR5495" s="77"/>
      <c r="AT5495" s="497">
        <v>53.06</v>
      </c>
      <c r="AV5495" s="42"/>
      <c r="AW5495" s="74"/>
      <c r="AX5495" s="77"/>
      <c r="BA5495" s="497">
        <v>55.94</v>
      </c>
      <c r="BB5495" s="42"/>
      <c r="BC5495" s="74"/>
      <c r="BD5495" s="77"/>
      <c r="BF5495">
        <v>55.040000000000006</v>
      </c>
      <c r="BH5495" s="42"/>
      <c r="BI5495" s="74"/>
      <c r="BJ5495" s="77"/>
      <c r="BL5495" s="497">
        <v>66.02</v>
      </c>
      <c r="BN5495" s="42"/>
      <c r="BO5495" s="74"/>
      <c r="BP5495" s="77"/>
      <c r="BR5495" s="497">
        <v>69.98</v>
      </c>
      <c r="BT5495" s="42"/>
    </row>
    <row r="5496" spans="1:72" x14ac:dyDescent="0.25">
      <c r="A5496" s="90">
        <v>34928</v>
      </c>
      <c r="B5496" s="20">
        <v>0.25</v>
      </c>
      <c r="D5496">
        <v>75.2</v>
      </c>
      <c r="E5496" t="str">
        <f t="shared" si="206"/>
        <v>WEEKDAY</v>
      </c>
      <c r="F5496" t="e">
        <f t="shared" si="207"/>
        <v>#N/A</v>
      </c>
      <c r="G5496" s="74">
        <v>32006</v>
      </c>
      <c r="H5496" s="77">
        <v>0.25</v>
      </c>
      <c r="J5496">
        <v>78.080000000000013</v>
      </c>
      <c r="M5496" s="74">
        <v>34563</v>
      </c>
      <c r="N5496" s="77">
        <v>0.25</v>
      </c>
      <c r="P5496">
        <v>65.84</v>
      </c>
      <c r="S5496" s="74">
        <v>34928</v>
      </c>
      <c r="T5496" s="77">
        <v>0.25</v>
      </c>
      <c r="V5496">
        <v>78.080000000000013</v>
      </c>
      <c r="X5496" s="42"/>
      <c r="AB5496">
        <v>69.599999999999994</v>
      </c>
      <c r="AC5496">
        <v>73.94</v>
      </c>
      <c r="AE5496" s="74"/>
      <c r="AF5496" s="77"/>
      <c r="AH5496" s="497">
        <v>64.94</v>
      </c>
      <c r="AJ5496" s="42"/>
      <c r="AK5496" s="74"/>
      <c r="AL5496" s="77"/>
      <c r="AN5496" s="497">
        <v>57.92</v>
      </c>
      <c r="AP5496" s="42"/>
      <c r="AQ5496" s="74"/>
      <c r="AR5496" s="77"/>
      <c r="AT5496" s="497">
        <v>53.96</v>
      </c>
      <c r="AV5496" s="42"/>
      <c r="AW5496" s="74"/>
      <c r="AX5496" s="77"/>
      <c r="BA5496" s="497">
        <v>57.019999999999996</v>
      </c>
      <c r="BB5496" s="42"/>
      <c r="BC5496" s="74"/>
      <c r="BD5496" s="77"/>
      <c r="BF5496">
        <v>53.96</v>
      </c>
      <c r="BH5496" s="42"/>
      <c r="BI5496" s="74"/>
      <c r="BJ5496" s="77"/>
      <c r="BL5496" s="497">
        <v>66.02</v>
      </c>
      <c r="BN5496" s="42"/>
      <c r="BO5496" s="74"/>
      <c r="BP5496" s="77"/>
      <c r="BR5496" s="497">
        <v>71.06</v>
      </c>
      <c r="BT5496" s="42"/>
    </row>
    <row r="5497" spans="1:72" x14ac:dyDescent="0.25">
      <c r="A5497" s="90">
        <v>34928</v>
      </c>
      <c r="B5497" s="20">
        <v>0.29166666666666669</v>
      </c>
      <c r="D5497">
        <v>77</v>
      </c>
      <c r="E5497" t="str">
        <f t="shared" si="206"/>
        <v>WEEKDAY</v>
      </c>
      <c r="F5497" t="e">
        <f t="shared" si="207"/>
        <v>#N/A</v>
      </c>
      <c r="G5497" s="74">
        <v>32006</v>
      </c>
      <c r="H5497" s="77">
        <v>0.29166666666666669</v>
      </c>
      <c r="J5497">
        <v>80.06</v>
      </c>
      <c r="M5497" s="74">
        <v>34563</v>
      </c>
      <c r="N5497" s="77">
        <v>0.29166666666666669</v>
      </c>
      <c r="P5497">
        <v>66.92</v>
      </c>
      <c r="S5497" s="74">
        <v>34928</v>
      </c>
      <c r="T5497" s="77">
        <v>0.29166666666666669</v>
      </c>
      <c r="V5497">
        <v>80.06</v>
      </c>
      <c r="X5497" s="42"/>
      <c r="AB5497">
        <v>70.099999999999994</v>
      </c>
      <c r="AC5497">
        <v>78.080000000000013</v>
      </c>
      <c r="AE5497" s="74"/>
      <c r="AF5497" s="77"/>
      <c r="AH5497" s="497">
        <v>65.84</v>
      </c>
      <c r="AJ5497" s="42"/>
      <c r="AK5497" s="74"/>
      <c r="AL5497" s="77"/>
      <c r="AN5497" s="497">
        <v>59</v>
      </c>
      <c r="AP5497" s="42"/>
      <c r="AQ5497" s="74"/>
      <c r="AR5497" s="77"/>
      <c r="AT5497" s="497">
        <v>60.980000000000004</v>
      </c>
      <c r="AV5497" s="42"/>
      <c r="AW5497" s="74"/>
      <c r="AX5497" s="77"/>
      <c r="BA5497" s="497">
        <v>57.92</v>
      </c>
      <c r="BB5497" s="42"/>
      <c r="BC5497" s="74"/>
      <c r="BD5497" s="77"/>
      <c r="BF5497">
        <v>57.92</v>
      </c>
      <c r="BH5497" s="42"/>
      <c r="BI5497" s="74"/>
      <c r="BJ5497" s="77"/>
      <c r="BL5497" s="497">
        <v>68</v>
      </c>
      <c r="BN5497" s="42"/>
      <c r="BO5497" s="74"/>
      <c r="BP5497" s="77"/>
      <c r="BR5497" s="497">
        <v>73.039999999999992</v>
      </c>
      <c r="BT5497" s="42"/>
    </row>
    <row r="5498" spans="1:72" x14ac:dyDescent="0.25">
      <c r="A5498" s="90">
        <v>34928</v>
      </c>
      <c r="B5498" s="20">
        <v>0.33333333333333331</v>
      </c>
      <c r="D5498">
        <v>75.02</v>
      </c>
      <c r="E5498" t="str">
        <f t="shared" si="206"/>
        <v>WEEKDAY</v>
      </c>
      <c r="F5498" t="e">
        <f t="shared" si="207"/>
        <v>#N/A</v>
      </c>
      <c r="G5498" s="74">
        <v>32006</v>
      </c>
      <c r="H5498" s="77">
        <v>0.33333333333333331</v>
      </c>
      <c r="J5498">
        <v>82.039999999999992</v>
      </c>
      <c r="M5498" s="74">
        <v>34563</v>
      </c>
      <c r="N5498" s="77">
        <v>0.33333333333333331</v>
      </c>
      <c r="P5498">
        <v>68</v>
      </c>
      <c r="S5498" s="74">
        <v>34928</v>
      </c>
      <c r="T5498" s="77">
        <v>0.33333333333333331</v>
      </c>
      <c r="V5498">
        <v>80.960000000000008</v>
      </c>
      <c r="X5498" s="42"/>
      <c r="AB5498">
        <v>72.099999999999994</v>
      </c>
      <c r="AC5498">
        <v>82.039999999999992</v>
      </c>
      <c r="AE5498" s="74"/>
      <c r="AF5498" s="77"/>
      <c r="AH5498" s="497">
        <v>68</v>
      </c>
      <c r="AJ5498" s="42"/>
      <c r="AK5498" s="74"/>
      <c r="AL5498" s="77"/>
      <c r="AN5498" s="497">
        <v>64.039999999999992</v>
      </c>
      <c r="AP5498" s="42"/>
      <c r="AQ5498" s="74"/>
      <c r="AR5498" s="77"/>
      <c r="AT5498" s="497">
        <v>66.02</v>
      </c>
      <c r="AV5498" s="42"/>
      <c r="AW5498" s="74"/>
      <c r="AX5498" s="77"/>
      <c r="BA5498" s="497">
        <v>59</v>
      </c>
      <c r="BB5498" s="42"/>
      <c r="BC5498" s="74"/>
      <c r="BD5498" s="77"/>
      <c r="BF5498">
        <v>64.94</v>
      </c>
      <c r="BH5498" s="42"/>
      <c r="BI5498" s="74"/>
      <c r="BJ5498" s="77"/>
      <c r="BL5498" s="497">
        <v>71.06</v>
      </c>
      <c r="BN5498" s="42"/>
      <c r="BO5498" s="74"/>
      <c r="BP5498" s="77"/>
      <c r="BR5498" s="497">
        <v>73.039999999999992</v>
      </c>
      <c r="BT5498" s="42"/>
    </row>
    <row r="5499" spans="1:72" x14ac:dyDescent="0.25">
      <c r="A5499" s="90">
        <v>34928</v>
      </c>
      <c r="B5499" s="20">
        <v>0.375</v>
      </c>
      <c r="D5499">
        <v>77</v>
      </c>
      <c r="E5499" t="str">
        <f t="shared" si="206"/>
        <v>WEEKDAY</v>
      </c>
      <c r="F5499" t="e">
        <f t="shared" si="207"/>
        <v>#N/A</v>
      </c>
      <c r="G5499" s="74">
        <v>32006</v>
      </c>
      <c r="H5499" s="77">
        <v>0.375</v>
      </c>
      <c r="J5499">
        <v>84.92</v>
      </c>
      <c r="M5499" s="74">
        <v>34563</v>
      </c>
      <c r="N5499" s="77">
        <v>0.375</v>
      </c>
      <c r="P5499">
        <v>69.98</v>
      </c>
      <c r="S5499" s="74">
        <v>34928</v>
      </c>
      <c r="T5499" s="77">
        <v>0.375</v>
      </c>
      <c r="V5499">
        <v>82.94</v>
      </c>
      <c r="X5499" s="42"/>
      <c r="AB5499">
        <v>74</v>
      </c>
      <c r="AC5499">
        <v>84.02</v>
      </c>
      <c r="AE5499" s="74"/>
      <c r="AF5499" s="77"/>
      <c r="AH5499" s="497">
        <v>69.98</v>
      </c>
      <c r="AJ5499" s="42"/>
      <c r="AK5499" s="74"/>
      <c r="AL5499" s="77"/>
      <c r="AN5499" s="497">
        <v>68</v>
      </c>
      <c r="AP5499" s="42"/>
      <c r="AQ5499" s="74"/>
      <c r="AR5499" s="77"/>
      <c r="AT5499" s="497">
        <v>71.06</v>
      </c>
      <c r="AV5499" s="42"/>
      <c r="AW5499" s="74"/>
      <c r="AX5499" s="77"/>
      <c r="BA5499" s="497">
        <v>62.06</v>
      </c>
      <c r="BB5499" s="42"/>
      <c r="BC5499" s="74"/>
      <c r="BD5499" s="77"/>
      <c r="BF5499">
        <v>73.039999999999992</v>
      </c>
      <c r="BH5499" s="42"/>
      <c r="BI5499" s="74"/>
      <c r="BJ5499" s="77"/>
      <c r="BL5499" s="497">
        <v>75.02</v>
      </c>
      <c r="BN5499" s="42"/>
      <c r="BO5499" s="74"/>
      <c r="BP5499" s="77"/>
      <c r="BR5499" s="497">
        <v>73.94</v>
      </c>
      <c r="BT5499" s="42"/>
    </row>
    <row r="5500" spans="1:72" x14ac:dyDescent="0.25">
      <c r="A5500" s="90">
        <v>34928</v>
      </c>
      <c r="B5500" s="20">
        <v>0.41666666666666669</v>
      </c>
      <c r="D5500">
        <v>78.080000000000013</v>
      </c>
      <c r="E5500" t="str">
        <f t="shared" si="206"/>
        <v>WEEKDAY</v>
      </c>
      <c r="F5500" t="e">
        <f t="shared" si="207"/>
        <v>#N/A</v>
      </c>
      <c r="G5500" s="74">
        <v>32006</v>
      </c>
      <c r="H5500" s="77">
        <v>0.41666666666666669</v>
      </c>
      <c r="J5500">
        <v>87.080000000000013</v>
      </c>
      <c r="M5500" s="74">
        <v>34563</v>
      </c>
      <c r="N5500" s="77">
        <v>0.41666666666666669</v>
      </c>
      <c r="P5500">
        <v>71.960000000000008</v>
      </c>
      <c r="S5500" s="74">
        <v>34928</v>
      </c>
      <c r="T5500" s="77">
        <v>0.41666666666666669</v>
      </c>
      <c r="V5500">
        <v>84.02</v>
      </c>
      <c r="X5500" s="42"/>
      <c r="AB5500">
        <v>75.8</v>
      </c>
      <c r="AC5500">
        <v>87.080000000000013</v>
      </c>
      <c r="AE5500" s="74"/>
      <c r="AF5500" s="77"/>
      <c r="AH5500" s="497">
        <v>71.960000000000008</v>
      </c>
      <c r="AJ5500" s="42"/>
      <c r="AK5500" s="74"/>
      <c r="AL5500" s="77"/>
      <c r="AN5500" s="497">
        <v>71.960000000000008</v>
      </c>
      <c r="AP5500" s="42"/>
      <c r="AQ5500" s="74"/>
      <c r="AR5500" s="77"/>
      <c r="AT5500" s="497">
        <v>73.039999999999992</v>
      </c>
      <c r="AV5500" s="42"/>
      <c r="AW5500" s="74"/>
      <c r="AX5500" s="77"/>
      <c r="BA5500" s="497">
        <v>62.96</v>
      </c>
      <c r="BB5500" s="42"/>
      <c r="BC5500" s="74"/>
      <c r="BD5500" s="77"/>
      <c r="BF5500">
        <v>77</v>
      </c>
      <c r="BH5500" s="42"/>
      <c r="BI5500" s="74"/>
      <c r="BJ5500" s="77"/>
      <c r="BL5500" s="497">
        <v>78.080000000000013</v>
      </c>
      <c r="BN5500" s="42"/>
      <c r="BO5500" s="74"/>
      <c r="BP5500" s="77"/>
      <c r="BR5500" s="497">
        <v>75.92</v>
      </c>
      <c r="BT5500" s="42"/>
    </row>
    <row r="5501" spans="1:72" x14ac:dyDescent="0.25">
      <c r="A5501" s="90">
        <v>34928</v>
      </c>
      <c r="B5501" s="20">
        <v>0.45833333333333331</v>
      </c>
      <c r="D5501">
        <v>77</v>
      </c>
      <c r="E5501" t="str">
        <f t="shared" si="206"/>
        <v>WEEKDAY</v>
      </c>
      <c r="F5501" t="e">
        <f t="shared" si="207"/>
        <v>#N/A</v>
      </c>
      <c r="G5501" s="74">
        <v>32006</v>
      </c>
      <c r="H5501" s="77">
        <v>0.45833333333333331</v>
      </c>
      <c r="J5501">
        <v>89.960000000000008</v>
      </c>
      <c r="M5501" s="74">
        <v>34563</v>
      </c>
      <c r="N5501" s="77">
        <v>0.45833333333333331</v>
      </c>
      <c r="P5501">
        <v>72.86</v>
      </c>
      <c r="S5501" s="74">
        <v>34928</v>
      </c>
      <c r="T5501" s="77">
        <v>0.45833333333333331</v>
      </c>
      <c r="V5501">
        <v>84.92</v>
      </c>
      <c r="X5501" s="42"/>
      <c r="AB5501">
        <v>77.400000000000006</v>
      </c>
      <c r="AC5501">
        <v>87.080000000000013</v>
      </c>
      <c r="AE5501" s="74"/>
      <c r="AF5501" s="77"/>
      <c r="AH5501" s="497">
        <v>73.94</v>
      </c>
      <c r="AJ5501" s="42"/>
      <c r="AK5501" s="74"/>
      <c r="AL5501" s="77"/>
      <c r="AN5501" s="497">
        <v>73.94</v>
      </c>
      <c r="AP5501" s="42"/>
      <c r="AQ5501" s="74"/>
      <c r="AR5501" s="77"/>
      <c r="AT5501" s="497">
        <v>75.92</v>
      </c>
      <c r="AV5501" s="42"/>
      <c r="AW5501" s="74"/>
      <c r="AX5501" s="77"/>
      <c r="BA5501" s="497">
        <v>62.06</v>
      </c>
      <c r="BB5501" s="42"/>
      <c r="BC5501" s="74"/>
      <c r="BD5501" s="77"/>
      <c r="BF5501">
        <v>80.06</v>
      </c>
      <c r="BH5501" s="42"/>
      <c r="BI5501" s="74"/>
      <c r="BJ5501" s="77"/>
      <c r="BL5501" s="497">
        <v>82.039999999999992</v>
      </c>
      <c r="BN5501" s="42"/>
      <c r="BO5501" s="74"/>
      <c r="BP5501" s="77"/>
      <c r="BR5501" s="497">
        <v>78.98</v>
      </c>
      <c r="BT5501" s="42"/>
    </row>
    <row r="5502" spans="1:72" x14ac:dyDescent="0.25">
      <c r="A5502" s="90">
        <v>34928</v>
      </c>
      <c r="B5502" s="20">
        <v>0.5</v>
      </c>
      <c r="D5502">
        <v>77</v>
      </c>
      <c r="E5502" t="str">
        <f t="shared" si="206"/>
        <v>WEEKDAY</v>
      </c>
      <c r="F5502" t="e">
        <f t="shared" si="207"/>
        <v>#N/A</v>
      </c>
      <c r="G5502" s="74">
        <v>32006</v>
      </c>
      <c r="H5502" s="77">
        <v>0.5</v>
      </c>
      <c r="J5502">
        <v>91.94</v>
      </c>
      <c r="M5502" s="74">
        <v>34563</v>
      </c>
      <c r="N5502" s="77">
        <v>0.5</v>
      </c>
      <c r="P5502">
        <v>73.94</v>
      </c>
      <c r="S5502" s="74">
        <v>34928</v>
      </c>
      <c r="T5502" s="77">
        <v>0.5</v>
      </c>
      <c r="V5502">
        <v>87.98</v>
      </c>
      <c r="X5502" s="42"/>
      <c r="AB5502">
        <v>78.599999999999994</v>
      </c>
      <c r="AC5502">
        <v>89.06</v>
      </c>
      <c r="AE5502" s="74"/>
      <c r="AF5502" s="77"/>
      <c r="AH5502" s="497">
        <v>73.94</v>
      </c>
      <c r="AJ5502" s="42"/>
      <c r="AK5502" s="74"/>
      <c r="AL5502" s="77"/>
      <c r="AN5502" s="497">
        <v>75.92</v>
      </c>
      <c r="AP5502" s="42"/>
      <c r="AQ5502" s="74"/>
      <c r="AR5502" s="77"/>
      <c r="AT5502" s="497">
        <v>78.080000000000013</v>
      </c>
      <c r="AV5502" s="42"/>
      <c r="AW5502" s="74"/>
      <c r="AX5502" s="77"/>
      <c r="BA5502" s="497">
        <v>64.94</v>
      </c>
      <c r="BB5502" s="42"/>
      <c r="BC5502" s="74"/>
      <c r="BD5502" s="77"/>
      <c r="BF5502">
        <v>80.960000000000008</v>
      </c>
      <c r="BH5502" s="42"/>
      <c r="BI5502" s="74"/>
      <c r="BJ5502" s="77"/>
      <c r="BL5502" s="497">
        <v>82.94</v>
      </c>
      <c r="BN5502" s="42"/>
      <c r="BO5502" s="74"/>
      <c r="BP5502" s="77"/>
      <c r="BR5502" s="497">
        <v>78.080000000000013</v>
      </c>
      <c r="BT5502" s="42"/>
    </row>
    <row r="5503" spans="1:72" x14ac:dyDescent="0.25">
      <c r="A5503" s="90">
        <v>34928</v>
      </c>
      <c r="B5503" s="20">
        <v>0.54166666666666663</v>
      </c>
      <c r="D5503">
        <v>75.02</v>
      </c>
      <c r="E5503" t="str">
        <f t="shared" si="206"/>
        <v>WEEKDAY</v>
      </c>
      <c r="F5503" t="e">
        <f t="shared" si="207"/>
        <v>#N/A</v>
      </c>
      <c r="G5503" s="74">
        <v>32006</v>
      </c>
      <c r="H5503" s="77">
        <v>0.54166666666666663</v>
      </c>
      <c r="J5503">
        <v>89.960000000000008</v>
      </c>
      <c r="M5503" s="74">
        <v>34563</v>
      </c>
      <c r="N5503" s="77">
        <v>0.54166666666666663</v>
      </c>
      <c r="P5503">
        <v>72.86</v>
      </c>
      <c r="S5503" s="74">
        <v>34928</v>
      </c>
      <c r="T5503" s="77">
        <v>0.54166666666666663</v>
      </c>
      <c r="V5503">
        <v>87.98</v>
      </c>
      <c r="X5503" s="42"/>
      <c r="AB5503">
        <v>79.3</v>
      </c>
      <c r="AC5503">
        <v>89.06</v>
      </c>
      <c r="AE5503" s="74"/>
      <c r="AF5503" s="77"/>
      <c r="AH5503" s="497">
        <v>73.94</v>
      </c>
      <c r="AJ5503" s="42"/>
      <c r="AK5503" s="74"/>
      <c r="AL5503" s="77"/>
      <c r="AN5503" s="497">
        <v>78.98</v>
      </c>
      <c r="AP5503" s="42"/>
      <c r="AQ5503" s="74"/>
      <c r="AR5503" s="77"/>
      <c r="AT5503" s="497">
        <v>78.98</v>
      </c>
      <c r="AV5503" s="42"/>
      <c r="AW5503" s="74"/>
      <c r="AX5503" s="77"/>
      <c r="BA5503" s="497">
        <v>66.02</v>
      </c>
      <c r="BB5503" s="42"/>
      <c r="BC5503" s="74"/>
      <c r="BD5503" s="77"/>
      <c r="BF5503">
        <v>82.94</v>
      </c>
      <c r="BH5503" s="42"/>
      <c r="BI5503" s="74"/>
      <c r="BJ5503" s="77"/>
      <c r="BL5503" s="497">
        <v>84.02</v>
      </c>
      <c r="BN5503" s="42"/>
      <c r="BO5503" s="74"/>
      <c r="BP5503" s="77"/>
      <c r="BR5503" s="497">
        <v>78.98</v>
      </c>
      <c r="BT5503" s="42"/>
    </row>
    <row r="5504" spans="1:72" x14ac:dyDescent="0.25">
      <c r="A5504" s="90">
        <v>34928</v>
      </c>
      <c r="B5504" s="20">
        <v>0.58333333333333337</v>
      </c>
      <c r="D5504">
        <v>73.039999999999992</v>
      </c>
      <c r="E5504" t="str">
        <f t="shared" si="206"/>
        <v>WEEKDAY</v>
      </c>
      <c r="F5504" t="e">
        <f t="shared" si="207"/>
        <v>#N/A</v>
      </c>
      <c r="G5504" s="74">
        <v>32006</v>
      </c>
      <c r="H5504" s="77">
        <v>0.58333333333333337</v>
      </c>
      <c r="J5504">
        <v>89.960000000000008</v>
      </c>
      <c r="M5504" s="74">
        <v>34563</v>
      </c>
      <c r="N5504" s="77">
        <v>0.58333333333333337</v>
      </c>
      <c r="P5504">
        <v>72.86</v>
      </c>
      <c r="S5504" s="74">
        <v>34928</v>
      </c>
      <c r="T5504" s="77">
        <v>0.58333333333333337</v>
      </c>
      <c r="V5504">
        <v>87.98</v>
      </c>
      <c r="X5504" s="42"/>
      <c r="AB5504">
        <v>79.8</v>
      </c>
      <c r="AC5504">
        <v>87.98</v>
      </c>
      <c r="AE5504" s="74"/>
      <c r="AF5504" s="77"/>
      <c r="AH5504" s="497">
        <v>72.86</v>
      </c>
      <c r="AJ5504" s="42"/>
      <c r="AK5504" s="74"/>
      <c r="AL5504" s="77"/>
      <c r="AN5504" s="497">
        <v>80.960000000000008</v>
      </c>
      <c r="AP5504" s="42"/>
      <c r="AQ5504" s="74"/>
      <c r="AR5504" s="77"/>
      <c r="AT5504" s="497">
        <v>80.960000000000008</v>
      </c>
      <c r="AV5504" s="42"/>
      <c r="AW5504" s="74"/>
      <c r="AX5504" s="77"/>
      <c r="BA5504" s="497">
        <v>66.92</v>
      </c>
      <c r="BB5504" s="42"/>
      <c r="BC5504" s="74"/>
      <c r="BD5504" s="77"/>
      <c r="BF5504">
        <v>84.02</v>
      </c>
      <c r="BH5504" s="42"/>
      <c r="BI5504" s="74"/>
      <c r="BJ5504" s="77"/>
      <c r="BL5504" s="497">
        <v>86</v>
      </c>
      <c r="BN5504" s="42"/>
      <c r="BO5504" s="74"/>
      <c r="BP5504" s="77"/>
      <c r="BR5504" s="497">
        <v>78.98</v>
      </c>
      <c r="BT5504" s="42"/>
    </row>
    <row r="5505" spans="1:72" x14ac:dyDescent="0.25">
      <c r="A5505" s="90">
        <v>34928</v>
      </c>
      <c r="B5505" s="20">
        <v>0.625</v>
      </c>
      <c r="D5505">
        <v>73.94</v>
      </c>
      <c r="E5505" t="str">
        <f t="shared" si="206"/>
        <v>WEEKDAY</v>
      </c>
      <c r="F5505" t="e">
        <f t="shared" si="207"/>
        <v>#N/A</v>
      </c>
      <c r="G5505" s="74">
        <v>32006</v>
      </c>
      <c r="H5505" s="77">
        <v>0.625</v>
      </c>
      <c r="J5505">
        <v>89.06</v>
      </c>
      <c r="M5505" s="74">
        <v>34563</v>
      </c>
      <c r="N5505" s="77">
        <v>0.625</v>
      </c>
      <c r="P5505">
        <v>71.960000000000008</v>
      </c>
      <c r="S5505" s="74">
        <v>34928</v>
      </c>
      <c r="T5505" s="77">
        <v>0.625</v>
      </c>
      <c r="V5505">
        <v>87.98</v>
      </c>
      <c r="X5505" s="42"/>
      <c r="AB5505">
        <v>79.8</v>
      </c>
      <c r="AC5505">
        <v>87.080000000000013</v>
      </c>
      <c r="AE5505" s="74"/>
      <c r="AF5505" s="77"/>
      <c r="AH5505" s="497">
        <v>72.86</v>
      </c>
      <c r="AJ5505" s="42"/>
      <c r="AK5505" s="74"/>
      <c r="AL5505" s="77"/>
      <c r="AN5505" s="497">
        <v>82.039999999999992</v>
      </c>
      <c r="AP5505" s="42"/>
      <c r="AQ5505" s="74"/>
      <c r="AR5505" s="77"/>
      <c r="AT5505" s="497">
        <v>80.960000000000008</v>
      </c>
      <c r="AV5505" s="42"/>
      <c r="AW5505" s="74"/>
      <c r="AX5505" s="77"/>
      <c r="BA5505" s="497">
        <v>68</v>
      </c>
      <c r="BB5505" s="42"/>
      <c r="BC5505" s="74"/>
      <c r="BD5505" s="77"/>
      <c r="BF5505">
        <v>84.02</v>
      </c>
      <c r="BH5505" s="42"/>
      <c r="BI5505" s="74"/>
      <c r="BJ5505" s="77"/>
      <c r="BL5505" s="497">
        <v>84.92</v>
      </c>
      <c r="BN5505" s="42"/>
      <c r="BO5505" s="74"/>
      <c r="BP5505" s="77"/>
      <c r="BR5505" s="497">
        <v>75.92</v>
      </c>
      <c r="BT5505" s="42"/>
    </row>
    <row r="5506" spans="1:72" x14ac:dyDescent="0.25">
      <c r="A5506" s="90">
        <v>34928</v>
      </c>
      <c r="B5506" s="20">
        <v>0.66666666666666663</v>
      </c>
      <c r="D5506">
        <v>73.94</v>
      </c>
      <c r="E5506" t="str">
        <f t="shared" si="206"/>
        <v>WEEKDAY</v>
      </c>
      <c r="F5506" t="e">
        <f t="shared" si="207"/>
        <v>#N/A</v>
      </c>
      <c r="G5506" s="74">
        <v>32006</v>
      </c>
      <c r="H5506" s="77">
        <v>0.66666666666666663</v>
      </c>
      <c r="J5506">
        <v>87.98</v>
      </c>
      <c r="M5506" s="74">
        <v>34563</v>
      </c>
      <c r="N5506" s="77">
        <v>0.66666666666666663</v>
      </c>
      <c r="P5506">
        <v>70.88</v>
      </c>
      <c r="S5506" s="74">
        <v>34928</v>
      </c>
      <c r="T5506" s="77">
        <v>0.66666666666666663</v>
      </c>
      <c r="V5506">
        <v>87.98</v>
      </c>
      <c r="X5506" s="42"/>
      <c r="AB5506">
        <v>79.5</v>
      </c>
      <c r="AC5506">
        <v>86</v>
      </c>
      <c r="AE5506" s="74"/>
      <c r="AF5506" s="77"/>
      <c r="AH5506" s="497">
        <v>71.960000000000008</v>
      </c>
      <c r="AJ5506" s="42"/>
      <c r="AK5506" s="74"/>
      <c r="AL5506" s="77"/>
      <c r="AN5506" s="497">
        <v>80.06</v>
      </c>
      <c r="AP5506" s="42"/>
      <c r="AQ5506" s="74"/>
      <c r="AR5506" s="77"/>
      <c r="AT5506" s="497">
        <v>82.039999999999992</v>
      </c>
      <c r="AV5506" s="42"/>
      <c r="AW5506" s="74"/>
      <c r="AX5506" s="77"/>
      <c r="BA5506" s="497">
        <v>66.02</v>
      </c>
      <c r="BB5506" s="42"/>
      <c r="BC5506" s="74"/>
      <c r="BD5506" s="77"/>
      <c r="BF5506">
        <v>84.02</v>
      </c>
      <c r="BH5506" s="42"/>
      <c r="BI5506" s="74"/>
      <c r="BJ5506" s="77"/>
      <c r="BL5506" s="497">
        <v>84.92</v>
      </c>
      <c r="BN5506" s="42"/>
      <c r="BO5506" s="74"/>
      <c r="BP5506" s="77"/>
      <c r="BR5506" s="497">
        <v>75.02</v>
      </c>
      <c r="BT5506" s="42"/>
    </row>
    <row r="5507" spans="1:72" x14ac:dyDescent="0.25">
      <c r="A5507" s="90">
        <v>34928</v>
      </c>
      <c r="B5507" s="20">
        <v>0.70833333333333337</v>
      </c>
      <c r="D5507">
        <v>73.94</v>
      </c>
      <c r="E5507" t="str">
        <f t="shared" si="206"/>
        <v>WEEKDAY</v>
      </c>
      <c r="F5507" t="e">
        <f t="shared" si="207"/>
        <v>#N/A</v>
      </c>
      <c r="G5507" s="74">
        <v>32006</v>
      </c>
      <c r="H5507" s="77">
        <v>0.70833333333333337</v>
      </c>
      <c r="J5507">
        <v>87.98</v>
      </c>
      <c r="M5507" s="74">
        <v>34563</v>
      </c>
      <c r="N5507" s="77">
        <v>0.70833333333333337</v>
      </c>
      <c r="P5507">
        <v>69.98</v>
      </c>
      <c r="S5507" s="74">
        <v>34928</v>
      </c>
      <c r="T5507" s="77">
        <v>0.70833333333333337</v>
      </c>
      <c r="V5507">
        <v>87.98</v>
      </c>
      <c r="X5507" s="42"/>
      <c r="AB5507">
        <v>78.599999999999994</v>
      </c>
      <c r="AC5507">
        <v>82.94</v>
      </c>
      <c r="AE5507" s="74"/>
      <c r="AF5507" s="77"/>
      <c r="AH5507" s="497">
        <v>71.960000000000008</v>
      </c>
      <c r="AJ5507" s="42"/>
      <c r="AK5507" s="74"/>
      <c r="AL5507" s="77"/>
      <c r="AN5507" s="497">
        <v>78.98</v>
      </c>
      <c r="AP5507" s="42"/>
      <c r="AQ5507" s="74"/>
      <c r="AR5507" s="77"/>
      <c r="AT5507" s="497">
        <v>80.06</v>
      </c>
      <c r="AV5507" s="42"/>
      <c r="AW5507" s="74"/>
      <c r="AX5507" s="77"/>
      <c r="BA5507" s="497">
        <v>64.039999999999992</v>
      </c>
      <c r="BB5507" s="42"/>
      <c r="BC5507" s="74"/>
      <c r="BD5507" s="77"/>
      <c r="BF5507">
        <v>80.960000000000008</v>
      </c>
      <c r="BH5507" s="42"/>
      <c r="BI5507" s="74"/>
      <c r="BJ5507" s="77"/>
      <c r="BL5507" s="497">
        <v>84.92</v>
      </c>
      <c r="BN5507" s="42"/>
      <c r="BO5507" s="74"/>
      <c r="BP5507" s="77"/>
      <c r="BR5507" s="497">
        <v>75.02</v>
      </c>
      <c r="BT5507" s="42"/>
    </row>
    <row r="5508" spans="1:72" x14ac:dyDescent="0.25">
      <c r="A5508" s="90">
        <v>34928</v>
      </c>
      <c r="B5508" s="20">
        <v>0.75</v>
      </c>
      <c r="D5508">
        <v>73.94</v>
      </c>
      <c r="E5508" t="str">
        <f t="shared" si="206"/>
        <v>WEEKDAY</v>
      </c>
      <c r="F5508" t="e">
        <f t="shared" si="207"/>
        <v>#N/A</v>
      </c>
      <c r="G5508" s="74">
        <v>32006</v>
      </c>
      <c r="H5508" s="77">
        <v>0.75</v>
      </c>
      <c r="J5508">
        <v>86</v>
      </c>
      <c r="M5508" s="74">
        <v>34563</v>
      </c>
      <c r="N5508" s="77">
        <v>0.75</v>
      </c>
      <c r="P5508">
        <v>68.900000000000006</v>
      </c>
      <c r="S5508" s="74">
        <v>34928</v>
      </c>
      <c r="T5508" s="77">
        <v>0.75</v>
      </c>
      <c r="V5508">
        <v>86</v>
      </c>
      <c r="X5508" s="42"/>
      <c r="AB5508">
        <v>77.599999999999994</v>
      </c>
      <c r="AC5508">
        <v>82.039999999999992</v>
      </c>
      <c r="AE5508" s="74"/>
      <c r="AF5508" s="77"/>
      <c r="AH5508" s="497">
        <v>70.88</v>
      </c>
      <c r="AJ5508" s="42"/>
      <c r="AK5508" s="74"/>
      <c r="AL5508" s="77"/>
      <c r="AN5508" s="497">
        <v>77</v>
      </c>
      <c r="AP5508" s="42"/>
      <c r="AQ5508" s="74"/>
      <c r="AR5508" s="77"/>
      <c r="AT5508" s="497">
        <v>78.080000000000013</v>
      </c>
      <c r="AV5508" s="42"/>
      <c r="AW5508" s="74"/>
      <c r="AX5508" s="77"/>
      <c r="BA5508" s="497">
        <v>62.96</v>
      </c>
      <c r="BB5508" s="42"/>
      <c r="BC5508" s="74"/>
      <c r="BD5508" s="77"/>
      <c r="BF5508">
        <v>77</v>
      </c>
      <c r="BH5508" s="42"/>
      <c r="BI5508" s="74"/>
      <c r="BJ5508" s="77"/>
      <c r="BL5508" s="497">
        <v>82.94</v>
      </c>
      <c r="BN5508" s="42"/>
      <c r="BO5508" s="74"/>
      <c r="BP5508" s="77"/>
      <c r="BR5508" s="497">
        <v>73.94</v>
      </c>
      <c r="BT5508" s="42"/>
    </row>
    <row r="5509" spans="1:72" x14ac:dyDescent="0.25">
      <c r="A5509" s="90">
        <v>34928</v>
      </c>
      <c r="B5509" s="20">
        <v>0.79166666666666663</v>
      </c>
      <c r="D5509">
        <v>73.94</v>
      </c>
      <c r="E5509" t="str">
        <f t="shared" si="206"/>
        <v>WEEKDAY</v>
      </c>
      <c r="F5509" t="e">
        <f t="shared" si="207"/>
        <v>#N/A</v>
      </c>
      <c r="G5509" s="74">
        <v>32006</v>
      </c>
      <c r="H5509" s="77">
        <v>0.79166666666666663</v>
      </c>
      <c r="J5509">
        <v>84.92</v>
      </c>
      <c r="M5509" s="74">
        <v>34563</v>
      </c>
      <c r="N5509" s="77">
        <v>0.79166666666666663</v>
      </c>
      <c r="P5509">
        <v>68.900000000000006</v>
      </c>
      <c r="S5509" s="74">
        <v>34928</v>
      </c>
      <c r="T5509" s="77">
        <v>0.79166666666666663</v>
      </c>
      <c r="V5509">
        <v>84.92</v>
      </c>
      <c r="X5509" s="42"/>
      <c r="AB5509">
        <v>76.2</v>
      </c>
      <c r="AC5509">
        <v>80.06</v>
      </c>
      <c r="AE5509" s="74"/>
      <c r="AF5509" s="77"/>
      <c r="AH5509" s="497">
        <v>69.98</v>
      </c>
      <c r="AJ5509" s="42"/>
      <c r="AK5509" s="74"/>
      <c r="AL5509" s="77"/>
      <c r="AN5509" s="497">
        <v>73.039999999999992</v>
      </c>
      <c r="AP5509" s="42"/>
      <c r="AQ5509" s="74"/>
      <c r="AR5509" s="77"/>
      <c r="AT5509" s="497">
        <v>73.94</v>
      </c>
      <c r="AV5509" s="42"/>
      <c r="AW5509" s="74"/>
      <c r="AX5509" s="77"/>
      <c r="BA5509" s="497">
        <v>59</v>
      </c>
      <c r="BB5509" s="42"/>
      <c r="BC5509" s="74"/>
      <c r="BD5509" s="77"/>
      <c r="BF5509">
        <v>73.94</v>
      </c>
      <c r="BH5509" s="42"/>
      <c r="BI5509" s="74"/>
      <c r="BJ5509" s="77"/>
      <c r="BL5509" s="497">
        <v>80.06</v>
      </c>
      <c r="BN5509" s="42"/>
      <c r="BO5509" s="74"/>
      <c r="BP5509" s="77"/>
      <c r="BR5509" s="497">
        <v>71.960000000000008</v>
      </c>
      <c r="BT5509" s="42"/>
    </row>
    <row r="5510" spans="1:72" x14ac:dyDescent="0.25">
      <c r="A5510" s="90">
        <v>34928</v>
      </c>
      <c r="B5510" s="20">
        <v>0.83333333333333337</v>
      </c>
      <c r="D5510">
        <v>73.94</v>
      </c>
      <c r="E5510" t="str">
        <f t="shared" si="206"/>
        <v>WEEKDAY</v>
      </c>
      <c r="F5510" t="e">
        <f t="shared" si="207"/>
        <v>#N/A</v>
      </c>
      <c r="G5510" s="74">
        <v>32006</v>
      </c>
      <c r="H5510" s="77">
        <v>0.83333333333333337</v>
      </c>
      <c r="J5510">
        <v>84.02</v>
      </c>
      <c r="M5510" s="74">
        <v>34563</v>
      </c>
      <c r="N5510" s="77">
        <v>0.83333333333333337</v>
      </c>
      <c r="P5510">
        <v>68</v>
      </c>
      <c r="S5510" s="74">
        <v>34928</v>
      </c>
      <c r="T5510" s="77">
        <v>0.83333333333333337</v>
      </c>
      <c r="V5510">
        <v>84.02</v>
      </c>
      <c r="X5510" s="42"/>
      <c r="AB5510">
        <v>74.8</v>
      </c>
      <c r="AC5510">
        <v>78.98</v>
      </c>
      <c r="AE5510" s="74"/>
      <c r="AF5510" s="77"/>
      <c r="AH5510" s="497">
        <v>69.98</v>
      </c>
      <c r="AJ5510" s="42"/>
      <c r="AK5510" s="74"/>
      <c r="AL5510" s="77"/>
      <c r="AN5510" s="497">
        <v>69.98</v>
      </c>
      <c r="AP5510" s="42"/>
      <c r="AQ5510" s="74"/>
      <c r="AR5510" s="77"/>
      <c r="AT5510" s="497">
        <v>66.02</v>
      </c>
      <c r="AV5510" s="42"/>
      <c r="AW5510" s="74"/>
      <c r="AX5510" s="77"/>
      <c r="BA5510" s="497">
        <v>57.019999999999996</v>
      </c>
      <c r="BB5510" s="42"/>
      <c r="BC5510" s="74"/>
      <c r="BD5510" s="77"/>
      <c r="BF5510">
        <v>71.06</v>
      </c>
      <c r="BH5510" s="42"/>
      <c r="BI5510" s="74"/>
      <c r="BJ5510" s="77"/>
      <c r="BL5510" s="497">
        <v>77</v>
      </c>
      <c r="BN5510" s="42"/>
      <c r="BO5510" s="74"/>
      <c r="BP5510" s="77"/>
      <c r="BR5510" s="497">
        <v>71.960000000000008</v>
      </c>
      <c r="BT5510" s="42"/>
    </row>
    <row r="5511" spans="1:72" x14ac:dyDescent="0.25">
      <c r="A5511" s="90">
        <v>34928</v>
      </c>
      <c r="B5511" s="20">
        <v>0.875</v>
      </c>
      <c r="D5511">
        <v>73.400000000000006</v>
      </c>
      <c r="E5511" t="str">
        <f t="shared" si="206"/>
        <v>WEEKDAY</v>
      </c>
      <c r="F5511" t="e">
        <f t="shared" si="207"/>
        <v>#N/A</v>
      </c>
      <c r="G5511" s="74">
        <v>32006</v>
      </c>
      <c r="H5511" s="77">
        <v>0.875</v>
      </c>
      <c r="J5511">
        <v>84.92</v>
      </c>
      <c r="M5511" s="74">
        <v>34563</v>
      </c>
      <c r="N5511" s="77">
        <v>0.875</v>
      </c>
      <c r="P5511">
        <v>68</v>
      </c>
      <c r="S5511" s="74">
        <v>34928</v>
      </c>
      <c r="T5511" s="77">
        <v>0.875</v>
      </c>
      <c r="V5511">
        <v>82.94</v>
      </c>
      <c r="X5511" s="42"/>
      <c r="AB5511">
        <v>74</v>
      </c>
      <c r="AC5511">
        <v>78.98</v>
      </c>
      <c r="AE5511" s="74"/>
      <c r="AF5511" s="77"/>
      <c r="AH5511" s="497">
        <v>69.98</v>
      </c>
      <c r="AJ5511" s="42"/>
      <c r="AK5511" s="74"/>
      <c r="AL5511" s="77"/>
      <c r="AN5511" s="497">
        <v>69.080000000000013</v>
      </c>
      <c r="AP5511" s="42"/>
      <c r="AQ5511" s="74"/>
      <c r="AR5511" s="77"/>
      <c r="AT5511" s="497">
        <v>62.06</v>
      </c>
      <c r="AV5511" s="42"/>
      <c r="AW5511" s="74"/>
      <c r="AX5511" s="77"/>
      <c r="BA5511" s="497">
        <v>53.96</v>
      </c>
      <c r="BB5511" s="42"/>
      <c r="BC5511" s="74"/>
      <c r="BD5511" s="77"/>
      <c r="BF5511">
        <v>69.080000000000013</v>
      </c>
      <c r="BH5511" s="42"/>
      <c r="BI5511" s="74"/>
      <c r="BJ5511" s="77"/>
      <c r="BL5511" s="497">
        <v>73.94</v>
      </c>
      <c r="BN5511" s="42"/>
      <c r="BO5511" s="74"/>
      <c r="BP5511" s="77"/>
      <c r="BR5511" s="497">
        <v>71.06</v>
      </c>
      <c r="BT5511" s="42"/>
    </row>
    <row r="5512" spans="1:72" x14ac:dyDescent="0.25">
      <c r="A5512" s="90">
        <v>34928</v>
      </c>
      <c r="B5512" s="20">
        <v>0.91666666666666663</v>
      </c>
      <c r="D5512">
        <v>73.94</v>
      </c>
      <c r="E5512" t="str">
        <f t="shared" si="206"/>
        <v>WEEKDAY</v>
      </c>
      <c r="F5512" t="e">
        <f t="shared" si="207"/>
        <v>#N/A</v>
      </c>
      <c r="G5512" s="74">
        <v>32006</v>
      </c>
      <c r="H5512" s="77">
        <v>0.91666666666666663</v>
      </c>
      <c r="J5512">
        <v>84.92</v>
      </c>
      <c r="M5512" s="74">
        <v>34563</v>
      </c>
      <c r="N5512" s="77">
        <v>0.91666666666666663</v>
      </c>
      <c r="P5512">
        <v>68.900000000000006</v>
      </c>
      <c r="S5512" s="74">
        <v>34928</v>
      </c>
      <c r="T5512" s="77">
        <v>0.91666666666666663</v>
      </c>
      <c r="V5512">
        <v>80.06</v>
      </c>
      <c r="X5512" s="42"/>
      <c r="AB5512">
        <v>73.400000000000006</v>
      </c>
      <c r="AC5512">
        <v>78.98</v>
      </c>
      <c r="AE5512" s="74"/>
      <c r="AF5512" s="77"/>
      <c r="AH5512" s="497">
        <v>68.900000000000006</v>
      </c>
      <c r="AJ5512" s="42"/>
      <c r="AK5512" s="74"/>
      <c r="AL5512" s="77"/>
      <c r="AN5512" s="497">
        <v>64.94</v>
      </c>
      <c r="AP5512" s="42"/>
      <c r="AQ5512" s="74"/>
      <c r="AR5512" s="77"/>
      <c r="AT5512" s="497">
        <v>62.06</v>
      </c>
      <c r="AV5512" s="42"/>
      <c r="AW5512" s="74"/>
      <c r="AX5512" s="77"/>
      <c r="BA5512" s="497">
        <v>53.06</v>
      </c>
      <c r="BB5512" s="42"/>
      <c r="BC5512" s="74"/>
      <c r="BD5512" s="77"/>
      <c r="BF5512">
        <v>66.02</v>
      </c>
      <c r="BH5512" s="42"/>
      <c r="BI5512" s="74"/>
      <c r="BJ5512" s="77"/>
      <c r="BL5512" s="497">
        <v>75.02</v>
      </c>
      <c r="BN5512" s="42"/>
      <c r="BO5512" s="74"/>
      <c r="BP5512" s="77"/>
      <c r="BR5512" s="497">
        <v>69.080000000000013</v>
      </c>
      <c r="BT5512" s="42"/>
    </row>
    <row r="5513" spans="1:72" x14ac:dyDescent="0.25">
      <c r="A5513" s="90">
        <v>34928</v>
      </c>
      <c r="B5513" s="20">
        <v>0.95833333333333337</v>
      </c>
      <c r="D5513">
        <v>73.400000000000006</v>
      </c>
      <c r="E5513" t="str">
        <f t="shared" si="206"/>
        <v>WEEKDAY</v>
      </c>
      <c r="F5513" t="e">
        <f t="shared" si="207"/>
        <v>#N/A</v>
      </c>
      <c r="G5513" s="74">
        <v>32006</v>
      </c>
      <c r="H5513" s="77">
        <v>0.95833333333333337</v>
      </c>
      <c r="J5513">
        <v>84.02</v>
      </c>
      <c r="M5513" s="74">
        <v>34563</v>
      </c>
      <c r="N5513" s="77">
        <v>0.95833333333333337</v>
      </c>
      <c r="P5513">
        <v>69.98</v>
      </c>
      <c r="S5513" s="74">
        <v>34928</v>
      </c>
      <c r="T5513" s="77">
        <v>0.95833333333333337</v>
      </c>
      <c r="V5513">
        <v>80.06</v>
      </c>
      <c r="X5513" s="42"/>
      <c r="AB5513">
        <v>72.900000000000006</v>
      </c>
      <c r="AC5513">
        <v>78.080000000000013</v>
      </c>
      <c r="AE5513" s="74"/>
      <c r="AF5513" s="77"/>
      <c r="AH5513" s="497">
        <v>68.900000000000006</v>
      </c>
      <c r="AJ5513" s="42"/>
      <c r="AK5513" s="74"/>
      <c r="AL5513" s="77"/>
      <c r="AN5513" s="497">
        <v>64.039999999999992</v>
      </c>
      <c r="AP5513" s="42"/>
      <c r="AQ5513" s="74"/>
      <c r="AR5513" s="77"/>
      <c r="AT5513" s="497">
        <v>59</v>
      </c>
      <c r="AV5513" s="42"/>
      <c r="AW5513" s="74"/>
      <c r="AX5513" s="77"/>
      <c r="BA5513" s="497">
        <v>53.06</v>
      </c>
      <c r="BB5513" s="42"/>
      <c r="BC5513" s="74"/>
      <c r="BD5513" s="77"/>
      <c r="BF5513">
        <v>64.94</v>
      </c>
      <c r="BH5513" s="42"/>
      <c r="BI5513" s="74"/>
      <c r="BJ5513" s="77"/>
      <c r="BL5513" s="497">
        <v>73.039999999999992</v>
      </c>
      <c r="BN5513" s="42"/>
      <c r="BO5513" s="74"/>
      <c r="BP5513" s="77"/>
      <c r="BR5513" s="497">
        <v>66.02</v>
      </c>
      <c r="BT5513" s="42"/>
    </row>
    <row r="5514" spans="1:72" x14ac:dyDescent="0.25">
      <c r="A5514" s="90">
        <v>34928</v>
      </c>
      <c r="B5514" s="20">
        <v>1</v>
      </c>
      <c r="D5514">
        <v>73.400000000000006</v>
      </c>
      <c r="E5514" t="str">
        <f t="shared" si="206"/>
        <v>WEEKDAY</v>
      </c>
      <c r="F5514" t="e">
        <f t="shared" si="207"/>
        <v>#N/A</v>
      </c>
      <c r="G5514" s="74">
        <v>32006</v>
      </c>
      <c r="H5514" s="77">
        <v>1</v>
      </c>
      <c r="J5514">
        <v>82.94</v>
      </c>
      <c r="M5514" s="74">
        <v>34563</v>
      </c>
      <c r="N5514" s="80">
        <v>1</v>
      </c>
      <c r="P5514">
        <v>69.98</v>
      </c>
      <c r="S5514" s="74">
        <v>34928</v>
      </c>
      <c r="T5514" s="80">
        <v>1</v>
      </c>
      <c r="V5514">
        <v>80.06</v>
      </c>
      <c r="X5514" s="42"/>
      <c r="AB5514">
        <v>72.400000000000006</v>
      </c>
      <c r="AC5514">
        <v>77</v>
      </c>
      <c r="AE5514" s="74"/>
      <c r="AF5514" s="80"/>
      <c r="AH5514" s="497">
        <v>68</v>
      </c>
      <c r="AJ5514" s="42"/>
      <c r="AK5514" s="74"/>
      <c r="AL5514" s="80"/>
      <c r="AN5514" s="497">
        <v>62.06</v>
      </c>
      <c r="AP5514" s="42"/>
      <c r="AQ5514" s="74"/>
      <c r="AR5514" s="80"/>
      <c r="AT5514" s="497">
        <v>57.019999999999996</v>
      </c>
      <c r="AV5514" s="42"/>
      <c r="AW5514" s="74"/>
      <c r="AX5514" s="80"/>
      <c r="BA5514" s="497">
        <v>51.08</v>
      </c>
      <c r="BB5514" s="42"/>
      <c r="BC5514" s="74"/>
      <c r="BD5514" s="80"/>
      <c r="BF5514">
        <v>64.039999999999992</v>
      </c>
      <c r="BH5514" s="42"/>
      <c r="BI5514" s="74"/>
      <c r="BJ5514" s="80"/>
      <c r="BL5514" s="497">
        <v>71.06</v>
      </c>
      <c r="BN5514" s="42"/>
      <c r="BO5514" s="74"/>
      <c r="BP5514" s="80"/>
      <c r="BR5514" s="497">
        <v>64.94</v>
      </c>
      <c r="BT5514" s="42"/>
    </row>
    <row r="5515" spans="1:72" x14ac:dyDescent="0.25">
      <c r="A5515" s="90">
        <v>34929</v>
      </c>
      <c r="B5515" s="20">
        <v>4.1666666666666664E-2</v>
      </c>
      <c r="D5515">
        <v>73.94</v>
      </c>
      <c r="E5515" t="str">
        <f t="shared" si="206"/>
        <v>WEEKDAY</v>
      </c>
      <c r="F5515" t="e">
        <f t="shared" si="207"/>
        <v>#N/A</v>
      </c>
      <c r="G5515" s="74">
        <v>32007</v>
      </c>
      <c r="H5515" s="77">
        <v>4.1666666666666664E-2</v>
      </c>
      <c r="J5515">
        <v>82.94</v>
      </c>
      <c r="M5515" s="74">
        <v>34564</v>
      </c>
      <c r="N5515" s="77">
        <v>4.1666666666666664E-2</v>
      </c>
      <c r="P5515">
        <v>69.98</v>
      </c>
      <c r="S5515" s="74">
        <v>34929</v>
      </c>
      <c r="T5515" s="77">
        <v>4.1666666666666664E-2</v>
      </c>
      <c r="V5515">
        <v>78.080000000000013</v>
      </c>
      <c r="X5515" s="42"/>
      <c r="AB5515">
        <v>71.7</v>
      </c>
      <c r="AC5515">
        <v>77</v>
      </c>
      <c r="AE5515" s="74"/>
      <c r="AF5515" s="77"/>
      <c r="AH5515" s="497">
        <v>68</v>
      </c>
      <c r="AJ5515" s="42"/>
      <c r="AK5515" s="74"/>
      <c r="AL5515" s="77"/>
      <c r="AN5515" s="497">
        <v>60.980000000000004</v>
      </c>
      <c r="AP5515" s="42"/>
      <c r="AQ5515" s="74"/>
      <c r="AR5515" s="77"/>
      <c r="AT5515" s="497">
        <v>55.94</v>
      </c>
      <c r="AV5515" s="42"/>
      <c r="AW5515" s="74"/>
      <c r="AX5515" s="77"/>
      <c r="BA5515" s="497">
        <v>51.08</v>
      </c>
      <c r="BB5515" s="42"/>
      <c r="BC5515" s="74"/>
      <c r="BD5515" s="77"/>
      <c r="BF5515">
        <v>62.96</v>
      </c>
      <c r="BH5515" s="42"/>
      <c r="BI5515" s="74"/>
      <c r="BJ5515" s="77"/>
      <c r="BL5515" s="497">
        <v>69.98</v>
      </c>
      <c r="BN5515" s="42"/>
      <c r="BO5515" s="74"/>
      <c r="BP5515" s="77"/>
      <c r="BR5515" s="497">
        <v>64.039999999999992</v>
      </c>
      <c r="BT5515" s="42"/>
    </row>
    <row r="5516" spans="1:72" x14ac:dyDescent="0.25">
      <c r="A5516" s="90">
        <v>34929</v>
      </c>
      <c r="B5516" s="20">
        <v>8.3333333333333329E-2</v>
      </c>
      <c r="D5516">
        <v>73.94</v>
      </c>
      <c r="E5516" t="str">
        <f t="shared" si="206"/>
        <v>WEEKDAY</v>
      </c>
      <c r="F5516" t="e">
        <f t="shared" si="207"/>
        <v>#N/A</v>
      </c>
      <c r="G5516" s="74">
        <v>32007</v>
      </c>
      <c r="H5516" s="77">
        <v>8.3333333333333329E-2</v>
      </c>
      <c r="J5516">
        <v>84.02</v>
      </c>
      <c r="M5516" s="74">
        <v>34564</v>
      </c>
      <c r="N5516" s="77">
        <v>8.3333333333333329E-2</v>
      </c>
      <c r="P5516">
        <v>70.88</v>
      </c>
      <c r="S5516" s="74">
        <v>34929</v>
      </c>
      <c r="T5516" s="77">
        <v>8.3333333333333329E-2</v>
      </c>
      <c r="V5516">
        <v>78.080000000000013</v>
      </c>
      <c r="X5516" s="42"/>
      <c r="AB5516">
        <v>71.099999999999994</v>
      </c>
      <c r="AC5516">
        <v>77</v>
      </c>
      <c r="AE5516" s="74"/>
      <c r="AF5516" s="77"/>
      <c r="AH5516" s="497">
        <v>68.900000000000006</v>
      </c>
      <c r="AJ5516" s="42"/>
      <c r="AK5516" s="74"/>
      <c r="AL5516" s="77"/>
      <c r="AN5516" s="497">
        <v>59</v>
      </c>
      <c r="AP5516" s="42"/>
      <c r="AQ5516" s="74"/>
      <c r="AR5516" s="77"/>
      <c r="AT5516" s="497">
        <v>55.040000000000006</v>
      </c>
      <c r="AV5516" s="42"/>
      <c r="AW5516" s="74"/>
      <c r="AX5516" s="77"/>
      <c r="BA5516" s="497">
        <v>50</v>
      </c>
      <c r="BB5516" s="42"/>
      <c r="BC5516" s="74"/>
      <c r="BD5516" s="77"/>
      <c r="BF5516">
        <v>62.06</v>
      </c>
      <c r="BH5516" s="42"/>
      <c r="BI5516" s="74"/>
      <c r="BJ5516" s="77"/>
      <c r="BL5516" s="497">
        <v>69.080000000000013</v>
      </c>
      <c r="BN5516" s="42"/>
      <c r="BO5516" s="74"/>
      <c r="BP5516" s="77"/>
      <c r="BR5516" s="497">
        <v>64.039999999999992</v>
      </c>
      <c r="BT5516" s="42"/>
    </row>
    <row r="5517" spans="1:72" x14ac:dyDescent="0.25">
      <c r="A5517" s="90">
        <v>34929</v>
      </c>
      <c r="B5517" s="20">
        <v>0.125</v>
      </c>
      <c r="D5517">
        <v>73.94</v>
      </c>
      <c r="E5517" t="str">
        <f t="shared" si="206"/>
        <v>WEEKDAY</v>
      </c>
      <c r="F5517" t="e">
        <f t="shared" si="207"/>
        <v>#N/A</v>
      </c>
      <c r="G5517" s="74">
        <v>32007</v>
      </c>
      <c r="H5517" s="77">
        <v>0.125</v>
      </c>
      <c r="J5517">
        <v>82.039999999999992</v>
      </c>
      <c r="M5517" s="74">
        <v>34564</v>
      </c>
      <c r="N5517" s="77">
        <v>0.125</v>
      </c>
      <c r="P5517">
        <v>71.960000000000008</v>
      </c>
      <c r="S5517" s="74">
        <v>34929</v>
      </c>
      <c r="T5517" s="77">
        <v>0.125</v>
      </c>
      <c r="V5517">
        <v>78.080000000000013</v>
      </c>
      <c r="X5517" s="42"/>
      <c r="AB5517">
        <v>70.7</v>
      </c>
      <c r="AC5517">
        <v>78.080000000000013</v>
      </c>
      <c r="AE5517" s="74"/>
      <c r="AF5517" s="77"/>
      <c r="AH5517" s="497">
        <v>68.900000000000006</v>
      </c>
      <c r="AJ5517" s="42"/>
      <c r="AK5517" s="74"/>
      <c r="AL5517" s="77"/>
      <c r="AN5517" s="497">
        <v>57.92</v>
      </c>
      <c r="AP5517" s="42"/>
      <c r="AQ5517" s="74"/>
      <c r="AR5517" s="77"/>
      <c r="AT5517" s="497">
        <v>53.96</v>
      </c>
      <c r="AV5517" s="42"/>
      <c r="AW5517" s="74"/>
      <c r="AX5517" s="77"/>
      <c r="BA5517" s="497">
        <v>50</v>
      </c>
      <c r="BB5517" s="42"/>
      <c r="BC5517" s="74"/>
      <c r="BD5517" s="77"/>
      <c r="BF5517">
        <v>62.06</v>
      </c>
      <c r="BH5517" s="42"/>
      <c r="BI5517" s="74"/>
      <c r="BJ5517" s="77"/>
      <c r="BL5517" s="497">
        <v>68</v>
      </c>
      <c r="BN5517" s="42"/>
      <c r="BO5517" s="74"/>
      <c r="BP5517" s="77"/>
      <c r="BR5517" s="497">
        <v>62.96</v>
      </c>
      <c r="BT5517" s="42"/>
    </row>
    <row r="5518" spans="1:72" x14ac:dyDescent="0.25">
      <c r="A5518" s="90">
        <v>34929</v>
      </c>
      <c r="B5518" s="20">
        <v>0.16666666666666666</v>
      </c>
      <c r="D5518">
        <v>73.039999999999992</v>
      </c>
      <c r="E5518" t="str">
        <f t="shared" si="206"/>
        <v>WEEKDAY</v>
      </c>
      <c r="F5518" t="e">
        <f t="shared" si="207"/>
        <v>#N/A</v>
      </c>
      <c r="G5518" s="74">
        <v>32007</v>
      </c>
      <c r="H5518" s="77">
        <v>0.16666666666666666</v>
      </c>
      <c r="J5518">
        <v>82.039999999999992</v>
      </c>
      <c r="M5518" s="74">
        <v>34564</v>
      </c>
      <c r="N5518" s="77">
        <v>0.16666666666666666</v>
      </c>
      <c r="P5518">
        <v>72.86</v>
      </c>
      <c r="S5518" s="74">
        <v>34929</v>
      </c>
      <c r="T5518" s="77">
        <v>0.16666666666666666</v>
      </c>
      <c r="V5518">
        <v>77</v>
      </c>
      <c r="X5518" s="42"/>
      <c r="AB5518">
        <v>70.2</v>
      </c>
      <c r="AC5518">
        <v>77</v>
      </c>
      <c r="AE5518" s="74"/>
      <c r="AF5518" s="77"/>
      <c r="AH5518" s="497">
        <v>68.900000000000006</v>
      </c>
      <c r="AJ5518" s="42"/>
      <c r="AK5518" s="74"/>
      <c r="AL5518" s="77"/>
      <c r="AN5518" s="497">
        <v>57.019999999999996</v>
      </c>
      <c r="AP5518" s="42"/>
      <c r="AQ5518" s="74"/>
      <c r="AR5518" s="77"/>
      <c r="AT5518" s="497">
        <v>53.06</v>
      </c>
      <c r="AV5518" s="42"/>
      <c r="AW5518" s="74"/>
      <c r="AX5518" s="77"/>
      <c r="BA5518" s="497">
        <v>48.019999999999996</v>
      </c>
      <c r="BB5518" s="42"/>
      <c r="BC5518" s="74"/>
      <c r="BD5518" s="77"/>
      <c r="BF5518">
        <v>60.980000000000004</v>
      </c>
      <c r="BH5518" s="42"/>
      <c r="BI5518" s="74"/>
      <c r="BJ5518" s="77"/>
      <c r="BL5518" s="497">
        <v>68</v>
      </c>
      <c r="BN5518" s="42"/>
      <c r="BO5518" s="74"/>
      <c r="BP5518" s="77"/>
      <c r="BR5518" s="497">
        <v>62.96</v>
      </c>
      <c r="BT5518" s="42"/>
    </row>
    <row r="5519" spans="1:72" x14ac:dyDescent="0.25">
      <c r="A5519" s="90">
        <v>34929</v>
      </c>
      <c r="B5519" s="20">
        <v>0.20833333333333334</v>
      </c>
      <c r="D5519">
        <v>73.039999999999992</v>
      </c>
      <c r="E5519" t="str">
        <f t="shared" si="206"/>
        <v>WEEKDAY</v>
      </c>
      <c r="F5519" t="e">
        <f t="shared" si="207"/>
        <v>#N/A</v>
      </c>
      <c r="G5519" s="74">
        <v>32007</v>
      </c>
      <c r="H5519" s="77">
        <v>0.20833333333333334</v>
      </c>
      <c r="J5519">
        <v>80.06</v>
      </c>
      <c r="M5519" s="74">
        <v>34564</v>
      </c>
      <c r="N5519" s="77">
        <v>0.20833333333333334</v>
      </c>
      <c r="P5519">
        <v>72.86</v>
      </c>
      <c r="S5519" s="74">
        <v>34929</v>
      </c>
      <c r="T5519" s="77">
        <v>0.20833333333333334</v>
      </c>
      <c r="V5519">
        <v>77</v>
      </c>
      <c r="X5519" s="42"/>
      <c r="AB5519">
        <v>69.7</v>
      </c>
      <c r="AC5519">
        <v>75.92</v>
      </c>
      <c r="AE5519" s="74"/>
      <c r="AF5519" s="77"/>
      <c r="AH5519" s="497">
        <v>68.900000000000006</v>
      </c>
      <c r="AJ5519" s="42"/>
      <c r="AK5519" s="74"/>
      <c r="AL5519" s="77"/>
      <c r="AN5519" s="497">
        <v>55.94</v>
      </c>
      <c r="AP5519" s="42"/>
      <c r="AQ5519" s="74"/>
      <c r="AR5519" s="77"/>
      <c r="AT5519" s="497">
        <v>53.06</v>
      </c>
      <c r="AV5519" s="42"/>
      <c r="AW5519" s="74"/>
      <c r="AX5519" s="77"/>
      <c r="BA5519" s="497">
        <v>46.94</v>
      </c>
      <c r="BB5519" s="42"/>
      <c r="BC5519" s="74"/>
      <c r="BD5519" s="77"/>
      <c r="BF5519">
        <v>59</v>
      </c>
      <c r="BH5519" s="42"/>
      <c r="BI5519" s="74"/>
      <c r="BJ5519" s="77"/>
      <c r="BL5519" s="497">
        <v>68</v>
      </c>
      <c r="BN5519" s="42"/>
      <c r="BO5519" s="74"/>
      <c r="BP5519" s="77"/>
      <c r="BR5519" s="497">
        <v>62.96</v>
      </c>
      <c r="BT5519" s="42"/>
    </row>
    <row r="5520" spans="1:72" x14ac:dyDescent="0.25">
      <c r="A5520" s="90">
        <v>34929</v>
      </c>
      <c r="B5520" s="20">
        <v>0.25</v>
      </c>
      <c r="D5520">
        <v>71.960000000000008</v>
      </c>
      <c r="E5520" t="str">
        <f t="shared" si="206"/>
        <v>WEEKDAY</v>
      </c>
      <c r="F5520" t="e">
        <f t="shared" si="207"/>
        <v>#N/A</v>
      </c>
      <c r="G5520" s="74">
        <v>32007</v>
      </c>
      <c r="H5520" s="77">
        <v>0.25</v>
      </c>
      <c r="J5520">
        <v>80.06</v>
      </c>
      <c r="M5520" s="74">
        <v>34564</v>
      </c>
      <c r="N5520" s="77">
        <v>0.25</v>
      </c>
      <c r="P5520">
        <v>72.86</v>
      </c>
      <c r="S5520" s="74">
        <v>34929</v>
      </c>
      <c r="T5520" s="77">
        <v>0.25</v>
      </c>
      <c r="V5520">
        <v>77</v>
      </c>
      <c r="X5520" s="42"/>
      <c r="AB5520">
        <v>69.400000000000006</v>
      </c>
      <c r="AC5520">
        <v>77</v>
      </c>
      <c r="AE5520" s="74"/>
      <c r="AF5520" s="77"/>
      <c r="AH5520" s="497">
        <v>68.900000000000006</v>
      </c>
      <c r="AJ5520" s="42"/>
      <c r="AK5520" s="74"/>
      <c r="AL5520" s="77"/>
      <c r="AN5520" s="497">
        <v>55.94</v>
      </c>
      <c r="AP5520" s="42"/>
      <c r="AQ5520" s="74"/>
      <c r="AR5520" s="77"/>
      <c r="AT5520" s="497">
        <v>53.06</v>
      </c>
      <c r="AV5520" s="42"/>
      <c r="AW5520" s="74"/>
      <c r="AX5520" s="77"/>
      <c r="BA5520" s="497">
        <v>48.019999999999996</v>
      </c>
      <c r="BB5520" s="42"/>
      <c r="BC5520" s="74"/>
      <c r="BD5520" s="77"/>
      <c r="BF5520">
        <v>62.06</v>
      </c>
      <c r="BH5520" s="42"/>
      <c r="BI5520" s="74"/>
      <c r="BJ5520" s="77"/>
      <c r="BL5520" s="497">
        <v>66.92</v>
      </c>
      <c r="BN5520" s="42"/>
      <c r="BO5520" s="74"/>
      <c r="BP5520" s="77"/>
      <c r="BR5520" s="497">
        <v>62.96</v>
      </c>
      <c r="BT5520" s="42"/>
    </row>
    <row r="5521" spans="1:72" x14ac:dyDescent="0.25">
      <c r="A5521" s="90">
        <v>34929</v>
      </c>
      <c r="B5521" s="20">
        <v>0.29166666666666669</v>
      </c>
      <c r="D5521">
        <v>73.039999999999992</v>
      </c>
      <c r="E5521" t="str">
        <f t="shared" si="206"/>
        <v>WEEKDAY</v>
      </c>
      <c r="F5521" t="e">
        <f t="shared" si="207"/>
        <v>#N/A</v>
      </c>
      <c r="G5521" s="74">
        <v>32007</v>
      </c>
      <c r="H5521" s="77">
        <v>0.29166666666666669</v>
      </c>
      <c r="J5521">
        <v>80.06</v>
      </c>
      <c r="M5521" s="74">
        <v>34564</v>
      </c>
      <c r="N5521" s="77">
        <v>0.29166666666666669</v>
      </c>
      <c r="P5521">
        <v>72.86</v>
      </c>
      <c r="S5521" s="74">
        <v>34929</v>
      </c>
      <c r="T5521" s="77">
        <v>0.29166666666666669</v>
      </c>
      <c r="V5521">
        <v>78.98</v>
      </c>
      <c r="X5521" s="42"/>
      <c r="AB5521">
        <v>69.8</v>
      </c>
      <c r="AC5521">
        <v>78.98</v>
      </c>
      <c r="AE5521" s="74"/>
      <c r="AF5521" s="77"/>
      <c r="AH5521" s="497">
        <v>68.900000000000006</v>
      </c>
      <c r="AJ5521" s="42"/>
      <c r="AK5521" s="74"/>
      <c r="AL5521" s="77"/>
      <c r="AN5521" s="497">
        <v>60.980000000000004</v>
      </c>
      <c r="AP5521" s="42"/>
      <c r="AQ5521" s="74"/>
      <c r="AR5521" s="77"/>
      <c r="AT5521" s="497">
        <v>57.92</v>
      </c>
      <c r="AV5521" s="42"/>
      <c r="AW5521" s="74"/>
      <c r="AX5521" s="77"/>
      <c r="BA5521" s="497">
        <v>53.96</v>
      </c>
      <c r="BB5521" s="42"/>
      <c r="BC5521" s="74"/>
      <c r="BD5521" s="77"/>
      <c r="BF5521">
        <v>66.02</v>
      </c>
      <c r="BH5521" s="42"/>
      <c r="BI5521" s="74"/>
      <c r="BJ5521" s="77"/>
      <c r="BL5521" s="497">
        <v>68</v>
      </c>
      <c r="BN5521" s="42"/>
      <c r="BO5521" s="74"/>
      <c r="BP5521" s="77"/>
      <c r="BR5521" s="497">
        <v>64.94</v>
      </c>
      <c r="BT5521" s="42"/>
    </row>
    <row r="5522" spans="1:72" x14ac:dyDescent="0.25">
      <c r="A5522" s="90">
        <v>34929</v>
      </c>
      <c r="B5522" s="20">
        <v>0.33333333333333331</v>
      </c>
      <c r="D5522">
        <v>75.02</v>
      </c>
      <c r="E5522" t="str">
        <f t="shared" si="206"/>
        <v>WEEKDAY</v>
      </c>
      <c r="F5522" t="e">
        <f t="shared" si="207"/>
        <v>#N/A</v>
      </c>
      <c r="G5522" s="74">
        <v>32007</v>
      </c>
      <c r="H5522" s="77">
        <v>0.33333333333333331</v>
      </c>
      <c r="J5522">
        <v>80.960000000000008</v>
      </c>
      <c r="M5522" s="74">
        <v>34564</v>
      </c>
      <c r="N5522" s="77">
        <v>0.33333333333333331</v>
      </c>
      <c r="P5522">
        <v>72.86</v>
      </c>
      <c r="S5522" s="74">
        <v>34929</v>
      </c>
      <c r="T5522" s="77">
        <v>0.33333333333333331</v>
      </c>
      <c r="V5522">
        <v>82.039999999999992</v>
      </c>
      <c r="X5522" s="42"/>
      <c r="AB5522">
        <v>71.8</v>
      </c>
      <c r="AC5522">
        <v>80.960000000000008</v>
      </c>
      <c r="AE5522" s="74"/>
      <c r="AF5522" s="77"/>
      <c r="AH5522" s="497">
        <v>69.62</v>
      </c>
      <c r="AJ5522" s="42"/>
      <c r="AK5522" s="74"/>
      <c r="AL5522" s="77"/>
      <c r="AN5522" s="497">
        <v>64.94</v>
      </c>
      <c r="AP5522" s="42"/>
      <c r="AQ5522" s="74"/>
      <c r="AR5522" s="77"/>
      <c r="AT5522" s="497">
        <v>62.96</v>
      </c>
      <c r="AV5522" s="42"/>
      <c r="AW5522" s="74"/>
      <c r="AX5522" s="77"/>
      <c r="BA5522" s="497">
        <v>55.94</v>
      </c>
      <c r="BB5522" s="42"/>
      <c r="BC5522" s="74"/>
      <c r="BD5522" s="77"/>
      <c r="BF5522">
        <v>71.960000000000008</v>
      </c>
      <c r="BH5522" s="42"/>
      <c r="BI5522" s="74"/>
      <c r="BJ5522" s="77"/>
      <c r="BL5522" s="497">
        <v>71.06</v>
      </c>
      <c r="BN5522" s="42"/>
      <c r="BO5522" s="74"/>
      <c r="BP5522" s="77"/>
      <c r="BR5522" s="497">
        <v>66.02</v>
      </c>
      <c r="BT5522" s="42"/>
    </row>
    <row r="5523" spans="1:72" x14ac:dyDescent="0.25">
      <c r="A5523" s="90">
        <v>34929</v>
      </c>
      <c r="B5523" s="20">
        <v>0.375</v>
      </c>
      <c r="D5523">
        <v>77</v>
      </c>
      <c r="E5523" t="str">
        <f t="shared" ref="E5523:E5586" si="208">IF(COUNTIF($DI$18:$DI$22, WEEKDAY(A5523))=1, "WEEKDAY", IF(WEEKDAY(A5523) = 1, "SUNDAY", "SATURDAY"))</f>
        <v>WEEKDAY</v>
      </c>
      <c r="F5523" t="e">
        <f t="shared" si="207"/>
        <v>#N/A</v>
      </c>
      <c r="G5523" s="74">
        <v>32007</v>
      </c>
      <c r="H5523" s="77">
        <v>0.375</v>
      </c>
      <c r="J5523">
        <v>82.94</v>
      </c>
      <c r="M5523" s="74">
        <v>34564</v>
      </c>
      <c r="N5523" s="77">
        <v>0.375</v>
      </c>
      <c r="P5523">
        <v>74.84</v>
      </c>
      <c r="S5523" s="74">
        <v>34929</v>
      </c>
      <c r="T5523" s="77">
        <v>0.375</v>
      </c>
      <c r="V5523">
        <v>84.92</v>
      </c>
      <c r="X5523" s="42"/>
      <c r="AB5523">
        <v>73.8</v>
      </c>
      <c r="AC5523">
        <v>86</v>
      </c>
      <c r="AE5523" s="74"/>
      <c r="AF5523" s="77"/>
      <c r="AH5523" s="497">
        <v>69.98</v>
      </c>
      <c r="AJ5523" s="42"/>
      <c r="AK5523" s="74"/>
      <c r="AL5523" s="77"/>
      <c r="AN5523" s="497">
        <v>71.06</v>
      </c>
      <c r="AP5523" s="42"/>
      <c r="AQ5523" s="74"/>
      <c r="AR5523" s="77"/>
      <c r="AT5523" s="497">
        <v>69.080000000000013</v>
      </c>
      <c r="AV5523" s="42"/>
      <c r="AW5523" s="74"/>
      <c r="AX5523" s="77"/>
      <c r="BA5523" s="497">
        <v>57.019999999999996</v>
      </c>
      <c r="BB5523" s="42"/>
      <c r="BC5523" s="74"/>
      <c r="BD5523" s="77"/>
      <c r="BF5523">
        <v>75.92</v>
      </c>
      <c r="BH5523" s="42"/>
      <c r="BI5523" s="74"/>
      <c r="BJ5523" s="77"/>
      <c r="BL5523" s="497">
        <v>75.02</v>
      </c>
      <c r="BN5523" s="42"/>
      <c r="BO5523" s="74"/>
      <c r="BP5523" s="77"/>
      <c r="BR5523" s="497">
        <v>68</v>
      </c>
      <c r="BT5523" s="42"/>
    </row>
    <row r="5524" spans="1:72" x14ac:dyDescent="0.25">
      <c r="A5524" s="90">
        <v>34929</v>
      </c>
      <c r="B5524" s="20">
        <v>0.41666666666666669</v>
      </c>
      <c r="D5524">
        <v>78.98</v>
      </c>
      <c r="E5524" t="str">
        <f t="shared" si="208"/>
        <v>WEEKDAY</v>
      </c>
      <c r="F5524" t="e">
        <f t="shared" si="207"/>
        <v>#N/A</v>
      </c>
      <c r="G5524" s="74">
        <v>32007</v>
      </c>
      <c r="H5524" s="77">
        <v>0.41666666666666669</v>
      </c>
      <c r="J5524">
        <v>84.92</v>
      </c>
      <c r="M5524" s="74">
        <v>34564</v>
      </c>
      <c r="N5524" s="77">
        <v>0.41666666666666669</v>
      </c>
      <c r="P5524">
        <v>77.900000000000006</v>
      </c>
      <c r="S5524" s="74">
        <v>34929</v>
      </c>
      <c r="T5524" s="77">
        <v>0.41666666666666669</v>
      </c>
      <c r="V5524">
        <v>87.080000000000013</v>
      </c>
      <c r="X5524" s="42"/>
      <c r="AB5524">
        <v>75.599999999999994</v>
      </c>
      <c r="AC5524">
        <v>87.98</v>
      </c>
      <c r="AE5524" s="74"/>
      <c r="AF5524" s="77"/>
      <c r="AH5524" s="497">
        <v>74.84</v>
      </c>
      <c r="AJ5524" s="42"/>
      <c r="AK5524" s="74"/>
      <c r="AL5524" s="77"/>
      <c r="AN5524" s="497">
        <v>73.94</v>
      </c>
      <c r="AP5524" s="42"/>
      <c r="AQ5524" s="74"/>
      <c r="AR5524" s="77"/>
      <c r="AT5524" s="497">
        <v>73.94</v>
      </c>
      <c r="AV5524" s="42"/>
      <c r="AW5524" s="74"/>
      <c r="AX5524" s="77"/>
      <c r="BA5524" s="497">
        <v>60.980000000000004</v>
      </c>
      <c r="BB5524" s="42"/>
      <c r="BC5524" s="74"/>
      <c r="BD5524" s="77"/>
      <c r="BF5524">
        <v>78.98</v>
      </c>
      <c r="BH5524" s="42"/>
      <c r="BI5524" s="74"/>
      <c r="BJ5524" s="77"/>
      <c r="BL5524" s="497">
        <v>78.98</v>
      </c>
      <c r="BN5524" s="42"/>
      <c r="BO5524" s="74"/>
      <c r="BP5524" s="77"/>
      <c r="BR5524" s="497">
        <v>69.080000000000013</v>
      </c>
      <c r="BT5524" s="42"/>
    </row>
    <row r="5525" spans="1:72" x14ac:dyDescent="0.25">
      <c r="A5525" s="90">
        <v>34929</v>
      </c>
      <c r="B5525" s="20">
        <v>0.45833333333333331</v>
      </c>
      <c r="D5525">
        <v>82.039999999999992</v>
      </c>
      <c r="E5525" t="str">
        <f t="shared" si="208"/>
        <v>WEEKDAY</v>
      </c>
      <c r="F5525" t="e">
        <f t="shared" si="207"/>
        <v>#N/A</v>
      </c>
      <c r="G5525" s="74">
        <v>32007</v>
      </c>
      <c r="H5525" s="77">
        <v>0.45833333333333331</v>
      </c>
      <c r="J5525">
        <v>86</v>
      </c>
      <c r="M5525" s="74">
        <v>34564</v>
      </c>
      <c r="N5525" s="77">
        <v>0.45833333333333331</v>
      </c>
      <c r="P5525">
        <v>78.62</v>
      </c>
      <c r="S5525" s="74">
        <v>34929</v>
      </c>
      <c r="T5525" s="77">
        <v>0.45833333333333331</v>
      </c>
      <c r="V5525">
        <v>89.06</v>
      </c>
      <c r="X5525" s="42"/>
      <c r="AB5525">
        <v>77.2</v>
      </c>
      <c r="AC5525">
        <v>89.960000000000008</v>
      </c>
      <c r="AE5525" s="74"/>
      <c r="AF5525" s="77"/>
      <c r="AH5525" s="497">
        <v>75.38</v>
      </c>
      <c r="AJ5525" s="42"/>
      <c r="AK5525" s="74"/>
      <c r="AL5525" s="77"/>
      <c r="AN5525" s="497">
        <v>77</v>
      </c>
      <c r="AP5525" s="42"/>
      <c r="AQ5525" s="74"/>
      <c r="AR5525" s="77"/>
      <c r="AT5525" s="497">
        <v>78.98</v>
      </c>
      <c r="AV5525" s="42"/>
      <c r="AW5525" s="74"/>
      <c r="AX5525" s="77"/>
      <c r="BA5525" s="497">
        <v>64.94</v>
      </c>
      <c r="BB5525" s="42"/>
      <c r="BC5525" s="74"/>
      <c r="BD5525" s="77"/>
      <c r="BF5525">
        <v>80.960000000000008</v>
      </c>
      <c r="BH5525" s="42"/>
      <c r="BI5525" s="74"/>
      <c r="BJ5525" s="77"/>
      <c r="BL5525" s="497">
        <v>82.039999999999992</v>
      </c>
      <c r="BN5525" s="42"/>
      <c r="BO5525" s="74"/>
      <c r="BP5525" s="77"/>
      <c r="BR5525" s="497">
        <v>69.98</v>
      </c>
      <c r="BT5525" s="42"/>
    </row>
    <row r="5526" spans="1:72" x14ac:dyDescent="0.25">
      <c r="A5526" s="90">
        <v>34929</v>
      </c>
      <c r="B5526" s="20">
        <v>0.5</v>
      </c>
      <c r="D5526">
        <v>84.92</v>
      </c>
      <c r="E5526" t="str">
        <f t="shared" si="208"/>
        <v>WEEKDAY</v>
      </c>
      <c r="F5526" t="e">
        <f t="shared" si="207"/>
        <v>#N/A</v>
      </c>
      <c r="G5526" s="74">
        <v>32007</v>
      </c>
      <c r="H5526" s="77">
        <v>0.5</v>
      </c>
      <c r="J5526">
        <v>87.98</v>
      </c>
      <c r="M5526" s="74">
        <v>34564</v>
      </c>
      <c r="N5526" s="77">
        <v>0.5</v>
      </c>
      <c r="P5526">
        <v>78.98</v>
      </c>
      <c r="S5526" s="74">
        <v>34929</v>
      </c>
      <c r="T5526" s="77">
        <v>0.5</v>
      </c>
      <c r="V5526">
        <v>91.039999999999992</v>
      </c>
      <c r="X5526" s="42"/>
      <c r="AB5526">
        <v>78.5</v>
      </c>
      <c r="AC5526">
        <v>91.94</v>
      </c>
      <c r="AE5526" s="74"/>
      <c r="AF5526" s="77"/>
      <c r="AH5526" s="497">
        <v>75.38</v>
      </c>
      <c r="AJ5526" s="42"/>
      <c r="AK5526" s="74"/>
      <c r="AL5526" s="77"/>
      <c r="AN5526" s="497">
        <v>77</v>
      </c>
      <c r="AP5526" s="42"/>
      <c r="AQ5526" s="74"/>
      <c r="AR5526" s="77"/>
      <c r="AT5526" s="497">
        <v>80.960000000000008</v>
      </c>
      <c r="AV5526" s="42"/>
      <c r="AW5526" s="74"/>
      <c r="AX5526" s="77"/>
      <c r="BA5526" s="497">
        <v>66.02</v>
      </c>
      <c r="BB5526" s="42"/>
      <c r="BC5526" s="74"/>
      <c r="BD5526" s="77"/>
      <c r="BF5526">
        <v>84.02</v>
      </c>
      <c r="BH5526" s="42"/>
      <c r="BI5526" s="74"/>
      <c r="BJ5526" s="77"/>
      <c r="BL5526" s="497">
        <v>82.039999999999992</v>
      </c>
      <c r="BN5526" s="42"/>
      <c r="BO5526" s="74"/>
      <c r="BP5526" s="77"/>
      <c r="BR5526" s="497">
        <v>73.94</v>
      </c>
      <c r="BT5526" s="42"/>
    </row>
    <row r="5527" spans="1:72" x14ac:dyDescent="0.25">
      <c r="A5527" s="90">
        <v>34929</v>
      </c>
      <c r="B5527" s="20">
        <v>0.54166666666666663</v>
      </c>
      <c r="D5527">
        <v>86</v>
      </c>
      <c r="E5527" t="str">
        <f t="shared" si="208"/>
        <v>WEEKDAY</v>
      </c>
      <c r="F5527" t="e">
        <f t="shared" si="207"/>
        <v>#N/A</v>
      </c>
      <c r="G5527" s="74">
        <v>32007</v>
      </c>
      <c r="H5527" s="77">
        <v>0.54166666666666663</v>
      </c>
      <c r="J5527">
        <v>89.06</v>
      </c>
      <c r="M5527" s="74">
        <v>34564</v>
      </c>
      <c r="N5527" s="77">
        <v>0.54166666666666663</v>
      </c>
      <c r="P5527">
        <v>78.98</v>
      </c>
      <c r="S5527" s="74">
        <v>34929</v>
      </c>
      <c r="T5527" s="77">
        <v>0.54166666666666663</v>
      </c>
      <c r="V5527">
        <v>91.94</v>
      </c>
      <c r="X5527" s="42"/>
      <c r="AB5527">
        <v>79.2</v>
      </c>
      <c r="AC5527">
        <v>91.94</v>
      </c>
      <c r="AE5527" s="74"/>
      <c r="AF5527" s="77"/>
      <c r="AH5527" s="497">
        <v>74.84</v>
      </c>
      <c r="AJ5527" s="42"/>
      <c r="AK5527" s="74"/>
      <c r="AL5527" s="77"/>
      <c r="AN5527" s="497">
        <v>78.98</v>
      </c>
      <c r="AP5527" s="42"/>
      <c r="AQ5527" s="74"/>
      <c r="AR5527" s="77"/>
      <c r="AT5527" s="497">
        <v>82.039999999999992</v>
      </c>
      <c r="AV5527" s="42"/>
      <c r="AW5527" s="74"/>
      <c r="AX5527" s="77"/>
      <c r="BA5527" s="497">
        <v>68</v>
      </c>
      <c r="BB5527" s="42"/>
      <c r="BC5527" s="74"/>
      <c r="BD5527" s="77"/>
      <c r="BF5527">
        <v>84.92</v>
      </c>
      <c r="BH5527" s="42"/>
      <c r="BI5527" s="74"/>
      <c r="BJ5527" s="77"/>
      <c r="BL5527" s="497">
        <v>82.94</v>
      </c>
      <c r="BN5527" s="42"/>
      <c r="BO5527" s="74"/>
      <c r="BP5527" s="77"/>
      <c r="BR5527" s="497">
        <v>73.94</v>
      </c>
      <c r="BT5527" s="42"/>
    </row>
    <row r="5528" spans="1:72" x14ac:dyDescent="0.25">
      <c r="A5528" s="90">
        <v>34929</v>
      </c>
      <c r="B5528" s="20">
        <v>0.58333333333333337</v>
      </c>
      <c r="D5528">
        <v>86</v>
      </c>
      <c r="E5528" t="str">
        <f t="shared" si="208"/>
        <v>WEEKDAY</v>
      </c>
      <c r="F5528" t="e">
        <f t="shared" si="207"/>
        <v>#N/A</v>
      </c>
      <c r="G5528" s="74">
        <v>32007</v>
      </c>
      <c r="H5528" s="77">
        <v>0.58333333333333337</v>
      </c>
      <c r="J5528">
        <v>89.960000000000008</v>
      </c>
      <c r="M5528" s="74">
        <v>34564</v>
      </c>
      <c r="N5528" s="77">
        <v>0.58333333333333337</v>
      </c>
      <c r="P5528">
        <v>77.900000000000006</v>
      </c>
      <c r="S5528" s="74">
        <v>34929</v>
      </c>
      <c r="T5528" s="77">
        <v>0.58333333333333337</v>
      </c>
      <c r="V5528">
        <v>91.94</v>
      </c>
      <c r="X5528" s="42"/>
      <c r="AB5528">
        <v>79.7</v>
      </c>
      <c r="AC5528">
        <v>89.960000000000008</v>
      </c>
      <c r="AE5528" s="74"/>
      <c r="AF5528" s="77"/>
      <c r="AH5528" s="497">
        <v>74.84</v>
      </c>
      <c r="AJ5528" s="42"/>
      <c r="AK5528" s="74"/>
      <c r="AL5528" s="77"/>
      <c r="AN5528" s="497">
        <v>78.080000000000013</v>
      </c>
      <c r="AP5528" s="42"/>
      <c r="AQ5528" s="74"/>
      <c r="AR5528" s="77"/>
      <c r="AT5528" s="497">
        <v>82.94</v>
      </c>
      <c r="AV5528" s="42"/>
      <c r="AW5528" s="74"/>
      <c r="AX5528" s="77"/>
      <c r="BA5528" s="497">
        <v>68</v>
      </c>
      <c r="BB5528" s="42"/>
      <c r="BC5528" s="74"/>
      <c r="BD5528" s="77"/>
      <c r="BF5528">
        <v>86</v>
      </c>
      <c r="BH5528" s="42"/>
      <c r="BI5528" s="74"/>
      <c r="BJ5528" s="77"/>
      <c r="BL5528" s="497">
        <v>78.080000000000013</v>
      </c>
      <c r="BN5528" s="42"/>
      <c r="BO5528" s="74"/>
      <c r="BP5528" s="77"/>
      <c r="BR5528" s="497">
        <v>75.02</v>
      </c>
      <c r="BT5528" s="42"/>
    </row>
    <row r="5529" spans="1:72" x14ac:dyDescent="0.25">
      <c r="A5529" s="90">
        <v>34929</v>
      </c>
      <c r="B5529" s="20">
        <v>0.625</v>
      </c>
      <c r="D5529">
        <v>87.080000000000013</v>
      </c>
      <c r="E5529" t="str">
        <f t="shared" si="208"/>
        <v>WEEKDAY</v>
      </c>
      <c r="F5529" t="e">
        <f t="shared" si="207"/>
        <v>#N/A</v>
      </c>
      <c r="G5529" s="74">
        <v>32007</v>
      </c>
      <c r="H5529" s="77">
        <v>0.625</v>
      </c>
      <c r="J5529">
        <v>89.960000000000008</v>
      </c>
      <c r="M5529" s="74">
        <v>34564</v>
      </c>
      <c r="N5529" s="77">
        <v>0.625</v>
      </c>
      <c r="P5529">
        <v>78.98</v>
      </c>
      <c r="S5529" s="74">
        <v>34929</v>
      </c>
      <c r="T5529" s="77">
        <v>0.625</v>
      </c>
      <c r="V5529">
        <v>91.039999999999992</v>
      </c>
      <c r="X5529" s="42"/>
      <c r="AB5529">
        <v>79.8</v>
      </c>
      <c r="AC5529">
        <v>89.06</v>
      </c>
      <c r="AE5529" s="74"/>
      <c r="AF5529" s="77"/>
      <c r="AH5529" s="497">
        <v>73.94</v>
      </c>
      <c r="AJ5529" s="42"/>
      <c r="AK5529" s="74"/>
      <c r="AL5529" s="77"/>
      <c r="AN5529" s="497">
        <v>75.92</v>
      </c>
      <c r="AP5529" s="42"/>
      <c r="AQ5529" s="74"/>
      <c r="AR5529" s="77"/>
      <c r="AT5529" s="497">
        <v>80.06</v>
      </c>
      <c r="AV5529" s="42"/>
      <c r="AW5529" s="74"/>
      <c r="AX5529" s="77"/>
      <c r="BA5529" s="497">
        <v>68</v>
      </c>
      <c r="BB5529" s="42"/>
      <c r="BC5529" s="74"/>
      <c r="BD5529" s="77"/>
      <c r="BF5529">
        <v>86</v>
      </c>
      <c r="BH5529" s="42"/>
      <c r="BI5529" s="74"/>
      <c r="BJ5529" s="77"/>
      <c r="BL5529" s="497">
        <v>75.92</v>
      </c>
      <c r="BN5529" s="42"/>
      <c r="BO5529" s="74"/>
      <c r="BP5529" s="77"/>
      <c r="BR5529" s="497">
        <v>75.92</v>
      </c>
      <c r="BT5529" s="42"/>
    </row>
    <row r="5530" spans="1:72" x14ac:dyDescent="0.25">
      <c r="A5530" s="90">
        <v>34929</v>
      </c>
      <c r="B5530" s="20">
        <v>0.66666666666666663</v>
      </c>
      <c r="D5530">
        <v>82.94</v>
      </c>
      <c r="E5530" t="str">
        <f t="shared" si="208"/>
        <v>WEEKDAY</v>
      </c>
      <c r="F5530" t="e">
        <f t="shared" si="207"/>
        <v>#N/A</v>
      </c>
      <c r="G5530" s="74">
        <v>32007</v>
      </c>
      <c r="H5530" s="77">
        <v>0.66666666666666663</v>
      </c>
      <c r="J5530">
        <v>89.960000000000008</v>
      </c>
      <c r="M5530" s="74">
        <v>34564</v>
      </c>
      <c r="N5530" s="77">
        <v>0.66666666666666663</v>
      </c>
      <c r="P5530">
        <v>78.98</v>
      </c>
      <c r="S5530" s="74">
        <v>34929</v>
      </c>
      <c r="T5530" s="77">
        <v>0.66666666666666663</v>
      </c>
      <c r="V5530">
        <v>91.039999999999992</v>
      </c>
      <c r="X5530" s="42"/>
      <c r="AB5530">
        <v>79.5</v>
      </c>
      <c r="AC5530">
        <v>87.080000000000013</v>
      </c>
      <c r="AE5530" s="74"/>
      <c r="AF5530" s="77"/>
      <c r="AH5530" s="497">
        <v>77</v>
      </c>
      <c r="AJ5530" s="42"/>
      <c r="AK5530" s="74"/>
      <c r="AL5530" s="77"/>
      <c r="AN5530" s="497">
        <v>73.94</v>
      </c>
      <c r="AP5530" s="42"/>
      <c r="AQ5530" s="74"/>
      <c r="AR5530" s="77"/>
      <c r="AT5530" s="497">
        <v>78.98</v>
      </c>
      <c r="AV5530" s="42"/>
      <c r="AW5530" s="74"/>
      <c r="AX5530" s="77"/>
      <c r="BA5530" s="497">
        <v>69.080000000000013</v>
      </c>
      <c r="BB5530" s="42"/>
      <c r="BC5530" s="74"/>
      <c r="BD5530" s="77"/>
      <c r="BF5530">
        <v>84.92</v>
      </c>
      <c r="BH5530" s="42"/>
      <c r="BI5530" s="74"/>
      <c r="BJ5530" s="77"/>
      <c r="BL5530" s="497">
        <v>77</v>
      </c>
      <c r="BN5530" s="42"/>
      <c r="BO5530" s="74"/>
      <c r="BP5530" s="77"/>
      <c r="BR5530" s="497">
        <v>77</v>
      </c>
      <c r="BT5530" s="42"/>
    </row>
    <row r="5531" spans="1:72" x14ac:dyDescent="0.25">
      <c r="A5531" s="90">
        <v>34929</v>
      </c>
      <c r="B5531" s="20">
        <v>0.70833333333333337</v>
      </c>
      <c r="D5531">
        <v>80.960000000000008</v>
      </c>
      <c r="E5531" t="str">
        <f t="shared" si="208"/>
        <v>WEEKDAY</v>
      </c>
      <c r="F5531" t="e">
        <f t="shared" si="207"/>
        <v>#N/A</v>
      </c>
      <c r="G5531" s="74">
        <v>32007</v>
      </c>
      <c r="H5531" s="77">
        <v>0.70833333333333337</v>
      </c>
      <c r="J5531">
        <v>87.98</v>
      </c>
      <c r="M5531" s="74">
        <v>34564</v>
      </c>
      <c r="N5531" s="77">
        <v>0.70833333333333337</v>
      </c>
      <c r="P5531">
        <v>78.98</v>
      </c>
      <c r="S5531" s="74">
        <v>34929</v>
      </c>
      <c r="T5531" s="77">
        <v>0.70833333333333337</v>
      </c>
      <c r="V5531">
        <v>89.06</v>
      </c>
      <c r="X5531" s="42"/>
      <c r="AB5531">
        <v>78.599999999999994</v>
      </c>
      <c r="AC5531">
        <v>84.02</v>
      </c>
      <c r="AE5531" s="74"/>
      <c r="AF5531" s="77"/>
      <c r="AH5531" s="497">
        <v>72.86</v>
      </c>
      <c r="AJ5531" s="42"/>
      <c r="AK5531" s="74"/>
      <c r="AL5531" s="77"/>
      <c r="AN5531" s="497">
        <v>73.039999999999992</v>
      </c>
      <c r="AP5531" s="42"/>
      <c r="AQ5531" s="74"/>
      <c r="AR5531" s="77"/>
      <c r="AT5531" s="497">
        <v>75.92</v>
      </c>
      <c r="AV5531" s="42"/>
      <c r="AW5531" s="74"/>
      <c r="AX5531" s="77"/>
      <c r="BA5531" s="497">
        <v>69.98</v>
      </c>
      <c r="BB5531" s="42"/>
      <c r="BC5531" s="74"/>
      <c r="BD5531" s="77"/>
      <c r="BF5531">
        <v>84.92</v>
      </c>
      <c r="BH5531" s="42"/>
      <c r="BI5531" s="74"/>
      <c r="BJ5531" s="77"/>
      <c r="BL5531" s="497">
        <v>75.92</v>
      </c>
      <c r="BN5531" s="42"/>
      <c r="BO5531" s="74"/>
      <c r="BP5531" s="77"/>
      <c r="BR5531" s="497">
        <v>77</v>
      </c>
      <c r="BT5531" s="42"/>
    </row>
    <row r="5532" spans="1:72" x14ac:dyDescent="0.25">
      <c r="A5532" s="90">
        <v>34929</v>
      </c>
      <c r="B5532" s="20">
        <v>0.75</v>
      </c>
      <c r="D5532">
        <v>77</v>
      </c>
      <c r="E5532" t="str">
        <f t="shared" si="208"/>
        <v>WEEKDAY</v>
      </c>
      <c r="F5532" t="e">
        <f t="shared" si="207"/>
        <v>#N/A</v>
      </c>
      <c r="G5532" s="74">
        <v>32007</v>
      </c>
      <c r="H5532" s="77">
        <v>0.75</v>
      </c>
      <c r="J5532">
        <v>86</v>
      </c>
      <c r="M5532" s="74">
        <v>34564</v>
      </c>
      <c r="N5532" s="77">
        <v>0.75</v>
      </c>
      <c r="P5532">
        <v>75.92</v>
      </c>
      <c r="S5532" s="74">
        <v>34929</v>
      </c>
      <c r="T5532" s="77">
        <v>0.75</v>
      </c>
      <c r="V5532">
        <v>86</v>
      </c>
      <c r="X5532" s="42"/>
      <c r="AB5532">
        <v>77.5</v>
      </c>
      <c r="AC5532">
        <v>82.94</v>
      </c>
      <c r="AE5532" s="74"/>
      <c r="AF5532" s="77"/>
      <c r="AH5532" s="497">
        <v>70.88</v>
      </c>
      <c r="AJ5532" s="42"/>
      <c r="AK5532" s="74"/>
      <c r="AL5532" s="77"/>
      <c r="AN5532" s="497">
        <v>69.080000000000013</v>
      </c>
      <c r="AP5532" s="42"/>
      <c r="AQ5532" s="74"/>
      <c r="AR5532" s="77"/>
      <c r="AT5532" s="497">
        <v>73.94</v>
      </c>
      <c r="AV5532" s="42"/>
      <c r="AW5532" s="74"/>
      <c r="AX5532" s="77"/>
      <c r="BA5532" s="497">
        <v>66.92</v>
      </c>
      <c r="BB5532" s="42"/>
      <c r="BC5532" s="74"/>
      <c r="BD5532" s="77"/>
      <c r="BF5532">
        <v>82.94</v>
      </c>
      <c r="BH5532" s="42"/>
      <c r="BI5532" s="74"/>
      <c r="BJ5532" s="77"/>
      <c r="BL5532" s="497">
        <v>75.92</v>
      </c>
      <c r="BN5532" s="42"/>
      <c r="BO5532" s="74"/>
      <c r="BP5532" s="77"/>
      <c r="BR5532" s="497">
        <v>75.02</v>
      </c>
      <c r="BT5532" s="42"/>
    </row>
    <row r="5533" spans="1:72" x14ac:dyDescent="0.25">
      <c r="A5533" s="90">
        <v>34929</v>
      </c>
      <c r="B5533" s="20">
        <v>0.79166666666666663</v>
      </c>
      <c r="D5533">
        <v>77</v>
      </c>
      <c r="E5533" t="str">
        <f t="shared" si="208"/>
        <v>WEEKDAY</v>
      </c>
      <c r="F5533" t="e">
        <f t="shared" si="207"/>
        <v>#N/A</v>
      </c>
      <c r="G5533" s="74">
        <v>32007</v>
      </c>
      <c r="H5533" s="77">
        <v>0.79166666666666663</v>
      </c>
      <c r="J5533">
        <v>84.92</v>
      </c>
      <c r="M5533" s="74">
        <v>34564</v>
      </c>
      <c r="N5533" s="77">
        <v>0.79166666666666663</v>
      </c>
      <c r="P5533">
        <v>74.84</v>
      </c>
      <c r="S5533" s="74">
        <v>34929</v>
      </c>
      <c r="T5533" s="77">
        <v>0.79166666666666663</v>
      </c>
      <c r="V5533">
        <v>78.080000000000013</v>
      </c>
      <c r="X5533" s="42"/>
      <c r="AB5533">
        <v>76.099999999999994</v>
      </c>
      <c r="AC5533">
        <v>80.06</v>
      </c>
      <c r="AE5533" s="74"/>
      <c r="AF5533" s="77"/>
      <c r="AH5533" s="497">
        <v>69.98</v>
      </c>
      <c r="AJ5533" s="42"/>
      <c r="AK5533" s="74"/>
      <c r="AL5533" s="77"/>
      <c r="AN5533" s="497">
        <v>66.92</v>
      </c>
      <c r="AP5533" s="42"/>
      <c r="AQ5533" s="74"/>
      <c r="AR5533" s="77"/>
      <c r="AT5533" s="497">
        <v>71.960000000000008</v>
      </c>
      <c r="AV5533" s="42"/>
      <c r="AW5533" s="74"/>
      <c r="AX5533" s="77"/>
      <c r="BA5533" s="497">
        <v>64.94</v>
      </c>
      <c r="BB5533" s="42"/>
      <c r="BC5533" s="74"/>
      <c r="BD5533" s="77"/>
      <c r="BF5533">
        <v>78.98</v>
      </c>
      <c r="BH5533" s="42"/>
      <c r="BI5533" s="74"/>
      <c r="BJ5533" s="77"/>
      <c r="BL5533" s="497">
        <v>75.02</v>
      </c>
      <c r="BN5533" s="42"/>
      <c r="BO5533" s="74"/>
      <c r="BP5533" s="77"/>
      <c r="BR5533" s="497">
        <v>71.960000000000008</v>
      </c>
      <c r="BT5533" s="42"/>
    </row>
    <row r="5534" spans="1:72" x14ac:dyDescent="0.25">
      <c r="A5534" s="90">
        <v>34929</v>
      </c>
      <c r="B5534" s="20">
        <v>0.83333333333333337</v>
      </c>
      <c r="D5534">
        <v>73.94</v>
      </c>
      <c r="E5534" t="str">
        <f t="shared" si="208"/>
        <v>WEEKDAY</v>
      </c>
      <c r="F5534" t="e">
        <f t="shared" si="207"/>
        <v>#N/A</v>
      </c>
      <c r="G5534" s="74">
        <v>32007</v>
      </c>
      <c r="H5534" s="77">
        <v>0.83333333333333337</v>
      </c>
      <c r="J5534">
        <v>82.94</v>
      </c>
      <c r="M5534" s="74">
        <v>34564</v>
      </c>
      <c r="N5534" s="77">
        <v>0.83333333333333337</v>
      </c>
      <c r="P5534">
        <v>73.94</v>
      </c>
      <c r="S5534" s="74">
        <v>34929</v>
      </c>
      <c r="T5534" s="77">
        <v>0.83333333333333337</v>
      </c>
      <c r="V5534">
        <v>78.98</v>
      </c>
      <c r="X5534" s="42"/>
      <c r="AB5534">
        <v>74.599999999999994</v>
      </c>
      <c r="AC5534">
        <v>78.98</v>
      </c>
      <c r="AE5534" s="74"/>
      <c r="AF5534" s="77"/>
      <c r="AH5534" s="497">
        <v>69.98</v>
      </c>
      <c r="AJ5534" s="42"/>
      <c r="AK5534" s="74"/>
      <c r="AL5534" s="77"/>
      <c r="AN5534" s="497">
        <v>64.94</v>
      </c>
      <c r="AP5534" s="42"/>
      <c r="AQ5534" s="74"/>
      <c r="AR5534" s="77"/>
      <c r="AT5534" s="497">
        <v>69.98</v>
      </c>
      <c r="AV5534" s="42"/>
      <c r="AW5534" s="74"/>
      <c r="AX5534" s="77"/>
      <c r="BA5534" s="497">
        <v>64.039999999999992</v>
      </c>
      <c r="BB5534" s="42"/>
      <c r="BC5534" s="74"/>
      <c r="BD5534" s="77"/>
      <c r="BF5534">
        <v>75.02</v>
      </c>
      <c r="BH5534" s="42"/>
      <c r="BI5534" s="74"/>
      <c r="BJ5534" s="77"/>
      <c r="BL5534" s="497">
        <v>75.02</v>
      </c>
      <c r="BN5534" s="42"/>
      <c r="BO5534" s="74"/>
      <c r="BP5534" s="77"/>
      <c r="BR5534" s="497">
        <v>64.039999999999992</v>
      </c>
      <c r="BT5534" s="42"/>
    </row>
    <row r="5535" spans="1:72" x14ac:dyDescent="0.25">
      <c r="A5535" s="90">
        <v>34929</v>
      </c>
      <c r="B5535" s="20">
        <v>0.875</v>
      </c>
      <c r="D5535">
        <v>73.039999999999992</v>
      </c>
      <c r="E5535" t="str">
        <f t="shared" si="208"/>
        <v>WEEKDAY</v>
      </c>
      <c r="F5535" t="e">
        <f t="shared" si="207"/>
        <v>#N/A</v>
      </c>
      <c r="G5535" s="74">
        <v>32007</v>
      </c>
      <c r="H5535" s="77">
        <v>0.875</v>
      </c>
      <c r="J5535">
        <v>80.960000000000008</v>
      </c>
      <c r="M5535" s="74">
        <v>34564</v>
      </c>
      <c r="N5535" s="77">
        <v>0.875</v>
      </c>
      <c r="P5535">
        <v>70.88</v>
      </c>
      <c r="S5535" s="74">
        <v>34929</v>
      </c>
      <c r="T5535" s="77">
        <v>0.875</v>
      </c>
      <c r="V5535">
        <v>77</v>
      </c>
      <c r="X5535" s="42"/>
      <c r="AB5535">
        <v>73.900000000000006</v>
      </c>
      <c r="AC5535">
        <v>78.98</v>
      </c>
      <c r="AE5535" s="74"/>
      <c r="AF5535" s="77"/>
      <c r="AH5535" s="497">
        <v>68.900000000000006</v>
      </c>
      <c r="AJ5535" s="42"/>
      <c r="AK5535" s="74"/>
      <c r="AL5535" s="77"/>
      <c r="AN5535" s="497">
        <v>64.039999999999992</v>
      </c>
      <c r="AP5535" s="42"/>
      <c r="AQ5535" s="74"/>
      <c r="AR5535" s="77"/>
      <c r="AT5535" s="497">
        <v>68</v>
      </c>
      <c r="AV5535" s="42"/>
      <c r="AW5535" s="74"/>
      <c r="AX5535" s="77"/>
      <c r="BA5535" s="497">
        <v>60.08</v>
      </c>
      <c r="BB5535" s="42"/>
      <c r="BC5535" s="74"/>
      <c r="BD5535" s="77"/>
      <c r="BF5535">
        <v>73.039999999999992</v>
      </c>
      <c r="BH5535" s="42"/>
      <c r="BI5535" s="74"/>
      <c r="BJ5535" s="77"/>
      <c r="BL5535" s="497">
        <v>73.039999999999992</v>
      </c>
      <c r="BN5535" s="42"/>
      <c r="BO5535" s="74"/>
      <c r="BP5535" s="77"/>
      <c r="BR5535" s="497">
        <v>62.06</v>
      </c>
      <c r="BT5535" s="42"/>
    </row>
    <row r="5536" spans="1:72" x14ac:dyDescent="0.25">
      <c r="A5536" s="90">
        <v>34929</v>
      </c>
      <c r="B5536" s="20">
        <v>0.91666666666666663</v>
      </c>
      <c r="D5536">
        <v>73.039999999999992</v>
      </c>
      <c r="E5536" t="str">
        <f t="shared" si="208"/>
        <v>WEEKDAY</v>
      </c>
      <c r="F5536" t="e">
        <f t="shared" si="207"/>
        <v>#N/A</v>
      </c>
      <c r="G5536" s="74">
        <v>32007</v>
      </c>
      <c r="H5536" s="77">
        <v>0.91666666666666663</v>
      </c>
      <c r="J5536">
        <v>80.06</v>
      </c>
      <c r="M5536" s="74">
        <v>34564</v>
      </c>
      <c r="N5536" s="77">
        <v>0.91666666666666663</v>
      </c>
      <c r="P5536">
        <v>68.900000000000006</v>
      </c>
      <c r="S5536" s="74">
        <v>34929</v>
      </c>
      <c r="T5536" s="77">
        <v>0.91666666666666663</v>
      </c>
      <c r="V5536">
        <v>75.02</v>
      </c>
      <c r="X5536" s="42"/>
      <c r="AB5536">
        <v>73.3</v>
      </c>
      <c r="AC5536">
        <v>78.080000000000013</v>
      </c>
      <c r="AE5536" s="74"/>
      <c r="AF5536" s="77"/>
      <c r="AH5536" s="497">
        <v>68.900000000000006</v>
      </c>
      <c r="AJ5536" s="42"/>
      <c r="AK5536" s="74"/>
      <c r="AL5536" s="77"/>
      <c r="AN5536" s="497">
        <v>62.06</v>
      </c>
      <c r="AP5536" s="42"/>
      <c r="AQ5536" s="74"/>
      <c r="AR5536" s="77"/>
      <c r="AT5536" s="497">
        <v>66.02</v>
      </c>
      <c r="AV5536" s="42"/>
      <c r="AW5536" s="74"/>
      <c r="AX5536" s="77"/>
      <c r="BA5536" s="497">
        <v>57.019999999999996</v>
      </c>
      <c r="BB5536" s="42"/>
      <c r="BC5536" s="74"/>
      <c r="BD5536" s="77"/>
      <c r="BF5536">
        <v>71.06</v>
      </c>
      <c r="BH5536" s="42"/>
      <c r="BI5536" s="74"/>
      <c r="BJ5536" s="77"/>
      <c r="BL5536" s="497">
        <v>73.039999999999992</v>
      </c>
      <c r="BN5536" s="42"/>
      <c r="BO5536" s="74"/>
      <c r="BP5536" s="77"/>
      <c r="BR5536" s="497">
        <v>60.08</v>
      </c>
      <c r="BT5536" s="42"/>
    </row>
    <row r="5537" spans="1:72" x14ac:dyDescent="0.25">
      <c r="A5537" s="90">
        <v>34929</v>
      </c>
      <c r="B5537" s="20">
        <v>0.95833333333333337</v>
      </c>
      <c r="D5537">
        <v>69.080000000000013</v>
      </c>
      <c r="E5537" t="str">
        <f t="shared" si="208"/>
        <v>WEEKDAY</v>
      </c>
      <c r="F5537" t="e">
        <f t="shared" si="207"/>
        <v>#N/A</v>
      </c>
      <c r="G5537" s="74">
        <v>32007</v>
      </c>
      <c r="H5537" s="77">
        <v>0.95833333333333337</v>
      </c>
      <c r="J5537">
        <v>78.080000000000013</v>
      </c>
      <c r="M5537" s="74">
        <v>34564</v>
      </c>
      <c r="N5537" s="77">
        <v>0.95833333333333337</v>
      </c>
      <c r="P5537">
        <v>68.900000000000006</v>
      </c>
      <c r="S5537" s="74">
        <v>34929</v>
      </c>
      <c r="T5537" s="77">
        <v>0.95833333333333337</v>
      </c>
      <c r="V5537">
        <v>73.94</v>
      </c>
      <c r="X5537" s="42"/>
      <c r="AB5537">
        <v>72.8</v>
      </c>
      <c r="AC5537">
        <v>77</v>
      </c>
      <c r="AE5537" s="74"/>
      <c r="AF5537" s="77"/>
      <c r="AH5537" s="497">
        <v>68.900000000000006</v>
      </c>
      <c r="AJ5537" s="42"/>
      <c r="AK5537" s="74"/>
      <c r="AL5537" s="77"/>
      <c r="AN5537" s="497">
        <v>60.980000000000004</v>
      </c>
      <c r="AP5537" s="42"/>
      <c r="AQ5537" s="74"/>
      <c r="AR5537" s="77"/>
      <c r="AT5537" s="497">
        <v>64.94</v>
      </c>
      <c r="AV5537" s="42"/>
      <c r="AW5537" s="74"/>
      <c r="AX5537" s="77"/>
      <c r="BA5537" s="497">
        <v>60.08</v>
      </c>
      <c r="BB5537" s="42"/>
      <c r="BC5537" s="74"/>
      <c r="BD5537" s="77"/>
      <c r="BF5537">
        <v>71.06</v>
      </c>
      <c r="BH5537" s="42"/>
      <c r="BI5537" s="74"/>
      <c r="BJ5537" s="77"/>
      <c r="BL5537" s="497">
        <v>71.960000000000008</v>
      </c>
      <c r="BN5537" s="42"/>
      <c r="BO5537" s="74"/>
      <c r="BP5537" s="77"/>
      <c r="BR5537" s="497">
        <v>59</v>
      </c>
      <c r="BT5537" s="42"/>
    </row>
    <row r="5538" spans="1:72" x14ac:dyDescent="0.25">
      <c r="A5538" s="90">
        <v>34929</v>
      </c>
      <c r="B5538" s="20">
        <v>1</v>
      </c>
      <c r="D5538">
        <v>66.92</v>
      </c>
      <c r="E5538" t="str">
        <f t="shared" si="208"/>
        <v>WEEKDAY</v>
      </c>
      <c r="F5538" t="e">
        <f t="shared" si="207"/>
        <v>#N/A</v>
      </c>
      <c r="G5538" s="74">
        <v>32007</v>
      </c>
      <c r="H5538" s="77">
        <v>1</v>
      </c>
      <c r="J5538">
        <v>75.92</v>
      </c>
      <c r="M5538" s="74">
        <v>34564</v>
      </c>
      <c r="N5538" s="80">
        <v>1</v>
      </c>
      <c r="P5538">
        <v>68</v>
      </c>
      <c r="S5538" s="74">
        <v>34929</v>
      </c>
      <c r="T5538" s="80">
        <v>1</v>
      </c>
      <c r="V5538">
        <v>73.039999999999992</v>
      </c>
      <c r="X5538" s="42"/>
      <c r="AB5538">
        <v>72.2</v>
      </c>
      <c r="AC5538">
        <v>75.92</v>
      </c>
      <c r="AE5538" s="74"/>
      <c r="AF5538" s="80"/>
      <c r="AH5538" s="497">
        <v>68.900000000000006</v>
      </c>
      <c r="AJ5538" s="42"/>
      <c r="AK5538" s="74"/>
      <c r="AL5538" s="80"/>
      <c r="AN5538" s="497">
        <v>60.08</v>
      </c>
      <c r="AP5538" s="42"/>
      <c r="AQ5538" s="74"/>
      <c r="AR5538" s="80"/>
      <c r="AT5538" s="497">
        <v>62.06</v>
      </c>
      <c r="AV5538" s="42"/>
      <c r="AW5538" s="74"/>
      <c r="AX5538" s="80"/>
      <c r="BA5538" s="497">
        <v>60.08</v>
      </c>
      <c r="BB5538" s="42"/>
      <c r="BC5538" s="74"/>
      <c r="BD5538" s="80"/>
      <c r="BF5538">
        <v>69.98</v>
      </c>
      <c r="BH5538" s="42"/>
      <c r="BI5538" s="74"/>
      <c r="BJ5538" s="80"/>
      <c r="BL5538" s="497">
        <v>66.02</v>
      </c>
      <c r="BN5538" s="42"/>
      <c r="BO5538" s="74"/>
      <c r="BP5538" s="80"/>
      <c r="BR5538" s="497">
        <v>59</v>
      </c>
      <c r="BT5538" s="42"/>
    </row>
    <row r="5539" spans="1:72" x14ac:dyDescent="0.25">
      <c r="A5539" s="90">
        <v>34930</v>
      </c>
      <c r="B5539" s="20">
        <v>4.1666666666666664E-2</v>
      </c>
      <c r="D5539">
        <v>66.92</v>
      </c>
      <c r="E5539" t="str">
        <f t="shared" si="208"/>
        <v>SATURDAY</v>
      </c>
      <c r="F5539" t="e">
        <f t="shared" si="207"/>
        <v>#N/A</v>
      </c>
      <c r="G5539" s="74">
        <v>32008</v>
      </c>
      <c r="H5539" s="77">
        <v>4.1666666666666664E-2</v>
      </c>
      <c r="J5539">
        <v>75.02</v>
      </c>
      <c r="M5539" s="74">
        <v>34565</v>
      </c>
      <c r="N5539" s="77">
        <v>4.1666666666666664E-2</v>
      </c>
      <c r="P5539">
        <v>68</v>
      </c>
      <c r="S5539" s="74">
        <v>34930</v>
      </c>
      <c r="T5539" s="77">
        <v>4.1666666666666664E-2</v>
      </c>
      <c r="V5539">
        <v>71.06</v>
      </c>
      <c r="X5539" s="42"/>
      <c r="AB5539">
        <v>71.5</v>
      </c>
      <c r="AC5539">
        <v>75.02</v>
      </c>
      <c r="AE5539" s="74"/>
      <c r="AF5539" s="77"/>
      <c r="AH5539" s="497">
        <v>68.900000000000006</v>
      </c>
      <c r="AJ5539" s="42"/>
      <c r="AK5539" s="74"/>
      <c r="AL5539" s="77"/>
      <c r="AN5539" s="497">
        <v>59</v>
      </c>
      <c r="AP5539" s="42"/>
      <c r="AQ5539" s="74"/>
      <c r="AR5539" s="77"/>
      <c r="AT5539" s="497">
        <v>59</v>
      </c>
      <c r="AV5539" s="42"/>
      <c r="AW5539" s="74"/>
      <c r="AX5539" s="77"/>
      <c r="BA5539" s="497">
        <v>60.08</v>
      </c>
      <c r="BB5539" s="42"/>
      <c r="BC5539" s="74"/>
      <c r="BD5539" s="77"/>
      <c r="BF5539">
        <v>71.06</v>
      </c>
      <c r="BH5539" s="42"/>
      <c r="BI5539" s="74"/>
      <c r="BJ5539" s="77"/>
      <c r="BL5539" s="497">
        <v>64.039999999999992</v>
      </c>
      <c r="BN5539" s="42"/>
      <c r="BO5539" s="74"/>
      <c r="BP5539" s="77"/>
      <c r="BR5539" s="497">
        <v>57.92</v>
      </c>
      <c r="BT5539" s="42"/>
    </row>
    <row r="5540" spans="1:72" x14ac:dyDescent="0.25">
      <c r="A5540" s="90">
        <v>34930</v>
      </c>
      <c r="B5540" s="20">
        <v>8.3333333333333329E-2</v>
      </c>
      <c r="D5540">
        <v>64.039999999999992</v>
      </c>
      <c r="E5540" t="str">
        <f t="shared" si="208"/>
        <v>SATURDAY</v>
      </c>
      <c r="F5540" t="e">
        <f t="shared" si="207"/>
        <v>#N/A</v>
      </c>
      <c r="G5540" s="74">
        <v>32008</v>
      </c>
      <c r="H5540" s="77">
        <v>8.3333333333333329E-2</v>
      </c>
      <c r="J5540">
        <v>73.94</v>
      </c>
      <c r="M5540" s="74">
        <v>34565</v>
      </c>
      <c r="N5540" s="77">
        <v>8.3333333333333329E-2</v>
      </c>
      <c r="P5540">
        <v>66.92</v>
      </c>
      <c r="S5540" s="74">
        <v>34930</v>
      </c>
      <c r="T5540" s="77">
        <v>8.3333333333333329E-2</v>
      </c>
      <c r="V5540">
        <v>71.06</v>
      </c>
      <c r="X5540" s="42"/>
      <c r="AB5540">
        <v>70.900000000000006</v>
      </c>
      <c r="AC5540">
        <v>75.92</v>
      </c>
      <c r="AE5540" s="74"/>
      <c r="AF5540" s="77"/>
      <c r="AH5540" s="497">
        <v>68.900000000000006</v>
      </c>
      <c r="AJ5540" s="42"/>
      <c r="AK5540" s="74"/>
      <c r="AL5540" s="77"/>
      <c r="AN5540" s="497">
        <v>60.08</v>
      </c>
      <c r="AP5540" s="42"/>
      <c r="AQ5540" s="74"/>
      <c r="AR5540" s="77"/>
      <c r="AT5540" s="497">
        <v>55.94</v>
      </c>
      <c r="AV5540" s="42"/>
      <c r="AW5540" s="74"/>
      <c r="AX5540" s="77"/>
      <c r="BA5540" s="497">
        <v>59</v>
      </c>
      <c r="BB5540" s="42"/>
      <c r="BC5540" s="74"/>
      <c r="BD5540" s="77"/>
      <c r="BF5540">
        <v>68</v>
      </c>
      <c r="BH5540" s="42"/>
      <c r="BI5540" s="74"/>
      <c r="BJ5540" s="77"/>
      <c r="BL5540" s="497">
        <v>64.039999999999992</v>
      </c>
      <c r="BN5540" s="42"/>
      <c r="BO5540" s="74"/>
      <c r="BP5540" s="77"/>
      <c r="BR5540" s="497">
        <v>55.94</v>
      </c>
      <c r="BT5540" s="42"/>
    </row>
    <row r="5541" spans="1:72" x14ac:dyDescent="0.25">
      <c r="A5541" s="90">
        <v>34930</v>
      </c>
      <c r="B5541" s="20">
        <v>0.125</v>
      </c>
      <c r="D5541">
        <v>62.96</v>
      </c>
      <c r="E5541" t="str">
        <f t="shared" si="208"/>
        <v>SATURDAY</v>
      </c>
      <c r="F5541" t="e">
        <f t="shared" si="207"/>
        <v>#N/A</v>
      </c>
      <c r="G5541" s="74">
        <v>32008</v>
      </c>
      <c r="H5541" s="77">
        <v>0.125</v>
      </c>
      <c r="J5541">
        <v>73.039999999999992</v>
      </c>
      <c r="M5541" s="74">
        <v>34565</v>
      </c>
      <c r="N5541" s="77">
        <v>0.125</v>
      </c>
      <c r="P5541">
        <v>66.92</v>
      </c>
      <c r="S5541" s="74">
        <v>34930</v>
      </c>
      <c r="T5541" s="77">
        <v>0.125</v>
      </c>
      <c r="V5541">
        <v>69.080000000000013</v>
      </c>
      <c r="X5541" s="42"/>
      <c r="AB5541">
        <v>70.5</v>
      </c>
      <c r="AC5541">
        <v>75.92</v>
      </c>
      <c r="AE5541" s="74"/>
      <c r="AF5541" s="77"/>
      <c r="AH5541" s="497">
        <v>68.900000000000006</v>
      </c>
      <c r="AJ5541" s="42"/>
      <c r="AK5541" s="74"/>
      <c r="AL5541" s="77"/>
      <c r="AN5541" s="497">
        <v>60.980000000000004</v>
      </c>
      <c r="AP5541" s="42"/>
      <c r="AQ5541" s="74"/>
      <c r="AR5541" s="77"/>
      <c r="AT5541" s="497">
        <v>55.040000000000006</v>
      </c>
      <c r="AV5541" s="42"/>
      <c r="AW5541" s="74"/>
      <c r="AX5541" s="77"/>
      <c r="BA5541" s="497">
        <v>57.92</v>
      </c>
      <c r="BB5541" s="42"/>
      <c r="BC5541" s="74"/>
      <c r="BD5541" s="77"/>
      <c r="BF5541">
        <v>69.080000000000013</v>
      </c>
      <c r="BH5541" s="42"/>
      <c r="BI5541" s="74"/>
      <c r="BJ5541" s="77"/>
      <c r="BL5541" s="497">
        <v>64.039999999999992</v>
      </c>
      <c r="BN5541" s="42"/>
      <c r="BO5541" s="74"/>
      <c r="BP5541" s="77"/>
      <c r="BR5541" s="497">
        <v>55.040000000000006</v>
      </c>
      <c r="BT5541" s="42"/>
    </row>
    <row r="5542" spans="1:72" x14ac:dyDescent="0.25">
      <c r="A5542" s="90">
        <v>34930</v>
      </c>
      <c r="B5542" s="20">
        <v>0.16666666666666666</v>
      </c>
      <c r="D5542">
        <v>62.06</v>
      </c>
      <c r="E5542" t="str">
        <f t="shared" si="208"/>
        <v>SATURDAY</v>
      </c>
      <c r="F5542" t="e">
        <f t="shared" si="207"/>
        <v>#N/A</v>
      </c>
      <c r="G5542" s="74">
        <v>32008</v>
      </c>
      <c r="H5542" s="77">
        <v>0.16666666666666666</v>
      </c>
      <c r="J5542">
        <v>71.960000000000008</v>
      </c>
      <c r="M5542" s="74">
        <v>34565</v>
      </c>
      <c r="N5542" s="77">
        <v>0.16666666666666666</v>
      </c>
      <c r="P5542">
        <v>66.92</v>
      </c>
      <c r="S5542" s="74">
        <v>34930</v>
      </c>
      <c r="T5542" s="77">
        <v>0.16666666666666666</v>
      </c>
      <c r="V5542">
        <v>68</v>
      </c>
      <c r="X5542" s="42"/>
      <c r="AB5542">
        <v>70</v>
      </c>
      <c r="AC5542">
        <v>75.02</v>
      </c>
      <c r="AE5542" s="74"/>
      <c r="AF5542" s="77"/>
      <c r="AH5542" s="497">
        <v>68.900000000000006</v>
      </c>
      <c r="AJ5542" s="42"/>
      <c r="AK5542" s="74"/>
      <c r="AL5542" s="77"/>
      <c r="AN5542" s="497">
        <v>60.08</v>
      </c>
      <c r="AP5542" s="42"/>
      <c r="AQ5542" s="74"/>
      <c r="AR5542" s="77"/>
      <c r="AT5542" s="497">
        <v>55.040000000000006</v>
      </c>
      <c r="AV5542" s="42"/>
      <c r="AW5542" s="74"/>
      <c r="AX5542" s="77"/>
      <c r="BA5542" s="497">
        <v>55.94</v>
      </c>
      <c r="BB5542" s="42"/>
      <c r="BC5542" s="74"/>
      <c r="BD5542" s="77"/>
      <c r="BF5542">
        <v>69.080000000000013</v>
      </c>
      <c r="BH5542" s="42"/>
      <c r="BI5542" s="74"/>
      <c r="BJ5542" s="77"/>
      <c r="BL5542" s="497">
        <v>64.039999999999992</v>
      </c>
      <c r="BN5542" s="42"/>
      <c r="BO5542" s="74"/>
      <c r="BP5542" s="77"/>
      <c r="BR5542" s="497">
        <v>55.040000000000006</v>
      </c>
      <c r="BT5542" s="42"/>
    </row>
    <row r="5543" spans="1:72" x14ac:dyDescent="0.25">
      <c r="A5543" s="90">
        <v>34930</v>
      </c>
      <c r="B5543" s="20">
        <v>0.20833333333333334</v>
      </c>
      <c r="D5543">
        <v>60.980000000000004</v>
      </c>
      <c r="E5543" t="str">
        <f t="shared" si="208"/>
        <v>SATURDAY</v>
      </c>
      <c r="F5543" t="e">
        <f t="shared" si="207"/>
        <v>#N/A</v>
      </c>
      <c r="G5543" s="74">
        <v>32008</v>
      </c>
      <c r="H5543" s="77">
        <v>0.20833333333333334</v>
      </c>
      <c r="J5543">
        <v>69.98</v>
      </c>
      <c r="M5543" s="74">
        <v>34565</v>
      </c>
      <c r="N5543" s="77">
        <v>0.20833333333333334</v>
      </c>
      <c r="P5543">
        <v>66.92</v>
      </c>
      <c r="S5543" s="74">
        <v>34930</v>
      </c>
      <c r="T5543" s="77">
        <v>0.20833333333333334</v>
      </c>
      <c r="V5543">
        <v>66.92</v>
      </c>
      <c r="X5543" s="42"/>
      <c r="AB5543">
        <v>69.5</v>
      </c>
      <c r="AC5543">
        <v>73.94</v>
      </c>
      <c r="AE5543" s="74"/>
      <c r="AF5543" s="77"/>
      <c r="AH5543" s="497">
        <v>68.900000000000006</v>
      </c>
      <c r="AJ5543" s="42"/>
      <c r="AK5543" s="74"/>
      <c r="AL5543" s="77"/>
      <c r="AN5543" s="497">
        <v>60.980000000000004</v>
      </c>
      <c r="AP5543" s="42"/>
      <c r="AQ5543" s="74"/>
      <c r="AR5543" s="77"/>
      <c r="AT5543" s="497">
        <v>57.92</v>
      </c>
      <c r="AV5543" s="42"/>
      <c r="AW5543" s="74"/>
      <c r="AX5543" s="77"/>
      <c r="BA5543" s="497">
        <v>55.94</v>
      </c>
      <c r="BB5543" s="42"/>
      <c r="BC5543" s="74"/>
      <c r="BD5543" s="77"/>
      <c r="BF5543">
        <v>69.080000000000013</v>
      </c>
      <c r="BH5543" s="42"/>
      <c r="BI5543" s="74"/>
      <c r="BJ5543" s="77"/>
      <c r="BL5543" s="497">
        <v>64.039999999999992</v>
      </c>
      <c r="BN5543" s="42"/>
      <c r="BO5543" s="74"/>
      <c r="BP5543" s="77"/>
      <c r="BR5543" s="497">
        <v>55.040000000000006</v>
      </c>
      <c r="BT5543" s="42"/>
    </row>
    <row r="5544" spans="1:72" x14ac:dyDescent="0.25">
      <c r="A5544" s="90">
        <v>34930</v>
      </c>
      <c r="B5544" s="20">
        <v>0.25</v>
      </c>
      <c r="D5544">
        <v>60.980000000000004</v>
      </c>
      <c r="E5544" t="str">
        <f t="shared" si="208"/>
        <v>SATURDAY</v>
      </c>
      <c r="F5544" t="e">
        <f t="shared" si="207"/>
        <v>#N/A</v>
      </c>
      <c r="G5544" s="74">
        <v>32008</v>
      </c>
      <c r="H5544" s="77">
        <v>0.25</v>
      </c>
      <c r="J5544">
        <v>71.960000000000008</v>
      </c>
      <c r="M5544" s="74">
        <v>34565</v>
      </c>
      <c r="N5544" s="77">
        <v>0.25</v>
      </c>
      <c r="P5544">
        <v>66.92</v>
      </c>
      <c r="S5544" s="74">
        <v>34930</v>
      </c>
      <c r="T5544" s="77">
        <v>0.25</v>
      </c>
      <c r="V5544">
        <v>68</v>
      </c>
      <c r="X5544" s="42"/>
      <c r="AB5544">
        <v>69.2</v>
      </c>
      <c r="AC5544">
        <v>73.94</v>
      </c>
      <c r="AE5544" s="74"/>
      <c r="AF5544" s="77"/>
      <c r="AH5544" s="497">
        <v>68.900000000000006</v>
      </c>
      <c r="AJ5544" s="42"/>
      <c r="AK5544" s="74"/>
      <c r="AL5544" s="77"/>
      <c r="AN5544" s="497">
        <v>60.980000000000004</v>
      </c>
      <c r="AP5544" s="42"/>
      <c r="AQ5544" s="74"/>
      <c r="AR5544" s="77"/>
      <c r="AT5544" s="497">
        <v>60.08</v>
      </c>
      <c r="AV5544" s="42"/>
      <c r="AW5544" s="74"/>
      <c r="AX5544" s="77"/>
      <c r="BA5544" s="497">
        <v>55.94</v>
      </c>
      <c r="BB5544" s="42"/>
      <c r="BC5544" s="74"/>
      <c r="BD5544" s="77"/>
      <c r="BF5544">
        <v>66.02</v>
      </c>
      <c r="BH5544" s="42"/>
      <c r="BI5544" s="74"/>
      <c r="BJ5544" s="77"/>
      <c r="BL5544" s="497">
        <v>62.96</v>
      </c>
      <c r="BN5544" s="42"/>
      <c r="BO5544" s="74"/>
      <c r="BP5544" s="77"/>
      <c r="BR5544" s="497">
        <v>60.08</v>
      </c>
      <c r="BT5544" s="42"/>
    </row>
    <row r="5545" spans="1:72" x14ac:dyDescent="0.25">
      <c r="A5545" s="90">
        <v>34930</v>
      </c>
      <c r="B5545" s="20">
        <v>0.29166666666666669</v>
      </c>
      <c r="D5545">
        <v>62.06</v>
      </c>
      <c r="E5545" t="str">
        <f t="shared" si="208"/>
        <v>SATURDAY</v>
      </c>
      <c r="F5545" t="e">
        <f t="shared" si="207"/>
        <v>#N/A</v>
      </c>
      <c r="G5545" s="74">
        <v>32008</v>
      </c>
      <c r="H5545" s="77">
        <v>0.29166666666666669</v>
      </c>
      <c r="J5545">
        <v>73.94</v>
      </c>
      <c r="M5545" s="74">
        <v>34565</v>
      </c>
      <c r="N5545" s="77">
        <v>0.29166666666666669</v>
      </c>
      <c r="P5545">
        <v>68</v>
      </c>
      <c r="S5545" s="74">
        <v>34930</v>
      </c>
      <c r="T5545" s="77">
        <v>0.29166666666666669</v>
      </c>
      <c r="V5545">
        <v>69.98</v>
      </c>
      <c r="X5545" s="42"/>
      <c r="AB5545">
        <v>69.7</v>
      </c>
      <c r="AC5545">
        <v>77</v>
      </c>
      <c r="AE5545" s="74"/>
      <c r="AF5545" s="77"/>
      <c r="AH5545" s="497">
        <v>68.900000000000006</v>
      </c>
      <c r="AJ5545" s="42"/>
      <c r="AK5545" s="74"/>
      <c r="AL5545" s="77"/>
      <c r="AN5545" s="497">
        <v>62.96</v>
      </c>
      <c r="AP5545" s="42"/>
      <c r="AQ5545" s="74"/>
      <c r="AR5545" s="77"/>
      <c r="AT5545" s="497">
        <v>60.980000000000004</v>
      </c>
      <c r="AV5545" s="42"/>
      <c r="AW5545" s="74"/>
      <c r="AX5545" s="77"/>
      <c r="BA5545" s="497">
        <v>60.08</v>
      </c>
      <c r="BB5545" s="42"/>
      <c r="BC5545" s="74"/>
      <c r="BD5545" s="77"/>
      <c r="BF5545">
        <v>66.02</v>
      </c>
      <c r="BH5545" s="42"/>
      <c r="BI5545" s="74"/>
      <c r="BJ5545" s="77"/>
      <c r="BL5545" s="497">
        <v>62.96</v>
      </c>
      <c r="BN5545" s="42"/>
      <c r="BO5545" s="74"/>
      <c r="BP5545" s="77"/>
      <c r="BR5545" s="497">
        <v>62.96</v>
      </c>
      <c r="BT5545" s="42"/>
    </row>
    <row r="5546" spans="1:72" x14ac:dyDescent="0.25">
      <c r="A5546" s="90">
        <v>34930</v>
      </c>
      <c r="B5546" s="20">
        <v>0.33333333333333331</v>
      </c>
      <c r="D5546">
        <v>62.06</v>
      </c>
      <c r="E5546" t="str">
        <f t="shared" si="208"/>
        <v>SATURDAY</v>
      </c>
      <c r="F5546" t="e">
        <f t="shared" si="207"/>
        <v>#N/A</v>
      </c>
      <c r="G5546" s="74">
        <v>32008</v>
      </c>
      <c r="H5546" s="77">
        <v>0.33333333333333331</v>
      </c>
      <c r="J5546">
        <v>75.02</v>
      </c>
      <c r="M5546" s="74">
        <v>34565</v>
      </c>
      <c r="N5546" s="77">
        <v>0.33333333333333331</v>
      </c>
      <c r="P5546">
        <v>68.900000000000006</v>
      </c>
      <c r="S5546" s="74">
        <v>34930</v>
      </c>
      <c r="T5546" s="77">
        <v>0.33333333333333331</v>
      </c>
      <c r="V5546">
        <v>71.960000000000008</v>
      </c>
      <c r="X5546" s="42"/>
      <c r="AB5546">
        <v>71.599999999999994</v>
      </c>
      <c r="AC5546">
        <v>78.98</v>
      </c>
      <c r="AE5546" s="74"/>
      <c r="AF5546" s="77"/>
      <c r="AH5546" s="497">
        <v>68.900000000000006</v>
      </c>
      <c r="AJ5546" s="42"/>
      <c r="AK5546" s="74"/>
      <c r="AL5546" s="77"/>
      <c r="AN5546" s="497">
        <v>64.94</v>
      </c>
      <c r="AP5546" s="42"/>
      <c r="AQ5546" s="74"/>
      <c r="AR5546" s="77"/>
      <c r="AT5546" s="497">
        <v>69.080000000000013</v>
      </c>
      <c r="AV5546" s="42"/>
      <c r="AW5546" s="74"/>
      <c r="AX5546" s="77"/>
      <c r="BA5546" s="497">
        <v>62.06</v>
      </c>
      <c r="BB5546" s="42"/>
      <c r="BC5546" s="74"/>
      <c r="BD5546" s="77"/>
      <c r="BF5546">
        <v>68</v>
      </c>
      <c r="BH5546" s="42"/>
      <c r="BI5546" s="74"/>
      <c r="BJ5546" s="77"/>
      <c r="BL5546" s="497">
        <v>62.96</v>
      </c>
      <c r="BN5546" s="42"/>
      <c r="BO5546" s="74"/>
      <c r="BP5546" s="77"/>
      <c r="BR5546" s="497">
        <v>69.080000000000013</v>
      </c>
      <c r="BT5546" s="42"/>
    </row>
    <row r="5547" spans="1:72" x14ac:dyDescent="0.25">
      <c r="A5547" s="90">
        <v>34930</v>
      </c>
      <c r="B5547" s="20">
        <v>0.375</v>
      </c>
      <c r="D5547">
        <v>64.039999999999992</v>
      </c>
      <c r="E5547" t="str">
        <f t="shared" si="208"/>
        <v>SATURDAY</v>
      </c>
      <c r="F5547" t="e">
        <f t="shared" ref="F5547:F5610" si="209">IF(E5547="WEEKDAY",VLOOKUP(B5547,$DD$19:$DG$42,2),IF(E5547="SATURDAY",VLOOKUP(B5547,$DD$19:$DG$42,3),VLOOKUP(B5547,$DD$19:$DG$42,4)))</f>
        <v>#N/A</v>
      </c>
      <c r="G5547" s="74">
        <v>32008</v>
      </c>
      <c r="H5547" s="77">
        <v>0.375</v>
      </c>
      <c r="J5547">
        <v>78.080000000000013</v>
      </c>
      <c r="M5547" s="74">
        <v>34565</v>
      </c>
      <c r="N5547" s="77">
        <v>0.375</v>
      </c>
      <c r="P5547">
        <v>68.900000000000006</v>
      </c>
      <c r="S5547" s="74">
        <v>34930</v>
      </c>
      <c r="T5547" s="77">
        <v>0.375</v>
      </c>
      <c r="V5547">
        <v>73.039999999999992</v>
      </c>
      <c r="X5547" s="42"/>
      <c r="AB5547">
        <v>73.599999999999994</v>
      </c>
      <c r="AC5547">
        <v>80.960000000000008</v>
      </c>
      <c r="AE5547" s="74"/>
      <c r="AF5547" s="77"/>
      <c r="AH5547" s="497">
        <v>69.98</v>
      </c>
      <c r="AJ5547" s="42"/>
      <c r="AK5547" s="74"/>
      <c r="AL5547" s="77"/>
      <c r="AN5547" s="497">
        <v>66.92</v>
      </c>
      <c r="AP5547" s="42"/>
      <c r="AQ5547" s="74"/>
      <c r="AR5547" s="77"/>
      <c r="AT5547" s="497">
        <v>68</v>
      </c>
      <c r="AV5547" s="42"/>
      <c r="AW5547" s="74"/>
      <c r="AX5547" s="77"/>
      <c r="BA5547" s="497">
        <v>64.039999999999992</v>
      </c>
      <c r="BB5547" s="42"/>
      <c r="BC5547" s="74"/>
      <c r="BD5547" s="77"/>
      <c r="BF5547">
        <v>69.98</v>
      </c>
      <c r="BH5547" s="42"/>
      <c r="BI5547" s="74"/>
      <c r="BJ5547" s="77"/>
      <c r="BL5547" s="497">
        <v>60.08</v>
      </c>
      <c r="BN5547" s="42"/>
      <c r="BO5547" s="74"/>
      <c r="BP5547" s="77"/>
      <c r="BR5547" s="497">
        <v>75.02</v>
      </c>
      <c r="BT5547" s="42"/>
    </row>
    <row r="5548" spans="1:72" x14ac:dyDescent="0.25">
      <c r="A5548" s="90">
        <v>34930</v>
      </c>
      <c r="B5548" s="20">
        <v>0.41666666666666669</v>
      </c>
      <c r="D5548">
        <v>64.94</v>
      </c>
      <c r="E5548" t="str">
        <f t="shared" si="208"/>
        <v>SATURDAY</v>
      </c>
      <c r="F5548" t="e">
        <f t="shared" si="209"/>
        <v>#N/A</v>
      </c>
      <c r="G5548" s="74">
        <v>32008</v>
      </c>
      <c r="H5548" s="77">
        <v>0.41666666666666669</v>
      </c>
      <c r="J5548">
        <v>80.960000000000008</v>
      </c>
      <c r="M5548" s="74">
        <v>34565</v>
      </c>
      <c r="N5548" s="77">
        <v>0.41666666666666669</v>
      </c>
      <c r="P5548">
        <v>68</v>
      </c>
      <c r="S5548" s="74">
        <v>34930</v>
      </c>
      <c r="T5548" s="77">
        <v>0.41666666666666669</v>
      </c>
      <c r="V5548">
        <v>75.92</v>
      </c>
      <c r="X5548" s="42"/>
      <c r="AB5548">
        <v>75.5</v>
      </c>
      <c r="AC5548">
        <v>84.02</v>
      </c>
      <c r="AE5548" s="74"/>
      <c r="AF5548" s="77"/>
      <c r="AH5548" s="497">
        <v>70.88</v>
      </c>
      <c r="AJ5548" s="42"/>
      <c r="AK5548" s="74"/>
      <c r="AL5548" s="77"/>
      <c r="AN5548" s="497">
        <v>69.080000000000013</v>
      </c>
      <c r="AP5548" s="42"/>
      <c r="AQ5548" s="74"/>
      <c r="AR5548" s="77"/>
      <c r="AT5548" s="497">
        <v>69.98</v>
      </c>
      <c r="AV5548" s="42"/>
      <c r="AW5548" s="74"/>
      <c r="AX5548" s="77"/>
      <c r="BA5548" s="497">
        <v>66.02</v>
      </c>
      <c r="BB5548" s="42"/>
      <c r="BC5548" s="74"/>
      <c r="BD5548" s="77"/>
      <c r="BF5548">
        <v>71.960000000000008</v>
      </c>
      <c r="BH5548" s="42"/>
      <c r="BI5548" s="74"/>
      <c r="BJ5548" s="77"/>
      <c r="BL5548" s="497">
        <v>60.08</v>
      </c>
      <c r="BN5548" s="42"/>
      <c r="BO5548" s="74"/>
      <c r="BP5548" s="77"/>
      <c r="BR5548" s="497">
        <v>71.960000000000008</v>
      </c>
      <c r="BT5548" s="42"/>
    </row>
    <row r="5549" spans="1:72" x14ac:dyDescent="0.25">
      <c r="A5549" s="90">
        <v>34930</v>
      </c>
      <c r="B5549" s="20">
        <v>0.45833333333333331</v>
      </c>
      <c r="D5549">
        <v>66.92</v>
      </c>
      <c r="E5549" t="str">
        <f t="shared" si="208"/>
        <v>SATURDAY</v>
      </c>
      <c r="F5549" t="e">
        <f t="shared" si="209"/>
        <v>#N/A</v>
      </c>
      <c r="G5549" s="74">
        <v>32008</v>
      </c>
      <c r="H5549" s="77">
        <v>0.45833333333333331</v>
      </c>
      <c r="J5549">
        <v>82.94</v>
      </c>
      <c r="M5549" s="74">
        <v>34565</v>
      </c>
      <c r="N5549" s="77">
        <v>0.45833333333333331</v>
      </c>
      <c r="P5549">
        <v>68.900000000000006</v>
      </c>
      <c r="S5549" s="74">
        <v>34930</v>
      </c>
      <c r="T5549" s="77">
        <v>0.45833333333333331</v>
      </c>
      <c r="V5549">
        <v>78.98</v>
      </c>
      <c r="X5549" s="42"/>
      <c r="AB5549">
        <v>77.2</v>
      </c>
      <c r="AC5549">
        <v>87.080000000000013</v>
      </c>
      <c r="AE5549" s="74"/>
      <c r="AF5549" s="77"/>
      <c r="AH5549" s="497">
        <v>71.960000000000008</v>
      </c>
      <c r="AJ5549" s="42"/>
      <c r="AK5549" s="74"/>
      <c r="AL5549" s="77"/>
      <c r="AN5549" s="497">
        <v>71.960000000000008</v>
      </c>
      <c r="AP5549" s="42"/>
      <c r="AQ5549" s="74"/>
      <c r="AR5549" s="77"/>
      <c r="AT5549" s="497">
        <v>73.039999999999992</v>
      </c>
      <c r="AV5549" s="42"/>
      <c r="AW5549" s="74"/>
      <c r="AX5549" s="77"/>
      <c r="BA5549" s="497">
        <v>66.02</v>
      </c>
      <c r="BB5549" s="42"/>
      <c r="BC5549" s="74"/>
      <c r="BD5549" s="77"/>
      <c r="BF5549">
        <v>73.94</v>
      </c>
      <c r="BH5549" s="42"/>
      <c r="BI5549" s="74"/>
      <c r="BJ5549" s="77"/>
      <c r="BL5549" s="497">
        <v>60.980000000000004</v>
      </c>
      <c r="BN5549" s="42"/>
      <c r="BO5549" s="74"/>
      <c r="BP5549" s="77"/>
      <c r="BR5549" s="497">
        <v>75.02</v>
      </c>
      <c r="BT5549" s="42"/>
    </row>
    <row r="5550" spans="1:72" x14ac:dyDescent="0.25">
      <c r="A5550" s="90">
        <v>34930</v>
      </c>
      <c r="B5550" s="20">
        <v>0.5</v>
      </c>
      <c r="D5550">
        <v>69.080000000000013</v>
      </c>
      <c r="E5550" t="str">
        <f t="shared" si="208"/>
        <v>SATURDAY</v>
      </c>
      <c r="F5550" t="e">
        <f t="shared" si="209"/>
        <v>#N/A</v>
      </c>
      <c r="G5550" s="74">
        <v>32008</v>
      </c>
      <c r="H5550" s="77">
        <v>0.5</v>
      </c>
      <c r="J5550">
        <v>84.92</v>
      </c>
      <c r="M5550" s="74">
        <v>34565</v>
      </c>
      <c r="N5550" s="77">
        <v>0.5</v>
      </c>
      <c r="P5550">
        <v>69.98</v>
      </c>
      <c r="S5550" s="74">
        <v>34930</v>
      </c>
      <c r="T5550" s="77">
        <v>0.5</v>
      </c>
      <c r="V5550">
        <v>80.960000000000008</v>
      </c>
      <c r="X5550" s="42"/>
      <c r="AB5550">
        <v>78.400000000000006</v>
      </c>
      <c r="AC5550">
        <v>87.98</v>
      </c>
      <c r="AE5550" s="74"/>
      <c r="AF5550" s="77"/>
      <c r="AH5550" s="497">
        <v>73.94</v>
      </c>
      <c r="AJ5550" s="42"/>
      <c r="AK5550" s="74"/>
      <c r="AL5550" s="77"/>
      <c r="AN5550" s="497">
        <v>75.92</v>
      </c>
      <c r="AP5550" s="42"/>
      <c r="AQ5550" s="74"/>
      <c r="AR5550" s="77"/>
      <c r="AT5550" s="497">
        <v>73.94</v>
      </c>
      <c r="AV5550" s="42"/>
      <c r="AW5550" s="74"/>
      <c r="AX5550" s="77"/>
      <c r="BA5550" s="497">
        <v>68</v>
      </c>
      <c r="BB5550" s="42"/>
      <c r="BC5550" s="74"/>
      <c r="BD5550" s="77"/>
      <c r="BF5550">
        <v>75.02</v>
      </c>
      <c r="BH5550" s="42"/>
      <c r="BI5550" s="74"/>
      <c r="BJ5550" s="77"/>
      <c r="BL5550" s="497">
        <v>60.980000000000004</v>
      </c>
      <c r="BN5550" s="42"/>
      <c r="BO5550" s="74"/>
      <c r="BP5550" s="77"/>
      <c r="BR5550" s="497">
        <v>80.06</v>
      </c>
      <c r="BT5550" s="42"/>
    </row>
    <row r="5551" spans="1:72" x14ac:dyDescent="0.25">
      <c r="A5551" s="90">
        <v>34930</v>
      </c>
      <c r="B5551" s="20">
        <v>0.54166666666666663</v>
      </c>
      <c r="D5551">
        <v>69.98</v>
      </c>
      <c r="E5551" t="str">
        <f t="shared" si="208"/>
        <v>SATURDAY</v>
      </c>
      <c r="F5551" t="e">
        <f t="shared" si="209"/>
        <v>#N/A</v>
      </c>
      <c r="G5551" s="74">
        <v>32008</v>
      </c>
      <c r="H5551" s="77">
        <v>0.54166666666666663</v>
      </c>
      <c r="J5551">
        <v>86</v>
      </c>
      <c r="M5551" s="74">
        <v>34565</v>
      </c>
      <c r="N5551" s="77">
        <v>0.54166666666666663</v>
      </c>
      <c r="P5551">
        <v>70.88</v>
      </c>
      <c r="S5551" s="74">
        <v>34930</v>
      </c>
      <c r="T5551" s="77">
        <v>0.54166666666666663</v>
      </c>
      <c r="V5551">
        <v>80.960000000000008</v>
      </c>
      <c r="X5551" s="42"/>
      <c r="AB5551">
        <v>79.2</v>
      </c>
      <c r="AC5551">
        <v>89.960000000000008</v>
      </c>
      <c r="AE5551" s="74"/>
      <c r="AF5551" s="77"/>
      <c r="AH5551" s="497">
        <v>74.84</v>
      </c>
      <c r="AJ5551" s="42"/>
      <c r="AK5551" s="74"/>
      <c r="AL5551" s="77"/>
      <c r="AN5551" s="497">
        <v>73.94</v>
      </c>
      <c r="AP5551" s="42"/>
      <c r="AQ5551" s="74"/>
      <c r="AR5551" s="77"/>
      <c r="AT5551" s="497">
        <v>75.92</v>
      </c>
      <c r="AV5551" s="42"/>
      <c r="AW5551" s="74"/>
      <c r="AX5551" s="77"/>
      <c r="BA5551" s="497">
        <v>68</v>
      </c>
      <c r="BB5551" s="42"/>
      <c r="BC5551" s="74"/>
      <c r="BD5551" s="77"/>
      <c r="BF5551">
        <v>75.02</v>
      </c>
      <c r="BH5551" s="42"/>
      <c r="BI5551" s="74"/>
      <c r="BJ5551" s="77"/>
      <c r="BL5551" s="497">
        <v>60.980000000000004</v>
      </c>
      <c r="BN5551" s="42"/>
      <c r="BO5551" s="74"/>
      <c r="BP5551" s="77"/>
      <c r="BR5551" s="497">
        <v>80.960000000000008</v>
      </c>
      <c r="BT5551" s="42"/>
    </row>
    <row r="5552" spans="1:72" x14ac:dyDescent="0.25">
      <c r="A5552" s="90">
        <v>34930</v>
      </c>
      <c r="B5552" s="20">
        <v>0.58333333333333337</v>
      </c>
      <c r="D5552">
        <v>71.06</v>
      </c>
      <c r="E5552" t="str">
        <f t="shared" si="208"/>
        <v>SATURDAY</v>
      </c>
      <c r="F5552" t="e">
        <f t="shared" si="209"/>
        <v>#N/A</v>
      </c>
      <c r="G5552" s="74">
        <v>32008</v>
      </c>
      <c r="H5552" s="77">
        <v>0.58333333333333337</v>
      </c>
      <c r="J5552">
        <v>87.080000000000013</v>
      </c>
      <c r="M5552" s="74">
        <v>34565</v>
      </c>
      <c r="N5552" s="77">
        <v>0.58333333333333337</v>
      </c>
      <c r="P5552">
        <v>70.88</v>
      </c>
      <c r="S5552" s="74">
        <v>34930</v>
      </c>
      <c r="T5552" s="77">
        <v>0.58333333333333337</v>
      </c>
      <c r="V5552">
        <v>82.94</v>
      </c>
      <c r="X5552" s="42"/>
      <c r="AB5552">
        <v>79.7</v>
      </c>
      <c r="AC5552">
        <v>89.960000000000008</v>
      </c>
      <c r="AE5552" s="74"/>
      <c r="AF5552" s="77"/>
      <c r="AH5552" s="497">
        <v>73.94</v>
      </c>
      <c r="AJ5552" s="42"/>
      <c r="AK5552" s="74"/>
      <c r="AL5552" s="77"/>
      <c r="AN5552" s="497">
        <v>78.98</v>
      </c>
      <c r="AP5552" s="42"/>
      <c r="AQ5552" s="74"/>
      <c r="AR5552" s="77"/>
      <c r="AT5552" s="497">
        <v>77</v>
      </c>
      <c r="AV5552" s="42"/>
      <c r="AW5552" s="74"/>
      <c r="AX5552" s="77"/>
      <c r="BA5552" s="497">
        <v>69.98</v>
      </c>
      <c r="BB5552" s="42"/>
      <c r="BC5552" s="74"/>
      <c r="BD5552" s="77"/>
      <c r="BF5552">
        <v>75.02</v>
      </c>
      <c r="BH5552" s="42"/>
      <c r="BI5552" s="74"/>
      <c r="BJ5552" s="77"/>
      <c r="BL5552" s="497">
        <v>62.06</v>
      </c>
      <c r="BN5552" s="42"/>
      <c r="BO5552" s="74"/>
      <c r="BP5552" s="77"/>
      <c r="BR5552" s="497">
        <v>84.02</v>
      </c>
      <c r="BT5552" s="42"/>
    </row>
    <row r="5553" spans="1:72" x14ac:dyDescent="0.25">
      <c r="A5553" s="90">
        <v>34930</v>
      </c>
      <c r="B5553" s="20">
        <v>0.625</v>
      </c>
      <c r="D5553">
        <v>71.960000000000008</v>
      </c>
      <c r="E5553" t="str">
        <f t="shared" si="208"/>
        <v>SATURDAY</v>
      </c>
      <c r="F5553" t="e">
        <f t="shared" si="209"/>
        <v>#N/A</v>
      </c>
      <c r="G5553" s="74">
        <v>32008</v>
      </c>
      <c r="H5553" s="77">
        <v>0.625</v>
      </c>
      <c r="J5553">
        <v>87.98</v>
      </c>
      <c r="M5553" s="74">
        <v>34565</v>
      </c>
      <c r="N5553" s="77">
        <v>0.625</v>
      </c>
      <c r="P5553">
        <v>69.98</v>
      </c>
      <c r="S5553" s="74">
        <v>34930</v>
      </c>
      <c r="T5553" s="77">
        <v>0.625</v>
      </c>
      <c r="V5553">
        <v>84.02</v>
      </c>
      <c r="X5553" s="42"/>
      <c r="AB5553">
        <v>79.8</v>
      </c>
      <c r="AC5553">
        <v>87.080000000000013</v>
      </c>
      <c r="AE5553" s="74"/>
      <c r="AF5553" s="77"/>
      <c r="AH5553" s="497">
        <v>75.92</v>
      </c>
      <c r="AJ5553" s="42"/>
      <c r="AK5553" s="74"/>
      <c r="AL5553" s="77"/>
      <c r="AN5553" s="497">
        <v>78.98</v>
      </c>
      <c r="AP5553" s="42"/>
      <c r="AQ5553" s="74"/>
      <c r="AR5553" s="77"/>
      <c r="AT5553" s="497">
        <v>75.92</v>
      </c>
      <c r="AV5553" s="42"/>
      <c r="AW5553" s="74"/>
      <c r="AX5553" s="77"/>
      <c r="BA5553" s="497">
        <v>69.080000000000013</v>
      </c>
      <c r="BB5553" s="42"/>
      <c r="BC5553" s="74"/>
      <c r="BD5553" s="77"/>
      <c r="BF5553">
        <v>73.94</v>
      </c>
      <c r="BH5553" s="42"/>
      <c r="BI5553" s="74"/>
      <c r="BJ5553" s="77"/>
      <c r="BL5553" s="497">
        <v>62.06</v>
      </c>
      <c r="BN5553" s="42"/>
      <c r="BO5553" s="74"/>
      <c r="BP5553" s="77"/>
      <c r="BR5553" s="497">
        <v>86</v>
      </c>
      <c r="BT5553" s="42"/>
    </row>
    <row r="5554" spans="1:72" x14ac:dyDescent="0.25">
      <c r="A5554" s="90">
        <v>34930</v>
      </c>
      <c r="B5554" s="20">
        <v>0.66666666666666663</v>
      </c>
      <c r="D5554">
        <v>71.960000000000008</v>
      </c>
      <c r="E5554" t="str">
        <f t="shared" si="208"/>
        <v>SATURDAY</v>
      </c>
      <c r="F5554" t="e">
        <f t="shared" si="209"/>
        <v>#N/A</v>
      </c>
      <c r="G5554" s="74">
        <v>32008</v>
      </c>
      <c r="H5554" s="77">
        <v>0.66666666666666663</v>
      </c>
      <c r="J5554">
        <v>87.080000000000013</v>
      </c>
      <c r="M5554" s="74">
        <v>34565</v>
      </c>
      <c r="N5554" s="77">
        <v>0.66666666666666663</v>
      </c>
      <c r="P5554">
        <v>69.98</v>
      </c>
      <c r="S5554" s="74">
        <v>34930</v>
      </c>
      <c r="T5554" s="77">
        <v>0.66666666666666663</v>
      </c>
      <c r="V5554">
        <v>80.960000000000008</v>
      </c>
      <c r="X5554" s="42"/>
      <c r="AB5554">
        <v>79.400000000000006</v>
      </c>
      <c r="AC5554">
        <v>87.98</v>
      </c>
      <c r="AE5554" s="74"/>
      <c r="AF5554" s="77"/>
      <c r="AH5554" s="497">
        <v>77</v>
      </c>
      <c r="AJ5554" s="42"/>
      <c r="AK5554" s="74"/>
      <c r="AL5554" s="77"/>
      <c r="AN5554" s="497">
        <v>78.98</v>
      </c>
      <c r="AP5554" s="42"/>
      <c r="AQ5554" s="74"/>
      <c r="AR5554" s="77"/>
      <c r="AT5554" s="497">
        <v>75.92</v>
      </c>
      <c r="AV5554" s="42"/>
      <c r="AW5554" s="74"/>
      <c r="AX5554" s="77"/>
      <c r="BA5554" s="497">
        <v>68</v>
      </c>
      <c r="BB5554" s="42"/>
      <c r="BC5554" s="74"/>
      <c r="BD5554" s="77"/>
      <c r="BF5554">
        <v>73.039999999999992</v>
      </c>
      <c r="BH5554" s="42"/>
      <c r="BI5554" s="74"/>
      <c r="BJ5554" s="77"/>
      <c r="BL5554" s="497">
        <v>60.980000000000004</v>
      </c>
      <c r="BN5554" s="42"/>
      <c r="BO5554" s="74"/>
      <c r="BP5554" s="77"/>
      <c r="BR5554" s="497">
        <v>89.06</v>
      </c>
      <c r="BT5554" s="42"/>
    </row>
    <row r="5555" spans="1:72" x14ac:dyDescent="0.25">
      <c r="A5555" s="90">
        <v>34930</v>
      </c>
      <c r="B5555" s="20">
        <v>0.70833333333333337</v>
      </c>
      <c r="D5555">
        <v>71.960000000000008</v>
      </c>
      <c r="E5555" t="str">
        <f t="shared" si="208"/>
        <v>SATURDAY</v>
      </c>
      <c r="F5555" t="e">
        <f t="shared" si="209"/>
        <v>#N/A</v>
      </c>
      <c r="G5555" s="74">
        <v>32008</v>
      </c>
      <c r="H5555" s="77">
        <v>0.70833333333333337</v>
      </c>
      <c r="J5555">
        <v>86</v>
      </c>
      <c r="M5555" s="74">
        <v>34565</v>
      </c>
      <c r="N5555" s="77">
        <v>0.70833333333333337</v>
      </c>
      <c r="P5555">
        <v>68</v>
      </c>
      <c r="S5555" s="74">
        <v>34930</v>
      </c>
      <c r="T5555" s="77">
        <v>0.70833333333333337</v>
      </c>
      <c r="V5555">
        <v>77</v>
      </c>
      <c r="X5555" s="42"/>
      <c r="AB5555">
        <v>78.599999999999994</v>
      </c>
      <c r="AC5555">
        <v>86</v>
      </c>
      <c r="AE5555" s="74"/>
      <c r="AF5555" s="77"/>
      <c r="AH5555" s="497">
        <v>75.92</v>
      </c>
      <c r="AJ5555" s="42"/>
      <c r="AK5555" s="74"/>
      <c r="AL5555" s="77"/>
      <c r="AN5555" s="497">
        <v>78.080000000000013</v>
      </c>
      <c r="AP5555" s="42"/>
      <c r="AQ5555" s="74"/>
      <c r="AR5555" s="77"/>
      <c r="AT5555" s="497">
        <v>75.92</v>
      </c>
      <c r="AV5555" s="42"/>
      <c r="AW5555" s="74"/>
      <c r="AX5555" s="77"/>
      <c r="BA5555" s="497">
        <v>64.039999999999992</v>
      </c>
      <c r="BB5555" s="42"/>
      <c r="BC5555" s="74"/>
      <c r="BD5555" s="77"/>
      <c r="BF5555">
        <v>71.960000000000008</v>
      </c>
      <c r="BH5555" s="42"/>
      <c r="BI5555" s="74"/>
      <c r="BJ5555" s="77"/>
      <c r="BL5555" s="497">
        <v>62.96</v>
      </c>
      <c r="BN5555" s="42"/>
      <c r="BO5555" s="74"/>
      <c r="BP5555" s="77"/>
      <c r="BR5555" s="497">
        <v>89.06</v>
      </c>
      <c r="BT5555" s="42"/>
    </row>
    <row r="5556" spans="1:72" x14ac:dyDescent="0.25">
      <c r="A5556" s="90">
        <v>34930</v>
      </c>
      <c r="B5556" s="20">
        <v>0.75</v>
      </c>
      <c r="D5556">
        <v>71.06</v>
      </c>
      <c r="E5556" t="str">
        <f t="shared" si="208"/>
        <v>SATURDAY</v>
      </c>
      <c r="F5556" t="e">
        <f t="shared" si="209"/>
        <v>#N/A</v>
      </c>
      <c r="G5556" s="74">
        <v>32008</v>
      </c>
      <c r="H5556" s="77">
        <v>0.75</v>
      </c>
      <c r="J5556">
        <v>82.94</v>
      </c>
      <c r="M5556" s="74">
        <v>34565</v>
      </c>
      <c r="N5556" s="77">
        <v>0.75</v>
      </c>
      <c r="P5556">
        <v>68.900000000000006</v>
      </c>
      <c r="S5556" s="74">
        <v>34930</v>
      </c>
      <c r="T5556" s="77">
        <v>0.75</v>
      </c>
      <c r="V5556">
        <v>73.94</v>
      </c>
      <c r="X5556" s="42"/>
      <c r="AB5556">
        <v>77.5</v>
      </c>
      <c r="AC5556">
        <v>82.039999999999992</v>
      </c>
      <c r="AE5556" s="74"/>
      <c r="AF5556" s="77"/>
      <c r="AH5556" s="497">
        <v>74.84</v>
      </c>
      <c r="AJ5556" s="42"/>
      <c r="AK5556" s="74"/>
      <c r="AL5556" s="77"/>
      <c r="AN5556" s="497">
        <v>75.92</v>
      </c>
      <c r="AP5556" s="42"/>
      <c r="AQ5556" s="74"/>
      <c r="AR5556" s="77"/>
      <c r="AT5556" s="497">
        <v>75.02</v>
      </c>
      <c r="AV5556" s="42"/>
      <c r="AW5556" s="74"/>
      <c r="AX5556" s="77"/>
      <c r="BA5556" s="497">
        <v>64.039999999999992</v>
      </c>
      <c r="BB5556" s="42"/>
      <c r="BC5556" s="74"/>
      <c r="BD5556" s="77"/>
      <c r="BF5556">
        <v>69.98</v>
      </c>
      <c r="BH5556" s="42"/>
      <c r="BI5556" s="74"/>
      <c r="BJ5556" s="77"/>
      <c r="BL5556" s="497">
        <v>62.96</v>
      </c>
      <c r="BN5556" s="42"/>
      <c r="BO5556" s="74"/>
      <c r="BP5556" s="77"/>
      <c r="BR5556" s="497">
        <v>86</v>
      </c>
      <c r="BT5556" s="42"/>
    </row>
    <row r="5557" spans="1:72" x14ac:dyDescent="0.25">
      <c r="A5557" s="90">
        <v>34930</v>
      </c>
      <c r="B5557" s="20">
        <v>0.79166666666666663</v>
      </c>
      <c r="D5557">
        <v>69.98</v>
      </c>
      <c r="E5557" t="str">
        <f t="shared" si="208"/>
        <v>SATURDAY</v>
      </c>
      <c r="F5557" t="e">
        <f t="shared" si="209"/>
        <v>#N/A</v>
      </c>
      <c r="G5557" s="74">
        <v>32008</v>
      </c>
      <c r="H5557" s="77">
        <v>0.79166666666666663</v>
      </c>
      <c r="J5557">
        <v>80.960000000000008</v>
      </c>
      <c r="M5557" s="74">
        <v>34565</v>
      </c>
      <c r="N5557" s="77">
        <v>0.79166666666666663</v>
      </c>
      <c r="P5557">
        <v>67.64</v>
      </c>
      <c r="S5557" s="74">
        <v>34930</v>
      </c>
      <c r="T5557" s="77">
        <v>0.79166666666666663</v>
      </c>
      <c r="V5557">
        <v>71.960000000000008</v>
      </c>
      <c r="X5557" s="42"/>
      <c r="AB5557">
        <v>76</v>
      </c>
      <c r="AC5557">
        <v>78.98</v>
      </c>
      <c r="AE5557" s="74"/>
      <c r="AF5557" s="77"/>
      <c r="AH5557" s="497">
        <v>71.960000000000008</v>
      </c>
      <c r="AJ5557" s="42"/>
      <c r="AK5557" s="74"/>
      <c r="AL5557" s="77"/>
      <c r="AN5557" s="497">
        <v>73.94</v>
      </c>
      <c r="AP5557" s="42"/>
      <c r="AQ5557" s="74"/>
      <c r="AR5557" s="77"/>
      <c r="AT5557" s="497">
        <v>73.039999999999992</v>
      </c>
      <c r="AV5557" s="42"/>
      <c r="AW5557" s="74"/>
      <c r="AX5557" s="77"/>
      <c r="BA5557" s="497">
        <v>62.06</v>
      </c>
      <c r="BB5557" s="42"/>
      <c r="BC5557" s="74"/>
      <c r="BD5557" s="77"/>
      <c r="BF5557">
        <v>69.080000000000013</v>
      </c>
      <c r="BH5557" s="42"/>
      <c r="BI5557" s="74"/>
      <c r="BJ5557" s="77"/>
      <c r="BL5557" s="497">
        <v>62.96</v>
      </c>
      <c r="BN5557" s="42"/>
      <c r="BO5557" s="74"/>
      <c r="BP5557" s="77"/>
      <c r="BR5557" s="497">
        <v>78.080000000000013</v>
      </c>
      <c r="BT5557" s="42"/>
    </row>
    <row r="5558" spans="1:72" x14ac:dyDescent="0.25">
      <c r="A5558" s="90">
        <v>34930</v>
      </c>
      <c r="B5558" s="20">
        <v>0.83333333333333337</v>
      </c>
      <c r="D5558">
        <v>69.080000000000013</v>
      </c>
      <c r="E5558" t="str">
        <f t="shared" si="208"/>
        <v>SATURDAY</v>
      </c>
      <c r="F5558" t="e">
        <f t="shared" si="209"/>
        <v>#N/A</v>
      </c>
      <c r="G5558" s="74">
        <v>32008</v>
      </c>
      <c r="H5558" s="77">
        <v>0.83333333333333337</v>
      </c>
      <c r="J5558">
        <v>78.98</v>
      </c>
      <c r="M5558" s="74">
        <v>34565</v>
      </c>
      <c r="N5558" s="77">
        <v>0.83333333333333337</v>
      </c>
      <c r="P5558">
        <v>66.92</v>
      </c>
      <c r="S5558" s="74">
        <v>34930</v>
      </c>
      <c r="T5558" s="77">
        <v>0.83333333333333337</v>
      </c>
      <c r="V5558">
        <v>71.960000000000008</v>
      </c>
      <c r="X5558" s="42"/>
      <c r="AB5558">
        <v>74.599999999999994</v>
      </c>
      <c r="AC5558">
        <v>77</v>
      </c>
      <c r="AE5558" s="74"/>
      <c r="AF5558" s="77"/>
      <c r="AH5558" s="497">
        <v>70.88</v>
      </c>
      <c r="AJ5558" s="42"/>
      <c r="AK5558" s="74"/>
      <c r="AL5558" s="77"/>
      <c r="AN5558" s="497">
        <v>69.98</v>
      </c>
      <c r="AP5558" s="42"/>
      <c r="AQ5558" s="74"/>
      <c r="AR5558" s="77"/>
      <c r="AT5558" s="497">
        <v>69.98</v>
      </c>
      <c r="AV5558" s="42"/>
      <c r="AW5558" s="74"/>
      <c r="AX5558" s="77"/>
      <c r="BA5558" s="497">
        <v>57.019999999999996</v>
      </c>
      <c r="BB5558" s="42"/>
      <c r="BC5558" s="74"/>
      <c r="BD5558" s="77"/>
      <c r="BF5558">
        <v>68</v>
      </c>
      <c r="BH5558" s="42"/>
      <c r="BI5558" s="74"/>
      <c r="BJ5558" s="77"/>
      <c r="BL5558" s="497">
        <v>62.96</v>
      </c>
      <c r="BN5558" s="42"/>
      <c r="BO5558" s="74"/>
      <c r="BP5558" s="77"/>
      <c r="BR5558" s="497">
        <v>77</v>
      </c>
      <c r="BT5558" s="42"/>
    </row>
    <row r="5559" spans="1:72" x14ac:dyDescent="0.25">
      <c r="A5559" s="90">
        <v>34930</v>
      </c>
      <c r="B5559" s="20">
        <v>0.875</v>
      </c>
      <c r="D5559">
        <v>68</v>
      </c>
      <c r="E5559" t="str">
        <f t="shared" si="208"/>
        <v>SATURDAY</v>
      </c>
      <c r="F5559" t="e">
        <f t="shared" si="209"/>
        <v>#N/A</v>
      </c>
      <c r="G5559" s="74">
        <v>32008</v>
      </c>
      <c r="H5559" s="77">
        <v>0.875</v>
      </c>
      <c r="J5559">
        <v>78.98</v>
      </c>
      <c r="M5559" s="74">
        <v>34565</v>
      </c>
      <c r="N5559" s="77">
        <v>0.875</v>
      </c>
      <c r="P5559">
        <v>66.92</v>
      </c>
      <c r="S5559" s="74">
        <v>34930</v>
      </c>
      <c r="T5559" s="77">
        <v>0.875</v>
      </c>
      <c r="V5559">
        <v>69.98</v>
      </c>
      <c r="X5559" s="42"/>
      <c r="AB5559">
        <v>73.8</v>
      </c>
      <c r="AC5559">
        <v>77</v>
      </c>
      <c r="AE5559" s="74"/>
      <c r="AF5559" s="77"/>
      <c r="AH5559" s="497">
        <v>69.98</v>
      </c>
      <c r="AJ5559" s="42"/>
      <c r="AK5559" s="74"/>
      <c r="AL5559" s="77"/>
      <c r="AN5559" s="497">
        <v>69.080000000000013</v>
      </c>
      <c r="AP5559" s="42"/>
      <c r="AQ5559" s="74"/>
      <c r="AR5559" s="77"/>
      <c r="AT5559" s="497">
        <v>69.98</v>
      </c>
      <c r="AV5559" s="42"/>
      <c r="AW5559" s="74"/>
      <c r="AX5559" s="77"/>
      <c r="BA5559" s="497">
        <v>55.94</v>
      </c>
      <c r="BB5559" s="42"/>
      <c r="BC5559" s="74"/>
      <c r="BD5559" s="77"/>
      <c r="BF5559">
        <v>66.02</v>
      </c>
      <c r="BH5559" s="42"/>
      <c r="BI5559" s="74"/>
      <c r="BJ5559" s="77"/>
      <c r="BL5559" s="497">
        <v>62.06</v>
      </c>
      <c r="BN5559" s="42"/>
      <c r="BO5559" s="74"/>
      <c r="BP5559" s="77"/>
      <c r="BR5559" s="497">
        <v>78.98</v>
      </c>
      <c r="BT5559" s="42"/>
    </row>
    <row r="5560" spans="1:72" x14ac:dyDescent="0.25">
      <c r="A5560" s="90">
        <v>34930</v>
      </c>
      <c r="B5560" s="20">
        <v>0.91666666666666663</v>
      </c>
      <c r="D5560">
        <v>68</v>
      </c>
      <c r="E5560" t="str">
        <f t="shared" si="208"/>
        <v>SATURDAY</v>
      </c>
      <c r="F5560" t="e">
        <f t="shared" si="209"/>
        <v>#N/A</v>
      </c>
      <c r="G5560" s="74">
        <v>32008</v>
      </c>
      <c r="H5560" s="77">
        <v>0.91666666666666663</v>
      </c>
      <c r="J5560">
        <v>78.98</v>
      </c>
      <c r="M5560" s="74">
        <v>34565</v>
      </c>
      <c r="N5560" s="77">
        <v>0.91666666666666663</v>
      </c>
      <c r="P5560">
        <v>65.84</v>
      </c>
      <c r="S5560" s="74">
        <v>34930</v>
      </c>
      <c r="T5560" s="77">
        <v>0.91666666666666663</v>
      </c>
      <c r="V5560">
        <v>68</v>
      </c>
      <c r="X5560" s="42"/>
      <c r="AB5560">
        <v>73.3</v>
      </c>
      <c r="AC5560">
        <v>75.92</v>
      </c>
      <c r="AE5560" s="74"/>
      <c r="AF5560" s="77"/>
      <c r="AH5560" s="497">
        <v>68</v>
      </c>
      <c r="AJ5560" s="42"/>
      <c r="AK5560" s="74"/>
      <c r="AL5560" s="77"/>
      <c r="AN5560" s="497">
        <v>68</v>
      </c>
      <c r="AP5560" s="42"/>
      <c r="AQ5560" s="74"/>
      <c r="AR5560" s="77"/>
      <c r="AT5560" s="497">
        <v>69.98</v>
      </c>
      <c r="AV5560" s="42"/>
      <c r="AW5560" s="74"/>
      <c r="AX5560" s="77"/>
      <c r="BA5560" s="497">
        <v>57.019999999999996</v>
      </c>
      <c r="BB5560" s="42"/>
      <c r="BC5560" s="74"/>
      <c r="BD5560" s="77"/>
      <c r="BF5560">
        <v>66.02</v>
      </c>
      <c r="BH5560" s="42"/>
      <c r="BI5560" s="74"/>
      <c r="BJ5560" s="77"/>
      <c r="BL5560" s="497">
        <v>62.06</v>
      </c>
      <c r="BN5560" s="42"/>
      <c r="BO5560" s="74"/>
      <c r="BP5560" s="77"/>
      <c r="BR5560" s="497">
        <v>69.98</v>
      </c>
      <c r="BT5560" s="42"/>
    </row>
    <row r="5561" spans="1:72" x14ac:dyDescent="0.25">
      <c r="A5561" s="90">
        <v>34930</v>
      </c>
      <c r="B5561" s="20">
        <v>0.95833333333333337</v>
      </c>
      <c r="D5561">
        <v>66.92</v>
      </c>
      <c r="E5561" t="str">
        <f t="shared" si="208"/>
        <v>SATURDAY</v>
      </c>
      <c r="F5561" t="e">
        <f t="shared" si="209"/>
        <v>#N/A</v>
      </c>
      <c r="G5561" s="74">
        <v>32008</v>
      </c>
      <c r="H5561" s="77">
        <v>0.95833333333333337</v>
      </c>
      <c r="J5561">
        <v>78.080000000000013</v>
      </c>
      <c r="M5561" s="74">
        <v>34565</v>
      </c>
      <c r="N5561" s="77">
        <v>0.95833333333333337</v>
      </c>
      <c r="P5561">
        <v>65.84</v>
      </c>
      <c r="S5561" s="74">
        <v>34930</v>
      </c>
      <c r="T5561" s="77">
        <v>0.95833333333333337</v>
      </c>
      <c r="V5561">
        <v>66.92</v>
      </c>
      <c r="X5561" s="42"/>
      <c r="AB5561">
        <v>72.7</v>
      </c>
      <c r="AC5561">
        <v>75.02</v>
      </c>
      <c r="AE5561" s="74"/>
      <c r="AF5561" s="77"/>
      <c r="AH5561" s="497">
        <v>68.900000000000006</v>
      </c>
      <c r="AJ5561" s="42"/>
      <c r="AK5561" s="74"/>
      <c r="AL5561" s="77"/>
      <c r="AN5561" s="497">
        <v>64.94</v>
      </c>
      <c r="AP5561" s="42"/>
      <c r="AQ5561" s="74"/>
      <c r="AR5561" s="77"/>
      <c r="AT5561" s="497">
        <v>69.98</v>
      </c>
      <c r="AV5561" s="42"/>
      <c r="AW5561" s="74"/>
      <c r="AX5561" s="77"/>
      <c r="BA5561" s="497">
        <v>55.040000000000006</v>
      </c>
      <c r="BB5561" s="42"/>
      <c r="BC5561" s="74"/>
      <c r="BD5561" s="77"/>
      <c r="BF5561">
        <v>66.02</v>
      </c>
      <c r="BH5561" s="42"/>
      <c r="BI5561" s="74"/>
      <c r="BJ5561" s="77"/>
      <c r="BL5561" s="497">
        <v>62.06</v>
      </c>
      <c r="BN5561" s="42"/>
      <c r="BO5561" s="74"/>
      <c r="BP5561" s="77"/>
      <c r="BR5561" s="497">
        <v>69.080000000000013</v>
      </c>
      <c r="BT5561" s="42"/>
    </row>
    <row r="5562" spans="1:72" x14ac:dyDescent="0.25">
      <c r="A5562" s="90">
        <v>34930</v>
      </c>
      <c r="B5562" s="20">
        <v>1</v>
      </c>
      <c r="D5562">
        <v>66.02</v>
      </c>
      <c r="E5562" t="str">
        <f t="shared" si="208"/>
        <v>SATURDAY</v>
      </c>
      <c r="F5562" t="e">
        <f t="shared" si="209"/>
        <v>#N/A</v>
      </c>
      <c r="G5562" s="74">
        <v>32008</v>
      </c>
      <c r="H5562" s="77">
        <v>1</v>
      </c>
      <c r="J5562">
        <v>73.039999999999992</v>
      </c>
      <c r="M5562" s="74">
        <v>34565</v>
      </c>
      <c r="N5562" s="80">
        <v>1</v>
      </c>
      <c r="P5562">
        <v>65.84</v>
      </c>
      <c r="S5562" s="74">
        <v>34930</v>
      </c>
      <c r="T5562" s="80">
        <v>1</v>
      </c>
      <c r="V5562">
        <v>64.94</v>
      </c>
      <c r="X5562" s="42"/>
      <c r="AB5562">
        <v>72.2</v>
      </c>
      <c r="AC5562">
        <v>75.92</v>
      </c>
      <c r="AE5562" s="74"/>
      <c r="AF5562" s="80"/>
      <c r="AH5562" s="497">
        <v>69.259999999999991</v>
      </c>
      <c r="AJ5562" s="42"/>
      <c r="AK5562" s="74"/>
      <c r="AL5562" s="80"/>
      <c r="AN5562" s="497">
        <v>64.039999999999992</v>
      </c>
      <c r="AP5562" s="42"/>
      <c r="AQ5562" s="74"/>
      <c r="AR5562" s="80"/>
      <c r="AT5562" s="497">
        <v>69.080000000000013</v>
      </c>
      <c r="AV5562" s="42"/>
      <c r="AW5562" s="74"/>
      <c r="AX5562" s="80"/>
      <c r="BA5562" s="497">
        <v>53.06</v>
      </c>
      <c r="BB5562" s="42"/>
      <c r="BC5562" s="74"/>
      <c r="BD5562" s="80"/>
      <c r="BF5562">
        <v>64.039999999999992</v>
      </c>
      <c r="BH5562" s="42"/>
      <c r="BI5562" s="74"/>
      <c r="BJ5562" s="80"/>
      <c r="BL5562" s="497">
        <v>60.980000000000004</v>
      </c>
      <c r="BN5562" s="42"/>
      <c r="BO5562" s="74"/>
      <c r="BP5562" s="80"/>
      <c r="BR5562" s="497">
        <v>68</v>
      </c>
      <c r="BT5562" s="42"/>
    </row>
    <row r="5563" spans="1:72" x14ac:dyDescent="0.25">
      <c r="A5563" s="90">
        <v>34931</v>
      </c>
      <c r="B5563" s="20">
        <v>4.1666666666666664E-2</v>
      </c>
      <c r="D5563">
        <v>66.02</v>
      </c>
      <c r="E5563" t="str">
        <f t="shared" si="208"/>
        <v>SUNDAY</v>
      </c>
      <c r="F5563" t="e">
        <f t="shared" si="209"/>
        <v>#N/A</v>
      </c>
      <c r="G5563" s="74">
        <v>32009</v>
      </c>
      <c r="H5563" s="77">
        <v>4.1666666666666664E-2</v>
      </c>
      <c r="J5563">
        <v>71.960000000000008</v>
      </c>
      <c r="M5563" s="74">
        <v>34566</v>
      </c>
      <c r="N5563" s="77">
        <v>4.1666666666666664E-2</v>
      </c>
      <c r="P5563">
        <v>65.84</v>
      </c>
      <c r="S5563" s="74">
        <v>34931</v>
      </c>
      <c r="T5563" s="77">
        <v>4.1666666666666664E-2</v>
      </c>
      <c r="V5563">
        <v>62.96</v>
      </c>
      <c r="X5563" s="42"/>
      <c r="AB5563">
        <v>71.5</v>
      </c>
      <c r="AC5563">
        <v>75.92</v>
      </c>
      <c r="AE5563" s="74"/>
      <c r="AF5563" s="77"/>
      <c r="AH5563" s="497">
        <v>69.98</v>
      </c>
      <c r="AJ5563" s="42"/>
      <c r="AK5563" s="74"/>
      <c r="AL5563" s="77"/>
      <c r="AN5563" s="497">
        <v>62.96</v>
      </c>
      <c r="AP5563" s="42"/>
      <c r="AQ5563" s="74"/>
      <c r="AR5563" s="77"/>
      <c r="AT5563" s="497">
        <v>69.080000000000013</v>
      </c>
      <c r="AV5563" s="42"/>
      <c r="AW5563" s="74"/>
      <c r="AX5563" s="77"/>
      <c r="BA5563" s="497">
        <v>53.06</v>
      </c>
      <c r="BB5563" s="42"/>
      <c r="BC5563" s="74"/>
      <c r="BD5563" s="77"/>
      <c r="BF5563">
        <v>64.039999999999992</v>
      </c>
      <c r="BH5563" s="42"/>
      <c r="BI5563" s="74"/>
      <c r="BJ5563" s="77"/>
      <c r="BL5563" s="497">
        <v>60.980000000000004</v>
      </c>
      <c r="BN5563" s="42"/>
      <c r="BO5563" s="74"/>
      <c r="BP5563" s="77"/>
      <c r="BR5563" s="497">
        <v>66.92</v>
      </c>
      <c r="BT5563" s="42"/>
    </row>
    <row r="5564" spans="1:72" x14ac:dyDescent="0.25">
      <c r="A5564" s="90">
        <v>34931</v>
      </c>
      <c r="B5564" s="20">
        <v>8.3333333333333329E-2</v>
      </c>
      <c r="D5564">
        <v>64.94</v>
      </c>
      <c r="E5564" t="str">
        <f t="shared" si="208"/>
        <v>SUNDAY</v>
      </c>
      <c r="F5564" t="e">
        <f t="shared" si="209"/>
        <v>#N/A</v>
      </c>
      <c r="G5564" s="74">
        <v>32009</v>
      </c>
      <c r="H5564" s="77">
        <v>8.3333333333333329E-2</v>
      </c>
      <c r="J5564">
        <v>71.06</v>
      </c>
      <c r="M5564" s="74">
        <v>34566</v>
      </c>
      <c r="N5564" s="77">
        <v>8.3333333333333329E-2</v>
      </c>
      <c r="P5564">
        <v>64.94</v>
      </c>
      <c r="S5564" s="74">
        <v>34931</v>
      </c>
      <c r="T5564" s="77">
        <v>8.3333333333333329E-2</v>
      </c>
      <c r="V5564">
        <v>60.980000000000004</v>
      </c>
      <c r="X5564" s="42"/>
      <c r="AB5564">
        <v>70.8</v>
      </c>
      <c r="AC5564">
        <v>75.92</v>
      </c>
      <c r="AE5564" s="74"/>
      <c r="AF5564" s="77"/>
      <c r="AH5564" s="497">
        <v>66.92</v>
      </c>
      <c r="AJ5564" s="42"/>
      <c r="AK5564" s="74"/>
      <c r="AL5564" s="77"/>
      <c r="AN5564" s="497">
        <v>62.06</v>
      </c>
      <c r="AP5564" s="42"/>
      <c r="AQ5564" s="74"/>
      <c r="AR5564" s="77"/>
      <c r="AT5564" s="497">
        <v>68</v>
      </c>
      <c r="AV5564" s="42"/>
      <c r="AW5564" s="74"/>
      <c r="AX5564" s="77"/>
      <c r="BA5564" s="497">
        <v>51.980000000000004</v>
      </c>
      <c r="BB5564" s="42"/>
      <c r="BC5564" s="74"/>
      <c r="BD5564" s="77"/>
      <c r="BF5564">
        <v>62.96</v>
      </c>
      <c r="BH5564" s="42"/>
      <c r="BI5564" s="74"/>
      <c r="BJ5564" s="77"/>
      <c r="BL5564" s="497">
        <v>60.08</v>
      </c>
      <c r="BN5564" s="42"/>
      <c r="BO5564" s="74"/>
      <c r="BP5564" s="77"/>
      <c r="BR5564" s="497">
        <v>66.92</v>
      </c>
      <c r="BT5564" s="42"/>
    </row>
    <row r="5565" spans="1:72" x14ac:dyDescent="0.25">
      <c r="A5565" s="90">
        <v>34931</v>
      </c>
      <c r="B5565" s="20">
        <v>0.125</v>
      </c>
      <c r="D5565">
        <v>64.039999999999992</v>
      </c>
      <c r="E5565" t="str">
        <f t="shared" si="208"/>
        <v>SUNDAY</v>
      </c>
      <c r="F5565" t="e">
        <f t="shared" si="209"/>
        <v>#N/A</v>
      </c>
      <c r="G5565" s="74">
        <v>32009</v>
      </c>
      <c r="H5565" s="77">
        <v>0.125</v>
      </c>
      <c r="J5565">
        <v>71.06</v>
      </c>
      <c r="M5565" s="74">
        <v>34566</v>
      </c>
      <c r="N5565" s="77">
        <v>0.125</v>
      </c>
      <c r="P5565">
        <v>63.86</v>
      </c>
      <c r="S5565" s="74">
        <v>34931</v>
      </c>
      <c r="T5565" s="77">
        <v>0.125</v>
      </c>
      <c r="V5565">
        <v>60.08</v>
      </c>
      <c r="X5565" s="42"/>
      <c r="AB5565">
        <v>70.400000000000006</v>
      </c>
      <c r="AC5565">
        <v>75.92</v>
      </c>
      <c r="AE5565" s="74"/>
      <c r="AF5565" s="77"/>
      <c r="AH5565" s="497">
        <v>65.84</v>
      </c>
      <c r="AJ5565" s="42"/>
      <c r="AK5565" s="74"/>
      <c r="AL5565" s="77"/>
      <c r="AN5565" s="497">
        <v>60.980000000000004</v>
      </c>
      <c r="AP5565" s="42"/>
      <c r="AQ5565" s="74"/>
      <c r="AR5565" s="77"/>
      <c r="AT5565" s="497">
        <v>66.02</v>
      </c>
      <c r="AV5565" s="42"/>
      <c r="AW5565" s="74"/>
      <c r="AX5565" s="77"/>
      <c r="BA5565" s="497">
        <v>48.92</v>
      </c>
      <c r="BB5565" s="42"/>
      <c r="BC5565" s="74"/>
      <c r="BD5565" s="77"/>
      <c r="BF5565">
        <v>59</v>
      </c>
      <c r="BH5565" s="42"/>
      <c r="BI5565" s="74"/>
      <c r="BJ5565" s="77"/>
      <c r="BL5565" s="497">
        <v>60.08</v>
      </c>
      <c r="BN5565" s="42"/>
      <c r="BO5565" s="74"/>
      <c r="BP5565" s="77"/>
      <c r="BR5565" s="497">
        <v>66.02</v>
      </c>
      <c r="BT5565" s="42"/>
    </row>
    <row r="5566" spans="1:72" x14ac:dyDescent="0.25">
      <c r="A5566" s="90">
        <v>34931</v>
      </c>
      <c r="B5566" s="20">
        <v>0.16666666666666666</v>
      </c>
      <c r="D5566">
        <v>64.039999999999992</v>
      </c>
      <c r="E5566" t="str">
        <f t="shared" si="208"/>
        <v>SUNDAY</v>
      </c>
      <c r="F5566" t="e">
        <f t="shared" si="209"/>
        <v>#N/A</v>
      </c>
      <c r="G5566" s="74">
        <v>32009</v>
      </c>
      <c r="H5566" s="77">
        <v>0.16666666666666666</v>
      </c>
      <c r="J5566">
        <v>71.06</v>
      </c>
      <c r="M5566" s="74">
        <v>34566</v>
      </c>
      <c r="N5566" s="77">
        <v>0.16666666666666666</v>
      </c>
      <c r="P5566">
        <v>62.96</v>
      </c>
      <c r="S5566" s="74">
        <v>34931</v>
      </c>
      <c r="T5566" s="77">
        <v>0.16666666666666666</v>
      </c>
      <c r="V5566">
        <v>60.980000000000004</v>
      </c>
      <c r="X5566" s="42"/>
      <c r="AB5566">
        <v>69.900000000000006</v>
      </c>
      <c r="AC5566">
        <v>75.92</v>
      </c>
      <c r="AE5566" s="74"/>
      <c r="AF5566" s="77"/>
      <c r="AH5566" s="497">
        <v>64.94</v>
      </c>
      <c r="AJ5566" s="42"/>
      <c r="AK5566" s="74"/>
      <c r="AL5566" s="77"/>
      <c r="AN5566" s="497">
        <v>60.980000000000004</v>
      </c>
      <c r="AP5566" s="42"/>
      <c r="AQ5566" s="74"/>
      <c r="AR5566" s="77"/>
      <c r="AT5566" s="497">
        <v>64.94</v>
      </c>
      <c r="AV5566" s="42"/>
      <c r="AW5566" s="74"/>
      <c r="AX5566" s="77"/>
      <c r="BA5566" s="497">
        <v>48.92</v>
      </c>
      <c r="BB5566" s="42"/>
      <c r="BC5566" s="74"/>
      <c r="BD5566" s="77"/>
      <c r="BF5566">
        <v>59</v>
      </c>
      <c r="BH5566" s="42"/>
      <c r="BI5566" s="74"/>
      <c r="BJ5566" s="77"/>
      <c r="BL5566" s="497">
        <v>60.08</v>
      </c>
      <c r="BN5566" s="42"/>
      <c r="BO5566" s="74"/>
      <c r="BP5566" s="77"/>
      <c r="BR5566" s="497">
        <v>66.02</v>
      </c>
      <c r="BT5566" s="42"/>
    </row>
    <row r="5567" spans="1:72" x14ac:dyDescent="0.25">
      <c r="A5567" s="90">
        <v>34931</v>
      </c>
      <c r="B5567" s="20">
        <v>0.20833333333333334</v>
      </c>
      <c r="D5567">
        <v>62.96</v>
      </c>
      <c r="E5567" t="str">
        <f t="shared" si="208"/>
        <v>SUNDAY</v>
      </c>
      <c r="F5567" t="e">
        <f t="shared" si="209"/>
        <v>#N/A</v>
      </c>
      <c r="G5567" s="74">
        <v>32009</v>
      </c>
      <c r="H5567" s="77">
        <v>0.20833333333333334</v>
      </c>
      <c r="J5567">
        <v>71.06</v>
      </c>
      <c r="M5567" s="74">
        <v>34566</v>
      </c>
      <c r="N5567" s="77">
        <v>0.20833333333333334</v>
      </c>
      <c r="P5567">
        <v>63.86</v>
      </c>
      <c r="S5567" s="74">
        <v>34931</v>
      </c>
      <c r="T5567" s="77">
        <v>0.20833333333333334</v>
      </c>
      <c r="V5567">
        <v>60.08</v>
      </c>
      <c r="X5567" s="42"/>
      <c r="AB5567">
        <v>69.400000000000006</v>
      </c>
      <c r="AC5567">
        <v>73.039999999999992</v>
      </c>
      <c r="AE5567" s="74"/>
      <c r="AF5567" s="77"/>
      <c r="AH5567" s="497">
        <v>63.86</v>
      </c>
      <c r="AJ5567" s="42"/>
      <c r="AK5567" s="74"/>
      <c r="AL5567" s="77"/>
      <c r="AN5567" s="497">
        <v>60.08</v>
      </c>
      <c r="AP5567" s="42"/>
      <c r="AQ5567" s="74"/>
      <c r="AR5567" s="77"/>
      <c r="AT5567" s="497">
        <v>64.94</v>
      </c>
      <c r="AV5567" s="42"/>
      <c r="AW5567" s="74"/>
      <c r="AX5567" s="77"/>
      <c r="BA5567" s="497">
        <v>48.92</v>
      </c>
      <c r="BB5567" s="42"/>
      <c r="BC5567" s="74"/>
      <c r="BD5567" s="77"/>
      <c r="BF5567">
        <v>57.92</v>
      </c>
      <c r="BH5567" s="42"/>
      <c r="BI5567" s="74"/>
      <c r="BJ5567" s="77"/>
      <c r="BL5567" s="497">
        <v>60.08</v>
      </c>
      <c r="BN5567" s="42"/>
      <c r="BO5567" s="74"/>
      <c r="BP5567" s="77"/>
      <c r="BR5567" s="497">
        <v>66.02</v>
      </c>
      <c r="BT5567" s="42"/>
    </row>
    <row r="5568" spans="1:72" x14ac:dyDescent="0.25">
      <c r="A5568" s="90">
        <v>34931</v>
      </c>
      <c r="B5568" s="20">
        <v>0.25</v>
      </c>
      <c r="D5568">
        <v>62.06</v>
      </c>
      <c r="E5568" t="str">
        <f t="shared" si="208"/>
        <v>SUNDAY</v>
      </c>
      <c r="F5568" t="e">
        <f t="shared" si="209"/>
        <v>#N/A</v>
      </c>
      <c r="G5568" s="74">
        <v>32009</v>
      </c>
      <c r="H5568" s="77">
        <v>0.25</v>
      </c>
      <c r="J5568">
        <v>71.06</v>
      </c>
      <c r="M5568" s="74">
        <v>34566</v>
      </c>
      <c r="N5568" s="77">
        <v>0.25</v>
      </c>
      <c r="P5568">
        <v>65.84</v>
      </c>
      <c r="S5568" s="74">
        <v>34931</v>
      </c>
      <c r="T5568" s="77">
        <v>0.25</v>
      </c>
      <c r="V5568">
        <v>60.980000000000004</v>
      </c>
      <c r="X5568" s="42"/>
      <c r="AB5568">
        <v>69.099999999999994</v>
      </c>
      <c r="AC5568">
        <v>73.039999999999992</v>
      </c>
      <c r="AE5568" s="74"/>
      <c r="AF5568" s="77"/>
      <c r="AH5568" s="497">
        <v>63.86</v>
      </c>
      <c r="AJ5568" s="42"/>
      <c r="AK5568" s="74"/>
      <c r="AL5568" s="77"/>
      <c r="AN5568" s="497">
        <v>60.08</v>
      </c>
      <c r="AP5568" s="42"/>
      <c r="AQ5568" s="74"/>
      <c r="AR5568" s="77"/>
      <c r="AT5568" s="497">
        <v>64.039999999999992</v>
      </c>
      <c r="AV5568" s="42"/>
      <c r="AW5568" s="74"/>
      <c r="AX5568" s="77"/>
      <c r="BA5568" s="497">
        <v>50</v>
      </c>
      <c r="BB5568" s="42"/>
      <c r="BC5568" s="74"/>
      <c r="BD5568" s="77"/>
      <c r="BF5568">
        <v>59</v>
      </c>
      <c r="BH5568" s="42"/>
      <c r="BI5568" s="74"/>
      <c r="BJ5568" s="77"/>
      <c r="BL5568" s="497">
        <v>60.980000000000004</v>
      </c>
      <c r="BN5568" s="42"/>
      <c r="BO5568" s="74"/>
      <c r="BP5568" s="77"/>
      <c r="BR5568" s="497">
        <v>68</v>
      </c>
      <c r="BT5568" s="42"/>
    </row>
    <row r="5569" spans="1:72" x14ac:dyDescent="0.25">
      <c r="A5569" s="90">
        <v>34931</v>
      </c>
      <c r="B5569" s="20">
        <v>0.29166666666666669</v>
      </c>
      <c r="D5569">
        <v>64.039999999999992</v>
      </c>
      <c r="E5569" t="str">
        <f t="shared" si="208"/>
        <v>SUNDAY</v>
      </c>
      <c r="F5569" t="e">
        <f t="shared" si="209"/>
        <v>#N/A</v>
      </c>
      <c r="G5569" s="74">
        <v>32009</v>
      </c>
      <c r="H5569" s="77">
        <v>0.29166666666666669</v>
      </c>
      <c r="J5569">
        <v>73.039999999999992</v>
      </c>
      <c r="M5569" s="74">
        <v>34566</v>
      </c>
      <c r="N5569" s="77">
        <v>0.29166666666666669</v>
      </c>
      <c r="P5569">
        <v>68</v>
      </c>
      <c r="S5569" s="74">
        <v>34931</v>
      </c>
      <c r="T5569" s="77">
        <v>0.29166666666666669</v>
      </c>
      <c r="V5569">
        <v>64.039999999999992</v>
      </c>
      <c r="X5569" s="42"/>
      <c r="AB5569">
        <v>69.599999999999994</v>
      </c>
      <c r="AC5569">
        <v>66.92</v>
      </c>
      <c r="AE5569" s="74"/>
      <c r="AF5569" s="77"/>
      <c r="AH5569" s="497">
        <v>68</v>
      </c>
      <c r="AJ5569" s="42"/>
      <c r="AK5569" s="74"/>
      <c r="AL5569" s="77"/>
      <c r="AN5569" s="497">
        <v>62.06</v>
      </c>
      <c r="AP5569" s="42"/>
      <c r="AQ5569" s="74"/>
      <c r="AR5569" s="77"/>
      <c r="AT5569" s="497">
        <v>64.94</v>
      </c>
      <c r="AV5569" s="42"/>
      <c r="AW5569" s="74"/>
      <c r="AX5569" s="77"/>
      <c r="BA5569" s="497">
        <v>53.96</v>
      </c>
      <c r="BB5569" s="42"/>
      <c r="BC5569" s="74"/>
      <c r="BD5569" s="77"/>
      <c r="BF5569">
        <v>60.08</v>
      </c>
      <c r="BH5569" s="42"/>
      <c r="BI5569" s="74"/>
      <c r="BJ5569" s="77"/>
      <c r="BL5569" s="497">
        <v>60.980000000000004</v>
      </c>
      <c r="BN5569" s="42"/>
      <c r="BO5569" s="74"/>
      <c r="BP5569" s="77"/>
      <c r="BR5569" s="497">
        <v>66.02</v>
      </c>
      <c r="BT5569" s="42"/>
    </row>
    <row r="5570" spans="1:72" x14ac:dyDescent="0.25">
      <c r="A5570" s="90">
        <v>34931</v>
      </c>
      <c r="B5570" s="20">
        <v>0.33333333333333331</v>
      </c>
      <c r="D5570">
        <v>66.92</v>
      </c>
      <c r="E5570" t="str">
        <f t="shared" si="208"/>
        <v>SUNDAY</v>
      </c>
      <c r="F5570" t="e">
        <f t="shared" si="209"/>
        <v>#N/A</v>
      </c>
      <c r="G5570" s="74">
        <v>32009</v>
      </c>
      <c r="H5570" s="77">
        <v>0.33333333333333331</v>
      </c>
      <c r="J5570">
        <v>75.92</v>
      </c>
      <c r="M5570" s="74">
        <v>34566</v>
      </c>
      <c r="N5570" s="77">
        <v>0.33333333333333331</v>
      </c>
      <c r="P5570">
        <v>68</v>
      </c>
      <c r="S5570" s="74">
        <v>34931</v>
      </c>
      <c r="T5570" s="77">
        <v>0.33333333333333331</v>
      </c>
      <c r="V5570">
        <v>66.92</v>
      </c>
      <c r="X5570" s="42"/>
      <c r="AB5570">
        <v>71.5</v>
      </c>
      <c r="AC5570">
        <v>68</v>
      </c>
      <c r="AE5570" s="74"/>
      <c r="AF5570" s="77"/>
      <c r="AH5570" s="497">
        <v>70.88</v>
      </c>
      <c r="AJ5570" s="42"/>
      <c r="AK5570" s="74"/>
      <c r="AL5570" s="77"/>
      <c r="AN5570" s="497">
        <v>62.96</v>
      </c>
      <c r="AP5570" s="42"/>
      <c r="AQ5570" s="74"/>
      <c r="AR5570" s="77"/>
      <c r="AT5570" s="497">
        <v>66.92</v>
      </c>
      <c r="AV5570" s="42"/>
      <c r="AW5570" s="74"/>
      <c r="AX5570" s="77"/>
      <c r="BA5570" s="497">
        <v>57.019999999999996</v>
      </c>
      <c r="BB5570" s="42"/>
      <c r="BC5570" s="74"/>
      <c r="BD5570" s="77"/>
      <c r="BF5570">
        <v>62.06</v>
      </c>
      <c r="BH5570" s="42"/>
      <c r="BI5570" s="74"/>
      <c r="BJ5570" s="77"/>
      <c r="BL5570" s="497">
        <v>60.980000000000004</v>
      </c>
      <c r="BN5570" s="42"/>
      <c r="BO5570" s="74"/>
      <c r="BP5570" s="77"/>
      <c r="BR5570" s="497">
        <v>66.92</v>
      </c>
      <c r="BT5570" s="42"/>
    </row>
    <row r="5571" spans="1:72" x14ac:dyDescent="0.25">
      <c r="A5571" s="90">
        <v>34931</v>
      </c>
      <c r="B5571" s="20">
        <v>0.375</v>
      </c>
      <c r="D5571">
        <v>69.080000000000013</v>
      </c>
      <c r="E5571" t="str">
        <f t="shared" si="208"/>
        <v>SUNDAY</v>
      </c>
      <c r="F5571" t="e">
        <f t="shared" si="209"/>
        <v>#N/A</v>
      </c>
      <c r="G5571" s="74">
        <v>32009</v>
      </c>
      <c r="H5571" s="77">
        <v>0.375</v>
      </c>
      <c r="J5571">
        <v>78.080000000000013</v>
      </c>
      <c r="M5571" s="74">
        <v>34566</v>
      </c>
      <c r="N5571" s="77">
        <v>0.375</v>
      </c>
      <c r="P5571">
        <v>66.92</v>
      </c>
      <c r="S5571" s="74">
        <v>34931</v>
      </c>
      <c r="T5571" s="77">
        <v>0.375</v>
      </c>
      <c r="V5571">
        <v>71.06</v>
      </c>
      <c r="X5571" s="42"/>
      <c r="AB5571">
        <v>73.599999999999994</v>
      </c>
      <c r="AC5571">
        <v>69.080000000000013</v>
      </c>
      <c r="AE5571" s="74"/>
      <c r="AF5571" s="77"/>
      <c r="AH5571" s="497">
        <v>73.94</v>
      </c>
      <c r="AJ5571" s="42"/>
      <c r="AK5571" s="74"/>
      <c r="AL5571" s="77"/>
      <c r="AN5571" s="497">
        <v>66.92</v>
      </c>
      <c r="AP5571" s="42"/>
      <c r="AQ5571" s="74"/>
      <c r="AR5571" s="77"/>
      <c r="AT5571" s="497">
        <v>69.080000000000013</v>
      </c>
      <c r="AV5571" s="42"/>
      <c r="AW5571" s="74"/>
      <c r="AX5571" s="77"/>
      <c r="BA5571" s="497">
        <v>57.92</v>
      </c>
      <c r="BB5571" s="42"/>
      <c r="BC5571" s="74"/>
      <c r="BD5571" s="77"/>
      <c r="BF5571">
        <v>66.92</v>
      </c>
      <c r="BH5571" s="42"/>
      <c r="BI5571" s="74"/>
      <c r="BJ5571" s="77"/>
      <c r="BL5571" s="497">
        <v>62.06</v>
      </c>
      <c r="BN5571" s="42"/>
      <c r="BO5571" s="74"/>
      <c r="BP5571" s="77"/>
      <c r="BR5571" s="497">
        <v>68</v>
      </c>
      <c r="BT5571" s="42"/>
    </row>
    <row r="5572" spans="1:72" x14ac:dyDescent="0.25">
      <c r="A5572" s="90">
        <v>34931</v>
      </c>
      <c r="B5572" s="20">
        <v>0.41666666666666669</v>
      </c>
      <c r="D5572">
        <v>71.06</v>
      </c>
      <c r="E5572" t="str">
        <f t="shared" si="208"/>
        <v>SUNDAY</v>
      </c>
      <c r="F5572" t="e">
        <f t="shared" si="209"/>
        <v>#N/A</v>
      </c>
      <c r="G5572" s="74">
        <v>32009</v>
      </c>
      <c r="H5572" s="77">
        <v>0.41666666666666669</v>
      </c>
      <c r="J5572">
        <v>78.98</v>
      </c>
      <c r="M5572" s="74">
        <v>34566</v>
      </c>
      <c r="N5572" s="77">
        <v>0.41666666666666669</v>
      </c>
      <c r="P5572">
        <v>77</v>
      </c>
      <c r="S5572" s="74">
        <v>34931</v>
      </c>
      <c r="T5572" s="77">
        <v>0.41666666666666669</v>
      </c>
      <c r="V5572">
        <v>75.02</v>
      </c>
      <c r="X5572" s="42"/>
      <c r="AB5572">
        <v>75.5</v>
      </c>
      <c r="AC5572">
        <v>69.080000000000013</v>
      </c>
      <c r="AE5572" s="74"/>
      <c r="AF5572" s="77"/>
      <c r="AH5572" s="497">
        <v>77.900000000000006</v>
      </c>
      <c r="AJ5572" s="42"/>
      <c r="AK5572" s="74"/>
      <c r="AL5572" s="77"/>
      <c r="AN5572" s="497">
        <v>73.039999999999992</v>
      </c>
      <c r="AP5572" s="42"/>
      <c r="AQ5572" s="74"/>
      <c r="AR5572" s="77"/>
      <c r="AT5572" s="497">
        <v>71.06</v>
      </c>
      <c r="AV5572" s="42"/>
      <c r="AW5572" s="74"/>
      <c r="AX5572" s="77"/>
      <c r="BA5572" s="497">
        <v>59</v>
      </c>
      <c r="BB5572" s="42"/>
      <c r="BC5572" s="74"/>
      <c r="BD5572" s="77"/>
      <c r="BF5572">
        <v>69.080000000000013</v>
      </c>
      <c r="BH5572" s="42"/>
      <c r="BI5572" s="74"/>
      <c r="BJ5572" s="77"/>
      <c r="BL5572" s="497">
        <v>62.06</v>
      </c>
      <c r="BN5572" s="42"/>
      <c r="BO5572" s="74"/>
      <c r="BP5572" s="77"/>
      <c r="BR5572" s="497">
        <v>69.080000000000013</v>
      </c>
      <c r="BT5572" s="42"/>
    </row>
    <row r="5573" spans="1:72" x14ac:dyDescent="0.25">
      <c r="A5573" s="90">
        <v>34931</v>
      </c>
      <c r="B5573" s="20">
        <v>0.45833333333333331</v>
      </c>
      <c r="D5573">
        <v>71.960000000000008</v>
      </c>
      <c r="E5573" t="str">
        <f t="shared" si="208"/>
        <v>SUNDAY</v>
      </c>
      <c r="F5573" t="e">
        <f t="shared" si="209"/>
        <v>#N/A</v>
      </c>
      <c r="G5573" s="74">
        <v>32009</v>
      </c>
      <c r="H5573" s="77">
        <v>0.45833333333333331</v>
      </c>
      <c r="J5573">
        <v>80.06</v>
      </c>
      <c r="M5573" s="74">
        <v>34566</v>
      </c>
      <c r="N5573" s="77">
        <v>0.45833333333333331</v>
      </c>
      <c r="P5573">
        <v>77.900000000000006</v>
      </c>
      <c r="S5573" s="74">
        <v>34931</v>
      </c>
      <c r="T5573" s="77">
        <v>0.45833333333333331</v>
      </c>
      <c r="V5573">
        <v>78.98</v>
      </c>
      <c r="X5573" s="42"/>
      <c r="AB5573">
        <v>77.099999999999994</v>
      </c>
      <c r="AC5573">
        <v>73.94</v>
      </c>
      <c r="AE5573" s="74"/>
      <c r="AF5573" s="77"/>
      <c r="AH5573" s="497">
        <v>80.960000000000008</v>
      </c>
      <c r="AJ5573" s="42"/>
      <c r="AK5573" s="74"/>
      <c r="AL5573" s="77"/>
      <c r="AN5573" s="497">
        <v>73.039999999999992</v>
      </c>
      <c r="AP5573" s="42"/>
      <c r="AQ5573" s="74"/>
      <c r="AR5573" s="77"/>
      <c r="AT5573" s="497">
        <v>73.039999999999992</v>
      </c>
      <c r="AV5573" s="42"/>
      <c r="AW5573" s="74"/>
      <c r="AX5573" s="77"/>
      <c r="BA5573" s="497">
        <v>60.980000000000004</v>
      </c>
      <c r="BB5573" s="42"/>
      <c r="BC5573" s="74"/>
      <c r="BD5573" s="77"/>
      <c r="BF5573">
        <v>69.080000000000013</v>
      </c>
      <c r="BH5573" s="42"/>
      <c r="BI5573" s="74"/>
      <c r="BJ5573" s="77"/>
      <c r="BL5573" s="497">
        <v>62.06</v>
      </c>
      <c r="BN5573" s="42"/>
      <c r="BO5573" s="74"/>
      <c r="BP5573" s="77"/>
      <c r="BR5573" s="497">
        <v>69.98</v>
      </c>
      <c r="BT5573" s="42"/>
    </row>
    <row r="5574" spans="1:72" x14ac:dyDescent="0.25">
      <c r="A5574" s="90">
        <v>34931</v>
      </c>
      <c r="B5574" s="20">
        <v>0.5</v>
      </c>
      <c r="D5574">
        <v>71.960000000000008</v>
      </c>
      <c r="E5574" t="str">
        <f t="shared" si="208"/>
        <v>SUNDAY</v>
      </c>
      <c r="F5574" t="e">
        <f t="shared" si="209"/>
        <v>#N/A</v>
      </c>
      <c r="G5574" s="74">
        <v>32009</v>
      </c>
      <c r="H5574" s="77">
        <v>0.5</v>
      </c>
      <c r="J5574">
        <v>82.039999999999992</v>
      </c>
      <c r="M5574" s="74">
        <v>34566</v>
      </c>
      <c r="N5574" s="77">
        <v>0.5</v>
      </c>
      <c r="P5574">
        <v>78.98</v>
      </c>
      <c r="S5574" s="74">
        <v>34931</v>
      </c>
      <c r="T5574" s="77">
        <v>0.5</v>
      </c>
      <c r="V5574">
        <v>80.06</v>
      </c>
      <c r="X5574" s="42"/>
      <c r="AB5574">
        <v>78.400000000000006</v>
      </c>
      <c r="AC5574">
        <v>73.94</v>
      </c>
      <c r="AE5574" s="74"/>
      <c r="AF5574" s="77"/>
      <c r="AH5574" s="497">
        <v>82.94</v>
      </c>
      <c r="AJ5574" s="42"/>
      <c r="AK5574" s="74"/>
      <c r="AL5574" s="77"/>
      <c r="AN5574" s="497">
        <v>69.080000000000013</v>
      </c>
      <c r="AP5574" s="42"/>
      <c r="AQ5574" s="74"/>
      <c r="AR5574" s="77"/>
      <c r="AT5574" s="497">
        <v>75.02</v>
      </c>
      <c r="AV5574" s="42"/>
      <c r="AW5574" s="74"/>
      <c r="AX5574" s="77"/>
      <c r="BA5574" s="497">
        <v>60.08</v>
      </c>
      <c r="BB5574" s="42"/>
      <c r="BC5574" s="74"/>
      <c r="BD5574" s="77"/>
      <c r="BF5574">
        <v>69.98</v>
      </c>
      <c r="BH5574" s="42"/>
      <c r="BI5574" s="74"/>
      <c r="BJ5574" s="77"/>
      <c r="BL5574" s="497">
        <v>62.06</v>
      </c>
      <c r="BN5574" s="42"/>
      <c r="BO5574" s="74"/>
      <c r="BP5574" s="77"/>
      <c r="BR5574" s="497">
        <v>69.98</v>
      </c>
      <c r="BT5574" s="42"/>
    </row>
    <row r="5575" spans="1:72" x14ac:dyDescent="0.25">
      <c r="A5575" s="90">
        <v>34931</v>
      </c>
      <c r="B5575" s="20">
        <v>0.54166666666666663</v>
      </c>
      <c r="D5575">
        <v>75.92</v>
      </c>
      <c r="E5575" t="str">
        <f t="shared" si="208"/>
        <v>SUNDAY</v>
      </c>
      <c r="F5575" t="e">
        <f t="shared" si="209"/>
        <v>#N/A</v>
      </c>
      <c r="G5575" s="74">
        <v>32009</v>
      </c>
      <c r="H5575" s="77">
        <v>0.54166666666666663</v>
      </c>
      <c r="J5575">
        <v>84.02</v>
      </c>
      <c r="M5575" s="74">
        <v>34566</v>
      </c>
      <c r="N5575" s="77">
        <v>0.54166666666666663</v>
      </c>
      <c r="P5575">
        <v>81.86</v>
      </c>
      <c r="S5575" s="74">
        <v>34931</v>
      </c>
      <c r="T5575" s="77">
        <v>0.54166666666666663</v>
      </c>
      <c r="V5575">
        <v>82.039999999999992</v>
      </c>
      <c r="X5575" s="42"/>
      <c r="AB5575">
        <v>79.2</v>
      </c>
      <c r="AC5575">
        <v>75.92</v>
      </c>
      <c r="AE5575" s="74"/>
      <c r="AF5575" s="77"/>
      <c r="AH5575" s="497">
        <v>84.92</v>
      </c>
      <c r="AJ5575" s="42"/>
      <c r="AK5575" s="74"/>
      <c r="AL5575" s="77"/>
      <c r="AN5575" s="497">
        <v>71.06</v>
      </c>
      <c r="AP5575" s="42"/>
      <c r="AQ5575" s="74"/>
      <c r="AR5575" s="77"/>
      <c r="AT5575" s="497">
        <v>75.92</v>
      </c>
      <c r="AV5575" s="42"/>
      <c r="AW5575" s="74"/>
      <c r="AX5575" s="77"/>
      <c r="BA5575" s="497">
        <v>64.039999999999992</v>
      </c>
      <c r="BB5575" s="42"/>
      <c r="BC5575" s="74"/>
      <c r="BD5575" s="77"/>
      <c r="BF5575">
        <v>73.039999999999992</v>
      </c>
      <c r="BH5575" s="42"/>
      <c r="BI5575" s="74"/>
      <c r="BJ5575" s="77"/>
      <c r="BL5575" s="497">
        <v>62.06</v>
      </c>
      <c r="BN5575" s="42"/>
      <c r="BO5575" s="74"/>
      <c r="BP5575" s="77"/>
      <c r="BR5575" s="497">
        <v>71.960000000000008</v>
      </c>
      <c r="BT5575" s="42"/>
    </row>
    <row r="5576" spans="1:72" x14ac:dyDescent="0.25">
      <c r="A5576" s="90">
        <v>34931</v>
      </c>
      <c r="B5576" s="20">
        <v>0.58333333333333337</v>
      </c>
      <c r="D5576">
        <v>77</v>
      </c>
      <c r="E5576" t="str">
        <f t="shared" si="208"/>
        <v>SUNDAY</v>
      </c>
      <c r="F5576" t="e">
        <f t="shared" si="209"/>
        <v>#N/A</v>
      </c>
      <c r="G5576" s="74">
        <v>32009</v>
      </c>
      <c r="H5576" s="77">
        <v>0.58333333333333337</v>
      </c>
      <c r="J5576">
        <v>82.94</v>
      </c>
      <c r="M5576" s="74">
        <v>34566</v>
      </c>
      <c r="N5576" s="77">
        <v>0.58333333333333337</v>
      </c>
      <c r="P5576">
        <v>78.98</v>
      </c>
      <c r="S5576" s="74">
        <v>34931</v>
      </c>
      <c r="T5576" s="77">
        <v>0.58333333333333337</v>
      </c>
      <c r="V5576">
        <v>84.02</v>
      </c>
      <c r="X5576" s="42"/>
      <c r="AB5576">
        <v>79.7</v>
      </c>
      <c r="AC5576">
        <v>78.080000000000013</v>
      </c>
      <c r="AE5576" s="74"/>
      <c r="AF5576" s="77"/>
      <c r="AH5576" s="497">
        <v>84.92</v>
      </c>
      <c r="AJ5576" s="42"/>
      <c r="AK5576" s="74"/>
      <c r="AL5576" s="77"/>
      <c r="AN5576" s="497">
        <v>73.039999999999992</v>
      </c>
      <c r="AP5576" s="42"/>
      <c r="AQ5576" s="74"/>
      <c r="AR5576" s="77"/>
      <c r="AT5576" s="497">
        <v>78.080000000000013</v>
      </c>
      <c r="AV5576" s="42"/>
      <c r="AW5576" s="74"/>
      <c r="AX5576" s="77"/>
      <c r="BA5576" s="497">
        <v>62.96</v>
      </c>
      <c r="BB5576" s="42"/>
      <c r="BC5576" s="74"/>
      <c r="BD5576" s="77"/>
      <c r="BF5576">
        <v>71.960000000000008</v>
      </c>
      <c r="BH5576" s="42"/>
      <c r="BI5576" s="74"/>
      <c r="BJ5576" s="77"/>
      <c r="BL5576" s="497">
        <v>60.980000000000004</v>
      </c>
      <c r="BN5576" s="42"/>
      <c r="BO5576" s="74"/>
      <c r="BP5576" s="77"/>
      <c r="BR5576" s="497">
        <v>71.960000000000008</v>
      </c>
      <c r="BT5576" s="42"/>
    </row>
    <row r="5577" spans="1:72" x14ac:dyDescent="0.25">
      <c r="A5577" s="90">
        <v>34931</v>
      </c>
      <c r="B5577" s="20">
        <v>0.625</v>
      </c>
      <c r="D5577">
        <v>78.080000000000013</v>
      </c>
      <c r="E5577" t="str">
        <f t="shared" si="208"/>
        <v>SUNDAY</v>
      </c>
      <c r="F5577" t="e">
        <f t="shared" si="209"/>
        <v>#N/A</v>
      </c>
      <c r="G5577" s="74">
        <v>32009</v>
      </c>
      <c r="H5577" s="77">
        <v>0.625</v>
      </c>
      <c r="J5577">
        <v>84.02</v>
      </c>
      <c r="M5577" s="74">
        <v>34566</v>
      </c>
      <c r="N5577" s="77">
        <v>0.625</v>
      </c>
      <c r="P5577">
        <v>78.98</v>
      </c>
      <c r="S5577" s="74">
        <v>34931</v>
      </c>
      <c r="T5577" s="77">
        <v>0.625</v>
      </c>
      <c r="V5577">
        <v>82.039999999999992</v>
      </c>
      <c r="X5577" s="42"/>
      <c r="AB5577">
        <v>79.8</v>
      </c>
      <c r="AC5577">
        <v>78.98</v>
      </c>
      <c r="AE5577" s="74"/>
      <c r="AF5577" s="77"/>
      <c r="AH5577" s="497">
        <v>84.92</v>
      </c>
      <c r="AJ5577" s="42"/>
      <c r="AK5577" s="74"/>
      <c r="AL5577" s="77"/>
      <c r="AN5577" s="497">
        <v>73.94</v>
      </c>
      <c r="AP5577" s="42"/>
      <c r="AQ5577" s="74"/>
      <c r="AR5577" s="77"/>
      <c r="AT5577" s="497">
        <v>78.98</v>
      </c>
      <c r="AV5577" s="42"/>
      <c r="AW5577" s="74"/>
      <c r="AX5577" s="77"/>
      <c r="BA5577" s="497">
        <v>64.039999999999992</v>
      </c>
      <c r="BB5577" s="42"/>
      <c r="BC5577" s="74"/>
      <c r="BD5577" s="77"/>
      <c r="BF5577">
        <v>69.080000000000013</v>
      </c>
      <c r="BH5577" s="42"/>
      <c r="BI5577" s="74"/>
      <c r="BJ5577" s="77"/>
      <c r="BL5577" s="497">
        <v>60.08</v>
      </c>
      <c r="BN5577" s="42"/>
      <c r="BO5577" s="74"/>
      <c r="BP5577" s="77"/>
      <c r="BR5577" s="497">
        <v>73.94</v>
      </c>
      <c r="BT5577" s="42"/>
    </row>
    <row r="5578" spans="1:72" x14ac:dyDescent="0.25">
      <c r="A5578" s="90">
        <v>34931</v>
      </c>
      <c r="B5578" s="20">
        <v>0.66666666666666663</v>
      </c>
      <c r="D5578">
        <v>78.080000000000013</v>
      </c>
      <c r="E5578" t="str">
        <f t="shared" si="208"/>
        <v>SUNDAY</v>
      </c>
      <c r="F5578" t="e">
        <f t="shared" si="209"/>
        <v>#N/A</v>
      </c>
      <c r="G5578" s="74">
        <v>32009</v>
      </c>
      <c r="H5578" s="77">
        <v>0.66666666666666663</v>
      </c>
      <c r="J5578">
        <v>82.039999999999992</v>
      </c>
      <c r="M5578" s="74">
        <v>34566</v>
      </c>
      <c r="N5578" s="77">
        <v>0.66666666666666663</v>
      </c>
      <c r="P5578">
        <v>77.900000000000006</v>
      </c>
      <c r="S5578" s="74">
        <v>34931</v>
      </c>
      <c r="T5578" s="77">
        <v>0.66666666666666663</v>
      </c>
      <c r="V5578">
        <v>78.080000000000013</v>
      </c>
      <c r="X5578" s="42"/>
      <c r="AB5578">
        <v>79.400000000000006</v>
      </c>
      <c r="AC5578">
        <v>77</v>
      </c>
      <c r="AE5578" s="74"/>
      <c r="AF5578" s="77"/>
      <c r="AH5578" s="497">
        <v>82.94</v>
      </c>
      <c r="AJ5578" s="42"/>
      <c r="AK5578" s="74"/>
      <c r="AL5578" s="77"/>
      <c r="AN5578" s="497">
        <v>73.039999999999992</v>
      </c>
      <c r="AP5578" s="42"/>
      <c r="AQ5578" s="74"/>
      <c r="AR5578" s="77"/>
      <c r="AT5578" s="497">
        <v>78.98</v>
      </c>
      <c r="AV5578" s="42"/>
      <c r="AW5578" s="74"/>
      <c r="AX5578" s="77"/>
      <c r="BA5578" s="497">
        <v>62.96</v>
      </c>
      <c r="BB5578" s="42"/>
      <c r="BC5578" s="74"/>
      <c r="BD5578" s="77"/>
      <c r="BF5578">
        <v>69.080000000000013</v>
      </c>
      <c r="BH5578" s="42"/>
      <c r="BI5578" s="74"/>
      <c r="BJ5578" s="77"/>
      <c r="BL5578" s="497">
        <v>60.980000000000004</v>
      </c>
      <c r="BN5578" s="42"/>
      <c r="BO5578" s="74"/>
      <c r="BP5578" s="77"/>
      <c r="BR5578" s="497">
        <v>73.039999999999992</v>
      </c>
      <c r="BT5578" s="42"/>
    </row>
    <row r="5579" spans="1:72" x14ac:dyDescent="0.25">
      <c r="A5579" s="90">
        <v>34931</v>
      </c>
      <c r="B5579" s="20">
        <v>0.70833333333333337</v>
      </c>
      <c r="D5579">
        <v>78.98</v>
      </c>
      <c r="E5579" t="str">
        <f t="shared" si="208"/>
        <v>SUNDAY</v>
      </c>
      <c r="F5579" t="e">
        <f t="shared" si="209"/>
        <v>#N/A</v>
      </c>
      <c r="G5579" s="74">
        <v>32009</v>
      </c>
      <c r="H5579" s="77">
        <v>0.70833333333333337</v>
      </c>
      <c r="J5579">
        <v>80.960000000000008</v>
      </c>
      <c r="M5579" s="74">
        <v>34566</v>
      </c>
      <c r="N5579" s="77">
        <v>0.70833333333333337</v>
      </c>
      <c r="P5579">
        <v>77</v>
      </c>
      <c r="S5579" s="74">
        <v>34931</v>
      </c>
      <c r="T5579" s="77">
        <v>0.70833333333333337</v>
      </c>
      <c r="V5579">
        <v>77</v>
      </c>
      <c r="X5579" s="42"/>
      <c r="AB5579">
        <v>78.5</v>
      </c>
      <c r="AC5579">
        <v>75.92</v>
      </c>
      <c r="AE5579" s="74"/>
      <c r="AF5579" s="77"/>
      <c r="AH5579" s="497">
        <v>83.84</v>
      </c>
      <c r="AJ5579" s="42"/>
      <c r="AK5579" s="74"/>
      <c r="AL5579" s="77"/>
      <c r="AN5579" s="497">
        <v>71.06</v>
      </c>
      <c r="AP5579" s="42"/>
      <c r="AQ5579" s="74"/>
      <c r="AR5579" s="77"/>
      <c r="AT5579" s="497">
        <v>78.080000000000013</v>
      </c>
      <c r="AV5579" s="42"/>
      <c r="AW5579" s="74"/>
      <c r="AX5579" s="77"/>
      <c r="BA5579" s="497">
        <v>64.039999999999992</v>
      </c>
      <c r="BB5579" s="42"/>
      <c r="BC5579" s="74"/>
      <c r="BD5579" s="77"/>
      <c r="BF5579">
        <v>69.080000000000013</v>
      </c>
      <c r="BH5579" s="42"/>
      <c r="BI5579" s="74"/>
      <c r="BJ5579" s="77"/>
      <c r="BL5579" s="497">
        <v>60.980000000000004</v>
      </c>
      <c r="BN5579" s="42"/>
      <c r="BO5579" s="74"/>
      <c r="BP5579" s="77"/>
      <c r="BR5579" s="497">
        <v>71.06</v>
      </c>
      <c r="BT5579" s="42"/>
    </row>
    <row r="5580" spans="1:72" x14ac:dyDescent="0.25">
      <c r="A5580" s="90">
        <v>34931</v>
      </c>
      <c r="B5580" s="20">
        <v>0.75</v>
      </c>
      <c r="D5580">
        <v>77</v>
      </c>
      <c r="E5580" t="str">
        <f t="shared" si="208"/>
        <v>SUNDAY</v>
      </c>
      <c r="F5580" t="e">
        <f t="shared" si="209"/>
        <v>#N/A</v>
      </c>
      <c r="G5580" s="74">
        <v>32009</v>
      </c>
      <c r="H5580" s="77">
        <v>0.75</v>
      </c>
      <c r="J5580">
        <v>80.06</v>
      </c>
      <c r="M5580" s="74">
        <v>34566</v>
      </c>
      <c r="N5580" s="77">
        <v>0.75</v>
      </c>
      <c r="P5580">
        <v>75.92</v>
      </c>
      <c r="S5580" s="74">
        <v>34931</v>
      </c>
      <c r="T5580" s="77">
        <v>0.75</v>
      </c>
      <c r="V5580">
        <v>73.94</v>
      </c>
      <c r="X5580" s="42"/>
      <c r="AB5580">
        <v>77.400000000000006</v>
      </c>
      <c r="AC5580">
        <v>75.92</v>
      </c>
      <c r="AE5580" s="74"/>
      <c r="AF5580" s="77"/>
      <c r="AH5580" s="497">
        <v>80.960000000000008</v>
      </c>
      <c r="AJ5580" s="42"/>
      <c r="AK5580" s="74"/>
      <c r="AL5580" s="77"/>
      <c r="AN5580" s="497">
        <v>69.080000000000013</v>
      </c>
      <c r="AP5580" s="42"/>
      <c r="AQ5580" s="74"/>
      <c r="AR5580" s="77"/>
      <c r="AT5580" s="497">
        <v>73.94</v>
      </c>
      <c r="AV5580" s="42"/>
      <c r="AW5580" s="74"/>
      <c r="AX5580" s="77"/>
      <c r="BA5580" s="497">
        <v>62.06</v>
      </c>
      <c r="BB5580" s="42"/>
      <c r="BC5580" s="74"/>
      <c r="BD5580" s="77"/>
      <c r="BF5580">
        <v>68</v>
      </c>
      <c r="BH5580" s="42"/>
      <c r="BI5580" s="74"/>
      <c r="BJ5580" s="77"/>
      <c r="BL5580" s="497">
        <v>60.08</v>
      </c>
      <c r="BN5580" s="42"/>
      <c r="BO5580" s="74"/>
      <c r="BP5580" s="77"/>
      <c r="BR5580" s="497">
        <v>69.98</v>
      </c>
      <c r="BT5580" s="42"/>
    </row>
    <row r="5581" spans="1:72" x14ac:dyDescent="0.25">
      <c r="A5581" s="90">
        <v>34931</v>
      </c>
      <c r="B5581" s="20">
        <v>0.79166666666666663</v>
      </c>
      <c r="D5581">
        <v>77</v>
      </c>
      <c r="E5581" t="str">
        <f t="shared" si="208"/>
        <v>SUNDAY</v>
      </c>
      <c r="F5581" t="e">
        <f t="shared" si="209"/>
        <v>#N/A</v>
      </c>
      <c r="G5581" s="74">
        <v>32009</v>
      </c>
      <c r="H5581" s="77">
        <v>0.79166666666666663</v>
      </c>
      <c r="J5581">
        <v>78.98</v>
      </c>
      <c r="M5581" s="74">
        <v>34566</v>
      </c>
      <c r="N5581" s="77">
        <v>0.79166666666666663</v>
      </c>
      <c r="P5581">
        <v>72.86</v>
      </c>
      <c r="S5581" s="74">
        <v>34931</v>
      </c>
      <c r="T5581" s="77">
        <v>0.79166666666666663</v>
      </c>
      <c r="V5581">
        <v>71.960000000000008</v>
      </c>
      <c r="X5581" s="42"/>
      <c r="AB5581">
        <v>76</v>
      </c>
      <c r="AC5581">
        <v>71.960000000000008</v>
      </c>
      <c r="AE5581" s="74"/>
      <c r="AF5581" s="77"/>
      <c r="AH5581" s="497">
        <v>77.900000000000006</v>
      </c>
      <c r="AJ5581" s="42"/>
      <c r="AK5581" s="74"/>
      <c r="AL5581" s="77"/>
      <c r="AN5581" s="497">
        <v>66.92</v>
      </c>
      <c r="AP5581" s="42"/>
      <c r="AQ5581" s="74"/>
      <c r="AR5581" s="77"/>
      <c r="AT5581" s="497">
        <v>71.960000000000008</v>
      </c>
      <c r="AV5581" s="42"/>
      <c r="AW5581" s="74"/>
      <c r="AX5581" s="77"/>
      <c r="BA5581" s="497">
        <v>59</v>
      </c>
      <c r="BB5581" s="42"/>
      <c r="BC5581" s="74"/>
      <c r="BD5581" s="77"/>
      <c r="BF5581">
        <v>66.92</v>
      </c>
      <c r="BH5581" s="42"/>
      <c r="BI5581" s="74"/>
      <c r="BJ5581" s="77"/>
      <c r="BL5581" s="497">
        <v>60.08</v>
      </c>
      <c r="BN5581" s="42"/>
      <c r="BO5581" s="74"/>
      <c r="BP5581" s="77"/>
      <c r="BR5581" s="497">
        <v>66.92</v>
      </c>
      <c r="BT5581" s="42"/>
    </row>
    <row r="5582" spans="1:72" x14ac:dyDescent="0.25">
      <c r="A5582" s="90">
        <v>34931</v>
      </c>
      <c r="B5582" s="20">
        <v>0.83333333333333337</v>
      </c>
      <c r="D5582">
        <v>73.039999999999992</v>
      </c>
      <c r="E5582" t="str">
        <f t="shared" si="208"/>
        <v>SUNDAY</v>
      </c>
      <c r="F5582" t="e">
        <f t="shared" si="209"/>
        <v>#N/A</v>
      </c>
      <c r="G5582" s="74">
        <v>32009</v>
      </c>
      <c r="H5582" s="77">
        <v>0.83333333333333337</v>
      </c>
      <c r="J5582">
        <v>77</v>
      </c>
      <c r="M5582" s="74">
        <v>34566</v>
      </c>
      <c r="N5582" s="77">
        <v>0.83333333333333337</v>
      </c>
      <c r="P5582">
        <v>70.88</v>
      </c>
      <c r="S5582" s="74">
        <v>34931</v>
      </c>
      <c r="T5582" s="77">
        <v>0.83333333333333337</v>
      </c>
      <c r="V5582">
        <v>71.06</v>
      </c>
      <c r="X5582" s="42"/>
      <c r="AB5582">
        <v>74.5</v>
      </c>
      <c r="AC5582">
        <v>71.06</v>
      </c>
      <c r="AE5582" s="74"/>
      <c r="AF5582" s="77"/>
      <c r="AH5582" s="497">
        <v>74.84</v>
      </c>
      <c r="AJ5582" s="42"/>
      <c r="AK5582" s="74"/>
      <c r="AL5582" s="77"/>
      <c r="AN5582" s="497">
        <v>64.039999999999992</v>
      </c>
      <c r="AP5582" s="42"/>
      <c r="AQ5582" s="74"/>
      <c r="AR5582" s="77"/>
      <c r="AT5582" s="497">
        <v>69.98</v>
      </c>
      <c r="AV5582" s="42"/>
      <c r="AW5582" s="74"/>
      <c r="AX5582" s="77"/>
      <c r="BA5582" s="497">
        <v>55.94</v>
      </c>
      <c r="BB5582" s="42"/>
      <c r="BC5582" s="74"/>
      <c r="BD5582" s="77"/>
      <c r="BF5582">
        <v>66.02</v>
      </c>
      <c r="BH5582" s="42"/>
      <c r="BI5582" s="74"/>
      <c r="BJ5582" s="77"/>
      <c r="BL5582" s="497">
        <v>60.08</v>
      </c>
      <c r="BN5582" s="42"/>
      <c r="BO5582" s="74"/>
      <c r="BP5582" s="77"/>
      <c r="BR5582" s="497">
        <v>60.980000000000004</v>
      </c>
      <c r="BT5582" s="42"/>
    </row>
    <row r="5583" spans="1:72" x14ac:dyDescent="0.25">
      <c r="A5583" s="90">
        <v>34931</v>
      </c>
      <c r="B5583" s="20">
        <v>0.875</v>
      </c>
      <c r="D5583">
        <v>71.960000000000008</v>
      </c>
      <c r="E5583" t="str">
        <f t="shared" si="208"/>
        <v>SUNDAY</v>
      </c>
      <c r="F5583" t="e">
        <f t="shared" si="209"/>
        <v>#N/A</v>
      </c>
      <c r="G5583" s="74">
        <v>32009</v>
      </c>
      <c r="H5583" s="77">
        <v>0.875</v>
      </c>
      <c r="J5583">
        <v>75.02</v>
      </c>
      <c r="M5583" s="74">
        <v>34566</v>
      </c>
      <c r="N5583" s="77">
        <v>0.875</v>
      </c>
      <c r="P5583">
        <v>69.98</v>
      </c>
      <c r="S5583" s="74">
        <v>34931</v>
      </c>
      <c r="T5583" s="77">
        <v>0.875</v>
      </c>
      <c r="V5583">
        <v>69.98</v>
      </c>
      <c r="X5583" s="42"/>
      <c r="AB5583">
        <v>73.8</v>
      </c>
      <c r="AC5583">
        <v>69.080000000000013</v>
      </c>
      <c r="AE5583" s="74"/>
      <c r="AF5583" s="77"/>
      <c r="AH5583" s="497">
        <v>72.86</v>
      </c>
      <c r="AJ5583" s="42"/>
      <c r="AK5583" s="74"/>
      <c r="AL5583" s="77"/>
      <c r="AN5583" s="497">
        <v>60.980000000000004</v>
      </c>
      <c r="AP5583" s="42"/>
      <c r="AQ5583" s="74"/>
      <c r="AR5583" s="77"/>
      <c r="AT5583" s="497">
        <v>64.039999999999992</v>
      </c>
      <c r="AV5583" s="42"/>
      <c r="AW5583" s="74"/>
      <c r="AX5583" s="77"/>
      <c r="BA5583" s="497">
        <v>53.96</v>
      </c>
      <c r="BB5583" s="42"/>
      <c r="BC5583" s="74"/>
      <c r="BD5583" s="77"/>
      <c r="BF5583">
        <v>66.02</v>
      </c>
      <c r="BH5583" s="42"/>
      <c r="BI5583" s="74"/>
      <c r="BJ5583" s="77"/>
      <c r="BL5583" s="497">
        <v>60.08</v>
      </c>
      <c r="BN5583" s="42"/>
      <c r="BO5583" s="74"/>
      <c r="BP5583" s="77"/>
      <c r="BR5583" s="497">
        <v>57.019999999999996</v>
      </c>
      <c r="BT5583" s="42"/>
    </row>
    <row r="5584" spans="1:72" x14ac:dyDescent="0.25">
      <c r="A5584" s="90">
        <v>34931</v>
      </c>
      <c r="B5584" s="20">
        <v>0.91666666666666663</v>
      </c>
      <c r="D5584">
        <v>71.06</v>
      </c>
      <c r="E5584" t="str">
        <f t="shared" si="208"/>
        <v>SUNDAY</v>
      </c>
      <c r="F5584" t="e">
        <f t="shared" si="209"/>
        <v>#N/A</v>
      </c>
      <c r="G5584" s="74">
        <v>32009</v>
      </c>
      <c r="H5584" s="77">
        <v>0.91666666666666663</v>
      </c>
      <c r="J5584">
        <v>73.039999999999992</v>
      </c>
      <c r="M5584" s="74">
        <v>34566</v>
      </c>
      <c r="N5584" s="77">
        <v>0.91666666666666663</v>
      </c>
      <c r="P5584">
        <v>68.900000000000006</v>
      </c>
      <c r="S5584" s="74">
        <v>34931</v>
      </c>
      <c r="T5584" s="77">
        <v>0.91666666666666663</v>
      </c>
      <c r="V5584">
        <v>69.98</v>
      </c>
      <c r="X5584" s="42"/>
      <c r="AB5584">
        <v>73.2</v>
      </c>
      <c r="AC5584">
        <v>68</v>
      </c>
      <c r="AE5584" s="74"/>
      <c r="AF5584" s="77"/>
      <c r="AH5584" s="497">
        <v>72.86</v>
      </c>
      <c r="AJ5584" s="42"/>
      <c r="AK5584" s="74"/>
      <c r="AL5584" s="77"/>
      <c r="AN5584" s="497">
        <v>60.08</v>
      </c>
      <c r="AP5584" s="42"/>
      <c r="AQ5584" s="74"/>
      <c r="AR5584" s="77"/>
      <c r="AT5584" s="497">
        <v>62.96</v>
      </c>
      <c r="AV5584" s="42"/>
      <c r="AW5584" s="74"/>
      <c r="AX5584" s="77"/>
      <c r="BA5584" s="497">
        <v>53.06</v>
      </c>
      <c r="BB5584" s="42"/>
      <c r="BC5584" s="74"/>
      <c r="BD5584" s="77"/>
      <c r="BF5584">
        <v>64.94</v>
      </c>
      <c r="BH5584" s="42"/>
      <c r="BI5584" s="74"/>
      <c r="BJ5584" s="77"/>
      <c r="BL5584" s="497">
        <v>59</v>
      </c>
      <c r="BN5584" s="42"/>
      <c r="BO5584" s="74"/>
      <c r="BP5584" s="77"/>
      <c r="BR5584" s="497">
        <v>55.040000000000006</v>
      </c>
      <c r="BT5584" s="42"/>
    </row>
    <row r="5585" spans="1:72" x14ac:dyDescent="0.25">
      <c r="A5585" s="90">
        <v>34931</v>
      </c>
      <c r="B5585" s="20">
        <v>0.95833333333333337</v>
      </c>
      <c r="D5585">
        <v>69.98</v>
      </c>
      <c r="E5585" t="str">
        <f t="shared" si="208"/>
        <v>SUNDAY</v>
      </c>
      <c r="F5585" t="e">
        <f t="shared" si="209"/>
        <v>#N/A</v>
      </c>
      <c r="G5585" s="74">
        <v>32009</v>
      </c>
      <c r="H5585" s="77">
        <v>0.95833333333333337</v>
      </c>
      <c r="J5585">
        <v>73.039999999999992</v>
      </c>
      <c r="M5585" s="74">
        <v>34566</v>
      </c>
      <c r="N5585" s="77">
        <v>0.95833333333333337</v>
      </c>
      <c r="P5585">
        <v>68.900000000000006</v>
      </c>
      <c r="S5585" s="74">
        <v>34931</v>
      </c>
      <c r="T5585" s="77">
        <v>0.95833333333333337</v>
      </c>
      <c r="V5585">
        <v>71.06</v>
      </c>
      <c r="X5585" s="42"/>
      <c r="AB5585">
        <v>72.7</v>
      </c>
      <c r="AC5585">
        <v>66.92</v>
      </c>
      <c r="AE5585" s="74"/>
      <c r="AF5585" s="77"/>
      <c r="AH5585" s="497">
        <v>71.960000000000008</v>
      </c>
      <c r="AJ5585" s="42"/>
      <c r="AK5585" s="74"/>
      <c r="AL5585" s="77"/>
      <c r="AN5585" s="497">
        <v>59</v>
      </c>
      <c r="AP5585" s="42"/>
      <c r="AQ5585" s="74"/>
      <c r="AR5585" s="77"/>
      <c r="AT5585" s="497">
        <v>64.039999999999992</v>
      </c>
      <c r="AV5585" s="42"/>
      <c r="AW5585" s="74"/>
      <c r="AX5585" s="77"/>
      <c r="BA5585" s="497">
        <v>51.980000000000004</v>
      </c>
      <c r="BB5585" s="42"/>
      <c r="BC5585" s="74"/>
      <c r="BD5585" s="77"/>
      <c r="BF5585">
        <v>64.94</v>
      </c>
      <c r="BH5585" s="42"/>
      <c r="BI5585" s="74"/>
      <c r="BJ5585" s="77"/>
      <c r="BL5585" s="497">
        <v>60.08</v>
      </c>
      <c r="BN5585" s="42"/>
      <c r="BO5585" s="74"/>
      <c r="BP5585" s="77"/>
      <c r="BR5585" s="497">
        <v>53.96</v>
      </c>
      <c r="BT5585" s="42"/>
    </row>
    <row r="5586" spans="1:72" x14ac:dyDescent="0.25">
      <c r="A5586" s="90">
        <v>34931</v>
      </c>
      <c r="B5586" s="20">
        <v>1</v>
      </c>
      <c r="D5586">
        <v>69.98</v>
      </c>
      <c r="E5586" t="str">
        <f t="shared" si="208"/>
        <v>SUNDAY</v>
      </c>
      <c r="F5586" t="e">
        <f t="shared" si="209"/>
        <v>#N/A</v>
      </c>
      <c r="G5586" s="74">
        <v>32009</v>
      </c>
      <c r="H5586" s="77">
        <v>1</v>
      </c>
      <c r="J5586">
        <v>71.960000000000008</v>
      </c>
      <c r="M5586" s="74">
        <v>34566</v>
      </c>
      <c r="N5586" s="80">
        <v>1</v>
      </c>
      <c r="P5586">
        <v>69.98</v>
      </c>
      <c r="S5586" s="74">
        <v>34931</v>
      </c>
      <c r="T5586" s="80">
        <v>1</v>
      </c>
      <c r="V5586">
        <v>69.98</v>
      </c>
      <c r="X5586" s="42"/>
      <c r="AB5586">
        <v>72.099999999999994</v>
      </c>
      <c r="AC5586">
        <v>66.02</v>
      </c>
      <c r="AE5586" s="74"/>
      <c r="AF5586" s="80"/>
      <c r="AH5586" s="497">
        <v>72.86</v>
      </c>
      <c r="AJ5586" s="42"/>
      <c r="AK5586" s="74"/>
      <c r="AL5586" s="80"/>
      <c r="AN5586" s="497">
        <v>57.92</v>
      </c>
      <c r="AP5586" s="42"/>
      <c r="AQ5586" s="74"/>
      <c r="AR5586" s="80"/>
      <c r="AT5586" s="497">
        <v>60.08</v>
      </c>
      <c r="AV5586" s="42"/>
      <c r="AW5586" s="74"/>
      <c r="AX5586" s="80"/>
      <c r="BA5586" s="497">
        <v>51.08</v>
      </c>
      <c r="BB5586" s="42"/>
      <c r="BC5586" s="74"/>
      <c r="BD5586" s="80"/>
      <c r="BF5586">
        <v>62.96</v>
      </c>
      <c r="BH5586" s="42"/>
      <c r="BI5586" s="74"/>
      <c r="BJ5586" s="80"/>
      <c r="BL5586" s="497">
        <v>60.08</v>
      </c>
      <c r="BN5586" s="42"/>
      <c r="BO5586" s="74"/>
      <c r="BP5586" s="80"/>
      <c r="BR5586" s="497">
        <v>53.06</v>
      </c>
      <c r="BT5586" s="42"/>
    </row>
    <row r="5587" spans="1:72" x14ac:dyDescent="0.25">
      <c r="A5587" s="90">
        <v>34932</v>
      </c>
      <c r="B5587" s="20">
        <v>4.1666666666666664E-2</v>
      </c>
      <c r="D5587">
        <v>69.080000000000013</v>
      </c>
      <c r="E5587" t="str">
        <f t="shared" ref="E5587:E5650" si="210">IF(COUNTIF($DI$18:$DI$22, WEEKDAY(A5587))=1, "WEEKDAY", IF(WEEKDAY(A5587) = 1, "SUNDAY", "SATURDAY"))</f>
        <v>WEEKDAY</v>
      </c>
      <c r="F5587" t="e">
        <f t="shared" si="209"/>
        <v>#N/A</v>
      </c>
      <c r="G5587" s="74">
        <v>32010</v>
      </c>
      <c r="H5587" s="77">
        <v>4.1666666666666664E-2</v>
      </c>
      <c r="J5587">
        <v>71.06</v>
      </c>
      <c r="M5587" s="74">
        <v>34567</v>
      </c>
      <c r="N5587" s="77">
        <v>4.1666666666666664E-2</v>
      </c>
      <c r="P5587">
        <v>68</v>
      </c>
      <c r="S5587" s="74">
        <v>34932</v>
      </c>
      <c r="T5587" s="77">
        <v>4.1666666666666664E-2</v>
      </c>
      <c r="V5587">
        <v>69.98</v>
      </c>
      <c r="X5587" s="42"/>
      <c r="AB5587">
        <v>71.400000000000006</v>
      </c>
      <c r="AC5587">
        <v>66.02</v>
      </c>
      <c r="AE5587" s="74"/>
      <c r="AF5587" s="77"/>
      <c r="AH5587" s="497">
        <v>70.88</v>
      </c>
      <c r="AJ5587" s="42"/>
      <c r="AK5587" s="74"/>
      <c r="AL5587" s="77"/>
      <c r="AN5587" s="497">
        <v>59</v>
      </c>
      <c r="AP5587" s="42"/>
      <c r="AQ5587" s="74"/>
      <c r="AR5587" s="77"/>
      <c r="AT5587" s="497">
        <v>60.980000000000004</v>
      </c>
      <c r="AV5587" s="42"/>
      <c r="AW5587" s="74"/>
      <c r="AX5587" s="77"/>
      <c r="BA5587" s="497">
        <v>51.08</v>
      </c>
      <c r="BB5587" s="42"/>
      <c r="BC5587" s="74"/>
      <c r="BD5587" s="77"/>
      <c r="BF5587">
        <v>62.06</v>
      </c>
      <c r="BH5587" s="42"/>
      <c r="BI5587" s="74"/>
      <c r="BJ5587" s="77"/>
      <c r="BL5587" s="497">
        <v>60.08</v>
      </c>
      <c r="BN5587" s="42"/>
      <c r="BO5587" s="74"/>
      <c r="BP5587" s="77"/>
      <c r="BR5587" s="497">
        <v>51.980000000000004</v>
      </c>
      <c r="BT5587" s="42"/>
    </row>
    <row r="5588" spans="1:72" x14ac:dyDescent="0.25">
      <c r="A5588" s="90">
        <v>34932</v>
      </c>
      <c r="B5588" s="20">
        <v>8.3333333333333329E-2</v>
      </c>
      <c r="D5588">
        <v>69.98</v>
      </c>
      <c r="E5588" t="str">
        <f t="shared" si="210"/>
        <v>WEEKDAY</v>
      </c>
      <c r="F5588" t="e">
        <f t="shared" si="209"/>
        <v>#N/A</v>
      </c>
      <c r="G5588" s="74">
        <v>32010</v>
      </c>
      <c r="H5588" s="77">
        <v>8.3333333333333329E-2</v>
      </c>
      <c r="J5588">
        <v>69.080000000000013</v>
      </c>
      <c r="M5588" s="74">
        <v>34567</v>
      </c>
      <c r="N5588" s="77">
        <v>8.3333333333333329E-2</v>
      </c>
      <c r="P5588">
        <v>66.92</v>
      </c>
      <c r="S5588" s="74">
        <v>34932</v>
      </c>
      <c r="T5588" s="77">
        <v>8.3333333333333329E-2</v>
      </c>
      <c r="V5588">
        <v>69.080000000000013</v>
      </c>
      <c r="X5588" s="42"/>
      <c r="AB5588">
        <v>70.8</v>
      </c>
      <c r="AC5588">
        <v>66.02</v>
      </c>
      <c r="AE5588" s="74"/>
      <c r="AF5588" s="77"/>
      <c r="AH5588" s="497">
        <v>69.98</v>
      </c>
      <c r="AJ5588" s="42"/>
      <c r="AK5588" s="74"/>
      <c r="AL5588" s="77"/>
      <c r="AN5588" s="497">
        <v>57.92</v>
      </c>
      <c r="AP5588" s="42"/>
      <c r="AQ5588" s="74"/>
      <c r="AR5588" s="77"/>
      <c r="AT5588" s="497">
        <v>60.980000000000004</v>
      </c>
      <c r="AV5588" s="42"/>
      <c r="AW5588" s="74"/>
      <c r="AX5588" s="77"/>
      <c r="BA5588" s="497">
        <v>48.92</v>
      </c>
      <c r="BB5588" s="42"/>
      <c r="BC5588" s="74"/>
      <c r="BD5588" s="77"/>
      <c r="BF5588">
        <v>60.08</v>
      </c>
      <c r="BH5588" s="42"/>
      <c r="BI5588" s="74"/>
      <c r="BJ5588" s="77"/>
      <c r="BL5588" s="497">
        <v>60.08</v>
      </c>
      <c r="BN5588" s="42"/>
      <c r="BO5588" s="74"/>
      <c r="BP5588" s="77"/>
      <c r="BR5588" s="497">
        <v>55.040000000000006</v>
      </c>
      <c r="BT5588" s="42"/>
    </row>
    <row r="5589" spans="1:72" x14ac:dyDescent="0.25">
      <c r="A5589" s="90">
        <v>34932</v>
      </c>
      <c r="B5589" s="20">
        <v>0.125</v>
      </c>
      <c r="D5589">
        <v>69.98</v>
      </c>
      <c r="E5589" t="str">
        <f t="shared" si="210"/>
        <v>WEEKDAY</v>
      </c>
      <c r="F5589" t="e">
        <f t="shared" si="209"/>
        <v>#N/A</v>
      </c>
      <c r="G5589" s="74">
        <v>32010</v>
      </c>
      <c r="H5589" s="77">
        <v>0.125</v>
      </c>
      <c r="J5589">
        <v>69.080000000000013</v>
      </c>
      <c r="M5589" s="74">
        <v>34567</v>
      </c>
      <c r="N5589" s="77">
        <v>0.125</v>
      </c>
      <c r="P5589">
        <v>68.900000000000006</v>
      </c>
      <c r="S5589" s="74">
        <v>34932</v>
      </c>
      <c r="T5589" s="77">
        <v>0.125</v>
      </c>
      <c r="V5589">
        <v>69.080000000000013</v>
      </c>
      <c r="X5589" s="42"/>
      <c r="AB5589">
        <v>70.400000000000006</v>
      </c>
      <c r="AC5589">
        <v>64.94</v>
      </c>
      <c r="AE5589" s="74"/>
      <c r="AF5589" s="77"/>
      <c r="AH5589" s="497">
        <v>69.98</v>
      </c>
      <c r="AJ5589" s="42"/>
      <c r="AK5589" s="74"/>
      <c r="AL5589" s="77"/>
      <c r="AN5589" s="497">
        <v>57.92</v>
      </c>
      <c r="AP5589" s="42"/>
      <c r="AQ5589" s="74"/>
      <c r="AR5589" s="77"/>
      <c r="AT5589" s="497">
        <v>60.980000000000004</v>
      </c>
      <c r="AV5589" s="42"/>
      <c r="AW5589" s="74"/>
      <c r="AX5589" s="77"/>
      <c r="BA5589" s="497">
        <v>48.92</v>
      </c>
      <c r="BB5589" s="42"/>
      <c r="BC5589" s="74"/>
      <c r="BD5589" s="77"/>
      <c r="BF5589">
        <v>60.08</v>
      </c>
      <c r="BH5589" s="42"/>
      <c r="BI5589" s="74"/>
      <c r="BJ5589" s="77"/>
      <c r="BL5589" s="497">
        <v>59</v>
      </c>
      <c r="BN5589" s="42"/>
      <c r="BO5589" s="74"/>
      <c r="BP5589" s="77"/>
      <c r="BR5589" s="497">
        <v>50</v>
      </c>
      <c r="BT5589" s="42"/>
    </row>
    <row r="5590" spans="1:72" x14ac:dyDescent="0.25">
      <c r="A5590" s="90">
        <v>34932</v>
      </c>
      <c r="B5590" s="20">
        <v>0.16666666666666666</v>
      </c>
      <c r="D5590">
        <v>69.080000000000013</v>
      </c>
      <c r="E5590" t="str">
        <f t="shared" si="210"/>
        <v>WEEKDAY</v>
      </c>
      <c r="F5590" t="e">
        <f t="shared" si="209"/>
        <v>#N/A</v>
      </c>
      <c r="G5590" s="74">
        <v>32010</v>
      </c>
      <c r="H5590" s="77">
        <v>0.16666666666666666</v>
      </c>
      <c r="J5590">
        <v>68</v>
      </c>
      <c r="M5590" s="74">
        <v>34567</v>
      </c>
      <c r="N5590" s="77">
        <v>0.16666666666666666</v>
      </c>
      <c r="P5590">
        <v>68</v>
      </c>
      <c r="S5590" s="74">
        <v>34932</v>
      </c>
      <c r="T5590" s="77">
        <v>0.16666666666666666</v>
      </c>
      <c r="V5590">
        <v>69.080000000000013</v>
      </c>
      <c r="X5590" s="42"/>
      <c r="AB5590">
        <v>69.900000000000006</v>
      </c>
      <c r="AC5590">
        <v>66.92</v>
      </c>
      <c r="AE5590" s="74"/>
      <c r="AF5590" s="77"/>
      <c r="AH5590" s="497">
        <v>70.88</v>
      </c>
      <c r="AJ5590" s="42"/>
      <c r="AK5590" s="74"/>
      <c r="AL5590" s="77"/>
      <c r="AN5590" s="497">
        <v>57.019999999999996</v>
      </c>
      <c r="AP5590" s="42"/>
      <c r="AQ5590" s="74"/>
      <c r="AR5590" s="77"/>
      <c r="AT5590" s="497">
        <v>62.06</v>
      </c>
      <c r="AV5590" s="42"/>
      <c r="AW5590" s="74"/>
      <c r="AX5590" s="77"/>
      <c r="BA5590" s="497">
        <v>48.92</v>
      </c>
      <c r="BB5590" s="42"/>
      <c r="BC5590" s="74"/>
      <c r="BD5590" s="77"/>
      <c r="BF5590">
        <v>59</v>
      </c>
      <c r="BH5590" s="42"/>
      <c r="BI5590" s="74"/>
      <c r="BJ5590" s="77"/>
      <c r="BL5590" s="497">
        <v>59</v>
      </c>
      <c r="BN5590" s="42"/>
      <c r="BO5590" s="74"/>
      <c r="BP5590" s="77"/>
      <c r="BR5590" s="497">
        <v>48.92</v>
      </c>
      <c r="BT5590" s="42"/>
    </row>
    <row r="5591" spans="1:72" x14ac:dyDescent="0.25">
      <c r="A5591" s="90">
        <v>34932</v>
      </c>
      <c r="B5591" s="20">
        <v>0.20833333333333334</v>
      </c>
      <c r="D5591">
        <v>69.080000000000013</v>
      </c>
      <c r="E5591" t="str">
        <f t="shared" si="210"/>
        <v>WEEKDAY</v>
      </c>
      <c r="F5591" t="e">
        <f t="shared" si="209"/>
        <v>#N/A</v>
      </c>
      <c r="G5591" s="74">
        <v>32010</v>
      </c>
      <c r="H5591" s="77">
        <v>0.20833333333333334</v>
      </c>
      <c r="J5591">
        <v>66.92</v>
      </c>
      <c r="M5591" s="74">
        <v>34567</v>
      </c>
      <c r="N5591" s="77">
        <v>0.20833333333333334</v>
      </c>
      <c r="P5591">
        <v>68.900000000000006</v>
      </c>
      <c r="S5591" s="74">
        <v>34932</v>
      </c>
      <c r="T5591" s="77">
        <v>0.20833333333333334</v>
      </c>
      <c r="V5591">
        <v>69.080000000000013</v>
      </c>
      <c r="X5591" s="42"/>
      <c r="AB5591">
        <v>69.400000000000006</v>
      </c>
      <c r="AC5591">
        <v>64.94</v>
      </c>
      <c r="AE5591" s="74"/>
      <c r="AF5591" s="77"/>
      <c r="AH5591" s="497">
        <v>70.88</v>
      </c>
      <c r="AJ5591" s="42"/>
      <c r="AK5591" s="74"/>
      <c r="AL5591" s="77"/>
      <c r="AN5591" s="497">
        <v>57.019999999999996</v>
      </c>
      <c r="AP5591" s="42"/>
      <c r="AQ5591" s="74"/>
      <c r="AR5591" s="77"/>
      <c r="AT5591" s="497">
        <v>60.980000000000004</v>
      </c>
      <c r="AV5591" s="42"/>
      <c r="AW5591" s="74"/>
      <c r="AX5591" s="77"/>
      <c r="BA5591" s="497">
        <v>48.019999999999996</v>
      </c>
      <c r="BB5591" s="42"/>
      <c r="BC5591" s="74"/>
      <c r="BD5591" s="77"/>
      <c r="BF5591">
        <v>57.92</v>
      </c>
      <c r="BH5591" s="42"/>
      <c r="BI5591" s="74"/>
      <c r="BJ5591" s="77"/>
      <c r="BL5591" s="497">
        <v>59</v>
      </c>
      <c r="BN5591" s="42"/>
      <c r="BO5591" s="74"/>
      <c r="BP5591" s="77"/>
      <c r="BR5591" s="497">
        <v>46.94</v>
      </c>
      <c r="BT5591" s="42"/>
    </row>
    <row r="5592" spans="1:72" x14ac:dyDescent="0.25">
      <c r="A5592" s="90">
        <v>34932</v>
      </c>
      <c r="B5592" s="20">
        <v>0.25</v>
      </c>
      <c r="D5592">
        <v>68</v>
      </c>
      <c r="E5592" t="str">
        <f t="shared" si="210"/>
        <v>WEEKDAY</v>
      </c>
      <c r="F5592" t="e">
        <f t="shared" si="209"/>
        <v>#N/A</v>
      </c>
      <c r="G5592" s="74">
        <v>32010</v>
      </c>
      <c r="H5592" s="77">
        <v>0.25</v>
      </c>
      <c r="J5592">
        <v>66.92</v>
      </c>
      <c r="M5592" s="74">
        <v>34567</v>
      </c>
      <c r="N5592" s="77">
        <v>0.25</v>
      </c>
      <c r="P5592">
        <v>69.98</v>
      </c>
      <c r="S5592" s="74">
        <v>34932</v>
      </c>
      <c r="T5592" s="77">
        <v>0.25</v>
      </c>
      <c r="V5592">
        <v>69.080000000000013</v>
      </c>
      <c r="X5592" s="42"/>
      <c r="AB5592">
        <v>69.099999999999994</v>
      </c>
      <c r="AC5592">
        <v>66.02</v>
      </c>
      <c r="AE5592" s="74"/>
      <c r="AF5592" s="77"/>
      <c r="AH5592" s="497">
        <v>71.960000000000008</v>
      </c>
      <c r="AJ5592" s="42"/>
      <c r="AK5592" s="74"/>
      <c r="AL5592" s="77"/>
      <c r="AN5592" s="497">
        <v>55.94</v>
      </c>
      <c r="AP5592" s="42"/>
      <c r="AQ5592" s="74"/>
      <c r="AR5592" s="77"/>
      <c r="AT5592" s="497">
        <v>60.980000000000004</v>
      </c>
      <c r="AV5592" s="42"/>
      <c r="AW5592" s="74"/>
      <c r="AX5592" s="77"/>
      <c r="BA5592" s="497">
        <v>50</v>
      </c>
      <c r="BB5592" s="42"/>
      <c r="BC5592" s="74"/>
      <c r="BD5592" s="77"/>
      <c r="BF5592">
        <v>57.92</v>
      </c>
      <c r="BH5592" s="42"/>
      <c r="BI5592" s="74"/>
      <c r="BJ5592" s="77"/>
      <c r="BL5592" s="497">
        <v>60.08</v>
      </c>
      <c r="BN5592" s="42"/>
      <c r="BO5592" s="74"/>
      <c r="BP5592" s="77"/>
      <c r="BR5592" s="497">
        <v>50</v>
      </c>
      <c r="BT5592" s="42"/>
    </row>
    <row r="5593" spans="1:72" x14ac:dyDescent="0.25">
      <c r="A5593" s="90">
        <v>34932</v>
      </c>
      <c r="B5593" s="20">
        <v>0.29166666666666669</v>
      </c>
      <c r="D5593">
        <v>69.98</v>
      </c>
      <c r="E5593" t="str">
        <f t="shared" si="210"/>
        <v>WEEKDAY</v>
      </c>
      <c r="F5593" t="e">
        <f t="shared" si="209"/>
        <v>#N/A</v>
      </c>
      <c r="G5593" s="74">
        <v>32010</v>
      </c>
      <c r="H5593" s="77">
        <v>0.29166666666666669</v>
      </c>
      <c r="J5593">
        <v>68</v>
      </c>
      <c r="M5593" s="74">
        <v>34567</v>
      </c>
      <c r="N5593" s="77">
        <v>0.29166666666666669</v>
      </c>
      <c r="P5593">
        <v>70.88</v>
      </c>
      <c r="S5593" s="74">
        <v>34932</v>
      </c>
      <c r="T5593" s="77">
        <v>0.29166666666666669</v>
      </c>
      <c r="V5593">
        <v>71.960000000000008</v>
      </c>
      <c r="X5593" s="42"/>
      <c r="AB5593">
        <v>69.5</v>
      </c>
      <c r="AC5593">
        <v>69.98</v>
      </c>
      <c r="AE5593" s="74"/>
      <c r="AF5593" s="77"/>
      <c r="AH5593" s="497">
        <v>72.86</v>
      </c>
      <c r="AJ5593" s="42"/>
      <c r="AK5593" s="74"/>
      <c r="AL5593" s="77"/>
      <c r="AN5593" s="497">
        <v>59</v>
      </c>
      <c r="AP5593" s="42"/>
      <c r="AQ5593" s="74"/>
      <c r="AR5593" s="77"/>
      <c r="AT5593" s="497">
        <v>62.96</v>
      </c>
      <c r="AV5593" s="42"/>
      <c r="AW5593" s="74"/>
      <c r="AX5593" s="77"/>
      <c r="BA5593" s="497">
        <v>53.06</v>
      </c>
      <c r="BB5593" s="42"/>
      <c r="BC5593" s="74"/>
      <c r="BD5593" s="77"/>
      <c r="BF5593">
        <v>60.08</v>
      </c>
      <c r="BH5593" s="42"/>
      <c r="BI5593" s="74"/>
      <c r="BJ5593" s="77"/>
      <c r="BL5593" s="497">
        <v>60.980000000000004</v>
      </c>
      <c r="BN5593" s="42"/>
      <c r="BO5593" s="74"/>
      <c r="BP5593" s="77"/>
      <c r="BR5593" s="497">
        <v>57.92</v>
      </c>
      <c r="BT5593" s="42"/>
    </row>
    <row r="5594" spans="1:72" x14ac:dyDescent="0.25">
      <c r="A5594" s="90">
        <v>34932</v>
      </c>
      <c r="B5594" s="20">
        <v>0.33333333333333331</v>
      </c>
      <c r="D5594">
        <v>71.06</v>
      </c>
      <c r="E5594" t="str">
        <f t="shared" si="210"/>
        <v>WEEKDAY</v>
      </c>
      <c r="F5594" t="e">
        <f t="shared" si="209"/>
        <v>#N/A</v>
      </c>
      <c r="G5594" s="74">
        <v>32010</v>
      </c>
      <c r="H5594" s="77">
        <v>0.33333333333333331</v>
      </c>
      <c r="J5594">
        <v>73.94</v>
      </c>
      <c r="M5594" s="74">
        <v>34567</v>
      </c>
      <c r="N5594" s="77">
        <v>0.33333333333333331</v>
      </c>
      <c r="P5594">
        <v>72.86</v>
      </c>
      <c r="S5594" s="74">
        <v>34932</v>
      </c>
      <c r="T5594" s="77">
        <v>0.33333333333333331</v>
      </c>
      <c r="V5594">
        <v>73.94</v>
      </c>
      <c r="X5594" s="42"/>
      <c r="AB5594">
        <v>71.5</v>
      </c>
      <c r="AC5594">
        <v>73.039999999999992</v>
      </c>
      <c r="AE5594" s="74"/>
      <c r="AF5594" s="77"/>
      <c r="AH5594" s="497">
        <v>74.84</v>
      </c>
      <c r="AJ5594" s="42"/>
      <c r="AK5594" s="74"/>
      <c r="AL5594" s="77"/>
      <c r="AN5594" s="497">
        <v>62.96</v>
      </c>
      <c r="AP5594" s="42"/>
      <c r="AQ5594" s="74"/>
      <c r="AR5594" s="77"/>
      <c r="AT5594" s="497">
        <v>66.02</v>
      </c>
      <c r="AV5594" s="42"/>
      <c r="AW5594" s="74"/>
      <c r="AX5594" s="77"/>
      <c r="BA5594" s="497">
        <v>59</v>
      </c>
      <c r="BB5594" s="42"/>
      <c r="BC5594" s="74"/>
      <c r="BD5594" s="77"/>
      <c r="BF5594">
        <v>62.06</v>
      </c>
      <c r="BH5594" s="42"/>
      <c r="BI5594" s="74"/>
      <c r="BJ5594" s="77"/>
      <c r="BL5594" s="497">
        <v>62.06</v>
      </c>
      <c r="BN5594" s="42"/>
      <c r="BO5594" s="74"/>
      <c r="BP5594" s="77"/>
      <c r="BR5594" s="497">
        <v>62.06</v>
      </c>
      <c r="BT5594" s="42"/>
    </row>
    <row r="5595" spans="1:72" x14ac:dyDescent="0.25">
      <c r="A5595" s="90">
        <v>34932</v>
      </c>
      <c r="B5595" s="20">
        <v>0.375</v>
      </c>
      <c r="D5595">
        <v>73.039999999999992</v>
      </c>
      <c r="E5595" t="str">
        <f t="shared" si="210"/>
        <v>WEEKDAY</v>
      </c>
      <c r="F5595" t="e">
        <f t="shared" si="209"/>
        <v>#N/A</v>
      </c>
      <c r="G5595" s="74">
        <v>32010</v>
      </c>
      <c r="H5595" s="77">
        <v>0.375</v>
      </c>
      <c r="J5595">
        <v>77</v>
      </c>
      <c r="M5595" s="74">
        <v>34567</v>
      </c>
      <c r="N5595" s="77">
        <v>0.375</v>
      </c>
      <c r="P5595">
        <v>75.92</v>
      </c>
      <c r="S5595" s="74">
        <v>34932</v>
      </c>
      <c r="T5595" s="77">
        <v>0.375</v>
      </c>
      <c r="V5595">
        <v>78.080000000000013</v>
      </c>
      <c r="X5595" s="42"/>
      <c r="AB5595">
        <v>73.5</v>
      </c>
      <c r="AC5595">
        <v>75.02</v>
      </c>
      <c r="AE5595" s="74"/>
      <c r="AF5595" s="77"/>
      <c r="AH5595" s="497">
        <v>75.92</v>
      </c>
      <c r="AJ5595" s="42"/>
      <c r="AK5595" s="74"/>
      <c r="AL5595" s="77"/>
      <c r="AN5595" s="497">
        <v>64.94</v>
      </c>
      <c r="AP5595" s="42"/>
      <c r="AQ5595" s="74"/>
      <c r="AR5595" s="77"/>
      <c r="AT5595" s="497">
        <v>69.080000000000013</v>
      </c>
      <c r="AV5595" s="42"/>
      <c r="AW5595" s="74"/>
      <c r="AX5595" s="77"/>
      <c r="BA5595" s="497">
        <v>62.96</v>
      </c>
      <c r="BB5595" s="42"/>
      <c r="BC5595" s="74"/>
      <c r="BD5595" s="77"/>
      <c r="BF5595">
        <v>64.039999999999992</v>
      </c>
      <c r="BH5595" s="42"/>
      <c r="BI5595" s="74"/>
      <c r="BJ5595" s="77"/>
      <c r="BL5595" s="497">
        <v>64.039999999999992</v>
      </c>
      <c r="BN5595" s="42"/>
      <c r="BO5595" s="74"/>
      <c r="BP5595" s="77"/>
      <c r="BR5595" s="497">
        <v>66.02</v>
      </c>
      <c r="BT5595" s="42"/>
    </row>
    <row r="5596" spans="1:72" x14ac:dyDescent="0.25">
      <c r="A5596" s="90">
        <v>34932</v>
      </c>
      <c r="B5596" s="20">
        <v>0.41666666666666669</v>
      </c>
      <c r="D5596">
        <v>75.02</v>
      </c>
      <c r="E5596" t="str">
        <f t="shared" si="210"/>
        <v>WEEKDAY</v>
      </c>
      <c r="F5596" t="e">
        <f t="shared" si="209"/>
        <v>#N/A</v>
      </c>
      <c r="G5596" s="74">
        <v>32010</v>
      </c>
      <c r="H5596" s="77">
        <v>0.41666666666666669</v>
      </c>
      <c r="J5596">
        <v>77</v>
      </c>
      <c r="M5596" s="74">
        <v>34567</v>
      </c>
      <c r="N5596" s="77">
        <v>0.41666666666666669</v>
      </c>
      <c r="P5596">
        <v>77</v>
      </c>
      <c r="S5596" s="74">
        <v>34932</v>
      </c>
      <c r="T5596" s="77">
        <v>0.41666666666666669</v>
      </c>
      <c r="V5596">
        <v>82.039999999999992</v>
      </c>
      <c r="X5596" s="42"/>
      <c r="AB5596">
        <v>75.400000000000006</v>
      </c>
      <c r="AC5596">
        <v>77</v>
      </c>
      <c r="AE5596" s="74"/>
      <c r="AF5596" s="77"/>
      <c r="AH5596" s="497">
        <v>78.98</v>
      </c>
      <c r="AJ5596" s="42"/>
      <c r="AK5596" s="74"/>
      <c r="AL5596" s="77"/>
      <c r="AN5596" s="497">
        <v>64.94</v>
      </c>
      <c r="AP5596" s="42"/>
      <c r="AQ5596" s="74"/>
      <c r="AR5596" s="77"/>
      <c r="AT5596" s="497">
        <v>69.98</v>
      </c>
      <c r="AV5596" s="42"/>
      <c r="AW5596" s="74"/>
      <c r="AX5596" s="77"/>
      <c r="BA5596" s="497">
        <v>66.02</v>
      </c>
      <c r="BB5596" s="42"/>
      <c r="BC5596" s="74"/>
      <c r="BD5596" s="77"/>
      <c r="BF5596">
        <v>64.94</v>
      </c>
      <c r="BH5596" s="42"/>
      <c r="BI5596" s="74"/>
      <c r="BJ5596" s="77"/>
      <c r="BL5596" s="497">
        <v>64.94</v>
      </c>
      <c r="BN5596" s="42"/>
      <c r="BO5596" s="74"/>
      <c r="BP5596" s="77"/>
      <c r="BR5596" s="497">
        <v>66.92</v>
      </c>
      <c r="BT5596" s="42"/>
    </row>
    <row r="5597" spans="1:72" x14ac:dyDescent="0.25">
      <c r="A5597" s="90">
        <v>34932</v>
      </c>
      <c r="B5597" s="20">
        <v>0.45833333333333331</v>
      </c>
      <c r="D5597">
        <v>77</v>
      </c>
      <c r="E5597" t="str">
        <f t="shared" si="210"/>
        <v>WEEKDAY</v>
      </c>
      <c r="F5597" t="e">
        <f t="shared" si="209"/>
        <v>#N/A</v>
      </c>
      <c r="G5597" s="74">
        <v>32010</v>
      </c>
      <c r="H5597" s="77">
        <v>0.45833333333333331</v>
      </c>
      <c r="J5597">
        <v>78.98</v>
      </c>
      <c r="M5597" s="74">
        <v>34567</v>
      </c>
      <c r="N5597" s="77">
        <v>0.45833333333333331</v>
      </c>
      <c r="P5597">
        <v>77</v>
      </c>
      <c r="S5597" s="74">
        <v>34932</v>
      </c>
      <c r="T5597" s="77">
        <v>0.45833333333333331</v>
      </c>
      <c r="V5597">
        <v>84.92</v>
      </c>
      <c r="X5597" s="42"/>
      <c r="AB5597">
        <v>77.099999999999994</v>
      </c>
      <c r="AC5597">
        <v>78.98</v>
      </c>
      <c r="AE5597" s="74"/>
      <c r="AF5597" s="77"/>
      <c r="AH5597" s="497">
        <v>81.86</v>
      </c>
      <c r="AJ5597" s="42"/>
      <c r="AK5597" s="74"/>
      <c r="AL5597" s="77"/>
      <c r="AN5597" s="497">
        <v>66.02</v>
      </c>
      <c r="AP5597" s="42"/>
      <c r="AQ5597" s="74"/>
      <c r="AR5597" s="77"/>
      <c r="AT5597" s="497">
        <v>73.039999999999992</v>
      </c>
      <c r="AV5597" s="42"/>
      <c r="AW5597" s="74"/>
      <c r="AX5597" s="77"/>
      <c r="BA5597" s="497">
        <v>68</v>
      </c>
      <c r="BB5597" s="42"/>
      <c r="BC5597" s="74"/>
      <c r="BD5597" s="77"/>
      <c r="BF5597">
        <v>64.94</v>
      </c>
      <c r="BH5597" s="42"/>
      <c r="BI5597" s="74"/>
      <c r="BJ5597" s="77"/>
      <c r="BL5597" s="497">
        <v>66.92</v>
      </c>
      <c r="BN5597" s="42"/>
      <c r="BO5597" s="74"/>
      <c r="BP5597" s="77"/>
      <c r="BR5597" s="497">
        <v>66.92</v>
      </c>
      <c r="BT5597" s="42"/>
    </row>
    <row r="5598" spans="1:72" x14ac:dyDescent="0.25">
      <c r="A5598" s="90">
        <v>34932</v>
      </c>
      <c r="B5598" s="20">
        <v>0.5</v>
      </c>
      <c r="D5598">
        <v>78.98</v>
      </c>
      <c r="E5598" t="str">
        <f t="shared" si="210"/>
        <v>WEEKDAY</v>
      </c>
      <c r="F5598" t="e">
        <f t="shared" si="209"/>
        <v>#N/A</v>
      </c>
      <c r="G5598" s="74">
        <v>32010</v>
      </c>
      <c r="H5598" s="77">
        <v>0.5</v>
      </c>
      <c r="J5598">
        <v>80.06</v>
      </c>
      <c r="M5598" s="74">
        <v>34567</v>
      </c>
      <c r="N5598" s="77">
        <v>0.5</v>
      </c>
      <c r="P5598">
        <v>79.88</v>
      </c>
      <c r="S5598" s="74">
        <v>34932</v>
      </c>
      <c r="T5598" s="77">
        <v>0.5</v>
      </c>
      <c r="V5598">
        <v>87.98</v>
      </c>
      <c r="X5598" s="42"/>
      <c r="AB5598">
        <v>78.400000000000006</v>
      </c>
      <c r="AC5598">
        <v>80.960000000000008</v>
      </c>
      <c r="AE5598" s="74"/>
      <c r="AF5598" s="77"/>
      <c r="AH5598" s="497">
        <v>83.84</v>
      </c>
      <c r="AJ5598" s="42"/>
      <c r="AK5598" s="74"/>
      <c r="AL5598" s="77"/>
      <c r="AN5598" s="497">
        <v>64.94</v>
      </c>
      <c r="AP5598" s="42"/>
      <c r="AQ5598" s="74"/>
      <c r="AR5598" s="77"/>
      <c r="AT5598" s="497">
        <v>73.039999999999992</v>
      </c>
      <c r="AV5598" s="42"/>
      <c r="AW5598" s="74"/>
      <c r="AX5598" s="77"/>
      <c r="BA5598" s="497">
        <v>69.080000000000013</v>
      </c>
      <c r="BB5598" s="42"/>
      <c r="BC5598" s="74"/>
      <c r="BD5598" s="77"/>
      <c r="BF5598">
        <v>66.92</v>
      </c>
      <c r="BH5598" s="42"/>
      <c r="BI5598" s="74"/>
      <c r="BJ5598" s="77"/>
      <c r="BL5598" s="497">
        <v>69.98</v>
      </c>
      <c r="BN5598" s="42"/>
      <c r="BO5598" s="74"/>
      <c r="BP5598" s="77"/>
      <c r="BR5598" s="497">
        <v>71.06</v>
      </c>
      <c r="BT5598" s="42"/>
    </row>
    <row r="5599" spans="1:72" x14ac:dyDescent="0.25">
      <c r="A5599" s="90">
        <v>34932</v>
      </c>
      <c r="B5599" s="20">
        <v>0.54166666666666663</v>
      </c>
      <c r="D5599">
        <v>80.960000000000008</v>
      </c>
      <c r="E5599" t="str">
        <f t="shared" si="210"/>
        <v>WEEKDAY</v>
      </c>
      <c r="F5599" t="e">
        <f t="shared" si="209"/>
        <v>#N/A</v>
      </c>
      <c r="G5599" s="74">
        <v>32010</v>
      </c>
      <c r="H5599" s="77">
        <v>0.54166666666666663</v>
      </c>
      <c r="J5599">
        <v>80.960000000000008</v>
      </c>
      <c r="M5599" s="74">
        <v>34567</v>
      </c>
      <c r="N5599" s="77">
        <v>0.54166666666666663</v>
      </c>
      <c r="P5599">
        <v>79.88</v>
      </c>
      <c r="S5599" s="74">
        <v>34932</v>
      </c>
      <c r="T5599" s="77">
        <v>0.54166666666666663</v>
      </c>
      <c r="V5599">
        <v>89.960000000000008</v>
      </c>
      <c r="X5599" s="42"/>
      <c r="AB5599">
        <v>79.2</v>
      </c>
      <c r="AC5599">
        <v>80.06</v>
      </c>
      <c r="AE5599" s="74"/>
      <c r="AF5599" s="77"/>
      <c r="AH5599" s="497">
        <v>83.84</v>
      </c>
      <c r="AJ5599" s="42"/>
      <c r="AK5599" s="74"/>
      <c r="AL5599" s="77"/>
      <c r="AN5599" s="497">
        <v>64.039999999999992</v>
      </c>
      <c r="AP5599" s="42"/>
      <c r="AQ5599" s="74"/>
      <c r="AR5599" s="77"/>
      <c r="AT5599" s="497">
        <v>73.94</v>
      </c>
      <c r="AV5599" s="42"/>
      <c r="AW5599" s="74"/>
      <c r="AX5599" s="77"/>
      <c r="BA5599" s="497">
        <v>71.06</v>
      </c>
      <c r="BB5599" s="42"/>
      <c r="BC5599" s="74"/>
      <c r="BD5599" s="77"/>
      <c r="BF5599">
        <v>69.080000000000013</v>
      </c>
      <c r="BH5599" s="42"/>
      <c r="BI5599" s="74"/>
      <c r="BJ5599" s="77"/>
      <c r="BL5599" s="497">
        <v>71.06</v>
      </c>
      <c r="BN5599" s="42"/>
      <c r="BO5599" s="74"/>
      <c r="BP5599" s="77"/>
      <c r="BR5599" s="497">
        <v>71.960000000000008</v>
      </c>
      <c r="BT5599" s="42"/>
    </row>
    <row r="5600" spans="1:72" x14ac:dyDescent="0.25">
      <c r="A5600" s="90">
        <v>34932</v>
      </c>
      <c r="B5600" s="20">
        <v>0.58333333333333337</v>
      </c>
      <c r="D5600">
        <v>84.02</v>
      </c>
      <c r="E5600" t="str">
        <f t="shared" si="210"/>
        <v>WEEKDAY</v>
      </c>
      <c r="F5600" t="e">
        <f t="shared" si="209"/>
        <v>#N/A</v>
      </c>
      <c r="G5600" s="74">
        <v>32010</v>
      </c>
      <c r="H5600" s="77">
        <v>0.58333333333333337</v>
      </c>
      <c r="J5600">
        <v>82.94</v>
      </c>
      <c r="M5600" s="74">
        <v>34567</v>
      </c>
      <c r="N5600" s="77">
        <v>0.58333333333333337</v>
      </c>
      <c r="P5600">
        <v>81.86</v>
      </c>
      <c r="S5600" s="74">
        <v>34932</v>
      </c>
      <c r="T5600" s="77">
        <v>0.58333333333333337</v>
      </c>
      <c r="V5600">
        <v>89.06</v>
      </c>
      <c r="X5600" s="42"/>
      <c r="AB5600">
        <v>79.7</v>
      </c>
      <c r="AC5600">
        <v>78.98</v>
      </c>
      <c r="AE5600" s="74"/>
      <c r="AF5600" s="77"/>
      <c r="AH5600" s="497">
        <v>78.98</v>
      </c>
      <c r="AJ5600" s="42"/>
      <c r="AK5600" s="74"/>
      <c r="AL5600" s="77"/>
      <c r="AN5600" s="497">
        <v>64.94</v>
      </c>
      <c r="AP5600" s="42"/>
      <c r="AQ5600" s="74"/>
      <c r="AR5600" s="77"/>
      <c r="AT5600" s="497">
        <v>73.94</v>
      </c>
      <c r="AV5600" s="42"/>
      <c r="AW5600" s="74"/>
      <c r="AX5600" s="77"/>
      <c r="BA5600" s="497">
        <v>71.06</v>
      </c>
      <c r="BB5600" s="42"/>
      <c r="BC5600" s="74"/>
      <c r="BD5600" s="77"/>
      <c r="BF5600">
        <v>66.92</v>
      </c>
      <c r="BH5600" s="42"/>
      <c r="BI5600" s="74"/>
      <c r="BJ5600" s="77"/>
      <c r="BL5600" s="497">
        <v>68</v>
      </c>
      <c r="BN5600" s="42"/>
      <c r="BO5600" s="74"/>
      <c r="BP5600" s="77"/>
      <c r="BR5600" s="497">
        <v>75.02</v>
      </c>
      <c r="BT5600" s="42"/>
    </row>
    <row r="5601" spans="1:72" x14ac:dyDescent="0.25">
      <c r="A5601" s="90">
        <v>34932</v>
      </c>
      <c r="B5601" s="20">
        <v>0.625</v>
      </c>
      <c r="D5601">
        <v>82.94</v>
      </c>
      <c r="E5601" t="str">
        <f t="shared" si="210"/>
        <v>WEEKDAY</v>
      </c>
      <c r="F5601" t="e">
        <f t="shared" si="209"/>
        <v>#N/A</v>
      </c>
      <c r="G5601" s="74">
        <v>32010</v>
      </c>
      <c r="H5601" s="77">
        <v>0.625</v>
      </c>
      <c r="J5601">
        <v>82.94</v>
      </c>
      <c r="M5601" s="74">
        <v>34567</v>
      </c>
      <c r="N5601" s="77">
        <v>0.625</v>
      </c>
      <c r="P5601">
        <v>79.88</v>
      </c>
      <c r="S5601" s="74">
        <v>34932</v>
      </c>
      <c r="T5601" s="77">
        <v>0.625</v>
      </c>
      <c r="V5601">
        <v>87.080000000000013</v>
      </c>
      <c r="X5601" s="42"/>
      <c r="AB5601">
        <v>79.8</v>
      </c>
      <c r="AC5601">
        <v>78.98</v>
      </c>
      <c r="AE5601" s="74"/>
      <c r="AF5601" s="77"/>
      <c r="AH5601" s="497">
        <v>75.92</v>
      </c>
      <c r="AJ5601" s="42"/>
      <c r="AK5601" s="74"/>
      <c r="AL5601" s="77"/>
      <c r="AN5601" s="497">
        <v>64.94</v>
      </c>
      <c r="AP5601" s="42"/>
      <c r="AQ5601" s="74"/>
      <c r="AR5601" s="77"/>
      <c r="AT5601" s="497">
        <v>73.039999999999992</v>
      </c>
      <c r="AV5601" s="42"/>
      <c r="AW5601" s="74"/>
      <c r="AX5601" s="77"/>
      <c r="BA5601" s="497">
        <v>71.06</v>
      </c>
      <c r="BB5601" s="42"/>
      <c r="BC5601" s="74"/>
      <c r="BD5601" s="77"/>
      <c r="BF5601">
        <v>69.080000000000013</v>
      </c>
      <c r="BH5601" s="42"/>
      <c r="BI5601" s="74"/>
      <c r="BJ5601" s="77"/>
      <c r="BL5601" s="497">
        <v>69.080000000000013</v>
      </c>
      <c r="BN5601" s="42"/>
      <c r="BO5601" s="74"/>
      <c r="BP5601" s="77"/>
      <c r="BR5601" s="497">
        <v>73.039999999999992</v>
      </c>
      <c r="BT5601" s="42"/>
    </row>
    <row r="5602" spans="1:72" x14ac:dyDescent="0.25">
      <c r="A5602" s="90">
        <v>34932</v>
      </c>
      <c r="B5602" s="20">
        <v>0.66666666666666663</v>
      </c>
      <c r="D5602">
        <v>84.02</v>
      </c>
      <c r="E5602" t="str">
        <f t="shared" si="210"/>
        <v>WEEKDAY</v>
      </c>
      <c r="F5602" t="e">
        <f t="shared" si="209"/>
        <v>#N/A</v>
      </c>
      <c r="G5602" s="74">
        <v>32010</v>
      </c>
      <c r="H5602" s="77">
        <v>0.66666666666666663</v>
      </c>
      <c r="J5602">
        <v>82.94</v>
      </c>
      <c r="M5602" s="74">
        <v>34567</v>
      </c>
      <c r="N5602" s="77">
        <v>0.66666666666666663</v>
      </c>
      <c r="P5602">
        <v>77.900000000000006</v>
      </c>
      <c r="S5602" s="74">
        <v>34932</v>
      </c>
      <c r="T5602" s="77">
        <v>0.66666666666666663</v>
      </c>
      <c r="V5602">
        <v>84.92</v>
      </c>
      <c r="X5602" s="42"/>
      <c r="AB5602">
        <v>79.400000000000006</v>
      </c>
      <c r="AC5602">
        <v>78.080000000000013</v>
      </c>
      <c r="AE5602" s="74"/>
      <c r="AF5602" s="77"/>
      <c r="AH5602" s="497">
        <v>75.92</v>
      </c>
      <c r="AJ5602" s="42"/>
      <c r="AK5602" s="74"/>
      <c r="AL5602" s="77"/>
      <c r="AN5602" s="497">
        <v>64.039999999999992</v>
      </c>
      <c r="AP5602" s="42"/>
      <c r="AQ5602" s="74"/>
      <c r="AR5602" s="77"/>
      <c r="AT5602" s="497">
        <v>73.039999999999992</v>
      </c>
      <c r="AV5602" s="42"/>
      <c r="AW5602" s="74"/>
      <c r="AX5602" s="77"/>
      <c r="BA5602" s="497">
        <v>69.98</v>
      </c>
      <c r="BB5602" s="42"/>
      <c r="BC5602" s="74"/>
      <c r="BD5602" s="77"/>
      <c r="BF5602">
        <v>69.080000000000013</v>
      </c>
      <c r="BH5602" s="42"/>
      <c r="BI5602" s="74"/>
      <c r="BJ5602" s="77"/>
      <c r="BL5602" s="497">
        <v>66.92</v>
      </c>
      <c r="BN5602" s="42"/>
      <c r="BO5602" s="74"/>
      <c r="BP5602" s="77"/>
      <c r="BR5602" s="497">
        <v>73.94</v>
      </c>
      <c r="BT5602" s="42"/>
    </row>
    <row r="5603" spans="1:72" x14ac:dyDescent="0.25">
      <c r="A5603" s="90">
        <v>34932</v>
      </c>
      <c r="B5603" s="20">
        <v>0.70833333333333337</v>
      </c>
      <c r="D5603">
        <v>84.02</v>
      </c>
      <c r="E5603" t="str">
        <f t="shared" si="210"/>
        <v>WEEKDAY</v>
      </c>
      <c r="F5603" t="e">
        <f t="shared" si="209"/>
        <v>#N/A</v>
      </c>
      <c r="G5603" s="74">
        <v>32010</v>
      </c>
      <c r="H5603" s="77">
        <v>0.70833333333333337</v>
      </c>
      <c r="J5603">
        <v>82.039999999999992</v>
      </c>
      <c r="M5603" s="74">
        <v>34567</v>
      </c>
      <c r="N5603" s="77">
        <v>0.70833333333333337</v>
      </c>
      <c r="P5603">
        <v>77</v>
      </c>
      <c r="S5603" s="74">
        <v>34932</v>
      </c>
      <c r="T5603" s="77">
        <v>0.70833333333333337</v>
      </c>
      <c r="V5603">
        <v>84.02</v>
      </c>
      <c r="X5603" s="42"/>
      <c r="AB5603">
        <v>78.5</v>
      </c>
      <c r="AC5603">
        <v>77</v>
      </c>
      <c r="AE5603" s="74"/>
      <c r="AF5603" s="77"/>
      <c r="AH5603" s="497">
        <v>70.88</v>
      </c>
      <c r="AJ5603" s="42"/>
      <c r="AK5603" s="74"/>
      <c r="AL5603" s="77"/>
      <c r="AN5603" s="497">
        <v>62.96</v>
      </c>
      <c r="AP5603" s="42"/>
      <c r="AQ5603" s="74"/>
      <c r="AR5603" s="77"/>
      <c r="AT5603" s="497">
        <v>71.960000000000008</v>
      </c>
      <c r="AV5603" s="42"/>
      <c r="AW5603" s="74"/>
      <c r="AX5603" s="77"/>
      <c r="BA5603" s="497">
        <v>71.06</v>
      </c>
      <c r="BB5603" s="42"/>
      <c r="BC5603" s="74"/>
      <c r="BD5603" s="77"/>
      <c r="BF5603">
        <v>69.080000000000013</v>
      </c>
      <c r="BH5603" s="42"/>
      <c r="BI5603" s="74"/>
      <c r="BJ5603" s="77"/>
      <c r="BL5603" s="497">
        <v>66.92</v>
      </c>
      <c r="BN5603" s="42"/>
      <c r="BO5603" s="74"/>
      <c r="BP5603" s="77"/>
      <c r="BR5603" s="497">
        <v>73.039999999999992</v>
      </c>
      <c r="BT5603" s="42"/>
    </row>
    <row r="5604" spans="1:72" x14ac:dyDescent="0.25">
      <c r="A5604" s="90">
        <v>34932</v>
      </c>
      <c r="B5604" s="20">
        <v>0.75</v>
      </c>
      <c r="D5604">
        <v>82.94</v>
      </c>
      <c r="E5604" t="str">
        <f t="shared" si="210"/>
        <v>WEEKDAY</v>
      </c>
      <c r="F5604" t="e">
        <f t="shared" si="209"/>
        <v>#N/A</v>
      </c>
      <c r="G5604" s="74">
        <v>32010</v>
      </c>
      <c r="H5604" s="77">
        <v>0.75</v>
      </c>
      <c r="J5604">
        <v>80.960000000000008</v>
      </c>
      <c r="M5604" s="74">
        <v>34567</v>
      </c>
      <c r="N5604" s="77">
        <v>0.75</v>
      </c>
      <c r="P5604">
        <v>75.92</v>
      </c>
      <c r="S5604" s="74">
        <v>34932</v>
      </c>
      <c r="T5604" s="77">
        <v>0.75</v>
      </c>
      <c r="V5604">
        <v>82.94</v>
      </c>
      <c r="X5604" s="42"/>
      <c r="AB5604">
        <v>77.400000000000006</v>
      </c>
      <c r="AC5604">
        <v>75.02</v>
      </c>
      <c r="AE5604" s="74"/>
      <c r="AF5604" s="77"/>
      <c r="AH5604" s="497">
        <v>71.960000000000008</v>
      </c>
      <c r="AJ5604" s="42"/>
      <c r="AK5604" s="74"/>
      <c r="AL5604" s="77"/>
      <c r="AN5604" s="497">
        <v>62.96</v>
      </c>
      <c r="AP5604" s="42"/>
      <c r="AQ5604" s="74"/>
      <c r="AR5604" s="77"/>
      <c r="AT5604" s="497">
        <v>71.06</v>
      </c>
      <c r="AV5604" s="42"/>
      <c r="AW5604" s="74"/>
      <c r="AX5604" s="77"/>
      <c r="BA5604" s="497">
        <v>69.080000000000013</v>
      </c>
      <c r="BB5604" s="42"/>
      <c r="BC5604" s="74"/>
      <c r="BD5604" s="77"/>
      <c r="BF5604">
        <v>68</v>
      </c>
      <c r="BH5604" s="42"/>
      <c r="BI5604" s="74"/>
      <c r="BJ5604" s="77"/>
      <c r="BL5604" s="497">
        <v>66.92</v>
      </c>
      <c r="BN5604" s="42"/>
      <c r="BO5604" s="74"/>
      <c r="BP5604" s="77"/>
      <c r="BR5604" s="497">
        <v>73.039999999999992</v>
      </c>
      <c r="BT5604" s="42"/>
    </row>
    <row r="5605" spans="1:72" x14ac:dyDescent="0.25">
      <c r="A5605" s="90">
        <v>34932</v>
      </c>
      <c r="B5605" s="20">
        <v>0.79166666666666663</v>
      </c>
      <c r="D5605">
        <v>80.960000000000008</v>
      </c>
      <c r="E5605" t="str">
        <f t="shared" si="210"/>
        <v>WEEKDAY</v>
      </c>
      <c r="F5605" t="e">
        <f t="shared" si="209"/>
        <v>#N/A</v>
      </c>
      <c r="G5605" s="74">
        <v>32010</v>
      </c>
      <c r="H5605" s="77">
        <v>0.79166666666666663</v>
      </c>
      <c r="J5605">
        <v>78.98</v>
      </c>
      <c r="M5605" s="74">
        <v>34567</v>
      </c>
      <c r="N5605" s="77">
        <v>0.79166666666666663</v>
      </c>
      <c r="P5605">
        <v>72.86</v>
      </c>
      <c r="S5605" s="74">
        <v>34932</v>
      </c>
      <c r="T5605" s="77">
        <v>0.79166666666666663</v>
      </c>
      <c r="V5605">
        <v>87.080000000000013</v>
      </c>
      <c r="X5605" s="42"/>
      <c r="AB5605">
        <v>75.900000000000006</v>
      </c>
      <c r="AC5605">
        <v>73.039999999999992</v>
      </c>
      <c r="AE5605" s="74"/>
      <c r="AF5605" s="77"/>
      <c r="AH5605" s="497">
        <v>71.960000000000008</v>
      </c>
      <c r="AJ5605" s="42"/>
      <c r="AK5605" s="74"/>
      <c r="AL5605" s="77"/>
      <c r="AN5605" s="497">
        <v>60.980000000000004</v>
      </c>
      <c r="AP5605" s="42"/>
      <c r="AQ5605" s="74"/>
      <c r="AR5605" s="77"/>
      <c r="AT5605" s="497">
        <v>69.080000000000013</v>
      </c>
      <c r="AV5605" s="42"/>
      <c r="AW5605" s="74"/>
      <c r="AX5605" s="77"/>
      <c r="BA5605" s="497">
        <v>64.039999999999992</v>
      </c>
      <c r="BB5605" s="42"/>
      <c r="BC5605" s="74"/>
      <c r="BD5605" s="77"/>
      <c r="BF5605">
        <v>66.92</v>
      </c>
      <c r="BH5605" s="42"/>
      <c r="BI5605" s="74"/>
      <c r="BJ5605" s="77"/>
      <c r="BL5605" s="497">
        <v>66.02</v>
      </c>
      <c r="BN5605" s="42"/>
      <c r="BO5605" s="74"/>
      <c r="BP5605" s="77"/>
      <c r="BR5605" s="497">
        <v>66.92</v>
      </c>
      <c r="BT5605" s="42"/>
    </row>
    <row r="5606" spans="1:72" x14ac:dyDescent="0.25">
      <c r="A5606" s="90">
        <v>34932</v>
      </c>
      <c r="B5606" s="20">
        <v>0.83333333333333337</v>
      </c>
      <c r="D5606">
        <v>80.06</v>
      </c>
      <c r="E5606" t="str">
        <f t="shared" si="210"/>
        <v>WEEKDAY</v>
      </c>
      <c r="F5606" t="e">
        <f t="shared" si="209"/>
        <v>#N/A</v>
      </c>
      <c r="G5606" s="74">
        <v>32010</v>
      </c>
      <c r="H5606" s="77">
        <v>0.83333333333333337</v>
      </c>
      <c r="J5606">
        <v>78.98</v>
      </c>
      <c r="M5606" s="74">
        <v>34567</v>
      </c>
      <c r="N5606" s="77">
        <v>0.83333333333333337</v>
      </c>
      <c r="P5606">
        <v>71.960000000000008</v>
      </c>
      <c r="S5606" s="74">
        <v>34932</v>
      </c>
      <c r="T5606" s="77">
        <v>0.83333333333333337</v>
      </c>
      <c r="V5606">
        <v>82.94</v>
      </c>
      <c r="X5606" s="42"/>
      <c r="AB5606">
        <v>74.5</v>
      </c>
      <c r="AC5606">
        <v>71.06</v>
      </c>
      <c r="AE5606" s="74"/>
      <c r="AF5606" s="77"/>
      <c r="AH5606" s="497">
        <v>70.88</v>
      </c>
      <c r="AJ5606" s="42"/>
      <c r="AK5606" s="74"/>
      <c r="AL5606" s="77"/>
      <c r="AN5606" s="497">
        <v>60.08</v>
      </c>
      <c r="AP5606" s="42"/>
      <c r="AQ5606" s="74"/>
      <c r="AR5606" s="77"/>
      <c r="AT5606" s="497">
        <v>68</v>
      </c>
      <c r="AV5606" s="42"/>
      <c r="AW5606" s="74"/>
      <c r="AX5606" s="77"/>
      <c r="BA5606" s="497">
        <v>62.06</v>
      </c>
      <c r="BB5606" s="42"/>
      <c r="BC5606" s="74"/>
      <c r="BD5606" s="77"/>
      <c r="BF5606">
        <v>64.94</v>
      </c>
      <c r="BH5606" s="42"/>
      <c r="BI5606" s="74"/>
      <c r="BJ5606" s="77"/>
      <c r="BL5606" s="497">
        <v>66.02</v>
      </c>
      <c r="BN5606" s="42"/>
      <c r="BO5606" s="74"/>
      <c r="BP5606" s="77"/>
      <c r="BR5606" s="497">
        <v>60.980000000000004</v>
      </c>
      <c r="BT5606" s="42"/>
    </row>
    <row r="5607" spans="1:72" x14ac:dyDescent="0.25">
      <c r="A5607" s="90">
        <v>34932</v>
      </c>
      <c r="B5607" s="20">
        <v>0.875</v>
      </c>
      <c r="D5607">
        <v>78.080000000000013</v>
      </c>
      <c r="E5607" t="str">
        <f t="shared" si="210"/>
        <v>WEEKDAY</v>
      </c>
      <c r="F5607" t="e">
        <f t="shared" si="209"/>
        <v>#N/A</v>
      </c>
      <c r="G5607" s="74">
        <v>32010</v>
      </c>
      <c r="H5607" s="77">
        <v>0.875</v>
      </c>
      <c r="J5607">
        <v>78.080000000000013</v>
      </c>
      <c r="M5607" s="74">
        <v>34567</v>
      </c>
      <c r="N5607" s="77">
        <v>0.875</v>
      </c>
      <c r="P5607">
        <v>70.88</v>
      </c>
      <c r="S5607" s="74">
        <v>34932</v>
      </c>
      <c r="T5607" s="77">
        <v>0.875</v>
      </c>
      <c r="V5607">
        <v>82.94</v>
      </c>
      <c r="X5607" s="42"/>
      <c r="AB5607">
        <v>73.7</v>
      </c>
      <c r="AC5607">
        <v>69.98</v>
      </c>
      <c r="AE5607" s="74"/>
      <c r="AF5607" s="77"/>
      <c r="AH5607" s="497">
        <v>70.88</v>
      </c>
      <c r="AJ5607" s="42"/>
      <c r="AK5607" s="74"/>
      <c r="AL5607" s="77"/>
      <c r="AN5607" s="497">
        <v>60.08</v>
      </c>
      <c r="AP5607" s="42"/>
      <c r="AQ5607" s="74"/>
      <c r="AR5607" s="77"/>
      <c r="AT5607" s="497">
        <v>66.92</v>
      </c>
      <c r="AV5607" s="42"/>
      <c r="AW5607" s="74"/>
      <c r="AX5607" s="77"/>
      <c r="BA5607" s="497">
        <v>57.92</v>
      </c>
      <c r="BB5607" s="42"/>
      <c r="BC5607" s="74"/>
      <c r="BD5607" s="77"/>
      <c r="BF5607">
        <v>64.94</v>
      </c>
      <c r="BH5607" s="42"/>
      <c r="BI5607" s="74"/>
      <c r="BJ5607" s="77"/>
      <c r="BL5607" s="497">
        <v>66.02</v>
      </c>
      <c r="BN5607" s="42"/>
      <c r="BO5607" s="74"/>
      <c r="BP5607" s="77"/>
      <c r="BR5607" s="497">
        <v>57.92</v>
      </c>
      <c r="BT5607" s="42"/>
    </row>
    <row r="5608" spans="1:72" x14ac:dyDescent="0.25">
      <c r="A5608" s="90">
        <v>34932</v>
      </c>
      <c r="B5608" s="20">
        <v>0.91666666666666663</v>
      </c>
      <c r="D5608">
        <v>75.92</v>
      </c>
      <c r="E5608" t="str">
        <f t="shared" si="210"/>
        <v>WEEKDAY</v>
      </c>
      <c r="F5608" t="e">
        <f t="shared" si="209"/>
        <v>#N/A</v>
      </c>
      <c r="G5608" s="74">
        <v>32010</v>
      </c>
      <c r="H5608" s="77">
        <v>0.91666666666666663</v>
      </c>
      <c r="J5608">
        <v>77</v>
      </c>
      <c r="M5608" s="74">
        <v>34567</v>
      </c>
      <c r="N5608" s="77">
        <v>0.91666666666666663</v>
      </c>
      <c r="P5608">
        <v>69.98</v>
      </c>
      <c r="S5608" s="74">
        <v>34932</v>
      </c>
      <c r="T5608" s="77">
        <v>0.91666666666666663</v>
      </c>
      <c r="V5608">
        <v>82.039999999999992</v>
      </c>
      <c r="X5608" s="42"/>
      <c r="AB5608">
        <v>73.2</v>
      </c>
      <c r="AC5608">
        <v>69.98</v>
      </c>
      <c r="AE5608" s="74"/>
      <c r="AF5608" s="77"/>
      <c r="AH5608" s="497">
        <v>69.98</v>
      </c>
      <c r="AJ5608" s="42"/>
      <c r="AK5608" s="74"/>
      <c r="AL5608" s="77"/>
      <c r="AN5608" s="497">
        <v>60.08</v>
      </c>
      <c r="AP5608" s="42"/>
      <c r="AQ5608" s="74"/>
      <c r="AR5608" s="77"/>
      <c r="AT5608" s="497">
        <v>66.02</v>
      </c>
      <c r="AV5608" s="42"/>
      <c r="AW5608" s="74"/>
      <c r="AX5608" s="77"/>
      <c r="BA5608" s="497">
        <v>57.019999999999996</v>
      </c>
      <c r="BB5608" s="42"/>
      <c r="BC5608" s="74"/>
      <c r="BD5608" s="77"/>
      <c r="BF5608">
        <v>62.06</v>
      </c>
      <c r="BH5608" s="42"/>
      <c r="BI5608" s="74"/>
      <c r="BJ5608" s="77"/>
      <c r="BL5608" s="497">
        <v>64.94</v>
      </c>
      <c r="BN5608" s="42"/>
      <c r="BO5608" s="74"/>
      <c r="BP5608" s="77"/>
      <c r="BR5608" s="497">
        <v>57.019999999999996</v>
      </c>
      <c r="BT5608" s="42"/>
    </row>
    <row r="5609" spans="1:72" x14ac:dyDescent="0.25">
      <c r="A5609" s="90">
        <v>34932</v>
      </c>
      <c r="B5609" s="20">
        <v>0.95833333333333337</v>
      </c>
      <c r="D5609">
        <v>75.02</v>
      </c>
      <c r="E5609" t="str">
        <f t="shared" si="210"/>
        <v>WEEKDAY</v>
      </c>
      <c r="F5609" t="e">
        <f t="shared" si="209"/>
        <v>#N/A</v>
      </c>
      <c r="G5609" s="74">
        <v>32010</v>
      </c>
      <c r="H5609" s="77">
        <v>0.95833333333333337</v>
      </c>
      <c r="J5609">
        <v>75.02</v>
      </c>
      <c r="M5609" s="74">
        <v>34567</v>
      </c>
      <c r="N5609" s="77">
        <v>0.95833333333333337</v>
      </c>
      <c r="P5609">
        <v>68.900000000000006</v>
      </c>
      <c r="S5609" s="74">
        <v>34932</v>
      </c>
      <c r="T5609" s="77">
        <v>0.95833333333333337</v>
      </c>
      <c r="V5609">
        <v>80.960000000000008</v>
      </c>
      <c r="X5609" s="42"/>
      <c r="AB5609">
        <v>72.599999999999994</v>
      </c>
      <c r="AC5609">
        <v>69.080000000000013</v>
      </c>
      <c r="AE5609" s="74"/>
      <c r="AF5609" s="77"/>
      <c r="AH5609" s="497">
        <v>70.88</v>
      </c>
      <c r="AJ5609" s="42"/>
      <c r="AK5609" s="74"/>
      <c r="AL5609" s="77"/>
      <c r="AN5609" s="497">
        <v>59</v>
      </c>
      <c r="AP5609" s="42"/>
      <c r="AQ5609" s="74"/>
      <c r="AR5609" s="77"/>
      <c r="AT5609" s="497">
        <v>64.039999999999992</v>
      </c>
      <c r="AV5609" s="42"/>
      <c r="AW5609" s="74"/>
      <c r="AX5609" s="77"/>
      <c r="BA5609" s="497">
        <v>53.96</v>
      </c>
      <c r="BB5609" s="42"/>
      <c r="BC5609" s="74"/>
      <c r="BD5609" s="77"/>
      <c r="BF5609">
        <v>60.08</v>
      </c>
      <c r="BH5609" s="42"/>
      <c r="BI5609" s="74"/>
      <c r="BJ5609" s="77"/>
      <c r="BL5609" s="497">
        <v>64.94</v>
      </c>
      <c r="BN5609" s="42"/>
      <c r="BO5609" s="74"/>
      <c r="BP5609" s="77"/>
      <c r="BR5609" s="497">
        <v>55.040000000000006</v>
      </c>
      <c r="BT5609" s="42"/>
    </row>
    <row r="5610" spans="1:72" x14ac:dyDescent="0.25">
      <c r="A5610" s="90">
        <v>34932</v>
      </c>
      <c r="B5610" s="20">
        <v>1</v>
      </c>
      <c r="D5610">
        <v>73.039999999999992</v>
      </c>
      <c r="E5610" t="str">
        <f t="shared" si="210"/>
        <v>WEEKDAY</v>
      </c>
      <c r="F5610" t="e">
        <f t="shared" si="209"/>
        <v>#N/A</v>
      </c>
      <c r="G5610" s="74">
        <v>32010</v>
      </c>
      <c r="H5610" s="77">
        <v>1</v>
      </c>
      <c r="J5610">
        <v>73.94</v>
      </c>
      <c r="M5610" s="74">
        <v>34567</v>
      </c>
      <c r="N5610" s="80">
        <v>1</v>
      </c>
      <c r="P5610">
        <v>68</v>
      </c>
      <c r="S5610" s="74">
        <v>34932</v>
      </c>
      <c r="T5610" s="80">
        <v>1</v>
      </c>
      <c r="V5610">
        <v>80.960000000000008</v>
      </c>
      <c r="X5610" s="42"/>
      <c r="AB5610">
        <v>72</v>
      </c>
      <c r="AC5610">
        <v>66.02</v>
      </c>
      <c r="AE5610" s="74"/>
      <c r="AF5610" s="80"/>
      <c r="AH5610" s="497">
        <v>69.98</v>
      </c>
      <c r="AJ5610" s="42"/>
      <c r="AK5610" s="74"/>
      <c r="AL5610" s="80"/>
      <c r="AN5610" s="497">
        <v>57.019999999999996</v>
      </c>
      <c r="AP5610" s="42"/>
      <c r="AQ5610" s="74"/>
      <c r="AR5610" s="80"/>
      <c r="AT5610" s="497">
        <v>64.039999999999992</v>
      </c>
      <c r="AV5610" s="42"/>
      <c r="AW5610" s="74"/>
      <c r="AX5610" s="80"/>
      <c r="BA5610" s="497">
        <v>53.06</v>
      </c>
      <c r="BB5610" s="42"/>
      <c r="BC5610" s="74"/>
      <c r="BD5610" s="80"/>
      <c r="BF5610">
        <v>60.980000000000004</v>
      </c>
      <c r="BH5610" s="42"/>
      <c r="BI5610" s="74"/>
      <c r="BJ5610" s="80"/>
      <c r="BL5610" s="497">
        <v>64.039999999999992</v>
      </c>
      <c r="BN5610" s="42"/>
      <c r="BO5610" s="74"/>
      <c r="BP5610" s="80"/>
      <c r="BR5610" s="497">
        <v>55.94</v>
      </c>
      <c r="BT5610" s="42"/>
    </row>
    <row r="5611" spans="1:72" x14ac:dyDescent="0.25">
      <c r="A5611" s="90">
        <v>34933</v>
      </c>
      <c r="B5611" s="20">
        <v>4.1666666666666664E-2</v>
      </c>
      <c r="D5611">
        <v>73.039999999999992</v>
      </c>
      <c r="E5611" t="str">
        <f t="shared" si="210"/>
        <v>WEEKDAY</v>
      </c>
      <c r="F5611" t="e">
        <f t="shared" ref="F5611:F5674" si="211">IF(E5611="WEEKDAY",VLOOKUP(B5611,$DD$19:$DG$42,2),IF(E5611="SATURDAY",VLOOKUP(B5611,$DD$19:$DG$42,3),VLOOKUP(B5611,$DD$19:$DG$42,4)))</f>
        <v>#N/A</v>
      </c>
      <c r="G5611" s="74">
        <v>32011</v>
      </c>
      <c r="H5611" s="77">
        <v>4.1666666666666664E-2</v>
      </c>
      <c r="J5611">
        <v>73.039999999999992</v>
      </c>
      <c r="M5611" s="74">
        <v>34568</v>
      </c>
      <c r="N5611" s="77">
        <v>4.1666666666666664E-2</v>
      </c>
      <c r="P5611">
        <v>66.92</v>
      </c>
      <c r="S5611" s="74">
        <v>34933</v>
      </c>
      <c r="T5611" s="77">
        <v>4.1666666666666664E-2</v>
      </c>
      <c r="V5611">
        <v>80.06</v>
      </c>
      <c r="X5611" s="42"/>
      <c r="AB5611">
        <v>71.3</v>
      </c>
      <c r="AC5611">
        <v>66.92</v>
      </c>
      <c r="AE5611" s="74"/>
      <c r="AF5611" s="77"/>
      <c r="AH5611" s="497">
        <v>68.900000000000006</v>
      </c>
      <c r="AJ5611" s="42"/>
      <c r="AK5611" s="74"/>
      <c r="AL5611" s="77"/>
      <c r="AN5611" s="497">
        <v>57.019999999999996</v>
      </c>
      <c r="AP5611" s="42"/>
      <c r="AQ5611" s="74"/>
      <c r="AR5611" s="77"/>
      <c r="AT5611" s="497">
        <v>64.039999999999992</v>
      </c>
      <c r="AV5611" s="42"/>
      <c r="AW5611" s="74"/>
      <c r="AX5611" s="77"/>
      <c r="BA5611" s="497">
        <v>51.980000000000004</v>
      </c>
      <c r="BB5611" s="42"/>
      <c r="BC5611" s="74"/>
      <c r="BD5611" s="77"/>
      <c r="BF5611">
        <v>57.92</v>
      </c>
      <c r="BH5611" s="42"/>
      <c r="BI5611" s="74"/>
      <c r="BJ5611" s="77"/>
      <c r="BL5611" s="497">
        <v>62.96</v>
      </c>
      <c r="BN5611" s="42"/>
      <c r="BO5611" s="74"/>
      <c r="BP5611" s="77"/>
      <c r="BR5611" s="497">
        <v>55.040000000000006</v>
      </c>
      <c r="BT5611" s="42"/>
    </row>
    <row r="5612" spans="1:72" x14ac:dyDescent="0.25">
      <c r="A5612" s="90">
        <v>34933</v>
      </c>
      <c r="B5612" s="20">
        <v>8.3333333333333329E-2</v>
      </c>
      <c r="D5612">
        <v>71.960000000000008</v>
      </c>
      <c r="E5612" t="str">
        <f t="shared" si="210"/>
        <v>WEEKDAY</v>
      </c>
      <c r="F5612" t="e">
        <f t="shared" si="211"/>
        <v>#N/A</v>
      </c>
      <c r="G5612" s="74">
        <v>32011</v>
      </c>
      <c r="H5612" s="77">
        <v>8.3333333333333329E-2</v>
      </c>
      <c r="J5612">
        <v>71.960000000000008</v>
      </c>
      <c r="M5612" s="74">
        <v>34568</v>
      </c>
      <c r="N5612" s="77">
        <v>8.3333333333333329E-2</v>
      </c>
      <c r="P5612">
        <v>66.92</v>
      </c>
      <c r="S5612" s="74">
        <v>34933</v>
      </c>
      <c r="T5612" s="77">
        <v>8.3333333333333329E-2</v>
      </c>
      <c r="V5612">
        <v>80.06</v>
      </c>
      <c r="X5612" s="42"/>
      <c r="AB5612">
        <v>70.8</v>
      </c>
      <c r="AC5612">
        <v>64.039999999999992</v>
      </c>
      <c r="AE5612" s="74"/>
      <c r="AF5612" s="77"/>
      <c r="AH5612" s="497">
        <v>68.900000000000006</v>
      </c>
      <c r="AJ5612" s="42"/>
      <c r="AK5612" s="74"/>
      <c r="AL5612" s="77"/>
      <c r="AN5612" s="497">
        <v>55.94</v>
      </c>
      <c r="AP5612" s="42"/>
      <c r="AQ5612" s="74"/>
      <c r="AR5612" s="77"/>
      <c r="AT5612" s="497">
        <v>62.96</v>
      </c>
      <c r="AV5612" s="42"/>
      <c r="AW5612" s="74"/>
      <c r="AX5612" s="77"/>
      <c r="BA5612" s="497">
        <v>53.06</v>
      </c>
      <c r="BB5612" s="42"/>
      <c r="BC5612" s="74"/>
      <c r="BD5612" s="77"/>
      <c r="BF5612">
        <v>57.019999999999996</v>
      </c>
      <c r="BH5612" s="42"/>
      <c r="BI5612" s="74"/>
      <c r="BJ5612" s="77"/>
      <c r="BL5612" s="497">
        <v>62.96</v>
      </c>
      <c r="BN5612" s="42"/>
      <c r="BO5612" s="74"/>
      <c r="BP5612" s="77"/>
      <c r="BR5612" s="497">
        <v>51.980000000000004</v>
      </c>
      <c r="BT5612" s="42"/>
    </row>
    <row r="5613" spans="1:72" x14ac:dyDescent="0.25">
      <c r="A5613" s="90">
        <v>34933</v>
      </c>
      <c r="B5613" s="20">
        <v>0.125</v>
      </c>
      <c r="D5613">
        <v>71.960000000000008</v>
      </c>
      <c r="E5613" t="str">
        <f t="shared" si="210"/>
        <v>WEEKDAY</v>
      </c>
      <c r="F5613" t="e">
        <f t="shared" si="211"/>
        <v>#N/A</v>
      </c>
      <c r="G5613" s="74">
        <v>32011</v>
      </c>
      <c r="H5613" s="77">
        <v>0.125</v>
      </c>
      <c r="J5613">
        <v>71.960000000000008</v>
      </c>
      <c r="M5613" s="74">
        <v>34568</v>
      </c>
      <c r="N5613" s="77">
        <v>0.125</v>
      </c>
      <c r="P5613">
        <v>66.92</v>
      </c>
      <c r="S5613" s="74">
        <v>34933</v>
      </c>
      <c r="T5613" s="77">
        <v>0.125</v>
      </c>
      <c r="V5613">
        <v>80.960000000000008</v>
      </c>
      <c r="X5613" s="42"/>
      <c r="AB5613">
        <v>70.3</v>
      </c>
      <c r="AC5613">
        <v>62.96</v>
      </c>
      <c r="AE5613" s="74"/>
      <c r="AF5613" s="77"/>
      <c r="AH5613" s="497">
        <v>68.900000000000006</v>
      </c>
      <c r="AJ5613" s="42"/>
      <c r="AK5613" s="74"/>
      <c r="AL5613" s="77"/>
      <c r="AN5613" s="497">
        <v>55.94</v>
      </c>
      <c r="AP5613" s="42"/>
      <c r="AQ5613" s="74"/>
      <c r="AR5613" s="77"/>
      <c r="AT5613" s="497">
        <v>62.06</v>
      </c>
      <c r="AV5613" s="42"/>
      <c r="AW5613" s="74"/>
      <c r="AX5613" s="77"/>
      <c r="BA5613" s="497">
        <v>53.06</v>
      </c>
      <c r="BB5613" s="42"/>
      <c r="BC5613" s="74"/>
      <c r="BD5613" s="77"/>
      <c r="BF5613">
        <v>57.92</v>
      </c>
      <c r="BH5613" s="42"/>
      <c r="BI5613" s="74"/>
      <c r="BJ5613" s="77"/>
      <c r="BL5613" s="497">
        <v>62.96</v>
      </c>
      <c r="BN5613" s="42"/>
      <c r="BO5613" s="74"/>
      <c r="BP5613" s="77"/>
      <c r="BR5613" s="497">
        <v>51.08</v>
      </c>
      <c r="BT5613" s="42"/>
    </row>
    <row r="5614" spans="1:72" x14ac:dyDescent="0.25">
      <c r="A5614" s="90">
        <v>34933</v>
      </c>
      <c r="B5614" s="20">
        <v>0.16666666666666666</v>
      </c>
      <c r="D5614">
        <v>71.06</v>
      </c>
      <c r="E5614" t="str">
        <f t="shared" si="210"/>
        <v>WEEKDAY</v>
      </c>
      <c r="F5614" t="e">
        <f t="shared" si="211"/>
        <v>#N/A</v>
      </c>
      <c r="G5614" s="74">
        <v>32011</v>
      </c>
      <c r="H5614" s="77">
        <v>0.16666666666666666</v>
      </c>
      <c r="J5614">
        <v>71.960000000000008</v>
      </c>
      <c r="M5614" s="74">
        <v>34568</v>
      </c>
      <c r="N5614" s="77">
        <v>0.16666666666666666</v>
      </c>
      <c r="P5614">
        <v>66.92</v>
      </c>
      <c r="S5614" s="74">
        <v>34933</v>
      </c>
      <c r="T5614" s="77">
        <v>0.16666666666666666</v>
      </c>
      <c r="V5614">
        <v>78.98</v>
      </c>
      <c r="X5614" s="42"/>
      <c r="AB5614">
        <v>69.8</v>
      </c>
      <c r="AC5614">
        <v>62.96</v>
      </c>
      <c r="AE5614" s="74"/>
      <c r="AF5614" s="77"/>
      <c r="AH5614" s="497">
        <v>68.900000000000006</v>
      </c>
      <c r="AJ5614" s="42"/>
      <c r="AK5614" s="74"/>
      <c r="AL5614" s="77"/>
      <c r="AN5614" s="497">
        <v>55.040000000000006</v>
      </c>
      <c r="AP5614" s="42"/>
      <c r="AQ5614" s="74"/>
      <c r="AR5614" s="77"/>
      <c r="AT5614" s="497">
        <v>62.06</v>
      </c>
      <c r="AV5614" s="42"/>
      <c r="AW5614" s="74"/>
      <c r="AX5614" s="77"/>
      <c r="BA5614" s="497">
        <v>53.96</v>
      </c>
      <c r="BB5614" s="42"/>
      <c r="BC5614" s="74"/>
      <c r="BD5614" s="77"/>
      <c r="BF5614">
        <v>57.92</v>
      </c>
      <c r="BH5614" s="42"/>
      <c r="BI5614" s="74"/>
      <c r="BJ5614" s="77"/>
      <c r="BL5614" s="497">
        <v>62.96</v>
      </c>
      <c r="BN5614" s="42"/>
      <c r="BO5614" s="74"/>
      <c r="BP5614" s="77"/>
      <c r="BR5614" s="497">
        <v>50</v>
      </c>
      <c r="BT5614" s="42"/>
    </row>
    <row r="5615" spans="1:72" x14ac:dyDescent="0.25">
      <c r="A5615" s="90">
        <v>34933</v>
      </c>
      <c r="B5615" s="20">
        <v>0.20833333333333334</v>
      </c>
      <c r="D5615">
        <v>69.98</v>
      </c>
      <c r="E5615" t="str">
        <f t="shared" si="210"/>
        <v>WEEKDAY</v>
      </c>
      <c r="F5615" t="e">
        <f t="shared" si="211"/>
        <v>#N/A</v>
      </c>
      <c r="G5615" s="74">
        <v>32011</v>
      </c>
      <c r="H5615" s="77">
        <v>0.20833333333333334</v>
      </c>
      <c r="J5615">
        <v>73.039999999999992</v>
      </c>
      <c r="M5615" s="74">
        <v>34568</v>
      </c>
      <c r="N5615" s="77">
        <v>0.20833333333333334</v>
      </c>
      <c r="P5615">
        <v>65.84</v>
      </c>
      <c r="S5615" s="74">
        <v>34933</v>
      </c>
      <c r="T5615" s="77">
        <v>0.20833333333333334</v>
      </c>
      <c r="V5615">
        <v>77</v>
      </c>
      <c r="X5615" s="42"/>
      <c r="AB5615">
        <v>69.3</v>
      </c>
      <c r="AC5615">
        <v>62.06</v>
      </c>
      <c r="AE5615" s="74"/>
      <c r="AF5615" s="77"/>
      <c r="AH5615" s="497">
        <v>68</v>
      </c>
      <c r="AJ5615" s="42"/>
      <c r="AK5615" s="74"/>
      <c r="AL5615" s="77"/>
      <c r="AN5615" s="497">
        <v>55.94</v>
      </c>
      <c r="AP5615" s="42"/>
      <c r="AQ5615" s="74"/>
      <c r="AR5615" s="77"/>
      <c r="AT5615" s="497">
        <v>62.06</v>
      </c>
      <c r="AV5615" s="42"/>
      <c r="AW5615" s="74"/>
      <c r="AX5615" s="77"/>
      <c r="BA5615" s="497">
        <v>51.980000000000004</v>
      </c>
      <c r="BB5615" s="42"/>
      <c r="BC5615" s="74"/>
      <c r="BD5615" s="77"/>
      <c r="BF5615">
        <v>57.92</v>
      </c>
      <c r="BH5615" s="42"/>
      <c r="BI5615" s="74"/>
      <c r="BJ5615" s="77"/>
      <c r="BL5615" s="497">
        <v>62.96</v>
      </c>
      <c r="BN5615" s="42"/>
      <c r="BO5615" s="74"/>
      <c r="BP5615" s="77"/>
      <c r="BR5615" s="497">
        <v>50</v>
      </c>
      <c r="BT5615" s="42"/>
    </row>
    <row r="5616" spans="1:72" x14ac:dyDescent="0.25">
      <c r="A5616" s="90">
        <v>34933</v>
      </c>
      <c r="B5616" s="20">
        <v>0.25</v>
      </c>
      <c r="D5616">
        <v>71.06</v>
      </c>
      <c r="E5616" t="str">
        <f t="shared" si="210"/>
        <v>WEEKDAY</v>
      </c>
      <c r="F5616" t="e">
        <f t="shared" si="211"/>
        <v>#N/A</v>
      </c>
      <c r="G5616" s="74">
        <v>32011</v>
      </c>
      <c r="H5616" s="77">
        <v>0.25</v>
      </c>
      <c r="J5616">
        <v>73.039999999999992</v>
      </c>
      <c r="M5616" s="74">
        <v>34568</v>
      </c>
      <c r="N5616" s="77">
        <v>0.25</v>
      </c>
      <c r="P5616">
        <v>65.84</v>
      </c>
      <c r="S5616" s="74">
        <v>34933</v>
      </c>
      <c r="T5616" s="77">
        <v>0.25</v>
      </c>
      <c r="V5616">
        <v>77</v>
      </c>
      <c r="X5616" s="42"/>
      <c r="AB5616">
        <v>69</v>
      </c>
      <c r="AC5616">
        <v>64.94</v>
      </c>
      <c r="AE5616" s="74"/>
      <c r="AF5616" s="77"/>
      <c r="AH5616" s="497">
        <v>68.900000000000006</v>
      </c>
      <c r="AJ5616" s="42"/>
      <c r="AK5616" s="74"/>
      <c r="AL5616" s="77"/>
      <c r="AN5616" s="497">
        <v>55.040000000000006</v>
      </c>
      <c r="AP5616" s="42"/>
      <c r="AQ5616" s="74"/>
      <c r="AR5616" s="77"/>
      <c r="AT5616" s="497">
        <v>62.06</v>
      </c>
      <c r="AV5616" s="42"/>
      <c r="AW5616" s="74"/>
      <c r="AX5616" s="77"/>
      <c r="BA5616" s="497">
        <v>51.980000000000004</v>
      </c>
      <c r="BB5616" s="42"/>
      <c r="BC5616" s="74"/>
      <c r="BD5616" s="77"/>
      <c r="BF5616">
        <v>57.019999999999996</v>
      </c>
      <c r="BH5616" s="42"/>
      <c r="BI5616" s="74"/>
      <c r="BJ5616" s="77"/>
      <c r="BL5616" s="497">
        <v>62.96</v>
      </c>
      <c r="BN5616" s="42"/>
      <c r="BO5616" s="74"/>
      <c r="BP5616" s="77"/>
      <c r="BR5616" s="497">
        <v>51.980000000000004</v>
      </c>
      <c r="BT5616" s="42"/>
    </row>
    <row r="5617" spans="1:72" x14ac:dyDescent="0.25">
      <c r="A5617" s="90">
        <v>34933</v>
      </c>
      <c r="B5617" s="20">
        <v>0.29166666666666669</v>
      </c>
      <c r="D5617">
        <v>69.98</v>
      </c>
      <c r="E5617" t="str">
        <f t="shared" si="210"/>
        <v>WEEKDAY</v>
      </c>
      <c r="F5617" t="e">
        <f t="shared" si="211"/>
        <v>#N/A</v>
      </c>
      <c r="G5617" s="74">
        <v>32011</v>
      </c>
      <c r="H5617" s="77">
        <v>0.29166666666666669</v>
      </c>
      <c r="J5617">
        <v>73.94</v>
      </c>
      <c r="M5617" s="74">
        <v>34568</v>
      </c>
      <c r="N5617" s="77">
        <v>0.29166666666666669</v>
      </c>
      <c r="P5617">
        <v>65.84</v>
      </c>
      <c r="S5617" s="74">
        <v>34933</v>
      </c>
      <c r="T5617" s="77">
        <v>0.29166666666666669</v>
      </c>
      <c r="V5617">
        <v>78.98</v>
      </c>
      <c r="X5617" s="42"/>
      <c r="AB5617">
        <v>69.400000000000006</v>
      </c>
      <c r="AC5617">
        <v>71.06</v>
      </c>
      <c r="AE5617" s="74"/>
      <c r="AF5617" s="77"/>
      <c r="AH5617" s="497">
        <v>68.900000000000006</v>
      </c>
      <c r="AJ5617" s="42"/>
      <c r="AK5617" s="74"/>
      <c r="AL5617" s="77"/>
      <c r="AN5617" s="497">
        <v>57.019999999999996</v>
      </c>
      <c r="AP5617" s="42"/>
      <c r="AQ5617" s="74"/>
      <c r="AR5617" s="77"/>
      <c r="AT5617" s="497">
        <v>62.96</v>
      </c>
      <c r="AV5617" s="42"/>
      <c r="AW5617" s="74"/>
      <c r="AX5617" s="77"/>
      <c r="BA5617" s="497">
        <v>55.94</v>
      </c>
      <c r="BB5617" s="42"/>
      <c r="BC5617" s="74"/>
      <c r="BD5617" s="77"/>
      <c r="BF5617">
        <v>59</v>
      </c>
      <c r="BH5617" s="42"/>
      <c r="BI5617" s="74"/>
      <c r="BJ5617" s="77"/>
      <c r="BL5617" s="497">
        <v>64.039999999999992</v>
      </c>
      <c r="BN5617" s="42"/>
      <c r="BO5617" s="74"/>
      <c r="BP5617" s="77"/>
      <c r="BR5617" s="497">
        <v>59</v>
      </c>
      <c r="BT5617" s="42"/>
    </row>
    <row r="5618" spans="1:72" x14ac:dyDescent="0.25">
      <c r="A5618" s="90">
        <v>34933</v>
      </c>
      <c r="B5618" s="20">
        <v>0.33333333333333331</v>
      </c>
      <c r="D5618">
        <v>71.960000000000008</v>
      </c>
      <c r="E5618" t="str">
        <f t="shared" si="210"/>
        <v>WEEKDAY</v>
      </c>
      <c r="F5618" t="e">
        <f t="shared" si="211"/>
        <v>#N/A</v>
      </c>
      <c r="G5618" s="74">
        <v>32011</v>
      </c>
      <c r="H5618" s="77">
        <v>0.33333333333333331</v>
      </c>
      <c r="J5618">
        <v>75.92</v>
      </c>
      <c r="M5618" s="74">
        <v>34568</v>
      </c>
      <c r="N5618" s="77">
        <v>0.33333333333333331</v>
      </c>
      <c r="P5618">
        <v>65.84</v>
      </c>
      <c r="S5618" s="74">
        <v>34933</v>
      </c>
      <c r="T5618" s="77">
        <v>0.33333333333333331</v>
      </c>
      <c r="V5618">
        <v>80.06</v>
      </c>
      <c r="X5618" s="42"/>
      <c r="AB5618">
        <v>71.400000000000006</v>
      </c>
      <c r="AC5618">
        <v>73.94</v>
      </c>
      <c r="AE5618" s="74"/>
      <c r="AF5618" s="77"/>
      <c r="AH5618" s="497">
        <v>68.900000000000006</v>
      </c>
      <c r="AJ5618" s="42"/>
      <c r="AK5618" s="74"/>
      <c r="AL5618" s="77"/>
      <c r="AN5618" s="497">
        <v>60.08</v>
      </c>
      <c r="AP5618" s="42"/>
      <c r="AQ5618" s="74"/>
      <c r="AR5618" s="77"/>
      <c r="AT5618" s="497">
        <v>64.94</v>
      </c>
      <c r="AV5618" s="42"/>
      <c r="AW5618" s="74"/>
      <c r="AX5618" s="77"/>
      <c r="BA5618" s="497">
        <v>60.980000000000004</v>
      </c>
      <c r="BB5618" s="42"/>
      <c r="BC5618" s="74"/>
      <c r="BD5618" s="77"/>
      <c r="BF5618">
        <v>62.06</v>
      </c>
      <c r="BH5618" s="42"/>
      <c r="BI5618" s="74"/>
      <c r="BJ5618" s="77"/>
      <c r="BL5618" s="497">
        <v>62.96</v>
      </c>
      <c r="BN5618" s="42"/>
      <c r="BO5618" s="74"/>
      <c r="BP5618" s="77"/>
      <c r="BR5618" s="497">
        <v>66.92</v>
      </c>
      <c r="BT5618" s="42"/>
    </row>
    <row r="5619" spans="1:72" x14ac:dyDescent="0.25">
      <c r="A5619" s="90">
        <v>34933</v>
      </c>
      <c r="B5619" s="20">
        <v>0.375</v>
      </c>
      <c r="D5619">
        <v>73.039999999999992</v>
      </c>
      <c r="E5619" t="str">
        <f t="shared" si="210"/>
        <v>WEEKDAY</v>
      </c>
      <c r="F5619" t="e">
        <f t="shared" si="211"/>
        <v>#N/A</v>
      </c>
      <c r="G5619" s="74">
        <v>32011</v>
      </c>
      <c r="H5619" s="77">
        <v>0.375</v>
      </c>
      <c r="J5619">
        <v>75.92</v>
      </c>
      <c r="M5619" s="74">
        <v>34568</v>
      </c>
      <c r="N5619" s="77">
        <v>0.375</v>
      </c>
      <c r="P5619">
        <v>64.94</v>
      </c>
      <c r="S5619" s="74">
        <v>34933</v>
      </c>
      <c r="T5619" s="77">
        <v>0.375</v>
      </c>
      <c r="V5619">
        <v>82.039999999999992</v>
      </c>
      <c r="X5619" s="42"/>
      <c r="AB5619">
        <v>73.400000000000006</v>
      </c>
      <c r="AC5619">
        <v>78.080000000000013</v>
      </c>
      <c r="AE5619" s="74"/>
      <c r="AF5619" s="77"/>
      <c r="AH5619" s="497">
        <v>65.84</v>
      </c>
      <c r="AJ5619" s="42"/>
      <c r="AK5619" s="74"/>
      <c r="AL5619" s="77"/>
      <c r="AN5619" s="497">
        <v>64.039999999999992</v>
      </c>
      <c r="AP5619" s="42"/>
      <c r="AQ5619" s="74"/>
      <c r="AR5619" s="77"/>
      <c r="AT5619" s="497">
        <v>66.92</v>
      </c>
      <c r="AV5619" s="42"/>
      <c r="AW5619" s="74"/>
      <c r="AX5619" s="77"/>
      <c r="BA5619" s="497">
        <v>66.02</v>
      </c>
      <c r="BB5619" s="42"/>
      <c r="BC5619" s="74"/>
      <c r="BD5619" s="77"/>
      <c r="BF5619">
        <v>64.94</v>
      </c>
      <c r="BH5619" s="42"/>
      <c r="BI5619" s="74"/>
      <c r="BJ5619" s="77"/>
      <c r="BL5619" s="497">
        <v>64.039999999999992</v>
      </c>
      <c r="BN5619" s="42"/>
      <c r="BO5619" s="74"/>
      <c r="BP5619" s="77"/>
      <c r="BR5619" s="497">
        <v>71.06</v>
      </c>
      <c r="BT5619" s="42"/>
    </row>
    <row r="5620" spans="1:72" x14ac:dyDescent="0.25">
      <c r="A5620" s="90">
        <v>34933</v>
      </c>
      <c r="B5620" s="20">
        <v>0.41666666666666669</v>
      </c>
      <c r="D5620">
        <v>75.02</v>
      </c>
      <c r="E5620" t="str">
        <f t="shared" si="210"/>
        <v>WEEKDAY</v>
      </c>
      <c r="F5620" t="e">
        <f t="shared" si="211"/>
        <v>#N/A</v>
      </c>
      <c r="G5620" s="74">
        <v>32011</v>
      </c>
      <c r="H5620" s="77">
        <v>0.41666666666666669</v>
      </c>
      <c r="J5620">
        <v>73.94</v>
      </c>
      <c r="M5620" s="74">
        <v>34568</v>
      </c>
      <c r="N5620" s="77">
        <v>0.41666666666666669</v>
      </c>
      <c r="P5620">
        <v>64.94</v>
      </c>
      <c r="S5620" s="74">
        <v>34933</v>
      </c>
      <c r="T5620" s="77">
        <v>0.41666666666666669</v>
      </c>
      <c r="V5620">
        <v>82.94</v>
      </c>
      <c r="X5620" s="42"/>
      <c r="AB5620">
        <v>75.3</v>
      </c>
      <c r="AC5620">
        <v>78.98</v>
      </c>
      <c r="AE5620" s="74"/>
      <c r="AF5620" s="77"/>
      <c r="AH5620" s="497">
        <v>65.84</v>
      </c>
      <c r="AJ5620" s="42"/>
      <c r="AK5620" s="74"/>
      <c r="AL5620" s="77"/>
      <c r="AN5620" s="497">
        <v>62.96</v>
      </c>
      <c r="AP5620" s="42"/>
      <c r="AQ5620" s="74"/>
      <c r="AR5620" s="77"/>
      <c r="AT5620" s="497">
        <v>68</v>
      </c>
      <c r="AV5620" s="42"/>
      <c r="AW5620" s="74"/>
      <c r="AX5620" s="77"/>
      <c r="BA5620" s="497">
        <v>71.06</v>
      </c>
      <c r="BB5620" s="42"/>
      <c r="BC5620" s="74"/>
      <c r="BD5620" s="77"/>
      <c r="BF5620">
        <v>66.92</v>
      </c>
      <c r="BH5620" s="42"/>
      <c r="BI5620" s="74"/>
      <c r="BJ5620" s="77"/>
      <c r="BL5620" s="497">
        <v>66.92</v>
      </c>
      <c r="BN5620" s="42"/>
      <c r="BO5620" s="74"/>
      <c r="BP5620" s="77"/>
      <c r="BR5620" s="497">
        <v>73.039999999999992</v>
      </c>
      <c r="BT5620" s="42"/>
    </row>
    <row r="5621" spans="1:72" x14ac:dyDescent="0.25">
      <c r="A5621" s="90">
        <v>34933</v>
      </c>
      <c r="B5621" s="20">
        <v>0.45833333333333331</v>
      </c>
      <c r="D5621">
        <v>77</v>
      </c>
      <c r="E5621" t="str">
        <f t="shared" si="210"/>
        <v>WEEKDAY</v>
      </c>
      <c r="F5621" t="e">
        <f t="shared" si="211"/>
        <v>#N/A</v>
      </c>
      <c r="G5621" s="74">
        <v>32011</v>
      </c>
      <c r="H5621" s="77">
        <v>0.45833333333333331</v>
      </c>
      <c r="J5621">
        <v>75.02</v>
      </c>
      <c r="M5621" s="74">
        <v>34568</v>
      </c>
      <c r="N5621" s="77">
        <v>0.45833333333333331</v>
      </c>
      <c r="P5621">
        <v>65.84</v>
      </c>
      <c r="S5621" s="74">
        <v>34933</v>
      </c>
      <c r="T5621" s="77">
        <v>0.45833333333333331</v>
      </c>
      <c r="V5621">
        <v>84.92</v>
      </c>
      <c r="X5621" s="42"/>
      <c r="AB5621">
        <v>77</v>
      </c>
      <c r="AC5621">
        <v>78.080000000000013</v>
      </c>
      <c r="AE5621" s="74"/>
      <c r="AF5621" s="77"/>
      <c r="AH5621" s="497">
        <v>64.94</v>
      </c>
      <c r="AJ5621" s="42"/>
      <c r="AK5621" s="74"/>
      <c r="AL5621" s="77"/>
      <c r="AN5621" s="497">
        <v>64.94</v>
      </c>
      <c r="AP5621" s="42"/>
      <c r="AQ5621" s="74"/>
      <c r="AR5621" s="77"/>
      <c r="AT5621" s="497">
        <v>71.06</v>
      </c>
      <c r="AV5621" s="42"/>
      <c r="AW5621" s="74"/>
      <c r="AX5621" s="77"/>
      <c r="BA5621" s="497">
        <v>75.02</v>
      </c>
      <c r="BB5621" s="42"/>
      <c r="BC5621" s="74"/>
      <c r="BD5621" s="77"/>
      <c r="BF5621">
        <v>68</v>
      </c>
      <c r="BH5621" s="42"/>
      <c r="BI5621" s="74"/>
      <c r="BJ5621" s="77"/>
      <c r="BL5621" s="497">
        <v>69.080000000000013</v>
      </c>
      <c r="BN5621" s="42"/>
      <c r="BO5621" s="74"/>
      <c r="BP5621" s="77"/>
      <c r="BR5621" s="497">
        <v>75.92</v>
      </c>
      <c r="BT5621" s="42"/>
    </row>
    <row r="5622" spans="1:72" x14ac:dyDescent="0.25">
      <c r="A5622" s="90">
        <v>34933</v>
      </c>
      <c r="B5622" s="20">
        <v>0.5</v>
      </c>
      <c r="D5622">
        <v>78.080000000000013</v>
      </c>
      <c r="E5622" t="str">
        <f t="shared" si="210"/>
        <v>WEEKDAY</v>
      </c>
      <c r="F5622" t="e">
        <f t="shared" si="211"/>
        <v>#N/A</v>
      </c>
      <c r="G5622" s="74">
        <v>32011</v>
      </c>
      <c r="H5622" s="77">
        <v>0.5</v>
      </c>
      <c r="J5622">
        <v>75.92</v>
      </c>
      <c r="M5622" s="74">
        <v>34568</v>
      </c>
      <c r="N5622" s="77">
        <v>0.5</v>
      </c>
      <c r="P5622">
        <v>64.94</v>
      </c>
      <c r="S5622" s="74">
        <v>34933</v>
      </c>
      <c r="T5622" s="77">
        <v>0.5</v>
      </c>
      <c r="V5622">
        <v>86</v>
      </c>
      <c r="X5622" s="42"/>
      <c r="AB5622">
        <v>78.3</v>
      </c>
      <c r="AC5622">
        <v>78.080000000000013</v>
      </c>
      <c r="AE5622" s="74"/>
      <c r="AF5622" s="77"/>
      <c r="AH5622" s="497">
        <v>64.94</v>
      </c>
      <c r="AJ5622" s="42"/>
      <c r="AK5622" s="74"/>
      <c r="AL5622" s="77"/>
      <c r="AN5622" s="497">
        <v>64.039999999999992</v>
      </c>
      <c r="AP5622" s="42"/>
      <c r="AQ5622" s="74"/>
      <c r="AR5622" s="77"/>
      <c r="AT5622" s="497">
        <v>73.94</v>
      </c>
      <c r="AV5622" s="42"/>
      <c r="AW5622" s="74"/>
      <c r="AX5622" s="77"/>
      <c r="BA5622" s="497">
        <v>77</v>
      </c>
      <c r="BB5622" s="42"/>
      <c r="BC5622" s="74"/>
      <c r="BD5622" s="77"/>
      <c r="BF5622">
        <v>71.06</v>
      </c>
      <c r="BH5622" s="42"/>
      <c r="BI5622" s="74"/>
      <c r="BJ5622" s="77"/>
      <c r="BL5622" s="497">
        <v>69.98</v>
      </c>
      <c r="BN5622" s="42"/>
      <c r="BO5622" s="74"/>
      <c r="BP5622" s="77"/>
      <c r="BR5622" s="497">
        <v>78.080000000000013</v>
      </c>
      <c r="BT5622" s="42"/>
    </row>
    <row r="5623" spans="1:72" x14ac:dyDescent="0.25">
      <c r="A5623" s="90">
        <v>34933</v>
      </c>
      <c r="B5623" s="20">
        <v>0.54166666666666663</v>
      </c>
      <c r="D5623">
        <v>78.98</v>
      </c>
      <c r="E5623" t="str">
        <f t="shared" si="210"/>
        <v>WEEKDAY</v>
      </c>
      <c r="F5623" t="e">
        <f t="shared" si="211"/>
        <v>#N/A</v>
      </c>
      <c r="G5623" s="74">
        <v>32011</v>
      </c>
      <c r="H5623" s="77">
        <v>0.54166666666666663</v>
      </c>
      <c r="J5623">
        <v>78.98</v>
      </c>
      <c r="M5623" s="74">
        <v>34568</v>
      </c>
      <c r="N5623" s="77">
        <v>0.54166666666666663</v>
      </c>
      <c r="P5623">
        <v>64.94</v>
      </c>
      <c r="S5623" s="74">
        <v>34933</v>
      </c>
      <c r="T5623" s="77">
        <v>0.54166666666666663</v>
      </c>
      <c r="V5623">
        <v>87.080000000000013</v>
      </c>
      <c r="X5623" s="42"/>
      <c r="AB5623">
        <v>79.2</v>
      </c>
      <c r="AC5623">
        <v>78.98</v>
      </c>
      <c r="AE5623" s="74"/>
      <c r="AF5623" s="77"/>
      <c r="AH5623" s="497">
        <v>64.94</v>
      </c>
      <c r="AJ5623" s="42"/>
      <c r="AK5623" s="74"/>
      <c r="AL5623" s="77"/>
      <c r="AN5623" s="497">
        <v>62.96</v>
      </c>
      <c r="AP5623" s="42"/>
      <c r="AQ5623" s="74"/>
      <c r="AR5623" s="77"/>
      <c r="AT5623" s="497">
        <v>71.960000000000008</v>
      </c>
      <c r="AV5623" s="42"/>
      <c r="AW5623" s="74"/>
      <c r="AX5623" s="77"/>
      <c r="BA5623" s="497">
        <v>78.080000000000013</v>
      </c>
      <c r="BB5623" s="42"/>
      <c r="BC5623" s="74"/>
      <c r="BD5623" s="77"/>
      <c r="BF5623">
        <v>71.960000000000008</v>
      </c>
      <c r="BH5623" s="42"/>
      <c r="BI5623" s="74"/>
      <c r="BJ5623" s="77"/>
      <c r="BL5623" s="497">
        <v>71.960000000000008</v>
      </c>
      <c r="BN5623" s="42"/>
      <c r="BO5623" s="74"/>
      <c r="BP5623" s="77"/>
      <c r="BR5623" s="497">
        <v>78.080000000000013</v>
      </c>
      <c r="BT5623" s="42"/>
    </row>
    <row r="5624" spans="1:72" x14ac:dyDescent="0.25">
      <c r="A5624" s="90">
        <v>34933</v>
      </c>
      <c r="B5624" s="20">
        <v>0.58333333333333337</v>
      </c>
      <c r="D5624">
        <v>82.039999999999992</v>
      </c>
      <c r="E5624" t="str">
        <f t="shared" si="210"/>
        <v>WEEKDAY</v>
      </c>
      <c r="F5624" t="e">
        <f t="shared" si="211"/>
        <v>#N/A</v>
      </c>
      <c r="G5624" s="74">
        <v>32011</v>
      </c>
      <c r="H5624" s="77">
        <v>0.58333333333333337</v>
      </c>
      <c r="J5624">
        <v>82.039999999999992</v>
      </c>
      <c r="M5624" s="74">
        <v>34568</v>
      </c>
      <c r="N5624" s="77">
        <v>0.58333333333333337</v>
      </c>
      <c r="P5624">
        <v>64.94</v>
      </c>
      <c r="S5624" s="74">
        <v>34933</v>
      </c>
      <c r="T5624" s="77">
        <v>0.58333333333333337</v>
      </c>
      <c r="V5624">
        <v>87.98</v>
      </c>
      <c r="X5624" s="42"/>
      <c r="AB5624">
        <v>79.599999999999994</v>
      </c>
      <c r="AC5624">
        <v>78.98</v>
      </c>
      <c r="AE5624" s="74"/>
      <c r="AF5624" s="77"/>
      <c r="AH5624" s="497">
        <v>63.86</v>
      </c>
      <c r="AJ5624" s="42"/>
      <c r="AK5624" s="74"/>
      <c r="AL5624" s="77"/>
      <c r="AN5624" s="497">
        <v>62.06</v>
      </c>
      <c r="AP5624" s="42"/>
      <c r="AQ5624" s="74"/>
      <c r="AR5624" s="77"/>
      <c r="AT5624" s="497">
        <v>73.039999999999992</v>
      </c>
      <c r="AV5624" s="42"/>
      <c r="AW5624" s="74"/>
      <c r="AX5624" s="77"/>
      <c r="BA5624" s="497">
        <v>78.98</v>
      </c>
      <c r="BB5624" s="42"/>
      <c r="BC5624" s="74"/>
      <c r="BD5624" s="77"/>
      <c r="BF5624">
        <v>73.039999999999992</v>
      </c>
      <c r="BH5624" s="42"/>
      <c r="BI5624" s="74"/>
      <c r="BJ5624" s="77"/>
      <c r="BL5624" s="497">
        <v>73.039999999999992</v>
      </c>
      <c r="BN5624" s="42"/>
      <c r="BO5624" s="74"/>
      <c r="BP5624" s="77"/>
      <c r="BR5624" s="497">
        <v>80.06</v>
      </c>
      <c r="BT5624" s="42"/>
    </row>
    <row r="5625" spans="1:72" x14ac:dyDescent="0.25">
      <c r="A5625" s="90">
        <v>34933</v>
      </c>
      <c r="B5625" s="20">
        <v>0.625</v>
      </c>
      <c r="D5625">
        <v>82.039999999999992</v>
      </c>
      <c r="E5625" t="str">
        <f t="shared" si="210"/>
        <v>WEEKDAY</v>
      </c>
      <c r="F5625" t="e">
        <f t="shared" si="211"/>
        <v>#N/A</v>
      </c>
      <c r="G5625" s="74">
        <v>32011</v>
      </c>
      <c r="H5625" s="77">
        <v>0.625</v>
      </c>
      <c r="J5625">
        <v>80.960000000000008</v>
      </c>
      <c r="M5625" s="74">
        <v>34568</v>
      </c>
      <c r="N5625" s="77">
        <v>0.625</v>
      </c>
      <c r="P5625">
        <v>63.86</v>
      </c>
      <c r="S5625" s="74">
        <v>34933</v>
      </c>
      <c r="T5625" s="77">
        <v>0.625</v>
      </c>
      <c r="V5625">
        <v>86</v>
      </c>
      <c r="X5625" s="42"/>
      <c r="AB5625">
        <v>79.7</v>
      </c>
      <c r="AC5625">
        <v>77</v>
      </c>
      <c r="AE5625" s="74"/>
      <c r="AF5625" s="77"/>
      <c r="AH5625" s="497">
        <v>64.94</v>
      </c>
      <c r="AJ5625" s="42"/>
      <c r="AK5625" s="74"/>
      <c r="AL5625" s="77"/>
      <c r="AN5625" s="497">
        <v>62.96</v>
      </c>
      <c r="AP5625" s="42"/>
      <c r="AQ5625" s="74"/>
      <c r="AR5625" s="77"/>
      <c r="AT5625" s="497">
        <v>71.960000000000008</v>
      </c>
      <c r="AV5625" s="42"/>
      <c r="AW5625" s="74"/>
      <c r="AX5625" s="77"/>
      <c r="BA5625" s="497">
        <v>78.98</v>
      </c>
      <c r="BB5625" s="42"/>
      <c r="BC5625" s="74"/>
      <c r="BD5625" s="77"/>
      <c r="BF5625">
        <v>73.94</v>
      </c>
      <c r="BH5625" s="42"/>
      <c r="BI5625" s="74"/>
      <c r="BJ5625" s="77"/>
      <c r="BL5625" s="497">
        <v>73.039999999999992</v>
      </c>
      <c r="BN5625" s="42"/>
      <c r="BO5625" s="74"/>
      <c r="BP5625" s="77"/>
      <c r="BR5625" s="497">
        <v>80.960000000000008</v>
      </c>
      <c r="BT5625" s="42"/>
    </row>
    <row r="5626" spans="1:72" x14ac:dyDescent="0.25">
      <c r="A5626" s="90">
        <v>34933</v>
      </c>
      <c r="B5626" s="20">
        <v>0.66666666666666663</v>
      </c>
      <c r="D5626">
        <v>78.98</v>
      </c>
      <c r="E5626" t="str">
        <f t="shared" si="210"/>
        <v>WEEKDAY</v>
      </c>
      <c r="F5626" t="e">
        <f t="shared" si="211"/>
        <v>#N/A</v>
      </c>
      <c r="G5626" s="74">
        <v>32011</v>
      </c>
      <c r="H5626" s="77">
        <v>0.66666666666666663</v>
      </c>
      <c r="J5626">
        <v>82.039999999999992</v>
      </c>
      <c r="M5626" s="74">
        <v>34568</v>
      </c>
      <c r="N5626" s="77">
        <v>0.66666666666666663</v>
      </c>
      <c r="P5626">
        <v>62.96</v>
      </c>
      <c r="S5626" s="74">
        <v>34933</v>
      </c>
      <c r="T5626" s="77">
        <v>0.66666666666666663</v>
      </c>
      <c r="V5626">
        <v>84.92</v>
      </c>
      <c r="X5626" s="42"/>
      <c r="AB5626">
        <v>79.3</v>
      </c>
      <c r="AC5626">
        <v>77</v>
      </c>
      <c r="AE5626" s="74"/>
      <c r="AF5626" s="77"/>
      <c r="AH5626" s="497">
        <v>62.96</v>
      </c>
      <c r="AJ5626" s="42"/>
      <c r="AK5626" s="74"/>
      <c r="AL5626" s="77"/>
      <c r="AN5626" s="497">
        <v>66.92</v>
      </c>
      <c r="AP5626" s="42"/>
      <c r="AQ5626" s="74"/>
      <c r="AR5626" s="77"/>
      <c r="AT5626" s="497">
        <v>73.039999999999992</v>
      </c>
      <c r="AV5626" s="42"/>
      <c r="AW5626" s="74"/>
      <c r="AX5626" s="77"/>
      <c r="BA5626" s="497">
        <v>77</v>
      </c>
      <c r="BB5626" s="42"/>
      <c r="BC5626" s="74"/>
      <c r="BD5626" s="77"/>
      <c r="BF5626">
        <v>73.039999999999992</v>
      </c>
      <c r="BH5626" s="42"/>
      <c r="BI5626" s="74"/>
      <c r="BJ5626" s="77"/>
      <c r="BL5626" s="497">
        <v>75.02</v>
      </c>
      <c r="BN5626" s="42"/>
      <c r="BO5626" s="74"/>
      <c r="BP5626" s="77"/>
      <c r="BR5626" s="497">
        <v>80.06</v>
      </c>
      <c r="BT5626" s="42"/>
    </row>
    <row r="5627" spans="1:72" x14ac:dyDescent="0.25">
      <c r="A5627" s="90">
        <v>34933</v>
      </c>
      <c r="B5627" s="20">
        <v>0.70833333333333337</v>
      </c>
      <c r="D5627">
        <v>80.960000000000008</v>
      </c>
      <c r="E5627" t="str">
        <f t="shared" si="210"/>
        <v>WEEKDAY</v>
      </c>
      <c r="F5627" t="e">
        <f t="shared" si="211"/>
        <v>#N/A</v>
      </c>
      <c r="G5627" s="74">
        <v>32011</v>
      </c>
      <c r="H5627" s="77">
        <v>0.70833333333333337</v>
      </c>
      <c r="J5627">
        <v>80.960000000000008</v>
      </c>
      <c r="M5627" s="74">
        <v>34568</v>
      </c>
      <c r="N5627" s="77">
        <v>0.70833333333333337</v>
      </c>
      <c r="P5627">
        <v>61.88</v>
      </c>
      <c r="S5627" s="74">
        <v>34933</v>
      </c>
      <c r="T5627" s="77">
        <v>0.70833333333333337</v>
      </c>
      <c r="V5627">
        <v>84.02</v>
      </c>
      <c r="X5627" s="42"/>
      <c r="AB5627">
        <v>78.5</v>
      </c>
      <c r="AC5627">
        <v>75.02</v>
      </c>
      <c r="AE5627" s="74"/>
      <c r="AF5627" s="77"/>
      <c r="AH5627" s="497">
        <v>62.96</v>
      </c>
      <c r="AJ5627" s="42"/>
      <c r="AK5627" s="74"/>
      <c r="AL5627" s="77"/>
      <c r="AN5627" s="497">
        <v>64.039999999999992</v>
      </c>
      <c r="AP5627" s="42"/>
      <c r="AQ5627" s="74"/>
      <c r="AR5627" s="77"/>
      <c r="AT5627" s="497">
        <v>73.039999999999992</v>
      </c>
      <c r="AV5627" s="42"/>
      <c r="AW5627" s="74"/>
      <c r="AX5627" s="77"/>
      <c r="BA5627" s="497">
        <v>77</v>
      </c>
      <c r="BB5627" s="42"/>
      <c r="BC5627" s="74"/>
      <c r="BD5627" s="77"/>
      <c r="BF5627">
        <v>71.960000000000008</v>
      </c>
      <c r="BH5627" s="42"/>
      <c r="BI5627" s="74"/>
      <c r="BJ5627" s="77"/>
      <c r="BL5627" s="497">
        <v>71.960000000000008</v>
      </c>
      <c r="BN5627" s="42"/>
      <c r="BO5627" s="74"/>
      <c r="BP5627" s="77"/>
      <c r="BR5627" s="497">
        <v>78.98</v>
      </c>
      <c r="BT5627" s="42"/>
    </row>
    <row r="5628" spans="1:72" x14ac:dyDescent="0.25">
      <c r="A5628" s="90">
        <v>34933</v>
      </c>
      <c r="B5628" s="20">
        <v>0.75</v>
      </c>
      <c r="D5628">
        <v>78.98</v>
      </c>
      <c r="E5628" t="str">
        <f t="shared" si="210"/>
        <v>WEEKDAY</v>
      </c>
      <c r="F5628" t="e">
        <f t="shared" si="211"/>
        <v>#N/A</v>
      </c>
      <c r="G5628" s="74">
        <v>32011</v>
      </c>
      <c r="H5628" s="77">
        <v>0.75</v>
      </c>
      <c r="J5628">
        <v>80.960000000000008</v>
      </c>
      <c r="M5628" s="74">
        <v>34568</v>
      </c>
      <c r="N5628" s="77">
        <v>0.75</v>
      </c>
      <c r="P5628">
        <v>60.980000000000004</v>
      </c>
      <c r="S5628" s="74">
        <v>34933</v>
      </c>
      <c r="T5628" s="77">
        <v>0.75</v>
      </c>
      <c r="V5628">
        <v>82.039999999999992</v>
      </c>
      <c r="X5628" s="42"/>
      <c r="AB5628">
        <v>77.400000000000006</v>
      </c>
      <c r="AC5628">
        <v>75.02</v>
      </c>
      <c r="AE5628" s="74"/>
      <c r="AF5628" s="77"/>
      <c r="AH5628" s="497">
        <v>61.88</v>
      </c>
      <c r="AJ5628" s="42"/>
      <c r="AK5628" s="74"/>
      <c r="AL5628" s="77"/>
      <c r="AN5628" s="497">
        <v>64.039999999999992</v>
      </c>
      <c r="AP5628" s="42"/>
      <c r="AQ5628" s="74"/>
      <c r="AR5628" s="77"/>
      <c r="AT5628" s="497">
        <v>71.06</v>
      </c>
      <c r="AV5628" s="42"/>
      <c r="AW5628" s="74"/>
      <c r="AX5628" s="77"/>
      <c r="BA5628" s="497">
        <v>75.02</v>
      </c>
      <c r="BB5628" s="42"/>
      <c r="BC5628" s="74"/>
      <c r="BD5628" s="77"/>
      <c r="BF5628">
        <v>71.06</v>
      </c>
      <c r="BH5628" s="42"/>
      <c r="BI5628" s="74"/>
      <c r="BJ5628" s="77"/>
      <c r="BL5628" s="497">
        <v>71.06</v>
      </c>
      <c r="BN5628" s="42"/>
      <c r="BO5628" s="74"/>
      <c r="BP5628" s="77"/>
      <c r="BR5628" s="497">
        <v>77</v>
      </c>
      <c r="BT5628" s="42"/>
    </row>
    <row r="5629" spans="1:72" x14ac:dyDescent="0.25">
      <c r="A5629" s="90">
        <v>34933</v>
      </c>
      <c r="B5629" s="20">
        <v>0.79166666666666663</v>
      </c>
      <c r="D5629">
        <v>78.080000000000013</v>
      </c>
      <c r="E5629" t="str">
        <f t="shared" si="210"/>
        <v>WEEKDAY</v>
      </c>
      <c r="F5629" t="e">
        <f t="shared" si="211"/>
        <v>#N/A</v>
      </c>
      <c r="G5629" s="74">
        <v>32011</v>
      </c>
      <c r="H5629" s="77">
        <v>0.79166666666666663</v>
      </c>
      <c r="J5629">
        <v>80.960000000000008</v>
      </c>
      <c r="M5629" s="74">
        <v>34568</v>
      </c>
      <c r="N5629" s="77">
        <v>0.79166666666666663</v>
      </c>
      <c r="P5629">
        <v>59</v>
      </c>
      <c r="S5629" s="74">
        <v>34933</v>
      </c>
      <c r="T5629" s="77">
        <v>0.79166666666666663</v>
      </c>
      <c r="V5629">
        <v>80.06</v>
      </c>
      <c r="X5629" s="42"/>
      <c r="AB5629">
        <v>75.900000000000006</v>
      </c>
      <c r="AC5629">
        <v>75.02</v>
      </c>
      <c r="AE5629" s="74"/>
      <c r="AF5629" s="77"/>
      <c r="AH5629" s="497">
        <v>60.980000000000004</v>
      </c>
      <c r="AJ5629" s="42"/>
      <c r="AK5629" s="74"/>
      <c r="AL5629" s="77"/>
      <c r="AN5629" s="497">
        <v>60.980000000000004</v>
      </c>
      <c r="AP5629" s="42"/>
      <c r="AQ5629" s="74"/>
      <c r="AR5629" s="77"/>
      <c r="AT5629" s="497">
        <v>68</v>
      </c>
      <c r="AV5629" s="42"/>
      <c r="AW5629" s="74"/>
      <c r="AX5629" s="77"/>
      <c r="BA5629" s="497">
        <v>71.960000000000008</v>
      </c>
      <c r="BB5629" s="42"/>
      <c r="BC5629" s="74"/>
      <c r="BD5629" s="77"/>
      <c r="BF5629">
        <v>68</v>
      </c>
      <c r="BH5629" s="42"/>
      <c r="BI5629" s="74"/>
      <c r="BJ5629" s="77"/>
      <c r="BL5629" s="497">
        <v>69.98</v>
      </c>
      <c r="BN5629" s="42"/>
      <c r="BO5629" s="74"/>
      <c r="BP5629" s="77"/>
      <c r="BR5629" s="497">
        <v>71.06</v>
      </c>
      <c r="BT5629" s="42"/>
    </row>
    <row r="5630" spans="1:72" x14ac:dyDescent="0.25">
      <c r="A5630" s="90">
        <v>34933</v>
      </c>
      <c r="B5630" s="20">
        <v>0.83333333333333337</v>
      </c>
      <c r="D5630">
        <v>75.02</v>
      </c>
      <c r="E5630" t="str">
        <f t="shared" si="210"/>
        <v>WEEKDAY</v>
      </c>
      <c r="F5630" t="e">
        <f t="shared" si="211"/>
        <v>#N/A</v>
      </c>
      <c r="G5630" s="74">
        <v>32011</v>
      </c>
      <c r="H5630" s="77">
        <v>0.83333333333333337</v>
      </c>
      <c r="J5630">
        <v>80.06</v>
      </c>
      <c r="M5630" s="74">
        <v>34568</v>
      </c>
      <c r="N5630" s="77">
        <v>0.83333333333333337</v>
      </c>
      <c r="P5630">
        <v>59</v>
      </c>
      <c r="S5630" s="74">
        <v>34933</v>
      </c>
      <c r="T5630" s="77">
        <v>0.83333333333333337</v>
      </c>
      <c r="V5630">
        <v>78.98</v>
      </c>
      <c r="X5630" s="42"/>
      <c r="AB5630">
        <v>74.400000000000006</v>
      </c>
      <c r="AC5630">
        <v>75.02</v>
      </c>
      <c r="AE5630" s="74"/>
      <c r="AF5630" s="77"/>
      <c r="AH5630" s="497">
        <v>59.900000000000006</v>
      </c>
      <c r="AJ5630" s="42"/>
      <c r="AK5630" s="74"/>
      <c r="AL5630" s="77"/>
      <c r="AN5630" s="497">
        <v>59</v>
      </c>
      <c r="AP5630" s="42"/>
      <c r="AQ5630" s="74"/>
      <c r="AR5630" s="77"/>
      <c r="AT5630" s="497">
        <v>66.92</v>
      </c>
      <c r="AV5630" s="42"/>
      <c r="AW5630" s="74"/>
      <c r="AX5630" s="77"/>
      <c r="BA5630" s="497">
        <v>68</v>
      </c>
      <c r="BB5630" s="42"/>
      <c r="BC5630" s="74"/>
      <c r="BD5630" s="77"/>
      <c r="BF5630">
        <v>64.94</v>
      </c>
      <c r="BH5630" s="42"/>
      <c r="BI5630" s="74"/>
      <c r="BJ5630" s="77"/>
      <c r="BL5630" s="497">
        <v>68</v>
      </c>
      <c r="BN5630" s="42"/>
      <c r="BO5630" s="74"/>
      <c r="BP5630" s="77"/>
      <c r="BR5630" s="497">
        <v>66.92</v>
      </c>
      <c r="BT5630" s="42"/>
    </row>
    <row r="5631" spans="1:72" x14ac:dyDescent="0.25">
      <c r="A5631" s="90">
        <v>34933</v>
      </c>
      <c r="B5631" s="20">
        <v>0.875</v>
      </c>
      <c r="D5631">
        <v>75.02</v>
      </c>
      <c r="E5631" t="str">
        <f t="shared" si="210"/>
        <v>WEEKDAY</v>
      </c>
      <c r="F5631" t="e">
        <f t="shared" si="211"/>
        <v>#N/A</v>
      </c>
      <c r="G5631" s="74">
        <v>32011</v>
      </c>
      <c r="H5631" s="77">
        <v>0.875</v>
      </c>
      <c r="J5631">
        <v>78.98</v>
      </c>
      <c r="M5631" s="74">
        <v>34568</v>
      </c>
      <c r="N5631" s="77">
        <v>0.875</v>
      </c>
      <c r="P5631">
        <v>59</v>
      </c>
      <c r="S5631" s="74">
        <v>34933</v>
      </c>
      <c r="T5631" s="77">
        <v>0.875</v>
      </c>
      <c r="V5631">
        <v>78.080000000000013</v>
      </c>
      <c r="X5631" s="42"/>
      <c r="AB5631">
        <v>73.7</v>
      </c>
      <c r="AC5631">
        <v>75.02</v>
      </c>
      <c r="AE5631" s="74"/>
      <c r="AF5631" s="77"/>
      <c r="AH5631" s="497">
        <v>59.900000000000006</v>
      </c>
      <c r="AJ5631" s="42"/>
      <c r="AK5631" s="74"/>
      <c r="AL5631" s="77"/>
      <c r="AN5631" s="497">
        <v>57.92</v>
      </c>
      <c r="AP5631" s="42"/>
      <c r="AQ5631" s="74"/>
      <c r="AR5631" s="77"/>
      <c r="AT5631" s="497">
        <v>64.94</v>
      </c>
      <c r="AV5631" s="42"/>
      <c r="AW5631" s="74"/>
      <c r="AX5631" s="77"/>
      <c r="BA5631" s="497">
        <v>64.94</v>
      </c>
      <c r="BB5631" s="42"/>
      <c r="BC5631" s="74"/>
      <c r="BD5631" s="77"/>
      <c r="BF5631">
        <v>64.94</v>
      </c>
      <c r="BH5631" s="42"/>
      <c r="BI5631" s="74"/>
      <c r="BJ5631" s="77"/>
      <c r="BL5631" s="497">
        <v>66.92</v>
      </c>
      <c r="BN5631" s="42"/>
      <c r="BO5631" s="74"/>
      <c r="BP5631" s="77"/>
      <c r="BR5631" s="497">
        <v>62.96</v>
      </c>
      <c r="BT5631" s="42"/>
    </row>
    <row r="5632" spans="1:72" x14ac:dyDescent="0.25">
      <c r="A5632" s="90">
        <v>34933</v>
      </c>
      <c r="B5632" s="20">
        <v>0.91666666666666663</v>
      </c>
      <c r="D5632">
        <v>73.94</v>
      </c>
      <c r="E5632" t="str">
        <f t="shared" si="210"/>
        <v>WEEKDAY</v>
      </c>
      <c r="F5632" t="e">
        <f t="shared" si="211"/>
        <v>#N/A</v>
      </c>
      <c r="G5632" s="74">
        <v>32011</v>
      </c>
      <c r="H5632" s="77">
        <v>0.91666666666666663</v>
      </c>
      <c r="J5632">
        <v>78.98</v>
      </c>
      <c r="M5632" s="74">
        <v>34568</v>
      </c>
      <c r="N5632" s="77">
        <v>0.91666666666666663</v>
      </c>
      <c r="P5632">
        <v>57.92</v>
      </c>
      <c r="S5632" s="74">
        <v>34933</v>
      </c>
      <c r="T5632" s="77">
        <v>0.91666666666666663</v>
      </c>
      <c r="V5632">
        <v>75.92</v>
      </c>
      <c r="X5632" s="42"/>
      <c r="AB5632">
        <v>73.099999999999994</v>
      </c>
      <c r="AC5632">
        <v>73.039999999999992</v>
      </c>
      <c r="AE5632" s="74"/>
      <c r="AF5632" s="77"/>
      <c r="AH5632" s="497">
        <v>59</v>
      </c>
      <c r="AJ5632" s="42"/>
      <c r="AK5632" s="74"/>
      <c r="AL5632" s="77"/>
      <c r="AN5632" s="497">
        <v>57.92</v>
      </c>
      <c r="AP5632" s="42"/>
      <c r="AQ5632" s="74"/>
      <c r="AR5632" s="77"/>
      <c r="AT5632" s="497">
        <v>64.94</v>
      </c>
      <c r="AV5632" s="42"/>
      <c r="AW5632" s="74"/>
      <c r="AX5632" s="77"/>
      <c r="BA5632" s="497">
        <v>64.94</v>
      </c>
      <c r="BB5632" s="42"/>
      <c r="BC5632" s="74"/>
      <c r="BD5632" s="77"/>
      <c r="BF5632">
        <v>62.06</v>
      </c>
      <c r="BH5632" s="42"/>
      <c r="BI5632" s="74"/>
      <c r="BJ5632" s="77"/>
      <c r="BL5632" s="497">
        <v>66.02</v>
      </c>
      <c r="BN5632" s="42"/>
      <c r="BO5632" s="74"/>
      <c r="BP5632" s="77"/>
      <c r="BR5632" s="497">
        <v>60.980000000000004</v>
      </c>
      <c r="BT5632" s="42"/>
    </row>
    <row r="5633" spans="1:72" x14ac:dyDescent="0.25">
      <c r="A5633" s="90">
        <v>34933</v>
      </c>
      <c r="B5633" s="20">
        <v>0.95833333333333337</v>
      </c>
      <c r="D5633">
        <v>73.94</v>
      </c>
      <c r="E5633" t="str">
        <f t="shared" si="210"/>
        <v>WEEKDAY</v>
      </c>
      <c r="F5633" t="e">
        <f t="shared" si="211"/>
        <v>#N/A</v>
      </c>
      <c r="G5633" s="74">
        <v>32011</v>
      </c>
      <c r="H5633" s="77">
        <v>0.95833333333333337</v>
      </c>
      <c r="J5633">
        <v>78.080000000000013</v>
      </c>
      <c r="M5633" s="74">
        <v>34568</v>
      </c>
      <c r="N5633" s="77">
        <v>0.95833333333333337</v>
      </c>
      <c r="P5633">
        <v>59</v>
      </c>
      <c r="S5633" s="74">
        <v>34933</v>
      </c>
      <c r="T5633" s="77">
        <v>0.95833333333333337</v>
      </c>
      <c r="V5633">
        <v>73.94</v>
      </c>
      <c r="X5633" s="42"/>
      <c r="AB5633">
        <v>72.5</v>
      </c>
      <c r="AC5633">
        <v>71.960000000000008</v>
      </c>
      <c r="AE5633" s="74"/>
      <c r="AF5633" s="77"/>
      <c r="AH5633" s="497">
        <v>57.92</v>
      </c>
      <c r="AJ5633" s="42"/>
      <c r="AK5633" s="74"/>
      <c r="AL5633" s="77"/>
      <c r="AN5633" s="497">
        <v>55.94</v>
      </c>
      <c r="AP5633" s="42"/>
      <c r="AQ5633" s="74"/>
      <c r="AR5633" s="77"/>
      <c r="AT5633" s="497">
        <v>64.039999999999992</v>
      </c>
      <c r="AV5633" s="42"/>
      <c r="AW5633" s="74"/>
      <c r="AX5633" s="77"/>
      <c r="BA5633" s="497">
        <v>64.039999999999992</v>
      </c>
      <c r="BB5633" s="42"/>
      <c r="BC5633" s="74"/>
      <c r="BD5633" s="77"/>
      <c r="BF5633">
        <v>59</v>
      </c>
      <c r="BH5633" s="42"/>
      <c r="BI5633" s="74"/>
      <c r="BJ5633" s="77"/>
      <c r="BL5633" s="497">
        <v>66.02</v>
      </c>
      <c r="BN5633" s="42"/>
      <c r="BO5633" s="74"/>
      <c r="BP5633" s="77"/>
      <c r="BR5633" s="497">
        <v>59</v>
      </c>
      <c r="BT5633" s="42"/>
    </row>
    <row r="5634" spans="1:72" x14ac:dyDescent="0.25">
      <c r="A5634" s="90">
        <v>34933</v>
      </c>
      <c r="B5634" s="20">
        <v>1</v>
      </c>
      <c r="D5634">
        <v>73.94</v>
      </c>
      <c r="E5634" t="str">
        <f t="shared" si="210"/>
        <v>WEEKDAY</v>
      </c>
      <c r="F5634" t="e">
        <f t="shared" si="211"/>
        <v>#N/A</v>
      </c>
      <c r="G5634" s="74">
        <v>32011</v>
      </c>
      <c r="H5634" s="77">
        <v>1</v>
      </c>
      <c r="J5634">
        <v>78.080000000000013</v>
      </c>
      <c r="M5634" s="74">
        <v>34568</v>
      </c>
      <c r="N5634" s="80">
        <v>1</v>
      </c>
      <c r="P5634">
        <v>59</v>
      </c>
      <c r="S5634" s="74">
        <v>34933</v>
      </c>
      <c r="T5634" s="80">
        <v>1</v>
      </c>
      <c r="V5634">
        <v>71.960000000000008</v>
      </c>
      <c r="X5634" s="42"/>
      <c r="AB5634">
        <v>72</v>
      </c>
      <c r="AC5634">
        <v>71.960000000000008</v>
      </c>
      <c r="AE5634" s="74"/>
      <c r="AF5634" s="80"/>
      <c r="AH5634" s="497">
        <v>56.84</v>
      </c>
      <c r="AJ5634" s="42"/>
      <c r="AK5634" s="74"/>
      <c r="AL5634" s="80"/>
      <c r="AN5634" s="497">
        <v>55.040000000000006</v>
      </c>
      <c r="AP5634" s="42"/>
      <c r="AQ5634" s="74"/>
      <c r="AR5634" s="80"/>
      <c r="AT5634" s="497">
        <v>62.06</v>
      </c>
      <c r="AV5634" s="42"/>
      <c r="AW5634" s="74"/>
      <c r="AX5634" s="80"/>
      <c r="BA5634" s="497">
        <v>64.039999999999992</v>
      </c>
      <c r="BB5634" s="42"/>
      <c r="BC5634" s="74"/>
      <c r="BD5634" s="80"/>
      <c r="BF5634">
        <v>57.019999999999996</v>
      </c>
      <c r="BH5634" s="42"/>
      <c r="BI5634" s="74"/>
      <c r="BJ5634" s="80"/>
      <c r="BL5634" s="497">
        <v>66.02</v>
      </c>
      <c r="BN5634" s="42"/>
      <c r="BO5634" s="74"/>
      <c r="BP5634" s="80"/>
      <c r="BR5634" s="497">
        <v>59</v>
      </c>
      <c r="BT5634" s="42"/>
    </row>
    <row r="5635" spans="1:72" x14ac:dyDescent="0.25">
      <c r="A5635" s="90">
        <v>34934</v>
      </c>
      <c r="B5635" s="20">
        <v>4.1666666666666664E-2</v>
      </c>
      <c r="D5635">
        <v>73.039999999999992</v>
      </c>
      <c r="E5635" t="str">
        <f t="shared" si="210"/>
        <v>WEEKDAY</v>
      </c>
      <c r="F5635" t="e">
        <f t="shared" si="211"/>
        <v>#N/A</v>
      </c>
      <c r="G5635" s="74">
        <v>32012</v>
      </c>
      <c r="H5635" s="77">
        <v>4.1666666666666664E-2</v>
      </c>
      <c r="J5635">
        <v>75.92</v>
      </c>
      <c r="M5635" s="74">
        <v>34569</v>
      </c>
      <c r="N5635" s="77">
        <v>4.1666666666666664E-2</v>
      </c>
      <c r="P5635">
        <v>59</v>
      </c>
      <c r="S5635" s="74">
        <v>34934</v>
      </c>
      <c r="T5635" s="77">
        <v>4.1666666666666664E-2</v>
      </c>
      <c r="V5635">
        <v>71.06</v>
      </c>
      <c r="X5635" s="42"/>
      <c r="AB5635">
        <v>71.3</v>
      </c>
      <c r="AC5635">
        <v>71.960000000000008</v>
      </c>
      <c r="AE5635" s="74"/>
      <c r="AF5635" s="77"/>
      <c r="AH5635" s="497">
        <v>54.86</v>
      </c>
      <c r="AJ5635" s="42"/>
      <c r="AK5635" s="74"/>
      <c r="AL5635" s="77"/>
      <c r="AN5635" s="497">
        <v>53.06</v>
      </c>
      <c r="AP5635" s="42"/>
      <c r="AQ5635" s="74"/>
      <c r="AR5635" s="77"/>
      <c r="AT5635" s="497">
        <v>59</v>
      </c>
      <c r="AV5635" s="42"/>
      <c r="AW5635" s="74"/>
      <c r="AX5635" s="77"/>
      <c r="BA5635" s="497">
        <v>64.94</v>
      </c>
      <c r="BB5635" s="42"/>
      <c r="BC5635" s="74"/>
      <c r="BD5635" s="77"/>
      <c r="BF5635">
        <v>55.94</v>
      </c>
      <c r="BH5635" s="42"/>
      <c r="BI5635" s="74"/>
      <c r="BJ5635" s="77"/>
      <c r="BL5635" s="497">
        <v>64.94</v>
      </c>
      <c r="BN5635" s="42"/>
      <c r="BO5635" s="74"/>
      <c r="BP5635" s="77"/>
      <c r="BR5635" s="497">
        <v>60.980000000000004</v>
      </c>
      <c r="BT5635" s="42"/>
    </row>
    <row r="5636" spans="1:72" x14ac:dyDescent="0.25">
      <c r="A5636" s="90">
        <v>34934</v>
      </c>
      <c r="B5636" s="20">
        <v>8.3333333333333329E-2</v>
      </c>
      <c r="D5636">
        <v>73.039999999999992</v>
      </c>
      <c r="E5636" t="str">
        <f t="shared" si="210"/>
        <v>WEEKDAY</v>
      </c>
      <c r="F5636" t="e">
        <f t="shared" si="211"/>
        <v>#N/A</v>
      </c>
      <c r="G5636" s="74">
        <v>32012</v>
      </c>
      <c r="H5636" s="77">
        <v>8.3333333333333329E-2</v>
      </c>
      <c r="J5636">
        <v>73.039999999999992</v>
      </c>
      <c r="M5636" s="74">
        <v>34569</v>
      </c>
      <c r="N5636" s="77">
        <v>8.3333333333333329E-2</v>
      </c>
      <c r="P5636">
        <v>59</v>
      </c>
      <c r="S5636" s="74">
        <v>34934</v>
      </c>
      <c r="T5636" s="77">
        <v>8.3333333333333329E-2</v>
      </c>
      <c r="V5636">
        <v>68</v>
      </c>
      <c r="X5636" s="42"/>
      <c r="AB5636">
        <v>70.599999999999994</v>
      </c>
      <c r="AC5636">
        <v>71.960000000000008</v>
      </c>
      <c r="AE5636" s="74"/>
      <c r="AF5636" s="77"/>
      <c r="AH5636" s="497">
        <v>53.96</v>
      </c>
      <c r="AJ5636" s="42"/>
      <c r="AK5636" s="74"/>
      <c r="AL5636" s="77"/>
      <c r="AN5636" s="497">
        <v>53.06</v>
      </c>
      <c r="AP5636" s="42"/>
      <c r="AQ5636" s="74"/>
      <c r="AR5636" s="77"/>
      <c r="AT5636" s="497">
        <v>57.019999999999996</v>
      </c>
      <c r="AV5636" s="42"/>
      <c r="AW5636" s="74"/>
      <c r="AX5636" s="77"/>
      <c r="BA5636" s="497">
        <v>64.94</v>
      </c>
      <c r="BB5636" s="42"/>
      <c r="BC5636" s="74"/>
      <c r="BD5636" s="77"/>
      <c r="BF5636">
        <v>53.96</v>
      </c>
      <c r="BH5636" s="42"/>
      <c r="BI5636" s="74"/>
      <c r="BJ5636" s="77"/>
      <c r="BL5636" s="497">
        <v>64.94</v>
      </c>
      <c r="BN5636" s="42"/>
      <c r="BO5636" s="74"/>
      <c r="BP5636" s="77"/>
      <c r="BR5636" s="497">
        <v>60.08</v>
      </c>
      <c r="BT5636" s="42"/>
    </row>
    <row r="5637" spans="1:72" x14ac:dyDescent="0.25">
      <c r="A5637" s="90">
        <v>34934</v>
      </c>
      <c r="B5637" s="20">
        <v>0.125</v>
      </c>
      <c r="D5637">
        <v>73.94</v>
      </c>
      <c r="E5637" t="str">
        <f t="shared" si="210"/>
        <v>WEEKDAY</v>
      </c>
      <c r="F5637" t="e">
        <f t="shared" si="211"/>
        <v>#N/A</v>
      </c>
      <c r="G5637" s="74">
        <v>32012</v>
      </c>
      <c r="H5637" s="77">
        <v>0.125</v>
      </c>
      <c r="J5637">
        <v>71.06</v>
      </c>
      <c r="M5637" s="74">
        <v>34569</v>
      </c>
      <c r="N5637" s="77">
        <v>0.125</v>
      </c>
      <c r="P5637">
        <v>54.86</v>
      </c>
      <c r="S5637" s="74">
        <v>34934</v>
      </c>
      <c r="T5637" s="77">
        <v>0.125</v>
      </c>
      <c r="V5637">
        <v>68</v>
      </c>
      <c r="X5637" s="42"/>
      <c r="AB5637">
        <v>70.2</v>
      </c>
      <c r="AC5637">
        <v>71.960000000000008</v>
      </c>
      <c r="AE5637" s="74"/>
      <c r="AF5637" s="77"/>
      <c r="AH5637" s="497">
        <v>57.92</v>
      </c>
      <c r="AJ5637" s="42"/>
      <c r="AK5637" s="74"/>
      <c r="AL5637" s="77"/>
      <c r="AN5637" s="497">
        <v>51.980000000000004</v>
      </c>
      <c r="AP5637" s="42"/>
      <c r="AQ5637" s="74"/>
      <c r="AR5637" s="77"/>
      <c r="AT5637" s="497">
        <v>53.96</v>
      </c>
      <c r="AV5637" s="42"/>
      <c r="AW5637" s="74"/>
      <c r="AX5637" s="77"/>
      <c r="BA5637" s="497">
        <v>66.02</v>
      </c>
      <c r="BB5637" s="42"/>
      <c r="BC5637" s="74"/>
      <c r="BD5637" s="77"/>
      <c r="BF5637">
        <v>53.96</v>
      </c>
      <c r="BH5637" s="42"/>
      <c r="BI5637" s="74"/>
      <c r="BJ5637" s="77"/>
      <c r="BL5637" s="497">
        <v>64.94</v>
      </c>
      <c r="BN5637" s="42"/>
      <c r="BO5637" s="74"/>
      <c r="BP5637" s="77"/>
      <c r="BR5637" s="497">
        <v>60.08</v>
      </c>
      <c r="BT5637" s="42"/>
    </row>
    <row r="5638" spans="1:72" x14ac:dyDescent="0.25">
      <c r="A5638" s="90">
        <v>34934</v>
      </c>
      <c r="B5638" s="20">
        <v>0.16666666666666666</v>
      </c>
      <c r="D5638">
        <v>73.94</v>
      </c>
      <c r="E5638" t="str">
        <f t="shared" si="210"/>
        <v>WEEKDAY</v>
      </c>
      <c r="F5638" t="e">
        <f t="shared" si="211"/>
        <v>#N/A</v>
      </c>
      <c r="G5638" s="74">
        <v>32012</v>
      </c>
      <c r="H5638" s="77">
        <v>0.16666666666666666</v>
      </c>
      <c r="J5638">
        <v>69.080000000000013</v>
      </c>
      <c r="M5638" s="74">
        <v>34569</v>
      </c>
      <c r="N5638" s="77">
        <v>0.16666666666666666</v>
      </c>
      <c r="P5638">
        <v>53.96</v>
      </c>
      <c r="S5638" s="74">
        <v>34934</v>
      </c>
      <c r="T5638" s="77">
        <v>0.16666666666666666</v>
      </c>
      <c r="V5638">
        <v>64.94</v>
      </c>
      <c r="X5638" s="42"/>
      <c r="AB5638">
        <v>69.7</v>
      </c>
      <c r="AC5638">
        <v>71.06</v>
      </c>
      <c r="AE5638" s="74"/>
      <c r="AF5638" s="77"/>
      <c r="AH5638" s="497">
        <v>52.879999999999995</v>
      </c>
      <c r="AJ5638" s="42"/>
      <c r="AK5638" s="74"/>
      <c r="AL5638" s="77"/>
      <c r="AN5638" s="497">
        <v>51.08</v>
      </c>
      <c r="AP5638" s="42"/>
      <c r="AQ5638" s="74"/>
      <c r="AR5638" s="77"/>
      <c r="AT5638" s="497">
        <v>51.980000000000004</v>
      </c>
      <c r="AV5638" s="42"/>
      <c r="AW5638" s="74"/>
      <c r="AX5638" s="77"/>
      <c r="BA5638" s="497">
        <v>66.02</v>
      </c>
      <c r="BB5638" s="42"/>
      <c r="BC5638" s="74"/>
      <c r="BD5638" s="77"/>
      <c r="BF5638">
        <v>53.06</v>
      </c>
      <c r="BH5638" s="42"/>
      <c r="BI5638" s="74"/>
      <c r="BJ5638" s="77"/>
      <c r="BL5638" s="497">
        <v>64.94</v>
      </c>
      <c r="BN5638" s="42"/>
      <c r="BO5638" s="74"/>
      <c r="BP5638" s="77"/>
      <c r="BR5638" s="497">
        <v>60.08</v>
      </c>
      <c r="BT5638" s="42"/>
    </row>
    <row r="5639" spans="1:72" x14ac:dyDescent="0.25">
      <c r="A5639" s="90">
        <v>34934</v>
      </c>
      <c r="B5639" s="20">
        <v>0.20833333333333334</v>
      </c>
      <c r="D5639">
        <v>73.94</v>
      </c>
      <c r="E5639" t="str">
        <f t="shared" si="210"/>
        <v>WEEKDAY</v>
      </c>
      <c r="F5639" t="e">
        <f t="shared" si="211"/>
        <v>#N/A</v>
      </c>
      <c r="G5639" s="74">
        <v>32012</v>
      </c>
      <c r="H5639" s="77">
        <v>0.20833333333333334</v>
      </c>
      <c r="J5639">
        <v>68</v>
      </c>
      <c r="M5639" s="74">
        <v>34569</v>
      </c>
      <c r="N5639" s="77">
        <v>0.20833333333333334</v>
      </c>
      <c r="P5639">
        <v>52.879999999999995</v>
      </c>
      <c r="S5639" s="74">
        <v>34934</v>
      </c>
      <c r="T5639" s="77">
        <v>0.20833333333333334</v>
      </c>
      <c r="V5639">
        <v>66.02</v>
      </c>
      <c r="X5639" s="42"/>
      <c r="AB5639">
        <v>69.2</v>
      </c>
      <c r="AC5639">
        <v>71.06</v>
      </c>
      <c r="AE5639" s="74"/>
      <c r="AF5639" s="77"/>
      <c r="AH5639" s="497">
        <v>52.879999999999995</v>
      </c>
      <c r="AJ5639" s="42"/>
      <c r="AK5639" s="74"/>
      <c r="AL5639" s="77"/>
      <c r="AN5639" s="497">
        <v>48.92</v>
      </c>
      <c r="AP5639" s="42"/>
      <c r="AQ5639" s="74"/>
      <c r="AR5639" s="77"/>
      <c r="AT5639" s="497">
        <v>48.92</v>
      </c>
      <c r="AV5639" s="42"/>
      <c r="AW5639" s="74"/>
      <c r="AX5639" s="77"/>
      <c r="BA5639" s="497">
        <v>64.94</v>
      </c>
      <c r="BB5639" s="42"/>
      <c r="BC5639" s="74"/>
      <c r="BD5639" s="77"/>
      <c r="BF5639">
        <v>55.040000000000006</v>
      </c>
      <c r="BH5639" s="42"/>
      <c r="BI5639" s="74"/>
      <c r="BJ5639" s="77"/>
      <c r="BL5639" s="497">
        <v>64.039999999999992</v>
      </c>
      <c r="BN5639" s="42"/>
      <c r="BO5639" s="74"/>
      <c r="BP5639" s="77"/>
      <c r="BR5639" s="497">
        <v>59</v>
      </c>
      <c r="BT5639" s="42"/>
    </row>
    <row r="5640" spans="1:72" x14ac:dyDescent="0.25">
      <c r="A5640" s="90">
        <v>34934</v>
      </c>
      <c r="B5640" s="20">
        <v>0.25</v>
      </c>
      <c r="D5640">
        <v>73.039999999999992</v>
      </c>
      <c r="E5640" t="str">
        <f t="shared" si="210"/>
        <v>WEEKDAY</v>
      </c>
      <c r="F5640" t="e">
        <f t="shared" si="211"/>
        <v>#N/A</v>
      </c>
      <c r="G5640" s="74">
        <v>32012</v>
      </c>
      <c r="H5640" s="77">
        <v>0.25</v>
      </c>
      <c r="J5640">
        <v>66.02</v>
      </c>
      <c r="M5640" s="74">
        <v>34569</v>
      </c>
      <c r="N5640" s="77">
        <v>0.25</v>
      </c>
      <c r="P5640">
        <v>52.879999999999995</v>
      </c>
      <c r="S5640" s="74">
        <v>34934</v>
      </c>
      <c r="T5640" s="77">
        <v>0.25</v>
      </c>
      <c r="V5640">
        <v>66.02</v>
      </c>
      <c r="X5640" s="42"/>
      <c r="AB5640">
        <v>68.900000000000006</v>
      </c>
      <c r="AC5640">
        <v>71.960000000000008</v>
      </c>
      <c r="AE5640" s="74"/>
      <c r="AF5640" s="77"/>
      <c r="AH5640" s="497">
        <v>52.879999999999995</v>
      </c>
      <c r="AJ5640" s="42"/>
      <c r="AK5640" s="74"/>
      <c r="AL5640" s="77"/>
      <c r="AN5640" s="497">
        <v>48.92</v>
      </c>
      <c r="AP5640" s="42"/>
      <c r="AQ5640" s="74"/>
      <c r="AR5640" s="77"/>
      <c r="AT5640" s="497">
        <v>48.92</v>
      </c>
      <c r="AV5640" s="42"/>
      <c r="AW5640" s="74"/>
      <c r="AX5640" s="77"/>
      <c r="BA5640" s="497">
        <v>66.92</v>
      </c>
      <c r="BB5640" s="42"/>
      <c r="BC5640" s="74"/>
      <c r="BD5640" s="77"/>
      <c r="BF5640">
        <v>55.94</v>
      </c>
      <c r="BH5640" s="42"/>
      <c r="BI5640" s="74"/>
      <c r="BJ5640" s="77"/>
      <c r="BL5640" s="497">
        <v>64.039999999999992</v>
      </c>
      <c r="BN5640" s="42"/>
      <c r="BO5640" s="74"/>
      <c r="BP5640" s="77"/>
      <c r="BR5640" s="497">
        <v>60.08</v>
      </c>
      <c r="BT5640" s="42"/>
    </row>
    <row r="5641" spans="1:72" x14ac:dyDescent="0.25">
      <c r="A5641" s="90">
        <v>34934</v>
      </c>
      <c r="B5641" s="20">
        <v>0.29166666666666669</v>
      </c>
      <c r="D5641">
        <v>73.039999999999992</v>
      </c>
      <c r="E5641" t="str">
        <f t="shared" si="210"/>
        <v>WEEKDAY</v>
      </c>
      <c r="F5641" t="e">
        <f t="shared" si="211"/>
        <v>#N/A</v>
      </c>
      <c r="G5641" s="74">
        <v>32012</v>
      </c>
      <c r="H5641" s="77">
        <v>0.29166666666666669</v>
      </c>
      <c r="J5641">
        <v>66.92</v>
      </c>
      <c r="M5641" s="74">
        <v>34569</v>
      </c>
      <c r="N5641" s="77">
        <v>0.29166666666666669</v>
      </c>
      <c r="P5641">
        <v>54.86</v>
      </c>
      <c r="S5641" s="74">
        <v>34934</v>
      </c>
      <c r="T5641" s="77">
        <v>0.29166666666666669</v>
      </c>
      <c r="V5641">
        <v>69.080000000000013</v>
      </c>
      <c r="X5641" s="42"/>
      <c r="AB5641">
        <v>69.2</v>
      </c>
      <c r="AC5641">
        <v>73.94</v>
      </c>
      <c r="AE5641" s="74"/>
      <c r="AF5641" s="77"/>
      <c r="AH5641" s="497">
        <v>54.86</v>
      </c>
      <c r="AJ5641" s="42"/>
      <c r="AK5641" s="74"/>
      <c r="AL5641" s="77"/>
      <c r="AN5641" s="497">
        <v>51.980000000000004</v>
      </c>
      <c r="AP5641" s="42"/>
      <c r="AQ5641" s="74"/>
      <c r="AR5641" s="77"/>
      <c r="AT5641" s="497">
        <v>57.92</v>
      </c>
      <c r="AV5641" s="42"/>
      <c r="AW5641" s="74"/>
      <c r="AX5641" s="77"/>
      <c r="BA5641" s="497">
        <v>62.96</v>
      </c>
      <c r="BB5641" s="42"/>
      <c r="BC5641" s="74"/>
      <c r="BD5641" s="77"/>
      <c r="BF5641">
        <v>57.92</v>
      </c>
      <c r="BH5641" s="42"/>
      <c r="BI5641" s="74"/>
      <c r="BJ5641" s="77"/>
      <c r="BL5641" s="497">
        <v>66.02</v>
      </c>
      <c r="BN5641" s="42"/>
      <c r="BO5641" s="74"/>
      <c r="BP5641" s="77"/>
      <c r="BR5641" s="497">
        <v>62.96</v>
      </c>
      <c r="BT5641" s="42"/>
    </row>
    <row r="5642" spans="1:72" x14ac:dyDescent="0.25">
      <c r="A5642" s="90">
        <v>34934</v>
      </c>
      <c r="B5642" s="20">
        <v>0.33333333333333331</v>
      </c>
      <c r="D5642">
        <v>75.92</v>
      </c>
      <c r="E5642" t="str">
        <f t="shared" si="210"/>
        <v>WEEKDAY</v>
      </c>
      <c r="F5642" t="e">
        <f t="shared" si="211"/>
        <v>#N/A</v>
      </c>
      <c r="G5642" s="74">
        <v>32012</v>
      </c>
      <c r="H5642" s="77">
        <v>0.33333333333333331</v>
      </c>
      <c r="J5642">
        <v>68</v>
      </c>
      <c r="M5642" s="74">
        <v>34569</v>
      </c>
      <c r="N5642" s="77">
        <v>0.33333333333333331</v>
      </c>
      <c r="P5642">
        <v>59</v>
      </c>
      <c r="S5642" s="74">
        <v>34934</v>
      </c>
      <c r="T5642" s="77">
        <v>0.33333333333333331</v>
      </c>
      <c r="V5642">
        <v>71.960000000000008</v>
      </c>
      <c r="X5642" s="42"/>
      <c r="AB5642">
        <v>71.3</v>
      </c>
      <c r="AC5642">
        <v>73.94</v>
      </c>
      <c r="AE5642" s="74"/>
      <c r="AF5642" s="77"/>
      <c r="AH5642" s="497">
        <v>59.900000000000006</v>
      </c>
      <c r="AJ5642" s="42"/>
      <c r="AK5642" s="74"/>
      <c r="AL5642" s="77"/>
      <c r="AN5642" s="497">
        <v>57.92</v>
      </c>
      <c r="AP5642" s="42"/>
      <c r="AQ5642" s="74"/>
      <c r="AR5642" s="77"/>
      <c r="AT5642" s="497">
        <v>62.06</v>
      </c>
      <c r="AV5642" s="42"/>
      <c r="AW5642" s="74"/>
      <c r="AX5642" s="77"/>
      <c r="BA5642" s="497">
        <v>62.96</v>
      </c>
      <c r="BB5642" s="42"/>
      <c r="BC5642" s="74"/>
      <c r="BD5642" s="77"/>
      <c r="BF5642">
        <v>62.06</v>
      </c>
      <c r="BH5642" s="42"/>
      <c r="BI5642" s="74"/>
      <c r="BJ5642" s="77"/>
      <c r="BL5642" s="497">
        <v>69.98</v>
      </c>
      <c r="BN5642" s="42"/>
      <c r="BO5642" s="74"/>
      <c r="BP5642" s="77"/>
      <c r="BR5642" s="497">
        <v>66.92</v>
      </c>
      <c r="BT5642" s="42"/>
    </row>
    <row r="5643" spans="1:72" x14ac:dyDescent="0.25">
      <c r="A5643" s="90">
        <v>34934</v>
      </c>
      <c r="B5643" s="20">
        <v>0.375</v>
      </c>
      <c r="D5643">
        <v>78.080000000000013</v>
      </c>
      <c r="E5643" t="str">
        <f t="shared" si="210"/>
        <v>WEEKDAY</v>
      </c>
      <c r="F5643" t="e">
        <f t="shared" si="211"/>
        <v>#N/A</v>
      </c>
      <c r="G5643" s="74">
        <v>32012</v>
      </c>
      <c r="H5643" s="77">
        <v>0.375</v>
      </c>
      <c r="J5643">
        <v>69.98</v>
      </c>
      <c r="M5643" s="74">
        <v>34569</v>
      </c>
      <c r="N5643" s="77">
        <v>0.375</v>
      </c>
      <c r="P5643">
        <v>62.96</v>
      </c>
      <c r="S5643" s="74">
        <v>34934</v>
      </c>
      <c r="T5643" s="77">
        <v>0.375</v>
      </c>
      <c r="V5643">
        <v>73.039999999999992</v>
      </c>
      <c r="X5643" s="42"/>
      <c r="AB5643">
        <v>73.3</v>
      </c>
      <c r="AC5643">
        <v>73.94</v>
      </c>
      <c r="AE5643" s="74"/>
      <c r="AF5643" s="77"/>
      <c r="AH5643" s="497">
        <v>63.86</v>
      </c>
      <c r="AJ5643" s="42"/>
      <c r="AK5643" s="74"/>
      <c r="AL5643" s="77"/>
      <c r="AN5643" s="497">
        <v>62.06</v>
      </c>
      <c r="AP5643" s="42"/>
      <c r="AQ5643" s="74"/>
      <c r="AR5643" s="77"/>
      <c r="AT5643" s="497">
        <v>66.02</v>
      </c>
      <c r="AV5643" s="42"/>
      <c r="AW5643" s="74"/>
      <c r="AX5643" s="77"/>
      <c r="BA5643" s="497">
        <v>64.039999999999992</v>
      </c>
      <c r="BB5643" s="42"/>
      <c r="BC5643" s="74"/>
      <c r="BD5643" s="77"/>
      <c r="BF5643">
        <v>66.02</v>
      </c>
      <c r="BH5643" s="42"/>
      <c r="BI5643" s="74"/>
      <c r="BJ5643" s="77"/>
      <c r="BL5643" s="497">
        <v>73.039999999999992</v>
      </c>
      <c r="BN5643" s="42"/>
      <c r="BO5643" s="74"/>
      <c r="BP5643" s="77"/>
      <c r="BR5643" s="497">
        <v>69.080000000000013</v>
      </c>
      <c r="BT5643" s="42"/>
    </row>
    <row r="5644" spans="1:72" x14ac:dyDescent="0.25">
      <c r="A5644" s="90">
        <v>34934</v>
      </c>
      <c r="B5644" s="20">
        <v>0.41666666666666669</v>
      </c>
      <c r="D5644">
        <v>80.06</v>
      </c>
      <c r="E5644" t="str">
        <f t="shared" si="210"/>
        <v>WEEKDAY</v>
      </c>
      <c r="F5644" t="e">
        <f t="shared" si="211"/>
        <v>#N/A</v>
      </c>
      <c r="G5644" s="74">
        <v>32012</v>
      </c>
      <c r="H5644" s="77">
        <v>0.41666666666666669</v>
      </c>
      <c r="J5644">
        <v>69.98</v>
      </c>
      <c r="M5644" s="74">
        <v>34569</v>
      </c>
      <c r="N5644" s="77">
        <v>0.41666666666666669</v>
      </c>
      <c r="P5644">
        <v>63.86</v>
      </c>
      <c r="S5644" s="74">
        <v>34934</v>
      </c>
      <c r="T5644" s="77">
        <v>0.41666666666666669</v>
      </c>
      <c r="V5644">
        <v>75.02</v>
      </c>
      <c r="X5644" s="42"/>
      <c r="AB5644">
        <v>75.3</v>
      </c>
      <c r="AC5644">
        <v>73.039999999999992</v>
      </c>
      <c r="AE5644" s="74"/>
      <c r="AF5644" s="77"/>
      <c r="AH5644" s="497">
        <v>64.94</v>
      </c>
      <c r="AJ5644" s="42"/>
      <c r="AK5644" s="74"/>
      <c r="AL5644" s="77"/>
      <c r="AN5644" s="497">
        <v>66.02</v>
      </c>
      <c r="AP5644" s="42"/>
      <c r="AQ5644" s="74"/>
      <c r="AR5644" s="77"/>
      <c r="AT5644" s="497">
        <v>69.98</v>
      </c>
      <c r="AV5644" s="42"/>
      <c r="AW5644" s="74"/>
      <c r="AX5644" s="77"/>
      <c r="BA5644" s="497">
        <v>64.94</v>
      </c>
      <c r="BB5644" s="42"/>
      <c r="BC5644" s="74"/>
      <c r="BD5644" s="77"/>
      <c r="BF5644">
        <v>69.98</v>
      </c>
      <c r="BH5644" s="42"/>
      <c r="BI5644" s="74"/>
      <c r="BJ5644" s="77"/>
      <c r="BL5644" s="497">
        <v>75.02</v>
      </c>
      <c r="BN5644" s="42"/>
      <c r="BO5644" s="74"/>
      <c r="BP5644" s="77"/>
      <c r="BR5644" s="497">
        <v>69.98</v>
      </c>
      <c r="BT5644" s="42"/>
    </row>
    <row r="5645" spans="1:72" x14ac:dyDescent="0.25">
      <c r="A5645" s="90">
        <v>34934</v>
      </c>
      <c r="B5645" s="20">
        <v>0.45833333333333331</v>
      </c>
      <c r="D5645">
        <v>80.06</v>
      </c>
      <c r="E5645" t="str">
        <f t="shared" si="210"/>
        <v>WEEKDAY</v>
      </c>
      <c r="F5645" t="e">
        <f t="shared" si="211"/>
        <v>#N/A</v>
      </c>
      <c r="G5645" s="74">
        <v>32012</v>
      </c>
      <c r="H5645" s="77">
        <v>0.45833333333333331</v>
      </c>
      <c r="J5645">
        <v>71.960000000000008</v>
      </c>
      <c r="M5645" s="74">
        <v>34569</v>
      </c>
      <c r="N5645" s="77">
        <v>0.45833333333333331</v>
      </c>
      <c r="P5645">
        <v>65.84</v>
      </c>
      <c r="S5645" s="74">
        <v>34934</v>
      </c>
      <c r="T5645" s="77">
        <v>0.45833333333333331</v>
      </c>
      <c r="V5645">
        <v>78.98</v>
      </c>
      <c r="X5645" s="42"/>
      <c r="AB5645">
        <v>77</v>
      </c>
      <c r="AC5645">
        <v>73.039999999999992</v>
      </c>
      <c r="AE5645" s="74"/>
      <c r="AF5645" s="77"/>
      <c r="AH5645" s="497">
        <v>68</v>
      </c>
      <c r="AJ5645" s="42"/>
      <c r="AK5645" s="74"/>
      <c r="AL5645" s="77"/>
      <c r="AN5645" s="497">
        <v>68</v>
      </c>
      <c r="AP5645" s="42"/>
      <c r="AQ5645" s="74"/>
      <c r="AR5645" s="77"/>
      <c r="AT5645" s="497">
        <v>73.039999999999992</v>
      </c>
      <c r="AV5645" s="42"/>
      <c r="AW5645" s="74"/>
      <c r="AX5645" s="77"/>
      <c r="BA5645" s="497">
        <v>66.02</v>
      </c>
      <c r="BB5645" s="42"/>
      <c r="BC5645" s="74"/>
      <c r="BD5645" s="77"/>
      <c r="BF5645">
        <v>71.06</v>
      </c>
      <c r="BH5645" s="42"/>
      <c r="BI5645" s="74"/>
      <c r="BJ5645" s="77"/>
      <c r="BL5645" s="497">
        <v>73.94</v>
      </c>
      <c r="BN5645" s="42"/>
      <c r="BO5645" s="74"/>
      <c r="BP5645" s="77"/>
      <c r="BR5645" s="497">
        <v>71.960000000000008</v>
      </c>
      <c r="BT5645" s="42"/>
    </row>
    <row r="5646" spans="1:72" x14ac:dyDescent="0.25">
      <c r="A5646" s="90">
        <v>34934</v>
      </c>
      <c r="B5646" s="20">
        <v>0.5</v>
      </c>
      <c r="D5646">
        <v>80.960000000000008</v>
      </c>
      <c r="E5646" t="str">
        <f t="shared" si="210"/>
        <v>WEEKDAY</v>
      </c>
      <c r="F5646" t="e">
        <f t="shared" si="211"/>
        <v>#N/A</v>
      </c>
      <c r="G5646" s="74">
        <v>32012</v>
      </c>
      <c r="H5646" s="77">
        <v>0.5</v>
      </c>
      <c r="J5646">
        <v>73.94</v>
      </c>
      <c r="M5646" s="74">
        <v>34569</v>
      </c>
      <c r="N5646" s="77">
        <v>0.5</v>
      </c>
      <c r="P5646">
        <v>68</v>
      </c>
      <c r="S5646" s="74">
        <v>34934</v>
      </c>
      <c r="T5646" s="77">
        <v>0.5</v>
      </c>
      <c r="V5646">
        <v>78.98</v>
      </c>
      <c r="X5646" s="42"/>
      <c r="AB5646">
        <v>78.3</v>
      </c>
      <c r="AC5646">
        <v>73.039999999999992</v>
      </c>
      <c r="AE5646" s="74"/>
      <c r="AF5646" s="77"/>
      <c r="AH5646" s="497">
        <v>68.900000000000006</v>
      </c>
      <c r="AJ5646" s="42"/>
      <c r="AK5646" s="74"/>
      <c r="AL5646" s="77"/>
      <c r="AN5646" s="497">
        <v>69.080000000000013</v>
      </c>
      <c r="AP5646" s="42"/>
      <c r="AQ5646" s="74"/>
      <c r="AR5646" s="77"/>
      <c r="AT5646" s="497">
        <v>73.94</v>
      </c>
      <c r="AV5646" s="42"/>
      <c r="AW5646" s="74"/>
      <c r="AX5646" s="77"/>
      <c r="BA5646" s="497">
        <v>68</v>
      </c>
      <c r="BB5646" s="42"/>
      <c r="BC5646" s="74"/>
      <c r="BD5646" s="77"/>
      <c r="BF5646">
        <v>73.039999999999992</v>
      </c>
      <c r="BH5646" s="42"/>
      <c r="BI5646" s="74"/>
      <c r="BJ5646" s="77"/>
      <c r="BL5646" s="497">
        <v>75.92</v>
      </c>
      <c r="BN5646" s="42"/>
      <c r="BO5646" s="74"/>
      <c r="BP5646" s="77"/>
      <c r="BR5646" s="497">
        <v>73.94</v>
      </c>
      <c r="BT5646" s="42"/>
    </row>
    <row r="5647" spans="1:72" x14ac:dyDescent="0.25">
      <c r="A5647" s="90">
        <v>34934</v>
      </c>
      <c r="B5647" s="20">
        <v>0.54166666666666663</v>
      </c>
      <c r="D5647">
        <v>82.039999999999992</v>
      </c>
      <c r="E5647" t="str">
        <f t="shared" si="210"/>
        <v>WEEKDAY</v>
      </c>
      <c r="F5647" t="e">
        <f t="shared" si="211"/>
        <v>#N/A</v>
      </c>
      <c r="G5647" s="74">
        <v>32012</v>
      </c>
      <c r="H5647" s="77">
        <v>0.54166666666666663</v>
      </c>
      <c r="J5647">
        <v>73.94</v>
      </c>
      <c r="M5647" s="74">
        <v>34569</v>
      </c>
      <c r="N5647" s="77">
        <v>0.54166666666666663</v>
      </c>
      <c r="P5647">
        <v>68.900000000000006</v>
      </c>
      <c r="S5647" s="74">
        <v>34934</v>
      </c>
      <c r="T5647" s="77">
        <v>0.54166666666666663</v>
      </c>
      <c r="V5647">
        <v>78.080000000000013</v>
      </c>
      <c r="X5647" s="42"/>
      <c r="AB5647">
        <v>79.2</v>
      </c>
      <c r="AC5647">
        <v>73.039999999999992</v>
      </c>
      <c r="AE5647" s="74"/>
      <c r="AF5647" s="77"/>
      <c r="AH5647" s="497">
        <v>69.98</v>
      </c>
      <c r="AJ5647" s="42"/>
      <c r="AK5647" s="74"/>
      <c r="AL5647" s="77"/>
      <c r="AN5647" s="497">
        <v>71.960000000000008</v>
      </c>
      <c r="AP5647" s="42"/>
      <c r="AQ5647" s="74"/>
      <c r="AR5647" s="77"/>
      <c r="AT5647" s="497">
        <v>75.92</v>
      </c>
      <c r="AV5647" s="42"/>
      <c r="AW5647" s="74"/>
      <c r="AX5647" s="77"/>
      <c r="BA5647" s="497">
        <v>66.02</v>
      </c>
      <c r="BB5647" s="42"/>
      <c r="BC5647" s="74"/>
      <c r="BD5647" s="77"/>
      <c r="BF5647">
        <v>75.02</v>
      </c>
      <c r="BH5647" s="42"/>
      <c r="BI5647" s="74"/>
      <c r="BJ5647" s="77"/>
      <c r="BL5647" s="497">
        <v>77</v>
      </c>
      <c r="BN5647" s="42"/>
      <c r="BO5647" s="74"/>
      <c r="BP5647" s="77"/>
      <c r="BR5647" s="497">
        <v>73.94</v>
      </c>
      <c r="BT5647" s="42"/>
    </row>
    <row r="5648" spans="1:72" x14ac:dyDescent="0.25">
      <c r="A5648" s="90">
        <v>34934</v>
      </c>
      <c r="B5648" s="20">
        <v>0.58333333333333337</v>
      </c>
      <c r="D5648">
        <v>82.94</v>
      </c>
      <c r="E5648" t="str">
        <f t="shared" si="210"/>
        <v>WEEKDAY</v>
      </c>
      <c r="F5648" t="e">
        <f t="shared" si="211"/>
        <v>#N/A</v>
      </c>
      <c r="G5648" s="74">
        <v>32012</v>
      </c>
      <c r="H5648" s="77">
        <v>0.58333333333333337</v>
      </c>
      <c r="J5648">
        <v>73.039999999999992</v>
      </c>
      <c r="M5648" s="74">
        <v>34569</v>
      </c>
      <c r="N5648" s="77">
        <v>0.58333333333333337</v>
      </c>
      <c r="P5648">
        <v>69.98</v>
      </c>
      <c r="S5648" s="74">
        <v>34934</v>
      </c>
      <c r="T5648" s="77">
        <v>0.58333333333333337</v>
      </c>
      <c r="V5648">
        <v>78.080000000000013</v>
      </c>
      <c r="X5648" s="42"/>
      <c r="AB5648">
        <v>79.599999999999994</v>
      </c>
      <c r="AC5648">
        <v>73.94</v>
      </c>
      <c r="AE5648" s="74"/>
      <c r="AF5648" s="77"/>
      <c r="AH5648" s="497">
        <v>71.960000000000008</v>
      </c>
      <c r="AJ5648" s="42"/>
      <c r="AK5648" s="74"/>
      <c r="AL5648" s="77"/>
      <c r="AN5648" s="497">
        <v>73.039999999999992</v>
      </c>
      <c r="AP5648" s="42"/>
      <c r="AQ5648" s="74"/>
      <c r="AR5648" s="77"/>
      <c r="AT5648" s="497">
        <v>77</v>
      </c>
      <c r="AV5648" s="42"/>
      <c r="AW5648" s="74"/>
      <c r="AX5648" s="77"/>
      <c r="BA5648" s="497">
        <v>68</v>
      </c>
      <c r="BB5648" s="42"/>
      <c r="BC5648" s="74"/>
      <c r="BD5648" s="77"/>
      <c r="BF5648">
        <v>75.92</v>
      </c>
      <c r="BH5648" s="42"/>
      <c r="BI5648" s="74"/>
      <c r="BJ5648" s="77"/>
      <c r="BL5648" s="497">
        <v>78.080000000000013</v>
      </c>
      <c r="BN5648" s="42"/>
      <c r="BO5648" s="74"/>
      <c r="BP5648" s="77"/>
      <c r="BR5648" s="497">
        <v>73.94</v>
      </c>
      <c r="BT5648" s="42"/>
    </row>
    <row r="5649" spans="1:72" x14ac:dyDescent="0.25">
      <c r="A5649" s="90">
        <v>34934</v>
      </c>
      <c r="B5649" s="20">
        <v>0.625</v>
      </c>
      <c r="D5649">
        <v>84.92</v>
      </c>
      <c r="E5649" t="str">
        <f t="shared" si="210"/>
        <v>WEEKDAY</v>
      </c>
      <c r="F5649" t="e">
        <f t="shared" si="211"/>
        <v>#N/A</v>
      </c>
      <c r="G5649" s="74">
        <v>32012</v>
      </c>
      <c r="H5649" s="77">
        <v>0.625</v>
      </c>
      <c r="J5649">
        <v>73.94</v>
      </c>
      <c r="M5649" s="74">
        <v>34569</v>
      </c>
      <c r="N5649" s="77">
        <v>0.625</v>
      </c>
      <c r="P5649">
        <v>69.98</v>
      </c>
      <c r="S5649" s="74">
        <v>34934</v>
      </c>
      <c r="T5649" s="77">
        <v>0.625</v>
      </c>
      <c r="V5649">
        <v>78.080000000000013</v>
      </c>
      <c r="X5649" s="42"/>
      <c r="AB5649">
        <v>79.8</v>
      </c>
      <c r="AC5649">
        <v>73.039999999999992</v>
      </c>
      <c r="AE5649" s="74"/>
      <c r="AF5649" s="77"/>
      <c r="AH5649" s="497">
        <v>72.86</v>
      </c>
      <c r="AJ5649" s="42"/>
      <c r="AK5649" s="74"/>
      <c r="AL5649" s="77"/>
      <c r="AN5649" s="497">
        <v>73.039999999999992</v>
      </c>
      <c r="AP5649" s="42"/>
      <c r="AQ5649" s="74"/>
      <c r="AR5649" s="77"/>
      <c r="AT5649" s="497">
        <v>77</v>
      </c>
      <c r="AV5649" s="42"/>
      <c r="AW5649" s="74"/>
      <c r="AX5649" s="77"/>
      <c r="BA5649" s="497">
        <v>69.98</v>
      </c>
      <c r="BB5649" s="42"/>
      <c r="BC5649" s="74"/>
      <c r="BD5649" s="77"/>
      <c r="BF5649">
        <v>75.02</v>
      </c>
      <c r="BH5649" s="42"/>
      <c r="BI5649" s="74"/>
      <c r="BJ5649" s="77"/>
      <c r="BL5649" s="497">
        <v>78.080000000000013</v>
      </c>
      <c r="BN5649" s="42"/>
      <c r="BO5649" s="74"/>
      <c r="BP5649" s="77"/>
      <c r="BR5649" s="497">
        <v>75.02</v>
      </c>
      <c r="BT5649" s="42"/>
    </row>
    <row r="5650" spans="1:72" x14ac:dyDescent="0.25">
      <c r="A5650" s="90">
        <v>34934</v>
      </c>
      <c r="B5650" s="20">
        <v>0.66666666666666663</v>
      </c>
      <c r="D5650">
        <v>84.92</v>
      </c>
      <c r="E5650" t="str">
        <f t="shared" si="210"/>
        <v>WEEKDAY</v>
      </c>
      <c r="F5650" t="e">
        <f t="shared" si="211"/>
        <v>#N/A</v>
      </c>
      <c r="G5650" s="74">
        <v>32012</v>
      </c>
      <c r="H5650" s="77">
        <v>0.66666666666666663</v>
      </c>
      <c r="J5650">
        <v>73.94</v>
      </c>
      <c r="M5650" s="74">
        <v>34569</v>
      </c>
      <c r="N5650" s="77">
        <v>0.66666666666666663</v>
      </c>
      <c r="P5650">
        <v>70.88</v>
      </c>
      <c r="S5650" s="74">
        <v>34934</v>
      </c>
      <c r="T5650" s="77">
        <v>0.66666666666666663</v>
      </c>
      <c r="V5650">
        <v>78.080000000000013</v>
      </c>
      <c r="X5650" s="42"/>
      <c r="AB5650">
        <v>79.400000000000006</v>
      </c>
      <c r="AC5650">
        <v>73.039999999999992</v>
      </c>
      <c r="AE5650" s="74"/>
      <c r="AF5650" s="77"/>
      <c r="AH5650" s="497">
        <v>72.86</v>
      </c>
      <c r="AJ5650" s="42"/>
      <c r="AK5650" s="74"/>
      <c r="AL5650" s="77"/>
      <c r="AN5650" s="497">
        <v>73.039999999999992</v>
      </c>
      <c r="AP5650" s="42"/>
      <c r="AQ5650" s="74"/>
      <c r="AR5650" s="77"/>
      <c r="AT5650" s="497">
        <v>73.94</v>
      </c>
      <c r="AV5650" s="42"/>
      <c r="AW5650" s="74"/>
      <c r="AX5650" s="77"/>
      <c r="BA5650" s="497">
        <v>71.06</v>
      </c>
      <c r="BB5650" s="42"/>
      <c r="BC5650" s="74"/>
      <c r="BD5650" s="77"/>
      <c r="BF5650">
        <v>73.039999999999992</v>
      </c>
      <c r="BH5650" s="42"/>
      <c r="BI5650" s="74"/>
      <c r="BJ5650" s="77"/>
      <c r="BL5650" s="497">
        <v>78.080000000000013</v>
      </c>
      <c r="BN5650" s="42"/>
      <c r="BO5650" s="74"/>
      <c r="BP5650" s="77"/>
      <c r="BR5650" s="497">
        <v>73.94</v>
      </c>
      <c r="BT5650" s="42"/>
    </row>
    <row r="5651" spans="1:72" x14ac:dyDescent="0.25">
      <c r="A5651" s="90">
        <v>34934</v>
      </c>
      <c r="B5651" s="20">
        <v>0.70833333333333337</v>
      </c>
      <c r="D5651">
        <v>84.02</v>
      </c>
      <c r="E5651" t="str">
        <f t="shared" ref="E5651:E5714" si="212">IF(COUNTIF($DI$18:$DI$22, WEEKDAY(A5651))=1, "WEEKDAY", IF(WEEKDAY(A5651) = 1, "SUNDAY", "SATURDAY"))</f>
        <v>WEEKDAY</v>
      </c>
      <c r="F5651" t="e">
        <f t="shared" si="211"/>
        <v>#N/A</v>
      </c>
      <c r="G5651" s="74">
        <v>32012</v>
      </c>
      <c r="H5651" s="77">
        <v>0.70833333333333337</v>
      </c>
      <c r="J5651">
        <v>73.94</v>
      </c>
      <c r="M5651" s="74">
        <v>34569</v>
      </c>
      <c r="N5651" s="77">
        <v>0.70833333333333337</v>
      </c>
      <c r="P5651">
        <v>70.88</v>
      </c>
      <c r="S5651" s="74">
        <v>34934</v>
      </c>
      <c r="T5651" s="77">
        <v>0.70833333333333337</v>
      </c>
      <c r="V5651">
        <v>77</v>
      </c>
      <c r="X5651" s="42"/>
      <c r="AB5651">
        <v>78.5</v>
      </c>
      <c r="AC5651">
        <v>71.960000000000008</v>
      </c>
      <c r="AE5651" s="74"/>
      <c r="AF5651" s="77"/>
      <c r="AH5651" s="497">
        <v>71.960000000000008</v>
      </c>
      <c r="AJ5651" s="42"/>
      <c r="AK5651" s="74"/>
      <c r="AL5651" s="77"/>
      <c r="AN5651" s="497">
        <v>71.06</v>
      </c>
      <c r="AP5651" s="42"/>
      <c r="AQ5651" s="74"/>
      <c r="AR5651" s="77"/>
      <c r="AT5651" s="497">
        <v>73.039999999999992</v>
      </c>
      <c r="AV5651" s="42"/>
      <c r="AW5651" s="74"/>
      <c r="AX5651" s="77"/>
      <c r="BA5651" s="497">
        <v>69.98</v>
      </c>
      <c r="BB5651" s="42"/>
      <c r="BC5651" s="74"/>
      <c r="BD5651" s="77"/>
      <c r="BF5651">
        <v>71.960000000000008</v>
      </c>
      <c r="BH5651" s="42"/>
      <c r="BI5651" s="74"/>
      <c r="BJ5651" s="77"/>
      <c r="BL5651" s="497">
        <v>75.92</v>
      </c>
      <c r="BN5651" s="42"/>
      <c r="BO5651" s="74"/>
      <c r="BP5651" s="77"/>
      <c r="BR5651" s="497">
        <v>71.960000000000008</v>
      </c>
      <c r="BT5651" s="42"/>
    </row>
    <row r="5652" spans="1:72" x14ac:dyDescent="0.25">
      <c r="A5652" s="90">
        <v>34934</v>
      </c>
      <c r="B5652" s="20">
        <v>0.75</v>
      </c>
      <c r="D5652">
        <v>82.94</v>
      </c>
      <c r="E5652" t="str">
        <f t="shared" si="212"/>
        <v>WEEKDAY</v>
      </c>
      <c r="F5652" t="e">
        <f t="shared" si="211"/>
        <v>#N/A</v>
      </c>
      <c r="G5652" s="74">
        <v>32012</v>
      </c>
      <c r="H5652" s="77">
        <v>0.75</v>
      </c>
      <c r="J5652">
        <v>71.960000000000008</v>
      </c>
      <c r="M5652" s="74">
        <v>34569</v>
      </c>
      <c r="N5652" s="77">
        <v>0.75</v>
      </c>
      <c r="P5652">
        <v>68</v>
      </c>
      <c r="S5652" s="74">
        <v>34934</v>
      </c>
      <c r="T5652" s="77">
        <v>0.75</v>
      </c>
      <c r="V5652">
        <v>75.02</v>
      </c>
      <c r="X5652" s="42"/>
      <c r="AB5652">
        <v>77.5</v>
      </c>
      <c r="AC5652">
        <v>71.960000000000008</v>
      </c>
      <c r="AE5652" s="74"/>
      <c r="AF5652" s="77"/>
      <c r="AH5652" s="497">
        <v>69.98</v>
      </c>
      <c r="AJ5652" s="42"/>
      <c r="AK5652" s="74"/>
      <c r="AL5652" s="77"/>
      <c r="AN5652" s="497">
        <v>69.98</v>
      </c>
      <c r="AP5652" s="42"/>
      <c r="AQ5652" s="74"/>
      <c r="AR5652" s="77"/>
      <c r="AT5652" s="497">
        <v>71.960000000000008</v>
      </c>
      <c r="AV5652" s="42"/>
      <c r="AW5652" s="74"/>
      <c r="AX5652" s="77"/>
      <c r="BA5652" s="497">
        <v>69.080000000000013</v>
      </c>
      <c r="BB5652" s="42"/>
      <c r="BC5652" s="74"/>
      <c r="BD5652" s="77"/>
      <c r="BF5652">
        <v>71.06</v>
      </c>
      <c r="BH5652" s="42"/>
      <c r="BI5652" s="74"/>
      <c r="BJ5652" s="77"/>
      <c r="BL5652" s="497">
        <v>75.92</v>
      </c>
      <c r="BN5652" s="42"/>
      <c r="BO5652" s="74"/>
      <c r="BP5652" s="77"/>
      <c r="BR5652" s="497">
        <v>71.06</v>
      </c>
      <c r="BT5652" s="42"/>
    </row>
    <row r="5653" spans="1:72" x14ac:dyDescent="0.25">
      <c r="A5653" s="90">
        <v>34934</v>
      </c>
      <c r="B5653" s="20">
        <v>0.79166666666666663</v>
      </c>
      <c r="D5653">
        <v>82.039999999999992</v>
      </c>
      <c r="E5653" t="str">
        <f t="shared" si="212"/>
        <v>WEEKDAY</v>
      </c>
      <c r="F5653" t="e">
        <f t="shared" si="211"/>
        <v>#N/A</v>
      </c>
      <c r="G5653" s="74">
        <v>32012</v>
      </c>
      <c r="H5653" s="77">
        <v>0.79166666666666663</v>
      </c>
      <c r="J5653">
        <v>71.06</v>
      </c>
      <c r="M5653" s="74">
        <v>34569</v>
      </c>
      <c r="N5653" s="77">
        <v>0.79166666666666663</v>
      </c>
      <c r="P5653">
        <v>62.96</v>
      </c>
      <c r="S5653" s="74">
        <v>34934</v>
      </c>
      <c r="T5653" s="77">
        <v>0.79166666666666663</v>
      </c>
      <c r="V5653">
        <v>73.039999999999992</v>
      </c>
      <c r="X5653" s="42"/>
      <c r="AB5653">
        <v>76</v>
      </c>
      <c r="AC5653">
        <v>71.06</v>
      </c>
      <c r="AE5653" s="74"/>
      <c r="AF5653" s="77"/>
      <c r="AH5653" s="497">
        <v>60.980000000000004</v>
      </c>
      <c r="AJ5653" s="42"/>
      <c r="AK5653" s="74"/>
      <c r="AL5653" s="77"/>
      <c r="AN5653" s="497">
        <v>64.94</v>
      </c>
      <c r="AP5653" s="42"/>
      <c r="AQ5653" s="74"/>
      <c r="AR5653" s="77"/>
      <c r="AT5653" s="497">
        <v>66.02</v>
      </c>
      <c r="AV5653" s="42"/>
      <c r="AW5653" s="74"/>
      <c r="AX5653" s="77"/>
      <c r="BA5653" s="497">
        <v>66.92</v>
      </c>
      <c r="BB5653" s="42"/>
      <c r="BC5653" s="74"/>
      <c r="BD5653" s="77"/>
      <c r="BF5653">
        <v>69.98</v>
      </c>
      <c r="BH5653" s="42"/>
      <c r="BI5653" s="74"/>
      <c r="BJ5653" s="77"/>
      <c r="BL5653" s="497">
        <v>73.039999999999992</v>
      </c>
      <c r="BN5653" s="42"/>
      <c r="BO5653" s="74"/>
      <c r="BP5653" s="77"/>
      <c r="BR5653" s="497">
        <v>68</v>
      </c>
      <c r="BT5653" s="42"/>
    </row>
    <row r="5654" spans="1:72" x14ac:dyDescent="0.25">
      <c r="A5654" s="90">
        <v>34934</v>
      </c>
      <c r="B5654" s="20">
        <v>0.83333333333333337</v>
      </c>
      <c r="D5654">
        <v>82.039999999999992</v>
      </c>
      <c r="E5654" t="str">
        <f t="shared" si="212"/>
        <v>WEEKDAY</v>
      </c>
      <c r="F5654" t="e">
        <f t="shared" si="211"/>
        <v>#N/A</v>
      </c>
      <c r="G5654" s="74">
        <v>32012</v>
      </c>
      <c r="H5654" s="77">
        <v>0.83333333333333337</v>
      </c>
      <c r="J5654">
        <v>69.080000000000013</v>
      </c>
      <c r="M5654" s="74">
        <v>34569</v>
      </c>
      <c r="N5654" s="77">
        <v>0.83333333333333337</v>
      </c>
      <c r="P5654">
        <v>59</v>
      </c>
      <c r="S5654" s="74">
        <v>34934</v>
      </c>
      <c r="T5654" s="77">
        <v>0.83333333333333337</v>
      </c>
      <c r="V5654">
        <v>73.039999999999992</v>
      </c>
      <c r="X5654" s="42"/>
      <c r="AB5654">
        <v>74.5</v>
      </c>
      <c r="AC5654">
        <v>69.98</v>
      </c>
      <c r="AE5654" s="74"/>
      <c r="AF5654" s="77"/>
      <c r="AH5654" s="497">
        <v>57.92</v>
      </c>
      <c r="AJ5654" s="42"/>
      <c r="AK5654" s="74"/>
      <c r="AL5654" s="77"/>
      <c r="AN5654" s="497">
        <v>62.96</v>
      </c>
      <c r="AP5654" s="42"/>
      <c r="AQ5654" s="74"/>
      <c r="AR5654" s="77"/>
      <c r="AT5654" s="497">
        <v>62.96</v>
      </c>
      <c r="AV5654" s="42"/>
      <c r="AW5654" s="74"/>
      <c r="AX5654" s="77"/>
      <c r="BA5654" s="497">
        <v>64.94</v>
      </c>
      <c r="BB5654" s="42"/>
      <c r="BC5654" s="74"/>
      <c r="BD5654" s="77"/>
      <c r="BF5654">
        <v>69.080000000000013</v>
      </c>
      <c r="BH5654" s="42"/>
      <c r="BI5654" s="74"/>
      <c r="BJ5654" s="77"/>
      <c r="BL5654" s="497">
        <v>69.98</v>
      </c>
      <c r="BN5654" s="42"/>
      <c r="BO5654" s="74"/>
      <c r="BP5654" s="77"/>
      <c r="BR5654" s="497">
        <v>64.94</v>
      </c>
      <c r="BT5654" s="42"/>
    </row>
    <row r="5655" spans="1:72" x14ac:dyDescent="0.25">
      <c r="A5655" s="90">
        <v>34934</v>
      </c>
      <c r="B5655" s="20">
        <v>0.875</v>
      </c>
      <c r="D5655">
        <v>82.94</v>
      </c>
      <c r="E5655" t="str">
        <f t="shared" si="212"/>
        <v>WEEKDAY</v>
      </c>
      <c r="F5655" t="e">
        <f t="shared" si="211"/>
        <v>#N/A</v>
      </c>
      <c r="G5655" s="74">
        <v>32012</v>
      </c>
      <c r="H5655" s="77">
        <v>0.875</v>
      </c>
      <c r="J5655">
        <v>68</v>
      </c>
      <c r="M5655" s="74">
        <v>34569</v>
      </c>
      <c r="N5655" s="77">
        <v>0.875</v>
      </c>
      <c r="P5655">
        <v>57.92</v>
      </c>
      <c r="S5655" s="74">
        <v>34934</v>
      </c>
      <c r="T5655" s="77">
        <v>0.875</v>
      </c>
      <c r="V5655">
        <v>73.039999999999992</v>
      </c>
      <c r="X5655" s="42"/>
      <c r="AB5655">
        <v>73.8</v>
      </c>
      <c r="AC5655">
        <v>69.080000000000013</v>
      </c>
      <c r="AE5655" s="74"/>
      <c r="AF5655" s="77"/>
      <c r="AH5655" s="497">
        <v>55.94</v>
      </c>
      <c r="AJ5655" s="42"/>
      <c r="AK5655" s="74"/>
      <c r="AL5655" s="77"/>
      <c r="AN5655" s="497">
        <v>62.06</v>
      </c>
      <c r="AP5655" s="42"/>
      <c r="AQ5655" s="74"/>
      <c r="AR5655" s="77"/>
      <c r="AT5655" s="497">
        <v>59</v>
      </c>
      <c r="AV5655" s="42"/>
      <c r="AW5655" s="74"/>
      <c r="AX5655" s="77"/>
      <c r="BA5655" s="497">
        <v>64.039999999999992</v>
      </c>
      <c r="BB5655" s="42"/>
      <c r="BC5655" s="74"/>
      <c r="BD5655" s="77"/>
      <c r="BF5655">
        <v>66.02</v>
      </c>
      <c r="BH5655" s="42"/>
      <c r="BI5655" s="74"/>
      <c r="BJ5655" s="77"/>
      <c r="BL5655" s="497">
        <v>68</v>
      </c>
      <c r="BN5655" s="42"/>
      <c r="BO5655" s="74"/>
      <c r="BP5655" s="77"/>
      <c r="BR5655" s="497">
        <v>62.96</v>
      </c>
      <c r="BT5655" s="42"/>
    </row>
    <row r="5656" spans="1:72" x14ac:dyDescent="0.25">
      <c r="A5656" s="90">
        <v>34934</v>
      </c>
      <c r="B5656" s="20">
        <v>0.91666666666666663</v>
      </c>
      <c r="D5656">
        <v>82.94</v>
      </c>
      <c r="E5656" t="str">
        <f t="shared" si="212"/>
        <v>WEEKDAY</v>
      </c>
      <c r="F5656" t="e">
        <f t="shared" si="211"/>
        <v>#N/A</v>
      </c>
      <c r="G5656" s="74">
        <v>32012</v>
      </c>
      <c r="H5656" s="77">
        <v>0.91666666666666663</v>
      </c>
      <c r="J5656">
        <v>66.02</v>
      </c>
      <c r="M5656" s="74">
        <v>34569</v>
      </c>
      <c r="N5656" s="77">
        <v>0.91666666666666663</v>
      </c>
      <c r="P5656">
        <v>56.84</v>
      </c>
      <c r="S5656" s="74">
        <v>34934</v>
      </c>
      <c r="T5656" s="77">
        <v>0.91666666666666663</v>
      </c>
      <c r="V5656">
        <v>71.960000000000008</v>
      </c>
      <c r="X5656" s="42"/>
      <c r="AB5656">
        <v>73.099999999999994</v>
      </c>
      <c r="AC5656">
        <v>66.92</v>
      </c>
      <c r="AE5656" s="74"/>
      <c r="AF5656" s="77"/>
      <c r="AH5656" s="497">
        <v>52.879999999999995</v>
      </c>
      <c r="AJ5656" s="42"/>
      <c r="AK5656" s="74"/>
      <c r="AL5656" s="77"/>
      <c r="AN5656" s="497">
        <v>60.980000000000004</v>
      </c>
      <c r="AP5656" s="42"/>
      <c r="AQ5656" s="74"/>
      <c r="AR5656" s="77"/>
      <c r="AT5656" s="497">
        <v>57.92</v>
      </c>
      <c r="AV5656" s="42"/>
      <c r="AW5656" s="74"/>
      <c r="AX5656" s="77"/>
      <c r="BA5656" s="497">
        <v>64.400000000000006</v>
      </c>
      <c r="BB5656" s="42"/>
      <c r="BC5656" s="74"/>
      <c r="BD5656" s="77"/>
      <c r="BF5656">
        <v>62.96</v>
      </c>
      <c r="BH5656" s="42"/>
      <c r="BI5656" s="74"/>
      <c r="BJ5656" s="77"/>
      <c r="BL5656" s="497">
        <v>66.02</v>
      </c>
      <c r="BN5656" s="42"/>
      <c r="BO5656" s="74"/>
      <c r="BP5656" s="77"/>
      <c r="BR5656" s="497">
        <v>62.96</v>
      </c>
      <c r="BT5656" s="42"/>
    </row>
    <row r="5657" spans="1:72" x14ac:dyDescent="0.25">
      <c r="A5657" s="90">
        <v>34934</v>
      </c>
      <c r="B5657" s="20">
        <v>0.95833333333333337</v>
      </c>
      <c r="D5657">
        <v>82.039999999999992</v>
      </c>
      <c r="E5657" t="str">
        <f t="shared" si="212"/>
        <v>WEEKDAY</v>
      </c>
      <c r="F5657" t="e">
        <f t="shared" si="211"/>
        <v>#N/A</v>
      </c>
      <c r="G5657" s="74">
        <v>32012</v>
      </c>
      <c r="H5657" s="77">
        <v>0.95833333333333337</v>
      </c>
      <c r="J5657">
        <v>66.02</v>
      </c>
      <c r="M5657" s="74">
        <v>34569</v>
      </c>
      <c r="N5657" s="77">
        <v>0.95833333333333337</v>
      </c>
      <c r="P5657">
        <v>54.86</v>
      </c>
      <c r="S5657" s="74">
        <v>34934</v>
      </c>
      <c r="T5657" s="77">
        <v>0.95833333333333337</v>
      </c>
      <c r="V5657">
        <v>71.960000000000008</v>
      </c>
      <c r="X5657" s="42"/>
      <c r="AB5657">
        <v>72.599999999999994</v>
      </c>
      <c r="AC5657">
        <v>64.94</v>
      </c>
      <c r="AE5657" s="74"/>
      <c r="AF5657" s="77"/>
      <c r="AH5657" s="497">
        <v>51.980000000000004</v>
      </c>
      <c r="AJ5657" s="42"/>
      <c r="AK5657" s="74"/>
      <c r="AL5657" s="77"/>
      <c r="AN5657" s="497">
        <v>57.92</v>
      </c>
      <c r="AP5657" s="42"/>
      <c r="AQ5657" s="74"/>
      <c r="AR5657" s="77"/>
      <c r="AT5657" s="497">
        <v>55.94</v>
      </c>
      <c r="AV5657" s="42"/>
      <c r="AW5657" s="74"/>
      <c r="AX5657" s="77"/>
      <c r="BA5657" s="497">
        <v>64.039999999999992</v>
      </c>
      <c r="BB5657" s="42"/>
      <c r="BC5657" s="74"/>
      <c r="BD5657" s="77"/>
      <c r="BF5657">
        <v>62.96</v>
      </c>
      <c r="BH5657" s="42"/>
      <c r="BI5657" s="74"/>
      <c r="BJ5657" s="77"/>
      <c r="BL5657" s="497">
        <v>64.94</v>
      </c>
      <c r="BN5657" s="42"/>
      <c r="BO5657" s="74"/>
      <c r="BP5657" s="77"/>
      <c r="BR5657" s="497">
        <v>62.96</v>
      </c>
      <c r="BT5657" s="42"/>
    </row>
    <row r="5658" spans="1:72" x14ac:dyDescent="0.25">
      <c r="A5658" s="90">
        <v>34934</v>
      </c>
      <c r="B5658" s="20">
        <v>1</v>
      </c>
      <c r="D5658">
        <v>82.039999999999992</v>
      </c>
      <c r="E5658" t="str">
        <f t="shared" si="212"/>
        <v>WEEKDAY</v>
      </c>
      <c r="F5658" t="e">
        <f t="shared" si="211"/>
        <v>#N/A</v>
      </c>
      <c r="G5658" s="74">
        <v>32012</v>
      </c>
      <c r="H5658" s="77">
        <v>1</v>
      </c>
      <c r="J5658">
        <v>64.039999999999992</v>
      </c>
      <c r="M5658" s="74">
        <v>34569</v>
      </c>
      <c r="N5658" s="80">
        <v>1</v>
      </c>
      <c r="P5658">
        <v>54.86</v>
      </c>
      <c r="S5658" s="74">
        <v>34934</v>
      </c>
      <c r="T5658" s="80">
        <v>1</v>
      </c>
      <c r="V5658">
        <v>71.960000000000008</v>
      </c>
      <c r="X5658" s="42"/>
      <c r="AB5658">
        <v>72</v>
      </c>
      <c r="AC5658">
        <v>62.96</v>
      </c>
      <c r="AE5658" s="74"/>
      <c r="AF5658" s="80"/>
      <c r="AH5658" s="497">
        <v>50.900000000000006</v>
      </c>
      <c r="AJ5658" s="42"/>
      <c r="AK5658" s="74"/>
      <c r="AL5658" s="80"/>
      <c r="AN5658" s="497">
        <v>57.92</v>
      </c>
      <c r="AP5658" s="42"/>
      <c r="AQ5658" s="74"/>
      <c r="AR5658" s="80"/>
      <c r="AT5658" s="497">
        <v>55.040000000000006</v>
      </c>
      <c r="AV5658" s="42"/>
      <c r="AW5658" s="74"/>
      <c r="AX5658" s="80"/>
      <c r="BA5658" s="497">
        <v>62.96</v>
      </c>
      <c r="BB5658" s="42"/>
      <c r="BC5658" s="74"/>
      <c r="BD5658" s="80"/>
      <c r="BF5658">
        <v>62.06</v>
      </c>
      <c r="BH5658" s="42"/>
      <c r="BI5658" s="74"/>
      <c r="BJ5658" s="80"/>
      <c r="BL5658" s="497">
        <v>64.94</v>
      </c>
      <c r="BN5658" s="42"/>
      <c r="BO5658" s="74"/>
      <c r="BP5658" s="80"/>
      <c r="BR5658" s="497">
        <v>57.92</v>
      </c>
      <c r="BT5658" s="42"/>
    </row>
    <row r="5659" spans="1:72" x14ac:dyDescent="0.25">
      <c r="A5659" s="90">
        <v>34935</v>
      </c>
      <c r="B5659" s="20">
        <v>4.1666666666666664E-2</v>
      </c>
      <c r="D5659">
        <v>80.960000000000008</v>
      </c>
      <c r="E5659" t="str">
        <f t="shared" si="212"/>
        <v>WEEKDAY</v>
      </c>
      <c r="F5659" t="e">
        <f t="shared" si="211"/>
        <v>#N/A</v>
      </c>
      <c r="G5659" s="74">
        <v>32013</v>
      </c>
      <c r="H5659" s="77">
        <v>4.1666666666666664E-2</v>
      </c>
      <c r="J5659">
        <v>64.039999999999992</v>
      </c>
      <c r="M5659" s="74">
        <v>34570</v>
      </c>
      <c r="N5659" s="77">
        <v>4.1666666666666664E-2</v>
      </c>
      <c r="P5659">
        <v>53.96</v>
      </c>
      <c r="S5659" s="74">
        <v>34935</v>
      </c>
      <c r="T5659" s="77">
        <v>4.1666666666666664E-2</v>
      </c>
      <c r="V5659">
        <v>71.06</v>
      </c>
      <c r="X5659" s="42"/>
      <c r="AB5659">
        <v>71.3</v>
      </c>
      <c r="AC5659">
        <v>62.96</v>
      </c>
      <c r="AE5659" s="74"/>
      <c r="AF5659" s="77"/>
      <c r="AH5659" s="497">
        <v>50</v>
      </c>
      <c r="AJ5659" s="42"/>
      <c r="AK5659" s="74"/>
      <c r="AL5659" s="77"/>
      <c r="AN5659" s="497">
        <v>57.92</v>
      </c>
      <c r="AP5659" s="42"/>
      <c r="AQ5659" s="74"/>
      <c r="AR5659" s="77"/>
      <c r="AT5659" s="497">
        <v>53.06</v>
      </c>
      <c r="AV5659" s="42"/>
      <c r="AW5659" s="74"/>
      <c r="AX5659" s="77"/>
      <c r="BA5659" s="497">
        <v>64.039999999999992</v>
      </c>
      <c r="BB5659" s="42"/>
      <c r="BC5659" s="74"/>
      <c r="BD5659" s="77"/>
      <c r="BF5659">
        <v>62.06</v>
      </c>
      <c r="BH5659" s="42"/>
      <c r="BI5659" s="74"/>
      <c r="BJ5659" s="77"/>
      <c r="BL5659" s="497">
        <v>66.02</v>
      </c>
      <c r="BN5659" s="42"/>
      <c r="BO5659" s="74"/>
      <c r="BP5659" s="77"/>
      <c r="BR5659" s="497">
        <v>55.94</v>
      </c>
      <c r="BT5659" s="42"/>
    </row>
    <row r="5660" spans="1:72" x14ac:dyDescent="0.25">
      <c r="A5660" s="90">
        <v>34935</v>
      </c>
      <c r="B5660" s="20">
        <v>8.3333333333333329E-2</v>
      </c>
      <c r="D5660">
        <v>80.06</v>
      </c>
      <c r="E5660" t="str">
        <f t="shared" si="212"/>
        <v>WEEKDAY</v>
      </c>
      <c r="F5660" t="e">
        <f t="shared" si="211"/>
        <v>#N/A</v>
      </c>
      <c r="G5660" s="74">
        <v>32013</v>
      </c>
      <c r="H5660" s="77">
        <v>8.3333333333333329E-2</v>
      </c>
      <c r="J5660">
        <v>62.06</v>
      </c>
      <c r="M5660" s="74">
        <v>34570</v>
      </c>
      <c r="N5660" s="77">
        <v>8.3333333333333329E-2</v>
      </c>
      <c r="P5660">
        <v>53.78</v>
      </c>
      <c r="S5660" s="74">
        <v>34935</v>
      </c>
      <c r="T5660" s="77">
        <v>8.3333333333333329E-2</v>
      </c>
      <c r="V5660">
        <v>71.06</v>
      </c>
      <c r="X5660" s="42"/>
      <c r="AB5660">
        <v>70.7</v>
      </c>
      <c r="AC5660">
        <v>62.06</v>
      </c>
      <c r="AE5660" s="74"/>
      <c r="AF5660" s="77"/>
      <c r="AH5660" s="497">
        <v>49.28</v>
      </c>
      <c r="AJ5660" s="42"/>
      <c r="AK5660" s="74"/>
      <c r="AL5660" s="77"/>
      <c r="AN5660" s="497">
        <v>55.94</v>
      </c>
      <c r="AP5660" s="42"/>
      <c r="AQ5660" s="74"/>
      <c r="AR5660" s="77"/>
      <c r="AT5660" s="497">
        <v>51.980000000000004</v>
      </c>
      <c r="AV5660" s="42"/>
      <c r="AW5660" s="74"/>
      <c r="AX5660" s="77"/>
      <c r="BA5660" s="497">
        <v>64.400000000000006</v>
      </c>
      <c r="BB5660" s="42"/>
      <c r="BC5660" s="74"/>
      <c r="BD5660" s="77"/>
      <c r="BF5660">
        <v>62.06</v>
      </c>
      <c r="BH5660" s="42"/>
      <c r="BI5660" s="74"/>
      <c r="BJ5660" s="77"/>
      <c r="BL5660" s="497">
        <v>66.02</v>
      </c>
      <c r="BN5660" s="42"/>
      <c r="BO5660" s="74"/>
      <c r="BP5660" s="77"/>
      <c r="BR5660" s="497">
        <v>55.040000000000006</v>
      </c>
      <c r="BT5660" s="42"/>
    </row>
    <row r="5661" spans="1:72" x14ac:dyDescent="0.25">
      <c r="A5661" s="90">
        <v>34935</v>
      </c>
      <c r="B5661" s="20">
        <v>0.125</v>
      </c>
      <c r="D5661">
        <v>78.98</v>
      </c>
      <c r="E5661" t="str">
        <f t="shared" si="212"/>
        <v>WEEKDAY</v>
      </c>
      <c r="F5661" t="e">
        <f t="shared" si="211"/>
        <v>#N/A</v>
      </c>
      <c r="G5661" s="74">
        <v>32013</v>
      </c>
      <c r="H5661" s="77">
        <v>0.125</v>
      </c>
      <c r="J5661">
        <v>60.980000000000004</v>
      </c>
      <c r="M5661" s="74">
        <v>34570</v>
      </c>
      <c r="N5661" s="77">
        <v>0.125</v>
      </c>
      <c r="P5661">
        <v>53.96</v>
      </c>
      <c r="S5661" s="74">
        <v>34935</v>
      </c>
      <c r="T5661" s="77">
        <v>0.125</v>
      </c>
      <c r="V5661">
        <v>69.98</v>
      </c>
      <c r="X5661" s="42"/>
      <c r="AB5661">
        <v>70.2</v>
      </c>
      <c r="AC5661">
        <v>62.06</v>
      </c>
      <c r="AE5661" s="74"/>
      <c r="AF5661" s="77"/>
      <c r="AH5661" s="497">
        <v>48.92</v>
      </c>
      <c r="AJ5661" s="42"/>
      <c r="AK5661" s="74"/>
      <c r="AL5661" s="77"/>
      <c r="AN5661" s="497">
        <v>55.94</v>
      </c>
      <c r="AP5661" s="42"/>
      <c r="AQ5661" s="74"/>
      <c r="AR5661" s="77"/>
      <c r="AT5661" s="497">
        <v>51.980000000000004</v>
      </c>
      <c r="AV5661" s="42"/>
      <c r="AW5661" s="74"/>
      <c r="AX5661" s="77"/>
      <c r="BA5661" s="497">
        <v>64.039999999999992</v>
      </c>
      <c r="BB5661" s="42"/>
      <c r="BC5661" s="74"/>
      <c r="BD5661" s="77"/>
      <c r="BF5661">
        <v>62.06</v>
      </c>
      <c r="BH5661" s="42"/>
      <c r="BI5661" s="74"/>
      <c r="BJ5661" s="77"/>
      <c r="BL5661" s="497">
        <v>66.02</v>
      </c>
      <c r="BN5661" s="42"/>
      <c r="BO5661" s="74"/>
      <c r="BP5661" s="77"/>
      <c r="BR5661" s="497">
        <v>53.96</v>
      </c>
      <c r="BT5661" s="42"/>
    </row>
    <row r="5662" spans="1:72" x14ac:dyDescent="0.25">
      <c r="A5662" s="90">
        <v>34935</v>
      </c>
      <c r="B5662" s="20">
        <v>0.16666666666666666</v>
      </c>
      <c r="D5662">
        <v>78.98</v>
      </c>
      <c r="E5662" t="str">
        <f t="shared" si="212"/>
        <v>WEEKDAY</v>
      </c>
      <c r="F5662" t="e">
        <f t="shared" si="211"/>
        <v>#N/A</v>
      </c>
      <c r="G5662" s="74">
        <v>32013</v>
      </c>
      <c r="H5662" s="77">
        <v>0.16666666666666666</v>
      </c>
      <c r="J5662">
        <v>60.08</v>
      </c>
      <c r="M5662" s="74">
        <v>34570</v>
      </c>
      <c r="N5662" s="77">
        <v>0.16666666666666666</v>
      </c>
      <c r="P5662">
        <v>52.879999999999995</v>
      </c>
      <c r="S5662" s="74">
        <v>34935</v>
      </c>
      <c r="T5662" s="77">
        <v>0.16666666666666666</v>
      </c>
      <c r="V5662">
        <v>69.98</v>
      </c>
      <c r="X5662" s="42"/>
      <c r="AB5662">
        <v>69.599999999999994</v>
      </c>
      <c r="AC5662">
        <v>64.039999999999992</v>
      </c>
      <c r="AE5662" s="74"/>
      <c r="AF5662" s="77"/>
      <c r="AH5662" s="497">
        <v>47.84</v>
      </c>
      <c r="AJ5662" s="42"/>
      <c r="AK5662" s="74"/>
      <c r="AL5662" s="77"/>
      <c r="AN5662" s="497">
        <v>55.94</v>
      </c>
      <c r="AP5662" s="42"/>
      <c r="AQ5662" s="74"/>
      <c r="AR5662" s="77"/>
      <c r="AT5662" s="497">
        <v>51.980000000000004</v>
      </c>
      <c r="AV5662" s="42"/>
      <c r="AW5662" s="74"/>
      <c r="AX5662" s="77"/>
      <c r="BA5662" s="497">
        <v>64.039999999999992</v>
      </c>
      <c r="BB5662" s="42"/>
      <c r="BC5662" s="74"/>
      <c r="BD5662" s="77"/>
      <c r="BF5662">
        <v>60.980000000000004</v>
      </c>
      <c r="BH5662" s="42"/>
      <c r="BI5662" s="74"/>
      <c r="BJ5662" s="77"/>
      <c r="BL5662" s="497">
        <v>64.94</v>
      </c>
      <c r="BN5662" s="42"/>
      <c r="BO5662" s="74"/>
      <c r="BP5662" s="77"/>
      <c r="BR5662" s="497">
        <v>53.06</v>
      </c>
      <c r="BT5662" s="42"/>
    </row>
    <row r="5663" spans="1:72" x14ac:dyDescent="0.25">
      <c r="A5663" s="90">
        <v>34935</v>
      </c>
      <c r="B5663" s="20">
        <v>0.20833333333333334</v>
      </c>
      <c r="D5663">
        <v>78.080000000000013</v>
      </c>
      <c r="E5663" t="str">
        <f t="shared" si="212"/>
        <v>WEEKDAY</v>
      </c>
      <c r="F5663" t="e">
        <f t="shared" si="211"/>
        <v>#N/A</v>
      </c>
      <c r="G5663" s="74">
        <v>32013</v>
      </c>
      <c r="H5663" s="77">
        <v>0.20833333333333334</v>
      </c>
      <c r="J5663">
        <v>60.08</v>
      </c>
      <c r="M5663" s="74">
        <v>34570</v>
      </c>
      <c r="N5663" s="77">
        <v>0.20833333333333334</v>
      </c>
      <c r="P5663">
        <v>51.980000000000004</v>
      </c>
      <c r="S5663" s="74">
        <v>34935</v>
      </c>
      <c r="T5663" s="77">
        <v>0.20833333333333334</v>
      </c>
      <c r="V5663">
        <v>69.98</v>
      </c>
      <c r="X5663" s="42"/>
      <c r="AB5663">
        <v>69.2</v>
      </c>
      <c r="AC5663">
        <v>64.039999999999992</v>
      </c>
      <c r="AE5663" s="74"/>
      <c r="AF5663" s="77"/>
      <c r="AH5663" s="497">
        <v>46.94</v>
      </c>
      <c r="AJ5663" s="42"/>
      <c r="AK5663" s="74"/>
      <c r="AL5663" s="77"/>
      <c r="AN5663" s="497">
        <v>55.94</v>
      </c>
      <c r="AP5663" s="42"/>
      <c r="AQ5663" s="74"/>
      <c r="AR5663" s="77"/>
      <c r="AT5663" s="497">
        <v>48.92</v>
      </c>
      <c r="AV5663" s="42"/>
      <c r="AW5663" s="74"/>
      <c r="AX5663" s="77"/>
      <c r="BA5663" s="497">
        <v>64.94</v>
      </c>
      <c r="BB5663" s="42"/>
      <c r="BC5663" s="74"/>
      <c r="BD5663" s="77"/>
      <c r="BF5663">
        <v>60.980000000000004</v>
      </c>
      <c r="BH5663" s="42"/>
      <c r="BI5663" s="74"/>
      <c r="BJ5663" s="77"/>
      <c r="BL5663" s="497">
        <v>64.94</v>
      </c>
      <c r="BN5663" s="42"/>
      <c r="BO5663" s="74"/>
      <c r="BP5663" s="77"/>
      <c r="BR5663" s="497">
        <v>51.980000000000004</v>
      </c>
      <c r="BT5663" s="42"/>
    </row>
    <row r="5664" spans="1:72" x14ac:dyDescent="0.25">
      <c r="A5664" s="90">
        <v>34935</v>
      </c>
      <c r="B5664" s="20">
        <v>0.25</v>
      </c>
      <c r="D5664">
        <v>77</v>
      </c>
      <c r="E5664" t="str">
        <f t="shared" si="212"/>
        <v>WEEKDAY</v>
      </c>
      <c r="F5664" t="e">
        <f t="shared" si="211"/>
        <v>#N/A</v>
      </c>
      <c r="G5664" s="74">
        <v>32013</v>
      </c>
      <c r="H5664" s="77">
        <v>0.25</v>
      </c>
      <c r="J5664">
        <v>59</v>
      </c>
      <c r="M5664" s="74">
        <v>34570</v>
      </c>
      <c r="N5664" s="77">
        <v>0.25</v>
      </c>
      <c r="P5664">
        <v>51.980000000000004</v>
      </c>
      <c r="S5664" s="74">
        <v>34935</v>
      </c>
      <c r="T5664" s="77">
        <v>0.25</v>
      </c>
      <c r="V5664">
        <v>69.98</v>
      </c>
      <c r="X5664" s="42"/>
      <c r="AB5664">
        <v>68.8</v>
      </c>
      <c r="AC5664">
        <v>64.94</v>
      </c>
      <c r="AE5664" s="74"/>
      <c r="AF5664" s="77"/>
      <c r="AH5664" s="497">
        <v>46.94</v>
      </c>
      <c r="AJ5664" s="42"/>
      <c r="AK5664" s="74"/>
      <c r="AL5664" s="77"/>
      <c r="AN5664" s="497">
        <v>55.94</v>
      </c>
      <c r="AP5664" s="42"/>
      <c r="AQ5664" s="74"/>
      <c r="AR5664" s="77"/>
      <c r="AT5664" s="497">
        <v>51.08</v>
      </c>
      <c r="AV5664" s="42"/>
      <c r="AW5664" s="74"/>
      <c r="AX5664" s="77"/>
      <c r="BA5664" s="497">
        <v>64.039999999999992</v>
      </c>
      <c r="BB5664" s="42"/>
      <c r="BC5664" s="74"/>
      <c r="BD5664" s="77"/>
      <c r="BF5664">
        <v>62.06</v>
      </c>
      <c r="BH5664" s="42"/>
      <c r="BI5664" s="74"/>
      <c r="BJ5664" s="77"/>
      <c r="BL5664" s="497">
        <v>64.94</v>
      </c>
      <c r="BN5664" s="42"/>
      <c r="BO5664" s="74"/>
      <c r="BP5664" s="77"/>
      <c r="BR5664" s="497">
        <v>51.08</v>
      </c>
      <c r="BT5664" s="42"/>
    </row>
    <row r="5665" spans="1:72" x14ac:dyDescent="0.25">
      <c r="A5665" s="90">
        <v>34935</v>
      </c>
      <c r="B5665" s="20">
        <v>0.29166666666666669</v>
      </c>
      <c r="D5665">
        <v>78.080000000000013</v>
      </c>
      <c r="E5665" t="str">
        <f t="shared" si="212"/>
        <v>WEEKDAY</v>
      </c>
      <c r="F5665" t="e">
        <f t="shared" si="211"/>
        <v>#N/A</v>
      </c>
      <c r="G5665" s="74">
        <v>32013</v>
      </c>
      <c r="H5665" s="77">
        <v>0.29166666666666669</v>
      </c>
      <c r="J5665">
        <v>60.980000000000004</v>
      </c>
      <c r="M5665" s="74">
        <v>34570</v>
      </c>
      <c r="N5665" s="77">
        <v>0.29166666666666669</v>
      </c>
      <c r="P5665">
        <v>55.94</v>
      </c>
      <c r="S5665" s="74">
        <v>34935</v>
      </c>
      <c r="T5665" s="77">
        <v>0.29166666666666669</v>
      </c>
      <c r="V5665">
        <v>71.960000000000008</v>
      </c>
      <c r="X5665" s="42"/>
      <c r="AB5665">
        <v>69.2</v>
      </c>
      <c r="AC5665">
        <v>64.94</v>
      </c>
      <c r="AE5665" s="74"/>
      <c r="AF5665" s="77"/>
      <c r="AH5665" s="497">
        <v>50.900000000000006</v>
      </c>
      <c r="AJ5665" s="42"/>
      <c r="AK5665" s="74"/>
      <c r="AL5665" s="77"/>
      <c r="AN5665" s="497">
        <v>57.019999999999996</v>
      </c>
      <c r="AP5665" s="42"/>
      <c r="AQ5665" s="74"/>
      <c r="AR5665" s="77"/>
      <c r="AT5665" s="497">
        <v>57.019999999999996</v>
      </c>
      <c r="AV5665" s="42"/>
      <c r="AW5665" s="74"/>
      <c r="AX5665" s="77"/>
      <c r="BA5665" s="497">
        <v>64.94</v>
      </c>
      <c r="BB5665" s="42"/>
      <c r="BC5665" s="74"/>
      <c r="BD5665" s="77"/>
      <c r="BF5665">
        <v>59</v>
      </c>
      <c r="BH5665" s="42"/>
      <c r="BI5665" s="74"/>
      <c r="BJ5665" s="77"/>
      <c r="BL5665" s="497">
        <v>68</v>
      </c>
      <c r="BN5665" s="42"/>
      <c r="BO5665" s="74"/>
      <c r="BP5665" s="77"/>
      <c r="BR5665" s="497">
        <v>51.08</v>
      </c>
      <c r="BT5665" s="42"/>
    </row>
    <row r="5666" spans="1:72" x14ac:dyDescent="0.25">
      <c r="A5666" s="90">
        <v>34935</v>
      </c>
      <c r="B5666" s="20">
        <v>0.33333333333333331</v>
      </c>
      <c r="D5666">
        <v>80.06</v>
      </c>
      <c r="E5666" t="str">
        <f t="shared" si="212"/>
        <v>WEEKDAY</v>
      </c>
      <c r="F5666" t="e">
        <f t="shared" si="211"/>
        <v>#N/A</v>
      </c>
      <c r="G5666" s="74">
        <v>32013</v>
      </c>
      <c r="H5666" s="77">
        <v>0.33333333333333331</v>
      </c>
      <c r="J5666">
        <v>64.039999999999992</v>
      </c>
      <c r="M5666" s="74">
        <v>34570</v>
      </c>
      <c r="N5666" s="77">
        <v>0.33333333333333331</v>
      </c>
      <c r="P5666">
        <v>62.96</v>
      </c>
      <c r="S5666" s="74">
        <v>34935</v>
      </c>
      <c r="T5666" s="77">
        <v>0.33333333333333331</v>
      </c>
      <c r="V5666">
        <v>75.02</v>
      </c>
      <c r="X5666" s="42"/>
      <c r="AB5666">
        <v>71.2</v>
      </c>
      <c r="AC5666">
        <v>66.92</v>
      </c>
      <c r="AE5666" s="74"/>
      <c r="AF5666" s="77"/>
      <c r="AH5666" s="497">
        <v>55.94</v>
      </c>
      <c r="AJ5666" s="42"/>
      <c r="AK5666" s="74"/>
      <c r="AL5666" s="77"/>
      <c r="AN5666" s="497">
        <v>60.08</v>
      </c>
      <c r="AP5666" s="42"/>
      <c r="AQ5666" s="74"/>
      <c r="AR5666" s="77"/>
      <c r="AT5666" s="497">
        <v>62.06</v>
      </c>
      <c r="AV5666" s="42"/>
      <c r="AW5666" s="74"/>
      <c r="AX5666" s="77"/>
      <c r="BA5666" s="497">
        <v>66.02</v>
      </c>
      <c r="BB5666" s="42"/>
      <c r="BC5666" s="74"/>
      <c r="BD5666" s="77"/>
      <c r="BF5666">
        <v>59</v>
      </c>
      <c r="BH5666" s="42"/>
      <c r="BI5666" s="74"/>
      <c r="BJ5666" s="77"/>
      <c r="BL5666" s="497">
        <v>69.080000000000013</v>
      </c>
      <c r="BN5666" s="42"/>
      <c r="BO5666" s="74"/>
      <c r="BP5666" s="77"/>
      <c r="BR5666" s="497">
        <v>51.980000000000004</v>
      </c>
      <c r="BT5666" s="42"/>
    </row>
    <row r="5667" spans="1:72" x14ac:dyDescent="0.25">
      <c r="A5667" s="90">
        <v>34935</v>
      </c>
      <c r="B5667" s="20">
        <v>0.375</v>
      </c>
      <c r="D5667">
        <v>82.039999999999992</v>
      </c>
      <c r="E5667" t="str">
        <f t="shared" si="212"/>
        <v>WEEKDAY</v>
      </c>
      <c r="F5667" t="e">
        <f t="shared" si="211"/>
        <v>#N/A</v>
      </c>
      <c r="G5667" s="74">
        <v>32013</v>
      </c>
      <c r="H5667" s="77">
        <v>0.375</v>
      </c>
      <c r="J5667">
        <v>64.94</v>
      </c>
      <c r="M5667" s="74">
        <v>34570</v>
      </c>
      <c r="N5667" s="77">
        <v>0.375</v>
      </c>
      <c r="P5667">
        <v>68</v>
      </c>
      <c r="S5667" s="74">
        <v>34935</v>
      </c>
      <c r="T5667" s="77">
        <v>0.375</v>
      </c>
      <c r="V5667">
        <v>78.080000000000013</v>
      </c>
      <c r="X5667" s="42"/>
      <c r="AB5667">
        <v>73.3</v>
      </c>
      <c r="AC5667">
        <v>68</v>
      </c>
      <c r="AE5667" s="74"/>
      <c r="AF5667" s="77"/>
      <c r="AH5667" s="497">
        <v>60.980000000000004</v>
      </c>
      <c r="AJ5667" s="42"/>
      <c r="AK5667" s="74"/>
      <c r="AL5667" s="77"/>
      <c r="AN5667" s="497">
        <v>62.06</v>
      </c>
      <c r="AP5667" s="42"/>
      <c r="AQ5667" s="74"/>
      <c r="AR5667" s="77"/>
      <c r="AT5667" s="497">
        <v>64.94</v>
      </c>
      <c r="AV5667" s="42"/>
      <c r="AW5667" s="74"/>
      <c r="AX5667" s="77"/>
      <c r="BA5667" s="497">
        <v>68</v>
      </c>
      <c r="BB5667" s="42"/>
      <c r="BC5667" s="74"/>
      <c r="BD5667" s="77"/>
      <c r="BF5667">
        <v>60.08</v>
      </c>
      <c r="BH5667" s="42"/>
      <c r="BI5667" s="74"/>
      <c r="BJ5667" s="77"/>
      <c r="BL5667" s="497">
        <v>73.94</v>
      </c>
      <c r="BN5667" s="42"/>
      <c r="BO5667" s="74"/>
      <c r="BP5667" s="77"/>
      <c r="BR5667" s="497">
        <v>51.980000000000004</v>
      </c>
      <c r="BT5667" s="42"/>
    </row>
    <row r="5668" spans="1:72" x14ac:dyDescent="0.25">
      <c r="A5668" s="90">
        <v>34935</v>
      </c>
      <c r="B5668" s="20">
        <v>0.41666666666666669</v>
      </c>
      <c r="D5668">
        <v>84.92</v>
      </c>
      <c r="E5668" t="str">
        <f t="shared" si="212"/>
        <v>WEEKDAY</v>
      </c>
      <c r="F5668" t="e">
        <f t="shared" si="211"/>
        <v>#N/A</v>
      </c>
      <c r="G5668" s="74">
        <v>32013</v>
      </c>
      <c r="H5668" s="77">
        <v>0.41666666666666669</v>
      </c>
      <c r="J5668">
        <v>68</v>
      </c>
      <c r="M5668" s="74">
        <v>34570</v>
      </c>
      <c r="N5668" s="77">
        <v>0.41666666666666669</v>
      </c>
      <c r="P5668">
        <v>69.98</v>
      </c>
      <c r="S5668" s="74">
        <v>34935</v>
      </c>
      <c r="T5668" s="77">
        <v>0.41666666666666669</v>
      </c>
      <c r="V5668">
        <v>80.960000000000008</v>
      </c>
      <c r="X5668" s="42"/>
      <c r="AB5668">
        <v>75.2</v>
      </c>
      <c r="AC5668">
        <v>69.080000000000013</v>
      </c>
      <c r="AE5668" s="74"/>
      <c r="AF5668" s="77"/>
      <c r="AH5668" s="497">
        <v>66.92</v>
      </c>
      <c r="AJ5668" s="42"/>
      <c r="AK5668" s="74"/>
      <c r="AL5668" s="77"/>
      <c r="AN5668" s="497">
        <v>66.02</v>
      </c>
      <c r="AP5668" s="42"/>
      <c r="AQ5668" s="74"/>
      <c r="AR5668" s="77"/>
      <c r="AT5668" s="497">
        <v>68</v>
      </c>
      <c r="AV5668" s="42"/>
      <c r="AW5668" s="74"/>
      <c r="AX5668" s="77"/>
      <c r="BA5668" s="497">
        <v>71.06</v>
      </c>
      <c r="BB5668" s="42"/>
      <c r="BC5668" s="74"/>
      <c r="BD5668" s="77"/>
      <c r="BF5668">
        <v>60.980000000000004</v>
      </c>
      <c r="BH5668" s="42"/>
      <c r="BI5668" s="74"/>
      <c r="BJ5668" s="77"/>
      <c r="BL5668" s="497">
        <v>77</v>
      </c>
      <c r="BN5668" s="42"/>
      <c r="BO5668" s="74"/>
      <c r="BP5668" s="77"/>
      <c r="BR5668" s="497">
        <v>51.980000000000004</v>
      </c>
      <c r="BT5668" s="42"/>
    </row>
    <row r="5669" spans="1:72" x14ac:dyDescent="0.25">
      <c r="A5669" s="90">
        <v>34935</v>
      </c>
      <c r="B5669" s="20">
        <v>0.45833333333333331</v>
      </c>
      <c r="D5669">
        <v>87.080000000000013</v>
      </c>
      <c r="E5669" t="str">
        <f t="shared" si="212"/>
        <v>WEEKDAY</v>
      </c>
      <c r="F5669" t="e">
        <f t="shared" si="211"/>
        <v>#N/A</v>
      </c>
      <c r="G5669" s="74">
        <v>32013</v>
      </c>
      <c r="H5669" s="77">
        <v>0.45833333333333331</v>
      </c>
      <c r="J5669">
        <v>66.92</v>
      </c>
      <c r="M5669" s="74">
        <v>34570</v>
      </c>
      <c r="N5669" s="77">
        <v>0.45833333333333331</v>
      </c>
      <c r="P5669">
        <v>71.960000000000008</v>
      </c>
      <c r="S5669" s="74">
        <v>34935</v>
      </c>
      <c r="T5669" s="77">
        <v>0.45833333333333331</v>
      </c>
      <c r="V5669">
        <v>84.92</v>
      </c>
      <c r="X5669" s="42"/>
      <c r="AB5669">
        <v>76.900000000000006</v>
      </c>
      <c r="AC5669">
        <v>69.080000000000013</v>
      </c>
      <c r="AE5669" s="74"/>
      <c r="AF5669" s="77"/>
      <c r="AH5669" s="497">
        <v>69.98</v>
      </c>
      <c r="AJ5669" s="42"/>
      <c r="AK5669" s="74"/>
      <c r="AL5669" s="77"/>
      <c r="AN5669" s="497">
        <v>69.080000000000013</v>
      </c>
      <c r="AP5669" s="42"/>
      <c r="AQ5669" s="74"/>
      <c r="AR5669" s="77"/>
      <c r="AT5669" s="497">
        <v>68</v>
      </c>
      <c r="AV5669" s="42"/>
      <c r="AW5669" s="74"/>
      <c r="AX5669" s="77"/>
      <c r="BA5669" s="497">
        <v>73.039999999999992</v>
      </c>
      <c r="BB5669" s="42"/>
      <c r="BC5669" s="74"/>
      <c r="BD5669" s="77"/>
      <c r="BF5669">
        <v>66.92</v>
      </c>
      <c r="BH5669" s="42"/>
      <c r="BI5669" s="74"/>
      <c r="BJ5669" s="77"/>
      <c r="BL5669" s="497">
        <v>78.080000000000013</v>
      </c>
      <c r="BN5669" s="42"/>
      <c r="BO5669" s="74"/>
      <c r="BP5669" s="77"/>
      <c r="BR5669" s="497">
        <v>53.06</v>
      </c>
      <c r="BT5669" s="42"/>
    </row>
    <row r="5670" spans="1:72" x14ac:dyDescent="0.25">
      <c r="A5670" s="90">
        <v>34935</v>
      </c>
      <c r="B5670" s="20">
        <v>0.5</v>
      </c>
      <c r="D5670">
        <v>89.960000000000008</v>
      </c>
      <c r="E5670" t="str">
        <f t="shared" si="212"/>
        <v>WEEKDAY</v>
      </c>
      <c r="F5670" t="e">
        <f t="shared" si="211"/>
        <v>#N/A</v>
      </c>
      <c r="G5670" s="74">
        <v>32013</v>
      </c>
      <c r="H5670" s="77">
        <v>0.5</v>
      </c>
      <c r="J5670">
        <v>69.080000000000013</v>
      </c>
      <c r="M5670" s="74">
        <v>34570</v>
      </c>
      <c r="N5670" s="77">
        <v>0.5</v>
      </c>
      <c r="P5670">
        <v>73.94</v>
      </c>
      <c r="S5670" s="74">
        <v>34935</v>
      </c>
      <c r="T5670" s="77">
        <v>0.5</v>
      </c>
      <c r="V5670">
        <v>87.080000000000013</v>
      </c>
      <c r="X5670" s="42"/>
      <c r="AB5670">
        <v>78.3</v>
      </c>
      <c r="AC5670">
        <v>68</v>
      </c>
      <c r="AE5670" s="74"/>
      <c r="AF5670" s="77"/>
      <c r="AH5670" s="497">
        <v>72.86</v>
      </c>
      <c r="AJ5670" s="42"/>
      <c r="AK5670" s="74"/>
      <c r="AL5670" s="77"/>
      <c r="AN5670" s="497">
        <v>73.94</v>
      </c>
      <c r="AP5670" s="42"/>
      <c r="AQ5670" s="74"/>
      <c r="AR5670" s="77"/>
      <c r="AT5670" s="497">
        <v>69.98</v>
      </c>
      <c r="AV5670" s="42"/>
      <c r="AW5670" s="74"/>
      <c r="AX5670" s="77"/>
      <c r="BA5670" s="497">
        <v>73.94</v>
      </c>
      <c r="BB5670" s="42"/>
      <c r="BC5670" s="74"/>
      <c r="BD5670" s="77"/>
      <c r="BF5670">
        <v>73.039999999999992</v>
      </c>
      <c r="BH5670" s="42"/>
      <c r="BI5670" s="74"/>
      <c r="BJ5670" s="77"/>
      <c r="BL5670" s="497">
        <v>78.080000000000013</v>
      </c>
      <c r="BN5670" s="42"/>
      <c r="BO5670" s="74"/>
      <c r="BP5670" s="77"/>
      <c r="BR5670" s="497">
        <v>53.96</v>
      </c>
      <c r="BT5670" s="42"/>
    </row>
    <row r="5671" spans="1:72" x14ac:dyDescent="0.25">
      <c r="A5671" s="90">
        <v>34935</v>
      </c>
      <c r="B5671" s="20">
        <v>0.54166666666666663</v>
      </c>
      <c r="D5671">
        <v>91.039999999999992</v>
      </c>
      <c r="E5671" t="str">
        <f t="shared" si="212"/>
        <v>WEEKDAY</v>
      </c>
      <c r="F5671" t="e">
        <f t="shared" si="211"/>
        <v>#N/A</v>
      </c>
      <c r="G5671" s="74">
        <v>32013</v>
      </c>
      <c r="H5671" s="77">
        <v>0.54166666666666663</v>
      </c>
      <c r="J5671">
        <v>71.06</v>
      </c>
      <c r="M5671" s="74">
        <v>34570</v>
      </c>
      <c r="N5671" s="77">
        <v>0.54166666666666663</v>
      </c>
      <c r="P5671">
        <v>73.94</v>
      </c>
      <c r="S5671" s="74">
        <v>34935</v>
      </c>
      <c r="T5671" s="77">
        <v>0.54166666666666663</v>
      </c>
      <c r="V5671">
        <v>89.960000000000008</v>
      </c>
      <c r="X5671" s="42"/>
      <c r="AB5671">
        <v>79.2</v>
      </c>
      <c r="AC5671">
        <v>69.080000000000013</v>
      </c>
      <c r="AE5671" s="74"/>
      <c r="AF5671" s="77"/>
      <c r="AH5671" s="497">
        <v>74.84</v>
      </c>
      <c r="AJ5671" s="42"/>
      <c r="AK5671" s="74"/>
      <c r="AL5671" s="77"/>
      <c r="AN5671" s="497">
        <v>73.94</v>
      </c>
      <c r="AP5671" s="42"/>
      <c r="AQ5671" s="74"/>
      <c r="AR5671" s="77"/>
      <c r="AT5671" s="497">
        <v>71.06</v>
      </c>
      <c r="AV5671" s="42"/>
      <c r="AW5671" s="74"/>
      <c r="AX5671" s="77"/>
      <c r="BA5671" s="497">
        <v>75.02</v>
      </c>
      <c r="BB5671" s="42"/>
      <c r="BC5671" s="74"/>
      <c r="BD5671" s="77"/>
      <c r="BF5671">
        <v>75.02</v>
      </c>
      <c r="BH5671" s="42"/>
      <c r="BI5671" s="74"/>
      <c r="BJ5671" s="77"/>
      <c r="BL5671" s="497">
        <v>80.06</v>
      </c>
      <c r="BN5671" s="42"/>
      <c r="BO5671" s="74"/>
      <c r="BP5671" s="77"/>
      <c r="BR5671" s="497">
        <v>57.019999999999996</v>
      </c>
      <c r="BT5671" s="42"/>
    </row>
    <row r="5672" spans="1:72" x14ac:dyDescent="0.25">
      <c r="A5672" s="90">
        <v>34935</v>
      </c>
      <c r="B5672" s="20">
        <v>0.58333333333333337</v>
      </c>
      <c r="D5672">
        <v>91.94</v>
      </c>
      <c r="E5672" t="str">
        <f t="shared" si="212"/>
        <v>WEEKDAY</v>
      </c>
      <c r="F5672" t="e">
        <f t="shared" si="211"/>
        <v>#N/A</v>
      </c>
      <c r="G5672" s="74">
        <v>32013</v>
      </c>
      <c r="H5672" s="77">
        <v>0.58333333333333337</v>
      </c>
      <c r="J5672">
        <v>73.039999999999992</v>
      </c>
      <c r="M5672" s="74">
        <v>34570</v>
      </c>
      <c r="N5672" s="77">
        <v>0.58333333333333337</v>
      </c>
      <c r="P5672">
        <v>74.84</v>
      </c>
      <c r="S5672" s="74">
        <v>34935</v>
      </c>
      <c r="T5672" s="77">
        <v>0.58333333333333337</v>
      </c>
      <c r="V5672">
        <v>91.039999999999992</v>
      </c>
      <c r="X5672" s="42"/>
      <c r="AB5672">
        <v>79.599999999999994</v>
      </c>
      <c r="AC5672">
        <v>69.98</v>
      </c>
      <c r="AE5672" s="74"/>
      <c r="AF5672" s="77"/>
      <c r="AH5672" s="497">
        <v>77</v>
      </c>
      <c r="AJ5672" s="42"/>
      <c r="AK5672" s="74"/>
      <c r="AL5672" s="77"/>
      <c r="AN5672" s="497">
        <v>73.039999999999992</v>
      </c>
      <c r="AP5672" s="42"/>
      <c r="AQ5672" s="74"/>
      <c r="AR5672" s="77"/>
      <c r="AT5672" s="497">
        <v>73.039999999999992</v>
      </c>
      <c r="AV5672" s="42"/>
      <c r="AW5672" s="74"/>
      <c r="AX5672" s="77"/>
      <c r="BA5672" s="497">
        <v>75.02</v>
      </c>
      <c r="BB5672" s="42"/>
      <c r="BC5672" s="74"/>
      <c r="BD5672" s="77"/>
      <c r="BF5672">
        <v>75.92</v>
      </c>
      <c r="BH5672" s="42"/>
      <c r="BI5672" s="74"/>
      <c r="BJ5672" s="77"/>
      <c r="BL5672" s="497">
        <v>78.98</v>
      </c>
      <c r="BN5672" s="42"/>
      <c r="BO5672" s="74"/>
      <c r="BP5672" s="77"/>
      <c r="BR5672" s="497">
        <v>59</v>
      </c>
      <c r="BT5672" s="42"/>
    </row>
    <row r="5673" spans="1:72" x14ac:dyDescent="0.25">
      <c r="A5673" s="90">
        <v>34935</v>
      </c>
      <c r="B5673" s="20">
        <v>0.625</v>
      </c>
      <c r="D5673">
        <v>89.960000000000008</v>
      </c>
      <c r="E5673" t="str">
        <f t="shared" si="212"/>
        <v>WEEKDAY</v>
      </c>
      <c r="F5673" t="e">
        <f t="shared" si="211"/>
        <v>#N/A</v>
      </c>
      <c r="G5673" s="74">
        <v>32013</v>
      </c>
      <c r="H5673" s="77">
        <v>0.625</v>
      </c>
      <c r="J5673">
        <v>71.06</v>
      </c>
      <c r="M5673" s="74">
        <v>34570</v>
      </c>
      <c r="N5673" s="77">
        <v>0.625</v>
      </c>
      <c r="P5673">
        <v>73.94</v>
      </c>
      <c r="S5673" s="74">
        <v>34935</v>
      </c>
      <c r="T5673" s="77">
        <v>0.625</v>
      </c>
      <c r="V5673">
        <v>93.02</v>
      </c>
      <c r="X5673" s="42"/>
      <c r="AB5673">
        <v>79.8</v>
      </c>
      <c r="AC5673">
        <v>69.080000000000013</v>
      </c>
      <c r="AE5673" s="74"/>
      <c r="AF5673" s="77"/>
      <c r="AH5673" s="497">
        <v>77.36</v>
      </c>
      <c r="AJ5673" s="42"/>
      <c r="AK5673" s="74"/>
      <c r="AL5673" s="77"/>
      <c r="AN5673" s="497">
        <v>73.039999999999992</v>
      </c>
      <c r="AP5673" s="42"/>
      <c r="AQ5673" s="74"/>
      <c r="AR5673" s="77"/>
      <c r="AT5673" s="497">
        <v>71.960000000000008</v>
      </c>
      <c r="AV5673" s="42"/>
      <c r="AW5673" s="74"/>
      <c r="AX5673" s="77"/>
      <c r="BA5673" s="497">
        <v>75.92</v>
      </c>
      <c r="BB5673" s="42"/>
      <c r="BC5673" s="74"/>
      <c r="BD5673" s="77"/>
      <c r="BF5673">
        <v>77</v>
      </c>
      <c r="BH5673" s="42"/>
      <c r="BI5673" s="74"/>
      <c r="BJ5673" s="77"/>
      <c r="BL5673" s="497">
        <v>80.06</v>
      </c>
      <c r="BN5673" s="42"/>
      <c r="BO5673" s="74"/>
      <c r="BP5673" s="77"/>
      <c r="BR5673" s="497">
        <v>60.08</v>
      </c>
      <c r="BT5673" s="42"/>
    </row>
    <row r="5674" spans="1:72" x14ac:dyDescent="0.25">
      <c r="A5674" s="90">
        <v>34935</v>
      </c>
      <c r="B5674" s="20">
        <v>0.66666666666666663</v>
      </c>
      <c r="D5674">
        <v>91.039999999999992</v>
      </c>
      <c r="E5674" t="str">
        <f t="shared" si="212"/>
        <v>WEEKDAY</v>
      </c>
      <c r="F5674" t="e">
        <f t="shared" si="211"/>
        <v>#N/A</v>
      </c>
      <c r="G5674" s="74">
        <v>32013</v>
      </c>
      <c r="H5674" s="77">
        <v>0.66666666666666663</v>
      </c>
      <c r="J5674">
        <v>73.039999999999992</v>
      </c>
      <c r="M5674" s="74">
        <v>34570</v>
      </c>
      <c r="N5674" s="77">
        <v>0.66666666666666663</v>
      </c>
      <c r="P5674">
        <v>72.86</v>
      </c>
      <c r="S5674" s="74">
        <v>34935</v>
      </c>
      <c r="T5674" s="77">
        <v>0.66666666666666663</v>
      </c>
      <c r="V5674">
        <v>93.02</v>
      </c>
      <c r="X5674" s="42"/>
      <c r="AB5674">
        <v>79.400000000000006</v>
      </c>
      <c r="AC5674">
        <v>69.080000000000013</v>
      </c>
      <c r="AE5674" s="74"/>
      <c r="AF5674" s="77"/>
      <c r="AH5674" s="497">
        <v>77</v>
      </c>
      <c r="AJ5674" s="42"/>
      <c r="AK5674" s="74"/>
      <c r="AL5674" s="77"/>
      <c r="AN5674" s="497">
        <v>71.960000000000008</v>
      </c>
      <c r="AP5674" s="42"/>
      <c r="AQ5674" s="74"/>
      <c r="AR5674" s="77"/>
      <c r="AT5674" s="497">
        <v>71.06</v>
      </c>
      <c r="AV5674" s="42"/>
      <c r="AW5674" s="74"/>
      <c r="AX5674" s="77"/>
      <c r="BA5674" s="497">
        <v>75.02</v>
      </c>
      <c r="BB5674" s="42"/>
      <c r="BC5674" s="74"/>
      <c r="BD5674" s="77"/>
      <c r="BF5674">
        <v>75.02</v>
      </c>
      <c r="BH5674" s="42"/>
      <c r="BI5674" s="74"/>
      <c r="BJ5674" s="77"/>
      <c r="BL5674" s="497">
        <v>80.960000000000008</v>
      </c>
      <c r="BN5674" s="42"/>
      <c r="BO5674" s="74"/>
      <c r="BP5674" s="77"/>
      <c r="BR5674" s="497">
        <v>60.08</v>
      </c>
      <c r="BT5674" s="42"/>
    </row>
    <row r="5675" spans="1:72" x14ac:dyDescent="0.25">
      <c r="A5675" s="90">
        <v>34935</v>
      </c>
      <c r="B5675" s="20">
        <v>0.70833333333333337</v>
      </c>
      <c r="D5675">
        <v>89.960000000000008</v>
      </c>
      <c r="E5675" t="str">
        <f t="shared" si="212"/>
        <v>WEEKDAY</v>
      </c>
      <c r="F5675" t="e">
        <f t="shared" ref="F5675:F5738" si="213">IF(E5675="WEEKDAY",VLOOKUP(B5675,$DD$19:$DG$42,2),IF(E5675="SATURDAY",VLOOKUP(B5675,$DD$19:$DG$42,3),VLOOKUP(B5675,$DD$19:$DG$42,4)))</f>
        <v>#N/A</v>
      </c>
      <c r="G5675" s="74">
        <v>32013</v>
      </c>
      <c r="H5675" s="77">
        <v>0.70833333333333337</v>
      </c>
      <c r="J5675">
        <v>73.039999999999992</v>
      </c>
      <c r="M5675" s="74">
        <v>34570</v>
      </c>
      <c r="N5675" s="77">
        <v>0.70833333333333337</v>
      </c>
      <c r="P5675">
        <v>71.960000000000008</v>
      </c>
      <c r="S5675" s="74">
        <v>34935</v>
      </c>
      <c r="T5675" s="77">
        <v>0.70833333333333337</v>
      </c>
      <c r="V5675">
        <v>91.94</v>
      </c>
      <c r="X5675" s="42"/>
      <c r="AB5675">
        <v>78.5</v>
      </c>
      <c r="AC5675">
        <v>68</v>
      </c>
      <c r="AE5675" s="74"/>
      <c r="AF5675" s="77"/>
      <c r="AH5675" s="497">
        <v>77</v>
      </c>
      <c r="AJ5675" s="42"/>
      <c r="AK5675" s="74"/>
      <c r="AL5675" s="77"/>
      <c r="AN5675" s="497">
        <v>71.06</v>
      </c>
      <c r="AP5675" s="42"/>
      <c r="AQ5675" s="74"/>
      <c r="AR5675" s="77"/>
      <c r="AT5675" s="497">
        <v>68</v>
      </c>
      <c r="AV5675" s="42"/>
      <c r="AW5675" s="74"/>
      <c r="AX5675" s="77"/>
      <c r="BA5675" s="497">
        <v>73.94</v>
      </c>
      <c r="BB5675" s="42"/>
      <c r="BC5675" s="74"/>
      <c r="BD5675" s="77"/>
      <c r="BF5675">
        <v>73.94</v>
      </c>
      <c r="BH5675" s="42"/>
      <c r="BI5675" s="74"/>
      <c r="BJ5675" s="77"/>
      <c r="BL5675" s="497">
        <v>80.960000000000008</v>
      </c>
      <c r="BN5675" s="42"/>
      <c r="BO5675" s="74"/>
      <c r="BP5675" s="77"/>
      <c r="BR5675" s="497">
        <v>60.08</v>
      </c>
      <c r="BT5675" s="42"/>
    </row>
    <row r="5676" spans="1:72" x14ac:dyDescent="0.25">
      <c r="A5676" s="90">
        <v>34935</v>
      </c>
      <c r="B5676" s="20">
        <v>0.75</v>
      </c>
      <c r="D5676">
        <v>89.06</v>
      </c>
      <c r="E5676" t="str">
        <f t="shared" si="212"/>
        <v>WEEKDAY</v>
      </c>
      <c r="F5676" t="e">
        <f t="shared" si="213"/>
        <v>#N/A</v>
      </c>
      <c r="G5676" s="74">
        <v>32013</v>
      </c>
      <c r="H5676" s="77">
        <v>0.75</v>
      </c>
      <c r="J5676">
        <v>71.960000000000008</v>
      </c>
      <c r="M5676" s="74">
        <v>34570</v>
      </c>
      <c r="N5676" s="77">
        <v>0.75</v>
      </c>
      <c r="P5676">
        <v>68.900000000000006</v>
      </c>
      <c r="S5676" s="74">
        <v>34935</v>
      </c>
      <c r="T5676" s="77">
        <v>0.75</v>
      </c>
      <c r="V5676">
        <v>87.98</v>
      </c>
      <c r="X5676" s="42"/>
      <c r="AB5676">
        <v>77.400000000000006</v>
      </c>
      <c r="AC5676">
        <v>68</v>
      </c>
      <c r="AE5676" s="74"/>
      <c r="AF5676" s="77"/>
      <c r="AH5676" s="497">
        <v>71.960000000000008</v>
      </c>
      <c r="AJ5676" s="42"/>
      <c r="AK5676" s="74"/>
      <c r="AL5676" s="77"/>
      <c r="AN5676" s="497">
        <v>69.080000000000013</v>
      </c>
      <c r="AP5676" s="42"/>
      <c r="AQ5676" s="74"/>
      <c r="AR5676" s="77"/>
      <c r="AT5676" s="497">
        <v>66.92</v>
      </c>
      <c r="AV5676" s="42"/>
      <c r="AW5676" s="74"/>
      <c r="AX5676" s="77"/>
      <c r="BA5676" s="497">
        <v>71.960000000000008</v>
      </c>
      <c r="BB5676" s="42"/>
      <c r="BC5676" s="74"/>
      <c r="BD5676" s="77"/>
      <c r="BF5676">
        <v>73.039999999999992</v>
      </c>
      <c r="BH5676" s="42"/>
      <c r="BI5676" s="74"/>
      <c r="BJ5676" s="77"/>
      <c r="BL5676" s="497">
        <v>78.080000000000013</v>
      </c>
      <c r="BN5676" s="42"/>
      <c r="BO5676" s="74"/>
      <c r="BP5676" s="77"/>
      <c r="BR5676" s="497">
        <v>60.08</v>
      </c>
      <c r="BT5676" s="42"/>
    </row>
    <row r="5677" spans="1:72" x14ac:dyDescent="0.25">
      <c r="A5677" s="90">
        <v>34935</v>
      </c>
      <c r="B5677" s="20">
        <v>0.79166666666666663</v>
      </c>
      <c r="D5677">
        <v>87.98</v>
      </c>
      <c r="E5677" t="str">
        <f t="shared" si="212"/>
        <v>WEEKDAY</v>
      </c>
      <c r="F5677" t="e">
        <f t="shared" si="213"/>
        <v>#N/A</v>
      </c>
      <c r="G5677" s="74">
        <v>32013</v>
      </c>
      <c r="H5677" s="77">
        <v>0.79166666666666663</v>
      </c>
      <c r="J5677">
        <v>69.98</v>
      </c>
      <c r="M5677" s="74">
        <v>34570</v>
      </c>
      <c r="N5677" s="77">
        <v>0.79166666666666663</v>
      </c>
      <c r="P5677">
        <v>71.960000000000008</v>
      </c>
      <c r="S5677" s="74">
        <v>34935</v>
      </c>
      <c r="T5677" s="77">
        <v>0.79166666666666663</v>
      </c>
      <c r="V5677">
        <v>84.92</v>
      </c>
      <c r="X5677" s="42"/>
      <c r="AB5677">
        <v>75.900000000000006</v>
      </c>
      <c r="AC5677">
        <v>69.080000000000013</v>
      </c>
      <c r="AE5677" s="74"/>
      <c r="AF5677" s="77"/>
      <c r="AH5677" s="497">
        <v>63.86</v>
      </c>
      <c r="AJ5677" s="42"/>
      <c r="AK5677" s="74"/>
      <c r="AL5677" s="77"/>
      <c r="AN5677" s="497">
        <v>68</v>
      </c>
      <c r="AP5677" s="42"/>
      <c r="AQ5677" s="74"/>
      <c r="AR5677" s="77"/>
      <c r="AT5677" s="497">
        <v>64.94</v>
      </c>
      <c r="AV5677" s="42"/>
      <c r="AW5677" s="74"/>
      <c r="AX5677" s="77"/>
      <c r="BA5677" s="497">
        <v>69.080000000000013</v>
      </c>
      <c r="BB5677" s="42"/>
      <c r="BC5677" s="74"/>
      <c r="BD5677" s="77"/>
      <c r="BF5677">
        <v>69.080000000000013</v>
      </c>
      <c r="BH5677" s="42"/>
      <c r="BI5677" s="74"/>
      <c r="BJ5677" s="77"/>
      <c r="BL5677" s="497">
        <v>73.94</v>
      </c>
      <c r="BN5677" s="42"/>
      <c r="BO5677" s="74"/>
      <c r="BP5677" s="77"/>
      <c r="BR5677" s="497">
        <v>57.92</v>
      </c>
      <c r="BT5677" s="42"/>
    </row>
    <row r="5678" spans="1:72" x14ac:dyDescent="0.25">
      <c r="A5678" s="90">
        <v>34935</v>
      </c>
      <c r="B5678" s="20">
        <v>0.83333333333333337</v>
      </c>
      <c r="D5678">
        <v>87.080000000000013</v>
      </c>
      <c r="E5678" t="str">
        <f t="shared" si="212"/>
        <v>WEEKDAY</v>
      </c>
      <c r="F5678" t="e">
        <f t="shared" si="213"/>
        <v>#N/A</v>
      </c>
      <c r="G5678" s="74">
        <v>32013</v>
      </c>
      <c r="H5678" s="77">
        <v>0.83333333333333337</v>
      </c>
      <c r="J5678">
        <v>69.080000000000013</v>
      </c>
      <c r="M5678" s="74">
        <v>34570</v>
      </c>
      <c r="N5678" s="77">
        <v>0.83333333333333337</v>
      </c>
      <c r="P5678">
        <v>63.86</v>
      </c>
      <c r="S5678" s="74">
        <v>34935</v>
      </c>
      <c r="T5678" s="77">
        <v>0.83333333333333337</v>
      </c>
      <c r="V5678">
        <v>80.960000000000008</v>
      </c>
      <c r="X5678" s="42"/>
      <c r="AB5678">
        <v>74.400000000000006</v>
      </c>
      <c r="AC5678">
        <v>71.06</v>
      </c>
      <c r="AE5678" s="74"/>
      <c r="AF5678" s="77"/>
      <c r="AH5678" s="497">
        <v>63.86</v>
      </c>
      <c r="AJ5678" s="42"/>
      <c r="AK5678" s="74"/>
      <c r="AL5678" s="77"/>
      <c r="AN5678" s="497">
        <v>66.02</v>
      </c>
      <c r="AP5678" s="42"/>
      <c r="AQ5678" s="74"/>
      <c r="AR5678" s="77"/>
      <c r="AT5678" s="497">
        <v>62.96</v>
      </c>
      <c r="AV5678" s="42"/>
      <c r="AW5678" s="74"/>
      <c r="AX5678" s="77"/>
      <c r="BA5678" s="497">
        <v>66.02</v>
      </c>
      <c r="BB5678" s="42"/>
      <c r="BC5678" s="74"/>
      <c r="BD5678" s="77"/>
      <c r="BF5678">
        <v>66.02</v>
      </c>
      <c r="BH5678" s="42"/>
      <c r="BI5678" s="74"/>
      <c r="BJ5678" s="77"/>
      <c r="BL5678" s="497">
        <v>71.960000000000008</v>
      </c>
      <c r="BN5678" s="42"/>
      <c r="BO5678" s="74"/>
      <c r="BP5678" s="77"/>
      <c r="BR5678" s="497">
        <v>57.019999999999996</v>
      </c>
      <c r="BT5678" s="42"/>
    </row>
    <row r="5679" spans="1:72" x14ac:dyDescent="0.25">
      <c r="A5679" s="90">
        <v>34935</v>
      </c>
      <c r="B5679" s="20">
        <v>0.875</v>
      </c>
      <c r="D5679">
        <v>86</v>
      </c>
      <c r="E5679" t="str">
        <f t="shared" si="212"/>
        <v>WEEKDAY</v>
      </c>
      <c r="F5679" t="e">
        <f t="shared" si="213"/>
        <v>#N/A</v>
      </c>
      <c r="G5679" s="74">
        <v>32013</v>
      </c>
      <c r="H5679" s="77">
        <v>0.875</v>
      </c>
      <c r="J5679">
        <v>68</v>
      </c>
      <c r="M5679" s="74">
        <v>34570</v>
      </c>
      <c r="N5679" s="77">
        <v>0.875</v>
      </c>
      <c r="P5679">
        <v>61.88</v>
      </c>
      <c r="S5679" s="74">
        <v>34935</v>
      </c>
      <c r="T5679" s="77">
        <v>0.875</v>
      </c>
      <c r="V5679">
        <v>78.080000000000013</v>
      </c>
      <c r="X5679" s="42"/>
      <c r="AB5679">
        <v>73.7</v>
      </c>
      <c r="AC5679">
        <v>69.98</v>
      </c>
      <c r="AE5679" s="74"/>
      <c r="AF5679" s="77"/>
      <c r="AH5679" s="497">
        <v>59.900000000000006</v>
      </c>
      <c r="AJ5679" s="42"/>
      <c r="AK5679" s="74"/>
      <c r="AL5679" s="77"/>
      <c r="AN5679" s="497">
        <v>62.96</v>
      </c>
      <c r="AP5679" s="42"/>
      <c r="AQ5679" s="74"/>
      <c r="AR5679" s="77"/>
      <c r="AT5679" s="497">
        <v>68</v>
      </c>
      <c r="AV5679" s="42"/>
      <c r="AW5679" s="74"/>
      <c r="AX5679" s="77"/>
      <c r="BA5679" s="497">
        <v>62.06</v>
      </c>
      <c r="BB5679" s="42"/>
      <c r="BC5679" s="74"/>
      <c r="BD5679" s="77"/>
      <c r="BF5679">
        <v>66.02</v>
      </c>
      <c r="BH5679" s="42"/>
      <c r="BI5679" s="74"/>
      <c r="BJ5679" s="77"/>
      <c r="BL5679" s="497">
        <v>71.06</v>
      </c>
      <c r="BN5679" s="42"/>
      <c r="BO5679" s="74"/>
      <c r="BP5679" s="77"/>
      <c r="BR5679" s="497">
        <v>55.040000000000006</v>
      </c>
      <c r="BT5679" s="42"/>
    </row>
    <row r="5680" spans="1:72" x14ac:dyDescent="0.25">
      <c r="A5680" s="90">
        <v>34935</v>
      </c>
      <c r="B5680" s="20">
        <v>0.91666666666666663</v>
      </c>
      <c r="D5680">
        <v>84.92</v>
      </c>
      <c r="E5680" t="str">
        <f t="shared" si="212"/>
        <v>WEEKDAY</v>
      </c>
      <c r="F5680" t="e">
        <f t="shared" si="213"/>
        <v>#N/A</v>
      </c>
      <c r="G5680" s="74">
        <v>32013</v>
      </c>
      <c r="H5680" s="77">
        <v>0.91666666666666663</v>
      </c>
      <c r="J5680">
        <v>68</v>
      </c>
      <c r="M5680" s="74">
        <v>34570</v>
      </c>
      <c r="N5680" s="77">
        <v>0.91666666666666663</v>
      </c>
      <c r="P5680">
        <v>60.980000000000004</v>
      </c>
      <c r="S5680" s="74">
        <v>34935</v>
      </c>
      <c r="T5680" s="77">
        <v>0.91666666666666663</v>
      </c>
      <c r="V5680">
        <v>75.92</v>
      </c>
      <c r="X5680" s="42"/>
      <c r="AB5680">
        <v>73</v>
      </c>
      <c r="AC5680">
        <v>71.06</v>
      </c>
      <c r="AE5680" s="74"/>
      <c r="AF5680" s="77"/>
      <c r="AH5680" s="497">
        <v>59.900000000000006</v>
      </c>
      <c r="AJ5680" s="42"/>
      <c r="AK5680" s="74"/>
      <c r="AL5680" s="77"/>
      <c r="AN5680" s="497">
        <v>62.06</v>
      </c>
      <c r="AP5680" s="42"/>
      <c r="AQ5680" s="74"/>
      <c r="AR5680" s="77"/>
      <c r="AT5680" s="497">
        <v>69.080000000000013</v>
      </c>
      <c r="AV5680" s="42"/>
      <c r="AW5680" s="74"/>
      <c r="AX5680" s="77"/>
      <c r="BA5680" s="497">
        <v>60.08</v>
      </c>
      <c r="BB5680" s="42"/>
      <c r="BC5680" s="74"/>
      <c r="BD5680" s="77"/>
      <c r="BF5680">
        <v>64.94</v>
      </c>
      <c r="BH5680" s="42"/>
      <c r="BI5680" s="74"/>
      <c r="BJ5680" s="77"/>
      <c r="BL5680" s="497">
        <v>69.98</v>
      </c>
      <c r="BN5680" s="42"/>
      <c r="BO5680" s="74"/>
      <c r="BP5680" s="77"/>
      <c r="BR5680" s="497">
        <v>55.94</v>
      </c>
      <c r="BT5680" s="42"/>
    </row>
    <row r="5681" spans="1:72" x14ac:dyDescent="0.25">
      <c r="A5681" s="90">
        <v>34935</v>
      </c>
      <c r="B5681" s="20">
        <v>0.95833333333333337</v>
      </c>
      <c r="D5681">
        <v>84.02</v>
      </c>
      <c r="E5681" t="str">
        <f t="shared" si="212"/>
        <v>WEEKDAY</v>
      </c>
      <c r="F5681" t="e">
        <f t="shared" si="213"/>
        <v>#N/A</v>
      </c>
      <c r="G5681" s="74">
        <v>32013</v>
      </c>
      <c r="H5681" s="77">
        <v>0.95833333333333337</v>
      </c>
      <c r="J5681">
        <v>64.94</v>
      </c>
      <c r="M5681" s="74">
        <v>34570</v>
      </c>
      <c r="N5681" s="77">
        <v>0.95833333333333337</v>
      </c>
      <c r="P5681">
        <v>60.980000000000004</v>
      </c>
      <c r="S5681" s="74">
        <v>34935</v>
      </c>
      <c r="T5681" s="77">
        <v>0.95833333333333337</v>
      </c>
      <c r="V5681">
        <v>73.039999999999992</v>
      </c>
      <c r="X5681" s="42"/>
      <c r="AB5681">
        <v>72.400000000000006</v>
      </c>
      <c r="AC5681">
        <v>71.06</v>
      </c>
      <c r="AE5681" s="74"/>
      <c r="AF5681" s="77"/>
      <c r="AH5681" s="497">
        <v>56.84</v>
      </c>
      <c r="AJ5681" s="42"/>
      <c r="AK5681" s="74"/>
      <c r="AL5681" s="77"/>
      <c r="AN5681" s="497">
        <v>60.08</v>
      </c>
      <c r="AP5681" s="42"/>
      <c r="AQ5681" s="74"/>
      <c r="AR5681" s="77"/>
      <c r="AT5681" s="497">
        <v>69.080000000000013</v>
      </c>
      <c r="AV5681" s="42"/>
      <c r="AW5681" s="74"/>
      <c r="AX5681" s="77"/>
      <c r="BA5681" s="497">
        <v>57.92</v>
      </c>
      <c r="BB5681" s="42"/>
      <c r="BC5681" s="74"/>
      <c r="BD5681" s="77"/>
      <c r="BF5681">
        <v>64.94</v>
      </c>
      <c r="BH5681" s="42"/>
      <c r="BI5681" s="74"/>
      <c r="BJ5681" s="77"/>
      <c r="BL5681" s="497">
        <v>68</v>
      </c>
      <c r="BN5681" s="42"/>
      <c r="BO5681" s="74"/>
      <c r="BP5681" s="77"/>
      <c r="BR5681" s="497">
        <v>53.96</v>
      </c>
      <c r="BT5681" s="42"/>
    </row>
    <row r="5682" spans="1:72" x14ac:dyDescent="0.25">
      <c r="A5682" s="90">
        <v>34935</v>
      </c>
      <c r="B5682" s="20">
        <v>1</v>
      </c>
      <c r="D5682">
        <v>82.94</v>
      </c>
      <c r="E5682" t="str">
        <f t="shared" si="212"/>
        <v>WEEKDAY</v>
      </c>
      <c r="F5682" t="e">
        <f t="shared" si="213"/>
        <v>#N/A</v>
      </c>
      <c r="G5682" s="74">
        <v>32013</v>
      </c>
      <c r="H5682" s="77">
        <v>1</v>
      </c>
      <c r="J5682">
        <v>64.94</v>
      </c>
      <c r="M5682" s="74">
        <v>34570</v>
      </c>
      <c r="N5682" s="80">
        <v>1</v>
      </c>
      <c r="P5682">
        <v>56.84</v>
      </c>
      <c r="S5682" s="74">
        <v>34935</v>
      </c>
      <c r="T5682" s="80">
        <v>1</v>
      </c>
      <c r="V5682">
        <v>71.960000000000008</v>
      </c>
      <c r="X5682" s="42"/>
      <c r="AB5682">
        <v>71.8</v>
      </c>
      <c r="AC5682">
        <v>66.02</v>
      </c>
      <c r="AE5682" s="74"/>
      <c r="AF5682" s="80"/>
      <c r="AH5682" s="497">
        <v>55.94</v>
      </c>
      <c r="AJ5682" s="42"/>
      <c r="AK5682" s="74"/>
      <c r="AL5682" s="80"/>
      <c r="AN5682" s="497">
        <v>60.08</v>
      </c>
      <c r="AP5682" s="42"/>
      <c r="AQ5682" s="74"/>
      <c r="AR5682" s="80"/>
      <c r="AT5682" s="497">
        <v>68</v>
      </c>
      <c r="AV5682" s="42"/>
      <c r="AW5682" s="74"/>
      <c r="AX5682" s="80"/>
      <c r="BA5682" s="497">
        <v>57.92</v>
      </c>
      <c r="BB5682" s="42"/>
      <c r="BC5682" s="74"/>
      <c r="BD5682" s="80"/>
      <c r="BF5682">
        <v>64.94</v>
      </c>
      <c r="BH5682" s="42"/>
      <c r="BI5682" s="74"/>
      <c r="BJ5682" s="80"/>
      <c r="BL5682" s="497">
        <v>66.02</v>
      </c>
      <c r="BN5682" s="42"/>
      <c r="BO5682" s="74"/>
      <c r="BP5682" s="80"/>
      <c r="BR5682" s="497">
        <v>53.96</v>
      </c>
      <c r="BT5682" s="42"/>
    </row>
    <row r="5683" spans="1:72" x14ac:dyDescent="0.25">
      <c r="A5683" s="90">
        <v>34936</v>
      </c>
      <c r="B5683" s="20">
        <v>4.1666666666666664E-2</v>
      </c>
      <c r="D5683">
        <v>82.94</v>
      </c>
      <c r="E5683" t="str">
        <f t="shared" si="212"/>
        <v>WEEKDAY</v>
      </c>
      <c r="F5683" t="e">
        <f t="shared" si="213"/>
        <v>#N/A</v>
      </c>
      <c r="G5683" s="74">
        <v>32014</v>
      </c>
      <c r="H5683" s="77">
        <v>4.1666666666666664E-2</v>
      </c>
      <c r="J5683">
        <v>62.96</v>
      </c>
      <c r="M5683" s="74">
        <v>34571</v>
      </c>
      <c r="N5683" s="77">
        <v>4.1666666666666664E-2</v>
      </c>
      <c r="P5683">
        <v>55.94</v>
      </c>
      <c r="S5683" s="74">
        <v>34936</v>
      </c>
      <c r="T5683" s="77">
        <v>4.1666666666666664E-2</v>
      </c>
      <c r="V5683">
        <v>69.98</v>
      </c>
      <c r="X5683" s="42"/>
      <c r="AB5683">
        <v>71.2</v>
      </c>
      <c r="AC5683">
        <v>64.94</v>
      </c>
      <c r="AE5683" s="74"/>
      <c r="AF5683" s="77"/>
      <c r="AH5683" s="497">
        <v>54.86</v>
      </c>
      <c r="AJ5683" s="42"/>
      <c r="AK5683" s="74"/>
      <c r="AL5683" s="77"/>
      <c r="AN5683" s="497">
        <v>59</v>
      </c>
      <c r="AP5683" s="42"/>
      <c r="AQ5683" s="74"/>
      <c r="AR5683" s="77"/>
      <c r="AT5683" s="497">
        <v>64.039999999999992</v>
      </c>
      <c r="AV5683" s="42"/>
      <c r="AW5683" s="74"/>
      <c r="AX5683" s="77"/>
      <c r="BA5683" s="497">
        <v>57.019999999999996</v>
      </c>
      <c r="BB5683" s="42"/>
      <c r="BC5683" s="74"/>
      <c r="BD5683" s="77"/>
      <c r="BF5683">
        <v>64.039999999999992</v>
      </c>
      <c r="BH5683" s="42"/>
      <c r="BI5683" s="74"/>
      <c r="BJ5683" s="77"/>
      <c r="BL5683" s="497">
        <v>64.039999999999992</v>
      </c>
      <c r="BN5683" s="42"/>
      <c r="BO5683" s="74"/>
      <c r="BP5683" s="77"/>
      <c r="BR5683" s="497">
        <v>51.980000000000004</v>
      </c>
      <c r="BT5683" s="42"/>
    </row>
    <row r="5684" spans="1:72" x14ac:dyDescent="0.25">
      <c r="A5684" s="90">
        <v>34936</v>
      </c>
      <c r="B5684" s="20">
        <v>8.3333333333333329E-2</v>
      </c>
      <c r="D5684">
        <v>82.94</v>
      </c>
      <c r="E5684" t="str">
        <f t="shared" si="212"/>
        <v>WEEKDAY</v>
      </c>
      <c r="F5684" t="e">
        <f t="shared" si="213"/>
        <v>#N/A</v>
      </c>
      <c r="G5684" s="74">
        <v>32014</v>
      </c>
      <c r="H5684" s="77">
        <v>8.3333333333333329E-2</v>
      </c>
      <c r="J5684">
        <v>62.96</v>
      </c>
      <c r="M5684" s="74">
        <v>34571</v>
      </c>
      <c r="N5684" s="77">
        <v>8.3333333333333329E-2</v>
      </c>
      <c r="P5684">
        <v>55.94</v>
      </c>
      <c r="S5684" s="74">
        <v>34936</v>
      </c>
      <c r="T5684" s="77">
        <v>8.3333333333333329E-2</v>
      </c>
      <c r="V5684">
        <v>69.080000000000013</v>
      </c>
      <c r="X5684" s="42"/>
      <c r="AB5684">
        <v>70.5</v>
      </c>
      <c r="AC5684">
        <v>64.94</v>
      </c>
      <c r="AE5684" s="74"/>
      <c r="AF5684" s="77"/>
      <c r="AH5684" s="497">
        <v>54.86</v>
      </c>
      <c r="AJ5684" s="42"/>
      <c r="AK5684" s="74"/>
      <c r="AL5684" s="77"/>
      <c r="AN5684" s="497">
        <v>59</v>
      </c>
      <c r="AP5684" s="42"/>
      <c r="AQ5684" s="74"/>
      <c r="AR5684" s="77"/>
      <c r="AT5684" s="497">
        <v>62.96</v>
      </c>
      <c r="AV5684" s="42"/>
      <c r="AW5684" s="74"/>
      <c r="AX5684" s="77"/>
      <c r="BA5684" s="497">
        <v>55.040000000000006</v>
      </c>
      <c r="BB5684" s="42"/>
      <c r="BC5684" s="74"/>
      <c r="BD5684" s="77"/>
      <c r="BF5684">
        <v>64.039999999999992</v>
      </c>
      <c r="BH5684" s="42"/>
      <c r="BI5684" s="74"/>
      <c r="BJ5684" s="77"/>
      <c r="BL5684" s="497">
        <v>64.039999999999992</v>
      </c>
      <c r="BN5684" s="42"/>
      <c r="BO5684" s="74"/>
      <c r="BP5684" s="77"/>
      <c r="BR5684" s="497">
        <v>51.08</v>
      </c>
      <c r="BT5684" s="42"/>
    </row>
    <row r="5685" spans="1:72" x14ac:dyDescent="0.25">
      <c r="A5685" s="90">
        <v>34936</v>
      </c>
      <c r="B5685" s="20">
        <v>0.125</v>
      </c>
      <c r="D5685">
        <v>82.039999999999992</v>
      </c>
      <c r="E5685" t="str">
        <f t="shared" si="212"/>
        <v>WEEKDAY</v>
      </c>
      <c r="F5685" t="e">
        <f t="shared" si="213"/>
        <v>#N/A</v>
      </c>
      <c r="G5685" s="74">
        <v>32014</v>
      </c>
      <c r="H5685" s="77">
        <v>0.125</v>
      </c>
      <c r="J5685">
        <v>62.06</v>
      </c>
      <c r="M5685" s="74">
        <v>34571</v>
      </c>
      <c r="N5685" s="77">
        <v>0.125</v>
      </c>
      <c r="P5685">
        <v>55.94</v>
      </c>
      <c r="S5685" s="74">
        <v>34936</v>
      </c>
      <c r="T5685" s="77">
        <v>0.125</v>
      </c>
      <c r="V5685">
        <v>68</v>
      </c>
      <c r="X5685" s="42"/>
      <c r="AB5685">
        <v>70</v>
      </c>
      <c r="AC5685">
        <v>64.039999999999992</v>
      </c>
      <c r="AE5685" s="74"/>
      <c r="AF5685" s="77"/>
      <c r="AH5685" s="497">
        <v>52.879999999999995</v>
      </c>
      <c r="AJ5685" s="42"/>
      <c r="AK5685" s="74"/>
      <c r="AL5685" s="77"/>
      <c r="AN5685" s="497">
        <v>57.92</v>
      </c>
      <c r="AP5685" s="42"/>
      <c r="AQ5685" s="74"/>
      <c r="AR5685" s="77"/>
      <c r="AT5685" s="497">
        <v>62.96</v>
      </c>
      <c r="AV5685" s="42"/>
      <c r="AW5685" s="74"/>
      <c r="AX5685" s="77"/>
      <c r="BA5685" s="497">
        <v>55.94</v>
      </c>
      <c r="BB5685" s="42"/>
      <c r="BC5685" s="74"/>
      <c r="BD5685" s="77"/>
      <c r="BF5685">
        <v>64.039999999999992</v>
      </c>
      <c r="BH5685" s="42"/>
      <c r="BI5685" s="74"/>
      <c r="BJ5685" s="77"/>
      <c r="BL5685" s="497">
        <v>64.039999999999992</v>
      </c>
      <c r="BN5685" s="42"/>
      <c r="BO5685" s="74"/>
      <c r="BP5685" s="77"/>
      <c r="BR5685" s="497">
        <v>51.08</v>
      </c>
      <c r="BT5685" s="42"/>
    </row>
    <row r="5686" spans="1:72" x14ac:dyDescent="0.25">
      <c r="A5686" s="90">
        <v>34936</v>
      </c>
      <c r="B5686" s="20">
        <v>0.16666666666666666</v>
      </c>
      <c r="D5686">
        <v>80.960000000000008</v>
      </c>
      <c r="E5686" t="str">
        <f t="shared" si="212"/>
        <v>WEEKDAY</v>
      </c>
      <c r="F5686" t="e">
        <f t="shared" si="213"/>
        <v>#N/A</v>
      </c>
      <c r="G5686" s="74">
        <v>32014</v>
      </c>
      <c r="H5686" s="77">
        <v>0.16666666666666666</v>
      </c>
      <c r="J5686">
        <v>60.980000000000004</v>
      </c>
      <c r="M5686" s="74">
        <v>34571</v>
      </c>
      <c r="N5686" s="77">
        <v>0.16666666666666666</v>
      </c>
      <c r="P5686">
        <v>54.86</v>
      </c>
      <c r="S5686" s="74">
        <v>34936</v>
      </c>
      <c r="T5686" s="77">
        <v>0.16666666666666666</v>
      </c>
      <c r="V5686">
        <v>66.92</v>
      </c>
      <c r="X5686" s="42"/>
      <c r="AB5686">
        <v>69.5</v>
      </c>
      <c r="AC5686">
        <v>64.039999999999992</v>
      </c>
      <c r="AE5686" s="74"/>
      <c r="AF5686" s="77"/>
      <c r="AH5686" s="497">
        <v>52.879999999999995</v>
      </c>
      <c r="AJ5686" s="42"/>
      <c r="AK5686" s="74"/>
      <c r="AL5686" s="77"/>
      <c r="AN5686" s="497">
        <v>57.92</v>
      </c>
      <c r="AP5686" s="42"/>
      <c r="AQ5686" s="74"/>
      <c r="AR5686" s="77"/>
      <c r="AT5686" s="497">
        <v>62.96</v>
      </c>
      <c r="AV5686" s="42"/>
      <c r="AW5686" s="74"/>
      <c r="AX5686" s="77"/>
      <c r="BA5686" s="497">
        <v>53.96</v>
      </c>
      <c r="BB5686" s="42"/>
      <c r="BC5686" s="74"/>
      <c r="BD5686" s="77"/>
      <c r="BF5686">
        <v>66.02</v>
      </c>
      <c r="BH5686" s="42"/>
      <c r="BI5686" s="74"/>
      <c r="BJ5686" s="77"/>
      <c r="BL5686" s="497">
        <v>64.039999999999992</v>
      </c>
      <c r="BN5686" s="42"/>
      <c r="BO5686" s="74"/>
      <c r="BP5686" s="77"/>
      <c r="BR5686" s="497">
        <v>51.08</v>
      </c>
      <c r="BT5686" s="42"/>
    </row>
    <row r="5687" spans="1:72" x14ac:dyDescent="0.25">
      <c r="A5687" s="90">
        <v>34936</v>
      </c>
      <c r="B5687" s="20">
        <v>0.20833333333333334</v>
      </c>
      <c r="D5687">
        <v>80.06</v>
      </c>
      <c r="E5687" t="str">
        <f t="shared" si="212"/>
        <v>WEEKDAY</v>
      </c>
      <c r="F5687" t="e">
        <f t="shared" si="213"/>
        <v>#N/A</v>
      </c>
      <c r="G5687" s="74">
        <v>32014</v>
      </c>
      <c r="H5687" s="77">
        <v>0.20833333333333334</v>
      </c>
      <c r="J5687">
        <v>60.980000000000004</v>
      </c>
      <c r="M5687" s="74">
        <v>34571</v>
      </c>
      <c r="N5687" s="77">
        <v>0.20833333333333334</v>
      </c>
      <c r="P5687">
        <v>54.86</v>
      </c>
      <c r="S5687" s="74">
        <v>34936</v>
      </c>
      <c r="T5687" s="77">
        <v>0.20833333333333334</v>
      </c>
      <c r="V5687">
        <v>66.02</v>
      </c>
      <c r="X5687" s="42"/>
      <c r="AB5687">
        <v>69</v>
      </c>
      <c r="AC5687">
        <v>64.039999999999992</v>
      </c>
      <c r="AE5687" s="74"/>
      <c r="AF5687" s="77"/>
      <c r="AH5687" s="497">
        <v>51.980000000000004</v>
      </c>
      <c r="AJ5687" s="42"/>
      <c r="AK5687" s="74"/>
      <c r="AL5687" s="77"/>
      <c r="AN5687" s="497">
        <v>57.92</v>
      </c>
      <c r="AP5687" s="42"/>
      <c r="AQ5687" s="74"/>
      <c r="AR5687" s="77"/>
      <c r="AT5687" s="497">
        <v>62.96</v>
      </c>
      <c r="AV5687" s="42"/>
      <c r="AW5687" s="74"/>
      <c r="AX5687" s="77"/>
      <c r="BA5687" s="497">
        <v>55.040000000000006</v>
      </c>
      <c r="BB5687" s="42"/>
      <c r="BC5687" s="74"/>
      <c r="BD5687" s="77"/>
      <c r="BF5687">
        <v>66.02</v>
      </c>
      <c r="BH5687" s="42"/>
      <c r="BI5687" s="74"/>
      <c r="BJ5687" s="77"/>
      <c r="BL5687" s="497">
        <v>62.96</v>
      </c>
      <c r="BN5687" s="42"/>
      <c r="BO5687" s="74"/>
      <c r="BP5687" s="77"/>
      <c r="BR5687" s="497">
        <v>48.019999999999996</v>
      </c>
      <c r="BT5687" s="42"/>
    </row>
    <row r="5688" spans="1:72" x14ac:dyDescent="0.25">
      <c r="A5688" s="90">
        <v>34936</v>
      </c>
      <c r="B5688" s="20">
        <v>0.25</v>
      </c>
      <c r="D5688">
        <v>80.06</v>
      </c>
      <c r="E5688" t="str">
        <f t="shared" si="212"/>
        <v>WEEKDAY</v>
      </c>
      <c r="F5688" t="e">
        <f t="shared" si="213"/>
        <v>#N/A</v>
      </c>
      <c r="G5688" s="74">
        <v>32014</v>
      </c>
      <c r="H5688" s="77">
        <v>0.25</v>
      </c>
      <c r="J5688">
        <v>60.980000000000004</v>
      </c>
      <c r="M5688" s="74">
        <v>34571</v>
      </c>
      <c r="N5688" s="77">
        <v>0.25</v>
      </c>
      <c r="P5688">
        <v>53.96</v>
      </c>
      <c r="S5688" s="74">
        <v>34936</v>
      </c>
      <c r="T5688" s="77">
        <v>0.25</v>
      </c>
      <c r="V5688">
        <v>64.039999999999992</v>
      </c>
      <c r="X5688" s="42"/>
      <c r="AB5688">
        <v>68.7</v>
      </c>
      <c r="AC5688">
        <v>64.039999999999992</v>
      </c>
      <c r="AE5688" s="74"/>
      <c r="AF5688" s="77"/>
      <c r="AH5688" s="497">
        <v>51.980000000000004</v>
      </c>
      <c r="AJ5688" s="42"/>
      <c r="AK5688" s="74"/>
      <c r="AL5688" s="77"/>
      <c r="AN5688" s="497">
        <v>57.92</v>
      </c>
      <c r="AP5688" s="42"/>
      <c r="AQ5688" s="74"/>
      <c r="AR5688" s="77"/>
      <c r="AT5688" s="497">
        <v>60.980000000000004</v>
      </c>
      <c r="AV5688" s="42"/>
      <c r="AW5688" s="74"/>
      <c r="AX5688" s="77"/>
      <c r="BA5688" s="497">
        <v>53.96</v>
      </c>
      <c r="BB5688" s="42"/>
      <c r="BC5688" s="74"/>
      <c r="BD5688" s="77"/>
      <c r="BF5688">
        <v>66.02</v>
      </c>
      <c r="BH5688" s="42"/>
      <c r="BI5688" s="74"/>
      <c r="BJ5688" s="77"/>
      <c r="BL5688" s="497">
        <v>62.96</v>
      </c>
      <c r="BN5688" s="42"/>
      <c r="BO5688" s="74"/>
      <c r="BP5688" s="77"/>
      <c r="BR5688" s="497">
        <v>51.980000000000004</v>
      </c>
      <c r="BT5688" s="42"/>
    </row>
    <row r="5689" spans="1:72" x14ac:dyDescent="0.25">
      <c r="A5689" s="90">
        <v>34936</v>
      </c>
      <c r="B5689" s="20">
        <v>0.29166666666666669</v>
      </c>
      <c r="D5689">
        <v>80.06</v>
      </c>
      <c r="E5689" t="str">
        <f t="shared" si="212"/>
        <v>WEEKDAY</v>
      </c>
      <c r="F5689" t="e">
        <f t="shared" si="213"/>
        <v>#N/A</v>
      </c>
      <c r="G5689" s="74">
        <v>32014</v>
      </c>
      <c r="H5689" s="77">
        <v>0.29166666666666669</v>
      </c>
      <c r="J5689">
        <v>64.039999999999992</v>
      </c>
      <c r="M5689" s="74">
        <v>34571</v>
      </c>
      <c r="N5689" s="77">
        <v>0.29166666666666669</v>
      </c>
      <c r="P5689">
        <v>60.980000000000004</v>
      </c>
      <c r="S5689" s="74">
        <v>34936</v>
      </c>
      <c r="T5689" s="77">
        <v>0.29166666666666669</v>
      </c>
      <c r="V5689">
        <v>64.94</v>
      </c>
      <c r="X5689" s="42"/>
      <c r="AB5689">
        <v>69</v>
      </c>
      <c r="AC5689">
        <v>66.02</v>
      </c>
      <c r="AE5689" s="74"/>
      <c r="AF5689" s="77"/>
      <c r="AH5689" s="497">
        <v>59.900000000000006</v>
      </c>
      <c r="AJ5689" s="42"/>
      <c r="AK5689" s="74"/>
      <c r="AL5689" s="77"/>
      <c r="AN5689" s="497">
        <v>59</v>
      </c>
      <c r="AP5689" s="42"/>
      <c r="AQ5689" s="74"/>
      <c r="AR5689" s="77"/>
      <c r="AT5689" s="497">
        <v>60.980000000000004</v>
      </c>
      <c r="AV5689" s="42"/>
      <c r="AW5689" s="74"/>
      <c r="AX5689" s="77"/>
      <c r="BA5689" s="497">
        <v>57.92</v>
      </c>
      <c r="BB5689" s="42"/>
      <c r="BC5689" s="74"/>
      <c r="BD5689" s="77"/>
      <c r="BF5689">
        <v>66.92</v>
      </c>
      <c r="BH5689" s="42"/>
      <c r="BI5689" s="74"/>
      <c r="BJ5689" s="77"/>
      <c r="BL5689" s="497">
        <v>64.039999999999992</v>
      </c>
      <c r="BN5689" s="42"/>
      <c r="BO5689" s="74"/>
      <c r="BP5689" s="77"/>
      <c r="BR5689" s="497">
        <v>53.96</v>
      </c>
      <c r="BT5689" s="42"/>
    </row>
    <row r="5690" spans="1:72" x14ac:dyDescent="0.25">
      <c r="A5690" s="90">
        <v>34936</v>
      </c>
      <c r="B5690" s="20">
        <v>0.33333333333333331</v>
      </c>
      <c r="D5690">
        <v>82.039999999999992</v>
      </c>
      <c r="E5690" t="str">
        <f t="shared" si="212"/>
        <v>WEEKDAY</v>
      </c>
      <c r="F5690" t="e">
        <f t="shared" si="213"/>
        <v>#N/A</v>
      </c>
      <c r="G5690" s="74">
        <v>32014</v>
      </c>
      <c r="H5690" s="77">
        <v>0.33333333333333331</v>
      </c>
      <c r="J5690">
        <v>66.02</v>
      </c>
      <c r="M5690" s="74">
        <v>34571</v>
      </c>
      <c r="N5690" s="77">
        <v>0.33333333333333331</v>
      </c>
      <c r="P5690">
        <v>62.96</v>
      </c>
      <c r="S5690" s="74">
        <v>34936</v>
      </c>
      <c r="T5690" s="77">
        <v>0.33333333333333331</v>
      </c>
      <c r="V5690">
        <v>66.92</v>
      </c>
      <c r="X5690" s="42"/>
      <c r="AB5690">
        <v>71</v>
      </c>
      <c r="AC5690">
        <v>66.02</v>
      </c>
      <c r="AE5690" s="74"/>
      <c r="AF5690" s="77"/>
      <c r="AH5690" s="497">
        <v>64.94</v>
      </c>
      <c r="AJ5690" s="42"/>
      <c r="AK5690" s="74"/>
      <c r="AL5690" s="77"/>
      <c r="AN5690" s="497">
        <v>60.08</v>
      </c>
      <c r="AP5690" s="42"/>
      <c r="AQ5690" s="74"/>
      <c r="AR5690" s="77"/>
      <c r="AT5690" s="497">
        <v>62.06</v>
      </c>
      <c r="AV5690" s="42"/>
      <c r="AW5690" s="74"/>
      <c r="AX5690" s="77"/>
      <c r="BA5690" s="497">
        <v>64.039999999999992</v>
      </c>
      <c r="BB5690" s="42"/>
      <c r="BC5690" s="74"/>
      <c r="BD5690" s="77"/>
      <c r="BF5690">
        <v>68</v>
      </c>
      <c r="BH5690" s="42"/>
      <c r="BI5690" s="74"/>
      <c r="BJ5690" s="77"/>
      <c r="BL5690" s="497">
        <v>64.94</v>
      </c>
      <c r="BN5690" s="42"/>
      <c r="BO5690" s="74"/>
      <c r="BP5690" s="77"/>
      <c r="BR5690" s="497">
        <v>57.019999999999996</v>
      </c>
      <c r="BT5690" s="42"/>
    </row>
    <row r="5691" spans="1:72" x14ac:dyDescent="0.25">
      <c r="A5691" s="90">
        <v>34936</v>
      </c>
      <c r="B5691" s="20">
        <v>0.375</v>
      </c>
      <c r="D5691">
        <v>84.92</v>
      </c>
      <c r="E5691" t="str">
        <f t="shared" si="212"/>
        <v>WEEKDAY</v>
      </c>
      <c r="F5691" t="e">
        <f t="shared" si="213"/>
        <v>#N/A</v>
      </c>
      <c r="G5691" s="74">
        <v>32014</v>
      </c>
      <c r="H5691" s="77">
        <v>0.375</v>
      </c>
      <c r="J5691">
        <v>68</v>
      </c>
      <c r="M5691" s="74">
        <v>34571</v>
      </c>
      <c r="N5691" s="77">
        <v>0.375</v>
      </c>
      <c r="P5691">
        <v>68</v>
      </c>
      <c r="S5691" s="74">
        <v>34936</v>
      </c>
      <c r="T5691" s="77">
        <v>0.375</v>
      </c>
      <c r="V5691">
        <v>69.080000000000013</v>
      </c>
      <c r="X5691" s="42"/>
      <c r="AB5691">
        <v>73</v>
      </c>
      <c r="AC5691">
        <v>69.080000000000013</v>
      </c>
      <c r="AE5691" s="74"/>
      <c r="AF5691" s="77"/>
      <c r="AH5691" s="497">
        <v>68</v>
      </c>
      <c r="AJ5691" s="42"/>
      <c r="AK5691" s="74"/>
      <c r="AL5691" s="77"/>
      <c r="AN5691" s="497">
        <v>60.980000000000004</v>
      </c>
      <c r="AP5691" s="42"/>
      <c r="AQ5691" s="74"/>
      <c r="AR5691" s="77"/>
      <c r="AT5691" s="497">
        <v>62.06</v>
      </c>
      <c r="AV5691" s="42"/>
      <c r="AW5691" s="74"/>
      <c r="AX5691" s="77"/>
      <c r="BA5691" s="497">
        <v>68</v>
      </c>
      <c r="BB5691" s="42"/>
      <c r="BC5691" s="74"/>
      <c r="BD5691" s="77"/>
      <c r="BF5691">
        <v>69.98</v>
      </c>
      <c r="BH5691" s="42"/>
      <c r="BI5691" s="74"/>
      <c r="BJ5691" s="77"/>
      <c r="BL5691" s="497">
        <v>66.92</v>
      </c>
      <c r="BN5691" s="42"/>
      <c r="BO5691" s="74"/>
      <c r="BP5691" s="77"/>
      <c r="BR5691" s="497">
        <v>57.019999999999996</v>
      </c>
      <c r="BT5691" s="42"/>
    </row>
    <row r="5692" spans="1:72" x14ac:dyDescent="0.25">
      <c r="A5692" s="90">
        <v>34936</v>
      </c>
      <c r="B5692" s="20">
        <v>0.41666666666666669</v>
      </c>
      <c r="D5692">
        <v>87.080000000000013</v>
      </c>
      <c r="E5692" t="str">
        <f t="shared" si="212"/>
        <v>WEEKDAY</v>
      </c>
      <c r="F5692" t="e">
        <f t="shared" si="213"/>
        <v>#N/A</v>
      </c>
      <c r="G5692" s="74">
        <v>32014</v>
      </c>
      <c r="H5692" s="77">
        <v>0.41666666666666669</v>
      </c>
      <c r="J5692">
        <v>68</v>
      </c>
      <c r="M5692" s="74">
        <v>34571</v>
      </c>
      <c r="N5692" s="77">
        <v>0.41666666666666669</v>
      </c>
      <c r="P5692">
        <v>71.960000000000008</v>
      </c>
      <c r="S5692" s="74">
        <v>34936</v>
      </c>
      <c r="T5692" s="77">
        <v>0.41666666666666669</v>
      </c>
      <c r="V5692">
        <v>71.06</v>
      </c>
      <c r="X5692" s="42"/>
      <c r="AB5692">
        <v>75</v>
      </c>
      <c r="AC5692">
        <v>71.06</v>
      </c>
      <c r="AE5692" s="74"/>
      <c r="AF5692" s="77"/>
      <c r="AH5692" s="497">
        <v>73.94</v>
      </c>
      <c r="AJ5692" s="42"/>
      <c r="AK5692" s="74"/>
      <c r="AL5692" s="77"/>
      <c r="AN5692" s="497">
        <v>62.96</v>
      </c>
      <c r="AP5692" s="42"/>
      <c r="AQ5692" s="74"/>
      <c r="AR5692" s="77"/>
      <c r="AT5692" s="497">
        <v>62.96</v>
      </c>
      <c r="AV5692" s="42"/>
      <c r="AW5692" s="74"/>
      <c r="AX5692" s="77"/>
      <c r="BA5692" s="497">
        <v>73.039999999999992</v>
      </c>
      <c r="BB5692" s="42"/>
      <c r="BC5692" s="74"/>
      <c r="BD5692" s="77"/>
      <c r="BF5692">
        <v>71.960000000000008</v>
      </c>
      <c r="BH5692" s="42"/>
      <c r="BI5692" s="74"/>
      <c r="BJ5692" s="77"/>
      <c r="BL5692" s="497">
        <v>71.06</v>
      </c>
      <c r="BN5692" s="42"/>
      <c r="BO5692" s="74"/>
      <c r="BP5692" s="77"/>
      <c r="BR5692" s="497">
        <v>62.06</v>
      </c>
      <c r="BT5692" s="42"/>
    </row>
    <row r="5693" spans="1:72" x14ac:dyDescent="0.25">
      <c r="A5693" s="90">
        <v>34936</v>
      </c>
      <c r="B5693" s="20">
        <v>0.45833333333333331</v>
      </c>
      <c r="D5693">
        <v>89.960000000000008</v>
      </c>
      <c r="E5693" t="str">
        <f t="shared" si="212"/>
        <v>WEEKDAY</v>
      </c>
      <c r="F5693" t="e">
        <f t="shared" si="213"/>
        <v>#N/A</v>
      </c>
      <c r="G5693" s="74">
        <v>32014</v>
      </c>
      <c r="H5693" s="77">
        <v>0.45833333333333331</v>
      </c>
      <c r="J5693">
        <v>68</v>
      </c>
      <c r="M5693" s="74">
        <v>34571</v>
      </c>
      <c r="N5693" s="77">
        <v>0.45833333333333331</v>
      </c>
      <c r="P5693">
        <v>73.94</v>
      </c>
      <c r="S5693" s="74">
        <v>34936</v>
      </c>
      <c r="T5693" s="77">
        <v>0.45833333333333331</v>
      </c>
      <c r="V5693">
        <v>73.94</v>
      </c>
      <c r="X5693" s="42"/>
      <c r="AB5693">
        <v>76.7</v>
      </c>
      <c r="AC5693">
        <v>73.039999999999992</v>
      </c>
      <c r="AE5693" s="74"/>
      <c r="AF5693" s="77"/>
      <c r="AH5693" s="497">
        <v>77</v>
      </c>
      <c r="AJ5693" s="42"/>
      <c r="AK5693" s="74"/>
      <c r="AL5693" s="77"/>
      <c r="AN5693" s="497">
        <v>66.02</v>
      </c>
      <c r="AP5693" s="42"/>
      <c r="AQ5693" s="74"/>
      <c r="AR5693" s="77"/>
      <c r="AT5693" s="497">
        <v>64.94</v>
      </c>
      <c r="AV5693" s="42"/>
      <c r="AW5693" s="74"/>
      <c r="AX5693" s="77"/>
      <c r="BA5693" s="497">
        <v>75.02</v>
      </c>
      <c r="BB5693" s="42"/>
      <c r="BC5693" s="74"/>
      <c r="BD5693" s="77"/>
      <c r="BF5693">
        <v>73.94</v>
      </c>
      <c r="BH5693" s="42"/>
      <c r="BI5693" s="74"/>
      <c r="BJ5693" s="77"/>
      <c r="BL5693" s="497">
        <v>75.92</v>
      </c>
      <c r="BN5693" s="42"/>
      <c r="BO5693" s="74"/>
      <c r="BP5693" s="77"/>
      <c r="BR5693" s="497">
        <v>62.06</v>
      </c>
      <c r="BT5693" s="42"/>
    </row>
    <row r="5694" spans="1:72" x14ac:dyDescent="0.25">
      <c r="A5694" s="90">
        <v>34936</v>
      </c>
      <c r="B5694" s="20">
        <v>0.5</v>
      </c>
      <c r="D5694">
        <v>91.039999999999992</v>
      </c>
      <c r="E5694" t="str">
        <f t="shared" si="212"/>
        <v>WEEKDAY</v>
      </c>
      <c r="F5694" t="e">
        <f t="shared" si="213"/>
        <v>#N/A</v>
      </c>
      <c r="G5694" s="74">
        <v>32014</v>
      </c>
      <c r="H5694" s="77">
        <v>0.5</v>
      </c>
      <c r="J5694">
        <v>69.080000000000013</v>
      </c>
      <c r="M5694" s="74">
        <v>34571</v>
      </c>
      <c r="N5694" s="77">
        <v>0.5</v>
      </c>
      <c r="P5694">
        <v>75.92</v>
      </c>
      <c r="S5694" s="74">
        <v>34936</v>
      </c>
      <c r="T5694" s="77">
        <v>0.5</v>
      </c>
      <c r="V5694">
        <v>75.92</v>
      </c>
      <c r="X5694" s="42"/>
      <c r="AB5694">
        <v>78</v>
      </c>
      <c r="AC5694">
        <v>75.92</v>
      </c>
      <c r="AE5694" s="74"/>
      <c r="AF5694" s="77"/>
      <c r="AH5694" s="497">
        <v>78.98</v>
      </c>
      <c r="AJ5694" s="42"/>
      <c r="AK5694" s="74"/>
      <c r="AL5694" s="77"/>
      <c r="AN5694" s="497">
        <v>69.080000000000013</v>
      </c>
      <c r="AP5694" s="42"/>
      <c r="AQ5694" s="74"/>
      <c r="AR5694" s="77"/>
      <c r="AT5694" s="497">
        <v>66.92</v>
      </c>
      <c r="AV5694" s="42"/>
      <c r="AW5694" s="74"/>
      <c r="AX5694" s="77"/>
      <c r="BA5694" s="497">
        <v>75.92</v>
      </c>
      <c r="BB5694" s="42"/>
      <c r="BC5694" s="74"/>
      <c r="BD5694" s="77"/>
      <c r="BF5694">
        <v>73.94</v>
      </c>
      <c r="BH5694" s="42"/>
      <c r="BI5694" s="74"/>
      <c r="BJ5694" s="77"/>
      <c r="BL5694" s="497">
        <v>82.039999999999992</v>
      </c>
      <c r="BN5694" s="42"/>
      <c r="BO5694" s="74"/>
      <c r="BP5694" s="77"/>
      <c r="BR5694" s="497">
        <v>64.039999999999992</v>
      </c>
      <c r="BT5694" s="42"/>
    </row>
    <row r="5695" spans="1:72" x14ac:dyDescent="0.25">
      <c r="A5695" s="90">
        <v>34936</v>
      </c>
      <c r="B5695" s="20">
        <v>0.54166666666666663</v>
      </c>
      <c r="D5695">
        <v>91.94</v>
      </c>
      <c r="E5695" t="str">
        <f t="shared" si="212"/>
        <v>WEEKDAY</v>
      </c>
      <c r="F5695" t="e">
        <f t="shared" si="213"/>
        <v>#N/A</v>
      </c>
      <c r="G5695" s="74">
        <v>32014</v>
      </c>
      <c r="H5695" s="77">
        <v>0.54166666666666663</v>
      </c>
      <c r="J5695">
        <v>71.06</v>
      </c>
      <c r="M5695" s="74">
        <v>34571</v>
      </c>
      <c r="N5695" s="77">
        <v>0.54166666666666663</v>
      </c>
      <c r="P5695">
        <v>77</v>
      </c>
      <c r="S5695" s="74">
        <v>34936</v>
      </c>
      <c r="T5695" s="77">
        <v>0.54166666666666663</v>
      </c>
      <c r="V5695">
        <v>77</v>
      </c>
      <c r="X5695" s="42"/>
      <c r="AB5695">
        <v>79</v>
      </c>
      <c r="AC5695">
        <v>78.080000000000013</v>
      </c>
      <c r="AE5695" s="74"/>
      <c r="AF5695" s="77"/>
      <c r="AH5695" s="497">
        <v>80.960000000000008</v>
      </c>
      <c r="AJ5695" s="42"/>
      <c r="AK5695" s="74"/>
      <c r="AL5695" s="77"/>
      <c r="AN5695" s="497">
        <v>69.080000000000013</v>
      </c>
      <c r="AP5695" s="42"/>
      <c r="AQ5695" s="74"/>
      <c r="AR5695" s="77"/>
      <c r="AT5695" s="497">
        <v>68</v>
      </c>
      <c r="AV5695" s="42"/>
      <c r="AW5695" s="74"/>
      <c r="AX5695" s="77"/>
      <c r="BA5695" s="497">
        <v>73.94</v>
      </c>
      <c r="BB5695" s="42"/>
      <c r="BC5695" s="74"/>
      <c r="BD5695" s="77"/>
      <c r="BF5695">
        <v>75.02</v>
      </c>
      <c r="BH5695" s="42"/>
      <c r="BI5695" s="74"/>
      <c r="BJ5695" s="77"/>
      <c r="BL5695" s="497">
        <v>80.06</v>
      </c>
      <c r="BN5695" s="42"/>
      <c r="BO5695" s="74"/>
      <c r="BP5695" s="77"/>
      <c r="BR5695" s="497">
        <v>64.94</v>
      </c>
      <c r="BT5695" s="42"/>
    </row>
    <row r="5696" spans="1:72" x14ac:dyDescent="0.25">
      <c r="A5696" s="90">
        <v>34936</v>
      </c>
      <c r="B5696" s="20">
        <v>0.58333333333333337</v>
      </c>
      <c r="D5696">
        <v>87.98</v>
      </c>
      <c r="E5696" t="str">
        <f t="shared" si="212"/>
        <v>WEEKDAY</v>
      </c>
      <c r="F5696" t="e">
        <f t="shared" si="213"/>
        <v>#N/A</v>
      </c>
      <c r="G5696" s="74">
        <v>32014</v>
      </c>
      <c r="H5696" s="77">
        <v>0.58333333333333337</v>
      </c>
      <c r="J5696">
        <v>71.960000000000008</v>
      </c>
      <c r="M5696" s="74">
        <v>34571</v>
      </c>
      <c r="N5696" s="77">
        <v>0.58333333333333337</v>
      </c>
      <c r="P5696">
        <v>77</v>
      </c>
      <c r="S5696" s="74">
        <v>34936</v>
      </c>
      <c r="T5696" s="77">
        <v>0.58333333333333337</v>
      </c>
      <c r="V5696">
        <v>80.06</v>
      </c>
      <c r="X5696" s="42"/>
      <c r="AB5696">
        <v>79.5</v>
      </c>
      <c r="AC5696">
        <v>80.06</v>
      </c>
      <c r="AE5696" s="74"/>
      <c r="AF5696" s="77"/>
      <c r="AH5696" s="497">
        <v>80.960000000000008</v>
      </c>
      <c r="AJ5696" s="42"/>
      <c r="AK5696" s="74"/>
      <c r="AL5696" s="77"/>
      <c r="AN5696" s="497">
        <v>68</v>
      </c>
      <c r="AP5696" s="42"/>
      <c r="AQ5696" s="74"/>
      <c r="AR5696" s="77"/>
      <c r="AT5696" s="497">
        <v>68</v>
      </c>
      <c r="AV5696" s="42"/>
      <c r="AW5696" s="74"/>
      <c r="AX5696" s="77"/>
      <c r="BA5696" s="497">
        <v>78.080000000000013</v>
      </c>
      <c r="BB5696" s="42"/>
      <c r="BC5696" s="74"/>
      <c r="BD5696" s="77"/>
      <c r="BF5696">
        <v>78.080000000000013</v>
      </c>
      <c r="BH5696" s="42"/>
      <c r="BI5696" s="74"/>
      <c r="BJ5696" s="77"/>
      <c r="BL5696" s="497">
        <v>82.94</v>
      </c>
      <c r="BN5696" s="42"/>
      <c r="BO5696" s="74"/>
      <c r="BP5696" s="77"/>
      <c r="BR5696" s="497">
        <v>66.92</v>
      </c>
      <c r="BT5696" s="42"/>
    </row>
    <row r="5697" spans="1:72" x14ac:dyDescent="0.25">
      <c r="A5697" s="90">
        <v>34936</v>
      </c>
      <c r="B5697" s="20">
        <v>0.625</v>
      </c>
      <c r="D5697">
        <v>87.98</v>
      </c>
      <c r="E5697" t="str">
        <f t="shared" si="212"/>
        <v>WEEKDAY</v>
      </c>
      <c r="F5697" t="e">
        <f t="shared" si="213"/>
        <v>#N/A</v>
      </c>
      <c r="G5697" s="74">
        <v>32014</v>
      </c>
      <c r="H5697" s="77">
        <v>0.625</v>
      </c>
      <c r="J5697">
        <v>73.94</v>
      </c>
      <c r="M5697" s="74">
        <v>34571</v>
      </c>
      <c r="N5697" s="77">
        <v>0.625</v>
      </c>
      <c r="P5697">
        <v>74.84</v>
      </c>
      <c r="S5697" s="74">
        <v>34936</v>
      </c>
      <c r="T5697" s="77">
        <v>0.625</v>
      </c>
      <c r="V5697">
        <v>80.06</v>
      </c>
      <c r="X5697" s="42"/>
      <c r="AB5697">
        <v>79.599999999999994</v>
      </c>
      <c r="AC5697">
        <v>80.06</v>
      </c>
      <c r="AE5697" s="74"/>
      <c r="AF5697" s="77"/>
      <c r="AH5697" s="497">
        <v>80.960000000000008</v>
      </c>
      <c r="AJ5697" s="42"/>
      <c r="AK5697" s="74"/>
      <c r="AL5697" s="77"/>
      <c r="AN5697" s="497">
        <v>68</v>
      </c>
      <c r="AP5697" s="42"/>
      <c r="AQ5697" s="74"/>
      <c r="AR5697" s="77"/>
      <c r="AT5697" s="497">
        <v>69.98</v>
      </c>
      <c r="AV5697" s="42"/>
      <c r="AW5697" s="74"/>
      <c r="AX5697" s="77"/>
      <c r="BA5697" s="497">
        <v>78.080000000000013</v>
      </c>
      <c r="BB5697" s="42"/>
      <c r="BC5697" s="74"/>
      <c r="BD5697" s="77"/>
      <c r="BF5697">
        <v>77</v>
      </c>
      <c r="BH5697" s="42"/>
      <c r="BI5697" s="74"/>
      <c r="BJ5697" s="77"/>
      <c r="BL5697" s="497">
        <v>80.960000000000008</v>
      </c>
      <c r="BN5697" s="42"/>
      <c r="BO5697" s="74"/>
      <c r="BP5697" s="77"/>
      <c r="BR5697" s="497">
        <v>69.080000000000013</v>
      </c>
      <c r="BT5697" s="42"/>
    </row>
    <row r="5698" spans="1:72" x14ac:dyDescent="0.25">
      <c r="A5698" s="90">
        <v>34936</v>
      </c>
      <c r="B5698" s="20">
        <v>0.66666666666666663</v>
      </c>
      <c r="D5698">
        <v>87.080000000000013</v>
      </c>
      <c r="E5698" t="str">
        <f t="shared" si="212"/>
        <v>WEEKDAY</v>
      </c>
      <c r="F5698" t="e">
        <f t="shared" si="213"/>
        <v>#N/A</v>
      </c>
      <c r="G5698" s="74">
        <v>32014</v>
      </c>
      <c r="H5698" s="77">
        <v>0.66666666666666663</v>
      </c>
      <c r="J5698">
        <v>75.02</v>
      </c>
      <c r="M5698" s="74">
        <v>34571</v>
      </c>
      <c r="N5698" s="77">
        <v>0.66666666666666663</v>
      </c>
      <c r="P5698">
        <v>73.94</v>
      </c>
      <c r="S5698" s="74">
        <v>34936</v>
      </c>
      <c r="T5698" s="77">
        <v>0.66666666666666663</v>
      </c>
      <c r="V5698">
        <v>80.06</v>
      </c>
      <c r="X5698" s="42"/>
      <c r="AB5698">
        <v>79.2</v>
      </c>
      <c r="AC5698">
        <v>80.06</v>
      </c>
      <c r="AE5698" s="74"/>
      <c r="AF5698" s="77"/>
      <c r="AH5698" s="497">
        <v>79.88</v>
      </c>
      <c r="AJ5698" s="42"/>
      <c r="AK5698" s="74"/>
      <c r="AL5698" s="77"/>
      <c r="AN5698" s="497">
        <v>69.080000000000013</v>
      </c>
      <c r="AP5698" s="42"/>
      <c r="AQ5698" s="74"/>
      <c r="AR5698" s="77"/>
      <c r="AT5698" s="497">
        <v>71.06</v>
      </c>
      <c r="AV5698" s="42"/>
      <c r="AW5698" s="74"/>
      <c r="AX5698" s="77"/>
      <c r="BA5698" s="497">
        <v>77</v>
      </c>
      <c r="BB5698" s="42"/>
      <c r="BC5698" s="74"/>
      <c r="BD5698" s="77"/>
      <c r="BF5698">
        <v>77</v>
      </c>
      <c r="BH5698" s="42"/>
      <c r="BI5698" s="74"/>
      <c r="BJ5698" s="77"/>
      <c r="BL5698" s="497">
        <v>82.039999999999992</v>
      </c>
      <c r="BN5698" s="42"/>
      <c r="BO5698" s="74"/>
      <c r="BP5698" s="77"/>
      <c r="BR5698" s="497">
        <v>69.98</v>
      </c>
      <c r="BT5698" s="42"/>
    </row>
    <row r="5699" spans="1:72" x14ac:dyDescent="0.25">
      <c r="A5699" s="90">
        <v>34936</v>
      </c>
      <c r="B5699" s="20">
        <v>0.70833333333333337</v>
      </c>
      <c r="D5699">
        <v>86</v>
      </c>
      <c r="E5699" t="str">
        <f t="shared" si="212"/>
        <v>WEEKDAY</v>
      </c>
      <c r="F5699" t="e">
        <f t="shared" si="213"/>
        <v>#N/A</v>
      </c>
      <c r="G5699" s="74">
        <v>32014</v>
      </c>
      <c r="H5699" s="77">
        <v>0.70833333333333337</v>
      </c>
      <c r="J5699">
        <v>73.94</v>
      </c>
      <c r="M5699" s="74">
        <v>34571</v>
      </c>
      <c r="N5699" s="77">
        <v>0.70833333333333337</v>
      </c>
      <c r="P5699">
        <v>71.960000000000008</v>
      </c>
      <c r="S5699" s="74">
        <v>34936</v>
      </c>
      <c r="T5699" s="77">
        <v>0.70833333333333337</v>
      </c>
      <c r="V5699">
        <v>80.06</v>
      </c>
      <c r="X5699" s="42"/>
      <c r="AB5699">
        <v>78.3</v>
      </c>
      <c r="AC5699">
        <v>80.06</v>
      </c>
      <c r="AE5699" s="74"/>
      <c r="AF5699" s="77"/>
      <c r="AH5699" s="497">
        <v>77.900000000000006</v>
      </c>
      <c r="AJ5699" s="42"/>
      <c r="AK5699" s="74"/>
      <c r="AL5699" s="77"/>
      <c r="AN5699" s="497">
        <v>68</v>
      </c>
      <c r="AP5699" s="42"/>
      <c r="AQ5699" s="74"/>
      <c r="AR5699" s="77"/>
      <c r="AT5699" s="497">
        <v>69.080000000000013</v>
      </c>
      <c r="AV5699" s="42"/>
      <c r="AW5699" s="74"/>
      <c r="AX5699" s="77"/>
      <c r="BA5699" s="497">
        <v>75.92</v>
      </c>
      <c r="BB5699" s="42"/>
      <c r="BC5699" s="74"/>
      <c r="BD5699" s="77"/>
      <c r="BF5699">
        <v>77</v>
      </c>
      <c r="BH5699" s="42"/>
      <c r="BI5699" s="74"/>
      <c r="BJ5699" s="77"/>
      <c r="BL5699" s="497">
        <v>80.960000000000008</v>
      </c>
      <c r="BN5699" s="42"/>
      <c r="BO5699" s="74"/>
      <c r="BP5699" s="77"/>
      <c r="BR5699" s="497">
        <v>66.92</v>
      </c>
      <c r="BT5699" s="42"/>
    </row>
    <row r="5700" spans="1:72" x14ac:dyDescent="0.25">
      <c r="A5700" s="90">
        <v>34936</v>
      </c>
      <c r="B5700" s="20">
        <v>0.75</v>
      </c>
      <c r="D5700">
        <v>86</v>
      </c>
      <c r="E5700" t="str">
        <f t="shared" si="212"/>
        <v>WEEKDAY</v>
      </c>
      <c r="F5700" t="e">
        <f t="shared" si="213"/>
        <v>#N/A</v>
      </c>
      <c r="G5700" s="74">
        <v>32014</v>
      </c>
      <c r="H5700" s="77">
        <v>0.75</v>
      </c>
      <c r="J5700">
        <v>71.960000000000008</v>
      </c>
      <c r="M5700" s="74">
        <v>34571</v>
      </c>
      <c r="N5700" s="77">
        <v>0.75</v>
      </c>
      <c r="P5700">
        <v>68</v>
      </c>
      <c r="S5700" s="74">
        <v>34936</v>
      </c>
      <c r="T5700" s="77">
        <v>0.75</v>
      </c>
      <c r="V5700">
        <v>78.080000000000013</v>
      </c>
      <c r="X5700" s="42"/>
      <c r="AB5700">
        <v>77.2</v>
      </c>
      <c r="AC5700">
        <v>78.080000000000013</v>
      </c>
      <c r="AE5700" s="74"/>
      <c r="AF5700" s="77"/>
      <c r="AH5700" s="497">
        <v>77</v>
      </c>
      <c r="AJ5700" s="42"/>
      <c r="AK5700" s="74"/>
      <c r="AL5700" s="77"/>
      <c r="AN5700" s="497">
        <v>66.92</v>
      </c>
      <c r="AP5700" s="42"/>
      <c r="AQ5700" s="74"/>
      <c r="AR5700" s="77"/>
      <c r="AT5700" s="497">
        <v>68</v>
      </c>
      <c r="AV5700" s="42"/>
      <c r="AW5700" s="74"/>
      <c r="AX5700" s="77"/>
      <c r="BA5700" s="497">
        <v>73.94</v>
      </c>
      <c r="BB5700" s="42"/>
      <c r="BC5700" s="74"/>
      <c r="BD5700" s="77"/>
      <c r="BF5700">
        <v>71.960000000000008</v>
      </c>
      <c r="BH5700" s="42"/>
      <c r="BI5700" s="74"/>
      <c r="BJ5700" s="77"/>
      <c r="BL5700" s="497">
        <v>78.98</v>
      </c>
      <c r="BN5700" s="42"/>
      <c r="BO5700" s="74"/>
      <c r="BP5700" s="77"/>
      <c r="BR5700" s="497">
        <v>64.94</v>
      </c>
      <c r="BT5700" s="42"/>
    </row>
    <row r="5701" spans="1:72" x14ac:dyDescent="0.25">
      <c r="A5701" s="90">
        <v>34936</v>
      </c>
      <c r="B5701" s="20">
        <v>0.79166666666666663</v>
      </c>
      <c r="D5701">
        <v>84.92</v>
      </c>
      <c r="E5701" t="str">
        <f t="shared" si="212"/>
        <v>WEEKDAY</v>
      </c>
      <c r="F5701" t="e">
        <f t="shared" si="213"/>
        <v>#N/A</v>
      </c>
      <c r="G5701" s="74">
        <v>32014</v>
      </c>
      <c r="H5701" s="77">
        <v>0.79166666666666663</v>
      </c>
      <c r="J5701">
        <v>69.98</v>
      </c>
      <c r="M5701" s="74">
        <v>34571</v>
      </c>
      <c r="N5701" s="77">
        <v>0.79166666666666663</v>
      </c>
      <c r="P5701">
        <v>66.92</v>
      </c>
      <c r="S5701" s="74">
        <v>34936</v>
      </c>
      <c r="T5701" s="77">
        <v>0.79166666666666663</v>
      </c>
      <c r="V5701">
        <v>75.02</v>
      </c>
      <c r="X5701" s="42"/>
      <c r="AB5701">
        <v>75.8</v>
      </c>
      <c r="AC5701">
        <v>75.92</v>
      </c>
      <c r="AE5701" s="74"/>
      <c r="AF5701" s="77"/>
      <c r="AH5701" s="497">
        <v>72.86</v>
      </c>
      <c r="AJ5701" s="42"/>
      <c r="AK5701" s="74"/>
      <c r="AL5701" s="77"/>
      <c r="AN5701" s="497">
        <v>66.02</v>
      </c>
      <c r="AP5701" s="42"/>
      <c r="AQ5701" s="74"/>
      <c r="AR5701" s="77"/>
      <c r="AT5701" s="497">
        <v>66.92</v>
      </c>
      <c r="AV5701" s="42"/>
      <c r="AW5701" s="74"/>
      <c r="AX5701" s="77"/>
      <c r="BA5701" s="497">
        <v>68</v>
      </c>
      <c r="BB5701" s="42"/>
      <c r="BC5701" s="74"/>
      <c r="BD5701" s="77"/>
      <c r="BF5701">
        <v>69.080000000000013</v>
      </c>
      <c r="BH5701" s="42"/>
      <c r="BI5701" s="74"/>
      <c r="BJ5701" s="77"/>
      <c r="BL5701" s="497">
        <v>75.02</v>
      </c>
      <c r="BN5701" s="42"/>
      <c r="BO5701" s="74"/>
      <c r="BP5701" s="77"/>
      <c r="BR5701" s="497">
        <v>64.039999999999992</v>
      </c>
      <c r="BT5701" s="42"/>
    </row>
    <row r="5702" spans="1:72" x14ac:dyDescent="0.25">
      <c r="A5702" s="90">
        <v>34936</v>
      </c>
      <c r="B5702" s="20">
        <v>0.83333333333333337</v>
      </c>
      <c r="D5702">
        <v>82.94</v>
      </c>
      <c r="E5702" t="str">
        <f t="shared" si="212"/>
        <v>WEEKDAY</v>
      </c>
      <c r="F5702" t="e">
        <f t="shared" si="213"/>
        <v>#N/A</v>
      </c>
      <c r="G5702" s="74">
        <v>32014</v>
      </c>
      <c r="H5702" s="77">
        <v>0.83333333333333337</v>
      </c>
      <c r="J5702">
        <v>69.98</v>
      </c>
      <c r="M5702" s="74">
        <v>34571</v>
      </c>
      <c r="N5702" s="77">
        <v>0.83333333333333337</v>
      </c>
      <c r="P5702">
        <v>65.84</v>
      </c>
      <c r="S5702" s="74">
        <v>34936</v>
      </c>
      <c r="T5702" s="77">
        <v>0.83333333333333337</v>
      </c>
      <c r="V5702">
        <v>73.94</v>
      </c>
      <c r="X5702" s="42"/>
      <c r="AB5702">
        <v>74.3</v>
      </c>
      <c r="AC5702">
        <v>71.06</v>
      </c>
      <c r="AE5702" s="74"/>
      <c r="AF5702" s="77"/>
      <c r="AH5702" s="497">
        <v>70.88</v>
      </c>
      <c r="AJ5702" s="42"/>
      <c r="AK5702" s="74"/>
      <c r="AL5702" s="77"/>
      <c r="AN5702" s="497">
        <v>66.02</v>
      </c>
      <c r="AP5702" s="42"/>
      <c r="AQ5702" s="74"/>
      <c r="AR5702" s="77"/>
      <c r="AT5702" s="497">
        <v>66.92</v>
      </c>
      <c r="AV5702" s="42"/>
      <c r="AW5702" s="74"/>
      <c r="AX5702" s="77"/>
      <c r="BA5702" s="497">
        <v>64.039999999999992</v>
      </c>
      <c r="BB5702" s="42"/>
      <c r="BC5702" s="74"/>
      <c r="BD5702" s="77"/>
      <c r="BF5702">
        <v>68</v>
      </c>
      <c r="BH5702" s="42"/>
      <c r="BI5702" s="74"/>
      <c r="BJ5702" s="77"/>
      <c r="BL5702" s="497">
        <v>73.039999999999992</v>
      </c>
      <c r="BN5702" s="42"/>
      <c r="BO5702" s="74"/>
      <c r="BP5702" s="77"/>
      <c r="BR5702" s="497">
        <v>60.980000000000004</v>
      </c>
      <c r="BT5702" s="42"/>
    </row>
    <row r="5703" spans="1:72" x14ac:dyDescent="0.25">
      <c r="A5703" s="90">
        <v>34936</v>
      </c>
      <c r="B5703" s="20">
        <v>0.875</v>
      </c>
      <c r="D5703">
        <v>80.960000000000008</v>
      </c>
      <c r="E5703" t="str">
        <f t="shared" si="212"/>
        <v>WEEKDAY</v>
      </c>
      <c r="F5703" t="e">
        <f t="shared" si="213"/>
        <v>#N/A</v>
      </c>
      <c r="G5703" s="74">
        <v>32014</v>
      </c>
      <c r="H5703" s="77">
        <v>0.875</v>
      </c>
      <c r="J5703">
        <v>69.080000000000013</v>
      </c>
      <c r="M5703" s="74">
        <v>34571</v>
      </c>
      <c r="N5703" s="77">
        <v>0.875</v>
      </c>
      <c r="P5703">
        <v>63.86</v>
      </c>
      <c r="S5703" s="74">
        <v>34936</v>
      </c>
      <c r="T5703" s="77">
        <v>0.875</v>
      </c>
      <c r="V5703">
        <v>73.039999999999992</v>
      </c>
      <c r="X5703" s="42"/>
      <c r="AB5703">
        <v>73.5</v>
      </c>
      <c r="AC5703">
        <v>69.98</v>
      </c>
      <c r="AE5703" s="74"/>
      <c r="AF5703" s="77"/>
      <c r="AH5703" s="497">
        <v>69.98</v>
      </c>
      <c r="AJ5703" s="42"/>
      <c r="AK5703" s="74"/>
      <c r="AL5703" s="77"/>
      <c r="AN5703" s="497">
        <v>66.02</v>
      </c>
      <c r="AP5703" s="42"/>
      <c r="AQ5703" s="74"/>
      <c r="AR5703" s="77"/>
      <c r="AT5703" s="497">
        <v>66.92</v>
      </c>
      <c r="AV5703" s="42"/>
      <c r="AW5703" s="74"/>
      <c r="AX5703" s="77"/>
      <c r="BA5703" s="497">
        <v>62.06</v>
      </c>
      <c r="BB5703" s="42"/>
      <c r="BC5703" s="74"/>
      <c r="BD5703" s="77"/>
      <c r="BF5703">
        <v>68</v>
      </c>
      <c r="BH5703" s="42"/>
      <c r="BI5703" s="74"/>
      <c r="BJ5703" s="77"/>
      <c r="BL5703" s="497">
        <v>68</v>
      </c>
      <c r="BN5703" s="42"/>
      <c r="BO5703" s="74"/>
      <c r="BP5703" s="77"/>
      <c r="BR5703" s="497">
        <v>59</v>
      </c>
      <c r="BT5703" s="42"/>
    </row>
    <row r="5704" spans="1:72" x14ac:dyDescent="0.25">
      <c r="A5704" s="90">
        <v>34936</v>
      </c>
      <c r="B5704" s="20">
        <v>0.91666666666666663</v>
      </c>
      <c r="D5704">
        <v>82.039999999999992</v>
      </c>
      <c r="E5704" t="str">
        <f t="shared" si="212"/>
        <v>WEEKDAY</v>
      </c>
      <c r="F5704" t="e">
        <f t="shared" si="213"/>
        <v>#N/A</v>
      </c>
      <c r="G5704" s="74">
        <v>32014</v>
      </c>
      <c r="H5704" s="77">
        <v>0.91666666666666663</v>
      </c>
      <c r="J5704">
        <v>69.080000000000013</v>
      </c>
      <c r="M5704" s="74">
        <v>34571</v>
      </c>
      <c r="N5704" s="77">
        <v>0.91666666666666663</v>
      </c>
      <c r="P5704">
        <v>63.86</v>
      </c>
      <c r="S5704" s="74">
        <v>34936</v>
      </c>
      <c r="T5704" s="77">
        <v>0.91666666666666663</v>
      </c>
      <c r="V5704">
        <v>69.98</v>
      </c>
      <c r="X5704" s="42"/>
      <c r="AB5704">
        <v>72.8</v>
      </c>
      <c r="AC5704">
        <v>69.080000000000013</v>
      </c>
      <c r="AE5704" s="74"/>
      <c r="AF5704" s="77"/>
      <c r="AH5704" s="497">
        <v>68</v>
      </c>
      <c r="AJ5704" s="42"/>
      <c r="AK5704" s="74"/>
      <c r="AL5704" s="77"/>
      <c r="AN5704" s="497">
        <v>64.94</v>
      </c>
      <c r="AP5704" s="42"/>
      <c r="AQ5704" s="74"/>
      <c r="AR5704" s="77"/>
      <c r="AT5704" s="497">
        <v>66.02</v>
      </c>
      <c r="AV5704" s="42"/>
      <c r="AW5704" s="74"/>
      <c r="AX5704" s="77"/>
      <c r="BA5704" s="497">
        <v>60.980000000000004</v>
      </c>
      <c r="BB5704" s="42"/>
      <c r="BC5704" s="74"/>
      <c r="BD5704" s="77"/>
      <c r="BF5704">
        <v>66.92</v>
      </c>
      <c r="BH5704" s="42"/>
      <c r="BI5704" s="74"/>
      <c r="BJ5704" s="77"/>
      <c r="BL5704" s="497">
        <v>69.080000000000013</v>
      </c>
      <c r="BN5704" s="42"/>
      <c r="BO5704" s="74"/>
      <c r="BP5704" s="77"/>
      <c r="BR5704" s="497">
        <v>55.040000000000006</v>
      </c>
      <c r="BT5704" s="42"/>
    </row>
    <row r="5705" spans="1:72" x14ac:dyDescent="0.25">
      <c r="A5705" s="90">
        <v>34936</v>
      </c>
      <c r="B5705" s="20">
        <v>0.95833333333333337</v>
      </c>
      <c r="D5705">
        <v>80.960000000000008</v>
      </c>
      <c r="E5705" t="str">
        <f t="shared" si="212"/>
        <v>WEEKDAY</v>
      </c>
      <c r="F5705" t="e">
        <f t="shared" si="213"/>
        <v>#N/A</v>
      </c>
      <c r="G5705" s="74">
        <v>32014</v>
      </c>
      <c r="H5705" s="77">
        <v>0.95833333333333337</v>
      </c>
      <c r="J5705">
        <v>66.92</v>
      </c>
      <c r="M5705" s="74">
        <v>34571</v>
      </c>
      <c r="N5705" s="77">
        <v>0.95833333333333337</v>
      </c>
      <c r="P5705">
        <v>63.86</v>
      </c>
      <c r="S5705" s="74">
        <v>34936</v>
      </c>
      <c r="T5705" s="77">
        <v>0.95833333333333337</v>
      </c>
      <c r="V5705">
        <v>68</v>
      </c>
      <c r="X5705" s="42"/>
      <c r="AB5705">
        <v>72.2</v>
      </c>
      <c r="AC5705">
        <v>69.080000000000013</v>
      </c>
      <c r="AE5705" s="74"/>
      <c r="AF5705" s="77"/>
      <c r="AH5705" s="497">
        <v>64.94</v>
      </c>
      <c r="AJ5705" s="42"/>
      <c r="AK5705" s="74"/>
      <c r="AL5705" s="77"/>
      <c r="AN5705" s="497">
        <v>64.94</v>
      </c>
      <c r="AP5705" s="42"/>
      <c r="AQ5705" s="74"/>
      <c r="AR5705" s="77"/>
      <c r="AT5705" s="497">
        <v>66.02</v>
      </c>
      <c r="AV5705" s="42"/>
      <c r="AW5705" s="74"/>
      <c r="AX5705" s="77"/>
      <c r="BA5705" s="497">
        <v>59</v>
      </c>
      <c r="BB5705" s="42"/>
      <c r="BC5705" s="74"/>
      <c r="BD5705" s="77"/>
      <c r="BF5705">
        <v>66.02</v>
      </c>
      <c r="BH5705" s="42"/>
      <c r="BI5705" s="74"/>
      <c r="BJ5705" s="77"/>
      <c r="BL5705" s="497">
        <v>68</v>
      </c>
      <c r="BN5705" s="42"/>
      <c r="BO5705" s="74"/>
      <c r="BP5705" s="77"/>
      <c r="BR5705" s="497">
        <v>51.980000000000004</v>
      </c>
      <c r="BT5705" s="42"/>
    </row>
    <row r="5706" spans="1:72" x14ac:dyDescent="0.25">
      <c r="A5706" s="90">
        <v>34936</v>
      </c>
      <c r="B5706" s="20">
        <v>1</v>
      </c>
      <c r="D5706">
        <v>80.06</v>
      </c>
      <c r="E5706" t="str">
        <f t="shared" si="212"/>
        <v>WEEKDAY</v>
      </c>
      <c r="F5706" t="e">
        <f t="shared" si="213"/>
        <v>#N/A</v>
      </c>
      <c r="G5706" s="74">
        <v>32014</v>
      </c>
      <c r="H5706" s="77">
        <v>1</v>
      </c>
      <c r="J5706">
        <v>66.02</v>
      </c>
      <c r="M5706" s="74">
        <v>34571</v>
      </c>
      <c r="N5706" s="80">
        <v>1</v>
      </c>
      <c r="P5706">
        <v>63.86</v>
      </c>
      <c r="S5706" s="74">
        <v>34936</v>
      </c>
      <c r="T5706" s="80">
        <v>1</v>
      </c>
      <c r="V5706">
        <v>64.94</v>
      </c>
      <c r="X5706" s="42"/>
      <c r="AB5706">
        <v>71.5</v>
      </c>
      <c r="AC5706">
        <v>69.080000000000013</v>
      </c>
      <c r="AE5706" s="74"/>
      <c r="AF5706" s="80"/>
      <c r="AH5706" s="497">
        <v>64.94</v>
      </c>
      <c r="AJ5706" s="42"/>
      <c r="AK5706" s="74"/>
      <c r="AL5706" s="80"/>
      <c r="AN5706" s="497">
        <v>64.94</v>
      </c>
      <c r="AP5706" s="42"/>
      <c r="AQ5706" s="74"/>
      <c r="AR5706" s="80"/>
      <c r="AT5706" s="497">
        <v>66.02</v>
      </c>
      <c r="AV5706" s="42"/>
      <c r="AW5706" s="74"/>
      <c r="AX5706" s="80"/>
      <c r="BA5706" s="497">
        <v>59</v>
      </c>
      <c r="BB5706" s="42"/>
      <c r="BC5706" s="74"/>
      <c r="BD5706" s="80"/>
      <c r="BF5706">
        <v>64.94</v>
      </c>
      <c r="BH5706" s="42"/>
      <c r="BI5706" s="74"/>
      <c r="BJ5706" s="80"/>
      <c r="BL5706" s="497">
        <v>66.92</v>
      </c>
      <c r="BN5706" s="42"/>
      <c r="BO5706" s="74"/>
      <c r="BP5706" s="80"/>
      <c r="BR5706" s="497">
        <v>51.08</v>
      </c>
      <c r="BT5706" s="42"/>
    </row>
    <row r="5707" spans="1:72" x14ac:dyDescent="0.25">
      <c r="A5707" s="90">
        <v>34937</v>
      </c>
      <c r="B5707" s="20">
        <v>4.1666666666666664E-2</v>
      </c>
      <c r="D5707">
        <v>78.080000000000013</v>
      </c>
      <c r="E5707" t="str">
        <f t="shared" si="212"/>
        <v>SATURDAY</v>
      </c>
      <c r="F5707" t="e">
        <f t="shared" si="213"/>
        <v>#N/A</v>
      </c>
      <c r="G5707" s="74">
        <v>32015</v>
      </c>
      <c r="H5707" s="77">
        <v>4.1666666666666664E-2</v>
      </c>
      <c r="J5707">
        <v>64.94</v>
      </c>
      <c r="M5707" s="74">
        <v>34572</v>
      </c>
      <c r="N5707" s="77">
        <v>4.1666666666666664E-2</v>
      </c>
      <c r="P5707">
        <v>62.96</v>
      </c>
      <c r="S5707" s="74">
        <v>34937</v>
      </c>
      <c r="T5707" s="77">
        <v>4.1666666666666664E-2</v>
      </c>
      <c r="V5707">
        <v>64.94</v>
      </c>
      <c r="X5707" s="42"/>
      <c r="AB5707">
        <v>70.900000000000006</v>
      </c>
      <c r="AC5707">
        <v>69.080000000000013</v>
      </c>
      <c r="AE5707" s="74"/>
      <c r="AF5707" s="77"/>
      <c r="AH5707" s="497">
        <v>63.86</v>
      </c>
      <c r="AJ5707" s="42"/>
      <c r="AK5707" s="74"/>
      <c r="AL5707" s="77"/>
      <c r="AN5707" s="497">
        <v>64.039999999999992</v>
      </c>
      <c r="AP5707" s="42"/>
      <c r="AQ5707" s="74"/>
      <c r="AR5707" s="77"/>
      <c r="AT5707" s="497">
        <v>64.94</v>
      </c>
      <c r="AV5707" s="42"/>
      <c r="AW5707" s="74"/>
      <c r="AX5707" s="77"/>
      <c r="BA5707" s="497">
        <v>59</v>
      </c>
      <c r="BB5707" s="42"/>
      <c r="BC5707" s="74"/>
      <c r="BD5707" s="77"/>
      <c r="BF5707">
        <v>64.94</v>
      </c>
      <c r="BH5707" s="42"/>
      <c r="BI5707" s="74"/>
      <c r="BJ5707" s="77"/>
      <c r="BL5707" s="497">
        <v>66.02</v>
      </c>
      <c r="BN5707" s="42"/>
      <c r="BO5707" s="74"/>
      <c r="BP5707" s="77"/>
      <c r="BR5707" s="497">
        <v>50</v>
      </c>
      <c r="BT5707" s="42"/>
    </row>
    <row r="5708" spans="1:72" x14ac:dyDescent="0.25">
      <c r="A5708" s="90">
        <v>34937</v>
      </c>
      <c r="B5708" s="20">
        <v>8.3333333333333329E-2</v>
      </c>
      <c r="D5708">
        <v>75.92</v>
      </c>
      <c r="E5708" t="str">
        <f t="shared" si="212"/>
        <v>SATURDAY</v>
      </c>
      <c r="F5708" t="e">
        <f t="shared" si="213"/>
        <v>#N/A</v>
      </c>
      <c r="G5708" s="74">
        <v>32015</v>
      </c>
      <c r="H5708" s="77">
        <v>8.3333333333333329E-2</v>
      </c>
      <c r="J5708">
        <v>64.039999999999992</v>
      </c>
      <c r="M5708" s="74">
        <v>34572</v>
      </c>
      <c r="N5708" s="77">
        <v>8.3333333333333329E-2</v>
      </c>
      <c r="P5708">
        <v>62.96</v>
      </c>
      <c r="S5708" s="74">
        <v>34937</v>
      </c>
      <c r="T5708" s="77">
        <v>8.3333333333333329E-2</v>
      </c>
      <c r="V5708">
        <v>64.039999999999992</v>
      </c>
      <c r="X5708" s="42"/>
      <c r="AB5708">
        <v>70.2</v>
      </c>
      <c r="AC5708">
        <v>66.92</v>
      </c>
      <c r="AE5708" s="74"/>
      <c r="AF5708" s="77"/>
      <c r="AH5708" s="497">
        <v>63.86</v>
      </c>
      <c r="AJ5708" s="42"/>
      <c r="AK5708" s="74"/>
      <c r="AL5708" s="77"/>
      <c r="AN5708" s="497">
        <v>64.039999999999992</v>
      </c>
      <c r="AP5708" s="42"/>
      <c r="AQ5708" s="74"/>
      <c r="AR5708" s="77"/>
      <c r="AT5708" s="497">
        <v>64.94</v>
      </c>
      <c r="AV5708" s="42"/>
      <c r="AW5708" s="74"/>
      <c r="AX5708" s="77"/>
      <c r="BA5708" s="497">
        <v>57.019999999999996</v>
      </c>
      <c r="BB5708" s="42"/>
      <c r="BC5708" s="74"/>
      <c r="BD5708" s="77"/>
      <c r="BF5708">
        <v>64.94</v>
      </c>
      <c r="BH5708" s="42"/>
      <c r="BI5708" s="74"/>
      <c r="BJ5708" s="77"/>
      <c r="BL5708" s="497">
        <v>64.94</v>
      </c>
      <c r="BN5708" s="42"/>
      <c r="BO5708" s="74"/>
      <c r="BP5708" s="77"/>
      <c r="BR5708" s="497">
        <v>50</v>
      </c>
      <c r="BT5708" s="42"/>
    </row>
    <row r="5709" spans="1:72" x14ac:dyDescent="0.25">
      <c r="A5709" s="90">
        <v>34937</v>
      </c>
      <c r="B5709" s="20">
        <v>0.125</v>
      </c>
      <c r="D5709">
        <v>73.039999999999992</v>
      </c>
      <c r="E5709" t="str">
        <f t="shared" si="212"/>
        <v>SATURDAY</v>
      </c>
      <c r="F5709" t="e">
        <f t="shared" si="213"/>
        <v>#N/A</v>
      </c>
      <c r="G5709" s="74">
        <v>32015</v>
      </c>
      <c r="H5709" s="77">
        <v>0.125</v>
      </c>
      <c r="J5709">
        <v>64.039999999999992</v>
      </c>
      <c r="M5709" s="74">
        <v>34572</v>
      </c>
      <c r="N5709" s="77">
        <v>0.125</v>
      </c>
      <c r="P5709">
        <v>61.88</v>
      </c>
      <c r="S5709" s="74">
        <v>34937</v>
      </c>
      <c r="T5709" s="77">
        <v>0.125</v>
      </c>
      <c r="V5709">
        <v>62.06</v>
      </c>
      <c r="X5709" s="42"/>
      <c r="AB5709">
        <v>69.7</v>
      </c>
      <c r="AC5709">
        <v>64.039999999999992</v>
      </c>
      <c r="AE5709" s="74"/>
      <c r="AF5709" s="77"/>
      <c r="AH5709" s="497">
        <v>62.96</v>
      </c>
      <c r="AJ5709" s="42"/>
      <c r="AK5709" s="74"/>
      <c r="AL5709" s="77"/>
      <c r="AN5709" s="497">
        <v>64.039999999999992</v>
      </c>
      <c r="AP5709" s="42"/>
      <c r="AQ5709" s="74"/>
      <c r="AR5709" s="77"/>
      <c r="AT5709" s="497">
        <v>64.94</v>
      </c>
      <c r="AV5709" s="42"/>
      <c r="AW5709" s="74"/>
      <c r="AX5709" s="77"/>
      <c r="BA5709" s="497">
        <v>55.94</v>
      </c>
      <c r="BB5709" s="42"/>
      <c r="BC5709" s="74"/>
      <c r="BD5709" s="77"/>
      <c r="BF5709">
        <v>64.94</v>
      </c>
      <c r="BH5709" s="42"/>
      <c r="BI5709" s="74"/>
      <c r="BJ5709" s="77"/>
      <c r="BL5709" s="497">
        <v>64.039999999999992</v>
      </c>
      <c r="BN5709" s="42"/>
      <c r="BO5709" s="74"/>
      <c r="BP5709" s="77"/>
      <c r="BR5709" s="497">
        <v>50</v>
      </c>
      <c r="BT5709" s="42"/>
    </row>
    <row r="5710" spans="1:72" x14ac:dyDescent="0.25">
      <c r="A5710" s="90">
        <v>34937</v>
      </c>
      <c r="B5710" s="20">
        <v>0.16666666666666666</v>
      </c>
      <c r="D5710">
        <v>71.960000000000008</v>
      </c>
      <c r="E5710" t="str">
        <f t="shared" si="212"/>
        <v>SATURDAY</v>
      </c>
      <c r="F5710" t="e">
        <f t="shared" si="213"/>
        <v>#N/A</v>
      </c>
      <c r="G5710" s="74">
        <v>32015</v>
      </c>
      <c r="H5710" s="77">
        <v>0.16666666666666666</v>
      </c>
      <c r="J5710">
        <v>64.039999999999992</v>
      </c>
      <c r="M5710" s="74">
        <v>34572</v>
      </c>
      <c r="N5710" s="77">
        <v>0.16666666666666666</v>
      </c>
      <c r="P5710">
        <v>62.96</v>
      </c>
      <c r="S5710" s="74">
        <v>34937</v>
      </c>
      <c r="T5710" s="77">
        <v>0.16666666666666666</v>
      </c>
      <c r="V5710">
        <v>60.980000000000004</v>
      </c>
      <c r="X5710" s="42"/>
      <c r="AB5710">
        <v>69.2</v>
      </c>
      <c r="AC5710">
        <v>64.039999999999992</v>
      </c>
      <c r="AE5710" s="74"/>
      <c r="AF5710" s="77"/>
      <c r="AH5710" s="497">
        <v>61.88</v>
      </c>
      <c r="AJ5710" s="42"/>
      <c r="AK5710" s="74"/>
      <c r="AL5710" s="77"/>
      <c r="AN5710" s="497">
        <v>64.039999999999992</v>
      </c>
      <c r="AP5710" s="42"/>
      <c r="AQ5710" s="74"/>
      <c r="AR5710" s="77"/>
      <c r="AT5710" s="497">
        <v>64.94</v>
      </c>
      <c r="AV5710" s="42"/>
      <c r="AW5710" s="74"/>
      <c r="AX5710" s="77"/>
      <c r="BA5710" s="497">
        <v>53.96</v>
      </c>
      <c r="BB5710" s="42"/>
      <c r="BC5710" s="74"/>
      <c r="BD5710" s="77"/>
      <c r="BF5710">
        <v>64.94</v>
      </c>
      <c r="BH5710" s="42"/>
      <c r="BI5710" s="74"/>
      <c r="BJ5710" s="77"/>
      <c r="BL5710" s="497">
        <v>62.96</v>
      </c>
      <c r="BN5710" s="42"/>
      <c r="BO5710" s="74"/>
      <c r="BP5710" s="77"/>
      <c r="BR5710" s="497">
        <v>50</v>
      </c>
      <c r="BT5710" s="42"/>
    </row>
    <row r="5711" spans="1:72" x14ac:dyDescent="0.25">
      <c r="A5711" s="90">
        <v>34937</v>
      </c>
      <c r="B5711" s="20">
        <v>0.20833333333333334</v>
      </c>
      <c r="D5711">
        <v>71.960000000000008</v>
      </c>
      <c r="E5711" t="str">
        <f t="shared" si="212"/>
        <v>SATURDAY</v>
      </c>
      <c r="F5711" t="e">
        <f t="shared" si="213"/>
        <v>#N/A</v>
      </c>
      <c r="G5711" s="74">
        <v>32015</v>
      </c>
      <c r="H5711" s="77">
        <v>0.20833333333333334</v>
      </c>
      <c r="J5711">
        <v>62.06</v>
      </c>
      <c r="M5711" s="74">
        <v>34572</v>
      </c>
      <c r="N5711" s="77">
        <v>0.20833333333333334</v>
      </c>
      <c r="P5711">
        <v>61.88</v>
      </c>
      <c r="S5711" s="74">
        <v>34937</v>
      </c>
      <c r="T5711" s="77">
        <v>0.20833333333333334</v>
      </c>
      <c r="V5711">
        <v>60.980000000000004</v>
      </c>
      <c r="X5711" s="42"/>
      <c r="AB5711">
        <v>68.7</v>
      </c>
      <c r="AC5711">
        <v>64.039999999999992</v>
      </c>
      <c r="AE5711" s="74"/>
      <c r="AF5711" s="77"/>
      <c r="AH5711" s="497">
        <v>62.96</v>
      </c>
      <c r="AJ5711" s="42"/>
      <c r="AK5711" s="74"/>
      <c r="AL5711" s="77"/>
      <c r="AN5711" s="497">
        <v>64.94</v>
      </c>
      <c r="AP5711" s="42"/>
      <c r="AQ5711" s="74"/>
      <c r="AR5711" s="77"/>
      <c r="AT5711" s="497">
        <v>64.94</v>
      </c>
      <c r="AV5711" s="42"/>
      <c r="AW5711" s="74"/>
      <c r="AX5711" s="77"/>
      <c r="BA5711" s="497">
        <v>53.96</v>
      </c>
      <c r="BB5711" s="42"/>
      <c r="BC5711" s="74"/>
      <c r="BD5711" s="77"/>
      <c r="BF5711">
        <v>64.94</v>
      </c>
      <c r="BH5711" s="42"/>
      <c r="BI5711" s="74"/>
      <c r="BJ5711" s="77"/>
      <c r="BL5711" s="497">
        <v>62.96</v>
      </c>
      <c r="BN5711" s="42"/>
      <c r="BO5711" s="74"/>
      <c r="BP5711" s="77"/>
      <c r="BR5711" s="497">
        <v>50</v>
      </c>
      <c r="BT5711" s="42"/>
    </row>
    <row r="5712" spans="1:72" x14ac:dyDescent="0.25">
      <c r="A5712" s="90">
        <v>34937</v>
      </c>
      <c r="B5712" s="20">
        <v>0.25</v>
      </c>
      <c r="D5712">
        <v>73.039999999999992</v>
      </c>
      <c r="E5712" t="str">
        <f t="shared" si="212"/>
        <v>SATURDAY</v>
      </c>
      <c r="F5712" t="e">
        <f t="shared" si="213"/>
        <v>#N/A</v>
      </c>
      <c r="G5712" s="74">
        <v>32015</v>
      </c>
      <c r="H5712" s="77">
        <v>0.25</v>
      </c>
      <c r="J5712">
        <v>62.06</v>
      </c>
      <c r="M5712" s="74">
        <v>34572</v>
      </c>
      <c r="N5712" s="77">
        <v>0.25</v>
      </c>
      <c r="P5712">
        <v>61.88</v>
      </c>
      <c r="S5712" s="74">
        <v>34937</v>
      </c>
      <c r="T5712" s="77">
        <v>0.25</v>
      </c>
      <c r="V5712">
        <v>64.039999999999992</v>
      </c>
      <c r="X5712" s="42"/>
      <c r="AB5712">
        <v>68.400000000000006</v>
      </c>
      <c r="AC5712">
        <v>64.94</v>
      </c>
      <c r="AE5712" s="74"/>
      <c r="AF5712" s="77"/>
      <c r="AH5712" s="497">
        <v>62.96</v>
      </c>
      <c r="AJ5712" s="42"/>
      <c r="AK5712" s="74"/>
      <c r="AL5712" s="77"/>
      <c r="AN5712" s="497">
        <v>64.94</v>
      </c>
      <c r="AP5712" s="42"/>
      <c r="AQ5712" s="74"/>
      <c r="AR5712" s="77"/>
      <c r="AT5712" s="497">
        <v>64.94</v>
      </c>
      <c r="AV5712" s="42"/>
      <c r="AW5712" s="74"/>
      <c r="AX5712" s="77"/>
      <c r="BA5712" s="497">
        <v>53.96</v>
      </c>
      <c r="BB5712" s="42"/>
      <c r="BC5712" s="74"/>
      <c r="BD5712" s="77"/>
      <c r="BF5712">
        <v>64.94</v>
      </c>
      <c r="BH5712" s="42"/>
      <c r="BI5712" s="74"/>
      <c r="BJ5712" s="77"/>
      <c r="BL5712" s="497">
        <v>64.039999999999992</v>
      </c>
      <c r="BN5712" s="42"/>
      <c r="BO5712" s="74"/>
      <c r="BP5712" s="77"/>
      <c r="BR5712" s="497">
        <v>53.96</v>
      </c>
      <c r="BT5712" s="42"/>
    </row>
    <row r="5713" spans="1:72" x14ac:dyDescent="0.25">
      <c r="A5713" s="90">
        <v>34937</v>
      </c>
      <c r="B5713" s="20">
        <v>0.29166666666666669</v>
      </c>
      <c r="D5713">
        <v>77</v>
      </c>
      <c r="E5713" t="str">
        <f t="shared" si="212"/>
        <v>SATURDAY</v>
      </c>
      <c r="F5713" t="e">
        <f t="shared" si="213"/>
        <v>#N/A</v>
      </c>
      <c r="G5713" s="74">
        <v>32015</v>
      </c>
      <c r="H5713" s="77">
        <v>0.29166666666666669</v>
      </c>
      <c r="J5713">
        <v>62.96</v>
      </c>
      <c r="M5713" s="74">
        <v>34572</v>
      </c>
      <c r="N5713" s="77">
        <v>0.29166666666666669</v>
      </c>
      <c r="P5713">
        <v>65.84</v>
      </c>
      <c r="S5713" s="74">
        <v>34937</v>
      </c>
      <c r="T5713" s="77">
        <v>0.29166666666666669</v>
      </c>
      <c r="V5713">
        <v>66.92</v>
      </c>
      <c r="X5713" s="42"/>
      <c r="AB5713">
        <v>68.599999999999994</v>
      </c>
      <c r="AC5713">
        <v>69.080000000000013</v>
      </c>
      <c r="AE5713" s="74"/>
      <c r="AF5713" s="77"/>
      <c r="AH5713" s="497">
        <v>65.84</v>
      </c>
      <c r="AJ5713" s="42"/>
      <c r="AK5713" s="74"/>
      <c r="AL5713" s="77"/>
      <c r="AN5713" s="497">
        <v>64.94</v>
      </c>
      <c r="AP5713" s="42"/>
      <c r="AQ5713" s="74"/>
      <c r="AR5713" s="77"/>
      <c r="AT5713" s="497">
        <v>66.02</v>
      </c>
      <c r="AV5713" s="42"/>
      <c r="AW5713" s="74"/>
      <c r="AX5713" s="77"/>
      <c r="BA5713" s="497">
        <v>57.92</v>
      </c>
      <c r="BB5713" s="42"/>
      <c r="BC5713" s="74"/>
      <c r="BD5713" s="77"/>
      <c r="BF5713">
        <v>66.02</v>
      </c>
      <c r="BH5713" s="42"/>
      <c r="BI5713" s="74"/>
      <c r="BJ5713" s="77"/>
      <c r="BL5713" s="497">
        <v>64.94</v>
      </c>
      <c r="BN5713" s="42"/>
      <c r="BO5713" s="74"/>
      <c r="BP5713" s="77"/>
      <c r="BR5713" s="497">
        <v>55.94</v>
      </c>
      <c r="BT5713" s="42"/>
    </row>
    <row r="5714" spans="1:72" x14ac:dyDescent="0.25">
      <c r="A5714" s="90">
        <v>34937</v>
      </c>
      <c r="B5714" s="20">
        <v>0.33333333333333331</v>
      </c>
      <c r="D5714">
        <v>75.02</v>
      </c>
      <c r="E5714" t="str">
        <f t="shared" si="212"/>
        <v>SATURDAY</v>
      </c>
      <c r="F5714" t="e">
        <f t="shared" si="213"/>
        <v>#N/A</v>
      </c>
      <c r="G5714" s="74">
        <v>32015</v>
      </c>
      <c r="H5714" s="77">
        <v>0.33333333333333331</v>
      </c>
      <c r="J5714">
        <v>66.92</v>
      </c>
      <c r="M5714" s="74">
        <v>34572</v>
      </c>
      <c r="N5714" s="77">
        <v>0.33333333333333331</v>
      </c>
      <c r="P5714">
        <v>69.98</v>
      </c>
      <c r="S5714" s="74">
        <v>34937</v>
      </c>
      <c r="T5714" s="77">
        <v>0.33333333333333331</v>
      </c>
      <c r="V5714">
        <v>71.06</v>
      </c>
      <c r="X5714" s="42"/>
      <c r="AB5714">
        <v>70.7</v>
      </c>
      <c r="AC5714">
        <v>73.039999999999992</v>
      </c>
      <c r="AE5714" s="74"/>
      <c r="AF5714" s="77"/>
      <c r="AH5714" s="497">
        <v>71.960000000000008</v>
      </c>
      <c r="AJ5714" s="42"/>
      <c r="AK5714" s="74"/>
      <c r="AL5714" s="77"/>
      <c r="AN5714" s="497">
        <v>66.92</v>
      </c>
      <c r="AP5714" s="42"/>
      <c r="AQ5714" s="74"/>
      <c r="AR5714" s="77"/>
      <c r="AT5714" s="497">
        <v>66.02</v>
      </c>
      <c r="AV5714" s="42"/>
      <c r="AW5714" s="74"/>
      <c r="AX5714" s="77"/>
      <c r="BA5714" s="497">
        <v>62.96</v>
      </c>
      <c r="BB5714" s="42"/>
      <c r="BC5714" s="74"/>
      <c r="BD5714" s="77"/>
      <c r="BF5714">
        <v>68</v>
      </c>
      <c r="BH5714" s="42"/>
      <c r="BI5714" s="74"/>
      <c r="BJ5714" s="77"/>
      <c r="BL5714" s="497">
        <v>69.080000000000013</v>
      </c>
      <c r="BN5714" s="42"/>
      <c r="BO5714" s="74"/>
      <c r="BP5714" s="77"/>
      <c r="BR5714" s="497">
        <v>59</v>
      </c>
      <c r="BT5714" s="42"/>
    </row>
    <row r="5715" spans="1:72" x14ac:dyDescent="0.25">
      <c r="A5715" s="90">
        <v>34937</v>
      </c>
      <c r="B5715" s="20">
        <v>0.375</v>
      </c>
      <c r="D5715">
        <v>78.98</v>
      </c>
      <c r="E5715" t="str">
        <f t="shared" ref="E5715:E5778" si="214">IF(COUNTIF($DI$18:$DI$22, WEEKDAY(A5715))=1, "WEEKDAY", IF(WEEKDAY(A5715) = 1, "SUNDAY", "SATURDAY"))</f>
        <v>SATURDAY</v>
      </c>
      <c r="F5715" t="e">
        <f t="shared" si="213"/>
        <v>#N/A</v>
      </c>
      <c r="G5715" s="74">
        <v>32015</v>
      </c>
      <c r="H5715" s="77">
        <v>0.375</v>
      </c>
      <c r="J5715">
        <v>73.039999999999992</v>
      </c>
      <c r="M5715" s="74">
        <v>34572</v>
      </c>
      <c r="N5715" s="77">
        <v>0.375</v>
      </c>
      <c r="P5715">
        <v>71.960000000000008</v>
      </c>
      <c r="S5715" s="74">
        <v>34937</v>
      </c>
      <c r="T5715" s="77">
        <v>0.375</v>
      </c>
      <c r="V5715">
        <v>73.94</v>
      </c>
      <c r="X5715" s="42"/>
      <c r="AB5715">
        <v>72.8</v>
      </c>
      <c r="AC5715">
        <v>75.02</v>
      </c>
      <c r="AE5715" s="74"/>
      <c r="AF5715" s="77"/>
      <c r="AH5715" s="497">
        <v>74.84</v>
      </c>
      <c r="AJ5715" s="42"/>
      <c r="AK5715" s="74"/>
      <c r="AL5715" s="77"/>
      <c r="AN5715" s="497">
        <v>69.080000000000013</v>
      </c>
      <c r="AP5715" s="42"/>
      <c r="AQ5715" s="74"/>
      <c r="AR5715" s="77"/>
      <c r="AT5715" s="497">
        <v>68</v>
      </c>
      <c r="AV5715" s="42"/>
      <c r="AW5715" s="74"/>
      <c r="AX5715" s="77"/>
      <c r="BA5715" s="497">
        <v>68</v>
      </c>
      <c r="BB5715" s="42"/>
      <c r="BC5715" s="74"/>
      <c r="BD5715" s="77"/>
      <c r="BF5715">
        <v>73.039999999999992</v>
      </c>
      <c r="BH5715" s="42"/>
      <c r="BI5715" s="74"/>
      <c r="BJ5715" s="77"/>
      <c r="BL5715" s="497">
        <v>73.94</v>
      </c>
      <c r="BN5715" s="42"/>
      <c r="BO5715" s="74"/>
      <c r="BP5715" s="77"/>
      <c r="BR5715" s="497">
        <v>60.980000000000004</v>
      </c>
      <c r="BT5715" s="42"/>
    </row>
    <row r="5716" spans="1:72" x14ac:dyDescent="0.25">
      <c r="A5716" s="90">
        <v>34937</v>
      </c>
      <c r="B5716" s="20">
        <v>0.41666666666666669</v>
      </c>
      <c r="D5716">
        <v>84.02</v>
      </c>
      <c r="E5716" t="str">
        <f t="shared" si="214"/>
        <v>SATURDAY</v>
      </c>
      <c r="F5716" t="e">
        <f t="shared" si="213"/>
        <v>#N/A</v>
      </c>
      <c r="G5716" s="74">
        <v>32015</v>
      </c>
      <c r="H5716" s="77">
        <v>0.41666666666666669</v>
      </c>
      <c r="J5716">
        <v>75.92</v>
      </c>
      <c r="M5716" s="74">
        <v>34572</v>
      </c>
      <c r="N5716" s="77">
        <v>0.41666666666666669</v>
      </c>
      <c r="P5716">
        <v>75.92</v>
      </c>
      <c r="S5716" s="74">
        <v>34937</v>
      </c>
      <c r="T5716" s="77">
        <v>0.41666666666666669</v>
      </c>
      <c r="V5716">
        <v>75.02</v>
      </c>
      <c r="X5716" s="42"/>
      <c r="AB5716">
        <v>74.8</v>
      </c>
      <c r="AC5716">
        <v>75.92</v>
      </c>
      <c r="AE5716" s="74"/>
      <c r="AF5716" s="77"/>
      <c r="AH5716" s="497">
        <v>77.900000000000006</v>
      </c>
      <c r="AJ5716" s="42"/>
      <c r="AK5716" s="74"/>
      <c r="AL5716" s="77"/>
      <c r="AN5716" s="497">
        <v>71.06</v>
      </c>
      <c r="AP5716" s="42"/>
      <c r="AQ5716" s="74"/>
      <c r="AR5716" s="77"/>
      <c r="AT5716" s="497">
        <v>68</v>
      </c>
      <c r="AV5716" s="42"/>
      <c r="AW5716" s="74"/>
      <c r="AX5716" s="77"/>
      <c r="BA5716" s="497">
        <v>71.960000000000008</v>
      </c>
      <c r="BB5716" s="42"/>
      <c r="BC5716" s="74"/>
      <c r="BD5716" s="77"/>
      <c r="BF5716">
        <v>75.92</v>
      </c>
      <c r="BH5716" s="42"/>
      <c r="BI5716" s="74"/>
      <c r="BJ5716" s="77"/>
      <c r="BL5716" s="497">
        <v>77</v>
      </c>
      <c r="BN5716" s="42"/>
      <c r="BO5716" s="74"/>
      <c r="BP5716" s="77"/>
      <c r="BR5716" s="497">
        <v>62.06</v>
      </c>
      <c r="BT5716" s="42"/>
    </row>
    <row r="5717" spans="1:72" x14ac:dyDescent="0.25">
      <c r="A5717" s="90">
        <v>34937</v>
      </c>
      <c r="B5717" s="20">
        <v>0.45833333333333331</v>
      </c>
      <c r="D5717">
        <v>86</v>
      </c>
      <c r="E5717" t="str">
        <f t="shared" si="214"/>
        <v>SATURDAY</v>
      </c>
      <c r="F5717" t="e">
        <f t="shared" si="213"/>
        <v>#N/A</v>
      </c>
      <c r="G5717" s="74">
        <v>32015</v>
      </c>
      <c r="H5717" s="77">
        <v>0.45833333333333331</v>
      </c>
      <c r="J5717">
        <v>75.92</v>
      </c>
      <c r="M5717" s="74">
        <v>34572</v>
      </c>
      <c r="N5717" s="77">
        <v>0.45833333333333331</v>
      </c>
      <c r="P5717">
        <v>77.900000000000006</v>
      </c>
      <c r="S5717" s="74">
        <v>34937</v>
      </c>
      <c r="T5717" s="77">
        <v>0.45833333333333331</v>
      </c>
      <c r="V5717">
        <v>75.92</v>
      </c>
      <c r="X5717" s="42"/>
      <c r="AB5717">
        <v>76.5</v>
      </c>
      <c r="AC5717">
        <v>78.98</v>
      </c>
      <c r="AE5717" s="74"/>
      <c r="AF5717" s="77"/>
      <c r="AH5717" s="497">
        <v>78.98</v>
      </c>
      <c r="AJ5717" s="42"/>
      <c r="AK5717" s="74"/>
      <c r="AL5717" s="77"/>
      <c r="AN5717" s="497">
        <v>73.94</v>
      </c>
      <c r="AP5717" s="42"/>
      <c r="AQ5717" s="74"/>
      <c r="AR5717" s="77"/>
      <c r="AT5717" s="497">
        <v>69.080000000000013</v>
      </c>
      <c r="AV5717" s="42"/>
      <c r="AW5717" s="74"/>
      <c r="AX5717" s="77"/>
      <c r="BA5717" s="497">
        <v>75.92</v>
      </c>
      <c r="BB5717" s="42"/>
      <c r="BC5717" s="74"/>
      <c r="BD5717" s="77"/>
      <c r="BF5717">
        <v>78.98</v>
      </c>
      <c r="BH5717" s="42"/>
      <c r="BI5717" s="74"/>
      <c r="BJ5717" s="77"/>
      <c r="BL5717" s="497">
        <v>78.98</v>
      </c>
      <c r="BN5717" s="42"/>
      <c r="BO5717" s="74"/>
      <c r="BP5717" s="77"/>
      <c r="BR5717" s="497">
        <v>66.02</v>
      </c>
      <c r="BT5717" s="42"/>
    </row>
    <row r="5718" spans="1:72" x14ac:dyDescent="0.25">
      <c r="A5718" s="90">
        <v>34937</v>
      </c>
      <c r="B5718" s="20">
        <v>0.5</v>
      </c>
      <c r="D5718">
        <v>87.98</v>
      </c>
      <c r="E5718" t="str">
        <f t="shared" si="214"/>
        <v>SATURDAY</v>
      </c>
      <c r="F5718" t="e">
        <f t="shared" si="213"/>
        <v>#N/A</v>
      </c>
      <c r="G5718" s="74">
        <v>32015</v>
      </c>
      <c r="H5718" s="77">
        <v>0.5</v>
      </c>
      <c r="J5718">
        <v>78.98</v>
      </c>
      <c r="M5718" s="74">
        <v>34572</v>
      </c>
      <c r="N5718" s="77">
        <v>0.5</v>
      </c>
      <c r="P5718">
        <v>79.88</v>
      </c>
      <c r="S5718" s="74">
        <v>34937</v>
      </c>
      <c r="T5718" s="77">
        <v>0.5</v>
      </c>
      <c r="V5718">
        <v>77</v>
      </c>
      <c r="X5718" s="42"/>
      <c r="AB5718">
        <v>77.900000000000006</v>
      </c>
      <c r="AC5718">
        <v>80.960000000000008</v>
      </c>
      <c r="AE5718" s="74"/>
      <c r="AF5718" s="77"/>
      <c r="AH5718" s="497">
        <v>80.960000000000008</v>
      </c>
      <c r="AJ5718" s="42"/>
      <c r="AK5718" s="74"/>
      <c r="AL5718" s="77"/>
      <c r="AN5718" s="497">
        <v>75.02</v>
      </c>
      <c r="AP5718" s="42"/>
      <c r="AQ5718" s="74"/>
      <c r="AR5718" s="77"/>
      <c r="AT5718" s="497">
        <v>73.039999999999992</v>
      </c>
      <c r="AV5718" s="42"/>
      <c r="AW5718" s="74"/>
      <c r="AX5718" s="77"/>
      <c r="BA5718" s="497">
        <v>78.080000000000013</v>
      </c>
      <c r="BB5718" s="42"/>
      <c r="BC5718" s="74"/>
      <c r="BD5718" s="77"/>
      <c r="BF5718">
        <v>80.960000000000008</v>
      </c>
      <c r="BH5718" s="42"/>
      <c r="BI5718" s="74"/>
      <c r="BJ5718" s="77"/>
      <c r="BL5718" s="497">
        <v>80.06</v>
      </c>
      <c r="BN5718" s="42"/>
      <c r="BO5718" s="74"/>
      <c r="BP5718" s="77"/>
      <c r="BR5718" s="497">
        <v>69.98</v>
      </c>
      <c r="BT5718" s="42"/>
    </row>
    <row r="5719" spans="1:72" x14ac:dyDescent="0.25">
      <c r="A5719" s="90">
        <v>34937</v>
      </c>
      <c r="B5719" s="20">
        <v>0.54166666666666663</v>
      </c>
      <c r="D5719">
        <v>87.98</v>
      </c>
      <c r="E5719" t="str">
        <f t="shared" si="214"/>
        <v>SATURDAY</v>
      </c>
      <c r="F5719" t="e">
        <f t="shared" si="213"/>
        <v>#N/A</v>
      </c>
      <c r="G5719" s="74">
        <v>32015</v>
      </c>
      <c r="H5719" s="77">
        <v>0.54166666666666663</v>
      </c>
      <c r="J5719">
        <v>78.98</v>
      </c>
      <c r="M5719" s="74">
        <v>34572</v>
      </c>
      <c r="N5719" s="77">
        <v>0.54166666666666663</v>
      </c>
      <c r="P5719">
        <v>82.94</v>
      </c>
      <c r="S5719" s="74">
        <v>34937</v>
      </c>
      <c r="T5719" s="77">
        <v>0.54166666666666663</v>
      </c>
      <c r="V5719">
        <v>78.080000000000013</v>
      </c>
      <c r="X5719" s="42"/>
      <c r="AB5719">
        <v>78.8</v>
      </c>
      <c r="AC5719">
        <v>80.06</v>
      </c>
      <c r="AE5719" s="74"/>
      <c r="AF5719" s="77"/>
      <c r="AH5719" s="497">
        <v>83.84</v>
      </c>
      <c r="AJ5719" s="42"/>
      <c r="AK5719" s="74"/>
      <c r="AL5719" s="77"/>
      <c r="AN5719" s="497">
        <v>78.080000000000013</v>
      </c>
      <c r="AP5719" s="42"/>
      <c r="AQ5719" s="74"/>
      <c r="AR5719" s="77"/>
      <c r="AT5719" s="497">
        <v>73.039999999999992</v>
      </c>
      <c r="AV5719" s="42"/>
      <c r="AW5719" s="74"/>
      <c r="AX5719" s="77"/>
      <c r="BA5719" s="497">
        <v>80.06</v>
      </c>
      <c r="BB5719" s="42"/>
      <c r="BC5719" s="74"/>
      <c r="BD5719" s="77"/>
      <c r="BF5719">
        <v>77</v>
      </c>
      <c r="BH5719" s="42"/>
      <c r="BI5719" s="74"/>
      <c r="BJ5719" s="77"/>
      <c r="BL5719" s="497">
        <v>82.94</v>
      </c>
      <c r="BN5719" s="42"/>
      <c r="BO5719" s="74"/>
      <c r="BP5719" s="77"/>
      <c r="BR5719" s="497">
        <v>69.080000000000013</v>
      </c>
      <c r="BT5719" s="42"/>
    </row>
    <row r="5720" spans="1:72" x14ac:dyDescent="0.25">
      <c r="A5720" s="90">
        <v>34937</v>
      </c>
      <c r="B5720" s="20">
        <v>0.58333333333333337</v>
      </c>
      <c r="D5720">
        <v>84.92</v>
      </c>
      <c r="E5720" t="str">
        <f t="shared" si="214"/>
        <v>SATURDAY</v>
      </c>
      <c r="F5720" t="e">
        <f t="shared" si="213"/>
        <v>#N/A</v>
      </c>
      <c r="G5720" s="74">
        <v>32015</v>
      </c>
      <c r="H5720" s="77">
        <v>0.58333333333333337</v>
      </c>
      <c r="J5720">
        <v>78.080000000000013</v>
      </c>
      <c r="M5720" s="74">
        <v>34572</v>
      </c>
      <c r="N5720" s="77">
        <v>0.58333333333333337</v>
      </c>
      <c r="P5720">
        <v>83.84</v>
      </c>
      <c r="S5720" s="74">
        <v>34937</v>
      </c>
      <c r="T5720" s="77">
        <v>0.58333333333333337</v>
      </c>
      <c r="V5720">
        <v>78.080000000000013</v>
      </c>
      <c r="X5720" s="42"/>
      <c r="AB5720">
        <v>79.3</v>
      </c>
      <c r="AC5720">
        <v>78.98</v>
      </c>
      <c r="AE5720" s="74"/>
      <c r="AF5720" s="77"/>
      <c r="AH5720" s="497">
        <v>84.92</v>
      </c>
      <c r="AJ5720" s="42"/>
      <c r="AK5720" s="74"/>
      <c r="AL5720" s="77"/>
      <c r="AN5720" s="497">
        <v>75.92</v>
      </c>
      <c r="AP5720" s="42"/>
      <c r="AQ5720" s="74"/>
      <c r="AR5720" s="77"/>
      <c r="AT5720" s="497">
        <v>75.92</v>
      </c>
      <c r="AV5720" s="42"/>
      <c r="AW5720" s="74"/>
      <c r="AX5720" s="77"/>
      <c r="BA5720" s="497">
        <v>78.98</v>
      </c>
      <c r="BB5720" s="42"/>
      <c r="BC5720" s="74"/>
      <c r="BD5720" s="77"/>
      <c r="BF5720">
        <v>77</v>
      </c>
      <c r="BH5720" s="42"/>
      <c r="BI5720" s="74"/>
      <c r="BJ5720" s="77"/>
      <c r="BL5720" s="497">
        <v>80.960000000000008</v>
      </c>
      <c r="BN5720" s="42"/>
      <c r="BO5720" s="74"/>
      <c r="BP5720" s="77"/>
      <c r="BR5720" s="497">
        <v>73.039999999999992</v>
      </c>
      <c r="BT5720" s="42"/>
    </row>
    <row r="5721" spans="1:72" x14ac:dyDescent="0.25">
      <c r="A5721" s="90">
        <v>34937</v>
      </c>
      <c r="B5721" s="20">
        <v>0.625</v>
      </c>
      <c r="D5721">
        <v>84.92</v>
      </c>
      <c r="E5721" t="str">
        <f t="shared" si="214"/>
        <v>SATURDAY</v>
      </c>
      <c r="F5721" t="e">
        <f t="shared" si="213"/>
        <v>#N/A</v>
      </c>
      <c r="G5721" s="74">
        <v>32015</v>
      </c>
      <c r="H5721" s="77">
        <v>0.625</v>
      </c>
      <c r="J5721">
        <v>78.080000000000013</v>
      </c>
      <c r="M5721" s="74">
        <v>34572</v>
      </c>
      <c r="N5721" s="77">
        <v>0.625</v>
      </c>
      <c r="P5721">
        <v>82.94</v>
      </c>
      <c r="S5721" s="74">
        <v>34937</v>
      </c>
      <c r="T5721" s="77">
        <v>0.625</v>
      </c>
      <c r="V5721">
        <v>78.080000000000013</v>
      </c>
      <c r="X5721" s="42"/>
      <c r="AB5721">
        <v>79.400000000000006</v>
      </c>
      <c r="AC5721">
        <v>75.92</v>
      </c>
      <c r="AE5721" s="74"/>
      <c r="AF5721" s="77"/>
      <c r="AH5721" s="497">
        <v>86</v>
      </c>
      <c r="AJ5721" s="42"/>
      <c r="AK5721" s="74"/>
      <c r="AL5721" s="77"/>
      <c r="AN5721" s="497">
        <v>77</v>
      </c>
      <c r="AP5721" s="42"/>
      <c r="AQ5721" s="74"/>
      <c r="AR5721" s="77"/>
      <c r="AT5721" s="497">
        <v>80.06</v>
      </c>
      <c r="AV5721" s="42"/>
      <c r="AW5721" s="74"/>
      <c r="AX5721" s="77"/>
      <c r="BA5721" s="497">
        <v>80.06</v>
      </c>
      <c r="BB5721" s="42"/>
      <c r="BC5721" s="74"/>
      <c r="BD5721" s="77"/>
      <c r="BF5721">
        <v>80.960000000000008</v>
      </c>
      <c r="BH5721" s="42"/>
      <c r="BI5721" s="74"/>
      <c r="BJ5721" s="77"/>
      <c r="BL5721" s="497">
        <v>84.02</v>
      </c>
      <c r="BN5721" s="42"/>
      <c r="BO5721" s="74"/>
      <c r="BP5721" s="77"/>
      <c r="BR5721" s="497">
        <v>73.94</v>
      </c>
      <c r="BT5721" s="42"/>
    </row>
    <row r="5722" spans="1:72" x14ac:dyDescent="0.25">
      <c r="A5722" s="90">
        <v>34937</v>
      </c>
      <c r="B5722" s="20">
        <v>0.66666666666666663</v>
      </c>
      <c r="D5722">
        <v>86</v>
      </c>
      <c r="E5722" t="str">
        <f t="shared" si="214"/>
        <v>SATURDAY</v>
      </c>
      <c r="F5722" t="e">
        <f t="shared" si="213"/>
        <v>#N/A</v>
      </c>
      <c r="G5722" s="74">
        <v>32015</v>
      </c>
      <c r="H5722" s="77">
        <v>0.66666666666666663</v>
      </c>
      <c r="J5722">
        <v>77</v>
      </c>
      <c r="M5722" s="74">
        <v>34572</v>
      </c>
      <c r="N5722" s="77">
        <v>0.66666666666666663</v>
      </c>
      <c r="P5722">
        <v>79.88</v>
      </c>
      <c r="S5722" s="74">
        <v>34937</v>
      </c>
      <c r="T5722" s="77">
        <v>0.66666666666666663</v>
      </c>
      <c r="V5722">
        <v>77</v>
      </c>
      <c r="X5722" s="42"/>
      <c r="AB5722">
        <v>78.900000000000006</v>
      </c>
      <c r="AC5722">
        <v>75.02</v>
      </c>
      <c r="AE5722" s="74"/>
      <c r="AF5722" s="77"/>
      <c r="AH5722" s="497">
        <v>84.92</v>
      </c>
      <c r="AJ5722" s="42"/>
      <c r="AK5722" s="74"/>
      <c r="AL5722" s="77"/>
      <c r="AN5722" s="497">
        <v>78.080000000000013</v>
      </c>
      <c r="AP5722" s="42"/>
      <c r="AQ5722" s="74"/>
      <c r="AR5722" s="77"/>
      <c r="AT5722" s="497">
        <v>82.039999999999992</v>
      </c>
      <c r="AV5722" s="42"/>
      <c r="AW5722" s="74"/>
      <c r="AX5722" s="77"/>
      <c r="BA5722" s="497">
        <v>78.080000000000013</v>
      </c>
      <c r="BB5722" s="42"/>
      <c r="BC5722" s="74"/>
      <c r="BD5722" s="77"/>
      <c r="BF5722">
        <v>69.080000000000013</v>
      </c>
      <c r="BH5722" s="42"/>
      <c r="BI5722" s="74"/>
      <c r="BJ5722" s="77"/>
      <c r="BL5722" s="497">
        <v>82.94</v>
      </c>
      <c r="BN5722" s="42"/>
      <c r="BO5722" s="74"/>
      <c r="BP5722" s="77"/>
      <c r="BR5722" s="497">
        <v>73.039999999999992</v>
      </c>
      <c r="BT5722" s="42"/>
    </row>
    <row r="5723" spans="1:72" x14ac:dyDescent="0.25">
      <c r="A5723" s="90">
        <v>34937</v>
      </c>
      <c r="B5723" s="20">
        <v>0.70833333333333337</v>
      </c>
      <c r="D5723">
        <v>84.92</v>
      </c>
      <c r="E5723" t="str">
        <f t="shared" si="214"/>
        <v>SATURDAY</v>
      </c>
      <c r="F5723" t="e">
        <f t="shared" si="213"/>
        <v>#N/A</v>
      </c>
      <c r="G5723" s="74">
        <v>32015</v>
      </c>
      <c r="H5723" s="77">
        <v>0.70833333333333337</v>
      </c>
      <c r="J5723">
        <v>75.02</v>
      </c>
      <c r="M5723" s="74">
        <v>34572</v>
      </c>
      <c r="N5723" s="77">
        <v>0.70833333333333337</v>
      </c>
      <c r="P5723">
        <v>78.98</v>
      </c>
      <c r="S5723" s="74">
        <v>34937</v>
      </c>
      <c r="T5723" s="77">
        <v>0.70833333333333337</v>
      </c>
      <c r="V5723">
        <v>75.92</v>
      </c>
      <c r="X5723" s="42"/>
      <c r="AB5723">
        <v>78.099999999999994</v>
      </c>
      <c r="AC5723">
        <v>73.94</v>
      </c>
      <c r="AE5723" s="74"/>
      <c r="AF5723" s="77"/>
      <c r="AH5723" s="497">
        <v>83.84</v>
      </c>
      <c r="AJ5723" s="42"/>
      <c r="AK5723" s="74"/>
      <c r="AL5723" s="77"/>
      <c r="AN5723" s="497">
        <v>75.02</v>
      </c>
      <c r="AP5723" s="42"/>
      <c r="AQ5723" s="74"/>
      <c r="AR5723" s="77"/>
      <c r="AT5723" s="497">
        <v>82.039999999999992</v>
      </c>
      <c r="AV5723" s="42"/>
      <c r="AW5723" s="74"/>
      <c r="AX5723" s="77"/>
      <c r="BA5723" s="497">
        <v>77</v>
      </c>
      <c r="BB5723" s="42"/>
      <c r="BC5723" s="74"/>
      <c r="BD5723" s="77"/>
      <c r="BF5723">
        <v>73.94</v>
      </c>
      <c r="BH5723" s="42"/>
      <c r="BI5723" s="74"/>
      <c r="BJ5723" s="77"/>
      <c r="BL5723" s="497">
        <v>80.960000000000008</v>
      </c>
      <c r="BN5723" s="42"/>
      <c r="BO5723" s="74"/>
      <c r="BP5723" s="77"/>
      <c r="BR5723" s="497">
        <v>71.960000000000008</v>
      </c>
      <c r="BT5723" s="42"/>
    </row>
    <row r="5724" spans="1:72" x14ac:dyDescent="0.25">
      <c r="A5724" s="90">
        <v>34937</v>
      </c>
      <c r="B5724" s="20">
        <v>0.75</v>
      </c>
      <c r="D5724">
        <v>75.2</v>
      </c>
      <c r="E5724" t="str">
        <f t="shared" si="214"/>
        <v>SATURDAY</v>
      </c>
      <c r="F5724" t="e">
        <f t="shared" si="213"/>
        <v>#N/A</v>
      </c>
      <c r="G5724" s="74">
        <v>32015</v>
      </c>
      <c r="H5724" s="77">
        <v>0.75</v>
      </c>
      <c r="J5724">
        <v>73.94</v>
      </c>
      <c r="M5724" s="74">
        <v>34572</v>
      </c>
      <c r="N5724" s="77">
        <v>0.75</v>
      </c>
      <c r="P5724">
        <v>74.84</v>
      </c>
      <c r="S5724" s="74">
        <v>34937</v>
      </c>
      <c r="T5724" s="77">
        <v>0.75</v>
      </c>
      <c r="V5724">
        <v>75.02</v>
      </c>
      <c r="X5724" s="42"/>
      <c r="AB5724">
        <v>77</v>
      </c>
      <c r="AC5724">
        <v>73.94</v>
      </c>
      <c r="AE5724" s="74"/>
      <c r="AF5724" s="77"/>
      <c r="AH5724" s="497">
        <v>80.960000000000008</v>
      </c>
      <c r="AJ5724" s="42"/>
      <c r="AK5724" s="74"/>
      <c r="AL5724" s="77"/>
      <c r="AN5724" s="497">
        <v>73.94</v>
      </c>
      <c r="AP5724" s="42"/>
      <c r="AQ5724" s="74"/>
      <c r="AR5724" s="77"/>
      <c r="AT5724" s="497">
        <v>80.06</v>
      </c>
      <c r="AV5724" s="42"/>
      <c r="AW5724" s="74"/>
      <c r="AX5724" s="77"/>
      <c r="BA5724" s="497">
        <v>75.92</v>
      </c>
      <c r="BB5724" s="42"/>
      <c r="BC5724" s="74"/>
      <c r="BD5724" s="77"/>
      <c r="BF5724">
        <v>73.039999999999992</v>
      </c>
      <c r="BH5724" s="42"/>
      <c r="BI5724" s="74"/>
      <c r="BJ5724" s="77"/>
      <c r="BL5724" s="497">
        <v>80.06</v>
      </c>
      <c r="BN5724" s="42"/>
      <c r="BO5724" s="74"/>
      <c r="BP5724" s="77"/>
      <c r="BR5724" s="497">
        <v>69.98</v>
      </c>
      <c r="BT5724" s="42"/>
    </row>
    <row r="5725" spans="1:72" x14ac:dyDescent="0.25">
      <c r="A5725" s="90">
        <v>34937</v>
      </c>
      <c r="B5725" s="20">
        <v>0.79166666666666663</v>
      </c>
      <c r="D5725">
        <v>78.98</v>
      </c>
      <c r="E5725" t="str">
        <f t="shared" si="214"/>
        <v>SATURDAY</v>
      </c>
      <c r="F5725" t="e">
        <f t="shared" si="213"/>
        <v>#N/A</v>
      </c>
      <c r="G5725" s="74">
        <v>32015</v>
      </c>
      <c r="H5725" s="77">
        <v>0.79166666666666663</v>
      </c>
      <c r="J5725">
        <v>73.039999999999992</v>
      </c>
      <c r="M5725" s="74">
        <v>34572</v>
      </c>
      <c r="N5725" s="77">
        <v>0.79166666666666663</v>
      </c>
      <c r="P5725">
        <v>72.86</v>
      </c>
      <c r="S5725" s="74">
        <v>34937</v>
      </c>
      <c r="T5725" s="77">
        <v>0.79166666666666663</v>
      </c>
      <c r="V5725">
        <v>73.94</v>
      </c>
      <c r="X5725" s="42"/>
      <c r="AB5725">
        <v>75.5</v>
      </c>
      <c r="AC5725">
        <v>71.960000000000008</v>
      </c>
      <c r="AE5725" s="74"/>
      <c r="AF5725" s="77"/>
      <c r="AH5725" s="497">
        <v>77</v>
      </c>
      <c r="AJ5725" s="42"/>
      <c r="AK5725" s="74"/>
      <c r="AL5725" s="77"/>
      <c r="AN5725" s="497">
        <v>71.960000000000008</v>
      </c>
      <c r="AP5725" s="42"/>
      <c r="AQ5725" s="74"/>
      <c r="AR5725" s="77"/>
      <c r="AT5725" s="497">
        <v>75.92</v>
      </c>
      <c r="AV5725" s="42"/>
      <c r="AW5725" s="74"/>
      <c r="AX5725" s="77"/>
      <c r="BA5725" s="497">
        <v>73.94</v>
      </c>
      <c r="BB5725" s="42"/>
      <c r="BC5725" s="74"/>
      <c r="BD5725" s="77"/>
      <c r="BF5725">
        <v>71.960000000000008</v>
      </c>
      <c r="BH5725" s="42"/>
      <c r="BI5725" s="74"/>
      <c r="BJ5725" s="77"/>
      <c r="BL5725" s="497">
        <v>77</v>
      </c>
      <c r="BN5725" s="42"/>
      <c r="BO5725" s="74"/>
      <c r="BP5725" s="77"/>
      <c r="BR5725" s="497">
        <v>66.02</v>
      </c>
      <c r="BT5725" s="42"/>
    </row>
    <row r="5726" spans="1:72" x14ac:dyDescent="0.25">
      <c r="A5726" s="90">
        <v>34937</v>
      </c>
      <c r="B5726" s="20">
        <v>0.83333333333333337</v>
      </c>
      <c r="D5726">
        <v>80.06</v>
      </c>
      <c r="E5726" t="str">
        <f t="shared" si="214"/>
        <v>SATURDAY</v>
      </c>
      <c r="F5726" t="e">
        <f t="shared" si="213"/>
        <v>#N/A</v>
      </c>
      <c r="G5726" s="74">
        <v>32015</v>
      </c>
      <c r="H5726" s="77">
        <v>0.83333333333333337</v>
      </c>
      <c r="J5726">
        <v>73.039999999999992</v>
      </c>
      <c r="M5726" s="74">
        <v>34572</v>
      </c>
      <c r="N5726" s="77">
        <v>0.83333333333333337</v>
      </c>
      <c r="P5726">
        <v>71.960000000000008</v>
      </c>
      <c r="S5726" s="74">
        <v>34937</v>
      </c>
      <c r="T5726" s="77">
        <v>0.83333333333333337</v>
      </c>
      <c r="V5726">
        <v>73.94</v>
      </c>
      <c r="X5726" s="42"/>
      <c r="AB5726">
        <v>74.099999999999994</v>
      </c>
      <c r="AC5726">
        <v>71.06</v>
      </c>
      <c r="AE5726" s="74"/>
      <c r="AF5726" s="77"/>
      <c r="AH5726" s="497">
        <v>73.94</v>
      </c>
      <c r="AJ5726" s="42"/>
      <c r="AK5726" s="74"/>
      <c r="AL5726" s="77"/>
      <c r="AN5726" s="497">
        <v>71.06</v>
      </c>
      <c r="AP5726" s="42"/>
      <c r="AQ5726" s="74"/>
      <c r="AR5726" s="77"/>
      <c r="AT5726" s="497">
        <v>71.960000000000008</v>
      </c>
      <c r="AV5726" s="42"/>
      <c r="AW5726" s="74"/>
      <c r="AX5726" s="77"/>
      <c r="BA5726" s="497">
        <v>71.06</v>
      </c>
      <c r="BB5726" s="42"/>
      <c r="BC5726" s="74"/>
      <c r="BD5726" s="77"/>
      <c r="BF5726">
        <v>71.06</v>
      </c>
      <c r="BH5726" s="42"/>
      <c r="BI5726" s="74"/>
      <c r="BJ5726" s="77"/>
      <c r="BL5726" s="497">
        <v>75.02</v>
      </c>
      <c r="BN5726" s="42"/>
      <c r="BO5726" s="74"/>
      <c r="BP5726" s="77"/>
      <c r="BR5726" s="497">
        <v>62.06</v>
      </c>
      <c r="BT5726" s="42"/>
    </row>
    <row r="5727" spans="1:72" x14ac:dyDescent="0.25">
      <c r="A5727" s="90">
        <v>34937</v>
      </c>
      <c r="B5727" s="20">
        <v>0.875</v>
      </c>
      <c r="D5727">
        <v>80.06</v>
      </c>
      <c r="E5727" t="str">
        <f t="shared" si="214"/>
        <v>SATURDAY</v>
      </c>
      <c r="F5727" t="e">
        <f t="shared" si="213"/>
        <v>#N/A</v>
      </c>
      <c r="G5727" s="74">
        <v>32015</v>
      </c>
      <c r="H5727" s="77">
        <v>0.875</v>
      </c>
      <c r="J5727">
        <v>73.94</v>
      </c>
      <c r="M5727" s="74">
        <v>34572</v>
      </c>
      <c r="N5727" s="77">
        <v>0.875</v>
      </c>
      <c r="P5727">
        <v>69.98</v>
      </c>
      <c r="S5727" s="74">
        <v>34937</v>
      </c>
      <c r="T5727" s="77">
        <v>0.875</v>
      </c>
      <c r="V5727">
        <v>73.039999999999992</v>
      </c>
      <c r="X5727" s="42"/>
      <c r="AB5727">
        <v>73.3</v>
      </c>
      <c r="AC5727">
        <v>69.98</v>
      </c>
      <c r="AE5727" s="74"/>
      <c r="AF5727" s="77"/>
      <c r="AH5727" s="497">
        <v>71.960000000000008</v>
      </c>
      <c r="AJ5727" s="42"/>
      <c r="AK5727" s="74"/>
      <c r="AL5727" s="77"/>
      <c r="AN5727" s="497">
        <v>69.080000000000013</v>
      </c>
      <c r="AP5727" s="42"/>
      <c r="AQ5727" s="74"/>
      <c r="AR5727" s="77"/>
      <c r="AT5727" s="497">
        <v>69.98</v>
      </c>
      <c r="AV5727" s="42"/>
      <c r="AW5727" s="74"/>
      <c r="AX5727" s="77"/>
      <c r="BA5727" s="497">
        <v>69.98</v>
      </c>
      <c r="BB5727" s="42"/>
      <c r="BC5727" s="74"/>
      <c r="BD5727" s="77"/>
      <c r="BF5727">
        <v>71.06</v>
      </c>
      <c r="BH5727" s="42"/>
      <c r="BI5727" s="74"/>
      <c r="BJ5727" s="77"/>
      <c r="BL5727" s="497">
        <v>73.94</v>
      </c>
      <c r="BN5727" s="42"/>
      <c r="BO5727" s="74"/>
      <c r="BP5727" s="77"/>
      <c r="BR5727" s="497">
        <v>60.08</v>
      </c>
      <c r="BT5727" s="42"/>
    </row>
    <row r="5728" spans="1:72" x14ac:dyDescent="0.25">
      <c r="A5728" s="90">
        <v>34937</v>
      </c>
      <c r="B5728" s="20">
        <v>0.91666666666666663</v>
      </c>
      <c r="D5728">
        <v>80.06</v>
      </c>
      <c r="E5728" t="str">
        <f t="shared" si="214"/>
        <v>SATURDAY</v>
      </c>
      <c r="F5728" t="e">
        <f t="shared" si="213"/>
        <v>#N/A</v>
      </c>
      <c r="G5728" s="74">
        <v>32015</v>
      </c>
      <c r="H5728" s="77">
        <v>0.91666666666666663</v>
      </c>
      <c r="J5728">
        <v>71.960000000000008</v>
      </c>
      <c r="M5728" s="74">
        <v>34572</v>
      </c>
      <c r="N5728" s="77">
        <v>0.91666666666666663</v>
      </c>
      <c r="P5728">
        <v>68.900000000000006</v>
      </c>
      <c r="S5728" s="74">
        <v>34937</v>
      </c>
      <c r="T5728" s="77">
        <v>0.91666666666666663</v>
      </c>
      <c r="V5728">
        <v>71.960000000000008</v>
      </c>
      <c r="X5728" s="42"/>
      <c r="AB5728">
        <v>72.7</v>
      </c>
      <c r="AC5728">
        <v>71.06</v>
      </c>
      <c r="AE5728" s="74"/>
      <c r="AF5728" s="77"/>
      <c r="AH5728" s="497">
        <v>70.52</v>
      </c>
      <c r="AJ5728" s="42"/>
      <c r="AK5728" s="74"/>
      <c r="AL5728" s="77"/>
      <c r="AN5728" s="497">
        <v>69.080000000000013</v>
      </c>
      <c r="AP5728" s="42"/>
      <c r="AQ5728" s="74"/>
      <c r="AR5728" s="77"/>
      <c r="AT5728" s="497">
        <v>69.080000000000013</v>
      </c>
      <c r="AV5728" s="42"/>
      <c r="AW5728" s="74"/>
      <c r="AX5728" s="77"/>
      <c r="BA5728" s="497">
        <v>71.06</v>
      </c>
      <c r="BB5728" s="42"/>
      <c r="BC5728" s="74"/>
      <c r="BD5728" s="77"/>
      <c r="BF5728">
        <v>71.06</v>
      </c>
      <c r="BH5728" s="42"/>
      <c r="BI5728" s="74"/>
      <c r="BJ5728" s="77"/>
      <c r="BL5728" s="497">
        <v>71.960000000000008</v>
      </c>
      <c r="BN5728" s="42"/>
      <c r="BO5728" s="74"/>
      <c r="BP5728" s="77"/>
      <c r="BR5728" s="497">
        <v>57.019999999999996</v>
      </c>
      <c r="BT5728" s="42"/>
    </row>
    <row r="5729" spans="1:72" x14ac:dyDescent="0.25">
      <c r="A5729" s="90">
        <v>34937</v>
      </c>
      <c r="B5729" s="20">
        <v>0.95833333333333337</v>
      </c>
      <c r="D5729">
        <v>80.06</v>
      </c>
      <c r="E5729" t="str">
        <f t="shared" si="214"/>
        <v>SATURDAY</v>
      </c>
      <c r="F5729" t="e">
        <f t="shared" si="213"/>
        <v>#N/A</v>
      </c>
      <c r="G5729" s="74">
        <v>32015</v>
      </c>
      <c r="H5729" s="77">
        <v>0.95833333333333337</v>
      </c>
      <c r="J5729">
        <v>71.06</v>
      </c>
      <c r="M5729" s="74">
        <v>34572</v>
      </c>
      <c r="N5729" s="77">
        <v>0.95833333333333337</v>
      </c>
      <c r="P5729">
        <v>68</v>
      </c>
      <c r="S5729" s="74">
        <v>34937</v>
      </c>
      <c r="T5729" s="77">
        <v>0.95833333333333337</v>
      </c>
      <c r="V5729">
        <v>71.960000000000008</v>
      </c>
      <c r="X5729" s="42"/>
      <c r="AB5729">
        <v>72</v>
      </c>
      <c r="AC5729">
        <v>71.06</v>
      </c>
      <c r="AE5729" s="74"/>
      <c r="AF5729" s="77"/>
      <c r="AH5729" s="497">
        <v>69.44</v>
      </c>
      <c r="AJ5729" s="42"/>
      <c r="AK5729" s="74"/>
      <c r="AL5729" s="77"/>
      <c r="AN5729" s="497">
        <v>66.02</v>
      </c>
      <c r="AP5729" s="42"/>
      <c r="AQ5729" s="74"/>
      <c r="AR5729" s="77"/>
      <c r="AT5729" s="497">
        <v>73.94</v>
      </c>
      <c r="AV5729" s="42"/>
      <c r="AW5729" s="74"/>
      <c r="AX5729" s="77"/>
      <c r="BA5729" s="497">
        <v>69.98</v>
      </c>
      <c r="BB5729" s="42"/>
      <c r="BC5729" s="74"/>
      <c r="BD5729" s="77"/>
      <c r="BF5729">
        <v>71.06</v>
      </c>
      <c r="BH5729" s="42"/>
      <c r="BI5729" s="74"/>
      <c r="BJ5729" s="77"/>
      <c r="BL5729" s="497">
        <v>71.06</v>
      </c>
      <c r="BN5729" s="42"/>
      <c r="BO5729" s="74"/>
      <c r="BP5729" s="77"/>
      <c r="BR5729" s="497">
        <v>53.96</v>
      </c>
      <c r="BT5729" s="42"/>
    </row>
    <row r="5730" spans="1:72" x14ac:dyDescent="0.25">
      <c r="A5730" s="90">
        <v>34937</v>
      </c>
      <c r="B5730" s="20">
        <v>1</v>
      </c>
      <c r="D5730">
        <v>78.080000000000013</v>
      </c>
      <c r="E5730" t="str">
        <f t="shared" si="214"/>
        <v>SATURDAY</v>
      </c>
      <c r="F5730" t="e">
        <f t="shared" si="213"/>
        <v>#N/A</v>
      </c>
      <c r="G5730" s="74">
        <v>32015</v>
      </c>
      <c r="H5730" s="77">
        <v>1</v>
      </c>
      <c r="J5730">
        <v>71.06</v>
      </c>
      <c r="M5730" s="74">
        <v>34572</v>
      </c>
      <c r="N5730" s="80">
        <v>1</v>
      </c>
      <c r="P5730">
        <v>67.28</v>
      </c>
      <c r="S5730" s="74">
        <v>34937</v>
      </c>
      <c r="T5730" s="80">
        <v>1</v>
      </c>
      <c r="V5730">
        <v>71.960000000000008</v>
      </c>
      <c r="X5730" s="42"/>
      <c r="AB5730">
        <v>71.400000000000006</v>
      </c>
      <c r="AC5730">
        <v>71.06</v>
      </c>
      <c r="AE5730" s="74"/>
      <c r="AF5730" s="80"/>
      <c r="AH5730" s="497">
        <v>68.36</v>
      </c>
      <c r="AJ5730" s="42"/>
      <c r="AK5730" s="74"/>
      <c r="AL5730" s="80"/>
      <c r="AN5730" s="497">
        <v>64.94</v>
      </c>
      <c r="AP5730" s="42"/>
      <c r="AQ5730" s="74"/>
      <c r="AR5730" s="80"/>
      <c r="AT5730" s="497">
        <v>73.94</v>
      </c>
      <c r="AV5730" s="42"/>
      <c r="AW5730" s="74"/>
      <c r="AX5730" s="80"/>
      <c r="BA5730" s="497">
        <v>68</v>
      </c>
      <c r="BB5730" s="42"/>
      <c r="BC5730" s="74"/>
      <c r="BD5730" s="80"/>
      <c r="BF5730">
        <v>69.98</v>
      </c>
      <c r="BH5730" s="42"/>
      <c r="BI5730" s="74"/>
      <c r="BJ5730" s="80"/>
      <c r="BL5730" s="497">
        <v>71.06</v>
      </c>
      <c r="BN5730" s="42"/>
      <c r="BO5730" s="74"/>
      <c r="BP5730" s="80"/>
      <c r="BR5730" s="497">
        <v>50</v>
      </c>
      <c r="BT5730" s="42"/>
    </row>
    <row r="5731" spans="1:72" x14ac:dyDescent="0.25">
      <c r="A5731" s="90">
        <v>34938</v>
      </c>
      <c r="B5731" s="20">
        <v>4.1666666666666664E-2</v>
      </c>
      <c r="D5731">
        <v>78.98</v>
      </c>
      <c r="E5731" t="str">
        <f t="shared" si="214"/>
        <v>SUNDAY</v>
      </c>
      <c r="F5731" t="e">
        <f t="shared" si="213"/>
        <v>#N/A</v>
      </c>
      <c r="G5731" s="74">
        <v>32016</v>
      </c>
      <c r="H5731" s="77">
        <v>4.1666666666666664E-2</v>
      </c>
      <c r="J5731">
        <v>71.06</v>
      </c>
      <c r="M5731" s="74">
        <v>34573</v>
      </c>
      <c r="N5731" s="77">
        <v>4.1666666666666664E-2</v>
      </c>
      <c r="P5731">
        <v>66.92</v>
      </c>
      <c r="S5731" s="74">
        <v>34938</v>
      </c>
      <c r="T5731" s="77">
        <v>4.1666666666666664E-2</v>
      </c>
      <c r="V5731">
        <v>71.960000000000008</v>
      </c>
      <c r="X5731" s="42"/>
      <c r="AB5731">
        <v>70.8</v>
      </c>
      <c r="AC5731">
        <v>68</v>
      </c>
      <c r="AE5731" s="74"/>
      <c r="AF5731" s="77"/>
      <c r="AH5731" s="497">
        <v>67.819999999999993</v>
      </c>
      <c r="AJ5731" s="42"/>
      <c r="AK5731" s="74"/>
      <c r="AL5731" s="77"/>
      <c r="AN5731" s="497">
        <v>64.039999999999992</v>
      </c>
      <c r="AP5731" s="42"/>
      <c r="AQ5731" s="74"/>
      <c r="AR5731" s="77"/>
      <c r="AT5731" s="497">
        <v>73.039999999999992</v>
      </c>
      <c r="AV5731" s="42"/>
      <c r="AW5731" s="74"/>
      <c r="AX5731" s="77"/>
      <c r="BA5731" s="497">
        <v>68</v>
      </c>
      <c r="BB5731" s="42"/>
      <c r="BC5731" s="74"/>
      <c r="BD5731" s="77"/>
      <c r="BF5731">
        <v>69.080000000000013</v>
      </c>
      <c r="BH5731" s="42"/>
      <c r="BI5731" s="74"/>
      <c r="BJ5731" s="77"/>
      <c r="BL5731" s="497">
        <v>71.06</v>
      </c>
      <c r="BN5731" s="42"/>
      <c r="BO5731" s="74"/>
      <c r="BP5731" s="77"/>
      <c r="BR5731" s="497">
        <v>48.92</v>
      </c>
      <c r="BT5731" s="42"/>
    </row>
    <row r="5732" spans="1:72" x14ac:dyDescent="0.25">
      <c r="A5732" s="90">
        <v>34938</v>
      </c>
      <c r="B5732" s="20">
        <v>8.3333333333333329E-2</v>
      </c>
      <c r="D5732">
        <v>77</v>
      </c>
      <c r="E5732" t="str">
        <f t="shared" si="214"/>
        <v>SUNDAY</v>
      </c>
      <c r="F5732" t="e">
        <f t="shared" si="213"/>
        <v>#N/A</v>
      </c>
      <c r="G5732" s="74">
        <v>32016</v>
      </c>
      <c r="H5732" s="77">
        <v>8.3333333333333329E-2</v>
      </c>
      <c r="J5732">
        <v>71.06</v>
      </c>
      <c r="M5732" s="74">
        <v>34573</v>
      </c>
      <c r="N5732" s="77">
        <v>8.3333333333333329E-2</v>
      </c>
      <c r="P5732">
        <v>68</v>
      </c>
      <c r="S5732" s="74">
        <v>34938</v>
      </c>
      <c r="T5732" s="77">
        <v>8.3333333333333329E-2</v>
      </c>
      <c r="V5732">
        <v>71.960000000000008</v>
      </c>
      <c r="X5732" s="42"/>
      <c r="AB5732">
        <v>70.099999999999994</v>
      </c>
      <c r="AC5732">
        <v>66.92</v>
      </c>
      <c r="AE5732" s="74"/>
      <c r="AF5732" s="77"/>
      <c r="AH5732" s="497">
        <v>66.92</v>
      </c>
      <c r="AJ5732" s="42"/>
      <c r="AK5732" s="74"/>
      <c r="AL5732" s="77"/>
      <c r="AN5732" s="497">
        <v>62.96</v>
      </c>
      <c r="AP5732" s="42"/>
      <c r="AQ5732" s="74"/>
      <c r="AR5732" s="77"/>
      <c r="AT5732" s="497">
        <v>73.039999999999992</v>
      </c>
      <c r="AV5732" s="42"/>
      <c r="AW5732" s="74"/>
      <c r="AX5732" s="77"/>
      <c r="BA5732" s="497">
        <v>66.02</v>
      </c>
      <c r="BB5732" s="42"/>
      <c r="BC5732" s="74"/>
      <c r="BD5732" s="77"/>
      <c r="BF5732">
        <v>69.080000000000013</v>
      </c>
      <c r="BH5732" s="42"/>
      <c r="BI5732" s="74"/>
      <c r="BJ5732" s="77"/>
      <c r="BL5732" s="497">
        <v>71.06</v>
      </c>
      <c r="BN5732" s="42"/>
      <c r="BO5732" s="74"/>
      <c r="BP5732" s="77"/>
      <c r="BR5732" s="497">
        <v>48.92</v>
      </c>
      <c r="BT5732" s="42"/>
    </row>
    <row r="5733" spans="1:72" x14ac:dyDescent="0.25">
      <c r="A5733" s="90">
        <v>34938</v>
      </c>
      <c r="B5733" s="20">
        <v>0.125</v>
      </c>
      <c r="D5733">
        <v>75.92</v>
      </c>
      <c r="E5733" t="str">
        <f t="shared" si="214"/>
        <v>SUNDAY</v>
      </c>
      <c r="F5733" t="e">
        <f t="shared" si="213"/>
        <v>#N/A</v>
      </c>
      <c r="G5733" s="74">
        <v>32016</v>
      </c>
      <c r="H5733" s="77">
        <v>0.125</v>
      </c>
      <c r="J5733">
        <v>69.080000000000013</v>
      </c>
      <c r="M5733" s="74">
        <v>34573</v>
      </c>
      <c r="N5733" s="77">
        <v>0.125</v>
      </c>
      <c r="P5733">
        <v>66.740000000000009</v>
      </c>
      <c r="S5733" s="74">
        <v>34938</v>
      </c>
      <c r="T5733" s="77">
        <v>0.125</v>
      </c>
      <c r="V5733">
        <v>71.06</v>
      </c>
      <c r="X5733" s="42"/>
      <c r="AB5733">
        <v>69.599999999999994</v>
      </c>
      <c r="AC5733">
        <v>64.94</v>
      </c>
      <c r="AE5733" s="74"/>
      <c r="AF5733" s="77"/>
      <c r="AH5733" s="497">
        <v>65.84</v>
      </c>
      <c r="AJ5733" s="42"/>
      <c r="AK5733" s="74"/>
      <c r="AL5733" s="77"/>
      <c r="AN5733" s="497">
        <v>62.96</v>
      </c>
      <c r="AP5733" s="42"/>
      <c r="AQ5733" s="74"/>
      <c r="AR5733" s="77"/>
      <c r="AT5733" s="497">
        <v>71.960000000000008</v>
      </c>
      <c r="AV5733" s="42"/>
      <c r="AW5733" s="74"/>
      <c r="AX5733" s="77"/>
      <c r="BA5733" s="497">
        <v>64.039999999999992</v>
      </c>
      <c r="BB5733" s="42"/>
      <c r="BC5733" s="74"/>
      <c r="BD5733" s="77"/>
      <c r="BF5733">
        <v>66.02</v>
      </c>
      <c r="BH5733" s="42"/>
      <c r="BI5733" s="74"/>
      <c r="BJ5733" s="77"/>
      <c r="BL5733" s="497">
        <v>71.06</v>
      </c>
      <c r="BN5733" s="42"/>
      <c r="BO5733" s="74"/>
      <c r="BP5733" s="77"/>
      <c r="BR5733" s="497">
        <v>48.019999999999996</v>
      </c>
      <c r="BT5733" s="42"/>
    </row>
    <row r="5734" spans="1:72" x14ac:dyDescent="0.25">
      <c r="A5734" s="90">
        <v>34938</v>
      </c>
      <c r="B5734" s="20">
        <v>0.16666666666666666</v>
      </c>
      <c r="D5734">
        <v>75.92</v>
      </c>
      <c r="E5734" t="str">
        <f t="shared" si="214"/>
        <v>SUNDAY</v>
      </c>
      <c r="F5734" t="e">
        <f t="shared" si="213"/>
        <v>#N/A</v>
      </c>
      <c r="G5734" s="74">
        <v>32016</v>
      </c>
      <c r="H5734" s="77">
        <v>0.16666666666666666</v>
      </c>
      <c r="J5734">
        <v>68</v>
      </c>
      <c r="M5734" s="74">
        <v>34573</v>
      </c>
      <c r="N5734" s="77">
        <v>0.16666666666666666</v>
      </c>
      <c r="P5734">
        <v>64.94</v>
      </c>
      <c r="S5734" s="74">
        <v>34938</v>
      </c>
      <c r="T5734" s="77">
        <v>0.16666666666666666</v>
      </c>
      <c r="V5734">
        <v>71.06</v>
      </c>
      <c r="X5734" s="42"/>
      <c r="AB5734">
        <v>69</v>
      </c>
      <c r="AC5734">
        <v>66.02</v>
      </c>
      <c r="AE5734" s="74"/>
      <c r="AF5734" s="77"/>
      <c r="AH5734" s="497">
        <v>66.92</v>
      </c>
      <c r="AJ5734" s="42"/>
      <c r="AK5734" s="74"/>
      <c r="AL5734" s="77"/>
      <c r="AN5734" s="497">
        <v>62.06</v>
      </c>
      <c r="AP5734" s="42"/>
      <c r="AQ5734" s="74"/>
      <c r="AR5734" s="77"/>
      <c r="AT5734" s="497">
        <v>71.960000000000008</v>
      </c>
      <c r="AV5734" s="42"/>
      <c r="AW5734" s="74"/>
      <c r="AX5734" s="77"/>
      <c r="BA5734" s="497">
        <v>62.96</v>
      </c>
      <c r="BB5734" s="42"/>
      <c r="BC5734" s="74"/>
      <c r="BD5734" s="77"/>
      <c r="BF5734">
        <v>64.94</v>
      </c>
      <c r="BH5734" s="42"/>
      <c r="BI5734" s="74"/>
      <c r="BJ5734" s="77"/>
      <c r="BL5734" s="497">
        <v>69.98</v>
      </c>
      <c r="BN5734" s="42"/>
      <c r="BO5734" s="74"/>
      <c r="BP5734" s="77"/>
      <c r="BR5734" s="497">
        <v>44.96</v>
      </c>
      <c r="BT5734" s="42"/>
    </row>
    <row r="5735" spans="1:72" x14ac:dyDescent="0.25">
      <c r="A5735" s="90">
        <v>34938</v>
      </c>
      <c r="B5735" s="20">
        <v>0.20833333333333334</v>
      </c>
      <c r="D5735">
        <v>75.02</v>
      </c>
      <c r="E5735" t="str">
        <f t="shared" si="214"/>
        <v>SUNDAY</v>
      </c>
      <c r="F5735" t="e">
        <f t="shared" si="213"/>
        <v>#N/A</v>
      </c>
      <c r="G5735" s="74">
        <v>32016</v>
      </c>
      <c r="H5735" s="77">
        <v>0.20833333333333334</v>
      </c>
      <c r="J5735">
        <v>64.94</v>
      </c>
      <c r="M5735" s="74">
        <v>34573</v>
      </c>
      <c r="N5735" s="77">
        <v>0.20833333333333334</v>
      </c>
      <c r="P5735">
        <v>63.86</v>
      </c>
      <c r="S5735" s="74">
        <v>34938</v>
      </c>
      <c r="T5735" s="77">
        <v>0.20833333333333334</v>
      </c>
      <c r="V5735">
        <v>71.06</v>
      </c>
      <c r="X5735" s="42"/>
      <c r="AB5735">
        <v>68.599999999999994</v>
      </c>
      <c r="AC5735">
        <v>66.92</v>
      </c>
      <c r="AE5735" s="74"/>
      <c r="AF5735" s="77"/>
      <c r="AH5735" s="497">
        <v>68</v>
      </c>
      <c r="AJ5735" s="42"/>
      <c r="AK5735" s="74"/>
      <c r="AL5735" s="77"/>
      <c r="AN5735" s="497">
        <v>62.06</v>
      </c>
      <c r="AP5735" s="42"/>
      <c r="AQ5735" s="74"/>
      <c r="AR5735" s="77"/>
      <c r="AT5735" s="497">
        <v>71.06</v>
      </c>
      <c r="AV5735" s="42"/>
      <c r="AW5735" s="74"/>
      <c r="AX5735" s="77"/>
      <c r="BA5735" s="497">
        <v>64.039999999999992</v>
      </c>
      <c r="BB5735" s="42"/>
      <c r="BC5735" s="74"/>
      <c r="BD5735" s="77"/>
      <c r="BF5735">
        <v>64.039999999999992</v>
      </c>
      <c r="BH5735" s="42"/>
      <c r="BI5735" s="74"/>
      <c r="BJ5735" s="77"/>
      <c r="BL5735" s="497">
        <v>69.98</v>
      </c>
      <c r="BN5735" s="42"/>
      <c r="BO5735" s="74"/>
      <c r="BP5735" s="77"/>
      <c r="BR5735" s="497">
        <v>44.06</v>
      </c>
      <c r="BT5735" s="42"/>
    </row>
    <row r="5736" spans="1:72" x14ac:dyDescent="0.25">
      <c r="A5736" s="90">
        <v>34938</v>
      </c>
      <c r="B5736" s="20">
        <v>0.25</v>
      </c>
      <c r="D5736">
        <v>73.94</v>
      </c>
      <c r="E5736" t="str">
        <f t="shared" si="214"/>
        <v>SUNDAY</v>
      </c>
      <c r="F5736" t="e">
        <f t="shared" si="213"/>
        <v>#N/A</v>
      </c>
      <c r="G5736" s="74">
        <v>32016</v>
      </c>
      <c r="H5736" s="77">
        <v>0.25</v>
      </c>
      <c r="J5736">
        <v>62.06</v>
      </c>
      <c r="M5736" s="74">
        <v>34573</v>
      </c>
      <c r="N5736" s="77">
        <v>0.25</v>
      </c>
      <c r="P5736">
        <v>65.84</v>
      </c>
      <c r="S5736" s="74">
        <v>34938</v>
      </c>
      <c r="T5736" s="77">
        <v>0.25</v>
      </c>
      <c r="V5736">
        <v>71.06</v>
      </c>
      <c r="X5736" s="42"/>
      <c r="AB5736">
        <v>68.3</v>
      </c>
      <c r="AC5736">
        <v>66.92</v>
      </c>
      <c r="AE5736" s="74"/>
      <c r="AF5736" s="77"/>
      <c r="AH5736" s="497">
        <v>66.92</v>
      </c>
      <c r="AJ5736" s="42"/>
      <c r="AK5736" s="74"/>
      <c r="AL5736" s="77"/>
      <c r="AN5736" s="497">
        <v>62.06</v>
      </c>
      <c r="AP5736" s="42"/>
      <c r="AQ5736" s="74"/>
      <c r="AR5736" s="77"/>
      <c r="AT5736" s="497">
        <v>66.92</v>
      </c>
      <c r="AV5736" s="42"/>
      <c r="AW5736" s="74"/>
      <c r="AX5736" s="77"/>
      <c r="BA5736" s="497">
        <v>60.980000000000004</v>
      </c>
      <c r="BB5736" s="42"/>
      <c r="BC5736" s="74"/>
      <c r="BD5736" s="77"/>
      <c r="BF5736">
        <v>62.96</v>
      </c>
      <c r="BH5736" s="42"/>
      <c r="BI5736" s="74"/>
      <c r="BJ5736" s="77"/>
      <c r="BL5736" s="497">
        <v>69.98</v>
      </c>
      <c r="BN5736" s="42"/>
      <c r="BO5736" s="74"/>
      <c r="BP5736" s="77"/>
      <c r="BR5736" s="497">
        <v>44.96</v>
      </c>
      <c r="BT5736" s="42"/>
    </row>
    <row r="5737" spans="1:72" x14ac:dyDescent="0.25">
      <c r="A5737" s="90">
        <v>34938</v>
      </c>
      <c r="B5737" s="20">
        <v>0.29166666666666669</v>
      </c>
      <c r="D5737">
        <v>73.94</v>
      </c>
      <c r="E5737" t="str">
        <f t="shared" si="214"/>
        <v>SUNDAY</v>
      </c>
      <c r="F5737" t="e">
        <f t="shared" si="213"/>
        <v>#N/A</v>
      </c>
      <c r="G5737" s="74">
        <v>32016</v>
      </c>
      <c r="H5737" s="77">
        <v>0.29166666666666669</v>
      </c>
      <c r="J5737">
        <v>60.980000000000004</v>
      </c>
      <c r="M5737" s="74">
        <v>34573</v>
      </c>
      <c r="N5737" s="77">
        <v>0.29166666666666669</v>
      </c>
      <c r="P5737">
        <v>68.900000000000006</v>
      </c>
      <c r="S5737" s="74">
        <v>34938</v>
      </c>
      <c r="T5737" s="77">
        <v>0.29166666666666669</v>
      </c>
      <c r="V5737">
        <v>71.960000000000008</v>
      </c>
      <c r="X5737" s="42"/>
      <c r="AB5737">
        <v>68.5</v>
      </c>
      <c r="AC5737">
        <v>68</v>
      </c>
      <c r="AE5737" s="74"/>
      <c r="AF5737" s="77"/>
      <c r="AH5737" s="497">
        <v>70.88</v>
      </c>
      <c r="AJ5737" s="42"/>
      <c r="AK5737" s="74"/>
      <c r="AL5737" s="77"/>
      <c r="AN5737" s="497">
        <v>62.06</v>
      </c>
      <c r="AP5737" s="42"/>
      <c r="AQ5737" s="74"/>
      <c r="AR5737" s="77"/>
      <c r="AT5737" s="497">
        <v>71.960000000000008</v>
      </c>
      <c r="AV5737" s="42"/>
      <c r="AW5737" s="74"/>
      <c r="AX5737" s="77"/>
      <c r="BA5737" s="497">
        <v>64.039999999999992</v>
      </c>
      <c r="BB5737" s="42"/>
      <c r="BC5737" s="74"/>
      <c r="BD5737" s="77"/>
      <c r="BF5737">
        <v>64.039999999999992</v>
      </c>
      <c r="BH5737" s="42"/>
      <c r="BI5737" s="74"/>
      <c r="BJ5737" s="77"/>
      <c r="BL5737" s="497">
        <v>71.960000000000008</v>
      </c>
      <c r="BN5737" s="42"/>
      <c r="BO5737" s="74"/>
      <c r="BP5737" s="77"/>
      <c r="BR5737" s="497">
        <v>51.980000000000004</v>
      </c>
      <c r="BT5737" s="42"/>
    </row>
    <row r="5738" spans="1:72" x14ac:dyDescent="0.25">
      <c r="A5738" s="90">
        <v>34938</v>
      </c>
      <c r="B5738" s="20">
        <v>0.33333333333333331</v>
      </c>
      <c r="D5738">
        <v>73.039999999999992</v>
      </c>
      <c r="E5738" t="str">
        <f t="shared" si="214"/>
        <v>SUNDAY</v>
      </c>
      <c r="F5738" t="e">
        <f t="shared" si="213"/>
        <v>#N/A</v>
      </c>
      <c r="G5738" s="74">
        <v>32016</v>
      </c>
      <c r="H5738" s="77">
        <v>0.33333333333333331</v>
      </c>
      <c r="J5738">
        <v>62.06</v>
      </c>
      <c r="M5738" s="74">
        <v>34573</v>
      </c>
      <c r="N5738" s="77">
        <v>0.33333333333333331</v>
      </c>
      <c r="P5738">
        <v>71.960000000000008</v>
      </c>
      <c r="S5738" s="74">
        <v>34938</v>
      </c>
      <c r="T5738" s="77">
        <v>0.33333333333333331</v>
      </c>
      <c r="V5738">
        <v>73.039999999999992</v>
      </c>
      <c r="X5738" s="42"/>
      <c r="AB5738">
        <v>70.599999999999994</v>
      </c>
      <c r="AC5738">
        <v>71.960000000000008</v>
      </c>
      <c r="AE5738" s="74"/>
      <c r="AF5738" s="77"/>
      <c r="AH5738" s="497">
        <v>72.86</v>
      </c>
      <c r="AJ5738" s="42"/>
      <c r="AK5738" s="74"/>
      <c r="AL5738" s="77"/>
      <c r="AN5738" s="497">
        <v>64.039999999999992</v>
      </c>
      <c r="AP5738" s="42"/>
      <c r="AQ5738" s="74"/>
      <c r="AR5738" s="77"/>
      <c r="AT5738" s="497">
        <v>73.039999999999992</v>
      </c>
      <c r="AV5738" s="42"/>
      <c r="AW5738" s="74"/>
      <c r="AX5738" s="77"/>
      <c r="BA5738" s="497">
        <v>66.92</v>
      </c>
      <c r="BB5738" s="42"/>
      <c r="BC5738" s="74"/>
      <c r="BD5738" s="77"/>
      <c r="BF5738">
        <v>66.02</v>
      </c>
      <c r="BH5738" s="42"/>
      <c r="BI5738" s="74"/>
      <c r="BJ5738" s="77"/>
      <c r="BL5738" s="497">
        <v>75.02</v>
      </c>
      <c r="BN5738" s="42"/>
      <c r="BO5738" s="74"/>
      <c r="BP5738" s="77"/>
      <c r="BR5738" s="497">
        <v>55.94</v>
      </c>
      <c r="BT5738" s="42"/>
    </row>
    <row r="5739" spans="1:72" x14ac:dyDescent="0.25">
      <c r="A5739" s="90">
        <v>34938</v>
      </c>
      <c r="B5739" s="20">
        <v>0.375</v>
      </c>
      <c r="D5739">
        <v>75.92</v>
      </c>
      <c r="E5739" t="str">
        <f t="shared" si="214"/>
        <v>SUNDAY</v>
      </c>
      <c r="F5739" t="e">
        <f t="shared" ref="F5739:F5802" si="215">IF(E5739="WEEKDAY",VLOOKUP(B5739,$DD$19:$DG$42,2),IF(E5739="SATURDAY",VLOOKUP(B5739,$DD$19:$DG$42,3),VLOOKUP(B5739,$DD$19:$DG$42,4)))</f>
        <v>#N/A</v>
      </c>
      <c r="G5739" s="74">
        <v>32016</v>
      </c>
      <c r="H5739" s="77">
        <v>0.375</v>
      </c>
      <c r="J5739">
        <v>64.039999999999992</v>
      </c>
      <c r="M5739" s="74">
        <v>34573</v>
      </c>
      <c r="N5739" s="77">
        <v>0.375</v>
      </c>
      <c r="P5739">
        <v>74.84</v>
      </c>
      <c r="S5739" s="74">
        <v>34938</v>
      </c>
      <c r="T5739" s="77">
        <v>0.375</v>
      </c>
      <c r="V5739">
        <v>75.92</v>
      </c>
      <c r="X5739" s="42"/>
      <c r="AB5739">
        <v>72.7</v>
      </c>
      <c r="AC5739">
        <v>75.02</v>
      </c>
      <c r="AE5739" s="74"/>
      <c r="AF5739" s="77"/>
      <c r="AH5739" s="497">
        <v>74.84</v>
      </c>
      <c r="AJ5739" s="42"/>
      <c r="AK5739" s="74"/>
      <c r="AL5739" s="77"/>
      <c r="AN5739" s="497">
        <v>66.02</v>
      </c>
      <c r="AP5739" s="42"/>
      <c r="AQ5739" s="74"/>
      <c r="AR5739" s="77"/>
      <c r="AT5739" s="497">
        <v>75.02</v>
      </c>
      <c r="AV5739" s="42"/>
      <c r="AW5739" s="74"/>
      <c r="AX5739" s="77"/>
      <c r="BA5739" s="497">
        <v>69.98</v>
      </c>
      <c r="BB5739" s="42"/>
      <c r="BC5739" s="74"/>
      <c r="BD5739" s="77"/>
      <c r="BF5739">
        <v>69.080000000000013</v>
      </c>
      <c r="BH5739" s="42"/>
      <c r="BI5739" s="74"/>
      <c r="BJ5739" s="77"/>
      <c r="BL5739" s="497">
        <v>75.92</v>
      </c>
      <c r="BN5739" s="42"/>
      <c r="BO5739" s="74"/>
      <c r="BP5739" s="77"/>
      <c r="BR5739" s="497">
        <v>60.08</v>
      </c>
      <c r="BT5739" s="42"/>
    </row>
    <row r="5740" spans="1:72" x14ac:dyDescent="0.25">
      <c r="A5740" s="90">
        <v>34938</v>
      </c>
      <c r="B5740" s="20">
        <v>0.41666666666666669</v>
      </c>
      <c r="D5740">
        <v>75.92</v>
      </c>
      <c r="E5740" t="str">
        <f t="shared" si="214"/>
        <v>SUNDAY</v>
      </c>
      <c r="F5740" t="e">
        <f t="shared" si="215"/>
        <v>#N/A</v>
      </c>
      <c r="G5740" s="74">
        <v>32016</v>
      </c>
      <c r="H5740" s="77">
        <v>0.41666666666666669</v>
      </c>
      <c r="J5740">
        <v>62.96</v>
      </c>
      <c r="M5740" s="74">
        <v>34573</v>
      </c>
      <c r="N5740" s="77">
        <v>0.41666666666666669</v>
      </c>
      <c r="P5740">
        <v>75.92</v>
      </c>
      <c r="S5740" s="74">
        <v>34938</v>
      </c>
      <c r="T5740" s="77">
        <v>0.41666666666666669</v>
      </c>
      <c r="V5740">
        <v>78.98</v>
      </c>
      <c r="X5740" s="42"/>
      <c r="AB5740">
        <v>74.7</v>
      </c>
      <c r="AC5740">
        <v>78.080000000000013</v>
      </c>
      <c r="AE5740" s="74"/>
      <c r="AF5740" s="77"/>
      <c r="AH5740" s="497">
        <v>78.98</v>
      </c>
      <c r="AJ5740" s="42"/>
      <c r="AK5740" s="74"/>
      <c r="AL5740" s="77"/>
      <c r="AN5740" s="497">
        <v>66.92</v>
      </c>
      <c r="AP5740" s="42"/>
      <c r="AQ5740" s="74"/>
      <c r="AR5740" s="77"/>
      <c r="AT5740" s="497">
        <v>75.92</v>
      </c>
      <c r="AV5740" s="42"/>
      <c r="AW5740" s="74"/>
      <c r="AX5740" s="77"/>
      <c r="BA5740" s="497">
        <v>73.039999999999992</v>
      </c>
      <c r="BB5740" s="42"/>
      <c r="BC5740" s="74"/>
      <c r="BD5740" s="77"/>
      <c r="BF5740">
        <v>69.98</v>
      </c>
      <c r="BH5740" s="42"/>
      <c r="BI5740" s="74"/>
      <c r="BJ5740" s="77"/>
      <c r="BL5740" s="497">
        <v>80.06</v>
      </c>
      <c r="BN5740" s="42"/>
      <c r="BO5740" s="74"/>
      <c r="BP5740" s="77"/>
      <c r="BR5740" s="497">
        <v>62.06</v>
      </c>
      <c r="BT5740" s="42"/>
    </row>
    <row r="5741" spans="1:72" x14ac:dyDescent="0.25">
      <c r="A5741" s="90">
        <v>34938</v>
      </c>
      <c r="B5741" s="20">
        <v>0.45833333333333331</v>
      </c>
      <c r="D5741">
        <v>77</v>
      </c>
      <c r="E5741" t="str">
        <f t="shared" si="214"/>
        <v>SUNDAY</v>
      </c>
      <c r="F5741" t="e">
        <f t="shared" si="215"/>
        <v>#N/A</v>
      </c>
      <c r="G5741" s="74">
        <v>32016</v>
      </c>
      <c r="H5741" s="77">
        <v>0.45833333333333331</v>
      </c>
      <c r="J5741">
        <v>62.96</v>
      </c>
      <c r="M5741" s="74">
        <v>34573</v>
      </c>
      <c r="N5741" s="77">
        <v>0.45833333333333331</v>
      </c>
      <c r="P5741">
        <v>77.900000000000006</v>
      </c>
      <c r="S5741" s="74">
        <v>34938</v>
      </c>
      <c r="T5741" s="77">
        <v>0.45833333333333331</v>
      </c>
      <c r="V5741">
        <v>80.960000000000008</v>
      </c>
      <c r="X5741" s="42"/>
      <c r="AB5741">
        <v>76.400000000000006</v>
      </c>
      <c r="AC5741">
        <v>80.06</v>
      </c>
      <c r="AE5741" s="74"/>
      <c r="AF5741" s="77"/>
      <c r="AH5741" s="497">
        <v>80.960000000000008</v>
      </c>
      <c r="AJ5741" s="42"/>
      <c r="AK5741" s="74"/>
      <c r="AL5741" s="77"/>
      <c r="AN5741" s="497">
        <v>69.98</v>
      </c>
      <c r="AP5741" s="42"/>
      <c r="AQ5741" s="74"/>
      <c r="AR5741" s="77"/>
      <c r="AT5741" s="497">
        <v>78.080000000000013</v>
      </c>
      <c r="AV5741" s="42"/>
      <c r="AW5741" s="74"/>
      <c r="AX5741" s="77"/>
      <c r="BA5741" s="497">
        <v>73.94</v>
      </c>
      <c r="BB5741" s="42"/>
      <c r="BC5741" s="74"/>
      <c r="BD5741" s="77"/>
      <c r="BF5741">
        <v>71.06</v>
      </c>
      <c r="BH5741" s="42"/>
      <c r="BI5741" s="74"/>
      <c r="BJ5741" s="77"/>
      <c r="BL5741" s="497">
        <v>82.039999999999992</v>
      </c>
      <c r="BN5741" s="42"/>
      <c r="BO5741" s="74"/>
      <c r="BP5741" s="77"/>
      <c r="BR5741" s="497">
        <v>64.94</v>
      </c>
      <c r="BT5741" s="42"/>
    </row>
    <row r="5742" spans="1:72" x14ac:dyDescent="0.25">
      <c r="A5742" s="90">
        <v>34938</v>
      </c>
      <c r="B5742" s="20">
        <v>0.5</v>
      </c>
      <c r="D5742">
        <v>78.98</v>
      </c>
      <c r="E5742" t="str">
        <f t="shared" si="214"/>
        <v>SUNDAY</v>
      </c>
      <c r="F5742" t="e">
        <f t="shared" si="215"/>
        <v>#N/A</v>
      </c>
      <c r="G5742" s="74">
        <v>32016</v>
      </c>
      <c r="H5742" s="77">
        <v>0.5</v>
      </c>
      <c r="J5742">
        <v>62.06</v>
      </c>
      <c r="M5742" s="74">
        <v>34573</v>
      </c>
      <c r="N5742" s="77">
        <v>0.5</v>
      </c>
      <c r="P5742">
        <v>80.960000000000008</v>
      </c>
      <c r="S5742" s="74">
        <v>34938</v>
      </c>
      <c r="T5742" s="77">
        <v>0.5</v>
      </c>
      <c r="V5742">
        <v>82.94</v>
      </c>
      <c r="X5742" s="42"/>
      <c r="AB5742">
        <v>77.8</v>
      </c>
      <c r="AC5742">
        <v>80.960000000000008</v>
      </c>
      <c r="AE5742" s="74"/>
      <c r="AF5742" s="77"/>
      <c r="AH5742" s="497">
        <v>82.94</v>
      </c>
      <c r="AJ5742" s="42"/>
      <c r="AK5742" s="74"/>
      <c r="AL5742" s="77"/>
      <c r="AN5742" s="497">
        <v>71.06</v>
      </c>
      <c r="AP5742" s="42"/>
      <c r="AQ5742" s="74"/>
      <c r="AR5742" s="77"/>
      <c r="AT5742" s="497">
        <v>75.92</v>
      </c>
      <c r="AV5742" s="42"/>
      <c r="AW5742" s="74"/>
      <c r="AX5742" s="77"/>
      <c r="BA5742" s="497">
        <v>75.92</v>
      </c>
      <c r="BB5742" s="42"/>
      <c r="BC5742" s="74"/>
      <c r="BD5742" s="77"/>
      <c r="BF5742">
        <v>71.960000000000008</v>
      </c>
      <c r="BH5742" s="42"/>
      <c r="BI5742" s="74"/>
      <c r="BJ5742" s="77"/>
      <c r="BL5742" s="497">
        <v>80.960000000000008</v>
      </c>
      <c r="BN5742" s="42"/>
      <c r="BO5742" s="74"/>
      <c r="BP5742" s="77"/>
      <c r="BR5742" s="497">
        <v>66.02</v>
      </c>
      <c r="BT5742" s="42"/>
    </row>
    <row r="5743" spans="1:72" x14ac:dyDescent="0.25">
      <c r="A5743" s="90">
        <v>34938</v>
      </c>
      <c r="B5743" s="20">
        <v>0.54166666666666663</v>
      </c>
      <c r="D5743">
        <v>80.06</v>
      </c>
      <c r="E5743" t="str">
        <f t="shared" si="214"/>
        <v>SUNDAY</v>
      </c>
      <c r="F5743" t="e">
        <f t="shared" si="215"/>
        <v>#N/A</v>
      </c>
      <c r="G5743" s="74">
        <v>32016</v>
      </c>
      <c r="H5743" s="77">
        <v>0.54166666666666663</v>
      </c>
      <c r="J5743">
        <v>62.96</v>
      </c>
      <c r="M5743" s="74">
        <v>34573</v>
      </c>
      <c r="N5743" s="77">
        <v>0.54166666666666663</v>
      </c>
      <c r="P5743">
        <v>80.960000000000008</v>
      </c>
      <c r="S5743" s="74">
        <v>34938</v>
      </c>
      <c r="T5743" s="77">
        <v>0.54166666666666663</v>
      </c>
      <c r="V5743">
        <v>82.039999999999992</v>
      </c>
      <c r="X5743" s="42"/>
      <c r="AB5743">
        <v>78.8</v>
      </c>
      <c r="AC5743">
        <v>80.960000000000008</v>
      </c>
      <c r="AE5743" s="74"/>
      <c r="AF5743" s="77"/>
      <c r="AH5743" s="497">
        <v>84.92</v>
      </c>
      <c r="AJ5743" s="42"/>
      <c r="AK5743" s="74"/>
      <c r="AL5743" s="77"/>
      <c r="AN5743" s="497">
        <v>71.960000000000008</v>
      </c>
      <c r="AP5743" s="42"/>
      <c r="AQ5743" s="74"/>
      <c r="AR5743" s="77"/>
      <c r="AT5743" s="497">
        <v>75.92</v>
      </c>
      <c r="AV5743" s="42"/>
      <c r="AW5743" s="74"/>
      <c r="AX5743" s="77"/>
      <c r="BA5743" s="497">
        <v>75.92</v>
      </c>
      <c r="BB5743" s="42"/>
      <c r="BC5743" s="74"/>
      <c r="BD5743" s="77"/>
      <c r="BF5743">
        <v>73.94</v>
      </c>
      <c r="BH5743" s="42"/>
      <c r="BI5743" s="74"/>
      <c r="BJ5743" s="77"/>
      <c r="BL5743" s="497">
        <v>80.960000000000008</v>
      </c>
      <c r="BN5743" s="42"/>
      <c r="BO5743" s="74"/>
      <c r="BP5743" s="77"/>
      <c r="BR5743" s="497">
        <v>68</v>
      </c>
      <c r="BT5743" s="42"/>
    </row>
    <row r="5744" spans="1:72" x14ac:dyDescent="0.25">
      <c r="A5744" s="90">
        <v>34938</v>
      </c>
      <c r="B5744" s="20">
        <v>0.58333333333333337</v>
      </c>
      <c r="D5744">
        <v>82.039999999999992</v>
      </c>
      <c r="E5744" t="str">
        <f t="shared" si="214"/>
        <v>SUNDAY</v>
      </c>
      <c r="F5744" t="e">
        <f t="shared" si="215"/>
        <v>#N/A</v>
      </c>
      <c r="G5744" s="74">
        <v>32016</v>
      </c>
      <c r="H5744" s="77">
        <v>0.58333333333333337</v>
      </c>
      <c r="J5744">
        <v>62.96</v>
      </c>
      <c r="M5744" s="74">
        <v>34573</v>
      </c>
      <c r="N5744" s="77">
        <v>0.58333333333333337</v>
      </c>
      <c r="P5744">
        <v>82.94</v>
      </c>
      <c r="S5744" s="74">
        <v>34938</v>
      </c>
      <c r="T5744" s="77">
        <v>0.58333333333333337</v>
      </c>
      <c r="V5744">
        <v>80.06</v>
      </c>
      <c r="X5744" s="42"/>
      <c r="AB5744">
        <v>79.2</v>
      </c>
      <c r="AC5744">
        <v>82.039999999999992</v>
      </c>
      <c r="AE5744" s="74"/>
      <c r="AF5744" s="77"/>
      <c r="AH5744" s="497">
        <v>84.92</v>
      </c>
      <c r="AJ5744" s="42"/>
      <c r="AK5744" s="74"/>
      <c r="AL5744" s="77"/>
      <c r="AN5744" s="497">
        <v>73.94</v>
      </c>
      <c r="AP5744" s="42"/>
      <c r="AQ5744" s="74"/>
      <c r="AR5744" s="77"/>
      <c r="AT5744" s="497">
        <v>75.92</v>
      </c>
      <c r="AV5744" s="42"/>
      <c r="AW5744" s="74"/>
      <c r="AX5744" s="77"/>
      <c r="BA5744" s="497">
        <v>75.92</v>
      </c>
      <c r="BB5744" s="42"/>
      <c r="BC5744" s="74"/>
      <c r="BD5744" s="77"/>
      <c r="BF5744">
        <v>75.02</v>
      </c>
      <c r="BH5744" s="42"/>
      <c r="BI5744" s="74"/>
      <c r="BJ5744" s="77"/>
      <c r="BL5744" s="497">
        <v>82.039999999999992</v>
      </c>
      <c r="BN5744" s="42"/>
      <c r="BO5744" s="74"/>
      <c r="BP5744" s="77"/>
      <c r="BR5744" s="497">
        <v>71.06</v>
      </c>
      <c r="BT5744" s="42"/>
    </row>
    <row r="5745" spans="1:72" x14ac:dyDescent="0.25">
      <c r="A5745" s="90">
        <v>34938</v>
      </c>
      <c r="B5745" s="20">
        <v>0.625</v>
      </c>
      <c r="D5745">
        <v>84.02</v>
      </c>
      <c r="E5745" t="str">
        <f t="shared" si="214"/>
        <v>SUNDAY</v>
      </c>
      <c r="F5745" t="e">
        <f t="shared" si="215"/>
        <v>#N/A</v>
      </c>
      <c r="G5745" s="74">
        <v>32016</v>
      </c>
      <c r="H5745" s="77">
        <v>0.625</v>
      </c>
      <c r="J5745">
        <v>62.96</v>
      </c>
      <c r="M5745" s="74">
        <v>34573</v>
      </c>
      <c r="N5745" s="77">
        <v>0.625</v>
      </c>
      <c r="P5745">
        <v>82.94</v>
      </c>
      <c r="S5745" s="74">
        <v>34938</v>
      </c>
      <c r="T5745" s="77">
        <v>0.625</v>
      </c>
      <c r="V5745">
        <v>78.080000000000013</v>
      </c>
      <c r="X5745" s="42"/>
      <c r="AB5745">
        <v>79.3</v>
      </c>
      <c r="AC5745">
        <v>82.039999999999992</v>
      </c>
      <c r="AE5745" s="74"/>
      <c r="AF5745" s="77"/>
      <c r="AH5745" s="497">
        <v>84.92</v>
      </c>
      <c r="AJ5745" s="42"/>
      <c r="AK5745" s="74"/>
      <c r="AL5745" s="77"/>
      <c r="AN5745" s="497">
        <v>73.039999999999992</v>
      </c>
      <c r="AP5745" s="42"/>
      <c r="AQ5745" s="74"/>
      <c r="AR5745" s="77"/>
      <c r="AT5745" s="497">
        <v>78.080000000000013</v>
      </c>
      <c r="AV5745" s="42"/>
      <c r="AW5745" s="74"/>
      <c r="AX5745" s="77"/>
      <c r="BA5745" s="497">
        <v>77</v>
      </c>
      <c r="BB5745" s="42"/>
      <c r="BC5745" s="74"/>
      <c r="BD5745" s="77"/>
      <c r="BF5745">
        <v>75.02</v>
      </c>
      <c r="BH5745" s="42"/>
      <c r="BI5745" s="74"/>
      <c r="BJ5745" s="77"/>
      <c r="BL5745" s="497">
        <v>82.94</v>
      </c>
      <c r="BN5745" s="42"/>
      <c r="BO5745" s="74"/>
      <c r="BP5745" s="77"/>
      <c r="BR5745" s="497">
        <v>69.080000000000013</v>
      </c>
      <c r="BT5745" s="42"/>
    </row>
    <row r="5746" spans="1:72" x14ac:dyDescent="0.25">
      <c r="A5746" s="90">
        <v>34938</v>
      </c>
      <c r="B5746" s="20">
        <v>0.66666666666666663</v>
      </c>
      <c r="D5746">
        <v>84.02</v>
      </c>
      <c r="E5746" t="str">
        <f t="shared" si="214"/>
        <v>SUNDAY</v>
      </c>
      <c r="F5746" t="e">
        <f t="shared" si="215"/>
        <v>#N/A</v>
      </c>
      <c r="G5746" s="74">
        <v>32016</v>
      </c>
      <c r="H5746" s="77">
        <v>0.66666666666666663</v>
      </c>
      <c r="J5746">
        <v>62.06</v>
      </c>
      <c r="M5746" s="74">
        <v>34573</v>
      </c>
      <c r="N5746" s="77">
        <v>0.66666666666666663</v>
      </c>
      <c r="P5746">
        <v>83.84</v>
      </c>
      <c r="S5746" s="74">
        <v>34938</v>
      </c>
      <c r="T5746" s="77">
        <v>0.66666666666666663</v>
      </c>
      <c r="V5746">
        <v>78.080000000000013</v>
      </c>
      <c r="X5746" s="42"/>
      <c r="AB5746">
        <v>78.8</v>
      </c>
      <c r="AC5746">
        <v>80.960000000000008</v>
      </c>
      <c r="AE5746" s="74"/>
      <c r="AF5746" s="77"/>
      <c r="AH5746" s="497">
        <v>84.92</v>
      </c>
      <c r="AJ5746" s="42"/>
      <c r="AK5746" s="74"/>
      <c r="AL5746" s="77"/>
      <c r="AN5746" s="497">
        <v>73.94</v>
      </c>
      <c r="AP5746" s="42"/>
      <c r="AQ5746" s="74"/>
      <c r="AR5746" s="77"/>
      <c r="AT5746" s="497">
        <v>78.98</v>
      </c>
      <c r="AV5746" s="42"/>
      <c r="AW5746" s="74"/>
      <c r="AX5746" s="77"/>
      <c r="BA5746" s="497">
        <v>75.02</v>
      </c>
      <c r="BB5746" s="42"/>
      <c r="BC5746" s="74"/>
      <c r="BD5746" s="77"/>
      <c r="BF5746">
        <v>73.94</v>
      </c>
      <c r="BH5746" s="42"/>
      <c r="BI5746" s="74"/>
      <c r="BJ5746" s="77"/>
      <c r="BL5746" s="497">
        <v>82.94</v>
      </c>
      <c r="BN5746" s="42"/>
      <c r="BO5746" s="74"/>
      <c r="BP5746" s="77"/>
      <c r="BR5746" s="497">
        <v>69.080000000000013</v>
      </c>
      <c r="BT5746" s="42"/>
    </row>
    <row r="5747" spans="1:72" x14ac:dyDescent="0.25">
      <c r="A5747" s="90">
        <v>34938</v>
      </c>
      <c r="B5747" s="20">
        <v>0.70833333333333337</v>
      </c>
      <c r="D5747">
        <v>82.94</v>
      </c>
      <c r="E5747" t="str">
        <f t="shared" si="214"/>
        <v>SUNDAY</v>
      </c>
      <c r="F5747" t="e">
        <f t="shared" si="215"/>
        <v>#N/A</v>
      </c>
      <c r="G5747" s="74">
        <v>32016</v>
      </c>
      <c r="H5747" s="77">
        <v>0.70833333333333337</v>
      </c>
      <c r="J5747">
        <v>62.06</v>
      </c>
      <c r="M5747" s="74">
        <v>34573</v>
      </c>
      <c r="N5747" s="77">
        <v>0.70833333333333337</v>
      </c>
      <c r="P5747">
        <v>82.94</v>
      </c>
      <c r="S5747" s="74">
        <v>34938</v>
      </c>
      <c r="T5747" s="77">
        <v>0.70833333333333337</v>
      </c>
      <c r="V5747">
        <v>78.080000000000013</v>
      </c>
      <c r="X5747" s="42"/>
      <c r="AB5747">
        <v>78</v>
      </c>
      <c r="AC5747">
        <v>78.98</v>
      </c>
      <c r="AE5747" s="74"/>
      <c r="AF5747" s="77"/>
      <c r="AH5747" s="497">
        <v>87.98</v>
      </c>
      <c r="AJ5747" s="42"/>
      <c r="AK5747" s="74"/>
      <c r="AL5747" s="77"/>
      <c r="AN5747" s="497">
        <v>71.960000000000008</v>
      </c>
      <c r="AP5747" s="42"/>
      <c r="AQ5747" s="74"/>
      <c r="AR5747" s="77"/>
      <c r="AT5747" s="497">
        <v>77</v>
      </c>
      <c r="AV5747" s="42"/>
      <c r="AW5747" s="74"/>
      <c r="AX5747" s="77"/>
      <c r="BA5747" s="497">
        <v>75.02</v>
      </c>
      <c r="BB5747" s="42"/>
      <c r="BC5747" s="74"/>
      <c r="BD5747" s="77"/>
      <c r="BF5747">
        <v>71.960000000000008</v>
      </c>
      <c r="BH5747" s="42"/>
      <c r="BI5747" s="74"/>
      <c r="BJ5747" s="77"/>
      <c r="BL5747" s="497">
        <v>82.039999999999992</v>
      </c>
      <c r="BN5747" s="42"/>
      <c r="BO5747" s="74"/>
      <c r="BP5747" s="77"/>
      <c r="BR5747" s="497">
        <v>68</v>
      </c>
      <c r="BT5747" s="42"/>
    </row>
    <row r="5748" spans="1:72" x14ac:dyDescent="0.25">
      <c r="A5748" s="90">
        <v>34938</v>
      </c>
      <c r="B5748" s="20">
        <v>0.75</v>
      </c>
      <c r="D5748">
        <v>82.039999999999992</v>
      </c>
      <c r="E5748" t="str">
        <f t="shared" si="214"/>
        <v>SUNDAY</v>
      </c>
      <c r="F5748" t="e">
        <f t="shared" si="215"/>
        <v>#N/A</v>
      </c>
      <c r="G5748" s="74">
        <v>32016</v>
      </c>
      <c r="H5748" s="77">
        <v>0.75</v>
      </c>
      <c r="J5748">
        <v>62.96</v>
      </c>
      <c r="M5748" s="74">
        <v>34573</v>
      </c>
      <c r="N5748" s="77">
        <v>0.75</v>
      </c>
      <c r="P5748">
        <v>74.84</v>
      </c>
      <c r="S5748" s="74">
        <v>34938</v>
      </c>
      <c r="T5748" s="77">
        <v>0.75</v>
      </c>
      <c r="V5748">
        <v>78.080000000000013</v>
      </c>
      <c r="X5748" s="42"/>
      <c r="AB5748">
        <v>76.900000000000006</v>
      </c>
      <c r="AC5748">
        <v>75.92</v>
      </c>
      <c r="AE5748" s="74"/>
      <c r="AF5748" s="77"/>
      <c r="AH5748" s="497">
        <v>77.900000000000006</v>
      </c>
      <c r="AJ5748" s="42"/>
      <c r="AK5748" s="74"/>
      <c r="AL5748" s="77"/>
      <c r="AN5748" s="497">
        <v>69.080000000000013</v>
      </c>
      <c r="AP5748" s="42"/>
      <c r="AQ5748" s="74"/>
      <c r="AR5748" s="77"/>
      <c r="AT5748" s="497">
        <v>75.02</v>
      </c>
      <c r="AV5748" s="42"/>
      <c r="AW5748" s="74"/>
      <c r="AX5748" s="77"/>
      <c r="BA5748" s="497">
        <v>71.960000000000008</v>
      </c>
      <c r="BB5748" s="42"/>
      <c r="BC5748" s="74"/>
      <c r="BD5748" s="77"/>
      <c r="BF5748">
        <v>71.960000000000008</v>
      </c>
      <c r="BH5748" s="42"/>
      <c r="BI5748" s="74"/>
      <c r="BJ5748" s="77"/>
      <c r="BL5748" s="497">
        <v>80.06</v>
      </c>
      <c r="BN5748" s="42"/>
      <c r="BO5748" s="74"/>
      <c r="BP5748" s="77"/>
      <c r="BR5748" s="497">
        <v>66.92</v>
      </c>
      <c r="BT5748" s="42"/>
    </row>
    <row r="5749" spans="1:72" x14ac:dyDescent="0.25">
      <c r="A5749" s="90">
        <v>34938</v>
      </c>
      <c r="B5749" s="20">
        <v>0.79166666666666663</v>
      </c>
      <c r="D5749">
        <v>80.06</v>
      </c>
      <c r="E5749" t="str">
        <f t="shared" si="214"/>
        <v>SUNDAY</v>
      </c>
      <c r="F5749" t="e">
        <f t="shared" si="215"/>
        <v>#N/A</v>
      </c>
      <c r="G5749" s="74">
        <v>32016</v>
      </c>
      <c r="H5749" s="77">
        <v>0.79166666666666663</v>
      </c>
      <c r="J5749">
        <v>62.96</v>
      </c>
      <c r="M5749" s="74">
        <v>34573</v>
      </c>
      <c r="N5749" s="77">
        <v>0.79166666666666663</v>
      </c>
      <c r="P5749">
        <v>68.900000000000006</v>
      </c>
      <c r="S5749" s="74">
        <v>34938</v>
      </c>
      <c r="T5749" s="77">
        <v>0.79166666666666663</v>
      </c>
      <c r="V5749">
        <v>78.080000000000013</v>
      </c>
      <c r="X5749" s="42"/>
      <c r="AB5749">
        <v>75.400000000000006</v>
      </c>
      <c r="AC5749">
        <v>75.02</v>
      </c>
      <c r="AE5749" s="74"/>
      <c r="AF5749" s="77"/>
      <c r="AH5749" s="497">
        <v>75.92</v>
      </c>
      <c r="AJ5749" s="42"/>
      <c r="AK5749" s="74"/>
      <c r="AL5749" s="77"/>
      <c r="AN5749" s="497">
        <v>68</v>
      </c>
      <c r="AP5749" s="42"/>
      <c r="AQ5749" s="74"/>
      <c r="AR5749" s="77"/>
      <c r="AT5749" s="497">
        <v>73.039999999999992</v>
      </c>
      <c r="AV5749" s="42"/>
      <c r="AW5749" s="74"/>
      <c r="AX5749" s="77"/>
      <c r="BA5749" s="497">
        <v>69.98</v>
      </c>
      <c r="BB5749" s="42"/>
      <c r="BC5749" s="74"/>
      <c r="BD5749" s="77"/>
      <c r="BF5749">
        <v>69.98</v>
      </c>
      <c r="BH5749" s="42"/>
      <c r="BI5749" s="74"/>
      <c r="BJ5749" s="77"/>
      <c r="BL5749" s="497">
        <v>75.92</v>
      </c>
      <c r="BN5749" s="42"/>
      <c r="BO5749" s="74"/>
      <c r="BP5749" s="77"/>
      <c r="BR5749" s="497">
        <v>60.08</v>
      </c>
      <c r="BT5749" s="42"/>
    </row>
    <row r="5750" spans="1:72" x14ac:dyDescent="0.25">
      <c r="A5750" s="90">
        <v>34938</v>
      </c>
      <c r="B5750" s="20">
        <v>0.83333333333333337</v>
      </c>
      <c r="D5750">
        <v>78.98</v>
      </c>
      <c r="E5750" t="str">
        <f t="shared" si="214"/>
        <v>SUNDAY</v>
      </c>
      <c r="F5750" t="e">
        <f t="shared" si="215"/>
        <v>#N/A</v>
      </c>
      <c r="G5750" s="74">
        <v>32016</v>
      </c>
      <c r="H5750" s="77">
        <v>0.83333333333333337</v>
      </c>
      <c r="J5750">
        <v>64.039999999999992</v>
      </c>
      <c r="M5750" s="74">
        <v>34573</v>
      </c>
      <c r="N5750" s="77">
        <v>0.83333333333333337</v>
      </c>
      <c r="P5750">
        <v>68</v>
      </c>
      <c r="S5750" s="74">
        <v>34938</v>
      </c>
      <c r="T5750" s="77">
        <v>0.83333333333333337</v>
      </c>
      <c r="V5750">
        <v>75.92</v>
      </c>
      <c r="X5750" s="42"/>
      <c r="AB5750">
        <v>74</v>
      </c>
      <c r="AC5750">
        <v>73.94</v>
      </c>
      <c r="AE5750" s="74"/>
      <c r="AF5750" s="77"/>
      <c r="AH5750" s="497">
        <v>71.960000000000008</v>
      </c>
      <c r="AJ5750" s="42"/>
      <c r="AK5750" s="74"/>
      <c r="AL5750" s="77"/>
      <c r="AN5750" s="497">
        <v>66.02</v>
      </c>
      <c r="AP5750" s="42"/>
      <c r="AQ5750" s="74"/>
      <c r="AR5750" s="77"/>
      <c r="AT5750" s="497">
        <v>71.06</v>
      </c>
      <c r="AV5750" s="42"/>
      <c r="AW5750" s="74"/>
      <c r="AX5750" s="77"/>
      <c r="BA5750" s="497">
        <v>66.92</v>
      </c>
      <c r="BB5750" s="42"/>
      <c r="BC5750" s="74"/>
      <c r="BD5750" s="77"/>
      <c r="BF5750">
        <v>69.080000000000013</v>
      </c>
      <c r="BH5750" s="42"/>
      <c r="BI5750" s="74"/>
      <c r="BJ5750" s="77"/>
      <c r="BL5750" s="497">
        <v>73.039999999999992</v>
      </c>
      <c r="BN5750" s="42"/>
      <c r="BO5750" s="74"/>
      <c r="BP5750" s="77"/>
      <c r="BR5750" s="497">
        <v>55.040000000000006</v>
      </c>
      <c r="BT5750" s="42"/>
    </row>
    <row r="5751" spans="1:72" x14ac:dyDescent="0.25">
      <c r="A5751" s="90">
        <v>34938</v>
      </c>
      <c r="B5751" s="20">
        <v>0.875</v>
      </c>
      <c r="D5751">
        <v>77</v>
      </c>
      <c r="E5751" t="str">
        <f t="shared" si="214"/>
        <v>SUNDAY</v>
      </c>
      <c r="F5751" t="e">
        <f t="shared" si="215"/>
        <v>#N/A</v>
      </c>
      <c r="G5751" s="74">
        <v>32016</v>
      </c>
      <c r="H5751" s="77">
        <v>0.875</v>
      </c>
      <c r="J5751">
        <v>62.96</v>
      </c>
      <c r="M5751" s="74">
        <v>34573</v>
      </c>
      <c r="N5751" s="77">
        <v>0.875</v>
      </c>
      <c r="P5751">
        <v>68</v>
      </c>
      <c r="S5751" s="74">
        <v>34938</v>
      </c>
      <c r="T5751" s="77">
        <v>0.875</v>
      </c>
      <c r="V5751">
        <v>73.039999999999992</v>
      </c>
      <c r="X5751" s="42"/>
      <c r="AB5751">
        <v>73.3</v>
      </c>
      <c r="AC5751">
        <v>71.960000000000008</v>
      </c>
      <c r="AE5751" s="74"/>
      <c r="AF5751" s="77"/>
      <c r="AH5751" s="497">
        <v>70.88</v>
      </c>
      <c r="AJ5751" s="42"/>
      <c r="AK5751" s="74"/>
      <c r="AL5751" s="77"/>
      <c r="AN5751" s="497">
        <v>64.039999999999992</v>
      </c>
      <c r="AP5751" s="42"/>
      <c r="AQ5751" s="74"/>
      <c r="AR5751" s="77"/>
      <c r="AT5751" s="497">
        <v>69.080000000000013</v>
      </c>
      <c r="AV5751" s="42"/>
      <c r="AW5751" s="74"/>
      <c r="AX5751" s="77"/>
      <c r="BA5751" s="497">
        <v>66.02</v>
      </c>
      <c r="BB5751" s="42"/>
      <c r="BC5751" s="74"/>
      <c r="BD5751" s="77"/>
      <c r="BF5751">
        <v>68</v>
      </c>
      <c r="BH5751" s="42"/>
      <c r="BI5751" s="74"/>
      <c r="BJ5751" s="77"/>
      <c r="BL5751" s="497">
        <v>71.960000000000008</v>
      </c>
      <c r="BN5751" s="42"/>
      <c r="BO5751" s="74"/>
      <c r="BP5751" s="77"/>
      <c r="BR5751" s="497">
        <v>53.06</v>
      </c>
      <c r="BT5751" s="42"/>
    </row>
    <row r="5752" spans="1:72" x14ac:dyDescent="0.25">
      <c r="A5752" s="90">
        <v>34938</v>
      </c>
      <c r="B5752" s="20">
        <v>0.91666666666666663</v>
      </c>
      <c r="D5752">
        <v>75.92</v>
      </c>
      <c r="E5752" t="str">
        <f t="shared" si="214"/>
        <v>SUNDAY</v>
      </c>
      <c r="F5752" t="e">
        <f t="shared" si="215"/>
        <v>#N/A</v>
      </c>
      <c r="G5752" s="74">
        <v>32016</v>
      </c>
      <c r="H5752" s="77">
        <v>0.91666666666666663</v>
      </c>
      <c r="J5752">
        <v>62.06</v>
      </c>
      <c r="M5752" s="74">
        <v>34573</v>
      </c>
      <c r="N5752" s="77">
        <v>0.91666666666666663</v>
      </c>
      <c r="P5752">
        <v>66.92</v>
      </c>
      <c r="S5752" s="74">
        <v>34938</v>
      </c>
      <c r="T5752" s="77">
        <v>0.91666666666666663</v>
      </c>
      <c r="V5752">
        <v>71.960000000000008</v>
      </c>
      <c r="X5752" s="42"/>
      <c r="AB5752">
        <v>72.599999999999994</v>
      </c>
      <c r="AC5752">
        <v>71.06</v>
      </c>
      <c r="AE5752" s="74"/>
      <c r="AF5752" s="77"/>
      <c r="AH5752" s="497">
        <v>68.900000000000006</v>
      </c>
      <c r="AJ5752" s="42"/>
      <c r="AK5752" s="74"/>
      <c r="AL5752" s="77"/>
      <c r="AN5752" s="497">
        <v>62.96</v>
      </c>
      <c r="AP5752" s="42"/>
      <c r="AQ5752" s="74"/>
      <c r="AR5752" s="77"/>
      <c r="AT5752" s="497">
        <v>68</v>
      </c>
      <c r="AV5752" s="42"/>
      <c r="AW5752" s="74"/>
      <c r="AX5752" s="77"/>
      <c r="BA5752" s="497">
        <v>64.94</v>
      </c>
      <c r="BB5752" s="42"/>
      <c r="BC5752" s="74"/>
      <c r="BD5752" s="77"/>
      <c r="BF5752">
        <v>68</v>
      </c>
      <c r="BH5752" s="42"/>
      <c r="BI5752" s="74"/>
      <c r="BJ5752" s="77"/>
      <c r="BL5752" s="497">
        <v>71.06</v>
      </c>
      <c r="BN5752" s="42"/>
      <c r="BO5752" s="74"/>
      <c r="BP5752" s="77"/>
      <c r="BR5752" s="497">
        <v>53.06</v>
      </c>
      <c r="BT5752" s="42"/>
    </row>
    <row r="5753" spans="1:72" x14ac:dyDescent="0.25">
      <c r="A5753" s="90">
        <v>34938</v>
      </c>
      <c r="B5753" s="20">
        <v>0.95833333333333337</v>
      </c>
      <c r="D5753">
        <v>75.92</v>
      </c>
      <c r="E5753" t="str">
        <f t="shared" si="214"/>
        <v>SUNDAY</v>
      </c>
      <c r="F5753" t="e">
        <f t="shared" si="215"/>
        <v>#N/A</v>
      </c>
      <c r="G5753" s="74">
        <v>32016</v>
      </c>
      <c r="H5753" s="77">
        <v>0.95833333333333337</v>
      </c>
      <c r="J5753">
        <v>62.06</v>
      </c>
      <c r="M5753" s="74">
        <v>34573</v>
      </c>
      <c r="N5753" s="77">
        <v>0.95833333333333337</v>
      </c>
      <c r="P5753">
        <v>65.84</v>
      </c>
      <c r="S5753" s="74">
        <v>34938</v>
      </c>
      <c r="T5753" s="77">
        <v>0.95833333333333337</v>
      </c>
      <c r="V5753">
        <v>71.960000000000008</v>
      </c>
      <c r="X5753" s="42"/>
      <c r="AB5753">
        <v>72</v>
      </c>
      <c r="AC5753">
        <v>71.06</v>
      </c>
      <c r="AE5753" s="74"/>
      <c r="AF5753" s="77"/>
      <c r="AH5753" s="497">
        <v>68</v>
      </c>
      <c r="AJ5753" s="42"/>
      <c r="AK5753" s="74"/>
      <c r="AL5753" s="77"/>
      <c r="AN5753" s="497">
        <v>60.980000000000004</v>
      </c>
      <c r="AP5753" s="42"/>
      <c r="AQ5753" s="74"/>
      <c r="AR5753" s="77"/>
      <c r="AT5753" s="497">
        <v>64.94</v>
      </c>
      <c r="AV5753" s="42"/>
      <c r="AW5753" s="74"/>
      <c r="AX5753" s="77"/>
      <c r="BA5753" s="497">
        <v>62.96</v>
      </c>
      <c r="BB5753" s="42"/>
      <c r="BC5753" s="74"/>
      <c r="BD5753" s="77"/>
      <c r="BF5753">
        <v>66.92</v>
      </c>
      <c r="BH5753" s="42"/>
      <c r="BI5753" s="74"/>
      <c r="BJ5753" s="77"/>
      <c r="BL5753" s="497">
        <v>69.98</v>
      </c>
      <c r="BN5753" s="42"/>
      <c r="BO5753" s="74"/>
      <c r="BP5753" s="77"/>
      <c r="BR5753" s="497">
        <v>51.980000000000004</v>
      </c>
      <c r="BT5753" s="42"/>
    </row>
    <row r="5754" spans="1:72" x14ac:dyDescent="0.25">
      <c r="A5754" s="90">
        <v>34938</v>
      </c>
      <c r="B5754" s="20">
        <v>1</v>
      </c>
      <c r="D5754">
        <v>75.02</v>
      </c>
      <c r="E5754" t="str">
        <f t="shared" si="214"/>
        <v>SUNDAY</v>
      </c>
      <c r="F5754" t="e">
        <f t="shared" si="215"/>
        <v>#N/A</v>
      </c>
      <c r="G5754" s="74">
        <v>32016</v>
      </c>
      <c r="H5754" s="77">
        <v>1</v>
      </c>
      <c r="J5754">
        <v>62.06</v>
      </c>
      <c r="M5754" s="74">
        <v>34573</v>
      </c>
      <c r="N5754" s="80">
        <v>1</v>
      </c>
      <c r="P5754">
        <v>66.92</v>
      </c>
      <c r="S5754" s="74">
        <v>34938</v>
      </c>
      <c r="T5754" s="80">
        <v>1</v>
      </c>
      <c r="V5754">
        <v>71.960000000000008</v>
      </c>
      <c r="X5754" s="42"/>
      <c r="AB5754">
        <v>71.400000000000006</v>
      </c>
      <c r="AC5754">
        <v>69.98</v>
      </c>
      <c r="AE5754" s="74"/>
      <c r="AF5754" s="80"/>
      <c r="AH5754" s="497">
        <v>65.84</v>
      </c>
      <c r="AJ5754" s="42"/>
      <c r="AK5754" s="74"/>
      <c r="AL5754" s="80"/>
      <c r="AN5754" s="497">
        <v>60.08</v>
      </c>
      <c r="AP5754" s="42"/>
      <c r="AQ5754" s="74"/>
      <c r="AR5754" s="80"/>
      <c r="AT5754" s="497">
        <v>66.92</v>
      </c>
      <c r="AV5754" s="42"/>
      <c r="AW5754" s="74"/>
      <c r="AX5754" s="80"/>
      <c r="BA5754" s="497">
        <v>62.06</v>
      </c>
      <c r="BB5754" s="42"/>
      <c r="BC5754" s="74"/>
      <c r="BD5754" s="80"/>
      <c r="BF5754">
        <v>68</v>
      </c>
      <c r="BH5754" s="42"/>
      <c r="BI5754" s="74"/>
      <c r="BJ5754" s="80"/>
      <c r="BL5754" s="497">
        <v>69.98</v>
      </c>
      <c r="BN5754" s="42"/>
      <c r="BO5754" s="74"/>
      <c r="BP5754" s="80"/>
      <c r="BR5754" s="497">
        <v>51.980000000000004</v>
      </c>
      <c r="BT5754" s="42"/>
    </row>
    <row r="5755" spans="1:72" x14ac:dyDescent="0.25">
      <c r="A5755" s="90">
        <v>34939</v>
      </c>
      <c r="B5755" s="20">
        <v>4.1666666666666664E-2</v>
      </c>
      <c r="D5755">
        <v>73.94</v>
      </c>
      <c r="E5755" t="str">
        <f t="shared" si="214"/>
        <v>WEEKDAY</v>
      </c>
      <c r="F5755" t="e">
        <f t="shared" si="215"/>
        <v>#N/A</v>
      </c>
      <c r="G5755" s="74">
        <v>32017</v>
      </c>
      <c r="H5755" s="77">
        <v>4.1666666666666664E-2</v>
      </c>
      <c r="J5755">
        <v>62.96</v>
      </c>
      <c r="M5755" s="74">
        <v>34574</v>
      </c>
      <c r="N5755" s="77">
        <v>4.1666666666666664E-2</v>
      </c>
      <c r="P5755">
        <v>65.84</v>
      </c>
      <c r="S5755" s="74">
        <v>34939</v>
      </c>
      <c r="T5755" s="77">
        <v>4.1666666666666664E-2</v>
      </c>
      <c r="V5755">
        <v>71.06</v>
      </c>
      <c r="X5755" s="42"/>
      <c r="AB5755">
        <v>70.7</v>
      </c>
      <c r="AC5755">
        <v>69.080000000000013</v>
      </c>
      <c r="AE5755" s="74"/>
      <c r="AF5755" s="77"/>
      <c r="AH5755" s="497">
        <v>64.94</v>
      </c>
      <c r="AJ5755" s="42"/>
      <c r="AK5755" s="74"/>
      <c r="AL5755" s="77"/>
      <c r="AN5755" s="497">
        <v>57.019999999999996</v>
      </c>
      <c r="AP5755" s="42"/>
      <c r="AQ5755" s="74"/>
      <c r="AR5755" s="77"/>
      <c r="AT5755" s="497">
        <v>60.08</v>
      </c>
      <c r="AV5755" s="42"/>
      <c r="AW5755" s="74"/>
      <c r="AX5755" s="77"/>
      <c r="BA5755" s="497">
        <v>60.980000000000004</v>
      </c>
      <c r="BB5755" s="42"/>
      <c r="BC5755" s="74"/>
      <c r="BD5755" s="77"/>
      <c r="BF5755">
        <v>69.080000000000013</v>
      </c>
      <c r="BH5755" s="42"/>
      <c r="BI5755" s="74"/>
      <c r="BJ5755" s="77"/>
      <c r="BL5755" s="497">
        <v>69.98</v>
      </c>
      <c r="BN5755" s="42"/>
      <c r="BO5755" s="74"/>
      <c r="BP5755" s="77"/>
      <c r="BR5755" s="497">
        <v>50</v>
      </c>
      <c r="BT5755" s="42"/>
    </row>
    <row r="5756" spans="1:72" x14ac:dyDescent="0.25">
      <c r="A5756" s="90">
        <v>34939</v>
      </c>
      <c r="B5756" s="20">
        <v>8.3333333333333329E-2</v>
      </c>
      <c r="D5756">
        <v>73.94</v>
      </c>
      <c r="E5756" t="str">
        <f t="shared" si="214"/>
        <v>WEEKDAY</v>
      </c>
      <c r="F5756" t="e">
        <f t="shared" si="215"/>
        <v>#N/A</v>
      </c>
      <c r="G5756" s="74">
        <v>32017</v>
      </c>
      <c r="H5756" s="77">
        <v>8.3333333333333329E-2</v>
      </c>
      <c r="J5756">
        <v>62.96</v>
      </c>
      <c r="M5756" s="74">
        <v>34574</v>
      </c>
      <c r="N5756" s="77">
        <v>8.3333333333333329E-2</v>
      </c>
      <c r="P5756">
        <v>64.94</v>
      </c>
      <c r="S5756" s="74">
        <v>34939</v>
      </c>
      <c r="T5756" s="77">
        <v>8.3333333333333329E-2</v>
      </c>
      <c r="V5756">
        <v>71.06</v>
      </c>
      <c r="X5756" s="42"/>
      <c r="AB5756">
        <v>70.099999999999994</v>
      </c>
      <c r="AC5756">
        <v>69.080000000000013</v>
      </c>
      <c r="AE5756" s="74"/>
      <c r="AF5756" s="77"/>
      <c r="AH5756" s="497">
        <v>63.86</v>
      </c>
      <c r="AJ5756" s="42"/>
      <c r="AK5756" s="74"/>
      <c r="AL5756" s="77"/>
      <c r="AN5756" s="497">
        <v>57.92</v>
      </c>
      <c r="AP5756" s="42"/>
      <c r="AQ5756" s="74"/>
      <c r="AR5756" s="77"/>
      <c r="AT5756" s="497">
        <v>59</v>
      </c>
      <c r="AV5756" s="42"/>
      <c r="AW5756" s="74"/>
      <c r="AX5756" s="77"/>
      <c r="BA5756" s="497">
        <v>60.980000000000004</v>
      </c>
      <c r="BB5756" s="42"/>
      <c r="BC5756" s="74"/>
      <c r="BD5756" s="77"/>
      <c r="BF5756">
        <v>68</v>
      </c>
      <c r="BH5756" s="42"/>
      <c r="BI5756" s="74"/>
      <c r="BJ5756" s="77"/>
      <c r="BL5756" s="497">
        <v>69.080000000000013</v>
      </c>
      <c r="BN5756" s="42"/>
      <c r="BO5756" s="74"/>
      <c r="BP5756" s="77"/>
      <c r="BR5756" s="497">
        <v>51.08</v>
      </c>
      <c r="BT5756" s="42"/>
    </row>
    <row r="5757" spans="1:72" x14ac:dyDescent="0.25">
      <c r="A5757" s="90">
        <v>34939</v>
      </c>
      <c r="B5757" s="20">
        <v>0.125</v>
      </c>
      <c r="D5757">
        <v>73.94</v>
      </c>
      <c r="E5757" t="str">
        <f t="shared" si="214"/>
        <v>WEEKDAY</v>
      </c>
      <c r="F5757" t="e">
        <f t="shared" si="215"/>
        <v>#N/A</v>
      </c>
      <c r="G5757" s="74">
        <v>32017</v>
      </c>
      <c r="H5757" s="77">
        <v>0.125</v>
      </c>
      <c r="J5757">
        <v>62.96</v>
      </c>
      <c r="M5757" s="74">
        <v>34574</v>
      </c>
      <c r="N5757" s="77">
        <v>0.125</v>
      </c>
      <c r="P5757">
        <v>64.94</v>
      </c>
      <c r="S5757" s="74">
        <v>34939</v>
      </c>
      <c r="T5757" s="77">
        <v>0.125</v>
      </c>
      <c r="V5757">
        <v>69.080000000000013</v>
      </c>
      <c r="X5757" s="42"/>
      <c r="AB5757">
        <v>69.5</v>
      </c>
      <c r="AC5757">
        <v>69.080000000000013</v>
      </c>
      <c r="AE5757" s="74"/>
      <c r="AF5757" s="77"/>
      <c r="AH5757" s="497">
        <v>62.96</v>
      </c>
      <c r="AJ5757" s="42"/>
      <c r="AK5757" s="74"/>
      <c r="AL5757" s="77"/>
      <c r="AN5757" s="497">
        <v>57.019999999999996</v>
      </c>
      <c r="AP5757" s="42"/>
      <c r="AQ5757" s="74"/>
      <c r="AR5757" s="77"/>
      <c r="AT5757" s="497">
        <v>60.980000000000004</v>
      </c>
      <c r="AV5757" s="42"/>
      <c r="AW5757" s="74"/>
      <c r="AX5757" s="77"/>
      <c r="BA5757" s="497">
        <v>60.08</v>
      </c>
      <c r="BB5757" s="42"/>
      <c r="BC5757" s="74"/>
      <c r="BD5757" s="77"/>
      <c r="BF5757">
        <v>68</v>
      </c>
      <c r="BH5757" s="42"/>
      <c r="BI5757" s="74"/>
      <c r="BJ5757" s="77"/>
      <c r="BL5757" s="497">
        <v>69.080000000000013</v>
      </c>
      <c r="BN5757" s="42"/>
      <c r="BO5757" s="74"/>
      <c r="BP5757" s="77"/>
      <c r="BR5757" s="497">
        <v>53.06</v>
      </c>
      <c r="BT5757" s="42"/>
    </row>
    <row r="5758" spans="1:72" x14ac:dyDescent="0.25">
      <c r="A5758" s="90">
        <v>34939</v>
      </c>
      <c r="B5758" s="20">
        <v>0.16666666666666666</v>
      </c>
      <c r="D5758">
        <v>73.94</v>
      </c>
      <c r="E5758" t="str">
        <f t="shared" si="214"/>
        <v>WEEKDAY</v>
      </c>
      <c r="F5758" t="e">
        <f t="shared" si="215"/>
        <v>#N/A</v>
      </c>
      <c r="G5758" s="74">
        <v>32017</v>
      </c>
      <c r="H5758" s="77">
        <v>0.16666666666666666</v>
      </c>
      <c r="J5758">
        <v>62.96</v>
      </c>
      <c r="M5758" s="74">
        <v>34574</v>
      </c>
      <c r="N5758" s="77">
        <v>0.16666666666666666</v>
      </c>
      <c r="P5758">
        <v>63.86</v>
      </c>
      <c r="S5758" s="74">
        <v>34939</v>
      </c>
      <c r="T5758" s="77">
        <v>0.16666666666666666</v>
      </c>
      <c r="V5758">
        <v>68</v>
      </c>
      <c r="X5758" s="42"/>
      <c r="AB5758">
        <v>69</v>
      </c>
      <c r="AC5758">
        <v>68</v>
      </c>
      <c r="AE5758" s="74"/>
      <c r="AF5758" s="77"/>
      <c r="AH5758" s="497">
        <v>61.88</v>
      </c>
      <c r="AJ5758" s="42"/>
      <c r="AK5758" s="74"/>
      <c r="AL5758" s="77"/>
      <c r="AN5758" s="497">
        <v>57.019999999999996</v>
      </c>
      <c r="AP5758" s="42"/>
      <c r="AQ5758" s="74"/>
      <c r="AR5758" s="77"/>
      <c r="AT5758" s="497">
        <v>64.039999999999992</v>
      </c>
      <c r="AV5758" s="42"/>
      <c r="AW5758" s="74"/>
      <c r="AX5758" s="77"/>
      <c r="BA5758" s="497">
        <v>59</v>
      </c>
      <c r="BB5758" s="42"/>
      <c r="BC5758" s="74"/>
      <c r="BD5758" s="77"/>
      <c r="BF5758">
        <v>68</v>
      </c>
      <c r="BH5758" s="42"/>
      <c r="BI5758" s="74"/>
      <c r="BJ5758" s="77"/>
      <c r="BL5758" s="497">
        <v>68</v>
      </c>
      <c r="BN5758" s="42"/>
      <c r="BO5758" s="74"/>
      <c r="BP5758" s="77"/>
      <c r="BR5758" s="497">
        <v>55.040000000000006</v>
      </c>
      <c r="BT5758" s="42"/>
    </row>
    <row r="5759" spans="1:72" x14ac:dyDescent="0.25">
      <c r="A5759" s="90">
        <v>34939</v>
      </c>
      <c r="B5759" s="20">
        <v>0.20833333333333334</v>
      </c>
      <c r="D5759">
        <v>73.039999999999992</v>
      </c>
      <c r="E5759" t="str">
        <f t="shared" si="214"/>
        <v>WEEKDAY</v>
      </c>
      <c r="F5759" t="e">
        <f t="shared" si="215"/>
        <v>#N/A</v>
      </c>
      <c r="G5759" s="74">
        <v>32017</v>
      </c>
      <c r="H5759" s="77">
        <v>0.20833333333333334</v>
      </c>
      <c r="J5759">
        <v>62.06</v>
      </c>
      <c r="M5759" s="74">
        <v>34574</v>
      </c>
      <c r="N5759" s="77">
        <v>0.20833333333333334</v>
      </c>
      <c r="P5759">
        <v>63.86</v>
      </c>
      <c r="S5759" s="74">
        <v>34939</v>
      </c>
      <c r="T5759" s="77">
        <v>0.20833333333333334</v>
      </c>
      <c r="V5759">
        <v>66.92</v>
      </c>
      <c r="X5759" s="42"/>
      <c r="AB5759">
        <v>68.5</v>
      </c>
      <c r="AC5759">
        <v>68</v>
      </c>
      <c r="AE5759" s="74"/>
      <c r="AF5759" s="77"/>
      <c r="AH5759" s="497">
        <v>62.96</v>
      </c>
      <c r="AJ5759" s="42"/>
      <c r="AK5759" s="74"/>
      <c r="AL5759" s="77"/>
      <c r="AN5759" s="497">
        <v>55.040000000000006</v>
      </c>
      <c r="AP5759" s="42"/>
      <c r="AQ5759" s="74"/>
      <c r="AR5759" s="77"/>
      <c r="AT5759" s="497">
        <v>64.039999999999992</v>
      </c>
      <c r="AV5759" s="42"/>
      <c r="AW5759" s="74"/>
      <c r="AX5759" s="77"/>
      <c r="BA5759" s="497">
        <v>59</v>
      </c>
      <c r="BB5759" s="42"/>
      <c r="BC5759" s="74"/>
      <c r="BD5759" s="77"/>
      <c r="BF5759">
        <v>68</v>
      </c>
      <c r="BH5759" s="42"/>
      <c r="BI5759" s="74"/>
      <c r="BJ5759" s="77"/>
      <c r="BL5759" s="497">
        <v>68</v>
      </c>
      <c r="BN5759" s="42"/>
      <c r="BO5759" s="74"/>
      <c r="BP5759" s="77"/>
      <c r="BR5759" s="497">
        <v>55.040000000000006</v>
      </c>
      <c r="BT5759" s="42"/>
    </row>
    <row r="5760" spans="1:72" x14ac:dyDescent="0.25">
      <c r="A5760" s="90">
        <v>34939</v>
      </c>
      <c r="B5760" s="20">
        <v>0.25</v>
      </c>
      <c r="D5760">
        <v>73.039999999999992</v>
      </c>
      <c r="E5760" t="str">
        <f t="shared" si="214"/>
        <v>WEEKDAY</v>
      </c>
      <c r="F5760" t="e">
        <f t="shared" si="215"/>
        <v>#N/A</v>
      </c>
      <c r="G5760" s="74">
        <v>32017</v>
      </c>
      <c r="H5760" s="77">
        <v>0.25</v>
      </c>
      <c r="J5760">
        <v>62.06</v>
      </c>
      <c r="M5760" s="74">
        <v>34574</v>
      </c>
      <c r="N5760" s="77">
        <v>0.25</v>
      </c>
      <c r="P5760">
        <v>62.96</v>
      </c>
      <c r="S5760" s="74">
        <v>34939</v>
      </c>
      <c r="T5760" s="77">
        <v>0.25</v>
      </c>
      <c r="V5760">
        <v>68</v>
      </c>
      <c r="X5760" s="42"/>
      <c r="AB5760">
        <v>68.3</v>
      </c>
      <c r="AC5760">
        <v>68</v>
      </c>
      <c r="AE5760" s="74"/>
      <c r="AF5760" s="77"/>
      <c r="AH5760" s="497">
        <v>63.86</v>
      </c>
      <c r="AJ5760" s="42"/>
      <c r="AK5760" s="74"/>
      <c r="AL5760" s="77"/>
      <c r="AN5760" s="497">
        <v>55.040000000000006</v>
      </c>
      <c r="AP5760" s="42"/>
      <c r="AQ5760" s="74"/>
      <c r="AR5760" s="77"/>
      <c r="AT5760" s="497">
        <v>64.94</v>
      </c>
      <c r="AV5760" s="42"/>
      <c r="AW5760" s="74"/>
      <c r="AX5760" s="77"/>
      <c r="BA5760" s="497">
        <v>59</v>
      </c>
      <c r="BB5760" s="42"/>
      <c r="BC5760" s="74"/>
      <c r="BD5760" s="77"/>
      <c r="BF5760">
        <v>66.92</v>
      </c>
      <c r="BH5760" s="42"/>
      <c r="BI5760" s="74"/>
      <c r="BJ5760" s="77"/>
      <c r="BL5760" s="497">
        <v>66.92</v>
      </c>
      <c r="BN5760" s="42"/>
      <c r="BO5760" s="74"/>
      <c r="BP5760" s="77"/>
      <c r="BR5760" s="497">
        <v>55.040000000000006</v>
      </c>
      <c r="BT5760" s="42"/>
    </row>
    <row r="5761" spans="1:72" x14ac:dyDescent="0.25">
      <c r="A5761" s="90">
        <v>34939</v>
      </c>
      <c r="B5761" s="20">
        <v>0.29166666666666669</v>
      </c>
      <c r="D5761">
        <v>73.94</v>
      </c>
      <c r="E5761" t="str">
        <f t="shared" si="214"/>
        <v>WEEKDAY</v>
      </c>
      <c r="F5761" t="e">
        <f t="shared" si="215"/>
        <v>#N/A</v>
      </c>
      <c r="G5761" s="74">
        <v>32017</v>
      </c>
      <c r="H5761" s="77">
        <v>0.29166666666666669</v>
      </c>
      <c r="J5761">
        <v>62.06</v>
      </c>
      <c r="M5761" s="74">
        <v>34574</v>
      </c>
      <c r="N5761" s="77">
        <v>0.29166666666666669</v>
      </c>
      <c r="P5761">
        <v>66.92</v>
      </c>
      <c r="S5761" s="74">
        <v>34939</v>
      </c>
      <c r="T5761" s="77">
        <v>0.29166666666666669</v>
      </c>
      <c r="V5761">
        <v>69.080000000000013</v>
      </c>
      <c r="X5761" s="42"/>
      <c r="AB5761">
        <v>68.5</v>
      </c>
      <c r="AC5761">
        <v>66.92</v>
      </c>
      <c r="AE5761" s="74"/>
      <c r="AF5761" s="77"/>
      <c r="AH5761" s="497">
        <v>64.94</v>
      </c>
      <c r="AJ5761" s="42"/>
      <c r="AK5761" s="74"/>
      <c r="AL5761" s="77"/>
      <c r="AN5761" s="497">
        <v>57.019999999999996</v>
      </c>
      <c r="AP5761" s="42"/>
      <c r="AQ5761" s="74"/>
      <c r="AR5761" s="77"/>
      <c r="AT5761" s="497">
        <v>66.92</v>
      </c>
      <c r="AV5761" s="42"/>
      <c r="AW5761" s="74"/>
      <c r="AX5761" s="77"/>
      <c r="BA5761" s="497">
        <v>60.980000000000004</v>
      </c>
      <c r="BB5761" s="42"/>
      <c r="BC5761" s="74"/>
      <c r="BD5761" s="77"/>
      <c r="BF5761">
        <v>68</v>
      </c>
      <c r="BH5761" s="42"/>
      <c r="BI5761" s="74"/>
      <c r="BJ5761" s="77"/>
      <c r="BL5761" s="497">
        <v>69.080000000000013</v>
      </c>
      <c r="BN5761" s="42"/>
      <c r="BO5761" s="74"/>
      <c r="BP5761" s="77"/>
      <c r="BR5761" s="497">
        <v>55.94</v>
      </c>
      <c r="BT5761" s="42"/>
    </row>
    <row r="5762" spans="1:72" x14ac:dyDescent="0.25">
      <c r="A5762" s="90">
        <v>34939</v>
      </c>
      <c r="B5762" s="20">
        <v>0.33333333333333331</v>
      </c>
      <c r="D5762">
        <v>73.94</v>
      </c>
      <c r="E5762" t="str">
        <f t="shared" si="214"/>
        <v>WEEKDAY</v>
      </c>
      <c r="F5762" t="e">
        <f t="shared" si="215"/>
        <v>#N/A</v>
      </c>
      <c r="G5762" s="74">
        <v>32017</v>
      </c>
      <c r="H5762" s="77">
        <v>0.33333333333333331</v>
      </c>
      <c r="J5762">
        <v>62.06</v>
      </c>
      <c r="M5762" s="74">
        <v>34574</v>
      </c>
      <c r="N5762" s="77">
        <v>0.33333333333333331</v>
      </c>
      <c r="P5762">
        <v>72.86</v>
      </c>
      <c r="S5762" s="74">
        <v>34939</v>
      </c>
      <c r="T5762" s="77">
        <v>0.33333333333333331</v>
      </c>
      <c r="V5762">
        <v>73.039999999999992</v>
      </c>
      <c r="X5762" s="42"/>
      <c r="AB5762">
        <v>70.599999999999994</v>
      </c>
      <c r="AC5762">
        <v>69.080000000000013</v>
      </c>
      <c r="AE5762" s="74"/>
      <c r="AF5762" s="77"/>
      <c r="AH5762" s="497">
        <v>69.98</v>
      </c>
      <c r="AJ5762" s="42"/>
      <c r="AK5762" s="74"/>
      <c r="AL5762" s="77"/>
      <c r="AN5762" s="497">
        <v>60.08</v>
      </c>
      <c r="AP5762" s="42"/>
      <c r="AQ5762" s="74"/>
      <c r="AR5762" s="77"/>
      <c r="AT5762" s="497">
        <v>69.98</v>
      </c>
      <c r="AV5762" s="42"/>
      <c r="AW5762" s="74"/>
      <c r="AX5762" s="77"/>
      <c r="BA5762" s="497">
        <v>62.06</v>
      </c>
      <c r="BB5762" s="42"/>
      <c r="BC5762" s="74"/>
      <c r="BD5762" s="77"/>
      <c r="BF5762">
        <v>69.080000000000013</v>
      </c>
      <c r="BH5762" s="42"/>
      <c r="BI5762" s="74"/>
      <c r="BJ5762" s="77"/>
      <c r="BL5762" s="497">
        <v>71.06</v>
      </c>
      <c r="BN5762" s="42"/>
      <c r="BO5762" s="74"/>
      <c r="BP5762" s="77"/>
      <c r="BR5762" s="497">
        <v>53.96</v>
      </c>
      <c r="BT5762" s="42"/>
    </row>
    <row r="5763" spans="1:72" x14ac:dyDescent="0.25">
      <c r="A5763" s="90">
        <v>34939</v>
      </c>
      <c r="B5763" s="20">
        <v>0.375</v>
      </c>
      <c r="D5763">
        <v>75.92</v>
      </c>
      <c r="E5763" t="str">
        <f t="shared" si="214"/>
        <v>WEEKDAY</v>
      </c>
      <c r="F5763" t="e">
        <f t="shared" si="215"/>
        <v>#N/A</v>
      </c>
      <c r="G5763" s="74">
        <v>32017</v>
      </c>
      <c r="H5763" s="77">
        <v>0.375</v>
      </c>
      <c r="J5763">
        <v>62.96</v>
      </c>
      <c r="M5763" s="74">
        <v>34574</v>
      </c>
      <c r="N5763" s="77">
        <v>0.375</v>
      </c>
      <c r="P5763">
        <v>77</v>
      </c>
      <c r="S5763" s="74">
        <v>34939</v>
      </c>
      <c r="T5763" s="77">
        <v>0.375</v>
      </c>
      <c r="V5763">
        <v>77</v>
      </c>
      <c r="X5763" s="42"/>
      <c r="AB5763">
        <v>72.7</v>
      </c>
      <c r="AC5763">
        <v>69.080000000000013</v>
      </c>
      <c r="AE5763" s="74"/>
      <c r="AF5763" s="77"/>
      <c r="AH5763" s="497">
        <v>73.94</v>
      </c>
      <c r="AJ5763" s="42"/>
      <c r="AK5763" s="74"/>
      <c r="AL5763" s="77"/>
      <c r="AN5763" s="497">
        <v>64.039999999999992</v>
      </c>
      <c r="AP5763" s="42"/>
      <c r="AQ5763" s="74"/>
      <c r="AR5763" s="77"/>
      <c r="AT5763" s="497">
        <v>71.06</v>
      </c>
      <c r="AV5763" s="42"/>
      <c r="AW5763" s="74"/>
      <c r="AX5763" s="77"/>
      <c r="BA5763" s="497">
        <v>68</v>
      </c>
      <c r="BB5763" s="42"/>
      <c r="BC5763" s="74"/>
      <c r="BD5763" s="77"/>
      <c r="BF5763">
        <v>71.960000000000008</v>
      </c>
      <c r="BH5763" s="42"/>
      <c r="BI5763" s="74"/>
      <c r="BJ5763" s="77"/>
      <c r="BL5763" s="497">
        <v>73.94</v>
      </c>
      <c r="BN5763" s="42"/>
      <c r="BO5763" s="74"/>
      <c r="BP5763" s="77"/>
      <c r="BR5763" s="497">
        <v>55.94</v>
      </c>
      <c r="BT5763" s="42"/>
    </row>
    <row r="5764" spans="1:72" x14ac:dyDescent="0.25">
      <c r="A5764" s="90">
        <v>34939</v>
      </c>
      <c r="B5764" s="20">
        <v>0.41666666666666669</v>
      </c>
      <c r="D5764">
        <v>77</v>
      </c>
      <c r="E5764" t="str">
        <f t="shared" si="214"/>
        <v>WEEKDAY</v>
      </c>
      <c r="F5764" t="e">
        <f t="shared" si="215"/>
        <v>#N/A</v>
      </c>
      <c r="G5764" s="74">
        <v>32017</v>
      </c>
      <c r="H5764" s="77">
        <v>0.41666666666666669</v>
      </c>
      <c r="J5764">
        <v>62.96</v>
      </c>
      <c r="M5764" s="74">
        <v>34574</v>
      </c>
      <c r="N5764" s="77">
        <v>0.41666666666666669</v>
      </c>
      <c r="P5764">
        <v>78.98</v>
      </c>
      <c r="S5764" s="74">
        <v>34939</v>
      </c>
      <c r="T5764" s="77">
        <v>0.41666666666666669</v>
      </c>
      <c r="V5764">
        <v>77</v>
      </c>
      <c r="X5764" s="42"/>
      <c r="AB5764">
        <v>74.7</v>
      </c>
      <c r="AC5764">
        <v>71.06</v>
      </c>
      <c r="AE5764" s="74"/>
      <c r="AF5764" s="77"/>
      <c r="AH5764" s="497">
        <v>77.900000000000006</v>
      </c>
      <c r="AJ5764" s="42"/>
      <c r="AK5764" s="74"/>
      <c r="AL5764" s="77"/>
      <c r="AN5764" s="497">
        <v>66.92</v>
      </c>
      <c r="AP5764" s="42"/>
      <c r="AQ5764" s="74"/>
      <c r="AR5764" s="77"/>
      <c r="AT5764" s="497">
        <v>73.94</v>
      </c>
      <c r="AV5764" s="42"/>
      <c r="AW5764" s="74"/>
      <c r="AX5764" s="77"/>
      <c r="BA5764" s="497">
        <v>71.960000000000008</v>
      </c>
      <c r="BB5764" s="42"/>
      <c r="BC5764" s="74"/>
      <c r="BD5764" s="77"/>
      <c r="BF5764">
        <v>73.94</v>
      </c>
      <c r="BH5764" s="42"/>
      <c r="BI5764" s="74"/>
      <c r="BJ5764" s="77"/>
      <c r="BL5764" s="497">
        <v>78.080000000000013</v>
      </c>
      <c r="BN5764" s="42"/>
      <c r="BO5764" s="74"/>
      <c r="BP5764" s="77"/>
      <c r="BR5764" s="497">
        <v>57.92</v>
      </c>
      <c r="BT5764" s="42"/>
    </row>
    <row r="5765" spans="1:72" x14ac:dyDescent="0.25">
      <c r="A5765" s="90">
        <v>34939</v>
      </c>
      <c r="B5765" s="20">
        <v>0.45833333333333331</v>
      </c>
      <c r="D5765">
        <v>77</v>
      </c>
      <c r="E5765" t="str">
        <f t="shared" si="214"/>
        <v>WEEKDAY</v>
      </c>
      <c r="F5765" t="e">
        <f t="shared" si="215"/>
        <v>#N/A</v>
      </c>
      <c r="G5765" s="74">
        <v>32017</v>
      </c>
      <c r="H5765" s="77">
        <v>0.45833333333333331</v>
      </c>
      <c r="J5765">
        <v>62.96</v>
      </c>
      <c r="M5765" s="74">
        <v>34574</v>
      </c>
      <c r="N5765" s="77">
        <v>0.45833333333333331</v>
      </c>
      <c r="P5765">
        <v>80.960000000000008</v>
      </c>
      <c r="S5765" s="74">
        <v>34939</v>
      </c>
      <c r="T5765" s="77">
        <v>0.45833333333333331</v>
      </c>
      <c r="V5765">
        <v>78.080000000000013</v>
      </c>
      <c r="X5765" s="42"/>
      <c r="AB5765">
        <v>76.400000000000006</v>
      </c>
      <c r="AC5765">
        <v>71.06</v>
      </c>
      <c r="AE5765" s="74"/>
      <c r="AF5765" s="77"/>
      <c r="AH5765" s="497">
        <v>80.960000000000008</v>
      </c>
      <c r="AJ5765" s="42"/>
      <c r="AK5765" s="74"/>
      <c r="AL5765" s="77"/>
      <c r="AN5765" s="497">
        <v>69.98</v>
      </c>
      <c r="AP5765" s="42"/>
      <c r="AQ5765" s="74"/>
      <c r="AR5765" s="77"/>
      <c r="AT5765" s="497">
        <v>73.94</v>
      </c>
      <c r="AV5765" s="42"/>
      <c r="AW5765" s="74"/>
      <c r="AX5765" s="77"/>
      <c r="BA5765" s="497">
        <v>75.92</v>
      </c>
      <c r="BB5765" s="42"/>
      <c r="BC5765" s="74"/>
      <c r="BD5765" s="77"/>
      <c r="BF5765">
        <v>73.94</v>
      </c>
      <c r="BH5765" s="42"/>
      <c r="BI5765" s="74"/>
      <c r="BJ5765" s="77"/>
      <c r="BL5765" s="497">
        <v>78.98</v>
      </c>
      <c r="BN5765" s="42"/>
      <c r="BO5765" s="74"/>
      <c r="BP5765" s="77"/>
      <c r="BR5765" s="497">
        <v>60.08</v>
      </c>
      <c r="BT5765" s="42"/>
    </row>
    <row r="5766" spans="1:72" x14ac:dyDescent="0.25">
      <c r="A5766" s="90">
        <v>34939</v>
      </c>
      <c r="B5766" s="20">
        <v>0.5</v>
      </c>
      <c r="D5766">
        <v>78.98</v>
      </c>
      <c r="E5766" t="str">
        <f t="shared" si="214"/>
        <v>WEEKDAY</v>
      </c>
      <c r="F5766" t="e">
        <f t="shared" si="215"/>
        <v>#N/A</v>
      </c>
      <c r="G5766" s="74">
        <v>32017</v>
      </c>
      <c r="H5766" s="77">
        <v>0.5</v>
      </c>
      <c r="J5766">
        <v>64.039999999999992</v>
      </c>
      <c r="M5766" s="74">
        <v>34574</v>
      </c>
      <c r="N5766" s="77">
        <v>0.5</v>
      </c>
      <c r="P5766">
        <v>82.94</v>
      </c>
      <c r="S5766" s="74">
        <v>34939</v>
      </c>
      <c r="T5766" s="77">
        <v>0.5</v>
      </c>
      <c r="V5766">
        <v>78.98</v>
      </c>
      <c r="X5766" s="42"/>
      <c r="AB5766">
        <v>77.8</v>
      </c>
      <c r="AC5766">
        <v>69.98</v>
      </c>
      <c r="AE5766" s="74"/>
      <c r="AF5766" s="77"/>
      <c r="AH5766" s="497">
        <v>84.92</v>
      </c>
      <c r="AJ5766" s="42"/>
      <c r="AK5766" s="74"/>
      <c r="AL5766" s="77"/>
      <c r="AN5766" s="497">
        <v>73.039999999999992</v>
      </c>
      <c r="AP5766" s="42"/>
      <c r="AQ5766" s="74"/>
      <c r="AR5766" s="77"/>
      <c r="AT5766" s="497">
        <v>73.94</v>
      </c>
      <c r="AV5766" s="42"/>
      <c r="AW5766" s="74"/>
      <c r="AX5766" s="77"/>
      <c r="BA5766" s="497">
        <v>77</v>
      </c>
      <c r="BB5766" s="42"/>
      <c r="BC5766" s="74"/>
      <c r="BD5766" s="77"/>
      <c r="BF5766">
        <v>75.02</v>
      </c>
      <c r="BH5766" s="42"/>
      <c r="BI5766" s="74"/>
      <c r="BJ5766" s="77"/>
      <c r="BL5766" s="497">
        <v>78.080000000000013</v>
      </c>
      <c r="BN5766" s="42"/>
      <c r="BO5766" s="74"/>
      <c r="BP5766" s="77"/>
      <c r="BR5766" s="497">
        <v>60.980000000000004</v>
      </c>
      <c r="BT5766" s="42"/>
    </row>
    <row r="5767" spans="1:72" x14ac:dyDescent="0.25">
      <c r="A5767" s="90">
        <v>34939</v>
      </c>
      <c r="B5767" s="20">
        <v>0.54166666666666663</v>
      </c>
      <c r="D5767">
        <v>80.06</v>
      </c>
      <c r="E5767" t="str">
        <f t="shared" si="214"/>
        <v>WEEKDAY</v>
      </c>
      <c r="F5767" t="e">
        <f t="shared" si="215"/>
        <v>#N/A</v>
      </c>
      <c r="G5767" s="74">
        <v>32017</v>
      </c>
      <c r="H5767" s="77">
        <v>0.54166666666666663</v>
      </c>
      <c r="J5767">
        <v>64.039999999999992</v>
      </c>
      <c r="M5767" s="74">
        <v>34574</v>
      </c>
      <c r="N5767" s="77">
        <v>0.54166666666666663</v>
      </c>
      <c r="P5767">
        <v>83.84</v>
      </c>
      <c r="S5767" s="74">
        <v>34939</v>
      </c>
      <c r="T5767" s="77">
        <v>0.54166666666666663</v>
      </c>
      <c r="V5767">
        <v>78.98</v>
      </c>
      <c r="X5767" s="42"/>
      <c r="AB5767">
        <v>78.8</v>
      </c>
      <c r="AC5767">
        <v>69.98</v>
      </c>
      <c r="AE5767" s="74"/>
      <c r="AF5767" s="77"/>
      <c r="AH5767" s="497">
        <v>84.92</v>
      </c>
      <c r="AJ5767" s="42"/>
      <c r="AK5767" s="74"/>
      <c r="AL5767" s="77"/>
      <c r="AN5767" s="497">
        <v>73.039999999999992</v>
      </c>
      <c r="AP5767" s="42"/>
      <c r="AQ5767" s="74"/>
      <c r="AR5767" s="77"/>
      <c r="AT5767" s="497">
        <v>75.92</v>
      </c>
      <c r="AV5767" s="42"/>
      <c r="AW5767" s="74"/>
      <c r="AX5767" s="77"/>
      <c r="BA5767" s="497">
        <v>78.98</v>
      </c>
      <c r="BB5767" s="42"/>
      <c r="BC5767" s="74"/>
      <c r="BD5767" s="77"/>
      <c r="BF5767">
        <v>77</v>
      </c>
      <c r="BH5767" s="42"/>
      <c r="BI5767" s="74"/>
      <c r="BJ5767" s="77"/>
      <c r="BL5767" s="497">
        <v>78.98</v>
      </c>
      <c r="BN5767" s="42"/>
      <c r="BO5767" s="74"/>
      <c r="BP5767" s="77"/>
      <c r="BR5767" s="497">
        <v>66.92</v>
      </c>
      <c r="BT5767" s="42"/>
    </row>
    <row r="5768" spans="1:72" x14ac:dyDescent="0.25">
      <c r="A5768" s="90">
        <v>34939</v>
      </c>
      <c r="B5768" s="20">
        <v>0.58333333333333337</v>
      </c>
      <c r="D5768">
        <v>80.06</v>
      </c>
      <c r="E5768" t="str">
        <f t="shared" si="214"/>
        <v>WEEKDAY</v>
      </c>
      <c r="F5768" t="e">
        <f t="shared" si="215"/>
        <v>#N/A</v>
      </c>
      <c r="G5768" s="74">
        <v>32017</v>
      </c>
      <c r="H5768" s="77">
        <v>0.58333333333333337</v>
      </c>
      <c r="J5768">
        <v>62.96</v>
      </c>
      <c r="M5768" s="74">
        <v>34574</v>
      </c>
      <c r="N5768" s="77">
        <v>0.58333333333333337</v>
      </c>
      <c r="P5768">
        <v>83.84</v>
      </c>
      <c r="S5768" s="74">
        <v>34939</v>
      </c>
      <c r="T5768" s="77">
        <v>0.58333333333333337</v>
      </c>
      <c r="V5768">
        <v>78.080000000000013</v>
      </c>
      <c r="X5768" s="42"/>
      <c r="AB5768">
        <v>79.3</v>
      </c>
      <c r="AC5768">
        <v>71.960000000000008</v>
      </c>
      <c r="AE5768" s="74"/>
      <c r="AF5768" s="77"/>
      <c r="AH5768" s="497">
        <v>86.9</v>
      </c>
      <c r="AJ5768" s="42"/>
      <c r="AK5768" s="74"/>
      <c r="AL5768" s="77"/>
      <c r="AN5768" s="497">
        <v>75.02</v>
      </c>
      <c r="AP5768" s="42"/>
      <c r="AQ5768" s="74"/>
      <c r="AR5768" s="77"/>
      <c r="AT5768" s="497">
        <v>78.080000000000013</v>
      </c>
      <c r="AV5768" s="42"/>
      <c r="AW5768" s="74"/>
      <c r="AX5768" s="77"/>
      <c r="BA5768" s="497">
        <v>78.98</v>
      </c>
      <c r="BB5768" s="42"/>
      <c r="BC5768" s="74"/>
      <c r="BD5768" s="77"/>
      <c r="BF5768">
        <v>75.92</v>
      </c>
      <c r="BH5768" s="42"/>
      <c r="BI5768" s="74"/>
      <c r="BJ5768" s="77"/>
      <c r="BL5768" s="497">
        <v>80.960000000000008</v>
      </c>
      <c r="BN5768" s="42"/>
      <c r="BO5768" s="74"/>
      <c r="BP5768" s="77"/>
      <c r="BR5768" s="497">
        <v>68</v>
      </c>
      <c r="BT5768" s="42"/>
    </row>
    <row r="5769" spans="1:72" x14ac:dyDescent="0.25">
      <c r="A5769" s="90">
        <v>34939</v>
      </c>
      <c r="B5769" s="20">
        <v>0.625</v>
      </c>
      <c r="D5769">
        <v>78.080000000000013</v>
      </c>
      <c r="E5769" t="str">
        <f t="shared" si="214"/>
        <v>WEEKDAY</v>
      </c>
      <c r="F5769" t="e">
        <f t="shared" si="215"/>
        <v>#N/A</v>
      </c>
      <c r="G5769" s="74">
        <v>32017</v>
      </c>
      <c r="H5769" s="77">
        <v>0.625</v>
      </c>
      <c r="J5769">
        <v>62.96</v>
      </c>
      <c r="M5769" s="74">
        <v>34574</v>
      </c>
      <c r="N5769" s="77">
        <v>0.625</v>
      </c>
      <c r="P5769">
        <v>83.84</v>
      </c>
      <c r="S5769" s="74">
        <v>34939</v>
      </c>
      <c r="T5769" s="77">
        <v>0.625</v>
      </c>
      <c r="V5769">
        <v>78.080000000000013</v>
      </c>
      <c r="X5769" s="42"/>
      <c r="AB5769">
        <v>79.3</v>
      </c>
      <c r="AC5769">
        <v>71.960000000000008</v>
      </c>
      <c r="AE5769" s="74"/>
      <c r="AF5769" s="77"/>
      <c r="AH5769" s="497">
        <v>86</v>
      </c>
      <c r="AJ5769" s="42"/>
      <c r="AK5769" s="74"/>
      <c r="AL5769" s="77"/>
      <c r="AN5769" s="497">
        <v>75.02</v>
      </c>
      <c r="AP5769" s="42"/>
      <c r="AQ5769" s="74"/>
      <c r="AR5769" s="77"/>
      <c r="AT5769" s="497">
        <v>80.06</v>
      </c>
      <c r="AV5769" s="42"/>
      <c r="AW5769" s="74"/>
      <c r="AX5769" s="77"/>
      <c r="BA5769" s="497">
        <v>78.98</v>
      </c>
      <c r="BB5769" s="42"/>
      <c r="BC5769" s="74"/>
      <c r="BD5769" s="77"/>
      <c r="BF5769">
        <v>77</v>
      </c>
      <c r="BH5769" s="42"/>
      <c r="BI5769" s="74"/>
      <c r="BJ5769" s="77"/>
      <c r="BL5769" s="497">
        <v>80.960000000000008</v>
      </c>
      <c r="BN5769" s="42"/>
      <c r="BO5769" s="74"/>
      <c r="BP5769" s="77"/>
      <c r="BR5769" s="497">
        <v>71.06</v>
      </c>
      <c r="BT5769" s="42"/>
    </row>
    <row r="5770" spans="1:72" x14ac:dyDescent="0.25">
      <c r="A5770" s="90">
        <v>34939</v>
      </c>
      <c r="B5770" s="20">
        <v>0.66666666666666663</v>
      </c>
      <c r="D5770">
        <v>78.080000000000013</v>
      </c>
      <c r="E5770" t="str">
        <f t="shared" si="214"/>
        <v>WEEKDAY</v>
      </c>
      <c r="F5770" t="e">
        <f t="shared" si="215"/>
        <v>#N/A</v>
      </c>
      <c r="G5770" s="74">
        <v>32017</v>
      </c>
      <c r="H5770" s="77">
        <v>0.66666666666666663</v>
      </c>
      <c r="J5770">
        <v>64.039999999999992</v>
      </c>
      <c r="M5770" s="74">
        <v>34574</v>
      </c>
      <c r="N5770" s="77">
        <v>0.66666666666666663</v>
      </c>
      <c r="P5770">
        <v>82.94</v>
      </c>
      <c r="S5770" s="74">
        <v>34939</v>
      </c>
      <c r="T5770" s="77">
        <v>0.66666666666666663</v>
      </c>
      <c r="V5770">
        <v>75.92</v>
      </c>
      <c r="X5770" s="42"/>
      <c r="AB5770">
        <v>78.900000000000006</v>
      </c>
      <c r="AC5770">
        <v>71.06</v>
      </c>
      <c r="AE5770" s="74"/>
      <c r="AF5770" s="77"/>
      <c r="AH5770" s="497">
        <v>84.92</v>
      </c>
      <c r="AJ5770" s="42"/>
      <c r="AK5770" s="74"/>
      <c r="AL5770" s="77"/>
      <c r="AN5770" s="497">
        <v>75.02</v>
      </c>
      <c r="AP5770" s="42"/>
      <c r="AQ5770" s="74"/>
      <c r="AR5770" s="77"/>
      <c r="AT5770" s="497">
        <v>78.080000000000013</v>
      </c>
      <c r="AV5770" s="42"/>
      <c r="AW5770" s="74"/>
      <c r="AX5770" s="77"/>
      <c r="BA5770" s="497">
        <v>78.080000000000013</v>
      </c>
      <c r="BB5770" s="42"/>
      <c r="BC5770" s="74"/>
      <c r="BD5770" s="77"/>
      <c r="BF5770">
        <v>73.94</v>
      </c>
      <c r="BH5770" s="42"/>
      <c r="BI5770" s="74"/>
      <c r="BJ5770" s="77"/>
      <c r="BL5770" s="497">
        <v>80.960000000000008</v>
      </c>
      <c r="BN5770" s="42"/>
      <c r="BO5770" s="74"/>
      <c r="BP5770" s="77"/>
      <c r="BR5770" s="497">
        <v>73.039999999999992</v>
      </c>
      <c r="BT5770" s="42"/>
    </row>
    <row r="5771" spans="1:72" x14ac:dyDescent="0.25">
      <c r="A5771" s="90">
        <v>34939</v>
      </c>
      <c r="B5771" s="20">
        <v>0.70833333333333337</v>
      </c>
      <c r="D5771">
        <v>78.080000000000013</v>
      </c>
      <c r="E5771" t="str">
        <f t="shared" si="214"/>
        <v>WEEKDAY</v>
      </c>
      <c r="F5771" t="e">
        <f t="shared" si="215"/>
        <v>#N/A</v>
      </c>
      <c r="G5771" s="74">
        <v>32017</v>
      </c>
      <c r="H5771" s="77">
        <v>0.70833333333333337</v>
      </c>
      <c r="J5771">
        <v>64.039999999999992</v>
      </c>
      <c r="M5771" s="74">
        <v>34574</v>
      </c>
      <c r="N5771" s="77">
        <v>0.70833333333333337</v>
      </c>
      <c r="P5771">
        <v>80.960000000000008</v>
      </c>
      <c r="S5771" s="74">
        <v>34939</v>
      </c>
      <c r="T5771" s="77">
        <v>0.70833333333333337</v>
      </c>
      <c r="V5771">
        <v>75.92</v>
      </c>
      <c r="X5771" s="42"/>
      <c r="AB5771">
        <v>78</v>
      </c>
      <c r="AC5771">
        <v>69.98</v>
      </c>
      <c r="AE5771" s="74"/>
      <c r="AF5771" s="77"/>
      <c r="AH5771" s="497">
        <v>83.84</v>
      </c>
      <c r="AJ5771" s="42"/>
      <c r="AK5771" s="74"/>
      <c r="AL5771" s="77"/>
      <c r="AN5771" s="497">
        <v>73.039999999999992</v>
      </c>
      <c r="AP5771" s="42"/>
      <c r="AQ5771" s="74"/>
      <c r="AR5771" s="77"/>
      <c r="AT5771" s="497">
        <v>78.080000000000013</v>
      </c>
      <c r="AV5771" s="42"/>
      <c r="AW5771" s="74"/>
      <c r="AX5771" s="77"/>
      <c r="BA5771" s="497">
        <v>78.080000000000013</v>
      </c>
      <c r="BB5771" s="42"/>
      <c r="BC5771" s="74"/>
      <c r="BD5771" s="77"/>
      <c r="BF5771">
        <v>69.080000000000013</v>
      </c>
      <c r="BH5771" s="42"/>
      <c r="BI5771" s="74"/>
      <c r="BJ5771" s="77"/>
      <c r="BL5771" s="497">
        <v>78.98</v>
      </c>
      <c r="BN5771" s="42"/>
      <c r="BO5771" s="74"/>
      <c r="BP5771" s="77"/>
      <c r="BR5771" s="497">
        <v>71.06</v>
      </c>
      <c r="BT5771" s="42"/>
    </row>
    <row r="5772" spans="1:72" x14ac:dyDescent="0.25">
      <c r="A5772" s="90">
        <v>34939</v>
      </c>
      <c r="B5772" s="20">
        <v>0.75</v>
      </c>
      <c r="D5772">
        <v>77</v>
      </c>
      <c r="E5772" t="str">
        <f t="shared" si="214"/>
        <v>WEEKDAY</v>
      </c>
      <c r="F5772" t="e">
        <f t="shared" si="215"/>
        <v>#N/A</v>
      </c>
      <c r="G5772" s="74">
        <v>32017</v>
      </c>
      <c r="H5772" s="77">
        <v>0.75</v>
      </c>
      <c r="J5772">
        <v>62.96</v>
      </c>
      <c r="M5772" s="74">
        <v>34574</v>
      </c>
      <c r="N5772" s="77">
        <v>0.75</v>
      </c>
      <c r="P5772">
        <v>79.88</v>
      </c>
      <c r="S5772" s="74">
        <v>34939</v>
      </c>
      <c r="T5772" s="77">
        <v>0.75</v>
      </c>
      <c r="V5772">
        <v>73.94</v>
      </c>
      <c r="X5772" s="42"/>
      <c r="AB5772">
        <v>77</v>
      </c>
      <c r="AC5772">
        <v>69.080000000000013</v>
      </c>
      <c r="AE5772" s="74"/>
      <c r="AF5772" s="77"/>
      <c r="AH5772" s="497">
        <v>81.86</v>
      </c>
      <c r="AJ5772" s="42"/>
      <c r="AK5772" s="74"/>
      <c r="AL5772" s="77"/>
      <c r="AN5772" s="497">
        <v>71.960000000000008</v>
      </c>
      <c r="AP5772" s="42"/>
      <c r="AQ5772" s="74"/>
      <c r="AR5772" s="77"/>
      <c r="AT5772" s="497">
        <v>75.02</v>
      </c>
      <c r="AV5772" s="42"/>
      <c r="AW5772" s="74"/>
      <c r="AX5772" s="77"/>
      <c r="BA5772" s="497">
        <v>75.02</v>
      </c>
      <c r="BB5772" s="42"/>
      <c r="BC5772" s="74"/>
      <c r="BD5772" s="77"/>
      <c r="BF5772">
        <v>69.98</v>
      </c>
      <c r="BH5772" s="42"/>
      <c r="BI5772" s="74"/>
      <c r="BJ5772" s="77"/>
      <c r="BL5772" s="497">
        <v>77</v>
      </c>
      <c r="BN5772" s="42"/>
      <c r="BO5772" s="74"/>
      <c r="BP5772" s="77"/>
      <c r="BR5772" s="497">
        <v>71.960000000000008</v>
      </c>
      <c r="BT5772" s="42"/>
    </row>
    <row r="5773" spans="1:72" x14ac:dyDescent="0.25">
      <c r="A5773" s="90">
        <v>34939</v>
      </c>
      <c r="B5773" s="20">
        <v>0.79166666666666663</v>
      </c>
      <c r="D5773">
        <v>75.92</v>
      </c>
      <c r="E5773" t="str">
        <f t="shared" si="214"/>
        <v>WEEKDAY</v>
      </c>
      <c r="F5773" t="e">
        <f t="shared" si="215"/>
        <v>#N/A</v>
      </c>
      <c r="G5773" s="74">
        <v>32017</v>
      </c>
      <c r="H5773" s="77">
        <v>0.79166666666666663</v>
      </c>
      <c r="J5773">
        <v>62.06</v>
      </c>
      <c r="M5773" s="74">
        <v>34574</v>
      </c>
      <c r="N5773" s="77">
        <v>0.79166666666666663</v>
      </c>
      <c r="P5773">
        <v>79.88</v>
      </c>
      <c r="S5773" s="74">
        <v>34939</v>
      </c>
      <c r="T5773" s="77">
        <v>0.79166666666666663</v>
      </c>
      <c r="V5773">
        <v>71.06</v>
      </c>
      <c r="X5773" s="42"/>
      <c r="AB5773">
        <v>75.400000000000006</v>
      </c>
      <c r="AC5773">
        <v>66.92</v>
      </c>
      <c r="AE5773" s="74"/>
      <c r="AF5773" s="77"/>
      <c r="AH5773" s="497">
        <v>80.960000000000008</v>
      </c>
      <c r="AJ5773" s="42"/>
      <c r="AK5773" s="74"/>
      <c r="AL5773" s="77"/>
      <c r="AN5773" s="497">
        <v>69.080000000000013</v>
      </c>
      <c r="AP5773" s="42"/>
      <c r="AQ5773" s="74"/>
      <c r="AR5773" s="77"/>
      <c r="AT5773" s="497">
        <v>71.06</v>
      </c>
      <c r="AV5773" s="42"/>
      <c r="AW5773" s="74"/>
      <c r="AX5773" s="77"/>
      <c r="BA5773" s="497">
        <v>71.960000000000008</v>
      </c>
      <c r="BB5773" s="42"/>
      <c r="BC5773" s="74"/>
      <c r="BD5773" s="77"/>
      <c r="BF5773">
        <v>71.06</v>
      </c>
      <c r="BH5773" s="42"/>
      <c r="BI5773" s="74"/>
      <c r="BJ5773" s="77"/>
      <c r="BL5773" s="497">
        <v>73.94</v>
      </c>
      <c r="BN5773" s="42"/>
      <c r="BO5773" s="74"/>
      <c r="BP5773" s="77"/>
      <c r="BR5773" s="497">
        <v>71.960000000000008</v>
      </c>
      <c r="BT5773" s="42"/>
    </row>
    <row r="5774" spans="1:72" x14ac:dyDescent="0.25">
      <c r="A5774" s="90">
        <v>34939</v>
      </c>
      <c r="B5774" s="20">
        <v>0.83333333333333337</v>
      </c>
      <c r="D5774">
        <v>75.02</v>
      </c>
      <c r="E5774" t="str">
        <f t="shared" si="214"/>
        <v>WEEKDAY</v>
      </c>
      <c r="F5774" t="e">
        <f t="shared" si="215"/>
        <v>#N/A</v>
      </c>
      <c r="G5774" s="74">
        <v>32017</v>
      </c>
      <c r="H5774" s="77">
        <v>0.83333333333333337</v>
      </c>
      <c r="J5774">
        <v>60.980000000000004</v>
      </c>
      <c r="M5774" s="74">
        <v>34574</v>
      </c>
      <c r="N5774" s="77">
        <v>0.83333333333333337</v>
      </c>
      <c r="P5774">
        <v>78.98</v>
      </c>
      <c r="S5774" s="74">
        <v>34939</v>
      </c>
      <c r="T5774" s="77">
        <v>0.83333333333333337</v>
      </c>
      <c r="V5774">
        <v>69.98</v>
      </c>
      <c r="X5774" s="42"/>
      <c r="AB5774">
        <v>74</v>
      </c>
      <c r="AC5774">
        <v>66.92</v>
      </c>
      <c r="AE5774" s="74"/>
      <c r="AF5774" s="77"/>
      <c r="AH5774" s="497">
        <v>80.960000000000008</v>
      </c>
      <c r="AJ5774" s="42"/>
      <c r="AK5774" s="74"/>
      <c r="AL5774" s="77"/>
      <c r="AN5774" s="497">
        <v>68</v>
      </c>
      <c r="AP5774" s="42"/>
      <c r="AQ5774" s="74"/>
      <c r="AR5774" s="77"/>
      <c r="AT5774" s="497">
        <v>69.98</v>
      </c>
      <c r="AV5774" s="42"/>
      <c r="AW5774" s="74"/>
      <c r="AX5774" s="77"/>
      <c r="BA5774" s="497">
        <v>71.06</v>
      </c>
      <c r="BB5774" s="42"/>
      <c r="BC5774" s="74"/>
      <c r="BD5774" s="77"/>
      <c r="BF5774">
        <v>69.080000000000013</v>
      </c>
      <c r="BH5774" s="42"/>
      <c r="BI5774" s="74"/>
      <c r="BJ5774" s="77"/>
      <c r="BL5774" s="497">
        <v>71.960000000000008</v>
      </c>
      <c r="BN5774" s="42"/>
      <c r="BO5774" s="74"/>
      <c r="BP5774" s="77"/>
      <c r="BR5774" s="497">
        <v>71.960000000000008</v>
      </c>
      <c r="BT5774" s="42"/>
    </row>
    <row r="5775" spans="1:72" x14ac:dyDescent="0.25">
      <c r="A5775" s="90">
        <v>34939</v>
      </c>
      <c r="B5775" s="20">
        <v>0.875</v>
      </c>
      <c r="D5775">
        <v>75.02</v>
      </c>
      <c r="E5775" t="str">
        <f t="shared" si="214"/>
        <v>WEEKDAY</v>
      </c>
      <c r="F5775" t="e">
        <f t="shared" si="215"/>
        <v>#N/A</v>
      </c>
      <c r="G5775" s="74">
        <v>32017</v>
      </c>
      <c r="H5775" s="77">
        <v>0.875</v>
      </c>
      <c r="J5775">
        <v>60.980000000000004</v>
      </c>
      <c r="M5775" s="74">
        <v>34574</v>
      </c>
      <c r="N5775" s="77">
        <v>0.875</v>
      </c>
      <c r="P5775">
        <v>78.98</v>
      </c>
      <c r="S5775" s="74">
        <v>34939</v>
      </c>
      <c r="T5775" s="77">
        <v>0.875</v>
      </c>
      <c r="V5775">
        <v>68</v>
      </c>
      <c r="X5775" s="42"/>
      <c r="AB5775">
        <v>73.3</v>
      </c>
      <c r="AC5775">
        <v>66.02</v>
      </c>
      <c r="AE5775" s="74"/>
      <c r="AF5775" s="77"/>
      <c r="AH5775" s="497">
        <v>77</v>
      </c>
      <c r="AJ5775" s="42"/>
      <c r="AK5775" s="74"/>
      <c r="AL5775" s="77"/>
      <c r="AN5775" s="497">
        <v>64.039999999999992</v>
      </c>
      <c r="AP5775" s="42"/>
      <c r="AQ5775" s="74"/>
      <c r="AR5775" s="77"/>
      <c r="AT5775" s="497">
        <v>66.92</v>
      </c>
      <c r="AV5775" s="42"/>
      <c r="AW5775" s="74"/>
      <c r="AX5775" s="77"/>
      <c r="BA5775" s="497">
        <v>69.080000000000013</v>
      </c>
      <c r="BB5775" s="42"/>
      <c r="BC5775" s="74"/>
      <c r="BD5775" s="77"/>
      <c r="BF5775">
        <v>69.080000000000013</v>
      </c>
      <c r="BH5775" s="42"/>
      <c r="BI5775" s="74"/>
      <c r="BJ5775" s="77"/>
      <c r="BL5775" s="497">
        <v>69.98</v>
      </c>
      <c r="BN5775" s="42"/>
      <c r="BO5775" s="74"/>
      <c r="BP5775" s="77"/>
      <c r="BR5775" s="497">
        <v>71.06</v>
      </c>
      <c r="BT5775" s="42"/>
    </row>
    <row r="5776" spans="1:72" x14ac:dyDescent="0.25">
      <c r="A5776" s="90">
        <v>34939</v>
      </c>
      <c r="B5776" s="20">
        <v>0.91666666666666663</v>
      </c>
      <c r="D5776">
        <v>73.94</v>
      </c>
      <c r="E5776" t="str">
        <f t="shared" si="214"/>
        <v>WEEKDAY</v>
      </c>
      <c r="F5776" t="e">
        <f t="shared" si="215"/>
        <v>#N/A</v>
      </c>
      <c r="G5776" s="74">
        <v>32017</v>
      </c>
      <c r="H5776" s="77">
        <v>0.91666666666666663</v>
      </c>
      <c r="J5776">
        <v>60.980000000000004</v>
      </c>
      <c r="M5776" s="74">
        <v>34574</v>
      </c>
      <c r="N5776" s="77">
        <v>0.91666666666666663</v>
      </c>
      <c r="P5776">
        <v>77.900000000000006</v>
      </c>
      <c r="S5776" s="74">
        <v>34939</v>
      </c>
      <c r="T5776" s="77">
        <v>0.91666666666666663</v>
      </c>
      <c r="V5776">
        <v>66.92</v>
      </c>
      <c r="X5776" s="42"/>
      <c r="AB5776">
        <v>72.599999999999994</v>
      </c>
      <c r="AC5776">
        <v>64.94</v>
      </c>
      <c r="AE5776" s="74"/>
      <c r="AF5776" s="77"/>
      <c r="AH5776" s="497">
        <v>77</v>
      </c>
      <c r="AJ5776" s="42"/>
      <c r="AK5776" s="74"/>
      <c r="AL5776" s="77"/>
      <c r="AN5776" s="497">
        <v>64.039999999999992</v>
      </c>
      <c r="AP5776" s="42"/>
      <c r="AQ5776" s="74"/>
      <c r="AR5776" s="77"/>
      <c r="AT5776" s="497">
        <v>66.02</v>
      </c>
      <c r="AV5776" s="42"/>
      <c r="AW5776" s="74"/>
      <c r="AX5776" s="77"/>
      <c r="BA5776" s="497">
        <v>66.92</v>
      </c>
      <c r="BB5776" s="42"/>
      <c r="BC5776" s="74"/>
      <c r="BD5776" s="77"/>
      <c r="BF5776">
        <v>68</v>
      </c>
      <c r="BH5776" s="42"/>
      <c r="BI5776" s="74"/>
      <c r="BJ5776" s="77"/>
      <c r="BL5776" s="497">
        <v>69.98</v>
      </c>
      <c r="BN5776" s="42"/>
      <c r="BO5776" s="74"/>
      <c r="BP5776" s="77"/>
      <c r="BR5776" s="497">
        <v>71.960000000000008</v>
      </c>
      <c r="BT5776" s="42"/>
    </row>
    <row r="5777" spans="1:72" x14ac:dyDescent="0.25">
      <c r="A5777" s="90">
        <v>34939</v>
      </c>
      <c r="B5777" s="20">
        <v>0.95833333333333337</v>
      </c>
      <c r="D5777">
        <v>73.94</v>
      </c>
      <c r="E5777" t="str">
        <f t="shared" si="214"/>
        <v>WEEKDAY</v>
      </c>
      <c r="F5777" t="e">
        <f t="shared" si="215"/>
        <v>#N/A</v>
      </c>
      <c r="G5777" s="74">
        <v>32017</v>
      </c>
      <c r="H5777" s="77">
        <v>0.95833333333333337</v>
      </c>
      <c r="J5777">
        <v>62.06</v>
      </c>
      <c r="M5777" s="74">
        <v>34574</v>
      </c>
      <c r="N5777" s="77">
        <v>0.95833333333333337</v>
      </c>
      <c r="P5777">
        <v>75.02</v>
      </c>
      <c r="S5777" s="74">
        <v>34939</v>
      </c>
      <c r="T5777" s="77">
        <v>0.95833333333333337</v>
      </c>
      <c r="V5777">
        <v>66.02</v>
      </c>
      <c r="X5777" s="42"/>
      <c r="AB5777">
        <v>71.900000000000006</v>
      </c>
      <c r="AC5777">
        <v>62.96</v>
      </c>
      <c r="AE5777" s="74"/>
      <c r="AF5777" s="77"/>
      <c r="AH5777" s="497">
        <v>74.48</v>
      </c>
      <c r="AJ5777" s="42"/>
      <c r="AK5777" s="74"/>
      <c r="AL5777" s="77"/>
      <c r="AN5777" s="497">
        <v>62.06</v>
      </c>
      <c r="AP5777" s="42"/>
      <c r="AQ5777" s="74"/>
      <c r="AR5777" s="77"/>
      <c r="AT5777" s="497">
        <v>62.96</v>
      </c>
      <c r="AV5777" s="42"/>
      <c r="AW5777" s="74"/>
      <c r="AX5777" s="77"/>
      <c r="BA5777" s="497">
        <v>66.92</v>
      </c>
      <c r="BB5777" s="42"/>
      <c r="BC5777" s="74"/>
      <c r="BD5777" s="77"/>
      <c r="BF5777">
        <v>66.92</v>
      </c>
      <c r="BH5777" s="42"/>
      <c r="BI5777" s="74"/>
      <c r="BJ5777" s="77"/>
      <c r="BL5777" s="497">
        <v>69.98</v>
      </c>
      <c r="BN5777" s="42"/>
      <c r="BO5777" s="74"/>
      <c r="BP5777" s="77"/>
      <c r="BR5777" s="497">
        <v>71.960000000000008</v>
      </c>
      <c r="BT5777" s="42"/>
    </row>
    <row r="5778" spans="1:72" x14ac:dyDescent="0.25">
      <c r="A5778" s="90">
        <v>34939</v>
      </c>
      <c r="B5778" s="20">
        <v>1</v>
      </c>
      <c r="D5778">
        <v>73.94</v>
      </c>
      <c r="E5778" t="str">
        <f t="shared" si="214"/>
        <v>WEEKDAY</v>
      </c>
      <c r="F5778" t="e">
        <f t="shared" si="215"/>
        <v>#N/A</v>
      </c>
      <c r="G5778" s="74">
        <v>32017</v>
      </c>
      <c r="H5778" s="77">
        <v>1</v>
      </c>
      <c r="J5778">
        <v>62.06</v>
      </c>
      <c r="M5778" s="74">
        <v>34574</v>
      </c>
      <c r="N5778" s="80">
        <v>1</v>
      </c>
      <c r="P5778">
        <v>71.960000000000008</v>
      </c>
      <c r="S5778" s="74">
        <v>34939</v>
      </c>
      <c r="T5778" s="80">
        <v>1</v>
      </c>
      <c r="V5778">
        <v>64.039999999999992</v>
      </c>
      <c r="X5778" s="42"/>
      <c r="AB5778">
        <v>71.3</v>
      </c>
      <c r="AC5778">
        <v>62.96</v>
      </c>
      <c r="AE5778" s="74"/>
      <c r="AF5778" s="80"/>
      <c r="AH5778" s="497">
        <v>71.960000000000008</v>
      </c>
      <c r="AJ5778" s="42"/>
      <c r="AK5778" s="74"/>
      <c r="AL5778" s="80"/>
      <c r="AN5778" s="497">
        <v>62.06</v>
      </c>
      <c r="AP5778" s="42"/>
      <c r="AQ5778" s="74"/>
      <c r="AR5778" s="80"/>
      <c r="AT5778" s="497">
        <v>66.92</v>
      </c>
      <c r="AV5778" s="42"/>
      <c r="AW5778" s="74"/>
      <c r="AX5778" s="80"/>
      <c r="BA5778" s="497">
        <v>64.94</v>
      </c>
      <c r="BB5778" s="42"/>
      <c r="BC5778" s="74"/>
      <c r="BD5778" s="80"/>
      <c r="BF5778">
        <v>64.039999999999992</v>
      </c>
      <c r="BH5778" s="42"/>
      <c r="BI5778" s="74"/>
      <c r="BJ5778" s="80"/>
      <c r="BL5778" s="497">
        <v>71.06</v>
      </c>
      <c r="BN5778" s="42"/>
      <c r="BO5778" s="74"/>
      <c r="BP5778" s="80"/>
      <c r="BR5778" s="497">
        <v>73.94</v>
      </c>
      <c r="BT5778" s="42"/>
    </row>
    <row r="5779" spans="1:72" x14ac:dyDescent="0.25">
      <c r="A5779" s="90">
        <v>34940</v>
      </c>
      <c r="B5779" s="20">
        <v>4.1666666666666664E-2</v>
      </c>
      <c r="D5779">
        <v>75.02</v>
      </c>
      <c r="E5779" t="str">
        <f t="shared" ref="E5779:E5842" si="216">IF(COUNTIF($DI$18:$DI$22, WEEKDAY(A5779))=1, "WEEKDAY", IF(WEEKDAY(A5779) = 1, "SUNDAY", "SATURDAY"))</f>
        <v>WEEKDAY</v>
      </c>
      <c r="F5779" t="e">
        <f t="shared" si="215"/>
        <v>#N/A</v>
      </c>
      <c r="G5779" s="74">
        <v>32018</v>
      </c>
      <c r="H5779" s="77">
        <v>4.1666666666666664E-2</v>
      </c>
      <c r="J5779">
        <v>62.06</v>
      </c>
      <c r="M5779" s="74">
        <v>34575</v>
      </c>
      <c r="N5779" s="77">
        <v>4.1666666666666664E-2</v>
      </c>
      <c r="P5779">
        <v>70.88</v>
      </c>
      <c r="S5779" s="74">
        <v>34940</v>
      </c>
      <c r="T5779" s="77">
        <v>4.1666666666666664E-2</v>
      </c>
      <c r="V5779">
        <v>64.94</v>
      </c>
      <c r="X5779" s="42"/>
      <c r="AB5779">
        <v>70.599999999999994</v>
      </c>
      <c r="AC5779">
        <v>62.06</v>
      </c>
      <c r="AE5779" s="74"/>
      <c r="AF5779" s="77"/>
      <c r="AH5779" s="497">
        <v>71.960000000000008</v>
      </c>
      <c r="AJ5779" s="42"/>
      <c r="AK5779" s="74"/>
      <c r="AL5779" s="77"/>
      <c r="AN5779" s="497">
        <v>62.06</v>
      </c>
      <c r="AP5779" s="42"/>
      <c r="AQ5779" s="74"/>
      <c r="AR5779" s="77"/>
      <c r="AT5779" s="497">
        <v>64.039999999999992</v>
      </c>
      <c r="AV5779" s="42"/>
      <c r="AW5779" s="74"/>
      <c r="AX5779" s="77"/>
      <c r="BA5779" s="497">
        <v>64.94</v>
      </c>
      <c r="BB5779" s="42"/>
      <c r="BC5779" s="74"/>
      <c r="BD5779" s="77"/>
      <c r="BF5779">
        <v>62.96</v>
      </c>
      <c r="BH5779" s="42"/>
      <c r="BI5779" s="74"/>
      <c r="BJ5779" s="77"/>
      <c r="BL5779" s="497">
        <v>71.06</v>
      </c>
      <c r="BN5779" s="42"/>
      <c r="BO5779" s="74"/>
      <c r="BP5779" s="77"/>
      <c r="BR5779" s="497">
        <v>73.94</v>
      </c>
      <c r="BT5779" s="42"/>
    </row>
    <row r="5780" spans="1:72" x14ac:dyDescent="0.25">
      <c r="A5780" s="90">
        <v>34940</v>
      </c>
      <c r="B5780" s="20">
        <v>8.3333333333333329E-2</v>
      </c>
      <c r="D5780">
        <v>75.02</v>
      </c>
      <c r="E5780" t="str">
        <f t="shared" si="216"/>
        <v>WEEKDAY</v>
      </c>
      <c r="F5780" t="e">
        <f t="shared" si="215"/>
        <v>#N/A</v>
      </c>
      <c r="G5780" s="74">
        <v>32018</v>
      </c>
      <c r="H5780" s="77">
        <v>8.3333333333333329E-2</v>
      </c>
      <c r="J5780">
        <v>62.06</v>
      </c>
      <c r="M5780" s="74">
        <v>34575</v>
      </c>
      <c r="N5780" s="77">
        <v>8.3333333333333329E-2</v>
      </c>
      <c r="P5780">
        <v>72.86</v>
      </c>
      <c r="S5780" s="74">
        <v>34940</v>
      </c>
      <c r="T5780" s="77">
        <v>8.3333333333333329E-2</v>
      </c>
      <c r="V5780">
        <v>64.039999999999992</v>
      </c>
      <c r="X5780" s="42"/>
      <c r="AB5780">
        <v>70</v>
      </c>
      <c r="AC5780">
        <v>62.06</v>
      </c>
      <c r="AE5780" s="74"/>
      <c r="AF5780" s="77"/>
      <c r="AH5780" s="497">
        <v>71.960000000000008</v>
      </c>
      <c r="AJ5780" s="42"/>
      <c r="AK5780" s="74"/>
      <c r="AL5780" s="77"/>
      <c r="AN5780" s="497">
        <v>60.980000000000004</v>
      </c>
      <c r="AP5780" s="42"/>
      <c r="AQ5780" s="74"/>
      <c r="AR5780" s="77"/>
      <c r="AT5780" s="497">
        <v>62.06</v>
      </c>
      <c r="AV5780" s="42"/>
      <c r="AW5780" s="74"/>
      <c r="AX5780" s="77"/>
      <c r="BA5780" s="497">
        <v>64.039999999999992</v>
      </c>
      <c r="BB5780" s="42"/>
      <c r="BC5780" s="74"/>
      <c r="BD5780" s="77"/>
      <c r="BF5780">
        <v>60.980000000000004</v>
      </c>
      <c r="BH5780" s="42"/>
      <c r="BI5780" s="74"/>
      <c r="BJ5780" s="77"/>
      <c r="BL5780" s="497">
        <v>69.98</v>
      </c>
      <c r="BN5780" s="42"/>
      <c r="BO5780" s="74"/>
      <c r="BP5780" s="77"/>
      <c r="BR5780" s="497">
        <v>73.039999999999992</v>
      </c>
      <c r="BT5780" s="42"/>
    </row>
    <row r="5781" spans="1:72" x14ac:dyDescent="0.25">
      <c r="A5781" s="90">
        <v>34940</v>
      </c>
      <c r="B5781" s="20">
        <v>0.125</v>
      </c>
      <c r="D5781">
        <v>73.94</v>
      </c>
      <c r="E5781" t="str">
        <f t="shared" si="216"/>
        <v>WEEKDAY</v>
      </c>
      <c r="F5781" t="e">
        <f t="shared" si="215"/>
        <v>#N/A</v>
      </c>
      <c r="G5781" s="74">
        <v>32018</v>
      </c>
      <c r="H5781" s="77">
        <v>0.125</v>
      </c>
      <c r="J5781">
        <v>62.96</v>
      </c>
      <c r="M5781" s="74">
        <v>34575</v>
      </c>
      <c r="N5781" s="77">
        <v>0.125</v>
      </c>
      <c r="P5781">
        <v>73.94</v>
      </c>
      <c r="S5781" s="74">
        <v>34940</v>
      </c>
      <c r="T5781" s="77">
        <v>0.125</v>
      </c>
      <c r="V5781">
        <v>62.96</v>
      </c>
      <c r="X5781" s="42"/>
      <c r="AB5781">
        <v>69.5</v>
      </c>
      <c r="AC5781">
        <v>60.980000000000004</v>
      </c>
      <c r="AE5781" s="74"/>
      <c r="AF5781" s="77"/>
      <c r="AH5781" s="497">
        <v>70.88</v>
      </c>
      <c r="AJ5781" s="42"/>
      <c r="AK5781" s="74"/>
      <c r="AL5781" s="77"/>
      <c r="AN5781" s="497">
        <v>60.08</v>
      </c>
      <c r="AP5781" s="42"/>
      <c r="AQ5781" s="74"/>
      <c r="AR5781" s="77"/>
      <c r="AT5781" s="497">
        <v>62.06</v>
      </c>
      <c r="AV5781" s="42"/>
      <c r="AW5781" s="74"/>
      <c r="AX5781" s="77"/>
      <c r="BA5781" s="497">
        <v>64.039999999999992</v>
      </c>
      <c r="BB5781" s="42"/>
      <c r="BC5781" s="74"/>
      <c r="BD5781" s="77"/>
      <c r="BF5781">
        <v>60.08</v>
      </c>
      <c r="BH5781" s="42"/>
      <c r="BI5781" s="74"/>
      <c r="BJ5781" s="77"/>
      <c r="BL5781" s="497">
        <v>68</v>
      </c>
      <c r="BN5781" s="42"/>
      <c r="BO5781" s="74"/>
      <c r="BP5781" s="77"/>
      <c r="BR5781" s="497">
        <v>71.06</v>
      </c>
      <c r="BT5781" s="42"/>
    </row>
    <row r="5782" spans="1:72" x14ac:dyDescent="0.25">
      <c r="A5782" s="90">
        <v>34940</v>
      </c>
      <c r="B5782" s="20">
        <v>0.16666666666666666</v>
      </c>
      <c r="D5782">
        <v>73.94</v>
      </c>
      <c r="E5782" t="str">
        <f t="shared" si="216"/>
        <v>WEEKDAY</v>
      </c>
      <c r="F5782" t="e">
        <f t="shared" si="215"/>
        <v>#N/A</v>
      </c>
      <c r="G5782" s="74">
        <v>32018</v>
      </c>
      <c r="H5782" s="77">
        <v>0.16666666666666666</v>
      </c>
      <c r="J5782">
        <v>62.96</v>
      </c>
      <c r="M5782" s="74">
        <v>34575</v>
      </c>
      <c r="N5782" s="77">
        <v>0.16666666666666666</v>
      </c>
      <c r="P5782">
        <v>70.88</v>
      </c>
      <c r="S5782" s="74">
        <v>34940</v>
      </c>
      <c r="T5782" s="77">
        <v>0.16666666666666666</v>
      </c>
      <c r="V5782">
        <v>62.06</v>
      </c>
      <c r="X5782" s="42"/>
      <c r="AB5782">
        <v>69</v>
      </c>
      <c r="AC5782">
        <v>62.06</v>
      </c>
      <c r="AE5782" s="74"/>
      <c r="AF5782" s="77"/>
      <c r="AH5782" s="497">
        <v>71.960000000000008</v>
      </c>
      <c r="AJ5782" s="42"/>
      <c r="AK5782" s="74"/>
      <c r="AL5782" s="77"/>
      <c r="AN5782" s="497">
        <v>59</v>
      </c>
      <c r="AP5782" s="42"/>
      <c r="AQ5782" s="74"/>
      <c r="AR5782" s="77"/>
      <c r="AT5782" s="497">
        <v>62.06</v>
      </c>
      <c r="AV5782" s="42"/>
      <c r="AW5782" s="74"/>
      <c r="AX5782" s="77"/>
      <c r="BA5782" s="497">
        <v>62.96</v>
      </c>
      <c r="BB5782" s="42"/>
      <c r="BC5782" s="74"/>
      <c r="BD5782" s="77"/>
      <c r="BF5782">
        <v>60.08</v>
      </c>
      <c r="BH5782" s="42"/>
      <c r="BI5782" s="74"/>
      <c r="BJ5782" s="77"/>
      <c r="BL5782" s="497">
        <v>66.92</v>
      </c>
      <c r="BN5782" s="42"/>
      <c r="BO5782" s="74"/>
      <c r="BP5782" s="77"/>
      <c r="BR5782" s="497">
        <v>69.98</v>
      </c>
      <c r="BT5782" s="42"/>
    </row>
    <row r="5783" spans="1:72" x14ac:dyDescent="0.25">
      <c r="A5783" s="90">
        <v>34940</v>
      </c>
      <c r="B5783" s="20">
        <v>0.20833333333333334</v>
      </c>
      <c r="D5783">
        <v>73.94</v>
      </c>
      <c r="E5783" t="str">
        <f t="shared" si="216"/>
        <v>WEEKDAY</v>
      </c>
      <c r="F5783" t="e">
        <f t="shared" si="215"/>
        <v>#N/A</v>
      </c>
      <c r="G5783" s="74">
        <v>32018</v>
      </c>
      <c r="H5783" s="77">
        <v>0.20833333333333334</v>
      </c>
      <c r="J5783">
        <v>62.96</v>
      </c>
      <c r="M5783" s="74">
        <v>34575</v>
      </c>
      <c r="N5783" s="77">
        <v>0.20833333333333334</v>
      </c>
      <c r="P5783">
        <v>70.88</v>
      </c>
      <c r="S5783" s="74">
        <v>34940</v>
      </c>
      <c r="T5783" s="77">
        <v>0.20833333333333334</v>
      </c>
      <c r="V5783">
        <v>62.06</v>
      </c>
      <c r="X5783" s="42"/>
      <c r="AB5783">
        <v>68.400000000000006</v>
      </c>
      <c r="AC5783">
        <v>62.96</v>
      </c>
      <c r="AE5783" s="74"/>
      <c r="AF5783" s="77"/>
      <c r="AH5783" s="497">
        <v>70.88</v>
      </c>
      <c r="AJ5783" s="42"/>
      <c r="AK5783" s="74"/>
      <c r="AL5783" s="77"/>
      <c r="AN5783" s="497">
        <v>57.92</v>
      </c>
      <c r="AP5783" s="42"/>
      <c r="AQ5783" s="74"/>
      <c r="AR5783" s="77"/>
      <c r="AT5783" s="497">
        <v>59</v>
      </c>
      <c r="AV5783" s="42"/>
      <c r="AW5783" s="74"/>
      <c r="AX5783" s="77"/>
      <c r="BA5783" s="497">
        <v>62.96</v>
      </c>
      <c r="BB5783" s="42"/>
      <c r="BC5783" s="74"/>
      <c r="BD5783" s="77"/>
      <c r="BF5783">
        <v>59</v>
      </c>
      <c r="BH5783" s="42"/>
      <c r="BI5783" s="74"/>
      <c r="BJ5783" s="77"/>
      <c r="BL5783" s="497">
        <v>62.96</v>
      </c>
      <c r="BN5783" s="42"/>
      <c r="BO5783" s="74"/>
      <c r="BP5783" s="77"/>
      <c r="BR5783" s="497">
        <v>68</v>
      </c>
      <c r="BT5783" s="42"/>
    </row>
    <row r="5784" spans="1:72" x14ac:dyDescent="0.25">
      <c r="A5784" s="90">
        <v>34940</v>
      </c>
      <c r="B5784" s="20">
        <v>0.25</v>
      </c>
      <c r="D5784">
        <v>73.94</v>
      </c>
      <c r="E5784" t="str">
        <f t="shared" si="216"/>
        <v>WEEKDAY</v>
      </c>
      <c r="F5784" t="e">
        <f t="shared" si="215"/>
        <v>#N/A</v>
      </c>
      <c r="G5784" s="74">
        <v>32018</v>
      </c>
      <c r="H5784" s="77">
        <v>0.25</v>
      </c>
      <c r="J5784">
        <v>60.980000000000004</v>
      </c>
      <c r="M5784" s="74">
        <v>34575</v>
      </c>
      <c r="N5784" s="77">
        <v>0.25</v>
      </c>
      <c r="P5784">
        <v>69.98</v>
      </c>
      <c r="S5784" s="74">
        <v>34940</v>
      </c>
      <c r="T5784" s="77">
        <v>0.25</v>
      </c>
      <c r="V5784">
        <v>64.039999999999992</v>
      </c>
      <c r="X5784" s="42"/>
      <c r="AB5784">
        <v>68.2</v>
      </c>
      <c r="AC5784">
        <v>62.96</v>
      </c>
      <c r="AE5784" s="74"/>
      <c r="AF5784" s="77"/>
      <c r="AH5784" s="497">
        <v>68.900000000000006</v>
      </c>
      <c r="AJ5784" s="42"/>
      <c r="AK5784" s="74"/>
      <c r="AL5784" s="77"/>
      <c r="AN5784" s="497">
        <v>57.92</v>
      </c>
      <c r="AP5784" s="42"/>
      <c r="AQ5784" s="74"/>
      <c r="AR5784" s="77"/>
      <c r="AT5784" s="497">
        <v>59</v>
      </c>
      <c r="AV5784" s="42"/>
      <c r="AW5784" s="74"/>
      <c r="AX5784" s="77"/>
      <c r="BA5784" s="497">
        <v>64.039999999999992</v>
      </c>
      <c r="BB5784" s="42"/>
      <c r="BC5784" s="74"/>
      <c r="BD5784" s="77"/>
      <c r="BF5784">
        <v>57.019999999999996</v>
      </c>
      <c r="BH5784" s="42"/>
      <c r="BI5784" s="74"/>
      <c r="BJ5784" s="77"/>
      <c r="BL5784" s="497">
        <v>62.06</v>
      </c>
      <c r="BN5784" s="42"/>
      <c r="BO5784" s="74"/>
      <c r="BP5784" s="77"/>
      <c r="BR5784" s="497">
        <v>66.02</v>
      </c>
      <c r="BT5784" s="42"/>
    </row>
    <row r="5785" spans="1:72" x14ac:dyDescent="0.25">
      <c r="A5785" s="90">
        <v>34940</v>
      </c>
      <c r="B5785" s="20">
        <v>0.29166666666666669</v>
      </c>
      <c r="D5785">
        <v>75.02</v>
      </c>
      <c r="E5785" t="str">
        <f t="shared" si="216"/>
        <v>WEEKDAY</v>
      </c>
      <c r="F5785" t="e">
        <f t="shared" si="215"/>
        <v>#N/A</v>
      </c>
      <c r="G5785" s="74">
        <v>32018</v>
      </c>
      <c r="H5785" s="77">
        <v>0.29166666666666669</v>
      </c>
      <c r="J5785">
        <v>60.980000000000004</v>
      </c>
      <c r="M5785" s="74">
        <v>34575</v>
      </c>
      <c r="N5785" s="77">
        <v>0.29166666666666669</v>
      </c>
      <c r="P5785">
        <v>68</v>
      </c>
      <c r="S5785" s="74">
        <v>34940</v>
      </c>
      <c r="T5785" s="77">
        <v>0.29166666666666669</v>
      </c>
      <c r="V5785">
        <v>68</v>
      </c>
      <c r="X5785" s="42"/>
      <c r="AB5785">
        <v>68.3</v>
      </c>
      <c r="AC5785">
        <v>64.039999999999992</v>
      </c>
      <c r="AE5785" s="74"/>
      <c r="AF5785" s="77"/>
      <c r="AH5785" s="497">
        <v>65.84</v>
      </c>
      <c r="AJ5785" s="42"/>
      <c r="AK5785" s="74"/>
      <c r="AL5785" s="77"/>
      <c r="AN5785" s="497">
        <v>59</v>
      </c>
      <c r="AP5785" s="42"/>
      <c r="AQ5785" s="74"/>
      <c r="AR5785" s="77"/>
      <c r="AT5785" s="497">
        <v>60.08</v>
      </c>
      <c r="AV5785" s="42"/>
      <c r="AW5785" s="74"/>
      <c r="AX5785" s="77"/>
      <c r="BA5785" s="497">
        <v>66.02</v>
      </c>
      <c r="BB5785" s="42"/>
      <c r="BC5785" s="74"/>
      <c r="BD5785" s="77"/>
      <c r="BF5785">
        <v>57.92</v>
      </c>
      <c r="BH5785" s="42"/>
      <c r="BI5785" s="74"/>
      <c r="BJ5785" s="77"/>
      <c r="BL5785" s="497">
        <v>62.96</v>
      </c>
      <c r="BN5785" s="42"/>
      <c r="BO5785" s="74"/>
      <c r="BP5785" s="77"/>
      <c r="BR5785" s="497">
        <v>66.02</v>
      </c>
      <c r="BT5785" s="42"/>
    </row>
    <row r="5786" spans="1:72" x14ac:dyDescent="0.25">
      <c r="A5786" s="90">
        <v>34940</v>
      </c>
      <c r="B5786" s="20">
        <v>0.33333333333333331</v>
      </c>
      <c r="D5786">
        <v>75.92</v>
      </c>
      <c r="E5786" t="str">
        <f t="shared" si="216"/>
        <v>WEEKDAY</v>
      </c>
      <c r="F5786" t="e">
        <f t="shared" si="215"/>
        <v>#N/A</v>
      </c>
      <c r="G5786" s="74">
        <v>32018</v>
      </c>
      <c r="H5786" s="77">
        <v>0.33333333333333331</v>
      </c>
      <c r="J5786">
        <v>62.06</v>
      </c>
      <c r="M5786" s="74">
        <v>34575</v>
      </c>
      <c r="N5786" s="77">
        <v>0.33333333333333331</v>
      </c>
      <c r="P5786">
        <v>66.92</v>
      </c>
      <c r="S5786" s="74">
        <v>34940</v>
      </c>
      <c r="T5786" s="77">
        <v>0.33333333333333331</v>
      </c>
      <c r="V5786">
        <v>69.98</v>
      </c>
      <c r="X5786" s="42"/>
      <c r="AB5786">
        <v>70.400000000000006</v>
      </c>
      <c r="AC5786">
        <v>62.96</v>
      </c>
      <c r="AE5786" s="74"/>
      <c r="AF5786" s="77"/>
      <c r="AH5786" s="497">
        <v>62.96</v>
      </c>
      <c r="AJ5786" s="42"/>
      <c r="AK5786" s="74"/>
      <c r="AL5786" s="77"/>
      <c r="AN5786" s="497">
        <v>62.06</v>
      </c>
      <c r="AP5786" s="42"/>
      <c r="AQ5786" s="74"/>
      <c r="AR5786" s="77"/>
      <c r="AT5786" s="497">
        <v>62.06</v>
      </c>
      <c r="AV5786" s="42"/>
      <c r="AW5786" s="74"/>
      <c r="AX5786" s="77"/>
      <c r="BA5786" s="497">
        <v>69.98</v>
      </c>
      <c r="BB5786" s="42"/>
      <c r="BC5786" s="74"/>
      <c r="BD5786" s="77"/>
      <c r="BF5786">
        <v>62.06</v>
      </c>
      <c r="BH5786" s="42"/>
      <c r="BI5786" s="74"/>
      <c r="BJ5786" s="77"/>
      <c r="BL5786" s="497">
        <v>64.94</v>
      </c>
      <c r="BN5786" s="42"/>
      <c r="BO5786" s="74"/>
      <c r="BP5786" s="77"/>
      <c r="BR5786" s="497">
        <v>66.92</v>
      </c>
      <c r="BT5786" s="42"/>
    </row>
    <row r="5787" spans="1:72" x14ac:dyDescent="0.25">
      <c r="A5787" s="90">
        <v>34940</v>
      </c>
      <c r="B5787" s="20">
        <v>0.375</v>
      </c>
      <c r="D5787">
        <v>80.06</v>
      </c>
      <c r="E5787" t="str">
        <f t="shared" si="216"/>
        <v>WEEKDAY</v>
      </c>
      <c r="F5787" t="e">
        <f t="shared" si="215"/>
        <v>#N/A</v>
      </c>
      <c r="G5787" s="74">
        <v>32018</v>
      </c>
      <c r="H5787" s="77">
        <v>0.375</v>
      </c>
      <c r="J5787">
        <v>64.94</v>
      </c>
      <c r="M5787" s="74">
        <v>34575</v>
      </c>
      <c r="N5787" s="77">
        <v>0.375</v>
      </c>
      <c r="P5787">
        <v>63.86</v>
      </c>
      <c r="S5787" s="74">
        <v>34940</v>
      </c>
      <c r="T5787" s="77">
        <v>0.375</v>
      </c>
      <c r="V5787">
        <v>73.94</v>
      </c>
      <c r="X5787" s="42"/>
      <c r="AB5787">
        <v>72.599999999999994</v>
      </c>
      <c r="AC5787">
        <v>62.96</v>
      </c>
      <c r="AE5787" s="74"/>
      <c r="AF5787" s="77"/>
      <c r="AH5787" s="497">
        <v>61.88</v>
      </c>
      <c r="AJ5787" s="42"/>
      <c r="AK5787" s="74"/>
      <c r="AL5787" s="77"/>
      <c r="AN5787" s="497">
        <v>66.02</v>
      </c>
      <c r="AP5787" s="42"/>
      <c r="AQ5787" s="74"/>
      <c r="AR5787" s="77"/>
      <c r="AT5787" s="497">
        <v>62.96</v>
      </c>
      <c r="AV5787" s="42"/>
      <c r="AW5787" s="74"/>
      <c r="AX5787" s="77"/>
      <c r="BA5787" s="497">
        <v>73.94</v>
      </c>
      <c r="BB5787" s="42"/>
      <c r="BC5787" s="74"/>
      <c r="BD5787" s="77"/>
      <c r="BF5787">
        <v>62.96</v>
      </c>
      <c r="BH5787" s="42"/>
      <c r="BI5787" s="74"/>
      <c r="BJ5787" s="77"/>
      <c r="BL5787" s="497">
        <v>66.92</v>
      </c>
      <c r="BN5787" s="42"/>
      <c r="BO5787" s="74"/>
      <c r="BP5787" s="77"/>
      <c r="BR5787" s="497">
        <v>62.06</v>
      </c>
      <c r="BT5787" s="42"/>
    </row>
    <row r="5788" spans="1:72" x14ac:dyDescent="0.25">
      <c r="A5788" s="90">
        <v>34940</v>
      </c>
      <c r="B5788" s="20">
        <v>0.41666666666666669</v>
      </c>
      <c r="D5788">
        <v>82.039999999999992</v>
      </c>
      <c r="E5788" t="str">
        <f t="shared" si="216"/>
        <v>WEEKDAY</v>
      </c>
      <c r="F5788" t="e">
        <f t="shared" si="215"/>
        <v>#N/A</v>
      </c>
      <c r="G5788" s="74">
        <v>32018</v>
      </c>
      <c r="H5788" s="77">
        <v>0.41666666666666669</v>
      </c>
      <c r="J5788">
        <v>68</v>
      </c>
      <c r="M5788" s="74">
        <v>34575</v>
      </c>
      <c r="N5788" s="77">
        <v>0.41666666666666669</v>
      </c>
      <c r="P5788">
        <v>61.7</v>
      </c>
      <c r="S5788" s="74">
        <v>34940</v>
      </c>
      <c r="T5788" s="77">
        <v>0.41666666666666669</v>
      </c>
      <c r="V5788">
        <v>78.98</v>
      </c>
      <c r="X5788" s="42"/>
      <c r="AB5788">
        <v>74.5</v>
      </c>
      <c r="AC5788">
        <v>64.039999999999992</v>
      </c>
      <c r="AE5788" s="74"/>
      <c r="AF5788" s="77"/>
      <c r="AH5788" s="497">
        <v>62.96</v>
      </c>
      <c r="AJ5788" s="42"/>
      <c r="AK5788" s="74"/>
      <c r="AL5788" s="77"/>
      <c r="AN5788" s="497">
        <v>66.92</v>
      </c>
      <c r="AP5788" s="42"/>
      <c r="AQ5788" s="74"/>
      <c r="AR5788" s="77"/>
      <c r="AT5788" s="497">
        <v>64.94</v>
      </c>
      <c r="AV5788" s="42"/>
      <c r="AW5788" s="74"/>
      <c r="AX5788" s="77"/>
      <c r="BA5788" s="497">
        <v>77</v>
      </c>
      <c r="BB5788" s="42"/>
      <c r="BC5788" s="74"/>
      <c r="BD5788" s="77"/>
      <c r="BF5788">
        <v>66.02</v>
      </c>
      <c r="BH5788" s="42"/>
      <c r="BI5788" s="74"/>
      <c r="BJ5788" s="77"/>
      <c r="BL5788" s="497">
        <v>69.080000000000013</v>
      </c>
      <c r="BN5788" s="42"/>
      <c r="BO5788" s="74"/>
      <c r="BP5788" s="77"/>
      <c r="BR5788" s="497">
        <v>66.92</v>
      </c>
      <c r="BT5788" s="42"/>
    </row>
    <row r="5789" spans="1:72" x14ac:dyDescent="0.25">
      <c r="A5789" s="90">
        <v>34940</v>
      </c>
      <c r="B5789" s="20">
        <v>0.45833333333333331</v>
      </c>
      <c r="D5789">
        <v>84.92</v>
      </c>
      <c r="E5789" t="str">
        <f t="shared" si="216"/>
        <v>WEEKDAY</v>
      </c>
      <c r="F5789" t="e">
        <f t="shared" si="215"/>
        <v>#N/A</v>
      </c>
      <c r="G5789" s="74">
        <v>32018</v>
      </c>
      <c r="H5789" s="77">
        <v>0.45833333333333331</v>
      </c>
      <c r="J5789">
        <v>69.98</v>
      </c>
      <c r="M5789" s="74">
        <v>34575</v>
      </c>
      <c r="N5789" s="77">
        <v>0.45833333333333331</v>
      </c>
      <c r="P5789">
        <v>59</v>
      </c>
      <c r="S5789" s="74">
        <v>34940</v>
      </c>
      <c r="T5789" s="77">
        <v>0.45833333333333331</v>
      </c>
      <c r="V5789">
        <v>75.92</v>
      </c>
      <c r="X5789" s="42"/>
      <c r="AB5789">
        <v>76.3</v>
      </c>
      <c r="AC5789">
        <v>66.02</v>
      </c>
      <c r="AE5789" s="74"/>
      <c r="AF5789" s="77"/>
      <c r="AH5789" s="497">
        <v>66.92</v>
      </c>
      <c r="AJ5789" s="42"/>
      <c r="AK5789" s="74"/>
      <c r="AL5789" s="77"/>
      <c r="AN5789" s="497">
        <v>64.94</v>
      </c>
      <c r="AP5789" s="42"/>
      <c r="AQ5789" s="74"/>
      <c r="AR5789" s="77"/>
      <c r="AT5789" s="497">
        <v>64.94</v>
      </c>
      <c r="AV5789" s="42"/>
      <c r="AW5789" s="74"/>
      <c r="AX5789" s="77"/>
      <c r="BA5789" s="497">
        <v>78.98</v>
      </c>
      <c r="BB5789" s="42"/>
      <c r="BC5789" s="74"/>
      <c r="BD5789" s="77"/>
      <c r="BF5789">
        <v>64.94</v>
      </c>
      <c r="BH5789" s="42"/>
      <c r="BI5789" s="74"/>
      <c r="BJ5789" s="77"/>
      <c r="BL5789" s="497">
        <v>71.06</v>
      </c>
      <c r="BN5789" s="42"/>
      <c r="BO5789" s="74"/>
      <c r="BP5789" s="77"/>
      <c r="BR5789" s="497">
        <v>68</v>
      </c>
      <c r="BT5789" s="42"/>
    </row>
    <row r="5790" spans="1:72" x14ac:dyDescent="0.25">
      <c r="A5790" s="90">
        <v>34940</v>
      </c>
      <c r="B5790" s="20">
        <v>0.5</v>
      </c>
      <c r="D5790">
        <v>86</v>
      </c>
      <c r="E5790" t="str">
        <f t="shared" si="216"/>
        <v>WEEKDAY</v>
      </c>
      <c r="F5790" t="e">
        <f t="shared" si="215"/>
        <v>#N/A</v>
      </c>
      <c r="G5790" s="74">
        <v>32018</v>
      </c>
      <c r="H5790" s="77">
        <v>0.5</v>
      </c>
      <c r="J5790">
        <v>73.039999999999992</v>
      </c>
      <c r="M5790" s="74">
        <v>34575</v>
      </c>
      <c r="N5790" s="77">
        <v>0.5</v>
      </c>
      <c r="P5790">
        <v>59.900000000000006</v>
      </c>
      <c r="S5790" s="74">
        <v>34940</v>
      </c>
      <c r="T5790" s="77">
        <v>0.5</v>
      </c>
      <c r="V5790">
        <v>77</v>
      </c>
      <c r="X5790" s="42"/>
      <c r="AB5790">
        <v>77.7</v>
      </c>
      <c r="AC5790">
        <v>66.92</v>
      </c>
      <c r="AE5790" s="74"/>
      <c r="AF5790" s="77"/>
      <c r="AH5790" s="497">
        <v>68.900000000000006</v>
      </c>
      <c r="AJ5790" s="42"/>
      <c r="AK5790" s="74"/>
      <c r="AL5790" s="77"/>
      <c r="AN5790" s="497">
        <v>64.94</v>
      </c>
      <c r="AP5790" s="42"/>
      <c r="AQ5790" s="74"/>
      <c r="AR5790" s="77"/>
      <c r="AT5790" s="497">
        <v>66.02</v>
      </c>
      <c r="AV5790" s="42"/>
      <c r="AW5790" s="74"/>
      <c r="AX5790" s="77"/>
      <c r="BA5790" s="497">
        <v>80.06</v>
      </c>
      <c r="BB5790" s="42"/>
      <c r="BC5790" s="74"/>
      <c r="BD5790" s="77"/>
      <c r="BF5790">
        <v>68</v>
      </c>
      <c r="BH5790" s="42"/>
      <c r="BI5790" s="74"/>
      <c r="BJ5790" s="77"/>
      <c r="BL5790" s="497">
        <v>71.06</v>
      </c>
      <c r="BN5790" s="42"/>
      <c r="BO5790" s="74"/>
      <c r="BP5790" s="77"/>
      <c r="BR5790" s="497">
        <v>69.98</v>
      </c>
      <c r="BT5790" s="42"/>
    </row>
    <row r="5791" spans="1:72" x14ac:dyDescent="0.25">
      <c r="A5791" s="90">
        <v>34940</v>
      </c>
      <c r="B5791" s="20">
        <v>0.54166666666666663</v>
      </c>
      <c r="D5791">
        <v>87.080000000000013</v>
      </c>
      <c r="E5791" t="str">
        <f t="shared" si="216"/>
        <v>WEEKDAY</v>
      </c>
      <c r="F5791" t="e">
        <f t="shared" si="215"/>
        <v>#N/A</v>
      </c>
      <c r="G5791" s="74">
        <v>32018</v>
      </c>
      <c r="H5791" s="77">
        <v>0.54166666666666663</v>
      </c>
      <c r="J5791">
        <v>73.94</v>
      </c>
      <c r="M5791" s="74">
        <v>34575</v>
      </c>
      <c r="N5791" s="77">
        <v>0.54166666666666663</v>
      </c>
      <c r="P5791">
        <v>66.92</v>
      </c>
      <c r="S5791" s="74">
        <v>34940</v>
      </c>
      <c r="T5791" s="77">
        <v>0.54166666666666663</v>
      </c>
      <c r="V5791">
        <v>77</v>
      </c>
      <c r="X5791" s="42"/>
      <c r="AB5791">
        <v>78.599999999999994</v>
      </c>
      <c r="AC5791">
        <v>66.02</v>
      </c>
      <c r="AE5791" s="74"/>
      <c r="AF5791" s="77"/>
      <c r="AH5791" s="497">
        <v>72.86</v>
      </c>
      <c r="AJ5791" s="42"/>
      <c r="AK5791" s="74"/>
      <c r="AL5791" s="77"/>
      <c r="AN5791" s="497">
        <v>66.02</v>
      </c>
      <c r="AP5791" s="42"/>
      <c r="AQ5791" s="74"/>
      <c r="AR5791" s="77"/>
      <c r="AT5791" s="497">
        <v>66.02</v>
      </c>
      <c r="AV5791" s="42"/>
      <c r="AW5791" s="74"/>
      <c r="AX5791" s="77"/>
      <c r="BA5791" s="497">
        <v>80.06</v>
      </c>
      <c r="BB5791" s="42"/>
      <c r="BC5791" s="74"/>
      <c r="BD5791" s="77"/>
      <c r="BF5791">
        <v>68</v>
      </c>
      <c r="BH5791" s="42"/>
      <c r="BI5791" s="74"/>
      <c r="BJ5791" s="77"/>
      <c r="BL5791" s="497">
        <v>73.94</v>
      </c>
      <c r="BN5791" s="42"/>
      <c r="BO5791" s="74"/>
      <c r="BP5791" s="77"/>
      <c r="BR5791" s="497">
        <v>71.960000000000008</v>
      </c>
      <c r="BT5791" s="42"/>
    </row>
    <row r="5792" spans="1:72" x14ac:dyDescent="0.25">
      <c r="A5792" s="90">
        <v>34940</v>
      </c>
      <c r="B5792" s="20">
        <v>0.58333333333333337</v>
      </c>
      <c r="D5792">
        <v>87.080000000000013</v>
      </c>
      <c r="E5792" t="str">
        <f t="shared" si="216"/>
        <v>WEEKDAY</v>
      </c>
      <c r="F5792" t="e">
        <f t="shared" si="215"/>
        <v>#N/A</v>
      </c>
      <c r="G5792" s="74">
        <v>32018</v>
      </c>
      <c r="H5792" s="77">
        <v>0.58333333333333337</v>
      </c>
      <c r="J5792">
        <v>73.94</v>
      </c>
      <c r="M5792" s="74">
        <v>34575</v>
      </c>
      <c r="N5792" s="77">
        <v>0.58333333333333337</v>
      </c>
      <c r="P5792">
        <v>69.98</v>
      </c>
      <c r="S5792" s="74">
        <v>34940</v>
      </c>
      <c r="T5792" s="77">
        <v>0.58333333333333337</v>
      </c>
      <c r="V5792">
        <v>77</v>
      </c>
      <c r="X5792" s="42"/>
      <c r="AB5792">
        <v>79.099999999999994</v>
      </c>
      <c r="AC5792">
        <v>68</v>
      </c>
      <c r="AE5792" s="74"/>
      <c r="AF5792" s="77"/>
      <c r="AH5792" s="497">
        <v>75.92</v>
      </c>
      <c r="AJ5792" s="42"/>
      <c r="AK5792" s="74"/>
      <c r="AL5792" s="77"/>
      <c r="AN5792" s="497">
        <v>66.02</v>
      </c>
      <c r="AP5792" s="42"/>
      <c r="AQ5792" s="74"/>
      <c r="AR5792" s="77"/>
      <c r="AT5792" s="497">
        <v>66.92</v>
      </c>
      <c r="AV5792" s="42"/>
      <c r="AW5792" s="74"/>
      <c r="AX5792" s="77"/>
      <c r="BA5792" s="497">
        <v>80.06</v>
      </c>
      <c r="BB5792" s="42"/>
      <c r="BC5792" s="74"/>
      <c r="BD5792" s="77"/>
      <c r="BF5792">
        <v>68</v>
      </c>
      <c r="BH5792" s="42"/>
      <c r="BI5792" s="74"/>
      <c r="BJ5792" s="77"/>
      <c r="BL5792" s="497">
        <v>75.02</v>
      </c>
      <c r="BN5792" s="42"/>
      <c r="BO5792" s="74"/>
      <c r="BP5792" s="77"/>
      <c r="BR5792" s="497">
        <v>71.960000000000008</v>
      </c>
      <c r="BT5792" s="42"/>
    </row>
    <row r="5793" spans="1:72" x14ac:dyDescent="0.25">
      <c r="A5793" s="90">
        <v>34940</v>
      </c>
      <c r="B5793" s="20">
        <v>0.625</v>
      </c>
      <c r="D5793">
        <v>84.92</v>
      </c>
      <c r="E5793" t="str">
        <f t="shared" si="216"/>
        <v>WEEKDAY</v>
      </c>
      <c r="F5793" t="e">
        <f t="shared" si="215"/>
        <v>#N/A</v>
      </c>
      <c r="G5793" s="74">
        <v>32018</v>
      </c>
      <c r="H5793" s="77">
        <v>0.625</v>
      </c>
      <c r="J5793">
        <v>75.92</v>
      </c>
      <c r="M5793" s="74">
        <v>34575</v>
      </c>
      <c r="N5793" s="77">
        <v>0.625</v>
      </c>
      <c r="P5793">
        <v>70.88</v>
      </c>
      <c r="S5793" s="74">
        <v>34940</v>
      </c>
      <c r="T5793" s="77">
        <v>0.625</v>
      </c>
      <c r="V5793">
        <v>77</v>
      </c>
      <c r="X5793" s="42"/>
      <c r="AB5793">
        <v>79.2</v>
      </c>
      <c r="AC5793">
        <v>71.06</v>
      </c>
      <c r="AE5793" s="74"/>
      <c r="AF5793" s="77"/>
      <c r="AH5793" s="497">
        <v>75.92</v>
      </c>
      <c r="AJ5793" s="42"/>
      <c r="AK5793" s="74"/>
      <c r="AL5793" s="77"/>
      <c r="AN5793" s="497">
        <v>66.02</v>
      </c>
      <c r="AP5793" s="42"/>
      <c r="AQ5793" s="74"/>
      <c r="AR5793" s="77"/>
      <c r="AT5793" s="497">
        <v>66.92</v>
      </c>
      <c r="AV5793" s="42"/>
      <c r="AW5793" s="74"/>
      <c r="AX5793" s="77"/>
      <c r="BA5793" s="497">
        <v>78.98</v>
      </c>
      <c r="BB5793" s="42"/>
      <c r="BC5793" s="74"/>
      <c r="BD5793" s="77"/>
      <c r="BF5793">
        <v>68</v>
      </c>
      <c r="BH5793" s="42"/>
      <c r="BI5793" s="74"/>
      <c r="BJ5793" s="77"/>
      <c r="BL5793" s="497">
        <v>75.02</v>
      </c>
      <c r="BN5793" s="42"/>
      <c r="BO5793" s="74"/>
      <c r="BP5793" s="77"/>
      <c r="BR5793" s="497">
        <v>73.94</v>
      </c>
      <c r="BT5793" s="42"/>
    </row>
    <row r="5794" spans="1:72" x14ac:dyDescent="0.25">
      <c r="A5794" s="90">
        <v>34940</v>
      </c>
      <c r="B5794" s="20">
        <v>0.66666666666666663</v>
      </c>
      <c r="D5794">
        <v>87.080000000000013</v>
      </c>
      <c r="E5794" t="str">
        <f t="shared" si="216"/>
        <v>WEEKDAY</v>
      </c>
      <c r="F5794" t="e">
        <f t="shared" si="215"/>
        <v>#N/A</v>
      </c>
      <c r="G5794" s="74">
        <v>32018</v>
      </c>
      <c r="H5794" s="77">
        <v>0.66666666666666663</v>
      </c>
      <c r="J5794">
        <v>75.02</v>
      </c>
      <c r="M5794" s="74">
        <v>34575</v>
      </c>
      <c r="N5794" s="77">
        <v>0.66666666666666663</v>
      </c>
      <c r="P5794">
        <v>71.960000000000008</v>
      </c>
      <c r="S5794" s="74">
        <v>34940</v>
      </c>
      <c r="T5794" s="77">
        <v>0.66666666666666663</v>
      </c>
      <c r="V5794">
        <v>75.92</v>
      </c>
      <c r="X5794" s="42"/>
      <c r="AB5794">
        <v>78.8</v>
      </c>
      <c r="AC5794">
        <v>71.960000000000008</v>
      </c>
      <c r="AE5794" s="74"/>
      <c r="AF5794" s="77"/>
      <c r="AH5794" s="497">
        <v>73.94</v>
      </c>
      <c r="AJ5794" s="42"/>
      <c r="AK5794" s="74"/>
      <c r="AL5794" s="77"/>
      <c r="AN5794" s="497">
        <v>66.02</v>
      </c>
      <c r="AP5794" s="42"/>
      <c r="AQ5794" s="74"/>
      <c r="AR5794" s="77"/>
      <c r="AT5794" s="497">
        <v>66.92</v>
      </c>
      <c r="AV5794" s="42"/>
      <c r="AW5794" s="74"/>
      <c r="AX5794" s="77"/>
      <c r="BA5794" s="497">
        <v>80.06</v>
      </c>
      <c r="BB5794" s="42"/>
      <c r="BC5794" s="74"/>
      <c r="BD5794" s="77"/>
      <c r="BF5794">
        <v>69.080000000000013</v>
      </c>
      <c r="BH5794" s="42"/>
      <c r="BI5794" s="74"/>
      <c r="BJ5794" s="77"/>
      <c r="BL5794" s="497">
        <v>75.92</v>
      </c>
      <c r="BN5794" s="42"/>
      <c r="BO5794" s="74"/>
      <c r="BP5794" s="77"/>
      <c r="BR5794" s="497">
        <v>75.02</v>
      </c>
      <c r="BT5794" s="42"/>
    </row>
    <row r="5795" spans="1:72" x14ac:dyDescent="0.25">
      <c r="A5795" s="90">
        <v>34940</v>
      </c>
      <c r="B5795" s="20">
        <v>0.70833333333333337</v>
      </c>
      <c r="D5795">
        <v>87.080000000000013</v>
      </c>
      <c r="E5795" t="str">
        <f t="shared" si="216"/>
        <v>WEEKDAY</v>
      </c>
      <c r="F5795" t="e">
        <f t="shared" si="215"/>
        <v>#N/A</v>
      </c>
      <c r="G5795" s="74">
        <v>32018</v>
      </c>
      <c r="H5795" s="77">
        <v>0.70833333333333337</v>
      </c>
      <c r="J5795">
        <v>73.039999999999992</v>
      </c>
      <c r="M5795" s="74">
        <v>34575</v>
      </c>
      <c r="N5795" s="77">
        <v>0.70833333333333337</v>
      </c>
      <c r="P5795">
        <v>72.86</v>
      </c>
      <c r="S5795" s="74">
        <v>34940</v>
      </c>
      <c r="T5795" s="77">
        <v>0.70833333333333337</v>
      </c>
      <c r="V5795">
        <v>75.92</v>
      </c>
      <c r="X5795" s="42"/>
      <c r="AB5795">
        <v>77.900000000000006</v>
      </c>
      <c r="AC5795">
        <v>71.06</v>
      </c>
      <c r="AE5795" s="74"/>
      <c r="AF5795" s="77"/>
      <c r="AH5795" s="497">
        <v>70.88</v>
      </c>
      <c r="AJ5795" s="42"/>
      <c r="AK5795" s="74"/>
      <c r="AL5795" s="77"/>
      <c r="AN5795" s="497">
        <v>64.039999999999992</v>
      </c>
      <c r="AP5795" s="42"/>
      <c r="AQ5795" s="74"/>
      <c r="AR5795" s="77"/>
      <c r="AT5795" s="497">
        <v>64.94</v>
      </c>
      <c r="AV5795" s="42"/>
      <c r="AW5795" s="74"/>
      <c r="AX5795" s="77"/>
      <c r="BA5795" s="497">
        <v>78.080000000000013</v>
      </c>
      <c r="BB5795" s="42"/>
      <c r="BC5795" s="74"/>
      <c r="BD5795" s="77"/>
      <c r="BF5795">
        <v>71.06</v>
      </c>
      <c r="BH5795" s="42"/>
      <c r="BI5795" s="74"/>
      <c r="BJ5795" s="77"/>
      <c r="BL5795" s="497">
        <v>73.94</v>
      </c>
      <c r="BN5795" s="42"/>
      <c r="BO5795" s="74"/>
      <c r="BP5795" s="77"/>
      <c r="BR5795" s="497">
        <v>73.039999999999992</v>
      </c>
      <c r="BT5795" s="42"/>
    </row>
    <row r="5796" spans="1:72" x14ac:dyDescent="0.25">
      <c r="A5796" s="90">
        <v>34940</v>
      </c>
      <c r="B5796" s="20">
        <v>0.75</v>
      </c>
      <c r="D5796">
        <v>86</v>
      </c>
      <c r="E5796" t="str">
        <f t="shared" si="216"/>
        <v>WEEKDAY</v>
      </c>
      <c r="F5796" t="e">
        <f t="shared" si="215"/>
        <v>#N/A</v>
      </c>
      <c r="G5796" s="74">
        <v>32018</v>
      </c>
      <c r="H5796" s="77">
        <v>0.75</v>
      </c>
      <c r="J5796">
        <v>71.06</v>
      </c>
      <c r="M5796" s="74">
        <v>34575</v>
      </c>
      <c r="N5796" s="77">
        <v>0.75</v>
      </c>
      <c r="P5796">
        <v>69.98</v>
      </c>
      <c r="S5796" s="74">
        <v>34940</v>
      </c>
      <c r="T5796" s="77">
        <v>0.75</v>
      </c>
      <c r="V5796">
        <v>73.94</v>
      </c>
      <c r="X5796" s="42"/>
      <c r="AB5796">
        <v>76.8</v>
      </c>
      <c r="AC5796">
        <v>69.080000000000013</v>
      </c>
      <c r="AE5796" s="74"/>
      <c r="AF5796" s="77"/>
      <c r="AH5796" s="497">
        <v>69.98</v>
      </c>
      <c r="AJ5796" s="42"/>
      <c r="AK5796" s="74"/>
      <c r="AL5796" s="77"/>
      <c r="AN5796" s="497">
        <v>62.96</v>
      </c>
      <c r="AP5796" s="42"/>
      <c r="AQ5796" s="74"/>
      <c r="AR5796" s="77"/>
      <c r="AT5796" s="497">
        <v>64.94</v>
      </c>
      <c r="AV5796" s="42"/>
      <c r="AW5796" s="74"/>
      <c r="AX5796" s="77"/>
      <c r="BA5796" s="497">
        <v>77</v>
      </c>
      <c r="BB5796" s="42"/>
      <c r="BC5796" s="74"/>
      <c r="BD5796" s="77"/>
      <c r="BF5796">
        <v>71.06</v>
      </c>
      <c r="BH5796" s="42"/>
      <c r="BI5796" s="74"/>
      <c r="BJ5796" s="77"/>
      <c r="BL5796" s="497">
        <v>73.039999999999992</v>
      </c>
      <c r="BN5796" s="42"/>
      <c r="BO5796" s="74"/>
      <c r="BP5796" s="77"/>
      <c r="BR5796" s="497">
        <v>71.960000000000008</v>
      </c>
      <c r="BT5796" s="42"/>
    </row>
    <row r="5797" spans="1:72" x14ac:dyDescent="0.25">
      <c r="A5797" s="90">
        <v>34940</v>
      </c>
      <c r="B5797" s="20">
        <v>0.79166666666666663</v>
      </c>
      <c r="D5797">
        <v>82.94</v>
      </c>
      <c r="E5797" t="str">
        <f t="shared" si="216"/>
        <v>WEEKDAY</v>
      </c>
      <c r="F5797" t="e">
        <f t="shared" si="215"/>
        <v>#N/A</v>
      </c>
      <c r="G5797" s="74">
        <v>32018</v>
      </c>
      <c r="H5797" s="77">
        <v>0.79166666666666663</v>
      </c>
      <c r="J5797">
        <v>69.98</v>
      </c>
      <c r="M5797" s="74">
        <v>34575</v>
      </c>
      <c r="N5797" s="77">
        <v>0.79166666666666663</v>
      </c>
      <c r="P5797">
        <v>65.84</v>
      </c>
      <c r="S5797" s="74">
        <v>34940</v>
      </c>
      <c r="T5797" s="77">
        <v>0.79166666666666663</v>
      </c>
      <c r="V5797">
        <v>73.039999999999992</v>
      </c>
      <c r="X5797" s="42"/>
      <c r="AB5797">
        <v>75.3</v>
      </c>
      <c r="AC5797">
        <v>68</v>
      </c>
      <c r="AE5797" s="74"/>
      <c r="AF5797" s="77"/>
      <c r="AH5797" s="497">
        <v>64.94</v>
      </c>
      <c r="AJ5797" s="42"/>
      <c r="AK5797" s="74"/>
      <c r="AL5797" s="77"/>
      <c r="AN5797" s="497">
        <v>62.06</v>
      </c>
      <c r="AP5797" s="42"/>
      <c r="AQ5797" s="74"/>
      <c r="AR5797" s="77"/>
      <c r="AT5797" s="497">
        <v>62.06</v>
      </c>
      <c r="AV5797" s="42"/>
      <c r="AW5797" s="74"/>
      <c r="AX5797" s="77"/>
      <c r="BA5797" s="497">
        <v>73.94</v>
      </c>
      <c r="BB5797" s="42"/>
      <c r="BC5797" s="74"/>
      <c r="BD5797" s="77"/>
      <c r="BF5797">
        <v>69.98</v>
      </c>
      <c r="BH5797" s="42"/>
      <c r="BI5797" s="74"/>
      <c r="BJ5797" s="77"/>
      <c r="BL5797" s="497">
        <v>68</v>
      </c>
      <c r="BN5797" s="42"/>
      <c r="BO5797" s="74"/>
      <c r="BP5797" s="77"/>
      <c r="BR5797" s="497">
        <v>69.080000000000013</v>
      </c>
      <c r="BT5797" s="42"/>
    </row>
    <row r="5798" spans="1:72" x14ac:dyDescent="0.25">
      <c r="A5798" s="90">
        <v>34940</v>
      </c>
      <c r="B5798" s="20">
        <v>0.83333333333333337</v>
      </c>
      <c r="D5798">
        <v>80.960000000000008</v>
      </c>
      <c r="E5798" t="str">
        <f t="shared" si="216"/>
        <v>WEEKDAY</v>
      </c>
      <c r="F5798" t="e">
        <f t="shared" si="215"/>
        <v>#N/A</v>
      </c>
      <c r="G5798" s="74">
        <v>32018</v>
      </c>
      <c r="H5798" s="77">
        <v>0.83333333333333337</v>
      </c>
      <c r="J5798">
        <v>69.080000000000013</v>
      </c>
      <c r="M5798" s="74">
        <v>34575</v>
      </c>
      <c r="N5798" s="77">
        <v>0.83333333333333337</v>
      </c>
      <c r="P5798">
        <v>63.86</v>
      </c>
      <c r="S5798" s="74">
        <v>34940</v>
      </c>
      <c r="T5798" s="77">
        <v>0.83333333333333337</v>
      </c>
      <c r="V5798">
        <v>71.960000000000008</v>
      </c>
      <c r="X5798" s="42"/>
      <c r="AB5798">
        <v>73.900000000000006</v>
      </c>
      <c r="AC5798">
        <v>68</v>
      </c>
      <c r="AE5798" s="74"/>
      <c r="AF5798" s="77"/>
      <c r="AH5798" s="497">
        <v>64.94</v>
      </c>
      <c r="AJ5798" s="42"/>
      <c r="AK5798" s="74"/>
      <c r="AL5798" s="77"/>
      <c r="AN5798" s="497">
        <v>62.06</v>
      </c>
      <c r="AP5798" s="42"/>
      <c r="AQ5798" s="74"/>
      <c r="AR5798" s="77"/>
      <c r="AT5798" s="497">
        <v>64.039999999999992</v>
      </c>
      <c r="AV5798" s="42"/>
      <c r="AW5798" s="74"/>
      <c r="AX5798" s="77"/>
      <c r="BA5798" s="497">
        <v>71.06</v>
      </c>
      <c r="BB5798" s="42"/>
      <c r="BC5798" s="74"/>
      <c r="BD5798" s="77"/>
      <c r="BF5798">
        <v>69.98</v>
      </c>
      <c r="BH5798" s="42"/>
      <c r="BI5798" s="74"/>
      <c r="BJ5798" s="77"/>
      <c r="BL5798" s="497">
        <v>64.94</v>
      </c>
      <c r="BN5798" s="42"/>
      <c r="BO5798" s="74"/>
      <c r="BP5798" s="77"/>
      <c r="BR5798" s="497">
        <v>66.92</v>
      </c>
      <c r="BT5798" s="42"/>
    </row>
    <row r="5799" spans="1:72" x14ac:dyDescent="0.25">
      <c r="A5799" s="90">
        <v>34940</v>
      </c>
      <c r="B5799" s="20">
        <v>0.875</v>
      </c>
      <c r="D5799">
        <v>80.06</v>
      </c>
      <c r="E5799" t="str">
        <f t="shared" si="216"/>
        <v>WEEKDAY</v>
      </c>
      <c r="F5799" t="e">
        <f t="shared" si="215"/>
        <v>#N/A</v>
      </c>
      <c r="G5799" s="74">
        <v>32018</v>
      </c>
      <c r="H5799" s="77">
        <v>0.875</v>
      </c>
      <c r="J5799">
        <v>68</v>
      </c>
      <c r="M5799" s="74">
        <v>34575</v>
      </c>
      <c r="N5799" s="77">
        <v>0.875</v>
      </c>
      <c r="P5799">
        <v>59.900000000000006</v>
      </c>
      <c r="S5799" s="74">
        <v>34940</v>
      </c>
      <c r="T5799" s="77">
        <v>0.875</v>
      </c>
      <c r="V5799">
        <v>71.960000000000008</v>
      </c>
      <c r="X5799" s="42"/>
      <c r="AB5799">
        <v>73.099999999999994</v>
      </c>
      <c r="AC5799">
        <v>66.02</v>
      </c>
      <c r="AE5799" s="74"/>
      <c r="AF5799" s="77"/>
      <c r="AH5799" s="497">
        <v>56.84</v>
      </c>
      <c r="AJ5799" s="42"/>
      <c r="AK5799" s="74"/>
      <c r="AL5799" s="77"/>
      <c r="AN5799" s="497">
        <v>60.08</v>
      </c>
      <c r="AP5799" s="42"/>
      <c r="AQ5799" s="74"/>
      <c r="AR5799" s="77"/>
      <c r="AT5799" s="497">
        <v>60.980000000000004</v>
      </c>
      <c r="AV5799" s="42"/>
      <c r="AW5799" s="74"/>
      <c r="AX5799" s="77"/>
      <c r="BA5799" s="497">
        <v>69.98</v>
      </c>
      <c r="BB5799" s="42"/>
      <c r="BC5799" s="74"/>
      <c r="BD5799" s="77"/>
      <c r="BF5799">
        <v>69.080000000000013</v>
      </c>
      <c r="BH5799" s="42"/>
      <c r="BI5799" s="74"/>
      <c r="BJ5799" s="77"/>
      <c r="BL5799" s="497">
        <v>64.94</v>
      </c>
      <c r="BN5799" s="42"/>
      <c r="BO5799" s="74"/>
      <c r="BP5799" s="77"/>
      <c r="BR5799" s="497">
        <v>66.02</v>
      </c>
      <c r="BT5799" s="42"/>
    </row>
    <row r="5800" spans="1:72" x14ac:dyDescent="0.25">
      <c r="A5800" s="90">
        <v>34940</v>
      </c>
      <c r="B5800" s="20">
        <v>0.91666666666666663</v>
      </c>
      <c r="D5800">
        <v>78.98</v>
      </c>
      <c r="E5800" t="str">
        <f t="shared" si="216"/>
        <v>WEEKDAY</v>
      </c>
      <c r="F5800" t="e">
        <f t="shared" si="215"/>
        <v>#N/A</v>
      </c>
      <c r="G5800" s="74">
        <v>32018</v>
      </c>
      <c r="H5800" s="77">
        <v>0.91666666666666663</v>
      </c>
      <c r="J5800">
        <v>66.02</v>
      </c>
      <c r="M5800" s="74">
        <v>34575</v>
      </c>
      <c r="N5800" s="77">
        <v>0.91666666666666663</v>
      </c>
      <c r="P5800">
        <v>60.980000000000004</v>
      </c>
      <c r="S5800" s="74">
        <v>34940</v>
      </c>
      <c r="T5800" s="77">
        <v>0.91666666666666663</v>
      </c>
      <c r="V5800">
        <v>71.960000000000008</v>
      </c>
      <c r="X5800" s="42"/>
      <c r="AB5800">
        <v>72.400000000000006</v>
      </c>
      <c r="AC5800">
        <v>62.96</v>
      </c>
      <c r="AE5800" s="74"/>
      <c r="AF5800" s="77"/>
      <c r="AH5800" s="497">
        <v>55.94</v>
      </c>
      <c r="AJ5800" s="42"/>
      <c r="AK5800" s="74"/>
      <c r="AL5800" s="77"/>
      <c r="AN5800" s="497">
        <v>60.08</v>
      </c>
      <c r="AP5800" s="42"/>
      <c r="AQ5800" s="74"/>
      <c r="AR5800" s="77"/>
      <c r="AT5800" s="497">
        <v>62.06</v>
      </c>
      <c r="AV5800" s="42"/>
      <c r="AW5800" s="74"/>
      <c r="AX5800" s="77"/>
      <c r="BA5800" s="497">
        <v>69.080000000000013</v>
      </c>
      <c r="BB5800" s="42"/>
      <c r="BC5800" s="74"/>
      <c r="BD5800" s="77"/>
      <c r="BF5800">
        <v>68</v>
      </c>
      <c r="BH5800" s="42"/>
      <c r="BI5800" s="74"/>
      <c r="BJ5800" s="77"/>
      <c r="BL5800" s="497">
        <v>64.039999999999992</v>
      </c>
      <c r="BN5800" s="42"/>
      <c r="BO5800" s="74"/>
      <c r="BP5800" s="77"/>
      <c r="BR5800" s="497">
        <v>66.02</v>
      </c>
      <c r="BT5800" s="42"/>
    </row>
    <row r="5801" spans="1:72" x14ac:dyDescent="0.25">
      <c r="A5801" s="90">
        <v>34940</v>
      </c>
      <c r="B5801" s="20">
        <v>0.95833333333333337</v>
      </c>
      <c r="D5801">
        <v>78.98</v>
      </c>
      <c r="E5801" t="str">
        <f t="shared" si="216"/>
        <v>WEEKDAY</v>
      </c>
      <c r="F5801" t="e">
        <f t="shared" si="215"/>
        <v>#N/A</v>
      </c>
      <c r="G5801" s="74">
        <v>32018</v>
      </c>
      <c r="H5801" s="77">
        <v>0.95833333333333337</v>
      </c>
      <c r="J5801">
        <v>64.94</v>
      </c>
      <c r="M5801" s="74">
        <v>34575</v>
      </c>
      <c r="N5801" s="77">
        <v>0.95833333333333337</v>
      </c>
      <c r="P5801">
        <v>59.900000000000006</v>
      </c>
      <c r="S5801" s="74">
        <v>34940</v>
      </c>
      <c r="T5801" s="77">
        <v>0.95833333333333337</v>
      </c>
      <c r="V5801">
        <v>71.960000000000008</v>
      </c>
      <c r="X5801" s="42"/>
      <c r="AB5801">
        <v>71.8</v>
      </c>
      <c r="AC5801">
        <v>62.06</v>
      </c>
      <c r="AE5801" s="74"/>
      <c r="AF5801" s="77"/>
      <c r="AH5801" s="497">
        <v>53.96</v>
      </c>
      <c r="AJ5801" s="42"/>
      <c r="AK5801" s="74"/>
      <c r="AL5801" s="77"/>
      <c r="AN5801" s="497">
        <v>60.980000000000004</v>
      </c>
      <c r="AP5801" s="42"/>
      <c r="AQ5801" s="74"/>
      <c r="AR5801" s="77"/>
      <c r="AT5801" s="497">
        <v>60.08</v>
      </c>
      <c r="AV5801" s="42"/>
      <c r="AW5801" s="74"/>
      <c r="AX5801" s="77"/>
      <c r="BA5801" s="497">
        <v>66.92</v>
      </c>
      <c r="BB5801" s="42"/>
      <c r="BC5801" s="74"/>
      <c r="BD5801" s="77"/>
      <c r="BF5801">
        <v>68</v>
      </c>
      <c r="BH5801" s="42"/>
      <c r="BI5801" s="74"/>
      <c r="BJ5801" s="77"/>
      <c r="BL5801" s="497">
        <v>62.96</v>
      </c>
      <c r="BN5801" s="42"/>
      <c r="BO5801" s="74"/>
      <c r="BP5801" s="77"/>
      <c r="BR5801" s="497">
        <v>62.96</v>
      </c>
      <c r="BT5801" s="42"/>
    </row>
    <row r="5802" spans="1:72" x14ac:dyDescent="0.25">
      <c r="A5802" s="90">
        <v>34940</v>
      </c>
      <c r="B5802" s="20">
        <v>1</v>
      </c>
      <c r="D5802">
        <v>78.080000000000013</v>
      </c>
      <c r="E5802" t="str">
        <f t="shared" si="216"/>
        <v>WEEKDAY</v>
      </c>
      <c r="F5802" t="e">
        <f t="shared" si="215"/>
        <v>#N/A</v>
      </c>
      <c r="G5802" s="74">
        <v>32018</v>
      </c>
      <c r="H5802" s="77">
        <v>1</v>
      </c>
      <c r="J5802">
        <v>64.039999999999992</v>
      </c>
      <c r="M5802" s="74">
        <v>34575</v>
      </c>
      <c r="N5802" s="80">
        <v>1</v>
      </c>
      <c r="P5802">
        <v>59.900000000000006</v>
      </c>
      <c r="S5802" s="74">
        <v>34940</v>
      </c>
      <c r="T5802" s="80">
        <v>1</v>
      </c>
      <c r="V5802">
        <v>71.960000000000008</v>
      </c>
      <c r="X5802" s="42"/>
      <c r="AB5802">
        <v>71.099999999999994</v>
      </c>
      <c r="AC5802">
        <v>62.06</v>
      </c>
      <c r="AE5802" s="74"/>
      <c r="AF5802" s="80"/>
      <c r="AH5802" s="497">
        <v>52.879999999999995</v>
      </c>
      <c r="AJ5802" s="42"/>
      <c r="AK5802" s="74"/>
      <c r="AL5802" s="80"/>
      <c r="AN5802" s="497">
        <v>60.08</v>
      </c>
      <c r="AP5802" s="42"/>
      <c r="AQ5802" s="74"/>
      <c r="AR5802" s="80"/>
      <c r="AT5802" s="497">
        <v>60.08</v>
      </c>
      <c r="AV5802" s="42"/>
      <c r="AW5802" s="74"/>
      <c r="AX5802" s="80"/>
      <c r="BA5802" s="497">
        <v>66.92</v>
      </c>
      <c r="BB5802" s="42"/>
      <c r="BC5802" s="74"/>
      <c r="BD5802" s="80"/>
      <c r="BF5802">
        <v>68</v>
      </c>
      <c r="BH5802" s="42"/>
      <c r="BI5802" s="74"/>
      <c r="BJ5802" s="80"/>
      <c r="BL5802" s="497">
        <v>62.06</v>
      </c>
      <c r="BN5802" s="42"/>
      <c r="BO5802" s="74"/>
      <c r="BP5802" s="80"/>
      <c r="BR5802" s="497">
        <v>62.06</v>
      </c>
      <c r="BT5802" s="42"/>
    </row>
    <row r="5803" spans="1:72" x14ac:dyDescent="0.25">
      <c r="A5803" s="90">
        <v>34941</v>
      </c>
      <c r="B5803" s="20">
        <v>4.1666666666666664E-2</v>
      </c>
      <c r="D5803">
        <v>77</v>
      </c>
      <c r="E5803" t="str">
        <f t="shared" si="216"/>
        <v>WEEKDAY</v>
      </c>
      <c r="F5803" t="e">
        <f t="shared" ref="F5803:F5866" si="217">IF(E5803="WEEKDAY",VLOOKUP(B5803,$DD$19:$DG$42,2),IF(E5803="SATURDAY",VLOOKUP(B5803,$DD$19:$DG$42,3),VLOOKUP(B5803,$DD$19:$DG$42,4)))</f>
        <v>#N/A</v>
      </c>
      <c r="G5803" s="74">
        <v>32019</v>
      </c>
      <c r="H5803" s="77">
        <v>4.1666666666666664E-2</v>
      </c>
      <c r="J5803">
        <v>62.96</v>
      </c>
      <c r="M5803" s="74">
        <v>34576</v>
      </c>
      <c r="N5803" s="77">
        <v>4.1666666666666664E-2</v>
      </c>
      <c r="P5803">
        <v>59</v>
      </c>
      <c r="S5803" s="74">
        <v>34941</v>
      </c>
      <c r="T5803" s="77">
        <v>4.1666666666666664E-2</v>
      </c>
      <c r="V5803">
        <v>71.960000000000008</v>
      </c>
      <c r="X5803" s="42"/>
      <c r="AB5803">
        <v>70.400000000000006</v>
      </c>
      <c r="AC5803">
        <v>60.980000000000004</v>
      </c>
      <c r="AE5803" s="74"/>
      <c r="AF5803" s="77"/>
      <c r="AH5803" s="497">
        <v>53.96</v>
      </c>
      <c r="AJ5803" s="42"/>
      <c r="AK5803" s="74"/>
      <c r="AL5803" s="77"/>
      <c r="AN5803" s="497">
        <v>59</v>
      </c>
      <c r="AP5803" s="42"/>
      <c r="AQ5803" s="74"/>
      <c r="AR5803" s="77"/>
      <c r="AT5803" s="497">
        <v>60.08</v>
      </c>
      <c r="AV5803" s="42"/>
      <c r="AW5803" s="74"/>
      <c r="AX5803" s="77"/>
      <c r="BA5803" s="497">
        <v>66.92</v>
      </c>
      <c r="BB5803" s="42"/>
      <c r="BC5803" s="74"/>
      <c r="BD5803" s="77"/>
      <c r="BF5803">
        <v>68</v>
      </c>
      <c r="BH5803" s="42"/>
      <c r="BI5803" s="74"/>
      <c r="BJ5803" s="77"/>
      <c r="BL5803" s="497">
        <v>60.08</v>
      </c>
      <c r="BN5803" s="42"/>
      <c r="BO5803" s="74"/>
      <c r="BP5803" s="77"/>
      <c r="BR5803" s="497">
        <v>60.980000000000004</v>
      </c>
      <c r="BT5803" s="42"/>
    </row>
    <row r="5804" spans="1:72" x14ac:dyDescent="0.25">
      <c r="A5804" s="90">
        <v>34941</v>
      </c>
      <c r="B5804" s="20">
        <v>8.3333333333333329E-2</v>
      </c>
      <c r="D5804">
        <v>77</v>
      </c>
      <c r="E5804" t="str">
        <f t="shared" si="216"/>
        <v>WEEKDAY</v>
      </c>
      <c r="F5804" t="e">
        <f t="shared" si="217"/>
        <v>#N/A</v>
      </c>
      <c r="G5804" s="74">
        <v>32019</v>
      </c>
      <c r="H5804" s="77">
        <v>8.3333333333333329E-2</v>
      </c>
      <c r="J5804">
        <v>62.06</v>
      </c>
      <c r="M5804" s="74">
        <v>34576</v>
      </c>
      <c r="N5804" s="77">
        <v>8.3333333333333329E-2</v>
      </c>
      <c r="P5804">
        <v>56.84</v>
      </c>
      <c r="S5804" s="74">
        <v>34941</v>
      </c>
      <c r="T5804" s="77">
        <v>8.3333333333333329E-2</v>
      </c>
      <c r="V5804">
        <v>73.039999999999992</v>
      </c>
      <c r="X5804" s="42"/>
      <c r="AB5804">
        <v>69.8</v>
      </c>
      <c r="AC5804">
        <v>60.980000000000004</v>
      </c>
      <c r="AE5804" s="74"/>
      <c r="AF5804" s="77"/>
      <c r="AH5804" s="497">
        <v>50.900000000000006</v>
      </c>
      <c r="AJ5804" s="42"/>
      <c r="AK5804" s="74"/>
      <c r="AL5804" s="77"/>
      <c r="AN5804" s="497">
        <v>60.08</v>
      </c>
      <c r="AP5804" s="42"/>
      <c r="AQ5804" s="74"/>
      <c r="AR5804" s="77"/>
      <c r="AT5804" s="497">
        <v>57.92</v>
      </c>
      <c r="AV5804" s="42"/>
      <c r="AW5804" s="74"/>
      <c r="AX5804" s="77"/>
      <c r="BA5804" s="497">
        <v>66.92</v>
      </c>
      <c r="BB5804" s="42"/>
      <c r="BC5804" s="74"/>
      <c r="BD5804" s="77"/>
      <c r="BF5804">
        <v>68</v>
      </c>
      <c r="BH5804" s="42"/>
      <c r="BI5804" s="74"/>
      <c r="BJ5804" s="77"/>
      <c r="BL5804" s="497">
        <v>57.92</v>
      </c>
      <c r="BN5804" s="42"/>
      <c r="BO5804" s="74"/>
      <c r="BP5804" s="77"/>
      <c r="BR5804" s="497">
        <v>59</v>
      </c>
      <c r="BT5804" s="42"/>
    </row>
    <row r="5805" spans="1:72" x14ac:dyDescent="0.25">
      <c r="A5805" s="90">
        <v>34941</v>
      </c>
      <c r="B5805" s="20">
        <v>0.125</v>
      </c>
      <c r="D5805">
        <v>75.92</v>
      </c>
      <c r="E5805" t="str">
        <f t="shared" si="216"/>
        <v>WEEKDAY</v>
      </c>
      <c r="F5805" t="e">
        <f t="shared" si="217"/>
        <v>#N/A</v>
      </c>
      <c r="G5805" s="74">
        <v>32019</v>
      </c>
      <c r="H5805" s="77">
        <v>0.125</v>
      </c>
      <c r="J5805">
        <v>60.980000000000004</v>
      </c>
      <c r="M5805" s="74">
        <v>34576</v>
      </c>
      <c r="N5805" s="77">
        <v>0.125</v>
      </c>
      <c r="P5805">
        <v>55.94</v>
      </c>
      <c r="S5805" s="74">
        <v>34941</v>
      </c>
      <c r="T5805" s="77">
        <v>0.125</v>
      </c>
      <c r="V5805">
        <v>73.039999999999992</v>
      </c>
      <c r="X5805" s="42"/>
      <c r="AB5805">
        <v>69.3</v>
      </c>
      <c r="AC5805">
        <v>60.08</v>
      </c>
      <c r="AE5805" s="74"/>
      <c r="AF5805" s="77"/>
      <c r="AH5805" s="497">
        <v>50.900000000000006</v>
      </c>
      <c r="AJ5805" s="42"/>
      <c r="AK5805" s="74"/>
      <c r="AL5805" s="77"/>
      <c r="AN5805" s="497">
        <v>60.08</v>
      </c>
      <c r="AP5805" s="42"/>
      <c r="AQ5805" s="74"/>
      <c r="AR5805" s="77"/>
      <c r="AT5805" s="497">
        <v>57.92</v>
      </c>
      <c r="AV5805" s="42"/>
      <c r="AW5805" s="74"/>
      <c r="AX5805" s="77"/>
      <c r="BA5805" s="497">
        <v>66.02</v>
      </c>
      <c r="BB5805" s="42"/>
      <c r="BC5805" s="74"/>
      <c r="BD5805" s="77"/>
      <c r="BF5805">
        <v>68</v>
      </c>
      <c r="BH5805" s="42"/>
      <c r="BI5805" s="74"/>
      <c r="BJ5805" s="77"/>
      <c r="BL5805" s="497">
        <v>57.019999999999996</v>
      </c>
      <c r="BN5805" s="42"/>
      <c r="BO5805" s="74"/>
      <c r="BP5805" s="77"/>
      <c r="BR5805" s="497">
        <v>57.92</v>
      </c>
      <c r="BT5805" s="42"/>
    </row>
    <row r="5806" spans="1:72" x14ac:dyDescent="0.25">
      <c r="A5806" s="90">
        <v>34941</v>
      </c>
      <c r="B5806" s="20">
        <v>0.16666666666666666</v>
      </c>
      <c r="D5806">
        <v>75.740000000000009</v>
      </c>
      <c r="E5806" t="str">
        <f t="shared" si="216"/>
        <v>WEEKDAY</v>
      </c>
      <c r="F5806" t="e">
        <f t="shared" si="217"/>
        <v>#N/A</v>
      </c>
      <c r="G5806" s="74">
        <v>32019</v>
      </c>
      <c r="H5806" s="77">
        <v>0.16666666666666666</v>
      </c>
      <c r="J5806">
        <v>60.980000000000004</v>
      </c>
      <c r="M5806" s="74">
        <v>34576</v>
      </c>
      <c r="N5806" s="77">
        <v>0.16666666666666666</v>
      </c>
      <c r="P5806">
        <v>54.86</v>
      </c>
      <c r="S5806" s="74">
        <v>34941</v>
      </c>
      <c r="T5806" s="77">
        <v>0.16666666666666666</v>
      </c>
      <c r="V5806">
        <v>71.06</v>
      </c>
      <c r="X5806" s="42"/>
      <c r="AB5806">
        <v>68.7</v>
      </c>
      <c r="AC5806">
        <v>60.08</v>
      </c>
      <c r="AE5806" s="74"/>
      <c r="AF5806" s="77"/>
      <c r="AH5806" s="497">
        <v>51.980000000000004</v>
      </c>
      <c r="AJ5806" s="42"/>
      <c r="AK5806" s="74"/>
      <c r="AL5806" s="77"/>
      <c r="AN5806" s="497">
        <v>60.08</v>
      </c>
      <c r="AP5806" s="42"/>
      <c r="AQ5806" s="74"/>
      <c r="AR5806" s="77"/>
      <c r="AT5806" s="497">
        <v>57.019999999999996</v>
      </c>
      <c r="AV5806" s="42"/>
      <c r="AW5806" s="74"/>
      <c r="AX5806" s="77"/>
      <c r="BA5806" s="497">
        <v>62.06</v>
      </c>
      <c r="BB5806" s="42"/>
      <c r="BC5806" s="74"/>
      <c r="BD5806" s="77"/>
      <c r="BF5806">
        <v>68</v>
      </c>
      <c r="BH5806" s="42"/>
      <c r="BI5806" s="74"/>
      <c r="BJ5806" s="77"/>
      <c r="BL5806" s="497">
        <v>57.019999999999996</v>
      </c>
      <c r="BN5806" s="42"/>
      <c r="BO5806" s="74"/>
      <c r="BP5806" s="77"/>
      <c r="BR5806" s="497">
        <v>57.019999999999996</v>
      </c>
      <c r="BT5806" s="42"/>
    </row>
    <row r="5807" spans="1:72" x14ac:dyDescent="0.25">
      <c r="A5807" s="90">
        <v>34941</v>
      </c>
      <c r="B5807" s="20">
        <v>0.20833333333333334</v>
      </c>
      <c r="D5807">
        <v>75.02</v>
      </c>
      <c r="E5807" t="str">
        <f t="shared" si="216"/>
        <v>WEEKDAY</v>
      </c>
      <c r="F5807" t="e">
        <f t="shared" si="217"/>
        <v>#N/A</v>
      </c>
      <c r="G5807" s="74">
        <v>32019</v>
      </c>
      <c r="H5807" s="77">
        <v>0.20833333333333334</v>
      </c>
      <c r="J5807">
        <v>60.08</v>
      </c>
      <c r="M5807" s="74">
        <v>34576</v>
      </c>
      <c r="N5807" s="77">
        <v>0.20833333333333334</v>
      </c>
      <c r="P5807">
        <v>57.92</v>
      </c>
      <c r="S5807" s="74">
        <v>34941</v>
      </c>
      <c r="T5807" s="77">
        <v>0.20833333333333334</v>
      </c>
      <c r="V5807">
        <v>69.98</v>
      </c>
      <c r="X5807" s="42"/>
      <c r="AB5807">
        <v>68.2</v>
      </c>
      <c r="AC5807">
        <v>60.08</v>
      </c>
      <c r="AE5807" s="74"/>
      <c r="AF5807" s="77"/>
      <c r="AH5807" s="497">
        <v>48.92</v>
      </c>
      <c r="AJ5807" s="42"/>
      <c r="AK5807" s="74"/>
      <c r="AL5807" s="77"/>
      <c r="AN5807" s="497">
        <v>60.08</v>
      </c>
      <c r="AP5807" s="42"/>
      <c r="AQ5807" s="74"/>
      <c r="AR5807" s="77"/>
      <c r="AT5807" s="497">
        <v>57.019999999999996</v>
      </c>
      <c r="AV5807" s="42"/>
      <c r="AW5807" s="74"/>
      <c r="AX5807" s="77"/>
      <c r="BA5807" s="497">
        <v>62.06</v>
      </c>
      <c r="BB5807" s="42"/>
      <c r="BC5807" s="74"/>
      <c r="BD5807" s="77"/>
      <c r="BF5807">
        <v>68</v>
      </c>
      <c r="BH5807" s="42"/>
      <c r="BI5807" s="74"/>
      <c r="BJ5807" s="77"/>
      <c r="BL5807" s="497">
        <v>55.040000000000006</v>
      </c>
      <c r="BN5807" s="42"/>
      <c r="BO5807" s="74"/>
      <c r="BP5807" s="77"/>
      <c r="BR5807" s="497">
        <v>57.019999999999996</v>
      </c>
      <c r="BT5807" s="42"/>
    </row>
    <row r="5808" spans="1:72" x14ac:dyDescent="0.25">
      <c r="A5808" s="90">
        <v>34941</v>
      </c>
      <c r="B5808" s="20">
        <v>0.25</v>
      </c>
      <c r="D5808">
        <v>73.94</v>
      </c>
      <c r="E5808" t="str">
        <f t="shared" si="216"/>
        <v>WEEKDAY</v>
      </c>
      <c r="F5808" t="e">
        <f t="shared" si="217"/>
        <v>#N/A</v>
      </c>
      <c r="G5808" s="74">
        <v>32019</v>
      </c>
      <c r="H5808" s="77">
        <v>0.25</v>
      </c>
      <c r="J5808">
        <v>60.08</v>
      </c>
      <c r="M5808" s="74">
        <v>34576</v>
      </c>
      <c r="N5808" s="77">
        <v>0.25</v>
      </c>
      <c r="P5808">
        <v>59</v>
      </c>
      <c r="S5808" s="74">
        <v>34941</v>
      </c>
      <c r="T5808" s="77">
        <v>0.25</v>
      </c>
      <c r="V5808">
        <v>69.080000000000013</v>
      </c>
      <c r="X5808" s="42"/>
      <c r="AB5808">
        <v>67.900000000000006</v>
      </c>
      <c r="AC5808">
        <v>60.08</v>
      </c>
      <c r="AE5808" s="74"/>
      <c r="AF5808" s="77"/>
      <c r="AH5808" s="497">
        <v>50.900000000000006</v>
      </c>
      <c r="AJ5808" s="42"/>
      <c r="AK5808" s="74"/>
      <c r="AL5808" s="77"/>
      <c r="AN5808" s="497">
        <v>60.08</v>
      </c>
      <c r="AP5808" s="42"/>
      <c r="AQ5808" s="74"/>
      <c r="AR5808" s="77"/>
      <c r="AT5808" s="497">
        <v>57.019999999999996</v>
      </c>
      <c r="AV5808" s="42"/>
      <c r="AW5808" s="74"/>
      <c r="AX5808" s="77"/>
      <c r="BA5808" s="497">
        <v>62.06</v>
      </c>
      <c r="BB5808" s="42"/>
      <c r="BC5808" s="74"/>
      <c r="BD5808" s="77"/>
      <c r="BF5808">
        <v>66.02</v>
      </c>
      <c r="BH5808" s="42"/>
      <c r="BI5808" s="74"/>
      <c r="BJ5808" s="77"/>
      <c r="BL5808" s="497">
        <v>55.040000000000006</v>
      </c>
      <c r="BN5808" s="42"/>
      <c r="BO5808" s="74"/>
      <c r="BP5808" s="77"/>
      <c r="BR5808" s="497">
        <v>55.94</v>
      </c>
      <c r="BT5808" s="42"/>
    </row>
    <row r="5809" spans="1:72" x14ac:dyDescent="0.25">
      <c r="A5809" s="90">
        <v>34941</v>
      </c>
      <c r="B5809" s="20">
        <v>0.29166666666666669</v>
      </c>
      <c r="D5809">
        <v>75.02</v>
      </c>
      <c r="E5809" t="str">
        <f t="shared" si="216"/>
        <v>WEEKDAY</v>
      </c>
      <c r="F5809" t="e">
        <f t="shared" si="217"/>
        <v>#N/A</v>
      </c>
      <c r="G5809" s="74">
        <v>32019</v>
      </c>
      <c r="H5809" s="77">
        <v>0.29166666666666669</v>
      </c>
      <c r="J5809">
        <v>62.06</v>
      </c>
      <c r="M5809" s="74">
        <v>34576</v>
      </c>
      <c r="N5809" s="77">
        <v>0.29166666666666669</v>
      </c>
      <c r="P5809">
        <v>61.88</v>
      </c>
      <c r="S5809" s="74">
        <v>34941</v>
      </c>
      <c r="T5809" s="77">
        <v>0.29166666666666669</v>
      </c>
      <c r="V5809">
        <v>71.06</v>
      </c>
      <c r="X5809" s="42"/>
      <c r="AB5809">
        <v>68.099999999999994</v>
      </c>
      <c r="AC5809">
        <v>60.980000000000004</v>
      </c>
      <c r="AE5809" s="74"/>
      <c r="AF5809" s="77"/>
      <c r="AH5809" s="497">
        <v>57.92</v>
      </c>
      <c r="AJ5809" s="42"/>
      <c r="AK5809" s="74"/>
      <c r="AL5809" s="77"/>
      <c r="AN5809" s="497">
        <v>62.06</v>
      </c>
      <c r="AP5809" s="42"/>
      <c r="AQ5809" s="74"/>
      <c r="AR5809" s="77"/>
      <c r="AT5809" s="497">
        <v>57.92</v>
      </c>
      <c r="AV5809" s="42"/>
      <c r="AW5809" s="74"/>
      <c r="AX5809" s="77"/>
      <c r="BA5809" s="497">
        <v>64.94</v>
      </c>
      <c r="BB5809" s="42"/>
      <c r="BC5809" s="74"/>
      <c r="BD5809" s="77"/>
      <c r="BF5809">
        <v>66.02</v>
      </c>
      <c r="BH5809" s="42"/>
      <c r="BI5809" s="74"/>
      <c r="BJ5809" s="77"/>
      <c r="BL5809" s="497">
        <v>57.92</v>
      </c>
      <c r="BN5809" s="42"/>
      <c r="BO5809" s="74"/>
      <c r="BP5809" s="77"/>
      <c r="BR5809" s="497">
        <v>62.06</v>
      </c>
      <c r="BT5809" s="42"/>
    </row>
    <row r="5810" spans="1:72" x14ac:dyDescent="0.25">
      <c r="A5810" s="90">
        <v>34941</v>
      </c>
      <c r="B5810" s="20">
        <v>0.33333333333333331</v>
      </c>
      <c r="D5810">
        <v>78.080000000000013</v>
      </c>
      <c r="E5810" t="str">
        <f t="shared" si="216"/>
        <v>WEEKDAY</v>
      </c>
      <c r="F5810" t="e">
        <f t="shared" si="217"/>
        <v>#N/A</v>
      </c>
      <c r="G5810" s="74">
        <v>32019</v>
      </c>
      <c r="H5810" s="77">
        <v>0.33333333333333331</v>
      </c>
      <c r="J5810">
        <v>64.94</v>
      </c>
      <c r="M5810" s="74">
        <v>34576</v>
      </c>
      <c r="N5810" s="77">
        <v>0.33333333333333331</v>
      </c>
      <c r="P5810">
        <v>63.86</v>
      </c>
      <c r="S5810" s="74">
        <v>34941</v>
      </c>
      <c r="T5810" s="77">
        <v>0.33333333333333331</v>
      </c>
      <c r="V5810">
        <v>71.960000000000008</v>
      </c>
      <c r="X5810" s="42"/>
      <c r="AB5810">
        <v>70.2</v>
      </c>
      <c r="AC5810">
        <v>60.980000000000004</v>
      </c>
      <c r="AE5810" s="74"/>
      <c r="AF5810" s="77"/>
      <c r="AH5810" s="497">
        <v>60.980000000000004</v>
      </c>
      <c r="AJ5810" s="42"/>
      <c r="AK5810" s="74"/>
      <c r="AL5810" s="77"/>
      <c r="AN5810" s="497">
        <v>64.039999999999992</v>
      </c>
      <c r="AP5810" s="42"/>
      <c r="AQ5810" s="74"/>
      <c r="AR5810" s="77"/>
      <c r="AT5810" s="497">
        <v>60.980000000000004</v>
      </c>
      <c r="AV5810" s="42"/>
      <c r="AW5810" s="74"/>
      <c r="AX5810" s="77"/>
      <c r="BA5810" s="497">
        <v>69.98</v>
      </c>
      <c r="BB5810" s="42"/>
      <c r="BC5810" s="74"/>
      <c r="BD5810" s="77"/>
      <c r="BF5810">
        <v>66.92</v>
      </c>
      <c r="BH5810" s="42"/>
      <c r="BI5810" s="74"/>
      <c r="BJ5810" s="77"/>
      <c r="BL5810" s="497">
        <v>64.039999999999992</v>
      </c>
      <c r="BN5810" s="42"/>
      <c r="BO5810" s="74"/>
      <c r="BP5810" s="77"/>
      <c r="BR5810" s="497">
        <v>64.039999999999992</v>
      </c>
      <c r="BT5810" s="42"/>
    </row>
    <row r="5811" spans="1:72" x14ac:dyDescent="0.25">
      <c r="A5811" s="90">
        <v>34941</v>
      </c>
      <c r="B5811" s="20">
        <v>0.375</v>
      </c>
      <c r="D5811">
        <v>80.06</v>
      </c>
      <c r="E5811" t="str">
        <f t="shared" si="216"/>
        <v>WEEKDAY</v>
      </c>
      <c r="F5811" t="e">
        <f t="shared" si="217"/>
        <v>#N/A</v>
      </c>
      <c r="G5811" s="74">
        <v>32019</v>
      </c>
      <c r="H5811" s="77">
        <v>0.375</v>
      </c>
      <c r="J5811">
        <v>66.02</v>
      </c>
      <c r="M5811" s="74">
        <v>34576</v>
      </c>
      <c r="N5811" s="77">
        <v>0.375</v>
      </c>
      <c r="P5811">
        <v>65.84</v>
      </c>
      <c r="S5811" s="74">
        <v>34941</v>
      </c>
      <c r="T5811" s="77">
        <v>0.375</v>
      </c>
      <c r="V5811">
        <v>73.039999999999992</v>
      </c>
      <c r="X5811" s="42"/>
      <c r="AB5811">
        <v>72.3</v>
      </c>
      <c r="AC5811">
        <v>62.06</v>
      </c>
      <c r="AE5811" s="74"/>
      <c r="AF5811" s="77"/>
      <c r="AH5811" s="497">
        <v>66.92</v>
      </c>
      <c r="AJ5811" s="42"/>
      <c r="AK5811" s="74"/>
      <c r="AL5811" s="77"/>
      <c r="AN5811" s="497">
        <v>66.02</v>
      </c>
      <c r="AP5811" s="42"/>
      <c r="AQ5811" s="74"/>
      <c r="AR5811" s="77"/>
      <c r="AT5811" s="497">
        <v>62.96</v>
      </c>
      <c r="AV5811" s="42"/>
      <c r="AW5811" s="74"/>
      <c r="AX5811" s="77"/>
      <c r="BA5811" s="497">
        <v>73.039999999999992</v>
      </c>
      <c r="BB5811" s="42"/>
      <c r="BC5811" s="74"/>
      <c r="BD5811" s="77"/>
      <c r="BF5811">
        <v>66.92</v>
      </c>
      <c r="BH5811" s="42"/>
      <c r="BI5811" s="74"/>
      <c r="BJ5811" s="77"/>
      <c r="BL5811" s="497">
        <v>69.080000000000013</v>
      </c>
      <c r="BN5811" s="42"/>
      <c r="BO5811" s="74"/>
      <c r="BP5811" s="77"/>
      <c r="BR5811" s="497">
        <v>68</v>
      </c>
      <c r="BT5811" s="42"/>
    </row>
    <row r="5812" spans="1:72" x14ac:dyDescent="0.25">
      <c r="A5812" s="90">
        <v>34941</v>
      </c>
      <c r="B5812" s="20">
        <v>0.41666666666666669</v>
      </c>
      <c r="D5812">
        <v>80.960000000000008</v>
      </c>
      <c r="E5812" t="str">
        <f t="shared" si="216"/>
        <v>WEEKDAY</v>
      </c>
      <c r="F5812" t="e">
        <f t="shared" si="217"/>
        <v>#N/A</v>
      </c>
      <c r="G5812" s="74">
        <v>32019</v>
      </c>
      <c r="H5812" s="77">
        <v>0.41666666666666669</v>
      </c>
      <c r="J5812">
        <v>71.06</v>
      </c>
      <c r="M5812" s="74">
        <v>34576</v>
      </c>
      <c r="N5812" s="77">
        <v>0.41666666666666669</v>
      </c>
      <c r="P5812">
        <v>68</v>
      </c>
      <c r="S5812" s="74">
        <v>34941</v>
      </c>
      <c r="T5812" s="77">
        <v>0.41666666666666669</v>
      </c>
      <c r="V5812">
        <v>75.02</v>
      </c>
      <c r="X5812" s="42"/>
      <c r="AB5812">
        <v>74.3</v>
      </c>
      <c r="AC5812">
        <v>62.96</v>
      </c>
      <c r="AE5812" s="74"/>
      <c r="AF5812" s="77"/>
      <c r="AH5812" s="497">
        <v>69.98</v>
      </c>
      <c r="AJ5812" s="42"/>
      <c r="AK5812" s="74"/>
      <c r="AL5812" s="77"/>
      <c r="AN5812" s="497">
        <v>64.94</v>
      </c>
      <c r="AP5812" s="42"/>
      <c r="AQ5812" s="74"/>
      <c r="AR5812" s="77"/>
      <c r="AT5812" s="497">
        <v>66.92</v>
      </c>
      <c r="AV5812" s="42"/>
      <c r="AW5812" s="74"/>
      <c r="AX5812" s="77"/>
      <c r="BA5812" s="497">
        <v>75.92</v>
      </c>
      <c r="BB5812" s="42"/>
      <c r="BC5812" s="74"/>
      <c r="BD5812" s="77"/>
      <c r="BF5812">
        <v>64.039999999999992</v>
      </c>
      <c r="BH5812" s="42"/>
      <c r="BI5812" s="74"/>
      <c r="BJ5812" s="77"/>
      <c r="BL5812" s="497">
        <v>73.039999999999992</v>
      </c>
      <c r="BN5812" s="42"/>
      <c r="BO5812" s="74"/>
      <c r="BP5812" s="77"/>
      <c r="BR5812" s="497">
        <v>71.06</v>
      </c>
      <c r="BT5812" s="42"/>
    </row>
    <row r="5813" spans="1:72" x14ac:dyDescent="0.25">
      <c r="A5813" s="90">
        <v>34941</v>
      </c>
      <c r="B5813" s="20">
        <v>0.45833333333333331</v>
      </c>
      <c r="D5813">
        <v>82.94</v>
      </c>
      <c r="E5813" t="str">
        <f t="shared" si="216"/>
        <v>WEEKDAY</v>
      </c>
      <c r="F5813" t="e">
        <f t="shared" si="217"/>
        <v>#N/A</v>
      </c>
      <c r="G5813" s="74">
        <v>32019</v>
      </c>
      <c r="H5813" s="77">
        <v>0.45833333333333331</v>
      </c>
      <c r="J5813">
        <v>75.02</v>
      </c>
      <c r="M5813" s="74">
        <v>34576</v>
      </c>
      <c r="N5813" s="77">
        <v>0.45833333333333331</v>
      </c>
      <c r="P5813">
        <v>68.900000000000006</v>
      </c>
      <c r="S5813" s="74">
        <v>34941</v>
      </c>
      <c r="T5813" s="77">
        <v>0.45833333333333331</v>
      </c>
      <c r="V5813">
        <v>75.92</v>
      </c>
      <c r="X5813" s="42"/>
      <c r="AB5813">
        <v>76.099999999999994</v>
      </c>
      <c r="AC5813">
        <v>64.039999999999992</v>
      </c>
      <c r="AE5813" s="74"/>
      <c r="AF5813" s="77"/>
      <c r="AH5813" s="497">
        <v>70.88</v>
      </c>
      <c r="AJ5813" s="42"/>
      <c r="AK5813" s="74"/>
      <c r="AL5813" s="77"/>
      <c r="AN5813" s="497">
        <v>64.039999999999992</v>
      </c>
      <c r="AP5813" s="42"/>
      <c r="AQ5813" s="74"/>
      <c r="AR5813" s="77"/>
      <c r="AT5813" s="497">
        <v>68</v>
      </c>
      <c r="AV5813" s="42"/>
      <c r="AW5813" s="74"/>
      <c r="AX5813" s="77"/>
      <c r="BA5813" s="497">
        <v>78.98</v>
      </c>
      <c r="BB5813" s="42"/>
      <c r="BC5813" s="74"/>
      <c r="BD5813" s="77"/>
      <c r="BF5813">
        <v>64.94</v>
      </c>
      <c r="BH5813" s="42"/>
      <c r="BI5813" s="74"/>
      <c r="BJ5813" s="77"/>
      <c r="BL5813" s="497">
        <v>73.94</v>
      </c>
      <c r="BN5813" s="42"/>
      <c r="BO5813" s="74"/>
      <c r="BP5813" s="77"/>
      <c r="BR5813" s="497">
        <v>73.039999999999992</v>
      </c>
      <c r="BT5813" s="42"/>
    </row>
    <row r="5814" spans="1:72" x14ac:dyDescent="0.25">
      <c r="A5814" s="90">
        <v>34941</v>
      </c>
      <c r="B5814" s="20">
        <v>0.5</v>
      </c>
      <c r="D5814">
        <v>84.92</v>
      </c>
      <c r="E5814" t="str">
        <f t="shared" si="216"/>
        <v>WEEKDAY</v>
      </c>
      <c r="F5814" t="e">
        <f t="shared" si="217"/>
        <v>#N/A</v>
      </c>
      <c r="G5814" s="74">
        <v>32019</v>
      </c>
      <c r="H5814" s="77">
        <v>0.5</v>
      </c>
      <c r="J5814">
        <v>75.92</v>
      </c>
      <c r="M5814" s="74">
        <v>34576</v>
      </c>
      <c r="N5814" s="77">
        <v>0.5</v>
      </c>
      <c r="P5814">
        <v>70.88</v>
      </c>
      <c r="S5814" s="74">
        <v>34941</v>
      </c>
      <c r="T5814" s="77">
        <v>0.5</v>
      </c>
      <c r="V5814">
        <v>80.06</v>
      </c>
      <c r="X5814" s="42"/>
      <c r="AB5814">
        <v>77.400000000000006</v>
      </c>
      <c r="AC5814">
        <v>62.06</v>
      </c>
      <c r="AE5814" s="74"/>
      <c r="AF5814" s="77"/>
      <c r="AH5814" s="497">
        <v>71.960000000000008</v>
      </c>
      <c r="AJ5814" s="42"/>
      <c r="AK5814" s="74"/>
      <c r="AL5814" s="77"/>
      <c r="AN5814" s="497">
        <v>64.039999999999992</v>
      </c>
      <c r="AP5814" s="42"/>
      <c r="AQ5814" s="74"/>
      <c r="AR5814" s="77"/>
      <c r="AT5814" s="497">
        <v>69.080000000000013</v>
      </c>
      <c r="AV5814" s="42"/>
      <c r="AW5814" s="74"/>
      <c r="AX5814" s="77"/>
      <c r="BA5814" s="497">
        <v>80.960000000000008</v>
      </c>
      <c r="BB5814" s="42"/>
      <c r="BC5814" s="74"/>
      <c r="BD5814" s="77"/>
      <c r="BF5814">
        <v>64.94</v>
      </c>
      <c r="BH5814" s="42"/>
      <c r="BI5814" s="74"/>
      <c r="BJ5814" s="77"/>
      <c r="BL5814" s="497">
        <v>71.06</v>
      </c>
      <c r="BN5814" s="42"/>
      <c r="BO5814" s="74"/>
      <c r="BP5814" s="77"/>
      <c r="BR5814" s="497">
        <v>75.92</v>
      </c>
      <c r="BT5814" s="42"/>
    </row>
    <row r="5815" spans="1:72" x14ac:dyDescent="0.25">
      <c r="A5815" s="90">
        <v>34941</v>
      </c>
      <c r="B5815" s="20">
        <v>0.54166666666666663</v>
      </c>
      <c r="D5815">
        <v>84.92</v>
      </c>
      <c r="E5815" t="str">
        <f t="shared" si="216"/>
        <v>WEEKDAY</v>
      </c>
      <c r="F5815" t="e">
        <f t="shared" si="217"/>
        <v>#N/A</v>
      </c>
      <c r="G5815" s="74">
        <v>32019</v>
      </c>
      <c r="H5815" s="77">
        <v>0.54166666666666663</v>
      </c>
      <c r="J5815">
        <v>75.92</v>
      </c>
      <c r="M5815" s="74">
        <v>34576</v>
      </c>
      <c r="N5815" s="77">
        <v>0.54166666666666663</v>
      </c>
      <c r="P5815">
        <v>70.88</v>
      </c>
      <c r="S5815" s="74">
        <v>34941</v>
      </c>
      <c r="T5815" s="77">
        <v>0.54166666666666663</v>
      </c>
      <c r="V5815">
        <v>80.960000000000008</v>
      </c>
      <c r="X5815" s="42"/>
      <c r="AB5815">
        <v>78.400000000000006</v>
      </c>
      <c r="AC5815">
        <v>64.039999999999992</v>
      </c>
      <c r="AE5815" s="74"/>
      <c r="AF5815" s="77"/>
      <c r="AH5815" s="497">
        <v>73.94</v>
      </c>
      <c r="AJ5815" s="42"/>
      <c r="AK5815" s="74"/>
      <c r="AL5815" s="77"/>
      <c r="AN5815" s="497">
        <v>62.06</v>
      </c>
      <c r="AP5815" s="42"/>
      <c r="AQ5815" s="74"/>
      <c r="AR5815" s="77"/>
      <c r="AT5815" s="497">
        <v>68</v>
      </c>
      <c r="AV5815" s="42"/>
      <c r="AW5815" s="74"/>
      <c r="AX5815" s="77"/>
      <c r="BA5815" s="497">
        <v>78.98</v>
      </c>
      <c r="BB5815" s="42"/>
      <c r="BC5815" s="74"/>
      <c r="BD5815" s="77"/>
      <c r="BF5815">
        <v>64.94</v>
      </c>
      <c r="BH5815" s="42"/>
      <c r="BI5815" s="74"/>
      <c r="BJ5815" s="77"/>
      <c r="BL5815" s="497">
        <v>73.94</v>
      </c>
      <c r="BN5815" s="42"/>
      <c r="BO5815" s="74"/>
      <c r="BP5815" s="77"/>
      <c r="BR5815" s="497">
        <v>77</v>
      </c>
      <c r="BT5815" s="42"/>
    </row>
    <row r="5816" spans="1:72" x14ac:dyDescent="0.25">
      <c r="A5816" s="90">
        <v>34941</v>
      </c>
      <c r="B5816" s="20">
        <v>0.58333333333333337</v>
      </c>
      <c r="D5816">
        <v>86</v>
      </c>
      <c r="E5816" t="str">
        <f t="shared" si="216"/>
        <v>WEEKDAY</v>
      </c>
      <c r="F5816" t="e">
        <f t="shared" si="217"/>
        <v>#N/A</v>
      </c>
      <c r="G5816" s="74">
        <v>32019</v>
      </c>
      <c r="H5816" s="77">
        <v>0.58333333333333337</v>
      </c>
      <c r="J5816">
        <v>77</v>
      </c>
      <c r="M5816" s="74">
        <v>34576</v>
      </c>
      <c r="N5816" s="77">
        <v>0.58333333333333337</v>
      </c>
      <c r="P5816">
        <v>71.960000000000008</v>
      </c>
      <c r="S5816" s="74">
        <v>34941</v>
      </c>
      <c r="T5816" s="77">
        <v>0.58333333333333337</v>
      </c>
      <c r="V5816">
        <v>84.02</v>
      </c>
      <c r="X5816" s="42"/>
      <c r="AB5816">
        <v>78.900000000000006</v>
      </c>
      <c r="AC5816">
        <v>64.94</v>
      </c>
      <c r="AE5816" s="74"/>
      <c r="AF5816" s="77"/>
      <c r="AH5816" s="497">
        <v>74.84</v>
      </c>
      <c r="AJ5816" s="42"/>
      <c r="AK5816" s="74"/>
      <c r="AL5816" s="77"/>
      <c r="AN5816" s="497">
        <v>62.06</v>
      </c>
      <c r="AP5816" s="42"/>
      <c r="AQ5816" s="74"/>
      <c r="AR5816" s="77"/>
      <c r="AT5816" s="497">
        <v>68</v>
      </c>
      <c r="AV5816" s="42"/>
      <c r="AW5816" s="74"/>
      <c r="AX5816" s="77"/>
      <c r="BA5816" s="497">
        <v>80.960000000000008</v>
      </c>
      <c r="BB5816" s="42"/>
      <c r="BC5816" s="74"/>
      <c r="BD5816" s="77"/>
      <c r="BF5816">
        <v>68</v>
      </c>
      <c r="BH5816" s="42"/>
      <c r="BI5816" s="74"/>
      <c r="BJ5816" s="77"/>
      <c r="BL5816" s="497">
        <v>78.080000000000013</v>
      </c>
      <c r="BN5816" s="42"/>
      <c r="BO5816" s="74"/>
      <c r="BP5816" s="77"/>
      <c r="BR5816" s="497">
        <v>78.080000000000013</v>
      </c>
      <c r="BT5816" s="42"/>
    </row>
    <row r="5817" spans="1:72" x14ac:dyDescent="0.25">
      <c r="A5817" s="90">
        <v>34941</v>
      </c>
      <c r="B5817" s="20">
        <v>0.625</v>
      </c>
      <c r="D5817">
        <v>87.98</v>
      </c>
      <c r="E5817" t="str">
        <f t="shared" si="216"/>
        <v>WEEKDAY</v>
      </c>
      <c r="F5817" t="e">
        <f t="shared" si="217"/>
        <v>#N/A</v>
      </c>
      <c r="G5817" s="74">
        <v>32019</v>
      </c>
      <c r="H5817" s="77">
        <v>0.625</v>
      </c>
      <c r="J5817">
        <v>77</v>
      </c>
      <c r="M5817" s="74">
        <v>34576</v>
      </c>
      <c r="N5817" s="77">
        <v>0.625</v>
      </c>
      <c r="P5817">
        <v>73.94</v>
      </c>
      <c r="S5817" s="74">
        <v>34941</v>
      </c>
      <c r="T5817" s="77">
        <v>0.625</v>
      </c>
      <c r="V5817">
        <v>84.92</v>
      </c>
      <c r="X5817" s="42"/>
      <c r="AB5817">
        <v>79</v>
      </c>
      <c r="AC5817">
        <v>64.94</v>
      </c>
      <c r="AE5817" s="74"/>
      <c r="AF5817" s="77"/>
      <c r="AH5817" s="497">
        <v>77</v>
      </c>
      <c r="AJ5817" s="42"/>
      <c r="AK5817" s="74"/>
      <c r="AL5817" s="77"/>
      <c r="AN5817" s="497">
        <v>62.06</v>
      </c>
      <c r="AP5817" s="42"/>
      <c r="AQ5817" s="74"/>
      <c r="AR5817" s="77"/>
      <c r="AT5817" s="497">
        <v>68</v>
      </c>
      <c r="AV5817" s="42"/>
      <c r="AW5817" s="74"/>
      <c r="AX5817" s="77"/>
      <c r="BA5817" s="497">
        <v>80.960000000000008</v>
      </c>
      <c r="BB5817" s="42"/>
      <c r="BC5817" s="74"/>
      <c r="BD5817" s="77"/>
      <c r="BF5817">
        <v>69.080000000000013</v>
      </c>
      <c r="BH5817" s="42"/>
      <c r="BI5817" s="74"/>
      <c r="BJ5817" s="77"/>
      <c r="BL5817" s="497">
        <v>77</v>
      </c>
      <c r="BN5817" s="42"/>
      <c r="BO5817" s="74"/>
      <c r="BP5817" s="77"/>
      <c r="BR5817" s="497">
        <v>78.080000000000013</v>
      </c>
      <c r="BT5817" s="42"/>
    </row>
    <row r="5818" spans="1:72" x14ac:dyDescent="0.25">
      <c r="A5818" s="90">
        <v>34941</v>
      </c>
      <c r="B5818" s="20">
        <v>0.66666666666666663</v>
      </c>
      <c r="D5818">
        <v>87.080000000000013</v>
      </c>
      <c r="E5818" t="str">
        <f t="shared" si="216"/>
        <v>WEEKDAY</v>
      </c>
      <c r="F5818" t="e">
        <f t="shared" si="217"/>
        <v>#N/A</v>
      </c>
      <c r="G5818" s="74">
        <v>32019</v>
      </c>
      <c r="H5818" s="77">
        <v>0.66666666666666663</v>
      </c>
      <c r="J5818">
        <v>75.92</v>
      </c>
      <c r="M5818" s="74">
        <v>34576</v>
      </c>
      <c r="N5818" s="77">
        <v>0.66666666666666663</v>
      </c>
      <c r="P5818">
        <v>72.86</v>
      </c>
      <c r="S5818" s="74">
        <v>34941</v>
      </c>
      <c r="T5818" s="77">
        <v>0.66666666666666663</v>
      </c>
      <c r="V5818">
        <v>82.94</v>
      </c>
      <c r="X5818" s="42"/>
      <c r="AB5818">
        <v>78.5</v>
      </c>
      <c r="AC5818">
        <v>66.02</v>
      </c>
      <c r="AE5818" s="74"/>
      <c r="AF5818" s="77"/>
      <c r="AH5818" s="497">
        <v>75.92</v>
      </c>
      <c r="AJ5818" s="42"/>
      <c r="AK5818" s="74"/>
      <c r="AL5818" s="77"/>
      <c r="AN5818" s="497">
        <v>62.06</v>
      </c>
      <c r="AP5818" s="42"/>
      <c r="AQ5818" s="74"/>
      <c r="AR5818" s="77"/>
      <c r="AT5818" s="497">
        <v>68</v>
      </c>
      <c r="AV5818" s="42"/>
      <c r="AW5818" s="74"/>
      <c r="AX5818" s="77"/>
      <c r="BA5818" s="497">
        <v>82.039999999999992</v>
      </c>
      <c r="BB5818" s="42"/>
      <c r="BC5818" s="74"/>
      <c r="BD5818" s="77"/>
      <c r="BF5818">
        <v>62.06</v>
      </c>
      <c r="BH5818" s="42"/>
      <c r="BI5818" s="74"/>
      <c r="BJ5818" s="77"/>
      <c r="BL5818" s="497">
        <v>73.94</v>
      </c>
      <c r="BN5818" s="42"/>
      <c r="BO5818" s="74"/>
      <c r="BP5818" s="77"/>
      <c r="BR5818" s="497">
        <v>77</v>
      </c>
      <c r="BT5818" s="42"/>
    </row>
    <row r="5819" spans="1:72" x14ac:dyDescent="0.25">
      <c r="A5819" s="90">
        <v>34941</v>
      </c>
      <c r="B5819" s="20">
        <v>0.70833333333333337</v>
      </c>
      <c r="D5819">
        <v>86</v>
      </c>
      <c r="E5819" t="str">
        <f t="shared" si="216"/>
        <v>WEEKDAY</v>
      </c>
      <c r="F5819" t="e">
        <f t="shared" si="217"/>
        <v>#N/A</v>
      </c>
      <c r="G5819" s="74">
        <v>32019</v>
      </c>
      <c r="H5819" s="77">
        <v>0.70833333333333337</v>
      </c>
      <c r="J5819">
        <v>73.94</v>
      </c>
      <c r="M5819" s="74">
        <v>34576</v>
      </c>
      <c r="N5819" s="77">
        <v>0.70833333333333337</v>
      </c>
      <c r="P5819">
        <v>72.86</v>
      </c>
      <c r="S5819" s="74">
        <v>34941</v>
      </c>
      <c r="T5819" s="77">
        <v>0.70833333333333337</v>
      </c>
      <c r="V5819">
        <v>82.94</v>
      </c>
      <c r="X5819" s="42"/>
      <c r="AB5819">
        <v>77.7</v>
      </c>
      <c r="AC5819">
        <v>66.92</v>
      </c>
      <c r="AE5819" s="74"/>
      <c r="AF5819" s="77"/>
      <c r="AH5819" s="497">
        <v>73.94</v>
      </c>
      <c r="AJ5819" s="42"/>
      <c r="AK5819" s="74"/>
      <c r="AL5819" s="77"/>
      <c r="AN5819" s="497">
        <v>60.980000000000004</v>
      </c>
      <c r="AP5819" s="42"/>
      <c r="AQ5819" s="74"/>
      <c r="AR5819" s="77"/>
      <c r="AT5819" s="497">
        <v>62.96</v>
      </c>
      <c r="AV5819" s="42"/>
      <c r="AW5819" s="74"/>
      <c r="AX5819" s="77"/>
      <c r="BA5819" s="497">
        <v>80.06</v>
      </c>
      <c r="BB5819" s="42"/>
      <c r="BC5819" s="74"/>
      <c r="BD5819" s="77"/>
      <c r="BF5819">
        <v>59</v>
      </c>
      <c r="BH5819" s="42"/>
      <c r="BI5819" s="74"/>
      <c r="BJ5819" s="77"/>
      <c r="BL5819" s="497">
        <v>73.94</v>
      </c>
      <c r="BN5819" s="42"/>
      <c r="BO5819" s="74"/>
      <c r="BP5819" s="77"/>
      <c r="BR5819" s="497">
        <v>75.02</v>
      </c>
      <c r="BT5819" s="42"/>
    </row>
    <row r="5820" spans="1:72" x14ac:dyDescent="0.25">
      <c r="A5820" s="90">
        <v>34941</v>
      </c>
      <c r="B5820" s="20">
        <v>0.75</v>
      </c>
      <c r="D5820">
        <v>84.02</v>
      </c>
      <c r="E5820" t="str">
        <f t="shared" si="216"/>
        <v>WEEKDAY</v>
      </c>
      <c r="F5820" t="e">
        <f t="shared" si="217"/>
        <v>#N/A</v>
      </c>
      <c r="G5820" s="74">
        <v>32019</v>
      </c>
      <c r="H5820" s="77">
        <v>0.75</v>
      </c>
      <c r="J5820">
        <v>71.960000000000008</v>
      </c>
      <c r="M5820" s="74">
        <v>34576</v>
      </c>
      <c r="N5820" s="77">
        <v>0.75</v>
      </c>
      <c r="P5820">
        <v>70.88</v>
      </c>
      <c r="S5820" s="74">
        <v>34941</v>
      </c>
      <c r="T5820" s="77">
        <v>0.75</v>
      </c>
      <c r="V5820">
        <v>82.039999999999992</v>
      </c>
      <c r="X5820" s="42"/>
      <c r="AB5820">
        <v>76.599999999999994</v>
      </c>
      <c r="AC5820">
        <v>66.92</v>
      </c>
      <c r="AE5820" s="74"/>
      <c r="AF5820" s="77"/>
      <c r="AH5820" s="497">
        <v>69.98</v>
      </c>
      <c r="AJ5820" s="42"/>
      <c r="AK5820" s="74"/>
      <c r="AL5820" s="77"/>
      <c r="AN5820" s="497">
        <v>60.980000000000004</v>
      </c>
      <c r="AP5820" s="42"/>
      <c r="AQ5820" s="74"/>
      <c r="AR5820" s="77"/>
      <c r="AT5820" s="497">
        <v>62.06</v>
      </c>
      <c r="AV5820" s="42"/>
      <c r="AW5820" s="74"/>
      <c r="AX5820" s="77"/>
      <c r="BA5820" s="497">
        <v>78.080000000000013</v>
      </c>
      <c r="BB5820" s="42"/>
      <c r="BC5820" s="74"/>
      <c r="BD5820" s="77"/>
      <c r="BF5820">
        <v>57.019999999999996</v>
      </c>
      <c r="BH5820" s="42"/>
      <c r="BI5820" s="74"/>
      <c r="BJ5820" s="77"/>
      <c r="BL5820" s="497">
        <v>71.960000000000008</v>
      </c>
      <c r="BN5820" s="42"/>
      <c r="BO5820" s="74"/>
      <c r="BP5820" s="77"/>
      <c r="BR5820" s="497">
        <v>71.960000000000008</v>
      </c>
      <c r="BT5820" s="42"/>
    </row>
    <row r="5821" spans="1:72" x14ac:dyDescent="0.25">
      <c r="A5821" s="90">
        <v>34941</v>
      </c>
      <c r="B5821" s="20">
        <v>0.79166666666666663</v>
      </c>
      <c r="D5821">
        <v>82.94</v>
      </c>
      <c r="E5821" t="str">
        <f t="shared" si="216"/>
        <v>WEEKDAY</v>
      </c>
      <c r="F5821" t="e">
        <f t="shared" si="217"/>
        <v>#N/A</v>
      </c>
      <c r="G5821" s="74">
        <v>32019</v>
      </c>
      <c r="H5821" s="77">
        <v>0.79166666666666663</v>
      </c>
      <c r="J5821">
        <v>69.080000000000013</v>
      </c>
      <c r="M5821" s="74">
        <v>34576</v>
      </c>
      <c r="N5821" s="77">
        <v>0.79166666666666663</v>
      </c>
      <c r="P5821">
        <v>63.86</v>
      </c>
      <c r="S5821" s="74">
        <v>34941</v>
      </c>
      <c r="T5821" s="77">
        <v>0.79166666666666663</v>
      </c>
      <c r="V5821">
        <v>78.080000000000013</v>
      </c>
      <c r="X5821" s="42"/>
      <c r="AB5821">
        <v>75</v>
      </c>
      <c r="AC5821">
        <v>66.02</v>
      </c>
      <c r="AE5821" s="74"/>
      <c r="AF5821" s="77"/>
      <c r="AH5821" s="497">
        <v>64.94</v>
      </c>
      <c r="AJ5821" s="42"/>
      <c r="AK5821" s="74"/>
      <c r="AL5821" s="77"/>
      <c r="AN5821" s="497">
        <v>60.08</v>
      </c>
      <c r="AP5821" s="42"/>
      <c r="AQ5821" s="74"/>
      <c r="AR5821" s="77"/>
      <c r="AT5821" s="497">
        <v>60.980000000000004</v>
      </c>
      <c r="AV5821" s="42"/>
      <c r="AW5821" s="74"/>
      <c r="AX5821" s="77"/>
      <c r="BA5821" s="497">
        <v>73.94</v>
      </c>
      <c r="BB5821" s="42"/>
      <c r="BC5821" s="74"/>
      <c r="BD5821" s="77"/>
      <c r="BF5821">
        <v>57.019999999999996</v>
      </c>
      <c r="BH5821" s="42"/>
      <c r="BI5821" s="74"/>
      <c r="BJ5821" s="77"/>
      <c r="BL5821" s="497">
        <v>68</v>
      </c>
      <c r="BN5821" s="42"/>
      <c r="BO5821" s="74"/>
      <c r="BP5821" s="77"/>
      <c r="BR5821" s="497">
        <v>66.92</v>
      </c>
      <c r="BT5821" s="42"/>
    </row>
    <row r="5822" spans="1:72" x14ac:dyDescent="0.25">
      <c r="A5822" s="90">
        <v>34941</v>
      </c>
      <c r="B5822" s="20">
        <v>0.83333333333333337</v>
      </c>
      <c r="D5822">
        <v>82.94</v>
      </c>
      <c r="E5822" t="str">
        <f t="shared" si="216"/>
        <v>WEEKDAY</v>
      </c>
      <c r="F5822" t="e">
        <f t="shared" si="217"/>
        <v>#N/A</v>
      </c>
      <c r="G5822" s="74">
        <v>32019</v>
      </c>
      <c r="H5822" s="77">
        <v>0.83333333333333337</v>
      </c>
      <c r="J5822">
        <v>68</v>
      </c>
      <c r="M5822" s="74">
        <v>34576</v>
      </c>
      <c r="N5822" s="77">
        <v>0.83333333333333337</v>
      </c>
      <c r="P5822">
        <v>62.96</v>
      </c>
      <c r="S5822" s="74">
        <v>34941</v>
      </c>
      <c r="T5822" s="77">
        <v>0.83333333333333337</v>
      </c>
      <c r="V5822">
        <v>75.02</v>
      </c>
      <c r="X5822" s="42"/>
      <c r="AB5822">
        <v>73.599999999999994</v>
      </c>
      <c r="AC5822">
        <v>64.94</v>
      </c>
      <c r="AE5822" s="74"/>
      <c r="AF5822" s="77"/>
      <c r="AH5822" s="497">
        <v>62.96</v>
      </c>
      <c r="AJ5822" s="42"/>
      <c r="AK5822" s="74"/>
      <c r="AL5822" s="77"/>
      <c r="AN5822" s="497">
        <v>60.08</v>
      </c>
      <c r="AP5822" s="42"/>
      <c r="AQ5822" s="74"/>
      <c r="AR5822" s="77"/>
      <c r="AT5822" s="497">
        <v>60.08</v>
      </c>
      <c r="AV5822" s="42"/>
      <c r="AW5822" s="74"/>
      <c r="AX5822" s="77"/>
      <c r="BA5822" s="497">
        <v>73.039999999999992</v>
      </c>
      <c r="BB5822" s="42"/>
      <c r="BC5822" s="74"/>
      <c r="BD5822" s="77"/>
      <c r="BF5822">
        <v>55.94</v>
      </c>
      <c r="BH5822" s="42"/>
      <c r="BI5822" s="74"/>
      <c r="BJ5822" s="77"/>
      <c r="BL5822" s="497">
        <v>62.06</v>
      </c>
      <c r="BN5822" s="42"/>
      <c r="BO5822" s="74"/>
      <c r="BP5822" s="77"/>
      <c r="BR5822" s="497">
        <v>64.94</v>
      </c>
      <c r="BT5822" s="42"/>
    </row>
    <row r="5823" spans="1:72" x14ac:dyDescent="0.25">
      <c r="A5823" s="90">
        <v>34941</v>
      </c>
      <c r="B5823" s="20">
        <v>0.875</v>
      </c>
      <c r="D5823">
        <v>82.039999999999992</v>
      </c>
      <c r="E5823" t="str">
        <f t="shared" si="216"/>
        <v>WEEKDAY</v>
      </c>
      <c r="F5823" t="e">
        <f t="shared" si="217"/>
        <v>#N/A</v>
      </c>
      <c r="G5823" s="74">
        <v>32019</v>
      </c>
      <c r="H5823" s="77">
        <v>0.875</v>
      </c>
      <c r="J5823">
        <v>66.92</v>
      </c>
      <c r="M5823" s="74">
        <v>34576</v>
      </c>
      <c r="N5823" s="77">
        <v>0.875</v>
      </c>
      <c r="P5823">
        <v>60.980000000000004</v>
      </c>
      <c r="S5823" s="74">
        <v>34941</v>
      </c>
      <c r="T5823" s="77">
        <v>0.875</v>
      </c>
      <c r="V5823">
        <v>73.039999999999992</v>
      </c>
      <c r="X5823" s="42"/>
      <c r="AB5823">
        <v>72.900000000000006</v>
      </c>
      <c r="AC5823">
        <v>62.96</v>
      </c>
      <c r="AE5823" s="74"/>
      <c r="AF5823" s="77"/>
      <c r="AH5823" s="497">
        <v>60.980000000000004</v>
      </c>
      <c r="AJ5823" s="42"/>
      <c r="AK5823" s="74"/>
      <c r="AL5823" s="77"/>
      <c r="AN5823" s="497">
        <v>60.08</v>
      </c>
      <c r="AP5823" s="42"/>
      <c r="AQ5823" s="74"/>
      <c r="AR5823" s="77"/>
      <c r="AT5823" s="497">
        <v>60.08</v>
      </c>
      <c r="AV5823" s="42"/>
      <c r="AW5823" s="74"/>
      <c r="AX5823" s="77"/>
      <c r="BA5823" s="497">
        <v>71.06</v>
      </c>
      <c r="BB5823" s="42"/>
      <c r="BC5823" s="74"/>
      <c r="BD5823" s="77"/>
      <c r="BF5823">
        <v>55.040000000000006</v>
      </c>
      <c r="BH5823" s="42"/>
      <c r="BI5823" s="74"/>
      <c r="BJ5823" s="77"/>
      <c r="BL5823" s="497">
        <v>60.08</v>
      </c>
      <c r="BN5823" s="42"/>
      <c r="BO5823" s="74"/>
      <c r="BP5823" s="77"/>
      <c r="BR5823" s="497">
        <v>62.96</v>
      </c>
      <c r="BT5823" s="42"/>
    </row>
    <row r="5824" spans="1:72" x14ac:dyDescent="0.25">
      <c r="A5824" s="90">
        <v>34941</v>
      </c>
      <c r="B5824" s="20">
        <v>0.91666666666666663</v>
      </c>
      <c r="D5824">
        <v>82.94</v>
      </c>
      <c r="E5824" t="str">
        <f t="shared" si="216"/>
        <v>WEEKDAY</v>
      </c>
      <c r="F5824" t="e">
        <f t="shared" si="217"/>
        <v>#N/A</v>
      </c>
      <c r="G5824" s="74">
        <v>32019</v>
      </c>
      <c r="H5824" s="77">
        <v>0.91666666666666663</v>
      </c>
      <c r="J5824">
        <v>66.92</v>
      </c>
      <c r="M5824" s="74">
        <v>34576</v>
      </c>
      <c r="N5824" s="77">
        <v>0.91666666666666663</v>
      </c>
      <c r="P5824">
        <v>59</v>
      </c>
      <c r="S5824" s="74">
        <v>34941</v>
      </c>
      <c r="T5824" s="77">
        <v>0.91666666666666663</v>
      </c>
      <c r="V5824">
        <v>71.06</v>
      </c>
      <c r="X5824" s="42"/>
      <c r="AB5824">
        <v>72.2</v>
      </c>
      <c r="AC5824">
        <v>60.980000000000004</v>
      </c>
      <c r="AE5824" s="74"/>
      <c r="AF5824" s="77"/>
      <c r="AH5824" s="497">
        <v>59</v>
      </c>
      <c r="AJ5824" s="42"/>
      <c r="AK5824" s="74"/>
      <c r="AL5824" s="77"/>
      <c r="AN5824" s="497">
        <v>59</v>
      </c>
      <c r="AP5824" s="42"/>
      <c r="AQ5824" s="74"/>
      <c r="AR5824" s="77"/>
      <c r="AT5824" s="497">
        <v>60.08</v>
      </c>
      <c r="AV5824" s="42"/>
      <c r="AW5824" s="74"/>
      <c r="AX5824" s="77"/>
      <c r="BA5824" s="497">
        <v>71.06</v>
      </c>
      <c r="BB5824" s="42"/>
      <c r="BC5824" s="74"/>
      <c r="BD5824" s="77"/>
      <c r="BF5824">
        <v>55.040000000000006</v>
      </c>
      <c r="BH5824" s="42"/>
      <c r="BI5824" s="74"/>
      <c r="BJ5824" s="77"/>
      <c r="BL5824" s="497">
        <v>59</v>
      </c>
      <c r="BN5824" s="42"/>
      <c r="BO5824" s="74"/>
      <c r="BP5824" s="77"/>
      <c r="BR5824" s="497">
        <v>60.980000000000004</v>
      </c>
      <c r="BT5824" s="42"/>
    </row>
    <row r="5825" spans="1:72" x14ac:dyDescent="0.25">
      <c r="A5825" s="90">
        <v>34941</v>
      </c>
      <c r="B5825" s="20">
        <v>0.95833333333333337</v>
      </c>
      <c r="D5825">
        <v>82.039999999999992</v>
      </c>
      <c r="E5825" t="str">
        <f t="shared" si="216"/>
        <v>WEEKDAY</v>
      </c>
      <c r="F5825" t="e">
        <f t="shared" si="217"/>
        <v>#N/A</v>
      </c>
      <c r="G5825" s="74">
        <v>32019</v>
      </c>
      <c r="H5825" s="77">
        <v>0.95833333333333337</v>
      </c>
      <c r="J5825">
        <v>66.02</v>
      </c>
      <c r="M5825" s="74">
        <v>34576</v>
      </c>
      <c r="N5825" s="77">
        <v>0.95833333333333337</v>
      </c>
      <c r="P5825">
        <v>57.92</v>
      </c>
      <c r="S5825" s="74">
        <v>34941</v>
      </c>
      <c r="T5825" s="77">
        <v>0.95833333333333337</v>
      </c>
      <c r="V5825">
        <v>71.06</v>
      </c>
      <c r="X5825" s="42"/>
      <c r="AB5825">
        <v>71.599999999999994</v>
      </c>
      <c r="AC5825">
        <v>60.980000000000004</v>
      </c>
      <c r="AE5825" s="74"/>
      <c r="AF5825" s="77"/>
      <c r="AH5825" s="497">
        <v>57.92</v>
      </c>
      <c r="AJ5825" s="42"/>
      <c r="AK5825" s="74"/>
      <c r="AL5825" s="77"/>
      <c r="AN5825" s="497">
        <v>59</v>
      </c>
      <c r="AP5825" s="42"/>
      <c r="AQ5825" s="74"/>
      <c r="AR5825" s="77"/>
      <c r="AT5825" s="497">
        <v>59</v>
      </c>
      <c r="AV5825" s="42"/>
      <c r="AW5825" s="74"/>
      <c r="AX5825" s="77"/>
      <c r="BA5825" s="497">
        <v>69.98</v>
      </c>
      <c r="BB5825" s="42"/>
      <c r="BC5825" s="74"/>
      <c r="BD5825" s="77"/>
      <c r="BF5825">
        <v>55.040000000000006</v>
      </c>
      <c r="BH5825" s="42"/>
      <c r="BI5825" s="74"/>
      <c r="BJ5825" s="77"/>
      <c r="BL5825" s="497">
        <v>57.019999999999996</v>
      </c>
      <c r="BN5825" s="42"/>
      <c r="BO5825" s="74"/>
      <c r="BP5825" s="77"/>
      <c r="BR5825" s="497">
        <v>60.08</v>
      </c>
      <c r="BT5825" s="42"/>
    </row>
    <row r="5826" spans="1:72" x14ac:dyDescent="0.25">
      <c r="A5826" s="90">
        <v>34941</v>
      </c>
      <c r="B5826" s="20">
        <v>1</v>
      </c>
      <c r="D5826">
        <v>80.960000000000008</v>
      </c>
      <c r="E5826" t="str">
        <f t="shared" si="216"/>
        <v>WEEKDAY</v>
      </c>
      <c r="F5826" t="e">
        <f t="shared" si="217"/>
        <v>#N/A</v>
      </c>
      <c r="G5826" s="74">
        <v>32019</v>
      </c>
      <c r="H5826" s="77">
        <v>1</v>
      </c>
      <c r="J5826">
        <v>64.94</v>
      </c>
      <c r="M5826" s="74">
        <v>34576</v>
      </c>
      <c r="N5826" s="80">
        <v>1</v>
      </c>
      <c r="P5826">
        <v>57.92</v>
      </c>
      <c r="S5826" s="74">
        <v>34941</v>
      </c>
      <c r="T5826" s="80">
        <v>1</v>
      </c>
      <c r="V5826">
        <v>69.98</v>
      </c>
      <c r="X5826" s="42"/>
      <c r="AB5826">
        <v>70.900000000000006</v>
      </c>
      <c r="AC5826">
        <v>60.980000000000004</v>
      </c>
      <c r="AE5826" s="74"/>
      <c r="AF5826" s="80"/>
      <c r="AH5826" s="497">
        <v>57.92</v>
      </c>
      <c r="AJ5826" s="42"/>
      <c r="AK5826" s="74"/>
      <c r="AL5826" s="80"/>
      <c r="AN5826" s="497">
        <v>55.94</v>
      </c>
      <c r="AP5826" s="42"/>
      <c r="AQ5826" s="74"/>
      <c r="AR5826" s="80"/>
      <c r="AT5826" s="497">
        <v>57.92</v>
      </c>
      <c r="AV5826" s="42"/>
      <c r="AW5826" s="74"/>
      <c r="AX5826" s="80"/>
      <c r="BA5826" s="497">
        <v>68</v>
      </c>
      <c r="BB5826" s="42"/>
      <c r="BC5826" s="74"/>
      <c r="BD5826" s="80"/>
      <c r="BF5826">
        <v>55.94</v>
      </c>
      <c r="BH5826" s="42"/>
      <c r="BI5826" s="74"/>
      <c r="BJ5826" s="80"/>
      <c r="BL5826" s="497">
        <v>55.94</v>
      </c>
      <c r="BN5826" s="42"/>
      <c r="BO5826" s="74"/>
      <c r="BP5826" s="80"/>
      <c r="BR5826" s="497">
        <v>60.08</v>
      </c>
      <c r="BT5826" s="42"/>
    </row>
    <row r="5827" spans="1:72" x14ac:dyDescent="0.25">
      <c r="A5827" s="90">
        <v>34942</v>
      </c>
      <c r="B5827" s="20">
        <v>4.1666666666666664E-2</v>
      </c>
      <c r="D5827">
        <v>80.06</v>
      </c>
      <c r="E5827" t="str">
        <f t="shared" si="216"/>
        <v>WEEKDAY</v>
      </c>
      <c r="F5827" t="e">
        <f t="shared" si="217"/>
        <v>#N/A</v>
      </c>
      <c r="G5827" s="74">
        <v>32020</v>
      </c>
      <c r="H5827" s="77">
        <v>4.1666666666666664E-2</v>
      </c>
      <c r="J5827">
        <v>64.039999999999992</v>
      </c>
      <c r="M5827" s="74">
        <v>34577</v>
      </c>
      <c r="N5827" s="77">
        <v>4.1666666666666664E-2</v>
      </c>
      <c r="P5827">
        <v>57.92</v>
      </c>
      <c r="S5827" s="74">
        <v>34942</v>
      </c>
      <c r="T5827" s="77">
        <v>4.1666666666666664E-2</v>
      </c>
      <c r="V5827">
        <v>71.06</v>
      </c>
      <c r="X5827" s="42"/>
      <c r="AB5827">
        <v>70.2</v>
      </c>
      <c r="AC5827">
        <v>60.08</v>
      </c>
      <c r="AE5827" s="74"/>
      <c r="AF5827" s="77"/>
      <c r="AH5827" s="497">
        <v>57.92</v>
      </c>
      <c r="AJ5827" s="42"/>
      <c r="AK5827" s="74"/>
      <c r="AL5827" s="77"/>
      <c r="AN5827" s="497">
        <v>55.040000000000006</v>
      </c>
      <c r="AP5827" s="42"/>
      <c r="AQ5827" s="74"/>
      <c r="AR5827" s="77"/>
      <c r="AT5827" s="497">
        <v>57.92</v>
      </c>
      <c r="AV5827" s="42"/>
      <c r="AW5827" s="74"/>
      <c r="AX5827" s="77"/>
      <c r="BA5827" s="497">
        <v>66.92</v>
      </c>
      <c r="BB5827" s="42"/>
      <c r="BC5827" s="74"/>
      <c r="BD5827" s="77"/>
      <c r="BF5827">
        <v>55.94</v>
      </c>
      <c r="BH5827" s="42"/>
      <c r="BI5827" s="74"/>
      <c r="BJ5827" s="77"/>
      <c r="BL5827" s="497">
        <v>55.94</v>
      </c>
      <c r="BN5827" s="42"/>
      <c r="BO5827" s="74"/>
      <c r="BP5827" s="77"/>
      <c r="BR5827" s="497">
        <v>59</v>
      </c>
      <c r="BT5827" s="42"/>
    </row>
    <row r="5828" spans="1:72" x14ac:dyDescent="0.25">
      <c r="A5828" s="90">
        <v>34942</v>
      </c>
      <c r="B5828" s="20">
        <v>8.3333333333333329E-2</v>
      </c>
      <c r="D5828">
        <v>78.080000000000013</v>
      </c>
      <c r="E5828" t="str">
        <f t="shared" si="216"/>
        <v>WEEKDAY</v>
      </c>
      <c r="F5828" t="e">
        <f t="shared" si="217"/>
        <v>#N/A</v>
      </c>
      <c r="G5828" s="74">
        <v>32020</v>
      </c>
      <c r="H5828" s="77">
        <v>8.3333333333333329E-2</v>
      </c>
      <c r="J5828">
        <v>62.96</v>
      </c>
      <c r="M5828" s="74">
        <v>34577</v>
      </c>
      <c r="N5828" s="77">
        <v>8.3333333333333329E-2</v>
      </c>
      <c r="P5828">
        <v>57.92</v>
      </c>
      <c r="S5828" s="74">
        <v>34942</v>
      </c>
      <c r="T5828" s="77">
        <v>8.3333333333333329E-2</v>
      </c>
      <c r="V5828">
        <v>68</v>
      </c>
      <c r="X5828" s="42"/>
      <c r="AB5828">
        <v>69.599999999999994</v>
      </c>
      <c r="AC5828">
        <v>60.980000000000004</v>
      </c>
      <c r="AE5828" s="74"/>
      <c r="AF5828" s="77"/>
      <c r="AH5828" s="497">
        <v>57.92</v>
      </c>
      <c r="AJ5828" s="42"/>
      <c r="AK5828" s="74"/>
      <c r="AL5828" s="77"/>
      <c r="AN5828" s="497">
        <v>53.96</v>
      </c>
      <c r="AP5828" s="42"/>
      <c r="AQ5828" s="74"/>
      <c r="AR5828" s="77"/>
      <c r="AT5828" s="497">
        <v>57.92</v>
      </c>
      <c r="AV5828" s="42"/>
      <c r="AW5828" s="74"/>
      <c r="AX5828" s="77"/>
      <c r="BA5828" s="497">
        <v>66.02</v>
      </c>
      <c r="BB5828" s="42"/>
      <c r="BC5828" s="74"/>
      <c r="BD5828" s="77"/>
      <c r="BF5828">
        <v>55.040000000000006</v>
      </c>
      <c r="BH5828" s="42"/>
      <c r="BI5828" s="74"/>
      <c r="BJ5828" s="77"/>
      <c r="BL5828" s="497">
        <v>55.94</v>
      </c>
      <c r="BN5828" s="42"/>
      <c r="BO5828" s="74"/>
      <c r="BP5828" s="77"/>
      <c r="BR5828" s="497">
        <v>57.92</v>
      </c>
      <c r="BT5828" s="42"/>
    </row>
    <row r="5829" spans="1:72" x14ac:dyDescent="0.25">
      <c r="A5829" s="90">
        <v>34942</v>
      </c>
      <c r="B5829" s="20">
        <v>0.125</v>
      </c>
      <c r="D5829">
        <v>75.92</v>
      </c>
      <c r="E5829" t="str">
        <f t="shared" si="216"/>
        <v>WEEKDAY</v>
      </c>
      <c r="F5829" t="e">
        <f t="shared" si="217"/>
        <v>#N/A</v>
      </c>
      <c r="G5829" s="74">
        <v>32020</v>
      </c>
      <c r="H5829" s="77">
        <v>0.125</v>
      </c>
      <c r="J5829">
        <v>62.96</v>
      </c>
      <c r="M5829" s="74">
        <v>34577</v>
      </c>
      <c r="N5829" s="77">
        <v>0.125</v>
      </c>
      <c r="P5829">
        <v>59</v>
      </c>
      <c r="S5829" s="74">
        <v>34942</v>
      </c>
      <c r="T5829" s="77">
        <v>0.125</v>
      </c>
      <c r="V5829">
        <v>68</v>
      </c>
      <c r="X5829" s="42"/>
      <c r="AB5829">
        <v>69.099999999999994</v>
      </c>
      <c r="AC5829">
        <v>60.08</v>
      </c>
      <c r="AE5829" s="74"/>
      <c r="AF5829" s="77"/>
      <c r="AH5829" s="497">
        <v>59</v>
      </c>
      <c r="AJ5829" s="42"/>
      <c r="AK5829" s="74"/>
      <c r="AL5829" s="77"/>
      <c r="AN5829" s="497">
        <v>53.06</v>
      </c>
      <c r="AP5829" s="42"/>
      <c r="AQ5829" s="74"/>
      <c r="AR5829" s="77"/>
      <c r="AT5829" s="497">
        <v>57.019999999999996</v>
      </c>
      <c r="AV5829" s="42"/>
      <c r="AW5829" s="74"/>
      <c r="AX5829" s="77"/>
      <c r="BA5829" s="497">
        <v>66.02</v>
      </c>
      <c r="BB5829" s="42"/>
      <c r="BC5829" s="74"/>
      <c r="BD5829" s="77"/>
      <c r="BF5829">
        <v>53.96</v>
      </c>
      <c r="BH5829" s="42"/>
      <c r="BI5829" s="74"/>
      <c r="BJ5829" s="77"/>
      <c r="BL5829" s="497">
        <v>55.040000000000006</v>
      </c>
      <c r="BN5829" s="42"/>
      <c r="BO5829" s="74"/>
      <c r="BP5829" s="77"/>
      <c r="BR5829" s="497">
        <v>55.040000000000006</v>
      </c>
      <c r="BT5829" s="42"/>
    </row>
    <row r="5830" spans="1:72" x14ac:dyDescent="0.25">
      <c r="A5830" s="90">
        <v>34942</v>
      </c>
      <c r="B5830" s="20">
        <v>0.16666666666666666</v>
      </c>
      <c r="D5830">
        <v>73.94</v>
      </c>
      <c r="E5830" t="str">
        <f t="shared" si="216"/>
        <v>WEEKDAY</v>
      </c>
      <c r="F5830" t="e">
        <f t="shared" si="217"/>
        <v>#N/A</v>
      </c>
      <c r="G5830" s="74">
        <v>32020</v>
      </c>
      <c r="H5830" s="77">
        <v>0.16666666666666666</v>
      </c>
      <c r="J5830">
        <v>62.06</v>
      </c>
      <c r="M5830" s="74">
        <v>34577</v>
      </c>
      <c r="N5830" s="77">
        <v>0.16666666666666666</v>
      </c>
      <c r="P5830">
        <v>57.92</v>
      </c>
      <c r="S5830" s="74">
        <v>34942</v>
      </c>
      <c r="T5830" s="77">
        <v>0.16666666666666666</v>
      </c>
      <c r="V5830">
        <v>66.92</v>
      </c>
      <c r="X5830" s="42"/>
      <c r="AB5830">
        <v>68.5</v>
      </c>
      <c r="AC5830">
        <v>60.08</v>
      </c>
      <c r="AE5830" s="74"/>
      <c r="AF5830" s="77"/>
      <c r="AH5830" s="497">
        <v>59</v>
      </c>
      <c r="AJ5830" s="42"/>
      <c r="AK5830" s="74"/>
      <c r="AL5830" s="77"/>
      <c r="AN5830" s="497">
        <v>53.06</v>
      </c>
      <c r="AP5830" s="42"/>
      <c r="AQ5830" s="74"/>
      <c r="AR5830" s="77"/>
      <c r="AT5830" s="497">
        <v>57.019999999999996</v>
      </c>
      <c r="AV5830" s="42"/>
      <c r="AW5830" s="74"/>
      <c r="AX5830" s="77"/>
      <c r="BA5830" s="497">
        <v>64.94</v>
      </c>
      <c r="BB5830" s="42"/>
      <c r="BC5830" s="74"/>
      <c r="BD5830" s="77"/>
      <c r="BF5830">
        <v>53.06</v>
      </c>
      <c r="BH5830" s="42"/>
      <c r="BI5830" s="74"/>
      <c r="BJ5830" s="77"/>
      <c r="BL5830" s="497">
        <v>55.040000000000006</v>
      </c>
      <c r="BN5830" s="42"/>
      <c r="BO5830" s="74"/>
      <c r="BP5830" s="77"/>
      <c r="BR5830" s="497">
        <v>53.96</v>
      </c>
      <c r="BT5830" s="42"/>
    </row>
    <row r="5831" spans="1:72" x14ac:dyDescent="0.25">
      <c r="A5831" s="90">
        <v>34942</v>
      </c>
      <c r="B5831" s="20">
        <v>0.20833333333333334</v>
      </c>
      <c r="D5831">
        <v>73.94</v>
      </c>
      <c r="E5831" t="str">
        <f t="shared" si="216"/>
        <v>WEEKDAY</v>
      </c>
      <c r="F5831" t="e">
        <f t="shared" si="217"/>
        <v>#N/A</v>
      </c>
      <c r="G5831" s="74">
        <v>32020</v>
      </c>
      <c r="H5831" s="77">
        <v>0.20833333333333334</v>
      </c>
      <c r="J5831">
        <v>62.06</v>
      </c>
      <c r="M5831" s="74">
        <v>34577</v>
      </c>
      <c r="N5831" s="77">
        <v>0.20833333333333334</v>
      </c>
      <c r="P5831">
        <v>57.92</v>
      </c>
      <c r="S5831" s="74">
        <v>34942</v>
      </c>
      <c r="T5831" s="77">
        <v>0.20833333333333334</v>
      </c>
      <c r="V5831">
        <v>66.92</v>
      </c>
      <c r="X5831" s="42"/>
      <c r="AB5831">
        <v>68</v>
      </c>
      <c r="AC5831">
        <v>62.06</v>
      </c>
      <c r="AE5831" s="74"/>
      <c r="AF5831" s="77"/>
      <c r="AH5831" s="497">
        <v>57.92</v>
      </c>
      <c r="AJ5831" s="42"/>
      <c r="AK5831" s="74"/>
      <c r="AL5831" s="77"/>
      <c r="AN5831" s="497">
        <v>53.06</v>
      </c>
      <c r="AP5831" s="42"/>
      <c r="AQ5831" s="74"/>
      <c r="AR5831" s="77"/>
      <c r="AT5831" s="497">
        <v>55.94</v>
      </c>
      <c r="AV5831" s="42"/>
      <c r="AW5831" s="74"/>
      <c r="AX5831" s="77"/>
      <c r="BA5831" s="497">
        <v>64.94</v>
      </c>
      <c r="BB5831" s="42"/>
      <c r="BC5831" s="74"/>
      <c r="BD5831" s="77"/>
      <c r="BF5831">
        <v>51.980000000000004</v>
      </c>
      <c r="BH5831" s="42"/>
      <c r="BI5831" s="74"/>
      <c r="BJ5831" s="77"/>
      <c r="BL5831" s="497">
        <v>53.06</v>
      </c>
      <c r="BN5831" s="42"/>
      <c r="BO5831" s="74"/>
      <c r="BP5831" s="77"/>
      <c r="BR5831" s="497">
        <v>55.040000000000006</v>
      </c>
      <c r="BT5831" s="42"/>
    </row>
    <row r="5832" spans="1:72" x14ac:dyDescent="0.25">
      <c r="A5832" s="90">
        <v>34942</v>
      </c>
      <c r="B5832" s="20">
        <v>0.25</v>
      </c>
      <c r="D5832">
        <v>73.94</v>
      </c>
      <c r="E5832" t="str">
        <f t="shared" si="216"/>
        <v>WEEKDAY</v>
      </c>
      <c r="F5832" t="e">
        <f t="shared" si="217"/>
        <v>#N/A</v>
      </c>
      <c r="G5832" s="74">
        <v>32020</v>
      </c>
      <c r="H5832" s="77">
        <v>0.25</v>
      </c>
      <c r="J5832">
        <v>62.06</v>
      </c>
      <c r="M5832" s="74">
        <v>34577</v>
      </c>
      <c r="N5832" s="77">
        <v>0.25</v>
      </c>
      <c r="P5832">
        <v>59</v>
      </c>
      <c r="S5832" s="74">
        <v>34942</v>
      </c>
      <c r="T5832" s="77">
        <v>0.25</v>
      </c>
      <c r="V5832">
        <v>68</v>
      </c>
      <c r="X5832" s="42"/>
      <c r="AB5832">
        <v>67.8</v>
      </c>
      <c r="AC5832">
        <v>62.06</v>
      </c>
      <c r="AE5832" s="74"/>
      <c r="AF5832" s="77"/>
      <c r="AH5832" s="497">
        <v>59</v>
      </c>
      <c r="AJ5832" s="42"/>
      <c r="AK5832" s="74"/>
      <c r="AL5832" s="77"/>
      <c r="AN5832" s="497">
        <v>51.980000000000004</v>
      </c>
      <c r="AP5832" s="42"/>
      <c r="AQ5832" s="74"/>
      <c r="AR5832" s="77"/>
      <c r="AT5832" s="497">
        <v>55.94</v>
      </c>
      <c r="AV5832" s="42"/>
      <c r="AW5832" s="74"/>
      <c r="AX5832" s="77"/>
      <c r="BA5832" s="497">
        <v>64.94</v>
      </c>
      <c r="BB5832" s="42"/>
      <c r="BC5832" s="74"/>
      <c r="BD5832" s="77"/>
      <c r="BF5832">
        <v>53.06</v>
      </c>
      <c r="BH5832" s="42"/>
      <c r="BI5832" s="74"/>
      <c r="BJ5832" s="77"/>
      <c r="BL5832" s="497">
        <v>53.06</v>
      </c>
      <c r="BN5832" s="42"/>
      <c r="BO5832" s="74"/>
      <c r="BP5832" s="77"/>
      <c r="BR5832" s="497">
        <v>53.96</v>
      </c>
      <c r="BT5832" s="42"/>
    </row>
    <row r="5833" spans="1:72" x14ac:dyDescent="0.25">
      <c r="A5833" s="90">
        <v>34942</v>
      </c>
      <c r="B5833" s="20">
        <v>0.29166666666666669</v>
      </c>
      <c r="D5833">
        <v>73.94</v>
      </c>
      <c r="E5833" t="str">
        <f t="shared" si="216"/>
        <v>WEEKDAY</v>
      </c>
      <c r="F5833" t="e">
        <f t="shared" si="217"/>
        <v>#N/A</v>
      </c>
      <c r="G5833" s="74">
        <v>32020</v>
      </c>
      <c r="H5833" s="77">
        <v>0.29166666666666669</v>
      </c>
      <c r="J5833">
        <v>64.039999999999992</v>
      </c>
      <c r="M5833" s="74">
        <v>34577</v>
      </c>
      <c r="N5833" s="77">
        <v>0.29166666666666669</v>
      </c>
      <c r="P5833">
        <v>60.980000000000004</v>
      </c>
      <c r="S5833" s="74">
        <v>34942</v>
      </c>
      <c r="T5833" s="77">
        <v>0.29166666666666669</v>
      </c>
      <c r="V5833">
        <v>71.960000000000008</v>
      </c>
      <c r="X5833" s="42"/>
      <c r="AB5833">
        <v>67.900000000000006</v>
      </c>
      <c r="AC5833">
        <v>64.039999999999992</v>
      </c>
      <c r="AE5833" s="74"/>
      <c r="AF5833" s="77"/>
      <c r="AH5833" s="497">
        <v>60.980000000000004</v>
      </c>
      <c r="AJ5833" s="42"/>
      <c r="AK5833" s="74"/>
      <c r="AL5833" s="77"/>
      <c r="AN5833" s="497">
        <v>51.980000000000004</v>
      </c>
      <c r="AP5833" s="42"/>
      <c r="AQ5833" s="74"/>
      <c r="AR5833" s="77"/>
      <c r="AT5833" s="497">
        <v>55.040000000000006</v>
      </c>
      <c r="AV5833" s="42"/>
      <c r="AW5833" s="74"/>
      <c r="AX5833" s="77"/>
      <c r="BA5833" s="497">
        <v>69.98</v>
      </c>
      <c r="BB5833" s="42"/>
      <c r="BC5833" s="74"/>
      <c r="BD5833" s="77"/>
      <c r="BF5833">
        <v>53.96</v>
      </c>
      <c r="BH5833" s="42"/>
      <c r="BI5833" s="74"/>
      <c r="BJ5833" s="77"/>
      <c r="BL5833" s="497">
        <v>57.019999999999996</v>
      </c>
      <c r="BN5833" s="42"/>
      <c r="BO5833" s="74"/>
      <c r="BP5833" s="77"/>
      <c r="BR5833" s="497">
        <v>59</v>
      </c>
      <c r="BT5833" s="42"/>
    </row>
    <row r="5834" spans="1:72" x14ac:dyDescent="0.25">
      <c r="A5834" s="90">
        <v>34942</v>
      </c>
      <c r="B5834" s="20">
        <v>0.33333333333333331</v>
      </c>
      <c r="D5834">
        <v>75.02</v>
      </c>
      <c r="E5834" t="str">
        <f t="shared" si="216"/>
        <v>WEEKDAY</v>
      </c>
      <c r="F5834" t="e">
        <f t="shared" si="217"/>
        <v>#N/A</v>
      </c>
      <c r="G5834" s="74">
        <v>32020</v>
      </c>
      <c r="H5834" s="77">
        <v>0.33333333333333331</v>
      </c>
      <c r="J5834">
        <v>68</v>
      </c>
      <c r="M5834" s="74">
        <v>34577</v>
      </c>
      <c r="N5834" s="77">
        <v>0.33333333333333331</v>
      </c>
      <c r="P5834">
        <v>64.94</v>
      </c>
      <c r="S5834" s="74">
        <v>34942</v>
      </c>
      <c r="T5834" s="77">
        <v>0.33333333333333331</v>
      </c>
      <c r="V5834">
        <v>73.039999999999992</v>
      </c>
      <c r="X5834" s="42"/>
      <c r="AB5834">
        <v>70.099999999999994</v>
      </c>
      <c r="AC5834">
        <v>66.02</v>
      </c>
      <c r="AE5834" s="74"/>
      <c r="AF5834" s="77"/>
      <c r="AH5834" s="497">
        <v>63.86</v>
      </c>
      <c r="AJ5834" s="42"/>
      <c r="AK5834" s="74"/>
      <c r="AL5834" s="77"/>
      <c r="AN5834" s="497">
        <v>53.06</v>
      </c>
      <c r="AP5834" s="42"/>
      <c r="AQ5834" s="74"/>
      <c r="AR5834" s="77"/>
      <c r="AT5834" s="497">
        <v>55.94</v>
      </c>
      <c r="AV5834" s="42"/>
      <c r="AW5834" s="74"/>
      <c r="AX5834" s="77"/>
      <c r="BA5834" s="497">
        <v>73.94</v>
      </c>
      <c r="BB5834" s="42"/>
      <c r="BC5834" s="74"/>
      <c r="BD5834" s="77"/>
      <c r="BF5834">
        <v>57.019999999999996</v>
      </c>
      <c r="BH5834" s="42"/>
      <c r="BI5834" s="74"/>
      <c r="BJ5834" s="77"/>
      <c r="BL5834" s="497">
        <v>62.06</v>
      </c>
      <c r="BN5834" s="42"/>
      <c r="BO5834" s="74"/>
      <c r="BP5834" s="77"/>
      <c r="BR5834" s="497">
        <v>62.06</v>
      </c>
      <c r="BT5834" s="42"/>
    </row>
    <row r="5835" spans="1:72" x14ac:dyDescent="0.25">
      <c r="A5835" s="90">
        <v>34942</v>
      </c>
      <c r="B5835" s="20">
        <v>0.375</v>
      </c>
      <c r="D5835">
        <v>73.94</v>
      </c>
      <c r="E5835" t="str">
        <f t="shared" si="216"/>
        <v>WEEKDAY</v>
      </c>
      <c r="F5835" t="e">
        <f t="shared" si="217"/>
        <v>#N/A</v>
      </c>
      <c r="G5835" s="74">
        <v>32020</v>
      </c>
      <c r="H5835" s="77">
        <v>0.375</v>
      </c>
      <c r="J5835">
        <v>71.06</v>
      </c>
      <c r="M5835" s="74">
        <v>34577</v>
      </c>
      <c r="N5835" s="77">
        <v>0.375</v>
      </c>
      <c r="P5835">
        <v>68.900000000000006</v>
      </c>
      <c r="S5835" s="74">
        <v>34942</v>
      </c>
      <c r="T5835" s="77">
        <v>0.375</v>
      </c>
      <c r="V5835">
        <v>75.02</v>
      </c>
      <c r="X5835" s="42"/>
      <c r="AB5835">
        <v>72.2</v>
      </c>
      <c r="AC5835">
        <v>68</v>
      </c>
      <c r="AE5835" s="74"/>
      <c r="AF5835" s="77"/>
      <c r="AH5835" s="497">
        <v>68.900000000000006</v>
      </c>
      <c r="AJ5835" s="42"/>
      <c r="AK5835" s="74"/>
      <c r="AL5835" s="77"/>
      <c r="AN5835" s="497">
        <v>53.06</v>
      </c>
      <c r="AP5835" s="42"/>
      <c r="AQ5835" s="74"/>
      <c r="AR5835" s="77"/>
      <c r="AT5835" s="497">
        <v>57.019999999999996</v>
      </c>
      <c r="AV5835" s="42"/>
      <c r="AW5835" s="74"/>
      <c r="AX5835" s="77"/>
      <c r="BA5835" s="497">
        <v>77</v>
      </c>
      <c r="BB5835" s="42"/>
      <c r="BC5835" s="74"/>
      <c r="BD5835" s="77"/>
      <c r="BF5835">
        <v>57.019999999999996</v>
      </c>
      <c r="BH5835" s="42"/>
      <c r="BI5835" s="74"/>
      <c r="BJ5835" s="77"/>
      <c r="BL5835" s="497">
        <v>66.92</v>
      </c>
      <c r="BN5835" s="42"/>
      <c r="BO5835" s="74"/>
      <c r="BP5835" s="77"/>
      <c r="BR5835" s="497">
        <v>64.039999999999992</v>
      </c>
      <c r="BT5835" s="42"/>
    </row>
    <row r="5836" spans="1:72" x14ac:dyDescent="0.25">
      <c r="A5836" s="90">
        <v>34942</v>
      </c>
      <c r="B5836" s="20">
        <v>0.41666666666666669</v>
      </c>
      <c r="D5836">
        <v>75.92</v>
      </c>
      <c r="E5836" t="str">
        <f t="shared" si="216"/>
        <v>WEEKDAY</v>
      </c>
      <c r="F5836" t="e">
        <f t="shared" si="217"/>
        <v>#N/A</v>
      </c>
      <c r="G5836" s="74">
        <v>32020</v>
      </c>
      <c r="H5836" s="77">
        <v>0.41666666666666669</v>
      </c>
      <c r="J5836">
        <v>73.039999999999992</v>
      </c>
      <c r="M5836" s="74">
        <v>34577</v>
      </c>
      <c r="N5836" s="77">
        <v>0.41666666666666669</v>
      </c>
      <c r="P5836">
        <v>68.900000000000006</v>
      </c>
      <c r="S5836" s="74">
        <v>34942</v>
      </c>
      <c r="T5836" s="77">
        <v>0.41666666666666669</v>
      </c>
      <c r="V5836">
        <v>78.080000000000013</v>
      </c>
      <c r="X5836" s="42"/>
      <c r="AB5836">
        <v>74.2</v>
      </c>
      <c r="AC5836">
        <v>71.06</v>
      </c>
      <c r="AE5836" s="74"/>
      <c r="AF5836" s="77"/>
      <c r="AH5836" s="497">
        <v>72.86</v>
      </c>
      <c r="AJ5836" s="42"/>
      <c r="AK5836" s="74"/>
      <c r="AL5836" s="77"/>
      <c r="AN5836" s="497">
        <v>53.96</v>
      </c>
      <c r="AP5836" s="42"/>
      <c r="AQ5836" s="74"/>
      <c r="AR5836" s="77"/>
      <c r="AT5836" s="497">
        <v>59</v>
      </c>
      <c r="AV5836" s="42"/>
      <c r="AW5836" s="74"/>
      <c r="AX5836" s="77"/>
      <c r="BA5836" s="497">
        <v>78.98</v>
      </c>
      <c r="BB5836" s="42"/>
      <c r="BC5836" s="74"/>
      <c r="BD5836" s="77"/>
      <c r="BF5836">
        <v>57.92</v>
      </c>
      <c r="BH5836" s="42"/>
      <c r="BI5836" s="74"/>
      <c r="BJ5836" s="77"/>
      <c r="BL5836" s="497">
        <v>71.960000000000008</v>
      </c>
      <c r="BN5836" s="42"/>
      <c r="BO5836" s="74"/>
      <c r="BP5836" s="77"/>
      <c r="BR5836" s="497">
        <v>64.039999999999992</v>
      </c>
      <c r="BT5836" s="42"/>
    </row>
    <row r="5837" spans="1:72" x14ac:dyDescent="0.25">
      <c r="A5837" s="90">
        <v>34942</v>
      </c>
      <c r="B5837" s="20">
        <v>0.45833333333333331</v>
      </c>
      <c r="D5837">
        <v>77</v>
      </c>
      <c r="E5837" t="str">
        <f t="shared" si="216"/>
        <v>WEEKDAY</v>
      </c>
      <c r="F5837" t="e">
        <f t="shared" si="217"/>
        <v>#N/A</v>
      </c>
      <c r="G5837" s="74">
        <v>32020</v>
      </c>
      <c r="H5837" s="77">
        <v>0.45833333333333331</v>
      </c>
      <c r="J5837">
        <v>73.039999999999992</v>
      </c>
      <c r="M5837" s="74">
        <v>34577</v>
      </c>
      <c r="N5837" s="77">
        <v>0.45833333333333331</v>
      </c>
      <c r="P5837">
        <v>70.88</v>
      </c>
      <c r="S5837" s="74">
        <v>34942</v>
      </c>
      <c r="T5837" s="77">
        <v>0.45833333333333331</v>
      </c>
      <c r="V5837">
        <v>78.98</v>
      </c>
      <c r="X5837" s="42"/>
      <c r="AB5837">
        <v>76</v>
      </c>
      <c r="AC5837">
        <v>68</v>
      </c>
      <c r="AE5837" s="74"/>
      <c r="AF5837" s="77"/>
      <c r="AH5837" s="497">
        <v>71.960000000000008</v>
      </c>
      <c r="AJ5837" s="42"/>
      <c r="AK5837" s="74"/>
      <c r="AL5837" s="77"/>
      <c r="AN5837" s="497">
        <v>53.96</v>
      </c>
      <c r="AP5837" s="42"/>
      <c r="AQ5837" s="74"/>
      <c r="AR5837" s="77"/>
      <c r="AT5837" s="497">
        <v>60.980000000000004</v>
      </c>
      <c r="AV5837" s="42"/>
      <c r="AW5837" s="74"/>
      <c r="AX5837" s="77"/>
      <c r="BA5837" s="497">
        <v>80.960000000000008</v>
      </c>
      <c r="BB5837" s="42"/>
      <c r="BC5837" s="74"/>
      <c r="BD5837" s="77"/>
      <c r="BF5837">
        <v>57.92</v>
      </c>
      <c r="BH5837" s="42"/>
      <c r="BI5837" s="74"/>
      <c r="BJ5837" s="77"/>
      <c r="BL5837" s="497">
        <v>75.92</v>
      </c>
      <c r="BN5837" s="42"/>
      <c r="BO5837" s="74"/>
      <c r="BP5837" s="77"/>
      <c r="BR5837" s="497">
        <v>64.039999999999992</v>
      </c>
      <c r="BT5837" s="42"/>
    </row>
    <row r="5838" spans="1:72" x14ac:dyDescent="0.25">
      <c r="A5838" s="90">
        <v>34942</v>
      </c>
      <c r="B5838" s="20">
        <v>0.5</v>
      </c>
      <c r="D5838">
        <v>78.080000000000013</v>
      </c>
      <c r="E5838" t="str">
        <f t="shared" si="216"/>
        <v>WEEKDAY</v>
      </c>
      <c r="F5838" t="e">
        <f t="shared" si="217"/>
        <v>#N/A</v>
      </c>
      <c r="G5838" s="74">
        <v>32020</v>
      </c>
      <c r="H5838" s="77">
        <v>0.5</v>
      </c>
      <c r="J5838">
        <v>73.039999999999992</v>
      </c>
      <c r="M5838" s="74">
        <v>34577</v>
      </c>
      <c r="N5838" s="77">
        <v>0.5</v>
      </c>
      <c r="P5838">
        <v>72.86</v>
      </c>
      <c r="S5838" s="74">
        <v>34942</v>
      </c>
      <c r="T5838" s="77">
        <v>0.5</v>
      </c>
      <c r="V5838">
        <v>80.06</v>
      </c>
      <c r="X5838" s="42"/>
      <c r="AB5838">
        <v>77.400000000000006</v>
      </c>
      <c r="AC5838">
        <v>66.92</v>
      </c>
      <c r="AE5838" s="74"/>
      <c r="AF5838" s="77"/>
      <c r="AH5838" s="497">
        <v>70.88</v>
      </c>
      <c r="AJ5838" s="42"/>
      <c r="AK5838" s="74"/>
      <c r="AL5838" s="77"/>
      <c r="AN5838" s="497">
        <v>55.040000000000006</v>
      </c>
      <c r="AP5838" s="42"/>
      <c r="AQ5838" s="74"/>
      <c r="AR5838" s="77"/>
      <c r="AT5838" s="497">
        <v>60.980000000000004</v>
      </c>
      <c r="AV5838" s="42"/>
      <c r="AW5838" s="74"/>
      <c r="AX5838" s="77"/>
      <c r="BA5838" s="497">
        <v>82.94</v>
      </c>
      <c r="BB5838" s="42"/>
      <c r="BC5838" s="74"/>
      <c r="BD5838" s="77"/>
      <c r="BF5838">
        <v>60.08</v>
      </c>
      <c r="BH5838" s="42"/>
      <c r="BI5838" s="74"/>
      <c r="BJ5838" s="77"/>
      <c r="BL5838" s="497">
        <v>77</v>
      </c>
      <c r="BN5838" s="42"/>
      <c r="BO5838" s="74"/>
      <c r="BP5838" s="77"/>
      <c r="BR5838" s="497">
        <v>66.92</v>
      </c>
      <c r="BT5838" s="42"/>
    </row>
    <row r="5839" spans="1:72" x14ac:dyDescent="0.25">
      <c r="A5839" s="90">
        <v>34942</v>
      </c>
      <c r="B5839" s="20">
        <v>0.54166666666666663</v>
      </c>
      <c r="D5839">
        <v>80.06</v>
      </c>
      <c r="E5839" t="str">
        <f t="shared" si="216"/>
        <v>WEEKDAY</v>
      </c>
      <c r="F5839" t="e">
        <f t="shared" si="217"/>
        <v>#N/A</v>
      </c>
      <c r="G5839" s="74">
        <v>32020</v>
      </c>
      <c r="H5839" s="77">
        <v>0.54166666666666663</v>
      </c>
      <c r="J5839">
        <v>73.94</v>
      </c>
      <c r="M5839" s="74">
        <v>34577</v>
      </c>
      <c r="N5839" s="77">
        <v>0.54166666666666663</v>
      </c>
      <c r="P5839">
        <v>70.88</v>
      </c>
      <c r="S5839" s="74">
        <v>34942</v>
      </c>
      <c r="T5839" s="77">
        <v>0.54166666666666663</v>
      </c>
      <c r="V5839">
        <v>80.06</v>
      </c>
      <c r="X5839" s="42"/>
      <c r="AB5839">
        <v>78.3</v>
      </c>
      <c r="AC5839">
        <v>66.92</v>
      </c>
      <c r="AE5839" s="74"/>
      <c r="AF5839" s="77"/>
      <c r="AH5839" s="497">
        <v>70.88</v>
      </c>
      <c r="AJ5839" s="42"/>
      <c r="AK5839" s="74"/>
      <c r="AL5839" s="77"/>
      <c r="AN5839" s="497">
        <v>55.040000000000006</v>
      </c>
      <c r="AP5839" s="42"/>
      <c r="AQ5839" s="74"/>
      <c r="AR5839" s="77"/>
      <c r="AT5839" s="497">
        <v>60.980000000000004</v>
      </c>
      <c r="AV5839" s="42"/>
      <c r="AW5839" s="74"/>
      <c r="AX5839" s="77"/>
      <c r="BA5839" s="497">
        <v>84.02</v>
      </c>
      <c r="BB5839" s="42"/>
      <c r="BC5839" s="74"/>
      <c r="BD5839" s="77"/>
      <c r="BF5839">
        <v>60.980000000000004</v>
      </c>
      <c r="BH5839" s="42"/>
      <c r="BI5839" s="74"/>
      <c r="BJ5839" s="77"/>
      <c r="BL5839" s="497">
        <v>78.98</v>
      </c>
      <c r="BN5839" s="42"/>
      <c r="BO5839" s="74"/>
      <c r="BP5839" s="77"/>
      <c r="BR5839" s="497">
        <v>68</v>
      </c>
      <c r="BT5839" s="42"/>
    </row>
    <row r="5840" spans="1:72" x14ac:dyDescent="0.25">
      <c r="A5840" s="90">
        <v>34942</v>
      </c>
      <c r="B5840" s="20">
        <v>0.58333333333333337</v>
      </c>
      <c r="D5840">
        <v>80.960000000000008</v>
      </c>
      <c r="E5840" t="str">
        <f t="shared" si="216"/>
        <v>WEEKDAY</v>
      </c>
      <c r="F5840" t="e">
        <f t="shared" si="217"/>
        <v>#N/A</v>
      </c>
      <c r="G5840" s="74">
        <v>32020</v>
      </c>
      <c r="H5840" s="77">
        <v>0.58333333333333337</v>
      </c>
      <c r="J5840">
        <v>75.02</v>
      </c>
      <c r="M5840" s="74">
        <v>34577</v>
      </c>
      <c r="N5840" s="77">
        <v>0.58333333333333337</v>
      </c>
      <c r="P5840">
        <v>69.98</v>
      </c>
      <c r="S5840" s="74">
        <v>34942</v>
      </c>
      <c r="T5840" s="77">
        <v>0.58333333333333337</v>
      </c>
      <c r="V5840">
        <v>80.06</v>
      </c>
      <c r="X5840" s="42"/>
      <c r="AB5840">
        <v>78.8</v>
      </c>
      <c r="AC5840">
        <v>64.94</v>
      </c>
      <c r="AE5840" s="74"/>
      <c r="AF5840" s="77"/>
      <c r="AH5840" s="497">
        <v>72.86</v>
      </c>
      <c r="AJ5840" s="42"/>
      <c r="AK5840" s="74"/>
      <c r="AL5840" s="77"/>
      <c r="AN5840" s="497">
        <v>55.040000000000006</v>
      </c>
      <c r="AP5840" s="42"/>
      <c r="AQ5840" s="74"/>
      <c r="AR5840" s="77"/>
      <c r="AT5840" s="497">
        <v>60.08</v>
      </c>
      <c r="AV5840" s="42"/>
      <c r="AW5840" s="74"/>
      <c r="AX5840" s="77"/>
      <c r="BA5840" s="497">
        <v>86</v>
      </c>
      <c r="BB5840" s="42"/>
      <c r="BC5840" s="74"/>
      <c r="BD5840" s="77"/>
      <c r="BF5840">
        <v>62.06</v>
      </c>
      <c r="BH5840" s="42"/>
      <c r="BI5840" s="74"/>
      <c r="BJ5840" s="77"/>
      <c r="BL5840" s="497">
        <v>80.06</v>
      </c>
      <c r="BN5840" s="42"/>
      <c r="BO5840" s="74"/>
      <c r="BP5840" s="77"/>
      <c r="BR5840" s="497">
        <v>68</v>
      </c>
      <c r="BT5840" s="42"/>
    </row>
    <row r="5841" spans="1:72" x14ac:dyDescent="0.25">
      <c r="A5841" s="90">
        <v>34942</v>
      </c>
      <c r="B5841" s="20">
        <v>0.625</v>
      </c>
      <c r="D5841">
        <v>80.960000000000008</v>
      </c>
      <c r="E5841" t="str">
        <f t="shared" si="216"/>
        <v>WEEKDAY</v>
      </c>
      <c r="F5841" t="e">
        <f t="shared" si="217"/>
        <v>#N/A</v>
      </c>
      <c r="G5841" s="74">
        <v>32020</v>
      </c>
      <c r="H5841" s="77">
        <v>0.625</v>
      </c>
      <c r="J5841">
        <v>73.94</v>
      </c>
      <c r="M5841" s="74">
        <v>34577</v>
      </c>
      <c r="N5841" s="77">
        <v>0.625</v>
      </c>
      <c r="P5841">
        <v>71.960000000000008</v>
      </c>
      <c r="S5841" s="74">
        <v>34942</v>
      </c>
      <c r="T5841" s="77">
        <v>0.625</v>
      </c>
      <c r="V5841">
        <v>78.98</v>
      </c>
      <c r="X5841" s="42"/>
      <c r="AB5841">
        <v>78.900000000000006</v>
      </c>
      <c r="AC5841">
        <v>66.92</v>
      </c>
      <c r="AE5841" s="74"/>
      <c r="AF5841" s="77"/>
      <c r="AH5841" s="497">
        <v>72.86</v>
      </c>
      <c r="AJ5841" s="42"/>
      <c r="AK5841" s="74"/>
      <c r="AL5841" s="77"/>
      <c r="AN5841" s="497">
        <v>55.94</v>
      </c>
      <c r="AP5841" s="42"/>
      <c r="AQ5841" s="74"/>
      <c r="AR5841" s="77"/>
      <c r="AT5841" s="497">
        <v>60.08</v>
      </c>
      <c r="AV5841" s="42"/>
      <c r="AW5841" s="74"/>
      <c r="AX5841" s="77"/>
      <c r="BA5841" s="497">
        <v>86</v>
      </c>
      <c r="BB5841" s="42"/>
      <c r="BC5841" s="74"/>
      <c r="BD5841" s="77"/>
      <c r="BF5841">
        <v>62.06</v>
      </c>
      <c r="BH5841" s="42"/>
      <c r="BI5841" s="74"/>
      <c r="BJ5841" s="77"/>
      <c r="BL5841" s="497">
        <v>80.06</v>
      </c>
      <c r="BN5841" s="42"/>
      <c r="BO5841" s="74"/>
      <c r="BP5841" s="77"/>
      <c r="BR5841" s="497">
        <v>66.92</v>
      </c>
      <c r="BT5841" s="42"/>
    </row>
    <row r="5842" spans="1:72" x14ac:dyDescent="0.25">
      <c r="A5842" s="90">
        <v>34942</v>
      </c>
      <c r="B5842" s="20">
        <v>0.66666666666666663</v>
      </c>
      <c r="D5842">
        <v>80.06</v>
      </c>
      <c r="E5842" t="str">
        <f t="shared" si="216"/>
        <v>WEEKDAY</v>
      </c>
      <c r="F5842" t="e">
        <f t="shared" si="217"/>
        <v>#N/A</v>
      </c>
      <c r="G5842" s="74">
        <v>32020</v>
      </c>
      <c r="H5842" s="77">
        <v>0.66666666666666663</v>
      </c>
      <c r="J5842">
        <v>73.039999999999992</v>
      </c>
      <c r="M5842" s="74">
        <v>34577</v>
      </c>
      <c r="N5842" s="77">
        <v>0.66666666666666663</v>
      </c>
      <c r="P5842">
        <v>71.960000000000008</v>
      </c>
      <c r="S5842" s="74">
        <v>34942</v>
      </c>
      <c r="T5842" s="77">
        <v>0.66666666666666663</v>
      </c>
      <c r="V5842">
        <v>78.98</v>
      </c>
      <c r="X5842" s="42"/>
      <c r="AB5842">
        <v>78.400000000000006</v>
      </c>
      <c r="AC5842">
        <v>69.080000000000013</v>
      </c>
      <c r="AE5842" s="74"/>
      <c r="AF5842" s="77"/>
      <c r="AH5842" s="497">
        <v>74.84</v>
      </c>
      <c r="AJ5842" s="42"/>
      <c r="AK5842" s="74"/>
      <c r="AL5842" s="77"/>
      <c r="AN5842" s="497">
        <v>55.94</v>
      </c>
      <c r="AP5842" s="42"/>
      <c r="AQ5842" s="74"/>
      <c r="AR5842" s="77"/>
      <c r="AT5842" s="497">
        <v>60.980000000000004</v>
      </c>
      <c r="AV5842" s="42"/>
      <c r="AW5842" s="74"/>
      <c r="AX5842" s="77"/>
      <c r="BA5842" s="497">
        <v>84.02</v>
      </c>
      <c r="BB5842" s="42"/>
      <c r="BC5842" s="74"/>
      <c r="BD5842" s="77"/>
      <c r="BF5842">
        <v>62.06</v>
      </c>
      <c r="BH5842" s="42"/>
      <c r="BI5842" s="74"/>
      <c r="BJ5842" s="77"/>
      <c r="BL5842" s="497">
        <v>80.960000000000008</v>
      </c>
      <c r="BN5842" s="42"/>
      <c r="BO5842" s="74"/>
      <c r="BP5842" s="77"/>
      <c r="BR5842" s="497">
        <v>64.94</v>
      </c>
      <c r="BT5842" s="42"/>
    </row>
    <row r="5843" spans="1:72" x14ac:dyDescent="0.25">
      <c r="A5843" s="90">
        <v>34942</v>
      </c>
      <c r="B5843" s="20">
        <v>0.70833333333333337</v>
      </c>
      <c r="D5843">
        <v>78.98</v>
      </c>
      <c r="E5843" t="str">
        <f t="shared" ref="E5843:E5906" si="218">IF(COUNTIF($DI$18:$DI$22, WEEKDAY(A5843))=1, "WEEKDAY", IF(WEEKDAY(A5843) = 1, "SUNDAY", "SATURDAY"))</f>
        <v>WEEKDAY</v>
      </c>
      <c r="F5843" t="e">
        <f t="shared" si="217"/>
        <v>#N/A</v>
      </c>
      <c r="G5843" s="74">
        <v>32020</v>
      </c>
      <c r="H5843" s="77">
        <v>0.70833333333333337</v>
      </c>
      <c r="J5843">
        <v>71.960000000000008</v>
      </c>
      <c r="M5843" s="74">
        <v>34577</v>
      </c>
      <c r="N5843" s="77">
        <v>0.70833333333333337</v>
      </c>
      <c r="P5843">
        <v>70.88</v>
      </c>
      <c r="S5843" s="74">
        <v>34942</v>
      </c>
      <c r="T5843" s="77">
        <v>0.70833333333333337</v>
      </c>
      <c r="V5843">
        <v>78.080000000000013</v>
      </c>
      <c r="X5843" s="42"/>
      <c r="AB5843">
        <v>77.5</v>
      </c>
      <c r="AC5843">
        <v>66.02</v>
      </c>
      <c r="AE5843" s="74"/>
      <c r="AF5843" s="77"/>
      <c r="AH5843" s="497">
        <v>77</v>
      </c>
      <c r="AJ5843" s="42"/>
      <c r="AK5843" s="74"/>
      <c r="AL5843" s="77"/>
      <c r="AN5843" s="497">
        <v>55.040000000000006</v>
      </c>
      <c r="AP5843" s="42"/>
      <c r="AQ5843" s="74"/>
      <c r="AR5843" s="77"/>
      <c r="AT5843" s="497">
        <v>60.08</v>
      </c>
      <c r="AV5843" s="42"/>
      <c r="AW5843" s="74"/>
      <c r="AX5843" s="77"/>
      <c r="BA5843" s="497">
        <v>84.92</v>
      </c>
      <c r="BB5843" s="42"/>
      <c r="BC5843" s="74"/>
      <c r="BD5843" s="77"/>
      <c r="BF5843">
        <v>60.980000000000004</v>
      </c>
      <c r="BH5843" s="42"/>
      <c r="BI5843" s="74"/>
      <c r="BJ5843" s="77"/>
      <c r="BL5843" s="497">
        <v>82.039999999999992</v>
      </c>
      <c r="BN5843" s="42"/>
      <c r="BO5843" s="74"/>
      <c r="BP5843" s="77"/>
      <c r="BR5843" s="497">
        <v>66.92</v>
      </c>
      <c r="BT5843" s="42"/>
    </row>
    <row r="5844" spans="1:72" x14ac:dyDescent="0.25">
      <c r="A5844" s="90">
        <v>34942</v>
      </c>
      <c r="B5844" s="20">
        <v>0.75</v>
      </c>
      <c r="D5844">
        <v>78.98</v>
      </c>
      <c r="E5844" t="str">
        <f t="shared" si="218"/>
        <v>WEEKDAY</v>
      </c>
      <c r="F5844" t="e">
        <f t="shared" si="217"/>
        <v>#N/A</v>
      </c>
      <c r="G5844" s="74">
        <v>32020</v>
      </c>
      <c r="H5844" s="77">
        <v>0.75</v>
      </c>
      <c r="J5844">
        <v>69.98</v>
      </c>
      <c r="M5844" s="74">
        <v>34577</v>
      </c>
      <c r="N5844" s="77">
        <v>0.75</v>
      </c>
      <c r="P5844">
        <v>70.88</v>
      </c>
      <c r="S5844" s="74">
        <v>34942</v>
      </c>
      <c r="T5844" s="77">
        <v>0.75</v>
      </c>
      <c r="V5844">
        <v>77</v>
      </c>
      <c r="X5844" s="42"/>
      <c r="AB5844">
        <v>76.400000000000006</v>
      </c>
      <c r="AC5844">
        <v>64.039999999999992</v>
      </c>
      <c r="AE5844" s="74"/>
      <c r="AF5844" s="77"/>
      <c r="AH5844" s="497">
        <v>74.84</v>
      </c>
      <c r="AJ5844" s="42"/>
      <c r="AK5844" s="74"/>
      <c r="AL5844" s="77"/>
      <c r="AN5844" s="497">
        <v>55.040000000000006</v>
      </c>
      <c r="AP5844" s="42"/>
      <c r="AQ5844" s="74"/>
      <c r="AR5844" s="77"/>
      <c r="AT5844" s="497">
        <v>59</v>
      </c>
      <c r="AV5844" s="42"/>
      <c r="AW5844" s="74"/>
      <c r="AX5844" s="77"/>
      <c r="BA5844" s="497">
        <v>82.94</v>
      </c>
      <c r="BB5844" s="42"/>
      <c r="BC5844" s="74"/>
      <c r="BD5844" s="77"/>
      <c r="BF5844">
        <v>59</v>
      </c>
      <c r="BH5844" s="42"/>
      <c r="BI5844" s="74"/>
      <c r="BJ5844" s="77"/>
      <c r="BL5844" s="497">
        <v>77</v>
      </c>
      <c r="BN5844" s="42"/>
      <c r="BO5844" s="74"/>
      <c r="BP5844" s="77"/>
      <c r="BR5844" s="497">
        <v>66.92</v>
      </c>
      <c r="BT5844" s="42"/>
    </row>
    <row r="5845" spans="1:72" x14ac:dyDescent="0.25">
      <c r="A5845" s="90">
        <v>34942</v>
      </c>
      <c r="B5845" s="20">
        <v>0.79166666666666663</v>
      </c>
      <c r="D5845">
        <v>78.98</v>
      </c>
      <c r="E5845" t="str">
        <f t="shared" si="218"/>
        <v>WEEKDAY</v>
      </c>
      <c r="F5845" t="e">
        <f t="shared" si="217"/>
        <v>#N/A</v>
      </c>
      <c r="G5845" s="74">
        <v>32020</v>
      </c>
      <c r="H5845" s="77">
        <v>0.79166666666666663</v>
      </c>
      <c r="J5845">
        <v>69.080000000000013</v>
      </c>
      <c r="M5845" s="74">
        <v>34577</v>
      </c>
      <c r="N5845" s="77">
        <v>0.79166666666666663</v>
      </c>
      <c r="P5845">
        <v>69.98</v>
      </c>
      <c r="S5845" s="74">
        <v>34942</v>
      </c>
      <c r="T5845" s="77">
        <v>0.79166666666666663</v>
      </c>
      <c r="V5845">
        <v>77</v>
      </c>
      <c r="X5845" s="42"/>
      <c r="AB5845">
        <v>74.900000000000006</v>
      </c>
      <c r="AC5845">
        <v>62.96</v>
      </c>
      <c r="AE5845" s="74"/>
      <c r="AF5845" s="77"/>
      <c r="AH5845" s="497">
        <v>72.86</v>
      </c>
      <c r="AJ5845" s="42"/>
      <c r="AK5845" s="74"/>
      <c r="AL5845" s="77"/>
      <c r="AN5845" s="497">
        <v>53.96</v>
      </c>
      <c r="AP5845" s="42"/>
      <c r="AQ5845" s="74"/>
      <c r="AR5845" s="77"/>
      <c r="AT5845" s="497">
        <v>57.92</v>
      </c>
      <c r="AV5845" s="42"/>
      <c r="AW5845" s="74"/>
      <c r="AX5845" s="77"/>
      <c r="BA5845" s="497">
        <v>80.06</v>
      </c>
      <c r="BB5845" s="42"/>
      <c r="BC5845" s="74"/>
      <c r="BD5845" s="77"/>
      <c r="BF5845">
        <v>57.92</v>
      </c>
      <c r="BH5845" s="42"/>
      <c r="BI5845" s="74"/>
      <c r="BJ5845" s="77"/>
      <c r="BL5845" s="497">
        <v>73.039999999999992</v>
      </c>
      <c r="BN5845" s="42"/>
      <c r="BO5845" s="74"/>
      <c r="BP5845" s="77"/>
      <c r="BR5845" s="497">
        <v>64.94</v>
      </c>
      <c r="BT5845" s="42"/>
    </row>
    <row r="5846" spans="1:72" x14ac:dyDescent="0.25">
      <c r="A5846" s="90">
        <v>34942</v>
      </c>
      <c r="B5846" s="20">
        <v>0.83333333333333337</v>
      </c>
      <c r="D5846">
        <v>75.02</v>
      </c>
      <c r="E5846" t="str">
        <f t="shared" si="218"/>
        <v>WEEKDAY</v>
      </c>
      <c r="F5846" t="e">
        <f t="shared" si="217"/>
        <v>#N/A</v>
      </c>
      <c r="G5846" s="74">
        <v>32020</v>
      </c>
      <c r="H5846" s="77">
        <v>0.83333333333333337</v>
      </c>
      <c r="J5846">
        <v>69.98</v>
      </c>
      <c r="M5846" s="74">
        <v>34577</v>
      </c>
      <c r="N5846" s="77">
        <v>0.83333333333333337</v>
      </c>
      <c r="P5846">
        <v>69.98</v>
      </c>
      <c r="S5846" s="74">
        <v>34942</v>
      </c>
      <c r="T5846" s="77">
        <v>0.83333333333333337</v>
      </c>
      <c r="V5846">
        <v>75.92</v>
      </c>
      <c r="X5846" s="42"/>
      <c r="AB5846">
        <v>73.5</v>
      </c>
      <c r="AC5846">
        <v>62.06</v>
      </c>
      <c r="AE5846" s="74"/>
      <c r="AF5846" s="77"/>
      <c r="AH5846" s="497">
        <v>71.960000000000008</v>
      </c>
      <c r="AJ5846" s="42"/>
      <c r="AK5846" s="74"/>
      <c r="AL5846" s="77"/>
      <c r="AN5846" s="497">
        <v>53.06</v>
      </c>
      <c r="AP5846" s="42"/>
      <c r="AQ5846" s="74"/>
      <c r="AR5846" s="77"/>
      <c r="AT5846" s="497">
        <v>57.92</v>
      </c>
      <c r="AV5846" s="42"/>
      <c r="AW5846" s="74"/>
      <c r="AX5846" s="77"/>
      <c r="BA5846" s="497">
        <v>78.080000000000013</v>
      </c>
      <c r="BB5846" s="42"/>
      <c r="BC5846" s="74"/>
      <c r="BD5846" s="77"/>
      <c r="BF5846">
        <v>57.92</v>
      </c>
      <c r="BH5846" s="42"/>
      <c r="BI5846" s="74"/>
      <c r="BJ5846" s="77"/>
      <c r="BL5846" s="497">
        <v>69.080000000000013</v>
      </c>
      <c r="BN5846" s="42"/>
      <c r="BO5846" s="74"/>
      <c r="BP5846" s="77"/>
      <c r="BR5846" s="497">
        <v>60.980000000000004</v>
      </c>
      <c r="BT5846" s="42"/>
    </row>
    <row r="5847" spans="1:72" x14ac:dyDescent="0.25">
      <c r="A5847" s="90">
        <v>34942</v>
      </c>
      <c r="B5847" s="20">
        <v>0.875</v>
      </c>
      <c r="D5847">
        <v>75.02</v>
      </c>
      <c r="E5847" t="str">
        <f t="shared" si="218"/>
        <v>WEEKDAY</v>
      </c>
      <c r="F5847" t="e">
        <f t="shared" si="217"/>
        <v>#N/A</v>
      </c>
      <c r="G5847" s="74">
        <v>32020</v>
      </c>
      <c r="H5847" s="77">
        <v>0.875</v>
      </c>
      <c r="J5847">
        <v>69.98</v>
      </c>
      <c r="M5847" s="74">
        <v>34577</v>
      </c>
      <c r="N5847" s="77">
        <v>0.875</v>
      </c>
      <c r="P5847">
        <v>69.98</v>
      </c>
      <c r="S5847" s="74">
        <v>34942</v>
      </c>
      <c r="T5847" s="77">
        <v>0.875</v>
      </c>
      <c r="V5847">
        <v>75.92</v>
      </c>
      <c r="X5847" s="42"/>
      <c r="AB5847">
        <v>72.8</v>
      </c>
      <c r="AC5847">
        <v>60.08</v>
      </c>
      <c r="AE5847" s="74"/>
      <c r="AF5847" s="77"/>
      <c r="AH5847" s="497">
        <v>70.88</v>
      </c>
      <c r="AJ5847" s="42"/>
      <c r="AK5847" s="74"/>
      <c r="AL5847" s="77"/>
      <c r="AN5847" s="497">
        <v>51.980000000000004</v>
      </c>
      <c r="AP5847" s="42"/>
      <c r="AQ5847" s="74"/>
      <c r="AR5847" s="77"/>
      <c r="AT5847" s="497">
        <v>57.019999999999996</v>
      </c>
      <c r="AV5847" s="42"/>
      <c r="AW5847" s="74"/>
      <c r="AX5847" s="77"/>
      <c r="BA5847" s="497">
        <v>75.92</v>
      </c>
      <c r="BB5847" s="42"/>
      <c r="BC5847" s="74"/>
      <c r="BD5847" s="77"/>
      <c r="BF5847">
        <v>57.019999999999996</v>
      </c>
      <c r="BH5847" s="42"/>
      <c r="BI5847" s="74"/>
      <c r="BJ5847" s="77"/>
      <c r="BL5847" s="497">
        <v>66.92</v>
      </c>
      <c r="BN5847" s="42"/>
      <c r="BO5847" s="74"/>
      <c r="BP5847" s="77"/>
      <c r="BR5847" s="497">
        <v>59</v>
      </c>
      <c r="BT5847" s="42"/>
    </row>
    <row r="5848" spans="1:72" x14ac:dyDescent="0.25">
      <c r="A5848" s="90">
        <v>34942</v>
      </c>
      <c r="B5848" s="20">
        <v>0.91666666666666663</v>
      </c>
      <c r="D5848">
        <v>74.84</v>
      </c>
      <c r="E5848" t="str">
        <f t="shared" si="218"/>
        <v>WEEKDAY</v>
      </c>
      <c r="F5848" t="e">
        <f t="shared" si="217"/>
        <v>#N/A</v>
      </c>
      <c r="G5848" s="74">
        <v>32020</v>
      </c>
      <c r="H5848" s="77">
        <v>0.91666666666666663</v>
      </c>
      <c r="J5848">
        <v>69.800000000000011</v>
      </c>
      <c r="M5848" s="74">
        <v>34577</v>
      </c>
      <c r="N5848" s="77">
        <v>0.91666666666666663</v>
      </c>
      <c r="P5848">
        <v>68.900000000000006</v>
      </c>
      <c r="S5848" s="74">
        <v>34942</v>
      </c>
      <c r="T5848" s="77">
        <v>0.91666666666666663</v>
      </c>
      <c r="V5848">
        <v>75.38</v>
      </c>
      <c r="X5848" s="42"/>
      <c r="AB5848">
        <v>72.099999999999994</v>
      </c>
      <c r="AC5848">
        <v>60.620000000000005</v>
      </c>
      <c r="AE5848" s="74"/>
      <c r="AF5848" s="77"/>
      <c r="AH5848" s="497">
        <v>68.180000000000007</v>
      </c>
      <c r="AJ5848" s="42"/>
      <c r="AK5848" s="74"/>
      <c r="AL5848" s="77"/>
      <c r="AN5848" s="497">
        <v>52.519999999999996</v>
      </c>
      <c r="AP5848" s="42"/>
      <c r="AQ5848" s="74"/>
      <c r="AR5848" s="77"/>
      <c r="AT5848" s="497">
        <v>56.480000000000004</v>
      </c>
      <c r="AV5848" s="42"/>
      <c r="AW5848" s="74"/>
      <c r="AX5848" s="77"/>
      <c r="BA5848" s="497">
        <v>75.02</v>
      </c>
      <c r="BB5848" s="42"/>
      <c r="BC5848" s="74"/>
      <c r="BD5848" s="77"/>
      <c r="BF5848">
        <v>57.379999999999995</v>
      </c>
      <c r="BH5848" s="42"/>
      <c r="BI5848" s="74"/>
      <c r="BJ5848" s="77"/>
      <c r="BL5848" s="497">
        <v>65.12</v>
      </c>
      <c r="BN5848" s="42"/>
      <c r="BO5848" s="74"/>
      <c r="BP5848" s="77"/>
      <c r="BR5848" s="497">
        <v>60.44</v>
      </c>
      <c r="BT5848" s="42"/>
    </row>
    <row r="5849" spans="1:72" x14ac:dyDescent="0.25">
      <c r="A5849" s="90">
        <v>34942</v>
      </c>
      <c r="B5849" s="20">
        <v>0.95833333333333337</v>
      </c>
      <c r="D5849">
        <v>74.66</v>
      </c>
      <c r="E5849" t="str">
        <f t="shared" si="218"/>
        <v>WEEKDAY</v>
      </c>
      <c r="F5849" t="e">
        <f t="shared" si="217"/>
        <v>#N/A</v>
      </c>
      <c r="G5849" s="74">
        <v>32020</v>
      </c>
      <c r="H5849" s="77">
        <v>0.95833333333333337</v>
      </c>
      <c r="J5849">
        <v>69.800000000000011</v>
      </c>
      <c r="M5849" s="74">
        <v>34577</v>
      </c>
      <c r="N5849" s="77">
        <v>0.95833333333333337</v>
      </c>
      <c r="P5849">
        <v>67.819999999999993</v>
      </c>
      <c r="S5849" s="74">
        <v>34942</v>
      </c>
      <c r="T5849" s="77">
        <v>0.95833333333333337</v>
      </c>
      <c r="V5849">
        <v>74.84</v>
      </c>
      <c r="X5849" s="42"/>
      <c r="AB5849">
        <v>71.5</v>
      </c>
      <c r="AC5849">
        <v>61.16</v>
      </c>
      <c r="AE5849" s="74"/>
      <c r="AF5849" s="77"/>
      <c r="AH5849" s="497">
        <v>65.48</v>
      </c>
      <c r="AJ5849" s="42"/>
      <c r="AK5849" s="74"/>
      <c r="AL5849" s="77"/>
      <c r="AN5849" s="497">
        <v>53.06</v>
      </c>
      <c r="AP5849" s="42"/>
      <c r="AQ5849" s="74"/>
      <c r="AR5849" s="77"/>
      <c r="AT5849" s="497">
        <v>55.94</v>
      </c>
      <c r="AV5849" s="42"/>
      <c r="AW5849" s="74"/>
      <c r="AX5849" s="77"/>
      <c r="BA5849" s="497">
        <v>74.300000000000011</v>
      </c>
      <c r="BB5849" s="42"/>
      <c r="BC5849" s="74"/>
      <c r="BD5849" s="77"/>
      <c r="BF5849">
        <v>57.92</v>
      </c>
      <c r="BH5849" s="42"/>
      <c r="BI5849" s="74"/>
      <c r="BJ5849" s="77"/>
      <c r="BL5849" s="497">
        <v>63.14</v>
      </c>
      <c r="BN5849" s="42"/>
      <c r="BO5849" s="74"/>
      <c r="BP5849" s="77"/>
      <c r="BR5849" s="497">
        <v>61.88</v>
      </c>
      <c r="BT5849" s="42"/>
    </row>
    <row r="5850" spans="1:72" x14ac:dyDescent="0.25">
      <c r="A5850" s="90">
        <v>34942</v>
      </c>
      <c r="B5850" s="20">
        <v>1</v>
      </c>
      <c r="D5850">
        <v>74.48</v>
      </c>
      <c r="E5850" t="str">
        <f t="shared" si="218"/>
        <v>WEEKDAY</v>
      </c>
      <c r="F5850" t="e">
        <f t="shared" si="217"/>
        <v>#N/A</v>
      </c>
      <c r="G5850" s="74">
        <v>32020</v>
      </c>
      <c r="H5850" s="77">
        <v>1</v>
      </c>
      <c r="J5850">
        <v>69.62</v>
      </c>
      <c r="M5850" s="74">
        <v>34577</v>
      </c>
      <c r="N5850" s="80">
        <v>1</v>
      </c>
      <c r="P5850">
        <v>66.740000000000009</v>
      </c>
      <c r="S5850" s="74">
        <v>34942</v>
      </c>
      <c r="T5850" s="80">
        <v>1</v>
      </c>
      <c r="V5850">
        <v>74.300000000000011</v>
      </c>
      <c r="X5850" s="42"/>
      <c r="AB5850">
        <v>70.8</v>
      </c>
      <c r="AC5850">
        <v>61.7</v>
      </c>
      <c r="AE5850" s="74"/>
      <c r="AF5850" s="80"/>
      <c r="AH5850" s="497">
        <v>62.78</v>
      </c>
      <c r="AJ5850" s="42"/>
      <c r="AK5850" s="74"/>
      <c r="AL5850" s="80"/>
      <c r="AN5850" s="497">
        <v>53.6</v>
      </c>
      <c r="AP5850" s="42"/>
      <c r="AQ5850" s="74"/>
      <c r="AR5850" s="80"/>
      <c r="AT5850" s="497">
        <v>55.400000000000006</v>
      </c>
      <c r="AV5850" s="42"/>
      <c r="AW5850" s="74"/>
      <c r="AX5850" s="80"/>
      <c r="BA5850" s="497">
        <v>73.400000000000006</v>
      </c>
      <c r="BB5850" s="42"/>
      <c r="BC5850" s="74"/>
      <c r="BD5850" s="80"/>
      <c r="BF5850">
        <v>58.28</v>
      </c>
      <c r="BH5850" s="42"/>
      <c r="BI5850" s="74"/>
      <c r="BJ5850" s="80"/>
      <c r="BL5850" s="497">
        <v>61.34</v>
      </c>
      <c r="BN5850" s="42"/>
      <c r="BO5850" s="74"/>
      <c r="BP5850" s="80"/>
      <c r="BR5850" s="497">
        <v>63.319999999999993</v>
      </c>
      <c r="BT5850" s="42"/>
    </row>
    <row r="5851" spans="1:72" x14ac:dyDescent="0.25">
      <c r="A5851" s="90">
        <v>34943</v>
      </c>
      <c r="B5851" s="20">
        <v>4.1666666666666664E-2</v>
      </c>
      <c r="D5851">
        <v>74.48</v>
      </c>
      <c r="E5851" t="str">
        <f t="shared" si="218"/>
        <v>WEEKDAY</v>
      </c>
      <c r="F5851" t="e">
        <f t="shared" si="217"/>
        <v>#N/A</v>
      </c>
      <c r="G5851" s="74">
        <v>29099</v>
      </c>
      <c r="H5851" s="77">
        <v>4.1666666666666664E-2</v>
      </c>
      <c r="J5851">
        <v>69.44</v>
      </c>
      <c r="M5851" s="74">
        <v>37865</v>
      </c>
      <c r="N5851" s="77">
        <v>4.1666666666666664E-2</v>
      </c>
      <c r="P5851">
        <v>65.84</v>
      </c>
      <c r="S5851" s="74">
        <v>34943</v>
      </c>
      <c r="T5851" s="77">
        <v>4.1666666666666664E-2</v>
      </c>
      <c r="V5851">
        <v>73.580000000000013</v>
      </c>
      <c r="X5851" s="42"/>
      <c r="AB5851">
        <v>70.2</v>
      </c>
      <c r="AC5851">
        <v>62.42</v>
      </c>
      <c r="AE5851" s="74"/>
      <c r="AF5851" s="77"/>
      <c r="AH5851" s="497">
        <v>59.900000000000006</v>
      </c>
      <c r="AJ5851" s="42"/>
      <c r="AK5851" s="74"/>
      <c r="AL5851" s="77"/>
      <c r="AN5851" s="497">
        <v>54.32</v>
      </c>
      <c r="AP5851" s="42"/>
      <c r="AQ5851" s="74"/>
      <c r="AR5851" s="77"/>
      <c r="AT5851" s="497">
        <v>54.68</v>
      </c>
      <c r="AV5851" s="42"/>
      <c r="AW5851" s="74"/>
      <c r="AX5851" s="77"/>
      <c r="BA5851" s="497">
        <v>72.5</v>
      </c>
      <c r="BB5851" s="42"/>
      <c r="BC5851" s="74"/>
      <c r="BD5851" s="77"/>
      <c r="BF5851">
        <v>58.82</v>
      </c>
      <c r="BH5851" s="42"/>
      <c r="BI5851" s="74"/>
      <c r="BJ5851" s="77"/>
      <c r="BL5851" s="497">
        <v>59.540000000000006</v>
      </c>
      <c r="BN5851" s="42"/>
      <c r="BO5851" s="74"/>
      <c r="BP5851" s="77"/>
      <c r="BR5851" s="497">
        <v>64.759999999999991</v>
      </c>
      <c r="BT5851" s="42"/>
    </row>
    <row r="5852" spans="1:72" x14ac:dyDescent="0.25">
      <c r="A5852" s="90">
        <v>34943</v>
      </c>
      <c r="B5852" s="20">
        <v>8.3333333333333329E-2</v>
      </c>
      <c r="D5852">
        <v>74.300000000000011</v>
      </c>
      <c r="E5852" t="str">
        <f t="shared" si="218"/>
        <v>WEEKDAY</v>
      </c>
      <c r="F5852" t="e">
        <f t="shared" si="217"/>
        <v>#N/A</v>
      </c>
      <c r="G5852" s="74">
        <v>29099</v>
      </c>
      <c r="H5852" s="77">
        <v>8.3333333333333329E-2</v>
      </c>
      <c r="J5852">
        <v>69.259999999999991</v>
      </c>
      <c r="M5852" s="74">
        <v>37865</v>
      </c>
      <c r="N5852" s="77">
        <v>8.3333333333333329E-2</v>
      </c>
      <c r="P5852">
        <v>64.759999999999991</v>
      </c>
      <c r="S5852" s="74">
        <v>34943</v>
      </c>
      <c r="T5852" s="77">
        <v>8.3333333333333329E-2</v>
      </c>
      <c r="V5852">
        <v>73.039999999999992</v>
      </c>
      <c r="X5852" s="42"/>
      <c r="AB5852">
        <v>69.599999999999994</v>
      </c>
      <c r="AC5852">
        <v>62.96</v>
      </c>
      <c r="AE5852" s="74"/>
      <c r="AF5852" s="77"/>
      <c r="AH5852" s="497">
        <v>57.2</v>
      </c>
      <c r="AJ5852" s="42"/>
      <c r="AK5852" s="74"/>
      <c r="AL5852" s="77"/>
      <c r="AN5852" s="497">
        <v>54.86</v>
      </c>
      <c r="AP5852" s="42"/>
      <c r="AQ5852" s="74"/>
      <c r="AR5852" s="77"/>
      <c r="AT5852" s="497">
        <v>54.14</v>
      </c>
      <c r="AV5852" s="42"/>
      <c r="AW5852" s="74"/>
      <c r="AX5852" s="77"/>
      <c r="BA5852" s="497">
        <v>71.599999999999994</v>
      </c>
      <c r="BB5852" s="42"/>
      <c r="BC5852" s="74"/>
      <c r="BD5852" s="77"/>
      <c r="BF5852">
        <v>59.18</v>
      </c>
      <c r="BH5852" s="42"/>
      <c r="BI5852" s="74"/>
      <c r="BJ5852" s="77"/>
      <c r="BL5852" s="497">
        <v>57.74</v>
      </c>
      <c r="BN5852" s="42"/>
      <c r="BO5852" s="74"/>
      <c r="BP5852" s="77"/>
      <c r="BR5852" s="497">
        <v>66.2</v>
      </c>
      <c r="BT5852" s="42"/>
    </row>
    <row r="5853" spans="1:72" x14ac:dyDescent="0.25">
      <c r="A5853" s="90">
        <v>34943</v>
      </c>
      <c r="B5853" s="20">
        <v>0.125</v>
      </c>
      <c r="D5853">
        <v>74.12</v>
      </c>
      <c r="E5853" t="str">
        <f t="shared" si="218"/>
        <v>WEEKDAY</v>
      </c>
      <c r="F5853" t="e">
        <f t="shared" si="217"/>
        <v>#N/A</v>
      </c>
      <c r="G5853" s="74">
        <v>29099</v>
      </c>
      <c r="H5853" s="77">
        <v>0.125</v>
      </c>
      <c r="J5853">
        <v>69.259999999999991</v>
      </c>
      <c r="M5853" s="74">
        <v>37865</v>
      </c>
      <c r="N5853" s="77">
        <v>0.125</v>
      </c>
      <c r="P5853">
        <v>63.680000000000007</v>
      </c>
      <c r="S5853" s="74">
        <v>34943</v>
      </c>
      <c r="T5853" s="77">
        <v>0.125</v>
      </c>
      <c r="V5853">
        <v>72.5</v>
      </c>
      <c r="X5853" s="42"/>
      <c r="AB5853">
        <v>69.099999999999994</v>
      </c>
      <c r="AC5853">
        <v>63.5</v>
      </c>
      <c r="AE5853" s="74"/>
      <c r="AF5853" s="77"/>
      <c r="AH5853" s="497">
        <v>54.5</v>
      </c>
      <c r="AJ5853" s="42"/>
      <c r="AK5853" s="74"/>
      <c r="AL5853" s="77"/>
      <c r="AN5853" s="497">
        <v>55.400000000000006</v>
      </c>
      <c r="AP5853" s="42"/>
      <c r="AQ5853" s="74"/>
      <c r="AR5853" s="77"/>
      <c r="AT5853" s="497">
        <v>53.6</v>
      </c>
      <c r="AV5853" s="42"/>
      <c r="AW5853" s="74"/>
      <c r="AX5853" s="77"/>
      <c r="BA5853" s="497">
        <v>70.88</v>
      </c>
      <c r="BB5853" s="42"/>
      <c r="BC5853" s="74"/>
      <c r="BD5853" s="77"/>
      <c r="BF5853">
        <v>59.72</v>
      </c>
      <c r="BH5853" s="42"/>
      <c r="BI5853" s="74"/>
      <c r="BJ5853" s="77"/>
      <c r="BL5853" s="497">
        <v>55.76</v>
      </c>
      <c r="BN5853" s="42"/>
      <c r="BO5853" s="74"/>
      <c r="BP5853" s="77"/>
      <c r="BR5853" s="497">
        <v>67.64</v>
      </c>
      <c r="BT5853" s="42"/>
    </row>
    <row r="5854" spans="1:72" x14ac:dyDescent="0.25">
      <c r="A5854" s="90">
        <v>34943</v>
      </c>
      <c r="B5854" s="20">
        <v>0.16666666666666666</v>
      </c>
      <c r="D5854">
        <v>73.94</v>
      </c>
      <c r="E5854" t="str">
        <f t="shared" si="218"/>
        <v>WEEKDAY</v>
      </c>
      <c r="F5854" t="e">
        <f t="shared" si="217"/>
        <v>#N/A</v>
      </c>
      <c r="G5854" s="74">
        <v>29099</v>
      </c>
      <c r="H5854" s="77">
        <v>0.16666666666666666</v>
      </c>
      <c r="J5854">
        <v>69.080000000000013</v>
      </c>
      <c r="M5854" s="74">
        <v>37865</v>
      </c>
      <c r="N5854" s="77">
        <v>0.16666666666666666</v>
      </c>
      <c r="P5854">
        <v>62.6</v>
      </c>
      <c r="S5854" s="74">
        <v>34943</v>
      </c>
      <c r="T5854" s="77">
        <v>0.16666666666666666</v>
      </c>
      <c r="V5854">
        <v>71.960000000000008</v>
      </c>
      <c r="X5854" s="42"/>
      <c r="AB5854">
        <v>68.5</v>
      </c>
      <c r="AC5854">
        <v>64.039999999999992</v>
      </c>
      <c r="AE5854" s="74"/>
      <c r="AF5854" s="77"/>
      <c r="AH5854" s="497">
        <v>51.8</v>
      </c>
      <c r="AJ5854" s="42"/>
      <c r="AK5854" s="74"/>
      <c r="AL5854" s="77"/>
      <c r="AN5854" s="497">
        <v>55.94</v>
      </c>
      <c r="AP5854" s="42"/>
      <c r="AQ5854" s="74"/>
      <c r="AR5854" s="77"/>
      <c r="AT5854" s="497">
        <v>53.06</v>
      </c>
      <c r="AV5854" s="42"/>
      <c r="AW5854" s="74"/>
      <c r="AX5854" s="77"/>
      <c r="BA5854" s="497">
        <v>69.98</v>
      </c>
      <c r="BB5854" s="42"/>
      <c r="BC5854" s="74"/>
      <c r="BD5854" s="77"/>
      <c r="BF5854">
        <v>60.08</v>
      </c>
      <c r="BH5854" s="42"/>
      <c r="BI5854" s="74"/>
      <c r="BJ5854" s="77"/>
      <c r="BL5854" s="497">
        <v>53.96</v>
      </c>
      <c r="BN5854" s="42"/>
      <c r="BO5854" s="74"/>
      <c r="BP5854" s="77"/>
      <c r="BR5854" s="497">
        <v>69.080000000000013</v>
      </c>
      <c r="BT5854" s="42"/>
    </row>
    <row r="5855" spans="1:72" x14ac:dyDescent="0.25">
      <c r="A5855" s="90">
        <v>34943</v>
      </c>
      <c r="B5855" s="20">
        <v>0.20833333333333334</v>
      </c>
      <c r="D5855">
        <v>73.94</v>
      </c>
      <c r="E5855" t="str">
        <f t="shared" si="218"/>
        <v>WEEKDAY</v>
      </c>
      <c r="F5855" t="e">
        <f t="shared" si="217"/>
        <v>#N/A</v>
      </c>
      <c r="G5855" s="74">
        <v>29099</v>
      </c>
      <c r="H5855" s="77">
        <v>0.20833333333333334</v>
      </c>
      <c r="J5855">
        <v>69.800000000000011</v>
      </c>
      <c r="M5855" s="74">
        <v>37865</v>
      </c>
      <c r="N5855" s="77">
        <v>0.20833333333333334</v>
      </c>
      <c r="P5855">
        <v>62.6</v>
      </c>
      <c r="S5855" s="74">
        <v>34943</v>
      </c>
      <c r="T5855" s="77">
        <v>0.20833333333333334</v>
      </c>
      <c r="V5855">
        <v>75.02</v>
      </c>
      <c r="X5855" s="42"/>
      <c r="AB5855">
        <v>68</v>
      </c>
      <c r="AC5855">
        <v>62.96</v>
      </c>
      <c r="AE5855" s="74"/>
      <c r="AF5855" s="77"/>
      <c r="AH5855" s="497">
        <v>50</v>
      </c>
      <c r="AJ5855" s="42"/>
      <c r="AK5855" s="74"/>
      <c r="AL5855" s="77"/>
      <c r="AN5855" s="497">
        <v>56.66</v>
      </c>
      <c r="AP5855" s="42"/>
      <c r="AQ5855" s="74"/>
      <c r="AR5855" s="77"/>
      <c r="AT5855" s="497">
        <v>51.980000000000004</v>
      </c>
      <c r="AV5855" s="42"/>
      <c r="AW5855" s="74"/>
      <c r="AX5855" s="77"/>
      <c r="BA5855" s="497">
        <v>69.98</v>
      </c>
      <c r="BB5855" s="42"/>
      <c r="BC5855" s="74"/>
      <c r="BD5855" s="77"/>
      <c r="BF5855">
        <v>57.92</v>
      </c>
      <c r="BH5855" s="42"/>
      <c r="BI5855" s="74"/>
      <c r="BJ5855" s="77"/>
      <c r="BL5855" s="497">
        <v>53.96</v>
      </c>
      <c r="BN5855" s="42"/>
      <c r="BO5855" s="74"/>
      <c r="BP5855" s="77"/>
      <c r="BR5855" s="497">
        <v>69.44</v>
      </c>
      <c r="BT5855" s="42"/>
    </row>
    <row r="5856" spans="1:72" x14ac:dyDescent="0.25">
      <c r="A5856" s="90">
        <v>34943</v>
      </c>
      <c r="B5856" s="20">
        <v>0.25</v>
      </c>
      <c r="D5856">
        <v>73.039999999999992</v>
      </c>
      <c r="E5856" t="str">
        <f t="shared" si="218"/>
        <v>WEEKDAY</v>
      </c>
      <c r="F5856" t="e">
        <f t="shared" si="217"/>
        <v>#N/A</v>
      </c>
      <c r="G5856" s="74">
        <v>29099</v>
      </c>
      <c r="H5856" s="77">
        <v>0.25</v>
      </c>
      <c r="J5856">
        <v>70.34</v>
      </c>
      <c r="M5856" s="74">
        <v>37865</v>
      </c>
      <c r="N5856" s="77">
        <v>0.25</v>
      </c>
      <c r="P5856">
        <v>62.6</v>
      </c>
      <c r="S5856" s="74">
        <v>34943</v>
      </c>
      <c r="T5856" s="77">
        <v>0.25</v>
      </c>
      <c r="V5856">
        <v>77</v>
      </c>
      <c r="X5856" s="42"/>
      <c r="AB5856">
        <v>67.8</v>
      </c>
      <c r="AC5856">
        <v>64.039999999999992</v>
      </c>
      <c r="AE5856" s="74"/>
      <c r="AF5856" s="77"/>
      <c r="AH5856" s="497">
        <v>53.6</v>
      </c>
      <c r="AJ5856" s="42"/>
      <c r="AK5856" s="74"/>
      <c r="AL5856" s="77"/>
      <c r="AN5856" s="497">
        <v>57.2</v>
      </c>
      <c r="AP5856" s="42"/>
      <c r="AQ5856" s="74"/>
      <c r="AR5856" s="77"/>
      <c r="AT5856" s="497">
        <v>51.980000000000004</v>
      </c>
      <c r="AV5856" s="42"/>
      <c r="AW5856" s="74"/>
      <c r="AX5856" s="77"/>
      <c r="BA5856" s="497">
        <v>69.080000000000013</v>
      </c>
      <c r="BB5856" s="42"/>
      <c r="BC5856" s="74"/>
      <c r="BD5856" s="77"/>
      <c r="BF5856">
        <v>57.019999999999996</v>
      </c>
      <c r="BH5856" s="42"/>
      <c r="BI5856" s="74"/>
      <c r="BJ5856" s="77"/>
      <c r="BL5856" s="497">
        <v>53.06</v>
      </c>
      <c r="BN5856" s="42"/>
      <c r="BO5856" s="74"/>
      <c r="BP5856" s="77"/>
      <c r="BR5856" s="497">
        <v>69.62</v>
      </c>
      <c r="BT5856" s="42"/>
    </row>
    <row r="5857" spans="1:72" x14ac:dyDescent="0.25">
      <c r="A5857" s="90">
        <v>34943</v>
      </c>
      <c r="B5857" s="20">
        <v>0.29166666666666669</v>
      </c>
      <c r="D5857">
        <v>71.960000000000008</v>
      </c>
      <c r="E5857" t="str">
        <f t="shared" si="218"/>
        <v>WEEKDAY</v>
      </c>
      <c r="F5857" t="e">
        <f t="shared" si="217"/>
        <v>#N/A</v>
      </c>
      <c r="G5857" s="74">
        <v>29099</v>
      </c>
      <c r="H5857" s="77">
        <v>0.29166666666666669</v>
      </c>
      <c r="J5857">
        <v>71.06</v>
      </c>
      <c r="M5857" s="74">
        <v>37865</v>
      </c>
      <c r="N5857" s="77">
        <v>0.29166666666666669</v>
      </c>
      <c r="P5857">
        <v>62.6</v>
      </c>
      <c r="S5857" s="74">
        <v>34943</v>
      </c>
      <c r="T5857" s="77">
        <v>0.29166666666666669</v>
      </c>
      <c r="V5857">
        <v>77</v>
      </c>
      <c r="X5857" s="42"/>
      <c r="AB5857">
        <v>67.900000000000006</v>
      </c>
      <c r="AC5857">
        <v>68</v>
      </c>
      <c r="AE5857" s="74"/>
      <c r="AF5857" s="77"/>
      <c r="AH5857" s="497">
        <v>55.400000000000006</v>
      </c>
      <c r="AJ5857" s="42"/>
      <c r="AK5857" s="74"/>
      <c r="AL5857" s="77"/>
      <c r="AN5857" s="497">
        <v>57.92</v>
      </c>
      <c r="AP5857" s="42"/>
      <c r="AQ5857" s="74"/>
      <c r="AR5857" s="77"/>
      <c r="AT5857" s="497">
        <v>59</v>
      </c>
      <c r="AV5857" s="42"/>
      <c r="AW5857" s="74"/>
      <c r="AX5857" s="77"/>
      <c r="BA5857" s="497">
        <v>73.94</v>
      </c>
      <c r="BB5857" s="42"/>
      <c r="BC5857" s="74"/>
      <c r="BD5857" s="77"/>
      <c r="BF5857">
        <v>57.019999999999996</v>
      </c>
      <c r="BH5857" s="42"/>
      <c r="BI5857" s="74"/>
      <c r="BJ5857" s="77"/>
      <c r="BL5857" s="497">
        <v>55.94</v>
      </c>
      <c r="BN5857" s="42"/>
      <c r="BO5857" s="74"/>
      <c r="BP5857" s="77"/>
      <c r="BR5857" s="497">
        <v>69.98</v>
      </c>
      <c r="BT5857" s="42"/>
    </row>
    <row r="5858" spans="1:72" x14ac:dyDescent="0.25">
      <c r="A5858" s="90">
        <v>34943</v>
      </c>
      <c r="B5858" s="20">
        <v>0.33333333333333331</v>
      </c>
      <c r="D5858">
        <v>73.039999999999992</v>
      </c>
      <c r="E5858" t="str">
        <f t="shared" si="218"/>
        <v>WEEKDAY</v>
      </c>
      <c r="F5858" t="e">
        <f t="shared" si="217"/>
        <v>#N/A</v>
      </c>
      <c r="G5858" s="74">
        <v>29099</v>
      </c>
      <c r="H5858" s="77">
        <v>0.33333333333333331</v>
      </c>
      <c r="J5858">
        <v>73.039999999999992</v>
      </c>
      <c r="M5858" s="74">
        <v>37865</v>
      </c>
      <c r="N5858" s="77">
        <v>0.33333333333333331</v>
      </c>
      <c r="P5858">
        <v>62.6</v>
      </c>
      <c r="S5858" s="74">
        <v>34943</v>
      </c>
      <c r="T5858" s="77">
        <v>0.33333333333333331</v>
      </c>
      <c r="V5858">
        <v>78.98</v>
      </c>
      <c r="X5858" s="42"/>
      <c r="AB5858">
        <v>70</v>
      </c>
      <c r="AC5858">
        <v>71.06</v>
      </c>
      <c r="AE5858" s="74"/>
      <c r="AF5858" s="77"/>
      <c r="AH5858" s="497">
        <v>57.2</v>
      </c>
      <c r="AJ5858" s="42"/>
      <c r="AK5858" s="74"/>
      <c r="AL5858" s="77"/>
      <c r="AN5858" s="497">
        <v>60.980000000000004</v>
      </c>
      <c r="AP5858" s="42"/>
      <c r="AQ5858" s="74"/>
      <c r="AR5858" s="77"/>
      <c r="AT5858" s="497">
        <v>62.96</v>
      </c>
      <c r="AV5858" s="42"/>
      <c r="AW5858" s="74"/>
      <c r="AX5858" s="77"/>
      <c r="BA5858" s="497">
        <v>78.080000000000013</v>
      </c>
      <c r="BB5858" s="42"/>
      <c r="BC5858" s="74"/>
      <c r="BD5858" s="77"/>
      <c r="BF5858">
        <v>57.019999999999996</v>
      </c>
      <c r="BH5858" s="42"/>
      <c r="BI5858" s="74"/>
      <c r="BJ5858" s="77"/>
      <c r="BL5858" s="497">
        <v>60.08</v>
      </c>
      <c r="BN5858" s="42"/>
      <c r="BO5858" s="74"/>
      <c r="BP5858" s="77"/>
      <c r="BR5858" s="497">
        <v>72.319999999999993</v>
      </c>
      <c r="BT5858" s="42"/>
    </row>
    <row r="5859" spans="1:72" x14ac:dyDescent="0.25">
      <c r="A5859" s="90">
        <v>34943</v>
      </c>
      <c r="B5859" s="20">
        <v>0.375</v>
      </c>
      <c r="D5859">
        <v>73.039999999999992</v>
      </c>
      <c r="E5859" t="str">
        <f t="shared" si="218"/>
        <v>WEEKDAY</v>
      </c>
      <c r="F5859" t="e">
        <f t="shared" si="217"/>
        <v>#N/A</v>
      </c>
      <c r="G5859" s="74">
        <v>29099</v>
      </c>
      <c r="H5859" s="77">
        <v>0.375</v>
      </c>
      <c r="J5859">
        <v>75.02</v>
      </c>
      <c r="M5859" s="74">
        <v>37865</v>
      </c>
      <c r="N5859" s="77">
        <v>0.375</v>
      </c>
      <c r="P5859">
        <v>62.6</v>
      </c>
      <c r="S5859" s="74">
        <v>34943</v>
      </c>
      <c r="T5859" s="77">
        <v>0.375</v>
      </c>
      <c r="V5859">
        <v>80.06</v>
      </c>
      <c r="X5859" s="42"/>
      <c r="AB5859">
        <v>72.099999999999994</v>
      </c>
      <c r="AC5859">
        <v>73.039999999999992</v>
      </c>
      <c r="AE5859" s="74"/>
      <c r="AF5859" s="77"/>
      <c r="AH5859" s="497">
        <v>60.8</v>
      </c>
      <c r="AJ5859" s="42"/>
      <c r="AK5859" s="74"/>
      <c r="AL5859" s="77"/>
      <c r="AN5859" s="497">
        <v>63.86</v>
      </c>
      <c r="AP5859" s="42"/>
      <c r="AQ5859" s="74"/>
      <c r="AR5859" s="77"/>
      <c r="AT5859" s="497">
        <v>68</v>
      </c>
      <c r="AV5859" s="42"/>
      <c r="AW5859" s="74"/>
      <c r="AX5859" s="77"/>
      <c r="BA5859" s="497">
        <v>80.06</v>
      </c>
      <c r="BB5859" s="42"/>
      <c r="BC5859" s="74"/>
      <c r="BD5859" s="77"/>
      <c r="BF5859">
        <v>59</v>
      </c>
      <c r="BH5859" s="42"/>
      <c r="BI5859" s="74"/>
      <c r="BJ5859" s="77"/>
      <c r="BL5859" s="497">
        <v>64.94</v>
      </c>
      <c r="BN5859" s="42"/>
      <c r="BO5859" s="74"/>
      <c r="BP5859" s="77"/>
      <c r="BR5859" s="497">
        <v>74.66</v>
      </c>
      <c r="BT5859" s="42"/>
    </row>
    <row r="5860" spans="1:72" x14ac:dyDescent="0.25">
      <c r="A5860" s="90">
        <v>34943</v>
      </c>
      <c r="B5860" s="20">
        <v>0.41666666666666669</v>
      </c>
      <c r="D5860">
        <v>73.94</v>
      </c>
      <c r="E5860" t="str">
        <f t="shared" si="218"/>
        <v>WEEKDAY</v>
      </c>
      <c r="F5860" t="e">
        <f t="shared" si="217"/>
        <v>#N/A</v>
      </c>
      <c r="G5860" s="74">
        <v>29099</v>
      </c>
      <c r="H5860" s="77">
        <v>0.41666666666666669</v>
      </c>
      <c r="J5860">
        <v>77</v>
      </c>
      <c r="M5860" s="74">
        <v>37865</v>
      </c>
      <c r="N5860" s="77">
        <v>0.41666666666666669</v>
      </c>
      <c r="P5860">
        <v>60.8</v>
      </c>
      <c r="S5860" s="74">
        <v>34943</v>
      </c>
      <c r="T5860" s="77">
        <v>0.41666666666666669</v>
      </c>
      <c r="V5860">
        <v>82.039999999999992</v>
      </c>
      <c r="X5860" s="42"/>
      <c r="AB5860">
        <v>74.099999999999994</v>
      </c>
      <c r="AC5860">
        <v>73.94</v>
      </c>
      <c r="AE5860" s="74"/>
      <c r="AF5860" s="77"/>
      <c r="AH5860" s="497">
        <v>69.800000000000011</v>
      </c>
      <c r="AJ5860" s="42"/>
      <c r="AK5860" s="74"/>
      <c r="AL5860" s="77"/>
      <c r="AN5860" s="497">
        <v>66.92</v>
      </c>
      <c r="AP5860" s="42"/>
      <c r="AQ5860" s="74"/>
      <c r="AR5860" s="77"/>
      <c r="AT5860" s="497">
        <v>71.06</v>
      </c>
      <c r="AV5860" s="42"/>
      <c r="AW5860" s="74"/>
      <c r="AX5860" s="77"/>
      <c r="BA5860" s="497">
        <v>82.039999999999992</v>
      </c>
      <c r="BB5860" s="42"/>
      <c r="BC5860" s="74"/>
      <c r="BD5860" s="77"/>
      <c r="BF5860">
        <v>62.06</v>
      </c>
      <c r="BH5860" s="42"/>
      <c r="BI5860" s="74"/>
      <c r="BJ5860" s="77"/>
      <c r="BL5860" s="497">
        <v>69.080000000000013</v>
      </c>
      <c r="BN5860" s="42"/>
      <c r="BO5860" s="74"/>
      <c r="BP5860" s="77"/>
      <c r="BR5860" s="497">
        <v>77</v>
      </c>
      <c r="BT5860" s="42"/>
    </row>
    <row r="5861" spans="1:72" x14ac:dyDescent="0.25">
      <c r="A5861" s="90">
        <v>34943</v>
      </c>
      <c r="B5861" s="20">
        <v>0.45833333333333331</v>
      </c>
      <c r="D5861">
        <v>75.92</v>
      </c>
      <c r="E5861" t="str">
        <f t="shared" si="218"/>
        <v>WEEKDAY</v>
      </c>
      <c r="F5861" t="e">
        <f t="shared" si="217"/>
        <v>#N/A</v>
      </c>
      <c r="G5861" s="74">
        <v>29099</v>
      </c>
      <c r="H5861" s="77">
        <v>0.45833333333333331</v>
      </c>
      <c r="J5861">
        <v>78.080000000000013</v>
      </c>
      <c r="M5861" s="74">
        <v>37865</v>
      </c>
      <c r="N5861" s="77">
        <v>0.45833333333333331</v>
      </c>
      <c r="P5861">
        <v>62.6</v>
      </c>
      <c r="S5861" s="74">
        <v>34943</v>
      </c>
      <c r="T5861" s="77">
        <v>0.45833333333333331</v>
      </c>
      <c r="V5861">
        <v>84.02</v>
      </c>
      <c r="X5861" s="42"/>
      <c r="AB5861">
        <v>76</v>
      </c>
      <c r="AC5861">
        <v>75.92</v>
      </c>
      <c r="AE5861" s="74"/>
      <c r="AF5861" s="77"/>
      <c r="AH5861" s="497">
        <v>73.400000000000006</v>
      </c>
      <c r="AJ5861" s="42"/>
      <c r="AK5861" s="74"/>
      <c r="AL5861" s="77"/>
      <c r="AN5861" s="497">
        <v>69.259999999999991</v>
      </c>
      <c r="AP5861" s="42"/>
      <c r="AQ5861" s="74"/>
      <c r="AR5861" s="77"/>
      <c r="AT5861" s="497">
        <v>73.94</v>
      </c>
      <c r="AV5861" s="42"/>
      <c r="AW5861" s="74"/>
      <c r="AX5861" s="77"/>
      <c r="BA5861" s="497">
        <v>82.039999999999992</v>
      </c>
      <c r="BB5861" s="42"/>
      <c r="BC5861" s="74"/>
      <c r="BD5861" s="77"/>
      <c r="BF5861">
        <v>62.96</v>
      </c>
      <c r="BH5861" s="42"/>
      <c r="BI5861" s="74"/>
      <c r="BJ5861" s="77"/>
      <c r="BL5861" s="497">
        <v>71.06</v>
      </c>
      <c r="BN5861" s="42"/>
      <c r="BO5861" s="74"/>
      <c r="BP5861" s="77"/>
      <c r="BR5861" s="497">
        <v>78.62</v>
      </c>
      <c r="BT5861" s="42"/>
    </row>
    <row r="5862" spans="1:72" x14ac:dyDescent="0.25">
      <c r="A5862" s="90">
        <v>34943</v>
      </c>
      <c r="B5862" s="20">
        <v>0.5</v>
      </c>
      <c r="D5862">
        <v>78.98</v>
      </c>
      <c r="E5862" t="str">
        <f t="shared" si="218"/>
        <v>WEEKDAY</v>
      </c>
      <c r="F5862" t="e">
        <f t="shared" si="217"/>
        <v>#N/A</v>
      </c>
      <c r="G5862" s="74">
        <v>29099</v>
      </c>
      <c r="H5862" s="77">
        <v>0.5</v>
      </c>
      <c r="J5862">
        <v>78.98</v>
      </c>
      <c r="M5862" s="74">
        <v>37865</v>
      </c>
      <c r="N5862" s="77">
        <v>0.5</v>
      </c>
      <c r="P5862">
        <v>60.8</v>
      </c>
      <c r="S5862" s="74">
        <v>34943</v>
      </c>
      <c r="T5862" s="77">
        <v>0.5</v>
      </c>
      <c r="V5862">
        <v>86</v>
      </c>
      <c r="X5862" s="42"/>
      <c r="AB5862">
        <v>77.3</v>
      </c>
      <c r="AC5862">
        <v>77</v>
      </c>
      <c r="AE5862" s="74"/>
      <c r="AF5862" s="77"/>
      <c r="AH5862" s="497">
        <v>75.2</v>
      </c>
      <c r="AJ5862" s="42"/>
      <c r="AK5862" s="74"/>
      <c r="AL5862" s="77"/>
      <c r="AN5862" s="497">
        <v>71.599999999999994</v>
      </c>
      <c r="AP5862" s="42"/>
      <c r="AQ5862" s="74"/>
      <c r="AR5862" s="77"/>
      <c r="AT5862" s="497">
        <v>78.080000000000013</v>
      </c>
      <c r="AV5862" s="42"/>
      <c r="AW5862" s="74"/>
      <c r="AX5862" s="77"/>
      <c r="BA5862" s="497">
        <v>82.039999999999992</v>
      </c>
      <c r="BB5862" s="42"/>
      <c r="BC5862" s="74"/>
      <c r="BD5862" s="77"/>
      <c r="BF5862">
        <v>62.96</v>
      </c>
      <c r="BH5862" s="42"/>
      <c r="BI5862" s="74"/>
      <c r="BJ5862" s="77"/>
      <c r="BL5862" s="497">
        <v>69.98</v>
      </c>
      <c r="BN5862" s="42"/>
      <c r="BO5862" s="74"/>
      <c r="BP5862" s="77"/>
      <c r="BR5862" s="497">
        <v>80.42</v>
      </c>
      <c r="BT5862" s="42"/>
    </row>
    <row r="5863" spans="1:72" x14ac:dyDescent="0.25">
      <c r="A5863" s="90">
        <v>34943</v>
      </c>
      <c r="B5863" s="20">
        <v>0.54166666666666663</v>
      </c>
      <c r="D5863">
        <v>78.98</v>
      </c>
      <c r="E5863" t="str">
        <f t="shared" si="218"/>
        <v>WEEKDAY</v>
      </c>
      <c r="F5863" t="e">
        <f t="shared" si="217"/>
        <v>#N/A</v>
      </c>
      <c r="G5863" s="74">
        <v>29099</v>
      </c>
      <c r="H5863" s="77">
        <v>0.54166666666666663</v>
      </c>
      <c r="J5863">
        <v>80.06</v>
      </c>
      <c r="M5863" s="74">
        <v>37865</v>
      </c>
      <c r="N5863" s="77">
        <v>0.54166666666666663</v>
      </c>
      <c r="P5863">
        <v>60.8</v>
      </c>
      <c r="S5863" s="74">
        <v>34943</v>
      </c>
      <c r="T5863" s="77">
        <v>0.54166666666666663</v>
      </c>
      <c r="V5863">
        <v>87.080000000000013</v>
      </c>
      <c r="X5863" s="42"/>
      <c r="AB5863">
        <v>78.3</v>
      </c>
      <c r="AC5863">
        <v>78.98</v>
      </c>
      <c r="AE5863" s="74"/>
      <c r="AF5863" s="77"/>
      <c r="AH5863" s="497">
        <v>77</v>
      </c>
      <c r="AJ5863" s="42"/>
      <c r="AK5863" s="74"/>
      <c r="AL5863" s="77"/>
      <c r="AN5863" s="497">
        <v>73.94</v>
      </c>
      <c r="AP5863" s="42"/>
      <c r="AQ5863" s="74"/>
      <c r="AR5863" s="77"/>
      <c r="AT5863" s="497">
        <v>80.06</v>
      </c>
      <c r="AV5863" s="42"/>
      <c r="AW5863" s="74"/>
      <c r="AX5863" s="77"/>
      <c r="BA5863" s="497">
        <v>84.92</v>
      </c>
      <c r="BB5863" s="42"/>
      <c r="BC5863" s="74"/>
      <c r="BD5863" s="77"/>
      <c r="BF5863">
        <v>64.94</v>
      </c>
      <c r="BH5863" s="42"/>
      <c r="BI5863" s="74"/>
      <c r="BJ5863" s="77"/>
      <c r="BL5863" s="497">
        <v>73.039999999999992</v>
      </c>
      <c r="BN5863" s="42"/>
      <c r="BO5863" s="74"/>
      <c r="BP5863" s="77"/>
      <c r="BR5863" s="497">
        <v>82.039999999999992</v>
      </c>
      <c r="BT5863" s="42"/>
    </row>
    <row r="5864" spans="1:72" x14ac:dyDescent="0.25">
      <c r="A5864" s="90">
        <v>34943</v>
      </c>
      <c r="B5864" s="20">
        <v>0.58333333333333337</v>
      </c>
      <c r="D5864">
        <v>78.98</v>
      </c>
      <c r="E5864" t="str">
        <f t="shared" si="218"/>
        <v>WEEKDAY</v>
      </c>
      <c r="F5864" t="e">
        <f t="shared" si="217"/>
        <v>#N/A</v>
      </c>
      <c r="G5864" s="74">
        <v>29099</v>
      </c>
      <c r="H5864" s="77">
        <v>0.58333333333333337</v>
      </c>
      <c r="J5864">
        <v>79.7</v>
      </c>
      <c r="M5864" s="74">
        <v>37865</v>
      </c>
      <c r="N5864" s="77">
        <v>0.58333333333333337</v>
      </c>
      <c r="P5864">
        <v>60.8</v>
      </c>
      <c r="S5864" s="74">
        <v>34943</v>
      </c>
      <c r="T5864" s="77">
        <v>0.58333333333333337</v>
      </c>
      <c r="V5864">
        <v>87.98</v>
      </c>
      <c r="X5864" s="42"/>
      <c r="AB5864">
        <v>78.7</v>
      </c>
      <c r="AC5864">
        <v>80.06</v>
      </c>
      <c r="AE5864" s="74"/>
      <c r="AF5864" s="77"/>
      <c r="AH5864" s="497">
        <v>78.800000000000011</v>
      </c>
      <c r="AJ5864" s="42"/>
      <c r="AK5864" s="74"/>
      <c r="AL5864" s="77"/>
      <c r="AN5864" s="497">
        <v>73.22</v>
      </c>
      <c r="AP5864" s="42"/>
      <c r="AQ5864" s="74"/>
      <c r="AR5864" s="77"/>
      <c r="AT5864" s="497">
        <v>82.039999999999992</v>
      </c>
      <c r="AV5864" s="42"/>
      <c r="AW5864" s="74"/>
      <c r="AX5864" s="77"/>
      <c r="BA5864" s="497">
        <v>84.02</v>
      </c>
      <c r="BB5864" s="42"/>
      <c r="BC5864" s="74"/>
      <c r="BD5864" s="77"/>
      <c r="BF5864">
        <v>64.94</v>
      </c>
      <c r="BH5864" s="42"/>
      <c r="BI5864" s="74"/>
      <c r="BJ5864" s="77"/>
      <c r="BL5864" s="497">
        <v>71.960000000000008</v>
      </c>
      <c r="BN5864" s="42"/>
      <c r="BO5864" s="74"/>
      <c r="BP5864" s="77"/>
      <c r="BR5864" s="497">
        <v>81.680000000000007</v>
      </c>
      <c r="BT5864" s="42"/>
    </row>
    <row r="5865" spans="1:72" x14ac:dyDescent="0.25">
      <c r="A5865" s="90">
        <v>34943</v>
      </c>
      <c r="B5865" s="20">
        <v>0.625</v>
      </c>
      <c r="D5865">
        <v>80.06</v>
      </c>
      <c r="E5865" t="str">
        <f t="shared" si="218"/>
        <v>WEEKDAY</v>
      </c>
      <c r="F5865" t="e">
        <f t="shared" si="217"/>
        <v>#N/A</v>
      </c>
      <c r="G5865" s="74">
        <v>29099</v>
      </c>
      <c r="H5865" s="77">
        <v>0.625</v>
      </c>
      <c r="J5865">
        <v>79.34</v>
      </c>
      <c r="M5865" s="74">
        <v>37865</v>
      </c>
      <c r="N5865" s="77">
        <v>0.625</v>
      </c>
      <c r="P5865">
        <v>60.8</v>
      </c>
      <c r="S5865" s="74">
        <v>34943</v>
      </c>
      <c r="T5865" s="77">
        <v>0.625</v>
      </c>
      <c r="V5865">
        <v>87.080000000000013</v>
      </c>
      <c r="X5865" s="42"/>
      <c r="AB5865">
        <v>78.8</v>
      </c>
      <c r="AC5865">
        <v>77</v>
      </c>
      <c r="AE5865" s="74"/>
      <c r="AF5865" s="77"/>
      <c r="AH5865" s="497">
        <v>78.080000000000013</v>
      </c>
      <c r="AJ5865" s="42"/>
      <c r="AK5865" s="74"/>
      <c r="AL5865" s="77"/>
      <c r="AN5865" s="497">
        <v>72.680000000000007</v>
      </c>
      <c r="AP5865" s="42"/>
      <c r="AQ5865" s="74"/>
      <c r="AR5865" s="77"/>
      <c r="AT5865" s="497">
        <v>80.960000000000008</v>
      </c>
      <c r="AV5865" s="42"/>
      <c r="AW5865" s="74"/>
      <c r="AX5865" s="77"/>
      <c r="BA5865" s="497">
        <v>84.92</v>
      </c>
      <c r="BB5865" s="42"/>
      <c r="BC5865" s="74"/>
      <c r="BD5865" s="77"/>
      <c r="BF5865">
        <v>66.02</v>
      </c>
      <c r="BH5865" s="42"/>
      <c r="BI5865" s="74"/>
      <c r="BJ5865" s="77"/>
      <c r="BL5865" s="497">
        <v>71.06</v>
      </c>
      <c r="BN5865" s="42"/>
      <c r="BO5865" s="74"/>
      <c r="BP5865" s="77"/>
      <c r="BR5865" s="497">
        <v>81.319999999999993</v>
      </c>
      <c r="BT5865" s="42"/>
    </row>
    <row r="5866" spans="1:72" x14ac:dyDescent="0.25">
      <c r="A5866" s="90">
        <v>34943</v>
      </c>
      <c r="B5866" s="20">
        <v>0.66666666666666663</v>
      </c>
      <c r="D5866">
        <v>80.06</v>
      </c>
      <c r="E5866" t="str">
        <f t="shared" si="218"/>
        <v>WEEKDAY</v>
      </c>
      <c r="F5866" t="e">
        <f t="shared" si="217"/>
        <v>#N/A</v>
      </c>
      <c r="G5866" s="74">
        <v>29099</v>
      </c>
      <c r="H5866" s="77">
        <v>0.66666666666666663</v>
      </c>
      <c r="J5866">
        <v>78.98</v>
      </c>
      <c r="M5866" s="74">
        <v>37865</v>
      </c>
      <c r="N5866" s="77">
        <v>0.66666666666666663</v>
      </c>
      <c r="P5866">
        <v>60.8</v>
      </c>
      <c r="S5866" s="74">
        <v>34943</v>
      </c>
      <c r="T5866" s="77">
        <v>0.66666666666666663</v>
      </c>
      <c r="V5866">
        <v>82.94</v>
      </c>
      <c r="X5866" s="42"/>
      <c r="AB5866">
        <v>78.3</v>
      </c>
      <c r="AC5866">
        <v>75.92</v>
      </c>
      <c r="AE5866" s="74"/>
      <c r="AF5866" s="77"/>
      <c r="AH5866" s="497">
        <v>77</v>
      </c>
      <c r="AJ5866" s="42"/>
      <c r="AK5866" s="74"/>
      <c r="AL5866" s="77"/>
      <c r="AN5866" s="497">
        <v>71.960000000000008</v>
      </c>
      <c r="AP5866" s="42"/>
      <c r="AQ5866" s="74"/>
      <c r="AR5866" s="77"/>
      <c r="AT5866" s="497">
        <v>80.960000000000008</v>
      </c>
      <c r="AV5866" s="42"/>
      <c r="AW5866" s="74"/>
      <c r="AX5866" s="77"/>
      <c r="BA5866" s="497">
        <v>86</v>
      </c>
      <c r="BB5866" s="42"/>
      <c r="BC5866" s="74"/>
      <c r="BD5866" s="77"/>
      <c r="BF5866">
        <v>66.92</v>
      </c>
      <c r="BH5866" s="42"/>
      <c r="BI5866" s="74"/>
      <c r="BJ5866" s="77"/>
      <c r="BL5866" s="497">
        <v>69.080000000000013</v>
      </c>
      <c r="BN5866" s="42"/>
      <c r="BO5866" s="74"/>
      <c r="BP5866" s="77"/>
      <c r="BR5866" s="497">
        <v>80.960000000000008</v>
      </c>
      <c r="BT5866" s="42"/>
    </row>
    <row r="5867" spans="1:72" x14ac:dyDescent="0.25">
      <c r="A5867" s="90">
        <v>34943</v>
      </c>
      <c r="B5867" s="20">
        <v>0.70833333333333337</v>
      </c>
      <c r="D5867">
        <v>78.98</v>
      </c>
      <c r="E5867" t="str">
        <f t="shared" si="218"/>
        <v>WEEKDAY</v>
      </c>
      <c r="F5867" t="e">
        <f t="shared" ref="F5867:F5930" si="219">IF(E5867="WEEKDAY",VLOOKUP(B5867,$DD$19:$DG$42,2),IF(E5867="SATURDAY",VLOOKUP(B5867,$DD$19:$DG$42,3),VLOOKUP(B5867,$DD$19:$DG$42,4)))</f>
        <v>#N/A</v>
      </c>
      <c r="G5867" s="74">
        <v>29099</v>
      </c>
      <c r="H5867" s="77">
        <v>0.70833333333333337</v>
      </c>
      <c r="J5867">
        <v>77.36</v>
      </c>
      <c r="M5867" s="74">
        <v>37865</v>
      </c>
      <c r="N5867" s="77">
        <v>0.70833333333333337</v>
      </c>
      <c r="P5867">
        <v>60.8</v>
      </c>
      <c r="S5867" s="74">
        <v>34943</v>
      </c>
      <c r="T5867" s="77">
        <v>0.70833333333333337</v>
      </c>
      <c r="V5867">
        <v>82.039999999999992</v>
      </c>
      <c r="X5867" s="42"/>
      <c r="AB5867">
        <v>77.400000000000006</v>
      </c>
      <c r="AC5867">
        <v>78.98</v>
      </c>
      <c r="AE5867" s="74"/>
      <c r="AF5867" s="77"/>
      <c r="AH5867" s="497">
        <v>75.2</v>
      </c>
      <c r="AJ5867" s="42"/>
      <c r="AK5867" s="74"/>
      <c r="AL5867" s="77"/>
      <c r="AN5867" s="497">
        <v>68.900000000000006</v>
      </c>
      <c r="AP5867" s="42"/>
      <c r="AQ5867" s="74"/>
      <c r="AR5867" s="77"/>
      <c r="AT5867" s="497">
        <v>78.080000000000013</v>
      </c>
      <c r="AV5867" s="42"/>
      <c r="AW5867" s="74"/>
      <c r="AX5867" s="77"/>
      <c r="BA5867" s="497">
        <v>84.92</v>
      </c>
      <c r="BB5867" s="42"/>
      <c r="BC5867" s="74"/>
      <c r="BD5867" s="77"/>
      <c r="BF5867">
        <v>64.94</v>
      </c>
      <c r="BH5867" s="42"/>
      <c r="BI5867" s="74"/>
      <c r="BJ5867" s="77"/>
      <c r="BL5867" s="497">
        <v>69.080000000000013</v>
      </c>
      <c r="BN5867" s="42"/>
      <c r="BO5867" s="74"/>
      <c r="BP5867" s="77"/>
      <c r="BR5867" s="497">
        <v>78.98</v>
      </c>
      <c r="BT5867" s="42"/>
    </row>
    <row r="5868" spans="1:72" x14ac:dyDescent="0.25">
      <c r="A5868" s="90">
        <v>34943</v>
      </c>
      <c r="B5868" s="20">
        <v>0.75</v>
      </c>
      <c r="D5868">
        <v>78.080000000000013</v>
      </c>
      <c r="E5868" t="str">
        <f t="shared" si="218"/>
        <v>WEEKDAY</v>
      </c>
      <c r="F5868" t="e">
        <f t="shared" si="219"/>
        <v>#N/A</v>
      </c>
      <c r="G5868" s="74">
        <v>29099</v>
      </c>
      <c r="H5868" s="77">
        <v>0.75</v>
      </c>
      <c r="J5868">
        <v>75.56</v>
      </c>
      <c r="M5868" s="74">
        <v>37865</v>
      </c>
      <c r="N5868" s="77">
        <v>0.75</v>
      </c>
      <c r="P5868">
        <v>60.8</v>
      </c>
      <c r="S5868" s="74">
        <v>34943</v>
      </c>
      <c r="T5868" s="77">
        <v>0.75</v>
      </c>
      <c r="V5868">
        <v>82.039999999999992</v>
      </c>
      <c r="X5868" s="42"/>
      <c r="AB5868">
        <v>76.3</v>
      </c>
      <c r="AC5868">
        <v>75.02</v>
      </c>
      <c r="AE5868" s="74"/>
      <c r="AF5868" s="77"/>
      <c r="AH5868" s="497">
        <v>71.599999999999994</v>
      </c>
      <c r="AJ5868" s="42"/>
      <c r="AK5868" s="74"/>
      <c r="AL5868" s="77"/>
      <c r="AN5868" s="497">
        <v>66.02</v>
      </c>
      <c r="AP5868" s="42"/>
      <c r="AQ5868" s="74"/>
      <c r="AR5868" s="77"/>
      <c r="AT5868" s="497">
        <v>77</v>
      </c>
      <c r="AV5868" s="42"/>
      <c r="AW5868" s="74"/>
      <c r="AX5868" s="77"/>
      <c r="BA5868" s="497">
        <v>82.94</v>
      </c>
      <c r="BB5868" s="42"/>
      <c r="BC5868" s="74"/>
      <c r="BD5868" s="77"/>
      <c r="BF5868">
        <v>62.06</v>
      </c>
      <c r="BH5868" s="42"/>
      <c r="BI5868" s="74"/>
      <c r="BJ5868" s="77"/>
      <c r="BL5868" s="497">
        <v>66.92</v>
      </c>
      <c r="BN5868" s="42"/>
      <c r="BO5868" s="74"/>
      <c r="BP5868" s="77"/>
      <c r="BR5868" s="497">
        <v>77</v>
      </c>
      <c r="BT5868" s="42"/>
    </row>
    <row r="5869" spans="1:72" x14ac:dyDescent="0.25">
      <c r="A5869" s="90">
        <v>34943</v>
      </c>
      <c r="B5869" s="20">
        <v>0.79166666666666663</v>
      </c>
      <c r="D5869">
        <v>75.92</v>
      </c>
      <c r="E5869" t="str">
        <f t="shared" si="218"/>
        <v>WEEKDAY</v>
      </c>
      <c r="F5869" t="e">
        <f t="shared" si="219"/>
        <v>#N/A</v>
      </c>
      <c r="G5869" s="74">
        <v>29099</v>
      </c>
      <c r="H5869" s="77">
        <v>0.79166666666666663</v>
      </c>
      <c r="J5869">
        <v>73.94</v>
      </c>
      <c r="M5869" s="74">
        <v>37865</v>
      </c>
      <c r="N5869" s="77">
        <v>0.79166666666666663</v>
      </c>
      <c r="P5869">
        <v>60.8</v>
      </c>
      <c r="S5869" s="74">
        <v>34943</v>
      </c>
      <c r="T5869" s="77">
        <v>0.79166666666666663</v>
      </c>
      <c r="V5869">
        <v>80.960000000000008</v>
      </c>
      <c r="X5869" s="42"/>
      <c r="AB5869">
        <v>74.7</v>
      </c>
      <c r="AC5869">
        <v>71.960000000000008</v>
      </c>
      <c r="AE5869" s="74"/>
      <c r="AF5869" s="77"/>
      <c r="AH5869" s="497">
        <v>69.800000000000011</v>
      </c>
      <c r="AJ5869" s="42"/>
      <c r="AK5869" s="74"/>
      <c r="AL5869" s="77"/>
      <c r="AN5869" s="497">
        <v>62.96</v>
      </c>
      <c r="AP5869" s="42"/>
      <c r="AQ5869" s="74"/>
      <c r="AR5869" s="77"/>
      <c r="AT5869" s="497">
        <v>73.039999999999992</v>
      </c>
      <c r="AV5869" s="42"/>
      <c r="AW5869" s="74"/>
      <c r="AX5869" s="77"/>
      <c r="BA5869" s="497">
        <v>77</v>
      </c>
      <c r="BB5869" s="42"/>
      <c r="BC5869" s="74"/>
      <c r="BD5869" s="77"/>
      <c r="BF5869">
        <v>60.08</v>
      </c>
      <c r="BH5869" s="42"/>
      <c r="BI5869" s="74"/>
      <c r="BJ5869" s="77"/>
      <c r="BL5869" s="497">
        <v>64.039999999999992</v>
      </c>
      <c r="BN5869" s="42"/>
      <c r="BO5869" s="74"/>
      <c r="BP5869" s="77"/>
      <c r="BR5869" s="497">
        <v>75.02</v>
      </c>
      <c r="BT5869" s="42"/>
    </row>
    <row r="5870" spans="1:72" x14ac:dyDescent="0.25">
      <c r="A5870" s="90">
        <v>34943</v>
      </c>
      <c r="B5870" s="20">
        <v>0.83333333333333337</v>
      </c>
      <c r="D5870">
        <v>73.039999999999992</v>
      </c>
      <c r="E5870" t="str">
        <f t="shared" si="218"/>
        <v>WEEKDAY</v>
      </c>
      <c r="F5870" t="e">
        <f t="shared" si="219"/>
        <v>#N/A</v>
      </c>
      <c r="G5870" s="74">
        <v>29099</v>
      </c>
      <c r="H5870" s="77">
        <v>0.83333333333333337</v>
      </c>
      <c r="J5870">
        <v>73.22</v>
      </c>
      <c r="M5870" s="74">
        <v>37865</v>
      </c>
      <c r="N5870" s="77">
        <v>0.83333333333333337</v>
      </c>
      <c r="P5870">
        <v>60.8</v>
      </c>
      <c r="S5870" s="74">
        <v>34943</v>
      </c>
      <c r="T5870" s="77">
        <v>0.83333333333333337</v>
      </c>
      <c r="V5870">
        <v>80.06</v>
      </c>
      <c r="X5870" s="42"/>
      <c r="AB5870">
        <v>73.400000000000006</v>
      </c>
      <c r="AC5870">
        <v>68</v>
      </c>
      <c r="AE5870" s="74"/>
      <c r="AF5870" s="77"/>
      <c r="AH5870" s="497">
        <v>66.2</v>
      </c>
      <c r="AJ5870" s="42"/>
      <c r="AK5870" s="74"/>
      <c r="AL5870" s="77"/>
      <c r="AN5870" s="497">
        <v>62.06</v>
      </c>
      <c r="AP5870" s="42"/>
      <c r="AQ5870" s="74"/>
      <c r="AR5870" s="77"/>
      <c r="AT5870" s="497">
        <v>71.960000000000008</v>
      </c>
      <c r="AV5870" s="42"/>
      <c r="AW5870" s="74"/>
      <c r="AX5870" s="77"/>
      <c r="BA5870" s="497">
        <v>75.02</v>
      </c>
      <c r="BB5870" s="42"/>
      <c r="BC5870" s="74"/>
      <c r="BD5870" s="77"/>
      <c r="BF5870">
        <v>59</v>
      </c>
      <c r="BH5870" s="42"/>
      <c r="BI5870" s="74"/>
      <c r="BJ5870" s="77"/>
      <c r="BL5870" s="497">
        <v>62.06</v>
      </c>
      <c r="BN5870" s="42"/>
      <c r="BO5870" s="74"/>
      <c r="BP5870" s="77"/>
      <c r="BR5870" s="497">
        <v>74.300000000000011</v>
      </c>
      <c r="BT5870" s="42"/>
    </row>
    <row r="5871" spans="1:72" x14ac:dyDescent="0.25">
      <c r="A5871" s="90">
        <v>34943</v>
      </c>
      <c r="B5871" s="20">
        <v>0.875</v>
      </c>
      <c r="D5871">
        <v>69.98</v>
      </c>
      <c r="E5871" t="str">
        <f t="shared" si="218"/>
        <v>WEEKDAY</v>
      </c>
      <c r="F5871" t="e">
        <f t="shared" si="219"/>
        <v>#N/A</v>
      </c>
      <c r="G5871" s="74">
        <v>29099</v>
      </c>
      <c r="H5871" s="77">
        <v>0.875</v>
      </c>
      <c r="J5871">
        <v>72.680000000000007</v>
      </c>
      <c r="M5871" s="74">
        <v>37865</v>
      </c>
      <c r="N5871" s="77">
        <v>0.875</v>
      </c>
      <c r="P5871">
        <v>60.8</v>
      </c>
      <c r="S5871" s="74">
        <v>34943</v>
      </c>
      <c r="T5871" s="77">
        <v>0.875</v>
      </c>
      <c r="V5871">
        <v>80.06</v>
      </c>
      <c r="X5871" s="42"/>
      <c r="AB5871">
        <v>72.599999999999994</v>
      </c>
      <c r="AC5871">
        <v>66.02</v>
      </c>
      <c r="AE5871" s="74"/>
      <c r="AF5871" s="77"/>
      <c r="AH5871" s="497">
        <v>64.400000000000006</v>
      </c>
      <c r="AJ5871" s="42"/>
      <c r="AK5871" s="74"/>
      <c r="AL5871" s="77"/>
      <c r="AN5871" s="497">
        <v>60.980000000000004</v>
      </c>
      <c r="AP5871" s="42"/>
      <c r="AQ5871" s="74"/>
      <c r="AR5871" s="77"/>
      <c r="AT5871" s="497">
        <v>71.960000000000008</v>
      </c>
      <c r="AV5871" s="42"/>
      <c r="AW5871" s="74"/>
      <c r="AX5871" s="77"/>
      <c r="BA5871" s="497">
        <v>75.02</v>
      </c>
      <c r="BB5871" s="42"/>
      <c r="BC5871" s="74"/>
      <c r="BD5871" s="77"/>
      <c r="BF5871">
        <v>57.019999999999996</v>
      </c>
      <c r="BH5871" s="42"/>
      <c r="BI5871" s="74"/>
      <c r="BJ5871" s="77"/>
      <c r="BL5871" s="497">
        <v>60.980000000000004</v>
      </c>
      <c r="BN5871" s="42"/>
      <c r="BO5871" s="74"/>
      <c r="BP5871" s="77"/>
      <c r="BR5871" s="497">
        <v>73.759999999999991</v>
      </c>
      <c r="BT5871" s="42"/>
    </row>
    <row r="5872" spans="1:72" x14ac:dyDescent="0.25">
      <c r="A5872" s="90">
        <v>34943</v>
      </c>
      <c r="B5872" s="20">
        <v>0.91666666666666663</v>
      </c>
      <c r="D5872">
        <v>68</v>
      </c>
      <c r="E5872" t="str">
        <f t="shared" si="218"/>
        <v>WEEKDAY</v>
      </c>
      <c r="F5872" t="e">
        <f t="shared" si="219"/>
        <v>#N/A</v>
      </c>
      <c r="G5872" s="74">
        <v>29099</v>
      </c>
      <c r="H5872" s="77">
        <v>0.91666666666666663</v>
      </c>
      <c r="J5872">
        <v>71.960000000000008</v>
      </c>
      <c r="M5872" s="74">
        <v>37865</v>
      </c>
      <c r="N5872" s="77">
        <v>0.91666666666666663</v>
      </c>
      <c r="P5872">
        <v>60.8</v>
      </c>
      <c r="S5872" s="74">
        <v>34943</v>
      </c>
      <c r="T5872" s="77">
        <v>0.91666666666666663</v>
      </c>
      <c r="V5872">
        <v>78.98</v>
      </c>
      <c r="X5872" s="42"/>
      <c r="AB5872">
        <v>72</v>
      </c>
      <c r="AC5872">
        <v>68</v>
      </c>
      <c r="AE5872" s="74"/>
      <c r="AF5872" s="77"/>
      <c r="AH5872" s="497">
        <v>62.6</v>
      </c>
      <c r="AJ5872" s="42"/>
      <c r="AK5872" s="74"/>
      <c r="AL5872" s="77"/>
      <c r="AN5872" s="497">
        <v>60.08</v>
      </c>
      <c r="AP5872" s="42"/>
      <c r="AQ5872" s="74"/>
      <c r="AR5872" s="77"/>
      <c r="AT5872" s="497">
        <v>69.98</v>
      </c>
      <c r="AV5872" s="42"/>
      <c r="AW5872" s="74"/>
      <c r="AX5872" s="77"/>
      <c r="BA5872" s="497">
        <v>73.039999999999992</v>
      </c>
      <c r="BB5872" s="42"/>
      <c r="BC5872" s="74"/>
      <c r="BD5872" s="77"/>
      <c r="BF5872">
        <v>55.94</v>
      </c>
      <c r="BH5872" s="42"/>
      <c r="BI5872" s="74"/>
      <c r="BJ5872" s="77"/>
      <c r="BL5872" s="497">
        <v>60.08</v>
      </c>
      <c r="BN5872" s="42"/>
      <c r="BO5872" s="74"/>
      <c r="BP5872" s="77"/>
      <c r="BR5872" s="497">
        <v>73.039999999999992</v>
      </c>
      <c r="BT5872" s="42"/>
    </row>
    <row r="5873" spans="1:72" x14ac:dyDescent="0.25">
      <c r="A5873" s="90">
        <v>34943</v>
      </c>
      <c r="B5873" s="20">
        <v>0.95833333333333337</v>
      </c>
      <c r="D5873">
        <v>66.02</v>
      </c>
      <c r="E5873" t="str">
        <f t="shared" si="218"/>
        <v>WEEKDAY</v>
      </c>
      <c r="F5873" t="e">
        <f t="shared" si="219"/>
        <v>#N/A</v>
      </c>
      <c r="G5873" s="74">
        <v>29099</v>
      </c>
      <c r="H5873" s="77">
        <v>0.95833333333333337</v>
      </c>
      <c r="J5873">
        <v>71.599999999999994</v>
      </c>
      <c r="M5873" s="74">
        <v>37865</v>
      </c>
      <c r="N5873" s="77">
        <v>0.95833333333333337</v>
      </c>
      <c r="P5873">
        <v>60.8</v>
      </c>
      <c r="S5873" s="74">
        <v>34943</v>
      </c>
      <c r="T5873" s="77">
        <v>0.95833333333333337</v>
      </c>
      <c r="V5873">
        <v>78.98</v>
      </c>
      <c r="X5873" s="42"/>
      <c r="AB5873">
        <v>71.3</v>
      </c>
      <c r="AC5873">
        <v>64.039999999999992</v>
      </c>
      <c r="AE5873" s="74"/>
      <c r="AF5873" s="77"/>
      <c r="AH5873" s="497">
        <v>62.6</v>
      </c>
      <c r="AJ5873" s="42"/>
      <c r="AK5873" s="74"/>
      <c r="AL5873" s="77"/>
      <c r="AN5873" s="497">
        <v>59</v>
      </c>
      <c r="AP5873" s="42"/>
      <c r="AQ5873" s="74"/>
      <c r="AR5873" s="77"/>
      <c r="AT5873" s="497">
        <v>68</v>
      </c>
      <c r="AV5873" s="42"/>
      <c r="AW5873" s="74"/>
      <c r="AX5873" s="77"/>
      <c r="BA5873" s="497">
        <v>75.02</v>
      </c>
      <c r="BB5873" s="42"/>
      <c r="BC5873" s="74"/>
      <c r="BD5873" s="77"/>
      <c r="BF5873">
        <v>55.94</v>
      </c>
      <c r="BH5873" s="42"/>
      <c r="BI5873" s="74"/>
      <c r="BJ5873" s="77"/>
      <c r="BL5873" s="497">
        <v>60.08</v>
      </c>
      <c r="BN5873" s="42"/>
      <c r="BO5873" s="74"/>
      <c r="BP5873" s="77"/>
      <c r="BR5873" s="497">
        <v>72.680000000000007</v>
      </c>
      <c r="BT5873" s="42"/>
    </row>
    <row r="5874" spans="1:72" x14ac:dyDescent="0.25">
      <c r="A5874" s="90">
        <v>34943</v>
      </c>
      <c r="B5874" s="20">
        <v>1</v>
      </c>
      <c r="D5874">
        <v>64.94</v>
      </c>
      <c r="E5874" t="str">
        <f t="shared" si="218"/>
        <v>WEEKDAY</v>
      </c>
      <c r="F5874" t="e">
        <f t="shared" si="219"/>
        <v>#N/A</v>
      </c>
      <c r="G5874" s="74">
        <v>29099</v>
      </c>
      <c r="H5874" s="77">
        <v>1</v>
      </c>
      <c r="J5874">
        <v>71.42</v>
      </c>
      <c r="M5874" s="74">
        <v>37865</v>
      </c>
      <c r="N5874" s="80">
        <v>1</v>
      </c>
      <c r="P5874">
        <v>60.8</v>
      </c>
      <c r="S5874" s="74">
        <v>34943</v>
      </c>
      <c r="T5874" s="80">
        <v>1</v>
      </c>
      <c r="V5874">
        <v>77</v>
      </c>
      <c r="X5874" s="42"/>
      <c r="AB5874">
        <v>70.7</v>
      </c>
      <c r="AC5874">
        <v>64.94</v>
      </c>
      <c r="AE5874" s="74"/>
      <c r="AF5874" s="80"/>
      <c r="AH5874" s="497">
        <v>62.6</v>
      </c>
      <c r="AJ5874" s="42"/>
      <c r="AK5874" s="74"/>
      <c r="AL5874" s="80"/>
      <c r="AN5874" s="497">
        <v>58.1</v>
      </c>
      <c r="AP5874" s="42"/>
      <c r="AQ5874" s="74"/>
      <c r="AR5874" s="80"/>
      <c r="AT5874" s="497">
        <v>69.080000000000013</v>
      </c>
      <c r="AV5874" s="42"/>
      <c r="AW5874" s="74"/>
      <c r="AX5874" s="80"/>
      <c r="BA5874" s="497">
        <v>75.02</v>
      </c>
      <c r="BB5874" s="42"/>
      <c r="BC5874" s="74"/>
      <c r="BD5874" s="80"/>
      <c r="BF5874">
        <v>53.06</v>
      </c>
      <c r="BH5874" s="42"/>
      <c r="BI5874" s="74"/>
      <c r="BJ5874" s="80"/>
      <c r="BL5874" s="497">
        <v>59</v>
      </c>
      <c r="BN5874" s="42"/>
      <c r="BO5874" s="74"/>
      <c r="BP5874" s="80"/>
      <c r="BR5874" s="497">
        <v>72.319999999999993</v>
      </c>
      <c r="BT5874" s="42"/>
    </row>
    <row r="5875" spans="1:72" x14ac:dyDescent="0.25">
      <c r="A5875" s="90">
        <v>34944</v>
      </c>
      <c r="B5875" s="20">
        <v>4.1666666666666664E-2</v>
      </c>
      <c r="D5875">
        <v>62.96</v>
      </c>
      <c r="E5875" t="str">
        <f t="shared" si="218"/>
        <v>SATURDAY</v>
      </c>
      <c r="F5875" t="e">
        <f t="shared" si="219"/>
        <v>#N/A</v>
      </c>
      <c r="G5875" s="74">
        <v>29100</v>
      </c>
      <c r="H5875" s="77">
        <v>4.1666666666666664E-2</v>
      </c>
      <c r="J5875">
        <v>71.06</v>
      </c>
      <c r="M5875" s="74">
        <v>37866</v>
      </c>
      <c r="N5875" s="77">
        <v>4.1666666666666664E-2</v>
      </c>
      <c r="P5875">
        <v>60.8</v>
      </c>
      <c r="S5875" s="74">
        <v>34944</v>
      </c>
      <c r="T5875" s="77">
        <v>4.1666666666666664E-2</v>
      </c>
      <c r="V5875">
        <v>75.92</v>
      </c>
      <c r="X5875" s="42"/>
      <c r="AB5875">
        <v>70.099999999999994</v>
      </c>
      <c r="AC5875">
        <v>64.94</v>
      </c>
      <c r="AE5875" s="74"/>
      <c r="AF5875" s="77"/>
      <c r="AH5875" s="497">
        <v>60.8</v>
      </c>
      <c r="AJ5875" s="42"/>
      <c r="AK5875" s="74"/>
      <c r="AL5875" s="77"/>
      <c r="AN5875" s="497">
        <v>57.019999999999996</v>
      </c>
      <c r="AP5875" s="42"/>
      <c r="AQ5875" s="74"/>
      <c r="AR5875" s="77"/>
      <c r="AT5875" s="497">
        <v>68</v>
      </c>
      <c r="AV5875" s="42"/>
      <c r="AW5875" s="74"/>
      <c r="AX5875" s="77"/>
      <c r="BA5875" s="497">
        <v>71.06</v>
      </c>
      <c r="BB5875" s="42"/>
      <c r="BC5875" s="74"/>
      <c r="BD5875" s="77"/>
      <c r="BF5875">
        <v>53.06</v>
      </c>
      <c r="BH5875" s="42"/>
      <c r="BI5875" s="74"/>
      <c r="BJ5875" s="77"/>
      <c r="BL5875" s="497">
        <v>59</v>
      </c>
      <c r="BN5875" s="42"/>
      <c r="BO5875" s="74"/>
      <c r="BP5875" s="77"/>
      <c r="BR5875" s="497">
        <v>71.960000000000008</v>
      </c>
      <c r="BT5875" s="42"/>
    </row>
    <row r="5876" spans="1:72" x14ac:dyDescent="0.25">
      <c r="A5876" s="90">
        <v>34944</v>
      </c>
      <c r="B5876" s="20">
        <v>8.3333333333333329E-2</v>
      </c>
      <c r="D5876">
        <v>62.06</v>
      </c>
      <c r="E5876" t="str">
        <f t="shared" si="218"/>
        <v>SATURDAY</v>
      </c>
      <c r="F5876" t="e">
        <f t="shared" si="219"/>
        <v>#N/A</v>
      </c>
      <c r="G5876" s="74">
        <v>29100</v>
      </c>
      <c r="H5876" s="77">
        <v>8.3333333333333329E-2</v>
      </c>
      <c r="J5876">
        <v>70.34</v>
      </c>
      <c r="M5876" s="74">
        <v>37866</v>
      </c>
      <c r="N5876" s="77">
        <v>8.3333333333333329E-2</v>
      </c>
      <c r="P5876">
        <v>60.8</v>
      </c>
      <c r="S5876" s="74">
        <v>34944</v>
      </c>
      <c r="T5876" s="77">
        <v>8.3333333333333329E-2</v>
      </c>
      <c r="V5876">
        <v>75.02</v>
      </c>
      <c r="X5876" s="42"/>
      <c r="AB5876">
        <v>69.5</v>
      </c>
      <c r="AC5876">
        <v>64.039999999999992</v>
      </c>
      <c r="AE5876" s="74"/>
      <c r="AF5876" s="77"/>
      <c r="AH5876" s="497">
        <v>60.8</v>
      </c>
      <c r="AJ5876" s="42"/>
      <c r="AK5876" s="74"/>
      <c r="AL5876" s="77"/>
      <c r="AN5876" s="497">
        <v>56.66</v>
      </c>
      <c r="AP5876" s="42"/>
      <c r="AQ5876" s="74"/>
      <c r="AR5876" s="77"/>
      <c r="AT5876" s="497">
        <v>68</v>
      </c>
      <c r="AV5876" s="42"/>
      <c r="AW5876" s="74"/>
      <c r="AX5876" s="77"/>
      <c r="BA5876" s="497">
        <v>71.06</v>
      </c>
      <c r="BB5876" s="42"/>
      <c r="BC5876" s="74"/>
      <c r="BD5876" s="77"/>
      <c r="BF5876">
        <v>53.06</v>
      </c>
      <c r="BH5876" s="42"/>
      <c r="BI5876" s="74"/>
      <c r="BJ5876" s="77"/>
      <c r="BL5876" s="497">
        <v>57.92</v>
      </c>
      <c r="BN5876" s="42"/>
      <c r="BO5876" s="74"/>
      <c r="BP5876" s="77"/>
      <c r="BR5876" s="497">
        <v>71.960000000000008</v>
      </c>
      <c r="BT5876" s="42"/>
    </row>
    <row r="5877" spans="1:72" x14ac:dyDescent="0.25">
      <c r="A5877" s="90">
        <v>34944</v>
      </c>
      <c r="B5877" s="20">
        <v>0.125</v>
      </c>
      <c r="D5877">
        <v>60.980000000000004</v>
      </c>
      <c r="E5877" t="str">
        <f t="shared" si="218"/>
        <v>SATURDAY</v>
      </c>
      <c r="F5877" t="e">
        <f t="shared" si="219"/>
        <v>#N/A</v>
      </c>
      <c r="G5877" s="74">
        <v>29100</v>
      </c>
      <c r="H5877" s="77">
        <v>0.125</v>
      </c>
      <c r="J5877">
        <v>69.800000000000011</v>
      </c>
      <c r="M5877" s="74">
        <v>37866</v>
      </c>
      <c r="N5877" s="77">
        <v>0.125</v>
      </c>
      <c r="P5877">
        <v>60.8</v>
      </c>
      <c r="S5877" s="74">
        <v>34944</v>
      </c>
      <c r="T5877" s="77">
        <v>0.125</v>
      </c>
      <c r="V5877">
        <v>73.94</v>
      </c>
      <c r="X5877" s="42"/>
      <c r="AB5877">
        <v>69</v>
      </c>
      <c r="AC5877">
        <v>62.96</v>
      </c>
      <c r="AE5877" s="74"/>
      <c r="AF5877" s="77"/>
      <c r="AH5877" s="497">
        <v>60.8</v>
      </c>
      <c r="AJ5877" s="42"/>
      <c r="AK5877" s="74"/>
      <c r="AL5877" s="77"/>
      <c r="AN5877" s="497">
        <v>56.3</v>
      </c>
      <c r="AP5877" s="42"/>
      <c r="AQ5877" s="74"/>
      <c r="AR5877" s="77"/>
      <c r="AT5877" s="497">
        <v>66.92</v>
      </c>
      <c r="AV5877" s="42"/>
      <c r="AW5877" s="74"/>
      <c r="AX5877" s="77"/>
      <c r="BA5877" s="497">
        <v>68</v>
      </c>
      <c r="BB5877" s="42"/>
      <c r="BC5877" s="74"/>
      <c r="BD5877" s="77"/>
      <c r="BF5877">
        <v>51.980000000000004</v>
      </c>
      <c r="BH5877" s="42"/>
      <c r="BI5877" s="74"/>
      <c r="BJ5877" s="77"/>
      <c r="BL5877" s="497">
        <v>59</v>
      </c>
      <c r="BN5877" s="42"/>
      <c r="BO5877" s="74"/>
      <c r="BP5877" s="77"/>
      <c r="BR5877" s="497">
        <v>71.960000000000008</v>
      </c>
      <c r="BT5877" s="42"/>
    </row>
    <row r="5878" spans="1:72" x14ac:dyDescent="0.25">
      <c r="A5878" s="90">
        <v>34944</v>
      </c>
      <c r="B5878" s="20">
        <v>0.16666666666666666</v>
      </c>
      <c r="D5878">
        <v>60.980000000000004</v>
      </c>
      <c r="E5878" t="str">
        <f t="shared" si="218"/>
        <v>SATURDAY</v>
      </c>
      <c r="F5878" t="e">
        <f t="shared" si="219"/>
        <v>#N/A</v>
      </c>
      <c r="G5878" s="74">
        <v>29100</v>
      </c>
      <c r="H5878" s="77">
        <v>0.16666666666666666</v>
      </c>
      <c r="J5878">
        <v>69.080000000000013</v>
      </c>
      <c r="M5878" s="74">
        <v>37866</v>
      </c>
      <c r="N5878" s="77">
        <v>0.16666666666666666</v>
      </c>
      <c r="P5878">
        <v>60.8</v>
      </c>
      <c r="S5878" s="74">
        <v>34944</v>
      </c>
      <c r="T5878" s="77">
        <v>0.16666666666666666</v>
      </c>
      <c r="V5878">
        <v>73.039999999999992</v>
      </c>
      <c r="X5878" s="42"/>
      <c r="AB5878">
        <v>68.400000000000006</v>
      </c>
      <c r="AC5878">
        <v>62.06</v>
      </c>
      <c r="AE5878" s="74"/>
      <c r="AF5878" s="77"/>
      <c r="AH5878" s="497">
        <v>60.8</v>
      </c>
      <c r="AJ5878" s="42"/>
      <c r="AK5878" s="74"/>
      <c r="AL5878" s="77"/>
      <c r="AN5878" s="497">
        <v>55.94</v>
      </c>
      <c r="AP5878" s="42"/>
      <c r="AQ5878" s="74"/>
      <c r="AR5878" s="77"/>
      <c r="AT5878" s="497">
        <v>66.92</v>
      </c>
      <c r="AV5878" s="42"/>
      <c r="AW5878" s="74"/>
      <c r="AX5878" s="77"/>
      <c r="BA5878" s="497">
        <v>68</v>
      </c>
      <c r="BB5878" s="42"/>
      <c r="BC5878" s="74"/>
      <c r="BD5878" s="77"/>
      <c r="BF5878">
        <v>51.08</v>
      </c>
      <c r="BH5878" s="42"/>
      <c r="BI5878" s="74"/>
      <c r="BJ5878" s="77"/>
      <c r="BL5878" s="497">
        <v>57.92</v>
      </c>
      <c r="BN5878" s="42"/>
      <c r="BO5878" s="74"/>
      <c r="BP5878" s="77"/>
      <c r="BR5878" s="497">
        <v>71.960000000000008</v>
      </c>
      <c r="BT5878" s="42"/>
    </row>
    <row r="5879" spans="1:72" x14ac:dyDescent="0.25">
      <c r="A5879" s="90">
        <v>34944</v>
      </c>
      <c r="B5879" s="20">
        <v>0.20833333333333334</v>
      </c>
      <c r="D5879">
        <v>60.08</v>
      </c>
      <c r="E5879" t="str">
        <f t="shared" si="218"/>
        <v>SATURDAY</v>
      </c>
      <c r="F5879" t="e">
        <f t="shared" si="219"/>
        <v>#N/A</v>
      </c>
      <c r="G5879" s="74">
        <v>29100</v>
      </c>
      <c r="H5879" s="77">
        <v>0.20833333333333334</v>
      </c>
      <c r="J5879">
        <v>69.44</v>
      </c>
      <c r="M5879" s="74">
        <v>37866</v>
      </c>
      <c r="N5879" s="77">
        <v>0.20833333333333334</v>
      </c>
      <c r="P5879">
        <v>59</v>
      </c>
      <c r="S5879" s="74">
        <v>34944</v>
      </c>
      <c r="T5879" s="77">
        <v>0.20833333333333334</v>
      </c>
      <c r="V5879">
        <v>71.960000000000008</v>
      </c>
      <c r="X5879" s="42"/>
      <c r="AB5879">
        <v>67.900000000000006</v>
      </c>
      <c r="AC5879">
        <v>60.980000000000004</v>
      </c>
      <c r="AE5879" s="74"/>
      <c r="AF5879" s="77"/>
      <c r="AH5879" s="497">
        <v>60.8</v>
      </c>
      <c r="AJ5879" s="42"/>
      <c r="AK5879" s="74"/>
      <c r="AL5879" s="77"/>
      <c r="AN5879" s="497">
        <v>55.58</v>
      </c>
      <c r="AP5879" s="42"/>
      <c r="AQ5879" s="74"/>
      <c r="AR5879" s="77"/>
      <c r="AT5879" s="497">
        <v>66.02</v>
      </c>
      <c r="AV5879" s="42"/>
      <c r="AW5879" s="74"/>
      <c r="AX5879" s="77"/>
      <c r="BA5879" s="497">
        <v>68</v>
      </c>
      <c r="BB5879" s="42"/>
      <c r="BC5879" s="74"/>
      <c r="BD5879" s="77"/>
      <c r="BF5879">
        <v>51.08</v>
      </c>
      <c r="BH5879" s="42"/>
      <c r="BI5879" s="74"/>
      <c r="BJ5879" s="77"/>
      <c r="BL5879" s="497">
        <v>57.92</v>
      </c>
      <c r="BN5879" s="42"/>
      <c r="BO5879" s="74"/>
      <c r="BP5879" s="77"/>
      <c r="BR5879" s="497">
        <v>72.319999999999993</v>
      </c>
      <c r="BT5879" s="42"/>
    </row>
    <row r="5880" spans="1:72" x14ac:dyDescent="0.25">
      <c r="A5880" s="90">
        <v>34944</v>
      </c>
      <c r="B5880" s="20">
        <v>0.25</v>
      </c>
      <c r="D5880">
        <v>60.08</v>
      </c>
      <c r="E5880" t="str">
        <f t="shared" si="218"/>
        <v>SATURDAY</v>
      </c>
      <c r="F5880" t="e">
        <f t="shared" si="219"/>
        <v>#N/A</v>
      </c>
      <c r="G5880" s="74">
        <v>29100</v>
      </c>
      <c r="H5880" s="77">
        <v>0.25</v>
      </c>
      <c r="J5880">
        <v>69.62</v>
      </c>
      <c r="M5880" s="74">
        <v>37866</v>
      </c>
      <c r="N5880" s="77">
        <v>0.25</v>
      </c>
      <c r="P5880">
        <v>57.2</v>
      </c>
      <c r="S5880" s="74">
        <v>34944</v>
      </c>
      <c r="T5880" s="77">
        <v>0.25</v>
      </c>
      <c r="V5880">
        <v>71.06</v>
      </c>
      <c r="X5880" s="42"/>
      <c r="AB5880">
        <v>67.7</v>
      </c>
      <c r="AC5880">
        <v>60.980000000000004</v>
      </c>
      <c r="AE5880" s="74"/>
      <c r="AF5880" s="77"/>
      <c r="AH5880" s="497">
        <v>59</v>
      </c>
      <c r="AJ5880" s="42"/>
      <c r="AK5880" s="74"/>
      <c r="AL5880" s="77"/>
      <c r="AN5880" s="497">
        <v>55.400000000000006</v>
      </c>
      <c r="AP5880" s="42"/>
      <c r="AQ5880" s="74"/>
      <c r="AR5880" s="77"/>
      <c r="AT5880" s="497">
        <v>66.02</v>
      </c>
      <c r="AV5880" s="42"/>
      <c r="AW5880" s="74"/>
      <c r="AX5880" s="77"/>
      <c r="BA5880" s="497">
        <v>68</v>
      </c>
      <c r="BB5880" s="42"/>
      <c r="BC5880" s="74"/>
      <c r="BD5880" s="77"/>
      <c r="BF5880">
        <v>50</v>
      </c>
      <c r="BH5880" s="42"/>
      <c r="BI5880" s="74"/>
      <c r="BJ5880" s="77"/>
      <c r="BL5880" s="497">
        <v>59</v>
      </c>
      <c r="BN5880" s="42"/>
      <c r="BO5880" s="74"/>
      <c r="BP5880" s="77"/>
      <c r="BR5880" s="497">
        <v>72.680000000000007</v>
      </c>
      <c r="BT5880" s="42"/>
    </row>
    <row r="5881" spans="1:72" x14ac:dyDescent="0.25">
      <c r="A5881" s="90">
        <v>34944</v>
      </c>
      <c r="B5881" s="20">
        <v>0.29166666666666669</v>
      </c>
      <c r="D5881">
        <v>60.980000000000004</v>
      </c>
      <c r="E5881" t="str">
        <f t="shared" si="218"/>
        <v>SATURDAY</v>
      </c>
      <c r="F5881" t="e">
        <f t="shared" si="219"/>
        <v>#N/A</v>
      </c>
      <c r="G5881" s="74">
        <v>29100</v>
      </c>
      <c r="H5881" s="77">
        <v>0.29166666666666669</v>
      </c>
      <c r="J5881">
        <v>69.98</v>
      </c>
      <c r="M5881" s="74">
        <v>37866</v>
      </c>
      <c r="N5881" s="77">
        <v>0.29166666666666669</v>
      </c>
      <c r="P5881">
        <v>57.2</v>
      </c>
      <c r="S5881" s="74">
        <v>34944</v>
      </c>
      <c r="T5881" s="77">
        <v>0.29166666666666669</v>
      </c>
      <c r="V5881">
        <v>71.06</v>
      </c>
      <c r="X5881" s="42"/>
      <c r="AB5881">
        <v>67.8</v>
      </c>
      <c r="AC5881">
        <v>66.02</v>
      </c>
      <c r="AE5881" s="74"/>
      <c r="AF5881" s="77"/>
      <c r="AH5881" s="497">
        <v>62.6</v>
      </c>
      <c r="AJ5881" s="42"/>
      <c r="AK5881" s="74"/>
      <c r="AL5881" s="77"/>
      <c r="AN5881" s="497">
        <v>55.040000000000006</v>
      </c>
      <c r="AP5881" s="42"/>
      <c r="AQ5881" s="74"/>
      <c r="AR5881" s="77"/>
      <c r="AT5881" s="497">
        <v>68</v>
      </c>
      <c r="AV5881" s="42"/>
      <c r="AW5881" s="74"/>
      <c r="AX5881" s="77"/>
      <c r="BA5881" s="497">
        <v>71.960000000000008</v>
      </c>
      <c r="BB5881" s="42"/>
      <c r="BC5881" s="74"/>
      <c r="BD5881" s="77"/>
      <c r="BF5881">
        <v>53.06</v>
      </c>
      <c r="BH5881" s="42"/>
      <c r="BI5881" s="74"/>
      <c r="BJ5881" s="77"/>
      <c r="BL5881" s="497">
        <v>62.06</v>
      </c>
      <c r="BN5881" s="42"/>
      <c r="BO5881" s="74"/>
      <c r="BP5881" s="77"/>
      <c r="BR5881" s="497">
        <v>73.039999999999992</v>
      </c>
      <c r="BT5881" s="42"/>
    </row>
    <row r="5882" spans="1:72" x14ac:dyDescent="0.25">
      <c r="A5882" s="90">
        <v>34944</v>
      </c>
      <c r="B5882" s="20">
        <v>0.33333333333333331</v>
      </c>
      <c r="D5882">
        <v>64.039999999999992</v>
      </c>
      <c r="E5882" t="str">
        <f t="shared" si="218"/>
        <v>SATURDAY</v>
      </c>
      <c r="F5882" t="e">
        <f t="shared" si="219"/>
        <v>#N/A</v>
      </c>
      <c r="G5882" s="74">
        <v>29100</v>
      </c>
      <c r="H5882" s="77">
        <v>0.33333333333333331</v>
      </c>
      <c r="J5882">
        <v>71.240000000000009</v>
      </c>
      <c r="M5882" s="74">
        <v>37866</v>
      </c>
      <c r="N5882" s="77">
        <v>0.33333333333333331</v>
      </c>
      <c r="P5882">
        <v>57.2</v>
      </c>
      <c r="S5882" s="74">
        <v>34944</v>
      </c>
      <c r="T5882" s="77">
        <v>0.33333333333333331</v>
      </c>
      <c r="V5882">
        <v>71.06</v>
      </c>
      <c r="X5882" s="42"/>
      <c r="AB5882">
        <v>69.8</v>
      </c>
      <c r="AC5882">
        <v>69.080000000000013</v>
      </c>
      <c r="AE5882" s="74"/>
      <c r="AF5882" s="77"/>
      <c r="AH5882" s="497">
        <v>68</v>
      </c>
      <c r="AJ5882" s="42"/>
      <c r="AK5882" s="74"/>
      <c r="AL5882" s="77"/>
      <c r="AN5882" s="497">
        <v>55.76</v>
      </c>
      <c r="AP5882" s="42"/>
      <c r="AQ5882" s="74"/>
      <c r="AR5882" s="77"/>
      <c r="AT5882" s="497">
        <v>69.080000000000013</v>
      </c>
      <c r="AV5882" s="42"/>
      <c r="AW5882" s="74"/>
      <c r="AX5882" s="77"/>
      <c r="BA5882" s="497">
        <v>73.94</v>
      </c>
      <c r="BB5882" s="42"/>
      <c r="BC5882" s="74"/>
      <c r="BD5882" s="77"/>
      <c r="BF5882">
        <v>57.019999999999996</v>
      </c>
      <c r="BH5882" s="42"/>
      <c r="BI5882" s="74"/>
      <c r="BJ5882" s="77"/>
      <c r="BL5882" s="497">
        <v>62.96</v>
      </c>
      <c r="BN5882" s="42"/>
      <c r="BO5882" s="74"/>
      <c r="BP5882" s="77"/>
      <c r="BR5882" s="497">
        <v>73.94</v>
      </c>
      <c r="BT5882" s="42"/>
    </row>
    <row r="5883" spans="1:72" x14ac:dyDescent="0.25">
      <c r="A5883" s="90">
        <v>34944</v>
      </c>
      <c r="B5883" s="20">
        <v>0.375</v>
      </c>
      <c r="D5883">
        <v>64.94</v>
      </c>
      <c r="E5883" t="str">
        <f t="shared" si="218"/>
        <v>SATURDAY</v>
      </c>
      <c r="F5883" t="e">
        <f t="shared" si="219"/>
        <v>#N/A</v>
      </c>
      <c r="G5883" s="74">
        <v>29100</v>
      </c>
      <c r="H5883" s="77">
        <v>0.375</v>
      </c>
      <c r="J5883">
        <v>72.680000000000007</v>
      </c>
      <c r="M5883" s="74">
        <v>37866</v>
      </c>
      <c r="N5883" s="77">
        <v>0.375</v>
      </c>
      <c r="P5883">
        <v>57.2</v>
      </c>
      <c r="S5883" s="74">
        <v>34944</v>
      </c>
      <c r="T5883" s="77">
        <v>0.375</v>
      </c>
      <c r="V5883">
        <v>73.039999999999992</v>
      </c>
      <c r="X5883" s="42"/>
      <c r="AB5883">
        <v>72</v>
      </c>
      <c r="AC5883">
        <v>71.06</v>
      </c>
      <c r="AE5883" s="74"/>
      <c r="AF5883" s="77"/>
      <c r="AH5883" s="497">
        <v>73.400000000000006</v>
      </c>
      <c r="AJ5883" s="42"/>
      <c r="AK5883" s="74"/>
      <c r="AL5883" s="77"/>
      <c r="AN5883" s="497">
        <v>56.3</v>
      </c>
      <c r="AP5883" s="42"/>
      <c r="AQ5883" s="74"/>
      <c r="AR5883" s="77"/>
      <c r="AT5883" s="497">
        <v>71.960000000000008</v>
      </c>
      <c r="AV5883" s="42"/>
      <c r="AW5883" s="74"/>
      <c r="AX5883" s="77"/>
      <c r="BA5883" s="497">
        <v>75.92</v>
      </c>
      <c r="BB5883" s="42"/>
      <c r="BC5883" s="74"/>
      <c r="BD5883" s="77"/>
      <c r="BF5883">
        <v>59</v>
      </c>
      <c r="BH5883" s="42"/>
      <c r="BI5883" s="74"/>
      <c r="BJ5883" s="77"/>
      <c r="BL5883" s="497">
        <v>64.039999999999992</v>
      </c>
      <c r="BN5883" s="42"/>
      <c r="BO5883" s="74"/>
      <c r="BP5883" s="77"/>
      <c r="BR5883" s="497">
        <v>75.02</v>
      </c>
      <c r="BT5883" s="42"/>
    </row>
    <row r="5884" spans="1:72" x14ac:dyDescent="0.25">
      <c r="A5884" s="90">
        <v>34944</v>
      </c>
      <c r="B5884" s="20">
        <v>0.41666666666666669</v>
      </c>
      <c r="D5884">
        <v>66.92</v>
      </c>
      <c r="E5884" t="str">
        <f t="shared" si="218"/>
        <v>SATURDAY</v>
      </c>
      <c r="F5884" t="e">
        <f t="shared" si="219"/>
        <v>#N/A</v>
      </c>
      <c r="G5884" s="74">
        <v>29100</v>
      </c>
      <c r="H5884" s="77">
        <v>0.41666666666666669</v>
      </c>
      <c r="J5884">
        <v>73.94</v>
      </c>
      <c r="M5884" s="74">
        <v>37866</v>
      </c>
      <c r="N5884" s="77">
        <v>0.41666666666666669</v>
      </c>
      <c r="P5884">
        <v>57.2</v>
      </c>
      <c r="S5884" s="74">
        <v>34944</v>
      </c>
      <c r="T5884" s="77">
        <v>0.41666666666666669</v>
      </c>
      <c r="V5884">
        <v>75.02</v>
      </c>
      <c r="X5884" s="42"/>
      <c r="AB5884">
        <v>74</v>
      </c>
      <c r="AC5884">
        <v>73.039999999999992</v>
      </c>
      <c r="AE5884" s="74"/>
      <c r="AF5884" s="77"/>
      <c r="AH5884" s="497">
        <v>77</v>
      </c>
      <c r="AJ5884" s="42"/>
      <c r="AK5884" s="74"/>
      <c r="AL5884" s="77"/>
      <c r="AN5884" s="497">
        <v>57.019999999999996</v>
      </c>
      <c r="AP5884" s="42"/>
      <c r="AQ5884" s="74"/>
      <c r="AR5884" s="77"/>
      <c r="AT5884" s="497">
        <v>78.080000000000013</v>
      </c>
      <c r="AV5884" s="42"/>
      <c r="AW5884" s="74"/>
      <c r="AX5884" s="77"/>
      <c r="BA5884" s="497">
        <v>77</v>
      </c>
      <c r="BB5884" s="42"/>
      <c r="BC5884" s="74"/>
      <c r="BD5884" s="77"/>
      <c r="BF5884">
        <v>62.06</v>
      </c>
      <c r="BH5884" s="42"/>
      <c r="BI5884" s="74"/>
      <c r="BJ5884" s="77"/>
      <c r="BL5884" s="497">
        <v>60.8</v>
      </c>
      <c r="BN5884" s="42"/>
      <c r="BO5884" s="74"/>
      <c r="BP5884" s="77"/>
      <c r="BR5884" s="497">
        <v>75.92</v>
      </c>
      <c r="BT5884" s="42"/>
    </row>
    <row r="5885" spans="1:72" x14ac:dyDescent="0.25">
      <c r="A5885" s="90">
        <v>34944</v>
      </c>
      <c r="B5885" s="20">
        <v>0.45833333333333331</v>
      </c>
      <c r="D5885">
        <v>68</v>
      </c>
      <c r="E5885" t="str">
        <f t="shared" si="218"/>
        <v>SATURDAY</v>
      </c>
      <c r="F5885" t="e">
        <f t="shared" si="219"/>
        <v>#N/A</v>
      </c>
      <c r="G5885" s="74">
        <v>29100</v>
      </c>
      <c r="H5885" s="77">
        <v>0.45833333333333331</v>
      </c>
      <c r="J5885">
        <v>74.66</v>
      </c>
      <c r="M5885" s="74">
        <v>37866</v>
      </c>
      <c r="N5885" s="77">
        <v>0.45833333333333331</v>
      </c>
      <c r="P5885">
        <v>57.2</v>
      </c>
      <c r="S5885" s="74">
        <v>34944</v>
      </c>
      <c r="T5885" s="77">
        <v>0.45833333333333331</v>
      </c>
      <c r="V5885">
        <v>77</v>
      </c>
      <c r="X5885" s="42"/>
      <c r="AB5885">
        <v>75.8</v>
      </c>
      <c r="AC5885">
        <v>73.94</v>
      </c>
      <c r="AE5885" s="74"/>
      <c r="AF5885" s="77"/>
      <c r="AH5885" s="497">
        <v>78.800000000000011</v>
      </c>
      <c r="AJ5885" s="42"/>
      <c r="AK5885" s="74"/>
      <c r="AL5885" s="77"/>
      <c r="AN5885" s="497">
        <v>58.1</v>
      </c>
      <c r="AP5885" s="42"/>
      <c r="AQ5885" s="74"/>
      <c r="AR5885" s="77"/>
      <c r="AT5885" s="497">
        <v>80.960000000000008</v>
      </c>
      <c r="AV5885" s="42"/>
      <c r="AW5885" s="74"/>
      <c r="AX5885" s="77"/>
      <c r="BA5885" s="497">
        <v>80.06</v>
      </c>
      <c r="BB5885" s="42"/>
      <c r="BC5885" s="74"/>
      <c r="BD5885" s="77"/>
      <c r="BF5885">
        <v>62.96</v>
      </c>
      <c r="BH5885" s="42"/>
      <c r="BI5885" s="74"/>
      <c r="BJ5885" s="77"/>
      <c r="BL5885" s="497">
        <v>64.94</v>
      </c>
      <c r="BN5885" s="42"/>
      <c r="BO5885" s="74"/>
      <c r="BP5885" s="77"/>
      <c r="BR5885" s="497">
        <v>77.36</v>
      </c>
      <c r="BT5885" s="42"/>
    </row>
    <row r="5886" spans="1:72" x14ac:dyDescent="0.25">
      <c r="A5886" s="90">
        <v>34944</v>
      </c>
      <c r="B5886" s="20">
        <v>0.5</v>
      </c>
      <c r="D5886">
        <v>69.98</v>
      </c>
      <c r="E5886" t="str">
        <f t="shared" si="218"/>
        <v>SATURDAY</v>
      </c>
      <c r="F5886" t="e">
        <f t="shared" si="219"/>
        <v>#N/A</v>
      </c>
      <c r="G5886" s="74">
        <v>29100</v>
      </c>
      <c r="H5886" s="77">
        <v>0.5</v>
      </c>
      <c r="J5886">
        <v>75.2</v>
      </c>
      <c r="M5886" s="74">
        <v>37866</v>
      </c>
      <c r="N5886" s="77">
        <v>0.5</v>
      </c>
      <c r="P5886">
        <v>59</v>
      </c>
      <c r="S5886" s="74">
        <v>34944</v>
      </c>
      <c r="T5886" s="77">
        <v>0.5</v>
      </c>
      <c r="V5886">
        <v>75.92</v>
      </c>
      <c r="X5886" s="42"/>
      <c r="AB5886">
        <v>77.099999999999994</v>
      </c>
      <c r="AC5886">
        <v>73.039999999999992</v>
      </c>
      <c r="AE5886" s="74"/>
      <c r="AF5886" s="77"/>
      <c r="AH5886" s="497">
        <v>80.599999999999994</v>
      </c>
      <c r="AJ5886" s="42"/>
      <c r="AK5886" s="74"/>
      <c r="AL5886" s="77"/>
      <c r="AN5886" s="497">
        <v>59</v>
      </c>
      <c r="AP5886" s="42"/>
      <c r="AQ5886" s="74"/>
      <c r="AR5886" s="77"/>
      <c r="AT5886" s="497">
        <v>80.960000000000008</v>
      </c>
      <c r="AV5886" s="42"/>
      <c r="AW5886" s="74"/>
      <c r="AX5886" s="77"/>
      <c r="BA5886" s="497">
        <v>78.98</v>
      </c>
      <c r="BB5886" s="42"/>
      <c r="BC5886" s="74"/>
      <c r="BD5886" s="77"/>
      <c r="BF5886">
        <v>60.980000000000004</v>
      </c>
      <c r="BH5886" s="42"/>
      <c r="BI5886" s="74"/>
      <c r="BJ5886" s="77"/>
      <c r="BL5886" s="497">
        <v>66.92</v>
      </c>
      <c r="BN5886" s="42"/>
      <c r="BO5886" s="74"/>
      <c r="BP5886" s="77"/>
      <c r="BR5886" s="497">
        <v>78.62</v>
      </c>
      <c r="BT5886" s="42"/>
    </row>
    <row r="5887" spans="1:72" x14ac:dyDescent="0.25">
      <c r="A5887" s="90">
        <v>34944</v>
      </c>
      <c r="B5887" s="20">
        <v>0.54166666666666663</v>
      </c>
      <c r="D5887">
        <v>69.98</v>
      </c>
      <c r="E5887" t="str">
        <f t="shared" si="218"/>
        <v>SATURDAY</v>
      </c>
      <c r="F5887" t="e">
        <f t="shared" si="219"/>
        <v>#N/A</v>
      </c>
      <c r="G5887" s="74">
        <v>29100</v>
      </c>
      <c r="H5887" s="77">
        <v>0.54166666666666663</v>
      </c>
      <c r="J5887">
        <v>75.92</v>
      </c>
      <c r="M5887" s="74">
        <v>37866</v>
      </c>
      <c r="N5887" s="77">
        <v>0.54166666666666663</v>
      </c>
      <c r="P5887">
        <v>60.8</v>
      </c>
      <c r="S5887" s="74">
        <v>34944</v>
      </c>
      <c r="T5887" s="77">
        <v>0.54166666666666663</v>
      </c>
      <c r="V5887">
        <v>77</v>
      </c>
      <c r="X5887" s="42"/>
      <c r="AB5887">
        <v>78</v>
      </c>
      <c r="AC5887">
        <v>73.039999999999992</v>
      </c>
      <c r="AE5887" s="74"/>
      <c r="AF5887" s="77"/>
      <c r="AH5887" s="497">
        <v>82.4</v>
      </c>
      <c r="AJ5887" s="42"/>
      <c r="AK5887" s="74"/>
      <c r="AL5887" s="77"/>
      <c r="AN5887" s="497">
        <v>60.08</v>
      </c>
      <c r="AP5887" s="42"/>
      <c r="AQ5887" s="74"/>
      <c r="AR5887" s="77"/>
      <c r="AT5887" s="497">
        <v>82.94</v>
      </c>
      <c r="AV5887" s="42"/>
      <c r="AW5887" s="74"/>
      <c r="AX5887" s="77"/>
      <c r="BA5887" s="497">
        <v>78.080000000000013</v>
      </c>
      <c r="BB5887" s="42"/>
      <c r="BC5887" s="74"/>
      <c r="BD5887" s="77"/>
      <c r="BF5887">
        <v>64.039999999999992</v>
      </c>
      <c r="BH5887" s="42"/>
      <c r="BI5887" s="74"/>
      <c r="BJ5887" s="77"/>
      <c r="BL5887" s="497">
        <v>68</v>
      </c>
      <c r="BN5887" s="42"/>
      <c r="BO5887" s="74"/>
      <c r="BP5887" s="77"/>
      <c r="BR5887" s="497">
        <v>80.06</v>
      </c>
      <c r="BT5887" s="42"/>
    </row>
    <row r="5888" spans="1:72" x14ac:dyDescent="0.25">
      <c r="A5888" s="90">
        <v>34944</v>
      </c>
      <c r="B5888" s="20">
        <v>0.58333333333333337</v>
      </c>
      <c r="D5888">
        <v>71.960000000000008</v>
      </c>
      <c r="E5888" t="str">
        <f t="shared" si="218"/>
        <v>SATURDAY</v>
      </c>
      <c r="F5888" t="e">
        <f t="shared" si="219"/>
        <v>#N/A</v>
      </c>
      <c r="G5888" s="74">
        <v>29100</v>
      </c>
      <c r="H5888" s="77">
        <v>0.58333333333333337</v>
      </c>
      <c r="J5888">
        <v>75.92</v>
      </c>
      <c r="M5888" s="74">
        <v>37866</v>
      </c>
      <c r="N5888" s="77">
        <v>0.58333333333333337</v>
      </c>
      <c r="P5888">
        <v>60.8</v>
      </c>
      <c r="S5888" s="74">
        <v>34944</v>
      </c>
      <c r="T5888" s="77">
        <v>0.58333333333333337</v>
      </c>
      <c r="V5888">
        <v>78.98</v>
      </c>
      <c r="X5888" s="42"/>
      <c r="AB5888">
        <v>78.5</v>
      </c>
      <c r="AC5888">
        <v>73.039999999999992</v>
      </c>
      <c r="AE5888" s="74"/>
      <c r="AF5888" s="77"/>
      <c r="AH5888" s="497">
        <v>83.84</v>
      </c>
      <c r="AJ5888" s="42"/>
      <c r="AK5888" s="74"/>
      <c r="AL5888" s="77"/>
      <c r="AN5888" s="497">
        <v>60.8</v>
      </c>
      <c r="AP5888" s="42"/>
      <c r="AQ5888" s="74"/>
      <c r="AR5888" s="77"/>
      <c r="AT5888" s="497">
        <v>86</v>
      </c>
      <c r="AV5888" s="42"/>
      <c r="AW5888" s="74"/>
      <c r="AX5888" s="77"/>
      <c r="BA5888" s="497">
        <v>75.92</v>
      </c>
      <c r="BB5888" s="42"/>
      <c r="BC5888" s="74"/>
      <c r="BD5888" s="77"/>
      <c r="BF5888">
        <v>64.039999999999992</v>
      </c>
      <c r="BH5888" s="42"/>
      <c r="BI5888" s="74"/>
      <c r="BJ5888" s="77"/>
      <c r="BL5888" s="497">
        <v>71.06</v>
      </c>
      <c r="BN5888" s="42"/>
      <c r="BO5888" s="74"/>
      <c r="BP5888" s="77"/>
      <c r="BR5888" s="497">
        <v>78.080000000000013</v>
      </c>
      <c r="BT5888" s="42"/>
    </row>
    <row r="5889" spans="1:72" x14ac:dyDescent="0.25">
      <c r="A5889" s="90">
        <v>34944</v>
      </c>
      <c r="B5889" s="20">
        <v>0.625</v>
      </c>
      <c r="D5889">
        <v>73.039999999999992</v>
      </c>
      <c r="E5889" t="str">
        <f t="shared" si="218"/>
        <v>SATURDAY</v>
      </c>
      <c r="F5889" t="e">
        <f t="shared" si="219"/>
        <v>#N/A</v>
      </c>
      <c r="G5889" s="74">
        <v>29100</v>
      </c>
      <c r="H5889" s="77">
        <v>0.625</v>
      </c>
      <c r="J5889">
        <v>75.92</v>
      </c>
      <c r="M5889" s="74">
        <v>37866</v>
      </c>
      <c r="N5889" s="77">
        <v>0.625</v>
      </c>
      <c r="P5889">
        <v>60.8</v>
      </c>
      <c r="S5889" s="74">
        <v>34944</v>
      </c>
      <c r="T5889" s="77">
        <v>0.625</v>
      </c>
      <c r="V5889">
        <v>75.02</v>
      </c>
      <c r="X5889" s="42"/>
      <c r="AB5889">
        <v>78.599999999999994</v>
      </c>
      <c r="AC5889">
        <v>73.94</v>
      </c>
      <c r="AE5889" s="74"/>
      <c r="AF5889" s="77"/>
      <c r="AH5889" s="497">
        <v>84.2</v>
      </c>
      <c r="AJ5889" s="42"/>
      <c r="AK5889" s="74"/>
      <c r="AL5889" s="77"/>
      <c r="AN5889" s="497">
        <v>61.34</v>
      </c>
      <c r="AP5889" s="42"/>
      <c r="AQ5889" s="74"/>
      <c r="AR5889" s="77"/>
      <c r="AT5889" s="497">
        <v>86</v>
      </c>
      <c r="AV5889" s="42"/>
      <c r="AW5889" s="74"/>
      <c r="AX5889" s="77"/>
      <c r="BA5889" s="497">
        <v>75.92</v>
      </c>
      <c r="BB5889" s="42"/>
      <c r="BC5889" s="74"/>
      <c r="BD5889" s="77"/>
      <c r="BF5889">
        <v>62.96</v>
      </c>
      <c r="BH5889" s="42"/>
      <c r="BI5889" s="74"/>
      <c r="BJ5889" s="77"/>
      <c r="BL5889" s="497">
        <v>69.98</v>
      </c>
      <c r="BN5889" s="42"/>
      <c r="BO5889" s="74"/>
      <c r="BP5889" s="77"/>
      <c r="BR5889" s="497">
        <v>75.92</v>
      </c>
      <c r="BT5889" s="42"/>
    </row>
    <row r="5890" spans="1:72" x14ac:dyDescent="0.25">
      <c r="A5890" s="90">
        <v>34944</v>
      </c>
      <c r="B5890" s="20">
        <v>0.66666666666666663</v>
      </c>
      <c r="D5890">
        <v>71.960000000000008</v>
      </c>
      <c r="E5890" t="str">
        <f t="shared" si="218"/>
        <v>SATURDAY</v>
      </c>
      <c r="F5890" t="e">
        <f t="shared" si="219"/>
        <v>#N/A</v>
      </c>
      <c r="G5890" s="74">
        <v>29100</v>
      </c>
      <c r="H5890" s="77">
        <v>0.66666666666666663</v>
      </c>
      <c r="J5890">
        <v>75.92</v>
      </c>
      <c r="M5890" s="74">
        <v>37866</v>
      </c>
      <c r="N5890" s="77">
        <v>0.66666666666666663</v>
      </c>
      <c r="P5890">
        <v>60.8</v>
      </c>
      <c r="S5890" s="74">
        <v>34944</v>
      </c>
      <c r="T5890" s="77">
        <v>0.66666666666666663</v>
      </c>
      <c r="V5890">
        <v>75.02</v>
      </c>
      <c r="X5890" s="42"/>
      <c r="AB5890">
        <v>78.099999999999994</v>
      </c>
      <c r="AC5890">
        <v>73.039999999999992</v>
      </c>
      <c r="AE5890" s="74"/>
      <c r="AF5890" s="77"/>
      <c r="AH5890" s="497">
        <v>84.2</v>
      </c>
      <c r="AJ5890" s="42"/>
      <c r="AK5890" s="74"/>
      <c r="AL5890" s="77"/>
      <c r="AN5890" s="497">
        <v>62.06</v>
      </c>
      <c r="AP5890" s="42"/>
      <c r="AQ5890" s="74"/>
      <c r="AR5890" s="77"/>
      <c r="AT5890" s="497">
        <v>86</v>
      </c>
      <c r="AV5890" s="42"/>
      <c r="AW5890" s="74"/>
      <c r="AX5890" s="77"/>
      <c r="BA5890" s="497">
        <v>73.94</v>
      </c>
      <c r="BB5890" s="42"/>
      <c r="BC5890" s="74"/>
      <c r="BD5890" s="77"/>
      <c r="BF5890">
        <v>66.02</v>
      </c>
      <c r="BH5890" s="42"/>
      <c r="BI5890" s="74"/>
      <c r="BJ5890" s="77"/>
      <c r="BL5890" s="497">
        <v>71.960000000000008</v>
      </c>
      <c r="BN5890" s="42"/>
      <c r="BO5890" s="74"/>
      <c r="BP5890" s="77"/>
      <c r="BR5890" s="497">
        <v>73.94</v>
      </c>
      <c r="BT5890" s="42"/>
    </row>
    <row r="5891" spans="1:72" x14ac:dyDescent="0.25">
      <c r="A5891" s="90">
        <v>34944</v>
      </c>
      <c r="B5891" s="20">
        <v>0.70833333333333337</v>
      </c>
      <c r="D5891">
        <v>71.06</v>
      </c>
      <c r="E5891" t="str">
        <f t="shared" si="218"/>
        <v>SATURDAY</v>
      </c>
      <c r="F5891" t="e">
        <f t="shared" si="219"/>
        <v>#N/A</v>
      </c>
      <c r="G5891" s="74">
        <v>29100</v>
      </c>
      <c r="H5891" s="77">
        <v>0.70833333333333337</v>
      </c>
      <c r="J5891">
        <v>76.28</v>
      </c>
      <c r="M5891" s="74">
        <v>37866</v>
      </c>
      <c r="N5891" s="77">
        <v>0.70833333333333337</v>
      </c>
      <c r="P5891">
        <v>60.8</v>
      </c>
      <c r="S5891" s="74">
        <v>34944</v>
      </c>
      <c r="T5891" s="77">
        <v>0.70833333333333337</v>
      </c>
      <c r="V5891">
        <v>73.94</v>
      </c>
      <c r="X5891" s="42"/>
      <c r="AB5891">
        <v>77.2</v>
      </c>
      <c r="AC5891">
        <v>71.06</v>
      </c>
      <c r="AE5891" s="74"/>
      <c r="AF5891" s="77"/>
      <c r="AH5891" s="497">
        <v>82.4</v>
      </c>
      <c r="AJ5891" s="42"/>
      <c r="AK5891" s="74"/>
      <c r="AL5891" s="77"/>
      <c r="AN5891" s="497">
        <v>60.08</v>
      </c>
      <c r="AP5891" s="42"/>
      <c r="AQ5891" s="74"/>
      <c r="AR5891" s="77"/>
      <c r="AT5891" s="497">
        <v>82.039999999999992</v>
      </c>
      <c r="AV5891" s="42"/>
      <c r="AW5891" s="74"/>
      <c r="AX5891" s="77"/>
      <c r="BA5891" s="497">
        <v>71.960000000000008</v>
      </c>
      <c r="BB5891" s="42"/>
      <c r="BC5891" s="74"/>
      <c r="BD5891" s="77"/>
      <c r="BF5891">
        <v>64.039999999999992</v>
      </c>
      <c r="BH5891" s="42"/>
      <c r="BI5891" s="74"/>
      <c r="BJ5891" s="77"/>
      <c r="BL5891" s="497">
        <v>71.06</v>
      </c>
      <c r="BN5891" s="42"/>
      <c r="BO5891" s="74"/>
      <c r="BP5891" s="77"/>
      <c r="BR5891" s="497">
        <v>72.319999999999993</v>
      </c>
      <c r="BT5891" s="42"/>
    </row>
    <row r="5892" spans="1:72" x14ac:dyDescent="0.25">
      <c r="A5892" s="90">
        <v>34944</v>
      </c>
      <c r="B5892" s="20">
        <v>0.75</v>
      </c>
      <c r="D5892">
        <v>69.98</v>
      </c>
      <c r="E5892" t="str">
        <f t="shared" si="218"/>
        <v>SATURDAY</v>
      </c>
      <c r="F5892" t="e">
        <f t="shared" si="219"/>
        <v>#N/A</v>
      </c>
      <c r="G5892" s="74">
        <v>29100</v>
      </c>
      <c r="H5892" s="77">
        <v>0.75</v>
      </c>
      <c r="J5892">
        <v>76.64</v>
      </c>
      <c r="M5892" s="74">
        <v>37866</v>
      </c>
      <c r="N5892" s="77">
        <v>0.75</v>
      </c>
      <c r="P5892">
        <v>60.8</v>
      </c>
      <c r="S5892" s="74">
        <v>34944</v>
      </c>
      <c r="T5892" s="77">
        <v>0.75</v>
      </c>
      <c r="V5892">
        <v>71.960000000000008</v>
      </c>
      <c r="X5892" s="42"/>
      <c r="AB5892">
        <v>76.099999999999994</v>
      </c>
      <c r="AC5892">
        <v>69.98</v>
      </c>
      <c r="AE5892" s="74"/>
      <c r="AF5892" s="77"/>
      <c r="AH5892" s="497">
        <v>80.599999999999994</v>
      </c>
      <c r="AJ5892" s="42"/>
      <c r="AK5892" s="74"/>
      <c r="AL5892" s="77"/>
      <c r="AN5892" s="497">
        <v>57.92</v>
      </c>
      <c r="AP5892" s="42"/>
      <c r="AQ5892" s="74"/>
      <c r="AR5892" s="77"/>
      <c r="AT5892" s="497">
        <v>80.06</v>
      </c>
      <c r="AV5892" s="42"/>
      <c r="AW5892" s="74"/>
      <c r="AX5892" s="77"/>
      <c r="BA5892" s="497">
        <v>69.98</v>
      </c>
      <c r="BB5892" s="42"/>
      <c r="BC5892" s="74"/>
      <c r="BD5892" s="77"/>
      <c r="BF5892">
        <v>62.96</v>
      </c>
      <c r="BH5892" s="42"/>
      <c r="BI5892" s="74"/>
      <c r="BJ5892" s="77"/>
      <c r="BL5892" s="497">
        <v>68</v>
      </c>
      <c r="BN5892" s="42"/>
      <c r="BO5892" s="74"/>
      <c r="BP5892" s="77"/>
      <c r="BR5892" s="497">
        <v>70.7</v>
      </c>
      <c r="BT5892" s="42"/>
    </row>
    <row r="5893" spans="1:72" x14ac:dyDescent="0.25">
      <c r="A5893" s="90">
        <v>34944</v>
      </c>
      <c r="B5893" s="20">
        <v>0.79166666666666663</v>
      </c>
      <c r="D5893">
        <v>69.080000000000013</v>
      </c>
      <c r="E5893" t="str">
        <f t="shared" si="218"/>
        <v>SATURDAY</v>
      </c>
      <c r="F5893" t="e">
        <f t="shared" si="219"/>
        <v>#N/A</v>
      </c>
      <c r="G5893" s="74">
        <v>29100</v>
      </c>
      <c r="H5893" s="77">
        <v>0.79166666666666663</v>
      </c>
      <c r="J5893">
        <v>77</v>
      </c>
      <c r="M5893" s="74">
        <v>37866</v>
      </c>
      <c r="N5893" s="77">
        <v>0.79166666666666663</v>
      </c>
      <c r="P5893">
        <v>60.8</v>
      </c>
      <c r="S5893" s="74">
        <v>34944</v>
      </c>
      <c r="T5893" s="77">
        <v>0.79166666666666663</v>
      </c>
      <c r="V5893">
        <v>71.06</v>
      </c>
      <c r="X5893" s="42"/>
      <c r="AB5893">
        <v>74.5</v>
      </c>
      <c r="AC5893">
        <v>66.92</v>
      </c>
      <c r="AE5893" s="74"/>
      <c r="AF5893" s="77"/>
      <c r="AH5893" s="497">
        <v>73.400000000000006</v>
      </c>
      <c r="AJ5893" s="42"/>
      <c r="AK5893" s="74"/>
      <c r="AL5893" s="77"/>
      <c r="AN5893" s="497">
        <v>55.94</v>
      </c>
      <c r="AP5893" s="42"/>
      <c r="AQ5893" s="74"/>
      <c r="AR5893" s="77"/>
      <c r="AT5893" s="497">
        <v>73.94</v>
      </c>
      <c r="AV5893" s="42"/>
      <c r="AW5893" s="74"/>
      <c r="AX5893" s="77"/>
      <c r="BA5893" s="497">
        <v>69.98</v>
      </c>
      <c r="BB5893" s="42"/>
      <c r="BC5893" s="74"/>
      <c r="BD5893" s="77"/>
      <c r="BF5893">
        <v>59</v>
      </c>
      <c r="BH5893" s="42"/>
      <c r="BI5893" s="74"/>
      <c r="BJ5893" s="77"/>
      <c r="BL5893" s="497">
        <v>64.94</v>
      </c>
      <c r="BN5893" s="42"/>
      <c r="BO5893" s="74"/>
      <c r="BP5893" s="77"/>
      <c r="BR5893" s="497">
        <v>69.080000000000013</v>
      </c>
      <c r="BT5893" s="42"/>
    </row>
    <row r="5894" spans="1:72" x14ac:dyDescent="0.25">
      <c r="A5894" s="90">
        <v>34944</v>
      </c>
      <c r="B5894" s="20">
        <v>0.83333333333333337</v>
      </c>
      <c r="D5894">
        <v>68</v>
      </c>
      <c r="E5894" t="str">
        <f t="shared" si="218"/>
        <v>SATURDAY</v>
      </c>
      <c r="F5894" t="e">
        <f t="shared" si="219"/>
        <v>#N/A</v>
      </c>
      <c r="G5894" s="74">
        <v>29100</v>
      </c>
      <c r="H5894" s="77">
        <v>0.83333333333333337</v>
      </c>
      <c r="J5894">
        <v>77</v>
      </c>
      <c r="M5894" s="74">
        <v>37866</v>
      </c>
      <c r="N5894" s="77">
        <v>0.83333333333333337</v>
      </c>
      <c r="P5894">
        <v>60.8</v>
      </c>
      <c r="S5894" s="74">
        <v>34944</v>
      </c>
      <c r="T5894" s="77">
        <v>0.83333333333333337</v>
      </c>
      <c r="V5894">
        <v>69.98</v>
      </c>
      <c r="X5894" s="42"/>
      <c r="AB5894">
        <v>73.2</v>
      </c>
      <c r="AC5894">
        <v>64.039999999999992</v>
      </c>
      <c r="AE5894" s="74"/>
      <c r="AF5894" s="77"/>
      <c r="AH5894" s="497">
        <v>68</v>
      </c>
      <c r="AJ5894" s="42"/>
      <c r="AK5894" s="74"/>
      <c r="AL5894" s="77"/>
      <c r="AN5894" s="497">
        <v>53.96</v>
      </c>
      <c r="AP5894" s="42"/>
      <c r="AQ5894" s="74"/>
      <c r="AR5894" s="77"/>
      <c r="AT5894" s="497">
        <v>69.98</v>
      </c>
      <c r="AV5894" s="42"/>
      <c r="AW5894" s="74"/>
      <c r="AX5894" s="77"/>
      <c r="BA5894" s="497">
        <v>69.080000000000013</v>
      </c>
      <c r="BB5894" s="42"/>
      <c r="BC5894" s="74"/>
      <c r="BD5894" s="77"/>
      <c r="BF5894">
        <v>55.040000000000006</v>
      </c>
      <c r="BH5894" s="42"/>
      <c r="BI5894" s="74"/>
      <c r="BJ5894" s="77"/>
      <c r="BL5894" s="497">
        <v>62.96</v>
      </c>
      <c r="BN5894" s="42"/>
      <c r="BO5894" s="74"/>
      <c r="BP5894" s="77"/>
      <c r="BR5894" s="497">
        <v>67.460000000000008</v>
      </c>
      <c r="BT5894" s="42"/>
    </row>
    <row r="5895" spans="1:72" x14ac:dyDescent="0.25">
      <c r="A5895" s="90">
        <v>34944</v>
      </c>
      <c r="B5895" s="20">
        <v>0.875</v>
      </c>
      <c r="D5895">
        <v>66.92</v>
      </c>
      <c r="E5895" t="str">
        <f t="shared" si="218"/>
        <v>SATURDAY</v>
      </c>
      <c r="F5895" t="e">
        <f t="shared" si="219"/>
        <v>#N/A</v>
      </c>
      <c r="G5895" s="74">
        <v>29100</v>
      </c>
      <c r="H5895" s="77">
        <v>0.875</v>
      </c>
      <c r="J5895">
        <v>77</v>
      </c>
      <c r="M5895" s="74">
        <v>37866</v>
      </c>
      <c r="N5895" s="77">
        <v>0.875</v>
      </c>
      <c r="P5895">
        <v>60.8</v>
      </c>
      <c r="S5895" s="74">
        <v>34944</v>
      </c>
      <c r="T5895" s="77">
        <v>0.875</v>
      </c>
      <c r="V5895">
        <v>69.080000000000013</v>
      </c>
      <c r="X5895" s="42"/>
      <c r="AB5895">
        <v>72.400000000000006</v>
      </c>
      <c r="AC5895">
        <v>62.96</v>
      </c>
      <c r="AE5895" s="74"/>
      <c r="AF5895" s="77"/>
      <c r="AH5895" s="497">
        <v>64.400000000000006</v>
      </c>
      <c r="AJ5895" s="42"/>
      <c r="AK5895" s="74"/>
      <c r="AL5895" s="77"/>
      <c r="AN5895" s="497">
        <v>51.980000000000004</v>
      </c>
      <c r="AP5895" s="42"/>
      <c r="AQ5895" s="74"/>
      <c r="AR5895" s="77"/>
      <c r="AT5895" s="497">
        <v>69.080000000000013</v>
      </c>
      <c r="AV5895" s="42"/>
      <c r="AW5895" s="74"/>
      <c r="AX5895" s="77"/>
      <c r="BA5895" s="497">
        <v>66.92</v>
      </c>
      <c r="BB5895" s="42"/>
      <c r="BC5895" s="74"/>
      <c r="BD5895" s="77"/>
      <c r="BF5895">
        <v>51.980000000000004</v>
      </c>
      <c r="BH5895" s="42"/>
      <c r="BI5895" s="74"/>
      <c r="BJ5895" s="77"/>
      <c r="BL5895" s="497">
        <v>60.08</v>
      </c>
      <c r="BN5895" s="42"/>
      <c r="BO5895" s="74"/>
      <c r="BP5895" s="77"/>
      <c r="BR5895" s="497">
        <v>65.66</v>
      </c>
      <c r="BT5895" s="42"/>
    </row>
    <row r="5896" spans="1:72" x14ac:dyDescent="0.25">
      <c r="A5896" s="90">
        <v>34944</v>
      </c>
      <c r="B5896" s="20">
        <v>0.91666666666666663</v>
      </c>
      <c r="D5896">
        <v>66.92</v>
      </c>
      <c r="E5896" t="str">
        <f t="shared" si="218"/>
        <v>SATURDAY</v>
      </c>
      <c r="F5896" t="e">
        <f t="shared" si="219"/>
        <v>#N/A</v>
      </c>
      <c r="G5896" s="74">
        <v>29100</v>
      </c>
      <c r="H5896" s="77">
        <v>0.91666666666666663</v>
      </c>
      <c r="J5896">
        <v>77</v>
      </c>
      <c r="M5896" s="74">
        <v>37866</v>
      </c>
      <c r="N5896" s="77">
        <v>0.91666666666666663</v>
      </c>
      <c r="P5896">
        <v>60.8</v>
      </c>
      <c r="S5896" s="74">
        <v>34944</v>
      </c>
      <c r="T5896" s="77">
        <v>0.91666666666666663</v>
      </c>
      <c r="V5896">
        <v>69.080000000000013</v>
      </c>
      <c r="X5896" s="42"/>
      <c r="AB5896">
        <v>71.8</v>
      </c>
      <c r="AC5896">
        <v>62.06</v>
      </c>
      <c r="AE5896" s="74"/>
      <c r="AF5896" s="77"/>
      <c r="AH5896" s="497">
        <v>62.6</v>
      </c>
      <c r="AJ5896" s="42"/>
      <c r="AK5896" s="74"/>
      <c r="AL5896" s="77"/>
      <c r="AN5896" s="497">
        <v>50</v>
      </c>
      <c r="AP5896" s="42"/>
      <c r="AQ5896" s="74"/>
      <c r="AR5896" s="77"/>
      <c r="AT5896" s="497">
        <v>69.080000000000013</v>
      </c>
      <c r="AV5896" s="42"/>
      <c r="AW5896" s="74"/>
      <c r="AX5896" s="77"/>
      <c r="BA5896" s="497">
        <v>64.94</v>
      </c>
      <c r="BB5896" s="42"/>
      <c r="BC5896" s="74"/>
      <c r="BD5896" s="77"/>
      <c r="BF5896">
        <v>51.980000000000004</v>
      </c>
      <c r="BH5896" s="42"/>
      <c r="BI5896" s="74"/>
      <c r="BJ5896" s="77"/>
      <c r="BL5896" s="497">
        <v>57.92</v>
      </c>
      <c r="BN5896" s="42"/>
      <c r="BO5896" s="74"/>
      <c r="BP5896" s="77"/>
      <c r="BR5896" s="497">
        <v>64.039999999999992</v>
      </c>
      <c r="BT5896" s="42"/>
    </row>
    <row r="5897" spans="1:72" x14ac:dyDescent="0.25">
      <c r="A5897" s="90">
        <v>34944</v>
      </c>
      <c r="B5897" s="20">
        <v>0.95833333333333337</v>
      </c>
      <c r="D5897">
        <v>66.92</v>
      </c>
      <c r="E5897" t="str">
        <f t="shared" si="218"/>
        <v>SATURDAY</v>
      </c>
      <c r="F5897" t="e">
        <f t="shared" si="219"/>
        <v>#N/A</v>
      </c>
      <c r="G5897" s="74">
        <v>29100</v>
      </c>
      <c r="H5897" s="77">
        <v>0.95833333333333337</v>
      </c>
      <c r="J5897">
        <v>76.64</v>
      </c>
      <c r="M5897" s="74">
        <v>37866</v>
      </c>
      <c r="N5897" s="77">
        <v>0.95833333333333337</v>
      </c>
      <c r="P5897">
        <v>60.8</v>
      </c>
      <c r="S5897" s="74">
        <v>34944</v>
      </c>
      <c r="T5897" s="77">
        <v>0.95833333333333337</v>
      </c>
      <c r="V5897">
        <v>69.080000000000013</v>
      </c>
      <c r="X5897" s="42"/>
      <c r="AB5897">
        <v>71.2</v>
      </c>
      <c r="AC5897">
        <v>62.06</v>
      </c>
      <c r="AE5897" s="74"/>
      <c r="AF5897" s="77"/>
      <c r="AH5897" s="497">
        <v>62.6</v>
      </c>
      <c r="AJ5897" s="42"/>
      <c r="AK5897" s="74"/>
      <c r="AL5897" s="77"/>
      <c r="AN5897" s="497">
        <v>49.28</v>
      </c>
      <c r="AP5897" s="42"/>
      <c r="AQ5897" s="74"/>
      <c r="AR5897" s="77"/>
      <c r="AT5897" s="497">
        <v>68</v>
      </c>
      <c r="AV5897" s="42"/>
      <c r="AW5897" s="74"/>
      <c r="AX5897" s="77"/>
      <c r="BA5897" s="497">
        <v>64.039999999999992</v>
      </c>
      <c r="BB5897" s="42"/>
      <c r="BC5897" s="74"/>
      <c r="BD5897" s="77"/>
      <c r="BF5897">
        <v>50</v>
      </c>
      <c r="BH5897" s="42"/>
      <c r="BI5897" s="74"/>
      <c r="BJ5897" s="77"/>
      <c r="BL5897" s="497">
        <v>57.019999999999996</v>
      </c>
      <c r="BN5897" s="42"/>
      <c r="BO5897" s="74"/>
      <c r="BP5897" s="77"/>
      <c r="BR5897" s="497">
        <v>62.96</v>
      </c>
      <c r="BT5897" s="42"/>
    </row>
    <row r="5898" spans="1:72" x14ac:dyDescent="0.25">
      <c r="A5898" s="90">
        <v>34944</v>
      </c>
      <c r="B5898" s="20">
        <v>1</v>
      </c>
      <c r="D5898">
        <v>66.02</v>
      </c>
      <c r="E5898" t="str">
        <f t="shared" si="218"/>
        <v>SATURDAY</v>
      </c>
      <c r="F5898" t="e">
        <f t="shared" si="219"/>
        <v>#N/A</v>
      </c>
      <c r="G5898" s="74">
        <v>29100</v>
      </c>
      <c r="H5898" s="77">
        <v>1</v>
      </c>
      <c r="J5898">
        <v>76.28</v>
      </c>
      <c r="M5898" s="74">
        <v>37866</v>
      </c>
      <c r="N5898" s="80">
        <v>1</v>
      </c>
      <c r="P5898">
        <v>60.8</v>
      </c>
      <c r="S5898" s="74">
        <v>34944</v>
      </c>
      <c r="T5898" s="80">
        <v>1</v>
      </c>
      <c r="V5898">
        <v>68</v>
      </c>
      <c r="X5898" s="42"/>
      <c r="AB5898">
        <v>70.599999999999994</v>
      </c>
      <c r="AC5898">
        <v>59</v>
      </c>
      <c r="AE5898" s="74"/>
      <c r="AF5898" s="80"/>
      <c r="AH5898" s="497">
        <v>60.8</v>
      </c>
      <c r="AJ5898" s="42"/>
      <c r="AK5898" s="74"/>
      <c r="AL5898" s="80"/>
      <c r="AN5898" s="497">
        <v>48.74</v>
      </c>
      <c r="AP5898" s="42"/>
      <c r="AQ5898" s="74"/>
      <c r="AR5898" s="80"/>
      <c r="AT5898" s="497">
        <v>68</v>
      </c>
      <c r="AV5898" s="42"/>
      <c r="AW5898" s="74"/>
      <c r="AX5898" s="80"/>
      <c r="BA5898" s="497">
        <v>62.96</v>
      </c>
      <c r="BB5898" s="42"/>
      <c r="BC5898" s="74"/>
      <c r="BD5898" s="80"/>
      <c r="BF5898">
        <v>48.92</v>
      </c>
      <c r="BH5898" s="42"/>
      <c r="BI5898" s="74"/>
      <c r="BJ5898" s="80"/>
      <c r="BL5898" s="497">
        <v>55.94</v>
      </c>
      <c r="BN5898" s="42"/>
      <c r="BO5898" s="74"/>
      <c r="BP5898" s="80"/>
      <c r="BR5898" s="497">
        <v>62.06</v>
      </c>
      <c r="BT5898" s="42"/>
    </row>
    <row r="5899" spans="1:72" x14ac:dyDescent="0.25">
      <c r="A5899" s="90">
        <v>34945</v>
      </c>
      <c r="B5899" s="20">
        <v>4.1666666666666664E-2</v>
      </c>
      <c r="D5899">
        <v>66.92</v>
      </c>
      <c r="E5899" t="str">
        <f t="shared" si="218"/>
        <v>SUNDAY</v>
      </c>
      <c r="F5899" t="e">
        <f t="shared" si="219"/>
        <v>#N/A</v>
      </c>
      <c r="G5899" s="74">
        <v>29101</v>
      </c>
      <c r="H5899" s="77">
        <v>4.1666666666666664E-2</v>
      </c>
      <c r="J5899">
        <v>75.92</v>
      </c>
      <c r="M5899" s="74">
        <v>37867</v>
      </c>
      <c r="N5899" s="77">
        <v>4.1666666666666664E-2</v>
      </c>
      <c r="P5899">
        <v>60.8</v>
      </c>
      <c r="S5899" s="74">
        <v>34945</v>
      </c>
      <c r="T5899" s="77">
        <v>4.1666666666666664E-2</v>
      </c>
      <c r="V5899">
        <v>68</v>
      </c>
      <c r="X5899" s="42"/>
      <c r="AB5899">
        <v>69.900000000000006</v>
      </c>
      <c r="AC5899">
        <v>60.08</v>
      </c>
      <c r="AE5899" s="74"/>
      <c r="AF5899" s="77"/>
      <c r="AH5899" s="497">
        <v>60.8</v>
      </c>
      <c r="AJ5899" s="42"/>
      <c r="AK5899" s="74"/>
      <c r="AL5899" s="77"/>
      <c r="AN5899" s="497">
        <v>48.019999999999996</v>
      </c>
      <c r="AP5899" s="42"/>
      <c r="AQ5899" s="74"/>
      <c r="AR5899" s="77"/>
      <c r="AT5899" s="497">
        <v>66.02</v>
      </c>
      <c r="AV5899" s="42"/>
      <c r="AW5899" s="74"/>
      <c r="AX5899" s="77"/>
      <c r="BA5899" s="497">
        <v>62.06</v>
      </c>
      <c r="BB5899" s="42"/>
      <c r="BC5899" s="74"/>
      <c r="BD5899" s="77"/>
      <c r="BF5899">
        <v>46.94</v>
      </c>
      <c r="BH5899" s="42"/>
      <c r="BI5899" s="74"/>
      <c r="BJ5899" s="77"/>
      <c r="BL5899" s="497">
        <v>55.94</v>
      </c>
      <c r="BN5899" s="42"/>
      <c r="BO5899" s="74"/>
      <c r="BP5899" s="77"/>
      <c r="BR5899" s="497">
        <v>60.980000000000004</v>
      </c>
      <c r="BT5899" s="42"/>
    </row>
    <row r="5900" spans="1:72" x14ac:dyDescent="0.25">
      <c r="A5900" s="90">
        <v>34945</v>
      </c>
      <c r="B5900" s="20">
        <v>8.3333333333333329E-2</v>
      </c>
      <c r="D5900">
        <v>66.02</v>
      </c>
      <c r="E5900" t="str">
        <f t="shared" si="218"/>
        <v>SUNDAY</v>
      </c>
      <c r="F5900" t="e">
        <f t="shared" si="219"/>
        <v>#N/A</v>
      </c>
      <c r="G5900" s="74">
        <v>29101</v>
      </c>
      <c r="H5900" s="77">
        <v>8.3333333333333329E-2</v>
      </c>
      <c r="J5900">
        <v>75.92</v>
      </c>
      <c r="M5900" s="74">
        <v>37867</v>
      </c>
      <c r="N5900" s="77">
        <v>8.3333333333333329E-2</v>
      </c>
      <c r="P5900">
        <v>60.8</v>
      </c>
      <c r="S5900" s="74">
        <v>34945</v>
      </c>
      <c r="T5900" s="77">
        <v>8.3333333333333329E-2</v>
      </c>
      <c r="V5900">
        <v>66.92</v>
      </c>
      <c r="X5900" s="42"/>
      <c r="AB5900">
        <v>69.400000000000006</v>
      </c>
      <c r="AC5900">
        <v>59</v>
      </c>
      <c r="AE5900" s="74"/>
      <c r="AF5900" s="77"/>
      <c r="AH5900" s="497">
        <v>60.8</v>
      </c>
      <c r="AJ5900" s="42"/>
      <c r="AK5900" s="74"/>
      <c r="AL5900" s="77"/>
      <c r="AN5900" s="497">
        <v>47.3</v>
      </c>
      <c r="AP5900" s="42"/>
      <c r="AQ5900" s="74"/>
      <c r="AR5900" s="77"/>
      <c r="AT5900" s="497">
        <v>64.039999999999992</v>
      </c>
      <c r="AV5900" s="42"/>
      <c r="AW5900" s="74"/>
      <c r="AX5900" s="77"/>
      <c r="BA5900" s="497">
        <v>62.06</v>
      </c>
      <c r="BB5900" s="42"/>
      <c r="BC5900" s="74"/>
      <c r="BD5900" s="77"/>
      <c r="BF5900">
        <v>46.94</v>
      </c>
      <c r="BH5900" s="42"/>
      <c r="BI5900" s="74"/>
      <c r="BJ5900" s="77"/>
      <c r="BL5900" s="497">
        <v>57.92</v>
      </c>
      <c r="BN5900" s="42"/>
      <c r="BO5900" s="74"/>
      <c r="BP5900" s="77"/>
      <c r="BR5900" s="497">
        <v>59.900000000000006</v>
      </c>
      <c r="BT5900" s="42"/>
    </row>
    <row r="5901" spans="1:72" x14ac:dyDescent="0.25">
      <c r="A5901" s="90">
        <v>34945</v>
      </c>
      <c r="B5901" s="20">
        <v>0.125</v>
      </c>
      <c r="D5901">
        <v>66.02</v>
      </c>
      <c r="E5901" t="str">
        <f t="shared" si="218"/>
        <v>SUNDAY</v>
      </c>
      <c r="F5901" t="e">
        <f t="shared" si="219"/>
        <v>#N/A</v>
      </c>
      <c r="G5901" s="74">
        <v>29101</v>
      </c>
      <c r="H5901" s="77">
        <v>0.125</v>
      </c>
      <c r="J5901">
        <v>75.92</v>
      </c>
      <c r="M5901" s="74">
        <v>37867</v>
      </c>
      <c r="N5901" s="77">
        <v>0.125</v>
      </c>
      <c r="P5901">
        <v>60.8</v>
      </c>
      <c r="S5901" s="74">
        <v>34945</v>
      </c>
      <c r="T5901" s="77">
        <v>0.125</v>
      </c>
      <c r="V5901">
        <v>66.02</v>
      </c>
      <c r="X5901" s="42"/>
      <c r="AB5901">
        <v>68.900000000000006</v>
      </c>
      <c r="AC5901">
        <v>57.92</v>
      </c>
      <c r="AE5901" s="74"/>
      <c r="AF5901" s="77"/>
      <c r="AH5901" s="497">
        <v>57.2</v>
      </c>
      <c r="AJ5901" s="42"/>
      <c r="AK5901" s="74"/>
      <c r="AL5901" s="77"/>
      <c r="AN5901" s="497">
        <v>46.76</v>
      </c>
      <c r="AP5901" s="42"/>
      <c r="AQ5901" s="74"/>
      <c r="AR5901" s="77"/>
      <c r="AT5901" s="497">
        <v>62.06</v>
      </c>
      <c r="AV5901" s="42"/>
      <c r="AW5901" s="74"/>
      <c r="AX5901" s="77"/>
      <c r="BA5901" s="497">
        <v>62.06</v>
      </c>
      <c r="BB5901" s="42"/>
      <c r="BC5901" s="74"/>
      <c r="BD5901" s="77"/>
      <c r="BF5901">
        <v>46.04</v>
      </c>
      <c r="BH5901" s="42"/>
      <c r="BI5901" s="74"/>
      <c r="BJ5901" s="77"/>
      <c r="BL5901" s="497">
        <v>57.92</v>
      </c>
      <c r="BN5901" s="42"/>
      <c r="BO5901" s="74"/>
      <c r="BP5901" s="77"/>
      <c r="BR5901" s="497">
        <v>59</v>
      </c>
      <c r="BT5901" s="42"/>
    </row>
    <row r="5902" spans="1:72" x14ac:dyDescent="0.25">
      <c r="A5902" s="90">
        <v>34945</v>
      </c>
      <c r="B5902" s="20">
        <v>0.16666666666666666</v>
      </c>
      <c r="D5902">
        <v>66.02</v>
      </c>
      <c r="E5902" t="str">
        <f t="shared" si="218"/>
        <v>SUNDAY</v>
      </c>
      <c r="F5902" t="e">
        <f t="shared" si="219"/>
        <v>#N/A</v>
      </c>
      <c r="G5902" s="74">
        <v>29101</v>
      </c>
      <c r="H5902" s="77">
        <v>0.16666666666666666</v>
      </c>
      <c r="J5902">
        <v>75.92</v>
      </c>
      <c r="M5902" s="74">
        <v>37867</v>
      </c>
      <c r="N5902" s="77">
        <v>0.16666666666666666</v>
      </c>
      <c r="P5902">
        <v>60.8</v>
      </c>
      <c r="S5902" s="74">
        <v>34945</v>
      </c>
      <c r="T5902" s="77">
        <v>0.16666666666666666</v>
      </c>
      <c r="V5902">
        <v>62.96</v>
      </c>
      <c r="X5902" s="42"/>
      <c r="AB5902">
        <v>68.3</v>
      </c>
      <c r="AC5902">
        <v>57.92</v>
      </c>
      <c r="AE5902" s="74"/>
      <c r="AF5902" s="77"/>
      <c r="AH5902" s="497">
        <v>57.2</v>
      </c>
      <c r="AJ5902" s="42"/>
      <c r="AK5902" s="74"/>
      <c r="AL5902" s="77"/>
      <c r="AN5902" s="497">
        <v>46.04</v>
      </c>
      <c r="AP5902" s="42"/>
      <c r="AQ5902" s="74"/>
      <c r="AR5902" s="77"/>
      <c r="AT5902" s="497">
        <v>59</v>
      </c>
      <c r="AV5902" s="42"/>
      <c r="AW5902" s="74"/>
      <c r="AX5902" s="77"/>
      <c r="BA5902" s="497">
        <v>62.06</v>
      </c>
      <c r="BB5902" s="42"/>
      <c r="BC5902" s="74"/>
      <c r="BD5902" s="77"/>
      <c r="BF5902">
        <v>46.04</v>
      </c>
      <c r="BH5902" s="42"/>
      <c r="BI5902" s="74"/>
      <c r="BJ5902" s="77"/>
      <c r="BL5902" s="497">
        <v>57.92</v>
      </c>
      <c r="BN5902" s="42"/>
      <c r="BO5902" s="74"/>
      <c r="BP5902" s="77"/>
      <c r="BR5902" s="497">
        <v>57.92</v>
      </c>
      <c r="BT5902" s="42"/>
    </row>
    <row r="5903" spans="1:72" x14ac:dyDescent="0.25">
      <c r="A5903" s="90">
        <v>34945</v>
      </c>
      <c r="B5903" s="20">
        <v>0.20833333333333334</v>
      </c>
      <c r="D5903">
        <v>64.94</v>
      </c>
      <c r="E5903" t="str">
        <f t="shared" si="218"/>
        <v>SUNDAY</v>
      </c>
      <c r="F5903" t="e">
        <f t="shared" si="219"/>
        <v>#N/A</v>
      </c>
      <c r="G5903" s="74">
        <v>29101</v>
      </c>
      <c r="H5903" s="77">
        <v>0.20833333333333334</v>
      </c>
      <c r="J5903">
        <v>75.56</v>
      </c>
      <c r="M5903" s="74">
        <v>37867</v>
      </c>
      <c r="N5903" s="77">
        <v>0.20833333333333334</v>
      </c>
      <c r="P5903">
        <v>60.8</v>
      </c>
      <c r="S5903" s="74">
        <v>34945</v>
      </c>
      <c r="T5903" s="77">
        <v>0.20833333333333334</v>
      </c>
      <c r="V5903">
        <v>62.96</v>
      </c>
      <c r="X5903" s="42"/>
      <c r="AB5903">
        <v>67.8</v>
      </c>
      <c r="AC5903">
        <v>57.92</v>
      </c>
      <c r="AE5903" s="74"/>
      <c r="AF5903" s="77"/>
      <c r="AH5903" s="497">
        <v>57.2</v>
      </c>
      <c r="AJ5903" s="42"/>
      <c r="AK5903" s="74"/>
      <c r="AL5903" s="77"/>
      <c r="AN5903" s="497">
        <v>44.06</v>
      </c>
      <c r="AP5903" s="42"/>
      <c r="AQ5903" s="74"/>
      <c r="AR5903" s="77"/>
      <c r="AT5903" s="497">
        <v>57.92</v>
      </c>
      <c r="AV5903" s="42"/>
      <c r="AW5903" s="74"/>
      <c r="AX5903" s="77"/>
      <c r="BA5903" s="497">
        <v>62.06</v>
      </c>
      <c r="BB5903" s="42"/>
      <c r="BC5903" s="74"/>
      <c r="BD5903" s="77"/>
      <c r="BF5903">
        <v>44.96</v>
      </c>
      <c r="BH5903" s="42"/>
      <c r="BI5903" s="74"/>
      <c r="BJ5903" s="77"/>
      <c r="BL5903" s="497">
        <v>57.92</v>
      </c>
      <c r="BN5903" s="42"/>
      <c r="BO5903" s="74"/>
      <c r="BP5903" s="77"/>
      <c r="BR5903" s="497">
        <v>59</v>
      </c>
      <c r="BT5903" s="42"/>
    </row>
    <row r="5904" spans="1:72" x14ac:dyDescent="0.25">
      <c r="A5904" s="90">
        <v>34945</v>
      </c>
      <c r="B5904" s="20">
        <v>0.25</v>
      </c>
      <c r="D5904">
        <v>64.94</v>
      </c>
      <c r="E5904" t="str">
        <f t="shared" si="218"/>
        <v>SUNDAY</v>
      </c>
      <c r="F5904" t="e">
        <f t="shared" si="219"/>
        <v>#N/A</v>
      </c>
      <c r="G5904" s="74">
        <v>29101</v>
      </c>
      <c r="H5904" s="77">
        <v>0.25</v>
      </c>
      <c r="J5904">
        <v>75.38</v>
      </c>
      <c r="M5904" s="74">
        <v>37867</v>
      </c>
      <c r="N5904" s="77">
        <v>0.25</v>
      </c>
      <c r="P5904">
        <v>60.8</v>
      </c>
      <c r="S5904" s="74">
        <v>34945</v>
      </c>
      <c r="T5904" s="77">
        <v>0.25</v>
      </c>
      <c r="V5904">
        <v>62.96</v>
      </c>
      <c r="X5904" s="42"/>
      <c r="AB5904">
        <v>67.599999999999994</v>
      </c>
      <c r="AC5904">
        <v>60.08</v>
      </c>
      <c r="AE5904" s="74"/>
      <c r="AF5904" s="77"/>
      <c r="AH5904" s="497">
        <v>57.2</v>
      </c>
      <c r="AJ5904" s="42"/>
      <c r="AK5904" s="74"/>
      <c r="AL5904" s="77"/>
      <c r="AN5904" s="497">
        <v>41.9</v>
      </c>
      <c r="AP5904" s="42"/>
      <c r="AQ5904" s="74"/>
      <c r="AR5904" s="77"/>
      <c r="AT5904" s="497">
        <v>57.92</v>
      </c>
      <c r="AV5904" s="42"/>
      <c r="AW5904" s="74"/>
      <c r="AX5904" s="77"/>
      <c r="BA5904" s="497">
        <v>62.06</v>
      </c>
      <c r="BB5904" s="42"/>
      <c r="BC5904" s="74"/>
      <c r="BD5904" s="77"/>
      <c r="BF5904">
        <v>44.96</v>
      </c>
      <c r="BH5904" s="42"/>
      <c r="BI5904" s="74"/>
      <c r="BJ5904" s="77"/>
      <c r="BL5904" s="497">
        <v>55.94</v>
      </c>
      <c r="BN5904" s="42"/>
      <c r="BO5904" s="74"/>
      <c r="BP5904" s="77"/>
      <c r="BR5904" s="497">
        <v>59.900000000000006</v>
      </c>
      <c r="BT5904" s="42"/>
    </row>
    <row r="5905" spans="1:72" x14ac:dyDescent="0.25">
      <c r="A5905" s="90">
        <v>34945</v>
      </c>
      <c r="B5905" s="20">
        <v>0.29166666666666669</v>
      </c>
      <c r="D5905">
        <v>66.02</v>
      </c>
      <c r="E5905" t="str">
        <f t="shared" si="218"/>
        <v>SUNDAY</v>
      </c>
      <c r="F5905" t="e">
        <f t="shared" si="219"/>
        <v>#N/A</v>
      </c>
      <c r="G5905" s="74">
        <v>29101</v>
      </c>
      <c r="H5905" s="77">
        <v>0.29166666666666669</v>
      </c>
      <c r="J5905">
        <v>75.02</v>
      </c>
      <c r="M5905" s="74">
        <v>37867</v>
      </c>
      <c r="N5905" s="77">
        <v>0.29166666666666669</v>
      </c>
      <c r="P5905">
        <v>60.8</v>
      </c>
      <c r="S5905" s="74">
        <v>34945</v>
      </c>
      <c r="T5905" s="77">
        <v>0.29166666666666669</v>
      </c>
      <c r="V5905">
        <v>66.02</v>
      </c>
      <c r="X5905" s="42"/>
      <c r="AB5905">
        <v>67.599999999999994</v>
      </c>
      <c r="AC5905">
        <v>64.94</v>
      </c>
      <c r="AE5905" s="74"/>
      <c r="AF5905" s="77"/>
      <c r="AH5905" s="497">
        <v>62.6</v>
      </c>
      <c r="AJ5905" s="42"/>
      <c r="AK5905" s="74"/>
      <c r="AL5905" s="77"/>
      <c r="AN5905" s="497">
        <v>39.92</v>
      </c>
      <c r="AP5905" s="42"/>
      <c r="AQ5905" s="74"/>
      <c r="AR5905" s="77"/>
      <c r="AT5905" s="497">
        <v>57.92</v>
      </c>
      <c r="AV5905" s="42"/>
      <c r="AW5905" s="74"/>
      <c r="AX5905" s="77"/>
      <c r="BA5905" s="497">
        <v>60.980000000000004</v>
      </c>
      <c r="BB5905" s="42"/>
      <c r="BC5905" s="74"/>
      <c r="BD5905" s="77"/>
      <c r="BF5905">
        <v>48.92</v>
      </c>
      <c r="BH5905" s="42"/>
      <c r="BI5905" s="74"/>
      <c r="BJ5905" s="77"/>
      <c r="BL5905" s="497">
        <v>57.92</v>
      </c>
      <c r="BN5905" s="42"/>
      <c r="BO5905" s="74"/>
      <c r="BP5905" s="77"/>
      <c r="BR5905" s="497">
        <v>60.980000000000004</v>
      </c>
      <c r="BT5905" s="42"/>
    </row>
    <row r="5906" spans="1:72" x14ac:dyDescent="0.25">
      <c r="A5906" s="90">
        <v>34945</v>
      </c>
      <c r="B5906" s="20">
        <v>0.33333333333333331</v>
      </c>
      <c r="D5906">
        <v>68</v>
      </c>
      <c r="E5906" t="str">
        <f t="shared" si="218"/>
        <v>SUNDAY</v>
      </c>
      <c r="F5906" t="e">
        <f t="shared" si="219"/>
        <v>#N/A</v>
      </c>
      <c r="G5906" s="74">
        <v>29101</v>
      </c>
      <c r="H5906" s="77">
        <v>0.33333333333333331</v>
      </c>
      <c r="J5906">
        <v>76.099999999999994</v>
      </c>
      <c r="M5906" s="74">
        <v>37867</v>
      </c>
      <c r="N5906" s="77">
        <v>0.33333333333333331</v>
      </c>
      <c r="P5906">
        <v>60.8</v>
      </c>
      <c r="S5906" s="74">
        <v>34945</v>
      </c>
      <c r="T5906" s="77">
        <v>0.33333333333333331</v>
      </c>
      <c r="V5906">
        <v>69.98</v>
      </c>
      <c r="X5906" s="42"/>
      <c r="AB5906">
        <v>69.599999999999994</v>
      </c>
      <c r="AC5906">
        <v>69.98</v>
      </c>
      <c r="AE5906" s="74"/>
      <c r="AF5906" s="77"/>
      <c r="AH5906" s="497">
        <v>66.2</v>
      </c>
      <c r="AJ5906" s="42"/>
      <c r="AK5906" s="74"/>
      <c r="AL5906" s="77"/>
      <c r="AN5906" s="497">
        <v>45.32</v>
      </c>
      <c r="AP5906" s="42"/>
      <c r="AQ5906" s="74"/>
      <c r="AR5906" s="77"/>
      <c r="AT5906" s="497">
        <v>57.92</v>
      </c>
      <c r="AV5906" s="42"/>
      <c r="AW5906" s="74"/>
      <c r="AX5906" s="77"/>
      <c r="BA5906" s="497">
        <v>62.96</v>
      </c>
      <c r="BB5906" s="42"/>
      <c r="BC5906" s="74"/>
      <c r="BD5906" s="77"/>
      <c r="BF5906">
        <v>51.08</v>
      </c>
      <c r="BH5906" s="42"/>
      <c r="BI5906" s="74"/>
      <c r="BJ5906" s="77"/>
      <c r="BL5906" s="497">
        <v>60.980000000000004</v>
      </c>
      <c r="BN5906" s="42"/>
      <c r="BO5906" s="74"/>
      <c r="BP5906" s="77"/>
      <c r="BR5906" s="497">
        <v>62.96</v>
      </c>
      <c r="BT5906" s="42"/>
    </row>
    <row r="5907" spans="1:72" x14ac:dyDescent="0.25">
      <c r="A5907" s="90">
        <v>34945</v>
      </c>
      <c r="B5907" s="20">
        <v>0.375</v>
      </c>
      <c r="D5907">
        <v>71.06</v>
      </c>
      <c r="E5907" t="str">
        <f t="shared" ref="E5907:E5970" si="220">IF(COUNTIF($DI$18:$DI$22, WEEKDAY(A5907))=1, "WEEKDAY", IF(WEEKDAY(A5907) = 1, "SUNDAY", "SATURDAY"))</f>
        <v>SUNDAY</v>
      </c>
      <c r="F5907" t="e">
        <f t="shared" si="219"/>
        <v>#N/A</v>
      </c>
      <c r="G5907" s="74">
        <v>29101</v>
      </c>
      <c r="H5907" s="77">
        <v>0.375</v>
      </c>
      <c r="J5907">
        <v>77</v>
      </c>
      <c r="M5907" s="74">
        <v>37867</v>
      </c>
      <c r="N5907" s="77">
        <v>0.375</v>
      </c>
      <c r="P5907">
        <v>60.8</v>
      </c>
      <c r="S5907" s="74">
        <v>34945</v>
      </c>
      <c r="T5907" s="77">
        <v>0.375</v>
      </c>
      <c r="V5907">
        <v>73.039999999999992</v>
      </c>
      <c r="X5907" s="42"/>
      <c r="AB5907">
        <v>71.8</v>
      </c>
      <c r="AC5907">
        <v>73.039999999999992</v>
      </c>
      <c r="AE5907" s="74"/>
      <c r="AF5907" s="77"/>
      <c r="AH5907" s="497">
        <v>73.400000000000006</v>
      </c>
      <c r="AJ5907" s="42"/>
      <c r="AK5907" s="74"/>
      <c r="AL5907" s="77"/>
      <c r="AN5907" s="497">
        <v>50.540000000000006</v>
      </c>
      <c r="AP5907" s="42"/>
      <c r="AQ5907" s="74"/>
      <c r="AR5907" s="77"/>
      <c r="AT5907" s="497">
        <v>62.96</v>
      </c>
      <c r="AV5907" s="42"/>
      <c r="AW5907" s="74"/>
      <c r="AX5907" s="77"/>
      <c r="BA5907" s="497">
        <v>64.94</v>
      </c>
      <c r="BB5907" s="42"/>
      <c r="BC5907" s="74"/>
      <c r="BD5907" s="77"/>
      <c r="BF5907">
        <v>60.08</v>
      </c>
      <c r="BH5907" s="42"/>
      <c r="BI5907" s="74"/>
      <c r="BJ5907" s="77"/>
      <c r="BL5907" s="497">
        <v>62.06</v>
      </c>
      <c r="BN5907" s="42"/>
      <c r="BO5907" s="74"/>
      <c r="BP5907" s="77"/>
      <c r="BR5907" s="497">
        <v>64.94</v>
      </c>
      <c r="BT5907" s="42"/>
    </row>
    <row r="5908" spans="1:72" x14ac:dyDescent="0.25">
      <c r="A5908" s="90">
        <v>34945</v>
      </c>
      <c r="B5908" s="20">
        <v>0.41666666666666669</v>
      </c>
      <c r="D5908">
        <v>73.94</v>
      </c>
      <c r="E5908" t="str">
        <f t="shared" si="220"/>
        <v>SUNDAY</v>
      </c>
      <c r="F5908" t="e">
        <f t="shared" si="219"/>
        <v>#N/A</v>
      </c>
      <c r="G5908" s="74">
        <v>29101</v>
      </c>
      <c r="H5908" s="77">
        <v>0.41666666666666669</v>
      </c>
      <c r="J5908">
        <v>78.080000000000013</v>
      </c>
      <c r="M5908" s="74">
        <v>37867</v>
      </c>
      <c r="N5908" s="77">
        <v>0.41666666666666669</v>
      </c>
      <c r="P5908">
        <v>60.8</v>
      </c>
      <c r="S5908" s="74">
        <v>34945</v>
      </c>
      <c r="T5908" s="77">
        <v>0.41666666666666669</v>
      </c>
      <c r="V5908">
        <v>75.92</v>
      </c>
      <c r="X5908" s="42"/>
      <c r="AB5908">
        <v>73.8</v>
      </c>
      <c r="AC5908">
        <v>75.02</v>
      </c>
      <c r="AE5908" s="74"/>
      <c r="AF5908" s="77"/>
      <c r="AH5908" s="497">
        <v>75.2</v>
      </c>
      <c r="AJ5908" s="42"/>
      <c r="AK5908" s="74"/>
      <c r="AL5908" s="77"/>
      <c r="AN5908" s="497">
        <v>55.94</v>
      </c>
      <c r="AP5908" s="42"/>
      <c r="AQ5908" s="74"/>
      <c r="AR5908" s="77"/>
      <c r="AT5908" s="497">
        <v>64.039999999999992</v>
      </c>
      <c r="AV5908" s="42"/>
      <c r="AW5908" s="74"/>
      <c r="AX5908" s="77"/>
      <c r="BA5908" s="497">
        <v>66.02</v>
      </c>
      <c r="BB5908" s="42"/>
      <c r="BC5908" s="74"/>
      <c r="BD5908" s="77"/>
      <c r="BF5908">
        <v>64.94</v>
      </c>
      <c r="BH5908" s="42"/>
      <c r="BI5908" s="74"/>
      <c r="BJ5908" s="77"/>
      <c r="BL5908" s="497">
        <v>64.94</v>
      </c>
      <c r="BN5908" s="42"/>
      <c r="BO5908" s="74"/>
      <c r="BP5908" s="77"/>
      <c r="BR5908" s="497">
        <v>66.92</v>
      </c>
      <c r="BT5908" s="42"/>
    </row>
    <row r="5909" spans="1:72" x14ac:dyDescent="0.25">
      <c r="A5909" s="90">
        <v>34945</v>
      </c>
      <c r="B5909" s="20">
        <v>0.45833333333333331</v>
      </c>
      <c r="D5909">
        <v>75.92</v>
      </c>
      <c r="E5909" t="str">
        <f t="shared" si="220"/>
        <v>SUNDAY</v>
      </c>
      <c r="F5909" t="e">
        <f t="shared" si="219"/>
        <v>#N/A</v>
      </c>
      <c r="G5909" s="74">
        <v>29101</v>
      </c>
      <c r="H5909" s="77">
        <v>0.45833333333333331</v>
      </c>
      <c r="J5909">
        <v>79.7</v>
      </c>
      <c r="M5909" s="74">
        <v>37867</v>
      </c>
      <c r="N5909" s="77">
        <v>0.45833333333333331</v>
      </c>
      <c r="P5909">
        <v>62.6</v>
      </c>
      <c r="S5909" s="74">
        <v>34945</v>
      </c>
      <c r="T5909" s="77">
        <v>0.45833333333333331</v>
      </c>
      <c r="V5909">
        <v>78.080000000000013</v>
      </c>
      <c r="X5909" s="42"/>
      <c r="AB5909">
        <v>75.599999999999994</v>
      </c>
      <c r="AC5909">
        <v>75.02</v>
      </c>
      <c r="AE5909" s="74"/>
      <c r="AF5909" s="77"/>
      <c r="AH5909" s="497">
        <v>80.599999999999994</v>
      </c>
      <c r="AJ5909" s="42"/>
      <c r="AK5909" s="74"/>
      <c r="AL5909" s="77"/>
      <c r="AN5909" s="497">
        <v>58.64</v>
      </c>
      <c r="AP5909" s="42"/>
      <c r="AQ5909" s="74"/>
      <c r="AR5909" s="77"/>
      <c r="AT5909" s="497">
        <v>66.92</v>
      </c>
      <c r="AV5909" s="42"/>
      <c r="AW5909" s="74"/>
      <c r="AX5909" s="77"/>
      <c r="BA5909" s="497">
        <v>66.92</v>
      </c>
      <c r="BB5909" s="42"/>
      <c r="BC5909" s="74"/>
      <c r="BD5909" s="77"/>
      <c r="BF5909">
        <v>66.92</v>
      </c>
      <c r="BH5909" s="42"/>
      <c r="BI5909" s="74"/>
      <c r="BJ5909" s="77"/>
      <c r="BL5909" s="497">
        <v>68</v>
      </c>
      <c r="BN5909" s="42"/>
      <c r="BO5909" s="74"/>
      <c r="BP5909" s="77"/>
      <c r="BR5909" s="497">
        <v>68</v>
      </c>
      <c r="BT5909" s="42"/>
    </row>
    <row r="5910" spans="1:72" x14ac:dyDescent="0.25">
      <c r="A5910" s="90">
        <v>34945</v>
      </c>
      <c r="B5910" s="20">
        <v>0.5</v>
      </c>
      <c r="D5910">
        <v>75.02</v>
      </c>
      <c r="E5910" t="str">
        <f t="shared" si="220"/>
        <v>SUNDAY</v>
      </c>
      <c r="F5910" t="e">
        <f t="shared" si="219"/>
        <v>#N/A</v>
      </c>
      <c r="G5910" s="74">
        <v>29101</v>
      </c>
      <c r="H5910" s="77">
        <v>0.5</v>
      </c>
      <c r="J5910">
        <v>81.319999999999993</v>
      </c>
      <c r="M5910" s="74">
        <v>37867</v>
      </c>
      <c r="N5910" s="77">
        <v>0.5</v>
      </c>
      <c r="P5910">
        <v>62.6</v>
      </c>
      <c r="S5910" s="74">
        <v>34945</v>
      </c>
      <c r="T5910" s="77">
        <v>0.5</v>
      </c>
      <c r="V5910">
        <v>75.92</v>
      </c>
      <c r="X5910" s="42"/>
      <c r="AB5910">
        <v>76.900000000000006</v>
      </c>
      <c r="AC5910">
        <v>75.92</v>
      </c>
      <c r="AE5910" s="74"/>
      <c r="AF5910" s="77"/>
      <c r="AH5910" s="497">
        <v>80.599999999999994</v>
      </c>
      <c r="AJ5910" s="42"/>
      <c r="AK5910" s="74"/>
      <c r="AL5910" s="77"/>
      <c r="AN5910" s="497">
        <v>61.34</v>
      </c>
      <c r="AP5910" s="42"/>
      <c r="AQ5910" s="74"/>
      <c r="AR5910" s="77"/>
      <c r="AT5910" s="497">
        <v>68</v>
      </c>
      <c r="AV5910" s="42"/>
      <c r="AW5910" s="74"/>
      <c r="AX5910" s="77"/>
      <c r="BA5910" s="497">
        <v>68</v>
      </c>
      <c r="BB5910" s="42"/>
      <c r="BC5910" s="74"/>
      <c r="BD5910" s="77"/>
      <c r="BF5910">
        <v>64.94</v>
      </c>
      <c r="BH5910" s="42"/>
      <c r="BI5910" s="74"/>
      <c r="BJ5910" s="77"/>
      <c r="BL5910" s="497">
        <v>69.080000000000013</v>
      </c>
      <c r="BN5910" s="42"/>
      <c r="BO5910" s="74"/>
      <c r="BP5910" s="77"/>
      <c r="BR5910" s="497">
        <v>68.900000000000006</v>
      </c>
      <c r="BT5910" s="42"/>
    </row>
    <row r="5911" spans="1:72" x14ac:dyDescent="0.25">
      <c r="A5911" s="90">
        <v>34945</v>
      </c>
      <c r="B5911" s="20">
        <v>0.54166666666666663</v>
      </c>
      <c r="D5911">
        <v>77</v>
      </c>
      <c r="E5911" t="str">
        <f t="shared" si="220"/>
        <v>SUNDAY</v>
      </c>
      <c r="F5911" t="e">
        <f t="shared" si="219"/>
        <v>#N/A</v>
      </c>
      <c r="G5911" s="74">
        <v>29101</v>
      </c>
      <c r="H5911" s="77">
        <v>0.54166666666666663</v>
      </c>
      <c r="J5911">
        <v>82.94</v>
      </c>
      <c r="M5911" s="74">
        <v>37867</v>
      </c>
      <c r="N5911" s="77">
        <v>0.54166666666666663</v>
      </c>
      <c r="P5911">
        <v>62.6</v>
      </c>
      <c r="S5911" s="74">
        <v>34945</v>
      </c>
      <c r="T5911" s="77">
        <v>0.54166666666666663</v>
      </c>
      <c r="V5911">
        <v>75.02</v>
      </c>
      <c r="X5911" s="42"/>
      <c r="AB5911">
        <v>77.8</v>
      </c>
      <c r="AC5911">
        <v>77</v>
      </c>
      <c r="AE5911" s="74"/>
      <c r="AF5911" s="77"/>
      <c r="AH5911" s="497">
        <v>82.4</v>
      </c>
      <c r="AJ5911" s="42"/>
      <c r="AK5911" s="74"/>
      <c r="AL5911" s="77"/>
      <c r="AN5911" s="497">
        <v>64.039999999999992</v>
      </c>
      <c r="AP5911" s="42"/>
      <c r="AQ5911" s="74"/>
      <c r="AR5911" s="77"/>
      <c r="AT5911" s="497">
        <v>69.98</v>
      </c>
      <c r="AV5911" s="42"/>
      <c r="AW5911" s="74"/>
      <c r="AX5911" s="77"/>
      <c r="BA5911" s="497">
        <v>69.080000000000013</v>
      </c>
      <c r="BB5911" s="42"/>
      <c r="BC5911" s="74"/>
      <c r="BD5911" s="77"/>
      <c r="BF5911">
        <v>66.92</v>
      </c>
      <c r="BH5911" s="42"/>
      <c r="BI5911" s="74"/>
      <c r="BJ5911" s="77"/>
      <c r="BL5911" s="497">
        <v>66.02</v>
      </c>
      <c r="BN5911" s="42"/>
      <c r="BO5911" s="74"/>
      <c r="BP5911" s="77"/>
      <c r="BR5911" s="497">
        <v>69.98</v>
      </c>
      <c r="BT5911" s="42"/>
    </row>
    <row r="5912" spans="1:72" x14ac:dyDescent="0.25">
      <c r="A5912" s="90">
        <v>34945</v>
      </c>
      <c r="B5912" s="20">
        <v>0.58333333333333337</v>
      </c>
      <c r="D5912">
        <v>77</v>
      </c>
      <c r="E5912" t="str">
        <f t="shared" si="220"/>
        <v>SUNDAY</v>
      </c>
      <c r="F5912" t="e">
        <f t="shared" si="219"/>
        <v>#N/A</v>
      </c>
      <c r="G5912" s="74">
        <v>29101</v>
      </c>
      <c r="H5912" s="77">
        <v>0.58333333333333337</v>
      </c>
      <c r="J5912">
        <v>82.94</v>
      </c>
      <c r="M5912" s="74">
        <v>37867</v>
      </c>
      <c r="N5912" s="77">
        <v>0.58333333333333337</v>
      </c>
      <c r="P5912">
        <v>62.6</v>
      </c>
      <c r="S5912" s="74">
        <v>34945</v>
      </c>
      <c r="T5912" s="77">
        <v>0.58333333333333337</v>
      </c>
      <c r="V5912">
        <v>77</v>
      </c>
      <c r="X5912" s="42"/>
      <c r="AB5912">
        <v>78.3</v>
      </c>
      <c r="AC5912">
        <v>75.92</v>
      </c>
      <c r="AE5912" s="74"/>
      <c r="AF5912" s="77"/>
      <c r="AH5912" s="497">
        <v>84.2</v>
      </c>
      <c r="AJ5912" s="42"/>
      <c r="AK5912" s="74"/>
      <c r="AL5912" s="77"/>
      <c r="AN5912" s="497">
        <v>64.94</v>
      </c>
      <c r="AP5912" s="42"/>
      <c r="AQ5912" s="74"/>
      <c r="AR5912" s="77"/>
      <c r="AT5912" s="497">
        <v>71.06</v>
      </c>
      <c r="AV5912" s="42"/>
      <c r="AW5912" s="74"/>
      <c r="AX5912" s="77"/>
      <c r="BA5912" s="497">
        <v>69.080000000000013</v>
      </c>
      <c r="BB5912" s="42"/>
      <c r="BC5912" s="74"/>
      <c r="BD5912" s="77"/>
      <c r="BF5912">
        <v>66.02</v>
      </c>
      <c r="BH5912" s="42"/>
      <c r="BI5912" s="74"/>
      <c r="BJ5912" s="77"/>
      <c r="BL5912" s="497">
        <v>66.02</v>
      </c>
      <c r="BN5912" s="42"/>
      <c r="BO5912" s="74"/>
      <c r="BP5912" s="77"/>
      <c r="BR5912" s="497">
        <v>70.7</v>
      </c>
      <c r="BT5912" s="42"/>
    </row>
    <row r="5913" spans="1:72" x14ac:dyDescent="0.25">
      <c r="A5913" s="90">
        <v>34945</v>
      </c>
      <c r="B5913" s="20">
        <v>0.625</v>
      </c>
      <c r="D5913">
        <v>77</v>
      </c>
      <c r="E5913" t="str">
        <f t="shared" si="220"/>
        <v>SUNDAY</v>
      </c>
      <c r="F5913" t="e">
        <f t="shared" si="219"/>
        <v>#N/A</v>
      </c>
      <c r="G5913" s="74">
        <v>29101</v>
      </c>
      <c r="H5913" s="77">
        <v>0.625</v>
      </c>
      <c r="J5913">
        <v>82.94</v>
      </c>
      <c r="M5913" s="74">
        <v>37867</v>
      </c>
      <c r="N5913" s="77">
        <v>0.625</v>
      </c>
      <c r="P5913">
        <v>62.6</v>
      </c>
      <c r="S5913" s="74">
        <v>34945</v>
      </c>
      <c r="T5913" s="77">
        <v>0.625</v>
      </c>
      <c r="V5913">
        <v>77</v>
      </c>
      <c r="X5913" s="42"/>
      <c r="AB5913">
        <v>78.3</v>
      </c>
      <c r="AC5913">
        <v>75.02</v>
      </c>
      <c r="AE5913" s="74"/>
      <c r="AF5913" s="77"/>
      <c r="AH5913" s="497">
        <v>86</v>
      </c>
      <c r="AJ5913" s="42"/>
      <c r="AK5913" s="74"/>
      <c r="AL5913" s="77"/>
      <c r="AN5913" s="497">
        <v>66.02</v>
      </c>
      <c r="AP5913" s="42"/>
      <c r="AQ5913" s="74"/>
      <c r="AR5913" s="77"/>
      <c r="AT5913" s="497">
        <v>73.039999999999992</v>
      </c>
      <c r="AV5913" s="42"/>
      <c r="AW5913" s="74"/>
      <c r="AX5913" s="77"/>
      <c r="BA5913" s="497">
        <v>71.06</v>
      </c>
      <c r="BB5913" s="42"/>
      <c r="BC5913" s="74"/>
      <c r="BD5913" s="77"/>
      <c r="BF5913">
        <v>66.02</v>
      </c>
      <c r="BH5913" s="42"/>
      <c r="BI5913" s="74"/>
      <c r="BJ5913" s="77"/>
      <c r="BL5913" s="497">
        <v>64.94</v>
      </c>
      <c r="BN5913" s="42"/>
      <c r="BO5913" s="74"/>
      <c r="BP5913" s="77"/>
      <c r="BR5913" s="497">
        <v>71.240000000000009</v>
      </c>
      <c r="BT5913" s="42"/>
    </row>
    <row r="5914" spans="1:72" x14ac:dyDescent="0.25">
      <c r="A5914" s="90">
        <v>34945</v>
      </c>
      <c r="B5914" s="20">
        <v>0.66666666666666663</v>
      </c>
      <c r="D5914">
        <v>75.92</v>
      </c>
      <c r="E5914" t="str">
        <f t="shared" si="220"/>
        <v>SUNDAY</v>
      </c>
      <c r="F5914" t="e">
        <f t="shared" si="219"/>
        <v>#N/A</v>
      </c>
      <c r="G5914" s="74">
        <v>29101</v>
      </c>
      <c r="H5914" s="77">
        <v>0.66666666666666663</v>
      </c>
      <c r="J5914">
        <v>82.94</v>
      </c>
      <c r="M5914" s="74">
        <v>37867</v>
      </c>
      <c r="N5914" s="77">
        <v>0.66666666666666663</v>
      </c>
      <c r="P5914">
        <v>62.6</v>
      </c>
      <c r="S5914" s="74">
        <v>34945</v>
      </c>
      <c r="T5914" s="77">
        <v>0.66666666666666663</v>
      </c>
      <c r="V5914">
        <v>77</v>
      </c>
      <c r="X5914" s="42"/>
      <c r="AB5914">
        <v>77.8</v>
      </c>
      <c r="AC5914">
        <v>75.02</v>
      </c>
      <c r="AE5914" s="74"/>
      <c r="AF5914" s="77"/>
      <c r="AH5914" s="497">
        <v>86</v>
      </c>
      <c r="AJ5914" s="42"/>
      <c r="AK5914" s="74"/>
      <c r="AL5914" s="77"/>
      <c r="AN5914" s="497">
        <v>66.92</v>
      </c>
      <c r="AP5914" s="42"/>
      <c r="AQ5914" s="74"/>
      <c r="AR5914" s="77"/>
      <c r="AT5914" s="497">
        <v>73.039999999999992</v>
      </c>
      <c r="AV5914" s="42"/>
      <c r="AW5914" s="74"/>
      <c r="AX5914" s="77"/>
      <c r="BA5914" s="497">
        <v>71.06</v>
      </c>
      <c r="BB5914" s="42"/>
      <c r="BC5914" s="74"/>
      <c r="BD5914" s="77"/>
      <c r="BF5914">
        <v>64.94</v>
      </c>
      <c r="BH5914" s="42"/>
      <c r="BI5914" s="74"/>
      <c r="BJ5914" s="77"/>
      <c r="BL5914" s="497">
        <v>68</v>
      </c>
      <c r="BN5914" s="42"/>
      <c r="BO5914" s="74"/>
      <c r="BP5914" s="77"/>
      <c r="BR5914" s="497">
        <v>71.960000000000008</v>
      </c>
      <c r="BT5914" s="42"/>
    </row>
    <row r="5915" spans="1:72" x14ac:dyDescent="0.25">
      <c r="A5915" s="90">
        <v>34945</v>
      </c>
      <c r="B5915" s="20">
        <v>0.70833333333333337</v>
      </c>
      <c r="D5915">
        <v>73.94</v>
      </c>
      <c r="E5915" t="str">
        <f t="shared" si="220"/>
        <v>SUNDAY</v>
      </c>
      <c r="F5915" t="e">
        <f t="shared" si="219"/>
        <v>#N/A</v>
      </c>
      <c r="G5915" s="74">
        <v>29101</v>
      </c>
      <c r="H5915" s="77">
        <v>0.70833333333333337</v>
      </c>
      <c r="J5915">
        <v>82.22</v>
      </c>
      <c r="M5915" s="74">
        <v>37867</v>
      </c>
      <c r="N5915" s="77">
        <v>0.70833333333333337</v>
      </c>
      <c r="P5915">
        <v>62.6</v>
      </c>
      <c r="S5915" s="74">
        <v>34945</v>
      </c>
      <c r="T5915" s="77">
        <v>0.70833333333333337</v>
      </c>
      <c r="V5915">
        <v>75.92</v>
      </c>
      <c r="X5915" s="42"/>
      <c r="AB5915">
        <v>76.900000000000006</v>
      </c>
      <c r="AC5915">
        <v>73.94</v>
      </c>
      <c r="AE5915" s="74"/>
      <c r="AF5915" s="77"/>
      <c r="AH5915" s="497">
        <v>84.2</v>
      </c>
      <c r="AJ5915" s="42"/>
      <c r="AK5915" s="74"/>
      <c r="AL5915" s="77"/>
      <c r="AN5915" s="497">
        <v>64.580000000000013</v>
      </c>
      <c r="AP5915" s="42"/>
      <c r="AQ5915" s="74"/>
      <c r="AR5915" s="77"/>
      <c r="AT5915" s="497">
        <v>71.960000000000008</v>
      </c>
      <c r="AV5915" s="42"/>
      <c r="AW5915" s="74"/>
      <c r="AX5915" s="77"/>
      <c r="BA5915" s="497">
        <v>71.06</v>
      </c>
      <c r="BB5915" s="42"/>
      <c r="BC5915" s="74"/>
      <c r="BD5915" s="77"/>
      <c r="BF5915">
        <v>66.02</v>
      </c>
      <c r="BH5915" s="42"/>
      <c r="BI5915" s="74"/>
      <c r="BJ5915" s="77"/>
      <c r="BL5915" s="497">
        <v>69.080000000000013</v>
      </c>
      <c r="BN5915" s="42"/>
      <c r="BO5915" s="74"/>
      <c r="BP5915" s="77"/>
      <c r="BR5915" s="497">
        <v>69.62</v>
      </c>
      <c r="BT5915" s="42"/>
    </row>
    <row r="5916" spans="1:72" x14ac:dyDescent="0.25">
      <c r="A5916" s="90">
        <v>34945</v>
      </c>
      <c r="B5916" s="20">
        <v>0.75</v>
      </c>
      <c r="D5916">
        <v>71.960000000000008</v>
      </c>
      <c r="E5916" t="str">
        <f t="shared" si="220"/>
        <v>SUNDAY</v>
      </c>
      <c r="F5916" t="e">
        <f t="shared" si="219"/>
        <v>#N/A</v>
      </c>
      <c r="G5916" s="74">
        <v>29101</v>
      </c>
      <c r="H5916" s="77">
        <v>0.75</v>
      </c>
      <c r="J5916">
        <v>81.680000000000007</v>
      </c>
      <c r="M5916" s="74">
        <v>37867</v>
      </c>
      <c r="N5916" s="77">
        <v>0.75</v>
      </c>
      <c r="P5916">
        <v>61.34</v>
      </c>
      <c r="S5916" s="74">
        <v>34945</v>
      </c>
      <c r="T5916" s="77">
        <v>0.75</v>
      </c>
      <c r="V5916">
        <v>73.94</v>
      </c>
      <c r="X5916" s="42"/>
      <c r="AB5916">
        <v>75.8</v>
      </c>
      <c r="AC5916">
        <v>71.960000000000008</v>
      </c>
      <c r="AE5916" s="74"/>
      <c r="AF5916" s="77"/>
      <c r="AH5916" s="497">
        <v>75.2</v>
      </c>
      <c r="AJ5916" s="42"/>
      <c r="AK5916" s="74"/>
      <c r="AL5916" s="77"/>
      <c r="AN5916" s="497">
        <v>62.42</v>
      </c>
      <c r="AP5916" s="42"/>
      <c r="AQ5916" s="74"/>
      <c r="AR5916" s="77"/>
      <c r="AT5916" s="497">
        <v>69.98</v>
      </c>
      <c r="AV5916" s="42"/>
      <c r="AW5916" s="74"/>
      <c r="AX5916" s="77"/>
      <c r="BA5916" s="497">
        <v>69.080000000000013</v>
      </c>
      <c r="BB5916" s="42"/>
      <c r="BC5916" s="74"/>
      <c r="BD5916" s="77"/>
      <c r="BF5916">
        <v>62.96</v>
      </c>
      <c r="BH5916" s="42"/>
      <c r="BI5916" s="74"/>
      <c r="BJ5916" s="77"/>
      <c r="BL5916" s="497">
        <v>68</v>
      </c>
      <c r="BN5916" s="42"/>
      <c r="BO5916" s="74"/>
      <c r="BP5916" s="77"/>
      <c r="BR5916" s="497">
        <v>67.28</v>
      </c>
      <c r="BT5916" s="42"/>
    </row>
    <row r="5917" spans="1:72" x14ac:dyDescent="0.25">
      <c r="A5917" s="90">
        <v>34945</v>
      </c>
      <c r="B5917" s="20">
        <v>0.79166666666666663</v>
      </c>
      <c r="D5917">
        <v>71.06</v>
      </c>
      <c r="E5917" t="str">
        <f t="shared" si="220"/>
        <v>SUNDAY</v>
      </c>
      <c r="F5917" t="e">
        <f t="shared" si="219"/>
        <v>#N/A</v>
      </c>
      <c r="G5917" s="74">
        <v>29101</v>
      </c>
      <c r="H5917" s="77">
        <v>0.79166666666666663</v>
      </c>
      <c r="J5917">
        <v>80.960000000000008</v>
      </c>
      <c r="M5917" s="74">
        <v>37867</v>
      </c>
      <c r="N5917" s="77">
        <v>0.79166666666666663</v>
      </c>
      <c r="P5917">
        <v>60.26</v>
      </c>
      <c r="S5917" s="74">
        <v>34945</v>
      </c>
      <c r="T5917" s="77">
        <v>0.79166666666666663</v>
      </c>
      <c r="V5917">
        <v>73.039999999999992</v>
      </c>
      <c r="X5917" s="42"/>
      <c r="AB5917">
        <v>74.3</v>
      </c>
      <c r="AC5917">
        <v>69.98</v>
      </c>
      <c r="AE5917" s="74"/>
      <c r="AF5917" s="77"/>
      <c r="AH5917" s="497">
        <v>69.800000000000011</v>
      </c>
      <c r="AJ5917" s="42"/>
      <c r="AK5917" s="74"/>
      <c r="AL5917" s="77"/>
      <c r="AN5917" s="497">
        <v>60.08</v>
      </c>
      <c r="AP5917" s="42"/>
      <c r="AQ5917" s="74"/>
      <c r="AR5917" s="77"/>
      <c r="AT5917" s="497">
        <v>62.96</v>
      </c>
      <c r="AV5917" s="42"/>
      <c r="AW5917" s="74"/>
      <c r="AX5917" s="77"/>
      <c r="BA5917" s="497">
        <v>66.02</v>
      </c>
      <c r="BB5917" s="42"/>
      <c r="BC5917" s="74"/>
      <c r="BD5917" s="77"/>
      <c r="BF5917">
        <v>60.980000000000004</v>
      </c>
      <c r="BH5917" s="42"/>
      <c r="BI5917" s="74"/>
      <c r="BJ5917" s="77"/>
      <c r="BL5917" s="497">
        <v>64.94</v>
      </c>
      <c r="BN5917" s="42"/>
      <c r="BO5917" s="74"/>
      <c r="BP5917" s="77"/>
      <c r="BR5917" s="497">
        <v>64.94</v>
      </c>
      <c r="BT5917" s="42"/>
    </row>
    <row r="5918" spans="1:72" x14ac:dyDescent="0.25">
      <c r="A5918" s="90">
        <v>34945</v>
      </c>
      <c r="B5918" s="20">
        <v>0.83333333333333337</v>
      </c>
      <c r="D5918">
        <v>71.06</v>
      </c>
      <c r="E5918" t="str">
        <f t="shared" si="220"/>
        <v>SUNDAY</v>
      </c>
      <c r="F5918" t="e">
        <f t="shared" si="219"/>
        <v>#N/A</v>
      </c>
      <c r="G5918" s="74">
        <v>29101</v>
      </c>
      <c r="H5918" s="77">
        <v>0.83333333333333337</v>
      </c>
      <c r="J5918">
        <v>80.240000000000009</v>
      </c>
      <c r="M5918" s="74">
        <v>37867</v>
      </c>
      <c r="N5918" s="77">
        <v>0.83333333333333337</v>
      </c>
      <c r="P5918">
        <v>60.44</v>
      </c>
      <c r="S5918" s="74">
        <v>34945</v>
      </c>
      <c r="T5918" s="77">
        <v>0.83333333333333337</v>
      </c>
      <c r="V5918">
        <v>71.960000000000008</v>
      </c>
      <c r="X5918" s="42"/>
      <c r="AB5918">
        <v>72.900000000000006</v>
      </c>
      <c r="AC5918">
        <v>69.98</v>
      </c>
      <c r="AE5918" s="74"/>
      <c r="AF5918" s="77"/>
      <c r="AH5918" s="497">
        <v>68</v>
      </c>
      <c r="AJ5918" s="42"/>
      <c r="AK5918" s="74"/>
      <c r="AL5918" s="77"/>
      <c r="AN5918" s="497">
        <v>59</v>
      </c>
      <c r="AP5918" s="42"/>
      <c r="AQ5918" s="74"/>
      <c r="AR5918" s="77"/>
      <c r="AT5918" s="497">
        <v>57.92</v>
      </c>
      <c r="AV5918" s="42"/>
      <c r="AW5918" s="74"/>
      <c r="AX5918" s="77"/>
      <c r="BA5918" s="497">
        <v>66.02</v>
      </c>
      <c r="BB5918" s="42"/>
      <c r="BC5918" s="74"/>
      <c r="BD5918" s="77"/>
      <c r="BF5918">
        <v>57.92</v>
      </c>
      <c r="BH5918" s="42"/>
      <c r="BI5918" s="74"/>
      <c r="BJ5918" s="77"/>
      <c r="BL5918" s="497">
        <v>62.06</v>
      </c>
      <c r="BN5918" s="42"/>
      <c r="BO5918" s="74"/>
      <c r="BP5918" s="77"/>
      <c r="BR5918" s="497">
        <v>61.88</v>
      </c>
      <c r="BT5918" s="42"/>
    </row>
    <row r="5919" spans="1:72" x14ac:dyDescent="0.25">
      <c r="A5919" s="90">
        <v>34945</v>
      </c>
      <c r="B5919" s="20">
        <v>0.875</v>
      </c>
      <c r="D5919">
        <v>69.98</v>
      </c>
      <c r="E5919" t="str">
        <f t="shared" si="220"/>
        <v>SUNDAY</v>
      </c>
      <c r="F5919" t="e">
        <f t="shared" si="219"/>
        <v>#N/A</v>
      </c>
      <c r="G5919" s="74">
        <v>29101</v>
      </c>
      <c r="H5919" s="77">
        <v>0.875</v>
      </c>
      <c r="J5919">
        <v>79.7</v>
      </c>
      <c r="M5919" s="74">
        <v>37867</v>
      </c>
      <c r="N5919" s="77">
        <v>0.875</v>
      </c>
      <c r="P5919">
        <v>60.8</v>
      </c>
      <c r="S5919" s="74">
        <v>34945</v>
      </c>
      <c r="T5919" s="77">
        <v>0.875</v>
      </c>
      <c r="V5919">
        <v>71.06</v>
      </c>
      <c r="X5919" s="42"/>
      <c r="AB5919">
        <v>72.2</v>
      </c>
      <c r="AC5919">
        <v>69.080000000000013</v>
      </c>
      <c r="AE5919" s="74"/>
      <c r="AF5919" s="77"/>
      <c r="AH5919" s="497">
        <v>66.2</v>
      </c>
      <c r="AJ5919" s="42"/>
      <c r="AK5919" s="74"/>
      <c r="AL5919" s="77"/>
      <c r="AN5919" s="497">
        <v>58.1</v>
      </c>
      <c r="AP5919" s="42"/>
      <c r="AQ5919" s="74"/>
      <c r="AR5919" s="77"/>
      <c r="AT5919" s="497">
        <v>57.019999999999996</v>
      </c>
      <c r="AV5919" s="42"/>
      <c r="AW5919" s="74"/>
      <c r="AX5919" s="77"/>
      <c r="BA5919" s="497">
        <v>64.94</v>
      </c>
      <c r="BB5919" s="42"/>
      <c r="BC5919" s="74"/>
      <c r="BD5919" s="77"/>
      <c r="BF5919">
        <v>55.94</v>
      </c>
      <c r="BH5919" s="42"/>
      <c r="BI5919" s="74"/>
      <c r="BJ5919" s="77"/>
      <c r="BL5919" s="497">
        <v>60.980000000000004</v>
      </c>
      <c r="BN5919" s="42"/>
      <c r="BO5919" s="74"/>
      <c r="BP5919" s="77"/>
      <c r="BR5919" s="497">
        <v>59</v>
      </c>
      <c r="BT5919" s="42"/>
    </row>
    <row r="5920" spans="1:72" x14ac:dyDescent="0.25">
      <c r="A5920" s="90">
        <v>34945</v>
      </c>
      <c r="B5920" s="20">
        <v>0.91666666666666663</v>
      </c>
      <c r="D5920">
        <v>69.98</v>
      </c>
      <c r="E5920" t="str">
        <f t="shared" si="220"/>
        <v>SUNDAY</v>
      </c>
      <c r="F5920" t="e">
        <f t="shared" si="219"/>
        <v>#N/A</v>
      </c>
      <c r="G5920" s="74">
        <v>29101</v>
      </c>
      <c r="H5920" s="77">
        <v>0.91666666666666663</v>
      </c>
      <c r="J5920">
        <v>78.98</v>
      </c>
      <c r="M5920" s="74">
        <v>37867</v>
      </c>
      <c r="N5920" s="77">
        <v>0.91666666666666663</v>
      </c>
      <c r="P5920">
        <v>61.7</v>
      </c>
      <c r="S5920" s="74">
        <v>34945</v>
      </c>
      <c r="T5920" s="77">
        <v>0.91666666666666663</v>
      </c>
      <c r="V5920">
        <v>69.98</v>
      </c>
      <c r="X5920" s="42"/>
      <c r="AB5920">
        <v>71.599999999999994</v>
      </c>
      <c r="AC5920">
        <v>69.080000000000013</v>
      </c>
      <c r="AE5920" s="74"/>
      <c r="AF5920" s="77"/>
      <c r="AH5920" s="497">
        <v>64.400000000000006</v>
      </c>
      <c r="AJ5920" s="42"/>
      <c r="AK5920" s="74"/>
      <c r="AL5920" s="77"/>
      <c r="AN5920" s="497">
        <v>57.019999999999996</v>
      </c>
      <c r="AP5920" s="42"/>
      <c r="AQ5920" s="74"/>
      <c r="AR5920" s="77"/>
      <c r="AT5920" s="497">
        <v>57.019999999999996</v>
      </c>
      <c r="AV5920" s="42"/>
      <c r="AW5920" s="74"/>
      <c r="AX5920" s="77"/>
      <c r="BA5920" s="497">
        <v>66.02</v>
      </c>
      <c r="BB5920" s="42"/>
      <c r="BC5920" s="74"/>
      <c r="BD5920" s="77"/>
      <c r="BF5920">
        <v>53.96</v>
      </c>
      <c r="BH5920" s="42"/>
      <c r="BI5920" s="74"/>
      <c r="BJ5920" s="77"/>
      <c r="BL5920" s="497">
        <v>60.980000000000004</v>
      </c>
      <c r="BN5920" s="42"/>
      <c r="BO5920" s="74"/>
      <c r="BP5920" s="77"/>
      <c r="BR5920" s="497">
        <v>55.94</v>
      </c>
      <c r="BT5920" s="42"/>
    </row>
    <row r="5921" spans="1:72" x14ac:dyDescent="0.25">
      <c r="A5921" s="90">
        <v>34945</v>
      </c>
      <c r="B5921" s="20">
        <v>0.95833333333333337</v>
      </c>
      <c r="D5921">
        <v>69.98</v>
      </c>
      <c r="E5921" t="str">
        <f t="shared" si="220"/>
        <v>SUNDAY</v>
      </c>
      <c r="F5921" t="e">
        <f t="shared" si="219"/>
        <v>#N/A</v>
      </c>
      <c r="G5921" s="74">
        <v>29101</v>
      </c>
      <c r="H5921" s="77">
        <v>0.95833333333333337</v>
      </c>
      <c r="J5921">
        <v>78.259999999999991</v>
      </c>
      <c r="M5921" s="74">
        <v>37867</v>
      </c>
      <c r="N5921" s="77">
        <v>0.95833333333333337</v>
      </c>
      <c r="P5921">
        <v>62.42</v>
      </c>
      <c r="S5921" s="74">
        <v>34945</v>
      </c>
      <c r="T5921" s="77">
        <v>0.95833333333333337</v>
      </c>
      <c r="V5921">
        <v>69.98</v>
      </c>
      <c r="X5921" s="42"/>
      <c r="AB5921">
        <v>70.900000000000006</v>
      </c>
      <c r="AC5921">
        <v>66.92</v>
      </c>
      <c r="AE5921" s="74"/>
      <c r="AF5921" s="77"/>
      <c r="AH5921" s="497">
        <v>62.6</v>
      </c>
      <c r="AJ5921" s="42"/>
      <c r="AK5921" s="74"/>
      <c r="AL5921" s="77"/>
      <c r="AN5921" s="497">
        <v>56.66</v>
      </c>
      <c r="AP5921" s="42"/>
      <c r="AQ5921" s="74"/>
      <c r="AR5921" s="77"/>
      <c r="AT5921" s="497">
        <v>55.94</v>
      </c>
      <c r="AV5921" s="42"/>
      <c r="AW5921" s="74"/>
      <c r="AX5921" s="77"/>
      <c r="BA5921" s="497">
        <v>64.94</v>
      </c>
      <c r="BB5921" s="42"/>
      <c r="BC5921" s="74"/>
      <c r="BD5921" s="77"/>
      <c r="BF5921">
        <v>51.980000000000004</v>
      </c>
      <c r="BH5921" s="42"/>
      <c r="BI5921" s="74"/>
      <c r="BJ5921" s="77"/>
      <c r="BL5921" s="497">
        <v>57.92</v>
      </c>
      <c r="BN5921" s="42"/>
      <c r="BO5921" s="74"/>
      <c r="BP5921" s="77"/>
      <c r="BR5921" s="497">
        <v>54.68</v>
      </c>
      <c r="BT5921" s="42"/>
    </row>
    <row r="5922" spans="1:72" x14ac:dyDescent="0.25">
      <c r="A5922" s="90">
        <v>34945</v>
      </c>
      <c r="B5922" s="20">
        <v>1</v>
      </c>
      <c r="D5922">
        <v>69.98</v>
      </c>
      <c r="E5922" t="str">
        <f t="shared" si="220"/>
        <v>SUNDAY</v>
      </c>
      <c r="F5922" t="e">
        <f t="shared" si="219"/>
        <v>#N/A</v>
      </c>
      <c r="G5922" s="74">
        <v>29101</v>
      </c>
      <c r="H5922" s="77">
        <v>1</v>
      </c>
      <c r="J5922">
        <v>77.72</v>
      </c>
      <c r="M5922" s="74">
        <v>37867</v>
      </c>
      <c r="N5922" s="80">
        <v>1</v>
      </c>
      <c r="P5922">
        <v>63.319999999999993</v>
      </c>
      <c r="S5922" s="74">
        <v>34945</v>
      </c>
      <c r="T5922" s="80">
        <v>1</v>
      </c>
      <c r="V5922">
        <v>69.080000000000013</v>
      </c>
      <c r="X5922" s="42"/>
      <c r="AB5922">
        <v>70.3</v>
      </c>
      <c r="AC5922">
        <v>69.080000000000013</v>
      </c>
      <c r="AE5922" s="74"/>
      <c r="AF5922" s="80"/>
      <c r="AH5922" s="497">
        <v>62.6</v>
      </c>
      <c r="AJ5922" s="42"/>
      <c r="AK5922" s="74"/>
      <c r="AL5922" s="80"/>
      <c r="AN5922" s="497">
        <v>56.3</v>
      </c>
      <c r="AP5922" s="42"/>
      <c r="AQ5922" s="74"/>
      <c r="AR5922" s="80"/>
      <c r="AT5922" s="497">
        <v>55.040000000000006</v>
      </c>
      <c r="AV5922" s="42"/>
      <c r="AW5922" s="74"/>
      <c r="AX5922" s="80"/>
      <c r="BA5922" s="497">
        <v>62.96</v>
      </c>
      <c r="BB5922" s="42"/>
      <c r="BC5922" s="74"/>
      <c r="BD5922" s="80"/>
      <c r="BF5922">
        <v>50</v>
      </c>
      <c r="BH5922" s="42"/>
      <c r="BI5922" s="74"/>
      <c r="BJ5922" s="80"/>
      <c r="BL5922" s="497">
        <v>57.019999999999996</v>
      </c>
      <c r="BN5922" s="42"/>
      <c r="BO5922" s="74"/>
      <c r="BP5922" s="80"/>
      <c r="BR5922" s="497">
        <v>53.24</v>
      </c>
      <c r="BT5922" s="42"/>
    </row>
    <row r="5923" spans="1:72" x14ac:dyDescent="0.25">
      <c r="A5923" s="90">
        <v>34946</v>
      </c>
      <c r="B5923" s="20">
        <v>4.1666666666666664E-2</v>
      </c>
      <c r="D5923">
        <v>69.080000000000013</v>
      </c>
      <c r="E5923" t="str">
        <f t="shared" si="220"/>
        <v>WEEKDAY</v>
      </c>
      <c r="F5923" t="e">
        <f t="shared" si="219"/>
        <v>#N/A</v>
      </c>
      <c r="G5923" s="74">
        <v>29102</v>
      </c>
      <c r="H5923" s="77">
        <v>4.1666666666666664E-2</v>
      </c>
      <c r="J5923">
        <v>77</v>
      </c>
      <c r="M5923" s="74">
        <v>37868</v>
      </c>
      <c r="N5923" s="77">
        <v>4.1666666666666664E-2</v>
      </c>
      <c r="P5923">
        <v>64.580000000000013</v>
      </c>
      <c r="S5923" s="74">
        <v>34946</v>
      </c>
      <c r="T5923" s="77">
        <v>4.1666666666666664E-2</v>
      </c>
      <c r="V5923">
        <v>68</v>
      </c>
      <c r="X5923" s="42"/>
      <c r="AB5923">
        <v>69.599999999999994</v>
      </c>
      <c r="AC5923">
        <v>66.92</v>
      </c>
      <c r="AE5923" s="74"/>
      <c r="AF5923" s="77"/>
      <c r="AH5923" s="497">
        <v>60.8</v>
      </c>
      <c r="AJ5923" s="42"/>
      <c r="AK5923" s="74"/>
      <c r="AL5923" s="77"/>
      <c r="AN5923" s="497">
        <v>55.94</v>
      </c>
      <c r="AP5923" s="42"/>
      <c r="AQ5923" s="74"/>
      <c r="AR5923" s="77"/>
      <c r="AT5923" s="497">
        <v>53.06</v>
      </c>
      <c r="AV5923" s="42"/>
      <c r="AW5923" s="74"/>
      <c r="AX5923" s="77"/>
      <c r="BA5923" s="497">
        <v>64.039999999999992</v>
      </c>
      <c r="BB5923" s="42"/>
      <c r="BC5923" s="74"/>
      <c r="BD5923" s="77"/>
      <c r="BF5923">
        <v>48.92</v>
      </c>
      <c r="BH5923" s="42"/>
      <c r="BI5923" s="74"/>
      <c r="BJ5923" s="77"/>
      <c r="BL5923" s="497">
        <v>55.040000000000006</v>
      </c>
      <c r="BN5923" s="42"/>
      <c r="BO5923" s="74"/>
      <c r="BP5923" s="77"/>
      <c r="BR5923" s="497">
        <v>51.980000000000004</v>
      </c>
      <c r="BT5923" s="42"/>
    </row>
    <row r="5924" spans="1:72" x14ac:dyDescent="0.25">
      <c r="A5924" s="90">
        <v>34946</v>
      </c>
      <c r="B5924" s="20">
        <v>8.3333333333333329E-2</v>
      </c>
      <c r="D5924">
        <v>69.080000000000013</v>
      </c>
      <c r="E5924" t="str">
        <f t="shared" si="220"/>
        <v>WEEKDAY</v>
      </c>
      <c r="F5924" t="e">
        <f t="shared" si="219"/>
        <v>#N/A</v>
      </c>
      <c r="G5924" s="74">
        <v>29102</v>
      </c>
      <c r="H5924" s="77">
        <v>8.3333333333333329E-2</v>
      </c>
      <c r="J5924">
        <v>75.740000000000009</v>
      </c>
      <c r="M5924" s="74">
        <v>37868</v>
      </c>
      <c r="N5924" s="77">
        <v>8.3333333333333329E-2</v>
      </c>
      <c r="P5924">
        <v>65.48</v>
      </c>
      <c r="S5924" s="74">
        <v>34946</v>
      </c>
      <c r="T5924" s="77">
        <v>8.3333333333333329E-2</v>
      </c>
      <c r="V5924">
        <v>69.080000000000013</v>
      </c>
      <c r="X5924" s="42"/>
      <c r="AB5924">
        <v>69.099999999999994</v>
      </c>
      <c r="AC5924">
        <v>66.02</v>
      </c>
      <c r="AE5924" s="74"/>
      <c r="AF5924" s="77"/>
      <c r="AH5924" s="497">
        <v>60.8</v>
      </c>
      <c r="AJ5924" s="42"/>
      <c r="AK5924" s="74"/>
      <c r="AL5924" s="77"/>
      <c r="AN5924" s="497">
        <v>55.22</v>
      </c>
      <c r="AP5924" s="42"/>
      <c r="AQ5924" s="74"/>
      <c r="AR5924" s="77"/>
      <c r="AT5924" s="497">
        <v>51.08</v>
      </c>
      <c r="AV5924" s="42"/>
      <c r="AW5924" s="74"/>
      <c r="AX5924" s="77"/>
      <c r="BA5924" s="497">
        <v>64.039999999999992</v>
      </c>
      <c r="BB5924" s="42"/>
      <c r="BC5924" s="74"/>
      <c r="BD5924" s="77"/>
      <c r="BF5924">
        <v>48.92</v>
      </c>
      <c r="BH5924" s="42"/>
      <c r="BI5924" s="74"/>
      <c r="BJ5924" s="77"/>
      <c r="BL5924" s="497">
        <v>55.040000000000006</v>
      </c>
      <c r="BN5924" s="42"/>
      <c r="BO5924" s="74"/>
      <c r="BP5924" s="77"/>
      <c r="BR5924" s="497">
        <v>51.980000000000004</v>
      </c>
      <c r="BT5924" s="42"/>
    </row>
    <row r="5925" spans="1:72" x14ac:dyDescent="0.25">
      <c r="A5925" s="90">
        <v>34946</v>
      </c>
      <c r="B5925" s="20">
        <v>0.125</v>
      </c>
      <c r="D5925">
        <v>69.080000000000013</v>
      </c>
      <c r="E5925" t="str">
        <f t="shared" si="220"/>
        <v>WEEKDAY</v>
      </c>
      <c r="F5925" t="e">
        <f t="shared" si="219"/>
        <v>#N/A</v>
      </c>
      <c r="G5925" s="74">
        <v>29102</v>
      </c>
      <c r="H5925" s="77">
        <v>0.125</v>
      </c>
      <c r="J5925">
        <v>74.300000000000011</v>
      </c>
      <c r="M5925" s="74">
        <v>37868</v>
      </c>
      <c r="N5925" s="77">
        <v>0.125</v>
      </c>
      <c r="P5925">
        <v>66.38</v>
      </c>
      <c r="S5925" s="74">
        <v>34946</v>
      </c>
      <c r="T5925" s="77">
        <v>0.125</v>
      </c>
      <c r="V5925">
        <v>68</v>
      </c>
      <c r="X5925" s="42"/>
      <c r="AB5925">
        <v>68.599999999999994</v>
      </c>
      <c r="AC5925">
        <v>64.94</v>
      </c>
      <c r="AE5925" s="74"/>
      <c r="AF5925" s="77"/>
      <c r="AH5925" s="497">
        <v>59</v>
      </c>
      <c r="AJ5925" s="42"/>
      <c r="AK5925" s="74"/>
      <c r="AL5925" s="77"/>
      <c r="AN5925" s="497">
        <v>54.68</v>
      </c>
      <c r="AP5925" s="42"/>
      <c r="AQ5925" s="74"/>
      <c r="AR5925" s="77"/>
      <c r="AT5925" s="497">
        <v>51.08</v>
      </c>
      <c r="AV5925" s="42"/>
      <c r="AW5925" s="74"/>
      <c r="AX5925" s="77"/>
      <c r="BA5925" s="497">
        <v>64.039999999999992</v>
      </c>
      <c r="BB5925" s="42"/>
      <c r="BC5925" s="74"/>
      <c r="BD5925" s="77"/>
      <c r="BF5925">
        <v>48.019999999999996</v>
      </c>
      <c r="BH5925" s="42"/>
      <c r="BI5925" s="74"/>
      <c r="BJ5925" s="77"/>
      <c r="BL5925" s="497">
        <v>53.96</v>
      </c>
      <c r="BN5925" s="42"/>
      <c r="BO5925" s="74"/>
      <c r="BP5925" s="77"/>
      <c r="BR5925" s="497">
        <v>51.980000000000004</v>
      </c>
      <c r="BT5925" s="42"/>
    </row>
    <row r="5926" spans="1:72" x14ac:dyDescent="0.25">
      <c r="A5926" s="90">
        <v>34946</v>
      </c>
      <c r="B5926" s="20">
        <v>0.16666666666666666</v>
      </c>
      <c r="D5926">
        <v>69.080000000000013</v>
      </c>
      <c r="E5926" t="str">
        <f t="shared" si="220"/>
        <v>WEEKDAY</v>
      </c>
      <c r="F5926" t="e">
        <f t="shared" si="219"/>
        <v>#N/A</v>
      </c>
      <c r="G5926" s="74">
        <v>29102</v>
      </c>
      <c r="H5926" s="77">
        <v>0.16666666666666666</v>
      </c>
      <c r="J5926">
        <v>73.039999999999992</v>
      </c>
      <c r="M5926" s="74">
        <v>37868</v>
      </c>
      <c r="N5926" s="77">
        <v>0.16666666666666666</v>
      </c>
      <c r="P5926">
        <v>67.819999999999993</v>
      </c>
      <c r="S5926" s="74">
        <v>34946</v>
      </c>
      <c r="T5926" s="77">
        <v>0.16666666666666666</v>
      </c>
      <c r="V5926">
        <v>66.92</v>
      </c>
      <c r="X5926" s="42"/>
      <c r="AB5926">
        <v>68</v>
      </c>
      <c r="AC5926">
        <v>64.94</v>
      </c>
      <c r="AE5926" s="74"/>
      <c r="AF5926" s="77"/>
      <c r="AH5926" s="497">
        <v>59</v>
      </c>
      <c r="AJ5926" s="42"/>
      <c r="AK5926" s="74"/>
      <c r="AL5926" s="77"/>
      <c r="AN5926" s="497">
        <v>53.96</v>
      </c>
      <c r="AP5926" s="42"/>
      <c r="AQ5926" s="74"/>
      <c r="AR5926" s="77"/>
      <c r="AT5926" s="497">
        <v>50</v>
      </c>
      <c r="AV5926" s="42"/>
      <c r="AW5926" s="74"/>
      <c r="AX5926" s="77"/>
      <c r="BA5926" s="497">
        <v>64.94</v>
      </c>
      <c r="BB5926" s="42"/>
      <c r="BC5926" s="74"/>
      <c r="BD5926" s="77"/>
      <c r="BF5926">
        <v>46.04</v>
      </c>
      <c r="BH5926" s="42"/>
      <c r="BI5926" s="74"/>
      <c r="BJ5926" s="77"/>
      <c r="BL5926" s="497">
        <v>53.06</v>
      </c>
      <c r="BN5926" s="42"/>
      <c r="BO5926" s="74"/>
      <c r="BP5926" s="77"/>
      <c r="BR5926" s="497">
        <v>51.980000000000004</v>
      </c>
      <c r="BT5926" s="42"/>
    </row>
    <row r="5927" spans="1:72" x14ac:dyDescent="0.25">
      <c r="A5927" s="90">
        <v>34946</v>
      </c>
      <c r="B5927" s="20">
        <v>0.20833333333333334</v>
      </c>
      <c r="D5927">
        <v>69.080000000000013</v>
      </c>
      <c r="E5927" t="str">
        <f t="shared" si="220"/>
        <v>WEEKDAY</v>
      </c>
      <c r="F5927" t="e">
        <f t="shared" si="219"/>
        <v>#N/A</v>
      </c>
      <c r="G5927" s="74">
        <v>29102</v>
      </c>
      <c r="H5927" s="77">
        <v>0.20833333333333334</v>
      </c>
      <c r="J5927">
        <v>73.759999999999991</v>
      </c>
      <c r="M5927" s="74">
        <v>37868</v>
      </c>
      <c r="N5927" s="77">
        <v>0.20833333333333334</v>
      </c>
      <c r="P5927">
        <v>68.539999999999992</v>
      </c>
      <c r="S5927" s="74">
        <v>34946</v>
      </c>
      <c r="T5927" s="77">
        <v>0.20833333333333334</v>
      </c>
      <c r="V5927">
        <v>66.92</v>
      </c>
      <c r="X5927" s="42"/>
      <c r="AB5927">
        <v>67.5</v>
      </c>
      <c r="AC5927">
        <v>64.94</v>
      </c>
      <c r="AE5927" s="74"/>
      <c r="AF5927" s="77"/>
      <c r="AH5927" s="497">
        <v>59</v>
      </c>
      <c r="AJ5927" s="42"/>
      <c r="AK5927" s="74"/>
      <c r="AL5927" s="77"/>
      <c r="AN5927" s="497">
        <v>54.68</v>
      </c>
      <c r="AP5927" s="42"/>
      <c r="AQ5927" s="74"/>
      <c r="AR5927" s="77"/>
      <c r="AT5927" s="497">
        <v>48.92</v>
      </c>
      <c r="AV5927" s="42"/>
      <c r="AW5927" s="74"/>
      <c r="AX5927" s="77"/>
      <c r="BA5927" s="497">
        <v>64.94</v>
      </c>
      <c r="BB5927" s="42"/>
      <c r="BC5927" s="74"/>
      <c r="BD5927" s="77"/>
      <c r="BF5927">
        <v>46.04</v>
      </c>
      <c r="BH5927" s="42"/>
      <c r="BI5927" s="74"/>
      <c r="BJ5927" s="77"/>
      <c r="BL5927" s="497">
        <v>51.980000000000004</v>
      </c>
      <c r="BN5927" s="42"/>
      <c r="BO5927" s="74"/>
      <c r="BP5927" s="77"/>
      <c r="BR5927" s="497">
        <v>53.6</v>
      </c>
      <c r="BT5927" s="42"/>
    </row>
    <row r="5928" spans="1:72" x14ac:dyDescent="0.25">
      <c r="A5928" s="90">
        <v>34946</v>
      </c>
      <c r="B5928" s="20">
        <v>0.25</v>
      </c>
      <c r="D5928">
        <v>69.98</v>
      </c>
      <c r="E5928" t="str">
        <f t="shared" si="220"/>
        <v>WEEKDAY</v>
      </c>
      <c r="F5928" t="e">
        <f t="shared" si="219"/>
        <v>#N/A</v>
      </c>
      <c r="G5928" s="74">
        <v>29102</v>
      </c>
      <c r="H5928" s="77">
        <v>0.25</v>
      </c>
      <c r="J5928">
        <v>74.300000000000011</v>
      </c>
      <c r="M5928" s="74">
        <v>37868</v>
      </c>
      <c r="N5928" s="77">
        <v>0.25</v>
      </c>
      <c r="P5928">
        <v>69.800000000000011</v>
      </c>
      <c r="S5928" s="74">
        <v>34946</v>
      </c>
      <c r="T5928" s="77">
        <v>0.25</v>
      </c>
      <c r="V5928">
        <v>68</v>
      </c>
      <c r="X5928" s="42"/>
      <c r="AB5928">
        <v>67.3</v>
      </c>
      <c r="AC5928">
        <v>64.94</v>
      </c>
      <c r="AE5928" s="74"/>
      <c r="AF5928" s="77"/>
      <c r="AH5928" s="497">
        <v>60.8</v>
      </c>
      <c r="AJ5928" s="42"/>
      <c r="AK5928" s="74"/>
      <c r="AL5928" s="77"/>
      <c r="AN5928" s="497">
        <v>55.22</v>
      </c>
      <c r="AP5928" s="42"/>
      <c r="AQ5928" s="74"/>
      <c r="AR5928" s="77"/>
      <c r="AT5928" s="497">
        <v>48.92</v>
      </c>
      <c r="AV5928" s="42"/>
      <c r="AW5928" s="74"/>
      <c r="AX5928" s="77"/>
      <c r="BA5928" s="497">
        <v>64.94</v>
      </c>
      <c r="BB5928" s="42"/>
      <c r="BC5928" s="74"/>
      <c r="BD5928" s="77"/>
      <c r="BF5928">
        <v>44.96</v>
      </c>
      <c r="BH5928" s="42"/>
      <c r="BI5928" s="74"/>
      <c r="BJ5928" s="77"/>
      <c r="BL5928" s="497">
        <v>51.980000000000004</v>
      </c>
      <c r="BN5928" s="42"/>
      <c r="BO5928" s="74"/>
      <c r="BP5928" s="77"/>
      <c r="BR5928" s="497">
        <v>55.400000000000006</v>
      </c>
      <c r="BT5928" s="42"/>
    </row>
    <row r="5929" spans="1:72" x14ac:dyDescent="0.25">
      <c r="A5929" s="90">
        <v>34946</v>
      </c>
      <c r="B5929" s="20">
        <v>0.29166666666666669</v>
      </c>
      <c r="D5929">
        <v>71.06</v>
      </c>
      <c r="E5929" t="str">
        <f t="shared" si="220"/>
        <v>WEEKDAY</v>
      </c>
      <c r="F5929" t="e">
        <f t="shared" si="219"/>
        <v>#N/A</v>
      </c>
      <c r="G5929" s="74">
        <v>29102</v>
      </c>
      <c r="H5929" s="77">
        <v>0.29166666666666669</v>
      </c>
      <c r="J5929">
        <v>75.02</v>
      </c>
      <c r="M5929" s="74">
        <v>37868</v>
      </c>
      <c r="N5929" s="77">
        <v>0.29166666666666669</v>
      </c>
      <c r="P5929">
        <v>71.599999999999994</v>
      </c>
      <c r="S5929" s="74">
        <v>34946</v>
      </c>
      <c r="T5929" s="77">
        <v>0.29166666666666669</v>
      </c>
      <c r="V5929">
        <v>69.080000000000013</v>
      </c>
      <c r="X5929" s="42"/>
      <c r="AB5929">
        <v>67.3</v>
      </c>
      <c r="AC5929">
        <v>68</v>
      </c>
      <c r="AE5929" s="74"/>
      <c r="AF5929" s="77"/>
      <c r="AH5929" s="497">
        <v>62.6</v>
      </c>
      <c r="AJ5929" s="42"/>
      <c r="AK5929" s="74"/>
      <c r="AL5929" s="77"/>
      <c r="AN5929" s="497">
        <v>55.94</v>
      </c>
      <c r="AP5929" s="42"/>
      <c r="AQ5929" s="74"/>
      <c r="AR5929" s="77"/>
      <c r="AT5929" s="497">
        <v>51.980000000000004</v>
      </c>
      <c r="AV5929" s="42"/>
      <c r="AW5929" s="74"/>
      <c r="AX5929" s="77"/>
      <c r="BA5929" s="497">
        <v>64.039999999999992</v>
      </c>
      <c r="BB5929" s="42"/>
      <c r="BC5929" s="74"/>
      <c r="BD5929" s="77"/>
      <c r="BF5929">
        <v>48.92</v>
      </c>
      <c r="BH5929" s="42"/>
      <c r="BI5929" s="74"/>
      <c r="BJ5929" s="77"/>
      <c r="BL5929" s="497">
        <v>53.96</v>
      </c>
      <c r="BN5929" s="42"/>
      <c r="BO5929" s="74"/>
      <c r="BP5929" s="77"/>
      <c r="BR5929" s="497">
        <v>57.019999999999996</v>
      </c>
      <c r="BT5929" s="42"/>
    </row>
    <row r="5930" spans="1:72" x14ac:dyDescent="0.25">
      <c r="A5930" s="90">
        <v>34946</v>
      </c>
      <c r="B5930" s="20">
        <v>0.33333333333333331</v>
      </c>
      <c r="D5930">
        <v>73.94</v>
      </c>
      <c r="E5930" t="str">
        <f t="shared" si="220"/>
        <v>WEEKDAY</v>
      </c>
      <c r="F5930" t="e">
        <f t="shared" si="219"/>
        <v>#N/A</v>
      </c>
      <c r="G5930" s="74">
        <v>29102</v>
      </c>
      <c r="H5930" s="77">
        <v>0.33333333333333331</v>
      </c>
      <c r="J5930">
        <v>76.64</v>
      </c>
      <c r="M5930" s="74">
        <v>37868</v>
      </c>
      <c r="N5930" s="77">
        <v>0.33333333333333331</v>
      </c>
      <c r="P5930">
        <v>73.400000000000006</v>
      </c>
      <c r="S5930" s="74">
        <v>34946</v>
      </c>
      <c r="T5930" s="77">
        <v>0.33333333333333331</v>
      </c>
      <c r="V5930">
        <v>73.039999999999992</v>
      </c>
      <c r="X5930" s="42"/>
      <c r="AB5930">
        <v>69.3</v>
      </c>
      <c r="AC5930">
        <v>69.98</v>
      </c>
      <c r="AE5930" s="74"/>
      <c r="AF5930" s="77"/>
      <c r="AH5930" s="497">
        <v>64.400000000000006</v>
      </c>
      <c r="AJ5930" s="42"/>
      <c r="AK5930" s="74"/>
      <c r="AL5930" s="77"/>
      <c r="AN5930" s="497">
        <v>57.92</v>
      </c>
      <c r="AP5930" s="42"/>
      <c r="AQ5930" s="74"/>
      <c r="AR5930" s="77"/>
      <c r="AT5930" s="497">
        <v>55.94</v>
      </c>
      <c r="AV5930" s="42"/>
      <c r="AW5930" s="74"/>
      <c r="AX5930" s="77"/>
      <c r="BA5930" s="497">
        <v>64.039999999999992</v>
      </c>
      <c r="BB5930" s="42"/>
      <c r="BC5930" s="74"/>
      <c r="BD5930" s="77"/>
      <c r="BF5930">
        <v>55.040000000000006</v>
      </c>
      <c r="BH5930" s="42"/>
      <c r="BI5930" s="74"/>
      <c r="BJ5930" s="77"/>
      <c r="BL5930" s="497">
        <v>57.92</v>
      </c>
      <c r="BN5930" s="42"/>
      <c r="BO5930" s="74"/>
      <c r="BP5930" s="77"/>
      <c r="BR5930" s="497">
        <v>61.34</v>
      </c>
      <c r="BT5930" s="42"/>
    </row>
    <row r="5931" spans="1:72" x14ac:dyDescent="0.25">
      <c r="A5931" s="90">
        <v>34946</v>
      </c>
      <c r="B5931" s="20">
        <v>0.375</v>
      </c>
      <c r="D5931">
        <v>77</v>
      </c>
      <c r="E5931" t="str">
        <f t="shared" si="220"/>
        <v>WEEKDAY</v>
      </c>
      <c r="F5931" t="e">
        <f t="shared" ref="F5931:F5994" si="221">IF(E5931="WEEKDAY",VLOOKUP(B5931,$DD$19:$DG$42,2),IF(E5931="SATURDAY",VLOOKUP(B5931,$DD$19:$DG$42,3),VLOOKUP(B5931,$DD$19:$DG$42,4)))</f>
        <v>#N/A</v>
      </c>
      <c r="G5931" s="74">
        <v>29102</v>
      </c>
      <c r="H5931" s="77">
        <v>0.375</v>
      </c>
      <c r="J5931">
        <v>78.44</v>
      </c>
      <c r="M5931" s="74">
        <v>37868</v>
      </c>
      <c r="N5931" s="77">
        <v>0.375</v>
      </c>
      <c r="P5931">
        <v>71.599999999999994</v>
      </c>
      <c r="S5931" s="74">
        <v>34946</v>
      </c>
      <c r="T5931" s="77">
        <v>0.375</v>
      </c>
      <c r="V5931">
        <v>75.02</v>
      </c>
      <c r="X5931" s="42"/>
      <c r="AB5931">
        <v>71.400000000000006</v>
      </c>
      <c r="AC5931">
        <v>75.02</v>
      </c>
      <c r="AE5931" s="74"/>
      <c r="AF5931" s="77"/>
      <c r="AH5931" s="497">
        <v>66.2</v>
      </c>
      <c r="AJ5931" s="42"/>
      <c r="AK5931" s="74"/>
      <c r="AL5931" s="77"/>
      <c r="AN5931" s="497">
        <v>60.08</v>
      </c>
      <c r="AP5931" s="42"/>
      <c r="AQ5931" s="74"/>
      <c r="AR5931" s="77"/>
      <c r="AT5931" s="497">
        <v>64.039999999999992</v>
      </c>
      <c r="AV5931" s="42"/>
      <c r="AW5931" s="74"/>
      <c r="AX5931" s="77"/>
      <c r="BA5931" s="497">
        <v>62.96</v>
      </c>
      <c r="BB5931" s="42"/>
      <c r="BC5931" s="74"/>
      <c r="BD5931" s="77"/>
      <c r="BF5931">
        <v>62.06</v>
      </c>
      <c r="BH5931" s="42"/>
      <c r="BI5931" s="74"/>
      <c r="BJ5931" s="77"/>
      <c r="BL5931" s="497">
        <v>60.08</v>
      </c>
      <c r="BN5931" s="42"/>
      <c r="BO5931" s="74"/>
      <c r="BP5931" s="77"/>
      <c r="BR5931" s="497">
        <v>65.66</v>
      </c>
      <c r="BT5931" s="42"/>
    </row>
    <row r="5932" spans="1:72" x14ac:dyDescent="0.25">
      <c r="A5932" s="90">
        <v>34946</v>
      </c>
      <c r="B5932" s="20">
        <v>0.41666666666666669</v>
      </c>
      <c r="D5932">
        <v>78.080000000000013</v>
      </c>
      <c r="E5932" t="str">
        <f t="shared" si="220"/>
        <v>WEEKDAY</v>
      </c>
      <c r="F5932" t="e">
        <f t="shared" si="221"/>
        <v>#N/A</v>
      </c>
      <c r="G5932" s="74">
        <v>29102</v>
      </c>
      <c r="H5932" s="77">
        <v>0.41666666666666669</v>
      </c>
      <c r="J5932">
        <v>80.06</v>
      </c>
      <c r="M5932" s="74">
        <v>37868</v>
      </c>
      <c r="N5932" s="77">
        <v>0.41666666666666669</v>
      </c>
      <c r="P5932">
        <v>71.599999999999994</v>
      </c>
      <c r="S5932" s="74">
        <v>34946</v>
      </c>
      <c r="T5932" s="77">
        <v>0.41666666666666669</v>
      </c>
      <c r="V5932">
        <v>78.080000000000013</v>
      </c>
      <c r="X5932" s="42"/>
      <c r="AB5932">
        <v>73.400000000000006</v>
      </c>
      <c r="AC5932">
        <v>78.080000000000013</v>
      </c>
      <c r="AE5932" s="74"/>
      <c r="AF5932" s="77"/>
      <c r="AH5932" s="497">
        <v>69.800000000000011</v>
      </c>
      <c r="AJ5932" s="42"/>
      <c r="AK5932" s="74"/>
      <c r="AL5932" s="77"/>
      <c r="AN5932" s="497">
        <v>62.06</v>
      </c>
      <c r="AP5932" s="42"/>
      <c r="AQ5932" s="74"/>
      <c r="AR5932" s="77"/>
      <c r="AT5932" s="497">
        <v>69.98</v>
      </c>
      <c r="AV5932" s="42"/>
      <c r="AW5932" s="74"/>
      <c r="AX5932" s="77"/>
      <c r="BA5932" s="497">
        <v>62.06</v>
      </c>
      <c r="BB5932" s="42"/>
      <c r="BC5932" s="74"/>
      <c r="BD5932" s="77"/>
      <c r="BF5932">
        <v>64.039999999999992</v>
      </c>
      <c r="BH5932" s="42"/>
      <c r="BI5932" s="74"/>
      <c r="BJ5932" s="77"/>
      <c r="BL5932" s="497">
        <v>64.94</v>
      </c>
      <c r="BN5932" s="42"/>
      <c r="BO5932" s="74"/>
      <c r="BP5932" s="77"/>
      <c r="BR5932" s="497">
        <v>69.98</v>
      </c>
      <c r="BT5932" s="42"/>
    </row>
    <row r="5933" spans="1:72" x14ac:dyDescent="0.25">
      <c r="A5933" s="90">
        <v>34946</v>
      </c>
      <c r="B5933" s="20">
        <v>0.45833333333333331</v>
      </c>
      <c r="D5933">
        <v>78.080000000000013</v>
      </c>
      <c r="E5933" t="str">
        <f t="shared" si="220"/>
        <v>WEEKDAY</v>
      </c>
      <c r="F5933" t="e">
        <f t="shared" si="221"/>
        <v>#N/A</v>
      </c>
      <c r="G5933" s="74">
        <v>29102</v>
      </c>
      <c r="H5933" s="77">
        <v>0.45833333333333331</v>
      </c>
      <c r="J5933">
        <v>81.319999999999993</v>
      </c>
      <c r="M5933" s="74">
        <v>37868</v>
      </c>
      <c r="N5933" s="77">
        <v>0.45833333333333331</v>
      </c>
      <c r="P5933">
        <v>71.599999999999994</v>
      </c>
      <c r="S5933" s="74">
        <v>34946</v>
      </c>
      <c r="T5933" s="77">
        <v>0.45833333333333331</v>
      </c>
      <c r="V5933">
        <v>78.080000000000013</v>
      </c>
      <c r="X5933" s="42"/>
      <c r="AB5933">
        <v>75.2</v>
      </c>
      <c r="AC5933">
        <v>80.06</v>
      </c>
      <c r="AE5933" s="74"/>
      <c r="AF5933" s="77"/>
      <c r="AH5933" s="497">
        <v>73.400000000000006</v>
      </c>
      <c r="AJ5933" s="42"/>
      <c r="AK5933" s="74"/>
      <c r="AL5933" s="77"/>
      <c r="AN5933" s="497">
        <v>64.400000000000006</v>
      </c>
      <c r="AP5933" s="42"/>
      <c r="AQ5933" s="74"/>
      <c r="AR5933" s="77"/>
      <c r="AT5933" s="497">
        <v>71.960000000000008</v>
      </c>
      <c r="AV5933" s="42"/>
      <c r="AW5933" s="74"/>
      <c r="AX5933" s="77"/>
      <c r="BA5933" s="497">
        <v>62.96</v>
      </c>
      <c r="BB5933" s="42"/>
      <c r="BC5933" s="74"/>
      <c r="BD5933" s="77"/>
      <c r="BF5933">
        <v>66.02</v>
      </c>
      <c r="BH5933" s="42"/>
      <c r="BI5933" s="74"/>
      <c r="BJ5933" s="77"/>
      <c r="BL5933" s="497">
        <v>66.92</v>
      </c>
      <c r="BN5933" s="42"/>
      <c r="BO5933" s="74"/>
      <c r="BP5933" s="77"/>
      <c r="BR5933" s="497">
        <v>71.599999999999994</v>
      </c>
      <c r="BT5933" s="42"/>
    </row>
    <row r="5934" spans="1:72" x14ac:dyDescent="0.25">
      <c r="A5934" s="90">
        <v>34946</v>
      </c>
      <c r="B5934" s="20">
        <v>0.5</v>
      </c>
      <c r="D5934">
        <v>73.400000000000006</v>
      </c>
      <c r="E5934" t="str">
        <f t="shared" si="220"/>
        <v>WEEKDAY</v>
      </c>
      <c r="F5934" t="e">
        <f t="shared" si="221"/>
        <v>#N/A</v>
      </c>
      <c r="G5934" s="74">
        <v>29102</v>
      </c>
      <c r="H5934" s="77">
        <v>0.5</v>
      </c>
      <c r="J5934">
        <v>82.759999999999991</v>
      </c>
      <c r="M5934" s="74">
        <v>37868</v>
      </c>
      <c r="N5934" s="77">
        <v>0.5</v>
      </c>
      <c r="P5934">
        <v>71.599999999999994</v>
      </c>
      <c r="S5934" s="74">
        <v>34946</v>
      </c>
      <c r="T5934" s="77">
        <v>0.5</v>
      </c>
      <c r="V5934">
        <v>78.98</v>
      </c>
      <c r="X5934" s="42"/>
      <c r="AB5934">
        <v>76.5</v>
      </c>
      <c r="AC5934">
        <v>82.039999999999992</v>
      </c>
      <c r="AE5934" s="74"/>
      <c r="AF5934" s="77"/>
      <c r="AH5934" s="497">
        <v>78.800000000000011</v>
      </c>
      <c r="AJ5934" s="42"/>
      <c r="AK5934" s="74"/>
      <c r="AL5934" s="77"/>
      <c r="AN5934" s="497">
        <v>66.740000000000009</v>
      </c>
      <c r="AP5934" s="42"/>
      <c r="AQ5934" s="74"/>
      <c r="AR5934" s="77"/>
      <c r="AT5934" s="497">
        <v>73.039999999999992</v>
      </c>
      <c r="AV5934" s="42"/>
      <c r="AW5934" s="74"/>
      <c r="AX5934" s="77"/>
      <c r="BA5934" s="497">
        <v>64.94</v>
      </c>
      <c r="BB5934" s="42"/>
      <c r="BC5934" s="74"/>
      <c r="BD5934" s="77"/>
      <c r="BF5934">
        <v>66.02</v>
      </c>
      <c r="BH5934" s="42"/>
      <c r="BI5934" s="74"/>
      <c r="BJ5934" s="77"/>
      <c r="BL5934" s="497">
        <v>69.080000000000013</v>
      </c>
      <c r="BN5934" s="42"/>
      <c r="BO5934" s="74"/>
      <c r="BP5934" s="77"/>
      <c r="BR5934" s="497">
        <v>73.400000000000006</v>
      </c>
      <c r="BT5934" s="42"/>
    </row>
    <row r="5935" spans="1:72" x14ac:dyDescent="0.25">
      <c r="A5935" s="90">
        <v>34946</v>
      </c>
      <c r="B5935" s="20">
        <v>0.54166666666666663</v>
      </c>
      <c r="D5935">
        <v>75.92</v>
      </c>
      <c r="E5935" t="str">
        <f t="shared" si="220"/>
        <v>WEEKDAY</v>
      </c>
      <c r="F5935" t="e">
        <f t="shared" si="221"/>
        <v>#N/A</v>
      </c>
      <c r="G5935" s="74">
        <v>29102</v>
      </c>
      <c r="H5935" s="77">
        <v>0.54166666666666663</v>
      </c>
      <c r="J5935">
        <v>84.02</v>
      </c>
      <c r="M5935" s="74">
        <v>37868</v>
      </c>
      <c r="N5935" s="77">
        <v>0.54166666666666663</v>
      </c>
      <c r="P5935">
        <v>71.599999999999994</v>
      </c>
      <c r="S5935" s="74">
        <v>34946</v>
      </c>
      <c r="T5935" s="77">
        <v>0.54166666666666663</v>
      </c>
      <c r="V5935">
        <v>78.98</v>
      </c>
      <c r="X5935" s="42"/>
      <c r="AB5935">
        <v>77.400000000000006</v>
      </c>
      <c r="AC5935">
        <v>80.960000000000008</v>
      </c>
      <c r="AE5935" s="74"/>
      <c r="AF5935" s="77"/>
      <c r="AH5935" s="497">
        <v>78.800000000000011</v>
      </c>
      <c r="AJ5935" s="42"/>
      <c r="AK5935" s="74"/>
      <c r="AL5935" s="77"/>
      <c r="AN5935" s="497">
        <v>69.080000000000013</v>
      </c>
      <c r="AP5935" s="42"/>
      <c r="AQ5935" s="74"/>
      <c r="AR5935" s="77"/>
      <c r="AT5935" s="497">
        <v>73.94</v>
      </c>
      <c r="AV5935" s="42"/>
      <c r="AW5935" s="74"/>
      <c r="AX5935" s="77"/>
      <c r="BA5935" s="497">
        <v>60.980000000000004</v>
      </c>
      <c r="BB5935" s="42"/>
      <c r="BC5935" s="74"/>
      <c r="BD5935" s="77"/>
      <c r="BF5935">
        <v>66.92</v>
      </c>
      <c r="BH5935" s="42"/>
      <c r="BI5935" s="74"/>
      <c r="BJ5935" s="77"/>
      <c r="BL5935" s="497">
        <v>69.080000000000013</v>
      </c>
      <c r="BN5935" s="42"/>
      <c r="BO5935" s="74"/>
      <c r="BP5935" s="77"/>
      <c r="BR5935" s="497">
        <v>75.02</v>
      </c>
      <c r="BT5935" s="42"/>
    </row>
    <row r="5936" spans="1:72" x14ac:dyDescent="0.25">
      <c r="A5936" s="90">
        <v>34946</v>
      </c>
      <c r="B5936" s="20">
        <v>0.58333333333333337</v>
      </c>
      <c r="D5936">
        <v>78.080000000000013</v>
      </c>
      <c r="E5936" t="str">
        <f t="shared" si="220"/>
        <v>WEEKDAY</v>
      </c>
      <c r="F5936" t="e">
        <f t="shared" si="221"/>
        <v>#N/A</v>
      </c>
      <c r="G5936" s="74">
        <v>29102</v>
      </c>
      <c r="H5936" s="77">
        <v>0.58333333333333337</v>
      </c>
      <c r="J5936">
        <v>83.66</v>
      </c>
      <c r="M5936" s="74">
        <v>37868</v>
      </c>
      <c r="N5936" s="77">
        <v>0.58333333333333337</v>
      </c>
      <c r="P5936">
        <v>73.400000000000006</v>
      </c>
      <c r="S5936" s="74">
        <v>34946</v>
      </c>
      <c r="T5936" s="77">
        <v>0.58333333333333337</v>
      </c>
      <c r="V5936">
        <v>78.98</v>
      </c>
      <c r="X5936" s="42"/>
      <c r="AB5936">
        <v>77.900000000000006</v>
      </c>
      <c r="AC5936">
        <v>80.960000000000008</v>
      </c>
      <c r="AE5936" s="74"/>
      <c r="AF5936" s="77"/>
      <c r="AH5936" s="497">
        <v>80.599999999999994</v>
      </c>
      <c r="AJ5936" s="42"/>
      <c r="AK5936" s="74"/>
      <c r="AL5936" s="77"/>
      <c r="AN5936" s="497">
        <v>69.44</v>
      </c>
      <c r="AP5936" s="42"/>
      <c r="AQ5936" s="74"/>
      <c r="AR5936" s="77"/>
      <c r="AT5936" s="497">
        <v>75.02</v>
      </c>
      <c r="AV5936" s="42"/>
      <c r="AW5936" s="74"/>
      <c r="AX5936" s="77"/>
      <c r="BA5936" s="497">
        <v>59</v>
      </c>
      <c r="BB5936" s="42"/>
      <c r="BC5936" s="74"/>
      <c r="BD5936" s="77"/>
      <c r="BF5936">
        <v>64.039999999999992</v>
      </c>
      <c r="BH5936" s="42"/>
      <c r="BI5936" s="74"/>
      <c r="BJ5936" s="77"/>
      <c r="BL5936" s="497">
        <v>68</v>
      </c>
      <c r="BN5936" s="42"/>
      <c r="BO5936" s="74"/>
      <c r="BP5936" s="77"/>
      <c r="BR5936" s="497">
        <v>75.02</v>
      </c>
      <c r="BT5936" s="42"/>
    </row>
    <row r="5937" spans="1:72" x14ac:dyDescent="0.25">
      <c r="A5937" s="90">
        <v>34946</v>
      </c>
      <c r="B5937" s="20">
        <v>0.625</v>
      </c>
      <c r="D5937">
        <v>78.98</v>
      </c>
      <c r="E5937" t="str">
        <f t="shared" si="220"/>
        <v>WEEKDAY</v>
      </c>
      <c r="F5937" t="e">
        <f t="shared" si="221"/>
        <v>#N/A</v>
      </c>
      <c r="G5937" s="74">
        <v>29102</v>
      </c>
      <c r="H5937" s="77">
        <v>0.625</v>
      </c>
      <c r="J5937">
        <v>83.300000000000011</v>
      </c>
      <c r="M5937" s="74">
        <v>37868</v>
      </c>
      <c r="N5937" s="77">
        <v>0.625</v>
      </c>
      <c r="P5937">
        <v>73.400000000000006</v>
      </c>
      <c r="S5937" s="74">
        <v>34946</v>
      </c>
      <c r="T5937" s="77">
        <v>0.625</v>
      </c>
      <c r="V5937">
        <v>77</v>
      </c>
      <c r="X5937" s="42"/>
      <c r="AB5937">
        <v>78</v>
      </c>
      <c r="AC5937">
        <v>80.960000000000008</v>
      </c>
      <c r="AE5937" s="74"/>
      <c r="AF5937" s="77"/>
      <c r="AH5937" s="497">
        <v>80.599999999999994</v>
      </c>
      <c r="AJ5937" s="42"/>
      <c r="AK5937" s="74"/>
      <c r="AL5937" s="77"/>
      <c r="AN5937" s="497">
        <v>69.62</v>
      </c>
      <c r="AP5937" s="42"/>
      <c r="AQ5937" s="74"/>
      <c r="AR5937" s="77"/>
      <c r="AT5937" s="497">
        <v>75.02</v>
      </c>
      <c r="AV5937" s="42"/>
      <c r="AW5937" s="74"/>
      <c r="AX5937" s="77"/>
      <c r="BA5937" s="497">
        <v>59</v>
      </c>
      <c r="BB5937" s="42"/>
      <c r="BC5937" s="74"/>
      <c r="BD5937" s="77"/>
      <c r="BF5937">
        <v>66.02</v>
      </c>
      <c r="BH5937" s="42"/>
      <c r="BI5937" s="74"/>
      <c r="BJ5937" s="77"/>
      <c r="BL5937" s="497">
        <v>69.080000000000013</v>
      </c>
      <c r="BN5937" s="42"/>
      <c r="BO5937" s="74"/>
      <c r="BP5937" s="77"/>
      <c r="BR5937" s="497">
        <v>75.02</v>
      </c>
      <c r="BT5937" s="42"/>
    </row>
    <row r="5938" spans="1:72" x14ac:dyDescent="0.25">
      <c r="A5938" s="90">
        <v>34946</v>
      </c>
      <c r="B5938" s="20">
        <v>0.66666666666666663</v>
      </c>
      <c r="D5938">
        <v>78.080000000000013</v>
      </c>
      <c r="E5938" t="str">
        <f t="shared" si="220"/>
        <v>WEEKDAY</v>
      </c>
      <c r="F5938" t="e">
        <f t="shared" si="221"/>
        <v>#N/A</v>
      </c>
      <c r="G5938" s="74">
        <v>29102</v>
      </c>
      <c r="H5938" s="77">
        <v>0.66666666666666663</v>
      </c>
      <c r="J5938">
        <v>82.94</v>
      </c>
      <c r="M5938" s="74">
        <v>37868</v>
      </c>
      <c r="N5938" s="77">
        <v>0.66666666666666663</v>
      </c>
      <c r="P5938">
        <v>73.400000000000006</v>
      </c>
      <c r="S5938" s="74">
        <v>34946</v>
      </c>
      <c r="T5938" s="77">
        <v>0.66666666666666663</v>
      </c>
      <c r="V5938">
        <v>78.080000000000013</v>
      </c>
      <c r="X5938" s="42"/>
      <c r="AB5938">
        <v>77.5</v>
      </c>
      <c r="AC5938">
        <v>80.06</v>
      </c>
      <c r="AE5938" s="74"/>
      <c r="AF5938" s="77"/>
      <c r="AH5938" s="497">
        <v>77</v>
      </c>
      <c r="AJ5938" s="42"/>
      <c r="AK5938" s="74"/>
      <c r="AL5938" s="77"/>
      <c r="AN5938" s="497">
        <v>69.98</v>
      </c>
      <c r="AP5938" s="42"/>
      <c r="AQ5938" s="74"/>
      <c r="AR5938" s="77"/>
      <c r="AT5938" s="497">
        <v>75.02</v>
      </c>
      <c r="AV5938" s="42"/>
      <c r="AW5938" s="74"/>
      <c r="AX5938" s="77"/>
      <c r="BA5938" s="497">
        <v>60.980000000000004</v>
      </c>
      <c r="BB5938" s="42"/>
      <c r="BC5938" s="74"/>
      <c r="BD5938" s="77"/>
      <c r="BF5938">
        <v>64.94</v>
      </c>
      <c r="BH5938" s="42"/>
      <c r="BI5938" s="74"/>
      <c r="BJ5938" s="77"/>
      <c r="BL5938" s="497">
        <v>68</v>
      </c>
      <c r="BN5938" s="42"/>
      <c r="BO5938" s="74"/>
      <c r="BP5938" s="77"/>
      <c r="BR5938" s="497">
        <v>75.02</v>
      </c>
      <c r="BT5938" s="42"/>
    </row>
    <row r="5939" spans="1:72" x14ac:dyDescent="0.25">
      <c r="A5939" s="90">
        <v>34946</v>
      </c>
      <c r="B5939" s="20">
        <v>0.70833333333333337</v>
      </c>
      <c r="D5939">
        <v>78.98</v>
      </c>
      <c r="E5939" t="str">
        <f t="shared" si="220"/>
        <v>WEEKDAY</v>
      </c>
      <c r="F5939" t="e">
        <f t="shared" si="221"/>
        <v>#N/A</v>
      </c>
      <c r="G5939" s="74">
        <v>29102</v>
      </c>
      <c r="H5939" s="77">
        <v>0.70833333333333337</v>
      </c>
      <c r="J5939">
        <v>81.319999999999993</v>
      </c>
      <c r="M5939" s="74">
        <v>37868</v>
      </c>
      <c r="N5939" s="77">
        <v>0.70833333333333337</v>
      </c>
      <c r="P5939">
        <v>71.599999999999994</v>
      </c>
      <c r="S5939" s="74">
        <v>34946</v>
      </c>
      <c r="T5939" s="77">
        <v>0.70833333333333337</v>
      </c>
      <c r="V5939">
        <v>75.92</v>
      </c>
      <c r="X5939" s="42"/>
      <c r="AB5939">
        <v>76.599999999999994</v>
      </c>
      <c r="AC5939">
        <v>78.080000000000013</v>
      </c>
      <c r="AE5939" s="74"/>
      <c r="AF5939" s="77"/>
      <c r="AH5939" s="497">
        <v>75.2</v>
      </c>
      <c r="AJ5939" s="42"/>
      <c r="AK5939" s="74"/>
      <c r="AL5939" s="77"/>
      <c r="AN5939" s="497">
        <v>68.900000000000006</v>
      </c>
      <c r="AP5939" s="42"/>
      <c r="AQ5939" s="74"/>
      <c r="AR5939" s="77"/>
      <c r="AT5939" s="497">
        <v>73.94</v>
      </c>
      <c r="AV5939" s="42"/>
      <c r="AW5939" s="74"/>
      <c r="AX5939" s="77"/>
      <c r="BA5939" s="497">
        <v>64.039999999999992</v>
      </c>
      <c r="BB5939" s="42"/>
      <c r="BC5939" s="74"/>
      <c r="BD5939" s="77"/>
      <c r="BF5939">
        <v>64.94</v>
      </c>
      <c r="BH5939" s="42"/>
      <c r="BI5939" s="74"/>
      <c r="BJ5939" s="77"/>
      <c r="BL5939" s="497">
        <v>69.080000000000013</v>
      </c>
      <c r="BN5939" s="42"/>
      <c r="BO5939" s="74"/>
      <c r="BP5939" s="77"/>
      <c r="BR5939" s="497">
        <v>72.319999999999993</v>
      </c>
      <c r="BT5939" s="42"/>
    </row>
    <row r="5940" spans="1:72" x14ac:dyDescent="0.25">
      <c r="A5940" s="90">
        <v>34946</v>
      </c>
      <c r="B5940" s="20">
        <v>0.75</v>
      </c>
      <c r="D5940">
        <v>78.080000000000013</v>
      </c>
      <c r="E5940" t="str">
        <f t="shared" si="220"/>
        <v>WEEKDAY</v>
      </c>
      <c r="F5940" t="e">
        <f t="shared" si="221"/>
        <v>#N/A</v>
      </c>
      <c r="G5940" s="74">
        <v>29102</v>
      </c>
      <c r="H5940" s="77">
        <v>0.75</v>
      </c>
      <c r="J5940">
        <v>79.7</v>
      </c>
      <c r="M5940" s="74">
        <v>37868</v>
      </c>
      <c r="N5940" s="77">
        <v>0.75</v>
      </c>
      <c r="P5940">
        <v>71.599999999999994</v>
      </c>
      <c r="S5940" s="74">
        <v>34946</v>
      </c>
      <c r="T5940" s="77">
        <v>0.75</v>
      </c>
      <c r="V5940">
        <v>75.02</v>
      </c>
      <c r="X5940" s="42"/>
      <c r="AB5940">
        <v>75.5</v>
      </c>
      <c r="AC5940">
        <v>75.92</v>
      </c>
      <c r="AE5940" s="74"/>
      <c r="AF5940" s="77"/>
      <c r="AH5940" s="497">
        <v>75.2</v>
      </c>
      <c r="AJ5940" s="42"/>
      <c r="AK5940" s="74"/>
      <c r="AL5940" s="77"/>
      <c r="AN5940" s="497">
        <v>68</v>
      </c>
      <c r="AP5940" s="42"/>
      <c r="AQ5940" s="74"/>
      <c r="AR5940" s="77"/>
      <c r="AT5940" s="497">
        <v>71.06</v>
      </c>
      <c r="AV5940" s="42"/>
      <c r="AW5940" s="74"/>
      <c r="AX5940" s="77"/>
      <c r="BA5940" s="497">
        <v>60.08</v>
      </c>
      <c r="BB5940" s="42"/>
      <c r="BC5940" s="74"/>
      <c r="BD5940" s="77"/>
      <c r="BF5940">
        <v>62.06</v>
      </c>
      <c r="BH5940" s="42"/>
      <c r="BI5940" s="74"/>
      <c r="BJ5940" s="77"/>
      <c r="BL5940" s="497">
        <v>66.02</v>
      </c>
      <c r="BN5940" s="42"/>
      <c r="BO5940" s="74"/>
      <c r="BP5940" s="77"/>
      <c r="BR5940" s="497">
        <v>69.62</v>
      </c>
      <c r="BT5940" s="42"/>
    </row>
    <row r="5941" spans="1:72" x14ac:dyDescent="0.25">
      <c r="A5941" s="90">
        <v>34946</v>
      </c>
      <c r="B5941" s="20">
        <v>0.79166666666666663</v>
      </c>
      <c r="D5941">
        <v>75.92</v>
      </c>
      <c r="E5941" t="str">
        <f t="shared" si="220"/>
        <v>WEEKDAY</v>
      </c>
      <c r="F5941" t="e">
        <f t="shared" si="221"/>
        <v>#N/A</v>
      </c>
      <c r="G5941" s="74">
        <v>29102</v>
      </c>
      <c r="H5941" s="77">
        <v>0.79166666666666663</v>
      </c>
      <c r="J5941">
        <v>78.080000000000013</v>
      </c>
      <c r="M5941" s="74">
        <v>37868</v>
      </c>
      <c r="N5941" s="77">
        <v>0.79166666666666663</v>
      </c>
      <c r="P5941">
        <v>69.800000000000011</v>
      </c>
      <c r="S5941" s="74">
        <v>34946</v>
      </c>
      <c r="T5941" s="77">
        <v>0.79166666666666663</v>
      </c>
      <c r="V5941">
        <v>73.94</v>
      </c>
      <c r="X5941" s="42"/>
      <c r="AB5941">
        <v>74</v>
      </c>
      <c r="AC5941">
        <v>73.94</v>
      </c>
      <c r="AE5941" s="74"/>
      <c r="AF5941" s="77"/>
      <c r="AH5941" s="497">
        <v>73.400000000000006</v>
      </c>
      <c r="AJ5941" s="42"/>
      <c r="AK5941" s="74"/>
      <c r="AL5941" s="77"/>
      <c r="AN5941" s="497">
        <v>66.92</v>
      </c>
      <c r="AP5941" s="42"/>
      <c r="AQ5941" s="74"/>
      <c r="AR5941" s="77"/>
      <c r="AT5941" s="497">
        <v>68</v>
      </c>
      <c r="AV5941" s="42"/>
      <c r="AW5941" s="74"/>
      <c r="AX5941" s="77"/>
      <c r="BA5941" s="497">
        <v>57.019999999999996</v>
      </c>
      <c r="BB5941" s="42"/>
      <c r="BC5941" s="74"/>
      <c r="BD5941" s="77"/>
      <c r="BF5941">
        <v>57.92</v>
      </c>
      <c r="BH5941" s="42"/>
      <c r="BI5941" s="74"/>
      <c r="BJ5941" s="77"/>
      <c r="BL5941" s="497">
        <v>64.039999999999992</v>
      </c>
      <c r="BN5941" s="42"/>
      <c r="BO5941" s="74"/>
      <c r="BP5941" s="77"/>
      <c r="BR5941" s="497">
        <v>66.92</v>
      </c>
      <c r="BT5941" s="42"/>
    </row>
    <row r="5942" spans="1:72" x14ac:dyDescent="0.25">
      <c r="A5942" s="90">
        <v>34946</v>
      </c>
      <c r="B5942" s="20">
        <v>0.83333333333333337</v>
      </c>
      <c r="D5942">
        <v>75.02</v>
      </c>
      <c r="E5942" t="str">
        <f t="shared" si="220"/>
        <v>WEEKDAY</v>
      </c>
      <c r="F5942" t="e">
        <f t="shared" si="221"/>
        <v>#N/A</v>
      </c>
      <c r="G5942" s="74">
        <v>29102</v>
      </c>
      <c r="H5942" s="77">
        <v>0.83333333333333337</v>
      </c>
      <c r="J5942">
        <v>77.36</v>
      </c>
      <c r="M5942" s="74">
        <v>37868</v>
      </c>
      <c r="N5942" s="77">
        <v>0.83333333333333337</v>
      </c>
      <c r="P5942">
        <v>69.800000000000011</v>
      </c>
      <c r="S5942" s="74">
        <v>34946</v>
      </c>
      <c r="T5942" s="77">
        <v>0.83333333333333337</v>
      </c>
      <c r="V5942">
        <v>73.94</v>
      </c>
      <c r="X5942" s="42"/>
      <c r="AB5942">
        <v>72.599999999999994</v>
      </c>
      <c r="AC5942">
        <v>73.039999999999992</v>
      </c>
      <c r="AE5942" s="74"/>
      <c r="AF5942" s="77"/>
      <c r="AH5942" s="497">
        <v>69.800000000000011</v>
      </c>
      <c r="AJ5942" s="42"/>
      <c r="AK5942" s="74"/>
      <c r="AL5942" s="77"/>
      <c r="AN5942" s="497">
        <v>66.56</v>
      </c>
      <c r="AP5942" s="42"/>
      <c r="AQ5942" s="74"/>
      <c r="AR5942" s="77"/>
      <c r="AT5942" s="497">
        <v>66.92</v>
      </c>
      <c r="AV5942" s="42"/>
      <c r="AW5942" s="74"/>
      <c r="AX5942" s="77"/>
      <c r="BA5942" s="497">
        <v>55.94</v>
      </c>
      <c r="BB5942" s="42"/>
      <c r="BC5942" s="74"/>
      <c r="BD5942" s="77"/>
      <c r="BF5942">
        <v>55.94</v>
      </c>
      <c r="BH5942" s="42"/>
      <c r="BI5942" s="74"/>
      <c r="BJ5942" s="77"/>
      <c r="BL5942" s="497">
        <v>57.92</v>
      </c>
      <c r="BN5942" s="42"/>
      <c r="BO5942" s="74"/>
      <c r="BP5942" s="77"/>
      <c r="BR5942" s="497">
        <v>65.300000000000011</v>
      </c>
      <c r="BT5942" s="42"/>
    </row>
    <row r="5943" spans="1:72" x14ac:dyDescent="0.25">
      <c r="A5943" s="90">
        <v>34946</v>
      </c>
      <c r="B5943" s="20">
        <v>0.875</v>
      </c>
      <c r="D5943">
        <v>75.92</v>
      </c>
      <c r="E5943" t="str">
        <f t="shared" si="220"/>
        <v>WEEKDAY</v>
      </c>
      <c r="F5943" t="e">
        <f t="shared" si="221"/>
        <v>#N/A</v>
      </c>
      <c r="G5943" s="74">
        <v>29102</v>
      </c>
      <c r="H5943" s="77">
        <v>0.875</v>
      </c>
      <c r="J5943">
        <v>76.64</v>
      </c>
      <c r="M5943" s="74">
        <v>37868</v>
      </c>
      <c r="N5943" s="77">
        <v>0.875</v>
      </c>
      <c r="P5943">
        <v>69.800000000000011</v>
      </c>
      <c r="S5943" s="74">
        <v>34946</v>
      </c>
      <c r="T5943" s="77">
        <v>0.875</v>
      </c>
      <c r="V5943">
        <v>73.039999999999992</v>
      </c>
      <c r="X5943" s="42"/>
      <c r="AB5943">
        <v>71.900000000000006</v>
      </c>
      <c r="AC5943">
        <v>71.06</v>
      </c>
      <c r="AE5943" s="74"/>
      <c r="AF5943" s="77"/>
      <c r="AH5943" s="497">
        <v>69.800000000000011</v>
      </c>
      <c r="AJ5943" s="42"/>
      <c r="AK5943" s="74"/>
      <c r="AL5943" s="77"/>
      <c r="AN5943" s="497">
        <v>66.38</v>
      </c>
      <c r="AP5943" s="42"/>
      <c r="AQ5943" s="74"/>
      <c r="AR5943" s="77"/>
      <c r="AT5943" s="497">
        <v>64.94</v>
      </c>
      <c r="AV5943" s="42"/>
      <c r="AW5943" s="74"/>
      <c r="AX5943" s="77"/>
      <c r="BA5943" s="497">
        <v>53.96</v>
      </c>
      <c r="BB5943" s="42"/>
      <c r="BC5943" s="74"/>
      <c r="BD5943" s="77"/>
      <c r="BF5943">
        <v>53.06</v>
      </c>
      <c r="BH5943" s="42"/>
      <c r="BI5943" s="74"/>
      <c r="BJ5943" s="77"/>
      <c r="BL5943" s="497">
        <v>55.94</v>
      </c>
      <c r="BN5943" s="42"/>
      <c r="BO5943" s="74"/>
      <c r="BP5943" s="77"/>
      <c r="BR5943" s="497">
        <v>63.680000000000007</v>
      </c>
      <c r="BT5943" s="42"/>
    </row>
    <row r="5944" spans="1:72" x14ac:dyDescent="0.25">
      <c r="A5944" s="90">
        <v>34946</v>
      </c>
      <c r="B5944" s="20">
        <v>0.91666666666666663</v>
      </c>
      <c r="D5944">
        <v>73.94</v>
      </c>
      <c r="E5944" t="str">
        <f t="shared" si="220"/>
        <v>WEEKDAY</v>
      </c>
      <c r="F5944" t="e">
        <f t="shared" si="221"/>
        <v>#N/A</v>
      </c>
      <c r="G5944" s="74">
        <v>29102</v>
      </c>
      <c r="H5944" s="77">
        <v>0.91666666666666663</v>
      </c>
      <c r="J5944">
        <v>75.92</v>
      </c>
      <c r="M5944" s="74">
        <v>37868</v>
      </c>
      <c r="N5944" s="77">
        <v>0.91666666666666663</v>
      </c>
      <c r="P5944">
        <v>68</v>
      </c>
      <c r="S5944" s="74">
        <v>34946</v>
      </c>
      <c r="T5944" s="77">
        <v>0.91666666666666663</v>
      </c>
      <c r="V5944">
        <v>71.960000000000008</v>
      </c>
      <c r="X5944" s="42"/>
      <c r="AB5944">
        <v>71.2</v>
      </c>
      <c r="AC5944">
        <v>71.06</v>
      </c>
      <c r="AE5944" s="74"/>
      <c r="AF5944" s="77"/>
      <c r="AH5944" s="497">
        <v>68</v>
      </c>
      <c r="AJ5944" s="42"/>
      <c r="AK5944" s="74"/>
      <c r="AL5944" s="77"/>
      <c r="AN5944" s="497">
        <v>66.02</v>
      </c>
      <c r="AP5944" s="42"/>
      <c r="AQ5944" s="74"/>
      <c r="AR5944" s="77"/>
      <c r="AT5944" s="497">
        <v>64.94</v>
      </c>
      <c r="AV5944" s="42"/>
      <c r="AW5944" s="74"/>
      <c r="AX5944" s="77"/>
      <c r="BA5944" s="497">
        <v>51.980000000000004</v>
      </c>
      <c r="BB5944" s="42"/>
      <c r="BC5944" s="74"/>
      <c r="BD5944" s="77"/>
      <c r="BF5944">
        <v>51.980000000000004</v>
      </c>
      <c r="BH5944" s="42"/>
      <c r="BI5944" s="74"/>
      <c r="BJ5944" s="77"/>
      <c r="BL5944" s="497">
        <v>55.040000000000006</v>
      </c>
      <c r="BN5944" s="42"/>
      <c r="BO5944" s="74"/>
      <c r="BP5944" s="77"/>
      <c r="BR5944" s="497">
        <v>62.06</v>
      </c>
      <c r="BT5944" s="42"/>
    </row>
    <row r="5945" spans="1:72" x14ac:dyDescent="0.25">
      <c r="A5945" s="90">
        <v>34946</v>
      </c>
      <c r="B5945" s="20">
        <v>0.95833333333333337</v>
      </c>
      <c r="D5945">
        <v>73.94</v>
      </c>
      <c r="E5945" t="str">
        <f t="shared" si="220"/>
        <v>WEEKDAY</v>
      </c>
      <c r="F5945" t="e">
        <f t="shared" si="221"/>
        <v>#N/A</v>
      </c>
      <c r="G5945" s="74">
        <v>29102</v>
      </c>
      <c r="H5945" s="77">
        <v>0.95833333333333337</v>
      </c>
      <c r="J5945">
        <v>75.56</v>
      </c>
      <c r="M5945" s="74">
        <v>37868</v>
      </c>
      <c r="N5945" s="77">
        <v>0.95833333333333337</v>
      </c>
      <c r="P5945">
        <v>66.92</v>
      </c>
      <c r="S5945" s="74">
        <v>34946</v>
      </c>
      <c r="T5945" s="77">
        <v>0.95833333333333337</v>
      </c>
      <c r="V5945">
        <v>71.06</v>
      </c>
      <c r="X5945" s="42"/>
      <c r="AB5945">
        <v>70.599999999999994</v>
      </c>
      <c r="AC5945">
        <v>69.98</v>
      </c>
      <c r="AE5945" s="74"/>
      <c r="AF5945" s="77"/>
      <c r="AH5945" s="497">
        <v>66.2</v>
      </c>
      <c r="AJ5945" s="42"/>
      <c r="AK5945" s="74"/>
      <c r="AL5945" s="77"/>
      <c r="AN5945" s="497">
        <v>64.94</v>
      </c>
      <c r="AP5945" s="42"/>
      <c r="AQ5945" s="74"/>
      <c r="AR5945" s="77"/>
      <c r="AT5945" s="497">
        <v>64.94</v>
      </c>
      <c r="AV5945" s="42"/>
      <c r="AW5945" s="74"/>
      <c r="AX5945" s="77"/>
      <c r="BA5945" s="497">
        <v>48.92</v>
      </c>
      <c r="BB5945" s="42"/>
      <c r="BC5945" s="74"/>
      <c r="BD5945" s="77"/>
      <c r="BF5945">
        <v>50</v>
      </c>
      <c r="BH5945" s="42"/>
      <c r="BI5945" s="74"/>
      <c r="BJ5945" s="77"/>
      <c r="BL5945" s="497">
        <v>57.92</v>
      </c>
      <c r="BN5945" s="42"/>
      <c r="BO5945" s="74"/>
      <c r="BP5945" s="77"/>
      <c r="BR5945" s="497">
        <v>62.42</v>
      </c>
      <c r="BT5945" s="42"/>
    </row>
    <row r="5946" spans="1:72" x14ac:dyDescent="0.25">
      <c r="A5946" s="90">
        <v>34946</v>
      </c>
      <c r="B5946" s="20">
        <v>1</v>
      </c>
      <c r="D5946">
        <v>73.039999999999992</v>
      </c>
      <c r="E5946" t="str">
        <f t="shared" si="220"/>
        <v>WEEKDAY</v>
      </c>
      <c r="F5946" t="e">
        <f t="shared" si="221"/>
        <v>#N/A</v>
      </c>
      <c r="G5946" s="74">
        <v>29102</v>
      </c>
      <c r="H5946" s="77">
        <v>1</v>
      </c>
      <c r="J5946">
        <v>75.38</v>
      </c>
      <c r="M5946" s="74">
        <v>37868</v>
      </c>
      <c r="N5946" s="80">
        <v>1</v>
      </c>
      <c r="P5946">
        <v>66.02</v>
      </c>
      <c r="S5946" s="74">
        <v>34946</v>
      </c>
      <c r="T5946" s="80">
        <v>1</v>
      </c>
      <c r="V5946">
        <v>69.98</v>
      </c>
      <c r="X5946" s="42"/>
      <c r="AB5946">
        <v>69.900000000000006</v>
      </c>
      <c r="AC5946">
        <v>69.080000000000013</v>
      </c>
      <c r="AE5946" s="74"/>
      <c r="AF5946" s="80"/>
      <c r="AH5946" s="497">
        <v>66.2</v>
      </c>
      <c r="AJ5946" s="42"/>
      <c r="AK5946" s="74"/>
      <c r="AL5946" s="80"/>
      <c r="AN5946" s="497">
        <v>64.039999999999992</v>
      </c>
      <c r="AP5946" s="42"/>
      <c r="AQ5946" s="74"/>
      <c r="AR5946" s="80"/>
      <c r="AT5946" s="497">
        <v>64.039999999999992</v>
      </c>
      <c r="AV5946" s="42"/>
      <c r="AW5946" s="74"/>
      <c r="AX5946" s="80"/>
      <c r="BA5946" s="497">
        <v>46.04</v>
      </c>
      <c r="BB5946" s="42"/>
      <c r="BC5946" s="74"/>
      <c r="BD5946" s="80"/>
      <c r="BF5946">
        <v>48.019999999999996</v>
      </c>
      <c r="BH5946" s="42"/>
      <c r="BI5946" s="74"/>
      <c r="BJ5946" s="80"/>
      <c r="BL5946" s="497">
        <v>57.019999999999996</v>
      </c>
      <c r="BN5946" s="42"/>
      <c r="BO5946" s="74"/>
      <c r="BP5946" s="80"/>
      <c r="BR5946" s="497">
        <v>62.6</v>
      </c>
      <c r="BT5946" s="42"/>
    </row>
    <row r="5947" spans="1:72" x14ac:dyDescent="0.25">
      <c r="A5947" s="90">
        <v>34947</v>
      </c>
      <c r="B5947" s="20">
        <v>4.1666666666666664E-2</v>
      </c>
      <c r="D5947">
        <v>71.06</v>
      </c>
      <c r="E5947" t="str">
        <f t="shared" si="220"/>
        <v>WEEKDAY</v>
      </c>
      <c r="F5947" t="e">
        <f t="shared" si="221"/>
        <v>#N/A</v>
      </c>
      <c r="G5947" s="74">
        <v>29103</v>
      </c>
      <c r="H5947" s="77">
        <v>4.1666666666666664E-2</v>
      </c>
      <c r="J5947">
        <v>75.02</v>
      </c>
      <c r="M5947" s="74">
        <v>37869</v>
      </c>
      <c r="N5947" s="77">
        <v>4.1666666666666664E-2</v>
      </c>
      <c r="P5947">
        <v>65.300000000000011</v>
      </c>
      <c r="S5947" s="74">
        <v>34947</v>
      </c>
      <c r="T5947" s="77">
        <v>4.1666666666666664E-2</v>
      </c>
      <c r="V5947">
        <v>69.98</v>
      </c>
      <c r="X5947" s="42"/>
      <c r="AB5947">
        <v>69.2</v>
      </c>
      <c r="AC5947">
        <v>66.92</v>
      </c>
      <c r="AE5947" s="74"/>
      <c r="AF5947" s="77"/>
      <c r="AH5947" s="497">
        <v>66.38</v>
      </c>
      <c r="AJ5947" s="42"/>
      <c r="AK5947" s="74"/>
      <c r="AL5947" s="77"/>
      <c r="AN5947" s="497">
        <v>62.96</v>
      </c>
      <c r="AP5947" s="42"/>
      <c r="AQ5947" s="74"/>
      <c r="AR5947" s="77"/>
      <c r="AT5947" s="497">
        <v>64.039999999999992</v>
      </c>
      <c r="AV5947" s="42"/>
      <c r="AW5947" s="74"/>
      <c r="AX5947" s="77"/>
      <c r="BA5947" s="497">
        <v>44.96</v>
      </c>
      <c r="BB5947" s="42"/>
      <c r="BC5947" s="74"/>
      <c r="BD5947" s="77"/>
      <c r="BF5947">
        <v>46.94</v>
      </c>
      <c r="BH5947" s="42"/>
      <c r="BI5947" s="74"/>
      <c r="BJ5947" s="77"/>
      <c r="BL5947" s="497">
        <v>53.06</v>
      </c>
      <c r="BN5947" s="42"/>
      <c r="BO5947" s="74"/>
      <c r="BP5947" s="77"/>
      <c r="BR5947" s="497">
        <v>62.96</v>
      </c>
      <c r="BT5947" s="42"/>
    </row>
    <row r="5948" spans="1:72" x14ac:dyDescent="0.25">
      <c r="A5948" s="90">
        <v>34947</v>
      </c>
      <c r="B5948" s="20">
        <v>8.3333333333333329E-2</v>
      </c>
      <c r="D5948">
        <v>69.98</v>
      </c>
      <c r="E5948" t="str">
        <f t="shared" si="220"/>
        <v>WEEKDAY</v>
      </c>
      <c r="F5948" t="e">
        <f t="shared" si="221"/>
        <v>#N/A</v>
      </c>
      <c r="G5948" s="74">
        <v>29103</v>
      </c>
      <c r="H5948" s="77">
        <v>8.3333333333333329E-2</v>
      </c>
      <c r="J5948">
        <v>75.02</v>
      </c>
      <c r="M5948" s="74">
        <v>37869</v>
      </c>
      <c r="N5948" s="77">
        <v>8.3333333333333329E-2</v>
      </c>
      <c r="P5948">
        <v>64.400000000000006</v>
      </c>
      <c r="S5948" s="74">
        <v>34947</v>
      </c>
      <c r="T5948" s="77">
        <v>8.3333333333333329E-2</v>
      </c>
      <c r="V5948">
        <v>69.080000000000013</v>
      </c>
      <c r="X5948" s="42"/>
      <c r="AB5948">
        <v>68.599999999999994</v>
      </c>
      <c r="AC5948">
        <v>64.94</v>
      </c>
      <c r="AE5948" s="74"/>
      <c r="AF5948" s="77"/>
      <c r="AH5948" s="497">
        <v>66.38</v>
      </c>
      <c r="AJ5948" s="42"/>
      <c r="AK5948" s="74"/>
      <c r="AL5948" s="77"/>
      <c r="AN5948" s="497">
        <v>62.6</v>
      </c>
      <c r="AP5948" s="42"/>
      <c r="AQ5948" s="74"/>
      <c r="AR5948" s="77"/>
      <c r="AT5948" s="497">
        <v>62.96</v>
      </c>
      <c r="AV5948" s="42"/>
      <c r="AW5948" s="74"/>
      <c r="AX5948" s="77"/>
      <c r="BA5948" s="497">
        <v>42.980000000000004</v>
      </c>
      <c r="BB5948" s="42"/>
      <c r="BC5948" s="74"/>
      <c r="BD5948" s="77"/>
      <c r="BF5948">
        <v>46.04</v>
      </c>
      <c r="BH5948" s="42"/>
      <c r="BI5948" s="74"/>
      <c r="BJ5948" s="77"/>
      <c r="BL5948" s="497">
        <v>53.06</v>
      </c>
      <c r="BN5948" s="42"/>
      <c r="BO5948" s="74"/>
      <c r="BP5948" s="77"/>
      <c r="BR5948" s="497">
        <v>62.6</v>
      </c>
      <c r="BT5948" s="42"/>
    </row>
    <row r="5949" spans="1:72" x14ac:dyDescent="0.25">
      <c r="A5949" s="90">
        <v>34947</v>
      </c>
      <c r="B5949" s="20">
        <v>0.125</v>
      </c>
      <c r="D5949">
        <v>69.080000000000013</v>
      </c>
      <c r="E5949" t="str">
        <f t="shared" si="220"/>
        <v>WEEKDAY</v>
      </c>
      <c r="F5949" t="e">
        <f t="shared" si="221"/>
        <v>#N/A</v>
      </c>
      <c r="G5949" s="74">
        <v>29103</v>
      </c>
      <c r="H5949" s="77">
        <v>0.125</v>
      </c>
      <c r="J5949">
        <v>75.02</v>
      </c>
      <c r="M5949" s="74">
        <v>37869</v>
      </c>
      <c r="N5949" s="77">
        <v>0.125</v>
      </c>
      <c r="P5949">
        <v>62.6</v>
      </c>
      <c r="S5949" s="74">
        <v>34947</v>
      </c>
      <c r="T5949" s="77">
        <v>0.125</v>
      </c>
      <c r="V5949">
        <v>68.900000000000006</v>
      </c>
      <c r="X5949" s="42"/>
      <c r="AB5949">
        <v>68.099999999999994</v>
      </c>
      <c r="AC5949">
        <v>64.94</v>
      </c>
      <c r="AE5949" s="74"/>
      <c r="AF5949" s="77"/>
      <c r="AH5949" s="497">
        <v>66.2</v>
      </c>
      <c r="AJ5949" s="42"/>
      <c r="AK5949" s="74"/>
      <c r="AL5949" s="77"/>
      <c r="AN5949" s="497">
        <v>62.42</v>
      </c>
      <c r="AP5949" s="42"/>
      <c r="AQ5949" s="74"/>
      <c r="AR5949" s="77"/>
      <c r="AT5949" s="497">
        <v>62.96</v>
      </c>
      <c r="AV5949" s="42"/>
      <c r="AW5949" s="74"/>
      <c r="AX5949" s="77"/>
      <c r="BA5949" s="497">
        <v>42.08</v>
      </c>
      <c r="BB5949" s="42"/>
      <c r="BC5949" s="74"/>
      <c r="BD5949" s="77"/>
      <c r="BF5949">
        <v>44.96</v>
      </c>
      <c r="BH5949" s="42"/>
      <c r="BI5949" s="74"/>
      <c r="BJ5949" s="77"/>
      <c r="BL5949" s="497">
        <v>53.06</v>
      </c>
      <c r="BN5949" s="42"/>
      <c r="BO5949" s="74"/>
      <c r="BP5949" s="77"/>
      <c r="BR5949" s="497">
        <v>62.42</v>
      </c>
      <c r="BT5949" s="42"/>
    </row>
    <row r="5950" spans="1:72" x14ac:dyDescent="0.25">
      <c r="A5950" s="90">
        <v>34947</v>
      </c>
      <c r="B5950" s="20">
        <v>0.16666666666666666</v>
      </c>
      <c r="D5950">
        <v>68</v>
      </c>
      <c r="E5950" t="str">
        <f t="shared" si="220"/>
        <v>WEEKDAY</v>
      </c>
      <c r="F5950" t="e">
        <f t="shared" si="221"/>
        <v>#N/A</v>
      </c>
      <c r="G5950" s="74">
        <v>29103</v>
      </c>
      <c r="H5950" s="77">
        <v>0.16666666666666666</v>
      </c>
      <c r="J5950">
        <v>75.02</v>
      </c>
      <c r="M5950" s="74">
        <v>37869</v>
      </c>
      <c r="N5950" s="77">
        <v>0.16666666666666666</v>
      </c>
      <c r="P5950">
        <v>62.6</v>
      </c>
      <c r="S5950" s="74">
        <v>34947</v>
      </c>
      <c r="T5950" s="77">
        <v>0.16666666666666666</v>
      </c>
      <c r="V5950">
        <v>68.900000000000006</v>
      </c>
      <c r="X5950" s="42"/>
      <c r="AB5950">
        <v>67.5</v>
      </c>
      <c r="AC5950">
        <v>64.94</v>
      </c>
      <c r="AE5950" s="74"/>
      <c r="AF5950" s="77"/>
      <c r="AH5950" s="497">
        <v>66.2</v>
      </c>
      <c r="AJ5950" s="42"/>
      <c r="AK5950" s="74"/>
      <c r="AL5950" s="77"/>
      <c r="AN5950" s="497">
        <v>62.06</v>
      </c>
      <c r="AP5950" s="42"/>
      <c r="AQ5950" s="74"/>
      <c r="AR5950" s="77"/>
      <c r="AT5950" s="497">
        <v>62.06</v>
      </c>
      <c r="AV5950" s="42"/>
      <c r="AW5950" s="74"/>
      <c r="AX5950" s="77"/>
      <c r="BA5950" s="497">
        <v>41</v>
      </c>
      <c r="BB5950" s="42"/>
      <c r="BC5950" s="74"/>
      <c r="BD5950" s="77"/>
      <c r="BF5950">
        <v>44.06</v>
      </c>
      <c r="BH5950" s="42"/>
      <c r="BI5950" s="74"/>
      <c r="BJ5950" s="77"/>
      <c r="BL5950" s="497">
        <v>51.08</v>
      </c>
      <c r="BN5950" s="42"/>
      <c r="BO5950" s="74"/>
      <c r="BP5950" s="77"/>
      <c r="BR5950" s="497">
        <v>62.06</v>
      </c>
      <c r="BT5950" s="42"/>
    </row>
    <row r="5951" spans="1:72" x14ac:dyDescent="0.25">
      <c r="A5951" s="90">
        <v>34947</v>
      </c>
      <c r="B5951" s="20">
        <v>0.20833333333333334</v>
      </c>
      <c r="D5951">
        <v>66.92</v>
      </c>
      <c r="E5951" t="str">
        <f t="shared" si="220"/>
        <v>WEEKDAY</v>
      </c>
      <c r="F5951" t="e">
        <f t="shared" si="221"/>
        <v>#N/A</v>
      </c>
      <c r="G5951" s="74">
        <v>29103</v>
      </c>
      <c r="H5951" s="77">
        <v>0.20833333333333334</v>
      </c>
      <c r="J5951">
        <v>75.38</v>
      </c>
      <c r="M5951" s="74">
        <v>37869</v>
      </c>
      <c r="N5951" s="77">
        <v>0.20833333333333334</v>
      </c>
      <c r="P5951">
        <v>60.8</v>
      </c>
      <c r="S5951" s="74">
        <v>34947</v>
      </c>
      <c r="T5951" s="77">
        <v>0.20833333333333334</v>
      </c>
      <c r="V5951">
        <v>69.080000000000013</v>
      </c>
      <c r="X5951" s="42"/>
      <c r="AB5951">
        <v>67</v>
      </c>
      <c r="AC5951">
        <v>64.94</v>
      </c>
      <c r="AE5951" s="74"/>
      <c r="AF5951" s="77"/>
      <c r="AH5951" s="497">
        <v>66.2</v>
      </c>
      <c r="AJ5951" s="42"/>
      <c r="AK5951" s="74"/>
      <c r="AL5951" s="77"/>
      <c r="AN5951" s="497">
        <v>60.44</v>
      </c>
      <c r="AP5951" s="42"/>
      <c r="AQ5951" s="74"/>
      <c r="AR5951" s="77"/>
      <c r="AT5951" s="497">
        <v>60.980000000000004</v>
      </c>
      <c r="AV5951" s="42"/>
      <c r="AW5951" s="74"/>
      <c r="AX5951" s="77"/>
      <c r="BA5951" s="497">
        <v>41</v>
      </c>
      <c r="BB5951" s="42"/>
      <c r="BC5951" s="74"/>
      <c r="BD5951" s="77"/>
      <c r="BF5951">
        <v>44.06</v>
      </c>
      <c r="BH5951" s="42"/>
      <c r="BI5951" s="74"/>
      <c r="BJ5951" s="77"/>
      <c r="BL5951" s="497">
        <v>51.08</v>
      </c>
      <c r="BN5951" s="42"/>
      <c r="BO5951" s="74"/>
      <c r="BP5951" s="77"/>
      <c r="BR5951" s="497">
        <v>64.759999999999991</v>
      </c>
      <c r="BT5951" s="42"/>
    </row>
    <row r="5952" spans="1:72" x14ac:dyDescent="0.25">
      <c r="A5952" s="90">
        <v>34947</v>
      </c>
      <c r="B5952" s="20">
        <v>0.25</v>
      </c>
      <c r="D5952">
        <v>66.02</v>
      </c>
      <c r="E5952" t="str">
        <f t="shared" si="220"/>
        <v>WEEKDAY</v>
      </c>
      <c r="F5952" t="e">
        <f t="shared" si="221"/>
        <v>#N/A</v>
      </c>
      <c r="G5952" s="74">
        <v>29103</v>
      </c>
      <c r="H5952" s="77">
        <v>0.25</v>
      </c>
      <c r="J5952">
        <v>75.56</v>
      </c>
      <c r="M5952" s="74">
        <v>37869</v>
      </c>
      <c r="N5952" s="77">
        <v>0.25</v>
      </c>
      <c r="P5952">
        <v>60.8</v>
      </c>
      <c r="S5952" s="74">
        <v>34947</v>
      </c>
      <c r="T5952" s="77">
        <v>0.25</v>
      </c>
      <c r="V5952">
        <v>69.080000000000013</v>
      </c>
      <c r="X5952" s="42"/>
      <c r="AB5952">
        <v>66.8</v>
      </c>
      <c r="AC5952">
        <v>64.94</v>
      </c>
      <c r="AE5952" s="74"/>
      <c r="AF5952" s="77"/>
      <c r="AH5952" s="497">
        <v>66.2</v>
      </c>
      <c r="AJ5952" s="42"/>
      <c r="AK5952" s="74"/>
      <c r="AL5952" s="77"/>
      <c r="AN5952" s="497">
        <v>58.64</v>
      </c>
      <c r="AP5952" s="42"/>
      <c r="AQ5952" s="74"/>
      <c r="AR5952" s="77"/>
      <c r="AT5952" s="497">
        <v>60.980000000000004</v>
      </c>
      <c r="AV5952" s="42"/>
      <c r="AW5952" s="74"/>
      <c r="AX5952" s="77"/>
      <c r="BA5952" s="497">
        <v>41</v>
      </c>
      <c r="BB5952" s="42"/>
      <c r="BC5952" s="74"/>
      <c r="BD5952" s="77"/>
      <c r="BF5952">
        <v>42.980000000000004</v>
      </c>
      <c r="BH5952" s="42"/>
      <c r="BI5952" s="74"/>
      <c r="BJ5952" s="77"/>
      <c r="BL5952" s="497">
        <v>51.980000000000004</v>
      </c>
      <c r="BN5952" s="42"/>
      <c r="BO5952" s="74"/>
      <c r="BP5952" s="77"/>
      <c r="BR5952" s="497">
        <v>67.28</v>
      </c>
      <c r="BT5952" s="42"/>
    </row>
    <row r="5953" spans="1:72" x14ac:dyDescent="0.25">
      <c r="A5953" s="90">
        <v>34947</v>
      </c>
      <c r="B5953" s="20">
        <v>0.29166666666666669</v>
      </c>
      <c r="D5953">
        <v>66.92</v>
      </c>
      <c r="E5953" t="str">
        <f t="shared" si="220"/>
        <v>WEEKDAY</v>
      </c>
      <c r="F5953" t="e">
        <f t="shared" si="221"/>
        <v>#N/A</v>
      </c>
      <c r="G5953" s="74">
        <v>29103</v>
      </c>
      <c r="H5953" s="77">
        <v>0.29166666666666669</v>
      </c>
      <c r="J5953">
        <v>75.92</v>
      </c>
      <c r="M5953" s="74">
        <v>37869</v>
      </c>
      <c r="N5953" s="77">
        <v>0.29166666666666669</v>
      </c>
      <c r="P5953">
        <v>62.6</v>
      </c>
      <c r="S5953" s="74">
        <v>34947</v>
      </c>
      <c r="T5953" s="77">
        <v>0.29166666666666669</v>
      </c>
      <c r="V5953">
        <v>71.06</v>
      </c>
      <c r="X5953" s="42"/>
      <c r="AB5953">
        <v>66.8</v>
      </c>
      <c r="AC5953">
        <v>64.94</v>
      </c>
      <c r="AE5953" s="74"/>
      <c r="AF5953" s="77"/>
      <c r="AH5953" s="497">
        <v>66.2</v>
      </c>
      <c r="AJ5953" s="42"/>
      <c r="AK5953" s="74"/>
      <c r="AL5953" s="77"/>
      <c r="AN5953" s="497">
        <v>57.019999999999996</v>
      </c>
      <c r="AP5953" s="42"/>
      <c r="AQ5953" s="74"/>
      <c r="AR5953" s="77"/>
      <c r="AT5953" s="497">
        <v>62.96</v>
      </c>
      <c r="AV5953" s="42"/>
      <c r="AW5953" s="74"/>
      <c r="AX5953" s="77"/>
      <c r="BA5953" s="497">
        <v>46.94</v>
      </c>
      <c r="BB5953" s="42"/>
      <c r="BC5953" s="74"/>
      <c r="BD5953" s="77"/>
      <c r="BF5953">
        <v>46.04</v>
      </c>
      <c r="BH5953" s="42"/>
      <c r="BI5953" s="74"/>
      <c r="BJ5953" s="77"/>
      <c r="BL5953" s="497">
        <v>55.040000000000006</v>
      </c>
      <c r="BN5953" s="42"/>
      <c r="BO5953" s="74"/>
      <c r="BP5953" s="77"/>
      <c r="BR5953" s="497">
        <v>69.98</v>
      </c>
      <c r="BT5953" s="42"/>
    </row>
    <row r="5954" spans="1:72" x14ac:dyDescent="0.25">
      <c r="A5954" s="90">
        <v>34947</v>
      </c>
      <c r="B5954" s="20">
        <v>0.33333333333333331</v>
      </c>
      <c r="D5954">
        <v>69.98</v>
      </c>
      <c r="E5954" t="str">
        <f t="shared" si="220"/>
        <v>WEEKDAY</v>
      </c>
      <c r="F5954" t="e">
        <f t="shared" si="221"/>
        <v>#N/A</v>
      </c>
      <c r="G5954" s="74">
        <v>29103</v>
      </c>
      <c r="H5954" s="77">
        <v>0.33333333333333331</v>
      </c>
      <c r="J5954">
        <v>77.539999999999992</v>
      </c>
      <c r="M5954" s="74">
        <v>37869</v>
      </c>
      <c r="N5954" s="77">
        <v>0.33333333333333331</v>
      </c>
      <c r="P5954">
        <v>62.6</v>
      </c>
      <c r="S5954" s="74">
        <v>34947</v>
      </c>
      <c r="T5954" s="77">
        <v>0.33333333333333331</v>
      </c>
      <c r="V5954">
        <v>73.039999999999992</v>
      </c>
      <c r="X5954" s="42"/>
      <c r="AB5954">
        <v>68.8</v>
      </c>
      <c r="AC5954">
        <v>66.02</v>
      </c>
      <c r="AE5954" s="74"/>
      <c r="AF5954" s="77"/>
      <c r="AH5954" s="497">
        <v>69.800000000000011</v>
      </c>
      <c r="AJ5954" s="42"/>
      <c r="AK5954" s="74"/>
      <c r="AL5954" s="77"/>
      <c r="AN5954" s="497">
        <v>58.28</v>
      </c>
      <c r="AP5954" s="42"/>
      <c r="AQ5954" s="74"/>
      <c r="AR5954" s="77"/>
      <c r="AT5954" s="497">
        <v>64.039999999999992</v>
      </c>
      <c r="AV5954" s="42"/>
      <c r="AW5954" s="74"/>
      <c r="AX5954" s="77"/>
      <c r="BA5954" s="497">
        <v>51.08</v>
      </c>
      <c r="BB5954" s="42"/>
      <c r="BC5954" s="74"/>
      <c r="BD5954" s="77"/>
      <c r="BF5954">
        <v>51.980000000000004</v>
      </c>
      <c r="BH5954" s="42"/>
      <c r="BI5954" s="74"/>
      <c r="BJ5954" s="77"/>
      <c r="BL5954" s="497">
        <v>60.08</v>
      </c>
      <c r="BN5954" s="42"/>
      <c r="BO5954" s="74"/>
      <c r="BP5954" s="77"/>
      <c r="BR5954" s="497">
        <v>71.599999999999994</v>
      </c>
      <c r="BT5954" s="42"/>
    </row>
    <row r="5955" spans="1:72" x14ac:dyDescent="0.25">
      <c r="A5955" s="90">
        <v>34947</v>
      </c>
      <c r="B5955" s="20">
        <v>0.375</v>
      </c>
      <c r="D5955">
        <v>69.080000000000013</v>
      </c>
      <c r="E5955" t="str">
        <f t="shared" si="220"/>
        <v>WEEKDAY</v>
      </c>
      <c r="F5955" t="e">
        <f t="shared" si="221"/>
        <v>#N/A</v>
      </c>
      <c r="G5955" s="74">
        <v>29103</v>
      </c>
      <c r="H5955" s="77">
        <v>0.375</v>
      </c>
      <c r="J5955">
        <v>79.34</v>
      </c>
      <c r="M5955" s="74">
        <v>37869</v>
      </c>
      <c r="N5955" s="77">
        <v>0.375</v>
      </c>
      <c r="P5955">
        <v>66.2</v>
      </c>
      <c r="S5955" s="74">
        <v>34947</v>
      </c>
      <c r="T5955" s="77">
        <v>0.375</v>
      </c>
      <c r="V5955">
        <v>75.02</v>
      </c>
      <c r="X5955" s="42"/>
      <c r="AB5955">
        <v>71</v>
      </c>
      <c r="AC5955">
        <v>66.02</v>
      </c>
      <c r="AE5955" s="74"/>
      <c r="AF5955" s="77"/>
      <c r="AH5955" s="497">
        <v>71.599999999999994</v>
      </c>
      <c r="AJ5955" s="42"/>
      <c r="AK5955" s="74"/>
      <c r="AL5955" s="77"/>
      <c r="AN5955" s="497">
        <v>59.72</v>
      </c>
      <c r="AP5955" s="42"/>
      <c r="AQ5955" s="74"/>
      <c r="AR5955" s="77"/>
      <c r="AT5955" s="497">
        <v>64.94</v>
      </c>
      <c r="AV5955" s="42"/>
      <c r="AW5955" s="74"/>
      <c r="AX5955" s="77"/>
      <c r="BA5955" s="497">
        <v>53.96</v>
      </c>
      <c r="BB5955" s="42"/>
      <c r="BC5955" s="74"/>
      <c r="BD5955" s="77"/>
      <c r="BF5955">
        <v>59</v>
      </c>
      <c r="BH5955" s="42"/>
      <c r="BI5955" s="74"/>
      <c r="BJ5955" s="77"/>
      <c r="BL5955" s="497">
        <v>64.039999999999992</v>
      </c>
      <c r="BN5955" s="42"/>
      <c r="BO5955" s="74"/>
      <c r="BP5955" s="77"/>
      <c r="BR5955" s="497">
        <v>73.400000000000006</v>
      </c>
      <c r="BT5955" s="42"/>
    </row>
    <row r="5956" spans="1:72" x14ac:dyDescent="0.25">
      <c r="A5956" s="90">
        <v>34947</v>
      </c>
      <c r="B5956" s="20">
        <v>0.41666666666666669</v>
      </c>
      <c r="D5956">
        <v>69.080000000000013</v>
      </c>
      <c r="E5956" t="str">
        <f t="shared" si="220"/>
        <v>WEEKDAY</v>
      </c>
      <c r="F5956" t="e">
        <f t="shared" si="221"/>
        <v>#N/A</v>
      </c>
      <c r="G5956" s="74">
        <v>29103</v>
      </c>
      <c r="H5956" s="77">
        <v>0.41666666666666669</v>
      </c>
      <c r="J5956">
        <v>80.960000000000008</v>
      </c>
      <c r="M5956" s="74">
        <v>37869</v>
      </c>
      <c r="N5956" s="77">
        <v>0.41666666666666669</v>
      </c>
      <c r="P5956">
        <v>69.800000000000011</v>
      </c>
      <c r="S5956" s="74">
        <v>34947</v>
      </c>
      <c r="T5956" s="77">
        <v>0.41666666666666669</v>
      </c>
      <c r="V5956">
        <v>75.92</v>
      </c>
      <c r="X5956" s="42"/>
      <c r="AB5956">
        <v>73</v>
      </c>
      <c r="AC5956">
        <v>68</v>
      </c>
      <c r="AE5956" s="74"/>
      <c r="AF5956" s="77"/>
      <c r="AH5956" s="497">
        <v>71.599999999999994</v>
      </c>
      <c r="AJ5956" s="42"/>
      <c r="AK5956" s="74"/>
      <c r="AL5956" s="77"/>
      <c r="AN5956" s="497">
        <v>60.980000000000004</v>
      </c>
      <c r="AP5956" s="42"/>
      <c r="AQ5956" s="74"/>
      <c r="AR5956" s="77"/>
      <c r="AT5956" s="497">
        <v>66.02</v>
      </c>
      <c r="AV5956" s="42"/>
      <c r="AW5956" s="74"/>
      <c r="AX5956" s="77"/>
      <c r="BA5956" s="497">
        <v>57.019999999999996</v>
      </c>
      <c r="BB5956" s="42"/>
      <c r="BC5956" s="74"/>
      <c r="BD5956" s="77"/>
      <c r="BF5956">
        <v>62.96</v>
      </c>
      <c r="BH5956" s="42"/>
      <c r="BI5956" s="74"/>
      <c r="BJ5956" s="77"/>
      <c r="BL5956" s="497">
        <v>66.02</v>
      </c>
      <c r="BN5956" s="42"/>
      <c r="BO5956" s="74"/>
      <c r="BP5956" s="77"/>
      <c r="BR5956" s="497">
        <v>75.02</v>
      </c>
      <c r="BT5956" s="42"/>
    </row>
    <row r="5957" spans="1:72" x14ac:dyDescent="0.25">
      <c r="A5957" s="90">
        <v>34947</v>
      </c>
      <c r="B5957" s="20">
        <v>0.45833333333333331</v>
      </c>
      <c r="D5957">
        <v>71.06</v>
      </c>
      <c r="E5957" t="str">
        <f t="shared" si="220"/>
        <v>WEEKDAY</v>
      </c>
      <c r="F5957" t="e">
        <f t="shared" si="221"/>
        <v>#N/A</v>
      </c>
      <c r="G5957" s="74">
        <v>29103</v>
      </c>
      <c r="H5957" s="77">
        <v>0.45833333333333331</v>
      </c>
      <c r="J5957">
        <v>81.680000000000007</v>
      </c>
      <c r="M5957" s="74">
        <v>37869</v>
      </c>
      <c r="N5957" s="77">
        <v>0.45833333333333331</v>
      </c>
      <c r="P5957">
        <v>71.599999999999994</v>
      </c>
      <c r="S5957" s="74">
        <v>34947</v>
      </c>
      <c r="T5957" s="77">
        <v>0.45833333333333331</v>
      </c>
      <c r="V5957">
        <v>78.080000000000013</v>
      </c>
      <c r="X5957" s="42"/>
      <c r="AB5957">
        <v>74.8</v>
      </c>
      <c r="AC5957">
        <v>69.080000000000013</v>
      </c>
      <c r="AE5957" s="74"/>
      <c r="AF5957" s="77"/>
      <c r="AH5957" s="497">
        <v>77</v>
      </c>
      <c r="AJ5957" s="42"/>
      <c r="AK5957" s="74"/>
      <c r="AL5957" s="77"/>
      <c r="AN5957" s="497">
        <v>60.980000000000004</v>
      </c>
      <c r="AP5957" s="42"/>
      <c r="AQ5957" s="74"/>
      <c r="AR5957" s="77"/>
      <c r="AT5957" s="497">
        <v>69.98</v>
      </c>
      <c r="AV5957" s="42"/>
      <c r="AW5957" s="74"/>
      <c r="AX5957" s="77"/>
      <c r="BA5957" s="497">
        <v>57.92</v>
      </c>
      <c r="BB5957" s="42"/>
      <c r="BC5957" s="74"/>
      <c r="BD5957" s="77"/>
      <c r="BF5957">
        <v>64.039999999999992</v>
      </c>
      <c r="BH5957" s="42"/>
      <c r="BI5957" s="74"/>
      <c r="BJ5957" s="77"/>
      <c r="BL5957" s="497">
        <v>68</v>
      </c>
      <c r="BN5957" s="42"/>
      <c r="BO5957" s="74"/>
      <c r="BP5957" s="77"/>
      <c r="BR5957" s="497">
        <v>76.64</v>
      </c>
      <c r="BT5957" s="42"/>
    </row>
    <row r="5958" spans="1:72" x14ac:dyDescent="0.25">
      <c r="A5958" s="90">
        <v>34947</v>
      </c>
      <c r="B5958" s="20">
        <v>0.5</v>
      </c>
      <c r="D5958">
        <v>71.960000000000008</v>
      </c>
      <c r="E5958" t="str">
        <f t="shared" si="220"/>
        <v>WEEKDAY</v>
      </c>
      <c r="F5958" t="e">
        <f t="shared" si="221"/>
        <v>#N/A</v>
      </c>
      <c r="G5958" s="74">
        <v>29103</v>
      </c>
      <c r="H5958" s="77">
        <v>0.5</v>
      </c>
      <c r="J5958">
        <v>82.22</v>
      </c>
      <c r="M5958" s="74">
        <v>37869</v>
      </c>
      <c r="N5958" s="77">
        <v>0.5</v>
      </c>
      <c r="P5958">
        <v>73.400000000000006</v>
      </c>
      <c r="S5958" s="74">
        <v>34947</v>
      </c>
      <c r="T5958" s="77">
        <v>0.5</v>
      </c>
      <c r="V5958">
        <v>80.06</v>
      </c>
      <c r="X5958" s="42"/>
      <c r="AB5958">
        <v>76.2</v>
      </c>
      <c r="AC5958">
        <v>69.98</v>
      </c>
      <c r="AE5958" s="74"/>
      <c r="AF5958" s="77"/>
      <c r="AH5958" s="497">
        <v>82.4</v>
      </c>
      <c r="AJ5958" s="42"/>
      <c r="AK5958" s="74"/>
      <c r="AL5958" s="77"/>
      <c r="AN5958" s="497">
        <v>60.980000000000004</v>
      </c>
      <c r="AP5958" s="42"/>
      <c r="AQ5958" s="74"/>
      <c r="AR5958" s="77"/>
      <c r="AT5958" s="497">
        <v>69.98</v>
      </c>
      <c r="AV5958" s="42"/>
      <c r="AW5958" s="74"/>
      <c r="AX5958" s="77"/>
      <c r="BA5958" s="497">
        <v>60.08</v>
      </c>
      <c r="BB5958" s="42"/>
      <c r="BC5958" s="74"/>
      <c r="BD5958" s="77"/>
      <c r="BF5958">
        <v>64.94</v>
      </c>
      <c r="BH5958" s="42"/>
      <c r="BI5958" s="74"/>
      <c r="BJ5958" s="77"/>
      <c r="BL5958" s="497">
        <v>69.98</v>
      </c>
      <c r="BN5958" s="42"/>
      <c r="BO5958" s="74"/>
      <c r="BP5958" s="77"/>
      <c r="BR5958" s="497">
        <v>78.44</v>
      </c>
      <c r="BT5958" s="42"/>
    </row>
    <row r="5959" spans="1:72" x14ac:dyDescent="0.25">
      <c r="A5959" s="90">
        <v>34947</v>
      </c>
      <c r="B5959" s="20">
        <v>0.54166666666666663</v>
      </c>
      <c r="D5959">
        <v>73.039999999999992</v>
      </c>
      <c r="E5959" t="str">
        <f t="shared" si="220"/>
        <v>WEEKDAY</v>
      </c>
      <c r="F5959" t="e">
        <f t="shared" si="221"/>
        <v>#N/A</v>
      </c>
      <c r="G5959" s="74">
        <v>29103</v>
      </c>
      <c r="H5959" s="77">
        <v>0.54166666666666663</v>
      </c>
      <c r="J5959">
        <v>82.94</v>
      </c>
      <c r="M5959" s="74">
        <v>37869</v>
      </c>
      <c r="N5959" s="77">
        <v>0.54166666666666663</v>
      </c>
      <c r="P5959">
        <v>75.2</v>
      </c>
      <c r="S5959" s="74">
        <v>34947</v>
      </c>
      <c r="T5959" s="77">
        <v>0.54166666666666663</v>
      </c>
      <c r="V5959">
        <v>80.06</v>
      </c>
      <c r="X5959" s="42"/>
      <c r="AB5959">
        <v>77.099999999999994</v>
      </c>
      <c r="AC5959">
        <v>69.080000000000013</v>
      </c>
      <c r="AE5959" s="74"/>
      <c r="AF5959" s="77"/>
      <c r="AH5959" s="497">
        <v>82.4</v>
      </c>
      <c r="AJ5959" s="42"/>
      <c r="AK5959" s="74"/>
      <c r="AL5959" s="77"/>
      <c r="AN5959" s="497">
        <v>60.980000000000004</v>
      </c>
      <c r="AP5959" s="42"/>
      <c r="AQ5959" s="74"/>
      <c r="AR5959" s="77"/>
      <c r="AT5959" s="497">
        <v>69.98</v>
      </c>
      <c r="AV5959" s="42"/>
      <c r="AW5959" s="74"/>
      <c r="AX5959" s="77"/>
      <c r="BA5959" s="497">
        <v>62.06</v>
      </c>
      <c r="BB5959" s="42"/>
      <c r="BC5959" s="74"/>
      <c r="BD5959" s="77"/>
      <c r="BF5959">
        <v>66.92</v>
      </c>
      <c r="BH5959" s="42"/>
      <c r="BI5959" s="74"/>
      <c r="BJ5959" s="77"/>
      <c r="BL5959" s="497">
        <v>71.960000000000008</v>
      </c>
      <c r="BN5959" s="42"/>
      <c r="BO5959" s="74"/>
      <c r="BP5959" s="77"/>
      <c r="BR5959" s="497">
        <v>80.06</v>
      </c>
      <c r="BT5959" s="42"/>
    </row>
    <row r="5960" spans="1:72" x14ac:dyDescent="0.25">
      <c r="A5960" s="90">
        <v>34947</v>
      </c>
      <c r="B5960" s="20">
        <v>0.58333333333333337</v>
      </c>
      <c r="D5960">
        <v>75.02</v>
      </c>
      <c r="E5960" t="str">
        <f t="shared" si="220"/>
        <v>WEEKDAY</v>
      </c>
      <c r="F5960" t="e">
        <f t="shared" si="221"/>
        <v>#N/A</v>
      </c>
      <c r="G5960" s="74">
        <v>29103</v>
      </c>
      <c r="H5960" s="77">
        <v>0.58333333333333337</v>
      </c>
      <c r="J5960">
        <v>82.22</v>
      </c>
      <c r="M5960" s="74">
        <v>37869</v>
      </c>
      <c r="N5960" s="77">
        <v>0.58333333333333337</v>
      </c>
      <c r="P5960">
        <v>73.400000000000006</v>
      </c>
      <c r="S5960" s="74">
        <v>34947</v>
      </c>
      <c r="T5960" s="77">
        <v>0.58333333333333337</v>
      </c>
      <c r="V5960">
        <v>78.98</v>
      </c>
      <c r="X5960" s="42"/>
      <c r="AB5960">
        <v>77.599999999999994</v>
      </c>
      <c r="AC5960">
        <v>68</v>
      </c>
      <c r="AE5960" s="74"/>
      <c r="AF5960" s="77"/>
      <c r="AH5960" s="497">
        <v>86</v>
      </c>
      <c r="AJ5960" s="42"/>
      <c r="AK5960" s="74"/>
      <c r="AL5960" s="77"/>
      <c r="AN5960" s="497">
        <v>60.980000000000004</v>
      </c>
      <c r="AP5960" s="42"/>
      <c r="AQ5960" s="74"/>
      <c r="AR5960" s="77"/>
      <c r="AT5960" s="497">
        <v>71.06</v>
      </c>
      <c r="AV5960" s="42"/>
      <c r="AW5960" s="74"/>
      <c r="AX5960" s="77"/>
      <c r="BA5960" s="497">
        <v>60.980000000000004</v>
      </c>
      <c r="BB5960" s="42"/>
      <c r="BC5960" s="74"/>
      <c r="BD5960" s="77"/>
      <c r="BF5960">
        <v>66.02</v>
      </c>
      <c r="BH5960" s="42"/>
      <c r="BI5960" s="74"/>
      <c r="BJ5960" s="77"/>
      <c r="BL5960" s="497">
        <v>73.94</v>
      </c>
      <c r="BN5960" s="42"/>
      <c r="BO5960" s="74"/>
      <c r="BP5960" s="77"/>
      <c r="BR5960" s="497">
        <v>79.34</v>
      </c>
      <c r="BT5960" s="42"/>
    </row>
    <row r="5961" spans="1:72" x14ac:dyDescent="0.25">
      <c r="A5961" s="90">
        <v>34947</v>
      </c>
      <c r="B5961" s="20">
        <v>0.625</v>
      </c>
      <c r="D5961">
        <v>77</v>
      </c>
      <c r="E5961" t="str">
        <f t="shared" si="220"/>
        <v>WEEKDAY</v>
      </c>
      <c r="F5961" t="e">
        <f t="shared" si="221"/>
        <v>#N/A</v>
      </c>
      <c r="G5961" s="74">
        <v>29103</v>
      </c>
      <c r="H5961" s="77">
        <v>0.625</v>
      </c>
      <c r="J5961">
        <v>81.680000000000007</v>
      </c>
      <c r="M5961" s="74">
        <v>37869</v>
      </c>
      <c r="N5961" s="77">
        <v>0.625</v>
      </c>
      <c r="P5961">
        <v>73.400000000000006</v>
      </c>
      <c r="S5961" s="74">
        <v>34947</v>
      </c>
      <c r="T5961" s="77">
        <v>0.625</v>
      </c>
      <c r="V5961">
        <v>78.98</v>
      </c>
      <c r="X5961" s="42"/>
      <c r="AB5961">
        <v>77.599999999999994</v>
      </c>
      <c r="AC5961">
        <v>66.92</v>
      </c>
      <c r="AE5961" s="74"/>
      <c r="AF5961" s="77"/>
      <c r="AH5961" s="497">
        <v>84.2</v>
      </c>
      <c r="AJ5961" s="42"/>
      <c r="AK5961" s="74"/>
      <c r="AL5961" s="77"/>
      <c r="AN5961" s="497">
        <v>60.980000000000004</v>
      </c>
      <c r="AP5961" s="42"/>
      <c r="AQ5961" s="74"/>
      <c r="AR5961" s="77"/>
      <c r="AT5961" s="497">
        <v>75.02</v>
      </c>
      <c r="AV5961" s="42"/>
      <c r="AW5961" s="74"/>
      <c r="AX5961" s="77"/>
      <c r="BA5961" s="497">
        <v>62.96</v>
      </c>
      <c r="BB5961" s="42"/>
      <c r="BC5961" s="74"/>
      <c r="BD5961" s="77"/>
      <c r="BF5961">
        <v>66.92</v>
      </c>
      <c r="BH5961" s="42"/>
      <c r="BI5961" s="74"/>
      <c r="BJ5961" s="77"/>
      <c r="BL5961" s="497">
        <v>75.02</v>
      </c>
      <c r="BN5961" s="42"/>
      <c r="BO5961" s="74"/>
      <c r="BP5961" s="77"/>
      <c r="BR5961" s="497">
        <v>78.800000000000011</v>
      </c>
      <c r="BT5961" s="42"/>
    </row>
    <row r="5962" spans="1:72" x14ac:dyDescent="0.25">
      <c r="A5962" s="90">
        <v>34947</v>
      </c>
      <c r="B5962" s="20">
        <v>0.66666666666666663</v>
      </c>
      <c r="D5962">
        <v>77</v>
      </c>
      <c r="E5962" t="str">
        <f t="shared" si="220"/>
        <v>WEEKDAY</v>
      </c>
      <c r="F5962" t="e">
        <f t="shared" si="221"/>
        <v>#N/A</v>
      </c>
      <c r="G5962" s="74">
        <v>29103</v>
      </c>
      <c r="H5962" s="77">
        <v>0.66666666666666663</v>
      </c>
      <c r="J5962">
        <v>80.960000000000008</v>
      </c>
      <c r="M5962" s="74">
        <v>37869</v>
      </c>
      <c r="N5962" s="77">
        <v>0.66666666666666663</v>
      </c>
      <c r="P5962">
        <v>71.599999999999994</v>
      </c>
      <c r="S5962" s="74">
        <v>34947</v>
      </c>
      <c r="T5962" s="77">
        <v>0.66666666666666663</v>
      </c>
      <c r="V5962">
        <v>78.080000000000013</v>
      </c>
      <c r="X5962" s="42"/>
      <c r="AB5962">
        <v>77.099999999999994</v>
      </c>
      <c r="AC5962">
        <v>66.02</v>
      </c>
      <c r="AE5962" s="74"/>
      <c r="AF5962" s="77"/>
      <c r="AH5962" s="497">
        <v>84.2</v>
      </c>
      <c r="AJ5962" s="42"/>
      <c r="AK5962" s="74"/>
      <c r="AL5962" s="77"/>
      <c r="AN5962" s="497">
        <v>60.980000000000004</v>
      </c>
      <c r="AP5962" s="42"/>
      <c r="AQ5962" s="74"/>
      <c r="AR5962" s="77"/>
      <c r="AT5962" s="497">
        <v>75.92</v>
      </c>
      <c r="AV5962" s="42"/>
      <c r="AW5962" s="74"/>
      <c r="AX5962" s="77"/>
      <c r="BA5962" s="497">
        <v>62.96</v>
      </c>
      <c r="BB5962" s="42"/>
      <c r="BC5962" s="74"/>
      <c r="BD5962" s="77"/>
      <c r="BF5962">
        <v>68</v>
      </c>
      <c r="BH5962" s="42"/>
      <c r="BI5962" s="74"/>
      <c r="BJ5962" s="77"/>
      <c r="BL5962" s="497">
        <v>75.92</v>
      </c>
      <c r="BN5962" s="42"/>
      <c r="BO5962" s="74"/>
      <c r="BP5962" s="77"/>
      <c r="BR5962" s="497">
        <v>78.080000000000013</v>
      </c>
      <c r="BT5962" s="42"/>
    </row>
    <row r="5963" spans="1:72" x14ac:dyDescent="0.25">
      <c r="A5963" s="90">
        <v>34947</v>
      </c>
      <c r="B5963" s="20">
        <v>0.70833333333333337</v>
      </c>
      <c r="D5963">
        <v>75.92</v>
      </c>
      <c r="E5963" t="str">
        <f t="shared" si="220"/>
        <v>WEEKDAY</v>
      </c>
      <c r="F5963" t="e">
        <f t="shared" si="221"/>
        <v>#N/A</v>
      </c>
      <c r="G5963" s="74">
        <v>29103</v>
      </c>
      <c r="H5963" s="77">
        <v>0.70833333333333337</v>
      </c>
      <c r="J5963">
        <v>80.240000000000009</v>
      </c>
      <c r="M5963" s="74">
        <v>37869</v>
      </c>
      <c r="N5963" s="77">
        <v>0.70833333333333337</v>
      </c>
      <c r="P5963">
        <v>71.599999999999994</v>
      </c>
      <c r="S5963" s="74">
        <v>34947</v>
      </c>
      <c r="T5963" s="77">
        <v>0.70833333333333337</v>
      </c>
      <c r="V5963">
        <v>75.92</v>
      </c>
      <c r="X5963" s="42"/>
      <c r="AB5963">
        <v>76.3</v>
      </c>
      <c r="AC5963">
        <v>64.94</v>
      </c>
      <c r="AE5963" s="74"/>
      <c r="AF5963" s="77"/>
      <c r="AH5963" s="497">
        <v>84.2</v>
      </c>
      <c r="AJ5963" s="42"/>
      <c r="AK5963" s="74"/>
      <c r="AL5963" s="77"/>
      <c r="AN5963" s="497">
        <v>58.64</v>
      </c>
      <c r="AP5963" s="42"/>
      <c r="AQ5963" s="74"/>
      <c r="AR5963" s="77"/>
      <c r="AT5963" s="497">
        <v>75.02</v>
      </c>
      <c r="AV5963" s="42"/>
      <c r="AW5963" s="74"/>
      <c r="AX5963" s="77"/>
      <c r="BA5963" s="497">
        <v>60.08</v>
      </c>
      <c r="BB5963" s="42"/>
      <c r="BC5963" s="74"/>
      <c r="BD5963" s="77"/>
      <c r="BF5963">
        <v>66.92</v>
      </c>
      <c r="BH5963" s="42"/>
      <c r="BI5963" s="74"/>
      <c r="BJ5963" s="77"/>
      <c r="BL5963" s="497">
        <v>75.92</v>
      </c>
      <c r="BN5963" s="42"/>
      <c r="BO5963" s="74"/>
      <c r="BP5963" s="77"/>
      <c r="BR5963" s="497">
        <v>75.38</v>
      </c>
      <c r="BT5963" s="42"/>
    </row>
    <row r="5964" spans="1:72" x14ac:dyDescent="0.25">
      <c r="A5964" s="90">
        <v>34947</v>
      </c>
      <c r="B5964" s="20">
        <v>0.75</v>
      </c>
      <c r="D5964">
        <v>75.02</v>
      </c>
      <c r="E5964" t="str">
        <f t="shared" si="220"/>
        <v>WEEKDAY</v>
      </c>
      <c r="F5964" t="e">
        <f t="shared" si="221"/>
        <v>#N/A</v>
      </c>
      <c r="G5964" s="74">
        <v>29103</v>
      </c>
      <c r="H5964" s="77">
        <v>0.75</v>
      </c>
      <c r="J5964">
        <v>79.7</v>
      </c>
      <c r="M5964" s="74">
        <v>37869</v>
      </c>
      <c r="N5964" s="77">
        <v>0.75</v>
      </c>
      <c r="P5964">
        <v>68</v>
      </c>
      <c r="S5964" s="74">
        <v>34947</v>
      </c>
      <c r="T5964" s="77">
        <v>0.75</v>
      </c>
      <c r="V5964">
        <v>75.02</v>
      </c>
      <c r="X5964" s="42"/>
      <c r="AB5964">
        <v>75.2</v>
      </c>
      <c r="AC5964">
        <v>64.039999999999992</v>
      </c>
      <c r="AE5964" s="74"/>
      <c r="AF5964" s="77"/>
      <c r="AH5964" s="497">
        <v>80.599999999999994</v>
      </c>
      <c r="AJ5964" s="42"/>
      <c r="AK5964" s="74"/>
      <c r="AL5964" s="77"/>
      <c r="AN5964" s="497">
        <v>56.3</v>
      </c>
      <c r="AP5964" s="42"/>
      <c r="AQ5964" s="74"/>
      <c r="AR5964" s="77"/>
      <c r="AT5964" s="497">
        <v>73.94</v>
      </c>
      <c r="AV5964" s="42"/>
      <c r="AW5964" s="74"/>
      <c r="AX5964" s="77"/>
      <c r="BA5964" s="497">
        <v>57.019999999999996</v>
      </c>
      <c r="BB5964" s="42"/>
      <c r="BC5964" s="74"/>
      <c r="BD5964" s="77"/>
      <c r="BF5964">
        <v>64.039999999999992</v>
      </c>
      <c r="BH5964" s="42"/>
      <c r="BI5964" s="74"/>
      <c r="BJ5964" s="77"/>
      <c r="BL5964" s="497">
        <v>71.960000000000008</v>
      </c>
      <c r="BN5964" s="42"/>
      <c r="BO5964" s="74"/>
      <c r="BP5964" s="77"/>
      <c r="BR5964" s="497">
        <v>72.680000000000007</v>
      </c>
      <c r="BT5964" s="42"/>
    </row>
    <row r="5965" spans="1:72" x14ac:dyDescent="0.25">
      <c r="A5965" s="90">
        <v>34947</v>
      </c>
      <c r="B5965" s="20">
        <v>0.79166666666666663</v>
      </c>
      <c r="D5965">
        <v>73.94</v>
      </c>
      <c r="E5965" t="str">
        <f t="shared" si="220"/>
        <v>WEEKDAY</v>
      </c>
      <c r="F5965" t="e">
        <f t="shared" si="221"/>
        <v>#N/A</v>
      </c>
      <c r="G5965" s="74">
        <v>29103</v>
      </c>
      <c r="H5965" s="77">
        <v>0.79166666666666663</v>
      </c>
      <c r="J5965">
        <v>78.98</v>
      </c>
      <c r="M5965" s="74">
        <v>37869</v>
      </c>
      <c r="N5965" s="77">
        <v>0.79166666666666663</v>
      </c>
      <c r="P5965">
        <v>64.400000000000006</v>
      </c>
      <c r="S5965" s="74">
        <v>34947</v>
      </c>
      <c r="T5965" s="77">
        <v>0.79166666666666663</v>
      </c>
      <c r="V5965">
        <v>75.02</v>
      </c>
      <c r="X5965" s="42"/>
      <c r="AB5965">
        <v>73.599999999999994</v>
      </c>
      <c r="AC5965">
        <v>62.96</v>
      </c>
      <c r="AE5965" s="74"/>
      <c r="AF5965" s="77"/>
      <c r="AH5965" s="497">
        <v>75.2</v>
      </c>
      <c r="AJ5965" s="42"/>
      <c r="AK5965" s="74"/>
      <c r="AL5965" s="77"/>
      <c r="AN5965" s="497">
        <v>53.96</v>
      </c>
      <c r="AP5965" s="42"/>
      <c r="AQ5965" s="74"/>
      <c r="AR5965" s="77"/>
      <c r="AT5965" s="497">
        <v>71.960000000000008</v>
      </c>
      <c r="AV5965" s="42"/>
      <c r="AW5965" s="74"/>
      <c r="AX5965" s="77"/>
      <c r="BA5965" s="497">
        <v>53.06</v>
      </c>
      <c r="BB5965" s="42"/>
      <c r="BC5965" s="74"/>
      <c r="BD5965" s="77"/>
      <c r="BF5965">
        <v>60.08</v>
      </c>
      <c r="BH5965" s="42"/>
      <c r="BI5965" s="74"/>
      <c r="BJ5965" s="77"/>
      <c r="BL5965" s="497">
        <v>69.98</v>
      </c>
      <c r="BN5965" s="42"/>
      <c r="BO5965" s="74"/>
      <c r="BP5965" s="77"/>
      <c r="BR5965" s="497">
        <v>69.98</v>
      </c>
      <c r="BT5965" s="42"/>
    </row>
    <row r="5966" spans="1:72" x14ac:dyDescent="0.25">
      <c r="A5966" s="90">
        <v>34947</v>
      </c>
      <c r="B5966" s="20">
        <v>0.83333333333333337</v>
      </c>
      <c r="D5966">
        <v>71.960000000000008</v>
      </c>
      <c r="E5966" t="str">
        <f t="shared" si="220"/>
        <v>WEEKDAY</v>
      </c>
      <c r="F5966" t="e">
        <f t="shared" si="221"/>
        <v>#N/A</v>
      </c>
      <c r="G5966" s="74">
        <v>29103</v>
      </c>
      <c r="H5966" s="77">
        <v>0.83333333333333337</v>
      </c>
      <c r="J5966">
        <v>78.62</v>
      </c>
      <c r="M5966" s="74">
        <v>37869</v>
      </c>
      <c r="N5966" s="77">
        <v>0.83333333333333337</v>
      </c>
      <c r="P5966">
        <v>62.6</v>
      </c>
      <c r="S5966" s="74">
        <v>34947</v>
      </c>
      <c r="T5966" s="77">
        <v>0.83333333333333337</v>
      </c>
      <c r="V5966">
        <v>75.02</v>
      </c>
      <c r="X5966" s="42"/>
      <c r="AB5966">
        <v>72.3</v>
      </c>
      <c r="AC5966">
        <v>62.96</v>
      </c>
      <c r="AE5966" s="74"/>
      <c r="AF5966" s="77"/>
      <c r="AH5966" s="497">
        <v>71.599999999999994</v>
      </c>
      <c r="AJ5966" s="42"/>
      <c r="AK5966" s="74"/>
      <c r="AL5966" s="77"/>
      <c r="AN5966" s="497">
        <v>52.7</v>
      </c>
      <c r="AP5966" s="42"/>
      <c r="AQ5966" s="74"/>
      <c r="AR5966" s="77"/>
      <c r="AT5966" s="497">
        <v>71.960000000000008</v>
      </c>
      <c r="AV5966" s="42"/>
      <c r="AW5966" s="74"/>
      <c r="AX5966" s="77"/>
      <c r="BA5966" s="497">
        <v>51.980000000000004</v>
      </c>
      <c r="BB5966" s="42"/>
      <c r="BC5966" s="74"/>
      <c r="BD5966" s="77"/>
      <c r="BF5966">
        <v>57.019999999999996</v>
      </c>
      <c r="BH5966" s="42"/>
      <c r="BI5966" s="74"/>
      <c r="BJ5966" s="77"/>
      <c r="BL5966" s="497">
        <v>66.02</v>
      </c>
      <c r="BN5966" s="42"/>
      <c r="BO5966" s="74"/>
      <c r="BP5966" s="77"/>
      <c r="BR5966" s="497">
        <v>67.64</v>
      </c>
      <c r="BT5966" s="42"/>
    </row>
    <row r="5967" spans="1:72" x14ac:dyDescent="0.25">
      <c r="A5967" s="90">
        <v>34947</v>
      </c>
      <c r="B5967" s="20">
        <v>0.875</v>
      </c>
      <c r="D5967">
        <v>71.960000000000008</v>
      </c>
      <c r="E5967" t="str">
        <f t="shared" si="220"/>
        <v>WEEKDAY</v>
      </c>
      <c r="F5967" t="e">
        <f t="shared" si="221"/>
        <v>#N/A</v>
      </c>
      <c r="G5967" s="74">
        <v>29103</v>
      </c>
      <c r="H5967" s="77">
        <v>0.875</v>
      </c>
      <c r="J5967">
        <v>78.44</v>
      </c>
      <c r="M5967" s="74">
        <v>37869</v>
      </c>
      <c r="N5967" s="77">
        <v>0.875</v>
      </c>
      <c r="P5967">
        <v>60.8</v>
      </c>
      <c r="S5967" s="74">
        <v>34947</v>
      </c>
      <c r="T5967" s="77">
        <v>0.875</v>
      </c>
      <c r="V5967">
        <v>75.02</v>
      </c>
      <c r="X5967" s="42"/>
      <c r="AB5967">
        <v>71.5</v>
      </c>
      <c r="AC5967">
        <v>62.96</v>
      </c>
      <c r="AE5967" s="74"/>
      <c r="AF5967" s="77"/>
      <c r="AH5967" s="497">
        <v>69.800000000000011</v>
      </c>
      <c r="AJ5967" s="42"/>
      <c r="AK5967" s="74"/>
      <c r="AL5967" s="77"/>
      <c r="AN5967" s="497">
        <v>51.26</v>
      </c>
      <c r="AP5967" s="42"/>
      <c r="AQ5967" s="74"/>
      <c r="AR5967" s="77"/>
      <c r="AT5967" s="497">
        <v>69.98</v>
      </c>
      <c r="AV5967" s="42"/>
      <c r="AW5967" s="74"/>
      <c r="AX5967" s="77"/>
      <c r="BA5967" s="497">
        <v>48.019999999999996</v>
      </c>
      <c r="BB5967" s="42"/>
      <c r="BC5967" s="74"/>
      <c r="BD5967" s="77"/>
      <c r="BF5967">
        <v>53.96</v>
      </c>
      <c r="BH5967" s="42"/>
      <c r="BI5967" s="74"/>
      <c r="BJ5967" s="77"/>
      <c r="BL5967" s="497">
        <v>64.94</v>
      </c>
      <c r="BN5967" s="42"/>
      <c r="BO5967" s="74"/>
      <c r="BP5967" s="77"/>
      <c r="BR5967" s="497">
        <v>65.300000000000011</v>
      </c>
      <c r="BT5967" s="42"/>
    </row>
    <row r="5968" spans="1:72" x14ac:dyDescent="0.25">
      <c r="A5968" s="90">
        <v>34947</v>
      </c>
      <c r="B5968" s="20">
        <v>0.91666666666666663</v>
      </c>
      <c r="D5968">
        <v>69.98</v>
      </c>
      <c r="E5968" t="str">
        <f t="shared" si="220"/>
        <v>WEEKDAY</v>
      </c>
      <c r="F5968" t="e">
        <f t="shared" si="221"/>
        <v>#N/A</v>
      </c>
      <c r="G5968" s="74">
        <v>29103</v>
      </c>
      <c r="H5968" s="77">
        <v>0.91666666666666663</v>
      </c>
      <c r="J5968">
        <v>78.080000000000013</v>
      </c>
      <c r="M5968" s="74">
        <v>37869</v>
      </c>
      <c r="N5968" s="77">
        <v>0.91666666666666663</v>
      </c>
      <c r="P5968">
        <v>62.6</v>
      </c>
      <c r="S5968" s="74">
        <v>34947</v>
      </c>
      <c r="T5968" s="77">
        <v>0.91666666666666663</v>
      </c>
      <c r="V5968">
        <v>75.02</v>
      </c>
      <c r="X5968" s="42"/>
      <c r="AB5968">
        <v>70.900000000000006</v>
      </c>
      <c r="AC5968">
        <v>60.980000000000004</v>
      </c>
      <c r="AE5968" s="74"/>
      <c r="AF5968" s="77"/>
      <c r="AH5968" s="497">
        <v>69.800000000000011</v>
      </c>
      <c r="AJ5968" s="42"/>
      <c r="AK5968" s="74"/>
      <c r="AL5968" s="77"/>
      <c r="AN5968" s="497">
        <v>50</v>
      </c>
      <c r="AP5968" s="42"/>
      <c r="AQ5968" s="74"/>
      <c r="AR5968" s="77"/>
      <c r="AT5968" s="497">
        <v>69.080000000000013</v>
      </c>
      <c r="AV5968" s="42"/>
      <c r="AW5968" s="74"/>
      <c r="AX5968" s="77"/>
      <c r="BA5968" s="497">
        <v>46.94</v>
      </c>
      <c r="BB5968" s="42"/>
      <c r="BC5968" s="74"/>
      <c r="BD5968" s="77"/>
      <c r="BF5968">
        <v>51.980000000000004</v>
      </c>
      <c r="BH5968" s="42"/>
      <c r="BI5968" s="74"/>
      <c r="BJ5968" s="77"/>
      <c r="BL5968" s="497">
        <v>66.92</v>
      </c>
      <c r="BN5968" s="42"/>
      <c r="BO5968" s="74"/>
      <c r="BP5968" s="77"/>
      <c r="BR5968" s="497">
        <v>62.96</v>
      </c>
      <c r="BT5968" s="42"/>
    </row>
    <row r="5969" spans="1:72" x14ac:dyDescent="0.25">
      <c r="A5969" s="90">
        <v>34947</v>
      </c>
      <c r="B5969" s="20">
        <v>0.95833333333333337</v>
      </c>
      <c r="D5969">
        <v>69.080000000000013</v>
      </c>
      <c r="E5969" t="str">
        <f t="shared" si="220"/>
        <v>WEEKDAY</v>
      </c>
      <c r="F5969" t="e">
        <f t="shared" si="221"/>
        <v>#N/A</v>
      </c>
      <c r="G5969" s="74">
        <v>29103</v>
      </c>
      <c r="H5969" s="77">
        <v>0.95833333333333337</v>
      </c>
      <c r="J5969">
        <v>78.080000000000013</v>
      </c>
      <c r="M5969" s="74">
        <v>37869</v>
      </c>
      <c r="N5969" s="77">
        <v>0.95833333333333337</v>
      </c>
      <c r="P5969">
        <v>60.8</v>
      </c>
      <c r="S5969" s="74">
        <v>34947</v>
      </c>
      <c r="T5969" s="77">
        <v>0.95833333333333337</v>
      </c>
      <c r="V5969">
        <v>73.94</v>
      </c>
      <c r="X5969" s="42"/>
      <c r="AB5969">
        <v>70.2</v>
      </c>
      <c r="AC5969">
        <v>59</v>
      </c>
      <c r="AE5969" s="74"/>
      <c r="AF5969" s="77"/>
      <c r="AH5969" s="497">
        <v>68</v>
      </c>
      <c r="AJ5969" s="42"/>
      <c r="AK5969" s="74"/>
      <c r="AL5969" s="77"/>
      <c r="AN5969" s="497">
        <v>50</v>
      </c>
      <c r="AP5969" s="42"/>
      <c r="AQ5969" s="74"/>
      <c r="AR5969" s="77"/>
      <c r="AT5969" s="497">
        <v>66.92</v>
      </c>
      <c r="AV5969" s="42"/>
      <c r="AW5969" s="74"/>
      <c r="AX5969" s="77"/>
      <c r="BA5969" s="497">
        <v>44.06</v>
      </c>
      <c r="BB5969" s="42"/>
      <c r="BC5969" s="74"/>
      <c r="BD5969" s="77"/>
      <c r="BF5969">
        <v>50</v>
      </c>
      <c r="BH5969" s="42"/>
      <c r="BI5969" s="74"/>
      <c r="BJ5969" s="77"/>
      <c r="BL5969" s="497">
        <v>64.94</v>
      </c>
      <c r="BN5969" s="42"/>
      <c r="BO5969" s="74"/>
      <c r="BP5969" s="77"/>
      <c r="BR5969" s="497">
        <v>61.7</v>
      </c>
      <c r="BT5969" s="42"/>
    </row>
    <row r="5970" spans="1:72" x14ac:dyDescent="0.25">
      <c r="A5970" s="90">
        <v>34947</v>
      </c>
      <c r="B5970" s="20">
        <v>1</v>
      </c>
      <c r="D5970">
        <v>68</v>
      </c>
      <c r="E5970" t="str">
        <f t="shared" si="220"/>
        <v>WEEKDAY</v>
      </c>
      <c r="F5970" t="e">
        <f t="shared" si="221"/>
        <v>#N/A</v>
      </c>
      <c r="G5970" s="74">
        <v>29103</v>
      </c>
      <c r="H5970" s="77">
        <v>1</v>
      </c>
      <c r="J5970">
        <v>78.080000000000013</v>
      </c>
      <c r="M5970" s="74">
        <v>37869</v>
      </c>
      <c r="N5970" s="80">
        <v>1</v>
      </c>
      <c r="P5970">
        <v>60.8</v>
      </c>
      <c r="S5970" s="74">
        <v>34947</v>
      </c>
      <c r="T5970" s="80">
        <v>1</v>
      </c>
      <c r="V5970">
        <v>73.039999999999992</v>
      </c>
      <c r="X5970" s="42"/>
      <c r="AB5970">
        <v>69.599999999999994</v>
      </c>
      <c r="AC5970">
        <v>57.92</v>
      </c>
      <c r="AE5970" s="74"/>
      <c r="AF5970" s="80"/>
      <c r="AH5970" s="497">
        <v>66.2</v>
      </c>
      <c r="AJ5970" s="42"/>
      <c r="AK5970" s="74"/>
      <c r="AL5970" s="80"/>
      <c r="AN5970" s="497">
        <v>50</v>
      </c>
      <c r="AP5970" s="42"/>
      <c r="AQ5970" s="74"/>
      <c r="AR5970" s="80"/>
      <c r="AT5970" s="497">
        <v>66.02</v>
      </c>
      <c r="AV5970" s="42"/>
      <c r="AW5970" s="74"/>
      <c r="AX5970" s="80"/>
      <c r="BA5970" s="497">
        <v>44.96</v>
      </c>
      <c r="BB5970" s="42"/>
      <c r="BC5970" s="74"/>
      <c r="BD5970" s="80"/>
      <c r="BF5970">
        <v>48.92</v>
      </c>
      <c r="BH5970" s="42"/>
      <c r="BI5970" s="74"/>
      <c r="BJ5970" s="80"/>
      <c r="BL5970" s="497">
        <v>62.96</v>
      </c>
      <c r="BN5970" s="42"/>
      <c r="BO5970" s="74"/>
      <c r="BP5970" s="80"/>
      <c r="BR5970" s="497">
        <v>60.26</v>
      </c>
      <c r="BT5970" s="42"/>
    </row>
    <row r="5971" spans="1:72" x14ac:dyDescent="0.25">
      <c r="A5971" s="90">
        <v>34948</v>
      </c>
      <c r="B5971" s="20">
        <v>4.1666666666666664E-2</v>
      </c>
      <c r="D5971">
        <v>68</v>
      </c>
      <c r="E5971" t="str">
        <f t="shared" ref="E5971:E6034" si="222">IF(COUNTIF($DI$18:$DI$22, WEEKDAY(A5971))=1, "WEEKDAY", IF(WEEKDAY(A5971) = 1, "SUNDAY", "SATURDAY"))</f>
        <v>WEEKDAY</v>
      </c>
      <c r="F5971" t="e">
        <f t="shared" si="221"/>
        <v>#N/A</v>
      </c>
      <c r="G5971" s="74">
        <v>29104</v>
      </c>
      <c r="H5971" s="77">
        <v>4.1666666666666664E-2</v>
      </c>
      <c r="J5971">
        <v>78.080000000000013</v>
      </c>
      <c r="M5971" s="74">
        <v>37870</v>
      </c>
      <c r="N5971" s="77">
        <v>4.1666666666666664E-2</v>
      </c>
      <c r="P5971">
        <v>60.8</v>
      </c>
      <c r="S5971" s="74">
        <v>34948</v>
      </c>
      <c r="T5971" s="77">
        <v>4.1666666666666664E-2</v>
      </c>
      <c r="V5971">
        <v>71.960000000000008</v>
      </c>
      <c r="X5971" s="42"/>
      <c r="AB5971">
        <v>68.900000000000006</v>
      </c>
      <c r="AC5971">
        <v>57.92</v>
      </c>
      <c r="AE5971" s="74"/>
      <c r="AF5971" s="77"/>
      <c r="AH5971" s="497">
        <v>66.2</v>
      </c>
      <c r="AJ5971" s="42"/>
      <c r="AK5971" s="74"/>
      <c r="AL5971" s="77"/>
      <c r="AN5971" s="497">
        <v>50</v>
      </c>
      <c r="AP5971" s="42"/>
      <c r="AQ5971" s="74"/>
      <c r="AR5971" s="77"/>
      <c r="AT5971" s="497">
        <v>64.039999999999992</v>
      </c>
      <c r="AV5971" s="42"/>
      <c r="AW5971" s="74"/>
      <c r="AX5971" s="77"/>
      <c r="BA5971" s="497">
        <v>44.06</v>
      </c>
      <c r="BB5971" s="42"/>
      <c r="BC5971" s="74"/>
      <c r="BD5971" s="77"/>
      <c r="BF5971">
        <v>48.019999999999996</v>
      </c>
      <c r="BH5971" s="42"/>
      <c r="BI5971" s="74"/>
      <c r="BJ5971" s="77"/>
      <c r="BL5971" s="497">
        <v>62.96</v>
      </c>
      <c r="BN5971" s="42"/>
      <c r="BO5971" s="74"/>
      <c r="BP5971" s="77"/>
      <c r="BR5971" s="497">
        <v>59</v>
      </c>
      <c r="BT5971" s="42"/>
    </row>
    <row r="5972" spans="1:72" x14ac:dyDescent="0.25">
      <c r="A5972" s="90">
        <v>34948</v>
      </c>
      <c r="B5972" s="20">
        <v>8.3333333333333329E-2</v>
      </c>
      <c r="D5972">
        <v>66.92</v>
      </c>
      <c r="E5972" t="str">
        <f t="shared" si="222"/>
        <v>WEEKDAY</v>
      </c>
      <c r="F5972" t="e">
        <f t="shared" si="221"/>
        <v>#N/A</v>
      </c>
      <c r="G5972" s="74">
        <v>29104</v>
      </c>
      <c r="H5972" s="77">
        <v>8.3333333333333329E-2</v>
      </c>
      <c r="J5972">
        <v>77.72</v>
      </c>
      <c r="M5972" s="74">
        <v>37870</v>
      </c>
      <c r="N5972" s="77">
        <v>8.3333333333333329E-2</v>
      </c>
      <c r="P5972">
        <v>59</v>
      </c>
      <c r="S5972" s="74">
        <v>34948</v>
      </c>
      <c r="T5972" s="77">
        <v>8.3333333333333329E-2</v>
      </c>
      <c r="V5972">
        <v>71.960000000000008</v>
      </c>
      <c r="X5972" s="42"/>
      <c r="AB5972">
        <v>68.3</v>
      </c>
      <c r="AC5972">
        <v>57.019999999999996</v>
      </c>
      <c r="AE5972" s="74"/>
      <c r="AF5972" s="77"/>
      <c r="AH5972" s="497">
        <v>64.400000000000006</v>
      </c>
      <c r="AJ5972" s="42"/>
      <c r="AK5972" s="74"/>
      <c r="AL5972" s="77"/>
      <c r="AN5972" s="497">
        <v>49.28</v>
      </c>
      <c r="AP5972" s="42"/>
      <c r="AQ5972" s="74"/>
      <c r="AR5972" s="77"/>
      <c r="AT5972" s="497">
        <v>62.96</v>
      </c>
      <c r="AV5972" s="42"/>
      <c r="AW5972" s="74"/>
      <c r="AX5972" s="77"/>
      <c r="BA5972" s="497">
        <v>42.980000000000004</v>
      </c>
      <c r="BB5972" s="42"/>
      <c r="BC5972" s="74"/>
      <c r="BD5972" s="77"/>
      <c r="BF5972">
        <v>46.04</v>
      </c>
      <c r="BH5972" s="42"/>
      <c r="BI5972" s="74"/>
      <c r="BJ5972" s="77"/>
      <c r="BL5972" s="497">
        <v>60.980000000000004</v>
      </c>
      <c r="BN5972" s="42"/>
      <c r="BO5972" s="74"/>
      <c r="BP5972" s="77"/>
      <c r="BR5972" s="497">
        <v>57.92</v>
      </c>
      <c r="BT5972" s="42"/>
    </row>
    <row r="5973" spans="1:72" x14ac:dyDescent="0.25">
      <c r="A5973" s="90">
        <v>34948</v>
      </c>
      <c r="B5973" s="20">
        <v>0.125</v>
      </c>
      <c r="D5973">
        <v>64.94</v>
      </c>
      <c r="E5973" t="str">
        <f t="shared" si="222"/>
        <v>WEEKDAY</v>
      </c>
      <c r="F5973" t="e">
        <f t="shared" si="221"/>
        <v>#N/A</v>
      </c>
      <c r="G5973" s="74">
        <v>29104</v>
      </c>
      <c r="H5973" s="77">
        <v>0.125</v>
      </c>
      <c r="J5973">
        <v>77.36</v>
      </c>
      <c r="M5973" s="74">
        <v>37870</v>
      </c>
      <c r="N5973" s="77">
        <v>0.125</v>
      </c>
      <c r="P5973">
        <v>57.2</v>
      </c>
      <c r="S5973" s="74">
        <v>34948</v>
      </c>
      <c r="T5973" s="77">
        <v>0.125</v>
      </c>
      <c r="V5973">
        <v>71.06</v>
      </c>
      <c r="X5973" s="42"/>
      <c r="AB5973">
        <v>67.8</v>
      </c>
      <c r="AC5973">
        <v>55.94</v>
      </c>
      <c r="AE5973" s="74"/>
      <c r="AF5973" s="77"/>
      <c r="AH5973" s="497">
        <v>64.400000000000006</v>
      </c>
      <c r="AJ5973" s="42"/>
      <c r="AK5973" s="74"/>
      <c r="AL5973" s="77"/>
      <c r="AN5973" s="497">
        <v>48.74</v>
      </c>
      <c r="AP5973" s="42"/>
      <c r="AQ5973" s="74"/>
      <c r="AR5973" s="77"/>
      <c r="AT5973" s="497">
        <v>62.96</v>
      </c>
      <c r="AV5973" s="42"/>
      <c r="AW5973" s="74"/>
      <c r="AX5973" s="77"/>
      <c r="BA5973" s="497">
        <v>42.08</v>
      </c>
      <c r="BB5973" s="42"/>
      <c r="BC5973" s="74"/>
      <c r="BD5973" s="77"/>
      <c r="BF5973">
        <v>44.96</v>
      </c>
      <c r="BH5973" s="42"/>
      <c r="BI5973" s="74"/>
      <c r="BJ5973" s="77"/>
      <c r="BL5973" s="497">
        <v>60.08</v>
      </c>
      <c r="BN5973" s="42"/>
      <c r="BO5973" s="74"/>
      <c r="BP5973" s="77"/>
      <c r="BR5973" s="497">
        <v>57.019999999999996</v>
      </c>
      <c r="BT5973" s="42"/>
    </row>
    <row r="5974" spans="1:72" x14ac:dyDescent="0.25">
      <c r="A5974" s="90">
        <v>34948</v>
      </c>
      <c r="B5974" s="20">
        <v>0.16666666666666666</v>
      </c>
      <c r="D5974">
        <v>64.94</v>
      </c>
      <c r="E5974" t="str">
        <f t="shared" si="222"/>
        <v>WEEKDAY</v>
      </c>
      <c r="F5974" t="e">
        <f t="shared" si="221"/>
        <v>#N/A</v>
      </c>
      <c r="G5974" s="74">
        <v>29104</v>
      </c>
      <c r="H5974" s="77">
        <v>0.16666666666666666</v>
      </c>
      <c r="J5974">
        <v>77</v>
      </c>
      <c r="M5974" s="74">
        <v>37870</v>
      </c>
      <c r="N5974" s="77">
        <v>0.16666666666666666</v>
      </c>
      <c r="P5974">
        <v>55.400000000000006</v>
      </c>
      <c r="S5974" s="74">
        <v>34948</v>
      </c>
      <c r="T5974" s="77">
        <v>0.16666666666666666</v>
      </c>
      <c r="V5974">
        <v>69.98</v>
      </c>
      <c r="X5974" s="42"/>
      <c r="AB5974">
        <v>67.2</v>
      </c>
      <c r="AC5974">
        <v>55.94</v>
      </c>
      <c r="AE5974" s="74"/>
      <c r="AF5974" s="77"/>
      <c r="AH5974" s="497">
        <v>62.6</v>
      </c>
      <c r="AJ5974" s="42"/>
      <c r="AK5974" s="74"/>
      <c r="AL5974" s="77"/>
      <c r="AN5974" s="497">
        <v>48.019999999999996</v>
      </c>
      <c r="AP5974" s="42"/>
      <c r="AQ5974" s="74"/>
      <c r="AR5974" s="77"/>
      <c r="AT5974" s="497">
        <v>64.039999999999992</v>
      </c>
      <c r="AV5974" s="42"/>
      <c r="AW5974" s="74"/>
      <c r="AX5974" s="77"/>
      <c r="BA5974" s="497">
        <v>41</v>
      </c>
      <c r="BB5974" s="42"/>
      <c r="BC5974" s="74"/>
      <c r="BD5974" s="77"/>
      <c r="BF5974">
        <v>44.06</v>
      </c>
      <c r="BH5974" s="42"/>
      <c r="BI5974" s="74"/>
      <c r="BJ5974" s="77"/>
      <c r="BL5974" s="497">
        <v>60.08</v>
      </c>
      <c r="BN5974" s="42"/>
      <c r="BO5974" s="74"/>
      <c r="BP5974" s="77"/>
      <c r="BR5974" s="497">
        <v>55.94</v>
      </c>
      <c r="BT5974" s="42"/>
    </row>
    <row r="5975" spans="1:72" x14ac:dyDescent="0.25">
      <c r="A5975" s="90">
        <v>34948</v>
      </c>
      <c r="B5975" s="20">
        <v>0.20833333333333334</v>
      </c>
      <c r="D5975">
        <v>62.06</v>
      </c>
      <c r="E5975" t="str">
        <f t="shared" si="222"/>
        <v>WEEKDAY</v>
      </c>
      <c r="F5975" t="e">
        <f t="shared" si="221"/>
        <v>#N/A</v>
      </c>
      <c r="G5975" s="74">
        <v>29104</v>
      </c>
      <c r="H5975" s="77">
        <v>0.20833333333333334</v>
      </c>
      <c r="J5975">
        <v>76.64</v>
      </c>
      <c r="M5975" s="74">
        <v>37870</v>
      </c>
      <c r="N5975" s="77">
        <v>0.20833333333333334</v>
      </c>
      <c r="P5975">
        <v>53.6</v>
      </c>
      <c r="S5975" s="74">
        <v>34948</v>
      </c>
      <c r="T5975" s="77">
        <v>0.20833333333333334</v>
      </c>
      <c r="V5975">
        <v>71.06</v>
      </c>
      <c r="X5975" s="42"/>
      <c r="AB5975">
        <v>66.7</v>
      </c>
      <c r="AC5975">
        <v>55.040000000000006</v>
      </c>
      <c r="AE5975" s="74"/>
      <c r="AF5975" s="77"/>
      <c r="AH5975" s="497">
        <v>62.6</v>
      </c>
      <c r="AJ5975" s="42"/>
      <c r="AK5975" s="74"/>
      <c r="AL5975" s="77"/>
      <c r="AN5975" s="497">
        <v>47.66</v>
      </c>
      <c r="AP5975" s="42"/>
      <c r="AQ5975" s="74"/>
      <c r="AR5975" s="77"/>
      <c r="AT5975" s="497">
        <v>64.94</v>
      </c>
      <c r="AV5975" s="42"/>
      <c r="AW5975" s="74"/>
      <c r="AX5975" s="77"/>
      <c r="BA5975" s="497">
        <v>39.92</v>
      </c>
      <c r="BB5975" s="42"/>
      <c r="BC5975" s="74"/>
      <c r="BD5975" s="77"/>
      <c r="BF5975">
        <v>42.980000000000004</v>
      </c>
      <c r="BH5975" s="42"/>
      <c r="BI5975" s="74"/>
      <c r="BJ5975" s="77"/>
      <c r="BL5975" s="497">
        <v>60.08</v>
      </c>
      <c r="BN5975" s="42"/>
      <c r="BO5975" s="74"/>
      <c r="BP5975" s="77"/>
      <c r="BR5975" s="497">
        <v>57.56</v>
      </c>
      <c r="BT5975" s="42"/>
    </row>
    <row r="5976" spans="1:72" x14ac:dyDescent="0.25">
      <c r="A5976" s="90">
        <v>34948</v>
      </c>
      <c r="B5976" s="20">
        <v>0.25</v>
      </c>
      <c r="D5976">
        <v>62.06</v>
      </c>
      <c r="E5976" t="str">
        <f t="shared" si="222"/>
        <v>WEEKDAY</v>
      </c>
      <c r="F5976" t="e">
        <f t="shared" si="221"/>
        <v>#N/A</v>
      </c>
      <c r="G5976" s="74">
        <v>29104</v>
      </c>
      <c r="H5976" s="77">
        <v>0.25</v>
      </c>
      <c r="J5976">
        <v>76.28</v>
      </c>
      <c r="M5976" s="74">
        <v>37870</v>
      </c>
      <c r="N5976" s="77">
        <v>0.25</v>
      </c>
      <c r="P5976">
        <v>55.400000000000006</v>
      </c>
      <c r="S5976" s="74">
        <v>34948</v>
      </c>
      <c r="T5976" s="77">
        <v>0.25</v>
      </c>
      <c r="V5976">
        <v>69.080000000000013</v>
      </c>
      <c r="X5976" s="42"/>
      <c r="AB5976">
        <v>66.5</v>
      </c>
      <c r="AC5976">
        <v>57.019999999999996</v>
      </c>
      <c r="AE5976" s="74"/>
      <c r="AF5976" s="77"/>
      <c r="AH5976" s="497">
        <v>62.6</v>
      </c>
      <c r="AJ5976" s="42"/>
      <c r="AK5976" s="74"/>
      <c r="AL5976" s="77"/>
      <c r="AN5976" s="497">
        <v>47.3</v>
      </c>
      <c r="AP5976" s="42"/>
      <c r="AQ5976" s="74"/>
      <c r="AR5976" s="77"/>
      <c r="AT5976" s="497">
        <v>64.039999999999992</v>
      </c>
      <c r="AV5976" s="42"/>
      <c r="AW5976" s="74"/>
      <c r="AX5976" s="77"/>
      <c r="BA5976" s="497">
        <v>39.92</v>
      </c>
      <c r="BB5976" s="42"/>
      <c r="BC5976" s="74"/>
      <c r="BD5976" s="77"/>
      <c r="BF5976">
        <v>42.980000000000004</v>
      </c>
      <c r="BH5976" s="42"/>
      <c r="BI5976" s="74"/>
      <c r="BJ5976" s="77"/>
      <c r="BL5976" s="497">
        <v>60.08</v>
      </c>
      <c r="BN5976" s="42"/>
      <c r="BO5976" s="74"/>
      <c r="BP5976" s="77"/>
      <c r="BR5976" s="497">
        <v>59.36</v>
      </c>
      <c r="BT5976" s="42"/>
    </row>
    <row r="5977" spans="1:72" x14ac:dyDescent="0.25">
      <c r="A5977" s="90">
        <v>34948</v>
      </c>
      <c r="B5977" s="20">
        <v>0.29166666666666669</v>
      </c>
      <c r="D5977">
        <v>62.96</v>
      </c>
      <c r="E5977" t="str">
        <f t="shared" si="222"/>
        <v>WEEKDAY</v>
      </c>
      <c r="F5977" t="e">
        <f t="shared" si="221"/>
        <v>#N/A</v>
      </c>
      <c r="G5977" s="74">
        <v>29104</v>
      </c>
      <c r="H5977" s="77">
        <v>0.29166666666666669</v>
      </c>
      <c r="J5977">
        <v>75.92</v>
      </c>
      <c r="M5977" s="74">
        <v>37870</v>
      </c>
      <c r="N5977" s="77">
        <v>0.29166666666666669</v>
      </c>
      <c r="P5977">
        <v>59</v>
      </c>
      <c r="S5977" s="74">
        <v>34948</v>
      </c>
      <c r="T5977" s="77">
        <v>0.29166666666666669</v>
      </c>
      <c r="V5977">
        <v>73.94</v>
      </c>
      <c r="X5977" s="42"/>
      <c r="AB5977">
        <v>66.5</v>
      </c>
      <c r="AC5977">
        <v>60.980000000000004</v>
      </c>
      <c r="AE5977" s="74"/>
      <c r="AF5977" s="77"/>
      <c r="AH5977" s="497">
        <v>64.400000000000006</v>
      </c>
      <c r="AJ5977" s="42"/>
      <c r="AK5977" s="74"/>
      <c r="AL5977" s="77"/>
      <c r="AN5977" s="497">
        <v>46.94</v>
      </c>
      <c r="AP5977" s="42"/>
      <c r="AQ5977" s="74"/>
      <c r="AR5977" s="77"/>
      <c r="AT5977" s="497">
        <v>66.02</v>
      </c>
      <c r="AV5977" s="42"/>
      <c r="AW5977" s="74"/>
      <c r="AX5977" s="77"/>
      <c r="BA5977" s="497">
        <v>42.980000000000004</v>
      </c>
      <c r="BB5977" s="42"/>
      <c r="BC5977" s="74"/>
      <c r="BD5977" s="77"/>
      <c r="BF5977">
        <v>44.96</v>
      </c>
      <c r="BH5977" s="42"/>
      <c r="BI5977" s="74"/>
      <c r="BJ5977" s="77"/>
      <c r="BL5977" s="497">
        <v>64.039999999999992</v>
      </c>
      <c r="BN5977" s="42"/>
      <c r="BO5977" s="74"/>
      <c r="BP5977" s="77"/>
      <c r="BR5977" s="497">
        <v>60.980000000000004</v>
      </c>
      <c r="BT5977" s="42"/>
    </row>
    <row r="5978" spans="1:72" x14ac:dyDescent="0.25">
      <c r="A5978" s="90">
        <v>34948</v>
      </c>
      <c r="B5978" s="20">
        <v>0.33333333333333331</v>
      </c>
      <c r="D5978">
        <v>64.94</v>
      </c>
      <c r="E5978" t="str">
        <f t="shared" si="222"/>
        <v>WEEKDAY</v>
      </c>
      <c r="F5978" t="e">
        <f t="shared" si="221"/>
        <v>#N/A</v>
      </c>
      <c r="G5978" s="74">
        <v>29104</v>
      </c>
      <c r="H5978" s="77">
        <v>0.33333333333333331</v>
      </c>
      <c r="J5978">
        <v>75.56</v>
      </c>
      <c r="M5978" s="74">
        <v>37870</v>
      </c>
      <c r="N5978" s="77">
        <v>0.33333333333333331</v>
      </c>
      <c r="P5978">
        <v>62.6</v>
      </c>
      <c r="S5978" s="74">
        <v>34948</v>
      </c>
      <c r="T5978" s="77">
        <v>0.33333333333333331</v>
      </c>
      <c r="V5978">
        <v>75.02</v>
      </c>
      <c r="X5978" s="42"/>
      <c r="AB5978">
        <v>68.5</v>
      </c>
      <c r="AC5978">
        <v>64.039999999999992</v>
      </c>
      <c r="AE5978" s="74"/>
      <c r="AF5978" s="77"/>
      <c r="AH5978" s="497">
        <v>71.599999999999994</v>
      </c>
      <c r="AJ5978" s="42"/>
      <c r="AK5978" s="74"/>
      <c r="AL5978" s="77"/>
      <c r="AN5978" s="497">
        <v>50</v>
      </c>
      <c r="AP5978" s="42"/>
      <c r="AQ5978" s="74"/>
      <c r="AR5978" s="77"/>
      <c r="AT5978" s="497">
        <v>68</v>
      </c>
      <c r="AV5978" s="42"/>
      <c r="AW5978" s="74"/>
      <c r="AX5978" s="77"/>
      <c r="BA5978" s="497">
        <v>51.08</v>
      </c>
      <c r="BB5978" s="42"/>
      <c r="BC5978" s="74"/>
      <c r="BD5978" s="77"/>
      <c r="BF5978">
        <v>51.08</v>
      </c>
      <c r="BH5978" s="42"/>
      <c r="BI5978" s="74"/>
      <c r="BJ5978" s="77"/>
      <c r="BL5978" s="497">
        <v>69.080000000000013</v>
      </c>
      <c r="BN5978" s="42"/>
      <c r="BO5978" s="74"/>
      <c r="BP5978" s="77"/>
      <c r="BR5978" s="497">
        <v>64.039999999999992</v>
      </c>
      <c r="BT5978" s="42"/>
    </row>
    <row r="5979" spans="1:72" x14ac:dyDescent="0.25">
      <c r="A5979" s="90">
        <v>34948</v>
      </c>
      <c r="B5979" s="20">
        <v>0.375</v>
      </c>
      <c r="D5979">
        <v>68</v>
      </c>
      <c r="E5979" t="str">
        <f t="shared" si="222"/>
        <v>WEEKDAY</v>
      </c>
      <c r="F5979" t="e">
        <f t="shared" si="221"/>
        <v>#N/A</v>
      </c>
      <c r="G5979" s="74">
        <v>29104</v>
      </c>
      <c r="H5979" s="77">
        <v>0.375</v>
      </c>
      <c r="J5979">
        <v>75.38</v>
      </c>
      <c r="M5979" s="74">
        <v>37870</v>
      </c>
      <c r="N5979" s="77">
        <v>0.375</v>
      </c>
      <c r="P5979">
        <v>64.400000000000006</v>
      </c>
      <c r="S5979" s="74">
        <v>34948</v>
      </c>
      <c r="T5979" s="77">
        <v>0.375</v>
      </c>
      <c r="V5979">
        <v>78.080000000000013</v>
      </c>
      <c r="X5979" s="42"/>
      <c r="AB5979">
        <v>70.8</v>
      </c>
      <c r="AC5979">
        <v>66.02</v>
      </c>
      <c r="AE5979" s="74"/>
      <c r="AF5979" s="77"/>
      <c r="AH5979" s="497">
        <v>75.2</v>
      </c>
      <c r="AJ5979" s="42"/>
      <c r="AK5979" s="74"/>
      <c r="AL5979" s="77"/>
      <c r="AN5979" s="497">
        <v>52.879999999999995</v>
      </c>
      <c r="AP5979" s="42"/>
      <c r="AQ5979" s="74"/>
      <c r="AR5979" s="77"/>
      <c r="AT5979" s="497">
        <v>71.960000000000008</v>
      </c>
      <c r="AV5979" s="42"/>
      <c r="AW5979" s="74"/>
      <c r="AX5979" s="77"/>
      <c r="BA5979" s="497">
        <v>55.040000000000006</v>
      </c>
      <c r="BB5979" s="42"/>
      <c r="BC5979" s="74"/>
      <c r="BD5979" s="77"/>
      <c r="BF5979">
        <v>59</v>
      </c>
      <c r="BH5979" s="42"/>
      <c r="BI5979" s="74"/>
      <c r="BJ5979" s="77"/>
      <c r="BL5979" s="497">
        <v>73.039999999999992</v>
      </c>
      <c r="BN5979" s="42"/>
      <c r="BO5979" s="74"/>
      <c r="BP5979" s="77"/>
      <c r="BR5979" s="497">
        <v>66.92</v>
      </c>
      <c r="BT5979" s="42"/>
    </row>
    <row r="5980" spans="1:72" x14ac:dyDescent="0.25">
      <c r="A5980" s="90">
        <v>34948</v>
      </c>
      <c r="B5980" s="20">
        <v>0.41666666666666669</v>
      </c>
      <c r="D5980">
        <v>69.080000000000013</v>
      </c>
      <c r="E5980" t="str">
        <f t="shared" si="222"/>
        <v>WEEKDAY</v>
      </c>
      <c r="F5980" t="e">
        <f t="shared" si="221"/>
        <v>#N/A</v>
      </c>
      <c r="G5980" s="74">
        <v>29104</v>
      </c>
      <c r="H5980" s="77">
        <v>0.41666666666666669</v>
      </c>
      <c r="J5980">
        <v>75.02</v>
      </c>
      <c r="M5980" s="74">
        <v>37870</v>
      </c>
      <c r="N5980" s="77">
        <v>0.41666666666666669</v>
      </c>
      <c r="P5980">
        <v>68</v>
      </c>
      <c r="S5980" s="74">
        <v>34948</v>
      </c>
      <c r="T5980" s="77">
        <v>0.41666666666666669</v>
      </c>
      <c r="V5980">
        <v>80.06</v>
      </c>
      <c r="X5980" s="42"/>
      <c r="AB5980">
        <v>72.8</v>
      </c>
      <c r="AC5980">
        <v>69.080000000000013</v>
      </c>
      <c r="AE5980" s="74"/>
      <c r="AF5980" s="77"/>
      <c r="AH5980" s="497">
        <v>78.800000000000011</v>
      </c>
      <c r="AJ5980" s="42"/>
      <c r="AK5980" s="74"/>
      <c r="AL5980" s="77"/>
      <c r="AN5980" s="497">
        <v>55.94</v>
      </c>
      <c r="AP5980" s="42"/>
      <c r="AQ5980" s="74"/>
      <c r="AR5980" s="77"/>
      <c r="AT5980" s="497">
        <v>73.94</v>
      </c>
      <c r="AV5980" s="42"/>
      <c r="AW5980" s="74"/>
      <c r="AX5980" s="77"/>
      <c r="BA5980" s="497">
        <v>60.08</v>
      </c>
      <c r="BB5980" s="42"/>
      <c r="BC5980" s="74"/>
      <c r="BD5980" s="77"/>
      <c r="BF5980">
        <v>62.06</v>
      </c>
      <c r="BH5980" s="42"/>
      <c r="BI5980" s="74"/>
      <c r="BJ5980" s="77"/>
      <c r="BL5980" s="497">
        <v>78.080000000000013</v>
      </c>
      <c r="BN5980" s="42"/>
      <c r="BO5980" s="74"/>
      <c r="BP5980" s="77"/>
      <c r="BR5980" s="497">
        <v>69.98</v>
      </c>
      <c r="BT5980" s="42"/>
    </row>
    <row r="5981" spans="1:72" x14ac:dyDescent="0.25">
      <c r="A5981" s="90">
        <v>34948</v>
      </c>
      <c r="B5981" s="20">
        <v>0.45833333333333331</v>
      </c>
      <c r="D5981">
        <v>71.960000000000008</v>
      </c>
      <c r="E5981" t="str">
        <f t="shared" si="222"/>
        <v>WEEKDAY</v>
      </c>
      <c r="F5981" t="e">
        <f t="shared" si="221"/>
        <v>#N/A</v>
      </c>
      <c r="G5981" s="74">
        <v>29104</v>
      </c>
      <c r="H5981" s="77">
        <v>0.45833333333333331</v>
      </c>
      <c r="J5981">
        <v>75.02</v>
      </c>
      <c r="M5981" s="74">
        <v>37870</v>
      </c>
      <c r="N5981" s="77">
        <v>0.45833333333333331</v>
      </c>
      <c r="P5981">
        <v>68</v>
      </c>
      <c r="S5981" s="74">
        <v>34948</v>
      </c>
      <c r="T5981" s="77">
        <v>0.45833333333333331</v>
      </c>
      <c r="V5981">
        <v>82.94</v>
      </c>
      <c r="X5981" s="42"/>
      <c r="AB5981">
        <v>74.599999999999994</v>
      </c>
      <c r="AC5981">
        <v>71.06</v>
      </c>
      <c r="AE5981" s="74"/>
      <c r="AF5981" s="77"/>
      <c r="AH5981" s="497">
        <v>82.4</v>
      </c>
      <c r="AJ5981" s="42"/>
      <c r="AK5981" s="74"/>
      <c r="AL5981" s="77"/>
      <c r="AN5981" s="497">
        <v>57.92</v>
      </c>
      <c r="AP5981" s="42"/>
      <c r="AQ5981" s="74"/>
      <c r="AR5981" s="77"/>
      <c r="AT5981" s="497">
        <v>78.080000000000013</v>
      </c>
      <c r="AV5981" s="42"/>
      <c r="AW5981" s="74"/>
      <c r="AX5981" s="77"/>
      <c r="BA5981" s="497">
        <v>62.96</v>
      </c>
      <c r="BB5981" s="42"/>
      <c r="BC5981" s="74"/>
      <c r="BD5981" s="77"/>
      <c r="BF5981">
        <v>64.94</v>
      </c>
      <c r="BH5981" s="42"/>
      <c r="BI5981" s="74"/>
      <c r="BJ5981" s="77"/>
      <c r="BL5981" s="497">
        <v>80.960000000000008</v>
      </c>
      <c r="BN5981" s="42"/>
      <c r="BO5981" s="74"/>
      <c r="BP5981" s="77"/>
      <c r="BR5981" s="497">
        <v>71.240000000000009</v>
      </c>
      <c r="BT5981" s="42"/>
    </row>
    <row r="5982" spans="1:72" x14ac:dyDescent="0.25">
      <c r="A5982" s="90">
        <v>34948</v>
      </c>
      <c r="B5982" s="20">
        <v>0.5</v>
      </c>
      <c r="D5982">
        <v>73.039999999999992</v>
      </c>
      <c r="E5982" t="str">
        <f t="shared" si="222"/>
        <v>WEEKDAY</v>
      </c>
      <c r="F5982" t="e">
        <f t="shared" si="221"/>
        <v>#N/A</v>
      </c>
      <c r="G5982" s="74">
        <v>29104</v>
      </c>
      <c r="H5982" s="77">
        <v>0.5</v>
      </c>
      <c r="J5982">
        <v>75.02</v>
      </c>
      <c r="M5982" s="74">
        <v>37870</v>
      </c>
      <c r="N5982" s="77">
        <v>0.5</v>
      </c>
      <c r="P5982">
        <v>71.599999999999994</v>
      </c>
      <c r="S5982" s="74">
        <v>34948</v>
      </c>
      <c r="T5982" s="77">
        <v>0.5</v>
      </c>
      <c r="V5982">
        <v>80.06</v>
      </c>
      <c r="X5982" s="42"/>
      <c r="AB5982">
        <v>76</v>
      </c>
      <c r="AC5982">
        <v>73.039999999999992</v>
      </c>
      <c r="AE5982" s="74"/>
      <c r="AF5982" s="77"/>
      <c r="AH5982" s="497">
        <v>82.4</v>
      </c>
      <c r="AJ5982" s="42"/>
      <c r="AK5982" s="74"/>
      <c r="AL5982" s="77"/>
      <c r="AN5982" s="497">
        <v>60.08</v>
      </c>
      <c r="AP5982" s="42"/>
      <c r="AQ5982" s="74"/>
      <c r="AR5982" s="77"/>
      <c r="AT5982" s="497">
        <v>80.06</v>
      </c>
      <c r="AV5982" s="42"/>
      <c r="AW5982" s="74"/>
      <c r="AX5982" s="77"/>
      <c r="BA5982" s="497">
        <v>64.94</v>
      </c>
      <c r="BB5982" s="42"/>
      <c r="BC5982" s="74"/>
      <c r="BD5982" s="77"/>
      <c r="BF5982">
        <v>66.92</v>
      </c>
      <c r="BH5982" s="42"/>
      <c r="BI5982" s="74"/>
      <c r="BJ5982" s="77"/>
      <c r="BL5982" s="497">
        <v>80.06</v>
      </c>
      <c r="BN5982" s="42"/>
      <c r="BO5982" s="74"/>
      <c r="BP5982" s="77"/>
      <c r="BR5982" s="497">
        <v>72.680000000000007</v>
      </c>
      <c r="BT5982" s="42"/>
    </row>
    <row r="5983" spans="1:72" x14ac:dyDescent="0.25">
      <c r="A5983" s="90">
        <v>34948</v>
      </c>
      <c r="B5983" s="20">
        <v>0.54166666666666663</v>
      </c>
      <c r="D5983">
        <v>75.92</v>
      </c>
      <c r="E5983" t="str">
        <f t="shared" si="222"/>
        <v>WEEKDAY</v>
      </c>
      <c r="F5983" t="e">
        <f t="shared" si="221"/>
        <v>#N/A</v>
      </c>
      <c r="G5983" s="74">
        <v>29104</v>
      </c>
      <c r="H5983" s="77">
        <v>0.54166666666666663</v>
      </c>
      <c r="J5983">
        <v>75.02</v>
      </c>
      <c r="M5983" s="74">
        <v>37870</v>
      </c>
      <c r="N5983" s="77">
        <v>0.54166666666666663</v>
      </c>
      <c r="P5983">
        <v>71.599999999999994</v>
      </c>
      <c r="S5983" s="74">
        <v>34948</v>
      </c>
      <c r="T5983" s="77">
        <v>0.54166666666666663</v>
      </c>
      <c r="V5983">
        <v>80.06</v>
      </c>
      <c r="X5983" s="42"/>
      <c r="AB5983">
        <v>76.900000000000006</v>
      </c>
      <c r="AC5983">
        <v>73.039999999999992</v>
      </c>
      <c r="AE5983" s="74"/>
      <c r="AF5983" s="77"/>
      <c r="AH5983" s="497">
        <v>80.599999999999994</v>
      </c>
      <c r="AJ5983" s="42"/>
      <c r="AK5983" s="74"/>
      <c r="AL5983" s="77"/>
      <c r="AN5983" s="497">
        <v>62.06</v>
      </c>
      <c r="AP5983" s="42"/>
      <c r="AQ5983" s="74"/>
      <c r="AR5983" s="77"/>
      <c r="AT5983" s="497">
        <v>82.039999999999992</v>
      </c>
      <c r="AV5983" s="42"/>
      <c r="AW5983" s="74"/>
      <c r="AX5983" s="77"/>
      <c r="BA5983" s="497">
        <v>66.92</v>
      </c>
      <c r="BB5983" s="42"/>
      <c r="BC5983" s="74"/>
      <c r="BD5983" s="77"/>
      <c r="BF5983">
        <v>64.94</v>
      </c>
      <c r="BH5983" s="42"/>
      <c r="BI5983" s="74"/>
      <c r="BJ5983" s="77"/>
      <c r="BL5983" s="497">
        <v>80.06</v>
      </c>
      <c r="BN5983" s="42"/>
      <c r="BO5983" s="74"/>
      <c r="BP5983" s="77"/>
      <c r="BR5983" s="497">
        <v>73.94</v>
      </c>
      <c r="BT5983" s="42"/>
    </row>
    <row r="5984" spans="1:72" x14ac:dyDescent="0.25">
      <c r="A5984" s="90">
        <v>34948</v>
      </c>
      <c r="B5984" s="20">
        <v>0.58333333333333337</v>
      </c>
      <c r="D5984">
        <v>78.080000000000013</v>
      </c>
      <c r="E5984" t="str">
        <f t="shared" si="222"/>
        <v>WEEKDAY</v>
      </c>
      <c r="F5984" t="e">
        <f t="shared" si="221"/>
        <v>#N/A</v>
      </c>
      <c r="G5984" s="74">
        <v>29104</v>
      </c>
      <c r="H5984" s="77">
        <v>0.58333333333333337</v>
      </c>
      <c r="J5984">
        <v>77.72</v>
      </c>
      <c r="M5984" s="74">
        <v>37870</v>
      </c>
      <c r="N5984" s="77">
        <v>0.58333333333333337</v>
      </c>
      <c r="P5984">
        <v>71.599999999999994</v>
      </c>
      <c r="S5984" s="74">
        <v>34948</v>
      </c>
      <c r="T5984" s="77">
        <v>0.58333333333333337</v>
      </c>
      <c r="V5984">
        <v>80.960000000000008</v>
      </c>
      <c r="X5984" s="42"/>
      <c r="AB5984">
        <v>77.400000000000006</v>
      </c>
      <c r="AC5984">
        <v>71.960000000000008</v>
      </c>
      <c r="AE5984" s="74"/>
      <c r="AF5984" s="77"/>
      <c r="AH5984" s="497">
        <v>84.2</v>
      </c>
      <c r="AJ5984" s="42"/>
      <c r="AK5984" s="74"/>
      <c r="AL5984" s="77"/>
      <c r="AN5984" s="497">
        <v>61.7</v>
      </c>
      <c r="AP5984" s="42"/>
      <c r="AQ5984" s="74"/>
      <c r="AR5984" s="77"/>
      <c r="AT5984" s="497">
        <v>80.06</v>
      </c>
      <c r="AV5984" s="42"/>
      <c r="AW5984" s="74"/>
      <c r="AX5984" s="77"/>
      <c r="BA5984" s="497">
        <v>66.92</v>
      </c>
      <c r="BB5984" s="42"/>
      <c r="BC5984" s="74"/>
      <c r="BD5984" s="77"/>
      <c r="BF5984">
        <v>62.06</v>
      </c>
      <c r="BH5984" s="42"/>
      <c r="BI5984" s="74"/>
      <c r="BJ5984" s="77"/>
      <c r="BL5984" s="497">
        <v>82.94</v>
      </c>
      <c r="BN5984" s="42"/>
      <c r="BO5984" s="74"/>
      <c r="BP5984" s="77"/>
      <c r="BR5984" s="497">
        <v>74.300000000000011</v>
      </c>
      <c r="BT5984" s="42"/>
    </row>
    <row r="5985" spans="1:72" x14ac:dyDescent="0.25">
      <c r="A5985" s="90">
        <v>34948</v>
      </c>
      <c r="B5985" s="20">
        <v>0.625</v>
      </c>
      <c r="D5985">
        <v>78.98</v>
      </c>
      <c r="E5985" t="str">
        <f t="shared" si="222"/>
        <v>WEEKDAY</v>
      </c>
      <c r="F5985" t="e">
        <f t="shared" si="221"/>
        <v>#N/A</v>
      </c>
      <c r="G5985" s="74">
        <v>29104</v>
      </c>
      <c r="H5985" s="77">
        <v>0.625</v>
      </c>
      <c r="J5985">
        <v>80.240000000000009</v>
      </c>
      <c r="M5985" s="74">
        <v>37870</v>
      </c>
      <c r="N5985" s="77">
        <v>0.625</v>
      </c>
      <c r="P5985">
        <v>71.599999999999994</v>
      </c>
      <c r="S5985" s="74">
        <v>34948</v>
      </c>
      <c r="T5985" s="77">
        <v>0.625</v>
      </c>
      <c r="V5985">
        <v>78.98</v>
      </c>
      <c r="X5985" s="42"/>
      <c r="AB5985">
        <v>77.400000000000006</v>
      </c>
      <c r="AC5985">
        <v>71.960000000000008</v>
      </c>
      <c r="AE5985" s="74"/>
      <c r="AF5985" s="77"/>
      <c r="AH5985" s="497">
        <v>84.2</v>
      </c>
      <c r="AJ5985" s="42"/>
      <c r="AK5985" s="74"/>
      <c r="AL5985" s="77"/>
      <c r="AN5985" s="497">
        <v>61.34</v>
      </c>
      <c r="AP5985" s="42"/>
      <c r="AQ5985" s="74"/>
      <c r="AR5985" s="77"/>
      <c r="AT5985" s="497">
        <v>82.94</v>
      </c>
      <c r="AV5985" s="42"/>
      <c r="AW5985" s="74"/>
      <c r="AX5985" s="77"/>
      <c r="BA5985" s="497">
        <v>68</v>
      </c>
      <c r="BB5985" s="42"/>
      <c r="BC5985" s="74"/>
      <c r="BD5985" s="77"/>
      <c r="BF5985">
        <v>62.06</v>
      </c>
      <c r="BH5985" s="42"/>
      <c r="BI5985" s="74"/>
      <c r="BJ5985" s="77"/>
      <c r="BL5985" s="497">
        <v>84.02</v>
      </c>
      <c r="BN5985" s="42"/>
      <c r="BO5985" s="74"/>
      <c r="BP5985" s="77"/>
      <c r="BR5985" s="497">
        <v>74.66</v>
      </c>
      <c r="BT5985" s="42"/>
    </row>
    <row r="5986" spans="1:72" x14ac:dyDescent="0.25">
      <c r="A5986" s="90">
        <v>34948</v>
      </c>
      <c r="B5986" s="20">
        <v>0.66666666666666663</v>
      </c>
      <c r="D5986">
        <v>78.080000000000013</v>
      </c>
      <c r="E5986" t="str">
        <f t="shared" si="222"/>
        <v>WEEKDAY</v>
      </c>
      <c r="F5986" t="e">
        <f t="shared" si="221"/>
        <v>#N/A</v>
      </c>
      <c r="G5986" s="74">
        <v>29104</v>
      </c>
      <c r="H5986" s="77">
        <v>0.66666666666666663</v>
      </c>
      <c r="J5986">
        <v>82.94</v>
      </c>
      <c r="M5986" s="74">
        <v>37870</v>
      </c>
      <c r="N5986" s="77">
        <v>0.66666666666666663</v>
      </c>
      <c r="P5986">
        <v>71.599999999999994</v>
      </c>
      <c r="S5986" s="74">
        <v>34948</v>
      </c>
      <c r="T5986" s="77">
        <v>0.66666666666666663</v>
      </c>
      <c r="V5986">
        <v>78.080000000000013</v>
      </c>
      <c r="X5986" s="42"/>
      <c r="AB5986">
        <v>76.900000000000006</v>
      </c>
      <c r="AC5986">
        <v>71.06</v>
      </c>
      <c r="AE5986" s="74"/>
      <c r="AF5986" s="77"/>
      <c r="AH5986" s="497">
        <v>80.599999999999994</v>
      </c>
      <c r="AJ5986" s="42"/>
      <c r="AK5986" s="74"/>
      <c r="AL5986" s="77"/>
      <c r="AN5986" s="497">
        <v>60.980000000000004</v>
      </c>
      <c r="AP5986" s="42"/>
      <c r="AQ5986" s="74"/>
      <c r="AR5986" s="77"/>
      <c r="AT5986" s="497">
        <v>80.960000000000008</v>
      </c>
      <c r="AV5986" s="42"/>
      <c r="AW5986" s="74"/>
      <c r="AX5986" s="77"/>
      <c r="BA5986" s="497">
        <v>68</v>
      </c>
      <c r="BB5986" s="42"/>
      <c r="BC5986" s="74"/>
      <c r="BD5986" s="77"/>
      <c r="BF5986">
        <v>62.96</v>
      </c>
      <c r="BH5986" s="42"/>
      <c r="BI5986" s="74"/>
      <c r="BJ5986" s="77"/>
      <c r="BL5986" s="497">
        <v>84.02</v>
      </c>
      <c r="BN5986" s="42"/>
      <c r="BO5986" s="74"/>
      <c r="BP5986" s="77"/>
      <c r="BR5986" s="497">
        <v>75.02</v>
      </c>
      <c r="BT5986" s="42"/>
    </row>
    <row r="5987" spans="1:72" x14ac:dyDescent="0.25">
      <c r="A5987" s="90">
        <v>34948</v>
      </c>
      <c r="B5987" s="20">
        <v>0.70833333333333337</v>
      </c>
      <c r="D5987">
        <v>75.92</v>
      </c>
      <c r="E5987" t="str">
        <f t="shared" si="222"/>
        <v>WEEKDAY</v>
      </c>
      <c r="F5987" t="e">
        <f t="shared" si="221"/>
        <v>#N/A</v>
      </c>
      <c r="G5987" s="74">
        <v>29104</v>
      </c>
      <c r="H5987" s="77">
        <v>0.70833333333333337</v>
      </c>
      <c r="J5987">
        <v>82.039999999999992</v>
      </c>
      <c r="M5987" s="74">
        <v>37870</v>
      </c>
      <c r="N5987" s="77">
        <v>0.70833333333333337</v>
      </c>
      <c r="P5987">
        <v>71.599999999999994</v>
      </c>
      <c r="S5987" s="74">
        <v>34948</v>
      </c>
      <c r="T5987" s="77">
        <v>0.70833333333333337</v>
      </c>
      <c r="V5987">
        <v>75.92</v>
      </c>
      <c r="X5987" s="42"/>
      <c r="AB5987">
        <v>76.099999999999994</v>
      </c>
      <c r="AC5987">
        <v>69.080000000000013</v>
      </c>
      <c r="AE5987" s="74"/>
      <c r="AF5987" s="77"/>
      <c r="AH5987" s="497">
        <v>78.800000000000011</v>
      </c>
      <c r="AJ5987" s="42"/>
      <c r="AK5987" s="74"/>
      <c r="AL5987" s="77"/>
      <c r="AN5987" s="497">
        <v>59</v>
      </c>
      <c r="AP5987" s="42"/>
      <c r="AQ5987" s="74"/>
      <c r="AR5987" s="77"/>
      <c r="AT5987" s="497">
        <v>78.98</v>
      </c>
      <c r="AV5987" s="42"/>
      <c r="AW5987" s="74"/>
      <c r="AX5987" s="77"/>
      <c r="BA5987" s="497">
        <v>66.92</v>
      </c>
      <c r="BB5987" s="42"/>
      <c r="BC5987" s="74"/>
      <c r="BD5987" s="77"/>
      <c r="BF5987">
        <v>62.06</v>
      </c>
      <c r="BH5987" s="42"/>
      <c r="BI5987" s="74"/>
      <c r="BJ5987" s="77"/>
      <c r="BL5987" s="497">
        <v>82.039999999999992</v>
      </c>
      <c r="BN5987" s="42"/>
      <c r="BO5987" s="74"/>
      <c r="BP5987" s="77"/>
      <c r="BR5987" s="497">
        <v>71.960000000000008</v>
      </c>
      <c r="BT5987" s="42"/>
    </row>
    <row r="5988" spans="1:72" x14ac:dyDescent="0.25">
      <c r="A5988" s="90">
        <v>34948</v>
      </c>
      <c r="B5988" s="20">
        <v>0.75</v>
      </c>
      <c r="D5988">
        <v>73.94</v>
      </c>
      <c r="E5988" t="str">
        <f t="shared" si="222"/>
        <v>WEEKDAY</v>
      </c>
      <c r="F5988" t="e">
        <f t="shared" si="221"/>
        <v>#N/A</v>
      </c>
      <c r="G5988" s="74">
        <v>29104</v>
      </c>
      <c r="H5988" s="77">
        <v>0.75</v>
      </c>
      <c r="J5988">
        <v>80.960000000000008</v>
      </c>
      <c r="M5988" s="74">
        <v>37870</v>
      </c>
      <c r="N5988" s="77">
        <v>0.75</v>
      </c>
      <c r="P5988">
        <v>64.400000000000006</v>
      </c>
      <c r="S5988" s="74">
        <v>34948</v>
      </c>
      <c r="T5988" s="77">
        <v>0.75</v>
      </c>
      <c r="V5988">
        <v>73.94</v>
      </c>
      <c r="X5988" s="42"/>
      <c r="AB5988">
        <v>74.900000000000006</v>
      </c>
      <c r="AC5988">
        <v>68</v>
      </c>
      <c r="AE5988" s="74"/>
      <c r="AF5988" s="77"/>
      <c r="AH5988" s="497">
        <v>75.38</v>
      </c>
      <c r="AJ5988" s="42"/>
      <c r="AK5988" s="74"/>
      <c r="AL5988" s="77"/>
      <c r="AN5988" s="497">
        <v>57.019999999999996</v>
      </c>
      <c r="AP5988" s="42"/>
      <c r="AQ5988" s="74"/>
      <c r="AR5988" s="77"/>
      <c r="AT5988" s="497">
        <v>75.92</v>
      </c>
      <c r="AV5988" s="42"/>
      <c r="AW5988" s="74"/>
      <c r="AX5988" s="77"/>
      <c r="BA5988" s="497">
        <v>64.039999999999992</v>
      </c>
      <c r="BB5988" s="42"/>
      <c r="BC5988" s="74"/>
      <c r="BD5988" s="77"/>
      <c r="BF5988">
        <v>62.06</v>
      </c>
      <c r="BH5988" s="42"/>
      <c r="BI5988" s="74"/>
      <c r="BJ5988" s="77"/>
      <c r="BL5988" s="497">
        <v>80.06</v>
      </c>
      <c r="BN5988" s="42"/>
      <c r="BO5988" s="74"/>
      <c r="BP5988" s="77"/>
      <c r="BR5988" s="497">
        <v>69.080000000000013</v>
      </c>
      <c r="BT5988" s="42"/>
    </row>
    <row r="5989" spans="1:72" x14ac:dyDescent="0.25">
      <c r="A5989" s="90">
        <v>34948</v>
      </c>
      <c r="B5989" s="20">
        <v>0.79166666666666663</v>
      </c>
      <c r="D5989">
        <v>71.960000000000008</v>
      </c>
      <c r="E5989" t="str">
        <f t="shared" si="222"/>
        <v>WEEKDAY</v>
      </c>
      <c r="F5989" t="e">
        <f t="shared" si="221"/>
        <v>#N/A</v>
      </c>
      <c r="G5989" s="74">
        <v>29104</v>
      </c>
      <c r="H5989" s="77">
        <v>0.79166666666666663</v>
      </c>
      <c r="J5989">
        <v>80.06</v>
      </c>
      <c r="M5989" s="74">
        <v>37870</v>
      </c>
      <c r="N5989" s="77">
        <v>0.79166666666666663</v>
      </c>
      <c r="P5989">
        <v>62.6</v>
      </c>
      <c r="S5989" s="74">
        <v>34948</v>
      </c>
      <c r="T5989" s="77">
        <v>0.79166666666666663</v>
      </c>
      <c r="V5989">
        <v>73.039999999999992</v>
      </c>
      <c r="X5989" s="42"/>
      <c r="AB5989">
        <v>73.400000000000006</v>
      </c>
      <c r="AC5989">
        <v>66.92</v>
      </c>
      <c r="AE5989" s="74"/>
      <c r="AF5989" s="77"/>
      <c r="AH5989" s="497">
        <v>71.599999999999994</v>
      </c>
      <c r="AJ5989" s="42"/>
      <c r="AK5989" s="74"/>
      <c r="AL5989" s="77"/>
      <c r="AN5989" s="497">
        <v>55.040000000000006</v>
      </c>
      <c r="AP5989" s="42"/>
      <c r="AQ5989" s="74"/>
      <c r="AR5989" s="77"/>
      <c r="AT5989" s="497">
        <v>73.94</v>
      </c>
      <c r="AV5989" s="42"/>
      <c r="AW5989" s="74"/>
      <c r="AX5989" s="77"/>
      <c r="BA5989" s="497">
        <v>59</v>
      </c>
      <c r="BB5989" s="42"/>
      <c r="BC5989" s="74"/>
      <c r="BD5989" s="77"/>
      <c r="BF5989">
        <v>60.980000000000004</v>
      </c>
      <c r="BH5989" s="42"/>
      <c r="BI5989" s="74"/>
      <c r="BJ5989" s="77"/>
      <c r="BL5989" s="497">
        <v>78.080000000000013</v>
      </c>
      <c r="BN5989" s="42"/>
      <c r="BO5989" s="74"/>
      <c r="BP5989" s="77"/>
      <c r="BR5989" s="497">
        <v>66.02</v>
      </c>
      <c r="BT5989" s="42"/>
    </row>
    <row r="5990" spans="1:72" x14ac:dyDescent="0.25">
      <c r="A5990" s="90">
        <v>34948</v>
      </c>
      <c r="B5990" s="20">
        <v>0.83333333333333337</v>
      </c>
      <c r="D5990">
        <v>71.06</v>
      </c>
      <c r="E5990" t="str">
        <f t="shared" si="222"/>
        <v>WEEKDAY</v>
      </c>
      <c r="F5990" t="e">
        <f t="shared" si="221"/>
        <v>#N/A</v>
      </c>
      <c r="G5990" s="74">
        <v>29104</v>
      </c>
      <c r="H5990" s="77">
        <v>0.83333333333333337</v>
      </c>
      <c r="J5990">
        <v>79.7</v>
      </c>
      <c r="M5990" s="74">
        <v>37870</v>
      </c>
      <c r="N5990" s="77">
        <v>0.83333333333333337</v>
      </c>
      <c r="P5990">
        <v>60.8</v>
      </c>
      <c r="S5990" s="74">
        <v>34948</v>
      </c>
      <c r="T5990" s="77">
        <v>0.83333333333333337</v>
      </c>
      <c r="V5990">
        <v>73.039999999999992</v>
      </c>
      <c r="X5990" s="42"/>
      <c r="AB5990">
        <v>72.099999999999994</v>
      </c>
      <c r="AC5990">
        <v>66.02</v>
      </c>
      <c r="AE5990" s="74"/>
      <c r="AF5990" s="77"/>
      <c r="AH5990" s="497">
        <v>69.800000000000011</v>
      </c>
      <c r="AJ5990" s="42"/>
      <c r="AK5990" s="74"/>
      <c r="AL5990" s="77"/>
      <c r="AN5990" s="497">
        <v>53.78</v>
      </c>
      <c r="AP5990" s="42"/>
      <c r="AQ5990" s="74"/>
      <c r="AR5990" s="77"/>
      <c r="AT5990" s="497">
        <v>71.06</v>
      </c>
      <c r="AV5990" s="42"/>
      <c r="AW5990" s="74"/>
      <c r="AX5990" s="77"/>
      <c r="BA5990" s="497">
        <v>55.040000000000006</v>
      </c>
      <c r="BB5990" s="42"/>
      <c r="BC5990" s="74"/>
      <c r="BD5990" s="77"/>
      <c r="BF5990">
        <v>59</v>
      </c>
      <c r="BH5990" s="42"/>
      <c r="BI5990" s="74"/>
      <c r="BJ5990" s="77"/>
      <c r="BL5990" s="497">
        <v>75.92</v>
      </c>
      <c r="BN5990" s="42"/>
      <c r="BO5990" s="74"/>
      <c r="BP5990" s="77"/>
      <c r="BR5990" s="497">
        <v>64.94</v>
      </c>
      <c r="BT5990" s="42"/>
    </row>
    <row r="5991" spans="1:72" x14ac:dyDescent="0.25">
      <c r="A5991" s="90">
        <v>34948</v>
      </c>
      <c r="B5991" s="20">
        <v>0.875</v>
      </c>
      <c r="D5991">
        <v>71.06</v>
      </c>
      <c r="E5991" t="str">
        <f t="shared" si="222"/>
        <v>WEEKDAY</v>
      </c>
      <c r="F5991" t="e">
        <f t="shared" si="221"/>
        <v>#N/A</v>
      </c>
      <c r="G5991" s="74">
        <v>29104</v>
      </c>
      <c r="H5991" s="77">
        <v>0.875</v>
      </c>
      <c r="J5991">
        <v>79.34</v>
      </c>
      <c r="M5991" s="74">
        <v>37870</v>
      </c>
      <c r="N5991" s="77">
        <v>0.875</v>
      </c>
      <c r="P5991">
        <v>59</v>
      </c>
      <c r="S5991" s="74">
        <v>34948</v>
      </c>
      <c r="T5991" s="77">
        <v>0.875</v>
      </c>
      <c r="V5991">
        <v>73.039999999999992</v>
      </c>
      <c r="X5991" s="42"/>
      <c r="AB5991">
        <v>71.3</v>
      </c>
      <c r="AC5991">
        <v>66.02</v>
      </c>
      <c r="AE5991" s="74"/>
      <c r="AF5991" s="77"/>
      <c r="AH5991" s="497">
        <v>69.800000000000011</v>
      </c>
      <c r="AJ5991" s="42"/>
      <c r="AK5991" s="74"/>
      <c r="AL5991" s="77"/>
      <c r="AN5991" s="497">
        <v>52.34</v>
      </c>
      <c r="AP5991" s="42"/>
      <c r="AQ5991" s="74"/>
      <c r="AR5991" s="77"/>
      <c r="AT5991" s="497">
        <v>71.06</v>
      </c>
      <c r="AV5991" s="42"/>
      <c r="AW5991" s="74"/>
      <c r="AX5991" s="77"/>
      <c r="BA5991" s="497">
        <v>51.980000000000004</v>
      </c>
      <c r="BB5991" s="42"/>
      <c r="BC5991" s="74"/>
      <c r="BD5991" s="77"/>
      <c r="BF5991">
        <v>59</v>
      </c>
      <c r="BH5991" s="42"/>
      <c r="BI5991" s="74"/>
      <c r="BJ5991" s="77"/>
      <c r="BL5991" s="497">
        <v>75.02</v>
      </c>
      <c r="BN5991" s="42"/>
      <c r="BO5991" s="74"/>
      <c r="BP5991" s="77"/>
      <c r="BR5991" s="497">
        <v>64.039999999999992</v>
      </c>
      <c r="BT5991" s="42"/>
    </row>
    <row r="5992" spans="1:72" x14ac:dyDescent="0.25">
      <c r="A5992" s="90">
        <v>34948</v>
      </c>
      <c r="B5992" s="20">
        <v>0.91666666666666663</v>
      </c>
      <c r="D5992">
        <v>71.06</v>
      </c>
      <c r="E5992" t="str">
        <f t="shared" si="222"/>
        <v>WEEKDAY</v>
      </c>
      <c r="F5992" t="e">
        <f t="shared" si="221"/>
        <v>#N/A</v>
      </c>
      <c r="G5992" s="74">
        <v>29104</v>
      </c>
      <c r="H5992" s="77">
        <v>0.91666666666666663</v>
      </c>
      <c r="J5992">
        <v>78.98</v>
      </c>
      <c r="M5992" s="74">
        <v>37870</v>
      </c>
      <c r="N5992" s="77">
        <v>0.91666666666666663</v>
      </c>
      <c r="P5992">
        <v>59</v>
      </c>
      <c r="S5992" s="74">
        <v>34948</v>
      </c>
      <c r="T5992" s="77">
        <v>0.91666666666666663</v>
      </c>
      <c r="V5992">
        <v>71.960000000000008</v>
      </c>
      <c r="X5992" s="42"/>
      <c r="AB5992">
        <v>70.7</v>
      </c>
      <c r="AC5992">
        <v>66.02</v>
      </c>
      <c r="AE5992" s="74"/>
      <c r="AF5992" s="77"/>
      <c r="AH5992" s="497">
        <v>69.800000000000011</v>
      </c>
      <c r="AJ5992" s="42"/>
      <c r="AK5992" s="74"/>
      <c r="AL5992" s="77"/>
      <c r="AN5992" s="497">
        <v>51.08</v>
      </c>
      <c r="AP5992" s="42"/>
      <c r="AQ5992" s="74"/>
      <c r="AR5992" s="77"/>
      <c r="AT5992" s="497">
        <v>71.06</v>
      </c>
      <c r="AV5992" s="42"/>
      <c r="AW5992" s="74"/>
      <c r="AX5992" s="77"/>
      <c r="BA5992" s="497">
        <v>51.980000000000004</v>
      </c>
      <c r="BB5992" s="42"/>
      <c r="BC5992" s="74"/>
      <c r="BD5992" s="77"/>
      <c r="BF5992">
        <v>59</v>
      </c>
      <c r="BH5992" s="42"/>
      <c r="BI5992" s="74"/>
      <c r="BJ5992" s="77"/>
      <c r="BL5992" s="497">
        <v>73.94</v>
      </c>
      <c r="BN5992" s="42"/>
      <c r="BO5992" s="74"/>
      <c r="BP5992" s="77"/>
      <c r="BR5992" s="497">
        <v>62.96</v>
      </c>
      <c r="BT5992" s="42"/>
    </row>
    <row r="5993" spans="1:72" x14ac:dyDescent="0.25">
      <c r="A5993" s="90">
        <v>34948</v>
      </c>
      <c r="B5993" s="20">
        <v>0.95833333333333337</v>
      </c>
      <c r="D5993">
        <v>71.06</v>
      </c>
      <c r="E5993" t="str">
        <f t="shared" si="222"/>
        <v>WEEKDAY</v>
      </c>
      <c r="F5993" t="e">
        <f t="shared" si="221"/>
        <v>#N/A</v>
      </c>
      <c r="G5993" s="74">
        <v>29104</v>
      </c>
      <c r="H5993" s="77">
        <v>0.95833333333333337</v>
      </c>
      <c r="J5993">
        <v>77.900000000000006</v>
      </c>
      <c r="M5993" s="74">
        <v>37870</v>
      </c>
      <c r="N5993" s="77">
        <v>0.95833333333333337</v>
      </c>
      <c r="P5993">
        <v>55.400000000000006</v>
      </c>
      <c r="S5993" s="74">
        <v>34948</v>
      </c>
      <c r="T5993" s="77">
        <v>0.95833333333333337</v>
      </c>
      <c r="V5993">
        <v>71.960000000000008</v>
      </c>
      <c r="X5993" s="42"/>
      <c r="AB5993">
        <v>70</v>
      </c>
      <c r="AC5993">
        <v>66.02</v>
      </c>
      <c r="AE5993" s="74"/>
      <c r="AF5993" s="77"/>
      <c r="AH5993" s="497">
        <v>69.800000000000011</v>
      </c>
      <c r="AJ5993" s="42"/>
      <c r="AK5993" s="74"/>
      <c r="AL5993" s="77"/>
      <c r="AN5993" s="497">
        <v>50</v>
      </c>
      <c r="AP5993" s="42"/>
      <c r="AQ5993" s="74"/>
      <c r="AR5993" s="77"/>
      <c r="AT5993" s="497">
        <v>71.06</v>
      </c>
      <c r="AV5993" s="42"/>
      <c r="AW5993" s="74"/>
      <c r="AX5993" s="77"/>
      <c r="BA5993" s="497">
        <v>51.08</v>
      </c>
      <c r="BB5993" s="42"/>
      <c r="BC5993" s="74"/>
      <c r="BD5993" s="77"/>
      <c r="BF5993">
        <v>59</v>
      </c>
      <c r="BH5993" s="42"/>
      <c r="BI5993" s="74"/>
      <c r="BJ5993" s="77"/>
      <c r="BL5993" s="497">
        <v>73.039999999999992</v>
      </c>
      <c r="BN5993" s="42"/>
      <c r="BO5993" s="74"/>
      <c r="BP5993" s="77"/>
      <c r="BR5993" s="497">
        <v>59.900000000000006</v>
      </c>
      <c r="BT5993" s="42"/>
    </row>
    <row r="5994" spans="1:72" x14ac:dyDescent="0.25">
      <c r="A5994" s="90">
        <v>34948</v>
      </c>
      <c r="B5994" s="20">
        <v>1</v>
      </c>
      <c r="D5994">
        <v>69.98</v>
      </c>
      <c r="E5994" t="str">
        <f t="shared" si="222"/>
        <v>WEEKDAY</v>
      </c>
      <c r="F5994" t="e">
        <f t="shared" si="221"/>
        <v>#N/A</v>
      </c>
      <c r="G5994" s="74">
        <v>29104</v>
      </c>
      <c r="H5994" s="77">
        <v>1</v>
      </c>
      <c r="J5994">
        <v>77</v>
      </c>
      <c r="M5994" s="74">
        <v>37870</v>
      </c>
      <c r="N5994" s="80">
        <v>1</v>
      </c>
      <c r="P5994">
        <v>57.2</v>
      </c>
      <c r="S5994" s="74">
        <v>34948</v>
      </c>
      <c r="T5994" s="80">
        <v>1</v>
      </c>
      <c r="V5994">
        <v>71.960000000000008</v>
      </c>
      <c r="X5994" s="42"/>
      <c r="AB5994">
        <v>69.400000000000006</v>
      </c>
      <c r="AC5994">
        <v>66.02</v>
      </c>
      <c r="AE5994" s="74"/>
      <c r="AF5994" s="80"/>
      <c r="AH5994" s="497">
        <v>69.800000000000011</v>
      </c>
      <c r="AJ5994" s="42"/>
      <c r="AK5994" s="74"/>
      <c r="AL5994" s="80"/>
      <c r="AN5994" s="497">
        <v>49.1</v>
      </c>
      <c r="AP5994" s="42"/>
      <c r="AQ5994" s="74"/>
      <c r="AR5994" s="80"/>
      <c r="AT5994" s="497">
        <v>71.06</v>
      </c>
      <c r="AV5994" s="42"/>
      <c r="AW5994" s="74"/>
      <c r="AX5994" s="80"/>
      <c r="BA5994" s="497">
        <v>50</v>
      </c>
      <c r="BB5994" s="42"/>
      <c r="BC5994" s="74"/>
      <c r="BD5994" s="80"/>
      <c r="BF5994">
        <v>62.06</v>
      </c>
      <c r="BH5994" s="42"/>
      <c r="BI5994" s="74"/>
      <c r="BJ5994" s="80"/>
      <c r="BL5994" s="497">
        <v>64.94</v>
      </c>
      <c r="BN5994" s="42"/>
      <c r="BO5994" s="74"/>
      <c r="BP5994" s="80"/>
      <c r="BR5994" s="497">
        <v>57.019999999999996</v>
      </c>
      <c r="BT5994" s="42"/>
    </row>
    <row r="5995" spans="1:72" x14ac:dyDescent="0.25">
      <c r="A5995" s="90">
        <v>34949</v>
      </c>
      <c r="B5995" s="20">
        <v>4.1666666666666664E-2</v>
      </c>
      <c r="D5995">
        <v>69.98</v>
      </c>
      <c r="E5995" t="str">
        <f t="shared" si="222"/>
        <v>WEEKDAY</v>
      </c>
      <c r="F5995" t="e">
        <f t="shared" ref="F5995:F6058" si="223">IF(E5995="WEEKDAY",VLOOKUP(B5995,$DD$19:$DG$42,2),IF(E5995="SATURDAY",VLOOKUP(B5995,$DD$19:$DG$42,3),VLOOKUP(B5995,$DD$19:$DG$42,4)))</f>
        <v>#N/A</v>
      </c>
      <c r="G5995" s="74">
        <v>29105</v>
      </c>
      <c r="H5995" s="77">
        <v>4.1666666666666664E-2</v>
      </c>
      <c r="J5995">
        <v>75.92</v>
      </c>
      <c r="M5995" s="74">
        <v>37871</v>
      </c>
      <c r="N5995" s="77">
        <v>4.1666666666666664E-2</v>
      </c>
      <c r="P5995">
        <v>55.400000000000006</v>
      </c>
      <c r="S5995" s="74">
        <v>34949</v>
      </c>
      <c r="T5995" s="77">
        <v>4.1666666666666664E-2</v>
      </c>
      <c r="V5995">
        <v>71.960000000000008</v>
      </c>
      <c r="X5995" s="42"/>
      <c r="AB5995">
        <v>68.7</v>
      </c>
      <c r="AC5995">
        <v>66.02</v>
      </c>
      <c r="AE5995" s="74"/>
      <c r="AF5995" s="77"/>
      <c r="AH5995" s="497">
        <v>71.599999999999994</v>
      </c>
      <c r="AJ5995" s="42"/>
      <c r="AK5995" s="74"/>
      <c r="AL5995" s="77"/>
      <c r="AN5995" s="497">
        <v>48.019999999999996</v>
      </c>
      <c r="AP5995" s="42"/>
      <c r="AQ5995" s="74"/>
      <c r="AR5995" s="77"/>
      <c r="AT5995" s="497">
        <v>69.98</v>
      </c>
      <c r="AV5995" s="42"/>
      <c r="AW5995" s="74"/>
      <c r="AX5995" s="77"/>
      <c r="BA5995" s="497">
        <v>48.019999999999996</v>
      </c>
      <c r="BB5995" s="42"/>
      <c r="BC5995" s="74"/>
      <c r="BD5995" s="77"/>
      <c r="BF5995">
        <v>60.08</v>
      </c>
      <c r="BH5995" s="42"/>
      <c r="BI5995" s="74"/>
      <c r="BJ5995" s="77"/>
      <c r="BL5995" s="497">
        <v>64.94</v>
      </c>
      <c r="BN5995" s="42"/>
      <c r="BO5995" s="74"/>
      <c r="BP5995" s="77"/>
      <c r="BR5995" s="497">
        <v>53.96</v>
      </c>
      <c r="BT5995" s="42"/>
    </row>
    <row r="5996" spans="1:72" x14ac:dyDescent="0.25">
      <c r="A5996" s="90">
        <v>34949</v>
      </c>
      <c r="B5996" s="20">
        <v>8.3333333333333329E-2</v>
      </c>
      <c r="D5996">
        <v>69.080000000000013</v>
      </c>
      <c r="E5996" t="str">
        <f t="shared" si="222"/>
        <v>WEEKDAY</v>
      </c>
      <c r="F5996" t="e">
        <f t="shared" si="223"/>
        <v>#N/A</v>
      </c>
      <c r="G5996" s="74">
        <v>29105</v>
      </c>
      <c r="H5996" s="77">
        <v>8.3333333333333329E-2</v>
      </c>
      <c r="J5996">
        <v>74.66</v>
      </c>
      <c r="M5996" s="74">
        <v>37871</v>
      </c>
      <c r="N5996" s="77">
        <v>8.3333333333333329E-2</v>
      </c>
      <c r="P5996">
        <v>55.400000000000006</v>
      </c>
      <c r="S5996" s="74">
        <v>34949</v>
      </c>
      <c r="T5996" s="77">
        <v>8.3333333333333329E-2</v>
      </c>
      <c r="V5996">
        <v>71.960000000000008</v>
      </c>
      <c r="X5996" s="42"/>
      <c r="AB5996">
        <v>68.099999999999994</v>
      </c>
      <c r="AC5996">
        <v>64.94</v>
      </c>
      <c r="AE5996" s="74"/>
      <c r="AF5996" s="77"/>
      <c r="AH5996" s="497">
        <v>69.800000000000011</v>
      </c>
      <c r="AJ5996" s="42"/>
      <c r="AK5996" s="74"/>
      <c r="AL5996" s="77"/>
      <c r="AN5996" s="497">
        <v>48.379999999999995</v>
      </c>
      <c r="AP5996" s="42"/>
      <c r="AQ5996" s="74"/>
      <c r="AR5996" s="77"/>
      <c r="AT5996" s="497">
        <v>69.98</v>
      </c>
      <c r="AV5996" s="42"/>
      <c r="AW5996" s="74"/>
      <c r="AX5996" s="77"/>
      <c r="BA5996" s="497">
        <v>48.019999999999996</v>
      </c>
      <c r="BB5996" s="42"/>
      <c r="BC5996" s="74"/>
      <c r="BD5996" s="77"/>
      <c r="BF5996">
        <v>60.08</v>
      </c>
      <c r="BH5996" s="42"/>
      <c r="BI5996" s="74"/>
      <c r="BJ5996" s="77"/>
      <c r="BL5996" s="497">
        <v>64.039999999999992</v>
      </c>
      <c r="BN5996" s="42"/>
      <c r="BO5996" s="74"/>
      <c r="BP5996" s="77"/>
      <c r="BR5996" s="497">
        <v>53.06</v>
      </c>
      <c r="BT5996" s="42"/>
    </row>
    <row r="5997" spans="1:72" x14ac:dyDescent="0.25">
      <c r="A5997" s="90">
        <v>34949</v>
      </c>
      <c r="B5997" s="20">
        <v>0.125</v>
      </c>
      <c r="D5997">
        <v>68</v>
      </c>
      <c r="E5997" t="str">
        <f t="shared" si="222"/>
        <v>WEEKDAY</v>
      </c>
      <c r="F5997" t="e">
        <f t="shared" si="223"/>
        <v>#N/A</v>
      </c>
      <c r="G5997" s="74">
        <v>29105</v>
      </c>
      <c r="H5997" s="77">
        <v>0.125</v>
      </c>
      <c r="J5997">
        <v>73.22</v>
      </c>
      <c r="M5997" s="74">
        <v>37871</v>
      </c>
      <c r="N5997" s="77">
        <v>0.125</v>
      </c>
      <c r="P5997">
        <v>55.400000000000006</v>
      </c>
      <c r="S5997" s="74">
        <v>34949</v>
      </c>
      <c r="T5997" s="77">
        <v>0.125</v>
      </c>
      <c r="V5997">
        <v>71.960000000000008</v>
      </c>
      <c r="X5997" s="42"/>
      <c r="AB5997">
        <v>67.599999999999994</v>
      </c>
      <c r="AC5997">
        <v>64.94</v>
      </c>
      <c r="AE5997" s="74"/>
      <c r="AF5997" s="77"/>
      <c r="AH5997" s="497">
        <v>71.599999999999994</v>
      </c>
      <c r="AJ5997" s="42"/>
      <c r="AK5997" s="74"/>
      <c r="AL5997" s="77"/>
      <c r="AN5997" s="497">
        <v>48.56</v>
      </c>
      <c r="AP5997" s="42"/>
      <c r="AQ5997" s="74"/>
      <c r="AR5997" s="77"/>
      <c r="AT5997" s="497">
        <v>71.06</v>
      </c>
      <c r="AV5997" s="42"/>
      <c r="AW5997" s="74"/>
      <c r="AX5997" s="77"/>
      <c r="BA5997" s="497">
        <v>48.92</v>
      </c>
      <c r="BB5997" s="42"/>
      <c r="BC5997" s="74"/>
      <c r="BD5997" s="77"/>
      <c r="BF5997">
        <v>59</v>
      </c>
      <c r="BH5997" s="42"/>
      <c r="BI5997" s="74"/>
      <c r="BJ5997" s="77"/>
      <c r="BL5997" s="497">
        <v>64.039999999999992</v>
      </c>
      <c r="BN5997" s="42"/>
      <c r="BO5997" s="74"/>
      <c r="BP5997" s="77"/>
      <c r="BR5997" s="497">
        <v>51.980000000000004</v>
      </c>
      <c r="BT5997" s="42"/>
    </row>
    <row r="5998" spans="1:72" x14ac:dyDescent="0.25">
      <c r="A5998" s="90">
        <v>34949</v>
      </c>
      <c r="B5998" s="20">
        <v>0.16666666666666666</v>
      </c>
      <c r="D5998">
        <v>68</v>
      </c>
      <c r="E5998" t="str">
        <f t="shared" si="222"/>
        <v>WEEKDAY</v>
      </c>
      <c r="F5998" t="e">
        <f t="shared" si="223"/>
        <v>#N/A</v>
      </c>
      <c r="G5998" s="74">
        <v>29105</v>
      </c>
      <c r="H5998" s="77">
        <v>0.16666666666666666</v>
      </c>
      <c r="J5998">
        <v>71.960000000000008</v>
      </c>
      <c r="M5998" s="74">
        <v>37871</v>
      </c>
      <c r="N5998" s="77">
        <v>0.16666666666666666</v>
      </c>
      <c r="P5998">
        <v>55.400000000000006</v>
      </c>
      <c r="S5998" s="74">
        <v>34949</v>
      </c>
      <c r="T5998" s="77">
        <v>0.16666666666666666</v>
      </c>
      <c r="V5998">
        <v>71.960000000000008</v>
      </c>
      <c r="X5998" s="42"/>
      <c r="AB5998">
        <v>67</v>
      </c>
      <c r="AC5998">
        <v>66.02</v>
      </c>
      <c r="AE5998" s="74"/>
      <c r="AF5998" s="77"/>
      <c r="AH5998" s="497">
        <v>71.599999999999994</v>
      </c>
      <c r="AJ5998" s="42"/>
      <c r="AK5998" s="74"/>
      <c r="AL5998" s="77"/>
      <c r="AN5998" s="497">
        <v>48.92</v>
      </c>
      <c r="AP5998" s="42"/>
      <c r="AQ5998" s="74"/>
      <c r="AR5998" s="77"/>
      <c r="AT5998" s="497">
        <v>71.06</v>
      </c>
      <c r="AV5998" s="42"/>
      <c r="AW5998" s="74"/>
      <c r="AX5998" s="77"/>
      <c r="BA5998" s="497">
        <v>48.019999999999996</v>
      </c>
      <c r="BB5998" s="42"/>
      <c r="BC5998" s="74"/>
      <c r="BD5998" s="77"/>
      <c r="BF5998">
        <v>57.92</v>
      </c>
      <c r="BH5998" s="42"/>
      <c r="BI5998" s="74"/>
      <c r="BJ5998" s="77"/>
      <c r="BL5998" s="497">
        <v>64.94</v>
      </c>
      <c r="BN5998" s="42"/>
      <c r="BO5998" s="74"/>
      <c r="BP5998" s="77"/>
      <c r="BR5998" s="497">
        <v>51.08</v>
      </c>
      <c r="BT5998" s="42"/>
    </row>
    <row r="5999" spans="1:72" x14ac:dyDescent="0.25">
      <c r="A5999" s="90">
        <v>34949</v>
      </c>
      <c r="B5999" s="20">
        <v>0.20833333333333334</v>
      </c>
      <c r="D5999">
        <v>68</v>
      </c>
      <c r="E5999" t="str">
        <f t="shared" si="222"/>
        <v>WEEKDAY</v>
      </c>
      <c r="F5999" t="e">
        <f t="shared" si="223"/>
        <v>#N/A</v>
      </c>
      <c r="G5999" s="74">
        <v>29105</v>
      </c>
      <c r="H5999" s="77">
        <v>0.20833333333333334</v>
      </c>
      <c r="J5999">
        <v>72.319999999999993</v>
      </c>
      <c r="M5999" s="74">
        <v>37871</v>
      </c>
      <c r="N5999" s="77">
        <v>0.20833333333333334</v>
      </c>
      <c r="P5999">
        <v>55.400000000000006</v>
      </c>
      <c r="S5999" s="74">
        <v>34949</v>
      </c>
      <c r="T5999" s="77">
        <v>0.20833333333333334</v>
      </c>
      <c r="V5999">
        <v>71.960000000000008</v>
      </c>
      <c r="X5999" s="42"/>
      <c r="AB5999">
        <v>66.5</v>
      </c>
      <c r="AC5999">
        <v>66.02</v>
      </c>
      <c r="AE5999" s="74"/>
      <c r="AF5999" s="77"/>
      <c r="AH5999" s="497">
        <v>71.599999999999994</v>
      </c>
      <c r="AJ5999" s="42"/>
      <c r="AK5999" s="74"/>
      <c r="AL5999" s="77"/>
      <c r="AN5999" s="497">
        <v>49.28</v>
      </c>
      <c r="AP5999" s="42"/>
      <c r="AQ5999" s="74"/>
      <c r="AR5999" s="77"/>
      <c r="AT5999" s="497">
        <v>69.98</v>
      </c>
      <c r="AV5999" s="42"/>
      <c r="AW5999" s="74"/>
      <c r="AX5999" s="77"/>
      <c r="BA5999" s="497">
        <v>46.94</v>
      </c>
      <c r="BB5999" s="42"/>
      <c r="BC5999" s="74"/>
      <c r="BD5999" s="77"/>
      <c r="BF5999">
        <v>55.94</v>
      </c>
      <c r="BH5999" s="42"/>
      <c r="BI5999" s="74"/>
      <c r="BJ5999" s="77"/>
      <c r="BL5999" s="497">
        <v>64.400000000000006</v>
      </c>
      <c r="BN5999" s="42"/>
      <c r="BO5999" s="74"/>
      <c r="BP5999" s="77"/>
      <c r="BR5999" s="497">
        <v>53.78</v>
      </c>
      <c r="BT5999" s="42"/>
    </row>
    <row r="6000" spans="1:72" x14ac:dyDescent="0.25">
      <c r="A6000" s="90">
        <v>34949</v>
      </c>
      <c r="B6000" s="20">
        <v>0.25</v>
      </c>
      <c r="D6000">
        <v>68</v>
      </c>
      <c r="E6000" t="str">
        <f t="shared" si="222"/>
        <v>WEEKDAY</v>
      </c>
      <c r="F6000" t="e">
        <f t="shared" si="223"/>
        <v>#N/A</v>
      </c>
      <c r="G6000" s="74">
        <v>29105</v>
      </c>
      <c r="H6000" s="77">
        <v>0.25</v>
      </c>
      <c r="J6000">
        <v>72.680000000000007</v>
      </c>
      <c r="M6000" s="74">
        <v>37871</v>
      </c>
      <c r="N6000" s="77">
        <v>0.25</v>
      </c>
      <c r="P6000">
        <v>55.400000000000006</v>
      </c>
      <c r="S6000" s="74">
        <v>34949</v>
      </c>
      <c r="T6000" s="77">
        <v>0.25</v>
      </c>
      <c r="V6000">
        <v>71.960000000000008</v>
      </c>
      <c r="X6000" s="42"/>
      <c r="AB6000">
        <v>66.3</v>
      </c>
      <c r="AC6000">
        <v>66.92</v>
      </c>
      <c r="AE6000" s="74"/>
      <c r="AF6000" s="77"/>
      <c r="AH6000" s="497">
        <v>73.400000000000006</v>
      </c>
      <c r="AJ6000" s="42"/>
      <c r="AK6000" s="74"/>
      <c r="AL6000" s="77"/>
      <c r="AN6000" s="497">
        <v>49.64</v>
      </c>
      <c r="AP6000" s="42"/>
      <c r="AQ6000" s="74"/>
      <c r="AR6000" s="77"/>
      <c r="AT6000" s="497">
        <v>69.080000000000013</v>
      </c>
      <c r="AV6000" s="42"/>
      <c r="AW6000" s="74"/>
      <c r="AX6000" s="77"/>
      <c r="BA6000" s="497">
        <v>48.019999999999996</v>
      </c>
      <c r="BB6000" s="42"/>
      <c r="BC6000" s="74"/>
      <c r="BD6000" s="77"/>
      <c r="BF6000">
        <v>55.040000000000006</v>
      </c>
      <c r="BH6000" s="42"/>
      <c r="BI6000" s="74"/>
      <c r="BJ6000" s="77"/>
      <c r="BL6000" s="497">
        <v>64.94</v>
      </c>
      <c r="BN6000" s="42"/>
      <c r="BO6000" s="74"/>
      <c r="BP6000" s="77"/>
      <c r="BR6000" s="497">
        <v>56.3</v>
      </c>
      <c r="BT6000" s="42"/>
    </row>
    <row r="6001" spans="1:72" x14ac:dyDescent="0.25">
      <c r="A6001" s="90">
        <v>34949</v>
      </c>
      <c r="B6001" s="20">
        <v>0.29166666666666669</v>
      </c>
      <c r="D6001">
        <v>69.98</v>
      </c>
      <c r="E6001" t="str">
        <f t="shared" si="222"/>
        <v>WEEKDAY</v>
      </c>
      <c r="F6001" t="e">
        <f t="shared" si="223"/>
        <v>#N/A</v>
      </c>
      <c r="G6001" s="74">
        <v>29105</v>
      </c>
      <c r="H6001" s="77">
        <v>0.29166666666666669</v>
      </c>
      <c r="J6001">
        <v>73.039999999999992</v>
      </c>
      <c r="M6001" s="74">
        <v>37871</v>
      </c>
      <c r="N6001" s="77">
        <v>0.29166666666666669</v>
      </c>
      <c r="P6001">
        <v>60.8</v>
      </c>
      <c r="S6001" s="74">
        <v>34949</v>
      </c>
      <c r="T6001" s="77">
        <v>0.29166666666666669</v>
      </c>
      <c r="V6001">
        <v>71.960000000000008</v>
      </c>
      <c r="X6001" s="42"/>
      <c r="AB6001">
        <v>66.3</v>
      </c>
      <c r="AC6001">
        <v>68</v>
      </c>
      <c r="AE6001" s="74"/>
      <c r="AF6001" s="77"/>
      <c r="AH6001" s="497">
        <v>71.599999999999994</v>
      </c>
      <c r="AJ6001" s="42"/>
      <c r="AK6001" s="74"/>
      <c r="AL6001" s="77"/>
      <c r="AN6001" s="497">
        <v>50</v>
      </c>
      <c r="AP6001" s="42"/>
      <c r="AQ6001" s="74"/>
      <c r="AR6001" s="77"/>
      <c r="AT6001" s="497">
        <v>69.080000000000013</v>
      </c>
      <c r="AV6001" s="42"/>
      <c r="AW6001" s="74"/>
      <c r="AX6001" s="77"/>
      <c r="BA6001" s="497">
        <v>48.92</v>
      </c>
      <c r="BB6001" s="42"/>
      <c r="BC6001" s="74"/>
      <c r="BD6001" s="77"/>
      <c r="BF6001">
        <v>57.019999999999996</v>
      </c>
      <c r="BH6001" s="42"/>
      <c r="BI6001" s="74"/>
      <c r="BJ6001" s="77"/>
      <c r="BL6001" s="497">
        <v>64.94</v>
      </c>
      <c r="BN6001" s="42"/>
      <c r="BO6001" s="74"/>
      <c r="BP6001" s="77"/>
      <c r="BR6001" s="497">
        <v>59</v>
      </c>
      <c r="BT6001" s="42"/>
    </row>
    <row r="6002" spans="1:72" x14ac:dyDescent="0.25">
      <c r="A6002" s="90">
        <v>34949</v>
      </c>
      <c r="B6002" s="20">
        <v>0.33333333333333331</v>
      </c>
      <c r="D6002">
        <v>73.039999999999992</v>
      </c>
      <c r="E6002" t="str">
        <f t="shared" si="222"/>
        <v>WEEKDAY</v>
      </c>
      <c r="F6002" t="e">
        <f t="shared" si="223"/>
        <v>#N/A</v>
      </c>
      <c r="G6002" s="74">
        <v>29105</v>
      </c>
      <c r="H6002" s="77">
        <v>0.33333333333333331</v>
      </c>
      <c r="J6002">
        <v>73.94</v>
      </c>
      <c r="M6002" s="74">
        <v>37871</v>
      </c>
      <c r="N6002" s="77">
        <v>0.33333333333333331</v>
      </c>
      <c r="P6002">
        <v>64.400000000000006</v>
      </c>
      <c r="S6002" s="74">
        <v>34949</v>
      </c>
      <c r="T6002" s="77">
        <v>0.33333333333333331</v>
      </c>
      <c r="V6002">
        <v>71.960000000000008</v>
      </c>
      <c r="X6002" s="42"/>
      <c r="AB6002">
        <v>68.3</v>
      </c>
      <c r="AC6002">
        <v>69.080000000000013</v>
      </c>
      <c r="AE6002" s="74"/>
      <c r="AF6002" s="77"/>
      <c r="AH6002" s="497">
        <v>73.400000000000006</v>
      </c>
      <c r="AJ6002" s="42"/>
      <c r="AK6002" s="74"/>
      <c r="AL6002" s="77"/>
      <c r="AN6002" s="497">
        <v>53.42</v>
      </c>
      <c r="AP6002" s="42"/>
      <c r="AQ6002" s="74"/>
      <c r="AR6002" s="77"/>
      <c r="AT6002" s="497">
        <v>69.98</v>
      </c>
      <c r="AV6002" s="42"/>
      <c r="AW6002" s="74"/>
      <c r="AX6002" s="77"/>
      <c r="BA6002" s="497">
        <v>57.019999999999996</v>
      </c>
      <c r="BB6002" s="42"/>
      <c r="BC6002" s="74"/>
      <c r="BD6002" s="77"/>
      <c r="BF6002">
        <v>57.92</v>
      </c>
      <c r="BH6002" s="42"/>
      <c r="BI6002" s="74"/>
      <c r="BJ6002" s="77"/>
      <c r="BL6002" s="497">
        <v>64.94</v>
      </c>
      <c r="BN6002" s="42"/>
      <c r="BO6002" s="74"/>
      <c r="BP6002" s="77"/>
      <c r="BR6002" s="497">
        <v>60.980000000000004</v>
      </c>
      <c r="BT6002" s="42"/>
    </row>
    <row r="6003" spans="1:72" x14ac:dyDescent="0.25">
      <c r="A6003" s="90">
        <v>34949</v>
      </c>
      <c r="B6003" s="20">
        <v>0.375</v>
      </c>
      <c r="D6003">
        <v>75.92</v>
      </c>
      <c r="E6003" t="str">
        <f t="shared" si="222"/>
        <v>WEEKDAY</v>
      </c>
      <c r="F6003" t="e">
        <f t="shared" si="223"/>
        <v>#N/A</v>
      </c>
      <c r="G6003" s="74">
        <v>29105</v>
      </c>
      <c r="H6003" s="77">
        <v>0.375</v>
      </c>
      <c r="J6003">
        <v>75.02</v>
      </c>
      <c r="M6003" s="74">
        <v>37871</v>
      </c>
      <c r="N6003" s="77">
        <v>0.375</v>
      </c>
      <c r="P6003">
        <v>68</v>
      </c>
      <c r="S6003" s="74">
        <v>34949</v>
      </c>
      <c r="T6003" s="77">
        <v>0.375</v>
      </c>
      <c r="V6003">
        <v>75.02</v>
      </c>
      <c r="X6003" s="42"/>
      <c r="AB6003">
        <v>70.5</v>
      </c>
      <c r="AC6003">
        <v>71.960000000000008</v>
      </c>
      <c r="AE6003" s="74"/>
      <c r="AF6003" s="77"/>
      <c r="AH6003" s="497">
        <v>73.400000000000006</v>
      </c>
      <c r="AJ6003" s="42"/>
      <c r="AK6003" s="74"/>
      <c r="AL6003" s="77"/>
      <c r="AN6003" s="497">
        <v>56.66</v>
      </c>
      <c r="AP6003" s="42"/>
      <c r="AQ6003" s="74"/>
      <c r="AR6003" s="77"/>
      <c r="AT6003" s="497">
        <v>71.06</v>
      </c>
      <c r="AV6003" s="42"/>
      <c r="AW6003" s="74"/>
      <c r="AX6003" s="77"/>
      <c r="BA6003" s="497">
        <v>62.06</v>
      </c>
      <c r="BB6003" s="42"/>
      <c r="BC6003" s="74"/>
      <c r="BD6003" s="77"/>
      <c r="BF6003">
        <v>60.08</v>
      </c>
      <c r="BH6003" s="42"/>
      <c r="BI6003" s="74"/>
      <c r="BJ6003" s="77"/>
      <c r="BL6003" s="497">
        <v>62.06</v>
      </c>
      <c r="BN6003" s="42"/>
      <c r="BO6003" s="74"/>
      <c r="BP6003" s="77"/>
      <c r="BR6003" s="497">
        <v>62.96</v>
      </c>
      <c r="BT6003" s="42"/>
    </row>
    <row r="6004" spans="1:72" x14ac:dyDescent="0.25">
      <c r="A6004" s="90">
        <v>34949</v>
      </c>
      <c r="B6004" s="20">
        <v>0.41666666666666669</v>
      </c>
      <c r="D6004">
        <v>78.98</v>
      </c>
      <c r="E6004" t="str">
        <f t="shared" si="222"/>
        <v>WEEKDAY</v>
      </c>
      <c r="F6004" t="e">
        <f t="shared" si="223"/>
        <v>#N/A</v>
      </c>
      <c r="G6004" s="74">
        <v>29105</v>
      </c>
      <c r="H6004" s="77">
        <v>0.41666666666666669</v>
      </c>
      <c r="J6004">
        <v>75.92</v>
      </c>
      <c r="M6004" s="74">
        <v>37871</v>
      </c>
      <c r="N6004" s="77">
        <v>0.41666666666666669</v>
      </c>
      <c r="P6004">
        <v>71.599999999999994</v>
      </c>
      <c r="S6004" s="74">
        <v>34949</v>
      </c>
      <c r="T6004" s="77">
        <v>0.41666666666666669</v>
      </c>
      <c r="V6004">
        <v>77</v>
      </c>
      <c r="X6004" s="42"/>
      <c r="AB6004">
        <v>72.5</v>
      </c>
      <c r="AC6004">
        <v>75.02</v>
      </c>
      <c r="AE6004" s="74"/>
      <c r="AF6004" s="77"/>
      <c r="AH6004" s="497">
        <v>73.400000000000006</v>
      </c>
      <c r="AJ6004" s="42"/>
      <c r="AK6004" s="74"/>
      <c r="AL6004" s="77"/>
      <c r="AN6004" s="497">
        <v>60.08</v>
      </c>
      <c r="AP6004" s="42"/>
      <c r="AQ6004" s="74"/>
      <c r="AR6004" s="77"/>
      <c r="AT6004" s="497">
        <v>71.06</v>
      </c>
      <c r="AV6004" s="42"/>
      <c r="AW6004" s="74"/>
      <c r="AX6004" s="77"/>
      <c r="BA6004" s="497">
        <v>66.02</v>
      </c>
      <c r="BB6004" s="42"/>
      <c r="BC6004" s="74"/>
      <c r="BD6004" s="77"/>
      <c r="BF6004">
        <v>62.96</v>
      </c>
      <c r="BH6004" s="42"/>
      <c r="BI6004" s="74"/>
      <c r="BJ6004" s="77"/>
      <c r="BL6004" s="497">
        <v>60.980000000000004</v>
      </c>
      <c r="BN6004" s="42"/>
      <c r="BO6004" s="74"/>
      <c r="BP6004" s="77"/>
      <c r="BR6004" s="497">
        <v>64.94</v>
      </c>
      <c r="BT6004" s="42"/>
    </row>
    <row r="6005" spans="1:72" x14ac:dyDescent="0.25">
      <c r="A6005" s="90">
        <v>34949</v>
      </c>
      <c r="B6005" s="20">
        <v>0.45833333333333331</v>
      </c>
      <c r="D6005">
        <v>80.06</v>
      </c>
      <c r="E6005" t="str">
        <f t="shared" si="222"/>
        <v>WEEKDAY</v>
      </c>
      <c r="F6005" t="e">
        <f t="shared" si="223"/>
        <v>#N/A</v>
      </c>
      <c r="G6005" s="74">
        <v>29105</v>
      </c>
      <c r="H6005" s="77">
        <v>0.45833333333333331</v>
      </c>
      <c r="J6005">
        <v>77.36</v>
      </c>
      <c r="M6005" s="74">
        <v>37871</v>
      </c>
      <c r="N6005" s="77">
        <v>0.45833333333333331</v>
      </c>
      <c r="P6005">
        <v>73.400000000000006</v>
      </c>
      <c r="S6005" s="74">
        <v>34949</v>
      </c>
      <c r="T6005" s="77">
        <v>0.45833333333333331</v>
      </c>
      <c r="V6005">
        <v>78.080000000000013</v>
      </c>
      <c r="X6005" s="42"/>
      <c r="AB6005">
        <v>74.400000000000006</v>
      </c>
      <c r="AC6005">
        <v>75.92</v>
      </c>
      <c r="AE6005" s="74"/>
      <c r="AF6005" s="77"/>
      <c r="AH6005" s="497">
        <v>73.400000000000006</v>
      </c>
      <c r="AJ6005" s="42"/>
      <c r="AK6005" s="74"/>
      <c r="AL6005" s="77"/>
      <c r="AN6005" s="497">
        <v>63.319999999999993</v>
      </c>
      <c r="AP6005" s="42"/>
      <c r="AQ6005" s="74"/>
      <c r="AR6005" s="77"/>
      <c r="AT6005" s="497">
        <v>69.98</v>
      </c>
      <c r="AV6005" s="42"/>
      <c r="AW6005" s="74"/>
      <c r="AX6005" s="77"/>
      <c r="BA6005" s="497">
        <v>69.98</v>
      </c>
      <c r="BB6005" s="42"/>
      <c r="BC6005" s="74"/>
      <c r="BD6005" s="77"/>
      <c r="BF6005">
        <v>64.039999999999992</v>
      </c>
      <c r="BH6005" s="42"/>
      <c r="BI6005" s="74"/>
      <c r="BJ6005" s="77"/>
      <c r="BL6005" s="497">
        <v>60.980000000000004</v>
      </c>
      <c r="BN6005" s="42"/>
      <c r="BO6005" s="74"/>
      <c r="BP6005" s="77"/>
      <c r="BR6005" s="497">
        <v>66.92</v>
      </c>
      <c r="BT6005" s="42"/>
    </row>
    <row r="6006" spans="1:72" x14ac:dyDescent="0.25">
      <c r="A6006" s="90">
        <v>34949</v>
      </c>
      <c r="B6006" s="20">
        <v>0.5</v>
      </c>
      <c r="D6006">
        <v>82.94</v>
      </c>
      <c r="E6006" t="str">
        <f t="shared" si="222"/>
        <v>WEEKDAY</v>
      </c>
      <c r="F6006" t="e">
        <f t="shared" si="223"/>
        <v>#N/A</v>
      </c>
      <c r="G6006" s="74">
        <v>29105</v>
      </c>
      <c r="H6006" s="77">
        <v>0.5</v>
      </c>
      <c r="J6006">
        <v>78.62</v>
      </c>
      <c r="M6006" s="74">
        <v>37871</v>
      </c>
      <c r="N6006" s="77">
        <v>0.5</v>
      </c>
      <c r="P6006">
        <v>73.400000000000006</v>
      </c>
      <c r="S6006" s="74">
        <v>34949</v>
      </c>
      <c r="T6006" s="77">
        <v>0.5</v>
      </c>
      <c r="V6006">
        <v>78.98</v>
      </c>
      <c r="X6006" s="42"/>
      <c r="AB6006">
        <v>75.7</v>
      </c>
      <c r="AC6006">
        <v>75.02</v>
      </c>
      <c r="AE6006" s="74"/>
      <c r="AF6006" s="77"/>
      <c r="AH6006" s="497">
        <v>73.400000000000006</v>
      </c>
      <c r="AJ6006" s="42"/>
      <c r="AK6006" s="74"/>
      <c r="AL6006" s="77"/>
      <c r="AN6006" s="497">
        <v>66.740000000000009</v>
      </c>
      <c r="AP6006" s="42"/>
      <c r="AQ6006" s="74"/>
      <c r="AR6006" s="77"/>
      <c r="AT6006" s="497">
        <v>71.06</v>
      </c>
      <c r="AV6006" s="42"/>
      <c r="AW6006" s="74"/>
      <c r="AX6006" s="77"/>
      <c r="BA6006" s="497">
        <v>73.039999999999992</v>
      </c>
      <c r="BB6006" s="42"/>
      <c r="BC6006" s="74"/>
      <c r="BD6006" s="77"/>
      <c r="BF6006">
        <v>64.94</v>
      </c>
      <c r="BH6006" s="42"/>
      <c r="BI6006" s="74"/>
      <c r="BJ6006" s="77"/>
      <c r="BL6006" s="497">
        <v>62.06</v>
      </c>
      <c r="BN6006" s="42"/>
      <c r="BO6006" s="74"/>
      <c r="BP6006" s="77"/>
      <c r="BR6006" s="497">
        <v>69.080000000000013</v>
      </c>
      <c r="BT6006" s="42"/>
    </row>
    <row r="6007" spans="1:72" x14ac:dyDescent="0.25">
      <c r="A6007" s="90">
        <v>34949</v>
      </c>
      <c r="B6007" s="20">
        <v>0.54166666666666663</v>
      </c>
      <c r="D6007">
        <v>82.039999999999992</v>
      </c>
      <c r="E6007" t="str">
        <f t="shared" si="222"/>
        <v>WEEKDAY</v>
      </c>
      <c r="F6007" t="e">
        <f t="shared" si="223"/>
        <v>#N/A</v>
      </c>
      <c r="G6007" s="74">
        <v>29105</v>
      </c>
      <c r="H6007" s="77">
        <v>0.54166666666666663</v>
      </c>
      <c r="J6007">
        <v>80.06</v>
      </c>
      <c r="M6007" s="74">
        <v>37871</v>
      </c>
      <c r="N6007" s="77">
        <v>0.54166666666666663</v>
      </c>
      <c r="P6007">
        <v>75.2</v>
      </c>
      <c r="S6007" s="74">
        <v>34949</v>
      </c>
      <c r="T6007" s="77">
        <v>0.54166666666666663</v>
      </c>
      <c r="V6007">
        <v>80.06</v>
      </c>
      <c r="X6007" s="42"/>
      <c r="AB6007">
        <v>76.5</v>
      </c>
      <c r="AC6007">
        <v>78.080000000000013</v>
      </c>
      <c r="AE6007" s="74"/>
      <c r="AF6007" s="77"/>
      <c r="AH6007" s="497">
        <v>75.2</v>
      </c>
      <c r="AJ6007" s="42"/>
      <c r="AK6007" s="74"/>
      <c r="AL6007" s="77"/>
      <c r="AN6007" s="497">
        <v>69.98</v>
      </c>
      <c r="AP6007" s="42"/>
      <c r="AQ6007" s="74"/>
      <c r="AR6007" s="77"/>
      <c r="AT6007" s="497">
        <v>73.039999999999992</v>
      </c>
      <c r="AV6007" s="42"/>
      <c r="AW6007" s="74"/>
      <c r="AX6007" s="77"/>
      <c r="BA6007" s="497">
        <v>75.02</v>
      </c>
      <c r="BB6007" s="42"/>
      <c r="BC6007" s="74"/>
      <c r="BD6007" s="77"/>
      <c r="BF6007">
        <v>69.98</v>
      </c>
      <c r="BH6007" s="42"/>
      <c r="BI6007" s="74"/>
      <c r="BJ6007" s="77"/>
      <c r="BL6007" s="497">
        <v>64.94</v>
      </c>
      <c r="BN6007" s="42"/>
      <c r="BO6007" s="74"/>
      <c r="BP6007" s="77"/>
      <c r="BR6007" s="497">
        <v>71.06</v>
      </c>
      <c r="BT6007" s="42"/>
    </row>
    <row r="6008" spans="1:72" x14ac:dyDescent="0.25">
      <c r="A6008" s="90">
        <v>34949</v>
      </c>
      <c r="B6008" s="20">
        <v>0.58333333333333337</v>
      </c>
      <c r="D6008">
        <v>84.92</v>
      </c>
      <c r="E6008" t="str">
        <f t="shared" si="222"/>
        <v>WEEKDAY</v>
      </c>
      <c r="F6008" t="e">
        <f t="shared" si="223"/>
        <v>#N/A</v>
      </c>
      <c r="G6008" s="74">
        <v>29105</v>
      </c>
      <c r="H6008" s="77">
        <v>0.58333333333333337</v>
      </c>
      <c r="J6008">
        <v>80.06</v>
      </c>
      <c r="M6008" s="74">
        <v>37871</v>
      </c>
      <c r="N6008" s="77">
        <v>0.58333333333333337</v>
      </c>
      <c r="P6008">
        <v>75.2</v>
      </c>
      <c r="S6008" s="74">
        <v>34949</v>
      </c>
      <c r="T6008" s="77">
        <v>0.58333333333333337</v>
      </c>
      <c r="V6008">
        <v>80.960000000000008</v>
      </c>
      <c r="X6008" s="42"/>
      <c r="AB6008">
        <v>77.099999999999994</v>
      </c>
      <c r="AC6008">
        <v>77</v>
      </c>
      <c r="AE6008" s="74"/>
      <c r="AF6008" s="77"/>
      <c r="AH6008" s="497">
        <v>71.599999999999994</v>
      </c>
      <c r="AJ6008" s="42"/>
      <c r="AK6008" s="74"/>
      <c r="AL6008" s="77"/>
      <c r="AN6008" s="497">
        <v>71.06</v>
      </c>
      <c r="AP6008" s="42"/>
      <c r="AQ6008" s="74"/>
      <c r="AR6008" s="77"/>
      <c r="AT6008" s="497">
        <v>73.039999999999992</v>
      </c>
      <c r="AV6008" s="42"/>
      <c r="AW6008" s="74"/>
      <c r="AX6008" s="77"/>
      <c r="BA6008" s="497">
        <v>75.92</v>
      </c>
      <c r="BB6008" s="42"/>
      <c r="BC6008" s="74"/>
      <c r="BD6008" s="77"/>
      <c r="BF6008">
        <v>68</v>
      </c>
      <c r="BH6008" s="42"/>
      <c r="BI6008" s="74"/>
      <c r="BJ6008" s="77"/>
      <c r="BL6008" s="497">
        <v>66.92</v>
      </c>
      <c r="BN6008" s="42"/>
      <c r="BO6008" s="74"/>
      <c r="BP6008" s="77"/>
      <c r="BR6008" s="497">
        <v>71.06</v>
      </c>
      <c r="BT6008" s="42"/>
    </row>
    <row r="6009" spans="1:72" x14ac:dyDescent="0.25">
      <c r="A6009" s="90">
        <v>34949</v>
      </c>
      <c r="B6009" s="20">
        <v>0.625</v>
      </c>
      <c r="D6009">
        <v>82.039999999999992</v>
      </c>
      <c r="E6009" t="str">
        <f t="shared" si="222"/>
        <v>WEEKDAY</v>
      </c>
      <c r="F6009" t="e">
        <f t="shared" si="223"/>
        <v>#N/A</v>
      </c>
      <c r="G6009" s="74">
        <v>29105</v>
      </c>
      <c r="H6009" s="77">
        <v>0.625</v>
      </c>
      <c r="J6009">
        <v>80.06</v>
      </c>
      <c r="M6009" s="74">
        <v>37871</v>
      </c>
      <c r="N6009" s="77">
        <v>0.625</v>
      </c>
      <c r="P6009">
        <v>75.2</v>
      </c>
      <c r="S6009" s="74">
        <v>34949</v>
      </c>
      <c r="T6009" s="77">
        <v>0.625</v>
      </c>
      <c r="V6009">
        <v>80.06</v>
      </c>
      <c r="X6009" s="42"/>
      <c r="AB6009">
        <v>77</v>
      </c>
      <c r="AC6009">
        <v>77</v>
      </c>
      <c r="AE6009" s="74"/>
      <c r="AF6009" s="77"/>
      <c r="AH6009" s="497">
        <v>73.400000000000006</v>
      </c>
      <c r="AJ6009" s="42"/>
      <c r="AK6009" s="74"/>
      <c r="AL6009" s="77"/>
      <c r="AN6009" s="497">
        <v>71.960000000000008</v>
      </c>
      <c r="AP6009" s="42"/>
      <c r="AQ6009" s="74"/>
      <c r="AR6009" s="77"/>
      <c r="AT6009" s="497">
        <v>71.960000000000008</v>
      </c>
      <c r="AV6009" s="42"/>
      <c r="AW6009" s="74"/>
      <c r="AX6009" s="77"/>
      <c r="BA6009" s="497">
        <v>78.080000000000013</v>
      </c>
      <c r="BB6009" s="42"/>
      <c r="BC6009" s="74"/>
      <c r="BD6009" s="77"/>
      <c r="BF6009">
        <v>69.98</v>
      </c>
      <c r="BH6009" s="42"/>
      <c r="BI6009" s="74"/>
      <c r="BJ6009" s="77"/>
      <c r="BL6009" s="497">
        <v>66.92</v>
      </c>
      <c r="BN6009" s="42"/>
      <c r="BO6009" s="74"/>
      <c r="BP6009" s="77"/>
      <c r="BR6009" s="497">
        <v>71.06</v>
      </c>
      <c r="BT6009" s="42"/>
    </row>
    <row r="6010" spans="1:72" x14ac:dyDescent="0.25">
      <c r="A6010" s="90">
        <v>34949</v>
      </c>
      <c r="B6010" s="20">
        <v>0.66666666666666663</v>
      </c>
      <c r="D6010">
        <v>80.960000000000008</v>
      </c>
      <c r="E6010" t="str">
        <f t="shared" si="222"/>
        <v>WEEKDAY</v>
      </c>
      <c r="F6010" t="e">
        <f t="shared" si="223"/>
        <v>#N/A</v>
      </c>
      <c r="G6010" s="74">
        <v>29105</v>
      </c>
      <c r="H6010" s="77">
        <v>0.66666666666666663</v>
      </c>
      <c r="J6010">
        <v>80.06</v>
      </c>
      <c r="M6010" s="74">
        <v>37871</v>
      </c>
      <c r="N6010" s="77">
        <v>0.66666666666666663</v>
      </c>
      <c r="P6010">
        <v>75.2</v>
      </c>
      <c r="S6010" s="74">
        <v>34949</v>
      </c>
      <c r="T6010" s="77">
        <v>0.66666666666666663</v>
      </c>
      <c r="V6010">
        <v>78.98</v>
      </c>
      <c r="X6010" s="42"/>
      <c r="AB6010">
        <v>76.599999999999994</v>
      </c>
      <c r="AC6010">
        <v>77</v>
      </c>
      <c r="AE6010" s="74"/>
      <c r="AF6010" s="77"/>
      <c r="AH6010" s="497">
        <v>73.400000000000006</v>
      </c>
      <c r="AJ6010" s="42"/>
      <c r="AK6010" s="74"/>
      <c r="AL6010" s="77"/>
      <c r="AN6010" s="497">
        <v>73.039999999999992</v>
      </c>
      <c r="AP6010" s="42"/>
      <c r="AQ6010" s="74"/>
      <c r="AR6010" s="77"/>
      <c r="AT6010" s="497">
        <v>73.94</v>
      </c>
      <c r="AV6010" s="42"/>
      <c r="AW6010" s="74"/>
      <c r="AX6010" s="77"/>
      <c r="BA6010" s="497">
        <v>78.080000000000013</v>
      </c>
      <c r="BB6010" s="42"/>
      <c r="BC6010" s="74"/>
      <c r="BD6010" s="77"/>
      <c r="BF6010">
        <v>69.98</v>
      </c>
      <c r="BH6010" s="42"/>
      <c r="BI6010" s="74"/>
      <c r="BJ6010" s="77"/>
      <c r="BL6010" s="497">
        <v>69.080000000000013</v>
      </c>
      <c r="BN6010" s="42"/>
      <c r="BO6010" s="74"/>
      <c r="BP6010" s="77"/>
      <c r="BR6010" s="497">
        <v>71.06</v>
      </c>
      <c r="BT6010" s="42"/>
    </row>
    <row r="6011" spans="1:72" x14ac:dyDescent="0.25">
      <c r="A6011" s="90">
        <v>34949</v>
      </c>
      <c r="B6011" s="20">
        <v>0.70833333333333337</v>
      </c>
      <c r="D6011">
        <v>78.98</v>
      </c>
      <c r="E6011" t="str">
        <f t="shared" si="222"/>
        <v>WEEKDAY</v>
      </c>
      <c r="F6011" t="e">
        <f t="shared" si="223"/>
        <v>#N/A</v>
      </c>
      <c r="G6011" s="74">
        <v>29105</v>
      </c>
      <c r="H6011" s="77">
        <v>0.70833333333333337</v>
      </c>
      <c r="J6011">
        <v>78.98</v>
      </c>
      <c r="M6011" s="74">
        <v>37871</v>
      </c>
      <c r="N6011" s="77">
        <v>0.70833333333333337</v>
      </c>
      <c r="P6011">
        <v>73.400000000000006</v>
      </c>
      <c r="S6011" s="74">
        <v>34949</v>
      </c>
      <c r="T6011" s="77">
        <v>0.70833333333333337</v>
      </c>
      <c r="V6011">
        <v>78.98</v>
      </c>
      <c r="X6011" s="42"/>
      <c r="AB6011">
        <v>75.8</v>
      </c>
      <c r="AC6011">
        <v>77</v>
      </c>
      <c r="AE6011" s="74"/>
      <c r="AF6011" s="77"/>
      <c r="AH6011" s="497">
        <v>71.599999999999994</v>
      </c>
      <c r="AJ6011" s="42"/>
      <c r="AK6011" s="74"/>
      <c r="AL6011" s="77"/>
      <c r="AN6011" s="497">
        <v>71.06</v>
      </c>
      <c r="AP6011" s="42"/>
      <c r="AQ6011" s="74"/>
      <c r="AR6011" s="77"/>
      <c r="AT6011" s="497">
        <v>75.02</v>
      </c>
      <c r="AV6011" s="42"/>
      <c r="AW6011" s="74"/>
      <c r="AX6011" s="77"/>
      <c r="BA6011" s="497">
        <v>75.92</v>
      </c>
      <c r="BB6011" s="42"/>
      <c r="BC6011" s="74"/>
      <c r="BD6011" s="77"/>
      <c r="BF6011">
        <v>69.98</v>
      </c>
      <c r="BH6011" s="42"/>
      <c r="BI6011" s="74"/>
      <c r="BJ6011" s="77"/>
      <c r="BL6011" s="497">
        <v>66.92</v>
      </c>
      <c r="BN6011" s="42"/>
      <c r="BO6011" s="74"/>
      <c r="BP6011" s="77"/>
      <c r="BR6011" s="497">
        <v>68.36</v>
      </c>
      <c r="BT6011" s="42"/>
    </row>
    <row r="6012" spans="1:72" x14ac:dyDescent="0.25">
      <c r="A6012" s="90">
        <v>34949</v>
      </c>
      <c r="B6012" s="20">
        <v>0.75</v>
      </c>
      <c r="D6012">
        <v>77</v>
      </c>
      <c r="E6012" t="str">
        <f t="shared" si="222"/>
        <v>WEEKDAY</v>
      </c>
      <c r="F6012" t="e">
        <f t="shared" si="223"/>
        <v>#N/A</v>
      </c>
      <c r="G6012" s="74">
        <v>29105</v>
      </c>
      <c r="H6012" s="77">
        <v>0.75</v>
      </c>
      <c r="J6012">
        <v>78.080000000000013</v>
      </c>
      <c r="M6012" s="74">
        <v>37871</v>
      </c>
      <c r="N6012" s="77">
        <v>0.75</v>
      </c>
      <c r="P6012">
        <v>69.800000000000011</v>
      </c>
      <c r="S6012" s="74">
        <v>34949</v>
      </c>
      <c r="T6012" s="77">
        <v>0.75</v>
      </c>
      <c r="V6012">
        <v>77</v>
      </c>
      <c r="X6012" s="42"/>
      <c r="AB6012">
        <v>74.599999999999994</v>
      </c>
      <c r="AC6012">
        <v>73.94</v>
      </c>
      <c r="AE6012" s="74"/>
      <c r="AF6012" s="77"/>
      <c r="AH6012" s="497">
        <v>71.599999999999994</v>
      </c>
      <c r="AJ6012" s="42"/>
      <c r="AK6012" s="74"/>
      <c r="AL6012" s="77"/>
      <c r="AN6012" s="497">
        <v>68.900000000000006</v>
      </c>
      <c r="AP6012" s="42"/>
      <c r="AQ6012" s="74"/>
      <c r="AR6012" s="77"/>
      <c r="AT6012" s="497">
        <v>64.94</v>
      </c>
      <c r="AV6012" s="42"/>
      <c r="AW6012" s="74"/>
      <c r="AX6012" s="77"/>
      <c r="BA6012" s="497">
        <v>71.960000000000008</v>
      </c>
      <c r="BB6012" s="42"/>
      <c r="BC6012" s="74"/>
      <c r="BD6012" s="77"/>
      <c r="BF6012">
        <v>68</v>
      </c>
      <c r="BH6012" s="42"/>
      <c r="BI6012" s="74"/>
      <c r="BJ6012" s="77"/>
      <c r="BL6012" s="497">
        <v>66.02</v>
      </c>
      <c r="BN6012" s="42"/>
      <c r="BO6012" s="74"/>
      <c r="BP6012" s="77"/>
      <c r="BR6012" s="497">
        <v>65.66</v>
      </c>
      <c r="BT6012" s="42"/>
    </row>
    <row r="6013" spans="1:72" x14ac:dyDescent="0.25">
      <c r="A6013" s="90">
        <v>34949</v>
      </c>
      <c r="B6013" s="20">
        <v>0.79166666666666663</v>
      </c>
      <c r="D6013">
        <v>75.92</v>
      </c>
      <c r="E6013" t="str">
        <f t="shared" si="222"/>
        <v>WEEKDAY</v>
      </c>
      <c r="F6013" t="e">
        <f t="shared" si="223"/>
        <v>#N/A</v>
      </c>
      <c r="G6013" s="74">
        <v>29105</v>
      </c>
      <c r="H6013" s="77">
        <v>0.79166666666666663</v>
      </c>
      <c r="J6013">
        <v>77</v>
      </c>
      <c r="M6013" s="74">
        <v>37871</v>
      </c>
      <c r="N6013" s="77">
        <v>0.79166666666666663</v>
      </c>
      <c r="P6013">
        <v>64.400000000000006</v>
      </c>
      <c r="S6013" s="74">
        <v>34949</v>
      </c>
      <c r="T6013" s="77">
        <v>0.79166666666666663</v>
      </c>
      <c r="V6013">
        <v>75.92</v>
      </c>
      <c r="X6013" s="42"/>
      <c r="AB6013">
        <v>73</v>
      </c>
      <c r="AC6013">
        <v>71.960000000000008</v>
      </c>
      <c r="AE6013" s="74"/>
      <c r="AF6013" s="77"/>
      <c r="AH6013" s="497">
        <v>71.599999999999994</v>
      </c>
      <c r="AJ6013" s="42"/>
      <c r="AK6013" s="74"/>
      <c r="AL6013" s="77"/>
      <c r="AN6013" s="497">
        <v>66.92</v>
      </c>
      <c r="AP6013" s="42"/>
      <c r="AQ6013" s="74"/>
      <c r="AR6013" s="77"/>
      <c r="AT6013" s="497">
        <v>64.039999999999992</v>
      </c>
      <c r="AV6013" s="42"/>
      <c r="AW6013" s="74"/>
      <c r="AX6013" s="77"/>
      <c r="BA6013" s="497">
        <v>68</v>
      </c>
      <c r="BB6013" s="42"/>
      <c r="BC6013" s="74"/>
      <c r="BD6013" s="77"/>
      <c r="BF6013">
        <v>66.02</v>
      </c>
      <c r="BH6013" s="42"/>
      <c r="BI6013" s="74"/>
      <c r="BJ6013" s="77"/>
      <c r="BL6013" s="497">
        <v>62.06</v>
      </c>
      <c r="BN6013" s="42"/>
      <c r="BO6013" s="74"/>
      <c r="BP6013" s="77"/>
      <c r="BR6013" s="497">
        <v>62.96</v>
      </c>
      <c r="BT6013" s="42"/>
    </row>
    <row r="6014" spans="1:72" x14ac:dyDescent="0.25">
      <c r="A6014" s="90">
        <v>34949</v>
      </c>
      <c r="B6014" s="20">
        <v>0.83333333333333337</v>
      </c>
      <c r="D6014">
        <v>75.02</v>
      </c>
      <c r="E6014" t="str">
        <f t="shared" si="222"/>
        <v>WEEKDAY</v>
      </c>
      <c r="F6014" t="e">
        <f t="shared" si="223"/>
        <v>#N/A</v>
      </c>
      <c r="G6014" s="74">
        <v>29105</v>
      </c>
      <c r="H6014" s="77">
        <v>0.83333333333333337</v>
      </c>
      <c r="J6014">
        <v>75.38</v>
      </c>
      <c r="M6014" s="74">
        <v>37871</v>
      </c>
      <c r="N6014" s="77">
        <v>0.83333333333333337</v>
      </c>
      <c r="P6014">
        <v>62.6</v>
      </c>
      <c r="S6014" s="74">
        <v>34949</v>
      </c>
      <c r="T6014" s="77">
        <v>0.83333333333333337</v>
      </c>
      <c r="V6014">
        <v>75.02</v>
      </c>
      <c r="X6014" s="42"/>
      <c r="AB6014">
        <v>71.8</v>
      </c>
      <c r="AC6014">
        <v>71.960000000000008</v>
      </c>
      <c r="AE6014" s="74"/>
      <c r="AF6014" s="77"/>
      <c r="AH6014" s="497">
        <v>69.800000000000011</v>
      </c>
      <c r="AJ6014" s="42"/>
      <c r="AK6014" s="74"/>
      <c r="AL6014" s="77"/>
      <c r="AN6014" s="497">
        <v>66.02</v>
      </c>
      <c r="AP6014" s="42"/>
      <c r="AQ6014" s="74"/>
      <c r="AR6014" s="77"/>
      <c r="AT6014" s="497">
        <v>62.06</v>
      </c>
      <c r="AV6014" s="42"/>
      <c r="AW6014" s="74"/>
      <c r="AX6014" s="77"/>
      <c r="BA6014" s="497">
        <v>66.92</v>
      </c>
      <c r="BB6014" s="42"/>
      <c r="BC6014" s="74"/>
      <c r="BD6014" s="77"/>
      <c r="BF6014">
        <v>66.02</v>
      </c>
      <c r="BH6014" s="42"/>
      <c r="BI6014" s="74"/>
      <c r="BJ6014" s="77"/>
      <c r="BL6014" s="497">
        <v>60.08</v>
      </c>
      <c r="BN6014" s="42"/>
      <c r="BO6014" s="74"/>
      <c r="BP6014" s="77"/>
      <c r="BR6014" s="497">
        <v>59.36</v>
      </c>
      <c r="BT6014" s="42"/>
    </row>
    <row r="6015" spans="1:72" x14ac:dyDescent="0.25">
      <c r="A6015" s="90">
        <v>34949</v>
      </c>
      <c r="B6015" s="20">
        <v>0.875</v>
      </c>
      <c r="D6015">
        <v>75.02</v>
      </c>
      <c r="E6015" t="str">
        <f t="shared" si="222"/>
        <v>WEEKDAY</v>
      </c>
      <c r="F6015" t="e">
        <f t="shared" si="223"/>
        <v>#N/A</v>
      </c>
      <c r="G6015" s="74">
        <v>29105</v>
      </c>
      <c r="H6015" s="77">
        <v>0.875</v>
      </c>
      <c r="J6015">
        <v>73.580000000000013</v>
      </c>
      <c r="M6015" s="74">
        <v>37871</v>
      </c>
      <c r="N6015" s="77">
        <v>0.875</v>
      </c>
      <c r="P6015">
        <v>62.6</v>
      </c>
      <c r="S6015" s="74">
        <v>34949</v>
      </c>
      <c r="T6015" s="77">
        <v>0.875</v>
      </c>
      <c r="V6015">
        <v>75.02</v>
      </c>
      <c r="X6015" s="42"/>
      <c r="AB6015">
        <v>71</v>
      </c>
      <c r="AC6015">
        <v>71.960000000000008</v>
      </c>
      <c r="AE6015" s="74"/>
      <c r="AF6015" s="77"/>
      <c r="AH6015" s="497">
        <v>69.800000000000011</v>
      </c>
      <c r="AJ6015" s="42"/>
      <c r="AK6015" s="74"/>
      <c r="AL6015" s="77"/>
      <c r="AN6015" s="497">
        <v>64.94</v>
      </c>
      <c r="AP6015" s="42"/>
      <c r="AQ6015" s="74"/>
      <c r="AR6015" s="77"/>
      <c r="AT6015" s="497">
        <v>60.08</v>
      </c>
      <c r="AV6015" s="42"/>
      <c r="AW6015" s="74"/>
      <c r="AX6015" s="77"/>
      <c r="BA6015" s="497">
        <v>64.94</v>
      </c>
      <c r="BB6015" s="42"/>
      <c r="BC6015" s="74"/>
      <c r="BD6015" s="77"/>
      <c r="BF6015">
        <v>66.02</v>
      </c>
      <c r="BH6015" s="42"/>
      <c r="BI6015" s="74"/>
      <c r="BJ6015" s="77"/>
      <c r="BL6015" s="497">
        <v>59</v>
      </c>
      <c r="BN6015" s="42"/>
      <c r="BO6015" s="74"/>
      <c r="BP6015" s="77"/>
      <c r="BR6015" s="497">
        <v>55.58</v>
      </c>
      <c r="BT6015" s="42"/>
    </row>
    <row r="6016" spans="1:72" x14ac:dyDescent="0.25">
      <c r="A6016" s="90">
        <v>34949</v>
      </c>
      <c r="B6016" s="20">
        <v>0.91666666666666663</v>
      </c>
      <c r="D6016">
        <v>73.039999999999992</v>
      </c>
      <c r="E6016" t="str">
        <f t="shared" si="222"/>
        <v>WEEKDAY</v>
      </c>
      <c r="F6016" t="e">
        <f t="shared" si="223"/>
        <v>#N/A</v>
      </c>
      <c r="G6016" s="74">
        <v>29105</v>
      </c>
      <c r="H6016" s="77">
        <v>0.91666666666666663</v>
      </c>
      <c r="J6016">
        <v>71.960000000000008</v>
      </c>
      <c r="M6016" s="74">
        <v>37871</v>
      </c>
      <c r="N6016" s="77">
        <v>0.91666666666666663</v>
      </c>
      <c r="P6016">
        <v>62.6</v>
      </c>
      <c r="S6016" s="74">
        <v>34949</v>
      </c>
      <c r="T6016" s="77">
        <v>0.91666666666666663</v>
      </c>
      <c r="V6016">
        <v>73.94</v>
      </c>
      <c r="X6016" s="42"/>
      <c r="AB6016">
        <v>70.400000000000006</v>
      </c>
      <c r="AC6016">
        <v>71.960000000000008</v>
      </c>
      <c r="AE6016" s="74"/>
      <c r="AF6016" s="77"/>
      <c r="AH6016" s="497">
        <v>69.800000000000011</v>
      </c>
      <c r="AJ6016" s="42"/>
      <c r="AK6016" s="74"/>
      <c r="AL6016" s="77"/>
      <c r="AN6016" s="497">
        <v>64.039999999999992</v>
      </c>
      <c r="AP6016" s="42"/>
      <c r="AQ6016" s="74"/>
      <c r="AR6016" s="77"/>
      <c r="AT6016" s="497">
        <v>57.92</v>
      </c>
      <c r="AV6016" s="42"/>
      <c r="AW6016" s="74"/>
      <c r="AX6016" s="77"/>
      <c r="BA6016" s="497">
        <v>64.039999999999992</v>
      </c>
      <c r="BB6016" s="42"/>
      <c r="BC6016" s="74"/>
      <c r="BD6016" s="77"/>
      <c r="BF6016">
        <v>66.02</v>
      </c>
      <c r="BH6016" s="42"/>
      <c r="BI6016" s="74"/>
      <c r="BJ6016" s="77"/>
      <c r="BL6016" s="497">
        <v>57.92</v>
      </c>
      <c r="BN6016" s="42"/>
      <c r="BO6016" s="74"/>
      <c r="BP6016" s="77"/>
      <c r="BR6016" s="497">
        <v>51.980000000000004</v>
      </c>
      <c r="BT6016" s="42"/>
    </row>
    <row r="6017" spans="1:72" x14ac:dyDescent="0.25">
      <c r="A6017" s="90">
        <v>34949</v>
      </c>
      <c r="B6017" s="20">
        <v>0.95833333333333337</v>
      </c>
      <c r="D6017">
        <v>71.960000000000008</v>
      </c>
      <c r="E6017" t="str">
        <f t="shared" si="222"/>
        <v>WEEKDAY</v>
      </c>
      <c r="F6017" t="e">
        <f t="shared" si="223"/>
        <v>#N/A</v>
      </c>
      <c r="G6017" s="74">
        <v>29105</v>
      </c>
      <c r="H6017" s="77">
        <v>0.95833333333333337</v>
      </c>
      <c r="J6017">
        <v>71.240000000000009</v>
      </c>
      <c r="M6017" s="74">
        <v>37871</v>
      </c>
      <c r="N6017" s="77">
        <v>0.95833333333333337</v>
      </c>
      <c r="P6017">
        <v>62.6</v>
      </c>
      <c r="S6017" s="74">
        <v>34949</v>
      </c>
      <c r="T6017" s="77">
        <v>0.95833333333333337</v>
      </c>
      <c r="V6017">
        <v>73.039999999999992</v>
      </c>
      <c r="X6017" s="42"/>
      <c r="AB6017">
        <v>69.7</v>
      </c>
      <c r="AC6017">
        <v>71.960000000000008</v>
      </c>
      <c r="AE6017" s="74"/>
      <c r="AF6017" s="77"/>
      <c r="AH6017" s="497">
        <v>69.800000000000011</v>
      </c>
      <c r="AJ6017" s="42"/>
      <c r="AK6017" s="74"/>
      <c r="AL6017" s="77"/>
      <c r="AN6017" s="497">
        <v>62.78</v>
      </c>
      <c r="AP6017" s="42"/>
      <c r="AQ6017" s="74"/>
      <c r="AR6017" s="77"/>
      <c r="AT6017" s="497">
        <v>57.019999999999996</v>
      </c>
      <c r="AV6017" s="42"/>
      <c r="AW6017" s="74"/>
      <c r="AX6017" s="77"/>
      <c r="BA6017" s="497">
        <v>62.96</v>
      </c>
      <c r="BB6017" s="42"/>
      <c r="BC6017" s="74"/>
      <c r="BD6017" s="77"/>
      <c r="BF6017">
        <v>62.96</v>
      </c>
      <c r="BH6017" s="42"/>
      <c r="BI6017" s="74"/>
      <c r="BJ6017" s="77"/>
      <c r="BL6017" s="497">
        <v>57.019999999999996</v>
      </c>
      <c r="BN6017" s="42"/>
      <c r="BO6017" s="74"/>
      <c r="BP6017" s="77"/>
      <c r="BR6017" s="497">
        <v>50.900000000000006</v>
      </c>
      <c r="BT6017" s="42"/>
    </row>
    <row r="6018" spans="1:72" x14ac:dyDescent="0.25">
      <c r="A6018" s="90">
        <v>34949</v>
      </c>
      <c r="B6018" s="20">
        <v>1</v>
      </c>
      <c r="D6018">
        <v>71.06</v>
      </c>
      <c r="E6018" t="str">
        <f t="shared" si="222"/>
        <v>WEEKDAY</v>
      </c>
      <c r="F6018" t="e">
        <f t="shared" si="223"/>
        <v>#N/A</v>
      </c>
      <c r="G6018" s="74">
        <v>29105</v>
      </c>
      <c r="H6018" s="77">
        <v>1</v>
      </c>
      <c r="J6018">
        <v>70.7</v>
      </c>
      <c r="M6018" s="74">
        <v>37871</v>
      </c>
      <c r="N6018" s="80">
        <v>1</v>
      </c>
      <c r="P6018">
        <v>62.6</v>
      </c>
      <c r="S6018" s="74">
        <v>34949</v>
      </c>
      <c r="T6018" s="80">
        <v>1</v>
      </c>
      <c r="V6018">
        <v>73.039999999999992</v>
      </c>
      <c r="X6018" s="42"/>
      <c r="AB6018">
        <v>69.099999999999994</v>
      </c>
      <c r="AC6018">
        <v>71.960000000000008</v>
      </c>
      <c r="AE6018" s="74"/>
      <c r="AF6018" s="80"/>
      <c r="AH6018" s="497">
        <v>69.800000000000011</v>
      </c>
      <c r="AJ6018" s="42"/>
      <c r="AK6018" s="74"/>
      <c r="AL6018" s="80"/>
      <c r="AN6018" s="497">
        <v>61.34</v>
      </c>
      <c r="AP6018" s="42"/>
      <c r="AQ6018" s="74"/>
      <c r="AR6018" s="80"/>
      <c r="AT6018" s="497">
        <v>57.019999999999996</v>
      </c>
      <c r="AV6018" s="42"/>
      <c r="AW6018" s="74"/>
      <c r="AX6018" s="80"/>
      <c r="BA6018" s="497">
        <v>62.06</v>
      </c>
      <c r="BB6018" s="42"/>
      <c r="BC6018" s="74"/>
      <c r="BD6018" s="80"/>
      <c r="BF6018">
        <v>64.039999999999992</v>
      </c>
      <c r="BH6018" s="42"/>
      <c r="BI6018" s="74"/>
      <c r="BJ6018" s="80"/>
      <c r="BL6018" s="497">
        <v>55.040000000000006</v>
      </c>
      <c r="BN6018" s="42"/>
      <c r="BO6018" s="74"/>
      <c r="BP6018" s="80"/>
      <c r="BR6018" s="497">
        <v>50</v>
      </c>
      <c r="BT6018" s="42"/>
    </row>
    <row r="6019" spans="1:72" x14ac:dyDescent="0.25">
      <c r="A6019" s="90">
        <v>34950</v>
      </c>
      <c r="B6019" s="20">
        <v>4.1666666666666664E-2</v>
      </c>
      <c r="D6019">
        <v>69.98</v>
      </c>
      <c r="E6019" t="str">
        <f t="shared" si="222"/>
        <v>WEEKDAY</v>
      </c>
      <c r="F6019" t="e">
        <f t="shared" si="223"/>
        <v>#N/A</v>
      </c>
      <c r="G6019" s="74">
        <v>29106</v>
      </c>
      <c r="H6019" s="77">
        <v>4.1666666666666664E-2</v>
      </c>
      <c r="J6019">
        <v>69.98</v>
      </c>
      <c r="M6019" s="74">
        <v>37872</v>
      </c>
      <c r="N6019" s="77">
        <v>4.1666666666666664E-2</v>
      </c>
      <c r="P6019">
        <v>62.6</v>
      </c>
      <c r="S6019" s="74">
        <v>34950</v>
      </c>
      <c r="T6019" s="77">
        <v>4.1666666666666664E-2</v>
      </c>
      <c r="V6019">
        <v>73.039999999999992</v>
      </c>
      <c r="X6019" s="42"/>
      <c r="AB6019">
        <v>68.400000000000006</v>
      </c>
      <c r="AC6019">
        <v>71.06</v>
      </c>
      <c r="AE6019" s="74"/>
      <c r="AF6019" s="77"/>
      <c r="AH6019" s="497">
        <v>68</v>
      </c>
      <c r="AJ6019" s="42"/>
      <c r="AK6019" s="74"/>
      <c r="AL6019" s="77"/>
      <c r="AN6019" s="497">
        <v>60.08</v>
      </c>
      <c r="AP6019" s="42"/>
      <c r="AQ6019" s="74"/>
      <c r="AR6019" s="77"/>
      <c r="AT6019" s="497">
        <v>55.040000000000006</v>
      </c>
      <c r="AV6019" s="42"/>
      <c r="AW6019" s="74"/>
      <c r="AX6019" s="77"/>
      <c r="BA6019" s="497">
        <v>62.06</v>
      </c>
      <c r="BB6019" s="42"/>
      <c r="BC6019" s="74"/>
      <c r="BD6019" s="77"/>
      <c r="BF6019">
        <v>66.02</v>
      </c>
      <c r="BH6019" s="42"/>
      <c r="BI6019" s="74"/>
      <c r="BJ6019" s="77"/>
      <c r="BL6019" s="497">
        <v>53.96</v>
      </c>
      <c r="BN6019" s="42"/>
      <c r="BO6019" s="74"/>
      <c r="BP6019" s="77"/>
      <c r="BR6019" s="497">
        <v>48.92</v>
      </c>
      <c r="BT6019" s="42"/>
    </row>
    <row r="6020" spans="1:72" x14ac:dyDescent="0.25">
      <c r="A6020" s="90">
        <v>34950</v>
      </c>
      <c r="B6020" s="20">
        <v>8.3333333333333329E-2</v>
      </c>
      <c r="D6020">
        <v>69.98</v>
      </c>
      <c r="E6020" t="str">
        <f t="shared" si="222"/>
        <v>WEEKDAY</v>
      </c>
      <c r="F6020" t="e">
        <f t="shared" si="223"/>
        <v>#N/A</v>
      </c>
      <c r="G6020" s="74">
        <v>29106</v>
      </c>
      <c r="H6020" s="77">
        <v>8.3333333333333329E-2</v>
      </c>
      <c r="J6020">
        <v>68.900000000000006</v>
      </c>
      <c r="M6020" s="74">
        <v>37872</v>
      </c>
      <c r="N6020" s="77">
        <v>8.3333333333333329E-2</v>
      </c>
      <c r="P6020">
        <v>62.6</v>
      </c>
      <c r="S6020" s="74">
        <v>34950</v>
      </c>
      <c r="T6020" s="77">
        <v>8.3333333333333329E-2</v>
      </c>
      <c r="V6020">
        <v>71.960000000000008</v>
      </c>
      <c r="X6020" s="42"/>
      <c r="AB6020">
        <v>67.7</v>
      </c>
      <c r="AC6020">
        <v>69.98</v>
      </c>
      <c r="AE6020" s="74"/>
      <c r="AF6020" s="77"/>
      <c r="AH6020" s="497">
        <v>66.2</v>
      </c>
      <c r="AJ6020" s="42"/>
      <c r="AK6020" s="74"/>
      <c r="AL6020" s="77"/>
      <c r="AN6020" s="497">
        <v>59.72</v>
      </c>
      <c r="AP6020" s="42"/>
      <c r="AQ6020" s="74"/>
      <c r="AR6020" s="77"/>
      <c r="AT6020" s="497">
        <v>53.06</v>
      </c>
      <c r="AV6020" s="42"/>
      <c r="AW6020" s="74"/>
      <c r="AX6020" s="77"/>
      <c r="BA6020" s="497">
        <v>60.08</v>
      </c>
      <c r="BB6020" s="42"/>
      <c r="BC6020" s="74"/>
      <c r="BD6020" s="77"/>
      <c r="BF6020">
        <v>64.039999999999992</v>
      </c>
      <c r="BH6020" s="42"/>
      <c r="BI6020" s="74"/>
      <c r="BJ6020" s="77"/>
      <c r="BL6020" s="497">
        <v>53.96</v>
      </c>
      <c r="BN6020" s="42"/>
      <c r="BO6020" s="74"/>
      <c r="BP6020" s="77"/>
      <c r="BR6020" s="497">
        <v>48.019999999999996</v>
      </c>
      <c r="BT6020" s="42"/>
    </row>
    <row r="6021" spans="1:72" x14ac:dyDescent="0.25">
      <c r="A6021" s="90">
        <v>34950</v>
      </c>
      <c r="B6021" s="20">
        <v>0.125</v>
      </c>
      <c r="D6021">
        <v>69.080000000000013</v>
      </c>
      <c r="E6021" t="str">
        <f t="shared" si="222"/>
        <v>WEEKDAY</v>
      </c>
      <c r="F6021" t="e">
        <f t="shared" si="223"/>
        <v>#N/A</v>
      </c>
      <c r="G6021" s="74">
        <v>29106</v>
      </c>
      <c r="H6021" s="77">
        <v>0.125</v>
      </c>
      <c r="J6021">
        <v>68</v>
      </c>
      <c r="M6021" s="74">
        <v>37872</v>
      </c>
      <c r="N6021" s="77">
        <v>0.125</v>
      </c>
      <c r="P6021">
        <v>62.6</v>
      </c>
      <c r="S6021" s="74">
        <v>34950</v>
      </c>
      <c r="T6021" s="77">
        <v>0.125</v>
      </c>
      <c r="V6021">
        <v>71.960000000000008</v>
      </c>
      <c r="X6021" s="42"/>
      <c r="AB6021">
        <v>67.2</v>
      </c>
      <c r="AC6021">
        <v>71.960000000000008</v>
      </c>
      <c r="AE6021" s="74"/>
      <c r="AF6021" s="77"/>
      <c r="AH6021" s="497">
        <v>66.2</v>
      </c>
      <c r="AJ6021" s="42"/>
      <c r="AK6021" s="74"/>
      <c r="AL6021" s="77"/>
      <c r="AN6021" s="497">
        <v>59.36</v>
      </c>
      <c r="AP6021" s="42"/>
      <c r="AQ6021" s="74"/>
      <c r="AR6021" s="77"/>
      <c r="AT6021" s="497">
        <v>50</v>
      </c>
      <c r="AV6021" s="42"/>
      <c r="AW6021" s="74"/>
      <c r="AX6021" s="77"/>
      <c r="BA6021" s="497">
        <v>59</v>
      </c>
      <c r="BB6021" s="42"/>
      <c r="BC6021" s="74"/>
      <c r="BD6021" s="77"/>
      <c r="BF6021">
        <v>62.06</v>
      </c>
      <c r="BH6021" s="42"/>
      <c r="BI6021" s="74"/>
      <c r="BJ6021" s="77"/>
      <c r="BL6021" s="497">
        <v>55.040000000000006</v>
      </c>
      <c r="BN6021" s="42"/>
      <c r="BO6021" s="74"/>
      <c r="BP6021" s="77"/>
      <c r="BR6021" s="497">
        <v>46.94</v>
      </c>
      <c r="BT6021" s="42"/>
    </row>
    <row r="6022" spans="1:72" x14ac:dyDescent="0.25">
      <c r="A6022" s="90">
        <v>34950</v>
      </c>
      <c r="B6022" s="20">
        <v>0.16666666666666666</v>
      </c>
      <c r="D6022">
        <v>69.080000000000013</v>
      </c>
      <c r="E6022" t="str">
        <f t="shared" si="222"/>
        <v>WEEKDAY</v>
      </c>
      <c r="F6022" t="e">
        <f t="shared" si="223"/>
        <v>#N/A</v>
      </c>
      <c r="G6022" s="74">
        <v>29106</v>
      </c>
      <c r="H6022" s="77">
        <v>0.16666666666666666</v>
      </c>
      <c r="J6022">
        <v>66.92</v>
      </c>
      <c r="M6022" s="74">
        <v>37872</v>
      </c>
      <c r="N6022" s="77">
        <v>0.16666666666666666</v>
      </c>
      <c r="P6022">
        <v>64.400000000000006</v>
      </c>
      <c r="S6022" s="74">
        <v>34950</v>
      </c>
      <c r="T6022" s="77">
        <v>0.16666666666666666</v>
      </c>
      <c r="V6022">
        <v>71.06</v>
      </c>
      <c r="X6022" s="42"/>
      <c r="AB6022">
        <v>66.599999999999994</v>
      </c>
      <c r="AC6022">
        <v>71.960000000000008</v>
      </c>
      <c r="AE6022" s="74"/>
      <c r="AF6022" s="77"/>
      <c r="AH6022" s="497">
        <v>66.2</v>
      </c>
      <c r="AJ6022" s="42"/>
      <c r="AK6022" s="74"/>
      <c r="AL6022" s="77"/>
      <c r="AN6022" s="497">
        <v>59</v>
      </c>
      <c r="AP6022" s="42"/>
      <c r="AQ6022" s="74"/>
      <c r="AR6022" s="77"/>
      <c r="AT6022" s="497">
        <v>50</v>
      </c>
      <c r="AV6022" s="42"/>
      <c r="AW6022" s="74"/>
      <c r="AX6022" s="77"/>
      <c r="BA6022" s="497">
        <v>59</v>
      </c>
      <c r="BB6022" s="42"/>
      <c r="BC6022" s="74"/>
      <c r="BD6022" s="77"/>
      <c r="BF6022">
        <v>62.96</v>
      </c>
      <c r="BH6022" s="42"/>
      <c r="BI6022" s="74"/>
      <c r="BJ6022" s="77"/>
      <c r="BL6022" s="497">
        <v>53.96</v>
      </c>
      <c r="BN6022" s="42"/>
      <c r="BO6022" s="74"/>
      <c r="BP6022" s="77"/>
      <c r="BR6022" s="497">
        <v>46.04</v>
      </c>
      <c r="BT6022" s="42"/>
    </row>
    <row r="6023" spans="1:72" x14ac:dyDescent="0.25">
      <c r="A6023" s="90">
        <v>34950</v>
      </c>
      <c r="B6023" s="20">
        <v>0.20833333333333334</v>
      </c>
      <c r="D6023">
        <v>68</v>
      </c>
      <c r="E6023" t="str">
        <f t="shared" si="222"/>
        <v>WEEKDAY</v>
      </c>
      <c r="F6023" t="e">
        <f t="shared" si="223"/>
        <v>#N/A</v>
      </c>
      <c r="G6023" s="74">
        <v>29106</v>
      </c>
      <c r="H6023" s="77">
        <v>0.20833333333333334</v>
      </c>
      <c r="J6023">
        <v>66.56</v>
      </c>
      <c r="M6023" s="74">
        <v>37872</v>
      </c>
      <c r="N6023" s="77">
        <v>0.20833333333333334</v>
      </c>
      <c r="P6023">
        <v>62.6</v>
      </c>
      <c r="S6023" s="74">
        <v>34950</v>
      </c>
      <c r="T6023" s="77">
        <v>0.20833333333333334</v>
      </c>
      <c r="V6023">
        <v>71.06</v>
      </c>
      <c r="X6023" s="42"/>
      <c r="AB6023">
        <v>66.2</v>
      </c>
      <c r="AC6023">
        <v>73.039999999999992</v>
      </c>
      <c r="AE6023" s="74"/>
      <c r="AF6023" s="77"/>
      <c r="AH6023" s="497">
        <v>66.2</v>
      </c>
      <c r="AJ6023" s="42"/>
      <c r="AK6023" s="74"/>
      <c r="AL6023" s="77"/>
      <c r="AN6023" s="497">
        <v>59</v>
      </c>
      <c r="AP6023" s="42"/>
      <c r="AQ6023" s="74"/>
      <c r="AR6023" s="77"/>
      <c r="AT6023" s="497">
        <v>46.94</v>
      </c>
      <c r="AV6023" s="42"/>
      <c r="AW6023" s="74"/>
      <c r="AX6023" s="77"/>
      <c r="BA6023" s="497">
        <v>57.92</v>
      </c>
      <c r="BB6023" s="42"/>
      <c r="BC6023" s="74"/>
      <c r="BD6023" s="77"/>
      <c r="BF6023">
        <v>64.039999999999992</v>
      </c>
      <c r="BH6023" s="42"/>
      <c r="BI6023" s="74"/>
      <c r="BJ6023" s="77"/>
      <c r="BL6023" s="497">
        <v>53.06</v>
      </c>
      <c r="BN6023" s="42"/>
      <c r="BO6023" s="74"/>
      <c r="BP6023" s="77"/>
      <c r="BR6023" s="497">
        <v>48.379999999999995</v>
      </c>
      <c r="BT6023" s="42"/>
    </row>
    <row r="6024" spans="1:72" x14ac:dyDescent="0.25">
      <c r="A6024" s="90">
        <v>34950</v>
      </c>
      <c r="B6024" s="20">
        <v>0.25</v>
      </c>
      <c r="D6024">
        <v>68</v>
      </c>
      <c r="E6024" t="str">
        <f t="shared" si="222"/>
        <v>WEEKDAY</v>
      </c>
      <c r="F6024" t="e">
        <f t="shared" si="223"/>
        <v>#N/A</v>
      </c>
      <c r="G6024" s="74">
        <v>29106</v>
      </c>
      <c r="H6024" s="77">
        <v>0.25</v>
      </c>
      <c r="J6024">
        <v>66.38</v>
      </c>
      <c r="M6024" s="74">
        <v>37872</v>
      </c>
      <c r="N6024" s="77">
        <v>0.25</v>
      </c>
      <c r="P6024">
        <v>62.6</v>
      </c>
      <c r="S6024" s="74">
        <v>34950</v>
      </c>
      <c r="T6024" s="77">
        <v>0.25</v>
      </c>
      <c r="V6024">
        <v>71.06</v>
      </c>
      <c r="X6024" s="42"/>
      <c r="AB6024">
        <v>66</v>
      </c>
      <c r="AC6024">
        <v>73.039999999999992</v>
      </c>
      <c r="AE6024" s="74"/>
      <c r="AF6024" s="77"/>
      <c r="AH6024" s="497">
        <v>64.400000000000006</v>
      </c>
      <c r="AJ6024" s="42"/>
      <c r="AK6024" s="74"/>
      <c r="AL6024" s="77"/>
      <c r="AN6024" s="497">
        <v>59</v>
      </c>
      <c r="AP6024" s="42"/>
      <c r="AQ6024" s="74"/>
      <c r="AR6024" s="77"/>
      <c r="AT6024" s="497">
        <v>48.019999999999996</v>
      </c>
      <c r="AV6024" s="42"/>
      <c r="AW6024" s="74"/>
      <c r="AX6024" s="77"/>
      <c r="BA6024" s="497">
        <v>55.040000000000006</v>
      </c>
      <c r="BB6024" s="42"/>
      <c r="BC6024" s="74"/>
      <c r="BD6024" s="77"/>
      <c r="BF6024">
        <v>64.94</v>
      </c>
      <c r="BH6024" s="42"/>
      <c r="BI6024" s="74"/>
      <c r="BJ6024" s="77"/>
      <c r="BL6024" s="497">
        <v>53.06</v>
      </c>
      <c r="BN6024" s="42"/>
      <c r="BO6024" s="74"/>
      <c r="BP6024" s="77"/>
      <c r="BR6024" s="497">
        <v>50.72</v>
      </c>
      <c r="BT6024" s="42"/>
    </row>
    <row r="6025" spans="1:72" x14ac:dyDescent="0.25">
      <c r="A6025" s="90">
        <v>34950</v>
      </c>
      <c r="B6025" s="20">
        <v>0.29166666666666669</v>
      </c>
      <c r="D6025">
        <v>69.080000000000013</v>
      </c>
      <c r="E6025" t="str">
        <f t="shared" si="222"/>
        <v>WEEKDAY</v>
      </c>
      <c r="F6025" t="e">
        <f t="shared" si="223"/>
        <v>#N/A</v>
      </c>
      <c r="G6025" s="74">
        <v>29106</v>
      </c>
      <c r="H6025" s="77">
        <v>0.29166666666666669</v>
      </c>
      <c r="J6025">
        <v>66.02</v>
      </c>
      <c r="M6025" s="74">
        <v>37872</v>
      </c>
      <c r="N6025" s="77">
        <v>0.29166666666666669</v>
      </c>
      <c r="P6025">
        <v>64.400000000000006</v>
      </c>
      <c r="S6025" s="74">
        <v>34950</v>
      </c>
      <c r="T6025" s="77">
        <v>0.29166666666666669</v>
      </c>
      <c r="V6025">
        <v>73.039999999999992</v>
      </c>
      <c r="X6025" s="42"/>
      <c r="AB6025">
        <v>66</v>
      </c>
      <c r="AC6025">
        <v>73.039999999999992</v>
      </c>
      <c r="AE6025" s="74"/>
      <c r="AF6025" s="77"/>
      <c r="AH6025" s="497">
        <v>64.400000000000006</v>
      </c>
      <c r="AJ6025" s="42"/>
      <c r="AK6025" s="74"/>
      <c r="AL6025" s="77"/>
      <c r="AN6025" s="497">
        <v>59</v>
      </c>
      <c r="AP6025" s="42"/>
      <c r="AQ6025" s="74"/>
      <c r="AR6025" s="77"/>
      <c r="AT6025" s="497">
        <v>51.08</v>
      </c>
      <c r="AV6025" s="42"/>
      <c r="AW6025" s="74"/>
      <c r="AX6025" s="77"/>
      <c r="BA6025" s="497">
        <v>60.08</v>
      </c>
      <c r="BB6025" s="42"/>
      <c r="BC6025" s="74"/>
      <c r="BD6025" s="77"/>
      <c r="BF6025">
        <v>64.94</v>
      </c>
      <c r="BH6025" s="42"/>
      <c r="BI6025" s="74"/>
      <c r="BJ6025" s="77"/>
      <c r="BL6025" s="497">
        <v>53.06</v>
      </c>
      <c r="BN6025" s="42"/>
      <c r="BO6025" s="74"/>
      <c r="BP6025" s="77"/>
      <c r="BR6025" s="497">
        <v>53.06</v>
      </c>
      <c r="BT6025" s="42"/>
    </row>
    <row r="6026" spans="1:72" x14ac:dyDescent="0.25">
      <c r="A6026" s="90">
        <v>34950</v>
      </c>
      <c r="B6026" s="20">
        <v>0.33333333333333331</v>
      </c>
      <c r="D6026">
        <v>71.06</v>
      </c>
      <c r="E6026" t="str">
        <f t="shared" si="222"/>
        <v>WEEKDAY</v>
      </c>
      <c r="F6026" t="e">
        <f t="shared" si="223"/>
        <v>#N/A</v>
      </c>
      <c r="G6026" s="74">
        <v>29106</v>
      </c>
      <c r="H6026" s="77">
        <v>0.33333333333333331</v>
      </c>
      <c r="J6026">
        <v>66.38</v>
      </c>
      <c r="M6026" s="74">
        <v>37872</v>
      </c>
      <c r="N6026" s="77">
        <v>0.33333333333333331</v>
      </c>
      <c r="P6026">
        <v>66.2</v>
      </c>
      <c r="S6026" s="74">
        <v>34950</v>
      </c>
      <c r="T6026" s="77">
        <v>0.33333333333333331</v>
      </c>
      <c r="V6026">
        <v>73.94</v>
      </c>
      <c r="X6026" s="42"/>
      <c r="AB6026">
        <v>67.900000000000006</v>
      </c>
      <c r="AC6026">
        <v>73.94</v>
      </c>
      <c r="AE6026" s="74"/>
      <c r="AF6026" s="77"/>
      <c r="AH6026" s="497">
        <v>64.400000000000006</v>
      </c>
      <c r="AJ6026" s="42"/>
      <c r="AK6026" s="74"/>
      <c r="AL6026" s="77"/>
      <c r="AN6026" s="497">
        <v>62.6</v>
      </c>
      <c r="AP6026" s="42"/>
      <c r="AQ6026" s="74"/>
      <c r="AR6026" s="77"/>
      <c r="AT6026" s="497">
        <v>53.96</v>
      </c>
      <c r="AV6026" s="42"/>
      <c r="AW6026" s="74"/>
      <c r="AX6026" s="77"/>
      <c r="BA6026" s="497">
        <v>64.94</v>
      </c>
      <c r="BB6026" s="42"/>
      <c r="BC6026" s="74"/>
      <c r="BD6026" s="77"/>
      <c r="BF6026">
        <v>66.92</v>
      </c>
      <c r="BH6026" s="42"/>
      <c r="BI6026" s="74"/>
      <c r="BJ6026" s="77"/>
      <c r="BL6026" s="497">
        <v>55.94</v>
      </c>
      <c r="BN6026" s="42"/>
      <c r="BO6026" s="74"/>
      <c r="BP6026" s="77"/>
      <c r="BR6026" s="497">
        <v>55.76</v>
      </c>
      <c r="BT6026" s="42"/>
    </row>
    <row r="6027" spans="1:72" x14ac:dyDescent="0.25">
      <c r="A6027" s="90">
        <v>34950</v>
      </c>
      <c r="B6027" s="20">
        <v>0.375</v>
      </c>
      <c r="D6027">
        <v>73.94</v>
      </c>
      <c r="E6027" t="str">
        <f t="shared" si="222"/>
        <v>WEEKDAY</v>
      </c>
      <c r="F6027" t="e">
        <f t="shared" si="223"/>
        <v>#N/A</v>
      </c>
      <c r="G6027" s="74">
        <v>29106</v>
      </c>
      <c r="H6027" s="77">
        <v>0.375</v>
      </c>
      <c r="J6027">
        <v>66.56</v>
      </c>
      <c r="M6027" s="74">
        <v>37872</v>
      </c>
      <c r="N6027" s="77">
        <v>0.375</v>
      </c>
      <c r="P6027">
        <v>68</v>
      </c>
      <c r="S6027" s="74">
        <v>34950</v>
      </c>
      <c r="T6027" s="77">
        <v>0.375</v>
      </c>
      <c r="V6027">
        <v>75.92</v>
      </c>
      <c r="X6027" s="42"/>
      <c r="AB6027">
        <v>70.2</v>
      </c>
      <c r="AC6027">
        <v>73.94</v>
      </c>
      <c r="AE6027" s="74"/>
      <c r="AF6027" s="77"/>
      <c r="AH6027" s="497">
        <v>66.2</v>
      </c>
      <c r="AJ6027" s="42"/>
      <c r="AK6027" s="74"/>
      <c r="AL6027" s="77"/>
      <c r="AN6027" s="497">
        <v>66.38</v>
      </c>
      <c r="AP6027" s="42"/>
      <c r="AQ6027" s="74"/>
      <c r="AR6027" s="77"/>
      <c r="AT6027" s="497">
        <v>55.94</v>
      </c>
      <c r="AV6027" s="42"/>
      <c r="AW6027" s="74"/>
      <c r="AX6027" s="77"/>
      <c r="BA6027" s="497">
        <v>69.98</v>
      </c>
      <c r="BB6027" s="42"/>
      <c r="BC6027" s="74"/>
      <c r="BD6027" s="77"/>
      <c r="BF6027">
        <v>69.98</v>
      </c>
      <c r="BH6027" s="42"/>
      <c r="BI6027" s="74"/>
      <c r="BJ6027" s="77"/>
      <c r="BL6027" s="497">
        <v>57.92</v>
      </c>
      <c r="BN6027" s="42"/>
      <c r="BO6027" s="74"/>
      <c r="BP6027" s="77"/>
      <c r="BR6027" s="497">
        <v>58.28</v>
      </c>
      <c r="BT6027" s="42"/>
    </row>
    <row r="6028" spans="1:72" x14ac:dyDescent="0.25">
      <c r="A6028" s="90">
        <v>34950</v>
      </c>
      <c r="B6028" s="20">
        <v>0.41666666666666669</v>
      </c>
      <c r="D6028">
        <v>75.02</v>
      </c>
      <c r="E6028" t="str">
        <f t="shared" si="222"/>
        <v>WEEKDAY</v>
      </c>
      <c r="F6028" t="e">
        <f t="shared" si="223"/>
        <v>#N/A</v>
      </c>
      <c r="G6028" s="74">
        <v>29106</v>
      </c>
      <c r="H6028" s="77">
        <v>0.41666666666666669</v>
      </c>
      <c r="J6028">
        <v>66.92</v>
      </c>
      <c r="M6028" s="74">
        <v>37872</v>
      </c>
      <c r="N6028" s="77">
        <v>0.41666666666666669</v>
      </c>
      <c r="P6028">
        <v>69.800000000000011</v>
      </c>
      <c r="S6028" s="74">
        <v>34950</v>
      </c>
      <c r="T6028" s="77">
        <v>0.41666666666666669</v>
      </c>
      <c r="V6028">
        <v>78.080000000000013</v>
      </c>
      <c r="X6028" s="42"/>
      <c r="AB6028">
        <v>72.2</v>
      </c>
      <c r="AC6028">
        <v>75.02</v>
      </c>
      <c r="AE6028" s="74"/>
      <c r="AF6028" s="77"/>
      <c r="AH6028" s="497">
        <v>66.2</v>
      </c>
      <c r="AJ6028" s="42"/>
      <c r="AK6028" s="74"/>
      <c r="AL6028" s="77"/>
      <c r="AN6028" s="497">
        <v>69.98</v>
      </c>
      <c r="AP6028" s="42"/>
      <c r="AQ6028" s="74"/>
      <c r="AR6028" s="77"/>
      <c r="AT6028" s="497">
        <v>57.019999999999996</v>
      </c>
      <c r="AV6028" s="42"/>
      <c r="AW6028" s="74"/>
      <c r="AX6028" s="77"/>
      <c r="BA6028" s="497">
        <v>75.02</v>
      </c>
      <c r="BB6028" s="42"/>
      <c r="BC6028" s="74"/>
      <c r="BD6028" s="77"/>
      <c r="BF6028">
        <v>71.06</v>
      </c>
      <c r="BH6028" s="42"/>
      <c r="BI6028" s="74"/>
      <c r="BJ6028" s="77"/>
      <c r="BL6028" s="497">
        <v>57.92</v>
      </c>
      <c r="BN6028" s="42"/>
      <c r="BO6028" s="74"/>
      <c r="BP6028" s="77"/>
      <c r="BR6028" s="497">
        <v>60.980000000000004</v>
      </c>
      <c r="BT6028" s="42"/>
    </row>
    <row r="6029" spans="1:72" x14ac:dyDescent="0.25">
      <c r="A6029" s="90">
        <v>34950</v>
      </c>
      <c r="B6029" s="20">
        <v>0.45833333333333331</v>
      </c>
      <c r="D6029">
        <v>75.92</v>
      </c>
      <c r="E6029" t="str">
        <f t="shared" si="222"/>
        <v>WEEKDAY</v>
      </c>
      <c r="F6029" t="e">
        <f t="shared" si="223"/>
        <v>#N/A</v>
      </c>
      <c r="G6029" s="74">
        <v>29106</v>
      </c>
      <c r="H6029" s="77">
        <v>0.45833333333333331</v>
      </c>
      <c r="J6029">
        <v>68</v>
      </c>
      <c r="M6029" s="74">
        <v>37872</v>
      </c>
      <c r="N6029" s="77">
        <v>0.45833333333333331</v>
      </c>
      <c r="P6029">
        <v>71.599999999999994</v>
      </c>
      <c r="S6029" s="74">
        <v>34950</v>
      </c>
      <c r="T6029" s="77">
        <v>0.45833333333333331</v>
      </c>
      <c r="V6029">
        <v>77</v>
      </c>
      <c r="X6029" s="42"/>
      <c r="AB6029">
        <v>74</v>
      </c>
      <c r="AC6029">
        <v>75.92</v>
      </c>
      <c r="AE6029" s="74"/>
      <c r="AF6029" s="77"/>
      <c r="AH6029" s="497">
        <v>69.080000000000013</v>
      </c>
      <c r="AJ6029" s="42"/>
      <c r="AK6029" s="74"/>
      <c r="AL6029" s="77"/>
      <c r="AN6029" s="497">
        <v>72.319999999999993</v>
      </c>
      <c r="AP6029" s="42"/>
      <c r="AQ6029" s="74"/>
      <c r="AR6029" s="77"/>
      <c r="AT6029" s="497">
        <v>60.08</v>
      </c>
      <c r="AV6029" s="42"/>
      <c r="AW6029" s="74"/>
      <c r="AX6029" s="77"/>
      <c r="BA6029" s="497">
        <v>75.92</v>
      </c>
      <c r="BB6029" s="42"/>
      <c r="BC6029" s="74"/>
      <c r="BD6029" s="77"/>
      <c r="BF6029">
        <v>71.960000000000008</v>
      </c>
      <c r="BH6029" s="42"/>
      <c r="BI6029" s="74"/>
      <c r="BJ6029" s="77"/>
      <c r="BL6029" s="497">
        <v>60.980000000000004</v>
      </c>
      <c r="BN6029" s="42"/>
      <c r="BO6029" s="74"/>
      <c r="BP6029" s="77"/>
      <c r="BR6029" s="497">
        <v>62.96</v>
      </c>
      <c r="BT6029" s="42"/>
    </row>
    <row r="6030" spans="1:72" x14ac:dyDescent="0.25">
      <c r="A6030" s="90">
        <v>34950</v>
      </c>
      <c r="B6030" s="20">
        <v>0.5</v>
      </c>
      <c r="D6030">
        <v>78.98</v>
      </c>
      <c r="E6030" t="str">
        <f t="shared" si="222"/>
        <v>WEEKDAY</v>
      </c>
      <c r="F6030" t="e">
        <f t="shared" si="223"/>
        <v>#N/A</v>
      </c>
      <c r="G6030" s="74">
        <v>29106</v>
      </c>
      <c r="H6030" s="77">
        <v>0.5</v>
      </c>
      <c r="J6030">
        <v>68.900000000000006</v>
      </c>
      <c r="M6030" s="74">
        <v>37872</v>
      </c>
      <c r="N6030" s="77">
        <v>0.5</v>
      </c>
      <c r="P6030">
        <v>73.400000000000006</v>
      </c>
      <c r="S6030" s="74">
        <v>34950</v>
      </c>
      <c r="T6030" s="77">
        <v>0.5</v>
      </c>
      <c r="V6030">
        <v>77</v>
      </c>
      <c r="X6030" s="42"/>
      <c r="AB6030">
        <v>75.3</v>
      </c>
      <c r="AC6030">
        <v>78.080000000000013</v>
      </c>
      <c r="AE6030" s="74"/>
      <c r="AF6030" s="77"/>
      <c r="AH6030" s="497">
        <v>71.599999999999994</v>
      </c>
      <c r="AJ6030" s="42"/>
      <c r="AK6030" s="74"/>
      <c r="AL6030" s="77"/>
      <c r="AN6030" s="497">
        <v>74.66</v>
      </c>
      <c r="AP6030" s="42"/>
      <c r="AQ6030" s="74"/>
      <c r="AR6030" s="77"/>
      <c r="AT6030" s="497">
        <v>62.06</v>
      </c>
      <c r="AV6030" s="42"/>
      <c r="AW6030" s="74"/>
      <c r="AX6030" s="77"/>
      <c r="BA6030" s="497">
        <v>78.080000000000013</v>
      </c>
      <c r="BB6030" s="42"/>
      <c r="BC6030" s="74"/>
      <c r="BD6030" s="77"/>
      <c r="BF6030">
        <v>73.039999999999992</v>
      </c>
      <c r="BH6030" s="42"/>
      <c r="BI6030" s="74"/>
      <c r="BJ6030" s="77"/>
      <c r="BL6030" s="497">
        <v>60.08</v>
      </c>
      <c r="BN6030" s="42"/>
      <c r="BO6030" s="74"/>
      <c r="BP6030" s="77"/>
      <c r="BR6030" s="497">
        <v>64.94</v>
      </c>
      <c r="BT6030" s="42"/>
    </row>
    <row r="6031" spans="1:72" x14ac:dyDescent="0.25">
      <c r="A6031" s="90">
        <v>34950</v>
      </c>
      <c r="B6031" s="20">
        <v>0.54166666666666663</v>
      </c>
      <c r="D6031">
        <v>80.960000000000008</v>
      </c>
      <c r="E6031" t="str">
        <f t="shared" si="222"/>
        <v>WEEKDAY</v>
      </c>
      <c r="F6031" t="e">
        <f t="shared" si="223"/>
        <v>#N/A</v>
      </c>
      <c r="G6031" s="74">
        <v>29106</v>
      </c>
      <c r="H6031" s="77">
        <v>0.54166666666666663</v>
      </c>
      <c r="J6031">
        <v>69.98</v>
      </c>
      <c r="M6031" s="74">
        <v>37872</v>
      </c>
      <c r="N6031" s="77">
        <v>0.54166666666666663</v>
      </c>
      <c r="P6031">
        <v>73.400000000000006</v>
      </c>
      <c r="S6031" s="74">
        <v>34950</v>
      </c>
      <c r="T6031" s="77">
        <v>0.54166666666666663</v>
      </c>
      <c r="V6031">
        <v>75.92</v>
      </c>
      <c r="X6031" s="42"/>
      <c r="AB6031">
        <v>76.099999999999994</v>
      </c>
      <c r="AC6031">
        <v>78.98</v>
      </c>
      <c r="AE6031" s="74"/>
      <c r="AF6031" s="77"/>
      <c r="AH6031" s="497">
        <v>71.599999999999994</v>
      </c>
      <c r="AJ6031" s="42"/>
      <c r="AK6031" s="74"/>
      <c r="AL6031" s="77"/>
      <c r="AN6031" s="497">
        <v>77</v>
      </c>
      <c r="AP6031" s="42"/>
      <c r="AQ6031" s="74"/>
      <c r="AR6031" s="77"/>
      <c r="AT6031" s="497">
        <v>64.94</v>
      </c>
      <c r="AV6031" s="42"/>
      <c r="AW6031" s="74"/>
      <c r="AX6031" s="77"/>
      <c r="BA6031" s="497">
        <v>80.06</v>
      </c>
      <c r="BB6031" s="42"/>
      <c r="BC6031" s="74"/>
      <c r="BD6031" s="77"/>
      <c r="BF6031">
        <v>71.960000000000008</v>
      </c>
      <c r="BH6031" s="42"/>
      <c r="BI6031" s="74"/>
      <c r="BJ6031" s="77"/>
      <c r="BL6031" s="497">
        <v>59</v>
      </c>
      <c r="BN6031" s="42"/>
      <c r="BO6031" s="74"/>
      <c r="BP6031" s="77"/>
      <c r="BR6031" s="497">
        <v>66.92</v>
      </c>
      <c r="BT6031" s="42"/>
    </row>
    <row r="6032" spans="1:72" x14ac:dyDescent="0.25">
      <c r="A6032" s="90">
        <v>34950</v>
      </c>
      <c r="B6032" s="20">
        <v>0.58333333333333337</v>
      </c>
      <c r="D6032">
        <v>80.960000000000008</v>
      </c>
      <c r="E6032" t="str">
        <f t="shared" si="222"/>
        <v>WEEKDAY</v>
      </c>
      <c r="F6032" t="e">
        <f t="shared" si="223"/>
        <v>#N/A</v>
      </c>
      <c r="G6032" s="74">
        <v>29106</v>
      </c>
      <c r="H6032" s="77">
        <v>0.58333333333333337</v>
      </c>
      <c r="J6032">
        <v>70.34</v>
      </c>
      <c r="M6032" s="74">
        <v>37872</v>
      </c>
      <c r="N6032" s="77">
        <v>0.58333333333333337</v>
      </c>
      <c r="P6032">
        <v>73.400000000000006</v>
      </c>
      <c r="S6032" s="74">
        <v>34950</v>
      </c>
      <c r="T6032" s="77">
        <v>0.58333333333333337</v>
      </c>
      <c r="V6032">
        <v>71.960000000000008</v>
      </c>
      <c r="X6032" s="42"/>
      <c r="AB6032">
        <v>76.599999999999994</v>
      </c>
      <c r="AC6032">
        <v>75.92</v>
      </c>
      <c r="AE6032" s="74"/>
      <c r="AF6032" s="77"/>
      <c r="AH6032" s="497">
        <v>71.599999999999994</v>
      </c>
      <c r="AJ6032" s="42"/>
      <c r="AK6032" s="74"/>
      <c r="AL6032" s="77"/>
      <c r="AN6032" s="497">
        <v>77</v>
      </c>
      <c r="AP6032" s="42"/>
      <c r="AQ6032" s="74"/>
      <c r="AR6032" s="77"/>
      <c r="AT6032" s="497">
        <v>66.92</v>
      </c>
      <c r="AV6032" s="42"/>
      <c r="AW6032" s="74"/>
      <c r="AX6032" s="77"/>
      <c r="BA6032" s="497">
        <v>77</v>
      </c>
      <c r="BB6032" s="42"/>
      <c r="BC6032" s="74"/>
      <c r="BD6032" s="77"/>
      <c r="BF6032">
        <v>73.039999999999992</v>
      </c>
      <c r="BH6032" s="42"/>
      <c r="BI6032" s="74"/>
      <c r="BJ6032" s="77"/>
      <c r="BL6032" s="497">
        <v>57.92</v>
      </c>
      <c r="BN6032" s="42"/>
      <c r="BO6032" s="74"/>
      <c r="BP6032" s="77"/>
      <c r="BR6032" s="497">
        <v>67.28</v>
      </c>
      <c r="BT6032" s="42"/>
    </row>
    <row r="6033" spans="1:72" x14ac:dyDescent="0.25">
      <c r="A6033" s="90">
        <v>34950</v>
      </c>
      <c r="B6033" s="20">
        <v>0.625</v>
      </c>
      <c r="D6033">
        <v>82.039999999999992</v>
      </c>
      <c r="E6033" t="str">
        <f t="shared" si="222"/>
        <v>WEEKDAY</v>
      </c>
      <c r="F6033" t="e">
        <f t="shared" si="223"/>
        <v>#N/A</v>
      </c>
      <c r="G6033" s="74">
        <v>29106</v>
      </c>
      <c r="H6033" s="77">
        <v>0.625</v>
      </c>
      <c r="J6033">
        <v>70.7</v>
      </c>
      <c r="M6033" s="74">
        <v>37872</v>
      </c>
      <c r="N6033" s="77">
        <v>0.625</v>
      </c>
      <c r="P6033">
        <v>71.599999999999994</v>
      </c>
      <c r="S6033" s="74">
        <v>34950</v>
      </c>
      <c r="T6033" s="77">
        <v>0.625</v>
      </c>
      <c r="V6033">
        <v>69.98</v>
      </c>
      <c r="X6033" s="42"/>
      <c r="AB6033">
        <v>76.599999999999994</v>
      </c>
      <c r="AC6033">
        <v>73.94</v>
      </c>
      <c r="AE6033" s="74"/>
      <c r="AF6033" s="77"/>
      <c r="AH6033" s="497">
        <v>69.800000000000011</v>
      </c>
      <c r="AJ6033" s="42"/>
      <c r="AK6033" s="74"/>
      <c r="AL6033" s="77"/>
      <c r="AN6033" s="497">
        <v>77</v>
      </c>
      <c r="AP6033" s="42"/>
      <c r="AQ6033" s="74"/>
      <c r="AR6033" s="77"/>
      <c r="AT6033" s="497">
        <v>66.92</v>
      </c>
      <c r="AV6033" s="42"/>
      <c r="AW6033" s="74"/>
      <c r="AX6033" s="77"/>
      <c r="BA6033" s="497">
        <v>75.02</v>
      </c>
      <c r="BB6033" s="42"/>
      <c r="BC6033" s="74"/>
      <c r="BD6033" s="77"/>
      <c r="BF6033">
        <v>73.039999999999992</v>
      </c>
      <c r="BH6033" s="42"/>
      <c r="BI6033" s="74"/>
      <c r="BJ6033" s="77"/>
      <c r="BL6033" s="497">
        <v>57.92</v>
      </c>
      <c r="BN6033" s="42"/>
      <c r="BO6033" s="74"/>
      <c r="BP6033" s="77"/>
      <c r="BR6033" s="497">
        <v>67.64</v>
      </c>
      <c r="BT6033" s="42"/>
    </row>
    <row r="6034" spans="1:72" x14ac:dyDescent="0.25">
      <c r="A6034" s="90">
        <v>34950</v>
      </c>
      <c r="B6034" s="20">
        <v>0.66666666666666663</v>
      </c>
      <c r="D6034">
        <v>80.960000000000008</v>
      </c>
      <c r="E6034" t="str">
        <f t="shared" si="222"/>
        <v>WEEKDAY</v>
      </c>
      <c r="F6034" t="e">
        <f t="shared" si="223"/>
        <v>#N/A</v>
      </c>
      <c r="G6034" s="74">
        <v>29106</v>
      </c>
      <c r="H6034" s="77">
        <v>0.66666666666666663</v>
      </c>
      <c r="J6034">
        <v>71.06</v>
      </c>
      <c r="M6034" s="74">
        <v>37872</v>
      </c>
      <c r="N6034" s="77">
        <v>0.66666666666666663</v>
      </c>
      <c r="P6034">
        <v>73.400000000000006</v>
      </c>
      <c r="S6034" s="74">
        <v>34950</v>
      </c>
      <c r="T6034" s="77">
        <v>0.66666666666666663</v>
      </c>
      <c r="V6034">
        <v>69.98</v>
      </c>
      <c r="X6034" s="42"/>
      <c r="AB6034">
        <v>76.2</v>
      </c>
      <c r="AC6034">
        <v>73.039999999999992</v>
      </c>
      <c r="AE6034" s="74"/>
      <c r="AF6034" s="77"/>
      <c r="AH6034" s="497">
        <v>69.800000000000011</v>
      </c>
      <c r="AJ6034" s="42"/>
      <c r="AK6034" s="74"/>
      <c r="AL6034" s="77"/>
      <c r="AN6034" s="497">
        <v>77</v>
      </c>
      <c r="AP6034" s="42"/>
      <c r="AQ6034" s="74"/>
      <c r="AR6034" s="77"/>
      <c r="AT6034" s="497">
        <v>68</v>
      </c>
      <c r="AV6034" s="42"/>
      <c r="AW6034" s="74"/>
      <c r="AX6034" s="77"/>
      <c r="BA6034" s="497">
        <v>73.94</v>
      </c>
      <c r="BB6034" s="42"/>
      <c r="BC6034" s="74"/>
      <c r="BD6034" s="77"/>
      <c r="BF6034">
        <v>73.039999999999992</v>
      </c>
      <c r="BH6034" s="42"/>
      <c r="BI6034" s="74"/>
      <c r="BJ6034" s="77"/>
      <c r="BL6034" s="497">
        <v>57.019999999999996</v>
      </c>
      <c r="BN6034" s="42"/>
      <c r="BO6034" s="74"/>
      <c r="BP6034" s="77"/>
      <c r="BR6034" s="497">
        <v>68</v>
      </c>
      <c r="BT6034" s="42"/>
    </row>
    <row r="6035" spans="1:72" x14ac:dyDescent="0.25">
      <c r="A6035" s="90">
        <v>34950</v>
      </c>
      <c r="B6035" s="20">
        <v>0.70833333333333337</v>
      </c>
      <c r="D6035">
        <v>78.98</v>
      </c>
      <c r="E6035" t="str">
        <f t="shared" ref="E6035:E6098" si="224">IF(COUNTIF($DI$18:$DI$22, WEEKDAY(A6035))=1, "WEEKDAY", IF(WEEKDAY(A6035) = 1, "SUNDAY", "SATURDAY"))</f>
        <v>WEEKDAY</v>
      </c>
      <c r="F6035" t="e">
        <f t="shared" si="223"/>
        <v>#N/A</v>
      </c>
      <c r="G6035" s="74">
        <v>29106</v>
      </c>
      <c r="H6035" s="77">
        <v>0.70833333333333337</v>
      </c>
      <c r="J6035">
        <v>69.98</v>
      </c>
      <c r="M6035" s="74">
        <v>37872</v>
      </c>
      <c r="N6035" s="77">
        <v>0.70833333333333337</v>
      </c>
      <c r="P6035">
        <v>71.599999999999994</v>
      </c>
      <c r="S6035" s="74">
        <v>34950</v>
      </c>
      <c r="T6035" s="77">
        <v>0.70833333333333337</v>
      </c>
      <c r="V6035">
        <v>69.98</v>
      </c>
      <c r="X6035" s="42"/>
      <c r="AB6035">
        <v>75.400000000000006</v>
      </c>
      <c r="AC6035">
        <v>73.94</v>
      </c>
      <c r="AE6035" s="74"/>
      <c r="AF6035" s="77"/>
      <c r="AH6035" s="497">
        <v>69.800000000000011</v>
      </c>
      <c r="AJ6035" s="42"/>
      <c r="AK6035" s="74"/>
      <c r="AL6035" s="77"/>
      <c r="AN6035" s="497">
        <v>74.300000000000011</v>
      </c>
      <c r="AP6035" s="42"/>
      <c r="AQ6035" s="74"/>
      <c r="AR6035" s="77"/>
      <c r="AT6035" s="497">
        <v>66.92</v>
      </c>
      <c r="AV6035" s="42"/>
      <c r="AW6035" s="74"/>
      <c r="AX6035" s="77"/>
      <c r="BA6035" s="497">
        <v>71.960000000000008</v>
      </c>
      <c r="BB6035" s="42"/>
      <c r="BC6035" s="74"/>
      <c r="BD6035" s="77"/>
      <c r="BF6035">
        <v>71.06</v>
      </c>
      <c r="BH6035" s="42"/>
      <c r="BI6035" s="74"/>
      <c r="BJ6035" s="77"/>
      <c r="BL6035" s="497">
        <v>62.06</v>
      </c>
      <c r="BN6035" s="42"/>
      <c r="BO6035" s="74"/>
      <c r="BP6035" s="77"/>
      <c r="BR6035" s="497">
        <v>63.680000000000007</v>
      </c>
      <c r="BT6035" s="42"/>
    </row>
    <row r="6036" spans="1:72" x14ac:dyDescent="0.25">
      <c r="A6036" s="90">
        <v>34950</v>
      </c>
      <c r="B6036" s="20">
        <v>0.75</v>
      </c>
      <c r="D6036">
        <v>77</v>
      </c>
      <c r="E6036" t="str">
        <f t="shared" si="224"/>
        <v>WEEKDAY</v>
      </c>
      <c r="F6036" t="e">
        <f t="shared" si="223"/>
        <v>#N/A</v>
      </c>
      <c r="G6036" s="74">
        <v>29106</v>
      </c>
      <c r="H6036" s="77">
        <v>0.75</v>
      </c>
      <c r="J6036">
        <v>69.080000000000013</v>
      </c>
      <c r="M6036" s="74">
        <v>37872</v>
      </c>
      <c r="N6036" s="77">
        <v>0.75</v>
      </c>
      <c r="P6036">
        <v>69.800000000000011</v>
      </c>
      <c r="S6036" s="74">
        <v>34950</v>
      </c>
      <c r="T6036" s="77">
        <v>0.75</v>
      </c>
      <c r="V6036">
        <v>69.080000000000013</v>
      </c>
      <c r="X6036" s="42"/>
      <c r="AB6036">
        <v>74.2</v>
      </c>
      <c r="AC6036">
        <v>73.039999999999992</v>
      </c>
      <c r="AE6036" s="74"/>
      <c r="AF6036" s="77"/>
      <c r="AH6036" s="497">
        <v>69.800000000000011</v>
      </c>
      <c r="AJ6036" s="42"/>
      <c r="AK6036" s="74"/>
      <c r="AL6036" s="77"/>
      <c r="AN6036" s="497">
        <v>71.78</v>
      </c>
      <c r="AP6036" s="42"/>
      <c r="AQ6036" s="74"/>
      <c r="AR6036" s="77"/>
      <c r="AT6036" s="497">
        <v>64.039999999999992</v>
      </c>
      <c r="AV6036" s="42"/>
      <c r="AW6036" s="74"/>
      <c r="AX6036" s="77"/>
      <c r="BA6036" s="497">
        <v>71.06</v>
      </c>
      <c r="BB6036" s="42"/>
      <c r="BC6036" s="74"/>
      <c r="BD6036" s="77"/>
      <c r="BF6036">
        <v>69.98</v>
      </c>
      <c r="BH6036" s="42"/>
      <c r="BI6036" s="74"/>
      <c r="BJ6036" s="77"/>
      <c r="BL6036" s="497">
        <v>60.08</v>
      </c>
      <c r="BN6036" s="42"/>
      <c r="BO6036" s="74"/>
      <c r="BP6036" s="77"/>
      <c r="BR6036" s="497">
        <v>59.36</v>
      </c>
      <c r="BT6036" s="42"/>
    </row>
    <row r="6037" spans="1:72" x14ac:dyDescent="0.25">
      <c r="A6037" s="90">
        <v>34950</v>
      </c>
      <c r="B6037" s="20">
        <v>0.79166666666666663</v>
      </c>
      <c r="D6037">
        <v>75.92</v>
      </c>
      <c r="E6037" t="str">
        <f t="shared" si="224"/>
        <v>WEEKDAY</v>
      </c>
      <c r="F6037" t="e">
        <f t="shared" si="223"/>
        <v>#N/A</v>
      </c>
      <c r="G6037" s="74">
        <v>29106</v>
      </c>
      <c r="H6037" s="77">
        <v>0.79166666666666663</v>
      </c>
      <c r="J6037">
        <v>68</v>
      </c>
      <c r="M6037" s="74">
        <v>37872</v>
      </c>
      <c r="N6037" s="77">
        <v>0.79166666666666663</v>
      </c>
      <c r="P6037">
        <v>64.400000000000006</v>
      </c>
      <c r="S6037" s="74">
        <v>34950</v>
      </c>
      <c r="T6037" s="77">
        <v>0.79166666666666663</v>
      </c>
      <c r="V6037">
        <v>68</v>
      </c>
      <c r="X6037" s="42"/>
      <c r="AB6037">
        <v>72.599999999999994</v>
      </c>
      <c r="AC6037">
        <v>73.039999999999992</v>
      </c>
      <c r="AE6037" s="74"/>
      <c r="AF6037" s="77"/>
      <c r="AH6037" s="497">
        <v>69.800000000000011</v>
      </c>
      <c r="AJ6037" s="42"/>
      <c r="AK6037" s="74"/>
      <c r="AL6037" s="77"/>
      <c r="AN6037" s="497">
        <v>69.080000000000013</v>
      </c>
      <c r="AP6037" s="42"/>
      <c r="AQ6037" s="74"/>
      <c r="AR6037" s="77"/>
      <c r="AT6037" s="497">
        <v>55.040000000000006</v>
      </c>
      <c r="AV6037" s="42"/>
      <c r="AW6037" s="74"/>
      <c r="AX6037" s="77"/>
      <c r="BA6037" s="497">
        <v>69.98</v>
      </c>
      <c r="BB6037" s="42"/>
      <c r="BC6037" s="74"/>
      <c r="BD6037" s="77"/>
      <c r="BF6037">
        <v>69.98</v>
      </c>
      <c r="BH6037" s="42"/>
      <c r="BI6037" s="74"/>
      <c r="BJ6037" s="77"/>
      <c r="BL6037" s="497">
        <v>53.06</v>
      </c>
      <c r="BN6037" s="42"/>
      <c r="BO6037" s="74"/>
      <c r="BP6037" s="77"/>
      <c r="BR6037" s="497">
        <v>55.040000000000006</v>
      </c>
      <c r="BT6037" s="42"/>
    </row>
    <row r="6038" spans="1:72" x14ac:dyDescent="0.25">
      <c r="A6038" s="90">
        <v>34950</v>
      </c>
      <c r="B6038" s="20">
        <v>0.83333333333333337</v>
      </c>
      <c r="D6038">
        <v>75.02</v>
      </c>
      <c r="E6038" t="str">
        <f t="shared" si="224"/>
        <v>WEEKDAY</v>
      </c>
      <c r="F6038" t="e">
        <f t="shared" si="223"/>
        <v>#N/A</v>
      </c>
      <c r="G6038" s="74">
        <v>29106</v>
      </c>
      <c r="H6038" s="77">
        <v>0.83333333333333337</v>
      </c>
      <c r="J6038">
        <v>66.92</v>
      </c>
      <c r="M6038" s="74">
        <v>37872</v>
      </c>
      <c r="N6038" s="77">
        <v>0.83333333333333337</v>
      </c>
      <c r="P6038">
        <v>62.6</v>
      </c>
      <c r="S6038" s="74">
        <v>34950</v>
      </c>
      <c r="T6038" s="77">
        <v>0.83333333333333337</v>
      </c>
      <c r="V6038">
        <v>68</v>
      </c>
      <c r="X6038" s="42"/>
      <c r="AB6038">
        <v>71.400000000000006</v>
      </c>
      <c r="AC6038">
        <v>73.039999999999992</v>
      </c>
      <c r="AE6038" s="74"/>
      <c r="AF6038" s="77"/>
      <c r="AH6038" s="497">
        <v>68</v>
      </c>
      <c r="AJ6038" s="42"/>
      <c r="AK6038" s="74"/>
      <c r="AL6038" s="77"/>
      <c r="AN6038" s="497">
        <v>67.460000000000008</v>
      </c>
      <c r="AP6038" s="42"/>
      <c r="AQ6038" s="74"/>
      <c r="AR6038" s="77"/>
      <c r="AT6038" s="497">
        <v>53.06</v>
      </c>
      <c r="AV6038" s="42"/>
      <c r="AW6038" s="74"/>
      <c r="AX6038" s="77"/>
      <c r="BA6038" s="497">
        <v>66.92</v>
      </c>
      <c r="BB6038" s="42"/>
      <c r="BC6038" s="74"/>
      <c r="BD6038" s="77"/>
      <c r="BF6038">
        <v>69.98</v>
      </c>
      <c r="BH6038" s="42"/>
      <c r="BI6038" s="74"/>
      <c r="BJ6038" s="77"/>
      <c r="BL6038" s="497">
        <v>53.96</v>
      </c>
      <c r="BN6038" s="42"/>
      <c r="BO6038" s="74"/>
      <c r="BP6038" s="77"/>
      <c r="BR6038" s="497">
        <v>52.34</v>
      </c>
      <c r="BT6038" s="42"/>
    </row>
    <row r="6039" spans="1:72" x14ac:dyDescent="0.25">
      <c r="A6039" s="90">
        <v>34950</v>
      </c>
      <c r="B6039" s="20">
        <v>0.875</v>
      </c>
      <c r="D6039">
        <v>75.02</v>
      </c>
      <c r="E6039" t="str">
        <f t="shared" si="224"/>
        <v>WEEKDAY</v>
      </c>
      <c r="F6039" t="e">
        <f t="shared" si="223"/>
        <v>#N/A</v>
      </c>
      <c r="G6039" s="74">
        <v>29106</v>
      </c>
      <c r="H6039" s="77">
        <v>0.875</v>
      </c>
      <c r="J6039">
        <v>66.02</v>
      </c>
      <c r="M6039" s="74">
        <v>37872</v>
      </c>
      <c r="N6039" s="77">
        <v>0.875</v>
      </c>
      <c r="P6039">
        <v>64.400000000000006</v>
      </c>
      <c r="S6039" s="74">
        <v>34950</v>
      </c>
      <c r="T6039" s="77">
        <v>0.875</v>
      </c>
      <c r="V6039">
        <v>68</v>
      </c>
      <c r="X6039" s="42"/>
      <c r="AB6039">
        <v>70.7</v>
      </c>
      <c r="AC6039">
        <v>71.960000000000008</v>
      </c>
      <c r="AE6039" s="74"/>
      <c r="AF6039" s="77"/>
      <c r="AH6039" s="497">
        <v>68</v>
      </c>
      <c r="AJ6039" s="42"/>
      <c r="AK6039" s="74"/>
      <c r="AL6039" s="77"/>
      <c r="AN6039" s="497">
        <v>65.66</v>
      </c>
      <c r="AP6039" s="42"/>
      <c r="AQ6039" s="74"/>
      <c r="AR6039" s="77"/>
      <c r="AT6039" s="497">
        <v>50</v>
      </c>
      <c r="AV6039" s="42"/>
      <c r="AW6039" s="74"/>
      <c r="AX6039" s="77"/>
      <c r="BA6039" s="497">
        <v>68</v>
      </c>
      <c r="BB6039" s="42"/>
      <c r="BC6039" s="74"/>
      <c r="BD6039" s="77"/>
      <c r="BF6039">
        <v>69.98</v>
      </c>
      <c r="BH6039" s="42"/>
      <c r="BI6039" s="74"/>
      <c r="BJ6039" s="77"/>
      <c r="BL6039" s="497">
        <v>55.040000000000006</v>
      </c>
      <c r="BN6039" s="42"/>
      <c r="BO6039" s="74"/>
      <c r="BP6039" s="77"/>
      <c r="BR6039" s="497">
        <v>49.64</v>
      </c>
      <c r="BT6039" s="42"/>
    </row>
    <row r="6040" spans="1:72" x14ac:dyDescent="0.25">
      <c r="A6040" s="90">
        <v>34950</v>
      </c>
      <c r="B6040" s="20">
        <v>0.91666666666666663</v>
      </c>
      <c r="D6040">
        <v>75.02</v>
      </c>
      <c r="E6040" t="str">
        <f t="shared" si="224"/>
        <v>WEEKDAY</v>
      </c>
      <c r="F6040" t="e">
        <f t="shared" si="223"/>
        <v>#N/A</v>
      </c>
      <c r="G6040" s="74">
        <v>29106</v>
      </c>
      <c r="H6040" s="77">
        <v>0.91666666666666663</v>
      </c>
      <c r="J6040">
        <v>64.94</v>
      </c>
      <c r="M6040" s="74">
        <v>37872</v>
      </c>
      <c r="N6040" s="77">
        <v>0.91666666666666663</v>
      </c>
      <c r="P6040">
        <v>62.6</v>
      </c>
      <c r="S6040" s="74">
        <v>34950</v>
      </c>
      <c r="T6040" s="77">
        <v>0.91666666666666663</v>
      </c>
      <c r="V6040">
        <v>66.92</v>
      </c>
      <c r="X6040" s="42"/>
      <c r="AB6040">
        <v>70</v>
      </c>
      <c r="AC6040">
        <v>69.98</v>
      </c>
      <c r="AE6040" s="74"/>
      <c r="AF6040" s="77"/>
      <c r="AH6040" s="497">
        <v>66.2</v>
      </c>
      <c r="AJ6040" s="42"/>
      <c r="AK6040" s="74"/>
      <c r="AL6040" s="77"/>
      <c r="AN6040" s="497">
        <v>64.039999999999992</v>
      </c>
      <c r="AP6040" s="42"/>
      <c r="AQ6040" s="74"/>
      <c r="AR6040" s="77"/>
      <c r="AT6040" s="497">
        <v>48.92</v>
      </c>
      <c r="AV6040" s="42"/>
      <c r="AW6040" s="74"/>
      <c r="AX6040" s="77"/>
      <c r="BA6040" s="497">
        <v>68</v>
      </c>
      <c r="BB6040" s="42"/>
      <c r="BC6040" s="74"/>
      <c r="BD6040" s="77"/>
      <c r="BF6040">
        <v>69.080000000000013</v>
      </c>
      <c r="BH6040" s="42"/>
      <c r="BI6040" s="74"/>
      <c r="BJ6040" s="77"/>
      <c r="BL6040" s="497">
        <v>55.94</v>
      </c>
      <c r="BN6040" s="42"/>
      <c r="BO6040" s="74"/>
      <c r="BP6040" s="77"/>
      <c r="BR6040" s="497">
        <v>46.94</v>
      </c>
      <c r="BT6040" s="42"/>
    </row>
    <row r="6041" spans="1:72" x14ac:dyDescent="0.25">
      <c r="A6041" s="90">
        <v>34950</v>
      </c>
      <c r="B6041" s="20">
        <v>0.95833333333333337</v>
      </c>
      <c r="D6041">
        <v>73.94</v>
      </c>
      <c r="E6041" t="str">
        <f t="shared" si="224"/>
        <v>WEEKDAY</v>
      </c>
      <c r="F6041" t="e">
        <f t="shared" si="223"/>
        <v>#N/A</v>
      </c>
      <c r="G6041" s="74">
        <v>29106</v>
      </c>
      <c r="H6041" s="77">
        <v>0.95833333333333337</v>
      </c>
      <c r="J6041">
        <v>63.319999999999993</v>
      </c>
      <c r="M6041" s="74">
        <v>37872</v>
      </c>
      <c r="N6041" s="77">
        <v>0.95833333333333337</v>
      </c>
      <c r="P6041">
        <v>62.6</v>
      </c>
      <c r="S6041" s="74">
        <v>34950</v>
      </c>
      <c r="T6041" s="77">
        <v>0.95833333333333337</v>
      </c>
      <c r="V6041">
        <v>66.92</v>
      </c>
      <c r="X6041" s="42"/>
      <c r="AB6041">
        <v>69.3</v>
      </c>
      <c r="AC6041">
        <v>69.98</v>
      </c>
      <c r="AE6041" s="74"/>
      <c r="AF6041" s="77"/>
      <c r="AH6041" s="497">
        <v>68</v>
      </c>
      <c r="AJ6041" s="42"/>
      <c r="AK6041" s="74"/>
      <c r="AL6041" s="77"/>
      <c r="AN6041" s="497">
        <v>62.96</v>
      </c>
      <c r="AP6041" s="42"/>
      <c r="AQ6041" s="74"/>
      <c r="AR6041" s="77"/>
      <c r="AT6041" s="497">
        <v>48.019999999999996</v>
      </c>
      <c r="AV6041" s="42"/>
      <c r="AW6041" s="74"/>
      <c r="AX6041" s="77"/>
      <c r="BA6041" s="497">
        <v>68</v>
      </c>
      <c r="BB6041" s="42"/>
      <c r="BC6041" s="74"/>
      <c r="BD6041" s="77"/>
      <c r="BF6041">
        <v>66.02</v>
      </c>
      <c r="BH6041" s="42"/>
      <c r="BI6041" s="74"/>
      <c r="BJ6041" s="77"/>
      <c r="BL6041" s="497">
        <v>55.94</v>
      </c>
      <c r="BN6041" s="42"/>
      <c r="BO6041" s="74"/>
      <c r="BP6041" s="77"/>
      <c r="BR6041" s="497">
        <v>45.68</v>
      </c>
      <c r="BT6041" s="42"/>
    </row>
    <row r="6042" spans="1:72" x14ac:dyDescent="0.25">
      <c r="A6042" s="90">
        <v>34950</v>
      </c>
      <c r="B6042" s="20">
        <v>1</v>
      </c>
      <c r="D6042">
        <v>73.039999999999992</v>
      </c>
      <c r="E6042" t="str">
        <f t="shared" si="224"/>
        <v>WEEKDAY</v>
      </c>
      <c r="F6042" t="e">
        <f t="shared" si="223"/>
        <v>#N/A</v>
      </c>
      <c r="G6042" s="74">
        <v>29106</v>
      </c>
      <c r="H6042" s="77">
        <v>1</v>
      </c>
      <c r="J6042">
        <v>61.7</v>
      </c>
      <c r="M6042" s="74">
        <v>37872</v>
      </c>
      <c r="N6042" s="80">
        <v>1</v>
      </c>
      <c r="P6042">
        <v>60.8</v>
      </c>
      <c r="S6042" s="74">
        <v>34950</v>
      </c>
      <c r="T6042" s="80">
        <v>1</v>
      </c>
      <c r="V6042">
        <v>66.92</v>
      </c>
      <c r="X6042" s="42"/>
      <c r="AB6042">
        <v>68.7</v>
      </c>
      <c r="AC6042">
        <v>71.960000000000008</v>
      </c>
      <c r="AE6042" s="74"/>
      <c r="AF6042" s="80"/>
      <c r="AH6042" s="497">
        <v>66.2</v>
      </c>
      <c r="AJ6042" s="42"/>
      <c r="AK6042" s="74"/>
      <c r="AL6042" s="80"/>
      <c r="AN6042" s="497">
        <v>62.06</v>
      </c>
      <c r="AP6042" s="42"/>
      <c r="AQ6042" s="74"/>
      <c r="AR6042" s="80"/>
      <c r="AT6042" s="497">
        <v>44.96</v>
      </c>
      <c r="AV6042" s="42"/>
      <c r="AW6042" s="74"/>
      <c r="AX6042" s="80"/>
      <c r="BA6042" s="497">
        <v>68</v>
      </c>
      <c r="BB6042" s="42"/>
      <c r="BC6042" s="74"/>
      <c r="BD6042" s="80"/>
      <c r="BF6042">
        <v>69.080000000000013</v>
      </c>
      <c r="BH6042" s="42"/>
      <c r="BI6042" s="74"/>
      <c r="BJ6042" s="80"/>
      <c r="BL6042" s="497">
        <v>55.94</v>
      </c>
      <c r="BN6042" s="42"/>
      <c r="BO6042" s="74"/>
      <c r="BP6042" s="80"/>
      <c r="BR6042" s="497">
        <v>44.24</v>
      </c>
      <c r="BT6042" s="42"/>
    </row>
    <row r="6043" spans="1:72" x14ac:dyDescent="0.25">
      <c r="A6043" s="90">
        <v>34951</v>
      </c>
      <c r="B6043" s="20">
        <v>4.1666666666666664E-2</v>
      </c>
      <c r="D6043">
        <v>73.039999999999992</v>
      </c>
      <c r="E6043" t="str">
        <f t="shared" si="224"/>
        <v>SATURDAY</v>
      </c>
      <c r="F6043" t="e">
        <f t="shared" si="223"/>
        <v>#N/A</v>
      </c>
      <c r="G6043" s="74">
        <v>29107</v>
      </c>
      <c r="H6043" s="77">
        <v>4.1666666666666664E-2</v>
      </c>
      <c r="J6043">
        <v>60.08</v>
      </c>
      <c r="M6043" s="74">
        <v>37873</v>
      </c>
      <c r="N6043" s="77">
        <v>4.1666666666666664E-2</v>
      </c>
      <c r="P6043">
        <v>60.8</v>
      </c>
      <c r="S6043" s="74">
        <v>34951</v>
      </c>
      <c r="T6043" s="77">
        <v>4.1666666666666664E-2</v>
      </c>
      <c r="V6043">
        <v>66.02</v>
      </c>
      <c r="X6043" s="42"/>
      <c r="AB6043">
        <v>68</v>
      </c>
      <c r="AC6043">
        <v>73.039999999999992</v>
      </c>
      <c r="AE6043" s="74"/>
      <c r="AF6043" s="77"/>
      <c r="AH6043" s="497">
        <v>68</v>
      </c>
      <c r="AJ6043" s="42"/>
      <c r="AK6043" s="74"/>
      <c r="AL6043" s="77"/>
      <c r="AN6043" s="497">
        <v>60.980000000000004</v>
      </c>
      <c r="AP6043" s="42"/>
      <c r="AQ6043" s="74"/>
      <c r="AR6043" s="77"/>
      <c r="AT6043" s="497">
        <v>46.04</v>
      </c>
      <c r="AV6043" s="42"/>
      <c r="AW6043" s="74"/>
      <c r="AX6043" s="77"/>
      <c r="BA6043" s="497">
        <v>68</v>
      </c>
      <c r="BB6043" s="42"/>
      <c r="BC6043" s="74"/>
      <c r="BD6043" s="77"/>
      <c r="BF6043">
        <v>68</v>
      </c>
      <c r="BH6043" s="42"/>
      <c r="BI6043" s="74"/>
      <c r="BJ6043" s="77"/>
      <c r="BL6043" s="497">
        <v>55.94</v>
      </c>
      <c r="BN6043" s="42"/>
      <c r="BO6043" s="74"/>
      <c r="BP6043" s="77"/>
      <c r="BR6043" s="497">
        <v>42.980000000000004</v>
      </c>
      <c r="BT6043" s="42"/>
    </row>
    <row r="6044" spans="1:72" x14ac:dyDescent="0.25">
      <c r="A6044" s="90">
        <v>34951</v>
      </c>
      <c r="B6044" s="20">
        <v>8.3333333333333329E-2</v>
      </c>
      <c r="D6044">
        <v>73.039999999999992</v>
      </c>
      <c r="E6044" t="str">
        <f t="shared" si="224"/>
        <v>SATURDAY</v>
      </c>
      <c r="F6044" t="e">
        <f t="shared" si="223"/>
        <v>#N/A</v>
      </c>
      <c r="G6044" s="74">
        <v>29107</v>
      </c>
      <c r="H6044" s="77">
        <v>8.3333333333333329E-2</v>
      </c>
      <c r="J6044">
        <v>58.64</v>
      </c>
      <c r="M6044" s="74">
        <v>37873</v>
      </c>
      <c r="N6044" s="77">
        <v>8.3333333333333329E-2</v>
      </c>
      <c r="P6044">
        <v>60.8</v>
      </c>
      <c r="S6044" s="74">
        <v>34951</v>
      </c>
      <c r="T6044" s="77">
        <v>8.3333333333333329E-2</v>
      </c>
      <c r="V6044">
        <v>64.94</v>
      </c>
      <c r="X6044" s="42"/>
      <c r="AB6044">
        <v>67.400000000000006</v>
      </c>
      <c r="AC6044">
        <v>73.039999999999992</v>
      </c>
      <c r="AE6044" s="74"/>
      <c r="AF6044" s="77"/>
      <c r="AH6044" s="497">
        <v>68</v>
      </c>
      <c r="AJ6044" s="42"/>
      <c r="AK6044" s="74"/>
      <c r="AL6044" s="77"/>
      <c r="AN6044" s="497">
        <v>61.34</v>
      </c>
      <c r="AP6044" s="42"/>
      <c r="AQ6044" s="74"/>
      <c r="AR6044" s="77"/>
      <c r="AT6044" s="497">
        <v>44.96</v>
      </c>
      <c r="AV6044" s="42"/>
      <c r="AW6044" s="74"/>
      <c r="AX6044" s="77"/>
      <c r="BA6044" s="497">
        <v>66.92</v>
      </c>
      <c r="BB6044" s="42"/>
      <c r="BC6044" s="74"/>
      <c r="BD6044" s="77"/>
      <c r="BF6044">
        <v>66.92</v>
      </c>
      <c r="BH6044" s="42"/>
      <c r="BI6044" s="74"/>
      <c r="BJ6044" s="77"/>
      <c r="BL6044" s="497">
        <v>55.040000000000006</v>
      </c>
      <c r="BN6044" s="42"/>
      <c r="BO6044" s="74"/>
      <c r="BP6044" s="77"/>
      <c r="BR6044" s="497">
        <v>42.26</v>
      </c>
      <c r="BT6044" s="42"/>
    </row>
    <row r="6045" spans="1:72" x14ac:dyDescent="0.25">
      <c r="A6045" s="90">
        <v>34951</v>
      </c>
      <c r="B6045" s="20">
        <v>0.125</v>
      </c>
      <c r="D6045">
        <v>73.039999999999992</v>
      </c>
      <c r="E6045" t="str">
        <f t="shared" si="224"/>
        <v>SATURDAY</v>
      </c>
      <c r="F6045" t="e">
        <f t="shared" si="223"/>
        <v>#N/A</v>
      </c>
      <c r="G6045" s="74">
        <v>29107</v>
      </c>
      <c r="H6045" s="77">
        <v>0.125</v>
      </c>
      <c r="J6045">
        <v>57.379999999999995</v>
      </c>
      <c r="M6045" s="74">
        <v>37873</v>
      </c>
      <c r="N6045" s="77">
        <v>0.125</v>
      </c>
      <c r="P6045">
        <v>60.8</v>
      </c>
      <c r="S6045" s="74">
        <v>34951</v>
      </c>
      <c r="T6045" s="77">
        <v>0.125</v>
      </c>
      <c r="V6045">
        <v>64.94</v>
      </c>
      <c r="X6045" s="42"/>
      <c r="AB6045">
        <v>66.900000000000006</v>
      </c>
      <c r="AC6045">
        <v>73.039999999999992</v>
      </c>
      <c r="AE6045" s="74"/>
      <c r="AF6045" s="77"/>
      <c r="AH6045" s="497">
        <v>66.2</v>
      </c>
      <c r="AJ6045" s="42"/>
      <c r="AK6045" s="74"/>
      <c r="AL6045" s="77"/>
      <c r="AN6045" s="497">
        <v>61.7</v>
      </c>
      <c r="AP6045" s="42"/>
      <c r="AQ6045" s="74"/>
      <c r="AR6045" s="77"/>
      <c r="AT6045" s="497">
        <v>44.06</v>
      </c>
      <c r="AV6045" s="42"/>
      <c r="AW6045" s="74"/>
      <c r="AX6045" s="77"/>
      <c r="BA6045" s="497">
        <v>68</v>
      </c>
      <c r="BB6045" s="42"/>
      <c r="BC6045" s="74"/>
      <c r="BD6045" s="77"/>
      <c r="BF6045">
        <v>64.039999999999992</v>
      </c>
      <c r="BH6045" s="42"/>
      <c r="BI6045" s="74"/>
      <c r="BJ6045" s="77"/>
      <c r="BL6045" s="497">
        <v>53.96</v>
      </c>
      <c r="BN6045" s="42"/>
      <c r="BO6045" s="74"/>
      <c r="BP6045" s="77"/>
      <c r="BR6045" s="497">
        <v>41.72</v>
      </c>
      <c r="BT6045" s="42"/>
    </row>
    <row r="6046" spans="1:72" x14ac:dyDescent="0.25">
      <c r="A6046" s="90">
        <v>34951</v>
      </c>
      <c r="B6046" s="20">
        <v>0.16666666666666666</v>
      </c>
      <c r="D6046">
        <v>73.039999999999992</v>
      </c>
      <c r="E6046" t="str">
        <f t="shared" si="224"/>
        <v>SATURDAY</v>
      </c>
      <c r="F6046" t="e">
        <f t="shared" si="223"/>
        <v>#N/A</v>
      </c>
      <c r="G6046" s="74">
        <v>29107</v>
      </c>
      <c r="H6046" s="77">
        <v>0.16666666666666666</v>
      </c>
      <c r="J6046">
        <v>55.94</v>
      </c>
      <c r="M6046" s="74">
        <v>37873</v>
      </c>
      <c r="N6046" s="77">
        <v>0.16666666666666666</v>
      </c>
      <c r="P6046">
        <v>60.8</v>
      </c>
      <c r="S6046" s="74">
        <v>34951</v>
      </c>
      <c r="T6046" s="77">
        <v>0.16666666666666666</v>
      </c>
      <c r="V6046">
        <v>64.039999999999992</v>
      </c>
      <c r="X6046" s="42"/>
      <c r="AB6046">
        <v>66.3</v>
      </c>
      <c r="AC6046">
        <v>73.039999999999992</v>
      </c>
      <c r="AE6046" s="74"/>
      <c r="AF6046" s="77"/>
      <c r="AH6046" s="497">
        <v>64.400000000000006</v>
      </c>
      <c r="AJ6046" s="42"/>
      <c r="AK6046" s="74"/>
      <c r="AL6046" s="77"/>
      <c r="AN6046" s="497">
        <v>62.06</v>
      </c>
      <c r="AP6046" s="42"/>
      <c r="AQ6046" s="74"/>
      <c r="AR6046" s="77"/>
      <c r="AT6046" s="497">
        <v>42.980000000000004</v>
      </c>
      <c r="AV6046" s="42"/>
      <c r="AW6046" s="74"/>
      <c r="AX6046" s="77"/>
      <c r="BA6046" s="497">
        <v>66.2</v>
      </c>
      <c r="BB6046" s="42"/>
      <c r="BC6046" s="74"/>
      <c r="BD6046" s="77"/>
      <c r="BF6046">
        <v>62.96</v>
      </c>
      <c r="BH6046" s="42"/>
      <c r="BI6046" s="74"/>
      <c r="BJ6046" s="77"/>
      <c r="BL6046" s="497">
        <v>53.96</v>
      </c>
      <c r="BN6046" s="42"/>
      <c r="BO6046" s="74"/>
      <c r="BP6046" s="77"/>
      <c r="BR6046" s="497">
        <v>41</v>
      </c>
      <c r="BT6046" s="42"/>
    </row>
    <row r="6047" spans="1:72" x14ac:dyDescent="0.25">
      <c r="A6047" s="90">
        <v>34951</v>
      </c>
      <c r="B6047" s="20">
        <v>0.20833333333333334</v>
      </c>
      <c r="D6047">
        <v>71.960000000000008</v>
      </c>
      <c r="E6047" t="str">
        <f t="shared" si="224"/>
        <v>SATURDAY</v>
      </c>
      <c r="F6047" t="e">
        <f t="shared" si="223"/>
        <v>#N/A</v>
      </c>
      <c r="G6047" s="74">
        <v>29107</v>
      </c>
      <c r="H6047" s="77">
        <v>0.20833333333333334</v>
      </c>
      <c r="J6047">
        <v>55.58</v>
      </c>
      <c r="M6047" s="74">
        <v>37873</v>
      </c>
      <c r="N6047" s="77">
        <v>0.20833333333333334</v>
      </c>
      <c r="P6047">
        <v>59</v>
      </c>
      <c r="S6047" s="74">
        <v>34951</v>
      </c>
      <c r="T6047" s="77">
        <v>0.20833333333333334</v>
      </c>
      <c r="V6047">
        <v>64.039999999999992</v>
      </c>
      <c r="X6047" s="42"/>
      <c r="AB6047">
        <v>65.900000000000006</v>
      </c>
      <c r="AC6047">
        <v>73.039999999999992</v>
      </c>
      <c r="AE6047" s="74"/>
      <c r="AF6047" s="77"/>
      <c r="AH6047" s="497">
        <v>64.400000000000006</v>
      </c>
      <c r="AJ6047" s="42"/>
      <c r="AK6047" s="74"/>
      <c r="AL6047" s="77"/>
      <c r="AN6047" s="497">
        <v>59.36</v>
      </c>
      <c r="AP6047" s="42"/>
      <c r="AQ6047" s="74"/>
      <c r="AR6047" s="77"/>
      <c r="AT6047" s="497">
        <v>41</v>
      </c>
      <c r="AV6047" s="42"/>
      <c r="AW6047" s="74"/>
      <c r="AX6047" s="77"/>
      <c r="BA6047" s="497">
        <v>66.92</v>
      </c>
      <c r="BB6047" s="42"/>
      <c r="BC6047" s="74"/>
      <c r="BD6047" s="77"/>
      <c r="BF6047">
        <v>62.96</v>
      </c>
      <c r="BH6047" s="42"/>
      <c r="BI6047" s="74"/>
      <c r="BJ6047" s="77"/>
      <c r="BL6047" s="497">
        <v>53.96</v>
      </c>
      <c r="BN6047" s="42"/>
      <c r="BO6047" s="74"/>
      <c r="BP6047" s="77"/>
      <c r="BR6047" s="497">
        <v>42.980000000000004</v>
      </c>
      <c r="BT6047" s="42"/>
    </row>
    <row r="6048" spans="1:72" x14ac:dyDescent="0.25">
      <c r="A6048" s="90">
        <v>34951</v>
      </c>
      <c r="B6048" s="20">
        <v>0.25</v>
      </c>
      <c r="D6048">
        <v>71.960000000000008</v>
      </c>
      <c r="E6048" t="str">
        <f t="shared" si="224"/>
        <v>SATURDAY</v>
      </c>
      <c r="F6048" t="e">
        <f t="shared" si="223"/>
        <v>#N/A</v>
      </c>
      <c r="G6048" s="74">
        <v>29107</v>
      </c>
      <c r="H6048" s="77">
        <v>0.25</v>
      </c>
      <c r="J6048">
        <v>55.400000000000006</v>
      </c>
      <c r="M6048" s="74">
        <v>37873</v>
      </c>
      <c r="N6048" s="77">
        <v>0.25</v>
      </c>
      <c r="P6048">
        <v>59</v>
      </c>
      <c r="S6048" s="74">
        <v>34951</v>
      </c>
      <c r="T6048" s="77">
        <v>0.25</v>
      </c>
      <c r="V6048">
        <v>64.039999999999992</v>
      </c>
      <c r="X6048" s="42"/>
      <c r="AB6048">
        <v>65.7</v>
      </c>
      <c r="AC6048">
        <v>73.039999999999992</v>
      </c>
      <c r="AE6048" s="74"/>
      <c r="AF6048" s="77"/>
      <c r="AH6048" s="497">
        <v>64.400000000000006</v>
      </c>
      <c r="AJ6048" s="42"/>
      <c r="AK6048" s="74"/>
      <c r="AL6048" s="77"/>
      <c r="AN6048" s="497">
        <v>56.66</v>
      </c>
      <c r="AP6048" s="42"/>
      <c r="AQ6048" s="74"/>
      <c r="AR6048" s="77"/>
      <c r="AT6048" s="497">
        <v>42.980000000000004</v>
      </c>
      <c r="AV6048" s="42"/>
      <c r="AW6048" s="74"/>
      <c r="AX6048" s="77"/>
      <c r="BA6048" s="497">
        <v>66.02</v>
      </c>
      <c r="BB6048" s="42"/>
      <c r="BC6048" s="74"/>
      <c r="BD6048" s="77"/>
      <c r="BF6048">
        <v>60.980000000000004</v>
      </c>
      <c r="BH6048" s="42"/>
      <c r="BI6048" s="74"/>
      <c r="BJ6048" s="77"/>
      <c r="BL6048" s="497">
        <v>55.400000000000006</v>
      </c>
      <c r="BN6048" s="42"/>
      <c r="BO6048" s="74"/>
      <c r="BP6048" s="77"/>
      <c r="BR6048" s="497">
        <v>44.96</v>
      </c>
      <c r="BT6048" s="42"/>
    </row>
    <row r="6049" spans="1:72" x14ac:dyDescent="0.25">
      <c r="A6049" s="90">
        <v>34951</v>
      </c>
      <c r="B6049" s="20">
        <v>0.29166666666666669</v>
      </c>
      <c r="D6049">
        <v>73.94</v>
      </c>
      <c r="E6049" t="str">
        <f t="shared" si="224"/>
        <v>SATURDAY</v>
      </c>
      <c r="F6049" t="e">
        <f t="shared" si="223"/>
        <v>#N/A</v>
      </c>
      <c r="G6049" s="74">
        <v>29107</v>
      </c>
      <c r="H6049" s="77">
        <v>0.29166666666666669</v>
      </c>
      <c r="J6049">
        <v>55.040000000000006</v>
      </c>
      <c r="M6049" s="74">
        <v>37873</v>
      </c>
      <c r="N6049" s="77">
        <v>0.29166666666666669</v>
      </c>
      <c r="P6049">
        <v>60.8</v>
      </c>
      <c r="S6049" s="74">
        <v>34951</v>
      </c>
      <c r="T6049" s="77">
        <v>0.29166666666666669</v>
      </c>
      <c r="V6049">
        <v>64.039999999999992</v>
      </c>
      <c r="X6049" s="42"/>
      <c r="AB6049">
        <v>65.599999999999994</v>
      </c>
      <c r="AC6049">
        <v>73.94</v>
      </c>
      <c r="AE6049" s="74"/>
      <c r="AF6049" s="77"/>
      <c r="AH6049" s="497">
        <v>68</v>
      </c>
      <c r="AJ6049" s="42"/>
      <c r="AK6049" s="74"/>
      <c r="AL6049" s="77"/>
      <c r="AN6049" s="497">
        <v>53.96</v>
      </c>
      <c r="AP6049" s="42"/>
      <c r="AQ6049" s="74"/>
      <c r="AR6049" s="77"/>
      <c r="AT6049" s="497">
        <v>48.92</v>
      </c>
      <c r="AV6049" s="42"/>
      <c r="AW6049" s="74"/>
      <c r="AX6049" s="77"/>
      <c r="BA6049" s="497">
        <v>66.02</v>
      </c>
      <c r="BB6049" s="42"/>
      <c r="BC6049" s="74"/>
      <c r="BD6049" s="77"/>
      <c r="BF6049">
        <v>60.980000000000004</v>
      </c>
      <c r="BH6049" s="42"/>
      <c r="BI6049" s="74"/>
      <c r="BJ6049" s="77"/>
      <c r="BL6049" s="497">
        <v>55.040000000000006</v>
      </c>
      <c r="BN6049" s="42"/>
      <c r="BO6049" s="74"/>
      <c r="BP6049" s="77"/>
      <c r="BR6049" s="497">
        <v>46.94</v>
      </c>
      <c r="BT6049" s="42"/>
    </row>
    <row r="6050" spans="1:72" x14ac:dyDescent="0.25">
      <c r="A6050" s="90">
        <v>34951</v>
      </c>
      <c r="B6050" s="20">
        <v>0.33333333333333331</v>
      </c>
      <c r="D6050">
        <v>75.02</v>
      </c>
      <c r="E6050" t="str">
        <f t="shared" si="224"/>
        <v>SATURDAY</v>
      </c>
      <c r="F6050" t="e">
        <f t="shared" si="223"/>
        <v>#N/A</v>
      </c>
      <c r="G6050" s="74">
        <v>29107</v>
      </c>
      <c r="H6050" s="77">
        <v>0.33333333333333331</v>
      </c>
      <c r="J6050">
        <v>58.1</v>
      </c>
      <c r="M6050" s="74">
        <v>37873</v>
      </c>
      <c r="N6050" s="77">
        <v>0.33333333333333331</v>
      </c>
      <c r="P6050">
        <v>63.5</v>
      </c>
      <c r="S6050" s="74">
        <v>34951</v>
      </c>
      <c r="T6050" s="77">
        <v>0.33333333333333331</v>
      </c>
      <c r="V6050">
        <v>64.94</v>
      </c>
      <c r="X6050" s="42"/>
      <c r="AB6050">
        <v>67.599999999999994</v>
      </c>
      <c r="AC6050">
        <v>73.94</v>
      </c>
      <c r="AE6050" s="74"/>
      <c r="AF6050" s="77"/>
      <c r="AH6050" s="497">
        <v>71.599999999999994</v>
      </c>
      <c r="AJ6050" s="42"/>
      <c r="AK6050" s="74"/>
      <c r="AL6050" s="77"/>
      <c r="AN6050" s="497">
        <v>57.019999999999996</v>
      </c>
      <c r="AP6050" s="42"/>
      <c r="AQ6050" s="74"/>
      <c r="AR6050" s="77"/>
      <c r="AT6050" s="497">
        <v>53.96</v>
      </c>
      <c r="AV6050" s="42"/>
      <c r="AW6050" s="74"/>
      <c r="AX6050" s="77"/>
      <c r="BA6050" s="497">
        <v>64.400000000000006</v>
      </c>
      <c r="BB6050" s="42"/>
      <c r="BC6050" s="74"/>
      <c r="BD6050" s="77"/>
      <c r="BF6050">
        <v>64.94</v>
      </c>
      <c r="BH6050" s="42"/>
      <c r="BI6050" s="74"/>
      <c r="BJ6050" s="77"/>
      <c r="BL6050" s="497">
        <v>57.92</v>
      </c>
      <c r="BN6050" s="42"/>
      <c r="BO6050" s="74"/>
      <c r="BP6050" s="77"/>
      <c r="BR6050" s="497">
        <v>53.96</v>
      </c>
      <c r="BT6050" s="42"/>
    </row>
    <row r="6051" spans="1:72" x14ac:dyDescent="0.25">
      <c r="A6051" s="90">
        <v>34951</v>
      </c>
      <c r="B6051" s="20">
        <v>0.375</v>
      </c>
      <c r="D6051">
        <v>77</v>
      </c>
      <c r="E6051" t="str">
        <f t="shared" si="224"/>
        <v>SATURDAY</v>
      </c>
      <c r="F6051" t="e">
        <f t="shared" si="223"/>
        <v>#N/A</v>
      </c>
      <c r="G6051" s="74">
        <v>29107</v>
      </c>
      <c r="H6051" s="77">
        <v>0.375</v>
      </c>
      <c r="J6051">
        <v>60.980000000000004</v>
      </c>
      <c r="M6051" s="74">
        <v>37873</v>
      </c>
      <c r="N6051" s="77">
        <v>0.375</v>
      </c>
      <c r="P6051">
        <v>65.84</v>
      </c>
      <c r="S6051" s="74">
        <v>34951</v>
      </c>
      <c r="T6051" s="77">
        <v>0.375</v>
      </c>
      <c r="V6051">
        <v>68</v>
      </c>
      <c r="X6051" s="42"/>
      <c r="AB6051">
        <v>69.900000000000006</v>
      </c>
      <c r="AC6051">
        <v>73.94</v>
      </c>
      <c r="AE6051" s="74"/>
      <c r="AF6051" s="77"/>
      <c r="AH6051" s="497">
        <v>75.2</v>
      </c>
      <c r="AJ6051" s="42"/>
      <c r="AK6051" s="74"/>
      <c r="AL6051" s="77"/>
      <c r="AN6051" s="497">
        <v>59.900000000000006</v>
      </c>
      <c r="AP6051" s="42"/>
      <c r="AQ6051" s="74"/>
      <c r="AR6051" s="77"/>
      <c r="AT6051" s="497">
        <v>60.08</v>
      </c>
      <c r="AV6051" s="42"/>
      <c r="AW6051" s="74"/>
      <c r="AX6051" s="77"/>
      <c r="BA6051" s="497">
        <v>64.94</v>
      </c>
      <c r="BB6051" s="42"/>
      <c r="BC6051" s="74"/>
      <c r="BD6051" s="77"/>
      <c r="BF6051">
        <v>66.02</v>
      </c>
      <c r="BH6051" s="42"/>
      <c r="BI6051" s="74"/>
      <c r="BJ6051" s="77"/>
      <c r="BL6051" s="497">
        <v>57.92</v>
      </c>
      <c r="BN6051" s="42"/>
      <c r="BO6051" s="74"/>
      <c r="BP6051" s="77"/>
      <c r="BR6051" s="497">
        <v>60.980000000000004</v>
      </c>
      <c r="BT6051" s="42"/>
    </row>
    <row r="6052" spans="1:72" x14ac:dyDescent="0.25">
      <c r="A6052" s="90">
        <v>34951</v>
      </c>
      <c r="B6052" s="20">
        <v>0.41666666666666669</v>
      </c>
      <c r="D6052">
        <v>78.98</v>
      </c>
      <c r="E6052" t="str">
        <f t="shared" si="224"/>
        <v>SATURDAY</v>
      </c>
      <c r="F6052" t="e">
        <f t="shared" si="223"/>
        <v>#N/A</v>
      </c>
      <c r="G6052" s="74">
        <v>29107</v>
      </c>
      <c r="H6052" s="77">
        <v>0.41666666666666669</v>
      </c>
      <c r="J6052">
        <v>64.039999999999992</v>
      </c>
      <c r="M6052" s="74">
        <v>37873</v>
      </c>
      <c r="N6052" s="77">
        <v>0.41666666666666669</v>
      </c>
      <c r="P6052">
        <v>68.180000000000007</v>
      </c>
      <c r="S6052" s="74">
        <v>34951</v>
      </c>
      <c r="T6052" s="77">
        <v>0.41666666666666669</v>
      </c>
      <c r="V6052">
        <v>71.960000000000008</v>
      </c>
      <c r="X6052" s="42"/>
      <c r="AB6052">
        <v>71.900000000000006</v>
      </c>
      <c r="AC6052">
        <v>75.92</v>
      </c>
      <c r="AE6052" s="74"/>
      <c r="AF6052" s="77"/>
      <c r="AH6052" s="497">
        <v>78.800000000000011</v>
      </c>
      <c r="AJ6052" s="42"/>
      <c r="AK6052" s="74"/>
      <c r="AL6052" s="77"/>
      <c r="AN6052" s="497">
        <v>62.96</v>
      </c>
      <c r="AP6052" s="42"/>
      <c r="AQ6052" s="74"/>
      <c r="AR6052" s="77"/>
      <c r="AT6052" s="497">
        <v>62.96</v>
      </c>
      <c r="AV6052" s="42"/>
      <c r="AW6052" s="74"/>
      <c r="AX6052" s="77"/>
      <c r="BA6052" s="497">
        <v>66.02</v>
      </c>
      <c r="BB6052" s="42"/>
      <c r="BC6052" s="74"/>
      <c r="BD6052" s="77"/>
      <c r="BF6052">
        <v>69.98</v>
      </c>
      <c r="BH6052" s="42"/>
      <c r="BI6052" s="74"/>
      <c r="BJ6052" s="77"/>
      <c r="BL6052" s="497">
        <v>59</v>
      </c>
      <c r="BN6052" s="42"/>
      <c r="BO6052" s="74"/>
      <c r="BP6052" s="77"/>
      <c r="BR6052" s="497">
        <v>68</v>
      </c>
      <c r="BT6052" s="42"/>
    </row>
    <row r="6053" spans="1:72" x14ac:dyDescent="0.25">
      <c r="A6053" s="90">
        <v>34951</v>
      </c>
      <c r="B6053" s="20">
        <v>0.45833333333333331</v>
      </c>
      <c r="D6053">
        <v>80.960000000000008</v>
      </c>
      <c r="E6053" t="str">
        <f t="shared" si="224"/>
        <v>SATURDAY</v>
      </c>
      <c r="F6053" t="e">
        <f t="shared" si="223"/>
        <v>#N/A</v>
      </c>
      <c r="G6053" s="74">
        <v>29107</v>
      </c>
      <c r="H6053" s="77">
        <v>0.45833333333333331</v>
      </c>
      <c r="J6053">
        <v>65.66</v>
      </c>
      <c r="M6053" s="74">
        <v>37873</v>
      </c>
      <c r="N6053" s="77">
        <v>0.45833333333333331</v>
      </c>
      <c r="P6053">
        <v>69.800000000000011</v>
      </c>
      <c r="S6053" s="74">
        <v>34951</v>
      </c>
      <c r="T6053" s="77">
        <v>0.45833333333333331</v>
      </c>
      <c r="V6053">
        <v>73.94</v>
      </c>
      <c r="X6053" s="42"/>
      <c r="AB6053">
        <v>73.7</v>
      </c>
      <c r="AC6053">
        <v>78.98</v>
      </c>
      <c r="AE6053" s="74"/>
      <c r="AF6053" s="77"/>
      <c r="AH6053" s="497">
        <v>80.599999999999994</v>
      </c>
      <c r="AJ6053" s="42"/>
      <c r="AK6053" s="74"/>
      <c r="AL6053" s="77"/>
      <c r="AN6053" s="497">
        <v>66.56</v>
      </c>
      <c r="AP6053" s="42"/>
      <c r="AQ6053" s="74"/>
      <c r="AR6053" s="77"/>
      <c r="AT6053" s="497">
        <v>66.02</v>
      </c>
      <c r="AV6053" s="42"/>
      <c r="AW6053" s="74"/>
      <c r="AX6053" s="77"/>
      <c r="BA6053" s="497">
        <v>66.92</v>
      </c>
      <c r="BB6053" s="42"/>
      <c r="BC6053" s="74"/>
      <c r="BD6053" s="77"/>
      <c r="BF6053">
        <v>69.98</v>
      </c>
      <c r="BH6053" s="42"/>
      <c r="BI6053" s="74"/>
      <c r="BJ6053" s="77"/>
      <c r="BL6053" s="497">
        <v>59</v>
      </c>
      <c r="BN6053" s="42"/>
      <c r="BO6053" s="74"/>
      <c r="BP6053" s="77"/>
      <c r="BR6053" s="497">
        <v>69.62</v>
      </c>
      <c r="BT6053" s="42"/>
    </row>
    <row r="6054" spans="1:72" x14ac:dyDescent="0.25">
      <c r="A6054" s="90">
        <v>34951</v>
      </c>
      <c r="B6054" s="20">
        <v>0.5</v>
      </c>
      <c r="D6054">
        <v>82.039999999999992</v>
      </c>
      <c r="E6054" t="str">
        <f t="shared" si="224"/>
        <v>SATURDAY</v>
      </c>
      <c r="F6054" t="e">
        <f t="shared" si="223"/>
        <v>#N/A</v>
      </c>
      <c r="G6054" s="74">
        <v>29107</v>
      </c>
      <c r="H6054" s="77">
        <v>0.5</v>
      </c>
      <c r="J6054">
        <v>67.460000000000008</v>
      </c>
      <c r="M6054" s="74">
        <v>37873</v>
      </c>
      <c r="N6054" s="77">
        <v>0.5</v>
      </c>
      <c r="P6054">
        <v>69.800000000000011</v>
      </c>
      <c r="S6054" s="74">
        <v>34951</v>
      </c>
      <c r="T6054" s="77">
        <v>0.5</v>
      </c>
      <c r="V6054">
        <v>73.94</v>
      </c>
      <c r="X6054" s="42"/>
      <c r="AB6054">
        <v>75</v>
      </c>
      <c r="AC6054">
        <v>80.06</v>
      </c>
      <c r="AE6054" s="74"/>
      <c r="AF6054" s="77"/>
      <c r="AH6054" s="497">
        <v>80.599999999999994</v>
      </c>
      <c r="AJ6054" s="42"/>
      <c r="AK6054" s="74"/>
      <c r="AL6054" s="77"/>
      <c r="AN6054" s="497">
        <v>70.34</v>
      </c>
      <c r="AP6054" s="42"/>
      <c r="AQ6054" s="74"/>
      <c r="AR6054" s="77"/>
      <c r="AT6054" s="497">
        <v>68</v>
      </c>
      <c r="AV6054" s="42"/>
      <c r="AW6054" s="74"/>
      <c r="AX6054" s="77"/>
      <c r="BA6054" s="497">
        <v>68</v>
      </c>
      <c r="BB6054" s="42"/>
      <c r="BC6054" s="74"/>
      <c r="BD6054" s="77"/>
      <c r="BF6054">
        <v>71.960000000000008</v>
      </c>
      <c r="BH6054" s="42"/>
      <c r="BI6054" s="74"/>
      <c r="BJ6054" s="77"/>
      <c r="BL6054" s="497">
        <v>59</v>
      </c>
      <c r="BN6054" s="42"/>
      <c r="BO6054" s="74"/>
      <c r="BP6054" s="77"/>
      <c r="BR6054" s="497">
        <v>71.42</v>
      </c>
      <c r="BT6054" s="42"/>
    </row>
    <row r="6055" spans="1:72" x14ac:dyDescent="0.25">
      <c r="A6055" s="90">
        <v>34951</v>
      </c>
      <c r="B6055" s="20">
        <v>0.54166666666666663</v>
      </c>
      <c r="D6055">
        <v>82.039999999999992</v>
      </c>
      <c r="E6055" t="str">
        <f t="shared" si="224"/>
        <v>SATURDAY</v>
      </c>
      <c r="F6055" t="e">
        <f t="shared" si="223"/>
        <v>#N/A</v>
      </c>
      <c r="G6055" s="74">
        <v>29107</v>
      </c>
      <c r="H6055" s="77">
        <v>0.54166666666666663</v>
      </c>
      <c r="J6055">
        <v>69.080000000000013</v>
      </c>
      <c r="M6055" s="74">
        <v>37873</v>
      </c>
      <c r="N6055" s="77">
        <v>0.54166666666666663</v>
      </c>
      <c r="P6055">
        <v>69.800000000000011</v>
      </c>
      <c r="S6055" s="74">
        <v>34951</v>
      </c>
      <c r="T6055" s="77">
        <v>0.54166666666666663</v>
      </c>
      <c r="V6055">
        <v>75.02</v>
      </c>
      <c r="X6055" s="42"/>
      <c r="AB6055">
        <v>75.8</v>
      </c>
      <c r="AC6055">
        <v>78.98</v>
      </c>
      <c r="AE6055" s="74"/>
      <c r="AF6055" s="77"/>
      <c r="AH6055" s="497">
        <v>82.4</v>
      </c>
      <c r="AJ6055" s="42"/>
      <c r="AK6055" s="74"/>
      <c r="AL6055" s="77"/>
      <c r="AN6055" s="497">
        <v>73.94</v>
      </c>
      <c r="AP6055" s="42"/>
      <c r="AQ6055" s="74"/>
      <c r="AR6055" s="77"/>
      <c r="AT6055" s="497">
        <v>68</v>
      </c>
      <c r="AV6055" s="42"/>
      <c r="AW6055" s="74"/>
      <c r="AX6055" s="77"/>
      <c r="BA6055" s="497">
        <v>69.98</v>
      </c>
      <c r="BB6055" s="42"/>
      <c r="BC6055" s="74"/>
      <c r="BD6055" s="77"/>
      <c r="BF6055">
        <v>69.98</v>
      </c>
      <c r="BH6055" s="42"/>
      <c r="BI6055" s="74"/>
      <c r="BJ6055" s="77"/>
      <c r="BL6055" s="497">
        <v>59</v>
      </c>
      <c r="BN6055" s="42"/>
      <c r="BO6055" s="74"/>
      <c r="BP6055" s="77"/>
      <c r="BR6055" s="497">
        <v>73.039999999999992</v>
      </c>
      <c r="BT6055" s="42"/>
    </row>
    <row r="6056" spans="1:72" x14ac:dyDescent="0.25">
      <c r="A6056" s="90">
        <v>34951</v>
      </c>
      <c r="B6056" s="20">
        <v>0.58333333333333337</v>
      </c>
      <c r="D6056">
        <v>80.960000000000008</v>
      </c>
      <c r="E6056" t="str">
        <f t="shared" si="224"/>
        <v>SATURDAY</v>
      </c>
      <c r="F6056" t="e">
        <f t="shared" si="223"/>
        <v>#N/A</v>
      </c>
      <c r="G6056" s="74">
        <v>29107</v>
      </c>
      <c r="H6056" s="77">
        <v>0.58333333333333337</v>
      </c>
      <c r="J6056">
        <v>69.800000000000011</v>
      </c>
      <c r="M6056" s="74">
        <v>37873</v>
      </c>
      <c r="N6056" s="77">
        <v>0.58333333333333337</v>
      </c>
      <c r="P6056">
        <v>68</v>
      </c>
      <c r="S6056" s="74">
        <v>34951</v>
      </c>
      <c r="T6056" s="77">
        <v>0.58333333333333337</v>
      </c>
      <c r="V6056">
        <v>75.02</v>
      </c>
      <c r="X6056" s="42"/>
      <c r="AB6056">
        <v>76.3</v>
      </c>
      <c r="AC6056">
        <v>78.080000000000013</v>
      </c>
      <c r="AE6056" s="74"/>
      <c r="AF6056" s="77"/>
      <c r="AH6056" s="497">
        <v>84.2</v>
      </c>
      <c r="AJ6056" s="42"/>
      <c r="AK6056" s="74"/>
      <c r="AL6056" s="77"/>
      <c r="AN6056" s="497">
        <v>74.66</v>
      </c>
      <c r="AP6056" s="42"/>
      <c r="AQ6056" s="74"/>
      <c r="AR6056" s="77"/>
      <c r="AT6056" s="497">
        <v>64.94</v>
      </c>
      <c r="AV6056" s="42"/>
      <c r="AW6056" s="74"/>
      <c r="AX6056" s="77"/>
      <c r="BA6056" s="497">
        <v>73.039999999999992</v>
      </c>
      <c r="BB6056" s="42"/>
      <c r="BC6056" s="74"/>
      <c r="BD6056" s="77"/>
      <c r="BF6056">
        <v>73.039999999999992</v>
      </c>
      <c r="BH6056" s="42"/>
      <c r="BI6056" s="74"/>
      <c r="BJ6056" s="77"/>
      <c r="BL6056" s="497">
        <v>60.08</v>
      </c>
      <c r="BN6056" s="42"/>
      <c r="BO6056" s="74"/>
      <c r="BP6056" s="77"/>
      <c r="BR6056" s="497">
        <v>71.960000000000008</v>
      </c>
      <c r="BT6056" s="42"/>
    </row>
    <row r="6057" spans="1:72" x14ac:dyDescent="0.25">
      <c r="A6057" s="90">
        <v>34951</v>
      </c>
      <c r="B6057" s="20">
        <v>0.625</v>
      </c>
      <c r="D6057">
        <v>80.960000000000008</v>
      </c>
      <c r="E6057" t="str">
        <f t="shared" si="224"/>
        <v>SATURDAY</v>
      </c>
      <c r="F6057" t="e">
        <f t="shared" si="223"/>
        <v>#N/A</v>
      </c>
      <c r="G6057" s="74">
        <v>29107</v>
      </c>
      <c r="H6057" s="77">
        <v>0.625</v>
      </c>
      <c r="J6057">
        <v>70.34</v>
      </c>
      <c r="M6057" s="74">
        <v>37873</v>
      </c>
      <c r="N6057" s="77">
        <v>0.625</v>
      </c>
      <c r="P6057">
        <v>68.36</v>
      </c>
      <c r="S6057" s="74">
        <v>34951</v>
      </c>
      <c r="T6057" s="77">
        <v>0.625</v>
      </c>
      <c r="V6057">
        <v>73.94</v>
      </c>
      <c r="X6057" s="42"/>
      <c r="AB6057">
        <v>76.3</v>
      </c>
      <c r="AC6057">
        <v>77</v>
      </c>
      <c r="AE6057" s="74"/>
      <c r="AF6057" s="77"/>
      <c r="AH6057" s="497">
        <v>84.2</v>
      </c>
      <c r="AJ6057" s="42"/>
      <c r="AK6057" s="74"/>
      <c r="AL6057" s="77"/>
      <c r="AN6057" s="497">
        <v>75.2</v>
      </c>
      <c r="AP6057" s="42"/>
      <c r="AQ6057" s="74"/>
      <c r="AR6057" s="77"/>
      <c r="AT6057" s="497">
        <v>60.980000000000004</v>
      </c>
      <c r="AV6057" s="42"/>
      <c r="AW6057" s="74"/>
      <c r="AX6057" s="77"/>
      <c r="BA6057" s="497">
        <v>75.02</v>
      </c>
      <c r="BB6057" s="42"/>
      <c r="BC6057" s="74"/>
      <c r="BD6057" s="77"/>
      <c r="BF6057">
        <v>69.080000000000013</v>
      </c>
      <c r="BH6057" s="42"/>
      <c r="BI6057" s="74"/>
      <c r="BJ6057" s="77"/>
      <c r="BL6057" s="497">
        <v>57.92</v>
      </c>
      <c r="BN6057" s="42"/>
      <c r="BO6057" s="74"/>
      <c r="BP6057" s="77"/>
      <c r="BR6057" s="497">
        <v>71.06</v>
      </c>
      <c r="BT6057" s="42"/>
    </row>
    <row r="6058" spans="1:72" x14ac:dyDescent="0.25">
      <c r="A6058" s="90">
        <v>34951</v>
      </c>
      <c r="B6058" s="20">
        <v>0.66666666666666663</v>
      </c>
      <c r="D6058">
        <v>80.06</v>
      </c>
      <c r="E6058" t="str">
        <f t="shared" si="224"/>
        <v>SATURDAY</v>
      </c>
      <c r="F6058" t="e">
        <f t="shared" si="223"/>
        <v>#N/A</v>
      </c>
      <c r="G6058" s="74">
        <v>29107</v>
      </c>
      <c r="H6058" s="77">
        <v>0.66666666666666663</v>
      </c>
      <c r="J6058">
        <v>71.06</v>
      </c>
      <c r="M6058" s="74">
        <v>37873</v>
      </c>
      <c r="N6058" s="77">
        <v>0.66666666666666663</v>
      </c>
      <c r="P6058">
        <v>68</v>
      </c>
      <c r="S6058" s="74">
        <v>34951</v>
      </c>
      <c r="T6058" s="77">
        <v>0.66666666666666663</v>
      </c>
      <c r="V6058">
        <v>73.039999999999992</v>
      </c>
      <c r="X6058" s="42"/>
      <c r="AB6058">
        <v>75.900000000000006</v>
      </c>
      <c r="AC6058">
        <v>78.080000000000013</v>
      </c>
      <c r="AE6058" s="74"/>
      <c r="AF6058" s="77"/>
      <c r="AH6058" s="497">
        <v>82.4</v>
      </c>
      <c r="AJ6058" s="42"/>
      <c r="AK6058" s="74"/>
      <c r="AL6058" s="77"/>
      <c r="AN6058" s="497">
        <v>75.92</v>
      </c>
      <c r="AP6058" s="42"/>
      <c r="AQ6058" s="74"/>
      <c r="AR6058" s="77"/>
      <c r="AT6058" s="497">
        <v>57.92</v>
      </c>
      <c r="AV6058" s="42"/>
      <c r="AW6058" s="74"/>
      <c r="AX6058" s="77"/>
      <c r="BA6058" s="497">
        <v>75.92</v>
      </c>
      <c r="BB6058" s="42"/>
      <c r="BC6058" s="74"/>
      <c r="BD6058" s="77"/>
      <c r="BF6058">
        <v>69.98</v>
      </c>
      <c r="BH6058" s="42"/>
      <c r="BI6058" s="74"/>
      <c r="BJ6058" s="77"/>
      <c r="BL6058" s="497">
        <v>60.980000000000004</v>
      </c>
      <c r="BN6058" s="42"/>
      <c r="BO6058" s="74"/>
      <c r="BP6058" s="77"/>
      <c r="BR6058" s="497">
        <v>69.98</v>
      </c>
      <c r="BT6058" s="42"/>
    </row>
    <row r="6059" spans="1:72" x14ac:dyDescent="0.25">
      <c r="A6059" s="90">
        <v>34951</v>
      </c>
      <c r="B6059" s="20">
        <v>0.70833333333333337</v>
      </c>
      <c r="D6059">
        <v>78.98</v>
      </c>
      <c r="E6059" t="str">
        <f t="shared" si="224"/>
        <v>SATURDAY</v>
      </c>
      <c r="F6059" t="e">
        <f t="shared" ref="F6059:F6122" si="225">IF(E6059="WEEKDAY",VLOOKUP(B6059,$DD$19:$DG$42,2),IF(E6059="SATURDAY",VLOOKUP(B6059,$DD$19:$DG$42,3),VLOOKUP(B6059,$DD$19:$DG$42,4)))</f>
        <v>#N/A</v>
      </c>
      <c r="G6059" s="74">
        <v>29107</v>
      </c>
      <c r="H6059" s="77">
        <v>0.70833333333333337</v>
      </c>
      <c r="J6059">
        <v>69.62</v>
      </c>
      <c r="M6059" s="74">
        <v>37873</v>
      </c>
      <c r="N6059" s="77">
        <v>0.70833333333333337</v>
      </c>
      <c r="P6059">
        <v>66.2</v>
      </c>
      <c r="S6059" s="74">
        <v>34951</v>
      </c>
      <c r="T6059" s="77">
        <v>0.70833333333333337</v>
      </c>
      <c r="V6059">
        <v>71.960000000000008</v>
      </c>
      <c r="X6059" s="42"/>
      <c r="AB6059">
        <v>75.099999999999994</v>
      </c>
      <c r="AC6059">
        <v>75.92</v>
      </c>
      <c r="AE6059" s="74"/>
      <c r="AF6059" s="77"/>
      <c r="AH6059" s="497">
        <v>82.4</v>
      </c>
      <c r="AJ6059" s="42"/>
      <c r="AK6059" s="74"/>
      <c r="AL6059" s="77"/>
      <c r="AN6059" s="497">
        <v>73.94</v>
      </c>
      <c r="AP6059" s="42"/>
      <c r="AQ6059" s="74"/>
      <c r="AR6059" s="77"/>
      <c r="AT6059" s="497">
        <v>55.040000000000006</v>
      </c>
      <c r="AV6059" s="42"/>
      <c r="AW6059" s="74"/>
      <c r="AX6059" s="77"/>
      <c r="BA6059" s="497">
        <v>75.02</v>
      </c>
      <c r="BB6059" s="42"/>
      <c r="BC6059" s="74"/>
      <c r="BD6059" s="77"/>
      <c r="BF6059">
        <v>69.080000000000013</v>
      </c>
      <c r="BH6059" s="42"/>
      <c r="BI6059" s="74"/>
      <c r="BJ6059" s="77"/>
      <c r="BL6059" s="497">
        <v>60.08</v>
      </c>
      <c r="BN6059" s="42"/>
      <c r="BO6059" s="74"/>
      <c r="BP6059" s="77"/>
      <c r="BR6059" s="497">
        <v>68</v>
      </c>
      <c r="BT6059" s="42"/>
    </row>
    <row r="6060" spans="1:72" x14ac:dyDescent="0.25">
      <c r="A6060" s="90">
        <v>34951</v>
      </c>
      <c r="B6060" s="20">
        <v>0.75</v>
      </c>
      <c r="D6060">
        <v>77</v>
      </c>
      <c r="E6060" t="str">
        <f t="shared" si="224"/>
        <v>SATURDAY</v>
      </c>
      <c r="F6060" t="e">
        <f t="shared" si="225"/>
        <v>#N/A</v>
      </c>
      <c r="G6060" s="74">
        <v>29107</v>
      </c>
      <c r="H6060" s="77">
        <v>0.75</v>
      </c>
      <c r="J6060">
        <v>68.36</v>
      </c>
      <c r="M6060" s="74">
        <v>37873</v>
      </c>
      <c r="N6060" s="77">
        <v>0.75</v>
      </c>
      <c r="P6060">
        <v>64.400000000000006</v>
      </c>
      <c r="S6060" s="74">
        <v>34951</v>
      </c>
      <c r="T6060" s="77">
        <v>0.75</v>
      </c>
      <c r="V6060">
        <v>71.06</v>
      </c>
      <c r="X6060" s="42"/>
      <c r="AB6060">
        <v>73.8</v>
      </c>
      <c r="AC6060">
        <v>73.94</v>
      </c>
      <c r="AE6060" s="74"/>
      <c r="AF6060" s="77"/>
      <c r="AH6060" s="497">
        <v>78.800000000000011</v>
      </c>
      <c r="AJ6060" s="42"/>
      <c r="AK6060" s="74"/>
      <c r="AL6060" s="77"/>
      <c r="AN6060" s="497">
        <v>71.960000000000008</v>
      </c>
      <c r="AP6060" s="42"/>
      <c r="AQ6060" s="74"/>
      <c r="AR6060" s="77"/>
      <c r="AT6060" s="497">
        <v>55.040000000000006</v>
      </c>
      <c r="AV6060" s="42"/>
      <c r="AW6060" s="74"/>
      <c r="AX6060" s="77"/>
      <c r="BA6060" s="497">
        <v>73.039999999999992</v>
      </c>
      <c r="BB6060" s="42"/>
      <c r="BC6060" s="74"/>
      <c r="BD6060" s="77"/>
      <c r="BF6060">
        <v>64.94</v>
      </c>
      <c r="BH6060" s="42"/>
      <c r="BI6060" s="74"/>
      <c r="BJ6060" s="77"/>
      <c r="BL6060" s="497">
        <v>59</v>
      </c>
      <c r="BN6060" s="42"/>
      <c r="BO6060" s="74"/>
      <c r="BP6060" s="77"/>
      <c r="BR6060" s="497">
        <v>66.02</v>
      </c>
      <c r="BT6060" s="42"/>
    </row>
    <row r="6061" spans="1:72" x14ac:dyDescent="0.25">
      <c r="A6061" s="90">
        <v>34951</v>
      </c>
      <c r="B6061" s="20">
        <v>0.79166666666666663</v>
      </c>
      <c r="D6061">
        <v>75.92</v>
      </c>
      <c r="E6061" t="str">
        <f t="shared" si="224"/>
        <v>SATURDAY</v>
      </c>
      <c r="F6061" t="e">
        <f t="shared" si="225"/>
        <v>#N/A</v>
      </c>
      <c r="G6061" s="74">
        <v>29107</v>
      </c>
      <c r="H6061" s="77">
        <v>0.79166666666666663</v>
      </c>
      <c r="J6061">
        <v>66.92</v>
      </c>
      <c r="M6061" s="74">
        <v>37873</v>
      </c>
      <c r="N6061" s="77">
        <v>0.79166666666666663</v>
      </c>
      <c r="P6061">
        <v>62.6</v>
      </c>
      <c r="S6061" s="74">
        <v>34951</v>
      </c>
      <c r="T6061" s="77">
        <v>0.79166666666666663</v>
      </c>
      <c r="V6061">
        <v>69.98</v>
      </c>
      <c r="X6061" s="42"/>
      <c r="AB6061">
        <v>72.3</v>
      </c>
      <c r="AC6061">
        <v>73.94</v>
      </c>
      <c r="AE6061" s="74"/>
      <c r="AF6061" s="77"/>
      <c r="AH6061" s="497">
        <v>71.599999999999994</v>
      </c>
      <c r="AJ6061" s="42"/>
      <c r="AK6061" s="74"/>
      <c r="AL6061" s="77"/>
      <c r="AN6061" s="497">
        <v>69.98</v>
      </c>
      <c r="AP6061" s="42"/>
      <c r="AQ6061" s="74"/>
      <c r="AR6061" s="77"/>
      <c r="AT6061" s="497">
        <v>55.040000000000006</v>
      </c>
      <c r="AV6061" s="42"/>
      <c r="AW6061" s="74"/>
      <c r="AX6061" s="77"/>
      <c r="BA6061" s="497">
        <v>66.92</v>
      </c>
      <c r="BB6061" s="42"/>
      <c r="BC6061" s="74"/>
      <c r="BD6061" s="77"/>
      <c r="BF6061">
        <v>62.06</v>
      </c>
      <c r="BH6061" s="42"/>
      <c r="BI6061" s="74"/>
      <c r="BJ6061" s="77"/>
      <c r="BL6061" s="497">
        <v>57.019999999999996</v>
      </c>
      <c r="BN6061" s="42"/>
      <c r="BO6061" s="74"/>
      <c r="BP6061" s="77"/>
      <c r="BR6061" s="497">
        <v>64.039999999999992</v>
      </c>
      <c r="BT6061" s="42"/>
    </row>
    <row r="6062" spans="1:72" x14ac:dyDescent="0.25">
      <c r="A6062" s="90">
        <v>34951</v>
      </c>
      <c r="B6062" s="20">
        <v>0.83333333333333337</v>
      </c>
      <c r="D6062">
        <v>75.92</v>
      </c>
      <c r="E6062" t="str">
        <f t="shared" si="224"/>
        <v>SATURDAY</v>
      </c>
      <c r="F6062" t="e">
        <f t="shared" si="225"/>
        <v>#N/A</v>
      </c>
      <c r="G6062" s="74">
        <v>29107</v>
      </c>
      <c r="H6062" s="77">
        <v>0.83333333333333337</v>
      </c>
      <c r="J6062">
        <v>66.2</v>
      </c>
      <c r="M6062" s="74">
        <v>37873</v>
      </c>
      <c r="N6062" s="77">
        <v>0.83333333333333337</v>
      </c>
      <c r="P6062">
        <v>62.6</v>
      </c>
      <c r="S6062" s="74">
        <v>34951</v>
      </c>
      <c r="T6062" s="77">
        <v>0.83333333333333337</v>
      </c>
      <c r="V6062">
        <v>69.98</v>
      </c>
      <c r="X6062" s="42"/>
      <c r="AB6062">
        <v>71.099999999999994</v>
      </c>
      <c r="AC6062">
        <v>73.94</v>
      </c>
      <c r="AE6062" s="74"/>
      <c r="AF6062" s="77"/>
      <c r="AH6062" s="497">
        <v>69.800000000000011</v>
      </c>
      <c r="AJ6062" s="42"/>
      <c r="AK6062" s="74"/>
      <c r="AL6062" s="77"/>
      <c r="AN6062" s="497">
        <v>68.72</v>
      </c>
      <c r="AP6062" s="42"/>
      <c r="AQ6062" s="74"/>
      <c r="AR6062" s="77"/>
      <c r="AT6062" s="497">
        <v>55.94</v>
      </c>
      <c r="AV6062" s="42"/>
      <c r="AW6062" s="74"/>
      <c r="AX6062" s="77"/>
      <c r="BA6062" s="497">
        <v>64.039999999999992</v>
      </c>
      <c r="BB6062" s="42"/>
      <c r="BC6062" s="74"/>
      <c r="BD6062" s="77"/>
      <c r="BF6062">
        <v>59</v>
      </c>
      <c r="BH6062" s="42"/>
      <c r="BI6062" s="74"/>
      <c r="BJ6062" s="77"/>
      <c r="BL6062" s="497">
        <v>55.94</v>
      </c>
      <c r="BN6062" s="42"/>
      <c r="BO6062" s="74"/>
      <c r="BP6062" s="77"/>
      <c r="BR6062" s="497">
        <v>62.42</v>
      </c>
      <c r="BT6062" s="42"/>
    </row>
    <row r="6063" spans="1:72" x14ac:dyDescent="0.25">
      <c r="A6063" s="90">
        <v>34951</v>
      </c>
      <c r="B6063" s="20">
        <v>0.875</v>
      </c>
      <c r="D6063">
        <v>75.02</v>
      </c>
      <c r="E6063" t="str">
        <f t="shared" si="224"/>
        <v>SATURDAY</v>
      </c>
      <c r="F6063" t="e">
        <f t="shared" si="225"/>
        <v>#N/A</v>
      </c>
      <c r="G6063" s="74">
        <v>29107</v>
      </c>
      <c r="H6063" s="77">
        <v>0.875</v>
      </c>
      <c r="J6063">
        <v>65.66</v>
      </c>
      <c r="M6063" s="74">
        <v>37873</v>
      </c>
      <c r="N6063" s="77">
        <v>0.875</v>
      </c>
      <c r="P6063">
        <v>60.8</v>
      </c>
      <c r="S6063" s="74">
        <v>34951</v>
      </c>
      <c r="T6063" s="77">
        <v>0.875</v>
      </c>
      <c r="V6063">
        <v>69.080000000000013</v>
      </c>
      <c r="X6063" s="42"/>
      <c r="AB6063">
        <v>70.400000000000006</v>
      </c>
      <c r="AC6063">
        <v>73.94</v>
      </c>
      <c r="AE6063" s="74"/>
      <c r="AF6063" s="77"/>
      <c r="AH6063" s="497">
        <v>69.800000000000011</v>
      </c>
      <c r="AJ6063" s="42"/>
      <c r="AK6063" s="74"/>
      <c r="AL6063" s="77"/>
      <c r="AN6063" s="497">
        <v>67.28</v>
      </c>
      <c r="AP6063" s="42"/>
      <c r="AQ6063" s="74"/>
      <c r="AR6063" s="77"/>
      <c r="AT6063" s="497">
        <v>55.94</v>
      </c>
      <c r="AV6063" s="42"/>
      <c r="AW6063" s="74"/>
      <c r="AX6063" s="77"/>
      <c r="BA6063" s="497">
        <v>60.980000000000004</v>
      </c>
      <c r="BB6063" s="42"/>
      <c r="BC6063" s="74"/>
      <c r="BD6063" s="77"/>
      <c r="BF6063">
        <v>57.019999999999996</v>
      </c>
      <c r="BH6063" s="42"/>
      <c r="BI6063" s="74"/>
      <c r="BJ6063" s="77"/>
      <c r="BL6063" s="497">
        <v>57.019999999999996</v>
      </c>
      <c r="BN6063" s="42"/>
      <c r="BO6063" s="74"/>
      <c r="BP6063" s="77"/>
      <c r="BR6063" s="497">
        <v>60.620000000000005</v>
      </c>
      <c r="BT6063" s="42"/>
    </row>
    <row r="6064" spans="1:72" x14ac:dyDescent="0.25">
      <c r="A6064" s="90">
        <v>34951</v>
      </c>
      <c r="B6064" s="20">
        <v>0.91666666666666663</v>
      </c>
      <c r="D6064">
        <v>75.92</v>
      </c>
      <c r="E6064" t="str">
        <f t="shared" si="224"/>
        <v>SATURDAY</v>
      </c>
      <c r="F6064" t="e">
        <f t="shared" si="225"/>
        <v>#N/A</v>
      </c>
      <c r="G6064" s="74">
        <v>29107</v>
      </c>
      <c r="H6064" s="77">
        <v>0.91666666666666663</v>
      </c>
      <c r="J6064">
        <v>64.94</v>
      </c>
      <c r="M6064" s="74">
        <v>37873</v>
      </c>
      <c r="N6064" s="77">
        <v>0.91666666666666663</v>
      </c>
      <c r="P6064">
        <v>60.8</v>
      </c>
      <c r="S6064" s="74">
        <v>34951</v>
      </c>
      <c r="T6064" s="77">
        <v>0.91666666666666663</v>
      </c>
      <c r="V6064">
        <v>69.98</v>
      </c>
      <c r="X6064" s="42"/>
      <c r="AB6064">
        <v>69.8</v>
      </c>
      <c r="AC6064">
        <v>73.039999999999992</v>
      </c>
      <c r="AE6064" s="74"/>
      <c r="AF6064" s="77"/>
      <c r="AH6064" s="497">
        <v>66.2</v>
      </c>
      <c r="AJ6064" s="42"/>
      <c r="AK6064" s="74"/>
      <c r="AL6064" s="77"/>
      <c r="AN6064" s="497">
        <v>66.02</v>
      </c>
      <c r="AP6064" s="42"/>
      <c r="AQ6064" s="74"/>
      <c r="AR6064" s="77"/>
      <c r="AT6064" s="497">
        <v>57.019999999999996</v>
      </c>
      <c r="AV6064" s="42"/>
      <c r="AW6064" s="74"/>
      <c r="AX6064" s="77"/>
      <c r="BA6064" s="497">
        <v>60.08</v>
      </c>
      <c r="BB6064" s="42"/>
      <c r="BC6064" s="74"/>
      <c r="BD6064" s="77"/>
      <c r="BF6064">
        <v>55.040000000000006</v>
      </c>
      <c r="BH6064" s="42"/>
      <c r="BI6064" s="74"/>
      <c r="BJ6064" s="77"/>
      <c r="BL6064" s="497">
        <v>57.019999999999996</v>
      </c>
      <c r="BN6064" s="42"/>
      <c r="BO6064" s="74"/>
      <c r="BP6064" s="77"/>
      <c r="BR6064" s="497">
        <v>59</v>
      </c>
      <c r="BT6064" s="42"/>
    </row>
    <row r="6065" spans="1:72" x14ac:dyDescent="0.25">
      <c r="A6065" s="90">
        <v>34951</v>
      </c>
      <c r="B6065" s="20">
        <v>0.95833333333333337</v>
      </c>
      <c r="D6065">
        <v>75.02</v>
      </c>
      <c r="E6065" t="str">
        <f t="shared" si="224"/>
        <v>SATURDAY</v>
      </c>
      <c r="F6065" t="e">
        <f t="shared" si="225"/>
        <v>#N/A</v>
      </c>
      <c r="G6065" s="74">
        <v>29107</v>
      </c>
      <c r="H6065" s="77">
        <v>0.95833333333333337</v>
      </c>
      <c r="J6065">
        <v>64.039999999999992</v>
      </c>
      <c r="M6065" s="74">
        <v>37873</v>
      </c>
      <c r="N6065" s="77">
        <v>0.95833333333333337</v>
      </c>
      <c r="P6065">
        <v>60.8</v>
      </c>
      <c r="S6065" s="74">
        <v>34951</v>
      </c>
      <c r="T6065" s="77">
        <v>0.95833333333333337</v>
      </c>
      <c r="V6065">
        <v>69.080000000000013</v>
      </c>
      <c r="X6065" s="42"/>
      <c r="AB6065">
        <v>69.099999999999994</v>
      </c>
      <c r="AC6065">
        <v>71.960000000000008</v>
      </c>
      <c r="AE6065" s="74"/>
      <c r="AF6065" s="77"/>
      <c r="AH6065" s="497">
        <v>66.2</v>
      </c>
      <c r="AJ6065" s="42"/>
      <c r="AK6065" s="74"/>
      <c r="AL6065" s="77"/>
      <c r="AN6065" s="497">
        <v>65.300000000000011</v>
      </c>
      <c r="AP6065" s="42"/>
      <c r="AQ6065" s="74"/>
      <c r="AR6065" s="77"/>
      <c r="AT6065" s="497">
        <v>55.94</v>
      </c>
      <c r="AV6065" s="42"/>
      <c r="AW6065" s="74"/>
      <c r="AX6065" s="77"/>
      <c r="BA6065" s="497">
        <v>60.08</v>
      </c>
      <c r="BB6065" s="42"/>
      <c r="BC6065" s="74"/>
      <c r="BD6065" s="77"/>
      <c r="BF6065">
        <v>53.96</v>
      </c>
      <c r="BH6065" s="42"/>
      <c r="BI6065" s="74"/>
      <c r="BJ6065" s="77"/>
      <c r="BL6065" s="497">
        <v>53.96</v>
      </c>
      <c r="BN6065" s="42"/>
      <c r="BO6065" s="74"/>
      <c r="BP6065" s="77"/>
      <c r="BR6065" s="497">
        <v>57.019999999999996</v>
      </c>
      <c r="BT6065" s="42"/>
    </row>
    <row r="6066" spans="1:72" x14ac:dyDescent="0.25">
      <c r="A6066" s="90">
        <v>34951</v>
      </c>
      <c r="B6066" s="20">
        <v>1</v>
      </c>
      <c r="D6066">
        <v>73.94</v>
      </c>
      <c r="E6066" t="str">
        <f t="shared" si="224"/>
        <v>SATURDAY</v>
      </c>
      <c r="F6066" t="e">
        <f t="shared" si="225"/>
        <v>#N/A</v>
      </c>
      <c r="G6066" s="74">
        <v>29107</v>
      </c>
      <c r="H6066" s="77">
        <v>1</v>
      </c>
      <c r="J6066">
        <v>62.96</v>
      </c>
      <c r="M6066" s="74">
        <v>37873</v>
      </c>
      <c r="N6066" s="80">
        <v>1</v>
      </c>
      <c r="P6066">
        <v>60.8</v>
      </c>
      <c r="S6066" s="74">
        <v>34951</v>
      </c>
      <c r="T6066" s="80">
        <v>1</v>
      </c>
      <c r="V6066">
        <v>71.06</v>
      </c>
      <c r="X6066" s="42"/>
      <c r="AB6066">
        <v>68.5</v>
      </c>
      <c r="AC6066">
        <v>69.98</v>
      </c>
      <c r="AE6066" s="74"/>
      <c r="AF6066" s="80"/>
      <c r="AH6066" s="497">
        <v>64.400000000000006</v>
      </c>
      <c r="AJ6066" s="42"/>
      <c r="AK6066" s="74"/>
      <c r="AL6066" s="80"/>
      <c r="AN6066" s="497">
        <v>64.759999999999991</v>
      </c>
      <c r="AP6066" s="42"/>
      <c r="AQ6066" s="74"/>
      <c r="AR6066" s="80"/>
      <c r="AT6066" s="497">
        <v>55.040000000000006</v>
      </c>
      <c r="AV6066" s="42"/>
      <c r="AW6066" s="74"/>
      <c r="AX6066" s="80"/>
      <c r="BA6066" s="497">
        <v>59</v>
      </c>
      <c r="BB6066" s="42"/>
      <c r="BC6066" s="74"/>
      <c r="BD6066" s="80"/>
      <c r="BF6066">
        <v>51.980000000000004</v>
      </c>
      <c r="BH6066" s="42"/>
      <c r="BI6066" s="74"/>
      <c r="BJ6066" s="80"/>
      <c r="BL6066" s="497">
        <v>50</v>
      </c>
      <c r="BN6066" s="42"/>
      <c r="BO6066" s="74"/>
      <c r="BP6066" s="80"/>
      <c r="BR6066" s="497">
        <v>55.040000000000006</v>
      </c>
      <c r="BT6066" s="42"/>
    </row>
    <row r="6067" spans="1:72" x14ac:dyDescent="0.25">
      <c r="A6067" s="90">
        <v>34952</v>
      </c>
      <c r="B6067" s="20">
        <v>4.1666666666666664E-2</v>
      </c>
      <c r="D6067">
        <v>73.039999999999992</v>
      </c>
      <c r="E6067" t="str">
        <f t="shared" si="224"/>
        <v>SUNDAY</v>
      </c>
      <c r="F6067" t="e">
        <f t="shared" si="225"/>
        <v>#N/A</v>
      </c>
      <c r="G6067" s="74">
        <v>29108</v>
      </c>
      <c r="H6067" s="77">
        <v>4.1666666666666664E-2</v>
      </c>
      <c r="J6067">
        <v>62.06</v>
      </c>
      <c r="M6067" s="74">
        <v>37874</v>
      </c>
      <c r="N6067" s="77">
        <v>4.1666666666666664E-2</v>
      </c>
      <c r="P6067">
        <v>57.2</v>
      </c>
      <c r="S6067" s="74">
        <v>34952</v>
      </c>
      <c r="T6067" s="77">
        <v>4.1666666666666664E-2</v>
      </c>
      <c r="V6067">
        <v>71.06</v>
      </c>
      <c r="X6067" s="42"/>
      <c r="AB6067">
        <v>67.7</v>
      </c>
      <c r="AC6067">
        <v>68</v>
      </c>
      <c r="AE6067" s="74"/>
      <c r="AF6067" s="77"/>
      <c r="AH6067" s="497">
        <v>64.400000000000006</v>
      </c>
      <c r="AJ6067" s="42"/>
      <c r="AK6067" s="74"/>
      <c r="AL6067" s="77"/>
      <c r="AN6067" s="497">
        <v>64.039999999999992</v>
      </c>
      <c r="AP6067" s="42"/>
      <c r="AQ6067" s="74"/>
      <c r="AR6067" s="77"/>
      <c r="AT6067" s="497">
        <v>55.94</v>
      </c>
      <c r="AV6067" s="42"/>
      <c r="AW6067" s="74"/>
      <c r="AX6067" s="77"/>
      <c r="BA6067" s="497">
        <v>59</v>
      </c>
      <c r="BB6067" s="42"/>
      <c r="BC6067" s="74"/>
      <c r="BD6067" s="77"/>
      <c r="BF6067">
        <v>50</v>
      </c>
      <c r="BH6067" s="42"/>
      <c r="BI6067" s="74"/>
      <c r="BJ6067" s="77"/>
      <c r="BL6067" s="497">
        <v>50</v>
      </c>
      <c r="BN6067" s="42"/>
      <c r="BO6067" s="74"/>
      <c r="BP6067" s="77"/>
      <c r="BR6067" s="497">
        <v>53.06</v>
      </c>
      <c r="BT6067" s="42"/>
    </row>
    <row r="6068" spans="1:72" x14ac:dyDescent="0.25">
      <c r="A6068" s="90">
        <v>34952</v>
      </c>
      <c r="B6068" s="20">
        <v>8.3333333333333329E-2</v>
      </c>
      <c r="D6068">
        <v>73.039999999999992</v>
      </c>
      <c r="E6068" t="str">
        <f t="shared" si="224"/>
        <v>SUNDAY</v>
      </c>
      <c r="F6068" t="e">
        <f t="shared" si="225"/>
        <v>#N/A</v>
      </c>
      <c r="G6068" s="74">
        <v>29108</v>
      </c>
      <c r="H6068" s="77">
        <v>8.3333333333333329E-2</v>
      </c>
      <c r="J6068">
        <v>60.980000000000004</v>
      </c>
      <c r="M6068" s="74">
        <v>37874</v>
      </c>
      <c r="N6068" s="77">
        <v>8.3333333333333329E-2</v>
      </c>
      <c r="P6068">
        <v>55.400000000000006</v>
      </c>
      <c r="S6068" s="74">
        <v>34952</v>
      </c>
      <c r="T6068" s="77">
        <v>8.3333333333333329E-2</v>
      </c>
      <c r="V6068">
        <v>69.080000000000013</v>
      </c>
      <c r="X6068" s="42"/>
      <c r="AB6068">
        <v>67.099999999999994</v>
      </c>
      <c r="AC6068">
        <v>66.92</v>
      </c>
      <c r="AE6068" s="74"/>
      <c r="AF6068" s="77"/>
      <c r="AH6068" s="497">
        <v>65.48</v>
      </c>
      <c r="AJ6068" s="42"/>
      <c r="AK6068" s="74"/>
      <c r="AL6068" s="77"/>
      <c r="AN6068" s="497">
        <v>63.319999999999993</v>
      </c>
      <c r="AP6068" s="42"/>
      <c r="AQ6068" s="74"/>
      <c r="AR6068" s="77"/>
      <c r="AT6068" s="497">
        <v>55.94</v>
      </c>
      <c r="AV6068" s="42"/>
      <c r="AW6068" s="74"/>
      <c r="AX6068" s="77"/>
      <c r="BA6068" s="497">
        <v>59</v>
      </c>
      <c r="BB6068" s="42"/>
      <c r="BC6068" s="74"/>
      <c r="BD6068" s="77"/>
      <c r="BF6068">
        <v>51.08</v>
      </c>
      <c r="BH6068" s="42"/>
      <c r="BI6068" s="74"/>
      <c r="BJ6068" s="77"/>
      <c r="BL6068" s="497">
        <v>48.92</v>
      </c>
      <c r="BN6068" s="42"/>
      <c r="BO6068" s="74"/>
      <c r="BP6068" s="77"/>
      <c r="BR6068" s="497">
        <v>52.34</v>
      </c>
      <c r="BT6068" s="42"/>
    </row>
    <row r="6069" spans="1:72" x14ac:dyDescent="0.25">
      <c r="A6069" s="90">
        <v>34952</v>
      </c>
      <c r="B6069" s="20">
        <v>0.125</v>
      </c>
      <c r="D6069">
        <v>73.039999999999992</v>
      </c>
      <c r="E6069" t="str">
        <f t="shared" si="224"/>
        <v>SUNDAY</v>
      </c>
      <c r="F6069" t="e">
        <f t="shared" si="225"/>
        <v>#N/A</v>
      </c>
      <c r="G6069" s="74">
        <v>29108</v>
      </c>
      <c r="H6069" s="77">
        <v>0.125</v>
      </c>
      <c r="J6069">
        <v>60.08</v>
      </c>
      <c r="M6069" s="74">
        <v>37874</v>
      </c>
      <c r="N6069" s="77">
        <v>0.125</v>
      </c>
      <c r="P6069">
        <v>53.6</v>
      </c>
      <c r="S6069" s="74">
        <v>34952</v>
      </c>
      <c r="T6069" s="77">
        <v>0.125</v>
      </c>
      <c r="V6069">
        <v>66.92</v>
      </c>
      <c r="X6069" s="42"/>
      <c r="AB6069">
        <v>66.599999999999994</v>
      </c>
      <c r="AC6069">
        <v>66.02</v>
      </c>
      <c r="AE6069" s="74"/>
      <c r="AF6069" s="77"/>
      <c r="AH6069" s="497">
        <v>66.2</v>
      </c>
      <c r="AJ6069" s="42"/>
      <c r="AK6069" s="74"/>
      <c r="AL6069" s="77"/>
      <c r="AN6069" s="497">
        <v>62.78</v>
      </c>
      <c r="AP6069" s="42"/>
      <c r="AQ6069" s="74"/>
      <c r="AR6069" s="77"/>
      <c r="AT6069" s="497">
        <v>57.019999999999996</v>
      </c>
      <c r="AV6069" s="42"/>
      <c r="AW6069" s="74"/>
      <c r="AX6069" s="77"/>
      <c r="BA6069" s="497">
        <v>57.92</v>
      </c>
      <c r="BB6069" s="42"/>
      <c r="BC6069" s="74"/>
      <c r="BD6069" s="77"/>
      <c r="BF6069">
        <v>48.92</v>
      </c>
      <c r="BH6069" s="42"/>
      <c r="BI6069" s="74"/>
      <c r="BJ6069" s="77"/>
      <c r="BL6069" s="497">
        <v>46.94</v>
      </c>
      <c r="BN6069" s="42"/>
      <c r="BO6069" s="74"/>
      <c r="BP6069" s="77"/>
      <c r="BR6069" s="497">
        <v>51.8</v>
      </c>
      <c r="BT6069" s="42"/>
    </row>
    <row r="6070" spans="1:72" x14ac:dyDescent="0.25">
      <c r="A6070" s="90">
        <v>34952</v>
      </c>
      <c r="B6070" s="20">
        <v>0.16666666666666666</v>
      </c>
      <c r="D6070">
        <v>73.039999999999992</v>
      </c>
      <c r="E6070" t="str">
        <f t="shared" si="224"/>
        <v>SUNDAY</v>
      </c>
      <c r="F6070" t="e">
        <f t="shared" si="225"/>
        <v>#N/A</v>
      </c>
      <c r="G6070" s="74">
        <v>29108</v>
      </c>
      <c r="H6070" s="77">
        <v>0.16666666666666666</v>
      </c>
      <c r="J6070">
        <v>59</v>
      </c>
      <c r="M6070" s="74">
        <v>37874</v>
      </c>
      <c r="N6070" s="77">
        <v>0.16666666666666666</v>
      </c>
      <c r="P6070">
        <v>51.8</v>
      </c>
      <c r="S6070" s="74">
        <v>34952</v>
      </c>
      <c r="T6070" s="77">
        <v>0.16666666666666666</v>
      </c>
      <c r="V6070">
        <v>66.92</v>
      </c>
      <c r="X6070" s="42"/>
      <c r="AB6070">
        <v>66.099999999999994</v>
      </c>
      <c r="AC6070">
        <v>64.94</v>
      </c>
      <c r="AE6070" s="74"/>
      <c r="AF6070" s="77"/>
      <c r="AH6070" s="497">
        <v>64.400000000000006</v>
      </c>
      <c r="AJ6070" s="42"/>
      <c r="AK6070" s="74"/>
      <c r="AL6070" s="77"/>
      <c r="AN6070" s="497">
        <v>62.06</v>
      </c>
      <c r="AP6070" s="42"/>
      <c r="AQ6070" s="74"/>
      <c r="AR6070" s="77"/>
      <c r="AT6070" s="497">
        <v>57.019999999999996</v>
      </c>
      <c r="AV6070" s="42"/>
      <c r="AW6070" s="74"/>
      <c r="AX6070" s="77"/>
      <c r="BA6070" s="497">
        <v>57.019999999999996</v>
      </c>
      <c r="BB6070" s="42"/>
      <c r="BC6070" s="74"/>
      <c r="BD6070" s="77"/>
      <c r="BF6070">
        <v>48.92</v>
      </c>
      <c r="BH6070" s="42"/>
      <c r="BI6070" s="74"/>
      <c r="BJ6070" s="77"/>
      <c r="BL6070" s="497">
        <v>46.94</v>
      </c>
      <c r="BN6070" s="42"/>
      <c r="BO6070" s="74"/>
      <c r="BP6070" s="77"/>
      <c r="BR6070" s="497">
        <v>51.08</v>
      </c>
      <c r="BT6070" s="42"/>
    </row>
    <row r="6071" spans="1:72" x14ac:dyDescent="0.25">
      <c r="A6071" s="90">
        <v>34952</v>
      </c>
      <c r="B6071" s="20">
        <v>0.20833333333333334</v>
      </c>
      <c r="D6071">
        <v>73.94</v>
      </c>
      <c r="E6071" t="str">
        <f t="shared" si="224"/>
        <v>SUNDAY</v>
      </c>
      <c r="F6071" t="e">
        <f t="shared" si="225"/>
        <v>#N/A</v>
      </c>
      <c r="G6071" s="74">
        <v>29108</v>
      </c>
      <c r="H6071" s="77">
        <v>0.20833333333333334</v>
      </c>
      <c r="J6071">
        <v>60.26</v>
      </c>
      <c r="M6071" s="74">
        <v>37874</v>
      </c>
      <c r="N6071" s="77">
        <v>0.20833333333333334</v>
      </c>
      <c r="P6071">
        <v>50</v>
      </c>
      <c r="S6071" s="74">
        <v>34952</v>
      </c>
      <c r="T6071" s="77">
        <v>0.20833333333333334</v>
      </c>
      <c r="V6071">
        <v>64.039999999999992</v>
      </c>
      <c r="X6071" s="42"/>
      <c r="AB6071">
        <v>65.599999999999994</v>
      </c>
      <c r="AC6071">
        <v>64.94</v>
      </c>
      <c r="AE6071" s="74"/>
      <c r="AF6071" s="77"/>
      <c r="AH6071" s="497">
        <v>66.2</v>
      </c>
      <c r="AJ6071" s="42"/>
      <c r="AK6071" s="74"/>
      <c r="AL6071" s="77"/>
      <c r="AN6071" s="497">
        <v>61.7</v>
      </c>
      <c r="AP6071" s="42"/>
      <c r="AQ6071" s="74"/>
      <c r="AR6071" s="77"/>
      <c r="AT6071" s="497">
        <v>57.019999999999996</v>
      </c>
      <c r="AV6071" s="42"/>
      <c r="AW6071" s="74"/>
      <c r="AX6071" s="77"/>
      <c r="BA6071" s="497">
        <v>57.019999999999996</v>
      </c>
      <c r="BB6071" s="42"/>
      <c r="BC6071" s="74"/>
      <c r="BD6071" s="77"/>
      <c r="BF6071">
        <v>48.92</v>
      </c>
      <c r="BH6071" s="42"/>
      <c r="BI6071" s="74"/>
      <c r="BJ6071" s="77"/>
      <c r="BL6071" s="497">
        <v>46.04</v>
      </c>
      <c r="BN6071" s="42"/>
      <c r="BO6071" s="74"/>
      <c r="BP6071" s="77"/>
      <c r="BR6071" s="497">
        <v>51.44</v>
      </c>
      <c r="BT6071" s="42"/>
    </row>
    <row r="6072" spans="1:72" x14ac:dyDescent="0.25">
      <c r="A6072" s="90">
        <v>34952</v>
      </c>
      <c r="B6072" s="20">
        <v>0.25</v>
      </c>
      <c r="D6072">
        <v>73.94</v>
      </c>
      <c r="E6072" t="str">
        <f t="shared" si="224"/>
        <v>SUNDAY</v>
      </c>
      <c r="F6072" t="e">
        <f t="shared" si="225"/>
        <v>#N/A</v>
      </c>
      <c r="G6072" s="74">
        <v>29108</v>
      </c>
      <c r="H6072" s="77">
        <v>0.25</v>
      </c>
      <c r="J6072">
        <v>61.7</v>
      </c>
      <c r="M6072" s="74">
        <v>37874</v>
      </c>
      <c r="N6072" s="77">
        <v>0.25</v>
      </c>
      <c r="P6072">
        <v>50</v>
      </c>
      <c r="S6072" s="74">
        <v>34952</v>
      </c>
      <c r="T6072" s="77">
        <v>0.25</v>
      </c>
      <c r="V6072">
        <v>62.96</v>
      </c>
      <c r="X6072" s="42"/>
      <c r="AB6072">
        <v>65.400000000000006</v>
      </c>
      <c r="AC6072">
        <v>64.94</v>
      </c>
      <c r="AE6072" s="74"/>
      <c r="AF6072" s="77"/>
      <c r="AH6072" s="497">
        <v>64.400000000000006</v>
      </c>
      <c r="AJ6072" s="42"/>
      <c r="AK6072" s="74"/>
      <c r="AL6072" s="77"/>
      <c r="AN6072" s="497">
        <v>61.34</v>
      </c>
      <c r="AP6072" s="42"/>
      <c r="AQ6072" s="74"/>
      <c r="AR6072" s="77"/>
      <c r="AT6072" s="497">
        <v>57.019999999999996</v>
      </c>
      <c r="AV6072" s="42"/>
      <c r="AW6072" s="74"/>
      <c r="AX6072" s="77"/>
      <c r="BA6072" s="497">
        <v>57.92</v>
      </c>
      <c r="BB6072" s="42"/>
      <c r="BC6072" s="74"/>
      <c r="BD6072" s="77"/>
      <c r="BF6072">
        <v>46.94</v>
      </c>
      <c r="BH6072" s="42"/>
      <c r="BI6072" s="74"/>
      <c r="BJ6072" s="77"/>
      <c r="BL6072" s="497">
        <v>48.019999999999996</v>
      </c>
      <c r="BN6072" s="42"/>
      <c r="BO6072" s="74"/>
      <c r="BP6072" s="77"/>
      <c r="BR6072" s="497">
        <v>51.620000000000005</v>
      </c>
      <c r="BT6072" s="42"/>
    </row>
    <row r="6073" spans="1:72" x14ac:dyDescent="0.25">
      <c r="A6073" s="90">
        <v>34952</v>
      </c>
      <c r="B6073" s="20">
        <v>0.29166666666666669</v>
      </c>
      <c r="D6073">
        <v>75.02</v>
      </c>
      <c r="E6073" t="str">
        <f t="shared" si="224"/>
        <v>SUNDAY</v>
      </c>
      <c r="F6073" t="e">
        <f t="shared" si="225"/>
        <v>#N/A</v>
      </c>
      <c r="G6073" s="74">
        <v>29108</v>
      </c>
      <c r="H6073" s="77">
        <v>0.29166666666666669</v>
      </c>
      <c r="J6073">
        <v>62.96</v>
      </c>
      <c r="M6073" s="74">
        <v>37874</v>
      </c>
      <c r="N6073" s="77">
        <v>0.29166666666666669</v>
      </c>
      <c r="P6073">
        <v>57.2</v>
      </c>
      <c r="S6073" s="74">
        <v>34952</v>
      </c>
      <c r="T6073" s="77">
        <v>0.29166666666666669</v>
      </c>
      <c r="V6073">
        <v>64.039999999999992</v>
      </c>
      <c r="X6073" s="42"/>
      <c r="AB6073">
        <v>65.400000000000006</v>
      </c>
      <c r="AC6073">
        <v>66.92</v>
      </c>
      <c r="AE6073" s="74"/>
      <c r="AF6073" s="77"/>
      <c r="AH6073" s="497">
        <v>66.2</v>
      </c>
      <c r="AJ6073" s="42"/>
      <c r="AK6073" s="74"/>
      <c r="AL6073" s="77"/>
      <c r="AN6073" s="497">
        <v>60.980000000000004</v>
      </c>
      <c r="AP6073" s="42"/>
      <c r="AQ6073" s="74"/>
      <c r="AR6073" s="77"/>
      <c r="AT6073" s="497">
        <v>57.019999999999996</v>
      </c>
      <c r="AV6073" s="42"/>
      <c r="AW6073" s="74"/>
      <c r="AX6073" s="77"/>
      <c r="BA6073" s="497">
        <v>59</v>
      </c>
      <c r="BB6073" s="42"/>
      <c r="BC6073" s="74"/>
      <c r="BD6073" s="77"/>
      <c r="BF6073">
        <v>50</v>
      </c>
      <c r="BH6073" s="42"/>
      <c r="BI6073" s="74"/>
      <c r="BJ6073" s="77"/>
      <c r="BL6073" s="497">
        <v>50</v>
      </c>
      <c r="BN6073" s="42"/>
      <c r="BO6073" s="74"/>
      <c r="BP6073" s="77"/>
      <c r="BR6073" s="497">
        <v>51.980000000000004</v>
      </c>
      <c r="BT6073" s="42"/>
    </row>
    <row r="6074" spans="1:72" x14ac:dyDescent="0.25">
      <c r="A6074" s="90">
        <v>34952</v>
      </c>
      <c r="B6074" s="20">
        <v>0.33333333333333331</v>
      </c>
      <c r="D6074">
        <v>78.080000000000013</v>
      </c>
      <c r="E6074" t="str">
        <f t="shared" si="224"/>
        <v>SUNDAY</v>
      </c>
      <c r="F6074" t="e">
        <f t="shared" si="225"/>
        <v>#N/A</v>
      </c>
      <c r="G6074" s="74">
        <v>29108</v>
      </c>
      <c r="H6074" s="77">
        <v>0.33333333333333331</v>
      </c>
      <c r="J6074">
        <v>65.300000000000011</v>
      </c>
      <c r="M6074" s="74">
        <v>37874</v>
      </c>
      <c r="N6074" s="77">
        <v>0.33333333333333331</v>
      </c>
      <c r="P6074">
        <v>60.8</v>
      </c>
      <c r="S6074" s="74">
        <v>34952</v>
      </c>
      <c r="T6074" s="77">
        <v>0.33333333333333331</v>
      </c>
      <c r="V6074">
        <v>66.02</v>
      </c>
      <c r="X6074" s="42"/>
      <c r="AB6074">
        <v>67.3</v>
      </c>
      <c r="AC6074">
        <v>69.98</v>
      </c>
      <c r="AE6074" s="74"/>
      <c r="AF6074" s="77"/>
      <c r="AH6074" s="497">
        <v>71.599999999999994</v>
      </c>
      <c r="AJ6074" s="42"/>
      <c r="AK6074" s="74"/>
      <c r="AL6074" s="77"/>
      <c r="AN6074" s="497">
        <v>59.900000000000006</v>
      </c>
      <c r="AP6074" s="42"/>
      <c r="AQ6074" s="74"/>
      <c r="AR6074" s="77"/>
      <c r="AT6074" s="497">
        <v>60.08</v>
      </c>
      <c r="AV6074" s="42"/>
      <c r="AW6074" s="74"/>
      <c r="AX6074" s="77"/>
      <c r="BA6074" s="497">
        <v>62.06</v>
      </c>
      <c r="BB6074" s="42"/>
      <c r="BC6074" s="74"/>
      <c r="BD6074" s="77"/>
      <c r="BF6074">
        <v>55.94</v>
      </c>
      <c r="BH6074" s="42"/>
      <c r="BI6074" s="74"/>
      <c r="BJ6074" s="77"/>
      <c r="BL6074" s="497">
        <v>55.040000000000006</v>
      </c>
      <c r="BN6074" s="42"/>
      <c r="BO6074" s="74"/>
      <c r="BP6074" s="77"/>
      <c r="BR6074" s="497">
        <v>54.32</v>
      </c>
      <c r="BT6074" s="42"/>
    </row>
    <row r="6075" spans="1:72" x14ac:dyDescent="0.25">
      <c r="A6075" s="90">
        <v>34952</v>
      </c>
      <c r="B6075" s="20">
        <v>0.375</v>
      </c>
      <c r="D6075">
        <v>78.98</v>
      </c>
      <c r="E6075" t="str">
        <f t="shared" si="224"/>
        <v>SUNDAY</v>
      </c>
      <c r="F6075" t="e">
        <f t="shared" si="225"/>
        <v>#N/A</v>
      </c>
      <c r="G6075" s="74">
        <v>29108</v>
      </c>
      <c r="H6075" s="77">
        <v>0.375</v>
      </c>
      <c r="J6075">
        <v>67.64</v>
      </c>
      <c r="M6075" s="74">
        <v>37874</v>
      </c>
      <c r="N6075" s="77">
        <v>0.375</v>
      </c>
      <c r="P6075">
        <v>62.6</v>
      </c>
      <c r="S6075" s="74">
        <v>34952</v>
      </c>
      <c r="T6075" s="77">
        <v>0.375</v>
      </c>
      <c r="V6075">
        <v>68</v>
      </c>
      <c r="X6075" s="42"/>
      <c r="AB6075">
        <v>69.599999999999994</v>
      </c>
      <c r="AC6075">
        <v>71.960000000000008</v>
      </c>
      <c r="AE6075" s="74"/>
      <c r="AF6075" s="77"/>
      <c r="AH6075" s="497">
        <v>75.2</v>
      </c>
      <c r="AJ6075" s="42"/>
      <c r="AK6075" s="74"/>
      <c r="AL6075" s="77"/>
      <c r="AN6075" s="497">
        <v>59</v>
      </c>
      <c r="AP6075" s="42"/>
      <c r="AQ6075" s="74"/>
      <c r="AR6075" s="77"/>
      <c r="AT6075" s="497">
        <v>62.06</v>
      </c>
      <c r="AV6075" s="42"/>
      <c r="AW6075" s="74"/>
      <c r="AX6075" s="77"/>
      <c r="BA6075" s="497">
        <v>64.039999999999992</v>
      </c>
      <c r="BB6075" s="42"/>
      <c r="BC6075" s="74"/>
      <c r="BD6075" s="77"/>
      <c r="BF6075">
        <v>57.92</v>
      </c>
      <c r="BH6075" s="42"/>
      <c r="BI6075" s="74"/>
      <c r="BJ6075" s="77"/>
      <c r="BL6075" s="497">
        <v>59</v>
      </c>
      <c r="BN6075" s="42"/>
      <c r="BO6075" s="74"/>
      <c r="BP6075" s="77"/>
      <c r="BR6075" s="497">
        <v>56.66</v>
      </c>
      <c r="BT6075" s="42"/>
    </row>
    <row r="6076" spans="1:72" x14ac:dyDescent="0.25">
      <c r="A6076" s="90">
        <v>34952</v>
      </c>
      <c r="B6076" s="20">
        <v>0.41666666666666669</v>
      </c>
      <c r="D6076">
        <v>78.98</v>
      </c>
      <c r="E6076" t="str">
        <f t="shared" si="224"/>
        <v>SUNDAY</v>
      </c>
      <c r="F6076" t="e">
        <f t="shared" si="225"/>
        <v>#N/A</v>
      </c>
      <c r="G6076" s="74">
        <v>29108</v>
      </c>
      <c r="H6076" s="77">
        <v>0.41666666666666669</v>
      </c>
      <c r="J6076">
        <v>69.98</v>
      </c>
      <c r="M6076" s="74">
        <v>37874</v>
      </c>
      <c r="N6076" s="77">
        <v>0.41666666666666669</v>
      </c>
      <c r="P6076">
        <v>66.2</v>
      </c>
      <c r="S6076" s="74">
        <v>34952</v>
      </c>
      <c r="T6076" s="77">
        <v>0.41666666666666669</v>
      </c>
      <c r="V6076">
        <v>71.06</v>
      </c>
      <c r="X6076" s="42"/>
      <c r="AB6076">
        <v>71.599999999999994</v>
      </c>
      <c r="AC6076">
        <v>73.94</v>
      </c>
      <c r="AE6076" s="74"/>
      <c r="AF6076" s="77"/>
      <c r="AH6076" s="497">
        <v>78.800000000000011</v>
      </c>
      <c r="AJ6076" s="42"/>
      <c r="AK6076" s="74"/>
      <c r="AL6076" s="77"/>
      <c r="AN6076" s="497">
        <v>57.92</v>
      </c>
      <c r="AP6076" s="42"/>
      <c r="AQ6076" s="74"/>
      <c r="AR6076" s="77"/>
      <c r="AT6076" s="497">
        <v>64.94</v>
      </c>
      <c r="AV6076" s="42"/>
      <c r="AW6076" s="74"/>
      <c r="AX6076" s="77"/>
      <c r="BA6076" s="497">
        <v>71.960000000000008</v>
      </c>
      <c r="BB6076" s="42"/>
      <c r="BC6076" s="74"/>
      <c r="BD6076" s="77"/>
      <c r="BF6076">
        <v>60.08</v>
      </c>
      <c r="BH6076" s="42"/>
      <c r="BI6076" s="74"/>
      <c r="BJ6076" s="77"/>
      <c r="BL6076" s="497">
        <v>60.980000000000004</v>
      </c>
      <c r="BN6076" s="42"/>
      <c r="BO6076" s="74"/>
      <c r="BP6076" s="77"/>
      <c r="BR6076" s="497">
        <v>59</v>
      </c>
      <c r="BT6076" s="42"/>
    </row>
    <row r="6077" spans="1:72" x14ac:dyDescent="0.25">
      <c r="A6077" s="90">
        <v>34952</v>
      </c>
      <c r="B6077" s="20">
        <v>0.45833333333333331</v>
      </c>
      <c r="D6077">
        <v>82.039999999999992</v>
      </c>
      <c r="E6077" t="str">
        <f t="shared" si="224"/>
        <v>SUNDAY</v>
      </c>
      <c r="F6077" t="e">
        <f t="shared" si="225"/>
        <v>#N/A</v>
      </c>
      <c r="G6077" s="74">
        <v>29108</v>
      </c>
      <c r="H6077" s="77">
        <v>0.45833333333333331</v>
      </c>
      <c r="J6077">
        <v>71.599999999999994</v>
      </c>
      <c r="M6077" s="74">
        <v>37874</v>
      </c>
      <c r="N6077" s="77">
        <v>0.45833333333333331</v>
      </c>
      <c r="P6077">
        <v>69.800000000000011</v>
      </c>
      <c r="S6077" s="74">
        <v>34952</v>
      </c>
      <c r="T6077" s="77">
        <v>0.45833333333333331</v>
      </c>
      <c r="V6077">
        <v>71.960000000000008</v>
      </c>
      <c r="X6077" s="42"/>
      <c r="AB6077">
        <v>73.400000000000006</v>
      </c>
      <c r="AC6077">
        <v>75.02</v>
      </c>
      <c r="AE6077" s="74"/>
      <c r="AF6077" s="77"/>
      <c r="AH6077" s="497">
        <v>80.599999999999994</v>
      </c>
      <c r="AJ6077" s="42"/>
      <c r="AK6077" s="74"/>
      <c r="AL6077" s="77"/>
      <c r="AN6077" s="497">
        <v>59.36</v>
      </c>
      <c r="AP6077" s="42"/>
      <c r="AQ6077" s="74"/>
      <c r="AR6077" s="77"/>
      <c r="AT6077" s="497">
        <v>66.02</v>
      </c>
      <c r="AV6077" s="42"/>
      <c r="AW6077" s="74"/>
      <c r="AX6077" s="77"/>
      <c r="BA6077" s="497">
        <v>75.92</v>
      </c>
      <c r="BB6077" s="42"/>
      <c r="BC6077" s="74"/>
      <c r="BD6077" s="77"/>
      <c r="BF6077">
        <v>60.980000000000004</v>
      </c>
      <c r="BH6077" s="42"/>
      <c r="BI6077" s="74"/>
      <c r="BJ6077" s="77"/>
      <c r="BL6077" s="497">
        <v>62.06</v>
      </c>
      <c r="BN6077" s="42"/>
      <c r="BO6077" s="74"/>
      <c r="BP6077" s="77"/>
      <c r="BR6077" s="497">
        <v>60.08</v>
      </c>
      <c r="BT6077" s="42"/>
    </row>
    <row r="6078" spans="1:72" x14ac:dyDescent="0.25">
      <c r="A6078" s="90">
        <v>34952</v>
      </c>
      <c r="B6078" s="20">
        <v>0.5</v>
      </c>
      <c r="D6078">
        <v>82.94</v>
      </c>
      <c r="E6078" t="str">
        <f t="shared" si="224"/>
        <v>SUNDAY</v>
      </c>
      <c r="F6078" t="e">
        <f t="shared" si="225"/>
        <v>#N/A</v>
      </c>
      <c r="G6078" s="74">
        <v>29108</v>
      </c>
      <c r="H6078" s="77">
        <v>0.5</v>
      </c>
      <c r="J6078">
        <v>73.400000000000006</v>
      </c>
      <c r="M6078" s="74">
        <v>37874</v>
      </c>
      <c r="N6078" s="77">
        <v>0.5</v>
      </c>
      <c r="P6078">
        <v>71.599999999999994</v>
      </c>
      <c r="S6078" s="74">
        <v>34952</v>
      </c>
      <c r="T6078" s="77">
        <v>0.5</v>
      </c>
      <c r="V6078">
        <v>73.039999999999992</v>
      </c>
      <c r="X6078" s="42"/>
      <c r="AB6078">
        <v>74.8</v>
      </c>
      <c r="AC6078">
        <v>77</v>
      </c>
      <c r="AE6078" s="74"/>
      <c r="AF6078" s="77"/>
      <c r="AH6078" s="497">
        <v>82.4</v>
      </c>
      <c r="AJ6078" s="42"/>
      <c r="AK6078" s="74"/>
      <c r="AL6078" s="77"/>
      <c r="AN6078" s="497">
        <v>60.620000000000005</v>
      </c>
      <c r="AP6078" s="42"/>
      <c r="AQ6078" s="74"/>
      <c r="AR6078" s="77"/>
      <c r="AT6078" s="497">
        <v>69.080000000000013</v>
      </c>
      <c r="AV6078" s="42"/>
      <c r="AW6078" s="74"/>
      <c r="AX6078" s="77"/>
      <c r="BA6078" s="497">
        <v>80.06</v>
      </c>
      <c r="BB6078" s="42"/>
      <c r="BC6078" s="74"/>
      <c r="BD6078" s="77"/>
      <c r="BF6078">
        <v>62.06</v>
      </c>
      <c r="BH6078" s="42"/>
      <c r="BI6078" s="74"/>
      <c r="BJ6078" s="77"/>
      <c r="BL6078" s="497">
        <v>64.039999999999992</v>
      </c>
      <c r="BN6078" s="42"/>
      <c r="BO6078" s="74"/>
      <c r="BP6078" s="77"/>
      <c r="BR6078" s="497">
        <v>60.980000000000004</v>
      </c>
      <c r="BT6078" s="42"/>
    </row>
    <row r="6079" spans="1:72" x14ac:dyDescent="0.25">
      <c r="A6079" s="90">
        <v>34952</v>
      </c>
      <c r="B6079" s="20">
        <v>0.54166666666666663</v>
      </c>
      <c r="D6079">
        <v>82.039999999999992</v>
      </c>
      <c r="E6079" t="str">
        <f t="shared" si="224"/>
        <v>SUNDAY</v>
      </c>
      <c r="F6079" t="e">
        <f t="shared" si="225"/>
        <v>#N/A</v>
      </c>
      <c r="G6079" s="74">
        <v>29108</v>
      </c>
      <c r="H6079" s="77">
        <v>0.54166666666666663</v>
      </c>
      <c r="J6079">
        <v>75.02</v>
      </c>
      <c r="M6079" s="74">
        <v>37874</v>
      </c>
      <c r="N6079" s="77">
        <v>0.54166666666666663</v>
      </c>
      <c r="P6079">
        <v>73.400000000000006</v>
      </c>
      <c r="S6079" s="74">
        <v>34952</v>
      </c>
      <c r="T6079" s="77">
        <v>0.54166666666666663</v>
      </c>
      <c r="V6079">
        <v>75.02</v>
      </c>
      <c r="X6079" s="42"/>
      <c r="AB6079">
        <v>75.599999999999994</v>
      </c>
      <c r="AC6079">
        <v>78.98</v>
      </c>
      <c r="AE6079" s="74"/>
      <c r="AF6079" s="77"/>
      <c r="AH6079" s="497">
        <v>81.319999999999993</v>
      </c>
      <c r="AJ6079" s="42"/>
      <c r="AK6079" s="74"/>
      <c r="AL6079" s="77"/>
      <c r="AN6079" s="497">
        <v>62.06</v>
      </c>
      <c r="AP6079" s="42"/>
      <c r="AQ6079" s="74"/>
      <c r="AR6079" s="77"/>
      <c r="AT6079" s="497">
        <v>71.960000000000008</v>
      </c>
      <c r="AV6079" s="42"/>
      <c r="AW6079" s="74"/>
      <c r="AX6079" s="77"/>
      <c r="BA6079" s="497">
        <v>82.039999999999992</v>
      </c>
      <c r="BB6079" s="42"/>
      <c r="BC6079" s="74"/>
      <c r="BD6079" s="77"/>
      <c r="BF6079">
        <v>62.96</v>
      </c>
      <c r="BH6079" s="42"/>
      <c r="BI6079" s="74"/>
      <c r="BJ6079" s="77"/>
      <c r="BL6079" s="497">
        <v>64.94</v>
      </c>
      <c r="BN6079" s="42"/>
      <c r="BO6079" s="74"/>
      <c r="BP6079" s="77"/>
      <c r="BR6079" s="497">
        <v>62.06</v>
      </c>
      <c r="BT6079" s="42"/>
    </row>
    <row r="6080" spans="1:72" x14ac:dyDescent="0.25">
      <c r="A6080" s="90">
        <v>34952</v>
      </c>
      <c r="B6080" s="20">
        <v>0.58333333333333337</v>
      </c>
      <c r="D6080">
        <v>82.039999999999992</v>
      </c>
      <c r="E6080" t="str">
        <f t="shared" si="224"/>
        <v>SUNDAY</v>
      </c>
      <c r="F6080" t="e">
        <f t="shared" si="225"/>
        <v>#N/A</v>
      </c>
      <c r="G6080" s="74">
        <v>29108</v>
      </c>
      <c r="H6080" s="77">
        <v>0.58333333333333337</v>
      </c>
      <c r="J6080">
        <v>73.759999999999991</v>
      </c>
      <c r="M6080" s="74">
        <v>37874</v>
      </c>
      <c r="N6080" s="77">
        <v>0.58333333333333337</v>
      </c>
      <c r="P6080">
        <v>73.400000000000006</v>
      </c>
      <c r="S6080" s="74">
        <v>34952</v>
      </c>
      <c r="T6080" s="77">
        <v>0.58333333333333337</v>
      </c>
      <c r="V6080">
        <v>75.92</v>
      </c>
      <c r="X6080" s="42"/>
      <c r="AB6080">
        <v>76</v>
      </c>
      <c r="AC6080">
        <v>78.98</v>
      </c>
      <c r="AE6080" s="74"/>
      <c r="AF6080" s="77"/>
      <c r="AH6080" s="497">
        <v>80.599999999999994</v>
      </c>
      <c r="AJ6080" s="42"/>
      <c r="AK6080" s="74"/>
      <c r="AL6080" s="77"/>
      <c r="AN6080" s="497">
        <v>62.06</v>
      </c>
      <c r="AP6080" s="42"/>
      <c r="AQ6080" s="74"/>
      <c r="AR6080" s="77"/>
      <c r="AT6080" s="497">
        <v>75.02</v>
      </c>
      <c r="AV6080" s="42"/>
      <c r="AW6080" s="74"/>
      <c r="AX6080" s="77"/>
      <c r="BA6080" s="497">
        <v>80.960000000000008</v>
      </c>
      <c r="BB6080" s="42"/>
      <c r="BC6080" s="74"/>
      <c r="BD6080" s="77"/>
      <c r="BF6080">
        <v>62.96</v>
      </c>
      <c r="BH6080" s="42"/>
      <c r="BI6080" s="74"/>
      <c r="BJ6080" s="77"/>
      <c r="BL6080" s="497">
        <v>68</v>
      </c>
      <c r="BN6080" s="42"/>
      <c r="BO6080" s="74"/>
      <c r="BP6080" s="77"/>
      <c r="BR6080" s="497">
        <v>62.78</v>
      </c>
      <c r="BT6080" s="42"/>
    </row>
    <row r="6081" spans="1:72" x14ac:dyDescent="0.25">
      <c r="A6081" s="90">
        <v>34952</v>
      </c>
      <c r="B6081" s="20">
        <v>0.625</v>
      </c>
      <c r="D6081">
        <v>78.98</v>
      </c>
      <c r="E6081" t="str">
        <f t="shared" si="224"/>
        <v>SUNDAY</v>
      </c>
      <c r="F6081" t="e">
        <f t="shared" si="225"/>
        <v>#N/A</v>
      </c>
      <c r="G6081" s="74">
        <v>29108</v>
      </c>
      <c r="H6081" s="77">
        <v>0.625</v>
      </c>
      <c r="J6081">
        <v>72.319999999999993</v>
      </c>
      <c r="M6081" s="74">
        <v>37874</v>
      </c>
      <c r="N6081" s="77">
        <v>0.625</v>
      </c>
      <c r="P6081">
        <v>73.400000000000006</v>
      </c>
      <c r="S6081" s="74">
        <v>34952</v>
      </c>
      <c r="T6081" s="77">
        <v>0.625</v>
      </c>
      <c r="V6081">
        <v>75.92</v>
      </c>
      <c r="X6081" s="42"/>
      <c r="AB6081">
        <v>76.099999999999994</v>
      </c>
      <c r="AC6081">
        <v>78.98</v>
      </c>
      <c r="AE6081" s="74"/>
      <c r="AF6081" s="77"/>
      <c r="AH6081" s="497">
        <v>80.599999999999994</v>
      </c>
      <c r="AJ6081" s="42"/>
      <c r="AK6081" s="74"/>
      <c r="AL6081" s="77"/>
      <c r="AN6081" s="497">
        <v>62.06</v>
      </c>
      <c r="AP6081" s="42"/>
      <c r="AQ6081" s="74"/>
      <c r="AR6081" s="77"/>
      <c r="AT6081" s="497">
        <v>75.92</v>
      </c>
      <c r="AV6081" s="42"/>
      <c r="AW6081" s="74"/>
      <c r="AX6081" s="77"/>
      <c r="BA6081" s="497">
        <v>84.02</v>
      </c>
      <c r="BB6081" s="42"/>
      <c r="BC6081" s="74"/>
      <c r="BD6081" s="77"/>
      <c r="BF6081">
        <v>62.96</v>
      </c>
      <c r="BH6081" s="42"/>
      <c r="BI6081" s="74"/>
      <c r="BJ6081" s="77"/>
      <c r="BL6081" s="497">
        <v>66.92</v>
      </c>
      <c r="BN6081" s="42"/>
      <c r="BO6081" s="74"/>
      <c r="BP6081" s="77"/>
      <c r="BR6081" s="497">
        <v>63.319999999999993</v>
      </c>
      <c r="BT6081" s="42"/>
    </row>
    <row r="6082" spans="1:72" x14ac:dyDescent="0.25">
      <c r="A6082" s="90">
        <v>34952</v>
      </c>
      <c r="B6082" s="20">
        <v>0.66666666666666663</v>
      </c>
      <c r="D6082">
        <v>78.080000000000013</v>
      </c>
      <c r="E6082" t="str">
        <f t="shared" si="224"/>
        <v>SUNDAY</v>
      </c>
      <c r="F6082" t="e">
        <f t="shared" si="225"/>
        <v>#N/A</v>
      </c>
      <c r="G6082" s="74">
        <v>29108</v>
      </c>
      <c r="H6082" s="77">
        <v>0.66666666666666663</v>
      </c>
      <c r="J6082">
        <v>71.06</v>
      </c>
      <c r="M6082" s="74">
        <v>37874</v>
      </c>
      <c r="N6082" s="77">
        <v>0.66666666666666663</v>
      </c>
      <c r="P6082">
        <v>73.400000000000006</v>
      </c>
      <c r="S6082" s="74">
        <v>34952</v>
      </c>
      <c r="T6082" s="77">
        <v>0.66666666666666663</v>
      </c>
      <c r="V6082">
        <v>73.94</v>
      </c>
      <c r="X6082" s="42"/>
      <c r="AB6082">
        <v>75.7</v>
      </c>
      <c r="AC6082">
        <v>78.98</v>
      </c>
      <c r="AE6082" s="74"/>
      <c r="AF6082" s="77"/>
      <c r="AH6082" s="497">
        <v>77</v>
      </c>
      <c r="AJ6082" s="42"/>
      <c r="AK6082" s="74"/>
      <c r="AL6082" s="77"/>
      <c r="AN6082" s="497">
        <v>62.06</v>
      </c>
      <c r="AP6082" s="42"/>
      <c r="AQ6082" s="74"/>
      <c r="AR6082" s="77"/>
      <c r="AT6082" s="497">
        <v>77</v>
      </c>
      <c r="AV6082" s="42"/>
      <c r="AW6082" s="74"/>
      <c r="AX6082" s="77"/>
      <c r="BA6082" s="497">
        <v>82.039999999999992</v>
      </c>
      <c r="BB6082" s="42"/>
      <c r="BC6082" s="74"/>
      <c r="BD6082" s="77"/>
      <c r="BF6082">
        <v>64.039999999999992</v>
      </c>
      <c r="BH6082" s="42"/>
      <c r="BI6082" s="74"/>
      <c r="BJ6082" s="77"/>
      <c r="BL6082" s="497">
        <v>68</v>
      </c>
      <c r="BN6082" s="42"/>
      <c r="BO6082" s="74"/>
      <c r="BP6082" s="77"/>
      <c r="BR6082" s="497">
        <v>64.039999999999992</v>
      </c>
      <c r="BT6082" s="42"/>
    </row>
    <row r="6083" spans="1:72" x14ac:dyDescent="0.25">
      <c r="A6083" s="90">
        <v>34952</v>
      </c>
      <c r="B6083" s="20">
        <v>0.70833333333333337</v>
      </c>
      <c r="D6083">
        <v>75.92</v>
      </c>
      <c r="E6083" t="str">
        <f t="shared" si="224"/>
        <v>SUNDAY</v>
      </c>
      <c r="F6083" t="e">
        <f t="shared" si="225"/>
        <v>#N/A</v>
      </c>
      <c r="G6083" s="74">
        <v>29108</v>
      </c>
      <c r="H6083" s="77">
        <v>0.70833333333333337</v>
      </c>
      <c r="J6083">
        <v>69.98</v>
      </c>
      <c r="M6083" s="74">
        <v>37874</v>
      </c>
      <c r="N6083" s="77">
        <v>0.70833333333333337</v>
      </c>
      <c r="P6083">
        <v>71.599999999999994</v>
      </c>
      <c r="S6083" s="74">
        <v>34952</v>
      </c>
      <c r="T6083" s="77">
        <v>0.70833333333333337</v>
      </c>
      <c r="V6083">
        <v>73.039999999999992</v>
      </c>
      <c r="X6083" s="42"/>
      <c r="AB6083">
        <v>74.900000000000006</v>
      </c>
      <c r="AC6083">
        <v>78.080000000000013</v>
      </c>
      <c r="AE6083" s="74"/>
      <c r="AF6083" s="77"/>
      <c r="AH6083" s="497">
        <v>78.800000000000011</v>
      </c>
      <c r="AJ6083" s="42"/>
      <c r="AK6083" s="74"/>
      <c r="AL6083" s="77"/>
      <c r="AN6083" s="497">
        <v>59.36</v>
      </c>
      <c r="AP6083" s="42"/>
      <c r="AQ6083" s="74"/>
      <c r="AR6083" s="77"/>
      <c r="AT6083" s="497">
        <v>75.92</v>
      </c>
      <c r="AV6083" s="42"/>
      <c r="AW6083" s="74"/>
      <c r="AX6083" s="77"/>
      <c r="BA6083" s="497">
        <v>80.960000000000008</v>
      </c>
      <c r="BB6083" s="42"/>
      <c r="BC6083" s="74"/>
      <c r="BD6083" s="77"/>
      <c r="BF6083">
        <v>60.980000000000004</v>
      </c>
      <c r="BH6083" s="42"/>
      <c r="BI6083" s="74"/>
      <c r="BJ6083" s="77"/>
      <c r="BL6083" s="497">
        <v>66.92</v>
      </c>
      <c r="BN6083" s="42"/>
      <c r="BO6083" s="74"/>
      <c r="BP6083" s="77"/>
      <c r="BR6083" s="497">
        <v>61.7</v>
      </c>
      <c r="BT6083" s="42"/>
    </row>
    <row r="6084" spans="1:72" x14ac:dyDescent="0.25">
      <c r="A6084" s="90">
        <v>34952</v>
      </c>
      <c r="B6084" s="20">
        <v>0.75</v>
      </c>
      <c r="D6084">
        <v>75.92</v>
      </c>
      <c r="E6084" t="str">
        <f t="shared" si="224"/>
        <v>SUNDAY</v>
      </c>
      <c r="F6084" t="e">
        <f t="shared" si="225"/>
        <v>#N/A</v>
      </c>
      <c r="G6084" s="74">
        <v>29108</v>
      </c>
      <c r="H6084" s="77">
        <v>0.75</v>
      </c>
      <c r="J6084">
        <v>69.080000000000013</v>
      </c>
      <c r="M6084" s="74">
        <v>37874</v>
      </c>
      <c r="N6084" s="77">
        <v>0.75</v>
      </c>
      <c r="P6084">
        <v>64.400000000000006</v>
      </c>
      <c r="S6084" s="74">
        <v>34952</v>
      </c>
      <c r="T6084" s="77">
        <v>0.75</v>
      </c>
      <c r="V6084">
        <v>71.06</v>
      </c>
      <c r="X6084" s="42"/>
      <c r="AB6084">
        <v>73.599999999999994</v>
      </c>
      <c r="AC6084">
        <v>75.02</v>
      </c>
      <c r="AE6084" s="74"/>
      <c r="AF6084" s="77"/>
      <c r="AH6084" s="497">
        <v>75.2</v>
      </c>
      <c r="AJ6084" s="42"/>
      <c r="AK6084" s="74"/>
      <c r="AL6084" s="77"/>
      <c r="AN6084" s="497">
        <v>56.66</v>
      </c>
      <c r="AP6084" s="42"/>
      <c r="AQ6084" s="74"/>
      <c r="AR6084" s="77"/>
      <c r="AT6084" s="497">
        <v>71.960000000000008</v>
      </c>
      <c r="AV6084" s="42"/>
      <c r="AW6084" s="74"/>
      <c r="AX6084" s="77"/>
      <c r="BA6084" s="497">
        <v>78.080000000000013</v>
      </c>
      <c r="BB6084" s="42"/>
      <c r="BC6084" s="74"/>
      <c r="BD6084" s="77"/>
      <c r="BF6084">
        <v>60.980000000000004</v>
      </c>
      <c r="BH6084" s="42"/>
      <c r="BI6084" s="74"/>
      <c r="BJ6084" s="77"/>
      <c r="BL6084" s="497">
        <v>66.02</v>
      </c>
      <c r="BN6084" s="42"/>
      <c r="BO6084" s="74"/>
      <c r="BP6084" s="77"/>
      <c r="BR6084" s="497">
        <v>59.36</v>
      </c>
      <c r="BT6084" s="42"/>
    </row>
    <row r="6085" spans="1:72" x14ac:dyDescent="0.25">
      <c r="A6085" s="90">
        <v>34952</v>
      </c>
      <c r="B6085" s="20">
        <v>0.79166666666666663</v>
      </c>
      <c r="D6085">
        <v>73.94</v>
      </c>
      <c r="E6085" t="str">
        <f t="shared" si="224"/>
        <v>SUNDAY</v>
      </c>
      <c r="F6085" t="e">
        <f t="shared" si="225"/>
        <v>#N/A</v>
      </c>
      <c r="G6085" s="74">
        <v>29108</v>
      </c>
      <c r="H6085" s="77">
        <v>0.79166666666666663</v>
      </c>
      <c r="J6085">
        <v>68</v>
      </c>
      <c r="M6085" s="74">
        <v>37874</v>
      </c>
      <c r="N6085" s="77">
        <v>0.79166666666666663</v>
      </c>
      <c r="P6085">
        <v>60.8</v>
      </c>
      <c r="S6085" s="74">
        <v>34952</v>
      </c>
      <c r="T6085" s="77">
        <v>0.79166666666666663</v>
      </c>
      <c r="V6085">
        <v>69.080000000000013</v>
      </c>
      <c r="X6085" s="42"/>
      <c r="AB6085">
        <v>72</v>
      </c>
      <c r="AC6085">
        <v>71.06</v>
      </c>
      <c r="AE6085" s="74"/>
      <c r="AF6085" s="77"/>
      <c r="AH6085" s="497">
        <v>69.800000000000011</v>
      </c>
      <c r="AJ6085" s="42"/>
      <c r="AK6085" s="74"/>
      <c r="AL6085" s="77"/>
      <c r="AN6085" s="497">
        <v>53.96</v>
      </c>
      <c r="AP6085" s="42"/>
      <c r="AQ6085" s="74"/>
      <c r="AR6085" s="77"/>
      <c r="AT6085" s="497">
        <v>66.92</v>
      </c>
      <c r="AV6085" s="42"/>
      <c r="AW6085" s="74"/>
      <c r="AX6085" s="77"/>
      <c r="BA6085" s="497">
        <v>75.92</v>
      </c>
      <c r="BB6085" s="42"/>
      <c r="BC6085" s="74"/>
      <c r="BD6085" s="77"/>
      <c r="BF6085">
        <v>57.92</v>
      </c>
      <c r="BH6085" s="42"/>
      <c r="BI6085" s="74"/>
      <c r="BJ6085" s="77"/>
      <c r="BL6085" s="497">
        <v>62.06</v>
      </c>
      <c r="BN6085" s="42"/>
      <c r="BO6085" s="74"/>
      <c r="BP6085" s="77"/>
      <c r="BR6085" s="497">
        <v>57.019999999999996</v>
      </c>
      <c r="BT6085" s="42"/>
    </row>
    <row r="6086" spans="1:72" x14ac:dyDescent="0.25">
      <c r="A6086" s="90">
        <v>34952</v>
      </c>
      <c r="B6086" s="20">
        <v>0.83333333333333337</v>
      </c>
      <c r="D6086">
        <v>73.400000000000006</v>
      </c>
      <c r="E6086" t="str">
        <f t="shared" si="224"/>
        <v>SUNDAY</v>
      </c>
      <c r="F6086" t="e">
        <f t="shared" si="225"/>
        <v>#N/A</v>
      </c>
      <c r="G6086" s="74">
        <v>29108</v>
      </c>
      <c r="H6086" s="77">
        <v>0.83333333333333337</v>
      </c>
      <c r="J6086">
        <v>68</v>
      </c>
      <c r="M6086" s="74">
        <v>37874</v>
      </c>
      <c r="N6086" s="77">
        <v>0.83333333333333337</v>
      </c>
      <c r="P6086">
        <v>62.6</v>
      </c>
      <c r="S6086" s="74">
        <v>34952</v>
      </c>
      <c r="T6086" s="77">
        <v>0.83333333333333337</v>
      </c>
      <c r="V6086">
        <v>64.94</v>
      </c>
      <c r="X6086" s="42"/>
      <c r="AB6086">
        <v>70.8</v>
      </c>
      <c r="AC6086">
        <v>69.98</v>
      </c>
      <c r="AE6086" s="74"/>
      <c r="AF6086" s="77"/>
      <c r="AH6086" s="497">
        <v>68</v>
      </c>
      <c r="AJ6086" s="42"/>
      <c r="AK6086" s="74"/>
      <c r="AL6086" s="77"/>
      <c r="AN6086" s="497">
        <v>52.34</v>
      </c>
      <c r="AP6086" s="42"/>
      <c r="AQ6086" s="74"/>
      <c r="AR6086" s="77"/>
      <c r="AT6086" s="497">
        <v>66.92</v>
      </c>
      <c r="AV6086" s="42"/>
      <c r="AW6086" s="74"/>
      <c r="AX6086" s="77"/>
      <c r="BA6086" s="497">
        <v>75.02</v>
      </c>
      <c r="BB6086" s="42"/>
      <c r="BC6086" s="74"/>
      <c r="BD6086" s="77"/>
      <c r="BF6086">
        <v>55.040000000000006</v>
      </c>
      <c r="BH6086" s="42"/>
      <c r="BI6086" s="74"/>
      <c r="BJ6086" s="77"/>
      <c r="BL6086" s="497">
        <v>60.08</v>
      </c>
      <c r="BN6086" s="42"/>
      <c r="BO6086" s="74"/>
      <c r="BP6086" s="77"/>
      <c r="BR6086" s="497">
        <v>56.3</v>
      </c>
      <c r="BT6086" s="42"/>
    </row>
    <row r="6087" spans="1:72" x14ac:dyDescent="0.25">
      <c r="A6087" s="90">
        <v>34952</v>
      </c>
      <c r="B6087" s="20">
        <v>0.875</v>
      </c>
      <c r="D6087">
        <v>73.039999999999992</v>
      </c>
      <c r="E6087" t="str">
        <f t="shared" si="224"/>
        <v>SUNDAY</v>
      </c>
      <c r="F6087" t="e">
        <f t="shared" si="225"/>
        <v>#N/A</v>
      </c>
      <c r="G6087" s="74">
        <v>29108</v>
      </c>
      <c r="H6087" s="77">
        <v>0.875</v>
      </c>
      <c r="J6087">
        <v>68</v>
      </c>
      <c r="M6087" s="74">
        <v>37874</v>
      </c>
      <c r="N6087" s="77">
        <v>0.875</v>
      </c>
      <c r="P6087">
        <v>60.8</v>
      </c>
      <c r="S6087" s="74">
        <v>34952</v>
      </c>
      <c r="T6087" s="77">
        <v>0.875</v>
      </c>
      <c r="V6087">
        <v>64.039999999999992</v>
      </c>
      <c r="X6087" s="42"/>
      <c r="AB6087">
        <v>70.099999999999994</v>
      </c>
      <c r="AC6087">
        <v>69.080000000000013</v>
      </c>
      <c r="AE6087" s="74"/>
      <c r="AF6087" s="77"/>
      <c r="AH6087" s="497">
        <v>66.2</v>
      </c>
      <c r="AJ6087" s="42"/>
      <c r="AK6087" s="74"/>
      <c r="AL6087" s="77"/>
      <c r="AN6087" s="497">
        <v>50.540000000000006</v>
      </c>
      <c r="AP6087" s="42"/>
      <c r="AQ6087" s="74"/>
      <c r="AR6087" s="77"/>
      <c r="AT6087" s="497">
        <v>64.039999999999992</v>
      </c>
      <c r="AV6087" s="42"/>
      <c r="AW6087" s="74"/>
      <c r="AX6087" s="77"/>
      <c r="BA6087" s="497">
        <v>73.94</v>
      </c>
      <c r="BB6087" s="42"/>
      <c r="BC6087" s="74"/>
      <c r="BD6087" s="77"/>
      <c r="BF6087">
        <v>51.980000000000004</v>
      </c>
      <c r="BH6087" s="42"/>
      <c r="BI6087" s="74"/>
      <c r="BJ6087" s="77"/>
      <c r="BL6087" s="497">
        <v>55.94</v>
      </c>
      <c r="BN6087" s="42"/>
      <c r="BO6087" s="74"/>
      <c r="BP6087" s="77"/>
      <c r="BR6087" s="497">
        <v>55.76</v>
      </c>
      <c r="BT6087" s="42"/>
    </row>
    <row r="6088" spans="1:72" x14ac:dyDescent="0.25">
      <c r="A6088" s="90">
        <v>34952</v>
      </c>
      <c r="B6088" s="20">
        <v>0.91666666666666663</v>
      </c>
      <c r="D6088">
        <v>71.960000000000008</v>
      </c>
      <c r="E6088" t="str">
        <f t="shared" si="224"/>
        <v>SUNDAY</v>
      </c>
      <c r="F6088" t="e">
        <f t="shared" si="225"/>
        <v>#N/A</v>
      </c>
      <c r="G6088" s="74">
        <v>29108</v>
      </c>
      <c r="H6088" s="77">
        <v>0.91666666666666663</v>
      </c>
      <c r="J6088">
        <v>68</v>
      </c>
      <c r="M6088" s="74">
        <v>37874</v>
      </c>
      <c r="N6088" s="77">
        <v>0.91666666666666663</v>
      </c>
      <c r="P6088">
        <v>57.2</v>
      </c>
      <c r="S6088" s="74">
        <v>34952</v>
      </c>
      <c r="T6088" s="77">
        <v>0.91666666666666663</v>
      </c>
      <c r="V6088">
        <v>62.06</v>
      </c>
      <c r="X6088" s="42"/>
      <c r="AB6088">
        <v>69.5</v>
      </c>
      <c r="AC6088">
        <v>69.080000000000013</v>
      </c>
      <c r="AE6088" s="74"/>
      <c r="AF6088" s="77"/>
      <c r="AH6088" s="497">
        <v>64.400000000000006</v>
      </c>
      <c r="AJ6088" s="42"/>
      <c r="AK6088" s="74"/>
      <c r="AL6088" s="77"/>
      <c r="AN6088" s="497">
        <v>48.92</v>
      </c>
      <c r="AP6088" s="42"/>
      <c r="AQ6088" s="74"/>
      <c r="AR6088" s="77"/>
      <c r="AT6088" s="497">
        <v>64.039999999999992</v>
      </c>
      <c r="AV6088" s="42"/>
      <c r="AW6088" s="74"/>
      <c r="AX6088" s="77"/>
      <c r="BA6088" s="497">
        <v>73.039999999999992</v>
      </c>
      <c r="BB6088" s="42"/>
      <c r="BC6088" s="74"/>
      <c r="BD6088" s="77"/>
      <c r="BF6088">
        <v>51.08</v>
      </c>
      <c r="BH6088" s="42"/>
      <c r="BI6088" s="74"/>
      <c r="BJ6088" s="77"/>
      <c r="BL6088" s="497">
        <v>55.040000000000006</v>
      </c>
      <c r="BN6088" s="42"/>
      <c r="BO6088" s="74"/>
      <c r="BP6088" s="77"/>
      <c r="BR6088" s="497">
        <v>55.040000000000006</v>
      </c>
      <c r="BT6088" s="42"/>
    </row>
    <row r="6089" spans="1:72" x14ac:dyDescent="0.25">
      <c r="A6089" s="90">
        <v>34952</v>
      </c>
      <c r="B6089" s="20">
        <v>0.95833333333333337</v>
      </c>
      <c r="D6089">
        <v>71.06</v>
      </c>
      <c r="E6089" t="str">
        <f t="shared" si="224"/>
        <v>SUNDAY</v>
      </c>
      <c r="F6089" t="e">
        <f t="shared" si="225"/>
        <v>#N/A</v>
      </c>
      <c r="G6089" s="74">
        <v>29108</v>
      </c>
      <c r="H6089" s="77">
        <v>0.95833333333333337</v>
      </c>
      <c r="J6089">
        <v>67.28</v>
      </c>
      <c r="M6089" s="74">
        <v>37874</v>
      </c>
      <c r="N6089" s="77">
        <v>0.95833333333333337</v>
      </c>
      <c r="P6089">
        <v>57.2</v>
      </c>
      <c r="S6089" s="74">
        <v>34952</v>
      </c>
      <c r="T6089" s="77">
        <v>0.95833333333333337</v>
      </c>
      <c r="V6089">
        <v>60.08</v>
      </c>
      <c r="X6089" s="42"/>
      <c r="AB6089">
        <v>68.8</v>
      </c>
      <c r="AC6089">
        <v>64.94</v>
      </c>
      <c r="AE6089" s="74"/>
      <c r="AF6089" s="77"/>
      <c r="AH6089" s="497">
        <v>62.6</v>
      </c>
      <c r="AJ6089" s="42"/>
      <c r="AK6089" s="74"/>
      <c r="AL6089" s="77"/>
      <c r="AN6089" s="497">
        <v>48.2</v>
      </c>
      <c r="AP6089" s="42"/>
      <c r="AQ6089" s="74"/>
      <c r="AR6089" s="77"/>
      <c r="AT6089" s="497">
        <v>62.96</v>
      </c>
      <c r="AV6089" s="42"/>
      <c r="AW6089" s="74"/>
      <c r="AX6089" s="77"/>
      <c r="BA6089" s="497">
        <v>73.94</v>
      </c>
      <c r="BB6089" s="42"/>
      <c r="BC6089" s="74"/>
      <c r="BD6089" s="77"/>
      <c r="BF6089">
        <v>51.08</v>
      </c>
      <c r="BH6089" s="42"/>
      <c r="BI6089" s="74"/>
      <c r="BJ6089" s="77"/>
      <c r="BL6089" s="497">
        <v>55.040000000000006</v>
      </c>
      <c r="BN6089" s="42"/>
      <c r="BO6089" s="74"/>
      <c r="BP6089" s="77"/>
      <c r="BR6089" s="497">
        <v>55.040000000000006</v>
      </c>
      <c r="BT6089" s="42"/>
    </row>
    <row r="6090" spans="1:72" x14ac:dyDescent="0.25">
      <c r="A6090" s="90">
        <v>34952</v>
      </c>
      <c r="B6090" s="20">
        <v>1</v>
      </c>
      <c r="D6090">
        <v>71.06</v>
      </c>
      <c r="E6090" t="str">
        <f t="shared" si="224"/>
        <v>SUNDAY</v>
      </c>
      <c r="F6090" t="e">
        <f t="shared" si="225"/>
        <v>#N/A</v>
      </c>
      <c r="G6090" s="74">
        <v>29108</v>
      </c>
      <c r="H6090" s="77">
        <v>1</v>
      </c>
      <c r="J6090">
        <v>66.740000000000009</v>
      </c>
      <c r="M6090" s="74">
        <v>37874</v>
      </c>
      <c r="N6090" s="80">
        <v>1</v>
      </c>
      <c r="P6090">
        <v>57.2</v>
      </c>
      <c r="S6090" s="74">
        <v>34952</v>
      </c>
      <c r="T6090" s="80">
        <v>1</v>
      </c>
      <c r="V6090">
        <v>60.08</v>
      </c>
      <c r="X6090" s="42"/>
      <c r="AB6090">
        <v>68.2</v>
      </c>
      <c r="AC6090">
        <v>64.94</v>
      </c>
      <c r="AE6090" s="74"/>
      <c r="AF6090" s="80"/>
      <c r="AH6090" s="497">
        <v>63.14</v>
      </c>
      <c r="AJ6090" s="42"/>
      <c r="AK6090" s="74"/>
      <c r="AL6090" s="80"/>
      <c r="AN6090" s="497">
        <v>47.66</v>
      </c>
      <c r="AP6090" s="42"/>
      <c r="AQ6090" s="74"/>
      <c r="AR6090" s="80"/>
      <c r="AT6090" s="497">
        <v>62.06</v>
      </c>
      <c r="AV6090" s="42"/>
      <c r="AW6090" s="74"/>
      <c r="AX6090" s="80"/>
      <c r="BA6090" s="497">
        <v>73.94</v>
      </c>
      <c r="BB6090" s="42"/>
      <c r="BC6090" s="74"/>
      <c r="BD6090" s="80"/>
      <c r="BF6090">
        <v>51.08</v>
      </c>
      <c r="BH6090" s="42"/>
      <c r="BI6090" s="74"/>
      <c r="BJ6090" s="80"/>
      <c r="BL6090" s="497">
        <v>53.96</v>
      </c>
      <c r="BN6090" s="42"/>
      <c r="BO6090" s="74"/>
      <c r="BP6090" s="80"/>
      <c r="BR6090" s="497">
        <v>55.040000000000006</v>
      </c>
      <c r="BT6090" s="42"/>
    </row>
    <row r="6091" spans="1:72" x14ac:dyDescent="0.25">
      <c r="A6091" s="90">
        <v>34953</v>
      </c>
      <c r="B6091" s="20">
        <v>4.1666666666666664E-2</v>
      </c>
      <c r="D6091">
        <v>69.98</v>
      </c>
      <c r="E6091" t="str">
        <f t="shared" si="224"/>
        <v>WEEKDAY</v>
      </c>
      <c r="F6091" t="e">
        <f t="shared" si="225"/>
        <v>#N/A</v>
      </c>
      <c r="G6091" s="74">
        <v>29109</v>
      </c>
      <c r="H6091" s="77">
        <v>4.1666666666666664E-2</v>
      </c>
      <c r="J6091">
        <v>66.02</v>
      </c>
      <c r="M6091" s="74">
        <v>37875</v>
      </c>
      <c r="N6091" s="77">
        <v>4.1666666666666664E-2</v>
      </c>
      <c r="P6091">
        <v>59</v>
      </c>
      <c r="S6091" s="74">
        <v>34953</v>
      </c>
      <c r="T6091" s="77">
        <v>4.1666666666666664E-2</v>
      </c>
      <c r="V6091">
        <v>59</v>
      </c>
      <c r="X6091" s="42"/>
      <c r="AB6091">
        <v>67.400000000000006</v>
      </c>
      <c r="AC6091">
        <v>64.039999999999992</v>
      </c>
      <c r="AE6091" s="74"/>
      <c r="AF6091" s="77"/>
      <c r="AH6091" s="497">
        <v>64.400000000000006</v>
      </c>
      <c r="AJ6091" s="42"/>
      <c r="AK6091" s="74"/>
      <c r="AL6091" s="77"/>
      <c r="AN6091" s="497">
        <v>46.94</v>
      </c>
      <c r="AP6091" s="42"/>
      <c r="AQ6091" s="74"/>
      <c r="AR6091" s="77"/>
      <c r="AT6091" s="497">
        <v>62.06</v>
      </c>
      <c r="AV6091" s="42"/>
      <c r="AW6091" s="74"/>
      <c r="AX6091" s="77"/>
      <c r="BA6091" s="497">
        <v>75.02</v>
      </c>
      <c r="BB6091" s="42"/>
      <c r="BC6091" s="74"/>
      <c r="BD6091" s="77"/>
      <c r="BF6091">
        <v>50</v>
      </c>
      <c r="BH6091" s="42"/>
      <c r="BI6091" s="74"/>
      <c r="BJ6091" s="77"/>
      <c r="BL6091" s="497">
        <v>51.980000000000004</v>
      </c>
      <c r="BN6091" s="42"/>
      <c r="BO6091" s="74"/>
      <c r="BP6091" s="77"/>
      <c r="BR6091" s="497">
        <v>55.040000000000006</v>
      </c>
      <c r="BT6091" s="42"/>
    </row>
    <row r="6092" spans="1:72" x14ac:dyDescent="0.25">
      <c r="A6092" s="90">
        <v>34953</v>
      </c>
      <c r="B6092" s="20">
        <v>8.3333333333333329E-2</v>
      </c>
      <c r="D6092">
        <v>69.080000000000013</v>
      </c>
      <c r="E6092" t="str">
        <f t="shared" si="224"/>
        <v>WEEKDAY</v>
      </c>
      <c r="F6092" t="e">
        <f t="shared" si="225"/>
        <v>#N/A</v>
      </c>
      <c r="G6092" s="74">
        <v>29109</v>
      </c>
      <c r="H6092" s="77">
        <v>8.3333333333333329E-2</v>
      </c>
      <c r="J6092">
        <v>66.38</v>
      </c>
      <c r="M6092" s="74">
        <v>37875</v>
      </c>
      <c r="N6092" s="77">
        <v>8.3333333333333329E-2</v>
      </c>
      <c r="P6092">
        <v>60.8</v>
      </c>
      <c r="S6092" s="74">
        <v>34953</v>
      </c>
      <c r="T6092" s="77">
        <v>8.3333333333333329E-2</v>
      </c>
      <c r="V6092">
        <v>57.019999999999996</v>
      </c>
      <c r="X6092" s="42"/>
      <c r="AB6092">
        <v>66.900000000000006</v>
      </c>
      <c r="AC6092">
        <v>62.96</v>
      </c>
      <c r="AE6092" s="74"/>
      <c r="AF6092" s="77"/>
      <c r="AH6092" s="497">
        <v>64.400000000000006</v>
      </c>
      <c r="AJ6092" s="42"/>
      <c r="AK6092" s="74"/>
      <c r="AL6092" s="77"/>
      <c r="AN6092" s="497">
        <v>46.22</v>
      </c>
      <c r="AP6092" s="42"/>
      <c r="AQ6092" s="74"/>
      <c r="AR6092" s="77"/>
      <c r="AT6092" s="497">
        <v>62.96</v>
      </c>
      <c r="AV6092" s="42"/>
      <c r="AW6092" s="74"/>
      <c r="AX6092" s="77"/>
      <c r="BA6092" s="497">
        <v>73.039999999999992</v>
      </c>
      <c r="BB6092" s="42"/>
      <c r="BC6092" s="74"/>
      <c r="BD6092" s="77"/>
      <c r="BF6092">
        <v>53.06</v>
      </c>
      <c r="BH6092" s="42"/>
      <c r="BI6092" s="74"/>
      <c r="BJ6092" s="77"/>
      <c r="BL6092" s="497">
        <v>51.980000000000004</v>
      </c>
      <c r="BN6092" s="42"/>
      <c r="BO6092" s="74"/>
      <c r="BP6092" s="77"/>
      <c r="BR6092" s="497">
        <v>54.68</v>
      </c>
      <c r="BT6092" s="42"/>
    </row>
    <row r="6093" spans="1:72" x14ac:dyDescent="0.25">
      <c r="A6093" s="90">
        <v>34953</v>
      </c>
      <c r="B6093" s="20">
        <v>0.125</v>
      </c>
      <c r="D6093">
        <v>68</v>
      </c>
      <c r="E6093" t="str">
        <f t="shared" si="224"/>
        <v>WEEKDAY</v>
      </c>
      <c r="F6093" t="e">
        <f t="shared" si="225"/>
        <v>#N/A</v>
      </c>
      <c r="G6093" s="74">
        <v>29109</v>
      </c>
      <c r="H6093" s="77">
        <v>0.125</v>
      </c>
      <c r="J6093">
        <v>66.56</v>
      </c>
      <c r="M6093" s="74">
        <v>37875</v>
      </c>
      <c r="N6093" s="77">
        <v>0.125</v>
      </c>
      <c r="P6093">
        <v>60.8</v>
      </c>
      <c r="S6093" s="74">
        <v>34953</v>
      </c>
      <c r="T6093" s="77">
        <v>0.125</v>
      </c>
      <c r="V6093">
        <v>55.040000000000006</v>
      </c>
      <c r="X6093" s="42"/>
      <c r="AB6093">
        <v>66.3</v>
      </c>
      <c r="AC6093">
        <v>62.06</v>
      </c>
      <c r="AE6093" s="74"/>
      <c r="AF6093" s="77"/>
      <c r="AH6093" s="497">
        <v>63.5</v>
      </c>
      <c r="AJ6093" s="42"/>
      <c r="AK6093" s="74"/>
      <c r="AL6093" s="77"/>
      <c r="AN6093" s="497">
        <v>45.68</v>
      </c>
      <c r="AP6093" s="42"/>
      <c r="AQ6093" s="74"/>
      <c r="AR6093" s="77"/>
      <c r="AT6093" s="497">
        <v>64.039999999999992</v>
      </c>
      <c r="AV6093" s="42"/>
      <c r="AW6093" s="74"/>
      <c r="AX6093" s="77"/>
      <c r="BA6093" s="497">
        <v>73.94</v>
      </c>
      <c r="BB6093" s="42"/>
      <c r="BC6093" s="74"/>
      <c r="BD6093" s="77"/>
      <c r="BF6093">
        <v>51.08</v>
      </c>
      <c r="BH6093" s="42"/>
      <c r="BI6093" s="74"/>
      <c r="BJ6093" s="77"/>
      <c r="BL6093" s="497">
        <v>51.08</v>
      </c>
      <c r="BN6093" s="42"/>
      <c r="BO6093" s="74"/>
      <c r="BP6093" s="77"/>
      <c r="BR6093" s="497">
        <v>54.32</v>
      </c>
      <c r="BT6093" s="42"/>
    </row>
    <row r="6094" spans="1:72" x14ac:dyDescent="0.25">
      <c r="A6094" s="90">
        <v>34953</v>
      </c>
      <c r="B6094" s="20">
        <v>0.16666666666666666</v>
      </c>
      <c r="D6094">
        <v>69.080000000000013</v>
      </c>
      <c r="E6094" t="str">
        <f t="shared" si="224"/>
        <v>WEEKDAY</v>
      </c>
      <c r="F6094" t="e">
        <f t="shared" si="225"/>
        <v>#N/A</v>
      </c>
      <c r="G6094" s="74">
        <v>29109</v>
      </c>
      <c r="H6094" s="77">
        <v>0.16666666666666666</v>
      </c>
      <c r="J6094">
        <v>66.92</v>
      </c>
      <c r="M6094" s="74">
        <v>37875</v>
      </c>
      <c r="N6094" s="77">
        <v>0.16666666666666666</v>
      </c>
      <c r="P6094">
        <v>60.8</v>
      </c>
      <c r="S6094" s="74">
        <v>34953</v>
      </c>
      <c r="T6094" s="77">
        <v>0.16666666666666666</v>
      </c>
      <c r="V6094">
        <v>55.040000000000006</v>
      </c>
      <c r="X6094" s="42"/>
      <c r="AB6094">
        <v>65.8</v>
      </c>
      <c r="AC6094">
        <v>60.980000000000004</v>
      </c>
      <c r="AE6094" s="74"/>
      <c r="AF6094" s="77"/>
      <c r="AH6094" s="497">
        <v>62.6</v>
      </c>
      <c r="AJ6094" s="42"/>
      <c r="AK6094" s="74"/>
      <c r="AL6094" s="77"/>
      <c r="AN6094" s="497">
        <v>44.96</v>
      </c>
      <c r="AP6094" s="42"/>
      <c r="AQ6094" s="74"/>
      <c r="AR6094" s="77"/>
      <c r="AT6094" s="497">
        <v>62.96</v>
      </c>
      <c r="AV6094" s="42"/>
      <c r="AW6094" s="74"/>
      <c r="AX6094" s="77"/>
      <c r="BA6094" s="497">
        <v>73.94</v>
      </c>
      <c r="BB6094" s="42"/>
      <c r="BC6094" s="74"/>
      <c r="BD6094" s="77"/>
      <c r="BF6094">
        <v>51.980000000000004</v>
      </c>
      <c r="BH6094" s="42"/>
      <c r="BI6094" s="74"/>
      <c r="BJ6094" s="77"/>
      <c r="BL6094" s="497">
        <v>50</v>
      </c>
      <c r="BN6094" s="42"/>
      <c r="BO6094" s="74"/>
      <c r="BP6094" s="77"/>
      <c r="BR6094" s="497">
        <v>53.96</v>
      </c>
      <c r="BT6094" s="42"/>
    </row>
    <row r="6095" spans="1:72" x14ac:dyDescent="0.25">
      <c r="A6095" s="90">
        <v>34953</v>
      </c>
      <c r="B6095" s="20">
        <v>0.20833333333333334</v>
      </c>
      <c r="D6095">
        <v>66.92</v>
      </c>
      <c r="E6095" t="str">
        <f t="shared" si="224"/>
        <v>WEEKDAY</v>
      </c>
      <c r="F6095" t="e">
        <f t="shared" si="225"/>
        <v>#N/A</v>
      </c>
      <c r="G6095" s="74">
        <v>29109</v>
      </c>
      <c r="H6095" s="77">
        <v>0.20833333333333334</v>
      </c>
      <c r="J6095">
        <v>66.92</v>
      </c>
      <c r="M6095" s="74">
        <v>37875</v>
      </c>
      <c r="N6095" s="77">
        <v>0.20833333333333334</v>
      </c>
      <c r="P6095">
        <v>60.8</v>
      </c>
      <c r="S6095" s="74">
        <v>34953</v>
      </c>
      <c r="T6095" s="77">
        <v>0.20833333333333334</v>
      </c>
      <c r="V6095">
        <v>53.96</v>
      </c>
      <c r="X6095" s="42"/>
      <c r="AB6095">
        <v>65.3</v>
      </c>
      <c r="AC6095">
        <v>60.980000000000004</v>
      </c>
      <c r="AE6095" s="74"/>
      <c r="AF6095" s="77"/>
      <c r="AH6095" s="497">
        <v>60.8</v>
      </c>
      <c r="AJ6095" s="42"/>
      <c r="AK6095" s="74"/>
      <c r="AL6095" s="77"/>
      <c r="AN6095" s="497">
        <v>45.32</v>
      </c>
      <c r="AP6095" s="42"/>
      <c r="AQ6095" s="74"/>
      <c r="AR6095" s="77"/>
      <c r="AT6095" s="497">
        <v>60.980000000000004</v>
      </c>
      <c r="AV6095" s="42"/>
      <c r="AW6095" s="74"/>
      <c r="AX6095" s="77"/>
      <c r="BA6095" s="497">
        <v>69.98</v>
      </c>
      <c r="BB6095" s="42"/>
      <c r="BC6095" s="74"/>
      <c r="BD6095" s="77"/>
      <c r="BF6095">
        <v>51.980000000000004</v>
      </c>
      <c r="BH6095" s="42"/>
      <c r="BI6095" s="74"/>
      <c r="BJ6095" s="77"/>
      <c r="BL6095" s="497">
        <v>51.980000000000004</v>
      </c>
      <c r="BN6095" s="42"/>
      <c r="BO6095" s="74"/>
      <c r="BP6095" s="77"/>
      <c r="BR6095" s="497">
        <v>55.22</v>
      </c>
      <c r="BT6095" s="42"/>
    </row>
    <row r="6096" spans="1:72" x14ac:dyDescent="0.25">
      <c r="A6096" s="90">
        <v>34953</v>
      </c>
      <c r="B6096" s="20">
        <v>0.25</v>
      </c>
      <c r="D6096">
        <v>66.92</v>
      </c>
      <c r="E6096" t="str">
        <f t="shared" si="224"/>
        <v>WEEKDAY</v>
      </c>
      <c r="F6096" t="e">
        <f t="shared" si="225"/>
        <v>#N/A</v>
      </c>
      <c r="G6096" s="74">
        <v>29109</v>
      </c>
      <c r="H6096" s="77">
        <v>0.25</v>
      </c>
      <c r="J6096">
        <v>66.92</v>
      </c>
      <c r="M6096" s="74">
        <v>37875</v>
      </c>
      <c r="N6096" s="77">
        <v>0.25</v>
      </c>
      <c r="P6096">
        <v>60.8</v>
      </c>
      <c r="S6096" s="74">
        <v>34953</v>
      </c>
      <c r="T6096" s="77">
        <v>0.25</v>
      </c>
      <c r="V6096">
        <v>53.06</v>
      </c>
      <c r="X6096" s="42"/>
      <c r="AB6096">
        <v>65.2</v>
      </c>
      <c r="AC6096">
        <v>60.980000000000004</v>
      </c>
      <c r="AE6096" s="74"/>
      <c r="AF6096" s="77"/>
      <c r="AH6096" s="497">
        <v>60.8</v>
      </c>
      <c r="AJ6096" s="42"/>
      <c r="AK6096" s="74"/>
      <c r="AL6096" s="77"/>
      <c r="AN6096" s="497">
        <v>45.68</v>
      </c>
      <c r="AP6096" s="42"/>
      <c r="AQ6096" s="74"/>
      <c r="AR6096" s="77"/>
      <c r="AT6096" s="497">
        <v>60.08</v>
      </c>
      <c r="AV6096" s="42"/>
      <c r="AW6096" s="74"/>
      <c r="AX6096" s="77"/>
      <c r="BA6096" s="497">
        <v>71.06</v>
      </c>
      <c r="BB6096" s="42"/>
      <c r="BC6096" s="74"/>
      <c r="BD6096" s="77"/>
      <c r="BF6096">
        <v>53.06</v>
      </c>
      <c r="BH6096" s="42"/>
      <c r="BI6096" s="74"/>
      <c r="BJ6096" s="77"/>
      <c r="BL6096" s="497">
        <v>51.980000000000004</v>
      </c>
      <c r="BN6096" s="42"/>
      <c r="BO6096" s="74"/>
      <c r="BP6096" s="77"/>
      <c r="BR6096" s="497">
        <v>56.66</v>
      </c>
      <c r="BT6096" s="42"/>
    </row>
    <row r="6097" spans="1:72" x14ac:dyDescent="0.25">
      <c r="A6097" s="90">
        <v>34953</v>
      </c>
      <c r="B6097" s="20">
        <v>0.29166666666666669</v>
      </c>
      <c r="D6097">
        <v>66.92</v>
      </c>
      <c r="E6097" t="str">
        <f t="shared" si="224"/>
        <v>WEEKDAY</v>
      </c>
      <c r="F6097" t="e">
        <f t="shared" si="225"/>
        <v>#N/A</v>
      </c>
      <c r="G6097" s="74">
        <v>29109</v>
      </c>
      <c r="H6097" s="77">
        <v>0.29166666666666669</v>
      </c>
      <c r="J6097">
        <v>66.92</v>
      </c>
      <c r="M6097" s="74">
        <v>37875</v>
      </c>
      <c r="N6097" s="77">
        <v>0.29166666666666669</v>
      </c>
      <c r="P6097">
        <v>64.400000000000006</v>
      </c>
      <c r="S6097" s="74">
        <v>34953</v>
      </c>
      <c r="T6097" s="77">
        <v>0.29166666666666669</v>
      </c>
      <c r="V6097">
        <v>57.019999999999996</v>
      </c>
      <c r="X6097" s="42"/>
      <c r="AB6097">
        <v>65.099999999999994</v>
      </c>
      <c r="AC6097">
        <v>62.96</v>
      </c>
      <c r="AE6097" s="74"/>
      <c r="AF6097" s="77"/>
      <c r="AH6097" s="497">
        <v>62.6</v>
      </c>
      <c r="AJ6097" s="42"/>
      <c r="AK6097" s="74"/>
      <c r="AL6097" s="77"/>
      <c r="AN6097" s="497">
        <v>46.04</v>
      </c>
      <c r="AP6097" s="42"/>
      <c r="AQ6097" s="74"/>
      <c r="AR6097" s="77"/>
      <c r="AT6097" s="497">
        <v>64.039999999999992</v>
      </c>
      <c r="AV6097" s="42"/>
      <c r="AW6097" s="74"/>
      <c r="AX6097" s="77"/>
      <c r="BA6097" s="497">
        <v>71.06</v>
      </c>
      <c r="BB6097" s="42"/>
      <c r="BC6097" s="74"/>
      <c r="BD6097" s="77"/>
      <c r="BF6097">
        <v>53.06</v>
      </c>
      <c r="BH6097" s="42"/>
      <c r="BI6097" s="74"/>
      <c r="BJ6097" s="77"/>
      <c r="BL6097" s="497">
        <v>55.040000000000006</v>
      </c>
      <c r="BN6097" s="42"/>
      <c r="BO6097" s="74"/>
      <c r="BP6097" s="77"/>
      <c r="BR6097" s="497">
        <v>57.92</v>
      </c>
      <c r="BT6097" s="42"/>
    </row>
    <row r="6098" spans="1:72" x14ac:dyDescent="0.25">
      <c r="A6098" s="90">
        <v>34953</v>
      </c>
      <c r="B6098" s="20">
        <v>0.33333333333333331</v>
      </c>
      <c r="D6098">
        <v>68</v>
      </c>
      <c r="E6098" t="str">
        <f t="shared" si="224"/>
        <v>WEEKDAY</v>
      </c>
      <c r="F6098" t="e">
        <f t="shared" si="225"/>
        <v>#N/A</v>
      </c>
      <c r="G6098" s="74">
        <v>29109</v>
      </c>
      <c r="H6098" s="77">
        <v>0.33333333333333331</v>
      </c>
      <c r="J6098">
        <v>68.539999999999992</v>
      </c>
      <c r="M6098" s="74">
        <v>37875</v>
      </c>
      <c r="N6098" s="77">
        <v>0.33333333333333331</v>
      </c>
      <c r="P6098">
        <v>68</v>
      </c>
      <c r="S6098" s="74">
        <v>34953</v>
      </c>
      <c r="T6098" s="77">
        <v>0.33333333333333331</v>
      </c>
      <c r="V6098">
        <v>60.980000000000004</v>
      </c>
      <c r="X6098" s="42"/>
      <c r="AB6098">
        <v>67</v>
      </c>
      <c r="AC6098">
        <v>64.94</v>
      </c>
      <c r="AE6098" s="74"/>
      <c r="AF6098" s="77"/>
      <c r="AH6098" s="497">
        <v>66.2</v>
      </c>
      <c r="AJ6098" s="42"/>
      <c r="AK6098" s="74"/>
      <c r="AL6098" s="77"/>
      <c r="AN6098" s="497">
        <v>48.019999999999996</v>
      </c>
      <c r="AP6098" s="42"/>
      <c r="AQ6098" s="74"/>
      <c r="AR6098" s="77"/>
      <c r="AT6098" s="497">
        <v>69.080000000000013</v>
      </c>
      <c r="AV6098" s="42"/>
      <c r="AW6098" s="74"/>
      <c r="AX6098" s="77"/>
      <c r="BA6098" s="497">
        <v>71.06</v>
      </c>
      <c r="BB6098" s="42"/>
      <c r="BC6098" s="74"/>
      <c r="BD6098" s="77"/>
      <c r="BF6098">
        <v>55.040000000000006</v>
      </c>
      <c r="BH6098" s="42"/>
      <c r="BI6098" s="74"/>
      <c r="BJ6098" s="77"/>
      <c r="BL6098" s="497">
        <v>60.08</v>
      </c>
      <c r="BN6098" s="42"/>
      <c r="BO6098" s="74"/>
      <c r="BP6098" s="77"/>
      <c r="BR6098" s="497">
        <v>61.34</v>
      </c>
      <c r="BT6098" s="42"/>
    </row>
    <row r="6099" spans="1:72" x14ac:dyDescent="0.25">
      <c r="A6099" s="90">
        <v>34953</v>
      </c>
      <c r="B6099" s="20">
        <v>0.375</v>
      </c>
      <c r="D6099">
        <v>71.960000000000008</v>
      </c>
      <c r="E6099" t="str">
        <f t="shared" ref="E6099:E6162" si="226">IF(COUNTIF($DI$18:$DI$22, WEEKDAY(A6099))=1, "WEEKDAY", IF(WEEKDAY(A6099) = 1, "SUNDAY", "SATURDAY"))</f>
        <v>WEEKDAY</v>
      </c>
      <c r="F6099" t="e">
        <f t="shared" si="225"/>
        <v>#N/A</v>
      </c>
      <c r="G6099" s="74">
        <v>29109</v>
      </c>
      <c r="H6099" s="77">
        <v>0.375</v>
      </c>
      <c r="J6099">
        <v>70.34</v>
      </c>
      <c r="M6099" s="74">
        <v>37875</v>
      </c>
      <c r="N6099" s="77">
        <v>0.375</v>
      </c>
      <c r="P6099">
        <v>69.800000000000011</v>
      </c>
      <c r="S6099" s="74">
        <v>34953</v>
      </c>
      <c r="T6099" s="77">
        <v>0.375</v>
      </c>
      <c r="V6099">
        <v>62.96</v>
      </c>
      <c r="X6099" s="42"/>
      <c r="AB6099">
        <v>69.3</v>
      </c>
      <c r="AC6099">
        <v>68</v>
      </c>
      <c r="AE6099" s="74"/>
      <c r="AF6099" s="77"/>
      <c r="AH6099" s="497">
        <v>68</v>
      </c>
      <c r="AJ6099" s="42"/>
      <c r="AK6099" s="74"/>
      <c r="AL6099" s="77"/>
      <c r="AN6099" s="497">
        <v>50</v>
      </c>
      <c r="AP6099" s="42"/>
      <c r="AQ6099" s="74"/>
      <c r="AR6099" s="77"/>
      <c r="AT6099" s="497">
        <v>73.039999999999992</v>
      </c>
      <c r="AV6099" s="42"/>
      <c r="AW6099" s="74"/>
      <c r="AX6099" s="77"/>
      <c r="BA6099" s="497">
        <v>71.06</v>
      </c>
      <c r="BB6099" s="42"/>
      <c r="BC6099" s="74"/>
      <c r="BD6099" s="77"/>
      <c r="BF6099">
        <v>57.019999999999996</v>
      </c>
      <c r="BH6099" s="42"/>
      <c r="BI6099" s="74"/>
      <c r="BJ6099" s="77"/>
      <c r="BL6099" s="497">
        <v>66.92</v>
      </c>
      <c r="BN6099" s="42"/>
      <c r="BO6099" s="74"/>
      <c r="BP6099" s="77"/>
      <c r="BR6099" s="497">
        <v>64.580000000000013</v>
      </c>
      <c r="BT6099" s="42"/>
    </row>
    <row r="6100" spans="1:72" x14ac:dyDescent="0.25">
      <c r="A6100" s="90">
        <v>34953</v>
      </c>
      <c r="B6100" s="20">
        <v>0.41666666666666669</v>
      </c>
      <c r="D6100">
        <v>73.94</v>
      </c>
      <c r="E6100" t="str">
        <f t="shared" si="226"/>
        <v>WEEKDAY</v>
      </c>
      <c r="F6100" t="e">
        <f t="shared" si="225"/>
        <v>#N/A</v>
      </c>
      <c r="G6100" s="74">
        <v>29109</v>
      </c>
      <c r="H6100" s="77">
        <v>0.41666666666666669</v>
      </c>
      <c r="J6100">
        <v>71.960000000000008</v>
      </c>
      <c r="M6100" s="74">
        <v>37875</v>
      </c>
      <c r="N6100" s="77">
        <v>0.41666666666666669</v>
      </c>
      <c r="P6100">
        <v>73.400000000000006</v>
      </c>
      <c r="S6100" s="74">
        <v>34953</v>
      </c>
      <c r="T6100" s="77">
        <v>0.41666666666666669</v>
      </c>
      <c r="V6100">
        <v>66.02</v>
      </c>
      <c r="X6100" s="42"/>
      <c r="AB6100">
        <v>71.3</v>
      </c>
      <c r="AC6100">
        <v>69.080000000000013</v>
      </c>
      <c r="AE6100" s="74"/>
      <c r="AF6100" s="77"/>
      <c r="AH6100" s="497">
        <v>69.800000000000011</v>
      </c>
      <c r="AJ6100" s="42"/>
      <c r="AK6100" s="74"/>
      <c r="AL6100" s="77"/>
      <c r="AN6100" s="497">
        <v>51.980000000000004</v>
      </c>
      <c r="AP6100" s="42"/>
      <c r="AQ6100" s="74"/>
      <c r="AR6100" s="77"/>
      <c r="AT6100" s="497">
        <v>75.92</v>
      </c>
      <c r="AV6100" s="42"/>
      <c r="AW6100" s="74"/>
      <c r="AX6100" s="77"/>
      <c r="BA6100" s="497">
        <v>73.039999999999992</v>
      </c>
      <c r="BB6100" s="42"/>
      <c r="BC6100" s="74"/>
      <c r="BD6100" s="77"/>
      <c r="BF6100">
        <v>57.019999999999996</v>
      </c>
      <c r="BH6100" s="42"/>
      <c r="BI6100" s="74"/>
      <c r="BJ6100" s="77"/>
      <c r="BL6100" s="497">
        <v>71.06</v>
      </c>
      <c r="BN6100" s="42"/>
      <c r="BO6100" s="74"/>
      <c r="BP6100" s="77"/>
      <c r="BR6100" s="497">
        <v>68</v>
      </c>
      <c r="BT6100" s="42"/>
    </row>
    <row r="6101" spans="1:72" x14ac:dyDescent="0.25">
      <c r="A6101" s="90">
        <v>34953</v>
      </c>
      <c r="B6101" s="20">
        <v>0.45833333333333331</v>
      </c>
      <c r="D6101">
        <v>75.92</v>
      </c>
      <c r="E6101" t="str">
        <f t="shared" si="226"/>
        <v>WEEKDAY</v>
      </c>
      <c r="F6101" t="e">
        <f t="shared" si="225"/>
        <v>#N/A</v>
      </c>
      <c r="G6101" s="74">
        <v>29109</v>
      </c>
      <c r="H6101" s="77">
        <v>0.45833333333333331</v>
      </c>
      <c r="J6101">
        <v>73.039999999999992</v>
      </c>
      <c r="M6101" s="74">
        <v>37875</v>
      </c>
      <c r="N6101" s="77">
        <v>0.45833333333333331</v>
      </c>
      <c r="P6101">
        <v>73.400000000000006</v>
      </c>
      <c r="S6101" s="74">
        <v>34953</v>
      </c>
      <c r="T6101" s="77">
        <v>0.45833333333333331</v>
      </c>
      <c r="V6101">
        <v>68</v>
      </c>
      <c r="X6101" s="42"/>
      <c r="AB6101">
        <v>73.099999999999994</v>
      </c>
      <c r="AC6101">
        <v>71.06</v>
      </c>
      <c r="AE6101" s="74"/>
      <c r="AF6101" s="77"/>
      <c r="AH6101" s="497">
        <v>71.599999999999994</v>
      </c>
      <c r="AJ6101" s="42"/>
      <c r="AK6101" s="74"/>
      <c r="AL6101" s="77"/>
      <c r="AN6101" s="497">
        <v>51.620000000000005</v>
      </c>
      <c r="AP6101" s="42"/>
      <c r="AQ6101" s="74"/>
      <c r="AR6101" s="77"/>
      <c r="AT6101" s="497">
        <v>78.080000000000013</v>
      </c>
      <c r="AV6101" s="42"/>
      <c r="AW6101" s="74"/>
      <c r="AX6101" s="77"/>
      <c r="BA6101" s="497">
        <v>73.039999999999992</v>
      </c>
      <c r="BB6101" s="42"/>
      <c r="BC6101" s="74"/>
      <c r="BD6101" s="77"/>
      <c r="BF6101">
        <v>60.08</v>
      </c>
      <c r="BH6101" s="42"/>
      <c r="BI6101" s="74"/>
      <c r="BJ6101" s="77"/>
      <c r="BL6101" s="497">
        <v>73.039999999999992</v>
      </c>
      <c r="BN6101" s="42"/>
      <c r="BO6101" s="74"/>
      <c r="BP6101" s="77"/>
      <c r="BR6101" s="497">
        <v>69.080000000000013</v>
      </c>
      <c r="BT6101" s="42"/>
    </row>
    <row r="6102" spans="1:72" x14ac:dyDescent="0.25">
      <c r="A6102" s="90">
        <v>34953</v>
      </c>
      <c r="B6102" s="20">
        <v>0.5</v>
      </c>
      <c r="D6102">
        <v>77</v>
      </c>
      <c r="E6102" t="str">
        <f t="shared" si="226"/>
        <v>WEEKDAY</v>
      </c>
      <c r="F6102" t="e">
        <f t="shared" si="225"/>
        <v>#N/A</v>
      </c>
      <c r="G6102" s="74">
        <v>29109</v>
      </c>
      <c r="H6102" s="77">
        <v>0.5</v>
      </c>
      <c r="J6102">
        <v>73.94</v>
      </c>
      <c r="M6102" s="74">
        <v>37875</v>
      </c>
      <c r="N6102" s="77">
        <v>0.5</v>
      </c>
      <c r="P6102">
        <v>74.300000000000011</v>
      </c>
      <c r="S6102" s="74">
        <v>34953</v>
      </c>
      <c r="T6102" s="77">
        <v>0.5</v>
      </c>
      <c r="V6102">
        <v>71.06</v>
      </c>
      <c r="X6102" s="42"/>
      <c r="AB6102">
        <v>74.400000000000006</v>
      </c>
      <c r="AC6102">
        <v>71.06</v>
      </c>
      <c r="AE6102" s="74"/>
      <c r="AF6102" s="77"/>
      <c r="AH6102" s="497">
        <v>73.400000000000006</v>
      </c>
      <c r="AJ6102" s="42"/>
      <c r="AK6102" s="74"/>
      <c r="AL6102" s="77"/>
      <c r="AN6102" s="497">
        <v>51.44</v>
      </c>
      <c r="AP6102" s="42"/>
      <c r="AQ6102" s="74"/>
      <c r="AR6102" s="77"/>
      <c r="AT6102" s="497">
        <v>78.98</v>
      </c>
      <c r="AV6102" s="42"/>
      <c r="AW6102" s="74"/>
      <c r="AX6102" s="77"/>
      <c r="BA6102" s="497">
        <v>75.02</v>
      </c>
      <c r="BB6102" s="42"/>
      <c r="BC6102" s="74"/>
      <c r="BD6102" s="77"/>
      <c r="BF6102">
        <v>60.08</v>
      </c>
      <c r="BH6102" s="42"/>
      <c r="BI6102" s="74"/>
      <c r="BJ6102" s="77"/>
      <c r="BL6102" s="497">
        <v>73.039999999999992</v>
      </c>
      <c r="BN6102" s="42"/>
      <c r="BO6102" s="74"/>
      <c r="BP6102" s="77"/>
      <c r="BR6102" s="497">
        <v>69.98</v>
      </c>
      <c r="BT6102" s="42"/>
    </row>
    <row r="6103" spans="1:72" x14ac:dyDescent="0.25">
      <c r="A6103" s="90">
        <v>34953</v>
      </c>
      <c r="B6103" s="20">
        <v>0.54166666666666663</v>
      </c>
      <c r="D6103">
        <v>78.98</v>
      </c>
      <c r="E6103" t="str">
        <f t="shared" si="226"/>
        <v>WEEKDAY</v>
      </c>
      <c r="F6103" t="e">
        <f t="shared" si="225"/>
        <v>#N/A</v>
      </c>
      <c r="G6103" s="74">
        <v>29109</v>
      </c>
      <c r="H6103" s="77">
        <v>0.54166666666666663</v>
      </c>
      <c r="J6103">
        <v>75.02</v>
      </c>
      <c r="M6103" s="74">
        <v>37875</v>
      </c>
      <c r="N6103" s="77">
        <v>0.54166666666666663</v>
      </c>
      <c r="P6103">
        <v>74.84</v>
      </c>
      <c r="S6103" s="74">
        <v>34953</v>
      </c>
      <c r="T6103" s="77">
        <v>0.54166666666666663</v>
      </c>
      <c r="V6103">
        <v>69.080000000000013</v>
      </c>
      <c r="X6103" s="42"/>
      <c r="AB6103">
        <v>75.2</v>
      </c>
      <c r="AC6103">
        <v>71.960000000000008</v>
      </c>
      <c r="AE6103" s="74"/>
      <c r="AF6103" s="77"/>
      <c r="AH6103" s="497">
        <v>71.599999999999994</v>
      </c>
      <c r="AJ6103" s="42"/>
      <c r="AK6103" s="74"/>
      <c r="AL6103" s="77"/>
      <c r="AN6103" s="497">
        <v>51.08</v>
      </c>
      <c r="AP6103" s="42"/>
      <c r="AQ6103" s="74"/>
      <c r="AR6103" s="77"/>
      <c r="AT6103" s="497">
        <v>80.960000000000008</v>
      </c>
      <c r="AV6103" s="42"/>
      <c r="AW6103" s="74"/>
      <c r="AX6103" s="77"/>
      <c r="BA6103" s="497">
        <v>75.92</v>
      </c>
      <c r="BB6103" s="42"/>
      <c r="BC6103" s="74"/>
      <c r="BD6103" s="77"/>
      <c r="BF6103">
        <v>62.96</v>
      </c>
      <c r="BH6103" s="42"/>
      <c r="BI6103" s="74"/>
      <c r="BJ6103" s="77"/>
      <c r="BL6103" s="497">
        <v>75.92</v>
      </c>
      <c r="BN6103" s="42"/>
      <c r="BO6103" s="74"/>
      <c r="BP6103" s="77"/>
      <c r="BR6103" s="497">
        <v>71.06</v>
      </c>
      <c r="BT6103" s="42"/>
    </row>
    <row r="6104" spans="1:72" x14ac:dyDescent="0.25">
      <c r="A6104" s="90">
        <v>34953</v>
      </c>
      <c r="B6104" s="20">
        <v>0.58333333333333337</v>
      </c>
      <c r="D6104">
        <v>78.98</v>
      </c>
      <c r="E6104" t="str">
        <f t="shared" si="226"/>
        <v>WEEKDAY</v>
      </c>
      <c r="F6104" t="e">
        <f t="shared" si="225"/>
        <v>#N/A</v>
      </c>
      <c r="G6104" s="74">
        <v>29109</v>
      </c>
      <c r="H6104" s="77">
        <v>0.58333333333333337</v>
      </c>
      <c r="J6104">
        <v>75.38</v>
      </c>
      <c r="M6104" s="74">
        <v>37875</v>
      </c>
      <c r="N6104" s="77">
        <v>0.58333333333333337</v>
      </c>
      <c r="P6104">
        <v>75.2</v>
      </c>
      <c r="S6104" s="74">
        <v>34953</v>
      </c>
      <c r="T6104" s="77">
        <v>0.58333333333333337</v>
      </c>
      <c r="V6104">
        <v>69.080000000000013</v>
      </c>
      <c r="X6104" s="42"/>
      <c r="AB6104">
        <v>75.7</v>
      </c>
      <c r="AC6104">
        <v>71.960000000000008</v>
      </c>
      <c r="AE6104" s="74"/>
      <c r="AF6104" s="77"/>
      <c r="AH6104" s="497">
        <v>73.400000000000006</v>
      </c>
      <c r="AJ6104" s="42"/>
      <c r="AK6104" s="74"/>
      <c r="AL6104" s="77"/>
      <c r="AN6104" s="497">
        <v>51.44</v>
      </c>
      <c r="AP6104" s="42"/>
      <c r="AQ6104" s="74"/>
      <c r="AR6104" s="77"/>
      <c r="AT6104" s="497">
        <v>80.06</v>
      </c>
      <c r="AV6104" s="42"/>
      <c r="AW6104" s="74"/>
      <c r="AX6104" s="77"/>
      <c r="BA6104" s="497">
        <v>75.92</v>
      </c>
      <c r="BB6104" s="42"/>
      <c r="BC6104" s="74"/>
      <c r="BD6104" s="77"/>
      <c r="BF6104">
        <v>64.039999999999992</v>
      </c>
      <c r="BH6104" s="42"/>
      <c r="BI6104" s="74"/>
      <c r="BJ6104" s="77"/>
      <c r="BL6104" s="497">
        <v>75.92</v>
      </c>
      <c r="BN6104" s="42"/>
      <c r="BO6104" s="74"/>
      <c r="BP6104" s="77"/>
      <c r="BR6104" s="497">
        <v>71.06</v>
      </c>
      <c r="BT6104" s="42"/>
    </row>
    <row r="6105" spans="1:72" x14ac:dyDescent="0.25">
      <c r="A6105" s="90">
        <v>34953</v>
      </c>
      <c r="B6105" s="20">
        <v>0.625</v>
      </c>
      <c r="D6105">
        <v>80.06</v>
      </c>
      <c r="E6105" t="str">
        <f t="shared" si="226"/>
        <v>WEEKDAY</v>
      </c>
      <c r="F6105" t="e">
        <f t="shared" si="225"/>
        <v>#N/A</v>
      </c>
      <c r="G6105" s="74">
        <v>29109</v>
      </c>
      <c r="H6105" s="77">
        <v>0.625</v>
      </c>
      <c r="J6105">
        <v>75.56</v>
      </c>
      <c r="M6105" s="74">
        <v>37875</v>
      </c>
      <c r="N6105" s="77">
        <v>0.625</v>
      </c>
      <c r="P6105">
        <v>73.400000000000006</v>
      </c>
      <c r="S6105" s="74">
        <v>34953</v>
      </c>
      <c r="T6105" s="77">
        <v>0.625</v>
      </c>
      <c r="V6105">
        <v>69.080000000000013</v>
      </c>
      <c r="X6105" s="42"/>
      <c r="AB6105">
        <v>75.7</v>
      </c>
      <c r="AC6105">
        <v>69.98</v>
      </c>
      <c r="AE6105" s="74"/>
      <c r="AF6105" s="77"/>
      <c r="AH6105" s="497">
        <v>73.400000000000006</v>
      </c>
      <c r="AJ6105" s="42"/>
      <c r="AK6105" s="74"/>
      <c r="AL6105" s="77"/>
      <c r="AN6105" s="497">
        <v>51.620000000000005</v>
      </c>
      <c r="AP6105" s="42"/>
      <c r="AQ6105" s="74"/>
      <c r="AR6105" s="77"/>
      <c r="AT6105" s="497">
        <v>77</v>
      </c>
      <c r="AV6105" s="42"/>
      <c r="AW6105" s="74"/>
      <c r="AX6105" s="77"/>
      <c r="BA6105" s="497">
        <v>75.02</v>
      </c>
      <c r="BB6105" s="42"/>
      <c r="BC6105" s="74"/>
      <c r="BD6105" s="77"/>
      <c r="BF6105">
        <v>64.039999999999992</v>
      </c>
      <c r="BH6105" s="42"/>
      <c r="BI6105" s="74"/>
      <c r="BJ6105" s="77"/>
      <c r="BL6105" s="497">
        <v>75.92</v>
      </c>
      <c r="BN6105" s="42"/>
      <c r="BO6105" s="74"/>
      <c r="BP6105" s="77"/>
      <c r="BR6105" s="497">
        <v>71.06</v>
      </c>
      <c r="BT6105" s="42"/>
    </row>
    <row r="6106" spans="1:72" x14ac:dyDescent="0.25">
      <c r="A6106" s="90">
        <v>34953</v>
      </c>
      <c r="B6106" s="20">
        <v>0.66666666666666663</v>
      </c>
      <c r="D6106">
        <v>80.960000000000008</v>
      </c>
      <c r="E6106" t="str">
        <f t="shared" si="226"/>
        <v>WEEKDAY</v>
      </c>
      <c r="F6106" t="e">
        <f t="shared" si="225"/>
        <v>#N/A</v>
      </c>
      <c r="G6106" s="74">
        <v>29109</v>
      </c>
      <c r="H6106" s="77">
        <v>0.66666666666666663</v>
      </c>
      <c r="J6106">
        <v>75.92</v>
      </c>
      <c r="M6106" s="74">
        <v>37875</v>
      </c>
      <c r="N6106" s="77">
        <v>0.66666666666666663</v>
      </c>
      <c r="P6106">
        <v>73.400000000000006</v>
      </c>
      <c r="S6106" s="74">
        <v>34953</v>
      </c>
      <c r="T6106" s="77">
        <v>0.66666666666666663</v>
      </c>
      <c r="V6106">
        <v>68</v>
      </c>
      <c r="X6106" s="42"/>
      <c r="AB6106">
        <v>75.400000000000006</v>
      </c>
      <c r="AC6106">
        <v>69.98</v>
      </c>
      <c r="AE6106" s="74"/>
      <c r="AF6106" s="77"/>
      <c r="AH6106" s="497">
        <v>73.400000000000006</v>
      </c>
      <c r="AJ6106" s="42"/>
      <c r="AK6106" s="74"/>
      <c r="AL6106" s="77"/>
      <c r="AN6106" s="497">
        <v>51.980000000000004</v>
      </c>
      <c r="AP6106" s="42"/>
      <c r="AQ6106" s="74"/>
      <c r="AR6106" s="77"/>
      <c r="AT6106" s="497">
        <v>78.080000000000013</v>
      </c>
      <c r="AV6106" s="42"/>
      <c r="AW6106" s="74"/>
      <c r="AX6106" s="77"/>
      <c r="BA6106" s="497">
        <v>73.94</v>
      </c>
      <c r="BB6106" s="42"/>
      <c r="BC6106" s="74"/>
      <c r="BD6106" s="77"/>
      <c r="BF6106">
        <v>64.039999999999992</v>
      </c>
      <c r="BH6106" s="42"/>
      <c r="BI6106" s="74"/>
      <c r="BJ6106" s="77"/>
      <c r="BL6106" s="497">
        <v>75.92</v>
      </c>
      <c r="BN6106" s="42"/>
      <c r="BO6106" s="74"/>
      <c r="BP6106" s="77"/>
      <c r="BR6106" s="497">
        <v>71.06</v>
      </c>
      <c r="BT6106" s="42"/>
    </row>
    <row r="6107" spans="1:72" x14ac:dyDescent="0.25">
      <c r="A6107" s="90">
        <v>34953</v>
      </c>
      <c r="B6107" s="20">
        <v>0.70833333333333337</v>
      </c>
      <c r="D6107">
        <v>80.06</v>
      </c>
      <c r="E6107" t="str">
        <f t="shared" si="226"/>
        <v>WEEKDAY</v>
      </c>
      <c r="F6107" t="e">
        <f t="shared" si="225"/>
        <v>#N/A</v>
      </c>
      <c r="G6107" s="74">
        <v>29109</v>
      </c>
      <c r="H6107" s="77">
        <v>0.70833333333333337</v>
      </c>
      <c r="J6107">
        <v>73.94</v>
      </c>
      <c r="M6107" s="74">
        <v>37875</v>
      </c>
      <c r="N6107" s="77">
        <v>0.70833333333333337</v>
      </c>
      <c r="P6107">
        <v>71.599999999999994</v>
      </c>
      <c r="S6107" s="74">
        <v>34953</v>
      </c>
      <c r="T6107" s="77">
        <v>0.70833333333333337</v>
      </c>
      <c r="V6107">
        <v>69.080000000000013</v>
      </c>
      <c r="X6107" s="42"/>
      <c r="AB6107">
        <v>74.599999999999994</v>
      </c>
      <c r="AC6107">
        <v>69.080000000000013</v>
      </c>
      <c r="AE6107" s="74"/>
      <c r="AF6107" s="77"/>
      <c r="AH6107" s="497">
        <v>71.599999999999994</v>
      </c>
      <c r="AJ6107" s="42"/>
      <c r="AK6107" s="74"/>
      <c r="AL6107" s="77"/>
      <c r="AN6107" s="497">
        <v>51.620000000000005</v>
      </c>
      <c r="AP6107" s="42"/>
      <c r="AQ6107" s="74"/>
      <c r="AR6107" s="77"/>
      <c r="AT6107" s="497">
        <v>77</v>
      </c>
      <c r="AV6107" s="42"/>
      <c r="AW6107" s="74"/>
      <c r="AX6107" s="77"/>
      <c r="BA6107" s="497">
        <v>73.94</v>
      </c>
      <c r="BB6107" s="42"/>
      <c r="BC6107" s="74"/>
      <c r="BD6107" s="77"/>
      <c r="BF6107">
        <v>64.94</v>
      </c>
      <c r="BH6107" s="42"/>
      <c r="BI6107" s="74"/>
      <c r="BJ6107" s="77"/>
      <c r="BL6107" s="497">
        <v>75.02</v>
      </c>
      <c r="BN6107" s="42"/>
      <c r="BO6107" s="74"/>
      <c r="BP6107" s="77"/>
      <c r="BR6107" s="497">
        <v>69.44</v>
      </c>
      <c r="BT6107" s="42"/>
    </row>
    <row r="6108" spans="1:72" x14ac:dyDescent="0.25">
      <c r="A6108" s="90">
        <v>34953</v>
      </c>
      <c r="B6108" s="20">
        <v>0.75</v>
      </c>
      <c r="D6108">
        <v>78.98</v>
      </c>
      <c r="E6108" t="str">
        <f t="shared" si="226"/>
        <v>WEEKDAY</v>
      </c>
      <c r="F6108" t="e">
        <f t="shared" si="225"/>
        <v>#N/A</v>
      </c>
      <c r="G6108" s="74">
        <v>29109</v>
      </c>
      <c r="H6108" s="77">
        <v>0.75</v>
      </c>
      <c r="J6108">
        <v>71.960000000000008</v>
      </c>
      <c r="M6108" s="74">
        <v>37875</v>
      </c>
      <c r="N6108" s="77">
        <v>0.75</v>
      </c>
      <c r="P6108">
        <v>69.800000000000011</v>
      </c>
      <c r="S6108" s="74">
        <v>34953</v>
      </c>
      <c r="T6108" s="77">
        <v>0.75</v>
      </c>
      <c r="V6108">
        <v>66.92</v>
      </c>
      <c r="X6108" s="42"/>
      <c r="AB6108">
        <v>73.3</v>
      </c>
      <c r="AC6108">
        <v>66.92</v>
      </c>
      <c r="AE6108" s="74"/>
      <c r="AF6108" s="77"/>
      <c r="AH6108" s="497">
        <v>68</v>
      </c>
      <c r="AJ6108" s="42"/>
      <c r="AK6108" s="74"/>
      <c r="AL6108" s="77"/>
      <c r="AN6108" s="497">
        <v>51.44</v>
      </c>
      <c r="AP6108" s="42"/>
      <c r="AQ6108" s="74"/>
      <c r="AR6108" s="77"/>
      <c r="AT6108" s="497">
        <v>71.960000000000008</v>
      </c>
      <c r="AV6108" s="42"/>
      <c r="AW6108" s="74"/>
      <c r="AX6108" s="77"/>
      <c r="BA6108" s="497">
        <v>73.039999999999992</v>
      </c>
      <c r="BB6108" s="42"/>
      <c r="BC6108" s="74"/>
      <c r="BD6108" s="77"/>
      <c r="BF6108">
        <v>62.96</v>
      </c>
      <c r="BH6108" s="42"/>
      <c r="BI6108" s="74"/>
      <c r="BJ6108" s="77"/>
      <c r="BL6108" s="497">
        <v>71.960000000000008</v>
      </c>
      <c r="BN6108" s="42"/>
      <c r="BO6108" s="74"/>
      <c r="BP6108" s="77"/>
      <c r="BR6108" s="497">
        <v>67.64</v>
      </c>
      <c r="BT6108" s="42"/>
    </row>
    <row r="6109" spans="1:72" x14ac:dyDescent="0.25">
      <c r="A6109" s="90">
        <v>34953</v>
      </c>
      <c r="B6109" s="20">
        <v>0.79166666666666663</v>
      </c>
      <c r="D6109">
        <v>78.080000000000013</v>
      </c>
      <c r="E6109" t="str">
        <f t="shared" si="226"/>
        <v>WEEKDAY</v>
      </c>
      <c r="F6109" t="e">
        <f t="shared" si="225"/>
        <v>#N/A</v>
      </c>
      <c r="G6109" s="74">
        <v>29109</v>
      </c>
      <c r="H6109" s="77">
        <v>0.79166666666666663</v>
      </c>
      <c r="J6109">
        <v>69.98</v>
      </c>
      <c r="M6109" s="74">
        <v>37875</v>
      </c>
      <c r="N6109" s="77">
        <v>0.79166666666666663</v>
      </c>
      <c r="P6109">
        <v>66.2</v>
      </c>
      <c r="S6109" s="74">
        <v>34953</v>
      </c>
      <c r="T6109" s="77">
        <v>0.79166666666666663</v>
      </c>
      <c r="V6109">
        <v>66.02</v>
      </c>
      <c r="X6109" s="42"/>
      <c r="AB6109">
        <v>71.7</v>
      </c>
      <c r="AC6109">
        <v>64.039999999999992</v>
      </c>
      <c r="AE6109" s="74"/>
      <c r="AF6109" s="77"/>
      <c r="AH6109" s="497">
        <v>66.2</v>
      </c>
      <c r="AJ6109" s="42"/>
      <c r="AK6109" s="74"/>
      <c r="AL6109" s="77"/>
      <c r="AN6109" s="497">
        <v>51.08</v>
      </c>
      <c r="AP6109" s="42"/>
      <c r="AQ6109" s="74"/>
      <c r="AR6109" s="77"/>
      <c r="AT6109" s="497">
        <v>69.080000000000013</v>
      </c>
      <c r="AV6109" s="42"/>
      <c r="AW6109" s="74"/>
      <c r="AX6109" s="77"/>
      <c r="BA6109" s="497">
        <v>71.06</v>
      </c>
      <c r="BB6109" s="42"/>
      <c r="BC6109" s="74"/>
      <c r="BD6109" s="77"/>
      <c r="BF6109">
        <v>59</v>
      </c>
      <c r="BH6109" s="42"/>
      <c r="BI6109" s="74"/>
      <c r="BJ6109" s="77"/>
      <c r="BL6109" s="497">
        <v>68</v>
      </c>
      <c r="BN6109" s="42"/>
      <c r="BO6109" s="74"/>
      <c r="BP6109" s="77"/>
      <c r="BR6109" s="497">
        <v>66.02</v>
      </c>
      <c r="BT6109" s="42"/>
    </row>
    <row r="6110" spans="1:72" x14ac:dyDescent="0.25">
      <c r="A6110" s="90">
        <v>34953</v>
      </c>
      <c r="B6110" s="20">
        <v>0.83333333333333337</v>
      </c>
      <c r="D6110">
        <v>75.92</v>
      </c>
      <c r="E6110" t="str">
        <f t="shared" si="226"/>
        <v>WEEKDAY</v>
      </c>
      <c r="F6110" t="e">
        <f t="shared" si="225"/>
        <v>#N/A</v>
      </c>
      <c r="G6110" s="74">
        <v>29109</v>
      </c>
      <c r="H6110" s="77">
        <v>0.83333333333333337</v>
      </c>
      <c r="J6110">
        <v>68.36</v>
      </c>
      <c r="M6110" s="74">
        <v>37875</v>
      </c>
      <c r="N6110" s="77">
        <v>0.83333333333333337</v>
      </c>
      <c r="P6110">
        <v>66.2</v>
      </c>
      <c r="S6110" s="74">
        <v>34953</v>
      </c>
      <c r="T6110" s="77">
        <v>0.83333333333333337</v>
      </c>
      <c r="V6110">
        <v>66.02</v>
      </c>
      <c r="X6110" s="42"/>
      <c r="AB6110">
        <v>70.5</v>
      </c>
      <c r="AC6110">
        <v>64.039999999999992</v>
      </c>
      <c r="AE6110" s="74"/>
      <c r="AF6110" s="77"/>
      <c r="AH6110" s="497">
        <v>64.400000000000006</v>
      </c>
      <c r="AJ6110" s="42"/>
      <c r="AK6110" s="74"/>
      <c r="AL6110" s="77"/>
      <c r="AN6110" s="497">
        <v>50.36</v>
      </c>
      <c r="AP6110" s="42"/>
      <c r="AQ6110" s="74"/>
      <c r="AR6110" s="77"/>
      <c r="AT6110" s="497">
        <v>66.02</v>
      </c>
      <c r="AV6110" s="42"/>
      <c r="AW6110" s="74"/>
      <c r="AX6110" s="77"/>
      <c r="BA6110" s="497">
        <v>71.06</v>
      </c>
      <c r="BB6110" s="42"/>
      <c r="BC6110" s="74"/>
      <c r="BD6110" s="77"/>
      <c r="BF6110">
        <v>57.92</v>
      </c>
      <c r="BH6110" s="42"/>
      <c r="BI6110" s="74"/>
      <c r="BJ6110" s="77"/>
      <c r="BL6110" s="497">
        <v>68</v>
      </c>
      <c r="BN6110" s="42"/>
      <c r="BO6110" s="74"/>
      <c r="BP6110" s="77"/>
      <c r="BR6110" s="497">
        <v>62.96</v>
      </c>
      <c r="BT6110" s="42"/>
    </row>
    <row r="6111" spans="1:72" x14ac:dyDescent="0.25">
      <c r="A6111" s="90">
        <v>34953</v>
      </c>
      <c r="B6111" s="20">
        <v>0.875</v>
      </c>
      <c r="D6111">
        <v>73.94</v>
      </c>
      <c r="E6111" t="str">
        <f t="shared" si="226"/>
        <v>WEEKDAY</v>
      </c>
      <c r="F6111" t="e">
        <f t="shared" si="225"/>
        <v>#N/A</v>
      </c>
      <c r="G6111" s="74">
        <v>29109</v>
      </c>
      <c r="H6111" s="77">
        <v>0.875</v>
      </c>
      <c r="J6111">
        <v>66.56</v>
      </c>
      <c r="M6111" s="74">
        <v>37875</v>
      </c>
      <c r="N6111" s="77">
        <v>0.875</v>
      </c>
      <c r="P6111">
        <v>64.400000000000006</v>
      </c>
      <c r="S6111" s="74">
        <v>34953</v>
      </c>
      <c r="T6111" s="77">
        <v>0.875</v>
      </c>
      <c r="V6111">
        <v>66.02</v>
      </c>
      <c r="X6111" s="42"/>
      <c r="AB6111">
        <v>69.8</v>
      </c>
      <c r="AC6111">
        <v>62.96</v>
      </c>
      <c r="AE6111" s="74"/>
      <c r="AF6111" s="77"/>
      <c r="AH6111" s="497">
        <v>62.6</v>
      </c>
      <c r="AJ6111" s="42"/>
      <c r="AK6111" s="74"/>
      <c r="AL6111" s="77"/>
      <c r="AN6111" s="497">
        <v>49.64</v>
      </c>
      <c r="AP6111" s="42"/>
      <c r="AQ6111" s="74"/>
      <c r="AR6111" s="77"/>
      <c r="AT6111" s="497">
        <v>64.94</v>
      </c>
      <c r="AV6111" s="42"/>
      <c r="AW6111" s="74"/>
      <c r="AX6111" s="77"/>
      <c r="BA6111" s="497">
        <v>71.06</v>
      </c>
      <c r="BB6111" s="42"/>
      <c r="BC6111" s="74"/>
      <c r="BD6111" s="77"/>
      <c r="BF6111">
        <v>57.92</v>
      </c>
      <c r="BH6111" s="42"/>
      <c r="BI6111" s="74"/>
      <c r="BJ6111" s="77"/>
      <c r="BL6111" s="497">
        <v>68</v>
      </c>
      <c r="BN6111" s="42"/>
      <c r="BO6111" s="74"/>
      <c r="BP6111" s="77"/>
      <c r="BR6111" s="497">
        <v>60.08</v>
      </c>
      <c r="BT6111" s="42"/>
    </row>
    <row r="6112" spans="1:72" x14ac:dyDescent="0.25">
      <c r="A6112" s="90">
        <v>34953</v>
      </c>
      <c r="B6112" s="20">
        <v>0.91666666666666663</v>
      </c>
      <c r="D6112">
        <v>73.039999999999992</v>
      </c>
      <c r="E6112" t="str">
        <f t="shared" si="226"/>
        <v>WEEKDAY</v>
      </c>
      <c r="F6112" t="e">
        <f t="shared" si="225"/>
        <v>#N/A</v>
      </c>
      <c r="G6112" s="74">
        <v>29109</v>
      </c>
      <c r="H6112" s="77">
        <v>0.91666666666666663</v>
      </c>
      <c r="J6112">
        <v>64.94</v>
      </c>
      <c r="M6112" s="74">
        <v>37875</v>
      </c>
      <c r="N6112" s="77">
        <v>0.91666666666666663</v>
      </c>
      <c r="P6112">
        <v>62.6</v>
      </c>
      <c r="S6112" s="74">
        <v>34953</v>
      </c>
      <c r="T6112" s="77">
        <v>0.91666666666666663</v>
      </c>
      <c r="V6112">
        <v>64.039999999999992</v>
      </c>
      <c r="X6112" s="42"/>
      <c r="AB6112">
        <v>69.2</v>
      </c>
      <c r="AC6112">
        <v>62.06</v>
      </c>
      <c r="AE6112" s="74"/>
      <c r="AF6112" s="77"/>
      <c r="AH6112" s="497">
        <v>62.6</v>
      </c>
      <c r="AJ6112" s="42"/>
      <c r="AK6112" s="74"/>
      <c r="AL6112" s="77"/>
      <c r="AN6112" s="497">
        <v>48.92</v>
      </c>
      <c r="AP6112" s="42"/>
      <c r="AQ6112" s="74"/>
      <c r="AR6112" s="77"/>
      <c r="AT6112" s="497">
        <v>62.96</v>
      </c>
      <c r="AV6112" s="42"/>
      <c r="AW6112" s="74"/>
      <c r="AX6112" s="77"/>
      <c r="BA6112" s="497">
        <v>71.960000000000008</v>
      </c>
      <c r="BB6112" s="42"/>
      <c r="BC6112" s="74"/>
      <c r="BD6112" s="77"/>
      <c r="BF6112">
        <v>55.040000000000006</v>
      </c>
      <c r="BH6112" s="42"/>
      <c r="BI6112" s="74"/>
      <c r="BJ6112" s="77"/>
      <c r="BL6112" s="497">
        <v>68</v>
      </c>
      <c r="BN6112" s="42"/>
      <c r="BO6112" s="74"/>
      <c r="BP6112" s="77"/>
      <c r="BR6112" s="497">
        <v>57.019999999999996</v>
      </c>
      <c r="BT6112" s="42"/>
    </row>
    <row r="6113" spans="1:72" x14ac:dyDescent="0.25">
      <c r="A6113" s="90">
        <v>34953</v>
      </c>
      <c r="B6113" s="20">
        <v>0.95833333333333337</v>
      </c>
      <c r="D6113">
        <v>71.06</v>
      </c>
      <c r="E6113" t="str">
        <f t="shared" si="226"/>
        <v>WEEKDAY</v>
      </c>
      <c r="F6113" t="e">
        <f t="shared" si="225"/>
        <v>#N/A</v>
      </c>
      <c r="G6113" s="74">
        <v>29109</v>
      </c>
      <c r="H6113" s="77">
        <v>0.95833333333333337</v>
      </c>
      <c r="J6113">
        <v>63.680000000000007</v>
      </c>
      <c r="M6113" s="74">
        <v>37875</v>
      </c>
      <c r="N6113" s="77">
        <v>0.95833333333333337</v>
      </c>
      <c r="P6113">
        <v>62.6</v>
      </c>
      <c r="S6113" s="74">
        <v>34953</v>
      </c>
      <c r="T6113" s="77">
        <v>0.95833333333333337</v>
      </c>
      <c r="V6113">
        <v>64.94</v>
      </c>
      <c r="X6113" s="42"/>
      <c r="AB6113">
        <v>68.5</v>
      </c>
      <c r="AC6113">
        <v>60.980000000000004</v>
      </c>
      <c r="AE6113" s="74"/>
      <c r="AF6113" s="77"/>
      <c r="AH6113" s="497">
        <v>60.8</v>
      </c>
      <c r="AJ6113" s="42"/>
      <c r="AK6113" s="74"/>
      <c r="AL6113" s="77"/>
      <c r="AN6113" s="497">
        <v>48.2</v>
      </c>
      <c r="AP6113" s="42"/>
      <c r="AQ6113" s="74"/>
      <c r="AR6113" s="77"/>
      <c r="AT6113" s="497">
        <v>62.06</v>
      </c>
      <c r="AV6113" s="42"/>
      <c r="AW6113" s="74"/>
      <c r="AX6113" s="77"/>
      <c r="BA6113" s="497">
        <v>71.06</v>
      </c>
      <c r="BB6113" s="42"/>
      <c r="BC6113" s="74"/>
      <c r="BD6113" s="77"/>
      <c r="BF6113">
        <v>53.06</v>
      </c>
      <c r="BH6113" s="42"/>
      <c r="BI6113" s="74"/>
      <c r="BJ6113" s="77"/>
      <c r="BL6113" s="497">
        <v>66.92</v>
      </c>
      <c r="BN6113" s="42"/>
      <c r="BO6113" s="74"/>
      <c r="BP6113" s="77"/>
      <c r="BR6113" s="497">
        <v>56.3</v>
      </c>
      <c r="BT6113" s="42"/>
    </row>
    <row r="6114" spans="1:72" x14ac:dyDescent="0.25">
      <c r="A6114" s="90">
        <v>34953</v>
      </c>
      <c r="B6114" s="20">
        <v>1</v>
      </c>
      <c r="D6114">
        <v>69.98</v>
      </c>
      <c r="E6114" t="str">
        <f t="shared" si="226"/>
        <v>WEEKDAY</v>
      </c>
      <c r="F6114" t="e">
        <f t="shared" si="225"/>
        <v>#N/A</v>
      </c>
      <c r="G6114" s="74">
        <v>29109</v>
      </c>
      <c r="H6114" s="77">
        <v>1</v>
      </c>
      <c r="J6114">
        <v>62.24</v>
      </c>
      <c r="M6114" s="74">
        <v>37875</v>
      </c>
      <c r="N6114" s="80">
        <v>1</v>
      </c>
      <c r="P6114">
        <v>60.8</v>
      </c>
      <c r="S6114" s="74">
        <v>34953</v>
      </c>
      <c r="T6114" s="80">
        <v>1</v>
      </c>
      <c r="V6114">
        <v>64.039999999999992</v>
      </c>
      <c r="X6114" s="42"/>
      <c r="AB6114">
        <v>67.8</v>
      </c>
      <c r="AC6114">
        <v>59</v>
      </c>
      <c r="AE6114" s="74"/>
      <c r="AF6114" s="80"/>
      <c r="AH6114" s="497">
        <v>60.8</v>
      </c>
      <c r="AJ6114" s="42"/>
      <c r="AK6114" s="74"/>
      <c r="AL6114" s="80"/>
      <c r="AN6114" s="497">
        <v>47.66</v>
      </c>
      <c r="AP6114" s="42"/>
      <c r="AQ6114" s="74"/>
      <c r="AR6114" s="80"/>
      <c r="AT6114" s="497">
        <v>62.06</v>
      </c>
      <c r="AV6114" s="42"/>
      <c r="AW6114" s="74"/>
      <c r="AX6114" s="80"/>
      <c r="BA6114" s="497">
        <v>71.06</v>
      </c>
      <c r="BB6114" s="42"/>
      <c r="BC6114" s="74"/>
      <c r="BD6114" s="80"/>
      <c r="BF6114">
        <v>51.08</v>
      </c>
      <c r="BH6114" s="42"/>
      <c r="BI6114" s="74"/>
      <c r="BJ6114" s="80"/>
      <c r="BL6114" s="497">
        <v>66.92</v>
      </c>
      <c r="BN6114" s="42"/>
      <c r="BO6114" s="74"/>
      <c r="BP6114" s="80"/>
      <c r="BR6114" s="497">
        <v>55.76</v>
      </c>
      <c r="BT6114" s="42"/>
    </row>
    <row r="6115" spans="1:72" x14ac:dyDescent="0.25">
      <c r="A6115" s="90">
        <v>34954</v>
      </c>
      <c r="B6115" s="20">
        <v>4.1666666666666664E-2</v>
      </c>
      <c r="D6115">
        <v>68</v>
      </c>
      <c r="E6115" t="str">
        <f t="shared" si="226"/>
        <v>WEEKDAY</v>
      </c>
      <c r="F6115" t="e">
        <f t="shared" si="225"/>
        <v>#N/A</v>
      </c>
      <c r="G6115" s="74">
        <v>29110</v>
      </c>
      <c r="H6115" s="77">
        <v>4.1666666666666664E-2</v>
      </c>
      <c r="J6115">
        <v>60.980000000000004</v>
      </c>
      <c r="M6115" s="74">
        <v>37876</v>
      </c>
      <c r="N6115" s="77">
        <v>4.1666666666666664E-2</v>
      </c>
      <c r="P6115">
        <v>59</v>
      </c>
      <c r="S6115" s="74">
        <v>34954</v>
      </c>
      <c r="T6115" s="77">
        <v>4.1666666666666664E-2</v>
      </c>
      <c r="V6115">
        <v>64.039999999999992</v>
      </c>
      <c r="X6115" s="42"/>
      <c r="AB6115">
        <v>67.099999999999994</v>
      </c>
      <c r="AC6115">
        <v>59</v>
      </c>
      <c r="AE6115" s="74"/>
      <c r="AF6115" s="77"/>
      <c r="AH6115" s="497">
        <v>60.8</v>
      </c>
      <c r="AJ6115" s="42"/>
      <c r="AK6115" s="74"/>
      <c r="AL6115" s="77"/>
      <c r="AN6115" s="497">
        <v>46.94</v>
      </c>
      <c r="AP6115" s="42"/>
      <c r="AQ6115" s="74"/>
      <c r="AR6115" s="77"/>
      <c r="AT6115" s="497">
        <v>59</v>
      </c>
      <c r="AV6115" s="42"/>
      <c r="AW6115" s="74"/>
      <c r="AX6115" s="77"/>
      <c r="BA6115" s="497">
        <v>71.960000000000008</v>
      </c>
      <c r="BB6115" s="42"/>
      <c r="BC6115" s="74"/>
      <c r="BD6115" s="77"/>
      <c r="BF6115">
        <v>50</v>
      </c>
      <c r="BH6115" s="42"/>
      <c r="BI6115" s="74"/>
      <c r="BJ6115" s="77"/>
      <c r="BL6115" s="497">
        <v>68</v>
      </c>
      <c r="BN6115" s="42"/>
      <c r="BO6115" s="74"/>
      <c r="BP6115" s="77"/>
      <c r="BR6115" s="497">
        <v>55.040000000000006</v>
      </c>
      <c r="BT6115" s="42"/>
    </row>
    <row r="6116" spans="1:72" x14ac:dyDescent="0.25">
      <c r="A6116" s="90">
        <v>34954</v>
      </c>
      <c r="B6116" s="20">
        <v>8.3333333333333329E-2</v>
      </c>
      <c r="D6116">
        <v>66.92</v>
      </c>
      <c r="E6116" t="str">
        <f t="shared" si="226"/>
        <v>WEEKDAY</v>
      </c>
      <c r="F6116" t="e">
        <f t="shared" si="225"/>
        <v>#N/A</v>
      </c>
      <c r="G6116" s="74">
        <v>29110</v>
      </c>
      <c r="H6116" s="77">
        <v>8.3333333333333329E-2</v>
      </c>
      <c r="J6116">
        <v>59.72</v>
      </c>
      <c r="M6116" s="74">
        <v>37876</v>
      </c>
      <c r="N6116" s="77">
        <v>8.3333333333333329E-2</v>
      </c>
      <c r="P6116">
        <v>57.2</v>
      </c>
      <c r="S6116" s="74">
        <v>34954</v>
      </c>
      <c r="T6116" s="77">
        <v>8.3333333333333329E-2</v>
      </c>
      <c r="V6116">
        <v>62.06</v>
      </c>
      <c r="X6116" s="42"/>
      <c r="AB6116">
        <v>66.400000000000006</v>
      </c>
      <c r="AC6116">
        <v>57.92</v>
      </c>
      <c r="AE6116" s="74"/>
      <c r="AF6116" s="77"/>
      <c r="AH6116" s="497">
        <v>60.8</v>
      </c>
      <c r="AJ6116" s="42"/>
      <c r="AK6116" s="74"/>
      <c r="AL6116" s="77"/>
      <c r="AN6116" s="497">
        <v>46.22</v>
      </c>
      <c r="AP6116" s="42"/>
      <c r="AQ6116" s="74"/>
      <c r="AR6116" s="77"/>
      <c r="AT6116" s="497">
        <v>57.92</v>
      </c>
      <c r="AV6116" s="42"/>
      <c r="AW6116" s="74"/>
      <c r="AX6116" s="77"/>
      <c r="BA6116" s="497">
        <v>71.960000000000008</v>
      </c>
      <c r="BB6116" s="42"/>
      <c r="BC6116" s="74"/>
      <c r="BD6116" s="77"/>
      <c r="BF6116">
        <v>48.92</v>
      </c>
      <c r="BH6116" s="42"/>
      <c r="BI6116" s="74"/>
      <c r="BJ6116" s="77"/>
      <c r="BL6116" s="497">
        <v>66.92</v>
      </c>
      <c r="BN6116" s="42"/>
      <c r="BO6116" s="74"/>
      <c r="BP6116" s="77"/>
      <c r="BR6116" s="497">
        <v>50.72</v>
      </c>
      <c r="BT6116" s="42"/>
    </row>
    <row r="6117" spans="1:72" x14ac:dyDescent="0.25">
      <c r="A6117" s="90">
        <v>34954</v>
      </c>
      <c r="B6117" s="20">
        <v>0.125</v>
      </c>
      <c r="D6117">
        <v>66.02</v>
      </c>
      <c r="E6117" t="str">
        <f t="shared" si="226"/>
        <v>WEEKDAY</v>
      </c>
      <c r="F6117" t="e">
        <f t="shared" si="225"/>
        <v>#N/A</v>
      </c>
      <c r="G6117" s="74">
        <v>29110</v>
      </c>
      <c r="H6117" s="77">
        <v>0.125</v>
      </c>
      <c r="J6117">
        <v>58.28</v>
      </c>
      <c r="M6117" s="74">
        <v>37876</v>
      </c>
      <c r="N6117" s="77">
        <v>0.125</v>
      </c>
      <c r="P6117">
        <v>57.2</v>
      </c>
      <c r="S6117" s="74">
        <v>34954</v>
      </c>
      <c r="T6117" s="77">
        <v>0.125</v>
      </c>
      <c r="V6117">
        <v>62.06</v>
      </c>
      <c r="X6117" s="42"/>
      <c r="AB6117">
        <v>65.900000000000006</v>
      </c>
      <c r="AC6117">
        <v>55.94</v>
      </c>
      <c r="AE6117" s="74"/>
      <c r="AF6117" s="77"/>
      <c r="AH6117" s="497">
        <v>59.900000000000006</v>
      </c>
      <c r="AJ6117" s="42"/>
      <c r="AK6117" s="74"/>
      <c r="AL6117" s="77"/>
      <c r="AN6117" s="497">
        <v>45.68</v>
      </c>
      <c r="AP6117" s="42"/>
      <c r="AQ6117" s="74"/>
      <c r="AR6117" s="77"/>
      <c r="AT6117" s="497">
        <v>57.019999999999996</v>
      </c>
      <c r="AV6117" s="42"/>
      <c r="AW6117" s="74"/>
      <c r="AX6117" s="77"/>
      <c r="BA6117" s="497">
        <v>71.960000000000008</v>
      </c>
      <c r="BB6117" s="42"/>
      <c r="BC6117" s="74"/>
      <c r="BD6117" s="77"/>
      <c r="BF6117">
        <v>48.019999999999996</v>
      </c>
      <c r="BH6117" s="42"/>
      <c r="BI6117" s="74"/>
      <c r="BJ6117" s="77"/>
      <c r="BL6117" s="497">
        <v>66.92</v>
      </c>
      <c r="BN6117" s="42"/>
      <c r="BO6117" s="74"/>
      <c r="BP6117" s="77"/>
      <c r="BR6117" s="497">
        <v>46.4</v>
      </c>
      <c r="BT6117" s="42"/>
    </row>
    <row r="6118" spans="1:72" x14ac:dyDescent="0.25">
      <c r="A6118" s="90">
        <v>34954</v>
      </c>
      <c r="B6118" s="20">
        <v>0.16666666666666666</v>
      </c>
      <c r="D6118">
        <v>64.94</v>
      </c>
      <c r="E6118" t="str">
        <f t="shared" si="226"/>
        <v>WEEKDAY</v>
      </c>
      <c r="F6118" t="e">
        <f t="shared" si="225"/>
        <v>#N/A</v>
      </c>
      <c r="G6118" s="74">
        <v>29110</v>
      </c>
      <c r="H6118" s="77">
        <v>0.16666666666666666</v>
      </c>
      <c r="J6118">
        <v>57.019999999999996</v>
      </c>
      <c r="M6118" s="74">
        <v>37876</v>
      </c>
      <c r="N6118" s="77">
        <v>0.16666666666666666</v>
      </c>
      <c r="P6118">
        <v>57.2</v>
      </c>
      <c r="S6118" s="74">
        <v>34954</v>
      </c>
      <c r="T6118" s="77">
        <v>0.16666666666666666</v>
      </c>
      <c r="V6118">
        <v>60.980000000000004</v>
      </c>
      <c r="X6118" s="42"/>
      <c r="AB6118">
        <v>65.3</v>
      </c>
      <c r="AC6118">
        <v>55.040000000000006</v>
      </c>
      <c r="AE6118" s="74"/>
      <c r="AF6118" s="77"/>
      <c r="AH6118" s="497">
        <v>59</v>
      </c>
      <c r="AJ6118" s="42"/>
      <c r="AK6118" s="74"/>
      <c r="AL6118" s="77"/>
      <c r="AN6118" s="497">
        <v>44.96</v>
      </c>
      <c r="AP6118" s="42"/>
      <c r="AQ6118" s="74"/>
      <c r="AR6118" s="77"/>
      <c r="AT6118" s="497">
        <v>55.94</v>
      </c>
      <c r="AV6118" s="42"/>
      <c r="AW6118" s="74"/>
      <c r="AX6118" s="77"/>
      <c r="BA6118" s="497">
        <v>71.960000000000008</v>
      </c>
      <c r="BB6118" s="42"/>
      <c r="BC6118" s="74"/>
      <c r="BD6118" s="77"/>
      <c r="BF6118">
        <v>46.94</v>
      </c>
      <c r="BH6118" s="42"/>
      <c r="BI6118" s="74"/>
      <c r="BJ6118" s="77"/>
      <c r="BL6118" s="497">
        <v>66.02</v>
      </c>
      <c r="BN6118" s="42"/>
      <c r="BO6118" s="74"/>
      <c r="BP6118" s="77"/>
      <c r="BR6118" s="497">
        <v>42.08</v>
      </c>
      <c r="BT6118" s="42"/>
    </row>
    <row r="6119" spans="1:72" x14ac:dyDescent="0.25">
      <c r="A6119" s="90">
        <v>34954</v>
      </c>
      <c r="B6119" s="20">
        <v>0.20833333333333334</v>
      </c>
      <c r="D6119">
        <v>64.039999999999992</v>
      </c>
      <c r="E6119" t="str">
        <f t="shared" si="226"/>
        <v>WEEKDAY</v>
      </c>
      <c r="F6119" t="e">
        <f t="shared" si="225"/>
        <v>#N/A</v>
      </c>
      <c r="G6119" s="74">
        <v>29110</v>
      </c>
      <c r="H6119" s="77">
        <v>0.20833333333333334</v>
      </c>
      <c r="J6119">
        <v>57.74</v>
      </c>
      <c r="M6119" s="74">
        <v>37876</v>
      </c>
      <c r="N6119" s="77">
        <v>0.20833333333333334</v>
      </c>
      <c r="P6119">
        <v>57.2</v>
      </c>
      <c r="S6119" s="74">
        <v>34954</v>
      </c>
      <c r="T6119" s="77">
        <v>0.20833333333333334</v>
      </c>
      <c r="V6119">
        <v>60.980000000000004</v>
      </c>
      <c r="X6119" s="42"/>
      <c r="AB6119">
        <v>64.900000000000006</v>
      </c>
      <c r="AC6119">
        <v>55.040000000000006</v>
      </c>
      <c r="AE6119" s="74"/>
      <c r="AF6119" s="77"/>
      <c r="AH6119" s="497">
        <v>58.46</v>
      </c>
      <c r="AJ6119" s="42"/>
      <c r="AK6119" s="74"/>
      <c r="AL6119" s="77"/>
      <c r="AN6119" s="497">
        <v>45.68</v>
      </c>
      <c r="AP6119" s="42"/>
      <c r="AQ6119" s="74"/>
      <c r="AR6119" s="77"/>
      <c r="AT6119" s="497">
        <v>57.019999999999996</v>
      </c>
      <c r="AV6119" s="42"/>
      <c r="AW6119" s="74"/>
      <c r="AX6119" s="77"/>
      <c r="BA6119" s="497">
        <v>71.960000000000008</v>
      </c>
      <c r="BB6119" s="42"/>
      <c r="BC6119" s="74"/>
      <c r="BD6119" s="77"/>
      <c r="BF6119">
        <v>48.92</v>
      </c>
      <c r="BH6119" s="42"/>
      <c r="BI6119" s="74"/>
      <c r="BJ6119" s="77"/>
      <c r="BL6119" s="497">
        <v>66.02</v>
      </c>
      <c r="BN6119" s="42"/>
      <c r="BO6119" s="74"/>
      <c r="BP6119" s="77"/>
      <c r="BR6119" s="497">
        <v>43.34</v>
      </c>
      <c r="BT6119" s="42"/>
    </row>
    <row r="6120" spans="1:72" x14ac:dyDescent="0.25">
      <c r="A6120" s="90">
        <v>34954</v>
      </c>
      <c r="B6120" s="20">
        <v>0.25</v>
      </c>
      <c r="D6120">
        <v>64.039999999999992</v>
      </c>
      <c r="E6120" t="str">
        <f t="shared" si="226"/>
        <v>WEEKDAY</v>
      </c>
      <c r="F6120" t="e">
        <f t="shared" si="225"/>
        <v>#N/A</v>
      </c>
      <c r="G6120" s="74">
        <v>29110</v>
      </c>
      <c r="H6120" s="77">
        <v>0.25</v>
      </c>
      <c r="J6120">
        <v>58.28</v>
      </c>
      <c r="M6120" s="74">
        <v>37876</v>
      </c>
      <c r="N6120" s="77">
        <v>0.25</v>
      </c>
      <c r="P6120">
        <v>57.2</v>
      </c>
      <c r="S6120" s="74">
        <v>34954</v>
      </c>
      <c r="T6120" s="77">
        <v>0.25</v>
      </c>
      <c r="V6120">
        <v>59</v>
      </c>
      <c r="X6120" s="42"/>
      <c r="AB6120">
        <v>64.7</v>
      </c>
      <c r="AC6120">
        <v>55.94</v>
      </c>
      <c r="AE6120" s="74"/>
      <c r="AF6120" s="77"/>
      <c r="AH6120" s="497">
        <v>57.92</v>
      </c>
      <c r="AJ6120" s="42"/>
      <c r="AK6120" s="74"/>
      <c r="AL6120" s="77"/>
      <c r="AN6120" s="497">
        <v>46.22</v>
      </c>
      <c r="AP6120" s="42"/>
      <c r="AQ6120" s="74"/>
      <c r="AR6120" s="77"/>
      <c r="AT6120" s="497">
        <v>57.019999999999996</v>
      </c>
      <c r="AV6120" s="42"/>
      <c r="AW6120" s="74"/>
      <c r="AX6120" s="77"/>
      <c r="BA6120" s="497">
        <v>71.960000000000008</v>
      </c>
      <c r="BB6120" s="42"/>
      <c r="BC6120" s="74"/>
      <c r="BD6120" s="77"/>
      <c r="BF6120">
        <v>48.92</v>
      </c>
      <c r="BH6120" s="42"/>
      <c r="BI6120" s="74"/>
      <c r="BJ6120" s="77"/>
      <c r="BL6120" s="497">
        <v>64.94</v>
      </c>
      <c r="BN6120" s="42"/>
      <c r="BO6120" s="74"/>
      <c r="BP6120" s="77"/>
      <c r="BR6120" s="497">
        <v>44.78</v>
      </c>
      <c r="BT6120" s="42"/>
    </row>
    <row r="6121" spans="1:72" x14ac:dyDescent="0.25">
      <c r="A6121" s="90">
        <v>34954</v>
      </c>
      <c r="B6121" s="20">
        <v>0.29166666666666669</v>
      </c>
      <c r="D6121">
        <v>64.94</v>
      </c>
      <c r="E6121" t="str">
        <f t="shared" si="226"/>
        <v>WEEKDAY</v>
      </c>
      <c r="F6121" t="e">
        <f t="shared" si="225"/>
        <v>#N/A</v>
      </c>
      <c r="G6121" s="74">
        <v>29110</v>
      </c>
      <c r="H6121" s="77">
        <v>0.29166666666666669</v>
      </c>
      <c r="J6121">
        <v>59</v>
      </c>
      <c r="M6121" s="74">
        <v>37876</v>
      </c>
      <c r="N6121" s="77">
        <v>0.29166666666666669</v>
      </c>
      <c r="P6121">
        <v>59</v>
      </c>
      <c r="S6121" s="74">
        <v>34954</v>
      </c>
      <c r="T6121" s="77">
        <v>0.29166666666666669</v>
      </c>
      <c r="V6121">
        <v>64.94</v>
      </c>
      <c r="X6121" s="42"/>
      <c r="AB6121">
        <v>64.599999999999994</v>
      </c>
      <c r="AC6121">
        <v>62.06</v>
      </c>
      <c r="AE6121" s="74"/>
      <c r="AF6121" s="77"/>
      <c r="AH6121" s="497">
        <v>60.8</v>
      </c>
      <c r="AJ6121" s="42"/>
      <c r="AK6121" s="74"/>
      <c r="AL6121" s="77"/>
      <c r="AN6121" s="497">
        <v>46.94</v>
      </c>
      <c r="AP6121" s="42"/>
      <c r="AQ6121" s="74"/>
      <c r="AR6121" s="77"/>
      <c r="AT6121" s="497">
        <v>60.08</v>
      </c>
      <c r="AV6121" s="42"/>
      <c r="AW6121" s="74"/>
      <c r="AX6121" s="77"/>
      <c r="BA6121" s="497">
        <v>71.960000000000008</v>
      </c>
      <c r="BB6121" s="42"/>
      <c r="BC6121" s="74"/>
      <c r="BD6121" s="77"/>
      <c r="BF6121">
        <v>51.08</v>
      </c>
      <c r="BH6121" s="42"/>
      <c r="BI6121" s="74"/>
      <c r="BJ6121" s="77"/>
      <c r="BL6121" s="497">
        <v>66.92</v>
      </c>
      <c r="BN6121" s="42"/>
      <c r="BO6121" s="74"/>
      <c r="BP6121" s="77"/>
      <c r="BR6121" s="497">
        <v>46.04</v>
      </c>
      <c r="BT6121" s="42"/>
    </row>
    <row r="6122" spans="1:72" x14ac:dyDescent="0.25">
      <c r="A6122" s="90">
        <v>34954</v>
      </c>
      <c r="B6122" s="20">
        <v>0.33333333333333331</v>
      </c>
      <c r="D6122">
        <v>68</v>
      </c>
      <c r="E6122" t="str">
        <f t="shared" si="226"/>
        <v>WEEKDAY</v>
      </c>
      <c r="F6122" t="e">
        <f t="shared" si="225"/>
        <v>#N/A</v>
      </c>
      <c r="G6122" s="74">
        <v>29110</v>
      </c>
      <c r="H6122" s="77">
        <v>0.33333333333333331</v>
      </c>
      <c r="J6122">
        <v>61.34</v>
      </c>
      <c r="M6122" s="74">
        <v>37876</v>
      </c>
      <c r="N6122" s="77">
        <v>0.33333333333333331</v>
      </c>
      <c r="P6122">
        <v>60.8</v>
      </c>
      <c r="S6122" s="74">
        <v>34954</v>
      </c>
      <c r="T6122" s="77">
        <v>0.33333333333333331</v>
      </c>
      <c r="V6122">
        <v>68</v>
      </c>
      <c r="X6122" s="42"/>
      <c r="AB6122">
        <v>66.5</v>
      </c>
      <c r="AC6122">
        <v>66.92</v>
      </c>
      <c r="AE6122" s="74"/>
      <c r="AF6122" s="77"/>
      <c r="AH6122" s="497">
        <v>62.6</v>
      </c>
      <c r="AJ6122" s="42"/>
      <c r="AK6122" s="74"/>
      <c r="AL6122" s="77"/>
      <c r="AN6122" s="497">
        <v>51.620000000000005</v>
      </c>
      <c r="AP6122" s="42"/>
      <c r="AQ6122" s="74"/>
      <c r="AR6122" s="77"/>
      <c r="AT6122" s="497">
        <v>62.96</v>
      </c>
      <c r="AV6122" s="42"/>
      <c r="AW6122" s="74"/>
      <c r="AX6122" s="77"/>
      <c r="BA6122" s="497">
        <v>73.039999999999992</v>
      </c>
      <c r="BB6122" s="42"/>
      <c r="BC6122" s="74"/>
      <c r="BD6122" s="77"/>
      <c r="BF6122">
        <v>57.019999999999996</v>
      </c>
      <c r="BH6122" s="42"/>
      <c r="BI6122" s="74"/>
      <c r="BJ6122" s="77"/>
      <c r="BL6122" s="497">
        <v>69.080000000000013</v>
      </c>
      <c r="BN6122" s="42"/>
      <c r="BO6122" s="74"/>
      <c r="BP6122" s="77"/>
      <c r="BR6122" s="497">
        <v>48.74</v>
      </c>
      <c r="BT6122" s="42"/>
    </row>
    <row r="6123" spans="1:72" x14ac:dyDescent="0.25">
      <c r="A6123" s="90">
        <v>34954</v>
      </c>
      <c r="B6123" s="20">
        <v>0.375</v>
      </c>
      <c r="D6123">
        <v>69.98</v>
      </c>
      <c r="E6123" t="str">
        <f t="shared" si="226"/>
        <v>WEEKDAY</v>
      </c>
      <c r="F6123" t="e">
        <f t="shared" ref="F6123:F6186" si="227">IF(E6123="WEEKDAY",VLOOKUP(B6123,$DD$19:$DG$42,2),IF(E6123="SATURDAY",VLOOKUP(B6123,$DD$19:$DG$42,3),VLOOKUP(B6123,$DD$19:$DG$42,4)))</f>
        <v>#N/A</v>
      </c>
      <c r="G6123" s="74">
        <v>29110</v>
      </c>
      <c r="H6123" s="77">
        <v>0.375</v>
      </c>
      <c r="J6123">
        <v>63.680000000000007</v>
      </c>
      <c r="M6123" s="74">
        <v>37876</v>
      </c>
      <c r="N6123" s="77">
        <v>0.375</v>
      </c>
      <c r="P6123">
        <v>62.6</v>
      </c>
      <c r="S6123" s="74">
        <v>34954</v>
      </c>
      <c r="T6123" s="77">
        <v>0.375</v>
      </c>
      <c r="V6123">
        <v>68</v>
      </c>
      <c r="X6123" s="42"/>
      <c r="AB6123">
        <v>68.8</v>
      </c>
      <c r="AC6123">
        <v>69.080000000000013</v>
      </c>
      <c r="AE6123" s="74"/>
      <c r="AF6123" s="77"/>
      <c r="AH6123" s="497">
        <v>66.2</v>
      </c>
      <c r="AJ6123" s="42"/>
      <c r="AK6123" s="74"/>
      <c r="AL6123" s="77"/>
      <c r="AN6123" s="497">
        <v>56.3</v>
      </c>
      <c r="AP6123" s="42"/>
      <c r="AQ6123" s="74"/>
      <c r="AR6123" s="77"/>
      <c r="AT6123" s="497">
        <v>66.92</v>
      </c>
      <c r="AV6123" s="42"/>
      <c r="AW6123" s="74"/>
      <c r="AX6123" s="77"/>
      <c r="BA6123" s="497">
        <v>75.02</v>
      </c>
      <c r="BB6123" s="42"/>
      <c r="BC6123" s="74"/>
      <c r="BD6123" s="77"/>
      <c r="BF6123">
        <v>64.94</v>
      </c>
      <c r="BH6123" s="42"/>
      <c r="BI6123" s="74"/>
      <c r="BJ6123" s="77"/>
      <c r="BL6123" s="497">
        <v>69.98</v>
      </c>
      <c r="BN6123" s="42"/>
      <c r="BO6123" s="74"/>
      <c r="BP6123" s="77"/>
      <c r="BR6123" s="497">
        <v>51.26</v>
      </c>
      <c r="BT6123" s="42"/>
    </row>
    <row r="6124" spans="1:72" x14ac:dyDescent="0.25">
      <c r="A6124" s="90">
        <v>34954</v>
      </c>
      <c r="B6124" s="20">
        <v>0.41666666666666669</v>
      </c>
      <c r="D6124">
        <v>71.06</v>
      </c>
      <c r="E6124" t="str">
        <f t="shared" si="226"/>
        <v>WEEKDAY</v>
      </c>
      <c r="F6124" t="e">
        <f t="shared" si="227"/>
        <v>#N/A</v>
      </c>
      <c r="G6124" s="74">
        <v>29110</v>
      </c>
      <c r="H6124" s="77">
        <v>0.41666666666666669</v>
      </c>
      <c r="J6124">
        <v>66.02</v>
      </c>
      <c r="M6124" s="74">
        <v>37876</v>
      </c>
      <c r="N6124" s="77">
        <v>0.41666666666666669</v>
      </c>
      <c r="P6124">
        <v>64.400000000000006</v>
      </c>
      <c r="S6124" s="74">
        <v>34954</v>
      </c>
      <c r="T6124" s="77">
        <v>0.41666666666666669</v>
      </c>
      <c r="V6124">
        <v>71.06</v>
      </c>
      <c r="X6124" s="42"/>
      <c r="AB6124">
        <v>70.8</v>
      </c>
      <c r="AC6124">
        <v>69.98</v>
      </c>
      <c r="AE6124" s="74"/>
      <c r="AF6124" s="77"/>
      <c r="AH6124" s="497">
        <v>69.800000000000011</v>
      </c>
      <c r="AJ6124" s="42"/>
      <c r="AK6124" s="74"/>
      <c r="AL6124" s="77"/>
      <c r="AN6124" s="497">
        <v>60.980000000000004</v>
      </c>
      <c r="AP6124" s="42"/>
      <c r="AQ6124" s="74"/>
      <c r="AR6124" s="77"/>
      <c r="AT6124" s="497">
        <v>73.039999999999992</v>
      </c>
      <c r="AV6124" s="42"/>
      <c r="AW6124" s="74"/>
      <c r="AX6124" s="77"/>
      <c r="BA6124" s="497">
        <v>75.92</v>
      </c>
      <c r="BB6124" s="42"/>
      <c r="BC6124" s="74"/>
      <c r="BD6124" s="77"/>
      <c r="BF6124">
        <v>66.92</v>
      </c>
      <c r="BH6124" s="42"/>
      <c r="BI6124" s="74"/>
      <c r="BJ6124" s="77"/>
      <c r="BL6124" s="497">
        <v>71.06</v>
      </c>
      <c r="BN6124" s="42"/>
      <c r="BO6124" s="74"/>
      <c r="BP6124" s="77"/>
      <c r="BR6124" s="497">
        <v>53.96</v>
      </c>
      <c r="BT6124" s="42"/>
    </row>
    <row r="6125" spans="1:72" x14ac:dyDescent="0.25">
      <c r="A6125" s="90">
        <v>34954</v>
      </c>
      <c r="B6125" s="20">
        <v>0.45833333333333331</v>
      </c>
      <c r="D6125">
        <v>73.039999999999992</v>
      </c>
      <c r="E6125" t="str">
        <f t="shared" si="226"/>
        <v>WEEKDAY</v>
      </c>
      <c r="F6125" t="e">
        <f t="shared" si="227"/>
        <v>#N/A</v>
      </c>
      <c r="G6125" s="74">
        <v>29110</v>
      </c>
      <c r="H6125" s="77">
        <v>0.45833333333333331</v>
      </c>
      <c r="J6125">
        <v>67.64</v>
      </c>
      <c r="M6125" s="74">
        <v>37876</v>
      </c>
      <c r="N6125" s="77">
        <v>0.45833333333333331</v>
      </c>
      <c r="P6125">
        <v>66.2</v>
      </c>
      <c r="S6125" s="74">
        <v>34954</v>
      </c>
      <c r="T6125" s="77">
        <v>0.45833333333333331</v>
      </c>
      <c r="V6125">
        <v>71.960000000000008</v>
      </c>
      <c r="X6125" s="42"/>
      <c r="AB6125">
        <v>72.7</v>
      </c>
      <c r="AC6125">
        <v>73.039999999999992</v>
      </c>
      <c r="AE6125" s="74"/>
      <c r="AF6125" s="77"/>
      <c r="AH6125" s="497">
        <v>69.800000000000011</v>
      </c>
      <c r="AJ6125" s="42"/>
      <c r="AK6125" s="74"/>
      <c r="AL6125" s="77"/>
      <c r="AN6125" s="497">
        <v>64.039999999999992</v>
      </c>
      <c r="AP6125" s="42"/>
      <c r="AQ6125" s="74"/>
      <c r="AR6125" s="77"/>
      <c r="AT6125" s="497">
        <v>75.92</v>
      </c>
      <c r="AV6125" s="42"/>
      <c r="AW6125" s="74"/>
      <c r="AX6125" s="77"/>
      <c r="BA6125" s="497">
        <v>80.06</v>
      </c>
      <c r="BB6125" s="42"/>
      <c r="BC6125" s="74"/>
      <c r="BD6125" s="77"/>
      <c r="BF6125">
        <v>69.080000000000013</v>
      </c>
      <c r="BH6125" s="42"/>
      <c r="BI6125" s="74"/>
      <c r="BJ6125" s="77"/>
      <c r="BL6125" s="497">
        <v>73.039999999999992</v>
      </c>
      <c r="BN6125" s="42"/>
      <c r="BO6125" s="74"/>
      <c r="BP6125" s="77"/>
      <c r="BR6125" s="497">
        <v>55.58</v>
      </c>
      <c r="BT6125" s="42"/>
    </row>
    <row r="6126" spans="1:72" x14ac:dyDescent="0.25">
      <c r="A6126" s="90">
        <v>34954</v>
      </c>
      <c r="B6126" s="20">
        <v>0.5</v>
      </c>
      <c r="D6126">
        <v>73.94</v>
      </c>
      <c r="E6126" t="str">
        <f t="shared" si="226"/>
        <v>WEEKDAY</v>
      </c>
      <c r="F6126" t="e">
        <f t="shared" si="227"/>
        <v>#N/A</v>
      </c>
      <c r="G6126" s="74">
        <v>29110</v>
      </c>
      <c r="H6126" s="77">
        <v>0.5</v>
      </c>
      <c r="J6126">
        <v>69.44</v>
      </c>
      <c r="M6126" s="74">
        <v>37876</v>
      </c>
      <c r="N6126" s="77">
        <v>0.5</v>
      </c>
      <c r="P6126">
        <v>66.2</v>
      </c>
      <c r="S6126" s="74">
        <v>34954</v>
      </c>
      <c r="T6126" s="77">
        <v>0.5</v>
      </c>
      <c r="V6126">
        <v>71.960000000000008</v>
      </c>
      <c r="X6126" s="42"/>
      <c r="AB6126">
        <v>74</v>
      </c>
      <c r="AC6126">
        <v>73.94</v>
      </c>
      <c r="AE6126" s="74"/>
      <c r="AF6126" s="77"/>
      <c r="AH6126" s="497">
        <v>71.599999999999994</v>
      </c>
      <c r="AJ6126" s="42"/>
      <c r="AK6126" s="74"/>
      <c r="AL6126" s="77"/>
      <c r="AN6126" s="497">
        <v>66.92</v>
      </c>
      <c r="AP6126" s="42"/>
      <c r="AQ6126" s="74"/>
      <c r="AR6126" s="77"/>
      <c r="AT6126" s="497">
        <v>78.98</v>
      </c>
      <c r="AV6126" s="42"/>
      <c r="AW6126" s="74"/>
      <c r="AX6126" s="77"/>
      <c r="BA6126" s="497">
        <v>80.960000000000008</v>
      </c>
      <c r="BB6126" s="42"/>
      <c r="BC6126" s="74"/>
      <c r="BD6126" s="77"/>
      <c r="BF6126">
        <v>69.080000000000013</v>
      </c>
      <c r="BH6126" s="42"/>
      <c r="BI6126" s="74"/>
      <c r="BJ6126" s="77"/>
      <c r="BL6126" s="497">
        <v>73.039999999999992</v>
      </c>
      <c r="BN6126" s="42"/>
      <c r="BO6126" s="74"/>
      <c r="BP6126" s="77"/>
      <c r="BR6126" s="497">
        <v>57.379999999999995</v>
      </c>
      <c r="BT6126" s="42"/>
    </row>
    <row r="6127" spans="1:72" x14ac:dyDescent="0.25">
      <c r="A6127" s="90">
        <v>34954</v>
      </c>
      <c r="B6127" s="20">
        <v>0.54166666666666663</v>
      </c>
      <c r="D6127">
        <v>75.92</v>
      </c>
      <c r="E6127" t="str">
        <f t="shared" si="226"/>
        <v>WEEKDAY</v>
      </c>
      <c r="F6127" t="e">
        <f t="shared" si="227"/>
        <v>#N/A</v>
      </c>
      <c r="G6127" s="74">
        <v>29110</v>
      </c>
      <c r="H6127" s="77">
        <v>0.54166666666666663</v>
      </c>
      <c r="J6127">
        <v>71.06</v>
      </c>
      <c r="M6127" s="74">
        <v>37876</v>
      </c>
      <c r="N6127" s="77">
        <v>0.54166666666666663</v>
      </c>
      <c r="P6127">
        <v>66.2</v>
      </c>
      <c r="S6127" s="74">
        <v>34954</v>
      </c>
      <c r="T6127" s="77">
        <v>0.54166666666666663</v>
      </c>
      <c r="V6127">
        <v>71.960000000000008</v>
      </c>
      <c r="X6127" s="42"/>
      <c r="AB6127">
        <v>74.7</v>
      </c>
      <c r="AC6127">
        <v>75.02</v>
      </c>
      <c r="AE6127" s="74"/>
      <c r="AF6127" s="77"/>
      <c r="AH6127" s="497">
        <v>73.400000000000006</v>
      </c>
      <c r="AJ6127" s="42"/>
      <c r="AK6127" s="74"/>
      <c r="AL6127" s="77"/>
      <c r="AN6127" s="497">
        <v>69.98</v>
      </c>
      <c r="AP6127" s="42"/>
      <c r="AQ6127" s="74"/>
      <c r="AR6127" s="77"/>
      <c r="AT6127" s="497">
        <v>80.960000000000008</v>
      </c>
      <c r="AV6127" s="42"/>
      <c r="AW6127" s="74"/>
      <c r="AX6127" s="77"/>
      <c r="BA6127" s="497">
        <v>82.039999999999992</v>
      </c>
      <c r="BB6127" s="42"/>
      <c r="BC6127" s="74"/>
      <c r="BD6127" s="77"/>
      <c r="BF6127">
        <v>69.98</v>
      </c>
      <c r="BH6127" s="42"/>
      <c r="BI6127" s="74"/>
      <c r="BJ6127" s="77"/>
      <c r="BL6127" s="497">
        <v>75.92</v>
      </c>
      <c r="BN6127" s="42"/>
      <c r="BO6127" s="74"/>
      <c r="BP6127" s="77"/>
      <c r="BR6127" s="497">
        <v>59</v>
      </c>
      <c r="BT6127" s="42"/>
    </row>
    <row r="6128" spans="1:72" x14ac:dyDescent="0.25">
      <c r="A6128" s="90">
        <v>34954</v>
      </c>
      <c r="B6128" s="20">
        <v>0.58333333333333337</v>
      </c>
      <c r="D6128">
        <v>77</v>
      </c>
      <c r="E6128" t="str">
        <f t="shared" si="226"/>
        <v>WEEKDAY</v>
      </c>
      <c r="F6128" t="e">
        <f t="shared" si="227"/>
        <v>#N/A</v>
      </c>
      <c r="G6128" s="74">
        <v>29110</v>
      </c>
      <c r="H6128" s="77">
        <v>0.58333333333333337</v>
      </c>
      <c r="J6128">
        <v>71.42</v>
      </c>
      <c r="M6128" s="74">
        <v>37876</v>
      </c>
      <c r="N6128" s="77">
        <v>0.58333333333333337</v>
      </c>
      <c r="P6128">
        <v>66.2</v>
      </c>
      <c r="S6128" s="74">
        <v>34954</v>
      </c>
      <c r="T6128" s="77">
        <v>0.58333333333333337</v>
      </c>
      <c r="V6128">
        <v>73.039999999999992</v>
      </c>
      <c r="X6128" s="42"/>
      <c r="AB6128">
        <v>75.2</v>
      </c>
      <c r="AC6128">
        <v>75.02</v>
      </c>
      <c r="AE6128" s="74"/>
      <c r="AF6128" s="77"/>
      <c r="AH6128" s="497">
        <v>71.599999999999994</v>
      </c>
      <c r="AJ6128" s="42"/>
      <c r="AK6128" s="74"/>
      <c r="AL6128" s="77"/>
      <c r="AN6128" s="497">
        <v>71.599999999999994</v>
      </c>
      <c r="AP6128" s="42"/>
      <c r="AQ6128" s="74"/>
      <c r="AR6128" s="77"/>
      <c r="AT6128" s="497">
        <v>80.960000000000008</v>
      </c>
      <c r="AV6128" s="42"/>
      <c r="AW6128" s="74"/>
      <c r="AX6128" s="77"/>
      <c r="BA6128" s="497">
        <v>84.02</v>
      </c>
      <c r="BB6128" s="42"/>
      <c r="BC6128" s="74"/>
      <c r="BD6128" s="77"/>
      <c r="BF6128">
        <v>69.98</v>
      </c>
      <c r="BH6128" s="42"/>
      <c r="BI6128" s="74"/>
      <c r="BJ6128" s="77"/>
      <c r="BL6128" s="497">
        <v>75.92</v>
      </c>
      <c r="BN6128" s="42"/>
      <c r="BO6128" s="74"/>
      <c r="BP6128" s="77"/>
      <c r="BR6128" s="497">
        <v>60.08</v>
      </c>
      <c r="BT6128" s="42"/>
    </row>
    <row r="6129" spans="1:72" x14ac:dyDescent="0.25">
      <c r="A6129" s="90">
        <v>34954</v>
      </c>
      <c r="B6129" s="20">
        <v>0.625</v>
      </c>
      <c r="D6129">
        <v>77</v>
      </c>
      <c r="E6129" t="str">
        <f t="shared" si="226"/>
        <v>WEEKDAY</v>
      </c>
      <c r="F6129" t="e">
        <f t="shared" si="227"/>
        <v>#N/A</v>
      </c>
      <c r="G6129" s="74">
        <v>29110</v>
      </c>
      <c r="H6129" s="77">
        <v>0.625</v>
      </c>
      <c r="J6129">
        <v>71.599999999999994</v>
      </c>
      <c r="M6129" s="74">
        <v>37876</v>
      </c>
      <c r="N6129" s="77">
        <v>0.625</v>
      </c>
      <c r="P6129">
        <v>65.66</v>
      </c>
      <c r="S6129" s="74">
        <v>34954</v>
      </c>
      <c r="T6129" s="77">
        <v>0.625</v>
      </c>
      <c r="V6129">
        <v>71.960000000000008</v>
      </c>
      <c r="X6129" s="42"/>
      <c r="AB6129">
        <v>75.2</v>
      </c>
      <c r="AC6129">
        <v>73.94</v>
      </c>
      <c r="AE6129" s="74"/>
      <c r="AF6129" s="77"/>
      <c r="AH6129" s="497">
        <v>71.599999999999994</v>
      </c>
      <c r="AJ6129" s="42"/>
      <c r="AK6129" s="74"/>
      <c r="AL6129" s="77"/>
      <c r="AN6129" s="497">
        <v>73.400000000000006</v>
      </c>
      <c r="AP6129" s="42"/>
      <c r="AQ6129" s="74"/>
      <c r="AR6129" s="77"/>
      <c r="AT6129" s="497">
        <v>82.039999999999992</v>
      </c>
      <c r="AV6129" s="42"/>
      <c r="AW6129" s="74"/>
      <c r="AX6129" s="77"/>
      <c r="BA6129" s="497">
        <v>82.94</v>
      </c>
      <c r="BB6129" s="42"/>
      <c r="BC6129" s="74"/>
      <c r="BD6129" s="77"/>
      <c r="BF6129">
        <v>71.06</v>
      </c>
      <c r="BH6129" s="42"/>
      <c r="BI6129" s="74"/>
      <c r="BJ6129" s="77"/>
      <c r="BL6129" s="497">
        <v>75.92</v>
      </c>
      <c r="BN6129" s="42"/>
      <c r="BO6129" s="74"/>
      <c r="BP6129" s="77"/>
      <c r="BR6129" s="497">
        <v>60.980000000000004</v>
      </c>
      <c r="BT6129" s="42"/>
    </row>
    <row r="6130" spans="1:72" x14ac:dyDescent="0.25">
      <c r="A6130" s="90">
        <v>34954</v>
      </c>
      <c r="B6130" s="20">
        <v>0.66666666666666663</v>
      </c>
      <c r="D6130">
        <v>75.92</v>
      </c>
      <c r="E6130" t="str">
        <f t="shared" si="226"/>
        <v>WEEKDAY</v>
      </c>
      <c r="F6130" t="e">
        <f t="shared" si="227"/>
        <v>#N/A</v>
      </c>
      <c r="G6130" s="74">
        <v>29110</v>
      </c>
      <c r="H6130" s="77">
        <v>0.66666666666666663</v>
      </c>
      <c r="J6130">
        <v>71.960000000000008</v>
      </c>
      <c r="M6130" s="74">
        <v>37876</v>
      </c>
      <c r="N6130" s="77">
        <v>0.66666666666666663</v>
      </c>
      <c r="P6130">
        <v>64.400000000000006</v>
      </c>
      <c r="S6130" s="74">
        <v>34954</v>
      </c>
      <c r="T6130" s="77">
        <v>0.66666666666666663</v>
      </c>
      <c r="V6130">
        <v>73.039999999999992</v>
      </c>
      <c r="X6130" s="42"/>
      <c r="AB6130">
        <v>74.900000000000006</v>
      </c>
      <c r="AC6130">
        <v>73.039999999999992</v>
      </c>
      <c r="AE6130" s="74"/>
      <c r="AF6130" s="77"/>
      <c r="AH6130" s="497">
        <v>69.800000000000011</v>
      </c>
      <c r="AJ6130" s="42"/>
      <c r="AK6130" s="74"/>
      <c r="AL6130" s="77"/>
      <c r="AN6130" s="497">
        <v>75.02</v>
      </c>
      <c r="AP6130" s="42"/>
      <c r="AQ6130" s="74"/>
      <c r="AR6130" s="77"/>
      <c r="AT6130" s="497">
        <v>78.98</v>
      </c>
      <c r="AV6130" s="42"/>
      <c r="AW6130" s="74"/>
      <c r="AX6130" s="77"/>
      <c r="BA6130" s="497">
        <v>69.98</v>
      </c>
      <c r="BB6130" s="42"/>
      <c r="BC6130" s="74"/>
      <c r="BD6130" s="77"/>
      <c r="BF6130">
        <v>69.080000000000013</v>
      </c>
      <c r="BH6130" s="42"/>
      <c r="BI6130" s="74"/>
      <c r="BJ6130" s="77"/>
      <c r="BL6130" s="497">
        <v>73.039999999999992</v>
      </c>
      <c r="BN6130" s="42"/>
      <c r="BO6130" s="74"/>
      <c r="BP6130" s="77"/>
      <c r="BR6130" s="497">
        <v>62.06</v>
      </c>
      <c r="BT6130" s="42"/>
    </row>
    <row r="6131" spans="1:72" x14ac:dyDescent="0.25">
      <c r="A6131" s="90">
        <v>34954</v>
      </c>
      <c r="B6131" s="20">
        <v>0.70833333333333337</v>
      </c>
      <c r="D6131">
        <v>73.94</v>
      </c>
      <c r="E6131" t="str">
        <f t="shared" si="226"/>
        <v>WEEKDAY</v>
      </c>
      <c r="F6131" t="e">
        <f t="shared" si="227"/>
        <v>#N/A</v>
      </c>
      <c r="G6131" s="74">
        <v>29110</v>
      </c>
      <c r="H6131" s="77">
        <v>0.70833333333333337</v>
      </c>
      <c r="J6131">
        <v>70.7</v>
      </c>
      <c r="M6131" s="74">
        <v>37876</v>
      </c>
      <c r="N6131" s="77">
        <v>0.70833333333333337</v>
      </c>
      <c r="P6131">
        <v>64.400000000000006</v>
      </c>
      <c r="S6131" s="74">
        <v>34954</v>
      </c>
      <c r="T6131" s="77">
        <v>0.70833333333333337</v>
      </c>
      <c r="V6131">
        <v>71.960000000000008</v>
      </c>
      <c r="X6131" s="42"/>
      <c r="AB6131">
        <v>74.099999999999994</v>
      </c>
      <c r="AC6131">
        <v>71.06</v>
      </c>
      <c r="AE6131" s="74"/>
      <c r="AF6131" s="77"/>
      <c r="AH6131" s="497">
        <v>69.800000000000011</v>
      </c>
      <c r="AJ6131" s="42"/>
      <c r="AK6131" s="74"/>
      <c r="AL6131" s="77"/>
      <c r="AN6131" s="497">
        <v>73.039999999999992</v>
      </c>
      <c r="AP6131" s="42"/>
      <c r="AQ6131" s="74"/>
      <c r="AR6131" s="77"/>
      <c r="AT6131" s="497">
        <v>78.080000000000013</v>
      </c>
      <c r="AV6131" s="42"/>
      <c r="AW6131" s="74"/>
      <c r="AX6131" s="77"/>
      <c r="BA6131" s="497">
        <v>71.599999999999994</v>
      </c>
      <c r="BB6131" s="42"/>
      <c r="BC6131" s="74"/>
      <c r="BD6131" s="77"/>
      <c r="BF6131">
        <v>68</v>
      </c>
      <c r="BH6131" s="42"/>
      <c r="BI6131" s="74"/>
      <c r="BJ6131" s="77"/>
      <c r="BL6131" s="497">
        <v>71.960000000000008</v>
      </c>
      <c r="BN6131" s="42"/>
      <c r="BO6131" s="74"/>
      <c r="BP6131" s="77"/>
      <c r="BR6131" s="497">
        <v>58.1</v>
      </c>
      <c r="BT6131" s="42"/>
    </row>
    <row r="6132" spans="1:72" x14ac:dyDescent="0.25">
      <c r="A6132" s="90">
        <v>34954</v>
      </c>
      <c r="B6132" s="20">
        <v>0.75</v>
      </c>
      <c r="D6132">
        <v>73.039999999999992</v>
      </c>
      <c r="E6132" t="str">
        <f t="shared" si="226"/>
        <v>WEEKDAY</v>
      </c>
      <c r="F6132" t="e">
        <f t="shared" si="227"/>
        <v>#N/A</v>
      </c>
      <c r="G6132" s="74">
        <v>29110</v>
      </c>
      <c r="H6132" s="77">
        <v>0.75</v>
      </c>
      <c r="J6132">
        <v>69.259999999999991</v>
      </c>
      <c r="M6132" s="74">
        <v>37876</v>
      </c>
      <c r="N6132" s="77">
        <v>0.75</v>
      </c>
      <c r="P6132">
        <v>62.6</v>
      </c>
      <c r="S6132" s="74">
        <v>34954</v>
      </c>
      <c r="T6132" s="77">
        <v>0.75</v>
      </c>
      <c r="V6132">
        <v>71.06</v>
      </c>
      <c r="X6132" s="42"/>
      <c r="AB6132">
        <v>72.8</v>
      </c>
      <c r="AC6132">
        <v>69.080000000000013</v>
      </c>
      <c r="AE6132" s="74"/>
      <c r="AF6132" s="77"/>
      <c r="AH6132" s="497">
        <v>66.2</v>
      </c>
      <c r="AJ6132" s="42"/>
      <c r="AK6132" s="74"/>
      <c r="AL6132" s="77"/>
      <c r="AN6132" s="497">
        <v>71.06</v>
      </c>
      <c r="AP6132" s="42"/>
      <c r="AQ6132" s="74"/>
      <c r="AR6132" s="77"/>
      <c r="AT6132" s="497">
        <v>77</v>
      </c>
      <c r="AV6132" s="42"/>
      <c r="AW6132" s="74"/>
      <c r="AX6132" s="77"/>
      <c r="BA6132" s="497">
        <v>69.98</v>
      </c>
      <c r="BB6132" s="42"/>
      <c r="BC6132" s="74"/>
      <c r="BD6132" s="77"/>
      <c r="BF6132">
        <v>68</v>
      </c>
      <c r="BH6132" s="42"/>
      <c r="BI6132" s="74"/>
      <c r="BJ6132" s="77"/>
      <c r="BL6132" s="497">
        <v>69.98</v>
      </c>
      <c r="BN6132" s="42"/>
      <c r="BO6132" s="74"/>
      <c r="BP6132" s="77"/>
      <c r="BR6132" s="497">
        <v>53.96</v>
      </c>
      <c r="BT6132" s="42"/>
    </row>
    <row r="6133" spans="1:72" x14ac:dyDescent="0.25">
      <c r="A6133" s="90">
        <v>34954</v>
      </c>
      <c r="B6133" s="20">
        <v>0.79166666666666663</v>
      </c>
      <c r="D6133">
        <v>71.06</v>
      </c>
      <c r="E6133" t="str">
        <f t="shared" si="226"/>
        <v>WEEKDAY</v>
      </c>
      <c r="F6133" t="e">
        <f t="shared" si="227"/>
        <v>#N/A</v>
      </c>
      <c r="G6133" s="74">
        <v>29110</v>
      </c>
      <c r="H6133" s="77">
        <v>0.79166666666666663</v>
      </c>
      <c r="J6133">
        <v>68</v>
      </c>
      <c r="M6133" s="74">
        <v>37876</v>
      </c>
      <c r="N6133" s="77">
        <v>0.79166666666666663</v>
      </c>
      <c r="P6133">
        <v>62.6</v>
      </c>
      <c r="S6133" s="74">
        <v>34954</v>
      </c>
      <c r="T6133" s="77">
        <v>0.79166666666666663</v>
      </c>
      <c r="V6133">
        <v>71.06</v>
      </c>
      <c r="X6133" s="42"/>
      <c r="AB6133">
        <v>71.2</v>
      </c>
      <c r="AC6133">
        <v>66.92</v>
      </c>
      <c r="AE6133" s="74"/>
      <c r="AF6133" s="77"/>
      <c r="AH6133" s="497">
        <v>66.2</v>
      </c>
      <c r="AJ6133" s="42"/>
      <c r="AK6133" s="74"/>
      <c r="AL6133" s="77"/>
      <c r="AN6133" s="497">
        <v>69.080000000000013</v>
      </c>
      <c r="AP6133" s="42"/>
      <c r="AQ6133" s="74"/>
      <c r="AR6133" s="77"/>
      <c r="AT6133" s="497">
        <v>73.94</v>
      </c>
      <c r="AV6133" s="42"/>
      <c r="AW6133" s="74"/>
      <c r="AX6133" s="77"/>
      <c r="BA6133" s="497">
        <v>69.080000000000013</v>
      </c>
      <c r="BB6133" s="42"/>
      <c r="BC6133" s="74"/>
      <c r="BD6133" s="77"/>
      <c r="BF6133">
        <v>68</v>
      </c>
      <c r="BH6133" s="42"/>
      <c r="BI6133" s="74"/>
      <c r="BJ6133" s="77"/>
      <c r="BL6133" s="497">
        <v>69.98</v>
      </c>
      <c r="BN6133" s="42"/>
      <c r="BO6133" s="74"/>
      <c r="BP6133" s="77"/>
      <c r="BR6133" s="497">
        <v>50</v>
      </c>
      <c r="BT6133" s="42"/>
    </row>
    <row r="6134" spans="1:72" x14ac:dyDescent="0.25">
      <c r="A6134" s="90">
        <v>34954</v>
      </c>
      <c r="B6134" s="20">
        <v>0.83333333333333337</v>
      </c>
      <c r="D6134">
        <v>71.06</v>
      </c>
      <c r="E6134" t="str">
        <f t="shared" si="226"/>
        <v>WEEKDAY</v>
      </c>
      <c r="F6134" t="e">
        <f t="shared" si="227"/>
        <v>#N/A</v>
      </c>
      <c r="G6134" s="74">
        <v>29110</v>
      </c>
      <c r="H6134" s="77">
        <v>0.83333333333333337</v>
      </c>
      <c r="J6134">
        <v>67.28</v>
      </c>
      <c r="M6134" s="74">
        <v>37876</v>
      </c>
      <c r="N6134" s="77">
        <v>0.83333333333333337</v>
      </c>
      <c r="P6134">
        <v>62.6</v>
      </c>
      <c r="S6134" s="74">
        <v>34954</v>
      </c>
      <c r="T6134" s="77">
        <v>0.83333333333333337</v>
      </c>
      <c r="V6134">
        <v>71.06</v>
      </c>
      <c r="X6134" s="42"/>
      <c r="AB6134">
        <v>70</v>
      </c>
      <c r="AC6134">
        <v>66.92</v>
      </c>
      <c r="AE6134" s="74"/>
      <c r="AF6134" s="77"/>
      <c r="AH6134" s="497">
        <v>64.400000000000006</v>
      </c>
      <c r="AJ6134" s="42"/>
      <c r="AK6134" s="74"/>
      <c r="AL6134" s="77"/>
      <c r="AN6134" s="497">
        <v>67.099999999999994</v>
      </c>
      <c r="AP6134" s="42"/>
      <c r="AQ6134" s="74"/>
      <c r="AR6134" s="77"/>
      <c r="AT6134" s="497">
        <v>71.06</v>
      </c>
      <c r="AV6134" s="42"/>
      <c r="AW6134" s="74"/>
      <c r="AX6134" s="77"/>
      <c r="BA6134" s="497">
        <v>69.98</v>
      </c>
      <c r="BB6134" s="42"/>
      <c r="BC6134" s="74"/>
      <c r="BD6134" s="77"/>
      <c r="BF6134">
        <v>66.92</v>
      </c>
      <c r="BH6134" s="42"/>
      <c r="BI6134" s="74"/>
      <c r="BJ6134" s="77"/>
      <c r="BL6134" s="497">
        <v>68</v>
      </c>
      <c r="BN6134" s="42"/>
      <c r="BO6134" s="74"/>
      <c r="BP6134" s="77"/>
      <c r="BR6134" s="497">
        <v>49.28</v>
      </c>
      <c r="BT6134" s="42"/>
    </row>
    <row r="6135" spans="1:72" x14ac:dyDescent="0.25">
      <c r="A6135" s="90">
        <v>34954</v>
      </c>
      <c r="B6135" s="20">
        <v>0.875</v>
      </c>
      <c r="D6135">
        <v>71.06</v>
      </c>
      <c r="E6135" t="str">
        <f t="shared" si="226"/>
        <v>WEEKDAY</v>
      </c>
      <c r="F6135" t="e">
        <f t="shared" si="227"/>
        <v>#N/A</v>
      </c>
      <c r="G6135" s="74">
        <v>29110</v>
      </c>
      <c r="H6135" s="77">
        <v>0.875</v>
      </c>
      <c r="J6135">
        <v>66.740000000000009</v>
      </c>
      <c r="M6135" s="74">
        <v>37876</v>
      </c>
      <c r="N6135" s="77">
        <v>0.875</v>
      </c>
      <c r="P6135">
        <v>62.6</v>
      </c>
      <c r="S6135" s="74">
        <v>34954</v>
      </c>
      <c r="T6135" s="77">
        <v>0.875</v>
      </c>
      <c r="V6135">
        <v>71.960000000000008</v>
      </c>
      <c r="X6135" s="42"/>
      <c r="AB6135">
        <v>69.3</v>
      </c>
      <c r="AC6135">
        <v>66.02</v>
      </c>
      <c r="AE6135" s="74"/>
      <c r="AF6135" s="77"/>
      <c r="AH6135" s="497">
        <v>66.2</v>
      </c>
      <c r="AJ6135" s="42"/>
      <c r="AK6135" s="74"/>
      <c r="AL6135" s="77"/>
      <c r="AN6135" s="497">
        <v>64.94</v>
      </c>
      <c r="AP6135" s="42"/>
      <c r="AQ6135" s="74"/>
      <c r="AR6135" s="77"/>
      <c r="AT6135" s="497">
        <v>69.080000000000013</v>
      </c>
      <c r="AV6135" s="42"/>
      <c r="AW6135" s="74"/>
      <c r="AX6135" s="77"/>
      <c r="BA6135" s="497">
        <v>69.98</v>
      </c>
      <c r="BB6135" s="42"/>
      <c r="BC6135" s="74"/>
      <c r="BD6135" s="77"/>
      <c r="BF6135">
        <v>66.92</v>
      </c>
      <c r="BH6135" s="42"/>
      <c r="BI6135" s="74"/>
      <c r="BJ6135" s="77"/>
      <c r="BL6135" s="497">
        <v>66.92</v>
      </c>
      <c r="BN6135" s="42"/>
      <c r="BO6135" s="74"/>
      <c r="BP6135" s="77"/>
      <c r="BR6135" s="497">
        <v>48.74</v>
      </c>
      <c r="BT6135" s="42"/>
    </row>
    <row r="6136" spans="1:72" x14ac:dyDescent="0.25">
      <c r="A6136" s="90">
        <v>34954</v>
      </c>
      <c r="B6136" s="20">
        <v>0.91666666666666663</v>
      </c>
      <c r="D6136">
        <v>69.98</v>
      </c>
      <c r="E6136" t="str">
        <f t="shared" si="226"/>
        <v>WEEKDAY</v>
      </c>
      <c r="F6136" t="e">
        <f t="shared" si="227"/>
        <v>#N/A</v>
      </c>
      <c r="G6136" s="74">
        <v>29110</v>
      </c>
      <c r="H6136" s="77">
        <v>0.91666666666666663</v>
      </c>
      <c r="J6136">
        <v>66.02</v>
      </c>
      <c r="M6136" s="74">
        <v>37876</v>
      </c>
      <c r="N6136" s="77">
        <v>0.91666666666666663</v>
      </c>
      <c r="P6136">
        <v>62.6</v>
      </c>
      <c r="S6136" s="74">
        <v>34954</v>
      </c>
      <c r="T6136" s="77">
        <v>0.91666666666666663</v>
      </c>
      <c r="V6136">
        <v>71.06</v>
      </c>
      <c r="X6136" s="42"/>
      <c r="AB6136">
        <v>68.7</v>
      </c>
      <c r="AC6136">
        <v>64.039999999999992</v>
      </c>
      <c r="AE6136" s="74"/>
      <c r="AF6136" s="77"/>
      <c r="AH6136" s="497">
        <v>66.2</v>
      </c>
      <c r="AJ6136" s="42"/>
      <c r="AK6136" s="74"/>
      <c r="AL6136" s="77"/>
      <c r="AN6136" s="497">
        <v>62.96</v>
      </c>
      <c r="AP6136" s="42"/>
      <c r="AQ6136" s="74"/>
      <c r="AR6136" s="77"/>
      <c r="AT6136" s="497">
        <v>68</v>
      </c>
      <c r="AV6136" s="42"/>
      <c r="AW6136" s="74"/>
      <c r="AX6136" s="77"/>
      <c r="BA6136" s="497">
        <v>68</v>
      </c>
      <c r="BB6136" s="42"/>
      <c r="BC6136" s="74"/>
      <c r="BD6136" s="77"/>
      <c r="BF6136">
        <v>62.96</v>
      </c>
      <c r="BH6136" s="42"/>
      <c r="BI6136" s="74"/>
      <c r="BJ6136" s="77"/>
      <c r="BL6136" s="497">
        <v>68</v>
      </c>
      <c r="BN6136" s="42"/>
      <c r="BO6136" s="74"/>
      <c r="BP6136" s="77"/>
      <c r="BR6136" s="497">
        <v>48.019999999999996</v>
      </c>
      <c r="BT6136" s="42"/>
    </row>
    <row r="6137" spans="1:72" x14ac:dyDescent="0.25">
      <c r="A6137" s="90">
        <v>34954</v>
      </c>
      <c r="B6137" s="20">
        <v>0.95833333333333337</v>
      </c>
      <c r="D6137">
        <v>69.080000000000013</v>
      </c>
      <c r="E6137" t="str">
        <f t="shared" si="226"/>
        <v>WEEKDAY</v>
      </c>
      <c r="F6137" t="e">
        <f t="shared" si="227"/>
        <v>#N/A</v>
      </c>
      <c r="G6137" s="74">
        <v>29110</v>
      </c>
      <c r="H6137" s="77">
        <v>0.95833333333333337</v>
      </c>
      <c r="J6137">
        <v>65.300000000000011</v>
      </c>
      <c r="M6137" s="74">
        <v>37876</v>
      </c>
      <c r="N6137" s="77">
        <v>0.95833333333333337</v>
      </c>
      <c r="P6137">
        <v>62.6</v>
      </c>
      <c r="S6137" s="74">
        <v>34954</v>
      </c>
      <c r="T6137" s="77">
        <v>0.95833333333333337</v>
      </c>
      <c r="V6137">
        <v>71.06</v>
      </c>
      <c r="X6137" s="42"/>
      <c r="AB6137">
        <v>68</v>
      </c>
      <c r="AC6137">
        <v>64.039999999999992</v>
      </c>
      <c r="AE6137" s="74"/>
      <c r="AF6137" s="77"/>
      <c r="AH6137" s="497">
        <v>64.400000000000006</v>
      </c>
      <c r="AJ6137" s="42"/>
      <c r="AK6137" s="74"/>
      <c r="AL6137" s="77"/>
      <c r="AN6137" s="497">
        <v>61.7</v>
      </c>
      <c r="AP6137" s="42"/>
      <c r="AQ6137" s="74"/>
      <c r="AR6137" s="77"/>
      <c r="AT6137" s="497">
        <v>66.02</v>
      </c>
      <c r="AV6137" s="42"/>
      <c r="AW6137" s="74"/>
      <c r="AX6137" s="77"/>
      <c r="BA6137" s="497">
        <v>66.02</v>
      </c>
      <c r="BB6137" s="42"/>
      <c r="BC6137" s="74"/>
      <c r="BD6137" s="77"/>
      <c r="BF6137">
        <v>64.039999999999992</v>
      </c>
      <c r="BH6137" s="42"/>
      <c r="BI6137" s="74"/>
      <c r="BJ6137" s="77"/>
      <c r="BL6137" s="497">
        <v>66.02</v>
      </c>
      <c r="BN6137" s="42"/>
      <c r="BO6137" s="74"/>
      <c r="BP6137" s="77"/>
      <c r="BR6137" s="497">
        <v>48.019999999999996</v>
      </c>
      <c r="BT6137" s="42"/>
    </row>
    <row r="6138" spans="1:72" x14ac:dyDescent="0.25">
      <c r="A6138" s="90">
        <v>34954</v>
      </c>
      <c r="B6138" s="20">
        <v>1</v>
      </c>
      <c r="D6138">
        <v>69.080000000000013</v>
      </c>
      <c r="E6138" t="str">
        <f t="shared" si="226"/>
        <v>WEEKDAY</v>
      </c>
      <c r="F6138" t="e">
        <f t="shared" si="227"/>
        <v>#N/A</v>
      </c>
      <c r="G6138" s="74">
        <v>29110</v>
      </c>
      <c r="H6138" s="77">
        <v>1</v>
      </c>
      <c r="J6138">
        <v>64.759999999999991</v>
      </c>
      <c r="M6138" s="74">
        <v>37876</v>
      </c>
      <c r="N6138" s="80">
        <v>1</v>
      </c>
      <c r="P6138">
        <v>62.6</v>
      </c>
      <c r="S6138" s="74">
        <v>34954</v>
      </c>
      <c r="T6138" s="80">
        <v>1</v>
      </c>
      <c r="V6138">
        <v>69.98</v>
      </c>
      <c r="X6138" s="42"/>
      <c r="AB6138">
        <v>67.400000000000006</v>
      </c>
      <c r="AC6138">
        <v>64.039999999999992</v>
      </c>
      <c r="AE6138" s="74"/>
      <c r="AF6138" s="80"/>
      <c r="AH6138" s="497">
        <v>64.400000000000006</v>
      </c>
      <c r="AJ6138" s="42"/>
      <c r="AK6138" s="74"/>
      <c r="AL6138" s="80"/>
      <c r="AN6138" s="497">
        <v>60.26</v>
      </c>
      <c r="AP6138" s="42"/>
      <c r="AQ6138" s="74"/>
      <c r="AR6138" s="80"/>
      <c r="AT6138" s="497">
        <v>64.039999999999992</v>
      </c>
      <c r="AV6138" s="42"/>
      <c r="AW6138" s="74"/>
      <c r="AX6138" s="80"/>
      <c r="BA6138" s="497">
        <v>64.94</v>
      </c>
      <c r="BB6138" s="42"/>
      <c r="BC6138" s="74"/>
      <c r="BD6138" s="80"/>
      <c r="BF6138">
        <v>64.039999999999992</v>
      </c>
      <c r="BH6138" s="42"/>
      <c r="BI6138" s="74"/>
      <c r="BJ6138" s="80"/>
      <c r="BL6138" s="497">
        <v>64.94</v>
      </c>
      <c r="BN6138" s="42"/>
      <c r="BO6138" s="74"/>
      <c r="BP6138" s="80"/>
      <c r="BR6138" s="497">
        <v>48.019999999999996</v>
      </c>
      <c r="BT6138" s="42"/>
    </row>
    <row r="6139" spans="1:72" x14ac:dyDescent="0.25">
      <c r="A6139" s="90">
        <v>34955</v>
      </c>
      <c r="B6139" s="20">
        <v>4.1666666666666664E-2</v>
      </c>
      <c r="D6139">
        <v>68</v>
      </c>
      <c r="E6139" t="str">
        <f t="shared" si="226"/>
        <v>WEEKDAY</v>
      </c>
      <c r="F6139" t="e">
        <f t="shared" si="227"/>
        <v>#N/A</v>
      </c>
      <c r="G6139" s="74">
        <v>29111</v>
      </c>
      <c r="H6139" s="77">
        <v>4.1666666666666664E-2</v>
      </c>
      <c r="J6139">
        <v>64.039999999999992</v>
      </c>
      <c r="M6139" s="74">
        <v>37877</v>
      </c>
      <c r="N6139" s="77">
        <v>4.1666666666666664E-2</v>
      </c>
      <c r="P6139">
        <v>62.6</v>
      </c>
      <c r="S6139" s="74">
        <v>34955</v>
      </c>
      <c r="T6139" s="77">
        <v>4.1666666666666664E-2</v>
      </c>
      <c r="V6139">
        <v>69.98</v>
      </c>
      <c r="X6139" s="42"/>
      <c r="AB6139">
        <v>66.599999999999994</v>
      </c>
      <c r="AC6139">
        <v>62.96</v>
      </c>
      <c r="AE6139" s="74"/>
      <c r="AF6139" s="77"/>
      <c r="AH6139" s="497">
        <v>62.6</v>
      </c>
      <c r="AJ6139" s="42"/>
      <c r="AK6139" s="74"/>
      <c r="AL6139" s="77"/>
      <c r="AN6139" s="497">
        <v>59</v>
      </c>
      <c r="AP6139" s="42"/>
      <c r="AQ6139" s="74"/>
      <c r="AR6139" s="77"/>
      <c r="AT6139" s="497">
        <v>62.06</v>
      </c>
      <c r="AV6139" s="42"/>
      <c r="AW6139" s="74"/>
      <c r="AX6139" s="77"/>
      <c r="BA6139" s="497">
        <v>64.039999999999992</v>
      </c>
      <c r="BB6139" s="42"/>
      <c r="BC6139" s="74"/>
      <c r="BD6139" s="77"/>
      <c r="BF6139">
        <v>64.94</v>
      </c>
      <c r="BH6139" s="42"/>
      <c r="BI6139" s="74"/>
      <c r="BJ6139" s="77"/>
      <c r="BL6139" s="497">
        <v>64.039999999999992</v>
      </c>
      <c r="BN6139" s="42"/>
      <c r="BO6139" s="74"/>
      <c r="BP6139" s="77"/>
      <c r="BR6139" s="497">
        <v>48.019999999999996</v>
      </c>
      <c r="BT6139" s="42"/>
    </row>
    <row r="6140" spans="1:72" x14ac:dyDescent="0.25">
      <c r="A6140" s="90">
        <v>34955</v>
      </c>
      <c r="B6140" s="20">
        <v>8.3333333333333329E-2</v>
      </c>
      <c r="D6140">
        <v>68</v>
      </c>
      <c r="E6140" t="str">
        <f t="shared" si="226"/>
        <v>WEEKDAY</v>
      </c>
      <c r="F6140" t="e">
        <f t="shared" si="227"/>
        <v>#N/A</v>
      </c>
      <c r="G6140" s="74">
        <v>29111</v>
      </c>
      <c r="H6140" s="77">
        <v>8.3333333333333329E-2</v>
      </c>
      <c r="J6140">
        <v>63.680000000000007</v>
      </c>
      <c r="M6140" s="74">
        <v>37877</v>
      </c>
      <c r="N6140" s="77">
        <v>8.3333333333333329E-2</v>
      </c>
      <c r="P6140">
        <v>60.8</v>
      </c>
      <c r="S6140" s="74">
        <v>34955</v>
      </c>
      <c r="T6140" s="77">
        <v>8.3333333333333329E-2</v>
      </c>
      <c r="V6140">
        <v>71.06</v>
      </c>
      <c r="X6140" s="42"/>
      <c r="AB6140">
        <v>66</v>
      </c>
      <c r="AC6140">
        <v>62.96</v>
      </c>
      <c r="AE6140" s="74"/>
      <c r="AF6140" s="77"/>
      <c r="AH6140" s="497">
        <v>62.6</v>
      </c>
      <c r="AJ6140" s="42"/>
      <c r="AK6140" s="74"/>
      <c r="AL6140" s="77"/>
      <c r="AN6140" s="497">
        <v>57.92</v>
      </c>
      <c r="AP6140" s="42"/>
      <c r="AQ6140" s="74"/>
      <c r="AR6140" s="77"/>
      <c r="AT6140" s="497">
        <v>60.08</v>
      </c>
      <c r="AV6140" s="42"/>
      <c r="AW6140" s="74"/>
      <c r="AX6140" s="77"/>
      <c r="BA6140" s="497">
        <v>62.06</v>
      </c>
      <c r="BB6140" s="42"/>
      <c r="BC6140" s="74"/>
      <c r="BD6140" s="77"/>
      <c r="BF6140">
        <v>64.94</v>
      </c>
      <c r="BH6140" s="42"/>
      <c r="BI6140" s="74"/>
      <c r="BJ6140" s="77"/>
      <c r="BL6140" s="497">
        <v>62.96</v>
      </c>
      <c r="BN6140" s="42"/>
      <c r="BO6140" s="74"/>
      <c r="BP6140" s="77"/>
      <c r="BR6140" s="497">
        <v>48.019999999999996</v>
      </c>
      <c r="BT6140" s="42"/>
    </row>
    <row r="6141" spans="1:72" x14ac:dyDescent="0.25">
      <c r="A6141" s="90">
        <v>34955</v>
      </c>
      <c r="B6141" s="20">
        <v>0.125</v>
      </c>
      <c r="D6141">
        <v>66.92</v>
      </c>
      <c r="E6141" t="str">
        <f t="shared" si="226"/>
        <v>WEEKDAY</v>
      </c>
      <c r="F6141" t="e">
        <f t="shared" si="227"/>
        <v>#N/A</v>
      </c>
      <c r="G6141" s="74">
        <v>29111</v>
      </c>
      <c r="H6141" s="77">
        <v>0.125</v>
      </c>
      <c r="J6141">
        <v>63.319999999999993</v>
      </c>
      <c r="M6141" s="74">
        <v>37877</v>
      </c>
      <c r="N6141" s="77">
        <v>0.125</v>
      </c>
      <c r="P6141">
        <v>62.6</v>
      </c>
      <c r="S6141" s="74">
        <v>34955</v>
      </c>
      <c r="T6141" s="77">
        <v>0.125</v>
      </c>
      <c r="V6141">
        <v>71.06</v>
      </c>
      <c r="X6141" s="42"/>
      <c r="AB6141">
        <v>65.400000000000006</v>
      </c>
      <c r="AC6141">
        <v>62.06</v>
      </c>
      <c r="AE6141" s="74"/>
      <c r="AF6141" s="77"/>
      <c r="AH6141" s="497">
        <v>62.6</v>
      </c>
      <c r="AJ6141" s="42"/>
      <c r="AK6141" s="74"/>
      <c r="AL6141" s="77"/>
      <c r="AN6141" s="497">
        <v>57.019999999999996</v>
      </c>
      <c r="AP6141" s="42"/>
      <c r="AQ6141" s="74"/>
      <c r="AR6141" s="77"/>
      <c r="AT6141" s="497">
        <v>59</v>
      </c>
      <c r="AV6141" s="42"/>
      <c r="AW6141" s="74"/>
      <c r="AX6141" s="77"/>
      <c r="BA6141" s="497">
        <v>62.06</v>
      </c>
      <c r="BB6141" s="42"/>
      <c r="BC6141" s="74"/>
      <c r="BD6141" s="77"/>
      <c r="BF6141">
        <v>64.94</v>
      </c>
      <c r="BH6141" s="42"/>
      <c r="BI6141" s="74"/>
      <c r="BJ6141" s="77"/>
      <c r="BL6141" s="497">
        <v>60.980000000000004</v>
      </c>
      <c r="BN6141" s="42"/>
      <c r="BO6141" s="74"/>
      <c r="BP6141" s="77"/>
      <c r="BR6141" s="497">
        <v>48.019999999999996</v>
      </c>
      <c r="BT6141" s="42"/>
    </row>
    <row r="6142" spans="1:72" x14ac:dyDescent="0.25">
      <c r="A6142" s="90">
        <v>34955</v>
      </c>
      <c r="B6142" s="20">
        <v>0.16666666666666666</v>
      </c>
      <c r="D6142">
        <v>66.92</v>
      </c>
      <c r="E6142" t="str">
        <f t="shared" si="226"/>
        <v>WEEKDAY</v>
      </c>
      <c r="F6142" t="e">
        <f t="shared" si="227"/>
        <v>#N/A</v>
      </c>
      <c r="G6142" s="74">
        <v>29111</v>
      </c>
      <c r="H6142" s="77">
        <v>0.16666666666666666</v>
      </c>
      <c r="J6142">
        <v>62.96</v>
      </c>
      <c r="M6142" s="74">
        <v>37877</v>
      </c>
      <c r="N6142" s="77">
        <v>0.16666666666666666</v>
      </c>
      <c r="P6142">
        <v>62.6</v>
      </c>
      <c r="S6142" s="74">
        <v>34955</v>
      </c>
      <c r="T6142" s="77">
        <v>0.16666666666666666</v>
      </c>
      <c r="V6142">
        <v>69.98</v>
      </c>
      <c r="X6142" s="42"/>
      <c r="AB6142">
        <v>64.900000000000006</v>
      </c>
      <c r="AC6142">
        <v>62.06</v>
      </c>
      <c r="AE6142" s="74"/>
      <c r="AF6142" s="77"/>
      <c r="AH6142" s="497">
        <v>62.6</v>
      </c>
      <c r="AJ6142" s="42"/>
      <c r="AK6142" s="74"/>
      <c r="AL6142" s="77"/>
      <c r="AN6142" s="497">
        <v>55.94</v>
      </c>
      <c r="AP6142" s="42"/>
      <c r="AQ6142" s="74"/>
      <c r="AR6142" s="77"/>
      <c r="AT6142" s="497">
        <v>57.92</v>
      </c>
      <c r="AV6142" s="42"/>
      <c r="AW6142" s="74"/>
      <c r="AX6142" s="77"/>
      <c r="BA6142" s="497">
        <v>60.980000000000004</v>
      </c>
      <c r="BB6142" s="42"/>
      <c r="BC6142" s="74"/>
      <c r="BD6142" s="77"/>
      <c r="BF6142">
        <v>64.94</v>
      </c>
      <c r="BH6142" s="42"/>
      <c r="BI6142" s="74"/>
      <c r="BJ6142" s="77"/>
      <c r="BL6142" s="497">
        <v>59</v>
      </c>
      <c r="BN6142" s="42"/>
      <c r="BO6142" s="74"/>
      <c r="BP6142" s="77"/>
      <c r="BR6142" s="497">
        <v>48.019999999999996</v>
      </c>
      <c r="BT6142" s="42"/>
    </row>
    <row r="6143" spans="1:72" x14ac:dyDescent="0.25">
      <c r="A6143" s="90">
        <v>34955</v>
      </c>
      <c r="B6143" s="20">
        <v>0.20833333333333334</v>
      </c>
      <c r="D6143">
        <v>66.92</v>
      </c>
      <c r="E6143" t="str">
        <f t="shared" si="226"/>
        <v>WEEKDAY</v>
      </c>
      <c r="F6143" t="e">
        <f t="shared" si="227"/>
        <v>#N/A</v>
      </c>
      <c r="G6143" s="74">
        <v>29111</v>
      </c>
      <c r="H6143" s="77">
        <v>0.20833333333333334</v>
      </c>
      <c r="J6143">
        <v>63.680000000000007</v>
      </c>
      <c r="M6143" s="74">
        <v>37877</v>
      </c>
      <c r="N6143" s="77">
        <v>0.20833333333333334</v>
      </c>
      <c r="P6143">
        <v>62.6</v>
      </c>
      <c r="S6143" s="74">
        <v>34955</v>
      </c>
      <c r="T6143" s="77">
        <v>0.20833333333333334</v>
      </c>
      <c r="V6143">
        <v>71.06</v>
      </c>
      <c r="X6143" s="42"/>
      <c r="AB6143">
        <v>64.400000000000006</v>
      </c>
      <c r="AC6143">
        <v>60.08</v>
      </c>
      <c r="AE6143" s="74"/>
      <c r="AF6143" s="77"/>
      <c r="AH6143" s="497">
        <v>62.6</v>
      </c>
      <c r="AJ6143" s="42"/>
      <c r="AK6143" s="74"/>
      <c r="AL6143" s="77"/>
      <c r="AN6143" s="497">
        <v>57.019999999999996</v>
      </c>
      <c r="AP6143" s="42"/>
      <c r="AQ6143" s="74"/>
      <c r="AR6143" s="77"/>
      <c r="AT6143" s="497">
        <v>59</v>
      </c>
      <c r="AV6143" s="42"/>
      <c r="AW6143" s="74"/>
      <c r="AX6143" s="77"/>
      <c r="BA6143" s="497">
        <v>59</v>
      </c>
      <c r="BB6143" s="42"/>
      <c r="BC6143" s="74"/>
      <c r="BD6143" s="77"/>
      <c r="BF6143">
        <v>64.94</v>
      </c>
      <c r="BH6143" s="42"/>
      <c r="BI6143" s="74"/>
      <c r="BJ6143" s="77"/>
      <c r="BL6143" s="497">
        <v>57.92</v>
      </c>
      <c r="BN6143" s="42"/>
      <c r="BO6143" s="74"/>
      <c r="BP6143" s="77"/>
      <c r="BR6143" s="497">
        <v>48.74</v>
      </c>
      <c r="BT6143" s="42"/>
    </row>
    <row r="6144" spans="1:72" x14ac:dyDescent="0.25">
      <c r="A6144" s="90">
        <v>34955</v>
      </c>
      <c r="B6144" s="20">
        <v>0.25</v>
      </c>
      <c r="D6144">
        <v>66.02</v>
      </c>
      <c r="E6144" t="str">
        <f t="shared" si="226"/>
        <v>WEEKDAY</v>
      </c>
      <c r="F6144" t="e">
        <f t="shared" si="227"/>
        <v>#N/A</v>
      </c>
      <c r="G6144" s="74">
        <v>29111</v>
      </c>
      <c r="H6144" s="77">
        <v>0.25</v>
      </c>
      <c r="J6144">
        <v>64.22</v>
      </c>
      <c r="M6144" s="74">
        <v>37877</v>
      </c>
      <c r="N6144" s="77">
        <v>0.25</v>
      </c>
      <c r="P6144">
        <v>62.6</v>
      </c>
      <c r="S6144" s="74">
        <v>34955</v>
      </c>
      <c r="T6144" s="77">
        <v>0.25</v>
      </c>
      <c r="V6144">
        <v>71.06</v>
      </c>
      <c r="X6144" s="42"/>
      <c r="AB6144">
        <v>64.2</v>
      </c>
      <c r="AC6144">
        <v>64.039999999999992</v>
      </c>
      <c r="AE6144" s="74"/>
      <c r="AF6144" s="77"/>
      <c r="AH6144" s="497">
        <v>60.8</v>
      </c>
      <c r="AJ6144" s="42"/>
      <c r="AK6144" s="74"/>
      <c r="AL6144" s="77"/>
      <c r="AN6144" s="497">
        <v>57.92</v>
      </c>
      <c r="AP6144" s="42"/>
      <c r="AQ6144" s="74"/>
      <c r="AR6144" s="77"/>
      <c r="AT6144" s="497">
        <v>57.92</v>
      </c>
      <c r="AV6144" s="42"/>
      <c r="AW6144" s="74"/>
      <c r="AX6144" s="77"/>
      <c r="BA6144" s="497">
        <v>59</v>
      </c>
      <c r="BB6144" s="42"/>
      <c r="BC6144" s="74"/>
      <c r="BD6144" s="77"/>
      <c r="BF6144">
        <v>66.02</v>
      </c>
      <c r="BH6144" s="42"/>
      <c r="BI6144" s="74"/>
      <c r="BJ6144" s="77"/>
      <c r="BL6144" s="497">
        <v>57.92</v>
      </c>
      <c r="BN6144" s="42"/>
      <c r="BO6144" s="74"/>
      <c r="BP6144" s="77"/>
      <c r="BR6144" s="497">
        <v>49.28</v>
      </c>
      <c r="BT6144" s="42"/>
    </row>
    <row r="6145" spans="1:72" x14ac:dyDescent="0.25">
      <c r="A6145" s="90">
        <v>34955</v>
      </c>
      <c r="B6145" s="20">
        <v>0.29166666666666669</v>
      </c>
      <c r="D6145">
        <v>68</v>
      </c>
      <c r="E6145" t="str">
        <f t="shared" si="226"/>
        <v>WEEKDAY</v>
      </c>
      <c r="F6145" t="e">
        <f t="shared" si="227"/>
        <v>#N/A</v>
      </c>
      <c r="G6145" s="74">
        <v>29111</v>
      </c>
      <c r="H6145" s="77">
        <v>0.29166666666666669</v>
      </c>
      <c r="J6145">
        <v>64.94</v>
      </c>
      <c r="M6145" s="74">
        <v>37877</v>
      </c>
      <c r="N6145" s="77">
        <v>0.29166666666666669</v>
      </c>
      <c r="P6145">
        <v>62.6</v>
      </c>
      <c r="S6145" s="74">
        <v>34955</v>
      </c>
      <c r="T6145" s="77">
        <v>0.29166666666666669</v>
      </c>
      <c r="V6145">
        <v>71.06</v>
      </c>
      <c r="X6145" s="42"/>
      <c r="AB6145">
        <v>64.2</v>
      </c>
      <c r="AC6145">
        <v>66.92</v>
      </c>
      <c r="AE6145" s="74"/>
      <c r="AF6145" s="77"/>
      <c r="AH6145" s="497">
        <v>60.8</v>
      </c>
      <c r="AJ6145" s="42"/>
      <c r="AK6145" s="74"/>
      <c r="AL6145" s="77"/>
      <c r="AN6145" s="497">
        <v>59</v>
      </c>
      <c r="AP6145" s="42"/>
      <c r="AQ6145" s="74"/>
      <c r="AR6145" s="77"/>
      <c r="AT6145" s="497">
        <v>60.980000000000004</v>
      </c>
      <c r="AV6145" s="42"/>
      <c r="AW6145" s="74"/>
      <c r="AX6145" s="77"/>
      <c r="BA6145" s="497">
        <v>59</v>
      </c>
      <c r="BB6145" s="42"/>
      <c r="BC6145" s="74"/>
      <c r="BD6145" s="77"/>
      <c r="BF6145">
        <v>68</v>
      </c>
      <c r="BH6145" s="42"/>
      <c r="BI6145" s="74"/>
      <c r="BJ6145" s="77"/>
      <c r="BL6145" s="497">
        <v>60.08</v>
      </c>
      <c r="BN6145" s="42"/>
      <c r="BO6145" s="74"/>
      <c r="BP6145" s="77"/>
      <c r="BR6145" s="497">
        <v>50</v>
      </c>
      <c r="BT6145" s="42"/>
    </row>
    <row r="6146" spans="1:72" x14ac:dyDescent="0.25">
      <c r="A6146" s="90">
        <v>34955</v>
      </c>
      <c r="B6146" s="20">
        <v>0.33333333333333331</v>
      </c>
      <c r="D6146">
        <v>71.06</v>
      </c>
      <c r="E6146" t="str">
        <f t="shared" si="226"/>
        <v>WEEKDAY</v>
      </c>
      <c r="F6146" t="e">
        <f t="shared" si="227"/>
        <v>#N/A</v>
      </c>
      <c r="G6146" s="74">
        <v>29111</v>
      </c>
      <c r="H6146" s="77">
        <v>0.33333333333333331</v>
      </c>
      <c r="J6146">
        <v>67.64</v>
      </c>
      <c r="M6146" s="74">
        <v>37877</v>
      </c>
      <c r="N6146" s="77">
        <v>0.33333333333333331</v>
      </c>
      <c r="P6146">
        <v>64.400000000000006</v>
      </c>
      <c r="S6146" s="74">
        <v>34955</v>
      </c>
      <c r="T6146" s="77">
        <v>0.33333333333333331</v>
      </c>
      <c r="V6146">
        <v>71.06</v>
      </c>
      <c r="X6146" s="42"/>
      <c r="AB6146">
        <v>66.099999999999994</v>
      </c>
      <c r="AC6146">
        <v>71.06</v>
      </c>
      <c r="AE6146" s="74"/>
      <c r="AF6146" s="77"/>
      <c r="AH6146" s="497">
        <v>62.6</v>
      </c>
      <c r="AJ6146" s="42"/>
      <c r="AK6146" s="74"/>
      <c r="AL6146" s="77"/>
      <c r="AN6146" s="497">
        <v>62.06</v>
      </c>
      <c r="AP6146" s="42"/>
      <c r="AQ6146" s="74"/>
      <c r="AR6146" s="77"/>
      <c r="AT6146" s="497">
        <v>69.080000000000013</v>
      </c>
      <c r="AV6146" s="42"/>
      <c r="AW6146" s="74"/>
      <c r="AX6146" s="77"/>
      <c r="BA6146" s="497">
        <v>60.980000000000004</v>
      </c>
      <c r="BB6146" s="42"/>
      <c r="BC6146" s="74"/>
      <c r="BD6146" s="77"/>
      <c r="BF6146">
        <v>69.080000000000013</v>
      </c>
      <c r="BH6146" s="42"/>
      <c r="BI6146" s="74"/>
      <c r="BJ6146" s="77"/>
      <c r="BL6146" s="497">
        <v>62.06</v>
      </c>
      <c r="BN6146" s="42"/>
      <c r="BO6146" s="74"/>
      <c r="BP6146" s="77"/>
      <c r="BR6146" s="497">
        <v>51.26</v>
      </c>
      <c r="BT6146" s="42"/>
    </row>
    <row r="6147" spans="1:72" x14ac:dyDescent="0.25">
      <c r="A6147" s="90">
        <v>34955</v>
      </c>
      <c r="B6147" s="20">
        <v>0.375</v>
      </c>
      <c r="D6147">
        <v>73.94</v>
      </c>
      <c r="E6147" t="str">
        <f t="shared" si="226"/>
        <v>WEEKDAY</v>
      </c>
      <c r="F6147" t="e">
        <f t="shared" si="227"/>
        <v>#N/A</v>
      </c>
      <c r="G6147" s="74">
        <v>29111</v>
      </c>
      <c r="H6147" s="77">
        <v>0.375</v>
      </c>
      <c r="J6147">
        <v>70.34</v>
      </c>
      <c r="M6147" s="74">
        <v>37877</v>
      </c>
      <c r="N6147" s="77">
        <v>0.375</v>
      </c>
      <c r="P6147">
        <v>64.400000000000006</v>
      </c>
      <c r="S6147" s="74">
        <v>34955</v>
      </c>
      <c r="T6147" s="77">
        <v>0.375</v>
      </c>
      <c r="V6147">
        <v>71.960000000000008</v>
      </c>
      <c r="X6147" s="42"/>
      <c r="AB6147">
        <v>68.5</v>
      </c>
      <c r="AC6147">
        <v>75.02</v>
      </c>
      <c r="AE6147" s="74"/>
      <c r="AF6147" s="77"/>
      <c r="AH6147" s="497">
        <v>62.6</v>
      </c>
      <c r="AJ6147" s="42"/>
      <c r="AK6147" s="74"/>
      <c r="AL6147" s="77"/>
      <c r="AN6147" s="497">
        <v>64.94</v>
      </c>
      <c r="AP6147" s="42"/>
      <c r="AQ6147" s="74"/>
      <c r="AR6147" s="77"/>
      <c r="AT6147" s="497">
        <v>73.039999999999992</v>
      </c>
      <c r="AV6147" s="42"/>
      <c r="AW6147" s="74"/>
      <c r="AX6147" s="77"/>
      <c r="BA6147" s="497">
        <v>62.96</v>
      </c>
      <c r="BB6147" s="42"/>
      <c r="BC6147" s="74"/>
      <c r="BD6147" s="77"/>
      <c r="BF6147">
        <v>69.98</v>
      </c>
      <c r="BH6147" s="42"/>
      <c r="BI6147" s="74"/>
      <c r="BJ6147" s="77"/>
      <c r="BL6147" s="497">
        <v>66.02</v>
      </c>
      <c r="BN6147" s="42"/>
      <c r="BO6147" s="74"/>
      <c r="BP6147" s="77"/>
      <c r="BR6147" s="497">
        <v>52.7</v>
      </c>
      <c r="BT6147" s="42"/>
    </row>
    <row r="6148" spans="1:72" x14ac:dyDescent="0.25">
      <c r="A6148" s="90">
        <v>34955</v>
      </c>
      <c r="B6148" s="20">
        <v>0.41666666666666669</v>
      </c>
      <c r="D6148">
        <v>77</v>
      </c>
      <c r="E6148" t="str">
        <f t="shared" si="226"/>
        <v>WEEKDAY</v>
      </c>
      <c r="F6148" t="e">
        <f t="shared" si="227"/>
        <v>#N/A</v>
      </c>
      <c r="G6148" s="74">
        <v>29111</v>
      </c>
      <c r="H6148" s="77">
        <v>0.41666666666666669</v>
      </c>
      <c r="J6148">
        <v>73.039999999999992</v>
      </c>
      <c r="M6148" s="74">
        <v>37877</v>
      </c>
      <c r="N6148" s="77">
        <v>0.41666666666666669</v>
      </c>
      <c r="P6148">
        <v>64.400000000000006</v>
      </c>
      <c r="S6148" s="74">
        <v>34955</v>
      </c>
      <c r="T6148" s="77">
        <v>0.41666666666666669</v>
      </c>
      <c r="V6148">
        <v>73.039999999999992</v>
      </c>
      <c r="X6148" s="42"/>
      <c r="AB6148">
        <v>70.5</v>
      </c>
      <c r="AC6148">
        <v>78.080000000000013</v>
      </c>
      <c r="AE6148" s="74"/>
      <c r="AF6148" s="77"/>
      <c r="AH6148" s="497">
        <v>62.6</v>
      </c>
      <c r="AJ6148" s="42"/>
      <c r="AK6148" s="74"/>
      <c r="AL6148" s="77"/>
      <c r="AN6148" s="497">
        <v>68</v>
      </c>
      <c r="AP6148" s="42"/>
      <c r="AQ6148" s="74"/>
      <c r="AR6148" s="77"/>
      <c r="AT6148" s="497">
        <v>75.92</v>
      </c>
      <c r="AV6148" s="42"/>
      <c r="AW6148" s="74"/>
      <c r="AX6148" s="77"/>
      <c r="BA6148" s="497">
        <v>64.94</v>
      </c>
      <c r="BB6148" s="42"/>
      <c r="BC6148" s="74"/>
      <c r="BD6148" s="77"/>
      <c r="BF6148">
        <v>71.06</v>
      </c>
      <c r="BH6148" s="42"/>
      <c r="BI6148" s="74"/>
      <c r="BJ6148" s="77"/>
      <c r="BL6148" s="497">
        <v>68</v>
      </c>
      <c r="BN6148" s="42"/>
      <c r="BO6148" s="74"/>
      <c r="BP6148" s="77"/>
      <c r="BR6148" s="497">
        <v>53.96</v>
      </c>
      <c r="BT6148" s="42"/>
    </row>
    <row r="6149" spans="1:72" x14ac:dyDescent="0.25">
      <c r="A6149" s="90">
        <v>34955</v>
      </c>
      <c r="B6149" s="20">
        <v>0.45833333333333331</v>
      </c>
      <c r="D6149">
        <v>80.06</v>
      </c>
      <c r="E6149" t="str">
        <f t="shared" si="226"/>
        <v>WEEKDAY</v>
      </c>
      <c r="F6149" t="e">
        <f t="shared" si="227"/>
        <v>#N/A</v>
      </c>
      <c r="G6149" s="74">
        <v>29111</v>
      </c>
      <c r="H6149" s="77">
        <v>0.45833333333333331</v>
      </c>
      <c r="J6149">
        <v>73.400000000000006</v>
      </c>
      <c r="M6149" s="74">
        <v>37877</v>
      </c>
      <c r="N6149" s="77">
        <v>0.45833333333333331</v>
      </c>
      <c r="P6149">
        <v>64.400000000000006</v>
      </c>
      <c r="S6149" s="74">
        <v>34955</v>
      </c>
      <c r="T6149" s="77">
        <v>0.45833333333333331</v>
      </c>
      <c r="V6149">
        <v>77</v>
      </c>
      <c r="X6149" s="42"/>
      <c r="AB6149">
        <v>72.400000000000006</v>
      </c>
      <c r="AC6149">
        <v>78.98</v>
      </c>
      <c r="AE6149" s="74"/>
      <c r="AF6149" s="77"/>
      <c r="AH6149" s="497">
        <v>62.78</v>
      </c>
      <c r="AJ6149" s="42"/>
      <c r="AK6149" s="74"/>
      <c r="AL6149" s="77"/>
      <c r="AN6149" s="497">
        <v>71.06</v>
      </c>
      <c r="AP6149" s="42"/>
      <c r="AQ6149" s="74"/>
      <c r="AR6149" s="77"/>
      <c r="AT6149" s="497">
        <v>77</v>
      </c>
      <c r="AV6149" s="42"/>
      <c r="AW6149" s="74"/>
      <c r="AX6149" s="77"/>
      <c r="BA6149" s="497">
        <v>66.02</v>
      </c>
      <c r="BB6149" s="42"/>
      <c r="BC6149" s="74"/>
      <c r="BD6149" s="77"/>
      <c r="BF6149">
        <v>73.039999999999992</v>
      </c>
      <c r="BH6149" s="42"/>
      <c r="BI6149" s="74"/>
      <c r="BJ6149" s="77"/>
      <c r="BL6149" s="497">
        <v>71.06</v>
      </c>
      <c r="BN6149" s="42"/>
      <c r="BO6149" s="74"/>
      <c r="BP6149" s="77"/>
      <c r="BR6149" s="497">
        <v>55.58</v>
      </c>
      <c r="BT6149" s="42"/>
    </row>
    <row r="6150" spans="1:72" x14ac:dyDescent="0.25">
      <c r="A6150" s="90">
        <v>34955</v>
      </c>
      <c r="B6150" s="20">
        <v>0.5</v>
      </c>
      <c r="D6150">
        <v>80.960000000000008</v>
      </c>
      <c r="E6150" t="str">
        <f t="shared" si="226"/>
        <v>WEEKDAY</v>
      </c>
      <c r="F6150" t="e">
        <f t="shared" si="227"/>
        <v>#N/A</v>
      </c>
      <c r="G6150" s="74">
        <v>29111</v>
      </c>
      <c r="H6150" s="77">
        <v>0.5</v>
      </c>
      <c r="J6150">
        <v>73.580000000000013</v>
      </c>
      <c r="M6150" s="74">
        <v>37877</v>
      </c>
      <c r="N6150" s="77">
        <v>0.5</v>
      </c>
      <c r="P6150">
        <v>66.2</v>
      </c>
      <c r="S6150" s="74">
        <v>34955</v>
      </c>
      <c r="T6150" s="77">
        <v>0.5</v>
      </c>
      <c r="V6150">
        <v>77</v>
      </c>
      <c r="X6150" s="42"/>
      <c r="AB6150">
        <v>73.7</v>
      </c>
      <c r="AC6150">
        <v>78.98</v>
      </c>
      <c r="AE6150" s="74"/>
      <c r="AF6150" s="77"/>
      <c r="AH6150" s="497">
        <v>62.6</v>
      </c>
      <c r="AJ6150" s="42"/>
      <c r="AK6150" s="74"/>
      <c r="AL6150" s="77"/>
      <c r="AN6150" s="497">
        <v>73.94</v>
      </c>
      <c r="AP6150" s="42"/>
      <c r="AQ6150" s="74"/>
      <c r="AR6150" s="77"/>
      <c r="AT6150" s="497">
        <v>80.06</v>
      </c>
      <c r="AV6150" s="42"/>
      <c r="AW6150" s="74"/>
      <c r="AX6150" s="77"/>
      <c r="BA6150" s="497">
        <v>66.92</v>
      </c>
      <c r="BB6150" s="42"/>
      <c r="BC6150" s="74"/>
      <c r="BD6150" s="77"/>
      <c r="BF6150">
        <v>73.039999999999992</v>
      </c>
      <c r="BH6150" s="42"/>
      <c r="BI6150" s="74"/>
      <c r="BJ6150" s="77"/>
      <c r="BL6150" s="497">
        <v>69.98</v>
      </c>
      <c r="BN6150" s="42"/>
      <c r="BO6150" s="74"/>
      <c r="BP6150" s="77"/>
      <c r="BR6150" s="497">
        <v>57.379999999999995</v>
      </c>
      <c r="BT6150" s="42"/>
    </row>
    <row r="6151" spans="1:72" x14ac:dyDescent="0.25">
      <c r="A6151" s="90">
        <v>34955</v>
      </c>
      <c r="B6151" s="20">
        <v>0.54166666666666663</v>
      </c>
      <c r="D6151">
        <v>84.02</v>
      </c>
      <c r="E6151" t="str">
        <f t="shared" si="226"/>
        <v>WEEKDAY</v>
      </c>
      <c r="F6151" t="e">
        <f t="shared" si="227"/>
        <v>#N/A</v>
      </c>
      <c r="G6151" s="74">
        <v>29111</v>
      </c>
      <c r="H6151" s="77">
        <v>0.54166666666666663</v>
      </c>
      <c r="J6151">
        <v>73.94</v>
      </c>
      <c r="M6151" s="74">
        <v>37877</v>
      </c>
      <c r="N6151" s="77">
        <v>0.54166666666666663</v>
      </c>
      <c r="P6151">
        <v>66.2</v>
      </c>
      <c r="S6151" s="74">
        <v>34955</v>
      </c>
      <c r="T6151" s="77">
        <v>0.54166666666666663</v>
      </c>
      <c r="V6151">
        <v>78.98</v>
      </c>
      <c r="X6151" s="42"/>
      <c r="AB6151">
        <v>74.400000000000006</v>
      </c>
      <c r="AC6151">
        <v>80.06</v>
      </c>
      <c r="AE6151" s="74"/>
      <c r="AF6151" s="77"/>
      <c r="AH6151" s="497">
        <v>62.6</v>
      </c>
      <c r="AJ6151" s="42"/>
      <c r="AK6151" s="74"/>
      <c r="AL6151" s="77"/>
      <c r="AN6151" s="497">
        <v>77</v>
      </c>
      <c r="AP6151" s="42"/>
      <c r="AQ6151" s="74"/>
      <c r="AR6151" s="77"/>
      <c r="AT6151" s="497">
        <v>82.94</v>
      </c>
      <c r="AV6151" s="42"/>
      <c r="AW6151" s="74"/>
      <c r="AX6151" s="77"/>
      <c r="BA6151" s="497">
        <v>68</v>
      </c>
      <c r="BB6151" s="42"/>
      <c r="BC6151" s="74"/>
      <c r="BD6151" s="77"/>
      <c r="BF6151">
        <v>71.960000000000008</v>
      </c>
      <c r="BH6151" s="42"/>
      <c r="BI6151" s="74"/>
      <c r="BJ6151" s="77"/>
      <c r="BL6151" s="497">
        <v>73.039999999999992</v>
      </c>
      <c r="BN6151" s="42"/>
      <c r="BO6151" s="74"/>
      <c r="BP6151" s="77"/>
      <c r="BR6151" s="497">
        <v>59</v>
      </c>
      <c r="BT6151" s="42"/>
    </row>
    <row r="6152" spans="1:72" x14ac:dyDescent="0.25">
      <c r="A6152" s="90">
        <v>34955</v>
      </c>
      <c r="B6152" s="20">
        <v>0.58333333333333337</v>
      </c>
      <c r="D6152">
        <v>84.92</v>
      </c>
      <c r="E6152" t="str">
        <f t="shared" si="226"/>
        <v>WEEKDAY</v>
      </c>
      <c r="F6152" t="e">
        <f t="shared" si="227"/>
        <v>#N/A</v>
      </c>
      <c r="G6152" s="74">
        <v>29111</v>
      </c>
      <c r="H6152" s="77">
        <v>0.58333333333333337</v>
      </c>
      <c r="J6152">
        <v>73.580000000000013</v>
      </c>
      <c r="M6152" s="74">
        <v>37877</v>
      </c>
      <c r="N6152" s="77">
        <v>0.58333333333333337</v>
      </c>
      <c r="P6152">
        <v>66.2</v>
      </c>
      <c r="S6152" s="74">
        <v>34955</v>
      </c>
      <c r="T6152" s="77">
        <v>0.58333333333333337</v>
      </c>
      <c r="V6152">
        <v>80.06</v>
      </c>
      <c r="X6152" s="42"/>
      <c r="AB6152">
        <v>74.900000000000006</v>
      </c>
      <c r="AC6152">
        <v>80.06</v>
      </c>
      <c r="AE6152" s="74"/>
      <c r="AF6152" s="77"/>
      <c r="AH6152" s="497">
        <v>62.6</v>
      </c>
      <c r="AJ6152" s="42"/>
      <c r="AK6152" s="74"/>
      <c r="AL6152" s="77"/>
      <c r="AN6152" s="497">
        <v>77.36</v>
      </c>
      <c r="AP6152" s="42"/>
      <c r="AQ6152" s="74"/>
      <c r="AR6152" s="77"/>
      <c r="AT6152" s="497">
        <v>82.94</v>
      </c>
      <c r="AV6152" s="42"/>
      <c r="AW6152" s="74"/>
      <c r="AX6152" s="77"/>
      <c r="BA6152" s="497">
        <v>68</v>
      </c>
      <c r="BB6152" s="42"/>
      <c r="BC6152" s="74"/>
      <c r="BD6152" s="77"/>
      <c r="BF6152">
        <v>71.960000000000008</v>
      </c>
      <c r="BH6152" s="42"/>
      <c r="BI6152" s="74"/>
      <c r="BJ6152" s="77"/>
      <c r="BL6152" s="497">
        <v>73.94</v>
      </c>
      <c r="BN6152" s="42"/>
      <c r="BO6152" s="74"/>
      <c r="BP6152" s="77"/>
      <c r="BR6152" s="497">
        <v>59.36</v>
      </c>
      <c r="BT6152" s="42"/>
    </row>
    <row r="6153" spans="1:72" x14ac:dyDescent="0.25">
      <c r="A6153" s="90">
        <v>34955</v>
      </c>
      <c r="B6153" s="20">
        <v>0.625</v>
      </c>
      <c r="D6153">
        <v>84.92</v>
      </c>
      <c r="E6153" t="str">
        <f t="shared" si="226"/>
        <v>WEEKDAY</v>
      </c>
      <c r="F6153" t="e">
        <f t="shared" si="227"/>
        <v>#N/A</v>
      </c>
      <c r="G6153" s="74">
        <v>29111</v>
      </c>
      <c r="H6153" s="77">
        <v>0.625</v>
      </c>
      <c r="J6153">
        <v>73.400000000000006</v>
      </c>
      <c r="M6153" s="74">
        <v>37877</v>
      </c>
      <c r="N6153" s="77">
        <v>0.625</v>
      </c>
      <c r="P6153">
        <v>66.2</v>
      </c>
      <c r="S6153" s="74">
        <v>34955</v>
      </c>
      <c r="T6153" s="77">
        <v>0.625</v>
      </c>
      <c r="V6153">
        <v>78.080000000000013</v>
      </c>
      <c r="X6153" s="42"/>
      <c r="AB6153">
        <v>74.900000000000006</v>
      </c>
      <c r="AC6153">
        <v>80.06</v>
      </c>
      <c r="AE6153" s="74"/>
      <c r="AF6153" s="77"/>
      <c r="AH6153" s="497">
        <v>62.6</v>
      </c>
      <c r="AJ6153" s="42"/>
      <c r="AK6153" s="74"/>
      <c r="AL6153" s="77"/>
      <c r="AN6153" s="497">
        <v>77.72</v>
      </c>
      <c r="AP6153" s="42"/>
      <c r="AQ6153" s="74"/>
      <c r="AR6153" s="77"/>
      <c r="AT6153" s="497">
        <v>84.02</v>
      </c>
      <c r="AV6153" s="42"/>
      <c r="AW6153" s="74"/>
      <c r="AX6153" s="77"/>
      <c r="BA6153" s="497">
        <v>68</v>
      </c>
      <c r="BB6153" s="42"/>
      <c r="BC6153" s="74"/>
      <c r="BD6153" s="77"/>
      <c r="BF6153">
        <v>71.960000000000008</v>
      </c>
      <c r="BH6153" s="42"/>
      <c r="BI6153" s="74"/>
      <c r="BJ6153" s="77"/>
      <c r="BL6153" s="497">
        <v>71.06</v>
      </c>
      <c r="BN6153" s="42"/>
      <c r="BO6153" s="74"/>
      <c r="BP6153" s="77"/>
      <c r="BR6153" s="497">
        <v>59.72</v>
      </c>
      <c r="BT6153" s="42"/>
    </row>
    <row r="6154" spans="1:72" x14ac:dyDescent="0.25">
      <c r="A6154" s="90">
        <v>34955</v>
      </c>
      <c r="B6154" s="20">
        <v>0.66666666666666663</v>
      </c>
      <c r="D6154">
        <v>82.039999999999992</v>
      </c>
      <c r="E6154" t="str">
        <f t="shared" si="226"/>
        <v>WEEKDAY</v>
      </c>
      <c r="F6154" t="e">
        <f t="shared" si="227"/>
        <v>#N/A</v>
      </c>
      <c r="G6154" s="74">
        <v>29111</v>
      </c>
      <c r="H6154" s="77">
        <v>0.66666666666666663</v>
      </c>
      <c r="J6154">
        <v>73.039999999999992</v>
      </c>
      <c r="M6154" s="74">
        <v>37877</v>
      </c>
      <c r="N6154" s="77">
        <v>0.66666666666666663</v>
      </c>
      <c r="P6154">
        <v>66.2</v>
      </c>
      <c r="S6154" s="74">
        <v>34955</v>
      </c>
      <c r="T6154" s="77">
        <v>0.66666666666666663</v>
      </c>
      <c r="V6154">
        <v>78.080000000000013</v>
      </c>
      <c r="X6154" s="42"/>
      <c r="AB6154">
        <v>74.599999999999994</v>
      </c>
      <c r="AC6154">
        <v>78.98</v>
      </c>
      <c r="AE6154" s="74"/>
      <c r="AF6154" s="77"/>
      <c r="AH6154" s="497">
        <v>60.8</v>
      </c>
      <c r="AJ6154" s="42"/>
      <c r="AK6154" s="74"/>
      <c r="AL6154" s="77"/>
      <c r="AN6154" s="497">
        <v>78.080000000000013</v>
      </c>
      <c r="AP6154" s="42"/>
      <c r="AQ6154" s="74"/>
      <c r="AR6154" s="77"/>
      <c r="AT6154" s="497">
        <v>82.94</v>
      </c>
      <c r="AV6154" s="42"/>
      <c r="AW6154" s="74"/>
      <c r="AX6154" s="77"/>
      <c r="BA6154" s="497">
        <v>66.92</v>
      </c>
      <c r="BB6154" s="42"/>
      <c r="BC6154" s="74"/>
      <c r="BD6154" s="77"/>
      <c r="BF6154">
        <v>71.960000000000008</v>
      </c>
      <c r="BH6154" s="42"/>
      <c r="BI6154" s="74"/>
      <c r="BJ6154" s="77"/>
      <c r="BL6154" s="497">
        <v>69.98</v>
      </c>
      <c r="BN6154" s="42"/>
      <c r="BO6154" s="74"/>
      <c r="BP6154" s="77"/>
      <c r="BR6154" s="497">
        <v>60.08</v>
      </c>
      <c r="BT6154" s="42"/>
    </row>
    <row r="6155" spans="1:72" x14ac:dyDescent="0.25">
      <c r="A6155" s="90">
        <v>34955</v>
      </c>
      <c r="B6155" s="20">
        <v>0.70833333333333337</v>
      </c>
      <c r="D6155">
        <v>80.06</v>
      </c>
      <c r="E6155" t="str">
        <f t="shared" si="226"/>
        <v>WEEKDAY</v>
      </c>
      <c r="F6155" t="e">
        <f t="shared" si="227"/>
        <v>#N/A</v>
      </c>
      <c r="G6155" s="74">
        <v>29111</v>
      </c>
      <c r="H6155" s="77">
        <v>0.70833333333333337</v>
      </c>
      <c r="J6155">
        <v>71.960000000000008</v>
      </c>
      <c r="M6155" s="74">
        <v>37877</v>
      </c>
      <c r="N6155" s="77">
        <v>0.70833333333333337</v>
      </c>
      <c r="P6155">
        <v>66.2</v>
      </c>
      <c r="S6155" s="74">
        <v>34955</v>
      </c>
      <c r="T6155" s="77">
        <v>0.70833333333333337</v>
      </c>
      <c r="V6155">
        <v>75.92</v>
      </c>
      <c r="X6155" s="42"/>
      <c r="AB6155">
        <v>73.8</v>
      </c>
      <c r="AC6155">
        <v>78.080000000000013</v>
      </c>
      <c r="AE6155" s="74"/>
      <c r="AF6155" s="77"/>
      <c r="AH6155" s="497">
        <v>62.6</v>
      </c>
      <c r="AJ6155" s="42"/>
      <c r="AK6155" s="74"/>
      <c r="AL6155" s="77"/>
      <c r="AN6155" s="497">
        <v>75.740000000000009</v>
      </c>
      <c r="AP6155" s="42"/>
      <c r="AQ6155" s="74"/>
      <c r="AR6155" s="77"/>
      <c r="AT6155" s="497">
        <v>80.960000000000008</v>
      </c>
      <c r="AV6155" s="42"/>
      <c r="AW6155" s="74"/>
      <c r="AX6155" s="77"/>
      <c r="BA6155" s="497">
        <v>64.94</v>
      </c>
      <c r="BB6155" s="42"/>
      <c r="BC6155" s="74"/>
      <c r="BD6155" s="77"/>
      <c r="BF6155">
        <v>71.06</v>
      </c>
      <c r="BH6155" s="42"/>
      <c r="BI6155" s="74"/>
      <c r="BJ6155" s="77"/>
      <c r="BL6155" s="497">
        <v>66.92</v>
      </c>
      <c r="BN6155" s="42"/>
      <c r="BO6155" s="74"/>
      <c r="BP6155" s="77"/>
      <c r="BR6155" s="497">
        <v>58.64</v>
      </c>
      <c r="BT6155" s="42"/>
    </row>
    <row r="6156" spans="1:72" x14ac:dyDescent="0.25">
      <c r="A6156" s="90">
        <v>34955</v>
      </c>
      <c r="B6156" s="20">
        <v>0.75</v>
      </c>
      <c r="D6156">
        <v>78.080000000000013</v>
      </c>
      <c r="E6156" t="str">
        <f t="shared" si="226"/>
        <v>WEEKDAY</v>
      </c>
      <c r="F6156" t="e">
        <f t="shared" si="227"/>
        <v>#N/A</v>
      </c>
      <c r="G6156" s="74">
        <v>29111</v>
      </c>
      <c r="H6156" s="77">
        <v>0.75</v>
      </c>
      <c r="J6156">
        <v>71.06</v>
      </c>
      <c r="M6156" s="74">
        <v>37877</v>
      </c>
      <c r="N6156" s="77">
        <v>0.75</v>
      </c>
      <c r="P6156">
        <v>66.2</v>
      </c>
      <c r="S6156" s="74">
        <v>34955</v>
      </c>
      <c r="T6156" s="77">
        <v>0.75</v>
      </c>
      <c r="V6156">
        <v>75.92</v>
      </c>
      <c r="X6156" s="42"/>
      <c r="AB6156">
        <v>72.5</v>
      </c>
      <c r="AC6156">
        <v>73.94</v>
      </c>
      <c r="AE6156" s="74"/>
      <c r="AF6156" s="77"/>
      <c r="AH6156" s="497">
        <v>62.6</v>
      </c>
      <c r="AJ6156" s="42"/>
      <c r="AK6156" s="74"/>
      <c r="AL6156" s="77"/>
      <c r="AN6156" s="497">
        <v>73.400000000000006</v>
      </c>
      <c r="AP6156" s="42"/>
      <c r="AQ6156" s="74"/>
      <c r="AR6156" s="77"/>
      <c r="AT6156" s="497">
        <v>77</v>
      </c>
      <c r="AV6156" s="42"/>
      <c r="AW6156" s="74"/>
      <c r="AX6156" s="77"/>
      <c r="BA6156" s="497">
        <v>62.96</v>
      </c>
      <c r="BB6156" s="42"/>
      <c r="BC6156" s="74"/>
      <c r="BD6156" s="77"/>
      <c r="BF6156">
        <v>71.06</v>
      </c>
      <c r="BH6156" s="42"/>
      <c r="BI6156" s="74"/>
      <c r="BJ6156" s="77"/>
      <c r="BL6156" s="497">
        <v>64.94</v>
      </c>
      <c r="BN6156" s="42"/>
      <c r="BO6156" s="74"/>
      <c r="BP6156" s="77"/>
      <c r="BR6156" s="497">
        <v>57.379999999999995</v>
      </c>
      <c r="BT6156" s="42"/>
    </row>
    <row r="6157" spans="1:72" x14ac:dyDescent="0.25">
      <c r="A6157" s="90">
        <v>34955</v>
      </c>
      <c r="B6157" s="20">
        <v>0.79166666666666663</v>
      </c>
      <c r="D6157">
        <v>77</v>
      </c>
      <c r="E6157" t="str">
        <f t="shared" si="226"/>
        <v>WEEKDAY</v>
      </c>
      <c r="F6157" t="e">
        <f t="shared" si="227"/>
        <v>#N/A</v>
      </c>
      <c r="G6157" s="74">
        <v>29111</v>
      </c>
      <c r="H6157" s="77">
        <v>0.79166666666666663</v>
      </c>
      <c r="J6157">
        <v>69.98</v>
      </c>
      <c r="M6157" s="74">
        <v>37877</v>
      </c>
      <c r="N6157" s="77">
        <v>0.79166666666666663</v>
      </c>
      <c r="P6157">
        <v>66.2</v>
      </c>
      <c r="S6157" s="74">
        <v>34955</v>
      </c>
      <c r="T6157" s="77">
        <v>0.79166666666666663</v>
      </c>
      <c r="V6157">
        <v>75.02</v>
      </c>
      <c r="X6157" s="42"/>
      <c r="AB6157">
        <v>70.900000000000006</v>
      </c>
      <c r="AC6157">
        <v>71.06</v>
      </c>
      <c r="AE6157" s="74"/>
      <c r="AF6157" s="77"/>
      <c r="AH6157" s="497">
        <v>62.6</v>
      </c>
      <c r="AJ6157" s="42"/>
      <c r="AK6157" s="74"/>
      <c r="AL6157" s="77"/>
      <c r="AN6157" s="497">
        <v>71.06</v>
      </c>
      <c r="AP6157" s="42"/>
      <c r="AQ6157" s="74"/>
      <c r="AR6157" s="77"/>
      <c r="AT6157" s="497">
        <v>71.06</v>
      </c>
      <c r="AV6157" s="42"/>
      <c r="AW6157" s="74"/>
      <c r="AX6157" s="77"/>
      <c r="BA6157" s="497">
        <v>57.92</v>
      </c>
      <c r="BB6157" s="42"/>
      <c r="BC6157" s="74"/>
      <c r="BD6157" s="77"/>
      <c r="BF6157">
        <v>71.06</v>
      </c>
      <c r="BH6157" s="42"/>
      <c r="BI6157" s="74"/>
      <c r="BJ6157" s="77"/>
      <c r="BL6157" s="497">
        <v>62.96</v>
      </c>
      <c r="BN6157" s="42"/>
      <c r="BO6157" s="74"/>
      <c r="BP6157" s="77"/>
      <c r="BR6157" s="497">
        <v>55.94</v>
      </c>
      <c r="BT6157" s="42"/>
    </row>
    <row r="6158" spans="1:72" x14ac:dyDescent="0.25">
      <c r="A6158" s="90">
        <v>34955</v>
      </c>
      <c r="B6158" s="20">
        <v>0.83333333333333337</v>
      </c>
      <c r="D6158">
        <v>77</v>
      </c>
      <c r="E6158" t="str">
        <f t="shared" si="226"/>
        <v>WEEKDAY</v>
      </c>
      <c r="F6158" t="e">
        <f t="shared" si="227"/>
        <v>#N/A</v>
      </c>
      <c r="G6158" s="74">
        <v>29111</v>
      </c>
      <c r="H6158" s="77">
        <v>0.83333333333333337</v>
      </c>
      <c r="J6158">
        <v>69.62</v>
      </c>
      <c r="M6158" s="74">
        <v>37877</v>
      </c>
      <c r="N6158" s="77">
        <v>0.83333333333333337</v>
      </c>
      <c r="P6158">
        <v>66.2</v>
      </c>
      <c r="S6158" s="74">
        <v>34955</v>
      </c>
      <c r="T6158" s="77">
        <v>0.83333333333333337</v>
      </c>
      <c r="V6158">
        <v>75.02</v>
      </c>
      <c r="X6158" s="42"/>
      <c r="AB6158">
        <v>69.7</v>
      </c>
      <c r="AC6158">
        <v>71.960000000000008</v>
      </c>
      <c r="AE6158" s="74"/>
      <c r="AF6158" s="77"/>
      <c r="AH6158" s="497">
        <v>62.6</v>
      </c>
      <c r="AJ6158" s="42"/>
      <c r="AK6158" s="74"/>
      <c r="AL6158" s="77"/>
      <c r="AN6158" s="497">
        <v>69.080000000000013</v>
      </c>
      <c r="AP6158" s="42"/>
      <c r="AQ6158" s="74"/>
      <c r="AR6158" s="77"/>
      <c r="AT6158" s="497">
        <v>68</v>
      </c>
      <c r="AV6158" s="42"/>
      <c r="AW6158" s="74"/>
      <c r="AX6158" s="77"/>
      <c r="BA6158" s="497">
        <v>55.040000000000006</v>
      </c>
      <c r="BB6158" s="42"/>
      <c r="BC6158" s="74"/>
      <c r="BD6158" s="77"/>
      <c r="BF6158">
        <v>71.960000000000008</v>
      </c>
      <c r="BH6158" s="42"/>
      <c r="BI6158" s="74"/>
      <c r="BJ6158" s="77"/>
      <c r="BL6158" s="497">
        <v>62.06</v>
      </c>
      <c r="BN6158" s="42"/>
      <c r="BO6158" s="74"/>
      <c r="BP6158" s="77"/>
      <c r="BR6158" s="497">
        <v>55.22</v>
      </c>
      <c r="BT6158" s="42"/>
    </row>
    <row r="6159" spans="1:72" x14ac:dyDescent="0.25">
      <c r="A6159" s="90">
        <v>34955</v>
      </c>
      <c r="B6159" s="20">
        <v>0.875</v>
      </c>
      <c r="D6159">
        <v>78.080000000000013</v>
      </c>
      <c r="E6159" t="str">
        <f t="shared" si="226"/>
        <v>WEEKDAY</v>
      </c>
      <c r="F6159" t="e">
        <f t="shared" si="227"/>
        <v>#N/A</v>
      </c>
      <c r="G6159" s="74">
        <v>29111</v>
      </c>
      <c r="H6159" s="77">
        <v>0.875</v>
      </c>
      <c r="J6159">
        <v>69.44</v>
      </c>
      <c r="M6159" s="74">
        <v>37877</v>
      </c>
      <c r="N6159" s="77">
        <v>0.875</v>
      </c>
      <c r="P6159">
        <v>66.2</v>
      </c>
      <c r="S6159" s="74">
        <v>34955</v>
      </c>
      <c r="T6159" s="77">
        <v>0.875</v>
      </c>
      <c r="V6159">
        <v>75.02</v>
      </c>
      <c r="X6159" s="42"/>
      <c r="AB6159">
        <v>69</v>
      </c>
      <c r="AC6159">
        <v>71.06</v>
      </c>
      <c r="AE6159" s="74"/>
      <c r="AF6159" s="77"/>
      <c r="AH6159" s="497">
        <v>62.6</v>
      </c>
      <c r="AJ6159" s="42"/>
      <c r="AK6159" s="74"/>
      <c r="AL6159" s="77"/>
      <c r="AN6159" s="497">
        <v>66.92</v>
      </c>
      <c r="AP6159" s="42"/>
      <c r="AQ6159" s="74"/>
      <c r="AR6159" s="77"/>
      <c r="AT6159" s="497">
        <v>66.92</v>
      </c>
      <c r="AV6159" s="42"/>
      <c r="AW6159" s="74"/>
      <c r="AX6159" s="77"/>
      <c r="BA6159" s="497">
        <v>53.06</v>
      </c>
      <c r="BB6159" s="42"/>
      <c r="BC6159" s="74"/>
      <c r="BD6159" s="77"/>
      <c r="BF6159">
        <v>71.960000000000008</v>
      </c>
      <c r="BH6159" s="42"/>
      <c r="BI6159" s="74"/>
      <c r="BJ6159" s="77"/>
      <c r="BL6159" s="497">
        <v>62.96</v>
      </c>
      <c r="BN6159" s="42"/>
      <c r="BO6159" s="74"/>
      <c r="BP6159" s="77"/>
      <c r="BR6159" s="497">
        <v>54.68</v>
      </c>
      <c r="BT6159" s="42"/>
    </row>
    <row r="6160" spans="1:72" x14ac:dyDescent="0.25">
      <c r="A6160" s="90">
        <v>34955</v>
      </c>
      <c r="B6160" s="20">
        <v>0.91666666666666663</v>
      </c>
      <c r="D6160">
        <v>75.02</v>
      </c>
      <c r="E6160" t="str">
        <f t="shared" si="226"/>
        <v>WEEKDAY</v>
      </c>
      <c r="F6160" t="e">
        <f t="shared" si="227"/>
        <v>#N/A</v>
      </c>
      <c r="G6160" s="74">
        <v>29111</v>
      </c>
      <c r="H6160" s="77">
        <v>0.91666666666666663</v>
      </c>
      <c r="J6160">
        <v>69.080000000000013</v>
      </c>
      <c r="M6160" s="74">
        <v>37877</v>
      </c>
      <c r="N6160" s="77">
        <v>0.91666666666666663</v>
      </c>
      <c r="P6160">
        <v>66.2</v>
      </c>
      <c r="S6160" s="74">
        <v>34955</v>
      </c>
      <c r="T6160" s="77">
        <v>0.91666666666666663</v>
      </c>
      <c r="V6160">
        <v>75.92</v>
      </c>
      <c r="X6160" s="42"/>
      <c r="AB6160">
        <v>68.400000000000006</v>
      </c>
      <c r="AC6160">
        <v>68</v>
      </c>
      <c r="AE6160" s="74"/>
      <c r="AF6160" s="77"/>
      <c r="AH6160" s="497">
        <v>62.6</v>
      </c>
      <c r="AJ6160" s="42"/>
      <c r="AK6160" s="74"/>
      <c r="AL6160" s="77"/>
      <c r="AN6160" s="497">
        <v>64.94</v>
      </c>
      <c r="AP6160" s="42"/>
      <c r="AQ6160" s="74"/>
      <c r="AR6160" s="77"/>
      <c r="AT6160" s="497">
        <v>64.94</v>
      </c>
      <c r="AV6160" s="42"/>
      <c r="AW6160" s="74"/>
      <c r="AX6160" s="77"/>
      <c r="BA6160" s="497">
        <v>53.06</v>
      </c>
      <c r="BB6160" s="42"/>
      <c r="BC6160" s="74"/>
      <c r="BD6160" s="77"/>
      <c r="BF6160">
        <v>73.039999999999992</v>
      </c>
      <c r="BH6160" s="42"/>
      <c r="BI6160" s="74"/>
      <c r="BJ6160" s="77"/>
      <c r="BL6160" s="497">
        <v>62.06</v>
      </c>
      <c r="BN6160" s="42"/>
      <c r="BO6160" s="74"/>
      <c r="BP6160" s="77"/>
      <c r="BR6160" s="497">
        <v>53.96</v>
      </c>
      <c r="BT6160" s="42"/>
    </row>
    <row r="6161" spans="1:72" x14ac:dyDescent="0.25">
      <c r="A6161" s="90">
        <v>34955</v>
      </c>
      <c r="B6161" s="20">
        <v>0.95833333333333337</v>
      </c>
      <c r="D6161">
        <v>71.960000000000008</v>
      </c>
      <c r="E6161" t="str">
        <f t="shared" si="226"/>
        <v>WEEKDAY</v>
      </c>
      <c r="F6161" t="e">
        <f t="shared" si="227"/>
        <v>#N/A</v>
      </c>
      <c r="G6161" s="74">
        <v>29111</v>
      </c>
      <c r="H6161" s="77">
        <v>0.95833333333333337</v>
      </c>
      <c r="J6161">
        <v>70.34</v>
      </c>
      <c r="M6161" s="74">
        <v>37877</v>
      </c>
      <c r="N6161" s="77">
        <v>0.95833333333333337</v>
      </c>
      <c r="P6161">
        <v>65.84</v>
      </c>
      <c r="S6161" s="74">
        <v>34955</v>
      </c>
      <c r="T6161" s="77">
        <v>0.95833333333333337</v>
      </c>
      <c r="V6161">
        <v>75.02</v>
      </c>
      <c r="X6161" s="42"/>
      <c r="AB6161">
        <v>67.7</v>
      </c>
      <c r="AC6161">
        <v>64.94</v>
      </c>
      <c r="AE6161" s="74"/>
      <c r="AF6161" s="77"/>
      <c r="AH6161" s="497">
        <v>60.8</v>
      </c>
      <c r="AJ6161" s="42"/>
      <c r="AK6161" s="74"/>
      <c r="AL6161" s="77"/>
      <c r="AN6161" s="497">
        <v>64.580000000000013</v>
      </c>
      <c r="AP6161" s="42"/>
      <c r="AQ6161" s="74"/>
      <c r="AR6161" s="77"/>
      <c r="AT6161" s="497">
        <v>69.080000000000013</v>
      </c>
      <c r="AV6161" s="42"/>
      <c r="AW6161" s="74"/>
      <c r="AX6161" s="77"/>
      <c r="BA6161" s="497">
        <v>51.08</v>
      </c>
      <c r="BB6161" s="42"/>
      <c r="BC6161" s="74"/>
      <c r="BD6161" s="77"/>
      <c r="BF6161">
        <v>71.06</v>
      </c>
      <c r="BH6161" s="42"/>
      <c r="BI6161" s="74"/>
      <c r="BJ6161" s="77"/>
      <c r="BL6161" s="497">
        <v>62.96</v>
      </c>
      <c r="BN6161" s="42"/>
      <c r="BO6161" s="74"/>
      <c r="BP6161" s="77"/>
      <c r="BR6161" s="497">
        <v>54.32</v>
      </c>
      <c r="BT6161" s="42"/>
    </row>
    <row r="6162" spans="1:72" x14ac:dyDescent="0.25">
      <c r="A6162" s="90">
        <v>34955</v>
      </c>
      <c r="B6162" s="20">
        <v>1</v>
      </c>
      <c r="D6162">
        <v>71.06</v>
      </c>
      <c r="E6162" t="str">
        <f t="shared" si="226"/>
        <v>WEEKDAY</v>
      </c>
      <c r="F6162" t="e">
        <f t="shared" si="227"/>
        <v>#N/A</v>
      </c>
      <c r="G6162" s="74">
        <v>29111</v>
      </c>
      <c r="H6162" s="77">
        <v>1</v>
      </c>
      <c r="J6162">
        <v>71.78</v>
      </c>
      <c r="M6162" s="74">
        <v>37877</v>
      </c>
      <c r="N6162" s="80">
        <v>1</v>
      </c>
      <c r="P6162">
        <v>66.02</v>
      </c>
      <c r="S6162" s="74">
        <v>34955</v>
      </c>
      <c r="T6162" s="80">
        <v>1</v>
      </c>
      <c r="V6162">
        <v>75.02</v>
      </c>
      <c r="X6162" s="42"/>
      <c r="AB6162">
        <v>67.099999999999994</v>
      </c>
      <c r="AC6162">
        <v>66.02</v>
      </c>
      <c r="AE6162" s="74"/>
      <c r="AF6162" s="80"/>
      <c r="AH6162" s="497">
        <v>59</v>
      </c>
      <c r="AJ6162" s="42"/>
      <c r="AK6162" s="74"/>
      <c r="AL6162" s="80"/>
      <c r="AN6162" s="497">
        <v>64.400000000000006</v>
      </c>
      <c r="AP6162" s="42"/>
      <c r="AQ6162" s="74"/>
      <c r="AR6162" s="80"/>
      <c r="AT6162" s="497">
        <v>68</v>
      </c>
      <c r="AV6162" s="42"/>
      <c r="AW6162" s="74"/>
      <c r="AX6162" s="80"/>
      <c r="BA6162" s="497">
        <v>51.980000000000004</v>
      </c>
      <c r="BB6162" s="42"/>
      <c r="BC6162" s="74"/>
      <c r="BD6162" s="80"/>
      <c r="BF6162">
        <v>71.06</v>
      </c>
      <c r="BH6162" s="42"/>
      <c r="BI6162" s="74"/>
      <c r="BJ6162" s="80"/>
      <c r="BL6162" s="497">
        <v>62.06</v>
      </c>
      <c r="BN6162" s="42"/>
      <c r="BO6162" s="74"/>
      <c r="BP6162" s="80"/>
      <c r="BR6162" s="497">
        <v>54.68</v>
      </c>
      <c r="BT6162" s="42"/>
    </row>
    <row r="6163" spans="1:72" x14ac:dyDescent="0.25">
      <c r="A6163" s="90">
        <v>34956</v>
      </c>
      <c r="B6163" s="20">
        <v>4.1666666666666664E-2</v>
      </c>
      <c r="D6163">
        <v>62.96</v>
      </c>
      <c r="E6163" t="str">
        <f t="shared" ref="E6163:E6226" si="228">IF(COUNTIF($DI$18:$DI$22, WEEKDAY(A6163))=1, "WEEKDAY", IF(WEEKDAY(A6163) = 1, "SUNDAY", "SATURDAY"))</f>
        <v>WEEKDAY</v>
      </c>
      <c r="F6163" t="e">
        <f t="shared" si="227"/>
        <v>#N/A</v>
      </c>
      <c r="G6163" s="74">
        <v>29112</v>
      </c>
      <c r="H6163" s="77">
        <v>4.1666666666666664E-2</v>
      </c>
      <c r="J6163">
        <v>73.039999999999992</v>
      </c>
      <c r="M6163" s="74">
        <v>37878</v>
      </c>
      <c r="N6163" s="77">
        <v>4.1666666666666664E-2</v>
      </c>
      <c r="P6163">
        <v>66.2</v>
      </c>
      <c r="S6163" s="74">
        <v>34956</v>
      </c>
      <c r="T6163" s="77">
        <v>4.1666666666666664E-2</v>
      </c>
      <c r="V6163">
        <v>71.960000000000008</v>
      </c>
      <c r="X6163" s="42"/>
      <c r="AB6163">
        <v>66.400000000000006</v>
      </c>
      <c r="AC6163">
        <v>64.94</v>
      </c>
      <c r="AE6163" s="74"/>
      <c r="AF6163" s="77"/>
      <c r="AH6163" s="497">
        <v>57.2</v>
      </c>
      <c r="AJ6163" s="42"/>
      <c r="AK6163" s="74"/>
      <c r="AL6163" s="77"/>
      <c r="AN6163" s="497">
        <v>64.039999999999992</v>
      </c>
      <c r="AP6163" s="42"/>
      <c r="AQ6163" s="74"/>
      <c r="AR6163" s="77"/>
      <c r="AT6163" s="497">
        <v>66.92</v>
      </c>
      <c r="AV6163" s="42"/>
      <c r="AW6163" s="74"/>
      <c r="AX6163" s="77"/>
      <c r="BA6163" s="497">
        <v>50</v>
      </c>
      <c r="BB6163" s="42"/>
      <c r="BC6163" s="74"/>
      <c r="BD6163" s="77"/>
      <c r="BF6163">
        <v>69.98</v>
      </c>
      <c r="BH6163" s="42"/>
      <c r="BI6163" s="74"/>
      <c r="BJ6163" s="77"/>
      <c r="BL6163" s="497">
        <v>60.980000000000004</v>
      </c>
      <c r="BN6163" s="42"/>
      <c r="BO6163" s="74"/>
      <c r="BP6163" s="77"/>
      <c r="BR6163" s="497">
        <v>55.040000000000006</v>
      </c>
      <c r="BT6163" s="42"/>
    </row>
    <row r="6164" spans="1:72" x14ac:dyDescent="0.25">
      <c r="A6164" s="90">
        <v>34956</v>
      </c>
      <c r="B6164" s="20">
        <v>8.3333333333333329E-2</v>
      </c>
      <c r="D6164">
        <v>62.06</v>
      </c>
      <c r="E6164" t="str">
        <f t="shared" si="228"/>
        <v>WEEKDAY</v>
      </c>
      <c r="F6164" t="e">
        <f t="shared" si="227"/>
        <v>#N/A</v>
      </c>
      <c r="G6164" s="74">
        <v>29112</v>
      </c>
      <c r="H6164" s="77">
        <v>8.3333333333333329E-2</v>
      </c>
      <c r="J6164">
        <v>73.039999999999992</v>
      </c>
      <c r="M6164" s="74">
        <v>37878</v>
      </c>
      <c r="N6164" s="77">
        <v>8.3333333333333329E-2</v>
      </c>
      <c r="P6164">
        <v>66.2</v>
      </c>
      <c r="S6164" s="74">
        <v>34956</v>
      </c>
      <c r="T6164" s="77">
        <v>8.3333333333333329E-2</v>
      </c>
      <c r="V6164">
        <v>71.960000000000008</v>
      </c>
      <c r="X6164" s="42"/>
      <c r="AB6164">
        <v>65.7</v>
      </c>
      <c r="AC6164">
        <v>64.94</v>
      </c>
      <c r="AE6164" s="74"/>
      <c r="AF6164" s="77"/>
      <c r="AH6164" s="497">
        <v>57.2</v>
      </c>
      <c r="AJ6164" s="42"/>
      <c r="AK6164" s="74"/>
      <c r="AL6164" s="77"/>
      <c r="AN6164" s="497">
        <v>62.96</v>
      </c>
      <c r="AP6164" s="42"/>
      <c r="AQ6164" s="74"/>
      <c r="AR6164" s="77"/>
      <c r="AT6164" s="497">
        <v>66.02</v>
      </c>
      <c r="AV6164" s="42"/>
      <c r="AW6164" s="74"/>
      <c r="AX6164" s="77"/>
      <c r="BA6164" s="497">
        <v>48.92</v>
      </c>
      <c r="BB6164" s="42"/>
      <c r="BC6164" s="74"/>
      <c r="BD6164" s="77"/>
      <c r="BF6164">
        <v>69.98</v>
      </c>
      <c r="BH6164" s="42"/>
      <c r="BI6164" s="74"/>
      <c r="BJ6164" s="77"/>
      <c r="BL6164" s="497">
        <v>60.08</v>
      </c>
      <c r="BN6164" s="42"/>
      <c r="BO6164" s="74"/>
      <c r="BP6164" s="77"/>
      <c r="BR6164" s="497">
        <v>55.94</v>
      </c>
      <c r="BT6164" s="42"/>
    </row>
    <row r="6165" spans="1:72" x14ac:dyDescent="0.25">
      <c r="A6165" s="90">
        <v>34956</v>
      </c>
      <c r="B6165" s="20">
        <v>0.125</v>
      </c>
      <c r="D6165">
        <v>59</v>
      </c>
      <c r="E6165" t="str">
        <f t="shared" si="228"/>
        <v>WEEKDAY</v>
      </c>
      <c r="F6165" t="e">
        <f t="shared" si="227"/>
        <v>#N/A</v>
      </c>
      <c r="G6165" s="74">
        <v>29112</v>
      </c>
      <c r="H6165" s="77">
        <v>0.125</v>
      </c>
      <c r="J6165">
        <v>73.039999999999992</v>
      </c>
      <c r="M6165" s="74">
        <v>37878</v>
      </c>
      <c r="N6165" s="77">
        <v>0.125</v>
      </c>
      <c r="P6165">
        <v>66.2</v>
      </c>
      <c r="S6165" s="74">
        <v>34956</v>
      </c>
      <c r="T6165" s="77">
        <v>0.125</v>
      </c>
      <c r="V6165">
        <v>71.960000000000008</v>
      </c>
      <c r="X6165" s="42"/>
      <c r="AB6165">
        <v>65.099999999999994</v>
      </c>
      <c r="AC6165">
        <v>64.94</v>
      </c>
      <c r="AE6165" s="74"/>
      <c r="AF6165" s="77"/>
      <c r="AH6165" s="497">
        <v>57.2</v>
      </c>
      <c r="AJ6165" s="42"/>
      <c r="AK6165" s="74"/>
      <c r="AL6165" s="77"/>
      <c r="AN6165" s="497">
        <v>62.06</v>
      </c>
      <c r="AP6165" s="42"/>
      <c r="AQ6165" s="74"/>
      <c r="AR6165" s="77"/>
      <c r="AT6165" s="497">
        <v>64.94</v>
      </c>
      <c r="AV6165" s="42"/>
      <c r="AW6165" s="74"/>
      <c r="AX6165" s="77"/>
      <c r="BA6165" s="497">
        <v>48.92</v>
      </c>
      <c r="BB6165" s="42"/>
      <c r="BC6165" s="74"/>
      <c r="BD6165" s="77"/>
      <c r="BF6165">
        <v>69.080000000000013</v>
      </c>
      <c r="BH6165" s="42"/>
      <c r="BI6165" s="74"/>
      <c r="BJ6165" s="77"/>
      <c r="BL6165" s="497">
        <v>60.980000000000004</v>
      </c>
      <c r="BN6165" s="42"/>
      <c r="BO6165" s="74"/>
      <c r="BP6165" s="77"/>
      <c r="BR6165" s="497">
        <v>57.019999999999996</v>
      </c>
      <c r="BT6165" s="42"/>
    </row>
    <row r="6166" spans="1:72" x14ac:dyDescent="0.25">
      <c r="A6166" s="90">
        <v>34956</v>
      </c>
      <c r="B6166" s="20">
        <v>0.16666666666666666</v>
      </c>
      <c r="D6166">
        <v>59</v>
      </c>
      <c r="E6166" t="str">
        <f t="shared" si="228"/>
        <v>WEEKDAY</v>
      </c>
      <c r="F6166" t="e">
        <f t="shared" si="227"/>
        <v>#N/A</v>
      </c>
      <c r="G6166" s="74">
        <v>29112</v>
      </c>
      <c r="H6166" s="77">
        <v>0.16666666666666666</v>
      </c>
      <c r="J6166">
        <v>73.039999999999992</v>
      </c>
      <c r="M6166" s="74">
        <v>37878</v>
      </c>
      <c r="N6166" s="77">
        <v>0.16666666666666666</v>
      </c>
      <c r="P6166">
        <v>68</v>
      </c>
      <c r="S6166" s="74">
        <v>34956</v>
      </c>
      <c r="T6166" s="77">
        <v>0.16666666666666666</v>
      </c>
      <c r="V6166">
        <v>71.960000000000008</v>
      </c>
      <c r="X6166" s="42"/>
      <c r="AB6166">
        <v>64.599999999999994</v>
      </c>
      <c r="AC6166">
        <v>62.96</v>
      </c>
      <c r="AE6166" s="74"/>
      <c r="AF6166" s="77"/>
      <c r="AH6166" s="497">
        <v>57.2</v>
      </c>
      <c r="AJ6166" s="42"/>
      <c r="AK6166" s="74"/>
      <c r="AL6166" s="77"/>
      <c r="AN6166" s="497">
        <v>60.980000000000004</v>
      </c>
      <c r="AP6166" s="42"/>
      <c r="AQ6166" s="74"/>
      <c r="AR6166" s="77"/>
      <c r="AT6166" s="497">
        <v>64.94</v>
      </c>
      <c r="AV6166" s="42"/>
      <c r="AW6166" s="74"/>
      <c r="AX6166" s="77"/>
      <c r="BA6166" s="497">
        <v>48.019999999999996</v>
      </c>
      <c r="BB6166" s="42"/>
      <c r="BC6166" s="74"/>
      <c r="BD6166" s="77"/>
      <c r="BF6166">
        <v>69.080000000000013</v>
      </c>
      <c r="BH6166" s="42"/>
      <c r="BI6166" s="74"/>
      <c r="BJ6166" s="77"/>
      <c r="BL6166" s="497">
        <v>60.08</v>
      </c>
      <c r="BN6166" s="42"/>
      <c r="BO6166" s="74"/>
      <c r="BP6166" s="77"/>
      <c r="BR6166" s="497">
        <v>57.92</v>
      </c>
      <c r="BT6166" s="42"/>
    </row>
    <row r="6167" spans="1:72" x14ac:dyDescent="0.25">
      <c r="A6167" s="90">
        <v>34956</v>
      </c>
      <c r="B6167" s="20">
        <v>0.20833333333333334</v>
      </c>
      <c r="D6167">
        <v>60.08</v>
      </c>
      <c r="E6167" t="str">
        <f t="shared" si="228"/>
        <v>WEEKDAY</v>
      </c>
      <c r="F6167" t="e">
        <f t="shared" si="227"/>
        <v>#N/A</v>
      </c>
      <c r="G6167" s="74">
        <v>29112</v>
      </c>
      <c r="H6167" s="77">
        <v>0.20833333333333334</v>
      </c>
      <c r="J6167">
        <v>73.400000000000006</v>
      </c>
      <c r="M6167" s="74">
        <v>37878</v>
      </c>
      <c r="N6167" s="77">
        <v>0.20833333333333334</v>
      </c>
      <c r="P6167">
        <v>67.28</v>
      </c>
      <c r="S6167" s="74">
        <v>34956</v>
      </c>
      <c r="T6167" s="77">
        <v>0.20833333333333334</v>
      </c>
      <c r="V6167">
        <v>71.960000000000008</v>
      </c>
      <c r="X6167" s="42"/>
      <c r="AB6167">
        <v>64.2</v>
      </c>
      <c r="AC6167">
        <v>62.06</v>
      </c>
      <c r="AE6167" s="74"/>
      <c r="AF6167" s="77"/>
      <c r="AH6167" s="497">
        <v>57.2</v>
      </c>
      <c r="AJ6167" s="42"/>
      <c r="AK6167" s="74"/>
      <c r="AL6167" s="77"/>
      <c r="AN6167" s="497">
        <v>61.34</v>
      </c>
      <c r="AP6167" s="42"/>
      <c r="AQ6167" s="74"/>
      <c r="AR6167" s="77"/>
      <c r="AT6167" s="497">
        <v>66.02</v>
      </c>
      <c r="AV6167" s="42"/>
      <c r="AW6167" s="74"/>
      <c r="AX6167" s="77"/>
      <c r="BA6167" s="497">
        <v>48.019999999999996</v>
      </c>
      <c r="BB6167" s="42"/>
      <c r="BC6167" s="74"/>
      <c r="BD6167" s="77"/>
      <c r="BF6167">
        <v>69.080000000000013</v>
      </c>
      <c r="BH6167" s="42"/>
      <c r="BI6167" s="74"/>
      <c r="BJ6167" s="77"/>
      <c r="BL6167" s="497">
        <v>57.019999999999996</v>
      </c>
      <c r="BN6167" s="42"/>
      <c r="BO6167" s="74"/>
      <c r="BP6167" s="77"/>
      <c r="BR6167" s="497">
        <v>57.56</v>
      </c>
      <c r="BT6167" s="42"/>
    </row>
    <row r="6168" spans="1:72" x14ac:dyDescent="0.25">
      <c r="A6168" s="90">
        <v>34956</v>
      </c>
      <c r="B6168" s="20">
        <v>0.25</v>
      </c>
      <c r="D6168">
        <v>59</v>
      </c>
      <c r="E6168" t="str">
        <f t="shared" si="228"/>
        <v>WEEKDAY</v>
      </c>
      <c r="F6168" t="e">
        <f t="shared" si="227"/>
        <v>#N/A</v>
      </c>
      <c r="G6168" s="74">
        <v>29112</v>
      </c>
      <c r="H6168" s="77">
        <v>0.25</v>
      </c>
      <c r="J6168">
        <v>73.580000000000013</v>
      </c>
      <c r="M6168" s="74">
        <v>37878</v>
      </c>
      <c r="N6168" s="77">
        <v>0.25</v>
      </c>
      <c r="P6168">
        <v>66.92</v>
      </c>
      <c r="S6168" s="74">
        <v>34956</v>
      </c>
      <c r="T6168" s="77">
        <v>0.25</v>
      </c>
      <c r="V6168">
        <v>71.960000000000008</v>
      </c>
      <c r="X6168" s="42"/>
      <c r="AB6168">
        <v>64</v>
      </c>
      <c r="AC6168">
        <v>62.96</v>
      </c>
      <c r="AE6168" s="74"/>
      <c r="AF6168" s="77"/>
      <c r="AH6168" s="497">
        <v>59</v>
      </c>
      <c r="AJ6168" s="42"/>
      <c r="AK6168" s="74"/>
      <c r="AL6168" s="77"/>
      <c r="AN6168" s="497">
        <v>61.7</v>
      </c>
      <c r="AP6168" s="42"/>
      <c r="AQ6168" s="74"/>
      <c r="AR6168" s="77"/>
      <c r="AT6168" s="497">
        <v>66.92</v>
      </c>
      <c r="AV6168" s="42"/>
      <c r="AW6168" s="74"/>
      <c r="AX6168" s="77"/>
      <c r="BA6168" s="497">
        <v>46.94</v>
      </c>
      <c r="BB6168" s="42"/>
      <c r="BC6168" s="74"/>
      <c r="BD6168" s="77"/>
      <c r="BF6168">
        <v>69.080000000000013</v>
      </c>
      <c r="BH6168" s="42"/>
      <c r="BI6168" s="74"/>
      <c r="BJ6168" s="77"/>
      <c r="BL6168" s="497">
        <v>57.019999999999996</v>
      </c>
      <c r="BN6168" s="42"/>
      <c r="BO6168" s="74"/>
      <c r="BP6168" s="77"/>
      <c r="BR6168" s="497">
        <v>57.379999999999995</v>
      </c>
      <c r="BT6168" s="42"/>
    </row>
    <row r="6169" spans="1:72" x14ac:dyDescent="0.25">
      <c r="A6169" s="90">
        <v>34956</v>
      </c>
      <c r="B6169" s="20">
        <v>0.29166666666666669</v>
      </c>
      <c r="D6169">
        <v>57.019999999999996</v>
      </c>
      <c r="E6169" t="str">
        <f t="shared" si="228"/>
        <v>WEEKDAY</v>
      </c>
      <c r="F6169" t="e">
        <f t="shared" si="227"/>
        <v>#N/A</v>
      </c>
      <c r="G6169" s="74">
        <v>29112</v>
      </c>
      <c r="H6169" s="77">
        <v>0.29166666666666669</v>
      </c>
      <c r="J6169">
        <v>73.94</v>
      </c>
      <c r="M6169" s="74">
        <v>37878</v>
      </c>
      <c r="N6169" s="77">
        <v>0.29166666666666669</v>
      </c>
      <c r="P6169">
        <v>68.900000000000006</v>
      </c>
      <c r="S6169" s="74">
        <v>34956</v>
      </c>
      <c r="T6169" s="77">
        <v>0.29166666666666669</v>
      </c>
      <c r="V6169">
        <v>73.039999999999992</v>
      </c>
      <c r="X6169" s="42"/>
      <c r="AB6169">
        <v>63.9</v>
      </c>
      <c r="AC6169">
        <v>62.96</v>
      </c>
      <c r="AE6169" s="74"/>
      <c r="AF6169" s="77"/>
      <c r="AH6169" s="497">
        <v>59.540000000000006</v>
      </c>
      <c r="AJ6169" s="42"/>
      <c r="AK6169" s="74"/>
      <c r="AL6169" s="77"/>
      <c r="AN6169" s="497">
        <v>62.06</v>
      </c>
      <c r="AP6169" s="42"/>
      <c r="AQ6169" s="74"/>
      <c r="AR6169" s="77"/>
      <c r="AT6169" s="497">
        <v>66.92</v>
      </c>
      <c r="AV6169" s="42"/>
      <c r="AW6169" s="74"/>
      <c r="AX6169" s="77"/>
      <c r="BA6169" s="497">
        <v>51.08</v>
      </c>
      <c r="BB6169" s="42"/>
      <c r="BC6169" s="74"/>
      <c r="BD6169" s="77"/>
      <c r="BF6169">
        <v>69.080000000000013</v>
      </c>
      <c r="BH6169" s="42"/>
      <c r="BI6169" s="74"/>
      <c r="BJ6169" s="77"/>
      <c r="BL6169" s="497">
        <v>60.980000000000004</v>
      </c>
      <c r="BN6169" s="42"/>
      <c r="BO6169" s="74"/>
      <c r="BP6169" s="77"/>
      <c r="BR6169" s="497">
        <v>57.019999999999996</v>
      </c>
      <c r="BT6169" s="42"/>
    </row>
    <row r="6170" spans="1:72" x14ac:dyDescent="0.25">
      <c r="A6170" s="90">
        <v>34956</v>
      </c>
      <c r="B6170" s="20">
        <v>0.33333333333333331</v>
      </c>
      <c r="D6170">
        <v>55.94</v>
      </c>
      <c r="E6170" t="str">
        <f t="shared" si="228"/>
        <v>WEEKDAY</v>
      </c>
      <c r="F6170" t="e">
        <f t="shared" si="227"/>
        <v>#N/A</v>
      </c>
      <c r="G6170" s="74">
        <v>29112</v>
      </c>
      <c r="H6170" s="77">
        <v>0.33333333333333331</v>
      </c>
      <c r="J6170">
        <v>74.66</v>
      </c>
      <c r="M6170" s="74">
        <v>37878</v>
      </c>
      <c r="N6170" s="77">
        <v>0.33333333333333331</v>
      </c>
      <c r="P6170">
        <v>71.240000000000009</v>
      </c>
      <c r="S6170" s="74">
        <v>34956</v>
      </c>
      <c r="T6170" s="77">
        <v>0.33333333333333331</v>
      </c>
      <c r="V6170">
        <v>73.039999999999992</v>
      </c>
      <c r="X6170" s="42"/>
      <c r="AB6170">
        <v>65.900000000000006</v>
      </c>
      <c r="AC6170">
        <v>64.94</v>
      </c>
      <c r="AE6170" s="74"/>
      <c r="AF6170" s="77"/>
      <c r="AH6170" s="497">
        <v>60.8</v>
      </c>
      <c r="AJ6170" s="42"/>
      <c r="AK6170" s="74"/>
      <c r="AL6170" s="77"/>
      <c r="AN6170" s="497">
        <v>64.400000000000006</v>
      </c>
      <c r="AP6170" s="42"/>
      <c r="AQ6170" s="74"/>
      <c r="AR6170" s="77"/>
      <c r="AT6170" s="497">
        <v>69.080000000000013</v>
      </c>
      <c r="AV6170" s="42"/>
      <c r="AW6170" s="74"/>
      <c r="AX6170" s="77"/>
      <c r="BA6170" s="497">
        <v>57.92</v>
      </c>
      <c r="BB6170" s="42"/>
      <c r="BC6170" s="74"/>
      <c r="BD6170" s="77"/>
      <c r="BF6170">
        <v>69.080000000000013</v>
      </c>
      <c r="BH6170" s="42"/>
      <c r="BI6170" s="74"/>
      <c r="BJ6170" s="77"/>
      <c r="BL6170" s="497">
        <v>62.96</v>
      </c>
      <c r="BN6170" s="42"/>
      <c r="BO6170" s="74"/>
      <c r="BP6170" s="77"/>
      <c r="BR6170" s="497">
        <v>56.66</v>
      </c>
      <c r="BT6170" s="42"/>
    </row>
    <row r="6171" spans="1:72" x14ac:dyDescent="0.25">
      <c r="A6171" s="90">
        <v>34956</v>
      </c>
      <c r="B6171" s="20">
        <v>0.375</v>
      </c>
      <c r="D6171">
        <v>55.040000000000006</v>
      </c>
      <c r="E6171" t="str">
        <f t="shared" si="228"/>
        <v>WEEKDAY</v>
      </c>
      <c r="F6171" t="e">
        <f t="shared" si="227"/>
        <v>#N/A</v>
      </c>
      <c r="G6171" s="74">
        <v>29112</v>
      </c>
      <c r="H6171" s="77">
        <v>0.375</v>
      </c>
      <c r="J6171">
        <v>75.2</v>
      </c>
      <c r="M6171" s="74">
        <v>37878</v>
      </c>
      <c r="N6171" s="77">
        <v>0.375</v>
      </c>
      <c r="P6171">
        <v>73.400000000000006</v>
      </c>
      <c r="S6171" s="74">
        <v>34956</v>
      </c>
      <c r="T6171" s="77">
        <v>0.375</v>
      </c>
      <c r="V6171">
        <v>73.94</v>
      </c>
      <c r="X6171" s="42"/>
      <c r="AB6171">
        <v>68.2</v>
      </c>
      <c r="AC6171">
        <v>69.080000000000013</v>
      </c>
      <c r="AE6171" s="74"/>
      <c r="AF6171" s="77"/>
      <c r="AH6171" s="497">
        <v>60.8</v>
      </c>
      <c r="AJ6171" s="42"/>
      <c r="AK6171" s="74"/>
      <c r="AL6171" s="77"/>
      <c r="AN6171" s="497">
        <v>66.740000000000009</v>
      </c>
      <c r="AP6171" s="42"/>
      <c r="AQ6171" s="74"/>
      <c r="AR6171" s="77"/>
      <c r="AT6171" s="497">
        <v>71.960000000000008</v>
      </c>
      <c r="AV6171" s="42"/>
      <c r="AW6171" s="74"/>
      <c r="AX6171" s="77"/>
      <c r="BA6171" s="497">
        <v>66.02</v>
      </c>
      <c r="BB6171" s="42"/>
      <c r="BC6171" s="74"/>
      <c r="BD6171" s="77"/>
      <c r="BF6171">
        <v>68</v>
      </c>
      <c r="BH6171" s="42"/>
      <c r="BI6171" s="74"/>
      <c r="BJ6171" s="77"/>
      <c r="BL6171" s="497">
        <v>66.92</v>
      </c>
      <c r="BN6171" s="42"/>
      <c r="BO6171" s="74"/>
      <c r="BP6171" s="77"/>
      <c r="BR6171" s="497">
        <v>56.3</v>
      </c>
      <c r="BT6171" s="42"/>
    </row>
    <row r="6172" spans="1:72" x14ac:dyDescent="0.25">
      <c r="A6172" s="90">
        <v>34956</v>
      </c>
      <c r="B6172" s="20">
        <v>0.41666666666666669</v>
      </c>
      <c r="D6172">
        <v>55.040000000000006</v>
      </c>
      <c r="E6172" t="str">
        <f t="shared" si="228"/>
        <v>WEEKDAY</v>
      </c>
      <c r="F6172" t="e">
        <f t="shared" si="227"/>
        <v>#N/A</v>
      </c>
      <c r="G6172" s="74">
        <v>29112</v>
      </c>
      <c r="H6172" s="77">
        <v>0.41666666666666669</v>
      </c>
      <c r="J6172">
        <v>75.92</v>
      </c>
      <c r="M6172" s="74">
        <v>37878</v>
      </c>
      <c r="N6172" s="77">
        <v>0.41666666666666669</v>
      </c>
      <c r="P6172">
        <v>75.2</v>
      </c>
      <c r="S6172" s="74">
        <v>34956</v>
      </c>
      <c r="T6172" s="77">
        <v>0.41666666666666669</v>
      </c>
      <c r="V6172">
        <v>75.02</v>
      </c>
      <c r="X6172" s="42"/>
      <c r="AB6172">
        <v>70.3</v>
      </c>
      <c r="AC6172">
        <v>69.080000000000013</v>
      </c>
      <c r="AE6172" s="74"/>
      <c r="AF6172" s="77"/>
      <c r="AH6172" s="497">
        <v>62.96</v>
      </c>
      <c r="AJ6172" s="42"/>
      <c r="AK6172" s="74"/>
      <c r="AL6172" s="77"/>
      <c r="AN6172" s="497">
        <v>69.080000000000013</v>
      </c>
      <c r="AP6172" s="42"/>
      <c r="AQ6172" s="74"/>
      <c r="AR6172" s="77"/>
      <c r="AT6172" s="497">
        <v>75.02</v>
      </c>
      <c r="AV6172" s="42"/>
      <c r="AW6172" s="74"/>
      <c r="AX6172" s="77"/>
      <c r="BA6172" s="497">
        <v>69.080000000000013</v>
      </c>
      <c r="BB6172" s="42"/>
      <c r="BC6172" s="74"/>
      <c r="BD6172" s="77"/>
      <c r="BF6172">
        <v>71.06</v>
      </c>
      <c r="BH6172" s="42"/>
      <c r="BI6172" s="74"/>
      <c r="BJ6172" s="77"/>
      <c r="BL6172" s="497">
        <v>71.06</v>
      </c>
      <c r="BN6172" s="42"/>
      <c r="BO6172" s="74"/>
      <c r="BP6172" s="77"/>
      <c r="BR6172" s="497">
        <v>55.94</v>
      </c>
      <c r="BT6172" s="42"/>
    </row>
    <row r="6173" spans="1:72" x14ac:dyDescent="0.25">
      <c r="A6173" s="90">
        <v>34956</v>
      </c>
      <c r="B6173" s="20">
        <v>0.45833333333333331</v>
      </c>
      <c r="D6173">
        <v>55.94</v>
      </c>
      <c r="E6173" t="str">
        <f t="shared" si="228"/>
        <v>WEEKDAY</v>
      </c>
      <c r="F6173" t="e">
        <f t="shared" si="227"/>
        <v>#N/A</v>
      </c>
      <c r="G6173" s="74">
        <v>29112</v>
      </c>
      <c r="H6173" s="77">
        <v>0.45833333333333331</v>
      </c>
      <c r="J6173">
        <v>75.92</v>
      </c>
      <c r="M6173" s="74">
        <v>37878</v>
      </c>
      <c r="N6173" s="77">
        <v>0.45833333333333331</v>
      </c>
      <c r="P6173">
        <v>77</v>
      </c>
      <c r="S6173" s="74">
        <v>34956</v>
      </c>
      <c r="T6173" s="77">
        <v>0.45833333333333331</v>
      </c>
      <c r="V6173">
        <v>78.98</v>
      </c>
      <c r="X6173" s="42"/>
      <c r="AB6173">
        <v>72.099999999999994</v>
      </c>
      <c r="AC6173">
        <v>68</v>
      </c>
      <c r="AE6173" s="74"/>
      <c r="AF6173" s="77"/>
      <c r="AH6173" s="497">
        <v>64.400000000000006</v>
      </c>
      <c r="AJ6173" s="42"/>
      <c r="AK6173" s="74"/>
      <c r="AL6173" s="77"/>
      <c r="AN6173" s="497">
        <v>71.78</v>
      </c>
      <c r="AP6173" s="42"/>
      <c r="AQ6173" s="74"/>
      <c r="AR6173" s="77"/>
      <c r="AT6173" s="497">
        <v>75.02</v>
      </c>
      <c r="AV6173" s="42"/>
      <c r="AW6173" s="74"/>
      <c r="AX6173" s="77"/>
      <c r="BA6173" s="497">
        <v>71.06</v>
      </c>
      <c r="BB6173" s="42"/>
      <c r="BC6173" s="74"/>
      <c r="BD6173" s="77"/>
      <c r="BF6173">
        <v>71.960000000000008</v>
      </c>
      <c r="BH6173" s="42"/>
      <c r="BI6173" s="74"/>
      <c r="BJ6173" s="77"/>
      <c r="BL6173" s="497">
        <v>75.02</v>
      </c>
      <c r="BN6173" s="42"/>
      <c r="BO6173" s="74"/>
      <c r="BP6173" s="77"/>
      <c r="BR6173" s="497">
        <v>55.58</v>
      </c>
      <c r="BT6173" s="42"/>
    </row>
    <row r="6174" spans="1:72" x14ac:dyDescent="0.25">
      <c r="A6174" s="90">
        <v>34956</v>
      </c>
      <c r="B6174" s="20">
        <v>0.5</v>
      </c>
      <c r="D6174">
        <v>55.94</v>
      </c>
      <c r="E6174" t="str">
        <f t="shared" si="228"/>
        <v>WEEKDAY</v>
      </c>
      <c r="F6174" t="e">
        <f t="shared" si="227"/>
        <v>#N/A</v>
      </c>
      <c r="G6174" s="74">
        <v>29112</v>
      </c>
      <c r="H6174" s="77">
        <v>0.5</v>
      </c>
      <c r="J6174">
        <v>75.92</v>
      </c>
      <c r="M6174" s="74">
        <v>37878</v>
      </c>
      <c r="N6174" s="77">
        <v>0.5</v>
      </c>
      <c r="P6174">
        <v>77</v>
      </c>
      <c r="S6174" s="74">
        <v>34956</v>
      </c>
      <c r="T6174" s="77">
        <v>0.5</v>
      </c>
      <c r="V6174">
        <v>82.039999999999992</v>
      </c>
      <c r="X6174" s="42"/>
      <c r="AB6174">
        <v>73.5</v>
      </c>
      <c r="AC6174">
        <v>68</v>
      </c>
      <c r="AE6174" s="74"/>
      <c r="AF6174" s="77"/>
      <c r="AH6174" s="497">
        <v>66.2</v>
      </c>
      <c r="AJ6174" s="42"/>
      <c r="AK6174" s="74"/>
      <c r="AL6174" s="77"/>
      <c r="AN6174" s="497">
        <v>74.300000000000011</v>
      </c>
      <c r="AP6174" s="42"/>
      <c r="AQ6174" s="74"/>
      <c r="AR6174" s="77"/>
      <c r="AT6174" s="497">
        <v>77</v>
      </c>
      <c r="AV6174" s="42"/>
      <c r="AW6174" s="74"/>
      <c r="AX6174" s="77"/>
      <c r="BA6174" s="497">
        <v>73.94</v>
      </c>
      <c r="BB6174" s="42"/>
      <c r="BC6174" s="74"/>
      <c r="BD6174" s="77"/>
      <c r="BF6174">
        <v>71.960000000000008</v>
      </c>
      <c r="BH6174" s="42"/>
      <c r="BI6174" s="74"/>
      <c r="BJ6174" s="77"/>
      <c r="BL6174" s="497">
        <v>78.080000000000013</v>
      </c>
      <c r="BN6174" s="42"/>
      <c r="BO6174" s="74"/>
      <c r="BP6174" s="77"/>
      <c r="BR6174" s="497">
        <v>55.400000000000006</v>
      </c>
      <c r="BT6174" s="42"/>
    </row>
    <row r="6175" spans="1:72" x14ac:dyDescent="0.25">
      <c r="A6175" s="90">
        <v>34956</v>
      </c>
      <c r="B6175" s="20">
        <v>0.54166666666666663</v>
      </c>
      <c r="D6175">
        <v>55.94</v>
      </c>
      <c r="E6175" t="str">
        <f t="shared" si="228"/>
        <v>WEEKDAY</v>
      </c>
      <c r="F6175" t="e">
        <f t="shared" si="227"/>
        <v>#N/A</v>
      </c>
      <c r="G6175" s="74">
        <v>29112</v>
      </c>
      <c r="H6175" s="77">
        <v>0.54166666666666663</v>
      </c>
      <c r="J6175">
        <v>75.92</v>
      </c>
      <c r="M6175" s="74">
        <v>37878</v>
      </c>
      <c r="N6175" s="77">
        <v>0.54166666666666663</v>
      </c>
      <c r="P6175">
        <v>75.2</v>
      </c>
      <c r="S6175" s="74">
        <v>34956</v>
      </c>
      <c r="T6175" s="77">
        <v>0.54166666666666663</v>
      </c>
      <c r="V6175">
        <v>84.02</v>
      </c>
      <c r="X6175" s="42"/>
      <c r="AB6175">
        <v>74.2</v>
      </c>
      <c r="AC6175">
        <v>69.98</v>
      </c>
      <c r="AE6175" s="74"/>
      <c r="AF6175" s="77"/>
      <c r="AH6175" s="497">
        <v>71.599999999999994</v>
      </c>
      <c r="AJ6175" s="42"/>
      <c r="AK6175" s="74"/>
      <c r="AL6175" s="77"/>
      <c r="AN6175" s="497">
        <v>77</v>
      </c>
      <c r="AP6175" s="42"/>
      <c r="AQ6175" s="74"/>
      <c r="AR6175" s="77"/>
      <c r="AT6175" s="497">
        <v>78.080000000000013</v>
      </c>
      <c r="AV6175" s="42"/>
      <c r="AW6175" s="74"/>
      <c r="AX6175" s="77"/>
      <c r="BA6175" s="497">
        <v>73.94</v>
      </c>
      <c r="BB6175" s="42"/>
      <c r="BC6175" s="74"/>
      <c r="BD6175" s="77"/>
      <c r="BF6175">
        <v>73.039999999999992</v>
      </c>
      <c r="BH6175" s="42"/>
      <c r="BI6175" s="74"/>
      <c r="BJ6175" s="77"/>
      <c r="BL6175" s="497">
        <v>80.06</v>
      </c>
      <c r="BN6175" s="42"/>
      <c r="BO6175" s="74"/>
      <c r="BP6175" s="77"/>
      <c r="BR6175" s="497">
        <v>55.040000000000006</v>
      </c>
      <c r="BT6175" s="42"/>
    </row>
    <row r="6176" spans="1:72" x14ac:dyDescent="0.25">
      <c r="A6176" s="90">
        <v>34956</v>
      </c>
      <c r="B6176" s="20">
        <v>0.58333333333333337</v>
      </c>
      <c r="D6176">
        <v>57.019999999999996</v>
      </c>
      <c r="E6176" t="str">
        <f t="shared" si="228"/>
        <v>WEEKDAY</v>
      </c>
      <c r="F6176" t="e">
        <f t="shared" si="227"/>
        <v>#N/A</v>
      </c>
      <c r="G6176" s="74">
        <v>29112</v>
      </c>
      <c r="H6176" s="77">
        <v>0.58333333333333337</v>
      </c>
      <c r="J6176">
        <v>75.92</v>
      </c>
      <c r="M6176" s="74">
        <v>37878</v>
      </c>
      <c r="N6176" s="77">
        <v>0.58333333333333337</v>
      </c>
      <c r="P6176">
        <v>75.2</v>
      </c>
      <c r="S6176" s="74">
        <v>34956</v>
      </c>
      <c r="T6176" s="77">
        <v>0.58333333333333337</v>
      </c>
      <c r="V6176">
        <v>87.080000000000013</v>
      </c>
      <c r="X6176" s="42"/>
      <c r="AB6176">
        <v>74.7</v>
      </c>
      <c r="AC6176">
        <v>69.080000000000013</v>
      </c>
      <c r="AE6176" s="74"/>
      <c r="AF6176" s="77"/>
      <c r="AH6176" s="497">
        <v>69.800000000000011</v>
      </c>
      <c r="AJ6176" s="42"/>
      <c r="AK6176" s="74"/>
      <c r="AL6176" s="77"/>
      <c r="AN6176" s="497">
        <v>77</v>
      </c>
      <c r="AP6176" s="42"/>
      <c r="AQ6176" s="74"/>
      <c r="AR6176" s="77"/>
      <c r="AT6176" s="497">
        <v>78.98</v>
      </c>
      <c r="AV6176" s="42"/>
      <c r="AW6176" s="74"/>
      <c r="AX6176" s="77"/>
      <c r="BA6176" s="497">
        <v>73.039999999999992</v>
      </c>
      <c r="BB6176" s="42"/>
      <c r="BC6176" s="74"/>
      <c r="BD6176" s="77"/>
      <c r="BF6176">
        <v>71.06</v>
      </c>
      <c r="BH6176" s="42"/>
      <c r="BI6176" s="74"/>
      <c r="BJ6176" s="77"/>
      <c r="BL6176" s="497">
        <v>82.94</v>
      </c>
      <c r="BN6176" s="42"/>
      <c r="BO6176" s="74"/>
      <c r="BP6176" s="77"/>
      <c r="BR6176" s="497">
        <v>55.040000000000006</v>
      </c>
      <c r="BT6176" s="42"/>
    </row>
    <row r="6177" spans="1:72" x14ac:dyDescent="0.25">
      <c r="A6177" s="90">
        <v>34956</v>
      </c>
      <c r="B6177" s="20">
        <v>0.625</v>
      </c>
      <c r="D6177">
        <v>57.019999999999996</v>
      </c>
      <c r="E6177" t="str">
        <f t="shared" si="228"/>
        <v>WEEKDAY</v>
      </c>
      <c r="F6177" t="e">
        <f t="shared" si="227"/>
        <v>#N/A</v>
      </c>
      <c r="G6177" s="74">
        <v>29112</v>
      </c>
      <c r="H6177" s="77">
        <v>0.625</v>
      </c>
      <c r="J6177">
        <v>75.92</v>
      </c>
      <c r="M6177" s="74">
        <v>37878</v>
      </c>
      <c r="N6177" s="77">
        <v>0.625</v>
      </c>
      <c r="P6177">
        <v>73.400000000000006</v>
      </c>
      <c r="S6177" s="74">
        <v>34956</v>
      </c>
      <c r="T6177" s="77">
        <v>0.625</v>
      </c>
      <c r="V6177">
        <v>86</v>
      </c>
      <c r="X6177" s="42"/>
      <c r="AB6177">
        <v>74.8</v>
      </c>
      <c r="AC6177">
        <v>66.92</v>
      </c>
      <c r="AE6177" s="74"/>
      <c r="AF6177" s="77"/>
      <c r="AH6177" s="497">
        <v>73.400000000000006</v>
      </c>
      <c r="AJ6177" s="42"/>
      <c r="AK6177" s="74"/>
      <c r="AL6177" s="77"/>
      <c r="AN6177" s="497">
        <v>77</v>
      </c>
      <c r="AP6177" s="42"/>
      <c r="AQ6177" s="74"/>
      <c r="AR6177" s="77"/>
      <c r="AT6177" s="497">
        <v>78.98</v>
      </c>
      <c r="AV6177" s="42"/>
      <c r="AW6177" s="74"/>
      <c r="AX6177" s="77"/>
      <c r="BA6177" s="497">
        <v>73.039999999999992</v>
      </c>
      <c r="BB6177" s="42"/>
      <c r="BC6177" s="74"/>
      <c r="BD6177" s="77"/>
      <c r="BF6177">
        <v>71.960000000000008</v>
      </c>
      <c r="BH6177" s="42"/>
      <c r="BI6177" s="74"/>
      <c r="BJ6177" s="77"/>
      <c r="BL6177" s="497">
        <v>84.02</v>
      </c>
      <c r="BN6177" s="42"/>
      <c r="BO6177" s="74"/>
      <c r="BP6177" s="77"/>
      <c r="BR6177" s="497">
        <v>55.040000000000006</v>
      </c>
      <c r="BT6177" s="42"/>
    </row>
    <row r="6178" spans="1:72" x14ac:dyDescent="0.25">
      <c r="A6178" s="90">
        <v>34956</v>
      </c>
      <c r="B6178" s="20">
        <v>0.66666666666666663</v>
      </c>
      <c r="D6178">
        <v>57.92</v>
      </c>
      <c r="E6178" t="str">
        <f t="shared" si="228"/>
        <v>WEEKDAY</v>
      </c>
      <c r="F6178" t="e">
        <f t="shared" si="227"/>
        <v>#N/A</v>
      </c>
      <c r="G6178" s="74">
        <v>29112</v>
      </c>
      <c r="H6178" s="77">
        <v>0.66666666666666663</v>
      </c>
      <c r="J6178">
        <v>75.92</v>
      </c>
      <c r="M6178" s="74">
        <v>37878</v>
      </c>
      <c r="N6178" s="77">
        <v>0.66666666666666663</v>
      </c>
      <c r="P6178">
        <v>73.400000000000006</v>
      </c>
      <c r="S6178" s="74">
        <v>34956</v>
      </c>
      <c r="T6178" s="77">
        <v>0.66666666666666663</v>
      </c>
      <c r="V6178">
        <v>86</v>
      </c>
      <c r="X6178" s="42"/>
      <c r="AB6178">
        <v>74.400000000000006</v>
      </c>
      <c r="AC6178">
        <v>66.92</v>
      </c>
      <c r="AE6178" s="74"/>
      <c r="AF6178" s="77"/>
      <c r="AH6178" s="497">
        <v>73.400000000000006</v>
      </c>
      <c r="AJ6178" s="42"/>
      <c r="AK6178" s="74"/>
      <c r="AL6178" s="77"/>
      <c r="AN6178" s="497">
        <v>77</v>
      </c>
      <c r="AP6178" s="42"/>
      <c r="AQ6178" s="74"/>
      <c r="AR6178" s="77"/>
      <c r="AT6178" s="497">
        <v>78.080000000000013</v>
      </c>
      <c r="AV6178" s="42"/>
      <c r="AW6178" s="74"/>
      <c r="AX6178" s="77"/>
      <c r="BA6178" s="497">
        <v>73.94</v>
      </c>
      <c r="BB6178" s="42"/>
      <c r="BC6178" s="74"/>
      <c r="BD6178" s="77"/>
      <c r="BF6178">
        <v>73.94</v>
      </c>
      <c r="BH6178" s="42"/>
      <c r="BI6178" s="74"/>
      <c r="BJ6178" s="77"/>
      <c r="BL6178" s="497">
        <v>82.94</v>
      </c>
      <c r="BN6178" s="42"/>
      <c r="BO6178" s="74"/>
      <c r="BP6178" s="77"/>
      <c r="BR6178" s="497">
        <v>55.040000000000006</v>
      </c>
      <c r="BT6178" s="42"/>
    </row>
    <row r="6179" spans="1:72" x14ac:dyDescent="0.25">
      <c r="A6179" s="90">
        <v>34956</v>
      </c>
      <c r="B6179" s="20">
        <v>0.70833333333333337</v>
      </c>
      <c r="D6179">
        <v>60.08</v>
      </c>
      <c r="E6179" t="str">
        <f t="shared" si="228"/>
        <v>WEEKDAY</v>
      </c>
      <c r="F6179" t="e">
        <f t="shared" si="227"/>
        <v>#N/A</v>
      </c>
      <c r="G6179" s="74">
        <v>29112</v>
      </c>
      <c r="H6179" s="77">
        <v>0.70833333333333337</v>
      </c>
      <c r="J6179">
        <v>75.56</v>
      </c>
      <c r="M6179" s="74">
        <v>37878</v>
      </c>
      <c r="N6179" s="77">
        <v>0.70833333333333337</v>
      </c>
      <c r="P6179">
        <v>73.400000000000006</v>
      </c>
      <c r="S6179" s="74">
        <v>34956</v>
      </c>
      <c r="T6179" s="77">
        <v>0.70833333333333337</v>
      </c>
      <c r="V6179">
        <v>80.960000000000008</v>
      </c>
      <c r="X6179" s="42"/>
      <c r="AB6179">
        <v>73.7</v>
      </c>
      <c r="AC6179">
        <v>64.94</v>
      </c>
      <c r="AE6179" s="74"/>
      <c r="AF6179" s="77"/>
      <c r="AH6179" s="497">
        <v>69.800000000000011</v>
      </c>
      <c r="AJ6179" s="42"/>
      <c r="AK6179" s="74"/>
      <c r="AL6179" s="77"/>
      <c r="AN6179" s="497">
        <v>75.02</v>
      </c>
      <c r="AP6179" s="42"/>
      <c r="AQ6179" s="74"/>
      <c r="AR6179" s="77"/>
      <c r="AT6179" s="497">
        <v>77</v>
      </c>
      <c r="AV6179" s="42"/>
      <c r="AW6179" s="74"/>
      <c r="AX6179" s="77"/>
      <c r="BA6179" s="497">
        <v>69.080000000000013</v>
      </c>
      <c r="BB6179" s="42"/>
      <c r="BC6179" s="74"/>
      <c r="BD6179" s="77"/>
      <c r="BF6179">
        <v>69.98</v>
      </c>
      <c r="BH6179" s="42"/>
      <c r="BI6179" s="74"/>
      <c r="BJ6179" s="77"/>
      <c r="BL6179" s="497">
        <v>80.06</v>
      </c>
      <c r="BN6179" s="42"/>
      <c r="BO6179" s="74"/>
      <c r="BP6179" s="77"/>
      <c r="BR6179" s="497">
        <v>54.68</v>
      </c>
      <c r="BT6179" s="42"/>
    </row>
    <row r="6180" spans="1:72" x14ac:dyDescent="0.25">
      <c r="A6180" s="90">
        <v>34956</v>
      </c>
      <c r="B6180" s="20">
        <v>0.75</v>
      </c>
      <c r="D6180">
        <v>60.08</v>
      </c>
      <c r="E6180" t="str">
        <f t="shared" si="228"/>
        <v>WEEKDAY</v>
      </c>
      <c r="F6180" t="e">
        <f t="shared" si="227"/>
        <v>#N/A</v>
      </c>
      <c r="G6180" s="74">
        <v>29112</v>
      </c>
      <c r="H6180" s="77">
        <v>0.75</v>
      </c>
      <c r="J6180">
        <v>75.38</v>
      </c>
      <c r="M6180" s="74">
        <v>37878</v>
      </c>
      <c r="N6180" s="77">
        <v>0.75</v>
      </c>
      <c r="P6180">
        <v>71.599999999999994</v>
      </c>
      <c r="S6180" s="74">
        <v>34956</v>
      </c>
      <c r="T6180" s="77">
        <v>0.75</v>
      </c>
      <c r="V6180">
        <v>82.039999999999992</v>
      </c>
      <c r="X6180" s="42"/>
      <c r="AB6180">
        <v>72.3</v>
      </c>
      <c r="AC6180">
        <v>62.06</v>
      </c>
      <c r="AE6180" s="74"/>
      <c r="AF6180" s="77"/>
      <c r="AH6180" s="497">
        <v>66.38</v>
      </c>
      <c r="AJ6180" s="42"/>
      <c r="AK6180" s="74"/>
      <c r="AL6180" s="77"/>
      <c r="AN6180" s="497">
        <v>73.039999999999992</v>
      </c>
      <c r="AP6180" s="42"/>
      <c r="AQ6180" s="74"/>
      <c r="AR6180" s="77"/>
      <c r="AT6180" s="497">
        <v>75.02</v>
      </c>
      <c r="AV6180" s="42"/>
      <c r="AW6180" s="74"/>
      <c r="AX6180" s="77"/>
      <c r="BA6180" s="497">
        <v>66.92</v>
      </c>
      <c r="BB6180" s="42"/>
      <c r="BC6180" s="74"/>
      <c r="BD6180" s="77"/>
      <c r="BF6180">
        <v>69.98</v>
      </c>
      <c r="BH6180" s="42"/>
      <c r="BI6180" s="74"/>
      <c r="BJ6180" s="77"/>
      <c r="BL6180" s="497">
        <v>77</v>
      </c>
      <c r="BN6180" s="42"/>
      <c r="BO6180" s="74"/>
      <c r="BP6180" s="77"/>
      <c r="BR6180" s="497">
        <v>54.32</v>
      </c>
      <c r="BT6180" s="42"/>
    </row>
    <row r="6181" spans="1:72" x14ac:dyDescent="0.25">
      <c r="A6181" s="90">
        <v>34956</v>
      </c>
      <c r="B6181" s="20">
        <v>0.79166666666666663</v>
      </c>
      <c r="D6181">
        <v>59</v>
      </c>
      <c r="E6181" t="str">
        <f t="shared" si="228"/>
        <v>WEEKDAY</v>
      </c>
      <c r="F6181" t="e">
        <f t="shared" si="227"/>
        <v>#N/A</v>
      </c>
      <c r="G6181" s="74">
        <v>29112</v>
      </c>
      <c r="H6181" s="77">
        <v>0.79166666666666663</v>
      </c>
      <c r="J6181">
        <v>75.02</v>
      </c>
      <c r="M6181" s="74">
        <v>37878</v>
      </c>
      <c r="N6181" s="77">
        <v>0.79166666666666663</v>
      </c>
      <c r="P6181">
        <v>71.599999999999994</v>
      </c>
      <c r="S6181" s="74">
        <v>34956</v>
      </c>
      <c r="T6181" s="77">
        <v>0.79166666666666663</v>
      </c>
      <c r="V6181">
        <v>80.960000000000008</v>
      </c>
      <c r="X6181" s="42"/>
      <c r="AB6181">
        <v>70.7</v>
      </c>
      <c r="AC6181">
        <v>60.08</v>
      </c>
      <c r="AE6181" s="74"/>
      <c r="AF6181" s="77"/>
      <c r="AH6181" s="497">
        <v>62.6</v>
      </c>
      <c r="AJ6181" s="42"/>
      <c r="AK6181" s="74"/>
      <c r="AL6181" s="77"/>
      <c r="AN6181" s="497">
        <v>71.06</v>
      </c>
      <c r="AP6181" s="42"/>
      <c r="AQ6181" s="74"/>
      <c r="AR6181" s="77"/>
      <c r="AT6181" s="497">
        <v>73.94</v>
      </c>
      <c r="AV6181" s="42"/>
      <c r="AW6181" s="74"/>
      <c r="AX6181" s="77"/>
      <c r="BA6181" s="497">
        <v>64.94</v>
      </c>
      <c r="BB6181" s="42"/>
      <c r="BC6181" s="74"/>
      <c r="BD6181" s="77"/>
      <c r="BF6181">
        <v>68</v>
      </c>
      <c r="BH6181" s="42"/>
      <c r="BI6181" s="74"/>
      <c r="BJ6181" s="77"/>
      <c r="BL6181" s="497">
        <v>75.02</v>
      </c>
      <c r="BN6181" s="42"/>
      <c r="BO6181" s="74"/>
      <c r="BP6181" s="77"/>
      <c r="BR6181" s="497">
        <v>53.96</v>
      </c>
      <c r="BT6181" s="42"/>
    </row>
    <row r="6182" spans="1:72" x14ac:dyDescent="0.25">
      <c r="A6182" s="90">
        <v>34956</v>
      </c>
      <c r="B6182" s="20">
        <v>0.83333333333333337</v>
      </c>
      <c r="D6182">
        <v>57.92</v>
      </c>
      <c r="E6182" t="str">
        <f t="shared" si="228"/>
        <v>WEEKDAY</v>
      </c>
      <c r="F6182" t="e">
        <f t="shared" si="227"/>
        <v>#N/A</v>
      </c>
      <c r="G6182" s="74">
        <v>29112</v>
      </c>
      <c r="H6182" s="77">
        <v>0.83333333333333337</v>
      </c>
      <c r="J6182">
        <v>73.400000000000006</v>
      </c>
      <c r="M6182" s="74">
        <v>37878</v>
      </c>
      <c r="N6182" s="77">
        <v>0.83333333333333337</v>
      </c>
      <c r="P6182">
        <v>71.599999999999994</v>
      </c>
      <c r="S6182" s="74">
        <v>34956</v>
      </c>
      <c r="T6182" s="77">
        <v>0.83333333333333337</v>
      </c>
      <c r="V6182">
        <v>78.98</v>
      </c>
      <c r="X6182" s="42"/>
      <c r="AB6182">
        <v>69.5</v>
      </c>
      <c r="AC6182">
        <v>60.980000000000004</v>
      </c>
      <c r="AE6182" s="74"/>
      <c r="AF6182" s="77"/>
      <c r="AH6182" s="497">
        <v>60.8</v>
      </c>
      <c r="AJ6182" s="42"/>
      <c r="AK6182" s="74"/>
      <c r="AL6182" s="77"/>
      <c r="AN6182" s="497">
        <v>69.98</v>
      </c>
      <c r="AP6182" s="42"/>
      <c r="AQ6182" s="74"/>
      <c r="AR6182" s="77"/>
      <c r="AT6182" s="497">
        <v>71.960000000000008</v>
      </c>
      <c r="AV6182" s="42"/>
      <c r="AW6182" s="74"/>
      <c r="AX6182" s="77"/>
      <c r="BA6182" s="497">
        <v>64.039999999999992</v>
      </c>
      <c r="BB6182" s="42"/>
      <c r="BC6182" s="74"/>
      <c r="BD6182" s="77"/>
      <c r="BF6182">
        <v>66.92</v>
      </c>
      <c r="BH6182" s="42"/>
      <c r="BI6182" s="74"/>
      <c r="BJ6182" s="77"/>
      <c r="BL6182" s="497">
        <v>73.039999999999992</v>
      </c>
      <c r="BN6182" s="42"/>
      <c r="BO6182" s="74"/>
      <c r="BP6182" s="77"/>
      <c r="BR6182" s="497">
        <v>53.96</v>
      </c>
      <c r="BT6182" s="42"/>
    </row>
    <row r="6183" spans="1:72" x14ac:dyDescent="0.25">
      <c r="A6183" s="90">
        <v>34956</v>
      </c>
      <c r="B6183" s="20">
        <v>0.875</v>
      </c>
      <c r="D6183">
        <v>57.92</v>
      </c>
      <c r="E6183" t="str">
        <f t="shared" si="228"/>
        <v>WEEKDAY</v>
      </c>
      <c r="F6183" t="e">
        <f t="shared" si="227"/>
        <v>#N/A</v>
      </c>
      <c r="G6183" s="74">
        <v>29112</v>
      </c>
      <c r="H6183" s="77">
        <v>0.875</v>
      </c>
      <c r="J6183">
        <v>71.599999999999994</v>
      </c>
      <c r="M6183" s="74">
        <v>37878</v>
      </c>
      <c r="N6183" s="77">
        <v>0.875</v>
      </c>
      <c r="P6183">
        <v>69.800000000000011</v>
      </c>
      <c r="S6183" s="74">
        <v>34956</v>
      </c>
      <c r="T6183" s="77">
        <v>0.875</v>
      </c>
      <c r="V6183">
        <v>75.92</v>
      </c>
      <c r="X6183" s="42"/>
      <c r="AB6183">
        <v>68.8</v>
      </c>
      <c r="AC6183">
        <v>59</v>
      </c>
      <c r="AE6183" s="74"/>
      <c r="AF6183" s="77"/>
      <c r="AH6183" s="497">
        <v>59</v>
      </c>
      <c r="AJ6183" s="42"/>
      <c r="AK6183" s="74"/>
      <c r="AL6183" s="77"/>
      <c r="AN6183" s="497">
        <v>69.080000000000013</v>
      </c>
      <c r="AP6183" s="42"/>
      <c r="AQ6183" s="74"/>
      <c r="AR6183" s="77"/>
      <c r="AT6183" s="497">
        <v>71.06</v>
      </c>
      <c r="AV6183" s="42"/>
      <c r="AW6183" s="74"/>
      <c r="AX6183" s="77"/>
      <c r="BA6183" s="497">
        <v>62.06</v>
      </c>
      <c r="BB6183" s="42"/>
      <c r="BC6183" s="74"/>
      <c r="BD6183" s="77"/>
      <c r="BF6183">
        <v>66.92</v>
      </c>
      <c r="BH6183" s="42"/>
      <c r="BI6183" s="74"/>
      <c r="BJ6183" s="77"/>
      <c r="BL6183" s="497">
        <v>71.960000000000008</v>
      </c>
      <c r="BN6183" s="42"/>
      <c r="BO6183" s="74"/>
      <c r="BP6183" s="77"/>
      <c r="BR6183" s="497">
        <v>53.96</v>
      </c>
      <c r="BT6183" s="42"/>
    </row>
    <row r="6184" spans="1:72" x14ac:dyDescent="0.25">
      <c r="A6184" s="90">
        <v>34956</v>
      </c>
      <c r="B6184" s="20">
        <v>0.91666666666666663</v>
      </c>
      <c r="D6184">
        <v>59</v>
      </c>
      <c r="E6184" t="str">
        <f t="shared" si="228"/>
        <v>WEEKDAY</v>
      </c>
      <c r="F6184" t="e">
        <f t="shared" si="227"/>
        <v>#N/A</v>
      </c>
      <c r="G6184" s="74">
        <v>29112</v>
      </c>
      <c r="H6184" s="77">
        <v>0.91666666666666663</v>
      </c>
      <c r="J6184">
        <v>69.98</v>
      </c>
      <c r="M6184" s="74">
        <v>37878</v>
      </c>
      <c r="N6184" s="77">
        <v>0.91666666666666663</v>
      </c>
      <c r="P6184">
        <v>71.599999999999994</v>
      </c>
      <c r="S6184" s="74">
        <v>34956</v>
      </c>
      <c r="T6184" s="77">
        <v>0.91666666666666663</v>
      </c>
      <c r="V6184">
        <v>73.039999999999992</v>
      </c>
      <c r="X6184" s="42"/>
      <c r="AB6184">
        <v>68.2</v>
      </c>
      <c r="AC6184">
        <v>60.08</v>
      </c>
      <c r="AE6184" s="74"/>
      <c r="AF6184" s="77"/>
      <c r="AH6184" s="497">
        <v>55.400000000000006</v>
      </c>
      <c r="AJ6184" s="42"/>
      <c r="AK6184" s="74"/>
      <c r="AL6184" s="77"/>
      <c r="AN6184" s="497">
        <v>68</v>
      </c>
      <c r="AP6184" s="42"/>
      <c r="AQ6184" s="74"/>
      <c r="AR6184" s="77"/>
      <c r="AT6184" s="497">
        <v>71.06</v>
      </c>
      <c r="AV6184" s="42"/>
      <c r="AW6184" s="74"/>
      <c r="AX6184" s="77"/>
      <c r="BA6184" s="497">
        <v>62.96</v>
      </c>
      <c r="BB6184" s="42"/>
      <c r="BC6184" s="74"/>
      <c r="BD6184" s="77"/>
      <c r="BF6184">
        <v>66.92</v>
      </c>
      <c r="BH6184" s="42"/>
      <c r="BI6184" s="74"/>
      <c r="BJ6184" s="77"/>
      <c r="BL6184" s="497">
        <v>71.960000000000008</v>
      </c>
      <c r="BN6184" s="42"/>
      <c r="BO6184" s="74"/>
      <c r="BP6184" s="77"/>
      <c r="BR6184" s="497">
        <v>53.96</v>
      </c>
      <c r="BT6184" s="42"/>
    </row>
    <row r="6185" spans="1:72" x14ac:dyDescent="0.25">
      <c r="A6185" s="90">
        <v>34956</v>
      </c>
      <c r="B6185" s="20">
        <v>0.95833333333333337</v>
      </c>
      <c r="D6185">
        <v>60.08</v>
      </c>
      <c r="E6185" t="str">
        <f t="shared" si="228"/>
        <v>WEEKDAY</v>
      </c>
      <c r="F6185" t="e">
        <f t="shared" si="227"/>
        <v>#N/A</v>
      </c>
      <c r="G6185" s="74">
        <v>29112</v>
      </c>
      <c r="H6185" s="77">
        <v>0.95833333333333337</v>
      </c>
      <c r="J6185">
        <v>69.62</v>
      </c>
      <c r="M6185" s="74">
        <v>37878</v>
      </c>
      <c r="N6185" s="77">
        <v>0.95833333333333337</v>
      </c>
      <c r="P6185">
        <v>69.800000000000011</v>
      </c>
      <c r="S6185" s="74">
        <v>34956</v>
      </c>
      <c r="T6185" s="77">
        <v>0.95833333333333337</v>
      </c>
      <c r="V6185">
        <v>71.06</v>
      </c>
      <c r="X6185" s="42"/>
      <c r="AB6185">
        <v>67.5</v>
      </c>
      <c r="AC6185">
        <v>60.08</v>
      </c>
      <c r="AE6185" s="74"/>
      <c r="AF6185" s="77"/>
      <c r="AH6185" s="497">
        <v>55.400000000000006</v>
      </c>
      <c r="AJ6185" s="42"/>
      <c r="AK6185" s="74"/>
      <c r="AL6185" s="77"/>
      <c r="AN6185" s="497">
        <v>67.28</v>
      </c>
      <c r="AP6185" s="42"/>
      <c r="AQ6185" s="74"/>
      <c r="AR6185" s="77"/>
      <c r="AT6185" s="497">
        <v>71.06</v>
      </c>
      <c r="AV6185" s="42"/>
      <c r="AW6185" s="74"/>
      <c r="AX6185" s="77"/>
      <c r="BA6185" s="497">
        <v>62.06</v>
      </c>
      <c r="BB6185" s="42"/>
      <c r="BC6185" s="74"/>
      <c r="BD6185" s="77"/>
      <c r="BF6185">
        <v>66.92</v>
      </c>
      <c r="BH6185" s="42"/>
      <c r="BI6185" s="74"/>
      <c r="BJ6185" s="77"/>
      <c r="BL6185" s="497">
        <v>71.06</v>
      </c>
      <c r="BN6185" s="42"/>
      <c r="BO6185" s="74"/>
      <c r="BP6185" s="77"/>
      <c r="BR6185" s="497">
        <v>53.96</v>
      </c>
      <c r="BT6185" s="42"/>
    </row>
    <row r="6186" spans="1:72" x14ac:dyDescent="0.25">
      <c r="A6186" s="90">
        <v>34956</v>
      </c>
      <c r="B6186" s="20">
        <v>1</v>
      </c>
      <c r="D6186">
        <v>60.08</v>
      </c>
      <c r="E6186" t="str">
        <f t="shared" si="228"/>
        <v>WEEKDAY</v>
      </c>
      <c r="F6186" t="e">
        <f t="shared" si="227"/>
        <v>#N/A</v>
      </c>
      <c r="G6186" s="74">
        <v>29112</v>
      </c>
      <c r="H6186" s="77">
        <v>1</v>
      </c>
      <c r="J6186">
        <v>69.44</v>
      </c>
      <c r="M6186" s="74">
        <v>37878</v>
      </c>
      <c r="N6186" s="80">
        <v>1</v>
      </c>
      <c r="P6186">
        <v>69.800000000000011</v>
      </c>
      <c r="S6186" s="74">
        <v>34956</v>
      </c>
      <c r="T6186" s="80">
        <v>1</v>
      </c>
      <c r="V6186">
        <v>69.080000000000013</v>
      </c>
      <c r="X6186" s="42"/>
      <c r="AB6186">
        <v>66.900000000000006</v>
      </c>
      <c r="AC6186">
        <v>60.08</v>
      </c>
      <c r="AE6186" s="74"/>
      <c r="AF6186" s="80"/>
      <c r="AH6186" s="497">
        <v>53.6</v>
      </c>
      <c r="AJ6186" s="42"/>
      <c r="AK6186" s="74"/>
      <c r="AL6186" s="80"/>
      <c r="AN6186" s="497">
        <v>66.740000000000009</v>
      </c>
      <c r="AP6186" s="42"/>
      <c r="AQ6186" s="74"/>
      <c r="AR6186" s="80"/>
      <c r="AT6186" s="497">
        <v>69.98</v>
      </c>
      <c r="AV6186" s="42"/>
      <c r="AW6186" s="74"/>
      <c r="AX6186" s="80"/>
      <c r="BA6186" s="497">
        <v>59</v>
      </c>
      <c r="BB6186" s="42"/>
      <c r="BC6186" s="74"/>
      <c r="BD6186" s="80"/>
      <c r="BF6186">
        <v>66.02</v>
      </c>
      <c r="BH6186" s="42"/>
      <c r="BI6186" s="74"/>
      <c r="BJ6186" s="80"/>
      <c r="BL6186" s="497">
        <v>69.98</v>
      </c>
      <c r="BN6186" s="42"/>
      <c r="BO6186" s="74"/>
      <c r="BP6186" s="80"/>
      <c r="BR6186" s="497">
        <v>53.96</v>
      </c>
      <c r="BT6186" s="42"/>
    </row>
    <row r="6187" spans="1:72" x14ac:dyDescent="0.25">
      <c r="A6187" s="90">
        <v>34957</v>
      </c>
      <c r="B6187" s="20">
        <v>4.1666666666666664E-2</v>
      </c>
      <c r="D6187">
        <v>57.92</v>
      </c>
      <c r="E6187" t="str">
        <f t="shared" si="228"/>
        <v>WEEKDAY</v>
      </c>
      <c r="F6187" t="e">
        <f t="shared" ref="F6187:F6250" si="229">IF(E6187="WEEKDAY",VLOOKUP(B6187,$DD$19:$DG$42,2),IF(E6187="SATURDAY",VLOOKUP(B6187,$DD$19:$DG$42,3),VLOOKUP(B6187,$DD$19:$DG$42,4)))</f>
        <v>#N/A</v>
      </c>
      <c r="G6187" s="74">
        <v>29113</v>
      </c>
      <c r="H6187" s="77">
        <v>4.1666666666666664E-2</v>
      </c>
      <c r="J6187">
        <v>69.080000000000013</v>
      </c>
      <c r="M6187" s="74">
        <v>37879</v>
      </c>
      <c r="N6187" s="77">
        <v>4.1666666666666664E-2</v>
      </c>
      <c r="P6187">
        <v>69.800000000000011</v>
      </c>
      <c r="S6187" s="74">
        <v>34957</v>
      </c>
      <c r="T6187" s="77">
        <v>4.1666666666666664E-2</v>
      </c>
      <c r="V6187">
        <v>66.92</v>
      </c>
      <c r="X6187" s="42"/>
      <c r="AB6187">
        <v>66.2</v>
      </c>
      <c r="AC6187">
        <v>60.08</v>
      </c>
      <c r="AE6187" s="74"/>
      <c r="AF6187" s="77"/>
      <c r="AH6187" s="497">
        <v>48.2</v>
      </c>
      <c r="AJ6187" s="42"/>
      <c r="AK6187" s="74"/>
      <c r="AL6187" s="77"/>
      <c r="AN6187" s="497">
        <v>66.02</v>
      </c>
      <c r="AP6187" s="42"/>
      <c r="AQ6187" s="74"/>
      <c r="AR6187" s="77"/>
      <c r="AT6187" s="497">
        <v>69.98</v>
      </c>
      <c r="AV6187" s="42"/>
      <c r="AW6187" s="74"/>
      <c r="AX6187" s="77"/>
      <c r="BA6187" s="497">
        <v>59</v>
      </c>
      <c r="BB6187" s="42"/>
      <c r="BC6187" s="74"/>
      <c r="BD6187" s="77"/>
      <c r="BF6187">
        <v>64.94</v>
      </c>
      <c r="BH6187" s="42"/>
      <c r="BI6187" s="74"/>
      <c r="BJ6187" s="77"/>
      <c r="BL6187" s="497">
        <v>69.080000000000013</v>
      </c>
      <c r="BN6187" s="42"/>
      <c r="BO6187" s="74"/>
      <c r="BP6187" s="77"/>
      <c r="BR6187" s="497">
        <v>53.96</v>
      </c>
      <c r="BT6187" s="42"/>
    </row>
    <row r="6188" spans="1:72" x14ac:dyDescent="0.25">
      <c r="A6188" s="90">
        <v>34957</v>
      </c>
      <c r="B6188" s="20">
        <v>8.3333333333333329E-2</v>
      </c>
      <c r="D6188">
        <v>57.019999999999996</v>
      </c>
      <c r="E6188" t="str">
        <f t="shared" si="228"/>
        <v>WEEKDAY</v>
      </c>
      <c r="F6188" t="e">
        <f t="shared" si="229"/>
        <v>#N/A</v>
      </c>
      <c r="G6188" s="74">
        <v>29113</v>
      </c>
      <c r="H6188" s="77">
        <v>8.3333333333333329E-2</v>
      </c>
      <c r="J6188">
        <v>67.099999999999994</v>
      </c>
      <c r="M6188" s="74">
        <v>37879</v>
      </c>
      <c r="N6188" s="77">
        <v>8.3333333333333329E-2</v>
      </c>
      <c r="P6188">
        <v>69.800000000000011</v>
      </c>
      <c r="S6188" s="74">
        <v>34957</v>
      </c>
      <c r="T6188" s="77">
        <v>8.3333333333333329E-2</v>
      </c>
      <c r="V6188">
        <v>64.039999999999992</v>
      </c>
      <c r="X6188" s="42"/>
      <c r="AB6188">
        <v>65.5</v>
      </c>
      <c r="AC6188">
        <v>57.019999999999996</v>
      </c>
      <c r="AE6188" s="74"/>
      <c r="AF6188" s="77"/>
      <c r="AH6188" s="497">
        <v>51.8</v>
      </c>
      <c r="AJ6188" s="42"/>
      <c r="AK6188" s="74"/>
      <c r="AL6188" s="77"/>
      <c r="AN6188" s="497">
        <v>65.300000000000011</v>
      </c>
      <c r="AP6188" s="42"/>
      <c r="AQ6188" s="74"/>
      <c r="AR6188" s="77"/>
      <c r="AT6188" s="497">
        <v>71.06</v>
      </c>
      <c r="AV6188" s="42"/>
      <c r="AW6188" s="74"/>
      <c r="AX6188" s="77"/>
      <c r="BA6188" s="497">
        <v>57.92</v>
      </c>
      <c r="BB6188" s="42"/>
      <c r="BC6188" s="74"/>
      <c r="BD6188" s="77"/>
      <c r="BF6188">
        <v>66.02</v>
      </c>
      <c r="BH6188" s="42"/>
      <c r="BI6188" s="74"/>
      <c r="BJ6188" s="77"/>
      <c r="BL6188" s="497">
        <v>68</v>
      </c>
      <c r="BN6188" s="42"/>
      <c r="BO6188" s="74"/>
      <c r="BP6188" s="77"/>
      <c r="BR6188" s="497">
        <v>54.32</v>
      </c>
      <c r="BT6188" s="42"/>
    </row>
    <row r="6189" spans="1:72" x14ac:dyDescent="0.25">
      <c r="A6189" s="90">
        <v>34957</v>
      </c>
      <c r="B6189" s="20">
        <v>0.125</v>
      </c>
      <c r="D6189">
        <v>57.019999999999996</v>
      </c>
      <c r="E6189" t="str">
        <f t="shared" si="228"/>
        <v>WEEKDAY</v>
      </c>
      <c r="F6189" t="e">
        <f t="shared" si="229"/>
        <v>#N/A</v>
      </c>
      <c r="G6189" s="74">
        <v>29113</v>
      </c>
      <c r="H6189" s="77">
        <v>0.125</v>
      </c>
      <c r="J6189">
        <v>64.94</v>
      </c>
      <c r="M6189" s="74">
        <v>37879</v>
      </c>
      <c r="N6189" s="77">
        <v>0.125</v>
      </c>
      <c r="P6189">
        <v>69.800000000000011</v>
      </c>
      <c r="S6189" s="74">
        <v>34957</v>
      </c>
      <c r="T6189" s="77">
        <v>0.125</v>
      </c>
      <c r="V6189">
        <v>62.96</v>
      </c>
      <c r="X6189" s="42"/>
      <c r="AB6189">
        <v>64.900000000000006</v>
      </c>
      <c r="AC6189">
        <v>59</v>
      </c>
      <c r="AE6189" s="74"/>
      <c r="AF6189" s="77"/>
      <c r="AH6189" s="497">
        <v>51.8</v>
      </c>
      <c r="AJ6189" s="42"/>
      <c r="AK6189" s="74"/>
      <c r="AL6189" s="77"/>
      <c r="AN6189" s="497">
        <v>64.759999999999991</v>
      </c>
      <c r="AP6189" s="42"/>
      <c r="AQ6189" s="74"/>
      <c r="AR6189" s="77"/>
      <c r="AT6189" s="497">
        <v>71.06</v>
      </c>
      <c r="AV6189" s="42"/>
      <c r="AW6189" s="74"/>
      <c r="AX6189" s="77"/>
      <c r="BA6189" s="497">
        <v>57.92</v>
      </c>
      <c r="BB6189" s="42"/>
      <c r="BC6189" s="74"/>
      <c r="BD6189" s="77"/>
      <c r="BF6189">
        <v>64.94</v>
      </c>
      <c r="BH6189" s="42"/>
      <c r="BI6189" s="74"/>
      <c r="BJ6189" s="77"/>
      <c r="BL6189" s="497">
        <v>66.92</v>
      </c>
      <c r="BN6189" s="42"/>
      <c r="BO6189" s="74"/>
      <c r="BP6189" s="77"/>
      <c r="BR6189" s="497">
        <v>54.68</v>
      </c>
      <c r="BT6189" s="42"/>
    </row>
    <row r="6190" spans="1:72" x14ac:dyDescent="0.25">
      <c r="A6190" s="90">
        <v>34957</v>
      </c>
      <c r="B6190" s="20">
        <v>0.16666666666666666</v>
      </c>
      <c r="D6190">
        <v>55.94</v>
      </c>
      <c r="E6190" t="str">
        <f t="shared" si="228"/>
        <v>WEEKDAY</v>
      </c>
      <c r="F6190" t="e">
        <f t="shared" si="229"/>
        <v>#N/A</v>
      </c>
      <c r="G6190" s="74">
        <v>29113</v>
      </c>
      <c r="H6190" s="77">
        <v>0.16666666666666666</v>
      </c>
      <c r="J6190">
        <v>62.96</v>
      </c>
      <c r="M6190" s="74">
        <v>37879</v>
      </c>
      <c r="N6190" s="77">
        <v>0.16666666666666666</v>
      </c>
      <c r="P6190">
        <v>69.800000000000011</v>
      </c>
      <c r="S6190" s="74">
        <v>34957</v>
      </c>
      <c r="T6190" s="77">
        <v>0.16666666666666666</v>
      </c>
      <c r="V6190">
        <v>62.06</v>
      </c>
      <c r="X6190" s="42"/>
      <c r="AB6190">
        <v>64.400000000000006</v>
      </c>
      <c r="AC6190">
        <v>59</v>
      </c>
      <c r="AE6190" s="74"/>
      <c r="AF6190" s="77"/>
      <c r="AH6190" s="497">
        <v>51.8</v>
      </c>
      <c r="AJ6190" s="42"/>
      <c r="AK6190" s="74"/>
      <c r="AL6190" s="77"/>
      <c r="AN6190" s="497">
        <v>64.039999999999992</v>
      </c>
      <c r="AP6190" s="42"/>
      <c r="AQ6190" s="74"/>
      <c r="AR6190" s="77"/>
      <c r="AT6190" s="497">
        <v>69.080000000000013</v>
      </c>
      <c r="AV6190" s="42"/>
      <c r="AW6190" s="74"/>
      <c r="AX6190" s="77"/>
      <c r="BA6190" s="497">
        <v>57.92</v>
      </c>
      <c r="BB6190" s="42"/>
      <c r="BC6190" s="74"/>
      <c r="BD6190" s="77"/>
      <c r="BF6190">
        <v>64.94</v>
      </c>
      <c r="BH6190" s="42"/>
      <c r="BI6190" s="74"/>
      <c r="BJ6190" s="77"/>
      <c r="BL6190" s="497">
        <v>71.06</v>
      </c>
      <c r="BN6190" s="42"/>
      <c r="BO6190" s="74"/>
      <c r="BP6190" s="77"/>
      <c r="BR6190" s="497">
        <v>55.040000000000006</v>
      </c>
      <c r="BT6190" s="42"/>
    </row>
    <row r="6191" spans="1:72" x14ac:dyDescent="0.25">
      <c r="A6191" s="90">
        <v>34957</v>
      </c>
      <c r="B6191" s="20">
        <v>0.20833333333333334</v>
      </c>
      <c r="D6191">
        <v>55.94</v>
      </c>
      <c r="E6191" t="str">
        <f t="shared" si="228"/>
        <v>WEEKDAY</v>
      </c>
      <c r="F6191" t="e">
        <f t="shared" si="229"/>
        <v>#N/A</v>
      </c>
      <c r="G6191" s="74">
        <v>29113</v>
      </c>
      <c r="H6191" s="77">
        <v>0.20833333333333334</v>
      </c>
      <c r="J6191">
        <v>62.96</v>
      </c>
      <c r="M6191" s="74">
        <v>37879</v>
      </c>
      <c r="N6191" s="77">
        <v>0.20833333333333334</v>
      </c>
      <c r="P6191">
        <v>69.800000000000011</v>
      </c>
      <c r="S6191" s="74">
        <v>34957</v>
      </c>
      <c r="T6191" s="77">
        <v>0.20833333333333334</v>
      </c>
      <c r="V6191">
        <v>60.980000000000004</v>
      </c>
      <c r="X6191" s="42"/>
      <c r="AB6191">
        <v>64</v>
      </c>
      <c r="AC6191">
        <v>60.08</v>
      </c>
      <c r="AE6191" s="74"/>
      <c r="AF6191" s="77"/>
      <c r="AH6191" s="497">
        <v>48.2</v>
      </c>
      <c r="AJ6191" s="42"/>
      <c r="AK6191" s="74"/>
      <c r="AL6191" s="77"/>
      <c r="AN6191" s="497">
        <v>63.680000000000007</v>
      </c>
      <c r="AP6191" s="42"/>
      <c r="AQ6191" s="74"/>
      <c r="AR6191" s="77"/>
      <c r="AT6191" s="497">
        <v>66.92</v>
      </c>
      <c r="AV6191" s="42"/>
      <c r="AW6191" s="74"/>
      <c r="AX6191" s="77"/>
      <c r="BA6191" s="497">
        <v>57.019999999999996</v>
      </c>
      <c r="BB6191" s="42"/>
      <c r="BC6191" s="74"/>
      <c r="BD6191" s="77"/>
      <c r="BF6191">
        <v>64.94</v>
      </c>
      <c r="BH6191" s="42"/>
      <c r="BI6191" s="74"/>
      <c r="BJ6191" s="77"/>
      <c r="BL6191" s="497">
        <v>69.080000000000013</v>
      </c>
      <c r="BN6191" s="42"/>
      <c r="BO6191" s="74"/>
      <c r="BP6191" s="77"/>
      <c r="BR6191" s="497">
        <v>53.96</v>
      </c>
      <c r="BT6191" s="42"/>
    </row>
    <row r="6192" spans="1:72" x14ac:dyDescent="0.25">
      <c r="A6192" s="90">
        <v>34957</v>
      </c>
      <c r="B6192" s="20">
        <v>0.25</v>
      </c>
      <c r="D6192">
        <v>55.040000000000006</v>
      </c>
      <c r="E6192" t="str">
        <f t="shared" si="228"/>
        <v>WEEKDAY</v>
      </c>
      <c r="F6192" t="e">
        <f t="shared" si="229"/>
        <v>#N/A</v>
      </c>
      <c r="G6192" s="74">
        <v>29113</v>
      </c>
      <c r="H6192" s="77">
        <v>0.25</v>
      </c>
      <c r="J6192">
        <v>62.96</v>
      </c>
      <c r="M6192" s="74">
        <v>37879</v>
      </c>
      <c r="N6192" s="77">
        <v>0.25</v>
      </c>
      <c r="P6192">
        <v>69.800000000000011</v>
      </c>
      <c r="S6192" s="74">
        <v>34957</v>
      </c>
      <c r="T6192" s="77">
        <v>0.25</v>
      </c>
      <c r="V6192">
        <v>59</v>
      </c>
      <c r="X6192" s="42"/>
      <c r="AB6192">
        <v>63.8</v>
      </c>
      <c r="AC6192">
        <v>60.980000000000004</v>
      </c>
      <c r="AE6192" s="74"/>
      <c r="AF6192" s="77"/>
      <c r="AH6192" s="497">
        <v>48.2</v>
      </c>
      <c r="AJ6192" s="42"/>
      <c r="AK6192" s="74"/>
      <c r="AL6192" s="77"/>
      <c r="AN6192" s="497">
        <v>63.319999999999993</v>
      </c>
      <c r="AP6192" s="42"/>
      <c r="AQ6192" s="74"/>
      <c r="AR6192" s="77"/>
      <c r="AT6192" s="497">
        <v>66.02</v>
      </c>
      <c r="AV6192" s="42"/>
      <c r="AW6192" s="74"/>
      <c r="AX6192" s="77"/>
      <c r="BA6192" s="497">
        <v>57.2</v>
      </c>
      <c r="BB6192" s="42"/>
      <c r="BC6192" s="74"/>
      <c r="BD6192" s="77"/>
      <c r="BF6192">
        <v>64.94</v>
      </c>
      <c r="BH6192" s="42"/>
      <c r="BI6192" s="74"/>
      <c r="BJ6192" s="77"/>
      <c r="BL6192" s="497">
        <v>69.98</v>
      </c>
      <c r="BN6192" s="42"/>
      <c r="BO6192" s="74"/>
      <c r="BP6192" s="77"/>
      <c r="BR6192" s="497">
        <v>53.06</v>
      </c>
      <c r="BT6192" s="42"/>
    </row>
    <row r="6193" spans="1:72" x14ac:dyDescent="0.25">
      <c r="A6193" s="90">
        <v>34957</v>
      </c>
      <c r="B6193" s="20">
        <v>0.29166666666666669</v>
      </c>
      <c r="D6193">
        <v>55.94</v>
      </c>
      <c r="E6193" t="str">
        <f t="shared" si="228"/>
        <v>WEEKDAY</v>
      </c>
      <c r="F6193" t="e">
        <f t="shared" si="229"/>
        <v>#N/A</v>
      </c>
      <c r="G6193" s="74">
        <v>29113</v>
      </c>
      <c r="H6193" s="77">
        <v>0.29166666666666669</v>
      </c>
      <c r="J6193">
        <v>62.96</v>
      </c>
      <c r="M6193" s="74">
        <v>37879</v>
      </c>
      <c r="N6193" s="77">
        <v>0.29166666666666669</v>
      </c>
      <c r="P6193">
        <v>68</v>
      </c>
      <c r="S6193" s="74">
        <v>34957</v>
      </c>
      <c r="T6193" s="77">
        <v>0.29166666666666669</v>
      </c>
      <c r="V6193">
        <v>62.96</v>
      </c>
      <c r="X6193" s="42"/>
      <c r="AB6193">
        <v>63.7</v>
      </c>
      <c r="AC6193">
        <v>62.06</v>
      </c>
      <c r="AE6193" s="74"/>
      <c r="AF6193" s="77"/>
      <c r="AH6193" s="497">
        <v>51.8</v>
      </c>
      <c r="AJ6193" s="42"/>
      <c r="AK6193" s="74"/>
      <c r="AL6193" s="77"/>
      <c r="AN6193" s="497">
        <v>62.96</v>
      </c>
      <c r="AP6193" s="42"/>
      <c r="AQ6193" s="74"/>
      <c r="AR6193" s="77"/>
      <c r="AT6193" s="497">
        <v>64.94</v>
      </c>
      <c r="AV6193" s="42"/>
      <c r="AW6193" s="74"/>
      <c r="AX6193" s="77"/>
      <c r="BA6193" s="497">
        <v>57.019999999999996</v>
      </c>
      <c r="BB6193" s="42"/>
      <c r="BC6193" s="74"/>
      <c r="BD6193" s="77"/>
      <c r="BF6193">
        <v>64.94</v>
      </c>
      <c r="BH6193" s="42"/>
      <c r="BI6193" s="74"/>
      <c r="BJ6193" s="77"/>
      <c r="BL6193" s="497">
        <v>69.080000000000013</v>
      </c>
      <c r="BN6193" s="42"/>
      <c r="BO6193" s="74"/>
      <c r="BP6193" s="77"/>
      <c r="BR6193" s="497">
        <v>51.980000000000004</v>
      </c>
      <c r="BT6193" s="42"/>
    </row>
    <row r="6194" spans="1:72" x14ac:dyDescent="0.25">
      <c r="A6194" s="90">
        <v>34957</v>
      </c>
      <c r="B6194" s="20">
        <v>0.33333333333333331</v>
      </c>
      <c r="D6194">
        <v>57.92</v>
      </c>
      <c r="E6194" t="str">
        <f t="shared" si="228"/>
        <v>WEEKDAY</v>
      </c>
      <c r="F6194" t="e">
        <f t="shared" si="229"/>
        <v>#N/A</v>
      </c>
      <c r="G6194" s="74">
        <v>29113</v>
      </c>
      <c r="H6194" s="77">
        <v>0.33333333333333331</v>
      </c>
      <c r="J6194">
        <v>64.94</v>
      </c>
      <c r="M6194" s="74">
        <v>37879</v>
      </c>
      <c r="N6194" s="77">
        <v>0.33333333333333331</v>
      </c>
      <c r="P6194">
        <v>69.44</v>
      </c>
      <c r="S6194" s="74">
        <v>34957</v>
      </c>
      <c r="T6194" s="77">
        <v>0.33333333333333331</v>
      </c>
      <c r="V6194">
        <v>64.94</v>
      </c>
      <c r="X6194" s="42"/>
      <c r="AB6194">
        <v>65.599999999999994</v>
      </c>
      <c r="AC6194">
        <v>64.039999999999992</v>
      </c>
      <c r="AE6194" s="74"/>
      <c r="AF6194" s="77"/>
      <c r="AH6194" s="497">
        <v>57.2</v>
      </c>
      <c r="AJ6194" s="42"/>
      <c r="AK6194" s="74"/>
      <c r="AL6194" s="77"/>
      <c r="AN6194" s="497">
        <v>64.580000000000013</v>
      </c>
      <c r="AP6194" s="42"/>
      <c r="AQ6194" s="74"/>
      <c r="AR6194" s="77"/>
      <c r="AT6194" s="497">
        <v>64.94</v>
      </c>
      <c r="AV6194" s="42"/>
      <c r="AW6194" s="74"/>
      <c r="AX6194" s="77"/>
      <c r="BA6194" s="497">
        <v>55.94</v>
      </c>
      <c r="BB6194" s="42"/>
      <c r="BC6194" s="74"/>
      <c r="BD6194" s="77"/>
      <c r="BF6194">
        <v>66.02</v>
      </c>
      <c r="BH6194" s="42"/>
      <c r="BI6194" s="74"/>
      <c r="BJ6194" s="77"/>
      <c r="BL6194" s="497">
        <v>69.98</v>
      </c>
      <c r="BN6194" s="42"/>
      <c r="BO6194" s="74"/>
      <c r="BP6194" s="77"/>
      <c r="BR6194" s="497">
        <v>54.32</v>
      </c>
      <c r="BT6194" s="42"/>
    </row>
    <row r="6195" spans="1:72" x14ac:dyDescent="0.25">
      <c r="A6195" s="90">
        <v>34957</v>
      </c>
      <c r="B6195" s="20">
        <v>0.375</v>
      </c>
      <c r="D6195">
        <v>60.08</v>
      </c>
      <c r="E6195" t="str">
        <f t="shared" si="228"/>
        <v>WEEKDAY</v>
      </c>
      <c r="F6195" t="e">
        <f t="shared" si="229"/>
        <v>#N/A</v>
      </c>
      <c r="G6195" s="74">
        <v>29113</v>
      </c>
      <c r="H6195" s="77">
        <v>0.375</v>
      </c>
      <c r="J6195">
        <v>67.099999999999994</v>
      </c>
      <c r="M6195" s="74">
        <v>37879</v>
      </c>
      <c r="N6195" s="77">
        <v>0.375</v>
      </c>
      <c r="P6195">
        <v>70.7</v>
      </c>
      <c r="S6195" s="74">
        <v>34957</v>
      </c>
      <c r="T6195" s="77">
        <v>0.375</v>
      </c>
      <c r="V6195">
        <v>68</v>
      </c>
      <c r="X6195" s="42"/>
      <c r="AB6195">
        <v>67.900000000000006</v>
      </c>
      <c r="AC6195">
        <v>64.94</v>
      </c>
      <c r="AE6195" s="74"/>
      <c r="AF6195" s="77"/>
      <c r="AH6195" s="497">
        <v>62.6</v>
      </c>
      <c r="AJ6195" s="42"/>
      <c r="AK6195" s="74"/>
      <c r="AL6195" s="77"/>
      <c r="AN6195" s="497">
        <v>66.38</v>
      </c>
      <c r="AP6195" s="42"/>
      <c r="AQ6195" s="74"/>
      <c r="AR6195" s="77"/>
      <c r="AT6195" s="497">
        <v>66.92</v>
      </c>
      <c r="AV6195" s="42"/>
      <c r="AW6195" s="74"/>
      <c r="AX6195" s="77"/>
      <c r="BA6195" s="497">
        <v>57.019999999999996</v>
      </c>
      <c r="BB6195" s="42"/>
      <c r="BC6195" s="74"/>
      <c r="BD6195" s="77"/>
      <c r="BF6195">
        <v>69.98</v>
      </c>
      <c r="BH6195" s="42"/>
      <c r="BI6195" s="74"/>
      <c r="BJ6195" s="77"/>
      <c r="BL6195" s="497">
        <v>69.98</v>
      </c>
      <c r="BN6195" s="42"/>
      <c r="BO6195" s="74"/>
      <c r="BP6195" s="77"/>
      <c r="BR6195" s="497">
        <v>56.66</v>
      </c>
      <c r="BT6195" s="42"/>
    </row>
    <row r="6196" spans="1:72" x14ac:dyDescent="0.25">
      <c r="A6196" s="90">
        <v>34957</v>
      </c>
      <c r="B6196" s="20">
        <v>0.41666666666666669</v>
      </c>
      <c r="D6196">
        <v>62.06</v>
      </c>
      <c r="E6196" t="str">
        <f t="shared" si="228"/>
        <v>WEEKDAY</v>
      </c>
      <c r="F6196" t="e">
        <f t="shared" si="229"/>
        <v>#N/A</v>
      </c>
      <c r="G6196" s="74">
        <v>29113</v>
      </c>
      <c r="H6196" s="77">
        <v>0.41666666666666669</v>
      </c>
      <c r="J6196">
        <v>69.080000000000013</v>
      </c>
      <c r="M6196" s="74">
        <v>37879</v>
      </c>
      <c r="N6196" s="77">
        <v>0.41666666666666669</v>
      </c>
      <c r="P6196">
        <v>71.599999999999994</v>
      </c>
      <c r="S6196" s="74">
        <v>34957</v>
      </c>
      <c r="T6196" s="77">
        <v>0.41666666666666669</v>
      </c>
      <c r="V6196">
        <v>71.06</v>
      </c>
      <c r="X6196" s="42"/>
      <c r="AB6196">
        <v>70</v>
      </c>
      <c r="AC6196">
        <v>66.92</v>
      </c>
      <c r="AE6196" s="74"/>
      <c r="AF6196" s="77"/>
      <c r="AH6196" s="497">
        <v>64.400000000000006</v>
      </c>
      <c r="AJ6196" s="42"/>
      <c r="AK6196" s="74"/>
      <c r="AL6196" s="77"/>
      <c r="AN6196" s="497">
        <v>68</v>
      </c>
      <c r="AP6196" s="42"/>
      <c r="AQ6196" s="74"/>
      <c r="AR6196" s="77"/>
      <c r="AT6196" s="497">
        <v>71.06</v>
      </c>
      <c r="AV6196" s="42"/>
      <c r="AW6196" s="74"/>
      <c r="AX6196" s="77"/>
      <c r="BA6196" s="497">
        <v>60.08</v>
      </c>
      <c r="BB6196" s="42"/>
      <c r="BC6196" s="74"/>
      <c r="BD6196" s="77"/>
      <c r="BF6196">
        <v>73.94</v>
      </c>
      <c r="BH6196" s="42"/>
      <c r="BI6196" s="74"/>
      <c r="BJ6196" s="77"/>
      <c r="BL6196" s="497">
        <v>71.960000000000008</v>
      </c>
      <c r="BN6196" s="42"/>
      <c r="BO6196" s="74"/>
      <c r="BP6196" s="77"/>
      <c r="BR6196" s="497">
        <v>59</v>
      </c>
      <c r="BT6196" s="42"/>
    </row>
    <row r="6197" spans="1:72" x14ac:dyDescent="0.25">
      <c r="A6197" s="90">
        <v>34957</v>
      </c>
      <c r="B6197" s="20">
        <v>0.45833333333333331</v>
      </c>
      <c r="D6197">
        <v>64.039999999999992</v>
      </c>
      <c r="E6197" t="str">
        <f t="shared" si="228"/>
        <v>WEEKDAY</v>
      </c>
      <c r="F6197" t="e">
        <f t="shared" si="229"/>
        <v>#N/A</v>
      </c>
      <c r="G6197" s="74">
        <v>29113</v>
      </c>
      <c r="H6197" s="77">
        <v>0.45833333333333331</v>
      </c>
      <c r="J6197">
        <v>69.44</v>
      </c>
      <c r="M6197" s="74">
        <v>37879</v>
      </c>
      <c r="N6197" s="77">
        <v>0.45833333333333331</v>
      </c>
      <c r="P6197">
        <v>71.599999999999994</v>
      </c>
      <c r="S6197" s="74">
        <v>34957</v>
      </c>
      <c r="T6197" s="77">
        <v>0.45833333333333331</v>
      </c>
      <c r="V6197">
        <v>71.06</v>
      </c>
      <c r="X6197" s="42"/>
      <c r="AB6197">
        <v>71.8</v>
      </c>
      <c r="AC6197">
        <v>69.98</v>
      </c>
      <c r="AE6197" s="74"/>
      <c r="AF6197" s="77"/>
      <c r="AH6197" s="497">
        <v>66.2</v>
      </c>
      <c r="AJ6197" s="42"/>
      <c r="AK6197" s="74"/>
      <c r="AL6197" s="77"/>
      <c r="AN6197" s="497">
        <v>69.080000000000013</v>
      </c>
      <c r="AP6197" s="42"/>
      <c r="AQ6197" s="74"/>
      <c r="AR6197" s="77"/>
      <c r="AT6197" s="497">
        <v>64.039999999999992</v>
      </c>
      <c r="AV6197" s="42"/>
      <c r="AW6197" s="74"/>
      <c r="AX6197" s="77"/>
      <c r="BA6197" s="497">
        <v>60.08</v>
      </c>
      <c r="BB6197" s="42"/>
      <c r="BC6197" s="74"/>
      <c r="BD6197" s="77"/>
      <c r="BF6197">
        <v>75.02</v>
      </c>
      <c r="BH6197" s="42"/>
      <c r="BI6197" s="74"/>
      <c r="BJ6197" s="77"/>
      <c r="BL6197" s="497">
        <v>73.94</v>
      </c>
      <c r="BN6197" s="42"/>
      <c r="BO6197" s="74"/>
      <c r="BP6197" s="77"/>
      <c r="BR6197" s="497">
        <v>60.620000000000005</v>
      </c>
      <c r="BT6197" s="42"/>
    </row>
    <row r="6198" spans="1:72" x14ac:dyDescent="0.25">
      <c r="A6198" s="90">
        <v>34957</v>
      </c>
      <c r="B6198" s="20">
        <v>0.5</v>
      </c>
      <c r="D6198">
        <v>64.94</v>
      </c>
      <c r="E6198" t="str">
        <f t="shared" si="228"/>
        <v>WEEKDAY</v>
      </c>
      <c r="F6198" t="e">
        <f t="shared" si="229"/>
        <v>#N/A</v>
      </c>
      <c r="G6198" s="74">
        <v>29113</v>
      </c>
      <c r="H6198" s="77">
        <v>0.5</v>
      </c>
      <c r="J6198">
        <v>69.62</v>
      </c>
      <c r="M6198" s="74">
        <v>37879</v>
      </c>
      <c r="N6198" s="77">
        <v>0.5</v>
      </c>
      <c r="P6198">
        <v>73.400000000000006</v>
      </c>
      <c r="S6198" s="74">
        <v>34957</v>
      </c>
      <c r="T6198" s="77">
        <v>0.5</v>
      </c>
      <c r="V6198">
        <v>71.06</v>
      </c>
      <c r="X6198" s="42"/>
      <c r="AB6198">
        <v>73.099999999999994</v>
      </c>
      <c r="AC6198">
        <v>69.98</v>
      </c>
      <c r="AE6198" s="74"/>
      <c r="AF6198" s="77"/>
      <c r="AH6198" s="497">
        <v>68.539999999999992</v>
      </c>
      <c r="AJ6198" s="42"/>
      <c r="AK6198" s="74"/>
      <c r="AL6198" s="77"/>
      <c r="AN6198" s="497">
        <v>69.98</v>
      </c>
      <c r="AP6198" s="42"/>
      <c r="AQ6198" s="74"/>
      <c r="AR6198" s="77"/>
      <c r="AT6198" s="497">
        <v>64.94</v>
      </c>
      <c r="AV6198" s="42"/>
      <c r="AW6198" s="74"/>
      <c r="AX6198" s="77"/>
      <c r="BA6198" s="497">
        <v>60.8</v>
      </c>
      <c r="BB6198" s="42"/>
      <c r="BC6198" s="74"/>
      <c r="BD6198" s="77"/>
      <c r="BF6198">
        <v>78.98</v>
      </c>
      <c r="BH6198" s="42"/>
      <c r="BI6198" s="74"/>
      <c r="BJ6198" s="77"/>
      <c r="BL6198" s="497">
        <v>77</v>
      </c>
      <c r="BN6198" s="42"/>
      <c r="BO6198" s="74"/>
      <c r="BP6198" s="77"/>
      <c r="BR6198" s="497">
        <v>62.42</v>
      </c>
      <c r="BT6198" s="42"/>
    </row>
    <row r="6199" spans="1:72" x14ac:dyDescent="0.25">
      <c r="A6199" s="90">
        <v>34957</v>
      </c>
      <c r="B6199" s="20">
        <v>0.54166666666666663</v>
      </c>
      <c r="D6199">
        <v>64.94</v>
      </c>
      <c r="E6199" t="str">
        <f t="shared" si="228"/>
        <v>WEEKDAY</v>
      </c>
      <c r="F6199" t="e">
        <f t="shared" si="229"/>
        <v>#N/A</v>
      </c>
      <c r="G6199" s="74">
        <v>29113</v>
      </c>
      <c r="H6199" s="77">
        <v>0.54166666666666663</v>
      </c>
      <c r="J6199">
        <v>69.98</v>
      </c>
      <c r="M6199" s="74">
        <v>37879</v>
      </c>
      <c r="N6199" s="77">
        <v>0.54166666666666663</v>
      </c>
      <c r="P6199">
        <v>73.400000000000006</v>
      </c>
      <c r="S6199" s="74">
        <v>34957</v>
      </c>
      <c r="T6199" s="77">
        <v>0.54166666666666663</v>
      </c>
      <c r="V6199">
        <v>71.960000000000008</v>
      </c>
      <c r="X6199" s="42"/>
      <c r="AB6199">
        <v>73.900000000000006</v>
      </c>
      <c r="AC6199">
        <v>71.06</v>
      </c>
      <c r="AE6199" s="74"/>
      <c r="AF6199" s="77"/>
      <c r="AH6199" s="497">
        <v>69.98</v>
      </c>
      <c r="AJ6199" s="42"/>
      <c r="AK6199" s="74"/>
      <c r="AL6199" s="77"/>
      <c r="AN6199" s="497">
        <v>71.06</v>
      </c>
      <c r="AP6199" s="42"/>
      <c r="AQ6199" s="74"/>
      <c r="AR6199" s="77"/>
      <c r="AT6199" s="497">
        <v>64.94</v>
      </c>
      <c r="AV6199" s="42"/>
      <c r="AW6199" s="74"/>
      <c r="AX6199" s="77"/>
      <c r="BA6199" s="497">
        <v>64.039999999999992</v>
      </c>
      <c r="BB6199" s="42"/>
      <c r="BC6199" s="74"/>
      <c r="BD6199" s="77"/>
      <c r="BF6199">
        <v>77</v>
      </c>
      <c r="BH6199" s="42"/>
      <c r="BI6199" s="74"/>
      <c r="BJ6199" s="77"/>
      <c r="BL6199" s="497">
        <v>78.080000000000013</v>
      </c>
      <c r="BN6199" s="42"/>
      <c r="BO6199" s="74"/>
      <c r="BP6199" s="77"/>
      <c r="BR6199" s="497">
        <v>64.039999999999992</v>
      </c>
      <c r="BT6199" s="42"/>
    </row>
    <row r="6200" spans="1:72" x14ac:dyDescent="0.25">
      <c r="A6200" s="90">
        <v>34957</v>
      </c>
      <c r="B6200" s="20">
        <v>0.58333333333333337</v>
      </c>
      <c r="D6200">
        <v>66.92</v>
      </c>
      <c r="E6200" t="str">
        <f t="shared" si="228"/>
        <v>WEEKDAY</v>
      </c>
      <c r="F6200" t="e">
        <f t="shared" si="229"/>
        <v>#N/A</v>
      </c>
      <c r="G6200" s="74">
        <v>29113</v>
      </c>
      <c r="H6200" s="77">
        <v>0.58333333333333337</v>
      </c>
      <c r="J6200">
        <v>70.34</v>
      </c>
      <c r="M6200" s="74">
        <v>37879</v>
      </c>
      <c r="N6200" s="77">
        <v>0.58333333333333337</v>
      </c>
      <c r="P6200">
        <v>73.400000000000006</v>
      </c>
      <c r="S6200" s="74">
        <v>34957</v>
      </c>
      <c r="T6200" s="77">
        <v>0.58333333333333337</v>
      </c>
      <c r="V6200">
        <v>73.039999999999992</v>
      </c>
      <c r="X6200" s="42"/>
      <c r="AB6200">
        <v>74.3</v>
      </c>
      <c r="AC6200">
        <v>69.98</v>
      </c>
      <c r="AE6200" s="74"/>
      <c r="AF6200" s="77"/>
      <c r="AH6200" s="497">
        <v>71.599999999999994</v>
      </c>
      <c r="AJ6200" s="42"/>
      <c r="AK6200" s="74"/>
      <c r="AL6200" s="77"/>
      <c r="AN6200" s="497">
        <v>71.06</v>
      </c>
      <c r="AP6200" s="42"/>
      <c r="AQ6200" s="74"/>
      <c r="AR6200" s="77"/>
      <c r="AT6200" s="497">
        <v>64.94</v>
      </c>
      <c r="AV6200" s="42"/>
      <c r="AW6200" s="74"/>
      <c r="AX6200" s="77"/>
      <c r="BA6200" s="497">
        <v>64.94</v>
      </c>
      <c r="BB6200" s="42"/>
      <c r="BC6200" s="74"/>
      <c r="BD6200" s="77"/>
      <c r="BF6200">
        <v>78.080000000000013</v>
      </c>
      <c r="BH6200" s="42"/>
      <c r="BI6200" s="74"/>
      <c r="BJ6200" s="77"/>
      <c r="BL6200" s="497">
        <v>78.98</v>
      </c>
      <c r="BN6200" s="42"/>
      <c r="BO6200" s="74"/>
      <c r="BP6200" s="77"/>
      <c r="BR6200" s="497">
        <v>64.400000000000006</v>
      </c>
      <c r="BT6200" s="42"/>
    </row>
    <row r="6201" spans="1:72" x14ac:dyDescent="0.25">
      <c r="A6201" s="90">
        <v>34957</v>
      </c>
      <c r="B6201" s="20">
        <v>0.625</v>
      </c>
      <c r="D6201">
        <v>66.92</v>
      </c>
      <c r="E6201" t="str">
        <f t="shared" si="228"/>
        <v>WEEKDAY</v>
      </c>
      <c r="F6201" t="e">
        <f t="shared" si="229"/>
        <v>#N/A</v>
      </c>
      <c r="G6201" s="74">
        <v>29113</v>
      </c>
      <c r="H6201" s="77">
        <v>0.625</v>
      </c>
      <c r="J6201">
        <v>70.7</v>
      </c>
      <c r="M6201" s="74">
        <v>37879</v>
      </c>
      <c r="N6201" s="77">
        <v>0.625</v>
      </c>
      <c r="P6201">
        <v>73.400000000000006</v>
      </c>
      <c r="S6201" s="74">
        <v>34957</v>
      </c>
      <c r="T6201" s="77">
        <v>0.625</v>
      </c>
      <c r="V6201">
        <v>73.039999999999992</v>
      </c>
      <c r="X6201" s="42"/>
      <c r="AB6201">
        <v>74.5</v>
      </c>
      <c r="AC6201">
        <v>69.080000000000013</v>
      </c>
      <c r="AE6201" s="74"/>
      <c r="AF6201" s="77"/>
      <c r="AH6201" s="497">
        <v>71.599999999999994</v>
      </c>
      <c r="AJ6201" s="42"/>
      <c r="AK6201" s="74"/>
      <c r="AL6201" s="77"/>
      <c r="AN6201" s="497">
        <v>71.06</v>
      </c>
      <c r="AP6201" s="42"/>
      <c r="AQ6201" s="74"/>
      <c r="AR6201" s="77"/>
      <c r="AT6201" s="497">
        <v>66.02</v>
      </c>
      <c r="AV6201" s="42"/>
      <c r="AW6201" s="74"/>
      <c r="AX6201" s="77"/>
      <c r="BA6201" s="497">
        <v>64.94</v>
      </c>
      <c r="BB6201" s="42"/>
      <c r="BC6201" s="74"/>
      <c r="BD6201" s="77"/>
      <c r="BF6201">
        <v>75.92</v>
      </c>
      <c r="BH6201" s="42"/>
      <c r="BI6201" s="74"/>
      <c r="BJ6201" s="77"/>
      <c r="BL6201" s="497">
        <v>78.98</v>
      </c>
      <c r="BN6201" s="42"/>
      <c r="BO6201" s="74"/>
      <c r="BP6201" s="77"/>
      <c r="BR6201" s="497">
        <v>64.580000000000013</v>
      </c>
      <c r="BT6201" s="42"/>
    </row>
    <row r="6202" spans="1:72" x14ac:dyDescent="0.25">
      <c r="A6202" s="90">
        <v>34957</v>
      </c>
      <c r="B6202" s="20">
        <v>0.66666666666666663</v>
      </c>
      <c r="D6202">
        <v>68</v>
      </c>
      <c r="E6202" t="str">
        <f t="shared" si="228"/>
        <v>WEEKDAY</v>
      </c>
      <c r="F6202" t="e">
        <f t="shared" si="229"/>
        <v>#N/A</v>
      </c>
      <c r="G6202" s="74">
        <v>29113</v>
      </c>
      <c r="H6202" s="77">
        <v>0.66666666666666663</v>
      </c>
      <c r="J6202">
        <v>71.06</v>
      </c>
      <c r="M6202" s="74">
        <v>37879</v>
      </c>
      <c r="N6202" s="77">
        <v>0.66666666666666663</v>
      </c>
      <c r="P6202">
        <v>71.599999999999994</v>
      </c>
      <c r="S6202" s="74">
        <v>34957</v>
      </c>
      <c r="T6202" s="77">
        <v>0.66666666666666663</v>
      </c>
      <c r="V6202">
        <v>71.960000000000008</v>
      </c>
      <c r="X6202" s="42"/>
      <c r="AB6202">
        <v>74.099999999999994</v>
      </c>
      <c r="AC6202">
        <v>68</v>
      </c>
      <c r="AE6202" s="74"/>
      <c r="AF6202" s="77"/>
      <c r="AH6202" s="497">
        <v>71.599999999999994</v>
      </c>
      <c r="AJ6202" s="42"/>
      <c r="AK6202" s="74"/>
      <c r="AL6202" s="77"/>
      <c r="AN6202" s="497">
        <v>71.06</v>
      </c>
      <c r="AP6202" s="42"/>
      <c r="AQ6202" s="74"/>
      <c r="AR6202" s="77"/>
      <c r="AT6202" s="497">
        <v>66.02</v>
      </c>
      <c r="AV6202" s="42"/>
      <c r="AW6202" s="74"/>
      <c r="AX6202" s="77"/>
      <c r="BA6202" s="497">
        <v>62.06</v>
      </c>
      <c r="BB6202" s="42"/>
      <c r="BC6202" s="74"/>
      <c r="BD6202" s="77"/>
      <c r="BF6202">
        <v>73.94</v>
      </c>
      <c r="BH6202" s="42"/>
      <c r="BI6202" s="74"/>
      <c r="BJ6202" s="77"/>
      <c r="BL6202" s="497">
        <v>78.98</v>
      </c>
      <c r="BN6202" s="42"/>
      <c r="BO6202" s="74"/>
      <c r="BP6202" s="77"/>
      <c r="BR6202" s="497">
        <v>64.94</v>
      </c>
      <c r="BT6202" s="42"/>
    </row>
    <row r="6203" spans="1:72" x14ac:dyDescent="0.25">
      <c r="A6203" s="90">
        <v>34957</v>
      </c>
      <c r="B6203" s="20">
        <v>0.70833333333333337</v>
      </c>
      <c r="D6203">
        <v>66.92</v>
      </c>
      <c r="E6203" t="str">
        <f t="shared" si="228"/>
        <v>WEEKDAY</v>
      </c>
      <c r="F6203" t="e">
        <f t="shared" si="229"/>
        <v>#N/A</v>
      </c>
      <c r="G6203" s="74">
        <v>29113</v>
      </c>
      <c r="H6203" s="77">
        <v>0.70833333333333337</v>
      </c>
      <c r="J6203">
        <v>69.62</v>
      </c>
      <c r="M6203" s="74">
        <v>37879</v>
      </c>
      <c r="N6203" s="77">
        <v>0.70833333333333337</v>
      </c>
      <c r="P6203">
        <v>71.599999999999994</v>
      </c>
      <c r="S6203" s="74">
        <v>34957</v>
      </c>
      <c r="T6203" s="77">
        <v>0.70833333333333337</v>
      </c>
      <c r="V6203">
        <v>71.06</v>
      </c>
      <c r="X6203" s="42"/>
      <c r="AB6203">
        <v>73.3</v>
      </c>
      <c r="AC6203">
        <v>66.92</v>
      </c>
      <c r="AE6203" s="74"/>
      <c r="AF6203" s="77"/>
      <c r="AH6203" s="497">
        <v>71.599999999999994</v>
      </c>
      <c r="AJ6203" s="42"/>
      <c r="AK6203" s="74"/>
      <c r="AL6203" s="77"/>
      <c r="AN6203" s="497">
        <v>69.98</v>
      </c>
      <c r="AP6203" s="42"/>
      <c r="AQ6203" s="74"/>
      <c r="AR6203" s="77"/>
      <c r="AT6203" s="497">
        <v>64.94</v>
      </c>
      <c r="AV6203" s="42"/>
      <c r="AW6203" s="74"/>
      <c r="AX6203" s="77"/>
      <c r="BA6203" s="497">
        <v>59</v>
      </c>
      <c r="BB6203" s="42"/>
      <c r="BC6203" s="74"/>
      <c r="BD6203" s="77"/>
      <c r="BF6203">
        <v>73.94</v>
      </c>
      <c r="BH6203" s="42"/>
      <c r="BI6203" s="74"/>
      <c r="BJ6203" s="77"/>
      <c r="BL6203" s="497">
        <v>78.080000000000013</v>
      </c>
      <c r="BN6203" s="42"/>
      <c r="BO6203" s="74"/>
      <c r="BP6203" s="77"/>
      <c r="BR6203" s="497">
        <v>61.88</v>
      </c>
      <c r="BT6203" s="42"/>
    </row>
    <row r="6204" spans="1:72" x14ac:dyDescent="0.25">
      <c r="A6204" s="90">
        <v>34957</v>
      </c>
      <c r="B6204" s="20">
        <v>0.75</v>
      </c>
      <c r="D6204">
        <v>66.02</v>
      </c>
      <c r="E6204" t="str">
        <f t="shared" si="228"/>
        <v>WEEKDAY</v>
      </c>
      <c r="F6204" t="e">
        <f t="shared" si="229"/>
        <v>#N/A</v>
      </c>
      <c r="G6204" s="74">
        <v>29113</v>
      </c>
      <c r="H6204" s="77">
        <v>0.75</v>
      </c>
      <c r="J6204">
        <v>68.36</v>
      </c>
      <c r="M6204" s="74">
        <v>37879</v>
      </c>
      <c r="N6204" s="77">
        <v>0.75</v>
      </c>
      <c r="P6204">
        <v>71.599999999999994</v>
      </c>
      <c r="S6204" s="74">
        <v>34957</v>
      </c>
      <c r="T6204" s="77">
        <v>0.75</v>
      </c>
      <c r="V6204">
        <v>69.080000000000013</v>
      </c>
      <c r="X6204" s="42"/>
      <c r="AB6204">
        <v>72</v>
      </c>
      <c r="AC6204">
        <v>64.94</v>
      </c>
      <c r="AE6204" s="74"/>
      <c r="AF6204" s="77"/>
      <c r="AH6204" s="497">
        <v>66.2</v>
      </c>
      <c r="AJ6204" s="42"/>
      <c r="AK6204" s="74"/>
      <c r="AL6204" s="77"/>
      <c r="AN6204" s="497">
        <v>69.080000000000013</v>
      </c>
      <c r="AP6204" s="42"/>
      <c r="AQ6204" s="74"/>
      <c r="AR6204" s="77"/>
      <c r="AT6204" s="497">
        <v>62.06</v>
      </c>
      <c r="AV6204" s="42"/>
      <c r="AW6204" s="74"/>
      <c r="AX6204" s="77"/>
      <c r="BA6204" s="497">
        <v>57.019999999999996</v>
      </c>
      <c r="BB6204" s="42"/>
      <c r="BC6204" s="74"/>
      <c r="BD6204" s="77"/>
      <c r="BF6204">
        <v>71.960000000000008</v>
      </c>
      <c r="BH6204" s="42"/>
      <c r="BI6204" s="74"/>
      <c r="BJ6204" s="77"/>
      <c r="BL6204" s="497">
        <v>73.039999999999992</v>
      </c>
      <c r="BN6204" s="42"/>
      <c r="BO6204" s="74"/>
      <c r="BP6204" s="77"/>
      <c r="BR6204" s="497">
        <v>59</v>
      </c>
      <c r="BT6204" s="42"/>
    </row>
    <row r="6205" spans="1:72" x14ac:dyDescent="0.25">
      <c r="A6205" s="90">
        <v>34957</v>
      </c>
      <c r="B6205" s="20">
        <v>0.79166666666666663</v>
      </c>
      <c r="D6205">
        <v>64.94</v>
      </c>
      <c r="E6205" t="str">
        <f t="shared" si="228"/>
        <v>WEEKDAY</v>
      </c>
      <c r="F6205" t="e">
        <f t="shared" si="229"/>
        <v>#N/A</v>
      </c>
      <c r="G6205" s="74">
        <v>29113</v>
      </c>
      <c r="H6205" s="77">
        <v>0.79166666666666663</v>
      </c>
      <c r="J6205">
        <v>66.92</v>
      </c>
      <c r="M6205" s="74">
        <v>37879</v>
      </c>
      <c r="N6205" s="77">
        <v>0.79166666666666663</v>
      </c>
      <c r="P6205">
        <v>69.800000000000011</v>
      </c>
      <c r="S6205" s="74">
        <v>34957</v>
      </c>
      <c r="T6205" s="77">
        <v>0.79166666666666663</v>
      </c>
      <c r="V6205">
        <v>68</v>
      </c>
      <c r="X6205" s="42"/>
      <c r="AB6205">
        <v>70.3</v>
      </c>
      <c r="AC6205">
        <v>64.039999999999992</v>
      </c>
      <c r="AE6205" s="74"/>
      <c r="AF6205" s="77"/>
      <c r="AH6205" s="497">
        <v>66.2</v>
      </c>
      <c r="AJ6205" s="42"/>
      <c r="AK6205" s="74"/>
      <c r="AL6205" s="77"/>
      <c r="AN6205" s="497">
        <v>68</v>
      </c>
      <c r="AP6205" s="42"/>
      <c r="AQ6205" s="74"/>
      <c r="AR6205" s="77"/>
      <c r="AT6205" s="497">
        <v>60.08</v>
      </c>
      <c r="AV6205" s="42"/>
      <c r="AW6205" s="74"/>
      <c r="AX6205" s="77"/>
      <c r="BA6205" s="497">
        <v>53.96</v>
      </c>
      <c r="BB6205" s="42"/>
      <c r="BC6205" s="74"/>
      <c r="BD6205" s="77"/>
      <c r="BF6205">
        <v>71.06</v>
      </c>
      <c r="BH6205" s="42"/>
      <c r="BI6205" s="74"/>
      <c r="BJ6205" s="77"/>
      <c r="BL6205" s="497">
        <v>73.94</v>
      </c>
      <c r="BN6205" s="42"/>
      <c r="BO6205" s="74"/>
      <c r="BP6205" s="77"/>
      <c r="BR6205" s="497">
        <v>55.94</v>
      </c>
      <c r="BT6205" s="42"/>
    </row>
    <row r="6206" spans="1:72" x14ac:dyDescent="0.25">
      <c r="A6206" s="90">
        <v>34957</v>
      </c>
      <c r="B6206" s="20">
        <v>0.83333333333333337</v>
      </c>
      <c r="D6206">
        <v>64.94</v>
      </c>
      <c r="E6206" t="str">
        <f t="shared" si="228"/>
        <v>WEEKDAY</v>
      </c>
      <c r="F6206" t="e">
        <f t="shared" si="229"/>
        <v>#N/A</v>
      </c>
      <c r="G6206" s="74">
        <v>29113</v>
      </c>
      <c r="H6206" s="77">
        <v>0.83333333333333337</v>
      </c>
      <c r="J6206">
        <v>66.02</v>
      </c>
      <c r="M6206" s="74">
        <v>37879</v>
      </c>
      <c r="N6206" s="77">
        <v>0.83333333333333337</v>
      </c>
      <c r="P6206">
        <v>69.800000000000011</v>
      </c>
      <c r="S6206" s="74">
        <v>34957</v>
      </c>
      <c r="T6206" s="77">
        <v>0.83333333333333337</v>
      </c>
      <c r="V6206">
        <v>64.94</v>
      </c>
      <c r="X6206" s="42"/>
      <c r="AB6206">
        <v>69.3</v>
      </c>
      <c r="AC6206">
        <v>64.94</v>
      </c>
      <c r="AE6206" s="74"/>
      <c r="AF6206" s="77"/>
      <c r="AH6206" s="497">
        <v>57.2</v>
      </c>
      <c r="AJ6206" s="42"/>
      <c r="AK6206" s="74"/>
      <c r="AL6206" s="77"/>
      <c r="AN6206" s="497">
        <v>66.92</v>
      </c>
      <c r="AP6206" s="42"/>
      <c r="AQ6206" s="74"/>
      <c r="AR6206" s="77"/>
      <c r="AT6206" s="497">
        <v>59</v>
      </c>
      <c r="AV6206" s="42"/>
      <c r="AW6206" s="74"/>
      <c r="AX6206" s="77"/>
      <c r="BA6206" s="497">
        <v>53.06</v>
      </c>
      <c r="BB6206" s="42"/>
      <c r="BC6206" s="74"/>
      <c r="BD6206" s="77"/>
      <c r="BF6206">
        <v>71.960000000000008</v>
      </c>
      <c r="BH6206" s="42"/>
      <c r="BI6206" s="74"/>
      <c r="BJ6206" s="77"/>
      <c r="BL6206" s="497">
        <v>73.039999999999992</v>
      </c>
      <c r="BN6206" s="42"/>
      <c r="BO6206" s="74"/>
      <c r="BP6206" s="77"/>
      <c r="BR6206" s="497">
        <v>52.879999999999995</v>
      </c>
      <c r="BT6206" s="42"/>
    </row>
    <row r="6207" spans="1:72" x14ac:dyDescent="0.25">
      <c r="A6207" s="90">
        <v>34957</v>
      </c>
      <c r="B6207" s="20">
        <v>0.875</v>
      </c>
      <c r="D6207">
        <v>62.96</v>
      </c>
      <c r="E6207" t="str">
        <f t="shared" si="228"/>
        <v>WEEKDAY</v>
      </c>
      <c r="F6207" t="e">
        <f t="shared" si="229"/>
        <v>#N/A</v>
      </c>
      <c r="G6207" s="74">
        <v>29113</v>
      </c>
      <c r="H6207" s="77">
        <v>0.875</v>
      </c>
      <c r="J6207">
        <v>64.94</v>
      </c>
      <c r="M6207" s="74">
        <v>37879</v>
      </c>
      <c r="N6207" s="77">
        <v>0.875</v>
      </c>
      <c r="P6207">
        <v>68</v>
      </c>
      <c r="S6207" s="74">
        <v>34957</v>
      </c>
      <c r="T6207" s="77">
        <v>0.875</v>
      </c>
      <c r="V6207">
        <v>64.94</v>
      </c>
      <c r="X6207" s="42"/>
      <c r="AB6207">
        <v>68.5</v>
      </c>
      <c r="AC6207">
        <v>64.94</v>
      </c>
      <c r="AE6207" s="74"/>
      <c r="AF6207" s="77"/>
      <c r="AH6207" s="497">
        <v>57.2</v>
      </c>
      <c r="AJ6207" s="42"/>
      <c r="AK6207" s="74"/>
      <c r="AL6207" s="77"/>
      <c r="AN6207" s="497">
        <v>66.02</v>
      </c>
      <c r="AP6207" s="42"/>
      <c r="AQ6207" s="74"/>
      <c r="AR6207" s="77"/>
      <c r="AT6207" s="497">
        <v>59</v>
      </c>
      <c r="AV6207" s="42"/>
      <c r="AW6207" s="74"/>
      <c r="AX6207" s="77"/>
      <c r="BA6207" s="497">
        <v>53.06</v>
      </c>
      <c r="BB6207" s="42"/>
      <c r="BC6207" s="74"/>
      <c r="BD6207" s="77"/>
      <c r="BF6207">
        <v>71.06</v>
      </c>
      <c r="BH6207" s="42"/>
      <c r="BI6207" s="74"/>
      <c r="BJ6207" s="77"/>
      <c r="BL6207" s="497">
        <v>73.039999999999992</v>
      </c>
      <c r="BN6207" s="42"/>
      <c r="BO6207" s="74"/>
      <c r="BP6207" s="77"/>
      <c r="BR6207" s="497">
        <v>50</v>
      </c>
      <c r="BT6207" s="42"/>
    </row>
    <row r="6208" spans="1:72" x14ac:dyDescent="0.25">
      <c r="A6208" s="90">
        <v>34957</v>
      </c>
      <c r="B6208" s="20">
        <v>0.91666666666666663</v>
      </c>
      <c r="D6208">
        <v>62.06</v>
      </c>
      <c r="E6208" t="str">
        <f t="shared" si="228"/>
        <v>WEEKDAY</v>
      </c>
      <c r="F6208" t="e">
        <f t="shared" si="229"/>
        <v>#N/A</v>
      </c>
      <c r="G6208" s="74">
        <v>29113</v>
      </c>
      <c r="H6208" s="77">
        <v>0.91666666666666663</v>
      </c>
      <c r="J6208">
        <v>64.039999999999992</v>
      </c>
      <c r="M6208" s="74">
        <v>37879</v>
      </c>
      <c r="N6208" s="77">
        <v>0.91666666666666663</v>
      </c>
      <c r="P6208">
        <v>68</v>
      </c>
      <c r="S6208" s="74">
        <v>34957</v>
      </c>
      <c r="T6208" s="77">
        <v>0.91666666666666663</v>
      </c>
      <c r="V6208">
        <v>64.039999999999992</v>
      </c>
      <c r="X6208" s="42"/>
      <c r="AB6208">
        <v>68</v>
      </c>
      <c r="AC6208">
        <v>64.94</v>
      </c>
      <c r="AE6208" s="74"/>
      <c r="AF6208" s="77"/>
      <c r="AH6208" s="497">
        <v>57.2</v>
      </c>
      <c r="AJ6208" s="42"/>
      <c r="AK6208" s="74"/>
      <c r="AL6208" s="77"/>
      <c r="AN6208" s="497">
        <v>64.94</v>
      </c>
      <c r="AP6208" s="42"/>
      <c r="AQ6208" s="74"/>
      <c r="AR6208" s="77"/>
      <c r="AT6208" s="497">
        <v>57.92</v>
      </c>
      <c r="AV6208" s="42"/>
      <c r="AW6208" s="74"/>
      <c r="AX6208" s="77"/>
      <c r="BA6208" s="497">
        <v>53.06</v>
      </c>
      <c r="BB6208" s="42"/>
      <c r="BC6208" s="74"/>
      <c r="BD6208" s="77"/>
      <c r="BF6208">
        <v>69.98</v>
      </c>
      <c r="BH6208" s="42"/>
      <c r="BI6208" s="74"/>
      <c r="BJ6208" s="77"/>
      <c r="BL6208" s="497">
        <v>71.06</v>
      </c>
      <c r="BN6208" s="42"/>
      <c r="BO6208" s="74"/>
      <c r="BP6208" s="77"/>
      <c r="BR6208" s="497">
        <v>46.94</v>
      </c>
      <c r="BT6208" s="42"/>
    </row>
    <row r="6209" spans="1:72" x14ac:dyDescent="0.25">
      <c r="A6209" s="90">
        <v>34957</v>
      </c>
      <c r="B6209" s="20">
        <v>0.95833333333333337</v>
      </c>
      <c r="D6209">
        <v>62.96</v>
      </c>
      <c r="E6209" t="str">
        <f t="shared" si="228"/>
        <v>WEEKDAY</v>
      </c>
      <c r="F6209" t="e">
        <f t="shared" si="229"/>
        <v>#N/A</v>
      </c>
      <c r="G6209" s="74">
        <v>29113</v>
      </c>
      <c r="H6209" s="77">
        <v>0.95833333333333337</v>
      </c>
      <c r="J6209">
        <v>62.96</v>
      </c>
      <c r="M6209" s="74">
        <v>37879</v>
      </c>
      <c r="N6209" s="77">
        <v>0.95833333333333337</v>
      </c>
      <c r="P6209">
        <v>68</v>
      </c>
      <c r="S6209" s="74">
        <v>34957</v>
      </c>
      <c r="T6209" s="77">
        <v>0.95833333333333337</v>
      </c>
      <c r="V6209">
        <v>62.06</v>
      </c>
      <c r="X6209" s="42"/>
      <c r="AB6209">
        <v>67.3</v>
      </c>
      <c r="AC6209">
        <v>64.94</v>
      </c>
      <c r="AE6209" s="74"/>
      <c r="AF6209" s="77"/>
      <c r="AH6209" s="497">
        <v>57.2</v>
      </c>
      <c r="AJ6209" s="42"/>
      <c r="AK6209" s="74"/>
      <c r="AL6209" s="77"/>
      <c r="AN6209" s="497">
        <v>64.22</v>
      </c>
      <c r="AP6209" s="42"/>
      <c r="AQ6209" s="74"/>
      <c r="AR6209" s="77"/>
      <c r="AT6209" s="497">
        <v>57.019999999999996</v>
      </c>
      <c r="AV6209" s="42"/>
      <c r="AW6209" s="74"/>
      <c r="AX6209" s="77"/>
      <c r="BA6209" s="497">
        <v>51.08</v>
      </c>
      <c r="BB6209" s="42"/>
      <c r="BC6209" s="74"/>
      <c r="BD6209" s="77"/>
      <c r="BF6209">
        <v>69.98</v>
      </c>
      <c r="BH6209" s="42"/>
      <c r="BI6209" s="74"/>
      <c r="BJ6209" s="77"/>
      <c r="BL6209" s="497">
        <v>69.080000000000013</v>
      </c>
      <c r="BN6209" s="42"/>
      <c r="BO6209" s="74"/>
      <c r="BP6209" s="77"/>
      <c r="BR6209" s="497">
        <v>46.58</v>
      </c>
      <c r="BT6209" s="42"/>
    </row>
    <row r="6210" spans="1:72" x14ac:dyDescent="0.25">
      <c r="A6210" s="90">
        <v>34957</v>
      </c>
      <c r="B6210" s="20">
        <v>1</v>
      </c>
      <c r="D6210">
        <v>62.06</v>
      </c>
      <c r="E6210" t="str">
        <f t="shared" si="228"/>
        <v>WEEKDAY</v>
      </c>
      <c r="F6210" t="e">
        <f t="shared" si="229"/>
        <v>#N/A</v>
      </c>
      <c r="G6210" s="74">
        <v>29113</v>
      </c>
      <c r="H6210" s="77">
        <v>1</v>
      </c>
      <c r="J6210">
        <v>62.06</v>
      </c>
      <c r="M6210" s="74">
        <v>37879</v>
      </c>
      <c r="N6210" s="80">
        <v>1</v>
      </c>
      <c r="P6210">
        <v>68</v>
      </c>
      <c r="S6210" s="74">
        <v>34957</v>
      </c>
      <c r="T6210" s="80">
        <v>1</v>
      </c>
      <c r="V6210">
        <v>60.980000000000004</v>
      </c>
      <c r="X6210" s="42"/>
      <c r="AB6210">
        <v>66.599999999999994</v>
      </c>
      <c r="AC6210">
        <v>64.94</v>
      </c>
      <c r="AE6210" s="74"/>
      <c r="AF6210" s="80"/>
      <c r="AH6210" s="497">
        <v>55.400000000000006</v>
      </c>
      <c r="AJ6210" s="42"/>
      <c r="AK6210" s="74"/>
      <c r="AL6210" s="80"/>
      <c r="AN6210" s="497">
        <v>63.680000000000007</v>
      </c>
      <c r="AP6210" s="42"/>
      <c r="AQ6210" s="74"/>
      <c r="AR6210" s="80"/>
      <c r="AT6210" s="497">
        <v>55.94</v>
      </c>
      <c r="AV6210" s="42"/>
      <c r="AW6210" s="74"/>
      <c r="AX6210" s="80"/>
      <c r="BA6210" s="497">
        <v>51.08</v>
      </c>
      <c r="BB6210" s="42"/>
      <c r="BC6210" s="74"/>
      <c r="BD6210" s="80"/>
      <c r="BF6210">
        <v>69.98</v>
      </c>
      <c r="BH6210" s="42"/>
      <c r="BI6210" s="74"/>
      <c r="BJ6210" s="80"/>
      <c r="BL6210" s="497">
        <v>68</v>
      </c>
      <c r="BN6210" s="42"/>
      <c r="BO6210" s="74"/>
      <c r="BP6210" s="80"/>
      <c r="BR6210" s="497">
        <v>46.4</v>
      </c>
      <c r="BT6210" s="42"/>
    </row>
    <row r="6211" spans="1:72" x14ac:dyDescent="0.25">
      <c r="A6211" s="90">
        <v>34958</v>
      </c>
      <c r="B6211" s="20">
        <v>4.1666666666666664E-2</v>
      </c>
      <c r="D6211">
        <v>60.980000000000004</v>
      </c>
      <c r="E6211" t="str">
        <f t="shared" si="228"/>
        <v>SATURDAY</v>
      </c>
      <c r="F6211" t="e">
        <f t="shared" si="229"/>
        <v>#N/A</v>
      </c>
      <c r="G6211" s="74">
        <v>29114</v>
      </c>
      <c r="H6211" s="77">
        <v>4.1666666666666664E-2</v>
      </c>
      <c r="J6211">
        <v>60.980000000000004</v>
      </c>
      <c r="M6211" s="74">
        <v>37880</v>
      </c>
      <c r="N6211" s="77">
        <v>4.1666666666666664E-2</v>
      </c>
      <c r="P6211">
        <v>68</v>
      </c>
      <c r="S6211" s="74">
        <v>34958</v>
      </c>
      <c r="T6211" s="77">
        <v>4.1666666666666664E-2</v>
      </c>
      <c r="V6211">
        <v>60.08</v>
      </c>
      <c r="X6211" s="42"/>
      <c r="AB6211">
        <v>65.900000000000006</v>
      </c>
      <c r="AC6211">
        <v>64.94</v>
      </c>
      <c r="AE6211" s="74"/>
      <c r="AF6211" s="77"/>
      <c r="AH6211" s="497">
        <v>53.6</v>
      </c>
      <c r="AJ6211" s="42"/>
      <c r="AK6211" s="74"/>
      <c r="AL6211" s="77"/>
      <c r="AN6211" s="497">
        <v>62.96</v>
      </c>
      <c r="AP6211" s="42"/>
      <c r="AQ6211" s="74"/>
      <c r="AR6211" s="77"/>
      <c r="AT6211" s="497">
        <v>55.040000000000006</v>
      </c>
      <c r="AV6211" s="42"/>
      <c r="AW6211" s="74"/>
      <c r="AX6211" s="77"/>
      <c r="BA6211" s="497">
        <v>48.019999999999996</v>
      </c>
      <c r="BB6211" s="42"/>
      <c r="BC6211" s="74"/>
      <c r="BD6211" s="77"/>
      <c r="BF6211">
        <v>69.98</v>
      </c>
      <c r="BH6211" s="42"/>
      <c r="BI6211" s="74"/>
      <c r="BJ6211" s="77"/>
      <c r="BL6211" s="497">
        <v>68</v>
      </c>
      <c r="BN6211" s="42"/>
      <c r="BO6211" s="74"/>
      <c r="BP6211" s="77"/>
      <c r="BR6211" s="497">
        <v>46.04</v>
      </c>
      <c r="BT6211" s="42"/>
    </row>
    <row r="6212" spans="1:72" x14ac:dyDescent="0.25">
      <c r="A6212" s="90">
        <v>34958</v>
      </c>
      <c r="B6212" s="20">
        <v>8.3333333333333329E-2</v>
      </c>
      <c r="D6212">
        <v>60.980000000000004</v>
      </c>
      <c r="E6212" t="str">
        <f t="shared" si="228"/>
        <v>SATURDAY</v>
      </c>
      <c r="F6212" t="e">
        <f t="shared" si="229"/>
        <v>#N/A</v>
      </c>
      <c r="G6212" s="74">
        <v>29114</v>
      </c>
      <c r="H6212" s="77">
        <v>8.3333333333333329E-2</v>
      </c>
      <c r="J6212">
        <v>59.72</v>
      </c>
      <c r="M6212" s="74">
        <v>37880</v>
      </c>
      <c r="N6212" s="77">
        <v>8.3333333333333329E-2</v>
      </c>
      <c r="P6212">
        <v>66.2</v>
      </c>
      <c r="S6212" s="74">
        <v>34958</v>
      </c>
      <c r="T6212" s="77">
        <v>8.3333333333333329E-2</v>
      </c>
      <c r="V6212">
        <v>59</v>
      </c>
      <c r="X6212" s="42"/>
      <c r="AB6212">
        <v>65.2</v>
      </c>
      <c r="AC6212">
        <v>64.94</v>
      </c>
      <c r="AE6212" s="74"/>
      <c r="AF6212" s="77"/>
      <c r="AH6212" s="497">
        <v>55.400000000000006</v>
      </c>
      <c r="AJ6212" s="42"/>
      <c r="AK6212" s="74"/>
      <c r="AL6212" s="77"/>
      <c r="AN6212" s="497">
        <v>62.6</v>
      </c>
      <c r="AP6212" s="42"/>
      <c r="AQ6212" s="74"/>
      <c r="AR6212" s="77"/>
      <c r="AT6212" s="497">
        <v>53.96</v>
      </c>
      <c r="AV6212" s="42"/>
      <c r="AW6212" s="74"/>
      <c r="AX6212" s="77"/>
      <c r="BA6212" s="497">
        <v>51.08</v>
      </c>
      <c r="BB6212" s="42"/>
      <c r="BC6212" s="74"/>
      <c r="BD6212" s="77"/>
      <c r="BF6212">
        <v>69.98</v>
      </c>
      <c r="BH6212" s="42"/>
      <c r="BI6212" s="74"/>
      <c r="BJ6212" s="77"/>
      <c r="BL6212" s="497">
        <v>68</v>
      </c>
      <c r="BN6212" s="42"/>
      <c r="BO6212" s="74"/>
      <c r="BP6212" s="77"/>
      <c r="BR6212" s="497">
        <v>44.78</v>
      </c>
      <c r="BT6212" s="42"/>
    </row>
    <row r="6213" spans="1:72" x14ac:dyDescent="0.25">
      <c r="A6213" s="90">
        <v>34958</v>
      </c>
      <c r="B6213" s="20">
        <v>0.125</v>
      </c>
      <c r="D6213">
        <v>60.08</v>
      </c>
      <c r="E6213" t="str">
        <f t="shared" si="228"/>
        <v>SATURDAY</v>
      </c>
      <c r="F6213" t="e">
        <f t="shared" si="229"/>
        <v>#N/A</v>
      </c>
      <c r="G6213" s="74">
        <v>29114</v>
      </c>
      <c r="H6213" s="77">
        <v>0.125</v>
      </c>
      <c r="J6213">
        <v>58.28</v>
      </c>
      <c r="M6213" s="74">
        <v>37880</v>
      </c>
      <c r="N6213" s="77">
        <v>0.125</v>
      </c>
      <c r="P6213">
        <v>66.2</v>
      </c>
      <c r="S6213" s="74">
        <v>34958</v>
      </c>
      <c r="T6213" s="77">
        <v>0.125</v>
      </c>
      <c r="V6213">
        <v>57.019999999999996</v>
      </c>
      <c r="X6213" s="42"/>
      <c r="AB6213">
        <v>64.599999999999994</v>
      </c>
      <c r="AC6213">
        <v>66.02</v>
      </c>
      <c r="AE6213" s="74"/>
      <c r="AF6213" s="77"/>
      <c r="AH6213" s="497">
        <v>55.400000000000006</v>
      </c>
      <c r="AJ6213" s="42"/>
      <c r="AK6213" s="74"/>
      <c r="AL6213" s="77"/>
      <c r="AN6213" s="497">
        <v>62.42</v>
      </c>
      <c r="AP6213" s="42"/>
      <c r="AQ6213" s="74"/>
      <c r="AR6213" s="77"/>
      <c r="AT6213" s="497">
        <v>51.08</v>
      </c>
      <c r="AV6213" s="42"/>
      <c r="AW6213" s="74"/>
      <c r="AX6213" s="77"/>
      <c r="BA6213" s="497">
        <v>51.08</v>
      </c>
      <c r="BB6213" s="42"/>
      <c r="BC6213" s="74"/>
      <c r="BD6213" s="77"/>
      <c r="BF6213">
        <v>69.98</v>
      </c>
      <c r="BH6213" s="42"/>
      <c r="BI6213" s="74"/>
      <c r="BJ6213" s="77"/>
      <c r="BL6213" s="497">
        <v>66.02</v>
      </c>
      <c r="BN6213" s="42"/>
      <c r="BO6213" s="74"/>
      <c r="BP6213" s="77"/>
      <c r="BR6213" s="497">
        <v>43.34</v>
      </c>
      <c r="BT6213" s="42"/>
    </row>
    <row r="6214" spans="1:72" x14ac:dyDescent="0.25">
      <c r="A6214" s="90">
        <v>34958</v>
      </c>
      <c r="B6214" s="20">
        <v>0.16666666666666666</v>
      </c>
      <c r="D6214">
        <v>59</v>
      </c>
      <c r="E6214" t="str">
        <f t="shared" si="228"/>
        <v>SATURDAY</v>
      </c>
      <c r="F6214" t="e">
        <f t="shared" si="229"/>
        <v>#N/A</v>
      </c>
      <c r="G6214" s="74">
        <v>29114</v>
      </c>
      <c r="H6214" s="77">
        <v>0.16666666666666666</v>
      </c>
      <c r="J6214">
        <v>57.019999999999996</v>
      </c>
      <c r="M6214" s="74">
        <v>37880</v>
      </c>
      <c r="N6214" s="77">
        <v>0.16666666666666666</v>
      </c>
      <c r="P6214">
        <v>66.2</v>
      </c>
      <c r="S6214" s="74">
        <v>34958</v>
      </c>
      <c r="T6214" s="77">
        <v>0.16666666666666666</v>
      </c>
      <c r="V6214">
        <v>57.019999999999996</v>
      </c>
      <c r="X6214" s="42"/>
      <c r="AB6214">
        <v>64.099999999999994</v>
      </c>
      <c r="AC6214">
        <v>66.02</v>
      </c>
      <c r="AE6214" s="74"/>
      <c r="AF6214" s="77"/>
      <c r="AH6214" s="497">
        <v>53.6</v>
      </c>
      <c r="AJ6214" s="42"/>
      <c r="AK6214" s="74"/>
      <c r="AL6214" s="77"/>
      <c r="AN6214" s="497">
        <v>62.06</v>
      </c>
      <c r="AP6214" s="42"/>
      <c r="AQ6214" s="74"/>
      <c r="AR6214" s="77"/>
      <c r="AT6214" s="497">
        <v>46.04</v>
      </c>
      <c r="AV6214" s="42"/>
      <c r="AW6214" s="74"/>
      <c r="AX6214" s="77"/>
      <c r="BA6214" s="497">
        <v>48.92</v>
      </c>
      <c r="BB6214" s="42"/>
      <c r="BC6214" s="74"/>
      <c r="BD6214" s="77"/>
      <c r="BF6214">
        <v>68</v>
      </c>
      <c r="BH6214" s="42"/>
      <c r="BI6214" s="74"/>
      <c r="BJ6214" s="77"/>
      <c r="BL6214" s="497">
        <v>64.039999999999992</v>
      </c>
      <c r="BN6214" s="42"/>
      <c r="BO6214" s="74"/>
      <c r="BP6214" s="77"/>
      <c r="BR6214" s="497">
        <v>42.08</v>
      </c>
      <c r="BT6214" s="42"/>
    </row>
    <row r="6215" spans="1:72" x14ac:dyDescent="0.25">
      <c r="A6215" s="90">
        <v>34958</v>
      </c>
      <c r="B6215" s="20">
        <v>0.20833333333333334</v>
      </c>
      <c r="D6215">
        <v>59</v>
      </c>
      <c r="E6215" t="str">
        <f t="shared" si="228"/>
        <v>SATURDAY</v>
      </c>
      <c r="F6215" t="e">
        <f t="shared" si="229"/>
        <v>#N/A</v>
      </c>
      <c r="G6215" s="74">
        <v>29114</v>
      </c>
      <c r="H6215" s="77">
        <v>0.20833333333333334</v>
      </c>
      <c r="J6215">
        <v>58.1</v>
      </c>
      <c r="M6215" s="74">
        <v>37880</v>
      </c>
      <c r="N6215" s="77">
        <v>0.20833333333333334</v>
      </c>
      <c r="P6215">
        <v>66.2</v>
      </c>
      <c r="S6215" s="74">
        <v>34958</v>
      </c>
      <c r="T6215" s="77">
        <v>0.20833333333333334</v>
      </c>
      <c r="V6215">
        <v>57.92</v>
      </c>
      <c r="X6215" s="42"/>
      <c r="AB6215">
        <v>63.7</v>
      </c>
      <c r="AC6215">
        <v>66.02</v>
      </c>
      <c r="AE6215" s="74"/>
      <c r="AF6215" s="77"/>
      <c r="AH6215" s="497">
        <v>53.6</v>
      </c>
      <c r="AJ6215" s="42"/>
      <c r="AK6215" s="74"/>
      <c r="AL6215" s="77"/>
      <c r="AN6215" s="497">
        <v>60.980000000000004</v>
      </c>
      <c r="AP6215" s="42"/>
      <c r="AQ6215" s="74"/>
      <c r="AR6215" s="77"/>
      <c r="AT6215" s="497">
        <v>46.94</v>
      </c>
      <c r="AV6215" s="42"/>
      <c r="AW6215" s="74"/>
      <c r="AX6215" s="77"/>
      <c r="BA6215" s="497">
        <v>48.92</v>
      </c>
      <c r="BB6215" s="42"/>
      <c r="BC6215" s="74"/>
      <c r="BD6215" s="77"/>
      <c r="BF6215">
        <v>69.98</v>
      </c>
      <c r="BH6215" s="42"/>
      <c r="BI6215" s="74"/>
      <c r="BJ6215" s="77"/>
      <c r="BL6215" s="497">
        <v>62.06</v>
      </c>
      <c r="BN6215" s="42"/>
      <c r="BO6215" s="74"/>
      <c r="BP6215" s="77"/>
      <c r="BR6215" s="497">
        <v>44.06</v>
      </c>
      <c r="BT6215" s="42"/>
    </row>
    <row r="6216" spans="1:72" x14ac:dyDescent="0.25">
      <c r="A6216" s="90">
        <v>34958</v>
      </c>
      <c r="B6216" s="20">
        <v>0.25</v>
      </c>
      <c r="D6216">
        <v>57.92</v>
      </c>
      <c r="E6216" t="str">
        <f t="shared" si="228"/>
        <v>SATURDAY</v>
      </c>
      <c r="F6216" t="e">
        <f t="shared" si="229"/>
        <v>#N/A</v>
      </c>
      <c r="G6216" s="74">
        <v>29114</v>
      </c>
      <c r="H6216" s="77">
        <v>0.25</v>
      </c>
      <c r="J6216">
        <v>59</v>
      </c>
      <c r="M6216" s="74">
        <v>37880</v>
      </c>
      <c r="N6216" s="77">
        <v>0.25</v>
      </c>
      <c r="P6216">
        <v>66.2</v>
      </c>
      <c r="S6216" s="74">
        <v>34958</v>
      </c>
      <c r="T6216" s="77">
        <v>0.25</v>
      </c>
      <c r="V6216">
        <v>57.92</v>
      </c>
      <c r="X6216" s="42"/>
      <c r="AB6216">
        <v>63.5</v>
      </c>
      <c r="AC6216">
        <v>66.02</v>
      </c>
      <c r="AE6216" s="74"/>
      <c r="AF6216" s="77"/>
      <c r="AH6216" s="497">
        <v>51.8</v>
      </c>
      <c r="AJ6216" s="42"/>
      <c r="AK6216" s="74"/>
      <c r="AL6216" s="77"/>
      <c r="AN6216" s="497">
        <v>60.08</v>
      </c>
      <c r="AP6216" s="42"/>
      <c r="AQ6216" s="74"/>
      <c r="AR6216" s="77"/>
      <c r="AT6216" s="497">
        <v>48.92</v>
      </c>
      <c r="AV6216" s="42"/>
      <c r="AW6216" s="74"/>
      <c r="AX6216" s="77"/>
      <c r="BA6216" s="497">
        <v>46.94</v>
      </c>
      <c r="BB6216" s="42"/>
      <c r="BC6216" s="74"/>
      <c r="BD6216" s="77"/>
      <c r="BF6216">
        <v>71.06</v>
      </c>
      <c r="BH6216" s="42"/>
      <c r="BI6216" s="74"/>
      <c r="BJ6216" s="77"/>
      <c r="BL6216" s="497">
        <v>60.980000000000004</v>
      </c>
      <c r="BN6216" s="42"/>
      <c r="BO6216" s="74"/>
      <c r="BP6216" s="77"/>
      <c r="BR6216" s="497">
        <v>46.04</v>
      </c>
      <c r="BT6216" s="42"/>
    </row>
    <row r="6217" spans="1:72" x14ac:dyDescent="0.25">
      <c r="A6217" s="90">
        <v>34958</v>
      </c>
      <c r="B6217" s="20">
        <v>0.29166666666666669</v>
      </c>
      <c r="D6217">
        <v>59</v>
      </c>
      <c r="E6217" t="str">
        <f t="shared" si="228"/>
        <v>SATURDAY</v>
      </c>
      <c r="F6217" t="e">
        <f t="shared" si="229"/>
        <v>#N/A</v>
      </c>
      <c r="G6217" s="74">
        <v>29114</v>
      </c>
      <c r="H6217" s="77">
        <v>0.29166666666666669</v>
      </c>
      <c r="J6217">
        <v>60.08</v>
      </c>
      <c r="M6217" s="74">
        <v>37880</v>
      </c>
      <c r="N6217" s="77">
        <v>0.29166666666666669</v>
      </c>
      <c r="P6217">
        <v>66.2</v>
      </c>
      <c r="S6217" s="74">
        <v>34958</v>
      </c>
      <c r="T6217" s="77">
        <v>0.29166666666666669</v>
      </c>
      <c r="V6217">
        <v>60.08</v>
      </c>
      <c r="X6217" s="42"/>
      <c r="AB6217">
        <v>63.3</v>
      </c>
      <c r="AC6217">
        <v>66.92</v>
      </c>
      <c r="AE6217" s="74"/>
      <c r="AF6217" s="77"/>
      <c r="AH6217" s="497">
        <v>57.2</v>
      </c>
      <c r="AJ6217" s="42"/>
      <c r="AK6217" s="74"/>
      <c r="AL6217" s="77"/>
      <c r="AN6217" s="497">
        <v>59</v>
      </c>
      <c r="AP6217" s="42"/>
      <c r="AQ6217" s="74"/>
      <c r="AR6217" s="77"/>
      <c r="AT6217" s="497">
        <v>51.980000000000004</v>
      </c>
      <c r="AV6217" s="42"/>
      <c r="AW6217" s="74"/>
      <c r="AX6217" s="77"/>
      <c r="BA6217" s="497">
        <v>50</v>
      </c>
      <c r="BB6217" s="42"/>
      <c r="BC6217" s="74"/>
      <c r="BD6217" s="77"/>
      <c r="BF6217">
        <v>71.06</v>
      </c>
      <c r="BH6217" s="42"/>
      <c r="BI6217" s="74"/>
      <c r="BJ6217" s="77"/>
      <c r="BL6217" s="497">
        <v>60.980000000000004</v>
      </c>
      <c r="BN6217" s="42"/>
      <c r="BO6217" s="74"/>
      <c r="BP6217" s="77"/>
      <c r="BR6217" s="497">
        <v>48.019999999999996</v>
      </c>
      <c r="BT6217" s="42"/>
    </row>
    <row r="6218" spans="1:72" x14ac:dyDescent="0.25">
      <c r="A6218" s="90">
        <v>34958</v>
      </c>
      <c r="B6218" s="20">
        <v>0.33333333333333331</v>
      </c>
      <c r="D6218">
        <v>60.08</v>
      </c>
      <c r="E6218" t="str">
        <f t="shared" si="228"/>
        <v>SATURDAY</v>
      </c>
      <c r="F6218" t="e">
        <f t="shared" si="229"/>
        <v>#N/A</v>
      </c>
      <c r="G6218" s="74">
        <v>29114</v>
      </c>
      <c r="H6218" s="77">
        <v>0.33333333333333331</v>
      </c>
      <c r="J6218">
        <v>62.42</v>
      </c>
      <c r="M6218" s="74">
        <v>37880</v>
      </c>
      <c r="N6218" s="77">
        <v>0.33333333333333331</v>
      </c>
      <c r="P6218">
        <v>66.2</v>
      </c>
      <c r="S6218" s="74">
        <v>34958</v>
      </c>
      <c r="T6218" s="77">
        <v>0.33333333333333331</v>
      </c>
      <c r="V6218">
        <v>66.02</v>
      </c>
      <c r="X6218" s="42"/>
      <c r="AB6218">
        <v>65.2</v>
      </c>
      <c r="AC6218">
        <v>69.080000000000013</v>
      </c>
      <c r="AE6218" s="74"/>
      <c r="AF6218" s="77"/>
      <c r="AH6218" s="497">
        <v>62.6</v>
      </c>
      <c r="AJ6218" s="42"/>
      <c r="AK6218" s="74"/>
      <c r="AL6218" s="77"/>
      <c r="AN6218" s="497">
        <v>60.26</v>
      </c>
      <c r="AP6218" s="42"/>
      <c r="AQ6218" s="74"/>
      <c r="AR6218" s="77"/>
      <c r="AT6218" s="497">
        <v>55.040000000000006</v>
      </c>
      <c r="AV6218" s="42"/>
      <c r="AW6218" s="74"/>
      <c r="AX6218" s="77"/>
      <c r="BA6218" s="497">
        <v>53.06</v>
      </c>
      <c r="BB6218" s="42"/>
      <c r="BC6218" s="74"/>
      <c r="BD6218" s="77"/>
      <c r="BF6218">
        <v>73.039999999999992</v>
      </c>
      <c r="BH6218" s="42"/>
      <c r="BI6218" s="74"/>
      <c r="BJ6218" s="77"/>
      <c r="BL6218" s="497">
        <v>60.08</v>
      </c>
      <c r="BN6218" s="42"/>
      <c r="BO6218" s="74"/>
      <c r="BP6218" s="77"/>
      <c r="BR6218" s="497">
        <v>53.42</v>
      </c>
      <c r="BT6218" s="42"/>
    </row>
    <row r="6219" spans="1:72" x14ac:dyDescent="0.25">
      <c r="A6219" s="90">
        <v>34958</v>
      </c>
      <c r="B6219" s="20">
        <v>0.375</v>
      </c>
      <c r="D6219">
        <v>62.96</v>
      </c>
      <c r="E6219" t="str">
        <f t="shared" si="228"/>
        <v>SATURDAY</v>
      </c>
      <c r="F6219" t="e">
        <f t="shared" si="229"/>
        <v>#N/A</v>
      </c>
      <c r="G6219" s="74">
        <v>29114</v>
      </c>
      <c r="H6219" s="77">
        <v>0.375</v>
      </c>
      <c r="J6219">
        <v>64.580000000000013</v>
      </c>
      <c r="M6219" s="74">
        <v>37880</v>
      </c>
      <c r="N6219" s="77">
        <v>0.375</v>
      </c>
      <c r="P6219">
        <v>69.800000000000011</v>
      </c>
      <c r="S6219" s="74">
        <v>34958</v>
      </c>
      <c r="T6219" s="77">
        <v>0.375</v>
      </c>
      <c r="V6219">
        <v>66.92</v>
      </c>
      <c r="X6219" s="42"/>
      <c r="AB6219">
        <v>67.599999999999994</v>
      </c>
      <c r="AC6219">
        <v>69.98</v>
      </c>
      <c r="AE6219" s="74"/>
      <c r="AF6219" s="77"/>
      <c r="AH6219" s="497">
        <v>66.2</v>
      </c>
      <c r="AJ6219" s="42"/>
      <c r="AK6219" s="74"/>
      <c r="AL6219" s="77"/>
      <c r="AN6219" s="497">
        <v>61.7</v>
      </c>
      <c r="AP6219" s="42"/>
      <c r="AQ6219" s="74"/>
      <c r="AR6219" s="77"/>
      <c r="AT6219" s="497">
        <v>55.94</v>
      </c>
      <c r="AV6219" s="42"/>
      <c r="AW6219" s="74"/>
      <c r="AX6219" s="77"/>
      <c r="BA6219" s="497">
        <v>53.96</v>
      </c>
      <c r="BB6219" s="42"/>
      <c r="BC6219" s="74"/>
      <c r="BD6219" s="77"/>
      <c r="BF6219">
        <v>75.02</v>
      </c>
      <c r="BH6219" s="42"/>
      <c r="BI6219" s="74"/>
      <c r="BJ6219" s="77"/>
      <c r="BL6219" s="497">
        <v>60.08</v>
      </c>
      <c r="BN6219" s="42"/>
      <c r="BO6219" s="74"/>
      <c r="BP6219" s="77"/>
      <c r="BR6219" s="497">
        <v>58.64</v>
      </c>
      <c r="BT6219" s="42"/>
    </row>
    <row r="6220" spans="1:72" x14ac:dyDescent="0.25">
      <c r="A6220" s="90">
        <v>34958</v>
      </c>
      <c r="B6220" s="20">
        <v>0.41666666666666669</v>
      </c>
      <c r="D6220">
        <v>64.94</v>
      </c>
      <c r="E6220" t="str">
        <f t="shared" si="228"/>
        <v>SATURDAY</v>
      </c>
      <c r="F6220" t="e">
        <f t="shared" si="229"/>
        <v>#N/A</v>
      </c>
      <c r="G6220" s="74">
        <v>29114</v>
      </c>
      <c r="H6220" s="77">
        <v>0.41666666666666669</v>
      </c>
      <c r="J6220">
        <v>66.92</v>
      </c>
      <c r="M6220" s="74">
        <v>37880</v>
      </c>
      <c r="N6220" s="77">
        <v>0.41666666666666669</v>
      </c>
      <c r="P6220">
        <v>69.800000000000011</v>
      </c>
      <c r="S6220" s="74">
        <v>34958</v>
      </c>
      <c r="T6220" s="77">
        <v>0.41666666666666669</v>
      </c>
      <c r="V6220">
        <v>69.98</v>
      </c>
      <c r="X6220" s="42"/>
      <c r="AB6220">
        <v>69.599999999999994</v>
      </c>
      <c r="AC6220">
        <v>69.080000000000013</v>
      </c>
      <c r="AE6220" s="74"/>
      <c r="AF6220" s="77"/>
      <c r="AH6220" s="497">
        <v>66.2</v>
      </c>
      <c r="AJ6220" s="42"/>
      <c r="AK6220" s="74"/>
      <c r="AL6220" s="77"/>
      <c r="AN6220" s="497">
        <v>62.96</v>
      </c>
      <c r="AP6220" s="42"/>
      <c r="AQ6220" s="74"/>
      <c r="AR6220" s="77"/>
      <c r="AT6220" s="497">
        <v>57.92</v>
      </c>
      <c r="AV6220" s="42"/>
      <c r="AW6220" s="74"/>
      <c r="AX6220" s="77"/>
      <c r="BA6220" s="497">
        <v>55.040000000000006</v>
      </c>
      <c r="BB6220" s="42"/>
      <c r="BC6220" s="74"/>
      <c r="BD6220" s="77"/>
      <c r="BF6220">
        <v>75.02</v>
      </c>
      <c r="BH6220" s="42"/>
      <c r="BI6220" s="74"/>
      <c r="BJ6220" s="77"/>
      <c r="BL6220" s="497">
        <v>60.08</v>
      </c>
      <c r="BN6220" s="42"/>
      <c r="BO6220" s="74"/>
      <c r="BP6220" s="77"/>
      <c r="BR6220" s="497">
        <v>64.039999999999992</v>
      </c>
      <c r="BT6220" s="42"/>
    </row>
    <row r="6221" spans="1:72" x14ac:dyDescent="0.25">
      <c r="A6221" s="90">
        <v>34958</v>
      </c>
      <c r="B6221" s="20">
        <v>0.45833333333333331</v>
      </c>
      <c r="D6221">
        <v>68</v>
      </c>
      <c r="E6221" t="str">
        <f t="shared" si="228"/>
        <v>SATURDAY</v>
      </c>
      <c r="F6221" t="e">
        <f t="shared" si="229"/>
        <v>#N/A</v>
      </c>
      <c r="G6221" s="74">
        <v>29114</v>
      </c>
      <c r="H6221" s="77">
        <v>0.45833333333333331</v>
      </c>
      <c r="J6221">
        <v>68.36</v>
      </c>
      <c r="M6221" s="74">
        <v>37880</v>
      </c>
      <c r="N6221" s="77">
        <v>0.45833333333333331</v>
      </c>
      <c r="P6221">
        <v>71.599999999999994</v>
      </c>
      <c r="S6221" s="74">
        <v>34958</v>
      </c>
      <c r="T6221" s="77">
        <v>0.45833333333333331</v>
      </c>
      <c r="V6221">
        <v>71.06</v>
      </c>
      <c r="X6221" s="42"/>
      <c r="AB6221">
        <v>71.400000000000006</v>
      </c>
      <c r="AC6221">
        <v>71.960000000000008</v>
      </c>
      <c r="AE6221" s="74"/>
      <c r="AF6221" s="77"/>
      <c r="AH6221" s="497">
        <v>69.800000000000011</v>
      </c>
      <c r="AJ6221" s="42"/>
      <c r="AK6221" s="74"/>
      <c r="AL6221" s="77"/>
      <c r="AN6221" s="497">
        <v>63.680000000000007</v>
      </c>
      <c r="AP6221" s="42"/>
      <c r="AQ6221" s="74"/>
      <c r="AR6221" s="77"/>
      <c r="AT6221" s="497">
        <v>60.08</v>
      </c>
      <c r="AV6221" s="42"/>
      <c r="AW6221" s="74"/>
      <c r="AX6221" s="77"/>
      <c r="BA6221" s="497">
        <v>55.040000000000006</v>
      </c>
      <c r="BB6221" s="42"/>
      <c r="BC6221" s="74"/>
      <c r="BD6221" s="77"/>
      <c r="BF6221">
        <v>78.98</v>
      </c>
      <c r="BH6221" s="42"/>
      <c r="BI6221" s="74"/>
      <c r="BJ6221" s="77"/>
      <c r="BL6221" s="497">
        <v>60.980000000000004</v>
      </c>
      <c r="BN6221" s="42"/>
      <c r="BO6221" s="74"/>
      <c r="BP6221" s="77"/>
      <c r="BR6221" s="497">
        <v>66.02</v>
      </c>
      <c r="BT6221" s="42"/>
    </row>
    <row r="6222" spans="1:72" x14ac:dyDescent="0.25">
      <c r="A6222" s="90">
        <v>34958</v>
      </c>
      <c r="B6222" s="20">
        <v>0.5</v>
      </c>
      <c r="D6222">
        <v>69.080000000000013</v>
      </c>
      <c r="E6222" t="str">
        <f t="shared" si="228"/>
        <v>SATURDAY</v>
      </c>
      <c r="F6222" t="e">
        <f t="shared" si="229"/>
        <v>#N/A</v>
      </c>
      <c r="G6222" s="74">
        <v>29114</v>
      </c>
      <c r="H6222" s="77">
        <v>0.5</v>
      </c>
      <c r="J6222">
        <v>69.62</v>
      </c>
      <c r="M6222" s="74">
        <v>37880</v>
      </c>
      <c r="N6222" s="77">
        <v>0.5</v>
      </c>
      <c r="P6222">
        <v>73.400000000000006</v>
      </c>
      <c r="S6222" s="74">
        <v>34958</v>
      </c>
      <c r="T6222" s="77">
        <v>0.5</v>
      </c>
      <c r="V6222">
        <v>69.98</v>
      </c>
      <c r="X6222" s="42"/>
      <c r="AB6222">
        <v>72.7</v>
      </c>
      <c r="AC6222">
        <v>75.02</v>
      </c>
      <c r="AE6222" s="74"/>
      <c r="AF6222" s="77"/>
      <c r="AH6222" s="497">
        <v>69.800000000000011</v>
      </c>
      <c r="AJ6222" s="42"/>
      <c r="AK6222" s="74"/>
      <c r="AL6222" s="77"/>
      <c r="AN6222" s="497">
        <v>64.22</v>
      </c>
      <c r="AP6222" s="42"/>
      <c r="AQ6222" s="74"/>
      <c r="AR6222" s="77"/>
      <c r="AT6222" s="497">
        <v>60.08</v>
      </c>
      <c r="AV6222" s="42"/>
      <c r="AW6222" s="74"/>
      <c r="AX6222" s="77"/>
      <c r="BA6222" s="497">
        <v>59</v>
      </c>
      <c r="BB6222" s="42"/>
      <c r="BC6222" s="74"/>
      <c r="BD6222" s="77"/>
      <c r="BF6222">
        <v>80.06</v>
      </c>
      <c r="BH6222" s="42"/>
      <c r="BI6222" s="74"/>
      <c r="BJ6222" s="77"/>
      <c r="BL6222" s="497">
        <v>60.980000000000004</v>
      </c>
      <c r="BN6222" s="42"/>
      <c r="BO6222" s="74"/>
      <c r="BP6222" s="77"/>
      <c r="BR6222" s="497">
        <v>68</v>
      </c>
      <c r="BT6222" s="42"/>
    </row>
    <row r="6223" spans="1:72" x14ac:dyDescent="0.25">
      <c r="A6223" s="90">
        <v>34958</v>
      </c>
      <c r="B6223" s="20">
        <v>0.54166666666666663</v>
      </c>
      <c r="D6223">
        <v>69.080000000000013</v>
      </c>
      <c r="E6223" t="str">
        <f t="shared" si="228"/>
        <v>SATURDAY</v>
      </c>
      <c r="F6223" t="e">
        <f t="shared" si="229"/>
        <v>#N/A</v>
      </c>
      <c r="G6223" s="74">
        <v>29114</v>
      </c>
      <c r="H6223" s="77">
        <v>0.54166666666666663</v>
      </c>
      <c r="J6223">
        <v>71.06</v>
      </c>
      <c r="M6223" s="74">
        <v>37880</v>
      </c>
      <c r="N6223" s="77">
        <v>0.54166666666666663</v>
      </c>
      <c r="P6223">
        <v>73.400000000000006</v>
      </c>
      <c r="S6223" s="74">
        <v>34958</v>
      </c>
      <c r="T6223" s="77">
        <v>0.54166666666666663</v>
      </c>
      <c r="V6223">
        <v>69.080000000000013</v>
      </c>
      <c r="X6223" s="42"/>
      <c r="AB6223">
        <v>73.5</v>
      </c>
      <c r="AC6223">
        <v>75.02</v>
      </c>
      <c r="AE6223" s="74"/>
      <c r="AF6223" s="77"/>
      <c r="AH6223" s="497">
        <v>68.72</v>
      </c>
      <c r="AJ6223" s="42"/>
      <c r="AK6223" s="74"/>
      <c r="AL6223" s="77"/>
      <c r="AN6223" s="497">
        <v>64.94</v>
      </c>
      <c r="AP6223" s="42"/>
      <c r="AQ6223" s="74"/>
      <c r="AR6223" s="77"/>
      <c r="AT6223" s="497">
        <v>62.96</v>
      </c>
      <c r="AV6223" s="42"/>
      <c r="AW6223" s="74"/>
      <c r="AX6223" s="77"/>
      <c r="BA6223" s="497">
        <v>60.980000000000004</v>
      </c>
      <c r="BB6223" s="42"/>
      <c r="BC6223" s="74"/>
      <c r="BD6223" s="77"/>
      <c r="BF6223">
        <v>80.960000000000008</v>
      </c>
      <c r="BH6223" s="42"/>
      <c r="BI6223" s="74"/>
      <c r="BJ6223" s="77"/>
      <c r="BL6223" s="497">
        <v>64.039999999999992</v>
      </c>
      <c r="BN6223" s="42"/>
      <c r="BO6223" s="74"/>
      <c r="BP6223" s="77"/>
      <c r="BR6223" s="497">
        <v>69.98</v>
      </c>
      <c r="BT6223" s="42"/>
    </row>
    <row r="6224" spans="1:72" x14ac:dyDescent="0.25">
      <c r="A6224" s="90">
        <v>34958</v>
      </c>
      <c r="B6224" s="20">
        <v>0.58333333333333337</v>
      </c>
      <c r="D6224">
        <v>71.06</v>
      </c>
      <c r="E6224" t="str">
        <f t="shared" si="228"/>
        <v>SATURDAY</v>
      </c>
      <c r="F6224" t="e">
        <f t="shared" si="229"/>
        <v>#N/A</v>
      </c>
      <c r="G6224" s="74">
        <v>29114</v>
      </c>
      <c r="H6224" s="77">
        <v>0.58333333333333337</v>
      </c>
      <c r="J6224">
        <v>71.78</v>
      </c>
      <c r="M6224" s="74">
        <v>37880</v>
      </c>
      <c r="N6224" s="77">
        <v>0.58333333333333337</v>
      </c>
      <c r="P6224">
        <v>75.2</v>
      </c>
      <c r="S6224" s="74">
        <v>34958</v>
      </c>
      <c r="T6224" s="77">
        <v>0.58333333333333337</v>
      </c>
      <c r="V6224">
        <v>68</v>
      </c>
      <c r="X6224" s="42"/>
      <c r="AB6224">
        <v>73.900000000000006</v>
      </c>
      <c r="AC6224">
        <v>75.92</v>
      </c>
      <c r="AE6224" s="74"/>
      <c r="AF6224" s="77"/>
      <c r="AH6224" s="497">
        <v>68</v>
      </c>
      <c r="AJ6224" s="42"/>
      <c r="AK6224" s="74"/>
      <c r="AL6224" s="77"/>
      <c r="AN6224" s="497">
        <v>64.94</v>
      </c>
      <c r="AP6224" s="42"/>
      <c r="AQ6224" s="74"/>
      <c r="AR6224" s="77"/>
      <c r="AT6224" s="497">
        <v>60.980000000000004</v>
      </c>
      <c r="AV6224" s="42"/>
      <c r="AW6224" s="74"/>
      <c r="AX6224" s="77"/>
      <c r="BA6224" s="497">
        <v>60.08</v>
      </c>
      <c r="BB6224" s="42"/>
      <c r="BC6224" s="74"/>
      <c r="BD6224" s="77"/>
      <c r="BF6224">
        <v>80.960000000000008</v>
      </c>
      <c r="BH6224" s="42"/>
      <c r="BI6224" s="74"/>
      <c r="BJ6224" s="77"/>
      <c r="BL6224" s="497">
        <v>64.039999999999992</v>
      </c>
      <c r="BN6224" s="42"/>
      <c r="BO6224" s="74"/>
      <c r="BP6224" s="77"/>
      <c r="BR6224" s="497">
        <v>70.7</v>
      </c>
      <c r="BT6224" s="42"/>
    </row>
    <row r="6225" spans="1:72" x14ac:dyDescent="0.25">
      <c r="A6225" s="90">
        <v>34958</v>
      </c>
      <c r="B6225" s="20">
        <v>0.625</v>
      </c>
      <c r="D6225">
        <v>71.06</v>
      </c>
      <c r="E6225" t="str">
        <f t="shared" si="228"/>
        <v>SATURDAY</v>
      </c>
      <c r="F6225" t="e">
        <f t="shared" si="229"/>
        <v>#N/A</v>
      </c>
      <c r="G6225" s="74">
        <v>29114</v>
      </c>
      <c r="H6225" s="77">
        <v>0.625</v>
      </c>
      <c r="J6225">
        <v>72.319999999999993</v>
      </c>
      <c r="M6225" s="74">
        <v>37880</v>
      </c>
      <c r="N6225" s="77">
        <v>0.625</v>
      </c>
      <c r="P6225">
        <v>75.2</v>
      </c>
      <c r="S6225" s="74">
        <v>34958</v>
      </c>
      <c r="T6225" s="77">
        <v>0.625</v>
      </c>
      <c r="V6225">
        <v>66.92</v>
      </c>
      <c r="X6225" s="42"/>
      <c r="AB6225">
        <v>74.099999999999994</v>
      </c>
      <c r="AC6225">
        <v>75.02</v>
      </c>
      <c r="AE6225" s="74"/>
      <c r="AF6225" s="77"/>
      <c r="AH6225" s="497">
        <v>68</v>
      </c>
      <c r="AJ6225" s="42"/>
      <c r="AK6225" s="74"/>
      <c r="AL6225" s="77"/>
      <c r="AN6225" s="497">
        <v>64.94</v>
      </c>
      <c r="AP6225" s="42"/>
      <c r="AQ6225" s="74"/>
      <c r="AR6225" s="77"/>
      <c r="AT6225" s="497">
        <v>62.96</v>
      </c>
      <c r="AV6225" s="42"/>
      <c r="AW6225" s="74"/>
      <c r="AX6225" s="77"/>
      <c r="BA6225" s="497">
        <v>55.94</v>
      </c>
      <c r="BB6225" s="42"/>
      <c r="BC6225" s="74"/>
      <c r="BD6225" s="77"/>
      <c r="BF6225">
        <v>80.06</v>
      </c>
      <c r="BH6225" s="42"/>
      <c r="BI6225" s="74"/>
      <c r="BJ6225" s="77"/>
      <c r="BL6225" s="497">
        <v>64.94</v>
      </c>
      <c r="BN6225" s="42"/>
      <c r="BO6225" s="74"/>
      <c r="BP6225" s="77"/>
      <c r="BR6225" s="497">
        <v>71.240000000000009</v>
      </c>
      <c r="BT6225" s="42"/>
    </row>
    <row r="6226" spans="1:72" x14ac:dyDescent="0.25">
      <c r="A6226" s="90">
        <v>34958</v>
      </c>
      <c r="B6226" s="20">
        <v>0.66666666666666663</v>
      </c>
      <c r="D6226">
        <v>71.960000000000008</v>
      </c>
      <c r="E6226" t="str">
        <f t="shared" si="228"/>
        <v>SATURDAY</v>
      </c>
      <c r="F6226" t="e">
        <f t="shared" si="229"/>
        <v>#N/A</v>
      </c>
      <c r="G6226" s="74">
        <v>29114</v>
      </c>
      <c r="H6226" s="77">
        <v>0.66666666666666663</v>
      </c>
      <c r="J6226">
        <v>73.039999999999992</v>
      </c>
      <c r="M6226" s="74">
        <v>37880</v>
      </c>
      <c r="N6226" s="77">
        <v>0.66666666666666663</v>
      </c>
      <c r="P6226">
        <v>75.2</v>
      </c>
      <c r="S6226" s="74">
        <v>34958</v>
      </c>
      <c r="T6226" s="77">
        <v>0.66666666666666663</v>
      </c>
      <c r="V6226">
        <v>66.92</v>
      </c>
      <c r="X6226" s="42"/>
      <c r="AB6226">
        <v>73.8</v>
      </c>
      <c r="AC6226">
        <v>75.02</v>
      </c>
      <c r="AE6226" s="74"/>
      <c r="AF6226" s="77"/>
      <c r="AH6226" s="497">
        <v>64.400000000000006</v>
      </c>
      <c r="AJ6226" s="42"/>
      <c r="AK6226" s="74"/>
      <c r="AL6226" s="77"/>
      <c r="AN6226" s="497">
        <v>64.94</v>
      </c>
      <c r="AP6226" s="42"/>
      <c r="AQ6226" s="74"/>
      <c r="AR6226" s="77"/>
      <c r="AT6226" s="497">
        <v>60.08</v>
      </c>
      <c r="AV6226" s="42"/>
      <c r="AW6226" s="74"/>
      <c r="AX6226" s="77"/>
      <c r="BA6226" s="497">
        <v>57.019999999999996</v>
      </c>
      <c r="BB6226" s="42"/>
      <c r="BC6226" s="74"/>
      <c r="BD6226" s="77"/>
      <c r="BF6226">
        <v>80.06</v>
      </c>
      <c r="BH6226" s="42"/>
      <c r="BI6226" s="74"/>
      <c r="BJ6226" s="77"/>
      <c r="BL6226" s="497">
        <v>64.94</v>
      </c>
      <c r="BN6226" s="42"/>
      <c r="BO6226" s="74"/>
      <c r="BP6226" s="77"/>
      <c r="BR6226" s="497">
        <v>71.960000000000008</v>
      </c>
      <c r="BT6226" s="42"/>
    </row>
    <row r="6227" spans="1:72" x14ac:dyDescent="0.25">
      <c r="A6227" s="90">
        <v>34958</v>
      </c>
      <c r="B6227" s="20">
        <v>0.70833333333333337</v>
      </c>
      <c r="D6227">
        <v>71.960000000000008</v>
      </c>
      <c r="E6227" t="str">
        <f t="shared" ref="E6227:E6290" si="230">IF(COUNTIF($DI$18:$DI$22, WEEKDAY(A6227))=1, "WEEKDAY", IF(WEEKDAY(A6227) = 1, "SUNDAY", "SATURDAY"))</f>
        <v>SATURDAY</v>
      </c>
      <c r="F6227" t="e">
        <f t="shared" si="229"/>
        <v>#N/A</v>
      </c>
      <c r="G6227" s="74">
        <v>29114</v>
      </c>
      <c r="H6227" s="77">
        <v>0.70833333333333337</v>
      </c>
      <c r="J6227">
        <v>71.78</v>
      </c>
      <c r="M6227" s="74">
        <v>37880</v>
      </c>
      <c r="N6227" s="77">
        <v>0.70833333333333337</v>
      </c>
      <c r="P6227">
        <v>73.400000000000006</v>
      </c>
      <c r="S6227" s="74">
        <v>34958</v>
      </c>
      <c r="T6227" s="77">
        <v>0.70833333333333337</v>
      </c>
      <c r="V6227">
        <v>66.02</v>
      </c>
      <c r="X6227" s="42"/>
      <c r="AB6227">
        <v>73.099999999999994</v>
      </c>
      <c r="AC6227">
        <v>73.94</v>
      </c>
      <c r="AE6227" s="74"/>
      <c r="AF6227" s="77"/>
      <c r="AH6227" s="497">
        <v>66.2</v>
      </c>
      <c r="AJ6227" s="42"/>
      <c r="AK6227" s="74"/>
      <c r="AL6227" s="77"/>
      <c r="AN6227" s="497">
        <v>64.22</v>
      </c>
      <c r="AP6227" s="42"/>
      <c r="AQ6227" s="74"/>
      <c r="AR6227" s="77"/>
      <c r="AT6227" s="497">
        <v>59</v>
      </c>
      <c r="AV6227" s="42"/>
      <c r="AW6227" s="74"/>
      <c r="AX6227" s="77"/>
      <c r="BA6227" s="497">
        <v>55.040000000000006</v>
      </c>
      <c r="BB6227" s="42"/>
      <c r="BC6227" s="74"/>
      <c r="BD6227" s="77"/>
      <c r="BF6227">
        <v>78.98</v>
      </c>
      <c r="BH6227" s="42"/>
      <c r="BI6227" s="74"/>
      <c r="BJ6227" s="77"/>
      <c r="BL6227" s="497">
        <v>64.039999999999992</v>
      </c>
      <c r="BN6227" s="42"/>
      <c r="BO6227" s="74"/>
      <c r="BP6227" s="77"/>
      <c r="BR6227" s="497">
        <v>68.36</v>
      </c>
      <c r="BT6227" s="42"/>
    </row>
    <row r="6228" spans="1:72" x14ac:dyDescent="0.25">
      <c r="A6228" s="90">
        <v>34958</v>
      </c>
      <c r="B6228" s="20">
        <v>0.75</v>
      </c>
      <c r="D6228">
        <v>69.080000000000013</v>
      </c>
      <c r="E6228" t="str">
        <f t="shared" si="230"/>
        <v>SATURDAY</v>
      </c>
      <c r="F6228" t="e">
        <f t="shared" si="229"/>
        <v>#N/A</v>
      </c>
      <c r="G6228" s="74">
        <v>29114</v>
      </c>
      <c r="H6228" s="77">
        <v>0.75</v>
      </c>
      <c r="J6228">
        <v>70.34</v>
      </c>
      <c r="M6228" s="74">
        <v>37880</v>
      </c>
      <c r="N6228" s="77">
        <v>0.75</v>
      </c>
      <c r="P6228">
        <v>69.800000000000011</v>
      </c>
      <c r="S6228" s="74">
        <v>34958</v>
      </c>
      <c r="T6228" s="77">
        <v>0.75</v>
      </c>
      <c r="V6228">
        <v>66.02</v>
      </c>
      <c r="X6228" s="42"/>
      <c r="AB6228">
        <v>71.7</v>
      </c>
      <c r="AC6228">
        <v>71.06</v>
      </c>
      <c r="AE6228" s="74"/>
      <c r="AF6228" s="77"/>
      <c r="AH6228" s="497">
        <v>64.400000000000006</v>
      </c>
      <c r="AJ6228" s="42"/>
      <c r="AK6228" s="74"/>
      <c r="AL6228" s="77"/>
      <c r="AN6228" s="497">
        <v>63.680000000000007</v>
      </c>
      <c r="AP6228" s="42"/>
      <c r="AQ6228" s="74"/>
      <c r="AR6228" s="77"/>
      <c r="AT6228" s="497">
        <v>55.94</v>
      </c>
      <c r="AV6228" s="42"/>
      <c r="AW6228" s="74"/>
      <c r="AX6228" s="77"/>
      <c r="BA6228" s="497">
        <v>55.040000000000006</v>
      </c>
      <c r="BB6228" s="42"/>
      <c r="BC6228" s="74"/>
      <c r="BD6228" s="77"/>
      <c r="BF6228">
        <v>77</v>
      </c>
      <c r="BH6228" s="42"/>
      <c r="BI6228" s="74"/>
      <c r="BJ6228" s="77"/>
      <c r="BL6228" s="497">
        <v>60.08</v>
      </c>
      <c r="BN6228" s="42"/>
      <c r="BO6228" s="74"/>
      <c r="BP6228" s="77"/>
      <c r="BR6228" s="497">
        <v>64.580000000000013</v>
      </c>
      <c r="BT6228" s="42"/>
    </row>
    <row r="6229" spans="1:72" x14ac:dyDescent="0.25">
      <c r="A6229" s="90">
        <v>34958</v>
      </c>
      <c r="B6229" s="20">
        <v>0.79166666666666663</v>
      </c>
      <c r="D6229">
        <v>66.92</v>
      </c>
      <c r="E6229" t="str">
        <f t="shared" si="230"/>
        <v>SATURDAY</v>
      </c>
      <c r="F6229" t="e">
        <f t="shared" si="229"/>
        <v>#N/A</v>
      </c>
      <c r="G6229" s="74">
        <v>29114</v>
      </c>
      <c r="H6229" s="77">
        <v>0.79166666666666663</v>
      </c>
      <c r="J6229">
        <v>69.080000000000013</v>
      </c>
      <c r="M6229" s="74">
        <v>37880</v>
      </c>
      <c r="N6229" s="77">
        <v>0.79166666666666663</v>
      </c>
      <c r="P6229">
        <v>64.400000000000006</v>
      </c>
      <c r="S6229" s="74">
        <v>34958</v>
      </c>
      <c r="T6229" s="77">
        <v>0.79166666666666663</v>
      </c>
      <c r="V6229">
        <v>66.02</v>
      </c>
      <c r="X6229" s="42"/>
      <c r="AB6229">
        <v>70.099999999999994</v>
      </c>
      <c r="AC6229">
        <v>71.06</v>
      </c>
      <c r="AE6229" s="74"/>
      <c r="AF6229" s="77"/>
      <c r="AH6229" s="497">
        <v>62.6</v>
      </c>
      <c r="AJ6229" s="42"/>
      <c r="AK6229" s="74"/>
      <c r="AL6229" s="77"/>
      <c r="AN6229" s="497">
        <v>62.96</v>
      </c>
      <c r="AP6229" s="42"/>
      <c r="AQ6229" s="74"/>
      <c r="AR6229" s="77"/>
      <c r="AT6229" s="497">
        <v>55.040000000000006</v>
      </c>
      <c r="AV6229" s="42"/>
      <c r="AW6229" s="74"/>
      <c r="AX6229" s="77"/>
      <c r="BA6229" s="497">
        <v>55.040000000000006</v>
      </c>
      <c r="BB6229" s="42"/>
      <c r="BC6229" s="74"/>
      <c r="BD6229" s="77"/>
      <c r="BF6229">
        <v>75.02</v>
      </c>
      <c r="BH6229" s="42"/>
      <c r="BI6229" s="74"/>
      <c r="BJ6229" s="77"/>
      <c r="BL6229" s="497">
        <v>57.92</v>
      </c>
      <c r="BN6229" s="42"/>
      <c r="BO6229" s="74"/>
      <c r="BP6229" s="77"/>
      <c r="BR6229" s="497">
        <v>60.980000000000004</v>
      </c>
      <c r="BT6229" s="42"/>
    </row>
    <row r="6230" spans="1:72" x14ac:dyDescent="0.25">
      <c r="A6230" s="90">
        <v>34958</v>
      </c>
      <c r="B6230" s="20">
        <v>0.83333333333333337</v>
      </c>
      <c r="D6230">
        <v>66.92</v>
      </c>
      <c r="E6230" t="str">
        <f t="shared" si="230"/>
        <v>SATURDAY</v>
      </c>
      <c r="F6230" t="e">
        <f t="shared" si="229"/>
        <v>#N/A</v>
      </c>
      <c r="G6230" s="74">
        <v>29114</v>
      </c>
      <c r="H6230" s="77">
        <v>0.83333333333333337</v>
      </c>
      <c r="J6230">
        <v>68</v>
      </c>
      <c r="M6230" s="74">
        <v>37880</v>
      </c>
      <c r="N6230" s="77">
        <v>0.83333333333333337</v>
      </c>
      <c r="P6230">
        <v>62.6</v>
      </c>
      <c r="S6230" s="74">
        <v>34958</v>
      </c>
      <c r="T6230" s="77">
        <v>0.83333333333333337</v>
      </c>
      <c r="V6230">
        <v>66.02</v>
      </c>
      <c r="X6230" s="42"/>
      <c r="AB6230">
        <v>69</v>
      </c>
      <c r="AC6230">
        <v>69.080000000000013</v>
      </c>
      <c r="AE6230" s="74"/>
      <c r="AF6230" s="77"/>
      <c r="AH6230" s="497">
        <v>62.6</v>
      </c>
      <c r="AJ6230" s="42"/>
      <c r="AK6230" s="74"/>
      <c r="AL6230" s="77"/>
      <c r="AN6230" s="497">
        <v>62.96</v>
      </c>
      <c r="AP6230" s="42"/>
      <c r="AQ6230" s="74"/>
      <c r="AR6230" s="77"/>
      <c r="AT6230" s="497">
        <v>51.980000000000004</v>
      </c>
      <c r="AV6230" s="42"/>
      <c r="AW6230" s="74"/>
      <c r="AX6230" s="77"/>
      <c r="BA6230" s="497">
        <v>53.96</v>
      </c>
      <c r="BB6230" s="42"/>
      <c r="BC6230" s="74"/>
      <c r="BD6230" s="77"/>
      <c r="BF6230">
        <v>75.02</v>
      </c>
      <c r="BH6230" s="42"/>
      <c r="BI6230" s="74"/>
      <c r="BJ6230" s="77"/>
      <c r="BL6230" s="497">
        <v>55.040000000000006</v>
      </c>
      <c r="BN6230" s="42"/>
      <c r="BO6230" s="74"/>
      <c r="BP6230" s="77"/>
      <c r="BR6230" s="497">
        <v>60.980000000000004</v>
      </c>
      <c r="BT6230" s="42"/>
    </row>
    <row r="6231" spans="1:72" x14ac:dyDescent="0.25">
      <c r="A6231" s="90">
        <v>34958</v>
      </c>
      <c r="B6231" s="20">
        <v>0.875</v>
      </c>
      <c r="D6231">
        <v>66.02</v>
      </c>
      <c r="E6231" t="str">
        <f t="shared" si="230"/>
        <v>SATURDAY</v>
      </c>
      <c r="F6231" t="e">
        <f t="shared" si="229"/>
        <v>#N/A</v>
      </c>
      <c r="G6231" s="74">
        <v>29114</v>
      </c>
      <c r="H6231" s="77">
        <v>0.875</v>
      </c>
      <c r="J6231">
        <v>67.099999999999994</v>
      </c>
      <c r="M6231" s="74">
        <v>37880</v>
      </c>
      <c r="N6231" s="77">
        <v>0.875</v>
      </c>
      <c r="P6231">
        <v>60.8</v>
      </c>
      <c r="S6231" s="74">
        <v>34958</v>
      </c>
      <c r="T6231" s="77">
        <v>0.875</v>
      </c>
      <c r="V6231">
        <v>68</v>
      </c>
      <c r="X6231" s="42"/>
      <c r="AB6231">
        <v>68.2</v>
      </c>
      <c r="AC6231">
        <v>68</v>
      </c>
      <c r="AE6231" s="74"/>
      <c r="AF6231" s="77"/>
      <c r="AH6231" s="497">
        <v>62.6</v>
      </c>
      <c r="AJ6231" s="42"/>
      <c r="AK6231" s="74"/>
      <c r="AL6231" s="77"/>
      <c r="AN6231" s="497">
        <v>62.96</v>
      </c>
      <c r="AP6231" s="42"/>
      <c r="AQ6231" s="74"/>
      <c r="AR6231" s="77"/>
      <c r="AT6231" s="497">
        <v>51.980000000000004</v>
      </c>
      <c r="AV6231" s="42"/>
      <c r="AW6231" s="74"/>
      <c r="AX6231" s="77"/>
      <c r="BA6231" s="497">
        <v>53.06</v>
      </c>
      <c r="BB6231" s="42"/>
      <c r="BC6231" s="74"/>
      <c r="BD6231" s="77"/>
      <c r="BF6231">
        <v>75.02</v>
      </c>
      <c r="BH6231" s="42"/>
      <c r="BI6231" s="74"/>
      <c r="BJ6231" s="77"/>
      <c r="BL6231" s="497">
        <v>51.980000000000004</v>
      </c>
      <c r="BN6231" s="42"/>
      <c r="BO6231" s="74"/>
      <c r="BP6231" s="77"/>
      <c r="BR6231" s="497">
        <v>60.980000000000004</v>
      </c>
      <c r="BT6231" s="42"/>
    </row>
    <row r="6232" spans="1:72" x14ac:dyDescent="0.25">
      <c r="A6232" s="90">
        <v>34958</v>
      </c>
      <c r="B6232" s="20">
        <v>0.91666666666666663</v>
      </c>
      <c r="D6232">
        <v>66.02</v>
      </c>
      <c r="E6232" t="str">
        <f t="shared" si="230"/>
        <v>SATURDAY</v>
      </c>
      <c r="F6232" t="e">
        <f t="shared" si="229"/>
        <v>#N/A</v>
      </c>
      <c r="G6232" s="74">
        <v>29114</v>
      </c>
      <c r="H6232" s="77">
        <v>0.91666666666666663</v>
      </c>
      <c r="J6232">
        <v>66.02</v>
      </c>
      <c r="M6232" s="74">
        <v>37880</v>
      </c>
      <c r="N6232" s="77">
        <v>0.91666666666666663</v>
      </c>
      <c r="P6232">
        <v>60.8</v>
      </c>
      <c r="S6232" s="74">
        <v>34958</v>
      </c>
      <c r="T6232" s="77">
        <v>0.91666666666666663</v>
      </c>
      <c r="V6232">
        <v>68</v>
      </c>
      <c r="X6232" s="42"/>
      <c r="AB6232">
        <v>67.7</v>
      </c>
      <c r="AC6232">
        <v>69.080000000000013</v>
      </c>
      <c r="AE6232" s="74"/>
      <c r="AF6232" s="77"/>
      <c r="AH6232" s="497">
        <v>62.6</v>
      </c>
      <c r="AJ6232" s="42"/>
      <c r="AK6232" s="74"/>
      <c r="AL6232" s="77"/>
      <c r="AN6232" s="497">
        <v>62.96</v>
      </c>
      <c r="AP6232" s="42"/>
      <c r="AQ6232" s="74"/>
      <c r="AR6232" s="77"/>
      <c r="AT6232" s="497">
        <v>53.06</v>
      </c>
      <c r="AV6232" s="42"/>
      <c r="AW6232" s="74"/>
      <c r="AX6232" s="77"/>
      <c r="BA6232" s="497">
        <v>53.06</v>
      </c>
      <c r="BB6232" s="42"/>
      <c r="BC6232" s="74"/>
      <c r="BD6232" s="77"/>
      <c r="BF6232">
        <v>75.02</v>
      </c>
      <c r="BH6232" s="42"/>
      <c r="BI6232" s="74"/>
      <c r="BJ6232" s="77"/>
      <c r="BL6232" s="497">
        <v>51.08</v>
      </c>
      <c r="BN6232" s="42"/>
      <c r="BO6232" s="74"/>
      <c r="BP6232" s="77"/>
      <c r="BR6232" s="497">
        <v>60.980000000000004</v>
      </c>
      <c r="BT6232" s="42"/>
    </row>
    <row r="6233" spans="1:72" x14ac:dyDescent="0.25">
      <c r="A6233" s="90">
        <v>34958</v>
      </c>
      <c r="B6233" s="20">
        <v>0.95833333333333337</v>
      </c>
      <c r="D6233">
        <v>64.94</v>
      </c>
      <c r="E6233" t="str">
        <f t="shared" si="230"/>
        <v>SATURDAY</v>
      </c>
      <c r="F6233" t="e">
        <f t="shared" si="229"/>
        <v>#N/A</v>
      </c>
      <c r="G6233" s="74">
        <v>29114</v>
      </c>
      <c r="H6233" s="77">
        <v>0.95833333333333337</v>
      </c>
      <c r="J6233">
        <v>65.300000000000011</v>
      </c>
      <c r="M6233" s="74">
        <v>37880</v>
      </c>
      <c r="N6233" s="77">
        <v>0.95833333333333337</v>
      </c>
      <c r="P6233">
        <v>60.8</v>
      </c>
      <c r="S6233" s="74">
        <v>34958</v>
      </c>
      <c r="T6233" s="77">
        <v>0.95833333333333337</v>
      </c>
      <c r="V6233">
        <v>68</v>
      </c>
      <c r="X6233" s="42"/>
      <c r="AB6233">
        <v>66.900000000000006</v>
      </c>
      <c r="AC6233">
        <v>69.98</v>
      </c>
      <c r="AE6233" s="74"/>
      <c r="AF6233" s="77"/>
      <c r="AH6233" s="497">
        <v>60.8</v>
      </c>
      <c r="AJ6233" s="42"/>
      <c r="AK6233" s="74"/>
      <c r="AL6233" s="77"/>
      <c r="AN6233" s="497">
        <v>62.96</v>
      </c>
      <c r="AP6233" s="42"/>
      <c r="AQ6233" s="74"/>
      <c r="AR6233" s="77"/>
      <c r="AT6233" s="497">
        <v>51.980000000000004</v>
      </c>
      <c r="AV6233" s="42"/>
      <c r="AW6233" s="74"/>
      <c r="AX6233" s="77"/>
      <c r="BA6233" s="497">
        <v>51.980000000000004</v>
      </c>
      <c r="BB6233" s="42"/>
      <c r="BC6233" s="74"/>
      <c r="BD6233" s="77"/>
      <c r="BF6233">
        <v>75.92</v>
      </c>
      <c r="BH6233" s="42"/>
      <c r="BI6233" s="74"/>
      <c r="BJ6233" s="77"/>
      <c r="BL6233" s="497">
        <v>50</v>
      </c>
      <c r="BN6233" s="42"/>
      <c r="BO6233" s="74"/>
      <c r="BP6233" s="77"/>
      <c r="BR6233" s="497">
        <v>60.980000000000004</v>
      </c>
      <c r="BT6233" s="42"/>
    </row>
    <row r="6234" spans="1:72" x14ac:dyDescent="0.25">
      <c r="A6234" s="90">
        <v>34958</v>
      </c>
      <c r="B6234" s="20">
        <v>1</v>
      </c>
      <c r="D6234">
        <v>64.039999999999992</v>
      </c>
      <c r="E6234" t="str">
        <f t="shared" si="230"/>
        <v>SATURDAY</v>
      </c>
      <c r="F6234" t="e">
        <f t="shared" si="229"/>
        <v>#N/A</v>
      </c>
      <c r="G6234" s="74">
        <v>29114</v>
      </c>
      <c r="H6234" s="77">
        <v>1</v>
      </c>
      <c r="J6234">
        <v>64.759999999999991</v>
      </c>
      <c r="M6234" s="74">
        <v>37880</v>
      </c>
      <c r="N6234" s="80">
        <v>1</v>
      </c>
      <c r="P6234">
        <v>59</v>
      </c>
      <c r="S6234" s="74">
        <v>34958</v>
      </c>
      <c r="T6234" s="80">
        <v>1</v>
      </c>
      <c r="V6234">
        <v>66.92</v>
      </c>
      <c r="X6234" s="42"/>
      <c r="AB6234">
        <v>66.3</v>
      </c>
      <c r="AC6234">
        <v>69.98</v>
      </c>
      <c r="AE6234" s="74"/>
      <c r="AF6234" s="80"/>
      <c r="AH6234" s="497">
        <v>60.8</v>
      </c>
      <c r="AJ6234" s="42"/>
      <c r="AK6234" s="74"/>
      <c r="AL6234" s="80"/>
      <c r="AN6234" s="497">
        <v>62.96</v>
      </c>
      <c r="AP6234" s="42"/>
      <c r="AQ6234" s="74"/>
      <c r="AR6234" s="80"/>
      <c r="AT6234" s="497">
        <v>51.980000000000004</v>
      </c>
      <c r="AV6234" s="42"/>
      <c r="AW6234" s="74"/>
      <c r="AX6234" s="80"/>
      <c r="BA6234" s="497">
        <v>50</v>
      </c>
      <c r="BB6234" s="42"/>
      <c r="BC6234" s="74"/>
      <c r="BD6234" s="80"/>
      <c r="BF6234">
        <v>75.02</v>
      </c>
      <c r="BH6234" s="42"/>
      <c r="BI6234" s="74"/>
      <c r="BJ6234" s="80"/>
      <c r="BL6234" s="497">
        <v>48.92</v>
      </c>
      <c r="BN6234" s="42"/>
      <c r="BO6234" s="74"/>
      <c r="BP6234" s="80"/>
      <c r="BR6234" s="497">
        <v>60.980000000000004</v>
      </c>
      <c r="BT6234" s="42"/>
    </row>
    <row r="6235" spans="1:72" x14ac:dyDescent="0.25">
      <c r="A6235" s="90">
        <v>34959</v>
      </c>
      <c r="B6235" s="20">
        <v>4.1666666666666664E-2</v>
      </c>
      <c r="D6235">
        <v>64.039999999999992</v>
      </c>
      <c r="E6235" t="str">
        <f t="shared" si="230"/>
        <v>SUNDAY</v>
      </c>
      <c r="F6235" t="e">
        <f t="shared" si="229"/>
        <v>#N/A</v>
      </c>
      <c r="G6235" s="74">
        <v>29115</v>
      </c>
      <c r="H6235" s="77">
        <v>4.1666666666666664E-2</v>
      </c>
      <c r="J6235">
        <v>64.039999999999992</v>
      </c>
      <c r="M6235" s="74">
        <v>37881</v>
      </c>
      <c r="N6235" s="77">
        <v>4.1666666666666664E-2</v>
      </c>
      <c r="P6235">
        <v>57.2</v>
      </c>
      <c r="S6235" s="74">
        <v>34959</v>
      </c>
      <c r="T6235" s="77">
        <v>4.1666666666666664E-2</v>
      </c>
      <c r="V6235">
        <v>66.92</v>
      </c>
      <c r="X6235" s="42"/>
      <c r="AB6235">
        <v>65.5</v>
      </c>
      <c r="AC6235">
        <v>68</v>
      </c>
      <c r="AE6235" s="74"/>
      <c r="AF6235" s="77"/>
      <c r="AH6235" s="497">
        <v>60.8</v>
      </c>
      <c r="AJ6235" s="42"/>
      <c r="AK6235" s="74"/>
      <c r="AL6235" s="77"/>
      <c r="AN6235" s="497">
        <v>62.96</v>
      </c>
      <c r="AP6235" s="42"/>
      <c r="AQ6235" s="74"/>
      <c r="AR6235" s="77"/>
      <c r="AT6235" s="497">
        <v>50</v>
      </c>
      <c r="AV6235" s="42"/>
      <c r="AW6235" s="74"/>
      <c r="AX6235" s="77"/>
      <c r="BA6235" s="497">
        <v>50</v>
      </c>
      <c r="BB6235" s="42"/>
      <c r="BC6235" s="74"/>
      <c r="BD6235" s="77"/>
      <c r="BF6235">
        <v>75.02</v>
      </c>
      <c r="BH6235" s="42"/>
      <c r="BI6235" s="74"/>
      <c r="BJ6235" s="77"/>
      <c r="BL6235" s="497">
        <v>46.94</v>
      </c>
      <c r="BN6235" s="42"/>
      <c r="BO6235" s="74"/>
      <c r="BP6235" s="77"/>
      <c r="BR6235" s="497">
        <v>60.980000000000004</v>
      </c>
      <c r="BT6235" s="42"/>
    </row>
    <row r="6236" spans="1:72" x14ac:dyDescent="0.25">
      <c r="A6236" s="90">
        <v>34959</v>
      </c>
      <c r="B6236" s="20">
        <v>8.3333333333333329E-2</v>
      </c>
      <c r="D6236">
        <v>62.96</v>
      </c>
      <c r="E6236" t="str">
        <f t="shared" si="230"/>
        <v>SUNDAY</v>
      </c>
      <c r="F6236" t="e">
        <f t="shared" si="229"/>
        <v>#N/A</v>
      </c>
      <c r="G6236" s="74">
        <v>29115</v>
      </c>
      <c r="H6236" s="77">
        <v>8.3333333333333329E-2</v>
      </c>
      <c r="J6236">
        <v>63.680000000000007</v>
      </c>
      <c r="M6236" s="74">
        <v>37881</v>
      </c>
      <c r="N6236" s="77">
        <v>8.3333333333333329E-2</v>
      </c>
      <c r="P6236">
        <v>57.2</v>
      </c>
      <c r="S6236" s="74">
        <v>34959</v>
      </c>
      <c r="T6236" s="77">
        <v>8.3333333333333329E-2</v>
      </c>
      <c r="V6236">
        <v>66.92</v>
      </c>
      <c r="X6236" s="42"/>
      <c r="AB6236">
        <v>64.900000000000006</v>
      </c>
      <c r="AC6236">
        <v>66.92</v>
      </c>
      <c r="AE6236" s="74"/>
      <c r="AF6236" s="77"/>
      <c r="AH6236" s="497">
        <v>60.8</v>
      </c>
      <c r="AJ6236" s="42"/>
      <c r="AK6236" s="74"/>
      <c r="AL6236" s="77"/>
      <c r="AN6236" s="497">
        <v>62.6</v>
      </c>
      <c r="AP6236" s="42"/>
      <c r="AQ6236" s="74"/>
      <c r="AR6236" s="77"/>
      <c r="AT6236" s="497">
        <v>48.92</v>
      </c>
      <c r="AV6236" s="42"/>
      <c r="AW6236" s="74"/>
      <c r="AX6236" s="77"/>
      <c r="BA6236" s="497">
        <v>50</v>
      </c>
      <c r="BB6236" s="42"/>
      <c r="BC6236" s="74"/>
      <c r="BD6236" s="77"/>
      <c r="BF6236">
        <v>75.02</v>
      </c>
      <c r="BH6236" s="42"/>
      <c r="BI6236" s="74"/>
      <c r="BJ6236" s="77"/>
      <c r="BL6236" s="497">
        <v>46.94</v>
      </c>
      <c r="BN6236" s="42"/>
      <c r="BO6236" s="74"/>
      <c r="BP6236" s="77"/>
      <c r="BR6236" s="497">
        <v>61.7</v>
      </c>
      <c r="BT6236" s="42"/>
    </row>
    <row r="6237" spans="1:72" x14ac:dyDescent="0.25">
      <c r="A6237" s="90">
        <v>34959</v>
      </c>
      <c r="B6237" s="20">
        <v>0.125</v>
      </c>
      <c r="D6237">
        <v>62.96</v>
      </c>
      <c r="E6237" t="str">
        <f t="shared" si="230"/>
        <v>SUNDAY</v>
      </c>
      <c r="F6237" t="e">
        <f t="shared" si="229"/>
        <v>#N/A</v>
      </c>
      <c r="G6237" s="74">
        <v>29115</v>
      </c>
      <c r="H6237" s="77">
        <v>0.125</v>
      </c>
      <c r="J6237">
        <v>63.319999999999993</v>
      </c>
      <c r="M6237" s="74">
        <v>37881</v>
      </c>
      <c r="N6237" s="77">
        <v>0.125</v>
      </c>
      <c r="P6237">
        <v>57.2</v>
      </c>
      <c r="S6237" s="74">
        <v>34959</v>
      </c>
      <c r="T6237" s="77">
        <v>0.125</v>
      </c>
      <c r="V6237">
        <v>68</v>
      </c>
      <c r="X6237" s="42"/>
      <c r="AB6237">
        <v>64.2</v>
      </c>
      <c r="AC6237">
        <v>66.02</v>
      </c>
      <c r="AE6237" s="74"/>
      <c r="AF6237" s="77"/>
      <c r="AH6237" s="497">
        <v>60.8</v>
      </c>
      <c r="AJ6237" s="42"/>
      <c r="AK6237" s="74"/>
      <c r="AL6237" s="77"/>
      <c r="AN6237" s="497">
        <v>62.42</v>
      </c>
      <c r="AP6237" s="42"/>
      <c r="AQ6237" s="74"/>
      <c r="AR6237" s="77"/>
      <c r="AT6237" s="497">
        <v>44.96</v>
      </c>
      <c r="AV6237" s="42"/>
      <c r="AW6237" s="74"/>
      <c r="AX6237" s="77"/>
      <c r="BA6237" s="497">
        <v>51.08</v>
      </c>
      <c r="BB6237" s="42"/>
      <c r="BC6237" s="74"/>
      <c r="BD6237" s="77"/>
      <c r="BF6237">
        <v>75.02</v>
      </c>
      <c r="BH6237" s="42"/>
      <c r="BI6237" s="74"/>
      <c r="BJ6237" s="77"/>
      <c r="BL6237" s="497">
        <v>44.96</v>
      </c>
      <c r="BN6237" s="42"/>
      <c r="BO6237" s="74"/>
      <c r="BP6237" s="77"/>
      <c r="BR6237" s="497">
        <v>62.24</v>
      </c>
      <c r="BT6237" s="42"/>
    </row>
    <row r="6238" spans="1:72" x14ac:dyDescent="0.25">
      <c r="A6238" s="90">
        <v>34959</v>
      </c>
      <c r="B6238" s="20">
        <v>0.16666666666666666</v>
      </c>
      <c r="D6238">
        <v>62.06</v>
      </c>
      <c r="E6238" t="str">
        <f t="shared" si="230"/>
        <v>SUNDAY</v>
      </c>
      <c r="F6238" t="e">
        <f t="shared" si="229"/>
        <v>#N/A</v>
      </c>
      <c r="G6238" s="74">
        <v>29115</v>
      </c>
      <c r="H6238" s="77">
        <v>0.16666666666666666</v>
      </c>
      <c r="J6238">
        <v>62.96</v>
      </c>
      <c r="M6238" s="74">
        <v>37881</v>
      </c>
      <c r="N6238" s="77">
        <v>0.16666666666666666</v>
      </c>
      <c r="P6238">
        <v>55.400000000000006</v>
      </c>
      <c r="S6238" s="74">
        <v>34959</v>
      </c>
      <c r="T6238" s="77">
        <v>0.16666666666666666</v>
      </c>
      <c r="V6238">
        <v>66.92</v>
      </c>
      <c r="X6238" s="42"/>
      <c r="AB6238">
        <v>63.6</v>
      </c>
      <c r="AC6238">
        <v>66.02</v>
      </c>
      <c r="AE6238" s="74"/>
      <c r="AF6238" s="77"/>
      <c r="AH6238" s="497">
        <v>60.8</v>
      </c>
      <c r="AJ6238" s="42"/>
      <c r="AK6238" s="74"/>
      <c r="AL6238" s="77"/>
      <c r="AN6238" s="497">
        <v>62.06</v>
      </c>
      <c r="AP6238" s="42"/>
      <c r="AQ6238" s="74"/>
      <c r="AR6238" s="77"/>
      <c r="AT6238" s="497">
        <v>46.04</v>
      </c>
      <c r="AV6238" s="42"/>
      <c r="AW6238" s="74"/>
      <c r="AX6238" s="77"/>
      <c r="BA6238" s="497">
        <v>51.08</v>
      </c>
      <c r="BB6238" s="42"/>
      <c r="BC6238" s="74"/>
      <c r="BD6238" s="77"/>
      <c r="BF6238">
        <v>73.94</v>
      </c>
      <c r="BH6238" s="42"/>
      <c r="BI6238" s="74"/>
      <c r="BJ6238" s="77"/>
      <c r="BL6238" s="497">
        <v>44.96</v>
      </c>
      <c r="BN6238" s="42"/>
      <c r="BO6238" s="74"/>
      <c r="BP6238" s="77"/>
      <c r="BR6238" s="497">
        <v>62.96</v>
      </c>
      <c r="BT6238" s="42"/>
    </row>
    <row r="6239" spans="1:72" x14ac:dyDescent="0.25">
      <c r="A6239" s="90">
        <v>34959</v>
      </c>
      <c r="B6239" s="20">
        <v>0.20833333333333334</v>
      </c>
      <c r="D6239">
        <v>62.06</v>
      </c>
      <c r="E6239" t="str">
        <f t="shared" si="230"/>
        <v>SUNDAY</v>
      </c>
      <c r="F6239" t="e">
        <f t="shared" si="229"/>
        <v>#N/A</v>
      </c>
      <c r="G6239" s="74">
        <v>29115</v>
      </c>
      <c r="H6239" s="77">
        <v>0.20833333333333334</v>
      </c>
      <c r="J6239">
        <v>63.319999999999993</v>
      </c>
      <c r="M6239" s="74">
        <v>37881</v>
      </c>
      <c r="N6239" s="77">
        <v>0.20833333333333334</v>
      </c>
      <c r="P6239">
        <v>55.400000000000006</v>
      </c>
      <c r="S6239" s="74">
        <v>34959</v>
      </c>
      <c r="T6239" s="77">
        <v>0.20833333333333334</v>
      </c>
      <c r="V6239">
        <v>64.039999999999992</v>
      </c>
      <c r="X6239" s="42"/>
      <c r="AB6239">
        <v>63.3</v>
      </c>
      <c r="AC6239">
        <v>66.92</v>
      </c>
      <c r="AE6239" s="74"/>
      <c r="AF6239" s="77"/>
      <c r="AH6239" s="497">
        <v>60.8</v>
      </c>
      <c r="AJ6239" s="42"/>
      <c r="AK6239" s="74"/>
      <c r="AL6239" s="77"/>
      <c r="AN6239" s="497">
        <v>62.06</v>
      </c>
      <c r="AP6239" s="42"/>
      <c r="AQ6239" s="74"/>
      <c r="AR6239" s="77"/>
      <c r="AT6239" s="497">
        <v>44.06</v>
      </c>
      <c r="AV6239" s="42"/>
      <c r="AW6239" s="74"/>
      <c r="AX6239" s="77"/>
      <c r="BA6239" s="497">
        <v>53.06</v>
      </c>
      <c r="BB6239" s="42"/>
      <c r="BC6239" s="74"/>
      <c r="BD6239" s="77"/>
      <c r="BF6239">
        <v>73.039999999999992</v>
      </c>
      <c r="BH6239" s="42"/>
      <c r="BI6239" s="74"/>
      <c r="BJ6239" s="77"/>
      <c r="BL6239" s="497">
        <v>46.04</v>
      </c>
      <c r="BN6239" s="42"/>
      <c r="BO6239" s="74"/>
      <c r="BP6239" s="77"/>
      <c r="BR6239" s="497">
        <v>62.96</v>
      </c>
      <c r="BT6239" s="42"/>
    </row>
    <row r="6240" spans="1:72" x14ac:dyDescent="0.25">
      <c r="A6240" s="90">
        <v>34959</v>
      </c>
      <c r="B6240" s="20">
        <v>0.25</v>
      </c>
      <c r="D6240">
        <v>60.980000000000004</v>
      </c>
      <c r="E6240" t="str">
        <f t="shared" si="230"/>
        <v>SUNDAY</v>
      </c>
      <c r="F6240" t="e">
        <f t="shared" si="229"/>
        <v>#N/A</v>
      </c>
      <c r="G6240" s="74">
        <v>29115</v>
      </c>
      <c r="H6240" s="77">
        <v>0.25</v>
      </c>
      <c r="J6240">
        <v>63.680000000000007</v>
      </c>
      <c r="M6240" s="74">
        <v>37881</v>
      </c>
      <c r="N6240" s="77">
        <v>0.25</v>
      </c>
      <c r="P6240">
        <v>57.2</v>
      </c>
      <c r="S6240" s="74">
        <v>34959</v>
      </c>
      <c r="T6240" s="77">
        <v>0.25</v>
      </c>
      <c r="V6240">
        <v>62.06</v>
      </c>
      <c r="X6240" s="42"/>
      <c r="AB6240">
        <v>63</v>
      </c>
      <c r="AC6240">
        <v>66.92</v>
      </c>
      <c r="AE6240" s="74"/>
      <c r="AF6240" s="77"/>
      <c r="AH6240" s="497">
        <v>60.8</v>
      </c>
      <c r="AJ6240" s="42"/>
      <c r="AK6240" s="74"/>
      <c r="AL6240" s="77"/>
      <c r="AN6240" s="497">
        <v>62.06</v>
      </c>
      <c r="AP6240" s="42"/>
      <c r="AQ6240" s="74"/>
      <c r="AR6240" s="77"/>
      <c r="AT6240" s="497">
        <v>42.980000000000004</v>
      </c>
      <c r="AV6240" s="42"/>
      <c r="AW6240" s="74"/>
      <c r="AX6240" s="77"/>
      <c r="BA6240" s="497">
        <v>53.06</v>
      </c>
      <c r="BB6240" s="42"/>
      <c r="BC6240" s="74"/>
      <c r="BD6240" s="77"/>
      <c r="BF6240">
        <v>71.960000000000008</v>
      </c>
      <c r="BH6240" s="42"/>
      <c r="BI6240" s="74"/>
      <c r="BJ6240" s="77"/>
      <c r="BL6240" s="497">
        <v>46.04</v>
      </c>
      <c r="BN6240" s="42"/>
      <c r="BO6240" s="74"/>
      <c r="BP6240" s="77"/>
      <c r="BR6240" s="497">
        <v>62.96</v>
      </c>
      <c r="BT6240" s="42"/>
    </row>
    <row r="6241" spans="1:72" x14ac:dyDescent="0.25">
      <c r="A6241" s="90">
        <v>34959</v>
      </c>
      <c r="B6241" s="20">
        <v>0.29166666666666669</v>
      </c>
      <c r="D6241">
        <v>60.980000000000004</v>
      </c>
      <c r="E6241" t="str">
        <f t="shared" si="230"/>
        <v>SUNDAY</v>
      </c>
      <c r="F6241" t="e">
        <f t="shared" si="229"/>
        <v>#N/A</v>
      </c>
      <c r="G6241" s="74">
        <v>29115</v>
      </c>
      <c r="H6241" s="77">
        <v>0.29166666666666669</v>
      </c>
      <c r="J6241">
        <v>64.039999999999992</v>
      </c>
      <c r="M6241" s="74">
        <v>37881</v>
      </c>
      <c r="N6241" s="77">
        <v>0.29166666666666669</v>
      </c>
      <c r="P6241">
        <v>62.6</v>
      </c>
      <c r="S6241" s="74">
        <v>34959</v>
      </c>
      <c r="T6241" s="77">
        <v>0.29166666666666669</v>
      </c>
      <c r="V6241">
        <v>62.06</v>
      </c>
      <c r="X6241" s="42"/>
      <c r="AB6241">
        <v>62.9</v>
      </c>
      <c r="AC6241">
        <v>69.080000000000013</v>
      </c>
      <c r="AE6241" s="74"/>
      <c r="AF6241" s="77"/>
      <c r="AH6241" s="497">
        <v>60.8</v>
      </c>
      <c r="AJ6241" s="42"/>
      <c r="AK6241" s="74"/>
      <c r="AL6241" s="77"/>
      <c r="AN6241" s="497">
        <v>62.06</v>
      </c>
      <c r="AP6241" s="42"/>
      <c r="AQ6241" s="74"/>
      <c r="AR6241" s="77"/>
      <c r="AT6241" s="497">
        <v>46.04</v>
      </c>
      <c r="AV6241" s="42"/>
      <c r="AW6241" s="74"/>
      <c r="AX6241" s="77"/>
      <c r="BA6241" s="497">
        <v>53.06</v>
      </c>
      <c r="BB6241" s="42"/>
      <c r="BC6241" s="74"/>
      <c r="BD6241" s="77"/>
      <c r="BF6241">
        <v>71.960000000000008</v>
      </c>
      <c r="BH6241" s="42"/>
      <c r="BI6241" s="74"/>
      <c r="BJ6241" s="77"/>
      <c r="BL6241" s="497">
        <v>46.04</v>
      </c>
      <c r="BN6241" s="42"/>
      <c r="BO6241" s="74"/>
      <c r="BP6241" s="77"/>
      <c r="BR6241" s="497">
        <v>62.96</v>
      </c>
      <c r="BT6241" s="42"/>
    </row>
    <row r="6242" spans="1:72" x14ac:dyDescent="0.25">
      <c r="A6242" s="90">
        <v>34959</v>
      </c>
      <c r="B6242" s="20">
        <v>0.33333333333333331</v>
      </c>
      <c r="D6242">
        <v>62.96</v>
      </c>
      <c r="E6242" t="str">
        <f t="shared" si="230"/>
        <v>SUNDAY</v>
      </c>
      <c r="F6242" t="e">
        <f t="shared" si="229"/>
        <v>#N/A</v>
      </c>
      <c r="G6242" s="74">
        <v>29115</v>
      </c>
      <c r="H6242" s="77">
        <v>0.33333333333333331</v>
      </c>
      <c r="J6242">
        <v>67.099999999999994</v>
      </c>
      <c r="M6242" s="74">
        <v>37881</v>
      </c>
      <c r="N6242" s="77">
        <v>0.33333333333333331</v>
      </c>
      <c r="P6242">
        <v>64.400000000000006</v>
      </c>
      <c r="S6242" s="74">
        <v>34959</v>
      </c>
      <c r="T6242" s="77">
        <v>0.33333333333333331</v>
      </c>
      <c r="V6242">
        <v>62.06</v>
      </c>
      <c r="X6242" s="42"/>
      <c r="AB6242">
        <v>64.8</v>
      </c>
      <c r="AC6242">
        <v>71.06</v>
      </c>
      <c r="AE6242" s="74"/>
      <c r="AF6242" s="77"/>
      <c r="AH6242" s="497">
        <v>60.8</v>
      </c>
      <c r="AJ6242" s="42"/>
      <c r="AK6242" s="74"/>
      <c r="AL6242" s="77"/>
      <c r="AN6242" s="497">
        <v>63.319999999999993</v>
      </c>
      <c r="AP6242" s="42"/>
      <c r="AQ6242" s="74"/>
      <c r="AR6242" s="77"/>
      <c r="AT6242" s="497">
        <v>48.92</v>
      </c>
      <c r="AV6242" s="42"/>
      <c r="AW6242" s="74"/>
      <c r="AX6242" s="77"/>
      <c r="BA6242" s="497">
        <v>55.94</v>
      </c>
      <c r="BB6242" s="42"/>
      <c r="BC6242" s="74"/>
      <c r="BD6242" s="77"/>
      <c r="BF6242">
        <v>71.06</v>
      </c>
      <c r="BH6242" s="42"/>
      <c r="BI6242" s="74"/>
      <c r="BJ6242" s="77"/>
      <c r="BL6242" s="497">
        <v>48.92</v>
      </c>
      <c r="BN6242" s="42"/>
      <c r="BO6242" s="74"/>
      <c r="BP6242" s="77"/>
      <c r="BR6242" s="497">
        <v>65.300000000000011</v>
      </c>
      <c r="BT6242" s="42"/>
    </row>
    <row r="6243" spans="1:72" x14ac:dyDescent="0.25">
      <c r="A6243" s="90">
        <v>34959</v>
      </c>
      <c r="B6243" s="20">
        <v>0.375</v>
      </c>
      <c r="D6243">
        <v>66.92</v>
      </c>
      <c r="E6243" t="str">
        <f t="shared" si="230"/>
        <v>SUNDAY</v>
      </c>
      <c r="F6243" t="e">
        <f t="shared" si="229"/>
        <v>#N/A</v>
      </c>
      <c r="G6243" s="74">
        <v>29115</v>
      </c>
      <c r="H6243" s="77">
        <v>0.375</v>
      </c>
      <c r="J6243">
        <v>69.98</v>
      </c>
      <c r="M6243" s="74">
        <v>37881</v>
      </c>
      <c r="N6243" s="77">
        <v>0.375</v>
      </c>
      <c r="P6243">
        <v>69.800000000000011</v>
      </c>
      <c r="S6243" s="74">
        <v>34959</v>
      </c>
      <c r="T6243" s="77">
        <v>0.375</v>
      </c>
      <c r="V6243">
        <v>62.96</v>
      </c>
      <c r="X6243" s="42"/>
      <c r="AB6243">
        <v>67.2</v>
      </c>
      <c r="AC6243">
        <v>71.06</v>
      </c>
      <c r="AE6243" s="74"/>
      <c r="AF6243" s="77"/>
      <c r="AH6243" s="497">
        <v>59</v>
      </c>
      <c r="AJ6243" s="42"/>
      <c r="AK6243" s="74"/>
      <c r="AL6243" s="77"/>
      <c r="AN6243" s="497">
        <v>64.759999999999991</v>
      </c>
      <c r="AP6243" s="42"/>
      <c r="AQ6243" s="74"/>
      <c r="AR6243" s="77"/>
      <c r="AT6243" s="497">
        <v>51.980000000000004</v>
      </c>
      <c r="AV6243" s="42"/>
      <c r="AW6243" s="74"/>
      <c r="AX6243" s="77"/>
      <c r="BA6243" s="497">
        <v>60.08</v>
      </c>
      <c r="BB6243" s="42"/>
      <c r="BC6243" s="74"/>
      <c r="BD6243" s="77"/>
      <c r="BF6243">
        <v>71.06</v>
      </c>
      <c r="BH6243" s="42"/>
      <c r="BI6243" s="74"/>
      <c r="BJ6243" s="77"/>
      <c r="BL6243" s="497">
        <v>53.6</v>
      </c>
      <c r="BN6243" s="42"/>
      <c r="BO6243" s="74"/>
      <c r="BP6243" s="77"/>
      <c r="BR6243" s="497">
        <v>67.64</v>
      </c>
      <c r="BT6243" s="42"/>
    </row>
    <row r="6244" spans="1:72" x14ac:dyDescent="0.25">
      <c r="A6244" s="90">
        <v>34959</v>
      </c>
      <c r="B6244" s="20">
        <v>0.41666666666666669</v>
      </c>
      <c r="D6244">
        <v>69.080000000000013</v>
      </c>
      <c r="E6244" t="str">
        <f t="shared" si="230"/>
        <v>SUNDAY</v>
      </c>
      <c r="F6244" t="e">
        <f t="shared" si="229"/>
        <v>#N/A</v>
      </c>
      <c r="G6244" s="74">
        <v>29115</v>
      </c>
      <c r="H6244" s="77">
        <v>0.41666666666666669</v>
      </c>
      <c r="J6244">
        <v>73.039999999999992</v>
      </c>
      <c r="M6244" s="74">
        <v>37881</v>
      </c>
      <c r="N6244" s="77">
        <v>0.41666666666666669</v>
      </c>
      <c r="P6244">
        <v>69.800000000000011</v>
      </c>
      <c r="S6244" s="74">
        <v>34959</v>
      </c>
      <c r="T6244" s="77">
        <v>0.41666666666666669</v>
      </c>
      <c r="V6244">
        <v>64.039999999999992</v>
      </c>
      <c r="X6244" s="42"/>
      <c r="AB6244">
        <v>69.2</v>
      </c>
      <c r="AC6244">
        <v>71.960000000000008</v>
      </c>
      <c r="AE6244" s="74"/>
      <c r="AF6244" s="77"/>
      <c r="AH6244" s="497">
        <v>59</v>
      </c>
      <c r="AJ6244" s="42"/>
      <c r="AK6244" s="74"/>
      <c r="AL6244" s="77"/>
      <c r="AN6244" s="497">
        <v>66.02</v>
      </c>
      <c r="AP6244" s="42"/>
      <c r="AQ6244" s="74"/>
      <c r="AR6244" s="77"/>
      <c r="AT6244" s="497">
        <v>55.040000000000006</v>
      </c>
      <c r="AV6244" s="42"/>
      <c r="AW6244" s="74"/>
      <c r="AX6244" s="77"/>
      <c r="BA6244" s="497">
        <v>62.96</v>
      </c>
      <c r="BB6244" s="42"/>
      <c r="BC6244" s="74"/>
      <c r="BD6244" s="77"/>
      <c r="BF6244">
        <v>71.06</v>
      </c>
      <c r="BH6244" s="42"/>
      <c r="BI6244" s="74"/>
      <c r="BJ6244" s="77"/>
      <c r="BL6244" s="497">
        <v>55.94</v>
      </c>
      <c r="BN6244" s="42"/>
      <c r="BO6244" s="74"/>
      <c r="BP6244" s="77"/>
      <c r="BR6244" s="497">
        <v>69.98</v>
      </c>
      <c r="BT6244" s="42"/>
    </row>
    <row r="6245" spans="1:72" x14ac:dyDescent="0.25">
      <c r="A6245" s="90">
        <v>34959</v>
      </c>
      <c r="B6245" s="20">
        <v>0.45833333333333331</v>
      </c>
      <c r="D6245">
        <v>71.06</v>
      </c>
      <c r="E6245" t="str">
        <f t="shared" si="230"/>
        <v>SUNDAY</v>
      </c>
      <c r="F6245" t="e">
        <f t="shared" si="229"/>
        <v>#N/A</v>
      </c>
      <c r="G6245" s="74">
        <v>29115</v>
      </c>
      <c r="H6245" s="77">
        <v>0.45833333333333331</v>
      </c>
      <c r="J6245">
        <v>73.759999999999991</v>
      </c>
      <c r="M6245" s="74">
        <v>37881</v>
      </c>
      <c r="N6245" s="77">
        <v>0.45833333333333331</v>
      </c>
      <c r="P6245">
        <v>71.599999999999994</v>
      </c>
      <c r="S6245" s="74">
        <v>34959</v>
      </c>
      <c r="T6245" s="77">
        <v>0.45833333333333331</v>
      </c>
      <c r="V6245">
        <v>64.94</v>
      </c>
      <c r="X6245" s="42"/>
      <c r="AB6245">
        <v>71</v>
      </c>
      <c r="AC6245">
        <v>73.039999999999992</v>
      </c>
      <c r="AE6245" s="74"/>
      <c r="AF6245" s="77"/>
      <c r="AH6245" s="497">
        <v>59</v>
      </c>
      <c r="AJ6245" s="42"/>
      <c r="AK6245" s="74"/>
      <c r="AL6245" s="77"/>
      <c r="AN6245" s="497">
        <v>68.72</v>
      </c>
      <c r="AP6245" s="42"/>
      <c r="AQ6245" s="74"/>
      <c r="AR6245" s="77"/>
      <c r="AT6245" s="497">
        <v>53.96</v>
      </c>
      <c r="AV6245" s="42"/>
      <c r="AW6245" s="74"/>
      <c r="AX6245" s="77"/>
      <c r="BA6245" s="497">
        <v>66.02</v>
      </c>
      <c r="BB6245" s="42"/>
      <c r="BC6245" s="74"/>
      <c r="BD6245" s="77"/>
      <c r="BF6245">
        <v>71.960000000000008</v>
      </c>
      <c r="BH6245" s="42"/>
      <c r="BI6245" s="74"/>
      <c r="BJ6245" s="77"/>
      <c r="BL6245" s="497">
        <v>64.039999999999992</v>
      </c>
      <c r="BN6245" s="42"/>
      <c r="BO6245" s="74"/>
      <c r="BP6245" s="77"/>
      <c r="BR6245" s="497">
        <v>70.34</v>
      </c>
      <c r="BT6245" s="42"/>
    </row>
    <row r="6246" spans="1:72" x14ac:dyDescent="0.25">
      <c r="A6246" s="90">
        <v>34959</v>
      </c>
      <c r="B6246" s="20">
        <v>0.5</v>
      </c>
      <c r="D6246">
        <v>73.039999999999992</v>
      </c>
      <c r="E6246" t="str">
        <f t="shared" si="230"/>
        <v>SUNDAY</v>
      </c>
      <c r="F6246" t="e">
        <f t="shared" si="229"/>
        <v>#N/A</v>
      </c>
      <c r="G6246" s="74">
        <v>29115</v>
      </c>
      <c r="H6246" s="77">
        <v>0.5</v>
      </c>
      <c r="J6246">
        <v>74.300000000000011</v>
      </c>
      <c r="M6246" s="74">
        <v>37881</v>
      </c>
      <c r="N6246" s="77">
        <v>0.5</v>
      </c>
      <c r="P6246">
        <v>73.400000000000006</v>
      </c>
      <c r="S6246" s="74">
        <v>34959</v>
      </c>
      <c r="T6246" s="77">
        <v>0.5</v>
      </c>
      <c r="V6246">
        <v>66.02</v>
      </c>
      <c r="X6246" s="42"/>
      <c r="AB6246">
        <v>72.400000000000006</v>
      </c>
      <c r="AC6246">
        <v>73.94</v>
      </c>
      <c r="AE6246" s="74"/>
      <c r="AF6246" s="77"/>
      <c r="AH6246" s="497">
        <v>59</v>
      </c>
      <c r="AJ6246" s="42"/>
      <c r="AK6246" s="74"/>
      <c r="AL6246" s="77"/>
      <c r="AN6246" s="497">
        <v>71.240000000000009</v>
      </c>
      <c r="AP6246" s="42"/>
      <c r="AQ6246" s="74"/>
      <c r="AR6246" s="77"/>
      <c r="AT6246" s="497">
        <v>55.94</v>
      </c>
      <c r="AV6246" s="42"/>
      <c r="AW6246" s="74"/>
      <c r="AX6246" s="77"/>
      <c r="BA6246" s="497">
        <v>66.92</v>
      </c>
      <c r="BB6246" s="42"/>
      <c r="BC6246" s="74"/>
      <c r="BD6246" s="77"/>
      <c r="BF6246">
        <v>71.960000000000008</v>
      </c>
      <c r="BH6246" s="42"/>
      <c r="BI6246" s="74"/>
      <c r="BJ6246" s="77"/>
      <c r="BL6246" s="497">
        <v>66.92</v>
      </c>
      <c r="BN6246" s="42"/>
      <c r="BO6246" s="74"/>
      <c r="BP6246" s="77"/>
      <c r="BR6246" s="497">
        <v>70.7</v>
      </c>
      <c r="BT6246" s="42"/>
    </row>
    <row r="6247" spans="1:72" x14ac:dyDescent="0.25">
      <c r="A6247" s="90">
        <v>34959</v>
      </c>
      <c r="B6247" s="20">
        <v>0.54166666666666663</v>
      </c>
      <c r="D6247">
        <v>73.94</v>
      </c>
      <c r="E6247" t="str">
        <f t="shared" si="230"/>
        <v>SUNDAY</v>
      </c>
      <c r="F6247" t="e">
        <f t="shared" si="229"/>
        <v>#N/A</v>
      </c>
      <c r="G6247" s="74">
        <v>29115</v>
      </c>
      <c r="H6247" s="77">
        <v>0.54166666666666663</v>
      </c>
      <c r="J6247">
        <v>75.02</v>
      </c>
      <c r="M6247" s="74">
        <v>37881</v>
      </c>
      <c r="N6247" s="77">
        <v>0.54166666666666663</v>
      </c>
      <c r="P6247">
        <v>73.400000000000006</v>
      </c>
      <c r="S6247" s="74">
        <v>34959</v>
      </c>
      <c r="T6247" s="77">
        <v>0.54166666666666663</v>
      </c>
      <c r="V6247">
        <v>69.98</v>
      </c>
      <c r="X6247" s="42"/>
      <c r="AB6247">
        <v>73.2</v>
      </c>
      <c r="AC6247">
        <v>73.94</v>
      </c>
      <c r="AE6247" s="74"/>
      <c r="AF6247" s="77"/>
      <c r="AH6247" s="497">
        <v>57.92</v>
      </c>
      <c r="AJ6247" s="42"/>
      <c r="AK6247" s="74"/>
      <c r="AL6247" s="77"/>
      <c r="AN6247" s="497">
        <v>73.94</v>
      </c>
      <c r="AP6247" s="42"/>
      <c r="AQ6247" s="74"/>
      <c r="AR6247" s="77"/>
      <c r="AT6247" s="497">
        <v>55.040000000000006</v>
      </c>
      <c r="AV6247" s="42"/>
      <c r="AW6247" s="74"/>
      <c r="AX6247" s="77"/>
      <c r="BA6247" s="497">
        <v>69.98</v>
      </c>
      <c r="BB6247" s="42"/>
      <c r="BC6247" s="74"/>
      <c r="BD6247" s="77"/>
      <c r="BF6247">
        <v>73.039999999999992</v>
      </c>
      <c r="BH6247" s="42"/>
      <c r="BI6247" s="74"/>
      <c r="BJ6247" s="77"/>
      <c r="BL6247" s="497">
        <v>69.98</v>
      </c>
      <c r="BN6247" s="42"/>
      <c r="BO6247" s="74"/>
      <c r="BP6247" s="77"/>
      <c r="BR6247" s="497">
        <v>71.06</v>
      </c>
      <c r="BT6247" s="42"/>
    </row>
    <row r="6248" spans="1:72" x14ac:dyDescent="0.25">
      <c r="A6248" s="90">
        <v>34959</v>
      </c>
      <c r="B6248" s="20">
        <v>0.58333333333333337</v>
      </c>
      <c r="D6248">
        <v>75.02</v>
      </c>
      <c r="E6248" t="str">
        <f t="shared" si="230"/>
        <v>SUNDAY</v>
      </c>
      <c r="F6248" t="e">
        <f t="shared" si="229"/>
        <v>#N/A</v>
      </c>
      <c r="G6248" s="74">
        <v>29115</v>
      </c>
      <c r="H6248" s="77">
        <v>0.58333333333333337</v>
      </c>
      <c r="J6248">
        <v>75.02</v>
      </c>
      <c r="M6248" s="74">
        <v>37881</v>
      </c>
      <c r="N6248" s="77">
        <v>0.58333333333333337</v>
      </c>
      <c r="P6248">
        <v>73.400000000000006</v>
      </c>
      <c r="S6248" s="74">
        <v>34959</v>
      </c>
      <c r="T6248" s="77">
        <v>0.58333333333333337</v>
      </c>
      <c r="V6248">
        <v>68</v>
      </c>
      <c r="X6248" s="42"/>
      <c r="AB6248">
        <v>73.599999999999994</v>
      </c>
      <c r="AC6248">
        <v>73.039999999999992</v>
      </c>
      <c r="AE6248" s="74"/>
      <c r="AF6248" s="77"/>
      <c r="AH6248" s="497">
        <v>57.2</v>
      </c>
      <c r="AJ6248" s="42"/>
      <c r="AK6248" s="74"/>
      <c r="AL6248" s="77"/>
      <c r="AN6248" s="497">
        <v>70.7</v>
      </c>
      <c r="AP6248" s="42"/>
      <c r="AQ6248" s="74"/>
      <c r="AR6248" s="77"/>
      <c r="AT6248" s="497">
        <v>57.019999999999996</v>
      </c>
      <c r="AV6248" s="42"/>
      <c r="AW6248" s="74"/>
      <c r="AX6248" s="77"/>
      <c r="BA6248" s="497">
        <v>71.960000000000008</v>
      </c>
      <c r="BB6248" s="42"/>
      <c r="BC6248" s="74"/>
      <c r="BD6248" s="77"/>
      <c r="BF6248">
        <v>71.960000000000008</v>
      </c>
      <c r="BH6248" s="42"/>
      <c r="BI6248" s="74"/>
      <c r="BJ6248" s="77"/>
      <c r="BL6248" s="497">
        <v>71.960000000000008</v>
      </c>
      <c r="BN6248" s="42"/>
      <c r="BO6248" s="74"/>
      <c r="BP6248" s="77"/>
      <c r="BR6248" s="497">
        <v>69.98</v>
      </c>
      <c r="BT6248" s="42"/>
    </row>
    <row r="6249" spans="1:72" x14ac:dyDescent="0.25">
      <c r="A6249" s="90">
        <v>34959</v>
      </c>
      <c r="B6249" s="20">
        <v>0.625</v>
      </c>
      <c r="D6249">
        <v>75.02</v>
      </c>
      <c r="E6249" t="str">
        <f t="shared" si="230"/>
        <v>SUNDAY</v>
      </c>
      <c r="F6249" t="e">
        <f t="shared" si="229"/>
        <v>#N/A</v>
      </c>
      <c r="G6249" s="74">
        <v>29115</v>
      </c>
      <c r="H6249" s="77">
        <v>0.625</v>
      </c>
      <c r="J6249">
        <v>75.02</v>
      </c>
      <c r="M6249" s="74">
        <v>37881</v>
      </c>
      <c r="N6249" s="77">
        <v>0.625</v>
      </c>
      <c r="P6249">
        <v>71.599999999999994</v>
      </c>
      <c r="S6249" s="74">
        <v>34959</v>
      </c>
      <c r="T6249" s="77">
        <v>0.625</v>
      </c>
      <c r="V6249">
        <v>68</v>
      </c>
      <c r="X6249" s="42"/>
      <c r="AB6249">
        <v>73.8</v>
      </c>
      <c r="AC6249">
        <v>73.94</v>
      </c>
      <c r="AE6249" s="74"/>
      <c r="AF6249" s="77"/>
      <c r="AH6249" s="497">
        <v>57.2</v>
      </c>
      <c r="AJ6249" s="42"/>
      <c r="AK6249" s="74"/>
      <c r="AL6249" s="77"/>
      <c r="AN6249" s="497">
        <v>67.28</v>
      </c>
      <c r="AP6249" s="42"/>
      <c r="AQ6249" s="74"/>
      <c r="AR6249" s="77"/>
      <c r="AT6249" s="497">
        <v>55.040000000000006</v>
      </c>
      <c r="AV6249" s="42"/>
      <c r="AW6249" s="74"/>
      <c r="AX6249" s="77"/>
      <c r="BA6249" s="497">
        <v>73.039999999999992</v>
      </c>
      <c r="BB6249" s="42"/>
      <c r="BC6249" s="74"/>
      <c r="BD6249" s="77"/>
      <c r="BF6249">
        <v>73.039999999999992</v>
      </c>
      <c r="BH6249" s="42"/>
      <c r="BI6249" s="74"/>
      <c r="BJ6249" s="77"/>
      <c r="BL6249" s="497">
        <v>71.06</v>
      </c>
      <c r="BN6249" s="42"/>
      <c r="BO6249" s="74"/>
      <c r="BP6249" s="77"/>
      <c r="BR6249" s="497">
        <v>69.080000000000013</v>
      </c>
      <c r="BT6249" s="42"/>
    </row>
    <row r="6250" spans="1:72" x14ac:dyDescent="0.25">
      <c r="A6250" s="90">
        <v>34959</v>
      </c>
      <c r="B6250" s="20">
        <v>0.66666666666666663</v>
      </c>
      <c r="D6250">
        <v>75.02</v>
      </c>
      <c r="E6250" t="str">
        <f t="shared" si="230"/>
        <v>SUNDAY</v>
      </c>
      <c r="F6250" t="e">
        <f t="shared" si="229"/>
        <v>#N/A</v>
      </c>
      <c r="G6250" s="74">
        <v>29115</v>
      </c>
      <c r="H6250" s="77">
        <v>0.66666666666666663</v>
      </c>
      <c r="J6250">
        <v>75.02</v>
      </c>
      <c r="M6250" s="74">
        <v>37881</v>
      </c>
      <c r="N6250" s="77">
        <v>0.66666666666666663</v>
      </c>
      <c r="P6250">
        <v>71.599999999999994</v>
      </c>
      <c r="S6250" s="74">
        <v>34959</v>
      </c>
      <c r="T6250" s="77">
        <v>0.66666666666666663</v>
      </c>
      <c r="V6250">
        <v>71.06</v>
      </c>
      <c r="X6250" s="42"/>
      <c r="AB6250">
        <v>73.5</v>
      </c>
      <c r="AC6250">
        <v>73.94</v>
      </c>
      <c r="AE6250" s="74"/>
      <c r="AF6250" s="77"/>
      <c r="AH6250" s="497">
        <v>57.2</v>
      </c>
      <c r="AJ6250" s="42"/>
      <c r="AK6250" s="74"/>
      <c r="AL6250" s="77"/>
      <c r="AN6250" s="497">
        <v>64.039999999999992</v>
      </c>
      <c r="AP6250" s="42"/>
      <c r="AQ6250" s="74"/>
      <c r="AR6250" s="77"/>
      <c r="AT6250" s="497">
        <v>55.040000000000006</v>
      </c>
      <c r="AV6250" s="42"/>
      <c r="AW6250" s="74"/>
      <c r="AX6250" s="77"/>
      <c r="BA6250" s="497">
        <v>71.960000000000008</v>
      </c>
      <c r="BB6250" s="42"/>
      <c r="BC6250" s="74"/>
      <c r="BD6250" s="77"/>
      <c r="BF6250">
        <v>71.960000000000008</v>
      </c>
      <c r="BH6250" s="42"/>
      <c r="BI6250" s="74"/>
      <c r="BJ6250" s="77"/>
      <c r="BL6250" s="497">
        <v>71.06</v>
      </c>
      <c r="BN6250" s="42"/>
      <c r="BO6250" s="74"/>
      <c r="BP6250" s="77"/>
      <c r="BR6250" s="497">
        <v>68</v>
      </c>
      <c r="BT6250" s="42"/>
    </row>
    <row r="6251" spans="1:72" x14ac:dyDescent="0.25">
      <c r="A6251" s="90">
        <v>34959</v>
      </c>
      <c r="B6251" s="20">
        <v>0.70833333333333337</v>
      </c>
      <c r="D6251">
        <v>73.039999999999992</v>
      </c>
      <c r="E6251" t="str">
        <f t="shared" si="230"/>
        <v>SUNDAY</v>
      </c>
      <c r="F6251" t="e">
        <f t="shared" ref="F6251:F6314" si="231">IF(E6251="WEEKDAY",VLOOKUP(B6251,$DD$19:$DG$42,2),IF(E6251="SATURDAY",VLOOKUP(B6251,$DD$19:$DG$42,3),VLOOKUP(B6251,$DD$19:$DG$42,4)))</f>
        <v>#N/A</v>
      </c>
      <c r="G6251" s="74">
        <v>29115</v>
      </c>
      <c r="H6251" s="77">
        <v>0.70833333333333337</v>
      </c>
      <c r="J6251">
        <v>73.759999999999991</v>
      </c>
      <c r="M6251" s="74">
        <v>37881</v>
      </c>
      <c r="N6251" s="77">
        <v>0.70833333333333337</v>
      </c>
      <c r="P6251">
        <v>69.800000000000011</v>
      </c>
      <c r="S6251" s="74">
        <v>34959</v>
      </c>
      <c r="T6251" s="77">
        <v>0.70833333333333337</v>
      </c>
      <c r="V6251">
        <v>71.06</v>
      </c>
      <c r="X6251" s="42"/>
      <c r="AB6251">
        <v>72.7</v>
      </c>
      <c r="AC6251">
        <v>71.960000000000008</v>
      </c>
      <c r="AE6251" s="74"/>
      <c r="AF6251" s="77"/>
      <c r="AH6251" s="497">
        <v>57.2</v>
      </c>
      <c r="AJ6251" s="42"/>
      <c r="AK6251" s="74"/>
      <c r="AL6251" s="77"/>
      <c r="AN6251" s="497">
        <v>64.400000000000006</v>
      </c>
      <c r="AP6251" s="42"/>
      <c r="AQ6251" s="74"/>
      <c r="AR6251" s="77"/>
      <c r="AT6251" s="497">
        <v>53.96</v>
      </c>
      <c r="AV6251" s="42"/>
      <c r="AW6251" s="74"/>
      <c r="AX6251" s="77"/>
      <c r="BA6251" s="497">
        <v>71.06</v>
      </c>
      <c r="BB6251" s="42"/>
      <c r="BC6251" s="74"/>
      <c r="BD6251" s="77"/>
      <c r="BF6251">
        <v>73.039999999999992</v>
      </c>
      <c r="BH6251" s="42"/>
      <c r="BI6251" s="74"/>
      <c r="BJ6251" s="77"/>
      <c r="BL6251" s="497">
        <v>69.98</v>
      </c>
      <c r="BN6251" s="42"/>
      <c r="BO6251" s="74"/>
      <c r="BP6251" s="77"/>
      <c r="BR6251" s="497">
        <v>63.319999999999993</v>
      </c>
      <c r="BT6251" s="42"/>
    </row>
    <row r="6252" spans="1:72" x14ac:dyDescent="0.25">
      <c r="A6252" s="90">
        <v>34959</v>
      </c>
      <c r="B6252" s="20">
        <v>0.75</v>
      </c>
      <c r="D6252">
        <v>71.06</v>
      </c>
      <c r="E6252" t="str">
        <f t="shared" si="230"/>
        <v>SUNDAY</v>
      </c>
      <c r="F6252" t="e">
        <f t="shared" si="231"/>
        <v>#N/A</v>
      </c>
      <c r="G6252" s="74">
        <v>29115</v>
      </c>
      <c r="H6252" s="77">
        <v>0.75</v>
      </c>
      <c r="J6252">
        <v>72.319999999999993</v>
      </c>
      <c r="M6252" s="74">
        <v>37881</v>
      </c>
      <c r="N6252" s="77">
        <v>0.75</v>
      </c>
      <c r="P6252">
        <v>62.6</v>
      </c>
      <c r="S6252" s="74">
        <v>34959</v>
      </c>
      <c r="T6252" s="77">
        <v>0.75</v>
      </c>
      <c r="V6252">
        <v>69.98</v>
      </c>
      <c r="X6252" s="42"/>
      <c r="AB6252">
        <v>71.400000000000006</v>
      </c>
      <c r="AC6252">
        <v>71.06</v>
      </c>
      <c r="AE6252" s="74"/>
      <c r="AF6252" s="77"/>
      <c r="AH6252" s="497">
        <v>57.2</v>
      </c>
      <c r="AJ6252" s="42"/>
      <c r="AK6252" s="74"/>
      <c r="AL6252" s="77"/>
      <c r="AN6252" s="497">
        <v>64.580000000000013</v>
      </c>
      <c r="AP6252" s="42"/>
      <c r="AQ6252" s="74"/>
      <c r="AR6252" s="77"/>
      <c r="AT6252" s="497">
        <v>51.980000000000004</v>
      </c>
      <c r="AV6252" s="42"/>
      <c r="AW6252" s="74"/>
      <c r="AX6252" s="77"/>
      <c r="BA6252" s="497">
        <v>68</v>
      </c>
      <c r="BB6252" s="42"/>
      <c r="BC6252" s="74"/>
      <c r="BD6252" s="77"/>
      <c r="BF6252">
        <v>69.98</v>
      </c>
      <c r="BH6252" s="42"/>
      <c r="BI6252" s="74"/>
      <c r="BJ6252" s="77"/>
      <c r="BL6252" s="497">
        <v>66.92</v>
      </c>
      <c r="BN6252" s="42"/>
      <c r="BO6252" s="74"/>
      <c r="BP6252" s="77"/>
      <c r="BR6252" s="497">
        <v>58.64</v>
      </c>
      <c r="BT6252" s="42"/>
    </row>
    <row r="6253" spans="1:72" x14ac:dyDescent="0.25">
      <c r="A6253" s="90">
        <v>34959</v>
      </c>
      <c r="B6253" s="20">
        <v>0.79166666666666663</v>
      </c>
      <c r="D6253">
        <v>69.080000000000013</v>
      </c>
      <c r="E6253" t="str">
        <f t="shared" si="230"/>
        <v>SUNDAY</v>
      </c>
      <c r="F6253" t="e">
        <f t="shared" si="231"/>
        <v>#N/A</v>
      </c>
      <c r="G6253" s="74">
        <v>29115</v>
      </c>
      <c r="H6253" s="77">
        <v>0.79166666666666663</v>
      </c>
      <c r="J6253">
        <v>71.06</v>
      </c>
      <c r="M6253" s="74">
        <v>37881</v>
      </c>
      <c r="N6253" s="77">
        <v>0.79166666666666663</v>
      </c>
      <c r="P6253">
        <v>62.6</v>
      </c>
      <c r="S6253" s="74">
        <v>34959</v>
      </c>
      <c r="T6253" s="77">
        <v>0.79166666666666663</v>
      </c>
      <c r="V6253">
        <v>69.080000000000013</v>
      </c>
      <c r="X6253" s="42"/>
      <c r="AB6253">
        <v>69.7</v>
      </c>
      <c r="AC6253">
        <v>71.06</v>
      </c>
      <c r="AE6253" s="74"/>
      <c r="AF6253" s="77"/>
      <c r="AH6253" s="497">
        <v>55.400000000000006</v>
      </c>
      <c r="AJ6253" s="42"/>
      <c r="AK6253" s="74"/>
      <c r="AL6253" s="77"/>
      <c r="AN6253" s="497">
        <v>64.94</v>
      </c>
      <c r="AP6253" s="42"/>
      <c r="AQ6253" s="74"/>
      <c r="AR6253" s="77"/>
      <c r="AT6253" s="497">
        <v>50</v>
      </c>
      <c r="AV6253" s="42"/>
      <c r="AW6253" s="74"/>
      <c r="AX6253" s="77"/>
      <c r="BA6253" s="497">
        <v>64.94</v>
      </c>
      <c r="BB6253" s="42"/>
      <c r="BC6253" s="74"/>
      <c r="BD6253" s="77"/>
      <c r="BF6253">
        <v>68</v>
      </c>
      <c r="BH6253" s="42"/>
      <c r="BI6253" s="74"/>
      <c r="BJ6253" s="77"/>
      <c r="BL6253" s="497">
        <v>59</v>
      </c>
      <c r="BN6253" s="42"/>
      <c r="BO6253" s="74"/>
      <c r="BP6253" s="77"/>
      <c r="BR6253" s="497">
        <v>53.96</v>
      </c>
      <c r="BT6253" s="42"/>
    </row>
    <row r="6254" spans="1:72" x14ac:dyDescent="0.25">
      <c r="A6254" s="90">
        <v>34959</v>
      </c>
      <c r="B6254" s="20">
        <v>0.83333333333333337</v>
      </c>
      <c r="D6254">
        <v>69.080000000000013</v>
      </c>
      <c r="E6254" t="str">
        <f t="shared" si="230"/>
        <v>SUNDAY</v>
      </c>
      <c r="F6254" t="e">
        <f t="shared" si="231"/>
        <v>#N/A</v>
      </c>
      <c r="G6254" s="74">
        <v>29115</v>
      </c>
      <c r="H6254" s="77">
        <v>0.83333333333333337</v>
      </c>
      <c r="J6254">
        <v>69.62</v>
      </c>
      <c r="M6254" s="74">
        <v>37881</v>
      </c>
      <c r="N6254" s="77">
        <v>0.83333333333333337</v>
      </c>
      <c r="P6254">
        <v>64.400000000000006</v>
      </c>
      <c r="S6254" s="74">
        <v>34959</v>
      </c>
      <c r="T6254" s="77">
        <v>0.83333333333333337</v>
      </c>
      <c r="V6254">
        <v>68</v>
      </c>
      <c r="X6254" s="42"/>
      <c r="AB6254">
        <v>68.7</v>
      </c>
      <c r="AC6254">
        <v>71.06</v>
      </c>
      <c r="AE6254" s="74"/>
      <c r="AF6254" s="77"/>
      <c r="AH6254" s="497">
        <v>55.400000000000006</v>
      </c>
      <c r="AJ6254" s="42"/>
      <c r="AK6254" s="74"/>
      <c r="AL6254" s="77"/>
      <c r="AN6254" s="497">
        <v>63.319999999999993</v>
      </c>
      <c r="AP6254" s="42"/>
      <c r="AQ6254" s="74"/>
      <c r="AR6254" s="77"/>
      <c r="AT6254" s="497">
        <v>48.019999999999996</v>
      </c>
      <c r="AV6254" s="42"/>
      <c r="AW6254" s="74"/>
      <c r="AX6254" s="77"/>
      <c r="BA6254" s="497">
        <v>66.92</v>
      </c>
      <c r="BB6254" s="42"/>
      <c r="BC6254" s="74"/>
      <c r="BD6254" s="77"/>
      <c r="BF6254">
        <v>64.94</v>
      </c>
      <c r="BH6254" s="42"/>
      <c r="BI6254" s="74"/>
      <c r="BJ6254" s="77"/>
      <c r="BL6254" s="497">
        <v>55.94</v>
      </c>
      <c r="BN6254" s="42"/>
      <c r="BO6254" s="74"/>
      <c r="BP6254" s="77"/>
      <c r="BR6254" s="497">
        <v>55.040000000000006</v>
      </c>
      <c r="BT6254" s="42"/>
    </row>
    <row r="6255" spans="1:72" x14ac:dyDescent="0.25">
      <c r="A6255" s="90">
        <v>34959</v>
      </c>
      <c r="B6255" s="20">
        <v>0.875</v>
      </c>
      <c r="D6255">
        <v>68</v>
      </c>
      <c r="E6255" t="str">
        <f t="shared" si="230"/>
        <v>SUNDAY</v>
      </c>
      <c r="F6255" t="e">
        <f t="shared" si="231"/>
        <v>#N/A</v>
      </c>
      <c r="G6255" s="74">
        <v>29115</v>
      </c>
      <c r="H6255" s="77">
        <v>0.875</v>
      </c>
      <c r="J6255">
        <v>68.36</v>
      </c>
      <c r="M6255" s="74">
        <v>37881</v>
      </c>
      <c r="N6255" s="77">
        <v>0.875</v>
      </c>
      <c r="P6255">
        <v>62.6</v>
      </c>
      <c r="S6255" s="74">
        <v>34959</v>
      </c>
      <c r="T6255" s="77">
        <v>0.875</v>
      </c>
      <c r="V6255">
        <v>66.92</v>
      </c>
      <c r="X6255" s="42"/>
      <c r="AB6255">
        <v>67.900000000000006</v>
      </c>
      <c r="AC6255">
        <v>71.06</v>
      </c>
      <c r="AE6255" s="74"/>
      <c r="AF6255" s="77"/>
      <c r="AH6255" s="497">
        <v>55.400000000000006</v>
      </c>
      <c r="AJ6255" s="42"/>
      <c r="AK6255" s="74"/>
      <c r="AL6255" s="77"/>
      <c r="AN6255" s="497">
        <v>61.7</v>
      </c>
      <c r="AP6255" s="42"/>
      <c r="AQ6255" s="74"/>
      <c r="AR6255" s="77"/>
      <c r="AT6255" s="497">
        <v>46.94</v>
      </c>
      <c r="AV6255" s="42"/>
      <c r="AW6255" s="74"/>
      <c r="AX6255" s="77"/>
      <c r="BA6255" s="497">
        <v>66.02</v>
      </c>
      <c r="BB6255" s="42"/>
      <c r="BC6255" s="74"/>
      <c r="BD6255" s="77"/>
      <c r="BF6255">
        <v>62.06</v>
      </c>
      <c r="BH6255" s="42"/>
      <c r="BI6255" s="74"/>
      <c r="BJ6255" s="77"/>
      <c r="BL6255" s="497">
        <v>55.040000000000006</v>
      </c>
      <c r="BN6255" s="42"/>
      <c r="BO6255" s="74"/>
      <c r="BP6255" s="77"/>
      <c r="BR6255" s="497">
        <v>55.94</v>
      </c>
      <c r="BT6255" s="42"/>
    </row>
    <row r="6256" spans="1:72" x14ac:dyDescent="0.25">
      <c r="A6256" s="90">
        <v>34959</v>
      </c>
      <c r="B6256" s="20">
        <v>0.91666666666666663</v>
      </c>
      <c r="D6256">
        <v>68</v>
      </c>
      <c r="E6256" t="str">
        <f t="shared" si="230"/>
        <v>SUNDAY</v>
      </c>
      <c r="F6256" t="e">
        <f t="shared" si="231"/>
        <v>#N/A</v>
      </c>
      <c r="G6256" s="74">
        <v>29115</v>
      </c>
      <c r="H6256" s="77">
        <v>0.91666666666666663</v>
      </c>
      <c r="J6256">
        <v>66.92</v>
      </c>
      <c r="M6256" s="74">
        <v>37881</v>
      </c>
      <c r="N6256" s="77">
        <v>0.91666666666666663</v>
      </c>
      <c r="P6256">
        <v>62.6</v>
      </c>
      <c r="S6256" s="74">
        <v>34959</v>
      </c>
      <c r="T6256" s="77">
        <v>0.91666666666666663</v>
      </c>
      <c r="V6256">
        <v>66.02</v>
      </c>
      <c r="X6256" s="42"/>
      <c r="AB6256">
        <v>67.3</v>
      </c>
      <c r="AC6256">
        <v>71.06</v>
      </c>
      <c r="AE6256" s="74"/>
      <c r="AF6256" s="77"/>
      <c r="AH6256" s="497">
        <v>55.400000000000006</v>
      </c>
      <c r="AJ6256" s="42"/>
      <c r="AK6256" s="74"/>
      <c r="AL6256" s="77"/>
      <c r="AN6256" s="497">
        <v>60.08</v>
      </c>
      <c r="AP6256" s="42"/>
      <c r="AQ6256" s="74"/>
      <c r="AR6256" s="77"/>
      <c r="AT6256" s="497">
        <v>44.06</v>
      </c>
      <c r="AV6256" s="42"/>
      <c r="AW6256" s="74"/>
      <c r="AX6256" s="77"/>
      <c r="BA6256" s="497">
        <v>64.039999999999992</v>
      </c>
      <c r="BB6256" s="42"/>
      <c r="BC6256" s="74"/>
      <c r="BD6256" s="77"/>
      <c r="BF6256">
        <v>60.08</v>
      </c>
      <c r="BH6256" s="42"/>
      <c r="BI6256" s="74"/>
      <c r="BJ6256" s="77"/>
      <c r="BL6256" s="497">
        <v>53.96</v>
      </c>
      <c r="BN6256" s="42"/>
      <c r="BO6256" s="74"/>
      <c r="BP6256" s="77"/>
      <c r="BR6256" s="497">
        <v>57.019999999999996</v>
      </c>
      <c r="BT6256" s="42"/>
    </row>
    <row r="6257" spans="1:72" x14ac:dyDescent="0.25">
      <c r="A6257" s="90">
        <v>34959</v>
      </c>
      <c r="B6257" s="20">
        <v>0.95833333333333337</v>
      </c>
      <c r="D6257">
        <v>66.92</v>
      </c>
      <c r="E6257" t="str">
        <f t="shared" si="230"/>
        <v>SUNDAY</v>
      </c>
      <c r="F6257" t="e">
        <f t="shared" si="231"/>
        <v>#N/A</v>
      </c>
      <c r="G6257" s="74">
        <v>29115</v>
      </c>
      <c r="H6257" s="77">
        <v>0.95833333333333337</v>
      </c>
      <c r="J6257">
        <v>66.2</v>
      </c>
      <c r="M6257" s="74">
        <v>37881</v>
      </c>
      <c r="N6257" s="77">
        <v>0.95833333333333337</v>
      </c>
      <c r="P6257">
        <v>62.6</v>
      </c>
      <c r="S6257" s="74">
        <v>34959</v>
      </c>
      <c r="T6257" s="77">
        <v>0.95833333333333337</v>
      </c>
      <c r="V6257">
        <v>64.94</v>
      </c>
      <c r="X6257" s="42"/>
      <c r="AB6257">
        <v>66.599999999999994</v>
      </c>
      <c r="AC6257">
        <v>71.960000000000008</v>
      </c>
      <c r="AE6257" s="74"/>
      <c r="AF6257" s="77"/>
      <c r="AH6257" s="497">
        <v>55.400000000000006</v>
      </c>
      <c r="AJ6257" s="42"/>
      <c r="AK6257" s="74"/>
      <c r="AL6257" s="77"/>
      <c r="AN6257" s="497">
        <v>59.72</v>
      </c>
      <c r="AP6257" s="42"/>
      <c r="AQ6257" s="74"/>
      <c r="AR6257" s="77"/>
      <c r="AT6257" s="497">
        <v>44.96</v>
      </c>
      <c r="AV6257" s="42"/>
      <c r="AW6257" s="74"/>
      <c r="AX6257" s="77"/>
      <c r="BA6257" s="497">
        <v>62.96</v>
      </c>
      <c r="BB6257" s="42"/>
      <c r="BC6257" s="74"/>
      <c r="BD6257" s="77"/>
      <c r="BF6257">
        <v>60.08</v>
      </c>
      <c r="BH6257" s="42"/>
      <c r="BI6257" s="74"/>
      <c r="BJ6257" s="77"/>
      <c r="BL6257" s="497">
        <v>53.06</v>
      </c>
      <c r="BN6257" s="42"/>
      <c r="BO6257" s="74"/>
      <c r="BP6257" s="77"/>
      <c r="BR6257" s="497">
        <v>53.96</v>
      </c>
      <c r="BT6257" s="42"/>
    </row>
    <row r="6258" spans="1:72" x14ac:dyDescent="0.25">
      <c r="A6258" s="90">
        <v>34959</v>
      </c>
      <c r="B6258" s="20">
        <v>1</v>
      </c>
      <c r="D6258">
        <v>66.92</v>
      </c>
      <c r="E6258" t="str">
        <f t="shared" si="230"/>
        <v>SUNDAY</v>
      </c>
      <c r="F6258" t="e">
        <f t="shared" si="231"/>
        <v>#N/A</v>
      </c>
      <c r="G6258" s="74">
        <v>29115</v>
      </c>
      <c r="H6258" s="77">
        <v>1</v>
      </c>
      <c r="J6258">
        <v>65.66</v>
      </c>
      <c r="M6258" s="74">
        <v>37881</v>
      </c>
      <c r="N6258" s="80">
        <v>1</v>
      </c>
      <c r="P6258">
        <v>60.8</v>
      </c>
      <c r="S6258" s="74">
        <v>34959</v>
      </c>
      <c r="T6258" s="80">
        <v>1</v>
      </c>
      <c r="V6258">
        <v>64.94</v>
      </c>
      <c r="X6258" s="42"/>
      <c r="AB6258">
        <v>65.900000000000006</v>
      </c>
      <c r="AC6258">
        <v>71.960000000000008</v>
      </c>
      <c r="AE6258" s="74"/>
      <c r="AF6258" s="80"/>
      <c r="AH6258" s="497">
        <v>55.400000000000006</v>
      </c>
      <c r="AJ6258" s="42"/>
      <c r="AK6258" s="74"/>
      <c r="AL6258" s="80"/>
      <c r="AN6258" s="497">
        <v>59.36</v>
      </c>
      <c r="AP6258" s="42"/>
      <c r="AQ6258" s="74"/>
      <c r="AR6258" s="80"/>
      <c r="AT6258" s="497">
        <v>42.980000000000004</v>
      </c>
      <c r="AV6258" s="42"/>
      <c r="AW6258" s="74"/>
      <c r="AX6258" s="80"/>
      <c r="BA6258" s="497">
        <v>60.08</v>
      </c>
      <c r="BB6258" s="42"/>
      <c r="BC6258" s="74"/>
      <c r="BD6258" s="80"/>
      <c r="BF6258">
        <v>57.92</v>
      </c>
      <c r="BH6258" s="42"/>
      <c r="BI6258" s="74"/>
      <c r="BJ6258" s="80"/>
      <c r="BL6258" s="497">
        <v>53.06</v>
      </c>
      <c r="BN6258" s="42"/>
      <c r="BO6258" s="74"/>
      <c r="BP6258" s="80"/>
      <c r="BR6258" s="497">
        <v>51.08</v>
      </c>
      <c r="BT6258" s="42"/>
    </row>
    <row r="6259" spans="1:72" x14ac:dyDescent="0.25">
      <c r="A6259" s="90">
        <v>34960</v>
      </c>
      <c r="B6259" s="20">
        <v>4.1666666666666664E-2</v>
      </c>
      <c r="D6259">
        <v>66.02</v>
      </c>
      <c r="E6259" t="str">
        <f t="shared" si="230"/>
        <v>WEEKDAY</v>
      </c>
      <c r="F6259" t="e">
        <f t="shared" si="231"/>
        <v>#N/A</v>
      </c>
      <c r="G6259" s="74">
        <v>29116</v>
      </c>
      <c r="H6259" s="77">
        <v>4.1666666666666664E-2</v>
      </c>
      <c r="J6259">
        <v>64.94</v>
      </c>
      <c r="M6259" s="74">
        <v>37882</v>
      </c>
      <c r="N6259" s="77">
        <v>4.1666666666666664E-2</v>
      </c>
      <c r="P6259">
        <v>60.8</v>
      </c>
      <c r="S6259" s="74">
        <v>34960</v>
      </c>
      <c r="T6259" s="77">
        <v>4.1666666666666664E-2</v>
      </c>
      <c r="V6259">
        <v>62.06</v>
      </c>
      <c r="X6259" s="42"/>
      <c r="AB6259">
        <v>65.099999999999994</v>
      </c>
      <c r="AC6259">
        <v>73.039999999999992</v>
      </c>
      <c r="AE6259" s="74"/>
      <c r="AF6259" s="77"/>
      <c r="AH6259" s="497">
        <v>55.400000000000006</v>
      </c>
      <c r="AJ6259" s="42"/>
      <c r="AK6259" s="74"/>
      <c r="AL6259" s="77"/>
      <c r="AN6259" s="497">
        <v>59</v>
      </c>
      <c r="AP6259" s="42"/>
      <c r="AQ6259" s="74"/>
      <c r="AR6259" s="77"/>
      <c r="AT6259" s="497">
        <v>42.08</v>
      </c>
      <c r="AV6259" s="42"/>
      <c r="AW6259" s="74"/>
      <c r="AX6259" s="77"/>
      <c r="BA6259" s="497">
        <v>59</v>
      </c>
      <c r="BB6259" s="42"/>
      <c r="BC6259" s="74"/>
      <c r="BD6259" s="77"/>
      <c r="BF6259">
        <v>59</v>
      </c>
      <c r="BH6259" s="42"/>
      <c r="BI6259" s="74"/>
      <c r="BJ6259" s="77"/>
      <c r="BL6259" s="497">
        <v>51.980000000000004</v>
      </c>
      <c r="BN6259" s="42"/>
      <c r="BO6259" s="74"/>
      <c r="BP6259" s="77"/>
      <c r="BR6259" s="497">
        <v>48.019999999999996</v>
      </c>
      <c r="BT6259" s="42"/>
    </row>
    <row r="6260" spans="1:72" x14ac:dyDescent="0.25">
      <c r="A6260" s="90">
        <v>34960</v>
      </c>
      <c r="B6260" s="20">
        <v>8.3333333333333329E-2</v>
      </c>
      <c r="D6260">
        <v>66.02</v>
      </c>
      <c r="E6260" t="str">
        <f t="shared" si="230"/>
        <v>WEEKDAY</v>
      </c>
      <c r="F6260" t="e">
        <f t="shared" si="231"/>
        <v>#N/A</v>
      </c>
      <c r="G6260" s="74">
        <v>29116</v>
      </c>
      <c r="H6260" s="77">
        <v>8.3333333333333329E-2</v>
      </c>
      <c r="J6260">
        <v>64.22</v>
      </c>
      <c r="M6260" s="74">
        <v>37882</v>
      </c>
      <c r="N6260" s="77">
        <v>8.3333333333333329E-2</v>
      </c>
      <c r="P6260">
        <v>60.8</v>
      </c>
      <c r="S6260" s="74">
        <v>34960</v>
      </c>
      <c r="T6260" s="77">
        <v>8.3333333333333329E-2</v>
      </c>
      <c r="V6260">
        <v>60.980000000000004</v>
      </c>
      <c r="X6260" s="42"/>
      <c r="AB6260">
        <v>64.5</v>
      </c>
      <c r="AC6260">
        <v>73.039999999999992</v>
      </c>
      <c r="AE6260" s="74"/>
      <c r="AF6260" s="77"/>
      <c r="AH6260" s="497">
        <v>55.400000000000006</v>
      </c>
      <c r="AJ6260" s="42"/>
      <c r="AK6260" s="74"/>
      <c r="AL6260" s="77"/>
      <c r="AN6260" s="497">
        <v>58.28</v>
      </c>
      <c r="AP6260" s="42"/>
      <c r="AQ6260" s="74"/>
      <c r="AR6260" s="77"/>
      <c r="AT6260" s="497">
        <v>42.08</v>
      </c>
      <c r="AV6260" s="42"/>
      <c r="AW6260" s="74"/>
      <c r="AX6260" s="77"/>
      <c r="BA6260" s="497">
        <v>57.92</v>
      </c>
      <c r="BB6260" s="42"/>
      <c r="BC6260" s="74"/>
      <c r="BD6260" s="77"/>
      <c r="BF6260">
        <v>55.94</v>
      </c>
      <c r="BH6260" s="42"/>
      <c r="BI6260" s="74"/>
      <c r="BJ6260" s="77"/>
      <c r="BL6260" s="497">
        <v>51.08</v>
      </c>
      <c r="BN6260" s="42"/>
      <c r="BO6260" s="74"/>
      <c r="BP6260" s="77"/>
      <c r="BR6260" s="497">
        <v>46.94</v>
      </c>
      <c r="BT6260" s="42"/>
    </row>
    <row r="6261" spans="1:72" x14ac:dyDescent="0.25">
      <c r="A6261" s="90">
        <v>34960</v>
      </c>
      <c r="B6261" s="20">
        <v>0.125</v>
      </c>
      <c r="D6261">
        <v>64.039999999999992</v>
      </c>
      <c r="E6261" t="str">
        <f t="shared" si="230"/>
        <v>WEEKDAY</v>
      </c>
      <c r="F6261" t="e">
        <f t="shared" si="231"/>
        <v>#N/A</v>
      </c>
      <c r="G6261" s="74">
        <v>29116</v>
      </c>
      <c r="H6261" s="77">
        <v>0.125</v>
      </c>
      <c r="J6261">
        <v>63.680000000000007</v>
      </c>
      <c r="M6261" s="74">
        <v>37882</v>
      </c>
      <c r="N6261" s="77">
        <v>0.125</v>
      </c>
      <c r="P6261">
        <v>62.6</v>
      </c>
      <c r="S6261" s="74">
        <v>34960</v>
      </c>
      <c r="T6261" s="77">
        <v>0.125</v>
      </c>
      <c r="V6261">
        <v>62.06</v>
      </c>
      <c r="X6261" s="42"/>
      <c r="AB6261">
        <v>63.8</v>
      </c>
      <c r="AC6261">
        <v>73.039999999999992</v>
      </c>
      <c r="AE6261" s="74"/>
      <c r="AF6261" s="77"/>
      <c r="AH6261" s="497">
        <v>55.400000000000006</v>
      </c>
      <c r="AJ6261" s="42"/>
      <c r="AK6261" s="74"/>
      <c r="AL6261" s="77"/>
      <c r="AN6261" s="497">
        <v>57.74</v>
      </c>
      <c r="AP6261" s="42"/>
      <c r="AQ6261" s="74"/>
      <c r="AR6261" s="77"/>
      <c r="AT6261" s="497">
        <v>41</v>
      </c>
      <c r="AV6261" s="42"/>
      <c r="AW6261" s="74"/>
      <c r="AX6261" s="77"/>
      <c r="BA6261" s="497">
        <v>57.92</v>
      </c>
      <c r="BB6261" s="42"/>
      <c r="BC6261" s="74"/>
      <c r="BD6261" s="77"/>
      <c r="BF6261">
        <v>53.06</v>
      </c>
      <c r="BH6261" s="42"/>
      <c r="BI6261" s="74"/>
      <c r="BJ6261" s="77"/>
      <c r="BL6261" s="497">
        <v>50</v>
      </c>
      <c r="BN6261" s="42"/>
      <c r="BO6261" s="74"/>
      <c r="BP6261" s="77"/>
      <c r="BR6261" s="497">
        <v>46.04</v>
      </c>
      <c r="BT6261" s="42"/>
    </row>
    <row r="6262" spans="1:72" x14ac:dyDescent="0.25">
      <c r="A6262" s="90">
        <v>34960</v>
      </c>
      <c r="B6262" s="20">
        <v>0.16666666666666666</v>
      </c>
      <c r="D6262">
        <v>64.039999999999992</v>
      </c>
      <c r="E6262" t="str">
        <f t="shared" si="230"/>
        <v>WEEKDAY</v>
      </c>
      <c r="F6262" t="e">
        <f t="shared" si="231"/>
        <v>#N/A</v>
      </c>
      <c r="G6262" s="74">
        <v>29116</v>
      </c>
      <c r="H6262" s="77">
        <v>0.16666666666666666</v>
      </c>
      <c r="J6262">
        <v>62.96</v>
      </c>
      <c r="M6262" s="74">
        <v>37882</v>
      </c>
      <c r="N6262" s="77">
        <v>0.16666666666666666</v>
      </c>
      <c r="P6262">
        <v>62.6</v>
      </c>
      <c r="S6262" s="74">
        <v>34960</v>
      </c>
      <c r="T6262" s="77">
        <v>0.16666666666666666</v>
      </c>
      <c r="V6262">
        <v>62.06</v>
      </c>
      <c r="X6262" s="42"/>
      <c r="AB6262">
        <v>63.3</v>
      </c>
      <c r="AC6262">
        <v>73.039999999999992</v>
      </c>
      <c r="AE6262" s="74"/>
      <c r="AF6262" s="77"/>
      <c r="AH6262" s="497">
        <v>53.6</v>
      </c>
      <c r="AJ6262" s="42"/>
      <c r="AK6262" s="74"/>
      <c r="AL6262" s="77"/>
      <c r="AN6262" s="497">
        <v>57.019999999999996</v>
      </c>
      <c r="AP6262" s="42"/>
      <c r="AQ6262" s="74"/>
      <c r="AR6262" s="77"/>
      <c r="AT6262" s="497">
        <v>39.92</v>
      </c>
      <c r="AV6262" s="42"/>
      <c r="AW6262" s="74"/>
      <c r="AX6262" s="77"/>
      <c r="BA6262" s="497">
        <v>57.92</v>
      </c>
      <c r="BB6262" s="42"/>
      <c r="BC6262" s="74"/>
      <c r="BD6262" s="77"/>
      <c r="BF6262">
        <v>51.08</v>
      </c>
      <c r="BH6262" s="42"/>
      <c r="BI6262" s="74"/>
      <c r="BJ6262" s="77"/>
      <c r="BL6262" s="497">
        <v>50</v>
      </c>
      <c r="BN6262" s="42"/>
      <c r="BO6262" s="74"/>
      <c r="BP6262" s="77"/>
      <c r="BR6262" s="497">
        <v>44.96</v>
      </c>
      <c r="BT6262" s="42"/>
    </row>
    <row r="6263" spans="1:72" x14ac:dyDescent="0.25">
      <c r="A6263" s="90">
        <v>34960</v>
      </c>
      <c r="B6263" s="20">
        <v>0.20833333333333334</v>
      </c>
      <c r="D6263">
        <v>64.94</v>
      </c>
      <c r="E6263" t="str">
        <f t="shared" si="230"/>
        <v>WEEKDAY</v>
      </c>
      <c r="F6263" t="e">
        <f t="shared" si="231"/>
        <v>#N/A</v>
      </c>
      <c r="G6263" s="74">
        <v>29116</v>
      </c>
      <c r="H6263" s="77">
        <v>0.20833333333333334</v>
      </c>
      <c r="J6263">
        <v>63.680000000000007</v>
      </c>
      <c r="M6263" s="74">
        <v>37882</v>
      </c>
      <c r="N6263" s="77">
        <v>0.20833333333333334</v>
      </c>
      <c r="P6263">
        <v>62.6</v>
      </c>
      <c r="S6263" s="74">
        <v>34960</v>
      </c>
      <c r="T6263" s="77">
        <v>0.20833333333333334</v>
      </c>
      <c r="V6263">
        <v>64.039999999999992</v>
      </c>
      <c r="X6263" s="42"/>
      <c r="AB6263">
        <v>62.9</v>
      </c>
      <c r="AC6263">
        <v>73.039999999999992</v>
      </c>
      <c r="AE6263" s="74"/>
      <c r="AF6263" s="77"/>
      <c r="AH6263" s="497">
        <v>53.6</v>
      </c>
      <c r="AJ6263" s="42"/>
      <c r="AK6263" s="74"/>
      <c r="AL6263" s="77"/>
      <c r="AN6263" s="497">
        <v>57.019999999999996</v>
      </c>
      <c r="AP6263" s="42"/>
      <c r="AQ6263" s="74"/>
      <c r="AR6263" s="77"/>
      <c r="AT6263" s="497">
        <v>37.94</v>
      </c>
      <c r="AV6263" s="42"/>
      <c r="AW6263" s="74"/>
      <c r="AX6263" s="77"/>
      <c r="BA6263" s="497">
        <v>60.08</v>
      </c>
      <c r="BB6263" s="42"/>
      <c r="BC6263" s="74"/>
      <c r="BD6263" s="77"/>
      <c r="BF6263">
        <v>48.92</v>
      </c>
      <c r="BH6263" s="42"/>
      <c r="BI6263" s="74"/>
      <c r="BJ6263" s="77"/>
      <c r="BL6263" s="497">
        <v>50</v>
      </c>
      <c r="BN6263" s="42"/>
      <c r="BO6263" s="74"/>
      <c r="BP6263" s="77"/>
      <c r="BR6263" s="497">
        <v>44.96</v>
      </c>
      <c r="BT6263" s="42"/>
    </row>
    <row r="6264" spans="1:72" x14ac:dyDescent="0.25">
      <c r="A6264" s="90">
        <v>34960</v>
      </c>
      <c r="B6264" s="20">
        <v>0.25</v>
      </c>
      <c r="D6264">
        <v>64.039999999999992</v>
      </c>
      <c r="E6264" t="str">
        <f t="shared" si="230"/>
        <v>WEEKDAY</v>
      </c>
      <c r="F6264" t="e">
        <f t="shared" si="231"/>
        <v>#N/A</v>
      </c>
      <c r="G6264" s="74">
        <v>29116</v>
      </c>
      <c r="H6264" s="77">
        <v>0.25</v>
      </c>
      <c r="J6264">
        <v>64.22</v>
      </c>
      <c r="M6264" s="74">
        <v>37882</v>
      </c>
      <c r="N6264" s="77">
        <v>0.25</v>
      </c>
      <c r="P6264">
        <v>62.6</v>
      </c>
      <c r="S6264" s="74">
        <v>34960</v>
      </c>
      <c r="T6264" s="77">
        <v>0.25</v>
      </c>
      <c r="V6264">
        <v>64.039999999999992</v>
      </c>
      <c r="X6264" s="42"/>
      <c r="AB6264">
        <v>62.7</v>
      </c>
      <c r="AC6264">
        <v>73.039999999999992</v>
      </c>
      <c r="AE6264" s="74"/>
      <c r="AF6264" s="77"/>
      <c r="AH6264" s="497">
        <v>53.6</v>
      </c>
      <c r="AJ6264" s="42"/>
      <c r="AK6264" s="74"/>
      <c r="AL6264" s="77"/>
      <c r="AN6264" s="497">
        <v>57.019999999999996</v>
      </c>
      <c r="AP6264" s="42"/>
      <c r="AQ6264" s="74"/>
      <c r="AR6264" s="77"/>
      <c r="AT6264" s="497">
        <v>37.04</v>
      </c>
      <c r="AV6264" s="42"/>
      <c r="AW6264" s="74"/>
      <c r="AX6264" s="77"/>
      <c r="BA6264" s="497">
        <v>59</v>
      </c>
      <c r="BB6264" s="42"/>
      <c r="BC6264" s="74"/>
      <c r="BD6264" s="77"/>
      <c r="BF6264">
        <v>50</v>
      </c>
      <c r="BH6264" s="42"/>
      <c r="BI6264" s="74"/>
      <c r="BJ6264" s="77"/>
      <c r="BL6264" s="497">
        <v>48.92</v>
      </c>
      <c r="BN6264" s="42"/>
      <c r="BO6264" s="74"/>
      <c r="BP6264" s="77"/>
      <c r="BR6264" s="497">
        <v>44.96</v>
      </c>
      <c r="BT6264" s="42"/>
    </row>
    <row r="6265" spans="1:72" x14ac:dyDescent="0.25">
      <c r="A6265" s="90">
        <v>34960</v>
      </c>
      <c r="B6265" s="20">
        <v>0.29166666666666669</v>
      </c>
      <c r="D6265">
        <v>64.94</v>
      </c>
      <c r="E6265" t="str">
        <f t="shared" si="230"/>
        <v>WEEKDAY</v>
      </c>
      <c r="F6265" t="e">
        <f t="shared" si="231"/>
        <v>#N/A</v>
      </c>
      <c r="G6265" s="74">
        <v>29116</v>
      </c>
      <c r="H6265" s="77">
        <v>0.29166666666666669</v>
      </c>
      <c r="J6265">
        <v>64.94</v>
      </c>
      <c r="M6265" s="74">
        <v>37882</v>
      </c>
      <c r="N6265" s="77">
        <v>0.29166666666666669</v>
      </c>
      <c r="P6265">
        <v>62.6</v>
      </c>
      <c r="S6265" s="74">
        <v>34960</v>
      </c>
      <c r="T6265" s="77">
        <v>0.29166666666666669</v>
      </c>
      <c r="V6265">
        <v>64.94</v>
      </c>
      <c r="X6265" s="42"/>
      <c r="AB6265">
        <v>62.5</v>
      </c>
      <c r="AC6265">
        <v>73.94</v>
      </c>
      <c r="AE6265" s="74"/>
      <c r="AF6265" s="77"/>
      <c r="AH6265" s="497">
        <v>53.6</v>
      </c>
      <c r="AJ6265" s="42"/>
      <c r="AK6265" s="74"/>
      <c r="AL6265" s="77"/>
      <c r="AN6265" s="497">
        <v>57.019999999999996</v>
      </c>
      <c r="AP6265" s="42"/>
      <c r="AQ6265" s="74"/>
      <c r="AR6265" s="77"/>
      <c r="AT6265" s="497">
        <v>42.980000000000004</v>
      </c>
      <c r="AV6265" s="42"/>
      <c r="AW6265" s="74"/>
      <c r="AX6265" s="77"/>
      <c r="BA6265" s="497">
        <v>60.08</v>
      </c>
      <c r="BB6265" s="42"/>
      <c r="BC6265" s="74"/>
      <c r="BD6265" s="77"/>
      <c r="BF6265">
        <v>53.06</v>
      </c>
      <c r="BH6265" s="42"/>
      <c r="BI6265" s="74"/>
      <c r="BJ6265" s="77"/>
      <c r="BL6265" s="497">
        <v>51.08</v>
      </c>
      <c r="BN6265" s="42"/>
      <c r="BO6265" s="74"/>
      <c r="BP6265" s="77"/>
      <c r="BR6265" s="497">
        <v>44.96</v>
      </c>
      <c r="BT6265" s="42"/>
    </row>
    <row r="6266" spans="1:72" x14ac:dyDescent="0.25">
      <c r="A6266" s="90">
        <v>34960</v>
      </c>
      <c r="B6266" s="20">
        <v>0.33333333333333331</v>
      </c>
      <c r="D6266">
        <v>66.92</v>
      </c>
      <c r="E6266" t="str">
        <f t="shared" si="230"/>
        <v>WEEKDAY</v>
      </c>
      <c r="F6266" t="e">
        <f t="shared" si="231"/>
        <v>#N/A</v>
      </c>
      <c r="G6266" s="74">
        <v>29116</v>
      </c>
      <c r="H6266" s="77">
        <v>0.33333333333333331</v>
      </c>
      <c r="J6266">
        <v>67.64</v>
      </c>
      <c r="M6266" s="74">
        <v>37882</v>
      </c>
      <c r="N6266" s="77">
        <v>0.33333333333333331</v>
      </c>
      <c r="P6266">
        <v>64.400000000000006</v>
      </c>
      <c r="S6266" s="74">
        <v>34960</v>
      </c>
      <c r="T6266" s="77">
        <v>0.33333333333333331</v>
      </c>
      <c r="V6266">
        <v>66.02</v>
      </c>
      <c r="X6266" s="42"/>
      <c r="AB6266">
        <v>64.5</v>
      </c>
      <c r="AC6266">
        <v>73.94</v>
      </c>
      <c r="AE6266" s="74"/>
      <c r="AF6266" s="77"/>
      <c r="AH6266" s="497">
        <v>55.400000000000006</v>
      </c>
      <c r="AJ6266" s="42"/>
      <c r="AK6266" s="74"/>
      <c r="AL6266" s="77"/>
      <c r="AN6266" s="497">
        <v>58.1</v>
      </c>
      <c r="AP6266" s="42"/>
      <c r="AQ6266" s="74"/>
      <c r="AR6266" s="77"/>
      <c r="AT6266" s="497">
        <v>48.019999999999996</v>
      </c>
      <c r="AV6266" s="42"/>
      <c r="AW6266" s="74"/>
      <c r="AX6266" s="77"/>
      <c r="BA6266" s="497">
        <v>62.96</v>
      </c>
      <c r="BB6266" s="42"/>
      <c r="BC6266" s="74"/>
      <c r="BD6266" s="77"/>
      <c r="BF6266">
        <v>59</v>
      </c>
      <c r="BH6266" s="42"/>
      <c r="BI6266" s="74"/>
      <c r="BJ6266" s="77"/>
      <c r="BL6266" s="497">
        <v>55.040000000000006</v>
      </c>
      <c r="BN6266" s="42"/>
      <c r="BO6266" s="74"/>
      <c r="BP6266" s="77"/>
      <c r="BR6266" s="497">
        <v>46.58</v>
      </c>
      <c r="BT6266" s="42"/>
    </row>
    <row r="6267" spans="1:72" x14ac:dyDescent="0.25">
      <c r="A6267" s="90">
        <v>34960</v>
      </c>
      <c r="B6267" s="20">
        <v>0.375</v>
      </c>
      <c r="D6267">
        <v>69.080000000000013</v>
      </c>
      <c r="E6267" t="str">
        <f t="shared" si="230"/>
        <v>WEEKDAY</v>
      </c>
      <c r="F6267" t="e">
        <f t="shared" si="231"/>
        <v>#N/A</v>
      </c>
      <c r="G6267" s="74">
        <v>29116</v>
      </c>
      <c r="H6267" s="77">
        <v>0.375</v>
      </c>
      <c r="J6267">
        <v>70.34</v>
      </c>
      <c r="M6267" s="74">
        <v>37882</v>
      </c>
      <c r="N6267" s="77">
        <v>0.375</v>
      </c>
      <c r="P6267">
        <v>64.400000000000006</v>
      </c>
      <c r="S6267" s="74">
        <v>34960</v>
      </c>
      <c r="T6267" s="77">
        <v>0.375</v>
      </c>
      <c r="V6267">
        <v>69.080000000000013</v>
      </c>
      <c r="X6267" s="42"/>
      <c r="AB6267">
        <v>66.8</v>
      </c>
      <c r="AC6267">
        <v>73.94</v>
      </c>
      <c r="AE6267" s="74"/>
      <c r="AF6267" s="77"/>
      <c r="AH6267" s="497">
        <v>55.400000000000006</v>
      </c>
      <c r="AJ6267" s="42"/>
      <c r="AK6267" s="74"/>
      <c r="AL6267" s="77"/>
      <c r="AN6267" s="497">
        <v>59</v>
      </c>
      <c r="AP6267" s="42"/>
      <c r="AQ6267" s="74"/>
      <c r="AR6267" s="77"/>
      <c r="AT6267" s="497">
        <v>51.08</v>
      </c>
      <c r="AV6267" s="42"/>
      <c r="AW6267" s="74"/>
      <c r="AX6267" s="77"/>
      <c r="BA6267" s="497">
        <v>66.02</v>
      </c>
      <c r="BB6267" s="42"/>
      <c r="BC6267" s="74"/>
      <c r="BD6267" s="77"/>
      <c r="BF6267">
        <v>60.08</v>
      </c>
      <c r="BH6267" s="42"/>
      <c r="BI6267" s="74"/>
      <c r="BJ6267" s="77"/>
      <c r="BL6267" s="497">
        <v>60.980000000000004</v>
      </c>
      <c r="BN6267" s="42"/>
      <c r="BO6267" s="74"/>
      <c r="BP6267" s="77"/>
      <c r="BR6267" s="497">
        <v>48.379999999999995</v>
      </c>
      <c r="BT6267" s="42"/>
    </row>
    <row r="6268" spans="1:72" x14ac:dyDescent="0.25">
      <c r="A6268" s="90">
        <v>34960</v>
      </c>
      <c r="B6268" s="20">
        <v>0.41666666666666669</v>
      </c>
      <c r="D6268">
        <v>71.960000000000008</v>
      </c>
      <c r="E6268" t="str">
        <f t="shared" si="230"/>
        <v>WEEKDAY</v>
      </c>
      <c r="F6268" t="e">
        <f t="shared" si="231"/>
        <v>#N/A</v>
      </c>
      <c r="G6268" s="74">
        <v>29116</v>
      </c>
      <c r="H6268" s="77">
        <v>0.41666666666666669</v>
      </c>
      <c r="J6268">
        <v>73.039999999999992</v>
      </c>
      <c r="M6268" s="74">
        <v>37882</v>
      </c>
      <c r="N6268" s="77">
        <v>0.41666666666666669</v>
      </c>
      <c r="P6268">
        <v>68</v>
      </c>
      <c r="S6268" s="74">
        <v>34960</v>
      </c>
      <c r="T6268" s="77">
        <v>0.41666666666666669</v>
      </c>
      <c r="V6268">
        <v>69.98</v>
      </c>
      <c r="X6268" s="42"/>
      <c r="AB6268">
        <v>68.8</v>
      </c>
      <c r="AC6268">
        <v>60.980000000000004</v>
      </c>
      <c r="AE6268" s="74"/>
      <c r="AF6268" s="77"/>
      <c r="AH6268" s="497">
        <v>57.2</v>
      </c>
      <c r="AJ6268" s="42"/>
      <c r="AK6268" s="74"/>
      <c r="AL6268" s="77"/>
      <c r="AN6268" s="497">
        <v>60.08</v>
      </c>
      <c r="AP6268" s="42"/>
      <c r="AQ6268" s="74"/>
      <c r="AR6268" s="77"/>
      <c r="AT6268" s="497">
        <v>53.06</v>
      </c>
      <c r="AV6268" s="42"/>
      <c r="AW6268" s="74"/>
      <c r="AX6268" s="77"/>
      <c r="BA6268" s="497">
        <v>66.92</v>
      </c>
      <c r="BB6268" s="42"/>
      <c r="BC6268" s="74"/>
      <c r="BD6268" s="77"/>
      <c r="BF6268">
        <v>62.06</v>
      </c>
      <c r="BH6268" s="42"/>
      <c r="BI6268" s="74"/>
      <c r="BJ6268" s="77"/>
      <c r="BL6268" s="497">
        <v>66.02</v>
      </c>
      <c r="BN6268" s="42"/>
      <c r="BO6268" s="74"/>
      <c r="BP6268" s="77"/>
      <c r="BR6268" s="497">
        <v>50</v>
      </c>
      <c r="BT6268" s="42"/>
    </row>
    <row r="6269" spans="1:72" x14ac:dyDescent="0.25">
      <c r="A6269" s="90">
        <v>34960</v>
      </c>
      <c r="B6269" s="20">
        <v>0.45833333333333331</v>
      </c>
      <c r="D6269">
        <v>73.94</v>
      </c>
      <c r="E6269" t="str">
        <f t="shared" si="230"/>
        <v>WEEKDAY</v>
      </c>
      <c r="F6269" t="e">
        <f t="shared" si="231"/>
        <v>#N/A</v>
      </c>
      <c r="G6269" s="74">
        <v>29116</v>
      </c>
      <c r="H6269" s="77">
        <v>0.45833333333333331</v>
      </c>
      <c r="J6269">
        <v>74.300000000000011</v>
      </c>
      <c r="M6269" s="74">
        <v>37882</v>
      </c>
      <c r="N6269" s="77">
        <v>0.45833333333333331</v>
      </c>
      <c r="P6269">
        <v>69.800000000000011</v>
      </c>
      <c r="S6269" s="74">
        <v>34960</v>
      </c>
      <c r="T6269" s="77">
        <v>0.45833333333333331</v>
      </c>
      <c r="V6269">
        <v>71.960000000000008</v>
      </c>
      <c r="X6269" s="42"/>
      <c r="AB6269">
        <v>70.599999999999994</v>
      </c>
      <c r="AC6269">
        <v>62.96</v>
      </c>
      <c r="AE6269" s="74"/>
      <c r="AF6269" s="77"/>
      <c r="AH6269" s="497">
        <v>59</v>
      </c>
      <c r="AJ6269" s="42"/>
      <c r="AK6269" s="74"/>
      <c r="AL6269" s="77"/>
      <c r="AN6269" s="497">
        <v>62.42</v>
      </c>
      <c r="AP6269" s="42"/>
      <c r="AQ6269" s="74"/>
      <c r="AR6269" s="77"/>
      <c r="AT6269" s="497">
        <v>55.040000000000006</v>
      </c>
      <c r="AV6269" s="42"/>
      <c r="AW6269" s="74"/>
      <c r="AX6269" s="77"/>
      <c r="BA6269" s="497">
        <v>69.080000000000013</v>
      </c>
      <c r="BB6269" s="42"/>
      <c r="BC6269" s="74"/>
      <c r="BD6269" s="77"/>
      <c r="BF6269">
        <v>62.06</v>
      </c>
      <c r="BH6269" s="42"/>
      <c r="BI6269" s="74"/>
      <c r="BJ6269" s="77"/>
      <c r="BL6269" s="497">
        <v>69.98</v>
      </c>
      <c r="BN6269" s="42"/>
      <c r="BO6269" s="74"/>
      <c r="BP6269" s="77"/>
      <c r="BR6269" s="497">
        <v>51.620000000000005</v>
      </c>
      <c r="BT6269" s="42"/>
    </row>
    <row r="6270" spans="1:72" x14ac:dyDescent="0.25">
      <c r="A6270" s="90">
        <v>34960</v>
      </c>
      <c r="B6270" s="20">
        <v>0.5</v>
      </c>
      <c r="D6270">
        <v>75.02</v>
      </c>
      <c r="E6270" t="str">
        <f t="shared" si="230"/>
        <v>WEEKDAY</v>
      </c>
      <c r="F6270" t="e">
        <f t="shared" si="231"/>
        <v>#N/A</v>
      </c>
      <c r="G6270" s="74">
        <v>29116</v>
      </c>
      <c r="H6270" s="77">
        <v>0.5</v>
      </c>
      <c r="J6270">
        <v>75.740000000000009</v>
      </c>
      <c r="M6270" s="74">
        <v>37882</v>
      </c>
      <c r="N6270" s="77">
        <v>0.5</v>
      </c>
      <c r="P6270">
        <v>69.800000000000011</v>
      </c>
      <c r="S6270" s="74">
        <v>34960</v>
      </c>
      <c r="T6270" s="77">
        <v>0.5</v>
      </c>
      <c r="V6270">
        <v>73.039999999999992</v>
      </c>
      <c r="X6270" s="42"/>
      <c r="AB6270">
        <v>72.099999999999994</v>
      </c>
      <c r="AC6270">
        <v>64.94</v>
      </c>
      <c r="AE6270" s="74"/>
      <c r="AF6270" s="77"/>
      <c r="AH6270" s="497">
        <v>60.8</v>
      </c>
      <c r="AJ6270" s="42"/>
      <c r="AK6270" s="74"/>
      <c r="AL6270" s="77"/>
      <c r="AN6270" s="497">
        <v>64.580000000000013</v>
      </c>
      <c r="AP6270" s="42"/>
      <c r="AQ6270" s="74"/>
      <c r="AR6270" s="77"/>
      <c r="AT6270" s="497">
        <v>57.019999999999996</v>
      </c>
      <c r="AV6270" s="42"/>
      <c r="AW6270" s="74"/>
      <c r="AX6270" s="77"/>
      <c r="BA6270" s="497">
        <v>71.06</v>
      </c>
      <c r="BB6270" s="42"/>
      <c r="BC6270" s="74"/>
      <c r="BD6270" s="77"/>
      <c r="BF6270">
        <v>64.94</v>
      </c>
      <c r="BH6270" s="42"/>
      <c r="BI6270" s="74"/>
      <c r="BJ6270" s="77"/>
      <c r="BL6270" s="497">
        <v>73.039999999999992</v>
      </c>
      <c r="BN6270" s="42"/>
      <c r="BO6270" s="74"/>
      <c r="BP6270" s="77"/>
      <c r="BR6270" s="497">
        <v>53.42</v>
      </c>
      <c r="BT6270" s="42"/>
    </row>
    <row r="6271" spans="1:72" x14ac:dyDescent="0.25">
      <c r="A6271" s="90">
        <v>34960</v>
      </c>
      <c r="B6271" s="20">
        <v>0.54166666666666663</v>
      </c>
      <c r="D6271">
        <v>75.92</v>
      </c>
      <c r="E6271" t="str">
        <f t="shared" si="230"/>
        <v>WEEKDAY</v>
      </c>
      <c r="F6271" t="e">
        <f t="shared" si="231"/>
        <v>#N/A</v>
      </c>
      <c r="G6271" s="74">
        <v>29116</v>
      </c>
      <c r="H6271" s="77">
        <v>0.54166666666666663</v>
      </c>
      <c r="J6271">
        <v>77</v>
      </c>
      <c r="M6271" s="74">
        <v>37882</v>
      </c>
      <c r="N6271" s="77">
        <v>0.54166666666666663</v>
      </c>
      <c r="P6271">
        <v>69.800000000000011</v>
      </c>
      <c r="S6271" s="74">
        <v>34960</v>
      </c>
      <c r="T6271" s="77">
        <v>0.54166666666666663</v>
      </c>
      <c r="V6271">
        <v>73.94</v>
      </c>
      <c r="X6271" s="42"/>
      <c r="AB6271">
        <v>72.900000000000006</v>
      </c>
      <c r="AC6271">
        <v>66.02</v>
      </c>
      <c r="AE6271" s="74"/>
      <c r="AF6271" s="77"/>
      <c r="AH6271" s="497">
        <v>62.6</v>
      </c>
      <c r="AJ6271" s="42"/>
      <c r="AK6271" s="74"/>
      <c r="AL6271" s="77"/>
      <c r="AN6271" s="497">
        <v>66.92</v>
      </c>
      <c r="AP6271" s="42"/>
      <c r="AQ6271" s="74"/>
      <c r="AR6271" s="77"/>
      <c r="AT6271" s="497">
        <v>59</v>
      </c>
      <c r="AV6271" s="42"/>
      <c r="AW6271" s="74"/>
      <c r="AX6271" s="77"/>
      <c r="BA6271" s="497">
        <v>71.06</v>
      </c>
      <c r="BB6271" s="42"/>
      <c r="BC6271" s="74"/>
      <c r="BD6271" s="77"/>
      <c r="BF6271">
        <v>66.02</v>
      </c>
      <c r="BH6271" s="42"/>
      <c r="BI6271" s="74"/>
      <c r="BJ6271" s="77"/>
      <c r="BL6271" s="497">
        <v>75.02</v>
      </c>
      <c r="BN6271" s="42"/>
      <c r="BO6271" s="74"/>
      <c r="BP6271" s="77"/>
      <c r="BR6271" s="497">
        <v>55.040000000000006</v>
      </c>
      <c r="BT6271" s="42"/>
    </row>
    <row r="6272" spans="1:72" x14ac:dyDescent="0.25">
      <c r="A6272" s="90">
        <v>34960</v>
      </c>
      <c r="B6272" s="20">
        <v>0.58333333333333337</v>
      </c>
      <c r="D6272">
        <v>75.92</v>
      </c>
      <c r="E6272" t="str">
        <f t="shared" si="230"/>
        <v>WEEKDAY</v>
      </c>
      <c r="F6272" t="e">
        <f t="shared" si="231"/>
        <v>#N/A</v>
      </c>
      <c r="G6272" s="74">
        <v>29116</v>
      </c>
      <c r="H6272" s="77">
        <v>0.58333333333333337</v>
      </c>
      <c r="J6272">
        <v>76.28</v>
      </c>
      <c r="M6272" s="74">
        <v>37882</v>
      </c>
      <c r="N6272" s="77">
        <v>0.58333333333333337</v>
      </c>
      <c r="P6272">
        <v>69.800000000000011</v>
      </c>
      <c r="S6272" s="74">
        <v>34960</v>
      </c>
      <c r="T6272" s="77">
        <v>0.58333333333333337</v>
      </c>
      <c r="V6272">
        <v>75.02</v>
      </c>
      <c r="X6272" s="42"/>
      <c r="AB6272">
        <v>73.3</v>
      </c>
      <c r="AC6272">
        <v>68</v>
      </c>
      <c r="AE6272" s="74"/>
      <c r="AF6272" s="77"/>
      <c r="AH6272" s="497">
        <v>62.6</v>
      </c>
      <c r="AJ6272" s="42"/>
      <c r="AK6272" s="74"/>
      <c r="AL6272" s="77"/>
      <c r="AN6272" s="497">
        <v>66.92</v>
      </c>
      <c r="AP6272" s="42"/>
      <c r="AQ6272" s="74"/>
      <c r="AR6272" s="77"/>
      <c r="AT6272" s="497">
        <v>60.980000000000004</v>
      </c>
      <c r="AV6272" s="42"/>
      <c r="AW6272" s="74"/>
      <c r="AX6272" s="77"/>
      <c r="BA6272" s="497">
        <v>71.960000000000008</v>
      </c>
      <c r="BB6272" s="42"/>
      <c r="BC6272" s="74"/>
      <c r="BD6272" s="77"/>
      <c r="BF6272">
        <v>64.039999999999992</v>
      </c>
      <c r="BH6272" s="42"/>
      <c r="BI6272" s="74"/>
      <c r="BJ6272" s="77"/>
      <c r="BL6272" s="497">
        <v>77</v>
      </c>
      <c r="BN6272" s="42"/>
      <c r="BO6272" s="74"/>
      <c r="BP6272" s="77"/>
      <c r="BR6272" s="497">
        <v>55.94</v>
      </c>
      <c r="BT6272" s="42"/>
    </row>
    <row r="6273" spans="1:72" x14ac:dyDescent="0.25">
      <c r="A6273" s="90">
        <v>34960</v>
      </c>
      <c r="B6273" s="20">
        <v>0.625</v>
      </c>
      <c r="D6273">
        <v>75.92</v>
      </c>
      <c r="E6273" t="str">
        <f t="shared" si="230"/>
        <v>WEEKDAY</v>
      </c>
      <c r="F6273" t="e">
        <f t="shared" si="231"/>
        <v>#N/A</v>
      </c>
      <c r="G6273" s="74">
        <v>29116</v>
      </c>
      <c r="H6273" s="77">
        <v>0.625</v>
      </c>
      <c r="J6273">
        <v>75.740000000000009</v>
      </c>
      <c r="M6273" s="74">
        <v>37882</v>
      </c>
      <c r="N6273" s="77">
        <v>0.625</v>
      </c>
      <c r="P6273">
        <v>68</v>
      </c>
      <c r="S6273" s="74">
        <v>34960</v>
      </c>
      <c r="T6273" s="77">
        <v>0.625</v>
      </c>
      <c r="V6273">
        <v>75.02</v>
      </c>
      <c r="X6273" s="42"/>
      <c r="AB6273">
        <v>73.5</v>
      </c>
      <c r="AC6273">
        <v>64.039999999999992</v>
      </c>
      <c r="AE6273" s="74"/>
      <c r="AF6273" s="77"/>
      <c r="AH6273" s="497">
        <v>62.6</v>
      </c>
      <c r="AJ6273" s="42"/>
      <c r="AK6273" s="74"/>
      <c r="AL6273" s="77"/>
      <c r="AN6273" s="497">
        <v>66.92</v>
      </c>
      <c r="AP6273" s="42"/>
      <c r="AQ6273" s="74"/>
      <c r="AR6273" s="77"/>
      <c r="AT6273" s="497">
        <v>60.980000000000004</v>
      </c>
      <c r="AV6273" s="42"/>
      <c r="AW6273" s="74"/>
      <c r="AX6273" s="77"/>
      <c r="BA6273" s="497">
        <v>73.039999999999992</v>
      </c>
      <c r="BB6273" s="42"/>
      <c r="BC6273" s="74"/>
      <c r="BD6273" s="77"/>
      <c r="BF6273">
        <v>64.039999999999992</v>
      </c>
      <c r="BH6273" s="42"/>
      <c r="BI6273" s="74"/>
      <c r="BJ6273" s="77"/>
      <c r="BL6273" s="497">
        <v>78.080000000000013</v>
      </c>
      <c r="BN6273" s="42"/>
      <c r="BO6273" s="74"/>
      <c r="BP6273" s="77"/>
      <c r="BR6273" s="497">
        <v>57.019999999999996</v>
      </c>
      <c r="BT6273" s="42"/>
    </row>
    <row r="6274" spans="1:72" x14ac:dyDescent="0.25">
      <c r="A6274" s="90">
        <v>34960</v>
      </c>
      <c r="B6274" s="20">
        <v>0.66666666666666663</v>
      </c>
      <c r="D6274">
        <v>75.92</v>
      </c>
      <c r="E6274" t="str">
        <f t="shared" si="230"/>
        <v>WEEKDAY</v>
      </c>
      <c r="F6274" t="e">
        <f t="shared" si="231"/>
        <v>#N/A</v>
      </c>
      <c r="G6274" s="74">
        <v>29116</v>
      </c>
      <c r="H6274" s="77">
        <v>0.66666666666666663</v>
      </c>
      <c r="J6274">
        <v>75.02</v>
      </c>
      <c r="M6274" s="74">
        <v>37882</v>
      </c>
      <c r="N6274" s="77">
        <v>0.66666666666666663</v>
      </c>
      <c r="P6274">
        <v>68</v>
      </c>
      <c r="S6274" s="74">
        <v>34960</v>
      </c>
      <c r="T6274" s="77">
        <v>0.66666666666666663</v>
      </c>
      <c r="V6274">
        <v>73.94</v>
      </c>
      <c r="X6274" s="42"/>
      <c r="AB6274">
        <v>73.2</v>
      </c>
      <c r="AC6274">
        <v>62.96</v>
      </c>
      <c r="AE6274" s="74"/>
      <c r="AF6274" s="77"/>
      <c r="AH6274" s="497">
        <v>62.6</v>
      </c>
      <c r="AJ6274" s="42"/>
      <c r="AK6274" s="74"/>
      <c r="AL6274" s="77"/>
      <c r="AN6274" s="497">
        <v>66.92</v>
      </c>
      <c r="AP6274" s="42"/>
      <c r="AQ6274" s="74"/>
      <c r="AR6274" s="77"/>
      <c r="AT6274" s="497">
        <v>60.980000000000004</v>
      </c>
      <c r="AV6274" s="42"/>
      <c r="AW6274" s="74"/>
      <c r="AX6274" s="77"/>
      <c r="BA6274" s="497">
        <v>73.039999999999992</v>
      </c>
      <c r="BB6274" s="42"/>
      <c r="BC6274" s="74"/>
      <c r="BD6274" s="77"/>
      <c r="BF6274">
        <v>64.94</v>
      </c>
      <c r="BH6274" s="42"/>
      <c r="BI6274" s="74"/>
      <c r="BJ6274" s="77"/>
      <c r="BL6274" s="497">
        <v>78.080000000000013</v>
      </c>
      <c r="BN6274" s="42"/>
      <c r="BO6274" s="74"/>
      <c r="BP6274" s="77"/>
      <c r="BR6274" s="497">
        <v>57.92</v>
      </c>
      <c r="BT6274" s="42"/>
    </row>
    <row r="6275" spans="1:72" x14ac:dyDescent="0.25">
      <c r="A6275" s="90">
        <v>34960</v>
      </c>
      <c r="B6275" s="20">
        <v>0.70833333333333337</v>
      </c>
      <c r="D6275">
        <v>75.92</v>
      </c>
      <c r="E6275" t="str">
        <f t="shared" si="230"/>
        <v>WEEKDAY</v>
      </c>
      <c r="F6275" t="e">
        <f t="shared" si="231"/>
        <v>#N/A</v>
      </c>
      <c r="G6275" s="74">
        <v>29116</v>
      </c>
      <c r="H6275" s="77">
        <v>0.70833333333333337</v>
      </c>
      <c r="J6275">
        <v>73.759999999999991</v>
      </c>
      <c r="M6275" s="74">
        <v>37882</v>
      </c>
      <c r="N6275" s="77">
        <v>0.70833333333333337</v>
      </c>
      <c r="P6275">
        <v>69.800000000000011</v>
      </c>
      <c r="S6275" s="74">
        <v>34960</v>
      </c>
      <c r="T6275" s="77">
        <v>0.70833333333333337</v>
      </c>
      <c r="V6275">
        <v>73.039999999999992</v>
      </c>
      <c r="X6275" s="42"/>
      <c r="AB6275">
        <v>72.400000000000006</v>
      </c>
      <c r="AC6275">
        <v>60.980000000000004</v>
      </c>
      <c r="AE6275" s="74"/>
      <c r="AF6275" s="77"/>
      <c r="AH6275" s="497">
        <v>61.88</v>
      </c>
      <c r="AJ6275" s="42"/>
      <c r="AK6275" s="74"/>
      <c r="AL6275" s="77"/>
      <c r="AN6275" s="497">
        <v>65.66</v>
      </c>
      <c r="AP6275" s="42"/>
      <c r="AQ6275" s="74"/>
      <c r="AR6275" s="77"/>
      <c r="AT6275" s="497">
        <v>60.08</v>
      </c>
      <c r="AV6275" s="42"/>
      <c r="AW6275" s="74"/>
      <c r="AX6275" s="77"/>
      <c r="BA6275" s="497">
        <v>71.06</v>
      </c>
      <c r="BB6275" s="42"/>
      <c r="BC6275" s="74"/>
      <c r="BD6275" s="77"/>
      <c r="BF6275">
        <v>66.02</v>
      </c>
      <c r="BH6275" s="42"/>
      <c r="BI6275" s="74"/>
      <c r="BJ6275" s="77"/>
      <c r="BL6275" s="497">
        <v>75.02</v>
      </c>
      <c r="BN6275" s="42"/>
      <c r="BO6275" s="74"/>
      <c r="BP6275" s="77"/>
      <c r="BR6275" s="497">
        <v>54.86</v>
      </c>
      <c r="BT6275" s="42"/>
    </row>
    <row r="6276" spans="1:72" x14ac:dyDescent="0.25">
      <c r="A6276" s="90">
        <v>34960</v>
      </c>
      <c r="B6276" s="20">
        <v>0.75</v>
      </c>
      <c r="D6276">
        <v>75.02</v>
      </c>
      <c r="E6276" t="str">
        <f t="shared" si="230"/>
        <v>WEEKDAY</v>
      </c>
      <c r="F6276" t="e">
        <f t="shared" si="231"/>
        <v>#N/A</v>
      </c>
      <c r="G6276" s="74">
        <v>29116</v>
      </c>
      <c r="H6276" s="77">
        <v>0.75</v>
      </c>
      <c r="J6276">
        <v>72.319999999999993</v>
      </c>
      <c r="M6276" s="74">
        <v>37882</v>
      </c>
      <c r="N6276" s="77">
        <v>0.75</v>
      </c>
      <c r="P6276">
        <v>68</v>
      </c>
      <c r="S6276" s="74">
        <v>34960</v>
      </c>
      <c r="T6276" s="77">
        <v>0.75</v>
      </c>
      <c r="V6276">
        <v>71.06</v>
      </c>
      <c r="X6276" s="42"/>
      <c r="AB6276">
        <v>71.099999999999994</v>
      </c>
      <c r="AC6276">
        <v>60.08</v>
      </c>
      <c r="AE6276" s="74"/>
      <c r="AF6276" s="77"/>
      <c r="AH6276" s="497">
        <v>59</v>
      </c>
      <c r="AJ6276" s="42"/>
      <c r="AK6276" s="74"/>
      <c r="AL6276" s="77"/>
      <c r="AN6276" s="497">
        <v>64.22</v>
      </c>
      <c r="AP6276" s="42"/>
      <c r="AQ6276" s="74"/>
      <c r="AR6276" s="77"/>
      <c r="AT6276" s="497">
        <v>55.94</v>
      </c>
      <c r="AV6276" s="42"/>
      <c r="AW6276" s="74"/>
      <c r="AX6276" s="77"/>
      <c r="BA6276" s="497">
        <v>64.94</v>
      </c>
      <c r="BB6276" s="42"/>
      <c r="BC6276" s="74"/>
      <c r="BD6276" s="77"/>
      <c r="BF6276">
        <v>64.94</v>
      </c>
      <c r="BH6276" s="42"/>
      <c r="BI6276" s="74"/>
      <c r="BJ6276" s="77"/>
      <c r="BL6276" s="497">
        <v>71.06</v>
      </c>
      <c r="BN6276" s="42"/>
      <c r="BO6276" s="74"/>
      <c r="BP6276" s="77"/>
      <c r="BR6276" s="497">
        <v>51.980000000000004</v>
      </c>
      <c r="BT6276" s="42"/>
    </row>
    <row r="6277" spans="1:72" x14ac:dyDescent="0.25">
      <c r="A6277" s="90">
        <v>34960</v>
      </c>
      <c r="B6277" s="20">
        <v>0.79166666666666663</v>
      </c>
      <c r="D6277">
        <v>75.02</v>
      </c>
      <c r="E6277" t="str">
        <f t="shared" si="230"/>
        <v>WEEKDAY</v>
      </c>
      <c r="F6277" t="e">
        <f t="shared" si="231"/>
        <v>#N/A</v>
      </c>
      <c r="G6277" s="74">
        <v>29116</v>
      </c>
      <c r="H6277" s="77">
        <v>0.79166666666666663</v>
      </c>
      <c r="J6277">
        <v>71.06</v>
      </c>
      <c r="M6277" s="74">
        <v>37882</v>
      </c>
      <c r="N6277" s="77">
        <v>0.79166666666666663</v>
      </c>
      <c r="P6277">
        <v>66.2</v>
      </c>
      <c r="S6277" s="74">
        <v>34960</v>
      </c>
      <c r="T6277" s="77">
        <v>0.79166666666666663</v>
      </c>
      <c r="V6277">
        <v>66.92</v>
      </c>
      <c r="X6277" s="42"/>
      <c r="AB6277">
        <v>69.400000000000006</v>
      </c>
      <c r="AC6277">
        <v>60.08</v>
      </c>
      <c r="AE6277" s="74"/>
      <c r="AF6277" s="77"/>
      <c r="AH6277" s="497">
        <v>57.2</v>
      </c>
      <c r="AJ6277" s="42"/>
      <c r="AK6277" s="74"/>
      <c r="AL6277" s="77"/>
      <c r="AN6277" s="497">
        <v>62.96</v>
      </c>
      <c r="AP6277" s="42"/>
      <c r="AQ6277" s="74"/>
      <c r="AR6277" s="77"/>
      <c r="AT6277" s="497">
        <v>53.96</v>
      </c>
      <c r="AV6277" s="42"/>
      <c r="AW6277" s="74"/>
      <c r="AX6277" s="77"/>
      <c r="BA6277" s="497">
        <v>62.06</v>
      </c>
      <c r="BB6277" s="42"/>
      <c r="BC6277" s="74"/>
      <c r="BD6277" s="77"/>
      <c r="BF6277">
        <v>64.94</v>
      </c>
      <c r="BH6277" s="42"/>
      <c r="BI6277" s="74"/>
      <c r="BJ6277" s="77"/>
      <c r="BL6277" s="497">
        <v>68</v>
      </c>
      <c r="BN6277" s="42"/>
      <c r="BO6277" s="74"/>
      <c r="BP6277" s="77"/>
      <c r="BR6277" s="497">
        <v>48.92</v>
      </c>
      <c r="BT6277" s="42"/>
    </row>
    <row r="6278" spans="1:72" x14ac:dyDescent="0.25">
      <c r="A6278" s="90">
        <v>34960</v>
      </c>
      <c r="B6278" s="20">
        <v>0.83333333333333337</v>
      </c>
      <c r="D6278">
        <v>73.039999999999992</v>
      </c>
      <c r="E6278" t="str">
        <f t="shared" si="230"/>
        <v>WEEKDAY</v>
      </c>
      <c r="F6278" t="e">
        <f t="shared" si="231"/>
        <v>#N/A</v>
      </c>
      <c r="G6278" s="74">
        <v>29116</v>
      </c>
      <c r="H6278" s="77">
        <v>0.83333333333333337</v>
      </c>
      <c r="J6278">
        <v>70.34</v>
      </c>
      <c r="M6278" s="74">
        <v>37882</v>
      </c>
      <c r="N6278" s="77">
        <v>0.83333333333333337</v>
      </c>
      <c r="P6278">
        <v>66.2</v>
      </c>
      <c r="S6278" s="74">
        <v>34960</v>
      </c>
      <c r="T6278" s="77">
        <v>0.83333333333333337</v>
      </c>
      <c r="V6278">
        <v>64.94</v>
      </c>
      <c r="X6278" s="42"/>
      <c r="AB6278">
        <v>68.400000000000006</v>
      </c>
      <c r="AC6278">
        <v>60.08</v>
      </c>
      <c r="AE6278" s="74"/>
      <c r="AF6278" s="77"/>
      <c r="AH6278" s="497">
        <v>55.400000000000006</v>
      </c>
      <c r="AJ6278" s="42"/>
      <c r="AK6278" s="74"/>
      <c r="AL6278" s="77"/>
      <c r="AN6278" s="497">
        <v>62.24</v>
      </c>
      <c r="AP6278" s="42"/>
      <c r="AQ6278" s="74"/>
      <c r="AR6278" s="77"/>
      <c r="AT6278" s="497">
        <v>51.980000000000004</v>
      </c>
      <c r="AV6278" s="42"/>
      <c r="AW6278" s="74"/>
      <c r="AX6278" s="77"/>
      <c r="BA6278" s="497">
        <v>62.06</v>
      </c>
      <c r="BB6278" s="42"/>
      <c r="BC6278" s="74"/>
      <c r="BD6278" s="77"/>
      <c r="BF6278">
        <v>62.96</v>
      </c>
      <c r="BH6278" s="42"/>
      <c r="BI6278" s="74"/>
      <c r="BJ6278" s="77"/>
      <c r="BL6278" s="497">
        <v>66.02</v>
      </c>
      <c r="BN6278" s="42"/>
      <c r="BO6278" s="74"/>
      <c r="BP6278" s="77"/>
      <c r="BR6278" s="497">
        <v>46.94</v>
      </c>
      <c r="BT6278" s="42"/>
    </row>
    <row r="6279" spans="1:72" x14ac:dyDescent="0.25">
      <c r="A6279" s="90">
        <v>34960</v>
      </c>
      <c r="B6279" s="20">
        <v>0.875</v>
      </c>
      <c r="D6279">
        <v>71.960000000000008</v>
      </c>
      <c r="E6279" t="str">
        <f t="shared" si="230"/>
        <v>WEEKDAY</v>
      </c>
      <c r="F6279" t="e">
        <f t="shared" si="231"/>
        <v>#N/A</v>
      </c>
      <c r="G6279" s="74">
        <v>29116</v>
      </c>
      <c r="H6279" s="77">
        <v>0.875</v>
      </c>
      <c r="J6279">
        <v>69.800000000000011</v>
      </c>
      <c r="M6279" s="74">
        <v>37882</v>
      </c>
      <c r="N6279" s="77">
        <v>0.875</v>
      </c>
      <c r="P6279">
        <v>66.2</v>
      </c>
      <c r="S6279" s="74">
        <v>34960</v>
      </c>
      <c r="T6279" s="77">
        <v>0.875</v>
      </c>
      <c r="V6279">
        <v>64.039999999999992</v>
      </c>
      <c r="X6279" s="42"/>
      <c r="AB6279">
        <v>67.599999999999994</v>
      </c>
      <c r="AC6279">
        <v>59</v>
      </c>
      <c r="AE6279" s="74"/>
      <c r="AF6279" s="77"/>
      <c r="AH6279" s="497">
        <v>53.6</v>
      </c>
      <c r="AJ6279" s="42"/>
      <c r="AK6279" s="74"/>
      <c r="AL6279" s="77"/>
      <c r="AN6279" s="497">
        <v>61.7</v>
      </c>
      <c r="AP6279" s="42"/>
      <c r="AQ6279" s="74"/>
      <c r="AR6279" s="77"/>
      <c r="AT6279" s="497">
        <v>48.019999999999996</v>
      </c>
      <c r="AV6279" s="42"/>
      <c r="AW6279" s="74"/>
      <c r="AX6279" s="77"/>
      <c r="BA6279" s="497">
        <v>60.980000000000004</v>
      </c>
      <c r="BB6279" s="42"/>
      <c r="BC6279" s="74"/>
      <c r="BD6279" s="77"/>
      <c r="BF6279">
        <v>60.08</v>
      </c>
      <c r="BH6279" s="42"/>
      <c r="BI6279" s="74"/>
      <c r="BJ6279" s="77"/>
      <c r="BL6279" s="497">
        <v>64.039999999999992</v>
      </c>
      <c r="BN6279" s="42"/>
      <c r="BO6279" s="74"/>
      <c r="BP6279" s="77"/>
      <c r="BR6279" s="497">
        <v>44.96</v>
      </c>
      <c r="BT6279" s="42"/>
    </row>
    <row r="6280" spans="1:72" x14ac:dyDescent="0.25">
      <c r="A6280" s="90">
        <v>34960</v>
      </c>
      <c r="B6280" s="20">
        <v>0.91666666666666663</v>
      </c>
      <c r="D6280">
        <v>71.06</v>
      </c>
      <c r="E6280" t="str">
        <f t="shared" si="230"/>
        <v>WEEKDAY</v>
      </c>
      <c r="F6280" t="e">
        <f t="shared" si="231"/>
        <v>#N/A</v>
      </c>
      <c r="G6280" s="74">
        <v>29116</v>
      </c>
      <c r="H6280" s="77">
        <v>0.91666666666666663</v>
      </c>
      <c r="J6280">
        <v>69.080000000000013</v>
      </c>
      <c r="M6280" s="74">
        <v>37882</v>
      </c>
      <c r="N6280" s="77">
        <v>0.91666666666666663</v>
      </c>
      <c r="P6280">
        <v>66.2</v>
      </c>
      <c r="S6280" s="74">
        <v>34960</v>
      </c>
      <c r="T6280" s="77">
        <v>0.91666666666666663</v>
      </c>
      <c r="V6280">
        <v>62.96</v>
      </c>
      <c r="X6280" s="42"/>
      <c r="AB6280">
        <v>67</v>
      </c>
      <c r="AC6280">
        <v>57.92</v>
      </c>
      <c r="AE6280" s="74"/>
      <c r="AF6280" s="77"/>
      <c r="AH6280" s="497">
        <v>51.8</v>
      </c>
      <c r="AJ6280" s="42"/>
      <c r="AK6280" s="74"/>
      <c r="AL6280" s="77"/>
      <c r="AN6280" s="497">
        <v>60.980000000000004</v>
      </c>
      <c r="AP6280" s="42"/>
      <c r="AQ6280" s="74"/>
      <c r="AR6280" s="77"/>
      <c r="AT6280" s="497">
        <v>46.94</v>
      </c>
      <c r="AV6280" s="42"/>
      <c r="AW6280" s="74"/>
      <c r="AX6280" s="77"/>
      <c r="BA6280" s="497">
        <v>60.08</v>
      </c>
      <c r="BB6280" s="42"/>
      <c r="BC6280" s="74"/>
      <c r="BD6280" s="77"/>
      <c r="BF6280">
        <v>57.019999999999996</v>
      </c>
      <c r="BH6280" s="42"/>
      <c r="BI6280" s="74"/>
      <c r="BJ6280" s="77"/>
      <c r="BL6280" s="497">
        <v>60.980000000000004</v>
      </c>
      <c r="BN6280" s="42"/>
      <c r="BO6280" s="74"/>
      <c r="BP6280" s="77"/>
      <c r="BR6280" s="497">
        <v>42.980000000000004</v>
      </c>
      <c r="BT6280" s="42"/>
    </row>
    <row r="6281" spans="1:72" x14ac:dyDescent="0.25">
      <c r="A6281" s="90">
        <v>34960</v>
      </c>
      <c r="B6281" s="20">
        <v>0.95833333333333337</v>
      </c>
      <c r="D6281">
        <v>71.06</v>
      </c>
      <c r="E6281" t="str">
        <f t="shared" si="230"/>
        <v>WEEKDAY</v>
      </c>
      <c r="F6281" t="e">
        <f t="shared" si="231"/>
        <v>#N/A</v>
      </c>
      <c r="G6281" s="74">
        <v>29116</v>
      </c>
      <c r="H6281" s="77">
        <v>0.95833333333333337</v>
      </c>
      <c r="J6281">
        <v>68.36</v>
      </c>
      <c r="M6281" s="74">
        <v>37882</v>
      </c>
      <c r="N6281" s="77">
        <v>0.95833333333333337</v>
      </c>
      <c r="P6281">
        <v>66.2</v>
      </c>
      <c r="S6281" s="74">
        <v>34960</v>
      </c>
      <c r="T6281" s="77">
        <v>0.95833333333333337</v>
      </c>
      <c r="V6281">
        <v>62.06</v>
      </c>
      <c r="X6281" s="42"/>
      <c r="AB6281">
        <v>66.3</v>
      </c>
      <c r="AC6281">
        <v>57.92</v>
      </c>
      <c r="AE6281" s="74"/>
      <c r="AF6281" s="77"/>
      <c r="AH6281" s="497">
        <v>51.8</v>
      </c>
      <c r="AJ6281" s="42"/>
      <c r="AK6281" s="74"/>
      <c r="AL6281" s="77"/>
      <c r="AN6281" s="497">
        <v>60.980000000000004</v>
      </c>
      <c r="AP6281" s="42"/>
      <c r="AQ6281" s="74"/>
      <c r="AR6281" s="77"/>
      <c r="AT6281" s="497">
        <v>42.08</v>
      </c>
      <c r="AV6281" s="42"/>
      <c r="AW6281" s="74"/>
      <c r="AX6281" s="77"/>
      <c r="BA6281" s="497">
        <v>59</v>
      </c>
      <c r="BB6281" s="42"/>
      <c r="BC6281" s="74"/>
      <c r="BD6281" s="77"/>
      <c r="BF6281">
        <v>57.019999999999996</v>
      </c>
      <c r="BH6281" s="42"/>
      <c r="BI6281" s="74"/>
      <c r="BJ6281" s="77"/>
      <c r="BL6281" s="497">
        <v>60.08</v>
      </c>
      <c r="BN6281" s="42"/>
      <c r="BO6281" s="74"/>
      <c r="BP6281" s="77"/>
      <c r="BR6281" s="497">
        <v>42.26</v>
      </c>
      <c r="BT6281" s="42"/>
    </row>
    <row r="6282" spans="1:72" x14ac:dyDescent="0.25">
      <c r="A6282" s="90">
        <v>34960</v>
      </c>
      <c r="B6282" s="20">
        <v>1</v>
      </c>
      <c r="D6282">
        <v>69.080000000000013</v>
      </c>
      <c r="E6282" t="str">
        <f t="shared" si="230"/>
        <v>WEEKDAY</v>
      </c>
      <c r="F6282" t="e">
        <f t="shared" si="231"/>
        <v>#N/A</v>
      </c>
      <c r="G6282" s="74">
        <v>29116</v>
      </c>
      <c r="H6282" s="77">
        <v>1</v>
      </c>
      <c r="J6282">
        <v>67.64</v>
      </c>
      <c r="M6282" s="74">
        <v>37882</v>
      </c>
      <c r="N6282" s="80">
        <v>1</v>
      </c>
      <c r="P6282">
        <v>64.400000000000006</v>
      </c>
      <c r="S6282" s="74">
        <v>34960</v>
      </c>
      <c r="T6282" s="80">
        <v>1</v>
      </c>
      <c r="V6282">
        <v>60.980000000000004</v>
      </c>
      <c r="X6282" s="42"/>
      <c r="AB6282">
        <v>65.599999999999994</v>
      </c>
      <c r="AC6282">
        <v>55.94</v>
      </c>
      <c r="AE6282" s="74"/>
      <c r="AF6282" s="80"/>
      <c r="AH6282" s="497">
        <v>50</v>
      </c>
      <c r="AJ6282" s="42"/>
      <c r="AK6282" s="74"/>
      <c r="AL6282" s="80"/>
      <c r="AN6282" s="497">
        <v>60.980000000000004</v>
      </c>
      <c r="AP6282" s="42"/>
      <c r="AQ6282" s="74"/>
      <c r="AR6282" s="80"/>
      <c r="AT6282" s="497">
        <v>39.92</v>
      </c>
      <c r="AV6282" s="42"/>
      <c r="AW6282" s="74"/>
      <c r="AX6282" s="80"/>
      <c r="BA6282" s="497">
        <v>60.980000000000004</v>
      </c>
      <c r="BB6282" s="42"/>
      <c r="BC6282" s="74"/>
      <c r="BD6282" s="80"/>
      <c r="BF6282">
        <v>55.040000000000006</v>
      </c>
      <c r="BH6282" s="42"/>
      <c r="BI6282" s="74"/>
      <c r="BJ6282" s="80"/>
      <c r="BL6282" s="497">
        <v>57.92</v>
      </c>
      <c r="BN6282" s="42"/>
      <c r="BO6282" s="74"/>
      <c r="BP6282" s="80"/>
      <c r="BR6282" s="497">
        <v>41.72</v>
      </c>
      <c r="BT6282" s="42"/>
    </row>
    <row r="6283" spans="1:72" x14ac:dyDescent="0.25">
      <c r="A6283" s="90">
        <v>34961</v>
      </c>
      <c r="B6283" s="20">
        <v>4.1666666666666664E-2</v>
      </c>
      <c r="D6283">
        <v>68</v>
      </c>
      <c r="E6283" t="str">
        <f t="shared" si="230"/>
        <v>WEEKDAY</v>
      </c>
      <c r="F6283" t="e">
        <f t="shared" si="231"/>
        <v>#N/A</v>
      </c>
      <c r="G6283" s="74">
        <v>29117</v>
      </c>
      <c r="H6283" s="77">
        <v>4.1666666666666664E-2</v>
      </c>
      <c r="J6283">
        <v>66.92</v>
      </c>
      <c r="M6283" s="74">
        <v>37883</v>
      </c>
      <c r="N6283" s="77">
        <v>4.1666666666666664E-2</v>
      </c>
      <c r="P6283">
        <v>66.2</v>
      </c>
      <c r="S6283" s="74">
        <v>34961</v>
      </c>
      <c r="T6283" s="77">
        <v>4.1666666666666664E-2</v>
      </c>
      <c r="V6283">
        <v>60.08</v>
      </c>
      <c r="X6283" s="42"/>
      <c r="AB6283">
        <v>64.8</v>
      </c>
      <c r="AC6283">
        <v>55.040000000000006</v>
      </c>
      <c r="AE6283" s="74"/>
      <c r="AF6283" s="77"/>
      <c r="AH6283" s="497">
        <v>48.2</v>
      </c>
      <c r="AJ6283" s="42"/>
      <c r="AK6283" s="74"/>
      <c r="AL6283" s="77"/>
      <c r="AN6283" s="497">
        <v>60.980000000000004</v>
      </c>
      <c r="AP6283" s="42"/>
      <c r="AQ6283" s="74"/>
      <c r="AR6283" s="77"/>
      <c r="AT6283" s="497">
        <v>39.019999999999996</v>
      </c>
      <c r="AV6283" s="42"/>
      <c r="AW6283" s="74"/>
      <c r="AX6283" s="77"/>
      <c r="BA6283" s="497">
        <v>62.06</v>
      </c>
      <c r="BB6283" s="42"/>
      <c r="BC6283" s="74"/>
      <c r="BD6283" s="77"/>
      <c r="BF6283">
        <v>55.94</v>
      </c>
      <c r="BH6283" s="42"/>
      <c r="BI6283" s="74"/>
      <c r="BJ6283" s="77"/>
      <c r="BL6283" s="497">
        <v>59</v>
      </c>
      <c r="BN6283" s="42"/>
      <c r="BO6283" s="74"/>
      <c r="BP6283" s="77"/>
      <c r="BR6283" s="497">
        <v>41</v>
      </c>
      <c r="BT6283" s="42"/>
    </row>
    <row r="6284" spans="1:72" x14ac:dyDescent="0.25">
      <c r="A6284" s="90">
        <v>34961</v>
      </c>
      <c r="B6284" s="20">
        <v>8.3333333333333329E-2</v>
      </c>
      <c r="D6284">
        <v>68</v>
      </c>
      <c r="E6284" t="str">
        <f t="shared" si="230"/>
        <v>WEEKDAY</v>
      </c>
      <c r="F6284" t="e">
        <f t="shared" si="231"/>
        <v>#N/A</v>
      </c>
      <c r="G6284" s="74">
        <v>29117</v>
      </c>
      <c r="H6284" s="77">
        <v>8.3333333333333329E-2</v>
      </c>
      <c r="J6284">
        <v>66.92</v>
      </c>
      <c r="M6284" s="74">
        <v>37883</v>
      </c>
      <c r="N6284" s="77">
        <v>8.3333333333333329E-2</v>
      </c>
      <c r="P6284">
        <v>66.2</v>
      </c>
      <c r="S6284" s="74">
        <v>34961</v>
      </c>
      <c r="T6284" s="77">
        <v>8.3333333333333329E-2</v>
      </c>
      <c r="V6284">
        <v>59</v>
      </c>
      <c r="X6284" s="42"/>
      <c r="AB6284">
        <v>64.2</v>
      </c>
      <c r="AC6284">
        <v>53.96</v>
      </c>
      <c r="AE6284" s="74"/>
      <c r="AF6284" s="77"/>
      <c r="AH6284" s="497">
        <v>47.480000000000004</v>
      </c>
      <c r="AJ6284" s="42"/>
      <c r="AK6284" s="74"/>
      <c r="AL6284" s="77"/>
      <c r="AN6284" s="497">
        <v>60.26</v>
      </c>
      <c r="AP6284" s="42"/>
      <c r="AQ6284" s="74"/>
      <c r="AR6284" s="77"/>
      <c r="AT6284" s="497">
        <v>37.94</v>
      </c>
      <c r="AV6284" s="42"/>
      <c r="AW6284" s="74"/>
      <c r="AX6284" s="77"/>
      <c r="BA6284" s="497">
        <v>62.06</v>
      </c>
      <c r="BB6284" s="42"/>
      <c r="BC6284" s="74"/>
      <c r="BD6284" s="77"/>
      <c r="BF6284">
        <v>55.040000000000006</v>
      </c>
      <c r="BH6284" s="42"/>
      <c r="BI6284" s="74"/>
      <c r="BJ6284" s="77"/>
      <c r="BL6284" s="497">
        <v>57.019999999999996</v>
      </c>
      <c r="BN6284" s="42"/>
      <c r="BO6284" s="74"/>
      <c r="BP6284" s="77"/>
      <c r="BR6284" s="497">
        <v>41</v>
      </c>
      <c r="BT6284" s="42"/>
    </row>
    <row r="6285" spans="1:72" x14ac:dyDescent="0.25">
      <c r="A6285" s="90">
        <v>34961</v>
      </c>
      <c r="B6285" s="20">
        <v>0.125</v>
      </c>
      <c r="D6285">
        <v>66.02</v>
      </c>
      <c r="E6285" t="str">
        <f t="shared" si="230"/>
        <v>WEEKDAY</v>
      </c>
      <c r="F6285" t="e">
        <f t="shared" si="231"/>
        <v>#N/A</v>
      </c>
      <c r="G6285" s="74">
        <v>29117</v>
      </c>
      <c r="H6285" s="77">
        <v>0.125</v>
      </c>
      <c r="J6285">
        <v>66.92</v>
      </c>
      <c r="M6285" s="74">
        <v>37883</v>
      </c>
      <c r="N6285" s="77">
        <v>0.125</v>
      </c>
      <c r="P6285">
        <v>69.800000000000011</v>
      </c>
      <c r="S6285" s="74">
        <v>34961</v>
      </c>
      <c r="T6285" s="77">
        <v>0.125</v>
      </c>
      <c r="V6285">
        <v>57.92</v>
      </c>
      <c r="X6285" s="42"/>
      <c r="AB6285">
        <v>63.6</v>
      </c>
      <c r="AC6285">
        <v>53.06</v>
      </c>
      <c r="AE6285" s="74"/>
      <c r="AF6285" s="77"/>
      <c r="AH6285" s="497">
        <v>46.4</v>
      </c>
      <c r="AJ6285" s="42"/>
      <c r="AK6285" s="74"/>
      <c r="AL6285" s="77"/>
      <c r="AN6285" s="497">
        <v>59.72</v>
      </c>
      <c r="AP6285" s="42"/>
      <c r="AQ6285" s="74"/>
      <c r="AR6285" s="77"/>
      <c r="AT6285" s="497">
        <v>35.96</v>
      </c>
      <c r="AV6285" s="42"/>
      <c r="AW6285" s="74"/>
      <c r="AX6285" s="77"/>
      <c r="BA6285" s="497">
        <v>60.08</v>
      </c>
      <c r="BB6285" s="42"/>
      <c r="BC6285" s="74"/>
      <c r="BD6285" s="77"/>
      <c r="BF6285">
        <v>53.96</v>
      </c>
      <c r="BH6285" s="42"/>
      <c r="BI6285" s="74"/>
      <c r="BJ6285" s="77"/>
      <c r="BL6285" s="497">
        <v>55.94</v>
      </c>
      <c r="BN6285" s="42"/>
      <c r="BO6285" s="74"/>
      <c r="BP6285" s="77"/>
      <c r="BR6285" s="497">
        <v>41</v>
      </c>
      <c r="BT6285" s="42"/>
    </row>
    <row r="6286" spans="1:72" x14ac:dyDescent="0.25">
      <c r="A6286" s="90">
        <v>34961</v>
      </c>
      <c r="B6286" s="20">
        <v>0.16666666666666666</v>
      </c>
      <c r="D6286">
        <v>64.94</v>
      </c>
      <c r="E6286" t="str">
        <f t="shared" si="230"/>
        <v>WEEKDAY</v>
      </c>
      <c r="F6286" t="e">
        <f t="shared" si="231"/>
        <v>#N/A</v>
      </c>
      <c r="G6286" s="74">
        <v>29117</v>
      </c>
      <c r="H6286" s="77">
        <v>0.16666666666666666</v>
      </c>
      <c r="J6286">
        <v>66.92</v>
      </c>
      <c r="M6286" s="74">
        <v>37883</v>
      </c>
      <c r="N6286" s="77">
        <v>0.16666666666666666</v>
      </c>
      <c r="P6286">
        <v>69.800000000000011</v>
      </c>
      <c r="S6286" s="74">
        <v>34961</v>
      </c>
      <c r="T6286" s="77">
        <v>0.16666666666666666</v>
      </c>
      <c r="V6286">
        <v>57.92</v>
      </c>
      <c r="X6286" s="42"/>
      <c r="AB6286">
        <v>63.1</v>
      </c>
      <c r="AC6286">
        <v>53.06</v>
      </c>
      <c r="AE6286" s="74"/>
      <c r="AF6286" s="77"/>
      <c r="AH6286" s="497">
        <v>46.4</v>
      </c>
      <c r="AJ6286" s="42"/>
      <c r="AK6286" s="74"/>
      <c r="AL6286" s="77"/>
      <c r="AN6286" s="497">
        <v>59</v>
      </c>
      <c r="AP6286" s="42"/>
      <c r="AQ6286" s="74"/>
      <c r="AR6286" s="77"/>
      <c r="AT6286" s="497">
        <v>37.94</v>
      </c>
      <c r="AV6286" s="42"/>
      <c r="AW6286" s="74"/>
      <c r="AX6286" s="77"/>
      <c r="BA6286" s="497">
        <v>60.08</v>
      </c>
      <c r="BB6286" s="42"/>
      <c r="BC6286" s="74"/>
      <c r="BD6286" s="77"/>
      <c r="BF6286">
        <v>51.980000000000004</v>
      </c>
      <c r="BH6286" s="42"/>
      <c r="BI6286" s="74"/>
      <c r="BJ6286" s="77"/>
      <c r="BL6286" s="497">
        <v>57.019999999999996</v>
      </c>
      <c r="BN6286" s="42"/>
      <c r="BO6286" s="74"/>
      <c r="BP6286" s="77"/>
      <c r="BR6286" s="497">
        <v>41</v>
      </c>
      <c r="BT6286" s="42"/>
    </row>
    <row r="6287" spans="1:72" x14ac:dyDescent="0.25">
      <c r="A6287" s="90">
        <v>34961</v>
      </c>
      <c r="B6287" s="20">
        <v>0.20833333333333334</v>
      </c>
      <c r="D6287">
        <v>64.039999999999992</v>
      </c>
      <c r="E6287" t="str">
        <f t="shared" si="230"/>
        <v>WEEKDAY</v>
      </c>
      <c r="F6287" t="e">
        <f t="shared" si="231"/>
        <v>#N/A</v>
      </c>
      <c r="G6287" s="74">
        <v>29117</v>
      </c>
      <c r="H6287" s="77">
        <v>0.20833333333333334</v>
      </c>
      <c r="J6287">
        <v>66.2</v>
      </c>
      <c r="M6287" s="74">
        <v>37883</v>
      </c>
      <c r="N6287" s="77">
        <v>0.20833333333333334</v>
      </c>
      <c r="P6287">
        <v>71.599999999999994</v>
      </c>
      <c r="S6287" s="74">
        <v>34961</v>
      </c>
      <c r="T6287" s="77">
        <v>0.20833333333333334</v>
      </c>
      <c r="V6287">
        <v>57.019999999999996</v>
      </c>
      <c r="X6287" s="42"/>
      <c r="AB6287">
        <v>62.7</v>
      </c>
      <c r="AC6287">
        <v>51.980000000000004</v>
      </c>
      <c r="AE6287" s="74"/>
      <c r="AF6287" s="77"/>
      <c r="AH6287" s="497">
        <v>44.6</v>
      </c>
      <c r="AJ6287" s="42"/>
      <c r="AK6287" s="74"/>
      <c r="AL6287" s="77"/>
      <c r="AN6287" s="497">
        <v>58.28</v>
      </c>
      <c r="AP6287" s="42"/>
      <c r="AQ6287" s="74"/>
      <c r="AR6287" s="77"/>
      <c r="AT6287" s="497">
        <v>37.94</v>
      </c>
      <c r="AV6287" s="42"/>
      <c r="AW6287" s="74"/>
      <c r="AX6287" s="77"/>
      <c r="BA6287" s="497">
        <v>57.92</v>
      </c>
      <c r="BB6287" s="42"/>
      <c r="BC6287" s="74"/>
      <c r="BD6287" s="77"/>
      <c r="BF6287">
        <v>51.08</v>
      </c>
      <c r="BH6287" s="42"/>
      <c r="BI6287" s="74"/>
      <c r="BJ6287" s="77"/>
      <c r="BL6287" s="497">
        <v>59</v>
      </c>
      <c r="BN6287" s="42"/>
      <c r="BO6287" s="74"/>
      <c r="BP6287" s="77"/>
      <c r="BR6287" s="497">
        <v>42.26</v>
      </c>
      <c r="BT6287" s="42"/>
    </row>
    <row r="6288" spans="1:72" x14ac:dyDescent="0.25">
      <c r="A6288" s="90">
        <v>34961</v>
      </c>
      <c r="B6288" s="20">
        <v>0.25</v>
      </c>
      <c r="D6288">
        <v>64.039999999999992</v>
      </c>
      <c r="E6288" t="str">
        <f t="shared" si="230"/>
        <v>WEEKDAY</v>
      </c>
      <c r="F6288" t="e">
        <f t="shared" si="231"/>
        <v>#N/A</v>
      </c>
      <c r="G6288" s="74">
        <v>29117</v>
      </c>
      <c r="H6288" s="77">
        <v>0.25</v>
      </c>
      <c r="J6288">
        <v>65.66</v>
      </c>
      <c r="M6288" s="74">
        <v>37883</v>
      </c>
      <c r="N6288" s="77">
        <v>0.25</v>
      </c>
      <c r="P6288">
        <v>71.599999999999994</v>
      </c>
      <c r="S6288" s="74">
        <v>34961</v>
      </c>
      <c r="T6288" s="77">
        <v>0.25</v>
      </c>
      <c r="V6288">
        <v>55.040000000000006</v>
      </c>
      <c r="X6288" s="42"/>
      <c r="AB6288">
        <v>62.5</v>
      </c>
      <c r="AC6288">
        <v>51.980000000000004</v>
      </c>
      <c r="AE6288" s="74"/>
      <c r="AF6288" s="77"/>
      <c r="AH6288" s="497">
        <v>44.78</v>
      </c>
      <c r="AJ6288" s="42"/>
      <c r="AK6288" s="74"/>
      <c r="AL6288" s="77"/>
      <c r="AN6288" s="497">
        <v>57.74</v>
      </c>
      <c r="AP6288" s="42"/>
      <c r="AQ6288" s="74"/>
      <c r="AR6288" s="77"/>
      <c r="AT6288" s="497">
        <v>37.94</v>
      </c>
      <c r="AV6288" s="42"/>
      <c r="AW6288" s="74"/>
      <c r="AX6288" s="77"/>
      <c r="BA6288" s="497">
        <v>57.92</v>
      </c>
      <c r="BB6288" s="42"/>
      <c r="BC6288" s="74"/>
      <c r="BD6288" s="77"/>
      <c r="BF6288">
        <v>51.08</v>
      </c>
      <c r="BH6288" s="42"/>
      <c r="BI6288" s="74"/>
      <c r="BJ6288" s="77"/>
      <c r="BL6288" s="497">
        <v>59</v>
      </c>
      <c r="BN6288" s="42"/>
      <c r="BO6288" s="74"/>
      <c r="BP6288" s="77"/>
      <c r="BR6288" s="497">
        <v>43.7</v>
      </c>
      <c r="BT6288" s="42"/>
    </row>
    <row r="6289" spans="1:72" x14ac:dyDescent="0.25">
      <c r="A6289" s="90">
        <v>34961</v>
      </c>
      <c r="B6289" s="20">
        <v>0.29166666666666669</v>
      </c>
      <c r="D6289">
        <v>64.039999999999992</v>
      </c>
      <c r="E6289" t="str">
        <f t="shared" si="230"/>
        <v>WEEKDAY</v>
      </c>
      <c r="F6289" t="e">
        <f t="shared" si="231"/>
        <v>#N/A</v>
      </c>
      <c r="G6289" s="74">
        <v>29117</v>
      </c>
      <c r="H6289" s="77">
        <v>0.29166666666666669</v>
      </c>
      <c r="J6289">
        <v>64.94</v>
      </c>
      <c r="M6289" s="74">
        <v>37883</v>
      </c>
      <c r="N6289" s="77">
        <v>0.29166666666666669</v>
      </c>
      <c r="P6289">
        <v>73.400000000000006</v>
      </c>
      <c r="S6289" s="74">
        <v>34961</v>
      </c>
      <c r="T6289" s="77">
        <v>0.29166666666666669</v>
      </c>
      <c r="V6289">
        <v>57.019999999999996</v>
      </c>
      <c r="X6289" s="42"/>
      <c r="AB6289">
        <v>62.3</v>
      </c>
      <c r="AC6289">
        <v>53.06</v>
      </c>
      <c r="AE6289" s="74"/>
      <c r="AF6289" s="77"/>
      <c r="AH6289" s="497">
        <v>48.2</v>
      </c>
      <c r="AJ6289" s="42"/>
      <c r="AK6289" s="74"/>
      <c r="AL6289" s="77"/>
      <c r="AN6289" s="497">
        <v>57.019999999999996</v>
      </c>
      <c r="AP6289" s="42"/>
      <c r="AQ6289" s="74"/>
      <c r="AR6289" s="77"/>
      <c r="AT6289" s="497">
        <v>42.980000000000004</v>
      </c>
      <c r="AV6289" s="42"/>
      <c r="AW6289" s="74"/>
      <c r="AX6289" s="77"/>
      <c r="BA6289" s="497">
        <v>60.08</v>
      </c>
      <c r="BB6289" s="42"/>
      <c r="BC6289" s="74"/>
      <c r="BD6289" s="77"/>
      <c r="BF6289">
        <v>51.980000000000004</v>
      </c>
      <c r="BH6289" s="42"/>
      <c r="BI6289" s="74"/>
      <c r="BJ6289" s="77"/>
      <c r="BL6289" s="497">
        <v>60.980000000000004</v>
      </c>
      <c r="BN6289" s="42"/>
      <c r="BO6289" s="74"/>
      <c r="BP6289" s="77"/>
      <c r="BR6289" s="497">
        <v>44.96</v>
      </c>
      <c r="BT6289" s="42"/>
    </row>
    <row r="6290" spans="1:72" x14ac:dyDescent="0.25">
      <c r="A6290" s="90">
        <v>34961</v>
      </c>
      <c r="B6290" s="20">
        <v>0.33333333333333331</v>
      </c>
      <c r="D6290">
        <v>66.02</v>
      </c>
      <c r="E6290" t="str">
        <f t="shared" si="230"/>
        <v>WEEKDAY</v>
      </c>
      <c r="F6290" t="e">
        <f t="shared" si="231"/>
        <v>#N/A</v>
      </c>
      <c r="G6290" s="74">
        <v>29117</v>
      </c>
      <c r="H6290" s="77">
        <v>0.33333333333333331</v>
      </c>
      <c r="J6290">
        <v>66.56</v>
      </c>
      <c r="M6290" s="74">
        <v>37883</v>
      </c>
      <c r="N6290" s="77">
        <v>0.33333333333333331</v>
      </c>
      <c r="P6290">
        <v>73.400000000000006</v>
      </c>
      <c r="S6290" s="74">
        <v>34961</v>
      </c>
      <c r="T6290" s="77">
        <v>0.33333333333333331</v>
      </c>
      <c r="V6290">
        <v>60.980000000000004</v>
      </c>
      <c r="X6290" s="42"/>
      <c r="AB6290">
        <v>64.2</v>
      </c>
      <c r="AC6290">
        <v>53.96</v>
      </c>
      <c r="AE6290" s="74"/>
      <c r="AF6290" s="77"/>
      <c r="AH6290" s="497">
        <v>55.400000000000006</v>
      </c>
      <c r="AJ6290" s="42"/>
      <c r="AK6290" s="74"/>
      <c r="AL6290" s="77"/>
      <c r="AN6290" s="497">
        <v>60.08</v>
      </c>
      <c r="AP6290" s="42"/>
      <c r="AQ6290" s="74"/>
      <c r="AR6290" s="77"/>
      <c r="AT6290" s="497">
        <v>46.04</v>
      </c>
      <c r="AV6290" s="42"/>
      <c r="AW6290" s="74"/>
      <c r="AX6290" s="77"/>
      <c r="BA6290" s="497">
        <v>62.96</v>
      </c>
      <c r="BB6290" s="42"/>
      <c r="BC6290" s="74"/>
      <c r="BD6290" s="77"/>
      <c r="BF6290">
        <v>57.019999999999996</v>
      </c>
      <c r="BH6290" s="42"/>
      <c r="BI6290" s="74"/>
      <c r="BJ6290" s="77"/>
      <c r="BL6290" s="497">
        <v>64.94</v>
      </c>
      <c r="BN6290" s="42"/>
      <c r="BO6290" s="74"/>
      <c r="BP6290" s="77"/>
      <c r="BR6290" s="497">
        <v>49.28</v>
      </c>
      <c r="BT6290" s="42"/>
    </row>
    <row r="6291" spans="1:72" x14ac:dyDescent="0.25">
      <c r="A6291" s="90">
        <v>34961</v>
      </c>
      <c r="B6291" s="20">
        <v>0.375</v>
      </c>
      <c r="D6291">
        <v>68</v>
      </c>
      <c r="E6291" t="str">
        <f t="shared" ref="E6291:E6354" si="232">IF(COUNTIF($DI$18:$DI$22, WEEKDAY(A6291))=1, "WEEKDAY", IF(WEEKDAY(A6291) = 1, "SUNDAY", "SATURDAY"))</f>
        <v>WEEKDAY</v>
      </c>
      <c r="F6291" t="e">
        <f t="shared" si="231"/>
        <v>#N/A</v>
      </c>
      <c r="G6291" s="74">
        <v>29117</v>
      </c>
      <c r="H6291" s="77">
        <v>0.375</v>
      </c>
      <c r="J6291">
        <v>68.36</v>
      </c>
      <c r="M6291" s="74">
        <v>37883</v>
      </c>
      <c r="N6291" s="77">
        <v>0.375</v>
      </c>
      <c r="P6291">
        <v>75.2</v>
      </c>
      <c r="S6291" s="74">
        <v>34961</v>
      </c>
      <c r="T6291" s="77">
        <v>0.375</v>
      </c>
      <c r="V6291">
        <v>64.94</v>
      </c>
      <c r="X6291" s="42"/>
      <c r="AB6291">
        <v>66.599999999999994</v>
      </c>
      <c r="AC6291">
        <v>55.040000000000006</v>
      </c>
      <c r="AE6291" s="74"/>
      <c r="AF6291" s="77"/>
      <c r="AH6291" s="497">
        <v>60.26</v>
      </c>
      <c r="AJ6291" s="42"/>
      <c r="AK6291" s="74"/>
      <c r="AL6291" s="77"/>
      <c r="AN6291" s="497">
        <v>62.96</v>
      </c>
      <c r="AP6291" s="42"/>
      <c r="AQ6291" s="74"/>
      <c r="AR6291" s="77"/>
      <c r="AT6291" s="497">
        <v>51.08</v>
      </c>
      <c r="AV6291" s="42"/>
      <c r="AW6291" s="74"/>
      <c r="AX6291" s="77"/>
      <c r="BA6291" s="497">
        <v>66.02</v>
      </c>
      <c r="BB6291" s="42"/>
      <c r="BC6291" s="74"/>
      <c r="BD6291" s="77"/>
      <c r="BF6291">
        <v>60.08</v>
      </c>
      <c r="BH6291" s="42"/>
      <c r="BI6291" s="74"/>
      <c r="BJ6291" s="77"/>
      <c r="BL6291" s="497">
        <v>69.080000000000013</v>
      </c>
      <c r="BN6291" s="42"/>
      <c r="BO6291" s="74"/>
      <c r="BP6291" s="77"/>
      <c r="BR6291" s="497">
        <v>53.6</v>
      </c>
      <c r="BT6291" s="42"/>
    </row>
    <row r="6292" spans="1:72" x14ac:dyDescent="0.25">
      <c r="A6292" s="90">
        <v>34961</v>
      </c>
      <c r="B6292" s="20">
        <v>0.41666666666666669</v>
      </c>
      <c r="D6292">
        <v>69.98</v>
      </c>
      <c r="E6292" t="str">
        <f t="shared" si="232"/>
        <v>WEEKDAY</v>
      </c>
      <c r="F6292" t="e">
        <f t="shared" si="231"/>
        <v>#N/A</v>
      </c>
      <c r="G6292" s="74">
        <v>29117</v>
      </c>
      <c r="H6292" s="77">
        <v>0.41666666666666669</v>
      </c>
      <c r="J6292">
        <v>69.98</v>
      </c>
      <c r="M6292" s="74">
        <v>37883</v>
      </c>
      <c r="N6292" s="77">
        <v>0.41666666666666669</v>
      </c>
      <c r="P6292">
        <v>78.800000000000011</v>
      </c>
      <c r="S6292" s="74">
        <v>34961</v>
      </c>
      <c r="T6292" s="77">
        <v>0.41666666666666669</v>
      </c>
      <c r="V6292">
        <v>68</v>
      </c>
      <c r="X6292" s="42"/>
      <c r="AB6292">
        <v>68.599999999999994</v>
      </c>
      <c r="AC6292">
        <v>57.92</v>
      </c>
      <c r="AE6292" s="74"/>
      <c r="AF6292" s="77"/>
      <c r="AH6292" s="497">
        <v>64.400000000000006</v>
      </c>
      <c r="AJ6292" s="42"/>
      <c r="AK6292" s="74"/>
      <c r="AL6292" s="77"/>
      <c r="AN6292" s="497">
        <v>66.02</v>
      </c>
      <c r="AP6292" s="42"/>
      <c r="AQ6292" s="74"/>
      <c r="AR6292" s="77"/>
      <c r="AT6292" s="497">
        <v>55.040000000000006</v>
      </c>
      <c r="AV6292" s="42"/>
      <c r="AW6292" s="74"/>
      <c r="AX6292" s="77"/>
      <c r="BA6292" s="497">
        <v>69.98</v>
      </c>
      <c r="BB6292" s="42"/>
      <c r="BC6292" s="74"/>
      <c r="BD6292" s="77"/>
      <c r="BF6292">
        <v>62.96</v>
      </c>
      <c r="BH6292" s="42"/>
      <c r="BI6292" s="74"/>
      <c r="BJ6292" s="77"/>
      <c r="BL6292" s="497">
        <v>71.960000000000008</v>
      </c>
      <c r="BN6292" s="42"/>
      <c r="BO6292" s="74"/>
      <c r="BP6292" s="77"/>
      <c r="BR6292" s="497">
        <v>57.92</v>
      </c>
      <c r="BT6292" s="42"/>
    </row>
    <row r="6293" spans="1:72" x14ac:dyDescent="0.25">
      <c r="A6293" s="90">
        <v>34961</v>
      </c>
      <c r="B6293" s="20">
        <v>0.45833333333333331</v>
      </c>
      <c r="D6293">
        <v>71.960000000000008</v>
      </c>
      <c r="E6293" t="str">
        <f t="shared" si="232"/>
        <v>WEEKDAY</v>
      </c>
      <c r="F6293" t="e">
        <f t="shared" si="231"/>
        <v>#N/A</v>
      </c>
      <c r="G6293" s="74">
        <v>29117</v>
      </c>
      <c r="H6293" s="77">
        <v>0.45833333333333331</v>
      </c>
      <c r="J6293">
        <v>69.259999999999991</v>
      </c>
      <c r="M6293" s="74">
        <v>37883</v>
      </c>
      <c r="N6293" s="77">
        <v>0.45833333333333331</v>
      </c>
      <c r="P6293">
        <v>80.599999999999994</v>
      </c>
      <c r="S6293" s="74">
        <v>34961</v>
      </c>
      <c r="T6293" s="77">
        <v>0.45833333333333331</v>
      </c>
      <c r="V6293">
        <v>68</v>
      </c>
      <c r="X6293" s="42"/>
      <c r="AB6293">
        <v>70.400000000000006</v>
      </c>
      <c r="AC6293">
        <v>60.980000000000004</v>
      </c>
      <c r="AE6293" s="74"/>
      <c r="AF6293" s="77"/>
      <c r="AH6293" s="497">
        <v>66.2</v>
      </c>
      <c r="AJ6293" s="42"/>
      <c r="AK6293" s="74"/>
      <c r="AL6293" s="77"/>
      <c r="AN6293" s="497">
        <v>68</v>
      </c>
      <c r="AP6293" s="42"/>
      <c r="AQ6293" s="74"/>
      <c r="AR6293" s="77"/>
      <c r="AT6293" s="497">
        <v>59</v>
      </c>
      <c r="AV6293" s="42"/>
      <c r="AW6293" s="74"/>
      <c r="AX6293" s="77"/>
      <c r="BA6293" s="497">
        <v>73.94</v>
      </c>
      <c r="BB6293" s="42"/>
      <c r="BC6293" s="74"/>
      <c r="BD6293" s="77"/>
      <c r="BF6293">
        <v>64.039999999999992</v>
      </c>
      <c r="BH6293" s="42"/>
      <c r="BI6293" s="74"/>
      <c r="BJ6293" s="77"/>
      <c r="BL6293" s="497">
        <v>75.02</v>
      </c>
      <c r="BN6293" s="42"/>
      <c r="BO6293" s="74"/>
      <c r="BP6293" s="77"/>
      <c r="BR6293" s="497">
        <v>59.900000000000006</v>
      </c>
      <c r="BT6293" s="42"/>
    </row>
    <row r="6294" spans="1:72" x14ac:dyDescent="0.25">
      <c r="A6294" s="90">
        <v>34961</v>
      </c>
      <c r="B6294" s="20">
        <v>0.5</v>
      </c>
      <c r="D6294">
        <v>75.02</v>
      </c>
      <c r="E6294" t="str">
        <f t="shared" si="232"/>
        <v>WEEKDAY</v>
      </c>
      <c r="F6294" t="e">
        <f t="shared" si="231"/>
        <v>#N/A</v>
      </c>
      <c r="G6294" s="74">
        <v>29117</v>
      </c>
      <c r="H6294" s="77">
        <v>0.5</v>
      </c>
      <c r="J6294">
        <v>68.72</v>
      </c>
      <c r="M6294" s="74">
        <v>37883</v>
      </c>
      <c r="N6294" s="77">
        <v>0.5</v>
      </c>
      <c r="P6294">
        <v>80.599999999999994</v>
      </c>
      <c r="S6294" s="74">
        <v>34961</v>
      </c>
      <c r="T6294" s="77">
        <v>0.5</v>
      </c>
      <c r="V6294">
        <v>69.98</v>
      </c>
      <c r="X6294" s="42"/>
      <c r="AB6294">
        <v>71.8</v>
      </c>
      <c r="AC6294">
        <v>60.08</v>
      </c>
      <c r="AE6294" s="74"/>
      <c r="AF6294" s="77"/>
      <c r="AH6294" s="497">
        <v>69.800000000000011</v>
      </c>
      <c r="AJ6294" s="42"/>
      <c r="AK6294" s="74"/>
      <c r="AL6294" s="77"/>
      <c r="AN6294" s="497">
        <v>69.98</v>
      </c>
      <c r="AP6294" s="42"/>
      <c r="AQ6294" s="74"/>
      <c r="AR6294" s="77"/>
      <c r="AT6294" s="497">
        <v>59</v>
      </c>
      <c r="AV6294" s="42"/>
      <c r="AW6294" s="74"/>
      <c r="AX6294" s="77"/>
      <c r="BA6294" s="497">
        <v>71.960000000000008</v>
      </c>
      <c r="BB6294" s="42"/>
      <c r="BC6294" s="74"/>
      <c r="BD6294" s="77"/>
      <c r="BF6294">
        <v>66.02</v>
      </c>
      <c r="BH6294" s="42"/>
      <c r="BI6294" s="74"/>
      <c r="BJ6294" s="77"/>
      <c r="BL6294" s="497">
        <v>78.080000000000013</v>
      </c>
      <c r="BN6294" s="42"/>
      <c r="BO6294" s="74"/>
      <c r="BP6294" s="77"/>
      <c r="BR6294" s="497">
        <v>62.06</v>
      </c>
      <c r="BT6294" s="42"/>
    </row>
    <row r="6295" spans="1:72" x14ac:dyDescent="0.25">
      <c r="A6295" s="90">
        <v>34961</v>
      </c>
      <c r="B6295" s="20">
        <v>0.54166666666666663</v>
      </c>
      <c r="D6295">
        <v>78.080000000000013</v>
      </c>
      <c r="E6295" t="str">
        <f t="shared" si="232"/>
        <v>WEEKDAY</v>
      </c>
      <c r="F6295" t="e">
        <f t="shared" si="231"/>
        <v>#N/A</v>
      </c>
      <c r="G6295" s="74">
        <v>29117</v>
      </c>
      <c r="H6295" s="77">
        <v>0.54166666666666663</v>
      </c>
      <c r="J6295">
        <v>68</v>
      </c>
      <c r="M6295" s="74">
        <v>37883</v>
      </c>
      <c r="N6295" s="77">
        <v>0.54166666666666663</v>
      </c>
      <c r="P6295">
        <v>78.800000000000011</v>
      </c>
      <c r="S6295" s="74">
        <v>34961</v>
      </c>
      <c r="T6295" s="77">
        <v>0.54166666666666663</v>
      </c>
      <c r="V6295">
        <v>71.06</v>
      </c>
      <c r="X6295" s="42"/>
      <c r="AB6295">
        <v>72.599999999999994</v>
      </c>
      <c r="AC6295">
        <v>62.06</v>
      </c>
      <c r="AE6295" s="74"/>
      <c r="AF6295" s="77"/>
      <c r="AH6295" s="497">
        <v>71.599999999999994</v>
      </c>
      <c r="AJ6295" s="42"/>
      <c r="AK6295" s="74"/>
      <c r="AL6295" s="77"/>
      <c r="AN6295" s="497">
        <v>71.960000000000008</v>
      </c>
      <c r="AP6295" s="42"/>
      <c r="AQ6295" s="74"/>
      <c r="AR6295" s="77"/>
      <c r="AT6295" s="497">
        <v>57.92</v>
      </c>
      <c r="AV6295" s="42"/>
      <c r="AW6295" s="74"/>
      <c r="AX6295" s="77"/>
      <c r="BA6295" s="497">
        <v>73.039999999999992</v>
      </c>
      <c r="BB6295" s="42"/>
      <c r="BC6295" s="74"/>
      <c r="BD6295" s="77"/>
      <c r="BF6295">
        <v>66.92</v>
      </c>
      <c r="BH6295" s="42"/>
      <c r="BI6295" s="74"/>
      <c r="BJ6295" s="77"/>
      <c r="BL6295" s="497">
        <v>78.98</v>
      </c>
      <c r="BN6295" s="42"/>
      <c r="BO6295" s="74"/>
      <c r="BP6295" s="77"/>
      <c r="BR6295" s="497">
        <v>64.039999999999992</v>
      </c>
      <c r="BT6295" s="42"/>
    </row>
    <row r="6296" spans="1:72" x14ac:dyDescent="0.25">
      <c r="A6296" s="90">
        <v>34961</v>
      </c>
      <c r="B6296" s="20">
        <v>0.58333333333333337</v>
      </c>
      <c r="D6296">
        <v>78.080000000000013</v>
      </c>
      <c r="E6296" t="str">
        <f t="shared" si="232"/>
        <v>WEEKDAY</v>
      </c>
      <c r="F6296" t="e">
        <f t="shared" si="231"/>
        <v>#N/A</v>
      </c>
      <c r="G6296" s="74">
        <v>29117</v>
      </c>
      <c r="H6296" s="77">
        <v>0.58333333333333337</v>
      </c>
      <c r="J6296">
        <v>66.92</v>
      </c>
      <c r="M6296" s="74">
        <v>37883</v>
      </c>
      <c r="N6296" s="77">
        <v>0.58333333333333337</v>
      </c>
      <c r="P6296">
        <v>78.800000000000011</v>
      </c>
      <c r="S6296" s="74">
        <v>34961</v>
      </c>
      <c r="T6296" s="77">
        <v>0.58333333333333337</v>
      </c>
      <c r="V6296">
        <v>71.06</v>
      </c>
      <c r="X6296" s="42"/>
      <c r="AB6296">
        <v>73</v>
      </c>
      <c r="AC6296">
        <v>60.980000000000004</v>
      </c>
      <c r="AE6296" s="74"/>
      <c r="AF6296" s="77"/>
      <c r="AH6296" s="497">
        <v>71.599999999999994</v>
      </c>
      <c r="AJ6296" s="42"/>
      <c r="AK6296" s="74"/>
      <c r="AL6296" s="77"/>
      <c r="AN6296" s="497">
        <v>71.599999999999994</v>
      </c>
      <c r="AP6296" s="42"/>
      <c r="AQ6296" s="74"/>
      <c r="AR6296" s="77"/>
      <c r="AT6296" s="497">
        <v>57.92</v>
      </c>
      <c r="AV6296" s="42"/>
      <c r="AW6296" s="74"/>
      <c r="AX6296" s="77"/>
      <c r="BA6296" s="497">
        <v>73.94</v>
      </c>
      <c r="BB6296" s="42"/>
      <c r="BC6296" s="74"/>
      <c r="BD6296" s="77"/>
      <c r="BF6296">
        <v>68</v>
      </c>
      <c r="BH6296" s="42"/>
      <c r="BI6296" s="74"/>
      <c r="BJ6296" s="77"/>
      <c r="BL6296" s="497">
        <v>78.98</v>
      </c>
      <c r="BN6296" s="42"/>
      <c r="BO6296" s="74"/>
      <c r="BP6296" s="77"/>
      <c r="BR6296" s="497">
        <v>64.759999999999991</v>
      </c>
      <c r="BT6296" s="42"/>
    </row>
    <row r="6297" spans="1:72" x14ac:dyDescent="0.25">
      <c r="A6297" s="90">
        <v>34961</v>
      </c>
      <c r="B6297" s="20">
        <v>0.625</v>
      </c>
      <c r="D6297">
        <v>75.92</v>
      </c>
      <c r="E6297" t="str">
        <f t="shared" si="232"/>
        <v>WEEKDAY</v>
      </c>
      <c r="F6297" t="e">
        <f t="shared" si="231"/>
        <v>#N/A</v>
      </c>
      <c r="G6297" s="74">
        <v>29117</v>
      </c>
      <c r="H6297" s="77">
        <v>0.625</v>
      </c>
      <c r="J6297">
        <v>66.02</v>
      </c>
      <c r="M6297" s="74">
        <v>37883</v>
      </c>
      <c r="N6297" s="77">
        <v>0.625</v>
      </c>
      <c r="P6297">
        <v>78.800000000000011</v>
      </c>
      <c r="S6297" s="74">
        <v>34961</v>
      </c>
      <c r="T6297" s="77">
        <v>0.625</v>
      </c>
      <c r="V6297">
        <v>71.06</v>
      </c>
      <c r="X6297" s="42"/>
      <c r="AB6297">
        <v>73.2</v>
      </c>
      <c r="AC6297">
        <v>60.980000000000004</v>
      </c>
      <c r="AE6297" s="74"/>
      <c r="AF6297" s="77"/>
      <c r="AH6297" s="497">
        <v>71.599999999999994</v>
      </c>
      <c r="AJ6297" s="42"/>
      <c r="AK6297" s="74"/>
      <c r="AL6297" s="77"/>
      <c r="AN6297" s="497">
        <v>71.42</v>
      </c>
      <c r="AP6297" s="42"/>
      <c r="AQ6297" s="74"/>
      <c r="AR6297" s="77"/>
      <c r="AT6297" s="497">
        <v>57.92</v>
      </c>
      <c r="AV6297" s="42"/>
      <c r="AW6297" s="74"/>
      <c r="AX6297" s="77"/>
      <c r="BA6297" s="497">
        <v>73.039999999999992</v>
      </c>
      <c r="BB6297" s="42"/>
      <c r="BC6297" s="74"/>
      <c r="BD6297" s="77"/>
      <c r="BF6297">
        <v>69.98</v>
      </c>
      <c r="BH6297" s="42"/>
      <c r="BI6297" s="74"/>
      <c r="BJ6297" s="77"/>
      <c r="BL6297" s="497">
        <v>80.06</v>
      </c>
      <c r="BN6297" s="42"/>
      <c r="BO6297" s="74"/>
      <c r="BP6297" s="77"/>
      <c r="BR6297" s="497">
        <v>65.300000000000011</v>
      </c>
      <c r="BT6297" s="42"/>
    </row>
    <row r="6298" spans="1:72" x14ac:dyDescent="0.25">
      <c r="A6298" s="90">
        <v>34961</v>
      </c>
      <c r="B6298" s="20">
        <v>0.66666666666666663</v>
      </c>
      <c r="D6298">
        <v>75.02</v>
      </c>
      <c r="E6298" t="str">
        <f t="shared" si="232"/>
        <v>WEEKDAY</v>
      </c>
      <c r="F6298" t="e">
        <f t="shared" si="231"/>
        <v>#N/A</v>
      </c>
      <c r="G6298" s="74">
        <v>29117</v>
      </c>
      <c r="H6298" s="77">
        <v>0.66666666666666663</v>
      </c>
      <c r="J6298">
        <v>64.94</v>
      </c>
      <c r="M6298" s="74">
        <v>37883</v>
      </c>
      <c r="N6298" s="77">
        <v>0.66666666666666663</v>
      </c>
      <c r="P6298">
        <v>77</v>
      </c>
      <c r="S6298" s="74">
        <v>34961</v>
      </c>
      <c r="T6298" s="77">
        <v>0.66666666666666663</v>
      </c>
      <c r="V6298">
        <v>69.080000000000013</v>
      </c>
      <c r="X6298" s="42"/>
      <c r="AB6298">
        <v>72.900000000000006</v>
      </c>
      <c r="AC6298">
        <v>60.08</v>
      </c>
      <c r="AE6298" s="74"/>
      <c r="AF6298" s="77"/>
      <c r="AH6298" s="497">
        <v>71.599999999999994</v>
      </c>
      <c r="AJ6298" s="42"/>
      <c r="AK6298" s="74"/>
      <c r="AL6298" s="77"/>
      <c r="AN6298" s="497">
        <v>71.06</v>
      </c>
      <c r="AP6298" s="42"/>
      <c r="AQ6298" s="74"/>
      <c r="AR6298" s="77"/>
      <c r="AT6298" s="497">
        <v>57.019999999999996</v>
      </c>
      <c r="AV6298" s="42"/>
      <c r="AW6298" s="74"/>
      <c r="AX6298" s="77"/>
      <c r="BA6298" s="497">
        <v>71.06</v>
      </c>
      <c r="BB6298" s="42"/>
      <c r="BC6298" s="74"/>
      <c r="BD6298" s="77"/>
      <c r="BF6298">
        <v>68</v>
      </c>
      <c r="BH6298" s="42"/>
      <c r="BI6298" s="74"/>
      <c r="BJ6298" s="77"/>
      <c r="BL6298" s="497">
        <v>80.960000000000008</v>
      </c>
      <c r="BN6298" s="42"/>
      <c r="BO6298" s="74"/>
      <c r="BP6298" s="77"/>
      <c r="BR6298" s="497">
        <v>66.02</v>
      </c>
      <c r="BT6298" s="42"/>
    </row>
    <row r="6299" spans="1:72" x14ac:dyDescent="0.25">
      <c r="A6299" s="90">
        <v>34961</v>
      </c>
      <c r="B6299" s="20">
        <v>0.70833333333333337</v>
      </c>
      <c r="D6299">
        <v>73.039999999999992</v>
      </c>
      <c r="E6299" t="str">
        <f t="shared" si="232"/>
        <v>WEEKDAY</v>
      </c>
      <c r="F6299" t="e">
        <f t="shared" si="231"/>
        <v>#N/A</v>
      </c>
      <c r="G6299" s="74">
        <v>29117</v>
      </c>
      <c r="H6299" s="77">
        <v>0.70833333333333337</v>
      </c>
      <c r="J6299">
        <v>63.319999999999993</v>
      </c>
      <c r="M6299" s="74">
        <v>37883</v>
      </c>
      <c r="N6299" s="77">
        <v>0.70833333333333337</v>
      </c>
      <c r="P6299">
        <v>75.2</v>
      </c>
      <c r="S6299" s="74">
        <v>34961</v>
      </c>
      <c r="T6299" s="77">
        <v>0.70833333333333337</v>
      </c>
      <c r="V6299">
        <v>68</v>
      </c>
      <c r="X6299" s="42"/>
      <c r="AB6299">
        <v>72.099999999999994</v>
      </c>
      <c r="AC6299">
        <v>60.980000000000004</v>
      </c>
      <c r="AE6299" s="74"/>
      <c r="AF6299" s="77"/>
      <c r="AH6299" s="497">
        <v>71.599999999999994</v>
      </c>
      <c r="AJ6299" s="42"/>
      <c r="AK6299" s="74"/>
      <c r="AL6299" s="77"/>
      <c r="AN6299" s="497">
        <v>69.44</v>
      </c>
      <c r="AP6299" s="42"/>
      <c r="AQ6299" s="74"/>
      <c r="AR6299" s="77"/>
      <c r="AT6299" s="497">
        <v>53.06</v>
      </c>
      <c r="AV6299" s="42"/>
      <c r="AW6299" s="74"/>
      <c r="AX6299" s="77"/>
      <c r="BA6299" s="497">
        <v>69.98</v>
      </c>
      <c r="BB6299" s="42"/>
      <c r="BC6299" s="74"/>
      <c r="BD6299" s="77"/>
      <c r="BF6299">
        <v>66.02</v>
      </c>
      <c r="BH6299" s="42"/>
      <c r="BI6299" s="74"/>
      <c r="BJ6299" s="77"/>
      <c r="BL6299" s="497">
        <v>77</v>
      </c>
      <c r="BN6299" s="42"/>
      <c r="BO6299" s="74"/>
      <c r="BP6299" s="77"/>
      <c r="BR6299" s="497">
        <v>62.06</v>
      </c>
      <c r="BT6299" s="42"/>
    </row>
    <row r="6300" spans="1:72" x14ac:dyDescent="0.25">
      <c r="A6300" s="90">
        <v>34961</v>
      </c>
      <c r="B6300" s="20">
        <v>0.75</v>
      </c>
      <c r="D6300">
        <v>71.960000000000008</v>
      </c>
      <c r="E6300" t="str">
        <f t="shared" si="232"/>
        <v>WEEKDAY</v>
      </c>
      <c r="F6300" t="e">
        <f t="shared" si="231"/>
        <v>#N/A</v>
      </c>
      <c r="G6300" s="74">
        <v>29117</v>
      </c>
      <c r="H6300" s="77">
        <v>0.75</v>
      </c>
      <c r="J6300">
        <v>61.7</v>
      </c>
      <c r="M6300" s="74">
        <v>37883</v>
      </c>
      <c r="N6300" s="77">
        <v>0.75</v>
      </c>
      <c r="P6300">
        <v>73.400000000000006</v>
      </c>
      <c r="S6300" s="74">
        <v>34961</v>
      </c>
      <c r="T6300" s="77">
        <v>0.75</v>
      </c>
      <c r="V6300">
        <v>66.02</v>
      </c>
      <c r="X6300" s="42"/>
      <c r="AB6300">
        <v>70.8</v>
      </c>
      <c r="AC6300">
        <v>57.92</v>
      </c>
      <c r="AE6300" s="74"/>
      <c r="AF6300" s="77"/>
      <c r="AH6300" s="497">
        <v>62.6</v>
      </c>
      <c r="AJ6300" s="42"/>
      <c r="AK6300" s="74"/>
      <c r="AL6300" s="77"/>
      <c r="AN6300" s="497">
        <v>67.64</v>
      </c>
      <c r="AP6300" s="42"/>
      <c r="AQ6300" s="74"/>
      <c r="AR6300" s="77"/>
      <c r="AT6300" s="497">
        <v>51.980000000000004</v>
      </c>
      <c r="AV6300" s="42"/>
      <c r="AW6300" s="74"/>
      <c r="AX6300" s="77"/>
      <c r="BA6300" s="497">
        <v>66.92</v>
      </c>
      <c r="BB6300" s="42"/>
      <c r="BC6300" s="74"/>
      <c r="BD6300" s="77"/>
      <c r="BF6300">
        <v>64.039999999999992</v>
      </c>
      <c r="BH6300" s="42"/>
      <c r="BI6300" s="74"/>
      <c r="BJ6300" s="77"/>
      <c r="BL6300" s="497">
        <v>69.080000000000013</v>
      </c>
      <c r="BN6300" s="42"/>
      <c r="BO6300" s="74"/>
      <c r="BP6300" s="77"/>
      <c r="BR6300" s="497">
        <v>57.92</v>
      </c>
      <c r="BT6300" s="42"/>
    </row>
    <row r="6301" spans="1:72" x14ac:dyDescent="0.25">
      <c r="A6301" s="90">
        <v>34961</v>
      </c>
      <c r="B6301" s="20">
        <v>0.79166666666666663</v>
      </c>
      <c r="D6301">
        <v>71.06</v>
      </c>
      <c r="E6301" t="str">
        <f t="shared" si="232"/>
        <v>WEEKDAY</v>
      </c>
      <c r="F6301" t="e">
        <f t="shared" si="231"/>
        <v>#N/A</v>
      </c>
      <c r="G6301" s="74">
        <v>29117</v>
      </c>
      <c r="H6301" s="77">
        <v>0.79166666666666663</v>
      </c>
      <c r="J6301">
        <v>60.08</v>
      </c>
      <c r="M6301" s="74">
        <v>37883</v>
      </c>
      <c r="N6301" s="77">
        <v>0.79166666666666663</v>
      </c>
      <c r="P6301">
        <v>73.400000000000006</v>
      </c>
      <c r="S6301" s="74">
        <v>34961</v>
      </c>
      <c r="T6301" s="77">
        <v>0.79166666666666663</v>
      </c>
      <c r="V6301">
        <v>64.94</v>
      </c>
      <c r="X6301" s="42"/>
      <c r="AB6301">
        <v>69.099999999999994</v>
      </c>
      <c r="AC6301">
        <v>59</v>
      </c>
      <c r="AE6301" s="74"/>
      <c r="AF6301" s="77"/>
      <c r="AH6301" s="497">
        <v>57.2</v>
      </c>
      <c r="AJ6301" s="42"/>
      <c r="AK6301" s="74"/>
      <c r="AL6301" s="77"/>
      <c r="AN6301" s="497">
        <v>66.02</v>
      </c>
      <c r="AP6301" s="42"/>
      <c r="AQ6301" s="74"/>
      <c r="AR6301" s="77"/>
      <c r="AT6301" s="497">
        <v>51.980000000000004</v>
      </c>
      <c r="AV6301" s="42"/>
      <c r="AW6301" s="74"/>
      <c r="AX6301" s="77"/>
      <c r="BA6301" s="497">
        <v>64.94</v>
      </c>
      <c r="BB6301" s="42"/>
      <c r="BC6301" s="74"/>
      <c r="BD6301" s="77"/>
      <c r="BF6301">
        <v>64.039999999999992</v>
      </c>
      <c r="BH6301" s="42"/>
      <c r="BI6301" s="74"/>
      <c r="BJ6301" s="77"/>
      <c r="BL6301" s="497">
        <v>69.080000000000013</v>
      </c>
      <c r="BN6301" s="42"/>
      <c r="BO6301" s="74"/>
      <c r="BP6301" s="77"/>
      <c r="BR6301" s="497">
        <v>53.96</v>
      </c>
      <c r="BT6301" s="42"/>
    </row>
    <row r="6302" spans="1:72" x14ac:dyDescent="0.25">
      <c r="A6302" s="90">
        <v>34961</v>
      </c>
      <c r="B6302" s="20">
        <v>0.83333333333333337</v>
      </c>
      <c r="D6302">
        <v>69.98</v>
      </c>
      <c r="E6302" t="str">
        <f t="shared" si="232"/>
        <v>WEEKDAY</v>
      </c>
      <c r="F6302" t="e">
        <f t="shared" si="231"/>
        <v>#N/A</v>
      </c>
      <c r="G6302" s="74">
        <v>29117</v>
      </c>
      <c r="H6302" s="77">
        <v>0.83333333333333337</v>
      </c>
      <c r="J6302">
        <v>58.1</v>
      </c>
      <c r="M6302" s="74">
        <v>37883</v>
      </c>
      <c r="N6302" s="77">
        <v>0.83333333333333337</v>
      </c>
      <c r="P6302">
        <v>71.599999999999994</v>
      </c>
      <c r="S6302" s="74">
        <v>34961</v>
      </c>
      <c r="T6302" s="77">
        <v>0.83333333333333337</v>
      </c>
      <c r="V6302">
        <v>62.96</v>
      </c>
      <c r="X6302" s="42"/>
      <c r="AB6302">
        <v>68.099999999999994</v>
      </c>
      <c r="AC6302">
        <v>57.92</v>
      </c>
      <c r="AE6302" s="74"/>
      <c r="AF6302" s="77"/>
      <c r="AH6302" s="497">
        <v>53.6</v>
      </c>
      <c r="AJ6302" s="42"/>
      <c r="AK6302" s="74"/>
      <c r="AL6302" s="77"/>
      <c r="AN6302" s="497">
        <v>64.039999999999992</v>
      </c>
      <c r="AP6302" s="42"/>
      <c r="AQ6302" s="74"/>
      <c r="AR6302" s="77"/>
      <c r="AT6302" s="497">
        <v>53.06</v>
      </c>
      <c r="AV6302" s="42"/>
      <c r="AW6302" s="74"/>
      <c r="AX6302" s="77"/>
      <c r="BA6302" s="497">
        <v>62.96</v>
      </c>
      <c r="BB6302" s="42"/>
      <c r="BC6302" s="74"/>
      <c r="BD6302" s="77"/>
      <c r="BF6302">
        <v>64.039999999999992</v>
      </c>
      <c r="BH6302" s="42"/>
      <c r="BI6302" s="74"/>
      <c r="BJ6302" s="77"/>
      <c r="BL6302" s="497">
        <v>66.92</v>
      </c>
      <c r="BN6302" s="42"/>
      <c r="BO6302" s="74"/>
      <c r="BP6302" s="77"/>
      <c r="BR6302" s="497">
        <v>52.34</v>
      </c>
      <c r="BT6302" s="42"/>
    </row>
    <row r="6303" spans="1:72" x14ac:dyDescent="0.25">
      <c r="A6303" s="90">
        <v>34961</v>
      </c>
      <c r="B6303" s="20">
        <v>0.875</v>
      </c>
      <c r="D6303">
        <v>69.98</v>
      </c>
      <c r="E6303" t="str">
        <f t="shared" si="232"/>
        <v>WEEKDAY</v>
      </c>
      <c r="F6303" t="e">
        <f t="shared" si="231"/>
        <v>#N/A</v>
      </c>
      <c r="G6303" s="74">
        <v>29117</v>
      </c>
      <c r="H6303" s="77">
        <v>0.875</v>
      </c>
      <c r="J6303">
        <v>55.94</v>
      </c>
      <c r="M6303" s="74">
        <v>37883</v>
      </c>
      <c r="N6303" s="77">
        <v>0.875</v>
      </c>
      <c r="P6303">
        <v>69.800000000000011</v>
      </c>
      <c r="S6303" s="74">
        <v>34961</v>
      </c>
      <c r="T6303" s="77">
        <v>0.875</v>
      </c>
      <c r="V6303">
        <v>60.08</v>
      </c>
      <c r="X6303" s="42"/>
      <c r="AB6303">
        <v>67.3</v>
      </c>
      <c r="AC6303">
        <v>55.94</v>
      </c>
      <c r="AE6303" s="74"/>
      <c r="AF6303" s="77"/>
      <c r="AH6303" s="497">
        <v>51.8</v>
      </c>
      <c r="AJ6303" s="42"/>
      <c r="AK6303" s="74"/>
      <c r="AL6303" s="77"/>
      <c r="AN6303" s="497">
        <v>62.06</v>
      </c>
      <c r="AP6303" s="42"/>
      <c r="AQ6303" s="74"/>
      <c r="AR6303" s="77"/>
      <c r="AT6303" s="497">
        <v>53.06</v>
      </c>
      <c r="AV6303" s="42"/>
      <c r="AW6303" s="74"/>
      <c r="AX6303" s="77"/>
      <c r="BA6303" s="497">
        <v>62.06</v>
      </c>
      <c r="BB6303" s="42"/>
      <c r="BC6303" s="74"/>
      <c r="BD6303" s="77"/>
      <c r="BF6303">
        <v>62.06</v>
      </c>
      <c r="BH6303" s="42"/>
      <c r="BI6303" s="74"/>
      <c r="BJ6303" s="77"/>
      <c r="BL6303" s="497">
        <v>66.02</v>
      </c>
      <c r="BN6303" s="42"/>
      <c r="BO6303" s="74"/>
      <c r="BP6303" s="77"/>
      <c r="BR6303" s="497">
        <v>50.540000000000006</v>
      </c>
      <c r="BT6303" s="42"/>
    </row>
    <row r="6304" spans="1:72" x14ac:dyDescent="0.25">
      <c r="A6304" s="90">
        <v>34961</v>
      </c>
      <c r="B6304" s="20">
        <v>0.91666666666666663</v>
      </c>
      <c r="D6304">
        <v>69.98</v>
      </c>
      <c r="E6304" t="str">
        <f t="shared" si="232"/>
        <v>WEEKDAY</v>
      </c>
      <c r="F6304" t="e">
        <f t="shared" si="231"/>
        <v>#N/A</v>
      </c>
      <c r="G6304" s="74">
        <v>29117</v>
      </c>
      <c r="H6304" s="77">
        <v>0.91666666666666663</v>
      </c>
      <c r="J6304">
        <v>53.96</v>
      </c>
      <c r="M6304" s="74">
        <v>37883</v>
      </c>
      <c r="N6304" s="77">
        <v>0.91666666666666663</v>
      </c>
      <c r="P6304">
        <v>69.800000000000011</v>
      </c>
      <c r="S6304" s="74">
        <v>34961</v>
      </c>
      <c r="T6304" s="77">
        <v>0.91666666666666663</v>
      </c>
      <c r="V6304">
        <v>59</v>
      </c>
      <c r="X6304" s="42"/>
      <c r="AB6304">
        <v>66.7</v>
      </c>
      <c r="AC6304">
        <v>55.040000000000006</v>
      </c>
      <c r="AE6304" s="74"/>
      <c r="AF6304" s="77"/>
      <c r="AH6304" s="497">
        <v>50</v>
      </c>
      <c r="AJ6304" s="42"/>
      <c r="AK6304" s="74"/>
      <c r="AL6304" s="77"/>
      <c r="AN6304" s="497">
        <v>60.08</v>
      </c>
      <c r="AP6304" s="42"/>
      <c r="AQ6304" s="74"/>
      <c r="AR6304" s="77"/>
      <c r="AT6304" s="497">
        <v>53.06</v>
      </c>
      <c r="AV6304" s="42"/>
      <c r="AW6304" s="74"/>
      <c r="AX6304" s="77"/>
      <c r="BA6304" s="497">
        <v>59</v>
      </c>
      <c r="BB6304" s="42"/>
      <c r="BC6304" s="74"/>
      <c r="BD6304" s="77"/>
      <c r="BF6304">
        <v>59</v>
      </c>
      <c r="BH6304" s="42"/>
      <c r="BI6304" s="74"/>
      <c r="BJ6304" s="77"/>
      <c r="BL6304" s="497">
        <v>66.92</v>
      </c>
      <c r="BN6304" s="42"/>
      <c r="BO6304" s="74"/>
      <c r="BP6304" s="77"/>
      <c r="BR6304" s="497">
        <v>48.92</v>
      </c>
      <c r="BT6304" s="42"/>
    </row>
    <row r="6305" spans="1:72" x14ac:dyDescent="0.25">
      <c r="A6305" s="90">
        <v>34961</v>
      </c>
      <c r="B6305" s="20">
        <v>0.95833333333333337</v>
      </c>
      <c r="D6305">
        <v>69.98</v>
      </c>
      <c r="E6305" t="str">
        <f t="shared" si="232"/>
        <v>WEEKDAY</v>
      </c>
      <c r="F6305" t="e">
        <f t="shared" si="231"/>
        <v>#N/A</v>
      </c>
      <c r="G6305" s="74">
        <v>29117</v>
      </c>
      <c r="H6305" s="77">
        <v>0.95833333333333337</v>
      </c>
      <c r="J6305">
        <v>52.34</v>
      </c>
      <c r="M6305" s="74">
        <v>37883</v>
      </c>
      <c r="N6305" s="77">
        <v>0.95833333333333337</v>
      </c>
      <c r="P6305">
        <v>69.800000000000011</v>
      </c>
      <c r="S6305" s="74">
        <v>34961</v>
      </c>
      <c r="T6305" s="77">
        <v>0.95833333333333337</v>
      </c>
      <c r="V6305">
        <v>57.92</v>
      </c>
      <c r="X6305" s="42"/>
      <c r="AB6305">
        <v>66</v>
      </c>
      <c r="AC6305">
        <v>55.040000000000006</v>
      </c>
      <c r="AE6305" s="74"/>
      <c r="AF6305" s="77"/>
      <c r="AH6305" s="497">
        <v>50</v>
      </c>
      <c r="AJ6305" s="42"/>
      <c r="AK6305" s="74"/>
      <c r="AL6305" s="77"/>
      <c r="AN6305" s="497">
        <v>59</v>
      </c>
      <c r="AP6305" s="42"/>
      <c r="AQ6305" s="74"/>
      <c r="AR6305" s="77"/>
      <c r="AT6305" s="497">
        <v>53.96</v>
      </c>
      <c r="AV6305" s="42"/>
      <c r="AW6305" s="74"/>
      <c r="AX6305" s="77"/>
      <c r="BA6305" s="497">
        <v>57.92</v>
      </c>
      <c r="BB6305" s="42"/>
      <c r="BC6305" s="74"/>
      <c r="BD6305" s="77"/>
      <c r="BF6305">
        <v>57.92</v>
      </c>
      <c r="BH6305" s="42"/>
      <c r="BI6305" s="74"/>
      <c r="BJ6305" s="77"/>
      <c r="BL6305" s="497">
        <v>66.92</v>
      </c>
      <c r="BN6305" s="42"/>
      <c r="BO6305" s="74"/>
      <c r="BP6305" s="77"/>
      <c r="BR6305" s="497">
        <v>48.56</v>
      </c>
      <c r="BT6305" s="42"/>
    </row>
    <row r="6306" spans="1:72" x14ac:dyDescent="0.25">
      <c r="A6306" s="90">
        <v>34961</v>
      </c>
      <c r="B6306" s="20">
        <v>1</v>
      </c>
      <c r="D6306">
        <v>69.98</v>
      </c>
      <c r="E6306" t="str">
        <f t="shared" si="232"/>
        <v>WEEKDAY</v>
      </c>
      <c r="F6306" t="e">
        <f t="shared" si="231"/>
        <v>#N/A</v>
      </c>
      <c r="G6306" s="74">
        <v>29117</v>
      </c>
      <c r="H6306" s="77">
        <v>1</v>
      </c>
      <c r="J6306">
        <v>50.540000000000006</v>
      </c>
      <c r="M6306" s="74">
        <v>37883</v>
      </c>
      <c r="N6306" s="80">
        <v>1</v>
      </c>
      <c r="P6306">
        <v>69.800000000000011</v>
      </c>
      <c r="S6306" s="74">
        <v>34961</v>
      </c>
      <c r="T6306" s="80">
        <v>1</v>
      </c>
      <c r="V6306">
        <v>57.92</v>
      </c>
      <c r="X6306" s="42"/>
      <c r="AB6306">
        <v>65.400000000000006</v>
      </c>
      <c r="AC6306">
        <v>55.040000000000006</v>
      </c>
      <c r="AE6306" s="74"/>
      <c r="AF6306" s="80"/>
      <c r="AH6306" s="497">
        <v>48.2</v>
      </c>
      <c r="AJ6306" s="42"/>
      <c r="AK6306" s="74"/>
      <c r="AL6306" s="80"/>
      <c r="AN6306" s="497">
        <v>58.1</v>
      </c>
      <c r="AP6306" s="42"/>
      <c r="AQ6306" s="74"/>
      <c r="AR6306" s="80"/>
      <c r="AT6306" s="497">
        <v>53.96</v>
      </c>
      <c r="AV6306" s="42"/>
      <c r="AW6306" s="74"/>
      <c r="AX6306" s="80"/>
      <c r="BA6306" s="497">
        <v>57.019999999999996</v>
      </c>
      <c r="BB6306" s="42"/>
      <c r="BC6306" s="74"/>
      <c r="BD6306" s="80"/>
      <c r="BF6306">
        <v>57.019999999999996</v>
      </c>
      <c r="BH6306" s="42"/>
      <c r="BI6306" s="74"/>
      <c r="BJ6306" s="80"/>
      <c r="BL6306" s="497">
        <v>66.92</v>
      </c>
      <c r="BN6306" s="42"/>
      <c r="BO6306" s="74"/>
      <c r="BP6306" s="80"/>
      <c r="BR6306" s="497">
        <v>48.379999999999995</v>
      </c>
      <c r="BT6306" s="42"/>
    </row>
    <row r="6307" spans="1:72" x14ac:dyDescent="0.25">
      <c r="A6307" s="90">
        <v>34962</v>
      </c>
      <c r="B6307" s="20">
        <v>4.1666666666666664E-2</v>
      </c>
      <c r="D6307">
        <v>69.98</v>
      </c>
      <c r="E6307" t="str">
        <f t="shared" si="232"/>
        <v>WEEKDAY</v>
      </c>
      <c r="F6307" t="e">
        <f t="shared" si="231"/>
        <v>#N/A</v>
      </c>
      <c r="G6307" s="74">
        <v>29118</v>
      </c>
      <c r="H6307" s="77">
        <v>4.1666666666666664E-2</v>
      </c>
      <c r="J6307">
        <v>48.92</v>
      </c>
      <c r="M6307" s="74">
        <v>37884</v>
      </c>
      <c r="N6307" s="77">
        <v>4.1666666666666664E-2</v>
      </c>
      <c r="P6307">
        <v>68</v>
      </c>
      <c r="S6307" s="74">
        <v>34962</v>
      </c>
      <c r="T6307" s="77">
        <v>4.1666666666666664E-2</v>
      </c>
      <c r="V6307">
        <v>57.019999999999996</v>
      </c>
      <c r="X6307" s="42"/>
      <c r="AB6307">
        <v>64.599999999999994</v>
      </c>
      <c r="AC6307">
        <v>53.96</v>
      </c>
      <c r="AE6307" s="74"/>
      <c r="AF6307" s="77"/>
      <c r="AH6307" s="497">
        <v>46.4</v>
      </c>
      <c r="AJ6307" s="42"/>
      <c r="AK6307" s="74"/>
      <c r="AL6307" s="77"/>
      <c r="AN6307" s="497">
        <v>57.019999999999996</v>
      </c>
      <c r="AP6307" s="42"/>
      <c r="AQ6307" s="74"/>
      <c r="AR6307" s="77"/>
      <c r="AT6307" s="497">
        <v>53.96</v>
      </c>
      <c r="AV6307" s="42"/>
      <c r="AW6307" s="74"/>
      <c r="AX6307" s="77"/>
      <c r="BA6307" s="497">
        <v>55.94</v>
      </c>
      <c r="BB6307" s="42"/>
      <c r="BC6307" s="74"/>
      <c r="BD6307" s="77"/>
      <c r="BF6307">
        <v>53.96</v>
      </c>
      <c r="BH6307" s="42"/>
      <c r="BI6307" s="74"/>
      <c r="BJ6307" s="77"/>
      <c r="BL6307" s="497">
        <v>66.02</v>
      </c>
      <c r="BN6307" s="42"/>
      <c r="BO6307" s="74"/>
      <c r="BP6307" s="77"/>
      <c r="BR6307" s="497">
        <v>48.019999999999996</v>
      </c>
      <c r="BT6307" s="42"/>
    </row>
    <row r="6308" spans="1:72" x14ac:dyDescent="0.25">
      <c r="A6308" s="90">
        <v>34962</v>
      </c>
      <c r="B6308" s="20">
        <v>8.3333333333333329E-2</v>
      </c>
      <c r="D6308">
        <v>69.98</v>
      </c>
      <c r="E6308" t="str">
        <f t="shared" si="232"/>
        <v>WEEKDAY</v>
      </c>
      <c r="F6308" t="e">
        <f t="shared" si="231"/>
        <v>#N/A</v>
      </c>
      <c r="G6308" s="74">
        <v>29118</v>
      </c>
      <c r="H6308" s="77">
        <v>8.3333333333333329E-2</v>
      </c>
      <c r="J6308">
        <v>48.019999999999996</v>
      </c>
      <c r="M6308" s="74">
        <v>37884</v>
      </c>
      <c r="N6308" s="77">
        <v>8.3333333333333329E-2</v>
      </c>
      <c r="P6308">
        <v>66.2</v>
      </c>
      <c r="S6308" s="74">
        <v>34962</v>
      </c>
      <c r="T6308" s="77">
        <v>8.3333333333333329E-2</v>
      </c>
      <c r="V6308">
        <v>55.94</v>
      </c>
      <c r="X6308" s="42"/>
      <c r="AB6308">
        <v>64</v>
      </c>
      <c r="AC6308">
        <v>53.06</v>
      </c>
      <c r="AE6308" s="74"/>
      <c r="AF6308" s="77"/>
      <c r="AH6308" s="497">
        <v>46.4</v>
      </c>
      <c r="AJ6308" s="42"/>
      <c r="AK6308" s="74"/>
      <c r="AL6308" s="77"/>
      <c r="AN6308" s="497">
        <v>57.019999999999996</v>
      </c>
      <c r="AP6308" s="42"/>
      <c r="AQ6308" s="74"/>
      <c r="AR6308" s="77"/>
      <c r="AT6308" s="497">
        <v>53.96</v>
      </c>
      <c r="AV6308" s="42"/>
      <c r="AW6308" s="74"/>
      <c r="AX6308" s="77"/>
      <c r="BA6308" s="497">
        <v>55.94</v>
      </c>
      <c r="BB6308" s="42"/>
      <c r="BC6308" s="74"/>
      <c r="BD6308" s="77"/>
      <c r="BF6308">
        <v>55.040000000000006</v>
      </c>
      <c r="BH6308" s="42"/>
      <c r="BI6308" s="74"/>
      <c r="BJ6308" s="77"/>
      <c r="BL6308" s="497">
        <v>66.02</v>
      </c>
      <c r="BN6308" s="42"/>
      <c r="BO6308" s="74"/>
      <c r="BP6308" s="77"/>
      <c r="BR6308" s="497">
        <v>47.3</v>
      </c>
      <c r="BT6308" s="42"/>
    </row>
    <row r="6309" spans="1:72" x14ac:dyDescent="0.25">
      <c r="A6309" s="90">
        <v>34962</v>
      </c>
      <c r="B6309" s="20">
        <v>0.125</v>
      </c>
      <c r="D6309">
        <v>69.98</v>
      </c>
      <c r="E6309" t="str">
        <f t="shared" si="232"/>
        <v>WEEKDAY</v>
      </c>
      <c r="F6309" t="e">
        <f t="shared" si="231"/>
        <v>#N/A</v>
      </c>
      <c r="G6309" s="74">
        <v>29118</v>
      </c>
      <c r="H6309" s="77">
        <v>0.125</v>
      </c>
      <c r="J6309">
        <v>46.94</v>
      </c>
      <c r="M6309" s="74">
        <v>37884</v>
      </c>
      <c r="N6309" s="77">
        <v>0.125</v>
      </c>
      <c r="P6309">
        <v>64.400000000000006</v>
      </c>
      <c r="S6309" s="74">
        <v>34962</v>
      </c>
      <c r="T6309" s="77">
        <v>0.125</v>
      </c>
      <c r="V6309">
        <v>55.040000000000006</v>
      </c>
      <c r="X6309" s="42"/>
      <c r="AB6309">
        <v>63.5</v>
      </c>
      <c r="AC6309">
        <v>51.980000000000004</v>
      </c>
      <c r="AE6309" s="74"/>
      <c r="AF6309" s="77"/>
      <c r="AH6309" s="497">
        <v>44.6</v>
      </c>
      <c r="AJ6309" s="42"/>
      <c r="AK6309" s="74"/>
      <c r="AL6309" s="77"/>
      <c r="AN6309" s="497">
        <v>57.019999999999996</v>
      </c>
      <c r="AP6309" s="42"/>
      <c r="AQ6309" s="74"/>
      <c r="AR6309" s="77"/>
      <c r="AT6309" s="497">
        <v>53.96</v>
      </c>
      <c r="AV6309" s="42"/>
      <c r="AW6309" s="74"/>
      <c r="AX6309" s="77"/>
      <c r="BA6309" s="497">
        <v>55.040000000000006</v>
      </c>
      <c r="BB6309" s="42"/>
      <c r="BC6309" s="74"/>
      <c r="BD6309" s="77"/>
      <c r="BF6309">
        <v>53.96</v>
      </c>
      <c r="BH6309" s="42"/>
      <c r="BI6309" s="74"/>
      <c r="BJ6309" s="77"/>
      <c r="BL6309" s="497">
        <v>66.02</v>
      </c>
      <c r="BN6309" s="42"/>
      <c r="BO6309" s="74"/>
      <c r="BP6309" s="77"/>
      <c r="BR6309" s="497">
        <v>46.76</v>
      </c>
      <c r="BT6309" s="42"/>
    </row>
    <row r="6310" spans="1:72" x14ac:dyDescent="0.25">
      <c r="A6310" s="90">
        <v>34962</v>
      </c>
      <c r="B6310" s="20">
        <v>0.16666666666666666</v>
      </c>
      <c r="D6310">
        <v>69.98</v>
      </c>
      <c r="E6310" t="str">
        <f t="shared" si="232"/>
        <v>WEEKDAY</v>
      </c>
      <c r="F6310" t="e">
        <f t="shared" si="231"/>
        <v>#N/A</v>
      </c>
      <c r="G6310" s="74">
        <v>29118</v>
      </c>
      <c r="H6310" s="77">
        <v>0.16666666666666666</v>
      </c>
      <c r="J6310">
        <v>46.04</v>
      </c>
      <c r="M6310" s="74">
        <v>37884</v>
      </c>
      <c r="N6310" s="77">
        <v>0.16666666666666666</v>
      </c>
      <c r="P6310">
        <v>64.400000000000006</v>
      </c>
      <c r="S6310" s="74">
        <v>34962</v>
      </c>
      <c r="T6310" s="77">
        <v>0.16666666666666666</v>
      </c>
      <c r="V6310">
        <v>53.96</v>
      </c>
      <c r="X6310" s="42"/>
      <c r="AB6310">
        <v>63</v>
      </c>
      <c r="AC6310">
        <v>50</v>
      </c>
      <c r="AE6310" s="74"/>
      <c r="AF6310" s="77"/>
      <c r="AH6310" s="497">
        <v>44.24</v>
      </c>
      <c r="AJ6310" s="42"/>
      <c r="AK6310" s="74"/>
      <c r="AL6310" s="77"/>
      <c r="AN6310" s="497">
        <v>57.019999999999996</v>
      </c>
      <c r="AP6310" s="42"/>
      <c r="AQ6310" s="74"/>
      <c r="AR6310" s="77"/>
      <c r="AT6310" s="497">
        <v>53.96</v>
      </c>
      <c r="AV6310" s="42"/>
      <c r="AW6310" s="74"/>
      <c r="AX6310" s="77"/>
      <c r="BA6310" s="497">
        <v>55.94</v>
      </c>
      <c r="BB6310" s="42"/>
      <c r="BC6310" s="74"/>
      <c r="BD6310" s="77"/>
      <c r="BF6310">
        <v>53.06</v>
      </c>
      <c r="BH6310" s="42"/>
      <c r="BI6310" s="74"/>
      <c r="BJ6310" s="77"/>
      <c r="BL6310" s="497">
        <v>64.94</v>
      </c>
      <c r="BN6310" s="42"/>
      <c r="BO6310" s="74"/>
      <c r="BP6310" s="77"/>
      <c r="BR6310" s="497">
        <v>46.04</v>
      </c>
      <c r="BT6310" s="42"/>
    </row>
    <row r="6311" spans="1:72" x14ac:dyDescent="0.25">
      <c r="A6311" s="90">
        <v>34962</v>
      </c>
      <c r="B6311" s="20">
        <v>0.20833333333333334</v>
      </c>
      <c r="D6311">
        <v>71.06</v>
      </c>
      <c r="E6311" t="str">
        <f t="shared" si="232"/>
        <v>WEEKDAY</v>
      </c>
      <c r="F6311" t="e">
        <f t="shared" si="231"/>
        <v>#N/A</v>
      </c>
      <c r="G6311" s="74">
        <v>29118</v>
      </c>
      <c r="H6311" s="77">
        <v>0.20833333333333334</v>
      </c>
      <c r="J6311">
        <v>47.3</v>
      </c>
      <c r="M6311" s="74">
        <v>37884</v>
      </c>
      <c r="N6311" s="77">
        <v>0.20833333333333334</v>
      </c>
      <c r="P6311">
        <v>64.400000000000006</v>
      </c>
      <c r="S6311" s="74">
        <v>34962</v>
      </c>
      <c r="T6311" s="77">
        <v>0.20833333333333334</v>
      </c>
      <c r="V6311">
        <v>53.96</v>
      </c>
      <c r="X6311" s="42"/>
      <c r="AB6311">
        <v>62.6</v>
      </c>
      <c r="AC6311">
        <v>50</v>
      </c>
      <c r="AE6311" s="74"/>
      <c r="AF6311" s="77"/>
      <c r="AH6311" s="497">
        <v>44.42</v>
      </c>
      <c r="AJ6311" s="42"/>
      <c r="AK6311" s="74"/>
      <c r="AL6311" s="77"/>
      <c r="AN6311" s="497">
        <v>57.74</v>
      </c>
      <c r="AP6311" s="42"/>
      <c r="AQ6311" s="74"/>
      <c r="AR6311" s="77"/>
      <c r="AT6311" s="497">
        <v>53.06</v>
      </c>
      <c r="AV6311" s="42"/>
      <c r="AW6311" s="74"/>
      <c r="AX6311" s="77"/>
      <c r="BA6311" s="497">
        <v>55.040000000000006</v>
      </c>
      <c r="BB6311" s="42"/>
      <c r="BC6311" s="74"/>
      <c r="BD6311" s="77"/>
      <c r="BF6311">
        <v>51.08</v>
      </c>
      <c r="BH6311" s="42"/>
      <c r="BI6311" s="74"/>
      <c r="BJ6311" s="77"/>
      <c r="BL6311" s="497">
        <v>62.96</v>
      </c>
      <c r="BN6311" s="42"/>
      <c r="BO6311" s="74"/>
      <c r="BP6311" s="77"/>
      <c r="BR6311" s="497">
        <v>48.019999999999996</v>
      </c>
      <c r="BT6311" s="42"/>
    </row>
    <row r="6312" spans="1:72" x14ac:dyDescent="0.25">
      <c r="A6312" s="90">
        <v>34962</v>
      </c>
      <c r="B6312" s="20">
        <v>0.25</v>
      </c>
      <c r="D6312">
        <v>71.960000000000008</v>
      </c>
      <c r="E6312" t="str">
        <f t="shared" si="232"/>
        <v>WEEKDAY</v>
      </c>
      <c r="F6312" t="e">
        <f t="shared" si="231"/>
        <v>#N/A</v>
      </c>
      <c r="G6312" s="74">
        <v>29118</v>
      </c>
      <c r="H6312" s="77">
        <v>0.25</v>
      </c>
      <c r="J6312">
        <v>48.74</v>
      </c>
      <c r="M6312" s="74">
        <v>37884</v>
      </c>
      <c r="N6312" s="77">
        <v>0.25</v>
      </c>
      <c r="P6312">
        <v>64.400000000000006</v>
      </c>
      <c r="S6312" s="74">
        <v>34962</v>
      </c>
      <c r="T6312" s="77">
        <v>0.25</v>
      </c>
      <c r="V6312">
        <v>53.96</v>
      </c>
      <c r="X6312" s="42"/>
      <c r="AB6312">
        <v>62.4</v>
      </c>
      <c r="AC6312">
        <v>50</v>
      </c>
      <c r="AE6312" s="74"/>
      <c r="AF6312" s="77"/>
      <c r="AH6312" s="497">
        <v>44.6</v>
      </c>
      <c r="AJ6312" s="42"/>
      <c r="AK6312" s="74"/>
      <c r="AL6312" s="77"/>
      <c r="AN6312" s="497">
        <v>58.28</v>
      </c>
      <c r="AP6312" s="42"/>
      <c r="AQ6312" s="74"/>
      <c r="AR6312" s="77"/>
      <c r="AT6312" s="497">
        <v>51.980000000000004</v>
      </c>
      <c r="AV6312" s="42"/>
      <c r="AW6312" s="74"/>
      <c r="AX6312" s="77"/>
      <c r="BA6312" s="497">
        <v>55.040000000000006</v>
      </c>
      <c r="BB6312" s="42"/>
      <c r="BC6312" s="74"/>
      <c r="BD6312" s="77"/>
      <c r="BF6312">
        <v>50</v>
      </c>
      <c r="BH6312" s="42"/>
      <c r="BI6312" s="74"/>
      <c r="BJ6312" s="77"/>
      <c r="BL6312" s="497">
        <v>62.6</v>
      </c>
      <c r="BN6312" s="42"/>
      <c r="BO6312" s="74"/>
      <c r="BP6312" s="77"/>
      <c r="BR6312" s="497">
        <v>50</v>
      </c>
      <c r="BT6312" s="42"/>
    </row>
    <row r="6313" spans="1:72" x14ac:dyDescent="0.25">
      <c r="A6313" s="90">
        <v>34962</v>
      </c>
      <c r="B6313" s="20">
        <v>0.29166666666666669</v>
      </c>
      <c r="D6313">
        <v>71.960000000000008</v>
      </c>
      <c r="E6313" t="str">
        <f t="shared" si="232"/>
        <v>WEEKDAY</v>
      </c>
      <c r="F6313" t="e">
        <f t="shared" si="231"/>
        <v>#N/A</v>
      </c>
      <c r="G6313" s="74">
        <v>29118</v>
      </c>
      <c r="H6313" s="77">
        <v>0.29166666666666669</v>
      </c>
      <c r="J6313">
        <v>50</v>
      </c>
      <c r="M6313" s="74">
        <v>37884</v>
      </c>
      <c r="N6313" s="77">
        <v>0.29166666666666669</v>
      </c>
      <c r="P6313">
        <v>69.800000000000011</v>
      </c>
      <c r="S6313" s="74">
        <v>34962</v>
      </c>
      <c r="T6313" s="77">
        <v>0.29166666666666669</v>
      </c>
      <c r="V6313">
        <v>57.019999999999996</v>
      </c>
      <c r="X6313" s="42"/>
      <c r="AB6313">
        <v>62.3</v>
      </c>
      <c r="AC6313">
        <v>53.96</v>
      </c>
      <c r="AE6313" s="74"/>
      <c r="AF6313" s="77"/>
      <c r="AH6313" s="497">
        <v>49.64</v>
      </c>
      <c r="AJ6313" s="42"/>
      <c r="AK6313" s="74"/>
      <c r="AL6313" s="77"/>
      <c r="AN6313" s="497">
        <v>59</v>
      </c>
      <c r="AP6313" s="42"/>
      <c r="AQ6313" s="74"/>
      <c r="AR6313" s="77"/>
      <c r="AT6313" s="497">
        <v>55.040000000000006</v>
      </c>
      <c r="AV6313" s="42"/>
      <c r="AW6313" s="74"/>
      <c r="AX6313" s="77"/>
      <c r="BA6313" s="497">
        <v>57.92</v>
      </c>
      <c r="BB6313" s="42"/>
      <c r="BC6313" s="74"/>
      <c r="BD6313" s="77"/>
      <c r="BF6313">
        <v>51.08</v>
      </c>
      <c r="BH6313" s="42"/>
      <c r="BI6313" s="74"/>
      <c r="BJ6313" s="77"/>
      <c r="BL6313" s="497">
        <v>64.94</v>
      </c>
      <c r="BN6313" s="42"/>
      <c r="BO6313" s="74"/>
      <c r="BP6313" s="77"/>
      <c r="BR6313" s="497">
        <v>51.980000000000004</v>
      </c>
      <c r="BT6313" s="42"/>
    </row>
    <row r="6314" spans="1:72" x14ac:dyDescent="0.25">
      <c r="A6314" s="90">
        <v>34962</v>
      </c>
      <c r="B6314" s="20">
        <v>0.33333333333333331</v>
      </c>
      <c r="D6314">
        <v>73.039999999999992</v>
      </c>
      <c r="E6314" t="str">
        <f t="shared" si="232"/>
        <v>WEEKDAY</v>
      </c>
      <c r="F6314" t="e">
        <f t="shared" si="231"/>
        <v>#N/A</v>
      </c>
      <c r="G6314" s="74">
        <v>29118</v>
      </c>
      <c r="H6314" s="77">
        <v>0.33333333333333331</v>
      </c>
      <c r="J6314">
        <v>52.34</v>
      </c>
      <c r="M6314" s="74">
        <v>37884</v>
      </c>
      <c r="N6314" s="77">
        <v>0.33333333333333331</v>
      </c>
      <c r="P6314">
        <v>69.800000000000011</v>
      </c>
      <c r="S6314" s="74">
        <v>34962</v>
      </c>
      <c r="T6314" s="77">
        <v>0.33333333333333331</v>
      </c>
      <c r="V6314">
        <v>62.06</v>
      </c>
      <c r="X6314" s="42"/>
      <c r="AB6314">
        <v>64.099999999999994</v>
      </c>
      <c r="AC6314">
        <v>57.019999999999996</v>
      </c>
      <c r="AE6314" s="74"/>
      <c r="AF6314" s="77"/>
      <c r="AH6314" s="497">
        <v>55.400000000000006</v>
      </c>
      <c r="AJ6314" s="42"/>
      <c r="AK6314" s="74"/>
      <c r="AL6314" s="77"/>
      <c r="AN6314" s="497">
        <v>60.26</v>
      </c>
      <c r="AP6314" s="42"/>
      <c r="AQ6314" s="74"/>
      <c r="AR6314" s="77"/>
      <c r="AT6314" s="497">
        <v>59</v>
      </c>
      <c r="AV6314" s="42"/>
      <c r="AW6314" s="74"/>
      <c r="AX6314" s="77"/>
      <c r="BA6314" s="497">
        <v>62.96</v>
      </c>
      <c r="BB6314" s="42"/>
      <c r="BC6314" s="74"/>
      <c r="BD6314" s="77"/>
      <c r="BF6314">
        <v>57.019999999999996</v>
      </c>
      <c r="BH6314" s="42"/>
      <c r="BI6314" s="74"/>
      <c r="BJ6314" s="77"/>
      <c r="BL6314" s="497">
        <v>68</v>
      </c>
      <c r="BN6314" s="42"/>
      <c r="BO6314" s="74"/>
      <c r="BP6314" s="77"/>
      <c r="BR6314" s="497">
        <v>59</v>
      </c>
      <c r="BT6314" s="42"/>
    </row>
    <row r="6315" spans="1:72" x14ac:dyDescent="0.25">
      <c r="A6315" s="90">
        <v>34962</v>
      </c>
      <c r="B6315" s="20">
        <v>0.375</v>
      </c>
      <c r="D6315">
        <v>73.039999999999992</v>
      </c>
      <c r="E6315" t="str">
        <f t="shared" si="232"/>
        <v>WEEKDAY</v>
      </c>
      <c r="F6315" t="e">
        <f t="shared" ref="F6315:F6378" si="233">IF(E6315="WEEKDAY",VLOOKUP(B6315,$DD$19:$DG$42,2),IF(E6315="SATURDAY",VLOOKUP(B6315,$DD$19:$DG$42,3),VLOOKUP(B6315,$DD$19:$DG$42,4)))</f>
        <v>#N/A</v>
      </c>
      <c r="G6315" s="74">
        <v>29118</v>
      </c>
      <c r="H6315" s="77">
        <v>0.375</v>
      </c>
      <c r="J6315">
        <v>54.68</v>
      </c>
      <c r="M6315" s="74">
        <v>37884</v>
      </c>
      <c r="N6315" s="77">
        <v>0.375</v>
      </c>
      <c r="P6315">
        <v>69.800000000000011</v>
      </c>
      <c r="S6315" s="74">
        <v>34962</v>
      </c>
      <c r="T6315" s="77">
        <v>0.375</v>
      </c>
      <c r="V6315">
        <v>64.94</v>
      </c>
      <c r="X6315" s="42"/>
      <c r="AB6315">
        <v>66.400000000000006</v>
      </c>
      <c r="AC6315">
        <v>57.92</v>
      </c>
      <c r="AE6315" s="74"/>
      <c r="AF6315" s="77"/>
      <c r="AH6315" s="497">
        <v>60.8</v>
      </c>
      <c r="AJ6315" s="42"/>
      <c r="AK6315" s="74"/>
      <c r="AL6315" s="77"/>
      <c r="AN6315" s="497">
        <v>61.7</v>
      </c>
      <c r="AP6315" s="42"/>
      <c r="AQ6315" s="74"/>
      <c r="AR6315" s="77"/>
      <c r="AT6315" s="497">
        <v>59</v>
      </c>
      <c r="AV6315" s="42"/>
      <c r="AW6315" s="74"/>
      <c r="AX6315" s="77"/>
      <c r="BA6315" s="497">
        <v>69.98</v>
      </c>
      <c r="BB6315" s="42"/>
      <c r="BC6315" s="74"/>
      <c r="BD6315" s="77"/>
      <c r="BF6315">
        <v>64.039999999999992</v>
      </c>
      <c r="BH6315" s="42"/>
      <c r="BI6315" s="74"/>
      <c r="BJ6315" s="77"/>
      <c r="BL6315" s="497">
        <v>71.06</v>
      </c>
      <c r="BN6315" s="42"/>
      <c r="BO6315" s="74"/>
      <c r="BP6315" s="77"/>
      <c r="BR6315" s="497">
        <v>66.02</v>
      </c>
      <c r="BT6315" s="42"/>
    </row>
    <row r="6316" spans="1:72" x14ac:dyDescent="0.25">
      <c r="A6316" s="90">
        <v>34962</v>
      </c>
      <c r="B6316" s="20">
        <v>0.41666666666666669</v>
      </c>
      <c r="D6316">
        <v>73.94</v>
      </c>
      <c r="E6316" t="str">
        <f t="shared" si="232"/>
        <v>WEEKDAY</v>
      </c>
      <c r="F6316" t="e">
        <f t="shared" si="233"/>
        <v>#N/A</v>
      </c>
      <c r="G6316" s="74">
        <v>29118</v>
      </c>
      <c r="H6316" s="77">
        <v>0.41666666666666669</v>
      </c>
      <c r="J6316">
        <v>57.019999999999996</v>
      </c>
      <c r="M6316" s="74">
        <v>37884</v>
      </c>
      <c r="N6316" s="77">
        <v>0.41666666666666669</v>
      </c>
      <c r="P6316">
        <v>73.400000000000006</v>
      </c>
      <c r="S6316" s="74">
        <v>34962</v>
      </c>
      <c r="T6316" s="77">
        <v>0.41666666666666669</v>
      </c>
      <c r="V6316">
        <v>69.080000000000013</v>
      </c>
      <c r="X6316" s="42"/>
      <c r="AB6316">
        <v>68.400000000000006</v>
      </c>
      <c r="AC6316">
        <v>60.08</v>
      </c>
      <c r="AE6316" s="74"/>
      <c r="AF6316" s="77"/>
      <c r="AH6316" s="497">
        <v>64.400000000000006</v>
      </c>
      <c r="AJ6316" s="42"/>
      <c r="AK6316" s="74"/>
      <c r="AL6316" s="77"/>
      <c r="AN6316" s="497">
        <v>62.96</v>
      </c>
      <c r="AP6316" s="42"/>
      <c r="AQ6316" s="74"/>
      <c r="AR6316" s="77"/>
      <c r="AT6316" s="497">
        <v>62.96</v>
      </c>
      <c r="AV6316" s="42"/>
      <c r="AW6316" s="74"/>
      <c r="AX6316" s="77"/>
      <c r="BA6316" s="497">
        <v>77</v>
      </c>
      <c r="BB6316" s="42"/>
      <c r="BC6316" s="74"/>
      <c r="BD6316" s="77"/>
      <c r="BF6316">
        <v>68</v>
      </c>
      <c r="BH6316" s="42"/>
      <c r="BI6316" s="74"/>
      <c r="BJ6316" s="77"/>
      <c r="BL6316" s="497">
        <v>75.02</v>
      </c>
      <c r="BN6316" s="42"/>
      <c r="BO6316" s="74"/>
      <c r="BP6316" s="77"/>
      <c r="BR6316" s="497">
        <v>73.039999999999992</v>
      </c>
      <c r="BT6316" s="42"/>
    </row>
    <row r="6317" spans="1:72" x14ac:dyDescent="0.25">
      <c r="A6317" s="90">
        <v>34962</v>
      </c>
      <c r="B6317" s="20">
        <v>0.45833333333333331</v>
      </c>
      <c r="D6317">
        <v>69.98</v>
      </c>
      <c r="E6317" t="str">
        <f t="shared" si="232"/>
        <v>WEEKDAY</v>
      </c>
      <c r="F6317" t="e">
        <f t="shared" si="233"/>
        <v>#N/A</v>
      </c>
      <c r="G6317" s="74">
        <v>29118</v>
      </c>
      <c r="H6317" s="77">
        <v>0.45833333333333331</v>
      </c>
      <c r="J6317">
        <v>58.1</v>
      </c>
      <c r="M6317" s="74">
        <v>37884</v>
      </c>
      <c r="N6317" s="77">
        <v>0.45833333333333331</v>
      </c>
      <c r="P6317">
        <v>75.2</v>
      </c>
      <c r="S6317" s="74">
        <v>34962</v>
      </c>
      <c r="T6317" s="77">
        <v>0.45833333333333331</v>
      </c>
      <c r="V6317">
        <v>73.039999999999992</v>
      </c>
      <c r="X6317" s="42"/>
      <c r="AB6317">
        <v>70.2</v>
      </c>
      <c r="AC6317">
        <v>62.06</v>
      </c>
      <c r="AE6317" s="74"/>
      <c r="AF6317" s="77"/>
      <c r="AH6317" s="497">
        <v>69.800000000000011</v>
      </c>
      <c r="AJ6317" s="42"/>
      <c r="AK6317" s="74"/>
      <c r="AL6317" s="77"/>
      <c r="AN6317" s="497">
        <v>63.319999999999993</v>
      </c>
      <c r="AP6317" s="42"/>
      <c r="AQ6317" s="74"/>
      <c r="AR6317" s="77"/>
      <c r="AT6317" s="497">
        <v>62.06</v>
      </c>
      <c r="AV6317" s="42"/>
      <c r="AW6317" s="74"/>
      <c r="AX6317" s="77"/>
      <c r="BA6317" s="497">
        <v>80.06</v>
      </c>
      <c r="BB6317" s="42"/>
      <c r="BC6317" s="74"/>
      <c r="BD6317" s="77"/>
      <c r="BF6317">
        <v>71.960000000000008</v>
      </c>
      <c r="BH6317" s="42"/>
      <c r="BI6317" s="74"/>
      <c r="BJ6317" s="77"/>
      <c r="BL6317" s="497">
        <v>78.080000000000013</v>
      </c>
      <c r="BN6317" s="42"/>
      <c r="BO6317" s="74"/>
      <c r="BP6317" s="77"/>
      <c r="BR6317" s="497">
        <v>73.94</v>
      </c>
      <c r="BT6317" s="42"/>
    </row>
    <row r="6318" spans="1:72" x14ac:dyDescent="0.25">
      <c r="A6318" s="90">
        <v>34962</v>
      </c>
      <c r="B6318" s="20">
        <v>0.5</v>
      </c>
      <c r="D6318">
        <v>69.080000000000013</v>
      </c>
      <c r="E6318" t="str">
        <f t="shared" si="232"/>
        <v>WEEKDAY</v>
      </c>
      <c r="F6318" t="e">
        <f t="shared" si="233"/>
        <v>#N/A</v>
      </c>
      <c r="G6318" s="74">
        <v>29118</v>
      </c>
      <c r="H6318" s="77">
        <v>0.5</v>
      </c>
      <c r="J6318">
        <v>59</v>
      </c>
      <c r="M6318" s="74">
        <v>37884</v>
      </c>
      <c r="N6318" s="77">
        <v>0.5</v>
      </c>
      <c r="P6318">
        <v>78.800000000000011</v>
      </c>
      <c r="S6318" s="74">
        <v>34962</v>
      </c>
      <c r="T6318" s="77">
        <v>0.5</v>
      </c>
      <c r="V6318">
        <v>71.960000000000008</v>
      </c>
      <c r="X6318" s="42"/>
      <c r="AB6318">
        <v>71.599999999999994</v>
      </c>
      <c r="AC6318">
        <v>64.039999999999992</v>
      </c>
      <c r="AE6318" s="74"/>
      <c r="AF6318" s="77"/>
      <c r="AH6318" s="497">
        <v>69.800000000000011</v>
      </c>
      <c r="AJ6318" s="42"/>
      <c r="AK6318" s="74"/>
      <c r="AL6318" s="77"/>
      <c r="AN6318" s="497">
        <v>63.680000000000007</v>
      </c>
      <c r="AP6318" s="42"/>
      <c r="AQ6318" s="74"/>
      <c r="AR6318" s="77"/>
      <c r="AT6318" s="497">
        <v>62.06</v>
      </c>
      <c r="AV6318" s="42"/>
      <c r="AW6318" s="74"/>
      <c r="AX6318" s="77"/>
      <c r="BA6318" s="497">
        <v>82.94</v>
      </c>
      <c r="BB6318" s="42"/>
      <c r="BC6318" s="74"/>
      <c r="BD6318" s="77"/>
      <c r="BF6318">
        <v>73.94</v>
      </c>
      <c r="BH6318" s="42"/>
      <c r="BI6318" s="74"/>
      <c r="BJ6318" s="77"/>
      <c r="BL6318" s="497">
        <v>80.06</v>
      </c>
      <c r="BN6318" s="42"/>
      <c r="BO6318" s="74"/>
      <c r="BP6318" s="77"/>
      <c r="BR6318" s="497">
        <v>75.02</v>
      </c>
      <c r="BT6318" s="42"/>
    </row>
    <row r="6319" spans="1:72" x14ac:dyDescent="0.25">
      <c r="A6319" s="90">
        <v>34962</v>
      </c>
      <c r="B6319" s="20">
        <v>0.54166666666666663</v>
      </c>
      <c r="D6319">
        <v>66.92</v>
      </c>
      <c r="E6319" t="str">
        <f t="shared" si="232"/>
        <v>WEEKDAY</v>
      </c>
      <c r="F6319" t="e">
        <f t="shared" si="233"/>
        <v>#N/A</v>
      </c>
      <c r="G6319" s="74">
        <v>29118</v>
      </c>
      <c r="H6319" s="77">
        <v>0.54166666666666663</v>
      </c>
      <c r="J6319">
        <v>60.08</v>
      </c>
      <c r="M6319" s="74">
        <v>37884</v>
      </c>
      <c r="N6319" s="77">
        <v>0.54166666666666663</v>
      </c>
      <c r="P6319">
        <v>78.800000000000011</v>
      </c>
      <c r="S6319" s="74">
        <v>34962</v>
      </c>
      <c r="T6319" s="77">
        <v>0.54166666666666663</v>
      </c>
      <c r="V6319">
        <v>71.960000000000008</v>
      </c>
      <c r="X6319" s="42"/>
      <c r="AB6319">
        <v>72.400000000000006</v>
      </c>
      <c r="AC6319">
        <v>64.94</v>
      </c>
      <c r="AE6319" s="74"/>
      <c r="AF6319" s="77"/>
      <c r="AH6319" s="497">
        <v>75.2</v>
      </c>
      <c r="AJ6319" s="42"/>
      <c r="AK6319" s="74"/>
      <c r="AL6319" s="77"/>
      <c r="AN6319" s="497">
        <v>64.039999999999992</v>
      </c>
      <c r="AP6319" s="42"/>
      <c r="AQ6319" s="74"/>
      <c r="AR6319" s="77"/>
      <c r="AT6319" s="497">
        <v>64.94</v>
      </c>
      <c r="AV6319" s="42"/>
      <c r="AW6319" s="74"/>
      <c r="AX6319" s="77"/>
      <c r="BA6319" s="497">
        <v>84.02</v>
      </c>
      <c r="BB6319" s="42"/>
      <c r="BC6319" s="74"/>
      <c r="BD6319" s="77"/>
      <c r="BF6319">
        <v>73.94</v>
      </c>
      <c r="BH6319" s="42"/>
      <c r="BI6319" s="74"/>
      <c r="BJ6319" s="77"/>
      <c r="BL6319" s="497">
        <v>78.98</v>
      </c>
      <c r="BN6319" s="42"/>
      <c r="BO6319" s="74"/>
      <c r="BP6319" s="77"/>
      <c r="BR6319" s="497">
        <v>75.92</v>
      </c>
      <c r="BT6319" s="42"/>
    </row>
    <row r="6320" spans="1:72" x14ac:dyDescent="0.25">
      <c r="A6320" s="90">
        <v>34962</v>
      </c>
      <c r="B6320" s="20">
        <v>0.58333333333333337</v>
      </c>
      <c r="D6320">
        <v>66.02</v>
      </c>
      <c r="E6320" t="str">
        <f t="shared" si="232"/>
        <v>WEEKDAY</v>
      </c>
      <c r="F6320" t="e">
        <f t="shared" si="233"/>
        <v>#N/A</v>
      </c>
      <c r="G6320" s="74">
        <v>29118</v>
      </c>
      <c r="H6320" s="77">
        <v>0.58333333333333337</v>
      </c>
      <c r="J6320">
        <v>60.44</v>
      </c>
      <c r="M6320" s="74">
        <v>37884</v>
      </c>
      <c r="N6320" s="77">
        <v>0.58333333333333337</v>
      </c>
      <c r="P6320">
        <v>78.800000000000011</v>
      </c>
      <c r="S6320" s="74">
        <v>34962</v>
      </c>
      <c r="T6320" s="77">
        <v>0.58333333333333337</v>
      </c>
      <c r="V6320">
        <v>71.06</v>
      </c>
      <c r="X6320" s="42"/>
      <c r="AB6320">
        <v>72.900000000000006</v>
      </c>
      <c r="AC6320">
        <v>66.02</v>
      </c>
      <c r="AE6320" s="74"/>
      <c r="AF6320" s="77"/>
      <c r="AH6320" s="497">
        <v>75.2</v>
      </c>
      <c r="AJ6320" s="42"/>
      <c r="AK6320" s="74"/>
      <c r="AL6320" s="77"/>
      <c r="AN6320" s="497">
        <v>63.319999999999993</v>
      </c>
      <c r="AP6320" s="42"/>
      <c r="AQ6320" s="74"/>
      <c r="AR6320" s="77"/>
      <c r="AT6320" s="497">
        <v>64.94</v>
      </c>
      <c r="AV6320" s="42"/>
      <c r="AW6320" s="74"/>
      <c r="AX6320" s="77"/>
      <c r="BA6320" s="497">
        <v>86</v>
      </c>
      <c r="BB6320" s="42"/>
      <c r="BC6320" s="74"/>
      <c r="BD6320" s="77"/>
      <c r="BF6320">
        <v>75.92</v>
      </c>
      <c r="BH6320" s="42"/>
      <c r="BI6320" s="74"/>
      <c r="BJ6320" s="77"/>
      <c r="BL6320" s="497">
        <v>80.06</v>
      </c>
      <c r="BN6320" s="42"/>
      <c r="BO6320" s="74"/>
      <c r="BP6320" s="77"/>
      <c r="BR6320" s="497">
        <v>75.92</v>
      </c>
      <c r="BT6320" s="42"/>
    </row>
    <row r="6321" spans="1:72" x14ac:dyDescent="0.25">
      <c r="A6321" s="90">
        <v>34962</v>
      </c>
      <c r="B6321" s="20">
        <v>0.625</v>
      </c>
      <c r="D6321">
        <v>66.92</v>
      </c>
      <c r="E6321" t="str">
        <f t="shared" si="232"/>
        <v>WEEKDAY</v>
      </c>
      <c r="F6321" t="e">
        <f t="shared" si="233"/>
        <v>#N/A</v>
      </c>
      <c r="G6321" s="74">
        <v>29118</v>
      </c>
      <c r="H6321" s="77">
        <v>0.625</v>
      </c>
      <c r="J6321">
        <v>60.620000000000005</v>
      </c>
      <c r="M6321" s="74">
        <v>37884</v>
      </c>
      <c r="N6321" s="77">
        <v>0.625</v>
      </c>
      <c r="P6321">
        <v>78.800000000000011</v>
      </c>
      <c r="S6321" s="74">
        <v>34962</v>
      </c>
      <c r="T6321" s="77">
        <v>0.625</v>
      </c>
      <c r="V6321">
        <v>69.98</v>
      </c>
      <c r="X6321" s="42"/>
      <c r="AB6321">
        <v>73</v>
      </c>
      <c r="AC6321">
        <v>66.92</v>
      </c>
      <c r="AE6321" s="74"/>
      <c r="AF6321" s="77"/>
      <c r="AH6321" s="497">
        <v>73.400000000000006</v>
      </c>
      <c r="AJ6321" s="42"/>
      <c r="AK6321" s="74"/>
      <c r="AL6321" s="77"/>
      <c r="AN6321" s="497">
        <v>62.78</v>
      </c>
      <c r="AP6321" s="42"/>
      <c r="AQ6321" s="74"/>
      <c r="AR6321" s="77"/>
      <c r="AT6321" s="497">
        <v>64.039999999999992</v>
      </c>
      <c r="AV6321" s="42"/>
      <c r="AW6321" s="74"/>
      <c r="AX6321" s="77"/>
      <c r="BA6321" s="497">
        <v>84.92</v>
      </c>
      <c r="BB6321" s="42"/>
      <c r="BC6321" s="74"/>
      <c r="BD6321" s="77"/>
      <c r="BF6321">
        <v>75.02</v>
      </c>
      <c r="BH6321" s="42"/>
      <c r="BI6321" s="74"/>
      <c r="BJ6321" s="77"/>
      <c r="BL6321" s="497">
        <v>69.98</v>
      </c>
      <c r="BN6321" s="42"/>
      <c r="BO6321" s="74"/>
      <c r="BP6321" s="77"/>
      <c r="BR6321" s="497">
        <v>75.92</v>
      </c>
      <c r="BT6321" s="42"/>
    </row>
    <row r="6322" spans="1:72" x14ac:dyDescent="0.25">
      <c r="A6322" s="90">
        <v>34962</v>
      </c>
      <c r="B6322" s="20">
        <v>0.66666666666666663</v>
      </c>
      <c r="D6322">
        <v>66.92</v>
      </c>
      <c r="E6322" t="str">
        <f t="shared" si="232"/>
        <v>WEEKDAY</v>
      </c>
      <c r="F6322" t="e">
        <f t="shared" si="233"/>
        <v>#N/A</v>
      </c>
      <c r="G6322" s="74">
        <v>29118</v>
      </c>
      <c r="H6322" s="77">
        <v>0.66666666666666663</v>
      </c>
      <c r="J6322">
        <v>60.980000000000004</v>
      </c>
      <c r="M6322" s="74">
        <v>37884</v>
      </c>
      <c r="N6322" s="77">
        <v>0.66666666666666663</v>
      </c>
      <c r="P6322">
        <v>77.36</v>
      </c>
      <c r="S6322" s="74">
        <v>34962</v>
      </c>
      <c r="T6322" s="77">
        <v>0.66666666666666663</v>
      </c>
      <c r="V6322">
        <v>69.98</v>
      </c>
      <c r="X6322" s="42"/>
      <c r="AB6322">
        <v>72.8</v>
      </c>
      <c r="AC6322">
        <v>66.92</v>
      </c>
      <c r="AE6322" s="74"/>
      <c r="AF6322" s="77"/>
      <c r="AH6322" s="497">
        <v>75.2</v>
      </c>
      <c r="AJ6322" s="42"/>
      <c r="AK6322" s="74"/>
      <c r="AL6322" s="77"/>
      <c r="AN6322" s="497">
        <v>62.06</v>
      </c>
      <c r="AP6322" s="42"/>
      <c r="AQ6322" s="74"/>
      <c r="AR6322" s="77"/>
      <c r="AT6322" s="497">
        <v>64.94</v>
      </c>
      <c r="AV6322" s="42"/>
      <c r="AW6322" s="74"/>
      <c r="AX6322" s="77"/>
      <c r="BA6322" s="497">
        <v>84.02</v>
      </c>
      <c r="BB6322" s="42"/>
      <c r="BC6322" s="74"/>
      <c r="BD6322" s="77"/>
      <c r="BF6322">
        <v>75.02</v>
      </c>
      <c r="BH6322" s="42"/>
      <c r="BI6322" s="74"/>
      <c r="BJ6322" s="77"/>
      <c r="BL6322" s="497">
        <v>69.98</v>
      </c>
      <c r="BN6322" s="42"/>
      <c r="BO6322" s="74"/>
      <c r="BP6322" s="77"/>
      <c r="BR6322" s="497">
        <v>75.92</v>
      </c>
      <c r="BT6322" s="42"/>
    </row>
    <row r="6323" spans="1:72" x14ac:dyDescent="0.25">
      <c r="A6323" s="90">
        <v>34962</v>
      </c>
      <c r="B6323" s="20">
        <v>0.70833333333333337</v>
      </c>
      <c r="D6323">
        <v>69.080000000000013</v>
      </c>
      <c r="E6323" t="str">
        <f t="shared" si="232"/>
        <v>WEEKDAY</v>
      </c>
      <c r="F6323" t="e">
        <f t="shared" si="233"/>
        <v>#N/A</v>
      </c>
      <c r="G6323" s="74">
        <v>29118</v>
      </c>
      <c r="H6323" s="77">
        <v>0.70833333333333337</v>
      </c>
      <c r="J6323">
        <v>60.620000000000005</v>
      </c>
      <c r="M6323" s="74">
        <v>37884</v>
      </c>
      <c r="N6323" s="77">
        <v>0.70833333333333337</v>
      </c>
      <c r="P6323">
        <v>75.2</v>
      </c>
      <c r="S6323" s="74">
        <v>34962</v>
      </c>
      <c r="T6323" s="77">
        <v>0.70833333333333337</v>
      </c>
      <c r="V6323">
        <v>68</v>
      </c>
      <c r="X6323" s="42"/>
      <c r="AB6323">
        <v>71.900000000000006</v>
      </c>
      <c r="AC6323">
        <v>66.02</v>
      </c>
      <c r="AE6323" s="74"/>
      <c r="AF6323" s="77"/>
      <c r="AH6323" s="497">
        <v>73.400000000000006</v>
      </c>
      <c r="AJ6323" s="42"/>
      <c r="AK6323" s="74"/>
      <c r="AL6323" s="77"/>
      <c r="AN6323" s="497">
        <v>61.34</v>
      </c>
      <c r="AP6323" s="42"/>
      <c r="AQ6323" s="74"/>
      <c r="AR6323" s="77"/>
      <c r="AT6323" s="497">
        <v>62.96</v>
      </c>
      <c r="AV6323" s="42"/>
      <c r="AW6323" s="74"/>
      <c r="AX6323" s="77"/>
      <c r="BA6323" s="497">
        <v>80.960000000000008</v>
      </c>
      <c r="BB6323" s="42"/>
      <c r="BC6323" s="74"/>
      <c r="BD6323" s="77"/>
      <c r="BF6323">
        <v>73.94</v>
      </c>
      <c r="BH6323" s="42"/>
      <c r="BI6323" s="74"/>
      <c r="BJ6323" s="77"/>
      <c r="BL6323" s="497">
        <v>71.960000000000008</v>
      </c>
      <c r="BN6323" s="42"/>
      <c r="BO6323" s="74"/>
      <c r="BP6323" s="77"/>
      <c r="BR6323" s="497">
        <v>74.300000000000011</v>
      </c>
      <c r="BT6323" s="42"/>
    </row>
    <row r="6324" spans="1:72" x14ac:dyDescent="0.25">
      <c r="A6324" s="90">
        <v>34962</v>
      </c>
      <c r="B6324" s="20">
        <v>0.75</v>
      </c>
      <c r="D6324">
        <v>69.98</v>
      </c>
      <c r="E6324" t="str">
        <f t="shared" si="232"/>
        <v>WEEKDAY</v>
      </c>
      <c r="F6324" t="e">
        <f t="shared" si="233"/>
        <v>#N/A</v>
      </c>
      <c r="G6324" s="74">
        <v>29118</v>
      </c>
      <c r="H6324" s="77">
        <v>0.75</v>
      </c>
      <c r="J6324">
        <v>60.44</v>
      </c>
      <c r="M6324" s="74">
        <v>37884</v>
      </c>
      <c r="N6324" s="77">
        <v>0.75</v>
      </c>
      <c r="P6324">
        <v>71.599999999999994</v>
      </c>
      <c r="S6324" s="74">
        <v>34962</v>
      </c>
      <c r="T6324" s="77">
        <v>0.75</v>
      </c>
      <c r="V6324">
        <v>66.92</v>
      </c>
      <c r="X6324" s="42"/>
      <c r="AB6324">
        <v>70.599999999999994</v>
      </c>
      <c r="AC6324">
        <v>62.96</v>
      </c>
      <c r="AE6324" s="74"/>
      <c r="AF6324" s="77"/>
      <c r="AH6324" s="497">
        <v>64.400000000000006</v>
      </c>
      <c r="AJ6324" s="42"/>
      <c r="AK6324" s="74"/>
      <c r="AL6324" s="77"/>
      <c r="AN6324" s="497">
        <v>60.8</v>
      </c>
      <c r="AP6324" s="42"/>
      <c r="AQ6324" s="74"/>
      <c r="AR6324" s="77"/>
      <c r="AT6324" s="497">
        <v>59</v>
      </c>
      <c r="AV6324" s="42"/>
      <c r="AW6324" s="74"/>
      <c r="AX6324" s="77"/>
      <c r="BA6324" s="497">
        <v>78.98</v>
      </c>
      <c r="BB6324" s="42"/>
      <c r="BC6324" s="74"/>
      <c r="BD6324" s="77"/>
      <c r="BF6324">
        <v>71.06</v>
      </c>
      <c r="BH6324" s="42"/>
      <c r="BI6324" s="74"/>
      <c r="BJ6324" s="77"/>
      <c r="BL6324" s="497">
        <v>71.06</v>
      </c>
      <c r="BN6324" s="42"/>
      <c r="BO6324" s="74"/>
      <c r="BP6324" s="77"/>
      <c r="BR6324" s="497">
        <v>72.680000000000007</v>
      </c>
      <c r="BT6324" s="42"/>
    </row>
    <row r="6325" spans="1:72" x14ac:dyDescent="0.25">
      <c r="A6325" s="90">
        <v>34962</v>
      </c>
      <c r="B6325" s="20">
        <v>0.79166666666666663</v>
      </c>
      <c r="D6325">
        <v>71.06</v>
      </c>
      <c r="E6325" t="str">
        <f t="shared" si="232"/>
        <v>WEEKDAY</v>
      </c>
      <c r="F6325" t="e">
        <f t="shared" si="233"/>
        <v>#N/A</v>
      </c>
      <c r="G6325" s="74">
        <v>29118</v>
      </c>
      <c r="H6325" s="77">
        <v>0.79166666666666663</v>
      </c>
      <c r="J6325">
        <v>60.08</v>
      </c>
      <c r="M6325" s="74">
        <v>37884</v>
      </c>
      <c r="N6325" s="77">
        <v>0.79166666666666663</v>
      </c>
      <c r="P6325">
        <v>71.599999999999994</v>
      </c>
      <c r="S6325" s="74">
        <v>34962</v>
      </c>
      <c r="T6325" s="77">
        <v>0.79166666666666663</v>
      </c>
      <c r="V6325">
        <v>66.92</v>
      </c>
      <c r="X6325" s="42"/>
      <c r="AB6325">
        <v>68.900000000000006</v>
      </c>
      <c r="AC6325">
        <v>57.92</v>
      </c>
      <c r="AE6325" s="74"/>
      <c r="AF6325" s="77"/>
      <c r="AH6325" s="497">
        <v>59</v>
      </c>
      <c r="AJ6325" s="42"/>
      <c r="AK6325" s="74"/>
      <c r="AL6325" s="77"/>
      <c r="AN6325" s="497">
        <v>60.08</v>
      </c>
      <c r="AP6325" s="42"/>
      <c r="AQ6325" s="74"/>
      <c r="AR6325" s="77"/>
      <c r="AT6325" s="497">
        <v>57.019999999999996</v>
      </c>
      <c r="AV6325" s="42"/>
      <c r="AW6325" s="74"/>
      <c r="AX6325" s="77"/>
      <c r="BA6325" s="497">
        <v>75.92</v>
      </c>
      <c r="BB6325" s="42"/>
      <c r="BC6325" s="74"/>
      <c r="BD6325" s="77"/>
      <c r="BF6325">
        <v>66.92</v>
      </c>
      <c r="BH6325" s="42"/>
      <c r="BI6325" s="74"/>
      <c r="BJ6325" s="77"/>
      <c r="BL6325" s="497">
        <v>69.080000000000013</v>
      </c>
      <c r="BN6325" s="42"/>
      <c r="BO6325" s="74"/>
      <c r="BP6325" s="77"/>
      <c r="BR6325" s="497">
        <v>71.06</v>
      </c>
      <c r="BT6325" s="42"/>
    </row>
    <row r="6326" spans="1:72" x14ac:dyDescent="0.25">
      <c r="A6326" s="90">
        <v>34962</v>
      </c>
      <c r="B6326" s="20">
        <v>0.83333333333333337</v>
      </c>
      <c r="D6326">
        <v>71.06</v>
      </c>
      <c r="E6326" t="str">
        <f t="shared" si="232"/>
        <v>WEEKDAY</v>
      </c>
      <c r="F6326" t="e">
        <f t="shared" si="233"/>
        <v>#N/A</v>
      </c>
      <c r="G6326" s="74">
        <v>29118</v>
      </c>
      <c r="H6326" s="77">
        <v>0.83333333333333337</v>
      </c>
      <c r="J6326">
        <v>60.08</v>
      </c>
      <c r="M6326" s="74">
        <v>37884</v>
      </c>
      <c r="N6326" s="77">
        <v>0.83333333333333337</v>
      </c>
      <c r="P6326">
        <v>69.800000000000011</v>
      </c>
      <c r="S6326" s="74">
        <v>34962</v>
      </c>
      <c r="T6326" s="77">
        <v>0.83333333333333337</v>
      </c>
      <c r="V6326">
        <v>66.92</v>
      </c>
      <c r="X6326" s="42"/>
      <c r="AB6326">
        <v>68</v>
      </c>
      <c r="AC6326">
        <v>57.019999999999996</v>
      </c>
      <c r="AE6326" s="74"/>
      <c r="AF6326" s="77"/>
      <c r="AH6326" s="497">
        <v>55.400000000000006</v>
      </c>
      <c r="AJ6326" s="42"/>
      <c r="AK6326" s="74"/>
      <c r="AL6326" s="77"/>
      <c r="AN6326" s="497">
        <v>59</v>
      </c>
      <c r="AP6326" s="42"/>
      <c r="AQ6326" s="74"/>
      <c r="AR6326" s="77"/>
      <c r="AT6326" s="497">
        <v>57.019999999999996</v>
      </c>
      <c r="AV6326" s="42"/>
      <c r="AW6326" s="74"/>
      <c r="AX6326" s="77"/>
      <c r="BA6326" s="497">
        <v>75.02</v>
      </c>
      <c r="BB6326" s="42"/>
      <c r="BC6326" s="74"/>
      <c r="BD6326" s="77"/>
      <c r="BF6326">
        <v>64.94</v>
      </c>
      <c r="BH6326" s="42"/>
      <c r="BI6326" s="74"/>
      <c r="BJ6326" s="77"/>
      <c r="BL6326" s="497">
        <v>69.080000000000013</v>
      </c>
      <c r="BN6326" s="42"/>
      <c r="BO6326" s="74"/>
      <c r="BP6326" s="77"/>
      <c r="BR6326" s="497">
        <v>69.62</v>
      </c>
      <c r="BT6326" s="42"/>
    </row>
    <row r="6327" spans="1:72" x14ac:dyDescent="0.25">
      <c r="A6327" s="90">
        <v>34962</v>
      </c>
      <c r="B6327" s="20">
        <v>0.875</v>
      </c>
      <c r="D6327">
        <v>69.98</v>
      </c>
      <c r="E6327" t="str">
        <f t="shared" si="232"/>
        <v>WEEKDAY</v>
      </c>
      <c r="F6327" t="e">
        <f t="shared" si="233"/>
        <v>#N/A</v>
      </c>
      <c r="G6327" s="74">
        <v>29118</v>
      </c>
      <c r="H6327" s="77">
        <v>0.875</v>
      </c>
      <c r="J6327">
        <v>60.08</v>
      </c>
      <c r="M6327" s="74">
        <v>37884</v>
      </c>
      <c r="N6327" s="77">
        <v>0.875</v>
      </c>
      <c r="P6327">
        <v>66.2</v>
      </c>
      <c r="S6327" s="74">
        <v>34962</v>
      </c>
      <c r="T6327" s="77">
        <v>0.875</v>
      </c>
      <c r="V6327">
        <v>66.92</v>
      </c>
      <c r="X6327" s="42"/>
      <c r="AB6327">
        <v>67.3</v>
      </c>
      <c r="AC6327">
        <v>55.040000000000006</v>
      </c>
      <c r="AE6327" s="74"/>
      <c r="AF6327" s="77"/>
      <c r="AH6327" s="497">
        <v>53.6</v>
      </c>
      <c r="AJ6327" s="42"/>
      <c r="AK6327" s="74"/>
      <c r="AL6327" s="77"/>
      <c r="AN6327" s="497">
        <v>58.1</v>
      </c>
      <c r="AP6327" s="42"/>
      <c r="AQ6327" s="74"/>
      <c r="AR6327" s="77"/>
      <c r="AT6327" s="497">
        <v>53.96</v>
      </c>
      <c r="AV6327" s="42"/>
      <c r="AW6327" s="74"/>
      <c r="AX6327" s="77"/>
      <c r="BA6327" s="497">
        <v>75.92</v>
      </c>
      <c r="BB6327" s="42"/>
      <c r="BC6327" s="74"/>
      <c r="BD6327" s="77"/>
      <c r="BF6327">
        <v>62.06</v>
      </c>
      <c r="BH6327" s="42"/>
      <c r="BI6327" s="74"/>
      <c r="BJ6327" s="77"/>
      <c r="BL6327" s="497">
        <v>68</v>
      </c>
      <c r="BN6327" s="42"/>
      <c r="BO6327" s="74"/>
      <c r="BP6327" s="77"/>
      <c r="BR6327" s="497">
        <v>68.36</v>
      </c>
      <c r="BT6327" s="42"/>
    </row>
    <row r="6328" spans="1:72" x14ac:dyDescent="0.25">
      <c r="A6328" s="90">
        <v>34962</v>
      </c>
      <c r="B6328" s="20">
        <v>0.91666666666666663</v>
      </c>
      <c r="D6328">
        <v>66.92</v>
      </c>
      <c r="E6328" t="str">
        <f t="shared" si="232"/>
        <v>WEEKDAY</v>
      </c>
      <c r="F6328" t="e">
        <f t="shared" si="233"/>
        <v>#N/A</v>
      </c>
      <c r="G6328" s="74">
        <v>29118</v>
      </c>
      <c r="H6328" s="77">
        <v>0.91666666666666663</v>
      </c>
      <c r="J6328">
        <v>60.08</v>
      </c>
      <c r="M6328" s="74">
        <v>37884</v>
      </c>
      <c r="N6328" s="77">
        <v>0.91666666666666663</v>
      </c>
      <c r="P6328">
        <v>65.48</v>
      </c>
      <c r="S6328" s="74">
        <v>34962</v>
      </c>
      <c r="T6328" s="77">
        <v>0.91666666666666663</v>
      </c>
      <c r="V6328">
        <v>66.92</v>
      </c>
      <c r="X6328" s="42"/>
      <c r="AB6328">
        <v>66.599999999999994</v>
      </c>
      <c r="AC6328">
        <v>53.06</v>
      </c>
      <c r="AE6328" s="74"/>
      <c r="AF6328" s="77"/>
      <c r="AH6328" s="497">
        <v>53.6</v>
      </c>
      <c r="AJ6328" s="42"/>
      <c r="AK6328" s="74"/>
      <c r="AL6328" s="77"/>
      <c r="AN6328" s="497">
        <v>57.019999999999996</v>
      </c>
      <c r="AP6328" s="42"/>
      <c r="AQ6328" s="74"/>
      <c r="AR6328" s="77"/>
      <c r="AT6328" s="497">
        <v>51.980000000000004</v>
      </c>
      <c r="AV6328" s="42"/>
      <c r="AW6328" s="74"/>
      <c r="AX6328" s="77"/>
      <c r="BA6328" s="497">
        <v>75.02</v>
      </c>
      <c r="BB6328" s="42"/>
      <c r="BC6328" s="74"/>
      <c r="BD6328" s="77"/>
      <c r="BF6328">
        <v>60.08</v>
      </c>
      <c r="BH6328" s="42"/>
      <c r="BI6328" s="74"/>
      <c r="BJ6328" s="77"/>
      <c r="BL6328" s="497">
        <v>68</v>
      </c>
      <c r="BN6328" s="42"/>
      <c r="BO6328" s="74"/>
      <c r="BP6328" s="77"/>
      <c r="BR6328" s="497">
        <v>66.92</v>
      </c>
      <c r="BT6328" s="42"/>
    </row>
    <row r="6329" spans="1:72" x14ac:dyDescent="0.25">
      <c r="A6329" s="90">
        <v>34962</v>
      </c>
      <c r="B6329" s="20">
        <v>0.95833333333333337</v>
      </c>
      <c r="D6329">
        <v>69.080000000000013</v>
      </c>
      <c r="E6329" t="str">
        <f t="shared" si="232"/>
        <v>WEEKDAY</v>
      </c>
      <c r="F6329" t="e">
        <f t="shared" si="233"/>
        <v>#N/A</v>
      </c>
      <c r="G6329" s="74">
        <v>29118</v>
      </c>
      <c r="H6329" s="77">
        <v>0.95833333333333337</v>
      </c>
      <c r="J6329">
        <v>60.8</v>
      </c>
      <c r="M6329" s="74">
        <v>37884</v>
      </c>
      <c r="N6329" s="77">
        <v>0.95833333333333337</v>
      </c>
      <c r="P6329">
        <v>64.400000000000006</v>
      </c>
      <c r="S6329" s="74">
        <v>34962</v>
      </c>
      <c r="T6329" s="77">
        <v>0.95833333333333337</v>
      </c>
      <c r="V6329">
        <v>66.92</v>
      </c>
      <c r="X6329" s="42"/>
      <c r="AB6329">
        <v>66</v>
      </c>
      <c r="AC6329">
        <v>53.96</v>
      </c>
      <c r="AE6329" s="74"/>
      <c r="AF6329" s="77"/>
      <c r="AH6329" s="497">
        <v>51.8</v>
      </c>
      <c r="AJ6329" s="42"/>
      <c r="AK6329" s="74"/>
      <c r="AL6329" s="77"/>
      <c r="AN6329" s="497">
        <v>56.120000000000005</v>
      </c>
      <c r="AP6329" s="42"/>
      <c r="AQ6329" s="74"/>
      <c r="AR6329" s="77"/>
      <c r="AT6329" s="497">
        <v>50</v>
      </c>
      <c r="AV6329" s="42"/>
      <c r="AW6329" s="74"/>
      <c r="AX6329" s="77"/>
      <c r="BA6329" s="497">
        <v>75.02</v>
      </c>
      <c r="BB6329" s="42"/>
      <c r="BC6329" s="74"/>
      <c r="BD6329" s="77"/>
      <c r="BF6329">
        <v>59</v>
      </c>
      <c r="BH6329" s="42"/>
      <c r="BI6329" s="74"/>
      <c r="BJ6329" s="77"/>
      <c r="BL6329" s="497">
        <v>68</v>
      </c>
      <c r="BN6329" s="42"/>
      <c r="BO6329" s="74"/>
      <c r="BP6329" s="77"/>
      <c r="BR6329" s="497">
        <v>65.66</v>
      </c>
      <c r="BT6329" s="42"/>
    </row>
    <row r="6330" spans="1:72" x14ac:dyDescent="0.25">
      <c r="A6330" s="90">
        <v>34962</v>
      </c>
      <c r="B6330" s="20">
        <v>1</v>
      </c>
      <c r="D6330">
        <v>69.98</v>
      </c>
      <c r="E6330" t="str">
        <f t="shared" si="232"/>
        <v>WEEKDAY</v>
      </c>
      <c r="F6330" t="e">
        <f t="shared" si="233"/>
        <v>#N/A</v>
      </c>
      <c r="G6330" s="74">
        <v>29118</v>
      </c>
      <c r="H6330" s="77">
        <v>1</v>
      </c>
      <c r="J6330">
        <v>61.34</v>
      </c>
      <c r="M6330" s="74">
        <v>37884</v>
      </c>
      <c r="N6330" s="80">
        <v>1</v>
      </c>
      <c r="P6330">
        <v>62.6</v>
      </c>
      <c r="S6330" s="74">
        <v>34962</v>
      </c>
      <c r="T6330" s="80">
        <v>1</v>
      </c>
      <c r="V6330">
        <v>66.02</v>
      </c>
      <c r="X6330" s="42"/>
      <c r="AB6330">
        <v>65.3</v>
      </c>
      <c r="AC6330">
        <v>53.06</v>
      </c>
      <c r="AE6330" s="74"/>
      <c r="AF6330" s="80"/>
      <c r="AH6330" s="497">
        <v>50</v>
      </c>
      <c r="AJ6330" s="42"/>
      <c r="AK6330" s="74"/>
      <c r="AL6330" s="80"/>
      <c r="AN6330" s="497">
        <v>55.040000000000006</v>
      </c>
      <c r="AP6330" s="42"/>
      <c r="AQ6330" s="74"/>
      <c r="AR6330" s="80"/>
      <c r="AT6330" s="497">
        <v>48.019999999999996</v>
      </c>
      <c r="AV6330" s="42"/>
      <c r="AW6330" s="74"/>
      <c r="AX6330" s="80"/>
      <c r="BA6330" s="497">
        <v>75.92</v>
      </c>
      <c r="BB6330" s="42"/>
      <c r="BC6330" s="74"/>
      <c r="BD6330" s="80"/>
      <c r="BF6330">
        <v>57.92</v>
      </c>
      <c r="BH6330" s="42"/>
      <c r="BI6330" s="74"/>
      <c r="BJ6330" s="80"/>
      <c r="BL6330" s="497">
        <v>69.080000000000013</v>
      </c>
      <c r="BN6330" s="42"/>
      <c r="BO6330" s="74"/>
      <c r="BP6330" s="80"/>
      <c r="BR6330" s="497">
        <v>64.22</v>
      </c>
      <c r="BT6330" s="42"/>
    </row>
    <row r="6331" spans="1:72" x14ac:dyDescent="0.25">
      <c r="A6331" s="90">
        <v>34963</v>
      </c>
      <c r="B6331" s="20">
        <v>4.1666666666666664E-2</v>
      </c>
      <c r="D6331">
        <v>69.98</v>
      </c>
      <c r="E6331" t="str">
        <f t="shared" si="232"/>
        <v>WEEKDAY</v>
      </c>
      <c r="F6331" t="e">
        <f t="shared" si="233"/>
        <v>#N/A</v>
      </c>
      <c r="G6331" s="74">
        <v>29119</v>
      </c>
      <c r="H6331" s="77">
        <v>4.1666666666666664E-2</v>
      </c>
      <c r="J6331">
        <v>62.06</v>
      </c>
      <c r="M6331" s="74">
        <v>37885</v>
      </c>
      <c r="N6331" s="77">
        <v>4.1666666666666664E-2</v>
      </c>
      <c r="P6331">
        <v>60.8</v>
      </c>
      <c r="S6331" s="74">
        <v>34963</v>
      </c>
      <c r="T6331" s="77">
        <v>4.1666666666666664E-2</v>
      </c>
      <c r="V6331">
        <v>66.92</v>
      </c>
      <c r="X6331" s="42"/>
      <c r="AB6331">
        <v>64.599999999999994</v>
      </c>
      <c r="AC6331">
        <v>51.980000000000004</v>
      </c>
      <c r="AE6331" s="74"/>
      <c r="AF6331" s="77"/>
      <c r="AH6331" s="497">
        <v>50</v>
      </c>
      <c r="AJ6331" s="42"/>
      <c r="AK6331" s="74"/>
      <c r="AL6331" s="77"/>
      <c r="AN6331" s="497">
        <v>54.14</v>
      </c>
      <c r="AP6331" s="42"/>
      <c r="AQ6331" s="74"/>
      <c r="AR6331" s="77"/>
      <c r="AT6331" s="497">
        <v>46.04</v>
      </c>
      <c r="AV6331" s="42"/>
      <c r="AW6331" s="74"/>
      <c r="AX6331" s="77"/>
      <c r="BA6331" s="497">
        <v>75.92</v>
      </c>
      <c r="BB6331" s="42"/>
      <c r="BC6331" s="74"/>
      <c r="BD6331" s="77"/>
      <c r="BF6331">
        <v>57.019999999999996</v>
      </c>
      <c r="BH6331" s="42"/>
      <c r="BI6331" s="74"/>
      <c r="BJ6331" s="77"/>
      <c r="BL6331" s="497">
        <v>69.080000000000013</v>
      </c>
      <c r="BN6331" s="42"/>
      <c r="BO6331" s="74"/>
      <c r="BP6331" s="77"/>
      <c r="BR6331" s="497">
        <v>62.96</v>
      </c>
      <c r="BT6331" s="42"/>
    </row>
    <row r="6332" spans="1:72" x14ac:dyDescent="0.25">
      <c r="A6332" s="90">
        <v>34963</v>
      </c>
      <c r="B6332" s="20">
        <v>8.3333333333333329E-2</v>
      </c>
      <c r="D6332">
        <v>69.080000000000013</v>
      </c>
      <c r="E6332" t="str">
        <f t="shared" si="232"/>
        <v>WEEKDAY</v>
      </c>
      <c r="F6332" t="e">
        <f t="shared" si="233"/>
        <v>#N/A</v>
      </c>
      <c r="G6332" s="74">
        <v>29119</v>
      </c>
      <c r="H6332" s="77">
        <v>8.3333333333333329E-2</v>
      </c>
      <c r="J6332">
        <v>61.7</v>
      </c>
      <c r="M6332" s="74">
        <v>37885</v>
      </c>
      <c r="N6332" s="77">
        <v>8.3333333333333329E-2</v>
      </c>
      <c r="P6332">
        <v>60.8</v>
      </c>
      <c r="S6332" s="74">
        <v>34963</v>
      </c>
      <c r="T6332" s="77">
        <v>8.3333333333333329E-2</v>
      </c>
      <c r="V6332">
        <v>66.92</v>
      </c>
      <c r="X6332" s="42"/>
      <c r="AB6332">
        <v>64</v>
      </c>
      <c r="AC6332">
        <v>51.08</v>
      </c>
      <c r="AE6332" s="74"/>
      <c r="AF6332" s="77"/>
      <c r="AH6332" s="497">
        <v>48.2</v>
      </c>
      <c r="AJ6332" s="42"/>
      <c r="AK6332" s="74"/>
      <c r="AL6332" s="77"/>
      <c r="AN6332" s="497">
        <v>53.06</v>
      </c>
      <c r="AP6332" s="42"/>
      <c r="AQ6332" s="74"/>
      <c r="AR6332" s="77"/>
      <c r="AT6332" s="497">
        <v>44.06</v>
      </c>
      <c r="AV6332" s="42"/>
      <c r="AW6332" s="74"/>
      <c r="AX6332" s="77"/>
      <c r="BA6332" s="497">
        <v>73.94</v>
      </c>
      <c r="BB6332" s="42"/>
      <c r="BC6332" s="74"/>
      <c r="BD6332" s="77"/>
      <c r="BF6332">
        <v>55.040000000000006</v>
      </c>
      <c r="BH6332" s="42"/>
      <c r="BI6332" s="74"/>
      <c r="BJ6332" s="77"/>
      <c r="BL6332" s="497">
        <v>69.080000000000013</v>
      </c>
      <c r="BN6332" s="42"/>
      <c r="BO6332" s="74"/>
      <c r="BP6332" s="77"/>
      <c r="BR6332" s="497">
        <v>59.36</v>
      </c>
      <c r="BT6332" s="42"/>
    </row>
    <row r="6333" spans="1:72" x14ac:dyDescent="0.25">
      <c r="A6333" s="90">
        <v>34963</v>
      </c>
      <c r="B6333" s="20">
        <v>0.125</v>
      </c>
      <c r="D6333">
        <v>69.98</v>
      </c>
      <c r="E6333" t="str">
        <f t="shared" si="232"/>
        <v>WEEKDAY</v>
      </c>
      <c r="F6333" t="e">
        <f t="shared" si="233"/>
        <v>#N/A</v>
      </c>
      <c r="G6333" s="74">
        <v>29119</v>
      </c>
      <c r="H6333" s="77">
        <v>0.125</v>
      </c>
      <c r="J6333">
        <v>61.34</v>
      </c>
      <c r="M6333" s="74">
        <v>37885</v>
      </c>
      <c r="N6333" s="77">
        <v>0.125</v>
      </c>
      <c r="P6333">
        <v>58.82</v>
      </c>
      <c r="S6333" s="74">
        <v>34963</v>
      </c>
      <c r="T6333" s="77">
        <v>0.125</v>
      </c>
      <c r="V6333">
        <v>66.02</v>
      </c>
      <c r="X6333" s="42"/>
      <c r="AB6333">
        <v>63.4</v>
      </c>
      <c r="AC6333">
        <v>53.06</v>
      </c>
      <c r="AE6333" s="74"/>
      <c r="AF6333" s="77"/>
      <c r="AH6333" s="497">
        <v>48.2</v>
      </c>
      <c r="AJ6333" s="42"/>
      <c r="AK6333" s="74"/>
      <c r="AL6333" s="77"/>
      <c r="AN6333" s="497">
        <v>52.16</v>
      </c>
      <c r="AP6333" s="42"/>
      <c r="AQ6333" s="74"/>
      <c r="AR6333" s="77"/>
      <c r="AT6333" s="497">
        <v>42.980000000000004</v>
      </c>
      <c r="AV6333" s="42"/>
      <c r="AW6333" s="74"/>
      <c r="AX6333" s="77"/>
      <c r="BA6333" s="497">
        <v>69.080000000000013</v>
      </c>
      <c r="BB6333" s="42"/>
      <c r="BC6333" s="74"/>
      <c r="BD6333" s="77"/>
      <c r="BF6333">
        <v>55.040000000000006</v>
      </c>
      <c r="BH6333" s="42"/>
      <c r="BI6333" s="74"/>
      <c r="BJ6333" s="77"/>
      <c r="BL6333" s="497">
        <v>66.92</v>
      </c>
      <c r="BN6333" s="42"/>
      <c r="BO6333" s="74"/>
      <c r="BP6333" s="77"/>
      <c r="BR6333" s="497">
        <v>55.58</v>
      </c>
      <c r="BT6333" s="42"/>
    </row>
    <row r="6334" spans="1:72" x14ac:dyDescent="0.25">
      <c r="A6334" s="90">
        <v>34963</v>
      </c>
      <c r="B6334" s="20">
        <v>0.16666666666666666</v>
      </c>
      <c r="D6334">
        <v>69.98</v>
      </c>
      <c r="E6334" t="str">
        <f t="shared" si="232"/>
        <v>WEEKDAY</v>
      </c>
      <c r="F6334" t="e">
        <f t="shared" si="233"/>
        <v>#N/A</v>
      </c>
      <c r="G6334" s="74">
        <v>29119</v>
      </c>
      <c r="H6334" s="77">
        <v>0.16666666666666666</v>
      </c>
      <c r="J6334">
        <v>60.980000000000004</v>
      </c>
      <c r="M6334" s="74">
        <v>37885</v>
      </c>
      <c r="N6334" s="77">
        <v>0.16666666666666666</v>
      </c>
      <c r="P6334">
        <v>57.2</v>
      </c>
      <c r="S6334" s="74">
        <v>34963</v>
      </c>
      <c r="T6334" s="77">
        <v>0.16666666666666666</v>
      </c>
      <c r="V6334">
        <v>66.92</v>
      </c>
      <c r="X6334" s="42"/>
      <c r="AB6334">
        <v>62.9</v>
      </c>
      <c r="AC6334">
        <v>55.040000000000006</v>
      </c>
      <c r="AE6334" s="74"/>
      <c r="AF6334" s="77"/>
      <c r="AH6334" s="497">
        <v>47.120000000000005</v>
      </c>
      <c r="AJ6334" s="42"/>
      <c r="AK6334" s="74"/>
      <c r="AL6334" s="77"/>
      <c r="AN6334" s="497">
        <v>51.08</v>
      </c>
      <c r="AP6334" s="42"/>
      <c r="AQ6334" s="74"/>
      <c r="AR6334" s="77"/>
      <c r="AT6334" s="497">
        <v>44.06</v>
      </c>
      <c r="AV6334" s="42"/>
      <c r="AW6334" s="74"/>
      <c r="AX6334" s="77"/>
      <c r="BA6334" s="497">
        <v>62.06</v>
      </c>
      <c r="BB6334" s="42"/>
      <c r="BC6334" s="74"/>
      <c r="BD6334" s="77"/>
      <c r="BF6334">
        <v>53.96</v>
      </c>
      <c r="BH6334" s="42"/>
      <c r="BI6334" s="74"/>
      <c r="BJ6334" s="77"/>
      <c r="BL6334" s="497">
        <v>68</v>
      </c>
      <c r="BN6334" s="42"/>
      <c r="BO6334" s="74"/>
      <c r="BP6334" s="77"/>
      <c r="BR6334" s="497">
        <v>51.980000000000004</v>
      </c>
      <c r="BT6334" s="42"/>
    </row>
    <row r="6335" spans="1:72" x14ac:dyDescent="0.25">
      <c r="A6335" s="90">
        <v>34963</v>
      </c>
      <c r="B6335" s="20">
        <v>0.20833333333333334</v>
      </c>
      <c r="D6335">
        <v>66.2</v>
      </c>
      <c r="E6335" t="str">
        <f t="shared" si="232"/>
        <v>WEEKDAY</v>
      </c>
      <c r="F6335" t="e">
        <f t="shared" si="233"/>
        <v>#N/A</v>
      </c>
      <c r="G6335" s="74">
        <v>29119</v>
      </c>
      <c r="H6335" s="77">
        <v>0.20833333333333334</v>
      </c>
      <c r="J6335">
        <v>61.7</v>
      </c>
      <c r="M6335" s="74">
        <v>37885</v>
      </c>
      <c r="N6335" s="77">
        <v>0.20833333333333334</v>
      </c>
      <c r="P6335">
        <v>55.400000000000006</v>
      </c>
      <c r="S6335" s="74">
        <v>34963</v>
      </c>
      <c r="T6335" s="77">
        <v>0.20833333333333334</v>
      </c>
      <c r="V6335">
        <v>66.02</v>
      </c>
      <c r="X6335" s="42"/>
      <c r="AB6335">
        <v>62.6</v>
      </c>
      <c r="AC6335">
        <v>57.019999999999996</v>
      </c>
      <c r="AE6335" s="74"/>
      <c r="AF6335" s="77"/>
      <c r="AH6335" s="497">
        <v>46.4</v>
      </c>
      <c r="AJ6335" s="42"/>
      <c r="AK6335" s="74"/>
      <c r="AL6335" s="77"/>
      <c r="AN6335" s="497">
        <v>51.08</v>
      </c>
      <c r="AP6335" s="42"/>
      <c r="AQ6335" s="74"/>
      <c r="AR6335" s="77"/>
      <c r="AT6335" s="497">
        <v>42.08</v>
      </c>
      <c r="AV6335" s="42"/>
      <c r="AW6335" s="74"/>
      <c r="AX6335" s="77"/>
      <c r="BA6335" s="497">
        <v>60.980000000000004</v>
      </c>
      <c r="BB6335" s="42"/>
      <c r="BC6335" s="74"/>
      <c r="BD6335" s="77"/>
      <c r="BF6335">
        <v>53.96</v>
      </c>
      <c r="BH6335" s="42"/>
      <c r="BI6335" s="74"/>
      <c r="BJ6335" s="77"/>
      <c r="BL6335" s="497">
        <v>68</v>
      </c>
      <c r="BN6335" s="42"/>
      <c r="BO6335" s="74"/>
      <c r="BP6335" s="77"/>
      <c r="BR6335" s="497">
        <v>50.900000000000006</v>
      </c>
      <c r="BT6335" s="42"/>
    </row>
    <row r="6336" spans="1:72" x14ac:dyDescent="0.25">
      <c r="A6336" s="90">
        <v>34963</v>
      </c>
      <c r="B6336" s="20">
        <v>0.25</v>
      </c>
      <c r="D6336">
        <v>66.92</v>
      </c>
      <c r="E6336" t="str">
        <f t="shared" si="232"/>
        <v>WEEKDAY</v>
      </c>
      <c r="F6336" t="e">
        <f t="shared" si="233"/>
        <v>#N/A</v>
      </c>
      <c r="G6336" s="74">
        <v>29119</v>
      </c>
      <c r="H6336" s="77">
        <v>0.25</v>
      </c>
      <c r="J6336">
        <v>62.24</v>
      </c>
      <c r="M6336" s="74">
        <v>37885</v>
      </c>
      <c r="N6336" s="77">
        <v>0.25</v>
      </c>
      <c r="P6336">
        <v>51.8</v>
      </c>
      <c r="S6336" s="74">
        <v>34963</v>
      </c>
      <c r="T6336" s="77">
        <v>0.25</v>
      </c>
      <c r="V6336">
        <v>66.92</v>
      </c>
      <c r="X6336" s="42"/>
      <c r="AB6336">
        <v>62.4</v>
      </c>
      <c r="AC6336">
        <v>57.019999999999996</v>
      </c>
      <c r="AE6336" s="74"/>
      <c r="AF6336" s="77"/>
      <c r="AH6336" s="497">
        <v>46.4</v>
      </c>
      <c r="AJ6336" s="42"/>
      <c r="AK6336" s="74"/>
      <c r="AL6336" s="77"/>
      <c r="AN6336" s="497">
        <v>51.08</v>
      </c>
      <c r="AP6336" s="42"/>
      <c r="AQ6336" s="74"/>
      <c r="AR6336" s="77"/>
      <c r="AT6336" s="497">
        <v>39.92</v>
      </c>
      <c r="AV6336" s="42"/>
      <c r="AW6336" s="74"/>
      <c r="AX6336" s="77"/>
      <c r="BA6336" s="497">
        <v>59</v>
      </c>
      <c r="BB6336" s="42"/>
      <c r="BC6336" s="74"/>
      <c r="BD6336" s="77"/>
      <c r="BF6336">
        <v>53.06</v>
      </c>
      <c r="BH6336" s="42"/>
      <c r="BI6336" s="74"/>
      <c r="BJ6336" s="77"/>
      <c r="BL6336" s="497">
        <v>66.92</v>
      </c>
      <c r="BN6336" s="42"/>
      <c r="BO6336" s="74"/>
      <c r="BP6336" s="77"/>
      <c r="BR6336" s="497">
        <v>50</v>
      </c>
      <c r="BT6336" s="42"/>
    </row>
    <row r="6337" spans="1:72" x14ac:dyDescent="0.25">
      <c r="A6337" s="90">
        <v>34963</v>
      </c>
      <c r="B6337" s="20">
        <v>0.29166666666666669</v>
      </c>
      <c r="D6337">
        <v>68</v>
      </c>
      <c r="E6337" t="str">
        <f t="shared" si="232"/>
        <v>WEEKDAY</v>
      </c>
      <c r="F6337" t="e">
        <f t="shared" si="233"/>
        <v>#N/A</v>
      </c>
      <c r="G6337" s="74">
        <v>29119</v>
      </c>
      <c r="H6337" s="77">
        <v>0.29166666666666669</v>
      </c>
      <c r="J6337">
        <v>62.96</v>
      </c>
      <c r="M6337" s="74">
        <v>37885</v>
      </c>
      <c r="N6337" s="77">
        <v>0.29166666666666669</v>
      </c>
      <c r="P6337">
        <v>57.2</v>
      </c>
      <c r="S6337" s="74">
        <v>34963</v>
      </c>
      <c r="T6337" s="77">
        <v>0.29166666666666669</v>
      </c>
      <c r="V6337">
        <v>68</v>
      </c>
      <c r="X6337" s="42"/>
      <c r="AB6337">
        <v>62.2</v>
      </c>
      <c r="AC6337">
        <v>59</v>
      </c>
      <c r="AE6337" s="74"/>
      <c r="AF6337" s="77"/>
      <c r="AH6337" s="497">
        <v>50</v>
      </c>
      <c r="AJ6337" s="42"/>
      <c r="AK6337" s="74"/>
      <c r="AL6337" s="77"/>
      <c r="AN6337" s="497">
        <v>51.08</v>
      </c>
      <c r="AP6337" s="42"/>
      <c r="AQ6337" s="74"/>
      <c r="AR6337" s="77"/>
      <c r="AT6337" s="497">
        <v>44.96</v>
      </c>
      <c r="AV6337" s="42"/>
      <c r="AW6337" s="74"/>
      <c r="AX6337" s="77"/>
      <c r="BA6337" s="497">
        <v>57.92</v>
      </c>
      <c r="BB6337" s="42"/>
      <c r="BC6337" s="74"/>
      <c r="BD6337" s="77"/>
      <c r="BF6337">
        <v>53.96</v>
      </c>
      <c r="BH6337" s="42"/>
      <c r="BI6337" s="74"/>
      <c r="BJ6337" s="77"/>
      <c r="BL6337" s="497">
        <v>69.080000000000013</v>
      </c>
      <c r="BN6337" s="42"/>
      <c r="BO6337" s="74"/>
      <c r="BP6337" s="77"/>
      <c r="BR6337" s="497">
        <v>48.92</v>
      </c>
      <c r="BT6337" s="42"/>
    </row>
    <row r="6338" spans="1:72" x14ac:dyDescent="0.25">
      <c r="A6338" s="90">
        <v>34963</v>
      </c>
      <c r="B6338" s="20">
        <v>0.33333333333333331</v>
      </c>
      <c r="D6338">
        <v>69.080000000000013</v>
      </c>
      <c r="E6338" t="str">
        <f t="shared" si="232"/>
        <v>WEEKDAY</v>
      </c>
      <c r="F6338" t="e">
        <f t="shared" si="233"/>
        <v>#N/A</v>
      </c>
      <c r="G6338" s="74">
        <v>29119</v>
      </c>
      <c r="H6338" s="77">
        <v>0.33333333333333331</v>
      </c>
      <c r="J6338">
        <v>64.22</v>
      </c>
      <c r="M6338" s="74">
        <v>37885</v>
      </c>
      <c r="N6338" s="77">
        <v>0.33333333333333331</v>
      </c>
      <c r="P6338">
        <v>62.6</v>
      </c>
      <c r="S6338" s="74">
        <v>34963</v>
      </c>
      <c r="T6338" s="77">
        <v>0.33333333333333331</v>
      </c>
      <c r="V6338">
        <v>69.080000000000013</v>
      </c>
      <c r="X6338" s="42"/>
      <c r="AB6338">
        <v>64</v>
      </c>
      <c r="AC6338">
        <v>62.96</v>
      </c>
      <c r="AE6338" s="74"/>
      <c r="AF6338" s="77"/>
      <c r="AH6338" s="497">
        <v>57.2</v>
      </c>
      <c r="AJ6338" s="42"/>
      <c r="AK6338" s="74"/>
      <c r="AL6338" s="77"/>
      <c r="AN6338" s="497">
        <v>51.980000000000004</v>
      </c>
      <c r="AP6338" s="42"/>
      <c r="AQ6338" s="74"/>
      <c r="AR6338" s="77"/>
      <c r="AT6338" s="497">
        <v>51.08</v>
      </c>
      <c r="AV6338" s="42"/>
      <c r="AW6338" s="74"/>
      <c r="AX6338" s="77"/>
      <c r="BA6338" s="497">
        <v>57.92</v>
      </c>
      <c r="BB6338" s="42"/>
      <c r="BC6338" s="74"/>
      <c r="BD6338" s="77"/>
      <c r="BF6338">
        <v>60.08</v>
      </c>
      <c r="BH6338" s="42"/>
      <c r="BI6338" s="74"/>
      <c r="BJ6338" s="77"/>
      <c r="BL6338" s="497">
        <v>69.98</v>
      </c>
      <c r="BN6338" s="42"/>
      <c r="BO6338" s="74"/>
      <c r="BP6338" s="77"/>
      <c r="BR6338" s="497">
        <v>51.26</v>
      </c>
      <c r="BT6338" s="42"/>
    </row>
    <row r="6339" spans="1:72" x14ac:dyDescent="0.25">
      <c r="A6339" s="90">
        <v>34963</v>
      </c>
      <c r="B6339" s="20">
        <v>0.375</v>
      </c>
      <c r="D6339">
        <v>71.06</v>
      </c>
      <c r="E6339" t="str">
        <f t="shared" si="232"/>
        <v>WEEKDAY</v>
      </c>
      <c r="F6339" t="e">
        <f t="shared" si="233"/>
        <v>#N/A</v>
      </c>
      <c r="G6339" s="74">
        <v>29119</v>
      </c>
      <c r="H6339" s="77">
        <v>0.375</v>
      </c>
      <c r="J6339">
        <v>65.66</v>
      </c>
      <c r="M6339" s="74">
        <v>37885</v>
      </c>
      <c r="N6339" s="77">
        <v>0.375</v>
      </c>
      <c r="P6339">
        <v>64.400000000000006</v>
      </c>
      <c r="S6339" s="74">
        <v>34963</v>
      </c>
      <c r="T6339" s="77">
        <v>0.375</v>
      </c>
      <c r="V6339">
        <v>69.98</v>
      </c>
      <c r="X6339" s="42"/>
      <c r="AB6339">
        <v>66.2</v>
      </c>
      <c r="AC6339">
        <v>68</v>
      </c>
      <c r="AE6339" s="74"/>
      <c r="AF6339" s="77"/>
      <c r="AH6339" s="497">
        <v>64.400000000000006</v>
      </c>
      <c r="AJ6339" s="42"/>
      <c r="AK6339" s="74"/>
      <c r="AL6339" s="77"/>
      <c r="AN6339" s="497">
        <v>53.06</v>
      </c>
      <c r="AP6339" s="42"/>
      <c r="AQ6339" s="74"/>
      <c r="AR6339" s="77"/>
      <c r="AT6339" s="497">
        <v>55.040000000000006</v>
      </c>
      <c r="AV6339" s="42"/>
      <c r="AW6339" s="74"/>
      <c r="AX6339" s="77"/>
      <c r="BA6339" s="497">
        <v>60.980000000000004</v>
      </c>
      <c r="BB6339" s="42"/>
      <c r="BC6339" s="74"/>
      <c r="BD6339" s="77"/>
      <c r="BF6339">
        <v>66.02</v>
      </c>
      <c r="BH6339" s="42"/>
      <c r="BI6339" s="74"/>
      <c r="BJ6339" s="77"/>
      <c r="BL6339" s="497">
        <v>73.039999999999992</v>
      </c>
      <c r="BN6339" s="42"/>
      <c r="BO6339" s="74"/>
      <c r="BP6339" s="77"/>
      <c r="BR6339" s="497">
        <v>53.6</v>
      </c>
      <c r="BT6339" s="42"/>
    </row>
    <row r="6340" spans="1:72" x14ac:dyDescent="0.25">
      <c r="A6340" s="90">
        <v>34963</v>
      </c>
      <c r="B6340" s="20">
        <v>0.41666666666666669</v>
      </c>
      <c r="D6340">
        <v>69.98</v>
      </c>
      <c r="E6340" t="str">
        <f t="shared" si="232"/>
        <v>WEEKDAY</v>
      </c>
      <c r="F6340" t="e">
        <f t="shared" si="233"/>
        <v>#N/A</v>
      </c>
      <c r="G6340" s="74">
        <v>29119</v>
      </c>
      <c r="H6340" s="77">
        <v>0.41666666666666669</v>
      </c>
      <c r="J6340">
        <v>66.92</v>
      </c>
      <c r="M6340" s="74">
        <v>37885</v>
      </c>
      <c r="N6340" s="77">
        <v>0.41666666666666669</v>
      </c>
      <c r="P6340">
        <v>66.2</v>
      </c>
      <c r="S6340" s="74">
        <v>34963</v>
      </c>
      <c r="T6340" s="77">
        <v>0.41666666666666669</v>
      </c>
      <c r="V6340">
        <v>71.960000000000008</v>
      </c>
      <c r="X6340" s="42"/>
      <c r="AB6340">
        <v>68.2</v>
      </c>
      <c r="AC6340">
        <v>71.06</v>
      </c>
      <c r="AE6340" s="74"/>
      <c r="AF6340" s="77"/>
      <c r="AH6340" s="497">
        <v>66.2</v>
      </c>
      <c r="AJ6340" s="42"/>
      <c r="AK6340" s="74"/>
      <c r="AL6340" s="77"/>
      <c r="AN6340" s="497">
        <v>53.96</v>
      </c>
      <c r="AP6340" s="42"/>
      <c r="AQ6340" s="74"/>
      <c r="AR6340" s="77"/>
      <c r="AT6340" s="497">
        <v>57.92</v>
      </c>
      <c r="AV6340" s="42"/>
      <c r="AW6340" s="74"/>
      <c r="AX6340" s="77"/>
      <c r="BA6340" s="497">
        <v>59</v>
      </c>
      <c r="BB6340" s="42"/>
      <c r="BC6340" s="74"/>
      <c r="BD6340" s="77"/>
      <c r="BF6340">
        <v>71.06</v>
      </c>
      <c r="BH6340" s="42"/>
      <c r="BI6340" s="74"/>
      <c r="BJ6340" s="77"/>
      <c r="BL6340" s="497">
        <v>73.94</v>
      </c>
      <c r="BN6340" s="42"/>
      <c r="BO6340" s="74"/>
      <c r="BP6340" s="77"/>
      <c r="BR6340" s="497">
        <v>55.94</v>
      </c>
      <c r="BT6340" s="42"/>
    </row>
    <row r="6341" spans="1:72" x14ac:dyDescent="0.25">
      <c r="A6341" s="90">
        <v>34963</v>
      </c>
      <c r="B6341" s="20">
        <v>0.45833333333333331</v>
      </c>
      <c r="D6341">
        <v>73.039999999999992</v>
      </c>
      <c r="E6341" t="str">
        <f t="shared" si="232"/>
        <v>WEEKDAY</v>
      </c>
      <c r="F6341" t="e">
        <f t="shared" si="233"/>
        <v>#N/A</v>
      </c>
      <c r="G6341" s="74">
        <v>29119</v>
      </c>
      <c r="H6341" s="77">
        <v>0.45833333333333331</v>
      </c>
      <c r="J6341">
        <v>67.64</v>
      </c>
      <c r="M6341" s="74">
        <v>37885</v>
      </c>
      <c r="N6341" s="77">
        <v>0.45833333333333331</v>
      </c>
      <c r="P6341">
        <v>68</v>
      </c>
      <c r="S6341" s="74">
        <v>34963</v>
      </c>
      <c r="T6341" s="77">
        <v>0.45833333333333331</v>
      </c>
      <c r="V6341">
        <v>73.039999999999992</v>
      </c>
      <c r="X6341" s="42"/>
      <c r="AB6341">
        <v>69.900000000000006</v>
      </c>
      <c r="AC6341">
        <v>73.039999999999992</v>
      </c>
      <c r="AE6341" s="74"/>
      <c r="AF6341" s="77"/>
      <c r="AH6341" s="497">
        <v>69.98</v>
      </c>
      <c r="AJ6341" s="42"/>
      <c r="AK6341" s="74"/>
      <c r="AL6341" s="77"/>
      <c r="AN6341" s="497">
        <v>55.040000000000006</v>
      </c>
      <c r="AP6341" s="42"/>
      <c r="AQ6341" s="74"/>
      <c r="AR6341" s="77"/>
      <c r="AT6341" s="497">
        <v>62.06</v>
      </c>
      <c r="AV6341" s="42"/>
      <c r="AW6341" s="74"/>
      <c r="AX6341" s="77"/>
      <c r="BA6341" s="497">
        <v>59</v>
      </c>
      <c r="BB6341" s="42"/>
      <c r="BC6341" s="74"/>
      <c r="BD6341" s="77"/>
      <c r="BF6341">
        <v>73.039999999999992</v>
      </c>
      <c r="BH6341" s="42"/>
      <c r="BI6341" s="74"/>
      <c r="BJ6341" s="77"/>
      <c r="BL6341" s="497">
        <v>75.02</v>
      </c>
      <c r="BN6341" s="42"/>
      <c r="BO6341" s="74"/>
      <c r="BP6341" s="77"/>
      <c r="BR6341" s="497">
        <v>57.379999999999995</v>
      </c>
      <c r="BT6341" s="42"/>
    </row>
    <row r="6342" spans="1:72" x14ac:dyDescent="0.25">
      <c r="A6342" s="90">
        <v>34963</v>
      </c>
      <c r="B6342" s="20">
        <v>0.5</v>
      </c>
      <c r="D6342">
        <v>75.02</v>
      </c>
      <c r="E6342" t="str">
        <f t="shared" si="232"/>
        <v>WEEKDAY</v>
      </c>
      <c r="F6342" t="e">
        <f t="shared" si="233"/>
        <v>#N/A</v>
      </c>
      <c r="G6342" s="74">
        <v>29119</v>
      </c>
      <c r="H6342" s="77">
        <v>0.5</v>
      </c>
      <c r="J6342">
        <v>68.36</v>
      </c>
      <c r="M6342" s="74">
        <v>37885</v>
      </c>
      <c r="N6342" s="77">
        <v>0.5</v>
      </c>
      <c r="P6342">
        <v>69.800000000000011</v>
      </c>
      <c r="S6342" s="74">
        <v>34963</v>
      </c>
      <c r="T6342" s="77">
        <v>0.5</v>
      </c>
      <c r="V6342">
        <v>73.94</v>
      </c>
      <c r="X6342" s="42"/>
      <c r="AB6342">
        <v>71.3</v>
      </c>
      <c r="AC6342">
        <v>75.02</v>
      </c>
      <c r="AE6342" s="74"/>
      <c r="AF6342" s="77"/>
      <c r="AH6342" s="497">
        <v>73.400000000000006</v>
      </c>
      <c r="AJ6342" s="42"/>
      <c r="AK6342" s="74"/>
      <c r="AL6342" s="77"/>
      <c r="AN6342" s="497">
        <v>55.94</v>
      </c>
      <c r="AP6342" s="42"/>
      <c r="AQ6342" s="74"/>
      <c r="AR6342" s="77"/>
      <c r="AT6342" s="497">
        <v>66.02</v>
      </c>
      <c r="AV6342" s="42"/>
      <c r="AW6342" s="74"/>
      <c r="AX6342" s="77"/>
      <c r="BA6342" s="497">
        <v>59</v>
      </c>
      <c r="BB6342" s="42"/>
      <c r="BC6342" s="74"/>
      <c r="BD6342" s="77"/>
      <c r="BF6342">
        <v>75.92</v>
      </c>
      <c r="BH6342" s="42"/>
      <c r="BI6342" s="74"/>
      <c r="BJ6342" s="77"/>
      <c r="BL6342" s="497">
        <v>77</v>
      </c>
      <c r="BN6342" s="42"/>
      <c r="BO6342" s="74"/>
      <c r="BP6342" s="77"/>
      <c r="BR6342" s="497">
        <v>58.64</v>
      </c>
      <c r="BT6342" s="42"/>
    </row>
    <row r="6343" spans="1:72" x14ac:dyDescent="0.25">
      <c r="A6343" s="90">
        <v>34963</v>
      </c>
      <c r="B6343" s="20">
        <v>0.54166666666666663</v>
      </c>
      <c r="D6343">
        <v>77</v>
      </c>
      <c r="E6343" t="str">
        <f t="shared" si="232"/>
        <v>WEEKDAY</v>
      </c>
      <c r="F6343" t="e">
        <f t="shared" si="233"/>
        <v>#N/A</v>
      </c>
      <c r="G6343" s="74">
        <v>29119</v>
      </c>
      <c r="H6343" s="77">
        <v>0.54166666666666663</v>
      </c>
      <c r="J6343">
        <v>69.080000000000013</v>
      </c>
      <c r="M6343" s="74">
        <v>37885</v>
      </c>
      <c r="N6343" s="77">
        <v>0.54166666666666663</v>
      </c>
      <c r="P6343">
        <v>71.599999999999994</v>
      </c>
      <c r="S6343" s="74">
        <v>34963</v>
      </c>
      <c r="T6343" s="77">
        <v>0.54166666666666663</v>
      </c>
      <c r="V6343">
        <v>75.02</v>
      </c>
      <c r="X6343" s="42"/>
      <c r="AB6343">
        <v>72.2</v>
      </c>
      <c r="AC6343">
        <v>75.92</v>
      </c>
      <c r="AE6343" s="74"/>
      <c r="AF6343" s="77"/>
      <c r="AH6343" s="497">
        <v>75.2</v>
      </c>
      <c r="AJ6343" s="42"/>
      <c r="AK6343" s="74"/>
      <c r="AL6343" s="77"/>
      <c r="AN6343" s="497">
        <v>57.019999999999996</v>
      </c>
      <c r="AP6343" s="42"/>
      <c r="AQ6343" s="74"/>
      <c r="AR6343" s="77"/>
      <c r="AT6343" s="497">
        <v>66.02</v>
      </c>
      <c r="AV6343" s="42"/>
      <c r="AW6343" s="74"/>
      <c r="AX6343" s="77"/>
      <c r="BA6343" s="497">
        <v>62.06</v>
      </c>
      <c r="BB6343" s="42"/>
      <c r="BC6343" s="74"/>
      <c r="BD6343" s="77"/>
      <c r="BF6343">
        <v>77</v>
      </c>
      <c r="BH6343" s="42"/>
      <c r="BI6343" s="74"/>
      <c r="BJ6343" s="77"/>
      <c r="BL6343" s="497">
        <v>78.080000000000013</v>
      </c>
      <c r="BN6343" s="42"/>
      <c r="BO6343" s="74"/>
      <c r="BP6343" s="77"/>
      <c r="BR6343" s="497">
        <v>60.08</v>
      </c>
      <c r="BT6343" s="42"/>
    </row>
    <row r="6344" spans="1:72" x14ac:dyDescent="0.25">
      <c r="A6344" s="90">
        <v>34963</v>
      </c>
      <c r="B6344" s="20">
        <v>0.58333333333333337</v>
      </c>
      <c r="D6344">
        <v>78.080000000000013</v>
      </c>
      <c r="E6344" t="str">
        <f t="shared" si="232"/>
        <v>WEEKDAY</v>
      </c>
      <c r="F6344" t="e">
        <f t="shared" si="233"/>
        <v>#N/A</v>
      </c>
      <c r="G6344" s="74">
        <v>29119</v>
      </c>
      <c r="H6344" s="77">
        <v>0.58333333333333337</v>
      </c>
      <c r="J6344">
        <v>69.080000000000013</v>
      </c>
      <c r="M6344" s="74">
        <v>37885</v>
      </c>
      <c r="N6344" s="77">
        <v>0.58333333333333337</v>
      </c>
      <c r="P6344">
        <v>71.599999999999994</v>
      </c>
      <c r="S6344" s="74">
        <v>34963</v>
      </c>
      <c r="T6344" s="77">
        <v>0.58333333333333337</v>
      </c>
      <c r="V6344">
        <v>73.94</v>
      </c>
      <c r="X6344" s="42"/>
      <c r="AB6344">
        <v>72.599999999999994</v>
      </c>
      <c r="AC6344">
        <v>77</v>
      </c>
      <c r="AE6344" s="74"/>
      <c r="AF6344" s="77"/>
      <c r="AH6344" s="497">
        <v>75.2</v>
      </c>
      <c r="AJ6344" s="42"/>
      <c r="AK6344" s="74"/>
      <c r="AL6344" s="77"/>
      <c r="AN6344" s="497">
        <v>57.74</v>
      </c>
      <c r="AP6344" s="42"/>
      <c r="AQ6344" s="74"/>
      <c r="AR6344" s="77"/>
      <c r="AT6344" s="497">
        <v>66.02</v>
      </c>
      <c r="AV6344" s="42"/>
      <c r="AW6344" s="74"/>
      <c r="AX6344" s="77"/>
      <c r="BA6344" s="497">
        <v>62.06</v>
      </c>
      <c r="BB6344" s="42"/>
      <c r="BC6344" s="74"/>
      <c r="BD6344" s="77"/>
      <c r="BF6344">
        <v>78.080000000000013</v>
      </c>
      <c r="BH6344" s="42"/>
      <c r="BI6344" s="74"/>
      <c r="BJ6344" s="77"/>
      <c r="BL6344" s="497">
        <v>78.98</v>
      </c>
      <c r="BN6344" s="42"/>
      <c r="BO6344" s="74"/>
      <c r="BP6344" s="77"/>
      <c r="BR6344" s="497">
        <v>60.08</v>
      </c>
      <c r="BT6344" s="42"/>
    </row>
    <row r="6345" spans="1:72" x14ac:dyDescent="0.25">
      <c r="A6345" s="90">
        <v>34963</v>
      </c>
      <c r="B6345" s="20">
        <v>0.625</v>
      </c>
      <c r="D6345">
        <v>77</v>
      </c>
      <c r="E6345" t="str">
        <f t="shared" si="232"/>
        <v>WEEKDAY</v>
      </c>
      <c r="F6345" t="e">
        <f t="shared" si="233"/>
        <v>#N/A</v>
      </c>
      <c r="G6345" s="74">
        <v>29119</v>
      </c>
      <c r="H6345" s="77">
        <v>0.625</v>
      </c>
      <c r="J6345">
        <v>69.080000000000013</v>
      </c>
      <c r="M6345" s="74">
        <v>37885</v>
      </c>
      <c r="N6345" s="77">
        <v>0.625</v>
      </c>
      <c r="P6345">
        <v>71.599999999999994</v>
      </c>
      <c r="S6345" s="74">
        <v>34963</v>
      </c>
      <c r="T6345" s="77">
        <v>0.625</v>
      </c>
      <c r="V6345">
        <v>73.039999999999992</v>
      </c>
      <c r="X6345" s="42"/>
      <c r="AB6345">
        <v>72.7</v>
      </c>
      <c r="AC6345">
        <v>77</v>
      </c>
      <c r="AE6345" s="74"/>
      <c r="AF6345" s="77"/>
      <c r="AH6345" s="497">
        <v>75.2</v>
      </c>
      <c r="AJ6345" s="42"/>
      <c r="AK6345" s="74"/>
      <c r="AL6345" s="77"/>
      <c r="AN6345" s="497">
        <v>58.28</v>
      </c>
      <c r="AP6345" s="42"/>
      <c r="AQ6345" s="74"/>
      <c r="AR6345" s="77"/>
      <c r="AT6345" s="497">
        <v>64.94</v>
      </c>
      <c r="AV6345" s="42"/>
      <c r="AW6345" s="74"/>
      <c r="AX6345" s="77"/>
      <c r="BA6345" s="497">
        <v>60.980000000000004</v>
      </c>
      <c r="BB6345" s="42"/>
      <c r="BC6345" s="74"/>
      <c r="BD6345" s="77"/>
      <c r="BF6345">
        <v>78.98</v>
      </c>
      <c r="BH6345" s="42"/>
      <c r="BI6345" s="74"/>
      <c r="BJ6345" s="77"/>
      <c r="BL6345" s="497">
        <v>78.98</v>
      </c>
      <c r="BN6345" s="42"/>
      <c r="BO6345" s="74"/>
      <c r="BP6345" s="77"/>
      <c r="BR6345" s="497">
        <v>60.08</v>
      </c>
      <c r="BT6345" s="42"/>
    </row>
    <row r="6346" spans="1:72" x14ac:dyDescent="0.25">
      <c r="A6346" s="90">
        <v>34963</v>
      </c>
      <c r="B6346" s="20">
        <v>0.66666666666666663</v>
      </c>
      <c r="D6346">
        <v>75.02</v>
      </c>
      <c r="E6346" t="str">
        <f t="shared" si="232"/>
        <v>WEEKDAY</v>
      </c>
      <c r="F6346" t="e">
        <f t="shared" si="233"/>
        <v>#N/A</v>
      </c>
      <c r="G6346" s="74">
        <v>29119</v>
      </c>
      <c r="H6346" s="77">
        <v>0.66666666666666663</v>
      </c>
      <c r="J6346">
        <v>69.080000000000013</v>
      </c>
      <c r="M6346" s="74">
        <v>37885</v>
      </c>
      <c r="N6346" s="77">
        <v>0.66666666666666663</v>
      </c>
      <c r="P6346">
        <v>71.599999999999994</v>
      </c>
      <c r="S6346" s="74">
        <v>34963</v>
      </c>
      <c r="T6346" s="77">
        <v>0.66666666666666663</v>
      </c>
      <c r="V6346">
        <v>73.94</v>
      </c>
      <c r="X6346" s="42"/>
      <c r="AB6346">
        <v>72.5</v>
      </c>
      <c r="AC6346">
        <v>75.92</v>
      </c>
      <c r="AE6346" s="74"/>
      <c r="AF6346" s="77"/>
      <c r="AH6346" s="497">
        <v>73.400000000000006</v>
      </c>
      <c r="AJ6346" s="42"/>
      <c r="AK6346" s="74"/>
      <c r="AL6346" s="77"/>
      <c r="AN6346" s="497">
        <v>59</v>
      </c>
      <c r="AP6346" s="42"/>
      <c r="AQ6346" s="74"/>
      <c r="AR6346" s="77"/>
      <c r="AT6346" s="497">
        <v>66.02</v>
      </c>
      <c r="AV6346" s="42"/>
      <c r="AW6346" s="74"/>
      <c r="AX6346" s="77"/>
      <c r="BA6346" s="497">
        <v>60.980000000000004</v>
      </c>
      <c r="BB6346" s="42"/>
      <c r="BC6346" s="74"/>
      <c r="BD6346" s="77"/>
      <c r="BF6346">
        <v>78.98</v>
      </c>
      <c r="BH6346" s="42"/>
      <c r="BI6346" s="74"/>
      <c r="BJ6346" s="77"/>
      <c r="BL6346" s="497">
        <v>78.080000000000013</v>
      </c>
      <c r="BN6346" s="42"/>
      <c r="BO6346" s="74"/>
      <c r="BP6346" s="77"/>
      <c r="BR6346" s="497">
        <v>60.08</v>
      </c>
      <c r="BT6346" s="42"/>
    </row>
    <row r="6347" spans="1:72" x14ac:dyDescent="0.25">
      <c r="A6347" s="90">
        <v>34963</v>
      </c>
      <c r="B6347" s="20">
        <v>0.70833333333333337</v>
      </c>
      <c r="D6347">
        <v>73.94</v>
      </c>
      <c r="E6347" t="str">
        <f t="shared" si="232"/>
        <v>WEEKDAY</v>
      </c>
      <c r="F6347" t="e">
        <f t="shared" si="233"/>
        <v>#N/A</v>
      </c>
      <c r="G6347" s="74">
        <v>29119</v>
      </c>
      <c r="H6347" s="77">
        <v>0.70833333333333337</v>
      </c>
      <c r="J6347">
        <v>68.72</v>
      </c>
      <c r="M6347" s="74">
        <v>37885</v>
      </c>
      <c r="N6347" s="77">
        <v>0.70833333333333337</v>
      </c>
      <c r="P6347">
        <v>69.800000000000011</v>
      </c>
      <c r="S6347" s="74">
        <v>34963</v>
      </c>
      <c r="T6347" s="77">
        <v>0.70833333333333337</v>
      </c>
      <c r="V6347">
        <v>73.039999999999992</v>
      </c>
      <c r="X6347" s="42"/>
      <c r="AB6347">
        <v>71.599999999999994</v>
      </c>
      <c r="AC6347">
        <v>75.92</v>
      </c>
      <c r="AE6347" s="74"/>
      <c r="AF6347" s="77"/>
      <c r="AH6347" s="497">
        <v>73.400000000000006</v>
      </c>
      <c r="AJ6347" s="42"/>
      <c r="AK6347" s="74"/>
      <c r="AL6347" s="77"/>
      <c r="AN6347" s="497">
        <v>57.019999999999996</v>
      </c>
      <c r="AP6347" s="42"/>
      <c r="AQ6347" s="74"/>
      <c r="AR6347" s="77"/>
      <c r="AT6347" s="497">
        <v>62.06</v>
      </c>
      <c r="AV6347" s="42"/>
      <c r="AW6347" s="74"/>
      <c r="AX6347" s="77"/>
      <c r="BA6347" s="497">
        <v>57.92</v>
      </c>
      <c r="BB6347" s="42"/>
      <c r="BC6347" s="74"/>
      <c r="BD6347" s="77"/>
      <c r="BF6347">
        <v>78.080000000000013</v>
      </c>
      <c r="BH6347" s="42"/>
      <c r="BI6347" s="74"/>
      <c r="BJ6347" s="77"/>
      <c r="BL6347" s="497">
        <v>75.92</v>
      </c>
      <c r="BN6347" s="42"/>
      <c r="BO6347" s="74"/>
      <c r="BP6347" s="77"/>
      <c r="BR6347" s="497">
        <v>60.08</v>
      </c>
      <c r="BT6347" s="42"/>
    </row>
    <row r="6348" spans="1:72" x14ac:dyDescent="0.25">
      <c r="A6348" s="90">
        <v>34963</v>
      </c>
      <c r="B6348" s="20">
        <v>0.75</v>
      </c>
      <c r="D6348">
        <v>73.039999999999992</v>
      </c>
      <c r="E6348" t="str">
        <f t="shared" si="232"/>
        <v>WEEKDAY</v>
      </c>
      <c r="F6348" t="e">
        <f t="shared" si="233"/>
        <v>#N/A</v>
      </c>
      <c r="G6348" s="74">
        <v>29119</v>
      </c>
      <c r="H6348" s="77">
        <v>0.75</v>
      </c>
      <c r="J6348">
        <v>68.36</v>
      </c>
      <c r="M6348" s="74">
        <v>37885</v>
      </c>
      <c r="N6348" s="77">
        <v>0.75</v>
      </c>
      <c r="P6348">
        <v>65.300000000000011</v>
      </c>
      <c r="S6348" s="74">
        <v>34963</v>
      </c>
      <c r="T6348" s="77">
        <v>0.75</v>
      </c>
      <c r="V6348">
        <v>71.06</v>
      </c>
      <c r="X6348" s="42"/>
      <c r="AB6348">
        <v>70.3</v>
      </c>
      <c r="AC6348">
        <v>71.06</v>
      </c>
      <c r="AE6348" s="74"/>
      <c r="AF6348" s="77"/>
      <c r="AH6348" s="497">
        <v>68</v>
      </c>
      <c r="AJ6348" s="42"/>
      <c r="AK6348" s="74"/>
      <c r="AL6348" s="77"/>
      <c r="AN6348" s="497">
        <v>55.040000000000006</v>
      </c>
      <c r="AP6348" s="42"/>
      <c r="AQ6348" s="74"/>
      <c r="AR6348" s="77"/>
      <c r="AT6348" s="497">
        <v>57.92</v>
      </c>
      <c r="AV6348" s="42"/>
      <c r="AW6348" s="74"/>
      <c r="AX6348" s="77"/>
      <c r="BA6348" s="497">
        <v>57.019999999999996</v>
      </c>
      <c r="BB6348" s="42"/>
      <c r="BC6348" s="74"/>
      <c r="BD6348" s="77"/>
      <c r="BF6348">
        <v>73.94</v>
      </c>
      <c r="BH6348" s="42"/>
      <c r="BI6348" s="74"/>
      <c r="BJ6348" s="77"/>
      <c r="BL6348" s="497">
        <v>73.94</v>
      </c>
      <c r="BN6348" s="42"/>
      <c r="BO6348" s="74"/>
      <c r="BP6348" s="77"/>
      <c r="BR6348" s="497">
        <v>60.08</v>
      </c>
      <c r="BT6348" s="42"/>
    </row>
    <row r="6349" spans="1:72" x14ac:dyDescent="0.25">
      <c r="A6349" s="90">
        <v>34963</v>
      </c>
      <c r="B6349" s="20">
        <v>0.79166666666666663</v>
      </c>
      <c r="D6349">
        <v>71.960000000000008</v>
      </c>
      <c r="E6349" t="str">
        <f t="shared" si="232"/>
        <v>WEEKDAY</v>
      </c>
      <c r="F6349" t="e">
        <f t="shared" si="233"/>
        <v>#N/A</v>
      </c>
      <c r="G6349" s="74">
        <v>29119</v>
      </c>
      <c r="H6349" s="77">
        <v>0.79166666666666663</v>
      </c>
      <c r="J6349">
        <v>68</v>
      </c>
      <c r="M6349" s="74">
        <v>37885</v>
      </c>
      <c r="N6349" s="77">
        <v>0.79166666666666663</v>
      </c>
      <c r="P6349">
        <v>60.8</v>
      </c>
      <c r="S6349" s="74">
        <v>34963</v>
      </c>
      <c r="T6349" s="77">
        <v>0.79166666666666663</v>
      </c>
      <c r="V6349">
        <v>71.06</v>
      </c>
      <c r="X6349" s="42"/>
      <c r="AB6349">
        <v>68.599999999999994</v>
      </c>
      <c r="AC6349">
        <v>66.92</v>
      </c>
      <c r="AE6349" s="74"/>
      <c r="AF6349" s="77"/>
      <c r="AH6349" s="497">
        <v>59</v>
      </c>
      <c r="AJ6349" s="42"/>
      <c r="AK6349" s="74"/>
      <c r="AL6349" s="77"/>
      <c r="AN6349" s="497">
        <v>53.06</v>
      </c>
      <c r="AP6349" s="42"/>
      <c r="AQ6349" s="74"/>
      <c r="AR6349" s="77"/>
      <c r="AT6349" s="497">
        <v>55.94</v>
      </c>
      <c r="AV6349" s="42"/>
      <c r="AW6349" s="74"/>
      <c r="AX6349" s="77"/>
      <c r="BA6349" s="497">
        <v>57.019999999999996</v>
      </c>
      <c r="BB6349" s="42"/>
      <c r="BC6349" s="74"/>
      <c r="BD6349" s="77"/>
      <c r="BF6349">
        <v>69.98</v>
      </c>
      <c r="BH6349" s="42"/>
      <c r="BI6349" s="74"/>
      <c r="BJ6349" s="77"/>
      <c r="BL6349" s="497">
        <v>71.960000000000008</v>
      </c>
      <c r="BN6349" s="42"/>
      <c r="BO6349" s="74"/>
      <c r="BP6349" s="77"/>
      <c r="BR6349" s="497">
        <v>60.08</v>
      </c>
      <c r="BT6349" s="42"/>
    </row>
    <row r="6350" spans="1:72" x14ac:dyDescent="0.25">
      <c r="A6350" s="90">
        <v>34963</v>
      </c>
      <c r="B6350" s="20">
        <v>0.83333333333333337</v>
      </c>
      <c r="D6350">
        <v>71.06</v>
      </c>
      <c r="E6350" t="str">
        <f t="shared" si="232"/>
        <v>WEEKDAY</v>
      </c>
      <c r="F6350" t="e">
        <f t="shared" si="233"/>
        <v>#N/A</v>
      </c>
      <c r="G6350" s="74">
        <v>29119</v>
      </c>
      <c r="H6350" s="77">
        <v>0.83333333333333337</v>
      </c>
      <c r="J6350">
        <v>68.36</v>
      </c>
      <c r="M6350" s="74">
        <v>37885</v>
      </c>
      <c r="N6350" s="77">
        <v>0.83333333333333337</v>
      </c>
      <c r="P6350">
        <v>60.8</v>
      </c>
      <c r="S6350" s="74">
        <v>34963</v>
      </c>
      <c r="T6350" s="77">
        <v>0.83333333333333337</v>
      </c>
      <c r="V6350">
        <v>71.06</v>
      </c>
      <c r="X6350" s="42"/>
      <c r="AB6350">
        <v>67.599999999999994</v>
      </c>
      <c r="AC6350">
        <v>60.980000000000004</v>
      </c>
      <c r="AE6350" s="74"/>
      <c r="AF6350" s="77"/>
      <c r="AH6350" s="497">
        <v>57.2</v>
      </c>
      <c r="AJ6350" s="42"/>
      <c r="AK6350" s="74"/>
      <c r="AL6350" s="77"/>
      <c r="AN6350" s="497">
        <v>51.980000000000004</v>
      </c>
      <c r="AP6350" s="42"/>
      <c r="AQ6350" s="74"/>
      <c r="AR6350" s="77"/>
      <c r="AT6350" s="497">
        <v>51.980000000000004</v>
      </c>
      <c r="AV6350" s="42"/>
      <c r="AW6350" s="74"/>
      <c r="AX6350" s="77"/>
      <c r="BA6350" s="497">
        <v>55.94</v>
      </c>
      <c r="BB6350" s="42"/>
      <c r="BC6350" s="74"/>
      <c r="BD6350" s="77"/>
      <c r="BF6350">
        <v>68</v>
      </c>
      <c r="BH6350" s="42"/>
      <c r="BI6350" s="74"/>
      <c r="BJ6350" s="77"/>
      <c r="BL6350" s="497">
        <v>68</v>
      </c>
      <c r="BN6350" s="42"/>
      <c r="BO6350" s="74"/>
      <c r="BP6350" s="77"/>
      <c r="BR6350" s="497">
        <v>60.08</v>
      </c>
      <c r="BT6350" s="42"/>
    </row>
    <row r="6351" spans="1:72" x14ac:dyDescent="0.25">
      <c r="A6351" s="90">
        <v>34963</v>
      </c>
      <c r="B6351" s="20">
        <v>0.875</v>
      </c>
      <c r="D6351">
        <v>71.06</v>
      </c>
      <c r="E6351" t="str">
        <f t="shared" si="232"/>
        <v>WEEKDAY</v>
      </c>
      <c r="F6351" t="e">
        <f t="shared" si="233"/>
        <v>#N/A</v>
      </c>
      <c r="G6351" s="74">
        <v>29119</v>
      </c>
      <c r="H6351" s="77">
        <v>0.875</v>
      </c>
      <c r="J6351">
        <v>68.72</v>
      </c>
      <c r="M6351" s="74">
        <v>37885</v>
      </c>
      <c r="N6351" s="77">
        <v>0.875</v>
      </c>
      <c r="P6351">
        <v>60.8</v>
      </c>
      <c r="S6351" s="74">
        <v>34963</v>
      </c>
      <c r="T6351" s="77">
        <v>0.875</v>
      </c>
      <c r="V6351">
        <v>71.06</v>
      </c>
      <c r="X6351" s="42"/>
      <c r="AB6351">
        <v>66.900000000000006</v>
      </c>
      <c r="AC6351">
        <v>60.08</v>
      </c>
      <c r="AE6351" s="74"/>
      <c r="AF6351" s="77"/>
      <c r="AH6351" s="497">
        <v>55.400000000000006</v>
      </c>
      <c r="AJ6351" s="42"/>
      <c r="AK6351" s="74"/>
      <c r="AL6351" s="77"/>
      <c r="AN6351" s="497">
        <v>51.08</v>
      </c>
      <c r="AP6351" s="42"/>
      <c r="AQ6351" s="74"/>
      <c r="AR6351" s="77"/>
      <c r="AT6351" s="497">
        <v>51.08</v>
      </c>
      <c r="AV6351" s="42"/>
      <c r="AW6351" s="74"/>
      <c r="AX6351" s="77"/>
      <c r="BA6351" s="497">
        <v>55.94</v>
      </c>
      <c r="BB6351" s="42"/>
      <c r="BC6351" s="74"/>
      <c r="BD6351" s="77"/>
      <c r="BF6351">
        <v>64.94</v>
      </c>
      <c r="BH6351" s="42"/>
      <c r="BI6351" s="74"/>
      <c r="BJ6351" s="77"/>
      <c r="BL6351" s="497">
        <v>64.94</v>
      </c>
      <c r="BN6351" s="42"/>
      <c r="BO6351" s="74"/>
      <c r="BP6351" s="77"/>
      <c r="BR6351" s="497">
        <v>60.08</v>
      </c>
      <c r="BT6351" s="42"/>
    </row>
    <row r="6352" spans="1:72" x14ac:dyDescent="0.25">
      <c r="A6352" s="90">
        <v>34963</v>
      </c>
      <c r="B6352" s="20">
        <v>0.91666666666666663</v>
      </c>
      <c r="D6352">
        <v>71.06</v>
      </c>
      <c r="E6352" t="str">
        <f t="shared" si="232"/>
        <v>WEEKDAY</v>
      </c>
      <c r="F6352" t="e">
        <f t="shared" si="233"/>
        <v>#N/A</v>
      </c>
      <c r="G6352" s="74">
        <v>29119</v>
      </c>
      <c r="H6352" s="77">
        <v>0.91666666666666663</v>
      </c>
      <c r="J6352">
        <v>69.080000000000013</v>
      </c>
      <c r="M6352" s="74">
        <v>37885</v>
      </c>
      <c r="N6352" s="77">
        <v>0.91666666666666663</v>
      </c>
      <c r="P6352">
        <v>59</v>
      </c>
      <c r="S6352" s="74">
        <v>34963</v>
      </c>
      <c r="T6352" s="77">
        <v>0.91666666666666663</v>
      </c>
      <c r="V6352">
        <v>69.98</v>
      </c>
      <c r="X6352" s="42"/>
      <c r="AB6352">
        <v>66.3</v>
      </c>
      <c r="AC6352">
        <v>57.92</v>
      </c>
      <c r="AE6352" s="74"/>
      <c r="AF6352" s="77"/>
      <c r="AH6352" s="497">
        <v>53.6</v>
      </c>
      <c r="AJ6352" s="42"/>
      <c r="AK6352" s="74"/>
      <c r="AL6352" s="77"/>
      <c r="AN6352" s="497">
        <v>50</v>
      </c>
      <c r="AP6352" s="42"/>
      <c r="AQ6352" s="74"/>
      <c r="AR6352" s="77"/>
      <c r="AT6352" s="497">
        <v>51.08</v>
      </c>
      <c r="AV6352" s="42"/>
      <c r="AW6352" s="74"/>
      <c r="AX6352" s="77"/>
      <c r="BA6352" s="497">
        <v>55.040000000000006</v>
      </c>
      <c r="BB6352" s="42"/>
      <c r="BC6352" s="74"/>
      <c r="BD6352" s="77"/>
      <c r="BF6352">
        <v>62.96</v>
      </c>
      <c r="BH6352" s="42"/>
      <c r="BI6352" s="74"/>
      <c r="BJ6352" s="77"/>
      <c r="BL6352" s="497">
        <v>64.039999999999992</v>
      </c>
      <c r="BN6352" s="42"/>
      <c r="BO6352" s="74"/>
      <c r="BP6352" s="77"/>
      <c r="BR6352" s="497">
        <v>60.08</v>
      </c>
      <c r="BT6352" s="42"/>
    </row>
    <row r="6353" spans="1:72" x14ac:dyDescent="0.25">
      <c r="A6353" s="90">
        <v>34963</v>
      </c>
      <c r="B6353" s="20">
        <v>0.95833333333333337</v>
      </c>
      <c r="D6353">
        <v>71.06</v>
      </c>
      <c r="E6353" t="str">
        <f t="shared" si="232"/>
        <v>WEEKDAY</v>
      </c>
      <c r="F6353" t="e">
        <f t="shared" si="233"/>
        <v>#N/A</v>
      </c>
      <c r="G6353" s="74">
        <v>29119</v>
      </c>
      <c r="H6353" s="77">
        <v>0.95833333333333337</v>
      </c>
      <c r="J6353">
        <v>68.72</v>
      </c>
      <c r="M6353" s="74">
        <v>37885</v>
      </c>
      <c r="N6353" s="77">
        <v>0.95833333333333337</v>
      </c>
      <c r="P6353">
        <v>60.8</v>
      </c>
      <c r="S6353" s="74">
        <v>34963</v>
      </c>
      <c r="T6353" s="77">
        <v>0.95833333333333337</v>
      </c>
      <c r="V6353">
        <v>69.98</v>
      </c>
      <c r="X6353" s="42"/>
      <c r="AB6353">
        <v>65.599999999999994</v>
      </c>
      <c r="AC6353">
        <v>57.019999999999996</v>
      </c>
      <c r="AE6353" s="74"/>
      <c r="AF6353" s="77"/>
      <c r="AH6353" s="497">
        <v>52.7</v>
      </c>
      <c r="AJ6353" s="42"/>
      <c r="AK6353" s="74"/>
      <c r="AL6353" s="77"/>
      <c r="AN6353" s="497">
        <v>48.74</v>
      </c>
      <c r="AP6353" s="42"/>
      <c r="AQ6353" s="74"/>
      <c r="AR6353" s="77"/>
      <c r="AT6353" s="497">
        <v>55.040000000000006</v>
      </c>
      <c r="AV6353" s="42"/>
      <c r="AW6353" s="74"/>
      <c r="AX6353" s="77"/>
      <c r="BA6353" s="497">
        <v>53.96</v>
      </c>
      <c r="BB6353" s="42"/>
      <c r="BC6353" s="74"/>
      <c r="BD6353" s="77"/>
      <c r="BF6353">
        <v>62.06</v>
      </c>
      <c r="BH6353" s="42"/>
      <c r="BI6353" s="74"/>
      <c r="BJ6353" s="77"/>
      <c r="BL6353" s="497">
        <v>62.06</v>
      </c>
      <c r="BN6353" s="42"/>
      <c r="BO6353" s="74"/>
      <c r="BP6353" s="77"/>
      <c r="BR6353" s="497">
        <v>63.319999999999993</v>
      </c>
      <c r="BT6353" s="42"/>
    </row>
    <row r="6354" spans="1:72" x14ac:dyDescent="0.25">
      <c r="A6354" s="90">
        <v>34963</v>
      </c>
      <c r="B6354" s="20">
        <v>1</v>
      </c>
      <c r="D6354">
        <v>71.06</v>
      </c>
      <c r="E6354" t="str">
        <f t="shared" si="232"/>
        <v>WEEKDAY</v>
      </c>
      <c r="F6354" t="e">
        <f t="shared" si="233"/>
        <v>#N/A</v>
      </c>
      <c r="G6354" s="74">
        <v>29119</v>
      </c>
      <c r="H6354" s="77">
        <v>1</v>
      </c>
      <c r="J6354">
        <v>68.36</v>
      </c>
      <c r="M6354" s="74">
        <v>37885</v>
      </c>
      <c r="N6354" s="80">
        <v>1</v>
      </c>
      <c r="P6354">
        <v>59</v>
      </c>
      <c r="S6354" s="74">
        <v>34963</v>
      </c>
      <c r="T6354" s="80">
        <v>1</v>
      </c>
      <c r="V6354">
        <v>69.98</v>
      </c>
      <c r="X6354" s="42"/>
      <c r="AB6354">
        <v>65</v>
      </c>
      <c r="AC6354">
        <v>55.040000000000006</v>
      </c>
      <c r="AE6354" s="74"/>
      <c r="AF6354" s="80"/>
      <c r="AH6354" s="497">
        <v>51.8</v>
      </c>
      <c r="AJ6354" s="42"/>
      <c r="AK6354" s="74"/>
      <c r="AL6354" s="80"/>
      <c r="AN6354" s="497">
        <v>47.3</v>
      </c>
      <c r="AP6354" s="42"/>
      <c r="AQ6354" s="74"/>
      <c r="AR6354" s="80"/>
      <c r="AT6354" s="497">
        <v>55.040000000000006</v>
      </c>
      <c r="AV6354" s="42"/>
      <c r="AW6354" s="74"/>
      <c r="AX6354" s="80"/>
      <c r="BA6354" s="497">
        <v>53.96</v>
      </c>
      <c r="BB6354" s="42"/>
      <c r="BC6354" s="74"/>
      <c r="BD6354" s="80"/>
      <c r="BF6354">
        <v>59</v>
      </c>
      <c r="BH6354" s="42"/>
      <c r="BI6354" s="74"/>
      <c r="BJ6354" s="80"/>
      <c r="BL6354" s="497">
        <v>60.08</v>
      </c>
      <c r="BN6354" s="42"/>
      <c r="BO6354" s="74"/>
      <c r="BP6354" s="80"/>
      <c r="BR6354" s="497">
        <v>66.740000000000009</v>
      </c>
      <c r="BT6354" s="42"/>
    </row>
    <row r="6355" spans="1:72" x14ac:dyDescent="0.25">
      <c r="A6355" s="90">
        <v>34964</v>
      </c>
      <c r="B6355" s="20">
        <v>4.1666666666666664E-2</v>
      </c>
      <c r="D6355">
        <v>69.98</v>
      </c>
      <c r="E6355" t="str">
        <f t="shared" ref="E6355:E6418" si="234">IF(COUNTIF($DI$18:$DI$22, WEEKDAY(A6355))=1, "WEEKDAY", IF(WEEKDAY(A6355) = 1, "SUNDAY", "SATURDAY"))</f>
        <v>WEEKDAY</v>
      </c>
      <c r="F6355" t="e">
        <f t="shared" si="233"/>
        <v>#N/A</v>
      </c>
      <c r="G6355" s="74">
        <v>29120</v>
      </c>
      <c r="H6355" s="77">
        <v>4.1666666666666664E-2</v>
      </c>
      <c r="J6355">
        <v>68</v>
      </c>
      <c r="M6355" s="74">
        <v>37886</v>
      </c>
      <c r="N6355" s="77">
        <v>4.1666666666666664E-2</v>
      </c>
      <c r="P6355">
        <v>59</v>
      </c>
      <c r="S6355" s="74">
        <v>34964</v>
      </c>
      <c r="T6355" s="77">
        <v>4.1666666666666664E-2</v>
      </c>
      <c r="V6355">
        <v>69.98</v>
      </c>
      <c r="X6355" s="42"/>
      <c r="AB6355">
        <v>64.3</v>
      </c>
      <c r="AC6355">
        <v>57.019999999999996</v>
      </c>
      <c r="AE6355" s="74"/>
      <c r="AF6355" s="77"/>
      <c r="AH6355" s="497">
        <v>51.8</v>
      </c>
      <c r="AJ6355" s="42"/>
      <c r="AK6355" s="74"/>
      <c r="AL6355" s="77"/>
      <c r="AN6355" s="497">
        <v>46.04</v>
      </c>
      <c r="AP6355" s="42"/>
      <c r="AQ6355" s="74"/>
      <c r="AR6355" s="77"/>
      <c r="AT6355" s="497">
        <v>55.040000000000006</v>
      </c>
      <c r="AV6355" s="42"/>
      <c r="AW6355" s="74"/>
      <c r="AX6355" s="77"/>
      <c r="BA6355" s="497">
        <v>53.96</v>
      </c>
      <c r="BB6355" s="42"/>
      <c r="BC6355" s="74"/>
      <c r="BD6355" s="77"/>
      <c r="BF6355">
        <v>59</v>
      </c>
      <c r="BH6355" s="42"/>
      <c r="BI6355" s="74"/>
      <c r="BJ6355" s="77"/>
      <c r="BL6355" s="497">
        <v>59</v>
      </c>
      <c r="BN6355" s="42"/>
      <c r="BO6355" s="74"/>
      <c r="BP6355" s="77"/>
      <c r="BR6355" s="497">
        <v>69.98</v>
      </c>
      <c r="BT6355" s="42"/>
    </row>
    <row r="6356" spans="1:72" x14ac:dyDescent="0.25">
      <c r="A6356" s="90">
        <v>34964</v>
      </c>
      <c r="B6356" s="20">
        <v>8.3333333333333329E-2</v>
      </c>
      <c r="D6356">
        <v>69.080000000000013</v>
      </c>
      <c r="E6356" t="str">
        <f t="shared" si="234"/>
        <v>WEEKDAY</v>
      </c>
      <c r="F6356" t="e">
        <f t="shared" si="233"/>
        <v>#N/A</v>
      </c>
      <c r="G6356" s="74">
        <v>29120</v>
      </c>
      <c r="H6356" s="77">
        <v>8.3333333333333329E-2</v>
      </c>
      <c r="J6356">
        <v>68</v>
      </c>
      <c r="M6356" s="74">
        <v>37886</v>
      </c>
      <c r="N6356" s="77">
        <v>8.3333333333333329E-2</v>
      </c>
      <c r="P6356">
        <v>55.400000000000006</v>
      </c>
      <c r="S6356" s="74">
        <v>34964</v>
      </c>
      <c r="T6356" s="77">
        <v>8.3333333333333329E-2</v>
      </c>
      <c r="V6356">
        <v>71.06</v>
      </c>
      <c r="X6356" s="42"/>
      <c r="AB6356">
        <v>63.7</v>
      </c>
      <c r="AC6356">
        <v>55.040000000000006</v>
      </c>
      <c r="AE6356" s="74"/>
      <c r="AF6356" s="77"/>
      <c r="AH6356" s="497">
        <v>51.8</v>
      </c>
      <c r="AJ6356" s="42"/>
      <c r="AK6356" s="74"/>
      <c r="AL6356" s="77"/>
      <c r="AN6356" s="497">
        <v>46.04</v>
      </c>
      <c r="AP6356" s="42"/>
      <c r="AQ6356" s="74"/>
      <c r="AR6356" s="77"/>
      <c r="AT6356" s="497">
        <v>53.96</v>
      </c>
      <c r="AV6356" s="42"/>
      <c r="AW6356" s="74"/>
      <c r="AX6356" s="77"/>
      <c r="BA6356" s="497">
        <v>53.96</v>
      </c>
      <c r="BB6356" s="42"/>
      <c r="BC6356" s="74"/>
      <c r="BD6356" s="77"/>
      <c r="BF6356">
        <v>57.019999999999996</v>
      </c>
      <c r="BH6356" s="42"/>
      <c r="BI6356" s="74"/>
      <c r="BJ6356" s="77"/>
      <c r="BL6356" s="497">
        <v>57.92</v>
      </c>
      <c r="BN6356" s="42"/>
      <c r="BO6356" s="74"/>
      <c r="BP6356" s="77"/>
      <c r="BR6356" s="497">
        <v>68.900000000000006</v>
      </c>
      <c r="BT6356" s="42"/>
    </row>
    <row r="6357" spans="1:72" x14ac:dyDescent="0.25">
      <c r="A6357" s="90">
        <v>34964</v>
      </c>
      <c r="B6357" s="20">
        <v>0.125</v>
      </c>
      <c r="D6357">
        <v>69.080000000000013</v>
      </c>
      <c r="E6357" t="str">
        <f t="shared" si="234"/>
        <v>WEEKDAY</v>
      </c>
      <c r="F6357" t="e">
        <f t="shared" si="233"/>
        <v>#N/A</v>
      </c>
      <c r="G6357" s="74">
        <v>29120</v>
      </c>
      <c r="H6357" s="77">
        <v>0.125</v>
      </c>
      <c r="J6357">
        <v>68</v>
      </c>
      <c r="M6357" s="74">
        <v>37886</v>
      </c>
      <c r="N6357" s="77">
        <v>0.125</v>
      </c>
      <c r="P6357">
        <v>59</v>
      </c>
      <c r="S6357" s="74">
        <v>34964</v>
      </c>
      <c r="T6357" s="77">
        <v>0.125</v>
      </c>
      <c r="V6357">
        <v>71.06</v>
      </c>
      <c r="X6357" s="42"/>
      <c r="AB6357">
        <v>63.1</v>
      </c>
      <c r="AC6357">
        <v>53.96</v>
      </c>
      <c r="AE6357" s="74"/>
      <c r="AF6357" s="77"/>
      <c r="AH6357" s="497">
        <v>50</v>
      </c>
      <c r="AJ6357" s="42"/>
      <c r="AK6357" s="74"/>
      <c r="AL6357" s="77"/>
      <c r="AN6357" s="497">
        <v>46.04</v>
      </c>
      <c r="AP6357" s="42"/>
      <c r="AQ6357" s="74"/>
      <c r="AR6357" s="77"/>
      <c r="AT6357" s="497">
        <v>55.94</v>
      </c>
      <c r="AV6357" s="42"/>
      <c r="AW6357" s="74"/>
      <c r="AX6357" s="77"/>
      <c r="BA6357" s="497">
        <v>53.06</v>
      </c>
      <c r="BB6357" s="42"/>
      <c r="BC6357" s="74"/>
      <c r="BD6357" s="77"/>
      <c r="BF6357">
        <v>57.019999999999996</v>
      </c>
      <c r="BH6357" s="42"/>
      <c r="BI6357" s="74"/>
      <c r="BJ6357" s="77"/>
      <c r="BL6357" s="497">
        <v>55.94</v>
      </c>
      <c r="BN6357" s="42"/>
      <c r="BO6357" s="74"/>
      <c r="BP6357" s="77"/>
      <c r="BR6357" s="497">
        <v>68</v>
      </c>
      <c r="BT6357" s="42"/>
    </row>
    <row r="6358" spans="1:72" x14ac:dyDescent="0.25">
      <c r="A6358" s="90">
        <v>34964</v>
      </c>
      <c r="B6358" s="20">
        <v>0.16666666666666666</v>
      </c>
      <c r="D6358">
        <v>68</v>
      </c>
      <c r="E6358" t="str">
        <f t="shared" si="234"/>
        <v>WEEKDAY</v>
      </c>
      <c r="F6358" t="e">
        <f t="shared" si="233"/>
        <v>#N/A</v>
      </c>
      <c r="G6358" s="74">
        <v>29120</v>
      </c>
      <c r="H6358" s="77">
        <v>0.16666666666666666</v>
      </c>
      <c r="J6358">
        <v>68</v>
      </c>
      <c r="M6358" s="74">
        <v>37886</v>
      </c>
      <c r="N6358" s="77">
        <v>0.16666666666666666</v>
      </c>
      <c r="P6358">
        <v>59</v>
      </c>
      <c r="S6358" s="74">
        <v>34964</v>
      </c>
      <c r="T6358" s="77">
        <v>0.16666666666666666</v>
      </c>
      <c r="V6358">
        <v>71.06</v>
      </c>
      <c r="X6358" s="42"/>
      <c r="AB6358">
        <v>62.6</v>
      </c>
      <c r="AC6358">
        <v>55.040000000000006</v>
      </c>
      <c r="AE6358" s="74"/>
      <c r="AF6358" s="77"/>
      <c r="AH6358" s="497">
        <v>51.8</v>
      </c>
      <c r="AJ6358" s="42"/>
      <c r="AK6358" s="74"/>
      <c r="AL6358" s="77"/>
      <c r="AN6358" s="497">
        <v>46.04</v>
      </c>
      <c r="AP6358" s="42"/>
      <c r="AQ6358" s="74"/>
      <c r="AR6358" s="77"/>
      <c r="AT6358" s="497">
        <v>57.019999999999996</v>
      </c>
      <c r="AV6358" s="42"/>
      <c r="AW6358" s="74"/>
      <c r="AX6358" s="77"/>
      <c r="BA6358" s="497">
        <v>50</v>
      </c>
      <c r="BB6358" s="42"/>
      <c r="BC6358" s="74"/>
      <c r="BD6358" s="77"/>
      <c r="BF6358">
        <v>55.94</v>
      </c>
      <c r="BH6358" s="42"/>
      <c r="BI6358" s="74"/>
      <c r="BJ6358" s="77"/>
      <c r="BL6358" s="497">
        <v>57.019999999999996</v>
      </c>
      <c r="BN6358" s="42"/>
      <c r="BO6358" s="74"/>
      <c r="BP6358" s="77"/>
      <c r="BR6358" s="497">
        <v>66.92</v>
      </c>
      <c r="BT6358" s="42"/>
    </row>
    <row r="6359" spans="1:72" x14ac:dyDescent="0.25">
      <c r="A6359" s="90">
        <v>34964</v>
      </c>
      <c r="B6359" s="20">
        <v>0.20833333333333334</v>
      </c>
      <c r="D6359">
        <v>68</v>
      </c>
      <c r="E6359" t="str">
        <f t="shared" si="234"/>
        <v>WEEKDAY</v>
      </c>
      <c r="F6359" t="e">
        <f t="shared" si="233"/>
        <v>#N/A</v>
      </c>
      <c r="G6359" s="74">
        <v>29120</v>
      </c>
      <c r="H6359" s="77">
        <v>0.20833333333333334</v>
      </c>
      <c r="J6359">
        <v>68</v>
      </c>
      <c r="M6359" s="74">
        <v>37886</v>
      </c>
      <c r="N6359" s="77">
        <v>0.20833333333333334</v>
      </c>
      <c r="P6359">
        <v>60.8</v>
      </c>
      <c r="S6359" s="74">
        <v>34964</v>
      </c>
      <c r="T6359" s="77">
        <v>0.20833333333333334</v>
      </c>
      <c r="V6359">
        <v>71.06</v>
      </c>
      <c r="X6359" s="42"/>
      <c r="AB6359">
        <v>62.3</v>
      </c>
      <c r="AC6359">
        <v>53.96</v>
      </c>
      <c r="AE6359" s="74"/>
      <c r="AF6359" s="77"/>
      <c r="AH6359" s="497">
        <v>51.8</v>
      </c>
      <c r="AJ6359" s="42"/>
      <c r="AK6359" s="74"/>
      <c r="AL6359" s="77"/>
      <c r="AN6359" s="497">
        <v>46.04</v>
      </c>
      <c r="AP6359" s="42"/>
      <c r="AQ6359" s="74"/>
      <c r="AR6359" s="77"/>
      <c r="AT6359" s="497">
        <v>55.040000000000006</v>
      </c>
      <c r="AV6359" s="42"/>
      <c r="AW6359" s="74"/>
      <c r="AX6359" s="77"/>
      <c r="BA6359" s="497">
        <v>48.019999999999996</v>
      </c>
      <c r="BB6359" s="42"/>
      <c r="BC6359" s="74"/>
      <c r="BD6359" s="77"/>
      <c r="BF6359">
        <v>55.94</v>
      </c>
      <c r="BH6359" s="42"/>
      <c r="BI6359" s="74"/>
      <c r="BJ6359" s="77"/>
      <c r="BL6359" s="497">
        <v>57.019999999999996</v>
      </c>
      <c r="BN6359" s="42"/>
      <c r="BO6359" s="74"/>
      <c r="BP6359" s="77"/>
      <c r="BR6359" s="497">
        <v>65.300000000000011</v>
      </c>
      <c r="BT6359" s="42"/>
    </row>
    <row r="6360" spans="1:72" x14ac:dyDescent="0.25">
      <c r="A6360" s="90">
        <v>34964</v>
      </c>
      <c r="B6360" s="20">
        <v>0.25</v>
      </c>
      <c r="D6360">
        <v>66.92</v>
      </c>
      <c r="E6360" t="str">
        <f t="shared" si="234"/>
        <v>WEEKDAY</v>
      </c>
      <c r="F6360" t="e">
        <f t="shared" si="233"/>
        <v>#N/A</v>
      </c>
      <c r="G6360" s="74">
        <v>29120</v>
      </c>
      <c r="H6360" s="77">
        <v>0.25</v>
      </c>
      <c r="J6360">
        <v>68</v>
      </c>
      <c r="M6360" s="74">
        <v>37886</v>
      </c>
      <c r="N6360" s="77">
        <v>0.25</v>
      </c>
      <c r="P6360">
        <v>60.8</v>
      </c>
      <c r="S6360" s="74">
        <v>34964</v>
      </c>
      <c r="T6360" s="77">
        <v>0.25</v>
      </c>
      <c r="V6360">
        <v>71.06</v>
      </c>
      <c r="X6360" s="42"/>
      <c r="AB6360">
        <v>62</v>
      </c>
      <c r="AC6360">
        <v>57.019999999999996</v>
      </c>
      <c r="AE6360" s="74"/>
      <c r="AF6360" s="77"/>
      <c r="AH6360" s="497">
        <v>51.8</v>
      </c>
      <c r="AJ6360" s="42"/>
      <c r="AK6360" s="74"/>
      <c r="AL6360" s="77"/>
      <c r="AN6360" s="497">
        <v>46.04</v>
      </c>
      <c r="AP6360" s="42"/>
      <c r="AQ6360" s="74"/>
      <c r="AR6360" s="77"/>
      <c r="AT6360" s="497">
        <v>57.019999999999996</v>
      </c>
      <c r="AV6360" s="42"/>
      <c r="AW6360" s="74"/>
      <c r="AX6360" s="77"/>
      <c r="BA6360" s="497">
        <v>48.019999999999996</v>
      </c>
      <c r="BB6360" s="42"/>
      <c r="BC6360" s="74"/>
      <c r="BD6360" s="77"/>
      <c r="BF6360">
        <v>55.040000000000006</v>
      </c>
      <c r="BH6360" s="42"/>
      <c r="BI6360" s="74"/>
      <c r="BJ6360" s="77"/>
      <c r="BL6360" s="497">
        <v>57.019999999999996</v>
      </c>
      <c r="BN6360" s="42"/>
      <c r="BO6360" s="74"/>
      <c r="BP6360" s="77"/>
      <c r="BR6360" s="497">
        <v>63.680000000000007</v>
      </c>
      <c r="BT6360" s="42"/>
    </row>
    <row r="6361" spans="1:72" x14ac:dyDescent="0.25">
      <c r="A6361" s="90">
        <v>34964</v>
      </c>
      <c r="B6361" s="20">
        <v>0.29166666666666669</v>
      </c>
      <c r="D6361">
        <v>68</v>
      </c>
      <c r="E6361" t="str">
        <f t="shared" si="234"/>
        <v>WEEKDAY</v>
      </c>
      <c r="F6361" t="e">
        <f t="shared" si="233"/>
        <v>#N/A</v>
      </c>
      <c r="G6361" s="74">
        <v>29120</v>
      </c>
      <c r="H6361" s="77">
        <v>0.29166666666666669</v>
      </c>
      <c r="J6361">
        <v>68</v>
      </c>
      <c r="M6361" s="74">
        <v>37886</v>
      </c>
      <c r="N6361" s="77">
        <v>0.29166666666666669</v>
      </c>
      <c r="P6361">
        <v>60.8</v>
      </c>
      <c r="S6361" s="74">
        <v>34964</v>
      </c>
      <c r="T6361" s="77">
        <v>0.29166666666666669</v>
      </c>
      <c r="V6361">
        <v>71.06</v>
      </c>
      <c r="X6361" s="42"/>
      <c r="AB6361">
        <v>61.9</v>
      </c>
      <c r="AC6361">
        <v>60.980000000000004</v>
      </c>
      <c r="AE6361" s="74"/>
      <c r="AF6361" s="77"/>
      <c r="AH6361" s="497">
        <v>53.6</v>
      </c>
      <c r="AJ6361" s="42"/>
      <c r="AK6361" s="74"/>
      <c r="AL6361" s="77"/>
      <c r="AN6361" s="497">
        <v>46.04</v>
      </c>
      <c r="AP6361" s="42"/>
      <c r="AQ6361" s="74"/>
      <c r="AR6361" s="77"/>
      <c r="AT6361" s="497">
        <v>57.019999999999996</v>
      </c>
      <c r="AV6361" s="42"/>
      <c r="AW6361" s="74"/>
      <c r="AX6361" s="77"/>
      <c r="BA6361" s="497">
        <v>50</v>
      </c>
      <c r="BB6361" s="42"/>
      <c r="BC6361" s="74"/>
      <c r="BD6361" s="77"/>
      <c r="BF6361">
        <v>55.040000000000006</v>
      </c>
      <c r="BH6361" s="42"/>
      <c r="BI6361" s="74"/>
      <c r="BJ6361" s="77"/>
      <c r="BL6361" s="497">
        <v>57.92</v>
      </c>
      <c r="BN6361" s="42"/>
      <c r="BO6361" s="74"/>
      <c r="BP6361" s="77"/>
      <c r="BR6361" s="497">
        <v>62.06</v>
      </c>
      <c r="BT6361" s="42"/>
    </row>
    <row r="6362" spans="1:72" x14ac:dyDescent="0.25">
      <c r="A6362" s="90">
        <v>34964</v>
      </c>
      <c r="B6362" s="20">
        <v>0.33333333333333331</v>
      </c>
      <c r="D6362">
        <v>69.800000000000011</v>
      </c>
      <c r="E6362" t="str">
        <f t="shared" si="234"/>
        <v>WEEKDAY</v>
      </c>
      <c r="F6362" t="e">
        <f t="shared" si="233"/>
        <v>#N/A</v>
      </c>
      <c r="G6362" s="74">
        <v>29120</v>
      </c>
      <c r="H6362" s="77">
        <v>0.33333333333333331</v>
      </c>
      <c r="J6362">
        <v>66.92</v>
      </c>
      <c r="M6362" s="74">
        <v>37886</v>
      </c>
      <c r="N6362" s="77">
        <v>0.33333333333333331</v>
      </c>
      <c r="P6362">
        <v>60.8</v>
      </c>
      <c r="S6362" s="74">
        <v>34964</v>
      </c>
      <c r="T6362" s="77">
        <v>0.33333333333333331</v>
      </c>
      <c r="V6362">
        <v>71.06</v>
      </c>
      <c r="X6362" s="42"/>
      <c r="AB6362">
        <v>63.6</v>
      </c>
      <c r="AC6362">
        <v>66.92</v>
      </c>
      <c r="AE6362" s="74"/>
      <c r="AF6362" s="77"/>
      <c r="AH6362" s="497">
        <v>57.2</v>
      </c>
      <c r="AJ6362" s="42"/>
      <c r="AK6362" s="74"/>
      <c r="AL6362" s="77"/>
      <c r="AN6362" s="497">
        <v>47.3</v>
      </c>
      <c r="AP6362" s="42"/>
      <c r="AQ6362" s="74"/>
      <c r="AR6362" s="77"/>
      <c r="AT6362" s="497">
        <v>57.019999999999996</v>
      </c>
      <c r="AV6362" s="42"/>
      <c r="AW6362" s="74"/>
      <c r="AX6362" s="77"/>
      <c r="BA6362" s="497">
        <v>53.96</v>
      </c>
      <c r="BB6362" s="42"/>
      <c r="BC6362" s="74"/>
      <c r="BD6362" s="77"/>
      <c r="BF6362">
        <v>59</v>
      </c>
      <c r="BH6362" s="42"/>
      <c r="BI6362" s="74"/>
      <c r="BJ6362" s="77"/>
      <c r="BL6362" s="497">
        <v>59</v>
      </c>
      <c r="BN6362" s="42"/>
      <c r="BO6362" s="74"/>
      <c r="BP6362" s="77"/>
      <c r="BR6362" s="497">
        <v>62.78</v>
      </c>
      <c r="BT6362" s="42"/>
    </row>
    <row r="6363" spans="1:72" x14ac:dyDescent="0.25">
      <c r="A6363" s="90">
        <v>34964</v>
      </c>
      <c r="B6363" s="20">
        <v>0.375</v>
      </c>
      <c r="D6363">
        <v>71.06</v>
      </c>
      <c r="E6363" t="str">
        <f t="shared" si="234"/>
        <v>WEEKDAY</v>
      </c>
      <c r="F6363" t="e">
        <f t="shared" si="233"/>
        <v>#N/A</v>
      </c>
      <c r="G6363" s="74">
        <v>29120</v>
      </c>
      <c r="H6363" s="77">
        <v>0.375</v>
      </c>
      <c r="J6363">
        <v>66.02</v>
      </c>
      <c r="M6363" s="74">
        <v>37886</v>
      </c>
      <c r="N6363" s="77">
        <v>0.375</v>
      </c>
      <c r="P6363">
        <v>63.680000000000007</v>
      </c>
      <c r="S6363" s="74">
        <v>34964</v>
      </c>
      <c r="T6363" s="77">
        <v>0.375</v>
      </c>
      <c r="V6363">
        <v>71.06</v>
      </c>
      <c r="X6363" s="42"/>
      <c r="AB6363">
        <v>65.8</v>
      </c>
      <c r="AC6363">
        <v>71.06</v>
      </c>
      <c r="AE6363" s="74"/>
      <c r="AF6363" s="77"/>
      <c r="AH6363" s="497">
        <v>60.8</v>
      </c>
      <c r="AJ6363" s="42"/>
      <c r="AK6363" s="74"/>
      <c r="AL6363" s="77"/>
      <c r="AN6363" s="497">
        <v>48.74</v>
      </c>
      <c r="AP6363" s="42"/>
      <c r="AQ6363" s="74"/>
      <c r="AR6363" s="77"/>
      <c r="AT6363" s="497">
        <v>57.92</v>
      </c>
      <c r="AV6363" s="42"/>
      <c r="AW6363" s="74"/>
      <c r="AX6363" s="77"/>
      <c r="BA6363" s="497">
        <v>55.400000000000006</v>
      </c>
      <c r="BB6363" s="42"/>
      <c r="BC6363" s="74"/>
      <c r="BD6363" s="77"/>
      <c r="BF6363">
        <v>62.06</v>
      </c>
      <c r="BH6363" s="42"/>
      <c r="BI6363" s="74"/>
      <c r="BJ6363" s="77"/>
      <c r="BL6363" s="497">
        <v>60.08</v>
      </c>
      <c r="BN6363" s="42"/>
      <c r="BO6363" s="74"/>
      <c r="BP6363" s="77"/>
      <c r="BR6363" s="497">
        <v>63.319999999999993</v>
      </c>
      <c r="BT6363" s="42"/>
    </row>
    <row r="6364" spans="1:72" x14ac:dyDescent="0.25">
      <c r="A6364" s="90">
        <v>34964</v>
      </c>
      <c r="B6364" s="20">
        <v>0.41666666666666669</v>
      </c>
      <c r="D6364">
        <v>71.06</v>
      </c>
      <c r="E6364" t="str">
        <f t="shared" si="234"/>
        <v>WEEKDAY</v>
      </c>
      <c r="F6364" t="e">
        <f t="shared" si="233"/>
        <v>#N/A</v>
      </c>
      <c r="G6364" s="74">
        <v>29120</v>
      </c>
      <c r="H6364" s="77">
        <v>0.41666666666666669</v>
      </c>
      <c r="J6364">
        <v>64.94</v>
      </c>
      <c r="M6364" s="74">
        <v>37886</v>
      </c>
      <c r="N6364" s="77">
        <v>0.41666666666666669</v>
      </c>
      <c r="P6364">
        <v>66.2</v>
      </c>
      <c r="S6364" s="74">
        <v>34964</v>
      </c>
      <c r="T6364" s="77">
        <v>0.41666666666666669</v>
      </c>
      <c r="V6364">
        <v>71.960000000000008</v>
      </c>
      <c r="X6364" s="42"/>
      <c r="AB6364">
        <v>67.8</v>
      </c>
      <c r="AC6364">
        <v>73.94</v>
      </c>
      <c r="AE6364" s="74"/>
      <c r="AF6364" s="77"/>
      <c r="AH6364" s="497">
        <v>62.6</v>
      </c>
      <c r="AJ6364" s="42"/>
      <c r="AK6364" s="74"/>
      <c r="AL6364" s="77"/>
      <c r="AN6364" s="497">
        <v>50</v>
      </c>
      <c r="AP6364" s="42"/>
      <c r="AQ6364" s="74"/>
      <c r="AR6364" s="77"/>
      <c r="AT6364" s="497">
        <v>59</v>
      </c>
      <c r="AV6364" s="42"/>
      <c r="AW6364" s="74"/>
      <c r="AX6364" s="77"/>
      <c r="BA6364" s="497">
        <v>55.040000000000006</v>
      </c>
      <c r="BB6364" s="42"/>
      <c r="BC6364" s="74"/>
      <c r="BD6364" s="77"/>
      <c r="BF6364">
        <v>66.92</v>
      </c>
      <c r="BH6364" s="42"/>
      <c r="BI6364" s="74"/>
      <c r="BJ6364" s="77"/>
      <c r="BL6364" s="497">
        <v>62.06</v>
      </c>
      <c r="BN6364" s="42"/>
      <c r="BO6364" s="74"/>
      <c r="BP6364" s="77"/>
      <c r="BR6364" s="497">
        <v>64.039999999999992</v>
      </c>
      <c r="BT6364" s="42"/>
    </row>
    <row r="6365" spans="1:72" x14ac:dyDescent="0.25">
      <c r="A6365" s="90">
        <v>34964</v>
      </c>
      <c r="B6365" s="20">
        <v>0.45833333333333331</v>
      </c>
      <c r="D6365">
        <v>73.039999999999992</v>
      </c>
      <c r="E6365" t="str">
        <f t="shared" si="234"/>
        <v>WEEKDAY</v>
      </c>
      <c r="F6365" t="e">
        <f t="shared" si="233"/>
        <v>#N/A</v>
      </c>
      <c r="G6365" s="74">
        <v>29120</v>
      </c>
      <c r="H6365" s="77">
        <v>0.45833333333333331</v>
      </c>
      <c r="J6365">
        <v>65.300000000000011</v>
      </c>
      <c r="M6365" s="74">
        <v>37886</v>
      </c>
      <c r="N6365" s="77">
        <v>0.45833333333333331</v>
      </c>
      <c r="P6365">
        <v>66.2</v>
      </c>
      <c r="S6365" s="74">
        <v>34964</v>
      </c>
      <c r="T6365" s="77">
        <v>0.45833333333333331</v>
      </c>
      <c r="V6365">
        <v>69.080000000000013</v>
      </c>
      <c r="X6365" s="42"/>
      <c r="AB6365">
        <v>69.5</v>
      </c>
      <c r="AC6365">
        <v>75.02</v>
      </c>
      <c r="AE6365" s="74"/>
      <c r="AF6365" s="77"/>
      <c r="AH6365" s="497">
        <v>62.6</v>
      </c>
      <c r="AJ6365" s="42"/>
      <c r="AK6365" s="74"/>
      <c r="AL6365" s="77"/>
      <c r="AN6365" s="497">
        <v>51.08</v>
      </c>
      <c r="AP6365" s="42"/>
      <c r="AQ6365" s="74"/>
      <c r="AR6365" s="77"/>
      <c r="AT6365" s="497">
        <v>60.08</v>
      </c>
      <c r="AV6365" s="42"/>
      <c r="AW6365" s="74"/>
      <c r="AX6365" s="77"/>
      <c r="BA6365" s="497">
        <v>57.92</v>
      </c>
      <c r="BB6365" s="42"/>
      <c r="BC6365" s="74"/>
      <c r="BD6365" s="77"/>
      <c r="BF6365">
        <v>71.960000000000008</v>
      </c>
      <c r="BH6365" s="42"/>
      <c r="BI6365" s="74"/>
      <c r="BJ6365" s="77"/>
      <c r="BL6365" s="497">
        <v>59</v>
      </c>
      <c r="BN6365" s="42"/>
      <c r="BO6365" s="74"/>
      <c r="BP6365" s="77"/>
      <c r="BR6365" s="497">
        <v>64.759999999999991</v>
      </c>
      <c r="BT6365" s="42"/>
    </row>
    <row r="6366" spans="1:72" x14ac:dyDescent="0.25">
      <c r="A6366" s="90">
        <v>34964</v>
      </c>
      <c r="B6366" s="20">
        <v>0.5</v>
      </c>
      <c r="D6366">
        <v>75.02</v>
      </c>
      <c r="E6366" t="str">
        <f t="shared" si="234"/>
        <v>WEEKDAY</v>
      </c>
      <c r="F6366" t="e">
        <f t="shared" si="233"/>
        <v>#N/A</v>
      </c>
      <c r="G6366" s="74">
        <v>29120</v>
      </c>
      <c r="H6366" s="77">
        <v>0.5</v>
      </c>
      <c r="J6366">
        <v>65.66</v>
      </c>
      <c r="M6366" s="74">
        <v>37886</v>
      </c>
      <c r="N6366" s="77">
        <v>0.5</v>
      </c>
      <c r="P6366">
        <v>68</v>
      </c>
      <c r="S6366" s="74">
        <v>34964</v>
      </c>
      <c r="T6366" s="77">
        <v>0.5</v>
      </c>
      <c r="V6366">
        <v>69.080000000000013</v>
      </c>
      <c r="X6366" s="42"/>
      <c r="AB6366">
        <v>70.900000000000006</v>
      </c>
      <c r="AC6366">
        <v>77</v>
      </c>
      <c r="AE6366" s="74"/>
      <c r="AF6366" s="77"/>
      <c r="AH6366" s="497">
        <v>64.400000000000006</v>
      </c>
      <c r="AJ6366" s="42"/>
      <c r="AK6366" s="74"/>
      <c r="AL6366" s="77"/>
      <c r="AN6366" s="497">
        <v>51.980000000000004</v>
      </c>
      <c r="AP6366" s="42"/>
      <c r="AQ6366" s="74"/>
      <c r="AR6366" s="77"/>
      <c r="AT6366" s="497">
        <v>59</v>
      </c>
      <c r="AV6366" s="42"/>
      <c r="AW6366" s="74"/>
      <c r="AX6366" s="77"/>
      <c r="BA6366" s="497">
        <v>59</v>
      </c>
      <c r="BB6366" s="42"/>
      <c r="BC6366" s="74"/>
      <c r="BD6366" s="77"/>
      <c r="BF6366">
        <v>73.039999999999992</v>
      </c>
      <c r="BH6366" s="42"/>
      <c r="BI6366" s="74"/>
      <c r="BJ6366" s="77"/>
      <c r="BL6366" s="497">
        <v>57.92</v>
      </c>
      <c r="BN6366" s="42"/>
      <c r="BO6366" s="74"/>
      <c r="BP6366" s="77"/>
      <c r="BR6366" s="497">
        <v>65.300000000000011</v>
      </c>
      <c r="BT6366" s="42"/>
    </row>
    <row r="6367" spans="1:72" x14ac:dyDescent="0.25">
      <c r="A6367" s="90">
        <v>34964</v>
      </c>
      <c r="B6367" s="20">
        <v>0.54166666666666663</v>
      </c>
      <c r="D6367">
        <v>77</v>
      </c>
      <c r="E6367" t="str">
        <f t="shared" si="234"/>
        <v>WEEKDAY</v>
      </c>
      <c r="F6367" t="e">
        <f t="shared" si="233"/>
        <v>#N/A</v>
      </c>
      <c r="G6367" s="74">
        <v>29120</v>
      </c>
      <c r="H6367" s="77">
        <v>0.54166666666666663</v>
      </c>
      <c r="J6367">
        <v>66.02</v>
      </c>
      <c r="M6367" s="74">
        <v>37886</v>
      </c>
      <c r="N6367" s="77">
        <v>0.54166666666666663</v>
      </c>
      <c r="P6367">
        <v>68</v>
      </c>
      <c r="S6367" s="74">
        <v>34964</v>
      </c>
      <c r="T6367" s="77">
        <v>0.54166666666666663</v>
      </c>
      <c r="V6367">
        <v>69.98</v>
      </c>
      <c r="X6367" s="42"/>
      <c r="AB6367">
        <v>71.8</v>
      </c>
      <c r="AC6367">
        <v>78.080000000000013</v>
      </c>
      <c r="AE6367" s="74"/>
      <c r="AF6367" s="77"/>
      <c r="AH6367" s="497">
        <v>62.6</v>
      </c>
      <c r="AJ6367" s="42"/>
      <c r="AK6367" s="74"/>
      <c r="AL6367" s="77"/>
      <c r="AN6367" s="497">
        <v>53.06</v>
      </c>
      <c r="AP6367" s="42"/>
      <c r="AQ6367" s="74"/>
      <c r="AR6367" s="77"/>
      <c r="AT6367" s="497">
        <v>59</v>
      </c>
      <c r="AV6367" s="42"/>
      <c r="AW6367" s="74"/>
      <c r="AX6367" s="77"/>
      <c r="BA6367" s="497">
        <v>60.08</v>
      </c>
      <c r="BB6367" s="42"/>
      <c r="BC6367" s="74"/>
      <c r="BD6367" s="77"/>
      <c r="BF6367">
        <v>73.039999999999992</v>
      </c>
      <c r="BH6367" s="42"/>
      <c r="BI6367" s="74"/>
      <c r="BJ6367" s="77"/>
      <c r="BL6367" s="497">
        <v>57.019999999999996</v>
      </c>
      <c r="BN6367" s="42"/>
      <c r="BO6367" s="74"/>
      <c r="BP6367" s="77"/>
      <c r="BR6367" s="497">
        <v>66.02</v>
      </c>
      <c r="BT6367" s="42"/>
    </row>
    <row r="6368" spans="1:72" x14ac:dyDescent="0.25">
      <c r="A6368" s="90">
        <v>34964</v>
      </c>
      <c r="B6368" s="20">
        <v>0.58333333333333337</v>
      </c>
      <c r="D6368">
        <v>78.98</v>
      </c>
      <c r="E6368" t="str">
        <f t="shared" si="234"/>
        <v>WEEKDAY</v>
      </c>
      <c r="F6368" t="e">
        <f t="shared" si="233"/>
        <v>#N/A</v>
      </c>
      <c r="G6368" s="74">
        <v>29120</v>
      </c>
      <c r="H6368" s="77">
        <v>0.58333333333333337</v>
      </c>
      <c r="J6368">
        <v>66.02</v>
      </c>
      <c r="M6368" s="74">
        <v>37886</v>
      </c>
      <c r="N6368" s="77">
        <v>0.58333333333333337</v>
      </c>
      <c r="P6368">
        <v>68</v>
      </c>
      <c r="S6368" s="74">
        <v>34964</v>
      </c>
      <c r="T6368" s="77">
        <v>0.58333333333333337</v>
      </c>
      <c r="V6368">
        <v>73.039999999999992</v>
      </c>
      <c r="X6368" s="42"/>
      <c r="AB6368">
        <v>72.099999999999994</v>
      </c>
      <c r="AC6368">
        <v>78.98</v>
      </c>
      <c r="AE6368" s="74"/>
      <c r="AF6368" s="77"/>
      <c r="AH6368" s="497">
        <v>62.6</v>
      </c>
      <c r="AJ6368" s="42"/>
      <c r="AK6368" s="74"/>
      <c r="AL6368" s="77"/>
      <c r="AN6368" s="497">
        <v>52.34</v>
      </c>
      <c r="AP6368" s="42"/>
      <c r="AQ6368" s="74"/>
      <c r="AR6368" s="77"/>
      <c r="AT6368" s="497">
        <v>59</v>
      </c>
      <c r="AV6368" s="42"/>
      <c r="AW6368" s="74"/>
      <c r="AX6368" s="77"/>
      <c r="BA6368" s="497">
        <v>60.980000000000004</v>
      </c>
      <c r="BB6368" s="42"/>
      <c r="BC6368" s="74"/>
      <c r="BD6368" s="77"/>
      <c r="BF6368">
        <v>75.02</v>
      </c>
      <c r="BH6368" s="42"/>
      <c r="BI6368" s="74"/>
      <c r="BJ6368" s="77"/>
      <c r="BL6368" s="497">
        <v>55.94</v>
      </c>
      <c r="BN6368" s="42"/>
      <c r="BO6368" s="74"/>
      <c r="BP6368" s="77"/>
      <c r="BR6368" s="497">
        <v>67.099999999999994</v>
      </c>
      <c r="BT6368" s="42"/>
    </row>
    <row r="6369" spans="1:72" x14ac:dyDescent="0.25">
      <c r="A6369" s="90">
        <v>34964</v>
      </c>
      <c r="B6369" s="20">
        <v>0.625</v>
      </c>
      <c r="D6369">
        <v>78.080000000000013</v>
      </c>
      <c r="E6369" t="str">
        <f t="shared" si="234"/>
        <v>WEEKDAY</v>
      </c>
      <c r="F6369" t="e">
        <f t="shared" si="233"/>
        <v>#N/A</v>
      </c>
      <c r="G6369" s="74">
        <v>29120</v>
      </c>
      <c r="H6369" s="77">
        <v>0.625</v>
      </c>
      <c r="J6369">
        <v>66.02</v>
      </c>
      <c r="M6369" s="74">
        <v>37886</v>
      </c>
      <c r="N6369" s="77">
        <v>0.625</v>
      </c>
      <c r="P6369">
        <v>68</v>
      </c>
      <c r="S6369" s="74">
        <v>34964</v>
      </c>
      <c r="T6369" s="77">
        <v>0.625</v>
      </c>
      <c r="V6369">
        <v>71.06</v>
      </c>
      <c r="X6369" s="42"/>
      <c r="AB6369">
        <v>72.3</v>
      </c>
      <c r="AC6369">
        <v>80.06</v>
      </c>
      <c r="AE6369" s="74"/>
      <c r="AF6369" s="77"/>
      <c r="AH6369" s="497">
        <v>60.8</v>
      </c>
      <c r="AJ6369" s="42"/>
      <c r="AK6369" s="74"/>
      <c r="AL6369" s="77"/>
      <c r="AN6369" s="497">
        <v>51.8</v>
      </c>
      <c r="AP6369" s="42"/>
      <c r="AQ6369" s="74"/>
      <c r="AR6369" s="77"/>
      <c r="AT6369" s="497">
        <v>60.08</v>
      </c>
      <c r="AV6369" s="42"/>
      <c r="AW6369" s="74"/>
      <c r="AX6369" s="77"/>
      <c r="BA6369" s="497">
        <v>62.96</v>
      </c>
      <c r="BB6369" s="42"/>
      <c r="BC6369" s="74"/>
      <c r="BD6369" s="77"/>
      <c r="BF6369">
        <v>75.02</v>
      </c>
      <c r="BH6369" s="42"/>
      <c r="BI6369" s="74"/>
      <c r="BJ6369" s="77"/>
      <c r="BL6369" s="497">
        <v>55.94</v>
      </c>
      <c r="BN6369" s="42"/>
      <c r="BO6369" s="74"/>
      <c r="BP6369" s="77"/>
      <c r="BR6369" s="497">
        <v>68</v>
      </c>
      <c r="BT6369" s="42"/>
    </row>
    <row r="6370" spans="1:72" x14ac:dyDescent="0.25">
      <c r="A6370" s="90">
        <v>34964</v>
      </c>
      <c r="B6370" s="20">
        <v>0.66666666666666663</v>
      </c>
      <c r="D6370">
        <v>75.92</v>
      </c>
      <c r="E6370" t="str">
        <f t="shared" si="234"/>
        <v>WEEKDAY</v>
      </c>
      <c r="F6370" t="e">
        <f t="shared" si="233"/>
        <v>#N/A</v>
      </c>
      <c r="G6370" s="74">
        <v>29120</v>
      </c>
      <c r="H6370" s="77">
        <v>0.66666666666666663</v>
      </c>
      <c r="J6370">
        <v>66.02</v>
      </c>
      <c r="M6370" s="74">
        <v>37886</v>
      </c>
      <c r="N6370" s="77">
        <v>0.66666666666666663</v>
      </c>
      <c r="P6370">
        <v>68</v>
      </c>
      <c r="S6370" s="74">
        <v>34964</v>
      </c>
      <c r="T6370" s="77">
        <v>0.66666666666666663</v>
      </c>
      <c r="V6370">
        <v>71.960000000000008</v>
      </c>
      <c r="X6370" s="42"/>
      <c r="AB6370">
        <v>72</v>
      </c>
      <c r="AC6370">
        <v>80.06</v>
      </c>
      <c r="AE6370" s="74"/>
      <c r="AF6370" s="77"/>
      <c r="AH6370" s="497">
        <v>60.8</v>
      </c>
      <c r="AJ6370" s="42"/>
      <c r="AK6370" s="74"/>
      <c r="AL6370" s="77"/>
      <c r="AN6370" s="497">
        <v>51.08</v>
      </c>
      <c r="AP6370" s="42"/>
      <c r="AQ6370" s="74"/>
      <c r="AR6370" s="77"/>
      <c r="AT6370" s="497">
        <v>60.08</v>
      </c>
      <c r="AV6370" s="42"/>
      <c r="AW6370" s="74"/>
      <c r="AX6370" s="77"/>
      <c r="BA6370" s="497">
        <v>62.06</v>
      </c>
      <c r="BB6370" s="42"/>
      <c r="BC6370" s="74"/>
      <c r="BD6370" s="77"/>
      <c r="BF6370">
        <v>75.02</v>
      </c>
      <c r="BH6370" s="42"/>
      <c r="BI6370" s="74"/>
      <c r="BJ6370" s="77"/>
      <c r="BL6370" s="497">
        <v>55.040000000000006</v>
      </c>
      <c r="BN6370" s="42"/>
      <c r="BO6370" s="74"/>
      <c r="BP6370" s="77"/>
      <c r="BR6370" s="497">
        <v>69.080000000000013</v>
      </c>
      <c r="BT6370" s="42"/>
    </row>
    <row r="6371" spans="1:72" x14ac:dyDescent="0.25">
      <c r="A6371" s="90">
        <v>34964</v>
      </c>
      <c r="B6371" s="20">
        <v>0.70833333333333337</v>
      </c>
      <c r="D6371">
        <v>75.02</v>
      </c>
      <c r="E6371" t="str">
        <f t="shared" si="234"/>
        <v>WEEKDAY</v>
      </c>
      <c r="F6371" t="e">
        <f t="shared" si="233"/>
        <v>#N/A</v>
      </c>
      <c r="G6371" s="74">
        <v>29120</v>
      </c>
      <c r="H6371" s="77">
        <v>0.70833333333333337</v>
      </c>
      <c r="J6371">
        <v>64.759999999999991</v>
      </c>
      <c r="M6371" s="74">
        <v>37886</v>
      </c>
      <c r="N6371" s="77">
        <v>0.70833333333333337</v>
      </c>
      <c r="P6371">
        <v>66.2</v>
      </c>
      <c r="S6371" s="74">
        <v>34964</v>
      </c>
      <c r="T6371" s="77">
        <v>0.70833333333333337</v>
      </c>
      <c r="V6371">
        <v>73.039999999999992</v>
      </c>
      <c r="X6371" s="42"/>
      <c r="AB6371">
        <v>71.2</v>
      </c>
      <c r="AC6371">
        <v>78.080000000000013</v>
      </c>
      <c r="AE6371" s="74"/>
      <c r="AF6371" s="77"/>
      <c r="AH6371" s="497">
        <v>60.8</v>
      </c>
      <c r="AJ6371" s="42"/>
      <c r="AK6371" s="74"/>
      <c r="AL6371" s="77"/>
      <c r="AN6371" s="497">
        <v>50</v>
      </c>
      <c r="AP6371" s="42"/>
      <c r="AQ6371" s="74"/>
      <c r="AR6371" s="77"/>
      <c r="AT6371" s="497">
        <v>60.08</v>
      </c>
      <c r="AV6371" s="42"/>
      <c r="AW6371" s="74"/>
      <c r="AX6371" s="77"/>
      <c r="BA6371" s="497">
        <v>57.92</v>
      </c>
      <c r="BB6371" s="42"/>
      <c r="BC6371" s="74"/>
      <c r="BD6371" s="77"/>
      <c r="BF6371">
        <v>73.94</v>
      </c>
      <c r="BH6371" s="42"/>
      <c r="BI6371" s="74"/>
      <c r="BJ6371" s="77"/>
      <c r="BL6371" s="497">
        <v>53.06</v>
      </c>
      <c r="BN6371" s="42"/>
      <c r="BO6371" s="74"/>
      <c r="BP6371" s="77"/>
      <c r="BR6371" s="497">
        <v>67.460000000000008</v>
      </c>
      <c r="BT6371" s="42"/>
    </row>
    <row r="6372" spans="1:72" x14ac:dyDescent="0.25">
      <c r="A6372" s="90">
        <v>34964</v>
      </c>
      <c r="B6372" s="20">
        <v>0.75</v>
      </c>
      <c r="D6372">
        <v>73.039999999999992</v>
      </c>
      <c r="E6372" t="str">
        <f t="shared" si="234"/>
        <v>WEEKDAY</v>
      </c>
      <c r="F6372" t="e">
        <f t="shared" si="233"/>
        <v>#N/A</v>
      </c>
      <c r="G6372" s="74">
        <v>29120</v>
      </c>
      <c r="H6372" s="77">
        <v>0.75</v>
      </c>
      <c r="J6372">
        <v>63.319999999999993</v>
      </c>
      <c r="M6372" s="74">
        <v>37886</v>
      </c>
      <c r="N6372" s="77">
        <v>0.75</v>
      </c>
      <c r="P6372">
        <v>66.2</v>
      </c>
      <c r="S6372" s="74">
        <v>34964</v>
      </c>
      <c r="T6372" s="77">
        <v>0.75</v>
      </c>
      <c r="V6372">
        <v>71.960000000000008</v>
      </c>
      <c r="X6372" s="42"/>
      <c r="AB6372">
        <v>69.900000000000006</v>
      </c>
      <c r="AC6372">
        <v>73.94</v>
      </c>
      <c r="AE6372" s="74"/>
      <c r="AF6372" s="77"/>
      <c r="AH6372" s="497">
        <v>59</v>
      </c>
      <c r="AJ6372" s="42"/>
      <c r="AK6372" s="74"/>
      <c r="AL6372" s="77"/>
      <c r="AN6372" s="497">
        <v>49.1</v>
      </c>
      <c r="AP6372" s="42"/>
      <c r="AQ6372" s="74"/>
      <c r="AR6372" s="77"/>
      <c r="AT6372" s="497">
        <v>60.08</v>
      </c>
      <c r="AV6372" s="42"/>
      <c r="AW6372" s="74"/>
      <c r="AX6372" s="77"/>
      <c r="BA6372" s="497">
        <v>55.94</v>
      </c>
      <c r="BB6372" s="42"/>
      <c r="BC6372" s="74"/>
      <c r="BD6372" s="77"/>
      <c r="BF6372">
        <v>69.98</v>
      </c>
      <c r="BH6372" s="42"/>
      <c r="BI6372" s="74"/>
      <c r="BJ6372" s="77"/>
      <c r="BL6372" s="497">
        <v>53.96</v>
      </c>
      <c r="BN6372" s="42"/>
      <c r="BO6372" s="74"/>
      <c r="BP6372" s="77"/>
      <c r="BR6372" s="497">
        <v>65.66</v>
      </c>
      <c r="BT6372" s="42"/>
    </row>
    <row r="6373" spans="1:72" x14ac:dyDescent="0.25">
      <c r="A6373" s="90">
        <v>34964</v>
      </c>
      <c r="B6373" s="20">
        <v>0.79166666666666663</v>
      </c>
      <c r="D6373">
        <v>71.960000000000008</v>
      </c>
      <c r="E6373" t="str">
        <f t="shared" si="234"/>
        <v>WEEKDAY</v>
      </c>
      <c r="F6373" t="e">
        <f t="shared" si="233"/>
        <v>#N/A</v>
      </c>
      <c r="G6373" s="74">
        <v>29120</v>
      </c>
      <c r="H6373" s="77">
        <v>0.79166666666666663</v>
      </c>
      <c r="J6373">
        <v>62.06</v>
      </c>
      <c r="M6373" s="74">
        <v>37886</v>
      </c>
      <c r="N6373" s="77">
        <v>0.79166666666666663</v>
      </c>
      <c r="P6373">
        <v>66.2</v>
      </c>
      <c r="S6373" s="74">
        <v>34964</v>
      </c>
      <c r="T6373" s="77">
        <v>0.79166666666666663</v>
      </c>
      <c r="V6373">
        <v>68</v>
      </c>
      <c r="X6373" s="42"/>
      <c r="AB6373">
        <v>68.2</v>
      </c>
      <c r="AC6373">
        <v>71.06</v>
      </c>
      <c r="AE6373" s="74"/>
      <c r="AF6373" s="77"/>
      <c r="AH6373" s="497">
        <v>60.8</v>
      </c>
      <c r="AJ6373" s="42"/>
      <c r="AK6373" s="74"/>
      <c r="AL6373" s="77"/>
      <c r="AN6373" s="497">
        <v>48.019999999999996</v>
      </c>
      <c r="AP6373" s="42"/>
      <c r="AQ6373" s="74"/>
      <c r="AR6373" s="77"/>
      <c r="AT6373" s="497">
        <v>60.08</v>
      </c>
      <c r="AV6373" s="42"/>
      <c r="AW6373" s="74"/>
      <c r="AX6373" s="77"/>
      <c r="BA6373" s="497">
        <v>53.06</v>
      </c>
      <c r="BB6373" s="42"/>
      <c r="BC6373" s="74"/>
      <c r="BD6373" s="77"/>
      <c r="BF6373">
        <v>66.02</v>
      </c>
      <c r="BH6373" s="42"/>
      <c r="BI6373" s="74"/>
      <c r="BJ6373" s="77"/>
      <c r="BL6373" s="497">
        <v>53.06</v>
      </c>
      <c r="BN6373" s="42"/>
      <c r="BO6373" s="74"/>
      <c r="BP6373" s="77"/>
      <c r="BR6373" s="497">
        <v>64.039999999999992</v>
      </c>
      <c r="BT6373" s="42"/>
    </row>
    <row r="6374" spans="1:72" x14ac:dyDescent="0.25">
      <c r="A6374" s="90">
        <v>34964</v>
      </c>
      <c r="B6374" s="20">
        <v>0.83333333333333337</v>
      </c>
      <c r="D6374">
        <v>71.960000000000008</v>
      </c>
      <c r="E6374" t="str">
        <f t="shared" si="234"/>
        <v>WEEKDAY</v>
      </c>
      <c r="F6374" t="e">
        <f t="shared" si="233"/>
        <v>#N/A</v>
      </c>
      <c r="G6374" s="74">
        <v>29120</v>
      </c>
      <c r="H6374" s="77">
        <v>0.83333333333333337</v>
      </c>
      <c r="J6374">
        <v>62.06</v>
      </c>
      <c r="M6374" s="74">
        <v>37886</v>
      </c>
      <c r="N6374" s="77">
        <v>0.83333333333333337</v>
      </c>
      <c r="P6374">
        <v>64.400000000000006</v>
      </c>
      <c r="S6374" s="74">
        <v>34964</v>
      </c>
      <c r="T6374" s="77">
        <v>0.83333333333333337</v>
      </c>
      <c r="V6374">
        <v>68</v>
      </c>
      <c r="X6374" s="42"/>
      <c r="AB6374">
        <v>67.2</v>
      </c>
      <c r="AC6374">
        <v>69.080000000000013</v>
      </c>
      <c r="AE6374" s="74"/>
      <c r="AF6374" s="77"/>
      <c r="AH6374" s="497">
        <v>59</v>
      </c>
      <c r="AJ6374" s="42"/>
      <c r="AK6374" s="74"/>
      <c r="AL6374" s="77"/>
      <c r="AN6374" s="497">
        <v>46.76</v>
      </c>
      <c r="AP6374" s="42"/>
      <c r="AQ6374" s="74"/>
      <c r="AR6374" s="77"/>
      <c r="AT6374" s="497">
        <v>60.08</v>
      </c>
      <c r="AV6374" s="42"/>
      <c r="AW6374" s="74"/>
      <c r="AX6374" s="77"/>
      <c r="BA6374" s="497">
        <v>51.980000000000004</v>
      </c>
      <c r="BB6374" s="42"/>
      <c r="BC6374" s="74"/>
      <c r="BD6374" s="77"/>
      <c r="BF6374">
        <v>62.96</v>
      </c>
      <c r="BH6374" s="42"/>
      <c r="BI6374" s="74"/>
      <c r="BJ6374" s="77"/>
      <c r="BL6374" s="497">
        <v>53.06</v>
      </c>
      <c r="BN6374" s="42"/>
      <c r="BO6374" s="74"/>
      <c r="BP6374" s="77"/>
      <c r="BR6374" s="497">
        <v>63.319999999999993</v>
      </c>
      <c r="BT6374" s="42"/>
    </row>
    <row r="6375" spans="1:72" x14ac:dyDescent="0.25">
      <c r="A6375" s="90">
        <v>34964</v>
      </c>
      <c r="B6375" s="20">
        <v>0.875</v>
      </c>
      <c r="D6375">
        <v>71.960000000000008</v>
      </c>
      <c r="E6375" t="str">
        <f t="shared" si="234"/>
        <v>WEEKDAY</v>
      </c>
      <c r="F6375" t="e">
        <f t="shared" si="233"/>
        <v>#N/A</v>
      </c>
      <c r="G6375" s="74">
        <v>29120</v>
      </c>
      <c r="H6375" s="77">
        <v>0.875</v>
      </c>
      <c r="J6375">
        <v>62.06</v>
      </c>
      <c r="M6375" s="74">
        <v>37886</v>
      </c>
      <c r="N6375" s="77">
        <v>0.875</v>
      </c>
      <c r="P6375">
        <v>66.2</v>
      </c>
      <c r="S6375" s="74">
        <v>34964</v>
      </c>
      <c r="T6375" s="77">
        <v>0.875</v>
      </c>
      <c r="V6375">
        <v>66.02</v>
      </c>
      <c r="X6375" s="42"/>
      <c r="AB6375">
        <v>66.5</v>
      </c>
      <c r="AC6375">
        <v>68</v>
      </c>
      <c r="AE6375" s="74"/>
      <c r="AF6375" s="77"/>
      <c r="AH6375" s="497">
        <v>57.74</v>
      </c>
      <c r="AJ6375" s="42"/>
      <c r="AK6375" s="74"/>
      <c r="AL6375" s="77"/>
      <c r="AN6375" s="497">
        <v>45.32</v>
      </c>
      <c r="AP6375" s="42"/>
      <c r="AQ6375" s="74"/>
      <c r="AR6375" s="77"/>
      <c r="AT6375" s="497">
        <v>59</v>
      </c>
      <c r="AV6375" s="42"/>
      <c r="AW6375" s="74"/>
      <c r="AX6375" s="77"/>
      <c r="BA6375" s="497">
        <v>51.980000000000004</v>
      </c>
      <c r="BB6375" s="42"/>
      <c r="BC6375" s="74"/>
      <c r="BD6375" s="77"/>
      <c r="BF6375">
        <v>60.980000000000004</v>
      </c>
      <c r="BH6375" s="42"/>
      <c r="BI6375" s="74"/>
      <c r="BJ6375" s="77"/>
      <c r="BL6375" s="497">
        <v>50</v>
      </c>
      <c r="BN6375" s="42"/>
      <c r="BO6375" s="74"/>
      <c r="BP6375" s="77"/>
      <c r="BR6375" s="497">
        <v>62.78</v>
      </c>
      <c r="BT6375" s="42"/>
    </row>
    <row r="6376" spans="1:72" x14ac:dyDescent="0.25">
      <c r="A6376" s="90">
        <v>34964</v>
      </c>
      <c r="B6376" s="20">
        <v>0.91666666666666663</v>
      </c>
      <c r="D6376">
        <v>71.960000000000008</v>
      </c>
      <c r="E6376" t="str">
        <f t="shared" si="234"/>
        <v>WEEKDAY</v>
      </c>
      <c r="F6376" t="e">
        <f t="shared" si="233"/>
        <v>#N/A</v>
      </c>
      <c r="G6376" s="74">
        <v>29120</v>
      </c>
      <c r="H6376" s="77">
        <v>0.91666666666666663</v>
      </c>
      <c r="J6376">
        <v>62.06</v>
      </c>
      <c r="M6376" s="74">
        <v>37886</v>
      </c>
      <c r="N6376" s="77">
        <v>0.91666666666666663</v>
      </c>
      <c r="P6376">
        <v>66.2</v>
      </c>
      <c r="S6376" s="74">
        <v>34964</v>
      </c>
      <c r="T6376" s="77">
        <v>0.91666666666666663</v>
      </c>
      <c r="V6376">
        <v>64.94</v>
      </c>
      <c r="X6376" s="42"/>
      <c r="AB6376">
        <v>65.8</v>
      </c>
      <c r="AC6376">
        <v>66.92</v>
      </c>
      <c r="AE6376" s="74"/>
      <c r="AF6376" s="77"/>
      <c r="AH6376" s="497">
        <v>57.2</v>
      </c>
      <c r="AJ6376" s="42"/>
      <c r="AK6376" s="74"/>
      <c r="AL6376" s="77"/>
      <c r="AN6376" s="497">
        <v>44.06</v>
      </c>
      <c r="AP6376" s="42"/>
      <c r="AQ6376" s="74"/>
      <c r="AR6376" s="77"/>
      <c r="AT6376" s="497">
        <v>60.08</v>
      </c>
      <c r="AV6376" s="42"/>
      <c r="AW6376" s="74"/>
      <c r="AX6376" s="77"/>
      <c r="BA6376" s="497">
        <v>53.96</v>
      </c>
      <c r="BB6376" s="42"/>
      <c r="BC6376" s="74"/>
      <c r="BD6376" s="77"/>
      <c r="BF6376">
        <v>60.08</v>
      </c>
      <c r="BH6376" s="42"/>
      <c r="BI6376" s="74"/>
      <c r="BJ6376" s="77"/>
      <c r="BL6376" s="497">
        <v>50</v>
      </c>
      <c r="BN6376" s="42"/>
      <c r="BO6376" s="74"/>
      <c r="BP6376" s="77"/>
      <c r="BR6376" s="497">
        <v>62.06</v>
      </c>
      <c r="BT6376" s="42"/>
    </row>
    <row r="6377" spans="1:72" x14ac:dyDescent="0.25">
      <c r="A6377" s="90">
        <v>34964</v>
      </c>
      <c r="B6377" s="20">
        <v>0.95833333333333337</v>
      </c>
      <c r="D6377">
        <v>71.960000000000008</v>
      </c>
      <c r="E6377" t="str">
        <f t="shared" si="234"/>
        <v>WEEKDAY</v>
      </c>
      <c r="F6377" t="e">
        <f t="shared" si="233"/>
        <v>#N/A</v>
      </c>
      <c r="G6377" s="74">
        <v>29120</v>
      </c>
      <c r="H6377" s="77">
        <v>0.95833333333333337</v>
      </c>
      <c r="J6377">
        <v>61.34</v>
      </c>
      <c r="M6377" s="74">
        <v>37886</v>
      </c>
      <c r="N6377" s="77">
        <v>0.95833333333333337</v>
      </c>
      <c r="P6377">
        <v>66.2</v>
      </c>
      <c r="S6377" s="74">
        <v>34964</v>
      </c>
      <c r="T6377" s="77">
        <v>0.95833333333333337</v>
      </c>
      <c r="V6377">
        <v>62.96</v>
      </c>
      <c r="X6377" s="42"/>
      <c r="AB6377">
        <v>65.099999999999994</v>
      </c>
      <c r="AC6377">
        <v>66.02</v>
      </c>
      <c r="AE6377" s="74"/>
      <c r="AF6377" s="77"/>
      <c r="AH6377" s="497">
        <v>59</v>
      </c>
      <c r="AJ6377" s="42"/>
      <c r="AK6377" s="74"/>
      <c r="AL6377" s="77"/>
      <c r="AN6377" s="497">
        <v>42.620000000000005</v>
      </c>
      <c r="AP6377" s="42"/>
      <c r="AQ6377" s="74"/>
      <c r="AR6377" s="77"/>
      <c r="AT6377" s="497">
        <v>53.96</v>
      </c>
      <c r="AV6377" s="42"/>
      <c r="AW6377" s="74"/>
      <c r="AX6377" s="77"/>
      <c r="BA6377" s="497">
        <v>53.96</v>
      </c>
      <c r="BB6377" s="42"/>
      <c r="BC6377" s="74"/>
      <c r="BD6377" s="77"/>
      <c r="BF6377">
        <v>57.92</v>
      </c>
      <c r="BH6377" s="42"/>
      <c r="BI6377" s="74"/>
      <c r="BJ6377" s="77"/>
      <c r="BL6377" s="497">
        <v>48.92</v>
      </c>
      <c r="BN6377" s="42"/>
      <c r="BO6377" s="74"/>
      <c r="BP6377" s="77"/>
      <c r="BR6377" s="497">
        <v>62.42</v>
      </c>
      <c r="BT6377" s="42"/>
    </row>
    <row r="6378" spans="1:72" x14ac:dyDescent="0.25">
      <c r="A6378" s="90">
        <v>34964</v>
      </c>
      <c r="B6378" s="20">
        <v>1</v>
      </c>
      <c r="D6378">
        <v>71.06</v>
      </c>
      <c r="E6378" t="str">
        <f t="shared" si="234"/>
        <v>WEEKDAY</v>
      </c>
      <c r="F6378" t="e">
        <f t="shared" si="233"/>
        <v>#N/A</v>
      </c>
      <c r="G6378" s="74">
        <v>29120</v>
      </c>
      <c r="H6378" s="77">
        <v>1</v>
      </c>
      <c r="J6378">
        <v>60.8</v>
      </c>
      <c r="M6378" s="74">
        <v>37886</v>
      </c>
      <c r="N6378" s="80">
        <v>1</v>
      </c>
      <c r="P6378">
        <v>66.2</v>
      </c>
      <c r="S6378" s="74">
        <v>34964</v>
      </c>
      <c r="T6378" s="80">
        <v>1</v>
      </c>
      <c r="V6378">
        <v>60.980000000000004</v>
      </c>
      <c r="X6378" s="42"/>
      <c r="AB6378">
        <v>64.5</v>
      </c>
      <c r="AC6378">
        <v>64.94</v>
      </c>
      <c r="AE6378" s="74"/>
      <c r="AF6378" s="80"/>
      <c r="AH6378" s="497">
        <v>57.2</v>
      </c>
      <c r="AJ6378" s="42"/>
      <c r="AK6378" s="74"/>
      <c r="AL6378" s="80"/>
      <c r="AN6378" s="497">
        <v>41.36</v>
      </c>
      <c r="AP6378" s="42"/>
      <c r="AQ6378" s="74"/>
      <c r="AR6378" s="80"/>
      <c r="AT6378" s="497">
        <v>51.08</v>
      </c>
      <c r="AV6378" s="42"/>
      <c r="AW6378" s="74"/>
      <c r="AX6378" s="80"/>
      <c r="BA6378" s="497">
        <v>51.980000000000004</v>
      </c>
      <c r="BB6378" s="42"/>
      <c r="BC6378" s="74"/>
      <c r="BD6378" s="80"/>
      <c r="BF6378">
        <v>60.08</v>
      </c>
      <c r="BH6378" s="42"/>
      <c r="BI6378" s="74"/>
      <c r="BJ6378" s="80"/>
      <c r="BL6378" s="497">
        <v>48.019999999999996</v>
      </c>
      <c r="BN6378" s="42"/>
      <c r="BO6378" s="74"/>
      <c r="BP6378" s="80"/>
      <c r="BR6378" s="497">
        <v>62.6</v>
      </c>
      <c r="BT6378" s="42"/>
    </row>
    <row r="6379" spans="1:72" x14ac:dyDescent="0.25">
      <c r="A6379" s="90">
        <v>34965</v>
      </c>
      <c r="B6379" s="20">
        <v>4.1666666666666664E-2</v>
      </c>
      <c r="D6379">
        <v>71.06</v>
      </c>
      <c r="E6379" t="str">
        <f t="shared" si="234"/>
        <v>SATURDAY</v>
      </c>
      <c r="F6379" t="e">
        <f t="shared" ref="F6379:F6442" si="235">IF(E6379="WEEKDAY",VLOOKUP(B6379,$DD$19:$DG$42,2),IF(E6379="SATURDAY",VLOOKUP(B6379,$DD$19:$DG$42,3),VLOOKUP(B6379,$DD$19:$DG$42,4)))</f>
        <v>#N/A</v>
      </c>
      <c r="G6379" s="74">
        <v>29121</v>
      </c>
      <c r="H6379" s="77">
        <v>4.1666666666666664E-2</v>
      </c>
      <c r="J6379">
        <v>60.08</v>
      </c>
      <c r="M6379" s="74">
        <v>37887</v>
      </c>
      <c r="N6379" s="77">
        <v>4.1666666666666664E-2</v>
      </c>
      <c r="P6379">
        <v>66.2</v>
      </c>
      <c r="S6379" s="74">
        <v>34965</v>
      </c>
      <c r="T6379" s="77">
        <v>4.1666666666666664E-2</v>
      </c>
      <c r="V6379">
        <v>60.08</v>
      </c>
      <c r="X6379" s="42"/>
      <c r="AB6379">
        <v>63.8</v>
      </c>
      <c r="AC6379">
        <v>66.02</v>
      </c>
      <c r="AE6379" s="74"/>
      <c r="AF6379" s="77"/>
      <c r="AH6379" s="497">
        <v>55.400000000000006</v>
      </c>
      <c r="AJ6379" s="42"/>
      <c r="AK6379" s="74"/>
      <c r="AL6379" s="77"/>
      <c r="AN6379" s="497">
        <v>39.92</v>
      </c>
      <c r="AP6379" s="42"/>
      <c r="AQ6379" s="74"/>
      <c r="AR6379" s="77"/>
      <c r="AT6379" s="497">
        <v>48.92</v>
      </c>
      <c r="AV6379" s="42"/>
      <c r="AW6379" s="74"/>
      <c r="AX6379" s="77"/>
      <c r="BA6379" s="497">
        <v>51.980000000000004</v>
      </c>
      <c r="BB6379" s="42"/>
      <c r="BC6379" s="74"/>
      <c r="BD6379" s="77"/>
      <c r="BF6379">
        <v>57.92</v>
      </c>
      <c r="BH6379" s="42"/>
      <c r="BI6379" s="74"/>
      <c r="BJ6379" s="77"/>
      <c r="BL6379" s="497">
        <v>46.94</v>
      </c>
      <c r="BN6379" s="42"/>
      <c r="BO6379" s="74"/>
      <c r="BP6379" s="77"/>
      <c r="BR6379" s="497">
        <v>62.96</v>
      </c>
      <c r="BT6379" s="42"/>
    </row>
    <row r="6380" spans="1:72" x14ac:dyDescent="0.25">
      <c r="A6380" s="90">
        <v>34965</v>
      </c>
      <c r="B6380" s="20">
        <v>8.3333333333333329E-2</v>
      </c>
      <c r="D6380">
        <v>69.98</v>
      </c>
      <c r="E6380" t="str">
        <f t="shared" si="234"/>
        <v>SATURDAY</v>
      </c>
      <c r="F6380" t="e">
        <f t="shared" si="235"/>
        <v>#N/A</v>
      </c>
      <c r="G6380" s="74">
        <v>29121</v>
      </c>
      <c r="H6380" s="77">
        <v>8.3333333333333329E-2</v>
      </c>
      <c r="J6380">
        <v>59</v>
      </c>
      <c r="M6380" s="74">
        <v>37887</v>
      </c>
      <c r="N6380" s="77">
        <v>8.3333333333333329E-2</v>
      </c>
      <c r="P6380">
        <v>66.2</v>
      </c>
      <c r="S6380" s="74">
        <v>34965</v>
      </c>
      <c r="T6380" s="77">
        <v>8.3333333333333329E-2</v>
      </c>
      <c r="V6380">
        <v>59</v>
      </c>
      <c r="X6380" s="42"/>
      <c r="AB6380">
        <v>63.2</v>
      </c>
      <c r="AC6380">
        <v>66.02</v>
      </c>
      <c r="AE6380" s="74"/>
      <c r="AF6380" s="77"/>
      <c r="AH6380" s="497">
        <v>55.400000000000006</v>
      </c>
      <c r="AJ6380" s="42"/>
      <c r="AK6380" s="74"/>
      <c r="AL6380" s="77"/>
      <c r="AN6380" s="497">
        <v>39.200000000000003</v>
      </c>
      <c r="AP6380" s="42"/>
      <c r="AQ6380" s="74"/>
      <c r="AR6380" s="77"/>
      <c r="AT6380" s="497">
        <v>46.04</v>
      </c>
      <c r="AV6380" s="42"/>
      <c r="AW6380" s="74"/>
      <c r="AX6380" s="77"/>
      <c r="BA6380" s="497">
        <v>51.08</v>
      </c>
      <c r="BB6380" s="42"/>
      <c r="BC6380" s="74"/>
      <c r="BD6380" s="77"/>
      <c r="BF6380">
        <v>57.92</v>
      </c>
      <c r="BH6380" s="42"/>
      <c r="BI6380" s="74"/>
      <c r="BJ6380" s="77"/>
      <c r="BL6380" s="497">
        <v>44.96</v>
      </c>
      <c r="BN6380" s="42"/>
      <c r="BO6380" s="74"/>
      <c r="BP6380" s="77"/>
      <c r="BR6380" s="497">
        <v>63.319999999999993</v>
      </c>
      <c r="BT6380" s="42"/>
    </row>
    <row r="6381" spans="1:72" x14ac:dyDescent="0.25">
      <c r="A6381" s="90">
        <v>34965</v>
      </c>
      <c r="B6381" s="20">
        <v>0.125</v>
      </c>
      <c r="D6381">
        <v>69.98</v>
      </c>
      <c r="E6381" t="str">
        <f t="shared" si="234"/>
        <v>SATURDAY</v>
      </c>
      <c r="F6381" t="e">
        <f t="shared" si="235"/>
        <v>#N/A</v>
      </c>
      <c r="G6381" s="74">
        <v>29121</v>
      </c>
      <c r="H6381" s="77">
        <v>0.125</v>
      </c>
      <c r="J6381">
        <v>58.1</v>
      </c>
      <c r="M6381" s="74">
        <v>37887</v>
      </c>
      <c r="N6381" s="77">
        <v>0.125</v>
      </c>
      <c r="P6381">
        <v>68</v>
      </c>
      <c r="S6381" s="74">
        <v>34965</v>
      </c>
      <c r="T6381" s="77">
        <v>0.125</v>
      </c>
      <c r="V6381">
        <v>57.92</v>
      </c>
      <c r="X6381" s="42"/>
      <c r="AB6381">
        <v>62.6</v>
      </c>
      <c r="AC6381">
        <v>64.94</v>
      </c>
      <c r="AE6381" s="74"/>
      <c r="AF6381" s="77"/>
      <c r="AH6381" s="497">
        <v>55.400000000000006</v>
      </c>
      <c r="AJ6381" s="42"/>
      <c r="AK6381" s="74"/>
      <c r="AL6381" s="77"/>
      <c r="AN6381" s="497">
        <v>38.659999999999997</v>
      </c>
      <c r="AP6381" s="42"/>
      <c r="AQ6381" s="74"/>
      <c r="AR6381" s="77"/>
      <c r="AT6381" s="497">
        <v>44.06</v>
      </c>
      <c r="AV6381" s="42"/>
      <c r="AW6381" s="74"/>
      <c r="AX6381" s="77"/>
      <c r="BA6381" s="497">
        <v>51.08</v>
      </c>
      <c r="BB6381" s="42"/>
      <c r="BC6381" s="74"/>
      <c r="BD6381" s="77"/>
      <c r="BF6381">
        <v>57.019999999999996</v>
      </c>
      <c r="BH6381" s="42"/>
      <c r="BI6381" s="74"/>
      <c r="BJ6381" s="77"/>
      <c r="BL6381" s="497">
        <v>44.96</v>
      </c>
      <c r="BN6381" s="42"/>
      <c r="BO6381" s="74"/>
      <c r="BP6381" s="77"/>
      <c r="BR6381" s="497">
        <v>63.680000000000007</v>
      </c>
      <c r="BT6381" s="42"/>
    </row>
    <row r="6382" spans="1:72" x14ac:dyDescent="0.25">
      <c r="A6382" s="90">
        <v>34965</v>
      </c>
      <c r="B6382" s="20">
        <v>0.16666666666666666</v>
      </c>
      <c r="D6382">
        <v>69.080000000000013</v>
      </c>
      <c r="E6382" t="str">
        <f t="shared" si="234"/>
        <v>SATURDAY</v>
      </c>
      <c r="F6382" t="e">
        <f t="shared" si="235"/>
        <v>#N/A</v>
      </c>
      <c r="G6382" s="74">
        <v>29121</v>
      </c>
      <c r="H6382" s="77">
        <v>0.16666666666666666</v>
      </c>
      <c r="J6382">
        <v>57.019999999999996</v>
      </c>
      <c r="M6382" s="74">
        <v>37887</v>
      </c>
      <c r="N6382" s="77">
        <v>0.16666666666666666</v>
      </c>
      <c r="P6382">
        <v>69.800000000000011</v>
      </c>
      <c r="S6382" s="74">
        <v>34965</v>
      </c>
      <c r="T6382" s="77">
        <v>0.16666666666666666</v>
      </c>
      <c r="V6382">
        <v>57.92</v>
      </c>
      <c r="X6382" s="42"/>
      <c r="AB6382">
        <v>62.2</v>
      </c>
      <c r="AC6382">
        <v>64.94</v>
      </c>
      <c r="AE6382" s="74"/>
      <c r="AF6382" s="77"/>
      <c r="AH6382" s="497">
        <v>55.22</v>
      </c>
      <c r="AJ6382" s="42"/>
      <c r="AK6382" s="74"/>
      <c r="AL6382" s="77"/>
      <c r="AN6382" s="497">
        <v>37.94</v>
      </c>
      <c r="AP6382" s="42"/>
      <c r="AQ6382" s="74"/>
      <c r="AR6382" s="77"/>
      <c r="AT6382" s="497">
        <v>46.04</v>
      </c>
      <c r="AV6382" s="42"/>
      <c r="AW6382" s="74"/>
      <c r="AX6382" s="77"/>
      <c r="BA6382" s="497">
        <v>51.980000000000004</v>
      </c>
      <c r="BB6382" s="42"/>
      <c r="BC6382" s="74"/>
      <c r="BD6382" s="77"/>
      <c r="BF6382">
        <v>57.019999999999996</v>
      </c>
      <c r="BH6382" s="42"/>
      <c r="BI6382" s="74"/>
      <c r="BJ6382" s="77"/>
      <c r="BL6382" s="497">
        <v>44.06</v>
      </c>
      <c r="BN6382" s="42"/>
      <c r="BO6382" s="74"/>
      <c r="BP6382" s="77"/>
      <c r="BR6382" s="497">
        <v>64.039999999999992</v>
      </c>
      <c r="BT6382" s="42"/>
    </row>
    <row r="6383" spans="1:72" x14ac:dyDescent="0.25">
      <c r="A6383" s="90">
        <v>34965</v>
      </c>
      <c r="B6383" s="20">
        <v>0.20833333333333334</v>
      </c>
      <c r="D6383">
        <v>66.02</v>
      </c>
      <c r="E6383" t="str">
        <f t="shared" si="234"/>
        <v>SATURDAY</v>
      </c>
      <c r="F6383" t="e">
        <f t="shared" si="235"/>
        <v>#N/A</v>
      </c>
      <c r="G6383" s="74">
        <v>29121</v>
      </c>
      <c r="H6383" s="77">
        <v>0.20833333333333334</v>
      </c>
      <c r="J6383">
        <v>56.3</v>
      </c>
      <c r="M6383" s="74">
        <v>37887</v>
      </c>
      <c r="N6383" s="77">
        <v>0.20833333333333334</v>
      </c>
      <c r="P6383">
        <v>69.800000000000011</v>
      </c>
      <c r="S6383" s="74">
        <v>34965</v>
      </c>
      <c r="T6383" s="77">
        <v>0.20833333333333334</v>
      </c>
      <c r="V6383">
        <v>57.019999999999996</v>
      </c>
      <c r="X6383" s="42"/>
      <c r="AB6383">
        <v>61.8</v>
      </c>
      <c r="AC6383">
        <v>64.94</v>
      </c>
      <c r="AE6383" s="74"/>
      <c r="AF6383" s="77"/>
      <c r="AH6383" s="497">
        <v>55.400000000000006</v>
      </c>
      <c r="AJ6383" s="42"/>
      <c r="AK6383" s="74"/>
      <c r="AL6383" s="77"/>
      <c r="AN6383" s="497">
        <v>39.92</v>
      </c>
      <c r="AP6383" s="42"/>
      <c r="AQ6383" s="74"/>
      <c r="AR6383" s="77"/>
      <c r="AT6383" s="497">
        <v>46.04</v>
      </c>
      <c r="AV6383" s="42"/>
      <c r="AW6383" s="74"/>
      <c r="AX6383" s="77"/>
      <c r="BA6383" s="497">
        <v>53.6</v>
      </c>
      <c r="BB6383" s="42"/>
      <c r="BC6383" s="74"/>
      <c r="BD6383" s="77"/>
      <c r="BF6383">
        <v>55.94</v>
      </c>
      <c r="BH6383" s="42"/>
      <c r="BI6383" s="74"/>
      <c r="BJ6383" s="77"/>
      <c r="BL6383" s="497">
        <v>42.08</v>
      </c>
      <c r="BN6383" s="42"/>
      <c r="BO6383" s="74"/>
      <c r="BP6383" s="77"/>
      <c r="BR6383" s="497">
        <v>62.96</v>
      </c>
      <c r="BT6383" s="42"/>
    </row>
    <row r="6384" spans="1:72" x14ac:dyDescent="0.25">
      <c r="A6384" s="90">
        <v>34965</v>
      </c>
      <c r="B6384" s="20">
        <v>0.25</v>
      </c>
      <c r="D6384">
        <v>64.94</v>
      </c>
      <c r="E6384" t="str">
        <f t="shared" si="234"/>
        <v>SATURDAY</v>
      </c>
      <c r="F6384" t="e">
        <f t="shared" si="235"/>
        <v>#N/A</v>
      </c>
      <c r="G6384" s="74">
        <v>29121</v>
      </c>
      <c r="H6384" s="77">
        <v>0.25</v>
      </c>
      <c r="J6384">
        <v>55.76</v>
      </c>
      <c r="M6384" s="74">
        <v>37887</v>
      </c>
      <c r="N6384" s="77">
        <v>0.25</v>
      </c>
      <c r="P6384">
        <v>69.800000000000011</v>
      </c>
      <c r="S6384" s="74">
        <v>34965</v>
      </c>
      <c r="T6384" s="77">
        <v>0.25</v>
      </c>
      <c r="V6384">
        <v>55.94</v>
      </c>
      <c r="X6384" s="42"/>
      <c r="AB6384">
        <v>61.6</v>
      </c>
      <c r="AC6384">
        <v>64.039999999999992</v>
      </c>
      <c r="AE6384" s="74"/>
      <c r="AF6384" s="77"/>
      <c r="AH6384" s="497">
        <v>55.400000000000006</v>
      </c>
      <c r="AJ6384" s="42"/>
      <c r="AK6384" s="74"/>
      <c r="AL6384" s="77"/>
      <c r="AN6384" s="497">
        <v>42.08</v>
      </c>
      <c r="AP6384" s="42"/>
      <c r="AQ6384" s="74"/>
      <c r="AR6384" s="77"/>
      <c r="AT6384" s="497">
        <v>44.06</v>
      </c>
      <c r="AV6384" s="42"/>
      <c r="AW6384" s="74"/>
      <c r="AX6384" s="77"/>
      <c r="BA6384" s="497">
        <v>53.06</v>
      </c>
      <c r="BB6384" s="42"/>
      <c r="BC6384" s="74"/>
      <c r="BD6384" s="77"/>
      <c r="BF6384">
        <v>55.040000000000006</v>
      </c>
      <c r="BH6384" s="42"/>
      <c r="BI6384" s="74"/>
      <c r="BJ6384" s="77"/>
      <c r="BL6384" s="497">
        <v>44.06</v>
      </c>
      <c r="BN6384" s="42"/>
      <c r="BO6384" s="74"/>
      <c r="BP6384" s="77"/>
      <c r="BR6384" s="497">
        <v>62.06</v>
      </c>
      <c r="BT6384" s="42"/>
    </row>
    <row r="6385" spans="1:72" x14ac:dyDescent="0.25">
      <c r="A6385" s="90">
        <v>34965</v>
      </c>
      <c r="B6385" s="20">
        <v>0.29166666666666669</v>
      </c>
      <c r="D6385">
        <v>64.94</v>
      </c>
      <c r="E6385" t="str">
        <f t="shared" si="234"/>
        <v>SATURDAY</v>
      </c>
      <c r="F6385" t="e">
        <f t="shared" si="235"/>
        <v>#N/A</v>
      </c>
      <c r="G6385" s="74">
        <v>29121</v>
      </c>
      <c r="H6385" s="77">
        <v>0.29166666666666669</v>
      </c>
      <c r="J6385">
        <v>55.040000000000006</v>
      </c>
      <c r="M6385" s="74">
        <v>37887</v>
      </c>
      <c r="N6385" s="77">
        <v>0.29166666666666669</v>
      </c>
      <c r="P6385">
        <v>69.800000000000011</v>
      </c>
      <c r="S6385" s="74">
        <v>34965</v>
      </c>
      <c r="T6385" s="77">
        <v>0.29166666666666669</v>
      </c>
      <c r="V6385">
        <v>55.040000000000006</v>
      </c>
      <c r="X6385" s="42"/>
      <c r="AB6385">
        <v>61.4</v>
      </c>
      <c r="AC6385">
        <v>66.92</v>
      </c>
      <c r="AE6385" s="74"/>
      <c r="AF6385" s="77"/>
      <c r="AH6385" s="497">
        <v>55.400000000000006</v>
      </c>
      <c r="AJ6385" s="42"/>
      <c r="AK6385" s="74"/>
      <c r="AL6385" s="77"/>
      <c r="AN6385" s="497">
        <v>44.06</v>
      </c>
      <c r="AP6385" s="42"/>
      <c r="AQ6385" s="74"/>
      <c r="AR6385" s="77"/>
      <c r="AT6385" s="497">
        <v>46.94</v>
      </c>
      <c r="AV6385" s="42"/>
      <c r="AW6385" s="74"/>
      <c r="AX6385" s="77"/>
      <c r="BA6385" s="497">
        <v>53.96</v>
      </c>
      <c r="BB6385" s="42"/>
      <c r="BC6385" s="74"/>
      <c r="BD6385" s="77"/>
      <c r="BF6385">
        <v>55.94</v>
      </c>
      <c r="BH6385" s="42"/>
      <c r="BI6385" s="74"/>
      <c r="BJ6385" s="77"/>
      <c r="BL6385" s="497">
        <v>44.96</v>
      </c>
      <c r="BN6385" s="42"/>
      <c r="BO6385" s="74"/>
      <c r="BP6385" s="77"/>
      <c r="BR6385" s="497">
        <v>60.980000000000004</v>
      </c>
      <c r="BT6385" s="42"/>
    </row>
    <row r="6386" spans="1:72" x14ac:dyDescent="0.25">
      <c r="A6386" s="90">
        <v>34965</v>
      </c>
      <c r="B6386" s="20">
        <v>0.33333333333333331</v>
      </c>
      <c r="D6386">
        <v>66.92</v>
      </c>
      <c r="E6386" t="str">
        <f t="shared" si="234"/>
        <v>SATURDAY</v>
      </c>
      <c r="F6386" t="e">
        <f t="shared" si="235"/>
        <v>#N/A</v>
      </c>
      <c r="G6386" s="74">
        <v>29121</v>
      </c>
      <c r="H6386" s="77">
        <v>0.33333333333333331</v>
      </c>
      <c r="J6386">
        <v>57.379999999999995</v>
      </c>
      <c r="M6386" s="74">
        <v>37887</v>
      </c>
      <c r="N6386" s="77">
        <v>0.33333333333333331</v>
      </c>
      <c r="P6386">
        <v>69.800000000000011</v>
      </c>
      <c r="S6386" s="74">
        <v>34965</v>
      </c>
      <c r="T6386" s="77">
        <v>0.33333333333333331</v>
      </c>
      <c r="V6386">
        <v>55.94</v>
      </c>
      <c r="X6386" s="42"/>
      <c r="AB6386">
        <v>63.1</v>
      </c>
      <c r="AC6386">
        <v>71.06</v>
      </c>
      <c r="AE6386" s="74"/>
      <c r="AF6386" s="77"/>
      <c r="AH6386" s="497">
        <v>55.400000000000006</v>
      </c>
      <c r="AJ6386" s="42"/>
      <c r="AK6386" s="74"/>
      <c r="AL6386" s="77"/>
      <c r="AN6386" s="497">
        <v>46.04</v>
      </c>
      <c r="AP6386" s="42"/>
      <c r="AQ6386" s="74"/>
      <c r="AR6386" s="77"/>
      <c r="AT6386" s="497">
        <v>53.96</v>
      </c>
      <c r="AV6386" s="42"/>
      <c r="AW6386" s="74"/>
      <c r="AX6386" s="77"/>
      <c r="BA6386" s="497">
        <v>55.94</v>
      </c>
      <c r="BB6386" s="42"/>
      <c r="BC6386" s="74"/>
      <c r="BD6386" s="77"/>
      <c r="BF6386">
        <v>57.92</v>
      </c>
      <c r="BH6386" s="42"/>
      <c r="BI6386" s="74"/>
      <c r="BJ6386" s="77"/>
      <c r="BL6386" s="497">
        <v>50</v>
      </c>
      <c r="BN6386" s="42"/>
      <c r="BO6386" s="74"/>
      <c r="BP6386" s="77"/>
      <c r="BR6386" s="497">
        <v>60.620000000000005</v>
      </c>
      <c r="BT6386" s="42"/>
    </row>
    <row r="6387" spans="1:72" x14ac:dyDescent="0.25">
      <c r="A6387" s="90">
        <v>34965</v>
      </c>
      <c r="B6387" s="20">
        <v>0.375</v>
      </c>
      <c r="D6387">
        <v>69.98</v>
      </c>
      <c r="E6387" t="str">
        <f t="shared" si="234"/>
        <v>SATURDAY</v>
      </c>
      <c r="F6387" t="e">
        <f t="shared" si="235"/>
        <v>#N/A</v>
      </c>
      <c r="G6387" s="74">
        <v>29121</v>
      </c>
      <c r="H6387" s="77">
        <v>0.375</v>
      </c>
      <c r="J6387">
        <v>59.72</v>
      </c>
      <c r="M6387" s="74">
        <v>37887</v>
      </c>
      <c r="N6387" s="77">
        <v>0.375</v>
      </c>
      <c r="P6387">
        <v>69.080000000000013</v>
      </c>
      <c r="S6387" s="74">
        <v>34965</v>
      </c>
      <c r="T6387" s="77">
        <v>0.375</v>
      </c>
      <c r="V6387">
        <v>55.94</v>
      </c>
      <c r="X6387" s="42"/>
      <c r="AB6387">
        <v>65.3</v>
      </c>
      <c r="AC6387">
        <v>73.94</v>
      </c>
      <c r="AE6387" s="74"/>
      <c r="AF6387" s="77"/>
      <c r="AH6387" s="497">
        <v>55.400000000000006</v>
      </c>
      <c r="AJ6387" s="42"/>
      <c r="AK6387" s="74"/>
      <c r="AL6387" s="77"/>
      <c r="AN6387" s="497">
        <v>48.019999999999996</v>
      </c>
      <c r="AP6387" s="42"/>
      <c r="AQ6387" s="74"/>
      <c r="AR6387" s="77"/>
      <c r="AT6387" s="497">
        <v>59</v>
      </c>
      <c r="AV6387" s="42"/>
      <c r="AW6387" s="74"/>
      <c r="AX6387" s="77"/>
      <c r="BA6387" s="497">
        <v>57.92</v>
      </c>
      <c r="BB6387" s="42"/>
      <c r="BC6387" s="74"/>
      <c r="BD6387" s="77"/>
      <c r="BF6387">
        <v>57.019999999999996</v>
      </c>
      <c r="BH6387" s="42"/>
      <c r="BI6387" s="74"/>
      <c r="BJ6387" s="77"/>
      <c r="BL6387" s="497">
        <v>51.980000000000004</v>
      </c>
      <c r="BN6387" s="42"/>
      <c r="BO6387" s="74"/>
      <c r="BP6387" s="77"/>
      <c r="BR6387" s="497">
        <v>60.44</v>
      </c>
      <c r="BT6387" s="42"/>
    </row>
    <row r="6388" spans="1:72" x14ac:dyDescent="0.25">
      <c r="A6388" s="90">
        <v>34965</v>
      </c>
      <c r="B6388" s="20">
        <v>0.41666666666666669</v>
      </c>
      <c r="D6388">
        <v>71.960000000000008</v>
      </c>
      <c r="E6388" t="str">
        <f t="shared" si="234"/>
        <v>SATURDAY</v>
      </c>
      <c r="F6388" t="e">
        <f t="shared" si="235"/>
        <v>#N/A</v>
      </c>
      <c r="G6388" s="74">
        <v>29121</v>
      </c>
      <c r="H6388" s="77">
        <v>0.41666666666666669</v>
      </c>
      <c r="J6388">
        <v>62.06</v>
      </c>
      <c r="M6388" s="74">
        <v>37887</v>
      </c>
      <c r="N6388" s="77">
        <v>0.41666666666666669</v>
      </c>
      <c r="P6388">
        <v>68</v>
      </c>
      <c r="S6388" s="74">
        <v>34965</v>
      </c>
      <c r="T6388" s="77">
        <v>0.41666666666666669</v>
      </c>
      <c r="V6388">
        <v>57.92</v>
      </c>
      <c r="X6388" s="42"/>
      <c r="AB6388">
        <v>67.400000000000006</v>
      </c>
      <c r="AC6388">
        <v>75.92</v>
      </c>
      <c r="AE6388" s="74"/>
      <c r="AF6388" s="77"/>
      <c r="AH6388" s="497">
        <v>55.400000000000006</v>
      </c>
      <c r="AJ6388" s="42"/>
      <c r="AK6388" s="74"/>
      <c r="AL6388" s="77"/>
      <c r="AN6388" s="497">
        <v>50</v>
      </c>
      <c r="AP6388" s="42"/>
      <c r="AQ6388" s="74"/>
      <c r="AR6388" s="77"/>
      <c r="AT6388" s="497">
        <v>60.980000000000004</v>
      </c>
      <c r="AV6388" s="42"/>
      <c r="AW6388" s="74"/>
      <c r="AX6388" s="77"/>
      <c r="BA6388" s="497">
        <v>57.92</v>
      </c>
      <c r="BB6388" s="42"/>
      <c r="BC6388" s="74"/>
      <c r="BD6388" s="77"/>
      <c r="BF6388">
        <v>59</v>
      </c>
      <c r="BH6388" s="42"/>
      <c r="BI6388" s="74"/>
      <c r="BJ6388" s="77"/>
      <c r="BL6388" s="497">
        <v>53.06</v>
      </c>
      <c r="BN6388" s="42"/>
      <c r="BO6388" s="74"/>
      <c r="BP6388" s="77"/>
      <c r="BR6388" s="497">
        <v>60.08</v>
      </c>
      <c r="BT6388" s="42"/>
    </row>
    <row r="6389" spans="1:72" x14ac:dyDescent="0.25">
      <c r="A6389" s="90">
        <v>34965</v>
      </c>
      <c r="B6389" s="20">
        <v>0.45833333333333331</v>
      </c>
      <c r="D6389">
        <v>73.039999999999992</v>
      </c>
      <c r="E6389" t="str">
        <f t="shared" si="234"/>
        <v>SATURDAY</v>
      </c>
      <c r="F6389" t="e">
        <f t="shared" si="235"/>
        <v>#N/A</v>
      </c>
      <c r="G6389" s="74">
        <v>29121</v>
      </c>
      <c r="H6389" s="77">
        <v>0.45833333333333331</v>
      </c>
      <c r="J6389">
        <v>63.319999999999993</v>
      </c>
      <c r="M6389" s="74">
        <v>37887</v>
      </c>
      <c r="N6389" s="77">
        <v>0.45833333333333331</v>
      </c>
      <c r="P6389">
        <v>66.2</v>
      </c>
      <c r="S6389" s="74">
        <v>34965</v>
      </c>
      <c r="T6389" s="77">
        <v>0.45833333333333331</v>
      </c>
      <c r="V6389">
        <v>59</v>
      </c>
      <c r="X6389" s="42"/>
      <c r="AB6389">
        <v>69</v>
      </c>
      <c r="AC6389">
        <v>78.98</v>
      </c>
      <c r="AE6389" s="74"/>
      <c r="AF6389" s="77"/>
      <c r="AH6389" s="497">
        <v>55.400000000000006</v>
      </c>
      <c r="AJ6389" s="42"/>
      <c r="AK6389" s="74"/>
      <c r="AL6389" s="77"/>
      <c r="AN6389" s="497">
        <v>52.34</v>
      </c>
      <c r="AP6389" s="42"/>
      <c r="AQ6389" s="74"/>
      <c r="AR6389" s="77"/>
      <c r="AT6389" s="497">
        <v>62.06</v>
      </c>
      <c r="AV6389" s="42"/>
      <c r="AW6389" s="74"/>
      <c r="AX6389" s="77"/>
      <c r="BA6389" s="497">
        <v>60.08</v>
      </c>
      <c r="BB6389" s="42"/>
      <c r="BC6389" s="74"/>
      <c r="BD6389" s="77"/>
      <c r="BF6389">
        <v>59</v>
      </c>
      <c r="BH6389" s="42"/>
      <c r="BI6389" s="74"/>
      <c r="BJ6389" s="77"/>
      <c r="BL6389" s="497">
        <v>53.96</v>
      </c>
      <c r="BN6389" s="42"/>
      <c r="BO6389" s="74"/>
      <c r="BP6389" s="77"/>
      <c r="BR6389" s="497">
        <v>60.980000000000004</v>
      </c>
      <c r="BT6389" s="42"/>
    </row>
    <row r="6390" spans="1:72" x14ac:dyDescent="0.25">
      <c r="A6390" s="90">
        <v>34965</v>
      </c>
      <c r="B6390" s="20">
        <v>0.5</v>
      </c>
      <c r="D6390">
        <v>73.94</v>
      </c>
      <c r="E6390" t="str">
        <f t="shared" si="234"/>
        <v>SATURDAY</v>
      </c>
      <c r="F6390" t="e">
        <f t="shared" si="235"/>
        <v>#N/A</v>
      </c>
      <c r="G6390" s="74">
        <v>29121</v>
      </c>
      <c r="H6390" s="77">
        <v>0.5</v>
      </c>
      <c r="J6390">
        <v>64.759999999999991</v>
      </c>
      <c r="M6390" s="74">
        <v>37887</v>
      </c>
      <c r="N6390" s="77">
        <v>0.5</v>
      </c>
      <c r="P6390">
        <v>62.6</v>
      </c>
      <c r="S6390" s="74">
        <v>34965</v>
      </c>
      <c r="T6390" s="77">
        <v>0.5</v>
      </c>
      <c r="V6390">
        <v>60.08</v>
      </c>
      <c r="X6390" s="42"/>
      <c r="AB6390">
        <v>70.400000000000006</v>
      </c>
      <c r="AC6390">
        <v>78.98</v>
      </c>
      <c r="AE6390" s="74"/>
      <c r="AF6390" s="77"/>
      <c r="AH6390" s="497">
        <v>57.2</v>
      </c>
      <c r="AJ6390" s="42"/>
      <c r="AK6390" s="74"/>
      <c r="AL6390" s="77"/>
      <c r="AN6390" s="497">
        <v>54.68</v>
      </c>
      <c r="AP6390" s="42"/>
      <c r="AQ6390" s="74"/>
      <c r="AR6390" s="77"/>
      <c r="AT6390" s="497">
        <v>59</v>
      </c>
      <c r="AV6390" s="42"/>
      <c r="AW6390" s="74"/>
      <c r="AX6390" s="77"/>
      <c r="BA6390" s="497">
        <v>64.94</v>
      </c>
      <c r="BB6390" s="42"/>
      <c r="BC6390" s="74"/>
      <c r="BD6390" s="77"/>
      <c r="BF6390">
        <v>62.96</v>
      </c>
      <c r="BH6390" s="42"/>
      <c r="BI6390" s="74"/>
      <c r="BJ6390" s="77"/>
      <c r="BL6390" s="497">
        <v>55.040000000000006</v>
      </c>
      <c r="BN6390" s="42"/>
      <c r="BO6390" s="74"/>
      <c r="BP6390" s="77"/>
      <c r="BR6390" s="497">
        <v>62.06</v>
      </c>
      <c r="BT6390" s="42"/>
    </row>
    <row r="6391" spans="1:72" x14ac:dyDescent="0.25">
      <c r="A6391" s="90">
        <v>34965</v>
      </c>
      <c r="B6391" s="20">
        <v>0.54166666666666663</v>
      </c>
      <c r="D6391">
        <v>75.92</v>
      </c>
      <c r="E6391" t="str">
        <f t="shared" si="234"/>
        <v>SATURDAY</v>
      </c>
      <c r="F6391" t="e">
        <f t="shared" si="235"/>
        <v>#N/A</v>
      </c>
      <c r="G6391" s="74">
        <v>29121</v>
      </c>
      <c r="H6391" s="77">
        <v>0.54166666666666663</v>
      </c>
      <c r="J6391">
        <v>66.02</v>
      </c>
      <c r="M6391" s="74">
        <v>37887</v>
      </c>
      <c r="N6391" s="77">
        <v>0.54166666666666663</v>
      </c>
      <c r="P6391">
        <v>66.2</v>
      </c>
      <c r="S6391" s="74">
        <v>34965</v>
      </c>
      <c r="T6391" s="77">
        <v>0.54166666666666663</v>
      </c>
      <c r="V6391">
        <v>60.980000000000004</v>
      </c>
      <c r="X6391" s="42"/>
      <c r="AB6391">
        <v>71.3</v>
      </c>
      <c r="AC6391">
        <v>78.98</v>
      </c>
      <c r="AE6391" s="74"/>
      <c r="AF6391" s="77"/>
      <c r="AH6391" s="497">
        <v>59</v>
      </c>
      <c r="AJ6391" s="42"/>
      <c r="AK6391" s="74"/>
      <c r="AL6391" s="77"/>
      <c r="AN6391" s="497">
        <v>57.019999999999996</v>
      </c>
      <c r="AP6391" s="42"/>
      <c r="AQ6391" s="74"/>
      <c r="AR6391" s="77"/>
      <c r="AT6391" s="497">
        <v>57.92</v>
      </c>
      <c r="AV6391" s="42"/>
      <c r="AW6391" s="74"/>
      <c r="AX6391" s="77"/>
      <c r="BA6391" s="497">
        <v>68</v>
      </c>
      <c r="BB6391" s="42"/>
      <c r="BC6391" s="74"/>
      <c r="BD6391" s="77"/>
      <c r="BF6391">
        <v>62.06</v>
      </c>
      <c r="BH6391" s="42"/>
      <c r="BI6391" s="74"/>
      <c r="BJ6391" s="77"/>
      <c r="BL6391" s="497">
        <v>55.94</v>
      </c>
      <c r="BN6391" s="42"/>
      <c r="BO6391" s="74"/>
      <c r="BP6391" s="77"/>
      <c r="BR6391" s="497">
        <v>62.96</v>
      </c>
      <c r="BT6391" s="42"/>
    </row>
    <row r="6392" spans="1:72" x14ac:dyDescent="0.25">
      <c r="A6392" s="90">
        <v>34965</v>
      </c>
      <c r="B6392" s="20">
        <v>0.58333333333333337</v>
      </c>
      <c r="D6392">
        <v>77</v>
      </c>
      <c r="E6392" t="str">
        <f t="shared" si="234"/>
        <v>SATURDAY</v>
      </c>
      <c r="F6392" t="e">
        <f t="shared" si="235"/>
        <v>#N/A</v>
      </c>
      <c r="G6392" s="74">
        <v>29121</v>
      </c>
      <c r="H6392" s="77">
        <v>0.58333333333333337</v>
      </c>
      <c r="J6392">
        <v>66.02</v>
      </c>
      <c r="M6392" s="74">
        <v>37887</v>
      </c>
      <c r="N6392" s="77">
        <v>0.58333333333333337</v>
      </c>
      <c r="P6392">
        <v>68</v>
      </c>
      <c r="S6392" s="74">
        <v>34965</v>
      </c>
      <c r="T6392" s="77">
        <v>0.58333333333333337</v>
      </c>
      <c r="V6392">
        <v>60.980000000000004</v>
      </c>
      <c r="X6392" s="42"/>
      <c r="AB6392">
        <v>71.7</v>
      </c>
      <c r="AC6392">
        <v>78.080000000000013</v>
      </c>
      <c r="AE6392" s="74"/>
      <c r="AF6392" s="77"/>
      <c r="AH6392" s="497">
        <v>60.8</v>
      </c>
      <c r="AJ6392" s="42"/>
      <c r="AK6392" s="74"/>
      <c r="AL6392" s="77"/>
      <c r="AN6392" s="497">
        <v>58.28</v>
      </c>
      <c r="AP6392" s="42"/>
      <c r="AQ6392" s="74"/>
      <c r="AR6392" s="77"/>
      <c r="AT6392" s="497">
        <v>60.980000000000004</v>
      </c>
      <c r="AV6392" s="42"/>
      <c r="AW6392" s="74"/>
      <c r="AX6392" s="77"/>
      <c r="BA6392" s="497">
        <v>69.98</v>
      </c>
      <c r="BB6392" s="42"/>
      <c r="BC6392" s="74"/>
      <c r="BD6392" s="77"/>
      <c r="BF6392">
        <v>60.980000000000004</v>
      </c>
      <c r="BH6392" s="42"/>
      <c r="BI6392" s="74"/>
      <c r="BJ6392" s="77"/>
      <c r="BL6392" s="497">
        <v>57.019999999999996</v>
      </c>
      <c r="BN6392" s="42"/>
      <c r="BO6392" s="74"/>
      <c r="BP6392" s="77"/>
      <c r="BR6392" s="497">
        <v>61.34</v>
      </c>
      <c r="BT6392" s="42"/>
    </row>
    <row r="6393" spans="1:72" x14ac:dyDescent="0.25">
      <c r="A6393" s="90">
        <v>34965</v>
      </c>
      <c r="B6393" s="20">
        <v>0.625</v>
      </c>
      <c r="D6393">
        <v>77</v>
      </c>
      <c r="E6393" t="str">
        <f t="shared" si="234"/>
        <v>SATURDAY</v>
      </c>
      <c r="F6393" t="e">
        <f t="shared" si="235"/>
        <v>#N/A</v>
      </c>
      <c r="G6393" s="74">
        <v>29121</v>
      </c>
      <c r="H6393" s="77">
        <v>0.625</v>
      </c>
      <c r="J6393">
        <v>66.02</v>
      </c>
      <c r="M6393" s="74">
        <v>37887</v>
      </c>
      <c r="N6393" s="77">
        <v>0.625</v>
      </c>
      <c r="P6393">
        <v>68</v>
      </c>
      <c r="S6393" s="74">
        <v>34965</v>
      </c>
      <c r="T6393" s="77">
        <v>0.625</v>
      </c>
      <c r="V6393">
        <v>62.06</v>
      </c>
      <c r="X6393" s="42"/>
      <c r="AB6393">
        <v>71.7</v>
      </c>
      <c r="AC6393">
        <v>78.98</v>
      </c>
      <c r="AE6393" s="74"/>
      <c r="AF6393" s="77"/>
      <c r="AH6393" s="497">
        <v>61.88</v>
      </c>
      <c r="AJ6393" s="42"/>
      <c r="AK6393" s="74"/>
      <c r="AL6393" s="77"/>
      <c r="AN6393" s="497">
        <v>59.72</v>
      </c>
      <c r="AP6393" s="42"/>
      <c r="AQ6393" s="74"/>
      <c r="AR6393" s="77"/>
      <c r="AT6393" s="497">
        <v>59</v>
      </c>
      <c r="AV6393" s="42"/>
      <c r="AW6393" s="74"/>
      <c r="AX6393" s="77"/>
      <c r="BA6393" s="497">
        <v>69.98</v>
      </c>
      <c r="BB6393" s="42"/>
      <c r="BC6393" s="74"/>
      <c r="BD6393" s="77"/>
      <c r="BF6393">
        <v>62.96</v>
      </c>
      <c r="BH6393" s="42"/>
      <c r="BI6393" s="74"/>
      <c r="BJ6393" s="77"/>
      <c r="BL6393" s="497">
        <v>57.92</v>
      </c>
      <c r="BN6393" s="42"/>
      <c r="BO6393" s="74"/>
      <c r="BP6393" s="77"/>
      <c r="BR6393" s="497">
        <v>59.540000000000006</v>
      </c>
      <c r="BT6393" s="42"/>
    </row>
    <row r="6394" spans="1:72" x14ac:dyDescent="0.25">
      <c r="A6394" s="90">
        <v>34965</v>
      </c>
      <c r="B6394" s="20">
        <v>0.66666666666666663</v>
      </c>
      <c r="D6394">
        <v>75.92</v>
      </c>
      <c r="E6394" t="str">
        <f t="shared" si="234"/>
        <v>SATURDAY</v>
      </c>
      <c r="F6394" t="e">
        <f t="shared" si="235"/>
        <v>#N/A</v>
      </c>
      <c r="G6394" s="74">
        <v>29121</v>
      </c>
      <c r="H6394" s="77">
        <v>0.66666666666666663</v>
      </c>
      <c r="J6394">
        <v>66.02</v>
      </c>
      <c r="M6394" s="74">
        <v>37887</v>
      </c>
      <c r="N6394" s="77">
        <v>0.66666666666666663</v>
      </c>
      <c r="P6394">
        <v>69.800000000000011</v>
      </c>
      <c r="S6394" s="74">
        <v>34965</v>
      </c>
      <c r="T6394" s="77">
        <v>0.66666666666666663</v>
      </c>
      <c r="V6394">
        <v>60.980000000000004</v>
      </c>
      <c r="X6394" s="42"/>
      <c r="AB6394">
        <v>71.5</v>
      </c>
      <c r="AC6394">
        <v>71.960000000000008</v>
      </c>
      <c r="AE6394" s="74"/>
      <c r="AF6394" s="77"/>
      <c r="AH6394" s="497">
        <v>62.6</v>
      </c>
      <c r="AJ6394" s="42"/>
      <c r="AK6394" s="74"/>
      <c r="AL6394" s="77"/>
      <c r="AN6394" s="497">
        <v>60.980000000000004</v>
      </c>
      <c r="AP6394" s="42"/>
      <c r="AQ6394" s="74"/>
      <c r="AR6394" s="77"/>
      <c r="AT6394" s="497">
        <v>59</v>
      </c>
      <c r="AV6394" s="42"/>
      <c r="AW6394" s="74"/>
      <c r="AX6394" s="77"/>
      <c r="BA6394" s="497">
        <v>69.98</v>
      </c>
      <c r="BB6394" s="42"/>
      <c r="BC6394" s="74"/>
      <c r="BD6394" s="77"/>
      <c r="BF6394">
        <v>60.980000000000004</v>
      </c>
      <c r="BH6394" s="42"/>
      <c r="BI6394" s="74"/>
      <c r="BJ6394" s="77"/>
      <c r="BL6394" s="497">
        <v>57.019999999999996</v>
      </c>
      <c r="BN6394" s="42"/>
      <c r="BO6394" s="74"/>
      <c r="BP6394" s="77"/>
      <c r="BR6394" s="497">
        <v>57.92</v>
      </c>
      <c r="BT6394" s="42"/>
    </row>
    <row r="6395" spans="1:72" x14ac:dyDescent="0.25">
      <c r="A6395" s="90">
        <v>34965</v>
      </c>
      <c r="B6395" s="20">
        <v>0.70833333333333337</v>
      </c>
      <c r="D6395">
        <v>75.02</v>
      </c>
      <c r="E6395" t="str">
        <f t="shared" si="234"/>
        <v>SATURDAY</v>
      </c>
      <c r="F6395" t="e">
        <f t="shared" si="235"/>
        <v>#N/A</v>
      </c>
      <c r="G6395" s="74">
        <v>29121</v>
      </c>
      <c r="H6395" s="77">
        <v>0.70833333333333337</v>
      </c>
      <c r="J6395">
        <v>64.400000000000006</v>
      </c>
      <c r="M6395" s="74">
        <v>37887</v>
      </c>
      <c r="N6395" s="77">
        <v>0.70833333333333337</v>
      </c>
      <c r="P6395">
        <v>69.800000000000011</v>
      </c>
      <c r="S6395" s="74">
        <v>34965</v>
      </c>
      <c r="T6395" s="77">
        <v>0.70833333333333337</v>
      </c>
      <c r="V6395">
        <v>60.980000000000004</v>
      </c>
      <c r="X6395" s="42"/>
      <c r="AB6395">
        <v>70.7</v>
      </c>
      <c r="AC6395">
        <v>71.06</v>
      </c>
      <c r="AE6395" s="74"/>
      <c r="AF6395" s="77"/>
      <c r="AH6395" s="497">
        <v>60.8</v>
      </c>
      <c r="AJ6395" s="42"/>
      <c r="AK6395" s="74"/>
      <c r="AL6395" s="77"/>
      <c r="AN6395" s="497">
        <v>60.26</v>
      </c>
      <c r="AP6395" s="42"/>
      <c r="AQ6395" s="74"/>
      <c r="AR6395" s="77"/>
      <c r="AT6395" s="497">
        <v>60.08</v>
      </c>
      <c r="AV6395" s="42"/>
      <c r="AW6395" s="74"/>
      <c r="AX6395" s="77"/>
      <c r="BA6395" s="497">
        <v>69.080000000000013</v>
      </c>
      <c r="BB6395" s="42"/>
      <c r="BC6395" s="74"/>
      <c r="BD6395" s="77"/>
      <c r="BF6395">
        <v>60.08</v>
      </c>
      <c r="BH6395" s="42"/>
      <c r="BI6395" s="74"/>
      <c r="BJ6395" s="77"/>
      <c r="BL6395" s="497">
        <v>55.94</v>
      </c>
      <c r="BN6395" s="42"/>
      <c r="BO6395" s="74"/>
      <c r="BP6395" s="77"/>
      <c r="BR6395" s="497">
        <v>54.68</v>
      </c>
      <c r="BT6395" s="42"/>
    </row>
    <row r="6396" spans="1:72" x14ac:dyDescent="0.25">
      <c r="A6396" s="90">
        <v>34965</v>
      </c>
      <c r="B6396" s="20">
        <v>0.75</v>
      </c>
      <c r="D6396">
        <v>73.039999999999992</v>
      </c>
      <c r="E6396" t="str">
        <f t="shared" si="234"/>
        <v>SATURDAY</v>
      </c>
      <c r="F6396" t="e">
        <f t="shared" si="235"/>
        <v>#N/A</v>
      </c>
      <c r="G6396" s="74">
        <v>29121</v>
      </c>
      <c r="H6396" s="77">
        <v>0.75</v>
      </c>
      <c r="J6396">
        <v>62.6</v>
      </c>
      <c r="M6396" s="74">
        <v>37887</v>
      </c>
      <c r="N6396" s="77">
        <v>0.75</v>
      </c>
      <c r="P6396">
        <v>66.2</v>
      </c>
      <c r="S6396" s="74">
        <v>34965</v>
      </c>
      <c r="T6396" s="77">
        <v>0.75</v>
      </c>
      <c r="V6396">
        <v>60.08</v>
      </c>
      <c r="X6396" s="42"/>
      <c r="AB6396">
        <v>69.400000000000006</v>
      </c>
      <c r="AC6396">
        <v>68</v>
      </c>
      <c r="AE6396" s="74"/>
      <c r="AF6396" s="77"/>
      <c r="AH6396" s="497">
        <v>57.2</v>
      </c>
      <c r="AJ6396" s="42"/>
      <c r="AK6396" s="74"/>
      <c r="AL6396" s="77"/>
      <c r="AN6396" s="497">
        <v>59.72</v>
      </c>
      <c r="AP6396" s="42"/>
      <c r="AQ6396" s="74"/>
      <c r="AR6396" s="77"/>
      <c r="AT6396" s="497">
        <v>55.94</v>
      </c>
      <c r="AV6396" s="42"/>
      <c r="AW6396" s="74"/>
      <c r="AX6396" s="77"/>
      <c r="BA6396" s="497">
        <v>69.080000000000013</v>
      </c>
      <c r="BB6396" s="42"/>
      <c r="BC6396" s="74"/>
      <c r="BD6396" s="77"/>
      <c r="BF6396">
        <v>60.08</v>
      </c>
      <c r="BH6396" s="42"/>
      <c r="BI6396" s="74"/>
      <c r="BJ6396" s="77"/>
      <c r="BL6396" s="497">
        <v>53.06</v>
      </c>
      <c r="BN6396" s="42"/>
      <c r="BO6396" s="74"/>
      <c r="BP6396" s="77"/>
      <c r="BR6396" s="497">
        <v>51.26</v>
      </c>
      <c r="BT6396" s="42"/>
    </row>
    <row r="6397" spans="1:72" x14ac:dyDescent="0.25">
      <c r="A6397" s="90">
        <v>34965</v>
      </c>
      <c r="B6397" s="20">
        <v>0.79166666666666663</v>
      </c>
      <c r="D6397">
        <v>71.960000000000008</v>
      </c>
      <c r="E6397" t="str">
        <f t="shared" si="234"/>
        <v>SATURDAY</v>
      </c>
      <c r="F6397" t="e">
        <f t="shared" si="235"/>
        <v>#N/A</v>
      </c>
      <c r="G6397" s="74">
        <v>29121</v>
      </c>
      <c r="H6397" s="77">
        <v>0.79166666666666663</v>
      </c>
      <c r="J6397">
        <v>60.980000000000004</v>
      </c>
      <c r="M6397" s="74">
        <v>37887</v>
      </c>
      <c r="N6397" s="77">
        <v>0.79166666666666663</v>
      </c>
      <c r="P6397">
        <v>64.400000000000006</v>
      </c>
      <c r="S6397" s="74">
        <v>34965</v>
      </c>
      <c r="T6397" s="77">
        <v>0.79166666666666663</v>
      </c>
      <c r="V6397">
        <v>60.08</v>
      </c>
      <c r="X6397" s="42"/>
      <c r="AB6397">
        <v>67.7</v>
      </c>
      <c r="AC6397">
        <v>66.92</v>
      </c>
      <c r="AE6397" s="74"/>
      <c r="AF6397" s="77"/>
      <c r="AH6397" s="497">
        <v>55.400000000000006</v>
      </c>
      <c r="AJ6397" s="42"/>
      <c r="AK6397" s="74"/>
      <c r="AL6397" s="77"/>
      <c r="AN6397" s="497">
        <v>59</v>
      </c>
      <c r="AP6397" s="42"/>
      <c r="AQ6397" s="74"/>
      <c r="AR6397" s="77"/>
      <c r="AT6397" s="497">
        <v>53.06</v>
      </c>
      <c r="AV6397" s="42"/>
      <c r="AW6397" s="74"/>
      <c r="AX6397" s="77"/>
      <c r="BA6397" s="497">
        <v>68</v>
      </c>
      <c r="BB6397" s="42"/>
      <c r="BC6397" s="74"/>
      <c r="BD6397" s="77"/>
      <c r="BF6397">
        <v>60.08</v>
      </c>
      <c r="BH6397" s="42"/>
      <c r="BI6397" s="74"/>
      <c r="BJ6397" s="77"/>
      <c r="BL6397" s="497">
        <v>48.92</v>
      </c>
      <c r="BN6397" s="42"/>
      <c r="BO6397" s="74"/>
      <c r="BP6397" s="77"/>
      <c r="BR6397" s="497">
        <v>48.019999999999996</v>
      </c>
      <c r="BT6397" s="42"/>
    </row>
    <row r="6398" spans="1:72" x14ac:dyDescent="0.25">
      <c r="A6398" s="90">
        <v>34965</v>
      </c>
      <c r="B6398" s="20">
        <v>0.83333333333333337</v>
      </c>
      <c r="D6398">
        <v>71.960000000000008</v>
      </c>
      <c r="E6398" t="str">
        <f t="shared" si="234"/>
        <v>SATURDAY</v>
      </c>
      <c r="F6398" t="e">
        <f t="shared" si="235"/>
        <v>#N/A</v>
      </c>
      <c r="G6398" s="74">
        <v>29121</v>
      </c>
      <c r="H6398" s="77">
        <v>0.83333333333333337</v>
      </c>
      <c r="J6398">
        <v>59.72</v>
      </c>
      <c r="M6398" s="74">
        <v>37887</v>
      </c>
      <c r="N6398" s="77">
        <v>0.83333333333333337</v>
      </c>
      <c r="P6398">
        <v>64.400000000000006</v>
      </c>
      <c r="S6398" s="74">
        <v>34965</v>
      </c>
      <c r="T6398" s="77">
        <v>0.83333333333333337</v>
      </c>
      <c r="V6398">
        <v>57.92</v>
      </c>
      <c r="X6398" s="42"/>
      <c r="AB6398">
        <v>66.7</v>
      </c>
      <c r="AC6398">
        <v>66.02</v>
      </c>
      <c r="AE6398" s="74"/>
      <c r="AF6398" s="77"/>
      <c r="AH6398" s="497">
        <v>50</v>
      </c>
      <c r="AJ6398" s="42"/>
      <c r="AK6398" s="74"/>
      <c r="AL6398" s="77"/>
      <c r="AN6398" s="497">
        <v>55.94</v>
      </c>
      <c r="AP6398" s="42"/>
      <c r="AQ6398" s="74"/>
      <c r="AR6398" s="77"/>
      <c r="AT6398" s="497">
        <v>50</v>
      </c>
      <c r="AV6398" s="42"/>
      <c r="AW6398" s="74"/>
      <c r="AX6398" s="77"/>
      <c r="BA6398" s="497">
        <v>66.92</v>
      </c>
      <c r="BB6398" s="42"/>
      <c r="BC6398" s="74"/>
      <c r="BD6398" s="77"/>
      <c r="BF6398">
        <v>60.08</v>
      </c>
      <c r="BH6398" s="42"/>
      <c r="BI6398" s="74"/>
      <c r="BJ6398" s="77"/>
      <c r="BL6398" s="497">
        <v>44.96</v>
      </c>
      <c r="BN6398" s="42"/>
      <c r="BO6398" s="74"/>
      <c r="BP6398" s="77"/>
      <c r="BR6398" s="497">
        <v>46.04</v>
      </c>
      <c r="BT6398" s="42"/>
    </row>
    <row r="6399" spans="1:72" x14ac:dyDescent="0.25">
      <c r="A6399" s="90">
        <v>34965</v>
      </c>
      <c r="B6399" s="20">
        <v>0.875</v>
      </c>
      <c r="D6399">
        <v>71.06</v>
      </c>
      <c r="E6399" t="str">
        <f t="shared" si="234"/>
        <v>SATURDAY</v>
      </c>
      <c r="F6399" t="e">
        <f t="shared" si="235"/>
        <v>#N/A</v>
      </c>
      <c r="G6399" s="74">
        <v>29121</v>
      </c>
      <c r="H6399" s="77">
        <v>0.875</v>
      </c>
      <c r="J6399">
        <v>58.28</v>
      </c>
      <c r="M6399" s="74">
        <v>37887</v>
      </c>
      <c r="N6399" s="77">
        <v>0.875</v>
      </c>
      <c r="P6399">
        <v>62.6</v>
      </c>
      <c r="S6399" s="74">
        <v>34965</v>
      </c>
      <c r="T6399" s="77">
        <v>0.875</v>
      </c>
      <c r="V6399">
        <v>57.019999999999996</v>
      </c>
      <c r="X6399" s="42"/>
      <c r="AB6399">
        <v>66</v>
      </c>
      <c r="AC6399">
        <v>64.039999999999992</v>
      </c>
      <c r="AE6399" s="74"/>
      <c r="AF6399" s="77"/>
      <c r="AH6399" s="497">
        <v>48.2</v>
      </c>
      <c r="AJ6399" s="42"/>
      <c r="AK6399" s="74"/>
      <c r="AL6399" s="77"/>
      <c r="AN6399" s="497">
        <v>53.06</v>
      </c>
      <c r="AP6399" s="42"/>
      <c r="AQ6399" s="74"/>
      <c r="AR6399" s="77"/>
      <c r="AT6399" s="497">
        <v>51.08</v>
      </c>
      <c r="AV6399" s="42"/>
      <c r="AW6399" s="74"/>
      <c r="AX6399" s="77"/>
      <c r="BA6399" s="497">
        <v>66.92</v>
      </c>
      <c r="BB6399" s="42"/>
      <c r="BC6399" s="74"/>
      <c r="BD6399" s="77"/>
      <c r="BF6399">
        <v>60.08</v>
      </c>
      <c r="BH6399" s="42"/>
      <c r="BI6399" s="74"/>
      <c r="BJ6399" s="77"/>
      <c r="BL6399" s="497">
        <v>44.96</v>
      </c>
      <c r="BN6399" s="42"/>
      <c r="BO6399" s="74"/>
      <c r="BP6399" s="77"/>
      <c r="BR6399" s="497">
        <v>44.06</v>
      </c>
      <c r="BT6399" s="42"/>
    </row>
    <row r="6400" spans="1:72" x14ac:dyDescent="0.25">
      <c r="A6400" s="90">
        <v>34965</v>
      </c>
      <c r="B6400" s="20">
        <v>0.91666666666666663</v>
      </c>
      <c r="D6400">
        <v>71.06</v>
      </c>
      <c r="E6400" t="str">
        <f t="shared" si="234"/>
        <v>SATURDAY</v>
      </c>
      <c r="F6400" t="e">
        <f t="shared" si="235"/>
        <v>#N/A</v>
      </c>
      <c r="G6400" s="74">
        <v>29121</v>
      </c>
      <c r="H6400" s="77">
        <v>0.91666666666666663</v>
      </c>
      <c r="J6400">
        <v>57.019999999999996</v>
      </c>
      <c r="M6400" s="74">
        <v>37887</v>
      </c>
      <c r="N6400" s="77">
        <v>0.91666666666666663</v>
      </c>
      <c r="P6400">
        <v>62.6</v>
      </c>
      <c r="S6400" s="74">
        <v>34965</v>
      </c>
      <c r="T6400" s="77">
        <v>0.91666666666666663</v>
      </c>
      <c r="V6400">
        <v>55.94</v>
      </c>
      <c r="X6400" s="42"/>
      <c r="AB6400">
        <v>65.400000000000006</v>
      </c>
      <c r="AC6400">
        <v>62.06</v>
      </c>
      <c r="AE6400" s="74"/>
      <c r="AF6400" s="77"/>
      <c r="AH6400" s="497">
        <v>48.2</v>
      </c>
      <c r="AJ6400" s="42"/>
      <c r="AK6400" s="74"/>
      <c r="AL6400" s="77"/>
      <c r="AN6400" s="497">
        <v>50</v>
      </c>
      <c r="AP6400" s="42"/>
      <c r="AQ6400" s="74"/>
      <c r="AR6400" s="77"/>
      <c r="AT6400" s="497">
        <v>51.08</v>
      </c>
      <c r="AV6400" s="42"/>
      <c r="AW6400" s="74"/>
      <c r="AX6400" s="77"/>
      <c r="BA6400" s="497">
        <v>66.92</v>
      </c>
      <c r="BB6400" s="42"/>
      <c r="BC6400" s="74"/>
      <c r="BD6400" s="77"/>
      <c r="BF6400">
        <v>60.08</v>
      </c>
      <c r="BH6400" s="42"/>
      <c r="BI6400" s="74"/>
      <c r="BJ6400" s="77"/>
      <c r="BL6400" s="497">
        <v>42.08</v>
      </c>
      <c r="BN6400" s="42"/>
      <c r="BO6400" s="74"/>
      <c r="BP6400" s="77"/>
      <c r="BR6400" s="497">
        <v>42.08</v>
      </c>
      <c r="BT6400" s="42"/>
    </row>
    <row r="6401" spans="1:72" x14ac:dyDescent="0.25">
      <c r="A6401" s="90">
        <v>34965</v>
      </c>
      <c r="B6401" s="20">
        <v>0.95833333333333337</v>
      </c>
      <c r="D6401">
        <v>71.06</v>
      </c>
      <c r="E6401" t="str">
        <f t="shared" si="234"/>
        <v>SATURDAY</v>
      </c>
      <c r="F6401" t="e">
        <f t="shared" si="235"/>
        <v>#N/A</v>
      </c>
      <c r="G6401" s="74">
        <v>29121</v>
      </c>
      <c r="H6401" s="77">
        <v>0.95833333333333337</v>
      </c>
      <c r="J6401">
        <v>56.3</v>
      </c>
      <c r="M6401" s="74">
        <v>37887</v>
      </c>
      <c r="N6401" s="77">
        <v>0.95833333333333337</v>
      </c>
      <c r="P6401">
        <v>60.8</v>
      </c>
      <c r="S6401" s="74">
        <v>34965</v>
      </c>
      <c r="T6401" s="77">
        <v>0.95833333333333337</v>
      </c>
      <c r="V6401">
        <v>55.94</v>
      </c>
      <c r="X6401" s="42"/>
      <c r="AB6401">
        <v>64.7</v>
      </c>
      <c r="AC6401">
        <v>60.08</v>
      </c>
      <c r="AE6401" s="74"/>
      <c r="AF6401" s="77"/>
      <c r="AH6401" s="497">
        <v>46.4</v>
      </c>
      <c r="AJ6401" s="42"/>
      <c r="AK6401" s="74"/>
      <c r="AL6401" s="77"/>
      <c r="AN6401" s="497">
        <v>48.379999999999995</v>
      </c>
      <c r="AP6401" s="42"/>
      <c r="AQ6401" s="74"/>
      <c r="AR6401" s="77"/>
      <c r="AT6401" s="497">
        <v>48.019999999999996</v>
      </c>
      <c r="AV6401" s="42"/>
      <c r="AW6401" s="74"/>
      <c r="AX6401" s="77"/>
      <c r="BA6401" s="497">
        <v>66.02</v>
      </c>
      <c r="BB6401" s="42"/>
      <c r="BC6401" s="74"/>
      <c r="BD6401" s="77"/>
      <c r="BF6401">
        <v>60.980000000000004</v>
      </c>
      <c r="BH6401" s="42"/>
      <c r="BI6401" s="74"/>
      <c r="BJ6401" s="77"/>
      <c r="BL6401" s="497">
        <v>42.980000000000004</v>
      </c>
      <c r="BN6401" s="42"/>
      <c r="BO6401" s="74"/>
      <c r="BP6401" s="77"/>
      <c r="BR6401" s="497">
        <v>40.1</v>
      </c>
      <c r="BT6401" s="42"/>
    </row>
    <row r="6402" spans="1:72" x14ac:dyDescent="0.25">
      <c r="A6402" s="90">
        <v>34965</v>
      </c>
      <c r="B6402" s="20">
        <v>1</v>
      </c>
      <c r="D6402">
        <v>69.98</v>
      </c>
      <c r="E6402" t="str">
        <f t="shared" si="234"/>
        <v>SATURDAY</v>
      </c>
      <c r="F6402" t="e">
        <f t="shared" si="235"/>
        <v>#N/A</v>
      </c>
      <c r="G6402" s="74">
        <v>29121</v>
      </c>
      <c r="H6402" s="77">
        <v>1</v>
      </c>
      <c r="J6402">
        <v>55.76</v>
      </c>
      <c r="M6402" s="74">
        <v>37887</v>
      </c>
      <c r="N6402" s="80">
        <v>1</v>
      </c>
      <c r="P6402">
        <v>59</v>
      </c>
      <c r="S6402" s="74">
        <v>34965</v>
      </c>
      <c r="T6402" s="80">
        <v>1</v>
      </c>
      <c r="V6402">
        <v>55.040000000000006</v>
      </c>
      <c r="X6402" s="42"/>
      <c r="AB6402">
        <v>64.099999999999994</v>
      </c>
      <c r="AC6402">
        <v>57.92</v>
      </c>
      <c r="AE6402" s="74"/>
      <c r="AF6402" s="80"/>
      <c r="AH6402" s="497">
        <v>44.6</v>
      </c>
      <c r="AJ6402" s="42"/>
      <c r="AK6402" s="74"/>
      <c r="AL6402" s="80"/>
      <c r="AN6402" s="497">
        <v>46.58</v>
      </c>
      <c r="AP6402" s="42"/>
      <c r="AQ6402" s="74"/>
      <c r="AR6402" s="80"/>
      <c r="AT6402" s="497">
        <v>48.019999999999996</v>
      </c>
      <c r="AV6402" s="42"/>
      <c r="AW6402" s="74"/>
      <c r="AX6402" s="80"/>
      <c r="BA6402" s="497">
        <v>68</v>
      </c>
      <c r="BB6402" s="42"/>
      <c r="BC6402" s="74"/>
      <c r="BD6402" s="80"/>
      <c r="BF6402">
        <v>60.08</v>
      </c>
      <c r="BH6402" s="42"/>
      <c r="BI6402" s="74"/>
      <c r="BJ6402" s="80"/>
      <c r="BL6402" s="497">
        <v>42.08</v>
      </c>
      <c r="BN6402" s="42"/>
      <c r="BO6402" s="74"/>
      <c r="BP6402" s="80"/>
      <c r="BR6402" s="497">
        <v>37.94</v>
      </c>
      <c r="BT6402" s="42"/>
    </row>
    <row r="6403" spans="1:72" x14ac:dyDescent="0.25">
      <c r="A6403" s="90">
        <v>34966</v>
      </c>
      <c r="B6403" s="20">
        <v>4.1666666666666664E-2</v>
      </c>
      <c r="D6403">
        <v>69.080000000000013</v>
      </c>
      <c r="E6403" t="str">
        <f t="shared" si="234"/>
        <v>SUNDAY</v>
      </c>
      <c r="F6403" t="e">
        <f t="shared" si="235"/>
        <v>#N/A</v>
      </c>
      <c r="G6403" s="74">
        <v>29122</v>
      </c>
      <c r="H6403" s="77">
        <v>4.1666666666666664E-2</v>
      </c>
      <c r="J6403">
        <v>55.040000000000006</v>
      </c>
      <c r="M6403" s="74">
        <v>37888</v>
      </c>
      <c r="N6403" s="77">
        <v>4.1666666666666664E-2</v>
      </c>
      <c r="P6403">
        <v>57.2</v>
      </c>
      <c r="S6403" s="74">
        <v>34966</v>
      </c>
      <c r="T6403" s="77">
        <v>4.1666666666666664E-2</v>
      </c>
      <c r="V6403">
        <v>55.040000000000006</v>
      </c>
      <c r="X6403" s="42"/>
      <c r="AB6403">
        <v>63.4</v>
      </c>
      <c r="AC6403">
        <v>57.92</v>
      </c>
      <c r="AE6403" s="74"/>
      <c r="AF6403" s="77"/>
      <c r="AH6403" s="497">
        <v>46.4</v>
      </c>
      <c r="AJ6403" s="42"/>
      <c r="AK6403" s="74"/>
      <c r="AL6403" s="77"/>
      <c r="AN6403" s="497">
        <v>44.96</v>
      </c>
      <c r="AP6403" s="42"/>
      <c r="AQ6403" s="74"/>
      <c r="AR6403" s="77"/>
      <c r="AT6403" s="497">
        <v>48.92</v>
      </c>
      <c r="AV6403" s="42"/>
      <c r="AW6403" s="74"/>
      <c r="AX6403" s="77"/>
      <c r="BA6403" s="497">
        <v>68</v>
      </c>
      <c r="BB6403" s="42"/>
      <c r="BC6403" s="74"/>
      <c r="BD6403" s="77"/>
      <c r="BF6403">
        <v>60.08</v>
      </c>
      <c r="BH6403" s="42"/>
      <c r="BI6403" s="74"/>
      <c r="BJ6403" s="77"/>
      <c r="BL6403" s="497">
        <v>42.980000000000004</v>
      </c>
      <c r="BN6403" s="42"/>
      <c r="BO6403" s="74"/>
      <c r="BP6403" s="77"/>
      <c r="BR6403" s="497">
        <v>35.96</v>
      </c>
      <c r="BT6403" s="42"/>
    </row>
    <row r="6404" spans="1:72" x14ac:dyDescent="0.25">
      <c r="A6404" s="90">
        <v>34966</v>
      </c>
      <c r="B6404" s="20">
        <v>8.3333333333333329E-2</v>
      </c>
      <c r="D6404">
        <v>69.080000000000013</v>
      </c>
      <c r="E6404" t="str">
        <f t="shared" si="234"/>
        <v>SUNDAY</v>
      </c>
      <c r="F6404" t="e">
        <f t="shared" si="235"/>
        <v>#N/A</v>
      </c>
      <c r="G6404" s="74">
        <v>29122</v>
      </c>
      <c r="H6404" s="77">
        <v>8.3333333333333329E-2</v>
      </c>
      <c r="J6404">
        <v>53.96</v>
      </c>
      <c r="M6404" s="74">
        <v>37888</v>
      </c>
      <c r="N6404" s="77">
        <v>8.3333333333333329E-2</v>
      </c>
      <c r="P6404">
        <v>57.2</v>
      </c>
      <c r="S6404" s="74">
        <v>34966</v>
      </c>
      <c r="T6404" s="77">
        <v>8.3333333333333329E-2</v>
      </c>
      <c r="V6404">
        <v>55.040000000000006</v>
      </c>
      <c r="X6404" s="42"/>
      <c r="AB6404">
        <v>62.8</v>
      </c>
      <c r="AC6404">
        <v>57.019999999999996</v>
      </c>
      <c r="AE6404" s="74"/>
      <c r="AF6404" s="77"/>
      <c r="AH6404" s="497">
        <v>44.6</v>
      </c>
      <c r="AJ6404" s="42"/>
      <c r="AK6404" s="74"/>
      <c r="AL6404" s="77"/>
      <c r="AN6404" s="497">
        <v>44.06</v>
      </c>
      <c r="AP6404" s="42"/>
      <c r="AQ6404" s="74"/>
      <c r="AR6404" s="77"/>
      <c r="AT6404" s="497">
        <v>50</v>
      </c>
      <c r="AV6404" s="42"/>
      <c r="AW6404" s="74"/>
      <c r="AX6404" s="77"/>
      <c r="BA6404" s="497">
        <v>69.080000000000013</v>
      </c>
      <c r="BB6404" s="42"/>
      <c r="BC6404" s="74"/>
      <c r="BD6404" s="77"/>
      <c r="BF6404">
        <v>60.08</v>
      </c>
      <c r="BH6404" s="42"/>
      <c r="BI6404" s="74"/>
      <c r="BJ6404" s="77"/>
      <c r="BL6404" s="497">
        <v>42.08</v>
      </c>
      <c r="BN6404" s="42"/>
      <c r="BO6404" s="74"/>
      <c r="BP6404" s="77"/>
      <c r="BR6404" s="497">
        <v>35.24</v>
      </c>
      <c r="BT6404" s="42"/>
    </row>
    <row r="6405" spans="1:72" x14ac:dyDescent="0.25">
      <c r="A6405" s="90">
        <v>34966</v>
      </c>
      <c r="B6405" s="20">
        <v>0.125</v>
      </c>
      <c r="D6405">
        <v>69.98</v>
      </c>
      <c r="E6405" t="str">
        <f t="shared" si="234"/>
        <v>SUNDAY</v>
      </c>
      <c r="F6405" t="e">
        <f t="shared" si="235"/>
        <v>#N/A</v>
      </c>
      <c r="G6405" s="74">
        <v>29122</v>
      </c>
      <c r="H6405" s="77">
        <v>0.125</v>
      </c>
      <c r="J6405">
        <v>53.06</v>
      </c>
      <c r="M6405" s="74">
        <v>37888</v>
      </c>
      <c r="N6405" s="77">
        <v>0.125</v>
      </c>
      <c r="P6405">
        <v>53.6</v>
      </c>
      <c r="S6405" s="74">
        <v>34966</v>
      </c>
      <c r="T6405" s="77">
        <v>0.125</v>
      </c>
      <c r="V6405">
        <v>53.06</v>
      </c>
      <c r="X6405" s="42"/>
      <c r="AB6405">
        <v>62.2</v>
      </c>
      <c r="AC6405">
        <v>57.019999999999996</v>
      </c>
      <c r="AE6405" s="74"/>
      <c r="AF6405" s="77"/>
      <c r="AH6405" s="497">
        <v>42.8</v>
      </c>
      <c r="AJ6405" s="42"/>
      <c r="AK6405" s="74"/>
      <c r="AL6405" s="77"/>
      <c r="AN6405" s="497">
        <v>42.980000000000004</v>
      </c>
      <c r="AP6405" s="42"/>
      <c r="AQ6405" s="74"/>
      <c r="AR6405" s="77"/>
      <c r="AT6405" s="497">
        <v>50</v>
      </c>
      <c r="AV6405" s="42"/>
      <c r="AW6405" s="74"/>
      <c r="AX6405" s="77"/>
      <c r="BA6405" s="497">
        <v>62.6</v>
      </c>
      <c r="BB6405" s="42"/>
      <c r="BC6405" s="74"/>
      <c r="BD6405" s="77"/>
      <c r="BF6405">
        <v>60.08</v>
      </c>
      <c r="BH6405" s="42"/>
      <c r="BI6405" s="74"/>
      <c r="BJ6405" s="77"/>
      <c r="BL6405" s="497">
        <v>42.08</v>
      </c>
      <c r="BN6405" s="42"/>
      <c r="BO6405" s="74"/>
      <c r="BP6405" s="77"/>
      <c r="BR6405" s="497">
        <v>34.700000000000003</v>
      </c>
      <c r="BT6405" s="42"/>
    </row>
    <row r="6406" spans="1:72" x14ac:dyDescent="0.25">
      <c r="A6406" s="90">
        <v>34966</v>
      </c>
      <c r="B6406" s="20">
        <v>0.16666666666666666</v>
      </c>
      <c r="D6406">
        <v>69.98</v>
      </c>
      <c r="E6406" t="str">
        <f t="shared" si="234"/>
        <v>SUNDAY</v>
      </c>
      <c r="F6406" t="e">
        <f t="shared" si="235"/>
        <v>#N/A</v>
      </c>
      <c r="G6406" s="74">
        <v>29122</v>
      </c>
      <c r="H6406" s="77">
        <v>0.16666666666666666</v>
      </c>
      <c r="J6406">
        <v>51.980000000000004</v>
      </c>
      <c r="M6406" s="74">
        <v>37888</v>
      </c>
      <c r="N6406" s="77">
        <v>0.16666666666666666</v>
      </c>
      <c r="P6406">
        <v>53.6</v>
      </c>
      <c r="S6406" s="74">
        <v>34966</v>
      </c>
      <c r="T6406" s="77">
        <v>0.16666666666666666</v>
      </c>
      <c r="V6406">
        <v>51.980000000000004</v>
      </c>
      <c r="X6406" s="42"/>
      <c r="AB6406">
        <v>61.7</v>
      </c>
      <c r="AC6406">
        <v>57.019999999999996</v>
      </c>
      <c r="AE6406" s="74"/>
      <c r="AF6406" s="77"/>
      <c r="AH6406" s="497">
        <v>41</v>
      </c>
      <c r="AJ6406" s="42"/>
      <c r="AK6406" s="74"/>
      <c r="AL6406" s="77"/>
      <c r="AN6406" s="497">
        <v>42.08</v>
      </c>
      <c r="AP6406" s="42"/>
      <c r="AQ6406" s="74"/>
      <c r="AR6406" s="77"/>
      <c r="AT6406" s="497">
        <v>48.92</v>
      </c>
      <c r="AV6406" s="42"/>
      <c r="AW6406" s="74"/>
      <c r="AX6406" s="77"/>
      <c r="BA6406" s="497">
        <v>60.980000000000004</v>
      </c>
      <c r="BB6406" s="42"/>
      <c r="BC6406" s="74"/>
      <c r="BD6406" s="77"/>
      <c r="BF6406">
        <v>60.08</v>
      </c>
      <c r="BH6406" s="42"/>
      <c r="BI6406" s="74"/>
      <c r="BJ6406" s="77"/>
      <c r="BL6406" s="497">
        <v>42.08</v>
      </c>
      <c r="BN6406" s="42"/>
      <c r="BO6406" s="74"/>
      <c r="BP6406" s="77"/>
      <c r="BR6406" s="497">
        <v>33.979999999999997</v>
      </c>
      <c r="BT6406" s="42"/>
    </row>
    <row r="6407" spans="1:72" x14ac:dyDescent="0.25">
      <c r="A6407" s="90">
        <v>34966</v>
      </c>
      <c r="B6407" s="20">
        <v>0.20833333333333334</v>
      </c>
      <c r="D6407">
        <v>69.98</v>
      </c>
      <c r="E6407" t="str">
        <f t="shared" si="234"/>
        <v>SUNDAY</v>
      </c>
      <c r="F6407" t="e">
        <f t="shared" si="235"/>
        <v>#N/A</v>
      </c>
      <c r="G6407" s="74">
        <v>29122</v>
      </c>
      <c r="H6407" s="77">
        <v>0.20833333333333334</v>
      </c>
      <c r="J6407">
        <v>52.34</v>
      </c>
      <c r="M6407" s="74">
        <v>37888</v>
      </c>
      <c r="N6407" s="77">
        <v>0.20833333333333334</v>
      </c>
      <c r="P6407">
        <v>51.8</v>
      </c>
      <c r="S6407" s="74">
        <v>34966</v>
      </c>
      <c r="T6407" s="77">
        <v>0.20833333333333334</v>
      </c>
      <c r="V6407">
        <v>51.08</v>
      </c>
      <c r="X6407" s="42"/>
      <c r="AB6407">
        <v>61.4</v>
      </c>
      <c r="AC6407">
        <v>59</v>
      </c>
      <c r="AE6407" s="74"/>
      <c r="AF6407" s="77"/>
      <c r="AH6407" s="497">
        <v>41</v>
      </c>
      <c r="AJ6407" s="42"/>
      <c r="AK6407" s="74"/>
      <c r="AL6407" s="77"/>
      <c r="AN6407" s="497">
        <v>41.72</v>
      </c>
      <c r="AP6407" s="42"/>
      <c r="AQ6407" s="74"/>
      <c r="AR6407" s="77"/>
      <c r="AT6407" s="497">
        <v>50</v>
      </c>
      <c r="AV6407" s="42"/>
      <c r="AW6407" s="74"/>
      <c r="AX6407" s="77"/>
      <c r="BA6407" s="497">
        <v>60.08</v>
      </c>
      <c r="BB6407" s="42"/>
      <c r="BC6407" s="74"/>
      <c r="BD6407" s="77"/>
      <c r="BF6407">
        <v>60.08</v>
      </c>
      <c r="BH6407" s="42"/>
      <c r="BI6407" s="74"/>
      <c r="BJ6407" s="77"/>
      <c r="BL6407" s="497">
        <v>42.08</v>
      </c>
      <c r="BN6407" s="42"/>
      <c r="BO6407" s="74"/>
      <c r="BP6407" s="77"/>
      <c r="BR6407" s="497">
        <v>33.619999999999997</v>
      </c>
      <c r="BT6407" s="42"/>
    </row>
    <row r="6408" spans="1:72" x14ac:dyDescent="0.25">
      <c r="A6408" s="90">
        <v>34966</v>
      </c>
      <c r="B6408" s="20">
        <v>0.25</v>
      </c>
      <c r="D6408">
        <v>71.06</v>
      </c>
      <c r="E6408" t="str">
        <f t="shared" si="234"/>
        <v>SUNDAY</v>
      </c>
      <c r="F6408" t="e">
        <f t="shared" si="235"/>
        <v>#N/A</v>
      </c>
      <c r="G6408" s="74">
        <v>29122</v>
      </c>
      <c r="H6408" s="77">
        <v>0.25</v>
      </c>
      <c r="J6408">
        <v>52.7</v>
      </c>
      <c r="M6408" s="74">
        <v>37888</v>
      </c>
      <c r="N6408" s="77">
        <v>0.25</v>
      </c>
      <c r="P6408">
        <v>53.6</v>
      </c>
      <c r="S6408" s="74">
        <v>34966</v>
      </c>
      <c r="T6408" s="77">
        <v>0.25</v>
      </c>
      <c r="V6408">
        <v>50</v>
      </c>
      <c r="X6408" s="42"/>
      <c r="AB6408">
        <v>61.1</v>
      </c>
      <c r="AC6408">
        <v>60.08</v>
      </c>
      <c r="AE6408" s="74"/>
      <c r="AF6408" s="77"/>
      <c r="AH6408" s="497">
        <v>39.200000000000003</v>
      </c>
      <c r="AJ6408" s="42"/>
      <c r="AK6408" s="74"/>
      <c r="AL6408" s="77"/>
      <c r="AN6408" s="497">
        <v>41.36</v>
      </c>
      <c r="AP6408" s="42"/>
      <c r="AQ6408" s="74"/>
      <c r="AR6408" s="77"/>
      <c r="AT6408" s="497">
        <v>48.92</v>
      </c>
      <c r="AV6408" s="42"/>
      <c r="AW6408" s="74"/>
      <c r="AX6408" s="77"/>
      <c r="BA6408" s="497">
        <v>59</v>
      </c>
      <c r="BB6408" s="42"/>
      <c r="BC6408" s="74"/>
      <c r="BD6408" s="77"/>
      <c r="BF6408">
        <v>59</v>
      </c>
      <c r="BH6408" s="42"/>
      <c r="BI6408" s="74"/>
      <c r="BJ6408" s="77"/>
      <c r="BL6408" s="497">
        <v>42.08</v>
      </c>
      <c r="BN6408" s="42"/>
      <c r="BO6408" s="74"/>
      <c r="BP6408" s="77"/>
      <c r="BR6408" s="497">
        <v>33.44</v>
      </c>
      <c r="BT6408" s="42"/>
    </row>
    <row r="6409" spans="1:72" x14ac:dyDescent="0.25">
      <c r="A6409" s="90">
        <v>34966</v>
      </c>
      <c r="B6409" s="20">
        <v>0.29166666666666669</v>
      </c>
      <c r="D6409">
        <v>71.960000000000008</v>
      </c>
      <c r="E6409" t="str">
        <f t="shared" si="234"/>
        <v>SUNDAY</v>
      </c>
      <c r="F6409" t="e">
        <f t="shared" si="235"/>
        <v>#N/A</v>
      </c>
      <c r="G6409" s="74">
        <v>29122</v>
      </c>
      <c r="H6409" s="77">
        <v>0.29166666666666669</v>
      </c>
      <c r="J6409">
        <v>53.06</v>
      </c>
      <c r="M6409" s="74">
        <v>37888</v>
      </c>
      <c r="N6409" s="77">
        <v>0.29166666666666669</v>
      </c>
      <c r="P6409">
        <v>57.2</v>
      </c>
      <c r="S6409" s="74">
        <v>34966</v>
      </c>
      <c r="T6409" s="77">
        <v>0.29166666666666669</v>
      </c>
      <c r="V6409">
        <v>53.96</v>
      </c>
      <c r="X6409" s="42"/>
      <c r="AB6409">
        <v>60.9</v>
      </c>
      <c r="AC6409">
        <v>62.06</v>
      </c>
      <c r="AE6409" s="74"/>
      <c r="AF6409" s="77"/>
      <c r="AH6409" s="497">
        <v>43.34</v>
      </c>
      <c r="AJ6409" s="42"/>
      <c r="AK6409" s="74"/>
      <c r="AL6409" s="77"/>
      <c r="AN6409" s="497">
        <v>41</v>
      </c>
      <c r="AP6409" s="42"/>
      <c r="AQ6409" s="74"/>
      <c r="AR6409" s="77"/>
      <c r="AT6409" s="497">
        <v>48.92</v>
      </c>
      <c r="AV6409" s="42"/>
      <c r="AW6409" s="74"/>
      <c r="AX6409" s="77"/>
      <c r="BA6409" s="497">
        <v>55.94</v>
      </c>
      <c r="BB6409" s="42"/>
      <c r="BC6409" s="74"/>
      <c r="BD6409" s="77"/>
      <c r="BF6409">
        <v>59</v>
      </c>
      <c r="BH6409" s="42"/>
      <c r="BI6409" s="74"/>
      <c r="BJ6409" s="77"/>
      <c r="BL6409" s="497">
        <v>44.06</v>
      </c>
      <c r="BN6409" s="42"/>
      <c r="BO6409" s="74"/>
      <c r="BP6409" s="77"/>
      <c r="BR6409" s="497">
        <v>33.08</v>
      </c>
      <c r="BT6409" s="42"/>
    </row>
    <row r="6410" spans="1:72" x14ac:dyDescent="0.25">
      <c r="A6410" s="90">
        <v>34966</v>
      </c>
      <c r="B6410" s="20">
        <v>0.33333333333333331</v>
      </c>
      <c r="D6410">
        <v>73.400000000000006</v>
      </c>
      <c r="E6410" t="str">
        <f t="shared" si="234"/>
        <v>SUNDAY</v>
      </c>
      <c r="F6410" t="e">
        <f t="shared" si="235"/>
        <v>#N/A</v>
      </c>
      <c r="G6410" s="74">
        <v>29122</v>
      </c>
      <c r="H6410" s="77">
        <v>0.33333333333333331</v>
      </c>
      <c r="J6410">
        <v>56.120000000000005</v>
      </c>
      <c r="M6410" s="74">
        <v>37888</v>
      </c>
      <c r="N6410" s="77">
        <v>0.33333333333333331</v>
      </c>
      <c r="P6410">
        <v>60.8</v>
      </c>
      <c r="S6410" s="74">
        <v>34966</v>
      </c>
      <c r="T6410" s="77">
        <v>0.33333333333333331</v>
      </c>
      <c r="V6410">
        <v>57.019999999999996</v>
      </c>
      <c r="X6410" s="42"/>
      <c r="AB6410">
        <v>62.6</v>
      </c>
      <c r="AC6410">
        <v>64.94</v>
      </c>
      <c r="AE6410" s="74"/>
      <c r="AF6410" s="77"/>
      <c r="AH6410" s="497">
        <v>48.2</v>
      </c>
      <c r="AJ6410" s="42"/>
      <c r="AK6410" s="74"/>
      <c r="AL6410" s="77"/>
      <c r="AN6410" s="497">
        <v>43.7</v>
      </c>
      <c r="AP6410" s="42"/>
      <c r="AQ6410" s="74"/>
      <c r="AR6410" s="77"/>
      <c r="AT6410" s="497">
        <v>50</v>
      </c>
      <c r="AV6410" s="42"/>
      <c r="AW6410" s="74"/>
      <c r="AX6410" s="77"/>
      <c r="BA6410" s="497">
        <v>53.96</v>
      </c>
      <c r="BB6410" s="42"/>
      <c r="BC6410" s="74"/>
      <c r="BD6410" s="77"/>
      <c r="BF6410">
        <v>60.08</v>
      </c>
      <c r="BH6410" s="42"/>
      <c r="BI6410" s="74"/>
      <c r="BJ6410" s="77"/>
      <c r="BL6410" s="497">
        <v>48.019999999999996</v>
      </c>
      <c r="BN6410" s="42"/>
      <c r="BO6410" s="74"/>
      <c r="BP6410" s="77"/>
      <c r="BR6410" s="497">
        <v>38.299999999999997</v>
      </c>
      <c r="BT6410" s="42"/>
    </row>
    <row r="6411" spans="1:72" x14ac:dyDescent="0.25">
      <c r="A6411" s="90">
        <v>34966</v>
      </c>
      <c r="B6411" s="20">
        <v>0.375</v>
      </c>
      <c r="D6411">
        <v>73.94</v>
      </c>
      <c r="E6411" t="str">
        <f t="shared" si="234"/>
        <v>SUNDAY</v>
      </c>
      <c r="F6411" t="e">
        <f t="shared" si="235"/>
        <v>#N/A</v>
      </c>
      <c r="G6411" s="74">
        <v>29122</v>
      </c>
      <c r="H6411" s="77">
        <v>0.375</v>
      </c>
      <c r="J6411">
        <v>59</v>
      </c>
      <c r="M6411" s="74">
        <v>37888</v>
      </c>
      <c r="N6411" s="77">
        <v>0.375</v>
      </c>
      <c r="P6411">
        <v>64.400000000000006</v>
      </c>
      <c r="S6411" s="74">
        <v>34966</v>
      </c>
      <c r="T6411" s="77">
        <v>0.375</v>
      </c>
      <c r="V6411">
        <v>59</v>
      </c>
      <c r="X6411" s="42"/>
      <c r="AB6411">
        <v>64.900000000000006</v>
      </c>
      <c r="AC6411">
        <v>68</v>
      </c>
      <c r="AE6411" s="74"/>
      <c r="AF6411" s="77"/>
      <c r="AH6411" s="497">
        <v>51.8</v>
      </c>
      <c r="AJ6411" s="42"/>
      <c r="AK6411" s="74"/>
      <c r="AL6411" s="77"/>
      <c r="AN6411" s="497">
        <v>46.22</v>
      </c>
      <c r="AP6411" s="42"/>
      <c r="AQ6411" s="74"/>
      <c r="AR6411" s="77"/>
      <c r="AT6411" s="497">
        <v>51.08</v>
      </c>
      <c r="AV6411" s="42"/>
      <c r="AW6411" s="74"/>
      <c r="AX6411" s="77"/>
      <c r="BA6411" s="497">
        <v>53.6</v>
      </c>
      <c r="BB6411" s="42"/>
      <c r="BC6411" s="74"/>
      <c r="BD6411" s="77"/>
      <c r="BF6411">
        <v>62.06</v>
      </c>
      <c r="BH6411" s="42"/>
      <c r="BI6411" s="74"/>
      <c r="BJ6411" s="77"/>
      <c r="BL6411" s="497">
        <v>51.08</v>
      </c>
      <c r="BN6411" s="42"/>
      <c r="BO6411" s="74"/>
      <c r="BP6411" s="77"/>
      <c r="BR6411" s="497">
        <v>43.7</v>
      </c>
      <c r="BT6411" s="42"/>
    </row>
    <row r="6412" spans="1:72" x14ac:dyDescent="0.25">
      <c r="A6412" s="90">
        <v>34966</v>
      </c>
      <c r="B6412" s="20">
        <v>0.41666666666666669</v>
      </c>
      <c r="D6412">
        <v>75.92</v>
      </c>
      <c r="E6412" t="str">
        <f t="shared" si="234"/>
        <v>SUNDAY</v>
      </c>
      <c r="F6412" t="e">
        <f t="shared" si="235"/>
        <v>#N/A</v>
      </c>
      <c r="G6412" s="74">
        <v>29122</v>
      </c>
      <c r="H6412" s="77">
        <v>0.41666666666666669</v>
      </c>
      <c r="J6412">
        <v>62.06</v>
      </c>
      <c r="M6412" s="74">
        <v>37888</v>
      </c>
      <c r="N6412" s="77">
        <v>0.41666666666666669</v>
      </c>
      <c r="P6412">
        <v>66.2</v>
      </c>
      <c r="S6412" s="74">
        <v>34966</v>
      </c>
      <c r="T6412" s="77">
        <v>0.41666666666666669</v>
      </c>
      <c r="V6412">
        <v>62.06</v>
      </c>
      <c r="X6412" s="42"/>
      <c r="AB6412">
        <v>66.900000000000006</v>
      </c>
      <c r="AC6412">
        <v>69.98</v>
      </c>
      <c r="AE6412" s="74"/>
      <c r="AF6412" s="77"/>
      <c r="AH6412" s="497">
        <v>55.400000000000006</v>
      </c>
      <c r="AJ6412" s="42"/>
      <c r="AK6412" s="74"/>
      <c r="AL6412" s="77"/>
      <c r="AN6412" s="497">
        <v>48.92</v>
      </c>
      <c r="AP6412" s="42"/>
      <c r="AQ6412" s="74"/>
      <c r="AR6412" s="77"/>
      <c r="AT6412" s="497">
        <v>51.980000000000004</v>
      </c>
      <c r="AV6412" s="42"/>
      <c r="AW6412" s="74"/>
      <c r="AX6412" s="77"/>
      <c r="BA6412" s="497">
        <v>53.96</v>
      </c>
      <c r="BB6412" s="42"/>
      <c r="BC6412" s="74"/>
      <c r="BD6412" s="77"/>
      <c r="BF6412">
        <v>64.039999999999992</v>
      </c>
      <c r="BH6412" s="42"/>
      <c r="BI6412" s="74"/>
      <c r="BJ6412" s="77"/>
      <c r="BL6412" s="497">
        <v>55.040000000000006</v>
      </c>
      <c r="BN6412" s="42"/>
      <c r="BO6412" s="74"/>
      <c r="BP6412" s="77"/>
      <c r="BR6412" s="497">
        <v>48.92</v>
      </c>
      <c r="BT6412" s="42"/>
    </row>
    <row r="6413" spans="1:72" x14ac:dyDescent="0.25">
      <c r="A6413" s="90">
        <v>34966</v>
      </c>
      <c r="B6413" s="20">
        <v>0.45833333333333331</v>
      </c>
      <c r="D6413">
        <v>75.02</v>
      </c>
      <c r="E6413" t="str">
        <f t="shared" si="234"/>
        <v>SUNDAY</v>
      </c>
      <c r="F6413" t="e">
        <f t="shared" si="235"/>
        <v>#N/A</v>
      </c>
      <c r="G6413" s="74">
        <v>29122</v>
      </c>
      <c r="H6413" s="77">
        <v>0.45833333333333331</v>
      </c>
      <c r="J6413">
        <v>62.96</v>
      </c>
      <c r="M6413" s="74">
        <v>37888</v>
      </c>
      <c r="N6413" s="77">
        <v>0.45833333333333331</v>
      </c>
      <c r="P6413">
        <v>66.2</v>
      </c>
      <c r="S6413" s="74">
        <v>34966</v>
      </c>
      <c r="T6413" s="77">
        <v>0.45833333333333331</v>
      </c>
      <c r="V6413">
        <v>62.96</v>
      </c>
      <c r="X6413" s="42"/>
      <c r="AB6413">
        <v>68.599999999999994</v>
      </c>
      <c r="AC6413">
        <v>69.98</v>
      </c>
      <c r="AE6413" s="74"/>
      <c r="AF6413" s="77"/>
      <c r="AH6413" s="497">
        <v>57.2</v>
      </c>
      <c r="AJ6413" s="42"/>
      <c r="AK6413" s="74"/>
      <c r="AL6413" s="77"/>
      <c r="AN6413" s="497">
        <v>50.36</v>
      </c>
      <c r="AP6413" s="42"/>
      <c r="AQ6413" s="74"/>
      <c r="AR6413" s="77"/>
      <c r="AT6413" s="497">
        <v>53.06</v>
      </c>
      <c r="AV6413" s="42"/>
      <c r="AW6413" s="74"/>
      <c r="AX6413" s="77"/>
      <c r="BA6413" s="497">
        <v>55.94</v>
      </c>
      <c r="BB6413" s="42"/>
      <c r="BC6413" s="74"/>
      <c r="BD6413" s="77"/>
      <c r="BF6413">
        <v>64.94</v>
      </c>
      <c r="BH6413" s="42"/>
      <c r="BI6413" s="74"/>
      <c r="BJ6413" s="77"/>
      <c r="BL6413" s="497">
        <v>57.92</v>
      </c>
      <c r="BN6413" s="42"/>
      <c r="BO6413" s="74"/>
      <c r="BP6413" s="77"/>
      <c r="BR6413" s="497">
        <v>50.900000000000006</v>
      </c>
      <c r="BT6413" s="42"/>
    </row>
    <row r="6414" spans="1:72" x14ac:dyDescent="0.25">
      <c r="A6414" s="90">
        <v>34966</v>
      </c>
      <c r="B6414" s="20">
        <v>0.5</v>
      </c>
      <c r="D6414">
        <v>75.92</v>
      </c>
      <c r="E6414" t="str">
        <f t="shared" si="234"/>
        <v>SUNDAY</v>
      </c>
      <c r="F6414" t="e">
        <f t="shared" si="235"/>
        <v>#N/A</v>
      </c>
      <c r="G6414" s="74">
        <v>29122</v>
      </c>
      <c r="H6414" s="77">
        <v>0.5</v>
      </c>
      <c r="J6414">
        <v>64.039999999999992</v>
      </c>
      <c r="M6414" s="74">
        <v>37888</v>
      </c>
      <c r="N6414" s="77">
        <v>0.5</v>
      </c>
      <c r="P6414">
        <v>69.800000000000011</v>
      </c>
      <c r="S6414" s="74">
        <v>34966</v>
      </c>
      <c r="T6414" s="77">
        <v>0.5</v>
      </c>
      <c r="V6414">
        <v>64.039999999999992</v>
      </c>
      <c r="X6414" s="42"/>
      <c r="AB6414">
        <v>69.900000000000006</v>
      </c>
      <c r="AC6414">
        <v>69.080000000000013</v>
      </c>
      <c r="AE6414" s="74"/>
      <c r="AF6414" s="77"/>
      <c r="AH6414" s="497">
        <v>57.2</v>
      </c>
      <c r="AJ6414" s="42"/>
      <c r="AK6414" s="74"/>
      <c r="AL6414" s="77"/>
      <c r="AN6414" s="497">
        <v>51.620000000000005</v>
      </c>
      <c r="AP6414" s="42"/>
      <c r="AQ6414" s="74"/>
      <c r="AR6414" s="77"/>
      <c r="AT6414" s="497">
        <v>53.96</v>
      </c>
      <c r="AV6414" s="42"/>
      <c r="AW6414" s="74"/>
      <c r="AX6414" s="77"/>
      <c r="BA6414" s="497">
        <v>57.019999999999996</v>
      </c>
      <c r="BB6414" s="42"/>
      <c r="BC6414" s="74"/>
      <c r="BD6414" s="77"/>
      <c r="BF6414">
        <v>68</v>
      </c>
      <c r="BH6414" s="42"/>
      <c r="BI6414" s="74"/>
      <c r="BJ6414" s="77"/>
      <c r="BL6414" s="497">
        <v>59</v>
      </c>
      <c r="BN6414" s="42"/>
      <c r="BO6414" s="74"/>
      <c r="BP6414" s="77"/>
      <c r="BR6414" s="497">
        <v>53.06</v>
      </c>
      <c r="BT6414" s="42"/>
    </row>
    <row r="6415" spans="1:72" x14ac:dyDescent="0.25">
      <c r="A6415" s="90">
        <v>34966</v>
      </c>
      <c r="B6415" s="20">
        <v>0.54166666666666663</v>
      </c>
      <c r="D6415">
        <v>75.92</v>
      </c>
      <c r="E6415" t="str">
        <f t="shared" si="234"/>
        <v>SUNDAY</v>
      </c>
      <c r="F6415" t="e">
        <f t="shared" si="235"/>
        <v>#N/A</v>
      </c>
      <c r="G6415" s="74">
        <v>29122</v>
      </c>
      <c r="H6415" s="77">
        <v>0.54166666666666663</v>
      </c>
      <c r="J6415">
        <v>64.94</v>
      </c>
      <c r="M6415" s="74">
        <v>37888</v>
      </c>
      <c r="N6415" s="77">
        <v>0.54166666666666663</v>
      </c>
      <c r="P6415">
        <v>69.800000000000011</v>
      </c>
      <c r="S6415" s="74">
        <v>34966</v>
      </c>
      <c r="T6415" s="77">
        <v>0.54166666666666663</v>
      </c>
      <c r="V6415">
        <v>64.94</v>
      </c>
      <c r="X6415" s="42"/>
      <c r="AB6415">
        <v>70.900000000000006</v>
      </c>
      <c r="AC6415">
        <v>69.98</v>
      </c>
      <c r="AE6415" s="74"/>
      <c r="AF6415" s="77"/>
      <c r="AH6415" s="497">
        <v>57.2</v>
      </c>
      <c r="AJ6415" s="42"/>
      <c r="AK6415" s="74"/>
      <c r="AL6415" s="77"/>
      <c r="AN6415" s="497">
        <v>53.06</v>
      </c>
      <c r="AP6415" s="42"/>
      <c r="AQ6415" s="74"/>
      <c r="AR6415" s="77"/>
      <c r="AT6415" s="497">
        <v>57.019999999999996</v>
      </c>
      <c r="AV6415" s="42"/>
      <c r="AW6415" s="74"/>
      <c r="AX6415" s="77"/>
      <c r="BA6415" s="497">
        <v>57.019999999999996</v>
      </c>
      <c r="BB6415" s="42"/>
      <c r="BC6415" s="74"/>
      <c r="BD6415" s="77"/>
      <c r="BF6415">
        <v>66.02</v>
      </c>
      <c r="BH6415" s="42"/>
      <c r="BI6415" s="74"/>
      <c r="BJ6415" s="77"/>
      <c r="BL6415" s="497">
        <v>60.08</v>
      </c>
      <c r="BN6415" s="42"/>
      <c r="BO6415" s="74"/>
      <c r="BP6415" s="77"/>
      <c r="BR6415" s="497">
        <v>55.040000000000006</v>
      </c>
      <c r="BT6415" s="42"/>
    </row>
    <row r="6416" spans="1:72" x14ac:dyDescent="0.25">
      <c r="A6416" s="90">
        <v>34966</v>
      </c>
      <c r="B6416" s="20">
        <v>0.58333333333333337</v>
      </c>
      <c r="D6416">
        <v>75.92</v>
      </c>
      <c r="E6416" t="str">
        <f t="shared" si="234"/>
        <v>SUNDAY</v>
      </c>
      <c r="F6416" t="e">
        <f t="shared" si="235"/>
        <v>#N/A</v>
      </c>
      <c r="G6416" s="74">
        <v>29122</v>
      </c>
      <c r="H6416" s="77">
        <v>0.58333333333333337</v>
      </c>
      <c r="J6416">
        <v>64.94</v>
      </c>
      <c r="M6416" s="74">
        <v>37888</v>
      </c>
      <c r="N6416" s="77">
        <v>0.58333333333333337</v>
      </c>
      <c r="P6416">
        <v>69.800000000000011</v>
      </c>
      <c r="S6416" s="74">
        <v>34966</v>
      </c>
      <c r="T6416" s="77">
        <v>0.58333333333333337</v>
      </c>
      <c r="V6416">
        <v>66.02</v>
      </c>
      <c r="X6416" s="42"/>
      <c r="AB6416">
        <v>71.2</v>
      </c>
      <c r="AC6416">
        <v>69.080000000000013</v>
      </c>
      <c r="AE6416" s="74"/>
      <c r="AF6416" s="77"/>
      <c r="AH6416" s="497">
        <v>58.1</v>
      </c>
      <c r="AJ6416" s="42"/>
      <c r="AK6416" s="74"/>
      <c r="AL6416" s="77"/>
      <c r="AN6416" s="497">
        <v>53.42</v>
      </c>
      <c r="AP6416" s="42"/>
      <c r="AQ6416" s="74"/>
      <c r="AR6416" s="77"/>
      <c r="AT6416" s="497">
        <v>57.019999999999996</v>
      </c>
      <c r="AV6416" s="42"/>
      <c r="AW6416" s="74"/>
      <c r="AX6416" s="77"/>
      <c r="BA6416" s="497">
        <v>55.040000000000006</v>
      </c>
      <c r="BB6416" s="42"/>
      <c r="BC6416" s="74"/>
      <c r="BD6416" s="77"/>
      <c r="BF6416">
        <v>66.02</v>
      </c>
      <c r="BH6416" s="42"/>
      <c r="BI6416" s="74"/>
      <c r="BJ6416" s="77"/>
      <c r="BL6416" s="497">
        <v>62.96</v>
      </c>
      <c r="BN6416" s="42"/>
      <c r="BO6416" s="74"/>
      <c r="BP6416" s="77"/>
      <c r="BR6416" s="497">
        <v>55.400000000000006</v>
      </c>
      <c r="BT6416" s="42"/>
    </row>
    <row r="6417" spans="1:72" x14ac:dyDescent="0.25">
      <c r="A6417" s="90">
        <v>34966</v>
      </c>
      <c r="B6417" s="20">
        <v>0.625</v>
      </c>
      <c r="D6417">
        <v>75.02</v>
      </c>
      <c r="E6417" t="str">
        <f t="shared" si="234"/>
        <v>SUNDAY</v>
      </c>
      <c r="F6417" t="e">
        <f t="shared" si="235"/>
        <v>#N/A</v>
      </c>
      <c r="G6417" s="74">
        <v>29122</v>
      </c>
      <c r="H6417" s="77">
        <v>0.625</v>
      </c>
      <c r="J6417">
        <v>64.94</v>
      </c>
      <c r="M6417" s="74">
        <v>37888</v>
      </c>
      <c r="N6417" s="77">
        <v>0.625</v>
      </c>
      <c r="P6417">
        <v>69.800000000000011</v>
      </c>
      <c r="S6417" s="74">
        <v>34966</v>
      </c>
      <c r="T6417" s="77">
        <v>0.625</v>
      </c>
      <c r="V6417">
        <v>64.039999999999992</v>
      </c>
      <c r="X6417" s="42"/>
      <c r="AB6417">
        <v>71.3</v>
      </c>
      <c r="AC6417">
        <v>69.080000000000013</v>
      </c>
      <c r="AE6417" s="74"/>
      <c r="AF6417" s="77"/>
      <c r="AH6417" s="497">
        <v>57.74</v>
      </c>
      <c r="AJ6417" s="42"/>
      <c r="AK6417" s="74"/>
      <c r="AL6417" s="77"/>
      <c r="AN6417" s="497">
        <v>53.6</v>
      </c>
      <c r="AP6417" s="42"/>
      <c r="AQ6417" s="74"/>
      <c r="AR6417" s="77"/>
      <c r="AT6417" s="497">
        <v>59</v>
      </c>
      <c r="AV6417" s="42"/>
      <c r="AW6417" s="74"/>
      <c r="AX6417" s="77"/>
      <c r="BA6417" s="497">
        <v>55.040000000000006</v>
      </c>
      <c r="BB6417" s="42"/>
      <c r="BC6417" s="74"/>
      <c r="BD6417" s="77"/>
      <c r="BF6417">
        <v>66.02</v>
      </c>
      <c r="BH6417" s="42"/>
      <c r="BI6417" s="74"/>
      <c r="BJ6417" s="77"/>
      <c r="BL6417" s="497">
        <v>62.96</v>
      </c>
      <c r="BN6417" s="42"/>
      <c r="BO6417" s="74"/>
      <c r="BP6417" s="77"/>
      <c r="BR6417" s="497">
        <v>55.58</v>
      </c>
      <c r="BT6417" s="42"/>
    </row>
    <row r="6418" spans="1:72" x14ac:dyDescent="0.25">
      <c r="A6418" s="90">
        <v>34966</v>
      </c>
      <c r="B6418" s="20">
        <v>0.66666666666666663</v>
      </c>
      <c r="D6418">
        <v>75.02</v>
      </c>
      <c r="E6418" t="str">
        <f t="shared" si="234"/>
        <v>SUNDAY</v>
      </c>
      <c r="F6418" t="e">
        <f t="shared" si="235"/>
        <v>#N/A</v>
      </c>
      <c r="G6418" s="74">
        <v>29122</v>
      </c>
      <c r="H6418" s="77">
        <v>0.66666666666666663</v>
      </c>
      <c r="J6418">
        <v>64.94</v>
      </c>
      <c r="M6418" s="74">
        <v>37888</v>
      </c>
      <c r="N6418" s="77">
        <v>0.66666666666666663</v>
      </c>
      <c r="P6418">
        <v>69.800000000000011</v>
      </c>
      <c r="S6418" s="74">
        <v>34966</v>
      </c>
      <c r="T6418" s="77">
        <v>0.66666666666666663</v>
      </c>
      <c r="V6418">
        <v>62.96</v>
      </c>
      <c r="X6418" s="42"/>
      <c r="AB6418">
        <v>71</v>
      </c>
      <c r="AC6418">
        <v>68</v>
      </c>
      <c r="AE6418" s="74"/>
      <c r="AF6418" s="77"/>
      <c r="AH6418" s="497">
        <v>57.2</v>
      </c>
      <c r="AJ6418" s="42"/>
      <c r="AK6418" s="74"/>
      <c r="AL6418" s="77"/>
      <c r="AN6418" s="497">
        <v>53.96</v>
      </c>
      <c r="AP6418" s="42"/>
      <c r="AQ6418" s="74"/>
      <c r="AR6418" s="77"/>
      <c r="AT6418" s="497">
        <v>62.06</v>
      </c>
      <c r="AV6418" s="42"/>
      <c r="AW6418" s="74"/>
      <c r="AX6418" s="77"/>
      <c r="BA6418" s="497">
        <v>55.94</v>
      </c>
      <c r="BB6418" s="42"/>
      <c r="BC6418" s="74"/>
      <c r="BD6418" s="77"/>
      <c r="BF6418">
        <v>64.94</v>
      </c>
      <c r="BH6418" s="42"/>
      <c r="BI6418" s="74"/>
      <c r="BJ6418" s="77"/>
      <c r="BL6418" s="497">
        <v>62.96</v>
      </c>
      <c r="BN6418" s="42"/>
      <c r="BO6418" s="74"/>
      <c r="BP6418" s="77"/>
      <c r="BR6418" s="497">
        <v>55.94</v>
      </c>
      <c r="BT6418" s="42"/>
    </row>
    <row r="6419" spans="1:72" x14ac:dyDescent="0.25">
      <c r="A6419" s="90">
        <v>34966</v>
      </c>
      <c r="B6419" s="20">
        <v>0.70833333333333337</v>
      </c>
      <c r="D6419">
        <v>73.94</v>
      </c>
      <c r="E6419" t="str">
        <f t="shared" ref="E6419:E6482" si="236">IF(COUNTIF($DI$18:$DI$22, WEEKDAY(A6419))=1, "WEEKDAY", IF(WEEKDAY(A6419) = 1, "SUNDAY", "SATURDAY"))</f>
        <v>SUNDAY</v>
      </c>
      <c r="F6419" t="e">
        <f t="shared" si="235"/>
        <v>#N/A</v>
      </c>
      <c r="G6419" s="74">
        <v>29122</v>
      </c>
      <c r="H6419" s="77">
        <v>0.70833333333333337</v>
      </c>
      <c r="J6419">
        <v>63.680000000000007</v>
      </c>
      <c r="M6419" s="74">
        <v>37888</v>
      </c>
      <c r="N6419" s="77">
        <v>0.70833333333333337</v>
      </c>
      <c r="P6419">
        <v>66.2</v>
      </c>
      <c r="S6419" s="74">
        <v>34966</v>
      </c>
      <c r="T6419" s="77">
        <v>0.70833333333333337</v>
      </c>
      <c r="V6419">
        <v>62.06</v>
      </c>
      <c r="X6419" s="42"/>
      <c r="AB6419">
        <v>70.2</v>
      </c>
      <c r="AC6419">
        <v>66.02</v>
      </c>
      <c r="AE6419" s="74"/>
      <c r="AF6419" s="77"/>
      <c r="AH6419" s="497">
        <v>53.6</v>
      </c>
      <c r="AJ6419" s="42"/>
      <c r="AK6419" s="74"/>
      <c r="AL6419" s="77"/>
      <c r="AN6419" s="497">
        <v>50.900000000000006</v>
      </c>
      <c r="AP6419" s="42"/>
      <c r="AQ6419" s="74"/>
      <c r="AR6419" s="77"/>
      <c r="AT6419" s="497">
        <v>62.06</v>
      </c>
      <c r="AV6419" s="42"/>
      <c r="AW6419" s="74"/>
      <c r="AX6419" s="77"/>
      <c r="BA6419" s="497">
        <v>55.94</v>
      </c>
      <c r="BB6419" s="42"/>
      <c r="BC6419" s="74"/>
      <c r="BD6419" s="77"/>
      <c r="BF6419">
        <v>64.039999999999992</v>
      </c>
      <c r="BH6419" s="42"/>
      <c r="BI6419" s="74"/>
      <c r="BJ6419" s="77"/>
      <c r="BL6419" s="497">
        <v>62.96</v>
      </c>
      <c r="BN6419" s="42"/>
      <c r="BO6419" s="74"/>
      <c r="BP6419" s="77"/>
      <c r="BR6419" s="497">
        <v>52.879999999999995</v>
      </c>
      <c r="BT6419" s="42"/>
    </row>
    <row r="6420" spans="1:72" x14ac:dyDescent="0.25">
      <c r="A6420" s="90">
        <v>34966</v>
      </c>
      <c r="B6420" s="20">
        <v>0.75</v>
      </c>
      <c r="D6420">
        <v>73.94</v>
      </c>
      <c r="E6420" t="str">
        <f t="shared" si="236"/>
        <v>SUNDAY</v>
      </c>
      <c r="F6420" t="e">
        <f t="shared" si="235"/>
        <v>#N/A</v>
      </c>
      <c r="G6420" s="74">
        <v>29122</v>
      </c>
      <c r="H6420" s="77">
        <v>0.75</v>
      </c>
      <c r="J6420">
        <v>62.24</v>
      </c>
      <c r="M6420" s="74">
        <v>37888</v>
      </c>
      <c r="N6420" s="77">
        <v>0.75</v>
      </c>
      <c r="P6420">
        <v>60.8</v>
      </c>
      <c r="S6420" s="74">
        <v>34966</v>
      </c>
      <c r="T6420" s="77">
        <v>0.75</v>
      </c>
      <c r="V6420">
        <v>60.980000000000004</v>
      </c>
      <c r="X6420" s="42"/>
      <c r="AB6420">
        <v>69</v>
      </c>
      <c r="AC6420">
        <v>64.039999999999992</v>
      </c>
      <c r="AE6420" s="74"/>
      <c r="AF6420" s="77"/>
      <c r="AH6420" s="497">
        <v>53.78</v>
      </c>
      <c r="AJ6420" s="42"/>
      <c r="AK6420" s="74"/>
      <c r="AL6420" s="77"/>
      <c r="AN6420" s="497">
        <v>48.019999999999996</v>
      </c>
      <c r="AP6420" s="42"/>
      <c r="AQ6420" s="74"/>
      <c r="AR6420" s="77"/>
      <c r="AT6420" s="497">
        <v>53.06</v>
      </c>
      <c r="AV6420" s="42"/>
      <c r="AW6420" s="74"/>
      <c r="AX6420" s="77"/>
      <c r="BA6420" s="497">
        <v>53.96</v>
      </c>
      <c r="BB6420" s="42"/>
      <c r="BC6420" s="74"/>
      <c r="BD6420" s="77"/>
      <c r="BF6420">
        <v>62.96</v>
      </c>
      <c r="BH6420" s="42"/>
      <c r="BI6420" s="74"/>
      <c r="BJ6420" s="77"/>
      <c r="BL6420" s="497">
        <v>59</v>
      </c>
      <c r="BN6420" s="42"/>
      <c r="BO6420" s="74"/>
      <c r="BP6420" s="77"/>
      <c r="BR6420" s="497">
        <v>50</v>
      </c>
      <c r="BT6420" s="42"/>
    </row>
    <row r="6421" spans="1:72" x14ac:dyDescent="0.25">
      <c r="A6421" s="90">
        <v>34966</v>
      </c>
      <c r="B6421" s="20">
        <v>0.79166666666666663</v>
      </c>
      <c r="D6421">
        <v>73.94</v>
      </c>
      <c r="E6421" t="str">
        <f t="shared" si="236"/>
        <v>SUNDAY</v>
      </c>
      <c r="F6421" t="e">
        <f t="shared" si="235"/>
        <v>#N/A</v>
      </c>
      <c r="G6421" s="74">
        <v>29122</v>
      </c>
      <c r="H6421" s="77">
        <v>0.79166666666666663</v>
      </c>
      <c r="J6421">
        <v>60.980000000000004</v>
      </c>
      <c r="M6421" s="74">
        <v>37888</v>
      </c>
      <c r="N6421" s="77">
        <v>0.79166666666666663</v>
      </c>
      <c r="P6421">
        <v>60.8</v>
      </c>
      <c r="S6421" s="74">
        <v>34966</v>
      </c>
      <c r="T6421" s="77">
        <v>0.79166666666666663</v>
      </c>
      <c r="V6421">
        <v>60.08</v>
      </c>
      <c r="X6421" s="42"/>
      <c r="AB6421">
        <v>67.3</v>
      </c>
      <c r="AC6421">
        <v>62.96</v>
      </c>
      <c r="AE6421" s="74"/>
      <c r="AF6421" s="77"/>
      <c r="AH6421" s="497">
        <v>53.6</v>
      </c>
      <c r="AJ6421" s="42"/>
      <c r="AK6421" s="74"/>
      <c r="AL6421" s="77"/>
      <c r="AN6421" s="497">
        <v>44.96</v>
      </c>
      <c r="AP6421" s="42"/>
      <c r="AQ6421" s="74"/>
      <c r="AR6421" s="77"/>
      <c r="AT6421" s="497">
        <v>48.019999999999996</v>
      </c>
      <c r="AV6421" s="42"/>
      <c r="AW6421" s="74"/>
      <c r="AX6421" s="77"/>
      <c r="BA6421" s="497">
        <v>51.980000000000004</v>
      </c>
      <c r="BB6421" s="42"/>
      <c r="BC6421" s="74"/>
      <c r="BD6421" s="77"/>
      <c r="BF6421">
        <v>62.06</v>
      </c>
      <c r="BH6421" s="42"/>
      <c r="BI6421" s="74"/>
      <c r="BJ6421" s="77"/>
      <c r="BL6421" s="497">
        <v>55.040000000000006</v>
      </c>
      <c r="BN6421" s="42"/>
      <c r="BO6421" s="74"/>
      <c r="BP6421" s="77"/>
      <c r="BR6421" s="497">
        <v>46.94</v>
      </c>
      <c r="BT6421" s="42"/>
    </row>
    <row r="6422" spans="1:72" x14ac:dyDescent="0.25">
      <c r="A6422" s="90">
        <v>34966</v>
      </c>
      <c r="B6422" s="20">
        <v>0.83333333333333337</v>
      </c>
      <c r="D6422">
        <v>73.039999999999992</v>
      </c>
      <c r="E6422" t="str">
        <f t="shared" si="236"/>
        <v>SUNDAY</v>
      </c>
      <c r="F6422" t="e">
        <f t="shared" si="235"/>
        <v>#N/A</v>
      </c>
      <c r="G6422" s="74">
        <v>29122</v>
      </c>
      <c r="H6422" s="77">
        <v>0.83333333333333337</v>
      </c>
      <c r="J6422">
        <v>59.900000000000006</v>
      </c>
      <c r="M6422" s="74">
        <v>37888</v>
      </c>
      <c r="N6422" s="77">
        <v>0.83333333333333337</v>
      </c>
      <c r="P6422">
        <v>59</v>
      </c>
      <c r="S6422" s="74">
        <v>34966</v>
      </c>
      <c r="T6422" s="77">
        <v>0.83333333333333337</v>
      </c>
      <c r="V6422">
        <v>60.08</v>
      </c>
      <c r="X6422" s="42"/>
      <c r="AB6422">
        <v>66.3</v>
      </c>
      <c r="AC6422">
        <v>62.06</v>
      </c>
      <c r="AE6422" s="74"/>
      <c r="AF6422" s="77"/>
      <c r="AH6422" s="497">
        <v>53.42</v>
      </c>
      <c r="AJ6422" s="42"/>
      <c r="AK6422" s="74"/>
      <c r="AL6422" s="77"/>
      <c r="AN6422" s="497">
        <v>43.34</v>
      </c>
      <c r="AP6422" s="42"/>
      <c r="AQ6422" s="74"/>
      <c r="AR6422" s="77"/>
      <c r="AT6422" s="497">
        <v>46.04</v>
      </c>
      <c r="AV6422" s="42"/>
      <c r="AW6422" s="74"/>
      <c r="AX6422" s="77"/>
      <c r="BA6422" s="497">
        <v>50</v>
      </c>
      <c r="BB6422" s="42"/>
      <c r="BC6422" s="74"/>
      <c r="BD6422" s="77"/>
      <c r="BF6422">
        <v>62.06</v>
      </c>
      <c r="BH6422" s="42"/>
      <c r="BI6422" s="74"/>
      <c r="BJ6422" s="77"/>
      <c r="BL6422" s="497">
        <v>55.040000000000006</v>
      </c>
      <c r="BN6422" s="42"/>
      <c r="BO6422" s="74"/>
      <c r="BP6422" s="77"/>
      <c r="BR6422" s="497">
        <v>44.96</v>
      </c>
      <c r="BT6422" s="42"/>
    </row>
    <row r="6423" spans="1:72" x14ac:dyDescent="0.25">
      <c r="A6423" s="90">
        <v>34966</v>
      </c>
      <c r="B6423" s="20">
        <v>0.875</v>
      </c>
      <c r="D6423">
        <v>73.039999999999992</v>
      </c>
      <c r="E6423" t="str">
        <f t="shared" si="236"/>
        <v>SUNDAY</v>
      </c>
      <c r="F6423" t="e">
        <f t="shared" si="235"/>
        <v>#N/A</v>
      </c>
      <c r="G6423" s="74">
        <v>29122</v>
      </c>
      <c r="H6423" s="77">
        <v>0.875</v>
      </c>
      <c r="J6423">
        <v>59</v>
      </c>
      <c r="M6423" s="74">
        <v>37888</v>
      </c>
      <c r="N6423" s="77">
        <v>0.875</v>
      </c>
      <c r="P6423">
        <v>59</v>
      </c>
      <c r="S6423" s="74">
        <v>34966</v>
      </c>
      <c r="T6423" s="77">
        <v>0.875</v>
      </c>
      <c r="V6423">
        <v>60.08</v>
      </c>
      <c r="X6423" s="42"/>
      <c r="AB6423">
        <v>65.599999999999994</v>
      </c>
      <c r="AC6423">
        <v>57.92</v>
      </c>
      <c r="AE6423" s="74"/>
      <c r="AF6423" s="77"/>
      <c r="AH6423" s="497">
        <v>53.6</v>
      </c>
      <c r="AJ6423" s="42"/>
      <c r="AK6423" s="74"/>
      <c r="AL6423" s="77"/>
      <c r="AN6423" s="497">
        <v>41.54</v>
      </c>
      <c r="AP6423" s="42"/>
      <c r="AQ6423" s="74"/>
      <c r="AR6423" s="77"/>
      <c r="AT6423" s="497">
        <v>50</v>
      </c>
      <c r="AV6423" s="42"/>
      <c r="AW6423" s="74"/>
      <c r="AX6423" s="77"/>
      <c r="BA6423" s="497">
        <v>48.92</v>
      </c>
      <c r="BB6423" s="42"/>
      <c r="BC6423" s="74"/>
      <c r="BD6423" s="77"/>
      <c r="BF6423">
        <v>62.06</v>
      </c>
      <c r="BH6423" s="42"/>
      <c r="BI6423" s="74"/>
      <c r="BJ6423" s="77"/>
      <c r="BL6423" s="497">
        <v>55.040000000000006</v>
      </c>
      <c r="BN6423" s="42"/>
      <c r="BO6423" s="74"/>
      <c r="BP6423" s="77"/>
      <c r="BR6423" s="497">
        <v>42.980000000000004</v>
      </c>
      <c r="BT6423" s="42"/>
    </row>
    <row r="6424" spans="1:72" x14ac:dyDescent="0.25">
      <c r="A6424" s="90">
        <v>34966</v>
      </c>
      <c r="B6424" s="20">
        <v>0.91666666666666663</v>
      </c>
      <c r="D6424">
        <v>73.039999999999992</v>
      </c>
      <c r="E6424" t="str">
        <f t="shared" si="236"/>
        <v>SUNDAY</v>
      </c>
      <c r="F6424" t="e">
        <f t="shared" si="235"/>
        <v>#N/A</v>
      </c>
      <c r="G6424" s="74">
        <v>29122</v>
      </c>
      <c r="H6424" s="77">
        <v>0.91666666666666663</v>
      </c>
      <c r="J6424">
        <v>57.92</v>
      </c>
      <c r="M6424" s="74">
        <v>37888</v>
      </c>
      <c r="N6424" s="77">
        <v>0.91666666666666663</v>
      </c>
      <c r="P6424">
        <v>57.2</v>
      </c>
      <c r="S6424" s="74">
        <v>34966</v>
      </c>
      <c r="T6424" s="77">
        <v>0.91666666666666663</v>
      </c>
      <c r="V6424">
        <v>57.92</v>
      </c>
      <c r="X6424" s="42"/>
      <c r="AB6424">
        <v>65</v>
      </c>
      <c r="AC6424">
        <v>57.92</v>
      </c>
      <c r="AE6424" s="74"/>
      <c r="AF6424" s="77"/>
      <c r="AH6424" s="497">
        <v>53.6</v>
      </c>
      <c r="AJ6424" s="42"/>
      <c r="AK6424" s="74"/>
      <c r="AL6424" s="77"/>
      <c r="AN6424" s="497">
        <v>39.92</v>
      </c>
      <c r="AP6424" s="42"/>
      <c r="AQ6424" s="74"/>
      <c r="AR6424" s="77"/>
      <c r="AT6424" s="497">
        <v>48.019999999999996</v>
      </c>
      <c r="AV6424" s="42"/>
      <c r="AW6424" s="74"/>
      <c r="AX6424" s="77"/>
      <c r="BA6424" s="497">
        <v>48.92</v>
      </c>
      <c r="BB6424" s="42"/>
      <c r="BC6424" s="74"/>
      <c r="BD6424" s="77"/>
      <c r="BF6424">
        <v>62.06</v>
      </c>
      <c r="BH6424" s="42"/>
      <c r="BI6424" s="74"/>
      <c r="BJ6424" s="77"/>
      <c r="BL6424" s="497">
        <v>51.08</v>
      </c>
      <c r="BN6424" s="42"/>
      <c r="BO6424" s="74"/>
      <c r="BP6424" s="77"/>
      <c r="BR6424" s="497">
        <v>41</v>
      </c>
      <c r="BT6424" s="42"/>
    </row>
    <row r="6425" spans="1:72" x14ac:dyDescent="0.25">
      <c r="A6425" s="90">
        <v>34966</v>
      </c>
      <c r="B6425" s="20">
        <v>0.95833333333333337</v>
      </c>
      <c r="D6425">
        <v>73.039999999999992</v>
      </c>
      <c r="E6425" t="str">
        <f t="shared" si="236"/>
        <v>SUNDAY</v>
      </c>
      <c r="F6425" t="e">
        <f t="shared" si="235"/>
        <v>#N/A</v>
      </c>
      <c r="G6425" s="74">
        <v>29122</v>
      </c>
      <c r="H6425" s="77">
        <v>0.95833333333333337</v>
      </c>
      <c r="J6425">
        <v>57.92</v>
      </c>
      <c r="M6425" s="74">
        <v>37888</v>
      </c>
      <c r="N6425" s="77">
        <v>0.95833333333333337</v>
      </c>
      <c r="P6425">
        <v>57.2</v>
      </c>
      <c r="S6425" s="74">
        <v>34966</v>
      </c>
      <c r="T6425" s="77">
        <v>0.95833333333333337</v>
      </c>
      <c r="V6425">
        <v>57.019999999999996</v>
      </c>
      <c r="X6425" s="42"/>
      <c r="AB6425">
        <v>64.3</v>
      </c>
      <c r="AC6425">
        <v>57.92</v>
      </c>
      <c r="AE6425" s="74"/>
      <c r="AF6425" s="77"/>
      <c r="AH6425" s="497">
        <v>55.400000000000006</v>
      </c>
      <c r="AJ6425" s="42"/>
      <c r="AK6425" s="74"/>
      <c r="AL6425" s="77"/>
      <c r="AN6425" s="497">
        <v>39.200000000000003</v>
      </c>
      <c r="AP6425" s="42"/>
      <c r="AQ6425" s="74"/>
      <c r="AR6425" s="77"/>
      <c r="AT6425" s="497">
        <v>44.06</v>
      </c>
      <c r="AV6425" s="42"/>
      <c r="AW6425" s="74"/>
      <c r="AX6425" s="77"/>
      <c r="BA6425" s="497">
        <v>48.019999999999996</v>
      </c>
      <c r="BB6425" s="42"/>
      <c r="BC6425" s="74"/>
      <c r="BD6425" s="77"/>
      <c r="BF6425">
        <v>60.980000000000004</v>
      </c>
      <c r="BH6425" s="42"/>
      <c r="BI6425" s="74"/>
      <c r="BJ6425" s="77"/>
      <c r="BL6425" s="497">
        <v>48.019999999999996</v>
      </c>
      <c r="BN6425" s="42"/>
      <c r="BO6425" s="74"/>
      <c r="BP6425" s="77"/>
      <c r="BR6425" s="497">
        <v>39.92</v>
      </c>
      <c r="BT6425" s="42"/>
    </row>
    <row r="6426" spans="1:72" x14ac:dyDescent="0.25">
      <c r="A6426" s="90">
        <v>34966</v>
      </c>
      <c r="B6426" s="20">
        <v>1</v>
      </c>
      <c r="D6426">
        <v>73.039999999999992</v>
      </c>
      <c r="E6426" t="str">
        <f t="shared" si="236"/>
        <v>SUNDAY</v>
      </c>
      <c r="F6426" t="e">
        <f t="shared" si="235"/>
        <v>#N/A</v>
      </c>
      <c r="G6426" s="74">
        <v>29122</v>
      </c>
      <c r="H6426" s="77">
        <v>1</v>
      </c>
      <c r="J6426">
        <v>57.92</v>
      </c>
      <c r="M6426" s="74">
        <v>37888</v>
      </c>
      <c r="N6426" s="80">
        <v>1</v>
      </c>
      <c r="P6426">
        <v>59</v>
      </c>
      <c r="S6426" s="74">
        <v>34966</v>
      </c>
      <c r="T6426" s="80">
        <v>1</v>
      </c>
      <c r="V6426">
        <v>57.019999999999996</v>
      </c>
      <c r="X6426" s="42"/>
      <c r="AB6426">
        <v>63.7</v>
      </c>
      <c r="AC6426">
        <v>55.040000000000006</v>
      </c>
      <c r="AE6426" s="74"/>
      <c r="AF6426" s="80"/>
      <c r="AH6426" s="497">
        <v>53.6</v>
      </c>
      <c r="AJ6426" s="42"/>
      <c r="AK6426" s="74"/>
      <c r="AL6426" s="80"/>
      <c r="AN6426" s="497">
        <v>38.659999999999997</v>
      </c>
      <c r="AP6426" s="42"/>
      <c r="AQ6426" s="74"/>
      <c r="AR6426" s="80"/>
      <c r="AT6426" s="497">
        <v>46.94</v>
      </c>
      <c r="AV6426" s="42"/>
      <c r="AW6426" s="74"/>
      <c r="AX6426" s="80"/>
      <c r="BA6426" s="497">
        <v>44.96</v>
      </c>
      <c r="BB6426" s="42"/>
      <c r="BC6426" s="74"/>
      <c r="BD6426" s="80"/>
      <c r="BF6426">
        <v>59</v>
      </c>
      <c r="BH6426" s="42"/>
      <c r="BI6426" s="74"/>
      <c r="BJ6426" s="80"/>
      <c r="BL6426" s="497">
        <v>50</v>
      </c>
      <c r="BN6426" s="42"/>
      <c r="BO6426" s="74"/>
      <c r="BP6426" s="80"/>
      <c r="BR6426" s="497">
        <v>39.019999999999996</v>
      </c>
      <c r="BT6426" s="42"/>
    </row>
    <row r="6427" spans="1:72" x14ac:dyDescent="0.25">
      <c r="A6427" s="90">
        <v>34967</v>
      </c>
      <c r="B6427" s="20">
        <v>4.1666666666666664E-2</v>
      </c>
      <c r="D6427">
        <v>73.039999999999992</v>
      </c>
      <c r="E6427" t="str">
        <f t="shared" si="236"/>
        <v>WEEKDAY</v>
      </c>
      <c r="F6427" t="e">
        <f t="shared" si="235"/>
        <v>#N/A</v>
      </c>
      <c r="G6427" s="74">
        <v>29123</v>
      </c>
      <c r="H6427" s="77">
        <v>4.1666666666666664E-2</v>
      </c>
      <c r="J6427">
        <v>57.92</v>
      </c>
      <c r="M6427" s="74">
        <v>37889</v>
      </c>
      <c r="N6427" s="77">
        <v>4.1666666666666664E-2</v>
      </c>
      <c r="P6427">
        <v>60.8</v>
      </c>
      <c r="S6427" s="74">
        <v>34967</v>
      </c>
      <c r="T6427" s="77">
        <v>4.1666666666666664E-2</v>
      </c>
      <c r="V6427">
        <v>57.92</v>
      </c>
      <c r="X6427" s="42"/>
      <c r="AB6427">
        <v>63</v>
      </c>
      <c r="AC6427">
        <v>53.06</v>
      </c>
      <c r="AE6427" s="74"/>
      <c r="AF6427" s="77"/>
      <c r="AH6427" s="497">
        <v>52.7</v>
      </c>
      <c r="AJ6427" s="42"/>
      <c r="AK6427" s="74"/>
      <c r="AL6427" s="77"/>
      <c r="AN6427" s="497">
        <v>37.94</v>
      </c>
      <c r="AP6427" s="42"/>
      <c r="AQ6427" s="74"/>
      <c r="AR6427" s="77"/>
      <c r="AT6427" s="497">
        <v>48.019999999999996</v>
      </c>
      <c r="AV6427" s="42"/>
      <c r="AW6427" s="74"/>
      <c r="AX6427" s="77"/>
      <c r="BA6427" s="497">
        <v>44.96</v>
      </c>
      <c r="BB6427" s="42"/>
      <c r="BC6427" s="74"/>
      <c r="BD6427" s="77"/>
      <c r="BF6427">
        <v>57.92</v>
      </c>
      <c r="BH6427" s="42"/>
      <c r="BI6427" s="74"/>
      <c r="BJ6427" s="77"/>
      <c r="BL6427" s="497">
        <v>48.019999999999996</v>
      </c>
      <c r="BN6427" s="42"/>
      <c r="BO6427" s="74"/>
      <c r="BP6427" s="77"/>
      <c r="BR6427" s="497">
        <v>37.94</v>
      </c>
      <c r="BT6427" s="42"/>
    </row>
    <row r="6428" spans="1:72" x14ac:dyDescent="0.25">
      <c r="A6428" s="90">
        <v>34967</v>
      </c>
      <c r="B6428" s="20">
        <v>8.3333333333333329E-2</v>
      </c>
      <c r="D6428">
        <v>73.039999999999992</v>
      </c>
      <c r="E6428" t="str">
        <f t="shared" si="236"/>
        <v>WEEKDAY</v>
      </c>
      <c r="F6428" t="e">
        <f t="shared" si="235"/>
        <v>#N/A</v>
      </c>
      <c r="G6428" s="74">
        <v>29123</v>
      </c>
      <c r="H6428" s="77">
        <v>8.3333333333333329E-2</v>
      </c>
      <c r="J6428">
        <v>57.2</v>
      </c>
      <c r="M6428" s="74">
        <v>37889</v>
      </c>
      <c r="N6428" s="77">
        <v>8.3333333333333329E-2</v>
      </c>
      <c r="P6428">
        <v>60.8</v>
      </c>
      <c r="S6428" s="74">
        <v>34967</v>
      </c>
      <c r="T6428" s="77">
        <v>8.3333333333333329E-2</v>
      </c>
      <c r="V6428">
        <v>57.019999999999996</v>
      </c>
      <c r="X6428" s="42"/>
      <c r="AB6428">
        <v>62.4</v>
      </c>
      <c r="AC6428">
        <v>53.06</v>
      </c>
      <c r="AE6428" s="74"/>
      <c r="AF6428" s="77"/>
      <c r="AH6428" s="497">
        <v>51.8</v>
      </c>
      <c r="AJ6428" s="42"/>
      <c r="AK6428" s="74"/>
      <c r="AL6428" s="77"/>
      <c r="AN6428" s="497">
        <v>37.94</v>
      </c>
      <c r="AP6428" s="42"/>
      <c r="AQ6428" s="74"/>
      <c r="AR6428" s="77"/>
      <c r="AT6428" s="497">
        <v>46.94</v>
      </c>
      <c r="AV6428" s="42"/>
      <c r="AW6428" s="74"/>
      <c r="AX6428" s="77"/>
      <c r="BA6428" s="497">
        <v>46.04</v>
      </c>
      <c r="BB6428" s="42"/>
      <c r="BC6428" s="74"/>
      <c r="BD6428" s="77"/>
      <c r="BF6428">
        <v>57.019999999999996</v>
      </c>
      <c r="BH6428" s="42"/>
      <c r="BI6428" s="74"/>
      <c r="BJ6428" s="77"/>
      <c r="BL6428" s="497">
        <v>48.019999999999996</v>
      </c>
      <c r="BN6428" s="42"/>
      <c r="BO6428" s="74"/>
      <c r="BP6428" s="77"/>
      <c r="BR6428" s="497">
        <v>39.380000000000003</v>
      </c>
      <c r="BT6428" s="42"/>
    </row>
    <row r="6429" spans="1:72" x14ac:dyDescent="0.25">
      <c r="A6429" s="90">
        <v>34967</v>
      </c>
      <c r="B6429" s="20">
        <v>0.125</v>
      </c>
      <c r="D6429">
        <v>73.039999999999992</v>
      </c>
      <c r="E6429" t="str">
        <f t="shared" si="236"/>
        <v>WEEKDAY</v>
      </c>
      <c r="F6429" t="e">
        <f t="shared" si="235"/>
        <v>#N/A</v>
      </c>
      <c r="G6429" s="74">
        <v>29123</v>
      </c>
      <c r="H6429" s="77">
        <v>0.125</v>
      </c>
      <c r="J6429">
        <v>56.66</v>
      </c>
      <c r="M6429" s="74">
        <v>37889</v>
      </c>
      <c r="N6429" s="77">
        <v>0.125</v>
      </c>
      <c r="P6429">
        <v>59</v>
      </c>
      <c r="S6429" s="74">
        <v>34967</v>
      </c>
      <c r="T6429" s="77">
        <v>0.125</v>
      </c>
      <c r="V6429">
        <v>57.019999999999996</v>
      </c>
      <c r="X6429" s="42"/>
      <c r="AB6429">
        <v>61.8</v>
      </c>
      <c r="AC6429">
        <v>53.06</v>
      </c>
      <c r="AE6429" s="74"/>
      <c r="AF6429" s="77"/>
      <c r="AH6429" s="497">
        <v>51.8</v>
      </c>
      <c r="AJ6429" s="42"/>
      <c r="AK6429" s="74"/>
      <c r="AL6429" s="77"/>
      <c r="AN6429" s="497">
        <v>37.94</v>
      </c>
      <c r="AP6429" s="42"/>
      <c r="AQ6429" s="74"/>
      <c r="AR6429" s="77"/>
      <c r="AT6429" s="497">
        <v>46.04</v>
      </c>
      <c r="AV6429" s="42"/>
      <c r="AW6429" s="74"/>
      <c r="AX6429" s="77"/>
      <c r="BA6429" s="497">
        <v>44.06</v>
      </c>
      <c r="BB6429" s="42"/>
      <c r="BC6429" s="74"/>
      <c r="BD6429" s="77"/>
      <c r="BF6429">
        <v>57.019999999999996</v>
      </c>
      <c r="BH6429" s="42"/>
      <c r="BI6429" s="74"/>
      <c r="BJ6429" s="77"/>
      <c r="BL6429" s="497">
        <v>48.92</v>
      </c>
      <c r="BN6429" s="42"/>
      <c r="BO6429" s="74"/>
      <c r="BP6429" s="77"/>
      <c r="BR6429" s="497">
        <v>40.64</v>
      </c>
      <c r="BT6429" s="42"/>
    </row>
    <row r="6430" spans="1:72" x14ac:dyDescent="0.25">
      <c r="A6430" s="90">
        <v>34967</v>
      </c>
      <c r="B6430" s="20">
        <v>0.16666666666666666</v>
      </c>
      <c r="D6430">
        <v>73.039999999999992</v>
      </c>
      <c r="E6430" t="str">
        <f t="shared" si="236"/>
        <v>WEEKDAY</v>
      </c>
      <c r="F6430" t="e">
        <f t="shared" si="235"/>
        <v>#N/A</v>
      </c>
      <c r="G6430" s="74">
        <v>29123</v>
      </c>
      <c r="H6430" s="77">
        <v>0.16666666666666666</v>
      </c>
      <c r="J6430">
        <v>55.94</v>
      </c>
      <c r="M6430" s="74">
        <v>37889</v>
      </c>
      <c r="N6430" s="77">
        <v>0.16666666666666666</v>
      </c>
      <c r="P6430">
        <v>60.8</v>
      </c>
      <c r="S6430" s="74">
        <v>34967</v>
      </c>
      <c r="T6430" s="77">
        <v>0.16666666666666666</v>
      </c>
      <c r="V6430">
        <v>57.92</v>
      </c>
      <c r="X6430" s="42"/>
      <c r="AB6430">
        <v>61.4</v>
      </c>
      <c r="AC6430">
        <v>53.06</v>
      </c>
      <c r="AE6430" s="74"/>
      <c r="AF6430" s="77"/>
      <c r="AH6430" s="497">
        <v>50</v>
      </c>
      <c r="AJ6430" s="42"/>
      <c r="AK6430" s="74"/>
      <c r="AL6430" s="77"/>
      <c r="AN6430" s="497">
        <v>37.94</v>
      </c>
      <c r="AP6430" s="42"/>
      <c r="AQ6430" s="74"/>
      <c r="AR6430" s="77"/>
      <c r="AT6430" s="497">
        <v>44.96</v>
      </c>
      <c r="AV6430" s="42"/>
      <c r="AW6430" s="74"/>
      <c r="AX6430" s="77"/>
      <c r="BA6430" s="497">
        <v>42.980000000000004</v>
      </c>
      <c r="BB6430" s="42"/>
      <c r="BC6430" s="74"/>
      <c r="BD6430" s="77"/>
      <c r="BF6430">
        <v>57.019999999999996</v>
      </c>
      <c r="BH6430" s="42"/>
      <c r="BI6430" s="74"/>
      <c r="BJ6430" s="77"/>
      <c r="BL6430" s="497">
        <v>51.08</v>
      </c>
      <c r="BN6430" s="42"/>
      <c r="BO6430" s="74"/>
      <c r="BP6430" s="77"/>
      <c r="BR6430" s="497">
        <v>42.08</v>
      </c>
      <c r="BT6430" s="42"/>
    </row>
    <row r="6431" spans="1:72" x14ac:dyDescent="0.25">
      <c r="A6431" s="90">
        <v>34967</v>
      </c>
      <c r="B6431" s="20">
        <v>0.20833333333333334</v>
      </c>
      <c r="D6431">
        <v>71.960000000000008</v>
      </c>
      <c r="E6431" t="str">
        <f t="shared" si="236"/>
        <v>WEEKDAY</v>
      </c>
      <c r="F6431" t="e">
        <f t="shared" si="235"/>
        <v>#N/A</v>
      </c>
      <c r="G6431" s="74">
        <v>29123</v>
      </c>
      <c r="H6431" s="77">
        <v>0.20833333333333334</v>
      </c>
      <c r="J6431">
        <v>55.58</v>
      </c>
      <c r="M6431" s="74">
        <v>37889</v>
      </c>
      <c r="N6431" s="77">
        <v>0.20833333333333334</v>
      </c>
      <c r="P6431">
        <v>60.8</v>
      </c>
      <c r="S6431" s="74">
        <v>34967</v>
      </c>
      <c r="T6431" s="77">
        <v>0.20833333333333334</v>
      </c>
      <c r="V6431">
        <v>57.92</v>
      </c>
      <c r="X6431" s="42"/>
      <c r="AB6431">
        <v>61</v>
      </c>
      <c r="AC6431">
        <v>51.980000000000004</v>
      </c>
      <c r="AE6431" s="74"/>
      <c r="AF6431" s="77"/>
      <c r="AH6431" s="497">
        <v>50</v>
      </c>
      <c r="AJ6431" s="42"/>
      <c r="AK6431" s="74"/>
      <c r="AL6431" s="77"/>
      <c r="AN6431" s="497">
        <v>37.58</v>
      </c>
      <c r="AP6431" s="42"/>
      <c r="AQ6431" s="74"/>
      <c r="AR6431" s="77"/>
      <c r="AT6431" s="497">
        <v>44.96</v>
      </c>
      <c r="AV6431" s="42"/>
      <c r="AW6431" s="74"/>
      <c r="AX6431" s="77"/>
      <c r="BA6431" s="497">
        <v>41</v>
      </c>
      <c r="BB6431" s="42"/>
      <c r="BC6431" s="74"/>
      <c r="BD6431" s="77"/>
      <c r="BF6431">
        <v>55.94</v>
      </c>
      <c r="BH6431" s="42"/>
      <c r="BI6431" s="74"/>
      <c r="BJ6431" s="77"/>
      <c r="BL6431" s="497">
        <v>51.980000000000004</v>
      </c>
      <c r="BN6431" s="42"/>
      <c r="BO6431" s="74"/>
      <c r="BP6431" s="77"/>
      <c r="BR6431" s="497">
        <v>42.8</v>
      </c>
      <c r="BT6431" s="42"/>
    </row>
    <row r="6432" spans="1:72" x14ac:dyDescent="0.25">
      <c r="A6432" s="90">
        <v>34967</v>
      </c>
      <c r="B6432" s="20">
        <v>0.25</v>
      </c>
      <c r="D6432">
        <v>73.039999999999992</v>
      </c>
      <c r="E6432" t="str">
        <f t="shared" si="236"/>
        <v>WEEKDAY</v>
      </c>
      <c r="F6432" t="e">
        <f t="shared" si="235"/>
        <v>#N/A</v>
      </c>
      <c r="G6432" s="74">
        <v>29123</v>
      </c>
      <c r="H6432" s="77">
        <v>0.25</v>
      </c>
      <c r="J6432">
        <v>55.400000000000006</v>
      </c>
      <c r="M6432" s="74">
        <v>37889</v>
      </c>
      <c r="N6432" s="77">
        <v>0.25</v>
      </c>
      <c r="P6432">
        <v>60.8</v>
      </c>
      <c r="S6432" s="74">
        <v>34967</v>
      </c>
      <c r="T6432" s="77">
        <v>0.25</v>
      </c>
      <c r="V6432">
        <v>57.92</v>
      </c>
      <c r="X6432" s="42"/>
      <c r="AB6432">
        <v>60.8</v>
      </c>
      <c r="AC6432">
        <v>51.980000000000004</v>
      </c>
      <c r="AE6432" s="74"/>
      <c r="AF6432" s="77"/>
      <c r="AH6432" s="497">
        <v>51.8</v>
      </c>
      <c r="AJ6432" s="42"/>
      <c r="AK6432" s="74"/>
      <c r="AL6432" s="77"/>
      <c r="AN6432" s="497">
        <v>37.4</v>
      </c>
      <c r="AP6432" s="42"/>
      <c r="AQ6432" s="74"/>
      <c r="AR6432" s="77"/>
      <c r="AT6432" s="497">
        <v>44.96</v>
      </c>
      <c r="AV6432" s="42"/>
      <c r="AW6432" s="74"/>
      <c r="AX6432" s="77"/>
      <c r="BA6432" s="497">
        <v>41</v>
      </c>
      <c r="BB6432" s="42"/>
      <c r="BC6432" s="74"/>
      <c r="BD6432" s="77"/>
      <c r="BF6432">
        <v>55.94</v>
      </c>
      <c r="BH6432" s="42"/>
      <c r="BI6432" s="74"/>
      <c r="BJ6432" s="77"/>
      <c r="BL6432" s="497">
        <v>53.06</v>
      </c>
      <c r="BN6432" s="42"/>
      <c r="BO6432" s="74"/>
      <c r="BP6432" s="77"/>
      <c r="BR6432" s="497">
        <v>43.34</v>
      </c>
      <c r="BT6432" s="42"/>
    </row>
    <row r="6433" spans="1:72" x14ac:dyDescent="0.25">
      <c r="A6433" s="90">
        <v>34967</v>
      </c>
      <c r="B6433" s="20">
        <v>0.29166666666666669</v>
      </c>
      <c r="D6433">
        <v>71.960000000000008</v>
      </c>
      <c r="E6433" t="str">
        <f t="shared" si="236"/>
        <v>WEEKDAY</v>
      </c>
      <c r="F6433" t="e">
        <f t="shared" si="235"/>
        <v>#N/A</v>
      </c>
      <c r="G6433" s="74">
        <v>29123</v>
      </c>
      <c r="H6433" s="77">
        <v>0.29166666666666669</v>
      </c>
      <c r="J6433">
        <v>55.040000000000006</v>
      </c>
      <c r="M6433" s="74">
        <v>37889</v>
      </c>
      <c r="N6433" s="77">
        <v>0.29166666666666669</v>
      </c>
      <c r="P6433">
        <v>62.6</v>
      </c>
      <c r="S6433" s="74">
        <v>34967</v>
      </c>
      <c r="T6433" s="77">
        <v>0.29166666666666669</v>
      </c>
      <c r="V6433">
        <v>57.92</v>
      </c>
      <c r="X6433" s="42"/>
      <c r="AB6433">
        <v>60.6</v>
      </c>
      <c r="AC6433">
        <v>60.08</v>
      </c>
      <c r="AE6433" s="74"/>
      <c r="AF6433" s="77"/>
      <c r="AH6433" s="497">
        <v>51.8</v>
      </c>
      <c r="AJ6433" s="42"/>
      <c r="AK6433" s="74"/>
      <c r="AL6433" s="77"/>
      <c r="AN6433" s="497">
        <v>37.04</v>
      </c>
      <c r="AP6433" s="42"/>
      <c r="AQ6433" s="74"/>
      <c r="AR6433" s="77"/>
      <c r="AT6433" s="497">
        <v>48.019999999999996</v>
      </c>
      <c r="AV6433" s="42"/>
      <c r="AW6433" s="74"/>
      <c r="AX6433" s="77"/>
      <c r="BA6433" s="497">
        <v>42.980000000000004</v>
      </c>
      <c r="BB6433" s="42"/>
      <c r="BC6433" s="74"/>
      <c r="BD6433" s="77"/>
      <c r="BF6433">
        <v>55.040000000000006</v>
      </c>
      <c r="BH6433" s="42"/>
      <c r="BI6433" s="74"/>
      <c r="BJ6433" s="77"/>
      <c r="BL6433" s="497">
        <v>55.94</v>
      </c>
      <c r="BN6433" s="42"/>
      <c r="BO6433" s="74"/>
      <c r="BP6433" s="77"/>
      <c r="BR6433" s="497">
        <v>44.06</v>
      </c>
      <c r="BT6433" s="42"/>
    </row>
    <row r="6434" spans="1:72" x14ac:dyDescent="0.25">
      <c r="A6434" s="90">
        <v>34967</v>
      </c>
      <c r="B6434" s="20">
        <v>0.33333333333333331</v>
      </c>
      <c r="D6434">
        <v>71.06</v>
      </c>
      <c r="E6434" t="str">
        <f t="shared" si="236"/>
        <v>WEEKDAY</v>
      </c>
      <c r="F6434" t="e">
        <f t="shared" si="235"/>
        <v>#N/A</v>
      </c>
      <c r="G6434" s="74">
        <v>29123</v>
      </c>
      <c r="H6434" s="77">
        <v>0.33333333333333331</v>
      </c>
      <c r="J6434">
        <v>56.66</v>
      </c>
      <c r="M6434" s="74">
        <v>37889</v>
      </c>
      <c r="N6434" s="77">
        <v>0.33333333333333331</v>
      </c>
      <c r="P6434">
        <v>64.400000000000006</v>
      </c>
      <c r="S6434" s="74">
        <v>34967</v>
      </c>
      <c r="T6434" s="77">
        <v>0.33333333333333331</v>
      </c>
      <c r="V6434">
        <v>60.08</v>
      </c>
      <c r="X6434" s="42"/>
      <c r="AB6434">
        <v>62.2</v>
      </c>
      <c r="AC6434">
        <v>64.94</v>
      </c>
      <c r="AE6434" s="74"/>
      <c r="AF6434" s="77"/>
      <c r="AH6434" s="497">
        <v>55.400000000000006</v>
      </c>
      <c r="AJ6434" s="42"/>
      <c r="AK6434" s="74"/>
      <c r="AL6434" s="77"/>
      <c r="AN6434" s="497">
        <v>40.28</v>
      </c>
      <c r="AP6434" s="42"/>
      <c r="AQ6434" s="74"/>
      <c r="AR6434" s="77"/>
      <c r="AT6434" s="497">
        <v>50</v>
      </c>
      <c r="AV6434" s="42"/>
      <c r="AW6434" s="74"/>
      <c r="AX6434" s="77"/>
      <c r="BA6434" s="497">
        <v>46.94</v>
      </c>
      <c r="BB6434" s="42"/>
      <c r="BC6434" s="74"/>
      <c r="BD6434" s="77"/>
      <c r="BF6434">
        <v>59</v>
      </c>
      <c r="BH6434" s="42"/>
      <c r="BI6434" s="74"/>
      <c r="BJ6434" s="77"/>
      <c r="BL6434" s="497">
        <v>57.019999999999996</v>
      </c>
      <c r="BN6434" s="42"/>
      <c r="BO6434" s="74"/>
      <c r="BP6434" s="77"/>
      <c r="BR6434" s="497">
        <v>47.66</v>
      </c>
      <c r="BT6434" s="42"/>
    </row>
    <row r="6435" spans="1:72" x14ac:dyDescent="0.25">
      <c r="A6435" s="90">
        <v>34967</v>
      </c>
      <c r="B6435" s="20">
        <v>0.375</v>
      </c>
      <c r="D6435">
        <v>69.98</v>
      </c>
      <c r="E6435" t="str">
        <f t="shared" si="236"/>
        <v>WEEKDAY</v>
      </c>
      <c r="F6435" t="e">
        <f t="shared" si="235"/>
        <v>#N/A</v>
      </c>
      <c r="G6435" s="74">
        <v>29123</v>
      </c>
      <c r="H6435" s="77">
        <v>0.375</v>
      </c>
      <c r="J6435">
        <v>58.46</v>
      </c>
      <c r="M6435" s="74">
        <v>37889</v>
      </c>
      <c r="N6435" s="77">
        <v>0.375</v>
      </c>
      <c r="P6435">
        <v>69.800000000000011</v>
      </c>
      <c r="S6435" s="74">
        <v>34967</v>
      </c>
      <c r="T6435" s="77">
        <v>0.375</v>
      </c>
      <c r="V6435">
        <v>60.08</v>
      </c>
      <c r="X6435" s="42"/>
      <c r="AB6435">
        <v>64.5</v>
      </c>
      <c r="AC6435">
        <v>66.92</v>
      </c>
      <c r="AE6435" s="74"/>
      <c r="AF6435" s="77"/>
      <c r="AH6435" s="497">
        <v>55.400000000000006</v>
      </c>
      <c r="AJ6435" s="42"/>
      <c r="AK6435" s="74"/>
      <c r="AL6435" s="77"/>
      <c r="AN6435" s="497">
        <v>43.7</v>
      </c>
      <c r="AP6435" s="42"/>
      <c r="AQ6435" s="74"/>
      <c r="AR6435" s="77"/>
      <c r="AT6435" s="497">
        <v>53.96</v>
      </c>
      <c r="AV6435" s="42"/>
      <c r="AW6435" s="74"/>
      <c r="AX6435" s="77"/>
      <c r="BA6435" s="497">
        <v>48.92</v>
      </c>
      <c r="BB6435" s="42"/>
      <c r="BC6435" s="74"/>
      <c r="BD6435" s="77"/>
      <c r="BF6435">
        <v>64.94</v>
      </c>
      <c r="BH6435" s="42"/>
      <c r="BI6435" s="74"/>
      <c r="BJ6435" s="77"/>
      <c r="BL6435" s="497">
        <v>60.08</v>
      </c>
      <c r="BN6435" s="42"/>
      <c r="BO6435" s="74"/>
      <c r="BP6435" s="77"/>
      <c r="BR6435" s="497">
        <v>51.44</v>
      </c>
      <c r="BT6435" s="42"/>
    </row>
    <row r="6436" spans="1:72" x14ac:dyDescent="0.25">
      <c r="A6436" s="90">
        <v>34967</v>
      </c>
      <c r="B6436" s="20">
        <v>0.41666666666666669</v>
      </c>
      <c r="D6436">
        <v>69.080000000000013</v>
      </c>
      <c r="E6436" t="str">
        <f t="shared" si="236"/>
        <v>WEEKDAY</v>
      </c>
      <c r="F6436" t="e">
        <f t="shared" si="235"/>
        <v>#N/A</v>
      </c>
      <c r="G6436" s="74">
        <v>29123</v>
      </c>
      <c r="H6436" s="77">
        <v>0.41666666666666669</v>
      </c>
      <c r="J6436">
        <v>60.08</v>
      </c>
      <c r="M6436" s="74">
        <v>37889</v>
      </c>
      <c r="N6436" s="77">
        <v>0.41666666666666669</v>
      </c>
      <c r="P6436">
        <v>71.599999999999994</v>
      </c>
      <c r="S6436" s="74">
        <v>34967</v>
      </c>
      <c r="T6436" s="77">
        <v>0.41666666666666669</v>
      </c>
      <c r="V6436">
        <v>62.96</v>
      </c>
      <c r="X6436" s="42"/>
      <c r="AB6436">
        <v>66.599999999999994</v>
      </c>
      <c r="AC6436">
        <v>69.98</v>
      </c>
      <c r="AE6436" s="74"/>
      <c r="AF6436" s="77"/>
      <c r="AH6436" s="497">
        <v>60.8</v>
      </c>
      <c r="AJ6436" s="42"/>
      <c r="AK6436" s="74"/>
      <c r="AL6436" s="77"/>
      <c r="AN6436" s="497">
        <v>46.94</v>
      </c>
      <c r="AP6436" s="42"/>
      <c r="AQ6436" s="74"/>
      <c r="AR6436" s="77"/>
      <c r="AT6436" s="497">
        <v>59</v>
      </c>
      <c r="AV6436" s="42"/>
      <c r="AW6436" s="74"/>
      <c r="AX6436" s="77"/>
      <c r="BA6436" s="497">
        <v>51.08</v>
      </c>
      <c r="BB6436" s="42"/>
      <c r="BC6436" s="74"/>
      <c r="BD6436" s="77"/>
      <c r="BF6436">
        <v>71.06</v>
      </c>
      <c r="BH6436" s="42"/>
      <c r="BI6436" s="74"/>
      <c r="BJ6436" s="77"/>
      <c r="BL6436" s="497">
        <v>62.96</v>
      </c>
      <c r="BN6436" s="42"/>
      <c r="BO6436" s="74"/>
      <c r="BP6436" s="77"/>
      <c r="BR6436" s="497">
        <v>55.040000000000006</v>
      </c>
      <c r="BT6436" s="42"/>
    </row>
    <row r="6437" spans="1:72" x14ac:dyDescent="0.25">
      <c r="A6437" s="90">
        <v>34967</v>
      </c>
      <c r="B6437" s="20">
        <v>0.45833333333333331</v>
      </c>
      <c r="D6437">
        <v>69.080000000000013</v>
      </c>
      <c r="E6437" t="str">
        <f t="shared" si="236"/>
        <v>WEEKDAY</v>
      </c>
      <c r="F6437" t="e">
        <f t="shared" si="235"/>
        <v>#N/A</v>
      </c>
      <c r="G6437" s="74">
        <v>29123</v>
      </c>
      <c r="H6437" s="77">
        <v>0.45833333333333331</v>
      </c>
      <c r="J6437">
        <v>60.980000000000004</v>
      </c>
      <c r="M6437" s="74">
        <v>37889</v>
      </c>
      <c r="N6437" s="77">
        <v>0.45833333333333331</v>
      </c>
      <c r="P6437">
        <v>71.599999999999994</v>
      </c>
      <c r="S6437" s="74">
        <v>34967</v>
      </c>
      <c r="T6437" s="77">
        <v>0.45833333333333331</v>
      </c>
      <c r="V6437">
        <v>66.02</v>
      </c>
      <c r="X6437" s="42"/>
      <c r="AB6437">
        <v>68.2</v>
      </c>
      <c r="AC6437">
        <v>69.98</v>
      </c>
      <c r="AE6437" s="74"/>
      <c r="AF6437" s="77"/>
      <c r="AH6437" s="497">
        <v>64.400000000000006</v>
      </c>
      <c r="AJ6437" s="42"/>
      <c r="AK6437" s="74"/>
      <c r="AL6437" s="77"/>
      <c r="AN6437" s="497">
        <v>50.540000000000006</v>
      </c>
      <c r="AP6437" s="42"/>
      <c r="AQ6437" s="74"/>
      <c r="AR6437" s="77"/>
      <c r="AT6437" s="497">
        <v>60.980000000000004</v>
      </c>
      <c r="AV6437" s="42"/>
      <c r="AW6437" s="74"/>
      <c r="AX6437" s="77"/>
      <c r="BA6437" s="497">
        <v>51.08</v>
      </c>
      <c r="BB6437" s="42"/>
      <c r="BC6437" s="74"/>
      <c r="BD6437" s="77"/>
      <c r="BF6437">
        <v>73.94</v>
      </c>
      <c r="BH6437" s="42"/>
      <c r="BI6437" s="74"/>
      <c r="BJ6437" s="77"/>
      <c r="BL6437" s="497">
        <v>64.94</v>
      </c>
      <c r="BN6437" s="42"/>
      <c r="BO6437" s="74"/>
      <c r="BP6437" s="77"/>
      <c r="BR6437" s="497">
        <v>55.94</v>
      </c>
      <c r="BT6437" s="42"/>
    </row>
    <row r="6438" spans="1:72" x14ac:dyDescent="0.25">
      <c r="A6438" s="90">
        <v>34967</v>
      </c>
      <c r="B6438" s="20">
        <v>0.5</v>
      </c>
      <c r="D6438">
        <v>69.080000000000013</v>
      </c>
      <c r="E6438" t="str">
        <f t="shared" si="236"/>
        <v>WEEKDAY</v>
      </c>
      <c r="F6438" t="e">
        <f t="shared" si="235"/>
        <v>#N/A</v>
      </c>
      <c r="G6438" s="74">
        <v>29123</v>
      </c>
      <c r="H6438" s="77">
        <v>0.5</v>
      </c>
      <c r="J6438">
        <v>62.06</v>
      </c>
      <c r="M6438" s="74">
        <v>37889</v>
      </c>
      <c r="N6438" s="77">
        <v>0.5</v>
      </c>
      <c r="P6438">
        <v>71.599999999999994</v>
      </c>
      <c r="S6438" s="74">
        <v>34967</v>
      </c>
      <c r="T6438" s="77">
        <v>0.5</v>
      </c>
      <c r="V6438">
        <v>66.92</v>
      </c>
      <c r="X6438" s="42"/>
      <c r="AB6438">
        <v>69.599999999999994</v>
      </c>
      <c r="AC6438">
        <v>73.039999999999992</v>
      </c>
      <c r="AE6438" s="74"/>
      <c r="AF6438" s="77"/>
      <c r="AH6438" s="497">
        <v>64.400000000000006</v>
      </c>
      <c r="AJ6438" s="42"/>
      <c r="AK6438" s="74"/>
      <c r="AL6438" s="77"/>
      <c r="AN6438" s="497">
        <v>54.32</v>
      </c>
      <c r="AP6438" s="42"/>
      <c r="AQ6438" s="74"/>
      <c r="AR6438" s="77"/>
      <c r="AT6438" s="497">
        <v>66.02</v>
      </c>
      <c r="AV6438" s="42"/>
      <c r="AW6438" s="74"/>
      <c r="AX6438" s="77"/>
      <c r="BA6438" s="497">
        <v>53.96</v>
      </c>
      <c r="BB6438" s="42"/>
      <c r="BC6438" s="74"/>
      <c r="BD6438" s="77"/>
      <c r="BF6438">
        <v>75.02</v>
      </c>
      <c r="BH6438" s="42"/>
      <c r="BI6438" s="74"/>
      <c r="BJ6438" s="77"/>
      <c r="BL6438" s="497">
        <v>66.92</v>
      </c>
      <c r="BN6438" s="42"/>
      <c r="BO6438" s="74"/>
      <c r="BP6438" s="77"/>
      <c r="BR6438" s="497">
        <v>57.019999999999996</v>
      </c>
      <c r="BT6438" s="42"/>
    </row>
    <row r="6439" spans="1:72" x14ac:dyDescent="0.25">
      <c r="A6439" s="90">
        <v>34967</v>
      </c>
      <c r="B6439" s="20">
        <v>0.54166666666666663</v>
      </c>
      <c r="D6439">
        <v>69.98</v>
      </c>
      <c r="E6439" t="str">
        <f t="shared" si="236"/>
        <v>WEEKDAY</v>
      </c>
      <c r="F6439" t="e">
        <f t="shared" si="235"/>
        <v>#N/A</v>
      </c>
      <c r="G6439" s="74">
        <v>29123</v>
      </c>
      <c r="H6439" s="77">
        <v>0.54166666666666663</v>
      </c>
      <c r="J6439">
        <v>62.96</v>
      </c>
      <c r="M6439" s="74">
        <v>37889</v>
      </c>
      <c r="N6439" s="77">
        <v>0.54166666666666663</v>
      </c>
      <c r="P6439">
        <v>71.599999999999994</v>
      </c>
      <c r="S6439" s="74">
        <v>34967</v>
      </c>
      <c r="T6439" s="77">
        <v>0.54166666666666663</v>
      </c>
      <c r="V6439">
        <v>68</v>
      </c>
      <c r="X6439" s="42"/>
      <c r="AB6439">
        <v>70.599999999999994</v>
      </c>
      <c r="AC6439">
        <v>71.960000000000008</v>
      </c>
      <c r="AE6439" s="74"/>
      <c r="AF6439" s="77"/>
      <c r="AH6439" s="497">
        <v>64.400000000000006</v>
      </c>
      <c r="AJ6439" s="42"/>
      <c r="AK6439" s="74"/>
      <c r="AL6439" s="77"/>
      <c r="AN6439" s="497">
        <v>57.92</v>
      </c>
      <c r="AP6439" s="42"/>
      <c r="AQ6439" s="74"/>
      <c r="AR6439" s="77"/>
      <c r="AT6439" s="497">
        <v>66.92</v>
      </c>
      <c r="AV6439" s="42"/>
      <c r="AW6439" s="74"/>
      <c r="AX6439" s="77"/>
      <c r="BA6439" s="497">
        <v>55.94</v>
      </c>
      <c r="BB6439" s="42"/>
      <c r="BC6439" s="74"/>
      <c r="BD6439" s="77"/>
      <c r="BF6439">
        <v>75.92</v>
      </c>
      <c r="BH6439" s="42"/>
      <c r="BI6439" s="74"/>
      <c r="BJ6439" s="77"/>
      <c r="BL6439" s="497">
        <v>66.92</v>
      </c>
      <c r="BN6439" s="42"/>
      <c r="BO6439" s="74"/>
      <c r="BP6439" s="77"/>
      <c r="BR6439" s="497">
        <v>57.92</v>
      </c>
      <c r="BT6439" s="42"/>
    </row>
    <row r="6440" spans="1:72" x14ac:dyDescent="0.25">
      <c r="A6440" s="90">
        <v>34967</v>
      </c>
      <c r="B6440" s="20">
        <v>0.58333333333333337</v>
      </c>
      <c r="D6440">
        <v>69.98</v>
      </c>
      <c r="E6440" t="str">
        <f t="shared" si="236"/>
        <v>WEEKDAY</v>
      </c>
      <c r="F6440" t="e">
        <f t="shared" si="235"/>
        <v>#N/A</v>
      </c>
      <c r="G6440" s="74">
        <v>29123</v>
      </c>
      <c r="H6440" s="77">
        <v>0.58333333333333337</v>
      </c>
      <c r="J6440">
        <v>64.039999999999992</v>
      </c>
      <c r="M6440" s="74">
        <v>37889</v>
      </c>
      <c r="N6440" s="77">
        <v>0.58333333333333337</v>
      </c>
      <c r="P6440">
        <v>73.400000000000006</v>
      </c>
      <c r="S6440" s="74">
        <v>34967</v>
      </c>
      <c r="T6440" s="77">
        <v>0.58333333333333337</v>
      </c>
      <c r="V6440">
        <v>66.02</v>
      </c>
      <c r="X6440" s="42"/>
      <c r="AB6440">
        <v>70.900000000000006</v>
      </c>
      <c r="AC6440">
        <v>71.06</v>
      </c>
      <c r="AE6440" s="74"/>
      <c r="AF6440" s="77"/>
      <c r="AH6440" s="497">
        <v>66.2</v>
      </c>
      <c r="AJ6440" s="42"/>
      <c r="AK6440" s="74"/>
      <c r="AL6440" s="77"/>
      <c r="AN6440" s="497">
        <v>58.28</v>
      </c>
      <c r="AP6440" s="42"/>
      <c r="AQ6440" s="74"/>
      <c r="AR6440" s="77"/>
      <c r="AT6440" s="497">
        <v>66.92</v>
      </c>
      <c r="AV6440" s="42"/>
      <c r="AW6440" s="74"/>
      <c r="AX6440" s="77"/>
      <c r="BA6440" s="497">
        <v>55.040000000000006</v>
      </c>
      <c r="BB6440" s="42"/>
      <c r="BC6440" s="74"/>
      <c r="BD6440" s="77"/>
      <c r="BF6440">
        <v>75.92</v>
      </c>
      <c r="BH6440" s="42"/>
      <c r="BI6440" s="74"/>
      <c r="BJ6440" s="77"/>
      <c r="BL6440" s="497">
        <v>68</v>
      </c>
      <c r="BN6440" s="42"/>
      <c r="BO6440" s="74"/>
      <c r="BP6440" s="77"/>
      <c r="BR6440" s="497">
        <v>56.66</v>
      </c>
      <c r="BT6440" s="42"/>
    </row>
    <row r="6441" spans="1:72" x14ac:dyDescent="0.25">
      <c r="A6441" s="90">
        <v>34967</v>
      </c>
      <c r="B6441" s="20">
        <v>0.625</v>
      </c>
      <c r="D6441">
        <v>71.06</v>
      </c>
      <c r="E6441" t="str">
        <f t="shared" si="236"/>
        <v>WEEKDAY</v>
      </c>
      <c r="F6441" t="e">
        <f t="shared" si="235"/>
        <v>#N/A</v>
      </c>
      <c r="G6441" s="74">
        <v>29123</v>
      </c>
      <c r="H6441" s="77">
        <v>0.625</v>
      </c>
      <c r="J6441">
        <v>64.94</v>
      </c>
      <c r="M6441" s="74">
        <v>37889</v>
      </c>
      <c r="N6441" s="77">
        <v>0.625</v>
      </c>
      <c r="P6441">
        <v>71.599999999999994</v>
      </c>
      <c r="S6441" s="74">
        <v>34967</v>
      </c>
      <c r="T6441" s="77">
        <v>0.625</v>
      </c>
      <c r="V6441">
        <v>64.94</v>
      </c>
      <c r="X6441" s="42"/>
      <c r="AB6441">
        <v>71</v>
      </c>
      <c r="AC6441">
        <v>69.080000000000013</v>
      </c>
      <c r="AE6441" s="74"/>
      <c r="AF6441" s="77"/>
      <c r="AH6441" s="497">
        <v>64.400000000000006</v>
      </c>
      <c r="AJ6441" s="42"/>
      <c r="AK6441" s="74"/>
      <c r="AL6441" s="77"/>
      <c r="AN6441" s="497">
        <v>58.64</v>
      </c>
      <c r="AP6441" s="42"/>
      <c r="AQ6441" s="74"/>
      <c r="AR6441" s="77"/>
      <c r="AT6441" s="497">
        <v>69.080000000000013</v>
      </c>
      <c r="AV6441" s="42"/>
      <c r="AW6441" s="74"/>
      <c r="AX6441" s="77"/>
      <c r="BA6441" s="497">
        <v>55.040000000000006</v>
      </c>
      <c r="BB6441" s="42"/>
      <c r="BC6441" s="74"/>
      <c r="BD6441" s="77"/>
      <c r="BF6441">
        <v>75.02</v>
      </c>
      <c r="BH6441" s="42"/>
      <c r="BI6441" s="74"/>
      <c r="BJ6441" s="77"/>
      <c r="BL6441" s="497">
        <v>69.080000000000013</v>
      </c>
      <c r="BN6441" s="42"/>
      <c r="BO6441" s="74"/>
      <c r="BP6441" s="77"/>
      <c r="BR6441" s="497">
        <v>55.22</v>
      </c>
      <c r="BT6441" s="42"/>
    </row>
    <row r="6442" spans="1:72" x14ac:dyDescent="0.25">
      <c r="A6442" s="90">
        <v>34967</v>
      </c>
      <c r="B6442" s="20">
        <v>0.66666666666666663</v>
      </c>
      <c r="D6442">
        <v>71.06</v>
      </c>
      <c r="E6442" t="str">
        <f t="shared" si="236"/>
        <v>WEEKDAY</v>
      </c>
      <c r="F6442" t="e">
        <f t="shared" si="235"/>
        <v>#N/A</v>
      </c>
      <c r="G6442" s="74">
        <v>29123</v>
      </c>
      <c r="H6442" s="77">
        <v>0.66666666666666663</v>
      </c>
      <c r="J6442">
        <v>66.02</v>
      </c>
      <c r="M6442" s="74">
        <v>37889</v>
      </c>
      <c r="N6442" s="77">
        <v>0.66666666666666663</v>
      </c>
      <c r="P6442">
        <v>71.599999999999994</v>
      </c>
      <c r="S6442" s="74">
        <v>34967</v>
      </c>
      <c r="T6442" s="77">
        <v>0.66666666666666663</v>
      </c>
      <c r="V6442">
        <v>62.06</v>
      </c>
      <c r="X6442" s="42"/>
      <c r="AB6442">
        <v>70.8</v>
      </c>
      <c r="AC6442">
        <v>69.080000000000013</v>
      </c>
      <c r="AE6442" s="74"/>
      <c r="AF6442" s="77"/>
      <c r="AH6442" s="497">
        <v>62.6</v>
      </c>
      <c r="AJ6442" s="42"/>
      <c r="AK6442" s="74"/>
      <c r="AL6442" s="77"/>
      <c r="AN6442" s="497">
        <v>59</v>
      </c>
      <c r="AP6442" s="42"/>
      <c r="AQ6442" s="74"/>
      <c r="AR6442" s="77"/>
      <c r="AT6442" s="497">
        <v>66.92</v>
      </c>
      <c r="AV6442" s="42"/>
      <c r="AW6442" s="74"/>
      <c r="AX6442" s="77"/>
      <c r="BA6442" s="497">
        <v>53.96</v>
      </c>
      <c r="BB6442" s="42"/>
      <c r="BC6442" s="74"/>
      <c r="BD6442" s="77"/>
      <c r="BF6442">
        <v>75.02</v>
      </c>
      <c r="BH6442" s="42"/>
      <c r="BI6442" s="74"/>
      <c r="BJ6442" s="77"/>
      <c r="BL6442" s="497">
        <v>68</v>
      </c>
      <c r="BN6442" s="42"/>
      <c r="BO6442" s="74"/>
      <c r="BP6442" s="77"/>
      <c r="BR6442" s="497">
        <v>53.96</v>
      </c>
      <c r="BT6442" s="42"/>
    </row>
    <row r="6443" spans="1:72" x14ac:dyDescent="0.25">
      <c r="A6443" s="90">
        <v>34967</v>
      </c>
      <c r="B6443" s="20">
        <v>0.70833333333333337</v>
      </c>
      <c r="D6443">
        <v>71.06</v>
      </c>
      <c r="E6443" t="str">
        <f t="shared" si="236"/>
        <v>WEEKDAY</v>
      </c>
      <c r="F6443" t="e">
        <f t="shared" ref="F6443:F6506" si="237">IF(E6443="WEEKDAY",VLOOKUP(B6443,$DD$19:$DG$42,2),IF(E6443="SATURDAY",VLOOKUP(B6443,$DD$19:$DG$42,3),VLOOKUP(B6443,$DD$19:$DG$42,4)))</f>
        <v>#N/A</v>
      </c>
      <c r="G6443" s="74">
        <v>29123</v>
      </c>
      <c r="H6443" s="77">
        <v>0.70833333333333337</v>
      </c>
      <c r="J6443">
        <v>64.94</v>
      </c>
      <c r="M6443" s="74">
        <v>37889</v>
      </c>
      <c r="N6443" s="77">
        <v>0.70833333333333337</v>
      </c>
      <c r="P6443">
        <v>69.800000000000011</v>
      </c>
      <c r="S6443" s="74">
        <v>34967</v>
      </c>
      <c r="T6443" s="77">
        <v>0.70833333333333337</v>
      </c>
      <c r="V6443">
        <v>60.980000000000004</v>
      </c>
      <c r="X6443" s="42"/>
      <c r="AB6443">
        <v>70</v>
      </c>
      <c r="AC6443">
        <v>66.92</v>
      </c>
      <c r="AE6443" s="74"/>
      <c r="AF6443" s="77"/>
      <c r="AH6443" s="497">
        <v>62.6</v>
      </c>
      <c r="AJ6443" s="42"/>
      <c r="AK6443" s="74"/>
      <c r="AL6443" s="77"/>
      <c r="AN6443" s="497">
        <v>57.379999999999995</v>
      </c>
      <c r="AP6443" s="42"/>
      <c r="AQ6443" s="74"/>
      <c r="AR6443" s="77"/>
      <c r="AT6443" s="497">
        <v>64.94</v>
      </c>
      <c r="AV6443" s="42"/>
      <c r="AW6443" s="74"/>
      <c r="AX6443" s="77"/>
      <c r="BA6443" s="497">
        <v>51.08</v>
      </c>
      <c r="BB6443" s="42"/>
      <c r="BC6443" s="74"/>
      <c r="BD6443" s="77"/>
      <c r="BF6443">
        <v>73.94</v>
      </c>
      <c r="BH6443" s="42"/>
      <c r="BI6443" s="74"/>
      <c r="BJ6443" s="77"/>
      <c r="BL6443" s="497">
        <v>68</v>
      </c>
      <c r="BN6443" s="42"/>
      <c r="BO6443" s="74"/>
      <c r="BP6443" s="77"/>
      <c r="BR6443" s="497">
        <v>54.32</v>
      </c>
      <c r="BT6443" s="42"/>
    </row>
    <row r="6444" spans="1:72" x14ac:dyDescent="0.25">
      <c r="A6444" s="90">
        <v>34967</v>
      </c>
      <c r="B6444" s="20">
        <v>0.75</v>
      </c>
      <c r="D6444">
        <v>71.06</v>
      </c>
      <c r="E6444" t="str">
        <f t="shared" si="236"/>
        <v>WEEKDAY</v>
      </c>
      <c r="F6444" t="e">
        <f t="shared" si="237"/>
        <v>#N/A</v>
      </c>
      <c r="G6444" s="74">
        <v>29123</v>
      </c>
      <c r="H6444" s="77">
        <v>0.75</v>
      </c>
      <c r="J6444">
        <v>64.039999999999992</v>
      </c>
      <c r="M6444" s="74">
        <v>37889</v>
      </c>
      <c r="N6444" s="77">
        <v>0.75</v>
      </c>
      <c r="P6444">
        <v>68</v>
      </c>
      <c r="S6444" s="74">
        <v>34967</v>
      </c>
      <c r="T6444" s="77">
        <v>0.75</v>
      </c>
      <c r="V6444">
        <v>60.980000000000004</v>
      </c>
      <c r="X6444" s="42"/>
      <c r="AB6444">
        <v>68.7</v>
      </c>
      <c r="AC6444">
        <v>64.94</v>
      </c>
      <c r="AE6444" s="74"/>
      <c r="AF6444" s="77"/>
      <c r="AH6444" s="497">
        <v>60.08</v>
      </c>
      <c r="AJ6444" s="42"/>
      <c r="AK6444" s="74"/>
      <c r="AL6444" s="77"/>
      <c r="AN6444" s="497">
        <v>55.58</v>
      </c>
      <c r="AP6444" s="42"/>
      <c r="AQ6444" s="74"/>
      <c r="AR6444" s="77"/>
      <c r="AT6444" s="497">
        <v>62.96</v>
      </c>
      <c r="AV6444" s="42"/>
      <c r="AW6444" s="74"/>
      <c r="AX6444" s="77"/>
      <c r="BA6444" s="497">
        <v>50</v>
      </c>
      <c r="BB6444" s="42"/>
      <c r="BC6444" s="74"/>
      <c r="BD6444" s="77"/>
      <c r="BF6444">
        <v>71.960000000000008</v>
      </c>
      <c r="BH6444" s="42"/>
      <c r="BI6444" s="74"/>
      <c r="BJ6444" s="77"/>
      <c r="BL6444" s="497">
        <v>66.02</v>
      </c>
      <c r="BN6444" s="42"/>
      <c r="BO6444" s="74"/>
      <c r="BP6444" s="77"/>
      <c r="BR6444" s="497">
        <v>54.68</v>
      </c>
      <c r="BT6444" s="42"/>
    </row>
    <row r="6445" spans="1:72" x14ac:dyDescent="0.25">
      <c r="A6445" s="90">
        <v>34967</v>
      </c>
      <c r="B6445" s="20">
        <v>0.79166666666666663</v>
      </c>
      <c r="D6445">
        <v>69.080000000000013</v>
      </c>
      <c r="E6445" t="str">
        <f t="shared" si="236"/>
        <v>WEEKDAY</v>
      </c>
      <c r="F6445" t="e">
        <f t="shared" si="237"/>
        <v>#N/A</v>
      </c>
      <c r="G6445" s="74">
        <v>29123</v>
      </c>
      <c r="H6445" s="77">
        <v>0.79166666666666663</v>
      </c>
      <c r="J6445">
        <v>62.96</v>
      </c>
      <c r="M6445" s="74">
        <v>37889</v>
      </c>
      <c r="N6445" s="77">
        <v>0.79166666666666663</v>
      </c>
      <c r="P6445">
        <v>66.2</v>
      </c>
      <c r="S6445" s="74">
        <v>34967</v>
      </c>
      <c r="T6445" s="77">
        <v>0.79166666666666663</v>
      </c>
      <c r="V6445">
        <v>62.06</v>
      </c>
      <c r="X6445" s="42"/>
      <c r="AB6445">
        <v>67</v>
      </c>
      <c r="AC6445">
        <v>64.039999999999992</v>
      </c>
      <c r="AE6445" s="74"/>
      <c r="AF6445" s="77"/>
      <c r="AH6445" s="497">
        <v>57.2</v>
      </c>
      <c r="AJ6445" s="42"/>
      <c r="AK6445" s="74"/>
      <c r="AL6445" s="77"/>
      <c r="AN6445" s="497">
        <v>53.96</v>
      </c>
      <c r="AP6445" s="42"/>
      <c r="AQ6445" s="74"/>
      <c r="AR6445" s="77"/>
      <c r="AT6445" s="497">
        <v>62.06</v>
      </c>
      <c r="AV6445" s="42"/>
      <c r="AW6445" s="74"/>
      <c r="AX6445" s="77"/>
      <c r="BA6445" s="497">
        <v>48.92</v>
      </c>
      <c r="BB6445" s="42"/>
      <c r="BC6445" s="74"/>
      <c r="BD6445" s="77"/>
      <c r="BF6445">
        <v>69.080000000000013</v>
      </c>
      <c r="BH6445" s="42"/>
      <c r="BI6445" s="74"/>
      <c r="BJ6445" s="77"/>
      <c r="BL6445" s="497">
        <v>66.02</v>
      </c>
      <c r="BN6445" s="42"/>
      <c r="BO6445" s="74"/>
      <c r="BP6445" s="77"/>
      <c r="BR6445" s="497">
        <v>55.040000000000006</v>
      </c>
      <c r="BT6445" s="42"/>
    </row>
    <row r="6446" spans="1:72" x14ac:dyDescent="0.25">
      <c r="A6446" s="90">
        <v>34967</v>
      </c>
      <c r="B6446" s="20">
        <v>0.83333333333333337</v>
      </c>
      <c r="D6446">
        <v>64.039999999999992</v>
      </c>
      <c r="E6446" t="str">
        <f t="shared" si="236"/>
        <v>WEEKDAY</v>
      </c>
      <c r="F6446" t="e">
        <f t="shared" si="237"/>
        <v>#N/A</v>
      </c>
      <c r="G6446" s="74">
        <v>29123</v>
      </c>
      <c r="H6446" s="77">
        <v>0.83333333333333337</v>
      </c>
      <c r="J6446">
        <v>62.6</v>
      </c>
      <c r="M6446" s="74">
        <v>37889</v>
      </c>
      <c r="N6446" s="77">
        <v>0.83333333333333337</v>
      </c>
      <c r="P6446">
        <v>66.2</v>
      </c>
      <c r="S6446" s="74">
        <v>34967</v>
      </c>
      <c r="T6446" s="77">
        <v>0.83333333333333337</v>
      </c>
      <c r="V6446">
        <v>62.06</v>
      </c>
      <c r="X6446" s="42"/>
      <c r="AB6446">
        <v>66</v>
      </c>
      <c r="AC6446">
        <v>64.94</v>
      </c>
      <c r="AE6446" s="74"/>
      <c r="AF6446" s="77"/>
      <c r="AH6446" s="497">
        <v>57.2</v>
      </c>
      <c r="AJ6446" s="42"/>
      <c r="AK6446" s="74"/>
      <c r="AL6446" s="77"/>
      <c r="AN6446" s="497">
        <v>52.34</v>
      </c>
      <c r="AP6446" s="42"/>
      <c r="AQ6446" s="74"/>
      <c r="AR6446" s="77"/>
      <c r="AT6446" s="497">
        <v>60.980000000000004</v>
      </c>
      <c r="AV6446" s="42"/>
      <c r="AW6446" s="74"/>
      <c r="AX6446" s="77"/>
      <c r="BA6446" s="497">
        <v>48.019999999999996</v>
      </c>
      <c r="BB6446" s="42"/>
      <c r="BC6446" s="74"/>
      <c r="BD6446" s="77"/>
      <c r="BF6446">
        <v>68</v>
      </c>
      <c r="BH6446" s="42"/>
      <c r="BI6446" s="74"/>
      <c r="BJ6446" s="77"/>
      <c r="BL6446" s="497">
        <v>59</v>
      </c>
      <c r="BN6446" s="42"/>
      <c r="BO6446" s="74"/>
      <c r="BP6446" s="77"/>
      <c r="BR6446" s="497">
        <v>53.96</v>
      </c>
      <c r="BT6446" s="42"/>
    </row>
    <row r="6447" spans="1:72" x14ac:dyDescent="0.25">
      <c r="A6447" s="90">
        <v>34967</v>
      </c>
      <c r="B6447" s="20">
        <v>0.875</v>
      </c>
      <c r="D6447">
        <v>62.06</v>
      </c>
      <c r="E6447" t="str">
        <f t="shared" si="236"/>
        <v>WEEKDAY</v>
      </c>
      <c r="F6447" t="e">
        <f t="shared" si="237"/>
        <v>#N/A</v>
      </c>
      <c r="G6447" s="74">
        <v>29123</v>
      </c>
      <c r="H6447" s="77">
        <v>0.875</v>
      </c>
      <c r="J6447">
        <v>62.42</v>
      </c>
      <c r="M6447" s="74">
        <v>37889</v>
      </c>
      <c r="N6447" s="77">
        <v>0.875</v>
      </c>
      <c r="P6447">
        <v>66.2</v>
      </c>
      <c r="S6447" s="74">
        <v>34967</v>
      </c>
      <c r="T6447" s="77">
        <v>0.875</v>
      </c>
      <c r="V6447">
        <v>60.08</v>
      </c>
      <c r="X6447" s="42"/>
      <c r="AB6447">
        <v>65.3</v>
      </c>
      <c r="AC6447">
        <v>64.94</v>
      </c>
      <c r="AE6447" s="74"/>
      <c r="AF6447" s="77"/>
      <c r="AH6447" s="497">
        <v>55.400000000000006</v>
      </c>
      <c r="AJ6447" s="42"/>
      <c r="AK6447" s="74"/>
      <c r="AL6447" s="77"/>
      <c r="AN6447" s="497">
        <v>50.540000000000006</v>
      </c>
      <c r="AP6447" s="42"/>
      <c r="AQ6447" s="74"/>
      <c r="AR6447" s="77"/>
      <c r="AT6447" s="497">
        <v>60.08</v>
      </c>
      <c r="AV6447" s="42"/>
      <c r="AW6447" s="74"/>
      <c r="AX6447" s="77"/>
      <c r="BA6447" s="497">
        <v>48.92</v>
      </c>
      <c r="BB6447" s="42"/>
      <c r="BC6447" s="74"/>
      <c r="BD6447" s="77"/>
      <c r="BF6447">
        <v>69.080000000000013</v>
      </c>
      <c r="BH6447" s="42"/>
      <c r="BI6447" s="74"/>
      <c r="BJ6447" s="77"/>
      <c r="BL6447" s="497">
        <v>57.92</v>
      </c>
      <c r="BN6447" s="42"/>
      <c r="BO6447" s="74"/>
      <c r="BP6447" s="77"/>
      <c r="BR6447" s="497">
        <v>53.06</v>
      </c>
      <c r="BT6447" s="42"/>
    </row>
    <row r="6448" spans="1:72" x14ac:dyDescent="0.25">
      <c r="A6448" s="90">
        <v>34967</v>
      </c>
      <c r="B6448" s="20">
        <v>0.91666666666666663</v>
      </c>
      <c r="D6448">
        <v>59.900000000000006</v>
      </c>
      <c r="E6448" t="str">
        <f t="shared" si="236"/>
        <v>WEEKDAY</v>
      </c>
      <c r="F6448" t="e">
        <f t="shared" si="237"/>
        <v>#N/A</v>
      </c>
      <c r="G6448" s="74">
        <v>29123</v>
      </c>
      <c r="H6448" s="77">
        <v>0.91666666666666663</v>
      </c>
      <c r="J6448">
        <v>62.06</v>
      </c>
      <c r="M6448" s="74">
        <v>37889</v>
      </c>
      <c r="N6448" s="77">
        <v>0.91666666666666663</v>
      </c>
      <c r="P6448">
        <v>66.2</v>
      </c>
      <c r="S6448" s="74">
        <v>34967</v>
      </c>
      <c r="T6448" s="77">
        <v>0.91666666666666663</v>
      </c>
      <c r="V6448">
        <v>60.08</v>
      </c>
      <c r="X6448" s="42"/>
      <c r="AB6448">
        <v>64.7</v>
      </c>
      <c r="AC6448">
        <v>66.02</v>
      </c>
      <c r="AE6448" s="74"/>
      <c r="AF6448" s="77"/>
      <c r="AH6448" s="497">
        <v>53.6</v>
      </c>
      <c r="AJ6448" s="42"/>
      <c r="AK6448" s="74"/>
      <c r="AL6448" s="77"/>
      <c r="AN6448" s="497">
        <v>48.92</v>
      </c>
      <c r="AP6448" s="42"/>
      <c r="AQ6448" s="74"/>
      <c r="AR6448" s="77"/>
      <c r="AT6448" s="497">
        <v>57.92</v>
      </c>
      <c r="AV6448" s="42"/>
      <c r="AW6448" s="74"/>
      <c r="AX6448" s="77"/>
      <c r="BA6448" s="497">
        <v>48.019999999999996</v>
      </c>
      <c r="BB6448" s="42"/>
      <c r="BC6448" s="74"/>
      <c r="BD6448" s="77"/>
      <c r="BF6448">
        <v>69.080000000000013</v>
      </c>
      <c r="BH6448" s="42"/>
      <c r="BI6448" s="74"/>
      <c r="BJ6448" s="77"/>
      <c r="BL6448" s="497">
        <v>57.92</v>
      </c>
      <c r="BN6448" s="42"/>
      <c r="BO6448" s="74"/>
      <c r="BP6448" s="77"/>
      <c r="BR6448" s="497">
        <v>51.980000000000004</v>
      </c>
      <c r="BT6448" s="42"/>
    </row>
    <row r="6449" spans="1:72" x14ac:dyDescent="0.25">
      <c r="A6449" s="90">
        <v>34967</v>
      </c>
      <c r="B6449" s="20">
        <v>0.95833333333333337</v>
      </c>
      <c r="D6449">
        <v>59</v>
      </c>
      <c r="E6449" t="str">
        <f t="shared" si="236"/>
        <v>WEEKDAY</v>
      </c>
      <c r="F6449" t="e">
        <f t="shared" si="237"/>
        <v>#N/A</v>
      </c>
      <c r="G6449" s="74">
        <v>29123</v>
      </c>
      <c r="H6449" s="77">
        <v>0.95833333333333337</v>
      </c>
      <c r="J6449">
        <v>60.980000000000004</v>
      </c>
      <c r="M6449" s="74">
        <v>37889</v>
      </c>
      <c r="N6449" s="77">
        <v>0.95833333333333337</v>
      </c>
      <c r="P6449">
        <v>66.2</v>
      </c>
      <c r="S6449" s="74">
        <v>34967</v>
      </c>
      <c r="T6449" s="77">
        <v>0.95833333333333337</v>
      </c>
      <c r="V6449">
        <v>60.08</v>
      </c>
      <c r="X6449" s="42"/>
      <c r="AB6449">
        <v>64</v>
      </c>
      <c r="AC6449">
        <v>64.039999999999992</v>
      </c>
      <c r="AE6449" s="74"/>
      <c r="AF6449" s="77"/>
      <c r="AH6449" s="497">
        <v>48.2</v>
      </c>
      <c r="AJ6449" s="42"/>
      <c r="AK6449" s="74"/>
      <c r="AL6449" s="77"/>
      <c r="AN6449" s="497">
        <v>47.3</v>
      </c>
      <c r="AP6449" s="42"/>
      <c r="AQ6449" s="74"/>
      <c r="AR6449" s="77"/>
      <c r="AT6449" s="497">
        <v>55.94</v>
      </c>
      <c r="AV6449" s="42"/>
      <c r="AW6449" s="74"/>
      <c r="AX6449" s="77"/>
      <c r="BA6449" s="497">
        <v>48.019999999999996</v>
      </c>
      <c r="BB6449" s="42"/>
      <c r="BC6449" s="74"/>
      <c r="BD6449" s="77"/>
      <c r="BF6449">
        <v>62.96</v>
      </c>
      <c r="BH6449" s="42"/>
      <c r="BI6449" s="74"/>
      <c r="BJ6449" s="77"/>
      <c r="BL6449" s="497">
        <v>55.94</v>
      </c>
      <c r="BN6449" s="42"/>
      <c r="BO6449" s="74"/>
      <c r="BP6449" s="77"/>
      <c r="BR6449" s="497">
        <v>51.620000000000005</v>
      </c>
      <c r="BT6449" s="42"/>
    </row>
    <row r="6450" spans="1:72" x14ac:dyDescent="0.25">
      <c r="A6450" s="90">
        <v>34967</v>
      </c>
      <c r="B6450" s="20">
        <v>1</v>
      </c>
      <c r="D6450">
        <v>59</v>
      </c>
      <c r="E6450" t="str">
        <f t="shared" si="236"/>
        <v>WEEKDAY</v>
      </c>
      <c r="F6450" t="e">
        <f t="shared" si="237"/>
        <v>#N/A</v>
      </c>
      <c r="G6450" s="74">
        <v>29123</v>
      </c>
      <c r="H6450" s="77">
        <v>1</v>
      </c>
      <c r="J6450">
        <v>60.08</v>
      </c>
      <c r="M6450" s="74">
        <v>37889</v>
      </c>
      <c r="N6450" s="80">
        <v>1</v>
      </c>
      <c r="P6450">
        <v>64.400000000000006</v>
      </c>
      <c r="S6450" s="74">
        <v>34967</v>
      </c>
      <c r="T6450" s="80">
        <v>1</v>
      </c>
      <c r="V6450">
        <v>59</v>
      </c>
      <c r="X6450" s="42"/>
      <c r="AB6450">
        <v>63.4</v>
      </c>
      <c r="AC6450">
        <v>62.96</v>
      </c>
      <c r="AE6450" s="74"/>
      <c r="AF6450" s="80"/>
      <c r="AH6450" s="497">
        <v>46.4</v>
      </c>
      <c r="AJ6450" s="42"/>
      <c r="AK6450" s="74"/>
      <c r="AL6450" s="80"/>
      <c r="AN6450" s="497">
        <v>45.68</v>
      </c>
      <c r="AP6450" s="42"/>
      <c r="AQ6450" s="74"/>
      <c r="AR6450" s="80"/>
      <c r="AT6450" s="497">
        <v>57.92</v>
      </c>
      <c r="AV6450" s="42"/>
      <c r="AW6450" s="74"/>
      <c r="AX6450" s="80"/>
      <c r="BA6450" s="497">
        <v>46.04</v>
      </c>
      <c r="BB6450" s="42"/>
      <c r="BC6450" s="74"/>
      <c r="BD6450" s="80"/>
      <c r="BF6450">
        <v>60.980000000000004</v>
      </c>
      <c r="BH6450" s="42"/>
      <c r="BI6450" s="74"/>
      <c r="BJ6450" s="80"/>
      <c r="BL6450" s="497">
        <v>57.92</v>
      </c>
      <c r="BN6450" s="42"/>
      <c r="BO6450" s="74"/>
      <c r="BP6450" s="80"/>
      <c r="BR6450" s="497">
        <v>51.44</v>
      </c>
      <c r="BT6450" s="42"/>
    </row>
    <row r="6451" spans="1:72" x14ac:dyDescent="0.25">
      <c r="A6451" s="90">
        <v>34968</v>
      </c>
      <c r="B6451" s="20">
        <v>4.1666666666666664E-2</v>
      </c>
      <c r="D6451">
        <v>57.2</v>
      </c>
      <c r="E6451" t="str">
        <f t="shared" si="236"/>
        <v>WEEKDAY</v>
      </c>
      <c r="F6451" t="e">
        <f t="shared" si="237"/>
        <v>#N/A</v>
      </c>
      <c r="G6451" s="74">
        <v>29124</v>
      </c>
      <c r="H6451" s="77">
        <v>4.1666666666666664E-2</v>
      </c>
      <c r="J6451">
        <v>59</v>
      </c>
      <c r="M6451" s="74">
        <v>37890</v>
      </c>
      <c r="N6451" s="77">
        <v>4.1666666666666664E-2</v>
      </c>
      <c r="P6451">
        <v>64.400000000000006</v>
      </c>
      <c r="S6451" s="74">
        <v>34968</v>
      </c>
      <c r="T6451" s="77">
        <v>4.1666666666666664E-2</v>
      </c>
      <c r="V6451">
        <v>59</v>
      </c>
      <c r="X6451" s="42"/>
      <c r="AB6451">
        <v>62.7</v>
      </c>
      <c r="AC6451">
        <v>62.96</v>
      </c>
      <c r="AE6451" s="74"/>
      <c r="AF6451" s="77"/>
      <c r="AH6451" s="497">
        <v>46.4</v>
      </c>
      <c r="AJ6451" s="42"/>
      <c r="AK6451" s="74"/>
      <c r="AL6451" s="77"/>
      <c r="AN6451" s="497">
        <v>44.06</v>
      </c>
      <c r="AP6451" s="42"/>
      <c r="AQ6451" s="74"/>
      <c r="AR6451" s="77"/>
      <c r="AT6451" s="497">
        <v>57.019999999999996</v>
      </c>
      <c r="AV6451" s="42"/>
      <c r="AW6451" s="74"/>
      <c r="AX6451" s="77"/>
      <c r="BA6451" s="497">
        <v>44.96</v>
      </c>
      <c r="BB6451" s="42"/>
      <c r="BC6451" s="74"/>
      <c r="BD6451" s="77"/>
      <c r="BF6451">
        <v>60.08</v>
      </c>
      <c r="BH6451" s="42"/>
      <c r="BI6451" s="74"/>
      <c r="BJ6451" s="77"/>
      <c r="BL6451" s="497">
        <v>57.92</v>
      </c>
      <c r="BN6451" s="42"/>
      <c r="BO6451" s="74"/>
      <c r="BP6451" s="77"/>
      <c r="BR6451" s="497">
        <v>51.08</v>
      </c>
      <c r="BT6451" s="42"/>
    </row>
    <row r="6452" spans="1:72" x14ac:dyDescent="0.25">
      <c r="A6452" s="90">
        <v>34968</v>
      </c>
      <c r="B6452" s="20">
        <v>8.3333333333333329E-2</v>
      </c>
      <c r="D6452">
        <v>56.120000000000005</v>
      </c>
      <c r="E6452" t="str">
        <f t="shared" si="236"/>
        <v>WEEKDAY</v>
      </c>
      <c r="F6452" t="e">
        <f t="shared" si="237"/>
        <v>#N/A</v>
      </c>
      <c r="G6452" s="74">
        <v>29124</v>
      </c>
      <c r="H6452" s="77">
        <v>8.3333333333333329E-2</v>
      </c>
      <c r="J6452">
        <v>59.36</v>
      </c>
      <c r="M6452" s="74">
        <v>37890</v>
      </c>
      <c r="N6452" s="77">
        <v>8.3333333333333329E-2</v>
      </c>
      <c r="P6452">
        <v>62.6</v>
      </c>
      <c r="S6452" s="74">
        <v>34968</v>
      </c>
      <c r="T6452" s="77">
        <v>8.3333333333333329E-2</v>
      </c>
      <c r="V6452">
        <v>60.08</v>
      </c>
      <c r="X6452" s="42"/>
      <c r="AB6452">
        <v>62.1</v>
      </c>
      <c r="AC6452">
        <v>64.039999999999992</v>
      </c>
      <c r="AE6452" s="74"/>
      <c r="AF6452" s="77"/>
      <c r="AH6452" s="497">
        <v>44.6</v>
      </c>
      <c r="AJ6452" s="42"/>
      <c r="AK6452" s="74"/>
      <c r="AL6452" s="77"/>
      <c r="AN6452" s="497">
        <v>44.78</v>
      </c>
      <c r="AP6452" s="42"/>
      <c r="AQ6452" s="74"/>
      <c r="AR6452" s="77"/>
      <c r="AT6452" s="497">
        <v>55.94</v>
      </c>
      <c r="AV6452" s="42"/>
      <c r="AW6452" s="74"/>
      <c r="AX6452" s="77"/>
      <c r="BA6452" s="497">
        <v>44.96</v>
      </c>
      <c r="BB6452" s="42"/>
      <c r="BC6452" s="74"/>
      <c r="BD6452" s="77"/>
      <c r="BF6452">
        <v>60.08</v>
      </c>
      <c r="BH6452" s="42"/>
      <c r="BI6452" s="74"/>
      <c r="BJ6452" s="77"/>
      <c r="BL6452" s="497">
        <v>57.92</v>
      </c>
      <c r="BN6452" s="42"/>
      <c r="BO6452" s="74"/>
      <c r="BP6452" s="77"/>
      <c r="BR6452" s="497">
        <v>51.44</v>
      </c>
      <c r="BT6452" s="42"/>
    </row>
    <row r="6453" spans="1:72" x14ac:dyDescent="0.25">
      <c r="A6453" s="90">
        <v>34968</v>
      </c>
      <c r="B6453" s="20">
        <v>0.125</v>
      </c>
      <c r="D6453">
        <v>53.6</v>
      </c>
      <c r="E6453" t="str">
        <f t="shared" si="236"/>
        <v>WEEKDAY</v>
      </c>
      <c r="F6453" t="e">
        <f t="shared" si="237"/>
        <v>#N/A</v>
      </c>
      <c r="G6453" s="74">
        <v>29124</v>
      </c>
      <c r="H6453" s="77">
        <v>0.125</v>
      </c>
      <c r="J6453">
        <v>59.72</v>
      </c>
      <c r="M6453" s="74">
        <v>37890</v>
      </c>
      <c r="N6453" s="77">
        <v>0.125</v>
      </c>
      <c r="P6453">
        <v>60.8</v>
      </c>
      <c r="S6453" s="74">
        <v>34968</v>
      </c>
      <c r="T6453" s="77">
        <v>0.125</v>
      </c>
      <c r="V6453">
        <v>60.08</v>
      </c>
      <c r="X6453" s="42"/>
      <c r="AB6453">
        <v>61.5</v>
      </c>
      <c r="AC6453">
        <v>62.96</v>
      </c>
      <c r="AE6453" s="74"/>
      <c r="AF6453" s="77"/>
      <c r="AH6453" s="497">
        <v>42.8</v>
      </c>
      <c r="AJ6453" s="42"/>
      <c r="AK6453" s="74"/>
      <c r="AL6453" s="77"/>
      <c r="AN6453" s="497">
        <v>45.32</v>
      </c>
      <c r="AP6453" s="42"/>
      <c r="AQ6453" s="74"/>
      <c r="AR6453" s="77"/>
      <c r="AT6453" s="497">
        <v>55.94</v>
      </c>
      <c r="AV6453" s="42"/>
      <c r="AW6453" s="74"/>
      <c r="AX6453" s="77"/>
      <c r="BA6453" s="497">
        <v>44.96</v>
      </c>
      <c r="BB6453" s="42"/>
      <c r="BC6453" s="74"/>
      <c r="BD6453" s="77"/>
      <c r="BF6453">
        <v>60.08</v>
      </c>
      <c r="BH6453" s="42"/>
      <c r="BI6453" s="74"/>
      <c r="BJ6453" s="77"/>
      <c r="BL6453" s="497">
        <v>57.019999999999996</v>
      </c>
      <c r="BN6453" s="42"/>
      <c r="BO6453" s="74"/>
      <c r="BP6453" s="77"/>
      <c r="BR6453" s="497">
        <v>51.620000000000005</v>
      </c>
      <c r="BT6453" s="42"/>
    </row>
    <row r="6454" spans="1:72" x14ac:dyDescent="0.25">
      <c r="A6454" s="90">
        <v>34968</v>
      </c>
      <c r="B6454" s="20">
        <v>0.16666666666666666</v>
      </c>
      <c r="D6454">
        <v>53.6</v>
      </c>
      <c r="E6454" t="str">
        <f t="shared" si="236"/>
        <v>WEEKDAY</v>
      </c>
      <c r="F6454" t="e">
        <f t="shared" si="237"/>
        <v>#N/A</v>
      </c>
      <c r="G6454" s="74">
        <v>29124</v>
      </c>
      <c r="H6454" s="77">
        <v>0.16666666666666666</v>
      </c>
      <c r="J6454">
        <v>60.08</v>
      </c>
      <c r="M6454" s="74">
        <v>37890</v>
      </c>
      <c r="N6454" s="77">
        <v>0.16666666666666666</v>
      </c>
      <c r="P6454">
        <v>59</v>
      </c>
      <c r="S6454" s="74">
        <v>34968</v>
      </c>
      <c r="T6454" s="77">
        <v>0.16666666666666666</v>
      </c>
      <c r="V6454">
        <v>60.08</v>
      </c>
      <c r="X6454" s="42"/>
      <c r="AB6454">
        <v>61</v>
      </c>
      <c r="AC6454">
        <v>62.96</v>
      </c>
      <c r="AE6454" s="74"/>
      <c r="AF6454" s="77"/>
      <c r="AH6454" s="497">
        <v>42.8</v>
      </c>
      <c r="AJ6454" s="42"/>
      <c r="AK6454" s="74"/>
      <c r="AL6454" s="77"/>
      <c r="AN6454" s="497">
        <v>46.04</v>
      </c>
      <c r="AP6454" s="42"/>
      <c r="AQ6454" s="74"/>
      <c r="AR6454" s="77"/>
      <c r="AT6454" s="497">
        <v>55.94</v>
      </c>
      <c r="AV6454" s="42"/>
      <c r="AW6454" s="74"/>
      <c r="AX6454" s="77"/>
      <c r="BA6454" s="497">
        <v>42.980000000000004</v>
      </c>
      <c r="BB6454" s="42"/>
      <c r="BC6454" s="74"/>
      <c r="BD6454" s="77"/>
      <c r="BF6454">
        <v>60.08</v>
      </c>
      <c r="BH6454" s="42"/>
      <c r="BI6454" s="74"/>
      <c r="BJ6454" s="77"/>
      <c r="BL6454" s="497">
        <v>57.019999999999996</v>
      </c>
      <c r="BN6454" s="42"/>
      <c r="BO6454" s="74"/>
      <c r="BP6454" s="77"/>
      <c r="BR6454" s="497">
        <v>51.980000000000004</v>
      </c>
      <c r="BT6454" s="42"/>
    </row>
    <row r="6455" spans="1:72" x14ac:dyDescent="0.25">
      <c r="A6455" s="90">
        <v>34968</v>
      </c>
      <c r="B6455" s="20">
        <v>0.20833333333333334</v>
      </c>
      <c r="D6455">
        <v>51.8</v>
      </c>
      <c r="E6455" t="str">
        <f t="shared" si="236"/>
        <v>WEEKDAY</v>
      </c>
      <c r="F6455" t="e">
        <f t="shared" si="237"/>
        <v>#N/A</v>
      </c>
      <c r="G6455" s="74">
        <v>29124</v>
      </c>
      <c r="H6455" s="77">
        <v>0.20833333333333334</v>
      </c>
      <c r="J6455">
        <v>60.08</v>
      </c>
      <c r="M6455" s="74">
        <v>37890</v>
      </c>
      <c r="N6455" s="77">
        <v>0.20833333333333334</v>
      </c>
      <c r="P6455">
        <v>60.8</v>
      </c>
      <c r="S6455" s="74">
        <v>34968</v>
      </c>
      <c r="T6455" s="77">
        <v>0.20833333333333334</v>
      </c>
      <c r="V6455">
        <v>60.08</v>
      </c>
      <c r="X6455" s="42"/>
      <c r="AB6455">
        <v>60.6</v>
      </c>
      <c r="AC6455">
        <v>62.96</v>
      </c>
      <c r="AE6455" s="74"/>
      <c r="AF6455" s="77"/>
      <c r="AH6455" s="497">
        <v>41</v>
      </c>
      <c r="AJ6455" s="42"/>
      <c r="AK6455" s="74"/>
      <c r="AL6455" s="77"/>
      <c r="AN6455" s="497">
        <v>46.4</v>
      </c>
      <c r="AP6455" s="42"/>
      <c r="AQ6455" s="74"/>
      <c r="AR6455" s="77"/>
      <c r="AT6455" s="497">
        <v>55.040000000000006</v>
      </c>
      <c r="AV6455" s="42"/>
      <c r="AW6455" s="74"/>
      <c r="AX6455" s="77"/>
      <c r="BA6455" s="497">
        <v>42.980000000000004</v>
      </c>
      <c r="BB6455" s="42"/>
      <c r="BC6455" s="74"/>
      <c r="BD6455" s="77"/>
      <c r="BF6455">
        <v>60.08</v>
      </c>
      <c r="BH6455" s="42"/>
      <c r="BI6455" s="74"/>
      <c r="BJ6455" s="77"/>
      <c r="BL6455" s="497">
        <v>57.92</v>
      </c>
      <c r="BN6455" s="42"/>
      <c r="BO6455" s="74"/>
      <c r="BP6455" s="77"/>
      <c r="BR6455" s="497">
        <v>52.34</v>
      </c>
      <c r="BT6455" s="42"/>
    </row>
    <row r="6456" spans="1:72" x14ac:dyDescent="0.25">
      <c r="A6456" s="90">
        <v>34968</v>
      </c>
      <c r="B6456" s="20">
        <v>0.25</v>
      </c>
      <c r="D6456">
        <v>51.8</v>
      </c>
      <c r="E6456" t="str">
        <f t="shared" si="236"/>
        <v>WEEKDAY</v>
      </c>
      <c r="F6456" t="e">
        <f t="shared" si="237"/>
        <v>#N/A</v>
      </c>
      <c r="G6456" s="74">
        <v>29124</v>
      </c>
      <c r="H6456" s="77">
        <v>0.25</v>
      </c>
      <c r="J6456">
        <v>60.08</v>
      </c>
      <c r="M6456" s="74">
        <v>37890</v>
      </c>
      <c r="N6456" s="77">
        <v>0.25</v>
      </c>
      <c r="P6456">
        <v>59</v>
      </c>
      <c r="S6456" s="74">
        <v>34968</v>
      </c>
      <c r="T6456" s="77">
        <v>0.25</v>
      </c>
      <c r="V6456">
        <v>60.08</v>
      </c>
      <c r="X6456" s="42"/>
      <c r="AB6456">
        <v>60.4</v>
      </c>
      <c r="AC6456">
        <v>62.96</v>
      </c>
      <c r="AE6456" s="74"/>
      <c r="AF6456" s="77"/>
      <c r="AH6456" s="497">
        <v>39.200000000000003</v>
      </c>
      <c r="AJ6456" s="42"/>
      <c r="AK6456" s="74"/>
      <c r="AL6456" s="77"/>
      <c r="AN6456" s="497">
        <v>46.58</v>
      </c>
      <c r="AP6456" s="42"/>
      <c r="AQ6456" s="74"/>
      <c r="AR6456" s="77"/>
      <c r="AT6456" s="497">
        <v>55.040000000000006</v>
      </c>
      <c r="AV6456" s="42"/>
      <c r="AW6456" s="74"/>
      <c r="AX6456" s="77"/>
      <c r="BA6456" s="497">
        <v>42.08</v>
      </c>
      <c r="BB6456" s="42"/>
      <c r="BC6456" s="74"/>
      <c r="BD6456" s="77"/>
      <c r="BF6456">
        <v>59</v>
      </c>
      <c r="BH6456" s="42"/>
      <c r="BI6456" s="74"/>
      <c r="BJ6456" s="77"/>
      <c r="BL6456" s="497">
        <v>57.92</v>
      </c>
      <c r="BN6456" s="42"/>
      <c r="BO6456" s="74"/>
      <c r="BP6456" s="77"/>
      <c r="BR6456" s="497">
        <v>52.7</v>
      </c>
      <c r="BT6456" s="42"/>
    </row>
    <row r="6457" spans="1:72" x14ac:dyDescent="0.25">
      <c r="A6457" s="90">
        <v>34968</v>
      </c>
      <c r="B6457" s="20">
        <v>0.29166666666666669</v>
      </c>
      <c r="D6457">
        <v>53.06</v>
      </c>
      <c r="E6457" t="str">
        <f t="shared" si="236"/>
        <v>WEEKDAY</v>
      </c>
      <c r="F6457" t="e">
        <f t="shared" si="237"/>
        <v>#N/A</v>
      </c>
      <c r="G6457" s="74">
        <v>29124</v>
      </c>
      <c r="H6457" s="77">
        <v>0.29166666666666669</v>
      </c>
      <c r="J6457">
        <v>60.08</v>
      </c>
      <c r="M6457" s="74">
        <v>37890</v>
      </c>
      <c r="N6457" s="77">
        <v>0.29166666666666669</v>
      </c>
      <c r="P6457">
        <v>59</v>
      </c>
      <c r="S6457" s="74">
        <v>34968</v>
      </c>
      <c r="T6457" s="77">
        <v>0.29166666666666669</v>
      </c>
      <c r="V6457">
        <v>60.08</v>
      </c>
      <c r="X6457" s="42"/>
      <c r="AB6457">
        <v>60.2</v>
      </c>
      <c r="AC6457">
        <v>66.02</v>
      </c>
      <c r="AE6457" s="74"/>
      <c r="AF6457" s="77"/>
      <c r="AH6457" s="497">
        <v>44.6</v>
      </c>
      <c r="AJ6457" s="42"/>
      <c r="AK6457" s="74"/>
      <c r="AL6457" s="77"/>
      <c r="AN6457" s="497">
        <v>46.94</v>
      </c>
      <c r="AP6457" s="42"/>
      <c r="AQ6457" s="74"/>
      <c r="AR6457" s="77"/>
      <c r="AT6457" s="497">
        <v>55.040000000000006</v>
      </c>
      <c r="AV6457" s="42"/>
      <c r="AW6457" s="74"/>
      <c r="AX6457" s="77"/>
      <c r="BA6457" s="497">
        <v>42.980000000000004</v>
      </c>
      <c r="BB6457" s="42"/>
      <c r="BC6457" s="74"/>
      <c r="BD6457" s="77"/>
      <c r="BF6457">
        <v>59</v>
      </c>
      <c r="BH6457" s="42"/>
      <c r="BI6457" s="74"/>
      <c r="BJ6457" s="77"/>
      <c r="BL6457" s="497">
        <v>62.06</v>
      </c>
      <c r="BN6457" s="42"/>
      <c r="BO6457" s="74"/>
      <c r="BP6457" s="77"/>
      <c r="BR6457" s="497">
        <v>53.06</v>
      </c>
      <c r="BT6457" s="42"/>
    </row>
    <row r="6458" spans="1:72" x14ac:dyDescent="0.25">
      <c r="A6458" s="90">
        <v>34968</v>
      </c>
      <c r="B6458" s="20">
        <v>0.33333333333333331</v>
      </c>
      <c r="D6458">
        <v>53.96</v>
      </c>
      <c r="E6458" t="str">
        <f t="shared" si="236"/>
        <v>WEEKDAY</v>
      </c>
      <c r="F6458" t="e">
        <f t="shared" si="237"/>
        <v>#N/A</v>
      </c>
      <c r="G6458" s="74">
        <v>29124</v>
      </c>
      <c r="H6458" s="77">
        <v>0.33333333333333331</v>
      </c>
      <c r="J6458">
        <v>63.14</v>
      </c>
      <c r="M6458" s="74">
        <v>37890</v>
      </c>
      <c r="N6458" s="77">
        <v>0.33333333333333331</v>
      </c>
      <c r="P6458">
        <v>59</v>
      </c>
      <c r="S6458" s="74">
        <v>34968</v>
      </c>
      <c r="T6458" s="77">
        <v>0.33333333333333331</v>
      </c>
      <c r="V6458">
        <v>60.980000000000004</v>
      </c>
      <c r="X6458" s="42"/>
      <c r="AB6458">
        <v>61.8</v>
      </c>
      <c r="AC6458">
        <v>66.92</v>
      </c>
      <c r="AE6458" s="74"/>
      <c r="AF6458" s="77"/>
      <c r="AH6458" s="497">
        <v>48.2</v>
      </c>
      <c r="AJ6458" s="42"/>
      <c r="AK6458" s="74"/>
      <c r="AL6458" s="77"/>
      <c r="AN6458" s="497">
        <v>48.379999999999995</v>
      </c>
      <c r="AP6458" s="42"/>
      <c r="AQ6458" s="74"/>
      <c r="AR6458" s="77"/>
      <c r="AT6458" s="497">
        <v>59</v>
      </c>
      <c r="AV6458" s="42"/>
      <c r="AW6458" s="74"/>
      <c r="AX6458" s="77"/>
      <c r="BA6458" s="497">
        <v>46.94</v>
      </c>
      <c r="BB6458" s="42"/>
      <c r="BC6458" s="74"/>
      <c r="BD6458" s="77"/>
      <c r="BF6458">
        <v>60.08</v>
      </c>
      <c r="BH6458" s="42"/>
      <c r="BI6458" s="74"/>
      <c r="BJ6458" s="77"/>
      <c r="BL6458" s="497">
        <v>64.94</v>
      </c>
      <c r="BN6458" s="42"/>
      <c r="BO6458" s="74"/>
      <c r="BP6458" s="77"/>
      <c r="BR6458" s="497">
        <v>55.76</v>
      </c>
      <c r="BT6458" s="42"/>
    </row>
    <row r="6459" spans="1:72" x14ac:dyDescent="0.25">
      <c r="A6459" s="90">
        <v>34968</v>
      </c>
      <c r="B6459" s="20">
        <v>0.375</v>
      </c>
      <c r="D6459">
        <v>55.400000000000006</v>
      </c>
      <c r="E6459" t="str">
        <f t="shared" si="236"/>
        <v>WEEKDAY</v>
      </c>
      <c r="F6459" t="e">
        <f t="shared" si="237"/>
        <v>#N/A</v>
      </c>
      <c r="G6459" s="74">
        <v>29124</v>
      </c>
      <c r="H6459" s="77">
        <v>0.375</v>
      </c>
      <c r="J6459">
        <v>66.02</v>
      </c>
      <c r="M6459" s="74">
        <v>37890</v>
      </c>
      <c r="N6459" s="77">
        <v>0.375</v>
      </c>
      <c r="P6459">
        <v>60.8</v>
      </c>
      <c r="S6459" s="74">
        <v>34968</v>
      </c>
      <c r="T6459" s="77">
        <v>0.375</v>
      </c>
      <c r="V6459">
        <v>62.06</v>
      </c>
      <c r="X6459" s="42"/>
      <c r="AB6459">
        <v>64.099999999999994</v>
      </c>
      <c r="AC6459">
        <v>66.92</v>
      </c>
      <c r="AE6459" s="74"/>
      <c r="AF6459" s="77"/>
      <c r="AH6459" s="497">
        <v>53.6</v>
      </c>
      <c r="AJ6459" s="42"/>
      <c r="AK6459" s="74"/>
      <c r="AL6459" s="77"/>
      <c r="AN6459" s="497">
        <v>49.64</v>
      </c>
      <c r="AP6459" s="42"/>
      <c r="AQ6459" s="74"/>
      <c r="AR6459" s="77"/>
      <c r="AT6459" s="497">
        <v>62.96</v>
      </c>
      <c r="AV6459" s="42"/>
      <c r="AW6459" s="74"/>
      <c r="AX6459" s="77"/>
      <c r="BA6459" s="497">
        <v>48.019999999999996</v>
      </c>
      <c r="BB6459" s="42"/>
      <c r="BC6459" s="74"/>
      <c r="BD6459" s="77"/>
      <c r="BF6459">
        <v>60.980000000000004</v>
      </c>
      <c r="BH6459" s="42"/>
      <c r="BI6459" s="74"/>
      <c r="BJ6459" s="77"/>
      <c r="BL6459" s="497">
        <v>68</v>
      </c>
      <c r="BN6459" s="42"/>
      <c r="BO6459" s="74"/>
      <c r="BP6459" s="77"/>
      <c r="BR6459" s="497">
        <v>58.28</v>
      </c>
      <c r="BT6459" s="42"/>
    </row>
    <row r="6460" spans="1:72" x14ac:dyDescent="0.25">
      <c r="A6460" s="90">
        <v>34968</v>
      </c>
      <c r="B6460" s="20">
        <v>0.41666666666666669</v>
      </c>
      <c r="D6460">
        <v>56.480000000000004</v>
      </c>
      <c r="E6460" t="str">
        <f t="shared" si="236"/>
        <v>WEEKDAY</v>
      </c>
      <c r="F6460" t="e">
        <f t="shared" si="237"/>
        <v>#N/A</v>
      </c>
      <c r="G6460" s="74">
        <v>29124</v>
      </c>
      <c r="H6460" s="77">
        <v>0.41666666666666669</v>
      </c>
      <c r="J6460">
        <v>69.080000000000013</v>
      </c>
      <c r="M6460" s="74">
        <v>37890</v>
      </c>
      <c r="N6460" s="77">
        <v>0.41666666666666669</v>
      </c>
      <c r="P6460">
        <v>60.8</v>
      </c>
      <c r="S6460" s="74">
        <v>34968</v>
      </c>
      <c r="T6460" s="77">
        <v>0.41666666666666669</v>
      </c>
      <c r="V6460">
        <v>62.96</v>
      </c>
      <c r="X6460" s="42"/>
      <c r="AB6460">
        <v>66.2</v>
      </c>
      <c r="AC6460">
        <v>68</v>
      </c>
      <c r="AE6460" s="74"/>
      <c r="AF6460" s="77"/>
      <c r="AH6460" s="497">
        <v>55.400000000000006</v>
      </c>
      <c r="AJ6460" s="42"/>
      <c r="AK6460" s="74"/>
      <c r="AL6460" s="77"/>
      <c r="AN6460" s="497">
        <v>51.08</v>
      </c>
      <c r="AP6460" s="42"/>
      <c r="AQ6460" s="74"/>
      <c r="AR6460" s="77"/>
      <c r="AT6460" s="497">
        <v>62.06</v>
      </c>
      <c r="AV6460" s="42"/>
      <c r="AW6460" s="74"/>
      <c r="AX6460" s="77"/>
      <c r="BA6460" s="497">
        <v>48.92</v>
      </c>
      <c r="BB6460" s="42"/>
      <c r="BC6460" s="74"/>
      <c r="BD6460" s="77"/>
      <c r="BF6460">
        <v>60.980000000000004</v>
      </c>
      <c r="BH6460" s="42"/>
      <c r="BI6460" s="74"/>
      <c r="BJ6460" s="77"/>
      <c r="BL6460" s="497">
        <v>71.06</v>
      </c>
      <c r="BN6460" s="42"/>
      <c r="BO6460" s="74"/>
      <c r="BP6460" s="77"/>
      <c r="BR6460" s="497">
        <v>60.980000000000004</v>
      </c>
      <c r="BT6460" s="42"/>
    </row>
    <row r="6461" spans="1:72" x14ac:dyDescent="0.25">
      <c r="A6461" s="90">
        <v>34968</v>
      </c>
      <c r="B6461" s="20">
        <v>0.45833333333333331</v>
      </c>
      <c r="D6461">
        <v>57.92</v>
      </c>
      <c r="E6461" t="str">
        <f t="shared" si="236"/>
        <v>WEEKDAY</v>
      </c>
      <c r="F6461" t="e">
        <f t="shared" si="237"/>
        <v>#N/A</v>
      </c>
      <c r="G6461" s="74">
        <v>29124</v>
      </c>
      <c r="H6461" s="77">
        <v>0.45833333333333331</v>
      </c>
      <c r="J6461">
        <v>71.42</v>
      </c>
      <c r="M6461" s="74">
        <v>37890</v>
      </c>
      <c r="N6461" s="77">
        <v>0.45833333333333331</v>
      </c>
      <c r="P6461">
        <v>62.6</v>
      </c>
      <c r="S6461" s="74">
        <v>34968</v>
      </c>
      <c r="T6461" s="77">
        <v>0.45833333333333331</v>
      </c>
      <c r="V6461">
        <v>64.94</v>
      </c>
      <c r="X6461" s="42"/>
      <c r="AB6461">
        <v>67.8</v>
      </c>
      <c r="AC6461">
        <v>73.039999999999992</v>
      </c>
      <c r="AE6461" s="74"/>
      <c r="AF6461" s="77"/>
      <c r="AH6461" s="497">
        <v>55.400000000000006</v>
      </c>
      <c r="AJ6461" s="42"/>
      <c r="AK6461" s="74"/>
      <c r="AL6461" s="77"/>
      <c r="AN6461" s="497">
        <v>52.7</v>
      </c>
      <c r="AP6461" s="42"/>
      <c r="AQ6461" s="74"/>
      <c r="AR6461" s="77"/>
      <c r="AT6461" s="497">
        <v>60.980000000000004</v>
      </c>
      <c r="AV6461" s="42"/>
      <c r="AW6461" s="74"/>
      <c r="AX6461" s="77"/>
      <c r="BA6461" s="497">
        <v>51.08</v>
      </c>
      <c r="BB6461" s="42"/>
      <c r="BC6461" s="74"/>
      <c r="BD6461" s="77"/>
      <c r="BF6461">
        <v>64.94</v>
      </c>
      <c r="BH6461" s="42"/>
      <c r="BI6461" s="74"/>
      <c r="BJ6461" s="77"/>
      <c r="BL6461" s="497">
        <v>75.02</v>
      </c>
      <c r="BN6461" s="42"/>
      <c r="BO6461" s="74"/>
      <c r="BP6461" s="77"/>
      <c r="BR6461" s="497">
        <v>59.72</v>
      </c>
      <c r="BT6461" s="42"/>
    </row>
    <row r="6462" spans="1:72" x14ac:dyDescent="0.25">
      <c r="A6462" s="90">
        <v>34968</v>
      </c>
      <c r="B6462" s="20">
        <v>0.5</v>
      </c>
      <c r="D6462">
        <v>60.08</v>
      </c>
      <c r="E6462" t="str">
        <f t="shared" si="236"/>
        <v>WEEKDAY</v>
      </c>
      <c r="F6462" t="e">
        <f t="shared" si="237"/>
        <v>#N/A</v>
      </c>
      <c r="G6462" s="74">
        <v>29124</v>
      </c>
      <c r="H6462" s="77">
        <v>0.5</v>
      </c>
      <c r="J6462">
        <v>73.580000000000013</v>
      </c>
      <c r="M6462" s="74">
        <v>37890</v>
      </c>
      <c r="N6462" s="77">
        <v>0.5</v>
      </c>
      <c r="P6462">
        <v>64.400000000000006</v>
      </c>
      <c r="S6462" s="74">
        <v>34968</v>
      </c>
      <c r="T6462" s="77">
        <v>0.5</v>
      </c>
      <c r="V6462">
        <v>66.02</v>
      </c>
      <c r="X6462" s="42"/>
      <c r="AB6462">
        <v>69.2</v>
      </c>
      <c r="AC6462">
        <v>75.02</v>
      </c>
      <c r="AE6462" s="74"/>
      <c r="AF6462" s="77"/>
      <c r="AH6462" s="497">
        <v>57.2</v>
      </c>
      <c r="AJ6462" s="42"/>
      <c r="AK6462" s="74"/>
      <c r="AL6462" s="77"/>
      <c r="AN6462" s="497">
        <v>54.32</v>
      </c>
      <c r="AP6462" s="42"/>
      <c r="AQ6462" s="74"/>
      <c r="AR6462" s="77"/>
      <c r="AT6462" s="497">
        <v>64.039999999999992</v>
      </c>
      <c r="AV6462" s="42"/>
      <c r="AW6462" s="74"/>
      <c r="AX6462" s="77"/>
      <c r="BA6462" s="497">
        <v>53.06</v>
      </c>
      <c r="BB6462" s="42"/>
      <c r="BC6462" s="74"/>
      <c r="BD6462" s="77"/>
      <c r="BF6462">
        <v>68</v>
      </c>
      <c r="BH6462" s="42"/>
      <c r="BI6462" s="74"/>
      <c r="BJ6462" s="77"/>
      <c r="BL6462" s="497">
        <v>75.02</v>
      </c>
      <c r="BN6462" s="42"/>
      <c r="BO6462" s="74"/>
      <c r="BP6462" s="77"/>
      <c r="BR6462" s="497">
        <v>58.28</v>
      </c>
      <c r="BT6462" s="42"/>
    </row>
    <row r="6463" spans="1:72" x14ac:dyDescent="0.25">
      <c r="A6463" s="90">
        <v>34968</v>
      </c>
      <c r="B6463" s="20">
        <v>0.54166666666666663</v>
      </c>
      <c r="D6463">
        <v>62.06</v>
      </c>
      <c r="E6463" t="str">
        <f t="shared" si="236"/>
        <v>WEEKDAY</v>
      </c>
      <c r="F6463" t="e">
        <f t="shared" si="237"/>
        <v>#N/A</v>
      </c>
      <c r="G6463" s="74">
        <v>29124</v>
      </c>
      <c r="H6463" s="77">
        <v>0.54166666666666663</v>
      </c>
      <c r="J6463">
        <v>75.92</v>
      </c>
      <c r="M6463" s="74">
        <v>37890</v>
      </c>
      <c r="N6463" s="77">
        <v>0.54166666666666663</v>
      </c>
      <c r="P6463">
        <v>64.400000000000006</v>
      </c>
      <c r="S6463" s="74">
        <v>34968</v>
      </c>
      <c r="T6463" s="77">
        <v>0.54166666666666663</v>
      </c>
      <c r="V6463">
        <v>66.02</v>
      </c>
      <c r="X6463" s="42"/>
      <c r="AB6463">
        <v>70.2</v>
      </c>
      <c r="AC6463">
        <v>75.02</v>
      </c>
      <c r="AE6463" s="74"/>
      <c r="AF6463" s="77"/>
      <c r="AH6463" s="497">
        <v>60.8</v>
      </c>
      <c r="AJ6463" s="42"/>
      <c r="AK6463" s="74"/>
      <c r="AL6463" s="77"/>
      <c r="AN6463" s="497">
        <v>55.94</v>
      </c>
      <c r="AP6463" s="42"/>
      <c r="AQ6463" s="74"/>
      <c r="AR6463" s="77"/>
      <c r="AT6463" s="497">
        <v>66.92</v>
      </c>
      <c r="AV6463" s="42"/>
      <c r="AW6463" s="74"/>
      <c r="AX6463" s="77"/>
      <c r="BA6463" s="497">
        <v>55.040000000000006</v>
      </c>
      <c r="BB6463" s="42"/>
      <c r="BC6463" s="74"/>
      <c r="BD6463" s="77"/>
      <c r="BF6463">
        <v>71.06</v>
      </c>
      <c r="BH6463" s="42"/>
      <c r="BI6463" s="74"/>
      <c r="BJ6463" s="77"/>
      <c r="BL6463" s="497">
        <v>75.92</v>
      </c>
      <c r="BN6463" s="42"/>
      <c r="BO6463" s="74"/>
      <c r="BP6463" s="77"/>
      <c r="BR6463" s="497">
        <v>57.019999999999996</v>
      </c>
      <c r="BT6463" s="42"/>
    </row>
    <row r="6464" spans="1:72" x14ac:dyDescent="0.25">
      <c r="A6464" s="90">
        <v>34968</v>
      </c>
      <c r="B6464" s="20">
        <v>0.58333333333333337</v>
      </c>
      <c r="D6464">
        <v>62.96</v>
      </c>
      <c r="E6464" t="str">
        <f t="shared" si="236"/>
        <v>WEEKDAY</v>
      </c>
      <c r="F6464" t="e">
        <f t="shared" si="237"/>
        <v>#N/A</v>
      </c>
      <c r="G6464" s="74">
        <v>29124</v>
      </c>
      <c r="H6464" s="77">
        <v>0.58333333333333337</v>
      </c>
      <c r="J6464">
        <v>75.56</v>
      </c>
      <c r="M6464" s="74">
        <v>37890</v>
      </c>
      <c r="N6464" s="77">
        <v>0.58333333333333337</v>
      </c>
      <c r="P6464">
        <v>66.2</v>
      </c>
      <c r="S6464" s="74">
        <v>34968</v>
      </c>
      <c r="T6464" s="77">
        <v>0.58333333333333337</v>
      </c>
      <c r="V6464">
        <v>64.94</v>
      </c>
      <c r="X6464" s="42"/>
      <c r="AB6464">
        <v>70.5</v>
      </c>
      <c r="AC6464">
        <v>75.92</v>
      </c>
      <c r="AE6464" s="74"/>
      <c r="AF6464" s="77"/>
      <c r="AH6464" s="497">
        <v>62.24</v>
      </c>
      <c r="AJ6464" s="42"/>
      <c r="AK6464" s="74"/>
      <c r="AL6464" s="77"/>
      <c r="AN6464" s="497">
        <v>56.66</v>
      </c>
      <c r="AP6464" s="42"/>
      <c r="AQ6464" s="74"/>
      <c r="AR6464" s="77"/>
      <c r="AT6464" s="497">
        <v>68</v>
      </c>
      <c r="AV6464" s="42"/>
      <c r="AW6464" s="74"/>
      <c r="AX6464" s="77"/>
      <c r="BA6464" s="497">
        <v>55.94</v>
      </c>
      <c r="BB6464" s="42"/>
      <c r="BC6464" s="74"/>
      <c r="BD6464" s="77"/>
      <c r="BF6464">
        <v>69.080000000000013</v>
      </c>
      <c r="BH6464" s="42"/>
      <c r="BI6464" s="74"/>
      <c r="BJ6464" s="77"/>
      <c r="BL6464" s="497">
        <v>78.080000000000013</v>
      </c>
      <c r="BN6464" s="42"/>
      <c r="BO6464" s="74"/>
      <c r="BP6464" s="77"/>
      <c r="BR6464" s="497">
        <v>53.6</v>
      </c>
      <c r="BT6464" s="42"/>
    </row>
    <row r="6465" spans="1:72" x14ac:dyDescent="0.25">
      <c r="A6465" s="90">
        <v>34968</v>
      </c>
      <c r="B6465" s="20">
        <v>0.625</v>
      </c>
      <c r="D6465">
        <v>62.96</v>
      </c>
      <c r="E6465" t="str">
        <f t="shared" si="236"/>
        <v>WEEKDAY</v>
      </c>
      <c r="F6465" t="e">
        <f t="shared" si="237"/>
        <v>#N/A</v>
      </c>
      <c r="G6465" s="74">
        <v>29124</v>
      </c>
      <c r="H6465" s="77">
        <v>0.625</v>
      </c>
      <c r="J6465">
        <v>75.38</v>
      </c>
      <c r="M6465" s="74">
        <v>37890</v>
      </c>
      <c r="N6465" s="77">
        <v>0.625</v>
      </c>
      <c r="P6465">
        <v>66.2</v>
      </c>
      <c r="S6465" s="74">
        <v>34968</v>
      </c>
      <c r="T6465" s="77">
        <v>0.625</v>
      </c>
      <c r="V6465">
        <v>66.02</v>
      </c>
      <c r="X6465" s="42"/>
      <c r="AB6465">
        <v>70.7</v>
      </c>
      <c r="AC6465">
        <v>75.02</v>
      </c>
      <c r="AE6465" s="74"/>
      <c r="AF6465" s="77"/>
      <c r="AH6465" s="497">
        <v>62.6</v>
      </c>
      <c r="AJ6465" s="42"/>
      <c r="AK6465" s="74"/>
      <c r="AL6465" s="77"/>
      <c r="AN6465" s="497">
        <v>57.2</v>
      </c>
      <c r="AP6465" s="42"/>
      <c r="AQ6465" s="74"/>
      <c r="AR6465" s="77"/>
      <c r="AT6465" s="497">
        <v>64.94</v>
      </c>
      <c r="AV6465" s="42"/>
      <c r="AW6465" s="74"/>
      <c r="AX6465" s="77"/>
      <c r="BA6465" s="497">
        <v>57.92</v>
      </c>
      <c r="BB6465" s="42"/>
      <c r="BC6465" s="74"/>
      <c r="BD6465" s="77"/>
      <c r="BF6465">
        <v>69.98</v>
      </c>
      <c r="BH6465" s="42"/>
      <c r="BI6465" s="74"/>
      <c r="BJ6465" s="77"/>
      <c r="BL6465" s="497">
        <v>80.06</v>
      </c>
      <c r="BN6465" s="42"/>
      <c r="BO6465" s="74"/>
      <c r="BP6465" s="77"/>
      <c r="BR6465" s="497">
        <v>50.36</v>
      </c>
      <c r="BT6465" s="42"/>
    </row>
    <row r="6466" spans="1:72" x14ac:dyDescent="0.25">
      <c r="A6466" s="90">
        <v>34968</v>
      </c>
      <c r="B6466" s="20">
        <v>0.66666666666666663</v>
      </c>
      <c r="D6466">
        <v>64.039999999999992</v>
      </c>
      <c r="E6466" t="str">
        <f t="shared" si="236"/>
        <v>WEEKDAY</v>
      </c>
      <c r="F6466" t="e">
        <f t="shared" si="237"/>
        <v>#N/A</v>
      </c>
      <c r="G6466" s="74">
        <v>29124</v>
      </c>
      <c r="H6466" s="77">
        <v>0.66666666666666663</v>
      </c>
      <c r="J6466">
        <v>75.02</v>
      </c>
      <c r="M6466" s="74">
        <v>37890</v>
      </c>
      <c r="N6466" s="77">
        <v>0.66666666666666663</v>
      </c>
      <c r="P6466">
        <v>66.2</v>
      </c>
      <c r="S6466" s="74">
        <v>34968</v>
      </c>
      <c r="T6466" s="77">
        <v>0.66666666666666663</v>
      </c>
      <c r="V6466">
        <v>64.039999999999992</v>
      </c>
      <c r="X6466" s="42"/>
      <c r="AB6466">
        <v>70.400000000000006</v>
      </c>
      <c r="AC6466">
        <v>75.02</v>
      </c>
      <c r="AE6466" s="74"/>
      <c r="AF6466" s="77"/>
      <c r="AH6466" s="497">
        <v>62.6</v>
      </c>
      <c r="AJ6466" s="42"/>
      <c r="AK6466" s="74"/>
      <c r="AL6466" s="77"/>
      <c r="AN6466" s="497">
        <v>57.92</v>
      </c>
      <c r="AP6466" s="42"/>
      <c r="AQ6466" s="74"/>
      <c r="AR6466" s="77"/>
      <c r="AT6466" s="497">
        <v>64.94</v>
      </c>
      <c r="AV6466" s="42"/>
      <c r="AW6466" s="74"/>
      <c r="AX6466" s="77"/>
      <c r="BA6466" s="497">
        <v>57.92</v>
      </c>
      <c r="BB6466" s="42"/>
      <c r="BC6466" s="74"/>
      <c r="BD6466" s="77"/>
      <c r="BF6466">
        <v>69.98</v>
      </c>
      <c r="BH6466" s="42"/>
      <c r="BI6466" s="74"/>
      <c r="BJ6466" s="77"/>
      <c r="BL6466" s="497">
        <v>80.06</v>
      </c>
      <c r="BN6466" s="42"/>
      <c r="BO6466" s="74"/>
      <c r="BP6466" s="77"/>
      <c r="BR6466" s="497">
        <v>46.94</v>
      </c>
      <c r="BT6466" s="42"/>
    </row>
    <row r="6467" spans="1:72" x14ac:dyDescent="0.25">
      <c r="A6467" s="90">
        <v>34968</v>
      </c>
      <c r="B6467" s="20">
        <v>0.70833333333333337</v>
      </c>
      <c r="D6467">
        <v>62.96</v>
      </c>
      <c r="E6467" t="str">
        <f t="shared" si="236"/>
        <v>WEEKDAY</v>
      </c>
      <c r="F6467" t="e">
        <f t="shared" si="237"/>
        <v>#N/A</v>
      </c>
      <c r="G6467" s="74">
        <v>29124</v>
      </c>
      <c r="H6467" s="77">
        <v>0.70833333333333337</v>
      </c>
      <c r="J6467">
        <v>73.94</v>
      </c>
      <c r="M6467" s="74">
        <v>37890</v>
      </c>
      <c r="N6467" s="77">
        <v>0.70833333333333337</v>
      </c>
      <c r="P6467">
        <v>64.400000000000006</v>
      </c>
      <c r="S6467" s="74">
        <v>34968</v>
      </c>
      <c r="T6467" s="77">
        <v>0.70833333333333337</v>
      </c>
      <c r="V6467">
        <v>62.96</v>
      </c>
      <c r="X6467" s="42"/>
      <c r="AB6467">
        <v>69.599999999999994</v>
      </c>
      <c r="AC6467">
        <v>73.039999999999992</v>
      </c>
      <c r="AE6467" s="74"/>
      <c r="AF6467" s="77"/>
      <c r="AH6467" s="497">
        <v>62.6</v>
      </c>
      <c r="AJ6467" s="42"/>
      <c r="AK6467" s="74"/>
      <c r="AL6467" s="77"/>
      <c r="AN6467" s="497">
        <v>58.28</v>
      </c>
      <c r="AP6467" s="42"/>
      <c r="AQ6467" s="74"/>
      <c r="AR6467" s="77"/>
      <c r="AT6467" s="497">
        <v>64.039999999999992</v>
      </c>
      <c r="AV6467" s="42"/>
      <c r="AW6467" s="74"/>
      <c r="AX6467" s="77"/>
      <c r="BA6467" s="497">
        <v>57.019999999999996</v>
      </c>
      <c r="BB6467" s="42"/>
      <c r="BC6467" s="74"/>
      <c r="BD6467" s="77"/>
      <c r="BF6467">
        <v>68</v>
      </c>
      <c r="BH6467" s="42"/>
      <c r="BI6467" s="74"/>
      <c r="BJ6467" s="77"/>
      <c r="BL6467" s="497">
        <v>78.98</v>
      </c>
      <c r="BN6467" s="42"/>
      <c r="BO6467" s="74"/>
      <c r="BP6467" s="77"/>
      <c r="BR6467" s="497">
        <v>45.32</v>
      </c>
      <c r="BT6467" s="42"/>
    </row>
    <row r="6468" spans="1:72" x14ac:dyDescent="0.25">
      <c r="A6468" s="90">
        <v>34968</v>
      </c>
      <c r="B6468" s="20">
        <v>0.75</v>
      </c>
      <c r="D6468">
        <v>62.06</v>
      </c>
      <c r="E6468" t="str">
        <f t="shared" si="236"/>
        <v>WEEKDAY</v>
      </c>
      <c r="F6468" t="e">
        <f t="shared" si="237"/>
        <v>#N/A</v>
      </c>
      <c r="G6468" s="74">
        <v>29124</v>
      </c>
      <c r="H6468" s="77">
        <v>0.75</v>
      </c>
      <c r="J6468">
        <v>73.039999999999992</v>
      </c>
      <c r="M6468" s="74">
        <v>37890</v>
      </c>
      <c r="N6468" s="77">
        <v>0.75</v>
      </c>
      <c r="P6468">
        <v>64.400000000000006</v>
      </c>
      <c r="S6468" s="74">
        <v>34968</v>
      </c>
      <c r="T6468" s="77">
        <v>0.75</v>
      </c>
      <c r="V6468">
        <v>62.06</v>
      </c>
      <c r="X6468" s="42"/>
      <c r="AB6468">
        <v>68.3</v>
      </c>
      <c r="AC6468">
        <v>69.080000000000013</v>
      </c>
      <c r="AE6468" s="74"/>
      <c r="AF6468" s="77"/>
      <c r="AH6468" s="497">
        <v>55.400000000000006</v>
      </c>
      <c r="AJ6468" s="42"/>
      <c r="AK6468" s="74"/>
      <c r="AL6468" s="77"/>
      <c r="AN6468" s="497">
        <v>58.64</v>
      </c>
      <c r="AP6468" s="42"/>
      <c r="AQ6468" s="74"/>
      <c r="AR6468" s="77"/>
      <c r="AT6468" s="497">
        <v>62.96</v>
      </c>
      <c r="AV6468" s="42"/>
      <c r="AW6468" s="74"/>
      <c r="AX6468" s="77"/>
      <c r="BA6468" s="497">
        <v>53.06</v>
      </c>
      <c r="BB6468" s="42"/>
      <c r="BC6468" s="74"/>
      <c r="BD6468" s="77"/>
      <c r="BF6468">
        <v>64.94</v>
      </c>
      <c r="BH6468" s="42"/>
      <c r="BI6468" s="74"/>
      <c r="BJ6468" s="77"/>
      <c r="BL6468" s="497">
        <v>80.06</v>
      </c>
      <c r="BN6468" s="42"/>
      <c r="BO6468" s="74"/>
      <c r="BP6468" s="77"/>
      <c r="BR6468" s="497">
        <v>43.7</v>
      </c>
      <c r="BT6468" s="42"/>
    </row>
    <row r="6469" spans="1:72" x14ac:dyDescent="0.25">
      <c r="A6469" s="90">
        <v>34968</v>
      </c>
      <c r="B6469" s="20">
        <v>0.79166666666666663</v>
      </c>
      <c r="D6469">
        <v>62.06</v>
      </c>
      <c r="E6469" t="str">
        <f t="shared" si="236"/>
        <v>WEEKDAY</v>
      </c>
      <c r="F6469" t="e">
        <f t="shared" si="237"/>
        <v>#N/A</v>
      </c>
      <c r="G6469" s="74">
        <v>29124</v>
      </c>
      <c r="H6469" s="77">
        <v>0.79166666666666663</v>
      </c>
      <c r="J6469">
        <v>71.960000000000008</v>
      </c>
      <c r="M6469" s="74">
        <v>37890</v>
      </c>
      <c r="N6469" s="77">
        <v>0.79166666666666663</v>
      </c>
      <c r="P6469">
        <v>62.6</v>
      </c>
      <c r="S6469" s="74">
        <v>34968</v>
      </c>
      <c r="T6469" s="77">
        <v>0.79166666666666663</v>
      </c>
      <c r="V6469">
        <v>62.06</v>
      </c>
      <c r="X6469" s="42"/>
      <c r="AB6469">
        <v>66.599999999999994</v>
      </c>
      <c r="AC6469">
        <v>64.94</v>
      </c>
      <c r="AE6469" s="74"/>
      <c r="AF6469" s="77"/>
      <c r="AH6469" s="497">
        <v>51.8</v>
      </c>
      <c r="AJ6469" s="42"/>
      <c r="AK6469" s="74"/>
      <c r="AL6469" s="77"/>
      <c r="AN6469" s="497">
        <v>59</v>
      </c>
      <c r="AP6469" s="42"/>
      <c r="AQ6469" s="74"/>
      <c r="AR6469" s="77"/>
      <c r="AT6469" s="497">
        <v>62.06</v>
      </c>
      <c r="AV6469" s="42"/>
      <c r="AW6469" s="74"/>
      <c r="AX6469" s="77"/>
      <c r="BA6469" s="497">
        <v>50</v>
      </c>
      <c r="BB6469" s="42"/>
      <c r="BC6469" s="74"/>
      <c r="BD6469" s="77"/>
      <c r="BF6469">
        <v>62.96</v>
      </c>
      <c r="BH6469" s="42"/>
      <c r="BI6469" s="74"/>
      <c r="BJ6469" s="77"/>
      <c r="BL6469" s="497">
        <v>78.080000000000013</v>
      </c>
      <c r="BN6469" s="42"/>
      <c r="BO6469" s="74"/>
      <c r="BP6469" s="77"/>
      <c r="BR6469" s="497">
        <v>42.08</v>
      </c>
      <c r="BT6469" s="42"/>
    </row>
    <row r="6470" spans="1:72" x14ac:dyDescent="0.25">
      <c r="A6470" s="90">
        <v>34968</v>
      </c>
      <c r="B6470" s="20">
        <v>0.83333333333333337</v>
      </c>
      <c r="D6470">
        <v>60.980000000000004</v>
      </c>
      <c r="E6470" t="str">
        <f t="shared" si="236"/>
        <v>WEEKDAY</v>
      </c>
      <c r="F6470" t="e">
        <f t="shared" si="237"/>
        <v>#N/A</v>
      </c>
      <c r="G6470" s="74">
        <v>29124</v>
      </c>
      <c r="H6470" s="77">
        <v>0.83333333333333337</v>
      </c>
      <c r="J6470">
        <v>70.7</v>
      </c>
      <c r="M6470" s="74">
        <v>37890</v>
      </c>
      <c r="N6470" s="77">
        <v>0.83333333333333337</v>
      </c>
      <c r="P6470">
        <v>62.6</v>
      </c>
      <c r="S6470" s="74">
        <v>34968</v>
      </c>
      <c r="T6470" s="77">
        <v>0.83333333333333337</v>
      </c>
      <c r="V6470">
        <v>62.06</v>
      </c>
      <c r="X6470" s="42"/>
      <c r="AB6470">
        <v>65.7</v>
      </c>
      <c r="AC6470">
        <v>62.96</v>
      </c>
      <c r="AE6470" s="74"/>
      <c r="AF6470" s="77"/>
      <c r="AH6470" s="497">
        <v>48.2</v>
      </c>
      <c r="AJ6470" s="42"/>
      <c r="AK6470" s="74"/>
      <c r="AL6470" s="77"/>
      <c r="AN6470" s="497">
        <v>59</v>
      </c>
      <c r="AP6470" s="42"/>
      <c r="AQ6470" s="74"/>
      <c r="AR6470" s="77"/>
      <c r="AT6470" s="497">
        <v>60.08</v>
      </c>
      <c r="AV6470" s="42"/>
      <c r="AW6470" s="74"/>
      <c r="AX6470" s="77"/>
      <c r="BA6470" s="497">
        <v>48.019999999999996</v>
      </c>
      <c r="BB6470" s="42"/>
      <c r="BC6470" s="74"/>
      <c r="BD6470" s="77"/>
      <c r="BF6470">
        <v>62.06</v>
      </c>
      <c r="BH6470" s="42"/>
      <c r="BI6470" s="74"/>
      <c r="BJ6470" s="77"/>
      <c r="BL6470" s="497">
        <v>75.92</v>
      </c>
      <c r="BN6470" s="42"/>
      <c r="BO6470" s="74"/>
      <c r="BP6470" s="77"/>
      <c r="BR6470" s="497">
        <v>42.08</v>
      </c>
      <c r="BT6470" s="42"/>
    </row>
    <row r="6471" spans="1:72" x14ac:dyDescent="0.25">
      <c r="A6471" s="90">
        <v>34968</v>
      </c>
      <c r="B6471" s="20">
        <v>0.875</v>
      </c>
      <c r="D6471">
        <v>60.980000000000004</v>
      </c>
      <c r="E6471" t="str">
        <f t="shared" si="236"/>
        <v>WEEKDAY</v>
      </c>
      <c r="F6471" t="e">
        <f t="shared" si="237"/>
        <v>#N/A</v>
      </c>
      <c r="G6471" s="74">
        <v>29124</v>
      </c>
      <c r="H6471" s="77">
        <v>0.875</v>
      </c>
      <c r="J6471">
        <v>69.259999999999991</v>
      </c>
      <c r="M6471" s="74">
        <v>37890</v>
      </c>
      <c r="N6471" s="77">
        <v>0.875</v>
      </c>
      <c r="P6471">
        <v>62.6</v>
      </c>
      <c r="S6471" s="74">
        <v>34968</v>
      </c>
      <c r="T6471" s="77">
        <v>0.875</v>
      </c>
      <c r="V6471">
        <v>60.980000000000004</v>
      </c>
      <c r="X6471" s="42"/>
      <c r="AB6471">
        <v>65</v>
      </c>
      <c r="AC6471">
        <v>60.980000000000004</v>
      </c>
      <c r="AE6471" s="74"/>
      <c r="AF6471" s="77"/>
      <c r="AH6471" s="497">
        <v>48.2</v>
      </c>
      <c r="AJ6471" s="42"/>
      <c r="AK6471" s="74"/>
      <c r="AL6471" s="77"/>
      <c r="AN6471" s="497">
        <v>59</v>
      </c>
      <c r="AP6471" s="42"/>
      <c r="AQ6471" s="74"/>
      <c r="AR6471" s="77"/>
      <c r="AT6471" s="497">
        <v>55.94</v>
      </c>
      <c r="AV6471" s="42"/>
      <c r="AW6471" s="74"/>
      <c r="AX6471" s="77"/>
      <c r="BA6471" s="497">
        <v>44.96</v>
      </c>
      <c r="BB6471" s="42"/>
      <c r="BC6471" s="74"/>
      <c r="BD6471" s="77"/>
      <c r="BF6471">
        <v>62.96</v>
      </c>
      <c r="BH6471" s="42"/>
      <c r="BI6471" s="74"/>
      <c r="BJ6471" s="77"/>
      <c r="BL6471" s="497">
        <v>73.94</v>
      </c>
      <c r="BN6471" s="42"/>
      <c r="BO6471" s="74"/>
      <c r="BP6471" s="77"/>
      <c r="BR6471" s="497">
        <v>42.08</v>
      </c>
      <c r="BT6471" s="42"/>
    </row>
    <row r="6472" spans="1:72" x14ac:dyDescent="0.25">
      <c r="A6472" s="90">
        <v>34968</v>
      </c>
      <c r="B6472" s="20">
        <v>0.91666666666666663</v>
      </c>
      <c r="D6472">
        <v>60.980000000000004</v>
      </c>
      <c r="E6472" t="str">
        <f t="shared" si="236"/>
        <v>WEEKDAY</v>
      </c>
      <c r="F6472" t="e">
        <f t="shared" si="237"/>
        <v>#N/A</v>
      </c>
      <c r="G6472" s="74">
        <v>29124</v>
      </c>
      <c r="H6472" s="77">
        <v>0.91666666666666663</v>
      </c>
      <c r="J6472">
        <v>68</v>
      </c>
      <c r="M6472" s="74">
        <v>37890</v>
      </c>
      <c r="N6472" s="77">
        <v>0.91666666666666663</v>
      </c>
      <c r="P6472">
        <v>62.6</v>
      </c>
      <c r="S6472" s="74">
        <v>34968</v>
      </c>
      <c r="T6472" s="77">
        <v>0.91666666666666663</v>
      </c>
      <c r="V6472">
        <v>60.980000000000004</v>
      </c>
      <c r="X6472" s="42"/>
      <c r="AB6472">
        <v>64.3</v>
      </c>
      <c r="AC6472">
        <v>60.08</v>
      </c>
      <c r="AE6472" s="74"/>
      <c r="AF6472" s="77"/>
      <c r="AH6472" s="497">
        <v>48.2</v>
      </c>
      <c r="AJ6472" s="42"/>
      <c r="AK6472" s="74"/>
      <c r="AL6472" s="77"/>
      <c r="AN6472" s="497">
        <v>59</v>
      </c>
      <c r="AP6472" s="42"/>
      <c r="AQ6472" s="74"/>
      <c r="AR6472" s="77"/>
      <c r="AT6472" s="497">
        <v>55.94</v>
      </c>
      <c r="AV6472" s="42"/>
      <c r="AW6472" s="74"/>
      <c r="AX6472" s="77"/>
      <c r="BA6472" s="497">
        <v>44.96</v>
      </c>
      <c r="BB6472" s="42"/>
      <c r="BC6472" s="74"/>
      <c r="BD6472" s="77"/>
      <c r="BF6472">
        <v>62.06</v>
      </c>
      <c r="BH6472" s="42"/>
      <c r="BI6472" s="74"/>
      <c r="BJ6472" s="77"/>
      <c r="BL6472" s="497">
        <v>68</v>
      </c>
      <c r="BN6472" s="42"/>
      <c r="BO6472" s="74"/>
      <c r="BP6472" s="77"/>
      <c r="BR6472" s="497">
        <v>42.08</v>
      </c>
      <c r="BT6472" s="42"/>
    </row>
    <row r="6473" spans="1:72" x14ac:dyDescent="0.25">
      <c r="A6473" s="90">
        <v>34968</v>
      </c>
      <c r="B6473" s="20">
        <v>0.95833333333333337</v>
      </c>
      <c r="D6473">
        <v>59</v>
      </c>
      <c r="E6473" t="str">
        <f t="shared" si="236"/>
        <v>WEEKDAY</v>
      </c>
      <c r="F6473" t="e">
        <f t="shared" si="237"/>
        <v>#N/A</v>
      </c>
      <c r="G6473" s="74">
        <v>29124</v>
      </c>
      <c r="H6473" s="77">
        <v>0.95833333333333337</v>
      </c>
      <c r="J6473">
        <v>66.02</v>
      </c>
      <c r="M6473" s="74">
        <v>37890</v>
      </c>
      <c r="N6473" s="77">
        <v>0.95833333333333337</v>
      </c>
      <c r="P6473">
        <v>62.6</v>
      </c>
      <c r="S6473" s="74">
        <v>34968</v>
      </c>
      <c r="T6473" s="77">
        <v>0.95833333333333337</v>
      </c>
      <c r="V6473">
        <v>60.980000000000004</v>
      </c>
      <c r="X6473" s="42"/>
      <c r="AB6473">
        <v>63.7</v>
      </c>
      <c r="AC6473">
        <v>57.019999999999996</v>
      </c>
      <c r="AE6473" s="74"/>
      <c r="AF6473" s="77"/>
      <c r="AH6473" s="497">
        <v>50</v>
      </c>
      <c r="AJ6473" s="42"/>
      <c r="AK6473" s="74"/>
      <c r="AL6473" s="77"/>
      <c r="AN6473" s="497">
        <v>59.36</v>
      </c>
      <c r="AP6473" s="42"/>
      <c r="AQ6473" s="74"/>
      <c r="AR6473" s="77"/>
      <c r="AT6473" s="497">
        <v>53.06</v>
      </c>
      <c r="AV6473" s="42"/>
      <c r="AW6473" s="74"/>
      <c r="AX6473" s="77"/>
      <c r="BA6473" s="497">
        <v>42.980000000000004</v>
      </c>
      <c r="BB6473" s="42"/>
      <c r="BC6473" s="74"/>
      <c r="BD6473" s="77"/>
      <c r="BF6473">
        <v>62.06</v>
      </c>
      <c r="BH6473" s="42"/>
      <c r="BI6473" s="74"/>
      <c r="BJ6473" s="77"/>
      <c r="BL6473" s="497">
        <v>69.080000000000013</v>
      </c>
      <c r="BN6473" s="42"/>
      <c r="BO6473" s="74"/>
      <c r="BP6473" s="77"/>
      <c r="BR6473" s="497">
        <v>41.36</v>
      </c>
      <c r="BT6473" s="42"/>
    </row>
    <row r="6474" spans="1:72" x14ac:dyDescent="0.25">
      <c r="A6474" s="90">
        <v>34968</v>
      </c>
      <c r="B6474" s="20">
        <v>1</v>
      </c>
      <c r="D6474">
        <v>60.08</v>
      </c>
      <c r="E6474" t="str">
        <f t="shared" si="236"/>
        <v>WEEKDAY</v>
      </c>
      <c r="F6474" t="e">
        <f t="shared" si="237"/>
        <v>#N/A</v>
      </c>
      <c r="G6474" s="74">
        <v>29124</v>
      </c>
      <c r="H6474" s="77">
        <v>1</v>
      </c>
      <c r="J6474">
        <v>64.039999999999992</v>
      </c>
      <c r="M6474" s="74">
        <v>37890</v>
      </c>
      <c r="N6474" s="80">
        <v>1</v>
      </c>
      <c r="P6474">
        <v>62.6</v>
      </c>
      <c r="S6474" s="74">
        <v>34968</v>
      </c>
      <c r="T6474" s="80">
        <v>1</v>
      </c>
      <c r="V6474">
        <v>60.980000000000004</v>
      </c>
      <c r="X6474" s="42"/>
      <c r="AB6474">
        <v>63</v>
      </c>
      <c r="AC6474">
        <v>57.019999999999996</v>
      </c>
      <c r="AE6474" s="74"/>
      <c r="AF6474" s="80"/>
      <c r="AH6474" s="497">
        <v>53.6</v>
      </c>
      <c r="AJ6474" s="42"/>
      <c r="AK6474" s="74"/>
      <c r="AL6474" s="80"/>
      <c r="AN6474" s="497">
        <v>59.72</v>
      </c>
      <c r="AP6474" s="42"/>
      <c r="AQ6474" s="74"/>
      <c r="AR6474" s="80"/>
      <c r="AT6474" s="497">
        <v>53.06</v>
      </c>
      <c r="AV6474" s="42"/>
      <c r="AW6474" s="74"/>
      <c r="AX6474" s="80"/>
      <c r="BA6474" s="497">
        <v>42.980000000000004</v>
      </c>
      <c r="BB6474" s="42"/>
      <c r="BC6474" s="74"/>
      <c r="BD6474" s="80"/>
      <c r="BF6474">
        <v>60.980000000000004</v>
      </c>
      <c r="BH6474" s="42"/>
      <c r="BI6474" s="74"/>
      <c r="BJ6474" s="80"/>
      <c r="BL6474" s="497">
        <v>73.039999999999992</v>
      </c>
      <c r="BN6474" s="42"/>
      <c r="BO6474" s="74"/>
      <c r="BP6474" s="80"/>
      <c r="BR6474" s="497">
        <v>40.64</v>
      </c>
      <c r="BT6474" s="42"/>
    </row>
    <row r="6475" spans="1:72" x14ac:dyDescent="0.25">
      <c r="A6475" s="90">
        <v>34969</v>
      </c>
      <c r="B6475" s="20">
        <v>4.1666666666666664E-2</v>
      </c>
      <c r="D6475">
        <v>59</v>
      </c>
      <c r="E6475" t="str">
        <f t="shared" si="236"/>
        <v>WEEKDAY</v>
      </c>
      <c r="F6475" t="e">
        <f t="shared" si="237"/>
        <v>#N/A</v>
      </c>
      <c r="G6475" s="74">
        <v>29125</v>
      </c>
      <c r="H6475" s="77">
        <v>4.1666666666666664E-2</v>
      </c>
      <c r="J6475">
        <v>62.06</v>
      </c>
      <c r="M6475" s="74">
        <v>37891</v>
      </c>
      <c r="N6475" s="77">
        <v>4.1666666666666664E-2</v>
      </c>
      <c r="P6475">
        <v>62.6</v>
      </c>
      <c r="S6475" s="74">
        <v>34969</v>
      </c>
      <c r="T6475" s="77">
        <v>4.1666666666666664E-2</v>
      </c>
      <c r="V6475">
        <v>60.980000000000004</v>
      </c>
      <c r="X6475" s="42"/>
      <c r="AB6475">
        <v>62.4</v>
      </c>
      <c r="AC6475">
        <v>57.019999999999996</v>
      </c>
      <c r="AE6475" s="74"/>
      <c r="AF6475" s="77"/>
      <c r="AH6475" s="497">
        <v>53.6</v>
      </c>
      <c r="AJ6475" s="42"/>
      <c r="AK6475" s="74"/>
      <c r="AL6475" s="77"/>
      <c r="AN6475" s="497">
        <v>60.08</v>
      </c>
      <c r="AP6475" s="42"/>
      <c r="AQ6475" s="74"/>
      <c r="AR6475" s="77"/>
      <c r="AT6475" s="497">
        <v>51.08</v>
      </c>
      <c r="AV6475" s="42"/>
      <c r="AW6475" s="74"/>
      <c r="AX6475" s="77"/>
      <c r="BA6475" s="497">
        <v>42.08</v>
      </c>
      <c r="BB6475" s="42"/>
      <c r="BC6475" s="74"/>
      <c r="BD6475" s="77"/>
      <c r="BF6475">
        <v>60.08</v>
      </c>
      <c r="BH6475" s="42"/>
      <c r="BI6475" s="74"/>
      <c r="BJ6475" s="77"/>
      <c r="BL6475" s="497">
        <v>78.98</v>
      </c>
      <c r="BN6475" s="42"/>
      <c r="BO6475" s="74"/>
      <c r="BP6475" s="77"/>
      <c r="BR6475" s="497">
        <v>39.92</v>
      </c>
      <c r="BT6475" s="42"/>
    </row>
    <row r="6476" spans="1:72" x14ac:dyDescent="0.25">
      <c r="A6476" s="90">
        <v>34969</v>
      </c>
      <c r="B6476" s="20">
        <v>8.3333333333333329E-2</v>
      </c>
      <c r="D6476">
        <v>57.92</v>
      </c>
      <c r="E6476" t="str">
        <f t="shared" si="236"/>
        <v>WEEKDAY</v>
      </c>
      <c r="F6476" t="e">
        <f t="shared" si="237"/>
        <v>#N/A</v>
      </c>
      <c r="G6476" s="74">
        <v>29125</v>
      </c>
      <c r="H6476" s="77">
        <v>8.3333333333333329E-2</v>
      </c>
      <c r="J6476">
        <v>61.7</v>
      </c>
      <c r="M6476" s="74">
        <v>37891</v>
      </c>
      <c r="N6476" s="77">
        <v>8.3333333333333329E-2</v>
      </c>
      <c r="P6476">
        <v>62.6</v>
      </c>
      <c r="S6476" s="74">
        <v>34969</v>
      </c>
      <c r="T6476" s="77">
        <v>8.3333333333333329E-2</v>
      </c>
      <c r="V6476">
        <v>60.980000000000004</v>
      </c>
      <c r="X6476" s="42"/>
      <c r="AB6476">
        <v>61.8</v>
      </c>
      <c r="AC6476">
        <v>57.92</v>
      </c>
      <c r="AE6476" s="74"/>
      <c r="AF6476" s="77"/>
      <c r="AH6476" s="497">
        <v>53.6</v>
      </c>
      <c r="AJ6476" s="42"/>
      <c r="AK6476" s="74"/>
      <c r="AL6476" s="77"/>
      <c r="AN6476" s="497">
        <v>59.72</v>
      </c>
      <c r="AP6476" s="42"/>
      <c r="AQ6476" s="74"/>
      <c r="AR6476" s="77"/>
      <c r="AT6476" s="497">
        <v>46.94</v>
      </c>
      <c r="AV6476" s="42"/>
      <c r="AW6476" s="74"/>
      <c r="AX6476" s="77"/>
      <c r="BA6476" s="497">
        <v>41</v>
      </c>
      <c r="BB6476" s="42"/>
      <c r="BC6476" s="74"/>
      <c r="BD6476" s="77"/>
      <c r="BF6476">
        <v>60.08</v>
      </c>
      <c r="BH6476" s="42"/>
      <c r="BI6476" s="74"/>
      <c r="BJ6476" s="77"/>
      <c r="BL6476" s="497">
        <v>78.080000000000013</v>
      </c>
      <c r="BN6476" s="42"/>
      <c r="BO6476" s="74"/>
      <c r="BP6476" s="77"/>
      <c r="BR6476" s="497">
        <v>38.659999999999997</v>
      </c>
      <c r="BT6476" s="42"/>
    </row>
    <row r="6477" spans="1:72" x14ac:dyDescent="0.25">
      <c r="A6477" s="90">
        <v>34969</v>
      </c>
      <c r="B6477" s="20">
        <v>0.125</v>
      </c>
      <c r="D6477">
        <v>55.94</v>
      </c>
      <c r="E6477" t="str">
        <f t="shared" si="236"/>
        <v>WEEKDAY</v>
      </c>
      <c r="F6477" t="e">
        <f t="shared" si="237"/>
        <v>#N/A</v>
      </c>
      <c r="G6477" s="74">
        <v>29125</v>
      </c>
      <c r="H6477" s="77">
        <v>0.125</v>
      </c>
      <c r="J6477">
        <v>61.34</v>
      </c>
      <c r="M6477" s="74">
        <v>37891</v>
      </c>
      <c r="N6477" s="77">
        <v>0.125</v>
      </c>
      <c r="P6477">
        <v>64.400000000000006</v>
      </c>
      <c r="S6477" s="74">
        <v>34969</v>
      </c>
      <c r="T6477" s="77">
        <v>0.125</v>
      </c>
      <c r="V6477">
        <v>60.980000000000004</v>
      </c>
      <c r="X6477" s="42"/>
      <c r="AB6477">
        <v>61.3</v>
      </c>
      <c r="AC6477">
        <v>55.94</v>
      </c>
      <c r="AE6477" s="74"/>
      <c r="AF6477" s="77"/>
      <c r="AH6477" s="497">
        <v>55.400000000000006</v>
      </c>
      <c r="AJ6477" s="42"/>
      <c r="AK6477" s="74"/>
      <c r="AL6477" s="77"/>
      <c r="AN6477" s="497">
        <v>59.36</v>
      </c>
      <c r="AP6477" s="42"/>
      <c r="AQ6477" s="74"/>
      <c r="AR6477" s="77"/>
      <c r="AT6477" s="497">
        <v>48.92</v>
      </c>
      <c r="AV6477" s="42"/>
      <c r="AW6477" s="74"/>
      <c r="AX6477" s="77"/>
      <c r="BA6477" s="497">
        <v>42.980000000000004</v>
      </c>
      <c r="BB6477" s="42"/>
      <c r="BC6477" s="74"/>
      <c r="BD6477" s="77"/>
      <c r="BF6477">
        <v>60.08</v>
      </c>
      <c r="BH6477" s="42"/>
      <c r="BI6477" s="74"/>
      <c r="BJ6477" s="77"/>
      <c r="BL6477" s="497">
        <v>77</v>
      </c>
      <c r="BN6477" s="42"/>
      <c r="BO6477" s="74"/>
      <c r="BP6477" s="77"/>
      <c r="BR6477" s="497">
        <v>37.22</v>
      </c>
      <c r="BT6477" s="42"/>
    </row>
    <row r="6478" spans="1:72" x14ac:dyDescent="0.25">
      <c r="A6478" s="90">
        <v>34969</v>
      </c>
      <c r="B6478" s="20">
        <v>0.16666666666666666</v>
      </c>
      <c r="D6478">
        <v>55.040000000000006</v>
      </c>
      <c r="E6478" t="str">
        <f t="shared" si="236"/>
        <v>WEEKDAY</v>
      </c>
      <c r="F6478" t="e">
        <f t="shared" si="237"/>
        <v>#N/A</v>
      </c>
      <c r="G6478" s="74">
        <v>29125</v>
      </c>
      <c r="H6478" s="77">
        <v>0.16666666666666666</v>
      </c>
      <c r="J6478">
        <v>60.980000000000004</v>
      </c>
      <c r="M6478" s="74">
        <v>37891</v>
      </c>
      <c r="N6478" s="77">
        <v>0.16666666666666666</v>
      </c>
      <c r="P6478">
        <v>65.48</v>
      </c>
      <c r="S6478" s="74">
        <v>34969</v>
      </c>
      <c r="T6478" s="77">
        <v>0.16666666666666666</v>
      </c>
      <c r="V6478">
        <v>60.08</v>
      </c>
      <c r="X6478" s="42"/>
      <c r="AB6478">
        <v>60.8</v>
      </c>
      <c r="AC6478">
        <v>57.019999999999996</v>
      </c>
      <c r="AE6478" s="74"/>
      <c r="AF6478" s="77"/>
      <c r="AH6478" s="497">
        <v>55.400000000000006</v>
      </c>
      <c r="AJ6478" s="42"/>
      <c r="AK6478" s="74"/>
      <c r="AL6478" s="77"/>
      <c r="AN6478" s="497">
        <v>59</v>
      </c>
      <c r="AP6478" s="42"/>
      <c r="AQ6478" s="74"/>
      <c r="AR6478" s="77"/>
      <c r="AT6478" s="497">
        <v>48.92</v>
      </c>
      <c r="AV6478" s="42"/>
      <c r="AW6478" s="74"/>
      <c r="AX6478" s="77"/>
      <c r="BA6478" s="497">
        <v>42.08</v>
      </c>
      <c r="BB6478" s="42"/>
      <c r="BC6478" s="74"/>
      <c r="BD6478" s="77"/>
      <c r="BF6478">
        <v>60.08</v>
      </c>
      <c r="BH6478" s="42"/>
      <c r="BI6478" s="74"/>
      <c r="BJ6478" s="77"/>
      <c r="BL6478" s="497">
        <v>78.080000000000013</v>
      </c>
      <c r="BN6478" s="42"/>
      <c r="BO6478" s="74"/>
      <c r="BP6478" s="77"/>
      <c r="BR6478" s="497">
        <v>35.96</v>
      </c>
      <c r="BT6478" s="42"/>
    </row>
    <row r="6479" spans="1:72" x14ac:dyDescent="0.25">
      <c r="A6479" s="90">
        <v>34969</v>
      </c>
      <c r="B6479" s="20">
        <v>0.20833333333333334</v>
      </c>
      <c r="D6479">
        <v>55.040000000000006</v>
      </c>
      <c r="E6479" t="str">
        <f t="shared" si="236"/>
        <v>WEEKDAY</v>
      </c>
      <c r="F6479" t="e">
        <f t="shared" si="237"/>
        <v>#N/A</v>
      </c>
      <c r="G6479" s="74">
        <v>29125</v>
      </c>
      <c r="H6479" s="77">
        <v>0.20833333333333334</v>
      </c>
      <c r="J6479">
        <v>60.620000000000005</v>
      </c>
      <c r="M6479" s="74">
        <v>37891</v>
      </c>
      <c r="N6479" s="77">
        <v>0.20833333333333334</v>
      </c>
      <c r="P6479">
        <v>65.84</v>
      </c>
      <c r="S6479" s="74">
        <v>34969</v>
      </c>
      <c r="T6479" s="77">
        <v>0.20833333333333334</v>
      </c>
      <c r="V6479">
        <v>59</v>
      </c>
      <c r="X6479" s="42"/>
      <c r="AB6479">
        <v>60.4</v>
      </c>
      <c r="AC6479">
        <v>57.92</v>
      </c>
      <c r="AE6479" s="74"/>
      <c r="AF6479" s="77"/>
      <c r="AH6479" s="497">
        <v>55.400000000000006</v>
      </c>
      <c r="AJ6479" s="42"/>
      <c r="AK6479" s="74"/>
      <c r="AL6479" s="77"/>
      <c r="AN6479" s="497">
        <v>57.92</v>
      </c>
      <c r="AP6479" s="42"/>
      <c r="AQ6479" s="74"/>
      <c r="AR6479" s="77"/>
      <c r="AT6479" s="497">
        <v>48.019999999999996</v>
      </c>
      <c r="AV6479" s="42"/>
      <c r="AW6479" s="74"/>
      <c r="AX6479" s="77"/>
      <c r="BA6479" s="497">
        <v>41</v>
      </c>
      <c r="BB6479" s="42"/>
      <c r="BC6479" s="74"/>
      <c r="BD6479" s="77"/>
      <c r="BF6479">
        <v>59</v>
      </c>
      <c r="BH6479" s="42"/>
      <c r="BI6479" s="74"/>
      <c r="BJ6479" s="77"/>
      <c r="BL6479" s="497">
        <v>77</v>
      </c>
      <c r="BN6479" s="42"/>
      <c r="BO6479" s="74"/>
      <c r="BP6479" s="77"/>
      <c r="BR6479" s="497">
        <v>35.96</v>
      </c>
      <c r="BT6479" s="42"/>
    </row>
    <row r="6480" spans="1:72" x14ac:dyDescent="0.25">
      <c r="A6480" s="90">
        <v>34969</v>
      </c>
      <c r="B6480" s="20">
        <v>0.25</v>
      </c>
      <c r="D6480">
        <v>55.040000000000006</v>
      </c>
      <c r="E6480" t="str">
        <f t="shared" si="236"/>
        <v>WEEKDAY</v>
      </c>
      <c r="F6480" t="e">
        <f t="shared" si="237"/>
        <v>#N/A</v>
      </c>
      <c r="G6480" s="74">
        <v>29125</v>
      </c>
      <c r="H6480" s="77">
        <v>0.25</v>
      </c>
      <c r="J6480">
        <v>60.44</v>
      </c>
      <c r="M6480" s="74">
        <v>37891</v>
      </c>
      <c r="N6480" s="77">
        <v>0.25</v>
      </c>
      <c r="P6480">
        <v>66.740000000000009</v>
      </c>
      <c r="S6480" s="74">
        <v>34969</v>
      </c>
      <c r="T6480" s="77">
        <v>0.25</v>
      </c>
      <c r="V6480">
        <v>59</v>
      </c>
      <c r="X6480" s="42"/>
      <c r="AB6480">
        <v>60.1</v>
      </c>
      <c r="AC6480">
        <v>57.92</v>
      </c>
      <c r="AE6480" s="74"/>
      <c r="AF6480" s="77"/>
      <c r="AH6480" s="497">
        <v>55.400000000000006</v>
      </c>
      <c r="AJ6480" s="42"/>
      <c r="AK6480" s="74"/>
      <c r="AL6480" s="77"/>
      <c r="AN6480" s="497">
        <v>57.019999999999996</v>
      </c>
      <c r="AP6480" s="42"/>
      <c r="AQ6480" s="74"/>
      <c r="AR6480" s="77"/>
      <c r="AT6480" s="497">
        <v>48.019999999999996</v>
      </c>
      <c r="AV6480" s="42"/>
      <c r="AW6480" s="74"/>
      <c r="AX6480" s="77"/>
      <c r="BA6480" s="497">
        <v>39.019999999999996</v>
      </c>
      <c r="BB6480" s="42"/>
      <c r="BC6480" s="74"/>
      <c r="BD6480" s="77"/>
      <c r="BF6480">
        <v>57.92</v>
      </c>
      <c r="BH6480" s="42"/>
      <c r="BI6480" s="74"/>
      <c r="BJ6480" s="77"/>
      <c r="BL6480" s="497">
        <v>75.92</v>
      </c>
      <c r="BN6480" s="42"/>
      <c r="BO6480" s="74"/>
      <c r="BP6480" s="77"/>
      <c r="BR6480" s="497">
        <v>35.96</v>
      </c>
      <c r="BT6480" s="42"/>
    </row>
    <row r="6481" spans="1:72" x14ac:dyDescent="0.25">
      <c r="A6481" s="90">
        <v>34969</v>
      </c>
      <c r="B6481" s="20">
        <v>0.29166666666666669</v>
      </c>
      <c r="D6481">
        <v>57.019999999999996</v>
      </c>
      <c r="E6481" t="str">
        <f t="shared" si="236"/>
        <v>WEEKDAY</v>
      </c>
      <c r="F6481" t="e">
        <f t="shared" si="237"/>
        <v>#N/A</v>
      </c>
      <c r="G6481" s="74">
        <v>29125</v>
      </c>
      <c r="H6481" s="77">
        <v>0.29166666666666669</v>
      </c>
      <c r="J6481">
        <v>60.08</v>
      </c>
      <c r="M6481" s="74">
        <v>37891</v>
      </c>
      <c r="N6481" s="77">
        <v>0.29166666666666669</v>
      </c>
      <c r="P6481">
        <v>69.800000000000011</v>
      </c>
      <c r="S6481" s="74">
        <v>34969</v>
      </c>
      <c r="T6481" s="77">
        <v>0.29166666666666669</v>
      </c>
      <c r="V6481">
        <v>60.08</v>
      </c>
      <c r="X6481" s="42"/>
      <c r="AB6481">
        <v>60</v>
      </c>
      <c r="AC6481">
        <v>62.06</v>
      </c>
      <c r="AE6481" s="74"/>
      <c r="AF6481" s="77"/>
      <c r="AH6481" s="497">
        <v>55.400000000000006</v>
      </c>
      <c r="AJ6481" s="42"/>
      <c r="AK6481" s="74"/>
      <c r="AL6481" s="77"/>
      <c r="AN6481" s="497">
        <v>55.94</v>
      </c>
      <c r="AP6481" s="42"/>
      <c r="AQ6481" s="74"/>
      <c r="AR6481" s="77"/>
      <c r="AT6481" s="497">
        <v>48.92</v>
      </c>
      <c r="AV6481" s="42"/>
      <c r="AW6481" s="74"/>
      <c r="AX6481" s="77"/>
      <c r="BA6481" s="497">
        <v>42.980000000000004</v>
      </c>
      <c r="BB6481" s="42"/>
      <c r="BC6481" s="74"/>
      <c r="BD6481" s="77"/>
      <c r="BF6481">
        <v>59</v>
      </c>
      <c r="BH6481" s="42"/>
      <c r="BI6481" s="74"/>
      <c r="BJ6481" s="77"/>
      <c r="BL6481" s="497">
        <v>73.94</v>
      </c>
      <c r="BN6481" s="42"/>
      <c r="BO6481" s="74"/>
      <c r="BP6481" s="77"/>
      <c r="BR6481" s="497">
        <v>35.96</v>
      </c>
      <c r="BT6481" s="42"/>
    </row>
    <row r="6482" spans="1:72" x14ac:dyDescent="0.25">
      <c r="A6482" s="90">
        <v>34969</v>
      </c>
      <c r="B6482" s="20">
        <v>0.33333333333333331</v>
      </c>
      <c r="D6482">
        <v>60.08</v>
      </c>
      <c r="E6482" t="str">
        <f t="shared" si="236"/>
        <v>WEEKDAY</v>
      </c>
      <c r="F6482" t="e">
        <f t="shared" si="237"/>
        <v>#N/A</v>
      </c>
      <c r="G6482" s="74">
        <v>29125</v>
      </c>
      <c r="H6482" s="77">
        <v>0.33333333333333331</v>
      </c>
      <c r="J6482">
        <v>61.7</v>
      </c>
      <c r="M6482" s="74">
        <v>37891</v>
      </c>
      <c r="N6482" s="77">
        <v>0.33333333333333331</v>
      </c>
      <c r="P6482">
        <v>69.800000000000011</v>
      </c>
      <c r="S6482" s="74">
        <v>34969</v>
      </c>
      <c r="T6482" s="77">
        <v>0.33333333333333331</v>
      </c>
      <c r="V6482">
        <v>60.08</v>
      </c>
      <c r="X6482" s="42"/>
      <c r="AB6482">
        <v>61.6</v>
      </c>
      <c r="AC6482">
        <v>64.039999999999992</v>
      </c>
      <c r="AE6482" s="74"/>
      <c r="AF6482" s="77"/>
      <c r="AH6482" s="497">
        <v>57.2</v>
      </c>
      <c r="AJ6482" s="42"/>
      <c r="AK6482" s="74"/>
      <c r="AL6482" s="77"/>
      <c r="AN6482" s="497">
        <v>55.94</v>
      </c>
      <c r="AP6482" s="42"/>
      <c r="AQ6482" s="74"/>
      <c r="AR6482" s="77"/>
      <c r="AT6482" s="497">
        <v>53.06</v>
      </c>
      <c r="AV6482" s="42"/>
      <c r="AW6482" s="74"/>
      <c r="AX6482" s="77"/>
      <c r="BA6482" s="497">
        <v>55.040000000000006</v>
      </c>
      <c r="BB6482" s="42"/>
      <c r="BC6482" s="74"/>
      <c r="BD6482" s="77"/>
      <c r="BF6482">
        <v>59</v>
      </c>
      <c r="BH6482" s="42"/>
      <c r="BI6482" s="74"/>
      <c r="BJ6482" s="77"/>
      <c r="BL6482" s="497">
        <v>73.039999999999992</v>
      </c>
      <c r="BN6482" s="42"/>
      <c r="BO6482" s="74"/>
      <c r="BP6482" s="77"/>
      <c r="BR6482" s="497">
        <v>37.04</v>
      </c>
      <c r="BT6482" s="42"/>
    </row>
    <row r="6483" spans="1:72" x14ac:dyDescent="0.25">
      <c r="A6483" s="90">
        <v>34969</v>
      </c>
      <c r="B6483" s="20">
        <v>0.375</v>
      </c>
      <c r="D6483">
        <v>60.980000000000004</v>
      </c>
      <c r="E6483" t="str">
        <f t="shared" ref="E6483:E6546" si="238">IF(COUNTIF($DI$18:$DI$22, WEEKDAY(A6483))=1, "WEEKDAY", IF(WEEKDAY(A6483) = 1, "SUNDAY", "SATURDAY"))</f>
        <v>WEEKDAY</v>
      </c>
      <c r="F6483" t="e">
        <f t="shared" si="237"/>
        <v>#N/A</v>
      </c>
      <c r="G6483" s="74">
        <v>29125</v>
      </c>
      <c r="H6483" s="77">
        <v>0.375</v>
      </c>
      <c r="J6483">
        <v>63.319999999999993</v>
      </c>
      <c r="M6483" s="74">
        <v>37891</v>
      </c>
      <c r="N6483" s="77">
        <v>0.375</v>
      </c>
      <c r="P6483">
        <v>71.599999999999994</v>
      </c>
      <c r="S6483" s="74">
        <v>34969</v>
      </c>
      <c r="T6483" s="77">
        <v>0.375</v>
      </c>
      <c r="V6483">
        <v>60.980000000000004</v>
      </c>
      <c r="X6483" s="42"/>
      <c r="AB6483">
        <v>63.8</v>
      </c>
      <c r="AC6483">
        <v>69.080000000000013</v>
      </c>
      <c r="AE6483" s="74"/>
      <c r="AF6483" s="77"/>
      <c r="AH6483" s="497">
        <v>57.2</v>
      </c>
      <c r="AJ6483" s="42"/>
      <c r="AK6483" s="74"/>
      <c r="AL6483" s="77"/>
      <c r="AN6483" s="497">
        <v>55.94</v>
      </c>
      <c r="AP6483" s="42"/>
      <c r="AQ6483" s="74"/>
      <c r="AR6483" s="77"/>
      <c r="AT6483" s="497">
        <v>57.019999999999996</v>
      </c>
      <c r="AV6483" s="42"/>
      <c r="AW6483" s="74"/>
      <c r="AX6483" s="77"/>
      <c r="BA6483" s="497">
        <v>60.980000000000004</v>
      </c>
      <c r="BB6483" s="42"/>
      <c r="BC6483" s="74"/>
      <c r="BD6483" s="77"/>
      <c r="BF6483">
        <v>60.08</v>
      </c>
      <c r="BH6483" s="42"/>
      <c r="BI6483" s="74"/>
      <c r="BJ6483" s="77"/>
      <c r="BL6483" s="497">
        <v>71.960000000000008</v>
      </c>
      <c r="BN6483" s="42"/>
      <c r="BO6483" s="74"/>
      <c r="BP6483" s="77"/>
      <c r="BR6483" s="497">
        <v>37.94</v>
      </c>
      <c r="BT6483" s="42"/>
    </row>
    <row r="6484" spans="1:72" x14ac:dyDescent="0.25">
      <c r="A6484" s="90">
        <v>34969</v>
      </c>
      <c r="B6484" s="20">
        <v>0.41666666666666669</v>
      </c>
      <c r="D6484">
        <v>64.039999999999992</v>
      </c>
      <c r="E6484" t="str">
        <f t="shared" si="238"/>
        <v>WEEKDAY</v>
      </c>
      <c r="F6484" t="e">
        <f t="shared" si="237"/>
        <v>#N/A</v>
      </c>
      <c r="G6484" s="74">
        <v>29125</v>
      </c>
      <c r="H6484" s="77">
        <v>0.41666666666666669</v>
      </c>
      <c r="J6484">
        <v>64.94</v>
      </c>
      <c r="M6484" s="74">
        <v>37891</v>
      </c>
      <c r="N6484" s="77">
        <v>0.41666666666666669</v>
      </c>
      <c r="P6484">
        <v>73.400000000000006</v>
      </c>
      <c r="S6484" s="74">
        <v>34969</v>
      </c>
      <c r="T6484" s="77">
        <v>0.41666666666666669</v>
      </c>
      <c r="V6484">
        <v>62.96</v>
      </c>
      <c r="X6484" s="42"/>
      <c r="AB6484">
        <v>65.900000000000006</v>
      </c>
      <c r="AC6484">
        <v>73.039999999999992</v>
      </c>
      <c r="AE6484" s="74"/>
      <c r="AF6484" s="77"/>
      <c r="AH6484" s="497">
        <v>60.8</v>
      </c>
      <c r="AJ6484" s="42"/>
      <c r="AK6484" s="74"/>
      <c r="AL6484" s="77"/>
      <c r="AN6484" s="497">
        <v>55.94</v>
      </c>
      <c r="AP6484" s="42"/>
      <c r="AQ6484" s="74"/>
      <c r="AR6484" s="77"/>
      <c r="AT6484" s="497">
        <v>64.94</v>
      </c>
      <c r="AV6484" s="42"/>
      <c r="AW6484" s="74"/>
      <c r="AX6484" s="77"/>
      <c r="BA6484" s="497">
        <v>62.96</v>
      </c>
      <c r="BB6484" s="42"/>
      <c r="BC6484" s="74"/>
      <c r="BD6484" s="77"/>
      <c r="BF6484">
        <v>64.94</v>
      </c>
      <c r="BH6484" s="42"/>
      <c r="BI6484" s="74"/>
      <c r="BJ6484" s="77"/>
      <c r="BL6484" s="497">
        <v>69.080000000000013</v>
      </c>
      <c r="BN6484" s="42"/>
      <c r="BO6484" s="74"/>
      <c r="BP6484" s="77"/>
      <c r="BR6484" s="497">
        <v>39.019999999999996</v>
      </c>
      <c r="BT6484" s="42"/>
    </row>
    <row r="6485" spans="1:72" x14ac:dyDescent="0.25">
      <c r="A6485" s="90">
        <v>34969</v>
      </c>
      <c r="B6485" s="20">
        <v>0.45833333333333331</v>
      </c>
      <c r="D6485">
        <v>64.039999999999992</v>
      </c>
      <c r="E6485" t="str">
        <f t="shared" si="238"/>
        <v>WEEKDAY</v>
      </c>
      <c r="F6485" t="e">
        <f t="shared" si="237"/>
        <v>#N/A</v>
      </c>
      <c r="G6485" s="74">
        <v>29125</v>
      </c>
      <c r="H6485" s="77">
        <v>0.45833333333333331</v>
      </c>
      <c r="J6485">
        <v>66.56</v>
      </c>
      <c r="M6485" s="74">
        <v>37891</v>
      </c>
      <c r="N6485" s="77">
        <v>0.45833333333333331</v>
      </c>
      <c r="P6485">
        <v>73.400000000000006</v>
      </c>
      <c r="S6485" s="74">
        <v>34969</v>
      </c>
      <c r="T6485" s="77">
        <v>0.45833333333333331</v>
      </c>
      <c r="V6485">
        <v>66.02</v>
      </c>
      <c r="X6485" s="42"/>
      <c r="AB6485">
        <v>67.5</v>
      </c>
      <c r="AC6485">
        <v>73.039999999999992</v>
      </c>
      <c r="AE6485" s="74"/>
      <c r="AF6485" s="77"/>
      <c r="AH6485" s="497">
        <v>62.6</v>
      </c>
      <c r="AJ6485" s="42"/>
      <c r="AK6485" s="74"/>
      <c r="AL6485" s="77"/>
      <c r="AN6485" s="497">
        <v>56.3</v>
      </c>
      <c r="AP6485" s="42"/>
      <c r="AQ6485" s="74"/>
      <c r="AR6485" s="77"/>
      <c r="AT6485" s="497">
        <v>66.92</v>
      </c>
      <c r="AV6485" s="42"/>
      <c r="AW6485" s="74"/>
      <c r="AX6485" s="77"/>
      <c r="BA6485" s="497">
        <v>66.02</v>
      </c>
      <c r="BB6485" s="42"/>
      <c r="BC6485" s="74"/>
      <c r="BD6485" s="77"/>
      <c r="BF6485">
        <v>64.94</v>
      </c>
      <c r="BH6485" s="42"/>
      <c r="BI6485" s="74"/>
      <c r="BJ6485" s="77"/>
      <c r="BL6485" s="497">
        <v>66.02</v>
      </c>
      <c r="BN6485" s="42"/>
      <c r="BO6485" s="74"/>
      <c r="BP6485" s="77"/>
      <c r="BR6485" s="497">
        <v>42.26</v>
      </c>
      <c r="BT6485" s="42"/>
    </row>
    <row r="6486" spans="1:72" x14ac:dyDescent="0.25">
      <c r="A6486" s="90">
        <v>34969</v>
      </c>
      <c r="B6486" s="20">
        <v>0.5</v>
      </c>
      <c r="D6486">
        <v>64.039999999999992</v>
      </c>
      <c r="E6486" t="str">
        <f t="shared" si="238"/>
        <v>WEEKDAY</v>
      </c>
      <c r="F6486" t="e">
        <f t="shared" si="237"/>
        <v>#N/A</v>
      </c>
      <c r="G6486" s="74">
        <v>29125</v>
      </c>
      <c r="H6486" s="77">
        <v>0.5</v>
      </c>
      <c r="J6486">
        <v>68.36</v>
      </c>
      <c r="M6486" s="74">
        <v>37891</v>
      </c>
      <c r="N6486" s="77">
        <v>0.5</v>
      </c>
      <c r="P6486">
        <v>73.400000000000006</v>
      </c>
      <c r="S6486" s="74">
        <v>34969</v>
      </c>
      <c r="T6486" s="77">
        <v>0.5</v>
      </c>
      <c r="V6486">
        <v>66.02</v>
      </c>
      <c r="X6486" s="42"/>
      <c r="AB6486">
        <v>68.900000000000006</v>
      </c>
      <c r="AC6486">
        <v>73.94</v>
      </c>
      <c r="AE6486" s="74"/>
      <c r="AF6486" s="77"/>
      <c r="AH6486" s="497">
        <v>62.6</v>
      </c>
      <c r="AJ6486" s="42"/>
      <c r="AK6486" s="74"/>
      <c r="AL6486" s="77"/>
      <c r="AN6486" s="497">
        <v>56.66</v>
      </c>
      <c r="AP6486" s="42"/>
      <c r="AQ6486" s="74"/>
      <c r="AR6486" s="77"/>
      <c r="AT6486" s="497">
        <v>71.960000000000008</v>
      </c>
      <c r="AV6486" s="42"/>
      <c r="AW6486" s="74"/>
      <c r="AX6486" s="77"/>
      <c r="BA6486" s="497">
        <v>68</v>
      </c>
      <c r="BB6486" s="42"/>
      <c r="BC6486" s="74"/>
      <c r="BD6486" s="77"/>
      <c r="BF6486">
        <v>69.080000000000013</v>
      </c>
      <c r="BH6486" s="42"/>
      <c r="BI6486" s="74"/>
      <c r="BJ6486" s="77"/>
      <c r="BL6486" s="497">
        <v>66.92</v>
      </c>
      <c r="BN6486" s="42"/>
      <c r="BO6486" s="74"/>
      <c r="BP6486" s="77"/>
      <c r="BR6486" s="497">
        <v>45.68</v>
      </c>
      <c r="BT6486" s="42"/>
    </row>
    <row r="6487" spans="1:72" x14ac:dyDescent="0.25">
      <c r="A6487" s="90">
        <v>34969</v>
      </c>
      <c r="B6487" s="20">
        <v>0.54166666666666663</v>
      </c>
      <c r="D6487">
        <v>64.039999999999992</v>
      </c>
      <c r="E6487" t="str">
        <f t="shared" si="238"/>
        <v>WEEKDAY</v>
      </c>
      <c r="F6487" t="e">
        <f t="shared" si="237"/>
        <v>#N/A</v>
      </c>
      <c r="G6487" s="74">
        <v>29125</v>
      </c>
      <c r="H6487" s="77">
        <v>0.54166666666666663</v>
      </c>
      <c r="J6487">
        <v>69.98</v>
      </c>
      <c r="M6487" s="74">
        <v>37891</v>
      </c>
      <c r="N6487" s="77">
        <v>0.54166666666666663</v>
      </c>
      <c r="P6487">
        <v>71.599999999999994</v>
      </c>
      <c r="S6487" s="74">
        <v>34969</v>
      </c>
      <c r="T6487" s="77">
        <v>0.54166666666666663</v>
      </c>
      <c r="V6487">
        <v>68</v>
      </c>
      <c r="X6487" s="42"/>
      <c r="AB6487">
        <v>69.900000000000006</v>
      </c>
      <c r="AC6487">
        <v>73.039999999999992</v>
      </c>
      <c r="AE6487" s="74"/>
      <c r="AF6487" s="77"/>
      <c r="AH6487" s="497">
        <v>62.6</v>
      </c>
      <c r="AJ6487" s="42"/>
      <c r="AK6487" s="74"/>
      <c r="AL6487" s="77"/>
      <c r="AN6487" s="497">
        <v>57.019999999999996</v>
      </c>
      <c r="AP6487" s="42"/>
      <c r="AQ6487" s="74"/>
      <c r="AR6487" s="77"/>
      <c r="AT6487" s="497">
        <v>73.039999999999992</v>
      </c>
      <c r="AV6487" s="42"/>
      <c r="AW6487" s="74"/>
      <c r="AX6487" s="77"/>
      <c r="BA6487" s="497">
        <v>69.080000000000013</v>
      </c>
      <c r="BB6487" s="42"/>
      <c r="BC6487" s="74"/>
      <c r="BD6487" s="77"/>
      <c r="BF6487">
        <v>69.98</v>
      </c>
      <c r="BH6487" s="42"/>
      <c r="BI6487" s="74"/>
      <c r="BJ6487" s="77"/>
      <c r="BL6487" s="497">
        <v>71.960000000000008</v>
      </c>
      <c r="BN6487" s="42"/>
      <c r="BO6487" s="74"/>
      <c r="BP6487" s="77"/>
      <c r="BR6487" s="497">
        <v>48.92</v>
      </c>
      <c r="BT6487" s="42"/>
    </row>
    <row r="6488" spans="1:72" x14ac:dyDescent="0.25">
      <c r="A6488" s="90">
        <v>34969</v>
      </c>
      <c r="B6488" s="20">
        <v>0.58333333333333337</v>
      </c>
      <c r="D6488">
        <v>64.94</v>
      </c>
      <c r="E6488" t="str">
        <f t="shared" si="238"/>
        <v>WEEKDAY</v>
      </c>
      <c r="F6488" t="e">
        <f t="shared" si="237"/>
        <v>#N/A</v>
      </c>
      <c r="G6488" s="74">
        <v>29125</v>
      </c>
      <c r="H6488" s="77">
        <v>0.58333333333333337</v>
      </c>
      <c r="J6488">
        <v>70.34</v>
      </c>
      <c r="M6488" s="74">
        <v>37891</v>
      </c>
      <c r="N6488" s="77">
        <v>0.58333333333333337</v>
      </c>
      <c r="P6488">
        <v>73.400000000000006</v>
      </c>
      <c r="S6488" s="74">
        <v>34969</v>
      </c>
      <c r="T6488" s="77">
        <v>0.58333333333333337</v>
      </c>
      <c r="V6488">
        <v>69.98</v>
      </c>
      <c r="X6488" s="42"/>
      <c r="AB6488">
        <v>70.2</v>
      </c>
      <c r="AC6488">
        <v>73.039999999999992</v>
      </c>
      <c r="AE6488" s="74"/>
      <c r="AF6488" s="77"/>
      <c r="AH6488" s="497">
        <v>64.400000000000006</v>
      </c>
      <c r="AJ6488" s="42"/>
      <c r="AK6488" s="74"/>
      <c r="AL6488" s="77"/>
      <c r="AN6488" s="497">
        <v>56.3</v>
      </c>
      <c r="AP6488" s="42"/>
      <c r="AQ6488" s="74"/>
      <c r="AR6488" s="77"/>
      <c r="AT6488" s="497">
        <v>75.02</v>
      </c>
      <c r="AV6488" s="42"/>
      <c r="AW6488" s="74"/>
      <c r="AX6488" s="77"/>
      <c r="BA6488" s="497">
        <v>71.06</v>
      </c>
      <c r="BB6488" s="42"/>
      <c r="BC6488" s="74"/>
      <c r="BD6488" s="77"/>
      <c r="BF6488">
        <v>69.080000000000013</v>
      </c>
      <c r="BH6488" s="42"/>
      <c r="BI6488" s="74"/>
      <c r="BJ6488" s="77"/>
      <c r="BL6488" s="497">
        <v>69.080000000000013</v>
      </c>
      <c r="BN6488" s="42"/>
      <c r="BO6488" s="74"/>
      <c r="BP6488" s="77"/>
      <c r="BR6488" s="497">
        <v>48.92</v>
      </c>
      <c r="BT6488" s="42"/>
    </row>
    <row r="6489" spans="1:72" x14ac:dyDescent="0.25">
      <c r="A6489" s="90">
        <v>34969</v>
      </c>
      <c r="B6489" s="20">
        <v>0.625</v>
      </c>
      <c r="D6489">
        <v>64.94</v>
      </c>
      <c r="E6489" t="str">
        <f t="shared" si="238"/>
        <v>WEEKDAY</v>
      </c>
      <c r="F6489" t="e">
        <f t="shared" si="237"/>
        <v>#N/A</v>
      </c>
      <c r="G6489" s="74">
        <v>29125</v>
      </c>
      <c r="H6489" s="77">
        <v>0.625</v>
      </c>
      <c r="J6489">
        <v>70.7</v>
      </c>
      <c r="M6489" s="74">
        <v>37891</v>
      </c>
      <c r="N6489" s="77">
        <v>0.625</v>
      </c>
      <c r="P6489">
        <v>73.400000000000006</v>
      </c>
      <c r="S6489" s="74">
        <v>34969</v>
      </c>
      <c r="T6489" s="77">
        <v>0.625</v>
      </c>
      <c r="V6489">
        <v>71.960000000000008</v>
      </c>
      <c r="X6489" s="42"/>
      <c r="AB6489">
        <v>70.400000000000006</v>
      </c>
      <c r="AC6489">
        <v>71.960000000000008</v>
      </c>
      <c r="AE6489" s="74"/>
      <c r="AF6489" s="77"/>
      <c r="AH6489" s="497">
        <v>66.2</v>
      </c>
      <c r="AJ6489" s="42"/>
      <c r="AK6489" s="74"/>
      <c r="AL6489" s="77"/>
      <c r="AN6489" s="497">
        <v>55.76</v>
      </c>
      <c r="AP6489" s="42"/>
      <c r="AQ6489" s="74"/>
      <c r="AR6489" s="77"/>
      <c r="AT6489" s="497">
        <v>75.02</v>
      </c>
      <c r="AV6489" s="42"/>
      <c r="AW6489" s="74"/>
      <c r="AX6489" s="77"/>
      <c r="BA6489" s="497">
        <v>71.06</v>
      </c>
      <c r="BB6489" s="42"/>
      <c r="BC6489" s="74"/>
      <c r="BD6489" s="77"/>
      <c r="BF6489">
        <v>68</v>
      </c>
      <c r="BH6489" s="42"/>
      <c r="BI6489" s="74"/>
      <c r="BJ6489" s="77"/>
      <c r="BL6489" s="497">
        <v>69.98</v>
      </c>
      <c r="BN6489" s="42"/>
      <c r="BO6489" s="74"/>
      <c r="BP6489" s="77"/>
      <c r="BR6489" s="497">
        <v>48.92</v>
      </c>
      <c r="BT6489" s="42"/>
    </row>
    <row r="6490" spans="1:72" x14ac:dyDescent="0.25">
      <c r="A6490" s="90">
        <v>34969</v>
      </c>
      <c r="B6490" s="20">
        <v>0.66666666666666663</v>
      </c>
      <c r="D6490">
        <v>64.039999999999992</v>
      </c>
      <c r="E6490" t="str">
        <f t="shared" si="238"/>
        <v>WEEKDAY</v>
      </c>
      <c r="F6490" t="e">
        <f t="shared" si="237"/>
        <v>#N/A</v>
      </c>
      <c r="G6490" s="74">
        <v>29125</v>
      </c>
      <c r="H6490" s="77">
        <v>0.66666666666666663</v>
      </c>
      <c r="J6490">
        <v>71.06</v>
      </c>
      <c r="M6490" s="74">
        <v>37891</v>
      </c>
      <c r="N6490" s="77">
        <v>0.66666666666666663</v>
      </c>
      <c r="P6490">
        <v>73.400000000000006</v>
      </c>
      <c r="S6490" s="74">
        <v>34969</v>
      </c>
      <c r="T6490" s="77">
        <v>0.66666666666666663</v>
      </c>
      <c r="V6490">
        <v>71.06</v>
      </c>
      <c r="X6490" s="42"/>
      <c r="AB6490">
        <v>70.2</v>
      </c>
      <c r="AC6490">
        <v>69.98</v>
      </c>
      <c r="AE6490" s="74"/>
      <c r="AF6490" s="77"/>
      <c r="AH6490" s="497">
        <v>64.94</v>
      </c>
      <c r="AJ6490" s="42"/>
      <c r="AK6490" s="74"/>
      <c r="AL6490" s="77"/>
      <c r="AN6490" s="497">
        <v>55.040000000000006</v>
      </c>
      <c r="AP6490" s="42"/>
      <c r="AQ6490" s="74"/>
      <c r="AR6490" s="77"/>
      <c r="AT6490" s="497">
        <v>73.039999999999992</v>
      </c>
      <c r="AV6490" s="42"/>
      <c r="AW6490" s="74"/>
      <c r="AX6490" s="77"/>
      <c r="BA6490" s="497">
        <v>69.98</v>
      </c>
      <c r="BB6490" s="42"/>
      <c r="BC6490" s="74"/>
      <c r="BD6490" s="77"/>
      <c r="BF6490">
        <v>66.02</v>
      </c>
      <c r="BH6490" s="42"/>
      <c r="BI6490" s="74"/>
      <c r="BJ6490" s="77"/>
      <c r="BL6490" s="497">
        <v>69.98</v>
      </c>
      <c r="BN6490" s="42"/>
      <c r="BO6490" s="74"/>
      <c r="BP6490" s="77"/>
      <c r="BR6490" s="497">
        <v>48.92</v>
      </c>
      <c r="BT6490" s="42"/>
    </row>
    <row r="6491" spans="1:72" x14ac:dyDescent="0.25">
      <c r="A6491" s="90">
        <v>34969</v>
      </c>
      <c r="B6491" s="20">
        <v>0.70833333333333337</v>
      </c>
      <c r="D6491">
        <v>62.96</v>
      </c>
      <c r="E6491" t="str">
        <f t="shared" si="238"/>
        <v>WEEKDAY</v>
      </c>
      <c r="F6491" t="e">
        <f t="shared" si="237"/>
        <v>#N/A</v>
      </c>
      <c r="G6491" s="74">
        <v>29125</v>
      </c>
      <c r="H6491" s="77">
        <v>0.70833333333333337</v>
      </c>
      <c r="J6491">
        <v>69.080000000000013</v>
      </c>
      <c r="M6491" s="74">
        <v>37891</v>
      </c>
      <c r="N6491" s="77">
        <v>0.70833333333333337</v>
      </c>
      <c r="P6491">
        <v>71.599999999999994</v>
      </c>
      <c r="S6491" s="74">
        <v>34969</v>
      </c>
      <c r="T6491" s="77">
        <v>0.70833333333333337</v>
      </c>
      <c r="V6491">
        <v>71.06</v>
      </c>
      <c r="X6491" s="42"/>
      <c r="AB6491">
        <v>69.3</v>
      </c>
      <c r="AC6491">
        <v>69.080000000000013</v>
      </c>
      <c r="AE6491" s="74"/>
      <c r="AF6491" s="77"/>
      <c r="AH6491" s="497">
        <v>62.6</v>
      </c>
      <c r="AJ6491" s="42"/>
      <c r="AK6491" s="74"/>
      <c r="AL6491" s="77"/>
      <c r="AN6491" s="497">
        <v>54.32</v>
      </c>
      <c r="AP6491" s="42"/>
      <c r="AQ6491" s="74"/>
      <c r="AR6491" s="77"/>
      <c r="AT6491" s="497">
        <v>71.960000000000008</v>
      </c>
      <c r="AV6491" s="42"/>
      <c r="AW6491" s="74"/>
      <c r="AX6491" s="77"/>
      <c r="BA6491" s="497">
        <v>68</v>
      </c>
      <c r="BB6491" s="42"/>
      <c r="BC6491" s="74"/>
      <c r="BD6491" s="77"/>
      <c r="BF6491">
        <v>57.92</v>
      </c>
      <c r="BH6491" s="42"/>
      <c r="BI6491" s="74"/>
      <c r="BJ6491" s="77"/>
      <c r="BL6491" s="497">
        <v>69.98</v>
      </c>
      <c r="BN6491" s="42"/>
      <c r="BO6491" s="74"/>
      <c r="BP6491" s="77"/>
      <c r="BR6491" s="497">
        <v>48.019999999999996</v>
      </c>
      <c r="BT6491" s="42"/>
    </row>
    <row r="6492" spans="1:72" x14ac:dyDescent="0.25">
      <c r="A6492" s="90">
        <v>34969</v>
      </c>
      <c r="B6492" s="20">
        <v>0.75</v>
      </c>
      <c r="D6492">
        <v>62.96</v>
      </c>
      <c r="E6492" t="str">
        <f t="shared" si="238"/>
        <v>WEEKDAY</v>
      </c>
      <c r="F6492" t="e">
        <f t="shared" si="237"/>
        <v>#N/A</v>
      </c>
      <c r="G6492" s="74">
        <v>29125</v>
      </c>
      <c r="H6492" s="77">
        <v>0.75</v>
      </c>
      <c r="J6492">
        <v>66.92</v>
      </c>
      <c r="M6492" s="74">
        <v>37891</v>
      </c>
      <c r="N6492" s="77">
        <v>0.75</v>
      </c>
      <c r="P6492">
        <v>71.599999999999994</v>
      </c>
      <c r="S6492" s="74">
        <v>34969</v>
      </c>
      <c r="T6492" s="77">
        <v>0.75</v>
      </c>
      <c r="V6492">
        <v>69.98</v>
      </c>
      <c r="X6492" s="42"/>
      <c r="AB6492">
        <v>68</v>
      </c>
      <c r="AC6492">
        <v>66.92</v>
      </c>
      <c r="AE6492" s="74"/>
      <c r="AF6492" s="77"/>
      <c r="AH6492" s="497">
        <v>60.8</v>
      </c>
      <c r="AJ6492" s="42"/>
      <c r="AK6492" s="74"/>
      <c r="AL6492" s="77"/>
      <c r="AN6492" s="497">
        <v>53.78</v>
      </c>
      <c r="AP6492" s="42"/>
      <c r="AQ6492" s="74"/>
      <c r="AR6492" s="77"/>
      <c r="AT6492" s="497">
        <v>64.94</v>
      </c>
      <c r="AV6492" s="42"/>
      <c r="AW6492" s="74"/>
      <c r="AX6492" s="77"/>
      <c r="BA6492" s="497">
        <v>62.96</v>
      </c>
      <c r="BB6492" s="42"/>
      <c r="BC6492" s="74"/>
      <c r="BD6492" s="77"/>
      <c r="BF6492">
        <v>57.019999999999996</v>
      </c>
      <c r="BH6492" s="42"/>
      <c r="BI6492" s="74"/>
      <c r="BJ6492" s="77"/>
      <c r="BL6492" s="497">
        <v>69.98</v>
      </c>
      <c r="BN6492" s="42"/>
      <c r="BO6492" s="74"/>
      <c r="BP6492" s="77"/>
      <c r="BR6492" s="497">
        <v>46.94</v>
      </c>
      <c r="BT6492" s="42"/>
    </row>
    <row r="6493" spans="1:72" x14ac:dyDescent="0.25">
      <c r="A6493" s="90">
        <v>34969</v>
      </c>
      <c r="B6493" s="20">
        <v>0.79166666666666663</v>
      </c>
      <c r="D6493">
        <v>62.06</v>
      </c>
      <c r="E6493" t="str">
        <f t="shared" si="238"/>
        <v>WEEKDAY</v>
      </c>
      <c r="F6493" t="e">
        <f t="shared" si="237"/>
        <v>#N/A</v>
      </c>
      <c r="G6493" s="74">
        <v>29125</v>
      </c>
      <c r="H6493" s="77">
        <v>0.79166666666666663</v>
      </c>
      <c r="J6493">
        <v>64.94</v>
      </c>
      <c r="M6493" s="74">
        <v>37891</v>
      </c>
      <c r="N6493" s="77">
        <v>0.79166666666666663</v>
      </c>
      <c r="P6493">
        <v>69.800000000000011</v>
      </c>
      <c r="S6493" s="74">
        <v>34969</v>
      </c>
      <c r="T6493" s="77">
        <v>0.79166666666666663</v>
      </c>
      <c r="V6493">
        <v>69.98</v>
      </c>
      <c r="X6493" s="42"/>
      <c r="AB6493">
        <v>66.400000000000006</v>
      </c>
      <c r="AC6493">
        <v>66.02</v>
      </c>
      <c r="AE6493" s="74"/>
      <c r="AF6493" s="77"/>
      <c r="AH6493" s="497">
        <v>59</v>
      </c>
      <c r="AJ6493" s="42"/>
      <c r="AK6493" s="74"/>
      <c r="AL6493" s="77"/>
      <c r="AN6493" s="497">
        <v>53.06</v>
      </c>
      <c r="AP6493" s="42"/>
      <c r="AQ6493" s="74"/>
      <c r="AR6493" s="77"/>
      <c r="AT6493" s="497">
        <v>60.08</v>
      </c>
      <c r="AV6493" s="42"/>
      <c r="AW6493" s="74"/>
      <c r="AX6493" s="77"/>
      <c r="BA6493" s="497">
        <v>60.980000000000004</v>
      </c>
      <c r="BB6493" s="42"/>
      <c r="BC6493" s="74"/>
      <c r="BD6493" s="77"/>
      <c r="BF6493">
        <v>55.94</v>
      </c>
      <c r="BH6493" s="42"/>
      <c r="BI6493" s="74"/>
      <c r="BJ6493" s="77"/>
      <c r="BL6493" s="497">
        <v>69.080000000000013</v>
      </c>
      <c r="BN6493" s="42"/>
      <c r="BO6493" s="74"/>
      <c r="BP6493" s="77"/>
      <c r="BR6493" s="497">
        <v>46.04</v>
      </c>
      <c r="BT6493" s="42"/>
    </row>
    <row r="6494" spans="1:72" x14ac:dyDescent="0.25">
      <c r="A6494" s="90">
        <v>34969</v>
      </c>
      <c r="B6494" s="20">
        <v>0.83333333333333337</v>
      </c>
      <c r="D6494">
        <v>60.980000000000004</v>
      </c>
      <c r="E6494" t="str">
        <f t="shared" si="238"/>
        <v>WEEKDAY</v>
      </c>
      <c r="F6494" t="e">
        <f t="shared" si="237"/>
        <v>#N/A</v>
      </c>
      <c r="G6494" s="74">
        <v>29125</v>
      </c>
      <c r="H6494" s="77">
        <v>0.83333333333333337</v>
      </c>
      <c r="J6494">
        <v>64.22</v>
      </c>
      <c r="M6494" s="74">
        <v>37891</v>
      </c>
      <c r="N6494" s="77">
        <v>0.83333333333333337</v>
      </c>
      <c r="P6494">
        <v>69.800000000000011</v>
      </c>
      <c r="S6494" s="74">
        <v>34969</v>
      </c>
      <c r="T6494" s="77">
        <v>0.83333333333333337</v>
      </c>
      <c r="V6494">
        <v>69.080000000000013</v>
      </c>
      <c r="X6494" s="42"/>
      <c r="AB6494">
        <v>65.400000000000006</v>
      </c>
      <c r="AC6494">
        <v>64.94</v>
      </c>
      <c r="AE6494" s="74"/>
      <c r="AF6494" s="77"/>
      <c r="AH6494" s="497">
        <v>60.8</v>
      </c>
      <c r="AJ6494" s="42"/>
      <c r="AK6494" s="74"/>
      <c r="AL6494" s="77"/>
      <c r="AN6494" s="497">
        <v>52.34</v>
      </c>
      <c r="AP6494" s="42"/>
      <c r="AQ6494" s="74"/>
      <c r="AR6494" s="77"/>
      <c r="AT6494" s="497">
        <v>57.92</v>
      </c>
      <c r="AV6494" s="42"/>
      <c r="AW6494" s="74"/>
      <c r="AX6494" s="77"/>
      <c r="BA6494" s="497">
        <v>60.980000000000004</v>
      </c>
      <c r="BB6494" s="42"/>
      <c r="BC6494" s="74"/>
      <c r="BD6494" s="77"/>
      <c r="BF6494">
        <v>55.94</v>
      </c>
      <c r="BH6494" s="42"/>
      <c r="BI6494" s="74"/>
      <c r="BJ6494" s="77"/>
      <c r="BL6494" s="497">
        <v>66.92</v>
      </c>
      <c r="BN6494" s="42"/>
      <c r="BO6494" s="74"/>
      <c r="BP6494" s="77"/>
      <c r="BR6494" s="497">
        <v>46.76</v>
      </c>
      <c r="BT6494" s="42"/>
    </row>
    <row r="6495" spans="1:72" x14ac:dyDescent="0.25">
      <c r="A6495" s="90">
        <v>34969</v>
      </c>
      <c r="B6495" s="20">
        <v>0.875</v>
      </c>
      <c r="D6495">
        <v>60.980000000000004</v>
      </c>
      <c r="E6495" t="str">
        <f t="shared" si="238"/>
        <v>WEEKDAY</v>
      </c>
      <c r="F6495" t="e">
        <f t="shared" si="237"/>
        <v>#N/A</v>
      </c>
      <c r="G6495" s="74">
        <v>29125</v>
      </c>
      <c r="H6495" s="77">
        <v>0.875</v>
      </c>
      <c r="J6495">
        <v>63.680000000000007</v>
      </c>
      <c r="M6495" s="74">
        <v>37891</v>
      </c>
      <c r="N6495" s="77">
        <v>0.875</v>
      </c>
      <c r="P6495">
        <v>69.800000000000011</v>
      </c>
      <c r="S6495" s="74">
        <v>34969</v>
      </c>
      <c r="T6495" s="77">
        <v>0.875</v>
      </c>
      <c r="V6495">
        <v>68</v>
      </c>
      <c r="X6495" s="42"/>
      <c r="AB6495">
        <v>64.8</v>
      </c>
      <c r="AC6495">
        <v>64.94</v>
      </c>
      <c r="AE6495" s="74"/>
      <c r="AF6495" s="77"/>
      <c r="AH6495" s="497">
        <v>60.8</v>
      </c>
      <c r="AJ6495" s="42"/>
      <c r="AK6495" s="74"/>
      <c r="AL6495" s="77"/>
      <c r="AN6495" s="497">
        <v>51.8</v>
      </c>
      <c r="AP6495" s="42"/>
      <c r="AQ6495" s="74"/>
      <c r="AR6495" s="77"/>
      <c r="AT6495" s="497">
        <v>55.040000000000006</v>
      </c>
      <c r="AV6495" s="42"/>
      <c r="AW6495" s="74"/>
      <c r="AX6495" s="77"/>
      <c r="BA6495" s="497">
        <v>60.980000000000004</v>
      </c>
      <c r="BB6495" s="42"/>
      <c r="BC6495" s="74"/>
      <c r="BD6495" s="77"/>
      <c r="BF6495">
        <v>55.94</v>
      </c>
      <c r="BH6495" s="42"/>
      <c r="BI6495" s="74"/>
      <c r="BJ6495" s="77"/>
      <c r="BL6495" s="497">
        <v>64.94</v>
      </c>
      <c r="BN6495" s="42"/>
      <c r="BO6495" s="74"/>
      <c r="BP6495" s="77"/>
      <c r="BR6495" s="497">
        <v>47.3</v>
      </c>
      <c r="BT6495" s="42"/>
    </row>
    <row r="6496" spans="1:72" x14ac:dyDescent="0.25">
      <c r="A6496" s="90">
        <v>34969</v>
      </c>
      <c r="B6496" s="20">
        <v>0.91666666666666663</v>
      </c>
      <c r="D6496">
        <v>60.08</v>
      </c>
      <c r="E6496" t="str">
        <f t="shared" si="238"/>
        <v>WEEKDAY</v>
      </c>
      <c r="F6496" t="e">
        <f t="shared" si="237"/>
        <v>#N/A</v>
      </c>
      <c r="G6496" s="74">
        <v>29125</v>
      </c>
      <c r="H6496" s="77">
        <v>0.91666666666666663</v>
      </c>
      <c r="J6496">
        <v>62.96</v>
      </c>
      <c r="M6496" s="74">
        <v>37891</v>
      </c>
      <c r="N6496" s="77">
        <v>0.91666666666666663</v>
      </c>
      <c r="P6496">
        <v>69.800000000000011</v>
      </c>
      <c r="S6496" s="74">
        <v>34969</v>
      </c>
      <c r="T6496" s="77">
        <v>0.91666666666666663</v>
      </c>
      <c r="V6496">
        <v>66.92</v>
      </c>
      <c r="X6496" s="42"/>
      <c r="AB6496">
        <v>64.099999999999994</v>
      </c>
      <c r="AC6496">
        <v>66.92</v>
      </c>
      <c r="AE6496" s="74"/>
      <c r="AF6496" s="77"/>
      <c r="AH6496" s="497">
        <v>60.8</v>
      </c>
      <c r="AJ6496" s="42"/>
      <c r="AK6496" s="74"/>
      <c r="AL6496" s="77"/>
      <c r="AN6496" s="497">
        <v>51.08</v>
      </c>
      <c r="AP6496" s="42"/>
      <c r="AQ6496" s="74"/>
      <c r="AR6496" s="77"/>
      <c r="AT6496" s="497">
        <v>55.040000000000006</v>
      </c>
      <c r="AV6496" s="42"/>
      <c r="AW6496" s="74"/>
      <c r="AX6496" s="77"/>
      <c r="BA6496" s="497">
        <v>57.019999999999996</v>
      </c>
      <c r="BB6496" s="42"/>
      <c r="BC6496" s="74"/>
      <c r="BD6496" s="77"/>
      <c r="BF6496">
        <v>53.96</v>
      </c>
      <c r="BH6496" s="42"/>
      <c r="BI6496" s="74"/>
      <c r="BJ6496" s="77"/>
      <c r="BL6496" s="497">
        <v>62.06</v>
      </c>
      <c r="BN6496" s="42"/>
      <c r="BO6496" s="74"/>
      <c r="BP6496" s="77"/>
      <c r="BR6496" s="497">
        <v>48.019999999999996</v>
      </c>
      <c r="BT6496" s="42"/>
    </row>
    <row r="6497" spans="1:72" x14ac:dyDescent="0.25">
      <c r="A6497" s="90">
        <v>34969</v>
      </c>
      <c r="B6497" s="20">
        <v>0.95833333333333337</v>
      </c>
      <c r="D6497">
        <v>59</v>
      </c>
      <c r="E6497" t="str">
        <f t="shared" si="238"/>
        <v>WEEKDAY</v>
      </c>
      <c r="F6497" t="e">
        <f t="shared" si="237"/>
        <v>#N/A</v>
      </c>
      <c r="G6497" s="74">
        <v>29125</v>
      </c>
      <c r="H6497" s="77">
        <v>0.95833333333333337</v>
      </c>
      <c r="J6497">
        <v>62.6</v>
      </c>
      <c r="M6497" s="74">
        <v>37891</v>
      </c>
      <c r="N6497" s="77">
        <v>0.95833333333333337</v>
      </c>
      <c r="P6497">
        <v>69.800000000000011</v>
      </c>
      <c r="S6497" s="74">
        <v>34969</v>
      </c>
      <c r="T6497" s="77">
        <v>0.95833333333333337</v>
      </c>
      <c r="V6497">
        <v>66.92</v>
      </c>
      <c r="X6497" s="42"/>
      <c r="AB6497">
        <v>63.5</v>
      </c>
      <c r="AC6497">
        <v>66.92</v>
      </c>
      <c r="AE6497" s="74"/>
      <c r="AF6497" s="77"/>
      <c r="AH6497" s="497">
        <v>62.6</v>
      </c>
      <c r="AJ6497" s="42"/>
      <c r="AK6497" s="74"/>
      <c r="AL6497" s="77"/>
      <c r="AN6497" s="497">
        <v>50</v>
      </c>
      <c r="AP6497" s="42"/>
      <c r="AQ6497" s="74"/>
      <c r="AR6497" s="77"/>
      <c r="AT6497" s="497">
        <v>51.980000000000004</v>
      </c>
      <c r="AV6497" s="42"/>
      <c r="AW6497" s="74"/>
      <c r="AX6497" s="77"/>
      <c r="BA6497" s="497">
        <v>51.8</v>
      </c>
      <c r="BB6497" s="42"/>
      <c r="BC6497" s="74"/>
      <c r="BD6497" s="77"/>
      <c r="BF6497">
        <v>53.06</v>
      </c>
      <c r="BH6497" s="42"/>
      <c r="BI6497" s="74"/>
      <c r="BJ6497" s="77"/>
      <c r="BL6497" s="497">
        <v>60.08</v>
      </c>
      <c r="BN6497" s="42"/>
      <c r="BO6497" s="74"/>
      <c r="BP6497" s="77"/>
      <c r="BR6497" s="497">
        <v>48.019999999999996</v>
      </c>
      <c r="BT6497" s="42"/>
    </row>
    <row r="6498" spans="1:72" x14ac:dyDescent="0.25">
      <c r="A6498" s="90">
        <v>34969</v>
      </c>
      <c r="B6498" s="20">
        <v>1</v>
      </c>
      <c r="D6498">
        <v>59</v>
      </c>
      <c r="E6498" t="str">
        <f t="shared" si="238"/>
        <v>WEEKDAY</v>
      </c>
      <c r="F6498" t="e">
        <f t="shared" si="237"/>
        <v>#N/A</v>
      </c>
      <c r="G6498" s="74">
        <v>29125</v>
      </c>
      <c r="H6498" s="77">
        <v>1</v>
      </c>
      <c r="J6498">
        <v>62.42</v>
      </c>
      <c r="M6498" s="74">
        <v>37891</v>
      </c>
      <c r="N6498" s="80">
        <v>1</v>
      </c>
      <c r="P6498">
        <v>69.800000000000011</v>
      </c>
      <c r="S6498" s="74">
        <v>34969</v>
      </c>
      <c r="T6498" s="80">
        <v>1</v>
      </c>
      <c r="V6498">
        <v>66.02</v>
      </c>
      <c r="X6498" s="42"/>
      <c r="AB6498">
        <v>62.8</v>
      </c>
      <c r="AC6498">
        <v>66.92</v>
      </c>
      <c r="AE6498" s="74"/>
      <c r="AF6498" s="80"/>
      <c r="AH6498" s="497">
        <v>62.6</v>
      </c>
      <c r="AJ6498" s="42"/>
      <c r="AK6498" s="74"/>
      <c r="AL6498" s="80"/>
      <c r="AN6498" s="497">
        <v>49.1</v>
      </c>
      <c r="AP6498" s="42"/>
      <c r="AQ6498" s="74"/>
      <c r="AR6498" s="80"/>
      <c r="AT6498" s="497">
        <v>51.980000000000004</v>
      </c>
      <c r="AV6498" s="42"/>
      <c r="AW6498" s="74"/>
      <c r="AX6498" s="80"/>
      <c r="BA6498" s="497">
        <v>48.019999999999996</v>
      </c>
      <c r="BB6498" s="42"/>
      <c r="BC6498" s="74"/>
      <c r="BD6498" s="80"/>
      <c r="BF6498">
        <v>55.040000000000006</v>
      </c>
      <c r="BH6498" s="42"/>
      <c r="BI6498" s="74"/>
      <c r="BJ6498" s="80"/>
      <c r="BL6498" s="497">
        <v>57.92</v>
      </c>
      <c r="BN6498" s="42"/>
      <c r="BO6498" s="74"/>
      <c r="BP6498" s="80"/>
      <c r="BR6498" s="497">
        <v>48.019999999999996</v>
      </c>
      <c r="BT6498" s="42"/>
    </row>
    <row r="6499" spans="1:72" x14ac:dyDescent="0.25">
      <c r="A6499" s="90">
        <v>34970</v>
      </c>
      <c r="B6499" s="20">
        <v>4.1666666666666664E-2</v>
      </c>
      <c r="D6499">
        <v>57.92</v>
      </c>
      <c r="E6499" t="str">
        <f t="shared" si="238"/>
        <v>WEEKDAY</v>
      </c>
      <c r="F6499" t="e">
        <f t="shared" si="237"/>
        <v>#N/A</v>
      </c>
      <c r="G6499" s="74">
        <v>29126</v>
      </c>
      <c r="H6499" s="77">
        <v>4.1666666666666664E-2</v>
      </c>
      <c r="J6499">
        <v>62.06</v>
      </c>
      <c r="M6499" s="74">
        <v>37892</v>
      </c>
      <c r="N6499" s="77">
        <v>4.1666666666666664E-2</v>
      </c>
      <c r="P6499">
        <v>69.800000000000011</v>
      </c>
      <c r="S6499" s="74">
        <v>34970</v>
      </c>
      <c r="T6499" s="77">
        <v>4.1666666666666664E-2</v>
      </c>
      <c r="V6499">
        <v>64.94</v>
      </c>
      <c r="X6499" s="42"/>
      <c r="AB6499">
        <v>62.2</v>
      </c>
      <c r="AC6499">
        <v>66.92</v>
      </c>
      <c r="AE6499" s="74"/>
      <c r="AF6499" s="77"/>
      <c r="AH6499" s="497">
        <v>64.400000000000006</v>
      </c>
      <c r="AJ6499" s="42"/>
      <c r="AK6499" s="74"/>
      <c r="AL6499" s="77"/>
      <c r="AN6499" s="497">
        <v>48.019999999999996</v>
      </c>
      <c r="AP6499" s="42"/>
      <c r="AQ6499" s="74"/>
      <c r="AR6499" s="77"/>
      <c r="AT6499" s="497">
        <v>50</v>
      </c>
      <c r="AV6499" s="42"/>
      <c r="AW6499" s="74"/>
      <c r="AX6499" s="77"/>
      <c r="BA6499" s="497">
        <v>46.94</v>
      </c>
      <c r="BB6499" s="42"/>
      <c r="BC6499" s="74"/>
      <c r="BD6499" s="77"/>
      <c r="BF6499">
        <v>55.94</v>
      </c>
      <c r="BH6499" s="42"/>
      <c r="BI6499" s="74"/>
      <c r="BJ6499" s="77"/>
      <c r="BL6499" s="497">
        <v>57.92</v>
      </c>
      <c r="BN6499" s="42"/>
      <c r="BO6499" s="74"/>
      <c r="BP6499" s="77"/>
      <c r="BR6499" s="497">
        <v>48.019999999999996</v>
      </c>
      <c r="BT6499" s="42"/>
    </row>
    <row r="6500" spans="1:72" x14ac:dyDescent="0.25">
      <c r="A6500" s="90">
        <v>34970</v>
      </c>
      <c r="B6500" s="20">
        <v>8.3333333333333329E-2</v>
      </c>
      <c r="D6500">
        <v>57.92</v>
      </c>
      <c r="E6500" t="str">
        <f t="shared" si="238"/>
        <v>WEEKDAY</v>
      </c>
      <c r="F6500" t="e">
        <f t="shared" si="237"/>
        <v>#N/A</v>
      </c>
      <c r="G6500" s="74">
        <v>29126</v>
      </c>
      <c r="H6500" s="77">
        <v>8.3333333333333329E-2</v>
      </c>
      <c r="J6500">
        <v>61.7</v>
      </c>
      <c r="M6500" s="74">
        <v>37892</v>
      </c>
      <c r="N6500" s="77">
        <v>8.3333333333333329E-2</v>
      </c>
      <c r="P6500">
        <v>69.800000000000011</v>
      </c>
      <c r="S6500" s="74">
        <v>34970</v>
      </c>
      <c r="T6500" s="77">
        <v>8.3333333333333329E-2</v>
      </c>
      <c r="V6500">
        <v>64.039999999999992</v>
      </c>
      <c r="X6500" s="42"/>
      <c r="AB6500">
        <v>61.6</v>
      </c>
      <c r="AC6500">
        <v>66.02</v>
      </c>
      <c r="AE6500" s="74"/>
      <c r="AF6500" s="77"/>
      <c r="AH6500" s="497">
        <v>64.400000000000006</v>
      </c>
      <c r="AJ6500" s="42"/>
      <c r="AK6500" s="74"/>
      <c r="AL6500" s="77"/>
      <c r="AN6500" s="497">
        <v>47.66</v>
      </c>
      <c r="AP6500" s="42"/>
      <c r="AQ6500" s="74"/>
      <c r="AR6500" s="77"/>
      <c r="AT6500" s="497">
        <v>50</v>
      </c>
      <c r="AV6500" s="42"/>
      <c r="AW6500" s="74"/>
      <c r="AX6500" s="77"/>
      <c r="BA6500" s="497">
        <v>44.6</v>
      </c>
      <c r="BB6500" s="42"/>
      <c r="BC6500" s="74"/>
      <c r="BD6500" s="77"/>
      <c r="BF6500">
        <v>55.040000000000006</v>
      </c>
      <c r="BH6500" s="42"/>
      <c r="BI6500" s="74"/>
      <c r="BJ6500" s="77"/>
      <c r="BL6500" s="497">
        <v>57.92</v>
      </c>
      <c r="BN6500" s="42"/>
      <c r="BO6500" s="74"/>
      <c r="BP6500" s="77"/>
      <c r="BR6500" s="497">
        <v>46.4</v>
      </c>
      <c r="BT6500" s="42"/>
    </row>
    <row r="6501" spans="1:72" x14ac:dyDescent="0.25">
      <c r="A6501" s="90">
        <v>34970</v>
      </c>
      <c r="B6501" s="20">
        <v>0.125</v>
      </c>
      <c r="D6501">
        <v>57.019999999999996</v>
      </c>
      <c r="E6501" t="str">
        <f t="shared" si="238"/>
        <v>WEEKDAY</v>
      </c>
      <c r="F6501" t="e">
        <f t="shared" si="237"/>
        <v>#N/A</v>
      </c>
      <c r="G6501" s="74">
        <v>29126</v>
      </c>
      <c r="H6501" s="77">
        <v>0.125</v>
      </c>
      <c r="J6501">
        <v>61.34</v>
      </c>
      <c r="M6501" s="74">
        <v>37892</v>
      </c>
      <c r="N6501" s="77">
        <v>0.125</v>
      </c>
      <c r="P6501">
        <v>69.800000000000011</v>
      </c>
      <c r="S6501" s="74">
        <v>34970</v>
      </c>
      <c r="T6501" s="77">
        <v>0.125</v>
      </c>
      <c r="V6501">
        <v>62.06</v>
      </c>
      <c r="X6501" s="42"/>
      <c r="AB6501">
        <v>61</v>
      </c>
      <c r="AC6501">
        <v>66.02</v>
      </c>
      <c r="AE6501" s="74"/>
      <c r="AF6501" s="77"/>
      <c r="AH6501" s="497">
        <v>64.400000000000006</v>
      </c>
      <c r="AJ6501" s="42"/>
      <c r="AK6501" s="74"/>
      <c r="AL6501" s="77"/>
      <c r="AN6501" s="497">
        <v>47.3</v>
      </c>
      <c r="AP6501" s="42"/>
      <c r="AQ6501" s="74"/>
      <c r="AR6501" s="77"/>
      <c r="AT6501" s="497">
        <v>48.92</v>
      </c>
      <c r="AV6501" s="42"/>
      <c r="AW6501" s="74"/>
      <c r="AX6501" s="77"/>
      <c r="BA6501" s="497">
        <v>44.96</v>
      </c>
      <c r="BB6501" s="42"/>
      <c r="BC6501" s="74"/>
      <c r="BD6501" s="77"/>
      <c r="BF6501">
        <v>53.96</v>
      </c>
      <c r="BH6501" s="42"/>
      <c r="BI6501" s="74"/>
      <c r="BJ6501" s="77"/>
      <c r="BL6501" s="497">
        <v>55.94</v>
      </c>
      <c r="BN6501" s="42"/>
      <c r="BO6501" s="74"/>
      <c r="BP6501" s="77"/>
      <c r="BR6501" s="497">
        <v>44.6</v>
      </c>
      <c r="BT6501" s="42"/>
    </row>
    <row r="6502" spans="1:72" x14ac:dyDescent="0.25">
      <c r="A6502" s="90">
        <v>34970</v>
      </c>
      <c r="B6502" s="20">
        <v>0.16666666666666666</v>
      </c>
      <c r="D6502">
        <v>55.040000000000006</v>
      </c>
      <c r="E6502" t="str">
        <f t="shared" si="238"/>
        <v>WEEKDAY</v>
      </c>
      <c r="F6502" t="e">
        <f t="shared" si="237"/>
        <v>#N/A</v>
      </c>
      <c r="G6502" s="74">
        <v>29126</v>
      </c>
      <c r="H6502" s="77">
        <v>0.16666666666666666</v>
      </c>
      <c r="J6502">
        <v>60.980000000000004</v>
      </c>
      <c r="M6502" s="74">
        <v>37892</v>
      </c>
      <c r="N6502" s="77">
        <v>0.16666666666666666</v>
      </c>
      <c r="P6502">
        <v>69.800000000000011</v>
      </c>
      <c r="S6502" s="74">
        <v>34970</v>
      </c>
      <c r="T6502" s="77">
        <v>0.16666666666666666</v>
      </c>
      <c r="V6502">
        <v>62.06</v>
      </c>
      <c r="X6502" s="42"/>
      <c r="AB6502">
        <v>60.6</v>
      </c>
      <c r="AC6502">
        <v>66.02</v>
      </c>
      <c r="AE6502" s="74"/>
      <c r="AF6502" s="77"/>
      <c r="AH6502" s="497">
        <v>64.400000000000006</v>
      </c>
      <c r="AJ6502" s="42"/>
      <c r="AK6502" s="74"/>
      <c r="AL6502" s="77"/>
      <c r="AN6502" s="497">
        <v>46.94</v>
      </c>
      <c r="AP6502" s="42"/>
      <c r="AQ6502" s="74"/>
      <c r="AR6502" s="77"/>
      <c r="AT6502" s="497">
        <v>48.92</v>
      </c>
      <c r="AV6502" s="42"/>
      <c r="AW6502" s="74"/>
      <c r="AX6502" s="77"/>
      <c r="BA6502" s="497">
        <v>44.06</v>
      </c>
      <c r="BB6502" s="42"/>
      <c r="BC6502" s="74"/>
      <c r="BD6502" s="77"/>
      <c r="BF6502">
        <v>53.06</v>
      </c>
      <c r="BH6502" s="42"/>
      <c r="BI6502" s="74"/>
      <c r="BJ6502" s="77"/>
      <c r="BL6502" s="497">
        <v>53.96</v>
      </c>
      <c r="BN6502" s="42"/>
      <c r="BO6502" s="74"/>
      <c r="BP6502" s="77"/>
      <c r="BR6502" s="497">
        <v>42.980000000000004</v>
      </c>
      <c r="BT6502" s="42"/>
    </row>
    <row r="6503" spans="1:72" x14ac:dyDescent="0.25">
      <c r="A6503" s="90">
        <v>34970</v>
      </c>
      <c r="B6503" s="20">
        <v>0.20833333333333334</v>
      </c>
      <c r="D6503">
        <v>53.96</v>
      </c>
      <c r="E6503" t="str">
        <f t="shared" si="238"/>
        <v>WEEKDAY</v>
      </c>
      <c r="F6503" t="e">
        <f t="shared" si="237"/>
        <v>#N/A</v>
      </c>
      <c r="G6503" s="74">
        <v>29126</v>
      </c>
      <c r="H6503" s="77">
        <v>0.20833333333333334</v>
      </c>
      <c r="J6503">
        <v>60.980000000000004</v>
      </c>
      <c r="M6503" s="74">
        <v>37892</v>
      </c>
      <c r="N6503" s="77">
        <v>0.20833333333333334</v>
      </c>
      <c r="P6503">
        <v>67.819999999999993</v>
      </c>
      <c r="S6503" s="74">
        <v>34970</v>
      </c>
      <c r="T6503" s="77">
        <v>0.20833333333333334</v>
      </c>
      <c r="V6503">
        <v>60.980000000000004</v>
      </c>
      <c r="X6503" s="42"/>
      <c r="AB6503">
        <v>60.1</v>
      </c>
      <c r="AC6503">
        <v>66.92</v>
      </c>
      <c r="AE6503" s="74"/>
      <c r="AF6503" s="77"/>
      <c r="AH6503" s="497">
        <v>64.400000000000006</v>
      </c>
      <c r="AJ6503" s="42"/>
      <c r="AK6503" s="74"/>
      <c r="AL6503" s="77"/>
      <c r="AN6503" s="497">
        <v>47.66</v>
      </c>
      <c r="AP6503" s="42"/>
      <c r="AQ6503" s="74"/>
      <c r="AR6503" s="77"/>
      <c r="AT6503" s="497">
        <v>46.94</v>
      </c>
      <c r="AV6503" s="42"/>
      <c r="AW6503" s="74"/>
      <c r="AX6503" s="77"/>
      <c r="BA6503" s="497">
        <v>42.08</v>
      </c>
      <c r="BB6503" s="42"/>
      <c r="BC6503" s="74"/>
      <c r="BD6503" s="77"/>
      <c r="BF6503">
        <v>53.06</v>
      </c>
      <c r="BH6503" s="42"/>
      <c r="BI6503" s="74"/>
      <c r="BJ6503" s="77"/>
      <c r="BL6503" s="497">
        <v>53.06</v>
      </c>
      <c r="BN6503" s="42"/>
      <c r="BO6503" s="74"/>
      <c r="BP6503" s="77"/>
      <c r="BR6503" s="497">
        <v>42.980000000000004</v>
      </c>
      <c r="BT6503" s="42"/>
    </row>
    <row r="6504" spans="1:72" x14ac:dyDescent="0.25">
      <c r="A6504" s="90">
        <v>34970</v>
      </c>
      <c r="B6504" s="20">
        <v>0.25</v>
      </c>
      <c r="D6504">
        <v>53.96</v>
      </c>
      <c r="E6504" t="str">
        <f t="shared" si="238"/>
        <v>WEEKDAY</v>
      </c>
      <c r="F6504" t="e">
        <f t="shared" si="237"/>
        <v>#N/A</v>
      </c>
      <c r="G6504" s="74">
        <v>29126</v>
      </c>
      <c r="H6504" s="77">
        <v>0.25</v>
      </c>
      <c r="J6504">
        <v>60.980000000000004</v>
      </c>
      <c r="M6504" s="74">
        <v>37892</v>
      </c>
      <c r="N6504" s="77">
        <v>0.25</v>
      </c>
      <c r="P6504">
        <v>66.2</v>
      </c>
      <c r="S6504" s="74">
        <v>34970</v>
      </c>
      <c r="T6504" s="77">
        <v>0.25</v>
      </c>
      <c r="V6504">
        <v>62.06</v>
      </c>
      <c r="X6504" s="42"/>
      <c r="AB6504">
        <v>59.9</v>
      </c>
      <c r="AC6504">
        <v>69.080000000000013</v>
      </c>
      <c r="AE6504" s="74"/>
      <c r="AF6504" s="77"/>
      <c r="AH6504" s="497">
        <v>64.400000000000006</v>
      </c>
      <c r="AJ6504" s="42"/>
      <c r="AK6504" s="74"/>
      <c r="AL6504" s="77"/>
      <c r="AN6504" s="497">
        <v>48.2</v>
      </c>
      <c r="AP6504" s="42"/>
      <c r="AQ6504" s="74"/>
      <c r="AR6504" s="77"/>
      <c r="AT6504" s="497">
        <v>51.08</v>
      </c>
      <c r="AV6504" s="42"/>
      <c r="AW6504" s="74"/>
      <c r="AX6504" s="77"/>
      <c r="BA6504" s="497">
        <v>39.019999999999996</v>
      </c>
      <c r="BB6504" s="42"/>
      <c r="BC6504" s="74"/>
      <c r="BD6504" s="77"/>
      <c r="BF6504">
        <v>53.96</v>
      </c>
      <c r="BH6504" s="42"/>
      <c r="BI6504" s="74"/>
      <c r="BJ6504" s="77"/>
      <c r="BL6504" s="497">
        <v>53.96</v>
      </c>
      <c r="BN6504" s="42"/>
      <c r="BO6504" s="74"/>
      <c r="BP6504" s="77"/>
      <c r="BR6504" s="497">
        <v>42.980000000000004</v>
      </c>
      <c r="BT6504" s="42"/>
    </row>
    <row r="6505" spans="1:72" x14ac:dyDescent="0.25">
      <c r="A6505" s="90">
        <v>34970</v>
      </c>
      <c r="B6505" s="20">
        <v>0.29166666666666669</v>
      </c>
      <c r="D6505">
        <v>53.96</v>
      </c>
      <c r="E6505" t="str">
        <f t="shared" si="238"/>
        <v>WEEKDAY</v>
      </c>
      <c r="F6505" t="e">
        <f t="shared" si="237"/>
        <v>#N/A</v>
      </c>
      <c r="G6505" s="74">
        <v>29126</v>
      </c>
      <c r="H6505" s="77">
        <v>0.29166666666666669</v>
      </c>
      <c r="J6505">
        <v>60.980000000000004</v>
      </c>
      <c r="M6505" s="74">
        <v>37892</v>
      </c>
      <c r="N6505" s="77">
        <v>0.29166666666666669</v>
      </c>
      <c r="P6505">
        <v>66.2</v>
      </c>
      <c r="S6505" s="74">
        <v>34970</v>
      </c>
      <c r="T6505" s="77">
        <v>0.29166666666666669</v>
      </c>
      <c r="V6505">
        <v>64.94</v>
      </c>
      <c r="X6505" s="42"/>
      <c r="AB6505">
        <v>59.7</v>
      </c>
      <c r="AC6505">
        <v>69.080000000000013</v>
      </c>
      <c r="AE6505" s="74"/>
      <c r="AF6505" s="77"/>
      <c r="AH6505" s="497">
        <v>64.400000000000006</v>
      </c>
      <c r="AJ6505" s="42"/>
      <c r="AK6505" s="74"/>
      <c r="AL6505" s="77"/>
      <c r="AN6505" s="497">
        <v>48.92</v>
      </c>
      <c r="AP6505" s="42"/>
      <c r="AQ6505" s="74"/>
      <c r="AR6505" s="77"/>
      <c r="AT6505" s="497">
        <v>51.980000000000004</v>
      </c>
      <c r="AV6505" s="42"/>
      <c r="AW6505" s="74"/>
      <c r="AX6505" s="77"/>
      <c r="BA6505" s="497">
        <v>37.94</v>
      </c>
      <c r="BB6505" s="42"/>
      <c r="BC6505" s="74"/>
      <c r="BD6505" s="77"/>
      <c r="BF6505">
        <v>53.96</v>
      </c>
      <c r="BH6505" s="42"/>
      <c r="BI6505" s="74"/>
      <c r="BJ6505" s="77"/>
      <c r="BL6505" s="497">
        <v>53.96</v>
      </c>
      <c r="BN6505" s="42"/>
      <c r="BO6505" s="74"/>
      <c r="BP6505" s="77"/>
      <c r="BR6505" s="497">
        <v>42.980000000000004</v>
      </c>
      <c r="BT6505" s="42"/>
    </row>
    <row r="6506" spans="1:72" x14ac:dyDescent="0.25">
      <c r="A6506" s="90">
        <v>34970</v>
      </c>
      <c r="B6506" s="20">
        <v>0.33333333333333331</v>
      </c>
      <c r="D6506">
        <v>55.040000000000006</v>
      </c>
      <c r="E6506" t="str">
        <f t="shared" si="238"/>
        <v>WEEKDAY</v>
      </c>
      <c r="F6506" t="e">
        <f t="shared" si="237"/>
        <v>#N/A</v>
      </c>
      <c r="G6506" s="74">
        <v>29126</v>
      </c>
      <c r="H6506" s="77">
        <v>0.33333333333333331</v>
      </c>
      <c r="J6506">
        <v>64.039999999999992</v>
      </c>
      <c r="M6506" s="74">
        <v>37892</v>
      </c>
      <c r="N6506" s="77">
        <v>0.33333333333333331</v>
      </c>
      <c r="P6506">
        <v>66.2</v>
      </c>
      <c r="S6506" s="74">
        <v>34970</v>
      </c>
      <c r="T6506" s="77">
        <v>0.33333333333333331</v>
      </c>
      <c r="V6506">
        <v>66.92</v>
      </c>
      <c r="X6506" s="42"/>
      <c r="AB6506">
        <v>61.2</v>
      </c>
      <c r="AC6506">
        <v>69.080000000000013</v>
      </c>
      <c r="AE6506" s="74"/>
      <c r="AF6506" s="77"/>
      <c r="AH6506" s="497">
        <v>66.2</v>
      </c>
      <c r="AJ6506" s="42"/>
      <c r="AK6506" s="74"/>
      <c r="AL6506" s="77"/>
      <c r="AN6506" s="497">
        <v>48.56</v>
      </c>
      <c r="AP6506" s="42"/>
      <c r="AQ6506" s="74"/>
      <c r="AR6506" s="77"/>
      <c r="AT6506" s="497">
        <v>53.06</v>
      </c>
      <c r="AV6506" s="42"/>
      <c r="AW6506" s="74"/>
      <c r="AX6506" s="77"/>
      <c r="BA6506" s="497">
        <v>39.92</v>
      </c>
      <c r="BB6506" s="42"/>
      <c r="BC6506" s="74"/>
      <c r="BD6506" s="77"/>
      <c r="BF6506">
        <v>53.96</v>
      </c>
      <c r="BH6506" s="42"/>
      <c r="BI6506" s="74"/>
      <c r="BJ6506" s="77"/>
      <c r="BL6506" s="497">
        <v>57.019999999999996</v>
      </c>
      <c r="BN6506" s="42"/>
      <c r="BO6506" s="74"/>
      <c r="BP6506" s="77"/>
      <c r="BR6506" s="497">
        <v>45.68</v>
      </c>
      <c r="BT6506" s="42"/>
    </row>
    <row r="6507" spans="1:72" x14ac:dyDescent="0.25">
      <c r="A6507" s="90">
        <v>34970</v>
      </c>
      <c r="B6507" s="20">
        <v>0.375</v>
      </c>
      <c r="D6507">
        <v>57.019999999999996</v>
      </c>
      <c r="E6507" t="str">
        <f t="shared" si="238"/>
        <v>WEEKDAY</v>
      </c>
      <c r="F6507" t="e">
        <f t="shared" ref="F6507:F6570" si="239">IF(E6507="WEEKDAY",VLOOKUP(B6507,$DD$19:$DG$42,2),IF(E6507="SATURDAY",VLOOKUP(B6507,$DD$19:$DG$42,3),VLOOKUP(B6507,$DD$19:$DG$42,4)))</f>
        <v>#N/A</v>
      </c>
      <c r="G6507" s="74">
        <v>29126</v>
      </c>
      <c r="H6507" s="77">
        <v>0.375</v>
      </c>
      <c r="J6507">
        <v>66.92</v>
      </c>
      <c r="M6507" s="74">
        <v>37892</v>
      </c>
      <c r="N6507" s="77">
        <v>0.375</v>
      </c>
      <c r="P6507">
        <v>66.2</v>
      </c>
      <c r="S6507" s="74">
        <v>34970</v>
      </c>
      <c r="T6507" s="77">
        <v>0.375</v>
      </c>
      <c r="V6507">
        <v>69.080000000000013</v>
      </c>
      <c r="X6507" s="42"/>
      <c r="AB6507">
        <v>63.4</v>
      </c>
      <c r="AC6507">
        <v>69.98</v>
      </c>
      <c r="AE6507" s="74"/>
      <c r="AF6507" s="77"/>
      <c r="AH6507" s="497">
        <v>68</v>
      </c>
      <c r="AJ6507" s="42"/>
      <c r="AK6507" s="74"/>
      <c r="AL6507" s="77"/>
      <c r="AN6507" s="497">
        <v>48.379999999999995</v>
      </c>
      <c r="AP6507" s="42"/>
      <c r="AQ6507" s="74"/>
      <c r="AR6507" s="77"/>
      <c r="AT6507" s="497">
        <v>55.040000000000006</v>
      </c>
      <c r="AV6507" s="42"/>
      <c r="AW6507" s="74"/>
      <c r="AX6507" s="77"/>
      <c r="BA6507" s="497">
        <v>42.980000000000004</v>
      </c>
      <c r="BB6507" s="42"/>
      <c r="BC6507" s="74"/>
      <c r="BD6507" s="77"/>
      <c r="BF6507">
        <v>53.96</v>
      </c>
      <c r="BH6507" s="42"/>
      <c r="BI6507" s="74"/>
      <c r="BJ6507" s="77"/>
      <c r="BL6507" s="497">
        <v>60.08</v>
      </c>
      <c r="BN6507" s="42"/>
      <c r="BO6507" s="74"/>
      <c r="BP6507" s="77"/>
      <c r="BR6507" s="497">
        <v>48.379999999999995</v>
      </c>
      <c r="BT6507" s="42"/>
    </row>
    <row r="6508" spans="1:72" x14ac:dyDescent="0.25">
      <c r="A6508" s="90">
        <v>34970</v>
      </c>
      <c r="B6508" s="20">
        <v>0.41666666666666669</v>
      </c>
      <c r="D6508">
        <v>60.08</v>
      </c>
      <c r="E6508" t="str">
        <f t="shared" si="238"/>
        <v>WEEKDAY</v>
      </c>
      <c r="F6508" t="e">
        <f t="shared" si="239"/>
        <v>#N/A</v>
      </c>
      <c r="G6508" s="74">
        <v>29126</v>
      </c>
      <c r="H6508" s="77">
        <v>0.41666666666666669</v>
      </c>
      <c r="J6508">
        <v>69.98</v>
      </c>
      <c r="M6508" s="74">
        <v>37892</v>
      </c>
      <c r="N6508" s="77">
        <v>0.41666666666666669</v>
      </c>
      <c r="P6508">
        <v>66.2</v>
      </c>
      <c r="S6508" s="74">
        <v>34970</v>
      </c>
      <c r="T6508" s="77">
        <v>0.41666666666666669</v>
      </c>
      <c r="V6508">
        <v>69.98</v>
      </c>
      <c r="X6508" s="42"/>
      <c r="AB6508">
        <v>65.400000000000006</v>
      </c>
      <c r="AC6508">
        <v>69.98</v>
      </c>
      <c r="AE6508" s="74"/>
      <c r="AF6508" s="77"/>
      <c r="AH6508" s="497">
        <v>71.599999999999994</v>
      </c>
      <c r="AJ6508" s="42"/>
      <c r="AK6508" s="74"/>
      <c r="AL6508" s="77"/>
      <c r="AN6508" s="497">
        <v>48.019999999999996</v>
      </c>
      <c r="AP6508" s="42"/>
      <c r="AQ6508" s="74"/>
      <c r="AR6508" s="77"/>
      <c r="AT6508" s="497">
        <v>57.019999999999996</v>
      </c>
      <c r="AV6508" s="42"/>
      <c r="AW6508" s="74"/>
      <c r="AX6508" s="77"/>
      <c r="BA6508" s="497">
        <v>44.96</v>
      </c>
      <c r="BB6508" s="42"/>
      <c r="BC6508" s="74"/>
      <c r="BD6508" s="77"/>
      <c r="BF6508">
        <v>55.040000000000006</v>
      </c>
      <c r="BH6508" s="42"/>
      <c r="BI6508" s="74"/>
      <c r="BJ6508" s="77"/>
      <c r="BL6508" s="497">
        <v>62.06</v>
      </c>
      <c r="BN6508" s="42"/>
      <c r="BO6508" s="74"/>
      <c r="BP6508" s="77"/>
      <c r="BR6508" s="497">
        <v>51.08</v>
      </c>
      <c r="BT6508" s="42"/>
    </row>
    <row r="6509" spans="1:72" x14ac:dyDescent="0.25">
      <c r="A6509" s="90">
        <v>34970</v>
      </c>
      <c r="B6509" s="20">
        <v>0.45833333333333331</v>
      </c>
      <c r="D6509">
        <v>60.980000000000004</v>
      </c>
      <c r="E6509" t="str">
        <f t="shared" si="238"/>
        <v>WEEKDAY</v>
      </c>
      <c r="F6509" t="e">
        <f t="shared" si="239"/>
        <v>#N/A</v>
      </c>
      <c r="G6509" s="74">
        <v>29126</v>
      </c>
      <c r="H6509" s="77">
        <v>0.45833333333333331</v>
      </c>
      <c r="J6509">
        <v>71.06</v>
      </c>
      <c r="M6509" s="74">
        <v>37892</v>
      </c>
      <c r="N6509" s="77">
        <v>0.45833333333333331</v>
      </c>
      <c r="P6509">
        <v>66.2</v>
      </c>
      <c r="S6509" s="74">
        <v>34970</v>
      </c>
      <c r="T6509" s="77">
        <v>0.45833333333333331</v>
      </c>
      <c r="V6509">
        <v>71.960000000000008</v>
      </c>
      <c r="X6509" s="42"/>
      <c r="AB6509">
        <v>67</v>
      </c>
      <c r="AC6509">
        <v>71.06</v>
      </c>
      <c r="AE6509" s="74"/>
      <c r="AF6509" s="77"/>
      <c r="AH6509" s="497">
        <v>71.599999999999994</v>
      </c>
      <c r="AJ6509" s="42"/>
      <c r="AK6509" s="74"/>
      <c r="AL6509" s="77"/>
      <c r="AN6509" s="497">
        <v>48.019999999999996</v>
      </c>
      <c r="AP6509" s="42"/>
      <c r="AQ6509" s="74"/>
      <c r="AR6509" s="77"/>
      <c r="AT6509" s="497">
        <v>64.94</v>
      </c>
      <c r="AV6509" s="42"/>
      <c r="AW6509" s="74"/>
      <c r="AX6509" s="77"/>
      <c r="BA6509" s="497">
        <v>46.94</v>
      </c>
      <c r="BB6509" s="42"/>
      <c r="BC6509" s="74"/>
      <c r="BD6509" s="77"/>
      <c r="BF6509">
        <v>55.94</v>
      </c>
      <c r="BH6509" s="42"/>
      <c r="BI6509" s="74"/>
      <c r="BJ6509" s="77"/>
      <c r="BL6509" s="497">
        <v>62.06</v>
      </c>
      <c r="BN6509" s="42"/>
      <c r="BO6509" s="74"/>
      <c r="BP6509" s="77"/>
      <c r="BR6509" s="497">
        <v>51.44</v>
      </c>
      <c r="BT6509" s="42"/>
    </row>
    <row r="6510" spans="1:72" x14ac:dyDescent="0.25">
      <c r="A6510" s="90">
        <v>34970</v>
      </c>
      <c r="B6510" s="20">
        <v>0.5</v>
      </c>
      <c r="D6510">
        <v>62.96</v>
      </c>
      <c r="E6510" t="str">
        <f t="shared" si="238"/>
        <v>WEEKDAY</v>
      </c>
      <c r="F6510" t="e">
        <f t="shared" si="239"/>
        <v>#N/A</v>
      </c>
      <c r="G6510" s="74">
        <v>29126</v>
      </c>
      <c r="H6510" s="77">
        <v>0.5</v>
      </c>
      <c r="J6510">
        <v>71.960000000000008</v>
      </c>
      <c r="M6510" s="74">
        <v>37892</v>
      </c>
      <c r="N6510" s="77">
        <v>0.5</v>
      </c>
      <c r="P6510">
        <v>68</v>
      </c>
      <c r="S6510" s="74">
        <v>34970</v>
      </c>
      <c r="T6510" s="77">
        <v>0.5</v>
      </c>
      <c r="V6510">
        <v>73.94</v>
      </c>
      <c r="X6510" s="42"/>
      <c r="AB6510">
        <v>68.400000000000006</v>
      </c>
      <c r="AC6510">
        <v>71.06</v>
      </c>
      <c r="AE6510" s="74"/>
      <c r="AF6510" s="77"/>
      <c r="AH6510" s="497">
        <v>73.400000000000006</v>
      </c>
      <c r="AJ6510" s="42"/>
      <c r="AK6510" s="74"/>
      <c r="AL6510" s="77"/>
      <c r="AN6510" s="497">
        <v>48.019999999999996</v>
      </c>
      <c r="AP6510" s="42"/>
      <c r="AQ6510" s="74"/>
      <c r="AR6510" s="77"/>
      <c r="AT6510" s="497">
        <v>69.080000000000013</v>
      </c>
      <c r="AV6510" s="42"/>
      <c r="AW6510" s="74"/>
      <c r="AX6510" s="77"/>
      <c r="BA6510" s="497">
        <v>48.019999999999996</v>
      </c>
      <c r="BB6510" s="42"/>
      <c r="BC6510" s="74"/>
      <c r="BD6510" s="77"/>
      <c r="BF6510">
        <v>57.92</v>
      </c>
      <c r="BH6510" s="42"/>
      <c r="BI6510" s="74"/>
      <c r="BJ6510" s="77"/>
      <c r="BL6510" s="497">
        <v>62.06</v>
      </c>
      <c r="BN6510" s="42"/>
      <c r="BO6510" s="74"/>
      <c r="BP6510" s="77"/>
      <c r="BR6510" s="497">
        <v>51.620000000000005</v>
      </c>
      <c r="BT6510" s="42"/>
    </row>
    <row r="6511" spans="1:72" x14ac:dyDescent="0.25">
      <c r="A6511" s="90">
        <v>34970</v>
      </c>
      <c r="B6511" s="20">
        <v>0.54166666666666663</v>
      </c>
      <c r="D6511">
        <v>62.06</v>
      </c>
      <c r="E6511" t="str">
        <f t="shared" si="238"/>
        <v>WEEKDAY</v>
      </c>
      <c r="F6511" t="e">
        <f t="shared" si="239"/>
        <v>#N/A</v>
      </c>
      <c r="G6511" s="74">
        <v>29126</v>
      </c>
      <c r="H6511" s="77">
        <v>0.54166666666666663</v>
      </c>
      <c r="J6511">
        <v>73.039999999999992</v>
      </c>
      <c r="M6511" s="74">
        <v>37892</v>
      </c>
      <c r="N6511" s="77">
        <v>0.54166666666666663</v>
      </c>
      <c r="P6511">
        <v>64.400000000000006</v>
      </c>
      <c r="S6511" s="74">
        <v>34970</v>
      </c>
      <c r="T6511" s="77">
        <v>0.54166666666666663</v>
      </c>
      <c r="V6511">
        <v>73.039999999999992</v>
      </c>
      <c r="X6511" s="42"/>
      <c r="AB6511">
        <v>69.5</v>
      </c>
      <c r="AC6511">
        <v>71.06</v>
      </c>
      <c r="AE6511" s="74"/>
      <c r="AF6511" s="77"/>
      <c r="AH6511" s="497">
        <v>75.2</v>
      </c>
      <c r="AJ6511" s="42"/>
      <c r="AK6511" s="74"/>
      <c r="AL6511" s="77"/>
      <c r="AN6511" s="497">
        <v>48.019999999999996</v>
      </c>
      <c r="AP6511" s="42"/>
      <c r="AQ6511" s="74"/>
      <c r="AR6511" s="77"/>
      <c r="AT6511" s="497">
        <v>73.039999999999992</v>
      </c>
      <c r="AV6511" s="42"/>
      <c r="AW6511" s="74"/>
      <c r="AX6511" s="77"/>
      <c r="BA6511" s="497">
        <v>48.92</v>
      </c>
      <c r="BB6511" s="42"/>
      <c r="BC6511" s="74"/>
      <c r="BD6511" s="77"/>
      <c r="BF6511">
        <v>59</v>
      </c>
      <c r="BH6511" s="42"/>
      <c r="BI6511" s="74"/>
      <c r="BJ6511" s="77"/>
      <c r="BL6511" s="497">
        <v>62.06</v>
      </c>
      <c r="BN6511" s="42"/>
      <c r="BO6511" s="74"/>
      <c r="BP6511" s="77"/>
      <c r="BR6511" s="497">
        <v>51.980000000000004</v>
      </c>
      <c r="BT6511" s="42"/>
    </row>
    <row r="6512" spans="1:72" x14ac:dyDescent="0.25">
      <c r="A6512" s="90">
        <v>34970</v>
      </c>
      <c r="B6512" s="20">
        <v>0.58333333333333337</v>
      </c>
      <c r="D6512">
        <v>62.06</v>
      </c>
      <c r="E6512" t="str">
        <f t="shared" si="238"/>
        <v>WEEKDAY</v>
      </c>
      <c r="F6512" t="e">
        <f t="shared" si="239"/>
        <v>#N/A</v>
      </c>
      <c r="G6512" s="74">
        <v>29126</v>
      </c>
      <c r="H6512" s="77">
        <v>0.58333333333333337</v>
      </c>
      <c r="J6512">
        <v>73.039999999999992</v>
      </c>
      <c r="M6512" s="74">
        <v>37892</v>
      </c>
      <c r="N6512" s="77">
        <v>0.58333333333333337</v>
      </c>
      <c r="P6512">
        <v>64.400000000000006</v>
      </c>
      <c r="S6512" s="74">
        <v>34970</v>
      </c>
      <c r="T6512" s="77">
        <v>0.58333333333333337</v>
      </c>
      <c r="V6512">
        <v>75.02</v>
      </c>
      <c r="X6512" s="42"/>
      <c r="AB6512">
        <v>69.8</v>
      </c>
      <c r="AC6512">
        <v>71.06</v>
      </c>
      <c r="AE6512" s="74"/>
      <c r="AF6512" s="77"/>
      <c r="AH6512" s="497">
        <v>75.2</v>
      </c>
      <c r="AJ6512" s="42"/>
      <c r="AK6512" s="74"/>
      <c r="AL6512" s="77"/>
      <c r="AN6512" s="497">
        <v>48.74</v>
      </c>
      <c r="AP6512" s="42"/>
      <c r="AQ6512" s="74"/>
      <c r="AR6512" s="77"/>
      <c r="AT6512" s="497">
        <v>75.92</v>
      </c>
      <c r="AV6512" s="42"/>
      <c r="AW6512" s="74"/>
      <c r="AX6512" s="77"/>
      <c r="BA6512" s="497">
        <v>48.92</v>
      </c>
      <c r="BB6512" s="42"/>
      <c r="BC6512" s="74"/>
      <c r="BD6512" s="77"/>
      <c r="BF6512">
        <v>60.08</v>
      </c>
      <c r="BH6512" s="42"/>
      <c r="BI6512" s="74"/>
      <c r="BJ6512" s="77"/>
      <c r="BL6512" s="497">
        <v>62.96</v>
      </c>
      <c r="BN6512" s="42"/>
      <c r="BO6512" s="74"/>
      <c r="BP6512" s="77"/>
      <c r="BR6512" s="497">
        <v>51.620000000000005</v>
      </c>
      <c r="BT6512" s="42"/>
    </row>
    <row r="6513" spans="1:72" x14ac:dyDescent="0.25">
      <c r="A6513" s="90">
        <v>34970</v>
      </c>
      <c r="B6513" s="20">
        <v>0.625</v>
      </c>
      <c r="D6513">
        <v>62.96</v>
      </c>
      <c r="E6513" t="str">
        <f t="shared" si="238"/>
        <v>WEEKDAY</v>
      </c>
      <c r="F6513" t="e">
        <f t="shared" si="239"/>
        <v>#N/A</v>
      </c>
      <c r="G6513" s="74">
        <v>29126</v>
      </c>
      <c r="H6513" s="77">
        <v>0.625</v>
      </c>
      <c r="J6513">
        <v>73.039999999999992</v>
      </c>
      <c r="M6513" s="74">
        <v>37892</v>
      </c>
      <c r="N6513" s="77">
        <v>0.625</v>
      </c>
      <c r="P6513">
        <v>62.6</v>
      </c>
      <c r="S6513" s="74">
        <v>34970</v>
      </c>
      <c r="T6513" s="77">
        <v>0.625</v>
      </c>
      <c r="V6513">
        <v>73.94</v>
      </c>
      <c r="X6513" s="42"/>
      <c r="AB6513">
        <v>70</v>
      </c>
      <c r="AC6513">
        <v>71.06</v>
      </c>
      <c r="AE6513" s="74"/>
      <c r="AF6513" s="77"/>
      <c r="AH6513" s="497">
        <v>73.400000000000006</v>
      </c>
      <c r="AJ6513" s="42"/>
      <c r="AK6513" s="74"/>
      <c r="AL6513" s="77"/>
      <c r="AN6513" s="497">
        <v>49.28</v>
      </c>
      <c r="AP6513" s="42"/>
      <c r="AQ6513" s="74"/>
      <c r="AR6513" s="77"/>
      <c r="AT6513" s="497">
        <v>75.92</v>
      </c>
      <c r="AV6513" s="42"/>
      <c r="AW6513" s="74"/>
      <c r="AX6513" s="77"/>
      <c r="BA6513" s="497">
        <v>48.92</v>
      </c>
      <c r="BB6513" s="42"/>
      <c r="BC6513" s="74"/>
      <c r="BD6513" s="77"/>
      <c r="BF6513">
        <v>53.06</v>
      </c>
      <c r="BH6513" s="42"/>
      <c r="BI6513" s="74"/>
      <c r="BJ6513" s="77"/>
      <c r="BL6513" s="497">
        <v>62.96</v>
      </c>
      <c r="BN6513" s="42"/>
      <c r="BO6513" s="74"/>
      <c r="BP6513" s="77"/>
      <c r="BR6513" s="497">
        <v>51.44</v>
      </c>
      <c r="BT6513" s="42"/>
    </row>
    <row r="6514" spans="1:72" x14ac:dyDescent="0.25">
      <c r="A6514" s="90">
        <v>34970</v>
      </c>
      <c r="B6514" s="20">
        <v>0.66666666666666663</v>
      </c>
      <c r="D6514">
        <v>62.96</v>
      </c>
      <c r="E6514" t="str">
        <f t="shared" si="238"/>
        <v>WEEKDAY</v>
      </c>
      <c r="F6514" t="e">
        <f t="shared" si="239"/>
        <v>#N/A</v>
      </c>
      <c r="G6514" s="74">
        <v>29126</v>
      </c>
      <c r="H6514" s="77">
        <v>0.66666666666666663</v>
      </c>
      <c r="J6514">
        <v>73.039999999999992</v>
      </c>
      <c r="M6514" s="74">
        <v>37892</v>
      </c>
      <c r="N6514" s="77">
        <v>0.66666666666666663</v>
      </c>
      <c r="P6514">
        <v>60.8</v>
      </c>
      <c r="S6514" s="74">
        <v>34970</v>
      </c>
      <c r="T6514" s="77">
        <v>0.66666666666666663</v>
      </c>
      <c r="V6514">
        <v>73.039999999999992</v>
      </c>
      <c r="X6514" s="42"/>
      <c r="AB6514">
        <v>69.8</v>
      </c>
      <c r="AC6514">
        <v>66.92</v>
      </c>
      <c r="AE6514" s="74"/>
      <c r="AF6514" s="77"/>
      <c r="AH6514" s="497">
        <v>73.400000000000006</v>
      </c>
      <c r="AJ6514" s="42"/>
      <c r="AK6514" s="74"/>
      <c r="AL6514" s="77"/>
      <c r="AN6514" s="497">
        <v>50</v>
      </c>
      <c r="AP6514" s="42"/>
      <c r="AQ6514" s="74"/>
      <c r="AR6514" s="77"/>
      <c r="AT6514" s="497">
        <v>75.02</v>
      </c>
      <c r="AV6514" s="42"/>
      <c r="AW6514" s="74"/>
      <c r="AX6514" s="77"/>
      <c r="BA6514" s="497">
        <v>48.019999999999996</v>
      </c>
      <c r="BB6514" s="42"/>
      <c r="BC6514" s="74"/>
      <c r="BD6514" s="77"/>
      <c r="BF6514">
        <v>51.08</v>
      </c>
      <c r="BH6514" s="42"/>
      <c r="BI6514" s="74"/>
      <c r="BJ6514" s="77"/>
      <c r="BL6514" s="497">
        <v>62.96</v>
      </c>
      <c r="BN6514" s="42"/>
      <c r="BO6514" s="74"/>
      <c r="BP6514" s="77"/>
      <c r="BR6514" s="497">
        <v>51.08</v>
      </c>
      <c r="BT6514" s="42"/>
    </row>
    <row r="6515" spans="1:72" x14ac:dyDescent="0.25">
      <c r="A6515" s="90">
        <v>34970</v>
      </c>
      <c r="B6515" s="20">
        <v>0.70833333333333337</v>
      </c>
      <c r="D6515">
        <v>62.06</v>
      </c>
      <c r="E6515" t="str">
        <f t="shared" si="238"/>
        <v>WEEKDAY</v>
      </c>
      <c r="F6515" t="e">
        <f t="shared" si="239"/>
        <v>#N/A</v>
      </c>
      <c r="G6515" s="74">
        <v>29126</v>
      </c>
      <c r="H6515" s="77">
        <v>0.70833333333333337</v>
      </c>
      <c r="J6515">
        <v>72.319999999999993</v>
      </c>
      <c r="M6515" s="74">
        <v>37892</v>
      </c>
      <c r="N6515" s="77">
        <v>0.70833333333333337</v>
      </c>
      <c r="P6515">
        <v>57.2</v>
      </c>
      <c r="S6515" s="74">
        <v>34970</v>
      </c>
      <c r="T6515" s="77">
        <v>0.70833333333333337</v>
      </c>
      <c r="V6515">
        <v>71.06</v>
      </c>
      <c r="X6515" s="42"/>
      <c r="AB6515">
        <v>68.8</v>
      </c>
      <c r="AC6515">
        <v>64.94</v>
      </c>
      <c r="AE6515" s="74"/>
      <c r="AF6515" s="77"/>
      <c r="AH6515" s="497">
        <v>71.599999999999994</v>
      </c>
      <c r="AJ6515" s="42"/>
      <c r="AK6515" s="74"/>
      <c r="AL6515" s="77"/>
      <c r="AN6515" s="497">
        <v>47.3</v>
      </c>
      <c r="AP6515" s="42"/>
      <c r="AQ6515" s="74"/>
      <c r="AR6515" s="77"/>
      <c r="AT6515" s="497">
        <v>73.039999999999992</v>
      </c>
      <c r="AV6515" s="42"/>
      <c r="AW6515" s="74"/>
      <c r="AX6515" s="77"/>
      <c r="BA6515" s="497">
        <v>46.04</v>
      </c>
      <c r="BB6515" s="42"/>
      <c r="BC6515" s="74"/>
      <c r="BD6515" s="77"/>
      <c r="BF6515">
        <v>51.08</v>
      </c>
      <c r="BH6515" s="42"/>
      <c r="BI6515" s="74"/>
      <c r="BJ6515" s="77"/>
      <c r="BL6515" s="497">
        <v>62.06</v>
      </c>
      <c r="BN6515" s="42"/>
      <c r="BO6515" s="74"/>
      <c r="BP6515" s="77"/>
      <c r="BR6515" s="497">
        <v>48.019999999999996</v>
      </c>
      <c r="BT6515" s="42"/>
    </row>
    <row r="6516" spans="1:72" x14ac:dyDescent="0.25">
      <c r="A6516" s="90">
        <v>34970</v>
      </c>
      <c r="B6516" s="20">
        <v>0.75</v>
      </c>
      <c r="D6516">
        <v>60.980000000000004</v>
      </c>
      <c r="E6516" t="str">
        <f t="shared" si="238"/>
        <v>WEEKDAY</v>
      </c>
      <c r="F6516" t="e">
        <f t="shared" si="239"/>
        <v>#N/A</v>
      </c>
      <c r="G6516" s="74">
        <v>29126</v>
      </c>
      <c r="H6516" s="77">
        <v>0.75</v>
      </c>
      <c r="J6516">
        <v>71.78</v>
      </c>
      <c r="M6516" s="74">
        <v>37892</v>
      </c>
      <c r="N6516" s="77">
        <v>0.75</v>
      </c>
      <c r="P6516">
        <v>57.2</v>
      </c>
      <c r="S6516" s="74">
        <v>34970</v>
      </c>
      <c r="T6516" s="77">
        <v>0.75</v>
      </c>
      <c r="V6516">
        <v>68</v>
      </c>
      <c r="X6516" s="42"/>
      <c r="AB6516">
        <v>67.599999999999994</v>
      </c>
      <c r="AC6516">
        <v>64.94</v>
      </c>
      <c r="AE6516" s="74"/>
      <c r="AF6516" s="77"/>
      <c r="AH6516" s="497">
        <v>71.599999999999994</v>
      </c>
      <c r="AJ6516" s="42"/>
      <c r="AK6516" s="74"/>
      <c r="AL6516" s="77"/>
      <c r="AN6516" s="497">
        <v>44.78</v>
      </c>
      <c r="AP6516" s="42"/>
      <c r="AQ6516" s="74"/>
      <c r="AR6516" s="77"/>
      <c r="AT6516" s="497">
        <v>68</v>
      </c>
      <c r="AV6516" s="42"/>
      <c r="AW6516" s="74"/>
      <c r="AX6516" s="77"/>
      <c r="BA6516" s="497">
        <v>42.980000000000004</v>
      </c>
      <c r="BB6516" s="42"/>
      <c r="BC6516" s="74"/>
      <c r="BD6516" s="77"/>
      <c r="BF6516">
        <v>51.980000000000004</v>
      </c>
      <c r="BH6516" s="42"/>
      <c r="BI6516" s="74"/>
      <c r="BJ6516" s="77"/>
      <c r="BL6516" s="497">
        <v>57.92</v>
      </c>
      <c r="BN6516" s="42"/>
      <c r="BO6516" s="74"/>
      <c r="BP6516" s="77"/>
      <c r="BR6516" s="497">
        <v>45.14</v>
      </c>
      <c r="BT6516" s="42"/>
    </row>
    <row r="6517" spans="1:72" x14ac:dyDescent="0.25">
      <c r="A6517" s="90">
        <v>34970</v>
      </c>
      <c r="B6517" s="20">
        <v>0.79166666666666663</v>
      </c>
      <c r="D6517">
        <v>60.08</v>
      </c>
      <c r="E6517" t="str">
        <f t="shared" si="238"/>
        <v>WEEKDAY</v>
      </c>
      <c r="F6517" t="e">
        <f t="shared" si="239"/>
        <v>#N/A</v>
      </c>
      <c r="G6517" s="74">
        <v>29126</v>
      </c>
      <c r="H6517" s="77">
        <v>0.79166666666666663</v>
      </c>
      <c r="J6517">
        <v>71.06</v>
      </c>
      <c r="M6517" s="74">
        <v>37892</v>
      </c>
      <c r="N6517" s="77">
        <v>0.79166666666666663</v>
      </c>
      <c r="P6517">
        <v>57.2</v>
      </c>
      <c r="S6517" s="74">
        <v>34970</v>
      </c>
      <c r="T6517" s="77">
        <v>0.79166666666666663</v>
      </c>
      <c r="V6517">
        <v>66.92</v>
      </c>
      <c r="X6517" s="42"/>
      <c r="AB6517">
        <v>65.900000000000006</v>
      </c>
      <c r="AC6517">
        <v>64.94</v>
      </c>
      <c r="AE6517" s="74"/>
      <c r="AF6517" s="77"/>
      <c r="AH6517" s="497">
        <v>71.599999999999994</v>
      </c>
      <c r="AJ6517" s="42"/>
      <c r="AK6517" s="74"/>
      <c r="AL6517" s="77"/>
      <c r="AN6517" s="497">
        <v>42.08</v>
      </c>
      <c r="AP6517" s="42"/>
      <c r="AQ6517" s="74"/>
      <c r="AR6517" s="77"/>
      <c r="AT6517" s="497">
        <v>62.96</v>
      </c>
      <c r="AV6517" s="42"/>
      <c r="AW6517" s="74"/>
      <c r="AX6517" s="77"/>
      <c r="BA6517" s="497">
        <v>39.92</v>
      </c>
      <c r="BB6517" s="42"/>
      <c r="BC6517" s="74"/>
      <c r="BD6517" s="77"/>
      <c r="BF6517">
        <v>51.980000000000004</v>
      </c>
      <c r="BH6517" s="42"/>
      <c r="BI6517" s="74"/>
      <c r="BJ6517" s="77"/>
      <c r="BL6517" s="497">
        <v>57.019999999999996</v>
      </c>
      <c r="BN6517" s="42"/>
      <c r="BO6517" s="74"/>
      <c r="BP6517" s="77"/>
      <c r="BR6517" s="497">
        <v>42.08</v>
      </c>
      <c r="BT6517" s="42"/>
    </row>
    <row r="6518" spans="1:72" x14ac:dyDescent="0.25">
      <c r="A6518" s="90">
        <v>34970</v>
      </c>
      <c r="B6518" s="20">
        <v>0.83333333333333337</v>
      </c>
      <c r="D6518">
        <v>59</v>
      </c>
      <c r="E6518" t="str">
        <f t="shared" si="238"/>
        <v>WEEKDAY</v>
      </c>
      <c r="F6518" t="e">
        <f t="shared" si="239"/>
        <v>#N/A</v>
      </c>
      <c r="G6518" s="74">
        <v>29126</v>
      </c>
      <c r="H6518" s="77">
        <v>0.83333333333333337</v>
      </c>
      <c r="J6518">
        <v>71.06</v>
      </c>
      <c r="M6518" s="74">
        <v>37892</v>
      </c>
      <c r="N6518" s="77">
        <v>0.83333333333333337</v>
      </c>
      <c r="P6518">
        <v>57.2</v>
      </c>
      <c r="S6518" s="74">
        <v>34970</v>
      </c>
      <c r="T6518" s="77">
        <v>0.83333333333333337</v>
      </c>
      <c r="V6518">
        <v>62.96</v>
      </c>
      <c r="X6518" s="42"/>
      <c r="AB6518">
        <v>65</v>
      </c>
      <c r="AC6518">
        <v>64.039999999999992</v>
      </c>
      <c r="AE6518" s="74"/>
      <c r="AF6518" s="77"/>
      <c r="AH6518" s="497">
        <v>69.800000000000011</v>
      </c>
      <c r="AJ6518" s="42"/>
      <c r="AK6518" s="74"/>
      <c r="AL6518" s="77"/>
      <c r="AN6518" s="497">
        <v>42.08</v>
      </c>
      <c r="AP6518" s="42"/>
      <c r="AQ6518" s="74"/>
      <c r="AR6518" s="77"/>
      <c r="AT6518" s="497">
        <v>60.08</v>
      </c>
      <c r="AV6518" s="42"/>
      <c r="AW6518" s="74"/>
      <c r="AX6518" s="77"/>
      <c r="BA6518" s="497">
        <v>37.94</v>
      </c>
      <c r="BB6518" s="42"/>
      <c r="BC6518" s="74"/>
      <c r="BD6518" s="77"/>
      <c r="BF6518">
        <v>53.06</v>
      </c>
      <c r="BH6518" s="42"/>
      <c r="BI6518" s="74"/>
      <c r="BJ6518" s="77"/>
      <c r="BL6518" s="497">
        <v>50</v>
      </c>
      <c r="BN6518" s="42"/>
      <c r="BO6518" s="74"/>
      <c r="BP6518" s="77"/>
      <c r="BR6518" s="497">
        <v>40.1</v>
      </c>
      <c r="BT6518" s="42"/>
    </row>
    <row r="6519" spans="1:72" x14ac:dyDescent="0.25">
      <c r="A6519" s="90">
        <v>34970</v>
      </c>
      <c r="B6519" s="20">
        <v>0.875</v>
      </c>
      <c r="D6519">
        <v>57.92</v>
      </c>
      <c r="E6519" t="str">
        <f t="shared" si="238"/>
        <v>WEEKDAY</v>
      </c>
      <c r="F6519" t="e">
        <f t="shared" si="239"/>
        <v>#N/A</v>
      </c>
      <c r="G6519" s="74">
        <v>29126</v>
      </c>
      <c r="H6519" s="77">
        <v>0.875</v>
      </c>
      <c r="J6519">
        <v>71.06</v>
      </c>
      <c r="M6519" s="74">
        <v>37892</v>
      </c>
      <c r="N6519" s="77">
        <v>0.875</v>
      </c>
      <c r="P6519">
        <v>55.400000000000006</v>
      </c>
      <c r="S6519" s="74">
        <v>34970</v>
      </c>
      <c r="T6519" s="77">
        <v>0.875</v>
      </c>
      <c r="V6519">
        <v>62.06</v>
      </c>
      <c r="X6519" s="42"/>
      <c r="AB6519">
        <v>64.400000000000006</v>
      </c>
      <c r="AC6519">
        <v>62.96</v>
      </c>
      <c r="AE6519" s="74"/>
      <c r="AF6519" s="77"/>
      <c r="AH6519" s="497">
        <v>69.800000000000011</v>
      </c>
      <c r="AJ6519" s="42"/>
      <c r="AK6519" s="74"/>
      <c r="AL6519" s="77"/>
      <c r="AN6519" s="497">
        <v>42.08</v>
      </c>
      <c r="AP6519" s="42"/>
      <c r="AQ6519" s="74"/>
      <c r="AR6519" s="77"/>
      <c r="AT6519" s="497">
        <v>59</v>
      </c>
      <c r="AV6519" s="42"/>
      <c r="AW6519" s="74"/>
      <c r="AX6519" s="77"/>
      <c r="BA6519" s="497">
        <v>39.019999999999996</v>
      </c>
      <c r="BB6519" s="42"/>
      <c r="BC6519" s="74"/>
      <c r="BD6519" s="77"/>
      <c r="BF6519">
        <v>51.980000000000004</v>
      </c>
      <c r="BH6519" s="42"/>
      <c r="BI6519" s="74"/>
      <c r="BJ6519" s="77"/>
      <c r="BL6519" s="497">
        <v>48.019999999999996</v>
      </c>
      <c r="BN6519" s="42"/>
      <c r="BO6519" s="74"/>
      <c r="BP6519" s="77"/>
      <c r="BR6519" s="497">
        <v>37.94</v>
      </c>
      <c r="BT6519" s="42"/>
    </row>
    <row r="6520" spans="1:72" x14ac:dyDescent="0.25">
      <c r="A6520" s="90">
        <v>34970</v>
      </c>
      <c r="B6520" s="20">
        <v>0.91666666666666663</v>
      </c>
      <c r="D6520">
        <v>57.019999999999996</v>
      </c>
      <c r="E6520" t="str">
        <f t="shared" si="238"/>
        <v>WEEKDAY</v>
      </c>
      <c r="F6520" t="e">
        <f t="shared" si="239"/>
        <v>#N/A</v>
      </c>
      <c r="G6520" s="74">
        <v>29126</v>
      </c>
      <c r="H6520" s="77">
        <v>0.91666666666666663</v>
      </c>
      <c r="J6520">
        <v>71.06</v>
      </c>
      <c r="M6520" s="74">
        <v>37892</v>
      </c>
      <c r="N6520" s="77">
        <v>0.91666666666666663</v>
      </c>
      <c r="P6520">
        <v>55.400000000000006</v>
      </c>
      <c r="S6520" s="74">
        <v>34970</v>
      </c>
      <c r="T6520" s="77">
        <v>0.91666666666666663</v>
      </c>
      <c r="V6520">
        <v>59</v>
      </c>
      <c r="X6520" s="42"/>
      <c r="AB6520">
        <v>63.7</v>
      </c>
      <c r="AC6520">
        <v>62.96</v>
      </c>
      <c r="AE6520" s="74"/>
      <c r="AF6520" s="77"/>
      <c r="AH6520" s="497">
        <v>60.8</v>
      </c>
      <c r="AJ6520" s="42"/>
      <c r="AK6520" s="74"/>
      <c r="AL6520" s="77"/>
      <c r="AN6520" s="497">
        <v>42.08</v>
      </c>
      <c r="AP6520" s="42"/>
      <c r="AQ6520" s="74"/>
      <c r="AR6520" s="77"/>
      <c r="AT6520" s="497">
        <v>57.019999999999996</v>
      </c>
      <c r="AV6520" s="42"/>
      <c r="AW6520" s="74"/>
      <c r="AX6520" s="77"/>
      <c r="BA6520" s="497">
        <v>37.04</v>
      </c>
      <c r="BB6520" s="42"/>
      <c r="BC6520" s="74"/>
      <c r="BD6520" s="77"/>
      <c r="BF6520">
        <v>51.980000000000004</v>
      </c>
      <c r="BH6520" s="42"/>
      <c r="BI6520" s="74"/>
      <c r="BJ6520" s="77"/>
      <c r="BL6520" s="497">
        <v>48.019999999999996</v>
      </c>
      <c r="BN6520" s="42"/>
      <c r="BO6520" s="74"/>
      <c r="BP6520" s="77"/>
      <c r="BR6520" s="497">
        <v>35.96</v>
      </c>
      <c r="BT6520" s="42"/>
    </row>
    <row r="6521" spans="1:72" x14ac:dyDescent="0.25">
      <c r="A6521" s="90">
        <v>34970</v>
      </c>
      <c r="B6521" s="20">
        <v>0.95833333333333337</v>
      </c>
      <c r="D6521">
        <v>55.94</v>
      </c>
      <c r="E6521" t="str">
        <f t="shared" si="238"/>
        <v>WEEKDAY</v>
      </c>
      <c r="F6521" t="e">
        <f t="shared" si="239"/>
        <v>#N/A</v>
      </c>
      <c r="G6521" s="74">
        <v>29126</v>
      </c>
      <c r="H6521" s="77">
        <v>0.95833333333333337</v>
      </c>
      <c r="J6521">
        <v>71.06</v>
      </c>
      <c r="M6521" s="74">
        <v>37892</v>
      </c>
      <c r="N6521" s="77">
        <v>0.95833333333333337</v>
      </c>
      <c r="P6521">
        <v>53.6</v>
      </c>
      <c r="S6521" s="74">
        <v>34970</v>
      </c>
      <c r="T6521" s="77">
        <v>0.95833333333333337</v>
      </c>
      <c r="V6521">
        <v>57.92</v>
      </c>
      <c r="X6521" s="42"/>
      <c r="AB6521">
        <v>63</v>
      </c>
      <c r="AC6521">
        <v>62.96</v>
      </c>
      <c r="AE6521" s="74"/>
      <c r="AF6521" s="77"/>
      <c r="AH6521" s="497">
        <v>59</v>
      </c>
      <c r="AJ6521" s="42"/>
      <c r="AK6521" s="74"/>
      <c r="AL6521" s="77"/>
      <c r="AN6521" s="497">
        <v>40.46</v>
      </c>
      <c r="AP6521" s="42"/>
      <c r="AQ6521" s="74"/>
      <c r="AR6521" s="77"/>
      <c r="AT6521" s="497">
        <v>55.040000000000006</v>
      </c>
      <c r="AV6521" s="42"/>
      <c r="AW6521" s="74"/>
      <c r="AX6521" s="77"/>
      <c r="BA6521" s="497">
        <v>35.06</v>
      </c>
      <c r="BB6521" s="42"/>
      <c r="BC6521" s="74"/>
      <c r="BD6521" s="77"/>
      <c r="BF6521">
        <v>51.980000000000004</v>
      </c>
      <c r="BH6521" s="42"/>
      <c r="BI6521" s="74"/>
      <c r="BJ6521" s="77"/>
      <c r="BL6521" s="497">
        <v>46.04</v>
      </c>
      <c r="BN6521" s="42"/>
      <c r="BO6521" s="74"/>
      <c r="BP6521" s="77"/>
      <c r="BR6521" s="497">
        <v>33.619999999999997</v>
      </c>
      <c r="BT6521" s="42"/>
    </row>
    <row r="6522" spans="1:72" x14ac:dyDescent="0.25">
      <c r="A6522" s="90">
        <v>34970</v>
      </c>
      <c r="B6522" s="20">
        <v>1</v>
      </c>
      <c r="D6522">
        <v>55.94</v>
      </c>
      <c r="E6522" t="str">
        <f t="shared" si="238"/>
        <v>WEEKDAY</v>
      </c>
      <c r="F6522" t="e">
        <f t="shared" si="239"/>
        <v>#N/A</v>
      </c>
      <c r="G6522" s="74">
        <v>29126</v>
      </c>
      <c r="H6522" s="77">
        <v>1</v>
      </c>
      <c r="J6522">
        <v>71.06</v>
      </c>
      <c r="M6522" s="74">
        <v>37892</v>
      </c>
      <c r="N6522" s="80">
        <v>1</v>
      </c>
      <c r="P6522">
        <v>53.6</v>
      </c>
      <c r="S6522" s="74">
        <v>34970</v>
      </c>
      <c r="T6522" s="80">
        <v>1</v>
      </c>
      <c r="V6522">
        <v>57.019999999999996</v>
      </c>
      <c r="X6522" s="42"/>
      <c r="AB6522">
        <v>62.3</v>
      </c>
      <c r="AC6522">
        <v>64.039999999999992</v>
      </c>
      <c r="AE6522" s="74"/>
      <c r="AF6522" s="80"/>
      <c r="AH6522" s="497">
        <v>57.2</v>
      </c>
      <c r="AJ6522" s="42"/>
      <c r="AK6522" s="74"/>
      <c r="AL6522" s="80"/>
      <c r="AN6522" s="497">
        <v>38.659999999999997</v>
      </c>
      <c r="AP6522" s="42"/>
      <c r="AQ6522" s="74"/>
      <c r="AR6522" s="80"/>
      <c r="AT6522" s="497">
        <v>53.96</v>
      </c>
      <c r="AV6522" s="42"/>
      <c r="AW6522" s="74"/>
      <c r="AX6522" s="80"/>
      <c r="BA6522" s="497">
        <v>33.979999999999997</v>
      </c>
      <c r="BB6522" s="42"/>
      <c r="BC6522" s="74"/>
      <c r="BD6522" s="80"/>
      <c r="BF6522">
        <v>51.980000000000004</v>
      </c>
      <c r="BH6522" s="42"/>
      <c r="BI6522" s="74"/>
      <c r="BJ6522" s="80"/>
      <c r="BL6522" s="497">
        <v>46.04</v>
      </c>
      <c r="BN6522" s="42"/>
      <c r="BO6522" s="74"/>
      <c r="BP6522" s="80"/>
      <c r="BR6522" s="497">
        <v>31.28</v>
      </c>
      <c r="BT6522" s="42"/>
    </row>
    <row r="6523" spans="1:72" x14ac:dyDescent="0.25">
      <c r="A6523" s="90">
        <v>34971</v>
      </c>
      <c r="B6523" s="20">
        <v>4.1666666666666664E-2</v>
      </c>
      <c r="D6523">
        <v>55.040000000000006</v>
      </c>
      <c r="E6523" t="str">
        <f t="shared" si="238"/>
        <v>WEEKDAY</v>
      </c>
      <c r="F6523" t="e">
        <f t="shared" si="239"/>
        <v>#N/A</v>
      </c>
      <c r="G6523" s="74">
        <v>29127</v>
      </c>
      <c r="H6523" s="77">
        <v>4.1666666666666664E-2</v>
      </c>
      <c r="J6523">
        <v>71.06</v>
      </c>
      <c r="M6523" s="74">
        <v>37893</v>
      </c>
      <c r="N6523" s="77">
        <v>4.1666666666666664E-2</v>
      </c>
      <c r="P6523">
        <v>51.8</v>
      </c>
      <c r="S6523" s="74">
        <v>34971</v>
      </c>
      <c r="T6523" s="77">
        <v>4.1666666666666664E-2</v>
      </c>
      <c r="V6523">
        <v>57.019999999999996</v>
      </c>
      <c r="X6523" s="42"/>
      <c r="AB6523">
        <v>61.7</v>
      </c>
      <c r="AC6523">
        <v>64.039999999999992</v>
      </c>
      <c r="AE6523" s="74"/>
      <c r="AF6523" s="77"/>
      <c r="AH6523" s="497">
        <v>57.2</v>
      </c>
      <c r="AJ6523" s="42"/>
      <c r="AK6523" s="74"/>
      <c r="AL6523" s="77"/>
      <c r="AN6523" s="497">
        <v>37.04</v>
      </c>
      <c r="AP6523" s="42"/>
      <c r="AQ6523" s="74"/>
      <c r="AR6523" s="77"/>
      <c r="AT6523" s="497">
        <v>53.06</v>
      </c>
      <c r="AV6523" s="42"/>
      <c r="AW6523" s="74"/>
      <c r="AX6523" s="77"/>
      <c r="BA6523" s="497">
        <v>33.979999999999997</v>
      </c>
      <c r="BB6523" s="42"/>
      <c r="BC6523" s="74"/>
      <c r="BD6523" s="77"/>
      <c r="BF6523">
        <v>53.06</v>
      </c>
      <c r="BH6523" s="42"/>
      <c r="BI6523" s="74"/>
      <c r="BJ6523" s="77"/>
      <c r="BL6523" s="497">
        <v>44.06</v>
      </c>
      <c r="BN6523" s="42"/>
      <c r="BO6523" s="74"/>
      <c r="BP6523" s="77"/>
      <c r="BR6523" s="497">
        <v>28.94</v>
      </c>
      <c r="BT6523" s="42"/>
    </row>
    <row r="6524" spans="1:72" x14ac:dyDescent="0.25">
      <c r="A6524" s="90">
        <v>34971</v>
      </c>
      <c r="B6524" s="20">
        <v>8.3333333333333329E-2</v>
      </c>
      <c r="D6524">
        <v>55.040000000000006</v>
      </c>
      <c r="E6524" t="str">
        <f t="shared" si="238"/>
        <v>WEEKDAY</v>
      </c>
      <c r="F6524" t="e">
        <f t="shared" si="239"/>
        <v>#N/A</v>
      </c>
      <c r="G6524" s="74">
        <v>29127</v>
      </c>
      <c r="H6524" s="77">
        <v>8.3333333333333329E-2</v>
      </c>
      <c r="J6524">
        <v>71.42</v>
      </c>
      <c r="M6524" s="74">
        <v>37893</v>
      </c>
      <c r="N6524" s="77">
        <v>8.3333333333333329E-2</v>
      </c>
      <c r="P6524">
        <v>53.6</v>
      </c>
      <c r="S6524" s="74">
        <v>34971</v>
      </c>
      <c r="T6524" s="77">
        <v>8.3333333333333329E-2</v>
      </c>
      <c r="V6524">
        <v>53.96</v>
      </c>
      <c r="X6524" s="42"/>
      <c r="AB6524">
        <v>61.2</v>
      </c>
      <c r="AC6524">
        <v>62.96</v>
      </c>
      <c r="AE6524" s="74"/>
      <c r="AF6524" s="77"/>
      <c r="AH6524" s="497">
        <v>57.2</v>
      </c>
      <c r="AJ6524" s="42"/>
      <c r="AK6524" s="74"/>
      <c r="AL6524" s="77"/>
      <c r="AN6524" s="497">
        <v>36.68</v>
      </c>
      <c r="AP6524" s="42"/>
      <c r="AQ6524" s="74"/>
      <c r="AR6524" s="77"/>
      <c r="AT6524" s="497">
        <v>53.96</v>
      </c>
      <c r="AV6524" s="42"/>
      <c r="AW6524" s="74"/>
      <c r="AX6524" s="77"/>
      <c r="BA6524" s="497">
        <v>33.979999999999997</v>
      </c>
      <c r="BB6524" s="42"/>
      <c r="BC6524" s="74"/>
      <c r="BD6524" s="77"/>
      <c r="BF6524">
        <v>51.08</v>
      </c>
      <c r="BH6524" s="42"/>
      <c r="BI6524" s="74"/>
      <c r="BJ6524" s="77"/>
      <c r="BL6524" s="497">
        <v>44.06</v>
      </c>
      <c r="BN6524" s="42"/>
      <c r="BO6524" s="74"/>
      <c r="BP6524" s="77"/>
      <c r="BR6524" s="497">
        <v>28.58</v>
      </c>
      <c r="BT6524" s="42"/>
    </row>
    <row r="6525" spans="1:72" x14ac:dyDescent="0.25">
      <c r="A6525" s="90">
        <v>34971</v>
      </c>
      <c r="B6525" s="20">
        <v>0.125</v>
      </c>
      <c r="D6525">
        <v>55.040000000000006</v>
      </c>
      <c r="E6525" t="str">
        <f t="shared" si="238"/>
        <v>WEEKDAY</v>
      </c>
      <c r="F6525" t="e">
        <f t="shared" si="239"/>
        <v>#N/A</v>
      </c>
      <c r="G6525" s="74">
        <v>29127</v>
      </c>
      <c r="H6525" s="77">
        <v>0.125</v>
      </c>
      <c r="J6525">
        <v>71.599999999999994</v>
      </c>
      <c r="M6525" s="74">
        <v>37893</v>
      </c>
      <c r="N6525" s="77">
        <v>0.125</v>
      </c>
      <c r="P6525">
        <v>53.6</v>
      </c>
      <c r="S6525" s="74">
        <v>34971</v>
      </c>
      <c r="T6525" s="77">
        <v>0.125</v>
      </c>
      <c r="V6525">
        <v>53.06</v>
      </c>
      <c r="X6525" s="42"/>
      <c r="AB6525">
        <v>60.6</v>
      </c>
      <c r="AC6525">
        <v>62.06</v>
      </c>
      <c r="AE6525" s="74"/>
      <c r="AF6525" s="77"/>
      <c r="AH6525" s="497">
        <v>57.2</v>
      </c>
      <c r="AJ6525" s="42"/>
      <c r="AK6525" s="74"/>
      <c r="AL6525" s="77"/>
      <c r="AN6525" s="497">
        <v>36.32</v>
      </c>
      <c r="AP6525" s="42"/>
      <c r="AQ6525" s="74"/>
      <c r="AR6525" s="77"/>
      <c r="AT6525" s="497">
        <v>57.92</v>
      </c>
      <c r="AV6525" s="42"/>
      <c r="AW6525" s="74"/>
      <c r="AX6525" s="77"/>
      <c r="BA6525" s="497">
        <v>32</v>
      </c>
      <c r="BB6525" s="42"/>
      <c r="BC6525" s="74"/>
      <c r="BD6525" s="77"/>
      <c r="BF6525">
        <v>51.08</v>
      </c>
      <c r="BH6525" s="42"/>
      <c r="BI6525" s="74"/>
      <c r="BJ6525" s="77"/>
      <c r="BL6525" s="497">
        <v>44.06</v>
      </c>
      <c r="BN6525" s="42"/>
      <c r="BO6525" s="74"/>
      <c r="BP6525" s="77"/>
      <c r="BR6525" s="497">
        <v>28.4</v>
      </c>
      <c r="BT6525" s="42"/>
    </row>
    <row r="6526" spans="1:72" x14ac:dyDescent="0.25">
      <c r="A6526" s="90">
        <v>34971</v>
      </c>
      <c r="B6526" s="20">
        <v>0.16666666666666666</v>
      </c>
      <c r="D6526">
        <v>55.040000000000006</v>
      </c>
      <c r="E6526" t="str">
        <f t="shared" si="238"/>
        <v>WEEKDAY</v>
      </c>
      <c r="F6526" t="e">
        <f t="shared" si="239"/>
        <v>#N/A</v>
      </c>
      <c r="G6526" s="74">
        <v>29127</v>
      </c>
      <c r="H6526" s="77">
        <v>0.16666666666666666</v>
      </c>
      <c r="J6526">
        <v>71.960000000000008</v>
      </c>
      <c r="M6526" s="74">
        <v>37893</v>
      </c>
      <c r="N6526" s="77">
        <v>0.16666666666666666</v>
      </c>
      <c r="P6526">
        <v>51.8</v>
      </c>
      <c r="S6526" s="74">
        <v>34971</v>
      </c>
      <c r="T6526" s="77">
        <v>0.16666666666666666</v>
      </c>
      <c r="V6526">
        <v>53.96</v>
      </c>
      <c r="X6526" s="42"/>
      <c r="AB6526">
        <v>60.2</v>
      </c>
      <c r="AC6526">
        <v>62.06</v>
      </c>
      <c r="AE6526" s="74"/>
      <c r="AF6526" s="77"/>
      <c r="AH6526" s="497">
        <v>57.2</v>
      </c>
      <c r="AJ6526" s="42"/>
      <c r="AK6526" s="74"/>
      <c r="AL6526" s="77"/>
      <c r="AN6526" s="497">
        <v>35.96</v>
      </c>
      <c r="AP6526" s="42"/>
      <c r="AQ6526" s="74"/>
      <c r="AR6526" s="77"/>
      <c r="AT6526" s="497">
        <v>55.94</v>
      </c>
      <c r="AV6526" s="42"/>
      <c r="AW6526" s="74"/>
      <c r="AX6526" s="77"/>
      <c r="BA6526" s="497">
        <v>33.08</v>
      </c>
      <c r="BB6526" s="42"/>
      <c r="BC6526" s="74"/>
      <c r="BD6526" s="77"/>
      <c r="BF6526">
        <v>50</v>
      </c>
      <c r="BH6526" s="42"/>
      <c r="BI6526" s="74"/>
      <c r="BJ6526" s="77"/>
      <c r="BL6526" s="497">
        <v>44.06</v>
      </c>
      <c r="BN6526" s="42"/>
      <c r="BO6526" s="74"/>
      <c r="BP6526" s="77"/>
      <c r="BR6526" s="497">
        <v>28.04</v>
      </c>
      <c r="BT6526" s="42"/>
    </row>
    <row r="6527" spans="1:72" x14ac:dyDescent="0.25">
      <c r="A6527" s="90">
        <v>34971</v>
      </c>
      <c r="B6527" s="20">
        <v>0.20833333333333334</v>
      </c>
      <c r="D6527">
        <v>55.040000000000006</v>
      </c>
      <c r="E6527" t="str">
        <f t="shared" si="238"/>
        <v>WEEKDAY</v>
      </c>
      <c r="F6527" t="e">
        <f t="shared" si="239"/>
        <v>#N/A</v>
      </c>
      <c r="G6527" s="74">
        <v>29127</v>
      </c>
      <c r="H6527" s="77">
        <v>0.20833333333333334</v>
      </c>
      <c r="J6527">
        <v>71.599999999999994</v>
      </c>
      <c r="M6527" s="74">
        <v>37893</v>
      </c>
      <c r="N6527" s="77">
        <v>0.20833333333333334</v>
      </c>
      <c r="P6527">
        <v>51.8</v>
      </c>
      <c r="S6527" s="74">
        <v>34971</v>
      </c>
      <c r="T6527" s="77">
        <v>0.20833333333333334</v>
      </c>
      <c r="V6527">
        <v>53.06</v>
      </c>
      <c r="X6527" s="42"/>
      <c r="AB6527">
        <v>59.8</v>
      </c>
      <c r="AC6527">
        <v>60.980000000000004</v>
      </c>
      <c r="AE6527" s="74"/>
      <c r="AF6527" s="77"/>
      <c r="AH6527" s="497">
        <v>55.400000000000006</v>
      </c>
      <c r="AJ6527" s="42"/>
      <c r="AK6527" s="74"/>
      <c r="AL6527" s="77"/>
      <c r="AN6527" s="497">
        <v>36.68</v>
      </c>
      <c r="AP6527" s="42"/>
      <c r="AQ6527" s="74"/>
      <c r="AR6527" s="77"/>
      <c r="AT6527" s="497">
        <v>57.019999999999996</v>
      </c>
      <c r="AV6527" s="42"/>
      <c r="AW6527" s="74"/>
      <c r="AX6527" s="77"/>
      <c r="BA6527" s="497">
        <v>30.92</v>
      </c>
      <c r="BB6527" s="42"/>
      <c r="BC6527" s="74"/>
      <c r="BD6527" s="77"/>
      <c r="BF6527">
        <v>51.08</v>
      </c>
      <c r="BH6527" s="42"/>
      <c r="BI6527" s="74"/>
      <c r="BJ6527" s="77"/>
      <c r="BL6527" s="497">
        <v>42.980000000000004</v>
      </c>
      <c r="BN6527" s="42"/>
      <c r="BO6527" s="74"/>
      <c r="BP6527" s="77"/>
      <c r="BR6527" s="497">
        <v>28.04</v>
      </c>
      <c r="BT6527" s="42"/>
    </row>
    <row r="6528" spans="1:72" x14ac:dyDescent="0.25">
      <c r="A6528" s="90">
        <v>34971</v>
      </c>
      <c r="B6528" s="20">
        <v>0.25</v>
      </c>
      <c r="D6528">
        <v>55.040000000000006</v>
      </c>
      <c r="E6528" t="str">
        <f t="shared" si="238"/>
        <v>WEEKDAY</v>
      </c>
      <c r="F6528" t="e">
        <f t="shared" si="239"/>
        <v>#N/A</v>
      </c>
      <c r="G6528" s="74">
        <v>29127</v>
      </c>
      <c r="H6528" s="77">
        <v>0.25</v>
      </c>
      <c r="J6528">
        <v>71.42</v>
      </c>
      <c r="M6528" s="74">
        <v>37893</v>
      </c>
      <c r="N6528" s="77">
        <v>0.25</v>
      </c>
      <c r="P6528">
        <v>51.8</v>
      </c>
      <c r="S6528" s="74">
        <v>34971</v>
      </c>
      <c r="T6528" s="77">
        <v>0.25</v>
      </c>
      <c r="V6528">
        <v>53.96</v>
      </c>
      <c r="X6528" s="42"/>
      <c r="AB6528">
        <v>59.5</v>
      </c>
      <c r="AC6528">
        <v>62.06</v>
      </c>
      <c r="AE6528" s="74"/>
      <c r="AF6528" s="77"/>
      <c r="AH6528" s="497">
        <v>55.400000000000006</v>
      </c>
      <c r="AJ6528" s="42"/>
      <c r="AK6528" s="74"/>
      <c r="AL6528" s="77"/>
      <c r="AN6528" s="497">
        <v>37.22</v>
      </c>
      <c r="AP6528" s="42"/>
      <c r="AQ6528" s="74"/>
      <c r="AR6528" s="77"/>
      <c r="AT6528" s="497">
        <v>57.019999999999996</v>
      </c>
      <c r="AV6528" s="42"/>
      <c r="AW6528" s="74"/>
      <c r="AX6528" s="77"/>
      <c r="BA6528" s="497">
        <v>30.92</v>
      </c>
      <c r="BB6528" s="42"/>
      <c r="BC6528" s="74"/>
      <c r="BD6528" s="77"/>
      <c r="BF6528">
        <v>50</v>
      </c>
      <c r="BH6528" s="42"/>
      <c r="BI6528" s="74"/>
      <c r="BJ6528" s="77"/>
      <c r="BL6528" s="497">
        <v>42.980000000000004</v>
      </c>
      <c r="BN6528" s="42"/>
      <c r="BO6528" s="74"/>
      <c r="BP6528" s="77"/>
      <c r="BR6528" s="497">
        <v>28.04</v>
      </c>
      <c r="BT6528" s="42"/>
    </row>
    <row r="6529" spans="1:72" x14ac:dyDescent="0.25">
      <c r="A6529" s="90">
        <v>34971</v>
      </c>
      <c r="B6529" s="20">
        <v>0.29166666666666669</v>
      </c>
      <c r="D6529">
        <v>55.040000000000006</v>
      </c>
      <c r="E6529" t="str">
        <f t="shared" si="238"/>
        <v>WEEKDAY</v>
      </c>
      <c r="F6529" t="e">
        <f t="shared" si="239"/>
        <v>#N/A</v>
      </c>
      <c r="G6529" s="74">
        <v>29127</v>
      </c>
      <c r="H6529" s="77">
        <v>0.29166666666666669</v>
      </c>
      <c r="J6529">
        <v>71.06</v>
      </c>
      <c r="M6529" s="74">
        <v>37893</v>
      </c>
      <c r="N6529" s="77">
        <v>0.29166666666666669</v>
      </c>
      <c r="P6529">
        <v>53.6</v>
      </c>
      <c r="S6529" s="74">
        <v>34971</v>
      </c>
      <c r="T6529" s="77">
        <v>0.29166666666666669</v>
      </c>
      <c r="V6529">
        <v>55.94</v>
      </c>
      <c r="X6529" s="42"/>
      <c r="AB6529">
        <v>59.4</v>
      </c>
      <c r="AC6529">
        <v>62.06</v>
      </c>
      <c r="AE6529" s="74"/>
      <c r="AF6529" s="77"/>
      <c r="AH6529" s="497">
        <v>55.400000000000006</v>
      </c>
      <c r="AJ6529" s="42"/>
      <c r="AK6529" s="74"/>
      <c r="AL6529" s="77"/>
      <c r="AN6529" s="497">
        <v>37.94</v>
      </c>
      <c r="AP6529" s="42"/>
      <c r="AQ6529" s="74"/>
      <c r="AR6529" s="77"/>
      <c r="AT6529" s="497">
        <v>57.019999999999996</v>
      </c>
      <c r="AV6529" s="42"/>
      <c r="AW6529" s="74"/>
      <c r="AX6529" s="77"/>
      <c r="BA6529" s="497">
        <v>32</v>
      </c>
      <c r="BB6529" s="42"/>
      <c r="BC6529" s="74"/>
      <c r="BD6529" s="77"/>
      <c r="BF6529">
        <v>50</v>
      </c>
      <c r="BH6529" s="42"/>
      <c r="BI6529" s="74"/>
      <c r="BJ6529" s="77"/>
      <c r="BL6529" s="497">
        <v>44.06</v>
      </c>
      <c r="BN6529" s="42"/>
      <c r="BO6529" s="74"/>
      <c r="BP6529" s="77"/>
      <c r="BR6529" s="497">
        <v>28.04</v>
      </c>
      <c r="BT6529" s="42"/>
    </row>
    <row r="6530" spans="1:72" x14ac:dyDescent="0.25">
      <c r="A6530" s="90">
        <v>34971</v>
      </c>
      <c r="B6530" s="20">
        <v>0.33333333333333331</v>
      </c>
      <c r="D6530">
        <v>55.94</v>
      </c>
      <c r="E6530" t="str">
        <f t="shared" si="238"/>
        <v>WEEKDAY</v>
      </c>
      <c r="F6530" t="e">
        <f t="shared" si="239"/>
        <v>#N/A</v>
      </c>
      <c r="G6530" s="74">
        <v>29127</v>
      </c>
      <c r="H6530" s="77">
        <v>0.33333333333333331</v>
      </c>
      <c r="J6530">
        <v>71.78</v>
      </c>
      <c r="M6530" s="74">
        <v>37893</v>
      </c>
      <c r="N6530" s="77">
        <v>0.33333333333333331</v>
      </c>
      <c r="P6530">
        <v>55.400000000000006</v>
      </c>
      <c r="S6530" s="74">
        <v>34971</v>
      </c>
      <c r="T6530" s="77">
        <v>0.33333333333333331</v>
      </c>
      <c r="V6530">
        <v>59</v>
      </c>
      <c r="X6530" s="42"/>
      <c r="AB6530">
        <v>60.8</v>
      </c>
      <c r="AC6530">
        <v>60.08</v>
      </c>
      <c r="AE6530" s="74"/>
      <c r="AF6530" s="77"/>
      <c r="AH6530" s="497">
        <v>57.2</v>
      </c>
      <c r="AJ6530" s="42"/>
      <c r="AK6530" s="74"/>
      <c r="AL6530" s="77"/>
      <c r="AN6530" s="497">
        <v>42.26</v>
      </c>
      <c r="AP6530" s="42"/>
      <c r="AQ6530" s="74"/>
      <c r="AR6530" s="77"/>
      <c r="AT6530" s="497">
        <v>59</v>
      </c>
      <c r="AV6530" s="42"/>
      <c r="AW6530" s="74"/>
      <c r="AX6530" s="77"/>
      <c r="BA6530" s="497">
        <v>37.94</v>
      </c>
      <c r="BB6530" s="42"/>
      <c r="BC6530" s="74"/>
      <c r="BD6530" s="77"/>
      <c r="BF6530">
        <v>51.08</v>
      </c>
      <c r="BH6530" s="42"/>
      <c r="BI6530" s="74"/>
      <c r="BJ6530" s="77"/>
      <c r="BL6530" s="497">
        <v>48.92</v>
      </c>
      <c r="BN6530" s="42"/>
      <c r="BO6530" s="74"/>
      <c r="BP6530" s="77"/>
      <c r="BR6530" s="497">
        <v>33.619999999999997</v>
      </c>
      <c r="BT6530" s="42"/>
    </row>
    <row r="6531" spans="1:72" x14ac:dyDescent="0.25">
      <c r="A6531" s="90">
        <v>34971</v>
      </c>
      <c r="B6531" s="20">
        <v>0.375</v>
      </c>
      <c r="D6531">
        <v>57.92</v>
      </c>
      <c r="E6531" t="str">
        <f t="shared" si="238"/>
        <v>WEEKDAY</v>
      </c>
      <c r="F6531" t="e">
        <f t="shared" si="239"/>
        <v>#N/A</v>
      </c>
      <c r="G6531" s="74">
        <v>29127</v>
      </c>
      <c r="H6531" s="77">
        <v>0.375</v>
      </c>
      <c r="J6531">
        <v>72.319999999999993</v>
      </c>
      <c r="M6531" s="74">
        <v>37893</v>
      </c>
      <c r="N6531" s="77">
        <v>0.375</v>
      </c>
      <c r="P6531">
        <v>57.2</v>
      </c>
      <c r="S6531" s="74">
        <v>34971</v>
      </c>
      <c r="T6531" s="77">
        <v>0.375</v>
      </c>
      <c r="V6531">
        <v>62.96</v>
      </c>
      <c r="X6531" s="42"/>
      <c r="AB6531">
        <v>63</v>
      </c>
      <c r="AC6531">
        <v>59</v>
      </c>
      <c r="AE6531" s="74"/>
      <c r="AF6531" s="77"/>
      <c r="AH6531" s="497">
        <v>59</v>
      </c>
      <c r="AJ6531" s="42"/>
      <c r="AK6531" s="74"/>
      <c r="AL6531" s="77"/>
      <c r="AN6531" s="497">
        <v>46.76</v>
      </c>
      <c r="AP6531" s="42"/>
      <c r="AQ6531" s="74"/>
      <c r="AR6531" s="77"/>
      <c r="AT6531" s="497">
        <v>59</v>
      </c>
      <c r="AV6531" s="42"/>
      <c r="AW6531" s="74"/>
      <c r="AX6531" s="77"/>
      <c r="BA6531" s="497">
        <v>42.980000000000004</v>
      </c>
      <c r="BB6531" s="42"/>
      <c r="BC6531" s="74"/>
      <c r="BD6531" s="77"/>
      <c r="BF6531">
        <v>51.980000000000004</v>
      </c>
      <c r="BH6531" s="42"/>
      <c r="BI6531" s="74"/>
      <c r="BJ6531" s="77"/>
      <c r="BL6531" s="497">
        <v>53.96</v>
      </c>
      <c r="BN6531" s="42"/>
      <c r="BO6531" s="74"/>
      <c r="BP6531" s="77"/>
      <c r="BR6531" s="497">
        <v>39.380000000000003</v>
      </c>
      <c r="BT6531" s="42"/>
    </row>
    <row r="6532" spans="1:72" x14ac:dyDescent="0.25">
      <c r="A6532" s="90">
        <v>34971</v>
      </c>
      <c r="B6532" s="20">
        <v>0.41666666666666669</v>
      </c>
      <c r="D6532">
        <v>60.08</v>
      </c>
      <c r="E6532" t="str">
        <f t="shared" si="238"/>
        <v>WEEKDAY</v>
      </c>
      <c r="F6532" t="e">
        <f t="shared" si="239"/>
        <v>#N/A</v>
      </c>
      <c r="G6532" s="74">
        <v>29127</v>
      </c>
      <c r="H6532" s="77">
        <v>0.41666666666666669</v>
      </c>
      <c r="J6532">
        <v>73.039999999999992</v>
      </c>
      <c r="M6532" s="74">
        <v>37893</v>
      </c>
      <c r="N6532" s="77">
        <v>0.41666666666666669</v>
      </c>
      <c r="P6532">
        <v>55.400000000000006</v>
      </c>
      <c r="S6532" s="74">
        <v>34971</v>
      </c>
      <c r="T6532" s="77">
        <v>0.41666666666666669</v>
      </c>
      <c r="V6532">
        <v>64.94</v>
      </c>
      <c r="X6532" s="42"/>
      <c r="AB6532">
        <v>65</v>
      </c>
      <c r="AC6532">
        <v>57.92</v>
      </c>
      <c r="AE6532" s="74"/>
      <c r="AF6532" s="77"/>
      <c r="AH6532" s="497">
        <v>60.8</v>
      </c>
      <c r="AJ6532" s="42"/>
      <c r="AK6532" s="74"/>
      <c r="AL6532" s="77"/>
      <c r="AN6532" s="497">
        <v>51.08</v>
      </c>
      <c r="AP6532" s="42"/>
      <c r="AQ6532" s="74"/>
      <c r="AR6532" s="77"/>
      <c r="AT6532" s="497">
        <v>60.980000000000004</v>
      </c>
      <c r="AV6532" s="42"/>
      <c r="AW6532" s="74"/>
      <c r="AX6532" s="77"/>
      <c r="BA6532" s="497">
        <v>48.019999999999996</v>
      </c>
      <c r="BB6532" s="42"/>
      <c r="BC6532" s="74"/>
      <c r="BD6532" s="77"/>
      <c r="BF6532">
        <v>53.96</v>
      </c>
      <c r="BH6532" s="42"/>
      <c r="BI6532" s="74"/>
      <c r="BJ6532" s="77"/>
      <c r="BL6532" s="497">
        <v>59</v>
      </c>
      <c r="BN6532" s="42"/>
      <c r="BO6532" s="74"/>
      <c r="BP6532" s="77"/>
      <c r="BR6532" s="497">
        <v>44.96</v>
      </c>
      <c r="BT6532" s="42"/>
    </row>
    <row r="6533" spans="1:72" x14ac:dyDescent="0.25">
      <c r="A6533" s="90">
        <v>34971</v>
      </c>
      <c r="B6533" s="20">
        <v>0.45833333333333331</v>
      </c>
      <c r="D6533">
        <v>60.980000000000004</v>
      </c>
      <c r="E6533" t="str">
        <f t="shared" si="238"/>
        <v>WEEKDAY</v>
      </c>
      <c r="F6533" t="e">
        <f t="shared" si="239"/>
        <v>#N/A</v>
      </c>
      <c r="G6533" s="74">
        <v>29127</v>
      </c>
      <c r="H6533" s="77">
        <v>0.45833333333333331</v>
      </c>
      <c r="J6533">
        <v>73.94</v>
      </c>
      <c r="M6533" s="74">
        <v>37893</v>
      </c>
      <c r="N6533" s="77">
        <v>0.45833333333333331</v>
      </c>
      <c r="P6533">
        <v>55.400000000000006</v>
      </c>
      <c r="S6533" s="74">
        <v>34971</v>
      </c>
      <c r="T6533" s="77">
        <v>0.45833333333333331</v>
      </c>
      <c r="V6533">
        <v>66.92</v>
      </c>
      <c r="X6533" s="42"/>
      <c r="AB6533">
        <v>66.599999999999994</v>
      </c>
      <c r="AC6533">
        <v>57.019999999999996</v>
      </c>
      <c r="AE6533" s="74"/>
      <c r="AF6533" s="77"/>
      <c r="AH6533" s="497">
        <v>62.6</v>
      </c>
      <c r="AJ6533" s="42"/>
      <c r="AK6533" s="74"/>
      <c r="AL6533" s="77"/>
      <c r="AN6533" s="497">
        <v>53.42</v>
      </c>
      <c r="AP6533" s="42"/>
      <c r="AQ6533" s="74"/>
      <c r="AR6533" s="77"/>
      <c r="AT6533" s="497">
        <v>66.92</v>
      </c>
      <c r="AV6533" s="42"/>
      <c r="AW6533" s="74"/>
      <c r="AX6533" s="77"/>
      <c r="BA6533" s="497">
        <v>50</v>
      </c>
      <c r="BB6533" s="42"/>
      <c r="BC6533" s="74"/>
      <c r="BD6533" s="77"/>
      <c r="BF6533">
        <v>53.96</v>
      </c>
      <c r="BH6533" s="42"/>
      <c r="BI6533" s="74"/>
      <c r="BJ6533" s="77"/>
      <c r="BL6533" s="497">
        <v>62.06</v>
      </c>
      <c r="BN6533" s="42"/>
      <c r="BO6533" s="74"/>
      <c r="BP6533" s="77"/>
      <c r="BR6533" s="497">
        <v>49.28</v>
      </c>
      <c r="BT6533" s="42"/>
    </row>
    <row r="6534" spans="1:72" x14ac:dyDescent="0.25">
      <c r="A6534" s="90">
        <v>34971</v>
      </c>
      <c r="B6534" s="20">
        <v>0.5</v>
      </c>
      <c r="D6534">
        <v>62.06</v>
      </c>
      <c r="E6534" t="str">
        <f t="shared" si="238"/>
        <v>WEEKDAY</v>
      </c>
      <c r="F6534" t="e">
        <f t="shared" si="239"/>
        <v>#N/A</v>
      </c>
      <c r="G6534" s="74">
        <v>29127</v>
      </c>
      <c r="H6534" s="77">
        <v>0.5</v>
      </c>
      <c r="J6534">
        <v>75.02</v>
      </c>
      <c r="M6534" s="74">
        <v>37893</v>
      </c>
      <c r="N6534" s="77">
        <v>0.5</v>
      </c>
      <c r="P6534">
        <v>60.8</v>
      </c>
      <c r="S6534" s="74">
        <v>34971</v>
      </c>
      <c r="T6534" s="77">
        <v>0.5</v>
      </c>
      <c r="V6534">
        <v>68</v>
      </c>
      <c r="X6534" s="42"/>
      <c r="AB6534">
        <v>68</v>
      </c>
      <c r="AC6534">
        <v>59</v>
      </c>
      <c r="AE6534" s="74"/>
      <c r="AF6534" s="77"/>
      <c r="AH6534" s="497">
        <v>64.400000000000006</v>
      </c>
      <c r="AJ6534" s="42"/>
      <c r="AK6534" s="74"/>
      <c r="AL6534" s="77"/>
      <c r="AN6534" s="497">
        <v>55.58</v>
      </c>
      <c r="AP6534" s="42"/>
      <c r="AQ6534" s="74"/>
      <c r="AR6534" s="77"/>
      <c r="AT6534" s="497">
        <v>71.06</v>
      </c>
      <c r="AV6534" s="42"/>
      <c r="AW6534" s="74"/>
      <c r="AX6534" s="77"/>
      <c r="BA6534" s="497">
        <v>53.06</v>
      </c>
      <c r="BB6534" s="42"/>
      <c r="BC6534" s="74"/>
      <c r="BD6534" s="77"/>
      <c r="BF6534">
        <v>57.019999999999996</v>
      </c>
      <c r="BH6534" s="42"/>
      <c r="BI6534" s="74"/>
      <c r="BJ6534" s="77"/>
      <c r="BL6534" s="497">
        <v>64.94</v>
      </c>
      <c r="BN6534" s="42"/>
      <c r="BO6534" s="74"/>
      <c r="BP6534" s="77"/>
      <c r="BR6534" s="497">
        <v>53.6</v>
      </c>
      <c r="BT6534" s="42"/>
    </row>
    <row r="6535" spans="1:72" x14ac:dyDescent="0.25">
      <c r="A6535" s="90">
        <v>34971</v>
      </c>
      <c r="B6535" s="20">
        <v>0.54166666666666663</v>
      </c>
      <c r="D6535">
        <v>62.06</v>
      </c>
      <c r="E6535" t="str">
        <f t="shared" si="238"/>
        <v>WEEKDAY</v>
      </c>
      <c r="F6535" t="e">
        <f t="shared" si="239"/>
        <v>#N/A</v>
      </c>
      <c r="G6535" s="74">
        <v>29127</v>
      </c>
      <c r="H6535" s="77">
        <v>0.54166666666666663</v>
      </c>
      <c r="J6535">
        <v>75.92</v>
      </c>
      <c r="M6535" s="74">
        <v>37893</v>
      </c>
      <c r="N6535" s="77">
        <v>0.54166666666666663</v>
      </c>
      <c r="P6535">
        <v>62.6</v>
      </c>
      <c r="S6535" s="74">
        <v>34971</v>
      </c>
      <c r="T6535" s="77">
        <v>0.54166666666666663</v>
      </c>
      <c r="V6535">
        <v>69.080000000000013</v>
      </c>
      <c r="X6535" s="42"/>
      <c r="AB6535">
        <v>69.099999999999994</v>
      </c>
      <c r="AC6535">
        <v>60.08</v>
      </c>
      <c r="AE6535" s="74"/>
      <c r="AF6535" s="77"/>
      <c r="AH6535" s="497">
        <v>66.2</v>
      </c>
      <c r="AJ6535" s="42"/>
      <c r="AK6535" s="74"/>
      <c r="AL6535" s="77"/>
      <c r="AN6535" s="497">
        <v>57.92</v>
      </c>
      <c r="AP6535" s="42"/>
      <c r="AQ6535" s="74"/>
      <c r="AR6535" s="77"/>
      <c r="AT6535" s="497">
        <v>73.039999999999992</v>
      </c>
      <c r="AV6535" s="42"/>
      <c r="AW6535" s="74"/>
      <c r="AX6535" s="77"/>
      <c r="BA6535" s="497">
        <v>55.040000000000006</v>
      </c>
      <c r="BB6535" s="42"/>
      <c r="BC6535" s="74"/>
      <c r="BD6535" s="77"/>
      <c r="BF6535">
        <v>53.96</v>
      </c>
      <c r="BH6535" s="42"/>
      <c r="BI6535" s="74"/>
      <c r="BJ6535" s="77"/>
      <c r="BL6535" s="497">
        <v>66.92</v>
      </c>
      <c r="BN6535" s="42"/>
      <c r="BO6535" s="74"/>
      <c r="BP6535" s="77"/>
      <c r="BR6535" s="497">
        <v>57.92</v>
      </c>
      <c r="BT6535" s="42"/>
    </row>
    <row r="6536" spans="1:72" x14ac:dyDescent="0.25">
      <c r="A6536" s="90">
        <v>34971</v>
      </c>
      <c r="B6536" s="20">
        <v>0.58333333333333337</v>
      </c>
      <c r="D6536">
        <v>62.96</v>
      </c>
      <c r="E6536" t="str">
        <f t="shared" si="238"/>
        <v>WEEKDAY</v>
      </c>
      <c r="F6536" t="e">
        <f t="shared" si="239"/>
        <v>#N/A</v>
      </c>
      <c r="G6536" s="74">
        <v>29127</v>
      </c>
      <c r="H6536" s="77">
        <v>0.58333333333333337</v>
      </c>
      <c r="J6536">
        <v>75.2</v>
      </c>
      <c r="M6536" s="74">
        <v>37893</v>
      </c>
      <c r="N6536" s="77">
        <v>0.58333333333333337</v>
      </c>
      <c r="P6536">
        <v>60.8</v>
      </c>
      <c r="S6536" s="74">
        <v>34971</v>
      </c>
      <c r="T6536" s="77">
        <v>0.58333333333333337</v>
      </c>
      <c r="V6536">
        <v>68</v>
      </c>
      <c r="X6536" s="42"/>
      <c r="AB6536">
        <v>69.400000000000006</v>
      </c>
      <c r="AC6536">
        <v>60.08</v>
      </c>
      <c r="AE6536" s="74"/>
      <c r="AF6536" s="77"/>
      <c r="AH6536" s="497">
        <v>68</v>
      </c>
      <c r="AJ6536" s="42"/>
      <c r="AK6536" s="74"/>
      <c r="AL6536" s="77"/>
      <c r="AN6536" s="497">
        <v>58.64</v>
      </c>
      <c r="AP6536" s="42"/>
      <c r="AQ6536" s="74"/>
      <c r="AR6536" s="77"/>
      <c r="AT6536" s="497">
        <v>75.92</v>
      </c>
      <c r="AV6536" s="42"/>
      <c r="AW6536" s="74"/>
      <c r="AX6536" s="77"/>
      <c r="BA6536" s="497">
        <v>57.019999999999996</v>
      </c>
      <c r="BB6536" s="42"/>
      <c r="BC6536" s="74"/>
      <c r="BD6536" s="77"/>
      <c r="BF6536">
        <v>57.92</v>
      </c>
      <c r="BH6536" s="42"/>
      <c r="BI6536" s="74"/>
      <c r="BJ6536" s="77"/>
      <c r="BL6536" s="497">
        <v>66.92</v>
      </c>
      <c r="BN6536" s="42"/>
      <c r="BO6536" s="74"/>
      <c r="BP6536" s="77"/>
      <c r="BR6536" s="497">
        <v>58.28</v>
      </c>
      <c r="BT6536" s="42"/>
    </row>
    <row r="6537" spans="1:72" x14ac:dyDescent="0.25">
      <c r="A6537" s="90">
        <v>34971</v>
      </c>
      <c r="B6537" s="20">
        <v>0.625</v>
      </c>
      <c r="D6537">
        <v>64.039999999999992</v>
      </c>
      <c r="E6537" t="str">
        <f t="shared" si="238"/>
        <v>WEEKDAY</v>
      </c>
      <c r="F6537" t="e">
        <f t="shared" si="239"/>
        <v>#N/A</v>
      </c>
      <c r="G6537" s="74">
        <v>29127</v>
      </c>
      <c r="H6537" s="77">
        <v>0.625</v>
      </c>
      <c r="J6537">
        <v>74.66</v>
      </c>
      <c r="M6537" s="74">
        <v>37893</v>
      </c>
      <c r="N6537" s="77">
        <v>0.625</v>
      </c>
      <c r="P6537">
        <v>60.8</v>
      </c>
      <c r="S6537" s="74">
        <v>34971</v>
      </c>
      <c r="T6537" s="77">
        <v>0.625</v>
      </c>
      <c r="V6537">
        <v>66.92</v>
      </c>
      <c r="X6537" s="42"/>
      <c r="AB6537">
        <v>69.599999999999994</v>
      </c>
      <c r="AC6537">
        <v>60.08</v>
      </c>
      <c r="AE6537" s="74"/>
      <c r="AF6537" s="77"/>
      <c r="AH6537" s="497">
        <v>68</v>
      </c>
      <c r="AJ6537" s="42"/>
      <c r="AK6537" s="74"/>
      <c r="AL6537" s="77"/>
      <c r="AN6537" s="497">
        <v>59.36</v>
      </c>
      <c r="AP6537" s="42"/>
      <c r="AQ6537" s="74"/>
      <c r="AR6537" s="77"/>
      <c r="AT6537" s="497">
        <v>73.039999999999992</v>
      </c>
      <c r="AV6537" s="42"/>
      <c r="AW6537" s="74"/>
      <c r="AX6537" s="77"/>
      <c r="BA6537" s="497">
        <v>59</v>
      </c>
      <c r="BB6537" s="42"/>
      <c r="BC6537" s="74"/>
      <c r="BD6537" s="77"/>
      <c r="BF6537">
        <v>55.040000000000006</v>
      </c>
      <c r="BH6537" s="42"/>
      <c r="BI6537" s="74"/>
      <c r="BJ6537" s="77"/>
      <c r="BL6537" s="497">
        <v>68</v>
      </c>
      <c r="BN6537" s="42"/>
      <c r="BO6537" s="74"/>
      <c r="BP6537" s="77"/>
      <c r="BR6537" s="497">
        <v>58.64</v>
      </c>
      <c r="BT6537" s="42"/>
    </row>
    <row r="6538" spans="1:72" x14ac:dyDescent="0.25">
      <c r="A6538" s="90">
        <v>34971</v>
      </c>
      <c r="B6538" s="20">
        <v>0.66666666666666663</v>
      </c>
      <c r="D6538">
        <v>62.96</v>
      </c>
      <c r="E6538" t="str">
        <f t="shared" si="238"/>
        <v>WEEKDAY</v>
      </c>
      <c r="F6538" t="e">
        <f t="shared" si="239"/>
        <v>#N/A</v>
      </c>
      <c r="G6538" s="74">
        <v>29127</v>
      </c>
      <c r="H6538" s="77">
        <v>0.66666666666666663</v>
      </c>
      <c r="J6538">
        <v>73.94</v>
      </c>
      <c r="M6538" s="74">
        <v>37893</v>
      </c>
      <c r="N6538" s="77">
        <v>0.66666666666666663</v>
      </c>
      <c r="P6538">
        <v>62.6</v>
      </c>
      <c r="S6538" s="74">
        <v>34971</v>
      </c>
      <c r="T6538" s="77">
        <v>0.66666666666666663</v>
      </c>
      <c r="V6538">
        <v>66.02</v>
      </c>
      <c r="X6538" s="42"/>
      <c r="AB6538">
        <v>69.400000000000006</v>
      </c>
      <c r="AC6538">
        <v>60.08</v>
      </c>
      <c r="AE6538" s="74"/>
      <c r="AF6538" s="77"/>
      <c r="AH6538" s="497">
        <v>66.2</v>
      </c>
      <c r="AJ6538" s="42"/>
      <c r="AK6538" s="74"/>
      <c r="AL6538" s="77"/>
      <c r="AN6538" s="497">
        <v>60.08</v>
      </c>
      <c r="AP6538" s="42"/>
      <c r="AQ6538" s="74"/>
      <c r="AR6538" s="77"/>
      <c r="AT6538" s="497">
        <v>73.039999999999992</v>
      </c>
      <c r="AV6538" s="42"/>
      <c r="AW6538" s="74"/>
      <c r="AX6538" s="77"/>
      <c r="BA6538" s="497">
        <v>57.019999999999996</v>
      </c>
      <c r="BB6538" s="42"/>
      <c r="BC6538" s="74"/>
      <c r="BD6538" s="77"/>
      <c r="BF6538">
        <v>55.94</v>
      </c>
      <c r="BH6538" s="42"/>
      <c r="BI6538" s="74"/>
      <c r="BJ6538" s="77"/>
      <c r="BL6538" s="497">
        <v>69.080000000000013</v>
      </c>
      <c r="BN6538" s="42"/>
      <c r="BO6538" s="74"/>
      <c r="BP6538" s="77"/>
      <c r="BR6538" s="497">
        <v>59</v>
      </c>
      <c r="BT6538" s="42"/>
    </row>
    <row r="6539" spans="1:72" x14ac:dyDescent="0.25">
      <c r="A6539" s="90">
        <v>34971</v>
      </c>
      <c r="B6539" s="20">
        <v>0.70833333333333337</v>
      </c>
      <c r="D6539">
        <v>62.06</v>
      </c>
      <c r="E6539" t="str">
        <f t="shared" si="238"/>
        <v>WEEKDAY</v>
      </c>
      <c r="F6539" t="e">
        <f t="shared" si="239"/>
        <v>#N/A</v>
      </c>
      <c r="G6539" s="74">
        <v>29127</v>
      </c>
      <c r="H6539" s="77">
        <v>0.70833333333333337</v>
      </c>
      <c r="J6539">
        <v>73.039999999999992</v>
      </c>
      <c r="M6539" s="74">
        <v>37893</v>
      </c>
      <c r="N6539" s="77">
        <v>0.70833333333333337</v>
      </c>
      <c r="P6539">
        <v>60.8</v>
      </c>
      <c r="S6539" s="74">
        <v>34971</v>
      </c>
      <c r="T6539" s="77">
        <v>0.70833333333333337</v>
      </c>
      <c r="V6539">
        <v>62.96</v>
      </c>
      <c r="X6539" s="42"/>
      <c r="AB6539">
        <v>68.400000000000006</v>
      </c>
      <c r="AC6539">
        <v>59</v>
      </c>
      <c r="AE6539" s="74"/>
      <c r="AF6539" s="77"/>
      <c r="AH6539" s="497">
        <v>66.2</v>
      </c>
      <c r="AJ6539" s="42"/>
      <c r="AK6539" s="74"/>
      <c r="AL6539" s="77"/>
      <c r="AN6539" s="497">
        <v>58.1</v>
      </c>
      <c r="AP6539" s="42"/>
      <c r="AQ6539" s="74"/>
      <c r="AR6539" s="77"/>
      <c r="AT6539" s="497">
        <v>71.06</v>
      </c>
      <c r="AV6539" s="42"/>
      <c r="AW6539" s="74"/>
      <c r="AX6539" s="77"/>
      <c r="BA6539" s="497">
        <v>55.040000000000006</v>
      </c>
      <c r="BB6539" s="42"/>
      <c r="BC6539" s="74"/>
      <c r="BD6539" s="77"/>
      <c r="BF6539">
        <v>57.019999999999996</v>
      </c>
      <c r="BH6539" s="42"/>
      <c r="BI6539" s="74"/>
      <c r="BJ6539" s="77"/>
      <c r="BL6539" s="497">
        <v>68</v>
      </c>
      <c r="BN6539" s="42"/>
      <c r="BO6539" s="74"/>
      <c r="BP6539" s="77"/>
      <c r="BR6539" s="497">
        <v>55.400000000000006</v>
      </c>
      <c r="BT6539" s="42"/>
    </row>
    <row r="6540" spans="1:72" x14ac:dyDescent="0.25">
      <c r="A6540" s="90">
        <v>34971</v>
      </c>
      <c r="B6540" s="20">
        <v>0.75</v>
      </c>
      <c r="D6540">
        <v>60.980000000000004</v>
      </c>
      <c r="E6540" t="str">
        <f t="shared" si="238"/>
        <v>WEEKDAY</v>
      </c>
      <c r="F6540" t="e">
        <f t="shared" si="239"/>
        <v>#N/A</v>
      </c>
      <c r="G6540" s="74">
        <v>29127</v>
      </c>
      <c r="H6540" s="77">
        <v>0.75</v>
      </c>
      <c r="J6540">
        <v>71.960000000000008</v>
      </c>
      <c r="M6540" s="74">
        <v>37893</v>
      </c>
      <c r="N6540" s="77">
        <v>0.75</v>
      </c>
      <c r="P6540">
        <v>57.2</v>
      </c>
      <c r="S6540" s="74">
        <v>34971</v>
      </c>
      <c r="T6540" s="77">
        <v>0.75</v>
      </c>
      <c r="V6540">
        <v>60.980000000000004</v>
      </c>
      <c r="X6540" s="42"/>
      <c r="AB6540">
        <v>67.2</v>
      </c>
      <c r="AC6540">
        <v>59</v>
      </c>
      <c r="AE6540" s="74"/>
      <c r="AF6540" s="77"/>
      <c r="AH6540" s="497">
        <v>60.8</v>
      </c>
      <c r="AJ6540" s="42"/>
      <c r="AK6540" s="74"/>
      <c r="AL6540" s="77"/>
      <c r="AN6540" s="497">
        <v>55.94</v>
      </c>
      <c r="AP6540" s="42"/>
      <c r="AQ6540" s="74"/>
      <c r="AR6540" s="77"/>
      <c r="AT6540" s="497">
        <v>66.92</v>
      </c>
      <c r="AV6540" s="42"/>
      <c r="AW6540" s="74"/>
      <c r="AX6540" s="77"/>
      <c r="BA6540" s="497">
        <v>51.08</v>
      </c>
      <c r="BB6540" s="42"/>
      <c r="BC6540" s="74"/>
      <c r="BD6540" s="77"/>
      <c r="BF6540">
        <v>53.96</v>
      </c>
      <c r="BH6540" s="42"/>
      <c r="BI6540" s="74"/>
      <c r="BJ6540" s="77"/>
      <c r="BL6540" s="497">
        <v>64.94</v>
      </c>
      <c r="BN6540" s="42"/>
      <c r="BO6540" s="74"/>
      <c r="BP6540" s="77"/>
      <c r="BR6540" s="497">
        <v>51.620000000000005</v>
      </c>
      <c r="BT6540" s="42"/>
    </row>
    <row r="6541" spans="1:72" x14ac:dyDescent="0.25">
      <c r="A6541" s="90">
        <v>34971</v>
      </c>
      <c r="B6541" s="20">
        <v>0.79166666666666663</v>
      </c>
      <c r="D6541">
        <v>60.08</v>
      </c>
      <c r="E6541" t="str">
        <f t="shared" si="238"/>
        <v>WEEKDAY</v>
      </c>
      <c r="F6541" t="e">
        <f t="shared" si="239"/>
        <v>#N/A</v>
      </c>
      <c r="G6541" s="74">
        <v>29127</v>
      </c>
      <c r="H6541" s="77">
        <v>0.79166666666666663</v>
      </c>
      <c r="J6541">
        <v>71.06</v>
      </c>
      <c r="M6541" s="74">
        <v>37893</v>
      </c>
      <c r="N6541" s="77">
        <v>0.79166666666666663</v>
      </c>
      <c r="P6541">
        <v>55.400000000000006</v>
      </c>
      <c r="S6541" s="74">
        <v>34971</v>
      </c>
      <c r="T6541" s="77">
        <v>0.79166666666666663</v>
      </c>
      <c r="V6541">
        <v>59</v>
      </c>
      <c r="X6541" s="42"/>
      <c r="AB6541">
        <v>65.599999999999994</v>
      </c>
      <c r="AC6541">
        <v>57.92</v>
      </c>
      <c r="AE6541" s="74"/>
      <c r="AF6541" s="77"/>
      <c r="AH6541" s="497">
        <v>55.400000000000006</v>
      </c>
      <c r="AJ6541" s="42"/>
      <c r="AK6541" s="74"/>
      <c r="AL6541" s="77"/>
      <c r="AN6541" s="497">
        <v>53.96</v>
      </c>
      <c r="AP6541" s="42"/>
      <c r="AQ6541" s="74"/>
      <c r="AR6541" s="77"/>
      <c r="AT6541" s="497">
        <v>66.02</v>
      </c>
      <c r="AV6541" s="42"/>
      <c r="AW6541" s="74"/>
      <c r="AX6541" s="77"/>
      <c r="BA6541" s="497">
        <v>48.92</v>
      </c>
      <c r="BB6541" s="42"/>
      <c r="BC6541" s="74"/>
      <c r="BD6541" s="77"/>
      <c r="BF6541">
        <v>53.06</v>
      </c>
      <c r="BH6541" s="42"/>
      <c r="BI6541" s="74"/>
      <c r="BJ6541" s="77"/>
      <c r="BL6541" s="497">
        <v>60.08</v>
      </c>
      <c r="BN6541" s="42"/>
      <c r="BO6541" s="74"/>
      <c r="BP6541" s="77"/>
      <c r="BR6541" s="497">
        <v>48.019999999999996</v>
      </c>
      <c r="BT6541" s="42"/>
    </row>
    <row r="6542" spans="1:72" x14ac:dyDescent="0.25">
      <c r="A6542" s="90">
        <v>34971</v>
      </c>
      <c r="B6542" s="20">
        <v>0.83333333333333337</v>
      </c>
      <c r="D6542">
        <v>59</v>
      </c>
      <c r="E6542" t="str">
        <f t="shared" si="238"/>
        <v>WEEKDAY</v>
      </c>
      <c r="F6542" t="e">
        <f t="shared" si="239"/>
        <v>#N/A</v>
      </c>
      <c r="G6542" s="74">
        <v>29127</v>
      </c>
      <c r="H6542" s="77">
        <v>0.83333333333333337</v>
      </c>
      <c r="J6542">
        <v>70.7</v>
      </c>
      <c r="M6542" s="74">
        <v>37893</v>
      </c>
      <c r="N6542" s="77">
        <v>0.83333333333333337</v>
      </c>
      <c r="P6542">
        <v>55.400000000000006</v>
      </c>
      <c r="S6542" s="74">
        <v>34971</v>
      </c>
      <c r="T6542" s="77">
        <v>0.83333333333333337</v>
      </c>
      <c r="V6542">
        <v>55.94</v>
      </c>
      <c r="X6542" s="42"/>
      <c r="AB6542">
        <v>64.599999999999994</v>
      </c>
      <c r="AC6542">
        <v>57.019999999999996</v>
      </c>
      <c r="AE6542" s="74"/>
      <c r="AF6542" s="77"/>
      <c r="AH6542" s="497">
        <v>51.8</v>
      </c>
      <c r="AJ6542" s="42"/>
      <c r="AK6542" s="74"/>
      <c r="AL6542" s="77"/>
      <c r="AN6542" s="497">
        <v>51.980000000000004</v>
      </c>
      <c r="AP6542" s="42"/>
      <c r="AQ6542" s="74"/>
      <c r="AR6542" s="77"/>
      <c r="AT6542" s="497">
        <v>64.94</v>
      </c>
      <c r="AV6542" s="42"/>
      <c r="AW6542" s="74"/>
      <c r="AX6542" s="77"/>
      <c r="BA6542" s="497">
        <v>44.96</v>
      </c>
      <c r="BB6542" s="42"/>
      <c r="BC6542" s="74"/>
      <c r="BD6542" s="77"/>
      <c r="BF6542">
        <v>51.980000000000004</v>
      </c>
      <c r="BH6542" s="42"/>
      <c r="BI6542" s="74"/>
      <c r="BJ6542" s="77"/>
      <c r="BL6542" s="497">
        <v>60.08</v>
      </c>
      <c r="BN6542" s="42"/>
      <c r="BO6542" s="74"/>
      <c r="BP6542" s="77"/>
      <c r="BR6542" s="497">
        <v>49.64</v>
      </c>
      <c r="BT6542" s="42"/>
    </row>
    <row r="6543" spans="1:72" x14ac:dyDescent="0.25">
      <c r="A6543" s="90">
        <v>34971</v>
      </c>
      <c r="B6543" s="20">
        <v>0.875</v>
      </c>
      <c r="D6543">
        <v>59</v>
      </c>
      <c r="E6543" t="str">
        <f t="shared" si="238"/>
        <v>WEEKDAY</v>
      </c>
      <c r="F6543" t="e">
        <f t="shared" si="239"/>
        <v>#N/A</v>
      </c>
      <c r="G6543" s="74">
        <v>29127</v>
      </c>
      <c r="H6543" s="77">
        <v>0.875</v>
      </c>
      <c r="J6543">
        <v>70.34</v>
      </c>
      <c r="M6543" s="74">
        <v>37893</v>
      </c>
      <c r="N6543" s="77">
        <v>0.875</v>
      </c>
      <c r="P6543">
        <v>53.6</v>
      </c>
      <c r="S6543" s="74">
        <v>34971</v>
      </c>
      <c r="T6543" s="77">
        <v>0.875</v>
      </c>
      <c r="V6543">
        <v>55.94</v>
      </c>
      <c r="X6543" s="42"/>
      <c r="AB6543">
        <v>64</v>
      </c>
      <c r="AC6543">
        <v>57.019999999999996</v>
      </c>
      <c r="AE6543" s="74"/>
      <c r="AF6543" s="77"/>
      <c r="AH6543" s="497">
        <v>51.8</v>
      </c>
      <c r="AJ6543" s="42"/>
      <c r="AK6543" s="74"/>
      <c r="AL6543" s="77"/>
      <c r="AN6543" s="497">
        <v>50</v>
      </c>
      <c r="AP6543" s="42"/>
      <c r="AQ6543" s="74"/>
      <c r="AR6543" s="77"/>
      <c r="AT6543" s="497">
        <v>60.980000000000004</v>
      </c>
      <c r="AV6543" s="42"/>
      <c r="AW6543" s="74"/>
      <c r="AX6543" s="77"/>
      <c r="BA6543" s="497">
        <v>46.04</v>
      </c>
      <c r="BB6543" s="42"/>
      <c r="BC6543" s="74"/>
      <c r="BD6543" s="77"/>
      <c r="BF6543">
        <v>51.980000000000004</v>
      </c>
      <c r="BH6543" s="42"/>
      <c r="BI6543" s="74"/>
      <c r="BJ6543" s="77"/>
      <c r="BL6543" s="497">
        <v>57.92</v>
      </c>
      <c r="BN6543" s="42"/>
      <c r="BO6543" s="74"/>
      <c r="BP6543" s="77"/>
      <c r="BR6543" s="497">
        <v>51.44</v>
      </c>
      <c r="BT6543" s="42"/>
    </row>
    <row r="6544" spans="1:72" x14ac:dyDescent="0.25">
      <c r="A6544" s="90">
        <v>34971</v>
      </c>
      <c r="B6544" s="20">
        <v>0.91666666666666663</v>
      </c>
      <c r="D6544">
        <v>57.019999999999996</v>
      </c>
      <c r="E6544" t="str">
        <f t="shared" si="238"/>
        <v>WEEKDAY</v>
      </c>
      <c r="F6544" t="e">
        <f t="shared" si="239"/>
        <v>#N/A</v>
      </c>
      <c r="G6544" s="74">
        <v>29127</v>
      </c>
      <c r="H6544" s="77">
        <v>0.91666666666666663</v>
      </c>
      <c r="J6544">
        <v>69.98</v>
      </c>
      <c r="M6544" s="74">
        <v>37893</v>
      </c>
      <c r="N6544" s="77">
        <v>0.91666666666666663</v>
      </c>
      <c r="P6544">
        <v>53.6</v>
      </c>
      <c r="S6544" s="74">
        <v>34971</v>
      </c>
      <c r="T6544" s="77">
        <v>0.91666666666666663</v>
      </c>
      <c r="V6544">
        <v>55.94</v>
      </c>
      <c r="X6544" s="42"/>
      <c r="AB6544">
        <v>63.3</v>
      </c>
      <c r="AC6544">
        <v>53.96</v>
      </c>
      <c r="AE6544" s="74"/>
      <c r="AF6544" s="77"/>
      <c r="AH6544" s="497">
        <v>48.2</v>
      </c>
      <c r="AJ6544" s="42"/>
      <c r="AK6544" s="74"/>
      <c r="AL6544" s="77"/>
      <c r="AN6544" s="497">
        <v>48.019999999999996</v>
      </c>
      <c r="AP6544" s="42"/>
      <c r="AQ6544" s="74"/>
      <c r="AR6544" s="77"/>
      <c r="AT6544" s="497">
        <v>60.08</v>
      </c>
      <c r="AV6544" s="42"/>
      <c r="AW6544" s="74"/>
      <c r="AX6544" s="77"/>
      <c r="BA6544" s="497">
        <v>44.06</v>
      </c>
      <c r="BB6544" s="42"/>
      <c r="BC6544" s="74"/>
      <c r="BD6544" s="77"/>
      <c r="BF6544">
        <v>51.08</v>
      </c>
      <c r="BH6544" s="42"/>
      <c r="BI6544" s="74"/>
      <c r="BJ6544" s="77"/>
      <c r="BL6544" s="497">
        <v>55.94</v>
      </c>
      <c r="BN6544" s="42"/>
      <c r="BO6544" s="74"/>
      <c r="BP6544" s="77"/>
      <c r="BR6544" s="497">
        <v>53.06</v>
      </c>
      <c r="BT6544" s="42"/>
    </row>
    <row r="6545" spans="1:72" x14ac:dyDescent="0.25">
      <c r="A6545" s="90">
        <v>34971</v>
      </c>
      <c r="B6545" s="20">
        <v>0.95833333333333337</v>
      </c>
      <c r="D6545">
        <v>55.040000000000006</v>
      </c>
      <c r="E6545" t="str">
        <f t="shared" si="238"/>
        <v>WEEKDAY</v>
      </c>
      <c r="F6545" t="e">
        <f t="shared" si="239"/>
        <v>#N/A</v>
      </c>
      <c r="G6545" s="74">
        <v>29127</v>
      </c>
      <c r="H6545" s="77">
        <v>0.95833333333333337</v>
      </c>
      <c r="J6545">
        <v>69.259999999999991</v>
      </c>
      <c r="M6545" s="74">
        <v>37893</v>
      </c>
      <c r="N6545" s="77">
        <v>0.95833333333333337</v>
      </c>
      <c r="P6545">
        <v>51.8</v>
      </c>
      <c r="S6545" s="74">
        <v>34971</v>
      </c>
      <c r="T6545" s="77">
        <v>0.95833333333333337</v>
      </c>
      <c r="V6545">
        <v>53.96</v>
      </c>
      <c r="X6545" s="42"/>
      <c r="AB6545">
        <v>62.6</v>
      </c>
      <c r="AC6545">
        <v>51.980000000000004</v>
      </c>
      <c r="AE6545" s="74"/>
      <c r="AF6545" s="77"/>
      <c r="AH6545" s="497">
        <v>53.6</v>
      </c>
      <c r="AJ6545" s="42"/>
      <c r="AK6545" s="74"/>
      <c r="AL6545" s="77"/>
      <c r="AN6545" s="497">
        <v>47.3</v>
      </c>
      <c r="AP6545" s="42"/>
      <c r="AQ6545" s="74"/>
      <c r="AR6545" s="77"/>
      <c r="AT6545" s="497">
        <v>59</v>
      </c>
      <c r="AV6545" s="42"/>
      <c r="AW6545" s="74"/>
      <c r="AX6545" s="77"/>
      <c r="BA6545" s="497">
        <v>42.980000000000004</v>
      </c>
      <c r="BB6545" s="42"/>
      <c r="BC6545" s="74"/>
      <c r="BD6545" s="77"/>
      <c r="BF6545">
        <v>48.92</v>
      </c>
      <c r="BH6545" s="42"/>
      <c r="BI6545" s="74"/>
      <c r="BJ6545" s="77"/>
      <c r="BL6545" s="497">
        <v>55.94</v>
      </c>
      <c r="BN6545" s="42"/>
      <c r="BO6545" s="74"/>
      <c r="BP6545" s="77"/>
      <c r="BR6545" s="497">
        <v>54.68</v>
      </c>
      <c r="BT6545" s="42"/>
    </row>
    <row r="6546" spans="1:72" x14ac:dyDescent="0.25">
      <c r="A6546" s="90">
        <v>34971</v>
      </c>
      <c r="B6546" s="20">
        <v>1</v>
      </c>
      <c r="D6546">
        <v>53.96</v>
      </c>
      <c r="E6546" t="str">
        <f t="shared" si="238"/>
        <v>WEEKDAY</v>
      </c>
      <c r="F6546" t="e">
        <f t="shared" si="239"/>
        <v>#N/A</v>
      </c>
      <c r="G6546" s="74">
        <v>29127</v>
      </c>
      <c r="H6546" s="77">
        <v>1</v>
      </c>
      <c r="J6546">
        <v>68.72</v>
      </c>
      <c r="M6546" s="74">
        <v>37893</v>
      </c>
      <c r="N6546" s="80">
        <v>1</v>
      </c>
      <c r="P6546">
        <v>51.8</v>
      </c>
      <c r="S6546" s="74">
        <v>34971</v>
      </c>
      <c r="T6546" s="80">
        <v>1</v>
      </c>
      <c r="V6546">
        <v>51.980000000000004</v>
      </c>
      <c r="X6546" s="42"/>
      <c r="AB6546">
        <v>61.9</v>
      </c>
      <c r="AC6546">
        <v>55.040000000000006</v>
      </c>
      <c r="AE6546" s="74"/>
      <c r="AF6546" s="80"/>
      <c r="AH6546" s="497">
        <v>53.6</v>
      </c>
      <c r="AJ6546" s="42"/>
      <c r="AK6546" s="74"/>
      <c r="AL6546" s="80"/>
      <c r="AN6546" s="497">
        <v>46.76</v>
      </c>
      <c r="AP6546" s="42"/>
      <c r="AQ6546" s="74"/>
      <c r="AR6546" s="80"/>
      <c r="AT6546" s="497">
        <v>59</v>
      </c>
      <c r="AV6546" s="42"/>
      <c r="AW6546" s="74"/>
      <c r="AX6546" s="80"/>
      <c r="BA6546" s="497">
        <v>44.06</v>
      </c>
      <c r="BB6546" s="42"/>
      <c r="BC6546" s="74"/>
      <c r="BD6546" s="80"/>
      <c r="BF6546">
        <v>48.019999999999996</v>
      </c>
      <c r="BH6546" s="42"/>
      <c r="BI6546" s="74"/>
      <c r="BJ6546" s="80"/>
      <c r="BL6546" s="497">
        <v>55.94</v>
      </c>
      <c r="BN6546" s="42"/>
      <c r="BO6546" s="74"/>
      <c r="BP6546" s="80"/>
      <c r="BR6546" s="497">
        <v>56.3</v>
      </c>
      <c r="BT6546" s="42"/>
    </row>
    <row r="6547" spans="1:72" x14ac:dyDescent="0.25">
      <c r="A6547" s="90">
        <v>34972</v>
      </c>
      <c r="B6547" s="20">
        <v>4.1666666666666664E-2</v>
      </c>
      <c r="D6547">
        <v>53.96</v>
      </c>
      <c r="E6547" t="str">
        <f t="shared" ref="E6547:E6610" si="240">IF(COUNTIF($DI$18:$DI$22, WEEKDAY(A6547))=1, "WEEKDAY", IF(WEEKDAY(A6547) = 1, "SUNDAY", "SATURDAY"))</f>
        <v>SATURDAY</v>
      </c>
      <c r="F6547" t="e">
        <f t="shared" si="239"/>
        <v>#N/A</v>
      </c>
      <c r="G6547" s="74">
        <v>29128</v>
      </c>
      <c r="H6547" s="77">
        <v>4.1666666666666664E-2</v>
      </c>
      <c r="J6547">
        <v>68</v>
      </c>
      <c r="M6547" s="74">
        <v>37894</v>
      </c>
      <c r="N6547" s="77">
        <v>4.1666666666666664E-2</v>
      </c>
      <c r="P6547">
        <v>51.8</v>
      </c>
      <c r="S6547" s="74">
        <v>34972</v>
      </c>
      <c r="T6547" s="77">
        <v>4.1666666666666664E-2</v>
      </c>
      <c r="V6547">
        <v>51.08</v>
      </c>
      <c r="X6547" s="42"/>
      <c r="AB6547">
        <v>61.4</v>
      </c>
      <c r="AC6547">
        <v>55.94</v>
      </c>
      <c r="AE6547" s="74"/>
      <c r="AF6547" s="77"/>
      <c r="AH6547" s="497">
        <v>48.2</v>
      </c>
      <c r="AJ6547" s="42"/>
      <c r="AK6547" s="74"/>
      <c r="AL6547" s="77"/>
      <c r="AN6547" s="497">
        <v>46.04</v>
      </c>
      <c r="AP6547" s="42"/>
      <c r="AQ6547" s="74"/>
      <c r="AR6547" s="77"/>
      <c r="AT6547" s="497">
        <v>57.92</v>
      </c>
      <c r="AV6547" s="42"/>
      <c r="AW6547" s="74"/>
      <c r="AX6547" s="77"/>
      <c r="BA6547" s="497">
        <v>42.980000000000004</v>
      </c>
      <c r="BB6547" s="42"/>
      <c r="BC6547" s="74"/>
      <c r="BD6547" s="77"/>
      <c r="BF6547">
        <v>46.94</v>
      </c>
      <c r="BH6547" s="42"/>
      <c r="BI6547" s="74"/>
      <c r="BJ6547" s="77"/>
      <c r="BL6547" s="497">
        <v>55.94</v>
      </c>
      <c r="BN6547" s="42"/>
      <c r="BO6547" s="74"/>
      <c r="BP6547" s="77"/>
      <c r="BR6547" s="497">
        <v>57.92</v>
      </c>
      <c r="BT6547" s="42"/>
    </row>
    <row r="6548" spans="1:72" x14ac:dyDescent="0.25">
      <c r="A6548" s="90">
        <v>34972</v>
      </c>
      <c r="B6548" s="20">
        <v>8.3333333333333329E-2</v>
      </c>
      <c r="D6548">
        <v>53.06</v>
      </c>
      <c r="E6548" t="str">
        <f t="shared" si="240"/>
        <v>SATURDAY</v>
      </c>
      <c r="F6548" t="e">
        <f t="shared" si="239"/>
        <v>#N/A</v>
      </c>
      <c r="G6548" s="74">
        <v>29128</v>
      </c>
      <c r="H6548" s="77">
        <v>8.3333333333333329E-2</v>
      </c>
      <c r="J6548">
        <v>67.64</v>
      </c>
      <c r="M6548" s="74">
        <v>37894</v>
      </c>
      <c r="N6548" s="77">
        <v>8.3333333333333329E-2</v>
      </c>
      <c r="P6548">
        <v>50</v>
      </c>
      <c r="S6548" s="74">
        <v>34972</v>
      </c>
      <c r="T6548" s="77">
        <v>8.3333333333333329E-2</v>
      </c>
      <c r="V6548">
        <v>51.980000000000004</v>
      </c>
      <c r="X6548" s="42"/>
      <c r="AB6548">
        <v>60.8</v>
      </c>
      <c r="AC6548">
        <v>55.94</v>
      </c>
      <c r="AE6548" s="74"/>
      <c r="AF6548" s="77"/>
      <c r="AH6548" s="497">
        <v>48.2</v>
      </c>
      <c r="AJ6548" s="42"/>
      <c r="AK6548" s="74"/>
      <c r="AL6548" s="77"/>
      <c r="AN6548" s="497">
        <v>46.4</v>
      </c>
      <c r="AP6548" s="42"/>
      <c r="AQ6548" s="74"/>
      <c r="AR6548" s="77"/>
      <c r="AT6548" s="497">
        <v>57.92</v>
      </c>
      <c r="AV6548" s="42"/>
      <c r="AW6548" s="74"/>
      <c r="AX6548" s="77"/>
      <c r="BA6548" s="497">
        <v>39.92</v>
      </c>
      <c r="BB6548" s="42"/>
      <c r="BC6548" s="74"/>
      <c r="BD6548" s="77"/>
      <c r="BF6548">
        <v>46.94</v>
      </c>
      <c r="BH6548" s="42"/>
      <c r="BI6548" s="74"/>
      <c r="BJ6548" s="77"/>
      <c r="BL6548" s="497">
        <v>55.94</v>
      </c>
      <c r="BN6548" s="42"/>
      <c r="BO6548" s="74"/>
      <c r="BP6548" s="77"/>
      <c r="BR6548" s="497">
        <v>57.92</v>
      </c>
      <c r="BT6548" s="42"/>
    </row>
    <row r="6549" spans="1:72" x14ac:dyDescent="0.25">
      <c r="A6549" s="90">
        <v>34972</v>
      </c>
      <c r="B6549" s="20">
        <v>0.125</v>
      </c>
      <c r="D6549">
        <v>53.06</v>
      </c>
      <c r="E6549" t="str">
        <f t="shared" si="240"/>
        <v>SATURDAY</v>
      </c>
      <c r="F6549" t="e">
        <f t="shared" si="239"/>
        <v>#N/A</v>
      </c>
      <c r="G6549" s="74">
        <v>29128</v>
      </c>
      <c r="H6549" s="77">
        <v>0.125</v>
      </c>
      <c r="J6549">
        <v>67.28</v>
      </c>
      <c r="M6549" s="74">
        <v>37894</v>
      </c>
      <c r="N6549" s="77">
        <v>0.125</v>
      </c>
      <c r="P6549">
        <v>50</v>
      </c>
      <c r="S6549" s="74">
        <v>34972</v>
      </c>
      <c r="T6549" s="77">
        <v>0.125</v>
      </c>
      <c r="V6549">
        <v>51.980000000000004</v>
      </c>
      <c r="X6549" s="42"/>
      <c r="AB6549">
        <v>60.2</v>
      </c>
      <c r="AC6549">
        <v>55.040000000000006</v>
      </c>
      <c r="AE6549" s="74"/>
      <c r="AF6549" s="77"/>
      <c r="AH6549" s="497">
        <v>47.3</v>
      </c>
      <c r="AJ6549" s="42"/>
      <c r="AK6549" s="74"/>
      <c r="AL6549" s="77"/>
      <c r="AN6549" s="497">
        <v>46.58</v>
      </c>
      <c r="AP6549" s="42"/>
      <c r="AQ6549" s="74"/>
      <c r="AR6549" s="77"/>
      <c r="AT6549" s="497">
        <v>57.92</v>
      </c>
      <c r="AV6549" s="42"/>
      <c r="AW6549" s="74"/>
      <c r="AX6549" s="77"/>
      <c r="BA6549" s="497">
        <v>39.92</v>
      </c>
      <c r="BB6549" s="42"/>
      <c r="BC6549" s="74"/>
      <c r="BD6549" s="77"/>
      <c r="BF6549">
        <v>46.04</v>
      </c>
      <c r="BH6549" s="42"/>
      <c r="BI6549" s="74"/>
      <c r="BJ6549" s="77"/>
      <c r="BL6549" s="497">
        <v>55.94</v>
      </c>
      <c r="BN6549" s="42"/>
      <c r="BO6549" s="74"/>
      <c r="BP6549" s="77"/>
      <c r="BR6549" s="497">
        <v>57.92</v>
      </c>
      <c r="BT6549" s="42"/>
    </row>
    <row r="6550" spans="1:72" x14ac:dyDescent="0.25">
      <c r="A6550" s="90">
        <v>34972</v>
      </c>
      <c r="B6550" s="20">
        <v>0.16666666666666666</v>
      </c>
      <c r="D6550">
        <v>51.980000000000004</v>
      </c>
      <c r="E6550" t="str">
        <f t="shared" si="240"/>
        <v>SATURDAY</v>
      </c>
      <c r="F6550" t="e">
        <f t="shared" si="239"/>
        <v>#N/A</v>
      </c>
      <c r="G6550" s="74">
        <v>29128</v>
      </c>
      <c r="H6550" s="77">
        <v>0.16666666666666666</v>
      </c>
      <c r="J6550">
        <v>66.92</v>
      </c>
      <c r="M6550" s="74">
        <v>37894</v>
      </c>
      <c r="N6550" s="77">
        <v>0.16666666666666666</v>
      </c>
      <c r="P6550">
        <v>48.2</v>
      </c>
      <c r="S6550" s="74">
        <v>34972</v>
      </c>
      <c r="T6550" s="77">
        <v>0.16666666666666666</v>
      </c>
      <c r="V6550">
        <v>51.08</v>
      </c>
      <c r="X6550" s="42"/>
      <c r="AB6550">
        <v>59.7</v>
      </c>
      <c r="AC6550">
        <v>53.96</v>
      </c>
      <c r="AE6550" s="74"/>
      <c r="AF6550" s="77"/>
      <c r="AH6550" s="497">
        <v>46.4</v>
      </c>
      <c r="AJ6550" s="42"/>
      <c r="AK6550" s="74"/>
      <c r="AL6550" s="77"/>
      <c r="AN6550" s="497">
        <v>46.94</v>
      </c>
      <c r="AP6550" s="42"/>
      <c r="AQ6550" s="74"/>
      <c r="AR6550" s="77"/>
      <c r="AT6550" s="497">
        <v>57.92</v>
      </c>
      <c r="AV6550" s="42"/>
      <c r="AW6550" s="74"/>
      <c r="AX6550" s="77"/>
      <c r="BA6550" s="497">
        <v>39.92</v>
      </c>
      <c r="BB6550" s="42"/>
      <c r="BC6550" s="74"/>
      <c r="BD6550" s="77"/>
      <c r="BF6550">
        <v>44.96</v>
      </c>
      <c r="BH6550" s="42"/>
      <c r="BI6550" s="74"/>
      <c r="BJ6550" s="77"/>
      <c r="BL6550" s="497">
        <v>55.94</v>
      </c>
      <c r="BN6550" s="42"/>
      <c r="BO6550" s="74"/>
      <c r="BP6550" s="77"/>
      <c r="BR6550" s="497">
        <v>57.92</v>
      </c>
      <c r="BT6550" s="42"/>
    </row>
    <row r="6551" spans="1:72" x14ac:dyDescent="0.25">
      <c r="A6551" s="90">
        <v>34972</v>
      </c>
      <c r="B6551" s="20">
        <v>0.20833333333333334</v>
      </c>
      <c r="D6551">
        <v>51.980000000000004</v>
      </c>
      <c r="E6551" t="str">
        <f t="shared" si="240"/>
        <v>SATURDAY</v>
      </c>
      <c r="F6551" t="e">
        <f t="shared" si="239"/>
        <v>#N/A</v>
      </c>
      <c r="G6551" s="74">
        <v>29128</v>
      </c>
      <c r="H6551" s="77">
        <v>0.20833333333333334</v>
      </c>
      <c r="J6551">
        <v>66.02</v>
      </c>
      <c r="M6551" s="74">
        <v>37894</v>
      </c>
      <c r="N6551" s="77">
        <v>0.20833333333333334</v>
      </c>
      <c r="P6551">
        <v>48.2</v>
      </c>
      <c r="S6551" s="74">
        <v>34972</v>
      </c>
      <c r="T6551" s="77">
        <v>0.20833333333333334</v>
      </c>
      <c r="V6551">
        <v>51.08</v>
      </c>
      <c r="X6551" s="42"/>
      <c r="AB6551">
        <v>59.3</v>
      </c>
      <c r="AC6551">
        <v>53.96</v>
      </c>
      <c r="AE6551" s="74"/>
      <c r="AF6551" s="77"/>
      <c r="AH6551" s="497">
        <v>53.6</v>
      </c>
      <c r="AJ6551" s="42"/>
      <c r="AK6551" s="74"/>
      <c r="AL6551" s="77"/>
      <c r="AN6551" s="497">
        <v>46.58</v>
      </c>
      <c r="AP6551" s="42"/>
      <c r="AQ6551" s="74"/>
      <c r="AR6551" s="77"/>
      <c r="AT6551" s="497">
        <v>59</v>
      </c>
      <c r="AV6551" s="42"/>
      <c r="AW6551" s="74"/>
      <c r="AX6551" s="77"/>
      <c r="BA6551" s="497">
        <v>39.92</v>
      </c>
      <c r="BB6551" s="42"/>
      <c r="BC6551" s="74"/>
      <c r="BD6551" s="77"/>
      <c r="BF6551">
        <v>44.96</v>
      </c>
      <c r="BH6551" s="42"/>
      <c r="BI6551" s="74"/>
      <c r="BJ6551" s="77"/>
      <c r="BL6551" s="497">
        <v>55.94</v>
      </c>
      <c r="BN6551" s="42"/>
      <c r="BO6551" s="74"/>
      <c r="BP6551" s="77"/>
      <c r="BR6551" s="497">
        <v>58.28</v>
      </c>
      <c r="BT6551" s="42"/>
    </row>
    <row r="6552" spans="1:72" x14ac:dyDescent="0.25">
      <c r="A6552" s="90">
        <v>34972</v>
      </c>
      <c r="B6552" s="20">
        <v>0.25</v>
      </c>
      <c r="D6552">
        <v>51.980000000000004</v>
      </c>
      <c r="E6552" t="str">
        <f t="shared" si="240"/>
        <v>SATURDAY</v>
      </c>
      <c r="F6552" t="e">
        <f t="shared" si="239"/>
        <v>#N/A</v>
      </c>
      <c r="G6552" s="74">
        <v>29128</v>
      </c>
      <c r="H6552" s="77">
        <v>0.25</v>
      </c>
      <c r="J6552">
        <v>64.94</v>
      </c>
      <c r="M6552" s="74">
        <v>37894</v>
      </c>
      <c r="N6552" s="77">
        <v>0.25</v>
      </c>
      <c r="P6552">
        <v>48.2</v>
      </c>
      <c r="S6552" s="74">
        <v>34972</v>
      </c>
      <c r="T6552" s="77">
        <v>0.25</v>
      </c>
      <c r="V6552">
        <v>51.980000000000004</v>
      </c>
      <c r="X6552" s="42"/>
      <c r="AB6552">
        <v>59.1</v>
      </c>
      <c r="AC6552">
        <v>53.06</v>
      </c>
      <c r="AE6552" s="74"/>
      <c r="AF6552" s="77"/>
      <c r="AH6552" s="497">
        <v>46.4</v>
      </c>
      <c r="AJ6552" s="42"/>
      <c r="AK6552" s="74"/>
      <c r="AL6552" s="77"/>
      <c r="AN6552" s="497">
        <v>46.4</v>
      </c>
      <c r="AP6552" s="42"/>
      <c r="AQ6552" s="74"/>
      <c r="AR6552" s="77"/>
      <c r="AT6552" s="497">
        <v>59</v>
      </c>
      <c r="AV6552" s="42"/>
      <c r="AW6552" s="74"/>
      <c r="AX6552" s="77"/>
      <c r="BA6552" s="497">
        <v>42.08</v>
      </c>
      <c r="BB6552" s="42"/>
      <c r="BC6552" s="74"/>
      <c r="BD6552" s="77"/>
      <c r="BF6552">
        <v>44.96</v>
      </c>
      <c r="BH6552" s="42"/>
      <c r="BI6552" s="74"/>
      <c r="BJ6552" s="77"/>
      <c r="BL6552" s="497">
        <v>55.94</v>
      </c>
      <c r="BN6552" s="42"/>
      <c r="BO6552" s="74"/>
      <c r="BP6552" s="77"/>
      <c r="BR6552" s="497">
        <v>58.64</v>
      </c>
      <c r="BT6552" s="42"/>
    </row>
    <row r="6553" spans="1:72" x14ac:dyDescent="0.25">
      <c r="A6553" s="90">
        <v>34972</v>
      </c>
      <c r="B6553" s="20">
        <v>0.29166666666666669</v>
      </c>
      <c r="D6553">
        <v>51.980000000000004</v>
      </c>
      <c r="E6553" t="str">
        <f t="shared" si="240"/>
        <v>SATURDAY</v>
      </c>
      <c r="F6553" t="e">
        <f t="shared" si="239"/>
        <v>#N/A</v>
      </c>
      <c r="G6553" s="74">
        <v>29128</v>
      </c>
      <c r="H6553" s="77">
        <v>0.29166666666666669</v>
      </c>
      <c r="J6553">
        <v>64.039999999999992</v>
      </c>
      <c r="M6553" s="74">
        <v>37894</v>
      </c>
      <c r="N6553" s="77">
        <v>0.29166666666666669</v>
      </c>
      <c r="P6553">
        <v>50</v>
      </c>
      <c r="S6553" s="74">
        <v>34972</v>
      </c>
      <c r="T6553" s="77">
        <v>0.29166666666666669</v>
      </c>
      <c r="V6553">
        <v>53.06</v>
      </c>
      <c r="X6553" s="42"/>
      <c r="AB6553">
        <v>58.9</v>
      </c>
      <c r="AC6553">
        <v>57.019999999999996</v>
      </c>
      <c r="AE6553" s="74"/>
      <c r="AF6553" s="77"/>
      <c r="AH6553" s="497">
        <v>48.2</v>
      </c>
      <c r="AJ6553" s="42"/>
      <c r="AK6553" s="74"/>
      <c r="AL6553" s="77"/>
      <c r="AN6553" s="497">
        <v>46.04</v>
      </c>
      <c r="AP6553" s="42"/>
      <c r="AQ6553" s="74"/>
      <c r="AR6553" s="77"/>
      <c r="AT6553" s="497">
        <v>62.06</v>
      </c>
      <c r="AV6553" s="42"/>
      <c r="AW6553" s="74"/>
      <c r="AX6553" s="77"/>
      <c r="BA6553" s="497">
        <v>42.980000000000004</v>
      </c>
      <c r="BB6553" s="42"/>
      <c r="BC6553" s="74"/>
      <c r="BD6553" s="77"/>
      <c r="BF6553">
        <v>46.04</v>
      </c>
      <c r="BH6553" s="42"/>
      <c r="BI6553" s="74"/>
      <c r="BJ6553" s="77"/>
      <c r="BL6553" s="497">
        <v>55.94</v>
      </c>
      <c r="BN6553" s="42"/>
      <c r="BO6553" s="74"/>
      <c r="BP6553" s="77"/>
      <c r="BR6553" s="497">
        <v>59</v>
      </c>
      <c r="BT6553" s="42"/>
    </row>
    <row r="6554" spans="1:72" x14ac:dyDescent="0.25">
      <c r="A6554" s="90">
        <v>34972</v>
      </c>
      <c r="B6554" s="20">
        <v>0.33333333333333331</v>
      </c>
      <c r="D6554">
        <v>51.980000000000004</v>
      </c>
      <c r="E6554" t="str">
        <f t="shared" si="240"/>
        <v>SATURDAY</v>
      </c>
      <c r="F6554" t="e">
        <f t="shared" si="239"/>
        <v>#N/A</v>
      </c>
      <c r="G6554" s="74">
        <v>29128</v>
      </c>
      <c r="H6554" s="77">
        <v>0.33333333333333331</v>
      </c>
      <c r="J6554">
        <v>64.400000000000006</v>
      </c>
      <c r="M6554" s="74">
        <v>37894</v>
      </c>
      <c r="N6554" s="77">
        <v>0.33333333333333331</v>
      </c>
      <c r="P6554">
        <v>53.6</v>
      </c>
      <c r="S6554" s="74">
        <v>34972</v>
      </c>
      <c r="T6554" s="77">
        <v>0.33333333333333331</v>
      </c>
      <c r="V6554">
        <v>57.019999999999996</v>
      </c>
      <c r="X6554" s="42"/>
      <c r="AB6554">
        <v>60.3</v>
      </c>
      <c r="AC6554">
        <v>60.980000000000004</v>
      </c>
      <c r="AE6554" s="74"/>
      <c r="AF6554" s="77"/>
      <c r="AH6554" s="497">
        <v>54.68</v>
      </c>
      <c r="AJ6554" s="42"/>
      <c r="AK6554" s="74"/>
      <c r="AL6554" s="77"/>
      <c r="AN6554" s="497">
        <v>48.019999999999996</v>
      </c>
      <c r="AP6554" s="42"/>
      <c r="AQ6554" s="74"/>
      <c r="AR6554" s="77"/>
      <c r="AT6554" s="497">
        <v>64.94</v>
      </c>
      <c r="AV6554" s="42"/>
      <c r="AW6554" s="74"/>
      <c r="AX6554" s="77"/>
      <c r="BA6554" s="497">
        <v>50</v>
      </c>
      <c r="BB6554" s="42"/>
      <c r="BC6554" s="74"/>
      <c r="BD6554" s="77"/>
      <c r="BF6554">
        <v>50</v>
      </c>
      <c r="BH6554" s="42"/>
      <c r="BI6554" s="74"/>
      <c r="BJ6554" s="77"/>
      <c r="BL6554" s="497">
        <v>57.92</v>
      </c>
      <c r="BN6554" s="42"/>
      <c r="BO6554" s="74"/>
      <c r="BP6554" s="77"/>
      <c r="BR6554" s="497">
        <v>61.34</v>
      </c>
      <c r="BT6554" s="42"/>
    </row>
    <row r="6555" spans="1:72" x14ac:dyDescent="0.25">
      <c r="A6555" s="90">
        <v>34972</v>
      </c>
      <c r="B6555" s="20">
        <v>0.375</v>
      </c>
      <c r="D6555">
        <v>53.06</v>
      </c>
      <c r="E6555" t="str">
        <f t="shared" si="240"/>
        <v>SATURDAY</v>
      </c>
      <c r="F6555" t="e">
        <f t="shared" si="239"/>
        <v>#N/A</v>
      </c>
      <c r="G6555" s="74">
        <v>29128</v>
      </c>
      <c r="H6555" s="77">
        <v>0.375</v>
      </c>
      <c r="J6555">
        <v>64.580000000000013</v>
      </c>
      <c r="M6555" s="74">
        <v>37894</v>
      </c>
      <c r="N6555" s="77">
        <v>0.375</v>
      </c>
      <c r="P6555">
        <v>53.6</v>
      </c>
      <c r="S6555" s="74">
        <v>34972</v>
      </c>
      <c r="T6555" s="77">
        <v>0.375</v>
      </c>
      <c r="V6555">
        <v>60.08</v>
      </c>
      <c r="X6555" s="42"/>
      <c r="AB6555">
        <v>62.6</v>
      </c>
      <c r="AC6555">
        <v>64.039999999999992</v>
      </c>
      <c r="AE6555" s="74"/>
      <c r="AF6555" s="77"/>
      <c r="AH6555" s="497">
        <v>60.8</v>
      </c>
      <c r="AJ6555" s="42"/>
      <c r="AK6555" s="74"/>
      <c r="AL6555" s="77"/>
      <c r="AN6555" s="497">
        <v>50</v>
      </c>
      <c r="AP6555" s="42"/>
      <c r="AQ6555" s="74"/>
      <c r="AR6555" s="77"/>
      <c r="AT6555" s="497">
        <v>66.92</v>
      </c>
      <c r="AV6555" s="42"/>
      <c r="AW6555" s="74"/>
      <c r="AX6555" s="77"/>
      <c r="BA6555" s="497">
        <v>57.019999999999996</v>
      </c>
      <c r="BB6555" s="42"/>
      <c r="BC6555" s="74"/>
      <c r="BD6555" s="77"/>
      <c r="BF6555">
        <v>53.06</v>
      </c>
      <c r="BH6555" s="42"/>
      <c r="BI6555" s="74"/>
      <c r="BJ6555" s="77"/>
      <c r="BL6555" s="497">
        <v>60.980000000000004</v>
      </c>
      <c r="BN6555" s="42"/>
      <c r="BO6555" s="74"/>
      <c r="BP6555" s="77"/>
      <c r="BR6555" s="497">
        <v>63.680000000000007</v>
      </c>
      <c r="BT6555" s="42"/>
    </row>
    <row r="6556" spans="1:72" x14ac:dyDescent="0.25">
      <c r="A6556" s="90">
        <v>34972</v>
      </c>
      <c r="B6556" s="20">
        <v>0.41666666666666669</v>
      </c>
      <c r="D6556">
        <v>53.96</v>
      </c>
      <c r="E6556" t="str">
        <f t="shared" si="240"/>
        <v>SATURDAY</v>
      </c>
      <c r="F6556" t="e">
        <f t="shared" si="239"/>
        <v>#N/A</v>
      </c>
      <c r="G6556" s="74">
        <v>29128</v>
      </c>
      <c r="H6556" s="77">
        <v>0.41666666666666669</v>
      </c>
      <c r="J6556">
        <v>64.94</v>
      </c>
      <c r="M6556" s="74">
        <v>37894</v>
      </c>
      <c r="N6556" s="77">
        <v>0.41666666666666669</v>
      </c>
      <c r="P6556">
        <v>57.2</v>
      </c>
      <c r="S6556" s="74">
        <v>34972</v>
      </c>
      <c r="T6556" s="77">
        <v>0.41666666666666669</v>
      </c>
      <c r="V6556">
        <v>62.06</v>
      </c>
      <c r="X6556" s="42"/>
      <c r="AB6556">
        <v>64.599999999999994</v>
      </c>
      <c r="AC6556">
        <v>66.02</v>
      </c>
      <c r="AE6556" s="74"/>
      <c r="AF6556" s="77"/>
      <c r="AH6556" s="497">
        <v>62.6</v>
      </c>
      <c r="AJ6556" s="42"/>
      <c r="AK6556" s="74"/>
      <c r="AL6556" s="77"/>
      <c r="AN6556" s="497">
        <v>51.980000000000004</v>
      </c>
      <c r="AP6556" s="42"/>
      <c r="AQ6556" s="74"/>
      <c r="AR6556" s="77"/>
      <c r="AT6556" s="497">
        <v>69.080000000000013</v>
      </c>
      <c r="AV6556" s="42"/>
      <c r="AW6556" s="74"/>
      <c r="AX6556" s="77"/>
      <c r="BA6556" s="497">
        <v>60.08</v>
      </c>
      <c r="BB6556" s="42"/>
      <c r="BC6556" s="74"/>
      <c r="BD6556" s="77"/>
      <c r="BF6556">
        <v>55.94</v>
      </c>
      <c r="BH6556" s="42"/>
      <c r="BI6556" s="74"/>
      <c r="BJ6556" s="77"/>
      <c r="BL6556" s="497">
        <v>62.96</v>
      </c>
      <c r="BN6556" s="42"/>
      <c r="BO6556" s="74"/>
      <c r="BP6556" s="77"/>
      <c r="BR6556" s="497">
        <v>66.02</v>
      </c>
      <c r="BT6556" s="42"/>
    </row>
    <row r="6557" spans="1:72" x14ac:dyDescent="0.25">
      <c r="A6557" s="90">
        <v>34972</v>
      </c>
      <c r="B6557" s="20">
        <v>0.45833333333333331</v>
      </c>
      <c r="D6557">
        <v>55.040000000000006</v>
      </c>
      <c r="E6557" t="str">
        <f t="shared" si="240"/>
        <v>SATURDAY</v>
      </c>
      <c r="F6557" t="e">
        <f t="shared" si="239"/>
        <v>#N/A</v>
      </c>
      <c r="G6557" s="74">
        <v>29128</v>
      </c>
      <c r="H6557" s="77">
        <v>0.45833333333333331</v>
      </c>
      <c r="J6557">
        <v>64.580000000000013</v>
      </c>
      <c r="M6557" s="74">
        <v>37894</v>
      </c>
      <c r="N6557" s="77">
        <v>0.45833333333333331</v>
      </c>
      <c r="P6557">
        <v>57.2</v>
      </c>
      <c r="S6557" s="74">
        <v>34972</v>
      </c>
      <c r="T6557" s="77">
        <v>0.45833333333333331</v>
      </c>
      <c r="V6557">
        <v>64.039999999999992</v>
      </c>
      <c r="X6557" s="42"/>
      <c r="AB6557">
        <v>66.2</v>
      </c>
      <c r="AC6557">
        <v>66.02</v>
      </c>
      <c r="AE6557" s="74"/>
      <c r="AF6557" s="77"/>
      <c r="AH6557" s="497">
        <v>64.400000000000006</v>
      </c>
      <c r="AJ6557" s="42"/>
      <c r="AK6557" s="74"/>
      <c r="AL6557" s="77"/>
      <c r="AN6557" s="497">
        <v>53.96</v>
      </c>
      <c r="AP6557" s="42"/>
      <c r="AQ6557" s="74"/>
      <c r="AR6557" s="77"/>
      <c r="AT6557" s="497">
        <v>73.94</v>
      </c>
      <c r="AV6557" s="42"/>
      <c r="AW6557" s="74"/>
      <c r="AX6557" s="77"/>
      <c r="BA6557" s="497">
        <v>62.96</v>
      </c>
      <c r="BB6557" s="42"/>
      <c r="BC6557" s="74"/>
      <c r="BD6557" s="77"/>
      <c r="BF6557">
        <v>57.92</v>
      </c>
      <c r="BH6557" s="42"/>
      <c r="BI6557" s="74"/>
      <c r="BJ6557" s="77"/>
      <c r="BL6557" s="497">
        <v>66.02</v>
      </c>
      <c r="BN6557" s="42"/>
      <c r="BO6557" s="74"/>
      <c r="BP6557" s="77"/>
      <c r="BR6557" s="497">
        <v>67.64</v>
      </c>
      <c r="BT6557" s="42"/>
    </row>
    <row r="6558" spans="1:72" x14ac:dyDescent="0.25">
      <c r="A6558" s="90">
        <v>34972</v>
      </c>
      <c r="B6558" s="20">
        <v>0.5</v>
      </c>
      <c r="D6558">
        <v>55.040000000000006</v>
      </c>
      <c r="E6558" t="str">
        <f t="shared" si="240"/>
        <v>SATURDAY</v>
      </c>
      <c r="F6558" t="e">
        <f t="shared" si="239"/>
        <v>#N/A</v>
      </c>
      <c r="G6558" s="74">
        <v>29128</v>
      </c>
      <c r="H6558" s="77">
        <v>0.5</v>
      </c>
      <c r="J6558">
        <v>64.400000000000006</v>
      </c>
      <c r="M6558" s="74">
        <v>37894</v>
      </c>
      <c r="N6558" s="77">
        <v>0.5</v>
      </c>
      <c r="P6558">
        <v>59.18</v>
      </c>
      <c r="S6558" s="74">
        <v>34972</v>
      </c>
      <c r="T6558" s="77">
        <v>0.5</v>
      </c>
      <c r="V6558">
        <v>68</v>
      </c>
      <c r="X6558" s="42"/>
      <c r="AB6558">
        <v>67.7</v>
      </c>
      <c r="AC6558">
        <v>64.94</v>
      </c>
      <c r="AE6558" s="74"/>
      <c r="AF6558" s="77"/>
      <c r="AH6558" s="497">
        <v>66.2</v>
      </c>
      <c r="AJ6558" s="42"/>
      <c r="AK6558" s="74"/>
      <c r="AL6558" s="77"/>
      <c r="AN6558" s="497">
        <v>55.94</v>
      </c>
      <c r="AP6558" s="42"/>
      <c r="AQ6558" s="74"/>
      <c r="AR6558" s="77"/>
      <c r="AT6558" s="497">
        <v>73.94</v>
      </c>
      <c r="AV6558" s="42"/>
      <c r="AW6558" s="74"/>
      <c r="AX6558" s="77"/>
      <c r="BA6558" s="497">
        <v>66.02</v>
      </c>
      <c r="BB6558" s="42"/>
      <c r="BC6558" s="74"/>
      <c r="BD6558" s="77"/>
      <c r="BF6558">
        <v>60.980000000000004</v>
      </c>
      <c r="BH6558" s="42"/>
      <c r="BI6558" s="74"/>
      <c r="BJ6558" s="77"/>
      <c r="BL6558" s="497">
        <v>66.92</v>
      </c>
      <c r="BN6558" s="42"/>
      <c r="BO6558" s="74"/>
      <c r="BP6558" s="77"/>
      <c r="BR6558" s="497">
        <v>69.44</v>
      </c>
      <c r="BT6558" s="42"/>
    </row>
    <row r="6559" spans="1:72" x14ac:dyDescent="0.25">
      <c r="A6559" s="90">
        <v>34972</v>
      </c>
      <c r="B6559" s="20">
        <v>0.54166666666666663</v>
      </c>
      <c r="D6559">
        <v>53.96</v>
      </c>
      <c r="E6559" t="str">
        <f t="shared" si="240"/>
        <v>SATURDAY</v>
      </c>
      <c r="F6559" t="e">
        <f t="shared" si="239"/>
        <v>#N/A</v>
      </c>
      <c r="G6559" s="74">
        <v>29128</v>
      </c>
      <c r="H6559" s="77">
        <v>0.54166666666666663</v>
      </c>
      <c r="J6559">
        <v>64.039999999999992</v>
      </c>
      <c r="M6559" s="74">
        <v>37894</v>
      </c>
      <c r="N6559" s="77">
        <v>0.54166666666666663</v>
      </c>
      <c r="P6559">
        <v>60.8</v>
      </c>
      <c r="S6559" s="74">
        <v>34972</v>
      </c>
      <c r="T6559" s="77">
        <v>0.54166666666666663</v>
      </c>
      <c r="V6559">
        <v>69.080000000000013</v>
      </c>
      <c r="X6559" s="42"/>
      <c r="AB6559">
        <v>68.8</v>
      </c>
      <c r="AC6559">
        <v>64.039999999999992</v>
      </c>
      <c r="AE6559" s="74"/>
      <c r="AF6559" s="77"/>
      <c r="AH6559" s="497">
        <v>66.2</v>
      </c>
      <c r="AJ6559" s="42"/>
      <c r="AK6559" s="74"/>
      <c r="AL6559" s="77"/>
      <c r="AN6559" s="497">
        <v>57.92</v>
      </c>
      <c r="AP6559" s="42"/>
      <c r="AQ6559" s="74"/>
      <c r="AR6559" s="77"/>
      <c r="AT6559" s="497">
        <v>75.02</v>
      </c>
      <c r="AV6559" s="42"/>
      <c r="AW6559" s="74"/>
      <c r="AX6559" s="77"/>
      <c r="BA6559" s="497">
        <v>66.92</v>
      </c>
      <c r="BB6559" s="42"/>
      <c r="BC6559" s="74"/>
      <c r="BD6559" s="77"/>
      <c r="BF6559">
        <v>60.980000000000004</v>
      </c>
      <c r="BH6559" s="42"/>
      <c r="BI6559" s="74"/>
      <c r="BJ6559" s="77"/>
      <c r="BL6559" s="497">
        <v>68</v>
      </c>
      <c r="BN6559" s="42"/>
      <c r="BO6559" s="74"/>
      <c r="BP6559" s="77"/>
      <c r="BR6559" s="497">
        <v>71.06</v>
      </c>
      <c r="BT6559" s="42"/>
    </row>
    <row r="6560" spans="1:72" x14ac:dyDescent="0.25">
      <c r="A6560" s="90">
        <v>34972</v>
      </c>
      <c r="B6560" s="20">
        <v>0.58333333333333337</v>
      </c>
      <c r="D6560">
        <v>55.040000000000006</v>
      </c>
      <c r="E6560" t="str">
        <f t="shared" si="240"/>
        <v>SATURDAY</v>
      </c>
      <c r="F6560" t="e">
        <f t="shared" si="239"/>
        <v>#N/A</v>
      </c>
      <c r="G6560" s="74">
        <v>29128</v>
      </c>
      <c r="H6560" s="77">
        <v>0.58333333333333337</v>
      </c>
      <c r="J6560">
        <v>64.039999999999992</v>
      </c>
      <c r="M6560" s="74">
        <v>37894</v>
      </c>
      <c r="N6560" s="77">
        <v>0.58333333333333337</v>
      </c>
      <c r="P6560">
        <v>62.6</v>
      </c>
      <c r="S6560" s="74">
        <v>34972</v>
      </c>
      <c r="T6560" s="77">
        <v>0.58333333333333337</v>
      </c>
      <c r="V6560">
        <v>66.92</v>
      </c>
      <c r="X6560" s="42"/>
      <c r="AB6560">
        <v>69.099999999999994</v>
      </c>
      <c r="AC6560">
        <v>62.96</v>
      </c>
      <c r="AE6560" s="74"/>
      <c r="AF6560" s="77"/>
      <c r="AH6560" s="497">
        <v>66.2</v>
      </c>
      <c r="AJ6560" s="42"/>
      <c r="AK6560" s="74"/>
      <c r="AL6560" s="77"/>
      <c r="AN6560" s="497">
        <v>57.2</v>
      </c>
      <c r="AP6560" s="42"/>
      <c r="AQ6560" s="74"/>
      <c r="AR6560" s="77"/>
      <c r="AT6560" s="497">
        <v>73.039999999999992</v>
      </c>
      <c r="AV6560" s="42"/>
      <c r="AW6560" s="74"/>
      <c r="AX6560" s="77"/>
      <c r="BA6560" s="497">
        <v>68</v>
      </c>
      <c r="BB6560" s="42"/>
      <c r="BC6560" s="74"/>
      <c r="BD6560" s="77"/>
      <c r="BF6560">
        <v>60.08</v>
      </c>
      <c r="BH6560" s="42"/>
      <c r="BI6560" s="74"/>
      <c r="BJ6560" s="77"/>
      <c r="BL6560" s="497">
        <v>68</v>
      </c>
      <c r="BN6560" s="42"/>
      <c r="BO6560" s="74"/>
      <c r="BP6560" s="77"/>
      <c r="BR6560" s="497">
        <v>70.7</v>
      </c>
      <c r="BT6560" s="42"/>
    </row>
    <row r="6561" spans="1:72" x14ac:dyDescent="0.25">
      <c r="A6561" s="90">
        <v>34972</v>
      </c>
      <c r="B6561" s="20">
        <v>0.625</v>
      </c>
      <c r="D6561">
        <v>55.94</v>
      </c>
      <c r="E6561" t="str">
        <f t="shared" si="240"/>
        <v>SATURDAY</v>
      </c>
      <c r="F6561" t="e">
        <f t="shared" si="239"/>
        <v>#N/A</v>
      </c>
      <c r="G6561" s="74">
        <v>29128</v>
      </c>
      <c r="H6561" s="77">
        <v>0.625</v>
      </c>
      <c r="J6561">
        <v>64.039999999999992</v>
      </c>
      <c r="M6561" s="74">
        <v>37894</v>
      </c>
      <c r="N6561" s="77">
        <v>0.625</v>
      </c>
      <c r="P6561">
        <v>60.8</v>
      </c>
      <c r="S6561" s="74">
        <v>34972</v>
      </c>
      <c r="T6561" s="77">
        <v>0.625</v>
      </c>
      <c r="V6561">
        <v>66.92</v>
      </c>
      <c r="X6561" s="42"/>
      <c r="AB6561">
        <v>69.2</v>
      </c>
      <c r="AC6561">
        <v>62.06</v>
      </c>
      <c r="AE6561" s="74"/>
      <c r="AF6561" s="77"/>
      <c r="AH6561" s="497">
        <v>66.2</v>
      </c>
      <c r="AJ6561" s="42"/>
      <c r="AK6561" s="74"/>
      <c r="AL6561" s="77"/>
      <c r="AN6561" s="497">
        <v>56.66</v>
      </c>
      <c r="AP6561" s="42"/>
      <c r="AQ6561" s="74"/>
      <c r="AR6561" s="77"/>
      <c r="AT6561" s="497">
        <v>73.039999999999992</v>
      </c>
      <c r="AV6561" s="42"/>
      <c r="AW6561" s="74"/>
      <c r="AX6561" s="77"/>
      <c r="BA6561" s="497">
        <v>69.080000000000013</v>
      </c>
      <c r="BB6561" s="42"/>
      <c r="BC6561" s="74"/>
      <c r="BD6561" s="77"/>
      <c r="BF6561">
        <v>60.08</v>
      </c>
      <c r="BH6561" s="42"/>
      <c r="BI6561" s="74"/>
      <c r="BJ6561" s="77"/>
      <c r="BL6561" s="497">
        <v>66.02</v>
      </c>
      <c r="BN6561" s="42"/>
      <c r="BO6561" s="74"/>
      <c r="BP6561" s="77"/>
      <c r="BR6561" s="497">
        <v>70.34</v>
      </c>
      <c r="BT6561" s="42"/>
    </row>
    <row r="6562" spans="1:72" x14ac:dyDescent="0.25">
      <c r="A6562" s="90">
        <v>34972</v>
      </c>
      <c r="B6562" s="20">
        <v>0.66666666666666663</v>
      </c>
      <c r="D6562">
        <v>55.040000000000006</v>
      </c>
      <c r="E6562" t="str">
        <f t="shared" si="240"/>
        <v>SATURDAY</v>
      </c>
      <c r="F6562" t="e">
        <f t="shared" si="239"/>
        <v>#N/A</v>
      </c>
      <c r="G6562" s="74">
        <v>29128</v>
      </c>
      <c r="H6562" s="77">
        <v>0.66666666666666663</v>
      </c>
      <c r="J6562">
        <v>64.039999999999992</v>
      </c>
      <c r="M6562" s="74">
        <v>37894</v>
      </c>
      <c r="N6562" s="77">
        <v>0.66666666666666663</v>
      </c>
      <c r="P6562">
        <v>60.8</v>
      </c>
      <c r="S6562" s="74">
        <v>34972</v>
      </c>
      <c r="T6562" s="77">
        <v>0.66666666666666663</v>
      </c>
      <c r="V6562">
        <v>64.94</v>
      </c>
      <c r="X6562" s="42"/>
      <c r="AB6562">
        <v>69</v>
      </c>
      <c r="AC6562">
        <v>62.06</v>
      </c>
      <c r="AE6562" s="74"/>
      <c r="AF6562" s="77"/>
      <c r="AH6562" s="497">
        <v>69.800000000000011</v>
      </c>
      <c r="AJ6562" s="42"/>
      <c r="AK6562" s="74"/>
      <c r="AL6562" s="77"/>
      <c r="AN6562" s="497">
        <v>55.94</v>
      </c>
      <c r="AP6562" s="42"/>
      <c r="AQ6562" s="74"/>
      <c r="AR6562" s="77"/>
      <c r="AT6562" s="497">
        <v>69.98</v>
      </c>
      <c r="AV6562" s="42"/>
      <c r="AW6562" s="74"/>
      <c r="AX6562" s="77"/>
      <c r="BA6562" s="497">
        <v>69.080000000000013</v>
      </c>
      <c r="BB6562" s="42"/>
      <c r="BC6562" s="74"/>
      <c r="BD6562" s="77"/>
      <c r="BF6562">
        <v>60.08</v>
      </c>
      <c r="BH6562" s="42"/>
      <c r="BI6562" s="74"/>
      <c r="BJ6562" s="77"/>
      <c r="BL6562" s="497">
        <v>66.02</v>
      </c>
      <c r="BN6562" s="42"/>
      <c r="BO6562" s="74"/>
      <c r="BP6562" s="77"/>
      <c r="BR6562" s="497">
        <v>69.98</v>
      </c>
      <c r="BT6562" s="42"/>
    </row>
    <row r="6563" spans="1:72" x14ac:dyDescent="0.25">
      <c r="A6563" s="90">
        <v>34972</v>
      </c>
      <c r="B6563" s="20">
        <v>0.70833333333333337</v>
      </c>
      <c r="D6563">
        <v>55.040000000000006</v>
      </c>
      <c r="E6563" t="str">
        <f t="shared" si="240"/>
        <v>SATURDAY</v>
      </c>
      <c r="F6563" t="e">
        <f t="shared" si="239"/>
        <v>#N/A</v>
      </c>
      <c r="G6563" s="74">
        <v>29128</v>
      </c>
      <c r="H6563" s="77">
        <v>0.70833333333333337</v>
      </c>
      <c r="J6563">
        <v>63.680000000000007</v>
      </c>
      <c r="M6563" s="74">
        <v>37894</v>
      </c>
      <c r="N6563" s="77">
        <v>0.70833333333333337</v>
      </c>
      <c r="P6563">
        <v>59</v>
      </c>
      <c r="S6563" s="74">
        <v>34972</v>
      </c>
      <c r="T6563" s="77">
        <v>0.70833333333333337</v>
      </c>
      <c r="V6563">
        <v>64.94</v>
      </c>
      <c r="X6563" s="42"/>
      <c r="AB6563">
        <v>68.099999999999994</v>
      </c>
      <c r="AC6563">
        <v>60.08</v>
      </c>
      <c r="AE6563" s="74"/>
      <c r="AF6563" s="77"/>
      <c r="AH6563" s="497">
        <v>68</v>
      </c>
      <c r="AJ6563" s="42"/>
      <c r="AK6563" s="74"/>
      <c r="AL6563" s="77"/>
      <c r="AN6563" s="497">
        <v>54.68</v>
      </c>
      <c r="AP6563" s="42"/>
      <c r="AQ6563" s="74"/>
      <c r="AR6563" s="77"/>
      <c r="AT6563" s="497">
        <v>59</v>
      </c>
      <c r="AV6563" s="42"/>
      <c r="AW6563" s="74"/>
      <c r="AX6563" s="77"/>
      <c r="BA6563" s="497">
        <v>68</v>
      </c>
      <c r="BB6563" s="42"/>
      <c r="BC6563" s="74"/>
      <c r="BD6563" s="77"/>
      <c r="BF6563">
        <v>60.08</v>
      </c>
      <c r="BH6563" s="42"/>
      <c r="BI6563" s="74"/>
      <c r="BJ6563" s="77"/>
      <c r="BL6563" s="497">
        <v>66.02</v>
      </c>
      <c r="BN6563" s="42"/>
      <c r="BO6563" s="74"/>
      <c r="BP6563" s="77"/>
      <c r="BR6563" s="497">
        <v>67.28</v>
      </c>
      <c r="BT6563" s="42"/>
    </row>
    <row r="6564" spans="1:72" x14ac:dyDescent="0.25">
      <c r="A6564" s="90">
        <v>34972</v>
      </c>
      <c r="B6564" s="20">
        <v>0.75</v>
      </c>
      <c r="D6564">
        <v>53.06</v>
      </c>
      <c r="E6564" t="str">
        <f t="shared" si="240"/>
        <v>SATURDAY</v>
      </c>
      <c r="F6564" t="e">
        <f t="shared" si="239"/>
        <v>#N/A</v>
      </c>
      <c r="G6564" s="74">
        <v>29128</v>
      </c>
      <c r="H6564" s="77">
        <v>0.75</v>
      </c>
      <c r="J6564">
        <v>63.319999999999993</v>
      </c>
      <c r="M6564" s="74">
        <v>37894</v>
      </c>
      <c r="N6564" s="77">
        <v>0.75</v>
      </c>
      <c r="P6564">
        <v>51.8</v>
      </c>
      <c r="S6564" s="74">
        <v>34972</v>
      </c>
      <c r="T6564" s="77">
        <v>0.75</v>
      </c>
      <c r="V6564">
        <v>62.06</v>
      </c>
      <c r="X6564" s="42"/>
      <c r="AB6564">
        <v>66.8</v>
      </c>
      <c r="AC6564">
        <v>59</v>
      </c>
      <c r="AE6564" s="74"/>
      <c r="AF6564" s="77"/>
      <c r="AH6564" s="497">
        <v>57.2</v>
      </c>
      <c r="AJ6564" s="42"/>
      <c r="AK6564" s="74"/>
      <c r="AL6564" s="77"/>
      <c r="AN6564" s="497">
        <v>53.24</v>
      </c>
      <c r="AP6564" s="42"/>
      <c r="AQ6564" s="74"/>
      <c r="AR6564" s="77"/>
      <c r="AT6564" s="497">
        <v>57.92</v>
      </c>
      <c r="AV6564" s="42"/>
      <c r="AW6564" s="74"/>
      <c r="AX6564" s="77"/>
      <c r="BA6564" s="497">
        <v>60.980000000000004</v>
      </c>
      <c r="BB6564" s="42"/>
      <c r="BC6564" s="74"/>
      <c r="BD6564" s="77"/>
      <c r="BF6564">
        <v>60.08</v>
      </c>
      <c r="BH6564" s="42"/>
      <c r="BI6564" s="74"/>
      <c r="BJ6564" s="77"/>
      <c r="BL6564" s="497">
        <v>62.06</v>
      </c>
      <c r="BN6564" s="42"/>
      <c r="BO6564" s="74"/>
      <c r="BP6564" s="77"/>
      <c r="BR6564" s="497">
        <v>64.759999999999991</v>
      </c>
      <c r="BT6564" s="42"/>
    </row>
    <row r="6565" spans="1:72" x14ac:dyDescent="0.25">
      <c r="A6565" s="90">
        <v>34972</v>
      </c>
      <c r="B6565" s="20">
        <v>0.79166666666666663</v>
      </c>
      <c r="D6565">
        <v>53.06</v>
      </c>
      <c r="E6565" t="str">
        <f t="shared" si="240"/>
        <v>SATURDAY</v>
      </c>
      <c r="F6565" t="e">
        <f t="shared" si="239"/>
        <v>#N/A</v>
      </c>
      <c r="G6565" s="74">
        <v>29128</v>
      </c>
      <c r="H6565" s="77">
        <v>0.79166666666666663</v>
      </c>
      <c r="J6565">
        <v>62.96</v>
      </c>
      <c r="M6565" s="74">
        <v>37894</v>
      </c>
      <c r="N6565" s="77">
        <v>0.79166666666666663</v>
      </c>
      <c r="P6565">
        <v>50</v>
      </c>
      <c r="S6565" s="74">
        <v>34972</v>
      </c>
      <c r="T6565" s="77">
        <v>0.79166666666666663</v>
      </c>
      <c r="V6565">
        <v>60.980000000000004</v>
      </c>
      <c r="X6565" s="42"/>
      <c r="AB6565">
        <v>65.2</v>
      </c>
      <c r="AC6565">
        <v>59</v>
      </c>
      <c r="AE6565" s="74"/>
      <c r="AF6565" s="77"/>
      <c r="AH6565" s="497">
        <v>53.6</v>
      </c>
      <c r="AJ6565" s="42"/>
      <c r="AK6565" s="74"/>
      <c r="AL6565" s="77"/>
      <c r="AN6565" s="497">
        <v>51.980000000000004</v>
      </c>
      <c r="AP6565" s="42"/>
      <c r="AQ6565" s="74"/>
      <c r="AR6565" s="77"/>
      <c r="AT6565" s="497">
        <v>57.92</v>
      </c>
      <c r="AV6565" s="42"/>
      <c r="AW6565" s="74"/>
      <c r="AX6565" s="77"/>
      <c r="BA6565" s="497">
        <v>60.980000000000004</v>
      </c>
      <c r="BB6565" s="42"/>
      <c r="BC6565" s="74"/>
      <c r="BD6565" s="77"/>
      <c r="BF6565">
        <v>60.08</v>
      </c>
      <c r="BH6565" s="42"/>
      <c r="BI6565" s="74"/>
      <c r="BJ6565" s="77"/>
      <c r="BL6565" s="497">
        <v>59</v>
      </c>
      <c r="BN6565" s="42"/>
      <c r="BO6565" s="74"/>
      <c r="BP6565" s="77"/>
      <c r="BR6565" s="497">
        <v>62.06</v>
      </c>
      <c r="BT6565" s="42"/>
    </row>
    <row r="6566" spans="1:72" x14ac:dyDescent="0.25">
      <c r="A6566" s="90">
        <v>34972</v>
      </c>
      <c r="B6566" s="20">
        <v>0.83333333333333337</v>
      </c>
      <c r="D6566">
        <v>53.06</v>
      </c>
      <c r="E6566" t="str">
        <f t="shared" si="240"/>
        <v>SATURDAY</v>
      </c>
      <c r="F6566" t="e">
        <f t="shared" si="239"/>
        <v>#N/A</v>
      </c>
      <c r="G6566" s="74">
        <v>29128</v>
      </c>
      <c r="H6566" s="77">
        <v>0.83333333333333337</v>
      </c>
      <c r="J6566">
        <v>62.96</v>
      </c>
      <c r="M6566" s="74">
        <v>37894</v>
      </c>
      <c r="N6566" s="77">
        <v>0.83333333333333337</v>
      </c>
      <c r="P6566">
        <v>51.8</v>
      </c>
      <c r="S6566" s="74">
        <v>34972</v>
      </c>
      <c r="T6566" s="77">
        <v>0.83333333333333337</v>
      </c>
      <c r="V6566">
        <v>60.08</v>
      </c>
      <c r="X6566" s="42"/>
      <c r="AB6566">
        <v>64.3</v>
      </c>
      <c r="AC6566">
        <v>57.92</v>
      </c>
      <c r="AE6566" s="74"/>
      <c r="AF6566" s="77"/>
      <c r="AH6566" s="497">
        <v>51.8</v>
      </c>
      <c r="AJ6566" s="42"/>
      <c r="AK6566" s="74"/>
      <c r="AL6566" s="77"/>
      <c r="AN6566" s="497">
        <v>51.620000000000005</v>
      </c>
      <c r="AP6566" s="42"/>
      <c r="AQ6566" s="74"/>
      <c r="AR6566" s="77"/>
      <c r="AT6566" s="497">
        <v>57.019999999999996</v>
      </c>
      <c r="AV6566" s="42"/>
      <c r="AW6566" s="74"/>
      <c r="AX6566" s="77"/>
      <c r="BA6566" s="497">
        <v>62.06</v>
      </c>
      <c r="BB6566" s="42"/>
      <c r="BC6566" s="74"/>
      <c r="BD6566" s="77"/>
      <c r="BF6566">
        <v>59</v>
      </c>
      <c r="BH6566" s="42"/>
      <c r="BI6566" s="74"/>
      <c r="BJ6566" s="77"/>
      <c r="BL6566" s="497">
        <v>57.019999999999996</v>
      </c>
      <c r="BN6566" s="42"/>
      <c r="BO6566" s="74"/>
      <c r="BP6566" s="77"/>
      <c r="BR6566" s="497">
        <v>57.379999999999995</v>
      </c>
      <c r="BT6566" s="42"/>
    </row>
    <row r="6567" spans="1:72" x14ac:dyDescent="0.25">
      <c r="A6567" s="90">
        <v>34972</v>
      </c>
      <c r="B6567" s="20">
        <v>0.875</v>
      </c>
      <c r="D6567">
        <v>51.980000000000004</v>
      </c>
      <c r="E6567" t="str">
        <f t="shared" si="240"/>
        <v>SATURDAY</v>
      </c>
      <c r="F6567" t="e">
        <f t="shared" si="239"/>
        <v>#N/A</v>
      </c>
      <c r="G6567" s="74">
        <v>29128</v>
      </c>
      <c r="H6567" s="77">
        <v>0.875</v>
      </c>
      <c r="J6567">
        <v>62.96</v>
      </c>
      <c r="M6567" s="74">
        <v>37894</v>
      </c>
      <c r="N6567" s="77">
        <v>0.875</v>
      </c>
      <c r="P6567">
        <v>48.2</v>
      </c>
      <c r="S6567" s="74">
        <v>34972</v>
      </c>
      <c r="T6567" s="77">
        <v>0.875</v>
      </c>
      <c r="V6567">
        <v>59</v>
      </c>
      <c r="X6567" s="42"/>
      <c r="AB6567">
        <v>63.6</v>
      </c>
      <c r="AC6567">
        <v>55.400000000000006</v>
      </c>
      <c r="AE6567" s="74"/>
      <c r="AF6567" s="77"/>
      <c r="AH6567" s="497">
        <v>50</v>
      </c>
      <c r="AJ6567" s="42"/>
      <c r="AK6567" s="74"/>
      <c r="AL6567" s="77"/>
      <c r="AN6567" s="497">
        <v>51.44</v>
      </c>
      <c r="AP6567" s="42"/>
      <c r="AQ6567" s="74"/>
      <c r="AR6567" s="77"/>
      <c r="AT6567" s="497">
        <v>53.06</v>
      </c>
      <c r="AV6567" s="42"/>
      <c r="AW6567" s="74"/>
      <c r="AX6567" s="77"/>
      <c r="BA6567" s="497">
        <v>60.08</v>
      </c>
      <c r="BB6567" s="42"/>
      <c r="BC6567" s="74"/>
      <c r="BD6567" s="77"/>
      <c r="BF6567">
        <v>57.019999999999996</v>
      </c>
      <c r="BH6567" s="42"/>
      <c r="BI6567" s="74"/>
      <c r="BJ6567" s="77"/>
      <c r="BL6567" s="497">
        <v>57.019999999999996</v>
      </c>
      <c r="BN6567" s="42"/>
      <c r="BO6567" s="74"/>
      <c r="BP6567" s="77"/>
      <c r="BR6567" s="497">
        <v>52.7</v>
      </c>
      <c r="BT6567" s="42"/>
    </row>
    <row r="6568" spans="1:72" x14ac:dyDescent="0.25">
      <c r="A6568" s="90">
        <v>34972</v>
      </c>
      <c r="B6568" s="20">
        <v>0.91666666666666663</v>
      </c>
      <c r="D6568">
        <v>51.620000000000005</v>
      </c>
      <c r="E6568" t="str">
        <f t="shared" si="240"/>
        <v>SATURDAY</v>
      </c>
      <c r="F6568" t="e">
        <f t="shared" si="239"/>
        <v>#N/A</v>
      </c>
      <c r="G6568" s="74">
        <v>29128</v>
      </c>
      <c r="H6568" s="77">
        <v>0.91666666666666663</v>
      </c>
      <c r="J6568">
        <v>62.96</v>
      </c>
      <c r="M6568" s="74">
        <v>37894</v>
      </c>
      <c r="N6568" s="77">
        <v>0.91666666666666663</v>
      </c>
      <c r="P6568">
        <v>48.74</v>
      </c>
      <c r="S6568" s="74">
        <v>34972</v>
      </c>
      <c r="T6568" s="77">
        <v>0.91666666666666663</v>
      </c>
      <c r="V6568">
        <v>57.56</v>
      </c>
      <c r="X6568" s="42"/>
      <c r="AB6568">
        <v>62.9</v>
      </c>
      <c r="AC6568">
        <v>54.32</v>
      </c>
      <c r="AE6568" s="74"/>
      <c r="AF6568" s="77"/>
      <c r="AH6568" s="497">
        <v>50.18</v>
      </c>
      <c r="AJ6568" s="42"/>
      <c r="AK6568" s="74"/>
      <c r="AL6568" s="77"/>
      <c r="AN6568" s="497">
        <v>53.6</v>
      </c>
      <c r="AP6568" s="42"/>
      <c r="AQ6568" s="74"/>
      <c r="AR6568" s="77"/>
      <c r="AT6568" s="497">
        <v>55.58</v>
      </c>
      <c r="AV6568" s="42"/>
      <c r="AW6568" s="74"/>
      <c r="AX6568" s="77"/>
      <c r="BA6568" s="497">
        <v>60.08</v>
      </c>
      <c r="BB6568" s="42"/>
      <c r="BC6568" s="74"/>
      <c r="BD6568" s="77"/>
      <c r="BF6568">
        <v>57.379999999999995</v>
      </c>
      <c r="BH6568" s="42"/>
      <c r="BI6568" s="74"/>
      <c r="BJ6568" s="77"/>
      <c r="BL6568" s="497">
        <v>57.56</v>
      </c>
      <c r="BN6568" s="42"/>
      <c r="BO6568" s="74"/>
      <c r="BP6568" s="77"/>
      <c r="BR6568" s="497">
        <v>53.6</v>
      </c>
      <c r="BT6568" s="42"/>
    </row>
    <row r="6569" spans="1:72" x14ac:dyDescent="0.25">
      <c r="A6569" s="90">
        <v>34972</v>
      </c>
      <c r="B6569" s="20">
        <v>0.95833333333333337</v>
      </c>
      <c r="D6569">
        <v>51.44</v>
      </c>
      <c r="E6569" t="str">
        <f t="shared" si="240"/>
        <v>SATURDAY</v>
      </c>
      <c r="F6569" t="e">
        <f t="shared" si="239"/>
        <v>#N/A</v>
      </c>
      <c r="G6569" s="74">
        <v>29128</v>
      </c>
      <c r="H6569" s="77">
        <v>0.95833333333333337</v>
      </c>
      <c r="J6569">
        <v>62.96</v>
      </c>
      <c r="M6569" s="74">
        <v>37894</v>
      </c>
      <c r="N6569" s="77">
        <v>0.95833333333333337</v>
      </c>
      <c r="P6569">
        <v>49.28</v>
      </c>
      <c r="S6569" s="74">
        <v>34972</v>
      </c>
      <c r="T6569" s="77">
        <v>0.95833333333333337</v>
      </c>
      <c r="V6569">
        <v>56.120000000000005</v>
      </c>
      <c r="X6569" s="42"/>
      <c r="AB6569">
        <v>62.2</v>
      </c>
      <c r="AC6569">
        <v>53.24</v>
      </c>
      <c r="AE6569" s="74"/>
      <c r="AF6569" s="77"/>
      <c r="AH6569" s="497">
        <v>50.540000000000006</v>
      </c>
      <c r="AJ6569" s="42"/>
      <c r="AK6569" s="74"/>
      <c r="AL6569" s="77"/>
      <c r="AN6569" s="497">
        <v>55.94</v>
      </c>
      <c r="AP6569" s="42"/>
      <c r="AQ6569" s="74"/>
      <c r="AR6569" s="77"/>
      <c r="AT6569" s="497">
        <v>58.28</v>
      </c>
      <c r="AV6569" s="42"/>
      <c r="AW6569" s="74"/>
      <c r="AX6569" s="77"/>
      <c r="BA6569" s="497">
        <v>60.08</v>
      </c>
      <c r="BB6569" s="42"/>
      <c r="BC6569" s="74"/>
      <c r="BD6569" s="77"/>
      <c r="BF6569">
        <v>57.56</v>
      </c>
      <c r="BH6569" s="42"/>
      <c r="BI6569" s="74"/>
      <c r="BJ6569" s="77"/>
      <c r="BL6569" s="497">
        <v>58.1</v>
      </c>
      <c r="BN6569" s="42"/>
      <c r="BO6569" s="74"/>
      <c r="BP6569" s="77"/>
      <c r="BR6569" s="497">
        <v>54.5</v>
      </c>
      <c r="BT6569" s="42"/>
    </row>
    <row r="6570" spans="1:72" x14ac:dyDescent="0.25">
      <c r="A6570" s="90">
        <v>34972</v>
      </c>
      <c r="B6570" s="20">
        <v>1</v>
      </c>
      <c r="D6570">
        <v>51.08</v>
      </c>
      <c r="E6570" t="str">
        <f t="shared" si="240"/>
        <v>SATURDAY</v>
      </c>
      <c r="F6570" t="e">
        <f t="shared" si="239"/>
        <v>#N/A</v>
      </c>
      <c r="G6570" s="74">
        <v>29128</v>
      </c>
      <c r="H6570" s="77">
        <v>1</v>
      </c>
      <c r="J6570">
        <v>62.96</v>
      </c>
      <c r="M6570" s="74">
        <v>37894</v>
      </c>
      <c r="N6570" s="80">
        <v>1</v>
      </c>
      <c r="P6570">
        <v>49.82</v>
      </c>
      <c r="S6570" s="74">
        <v>34972</v>
      </c>
      <c r="T6570" s="80">
        <v>1</v>
      </c>
      <c r="V6570">
        <v>54.68</v>
      </c>
      <c r="X6570" s="42"/>
      <c r="AB6570">
        <v>61.5</v>
      </c>
      <c r="AC6570">
        <v>52.16</v>
      </c>
      <c r="AE6570" s="74"/>
      <c r="AF6570" s="80"/>
      <c r="AH6570" s="497">
        <v>50.72</v>
      </c>
      <c r="AJ6570" s="42"/>
      <c r="AK6570" s="74"/>
      <c r="AL6570" s="80"/>
      <c r="AN6570" s="497">
        <v>58.1</v>
      </c>
      <c r="AP6570" s="42"/>
      <c r="AQ6570" s="74"/>
      <c r="AR6570" s="80"/>
      <c r="AT6570" s="497">
        <v>60.8</v>
      </c>
      <c r="AV6570" s="42"/>
      <c r="AW6570" s="74"/>
      <c r="AX6570" s="80"/>
      <c r="BA6570" s="497">
        <v>60.08</v>
      </c>
      <c r="BB6570" s="42"/>
      <c r="BC6570" s="74"/>
      <c r="BD6570" s="80"/>
      <c r="BF6570">
        <v>57.92</v>
      </c>
      <c r="BH6570" s="42"/>
      <c r="BI6570" s="74"/>
      <c r="BJ6570" s="80"/>
      <c r="BL6570" s="497">
        <v>58.64</v>
      </c>
      <c r="BN6570" s="42"/>
      <c r="BO6570" s="74"/>
      <c r="BP6570" s="80"/>
      <c r="BR6570" s="497">
        <v>55.400000000000006</v>
      </c>
      <c r="BT6570" s="42"/>
    </row>
    <row r="6571" spans="1:72" x14ac:dyDescent="0.25">
      <c r="A6571" s="90">
        <v>37165</v>
      </c>
      <c r="B6571" s="20">
        <v>4.1666666666666664E-2</v>
      </c>
      <c r="D6571">
        <v>50.900000000000006</v>
      </c>
      <c r="E6571" t="str">
        <f t="shared" si="240"/>
        <v>WEEKDAY</v>
      </c>
      <c r="F6571" t="e">
        <f t="shared" ref="F6571:F6634" si="241">IF(E6571="WEEKDAY",VLOOKUP(B6571,$DD$19:$DG$42,2),IF(E6571="SATURDAY",VLOOKUP(B6571,$DD$19:$DG$42,3),VLOOKUP(B6571,$DD$19:$DG$42,4)))</f>
        <v>#N/A</v>
      </c>
      <c r="G6571" s="74">
        <v>29495</v>
      </c>
      <c r="H6571" s="77">
        <v>4.1666666666666664E-2</v>
      </c>
      <c r="J6571">
        <v>62.96</v>
      </c>
      <c r="M6571" s="74">
        <v>36434</v>
      </c>
      <c r="N6571" s="77">
        <v>4.1666666666666664E-2</v>
      </c>
      <c r="P6571">
        <v>50.18</v>
      </c>
      <c r="S6571" s="74">
        <v>37165</v>
      </c>
      <c r="T6571" s="77">
        <v>4.1666666666666664E-2</v>
      </c>
      <c r="V6571">
        <v>53.24</v>
      </c>
      <c r="X6571" s="42"/>
      <c r="AB6571">
        <v>60.9</v>
      </c>
      <c r="AC6571">
        <v>51.26</v>
      </c>
      <c r="AE6571" s="74"/>
      <c r="AF6571" s="77"/>
      <c r="AH6571" s="497">
        <v>51.08</v>
      </c>
      <c r="AJ6571" s="42"/>
      <c r="AK6571" s="74"/>
      <c r="AL6571" s="77"/>
      <c r="AN6571" s="497">
        <v>60.26</v>
      </c>
      <c r="AP6571" s="42"/>
      <c r="AQ6571" s="74"/>
      <c r="AR6571" s="77"/>
      <c r="AT6571" s="497">
        <v>63.319999999999993</v>
      </c>
      <c r="AV6571" s="42"/>
      <c r="AW6571" s="74"/>
      <c r="AX6571" s="77"/>
      <c r="BA6571" s="497">
        <v>60.08</v>
      </c>
      <c r="BB6571" s="42"/>
      <c r="BC6571" s="74"/>
      <c r="BD6571" s="77"/>
      <c r="BF6571">
        <v>58.1</v>
      </c>
      <c r="BH6571" s="42"/>
      <c r="BI6571" s="74"/>
      <c r="BJ6571" s="77"/>
      <c r="BL6571" s="497">
        <v>59.36</v>
      </c>
      <c r="BN6571" s="42"/>
      <c r="BO6571" s="74"/>
      <c r="BP6571" s="77"/>
      <c r="BR6571" s="497">
        <v>56.3</v>
      </c>
      <c r="BT6571" s="42"/>
    </row>
    <row r="6572" spans="1:72" x14ac:dyDescent="0.25">
      <c r="A6572" s="90">
        <v>37165</v>
      </c>
      <c r="B6572" s="20">
        <v>8.3333333333333329E-2</v>
      </c>
      <c r="D6572">
        <v>50.540000000000006</v>
      </c>
      <c r="E6572" t="str">
        <f t="shared" si="240"/>
        <v>WEEKDAY</v>
      </c>
      <c r="F6572" t="e">
        <f t="shared" si="241"/>
        <v>#N/A</v>
      </c>
      <c r="G6572" s="74">
        <v>29495</v>
      </c>
      <c r="H6572" s="77">
        <v>8.3333333333333329E-2</v>
      </c>
      <c r="J6572">
        <v>62.96</v>
      </c>
      <c r="M6572" s="74">
        <v>36434</v>
      </c>
      <c r="N6572" s="77">
        <v>8.3333333333333329E-2</v>
      </c>
      <c r="P6572">
        <v>50.72</v>
      </c>
      <c r="S6572" s="74">
        <v>37165</v>
      </c>
      <c r="T6572" s="77">
        <v>8.3333333333333329E-2</v>
      </c>
      <c r="V6572">
        <v>51.8</v>
      </c>
      <c r="X6572" s="42"/>
      <c r="AB6572">
        <v>60.3</v>
      </c>
      <c r="AC6572">
        <v>50.18</v>
      </c>
      <c r="AE6572" s="74"/>
      <c r="AF6572" s="77"/>
      <c r="AH6572" s="497">
        <v>51.26</v>
      </c>
      <c r="AJ6572" s="42"/>
      <c r="AK6572" s="74"/>
      <c r="AL6572" s="77"/>
      <c r="AN6572" s="497">
        <v>62.42</v>
      </c>
      <c r="AP6572" s="42"/>
      <c r="AQ6572" s="74"/>
      <c r="AR6572" s="77"/>
      <c r="AT6572" s="497">
        <v>65.84</v>
      </c>
      <c r="AV6572" s="42"/>
      <c r="AW6572" s="74"/>
      <c r="AX6572" s="77"/>
      <c r="BA6572" s="497">
        <v>60.08</v>
      </c>
      <c r="BB6572" s="42"/>
      <c r="BC6572" s="74"/>
      <c r="BD6572" s="77"/>
      <c r="BF6572">
        <v>58.46</v>
      </c>
      <c r="BH6572" s="42"/>
      <c r="BI6572" s="74"/>
      <c r="BJ6572" s="77"/>
      <c r="BL6572" s="497">
        <v>59.900000000000006</v>
      </c>
      <c r="BN6572" s="42"/>
      <c r="BO6572" s="74"/>
      <c r="BP6572" s="77"/>
      <c r="BR6572" s="497">
        <v>57.2</v>
      </c>
      <c r="BT6572" s="42"/>
    </row>
    <row r="6573" spans="1:72" x14ac:dyDescent="0.25">
      <c r="A6573" s="90">
        <v>37165</v>
      </c>
      <c r="B6573" s="20">
        <v>0.125</v>
      </c>
      <c r="D6573">
        <v>50.36</v>
      </c>
      <c r="E6573" t="str">
        <f t="shared" si="240"/>
        <v>WEEKDAY</v>
      </c>
      <c r="F6573" t="e">
        <f t="shared" si="241"/>
        <v>#N/A</v>
      </c>
      <c r="G6573" s="74">
        <v>29495</v>
      </c>
      <c r="H6573" s="77">
        <v>0.125</v>
      </c>
      <c r="J6573">
        <v>62.96</v>
      </c>
      <c r="M6573" s="74">
        <v>36434</v>
      </c>
      <c r="N6573" s="77">
        <v>0.125</v>
      </c>
      <c r="P6573">
        <v>51.26</v>
      </c>
      <c r="S6573" s="74">
        <v>37165</v>
      </c>
      <c r="T6573" s="77">
        <v>0.125</v>
      </c>
      <c r="V6573">
        <v>50.36</v>
      </c>
      <c r="X6573" s="42"/>
      <c r="AB6573">
        <v>59.8</v>
      </c>
      <c r="AC6573">
        <v>49.1</v>
      </c>
      <c r="AE6573" s="74"/>
      <c r="AF6573" s="77"/>
      <c r="AH6573" s="497">
        <v>51.620000000000005</v>
      </c>
      <c r="AJ6573" s="42"/>
      <c r="AK6573" s="74"/>
      <c r="AL6573" s="77"/>
      <c r="AN6573" s="497">
        <v>64.759999999999991</v>
      </c>
      <c r="AP6573" s="42"/>
      <c r="AQ6573" s="74"/>
      <c r="AR6573" s="77"/>
      <c r="AT6573" s="497">
        <v>68.539999999999992</v>
      </c>
      <c r="AV6573" s="42"/>
      <c r="AW6573" s="74"/>
      <c r="AX6573" s="77"/>
      <c r="BA6573" s="497">
        <v>60.08</v>
      </c>
      <c r="BB6573" s="42"/>
      <c r="BC6573" s="74"/>
      <c r="BD6573" s="77"/>
      <c r="BF6573">
        <v>58.64</v>
      </c>
      <c r="BH6573" s="42"/>
      <c r="BI6573" s="74"/>
      <c r="BJ6573" s="77"/>
      <c r="BL6573" s="497">
        <v>60.44</v>
      </c>
      <c r="BN6573" s="42"/>
      <c r="BO6573" s="74"/>
      <c r="BP6573" s="77"/>
      <c r="BR6573" s="497">
        <v>58.1</v>
      </c>
      <c r="BT6573" s="42"/>
    </row>
    <row r="6574" spans="1:72" x14ac:dyDescent="0.25">
      <c r="A6574" s="90">
        <v>37165</v>
      </c>
      <c r="B6574" s="20">
        <v>0.16666666666666666</v>
      </c>
      <c r="D6574">
        <v>50</v>
      </c>
      <c r="E6574" t="str">
        <f t="shared" si="240"/>
        <v>WEEKDAY</v>
      </c>
      <c r="F6574" t="e">
        <f t="shared" si="241"/>
        <v>#N/A</v>
      </c>
      <c r="G6574" s="74">
        <v>29495</v>
      </c>
      <c r="H6574" s="77">
        <v>0.16666666666666666</v>
      </c>
      <c r="J6574">
        <v>62.96</v>
      </c>
      <c r="M6574" s="74">
        <v>36434</v>
      </c>
      <c r="N6574" s="77">
        <v>0.16666666666666666</v>
      </c>
      <c r="P6574">
        <v>51.8</v>
      </c>
      <c r="S6574" s="74">
        <v>37165</v>
      </c>
      <c r="T6574" s="77">
        <v>0.16666666666666666</v>
      </c>
      <c r="V6574">
        <v>48.92</v>
      </c>
      <c r="X6574" s="42"/>
      <c r="AB6574">
        <v>59.3</v>
      </c>
      <c r="AC6574">
        <v>48.019999999999996</v>
      </c>
      <c r="AE6574" s="74"/>
      <c r="AF6574" s="77"/>
      <c r="AH6574" s="497">
        <v>51.8</v>
      </c>
      <c r="AJ6574" s="42"/>
      <c r="AK6574" s="74"/>
      <c r="AL6574" s="77"/>
      <c r="AN6574" s="497">
        <v>66.92</v>
      </c>
      <c r="AP6574" s="42"/>
      <c r="AQ6574" s="74"/>
      <c r="AR6574" s="77"/>
      <c r="AT6574" s="497">
        <v>71.06</v>
      </c>
      <c r="AV6574" s="42"/>
      <c r="AW6574" s="74"/>
      <c r="AX6574" s="77"/>
      <c r="BA6574" s="497">
        <v>60.08</v>
      </c>
      <c r="BB6574" s="42"/>
      <c r="BC6574" s="74"/>
      <c r="BD6574" s="77"/>
      <c r="BF6574">
        <v>59</v>
      </c>
      <c r="BH6574" s="42"/>
      <c r="BI6574" s="74"/>
      <c r="BJ6574" s="77"/>
      <c r="BL6574" s="497">
        <v>60.980000000000004</v>
      </c>
      <c r="BN6574" s="42"/>
      <c r="BO6574" s="74"/>
      <c r="BP6574" s="77"/>
      <c r="BR6574" s="497">
        <v>59</v>
      </c>
      <c r="BT6574" s="42"/>
    </row>
    <row r="6575" spans="1:72" x14ac:dyDescent="0.25">
      <c r="A6575" s="90">
        <v>37165</v>
      </c>
      <c r="B6575" s="20">
        <v>0.20833333333333334</v>
      </c>
      <c r="D6575">
        <v>51.08</v>
      </c>
      <c r="E6575" t="str">
        <f t="shared" si="240"/>
        <v>WEEKDAY</v>
      </c>
      <c r="F6575" t="e">
        <f t="shared" si="241"/>
        <v>#N/A</v>
      </c>
      <c r="G6575" s="74">
        <v>29495</v>
      </c>
      <c r="H6575" s="77">
        <v>0.20833333333333334</v>
      </c>
      <c r="J6575">
        <v>62.6</v>
      </c>
      <c r="M6575" s="74">
        <v>36434</v>
      </c>
      <c r="N6575" s="77">
        <v>0.20833333333333334</v>
      </c>
      <c r="P6575">
        <v>48.2</v>
      </c>
      <c r="S6575" s="74">
        <v>37165</v>
      </c>
      <c r="T6575" s="77">
        <v>0.20833333333333334</v>
      </c>
      <c r="V6575">
        <v>48.019999999999996</v>
      </c>
      <c r="X6575" s="42"/>
      <c r="AB6575">
        <v>58.9</v>
      </c>
      <c r="AC6575">
        <v>46.04</v>
      </c>
      <c r="AE6575" s="74"/>
      <c r="AF6575" s="77"/>
      <c r="AH6575" s="497">
        <v>51.8</v>
      </c>
      <c r="AJ6575" s="42"/>
      <c r="AK6575" s="74"/>
      <c r="AL6575" s="77"/>
      <c r="AN6575" s="497">
        <v>64.94</v>
      </c>
      <c r="AP6575" s="42"/>
      <c r="AQ6575" s="74"/>
      <c r="AR6575" s="77"/>
      <c r="AT6575" s="497">
        <v>69.98</v>
      </c>
      <c r="AV6575" s="42"/>
      <c r="AW6575" s="74"/>
      <c r="AX6575" s="77"/>
      <c r="BA6575" s="497">
        <v>59</v>
      </c>
      <c r="BB6575" s="42"/>
      <c r="BC6575" s="74"/>
      <c r="BD6575" s="77"/>
      <c r="BF6575">
        <v>57.92</v>
      </c>
      <c r="BH6575" s="42"/>
      <c r="BI6575" s="74"/>
      <c r="BJ6575" s="77"/>
      <c r="BL6575" s="497">
        <v>60.980000000000004</v>
      </c>
      <c r="BN6575" s="42"/>
      <c r="BO6575" s="74"/>
      <c r="BP6575" s="77"/>
      <c r="BR6575" s="497">
        <v>57.92</v>
      </c>
      <c r="BT6575" s="42"/>
    </row>
    <row r="6576" spans="1:72" x14ac:dyDescent="0.25">
      <c r="A6576" s="90">
        <v>37165</v>
      </c>
      <c r="B6576" s="20">
        <v>0.25</v>
      </c>
      <c r="D6576">
        <v>51.980000000000004</v>
      </c>
      <c r="E6576" t="str">
        <f t="shared" si="240"/>
        <v>WEEKDAY</v>
      </c>
      <c r="F6576" t="e">
        <f t="shared" si="241"/>
        <v>#N/A</v>
      </c>
      <c r="G6576" s="74">
        <v>29495</v>
      </c>
      <c r="H6576" s="77">
        <v>0.25</v>
      </c>
      <c r="J6576">
        <v>62.42</v>
      </c>
      <c r="M6576" s="74">
        <v>36434</v>
      </c>
      <c r="N6576" s="77">
        <v>0.25</v>
      </c>
      <c r="P6576">
        <v>46.4</v>
      </c>
      <c r="S6576" s="74">
        <v>37165</v>
      </c>
      <c r="T6576" s="77">
        <v>0.25</v>
      </c>
      <c r="V6576">
        <v>48.92</v>
      </c>
      <c r="X6576" s="42"/>
      <c r="AB6576">
        <v>58.6</v>
      </c>
      <c r="AC6576">
        <v>46.04</v>
      </c>
      <c r="AE6576" s="74"/>
      <c r="AF6576" s="77"/>
      <c r="AH6576" s="497">
        <v>50</v>
      </c>
      <c r="AJ6576" s="42"/>
      <c r="AK6576" s="74"/>
      <c r="AL6576" s="77"/>
      <c r="AN6576" s="497">
        <v>62.06</v>
      </c>
      <c r="AP6576" s="42"/>
      <c r="AQ6576" s="74"/>
      <c r="AR6576" s="77"/>
      <c r="AT6576" s="497">
        <v>68</v>
      </c>
      <c r="AV6576" s="42"/>
      <c r="AW6576" s="74"/>
      <c r="AX6576" s="77"/>
      <c r="BA6576" s="497">
        <v>57.92</v>
      </c>
      <c r="BB6576" s="42"/>
      <c r="BC6576" s="74"/>
      <c r="BD6576" s="77"/>
      <c r="BF6576">
        <v>57.92</v>
      </c>
      <c r="BH6576" s="42"/>
      <c r="BI6576" s="74"/>
      <c r="BJ6576" s="77"/>
      <c r="BL6576" s="497">
        <v>60.980000000000004</v>
      </c>
      <c r="BN6576" s="42"/>
      <c r="BO6576" s="74"/>
      <c r="BP6576" s="77"/>
      <c r="BR6576" s="497">
        <v>57.92</v>
      </c>
      <c r="BT6576" s="42"/>
    </row>
    <row r="6577" spans="1:72" x14ac:dyDescent="0.25">
      <c r="A6577" s="90">
        <v>37165</v>
      </c>
      <c r="B6577" s="20">
        <v>0.29166666666666669</v>
      </c>
      <c r="D6577">
        <v>53.06</v>
      </c>
      <c r="E6577" t="str">
        <f t="shared" si="240"/>
        <v>WEEKDAY</v>
      </c>
      <c r="F6577" t="e">
        <f t="shared" si="241"/>
        <v>#N/A</v>
      </c>
      <c r="G6577" s="74">
        <v>29495</v>
      </c>
      <c r="H6577" s="77">
        <v>0.29166666666666669</v>
      </c>
      <c r="J6577">
        <v>62.06</v>
      </c>
      <c r="M6577" s="74">
        <v>36434</v>
      </c>
      <c r="N6577" s="77">
        <v>0.29166666666666669</v>
      </c>
      <c r="P6577">
        <v>50</v>
      </c>
      <c r="S6577" s="74">
        <v>37165</v>
      </c>
      <c r="T6577" s="77">
        <v>0.29166666666666669</v>
      </c>
      <c r="V6577">
        <v>50</v>
      </c>
      <c r="X6577" s="42"/>
      <c r="AB6577">
        <v>58.5</v>
      </c>
      <c r="AC6577">
        <v>50</v>
      </c>
      <c r="AE6577" s="74"/>
      <c r="AF6577" s="77"/>
      <c r="AH6577" s="497">
        <v>53.6</v>
      </c>
      <c r="AJ6577" s="42"/>
      <c r="AK6577" s="74"/>
      <c r="AL6577" s="77"/>
      <c r="AN6577" s="497">
        <v>60.980000000000004</v>
      </c>
      <c r="AP6577" s="42"/>
      <c r="AQ6577" s="74"/>
      <c r="AR6577" s="77"/>
      <c r="AT6577" s="497">
        <v>66.02</v>
      </c>
      <c r="AV6577" s="42"/>
      <c r="AW6577" s="74"/>
      <c r="AX6577" s="77"/>
      <c r="BA6577" s="497">
        <v>57.92</v>
      </c>
      <c r="BB6577" s="42"/>
      <c r="BC6577" s="74"/>
      <c r="BD6577" s="77"/>
      <c r="BF6577">
        <v>57.92</v>
      </c>
      <c r="BH6577" s="42"/>
      <c r="BI6577" s="74"/>
      <c r="BJ6577" s="77"/>
      <c r="BL6577" s="497">
        <v>60.980000000000004</v>
      </c>
      <c r="BN6577" s="42"/>
      <c r="BO6577" s="74"/>
      <c r="BP6577" s="77"/>
      <c r="BR6577" s="497">
        <v>59</v>
      </c>
      <c r="BT6577" s="42"/>
    </row>
    <row r="6578" spans="1:72" x14ac:dyDescent="0.25">
      <c r="A6578" s="90">
        <v>37165</v>
      </c>
      <c r="B6578" s="20">
        <v>0.33333333333333331</v>
      </c>
      <c r="D6578">
        <v>55.58</v>
      </c>
      <c r="E6578" t="str">
        <f t="shared" si="240"/>
        <v>WEEKDAY</v>
      </c>
      <c r="F6578" t="e">
        <f t="shared" si="241"/>
        <v>#N/A</v>
      </c>
      <c r="G6578" s="74">
        <v>29495</v>
      </c>
      <c r="H6578" s="77">
        <v>0.33333333333333331</v>
      </c>
      <c r="J6578">
        <v>64.400000000000006</v>
      </c>
      <c r="M6578" s="74">
        <v>36434</v>
      </c>
      <c r="N6578" s="77">
        <v>0.33333333333333331</v>
      </c>
      <c r="P6578">
        <v>59</v>
      </c>
      <c r="S6578" s="74">
        <v>37165</v>
      </c>
      <c r="T6578" s="77">
        <v>0.33333333333333331</v>
      </c>
      <c r="V6578">
        <v>51.980000000000004</v>
      </c>
      <c r="X6578" s="42"/>
      <c r="AB6578">
        <v>59.9</v>
      </c>
      <c r="AC6578">
        <v>60.08</v>
      </c>
      <c r="AE6578" s="74"/>
      <c r="AF6578" s="77"/>
      <c r="AH6578" s="497">
        <v>60.8</v>
      </c>
      <c r="AJ6578" s="42"/>
      <c r="AK6578" s="74"/>
      <c r="AL6578" s="77"/>
      <c r="AN6578" s="497">
        <v>59</v>
      </c>
      <c r="AP6578" s="42"/>
      <c r="AQ6578" s="74"/>
      <c r="AR6578" s="77"/>
      <c r="AT6578" s="497">
        <v>66.02</v>
      </c>
      <c r="AV6578" s="42"/>
      <c r="AW6578" s="74"/>
      <c r="AX6578" s="77"/>
      <c r="BA6578" s="497">
        <v>59</v>
      </c>
      <c r="BB6578" s="42"/>
      <c r="BC6578" s="74"/>
      <c r="BD6578" s="77"/>
      <c r="BF6578">
        <v>59</v>
      </c>
      <c r="BH6578" s="42"/>
      <c r="BI6578" s="74"/>
      <c r="BJ6578" s="77"/>
      <c r="BL6578" s="497">
        <v>60.980000000000004</v>
      </c>
      <c r="BN6578" s="42"/>
      <c r="BO6578" s="74"/>
      <c r="BP6578" s="77"/>
      <c r="BR6578" s="497">
        <v>59</v>
      </c>
      <c r="BT6578" s="42"/>
    </row>
    <row r="6579" spans="1:72" x14ac:dyDescent="0.25">
      <c r="A6579" s="90">
        <v>37165</v>
      </c>
      <c r="B6579" s="20">
        <v>0.375</v>
      </c>
      <c r="D6579">
        <v>55.040000000000006</v>
      </c>
      <c r="E6579" t="str">
        <f t="shared" si="240"/>
        <v>WEEKDAY</v>
      </c>
      <c r="F6579" t="e">
        <f t="shared" si="241"/>
        <v>#N/A</v>
      </c>
      <c r="G6579" s="74">
        <v>29495</v>
      </c>
      <c r="H6579" s="77">
        <v>0.375</v>
      </c>
      <c r="J6579">
        <v>66.740000000000009</v>
      </c>
      <c r="M6579" s="74">
        <v>36434</v>
      </c>
      <c r="N6579" s="77">
        <v>0.375</v>
      </c>
      <c r="P6579">
        <v>59</v>
      </c>
      <c r="S6579" s="74">
        <v>37165</v>
      </c>
      <c r="T6579" s="77">
        <v>0.375</v>
      </c>
      <c r="V6579">
        <v>53.06</v>
      </c>
      <c r="X6579" s="42"/>
      <c r="AB6579">
        <v>62.1</v>
      </c>
      <c r="AC6579">
        <v>62.96</v>
      </c>
      <c r="AE6579" s="74"/>
      <c r="AF6579" s="77"/>
      <c r="AH6579" s="497">
        <v>64.400000000000006</v>
      </c>
      <c r="AJ6579" s="42"/>
      <c r="AK6579" s="74"/>
      <c r="AL6579" s="77"/>
      <c r="AN6579" s="497">
        <v>59</v>
      </c>
      <c r="AP6579" s="42"/>
      <c r="AQ6579" s="74"/>
      <c r="AR6579" s="77"/>
      <c r="AT6579" s="497">
        <v>66.92</v>
      </c>
      <c r="AV6579" s="42"/>
      <c r="AW6579" s="74"/>
      <c r="AX6579" s="77"/>
      <c r="BA6579" s="497">
        <v>62.06</v>
      </c>
      <c r="BB6579" s="42"/>
      <c r="BC6579" s="74"/>
      <c r="BD6579" s="77"/>
      <c r="BF6579">
        <v>59</v>
      </c>
      <c r="BH6579" s="42"/>
      <c r="BI6579" s="74"/>
      <c r="BJ6579" s="77"/>
      <c r="BL6579" s="497">
        <v>62.06</v>
      </c>
      <c r="BN6579" s="42"/>
      <c r="BO6579" s="74"/>
      <c r="BP6579" s="77"/>
      <c r="BR6579" s="497">
        <v>62.96</v>
      </c>
      <c r="BT6579" s="42"/>
    </row>
    <row r="6580" spans="1:72" x14ac:dyDescent="0.25">
      <c r="A6580" s="90">
        <v>37165</v>
      </c>
      <c r="B6580" s="20">
        <v>0.41666666666666669</v>
      </c>
      <c r="D6580">
        <v>56.480000000000004</v>
      </c>
      <c r="E6580" t="str">
        <f t="shared" si="240"/>
        <v>WEEKDAY</v>
      </c>
      <c r="F6580" t="e">
        <f t="shared" si="241"/>
        <v>#N/A</v>
      </c>
      <c r="G6580" s="74">
        <v>29495</v>
      </c>
      <c r="H6580" s="77">
        <v>0.41666666666666669</v>
      </c>
      <c r="J6580">
        <v>69.080000000000013</v>
      </c>
      <c r="M6580" s="74">
        <v>36434</v>
      </c>
      <c r="N6580" s="77">
        <v>0.41666666666666669</v>
      </c>
      <c r="P6580">
        <v>60.8</v>
      </c>
      <c r="S6580" s="74">
        <v>37165</v>
      </c>
      <c r="T6580" s="77">
        <v>0.41666666666666669</v>
      </c>
      <c r="V6580">
        <v>53.06</v>
      </c>
      <c r="X6580" s="42"/>
      <c r="AB6580">
        <v>64.2</v>
      </c>
      <c r="AC6580">
        <v>62.96</v>
      </c>
      <c r="AE6580" s="74"/>
      <c r="AF6580" s="77"/>
      <c r="AH6580" s="497">
        <v>68</v>
      </c>
      <c r="AJ6580" s="42"/>
      <c r="AK6580" s="74"/>
      <c r="AL6580" s="77"/>
      <c r="AN6580" s="497">
        <v>62.06</v>
      </c>
      <c r="AP6580" s="42"/>
      <c r="AQ6580" s="74"/>
      <c r="AR6580" s="77"/>
      <c r="AT6580" s="497">
        <v>66.92</v>
      </c>
      <c r="AV6580" s="42"/>
      <c r="AW6580" s="74"/>
      <c r="AX6580" s="77"/>
      <c r="BA6580" s="497">
        <v>60.980000000000004</v>
      </c>
      <c r="BB6580" s="42"/>
      <c r="BC6580" s="74"/>
      <c r="BD6580" s="77"/>
      <c r="BF6580">
        <v>60.980000000000004</v>
      </c>
      <c r="BH6580" s="42"/>
      <c r="BI6580" s="74"/>
      <c r="BJ6580" s="77"/>
      <c r="BL6580" s="497">
        <v>62.96</v>
      </c>
      <c r="BN6580" s="42"/>
      <c r="BO6580" s="74"/>
      <c r="BP6580" s="77"/>
      <c r="BR6580" s="497">
        <v>66.02</v>
      </c>
      <c r="BT6580" s="42"/>
    </row>
    <row r="6581" spans="1:72" x14ac:dyDescent="0.25">
      <c r="A6581" s="90">
        <v>37165</v>
      </c>
      <c r="B6581" s="20">
        <v>0.45833333333333331</v>
      </c>
      <c r="D6581">
        <v>56.3</v>
      </c>
      <c r="E6581" t="str">
        <f t="shared" si="240"/>
        <v>WEEKDAY</v>
      </c>
      <c r="F6581" t="e">
        <f t="shared" si="241"/>
        <v>#N/A</v>
      </c>
      <c r="G6581" s="74">
        <v>29495</v>
      </c>
      <c r="H6581" s="77">
        <v>0.45833333333333331</v>
      </c>
      <c r="J6581">
        <v>70.7</v>
      </c>
      <c r="M6581" s="74">
        <v>36434</v>
      </c>
      <c r="N6581" s="77">
        <v>0.45833333333333331</v>
      </c>
      <c r="P6581">
        <v>64.400000000000006</v>
      </c>
      <c r="S6581" s="74">
        <v>37165</v>
      </c>
      <c r="T6581" s="77">
        <v>0.45833333333333331</v>
      </c>
      <c r="V6581">
        <v>53.96</v>
      </c>
      <c r="X6581" s="42"/>
      <c r="AB6581">
        <v>65.8</v>
      </c>
      <c r="AC6581">
        <v>66.92</v>
      </c>
      <c r="AE6581" s="74"/>
      <c r="AF6581" s="77"/>
      <c r="AH6581" s="497">
        <v>71.599999999999994</v>
      </c>
      <c r="AJ6581" s="42"/>
      <c r="AK6581" s="74"/>
      <c r="AL6581" s="77"/>
      <c r="AN6581" s="497">
        <v>64.039999999999992</v>
      </c>
      <c r="AP6581" s="42"/>
      <c r="AQ6581" s="74"/>
      <c r="AR6581" s="77"/>
      <c r="AT6581" s="497">
        <v>68</v>
      </c>
      <c r="AV6581" s="42"/>
      <c r="AW6581" s="74"/>
      <c r="AX6581" s="77"/>
      <c r="BA6581" s="497">
        <v>62.06</v>
      </c>
      <c r="BB6581" s="42"/>
      <c r="BC6581" s="74"/>
      <c r="BD6581" s="77"/>
      <c r="BF6581">
        <v>60.980000000000004</v>
      </c>
      <c r="BH6581" s="42"/>
      <c r="BI6581" s="74"/>
      <c r="BJ6581" s="77"/>
      <c r="BL6581" s="497">
        <v>66.02</v>
      </c>
      <c r="BN6581" s="42"/>
      <c r="BO6581" s="74"/>
      <c r="BP6581" s="77"/>
      <c r="BR6581" s="497">
        <v>68</v>
      </c>
      <c r="BT6581" s="42"/>
    </row>
    <row r="6582" spans="1:72" x14ac:dyDescent="0.25">
      <c r="A6582" s="90">
        <v>37165</v>
      </c>
      <c r="B6582" s="20">
        <v>0.5</v>
      </c>
      <c r="D6582">
        <v>56.66</v>
      </c>
      <c r="E6582" t="str">
        <f t="shared" si="240"/>
        <v>WEEKDAY</v>
      </c>
      <c r="F6582" t="e">
        <f t="shared" si="241"/>
        <v>#N/A</v>
      </c>
      <c r="G6582" s="74">
        <v>29495</v>
      </c>
      <c r="H6582" s="77">
        <v>0.5</v>
      </c>
      <c r="J6582">
        <v>72.319999999999993</v>
      </c>
      <c r="M6582" s="74">
        <v>36434</v>
      </c>
      <c r="N6582" s="77">
        <v>0.5</v>
      </c>
      <c r="P6582">
        <v>66.2</v>
      </c>
      <c r="S6582" s="74">
        <v>37165</v>
      </c>
      <c r="T6582" s="77">
        <v>0.5</v>
      </c>
      <c r="V6582">
        <v>53.96</v>
      </c>
      <c r="X6582" s="42"/>
      <c r="AB6582">
        <v>67.3</v>
      </c>
      <c r="AC6582">
        <v>66.02</v>
      </c>
      <c r="AE6582" s="74"/>
      <c r="AF6582" s="77"/>
      <c r="AH6582" s="497">
        <v>75.2</v>
      </c>
      <c r="AJ6582" s="42"/>
      <c r="AK6582" s="74"/>
      <c r="AL6582" s="77"/>
      <c r="AN6582" s="497">
        <v>66.02</v>
      </c>
      <c r="AP6582" s="42"/>
      <c r="AQ6582" s="74"/>
      <c r="AR6582" s="77"/>
      <c r="AT6582" s="497">
        <v>68</v>
      </c>
      <c r="AV6582" s="42"/>
      <c r="AW6582" s="74"/>
      <c r="AX6582" s="77"/>
      <c r="BA6582" s="497">
        <v>64.039999999999992</v>
      </c>
      <c r="BB6582" s="42"/>
      <c r="BC6582" s="74"/>
      <c r="BD6582" s="77"/>
      <c r="BF6582">
        <v>59</v>
      </c>
      <c r="BH6582" s="42"/>
      <c r="BI6582" s="74"/>
      <c r="BJ6582" s="77"/>
      <c r="BL6582" s="497">
        <v>69.080000000000013</v>
      </c>
      <c r="BN6582" s="42"/>
      <c r="BO6582" s="74"/>
      <c r="BP6582" s="77"/>
      <c r="BR6582" s="497">
        <v>66.02</v>
      </c>
      <c r="BT6582" s="42"/>
    </row>
    <row r="6583" spans="1:72" x14ac:dyDescent="0.25">
      <c r="A6583" s="90">
        <v>37165</v>
      </c>
      <c r="B6583" s="20">
        <v>0.54166666666666663</v>
      </c>
      <c r="D6583">
        <v>56.66</v>
      </c>
      <c r="E6583" t="str">
        <f t="shared" si="240"/>
        <v>WEEKDAY</v>
      </c>
      <c r="F6583" t="e">
        <f t="shared" si="241"/>
        <v>#N/A</v>
      </c>
      <c r="G6583" s="74">
        <v>29495</v>
      </c>
      <c r="H6583" s="77">
        <v>0.54166666666666663</v>
      </c>
      <c r="J6583">
        <v>73.94</v>
      </c>
      <c r="M6583" s="74">
        <v>36434</v>
      </c>
      <c r="N6583" s="77">
        <v>0.54166666666666663</v>
      </c>
      <c r="P6583">
        <v>68</v>
      </c>
      <c r="S6583" s="74">
        <v>37165</v>
      </c>
      <c r="T6583" s="77">
        <v>0.54166666666666663</v>
      </c>
      <c r="V6583">
        <v>53.96</v>
      </c>
      <c r="X6583" s="42"/>
      <c r="AB6583">
        <v>68.400000000000006</v>
      </c>
      <c r="AC6583">
        <v>66.02</v>
      </c>
      <c r="AE6583" s="74"/>
      <c r="AF6583" s="77"/>
      <c r="AH6583" s="497">
        <v>77</v>
      </c>
      <c r="AJ6583" s="42"/>
      <c r="AK6583" s="74"/>
      <c r="AL6583" s="77"/>
      <c r="AN6583" s="497">
        <v>66.02</v>
      </c>
      <c r="AP6583" s="42"/>
      <c r="AQ6583" s="74"/>
      <c r="AR6583" s="77"/>
      <c r="AT6583" s="497">
        <v>68</v>
      </c>
      <c r="AV6583" s="42"/>
      <c r="AW6583" s="74"/>
      <c r="AX6583" s="77"/>
      <c r="BA6583" s="497">
        <v>66.02</v>
      </c>
      <c r="BB6583" s="42"/>
      <c r="BC6583" s="74"/>
      <c r="BD6583" s="77"/>
      <c r="BF6583">
        <v>60.08</v>
      </c>
      <c r="BH6583" s="42"/>
      <c r="BI6583" s="74"/>
      <c r="BJ6583" s="77"/>
      <c r="BL6583" s="497">
        <v>66.92</v>
      </c>
      <c r="BN6583" s="42"/>
      <c r="BO6583" s="74"/>
      <c r="BP6583" s="77"/>
      <c r="BR6583" s="497">
        <v>69.080000000000013</v>
      </c>
      <c r="BT6583" s="42"/>
    </row>
    <row r="6584" spans="1:72" x14ac:dyDescent="0.25">
      <c r="A6584" s="90">
        <v>37165</v>
      </c>
      <c r="B6584" s="20">
        <v>0.58333333333333337</v>
      </c>
      <c r="D6584">
        <v>57.019999999999996</v>
      </c>
      <c r="E6584" t="str">
        <f t="shared" si="240"/>
        <v>WEEKDAY</v>
      </c>
      <c r="F6584" t="e">
        <f t="shared" si="241"/>
        <v>#N/A</v>
      </c>
      <c r="G6584" s="74">
        <v>29495</v>
      </c>
      <c r="H6584" s="77">
        <v>0.58333333333333337</v>
      </c>
      <c r="J6584">
        <v>73.580000000000013</v>
      </c>
      <c r="M6584" s="74">
        <v>36434</v>
      </c>
      <c r="N6584" s="77">
        <v>0.58333333333333337</v>
      </c>
      <c r="P6584">
        <v>68</v>
      </c>
      <c r="S6584" s="74">
        <v>37165</v>
      </c>
      <c r="T6584" s="77">
        <v>0.58333333333333337</v>
      </c>
      <c r="V6584">
        <v>55.040000000000006</v>
      </c>
      <c r="X6584" s="42"/>
      <c r="AB6584">
        <v>68.7</v>
      </c>
      <c r="AC6584">
        <v>64.94</v>
      </c>
      <c r="AE6584" s="74"/>
      <c r="AF6584" s="77"/>
      <c r="AH6584" s="497">
        <v>78.800000000000011</v>
      </c>
      <c r="AJ6584" s="42"/>
      <c r="AK6584" s="74"/>
      <c r="AL6584" s="77"/>
      <c r="AN6584" s="497">
        <v>66.02</v>
      </c>
      <c r="AP6584" s="42"/>
      <c r="AQ6584" s="74"/>
      <c r="AR6584" s="77"/>
      <c r="AT6584" s="497">
        <v>68</v>
      </c>
      <c r="AV6584" s="42"/>
      <c r="AW6584" s="74"/>
      <c r="AX6584" s="77"/>
      <c r="BA6584" s="497">
        <v>66.92</v>
      </c>
      <c r="BB6584" s="42"/>
      <c r="BC6584" s="74"/>
      <c r="BD6584" s="77"/>
      <c r="BF6584">
        <v>57.92</v>
      </c>
      <c r="BH6584" s="42"/>
      <c r="BI6584" s="74"/>
      <c r="BJ6584" s="77"/>
      <c r="BL6584" s="497">
        <v>64.039999999999992</v>
      </c>
      <c r="BN6584" s="42"/>
      <c r="BO6584" s="74"/>
      <c r="BP6584" s="77"/>
      <c r="BR6584" s="497">
        <v>69.080000000000013</v>
      </c>
      <c r="BT6584" s="42"/>
    </row>
    <row r="6585" spans="1:72" x14ac:dyDescent="0.25">
      <c r="A6585" s="90">
        <v>37165</v>
      </c>
      <c r="B6585" s="20">
        <v>0.625</v>
      </c>
      <c r="D6585">
        <v>57.019999999999996</v>
      </c>
      <c r="E6585" t="str">
        <f t="shared" si="240"/>
        <v>WEEKDAY</v>
      </c>
      <c r="F6585" t="e">
        <f t="shared" si="241"/>
        <v>#N/A</v>
      </c>
      <c r="G6585" s="74">
        <v>29495</v>
      </c>
      <c r="H6585" s="77">
        <v>0.625</v>
      </c>
      <c r="J6585">
        <v>73.400000000000006</v>
      </c>
      <c r="M6585" s="74">
        <v>36434</v>
      </c>
      <c r="N6585" s="77">
        <v>0.625</v>
      </c>
      <c r="P6585">
        <v>69.800000000000011</v>
      </c>
      <c r="S6585" s="74">
        <v>37165</v>
      </c>
      <c r="T6585" s="77">
        <v>0.625</v>
      </c>
      <c r="V6585">
        <v>57.019999999999996</v>
      </c>
      <c r="X6585" s="42"/>
      <c r="AB6585">
        <v>68.900000000000006</v>
      </c>
      <c r="AC6585">
        <v>64.94</v>
      </c>
      <c r="AE6585" s="74"/>
      <c r="AF6585" s="77"/>
      <c r="AH6585" s="497">
        <v>78.800000000000011</v>
      </c>
      <c r="AJ6585" s="42"/>
      <c r="AK6585" s="74"/>
      <c r="AL6585" s="77"/>
      <c r="AN6585" s="497">
        <v>64.94</v>
      </c>
      <c r="AP6585" s="42"/>
      <c r="AQ6585" s="74"/>
      <c r="AR6585" s="77"/>
      <c r="AT6585" s="497">
        <v>69.080000000000013</v>
      </c>
      <c r="AV6585" s="42"/>
      <c r="AW6585" s="74"/>
      <c r="AX6585" s="77"/>
      <c r="BA6585" s="497">
        <v>66.02</v>
      </c>
      <c r="BB6585" s="42"/>
      <c r="BC6585" s="74"/>
      <c r="BD6585" s="77"/>
      <c r="BF6585">
        <v>57.92</v>
      </c>
      <c r="BH6585" s="42"/>
      <c r="BI6585" s="74"/>
      <c r="BJ6585" s="77"/>
      <c r="BL6585" s="497">
        <v>62.96</v>
      </c>
      <c r="BN6585" s="42"/>
      <c r="BO6585" s="74"/>
      <c r="BP6585" s="77"/>
      <c r="BR6585" s="497">
        <v>68</v>
      </c>
      <c r="BT6585" s="42"/>
    </row>
    <row r="6586" spans="1:72" x14ac:dyDescent="0.25">
      <c r="A6586" s="90">
        <v>37165</v>
      </c>
      <c r="B6586" s="20">
        <v>0.66666666666666663</v>
      </c>
      <c r="D6586">
        <v>57.92</v>
      </c>
      <c r="E6586" t="str">
        <f t="shared" si="240"/>
        <v>WEEKDAY</v>
      </c>
      <c r="F6586" t="e">
        <f t="shared" si="241"/>
        <v>#N/A</v>
      </c>
      <c r="G6586" s="74">
        <v>29495</v>
      </c>
      <c r="H6586" s="77">
        <v>0.66666666666666663</v>
      </c>
      <c r="J6586">
        <v>73.039999999999992</v>
      </c>
      <c r="M6586" s="74">
        <v>36434</v>
      </c>
      <c r="N6586" s="77">
        <v>0.66666666666666663</v>
      </c>
      <c r="P6586">
        <v>68</v>
      </c>
      <c r="S6586" s="74">
        <v>37165</v>
      </c>
      <c r="T6586" s="77">
        <v>0.66666666666666663</v>
      </c>
      <c r="V6586">
        <v>57.019999999999996</v>
      </c>
      <c r="X6586" s="42"/>
      <c r="AB6586">
        <v>68.599999999999994</v>
      </c>
      <c r="AC6586">
        <v>64.039999999999992</v>
      </c>
      <c r="AE6586" s="74"/>
      <c r="AF6586" s="77"/>
      <c r="AH6586" s="497">
        <v>78.800000000000011</v>
      </c>
      <c r="AJ6586" s="42"/>
      <c r="AK6586" s="74"/>
      <c r="AL6586" s="77"/>
      <c r="AN6586" s="497">
        <v>64.039999999999992</v>
      </c>
      <c r="AP6586" s="42"/>
      <c r="AQ6586" s="74"/>
      <c r="AR6586" s="77"/>
      <c r="AT6586" s="497">
        <v>68</v>
      </c>
      <c r="AV6586" s="42"/>
      <c r="AW6586" s="74"/>
      <c r="AX6586" s="77"/>
      <c r="BA6586" s="497">
        <v>66.02</v>
      </c>
      <c r="BB6586" s="42"/>
      <c r="BC6586" s="74"/>
      <c r="BD6586" s="77"/>
      <c r="BF6586">
        <v>59</v>
      </c>
      <c r="BH6586" s="42"/>
      <c r="BI6586" s="74"/>
      <c r="BJ6586" s="77"/>
      <c r="BL6586" s="497">
        <v>62.06</v>
      </c>
      <c r="BN6586" s="42"/>
      <c r="BO6586" s="74"/>
      <c r="BP6586" s="77"/>
      <c r="BR6586" s="497">
        <v>66.92</v>
      </c>
      <c r="BT6586" s="42"/>
    </row>
    <row r="6587" spans="1:72" x14ac:dyDescent="0.25">
      <c r="A6587" s="90">
        <v>37165</v>
      </c>
      <c r="B6587" s="20">
        <v>0.70833333333333337</v>
      </c>
      <c r="D6587">
        <v>55.58</v>
      </c>
      <c r="E6587" t="str">
        <f t="shared" si="240"/>
        <v>WEEKDAY</v>
      </c>
      <c r="F6587" t="e">
        <f t="shared" si="241"/>
        <v>#N/A</v>
      </c>
      <c r="G6587" s="74">
        <v>29495</v>
      </c>
      <c r="H6587" s="77">
        <v>0.70833333333333337</v>
      </c>
      <c r="J6587">
        <v>71.42</v>
      </c>
      <c r="M6587" s="74">
        <v>36434</v>
      </c>
      <c r="N6587" s="77">
        <v>0.70833333333333337</v>
      </c>
      <c r="P6587">
        <v>66.2</v>
      </c>
      <c r="S6587" s="74">
        <v>37165</v>
      </c>
      <c r="T6587" s="77">
        <v>0.70833333333333337</v>
      </c>
      <c r="V6587">
        <v>57.019999999999996</v>
      </c>
      <c r="X6587" s="42"/>
      <c r="AB6587">
        <v>67.7</v>
      </c>
      <c r="AC6587">
        <v>62.06</v>
      </c>
      <c r="AE6587" s="74"/>
      <c r="AF6587" s="77"/>
      <c r="AH6587" s="497">
        <v>77</v>
      </c>
      <c r="AJ6587" s="42"/>
      <c r="AK6587" s="74"/>
      <c r="AL6587" s="77"/>
      <c r="AN6587" s="497">
        <v>62.06</v>
      </c>
      <c r="AP6587" s="42"/>
      <c r="AQ6587" s="74"/>
      <c r="AR6587" s="77"/>
      <c r="AT6587" s="497">
        <v>64.94</v>
      </c>
      <c r="AV6587" s="42"/>
      <c r="AW6587" s="74"/>
      <c r="AX6587" s="77"/>
      <c r="BA6587" s="497">
        <v>64.039999999999992</v>
      </c>
      <c r="BB6587" s="42"/>
      <c r="BC6587" s="74"/>
      <c r="BD6587" s="77"/>
      <c r="BF6587">
        <v>57.92</v>
      </c>
      <c r="BH6587" s="42"/>
      <c r="BI6587" s="74"/>
      <c r="BJ6587" s="77"/>
      <c r="BL6587" s="497">
        <v>62.06</v>
      </c>
      <c r="BN6587" s="42"/>
      <c r="BO6587" s="74"/>
      <c r="BP6587" s="77"/>
      <c r="BR6587" s="497">
        <v>64.039999999999992</v>
      </c>
      <c r="BT6587" s="42"/>
    </row>
    <row r="6588" spans="1:72" x14ac:dyDescent="0.25">
      <c r="A6588" s="90">
        <v>37165</v>
      </c>
      <c r="B6588" s="20">
        <v>0.75</v>
      </c>
      <c r="D6588">
        <v>57.92</v>
      </c>
      <c r="E6588" t="str">
        <f t="shared" si="240"/>
        <v>WEEKDAY</v>
      </c>
      <c r="F6588" t="e">
        <f t="shared" si="241"/>
        <v>#N/A</v>
      </c>
      <c r="G6588" s="74">
        <v>29495</v>
      </c>
      <c r="H6588" s="77">
        <v>0.75</v>
      </c>
      <c r="J6588">
        <v>69.62</v>
      </c>
      <c r="M6588" s="74">
        <v>36434</v>
      </c>
      <c r="N6588" s="77">
        <v>0.75</v>
      </c>
      <c r="P6588">
        <v>64.400000000000006</v>
      </c>
      <c r="S6588" s="74">
        <v>37165</v>
      </c>
      <c r="T6588" s="77">
        <v>0.75</v>
      </c>
      <c r="V6588">
        <v>57.92</v>
      </c>
      <c r="X6588" s="42"/>
      <c r="AB6588">
        <v>66.400000000000006</v>
      </c>
      <c r="AC6588">
        <v>60.08</v>
      </c>
      <c r="AE6588" s="74"/>
      <c r="AF6588" s="77"/>
      <c r="AH6588" s="497">
        <v>73.400000000000006</v>
      </c>
      <c r="AJ6588" s="42"/>
      <c r="AK6588" s="74"/>
      <c r="AL6588" s="77"/>
      <c r="AN6588" s="497">
        <v>62.06</v>
      </c>
      <c r="AP6588" s="42"/>
      <c r="AQ6588" s="74"/>
      <c r="AR6588" s="77"/>
      <c r="AT6588" s="497">
        <v>64.039999999999992</v>
      </c>
      <c r="AV6588" s="42"/>
      <c r="AW6588" s="74"/>
      <c r="AX6588" s="77"/>
      <c r="BA6588" s="497">
        <v>60.980000000000004</v>
      </c>
      <c r="BB6588" s="42"/>
      <c r="BC6588" s="74"/>
      <c r="BD6588" s="77"/>
      <c r="BF6588">
        <v>57.019999999999996</v>
      </c>
      <c r="BH6588" s="42"/>
      <c r="BI6588" s="74"/>
      <c r="BJ6588" s="77"/>
      <c r="BL6588" s="497">
        <v>60.08</v>
      </c>
      <c r="BN6588" s="42"/>
      <c r="BO6588" s="74"/>
      <c r="BP6588" s="77"/>
      <c r="BR6588" s="497">
        <v>59</v>
      </c>
      <c r="BT6588" s="42"/>
    </row>
    <row r="6589" spans="1:72" x14ac:dyDescent="0.25">
      <c r="A6589" s="90">
        <v>37165</v>
      </c>
      <c r="B6589" s="20">
        <v>0.79166666666666663</v>
      </c>
      <c r="D6589">
        <v>59</v>
      </c>
      <c r="E6589" t="str">
        <f t="shared" si="240"/>
        <v>WEEKDAY</v>
      </c>
      <c r="F6589" t="e">
        <f t="shared" si="241"/>
        <v>#N/A</v>
      </c>
      <c r="G6589" s="74">
        <v>29495</v>
      </c>
      <c r="H6589" s="77">
        <v>0.79166666666666663</v>
      </c>
      <c r="J6589">
        <v>68</v>
      </c>
      <c r="M6589" s="74">
        <v>36434</v>
      </c>
      <c r="N6589" s="77">
        <v>0.79166666666666663</v>
      </c>
      <c r="P6589">
        <v>62.6</v>
      </c>
      <c r="S6589" s="74">
        <v>37165</v>
      </c>
      <c r="T6589" s="77">
        <v>0.79166666666666663</v>
      </c>
      <c r="V6589">
        <v>57.019999999999996</v>
      </c>
      <c r="X6589" s="42"/>
      <c r="AB6589">
        <v>64.8</v>
      </c>
      <c r="AC6589">
        <v>57.019999999999996</v>
      </c>
      <c r="AE6589" s="74"/>
      <c r="AF6589" s="77"/>
      <c r="AH6589" s="497">
        <v>66.2</v>
      </c>
      <c r="AJ6589" s="42"/>
      <c r="AK6589" s="74"/>
      <c r="AL6589" s="77"/>
      <c r="AN6589" s="497">
        <v>60.980000000000004</v>
      </c>
      <c r="AP6589" s="42"/>
      <c r="AQ6589" s="74"/>
      <c r="AR6589" s="77"/>
      <c r="AT6589" s="497">
        <v>62.06</v>
      </c>
      <c r="AV6589" s="42"/>
      <c r="AW6589" s="74"/>
      <c r="AX6589" s="77"/>
      <c r="BA6589" s="497">
        <v>60.08</v>
      </c>
      <c r="BB6589" s="42"/>
      <c r="BC6589" s="74"/>
      <c r="BD6589" s="77"/>
      <c r="BF6589">
        <v>53.96</v>
      </c>
      <c r="BH6589" s="42"/>
      <c r="BI6589" s="74"/>
      <c r="BJ6589" s="77"/>
      <c r="BL6589" s="497">
        <v>59</v>
      </c>
      <c r="BN6589" s="42"/>
      <c r="BO6589" s="74"/>
      <c r="BP6589" s="77"/>
      <c r="BR6589" s="497">
        <v>55.040000000000006</v>
      </c>
      <c r="BT6589" s="42"/>
    </row>
    <row r="6590" spans="1:72" x14ac:dyDescent="0.25">
      <c r="A6590" s="90">
        <v>37165</v>
      </c>
      <c r="B6590" s="20">
        <v>0.83333333333333337</v>
      </c>
      <c r="D6590">
        <v>59</v>
      </c>
      <c r="E6590" t="str">
        <f t="shared" si="240"/>
        <v>WEEKDAY</v>
      </c>
      <c r="F6590" t="e">
        <f t="shared" si="241"/>
        <v>#N/A</v>
      </c>
      <c r="G6590" s="74">
        <v>29495</v>
      </c>
      <c r="H6590" s="77">
        <v>0.83333333333333337</v>
      </c>
      <c r="J6590">
        <v>67.64</v>
      </c>
      <c r="M6590" s="74">
        <v>36434</v>
      </c>
      <c r="N6590" s="77">
        <v>0.83333333333333337</v>
      </c>
      <c r="P6590">
        <v>60.8</v>
      </c>
      <c r="S6590" s="74">
        <v>37165</v>
      </c>
      <c r="T6590" s="77">
        <v>0.83333333333333337</v>
      </c>
      <c r="V6590">
        <v>55.94</v>
      </c>
      <c r="X6590" s="42"/>
      <c r="AB6590">
        <v>63.9</v>
      </c>
      <c r="AC6590">
        <v>55.94</v>
      </c>
      <c r="AE6590" s="74"/>
      <c r="AF6590" s="77"/>
      <c r="AH6590" s="497">
        <v>64.400000000000006</v>
      </c>
      <c r="AJ6590" s="42"/>
      <c r="AK6590" s="74"/>
      <c r="AL6590" s="77"/>
      <c r="AN6590" s="497">
        <v>60.980000000000004</v>
      </c>
      <c r="AP6590" s="42"/>
      <c r="AQ6590" s="74"/>
      <c r="AR6590" s="77"/>
      <c r="AT6590" s="497">
        <v>60.980000000000004</v>
      </c>
      <c r="AV6590" s="42"/>
      <c r="AW6590" s="74"/>
      <c r="AX6590" s="77"/>
      <c r="BA6590" s="497">
        <v>59</v>
      </c>
      <c r="BB6590" s="42"/>
      <c r="BC6590" s="74"/>
      <c r="BD6590" s="77"/>
      <c r="BF6590">
        <v>53.06</v>
      </c>
      <c r="BH6590" s="42"/>
      <c r="BI6590" s="74"/>
      <c r="BJ6590" s="77"/>
      <c r="BL6590" s="497">
        <v>53.06</v>
      </c>
      <c r="BN6590" s="42"/>
      <c r="BO6590" s="74"/>
      <c r="BP6590" s="77"/>
      <c r="BR6590" s="497">
        <v>53.96</v>
      </c>
      <c r="BT6590" s="42"/>
    </row>
    <row r="6591" spans="1:72" x14ac:dyDescent="0.25">
      <c r="A6591" s="90">
        <v>37165</v>
      </c>
      <c r="B6591" s="20">
        <v>0.875</v>
      </c>
      <c r="D6591">
        <v>57.019999999999996</v>
      </c>
      <c r="E6591" t="str">
        <f t="shared" si="240"/>
        <v>WEEKDAY</v>
      </c>
      <c r="F6591" t="e">
        <f t="shared" si="241"/>
        <v>#N/A</v>
      </c>
      <c r="G6591" s="74">
        <v>29495</v>
      </c>
      <c r="H6591" s="77">
        <v>0.875</v>
      </c>
      <c r="J6591">
        <v>67.28</v>
      </c>
      <c r="M6591" s="74">
        <v>36434</v>
      </c>
      <c r="N6591" s="77">
        <v>0.875</v>
      </c>
      <c r="P6591">
        <v>60.8</v>
      </c>
      <c r="S6591" s="74">
        <v>37165</v>
      </c>
      <c r="T6591" s="77">
        <v>0.875</v>
      </c>
      <c r="V6591">
        <v>55.94</v>
      </c>
      <c r="X6591" s="42"/>
      <c r="AB6591">
        <v>63.2</v>
      </c>
      <c r="AC6591">
        <v>53.96</v>
      </c>
      <c r="AE6591" s="74"/>
      <c r="AF6591" s="77"/>
      <c r="AH6591" s="497">
        <v>62.6</v>
      </c>
      <c r="AJ6591" s="42"/>
      <c r="AK6591" s="74"/>
      <c r="AL6591" s="77"/>
      <c r="AN6591" s="497">
        <v>59</v>
      </c>
      <c r="AP6591" s="42"/>
      <c r="AQ6591" s="74"/>
      <c r="AR6591" s="77"/>
      <c r="AT6591" s="497">
        <v>60.08</v>
      </c>
      <c r="AV6591" s="42"/>
      <c r="AW6591" s="74"/>
      <c r="AX6591" s="77"/>
      <c r="BA6591" s="497">
        <v>57.92</v>
      </c>
      <c r="BB6591" s="42"/>
      <c r="BC6591" s="74"/>
      <c r="BD6591" s="77"/>
      <c r="BF6591">
        <v>53.96</v>
      </c>
      <c r="BH6591" s="42"/>
      <c r="BI6591" s="74"/>
      <c r="BJ6591" s="77"/>
      <c r="BL6591" s="497">
        <v>53.06</v>
      </c>
      <c r="BN6591" s="42"/>
      <c r="BO6591" s="74"/>
      <c r="BP6591" s="77"/>
      <c r="BR6591" s="497">
        <v>53.06</v>
      </c>
      <c r="BT6591" s="42"/>
    </row>
    <row r="6592" spans="1:72" x14ac:dyDescent="0.25">
      <c r="A6592" s="90">
        <v>37165</v>
      </c>
      <c r="B6592" s="20">
        <v>0.91666666666666663</v>
      </c>
      <c r="D6592">
        <v>57.019999999999996</v>
      </c>
      <c r="E6592" t="str">
        <f t="shared" si="240"/>
        <v>WEEKDAY</v>
      </c>
      <c r="F6592" t="e">
        <f t="shared" si="241"/>
        <v>#N/A</v>
      </c>
      <c r="G6592" s="74">
        <v>29495</v>
      </c>
      <c r="H6592" s="77">
        <v>0.91666666666666663</v>
      </c>
      <c r="J6592">
        <v>66.92</v>
      </c>
      <c r="M6592" s="74">
        <v>36434</v>
      </c>
      <c r="N6592" s="77">
        <v>0.91666666666666663</v>
      </c>
      <c r="P6592">
        <v>60.8</v>
      </c>
      <c r="S6592" s="74">
        <v>37165</v>
      </c>
      <c r="T6592" s="77">
        <v>0.91666666666666663</v>
      </c>
      <c r="V6592">
        <v>55.040000000000006</v>
      </c>
      <c r="X6592" s="42"/>
      <c r="AB6592">
        <v>62.6</v>
      </c>
      <c r="AC6592">
        <v>53.96</v>
      </c>
      <c r="AE6592" s="74"/>
      <c r="AF6592" s="77"/>
      <c r="AH6592" s="497">
        <v>62.6</v>
      </c>
      <c r="AJ6592" s="42"/>
      <c r="AK6592" s="74"/>
      <c r="AL6592" s="77"/>
      <c r="AN6592" s="497">
        <v>57.92</v>
      </c>
      <c r="AP6592" s="42"/>
      <c r="AQ6592" s="74"/>
      <c r="AR6592" s="77"/>
      <c r="AT6592" s="497">
        <v>60.08</v>
      </c>
      <c r="AV6592" s="42"/>
      <c r="AW6592" s="74"/>
      <c r="AX6592" s="77"/>
      <c r="BA6592" s="497">
        <v>57.92</v>
      </c>
      <c r="BB6592" s="42"/>
      <c r="BC6592" s="74"/>
      <c r="BD6592" s="77"/>
      <c r="BF6592">
        <v>55.040000000000006</v>
      </c>
      <c r="BH6592" s="42"/>
      <c r="BI6592" s="74"/>
      <c r="BJ6592" s="77"/>
      <c r="BL6592" s="497">
        <v>55.040000000000006</v>
      </c>
      <c r="BN6592" s="42"/>
      <c r="BO6592" s="74"/>
      <c r="BP6592" s="77"/>
      <c r="BR6592" s="497">
        <v>51.980000000000004</v>
      </c>
      <c r="BT6592" s="42"/>
    </row>
    <row r="6593" spans="1:72" x14ac:dyDescent="0.25">
      <c r="A6593" s="90">
        <v>37165</v>
      </c>
      <c r="B6593" s="20">
        <v>0.95833333333333337</v>
      </c>
      <c r="D6593">
        <v>55.94</v>
      </c>
      <c r="E6593" t="str">
        <f t="shared" si="240"/>
        <v>WEEKDAY</v>
      </c>
      <c r="F6593" t="e">
        <f t="shared" si="241"/>
        <v>#N/A</v>
      </c>
      <c r="G6593" s="74">
        <v>29495</v>
      </c>
      <c r="H6593" s="77">
        <v>0.95833333333333337</v>
      </c>
      <c r="J6593">
        <v>65.66</v>
      </c>
      <c r="M6593" s="74">
        <v>36434</v>
      </c>
      <c r="N6593" s="77">
        <v>0.95833333333333337</v>
      </c>
      <c r="P6593">
        <v>57.2</v>
      </c>
      <c r="S6593" s="74">
        <v>37165</v>
      </c>
      <c r="T6593" s="77">
        <v>0.95833333333333337</v>
      </c>
      <c r="V6593">
        <v>53.06</v>
      </c>
      <c r="X6593" s="42"/>
      <c r="AB6593">
        <v>61.9</v>
      </c>
      <c r="AC6593">
        <v>51.980000000000004</v>
      </c>
      <c r="AE6593" s="74"/>
      <c r="AF6593" s="77"/>
      <c r="AH6593" s="497">
        <v>69.800000000000011</v>
      </c>
      <c r="AJ6593" s="42"/>
      <c r="AK6593" s="74"/>
      <c r="AL6593" s="77"/>
      <c r="AN6593" s="497">
        <v>57.92</v>
      </c>
      <c r="AP6593" s="42"/>
      <c r="AQ6593" s="74"/>
      <c r="AR6593" s="77"/>
      <c r="AT6593" s="497">
        <v>60.08</v>
      </c>
      <c r="AV6593" s="42"/>
      <c r="AW6593" s="74"/>
      <c r="AX6593" s="77"/>
      <c r="BA6593" s="497">
        <v>57.92</v>
      </c>
      <c r="BB6593" s="42"/>
      <c r="BC6593" s="74"/>
      <c r="BD6593" s="77"/>
      <c r="BF6593">
        <v>55.040000000000006</v>
      </c>
      <c r="BH6593" s="42"/>
      <c r="BI6593" s="74"/>
      <c r="BJ6593" s="77"/>
      <c r="BL6593" s="497">
        <v>55.94</v>
      </c>
      <c r="BN6593" s="42"/>
      <c r="BO6593" s="74"/>
      <c r="BP6593" s="77"/>
      <c r="BR6593" s="497">
        <v>51.980000000000004</v>
      </c>
      <c r="BT6593" s="42"/>
    </row>
    <row r="6594" spans="1:72" x14ac:dyDescent="0.25">
      <c r="A6594" s="90">
        <v>37165</v>
      </c>
      <c r="B6594" s="20">
        <v>1</v>
      </c>
      <c r="D6594">
        <v>55.040000000000006</v>
      </c>
      <c r="E6594" t="str">
        <f t="shared" si="240"/>
        <v>WEEKDAY</v>
      </c>
      <c r="F6594" t="e">
        <f t="shared" si="241"/>
        <v>#N/A</v>
      </c>
      <c r="G6594" s="74">
        <v>29495</v>
      </c>
      <c r="H6594" s="77">
        <v>1</v>
      </c>
      <c r="J6594">
        <v>64.22</v>
      </c>
      <c r="M6594" s="74">
        <v>36434</v>
      </c>
      <c r="N6594" s="80">
        <v>1</v>
      </c>
      <c r="P6594">
        <v>57.2</v>
      </c>
      <c r="S6594" s="74">
        <v>37165</v>
      </c>
      <c r="T6594" s="80">
        <v>1</v>
      </c>
      <c r="V6594">
        <v>53.06</v>
      </c>
      <c r="X6594" s="42"/>
      <c r="AB6594">
        <v>61.2</v>
      </c>
      <c r="AC6594">
        <v>51.08</v>
      </c>
      <c r="AE6594" s="74"/>
      <c r="AF6594" s="80"/>
      <c r="AH6594" s="497">
        <v>69.800000000000011</v>
      </c>
      <c r="AJ6594" s="42"/>
      <c r="AK6594" s="74"/>
      <c r="AL6594" s="80"/>
      <c r="AN6594" s="497">
        <v>57.92</v>
      </c>
      <c r="AP6594" s="42"/>
      <c r="AQ6594" s="74"/>
      <c r="AR6594" s="80"/>
      <c r="AT6594" s="497">
        <v>59</v>
      </c>
      <c r="AV6594" s="42"/>
      <c r="AW6594" s="74"/>
      <c r="AX6594" s="80"/>
      <c r="BA6594" s="497">
        <v>57.92</v>
      </c>
      <c r="BB6594" s="42"/>
      <c r="BC6594" s="74"/>
      <c r="BD6594" s="80"/>
      <c r="BF6594">
        <v>53.96</v>
      </c>
      <c r="BH6594" s="42"/>
      <c r="BI6594" s="74"/>
      <c r="BJ6594" s="80"/>
      <c r="BL6594" s="497">
        <v>55.94</v>
      </c>
      <c r="BN6594" s="42"/>
      <c r="BO6594" s="74"/>
      <c r="BP6594" s="80"/>
      <c r="BR6594" s="497">
        <v>51.980000000000004</v>
      </c>
      <c r="BT6594" s="42"/>
    </row>
    <row r="6595" spans="1:72" x14ac:dyDescent="0.25">
      <c r="A6595" s="90">
        <v>37166</v>
      </c>
      <c r="B6595" s="20">
        <v>4.1666666666666664E-2</v>
      </c>
      <c r="D6595">
        <v>53.96</v>
      </c>
      <c r="E6595" t="str">
        <f t="shared" si="240"/>
        <v>WEEKDAY</v>
      </c>
      <c r="F6595" t="e">
        <f t="shared" si="241"/>
        <v>#N/A</v>
      </c>
      <c r="G6595" s="74">
        <v>29496</v>
      </c>
      <c r="H6595" s="77">
        <v>4.1666666666666664E-2</v>
      </c>
      <c r="J6595">
        <v>62.96</v>
      </c>
      <c r="M6595" s="74">
        <v>36435</v>
      </c>
      <c r="N6595" s="77">
        <v>4.1666666666666664E-2</v>
      </c>
      <c r="P6595">
        <v>55.400000000000006</v>
      </c>
      <c r="S6595" s="74">
        <v>37166</v>
      </c>
      <c r="T6595" s="77">
        <v>4.1666666666666664E-2</v>
      </c>
      <c r="V6595">
        <v>53.06</v>
      </c>
      <c r="X6595" s="42"/>
      <c r="AB6595">
        <v>60.7</v>
      </c>
      <c r="AC6595">
        <v>51.08</v>
      </c>
      <c r="AE6595" s="74"/>
      <c r="AF6595" s="77"/>
      <c r="AH6595" s="497">
        <v>68</v>
      </c>
      <c r="AJ6595" s="42"/>
      <c r="AK6595" s="74"/>
      <c r="AL6595" s="77"/>
      <c r="AN6595" s="497">
        <v>57.92</v>
      </c>
      <c r="AP6595" s="42"/>
      <c r="AQ6595" s="74"/>
      <c r="AR6595" s="77"/>
      <c r="AT6595" s="497">
        <v>59</v>
      </c>
      <c r="AV6595" s="42"/>
      <c r="AW6595" s="74"/>
      <c r="AX6595" s="77"/>
      <c r="BA6595" s="497">
        <v>57.92</v>
      </c>
      <c r="BB6595" s="42"/>
      <c r="BC6595" s="74"/>
      <c r="BD6595" s="77"/>
      <c r="BF6595">
        <v>53.06</v>
      </c>
      <c r="BH6595" s="42"/>
      <c r="BI6595" s="74"/>
      <c r="BJ6595" s="77"/>
      <c r="BL6595" s="497">
        <v>53.96</v>
      </c>
      <c r="BN6595" s="42"/>
      <c r="BO6595" s="74"/>
      <c r="BP6595" s="77"/>
      <c r="BR6595" s="497">
        <v>51.980000000000004</v>
      </c>
      <c r="BT6595" s="42"/>
    </row>
    <row r="6596" spans="1:72" x14ac:dyDescent="0.25">
      <c r="A6596" s="90">
        <v>37166</v>
      </c>
      <c r="B6596" s="20">
        <v>8.3333333333333329E-2</v>
      </c>
      <c r="D6596">
        <v>53.06</v>
      </c>
      <c r="E6596" t="str">
        <f t="shared" si="240"/>
        <v>WEEKDAY</v>
      </c>
      <c r="F6596" t="e">
        <f t="shared" si="241"/>
        <v>#N/A</v>
      </c>
      <c r="G6596" s="74">
        <v>29496</v>
      </c>
      <c r="H6596" s="77">
        <v>8.3333333333333329E-2</v>
      </c>
      <c r="J6596">
        <v>62.96</v>
      </c>
      <c r="M6596" s="74">
        <v>36435</v>
      </c>
      <c r="N6596" s="77">
        <v>8.3333333333333329E-2</v>
      </c>
      <c r="P6596">
        <v>53.6</v>
      </c>
      <c r="S6596" s="74">
        <v>37166</v>
      </c>
      <c r="T6596" s="77">
        <v>8.3333333333333329E-2</v>
      </c>
      <c r="V6596">
        <v>51.08</v>
      </c>
      <c r="X6596" s="42"/>
      <c r="AB6596">
        <v>60.1</v>
      </c>
      <c r="AC6596">
        <v>51.08</v>
      </c>
      <c r="AE6596" s="74"/>
      <c r="AF6596" s="77"/>
      <c r="AH6596" s="497">
        <v>66.2</v>
      </c>
      <c r="AJ6596" s="42"/>
      <c r="AK6596" s="74"/>
      <c r="AL6596" s="77"/>
      <c r="AN6596" s="497">
        <v>57.92</v>
      </c>
      <c r="AP6596" s="42"/>
      <c r="AQ6596" s="74"/>
      <c r="AR6596" s="77"/>
      <c r="AT6596" s="497">
        <v>59</v>
      </c>
      <c r="AV6596" s="42"/>
      <c r="AW6596" s="74"/>
      <c r="AX6596" s="77"/>
      <c r="BA6596" s="497">
        <v>57.92</v>
      </c>
      <c r="BB6596" s="42"/>
      <c r="BC6596" s="74"/>
      <c r="BD6596" s="77"/>
      <c r="BF6596">
        <v>51.980000000000004</v>
      </c>
      <c r="BH6596" s="42"/>
      <c r="BI6596" s="74"/>
      <c r="BJ6596" s="77"/>
      <c r="BL6596" s="497">
        <v>53.06</v>
      </c>
      <c r="BN6596" s="42"/>
      <c r="BO6596" s="74"/>
      <c r="BP6596" s="77"/>
      <c r="BR6596" s="497">
        <v>53.06</v>
      </c>
      <c r="BT6596" s="42"/>
    </row>
    <row r="6597" spans="1:72" x14ac:dyDescent="0.25">
      <c r="A6597" s="90">
        <v>37166</v>
      </c>
      <c r="B6597" s="20">
        <v>0.125</v>
      </c>
      <c r="D6597">
        <v>55.94</v>
      </c>
      <c r="E6597" t="str">
        <f t="shared" si="240"/>
        <v>WEEKDAY</v>
      </c>
      <c r="F6597" t="e">
        <f t="shared" si="241"/>
        <v>#N/A</v>
      </c>
      <c r="G6597" s="74">
        <v>29496</v>
      </c>
      <c r="H6597" s="77">
        <v>0.125</v>
      </c>
      <c r="J6597">
        <v>62.96</v>
      </c>
      <c r="M6597" s="74">
        <v>36435</v>
      </c>
      <c r="N6597" s="77">
        <v>0.125</v>
      </c>
      <c r="P6597">
        <v>51.8</v>
      </c>
      <c r="S6597" s="74">
        <v>37166</v>
      </c>
      <c r="T6597" s="77">
        <v>0.125</v>
      </c>
      <c r="V6597">
        <v>51.08</v>
      </c>
      <c r="X6597" s="42"/>
      <c r="AB6597">
        <v>59.5</v>
      </c>
      <c r="AC6597">
        <v>51.08</v>
      </c>
      <c r="AE6597" s="74"/>
      <c r="AF6597" s="77"/>
      <c r="AH6597" s="497">
        <v>66.2</v>
      </c>
      <c r="AJ6597" s="42"/>
      <c r="AK6597" s="74"/>
      <c r="AL6597" s="77"/>
      <c r="AN6597" s="497">
        <v>59</v>
      </c>
      <c r="AP6597" s="42"/>
      <c r="AQ6597" s="74"/>
      <c r="AR6597" s="77"/>
      <c r="AT6597" s="497">
        <v>59</v>
      </c>
      <c r="AV6597" s="42"/>
      <c r="AW6597" s="74"/>
      <c r="AX6597" s="77"/>
      <c r="BA6597" s="497">
        <v>57.92</v>
      </c>
      <c r="BB6597" s="42"/>
      <c r="BC6597" s="74"/>
      <c r="BD6597" s="77"/>
      <c r="BF6597">
        <v>48.019999999999996</v>
      </c>
      <c r="BH6597" s="42"/>
      <c r="BI6597" s="74"/>
      <c r="BJ6597" s="77"/>
      <c r="BL6597" s="497">
        <v>51.08</v>
      </c>
      <c r="BN6597" s="42"/>
      <c r="BO6597" s="74"/>
      <c r="BP6597" s="77"/>
      <c r="BR6597" s="497">
        <v>53.06</v>
      </c>
      <c r="BT6597" s="42"/>
    </row>
    <row r="6598" spans="1:72" x14ac:dyDescent="0.25">
      <c r="A6598" s="90">
        <v>37166</v>
      </c>
      <c r="B6598" s="20">
        <v>0.16666666666666666</v>
      </c>
      <c r="D6598">
        <v>55.040000000000006</v>
      </c>
      <c r="E6598" t="str">
        <f t="shared" si="240"/>
        <v>WEEKDAY</v>
      </c>
      <c r="F6598" t="e">
        <f t="shared" si="241"/>
        <v>#N/A</v>
      </c>
      <c r="G6598" s="74">
        <v>29496</v>
      </c>
      <c r="H6598" s="77">
        <v>0.16666666666666666</v>
      </c>
      <c r="J6598">
        <v>62.96</v>
      </c>
      <c r="M6598" s="74">
        <v>36435</v>
      </c>
      <c r="N6598" s="77">
        <v>0.16666666666666666</v>
      </c>
      <c r="P6598">
        <v>50</v>
      </c>
      <c r="S6598" s="74">
        <v>37166</v>
      </c>
      <c r="T6598" s="77">
        <v>0.16666666666666666</v>
      </c>
      <c r="V6598">
        <v>48.92</v>
      </c>
      <c r="X6598" s="42"/>
      <c r="AB6598">
        <v>59.1</v>
      </c>
      <c r="AC6598">
        <v>48.92</v>
      </c>
      <c r="AE6598" s="74"/>
      <c r="AF6598" s="77"/>
      <c r="AH6598" s="497">
        <v>66.2</v>
      </c>
      <c r="AJ6598" s="42"/>
      <c r="AK6598" s="74"/>
      <c r="AL6598" s="77"/>
      <c r="AN6598" s="497">
        <v>59</v>
      </c>
      <c r="AP6598" s="42"/>
      <c r="AQ6598" s="74"/>
      <c r="AR6598" s="77"/>
      <c r="AT6598" s="497">
        <v>59</v>
      </c>
      <c r="AV6598" s="42"/>
      <c r="AW6598" s="74"/>
      <c r="AX6598" s="77"/>
      <c r="BA6598" s="497">
        <v>57.92</v>
      </c>
      <c r="BB6598" s="42"/>
      <c r="BC6598" s="74"/>
      <c r="BD6598" s="77"/>
      <c r="BF6598">
        <v>46.94</v>
      </c>
      <c r="BH6598" s="42"/>
      <c r="BI6598" s="74"/>
      <c r="BJ6598" s="77"/>
      <c r="BL6598" s="497">
        <v>51.08</v>
      </c>
      <c r="BN6598" s="42"/>
      <c r="BO6598" s="74"/>
      <c r="BP6598" s="77"/>
      <c r="BR6598" s="497">
        <v>53.06</v>
      </c>
      <c r="BT6598" s="42"/>
    </row>
    <row r="6599" spans="1:72" x14ac:dyDescent="0.25">
      <c r="A6599" s="90">
        <v>37166</v>
      </c>
      <c r="B6599" s="20">
        <v>0.20833333333333334</v>
      </c>
      <c r="D6599">
        <v>55.94</v>
      </c>
      <c r="E6599" t="str">
        <f t="shared" si="240"/>
        <v>WEEKDAY</v>
      </c>
      <c r="F6599" t="e">
        <f t="shared" si="241"/>
        <v>#N/A</v>
      </c>
      <c r="G6599" s="74">
        <v>29496</v>
      </c>
      <c r="H6599" s="77">
        <v>0.20833333333333334</v>
      </c>
      <c r="J6599">
        <v>62.96</v>
      </c>
      <c r="M6599" s="74">
        <v>36435</v>
      </c>
      <c r="N6599" s="77">
        <v>0.20833333333333334</v>
      </c>
      <c r="P6599">
        <v>50</v>
      </c>
      <c r="S6599" s="74">
        <v>37166</v>
      </c>
      <c r="T6599" s="77">
        <v>0.20833333333333334</v>
      </c>
      <c r="V6599">
        <v>51.08</v>
      </c>
      <c r="X6599" s="42"/>
      <c r="AB6599">
        <v>58.7</v>
      </c>
      <c r="AC6599">
        <v>51.980000000000004</v>
      </c>
      <c r="AE6599" s="74"/>
      <c r="AF6599" s="77"/>
      <c r="AH6599" s="497">
        <v>66.2</v>
      </c>
      <c r="AJ6599" s="42"/>
      <c r="AK6599" s="74"/>
      <c r="AL6599" s="77"/>
      <c r="AN6599" s="497">
        <v>57.92</v>
      </c>
      <c r="AP6599" s="42"/>
      <c r="AQ6599" s="74"/>
      <c r="AR6599" s="77"/>
      <c r="AT6599" s="497">
        <v>59</v>
      </c>
      <c r="AV6599" s="42"/>
      <c r="AW6599" s="74"/>
      <c r="AX6599" s="77"/>
      <c r="BA6599" s="497">
        <v>57.92</v>
      </c>
      <c r="BB6599" s="42"/>
      <c r="BC6599" s="74"/>
      <c r="BD6599" s="77"/>
      <c r="BF6599">
        <v>44.96</v>
      </c>
      <c r="BH6599" s="42"/>
      <c r="BI6599" s="74"/>
      <c r="BJ6599" s="77"/>
      <c r="BL6599" s="497">
        <v>51.980000000000004</v>
      </c>
      <c r="BN6599" s="42"/>
      <c r="BO6599" s="74"/>
      <c r="BP6599" s="77"/>
      <c r="BR6599" s="497">
        <v>53.96</v>
      </c>
      <c r="BT6599" s="42"/>
    </row>
    <row r="6600" spans="1:72" x14ac:dyDescent="0.25">
      <c r="A6600" s="90">
        <v>37166</v>
      </c>
      <c r="B6600" s="20">
        <v>0.25</v>
      </c>
      <c r="D6600">
        <v>57.019999999999996</v>
      </c>
      <c r="E6600" t="str">
        <f t="shared" si="240"/>
        <v>WEEKDAY</v>
      </c>
      <c r="F6600" t="e">
        <f t="shared" si="241"/>
        <v>#N/A</v>
      </c>
      <c r="G6600" s="74">
        <v>29496</v>
      </c>
      <c r="H6600" s="77">
        <v>0.25</v>
      </c>
      <c r="J6600">
        <v>62.96</v>
      </c>
      <c r="M6600" s="74">
        <v>36435</v>
      </c>
      <c r="N6600" s="77">
        <v>0.25</v>
      </c>
      <c r="P6600">
        <v>48.2</v>
      </c>
      <c r="S6600" s="74">
        <v>37166</v>
      </c>
      <c r="T6600" s="77">
        <v>0.25</v>
      </c>
      <c r="V6600">
        <v>51.08</v>
      </c>
      <c r="X6600" s="42"/>
      <c r="AB6600">
        <v>58.5</v>
      </c>
      <c r="AC6600">
        <v>51.980000000000004</v>
      </c>
      <c r="AE6600" s="74"/>
      <c r="AF6600" s="77"/>
      <c r="AH6600" s="497">
        <v>64.400000000000006</v>
      </c>
      <c r="AJ6600" s="42"/>
      <c r="AK6600" s="74"/>
      <c r="AL6600" s="77"/>
      <c r="AN6600" s="497">
        <v>57.92</v>
      </c>
      <c r="AP6600" s="42"/>
      <c r="AQ6600" s="74"/>
      <c r="AR6600" s="77"/>
      <c r="AT6600" s="497">
        <v>59</v>
      </c>
      <c r="AV6600" s="42"/>
      <c r="AW6600" s="74"/>
      <c r="AX6600" s="77"/>
      <c r="BA6600" s="497">
        <v>57.92</v>
      </c>
      <c r="BB6600" s="42"/>
      <c r="BC6600" s="74"/>
      <c r="BD6600" s="77"/>
      <c r="BF6600">
        <v>44.96</v>
      </c>
      <c r="BH6600" s="42"/>
      <c r="BI6600" s="74"/>
      <c r="BJ6600" s="77"/>
      <c r="BL6600" s="497">
        <v>53.06</v>
      </c>
      <c r="BN6600" s="42"/>
      <c r="BO6600" s="74"/>
      <c r="BP6600" s="77"/>
      <c r="BR6600" s="497">
        <v>53.96</v>
      </c>
      <c r="BT6600" s="42"/>
    </row>
    <row r="6601" spans="1:72" x14ac:dyDescent="0.25">
      <c r="A6601" s="90">
        <v>37166</v>
      </c>
      <c r="B6601" s="20">
        <v>0.29166666666666669</v>
      </c>
      <c r="D6601">
        <v>57.019999999999996</v>
      </c>
      <c r="E6601" t="str">
        <f t="shared" si="240"/>
        <v>WEEKDAY</v>
      </c>
      <c r="F6601" t="e">
        <f t="shared" si="241"/>
        <v>#N/A</v>
      </c>
      <c r="G6601" s="74">
        <v>29496</v>
      </c>
      <c r="H6601" s="77">
        <v>0.29166666666666669</v>
      </c>
      <c r="J6601">
        <v>62.96</v>
      </c>
      <c r="M6601" s="74">
        <v>36435</v>
      </c>
      <c r="N6601" s="77">
        <v>0.29166666666666669</v>
      </c>
      <c r="P6601">
        <v>51.8</v>
      </c>
      <c r="S6601" s="74">
        <v>37166</v>
      </c>
      <c r="T6601" s="77">
        <v>0.29166666666666669</v>
      </c>
      <c r="V6601">
        <v>51.980000000000004</v>
      </c>
      <c r="X6601" s="42"/>
      <c r="AB6601">
        <v>58.4</v>
      </c>
      <c r="AC6601">
        <v>55.040000000000006</v>
      </c>
      <c r="AE6601" s="74"/>
      <c r="AF6601" s="77"/>
      <c r="AH6601" s="497">
        <v>66.2</v>
      </c>
      <c r="AJ6601" s="42"/>
      <c r="AK6601" s="74"/>
      <c r="AL6601" s="77"/>
      <c r="AN6601" s="497">
        <v>57.92</v>
      </c>
      <c r="AP6601" s="42"/>
      <c r="AQ6601" s="74"/>
      <c r="AR6601" s="77"/>
      <c r="AT6601" s="497">
        <v>59</v>
      </c>
      <c r="AV6601" s="42"/>
      <c r="AW6601" s="74"/>
      <c r="AX6601" s="77"/>
      <c r="BA6601" s="497">
        <v>57.019999999999996</v>
      </c>
      <c r="BB6601" s="42"/>
      <c r="BC6601" s="74"/>
      <c r="BD6601" s="77"/>
      <c r="BF6601">
        <v>46.94</v>
      </c>
      <c r="BH6601" s="42"/>
      <c r="BI6601" s="74"/>
      <c r="BJ6601" s="77"/>
      <c r="BL6601" s="497">
        <v>53.06</v>
      </c>
      <c r="BN6601" s="42"/>
      <c r="BO6601" s="74"/>
      <c r="BP6601" s="77"/>
      <c r="BR6601" s="497">
        <v>53.96</v>
      </c>
      <c r="BT6601" s="42"/>
    </row>
    <row r="6602" spans="1:72" x14ac:dyDescent="0.25">
      <c r="A6602" s="90">
        <v>37166</v>
      </c>
      <c r="B6602" s="20">
        <v>0.33333333333333331</v>
      </c>
      <c r="D6602">
        <v>60.08</v>
      </c>
      <c r="E6602" t="str">
        <f t="shared" si="240"/>
        <v>WEEKDAY</v>
      </c>
      <c r="F6602" t="e">
        <f t="shared" si="241"/>
        <v>#N/A</v>
      </c>
      <c r="G6602" s="74">
        <v>29496</v>
      </c>
      <c r="H6602" s="77">
        <v>0.33333333333333331</v>
      </c>
      <c r="J6602">
        <v>63.680000000000007</v>
      </c>
      <c r="M6602" s="74">
        <v>36435</v>
      </c>
      <c r="N6602" s="77">
        <v>0.33333333333333331</v>
      </c>
      <c r="P6602">
        <v>59</v>
      </c>
      <c r="S6602" s="74">
        <v>37166</v>
      </c>
      <c r="T6602" s="77">
        <v>0.33333333333333331</v>
      </c>
      <c r="V6602">
        <v>59</v>
      </c>
      <c r="X6602" s="42"/>
      <c r="AB6602">
        <v>59.7</v>
      </c>
      <c r="AC6602">
        <v>57.019999999999996</v>
      </c>
      <c r="AE6602" s="74"/>
      <c r="AF6602" s="77"/>
      <c r="AH6602" s="497">
        <v>69.800000000000011</v>
      </c>
      <c r="AJ6602" s="42"/>
      <c r="AK6602" s="74"/>
      <c r="AL6602" s="77"/>
      <c r="AN6602" s="497">
        <v>59</v>
      </c>
      <c r="AP6602" s="42"/>
      <c r="AQ6602" s="74"/>
      <c r="AR6602" s="77"/>
      <c r="AT6602" s="497">
        <v>59</v>
      </c>
      <c r="AV6602" s="42"/>
      <c r="AW6602" s="74"/>
      <c r="AX6602" s="77"/>
      <c r="BA6602" s="497">
        <v>57.92</v>
      </c>
      <c r="BB6602" s="42"/>
      <c r="BC6602" s="74"/>
      <c r="BD6602" s="77"/>
      <c r="BF6602">
        <v>50</v>
      </c>
      <c r="BH6602" s="42"/>
      <c r="BI6602" s="74"/>
      <c r="BJ6602" s="77"/>
      <c r="BL6602" s="497">
        <v>53.96</v>
      </c>
      <c r="BN6602" s="42"/>
      <c r="BO6602" s="74"/>
      <c r="BP6602" s="77"/>
      <c r="BR6602" s="497">
        <v>55.040000000000006</v>
      </c>
      <c r="BT6602" s="42"/>
    </row>
    <row r="6603" spans="1:72" x14ac:dyDescent="0.25">
      <c r="A6603" s="90">
        <v>37166</v>
      </c>
      <c r="B6603" s="20">
        <v>0.375</v>
      </c>
      <c r="D6603">
        <v>62.96</v>
      </c>
      <c r="E6603" t="str">
        <f t="shared" si="240"/>
        <v>WEEKDAY</v>
      </c>
      <c r="F6603" t="e">
        <f t="shared" si="241"/>
        <v>#N/A</v>
      </c>
      <c r="G6603" s="74">
        <v>29496</v>
      </c>
      <c r="H6603" s="77">
        <v>0.375</v>
      </c>
      <c r="J6603">
        <v>64.22</v>
      </c>
      <c r="M6603" s="74">
        <v>36435</v>
      </c>
      <c r="N6603" s="77">
        <v>0.375</v>
      </c>
      <c r="P6603">
        <v>59</v>
      </c>
      <c r="S6603" s="74">
        <v>37166</v>
      </c>
      <c r="T6603" s="77">
        <v>0.375</v>
      </c>
      <c r="V6603">
        <v>64.039999999999992</v>
      </c>
      <c r="X6603" s="42"/>
      <c r="AB6603">
        <v>61.9</v>
      </c>
      <c r="AC6603">
        <v>60.08</v>
      </c>
      <c r="AE6603" s="74"/>
      <c r="AF6603" s="77"/>
      <c r="AH6603" s="497">
        <v>71.599999999999994</v>
      </c>
      <c r="AJ6603" s="42"/>
      <c r="AK6603" s="74"/>
      <c r="AL6603" s="77"/>
      <c r="AN6603" s="497">
        <v>62.06</v>
      </c>
      <c r="AP6603" s="42"/>
      <c r="AQ6603" s="74"/>
      <c r="AR6603" s="77"/>
      <c r="AT6603" s="497">
        <v>59</v>
      </c>
      <c r="AV6603" s="42"/>
      <c r="AW6603" s="74"/>
      <c r="AX6603" s="77"/>
      <c r="BA6603" s="497">
        <v>59</v>
      </c>
      <c r="BB6603" s="42"/>
      <c r="BC6603" s="74"/>
      <c r="BD6603" s="77"/>
      <c r="BF6603">
        <v>51.980000000000004</v>
      </c>
      <c r="BH6603" s="42"/>
      <c r="BI6603" s="74"/>
      <c r="BJ6603" s="77"/>
      <c r="BL6603" s="497">
        <v>53.96</v>
      </c>
      <c r="BN6603" s="42"/>
      <c r="BO6603" s="74"/>
      <c r="BP6603" s="77"/>
      <c r="BR6603" s="497">
        <v>55.94</v>
      </c>
      <c r="BT6603" s="42"/>
    </row>
    <row r="6604" spans="1:72" x14ac:dyDescent="0.25">
      <c r="A6604" s="90">
        <v>37166</v>
      </c>
      <c r="B6604" s="20">
        <v>0.41666666666666669</v>
      </c>
      <c r="D6604">
        <v>64.039999999999992</v>
      </c>
      <c r="E6604" t="str">
        <f t="shared" si="240"/>
        <v>WEEKDAY</v>
      </c>
      <c r="F6604" t="e">
        <f t="shared" si="241"/>
        <v>#N/A</v>
      </c>
      <c r="G6604" s="74">
        <v>29496</v>
      </c>
      <c r="H6604" s="77">
        <v>0.41666666666666669</v>
      </c>
      <c r="J6604">
        <v>64.94</v>
      </c>
      <c r="M6604" s="74">
        <v>36435</v>
      </c>
      <c r="N6604" s="77">
        <v>0.41666666666666669</v>
      </c>
      <c r="P6604">
        <v>64.400000000000006</v>
      </c>
      <c r="S6604" s="74">
        <v>37166</v>
      </c>
      <c r="T6604" s="77">
        <v>0.41666666666666669</v>
      </c>
      <c r="V6604">
        <v>66.92</v>
      </c>
      <c r="X6604" s="42"/>
      <c r="AB6604">
        <v>63.9</v>
      </c>
      <c r="AC6604">
        <v>62.96</v>
      </c>
      <c r="AE6604" s="74"/>
      <c r="AF6604" s="77"/>
      <c r="AH6604" s="497">
        <v>73.400000000000006</v>
      </c>
      <c r="AJ6604" s="42"/>
      <c r="AK6604" s="74"/>
      <c r="AL6604" s="77"/>
      <c r="AN6604" s="497">
        <v>62.06</v>
      </c>
      <c r="AP6604" s="42"/>
      <c r="AQ6604" s="74"/>
      <c r="AR6604" s="77"/>
      <c r="AT6604" s="497">
        <v>59</v>
      </c>
      <c r="AV6604" s="42"/>
      <c r="AW6604" s="74"/>
      <c r="AX6604" s="77"/>
      <c r="BA6604" s="497">
        <v>59</v>
      </c>
      <c r="BB6604" s="42"/>
      <c r="BC6604" s="74"/>
      <c r="BD6604" s="77"/>
      <c r="BF6604">
        <v>53.06</v>
      </c>
      <c r="BH6604" s="42"/>
      <c r="BI6604" s="74"/>
      <c r="BJ6604" s="77"/>
      <c r="BL6604" s="497">
        <v>55.040000000000006</v>
      </c>
      <c r="BN6604" s="42"/>
      <c r="BO6604" s="74"/>
      <c r="BP6604" s="77"/>
      <c r="BR6604" s="497">
        <v>57.92</v>
      </c>
      <c r="BT6604" s="42"/>
    </row>
    <row r="6605" spans="1:72" x14ac:dyDescent="0.25">
      <c r="A6605" s="90">
        <v>37166</v>
      </c>
      <c r="B6605" s="20">
        <v>0.45833333333333331</v>
      </c>
      <c r="D6605">
        <v>69.080000000000013</v>
      </c>
      <c r="E6605" t="str">
        <f t="shared" si="240"/>
        <v>WEEKDAY</v>
      </c>
      <c r="F6605" t="e">
        <f t="shared" si="241"/>
        <v>#N/A</v>
      </c>
      <c r="G6605" s="74">
        <v>29496</v>
      </c>
      <c r="H6605" s="77">
        <v>0.45833333333333331</v>
      </c>
      <c r="J6605">
        <v>65.66</v>
      </c>
      <c r="M6605" s="74">
        <v>36435</v>
      </c>
      <c r="N6605" s="77">
        <v>0.45833333333333331</v>
      </c>
      <c r="P6605">
        <v>66.2</v>
      </c>
      <c r="S6605" s="74">
        <v>37166</v>
      </c>
      <c r="T6605" s="77">
        <v>0.45833333333333331</v>
      </c>
      <c r="V6605">
        <v>69.98</v>
      </c>
      <c r="X6605" s="42"/>
      <c r="AB6605">
        <v>65.5</v>
      </c>
      <c r="AC6605">
        <v>66.02</v>
      </c>
      <c r="AE6605" s="74"/>
      <c r="AF6605" s="77"/>
      <c r="AH6605" s="497">
        <v>78.800000000000011</v>
      </c>
      <c r="AJ6605" s="42"/>
      <c r="AK6605" s="74"/>
      <c r="AL6605" s="77"/>
      <c r="AN6605" s="497">
        <v>64.039999999999992</v>
      </c>
      <c r="AP6605" s="42"/>
      <c r="AQ6605" s="74"/>
      <c r="AR6605" s="77"/>
      <c r="AT6605" s="497">
        <v>60.08</v>
      </c>
      <c r="AV6605" s="42"/>
      <c r="AW6605" s="74"/>
      <c r="AX6605" s="77"/>
      <c r="BA6605" s="497">
        <v>60.08</v>
      </c>
      <c r="BB6605" s="42"/>
      <c r="BC6605" s="74"/>
      <c r="BD6605" s="77"/>
      <c r="BF6605">
        <v>55.040000000000006</v>
      </c>
      <c r="BH6605" s="42"/>
      <c r="BI6605" s="74"/>
      <c r="BJ6605" s="77"/>
      <c r="BL6605" s="497">
        <v>55.94</v>
      </c>
      <c r="BN6605" s="42"/>
      <c r="BO6605" s="74"/>
      <c r="BP6605" s="77"/>
      <c r="BR6605" s="497">
        <v>60.08</v>
      </c>
      <c r="BT6605" s="42"/>
    </row>
    <row r="6606" spans="1:72" x14ac:dyDescent="0.25">
      <c r="A6606" s="90">
        <v>37166</v>
      </c>
      <c r="B6606" s="20">
        <v>0.5</v>
      </c>
      <c r="D6606">
        <v>71.960000000000008</v>
      </c>
      <c r="E6606" t="str">
        <f t="shared" si="240"/>
        <v>WEEKDAY</v>
      </c>
      <c r="F6606" t="e">
        <f t="shared" si="241"/>
        <v>#N/A</v>
      </c>
      <c r="G6606" s="74">
        <v>29496</v>
      </c>
      <c r="H6606" s="77">
        <v>0.5</v>
      </c>
      <c r="J6606">
        <v>66.2</v>
      </c>
      <c r="M6606" s="74">
        <v>36435</v>
      </c>
      <c r="N6606" s="77">
        <v>0.5</v>
      </c>
      <c r="P6606">
        <v>68</v>
      </c>
      <c r="S6606" s="74">
        <v>37166</v>
      </c>
      <c r="T6606" s="77">
        <v>0.5</v>
      </c>
      <c r="V6606">
        <v>71.06</v>
      </c>
      <c r="X6606" s="42"/>
      <c r="AB6606">
        <v>67</v>
      </c>
      <c r="AC6606">
        <v>66.02</v>
      </c>
      <c r="AE6606" s="74"/>
      <c r="AF6606" s="77"/>
      <c r="AH6606" s="497">
        <v>80.599999999999994</v>
      </c>
      <c r="AJ6606" s="42"/>
      <c r="AK6606" s="74"/>
      <c r="AL6606" s="77"/>
      <c r="AN6606" s="497">
        <v>64.039999999999992</v>
      </c>
      <c r="AP6606" s="42"/>
      <c r="AQ6606" s="74"/>
      <c r="AR6606" s="77"/>
      <c r="AT6606" s="497">
        <v>60.980000000000004</v>
      </c>
      <c r="AV6606" s="42"/>
      <c r="AW6606" s="74"/>
      <c r="AX6606" s="77"/>
      <c r="BA6606" s="497">
        <v>62.06</v>
      </c>
      <c r="BB6606" s="42"/>
      <c r="BC6606" s="74"/>
      <c r="BD6606" s="77"/>
      <c r="BF6606">
        <v>57.019999999999996</v>
      </c>
      <c r="BH6606" s="42"/>
      <c r="BI6606" s="74"/>
      <c r="BJ6606" s="77"/>
      <c r="BL6606" s="497">
        <v>57.92</v>
      </c>
      <c r="BN6606" s="42"/>
      <c r="BO6606" s="74"/>
      <c r="BP6606" s="77"/>
      <c r="BR6606" s="497">
        <v>62.06</v>
      </c>
      <c r="BT6606" s="42"/>
    </row>
    <row r="6607" spans="1:72" x14ac:dyDescent="0.25">
      <c r="A6607" s="90">
        <v>37166</v>
      </c>
      <c r="B6607" s="20">
        <v>0.54166666666666663</v>
      </c>
      <c r="D6607">
        <v>71.960000000000008</v>
      </c>
      <c r="E6607" t="str">
        <f t="shared" si="240"/>
        <v>WEEKDAY</v>
      </c>
      <c r="F6607" t="e">
        <f t="shared" si="241"/>
        <v>#N/A</v>
      </c>
      <c r="G6607" s="74">
        <v>29496</v>
      </c>
      <c r="H6607" s="77">
        <v>0.54166666666666663</v>
      </c>
      <c r="J6607">
        <v>66.92</v>
      </c>
      <c r="M6607" s="74">
        <v>36435</v>
      </c>
      <c r="N6607" s="77">
        <v>0.54166666666666663</v>
      </c>
      <c r="P6607">
        <v>68</v>
      </c>
      <c r="S6607" s="74">
        <v>37166</v>
      </c>
      <c r="T6607" s="77">
        <v>0.54166666666666663</v>
      </c>
      <c r="V6607">
        <v>71.06</v>
      </c>
      <c r="X6607" s="42"/>
      <c r="AB6607">
        <v>68</v>
      </c>
      <c r="AC6607">
        <v>66.92</v>
      </c>
      <c r="AE6607" s="74"/>
      <c r="AF6607" s="77"/>
      <c r="AH6607" s="497">
        <v>82.4</v>
      </c>
      <c r="AJ6607" s="42"/>
      <c r="AK6607" s="74"/>
      <c r="AL6607" s="77"/>
      <c r="AN6607" s="497">
        <v>62.96</v>
      </c>
      <c r="AP6607" s="42"/>
      <c r="AQ6607" s="74"/>
      <c r="AR6607" s="77"/>
      <c r="AT6607" s="497">
        <v>60.980000000000004</v>
      </c>
      <c r="AV6607" s="42"/>
      <c r="AW6607" s="74"/>
      <c r="AX6607" s="77"/>
      <c r="BA6607" s="497">
        <v>62.06</v>
      </c>
      <c r="BB6607" s="42"/>
      <c r="BC6607" s="74"/>
      <c r="BD6607" s="77"/>
      <c r="BF6607">
        <v>59</v>
      </c>
      <c r="BH6607" s="42"/>
      <c r="BI6607" s="74"/>
      <c r="BJ6607" s="77"/>
      <c r="BL6607" s="497">
        <v>57.92</v>
      </c>
      <c r="BN6607" s="42"/>
      <c r="BO6607" s="74"/>
      <c r="BP6607" s="77"/>
      <c r="BR6607" s="497">
        <v>62.06</v>
      </c>
      <c r="BT6607" s="42"/>
    </row>
    <row r="6608" spans="1:72" x14ac:dyDescent="0.25">
      <c r="A6608" s="90">
        <v>37166</v>
      </c>
      <c r="B6608" s="20">
        <v>0.58333333333333337</v>
      </c>
      <c r="D6608">
        <v>73.94</v>
      </c>
      <c r="E6608" t="str">
        <f t="shared" si="240"/>
        <v>WEEKDAY</v>
      </c>
      <c r="F6608" t="e">
        <f t="shared" si="241"/>
        <v>#N/A</v>
      </c>
      <c r="G6608" s="74">
        <v>29496</v>
      </c>
      <c r="H6608" s="77">
        <v>0.58333333333333337</v>
      </c>
      <c r="J6608">
        <v>68</v>
      </c>
      <c r="M6608" s="74">
        <v>36435</v>
      </c>
      <c r="N6608" s="77">
        <v>0.58333333333333337</v>
      </c>
      <c r="P6608">
        <v>69.800000000000011</v>
      </c>
      <c r="S6608" s="74">
        <v>37166</v>
      </c>
      <c r="T6608" s="77">
        <v>0.58333333333333337</v>
      </c>
      <c r="V6608">
        <v>71.960000000000008</v>
      </c>
      <c r="X6608" s="42"/>
      <c r="AB6608">
        <v>68.3</v>
      </c>
      <c r="AC6608">
        <v>66.92</v>
      </c>
      <c r="AE6608" s="74"/>
      <c r="AF6608" s="77"/>
      <c r="AH6608" s="497">
        <v>82.4</v>
      </c>
      <c r="AJ6608" s="42"/>
      <c r="AK6608" s="74"/>
      <c r="AL6608" s="77"/>
      <c r="AN6608" s="497">
        <v>64.039999999999992</v>
      </c>
      <c r="AP6608" s="42"/>
      <c r="AQ6608" s="74"/>
      <c r="AR6608" s="77"/>
      <c r="AT6608" s="497">
        <v>60.980000000000004</v>
      </c>
      <c r="AV6608" s="42"/>
      <c r="AW6608" s="74"/>
      <c r="AX6608" s="77"/>
      <c r="BA6608" s="497">
        <v>64.94</v>
      </c>
      <c r="BB6608" s="42"/>
      <c r="BC6608" s="74"/>
      <c r="BD6608" s="77"/>
      <c r="BF6608">
        <v>59</v>
      </c>
      <c r="BH6608" s="42"/>
      <c r="BI6608" s="74"/>
      <c r="BJ6608" s="77"/>
      <c r="BL6608" s="497">
        <v>60.08</v>
      </c>
      <c r="BN6608" s="42"/>
      <c r="BO6608" s="74"/>
      <c r="BP6608" s="77"/>
      <c r="BR6608" s="497">
        <v>60.08</v>
      </c>
      <c r="BT6608" s="42"/>
    </row>
    <row r="6609" spans="1:72" x14ac:dyDescent="0.25">
      <c r="A6609" s="90">
        <v>37166</v>
      </c>
      <c r="B6609" s="20">
        <v>0.625</v>
      </c>
      <c r="D6609">
        <v>75.02</v>
      </c>
      <c r="E6609" t="str">
        <f t="shared" si="240"/>
        <v>WEEKDAY</v>
      </c>
      <c r="F6609" t="e">
        <f t="shared" si="241"/>
        <v>#N/A</v>
      </c>
      <c r="G6609" s="74">
        <v>29496</v>
      </c>
      <c r="H6609" s="77">
        <v>0.625</v>
      </c>
      <c r="J6609">
        <v>68.900000000000006</v>
      </c>
      <c r="M6609" s="74">
        <v>36435</v>
      </c>
      <c r="N6609" s="77">
        <v>0.625</v>
      </c>
      <c r="P6609">
        <v>69.800000000000011</v>
      </c>
      <c r="S6609" s="74">
        <v>37166</v>
      </c>
      <c r="T6609" s="77">
        <v>0.625</v>
      </c>
      <c r="V6609">
        <v>73.039999999999992</v>
      </c>
      <c r="X6609" s="42"/>
      <c r="AB6609">
        <v>68.5</v>
      </c>
      <c r="AC6609">
        <v>66.02</v>
      </c>
      <c r="AE6609" s="74"/>
      <c r="AF6609" s="77"/>
      <c r="AH6609" s="497">
        <v>82.4</v>
      </c>
      <c r="AJ6609" s="42"/>
      <c r="AK6609" s="74"/>
      <c r="AL6609" s="77"/>
      <c r="AN6609" s="497">
        <v>62.06</v>
      </c>
      <c r="AP6609" s="42"/>
      <c r="AQ6609" s="74"/>
      <c r="AR6609" s="77"/>
      <c r="AT6609" s="497">
        <v>62.06</v>
      </c>
      <c r="AV6609" s="42"/>
      <c r="AW6609" s="74"/>
      <c r="AX6609" s="77"/>
      <c r="BA6609" s="497">
        <v>64.94</v>
      </c>
      <c r="BB6609" s="42"/>
      <c r="BC6609" s="74"/>
      <c r="BD6609" s="77"/>
      <c r="BF6609">
        <v>60.980000000000004</v>
      </c>
      <c r="BH6609" s="42"/>
      <c r="BI6609" s="74"/>
      <c r="BJ6609" s="77"/>
      <c r="BL6609" s="497">
        <v>60.08</v>
      </c>
      <c r="BN6609" s="42"/>
      <c r="BO6609" s="74"/>
      <c r="BP6609" s="77"/>
      <c r="BR6609" s="497">
        <v>60.980000000000004</v>
      </c>
      <c r="BT6609" s="42"/>
    </row>
    <row r="6610" spans="1:72" x14ac:dyDescent="0.25">
      <c r="A6610" s="90">
        <v>37166</v>
      </c>
      <c r="B6610" s="20">
        <v>0.66666666666666663</v>
      </c>
      <c r="D6610">
        <v>75.02</v>
      </c>
      <c r="E6610" t="str">
        <f t="shared" si="240"/>
        <v>WEEKDAY</v>
      </c>
      <c r="F6610" t="e">
        <f t="shared" si="241"/>
        <v>#N/A</v>
      </c>
      <c r="G6610" s="74">
        <v>29496</v>
      </c>
      <c r="H6610" s="77">
        <v>0.66666666666666663</v>
      </c>
      <c r="J6610">
        <v>69.98</v>
      </c>
      <c r="M6610" s="74">
        <v>36435</v>
      </c>
      <c r="N6610" s="77">
        <v>0.66666666666666663</v>
      </c>
      <c r="P6610">
        <v>68</v>
      </c>
      <c r="S6610" s="74">
        <v>37166</v>
      </c>
      <c r="T6610" s="77">
        <v>0.66666666666666663</v>
      </c>
      <c r="V6610">
        <v>73.94</v>
      </c>
      <c r="X6610" s="42"/>
      <c r="AB6610">
        <v>68.3</v>
      </c>
      <c r="AC6610">
        <v>66.02</v>
      </c>
      <c r="AE6610" s="74"/>
      <c r="AF6610" s="77"/>
      <c r="AH6610" s="497">
        <v>82.4</v>
      </c>
      <c r="AJ6610" s="42"/>
      <c r="AK6610" s="74"/>
      <c r="AL6610" s="77"/>
      <c r="AN6610" s="497">
        <v>60.980000000000004</v>
      </c>
      <c r="AP6610" s="42"/>
      <c r="AQ6610" s="74"/>
      <c r="AR6610" s="77"/>
      <c r="AT6610" s="497">
        <v>62.96</v>
      </c>
      <c r="AV6610" s="42"/>
      <c r="AW6610" s="74"/>
      <c r="AX6610" s="77"/>
      <c r="BA6610" s="497">
        <v>64.039999999999992</v>
      </c>
      <c r="BB6610" s="42"/>
      <c r="BC6610" s="74"/>
      <c r="BD6610" s="77"/>
      <c r="BF6610">
        <v>59</v>
      </c>
      <c r="BH6610" s="42"/>
      <c r="BI6610" s="74"/>
      <c r="BJ6610" s="77"/>
      <c r="BL6610" s="497">
        <v>57.019999999999996</v>
      </c>
      <c r="BN6610" s="42"/>
      <c r="BO6610" s="74"/>
      <c r="BP6610" s="77"/>
      <c r="BR6610" s="497">
        <v>60.08</v>
      </c>
      <c r="BT6610" s="42"/>
    </row>
    <row r="6611" spans="1:72" x14ac:dyDescent="0.25">
      <c r="A6611" s="90">
        <v>37166</v>
      </c>
      <c r="B6611" s="20">
        <v>0.70833333333333337</v>
      </c>
      <c r="D6611">
        <v>75.02</v>
      </c>
      <c r="E6611" t="str">
        <f t="shared" ref="E6611:E6674" si="242">IF(COUNTIF($DI$18:$DI$22, WEEKDAY(A6611))=1, "WEEKDAY", IF(WEEKDAY(A6611) = 1, "SUNDAY", "SATURDAY"))</f>
        <v>WEEKDAY</v>
      </c>
      <c r="F6611" t="e">
        <f t="shared" si="241"/>
        <v>#N/A</v>
      </c>
      <c r="G6611" s="74">
        <v>29496</v>
      </c>
      <c r="H6611" s="77">
        <v>0.70833333333333337</v>
      </c>
      <c r="J6611">
        <v>68.900000000000006</v>
      </c>
      <c r="M6611" s="74">
        <v>36435</v>
      </c>
      <c r="N6611" s="77">
        <v>0.70833333333333337</v>
      </c>
      <c r="P6611">
        <v>68</v>
      </c>
      <c r="S6611" s="74">
        <v>37166</v>
      </c>
      <c r="T6611" s="77">
        <v>0.70833333333333337</v>
      </c>
      <c r="V6611">
        <v>73.039999999999992</v>
      </c>
      <c r="X6611" s="42"/>
      <c r="AB6611">
        <v>67.400000000000006</v>
      </c>
      <c r="AC6611">
        <v>66.02</v>
      </c>
      <c r="AE6611" s="74"/>
      <c r="AF6611" s="77"/>
      <c r="AH6611" s="497">
        <v>80.599999999999994</v>
      </c>
      <c r="AJ6611" s="42"/>
      <c r="AK6611" s="74"/>
      <c r="AL6611" s="77"/>
      <c r="AN6611" s="497">
        <v>60.980000000000004</v>
      </c>
      <c r="AP6611" s="42"/>
      <c r="AQ6611" s="74"/>
      <c r="AR6611" s="77"/>
      <c r="AT6611" s="497">
        <v>62.96</v>
      </c>
      <c r="AV6611" s="42"/>
      <c r="AW6611" s="74"/>
      <c r="AX6611" s="77"/>
      <c r="BA6611" s="497">
        <v>62.06</v>
      </c>
      <c r="BB6611" s="42"/>
      <c r="BC6611" s="74"/>
      <c r="BD6611" s="77"/>
      <c r="BF6611">
        <v>57.019999999999996</v>
      </c>
      <c r="BH6611" s="42"/>
      <c r="BI6611" s="74"/>
      <c r="BJ6611" s="77"/>
      <c r="BL6611" s="497">
        <v>55.94</v>
      </c>
      <c r="BN6611" s="42"/>
      <c r="BO6611" s="74"/>
      <c r="BP6611" s="77"/>
      <c r="BR6611" s="497">
        <v>59</v>
      </c>
      <c r="BT6611" s="42"/>
    </row>
    <row r="6612" spans="1:72" x14ac:dyDescent="0.25">
      <c r="A6612" s="90">
        <v>37166</v>
      </c>
      <c r="B6612" s="20">
        <v>0.75</v>
      </c>
      <c r="D6612">
        <v>73.039999999999992</v>
      </c>
      <c r="E6612" t="str">
        <f t="shared" si="242"/>
        <v>WEEKDAY</v>
      </c>
      <c r="F6612" t="e">
        <f t="shared" si="241"/>
        <v>#N/A</v>
      </c>
      <c r="G6612" s="74">
        <v>29496</v>
      </c>
      <c r="H6612" s="77">
        <v>0.75</v>
      </c>
      <c r="J6612">
        <v>68</v>
      </c>
      <c r="M6612" s="74">
        <v>36435</v>
      </c>
      <c r="N6612" s="77">
        <v>0.75</v>
      </c>
      <c r="P6612">
        <v>64.400000000000006</v>
      </c>
      <c r="S6612" s="74">
        <v>37166</v>
      </c>
      <c r="T6612" s="77">
        <v>0.75</v>
      </c>
      <c r="V6612">
        <v>69.98</v>
      </c>
      <c r="X6612" s="42"/>
      <c r="AB6612">
        <v>66.099999999999994</v>
      </c>
      <c r="AC6612">
        <v>62.6</v>
      </c>
      <c r="AE6612" s="74"/>
      <c r="AF6612" s="77"/>
      <c r="AH6612" s="497">
        <v>75.2</v>
      </c>
      <c r="AJ6612" s="42"/>
      <c r="AK6612" s="74"/>
      <c r="AL6612" s="77"/>
      <c r="AN6612" s="497">
        <v>59</v>
      </c>
      <c r="AP6612" s="42"/>
      <c r="AQ6612" s="74"/>
      <c r="AR6612" s="77"/>
      <c r="AT6612" s="497">
        <v>62.06</v>
      </c>
      <c r="AV6612" s="42"/>
      <c r="AW6612" s="74"/>
      <c r="AX6612" s="77"/>
      <c r="BA6612" s="497">
        <v>59</v>
      </c>
      <c r="BB6612" s="42"/>
      <c r="BC6612" s="74"/>
      <c r="BD6612" s="77"/>
      <c r="BF6612">
        <v>55.040000000000006</v>
      </c>
      <c r="BH6612" s="42"/>
      <c r="BI6612" s="74"/>
      <c r="BJ6612" s="77"/>
      <c r="BL6612" s="497">
        <v>51.08</v>
      </c>
      <c r="BN6612" s="42"/>
      <c r="BO6612" s="74"/>
      <c r="BP6612" s="77"/>
      <c r="BR6612" s="497">
        <v>53.96</v>
      </c>
      <c r="BT6612" s="42"/>
    </row>
    <row r="6613" spans="1:72" x14ac:dyDescent="0.25">
      <c r="A6613" s="90">
        <v>37166</v>
      </c>
      <c r="B6613" s="20">
        <v>0.79166666666666663</v>
      </c>
      <c r="D6613">
        <v>71.06</v>
      </c>
      <c r="E6613" t="str">
        <f t="shared" si="242"/>
        <v>WEEKDAY</v>
      </c>
      <c r="F6613" t="e">
        <f t="shared" si="241"/>
        <v>#N/A</v>
      </c>
      <c r="G6613" s="74">
        <v>29496</v>
      </c>
      <c r="H6613" s="77">
        <v>0.79166666666666663</v>
      </c>
      <c r="J6613">
        <v>66.92</v>
      </c>
      <c r="M6613" s="74">
        <v>36435</v>
      </c>
      <c r="N6613" s="77">
        <v>0.79166666666666663</v>
      </c>
      <c r="P6613">
        <v>64.039999999999992</v>
      </c>
      <c r="S6613" s="74">
        <v>37166</v>
      </c>
      <c r="T6613" s="77">
        <v>0.79166666666666663</v>
      </c>
      <c r="V6613">
        <v>66.92</v>
      </c>
      <c r="X6613" s="42"/>
      <c r="AB6613">
        <v>64.5</v>
      </c>
      <c r="AC6613">
        <v>60.08</v>
      </c>
      <c r="AE6613" s="74"/>
      <c r="AF6613" s="77"/>
      <c r="AH6613" s="497">
        <v>71.599999999999994</v>
      </c>
      <c r="AJ6613" s="42"/>
      <c r="AK6613" s="74"/>
      <c r="AL6613" s="77"/>
      <c r="AN6613" s="497">
        <v>57.92</v>
      </c>
      <c r="AP6613" s="42"/>
      <c r="AQ6613" s="74"/>
      <c r="AR6613" s="77"/>
      <c r="AT6613" s="497">
        <v>60.980000000000004</v>
      </c>
      <c r="AV6613" s="42"/>
      <c r="AW6613" s="74"/>
      <c r="AX6613" s="77"/>
      <c r="BA6613" s="497">
        <v>53.96</v>
      </c>
      <c r="BB6613" s="42"/>
      <c r="BC6613" s="74"/>
      <c r="BD6613" s="77"/>
      <c r="BF6613">
        <v>53.06</v>
      </c>
      <c r="BH6613" s="42"/>
      <c r="BI6613" s="74"/>
      <c r="BJ6613" s="77"/>
      <c r="BL6613" s="497">
        <v>48.92</v>
      </c>
      <c r="BN6613" s="42"/>
      <c r="BO6613" s="74"/>
      <c r="BP6613" s="77"/>
      <c r="BR6613" s="497">
        <v>50</v>
      </c>
      <c r="BT6613" s="42"/>
    </row>
    <row r="6614" spans="1:72" x14ac:dyDescent="0.25">
      <c r="A6614" s="90">
        <v>37166</v>
      </c>
      <c r="B6614" s="20">
        <v>0.83333333333333337</v>
      </c>
      <c r="D6614">
        <v>69.98</v>
      </c>
      <c r="E6614" t="str">
        <f t="shared" si="242"/>
        <v>WEEKDAY</v>
      </c>
      <c r="F6614" t="e">
        <f t="shared" si="241"/>
        <v>#N/A</v>
      </c>
      <c r="G6614" s="74">
        <v>29496</v>
      </c>
      <c r="H6614" s="77">
        <v>0.83333333333333337</v>
      </c>
      <c r="J6614">
        <v>64.580000000000013</v>
      </c>
      <c r="M6614" s="74">
        <v>36435</v>
      </c>
      <c r="N6614" s="77">
        <v>0.83333333333333337</v>
      </c>
      <c r="P6614">
        <v>64.400000000000006</v>
      </c>
      <c r="S6614" s="74">
        <v>37166</v>
      </c>
      <c r="T6614" s="77">
        <v>0.83333333333333337</v>
      </c>
      <c r="V6614">
        <v>62.96</v>
      </c>
      <c r="X6614" s="42"/>
      <c r="AB6614">
        <v>63.7</v>
      </c>
      <c r="AC6614">
        <v>60.08</v>
      </c>
      <c r="AE6614" s="74"/>
      <c r="AF6614" s="77"/>
      <c r="AH6614" s="497">
        <v>71.599999999999994</v>
      </c>
      <c r="AJ6614" s="42"/>
      <c r="AK6614" s="74"/>
      <c r="AL6614" s="77"/>
      <c r="AN6614" s="497">
        <v>57.019999999999996</v>
      </c>
      <c r="AP6614" s="42"/>
      <c r="AQ6614" s="74"/>
      <c r="AR6614" s="77"/>
      <c r="AT6614" s="497">
        <v>60.980000000000004</v>
      </c>
      <c r="AV6614" s="42"/>
      <c r="AW6614" s="74"/>
      <c r="AX6614" s="77"/>
      <c r="BA6614" s="497">
        <v>53.06</v>
      </c>
      <c r="BB6614" s="42"/>
      <c r="BC6614" s="74"/>
      <c r="BD6614" s="77"/>
      <c r="BF6614">
        <v>50</v>
      </c>
      <c r="BH6614" s="42"/>
      <c r="BI6614" s="74"/>
      <c r="BJ6614" s="77"/>
      <c r="BL6614" s="497">
        <v>48.92</v>
      </c>
      <c r="BN6614" s="42"/>
      <c r="BO6614" s="74"/>
      <c r="BP6614" s="77"/>
      <c r="BR6614" s="497">
        <v>51.08</v>
      </c>
      <c r="BT6614" s="42"/>
    </row>
    <row r="6615" spans="1:72" x14ac:dyDescent="0.25">
      <c r="A6615" s="90">
        <v>37166</v>
      </c>
      <c r="B6615" s="20">
        <v>0.875</v>
      </c>
      <c r="D6615">
        <v>69.080000000000013</v>
      </c>
      <c r="E6615" t="str">
        <f t="shared" si="242"/>
        <v>WEEKDAY</v>
      </c>
      <c r="F6615" t="e">
        <f t="shared" si="241"/>
        <v>#N/A</v>
      </c>
      <c r="G6615" s="74">
        <v>29496</v>
      </c>
      <c r="H6615" s="77">
        <v>0.875</v>
      </c>
      <c r="J6615">
        <v>62.42</v>
      </c>
      <c r="M6615" s="74">
        <v>36435</v>
      </c>
      <c r="N6615" s="77">
        <v>0.875</v>
      </c>
      <c r="P6615">
        <v>64.400000000000006</v>
      </c>
      <c r="S6615" s="74">
        <v>37166</v>
      </c>
      <c r="T6615" s="77">
        <v>0.875</v>
      </c>
      <c r="V6615">
        <v>62.96</v>
      </c>
      <c r="X6615" s="42"/>
      <c r="AB6615">
        <v>63</v>
      </c>
      <c r="AC6615">
        <v>55.400000000000006</v>
      </c>
      <c r="AE6615" s="74"/>
      <c r="AF6615" s="77"/>
      <c r="AH6615" s="497">
        <v>69.800000000000011</v>
      </c>
      <c r="AJ6615" s="42"/>
      <c r="AK6615" s="74"/>
      <c r="AL6615" s="77"/>
      <c r="AN6615" s="497">
        <v>55.94</v>
      </c>
      <c r="AP6615" s="42"/>
      <c r="AQ6615" s="74"/>
      <c r="AR6615" s="77"/>
      <c r="AT6615" s="497">
        <v>60.08</v>
      </c>
      <c r="AV6615" s="42"/>
      <c r="AW6615" s="74"/>
      <c r="AX6615" s="77"/>
      <c r="BA6615" s="497">
        <v>53.06</v>
      </c>
      <c r="BB6615" s="42"/>
      <c r="BC6615" s="74"/>
      <c r="BD6615" s="77"/>
      <c r="BF6615">
        <v>48.019999999999996</v>
      </c>
      <c r="BH6615" s="42"/>
      <c r="BI6615" s="74"/>
      <c r="BJ6615" s="77"/>
      <c r="BL6615" s="497">
        <v>48.019999999999996</v>
      </c>
      <c r="BN6615" s="42"/>
      <c r="BO6615" s="74"/>
      <c r="BP6615" s="77"/>
      <c r="BR6615" s="497">
        <v>50</v>
      </c>
      <c r="BT6615" s="42"/>
    </row>
    <row r="6616" spans="1:72" x14ac:dyDescent="0.25">
      <c r="A6616" s="90">
        <v>37166</v>
      </c>
      <c r="B6616" s="20">
        <v>0.91666666666666663</v>
      </c>
      <c r="D6616">
        <v>68</v>
      </c>
      <c r="E6616" t="str">
        <f t="shared" si="242"/>
        <v>WEEKDAY</v>
      </c>
      <c r="F6616" t="e">
        <f t="shared" si="241"/>
        <v>#N/A</v>
      </c>
      <c r="G6616" s="74">
        <v>29496</v>
      </c>
      <c r="H6616" s="77">
        <v>0.91666666666666663</v>
      </c>
      <c r="J6616">
        <v>60.08</v>
      </c>
      <c r="M6616" s="74">
        <v>36435</v>
      </c>
      <c r="N6616" s="77">
        <v>0.91666666666666663</v>
      </c>
      <c r="P6616">
        <v>64.400000000000006</v>
      </c>
      <c r="S6616" s="74">
        <v>37166</v>
      </c>
      <c r="T6616" s="77">
        <v>0.91666666666666663</v>
      </c>
      <c r="V6616">
        <v>62.06</v>
      </c>
      <c r="X6616" s="42"/>
      <c r="AB6616">
        <v>62.4</v>
      </c>
      <c r="AC6616">
        <v>55.040000000000006</v>
      </c>
      <c r="AE6616" s="74"/>
      <c r="AF6616" s="77"/>
      <c r="AH6616" s="497">
        <v>69.800000000000011</v>
      </c>
      <c r="AJ6616" s="42"/>
      <c r="AK6616" s="74"/>
      <c r="AL6616" s="77"/>
      <c r="AN6616" s="497">
        <v>53.96</v>
      </c>
      <c r="AP6616" s="42"/>
      <c r="AQ6616" s="74"/>
      <c r="AR6616" s="77"/>
      <c r="AT6616" s="497">
        <v>55.94</v>
      </c>
      <c r="AV6616" s="42"/>
      <c r="AW6616" s="74"/>
      <c r="AX6616" s="77"/>
      <c r="BA6616" s="497">
        <v>51.08</v>
      </c>
      <c r="BB6616" s="42"/>
      <c r="BC6616" s="74"/>
      <c r="BD6616" s="77"/>
      <c r="BF6616">
        <v>46.94</v>
      </c>
      <c r="BH6616" s="42"/>
      <c r="BI6616" s="74"/>
      <c r="BJ6616" s="77"/>
      <c r="BL6616" s="497">
        <v>46.94</v>
      </c>
      <c r="BN6616" s="42"/>
      <c r="BO6616" s="74"/>
      <c r="BP6616" s="77"/>
      <c r="BR6616" s="497">
        <v>46.94</v>
      </c>
      <c r="BT6616" s="42"/>
    </row>
    <row r="6617" spans="1:72" x14ac:dyDescent="0.25">
      <c r="A6617" s="90">
        <v>37166</v>
      </c>
      <c r="B6617" s="20">
        <v>0.95833333333333337</v>
      </c>
      <c r="D6617">
        <v>68</v>
      </c>
      <c r="E6617" t="str">
        <f t="shared" si="242"/>
        <v>WEEKDAY</v>
      </c>
      <c r="F6617" t="e">
        <f t="shared" si="241"/>
        <v>#N/A</v>
      </c>
      <c r="G6617" s="74">
        <v>29496</v>
      </c>
      <c r="H6617" s="77">
        <v>0.95833333333333337</v>
      </c>
      <c r="J6617">
        <v>59.36</v>
      </c>
      <c r="M6617" s="74">
        <v>36435</v>
      </c>
      <c r="N6617" s="77">
        <v>0.95833333333333337</v>
      </c>
      <c r="P6617">
        <v>62.6</v>
      </c>
      <c r="S6617" s="74">
        <v>37166</v>
      </c>
      <c r="T6617" s="77">
        <v>0.95833333333333337</v>
      </c>
      <c r="V6617">
        <v>60.08</v>
      </c>
      <c r="X6617" s="42"/>
      <c r="AB6617">
        <v>61.7</v>
      </c>
      <c r="AC6617">
        <v>55.040000000000006</v>
      </c>
      <c r="AE6617" s="74"/>
      <c r="AF6617" s="77"/>
      <c r="AH6617" s="497">
        <v>68</v>
      </c>
      <c r="AJ6617" s="42"/>
      <c r="AK6617" s="74"/>
      <c r="AL6617" s="77"/>
      <c r="AN6617" s="497">
        <v>53.96</v>
      </c>
      <c r="AP6617" s="42"/>
      <c r="AQ6617" s="74"/>
      <c r="AR6617" s="77"/>
      <c r="AT6617" s="497">
        <v>55.94</v>
      </c>
      <c r="AV6617" s="42"/>
      <c r="AW6617" s="74"/>
      <c r="AX6617" s="77"/>
      <c r="BA6617" s="497">
        <v>51.08</v>
      </c>
      <c r="BB6617" s="42"/>
      <c r="BC6617" s="74"/>
      <c r="BD6617" s="77"/>
      <c r="BF6617">
        <v>46.04</v>
      </c>
      <c r="BH6617" s="42"/>
      <c r="BI6617" s="74"/>
      <c r="BJ6617" s="77"/>
      <c r="BL6617" s="497">
        <v>44.96</v>
      </c>
      <c r="BN6617" s="42"/>
      <c r="BO6617" s="74"/>
      <c r="BP6617" s="77"/>
      <c r="BR6617" s="497">
        <v>46.04</v>
      </c>
      <c r="BT6617" s="42"/>
    </row>
    <row r="6618" spans="1:72" x14ac:dyDescent="0.25">
      <c r="A6618" s="90">
        <v>37166</v>
      </c>
      <c r="B6618" s="20">
        <v>1</v>
      </c>
      <c r="D6618">
        <v>66.92</v>
      </c>
      <c r="E6618" t="str">
        <f t="shared" si="242"/>
        <v>WEEKDAY</v>
      </c>
      <c r="F6618" t="e">
        <f t="shared" si="241"/>
        <v>#N/A</v>
      </c>
      <c r="G6618" s="74">
        <v>29496</v>
      </c>
      <c r="H6618" s="77">
        <v>1</v>
      </c>
      <c r="J6618">
        <v>58.64</v>
      </c>
      <c r="M6618" s="74">
        <v>36435</v>
      </c>
      <c r="N6618" s="80">
        <v>1</v>
      </c>
      <c r="P6618">
        <v>62.6</v>
      </c>
      <c r="S6618" s="74">
        <v>37166</v>
      </c>
      <c r="T6618" s="80">
        <v>1</v>
      </c>
      <c r="V6618">
        <v>60.08</v>
      </c>
      <c r="X6618" s="42"/>
      <c r="AB6618">
        <v>61.1</v>
      </c>
      <c r="AC6618">
        <v>51.980000000000004</v>
      </c>
      <c r="AE6618" s="74"/>
      <c r="AF6618" s="80"/>
      <c r="AH6618" s="497">
        <v>69.800000000000011</v>
      </c>
      <c r="AJ6618" s="42"/>
      <c r="AK6618" s="74"/>
      <c r="AL6618" s="80"/>
      <c r="AN6618" s="497">
        <v>51.980000000000004</v>
      </c>
      <c r="AP6618" s="42"/>
      <c r="AQ6618" s="74"/>
      <c r="AR6618" s="80"/>
      <c r="AT6618" s="497">
        <v>53.06</v>
      </c>
      <c r="AV6618" s="42"/>
      <c r="AW6618" s="74"/>
      <c r="AX6618" s="80"/>
      <c r="BA6618" s="497">
        <v>50</v>
      </c>
      <c r="BB6618" s="42"/>
      <c r="BC6618" s="74"/>
      <c r="BD6618" s="80"/>
      <c r="BF6618">
        <v>44.06</v>
      </c>
      <c r="BH6618" s="42"/>
      <c r="BI6618" s="74"/>
      <c r="BJ6618" s="80"/>
      <c r="BL6618" s="497">
        <v>44.06</v>
      </c>
      <c r="BN6618" s="42"/>
      <c r="BO6618" s="74"/>
      <c r="BP6618" s="80"/>
      <c r="BR6618" s="497">
        <v>44.96</v>
      </c>
      <c r="BT6618" s="42"/>
    </row>
    <row r="6619" spans="1:72" x14ac:dyDescent="0.25">
      <c r="A6619" s="90">
        <v>37167</v>
      </c>
      <c r="B6619" s="20">
        <v>4.1666666666666664E-2</v>
      </c>
      <c r="D6619">
        <v>64.039999999999992</v>
      </c>
      <c r="E6619" t="str">
        <f t="shared" si="242"/>
        <v>WEEKDAY</v>
      </c>
      <c r="F6619" t="e">
        <f t="shared" si="241"/>
        <v>#N/A</v>
      </c>
      <c r="G6619" s="74">
        <v>29497</v>
      </c>
      <c r="H6619" s="77">
        <v>4.1666666666666664E-2</v>
      </c>
      <c r="J6619">
        <v>57.92</v>
      </c>
      <c r="M6619" s="74">
        <v>36436</v>
      </c>
      <c r="N6619" s="77">
        <v>4.1666666666666664E-2</v>
      </c>
      <c r="P6619">
        <v>60.8</v>
      </c>
      <c r="S6619" s="74">
        <v>37167</v>
      </c>
      <c r="T6619" s="77">
        <v>4.1666666666666664E-2</v>
      </c>
      <c r="V6619">
        <v>59</v>
      </c>
      <c r="X6619" s="42"/>
      <c r="AB6619">
        <v>60.5</v>
      </c>
      <c r="AC6619">
        <v>53.06</v>
      </c>
      <c r="AE6619" s="74"/>
      <c r="AF6619" s="77"/>
      <c r="AH6619" s="497">
        <v>69.800000000000011</v>
      </c>
      <c r="AJ6619" s="42"/>
      <c r="AK6619" s="74"/>
      <c r="AL6619" s="77"/>
      <c r="AN6619" s="497">
        <v>51.980000000000004</v>
      </c>
      <c r="AP6619" s="42"/>
      <c r="AQ6619" s="74"/>
      <c r="AR6619" s="77"/>
      <c r="AT6619" s="497">
        <v>50</v>
      </c>
      <c r="AV6619" s="42"/>
      <c r="AW6619" s="74"/>
      <c r="AX6619" s="77"/>
      <c r="BA6619" s="497">
        <v>50</v>
      </c>
      <c r="BB6619" s="42"/>
      <c r="BC6619" s="74"/>
      <c r="BD6619" s="77"/>
      <c r="BF6619">
        <v>42.980000000000004</v>
      </c>
      <c r="BH6619" s="42"/>
      <c r="BI6619" s="74"/>
      <c r="BJ6619" s="77"/>
      <c r="BL6619" s="497">
        <v>42.980000000000004</v>
      </c>
      <c r="BN6619" s="42"/>
      <c r="BO6619" s="74"/>
      <c r="BP6619" s="77"/>
      <c r="BR6619" s="497">
        <v>44.06</v>
      </c>
      <c r="BT6619" s="42"/>
    </row>
    <row r="6620" spans="1:72" x14ac:dyDescent="0.25">
      <c r="A6620" s="90">
        <v>37167</v>
      </c>
      <c r="B6620" s="20">
        <v>8.3333333333333329E-2</v>
      </c>
      <c r="D6620">
        <v>62.96</v>
      </c>
      <c r="E6620" t="str">
        <f t="shared" si="242"/>
        <v>WEEKDAY</v>
      </c>
      <c r="F6620" t="e">
        <f t="shared" si="241"/>
        <v>#N/A</v>
      </c>
      <c r="G6620" s="74">
        <v>29497</v>
      </c>
      <c r="H6620" s="77">
        <v>8.3333333333333329E-2</v>
      </c>
      <c r="J6620">
        <v>57.56</v>
      </c>
      <c r="M6620" s="74">
        <v>36436</v>
      </c>
      <c r="N6620" s="77">
        <v>8.3333333333333329E-2</v>
      </c>
      <c r="P6620">
        <v>60.8</v>
      </c>
      <c r="S6620" s="74">
        <v>37167</v>
      </c>
      <c r="T6620" s="77">
        <v>8.3333333333333329E-2</v>
      </c>
      <c r="V6620">
        <v>60.08</v>
      </c>
      <c r="X6620" s="42"/>
      <c r="AB6620">
        <v>59.9</v>
      </c>
      <c r="AC6620">
        <v>53.06</v>
      </c>
      <c r="AE6620" s="74"/>
      <c r="AF6620" s="77"/>
      <c r="AH6620" s="497">
        <v>69.800000000000011</v>
      </c>
      <c r="AJ6620" s="42"/>
      <c r="AK6620" s="74"/>
      <c r="AL6620" s="77"/>
      <c r="AN6620" s="497">
        <v>51.980000000000004</v>
      </c>
      <c r="AP6620" s="42"/>
      <c r="AQ6620" s="74"/>
      <c r="AR6620" s="77"/>
      <c r="AT6620" s="497">
        <v>50</v>
      </c>
      <c r="AV6620" s="42"/>
      <c r="AW6620" s="74"/>
      <c r="AX6620" s="77"/>
      <c r="BA6620" s="497">
        <v>48.92</v>
      </c>
      <c r="BB6620" s="42"/>
      <c r="BC6620" s="74"/>
      <c r="BD6620" s="77"/>
      <c r="BF6620">
        <v>42.08</v>
      </c>
      <c r="BH6620" s="42"/>
      <c r="BI6620" s="74"/>
      <c r="BJ6620" s="77"/>
      <c r="BL6620" s="497">
        <v>42.08</v>
      </c>
      <c r="BN6620" s="42"/>
      <c r="BO6620" s="74"/>
      <c r="BP6620" s="77"/>
      <c r="BR6620" s="497">
        <v>44.96</v>
      </c>
      <c r="BT6620" s="42"/>
    </row>
    <row r="6621" spans="1:72" x14ac:dyDescent="0.25">
      <c r="A6621" s="90">
        <v>37167</v>
      </c>
      <c r="B6621" s="20">
        <v>0.125</v>
      </c>
      <c r="D6621">
        <v>62.06</v>
      </c>
      <c r="E6621" t="str">
        <f t="shared" si="242"/>
        <v>WEEKDAY</v>
      </c>
      <c r="F6621" t="e">
        <f t="shared" si="241"/>
        <v>#N/A</v>
      </c>
      <c r="G6621" s="74">
        <v>29497</v>
      </c>
      <c r="H6621" s="77">
        <v>0.125</v>
      </c>
      <c r="J6621">
        <v>57.379999999999995</v>
      </c>
      <c r="M6621" s="74">
        <v>36436</v>
      </c>
      <c r="N6621" s="77">
        <v>0.125</v>
      </c>
      <c r="P6621">
        <v>60.08</v>
      </c>
      <c r="S6621" s="74">
        <v>37167</v>
      </c>
      <c r="T6621" s="77">
        <v>0.125</v>
      </c>
      <c r="V6621">
        <v>57.92</v>
      </c>
      <c r="X6621" s="42"/>
      <c r="AB6621">
        <v>59.3</v>
      </c>
      <c r="AC6621">
        <v>53.6</v>
      </c>
      <c r="AE6621" s="74"/>
      <c r="AF6621" s="77"/>
      <c r="AH6621" s="497">
        <v>69.800000000000011</v>
      </c>
      <c r="AJ6621" s="42"/>
      <c r="AK6621" s="74"/>
      <c r="AL6621" s="77"/>
      <c r="AN6621" s="497">
        <v>51.980000000000004</v>
      </c>
      <c r="AP6621" s="42"/>
      <c r="AQ6621" s="74"/>
      <c r="AR6621" s="77"/>
      <c r="AT6621" s="497">
        <v>48.019999999999996</v>
      </c>
      <c r="AV6621" s="42"/>
      <c r="AW6621" s="74"/>
      <c r="AX6621" s="77"/>
      <c r="BA6621" s="497">
        <v>50</v>
      </c>
      <c r="BB6621" s="42"/>
      <c r="BC6621" s="74"/>
      <c r="BD6621" s="77"/>
      <c r="BF6621">
        <v>41</v>
      </c>
      <c r="BH6621" s="42"/>
      <c r="BI6621" s="74"/>
      <c r="BJ6621" s="77"/>
      <c r="BL6621" s="497">
        <v>41</v>
      </c>
      <c r="BN6621" s="42"/>
      <c r="BO6621" s="74"/>
      <c r="BP6621" s="77"/>
      <c r="BR6621" s="497">
        <v>51.08</v>
      </c>
      <c r="BT6621" s="42"/>
    </row>
    <row r="6622" spans="1:72" x14ac:dyDescent="0.25">
      <c r="A6622" s="90">
        <v>37167</v>
      </c>
      <c r="B6622" s="20">
        <v>0.16666666666666666</v>
      </c>
      <c r="D6622">
        <v>62.06</v>
      </c>
      <c r="E6622" t="str">
        <f t="shared" si="242"/>
        <v>WEEKDAY</v>
      </c>
      <c r="F6622" t="e">
        <f t="shared" si="241"/>
        <v>#N/A</v>
      </c>
      <c r="G6622" s="74">
        <v>29497</v>
      </c>
      <c r="H6622" s="77">
        <v>0.16666666666666666</v>
      </c>
      <c r="J6622">
        <v>57.019999999999996</v>
      </c>
      <c r="M6622" s="74">
        <v>36436</v>
      </c>
      <c r="N6622" s="77">
        <v>0.16666666666666666</v>
      </c>
      <c r="P6622">
        <v>59</v>
      </c>
      <c r="S6622" s="74">
        <v>37167</v>
      </c>
      <c r="T6622" s="77">
        <v>0.16666666666666666</v>
      </c>
      <c r="V6622">
        <v>57.92</v>
      </c>
      <c r="X6622" s="42"/>
      <c r="AB6622">
        <v>58.9</v>
      </c>
      <c r="AC6622">
        <v>51.980000000000004</v>
      </c>
      <c r="AE6622" s="74"/>
      <c r="AF6622" s="77"/>
      <c r="AH6622" s="497">
        <v>69.800000000000011</v>
      </c>
      <c r="AJ6622" s="42"/>
      <c r="AK6622" s="74"/>
      <c r="AL6622" s="77"/>
      <c r="AN6622" s="497">
        <v>51.980000000000004</v>
      </c>
      <c r="AP6622" s="42"/>
      <c r="AQ6622" s="74"/>
      <c r="AR6622" s="77"/>
      <c r="AT6622" s="497">
        <v>46.94</v>
      </c>
      <c r="AV6622" s="42"/>
      <c r="AW6622" s="74"/>
      <c r="AX6622" s="77"/>
      <c r="BA6622" s="497">
        <v>48.92</v>
      </c>
      <c r="BB6622" s="42"/>
      <c r="BC6622" s="74"/>
      <c r="BD6622" s="77"/>
      <c r="BF6622">
        <v>41</v>
      </c>
      <c r="BH6622" s="42"/>
      <c r="BI6622" s="74"/>
      <c r="BJ6622" s="77"/>
      <c r="BL6622" s="497">
        <v>41</v>
      </c>
      <c r="BN6622" s="42"/>
      <c r="BO6622" s="74"/>
      <c r="BP6622" s="77"/>
      <c r="BR6622" s="497">
        <v>48.92</v>
      </c>
      <c r="BT6622" s="42"/>
    </row>
    <row r="6623" spans="1:72" x14ac:dyDescent="0.25">
      <c r="A6623" s="90">
        <v>37167</v>
      </c>
      <c r="B6623" s="20">
        <v>0.20833333333333334</v>
      </c>
      <c r="D6623">
        <v>62.06</v>
      </c>
      <c r="E6623" t="str">
        <f t="shared" si="242"/>
        <v>WEEKDAY</v>
      </c>
      <c r="F6623" t="e">
        <f t="shared" si="241"/>
        <v>#N/A</v>
      </c>
      <c r="G6623" s="74">
        <v>29497</v>
      </c>
      <c r="H6623" s="77">
        <v>0.20833333333333334</v>
      </c>
      <c r="J6623">
        <v>57.019999999999996</v>
      </c>
      <c r="M6623" s="74">
        <v>36436</v>
      </c>
      <c r="N6623" s="77">
        <v>0.20833333333333334</v>
      </c>
      <c r="P6623">
        <v>59</v>
      </c>
      <c r="S6623" s="74">
        <v>37167</v>
      </c>
      <c r="T6623" s="77">
        <v>0.20833333333333334</v>
      </c>
      <c r="V6623">
        <v>57.92</v>
      </c>
      <c r="X6623" s="42"/>
      <c r="AB6623">
        <v>58.5</v>
      </c>
      <c r="AC6623">
        <v>53.96</v>
      </c>
      <c r="AE6623" s="74"/>
      <c r="AF6623" s="77"/>
      <c r="AH6623" s="497">
        <v>68</v>
      </c>
      <c r="AJ6623" s="42"/>
      <c r="AK6623" s="74"/>
      <c r="AL6623" s="77"/>
      <c r="AN6623" s="497">
        <v>50</v>
      </c>
      <c r="AP6623" s="42"/>
      <c r="AQ6623" s="74"/>
      <c r="AR6623" s="77"/>
      <c r="AT6623" s="497">
        <v>51.08</v>
      </c>
      <c r="AV6623" s="42"/>
      <c r="AW6623" s="74"/>
      <c r="AX6623" s="77"/>
      <c r="BA6623" s="497">
        <v>48.019999999999996</v>
      </c>
      <c r="BB6623" s="42"/>
      <c r="BC6623" s="74"/>
      <c r="BD6623" s="77"/>
      <c r="BF6623">
        <v>39.92</v>
      </c>
      <c r="BH6623" s="42"/>
      <c r="BI6623" s="74"/>
      <c r="BJ6623" s="77"/>
      <c r="BL6623" s="497">
        <v>42.08</v>
      </c>
      <c r="BN6623" s="42"/>
      <c r="BO6623" s="74"/>
      <c r="BP6623" s="77"/>
      <c r="BR6623" s="497">
        <v>46.04</v>
      </c>
      <c r="BT6623" s="42"/>
    </row>
    <row r="6624" spans="1:72" x14ac:dyDescent="0.25">
      <c r="A6624" s="90">
        <v>37167</v>
      </c>
      <c r="B6624" s="20">
        <v>0.25</v>
      </c>
      <c r="D6624">
        <v>62.06</v>
      </c>
      <c r="E6624" t="str">
        <f t="shared" si="242"/>
        <v>WEEKDAY</v>
      </c>
      <c r="F6624" t="e">
        <f t="shared" si="241"/>
        <v>#N/A</v>
      </c>
      <c r="G6624" s="74">
        <v>29497</v>
      </c>
      <c r="H6624" s="77">
        <v>0.25</v>
      </c>
      <c r="J6624">
        <v>57.019999999999996</v>
      </c>
      <c r="M6624" s="74">
        <v>36436</v>
      </c>
      <c r="N6624" s="77">
        <v>0.25</v>
      </c>
      <c r="P6624">
        <v>59</v>
      </c>
      <c r="S6624" s="74">
        <v>37167</v>
      </c>
      <c r="T6624" s="77">
        <v>0.25</v>
      </c>
      <c r="V6624">
        <v>57.92</v>
      </c>
      <c r="X6624" s="42"/>
      <c r="AB6624">
        <v>58.3</v>
      </c>
      <c r="AC6624">
        <v>55.94</v>
      </c>
      <c r="AE6624" s="74"/>
      <c r="AF6624" s="77"/>
      <c r="AH6624" s="497">
        <v>68.36</v>
      </c>
      <c r="AJ6624" s="42"/>
      <c r="AK6624" s="74"/>
      <c r="AL6624" s="77"/>
      <c r="AN6624" s="497">
        <v>50</v>
      </c>
      <c r="AP6624" s="42"/>
      <c r="AQ6624" s="74"/>
      <c r="AR6624" s="77"/>
      <c r="AT6624" s="497">
        <v>51.08</v>
      </c>
      <c r="AV6624" s="42"/>
      <c r="AW6624" s="74"/>
      <c r="AX6624" s="77"/>
      <c r="BA6624" s="497">
        <v>48.92</v>
      </c>
      <c r="BB6624" s="42"/>
      <c r="BC6624" s="74"/>
      <c r="BD6624" s="77"/>
      <c r="BF6624">
        <v>39.92</v>
      </c>
      <c r="BH6624" s="42"/>
      <c r="BI6624" s="74"/>
      <c r="BJ6624" s="77"/>
      <c r="BL6624" s="497">
        <v>39.92</v>
      </c>
      <c r="BN6624" s="42"/>
      <c r="BO6624" s="74"/>
      <c r="BP6624" s="77"/>
      <c r="BR6624" s="497">
        <v>46.04</v>
      </c>
      <c r="BT6624" s="42"/>
    </row>
    <row r="6625" spans="1:72" x14ac:dyDescent="0.25">
      <c r="A6625" s="90">
        <v>37167</v>
      </c>
      <c r="B6625" s="20">
        <v>0.29166666666666669</v>
      </c>
      <c r="D6625">
        <v>62.96</v>
      </c>
      <c r="E6625" t="str">
        <f t="shared" si="242"/>
        <v>WEEKDAY</v>
      </c>
      <c r="F6625" t="e">
        <f t="shared" si="241"/>
        <v>#N/A</v>
      </c>
      <c r="G6625" s="74">
        <v>29497</v>
      </c>
      <c r="H6625" s="77">
        <v>0.29166666666666669</v>
      </c>
      <c r="J6625">
        <v>57.019999999999996</v>
      </c>
      <c r="M6625" s="74">
        <v>36436</v>
      </c>
      <c r="N6625" s="77">
        <v>0.29166666666666669</v>
      </c>
      <c r="P6625">
        <v>60.8</v>
      </c>
      <c r="S6625" s="74">
        <v>37167</v>
      </c>
      <c r="T6625" s="77">
        <v>0.29166666666666669</v>
      </c>
      <c r="V6625">
        <v>60.980000000000004</v>
      </c>
      <c r="X6625" s="42"/>
      <c r="AB6625">
        <v>58.1</v>
      </c>
      <c r="AC6625">
        <v>60.980000000000004</v>
      </c>
      <c r="AE6625" s="74"/>
      <c r="AF6625" s="77"/>
      <c r="AH6625" s="497">
        <v>69.800000000000011</v>
      </c>
      <c r="AJ6625" s="42"/>
      <c r="AK6625" s="74"/>
      <c r="AL6625" s="77"/>
      <c r="AN6625" s="497">
        <v>51.08</v>
      </c>
      <c r="AP6625" s="42"/>
      <c r="AQ6625" s="74"/>
      <c r="AR6625" s="77"/>
      <c r="AT6625" s="497">
        <v>51.08</v>
      </c>
      <c r="AV6625" s="42"/>
      <c r="AW6625" s="74"/>
      <c r="AX6625" s="77"/>
      <c r="BA6625" s="497">
        <v>50</v>
      </c>
      <c r="BB6625" s="42"/>
      <c r="BC6625" s="74"/>
      <c r="BD6625" s="77"/>
      <c r="BF6625">
        <v>41</v>
      </c>
      <c r="BH6625" s="42"/>
      <c r="BI6625" s="74"/>
      <c r="BJ6625" s="77"/>
      <c r="BL6625" s="497">
        <v>37.94</v>
      </c>
      <c r="BN6625" s="42"/>
      <c r="BO6625" s="74"/>
      <c r="BP6625" s="77"/>
      <c r="BR6625" s="497">
        <v>46.94</v>
      </c>
      <c r="BT6625" s="42"/>
    </row>
    <row r="6626" spans="1:72" x14ac:dyDescent="0.25">
      <c r="A6626" s="90">
        <v>37167</v>
      </c>
      <c r="B6626" s="20">
        <v>0.33333333333333331</v>
      </c>
      <c r="D6626">
        <v>66.02</v>
      </c>
      <c r="E6626" t="str">
        <f t="shared" si="242"/>
        <v>WEEKDAY</v>
      </c>
      <c r="F6626" t="e">
        <f t="shared" si="241"/>
        <v>#N/A</v>
      </c>
      <c r="G6626" s="74">
        <v>29497</v>
      </c>
      <c r="H6626" s="77">
        <v>0.33333333333333331</v>
      </c>
      <c r="J6626">
        <v>58.28</v>
      </c>
      <c r="M6626" s="74">
        <v>36436</v>
      </c>
      <c r="N6626" s="77">
        <v>0.33333333333333331</v>
      </c>
      <c r="P6626">
        <v>62.6</v>
      </c>
      <c r="S6626" s="74">
        <v>37167</v>
      </c>
      <c r="T6626" s="77">
        <v>0.33333333333333331</v>
      </c>
      <c r="V6626">
        <v>62.96</v>
      </c>
      <c r="X6626" s="42"/>
      <c r="AB6626">
        <v>59.4</v>
      </c>
      <c r="AC6626">
        <v>62.6</v>
      </c>
      <c r="AE6626" s="74"/>
      <c r="AF6626" s="77"/>
      <c r="AH6626" s="497">
        <v>68</v>
      </c>
      <c r="AJ6626" s="42"/>
      <c r="AK6626" s="74"/>
      <c r="AL6626" s="77"/>
      <c r="AN6626" s="497">
        <v>51.980000000000004</v>
      </c>
      <c r="AP6626" s="42"/>
      <c r="AQ6626" s="74"/>
      <c r="AR6626" s="77"/>
      <c r="AT6626" s="497">
        <v>53.06</v>
      </c>
      <c r="AV6626" s="42"/>
      <c r="AW6626" s="74"/>
      <c r="AX6626" s="77"/>
      <c r="BA6626" s="497">
        <v>51.08</v>
      </c>
      <c r="BB6626" s="42"/>
      <c r="BC6626" s="74"/>
      <c r="BD6626" s="77"/>
      <c r="BF6626">
        <v>46.04</v>
      </c>
      <c r="BH6626" s="42"/>
      <c r="BI6626" s="74"/>
      <c r="BJ6626" s="77"/>
      <c r="BL6626" s="497">
        <v>41</v>
      </c>
      <c r="BN6626" s="42"/>
      <c r="BO6626" s="74"/>
      <c r="BP6626" s="77"/>
      <c r="BR6626" s="497">
        <v>50</v>
      </c>
      <c r="BT6626" s="42"/>
    </row>
    <row r="6627" spans="1:72" x14ac:dyDescent="0.25">
      <c r="A6627" s="90">
        <v>37167</v>
      </c>
      <c r="B6627" s="20">
        <v>0.375</v>
      </c>
      <c r="D6627">
        <v>69.080000000000013</v>
      </c>
      <c r="E6627" t="str">
        <f t="shared" si="242"/>
        <v>WEEKDAY</v>
      </c>
      <c r="F6627" t="e">
        <f t="shared" si="241"/>
        <v>#N/A</v>
      </c>
      <c r="G6627" s="74">
        <v>29497</v>
      </c>
      <c r="H6627" s="77">
        <v>0.375</v>
      </c>
      <c r="J6627">
        <v>59.72</v>
      </c>
      <c r="M6627" s="74">
        <v>36436</v>
      </c>
      <c r="N6627" s="77">
        <v>0.375</v>
      </c>
      <c r="P6627">
        <v>66.2</v>
      </c>
      <c r="S6627" s="74">
        <v>37167</v>
      </c>
      <c r="T6627" s="77">
        <v>0.375</v>
      </c>
      <c r="V6627">
        <v>66.02</v>
      </c>
      <c r="X6627" s="42"/>
      <c r="AB6627">
        <v>61.6</v>
      </c>
      <c r="AC6627">
        <v>62.06</v>
      </c>
      <c r="AE6627" s="74"/>
      <c r="AF6627" s="77"/>
      <c r="AH6627" s="497">
        <v>69.800000000000011</v>
      </c>
      <c r="AJ6627" s="42"/>
      <c r="AK6627" s="74"/>
      <c r="AL6627" s="77"/>
      <c r="AN6627" s="497">
        <v>53.06</v>
      </c>
      <c r="AP6627" s="42"/>
      <c r="AQ6627" s="74"/>
      <c r="AR6627" s="77"/>
      <c r="AT6627" s="497">
        <v>53.96</v>
      </c>
      <c r="AV6627" s="42"/>
      <c r="AW6627" s="74"/>
      <c r="AX6627" s="77"/>
      <c r="BA6627" s="497">
        <v>53.96</v>
      </c>
      <c r="BB6627" s="42"/>
      <c r="BC6627" s="74"/>
      <c r="BD6627" s="77"/>
      <c r="BF6627">
        <v>51.08</v>
      </c>
      <c r="BH6627" s="42"/>
      <c r="BI6627" s="74"/>
      <c r="BJ6627" s="77"/>
      <c r="BL6627" s="497">
        <v>44.06</v>
      </c>
      <c r="BN6627" s="42"/>
      <c r="BO6627" s="74"/>
      <c r="BP6627" s="77"/>
      <c r="BR6627" s="497">
        <v>53.06</v>
      </c>
      <c r="BT6627" s="42"/>
    </row>
    <row r="6628" spans="1:72" x14ac:dyDescent="0.25">
      <c r="A6628" s="90">
        <v>37167</v>
      </c>
      <c r="B6628" s="20">
        <v>0.41666666666666669</v>
      </c>
      <c r="D6628">
        <v>73.039999999999992</v>
      </c>
      <c r="E6628" t="str">
        <f t="shared" si="242"/>
        <v>WEEKDAY</v>
      </c>
      <c r="F6628" t="e">
        <f t="shared" si="241"/>
        <v>#N/A</v>
      </c>
      <c r="G6628" s="74">
        <v>29497</v>
      </c>
      <c r="H6628" s="77">
        <v>0.41666666666666669</v>
      </c>
      <c r="J6628">
        <v>60.980000000000004</v>
      </c>
      <c r="M6628" s="74">
        <v>36436</v>
      </c>
      <c r="N6628" s="77">
        <v>0.41666666666666669</v>
      </c>
      <c r="P6628">
        <v>66.2</v>
      </c>
      <c r="S6628" s="74">
        <v>37167</v>
      </c>
      <c r="T6628" s="77">
        <v>0.41666666666666669</v>
      </c>
      <c r="V6628">
        <v>68</v>
      </c>
      <c r="X6628" s="42"/>
      <c r="AB6628">
        <v>63.6</v>
      </c>
      <c r="AC6628">
        <v>71.06</v>
      </c>
      <c r="AE6628" s="74"/>
      <c r="AF6628" s="77"/>
      <c r="AH6628" s="497">
        <v>66.2</v>
      </c>
      <c r="AJ6628" s="42"/>
      <c r="AK6628" s="74"/>
      <c r="AL6628" s="77"/>
      <c r="AN6628" s="497">
        <v>53.06</v>
      </c>
      <c r="AP6628" s="42"/>
      <c r="AQ6628" s="74"/>
      <c r="AR6628" s="77"/>
      <c r="AT6628" s="497">
        <v>55.040000000000006</v>
      </c>
      <c r="AV6628" s="42"/>
      <c r="AW6628" s="74"/>
      <c r="AX6628" s="77"/>
      <c r="BA6628" s="497">
        <v>55.040000000000006</v>
      </c>
      <c r="BB6628" s="42"/>
      <c r="BC6628" s="74"/>
      <c r="BD6628" s="77"/>
      <c r="BF6628">
        <v>55.040000000000006</v>
      </c>
      <c r="BH6628" s="42"/>
      <c r="BI6628" s="74"/>
      <c r="BJ6628" s="77"/>
      <c r="BL6628" s="497">
        <v>51.980000000000004</v>
      </c>
      <c r="BN6628" s="42"/>
      <c r="BO6628" s="74"/>
      <c r="BP6628" s="77"/>
      <c r="BR6628" s="497">
        <v>57.019999999999996</v>
      </c>
      <c r="BT6628" s="42"/>
    </row>
    <row r="6629" spans="1:72" x14ac:dyDescent="0.25">
      <c r="A6629" s="90">
        <v>37167</v>
      </c>
      <c r="B6629" s="20">
        <v>0.45833333333333331</v>
      </c>
      <c r="D6629">
        <v>75.92</v>
      </c>
      <c r="E6629" t="str">
        <f t="shared" si="242"/>
        <v>WEEKDAY</v>
      </c>
      <c r="F6629" t="e">
        <f t="shared" si="241"/>
        <v>#N/A</v>
      </c>
      <c r="G6629" s="74">
        <v>29497</v>
      </c>
      <c r="H6629" s="77">
        <v>0.45833333333333331</v>
      </c>
      <c r="J6629">
        <v>62.24</v>
      </c>
      <c r="M6629" s="74">
        <v>36436</v>
      </c>
      <c r="N6629" s="77">
        <v>0.45833333333333331</v>
      </c>
      <c r="P6629">
        <v>68</v>
      </c>
      <c r="S6629" s="74">
        <v>37167</v>
      </c>
      <c r="T6629" s="77">
        <v>0.45833333333333331</v>
      </c>
      <c r="V6629">
        <v>71.06</v>
      </c>
      <c r="X6629" s="42"/>
      <c r="AB6629">
        <v>65.2</v>
      </c>
      <c r="AC6629">
        <v>73.94</v>
      </c>
      <c r="AE6629" s="74"/>
      <c r="AF6629" s="77"/>
      <c r="AH6629" s="497">
        <v>66.2</v>
      </c>
      <c r="AJ6629" s="42"/>
      <c r="AK6629" s="74"/>
      <c r="AL6629" s="77"/>
      <c r="AN6629" s="497">
        <v>55.040000000000006</v>
      </c>
      <c r="AP6629" s="42"/>
      <c r="AQ6629" s="74"/>
      <c r="AR6629" s="77"/>
      <c r="AT6629" s="497">
        <v>55.94</v>
      </c>
      <c r="AV6629" s="42"/>
      <c r="AW6629" s="74"/>
      <c r="AX6629" s="77"/>
      <c r="BA6629" s="497">
        <v>57.92</v>
      </c>
      <c r="BB6629" s="42"/>
      <c r="BC6629" s="74"/>
      <c r="BD6629" s="77"/>
      <c r="BF6629">
        <v>60.08</v>
      </c>
      <c r="BH6629" s="42"/>
      <c r="BI6629" s="74"/>
      <c r="BJ6629" s="77"/>
      <c r="BL6629" s="497">
        <v>60.08</v>
      </c>
      <c r="BN6629" s="42"/>
      <c r="BO6629" s="74"/>
      <c r="BP6629" s="77"/>
      <c r="BR6629" s="497">
        <v>59</v>
      </c>
      <c r="BT6629" s="42"/>
    </row>
    <row r="6630" spans="1:72" x14ac:dyDescent="0.25">
      <c r="A6630" s="90">
        <v>37167</v>
      </c>
      <c r="B6630" s="20">
        <v>0.5</v>
      </c>
      <c r="D6630">
        <v>78.98</v>
      </c>
      <c r="E6630" t="str">
        <f t="shared" si="242"/>
        <v>WEEKDAY</v>
      </c>
      <c r="F6630" t="e">
        <f t="shared" si="241"/>
        <v>#N/A</v>
      </c>
      <c r="G6630" s="74">
        <v>29497</v>
      </c>
      <c r="H6630" s="77">
        <v>0.5</v>
      </c>
      <c r="J6630">
        <v>63.680000000000007</v>
      </c>
      <c r="M6630" s="74">
        <v>36436</v>
      </c>
      <c r="N6630" s="77">
        <v>0.5</v>
      </c>
      <c r="P6630">
        <v>71.599999999999994</v>
      </c>
      <c r="S6630" s="74">
        <v>37167</v>
      </c>
      <c r="T6630" s="77">
        <v>0.5</v>
      </c>
      <c r="V6630">
        <v>71.960000000000008</v>
      </c>
      <c r="X6630" s="42"/>
      <c r="AB6630">
        <v>66.599999999999994</v>
      </c>
      <c r="AC6630">
        <v>78.080000000000013</v>
      </c>
      <c r="AE6630" s="74"/>
      <c r="AF6630" s="77"/>
      <c r="AH6630" s="497">
        <v>66.2</v>
      </c>
      <c r="AJ6630" s="42"/>
      <c r="AK6630" s="74"/>
      <c r="AL6630" s="77"/>
      <c r="AN6630" s="497">
        <v>55.040000000000006</v>
      </c>
      <c r="AP6630" s="42"/>
      <c r="AQ6630" s="74"/>
      <c r="AR6630" s="77"/>
      <c r="AT6630" s="497">
        <v>59</v>
      </c>
      <c r="AV6630" s="42"/>
      <c r="AW6630" s="74"/>
      <c r="AX6630" s="77"/>
      <c r="BA6630" s="497">
        <v>57.92</v>
      </c>
      <c r="BB6630" s="42"/>
      <c r="BC6630" s="74"/>
      <c r="BD6630" s="77"/>
      <c r="BF6630">
        <v>62.06</v>
      </c>
      <c r="BH6630" s="42"/>
      <c r="BI6630" s="74"/>
      <c r="BJ6630" s="77"/>
      <c r="BL6630" s="497">
        <v>62.96</v>
      </c>
      <c r="BN6630" s="42"/>
      <c r="BO6630" s="74"/>
      <c r="BP6630" s="77"/>
      <c r="BR6630" s="497">
        <v>59</v>
      </c>
      <c r="BT6630" s="42"/>
    </row>
    <row r="6631" spans="1:72" x14ac:dyDescent="0.25">
      <c r="A6631" s="90">
        <v>37167</v>
      </c>
      <c r="B6631" s="20">
        <v>0.54166666666666663</v>
      </c>
      <c r="D6631">
        <v>80.06</v>
      </c>
      <c r="E6631" t="str">
        <f t="shared" si="242"/>
        <v>WEEKDAY</v>
      </c>
      <c r="F6631" t="e">
        <f t="shared" si="241"/>
        <v>#N/A</v>
      </c>
      <c r="G6631" s="74">
        <v>29497</v>
      </c>
      <c r="H6631" s="77">
        <v>0.54166666666666663</v>
      </c>
      <c r="J6631">
        <v>64.94</v>
      </c>
      <c r="M6631" s="74">
        <v>36436</v>
      </c>
      <c r="N6631" s="77">
        <v>0.54166666666666663</v>
      </c>
      <c r="P6631">
        <v>71.599999999999994</v>
      </c>
      <c r="S6631" s="74">
        <v>37167</v>
      </c>
      <c r="T6631" s="77">
        <v>0.54166666666666663</v>
      </c>
      <c r="V6631">
        <v>73.039999999999992</v>
      </c>
      <c r="X6631" s="42"/>
      <c r="AB6631">
        <v>67.7</v>
      </c>
      <c r="AC6631">
        <v>78.98</v>
      </c>
      <c r="AE6631" s="74"/>
      <c r="AF6631" s="77"/>
      <c r="AH6631" s="497">
        <v>64.400000000000006</v>
      </c>
      <c r="AJ6631" s="42"/>
      <c r="AK6631" s="74"/>
      <c r="AL6631" s="77"/>
      <c r="AN6631" s="497">
        <v>57.019999999999996</v>
      </c>
      <c r="AP6631" s="42"/>
      <c r="AQ6631" s="74"/>
      <c r="AR6631" s="77"/>
      <c r="AT6631" s="497">
        <v>60.08</v>
      </c>
      <c r="AV6631" s="42"/>
      <c r="AW6631" s="74"/>
      <c r="AX6631" s="77"/>
      <c r="BA6631" s="497">
        <v>57.92</v>
      </c>
      <c r="BB6631" s="42"/>
      <c r="BC6631" s="74"/>
      <c r="BD6631" s="77"/>
      <c r="BF6631">
        <v>64.039999999999992</v>
      </c>
      <c r="BH6631" s="42"/>
      <c r="BI6631" s="74"/>
      <c r="BJ6631" s="77"/>
      <c r="BL6631" s="497">
        <v>64.94</v>
      </c>
      <c r="BN6631" s="42"/>
      <c r="BO6631" s="74"/>
      <c r="BP6631" s="77"/>
      <c r="BR6631" s="497">
        <v>60.08</v>
      </c>
      <c r="BT6631" s="42"/>
    </row>
    <row r="6632" spans="1:72" x14ac:dyDescent="0.25">
      <c r="A6632" s="90">
        <v>37167</v>
      </c>
      <c r="B6632" s="20">
        <v>0.58333333333333337</v>
      </c>
      <c r="D6632">
        <v>80.960000000000008</v>
      </c>
      <c r="E6632" t="str">
        <f t="shared" si="242"/>
        <v>WEEKDAY</v>
      </c>
      <c r="F6632" t="e">
        <f t="shared" si="241"/>
        <v>#N/A</v>
      </c>
      <c r="G6632" s="74">
        <v>29497</v>
      </c>
      <c r="H6632" s="77">
        <v>0.58333333333333337</v>
      </c>
      <c r="J6632">
        <v>64.22</v>
      </c>
      <c r="M6632" s="74">
        <v>36436</v>
      </c>
      <c r="N6632" s="77">
        <v>0.58333333333333337</v>
      </c>
      <c r="P6632">
        <v>69.800000000000011</v>
      </c>
      <c r="S6632" s="74">
        <v>37167</v>
      </c>
      <c r="T6632" s="77">
        <v>0.58333333333333337</v>
      </c>
      <c r="V6632">
        <v>73.94</v>
      </c>
      <c r="X6632" s="42"/>
      <c r="AB6632">
        <v>68</v>
      </c>
      <c r="AC6632">
        <v>78.98</v>
      </c>
      <c r="AE6632" s="74"/>
      <c r="AF6632" s="77"/>
      <c r="AH6632" s="497">
        <v>66.2</v>
      </c>
      <c r="AJ6632" s="42"/>
      <c r="AK6632" s="74"/>
      <c r="AL6632" s="77"/>
      <c r="AN6632" s="497">
        <v>55.94</v>
      </c>
      <c r="AP6632" s="42"/>
      <c r="AQ6632" s="74"/>
      <c r="AR6632" s="77"/>
      <c r="AT6632" s="497">
        <v>59</v>
      </c>
      <c r="AV6632" s="42"/>
      <c r="AW6632" s="74"/>
      <c r="AX6632" s="77"/>
      <c r="BA6632" s="497">
        <v>60.08</v>
      </c>
      <c r="BB6632" s="42"/>
      <c r="BC6632" s="74"/>
      <c r="BD6632" s="77"/>
      <c r="BF6632">
        <v>66.02</v>
      </c>
      <c r="BH6632" s="42"/>
      <c r="BI6632" s="74"/>
      <c r="BJ6632" s="77"/>
      <c r="BL6632" s="497">
        <v>66.92</v>
      </c>
      <c r="BN6632" s="42"/>
      <c r="BO6632" s="74"/>
      <c r="BP6632" s="77"/>
      <c r="BR6632" s="497">
        <v>59</v>
      </c>
      <c r="BT6632" s="42"/>
    </row>
    <row r="6633" spans="1:72" x14ac:dyDescent="0.25">
      <c r="A6633" s="90">
        <v>37167</v>
      </c>
      <c r="B6633" s="20">
        <v>0.625</v>
      </c>
      <c r="D6633">
        <v>82.039999999999992</v>
      </c>
      <c r="E6633" t="str">
        <f t="shared" si="242"/>
        <v>WEEKDAY</v>
      </c>
      <c r="F6633" t="e">
        <f t="shared" si="241"/>
        <v>#N/A</v>
      </c>
      <c r="G6633" s="74">
        <v>29497</v>
      </c>
      <c r="H6633" s="77">
        <v>0.625</v>
      </c>
      <c r="J6633">
        <v>63.680000000000007</v>
      </c>
      <c r="M6633" s="74">
        <v>36436</v>
      </c>
      <c r="N6633" s="77">
        <v>0.625</v>
      </c>
      <c r="P6633">
        <v>71.599999999999994</v>
      </c>
      <c r="S6633" s="74">
        <v>37167</v>
      </c>
      <c r="T6633" s="77">
        <v>0.625</v>
      </c>
      <c r="V6633">
        <v>73.94</v>
      </c>
      <c r="X6633" s="42"/>
      <c r="AB6633">
        <v>68.2</v>
      </c>
      <c r="AC6633">
        <v>78.98</v>
      </c>
      <c r="AE6633" s="74"/>
      <c r="AF6633" s="77"/>
      <c r="AH6633" s="497">
        <v>62.6</v>
      </c>
      <c r="AJ6633" s="42"/>
      <c r="AK6633" s="74"/>
      <c r="AL6633" s="77"/>
      <c r="AN6633" s="497">
        <v>57.019999999999996</v>
      </c>
      <c r="AP6633" s="42"/>
      <c r="AQ6633" s="74"/>
      <c r="AR6633" s="77"/>
      <c r="AT6633" s="497">
        <v>55.94</v>
      </c>
      <c r="AV6633" s="42"/>
      <c r="AW6633" s="74"/>
      <c r="AX6633" s="77"/>
      <c r="BA6633" s="497">
        <v>59</v>
      </c>
      <c r="BB6633" s="42"/>
      <c r="BC6633" s="74"/>
      <c r="BD6633" s="77"/>
      <c r="BF6633">
        <v>66.02</v>
      </c>
      <c r="BH6633" s="42"/>
      <c r="BI6633" s="74"/>
      <c r="BJ6633" s="77"/>
      <c r="BL6633" s="497">
        <v>68</v>
      </c>
      <c r="BN6633" s="42"/>
      <c r="BO6633" s="74"/>
      <c r="BP6633" s="77"/>
      <c r="BR6633" s="497">
        <v>57.92</v>
      </c>
      <c r="BT6633" s="42"/>
    </row>
    <row r="6634" spans="1:72" x14ac:dyDescent="0.25">
      <c r="A6634" s="90">
        <v>37167</v>
      </c>
      <c r="B6634" s="20">
        <v>0.66666666666666663</v>
      </c>
      <c r="D6634">
        <v>80.960000000000008</v>
      </c>
      <c r="E6634" t="str">
        <f t="shared" si="242"/>
        <v>WEEKDAY</v>
      </c>
      <c r="F6634" t="e">
        <f t="shared" si="241"/>
        <v>#N/A</v>
      </c>
      <c r="G6634" s="74">
        <v>29497</v>
      </c>
      <c r="H6634" s="77">
        <v>0.66666666666666663</v>
      </c>
      <c r="J6634">
        <v>62.96</v>
      </c>
      <c r="M6634" s="74">
        <v>36436</v>
      </c>
      <c r="N6634" s="77">
        <v>0.66666666666666663</v>
      </c>
      <c r="P6634">
        <v>68</v>
      </c>
      <c r="S6634" s="74">
        <v>37167</v>
      </c>
      <c r="T6634" s="77">
        <v>0.66666666666666663</v>
      </c>
      <c r="V6634">
        <v>73.039999999999992</v>
      </c>
      <c r="X6634" s="42"/>
      <c r="AB6634">
        <v>68</v>
      </c>
      <c r="AC6634">
        <v>78.080000000000013</v>
      </c>
      <c r="AE6634" s="74"/>
      <c r="AF6634" s="77"/>
      <c r="AH6634" s="497">
        <v>60.8</v>
      </c>
      <c r="AJ6634" s="42"/>
      <c r="AK6634" s="74"/>
      <c r="AL6634" s="77"/>
      <c r="AN6634" s="497">
        <v>59</v>
      </c>
      <c r="AP6634" s="42"/>
      <c r="AQ6634" s="74"/>
      <c r="AR6634" s="77"/>
      <c r="AT6634" s="497">
        <v>55.94</v>
      </c>
      <c r="AV6634" s="42"/>
      <c r="AW6634" s="74"/>
      <c r="AX6634" s="77"/>
      <c r="BA6634" s="497">
        <v>60.980000000000004</v>
      </c>
      <c r="BB6634" s="42"/>
      <c r="BC6634" s="74"/>
      <c r="BD6634" s="77"/>
      <c r="BF6634">
        <v>64.039999999999992</v>
      </c>
      <c r="BH6634" s="42"/>
      <c r="BI6634" s="74"/>
      <c r="BJ6634" s="77"/>
      <c r="BL6634" s="497">
        <v>68</v>
      </c>
      <c r="BN6634" s="42"/>
      <c r="BO6634" s="74"/>
      <c r="BP6634" s="77"/>
      <c r="BR6634" s="497">
        <v>53.06</v>
      </c>
      <c r="BT6634" s="42"/>
    </row>
    <row r="6635" spans="1:72" x14ac:dyDescent="0.25">
      <c r="A6635" s="90">
        <v>37167</v>
      </c>
      <c r="B6635" s="20">
        <v>0.70833333333333337</v>
      </c>
      <c r="D6635">
        <v>80.06</v>
      </c>
      <c r="E6635" t="str">
        <f t="shared" si="242"/>
        <v>WEEKDAY</v>
      </c>
      <c r="F6635" t="e">
        <f t="shared" ref="F6635:F6698" si="243">IF(E6635="WEEKDAY",VLOOKUP(B6635,$DD$19:$DG$42,2),IF(E6635="SATURDAY",VLOOKUP(B6635,$DD$19:$DG$42,3),VLOOKUP(B6635,$DD$19:$DG$42,4)))</f>
        <v>#N/A</v>
      </c>
      <c r="G6635" s="74">
        <v>29497</v>
      </c>
      <c r="H6635" s="77">
        <v>0.70833333333333337</v>
      </c>
      <c r="J6635">
        <v>62.06</v>
      </c>
      <c r="M6635" s="74">
        <v>36436</v>
      </c>
      <c r="N6635" s="77">
        <v>0.70833333333333337</v>
      </c>
      <c r="P6635">
        <v>66.2</v>
      </c>
      <c r="S6635" s="74">
        <v>37167</v>
      </c>
      <c r="T6635" s="77">
        <v>0.70833333333333337</v>
      </c>
      <c r="V6635">
        <v>69.98</v>
      </c>
      <c r="X6635" s="42"/>
      <c r="AB6635">
        <v>67.099999999999994</v>
      </c>
      <c r="AC6635">
        <v>75.02</v>
      </c>
      <c r="AE6635" s="74"/>
      <c r="AF6635" s="77"/>
      <c r="AH6635" s="497">
        <v>57.2</v>
      </c>
      <c r="AJ6635" s="42"/>
      <c r="AK6635" s="74"/>
      <c r="AL6635" s="77"/>
      <c r="AN6635" s="497">
        <v>60.08</v>
      </c>
      <c r="AP6635" s="42"/>
      <c r="AQ6635" s="74"/>
      <c r="AR6635" s="77"/>
      <c r="AT6635" s="497">
        <v>55.94</v>
      </c>
      <c r="AV6635" s="42"/>
      <c r="AW6635" s="74"/>
      <c r="AX6635" s="77"/>
      <c r="BA6635" s="497">
        <v>62.06</v>
      </c>
      <c r="BB6635" s="42"/>
      <c r="BC6635" s="74"/>
      <c r="BD6635" s="77"/>
      <c r="BF6635">
        <v>62.96</v>
      </c>
      <c r="BH6635" s="42"/>
      <c r="BI6635" s="74"/>
      <c r="BJ6635" s="77"/>
      <c r="BL6635" s="497">
        <v>64.94</v>
      </c>
      <c r="BN6635" s="42"/>
      <c r="BO6635" s="74"/>
      <c r="BP6635" s="77"/>
      <c r="BR6635" s="497">
        <v>51.980000000000004</v>
      </c>
      <c r="BT6635" s="42"/>
    </row>
    <row r="6636" spans="1:72" x14ac:dyDescent="0.25">
      <c r="A6636" s="90">
        <v>37167</v>
      </c>
      <c r="B6636" s="20">
        <v>0.75</v>
      </c>
      <c r="D6636">
        <v>77</v>
      </c>
      <c r="E6636" t="str">
        <f t="shared" si="242"/>
        <v>WEEKDAY</v>
      </c>
      <c r="F6636" t="e">
        <f t="shared" si="243"/>
        <v>#N/A</v>
      </c>
      <c r="G6636" s="74">
        <v>29497</v>
      </c>
      <c r="H6636" s="77">
        <v>0.75</v>
      </c>
      <c r="J6636">
        <v>60.980000000000004</v>
      </c>
      <c r="M6636" s="74">
        <v>36436</v>
      </c>
      <c r="N6636" s="77">
        <v>0.75</v>
      </c>
      <c r="P6636">
        <v>62.6</v>
      </c>
      <c r="S6636" s="74">
        <v>37167</v>
      </c>
      <c r="T6636" s="77">
        <v>0.75</v>
      </c>
      <c r="V6636">
        <v>68</v>
      </c>
      <c r="X6636" s="42"/>
      <c r="AB6636">
        <v>65.8</v>
      </c>
      <c r="AC6636">
        <v>71.06</v>
      </c>
      <c r="AE6636" s="74"/>
      <c r="AF6636" s="77"/>
      <c r="AH6636" s="497">
        <v>57.2</v>
      </c>
      <c r="AJ6636" s="42"/>
      <c r="AK6636" s="74"/>
      <c r="AL6636" s="77"/>
      <c r="AN6636" s="497">
        <v>60.980000000000004</v>
      </c>
      <c r="AP6636" s="42"/>
      <c r="AQ6636" s="74"/>
      <c r="AR6636" s="77"/>
      <c r="AT6636" s="497">
        <v>57.019999999999996</v>
      </c>
      <c r="AV6636" s="42"/>
      <c r="AW6636" s="74"/>
      <c r="AX6636" s="77"/>
      <c r="BA6636" s="497">
        <v>62.96</v>
      </c>
      <c r="BB6636" s="42"/>
      <c r="BC6636" s="74"/>
      <c r="BD6636" s="77"/>
      <c r="BF6636">
        <v>64.039999999999992</v>
      </c>
      <c r="BH6636" s="42"/>
      <c r="BI6636" s="74"/>
      <c r="BJ6636" s="77"/>
      <c r="BL6636" s="497">
        <v>62.96</v>
      </c>
      <c r="BN6636" s="42"/>
      <c r="BO6636" s="74"/>
      <c r="BP6636" s="77"/>
      <c r="BR6636" s="497">
        <v>53.06</v>
      </c>
      <c r="BT6636" s="42"/>
    </row>
    <row r="6637" spans="1:72" x14ac:dyDescent="0.25">
      <c r="A6637" s="90">
        <v>37167</v>
      </c>
      <c r="B6637" s="20">
        <v>0.79166666666666663</v>
      </c>
      <c r="D6637">
        <v>75.92</v>
      </c>
      <c r="E6637" t="str">
        <f t="shared" si="242"/>
        <v>WEEKDAY</v>
      </c>
      <c r="F6637" t="e">
        <f t="shared" si="243"/>
        <v>#N/A</v>
      </c>
      <c r="G6637" s="74">
        <v>29497</v>
      </c>
      <c r="H6637" s="77">
        <v>0.79166666666666663</v>
      </c>
      <c r="J6637">
        <v>60.08</v>
      </c>
      <c r="M6637" s="74">
        <v>36436</v>
      </c>
      <c r="N6637" s="77">
        <v>0.79166666666666663</v>
      </c>
      <c r="P6637">
        <v>60.8</v>
      </c>
      <c r="S6637" s="74">
        <v>37167</v>
      </c>
      <c r="T6637" s="77">
        <v>0.79166666666666663</v>
      </c>
      <c r="V6637">
        <v>68</v>
      </c>
      <c r="X6637" s="42"/>
      <c r="AB6637">
        <v>64.2</v>
      </c>
      <c r="AC6637">
        <v>69.080000000000013</v>
      </c>
      <c r="AE6637" s="74"/>
      <c r="AF6637" s="77"/>
      <c r="AH6637" s="497">
        <v>57.2</v>
      </c>
      <c r="AJ6637" s="42"/>
      <c r="AK6637" s="74"/>
      <c r="AL6637" s="77"/>
      <c r="AN6637" s="497">
        <v>62.06</v>
      </c>
      <c r="AP6637" s="42"/>
      <c r="AQ6637" s="74"/>
      <c r="AR6637" s="77"/>
      <c r="AT6637" s="497">
        <v>57.019999999999996</v>
      </c>
      <c r="AV6637" s="42"/>
      <c r="AW6637" s="74"/>
      <c r="AX6637" s="77"/>
      <c r="BA6637" s="497">
        <v>64.039999999999992</v>
      </c>
      <c r="BB6637" s="42"/>
      <c r="BC6637" s="74"/>
      <c r="BD6637" s="77"/>
      <c r="BF6637">
        <v>62.06</v>
      </c>
      <c r="BH6637" s="42"/>
      <c r="BI6637" s="74"/>
      <c r="BJ6637" s="77"/>
      <c r="BL6637" s="497">
        <v>60.980000000000004</v>
      </c>
      <c r="BN6637" s="42"/>
      <c r="BO6637" s="74"/>
      <c r="BP6637" s="77"/>
      <c r="BR6637" s="497">
        <v>53.06</v>
      </c>
      <c r="BT6637" s="42"/>
    </row>
    <row r="6638" spans="1:72" x14ac:dyDescent="0.25">
      <c r="A6638" s="90">
        <v>37167</v>
      </c>
      <c r="B6638" s="20">
        <v>0.83333333333333337</v>
      </c>
      <c r="D6638">
        <v>75.02</v>
      </c>
      <c r="E6638" t="str">
        <f t="shared" si="242"/>
        <v>WEEKDAY</v>
      </c>
      <c r="F6638" t="e">
        <f t="shared" si="243"/>
        <v>#N/A</v>
      </c>
      <c r="G6638" s="74">
        <v>29497</v>
      </c>
      <c r="H6638" s="77">
        <v>0.83333333333333337</v>
      </c>
      <c r="J6638">
        <v>59</v>
      </c>
      <c r="M6638" s="74">
        <v>36436</v>
      </c>
      <c r="N6638" s="77">
        <v>0.83333333333333337</v>
      </c>
      <c r="P6638">
        <v>60.8</v>
      </c>
      <c r="S6638" s="74">
        <v>37167</v>
      </c>
      <c r="T6638" s="77">
        <v>0.83333333333333337</v>
      </c>
      <c r="V6638">
        <v>68</v>
      </c>
      <c r="X6638" s="42"/>
      <c r="AB6638">
        <v>63.3</v>
      </c>
      <c r="AC6638">
        <v>69.080000000000013</v>
      </c>
      <c r="AE6638" s="74"/>
      <c r="AF6638" s="77"/>
      <c r="AH6638" s="497">
        <v>55.400000000000006</v>
      </c>
      <c r="AJ6638" s="42"/>
      <c r="AK6638" s="74"/>
      <c r="AL6638" s="77"/>
      <c r="AN6638" s="497">
        <v>62.96</v>
      </c>
      <c r="AP6638" s="42"/>
      <c r="AQ6638" s="74"/>
      <c r="AR6638" s="77"/>
      <c r="AT6638" s="497">
        <v>57.92</v>
      </c>
      <c r="AV6638" s="42"/>
      <c r="AW6638" s="74"/>
      <c r="AX6638" s="77"/>
      <c r="BA6638" s="497">
        <v>64.94</v>
      </c>
      <c r="BB6638" s="42"/>
      <c r="BC6638" s="74"/>
      <c r="BD6638" s="77"/>
      <c r="BF6638">
        <v>62.06</v>
      </c>
      <c r="BH6638" s="42"/>
      <c r="BI6638" s="74"/>
      <c r="BJ6638" s="77"/>
      <c r="BL6638" s="497">
        <v>60.08</v>
      </c>
      <c r="BN6638" s="42"/>
      <c r="BO6638" s="74"/>
      <c r="BP6638" s="77"/>
      <c r="BR6638" s="497">
        <v>53.06</v>
      </c>
      <c r="BT6638" s="42"/>
    </row>
    <row r="6639" spans="1:72" x14ac:dyDescent="0.25">
      <c r="A6639" s="90">
        <v>37167</v>
      </c>
      <c r="B6639" s="20">
        <v>0.875</v>
      </c>
      <c r="D6639">
        <v>73.94</v>
      </c>
      <c r="E6639" t="str">
        <f t="shared" si="242"/>
        <v>WEEKDAY</v>
      </c>
      <c r="F6639" t="e">
        <f t="shared" si="243"/>
        <v>#N/A</v>
      </c>
      <c r="G6639" s="74">
        <v>29497</v>
      </c>
      <c r="H6639" s="77">
        <v>0.875</v>
      </c>
      <c r="J6639">
        <v>58.1</v>
      </c>
      <c r="M6639" s="74">
        <v>36436</v>
      </c>
      <c r="N6639" s="77">
        <v>0.875</v>
      </c>
      <c r="P6639">
        <v>59</v>
      </c>
      <c r="S6639" s="74">
        <v>37167</v>
      </c>
      <c r="T6639" s="77">
        <v>0.875</v>
      </c>
      <c r="V6639">
        <v>66.92</v>
      </c>
      <c r="X6639" s="42"/>
      <c r="AB6639">
        <v>62.7</v>
      </c>
      <c r="AC6639">
        <v>66.02</v>
      </c>
      <c r="AE6639" s="74"/>
      <c r="AF6639" s="77"/>
      <c r="AH6639" s="497">
        <v>55.400000000000006</v>
      </c>
      <c r="AJ6639" s="42"/>
      <c r="AK6639" s="74"/>
      <c r="AL6639" s="77"/>
      <c r="AN6639" s="497">
        <v>62.96</v>
      </c>
      <c r="AP6639" s="42"/>
      <c r="AQ6639" s="74"/>
      <c r="AR6639" s="77"/>
      <c r="AT6639" s="497">
        <v>59</v>
      </c>
      <c r="AV6639" s="42"/>
      <c r="AW6639" s="74"/>
      <c r="AX6639" s="77"/>
      <c r="BA6639" s="497">
        <v>64.039999999999992</v>
      </c>
      <c r="BB6639" s="42"/>
      <c r="BC6639" s="74"/>
      <c r="BD6639" s="77"/>
      <c r="BF6639">
        <v>60.980000000000004</v>
      </c>
      <c r="BH6639" s="42"/>
      <c r="BI6639" s="74"/>
      <c r="BJ6639" s="77"/>
      <c r="BL6639" s="497">
        <v>60.08</v>
      </c>
      <c r="BN6639" s="42"/>
      <c r="BO6639" s="74"/>
      <c r="BP6639" s="77"/>
      <c r="BR6639" s="497">
        <v>53.96</v>
      </c>
      <c r="BT6639" s="42"/>
    </row>
    <row r="6640" spans="1:72" x14ac:dyDescent="0.25">
      <c r="A6640" s="90">
        <v>37167</v>
      </c>
      <c r="B6640" s="20">
        <v>0.91666666666666663</v>
      </c>
      <c r="D6640">
        <v>73.039999999999992</v>
      </c>
      <c r="E6640" t="str">
        <f t="shared" si="242"/>
        <v>WEEKDAY</v>
      </c>
      <c r="F6640" t="e">
        <f t="shared" si="243"/>
        <v>#N/A</v>
      </c>
      <c r="G6640" s="74">
        <v>29497</v>
      </c>
      <c r="H6640" s="77">
        <v>0.91666666666666663</v>
      </c>
      <c r="J6640">
        <v>57.019999999999996</v>
      </c>
      <c r="M6640" s="74">
        <v>36436</v>
      </c>
      <c r="N6640" s="77">
        <v>0.91666666666666663</v>
      </c>
      <c r="P6640">
        <v>59</v>
      </c>
      <c r="S6640" s="74">
        <v>37167</v>
      </c>
      <c r="T6640" s="77">
        <v>0.91666666666666663</v>
      </c>
      <c r="V6640">
        <v>66.02</v>
      </c>
      <c r="X6640" s="42"/>
      <c r="AB6640">
        <v>62.1</v>
      </c>
      <c r="AC6640">
        <v>62.96</v>
      </c>
      <c r="AE6640" s="74"/>
      <c r="AF6640" s="77"/>
      <c r="AH6640" s="497">
        <v>55.400000000000006</v>
      </c>
      <c r="AJ6640" s="42"/>
      <c r="AK6640" s="74"/>
      <c r="AL6640" s="77"/>
      <c r="AN6640" s="497">
        <v>62.96</v>
      </c>
      <c r="AP6640" s="42"/>
      <c r="AQ6640" s="74"/>
      <c r="AR6640" s="77"/>
      <c r="AT6640" s="497">
        <v>60.08</v>
      </c>
      <c r="AV6640" s="42"/>
      <c r="AW6640" s="74"/>
      <c r="AX6640" s="77"/>
      <c r="BA6640" s="497">
        <v>64.039999999999992</v>
      </c>
      <c r="BB6640" s="42"/>
      <c r="BC6640" s="74"/>
      <c r="BD6640" s="77"/>
      <c r="BF6640">
        <v>60.980000000000004</v>
      </c>
      <c r="BH6640" s="42"/>
      <c r="BI6640" s="74"/>
      <c r="BJ6640" s="77"/>
      <c r="BL6640" s="497">
        <v>59</v>
      </c>
      <c r="BN6640" s="42"/>
      <c r="BO6640" s="74"/>
      <c r="BP6640" s="77"/>
      <c r="BR6640" s="497">
        <v>53.96</v>
      </c>
      <c r="BT6640" s="42"/>
    </row>
    <row r="6641" spans="1:72" x14ac:dyDescent="0.25">
      <c r="A6641" s="90">
        <v>37167</v>
      </c>
      <c r="B6641" s="20">
        <v>0.95833333333333337</v>
      </c>
      <c r="D6641">
        <v>71.960000000000008</v>
      </c>
      <c r="E6641" t="str">
        <f t="shared" si="242"/>
        <v>WEEKDAY</v>
      </c>
      <c r="F6641" t="e">
        <f t="shared" si="243"/>
        <v>#N/A</v>
      </c>
      <c r="G6641" s="74">
        <v>29497</v>
      </c>
      <c r="H6641" s="77">
        <v>0.95833333333333337</v>
      </c>
      <c r="J6641">
        <v>57.019999999999996</v>
      </c>
      <c r="M6641" s="74">
        <v>36436</v>
      </c>
      <c r="N6641" s="77">
        <v>0.95833333333333337</v>
      </c>
      <c r="P6641">
        <v>57.2</v>
      </c>
      <c r="S6641" s="74">
        <v>37167</v>
      </c>
      <c r="T6641" s="77">
        <v>0.95833333333333337</v>
      </c>
      <c r="V6641">
        <v>64.039999999999992</v>
      </c>
      <c r="X6641" s="42"/>
      <c r="AB6641">
        <v>61.4</v>
      </c>
      <c r="AC6641">
        <v>57.019999999999996</v>
      </c>
      <c r="AE6641" s="74"/>
      <c r="AF6641" s="77"/>
      <c r="AH6641" s="497">
        <v>55.400000000000006</v>
      </c>
      <c r="AJ6641" s="42"/>
      <c r="AK6641" s="74"/>
      <c r="AL6641" s="77"/>
      <c r="AN6641" s="497">
        <v>64.94</v>
      </c>
      <c r="AP6641" s="42"/>
      <c r="AQ6641" s="74"/>
      <c r="AR6641" s="77"/>
      <c r="AT6641" s="497">
        <v>60.980000000000004</v>
      </c>
      <c r="AV6641" s="42"/>
      <c r="AW6641" s="74"/>
      <c r="AX6641" s="77"/>
      <c r="BA6641" s="497">
        <v>64.039999999999992</v>
      </c>
      <c r="BB6641" s="42"/>
      <c r="BC6641" s="74"/>
      <c r="BD6641" s="77"/>
      <c r="BF6641">
        <v>60.980000000000004</v>
      </c>
      <c r="BH6641" s="42"/>
      <c r="BI6641" s="74"/>
      <c r="BJ6641" s="77"/>
      <c r="BL6641" s="497">
        <v>59</v>
      </c>
      <c r="BN6641" s="42"/>
      <c r="BO6641" s="74"/>
      <c r="BP6641" s="77"/>
      <c r="BR6641" s="497">
        <v>55.040000000000006</v>
      </c>
      <c r="BT6641" s="42"/>
    </row>
    <row r="6642" spans="1:72" x14ac:dyDescent="0.25">
      <c r="A6642" s="90">
        <v>37167</v>
      </c>
      <c r="B6642" s="20">
        <v>1</v>
      </c>
      <c r="D6642">
        <v>69.98</v>
      </c>
      <c r="E6642" t="str">
        <f t="shared" si="242"/>
        <v>WEEKDAY</v>
      </c>
      <c r="F6642" t="e">
        <f t="shared" si="243"/>
        <v>#N/A</v>
      </c>
      <c r="G6642" s="74">
        <v>29497</v>
      </c>
      <c r="H6642" s="77">
        <v>1</v>
      </c>
      <c r="J6642">
        <v>57.019999999999996</v>
      </c>
      <c r="M6642" s="74">
        <v>36436</v>
      </c>
      <c r="N6642" s="80">
        <v>1</v>
      </c>
      <c r="P6642">
        <v>59</v>
      </c>
      <c r="S6642" s="74">
        <v>37167</v>
      </c>
      <c r="T6642" s="80">
        <v>1</v>
      </c>
      <c r="V6642">
        <v>64.039999999999992</v>
      </c>
      <c r="X6642" s="42"/>
      <c r="AB6642">
        <v>60.8</v>
      </c>
      <c r="AC6642">
        <v>53.96</v>
      </c>
      <c r="AE6642" s="74"/>
      <c r="AF6642" s="80"/>
      <c r="AH6642" s="497">
        <v>53.6</v>
      </c>
      <c r="AJ6642" s="42"/>
      <c r="AK6642" s="74"/>
      <c r="AL6642" s="80"/>
      <c r="AN6642" s="497">
        <v>64.94</v>
      </c>
      <c r="AP6642" s="42"/>
      <c r="AQ6642" s="74"/>
      <c r="AR6642" s="80"/>
      <c r="AT6642" s="497">
        <v>62.06</v>
      </c>
      <c r="AV6642" s="42"/>
      <c r="AW6642" s="74"/>
      <c r="AX6642" s="80"/>
      <c r="BA6642" s="497">
        <v>64.039999999999992</v>
      </c>
      <c r="BB6642" s="42"/>
      <c r="BC6642" s="74"/>
      <c r="BD6642" s="80"/>
      <c r="BF6642">
        <v>60.980000000000004</v>
      </c>
      <c r="BH6642" s="42"/>
      <c r="BI6642" s="74"/>
      <c r="BJ6642" s="80"/>
      <c r="BL6642" s="497">
        <v>57.92</v>
      </c>
      <c r="BN6642" s="42"/>
      <c r="BO6642" s="74"/>
      <c r="BP6642" s="80"/>
      <c r="BR6642" s="497">
        <v>55.040000000000006</v>
      </c>
      <c r="BT6642" s="42"/>
    </row>
    <row r="6643" spans="1:72" x14ac:dyDescent="0.25">
      <c r="A6643" s="90">
        <v>37168</v>
      </c>
      <c r="B6643" s="20">
        <v>4.1666666666666664E-2</v>
      </c>
      <c r="D6643">
        <v>69.080000000000013</v>
      </c>
      <c r="E6643" t="str">
        <f t="shared" si="242"/>
        <v>WEEKDAY</v>
      </c>
      <c r="F6643" t="e">
        <f t="shared" si="243"/>
        <v>#N/A</v>
      </c>
      <c r="G6643" s="74">
        <v>29498</v>
      </c>
      <c r="H6643" s="77">
        <v>4.1666666666666664E-2</v>
      </c>
      <c r="J6643">
        <v>57.019999999999996</v>
      </c>
      <c r="M6643" s="74">
        <v>36437</v>
      </c>
      <c r="N6643" s="77">
        <v>4.1666666666666664E-2</v>
      </c>
      <c r="P6643">
        <v>57.2</v>
      </c>
      <c r="S6643" s="74">
        <v>37168</v>
      </c>
      <c r="T6643" s="77">
        <v>4.1666666666666664E-2</v>
      </c>
      <c r="V6643">
        <v>62.96</v>
      </c>
      <c r="X6643" s="42"/>
      <c r="AB6643">
        <v>60.2</v>
      </c>
      <c r="AC6643">
        <v>53.06</v>
      </c>
      <c r="AE6643" s="74"/>
      <c r="AF6643" s="77"/>
      <c r="AH6643" s="497">
        <v>51.8</v>
      </c>
      <c r="AJ6643" s="42"/>
      <c r="AK6643" s="74"/>
      <c r="AL6643" s="77"/>
      <c r="AN6643" s="497">
        <v>64.94</v>
      </c>
      <c r="AP6643" s="42"/>
      <c r="AQ6643" s="74"/>
      <c r="AR6643" s="77"/>
      <c r="AT6643" s="497">
        <v>62.06</v>
      </c>
      <c r="AV6643" s="42"/>
      <c r="AW6643" s="74"/>
      <c r="AX6643" s="77"/>
      <c r="BA6643" s="497">
        <v>64.94</v>
      </c>
      <c r="BB6643" s="42"/>
      <c r="BC6643" s="74"/>
      <c r="BD6643" s="77"/>
      <c r="BF6643">
        <v>60.08</v>
      </c>
      <c r="BH6643" s="42"/>
      <c r="BI6643" s="74"/>
      <c r="BJ6643" s="77"/>
      <c r="BL6643" s="497">
        <v>59</v>
      </c>
      <c r="BN6643" s="42"/>
      <c r="BO6643" s="74"/>
      <c r="BP6643" s="77"/>
      <c r="BR6643" s="497">
        <v>55.040000000000006</v>
      </c>
      <c r="BT6643" s="42"/>
    </row>
    <row r="6644" spans="1:72" x14ac:dyDescent="0.25">
      <c r="A6644" s="90">
        <v>37168</v>
      </c>
      <c r="B6644" s="20">
        <v>8.3333333333333329E-2</v>
      </c>
      <c r="D6644">
        <v>69.080000000000013</v>
      </c>
      <c r="E6644" t="str">
        <f t="shared" si="242"/>
        <v>WEEKDAY</v>
      </c>
      <c r="F6644" t="e">
        <f t="shared" si="243"/>
        <v>#N/A</v>
      </c>
      <c r="G6644" s="74">
        <v>29498</v>
      </c>
      <c r="H6644" s="77">
        <v>8.3333333333333329E-2</v>
      </c>
      <c r="J6644">
        <v>56.66</v>
      </c>
      <c r="M6644" s="74">
        <v>36437</v>
      </c>
      <c r="N6644" s="77">
        <v>8.3333333333333329E-2</v>
      </c>
      <c r="P6644">
        <v>58.1</v>
      </c>
      <c r="S6644" s="74">
        <v>37168</v>
      </c>
      <c r="T6644" s="77">
        <v>8.3333333333333329E-2</v>
      </c>
      <c r="V6644">
        <v>62.06</v>
      </c>
      <c r="X6644" s="42"/>
      <c r="AB6644">
        <v>59.6</v>
      </c>
      <c r="AC6644">
        <v>51.980000000000004</v>
      </c>
      <c r="AE6644" s="74"/>
      <c r="AF6644" s="77"/>
      <c r="AH6644" s="497">
        <v>51.8</v>
      </c>
      <c r="AJ6644" s="42"/>
      <c r="AK6644" s="74"/>
      <c r="AL6644" s="77"/>
      <c r="AN6644" s="497">
        <v>64.94</v>
      </c>
      <c r="AP6644" s="42"/>
      <c r="AQ6644" s="74"/>
      <c r="AR6644" s="77"/>
      <c r="AT6644" s="497">
        <v>62.06</v>
      </c>
      <c r="AV6644" s="42"/>
      <c r="AW6644" s="74"/>
      <c r="AX6644" s="77"/>
      <c r="BA6644" s="497">
        <v>64.94</v>
      </c>
      <c r="BB6644" s="42"/>
      <c r="BC6644" s="74"/>
      <c r="BD6644" s="77"/>
      <c r="BF6644">
        <v>53.96</v>
      </c>
      <c r="BH6644" s="42"/>
      <c r="BI6644" s="74"/>
      <c r="BJ6644" s="77"/>
      <c r="BL6644" s="497">
        <v>59</v>
      </c>
      <c r="BN6644" s="42"/>
      <c r="BO6644" s="74"/>
      <c r="BP6644" s="77"/>
      <c r="BR6644" s="497">
        <v>55.040000000000006</v>
      </c>
      <c r="BT6644" s="42"/>
    </row>
    <row r="6645" spans="1:72" x14ac:dyDescent="0.25">
      <c r="A6645" s="90">
        <v>37168</v>
      </c>
      <c r="B6645" s="20">
        <v>0.125</v>
      </c>
      <c r="D6645">
        <v>68</v>
      </c>
      <c r="E6645" t="str">
        <f t="shared" si="242"/>
        <v>WEEKDAY</v>
      </c>
      <c r="F6645" t="e">
        <f t="shared" si="243"/>
        <v>#N/A</v>
      </c>
      <c r="G6645" s="74">
        <v>29498</v>
      </c>
      <c r="H6645" s="77">
        <v>0.125</v>
      </c>
      <c r="J6645">
        <v>56.3</v>
      </c>
      <c r="M6645" s="74">
        <v>36437</v>
      </c>
      <c r="N6645" s="77">
        <v>0.125</v>
      </c>
      <c r="P6645">
        <v>59</v>
      </c>
      <c r="S6645" s="74">
        <v>37168</v>
      </c>
      <c r="T6645" s="77">
        <v>0.125</v>
      </c>
      <c r="V6645">
        <v>60.980000000000004</v>
      </c>
      <c r="X6645" s="42"/>
      <c r="AB6645">
        <v>59</v>
      </c>
      <c r="AC6645">
        <v>51.08</v>
      </c>
      <c r="AE6645" s="74"/>
      <c r="AF6645" s="77"/>
      <c r="AH6645" s="497">
        <v>51.8</v>
      </c>
      <c r="AJ6645" s="42"/>
      <c r="AK6645" s="74"/>
      <c r="AL6645" s="77"/>
      <c r="AN6645" s="497">
        <v>64.94</v>
      </c>
      <c r="AP6645" s="42"/>
      <c r="AQ6645" s="74"/>
      <c r="AR6645" s="77"/>
      <c r="AT6645" s="497">
        <v>62.06</v>
      </c>
      <c r="AV6645" s="42"/>
      <c r="AW6645" s="74"/>
      <c r="AX6645" s="77"/>
      <c r="BA6645" s="497">
        <v>64.94</v>
      </c>
      <c r="BB6645" s="42"/>
      <c r="BC6645" s="74"/>
      <c r="BD6645" s="77"/>
      <c r="BF6645">
        <v>53.06</v>
      </c>
      <c r="BH6645" s="42"/>
      <c r="BI6645" s="74"/>
      <c r="BJ6645" s="77"/>
      <c r="BL6645" s="497">
        <v>60.08</v>
      </c>
      <c r="BN6645" s="42"/>
      <c r="BO6645" s="74"/>
      <c r="BP6645" s="77"/>
      <c r="BR6645" s="497">
        <v>55.040000000000006</v>
      </c>
      <c r="BT6645" s="42"/>
    </row>
    <row r="6646" spans="1:72" x14ac:dyDescent="0.25">
      <c r="A6646" s="90">
        <v>37168</v>
      </c>
      <c r="B6646" s="20">
        <v>0.16666666666666666</v>
      </c>
      <c r="D6646">
        <v>66.92</v>
      </c>
      <c r="E6646" t="str">
        <f t="shared" si="242"/>
        <v>WEEKDAY</v>
      </c>
      <c r="F6646" t="e">
        <f t="shared" si="243"/>
        <v>#N/A</v>
      </c>
      <c r="G6646" s="74">
        <v>29498</v>
      </c>
      <c r="H6646" s="77">
        <v>0.16666666666666666</v>
      </c>
      <c r="J6646">
        <v>55.94</v>
      </c>
      <c r="M6646" s="74">
        <v>36437</v>
      </c>
      <c r="N6646" s="77">
        <v>0.16666666666666666</v>
      </c>
      <c r="P6646">
        <v>57.2</v>
      </c>
      <c r="S6646" s="74">
        <v>37168</v>
      </c>
      <c r="T6646" s="77">
        <v>0.16666666666666666</v>
      </c>
      <c r="V6646">
        <v>60.980000000000004</v>
      </c>
      <c r="X6646" s="42"/>
      <c r="AB6646">
        <v>58.5</v>
      </c>
      <c r="AC6646">
        <v>51.08</v>
      </c>
      <c r="AE6646" s="74"/>
      <c r="AF6646" s="77"/>
      <c r="AH6646" s="497">
        <v>51.8</v>
      </c>
      <c r="AJ6646" s="42"/>
      <c r="AK6646" s="74"/>
      <c r="AL6646" s="77"/>
      <c r="AN6646" s="497">
        <v>64.94</v>
      </c>
      <c r="AP6646" s="42"/>
      <c r="AQ6646" s="74"/>
      <c r="AR6646" s="77"/>
      <c r="AT6646" s="497">
        <v>60.980000000000004</v>
      </c>
      <c r="AV6646" s="42"/>
      <c r="AW6646" s="74"/>
      <c r="AX6646" s="77"/>
      <c r="BA6646" s="497">
        <v>64.039999999999992</v>
      </c>
      <c r="BB6646" s="42"/>
      <c r="BC6646" s="74"/>
      <c r="BD6646" s="77"/>
      <c r="BF6646">
        <v>53.96</v>
      </c>
      <c r="BH6646" s="42"/>
      <c r="BI6646" s="74"/>
      <c r="BJ6646" s="77"/>
      <c r="BL6646" s="497">
        <v>57.019999999999996</v>
      </c>
      <c r="BN6646" s="42"/>
      <c r="BO6646" s="74"/>
      <c r="BP6646" s="77"/>
      <c r="BR6646" s="497">
        <v>53.96</v>
      </c>
      <c r="BT6646" s="42"/>
    </row>
    <row r="6647" spans="1:72" x14ac:dyDescent="0.25">
      <c r="A6647" s="90">
        <v>37168</v>
      </c>
      <c r="B6647" s="20">
        <v>0.20833333333333334</v>
      </c>
      <c r="D6647">
        <v>66.02</v>
      </c>
      <c r="E6647" t="str">
        <f t="shared" si="242"/>
        <v>WEEKDAY</v>
      </c>
      <c r="F6647" t="e">
        <f t="shared" si="243"/>
        <v>#N/A</v>
      </c>
      <c r="G6647" s="74">
        <v>29498</v>
      </c>
      <c r="H6647" s="77">
        <v>0.20833333333333334</v>
      </c>
      <c r="J6647">
        <v>55.58</v>
      </c>
      <c r="M6647" s="74">
        <v>36437</v>
      </c>
      <c r="N6647" s="77">
        <v>0.20833333333333334</v>
      </c>
      <c r="P6647">
        <v>57.2</v>
      </c>
      <c r="S6647" s="74">
        <v>37168</v>
      </c>
      <c r="T6647" s="77">
        <v>0.20833333333333334</v>
      </c>
      <c r="V6647">
        <v>60.08</v>
      </c>
      <c r="X6647" s="42"/>
      <c r="AB6647">
        <v>58.1</v>
      </c>
      <c r="AC6647">
        <v>50</v>
      </c>
      <c r="AE6647" s="74"/>
      <c r="AF6647" s="77"/>
      <c r="AH6647" s="497">
        <v>53.6</v>
      </c>
      <c r="AJ6647" s="42"/>
      <c r="AK6647" s="74"/>
      <c r="AL6647" s="77"/>
      <c r="AN6647" s="497">
        <v>64.039999999999992</v>
      </c>
      <c r="AP6647" s="42"/>
      <c r="AQ6647" s="74"/>
      <c r="AR6647" s="77"/>
      <c r="AT6647" s="497">
        <v>59</v>
      </c>
      <c r="AV6647" s="42"/>
      <c r="AW6647" s="74"/>
      <c r="AX6647" s="77"/>
      <c r="BA6647" s="497">
        <v>62.96</v>
      </c>
      <c r="BB6647" s="42"/>
      <c r="BC6647" s="74"/>
      <c r="BD6647" s="77"/>
      <c r="BF6647">
        <v>53.96</v>
      </c>
      <c r="BH6647" s="42"/>
      <c r="BI6647" s="74"/>
      <c r="BJ6647" s="77"/>
      <c r="BL6647" s="497">
        <v>55.94</v>
      </c>
      <c r="BN6647" s="42"/>
      <c r="BO6647" s="74"/>
      <c r="BP6647" s="77"/>
      <c r="BR6647" s="497">
        <v>55.040000000000006</v>
      </c>
      <c r="BT6647" s="42"/>
    </row>
    <row r="6648" spans="1:72" x14ac:dyDescent="0.25">
      <c r="A6648" s="90">
        <v>37168</v>
      </c>
      <c r="B6648" s="20">
        <v>0.25</v>
      </c>
      <c r="D6648">
        <v>64.94</v>
      </c>
      <c r="E6648" t="str">
        <f t="shared" si="242"/>
        <v>WEEKDAY</v>
      </c>
      <c r="F6648" t="e">
        <f t="shared" si="243"/>
        <v>#N/A</v>
      </c>
      <c r="G6648" s="74">
        <v>29498</v>
      </c>
      <c r="H6648" s="77">
        <v>0.25</v>
      </c>
      <c r="J6648">
        <v>55.400000000000006</v>
      </c>
      <c r="M6648" s="74">
        <v>36437</v>
      </c>
      <c r="N6648" s="77">
        <v>0.25</v>
      </c>
      <c r="P6648">
        <v>59</v>
      </c>
      <c r="S6648" s="74">
        <v>37168</v>
      </c>
      <c r="T6648" s="77">
        <v>0.25</v>
      </c>
      <c r="V6648">
        <v>60.980000000000004</v>
      </c>
      <c r="X6648" s="42"/>
      <c r="AB6648">
        <v>57.8</v>
      </c>
      <c r="AC6648">
        <v>48.92</v>
      </c>
      <c r="AE6648" s="74"/>
      <c r="AF6648" s="77"/>
      <c r="AH6648" s="497">
        <v>53.6</v>
      </c>
      <c r="AJ6648" s="42"/>
      <c r="AK6648" s="74"/>
      <c r="AL6648" s="77"/>
      <c r="AN6648" s="497">
        <v>64.039999999999992</v>
      </c>
      <c r="AP6648" s="42"/>
      <c r="AQ6648" s="74"/>
      <c r="AR6648" s="77"/>
      <c r="AT6648" s="497">
        <v>60.08</v>
      </c>
      <c r="AV6648" s="42"/>
      <c r="AW6648" s="74"/>
      <c r="AX6648" s="77"/>
      <c r="BA6648" s="497">
        <v>60.08</v>
      </c>
      <c r="BB6648" s="42"/>
      <c r="BC6648" s="74"/>
      <c r="BD6648" s="77"/>
      <c r="BF6648">
        <v>53.96</v>
      </c>
      <c r="BH6648" s="42"/>
      <c r="BI6648" s="74"/>
      <c r="BJ6648" s="77"/>
      <c r="BL6648" s="497">
        <v>55.040000000000006</v>
      </c>
      <c r="BN6648" s="42"/>
      <c r="BO6648" s="74"/>
      <c r="BP6648" s="77"/>
      <c r="BR6648" s="497">
        <v>55.040000000000006</v>
      </c>
      <c r="BT6648" s="42"/>
    </row>
    <row r="6649" spans="1:72" x14ac:dyDescent="0.25">
      <c r="A6649" s="90">
        <v>37168</v>
      </c>
      <c r="B6649" s="20">
        <v>0.29166666666666669</v>
      </c>
      <c r="D6649">
        <v>66.02</v>
      </c>
      <c r="E6649" t="str">
        <f t="shared" si="242"/>
        <v>WEEKDAY</v>
      </c>
      <c r="F6649" t="e">
        <f t="shared" si="243"/>
        <v>#N/A</v>
      </c>
      <c r="G6649" s="74">
        <v>29498</v>
      </c>
      <c r="H6649" s="77">
        <v>0.29166666666666669</v>
      </c>
      <c r="J6649">
        <v>55.040000000000006</v>
      </c>
      <c r="M6649" s="74">
        <v>36437</v>
      </c>
      <c r="N6649" s="77">
        <v>0.29166666666666669</v>
      </c>
      <c r="P6649">
        <v>59</v>
      </c>
      <c r="S6649" s="74">
        <v>37168</v>
      </c>
      <c r="T6649" s="77">
        <v>0.29166666666666669</v>
      </c>
      <c r="V6649">
        <v>62.06</v>
      </c>
      <c r="X6649" s="42"/>
      <c r="AB6649">
        <v>57.7</v>
      </c>
      <c r="AC6649">
        <v>55.94</v>
      </c>
      <c r="AE6649" s="74"/>
      <c r="AF6649" s="77"/>
      <c r="AH6649" s="497">
        <v>55.400000000000006</v>
      </c>
      <c r="AJ6649" s="42"/>
      <c r="AK6649" s="74"/>
      <c r="AL6649" s="77"/>
      <c r="AN6649" s="497">
        <v>62.06</v>
      </c>
      <c r="AP6649" s="42"/>
      <c r="AQ6649" s="74"/>
      <c r="AR6649" s="77"/>
      <c r="AT6649" s="497">
        <v>59</v>
      </c>
      <c r="AV6649" s="42"/>
      <c r="AW6649" s="74"/>
      <c r="AX6649" s="77"/>
      <c r="BA6649" s="497">
        <v>59</v>
      </c>
      <c r="BB6649" s="42"/>
      <c r="BC6649" s="74"/>
      <c r="BD6649" s="77"/>
      <c r="BF6649">
        <v>53.96</v>
      </c>
      <c r="BH6649" s="42"/>
      <c r="BI6649" s="74"/>
      <c r="BJ6649" s="77"/>
      <c r="BL6649" s="497">
        <v>55.040000000000006</v>
      </c>
      <c r="BN6649" s="42"/>
      <c r="BO6649" s="74"/>
      <c r="BP6649" s="77"/>
      <c r="BR6649" s="497">
        <v>55.040000000000006</v>
      </c>
      <c r="BT6649" s="42"/>
    </row>
    <row r="6650" spans="1:72" x14ac:dyDescent="0.25">
      <c r="A6650" s="90">
        <v>37168</v>
      </c>
      <c r="B6650" s="20">
        <v>0.33333333333333331</v>
      </c>
      <c r="D6650">
        <v>69.080000000000013</v>
      </c>
      <c r="E6650" t="str">
        <f t="shared" si="242"/>
        <v>WEEKDAY</v>
      </c>
      <c r="F6650" t="e">
        <f t="shared" si="243"/>
        <v>#N/A</v>
      </c>
      <c r="G6650" s="74">
        <v>29498</v>
      </c>
      <c r="H6650" s="77">
        <v>0.33333333333333331</v>
      </c>
      <c r="J6650">
        <v>56.3</v>
      </c>
      <c r="M6650" s="74">
        <v>36437</v>
      </c>
      <c r="N6650" s="77">
        <v>0.33333333333333331</v>
      </c>
      <c r="P6650">
        <v>60.8</v>
      </c>
      <c r="S6650" s="74">
        <v>37168</v>
      </c>
      <c r="T6650" s="77">
        <v>0.33333333333333331</v>
      </c>
      <c r="V6650">
        <v>64.94</v>
      </c>
      <c r="X6650" s="42"/>
      <c r="AB6650">
        <v>59</v>
      </c>
      <c r="AC6650">
        <v>60.980000000000004</v>
      </c>
      <c r="AE6650" s="74"/>
      <c r="AF6650" s="77"/>
      <c r="AH6650" s="497">
        <v>55.400000000000006</v>
      </c>
      <c r="AJ6650" s="42"/>
      <c r="AK6650" s="74"/>
      <c r="AL6650" s="77"/>
      <c r="AN6650" s="497">
        <v>62.06</v>
      </c>
      <c r="AP6650" s="42"/>
      <c r="AQ6650" s="74"/>
      <c r="AR6650" s="77"/>
      <c r="AT6650" s="497">
        <v>64.94</v>
      </c>
      <c r="AV6650" s="42"/>
      <c r="AW6650" s="74"/>
      <c r="AX6650" s="77"/>
      <c r="BA6650" s="497">
        <v>59</v>
      </c>
      <c r="BB6650" s="42"/>
      <c r="BC6650" s="74"/>
      <c r="BD6650" s="77"/>
      <c r="BF6650">
        <v>53.96</v>
      </c>
      <c r="BH6650" s="42"/>
      <c r="BI6650" s="74"/>
      <c r="BJ6650" s="77"/>
      <c r="BL6650" s="497">
        <v>55.94</v>
      </c>
      <c r="BN6650" s="42"/>
      <c r="BO6650" s="74"/>
      <c r="BP6650" s="77"/>
      <c r="BR6650" s="497">
        <v>53.96</v>
      </c>
      <c r="BT6650" s="42"/>
    </row>
    <row r="6651" spans="1:72" x14ac:dyDescent="0.25">
      <c r="A6651" s="90">
        <v>37168</v>
      </c>
      <c r="B6651" s="20">
        <v>0.375</v>
      </c>
      <c r="D6651">
        <v>71.960000000000008</v>
      </c>
      <c r="E6651" t="str">
        <f t="shared" si="242"/>
        <v>WEEKDAY</v>
      </c>
      <c r="F6651" t="e">
        <f t="shared" si="243"/>
        <v>#N/A</v>
      </c>
      <c r="G6651" s="74">
        <v>29498</v>
      </c>
      <c r="H6651" s="77">
        <v>0.375</v>
      </c>
      <c r="J6651">
        <v>57.74</v>
      </c>
      <c r="M6651" s="74">
        <v>36437</v>
      </c>
      <c r="N6651" s="77">
        <v>0.375</v>
      </c>
      <c r="P6651">
        <v>64.400000000000006</v>
      </c>
      <c r="S6651" s="74">
        <v>37168</v>
      </c>
      <c r="T6651" s="77">
        <v>0.375</v>
      </c>
      <c r="V6651">
        <v>66.02</v>
      </c>
      <c r="X6651" s="42"/>
      <c r="AB6651">
        <v>61.2</v>
      </c>
      <c r="AC6651">
        <v>66.02</v>
      </c>
      <c r="AE6651" s="74"/>
      <c r="AF6651" s="77"/>
      <c r="AH6651" s="497">
        <v>55.400000000000006</v>
      </c>
      <c r="AJ6651" s="42"/>
      <c r="AK6651" s="74"/>
      <c r="AL6651" s="77"/>
      <c r="AN6651" s="497">
        <v>60.980000000000004</v>
      </c>
      <c r="AP6651" s="42"/>
      <c r="AQ6651" s="74"/>
      <c r="AR6651" s="77"/>
      <c r="AT6651" s="497">
        <v>66.92</v>
      </c>
      <c r="AV6651" s="42"/>
      <c r="AW6651" s="74"/>
      <c r="AX6651" s="77"/>
      <c r="BA6651" s="497">
        <v>57.92</v>
      </c>
      <c r="BB6651" s="42"/>
      <c r="BC6651" s="74"/>
      <c r="BD6651" s="77"/>
      <c r="BF6651">
        <v>55.94</v>
      </c>
      <c r="BH6651" s="42"/>
      <c r="BI6651" s="74"/>
      <c r="BJ6651" s="77"/>
      <c r="BL6651" s="497">
        <v>57.019999999999996</v>
      </c>
      <c r="BN6651" s="42"/>
      <c r="BO6651" s="74"/>
      <c r="BP6651" s="77"/>
      <c r="BR6651" s="497">
        <v>55.040000000000006</v>
      </c>
      <c r="BT6651" s="42"/>
    </row>
    <row r="6652" spans="1:72" x14ac:dyDescent="0.25">
      <c r="A6652" s="90">
        <v>37168</v>
      </c>
      <c r="B6652" s="20">
        <v>0.41666666666666669</v>
      </c>
      <c r="D6652">
        <v>75.02</v>
      </c>
      <c r="E6652" t="str">
        <f t="shared" si="242"/>
        <v>WEEKDAY</v>
      </c>
      <c r="F6652" t="e">
        <f t="shared" si="243"/>
        <v>#N/A</v>
      </c>
      <c r="G6652" s="74">
        <v>29498</v>
      </c>
      <c r="H6652" s="77">
        <v>0.41666666666666669</v>
      </c>
      <c r="J6652">
        <v>59</v>
      </c>
      <c r="M6652" s="74">
        <v>36437</v>
      </c>
      <c r="N6652" s="77">
        <v>0.41666666666666669</v>
      </c>
      <c r="P6652">
        <v>64.400000000000006</v>
      </c>
      <c r="S6652" s="74">
        <v>37168</v>
      </c>
      <c r="T6652" s="77">
        <v>0.41666666666666669</v>
      </c>
      <c r="V6652">
        <v>69.98</v>
      </c>
      <c r="X6652" s="42"/>
      <c r="AB6652">
        <v>63.2</v>
      </c>
      <c r="AC6652">
        <v>68</v>
      </c>
      <c r="AE6652" s="74"/>
      <c r="AF6652" s="77"/>
      <c r="AH6652" s="497">
        <v>55.400000000000006</v>
      </c>
      <c r="AJ6652" s="42"/>
      <c r="AK6652" s="74"/>
      <c r="AL6652" s="77"/>
      <c r="AN6652" s="497">
        <v>60.980000000000004</v>
      </c>
      <c r="AP6652" s="42"/>
      <c r="AQ6652" s="74"/>
      <c r="AR6652" s="77"/>
      <c r="AT6652" s="497">
        <v>68</v>
      </c>
      <c r="AV6652" s="42"/>
      <c r="AW6652" s="74"/>
      <c r="AX6652" s="77"/>
      <c r="BA6652" s="497">
        <v>57.92</v>
      </c>
      <c r="BB6652" s="42"/>
      <c r="BC6652" s="74"/>
      <c r="BD6652" s="77"/>
      <c r="BF6652">
        <v>57.92</v>
      </c>
      <c r="BH6652" s="42"/>
      <c r="BI6652" s="74"/>
      <c r="BJ6652" s="77"/>
      <c r="BL6652" s="497">
        <v>62.06</v>
      </c>
      <c r="BN6652" s="42"/>
      <c r="BO6652" s="74"/>
      <c r="BP6652" s="77"/>
      <c r="BR6652" s="497">
        <v>55.94</v>
      </c>
      <c r="BT6652" s="42"/>
    </row>
    <row r="6653" spans="1:72" x14ac:dyDescent="0.25">
      <c r="A6653" s="90">
        <v>37168</v>
      </c>
      <c r="B6653" s="20">
        <v>0.45833333333333331</v>
      </c>
      <c r="D6653">
        <v>77</v>
      </c>
      <c r="E6653" t="str">
        <f t="shared" si="242"/>
        <v>WEEKDAY</v>
      </c>
      <c r="F6653" t="e">
        <f t="shared" si="243"/>
        <v>#N/A</v>
      </c>
      <c r="G6653" s="74">
        <v>29498</v>
      </c>
      <c r="H6653" s="77">
        <v>0.45833333333333331</v>
      </c>
      <c r="J6653">
        <v>60.26</v>
      </c>
      <c r="M6653" s="74">
        <v>36437</v>
      </c>
      <c r="N6653" s="77">
        <v>0.45833333333333331</v>
      </c>
      <c r="P6653">
        <v>66.2</v>
      </c>
      <c r="S6653" s="74">
        <v>37168</v>
      </c>
      <c r="T6653" s="77">
        <v>0.45833333333333331</v>
      </c>
      <c r="V6653">
        <v>73.039999999999992</v>
      </c>
      <c r="X6653" s="42"/>
      <c r="AB6653">
        <v>64.8</v>
      </c>
      <c r="AC6653">
        <v>66.92</v>
      </c>
      <c r="AE6653" s="74"/>
      <c r="AF6653" s="77"/>
      <c r="AH6653" s="497">
        <v>55.400000000000006</v>
      </c>
      <c r="AJ6653" s="42"/>
      <c r="AK6653" s="74"/>
      <c r="AL6653" s="77"/>
      <c r="AN6653" s="497">
        <v>62.96</v>
      </c>
      <c r="AP6653" s="42"/>
      <c r="AQ6653" s="74"/>
      <c r="AR6653" s="77"/>
      <c r="AT6653" s="497">
        <v>69.080000000000013</v>
      </c>
      <c r="AV6653" s="42"/>
      <c r="AW6653" s="74"/>
      <c r="AX6653" s="77"/>
      <c r="BA6653" s="497">
        <v>59</v>
      </c>
      <c r="BB6653" s="42"/>
      <c r="BC6653" s="74"/>
      <c r="BD6653" s="77"/>
      <c r="BF6653">
        <v>62.06</v>
      </c>
      <c r="BH6653" s="42"/>
      <c r="BI6653" s="74"/>
      <c r="BJ6653" s="77"/>
      <c r="BL6653" s="497">
        <v>64.94</v>
      </c>
      <c r="BN6653" s="42"/>
      <c r="BO6653" s="74"/>
      <c r="BP6653" s="77"/>
      <c r="BR6653" s="497">
        <v>55.94</v>
      </c>
      <c r="BT6653" s="42"/>
    </row>
    <row r="6654" spans="1:72" x14ac:dyDescent="0.25">
      <c r="A6654" s="90">
        <v>37168</v>
      </c>
      <c r="B6654" s="20">
        <v>0.5</v>
      </c>
      <c r="D6654">
        <v>78.98</v>
      </c>
      <c r="E6654" t="str">
        <f t="shared" si="242"/>
        <v>WEEKDAY</v>
      </c>
      <c r="F6654" t="e">
        <f t="shared" si="243"/>
        <v>#N/A</v>
      </c>
      <c r="G6654" s="74">
        <v>29498</v>
      </c>
      <c r="H6654" s="77">
        <v>0.5</v>
      </c>
      <c r="J6654">
        <v>61.7</v>
      </c>
      <c r="M6654" s="74">
        <v>36437</v>
      </c>
      <c r="N6654" s="77">
        <v>0.5</v>
      </c>
      <c r="P6654">
        <v>66.2</v>
      </c>
      <c r="S6654" s="74">
        <v>37168</v>
      </c>
      <c r="T6654" s="77">
        <v>0.5</v>
      </c>
      <c r="V6654">
        <v>75.92</v>
      </c>
      <c r="X6654" s="42"/>
      <c r="AB6654">
        <v>66.3</v>
      </c>
      <c r="AC6654">
        <v>68</v>
      </c>
      <c r="AE6654" s="74"/>
      <c r="AF6654" s="77"/>
      <c r="AH6654" s="497">
        <v>55.400000000000006</v>
      </c>
      <c r="AJ6654" s="42"/>
      <c r="AK6654" s="74"/>
      <c r="AL6654" s="77"/>
      <c r="AN6654" s="497">
        <v>64.94</v>
      </c>
      <c r="AP6654" s="42"/>
      <c r="AQ6654" s="74"/>
      <c r="AR6654" s="77"/>
      <c r="AT6654" s="497">
        <v>69.98</v>
      </c>
      <c r="AV6654" s="42"/>
      <c r="AW6654" s="74"/>
      <c r="AX6654" s="77"/>
      <c r="BA6654" s="497">
        <v>60.980000000000004</v>
      </c>
      <c r="BB6654" s="42"/>
      <c r="BC6654" s="74"/>
      <c r="BD6654" s="77"/>
      <c r="BF6654">
        <v>55.040000000000006</v>
      </c>
      <c r="BH6654" s="42"/>
      <c r="BI6654" s="74"/>
      <c r="BJ6654" s="77"/>
      <c r="BL6654" s="497">
        <v>66.92</v>
      </c>
      <c r="BN6654" s="42"/>
      <c r="BO6654" s="74"/>
      <c r="BP6654" s="77"/>
      <c r="BR6654" s="497">
        <v>53.96</v>
      </c>
      <c r="BT6654" s="42"/>
    </row>
    <row r="6655" spans="1:72" x14ac:dyDescent="0.25">
      <c r="A6655" s="90">
        <v>37168</v>
      </c>
      <c r="B6655" s="20">
        <v>0.54166666666666663</v>
      </c>
      <c r="D6655">
        <v>80.06</v>
      </c>
      <c r="E6655" t="str">
        <f t="shared" si="242"/>
        <v>WEEKDAY</v>
      </c>
      <c r="F6655" t="e">
        <f t="shared" si="243"/>
        <v>#N/A</v>
      </c>
      <c r="G6655" s="74">
        <v>29498</v>
      </c>
      <c r="H6655" s="77">
        <v>0.54166666666666663</v>
      </c>
      <c r="J6655">
        <v>62.96</v>
      </c>
      <c r="M6655" s="74">
        <v>36437</v>
      </c>
      <c r="N6655" s="77">
        <v>0.54166666666666663</v>
      </c>
      <c r="P6655">
        <v>65.48</v>
      </c>
      <c r="S6655" s="74">
        <v>37168</v>
      </c>
      <c r="T6655" s="77">
        <v>0.54166666666666663</v>
      </c>
      <c r="V6655">
        <v>77</v>
      </c>
      <c r="X6655" s="42"/>
      <c r="AB6655">
        <v>67.3</v>
      </c>
      <c r="AC6655">
        <v>71.06</v>
      </c>
      <c r="AE6655" s="74"/>
      <c r="AF6655" s="77"/>
      <c r="AH6655" s="497">
        <v>55.400000000000006</v>
      </c>
      <c r="AJ6655" s="42"/>
      <c r="AK6655" s="74"/>
      <c r="AL6655" s="77"/>
      <c r="AN6655" s="497">
        <v>62.96</v>
      </c>
      <c r="AP6655" s="42"/>
      <c r="AQ6655" s="74"/>
      <c r="AR6655" s="77"/>
      <c r="AT6655" s="497">
        <v>69.080000000000013</v>
      </c>
      <c r="AV6655" s="42"/>
      <c r="AW6655" s="74"/>
      <c r="AX6655" s="77"/>
      <c r="BA6655" s="497">
        <v>62.06</v>
      </c>
      <c r="BB6655" s="42"/>
      <c r="BC6655" s="74"/>
      <c r="BD6655" s="77"/>
      <c r="BF6655">
        <v>55.040000000000006</v>
      </c>
      <c r="BH6655" s="42"/>
      <c r="BI6655" s="74"/>
      <c r="BJ6655" s="77"/>
      <c r="BL6655" s="497">
        <v>66.02</v>
      </c>
      <c r="BN6655" s="42"/>
      <c r="BO6655" s="74"/>
      <c r="BP6655" s="77"/>
      <c r="BR6655" s="497">
        <v>53.06</v>
      </c>
      <c r="BT6655" s="42"/>
    </row>
    <row r="6656" spans="1:72" x14ac:dyDescent="0.25">
      <c r="A6656" s="90">
        <v>37168</v>
      </c>
      <c r="B6656" s="20">
        <v>0.58333333333333337</v>
      </c>
      <c r="D6656">
        <v>80.960000000000008</v>
      </c>
      <c r="E6656" t="str">
        <f t="shared" si="242"/>
        <v>WEEKDAY</v>
      </c>
      <c r="F6656" t="e">
        <f t="shared" si="243"/>
        <v>#N/A</v>
      </c>
      <c r="G6656" s="74">
        <v>29498</v>
      </c>
      <c r="H6656" s="77">
        <v>0.58333333333333337</v>
      </c>
      <c r="J6656">
        <v>63.319999999999993</v>
      </c>
      <c r="M6656" s="74">
        <v>36437</v>
      </c>
      <c r="N6656" s="77">
        <v>0.58333333333333337</v>
      </c>
      <c r="P6656">
        <v>64.400000000000006</v>
      </c>
      <c r="S6656" s="74">
        <v>37168</v>
      </c>
      <c r="T6656" s="77">
        <v>0.58333333333333337</v>
      </c>
      <c r="V6656">
        <v>75.92</v>
      </c>
      <c r="X6656" s="42"/>
      <c r="AB6656">
        <v>67.599999999999994</v>
      </c>
      <c r="AC6656">
        <v>69.98</v>
      </c>
      <c r="AE6656" s="74"/>
      <c r="AF6656" s="77"/>
      <c r="AH6656" s="497">
        <v>55.400000000000006</v>
      </c>
      <c r="AJ6656" s="42"/>
      <c r="AK6656" s="74"/>
      <c r="AL6656" s="77"/>
      <c r="AN6656" s="497">
        <v>62.06</v>
      </c>
      <c r="AP6656" s="42"/>
      <c r="AQ6656" s="74"/>
      <c r="AR6656" s="77"/>
      <c r="AT6656" s="497">
        <v>68</v>
      </c>
      <c r="AV6656" s="42"/>
      <c r="AW6656" s="74"/>
      <c r="AX6656" s="77"/>
      <c r="BA6656" s="497">
        <v>59</v>
      </c>
      <c r="BB6656" s="42"/>
      <c r="BC6656" s="74"/>
      <c r="BD6656" s="77"/>
      <c r="BF6656">
        <v>57.019999999999996</v>
      </c>
      <c r="BH6656" s="42"/>
      <c r="BI6656" s="74"/>
      <c r="BJ6656" s="77"/>
      <c r="BL6656" s="497">
        <v>60.08</v>
      </c>
      <c r="BN6656" s="42"/>
      <c r="BO6656" s="74"/>
      <c r="BP6656" s="77"/>
      <c r="BR6656" s="497">
        <v>51.980000000000004</v>
      </c>
      <c r="BT6656" s="42"/>
    </row>
    <row r="6657" spans="1:72" x14ac:dyDescent="0.25">
      <c r="A6657" s="90">
        <v>37168</v>
      </c>
      <c r="B6657" s="20">
        <v>0.625</v>
      </c>
      <c r="D6657">
        <v>82.039999999999992</v>
      </c>
      <c r="E6657" t="str">
        <f t="shared" si="242"/>
        <v>WEEKDAY</v>
      </c>
      <c r="F6657" t="e">
        <f t="shared" si="243"/>
        <v>#N/A</v>
      </c>
      <c r="G6657" s="74">
        <v>29498</v>
      </c>
      <c r="H6657" s="77">
        <v>0.625</v>
      </c>
      <c r="J6657">
        <v>63.680000000000007</v>
      </c>
      <c r="M6657" s="74">
        <v>36437</v>
      </c>
      <c r="N6657" s="77">
        <v>0.625</v>
      </c>
      <c r="P6657">
        <v>59</v>
      </c>
      <c r="S6657" s="74">
        <v>37168</v>
      </c>
      <c r="T6657" s="77">
        <v>0.625</v>
      </c>
      <c r="V6657">
        <v>75.02</v>
      </c>
      <c r="X6657" s="42"/>
      <c r="AB6657">
        <v>67.900000000000006</v>
      </c>
      <c r="AC6657">
        <v>69.080000000000013</v>
      </c>
      <c r="AE6657" s="74"/>
      <c r="AF6657" s="77"/>
      <c r="AH6657" s="497">
        <v>57.2</v>
      </c>
      <c r="AJ6657" s="42"/>
      <c r="AK6657" s="74"/>
      <c r="AL6657" s="77"/>
      <c r="AN6657" s="497">
        <v>62.06</v>
      </c>
      <c r="AP6657" s="42"/>
      <c r="AQ6657" s="74"/>
      <c r="AR6657" s="77"/>
      <c r="AT6657" s="497">
        <v>66.02</v>
      </c>
      <c r="AV6657" s="42"/>
      <c r="AW6657" s="74"/>
      <c r="AX6657" s="77"/>
      <c r="BA6657" s="497">
        <v>57.019999999999996</v>
      </c>
      <c r="BB6657" s="42"/>
      <c r="BC6657" s="74"/>
      <c r="BD6657" s="77"/>
      <c r="BF6657">
        <v>60.980000000000004</v>
      </c>
      <c r="BH6657" s="42"/>
      <c r="BI6657" s="74"/>
      <c r="BJ6657" s="77"/>
      <c r="BL6657" s="497">
        <v>60.08</v>
      </c>
      <c r="BN6657" s="42"/>
      <c r="BO6657" s="74"/>
      <c r="BP6657" s="77"/>
      <c r="BR6657" s="497">
        <v>48.92</v>
      </c>
      <c r="BT6657" s="42"/>
    </row>
    <row r="6658" spans="1:72" x14ac:dyDescent="0.25">
      <c r="A6658" s="90">
        <v>37168</v>
      </c>
      <c r="B6658" s="20">
        <v>0.66666666666666663</v>
      </c>
      <c r="D6658">
        <v>80.960000000000008</v>
      </c>
      <c r="E6658" t="str">
        <f t="shared" si="242"/>
        <v>WEEKDAY</v>
      </c>
      <c r="F6658" t="e">
        <f t="shared" si="243"/>
        <v>#N/A</v>
      </c>
      <c r="G6658" s="74">
        <v>29498</v>
      </c>
      <c r="H6658" s="77">
        <v>0.66666666666666663</v>
      </c>
      <c r="J6658">
        <v>64.039999999999992</v>
      </c>
      <c r="M6658" s="74">
        <v>36437</v>
      </c>
      <c r="N6658" s="77">
        <v>0.66666666666666663</v>
      </c>
      <c r="P6658">
        <v>57.2</v>
      </c>
      <c r="S6658" s="74">
        <v>37168</v>
      </c>
      <c r="T6658" s="77">
        <v>0.66666666666666663</v>
      </c>
      <c r="V6658">
        <v>73.039999999999992</v>
      </c>
      <c r="X6658" s="42"/>
      <c r="AB6658">
        <v>67.7</v>
      </c>
      <c r="AC6658">
        <v>69.080000000000013</v>
      </c>
      <c r="AE6658" s="74"/>
      <c r="AF6658" s="77"/>
      <c r="AH6658" s="497">
        <v>57.2</v>
      </c>
      <c r="AJ6658" s="42"/>
      <c r="AK6658" s="74"/>
      <c r="AL6658" s="77"/>
      <c r="AN6658" s="497">
        <v>62.96</v>
      </c>
      <c r="AP6658" s="42"/>
      <c r="AQ6658" s="74"/>
      <c r="AR6658" s="77"/>
      <c r="AT6658" s="497">
        <v>64.039999999999992</v>
      </c>
      <c r="AV6658" s="42"/>
      <c r="AW6658" s="74"/>
      <c r="AX6658" s="77"/>
      <c r="BA6658" s="497">
        <v>57.019999999999996</v>
      </c>
      <c r="BB6658" s="42"/>
      <c r="BC6658" s="74"/>
      <c r="BD6658" s="77"/>
      <c r="BF6658">
        <v>59</v>
      </c>
      <c r="BH6658" s="42"/>
      <c r="BI6658" s="74"/>
      <c r="BJ6658" s="77"/>
      <c r="BL6658" s="497">
        <v>57.92</v>
      </c>
      <c r="BN6658" s="42"/>
      <c r="BO6658" s="74"/>
      <c r="BP6658" s="77"/>
      <c r="BR6658" s="497">
        <v>48.92</v>
      </c>
      <c r="BT6658" s="42"/>
    </row>
    <row r="6659" spans="1:72" x14ac:dyDescent="0.25">
      <c r="A6659" s="90">
        <v>37168</v>
      </c>
      <c r="B6659" s="20">
        <v>0.70833333333333337</v>
      </c>
      <c r="D6659">
        <v>80.06</v>
      </c>
      <c r="E6659" t="str">
        <f t="shared" si="242"/>
        <v>WEEKDAY</v>
      </c>
      <c r="F6659" t="e">
        <f t="shared" si="243"/>
        <v>#N/A</v>
      </c>
      <c r="G6659" s="74">
        <v>29498</v>
      </c>
      <c r="H6659" s="77">
        <v>0.70833333333333337</v>
      </c>
      <c r="J6659">
        <v>62.78</v>
      </c>
      <c r="M6659" s="74">
        <v>36437</v>
      </c>
      <c r="N6659" s="77">
        <v>0.70833333333333337</v>
      </c>
      <c r="P6659">
        <v>55.400000000000006</v>
      </c>
      <c r="S6659" s="74">
        <v>37168</v>
      </c>
      <c r="T6659" s="77">
        <v>0.70833333333333337</v>
      </c>
      <c r="V6659">
        <v>71.06</v>
      </c>
      <c r="X6659" s="42"/>
      <c r="AB6659">
        <v>66.7</v>
      </c>
      <c r="AC6659">
        <v>66.92</v>
      </c>
      <c r="AE6659" s="74"/>
      <c r="AF6659" s="77"/>
      <c r="AH6659" s="497">
        <v>57.2</v>
      </c>
      <c r="AJ6659" s="42"/>
      <c r="AK6659" s="74"/>
      <c r="AL6659" s="77"/>
      <c r="AN6659" s="497">
        <v>64.039999999999992</v>
      </c>
      <c r="AP6659" s="42"/>
      <c r="AQ6659" s="74"/>
      <c r="AR6659" s="77"/>
      <c r="AT6659" s="497">
        <v>60.980000000000004</v>
      </c>
      <c r="AV6659" s="42"/>
      <c r="AW6659" s="74"/>
      <c r="AX6659" s="77"/>
      <c r="BA6659" s="497">
        <v>57.019999999999996</v>
      </c>
      <c r="BB6659" s="42"/>
      <c r="BC6659" s="74"/>
      <c r="BD6659" s="77"/>
      <c r="BF6659">
        <v>55.94</v>
      </c>
      <c r="BH6659" s="42"/>
      <c r="BI6659" s="74"/>
      <c r="BJ6659" s="77"/>
      <c r="BL6659" s="497">
        <v>55.040000000000006</v>
      </c>
      <c r="BN6659" s="42"/>
      <c r="BO6659" s="74"/>
      <c r="BP6659" s="77"/>
      <c r="BR6659" s="497">
        <v>48.019999999999996</v>
      </c>
      <c r="BT6659" s="42"/>
    </row>
    <row r="6660" spans="1:72" x14ac:dyDescent="0.25">
      <c r="A6660" s="90">
        <v>37168</v>
      </c>
      <c r="B6660" s="20">
        <v>0.75</v>
      </c>
      <c r="D6660">
        <v>78.080000000000013</v>
      </c>
      <c r="E6660" t="str">
        <f t="shared" si="242"/>
        <v>WEEKDAY</v>
      </c>
      <c r="F6660" t="e">
        <f t="shared" si="243"/>
        <v>#N/A</v>
      </c>
      <c r="G6660" s="74">
        <v>29498</v>
      </c>
      <c r="H6660" s="77">
        <v>0.75</v>
      </c>
      <c r="J6660">
        <v>61.34</v>
      </c>
      <c r="M6660" s="74">
        <v>36437</v>
      </c>
      <c r="N6660" s="77">
        <v>0.75</v>
      </c>
      <c r="P6660">
        <v>53.06</v>
      </c>
      <c r="S6660" s="74">
        <v>37168</v>
      </c>
      <c r="T6660" s="77">
        <v>0.75</v>
      </c>
      <c r="V6660">
        <v>66.02</v>
      </c>
      <c r="X6660" s="42"/>
      <c r="AB6660">
        <v>65.400000000000006</v>
      </c>
      <c r="AC6660">
        <v>66.02</v>
      </c>
      <c r="AE6660" s="74"/>
      <c r="AF6660" s="77"/>
      <c r="AH6660" s="497">
        <v>57.2</v>
      </c>
      <c r="AJ6660" s="42"/>
      <c r="AK6660" s="74"/>
      <c r="AL6660" s="77"/>
      <c r="AN6660" s="497">
        <v>66.02</v>
      </c>
      <c r="AP6660" s="42"/>
      <c r="AQ6660" s="74"/>
      <c r="AR6660" s="77"/>
      <c r="AT6660" s="497">
        <v>59</v>
      </c>
      <c r="AV6660" s="42"/>
      <c r="AW6660" s="74"/>
      <c r="AX6660" s="77"/>
      <c r="BA6660" s="497">
        <v>55.94</v>
      </c>
      <c r="BB6660" s="42"/>
      <c r="BC6660" s="74"/>
      <c r="BD6660" s="77"/>
      <c r="BF6660">
        <v>53.96</v>
      </c>
      <c r="BH6660" s="42"/>
      <c r="BI6660" s="74"/>
      <c r="BJ6660" s="77"/>
      <c r="BL6660" s="497">
        <v>55.040000000000006</v>
      </c>
      <c r="BN6660" s="42"/>
      <c r="BO6660" s="74"/>
      <c r="BP6660" s="77"/>
      <c r="BR6660" s="497">
        <v>48.019999999999996</v>
      </c>
      <c r="BT6660" s="42"/>
    </row>
    <row r="6661" spans="1:72" x14ac:dyDescent="0.25">
      <c r="A6661" s="90">
        <v>37168</v>
      </c>
      <c r="B6661" s="20">
        <v>0.79166666666666663</v>
      </c>
      <c r="D6661">
        <v>77</v>
      </c>
      <c r="E6661" t="str">
        <f t="shared" si="242"/>
        <v>WEEKDAY</v>
      </c>
      <c r="F6661" t="e">
        <f t="shared" si="243"/>
        <v>#N/A</v>
      </c>
      <c r="G6661" s="74">
        <v>29498</v>
      </c>
      <c r="H6661" s="77">
        <v>0.79166666666666663</v>
      </c>
      <c r="J6661">
        <v>60.08</v>
      </c>
      <c r="M6661" s="74">
        <v>36437</v>
      </c>
      <c r="N6661" s="77">
        <v>0.79166666666666663</v>
      </c>
      <c r="P6661">
        <v>51.8</v>
      </c>
      <c r="S6661" s="74">
        <v>37168</v>
      </c>
      <c r="T6661" s="77">
        <v>0.79166666666666663</v>
      </c>
      <c r="V6661">
        <v>66.92</v>
      </c>
      <c r="X6661" s="42"/>
      <c r="AB6661">
        <v>63.9</v>
      </c>
      <c r="AC6661">
        <v>66.02</v>
      </c>
      <c r="AE6661" s="74"/>
      <c r="AF6661" s="77"/>
      <c r="AH6661" s="497">
        <v>57.2</v>
      </c>
      <c r="AJ6661" s="42"/>
      <c r="AK6661" s="74"/>
      <c r="AL6661" s="77"/>
      <c r="AN6661" s="497">
        <v>64.039999999999992</v>
      </c>
      <c r="AP6661" s="42"/>
      <c r="AQ6661" s="74"/>
      <c r="AR6661" s="77"/>
      <c r="AT6661" s="497">
        <v>57.019999999999996</v>
      </c>
      <c r="AV6661" s="42"/>
      <c r="AW6661" s="74"/>
      <c r="AX6661" s="77"/>
      <c r="BA6661" s="497">
        <v>55.040000000000006</v>
      </c>
      <c r="BB6661" s="42"/>
      <c r="BC6661" s="74"/>
      <c r="BD6661" s="77"/>
      <c r="BF6661">
        <v>55.94</v>
      </c>
      <c r="BH6661" s="42"/>
      <c r="BI6661" s="74"/>
      <c r="BJ6661" s="77"/>
      <c r="BL6661" s="497">
        <v>53.96</v>
      </c>
      <c r="BN6661" s="42"/>
      <c r="BO6661" s="74"/>
      <c r="BP6661" s="77"/>
      <c r="BR6661" s="497">
        <v>46.04</v>
      </c>
      <c r="BT6661" s="42"/>
    </row>
    <row r="6662" spans="1:72" x14ac:dyDescent="0.25">
      <c r="A6662" s="90">
        <v>37168</v>
      </c>
      <c r="B6662" s="20">
        <v>0.83333333333333337</v>
      </c>
      <c r="D6662">
        <v>75.92</v>
      </c>
      <c r="E6662" t="str">
        <f t="shared" si="242"/>
        <v>WEEKDAY</v>
      </c>
      <c r="F6662" t="e">
        <f t="shared" si="243"/>
        <v>#N/A</v>
      </c>
      <c r="G6662" s="74">
        <v>29498</v>
      </c>
      <c r="H6662" s="77">
        <v>0.83333333333333337</v>
      </c>
      <c r="J6662">
        <v>58.64</v>
      </c>
      <c r="M6662" s="74">
        <v>36437</v>
      </c>
      <c r="N6662" s="77">
        <v>0.83333333333333337</v>
      </c>
      <c r="P6662">
        <v>51.8</v>
      </c>
      <c r="S6662" s="74">
        <v>37168</v>
      </c>
      <c r="T6662" s="77">
        <v>0.83333333333333337</v>
      </c>
      <c r="V6662">
        <v>66.02</v>
      </c>
      <c r="X6662" s="42"/>
      <c r="AB6662">
        <v>62.9</v>
      </c>
      <c r="AC6662">
        <v>64.94</v>
      </c>
      <c r="AE6662" s="74"/>
      <c r="AF6662" s="77"/>
      <c r="AH6662" s="497">
        <v>57.2</v>
      </c>
      <c r="AJ6662" s="42"/>
      <c r="AK6662" s="74"/>
      <c r="AL6662" s="77"/>
      <c r="AN6662" s="497">
        <v>59</v>
      </c>
      <c r="AP6662" s="42"/>
      <c r="AQ6662" s="74"/>
      <c r="AR6662" s="77"/>
      <c r="AT6662" s="497">
        <v>55.94</v>
      </c>
      <c r="AV6662" s="42"/>
      <c r="AW6662" s="74"/>
      <c r="AX6662" s="77"/>
      <c r="BA6662" s="497">
        <v>53.96</v>
      </c>
      <c r="BB6662" s="42"/>
      <c r="BC6662" s="74"/>
      <c r="BD6662" s="77"/>
      <c r="BF6662">
        <v>53.96</v>
      </c>
      <c r="BH6662" s="42"/>
      <c r="BI6662" s="74"/>
      <c r="BJ6662" s="77"/>
      <c r="BL6662" s="497">
        <v>55.040000000000006</v>
      </c>
      <c r="BN6662" s="42"/>
      <c r="BO6662" s="74"/>
      <c r="BP6662" s="77"/>
      <c r="BR6662" s="497">
        <v>46.04</v>
      </c>
      <c r="BT6662" s="42"/>
    </row>
    <row r="6663" spans="1:72" x14ac:dyDescent="0.25">
      <c r="A6663" s="90">
        <v>37168</v>
      </c>
      <c r="B6663" s="20">
        <v>0.875</v>
      </c>
      <c r="D6663">
        <v>73.94</v>
      </c>
      <c r="E6663" t="str">
        <f t="shared" si="242"/>
        <v>WEEKDAY</v>
      </c>
      <c r="F6663" t="e">
        <f t="shared" si="243"/>
        <v>#N/A</v>
      </c>
      <c r="G6663" s="74">
        <v>29498</v>
      </c>
      <c r="H6663" s="77">
        <v>0.875</v>
      </c>
      <c r="J6663">
        <v>57.379999999999995</v>
      </c>
      <c r="M6663" s="74">
        <v>36437</v>
      </c>
      <c r="N6663" s="77">
        <v>0.875</v>
      </c>
      <c r="P6663">
        <v>51.8</v>
      </c>
      <c r="S6663" s="74">
        <v>37168</v>
      </c>
      <c r="T6663" s="77">
        <v>0.875</v>
      </c>
      <c r="V6663">
        <v>62.96</v>
      </c>
      <c r="X6663" s="42"/>
      <c r="AB6663">
        <v>62.3</v>
      </c>
      <c r="AC6663">
        <v>64.94</v>
      </c>
      <c r="AE6663" s="74"/>
      <c r="AF6663" s="77"/>
      <c r="AH6663" s="497">
        <v>59</v>
      </c>
      <c r="AJ6663" s="42"/>
      <c r="AK6663" s="74"/>
      <c r="AL6663" s="77"/>
      <c r="AN6663" s="497">
        <v>57.019999999999996</v>
      </c>
      <c r="AP6663" s="42"/>
      <c r="AQ6663" s="74"/>
      <c r="AR6663" s="77"/>
      <c r="AT6663" s="497">
        <v>53.96</v>
      </c>
      <c r="AV6663" s="42"/>
      <c r="AW6663" s="74"/>
      <c r="AX6663" s="77"/>
      <c r="BA6663" s="497">
        <v>50</v>
      </c>
      <c r="BB6663" s="42"/>
      <c r="BC6663" s="74"/>
      <c r="BD6663" s="77"/>
      <c r="BF6663">
        <v>53.06</v>
      </c>
      <c r="BH6663" s="42"/>
      <c r="BI6663" s="74"/>
      <c r="BJ6663" s="77"/>
      <c r="BL6663" s="497">
        <v>53.06</v>
      </c>
      <c r="BN6663" s="42"/>
      <c r="BO6663" s="74"/>
      <c r="BP6663" s="77"/>
      <c r="BR6663" s="497">
        <v>46.04</v>
      </c>
      <c r="BT6663" s="42"/>
    </row>
    <row r="6664" spans="1:72" x14ac:dyDescent="0.25">
      <c r="A6664" s="90">
        <v>37168</v>
      </c>
      <c r="B6664" s="20">
        <v>0.91666666666666663</v>
      </c>
      <c r="D6664">
        <v>73.94</v>
      </c>
      <c r="E6664" t="str">
        <f t="shared" si="242"/>
        <v>WEEKDAY</v>
      </c>
      <c r="F6664" t="e">
        <f t="shared" si="243"/>
        <v>#N/A</v>
      </c>
      <c r="G6664" s="74">
        <v>29498</v>
      </c>
      <c r="H6664" s="77">
        <v>0.91666666666666663</v>
      </c>
      <c r="J6664">
        <v>55.94</v>
      </c>
      <c r="M6664" s="74">
        <v>36437</v>
      </c>
      <c r="N6664" s="77">
        <v>0.91666666666666663</v>
      </c>
      <c r="P6664">
        <v>50</v>
      </c>
      <c r="S6664" s="74">
        <v>37168</v>
      </c>
      <c r="T6664" s="77">
        <v>0.91666666666666663</v>
      </c>
      <c r="V6664">
        <v>62.06</v>
      </c>
      <c r="X6664" s="42"/>
      <c r="AB6664">
        <v>61.7</v>
      </c>
      <c r="AC6664">
        <v>64.94</v>
      </c>
      <c r="AE6664" s="74"/>
      <c r="AF6664" s="77"/>
      <c r="AH6664" s="497">
        <v>62.6</v>
      </c>
      <c r="AJ6664" s="42"/>
      <c r="AK6664" s="74"/>
      <c r="AL6664" s="77"/>
      <c r="AN6664" s="497">
        <v>55.040000000000006</v>
      </c>
      <c r="AP6664" s="42"/>
      <c r="AQ6664" s="74"/>
      <c r="AR6664" s="77"/>
      <c r="AT6664" s="497">
        <v>53.96</v>
      </c>
      <c r="AV6664" s="42"/>
      <c r="AW6664" s="74"/>
      <c r="AX6664" s="77"/>
      <c r="BA6664" s="497">
        <v>48.92</v>
      </c>
      <c r="BB6664" s="42"/>
      <c r="BC6664" s="74"/>
      <c r="BD6664" s="77"/>
      <c r="BF6664">
        <v>53.96</v>
      </c>
      <c r="BH6664" s="42"/>
      <c r="BI6664" s="74"/>
      <c r="BJ6664" s="77"/>
      <c r="BL6664" s="497">
        <v>51.980000000000004</v>
      </c>
      <c r="BN6664" s="42"/>
      <c r="BO6664" s="74"/>
      <c r="BP6664" s="77"/>
      <c r="BR6664" s="497">
        <v>44.96</v>
      </c>
      <c r="BT6664" s="42"/>
    </row>
    <row r="6665" spans="1:72" x14ac:dyDescent="0.25">
      <c r="A6665" s="90">
        <v>37168</v>
      </c>
      <c r="B6665" s="20">
        <v>0.95833333333333337</v>
      </c>
      <c r="D6665">
        <v>71.06</v>
      </c>
      <c r="E6665" t="str">
        <f t="shared" si="242"/>
        <v>WEEKDAY</v>
      </c>
      <c r="F6665" t="e">
        <f t="shared" si="243"/>
        <v>#N/A</v>
      </c>
      <c r="G6665" s="74">
        <v>29498</v>
      </c>
      <c r="H6665" s="77">
        <v>0.95833333333333337</v>
      </c>
      <c r="J6665">
        <v>55.58</v>
      </c>
      <c r="M6665" s="74">
        <v>36437</v>
      </c>
      <c r="N6665" s="77">
        <v>0.95833333333333337</v>
      </c>
      <c r="P6665">
        <v>48.2</v>
      </c>
      <c r="S6665" s="74">
        <v>37168</v>
      </c>
      <c r="T6665" s="77">
        <v>0.95833333333333337</v>
      </c>
      <c r="V6665">
        <v>64.039999999999992</v>
      </c>
      <c r="X6665" s="42"/>
      <c r="AB6665">
        <v>61</v>
      </c>
      <c r="AC6665">
        <v>64.039999999999992</v>
      </c>
      <c r="AE6665" s="74"/>
      <c r="AF6665" s="77"/>
      <c r="AH6665" s="497">
        <v>71.599999999999994</v>
      </c>
      <c r="AJ6665" s="42"/>
      <c r="AK6665" s="74"/>
      <c r="AL6665" s="77"/>
      <c r="AN6665" s="497">
        <v>53.96</v>
      </c>
      <c r="AP6665" s="42"/>
      <c r="AQ6665" s="74"/>
      <c r="AR6665" s="77"/>
      <c r="AT6665" s="497">
        <v>53.96</v>
      </c>
      <c r="AV6665" s="42"/>
      <c r="AW6665" s="74"/>
      <c r="AX6665" s="77"/>
      <c r="BA6665" s="497">
        <v>48.019999999999996</v>
      </c>
      <c r="BB6665" s="42"/>
      <c r="BC6665" s="74"/>
      <c r="BD6665" s="77"/>
      <c r="BF6665">
        <v>53.96</v>
      </c>
      <c r="BH6665" s="42"/>
      <c r="BI6665" s="74"/>
      <c r="BJ6665" s="77"/>
      <c r="BL6665" s="497">
        <v>51.980000000000004</v>
      </c>
      <c r="BN6665" s="42"/>
      <c r="BO6665" s="74"/>
      <c r="BP6665" s="77"/>
      <c r="BR6665" s="497">
        <v>44.96</v>
      </c>
      <c r="BT6665" s="42"/>
    </row>
    <row r="6666" spans="1:72" x14ac:dyDescent="0.25">
      <c r="A6666" s="90">
        <v>37168</v>
      </c>
      <c r="B6666" s="20">
        <v>1</v>
      </c>
      <c r="D6666">
        <v>69.98</v>
      </c>
      <c r="E6666" t="str">
        <f t="shared" si="242"/>
        <v>WEEKDAY</v>
      </c>
      <c r="F6666" t="e">
        <f t="shared" si="243"/>
        <v>#N/A</v>
      </c>
      <c r="G6666" s="74">
        <v>29498</v>
      </c>
      <c r="H6666" s="77">
        <v>1</v>
      </c>
      <c r="J6666">
        <v>55.400000000000006</v>
      </c>
      <c r="M6666" s="74">
        <v>36437</v>
      </c>
      <c r="N6666" s="80">
        <v>1</v>
      </c>
      <c r="P6666">
        <v>46.4</v>
      </c>
      <c r="S6666" s="74">
        <v>37168</v>
      </c>
      <c r="T6666" s="80">
        <v>1</v>
      </c>
      <c r="V6666">
        <v>62.96</v>
      </c>
      <c r="X6666" s="42"/>
      <c r="AB6666">
        <v>60.3</v>
      </c>
      <c r="AC6666">
        <v>62.96</v>
      </c>
      <c r="AE6666" s="74"/>
      <c r="AF6666" s="80"/>
      <c r="AH6666" s="497">
        <v>71.599999999999994</v>
      </c>
      <c r="AJ6666" s="42"/>
      <c r="AK6666" s="74"/>
      <c r="AL6666" s="80"/>
      <c r="AN6666" s="497">
        <v>51.980000000000004</v>
      </c>
      <c r="AP6666" s="42"/>
      <c r="AQ6666" s="74"/>
      <c r="AR6666" s="80"/>
      <c r="AT6666" s="497">
        <v>53.06</v>
      </c>
      <c r="AV6666" s="42"/>
      <c r="AW6666" s="74"/>
      <c r="AX6666" s="80"/>
      <c r="BA6666" s="497">
        <v>48.019999999999996</v>
      </c>
      <c r="BB6666" s="42"/>
      <c r="BC6666" s="74"/>
      <c r="BD6666" s="80"/>
      <c r="BF6666">
        <v>53.06</v>
      </c>
      <c r="BH6666" s="42"/>
      <c r="BI6666" s="74"/>
      <c r="BJ6666" s="80"/>
      <c r="BL6666" s="497">
        <v>51.980000000000004</v>
      </c>
      <c r="BN6666" s="42"/>
      <c r="BO6666" s="74"/>
      <c r="BP6666" s="80"/>
      <c r="BR6666" s="497">
        <v>44.06</v>
      </c>
      <c r="BT6666" s="42"/>
    </row>
    <row r="6667" spans="1:72" x14ac:dyDescent="0.25">
      <c r="A6667" s="90">
        <v>37169</v>
      </c>
      <c r="B6667" s="20">
        <v>4.1666666666666664E-2</v>
      </c>
      <c r="D6667">
        <v>71.06</v>
      </c>
      <c r="E6667" t="str">
        <f t="shared" si="242"/>
        <v>WEEKDAY</v>
      </c>
      <c r="F6667" t="e">
        <f t="shared" si="243"/>
        <v>#N/A</v>
      </c>
      <c r="G6667" s="74">
        <v>29499</v>
      </c>
      <c r="H6667" s="77">
        <v>4.1666666666666664E-2</v>
      </c>
      <c r="J6667">
        <v>55.040000000000006</v>
      </c>
      <c r="M6667" s="74">
        <v>36438</v>
      </c>
      <c r="N6667" s="77">
        <v>4.1666666666666664E-2</v>
      </c>
      <c r="P6667">
        <v>46.4</v>
      </c>
      <c r="S6667" s="74">
        <v>37169</v>
      </c>
      <c r="T6667" s="77">
        <v>4.1666666666666664E-2</v>
      </c>
      <c r="V6667">
        <v>62.06</v>
      </c>
      <c r="X6667" s="42"/>
      <c r="AB6667">
        <v>59.7</v>
      </c>
      <c r="AC6667">
        <v>62.06</v>
      </c>
      <c r="AE6667" s="74"/>
      <c r="AF6667" s="77"/>
      <c r="AH6667" s="497">
        <v>73.400000000000006</v>
      </c>
      <c r="AJ6667" s="42"/>
      <c r="AK6667" s="74"/>
      <c r="AL6667" s="77"/>
      <c r="AN6667" s="497">
        <v>51.08</v>
      </c>
      <c r="AP6667" s="42"/>
      <c r="AQ6667" s="74"/>
      <c r="AR6667" s="77"/>
      <c r="AT6667" s="497">
        <v>53.06</v>
      </c>
      <c r="AV6667" s="42"/>
      <c r="AW6667" s="74"/>
      <c r="AX6667" s="77"/>
      <c r="BA6667" s="497">
        <v>48.019999999999996</v>
      </c>
      <c r="BB6667" s="42"/>
      <c r="BC6667" s="74"/>
      <c r="BD6667" s="77"/>
      <c r="BF6667">
        <v>55.040000000000006</v>
      </c>
      <c r="BH6667" s="42"/>
      <c r="BI6667" s="74"/>
      <c r="BJ6667" s="77"/>
      <c r="BL6667" s="497">
        <v>51.980000000000004</v>
      </c>
      <c r="BN6667" s="42"/>
      <c r="BO6667" s="74"/>
      <c r="BP6667" s="77"/>
      <c r="BR6667" s="497">
        <v>44.06</v>
      </c>
      <c r="BT6667" s="42"/>
    </row>
    <row r="6668" spans="1:72" x14ac:dyDescent="0.25">
      <c r="A6668" s="90">
        <v>37169</v>
      </c>
      <c r="B6668" s="20">
        <v>8.3333333333333329E-2</v>
      </c>
      <c r="D6668">
        <v>69.080000000000013</v>
      </c>
      <c r="E6668" t="str">
        <f t="shared" si="242"/>
        <v>WEEKDAY</v>
      </c>
      <c r="F6668" t="e">
        <f t="shared" si="243"/>
        <v>#N/A</v>
      </c>
      <c r="G6668" s="74">
        <v>29499</v>
      </c>
      <c r="H6668" s="77">
        <v>8.3333333333333329E-2</v>
      </c>
      <c r="J6668">
        <v>54.68</v>
      </c>
      <c r="M6668" s="74">
        <v>36438</v>
      </c>
      <c r="N6668" s="77">
        <v>8.3333333333333329E-2</v>
      </c>
      <c r="P6668">
        <v>46.4</v>
      </c>
      <c r="S6668" s="74">
        <v>37169</v>
      </c>
      <c r="T6668" s="77">
        <v>8.3333333333333329E-2</v>
      </c>
      <c r="V6668">
        <v>62.06</v>
      </c>
      <c r="X6668" s="42"/>
      <c r="AB6668">
        <v>59.1</v>
      </c>
      <c r="AC6668">
        <v>60.980000000000004</v>
      </c>
      <c r="AE6668" s="74"/>
      <c r="AF6668" s="77"/>
      <c r="AH6668" s="497">
        <v>71.599999999999994</v>
      </c>
      <c r="AJ6668" s="42"/>
      <c r="AK6668" s="74"/>
      <c r="AL6668" s="77"/>
      <c r="AN6668" s="497">
        <v>50</v>
      </c>
      <c r="AP6668" s="42"/>
      <c r="AQ6668" s="74"/>
      <c r="AR6668" s="77"/>
      <c r="AT6668" s="497">
        <v>51.08</v>
      </c>
      <c r="AV6668" s="42"/>
      <c r="AW6668" s="74"/>
      <c r="AX6668" s="77"/>
      <c r="BA6668" s="497">
        <v>48.019999999999996</v>
      </c>
      <c r="BB6668" s="42"/>
      <c r="BC6668" s="74"/>
      <c r="BD6668" s="77"/>
      <c r="BF6668">
        <v>53.96</v>
      </c>
      <c r="BH6668" s="42"/>
      <c r="BI6668" s="74"/>
      <c r="BJ6668" s="77"/>
      <c r="BL6668" s="497">
        <v>51.980000000000004</v>
      </c>
      <c r="BN6668" s="42"/>
      <c r="BO6668" s="74"/>
      <c r="BP6668" s="77"/>
      <c r="BR6668" s="497">
        <v>44.06</v>
      </c>
      <c r="BT6668" s="42"/>
    </row>
    <row r="6669" spans="1:72" x14ac:dyDescent="0.25">
      <c r="A6669" s="90">
        <v>37169</v>
      </c>
      <c r="B6669" s="20">
        <v>0.125</v>
      </c>
      <c r="D6669">
        <v>66.92</v>
      </c>
      <c r="E6669" t="str">
        <f t="shared" si="242"/>
        <v>WEEKDAY</v>
      </c>
      <c r="F6669" t="e">
        <f t="shared" si="243"/>
        <v>#N/A</v>
      </c>
      <c r="G6669" s="74">
        <v>29499</v>
      </c>
      <c r="H6669" s="77">
        <v>0.125</v>
      </c>
      <c r="J6669">
        <v>54.32</v>
      </c>
      <c r="M6669" s="74">
        <v>36438</v>
      </c>
      <c r="N6669" s="77">
        <v>0.125</v>
      </c>
      <c r="P6669">
        <v>45.68</v>
      </c>
      <c r="S6669" s="74">
        <v>37169</v>
      </c>
      <c r="T6669" s="77">
        <v>0.125</v>
      </c>
      <c r="V6669">
        <v>60.980000000000004</v>
      </c>
      <c r="X6669" s="42"/>
      <c r="AB6669">
        <v>58.5</v>
      </c>
      <c r="AC6669">
        <v>60.980000000000004</v>
      </c>
      <c r="AE6669" s="74"/>
      <c r="AF6669" s="77"/>
      <c r="AH6669" s="497">
        <v>71.599999999999994</v>
      </c>
      <c r="AJ6669" s="42"/>
      <c r="AK6669" s="74"/>
      <c r="AL6669" s="77"/>
      <c r="AN6669" s="497">
        <v>50</v>
      </c>
      <c r="AP6669" s="42"/>
      <c r="AQ6669" s="74"/>
      <c r="AR6669" s="77"/>
      <c r="AT6669" s="497">
        <v>50</v>
      </c>
      <c r="AV6669" s="42"/>
      <c r="AW6669" s="74"/>
      <c r="AX6669" s="77"/>
      <c r="BA6669" s="497">
        <v>48.019999999999996</v>
      </c>
      <c r="BB6669" s="42"/>
      <c r="BC6669" s="74"/>
      <c r="BD6669" s="77"/>
      <c r="BF6669">
        <v>51.980000000000004</v>
      </c>
      <c r="BH6669" s="42"/>
      <c r="BI6669" s="74"/>
      <c r="BJ6669" s="77"/>
      <c r="BL6669" s="497">
        <v>51.08</v>
      </c>
      <c r="BN6669" s="42"/>
      <c r="BO6669" s="74"/>
      <c r="BP6669" s="77"/>
      <c r="BR6669" s="497">
        <v>42.980000000000004</v>
      </c>
      <c r="BT6669" s="42"/>
    </row>
    <row r="6670" spans="1:72" x14ac:dyDescent="0.25">
      <c r="A6670" s="90">
        <v>37169</v>
      </c>
      <c r="B6670" s="20">
        <v>0.16666666666666666</v>
      </c>
      <c r="D6670">
        <v>66.92</v>
      </c>
      <c r="E6670" t="str">
        <f t="shared" si="242"/>
        <v>WEEKDAY</v>
      </c>
      <c r="F6670" t="e">
        <f t="shared" si="243"/>
        <v>#N/A</v>
      </c>
      <c r="G6670" s="74">
        <v>29499</v>
      </c>
      <c r="H6670" s="77">
        <v>0.16666666666666666</v>
      </c>
      <c r="J6670">
        <v>53.96</v>
      </c>
      <c r="M6670" s="74">
        <v>36438</v>
      </c>
      <c r="N6670" s="77">
        <v>0.16666666666666666</v>
      </c>
      <c r="P6670">
        <v>44.6</v>
      </c>
      <c r="S6670" s="74">
        <v>37169</v>
      </c>
      <c r="T6670" s="77">
        <v>0.16666666666666666</v>
      </c>
      <c r="V6670">
        <v>60.08</v>
      </c>
      <c r="X6670" s="42"/>
      <c r="AB6670">
        <v>58</v>
      </c>
      <c r="AC6670">
        <v>57.92</v>
      </c>
      <c r="AE6670" s="74"/>
      <c r="AF6670" s="77"/>
      <c r="AH6670" s="497">
        <v>71.599999999999994</v>
      </c>
      <c r="AJ6670" s="42"/>
      <c r="AK6670" s="74"/>
      <c r="AL6670" s="77"/>
      <c r="AN6670" s="497">
        <v>50</v>
      </c>
      <c r="AP6670" s="42"/>
      <c r="AQ6670" s="74"/>
      <c r="AR6670" s="77"/>
      <c r="AT6670" s="497">
        <v>51.08</v>
      </c>
      <c r="AV6670" s="42"/>
      <c r="AW6670" s="74"/>
      <c r="AX6670" s="77"/>
      <c r="BA6670" s="497">
        <v>46.94</v>
      </c>
      <c r="BB6670" s="42"/>
      <c r="BC6670" s="74"/>
      <c r="BD6670" s="77"/>
      <c r="BF6670">
        <v>50</v>
      </c>
      <c r="BH6670" s="42"/>
      <c r="BI6670" s="74"/>
      <c r="BJ6670" s="77"/>
      <c r="BL6670" s="497">
        <v>51.08</v>
      </c>
      <c r="BN6670" s="42"/>
      <c r="BO6670" s="74"/>
      <c r="BP6670" s="77"/>
      <c r="BR6670" s="497">
        <v>42.980000000000004</v>
      </c>
      <c r="BT6670" s="42"/>
    </row>
    <row r="6671" spans="1:72" x14ac:dyDescent="0.25">
      <c r="A6671" s="90">
        <v>37169</v>
      </c>
      <c r="B6671" s="20">
        <v>0.20833333333333334</v>
      </c>
      <c r="D6671">
        <v>64.94</v>
      </c>
      <c r="E6671" t="str">
        <f t="shared" si="242"/>
        <v>WEEKDAY</v>
      </c>
      <c r="F6671" t="e">
        <f t="shared" si="243"/>
        <v>#N/A</v>
      </c>
      <c r="G6671" s="74">
        <v>29499</v>
      </c>
      <c r="H6671" s="77">
        <v>0.20833333333333334</v>
      </c>
      <c r="J6671">
        <v>53.96</v>
      </c>
      <c r="M6671" s="74">
        <v>36438</v>
      </c>
      <c r="N6671" s="77">
        <v>0.20833333333333334</v>
      </c>
      <c r="P6671">
        <v>44.6</v>
      </c>
      <c r="S6671" s="74">
        <v>37169</v>
      </c>
      <c r="T6671" s="77">
        <v>0.20833333333333334</v>
      </c>
      <c r="V6671">
        <v>60.08</v>
      </c>
      <c r="X6671" s="42"/>
      <c r="AB6671">
        <v>57.5</v>
      </c>
      <c r="AC6671">
        <v>57.92</v>
      </c>
      <c r="AE6671" s="74"/>
      <c r="AF6671" s="77"/>
      <c r="AH6671" s="497">
        <v>71.599999999999994</v>
      </c>
      <c r="AJ6671" s="42"/>
      <c r="AK6671" s="74"/>
      <c r="AL6671" s="77"/>
      <c r="AN6671" s="497">
        <v>48.92</v>
      </c>
      <c r="AP6671" s="42"/>
      <c r="AQ6671" s="74"/>
      <c r="AR6671" s="77"/>
      <c r="AT6671" s="497">
        <v>51.08</v>
      </c>
      <c r="AV6671" s="42"/>
      <c r="AW6671" s="74"/>
      <c r="AX6671" s="77"/>
      <c r="BA6671" s="497">
        <v>46.94</v>
      </c>
      <c r="BB6671" s="42"/>
      <c r="BC6671" s="74"/>
      <c r="BD6671" s="77"/>
      <c r="BF6671">
        <v>48.019999999999996</v>
      </c>
      <c r="BH6671" s="42"/>
      <c r="BI6671" s="74"/>
      <c r="BJ6671" s="77"/>
      <c r="BL6671" s="497">
        <v>51.08</v>
      </c>
      <c r="BN6671" s="42"/>
      <c r="BO6671" s="74"/>
      <c r="BP6671" s="77"/>
      <c r="BR6671" s="497">
        <v>42.980000000000004</v>
      </c>
      <c r="BT6671" s="42"/>
    </row>
    <row r="6672" spans="1:72" x14ac:dyDescent="0.25">
      <c r="A6672" s="90">
        <v>37169</v>
      </c>
      <c r="B6672" s="20">
        <v>0.25</v>
      </c>
      <c r="D6672">
        <v>64.94</v>
      </c>
      <c r="E6672" t="str">
        <f t="shared" si="242"/>
        <v>WEEKDAY</v>
      </c>
      <c r="F6672" t="e">
        <f t="shared" si="243"/>
        <v>#N/A</v>
      </c>
      <c r="G6672" s="74">
        <v>29499</v>
      </c>
      <c r="H6672" s="77">
        <v>0.25</v>
      </c>
      <c r="J6672">
        <v>53.96</v>
      </c>
      <c r="M6672" s="74">
        <v>36438</v>
      </c>
      <c r="N6672" s="77">
        <v>0.25</v>
      </c>
      <c r="P6672">
        <v>44.6</v>
      </c>
      <c r="S6672" s="74">
        <v>37169</v>
      </c>
      <c r="T6672" s="77">
        <v>0.25</v>
      </c>
      <c r="V6672">
        <v>60.08</v>
      </c>
      <c r="X6672" s="42"/>
      <c r="AB6672">
        <v>57.3</v>
      </c>
      <c r="AC6672">
        <v>57.019999999999996</v>
      </c>
      <c r="AE6672" s="74"/>
      <c r="AF6672" s="77"/>
      <c r="AH6672" s="497">
        <v>71.599999999999994</v>
      </c>
      <c r="AJ6672" s="42"/>
      <c r="AK6672" s="74"/>
      <c r="AL6672" s="77"/>
      <c r="AN6672" s="497">
        <v>48.92</v>
      </c>
      <c r="AP6672" s="42"/>
      <c r="AQ6672" s="74"/>
      <c r="AR6672" s="77"/>
      <c r="AT6672" s="497">
        <v>50</v>
      </c>
      <c r="AV6672" s="42"/>
      <c r="AW6672" s="74"/>
      <c r="AX6672" s="77"/>
      <c r="BA6672" s="497">
        <v>46.94</v>
      </c>
      <c r="BB6672" s="42"/>
      <c r="BC6672" s="74"/>
      <c r="BD6672" s="77"/>
      <c r="BF6672">
        <v>46.94</v>
      </c>
      <c r="BH6672" s="42"/>
      <c r="BI6672" s="74"/>
      <c r="BJ6672" s="77"/>
      <c r="BL6672" s="497">
        <v>48.92</v>
      </c>
      <c r="BN6672" s="42"/>
      <c r="BO6672" s="74"/>
      <c r="BP6672" s="77"/>
      <c r="BR6672" s="497">
        <v>42.980000000000004</v>
      </c>
      <c r="BT6672" s="42"/>
    </row>
    <row r="6673" spans="1:72" x14ac:dyDescent="0.25">
      <c r="A6673" s="90">
        <v>37169</v>
      </c>
      <c r="B6673" s="20">
        <v>0.29166666666666669</v>
      </c>
      <c r="D6673">
        <v>64.94</v>
      </c>
      <c r="E6673" t="str">
        <f t="shared" si="242"/>
        <v>WEEKDAY</v>
      </c>
      <c r="F6673" t="e">
        <f t="shared" si="243"/>
        <v>#N/A</v>
      </c>
      <c r="G6673" s="74">
        <v>29499</v>
      </c>
      <c r="H6673" s="77">
        <v>0.29166666666666669</v>
      </c>
      <c r="J6673">
        <v>53.96</v>
      </c>
      <c r="M6673" s="74">
        <v>36438</v>
      </c>
      <c r="N6673" s="77">
        <v>0.29166666666666669</v>
      </c>
      <c r="P6673">
        <v>44.6</v>
      </c>
      <c r="S6673" s="74">
        <v>37169</v>
      </c>
      <c r="T6673" s="77">
        <v>0.29166666666666669</v>
      </c>
      <c r="V6673">
        <v>60.980000000000004</v>
      </c>
      <c r="X6673" s="42"/>
      <c r="AB6673">
        <v>57.1</v>
      </c>
      <c r="AC6673">
        <v>57.019999999999996</v>
      </c>
      <c r="AE6673" s="74"/>
      <c r="AF6673" s="77"/>
      <c r="AH6673" s="497">
        <v>71.599999999999994</v>
      </c>
      <c r="AJ6673" s="42"/>
      <c r="AK6673" s="74"/>
      <c r="AL6673" s="77"/>
      <c r="AN6673" s="497">
        <v>48.92</v>
      </c>
      <c r="AP6673" s="42"/>
      <c r="AQ6673" s="74"/>
      <c r="AR6673" s="77"/>
      <c r="AT6673" s="497">
        <v>50</v>
      </c>
      <c r="AV6673" s="42"/>
      <c r="AW6673" s="74"/>
      <c r="AX6673" s="77"/>
      <c r="BA6673" s="497">
        <v>48.019999999999996</v>
      </c>
      <c r="BB6673" s="42"/>
      <c r="BC6673" s="74"/>
      <c r="BD6673" s="77"/>
      <c r="BF6673">
        <v>48.019999999999996</v>
      </c>
      <c r="BH6673" s="42"/>
      <c r="BI6673" s="74"/>
      <c r="BJ6673" s="77"/>
      <c r="BL6673" s="497">
        <v>48.92</v>
      </c>
      <c r="BN6673" s="42"/>
      <c r="BO6673" s="74"/>
      <c r="BP6673" s="77"/>
      <c r="BR6673" s="497">
        <v>42.980000000000004</v>
      </c>
      <c r="BT6673" s="42"/>
    </row>
    <row r="6674" spans="1:72" x14ac:dyDescent="0.25">
      <c r="A6674" s="90">
        <v>37169</v>
      </c>
      <c r="B6674" s="20">
        <v>0.33333333333333331</v>
      </c>
      <c r="D6674">
        <v>68</v>
      </c>
      <c r="E6674" t="str">
        <f t="shared" si="242"/>
        <v>WEEKDAY</v>
      </c>
      <c r="F6674" t="e">
        <f t="shared" si="243"/>
        <v>#N/A</v>
      </c>
      <c r="G6674" s="74">
        <v>29499</v>
      </c>
      <c r="H6674" s="77">
        <v>0.33333333333333331</v>
      </c>
      <c r="J6674">
        <v>55.94</v>
      </c>
      <c r="M6674" s="74">
        <v>36438</v>
      </c>
      <c r="N6674" s="77">
        <v>0.33333333333333331</v>
      </c>
      <c r="P6674">
        <v>46.4</v>
      </c>
      <c r="S6674" s="74">
        <v>37169</v>
      </c>
      <c r="T6674" s="77">
        <v>0.33333333333333331</v>
      </c>
      <c r="V6674">
        <v>64.039999999999992</v>
      </c>
      <c r="X6674" s="42"/>
      <c r="AB6674">
        <v>58.3</v>
      </c>
      <c r="AC6674">
        <v>60.08</v>
      </c>
      <c r="AE6674" s="74"/>
      <c r="AF6674" s="77"/>
      <c r="AH6674" s="497">
        <v>73.400000000000006</v>
      </c>
      <c r="AJ6674" s="42"/>
      <c r="AK6674" s="74"/>
      <c r="AL6674" s="77"/>
      <c r="AN6674" s="497">
        <v>48.92</v>
      </c>
      <c r="AP6674" s="42"/>
      <c r="AQ6674" s="74"/>
      <c r="AR6674" s="77"/>
      <c r="AT6674" s="497">
        <v>51.08</v>
      </c>
      <c r="AV6674" s="42"/>
      <c r="AW6674" s="74"/>
      <c r="AX6674" s="77"/>
      <c r="BA6674" s="497">
        <v>48.92</v>
      </c>
      <c r="BB6674" s="42"/>
      <c r="BC6674" s="74"/>
      <c r="BD6674" s="77"/>
      <c r="BF6674">
        <v>50</v>
      </c>
      <c r="BH6674" s="42"/>
      <c r="BI6674" s="74"/>
      <c r="BJ6674" s="77"/>
      <c r="BL6674" s="497">
        <v>53.06</v>
      </c>
      <c r="BN6674" s="42"/>
      <c r="BO6674" s="74"/>
      <c r="BP6674" s="77"/>
      <c r="BR6674" s="497">
        <v>42.980000000000004</v>
      </c>
      <c r="BT6674" s="42"/>
    </row>
    <row r="6675" spans="1:72" x14ac:dyDescent="0.25">
      <c r="A6675" s="90">
        <v>37169</v>
      </c>
      <c r="B6675" s="20">
        <v>0.375</v>
      </c>
      <c r="D6675">
        <v>69.98</v>
      </c>
      <c r="E6675" t="str">
        <f t="shared" ref="E6675:E6738" si="244">IF(COUNTIF($DI$18:$DI$22, WEEKDAY(A6675))=1, "WEEKDAY", IF(WEEKDAY(A6675) = 1, "SUNDAY", "SATURDAY"))</f>
        <v>WEEKDAY</v>
      </c>
      <c r="F6675" t="e">
        <f t="shared" si="243"/>
        <v>#N/A</v>
      </c>
      <c r="G6675" s="74">
        <v>29499</v>
      </c>
      <c r="H6675" s="77">
        <v>0.375</v>
      </c>
      <c r="J6675">
        <v>58.1</v>
      </c>
      <c r="M6675" s="74">
        <v>36438</v>
      </c>
      <c r="N6675" s="77">
        <v>0.375</v>
      </c>
      <c r="P6675">
        <v>46.4</v>
      </c>
      <c r="S6675" s="74">
        <v>37169</v>
      </c>
      <c r="T6675" s="77">
        <v>0.375</v>
      </c>
      <c r="V6675">
        <v>66.02</v>
      </c>
      <c r="X6675" s="42"/>
      <c r="AB6675">
        <v>60.7</v>
      </c>
      <c r="AC6675">
        <v>60.980000000000004</v>
      </c>
      <c r="AE6675" s="74"/>
      <c r="AF6675" s="77"/>
      <c r="AH6675" s="497">
        <v>75.2</v>
      </c>
      <c r="AJ6675" s="42"/>
      <c r="AK6675" s="74"/>
      <c r="AL6675" s="77"/>
      <c r="AN6675" s="497">
        <v>50</v>
      </c>
      <c r="AP6675" s="42"/>
      <c r="AQ6675" s="74"/>
      <c r="AR6675" s="77"/>
      <c r="AT6675" s="497">
        <v>53.96</v>
      </c>
      <c r="AV6675" s="42"/>
      <c r="AW6675" s="74"/>
      <c r="AX6675" s="77"/>
      <c r="BA6675" s="497">
        <v>50</v>
      </c>
      <c r="BB6675" s="42"/>
      <c r="BC6675" s="74"/>
      <c r="BD6675" s="77"/>
      <c r="BF6675">
        <v>55.94</v>
      </c>
      <c r="BH6675" s="42"/>
      <c r="BI6675" s="74"/>
      <c r="BJ6675" s="77"/>
      <c r="BL6675" s="497">
        <v>57.019999999999996</v>
      </c>
      <c r="BN6675" s="42"/>
      <c r="BO6675" s="74"/>
      <c r="BP6675" s="77"/>
      <c r="BR6675" s="497">
        <v>44.06</v>
      </c>
      <c r="BT6675" s="42"/>
    </row>
    <row r="6676" spans="1:72" x14ac:dyDescent="0.25">
      <c r="A6676" s="90">
        <v>37169</v>
      </c>
      <c r="B6676" s="20">
        <v>0.41666666666666669</v>
      </c>
      <c r="D6676">
        <v>73.039999999999992</v>
      </c>
      <c r="E6676" t="str">
        <f t="shared" si="244"/>
        <v>WEEKDAY</v>
      </c>
      <c r="F6676" t="e">
        <f t="shared" si="243"/>
        <v>#N/A</v>
      </c>
      <c r="G6676" s="74">
        <v>29499</v>
      </c>
      <c r="H6676" s="77">
        <v>0.41666666666666669</v>
      </c>
      <c r="J6676">
        <v>60.08</v>
      </c>
      <c r="M6676" s="74">
        <v>36438</v>
      </c>
      <c r="N6676" s="77">
        <v>0.41666666666666669</v>
      </c>
      <c r="P6676">
        <v>48.2</v>
      </c>
      <c r="S6676" s="74">
        <v>37169</v>
      </c>
      <c r="T6676" s="77">
        <v>0.41666666666666669</v>
      </c>
      <c r="V6676">
        <v>68</v>
      </c>
      <c r="X6676" s="42"/>
      <c r="AB6676">
        <v>62.6</v>
      </c>
      <c r="AC6676">
        <v>62.96</v>
      </c>
      <c r="AE6676" s="74"/>
      <c r="AF6676" s="77"/>
      <c r="AH6676" s="497">
        <v>75.2</v>
      </c>
      <c r="AJ6676" s="42"/>
      <c r="AK6676" s="74"/>
      <c r="AL6676" s="77"/>
      <c r="AN6676" s="497">
        <v>53.06</v>
      </c>
      <c r="AP6676" s="42"/>
      <c r="AQ6676" s="74"/>
      <c r="AR6676" s="77"/>
      <c r="AT6676" s="497">
        <v>53.96</v>
      </c>
      <c r="AV6676" s="42"/>
      <c r="AW6676" s="74"/>
      <c r="AX6676" s="77"/>
      <c r="BA6676" s="497">
        <v>48.92</v>
      </c>
      <c r="BB6676" s="42"/>
      <c r="BC6676" s="74"/>
      <c r="BD6676" s="77"/>
      <c r="BF6676">
        <v>60.980000000000004</v>
      </c>
      <c r="BH6676" s="42"/>
      <c r="BI6676" s="74"/>
      <c r="BJ6676" s="77"/>
      <c r="BL6676" s="497">
        <v>60.980000000000004</v>
      </c>
      <c r="BN6676" s="42"/>
      <c r="BO6676" s="74"/>
      <c r="BP6676" s="77"/>
      <c r="BR6676" s="497">
        <v>44.96</v>
      </c>
      <c r="BT6676" s="42"/>
    </row>
    <row r="6677" spans="1:72" x14ac:dyDescent="0.25">
      <c r="A6677" s="90">
        <v>37169</v>
      </c>
      <c r="B6677" s="20">
        <v>0.45833333333333331</v>
      </c>
      <c r="D6677">
        <v>75.92</v>
      </c>
      <c r="E6677" t="str">
        <f t="shared" si="244"/>
        <v>WEEKDAY</v>
      </c>
      <c r="F6677" t="e">
        <f t="shared" si="243"/>
        <v>#N/A</v>
      </c>
      <c r="G6677" s="74">
        <v>29499</v>
      </c>
      <c r="H6677" s="77">
        <v>0.45833333333333331</v>
      </c>
      <c r="J6677">
        <v>60.8</v>
      </c>
      <c r="M6677" s="74">
        <v>36438</v>
      </c>
      <c r="N6677" s="77">
        <v>0.45833333333333331</v>
      </c>
      <c r="P6677">
        <v>50</v>
      </c>
      <c r="S6677" s="74">
        <v>37169</v>
      </c>
      <c r="T6677" s="77">
        <v>0.45833333333333331</v>
      </c>
      <c r="V6677">
        <v>71.06</v>
      </c>
      <c r="X6677" s="42"/>
      <c r="AB6677">
        <v>64.3</v>
      </c>
      <c r="AC6677">
        <v>62.06</v>
      </c>
      <c r="AE6677" s="74"/>
      <c r="AF6677" s="77"/>
      <c r="AH6677" s="497">
        <v>78.800000000000011</v>
      </c>
      <c r="AJ6677" s="42"/>
      <c r="AK6677" s="74"/>
      <c r="AL6677" s="77"/>
      <c r="AN6677" s="497">
        <v>53.06</v>
      </c>
      <c r="AP6677" s="42"/>
      <c r="AQ6677" s="74"/>
      <c r="AR6677" s="77"/>
      <c r="AT6677" s="497">
        <v>57.019999999999996</v>
      </c>
      <c r="AV6677" s="42"/>
      <c r="AW6677" s="74"/>
      <c r="AX6677" s="77"/>
      <c r="BA6677" s="497">
        <v>50</v>
      </c>
      <c r="BB6677" s="42"/>
      <c r="BC6677" s="74"/>
      <c r="BD6677" s="77"/>
      <c r="BF6677">
        <v>62.96</v>
      </c>
      <c r="BH6677" s="42"/>
      <c r="BI6677" s="74"/>
      <c r="BJ6677" s="77"/>
      <c r="BL6677" s="497">
        <v>62.96</v>
      </c>
      <c r="BN6677" s="42"/>
      <c r="BO6677" s="74"/>
      <c r="BP6677" s="77"/>
      <c r="BR6677" s="497">
        <v>44.06</v>
      </c>
      <c r="BT6677" s="42"/>
    </row>
    <row r="6678" spans="1:72" x14ac:dyDescent="0.25">
      <c r="A6678" s="90">
        <v>37169</v>
      </c>
      <c r="B6678" s="20">
        <v>0.5</v>
      </c>
      <c r="D6678">
        <v>78.080000000000013</v>
      </c>
      <c r="E6678" t="str">
        <f t="shared" si="244"/>
        <v>WEEKDAY</v>
      </c>
      <c r="F6678" t="e">
        <f t="shared" si="243"/>
        <v>#N/A</v>
      </c>
      <c r="G6678" s="74">
        <v>29499</v>
      </c>
      <c r="H6678" s="77">
        <v>0.5</v>
      </c>
      <c r="J6678">
        <v>61.34</v>
      </c>
      <c r="M6678" s="74">
        <v>36438</v>
      </c>
      <c r="N6678" s="77">
        <v>0.5</v>
      </c>
      <c r="P6678">
        <v>50</v>
      </c>
      <c r="S6678" s="74">
        <v>37169</v>
      </c>
      <c r="T6678" s="77">
        <v>0.5</v>
      </c>
      <c r="V6678">
        <v>73.039999999999992</v>
      </c>
      <c r="X6678" s="42"/>
      <c r="AB6678">
        <v>65.7</v>
      </c>
      <c r="AC6678">
        <v>62.06</v>
      </c>
      <c r="AE6678" s="74"/>
      <c r="AF6678" s="77"/>
      <c r="AH6678" s="497">
        <v>78.800000000000011</v>
      </c>
      <c r="AJ6678" s="42"/>
      <c r="AK6678" s="74"/>
      <c r="AL6678" s="77"/>
      <c r="AN6678" s="497">
        <v>53.06</v>
      </c>
      <c r="AP6678" s="42"/>
      <c r="AQ6678" s="74"/>
      <c r="AR6678" s="77"/>
      <c r="AT6678" s="497">
        <v>55.94</v>
      </c>
      <c r="AV6678" s="42"/>
      <c r="AW6678" s="74"/>
      <c r="AX6678" s="77"/>
      <c r="BA6678" s="497">
        <v>50</v>
      </c>
      <c r="BB6678" s="42"/>
      <c r="BC6678" s="74"/>
      <c r="BD6678" s="77"/>
      <c r="BF6678">
        <v>62.96</v>
      </c>
      <c r="BH6678" s="42"/>
      <c r="BI6678" s="74"/>
      <c r="BJ6678" s="77"/>
      <c r="BL6678" s="497">
        <v>66.02</v>
      </c>
      <c r="BN6678" s="42"/>
      <c r="BO6678" s="74"/>
      <c r="BP6678" s="77"/>
      <c r="BR6678" s="497">
        <v>44.06</v>
      </c>
      <c r="BT6678" s="42"/>
    </row>
    <row r="6679" spans="1:72" x14ac:dyDescent="0.25">
      <c r="A6679" s="90">
        <v>37169</v>
      </c>
      <c r="B6679" s="20">
        <v>0.54166666666666663</v>
      </c>
      <c r="D6679">
        <v>78.98</v>
      </c>
      <c r="E6679" t="str">
        <f t="shared" si="244"/>
        <v>WEEKDAY</v>
      </c>
      <c r="F6679" t="e">
        <f t="shared" si="243"/>
        <v>#N/A</v>
      </c>
      <c r="G6679" s="74">
        <v>29499</v>
      </c>
      <c r="H6679" s="77">
        <v>0.54166666666666663</v>
      </c>
      <c r="J6679">
        <v>62.06</v>
      </c>
      <c r="M6679" s="74">
        <v>36438</v>
      </c>
      <c r="N6679" s="77">
        <v>0.54166666666666663</v>
      </c>
      <c r="P6679">
        <v>50</v>
      </c>
      <c r="S6679" s="74">
        <v>37169</v>
      </c>
      <c r="T6679" s="77">
        <v>0.54166666666666663</v>
      </c>
      <c r="V6679">
        <v>73.039999999999992</v>
      </c>
      <c r="X6679" s="42"/>
      <c r="AB6679">
        <v>66.7</v>
      </c>
      <c r="AC6679">
        <v>60.980000000000004</v>
      </c>
      <c r="AE6679" s="74"/>
      <c r="AF6679" s="77"/>
      <c r="AH6679" s="497">
        <v>75.2</v>
      </c>
      <c r="AJ6679" s="42"/>
      <c r="AK6679" s="74"/>
      <c r="AL6679" s="77"/>
      <c r="AN6679" s="497">
        <v>53.96</v>
      </c>
      <c r="AP6679" s="42"/>
      <c r="AQ6679" s="74"/>
      <c r="AR6679" s="77"/>
      <c r="AT6679" s="497">
        <v>55.94</v>
      </c>
      <c r="AV6679" s="42"/>
      <c r="AW6679" s="74"/>
      <c r="AX6679" s="77"/>
      <c r="BA6679" s="497">
        <v>53.96</v>
      </c>
      <c r="BB6679" s="42"/>
      <c r="BC6679" s="74"/>
      <c r="BD6679" s="77"/>
      <c r="BF6679">
        <v>64.039999999999992</v>
      </c>
      <c r="BH6679" s="42"/>
      <c r="BI6679" s="74"/>
      <c r="BJ6679" s="77"/>
      <c r="BL6679" s="497">
        <v>66.02</v>
      </c>
      <c r="BN6679" s="42"/>
      <c r="BO6679" s="74"/>
      <c r="BP6679" s="77"/>
      <c r="BR6679" s="497">
        <v>46.04</v>
      </c>
      <c r="BT6679" s="42"/>
    </row>
    <row r="6680" spans="1:72" x14ac:dyDescent="0.25">
      <c r="A6680" s="90">
        <v>37169</v>
      </c>
      <c r="B6680" s="20">
        <v>0.58333333333333337</v>
      </c>
      <c r="D6680">
        <v>80.06</v>
      </c>
      <c r="E6680" t="str">
        <f t="shared" si="244"/>
        <v>WEEKDAY</v>
      </c>
      <c r="F6680" t="e">
        <f t="shared" si="243"/>
        <v>#N/A</v>
      </c>
      <c r="G6680" s="74">
        <v>29499</v>
      </c>
      <c r="H6680" s="77">
        <v>0.58333333333333337</v>
      </c>
      <c r="J6680">
        <v>62.42</v>
      </c>
      <c r="M6680" s="74">
        <v>36438</v>
      </c>
      <c r="N6680" s="77">
        <v>0.58333333333333337</v>
      </c>
      <c r="P6680">
        <v>50</v>
      </c>
      <c r="S6680" s="74">
        <v>37169</v>
      </c>
      <c r="T6680" s="77">
        <v>0.58333333333333337</v>
      </c>
      <c r="V6680">
        <v>73.94</v>
      </c>
      <c r="X6680" s="42"/>
      <c r="AB6680">
        <v>67.099999999999994</v>
      </c>
      <c r="AC6680">
        <v>60.980000000000004</v>
      </c>
      <c r="AE6680" s="74"/>
      <c r="AF6680" s="77"/>
      <c r="AH6680" s="497">
        <v>78.800000000000011</v>
      </c>
      <c r="AJ6680" s="42"/>
      <c r="AK6680" s="74"/>
      <c r="AL6680" s="77"/>
      <c r="AN6680" s="497">
        <v>53.96</v>
      </c>
      <c r="AP6680" s="42"/>
      <c r="AQ6680" s="74"/>
      <c r="AR6680" s="77"/>
      <c r="AT6680" s="497">
        <v>55.94</v>
      </c>
      <c r="AV6680" s="42"/>
      <c r="AW6680" s="74"/>
      <c r="AX6680" s="77"/>
      <c r="BA6680" s="497">
        <v>53.06</v>
      </c>
      <c r="BB6680" s="42"/>
      <c r="BC6680" s="74"/>
      <c r="BD6680" s="77"/>
      <c r="BF6680">
        <v>66.02</v>
      </c>
      <c r="BH6680" s="42"/>
      <c r="BI6680" s="74"/>
      <c r="BJ6680" s="77"/>
      <c r="BL6680" s="497">
        <v>66.02</v>
      </c>
      <c r="BN6680" s="42"/>
      <c r="BO6680" s="74"/>
      <c r="BP6680" s="77"/>
      <c r="BR6680" s="497">
        <v>46.94</v>
      </c>
      <c r="BT6680" s="42"/>
    </row>
    <row r="6681" spans="1:72" x14ac:dyDescent="0.25">
      <c r="A6681" s="90">
        <v>37169</v>
      </c>
      <c r="B6681" s="20">
        <v>0.625</v>
      </c>
      <c r="D6681">
        <v>78.98</v>
      </c>
      <c r="E6681" t="str">
        <f t="shared" si="244"/>
        <v>WEEKDAY</v>
      </c>
      <c r="F6681" t="e">
        <f t="shared" si="243"/>
        <v>#N/A</v>
      </c>
      <c r="G6681" s="74">
        <v>29499</v>
      </c>
      <c r="H6681" s="77">
        <v>0.625</v>
      </c>
      <c r="J6681">
        <v>62.6</v>
      </c>
      <c r="M6681" s="74">
        <v>36438</v>
      </c>
      <c r="N6681" s="77">
        <v>0.625</v>
      </c>
      <c r="P6681">
        <v>51.8</v>
      </c>
      <c r="S6681" s="74">
        <v>37169</v>
      </c>
      <c r="T6681" s="77">
        <v>0.625</v>
      </c>
      <c r="V6681">
        <v>71.960000000000008</v>
      </c>
      <c r="X6681" s="42"/>
      <c r="AB6681">
        <v>67.3</v>
      </c>
      <c r="AC6681">
        <v>60.980000000000004</v>
      </c>
      <c r="AE6681" s="74"/>
      <c r="AF6681" s="77"/>
      <c r="AH6681" s="497">
        <v>78.800000000000011</v>
      </c>
      <c r="AJ6681" s="42"/>
      <c r="AK6681" s="74"/>
      <c r="AL6681" s="77"/>
      <c r="AN6681" s="497">
        <v>53.96</v>
      </c>
      <c r="AP6681" s="42"/>
      <c r="AQ6681" s="74"/>
      <c r="AR6681" s="77"/>
      <c r="AT6681" s="497">
        <v>55.94</v>
      </c>
      <c r="AV6681" s="42"/>
      <c r="AW6681" s="74"/>
      <c r="AX6681" s="77"/>
      <c r="BA6681" s="497">
        <v>53.96</v>
      </c>
      <c r="BB6681" s="42"/>
      <c r="BC6681" s="74"/>
      <c r="BD6681" s="77"/>
      <c r="BF6681">
        <v>66.02</v>
      </c>
      <c r="BH6681" s="42"/>
      <c r="BI6681" s="74"/>
      <c r="BJ6681" s="77"/>
      <c r="BL6681" s="497">
        <v>66.92</v>
      </c>
      <c r="BN6681" s="42"/>
      <c r="BO6681" s="74"/>
      <c r="BP6681" s="77"/>
      <c r="BR6681" s="497">
        <v>48.019999999999996</v>
      </c>
      <c r="BT6681" s="42"/>
    </row>
    <row r="6682" spans="1:72" x14ac:dyDescent="0.25">
      <c r="A6682" s="90">
        <v>37169</v>
      </c>
      <c r="B6682" s="20">
        <v>0.66666666666666663</v>
      </c>
      <c r="D6682">
        <v>77</v>
      </c>
      <c r="E6682" t="str">
        <f t="shared" si="244"/>
        <v>WEEKDAY</v>
      </c>
      <c r="F6682" t="e">
        <f t="shared" si="243"/>
        <v>#N/A</v>
      </c>
      <c r="G6682" s="74">
        <v>29499</v>
      </c>
      <c r="H6682" s="77">
        <v>0.66666666666666663</v>
      </c>
      <c r="J6682">
        <v>62.96</v>
      </c>
      <c r="M6682" s="74">
        <v>36438</v>
      </c>
      <c r="N6682" s="77">
        <v>0.66666666666666663</v>
      </c>
      <c r="P6682">
        <v>50</v>
      </c>
      <c r="S6682" s="74">
        <v>37169</v>
      </c>
      <c r="T6682" s="77">
        <v>0.66666666666666663</v>
      </c>
      <c r="V6682">
        <v>71.06</v>
      </c>
      <c r="X6682" s="42"/>
      <c r="AB6682">
        <v>67.099999999999994</v>
      </c>
      <c r="AC6682">
        <v>60.08</v>
      </c>
      <c r="AE6682" s="74"/>
      <c r="AF6682" s="77"/>
      <c r="AH6682" s="497">
        <v>75.2</v>
      </c>
      <c r="AJ6682" s="42"/>
      <c r="AK6682" s="74"/>
      <c r="AL6682" s="77"/>
      <c r="AN6682" s="497">
        <v>55.040000000000006</v>
      </c>
      <c r="AP6682" s="42"/>
      <c r="AQ6682" s="74"/>
      <c r="AR6682" s="77"/>
      <c r="AT6682" s="497">
        <v>55.040000000000006</v>
      </c>
      <c r="AV6682" s="42"/>
      <c r="AW6682" s="74"/>
      <c r="AX6682" s="77"/>
      <c r="BA6682" s="497">
        <v>53.96</v>
      </c>
      <c r="BB6682" s="42"/>
      <c r="BC6682" s="74"/>
      <c r="BD6682" s="77"/>
      <c r="BF6682">
        <v>66.02</v>
      </c>
      <c r="BH6682" s="42"/>
      <c r="BI6682" s="74"/>
      <c r="BJ6682" s="77"/>
      <c r="BL6682" s="497">
        <v>66.92</v>
      </c>
      <c r="BN6682" s="42"/>
      <c r="BO6682" s="74"/>
      <c r="BP6682" s="77"/>
      <c r="BR6682" s="497">
        <v>48.019999999999996</v>
      </c>
      <c r="BT6682" s="42"/>
    </row>
    <row r="6683" spans="1:72" x14ac:dyDescent="0.25">
      <c r="A6683" s="90">
        <v>37169</v>
      </c>
      <c r="B6683" s="20">
        <v>0.70833333333333337</v>
      </c>
      <c r="D6683">
        <v>75.02</v>
      </c>
      <c r="E6683" t="str">
        <f t="shared" si="244"/>
        <v>WEEKDAY</v>
      </c>
      <c r="F6683" t="e">
        <f t="shared" si="243"/>
        <v>#N/A</v>
      </c>
      <c r="G6683" s="74">
        <v>29499</v>
      </c>
      <c r="H6683" s="77">
        <v>0.70833333333333337</v>
      </c>
      <c r="J6683">
        <v>62.06</v>
      </c>
      <c r="M6683" s="74">
        <v>36438</v>
      </c>
      <c r="N6683" s="77">
        <v>0.70833333333333337</v>
      </c>
      <c r="P6683">
        <v>50</v>
      </c>
      <c r="S6683" s="74">
        <v>37169</v>
      </c>
      <c r="T6683" s="77">
        <v>0.70833333333333337</v>
      </c>
      <c r="V6683">
        <v>69.98</v>
      </c>
      <c r="X6683" s="42"/>
      <c r="AB6683">
        <v>66.099999999999994</v>
      </c>
      <c r="AC6683">
        <v>60.08</v>
      </c>
      <c r="AE6683" s="74"/>
      <c r="AF6683" s="77"/>
      <c r="AH6683" s="497">
        <v>71.599999999999994</v>
      </c>
      <c r="AJ6683" s="42"/>
      <c r="AK6683" s="74"/>
      <c r="AL6683" s="77"/>
      <c r="AN6683" s="497">
        <v>55.040000000000006</v>
      </c>
      <c r="AP6683" s="42"/>
      <c r="AQ6683" s="74"/>
      <c r="AR6683" s="77"/>
      <c r="AT6683" s="497">
        <v>53.96</v>
      </c>
      <c r="AV6683" s="42"/>
      <c r="AW6683" s="74"/>
      <c r="AX6683" s="77"/>
      <c r="BA6683" s="497">
        <v>53.96</v>
      </c>
      <c r="BB6683" s="42"/>
      <c r="BC6683" s="74"/>
      <c r="BD6683" s="77"/>
      <c r="BF6683">
        <v>64.94</v>
      </c>
      <c r="BH6683" s="42"/>
      <c r="BI6683" s="74"/>
      <c r="BJ6683" s="77"/>
      <c r="BL6683" s="497">
        <v>66.02</v>
      </c>
      <c r="BN6683" s="42"/>
      <c r="BO6683" s="74"/>
      <c r="BP6683" s="77"/>
      <c r="BR6683" s="497">
        <v>48.019999999999996</v>
      </c>
      <c r="BT6683" s="42"/>
    </row>
    <row r="6684" spans="1:72" x14ac:dyDescent="0.25">
      <c r="A6684" s="90">
        <v>37169</v>
      </c>
      <c r="B6684" s="20">
        <v>0.75</v>
      </c>
      <c r="D6684">
        <v>73.039999999999992</v>
      </c>
      <c r="E6684" t="str">
        <f t="shared" si="244"/>
        <v>WEEKDAY</v>
      </c>
      <c r="F6684" t="e">
        <f t="shared" si="243"/>
        <v>#N/A</v>
      </c>
      <c r="G6684" s="74">
        <v>29499</v>
      </c>
      <c r="H6684" s="77">
        <v>0.75</v>
      </c>
      <c r="J6684">
        <v>60.980000000000004</v>
      </c>
      <c r="M6684" s="74">
        <v>36438</v>
      </c>
      <c r="N6684" s="77">
        <v>0.75</v>
      </c>
      <c r="P6684">
        <v>50</v>
      </c>
      <c r="S6684" s="74">
        <v>37169</v>
      </c>
      <c r="T6684" s="77">
        <v>0.75</v>
      </c>
      <c r="V6684">
        <v>68</v>
      </c>
      <c r="X6684" s="42"/>
      <c r="AB6684">
        <v>64.8</v>
      </c>
      <c r="AC6684">
        <v>57.92</v>
      </c>
      <c r="AE6684" s="74"/>
      <c r="AF6684" s="77"/>
      <c r="AH6684" s="497">
        <v>68</v>
      </c>
      <c r="AJ6684" s="42"/>
      <c r="AK6684" s="74"/>
      <c r="AL6684" s="77"/>
      <c r="AN6684" s="497">
        <v>51.980000000000004</v>
      </c>
      <c r="AP6684" s="42"/>
      <c r="AQ6684" s="74"/>
      <c r="AR6684" s="77"/>
      <c r="AT6684" s="497">
        <v>51.980000000000004</v>
      </c>
      <c r="AV6684" s="42"/>
      <c r="AW6684" s="74"/>
      <c r="AX6684" s="77"/>
      <c r="BA6684" s="497">
        <v>48.92</v>
      </c>
      <c r="BB6684" s="42"/>
      <c r="BC6684" s="74"/>
      <c r="BD6684" s="77"/>
      <c r="BF6684">
        <v>64.039999999999992</v>
      </c>
      <c r="BH6684" s="42"/>
      <c r="BI6684" s="74"/>
      <c r="BJ6684" s="77"/>
      <c r="BL6684" s="497">
        <v>64.039999999999992</v>
      </c>
      <c r="BN6684" s="42"/>
      <c r="BO6684" s="74"/>
      <c r="BP6684" s="77"/>
      <c r="BR6684" s="497">
        <v>41</v>
      </c>
      <c r="BT6684" s="42"/>
    </row>
    <row r="6685" spans="1:72" x14ac:dyDescent="0.25">
      <c r="A6685" s="90">
        <v>37169</v>
      </c>
      <c r="B6685" s="20">
        <v>0.79166666666666663</v>
      </c>
      <c r="D6685">
        <v>71.960000000000008</v>
      </c>
      <c r="E6685" t="str">
        <f t="shared" si="244"/>
        <v>WEEKDAY</v>
      </c>
      <c r="F6685" t="e">
        <f t="shared" si="243"/>
        <v>#N/A</v>
      </c>
      <c r="G6685" s="74">
        <v>29499</v>
      </c>
      <c r="H6685" s="77">
        <v>0.79166666666666663</v>
      </c>
      <c r="J6685">
        <v>60.08</v>
      </c>
      <c r="M6685" s="74">
        <v>36438</v>
      </c>
      <c r="N6685" s="77">
        <v>0.79166666666666663</v>
      </c>
      <c r="P6685">
        <v>48.2</v>
      </c>
      <c r="S6685" s="74">
        <v>37169</v>
      </c>
      <c r="T6685" s="77">
        <v>0.79166666666666663</v>
      </c>
      <c r="V6685">
        <v>66.92</v>
      </c>
      <c r="X6685" s="42"/>
      <c r="AB6685">
        <v>63.2</v>
      </c>
      <c r="AC6685">
        <v>57.92</v>
      </c>
      <c r="AE6685" s="74"/>
      <c r="AF6685" s="77"/>
      <c r="AH6685" s="497">
        <v>64.400000000000006</v>
      </c>
      <c r="AJ6685" s="42"/>
      <c r="AK6685" s="74"/>
      <c r="AL6685" s="77"/>
      <c r="AN6685" s="497">
        <v>50</v>
      </c>
      <c r="AP6685" s="42"/>
      <c r="AQ6685" s="74"/>
      <c r="AR6685" s="77"/>
      <c r="AT6685" s="497">
        <v>51.08</v>
      </c>
      <c r="AV6685" s="42"/>
      <c r="AW6685" s="74"/>
      <c r="AX6685" s="77"/>
      <c r="BA6685" s="497">
        <v>46.04</v>
      </c>
      <c r="BB6685" s="42"/>
      <c r="BC6685" s="74"/>
      <c r="BD6685" s="77"/>
      <c r="BF6685">
        <v>62.06</v>
      </c>
      <c r="BH6685" s="42"/>
      <c r="BI6685" s="74"/>
      <c r="BJ6685" s="77"/>
      <c r="BL6685" s="497">
        <v>62.96</v>
      </c>
      <c r="BN6685" s="42"/>
      <c r="BO6685" s="74"/>
      <c r="BP6685" s="77"/>
      <c r="BR6685" s="497">
        <v>39.019999999999996</v>
      </c>
      <c r="BT6685" s="42"/>
    </row>
    <row r="6686" spans="1:72" x14ac:dyDescent="0.25">
      <c r="A6686" s="90">
        <v>37169</v>
      </c>
      <c r="B6686" s="20">
        <v>0.83333333333333337</v>
      </c>
      <c r="D6686">
        <v>71.06</v>
      </c>
      <c r="E6686" t="str">
        <f t="shared" si="244"/>
        <v>WEEKDAY</v>
      </c>
      <c r="F6686" t="e">
        <f t="shared" si="243"/>
        <v>#N/A</v>
      </c>
      <c r="G6686" s="74">
        <v>29499</v>
      </c>
      <c r="H6686" s="77">
        <v>0.83333333333333337</v>
      </c>
      <c r="J6686">
        <v>59</v>
      </c>
      <c r="M6686" s="74">
        <v>36438</v>
      </c>
      <c r="N6686" s="77">
        <v>0.83333333333333337</v>
      </c>
      <c r="P6686">
        <v>48.2</v>
      </c>
      <c r="S6686" s="74">
        <v>37169</v>
      </c>
      <c r="T6686" s="77">
        <v>0.83333333333333337</v>
      </c>
      <c r="V6686">
        <v>66.02</v>
      </c>
      <c r="X6686" s="42"/>
      <c r="AB6686">
        <v>62.3</v>
      </c>
      <c r="AC6686">
        <v>59</v>
      </c>
      <c r="AE6686" s="74"/>
      <c r="AF6686" s="77"/>
      <c r="AH6686" s="497">
        <v>60.8</v>
      </c>
      <c r="AJ6686" s="42"/>
      <c r="AK6686" s="74"/>
      <c r="AL6686" s="77"/>
      <c r="AN6686" s="497">
        <v>48.92</v>
      </c>
      <c r="AP6686" s="42"/>
      <c r="AQ6686" s="74"/>
      <c r="AR6686" s="77"/>
      <c r="AT6686" s="497">
        <v>46.04</v>
      </c>
      <c r="AV6686" s="42"/>
      <c r="AW6686" s="74"/>
      <c r="AX6686" s="77"/>
      <c r="BA6686" s="497">
        <v>46.94</v>
      </c>
      <c r="BB6686" s="42"/>
      <c r="BC6686" s="74"/>
      <c r="BD6686" s="77"/>
      <c r="BF6686">
        <v>60.980000000000004</v>
      </c>
      <c r="BH6686" s="42"/>
      <c r="BI6686" s="74"/>
      <c r="BJ6686" s="77"/>
      <c r="BL6686" s="497">
        <v>62.06</v>
      </c>
      <c r="BN6686" s="42"/>
      <c r="BO6686" s="74"/>
      <c r="BP6686" s="77"/>
      <c r="BR6686" s="497">
        <v>39.92</v>
      </c>
      <c r="BT6686" s="42"/>
    </row>
    <row r="6687" spans="1:72" x14ac:dyDescent="0.25">
      <c r="A6687" s="90">
        <v>37169</v>
      </c>
      <c r="B6687" s="20">
        <v>0.875</v>
      </c>
      <c r="D6687">
        <v>71.960000000000008</v>
      </c>
      <c r="E6687" t="str">
        <f t="shared" si="244"/>
        <v>WEEKDAY</v>
      </c>
      <c r="F6687" t="e">
        <f t="shared" si="243"/>
        <v>#N/A</v>
      </c>
      <c r="G6687" s="74">
        <v>29499</v>
      </c>
      <c r="H6687" s="77">
        <v>0.875</v>
      </c>
      <c r="J6687">
        <v>58.1</v>
      </c>
      <c r="M6687" s="74">
        <v>36438</v>
      </c>
      <c r="N6687" s="77">
        <v>0.875</v>
      </c>
      <c r="P6687">
        <v>46.4</v>
      </c>
      <c r="S6687" s="74">
        <v>37169</v>
      </c>
      <c r="T6687" s="77">
        <v>0.875</v>
      </c>
      <c r="V6687">
        <v>66.02</v>
      </c>
      <c r="X6687" s="42"/>
      <c r="AB6687">
        <v>61.6</v>
      </c>
      <c r="AC6687">
        <v>59</v>
      </c>
      <c r="AE6687" s="74"/>
      <c r="AF6687" s="77"/>
      <c r="AH6687" s="497">
        <v>57.2</v>
      </c>
      <c r="AJ6687" s="42"/>
      <c r="AK6687" s="74"/>
      <c r="AL6687" s="77"/>
      <c r="AN6687" s="497">
        <v>48.92</v>
      </c>
      <c r="AP6687" s="42"/>
      <c r="AQ6687" s="74"/>
      <c r="AR6687" s="77"/>
      <c r="AT6687" s="497">
        <v>42.980000000000004</v>
      </c>
      <c r="AV6687" s="42"/>
      <c r="AW6687" s="74"/>
      <c r="AX6687" s="77"/>
      <c r="BA6687" s="497">
        <v>44.96</v>
      </c>
      <c r="BB6687" s="42"/>
      <c r="BC6687" s="74"/>
      <c r="BD6687" s="77"/>
      <c r="BF6687">
        <v>60.980000000000004</v>
      </c>
      <c r="BH6687" s="42"/>
      <c r="BI6687" s="74"/>
      <c r="BJ6687" s="77"/>
      <c r="BL6687" s="497">
        <v>60.980000000000004</v>
      </c>
      <c r="BN6687" s="42"/>
      <c r="BO6687" s="74"/>
      <c r="BP6687" s="77"/>
      <c r="BR6687" s="497">
        <v>39.019999999999996</v>
      </c>
      <c r="BT6687" s="42"/>
    </row>
    <row r="6688" spans="1:72" x14ac:dyDescent="0.25">
      <c r="A6688" s="90">
        <v>37169</v>
      </c>
      <c r="B6688" s="20">
        <v>0.91666666666666663</v>
      </c>
      <c r="D6688">
        <v>71.960000000000008</v>
      </c>
      <c r="E6688" t="str">
        <f t="shared" si="244"/>
        <v>WEEKDAY</v>
      </c>
      <c r="F6688" t="e">
        <f t="shared" si="243"/>
        <v>#N/A</v>
      </c>
      <c r="G6688" s="74">
        <v>29499</v>
      </c>
      <c r="H6688" s="77">
        <v>0.91666666666666663</v>
      </c>
      <c r="J6688">
        <v>57.019999999999996</v>
      </c>
      <c r="M6688" s="74">
        <v>36438</v>
      </c>
      <c r="N6688" s="77">
        <v>0.91666666666666663</v>
      </c>
      <c r="P6688">
        <v>44.6</v>
      </c>
      <c r="S6688" s="74">
        <v>37169</v>
      </c>
      <c r="T6688" s="77">
        <v>0.91666666666666663</v>
      </c>
      <c r="V6688">
        <v>66.02</v>
      </c>
      <c r="X6688" s="42"/>
      <c r="AB6688">
        <v>61.1</v>
      </c>
      <c r="AC6688">
        <v>60.980000000000004</v>
      </c>
      <c r="AE6688" s="74"/>
      <c r="AF6688" s="77"/>
      <c r="AH6688" s="497">
        <v>57.2</v>
      </c>
      <c r="AJ6688" s="42"/>
      <c r="AK6688" s="74"/>
      <c r="AL6688" s="77"/>
      <c r="AN6688" s="497">
        <v>48.92</v>
      </c>
      <c r="AP6688" s="42"/>
      <c r="AQ6688" s="74"/>
      <c r="AR6688" s="77"/>
      <c r="AT6688" s="497">
        <v>42.980000000000004</v>
      </c>
      <c r="AV6688" s="42"/>
      <c r="AW6688" s="74"/>
      <c r="AX6688" s="77"/>
      <c r="BA6688" s="497">
        <v>44.96</v>
      </c>
      <c r="BB6688" s="42"/>
      <c r="BC6688" s="74"/>
      <c r="BD6688" s="77"/>
      <c r="BF6688">
        <v>51.980000000000004</v>
      </c>
      <c r="BH6688" s="42"/>
      <c r="BI6688" s="74"/>
      <c r="BJ6688" s="77"/>
      <c r="BL6688" s="497">
        <v>60.980000000000004</v>
      </c>
      <c r="BN6688" s="42"/>
      <c r="BO6688" s="74"/>
      <c r="BP6688" s="77"/>
      <c r="BR6688" s="497">
        <v>42.980000000000004</v>
      </c>
      <c r="BT6688" s="42"/>
    </row>
    <row r="6689" spans="1:72" x14ac:dyDescent="0.25">
      <c r="A6689" s="90">
        <v>37169</v>
      </c>
      <c r="B6689" s="20">
        <v>0.95833333333333337</v>
      </c>
      <c r="D6689">
        <v>69.98</v>
      </c>
      <c r="E6689" t="str">
        <f t="shared" si="244"/>
        <v>WEEKDAY</v>
      </c>
      <c r="F6689" t="e">
        <f t="shared" si="243"/>
        <v>#N/A</v>
      </c>
      <c r="G6689" s="74">
        <v>29499</v>
      </c>
      <c r="H6689" s="77">
        <v>0.95833333333333337</v>
      </c>
      <c r="J6689">
        <v>56.3</v>
      </c>
      <c r="M6689" s="74">
        <v>36438</v>
      </c>
      <c r="N6689" s="77">
        <v>0.95833333333333337</v>
      </c>
      <c r="P6689">
        <v>42.8</v>
      </c>
      <c r="S6689" s="74">
        <v>37169</v>
      </c>
      <c r="T6689" s="77">
        <v>0.95833333333333337</v>
      </c>
      <c r="V6689">
        <v>66.92</v>
      </c>
      <c r="X6689" s="42"/>
      <c r="AB6689">
        <v>60.3</v>
      </c>
      <c r="AC6689">
        <v>62.96</v>
      </c>
      <c r="AE6689" s="74"/>
      <c r="AF6689" s="77"/>
      <c r="AH6689" s="497">
        <v>51.8</v>
      </c>
      <c r="AJ6689" s="42"/>
      <c r="AK6689" s="74"/>
      <c r="AL6689" s="77"/>
      <c r="AN6689" s="497">
        <v>50</v>
      </c>
      <c r="AP6689" s="42"/>
      <c r="AQ6689" s="74"/>
      <c r="AR6689" s="77"/>
      <c r="AT6689" s="497">
        <v>42.980000000000004</v>
      </c>
      <c r="AV6689" s="42"/>
      <c r="AW6689" s="74"/>
      <c r="AX6689" s="77"/>
      <c r="BA6689" s="497">
        <v>50</v>
      </c>
      <c r="BB6689" s="42"/>
      <c r="BC6689" s="74"/>
      <c r="BD6689" s="77"/>
      <c r="BF6689">
        <v>53.96</v>
      </c>
      <c r="BH6689" s="42"/>
      <c r="BI6689" s="74"/>
      <c r="BJ6689" s="77"/>
      <c r="BL6689" s="497">
        <v>60.980000000000004</v>
      </c>
      <c r="BN6689" s="42"/>
      <c r="BO6689" s="74"/>
      <c r="BP6689" s="77"/>
      <c r="BR6689" s="497">
        <v>44.06</v>
      </c>
      <c r="BT6689" s="42"/>
    </row>
    <row r="6690" spans="1:72" x14ac:dyDescent="0.25">
      <c r="A6690" s="90">
        <v>37169</v>
      </c>
      <c r="B6690" s="20">
        <v>1</v>
      </c>
      <c r="D6690">
        <v>69.98</v>
      </c>
      <c r="E6690" t="str">
        <f t="shared" si="244"/>
        <v>WEEKDAY</v>
      </c>
      <c r="F6690" t="e">
        <f t="shared" si="243"/>
        <v>#N/A</v>
      </c>
      <c r="G6690" s="74">
        <v>29499</v>
      </c>
      <c r="H6690" s="77">
        <v>1</v>
      </c>
      <c r="J6690">
        <v>55.76</v>
      </c>
      <c r="M6690" s="74">
        <v>36438</v>
      </c>
      <c r="N6690" s="80">
        <v>1</v>
      </c>
      <c r="P6690">
        <v>42.8</v>
      </c>
      <c r="S6690" s="74">
        <v>37169</v>
      </c>
      <c r="T6690" s="80">
        <v>1</v>
      </c>
      <c r="V6690">
        <v>66.02</v>
      </c>
      <c r="X6690" s="42"/>
      <c r="AB6690">
        <v>59.6</v>
      </c>
      <c r="AC6690">
        <v>62.96</v>
      </c>
      <c r="AE6690" s="74"/>
      <c r="AF6690" s="80"/>
      <c r="AH6690" s="497">
        <v>48.2</v>
      </c>
      <c r="AJ6690" s="42"/>
      <c r="AK6690" s="74"/>
      <c r="AL6690" s="80"/>
      <c r="AN6690" s="497">
        <v>50</v>
      </c>
      <c r="AP6690" s="42"/>
      <c r="AQ6690" s="74"/>
      <c r="AR6690" s="80"/>
      <c r="AT6690" s="497">
        <v>42.980000000000004</v>
      </c>
      <c r="AV6690" s="42"/>
      <c r="AW6690" s="74"/>
      <c r="AX6690" s="80"/>
      <c r="BA6690" s="497">
        <v>53.06</v>
      </c>
      <c r="BB6690" s="42"/>
      <c r="BC6690" s="74"/>
      <c r="BD6690" s="80"/>
      <c r="BF6690">
        <v>53.06</v>
      </c>
      <c r="BH6690" s="42"/>
      <c r="BI6690" s="74"/>
      <c r="BJ6690" s="80"/>
      <c r="BL6690" s="497">
        <v>55.040000000000006</v>
      </c>
      <c r="BN6690" s="42"/>
      <c r="BO6690" s="74"/>
      <c r="BP6690" s="80"/>
      <c r="BR6690" s="497">
        <v>46.94</v>
      </c>
      <c r="BT6690" s="42"/>
    </row>
    <row r="6691" spans="1:72" x14ac:dyDescent="0.25">
      <c r="A6691" s="90">
        <v>37170</v>
      </c>
      <c r="B6691" s="20">
        <v>4.1666666666666664E-2</v>
      </c>
      <c r="D6691">
        <v>71.06</v>
      </c>
      <c r="E6691" t="str">
        <f t="shared" si="244"/>
        <v>SATURDAY</v>
      </c>
      <c r="F6691" t="e">
        <f t="shared" si="243"/>
        <v>#N/A</v>
      </c>
      <c r="G6691" s="74">
        <v>29500</v>
      </c>
      <c r="H6691" s="77">
        <v>4.1666666666666664E-2</v>
      </c>
      <c r="J6691">
        <v>55.040000000000006</v>
      </c>
      <c r="M6691" s="74">
        <v>36439</v>
      </c>
      <c r="N6691" s="77">
        <v>4.1666666666666664E-2</v>
      </c>
      <c r="P6691">
        <v>44.6</v>
      </c>
      <c r="S6691" s="74">
        <v>37170</v>
      </c>
      <c r="T6691" s="77">
        <v>4.1666666666666664E-2</v>
      </c>
      <c r="V6691">
        <v>66.02</v>
      </c>
      <c r="X6691" s="42"/>
      <c r="AB6691">
        <v>59</v>
      </c>
      <c r="AC6691">
        <v>62.96</v>
      </c>
      <c r="AE6691" s="74"/>
      <c r="AF6691" s="77"/>
      <c r="AH6691" s="497">
        <v>48.2</v>
      </c>
      <c r="AJ6691" s="42"/>
      <c r="AK6691" s="74"/>
      <c r="AL6691" s="77"/>
      <c r="AN6691" s="497">
        <v>50</v>
      </c>
      <c r="AP6691" s="42"/>
      <c r="AQ6691" s="74"/>
      <c r="AR6691" s="77"/>
      <c r="AT6691" s="497">
        <v>44.96</v>
      </c>
      <c r="AV6691" s="42"/>
      <c r="AW6691" s="74"/>
      <c r="AX6691" s="77"/>
      <c r="BA6691" s="497">
        <v>50</v>
      </c>
      <c r="BB6691" s="42"/>
      <c r="BC6691" s="74"/>
      <c r="BD6691" s="77"/>
      <c r="BF6691">
        <v>51.980000000000004</v>
      </c>
      <c r="BH6691" s="42"/>
      <c r="BI6691" s="74"/>
      <c r="BJ6691" s="77"/>
      <c r="BL6691" s="497">
        <v>53.96</v>
      </c>
      <c r="BN6691" s="42"/>
      <c r="BO6691" s="74"/>
      <c r="BP6691" s="77"/>
      <c r="BR6691" s="497">
        <v>48.92</v>
      </c>
      <c r="BT6691" s="42"/>
    </row>
    <row r="6692" spans="1:72" x14ac:dyDescent="0.25">
      <c r="A6692" s="90">
        <v>37170</v>
      </c>
      <c r="B6692" s="20">
        <v>8.3333333333333329E-2</v>
      </c>
      <c r="D6692">
        <v>69.080000000000013</v>
      </c>
      <c r="E6692" t="str">
        <f t="shared" si="244"/>
        <v>SATURDAY</v>
      </c>
      <c r="F6692" t="e">
        <f t="shared" si="243"/>
        <v>#N/A</v>
      </c>
      <c r="G6692" s="74">
        <v>29500</v>
      </c>
      <c r="H6692" s="77">
        <v>8.3333333333333329E-2</v>
      </c>
      <c r="J6692">
        <v>54.68</v>
      </c>
      <c r="M6692" s="74">
        <v>36439</v>
      </c>
      <c r="N6692" s="77">
        <v>8.3333333333333329E-2</v>
      </c>
      <c r="P6692">
        <v>42.8</v>
      </c>
      <c r="S6692" s="74">
        <v>37170</v>
      </c>
      <c r="T6692" s="77">
        <v>8.3333333333333329E-2</v>
      </c>
      <c r="V6692">
        <v>66.02</v>
      </c>
      <c r="X6692" s="42"/>
      <c r="AB6692">
        <v>58.4</v>
      </c>
      <c r="AC6692">
        <v>64.94</v>
      </c>
      <c r="AE6692" s="74"/>
      <c r="AF6692" s="77"/>
      <c r="AH6692" s="497">
        <v>46.4</v>
      </c>
      <c r="AJ6692" s="42"/>
      <c r="AK6692" s="74"/>
      <c r="AL6692" s="77"/>
      <c r="AN6692" s="497">
        <v>48.019999999999996</v>
      </c>
      <c r="AP6692" s="42"/>
      <c r="AQ6692" s="74"/>
      <c r="AR6692" s="77"/>
      <c r="AT6692" s="497">
        <v>46.04</v>
      </c>
      <c r="AV6692" s="42"/>
      <c r="AW6692" s="74"/>
      <c r="AX6692" s="77"/>
      <c r="BA6692" s="497">
        <v>48.019999999999996</v>
      </c>
      <c r="BB6692" s="42"/>
      <c r="BC6692" s="74"/>
      <c r="BD6692" s="77"/>
      <c r="BF6692">
        <v>51.980000000000004</v>
      </c>
      <c r="BH6692" s="42"/>
      <c r="BI6692" s="74"/>
      <c r="BJ6692" s="77"/>
      <c r="BL6692" s="497">
        <v>53.96</v>
      </c>
      <c r="BN6692" s="42"/>
      <c r="BO6692" s="74"/>
      <c r="BP6692" s="77"/>
      <c r="BR6692" s="497">
        <v>46.94</v>
      </c>
      <c r="BT6692" s="42"/>
    </row>
    <row r="6693" spans="1:72" x14ac:dyDescent="0.25">
      <c r="A6693" s="90">
        <v>37170</v>
      </c>
      <c r="B6693" s="20">
        <v>0.125</v>
      </c>
      <c r="D6693">
        <v>69.98</v>
      </c>
      <c r="E6693" t="str">
        <f t="shared" si="244"/>
        <v>SATURDAY</v>
      </c>
      <c r="F6693" t="e">
        <f t="shared" si="243"/>
        <v>#N/A</v>
      </c>
      <c r="G6693" s="74">
        <v>29500</v>
      </c>
      <c r="H6693" s="77">
        <v>0.125</v>
      </c>
      <c r="J6693">
        <v>54.32</v>
      </c>
      <c r="M6693" s="74">
        <v>36439</v>
      </c>
      <c r="N6693" s="77">
        <v>0.125</v>
      </c>
      <c r="P6693">
        <v>41.18</v>
      </c>
      <c r="S6693" s="74">
        <v>37170</v>
      </c>
      <c r="T6693" s="77">
        <v>0.125</v>
      </c>
      <c r="V6693">
        <v>66.92</v>
      </c>
      <c r="X6693" s="42"/>
      <c r="AB6693">
        <v>57.8</v>
      </c>
      <c r="AC6693">
        <v>64.94</v>
      </c>
      <c r="AE6693" s="74"/>
      <c r="AF6693" s="77"/>
      <c r="AH6693" s="497">
        <v>44.6</v>
      </c>
      <c r="AJ6693" s="42"/>
      <c r="AK6693" s="74"/>
      <c r="AL6693" s="77"/>
      <c r="AN6693" s="497">
        <v>46.94</v>
      </c>
      <c r="AP6693" s="42"/>
      <c r="AQ6693" s="74"/>
      <c r="AR6693" s="77"/>
      <c r="AT6693" s="497">
        <v>46.94</v>
      </c>
      <c r="AV6693" s="42"/>
      <c r="AW6693" s="74"/>
      <c r="AX6693" s="77"/>
      <c r="BA6693" s="497">
        <v>46.94</v>
      </c>
      <c r="BB6693" s="42"/>
      <c r="BC6693" s="74"/>
      <c r="BD6693" s="77"/>
      <c r="BF6693">
        <v>51.980000000000004</v>
      </c>
      <c r="BH6693" s="42"/>
      <c r="BI6693" s="74"/>
      <c r="BJ6693" s="77"/>
      <c r="BL6693" s="497">
        <v>53.96</v>
      </c>
      <c r="BN6693" s="42"/>
      <c r="BO6693" s="74"/>
      <c r="BP6693" s="77"/>
      <c r="BR6693" s="497">
        <v>44.96</v>
      </c>
      <c r="BT6693" s="42"/>
    </row>
    <row r="6694" spans="1:72" x14ac:dyDescent="0.25">
      <c r="A6694" s="90">
        <v>37170</v>
      </c>
      <c r="B6694" s="20">
        <v>0.16666666666666666</v>
      </c>
      <c r="D6694">
        <v>69.98</v>
      </c>
      <c r="E6694" t="str">
        <f t="shared" si="244"/>
        <v>SATURDAY</v>
      </c>
      <c r="F6694" t="e">
        <f t="shared" si="243"/>
        <v>#N/A</v>
      </c>
      <c r="G6694" s="74">
        <v>29500</v>
      </c>
      <c r="H6694" s="77">
        <v>0.16666666666666666</v>
      </c>
      <c r="J6694">
        <v>53.96</v>
      </c>
      <c r="M6694" s="74">
        <v>36439</v>
      </c>
      <c r="N6694" s="77">
        <v>0.16666666666666666</v>
      </c>
      <c r="P6694">
        <v>39.200000000000003</v>
      </c>
      <c r="S6694" s="74">
        <v>37170</v>
      </c>
      <c r="T6694" s="77">
        <v>0.16666666666666666</v>
      </c>
      <c r="V6694">
        <v>66.92</v>
      </c>
      <c r="X6694" s="42"/>
      <c r="AB6694">
        <v>57.3</v>
      </c>
      <c r="AC6694">
        <v>64.94</v>
      </c>
      <c r="AE6694" s="74"/>
      <c r="AF6694" s="77"/>
      <c r="AH6694" s="497">
        <v>42.8</v>
      </c>
      <c r="AJ6694" s="42"/>
      <c r="AK6694" s="74"/>
      <c r="AL6694" s="77"/>
      <c r="AN6694" s="497">
        <v>46.04</v>
      </c>
      <c r="AP6694" s="42"/>
      <c r="AQ6694" s="74"/>
      <c r="AR6694" s="77"/>
      <c r="AT6694" s="497">
        <v>50</v>
      </c>
      <c r="AV6694" s="42"/>
      <c r="AW6694" s="74"/>
      <c r="AX6694" s="77"/>
      <c r="BA6694" s="497">
        <v>46.04</v>
      </c>
      <c r="BB6694" s="42"/>
      <c r="BC6694" s="74"/>
      <c r="BD6694" s="77"/>
      <c r="BF6694">
        <v>51.08</v>
      </c>
      <c r="BH6694" s="42"/>
      <c r="BI6694" s="74"/>
      <c r="BJ6694" s="77"/>
      <c r="BL6694" s="497">
        <v>53.96</v>
      </c>
      <c r="BN6694" s="42"/>
      <c r="BO6694" s="74"/>
      <c r="BP6694" s="77"/>
      <c r="BR6694" s="497">
        <v>44.06</v>
      </c>
      <c r="BT6694" s="42"/>
    </row>
    <row r="6695" spans="1:72" x14ac:dyDescent="0.25">
      <c r="A6695" s="90">
        <v>37170</v>
      </c>
      <c r="B6695" s="20">
        <v>0.20833333333333334</v>
      </c>
      <c r="D6695">
        <v>69.98</v>
      </c>
      <c r="E6695" t="str">
        <f t="shared" si="244"/>
        <v>SATURDAY</v>
      </c>
      <c r="F6695" t="e">
        <f t="shared" si="243"/>
        <v>#N/A</v>
      </c>
      <c r="G6695" s="74">
        <v>29500</v>
      </c>
      <c r="H6695" s="77">
        <v>0.20833333333333334</v>
      </c>
      <c r="J6695">
        <v>53.6</v>
      </c>
      <c r="M6695" s="74">
        <v>36439</v>
      </c>
      <c r="N6695" s="77">
        <v>0.20833333333333334</v>
      </c>
      <c r="P6695">
        <v>39.200000000000003</v>
      </c>
      <c r="S6695" s="74">
        <v>37170</v>
      </c>
      <c r="T6695" s="77">
        <v>0.20833333333333334</v>
      </c>
      <c r="V6695">
        <v>66.92</v>
      </c>
      <c r="X6695" s="42"/>
      <c r="AB6695">
        <v>56.8</v>
      </c>
      <c r="AC6695">
        <v>66.02</v>
      </c>
      <c r="AE6695" s="74"/>
      <c r="AF6695" s="77"/>
      <c r="AH6695" s="497">
        <v>42.8</v>
      </c>
      <c r="AJ6695" s="42"/>
      <c r="AK6695" s="74"/>
      <c r="AL6695" s="77"/>
      <c r="AN6695" s="497">
        <v>44.96</v>
      </c>
      <c r="AP6695" s="42"/>
      <c r="AQ6695" s="74"/>
      <c r="AR6695" s="77"/>
      <c r="AT6695" s="497">
        <v>48.92</v>
      </c>
      <c r="AV6695" s="42"/>
      <c r="AW6695" s="74"/>
      <c r="AX6695" s="77"/>
      <c r="BA6695" s="497">
        <v>44.96</v>
      </c>
      <c r="BB6695" s="42"/>
      <c r="BC6695" s="74"/>
      <c r="BD6695" s="77"/>
      <c r="BF6695">
        <v>51.08</v>
      </c>
      <c r="BH6695" s="42"/>
      <c r="BI6695" s="74"/>
      <c r="BJ6695" s="77"/>
      <c r="BL6695" s="497">
        <v>53.96</v>
      </c>
      <c r="BN6695" s="42"/>
      <c r="BO6695" s="74"/>
      <c r="BP6695" s="77"/>
      <c r="BR6695" s="497">
        <v>44.06</v>
      </c>
      <c r="BT6695" s="42"/>
    </row>
    <row r="6696" spans="1:72" x14ac:dyDescent="0.25">
      <c r="A6696" s="90">
        <v>37170</v>
      </c>
      <c r="B6696" s="20">
        <v>0.25</v>
      </c>
      <c r="D6696">
        <v>71.06</v>
      </c>
      <c r="E6696" t="str">
        <f t="shared" si="244"/>
        <v>SATURDAY</v>
      </c>
      <c r="F6696" t="e">
        <f t="shared" si="243"/>
        <v>#N/A</v>
      </c>
      <c r="G6696" s="74">
        <v>29500</v>
      </c>
      <c r="H6696" s="77">
        <v>0.25</v>
      </c>
      <c r="J6696">
        <v>53.42</v>
      </c>
      <c r="M6696" s="74">
        <v>36439</v>
      </c>
      <c r="N6696" s="77">
        <v>0.25</v>
      </c>
      <c r="P6696">
        <v>41</v>
      </c>
      <c r="S6696" s="74">
        <v>37170</v>
      </c>
      <c r="T6696" s="77">
        <v>0.25</v>
      </c>
      <c r="V6696">
        <v>66.92</v>
      </c>
      <c r="X6696" s="42"/>
      <c r="AB6696">
        <v>56.6</v>
      </c>
      <c r="AC6696">
        <v>66.02</v>
      </c>
      <c r="AE6696" s="74"/>
      <c r="AF6696" s="77"/>
      <c r="AH6696" s="497">
        <v>41</v>
      </c>
      <c r="AJ6696" s="42"/>
      <c r="AK6696" s="74"/>
      <c r="AL6696" s="77"/>
      <c r="AN6696" s="497">
        <v>42.980000000000004</v>
      </c>
      <c r="AP6696" s="42"/>
      <c r="AQ6696" s="74"/>
      <c r="AR6696" s="77"/>
      <c r="AT6696" s="497">
        <v>48.019999999999996</v>
      </c>
      <c r="AV6696" s="42"/>
      <c r="AW6696" s="74"/>
      <c r="AX6696" s="77"/>
      <c r="BA6696" s="497">
        <v>44.06</v>
      </c>
      <c r="BB6696" s="42"/>
      <c r="BC6696" s="74"/>
      <c r="BD6696" s="77"/>
      <c r="BF6696">
        <v>50</v>
      </c>
      <c r="BH6696" s="42"/>
      <c r="BI6696" s="74"/>
      <c r="BJ6696" s="77"/>
      <c r="BL6696" s="497">
        <v>51.980000000000004</v>
      </c>
      <c r="BN6696" s="42"/>
      <c r="BO6696" s="74"/>
      <c r="BP6696" s="77"/>
      <c r="BR6696" s="497">
        <v>44.06</v>
      </c>
      <c r="BT6696" s="42"/>
    </row>
    <row r="6697" spans="1:72" x14ac:dyDescent="0.25">
      <c r="A6697" s="90">
        <v>37170</v>
      </c>
      <c r="B6697" s="20">
        <v>0.29166666666666669</v>
      </c>
      <c r="D6697">
        <v>71.06</v>
      </c>
      <c r="E6697" t="str">
        <f t="shared" si="244"/>
        <v>SATURDAY</v>
      </c>
      <c r="F6697" t="e">
        <f t="shared" si="243"/>
        <v>#N/A</v>
      </c>
      <c r="G6697" s="74">
        <v>29500</v>
      </c>
      <c r="H6697" s="77">
        <v>0.29166666666666669</v>
      </c>
      <c r="J6697">
        <v>53.06</v>
      </c>
      <c r="M6697" s="74">
        <v>36439</v>
      </c>
      <c r="N6697" s="77">
        <v>0.29166666666666669</v>
      </c>
      <c r="P6697">
        <v>42.8</v>
      </c>
      <c r="S6697" s="74">
        <v>37170</v>
      </c>
      <c r="T6697" s="77">
        <v>0.29166666666666669</v>
      </c>
      <c r="V6697">
        <v>68</v>
      </c>
      <c r="X6697" s="42"/>
      <c r="AB6697">
        <v>56.4</v>
      </c>
      <c r="AC6697">
        <v>66.02</v>
      </c>
      <c r="AE6697" s="74"/>
      <c r="AF6697" s="77"/>
      <c r="AH6697" s="497">
        <v>44.6</v>
      </c>
      <c r="AJ6697" s="42"/>
      <c r="AK6697" s="74"/>
      <c r="AL6697" s="77"/>
      <c r="AN6697" s="497">
        <v>42.980000000000004</v>
      </c>
      <c r="AP6697" s="42"/>
      <c r="AQ6697" s="74"/>
      <c r="AR6697" s="77"/>
      <c r="AT6697" s="497">
        <v>48.92</v>
      </c>
      <c r="AV6697" s="42"/>
      <c r="AW6697" s="74"/>
      <c r="AX6697" s="77"/>
      <c r="BA6697" s="497">
        <v>44.06</v>
      </c>
      <c r="BB6697" s="42"/>
      <c r="BC6697" s="74"/>
      <c r="BD6697" s="77"/>
      <c r="BF6697">
        <v>50</v>
      </c>
      <c r="BH6697" s="42"/>
      <c r="BI6697" s="74"/>
      <c r="BJ6697" s="77"/>
      <c r="BL6697" s="497">
        <v>53.06</v>
      </c>
      <c r="BN6697" s="42"/>
      <c r="BO6697" s="74"/>
      <c r="BP6697" s="77"/>
      <c r="BR6697" s="497">
        <v>44.06</v>
      </c>
      <c r="BT6697" s="42"/>
    </row>
    <row r="6698" spans="1:72" x14ac:dyDescent="0.25">
      <c r="A6698" s="90">
        <v>37170</v>
      </c>
      <c r="B6698" s="20">
        <v>0.33333333333333331</v>
      </c>
      <c r="D6698">
        <v>69.080000000000013</v>
      </c>
      <c r="E6698" t="str">
        <f t="shared" si="244"/>
        <v>SATURDAY</v>
      </c>
      <c r="F6698" t="e">
        <f t="shared" si="243"/>
        <v>#N/A</v>
      </c>
      <c r="G6698" s="74">
        <v>29500</v>
      </c>
      <c r="H6698" s="77">
        <v>0.33333333333333331</v>
      </c>
      <c r="J6698">
        <v>54.32</v>
      </c>
      <c r="M6698" s="74">
        <v>36439</v>
      </c>
      <c r="N6698" s="77">
        <v>0.33333333333333331</v>
      </c>
      <c r="P6698">
        <v>50</v>
      </c>
      <c r="S6698" s="74">
        <v>37170</v>
      </c>
      <c r="T6698" s="77">
        <v>0.33333333333333331</v>
      </c>
      <c r="V6698">
        <v>68</v>
      </c>
      <c r="X6698" s="42"/>
      <c r="AB6698">
        <v>57.7</v>
      </c>
      <c r="AC6698">
        <v>66.92</v>
      </c>
      <c r="AE6698" s="74"/>
      <c r="AF6698" s="77"/>
      <c r="AH6698" s="497">
        <v>50</v>
      </c>
      <c r="AJ6698" s="42"/>
      <c r="AK6698" s="74"/>
      <c r="AL6698" s="77"/>
      <c r="AN6698" s="497">
        <v>44.06</v>
      </c>
      <c r="AP6698" s="42"/>
      <c r="AQ6698" s="74"/>
      <c r="AR6698" s="77"/>
      <c r="AT6698" s="497">
        <v>48.019999999999996</v>
      </c>
      <c r="AV6698" s="42"/>
      <c r="AW6698" s="74"/>
      <c r="AX6698" s="77"/>
      <c r="BA6698" s="497">
        <v>42.980000000000004</v>
      </c>
      <c r="BB6698" s="42"/>
      <c r="BC6698" s="74"/>
      <c r="BD6698" s="77"/>
      <c r="BF6698">
        <v>51.980000000000004</v>
      </c>
      <c r="BH6698" s="42"/>
      <c r="BI6698" s="74"/>
      <c r="BJ6698" s="77"/>
      <c r="BL6698" s="497">
        <v>55.040000000000006</v>
      </c>
      <c r="BN6698" s="42"/>
      <c r="BO6698" s="74"/>
      <c r="BP6698" s="77"/>
      <c r="BR6698" s="497">
        <v>44.06</v>
      </c>
      <c r="BT6698" s="42"/>
    </row>
    <row r="6699" spans="1:72" x14ac:dyDescent="0.25">
      <c r="A6699" s="90">
        <v>37170</v>
      </c>
      <c r="B6699" s="20">
        <v>0.375</v>
      </c>
      <c r="D6699">
        <v>68</v>
      </c>
      <c r="E6699" t="str">
        <f t="shared" si="244"/>
        <v>SATURDAY</v>
      </c>
      <c r="F6699" t="e">
        <f t="shared" ref="F6699:F6762" si="245">IF(E6699="WEEKDAY",VLOOKUP(B6699,$DD$19:$DG$42,2),IF(E6699="SATURDAY",VLOOKUP(B6699,$DD$19:$DG$42,3),VLOOKUP(B6699,$DD$19:$DG$42,4)))</f>
        <v>#N/A</v>
      </c>
      <c r="G6699" s="74">
        <v>29500</v>
      </c>
      <c r="H6699" s="77">
        <v>0.375</v>
      </c>
      <c r="J6699">
        <v>55.76</v>
      </c>
      <c r="M6699" s="74">
        <v>36439</v>
      </c>
      <c r="N6699" s="77">
        <v>0.375</v>
      </c>
      <c r="P6699">
        <v>51.8</v>
      </c>
      <c r="S6699" s="74">
        <v>37170</v>
      </c>
      <c r="T6699" s="77">
        <v>0.375</v>
      </c>
      <c r="V6699">
        <v>66.92</v>
      </c>
      <c r="X6699" s="42"/>
      <c r="AB6699">
        <v>60</v>
      </c>
      <c r="AC6699">
        <v>68</v>
      </c>
      <c r="AE6699" s="74"/>
      <c r="AF6699" s="77"/>
      <c r="AH6699" s="497">
        <v>55.400000000000006</v>
      </c>
      <c r="AJ6699" s="42"/>
      <c r="AK6699" s="74"/>
      <c r="AL6699" s="77"/>
      <c r="AN6699" s="497">
        <v>46.04</v>
      </c>
      <c r="AP6699" s="42"/>
      <c r="AQ6699" s="74"/>
      <c r="AR6699" s="77"/>
      <c r="AT6699" s="497">
        <v>48.92</v>
      </c>
      <c r="AV6699" s="42"/>
      <c r="AW6699" s="74"/>
      <c r="AX6699" s="77"/>
      <c r="BA6699" s="497">
        <v>46.94</v>
      </c>
      <c r="BB6699" s="42"/>
      <c r="BC6699" s="74"/>
      <c r="BD6699" s="77"/>
      <c r="BF6699">
        <v>53.96</v>
      </c>
      <c r="BH6699" s="42"/>
      <c r="BI6699" s="74"/>
      <c r="BJ6699" s="77"/>
      <c r="BL6699" s="497">
        <v>57.92</v>
      </c>
      <c r="BN6699" s="42"/>
      <c r="BO6699" s="74"/>
      <c r="BP6699" s="77"/>
      <c r="BR6699" s="497">
        <v>41</v>
      </c>
      <c r="BT6699" s="42"/>
    </row>
    <row r="6700" spans="1:72" x14ac:dyDescent="0.25">
      <c r="A6700" s="90">
        <v>37170</v>
      </c>
      <c r="B6700" s="20">
        <v>0.41666666666666669</v>
      </c>
      <c r="D6700">
        <v>62.96</v>
      </c>
      <c r="E6700" t="str">
        <f t="shared" si="244"/>
        <v>SATURDAY</v>
      </c>
      <c r="F6700" t="e">
        <f t="shared" si="245"/>
        <v>#N/A</v>
      </c>
      <c r="G6700" s="74">
        <v>29500</v>
      </c>
      <c r="H6700" s="77">
        <v>0.41666666666666669</v>
      </c>
      <c r="J6700">
        <v>57.019999999999996</v>
      </c>
      <c r="M6700" s="74">
        <v>36439</v>
      </c>
      <c r="N6700" s="77">
        <v>0.41666666666666669</v>
      </c>
      <c r="P6700">
        <v>55.400000000000006</v>
      </c>
      <c r="S6700" s="74">
        <v>37170</v>
      </c>
      <c r="T6700" s="77">
        <v>0.41666666666666669</v>
      </c>
      <c r="V6700">
        <v>62.06</v>
      </c>
      <c r="X6700" s="42"/>
      <c r="AB6700">
        <v>62</v>
      </c>
      <c r="AC6700">
        <v>69.080000000000013</v>
      </c>
      <c r="AE6700" s="74"/>
      <c r="AF6700" s="77"/>
      <c r="AH6700" s="497">
        <v>59</v>
      </c>
      <c r="AJ6700" s="42"/>
      <c r="AK6700" s="74"/>
      <c r="AL6700" s="77"/>
      <c r="AN6700" s="497">
        <v>42.08</v>
      </c>
      <c r="AP6700" s="42"/>
      <c r="AQ6700" s="74"/>
      <c r="AR6700" s="77"/>
      <c r="AT6700" s="497">
        <v>46.04</v>
      </c>
      <c r="AV6700" s="42"/>
      <c r="AW6700" s="74"/>
      <c r="AX6700" s="77"/>
      <c r="BA6700" s="497">
        <v>44.06</v>
      </c>
      <c r="BB6700" s="42"/>
      <c r="BC6700" s="74"/>
      <c r="BD6700" s="77"/>
      <c r="BF6700">
        <v>53.06</v>
      </c>
      <c r="BH6700" s="42"/>
      <c r="BI6700" s="74"/>
      <c r="BJ6700" s="77"/>
      <c r="BL6700" s="497">
        <v>59</v>
      </c>
      <c r="BN6700" s="42"/>
      <c r="BO6700" s="74"/>
      <c r="BP6700" s="77"/>
      <c r="BR6700" s="497">
        <v>41</v>
      </c>
      <c r="BT6700" s="42"/>
    </row>
    <row r="6701" spans="1:72" x14ac:dyDescent="0.25">
      <c r="A6701" s="90">
        <v>37170</v>
      </c>
      <c r="B6701" s="20">
        <v>0.45833333333333331</v>
      </c>
      <c r="D6701">
        <v>57.92</v>
      </c>
      <c r="E6701" t="str">
        <f t="shared" si="244"/>
        <v>SATURDAY</v>
      </c>
      <c r="F6701" t="e">
        <f t="shared" si="245"/>
        <v>#N/A</v>
      </c>
      <c r="G6701" s="74">
        <v>29500</v>
      </c>
      <c r="H6701" s="77">
        <v>0.45833333333333331</v>
      </c>
      <c r="J6701">
        <v>58.64</v>
      </c>
      <c r="M6701" s="74">
        <v>36439</v>
      </c>
      <c r="N6701" s="77">
        <v>0.45833333333333331</v>
      </c>
      <c r="P6701">
        <v>59</v>
      </c>
      <c r="S6701" s="74">
        <v>37170</v>
      </c>
      <c r="T6701" s="77">
        <v>0.45833333333333331</v>
      </c>
      <c r="V6701">
        <v>57.92</v>
      </c>
      <c r="X6701" s="42"/>
      <c r="AB6701">
        <v>63.7</v>
      </c>
      <c r="AC6701">
        <v>69.98</v>
      </c>
      <c r="AE6701" s="74"/>
      <c r="AF6701" s="77"/>
      <c r="AH6701" s="497">
        <v>62.6</v>
      </c>
      <c r="AJ6701" s="42"/>
      <c r="AK6701" s="74"/>
      <c r="AL6701" s="77"/>
      <c r="AN6701" s="497">
        <v>44.96</v>
      </c>
      <c r="AP6701" s="42"/>
      <c r="AQ6701" s="74"/>
      <c r="AR6701" s="77"/>
      <c r="AT6701" s="497">
        <v>50</v>
      </c>
      <c r="AV6701" s="42"/>
      <c r="AW6701" s="74"/>
      <c r="AX6701" s="77"/>
      <c r="BA6701" s="497">
        <v>42.980000000000004</v>
      </c>
      <c r="BB6701" s="42"/>
      <c r="BC6701" s="74"/>
      <c r="BD6701" s="77"/>
      <c r="BF6701">
        <v>53.96</v>
      </c>
      <c r="BH6701" s="42"/>
      <c r="BI6701" s="74"/>
      <c r="BJ6701" s="77"/>
      <c r="BL6701" s="497">
        <v>60.08</v>
      </c>
      <c r="BN6701" s="42"/>
      <c r="BO6701" s="74"/>
      <c r="BP6701" s="77"/>
      <c r="BR6701" s="497">
        <v>41</v>
      </c>
      <c r="BT6701" s="42"/>
    </row>
    <row r="6702" spans="1:72" x14ac:dyDescent="0.25">
      <c r="A6702" s="90">
        <v>37170</v>
      </c>
      <c r="B6702" s="20">
        <v>0.5</v>
      </c>
      <c r="D6702">
        <v>57.019999999999996</v>
      </c>
      <c r="E6702" t="str">
        <f t="shared" si="244"/>
        <v>SATURDAY</v>
      </c>
      <c r="F6702" t="e">
        <f t="shared" si="245"/>
        <v>#N/A</v>
      </c>
      <c r="G6702" s="74">
        <v>29500</v>
      </c>
      <c r="H6702" s="77">
        <v>0.5</v>
      </c>
      <c r="J6702">
        <v>60.44</v>
      </c>
      <c r="M6702" s="74">
        <v>36439</v>
      </c>
      <c r="N6702" s="77">
        <v>0.5</v>
      </c>
      <c r="P6702">
        <v>60.8</v>
      </c>
      <c r="S6702" s="74">
        <v>37170</v>
      </c>
      <c r="T6702" s="77">
        <v>0.5</v>
      </c>
      <c r="V6702">
        <v>55.94</v>
      </c>
      <c r="X6702" s="42"/>
      <c r="AB6702">
        <v>65.2</v>
      </c>
      <c r="AC6702">
        <v>69.98</v>
      </c>
      <c r="AE6702" s="74"/>
      <c r="AF6702" s="77"/>
      <c r="AH6702" s="497">
        <v>64.400000000000006</v>
      </c>
      <c r="AJ6702" s="42"/>
      <c r="AK6702" s="74"/>
      <c r="AL6702" s="77"/>
      <c r="AN6702" s="497">
        <v>46.04</v>
      </c>
      <c r="AP6702" s="42"/>
      <c r="AQ6702" s="74"/>
      <c r="AR6702" s="77"/>
      <c r="AT6702" s="497">
        <v>48.92</v>
      </c>
      <c r="AV6702" s="42"/>
      <c r="AW6702" s="74"/>
      <c r="AX6702" s="77"/>
      <c r="BA6702" s="497">
        <v>44.06</v>
      </c>
      <c r="BB6702" s="42"/>
      <c r="BC6702" s="74"/>
      <c r="BD6702" s="77"/>
      <c r="BF6702">
        <v>53.06</v>
      </c>
      <c r="BH6702" s="42"/>
      <c r="BI6702" s="74"/>
      <c r="BJ6702" s="77"/>
      <c r="BL6702" s="497">
        <v>57.92</v>
      </c>
      <c r="BN6702" s="42"/>
      <c r="BO6702" s="74"/>
      <c r="BP6702" s="77"/>
      <c r="BR6702" s="497">
        <v>41</v>
      </c>
      <c r="BT6702" s="42"/>
    </row>
    <row r="6703" spans="1:72" x14ac:dyDescent="0.25">
      <c r="A6703" s="90">
        <v>37170</v>
      </c>
      <c r="B6703" s="20">
        <v>0.54166666666666663</v>
      </c>
      <c r="D6703">
        <v>60.980000000000004</v>
      </c>
      <c r="E6703" t="str">
        <f t="shared" si="244"/>
        <v>SATURDAY</v>
      </c>
      <c r="F6703" t="e">
        <f t="shared" si="245"/>
        <v>#N/A</v>
      </c>
      <c r="G6703" s="74">
        <v>29500</v>
      </c>
      <c r="H6703" s="77">
        <v>0.54166666666666663</v>
      </c>
      <c r="J6703">
        <v>62.06</v>
      </c>
      <c r="M6703" s="74">
        <v>36439</v>
      </c>
      <c r="N6703" s="77">
        <v>0.54166666666666663</v>
      </c>
      <c r="P6703">
        <v>62.6</v>
      </c>
      <c r="S6703" s="74">
        <v>37170</v>
      </c>
      <c r="T6703" s="77">
        <v>0.54166666666666663</v>
      </c>
      <c r="V6703">
        <v>60.980000000000004</v>
      </c>
      <c r="X6703" s="42"/>
      <c r="AB6703">
        <v>66.2</v>
      </c>
      <c r="AC6703">
        <v>69.080000000000013</v>
      </c>
      <c r="AE6703" s="74"/>
      <c r="AF6703" s="77"/>
      <c r="AH6703" s="497">
        <v>64.400000000000006</v>
      </c>
      <c r="AJ6703" s="42"/>
      <c r="AK6703" s="74"/>
      <c r="AL6703" s="77"/>
      <c r="AN6703" s="497">
        <v>44.96</v>
      </c>
      <c r="AP6703" s="42"/>
      <c r="AQ6703" s="74"/>
      <c r="AR6703" s="77"/>
      <c r="AT6703" s="497">
        <v>48.019999999999996</v>
      </c>
      <c r="AV6703" s="42"/>
      <c r="AW6703" s="74"/>
      <c r="AX6703" s="77"/>
      <c r="BA6703" s="497">
        <v>42.980000000000004</v>
      </c>
      <c r="BB6703" s="42"/>
      <c r="BC6703" s="74"/>
      <c r="BD6703" s="77"/>
      <c r="BF6703">
        <v>53.06</v>
      </c>
      <c r="BH6703" s="42"/>
      <c r="BI6703" s="74"/>
      <c r="BJ6703" s="77"/>
      <c r="BL6703" s="497">
        <v>59</v>
      </c>
      <c r="BN6703" s="42"/>
      <c r="BO6703" s="74"/>
      <c r="BP6703" s="77"/>
      <c r="BR6703" s="497">
        <v>39.92</v>
      </c>
      <c r="BT6703" s="42"/>
    </row>
    <row r="6704" spans="1:72" x14ac:dyDescent="0.25">
      <c r="A6704" s="90">
        <v>37170</v>
      </c>
      <c r="B6704" s="20">
        <v>0.58333333333333337</v>
      </c>
      <c r="D6704">
        <v>62.06</v>
      </c>
      <c r="E6704" t="str">
        <f t="shared" si="244"/>
        <v>SATURDAY</v>
      </c>
      <c r="F6704" t="e">
        <f t="shared" si="245"/>
        <v>#N/A</v>
      </c>
      <c r="G6704" s="74">
        <v>29500</v>
      </c>
      <c r="H6704" s="77">
        <v>0.58333333333333337</v>
      </c>
      <c r="J6704">
        <v>62.06</v>
      </c>
      <c r="M6704" s="74">
        <v>36439</v>
      </c>
      <c r="N6704" s="77">
        <v>0.58333333333333337</v>
      </c>
      <c r="P6704">
        <v>64.400000000000006</v>
      </c>
      <c r="S6704" s="74">
        <v>37170</v>
      </c>
      <c r="T6704" s="77">
        <v>0.58333333333333337</v>
      </c>
      <c r="V6704">
        <v>62.06</v>
      </c>
      <c r="X6704" s="42"/>
      <c r="AB6704">
        <v>66.599999999999994</v>
      </c>
      <c r="AC6704">
        <v>71.06</v>
      </c>
      <c r="AE6704" s="74"/>
      <c r="AF6704" s="77"/>
      <c r="AH6704" s="497">
        <v>66.2</v>
      </c>
      <c r="AJ6704" s="42"/>
      <c r="AK6704" s="74"/>
      <c r="AL6704" s="77"/>
      <c r="AN6704" s="497">
        <v>46.94</v>
      </c>
      <c r="AP6704" s="42"/>
      <c r="AQ6704" s="74"/>
      <c r="AR6704" s="77"/>
      <c r="AT6704" s="497">
        <v>48.019999999999996</v>
      </c>
      <c r="AV6704" s="42"/>
      <c r="AW6704" s="74"/>
      <c r="AX6704" s="77"/>
      <c r="BA6704" s="497">
        <v>42.980000000000004</v>
      </c>
      <c r="BB6704" s="42"/>
      <c r="BC6704" s="74"/>
      <c r="BD6704" s="77"/>
      <c r="BF6704">
        <v>53.06</v>
      </c>
      <c r="BH6704" s="42"/>
      <c r="BI6704" s="74"/>
      <c r="BJ6704" s="77"/>
      <c r="BL6704" s="497">
        <v>60.08</v>
      </c>
      <c r="BN6704" s="42"/>
      <c r="BO6704" s="74"/>
      <c r="BP6704" s="77"/>
      <c r="BR6704" s="497">
        <v>41</v>
      </c>
      <c r="BT6704" s="42"/>
    </row>
    <row r="6705" spans="1:72" x14ac:dyDescent="0.25">
      <c r="A6705" s="90">
        <v>37170</v>
      </c>
      <c r="B6705" s="20">
        <v>0.625</v>
      </c>
      <c r="D6705">
        <v>62.96</v>
      </c>
      <c r="E6705" t="str">
        <f t="shared" si="244"/>
        <v>SATURDAY</v>
      </c>
      <c r="F6705" t="e">
        <f t="shared" si="245"/>
        <v>#N/A</v>
      </c>
      <c r="G6705" s="74">
        <v>29500</v>
      </c>
      <c r="H6705" s="77">
        <v>0.625</v>
      </c>
      <c r="J6705">
        <v>62.06</v>
      </c>
      <c r="M6705" s="74">
        <v>36439</v>
      </c>
      <c r="N6705" s="77">
        <v>0.625</v>
      </c>
      <c r="P6705">
        <v>62.6</v>
      </c>
      <c r="S6705" s="74">
        <v>37170</v>
      </c>
      <c r="T6705" s="77">
        <v>0.625</v>
      </c>
      <c r="V6705">
        <v>62.96</v>
      </c>
      <c r="X6705" s="42"/>
      <c r="AB6705">
        <v>66.8</v>
      </c>
      <c r="AC6705">
        <v>69.98</v>
      </c>
      <c r="AE6705" s="74"/>
      <c r="AF6705" s="77"/>
      <c r="AH6705" s="497">
        <v>66.2</v>
      </c>
      <c r="AJ6705" s="42"/>
      <c r="AK6705" s="74"/>
      <c r="AL6705" s="77"/>
      <c r="AN6705" s="497">
        <v>46.04</v>
      </c>
      <c r="AP6705" s="42"/>
      <c r="AQ6705" s="74"/>
      <c r="AR6705" s="77"/>
      <c r="AT6705" s="497">
        <v>46.04</v>
      </c>
      <c r="AV6705" s="42"/>
      <c r="AW6705" s="74"/>
      <c r="AX6705" s="77"/>
      <c r="BA6705" s="497">
        <v>44.06</v>
      </c>
      <c r="BB6705" s="42"/>
      <c r="BC6705" s="74"/>
      <c r="BD6705" s="77"/>
      <c r="BF6705">
        <v>53.06</v>
      </c>
      <c r="BH6705" s="42"/>
      <c r="BI6705" s="74"/>
      <c r="BJ6705" s="77"/>
      <c r="BL6705" s="497">
        <v>60.08</v>
      </c>
      <c r="BN6705" s="42"/>
      <c r="BO6705" s="74"/>
      <c r="BP6705" s="77"/>
      <c r="BR6705" s="497">
        <v>39.92</v>
      </c>
      <c r="BT6705" s="42"/>
    </row>
    <row r="6706" spans="1:72" x14ac:dyDescent="0.25">
      <c r="A6706" s="90">
        <v>37170</v>
      </c>
      <c r="B6706" s="20">
        <v>0.66666666666666663</v>
      </c>
      <c r="D6706">
        <v>62.06</v>
      </c>
      <c r="E6706" t="str">
        <f t="shared" si="244"/>
        <v>SATURDAY</v>
      </c>
      <c r="F6706" t="e">
        <f t="shared" si="245"/>
        <v>#N/A</v>
      </c>
      <c r="G6706" s="74">
        <v>29500</v>
      </c>
      <c r="H6706" s="77">
        <v>0.66666666666666663</v>
      </c>
      <c r="J6706">
        <v>62.06</v>
      </c>
      <c r="M6706" s="74">
        <v>36439</v>
      </c>
      <c r="N6706" s="77">
        <v>0.66666666666666663</v>
      </c>
      <c r="P6706">
        <v>60.8</v>
      </c>
      <c r="S6706" s="74">
        <v>37170</v>
      </c>
      <c r="T6706" s="77">
        <v>0.66666666666666663</v>
      </c>
      <c r="V6706">
        <v>60.980000000000004</v>
      </c>
      <c r="X6706" s="42"/>
      <c r="AB6706">
        <v>66.599999999999994</v>
      </c>
      <c r="AC6706">
        <v>69.080000000000013</v>
      </c>
      <c r="AE6706" s="74"/>
      <c r="AF6706" s="77"/>
      <c r="AH6706" s="497">
        <v>64.400000000000006</v>
      </c>
      <c r="AJ6706" s="42"/>
      <c r="AK6706" s="74"/>
      <c r="AL6706" s="77"/>
      <c r="AN6706" s="497">
        <v>46.94</v>
      </c>
      <c r="AP6706" s="42"/>
      <c r="AQ6706" s="74"/>
      <c r="AR6706" s="77"/>
      <c r="AT6706" s="497">
        <v>44.96</v>
      </c>
      <c r="AV6706" s="42"/>
      <c r="AW6706" s="74"/>
      <c r="AX6706" s="77"/>
      <c r="BA6706" s="497">
        <v>44.06</v>
      </c>
      <c r="BB6706" s="42"/>
      <c r="BC6706" s="74"/>
      <c r="BD6706" s="77"/>
      <c r="BF6706">
        <v>53.06</v>
      </c>
      <c r="BH6706" s="42"/>
      <c r="BI6706" s="74"/>
      <c r="BJ6706" s="77"/>
      <c r="BL6706" s="497">
        <v>57.019999999999996</v>
      </c>
      <c r="BN6706" s="42"/>
      <c r="BO6706" s="74"/>
      <c r="BP6706" s="77"/>
      <c r="BR6706" s="497">
        <v>41</v>
      </c>
      <c r="BT6706" s="42"/>
    </row>
    <row r="6707" spans="1:72" x14ac:dyDescent="0.25">
      <c r="A6707" s="90">
        <v>37170</v>
      </c>
      <c r="B6707" s="20">
        <v>0.70833333333333337</v>
      </c>
      <c r="D6707">
        <v>60.980000000000004</v>
      </c>
      <c r="E6707" t="str">
        <f t="shared" si="244"/>
        <v>SATURDAY</v>
      </c>
      <c r="F6707" t="e">
        <f t="shared" si="245"/>
        <v>#N/A</v>
      </c>
      <c r="G6707" s="74">
        <v>29500</v>
      </c>
      <c r="H6707" s="77">
        <v>0.70833333333333337</v>
      </c>
      <c r="J6707">
        <v>60.980000000000004</v>
      </c>
      <c r="M6707" s="74">
        <v>36439</v>
      </c>
      <c r="N6707" s="77">
        <v>0.70833333333333337</v>
      </c>
      <c r="P6707">
        <v>59</v>
      </c>
      <c r="S6707" s="74">
        <v>37170</v>
      </c>
      <c r="T6707" s="77">
        <v>0.70833333333333337</v>
      </c>
      <c r="V6707">
        <v>60.08</v>
      </c>
      <c r="X6707" s="42"/>
      <c r="AB6707">
        <v>65.7</v>
      </c>
      <c r="AC6707">
        <v>68</v>
      </c>
      <c r="AE6707" s="74"/>
      <c r="AF6707" s="77"/>
      <c r="AH6707" s="497">
        <v>62.6</v>
      </c>
      <c r="AJ6707" s="42"/>
      <c r="AK6707" s="74"/>
      <c r="AL6707" s="77"/>
      <c r="AN6707" s="497">
        <v>42.980000000000004</v>
      </c>
      <c r="AP6707" s="42"/>
      <c r="AQ6707" s="74"/>
      <c r="AR6707" s="77"/>
      <c r="AT6707" s="497">
        <v>44.06</v>
      </c>
      <c r="AV6707" s="42"/>
      <c r="AW6707" s="74"/>
      <c r="AX6707" s="77"/>
      <c r="BA6707" s="497">
        <v>44.06</v>
      </c>
      <c r="BB6707" s="42"/>
      <c r="BC6707" s="74"/>
      <c r="BD6707" s="77"/>
      <c r="BF6707">
        <v>53.06</v>
      </c>
      <c r="BH6707" s="42"/>
      <c r="BI6707" s="74"/>
      <c r="BJ6707" s="77"/>
      <c r="BL6707" s="497">
        <v>57.019999999999996</v>
      </c>
      <c r="BN6707" s="42"/>
      <c r="BO6707" s="74"/>
      <c r="BP6707" s="77"/>
      <c r="BR6707" s="497">
        <v>41</v>
      </c>
      <c r="BT6707" s="42"/>
    </row>
    <row r="6708" spans="1:72" x14ac:dyDescent="0.25">
      <c r="A6708" s="90">
        <v>37170</v>
      </c>
      <c r="B6708" s="20">
        <v>0.75</v>
      </c>
      <c r="D6708">
        <v>60.08</v>
      </c>
      <c r="E6708" t="str">
        <f t="shared" si="244"/>
        <v>SATURDAY</v>
      </c>
      <c r="F6708" t="e">
        <f t="shared" si="245"/>
        <v>#N/A</v>
      </c>
      <c r="G6708" s="74">
        <v>29500</v>
      </c>
      <c r="H6708" s="77">
        <v>0.75</v>
      </c>
      <c r="J6708">
        <v>60.08</v>
      </c>
      <c r="M6708" s="74">
        <v>36439</v>
      </c>
      <c r="N6708" s="77">
        <v>0.75</v>
      </c>
      <c r="P6708">
        <v>57.2</v>
      </c>
      <c r="S6708" s="74">
        <v>37170</v>
      </c>
      <c r="T6708" s="77">
        <v>0.75</v>
      </c>
      <c r="V6708">
        <v>59</v>
      </c>
      <c r="X6708" s="42"/>
      <c r="AB6708">
        <v>64.3</v>
      </c>
      <c r="AC6708">
        <v>68</v>
      </c>
      <c r="AE6708" s="74"/>
      <c r="AF6708" s="77"/>
      <c r="AH6708" s="497">
        <v>60.8</v>
      </c>
      <c r="AJ6708" s="42"/>
      <c r="AK6708" s="74"/>
      <c r="AL6708" s="77"/>
      <c r="AN6708" s="497">
        <v>41</v>
      </c>
      <c r="AP6708" s="42"/>
      <c r="AQ6708" s="74"/>
      <c r="AR6708" s="77"/>
      <c r="AT6708" s="497">
        <v>42.980000000000004</v>
      </c>
      <c r="AV6708" s="42"/>
      <c r="AW6708" s="74"/>
      <c r="AX6708" s="77"/>
      <c r="BA6708" s="497">
        <v>42.980000000000004</v>
      </c>
      <c r="BB6708" s="42"/>
      <c r="BC6708" s="74"/>
      <c r="BD6708" s="77"/>
      <c r="BF6708">
        <v>51.980000000000004</v>
      </c>
      <c r="BH6708" s="42"/>
      <c r="BI6708" s="74"/>
      <c r="BJ6708" s="77"/>
      <c r="BL6708" s="497">
        <v>55.040000000000006</v>
      </c>
      <c r="BN6708" s="42"/>
      <c r="BO6708" s="74"/>
      <c r="BP6708" s="77"/>
      <c r="BR6708" s="497">
        <v>39.92</v>
      </c>
      <c r="BT6708" s="42"/>
    </row>
    <row r="6709" spans="1:72" x14ac:dyDescent="0.25">
      <c r="A6709" s="90">
        <v>37170</v>
      </c>
      <c r="B6709" s="20">
        <v>0.79166666666666663</v>
      </c>
      <c r="D6709">
        <v>60.08</v>
      </c>
      <c r="E6709" t="str">
        <f t="shared" si="244"/>
        <v>SATURDAY</v>
      </c>
      <c r="F6709" t="e">
        <f t="shared" si="245"/>
        <v>#N/A</v>
      </c>
      <c r="G6709" s="74">
        <v>29500</v>
      </c>
      <c r="H6709" s="77">
        <v>0.79166666666666663</v>
      </c>
      <c r="J6709">
        <v>59</v>
      </c>
      <c r="M6709" s="74">
        <v>36439</v>
      </c>
      <c r="N6709" s="77">
        <v>0.79166666666666663</v>
      </c>
      <c r="P6709">
        <v>53.6</v>
      </c>
      <c r="S6709" s="74">
        <v>37170</v>
      </c>
      <c r="T6709" s="77">
        <v>0.79166666666666663</v>
      </c>
      <c r="V6709">
        <v>57.92</v>
      </c>
      <c r="X6709" s="42"/>
      <c r="AB6709">
        <v>62.8</v>
      </c>
      <c r="AC6709">
        <v>66.02</v>
      </c>
      <c r="AE6709" s="74"/>
      <c r="AF6709" s="77"/>
      <c r="AH6709" s="497">
        <v>60.8</v>
      </c>
      <c r="AJ6709" s="42"/>
      <c r="AK6709" s="74"/>
      <c r="AL6709" s="77"/>
      <c r="AN6709" s="497">
        <v>42.08</v>
      </c>
      <c r="AP6709" s="42"/>
      <c r="AQ6709" s="74"/>
      <c r="AR6709" s="77"/>
      <c r="AT6709" s="497">
        <v>41</v>
      </c>
      <c r="AV6709" s="42"/>
      <c r="AW6709" s="74"/>
      <c r="AX6709" s="77"/>
      <c r="BA6709" s="497">
        <v>42.08</v>
      </c>
      <c r="BB6709" s="42"/>
      <c r="BC6709" s="74"/>
      <c r="BD6709" s="77"/>
      <c r="BF6709">
        <v>51.08</v>
      </c>
      <c r="BH6709" s="42"/>
      <c r="BI6709" s="74"/>
      <c r="BJ6709" s="77"/>
      <c r="BL6709" s="497">
        <v>53.06</v>
      </c>
      <c r="BN6709" s="42"/>
      <c r="BO6709" s="74"/>
      <c r="BP6709" s="77"/>
      <c r="BR6709" s="497">
        <v>39.019999999999996</v>
      </c>
      <c r="BT6709" s="42"/>
    </row>
    <row r="6710" spans="1:72" x14ac:dyDescent="0.25">
      <c r="A6710" s="90">
        <v>37170</v>
      </c>
      <c r="B6710" s="20">
        <v>0.83333333333333337</v>
      </c>
      <c r="D6710">
        <v>59</v>
      </c>
      <c r="E6710" t="str">
        <f t="shared" si="244"/>
        <v>SATURDAY</v>
      </c>
      <c r="F6710" t="e">
        <f t="shared" si="245"/>
        <v>#N/A</v>
      </c>
      <c r="G6710" s="74">
        <v>29500</v>
      </c>
      <c r="H6710" s="77">
        <v>0.83333333333333337</v>
      </c>
      <c r="J6710">
        <v>58.28</v>
      </c>
      <c r="M6710" s="74">
        <v>36439</v>
      </c>
      <c r="N6710" s="77">
        <v>0.83333333333333337</v>
      </c>
      <c r="P6710">
        <v>51.8</v>
      </c>
      <c r="S6710" s="74">
        <v>37170</v>
      </c>
      <c r="T6710" s="77">
        <v>0.83333333333333337</v>
      </c>
      <c r="V6710">
        <v>55.94</v>
      </c>
      <c r="X6710" s="42"/>
      <c r="AB6710">
        <v>61.9</v>
      </c>
      <c r="AC6710">
        <v>64.039999999999992</v>
      </c>
      <c r="AE6710" s="74"/>
      <c r="AF6710" s="77"/>
      <c r="AH6710" s="497">
        <v>57.2</v>
      </c>
      <c r="AJ6710" s="42"/>
      <c r="AK6710" s="74"/>
      <c r="AL6710" s="77"/>
      <c r="AN6710" s="497">
        <v>42.08</v>
      </c>
      <c r="AP6710" s="42"/>
      <c r="AQ6710" s="74"/>
      <c r="AR6710" s="77"/>
      <c r="AT6710" s="497">
        <v>41</v>
      </c>
      <c r="AV6710" s="42"/>
      <c r="AW6710" s="74"/>
      <c r="AX6710" s="77"/>
      <c r="BA6710" s="497">
        <v>42.08</v>
      </c>
      <c r="BB6710" s="42"/>
      <c r="BC6710" s="74"/>
      <c r="BD6710" s="77"/>
      <c r="BF6710">
        <v>51.980000000000004</v>
      </c>
      <c r="BH6710" s="42"/>
      <c r="BI6710" s="74"/>
      <c r="BJ6710" s="77"/>
      <c r="BL6710" s="497">
        <v>53.06</v>
      </c>
      <c r="BN6710" s="42"/>
      <c r="BO6710" s="74"/>
      <c r="BP6710" s="77"/>
      <c r="BR6710" s="497">
        <v>37.94</v>
      </c>
      <c r="BT6710" s="42"/>
    </row>
    <row r="6711" spans="1:72" x14ac:dyDescent="0.25">
      <c r="A6711" s="90">
        <v>37170</v>
      </c>
      <c r="B6711" s="20">
        <v>0.875</v>
      </c>
      <c r="D6711">
        <v>57.92</v>
      </c>
      <c r="E6711" t="str">
        <f t="shared" si="244"/>
        <v>SATURDAY</v>
      </c>
      <c r="F6711" t="e">
        <f t="shared" si="245"/>
        <v>#N/A</v>
      </c>
      <c r="G6711" s="74">
        <v>29500</v>
      </c>
      <c r="H6711" s="77">
        <v>0.875</v>
      </c>
      <c r="J6711">
        <v>57.74</v>
      </c>
      <c r="M6711" s="74">
        <v>36439</v>
      </c>
      <c r="N6711" s="77">
        <v>0.875</v>
      </c>
      <c r="P6711">
        <v>50</v>
      </c>
      <c r="S6711" s="74">
        <v>37170</v>
      </c>
      <c r="T6711" s="77">
        <v>0.875</v>
      </c>
      <c r="V6711">
        <v>55.94</v>
      </c>
      <c r="X6711" s="42"/>
      <c r="AB6711">
        <v>61.3</v>
      </c>
      <c r="AC6711">
        <v>62.96</v>
      </c>
      <c r="AE6711" s="74"/>
      <c r="AF6711" s="77"/>
      <c r="AH6711" s="497">
        <v>55.400000000000006</v>
      </c>
      <c r="AJ6711" s="42"/>
      <c r="AK6711" s="74"/>
      <c r="AL6711" s="77"/>
      <c r="AN6711" s="497">
        <v>39.92</v>
      </c>
      <c r="AP6711" s="42"/>
      <c r="AQ6711" s="74"/>
      <c r="AR6711" s="77"/>
      <c r="AT6711" s="497">
        <v>39.92</v>
      </c>
      <c r="AV6711" s="42"/>
      <c r="AW6711" s="74"/>
      <c r="AX6711" s="77"/>
      <c r="BA6711" s="497">
        <v>42.08</v>
      </c>
      <c r="BB6711" s="42"/>
      <c r="BC6711" s="74"/>
      <c r="BD6711" s="77"/>
      <c r="BF6711">
        <v>51.08</v>
      </c>
      <c r="BH6711" s="42"/>
      <c r="BI6711" s="74"/>
      <c r="BJ6711" s="77"/>
      <c r="BL6711" s="497">
        <v>51.980000000000004</v>
      </c>
      <c r="BN6711" s="42"/>
      <c r="BO6711" s="74"/>
      <c r="BP6711" s="77"/>
      <c r="BR6711" s="497">
        <v>37.94</v>
      </c>
      <c r="BT6711" s="42"/>
    </row>
    <row r="6712" spans="1:72" x14ac:dyDescent="0.25">
      <c r="A6712" s="90">
        <v>37170</v>
      </c>
      <c r="B6712" s="20">
        <v>0.91666666666666663</v>
      </c>
      <c r="D6712">
        <v>57.92</v>
      </c>
      <c r="E6712" t="str">
        <f t="shared" si="244"/>
        <v>SATURDAY</v>
      </c>
      <c r="F6712" t="e">
        <f t="shared" si="245"/>
        <v>#N/A</v>
      </c>
      <c r="G6712" s="74">
        <v>29500</v>
      </c>
      <c r="H6712" s="77">
        <v>0.91666666666666663</v>
      </c>
      <c r="J6712">
        <v>57.019999999999996</v>
      </c>
      <c r="M6712" s="74">
        <v>36439</v>
      </c>
      <c r="N6712" s="77">
        <v>0.91666666666666663</v>
      </c>
      <c r="P6712">
        <v>48.2</v>
      </c>
      <c r="S6712" s="74">
        <v>37170</v>
      </c>
      <c r="T6712" s="77">
        <v>0.91666666666666663</v>
      </c>
      <c r="V6712">
        <v>55.94</v>
      </c>
      <c r="X6712" s="42"/>
      <c r="AB6712">
        <v>60.7</v>
      </c>
      <c r="AC6712">
        <v>60.980000000000004</v>
      </c>
      <c r="AE6712" s="74"/>
      <c r="AF6712" s="77"/>
      <c r="AH6712" s="497">
        <v>51.8</v>
      </c>
      <c r="AJ6712" s="42"/>
      <c r="AK6712" s="74"/>
      <c r="AL6712" s="77"/>
      <c r="AN6712" s="497">
        <v>37.94</v>
      </c>
      <c r="AP6712" s="42"/>
      <c r="AQ6712" s="74"/>
      <c r="AR6712" s="77"/>
      <c r="AT6712" s="497">
        <v>41</v>
      </c>
      <c r="AV6712" s="42"/>
      <c r="AW6712" s="74"/>
      <c r="AX6712" s="77"/>
      <c r="BA6712" s="497">
        <v>42.08</v>
      </c>
      <c r="BB6712" s="42"/>
      <c r="BC6712" s="74"/>
      <c r="BD6712" s="77"/>
      <c r="BF6712">
        <v>50</v>
      </c>
      <c r="BH6712" s="42"/>
      <c r="BI6712" s="74"/>
      <c r="BJ6712" s="77"/>
      <c r="BL6712" s="497">
        <v>51.08</v>
      </c>
      <c r="BN6712" s="42"/>
      <c r="BO6712" s="74"/>
      <c r="BP6712" s="77"/>
      <c r="BR6712" s="497">
        <v>37.04</v>
      </c>
      <c r="BT6712" s="42"/>
    </row>
    <row r="6713" spans="1:72" x14ac:dyDescent="0.25">
      <c r="A6713" s="90">
        <v>37170</v>
      </c>
      <c r="B6713" s="20">
        <v>0.95833333333333337</v>
      </c>
      <c r="D6713">
        <v>55.94</v>
      </c>
      <c r="E6713" t="str">
        <f t="shared" si="244"/>
        <v>SATURDAY</v>
      </c>
      <c r="F6713" t="e">
        <f t="shared" si="245"/>
        <v>#N/A</v>
      </c>
      <c r="G6713" s="74">
        <v>29500</v>
      </c>
      <c r="H6713" s="77">
        <v>0.95833333333333337</v>
      </c>
      <c r="J6713">
        <v>55.94</v>
      </c>
      <c r="M6713" s="74">
        <v>36439</v>
      </c>
      <c r="N6713" s="77">
        <v>0.95833333333333337</v>
      </c>
      <c r="P6713">
        <v>46.4</v>
      </c>
      <c r="S6713" s="74">
        <v>37170</v>
      </c>
      <c r="T6713" s="77">
        <v>0.95833333333333337</v>
      </c>
      <c r="V6713">
        <v>55.040000000000006</v>
      </c>
      <c r="X6713" s="42"/>
      <c r="AB6713">
        <v>59.9</v>
      </c>
      <c r="AC6713">
        <v>59</v>
      </c>
      <c r="AE6713" s="74"/>
      <c r="AF6713" s="77"/>
      <c r="AH6713" s="497">
        <v>48.2</v>
      </c>
      <c r="AJ6713" s="42"/>
      <c r="AK6713" s="74"/>
      <c r="AL6713" s="77"/>
      <c r="AN6713" s="497">
        <v>37.94</v>
      </c>
      <c r="AP6713" s="42"/>
      <c r="AQ6713" s="74"/>
      <c r="AR6713" s="77"/>
      <c r="AT6713" s="497">
        <v>39.019999999999996</v>
      </c>
      <c r="AV6713" s="42"/>
      <c r="AW6713" s="74"/>
      <c r="AX6713" s="77"/>
      <c r="BA6713" s="497">
        <v>42.08</v>
      </c>
      <c r="BB6713" s="42"/>
      <c r="BC6713" s="74"/>
      <c r="BD6713" s="77"/>
      <c r="BF6713">
        <v>48.92</v>
      </c>
      <c r="BH6713" s="42"/>
      <c r="BI6713" s="74"/>
      <c r="BJ6713" s="77"/>
      <c r="BL6713" s="497">
        <v>50</v>
      </c>
      <c r="BN6713" s="42"/>
      <c r="BO6713" s="74"/>
      <c r="BP6713" s="77"/>
      <c r="BR6713" s="497">
        <v>33.979999999999997</v>
      </c>
      <c r="BT6713" s="42"/>
    </row>
    <row r="6714" spans="1:72" x14ac:dyDescent="0.25">
      <c r="A6714" s="90">
        <v>37170</v>
      </c>
      <c r="B6714" s="20">
        <v>1</v>
      </c>
      <c r="D6714">
        <v>53.96</v>
      </c>
      <c r="E6714" t="str">
        <f t="shared" si="244"/>
        <v>SATURDAY</v>
      </c>
      <c r="F6714" t="e">
        <f t="shared" si="245"/>
        <v>#N/A</v>
      </c>
      <c r="G6714" s="74">
        <v>29500</v>
      </c>
      <c r="H6714" s="77">
        <v>1</v>
      </c>
      <c r="J6714">
        <v>55.040000000000006</v>
      </c>
      <c r="M6714" s="74">
        <v>36439</v>
      </c>
      <c r="N6714" s="80">
        <v>1</v>
      </c>
      <c r="P6714">
        <v>44.6</v>
      </c>
      <c r="S6714" s="74">
        <v>37170</v>
      </c>
      <c r="T6714" s="80">
        <v>1</v>
      </c>
      <c r="V6714">
        <v>53.96</v>
      </c>
      <c r="X6714" s="42"/>
      <c r="AB6714">
        <v>59.2</v>
      </c>
      <c r="AC6714">
        <v>57.019999999999996</v>
      </c>
      <c r="AE6714" s="74"/>
      <c r="AF6714" s="80"/>
      <c r="AH6714" s="497">
        <v>50</v>
      </c>
      <c r="AJ6714" s="42"/>
      <c r="AK6714" s="74"/>
      <c r="AL6714" s="80"/>
      <c r="AN6714" s="497">
        <v>37.04</v>
      </c>
      <c r="AP6714" s="42"/>
      <c r="AQ6714" s="74"/>
      <c r="AR6714" s="80"/>
      <c r="AT6714" s="497">
        <v>35.06</v>
      </c>
      <c r="AV6714" s="42"/>
      <c r="AW6714" s="74"/>
      <c r="AX6714" s="80"/>
      <c r="BA6714" s="497">
        <v>42.08</v>
      </c>
      <c r="BB6714" s="42"/>
      <c r="BC6714" s="74"/>
      <c r="BD6714" s="80"/>
      <c r="BF6714">
        <v>48.92</v>
      </c>
      <c r="BH6714" s="42"/>
      <c r="BI6714" s="74"/>
      <c r="BJ6714" s="80"/>
      <c r="BL6714" s="497">
        <v>51.08</v>
      </c>
      <c r="BN6714" s="42"/>
      <c r="BO6714" s="74"/>
      <c r="BP6714" s="80"/>
      <c r="BR6714" s="497">
        <v>30.92</v>
      </c>
      <c r="BT6714" s="42"/>
    </row>
    <row r="6715" spans="1:72" x14ac:dyDescent="0.25">
      <c r="A6715" s="90">
        <v>37171</v>
      </c>
      <c r="B6715" s="20">
        <v>4.1666666666666664E-2</v>
      </c>
      <c r="D6715">
        <v>53.06</v>
      </c>
      <c r="E6715" t="str">
        <f t="shared" si="244"/>
        <v>SUNDAY</v>
      </c>
      <c r="F6715" t="e">
        <f t="shared" si="245"/>
        <v>#N/A</v>
      </c>
      <c r="G6715" s="74">
        <v>29501</v>
      </c>
      <c r="H6715" s="77">
        <v>4.1666666666666664E-2</v>
      </c>
      <c r="J6715">
        <v>53.96</v>
      </c>
      <c r="M6715" s="74">
        <v>36440</v>
      </c>
      <c r="N6715" s="77">
        <v>4.1666666666666664E-2</v>
      </c>
      <c r="P6715">
        <v>42.8</v>
      </c>
      <c r="S6715" s="74">
        <v>37171</v>
      </c>
      <c r="T6715" s="77">
        <v>4.1666666666666664E-2</v>
      </c>
      <c r="V6715">
        <v>51.08</v>
      </c>
      <c r="X6715" s="42"/>
      <c r="AB6715">
        <v>58.6</v>
      </c>
      <c r="AC6715">
        <v>53.96</v>
      </c>
      <c r="AE6715" s="74"/>
      <c r="AF6715" s="77"/>
      <c r="AH6715" s="497">
        <v>53.6</v>
      </c>
      <c r="AJ6715" s="42"/>
      <c r="AK6715" s="74"/>
      <c r="AL6715" s="77"/>
      <c r="AN6715" s="497">
        <v>35.96</v>
      </c>
      <c r="AP6715" s="42"/>
      <c r="AQ6715" s="74"/>
      <c r="AR6715" s="77"/>
      <c r="AT6715" s="497">
        <v>32</v>
      </c>
      <c r="AV6715" s="42"/>
      <c r="AW6715" s="74"/>
      <c r="AX6715" s="77"/>
      <c r="BA6715" s="497">
        <v>42.08</v>
      </c>
      <c r="BB6715" s="42"/>
      <c r="BC6715" s="74"/>
      <c r="BD6715" s="77"/>
      <c r="BF6715">
        <v>48.019999999999996</v>
      </c>
      <c r="BH6715" s="42"/>
      <c r="BI6715" s="74"/>
      <c r="BJ6715" s="77"/>
      <c r="BL6715" s="497">
        <v>51.08</v>
      </c>
      <c r="BN6715" s="42"/>
      <c r="BO6715" s="74"/>
      <c r="BP6715" s="77"/>
      <c r="BR6715" s="497">
        <v>35.06</v>
      </c>
      <c r="BT6715" s="42"/>
    </row>
    <row r="6716" spans="1:72" x14ac:dyDescent="0.25">
      <c r="A6716" s="90">
        <v>37171</v>
      </c>
      <c r="B6716" s="20">
        <v>8.3333333333333329E-2</v>
      </c>
      <c r="D6716">
        <v>51.980000000000004</v>
      </c>
      <c r="E6716" t="str">
        <f t="shared" si="244"/>
        <v>SUNDAY</v>
      </c>
      <c r="F6716" t="e">
        <f t="shared" si="245"/>
        <v>#N/A</v>
      </c>
      <c r="G6716" s="74">
        <v>29501</v>
      </c>
      <c r="H6716" s="77">
        <v>8.3333333333333329E-2</v>
      </c>
      <c r="J6716">
        <v>53.6</v>
      </c>
      <c r="M6716" s="74">
        <v>36440</v>
      </c>
      <c r="N6716" s="77">
        <v>8.3333333333333329E-2</v>
      </c>
      <c r="P6716">
        <v>39.200000000000003</v>
      </c>
      <c r="S6716" s="74">
        <v>37171</v>
      </c>
      <c r="T6716" s="77">
        <v>8.3333333333333329E-2</v>
      </c>
      <c r="V6716">
        <v>50</v>
      </c>
      <c r="X6716" s="42"/>
      <c r="AB6716">
        <v>58</v>
      </c>
      <c r="AC6716">
        <v>53.06</v>
      </c>
      <c r="AE6716" s="74"/>
      <c r="AF6716" s="77"/>
      <c r="AH6716" s="497">
        <v>57.2</v>
      </c>
      <c r="AJ6716" s="42"/>
      <c r="AK6716" s="74"/>
      <c r="AL6716" s="77"/>
      <c r="AN6716" s="497">
        <v>35.06</v>
      </c>
      <c r="AP6716" s="42"/>
      <c r="AQ6716" s="74"/>
      <c r="AR6716" s="77"/>
      <c r="AT6716" s="497">
        <v>33.979999999999997</v>
      </c>
      <c r="AV6716" s="42"/>
      <c r="AW6716" s="74"/>
      <c r="AX6716" s="77"/>
      <c r="BA6716" s="497">
        <v>41</v>
      </c>
      <c r="BB6716" s="42"/>
      <c r="BC6716" s="74"/>
      <c r="BD6716" s="77"/>
      <c r="BF6716">
        <v>46.94</v>
      </c>
      <c r="BH6716" s="42"/>
      <c r="BI6716" s="74"/>
      <c r="BJ6716" s="77"/>
      <c r="BL6716" s="497">
        <v>51.08</v>
      </c>
      <c r="BN6716" s="42"/>
      <c r="BO6716" s="74"/>
      <c r="BP6716" s="77"/>
      <c r="BR6716" s="497">
        <v>30.02</v>
      </c>
      <c r="BT6716" s="42"/>
    </row>
    <row r="6717" spans="1:72" x14ac:dyDescent="0.25">
      <c r="A6717" s="90">
        <v>37171</v>
      </c>
      <c r="B6717" s="20">
        <v>0.125</v>
      </c>
      <c r="D6717">
        <v>50</v>
      </c>
      <c r="E6717" t="str">
        <f t="shared" si="244"/>
        <v>SUNDAY</v>
      </c>
      <c r="F6717" t="e">
        <f t="shared" si="245"/>
        <v>#N/A</v>
      </c>
      <c r="G6717" s="74">
        <v>29501</v>
      </c>
      <c r="H6717" s="77">
        <v>0.125</v>
      </c>
      <c r="J6717">
        <v>53.42</v>
      </c>
      <c r="M6717" s="74">
        <v>36440</v>
      </c>
      <c r="N6717" s="77">
        <v>0.125</v>
      </c>
      <c r="P6717">
        <v>39.380000000000003</v>
      </c>
      <c r="S6717" s="74">
        <v>37171</v>
      </c>
      <c r="T6717" s="77">
        <v>0.125</v>
      </c>
      <c r="V6717">
        <v>48.92</v>
      </c>
      <c r="X6717" s="42"/>
      <c r="AB6717">
        <v>57.4</v>
      </c>
      <c r="AC6717">
        <v>53.06</v>
      </c>
      <c r="AE6717" s="74"/>
      <c r="AF6717" s="77"/>
      <c r="AH6717" s="497">
        <v>57.2</v>
      </c>
      <c r="AJ6717" s="42"/>
      <c r="AK6717" s="74"/>
      <c r="AL6717" s="77"/>
      <c r="AN6717" s="497">
        <v>37.04</v>
      </c>
      <c r="AP6717" s="42"/>
      <c r="AQ6717" s="74"/>
      <c r="AR6717" s="77"/>
      <c r="AT6717" s="497">
        <v>33.979999999999997</v>
      </c>
      <c r="AV6717" s="42"/>
      <c r="AW6717" s="74"/>
      <c r="AX6717" s="77"/>
      <c r="BA6717" s="497">
        <v>39.92</v>
      </c>
      <c r="BB6717" s="42"/>
      <c r="BC6717" s="74"/>
      <c r="BD6717" s="77"/>
      <c r="BF6717">
        <v>46.94</v>
      </c>
      <c r="BH6717" s="42"/>
      <c r="BI6717" s="74"/>
      <c r="BJ6717" s="77"/>
      <c r="BL6717" s="497">
        <v>50</v>
      </c>
      <c r="BN6717" s="42"/>
      <c r="BO6717" s="74"/>
      <c r="BP6717" s="77"/>
      <c r="BR6717" s="497">
        <v>28.94</v>
      </c>
      <c r="BT6717" s="42"/>
    </row>
    <row r="6718" spans="1:72" x14ac:dyDescent="0.25">
      <c r="A6718" s="90">
        <v>37171</v>
      </c>
      <c r="B6718" s="20">
        <v>0.16666666666666666</v>
      </c>
      <c r="D6718">
        <v>50</v>
      </c>
      <c r="E6718" t="str">
        <f t="shared" si="244"/>
        <v>SUNDAY</v>
      </c>
      <c r="F6718" t="e">
        <f t="shared" si="245"/>
        <v>#N/A</v>
      </c>
      <c r="G6718" s="74">
        <v>29501</v>
      </c>
      <c r="H6718" s="77">
        <v>0.16666666666666666</v>
      </c>
      <c r="J6718">
        <v>53.06</v>
      </c>
      <c r="M6718" s="74">
        <v>36440</v>
      </c>
      <c r="N6718" s="77">
        <v>0.16666666666666666</v>
      </c>
      <c r="P6718">
        <v>39.200000000000003</v>
      </c>
      <c r="S6718" s="74">
        <v>37171</v>
      </c>
      <c r="T6718" s="77">
        <v>0.16666666666666666</v>
      </c>
      <c r="V6718">
        <v>48.019999999999996</v>
      </c>
      <c r="X6718" s="42"/>
      <c r="AB6718">
        <v>56.9</v>
      </c>
      <c r="AC6718">
        <v>50</v>
      </c>
      <c r="AE6718" s="74"/>
      <c r="AF6718" s="77"/>
      <c r="AH6718" s="497">
        <v>57.2</v>
      </c>
      <c r="AJ6718" s="42"/>
      <c r="AK6718" s="74"/>
      <c r="AL6718" s="77"/>
      <c r="AN6718" s="497">
        <v>37.04</v>
      </c>
      <c r="AP6718" s="42"/>
      <c r="AQ6718" s="74"/>
      <c r="AR6718" s="77"/>
      <c r="AT6718" s="497">
        <v>30.02</v>
      </c>
      <c r="AV6718" s="42"/>
      <c r="AW6718" s="74"/>
      <c r="AX6718" s="77"/>
      <c r="BA6718" s="497">
        <v>39.92</v>
      </c>
      <c r="BB6718" s="42"/>
      <c r="BC6718" s="74"/>
      <c r="BD6718" s="77"/>
      <c r="BF6718">
        <v>46.04</v>
      </c>
      <c r="BH6718" s="42"/>
      <c r="BI6718" s="74"/>
      <c r="BJ6718" s="77"/>
      <c r="BL6718" s="497">
        <v>48.92</v>
      </c>
      <c r="BN6718" s="42"/>
      <c r="BO6718" s="74"/>
      <c r="BP6718" s="77"/>
      <c r="BR6718" s="497">
        <v>28.94</v>
      </c>
      <c r="BT6718" s="42"/>
    </row>
    <row r="6719" spans="1:72" x14ac:dyDescent="0.25">
      <c r="A6719" s="90">
        <v>37171</v>
      </c>
      <c r="B6719" s="20">
        <v>0.20833333333333334</v>
      </c>
      <c r="D6719">
        <v>48.92</v>
      </c>
      <c r="E6719" t="str">
        <f t="shared" si="244"/>
        <v>SUNDAY</v>
      </c>
      <c r="F6719" t="e">
        <f t="shared" si="245"/>
        <v>#N/A</v>
      </c>
      <c r="G6719" s="74">
        <v>29501</v>
      </c>
      <c r="H6719" s="77">
        <v>0.20833333333333334</v>
      </c>
      <c r="J6719">
        <v>53.06</v>
      </c>
      <c r="M6719" s="74">
        <v>36440</v>
      </c>
      <c r="N6719" s="77">
        <v>0.20833333333333334</v>
      </c>
      <c r="P6719">
        <v>39.200000000000003</v>
      </c>
      <c r="S6719" s="74">
        <v>37171</v>
      </c>
      <c r="T6719" s="77">
        <v>0.20833333333333334</v>
      </c>
      <c r="V6719">
        <v>48.019999999999996</v>
      </c>
      <c r="X6719" s="42"/>
      <c r="AB6719">
        <v>56.4</v>
      </c>
      <c r="AC6719">
        <v>48.92</v>
      </c>
      <c r="AE6719" s="74"/>
      <c r="AF6719" s="77"/>
      <c r="AH6719" s="497">
        <v>57.2</v>
      </c>
      <c r="AJ6719" s="42"/>
      <c r="AK6719" s="74"/>
      <c r="AL6719" s="77"/>
      <c r="AN6719" s="497">
        <v>37.04</v>
      </c>
      <c r="AP6719" s="42"/>
      <c r="AQ6719" s="74"/>
      <c r="AR6719" s="77"/>
      <c r="AT6719" s="497">
        <v>28.94</v>
      </c>
      <c r="AV6719" s="42"/>
      <c r="AW6719" s="74"/>
      <c r="AX6719" s="77"/>
      <c r="BA6719" s="497">
        <v>39.92</v>
      </c>
      <c r="BB6719" s="42"/>
      <c r="BC6719" s="74"/>
      <c r="BD6719" s="77"/>
      <c r="BF6719">
        <v>46.04</v>
      </c>
      <c r="BH6719" s="42"/>
      <c r="BI6719" s="74"/>
      <c r="BJ6719" s="77"/>
      <c r="BL6719" s="497">
        <v>48.019999999999996</v>
      </c>
      <c r="BN6719" s="42"/>
      <c r="BO6719" s="74"/>
      <c r="BP6719" s="77"/>
      <c r="BR6719" s="497">
        <v>30.02</v>
      </c>
      <c r="BT6719" s="42"/>
    </row>
    <row r="6720" spans="1:72" x14ac:dyDescent="0.25">
      <c r="A6720" s="90">
        <v>37171</v>
      </c>
      <c r="B6720" s="20">
        <v>0.25</v>
      </c>
      <c r="D6720">
        <v>48.019999999999996</v>
      </c>
      <c r="E6720" t="str">
        <f t="shared" si="244"/>
        <v>SUNDAY</v>
      </c>
      <c r="F6720" t="e">
        <f t="shared" si="245"/>
        <v>#N/A</v>
      </c>
      <c r="G6720" s="74">
        <v>29501</v>
      </c>
      <c r="H6720" s="77">
        <v>0.25</v>
      </c>
      <c r="J6720">
        <v>53.06</v>
      </c>
      <c r="M6720" s="74">
        <v>36440</v>
      </c>
      <c r="N6720" s="77">
        <v>0.25</v>
      </c>
      <c r="P6720">
        <v>35.6</v>
      </c>
      <c r="S6720" s="74">
        <v>37171</v>
      </c>
      <c r="T6720" s="77">
        <v>0.25</v>
      </c>
      <c r="V6720">
        <v>46.94</v>
      </c>
      <c r="X6720" s="42"/>
      <c r="AB6720">
        <v>56.1</v>
      </c>
      <c r="AC6720">
        <v>48.019999999999996</v>
      </c>
      <c r="AE6720" s="74"/>
      <c r="AF6720" s="77"/>
      <c r="AH6720" s="497">
        <v>59</v>
      </c>
      <c r="AJ6720" s="42"/>
      <c r="AK6720" s="74"/>
      <c r="AL6720" s="77"/>
      <c r="AN6720" s="497">
        <v>37.94</v>
      </c>
      <c r="AP6720" s="42"/>
      <c r="AQ6720" s="74"/>
      <c r="AR6720" s="77"/>
      <c r="AT6720" s="497">
        <v>30.92</v>
      </c>
      <c r="AV6720" s="42"/>
      <c r="AW6720" s="74"/>
      <c r="AX6720" s="77"/>
      <c r="BA6720" s="497">
        <v>39.019999999999996</v>
      </c>
      <c r="BB6720" s="42"/>
      <c r="BC6720" s="74"/>
      <c r="BD6720" s="77"/>
      <c r="BF6720">
        <v>44.96</v>
      </c>
      <c r="BH6720" s="42"/>
      <c r="BI6720" s="74"/>
      <c r="BJ6720" s="77"/>
      <c r="BL6720" s="497">
        <v>48.019999999999996</v>
      </c>
      <c r="BN6720" s="42"/>
      <c r="BO6720" s="74"/>
      <c r="BP6720" s="77"/>
      <c r="BR6720" s="497">
        <v>26.96</v>
      </c>
      <c r="BT6720" s="42"/>
    </row>
    <row r="6721" spans="1:72" x14ac:dyDescent="0.25">
      <c r="A6721" s="90">
        <v>37171</v>
      </c>
      <c r="B6721" s="20">
        <v>0.29166666666666669</v>
      </c>
      <c r="D6721">
        <v>48.019999999999996</v>
      </c>
      <c r="E6721" t="str">
        <f t="shared" si="244"/>
        <v>SUNDAY</v>
      </c>
      <c r="F6721" t="e">
        <f t="shared" si="245"/>
        <v>#N/A</v>
      </c>
      <c r="G6721" s="74">
        <v>29501</v>
      </c>
      <c r="H6721" s="77">
        <v>0.29166666666666669</v>
      </c>
      <c r="J6721">
        <v>53.06</v>
      </c>
      <c r="M6721" s="74">
        <v>36440</v>
      </c>
      <c r="N6721" s="77">
        <v>0.29166666666666669</v>
      </c>
      <c r="P6721">
        <v>39.200000000000003</v>
      </c>
      <c r="S6721" s="74">
        <v>37171</v>
      </c>
      <c r="T6721" s="77">
        <v>0.29166666666666669</v>
      </c>
      <c r="V6721">
        <v>48.019999999999996</v>
      </c>
      <c r="X6721" s="42"/>
      <c r="AB6721">
        <v>56</v>
      </c>
      <c r="AC6721">
        <v>51.08</v>
      </c>
      <c r="AE6721" s="74"/>
      <c r="AF6721" s="77"/>
      <c r="AH6721" s="497">
        <v>58.28</v>
      </c>
      <c r="AJ6721" s="42"/>
      <c r="AK6721" s="74"/>
      <c r="AL6721" s="77"/>
      <c r="AN6721" s="497">
        <v>37.94</v>
      </c>
      <c r="AP6721" s="42"/>
      <c r="AQ6721" s="74"/>
      <c r="AR6721" s="77"/>
      <c r="AT6721" s="497">
        <v>32</v>
      </c>
      <c r="AV6721" s="42"/>
      <c r="AW6721" s="74"/>
      <c r="AX6721" s="77"/>
      <c r="BA6721" s="497">
        <v>41</v>
      </c>
      <c r="BB6721" s="42"/>
      <c r="BC6721" s="74"/>
      <c r="BD6721" s="77"/>
      <c r="BF6721">
        <v>44.06</v>
      </c>
      <c r="BH6721" s="42"/>
      <c r="BI6721" s="74"/>
      <c r="BJ6721" s="77"/>
      <c r="BL6721" s="497">
        <v>46.04</v>
      </c>
      <c r="BN6721" s="42"/>
      <c r="BO6721" s="74"/>
      <c r="BP6721" s="77"/>
      <c r="BR6721" s="497">
        <v>30.02</v>
      </c>
      <c r="BT6721" s="42"/>
    </row>
    <row r="6722" spans="1:72" x14ac:dyDescent="0.25">
      <c r="A6722" s="90">
        <v>37171</v>
      </c>
      <c r="B6722" s="20">
        <v>0.33333333333333331</v>
      </c>
      <c r="D6722">
        <v>48.92</v>
      </c>
      <c r="E6722" t="str">
        <f t="shared" si="244"/>
        <v>SUNDAY</v>
      </c>
      <c r="F6722" t="e">
        <f t="shared" si="245"/>
        <v>#N/A</v>
      </c>
      <c r="G6722" s="74">
        <v>29501</v>
      </c>
      <c r="H6722" s="77">
        <v>0.33333333333333331</v>
      </c>
      <c r="J6722">
        <v>53.78</v>
      </c>
      <c r="M6722" s="74">
        <v>36440</v>
      </c>
      <c r="N6722" s="77">
        <v>0.33333333333333331</v>
      </c>
      <c r="P6722">
        <v>41</v>
      </c>
      <c r="S6722" s="74">
        <v>37171</v>
      </c>
      <c r="T6722" s="77">
        <v>0.33333333333333331</v>
      </c>
      <c r="V6722">
        <v>50</v>
      </c>
      <c r="X6722" s="42"/>
      <c r="AB6722">
        <v>57.2</v>
      </c>
      <c r="AC6722">
        <v>55.94</v>
      </c>
      <c r="AE6722" s="74"/>
      <c r="AF6722" s="77"/>
      <c r="AH6722" s="497">
        <v>60.8</v>
      </c>
      <c r="AJ6722" s="42"/>
      <c r="AK6722" s="74"/>
      <c r="AL6722" s="77"/>
      <c r="AN6722" s="497">
        <v>39.92</v>
      </c>
      <c r="AP6722" s="42"/>
      <c r="AQ6722" s="74"/>
      <c r="AR6722" s="77"/>
      <c r="AT6722" s="497">
        <v>37.94</v>
      </c>
      <c r="AV6722" s="42"/>
      <c r="AW6722" s="74"/>
      <c r="AX6722" s="77"/>
      <c r="BA6722" s="497">
        <v>42.980000000000004</v>
      </c>
      <c r="BB6722" s="42"/>
      <c r="BC6722" s="74"/>
      <c r="BD6722" s="77"/>
      <c r="BF6722">
        <v>44.96</v>
      </c>
      <c r="BH6722" s="42"/>
      <c r="BI6722" s="74"/>
      <c r="BJ6722" s="77"/>
      <c r="BL6722" s="497">
        <v>50</v>
      </c>
      <c r="BN6722" s="42"/>
      <c r="BO6722" s="74"/>
      <c r="BP6722" s="77"/>
      <c r="BR6722" s="497">
        <v>33.979999999999997</v>
      </c>
      <c r="BT6722" s="42"/>
    </row>
    <row r="6723" spans="1:72" x14ac:dyDescent="0.25">
      <c r="A6723" s="90">
        <v>37171</v>
      </c>
      <c r="B6723" s="20">
        <v>0.375</v>
      </c>
      <c r="D6723">
        <v>50</v>
      </c>
      <c r="E6723" t="str">
        <f t="shared" si="244"/>
        <v>SUNDAY</v>
      </c>
      <c r="F6723" t="e">
        <f t="shared" si="245"/>
        <v>#N/A</v>
      </c>
      <c r="G6723" s="74">
        <v>29501</v>
      </c>
      <c r="H6723" s="77">
        <v>0.375</v>
      </c>
      <c r="J6723">
        <v>54.32</v>
      </c>
      <c r="M6723" s="74">
        <v>36440</v>
      </c>
      <c r="N6723" s="77">
        <v>0.375</v>
      </c>
      <c r="P6723">
        <v>42.8</v>
      </c>
      <c r="S6723" s="74">
        <v>37171</v>
      </c>
      <c r="T6723" s="77">
        <v>0.375</v>
      </c>
      <c r="V6723">
        <v>51.08</v>
      </c>
      <c r="X6723" s="42"/>
      <c r="AB6723">
        <v>59.6</v>
      </c>
      <c r="AC6723">
        <v>57.019999999999996</v>
      </c>
      <c r="AE6723" s="74"/>
      <c r="AF6723" s="77"/>
      <c r="AH6723" s="497">
        <v>62.96</v>
      </c>
      <c r="AJ6723" s="42"/>
      <c r="AK6723" s="74"/>
      <c r="AL6723" s="77"/>
      <c r="AN6723" s="497">
        <v>42.980000000000004</v>
      </c>
      <c r="AP6723" s="42"/>
      <c r="AQ6723" s="74"/>
      <c r="AR6723" s="77"/>
      <c r="AT6723" s="497">
        <v>42.980000000000004</v>
      </c>
      <c r="AV6723" s="42"/>
      <c r="AW6723" s="74"/>
      <c r="AX6723" s="77"/>
      <c r="BA6723" s="497">
        <v>46.94</v>
      </c>
      <c r="BB6723" s="42"/>
      <c r="BC6723" s="74"/>
      <c r="BD6723" s="77"/>
      <c r="BF6723">
        <v>46.04</v>
      </c>
      <c r="BH6723" s="42"/>
      <c r="BI6723" s="74"/>
      <c r="BJ6723" s="77"/>
      <c r="BL6723" s="497">
        <v>50</v>
      </c>
      <c r="BN6723" s="42"/>
      <c r="BO6723" s="74"/>
      <c r="BP6723" s="77"/>
      <c r="BR6723" s="497">
        <v>41</v>
      </c>
      <c r="BT6723" s="42"/>
    </row>
    <row r="6724" spans="1:72" x14ac:dyDescent="0.25">
      <c r="A6724" s="90">
        <v>37171</v>
      </c>
      <c r="B6724" s="20">
        <v>0.41666666666666669</v>
      </c>
      <c r="D6724">
        <v>51.980000000000004</v>
      </c>
      <c r="E6724" t="str">
        <f t="shared" si="244"/>
        <v>SUNDAY</v>
      </c>
      <c r="F6724" t="e">
        <f t="shared" si="245"/>
        <v>#N/A</v>
      </c>
      <c r="G6724" s="74">
        <v>29501</v>
      </c>
      <c r="H6724" s="77">
        <v>0.41666666666666669</v>
      </c>
      <c r="J6724">
        <v>55.040000000000006</v>
      </c>
      <c r="M6724" s="74">
        <v>36440</v>
      </c>
      <c r="N6724" s="77">
        <v>0.41666666666666669</v>
      </c>
      <c r="P6724">
        <v>42.8</v>
      </c>
      <c r="S6724" s="74">
        <v>37171</v>
      </c>
      <c r="T6724" s="77">
        <v>0.41666666666666669</v>
      </c>
      <c r="V6724">
        <v>53.06</v>
      </c>
      <c r="X6724" s="42"/>
      <c r="AB6724">
        <v>61.7</v>
      </c>
      <c r="AC6724">
        <v>57.019999999999996</v>
      </c>
      <c r="AE6724" s="74"/>
      <c r="AF6724" s="77"/>
      <c r="AH6724" s="497">
        <v>64.400000000000006</v>
      </c>
      <c r="AJ6724" s="42"/>
      <c r="AK6724" s="74"/>
      <c r="AL6724" s="77"/>
      <c r="AN6724" s="497">
        <v>46.04</v>
      </c>
      <c r="AP6724" s="42"/>
      <c r="AQ6724" s="74"/>
      <c r="AR6724" s="77"/>
      <c r="AT6724" s="497">
        <v>46.94</v>
      </c>
      <c r="AV6724" s="42"/>
      <c r="AW6724" s="74"/>
      <c r="AX6724" s="77"/>
      <c r="BA6724" s="497">
        <v>48.92</v>
      </c>
      <c r="BB6724" s="42"/>
      <c r="BC6724" s="74"/>
      <c r="BD6724" s="77"/>
      <c r="BF6724">
        <v>46.94</v>
      </c>
      <c r="BH6724" s="42"/>
      <c r="BI6724" s="74"/>
      <c r="BJ6724" s="77"/>
      <c r="BL6724" s="497">
        <v>51.08</v>
      </c>
      <c r="BN6724" s="42"/>
      <c r="BO6724" s="74"/>
      <c r="BP6724" s="77"/>
      <c r="BR6724" s="497">
        <v>44.96</v>
      </c>
      <c r="BT6724" s="42"/>
    </row>
    <row r="6725" spans="1:72" x14ac:dyDescent="0.25">
      <c r="A6725" s="90">
        <v>37171</v>
      </c>
      <c r="B6725" s="20">
        <v>0.45833333333333331</v>
      </c>
      <c r="D6725">
        <v>53.96</v>
      </c>
      <c r="E6725" t="str">
        <f t="shared" si="244"/>
        <v>SUNDAY</v>
      </c>
      <c r="F6725" t="e">
        <f t="shared" si="245"/>
        <v>#N/A</v>
      </c>
      <c r="G6725" s="74">
        <v>29501</v>
      </c>
      <c r="H6725" s="77">
        <v>0.45833333333333331</v>
      </c>
      <c r="J6725">
        <v>56.66</v>
      </c>
      <c r="M6725" s="74">
        <v>36440</v>
      </c>
      <c r="N6725" s="77">
        <v>0.45833333333333331</v>
      </c>
      <c r="P6725">
        <v>48.2</v>
      </c>
      <c r="S6725" s="74">
        <v>37171</v>
      </c>
      <c r="T6725" s="77">
        <v>0.45833333333333331</v>
      </c>
      <c r="V6725">
        <v>55.040000000000006</v>
      </c>
      <c r="X6725" s="42"/>
      <c r="AB6725">
        <v>63.4</v>
      </c>
      <c r="AC6725">
        <v>59</v>
      </c>
      <c r="AE6725" s="74"/>
      <c r="AF6725" s="77"/>
      <c r="AH6725" s="497">
        <v>71.599999999999994</v>
      </c>
      <c r="AJ6725" s="42"/>
      <c r="AK6725" s="74"/>
      <c r="AL6725" s="77"/>
      <c r="AN6725" s="497">
        <v>48.019999999999996</v>
      </c>
      <c r="AP6725" s="42"/>
      <c r="AQ6725" s="74"/>
      <c r="AR6725" s="77"/>
      <c r="AT6725" s="497">
        <v>48.92</v>
      </c>
      <c r="AV6725" s="42"/>
      <c r="AW6725" s="74"/>
      <c r="AX6725" s="77"/>
      <c r="BA6725" s="497">
        <v>51.08</v>
      </c>
      <c r="BB6725" s="42"/>
      <c r="BC6725" s="74"/>
      <c r="BD6725" s="77"/>
      <c r="BF6725">
        <v>51.08</v>
      </c>
      <c r="BH6725" s="42"/>
      <c r="BI6725" s="74"/>
      <c r="BJ6725" s="77"/>
      <c r="BL6725" s="497">
        <v>51.980000000000004</v>
      </c>
      <c r="BN6725" s="42"/>
      <c r="BO6725" s="74"/>
      <c r="BP6725" s="77"/>
      <c r="BR6725" s="497">
        <v>48.92</v>
      </c>
      <c r="BT6725" s="42"/>
    </row>
    <row r="6726" spans="1:72" x14ac:dyDescent="0.25">
      <c r="A6726" s="90">
        <v>37171</v>
      </c>
      <c r="B6726" s="20">
        <v>0.5</v>
      </c>
      <c r="D6726">
        <v>55.94</v>
      </c>
      <c r="E6726" t="str">
        <f t="shared" si="244"/>
        <v>SUNDAY</v>
      </c>
      <c r="F6726" t="e">
        <f t="shared" si="245"/>
        <v>#N/A</v>
      </c>
      <c r="G6726" s="74">
        <v>29501</v>
      </c>
      <c r="H6726" s="77">
        <v>0.5</v>
      </c>
      <c r="J6726">
        <v>58.46</v>
      </c>
      <c r="M6726" s="74">
        <v>36440</v>
      </c>
      <c r="N6726" s="77">
        <v>0.5</v>
      </c>
      <c r="P6726">
        <v>48.2</v>
      </c>
      <c r="S6726" s="74">
        <v>37171</v>
      </c>
      <c r="T6726" s="77">
        <v>0.5</v>
      </c>
      <c r="V6726">
        <v>57.019999999999996</v>
      </c>
      <c r="X6726" s="42"/>
      <c r="AB6726">
        <v>64.8</v>
      </c>
      <c r="AC6726">
        <v>60.980000000000004</v>
      </c>
      <c r="AE6726" s="74"/>
      <c r="AF6726" s="77"/>
      <c r="AH6726" s="497">
        <v>73.400000000000006</v>
      </c>
      <c r="AJ6726" s="42"/>
      <c r="AK6726" s="74"/>
      <c r="AL6726" s="77"/>
      <c r="AN6726" s="497">
        <v>50</v>
      </c>
      <c r="AP6726" s="42"/>
      <c r="AQ6726" s="74"/>
      <c r="AR6726" s="77"/>
      <c r="AT6726" s="497">
        <v>51.08</v>
      </c>
      <c r="AV6726" s="42"/>
      <c r="AW6726" s="74"/>
      <c r="AX6726" s="77"/>
      <c r="BA6726" s="497">
        <v>53.06</v>
      </c>
      <c r="BB6726" s="42"/>
      <c r="BC6726" s="74"/>
      <c r="BD6726" s="77"/>
      <c r="BF6726">
        <v>48.92</v>
      </c>
      <c r="BH6726" s="42"/>
      <c r="BI6726" s="74"/>
      <c r="BJ6726" s="77"/>
      <c r="BL6726" s="497">
        <v>51.980000000000004</v>
      </c>
      <c r="BN6726" s="42"/>
      <c r="BO6726" s="74"/>
      <c r="BP6726" s="77"/>
      <c r="BR6726" s="497">
        <v>48.92</v>
      </c>
      <c r="BT6726" s="42"/>
    </row>
    <row r="6727" spans="1:72" x14ac:dyDescent="0.25">
      <c r="A6727" s="90">
        <v>37171</v>
      </c>
      <c r="B6727" s="20">
        <v>0.54166666666666663</v>
      </c>
      <c r="D6727">
        <v>55.94</v>
      </c>
      <c r="E6727" t="str">
        <f t="shared" si="244"/>
        <v>SUNDAY</v>
      </c>
      <c r="F6727" t="e">
        <f t="shared" si="245"/>
        <v>#N/A</v>
      </c>
      <c r="G6727" s="74">
        <v>29501</v>
      </c>
      <c r="H6727" s="77">
        <v>0.54166666666666663</v>
      </c>
      <c r="J6727">
        <v>60.08</v>
      </c>
      <c r="M6727" s="74">
        <v>36440</v>
      </c>
      <c r="N6727" s="77">
        <v>0.54166666666666663</v>
      </c>
      <c r="P6727">
        <v>48.2</v>
      </c>
      <c r="S6727" s="74">
        <v>37171</v>
      </c>
      <c r="T6727" s="77">
        <v>0.54166666666666663</v>
      </c>
      <c r="V6727">
        <v>57.019999999999996</v>
      </c>
      <c r="X6727" s="42"/>
      <c r="AB6727">
        <v>65.900000000000006</v>
      </c>
      <c r="AC6727">
        <v>59</v>
      </c>
      <c r="AE6727" s="74"/>
      <c r="AF6727" s="77"/>
      <c r="AH6727" s="497">
        <v>71.599999999999994</v>
      </c>
      <c r="AJ6727" s="42"/>
      <c r="AK6727" s="74"/>
      <c r="AL6727" s="77"/>
      <c r="AN6727" s="497">
        <v>53.06</v>
      </c>
      <c r="AP6727" s="42"/>
      <c r="AQ6727" s="74"/>
      <c r="AR6727" s="77"/>
      <c r="AT6727" s="497">
        <v>51.980000000000004</v>
      </c>
      <c r="AV6727" s="42"/>
      <c r="AW6727" s="74"/>
      <c r="AX6727" s="77"/>
      <c r="BA6727" s="497">
        <v>55.040000000000006</v>
      </c>
      <c r="BB6727" s="42"/>
      <c r="BC6727" s="74"/>
      <c r="BD6727" s="77"/>
      <c r="BF6727">
        <v>51.08</v>
      </c>
      <c r="BH6727" s="42"/>
      <c r="BI6727" s="74"/>
      <c r="BJ6727" s="77"/>
      <c r="BL6727" s="497">
        <v>51.980000000000004</v>
      </c>
      <c r="BN6727" s="42"/>
      <c r="BO6727" s="74"/>
      <c r="BP6727" s="77"/>
      <c r="BR6727" s="497">
        <v>51.08</v>
      </c>
      <c r="BT6727" s="42"/>
    </row>
    <row r="6728" spans="1:72" x14ac:dyDescent="0.25">
      <c r="A6728" s="90">
        <v>37171</v>
      </c>
      <c r="B6728" s="20">
        <v>0.58333333333333337</v>
      </c>
      <c r="D6728">
        <v>55.94</v>
      </c>
      <c r="E6728" t="str">
        <f t="shared" si="244"/>
        <v>SUNDAY</v>
      </c>
      <c r="F6728" t="e">
        <f t="shared" si="245"/>
        <v>#N/A</v>
      </c>
      <c r="G6728" s="74">
        <v>29501</v>
      </c>
      <c r="H6728" s="77">
        <v>0.58333333333333337</v>
      </c>
      <c r="J6728">
        <v>60.8</v>
      </c>
      <c r="M6728" s="74">
        <v>36440</v>
      </c>
      <c r="N6728" s="77">
        <v>0.58333333333333337</v>
      </c>
      <c r="P6728">
        <v>51.8</v>
      </c>
      <c r="S6728" s="74">
        <v>37171</v>
      </c>
      <c r="T6728" s="77">
        <v>0.58333333333333337</v>
      </c>
      <c r="V6728">
        <v>55.94</v>
      </c>
      <c r="X6728" s="42"/>
      <c r="AB6728">
        <v>66.3</v>
      </c>
      <c r="AC6728">
        <v>62.06</v>
      </c>
      <c r="AE6728" s="74"/>
      <c r="AF6728" s="77"/>
      <c r="AH6728" s="497">
        <v>71.599999999999994</v>
      </c>
      <c r="AJ6728" s="42"/>
      <c r="AK6728" s="74"/>
      <c r="AL6728" s="77"/>
      <c r="AN6728" s="497">
        <v>53.96</v>
      </c>
      <c r="AP6728" s="42"/>
      <c r="AQ6728" s="74"/>
      <c r="AR6728" s="77"/>
      <c r="AT6728" s="497">
        <v>53.96</v>
      </c>
      <c r="AV6728" s="42"/>
      <c r="AW6728" s="74"/>
      <c r="AX6728" s="77"/>
      <c r="BA6728" s="497">
        <v>55.94</v>
      </c>
      <c r="BB6728" s="42"/>
      <c r="BC6728" s="74"/>
      <c r="BD6728" s="77"/>
      <c r="BF6728">
        <v>53.06</v>
      </c>
      <c r="BH6728" s="42"/>
      <c r="BI6728" s="74"/>
      <c r="BJ6728" s="77"/>
      <c r="BL6728" s="497">
        <v>51.980000000000004</v>
      </c>
      <c r="BN6728" s="42"/>
      <c r="BO6728" s="74"/>
      <c r="BP6728" s="77"/>
      <c r="BR6728" s="497">
        <v>51.980000000000004</v>
      </c>
      <c r="BT6728" s="42"/>
    </row>
    <row r="6729" spans="1:72" x14ac:dyDescent="0.25">
      <c r="A6729" s="90">
        <v>37171</v>
      </c>
      <c r="B6729" s="20">
        <v>0.625</v>
      </c>
      <c r="D6729">
        <v>55.040000000000006</v>
      </c>
      <c r="E6729" t="str">
        <f t="shared" si="244"/>
        <v>SUNDAY</v>
      </c>
      <c r="F6729" t="e">
        <f t="shared" si="245"/>
        <v>#N/A</v>
      </c>
      <c r="G6729" s="74">
        <v>29501</v>
      </c>
      <c r="H6729" s="77">
        <v>0.625</v>
      </c>
      <c r="J6729">
        <v>61.34</v>
      </c>
      <c r="M6729" s="74">
        <v>36440</v>
      </c>
      <c r="N6729" s="77">
        <v>0.625</v>
      </c>
      <c r="P6729">
        <v>51.8</v>
      </c>
      <c r="S6729" s="74">
        <v>37171</v>
      </c>
      <c r="T6729" s="77">
        <v>0.625</v>
      </c>
      <c r="V6729">
        <v>53.96</v>
      </c>
      <c r="X6729" s="42"/>
      <c r="AB6729">
        <v>66.5</v>
      </c>
      <c r="AC6729">
        <v>60.980000000000004</v>
      </c>
      <c r="AE6729" s="74"/>
      <c r="AF6729" s="77"/>
      <c r="AH6729" s="497">
        <v>69.800000000000011</v>
      </c>
      <c r="AJ6729" s="42"/>
      <c r="AK6729" s="74"/>
      <c r="AL6729" s="77"/>
      <c r="AN6729" s="497">
        <v>55.040000000000006</v>
      </c>
      <c r="AP6729" s="42"/>
      <c r="AQ6729" s="74"/>
      <c r="AR6729" s="77"/>
      <c r="AT6729" s="497">
        <v>55.94</v>
      </c>
      <c r="AV6729" s="42"/>
      <c r="AW6729" s="74"/>
      <c r="AX6729" s="77"/>
      <c r="BA6729" s="497">
        <v>57.019999999999996</v>
      </c>
      <c r="BB6729" s="42"/>
      <c r="BC6729" s="74"/>
      <c r="BD6729" s="77"/>
      <c r="BF6729">
        <v>51.980000000000004</v>
      </c>
      <c r="BH6729" s="42"/>
      <c r="BI6729" s="74"/>
      <c r="BJ6729" s="77"/>
      <c r="BL6729" s="497">
        <v>51.980000000000004</v>
      </c>
      <c r="BN6729" s="42"/>
      <c r="BO6729" s="74"/>
      <c r="BP6729" s="77"/>
      <c r="BR6729" s="497">
        <v>53.96</v>
      </c>
      <c r="BT6729" s="42"/>
    </row>
    <row r="6730" spans="1:72" x14ac:dyDescent="0.25">
      <c r="A6730" s="90">
        <v>37171</v>
      </c>
      <c r="B6730" s="20">
        <v>0.66666666666666663</v>
      </c>
      <c r="D6730">
        <v>55.040000000000006</v>
      </c>
      <c r="E6730" t="str">
        <f t="shared" si="244"/>
        <v>SUNDAY</v>
      </c>
      <c r="F6730" t="e">
        <f t="shared" si="245"/>
        <v>#N/A</v>
      </c>
      <c r="G6730" s="74">
        <v>29501</v>
      </c>
      <c r="H6730" s="77">
        <v>0.66666666666666663</v>
      </c>
      <c r="J6730">
        <v>62.06</v>
      </c>
      <c r="M6730" s="74">
        <v>36440</v>
      </c>
      <c r="N6730" s="77">
        <v>0.66666666666666663</v>
      </c>
      <c r="P6730">
        <v>51.8</v>
      </c>
      <c r="S6730" s="74">
        <v>37171</v>
      </c>
      <c r="T6730" s="77">
        <v>0.66666666666666663</v>
      </c>
      <c r="V6730">
        <v>55.040000000000006</v>
      </c>
      <c r="X6730" s="42"/>
      <c r="AB6730">
        <v>66.3</v>
      </c>
      <c r="AC6730">
        <v>59</v>
      </c>
      <c r="AE6730" s="74"/>
      <c r="AF6730" s="77"/>
      <c r="AH6730" s="497">
        <v>68</v>
      </c>
      <c r="AJ6730" s="42"/>
      <c r="AK6730" s="74"/>
      <c r="AL6730" s="77"/>
      <c r="AN6730" s="497">
        <v>55.040000000000006</v>
      </c>
      <c r="AP6730" s="42"/>
      <c r="AQ6730" s="74"/>
      <c r="AR6730" s="77"/>
      <c r="AT6730" s="497">
        <v>55.94</v>
      </c>
      <c r="AV6730" s="42"/>
      <c r="AW6730" s="74"/>
      <c r="AX6730" s="77"/>
      <c r="BA6730" s="497">
        <v>57.019999999999996</v>
      </c>
      <c r="BB6730" s="42"/>
      <c r="BC6730" s="74"/>
      <c r="BD6730" s="77"/>
      <c r="BF6730">
        <v>48.92</v>
      </c>
      <c r="BH6730" s="42"/>
      <c r="BI6730" s="74"/>
      <c r="BJ6730" s="77"/>
      <c r="BL6730" s="497">
        <v>48.019999999999996</v>
      </c>
      <c r="BN6730" s="42"/>
      <c r="BO6730" s="74"/>
      <c r="BP6730" s="77"/>
      <c r="BR6730" s="497">
        <v>53.06</v>
      </c>
      <c r="BT6730" s="42"/>
    </row>
    <row r="6731" spans="1:72" x14ac:dyDescent="0.25">
      <c r="A6731" s="90">
        <v>37171</v>
      </c>
      <c r="B6731" s="20">
        <v>0.70833333333333337</v>
      </c>
      <c r="D6731">
        <v>53.96</v>
      </c>
      <c r="E6731" t="str">
        <f t="shared" si="244"/>
        <v>SUNDAY</v>
      </c>
      <c r="F6731" t="e">
        <f t="shared" si="245"/>
        <v>#N/A</v>
      </c>
      <c r="G6731" s="74">
        <v>29501</v>
      </c>
      <c r="H6731" s="77">
        <v>0.70833333333333337</v>
      </c>
      <c r="J6731">
        <v>60.980000000000004</v>
      </c>
      <c r="M6731" s="74">
        <v>36440</v>
      </c>
      <c r="N6731" s="77">
        <v>0.70833333333333337</v>
      </c>
      <c r="P6731">
        <v>50</v>
      </c>
      <c r="S6731" s="74">
        <v>37171</v>
      </c>
      <c r="T6731" s="77">
        <v>0.70833333333333337</v>
      </c>
      <c r="V6731">
        <v>53.06</v>
      </c>
      <c r="X6731" s="42"/>
      <c r="AB6731">
        <v>65.3</v>
      </c>
      <c r="AC6731">
        <v>57.019999999999996</v>
      </c>
      <c r="AE6731" s="74"/>
      <c r="AF6731" s="77"/>
      <c r="AH6731" s="497">
        <v>64.400000000000006</v>
      </c>
      <c r="AJ6731" s="42"/>
      <c r="AK6731" s="74"/>
      <c r="AL6731" s="77"/>
      <c r="AN6731" s="497">
        <v>53.96</v>
      </c>
      <c r="AP6731" s="42"/>
      <c r="AQ6731" s="74"/>
      <c r="AR6731" s="77"/>
      <c r="AT6731" s="497">
        <v>53.06</v>
      </c>
      <c r="AV6731" s="42"/>
      <c r="AW6731" s="74"/>
      <c r="AX6731" s="77"/>
      <c r="BA6731" s="497">
        <v>55.94</v>
      </c>
      <c r="BB6731" s="42"/>
      <c r="BC6731" s="74"/>
      <c r="BD6731" s="77"/>
      <c r="BF6731">
        <v>50</v>
      </c>
      <c r="BH6731" s="42"/>
      <c r="BI6731" s="74"/>
      <c r="BJ6731" s="77"/>
      <c r="BL6731" s="497">
        <v>48.019999999999996</v>
      </c>
      <c r="BN6731" s="42"/>
      <c r="BO6731" s="74"/>
      <c r="BP6731" s="77"/>
      <c r="BR6731" s="497">
        <v>51.08</v>
      </c>
      <c r="BT6731" s="42"/>
    </row>
    <row r="6732" spans="1:72" x14ac:dyDescent="0.25">
      <c r="A6732" s="90">
        <v>37171</v>
      </c>
      <c r="B6732" s="20">
        <v>0.75</v>
      </c>
      <c r="D6732">
        <v>53.06</v>
      </c>
      <c r="E6732" t="str">
        <f t="shared" si="244"/>
        <v>SUNDAY</v>
      </c>
      <c r="F6732" t="e">
        <f t="shared" si="245"/>
        <v>#N/A</v>
      </c>
      <c r="G6732" s="74">
        <v>29501</v>
      </c>
      <c r="H6732" s="77">
        <v>0.75</v>
      </c>
      <c r="J6732">
        <v>60.08</v>
      </c>
      <c r="M6732" s="74">
        <v>36440</v>
      </c>
      <c r="N6732" s="77">
        <v>0.75</v>
      </c>
      <c r="P6732">
        <v>44.96</v>
      </c>
      <c r="S6732" s="74">
        <v>37171</v>
      </c>
      <c r="T6732" s="77">
        <v>0.75</v>
      </c>
      <c r="V6732">
        <v>51.08</v>
      </c>
      <c r="X6732" s="42"/>
      <c r="AB6732">
        <v>63.9</v>
      </c>
      <c r="AC6732">
        <v>53.96</v>
      </c>
      <c r="AE6732" s="74"/>
      <c r="AF6732" s="77"/>
      <c r="AH6732" s="497">
        <v>60.8</v>
      </c>
      <c r="AJ6732" s="42"/>
      <c r="AK6732" s="74"/>
      <c r="AL6732" s="77"/>
      <c r="AN6732" s="497">
        <v>51.08</v>
      </c>
      <c r="AP6732" s="42"/>
      <c r="AQ6732" s="74"/>
      <c r="AR6732" s="77"/>
      <c r="AT6732" s="497">
        <v>48.019999999999996</v>
      </c>
      <c r="AV6732" s="42"/>
      <c r="AW6732" s="74"/>
      <c r="AX6732" s="77"/>
      <c r="BA6732" s="497">
        <v>53.06</v>
      </c>
      <c r="BB6732" s="42"/>
      <c r="BC6732" s="74"/>
      <c r="BD6732" s="77"/>
      <c r="BF6732">
        <v>46.94</v>
      </c>
      <c r="BH6732" s="42"/>
      <c r="BI6732" s="74"/>
      <c r="BJ6732" s="77"/>
      <c r="BL6732" s="497">
        <v>46.04</v>
      </c>
      <c r="BN6732" s="42"/>
      <c r="BO6732" s="74"/>
      <c r="BP6732" s="77"/>
      <c r="BR6732" s="497">
        <v>48.019999999999996</v>
      </c>
      <c r="BT6732" s="42"/>
    </row>
    <row r="6733" spans="1:72" x14ac:dyDescent="0.25">
      <c r="A6733" s="90">
        <v>37171</v>
      </c>
      <c r="B6733" s="20">
        <v>0.79166666666666663</v>
      </c>
      <c r="D6733">
        <v>51.08</v>
      </c>
      <c r="E6733" t="str">
        <f t="shared" si="244"/>
        <v>SUNDAY</v>
      </c>
      <c r="F6733" t="e">
        <f t="shared" si="245"/>
        <v>#N/A</v>
      </c>
      <c r="G6733" s="74">
        <v>29501</v>
      </c>
      <c r="H6733" s="77">
        <v>0.79166666666666663</v>
      </c>
      <c r="J6733">
        <v>59</v>
      </c>
      <c r="M6733" s="74">
        <v>36440</v>
      </c>
      <c r="N6733" s="77">
        <v>0.79166666666666663</v>
      </c>
      <c r="P6733">
        <v>41</v>
      </c>
      <c r="S6733" s="74">
        <v>37171</v>
      </c>
      <c r="T6733" s="77">
        <v>0.79166666666666663</v>
      </c>
      <c r="V6733">
        <v>50</v>
      </c>
      <c r="X6733" s="42"/>
      <c r="AB6733">
        <v>62.4</v>
      </c>
      <c r="AC6733">
        <v>55.040000000000006</v>
      </c>
      <c r="AE6733" s="74"/>
      <c r="AF6733" s="77"/>
      <c r="AH6733" s="497">
        <v>59</v>
      </c>
      <c r="AJ6733" s="42"/>
      <c r="AK6733" s="74"/>
      <c r="AL6733" s="77"/>
      <c r="AN6733" s="497">
        <v>50</v>
      </c>
      <c r="AP6733" s="42"/>
      <c r="AQ6733" s="74"/>
      <c r="AR6733" s="77"/>
      <c r="AT6733" s="497">
        <v>42.980000000000004</v>
      </c>
      <c r="AV6733" s="42"/>
      <c r="AW6733" s="74"/>
      <c r="AX6733" s="77"/>
      <c r="BA6733" s="497">
        <v>50</v>
      </c>
      <c r="BB6733" s="42"/>
      <c r="BC6733" s="74"/>
      <c r="BD6733" s="77"/>
      <c r="BF6733">
        <v>44.96</v>
      </c>
      <c r="BH6733" s="42"/>
      <c r="BI6733" s="74"/>
      <c r="BJ6733" s="77"/>
      <c r="BL6733" s="497">
        <v>46.04</v>
      </c>
      <c r="BN6733" s="42"/>
      <c r="BO6733" s="74"/>
      <c r="BP6733" s="77"/>
      <c r="BR6733" s="497">
        <v>46.94</v>
      </c>
      <c r="BT6733" s="42"/>
    </row>
    <row r="6734" spans="1:72" x14ac:dyDescent="0.25">
      <c r="A6734" s="90">
        <v>37171</v>
      </c>
      <c r="B6734" s="20">
        <v>0.83333333333333337</v>
      </c>
      <c r="D6734">
        <v>50</v>
      </c>
      <c r="E6734" t="str">
        <f t="shared" si="244"/>
        <v>SUNDAY</v>
      </c>
      <c r="F6734" t="e">
        <f t="shared" si="245"/>
        <v>#N/A</v>
      </c>
      <c r="G6734" s="74">
        <v>29501</v>
      </c>
      <c r="H6734" s="77">
        <v>0.83333333333333337</v>
      </c>
      <c r="J6734">
        <v>58.64</v>
      </c>
      <c r="M6734" s="74">
        <v>36440</v>
      </c>
      <c r="N6734" s="77">
        <v>0.83333333333333337</v>
      </c>
      <c r="P6734">
        <v>41</v>
      </c>
      <c r="S6734" s="74">
        <v>37171</v>
      </c>
      <c r="T6734" s="77">
        <v>0.83333333333333337</v>
      </c>
      <c r="V6734">
        <v>48.019999999999996</v>
      </c>
      <c r="X6734" s="42"/>
      <c r="AB6734">
        <v>61.6</v>
      </c>
      <c r="AC6734">
        <v>55.040000000000006</v>
      </c>
      <c r="AE6734" s="74"/>
      <c r="AF6734" s="77"/>
      <c r="AH6734" s="497">
        <v>55.400000000000006</v>
      </c>
      <c r="AJ6734" s="42"/>
      <c r="AK6734" s="74"/>
      <c r="AL6734" s="77"/>
      <c r="AN6734" s="497">
        <v>48.019999999999996</v>
      </c>
      <c r="AP6734" s="42"/>
      <c r="AQ6734" s="74"/>
      <c r="AR6734" s="77"/>
      <c r="AT6734" s="497">
        <v>39.019999999999996</v>
      </c>
      <c r="AV6734" s="42"/>
      <c r="AW6734" s="74"/>
      <c r="AX6734" s="77"/>
      <c r="BA6734" s="497">
        <v>48.019999999999996</v>
      </c>
      <c r="BB6734" s="42"/>
      <c r="BC6734" s="74"/>
      <c r="BD6734" s="77"/>
      <c r="BF6734">
        <v>44.06</v>
      </c>
      <c r="BH6734" s="42"/>
      <c r="BI6734" s="74"/>
      <c r="BJ6734" s="77"/>
      <c r="BL6734" s="497">
        <v>42.08</v>
      </c>
      <c r="BN6734" s="42"/>
      <c r="BO6734" s="74"/>
      <c r="BP6734" s="77"/>
      <c r="BR6734" s="497">
        <v>42.980000000000004</v>
      </c>
      <c r="BT6734" s="42"/>
    </row>
    <row r="6735" spans="1:72" x14ac:dyDescent="0.25">
      <c r="A6735" s="90">
        <v>37171</v>
      </c>
      <c r="B6735" s="20">
        <v>0.875</v>
      </c>
      <c r="D6735">
        <v>50</v>
      </c>
      <c r="E6735" t="str">
        <f t="shared" si="244"/>
        <v>SUNDAY</v>
      </c>
      <c r="F6735" t="e">
        <f t="shared" si="245"/>
        <v>#N/A</v>
      </c>
      <c r="G6735" s="74">
        <v>29501</v>
      </c>
      <c r="H6735" s="77">
        <v>0.875</v>
      </c>
      <c r="J6735">
        <v>58.28</v>
      </c>
      <c r="M6735" s="74">
        <v>36440</v>
      </c>
      <c r="N6735" s="77">
        <v>0.875</v>
      </c>
      <c r="P6735">
        <v>39.200000000000003</v>
      </c>
      <c r="S6735" s="74">
        <v>37171</v>
      </c>
      <c r="T6735" s="77">
        <v>0.875</v>
      </c>
      <c r="V6735">
        <v>46.94</v>
      </c>
      <c r="X6735" s="42"/>
      <c r="AB6735">
        <v>61</v>
      </c>
      <c r="AC6735">
        <v>53.96</v>
      </c>
      <c r="AE6735" s="74"/>
      <c r="AF6735" s="77"/>
      <c r="AH6735" s="497">
        <v>51.8</v>
      </c>
      <c r="AJ6735" s="42"/>
      <c r="AK6735" s="74"/>
      <c r="AL6735" s="77"/>
      <c r="AN6735" s="497">
        <v>48.019999999999996</v>
      </c>
      <c r="AP6735" s="42"/>
      <c r="AQ6735" s="74"/>
      <c r="AR6735" s="77"/>
      <c r="AT6735" s="497">
        <v>41</v>
      </c>
      <c r="AV6735" s="42"/>
      <c r="AW6735" s="74"/>
      <c r="AX6735" s="77"/>
      <c r="BA6735" s="497">
        <v>46.04</v>
      </c>
      <c r="BB6735" s="42"/>
      <c r="BC6735" s="74"/>
      <c r="BD6735" s="77"/>
      <c r="BF6735">
        <v>42.980000000000004</v>
      </c>
      <c r="BH6735" s="42"/>
      <c r="BI6735" s="74"/>
      <c r="BJ6735" s="77"/>
      <c r="BL6735" s="497">
        <v>42.08</v>
      </c>
      <c r="BN6735" s="42"/>
      <c r="BO6735" s="74"/>
      <c r="BP6735" s="77"/>
      <c r="BR6735" s="497">
        <v>44.06</v>
      </c>
      <c r="BT6735" s="42"/>
    </row>
    <row r="6736" spans="1:72" x14ac:dyDescent="0.25">
      <c r="A6736" s="90">
        <v>37171</v>
      </c>
      <c r="B6736" s="20">
        <v>0.91666666666666663</v>
      </c>
      <c r="D6736">
        <v>48.019999999999996</v>
      </c>
      <c r="E6736" t="str">
        <f t="shared" si="244"/>
        <v>SUNDAY</v>
      </c>
      <c r="F6736" t="e">
        <f t="shared" si="245"/>
        <v>#N/A</v>
      </c>
      <c r="G6736" s="74">
        <v>29501</v>
      </c>
      <c r="H6736" s="77">
        <v>0.91666666666666663</v>
      </c>
      <c r="J6736">
        <v>57.92</v>
      </c>
      <c r="M6736" s="74">
        <v>36440</v>
      </c>
      <c r="N6736" s="77">
        <v>0.91666666666666663</v>
      </c>
      <c r="P6736">
        <v>39.200000000000003</v>
      </c>
      <c r="S6736" s="74">
        <v>37171</v>
      </c>
      <c r="T6736" s="77">
        <v>0.91666666666666663</v>
      </c>
      <c r="V6736">
        <v>46.04</v>
      </c>
      <c r="X6736" s="42"/>
      <c r="AB6736">
        <v>60.5</v>
      </c>
      <c r="AC6736">
        <v>53.06</v>
      </c>
      <c r="AE6736" s="74"/>
      <c r="AF6736" s="77"/>
      <c r="AH6736" s="497">
        <v>48.2</v>
      </c>
      <c r="AJ6736" s="42"/>
      <c r="AK6736" s="74"/>
      <c r="AL6736" s="77"/>
      <c r="AN6736" s="497">
        <v>48.019999999999996</v>
      </c>
      <c r="AP6736" s="42"/>
      <c r="AQ6736" s="74"/>
      <c r="AR6736" s="77"/>
      <c r="AT6736" s="497">
        <v>39.92</v>
      </c>
      <c r="AV6736" s="42"/>
      <c r="AW6736" s="74"/>
      <c r="AX6736" s="77"/>
      <c r="BA6736" s="497">
        <v>44.96</v>
      </c>
      <c r="BB6736" s="42"/>
      <c r="BC6736" s="74"/>
      <c r="BD6736" s="77"/>
      <c r="BF6736">
        <v>42.980000000000004</v>
      </c>
      <c r="BH6736" s="42"/>
      <c r="BI6736" s="74"/>
      <c r="BJ6736" s="77"/>
      <c r="BL6736" s="497">
        <v>42.08</v>
      </c>
      <c r="BN6736" s="42"/>
      <c r="BO6736" s="74"/>
      <c r="BP6736" s="77"/>
      <c r="BR6736" s="497">
        <v>48.92</v>
      </c>
      <c r="BT6736" s="42"/>
    </row>
    <row r="6737" spans="1:72" x14ac:dyDescent="0.25">
      <c r="A6737" s="90">
        <v>37171</v>
      </c>
      <c r="B6737" s="20">
        <v>0.95833333333333337</v>
      </c>
      <c r="D6737">
        <v>46.94</v>
      </c>
      <c r="E6737" t="str">
        <f t="shared" si="244"/>
        <v>SUNDAY</v>
      </c>
      <c r="F6737" t="e">
        <f t="shared" si="245"/>
        <v>#N/A</v>
      </c>
      <c r="G6737" s="74">
        <v>29501</v>
      </c>
      <c r="H6737" s="77">
        <v>0.95833333333333337</v>
      </c>
      <c r="J6737">
        <v>57.2</v>
      </c>
      <c r="M6737" s="74">
        <v>36440</v>
      </c>
      <c r="N6737" s="77">
        <v>0.95833333333333337</v>
      </c>
      <c r="P6737">
        <v>37.4</v>
      </c>
      <c r="S6737" s="74">
        <v>37171</v>
      </c>
      <c r="T6737" s="77">
        <v>0.95833333333333337</v>
      </c>
      <c r="V6737">
        <v>44.96</v>
      </c>
      <c r="X6737" s="42"/>
      <c r="AB6737">
        <v>59.7</v>
      </c>
      <c r="AC6737">
        <v>51.08</v>
      </c>
      <c r="AE6737" s="74"/>
      <c r="AF6737" s="77"/>
      <c r="AH6737" s="497">
        <v>46.4</v>
      </c>
      <c r="AJ6737" s="42"/>
      <c r="AK6737" s="74"/>
      <c r="AL6737" s="77"/>
      <c r="AN6737" s="497">
        <v>46.04</v>
      </c>
      <c r="AP6737" s="42"/>
      <c r="AQ6737" s="74"/>
      <c r="AR6737" s="77"/>
      <c r="AT6737" s="497">
        <v>39.92</v>
      </c>
      <c r="AV6737" s="42"/>
      <c r="AW6737" s="74"/>
      <c r="AX6737" s="77"/>
      <c r="BA6737" s="497">
        <v>44.96</v>
      </c>
      <c r="BB6737" s="42"/>
      <c r="BC6737" s="74"/>
      <c r="BD6737" s="77"/>
      <c r="BF6737">
        <v>41</v>
      </c>
      <c r="BH6737" s="42"/>
      <c r="BI6737" s="74"/>
      <c r="BJ6737" s="77"/>
      <c r="BL6737" s="497">
        <v>44.06</v>
      </c>
      <c r="BN6737" s="42"/>
      <c r="BO6737" s="74"/>
      <c r="BP6737" s="77"/>
      <c r="BR6737" s="497">
        <v>51.08</v>
      </c>
      <c r="BT6737" s="42"/>
    </row>
    <row r="6738" spans="1:72" x14ac:dyDescent="0.25">
      <c r="A6738" s="90">
        <v>37171</v>
      </c>
      <c r="B6738" s="20">
        <v>1</v>
      </c>
      <c r="D6738">
        <v>46.94</v>
      </c>
      <c r="E6738" t="str">
        <f t="shared" si="244"/>
        <v>SUNDAY</v>
      </c>
      <c r="F6738" t="e">
        <f t="shared" si="245"/>
        <v>#N/A</v>
      </c>
      <c r="G6738" s="74">
        <v>29501</v>
      </c>
      <c r="H6738" s="77">
        <v>1</v>
      </c>
      <c r="J6738">
        <v>56.66</v>
      </c>
      <c r="M6738" s="74">
        <v>36440</v>
      </c>
      <c r="N6738" s="80">
        <v>1</v>
      </c>
      <c r="P6738">
        <v>37.4</v>
      </c>
      <c r="S6738" s="74">
        <v>37171</v>
      </c>
      <c r="T6738" s="80">
        <v>1</v>
      </c>
      <c r="V6738">
        <v>44.96</v>
      </c>
      <c r="X6738" s="42"/>
      <c r="AB6738">
        <v>59</v>
      </c>
      <c r="AC6738">
        <v>48.019999999999996</v>
      </c>
      <c r="AE6738" s="74"/>
      <c r="AF6738" s="80"/>
      <c r="AH6738" s="497">
        <v>44.6</v>
      </c>
      <c r="AJ6738" s="42"/>
      <c r="AK6738" s="74"/>
      <c r="AL6738" s="80"/>
      <c r="AN6738" s="497">
        <v>46.04</v>
      </c>
      <c r="AP6738" s="42"/>
      <c r="AQ6738" s="74"/>
      <c r="AR6738" s="80"/>
      <c r="AT6738" s="497">
        <v>42.08</v>
      </c>
      <c r="AV6738" s="42"/>
      <c r="AW6738" s="74"/>
      <c r="AX6738" s="80"/>
      <c r="BA6738" s="497">
        <v>44.06</v>
      </c>
      <c r="BB6738" s="42"/>
      <c r="BC6738" s="74"/>
      <c r="BD6738" s="80"/>
      <c r="BF6738">
        <v>41</v>
      </c>
      <c r="BH6738" s="42"/>
      <c r="BI6738" s="74"/>
      <c r="BJ6738" s="80"/>
      <c r="BL6738" s="497">
        <v>42.980000000000004</v>
      </c>
      <c r="BN6738" s="42"/>
      <c r="BO6738" s="74"/>
      <c r="BP6738" s="80"/>
      <c r="BR6738" s="497">
        <v>51.08</v>
      </c>
      <c r="BT6738" s="42"/>
    </row>
    <row r="6739" spans="1:72" x14ac:dyDescent="0.25">
      <c r="A6739" s="90">
        <v>37172</v>
      </c>
      <c r="B6739" s="20">
        <v>4.1666666666666664E-2</v>
      </c>
      <c r="D6739">
        <v>44.96</v>
      </c>
      <c r="E6739" t="str">
        <f t="shared" ref="E6739:E6802" si="246">IF(COUNTIF($DI$18:$DI$22, WEEKDAY(A6739))=1, "WEEKDAY", IF(WEEKDAY(A6739) = 1, "SUNDAY", "SATURDAY"))</f>
        <v>WEEKDAY</v>
      </c>
      <c r="F6739" t="e">
        <f t="shared" si="245"/>
        <v>#N/A</v>
      </c>
      <c r="G6739" s="74">
        <v>29502</v>
      </c>
      <c r="H6739" s="77">
        <v>4.1666666666666664E-2</v>
      </c>
      <c r="J6739">
        <v>55.94</v>
      </c>
      <c r="M6739" s="74">
        <v>36441</v>
      </c>
      <c r="N6739" s="77">
        <v>4.1666666666666664E-2</v>
      </c>
      <c r="P6739">
        <v>37.4</v>
      </c>
      <c r="S6739" s="74">
        <v>37172</v>
      </c>
      <c r="T6739" s="77">
        <v>4.1666666666666664E-2</v>
      </c>
      <c r="V6739">
        <v>44.96</v>
      </c>
      <c r="X6739" s="42"/>
      <c r="AB6739">
        <v>58.4</v>
      </c>
      <c r="AC6739">
        <v>46.04</v>
      </c>
      <c r="AE6739" s="74"/>
      <c r="AF6739" s="77"/>
      <c r="AH6739" s="497">
        <v>42.8</v>
      </c>
      <c r="AJ6739" s="42"/>
      <c r="AK6739" s="74"/>
      <c r="AL6739" s="77"/>
      <c r="AN6739" s="497">
        <v>46.04</v>
      </c>
      <c r="AP6739" s="42"/>
      <c r="AQ6739" s="74"/>
      <c r="AR6739" s="77"/>
      <c r="AT6739" s="497">
        <v>39.92</v>
      </c>
      <c r="AV6739" s="42"/>
      <c r="AW6739" s="74"/>
      <c r="AX6739" s="77"/>
      <c r="BA6739" s="497">
        <v>44.96</v>
      </c>
      <c r="BB6739" s="42"/>
      <c r="BC6739" s="74"/>
      <c r="BD6739" s="77"/>
      <c r="BF6739">
        <v>41</v>
      </c>
      <c r="BH6739" s="42"/>
      <c r="BI6739" s="74"/>
      <c r="BJ6739" s="77"/>
      <c r="BL6739" s="497">
        <v>42.08</v>
      </c>
      <c r="BN6739" s="42"/>
      <c r="BO6739" s="74"/>
      <c r="BP6739" s="77"/>
      <c r="BR6739" s="497">
        <v>51.980000000000004</v>
      </c>
      <c r="BT6739" s="42"/>
    </row>
    <row r="6740" spans="1:72" x14ac:dyDescent="0.25">
      <c r="A6740" s="90">
        <v>37172</v>
      </c>
      <c r="B6740" s="20">
        <v>8.3333333333333329E-2</v>
      </c>
      <c r="D6740">
        <v>44.06</v>
      </c>
      <c r="E6740" t="str">
        <f t="shared" si="246"/>
        <v>WEEKDAY</v>
      </c>
      <c r="F6740" t="e">
        <f t="shared" si="245"/>
        <v>#N/A</v>
      </c>
      <c r="G6740" s="74">
        <v>29502</v>
      </c>
      <c r="H6740" s="77">
        <v>8.3333333333333329E-2</v>
      </c>
      <c r="J6740">
        <v>55.040000000000006</v>
      </c>
      <c r="M6740" s="74">
        <v>36441</v>
      </c>
      <c r="N6740" s="77">
        <v>8.3333333333333329E-2</v>
      </c>
      <c r="P6740">
        <v>37.4</v>
      </c>
      <c r="S6740" s="74">
        <v>37172</v>
      </c>
      <c r="T6740" s="77">
        <v>8.3333333333333329E-2</v>
      </c>
      <c r="V6740">
        <v>42.980000000000004</v>
      </c>
      <c r="X6740" s="42"/>
      <c r="AB6740">
        <v>57.7</v>
      </c>
      <c r="AC6740">
        <v>44.06</v>
      </c>
      <c r="AE6740" s="74"/>
      <c r="AF6740" s="77"/>
      <c r="AH6740" s="497">
        <v>39.200000000000003</v>
      </c>
      <c r="AJ6740" s="42"/>
      <c r="AK6740" s="74"/>
      <c r="AL6740" s="77"/>
      <c r="AN6740" s="497">
        <v>44.06</v>
      </c>
      <c r="AP6740" s="42"/>
      <c r="AQ6740" s="74"/>
      <c r="AR6740" s="77"/>
      <c r="AT6740" s="497">
        <v>42.08</v>
      </c>
      <c r="AV6740" s="42"/>
      <c r="AW6740" s="74"/>
      <c r="AX6740" s="77"/>
      <c r="BA6740" s="497">
        <v>42.08</v>
      </c>
      <c r="BB6740" s="42"/>
      <c r="BC6740" s="74"/>
      <c r="BD6740" s="77"/>
      <c r="BF6740">
        <v>39.92</v>
      </c>
      <c r="BH6740" s="42"/>
      <c r="BI6740" s="74"/>
      <c r="BJ6740" s="77"/>
      <c r="BL6740" s="497">
        <v>42.08</v>
      </c>
      <c r="BN6740" s="42"/>
      <c r="BO6740" s="74"/>
      <c r="BP6740" s="77"/>
      <c r="BR6740" s="497">
        <v>51.08</v>
      </c>
      <c r="BT6740" s="42"/>
    </row>
    <row r="6741" spans="1:72" x14ac:dyDescent="0.25">
      <c r="A6741" s="90">
        <v>37172</v>
      </c>
      <c r="B6741" s="20">
        <v>0.125</v>
      </c>
      <c r="D6741">
        <v>42.980000000000004</v>
      </c>
      <c r="E6741" t="str">
        <f t="shared" si="246"/>
        <v>WEEKDAY</v>
      </c>
      <c r="F6741" t="e">
        <f t="shared" si="245"/>
        <v>#N/A</v>
      </c>
      <c r="G6741" s="74">
        <v>29502</v>
      </c>
      <c r="H6741" s="77">
        <v>0.125</v>
      </c>
      <c r="J6741">
        <v>53.96</v>
      </c>
      <c r="M6741" s="74">
        <v>36441</v>
      </c>
      <c r="N6741" s="77">
        <v>0.125</v>
      </c>
      <c r="P6741">
        <v>35.6</v>
      </c>
      <c r="S6741" s="74">
        <v>37172</v>
      </c>
      <c r="T6741" s="77">
        <v>0.125</v>
      </c>
      <c r="V6741">
        <v>42.08</v>
      </c>
      <c r="X6741" s="42"/>
      <c r="AB6741">
        <v>57.1</v>
      </c>
      <c r="AC6741">
        <v>42.980000000000004</v>
      </c>
      <c r="AE6741" s="74"/>
      <c r="AF6741" s="77"/>
      <c r="AH6741" s="497">
        <v>39.200000000000003</v>
      </c>
      <c r="AJ6741" s="42"/>
      <c r="AK6741" s="74"/>
      <c r="AL6741" s="77"/>
      <c r="AN6741" s="497">
        <v>44.06</v>
      </c>
      <c r="AP6741" s="42"/>
      <c r="AQ6741" s="74"/>
      <c r="AR6741" s="77"/>
      <c r="AT6741" s="497">
        <v>41</v>
      </c>
      <c r="AV6741" s="42"/>
      <c r="AW6741" s="74"/>
      <c r="AX6741" s="77"/>
      <c r="BA6741" s="497">
        <v>42.08</v>
      </c>
      <c r="BB6741" s="42"/>
      <c r="BC6741" s="74"/>
      <c r="BD6741" s="77"/>
      <c r="BF6741">
        <v>39.92</v>
      </c>
      <c r="BH6741" s="42"/>
      <c r="BI6741" s="74"/>
      <c r="BJ6741" s="77"/>
      <c r="BL6741" s="497">
        <v>41</v>
      </c>
      <c r="BN6741" s="42"/>
      <c r="BO6741" s="74"/>
      <c r="BP6741" s="77"/>
      <c r="BR6741" s="497">
        <v>51.08</v>
      </c>
      <c r="BT6741" s="42"/>
    </row>
    <row r="6742" spans="1:72" x14ac:dyDescent="0.25">
      <c r="A6742" s="90">
        <v>37172</v>
      </c>
      <c r="B6742" s="20">
        <v>0.16666666666666666</v>
      </c>
      <c r="D6742">
        <v>42.980000000000004</v>
      </c>
      <c r="E6742" t="str">
        <f t="shared" si="246"/>
        <v>WEEKDAY</v>
      </c>
      <c r="F6742" t="e">
        <f t="shared" si="245"/>
        <v>#N/A</v>
      </c>
      <c r="G6742" s="74">
        <v>29502</v>
      </c>
      <c r="H6742" s="77">
        <v>0.16666666666666666</v>
      </c>
      <c r="J6742">
        <v>53.06</v>
      </c>
      <c r="M6742" s="74">
        <v>36441</v>
      </c>
      <c r="N6742" s="77">
        <v>0.16666666666666666</v>
      </c>
      <c r="P6742">
        <v>35.6</v>
      </c>
      <c r="S6742" s="74">
        <v>37172</v>
      </c>
      <c r="T6742" s="77">
        <v>0.16666666666666666</v>
      </c>
      <c r="V6742">
        <v>42.08</v>
      </c>
      <c r="X6742" s="42"/>
      <c r="AB6742">
        <v>56.6</v>
      </c>
      <c r="AC6742">
        <v>39.019999999999996</v>
      </c>
      <c r="AE6742" s="74"/>
      <c r="AF6742" s="77"/>
      <c r="AH6742" s="497">
        <v>39.200000000000003</v>
      </c>
      <c r="AJ6742" s="42"/>
      <c r="AK6742" s="74"/>
      <c r="AL6742" s="77"/>
      <c r="AN6742" s="497">
        <v>44.96</v>
      </c>
      <c r="AP6742" s="42"/>
      <c r="AQ6742" s="74"/>
      <c r="AR6742" s="77"/>
      <c r="AT6742" s="497">
        <v>41</v>
      </c>
      <c r="AV6742" s="42"/>
      <c r="AW6742" s="74"/>
      <c r="AX6742" s="77"/>
      <c r="BA6742" s="497">
        <v>44.06</v>
      </c>
      <c r="BB6742" s="42"/>
      <c r="BC6742" s="74"/>
      <c r="BD6742" s="77"/>
      <c r="BF6742">
        <v>39.92</v>
      </c>
      <c r="BH6742" s="42"/>
      <c r="BI6742" s="74"/>
      <c r="BJ6742" s="77"/>
      <c r="BL6742" s="497">
        <v>42.08</v>
      </c>
      <c r="BN6742" s="42"/>
      <c r="BO6742" s="74"/>
      <c r="BP6742" s="77"/>
      <c r="BR6742" s="497">
        <v>51.980000000000004</v>
      </c>
      <c r="BT6742" s="42"/>
    </row>
    <row r="6743" spans="1:72" x14ac:dyDescent="0.25">
      <c r="A6743" s="90">
        <v>37172</v>
      </c>
      <c r="B6743" s="20">
        <v>0.20833333333333334</v>
      </c>
      <c r="D6743">
        <v>42.980000000000004</v>
      </c>
      <c r="E6743" t="str">
        <f t="shared" si="246"/>
        <v>WEEKDAY</v>
      </c>
      <c r="F6743" t="e">
        <f t="shared" si="245"/>
        <v>#N/A</v>
      </c>
      <c r="G6743" s="74">
        <v>29502</v>
      </c>
      <c r="H6743" s="77">
        <v>0.20833333333333334</v>
      </c>
      <c r="J6743">
        <v>53.06</v>
      </c>
      <c r="M6743" s="74">
        <v>36441</v>
      </c>
      <c r="N6743" s="77">
        <v>0.20833333333333334</v>
      </c>
      <c r="P6743">
        <v>35.6</v>
      </c>
      <c r="S6743" s="74">
        <v>37172</v>
      </c>
      <c r="T6743" s="77">
        <v>0.20833333333333334</v>
      </c>
      <c r="V6743">
        <v>41</v>
      </c>
      <c r="X6743" s="42"/>
      <c r="AB6743">
        <v>56.2</v>
      </c>
      <c r="AC6743">
        <v>41</v>
      </c>
      <c r="AE6743" s="74"/>
      <c r="AF6743" s="77"/>
      <c r="AH6743" s="497">
        <v>37.4</v>
      </c>
      <c r="AJ6743" s="42"/>
      <c r="AK6743" s="74"/>
      <c r="AL6743" s="77"/>
      <c r="AN6743" s="497">
        <v>42.980000000000004</v>
      </c>
      <c r="AP6743" s="42"/>
      <c r="AQ6743" s="74"/>
      <c r="AR6743" s="77"/>
      <c r="AT6743" s="497">
        <v>42.08</v>
      </c>
      <c r="AV6743" s="42"/>
      <c r="AW6743" s="74"/>
      <c r="AX6743" s="77"/>
      <c r="BA6743" s="497">
        <v>42.08</v>
      </c>
      <c r="BB6743" s="42"/>
      <c r="BC6743" s="74"/>
      <c r="BD6743" s="77"/>
      <c r="BF6743">
        <v>39.019999999999996</v>
      </c>
      <c r="BH6743" s="42"/>
      <c r="BI6743" s="74"/>
      <c r="BJ6743" s="77"/>
      <c r="BL6743" s="497">
        <v>42.08</v>
      </c>
      <c r="BN6743" s="42"/>
      <c r="BO6743" s="74"/>
      <c r="BP6743" s="77"/>
      <c r="BR6743" s="497">
        <v>53.06</v>
      </c>
      <c r="BT6743" s="42"/>
    </row>
    <row r="6744" spans="1:72" x14ac:dyDescent="0.25">
      <c r="A6744" s="90">
        <v>37172</v>
      </c>
      <c r="B6744" s="20">
        <v>0.25</v>
      </c>
      <c r="D6744">
        <v>42.08</v>
      </c>
      <c r="E6744" t="str">
        <f t="shared" si="246"/>
        <v>WEEKDAY</v>
      </c>
      <c r="F6744" t="e">
        <f t="shared" si="245"/>
        <v>#N/A</v>
      </c>
      <c r="G6744" s="74">
        <v>29502</v>
      </c>
      <c r="H6744" s="77">
        <v>0.25</v>
      </c>
      <c r="J6744">
        <v>53.06</v>
      </c>
      <c r="M6744" s="74">
        <v>36441</v>
      </c>
      <c r="N6744" s="77">
        <v>0.25</v>
      </c>
      <c r="P6744">
        <v>35.6</v>
      </c>
      <c r="S6744" s="74">
        <v>37172</v>
      </c>
      <c r="T6744" s="77">
        <v>0.25</v>
      </c>
      <c r="V6744">
        <v>39.92</v>
      </c>
      <c r="X6744" s="42"/>
      <c r="AB6744">
        <v>56</v>
      </c>
      <c r="AC6744">
        <v>39.92</v>
      </c>
      <c r="AE6744" s="74"/>
      <c r="AF6744" s="77"/>
      <c r="AH6744" s="497">
        <v>37.4</v>
      </c>
      <c r="AJ6744" s="42"/>
      <c r="AK6744" s="74"/>
      <c r="AL6744" s="77"/>
      <c r="AN6744" s="497">
        <v>42.980000000000004</v>
      </c>
      <c r="AP6744" s="42"/>
      <c r="AQ6744" s="74"/>
      <c r="AR6744" s="77"/>
      <c r="AT6744" s="497">
        <v>41</v>
      </c>
      <c r="AV6744" s="42"/>
      <c r="AW6744" s="74"/>
      <c r="AX6744" s="77"/>
      <c r="BA6744" s="497">
        <v>42.980000000000004</v>
      </c>
      <c r="BB6744" s="42"/>
      <c r="BC6744" s="74"/>
      <c r="BD6744" s="77"/>
      <c r="BF6744">
        <v>39.019999999999996</v>
      </c>
      <c r="BH6744" s="42"/>
      <c r="BI6744" s="74"/>
      <c r="BJ6744" s="77"/>
      <c r="BL6744" s="497">
        <v>41</v>
      </c>
      <c r="BN6744" s="42"/>
      <c r="BO6744" s="74"/>
      <c r="BP6744" s="77"/>
      <c r="BR6744" s="497">
        <v>51.980000000000004</v>
      </c>
      <c r="BT6744" s="42"/>
    </row>
    <row r="6745" spans="1:72" x14ac:dyDescent="0.25">
      <c r="A6745" s="90">
        <v>37172</v>
      </c>
      <c r="B6745" s="20">
        <v>0.29166666666666669</v>
      </c>
      <c r="D6745">
        <v>42.08</v>
      </c>
      <c r="E6745" t="str">
        <f t="shared" si="246"/>
        <v>WEEKDAY</v>
      </c>
      <c r="F6745" t="e">
        <f t="shared" si="245"/>
        <v>#N/A</v>
      </c>
      <c r="G6745" s="74">
        <v>29502</v>
      </c>
      <c r="H6745" s="77">
        <v>0.29166666666666669</v>
      </c>
      <c r="J6745">
        <v>53.06</v>
      </c>
      <c r="M6745" s="74">
        <v>36441</v>
      </c>
      <c r="N6745" s="77">
        <v>0.29166666666666669</v>
      </c>
      <c r="P6745">
        <v>41</v>
      </c>
      <c r="S6745" s="74">
        <v>37172</v>
      </c>
      <c r="T6745" s="77">
        <v>0.29166666666666669</v>
      </c>
      <c r="V6745">
        <v>41</v>
      </c>
      <c r="X6745" s="42"/>
      <c r="AB6745">
        <v>55.8</v>
      </c>
      <c r="AC6745">
        <v>42.08</v>
      </c>
      <c r="AE6745" s="74"/>
      <c r="AF6745" s="77"/>
      <c r="AH6745" s="497">
        <v>39.200000000000003</v>
      </c>
      <c r="AJ6745" s="42"/>
      <c r="AK6745" s="74"/>
      <c r="AL6745" s="77"/>
      <c r="AN6745" s="497">
        <v>44.96</v>
      </c>
      <c r="AP6745" s="42"/>
      <c r="AQ6745" s="74"/>
      <c r="AR6745" s="77"/>
      <c r="AT6745" s="497">
        <v>42.08</v>
      </c>
      <c r="AV6745" s="42"/>
      <c r="AW6745" s="74"/>
      <c r="AX6745" s="77"/>
      <c r="BA6745" s="497">
        <v>46.94</v>
      </c>
      <c r="BB6745" s="42"/>
      <c r="BC6745" s="74"/>
      <c r="BD6745" s="77"/>
      <c r="BF6745">
        <v>39.92</v>
      </c>
      <c r="BH6745" s="42"/>
      <c r="BI6745" s="74"/>
      <c r="BJ6745" s="77"/>
      <c r="BL6745" s="497">
        <v>41</v>
      </c>
      <c r="BN6745" s="42"/>
      <c r="BO6745" s="74"/>
      <c r="BP6745" s="77"/>
      <c r="BR6745" s="497">
        <v>53.06</v>
      </c>
      <c r="BT6745" s="42"/>
    </row>
    <row r="6746" spans="1:72" x14ac:dyDescent="0.25">
      <c r="A6746" s="90">
        <v>37172</v>
      </c>
      <c r="B6746" s="20">
        <v>0.33333333333333331</v>
      </c>
      <c r="D6746">
        <v>42.980000000000004</v>
      </c>
      <c r="E6746" t="str">
        <f t="shared" si="246"/>
        <v>WEEKDAY</v>
      </c>
      <c r="F6746" t="e">
        <f t="shared" si="245"/>
        <v>#N/A</v>
      </c>
      <c r="G6746" s="74">
        <v>29502</v>
      </c>
      <c r="H6746" s="77">
        <v>0.33333333333333331</v>
      </c>
      <c r="J6746">
        <v>56.120000000000005</v>
      </c>
      <c r="M6746" s="74">
        <v>36441</v>
      </c>
      <c r="N6746" s="77">
        <v>0.33333333333333331</v>
      </c>
      <c r="P6746">
        <v>48.2</v>
      </c>
      <c r="S6746" s="74">
        <v>37172</v>
      </c>
      <c r="T6746" s="77">
        <v>0.33333333333333331</v>
      </c>
      <c r="V6746">
        <v>42.980000000000004</v>
      </c>
      <c r="X6746" s="42"/>
      <c r="AB6746">
        <v>57</v>
      </c>
      <c r="AC6746">
        <v>46.04</v>
      </c>
      <c r="AE6746" s="74"/>
      <c r="AF6746" s="77"/>
      <c r="AH6746" s="497">
        <v>46.4</v>
      </c>
      <c r="AJ6746" s="42"/>
      <c r="AK6746" s="74"/>
      <c r="AL6746" s="77"/>
      <c r="AN6746" s="497">
        <v>48.92</v>
      </c>
      <c r="AP6746" s="42"/>
      <c r="AQ6746" s="74"/>
      <c r="AR6746" s="77"/>
      <c r="AT6746" s="497">
        <v>46.04</v>
      </c>
      <c r="AV6746" s="42"/>
      <c r="AW6746" s="74"/>
      <c r="AX6746" s="77"/>
      <c r="BA6746" s="497">
        <v>53.96</v>
      </c>
      <c r="BB6746" s="42"/>
      <c r="BC6746" s="74"/>
      <c r="BD6746" s="77"/>
      <c r="BF6746">
        <v>41</v>
      </c>
      <c r="BH6746" s="42"/>
      <c r="BI6746" s="74"/>
      <c r="BJ6746" s="77"/>
      <c r="BL6746" s="497">
        <v>41</v>
      </c>
      <c r="BN6746" s="42"/>
      <c r="BO6746" s="74"/>
      <c r="BP6746" s="77"/>
      <c r="BR6746" s="497">
        <v>53.96</v>
      </c>
      <c r="BT6746" s="42"/>
    </row>
    <row r="6747" spans="1:72" x14ac:dyDescent="0.25">
      <c r="A6747" s="90">
        <v>37172</v>
      </c>
      <c r="B6747" s="20">
        <v>0.375</v>
      </c>
      <c r="D6747">
        <v>44.96</v>
      </c>
      <c r="E6747" t="str">
        <f t="shared" si="246"/>
        <v>WEEKDAY</v>
      </c>
      <c r="F6747" t="e">
        <f t="shared" si="245"/>
        <v>#N/A</v>
      </c>
      <c r="G6747" s="74">
        <v>29502</v>
      </c>
      <c r="H6747" s="77">
        <v>0.375</v>
      </c>
      <c r="J6747">
        <v>59</v>
      </c>
      <c r="M6747" s="74">
        <v>36441</v>
      </c>
      <c r="N6747" s="77">
        <v>0.375</v>
      </c>
      <c r="P6747">
        <v>51.8</v>
      </c>
      <c r="S6747" s="74">
        <v>37172</v>
      </c>
      <c r="T6747" s="77">
        <v>0.375</v>
      </c>
      <c r="V6747">
        <v>44.96</v>
      </c>
      <c r="X6747" s="42"/>
      <c r="AB6747">
        <v>59.4</v>
      </c>
      <c r="AC6747">
        <v>48.92</v>
      </c>
      <c r="AE6747" s="74"/>
      <c r="AF6747" s="77"/>
      <c r="AH6747" s="497">
        <v>51.8</v>
      </c>
      <c r="AJ6747" s="42"/>
      <c r="AK6747" s="74"/>
      <c r="AL6747" s="77"/>
      <c r="AN6747" s="497">
        <v>51.980000000000004</v>
      </c>
      <c r="AP6747" s="42"/>
      <c r="AQ6747" s="74"/>
      <c r="AR6747" s="77"/>
      <c r="AT6747" s="497">
        <v>50</v>
      </c>
      <c r="AV6747" s="42"/>
      <c r="AW6747" s="74"/>
      <c r="AX6747" s="77"/>
      <c r="BA6747" s="497">
        <v>57.92</v>
      </c>
      <c r="BB6747" s="42"/>
      <c r="BC6747" s="74"/>
      <c r="BD6747" s="77"/>
      <c r="BF6747">
        <v>42.980000000000004</v>
      </c>
      <c r="BH6747" s="42"/>
      <c r="BI6747" s="74"/>
      <c r="BJ6747" s="77"/>
      <c r="BL6747" s="497">
        <v>42.980000000000004</v>
      </c>
      <c r="BN6747" s="42"/>
      <c r="BO6747" s="74"/>
      <c r="BP6747" s="77"/>
      <c r="BR6747" s="497">
        <v>57.019999999999996</v>
      </c>
      <c r="BT6747" s="42"/>
    </row>
    <row r="6748" spans="1:72" x14ac:dyDescent="0.25">
      <c r="A6748" s="90">
        <v>37172</v>
      </c>
      <c r="B6748" s="20">
        <v>0.41666666666666669</v>
      </c>
      <c r="D6748">
        <v>46.04</v>
      </c>
      <c r="E6748" t="str">
        <f t="shared" si="246"/>
        <v>WEEKDAY</v>
      </c>
      <c r="F6748" t="e">
        <f t="shared" si="245"/>
        <v>#N/A</v>
      </c>
      <c r="G6748" s="74">
        <v>29502</v>
      </c>
      <c r="H6748" s="77">
        <v>0.41666666666666669</v>
      </c>
      <c r="J6748">
        <v>62.06</v>
      </c>
      <c r="M6748" s="74">
        <v>36441</v>
      </c>
      <c r="N6748" s="77">
        <v>0.41666666666666669</v>
      </c>
      <c r="P6748">
        <v>53.6</v>
      </c>
      <c r="S6748" s="74">
        <v>37172</v>
      </c>
      <c r="T6748" s="77">
        <v>0.41666666666666669</v>
      </c>
      <c r="V6748">
        <v>46.94</v>
      </c>
      <c r="X6748" s="42"/>
      <c r="AB6748">
        <v>61.4</v>
      </c>
      <c r="AC6748">
        <v>51.08</v>
      </c>
      <c r="AE6748" s="74"/>
      <c r="AF6748" s="77"/>
      <c r="AH6748" s="497">
        <v>55.400000000000006</v>
      </c>
      <c r="AJ6748" s="42"/>
      <c r="AK6748" s="74"/>
      <c r="AL6748" s="77"/>
      <c r="AN6748" s="497">
        <v>55.94</v>
      </c>
      <c r="AP6748" s="42"/>
      <c r="AQ6748" s="74"/>
      <c r="AR6748" s="77"/>
      <c r="AT6748" s="497">
        <v>55.94</v>
      </c>
      <c r="AV6748" s="42"/>
      <c r="AW6748" s="74"/>
      <c r="AX6748" s="77"/>
      <c r="BA6748" s="497">
        <v>60.08</v>
      </c>
      <c r="BB6748" s="42"/>
      <c r="BC6748" s="74"/>
      <c r="BD6748" s="77"/>
      <c r="BF6748">
        <v>44.96</v>
      </c>
      <c r="BH6748" s="42"/>
      <c r="BI6748" s="74"/>
      <c r="BJ6748" s="77"/>
      <c r="BL6748" s="497">
        <v>42.980000000000004</v>
      </c>
      <c r="BN6748" s="42"/>
      <c r="BO6748" s="74"/>
      <c r="BP6748" s="77"/>
      <c r="BR6748" s="497">
        <v>60.08</v>
      </c>
      <c r="BT6748" s="42"/>
    </row>
    <row r="6749" spans="1:72" x14ac:dyDescent="0.25">
      <c r="A6749" s="90">
        <v>37172</v>
      </c>
      <c r="B6749" s="20">
        <v>0.45833333333333331</v>
      </c>
      <c r="D6749">
        <v>48.019999999999996</v>
      </c>
      <c r="E6749" t="str">
        <f t="shared" si="246"/>
        <v>WEEKDAY</v>
      </c>
      <c r="F6749" t="e">
        <f t="shared" si="245"/>
        <v>#N/A</v>
      </c>
      <c r="G6749" s="74">
        <v>29502</v>
      </c>
      <c r="H6749" s="77">
        <v>0.45833333333333331</v>
      </c>
      <c r="J6749">
        <v>63.680000000000007</v>
      </c>
      <c r="M6749" s="74">
        <v>36441</v>
      </c>
      <c r="N6749" s="77">
        <v>0.45833333333333331</v>
      </c>
      <c r="P6749">
        <v>57.2</v>
      </c>
      <c r="S6749" s="74">
        <v>37172</v>
      </c>
      <c r="T6749" s="77">
        <v>0.45833333333333331</v>
      </c>
      <c r="V6749">
        <v>48.92</v>
      </c>
      <c r="X6749" s="42"/>
      <c r="AB6749">
        <v>63.1</v>
      </c>
      <c r="AC6749">
        <v>51.980000000000004</v>
      </c>
      <c r="AE6749" s="74"/>
      <c r="AF6749" s="77"/>
      <c r="AH6749" s="497">
        <v>55.400000000000006</v>
      </c>
      <c r="AJ6749" s="42"/>
      <c r="AK6749" s="74"/>
      <c r="AL6749" s="77"/>
      <c r="AN6749" s="497">
        <v>60.08</v>
      </c>
      <c r="AP6749" s="42"/>
      <c r="AQ6749" s="74"/>
      <c r="AR6749" s="77"/>
      <c r="AT6749" s="497">
        <v>60.980000000000004</v>
      </c>
      <c r="AV6749" s="42"/>
      <c r="AW6749" s="74"/>
      <c r="AX6749" s="77"/>
      <c r="BA6749" s="497">
        <v>62.96</v>
      </c>
      <c r="BB6749" s="42"/>
      <c r="BC6749" s="74"/>
      <c r="BD6749" s="77"/>
      <c r="BF6749">
        <v>44.06</v>
      </c>
      <c r="BH6749" s="42"/>
      <c r="BI6749" s="74"/>
      <c r="BJ6749" s="77"/>
      <c r="BL6749" s="497">
        <v>44.96</v>
      </c>
      <c r="BN6749" s="42"/>
      <c r="BO6749" s="74"/>
      <c r="BP6749" s="77"/>
      <c r="BR6749" s="497">
        <v>60.980000000000004</v>
      </c>
      <c r="BT6749" s="42"/>
    </row>
    <row r="6750" spans="1:72" x14ac:dyDescent="0.25">
      <c r="A6750" s="90">
        <v>37172</v>
      </c>
      <c r="B6750" s="20">
        <v>0.5</v>
      </c>
      <c r="D6750">
        <v>50</v>
      </c>
      <c r="E6750" t="str">
        <f t="shared" si="246"/>
        <v>WEEKDAY</v>
      </c>
      <c r="F6750" t="e">
        <f t="shared" si="245"/>
        <v>#N/A</v>
      </c>
      <c r="G6750" s="74">
        <v>29502</v>
      </c>
      <c r="H6750" s="77">
        <v>0.5</v>
      </c>
      <c r="J6750">
        <v>65.300000000000011</v>
      </c>
      <c r="M6750" s="74">
        <v>36441</v>
      </c>
      <c r="N6750" s="77">
        <v>0.5</v>
      </c>
      <c r="P6750">
        <v>59</v>
      </c>
      <c r="S6750" s="74">
        <v>37172</v>
      </c>
      <c r="T6750" s="77">
        <v>0.5</v>
      </c>
      <c r="V6750">
        <v>51.08</v>
      </c>
      <c r="X6750" s="42"/>
      <c r="AB6750">
        <v>64.599999999999994</v>
      </c>
      <c r="AC6750">
        <v>53.06</v>
      </c>
      <c r="AE6750" s="74"/>
      <c r="AF6750" s="77"/>
      <c r="AH6750" s="497">
        <v>57.2</v>
      </c>
      <c r="AJ6750" s="42"/>
      <c r="AK6750" s="74"/>
      <c r="AL6750" s="77"/>
      <c r="AN6750" s="497">
        <v>62.06</v>
      </c>
      <c r="AP6750" s="42"/>
      <c r="AQ6750" s="74"/>
      <c r="AR6750" s="77"/>
      <c r="AT6750" s="497">
        <v>62.96</v>
      </c>
      <c r="AV6750" s="42"/>
      <c r="AW6750" s="74"/>
      <c r="AX6750" s="77"/>
      <c r="BA6750" s="497">
        <v>64.039999999999992</v>
      </c>
      <c r="BB6750" s="42"/>
      <c r="BC6750" s="74"/>
      <c r="BD6750" s="77"/>
      <c r="BF6750">
        <v>42.980000000000004</v>
      </c>
      <c r="BH6750" s="42"/>
      <c r="BI6750" s="74"/>
      <c r="BJ6750" s="77"/>
      <c r="BL6750" s="497">
        <v>46.04</v>
      </c>
      <c r="BN6750" s="42"/>
      <c r="BO6750" s="74"/>
      <c r="BP6750" s="77"/>
      <c r="BR6750" s="497">
        <v>62.06</v>
      </c>
      <c r="BT6750" s="42"/>
    </row>
    <row r="6751" spans="1:72" x14ac:dyDescent="0.25">
      <c r="A6751" s="90">
        <v>37172</v>
      </c>
      <c r="B6751" s="20">
        <v>0.54166666666666663</v>
      </c>
      <c r="D6751">
        <v>51.980000000000004</v>
      </c>
      <c r="E6751" t="str">
        <f t="shared" si="246"/>
        <v>WEEKDAY</v>
      </c>
      <c r="F6751" t="e">
        <f t="shared" si="245"/>
        <v>#N/A</v>
      </c>
      <c r="G6751" s="74">
        <v>29502</v>
      </c>
      <c r="H6751" s="77">
        <v>0.54166666666666663</v>
      </c>
      <c r="J6751">
        <v>66.92</v>
      </c>
      <c r="M6751" s="74">
        <v>36441</v>
      </c>
      <c r="N6751" s="77">
        <v>0.54166666666666663</v>
      </c>
      <c r="P6751">
        <v>59</v>
      </c>
      <c r="S6751" s="74">
        <v>37172</v>
      </c>
      <c r="T6751" s="77">
        <v>0.54166666666666663</v>
      </c>
      <c r="V6751">
        <v>51.980000000000004</v>
      </c>
      <c r="X6751" s="42"/>
      <c r="AB6751">
        <v>65.7</v>
      </c>
      <c r="AC6751">
        <v>53.96</v>
      </c>
      <c r="AE6751" s="74"/>
      <c r="AF6751" s="77"/>
      <c r="AH6751" s="497">
        <v>57.2</v>
      </c>
      <c r="AJ6751" s="42"/>
      <c r="AK6751" s="74"/>
      <c r="AL6751" s="77"/>
      <c r="AN6751" s="497">
        <v>64.94</v>
      </c>
      <c r="AP6751" s="42"/>
      <c r="AQ6751" s="74"/>
      <c r="AR6751" s="77"/>
      <c r="AT6751" s="497">
        <v>64.94</v>
      </c>
      <c r="AV6751" s="42"/>
      <c r="AW6751" s="74"/>
      <c r="AX6751" s="77"/>
      <c r="BA6751" s="497">
        <v>64.94</v>
      </c>
      <c r="BB6751" s="42"/>
      <c r="BC6751" s="74"/>
      <c r="BD6751" s="77"/>
      <c r="BF6751">
        <v>42.980000000000004</v>
      </c>
      <c r="BH6751" s="42"/>
      <c r="BI6751" s="74"/>
      <c r="BJ6751" s="77"/>
      <c r="BL6751" s="497">
        <v>44.96</v>
      </c>
      <c r="BN6751" s="42"/>
      <c r="BO6751" s="74"/>
      <c r="BP6751" s="77"/>
      <c r="BR6751" s="497">
        <v>60.08</v>
      </c>
      <c r="BT6751" s="42"/>
    </row>
    <row r="6752" spans="1:72" x14ac:dyDescent="0.25">
      <c r="A6752" s="90">
        <v>37172</v>
      </c>
      <c r="B6752" s="20">
        <v>0.58333333333333337</v>
      </c>
      <c r="D6752">
        <v>53.06</v>
      </c>
      <c r="E6752" t="str">
        <f t="shared" si="246"/>
        <v>WEEKDAY</v>
      </c>
      <c r="F6752" t="e">
        <f t="shared" si="245"/>
        <v>#N/A</v>
      </c>
      <c r="G6752" s="74">
        <v>29502</v>
      </c>
      <c r="H6752" s="77">
        <v>0.58333333333333337</v>
      </c>
      <c r="J6752">
        <v>67.64</v>
      </c>
      <c r="M6752" s="74">
        <v>36441</v>
      </c>
      <c r="N6752" s="77">
        <v>0.58333333333333337</v>
      </c>
      <c r="P6752">
        <v>59</v>
      </c>
      <c r="S6752" s="74">
        <v>37172</v>
      </c>
      <c r="T6752" s="77">
        <v>0.58333333333333337</v>
      </c>
      <c r="V6752">
        <v>53.96</v>
      </c>
      <c r="X6752" s="42"/>
      <c r="AB6752">
        <v>66.099999999999994</v>
      </c>
      <c r="AC6752">
        <v>53.06</v>
      </c>
      <c r="AE6752" s="74"/>
      <c r="AF6752" s="77"/>
      <c r="AH6752" s="497">
        <v>59</v>
      </c>
      <c r="AJ6752" s="42"/>
      <c r="AK6752" s="74"/>
      <c r="AL6752" s="77"/>
      <c r="AN6752" s="497">
        <v>68</v>
      </c>
      <c r="AP6752" s="42"/>
      <c r="AQ6752" s="74"/>
      <c r="AR6752" s="77"/>
      <c r="AT6752" s="497">
        <v>69.080000000000013</v>
      </c>
      <c r="AV6752" s="42"/>
      <c r="AW6752" s="74"/>
      <c r="AX6752" s="77"/>
      <c r="BA6752" s="497">
        <v>66.02</v>
      </c>
      <c r="BB6752" s="42"/>
      <c r="BC6752" s="74"/>
      <c r="BD6752" s="77"/>
      <c r="BF6752">
        <v>44.06</v>
      </c>
      <c r="BH6752" s="42"/>
      <c r="BI6752" s="74"/>
      <c r="BJ6752" s="77"/>
      <c r="BL6752" s="497">
        <v>42.980000000000004</v>
      </c>
      <c r="BN6752" s="42"/>
      <c r="BO6752" s="74"/>
      <c r="BP6752" s="77"/>
      <c r="BR6752" s="497">
        <v>55.040000000000006</v>
      </c>
      <c r="BT6752" s="42"/>
    </row>
    <row r="6753" spans="1:72" x14ac:dyDescent="0.25">
      <c r="A6753" s="90">
        <v>37172</v>
      </c>
      <c r="B6753" s="20">
        <v>0.625</v>
      </c>
      <c r="D6753">
        <v>53.96</v>
      </c>
      <c r="E6753" t="str">
        <f t="shared" si="246"/>
        <v>WEEKDAY</v>
      </c>
      <c r="F6753" t="e">
        <f t="shared" si="245"/>
        <v>#N/A</v>
      </c>
      <c r="G6753" s="74">
        <v>29502</v>
      </c>
      <c r="H6753" s="77">
        <v>0.625</v>
      </c>
      <c r="J6753">
        <v>68.36</v>
      </c>
      <c r="M6753" s="74">
        <v>36441</v>
      </c>
      <c r="N6753" s="77">
        <v>0.625</v>
      </c>
      <c r="P6753">
        <v>59</v>
      </c>
      <c r="S6753" s="74">
        <v>37172</v>
      </c>
      <c r="T6753" s="77">
        <v>0.625</v>
      </c>
      <c r="V6753">
        <v>53.96</v>
      </c>
      <c r="X6753" s="42"/>
      <c r="AB6753">
        <v>66.400000000000006</v>
      </c>
      <c r="AC6753">
        <v>53.96</v>
      </c>
      <c r="AE6753" s="74"/>
      <c r="AF6753" s="77"/>
      <c r="AH6753" s="497">
        <v>57.2</v>
      </c>
      <c r="AJ6753" s="42"/>
      <c r="AK6753" s="74"/>
      <c r="AL6753" s="77"/>
      <c r="AN6753" s="497">
        <v>66.92</v>
      </c>
      <c r="AP6753" s="42"/>
      <c r="AQ6753" s="74"/>
      <c r="AR6753" s="77"/>
      <c r="AT6753" s="497">
        <v>69.080000000000013</v>
      </c>
      <c r="AV6753" s="42"/>
      <c r="AW6753" s="74"/>
      <c r="AX6753" s="77"/>
      <c r="BA6753" s="497">
        <v>64.94</v>
      </c>
      <c r="BB6753" s="42"/>
      <c r="BC6753" s="74"/>
      <c r="BD6753" s="77"/>
      <c r="BF6753">
        <v>42.980000000000004</v>
      </c>
      <c r="BH6753" s="42"/>
      <c r="BI6753" s="74"/>
      <c r="BJ6753" s="77"/>
      <c r="BL6753" s="497">
        <v>42.08</v>
      </c>
      <c r="BN6753" s="42"/>
      <c r="BO6753" s="74"/>
      <c r="BP6753" s="77"/>
      <c r="BR6753" s="497">
        <v>53.06</v>
      </c>
      <c r="BT6753" s="42"/>
    </row>
    <row r="6754" spans="1:72" x14ac:dyDescent="0.25">
      <c r="A6754" s="90">
        <v>37172</v>
      </c>
      <c r="B6754" s="20">
        <v>0.66666666666666663</v>
      </c>
      <c r="D6754">
        <v>53.06</v>
      </c>
      <c r="E6754" t="str">
        <f t="shared" si="246"/>
        <v>WEEKDAY</v>
      </c>
      <c r="F6754" t="e">
        <f t="shared" si="245"/>
        <v>#N/A</v>
      </c>
      <c r="G6754" s="74">
        <v>29502</v>
      </c>
      <c r="H6754" s="77">
        <v>0.66666666666666663</v>
      </c>
      <c r="J6754">
        <v>69.080000000000013</v>
      </c>
      <c r="M6754" s="74">
        <v>36441</v>
      </c>
      <c r="N6754" s="77">
        <v>0.66666666666666663</v>
      </c>
      <c r="P6754">
        <v>59</v>
      </c>
      <c r="S6754" s="74">
        <v>37172</v>
      </c>
      <c r="T6754" s="77">
        <v>0.66666666666666663</v>
      </c>
      <c r="V6754">
        <v>53.96</v>
      </c>
      <c r="X6754" s="42"/>
      <c r="AB6754">
        <v>66.2</v>
      </c>
      <c r="AC6754">
        <v>53.06</v>
      </c>
      <c r="AE6754" s="74"/>
      <c r="AF6754" s="77"/>
      <c r="AH6754" s="497">
        <v>59</v>
      </c>
      <c r="AJ6754" s="42"/>
      <c r="AK6754" s="74"/>
      <c r="AL6754" s="77"/>
      <c r="AN6754" s="497">
        <v>66.92</v>
      </c>
      <c r="AP6754" s="42"/>
      <c r="AQ6754" s="74"/>
      <c r="AR6754" s="77"/>
      <c r="AT6754" s="497">
        <v>69.080000000000013</v>
      </c>
      <c r="AV6754" s="42"/>
      <c r="AW6754" s="74"/>
      <c r="AX6754" s="77"/>
      <c r="BA6754" s="497">
        <v>66.92</v>
      </c>
      <c r="BB6754" s="42"/>
      <c r="BC6754" s="74"/>
      <c r="BD6754" s="77"/>
      <c r="BF6754">
        <v>44.06</v>
      </c>
      <c r="BH6754" s="42"/>
      <c r="BI6754" s="74"/>
      <c r="BJ6754" s="77"/>
      <c r="BL6754" s="497">
        <v>42.980000000000004</v>
      </c>
      <c r="BN6754" s="42"/>
      <c r="BO6754" s="74"/>
      <c r="BP6754" s="77"/>
      <c r="BR6754" s="497">
        <v>53.96</v>
      </c>
      <c r="BT6754" s="42"/>
    </row>
    <row r="6755" spans="1:72" x14ac:dyDescent="0.25">
      <c r="A6755" s="90">
        <v>37172</v>
      </c>
      <c r="B6755" s="20">
        <v>0.70833333333333337</v>
      </c>
      <c r="D6755">
        <v>53.96</v>
      </c>
      <c r="E6755" t="str">
        <f t="shared" si="246"/>
        <v>WEEKDAY</v>
      </c>
      <c r="F6755" t="e">
        <f t="shared" si="245"/>
        <v>#N/A</v>
      </c>
      <c r="G6755" s="74">
        <v>29502</v>
      </c>
      <c r="H6755" s="77">
        <v>0.70833333333333337</v>
      </c>
      <c r="J6755">
        <v>68.36</v>
      </c>
      <c r="M6755" s="74">
        <v>36441</v>
      </c>
      <c r="N6755" s="77">
        <v>0.70833333333333337</v>
      </c>
      <c r="P6755">
        <v>57.74</v>
      </c>
      <c r="S6755" s="74">
        <v>37172</v>
      </c>
      <c r="T6755" s="77">
        <v>0.70833333333333337</v>
      </c>
      <c r="V6755">
        <v>51.08</v>
      </c>
      <c r="X6755" s="42"/>
      <c r="AB6755">
        <v>65.2</v>
      </c>
      <c r="AC6755">
        <v>51.08</v>
      </c>
      <c r="AE6755" s="74"/>
      <c r="AF6755" s="77"/>
      <c r="AH6755" s="497">
        <v>55.400000000000006</v>
      </c>
      <c r="AJ6755" s="42"/>
      <c r="AK6755" s="74"/>
      <c r="AL6755" s="77"/>
      <c r="AN6755" s="497">
        <v>64.039999999999992</v>
      </c>
      <c r="AP6755" s="42"/>
      <c r="AQ6755" s="74"/>
      <c r="AR6755" s="77"/>
      <c r="AT6755" s="497">
        <v>66.02</v>
      </c>
      <c r="AV6755" s="42"/>
      <c r="AW6755" s="74"/>
      <c r="AX6755" s="77"/>
      <c r="BA6755" s="497">
        <v>66.02</v>
      </c>
      <c r="BB6755" s="42"/>
      <c r="BC6755" s="74"/>
      <c r="BD6755" s="77"/>
      <c r="BF6755">
        <v>39.92</v>
      </c>
      <c r="BH6755" s="42"/>
      <c r="BI6755" s="74"/>
      <c r="BJ6755" s="77"/>
      <c r="BL6755" s="497">
        <v>41</v>
      </c>
      <c r="BN6755" s="42"/>
      <c r="BO6755" s="74"/>
      <c r="BP6755" s="77"/>
      <c r="BR6755" s="497">
        <v>55.040000000000006</v>
      </c>
      <c r="BT6755" s="42"/>
    </row>
    <row r="6756" spans="1:72" x14ac:dyDescent="0.25">
      <c r="A6756" s="90">
        <v>37172</v>
      </c>
      <c r="B6756" s="20">
        <v>0.75</v>
      </c>
      <c r="D6756">
        <v>51.980000000000004</v>
      </c>
      <c r="E6756" t="str">
        <f t="shared" si="246"/>
        <v>WEEKDAY</v>
      </c>
      <c r="F6756" t="e">
        <f t="shared" si="245"/>
        <v>#N/A</v>
      </c>
      <c r="G6756" s="74">
        <v>29502</v>
      </c>
      <c r="H6756" s="77">
        <v>0.75</v>
      </c>
      <c r="J6756">
        <v>67.64</v>
      </c>
      <c r="M6756" s="74">
        <v>36441</v>
      </c>
      <c r="N6756" s="77">
        <v>0.75</v>
      </c>
      <c r="P6756">
        <v>56.120000000000005</v>
      </c>
      <c r="S6756" s="74">
        <v>37172</v>
      </c>
      <c r="T6756" s="77">
        <v>0.75</v>
      </c>
      <c r="V6756">
        <v>50</v>
      </c>
      <c r="X6756" s="42"/>
      <c r="AB6756">
        <v>63.8</v>
      </c>
      <c r="AC6756">
        <v>48.019999999999996</v>
      </c>
      <c r="AE6756" s="74"/>
      <c r="AF6756" s="77"/>
      <c r="AH6756" s="497">
        <v>50</v>
      </c>
      <c r="AJ6756" s="42"/>
      <c r="AK6756" s="74"/>
      <c r="AL6756" s="77"/>
      <c r="AN6756" s="497">
        <v>60.980000000000004</v>
      </c>
      <c r="AP6756" s="42"/>
      <c r="AQ6756" s="74"/>
      <c r="AR6756" s="77"/>
      <c r="AT6756" s="497">
        <v>64.94</v>
      </c>
      <c r="AV6756" s="42"/>
      <c r="AW6756" s="74"/>
      <c r="AX6756" s="77"/>
      <c r="BA6756" s="497">
        <v>59</v>
      </c>
      <c r="BB6756" s="42"/>
      <c r="BC6756" s="74"/>
      <c r="BD6756" s="77"/>
      <c r="BF6756">
        <v>39.92</v>
      </c>
      <c r="BH6756" s="42"/>
      <c r="BI6756" s="74"/>
      <c r="BJ6756" s="77"/>
      <c r="BL6756" s="497">
        <v>39.92</v>
      </c>
      <c r="BN6756" s="42"/>
      <c r="BO6756" s="74"/>
      <c r="BP6756" s="77"/>
      <c r="BR6756" s="497">
        <v>55.94</v>
      </c>
      <c r="BT6756" s="42"/>
    </row>
    <row r="6757" spans="1:72" x14ac:dyDescent="0.25">
      <c r="A6757" s="90">
        <v>37172</v>
      </c>
      <c r="B6757" s="20">
        <v>0.79166666666666663</v>
      </c>
      <c r="D6757">
        <v>51.980000000000004</v>
      </c>
      <c r="E6757" t="str">
        <f t="shared" si="246"/>
        <v>WEEKDAY</v>
      </c>
      <c r="F6757" t="e">
        <f t="shared" si="245"/>
        <v>#N/A</v>
      </c>
      <c r="G6757" s="74">
        <v>29502</v>
      </c>
      <c r="H6757" s="77">
        <v>0.79166666666666663</v>
      </c>
      <c r="J6757">
        <v>66.92</v>
      </c>
      <c r="M6757" s="74">
        <v>36441</v>
      </c>
      <c r="N6757" s="77">
        <v>0.79166666666666663</v>
      </c>
      <c r="P6757">
        <v>55.400000000000006</v>
      </c>
      <c r="S6757" s="74">
        <v>37172</v>
      </c>
      <c r="T6757" s="77">
        <v>0.79166666666666663</v>
      </c>
      <c r="V6757">
        <v>48.92</v>
      </c>
      <c r="X6757" s="42"/>
      <c r="AB6757">
        <v>62.3</v>
      </c>
      <c r="AC6757">
        <v>46.94</v>
      </c>
      <c r="AE6757" s="74"/>
      <c r="AF6757" s="77"/>
      <c r="AH6757" s="497">
        <v>46.4</v>
      </c>
      <c r="AJ6757" s="42"/>
      <c r="AK6757" s="74"/>
      <c r="AL6757" s="77"/>
      <c r="AN6757" s="497">
        <v>60.980000000000004</v>
      </c>
      <c r="AP6757" s="42"/>
      <c r="AQ6757" s="74"/>
      <c r="AR6757" s="77"/>
      <c r="AT6757" s="497">
        <v>62.96</v>
      </c>
      <c r="AV6757" s="42"/>
      <c r="AW6757" s="74"/>
      <c r="AX6757" s="77"/>
      <c r="BA6757" s="497">
        <v>55.94</v>
      </c>
      <c r="BB6757" s="42"/>
      <c r="BC6757" s="74"/>
      <c r="BD6757" s="77"/>
      <c r="BF6757">
        <v>39.92</v>
      </c>
      <c r="BH6757" s="42"/>
      <c r="BI6757" s="74"/>
      <c r="BJ6757" s="77"/>
      <c r="BL6757" s="497">
        <v>41</v>
      </c>
      <c r="BN6757" s="42"/>
      <c r="BO6757" s="74"/>
      <c r="BP6757" s="77"/>
      <c r="BR6757" s="497">
        <v>55.94</v>
      </c>
      <c r="BT6757" s="42"/>
    </row>
    <row r="6758" spans="1:72" x14ac:dyDescent="0.25">
      <c r="A6758" s="90">
        <v>37172</v>
      </c>
      <c r="B6758" s="20">
        <v>0.83333333333333337</v>
      </c>
      <c r="D6758">
        <v>51.08</v>
      </c>
      <c r="E6758" t="str">
        <f t="shared" si="246"/>
        <v>WEEKDAY</v>
      </c>
      <c r="F6758" t="e">
        <f t="shared" si="245"/>
        <v>#N/A</v>
      </c>
      <c r="G6758" s="74">
        <v>29502</v>
      </c>
      <c r="H6758" s="77">
        <v>0.83333333333333337</v>
      </c>
      <c r="J6758">
        <v>66.02</v>
      </c>
      <c r="M6758" s="74">
        <v>36441</v>
      </c>
      <c r="N6758" s="77">
        <v>0.83333333333333337</v>
      </c>
      <c r="P6758">
        <v>55.400000000000006</v>
      </c>
      <c r="S6758" s="74">
        <v>37172</v>
      </c>
      <c r="T6758" s="77">
        <v>0.83333333333333337</v>
      </c>
      <c r="V6758">
        <v>46.94</v>
      </c>
      <c r="X6758" s="42"/>
      <c r="AB6758">
        <v>61.5</v>
      </c>
      <c r="AC6758">
        <v>46.94</v>
      </c>
      <c r="AE6758" s="74"/>
      <c r="AF6758" s="77"/>
      <c r="AH6758" s="497">
        <v>44.6</v>
      </c>
      <c r="AJ6758" s="42"/>
      <c r="AK6758" s="74"/>
      <c r="AL6758" s="77"/>
      <c r="AN6758" s="497">
        <v>60.08</v>
      </c>
      <c r="AP6758" s="42"/>
      <c r="AQ6758" s="74"/>
      <c r="AR6758" s="77"/>
      <c r="AT6758" s="497">
        <v>62.96</v>
      </c>
      <c r="AV6758" s="42"/>
      <c r="AW6758" s="74"/>
      <c r="AX6758" s="77"/>
      <c r="BA6758" s="497">
        <v>55.040000000000006</v>
      </c>
      <c r="BB6758" s="42"/>
      <c r="BC6758" s="74"/>
      <c r="BD6758" s="77"/>
      <c r="BF6758">
        <v>39.92</v>
      </c>
      <c r="BH6758" s="42"/>
      <c r="BI6758" s="74"/>
      <c r="BJ6758" s="77"/>
      <c r="BL6758" s="497">
        <v>41</v>
      </c>
      <c r="BN6758" s="42"/>
      <c r="BO6758" s="74"/>
      <c r="BP6758" s="77"/>
      <c r="BR6758" s="497">
        <v>57.019999999999996</v>
      </c>
      <c r="BT6758" s="42"/>
    </row>
    <row r="6759" spans="1:72" x14ac:dyDescent="0.25">
      <c r="A6759" s="90">
        <v>37172</v>
      </c>
      <c r="B6759" s="20">
        <v>0.875</v>
      </c>
      <c r="D6759">
        <v>50</v>
      </c>
      <c r="E6759" t="str">
        <f t="shared" si="246"/>
        <v>WEEKDAY</v>
      </c>
      <c r="F6759" t="e">
        <f t="shared" si="245"/>
        <v>#N/A</v>
      </c>
      <c r="G6759" s="74">
        <v>29502</v>
      </c>
      <c r="H6759" s="77">
        <v>0.875</v>
      </c>
      <c r="J6759">
        <v>64.94</v>
      </c>
      <c r="M6759" s="74">
        <v>36441</v>
      </c>
      <c r="N6759" s="77">
        <v>0.875</v>
      </c>
      <c r="P6759">
        <v>55.400000000000006</v>
      </c>
      <c r="S6759" s="74">
        <v>37172</v>
      </c>
      <c r="T6759" s="77">
        <v>0.875</v>
      </c>
      <c r="V6759">
        <v>46.04</v>
      </c>
      <c r="X6759" s="42"/>
      <c r="AB6759">
        <v>60.8</v>
      </c>
      <c r="AC6759">
        <v>46.04</v>
      </c>
      <c r="AE6759" s="74"/>
      <c r="AF6759" s="77"/>
      <c r="AH6759" s="497">
        <v>44.6</v>
      </c>
      <c r="AJ6759" s="42"/>
      <c r="AK6759" s="74"/>
      <c r="AL6759" s="77"/>
      <c r="AN6759" s="497">
        <v>57.92</v>
      </c>
      <c r="AP6759" s="42"/>
      <c r="AQ6759" s="74"/>
      <c r="AR6759" s="77"/>
      <c r="AT6759" s="497">
        <v>62.06</v>
      </c>
      <c r="AV6759" s="42"/>
      <c r="AW6759" s="74"/>
      <c r="AX6759" s="77"/>
      <c r="BA6759" s="497">
        <v>55.040000000000006</v>
      </c>
      <c r="BB6759" s="42"/>
      <c r="BC6759" s="74"/>
      <c r="BD6759" s="77"/>
      <c r="BF6759">
        <v>39.019999999999996</v>
      </c>
      <c r="BH6759" s="42"/>
      <c r="BI6759" s="74"/>
      <c r="BJ6759" s="77"/>
      <c r="BL6759" s="497">
        <v>39.92</v>
      </c>
      <c r="BN6759" s="42"/>
      <c r="BO6759" s="74"/>
      <c r="BP6759" s="77"/>
      <c r="BR6759" s="497">
        <v>57.019999999999996</v>
      </c>
      <c r="BT6759" s="42"/>
    </row>
    <row r="6760" spans="1:72" x14ac:dyDescent="0.25">
      <c r="A6760" s="90">
        <v>37172</v>
      </c>
      <c r="B6760" s="20">
        <v>0.91666666666666663</v>
      </c>
      <c r="D6760">
        <v>48.92</v>
      </c>
      <c r="E6760" t="str">
        <f t="shared" si="246"/>
        <v>WEEKDAY</v>
      </c>
      <c r="F6760" t="e">
        <f t="shared" si="245"/>
        <v>#N/A</v>
      </c>
      <c r="G6760" s="74">
        <v>29502</v>
      </c>
      <c r="H6760" s="77">
        <v>0.91666666666666663</v>
      </c>
      <c r="J6760">
        <v>64.039999999999992</v>
      </c>
      <c r="M6760" s="74">
        <v>36441</v>
      </c>
      <c r="N6760" s="77">
        <v>0.91666666666666663</v>
      </c>
      <c r="P6760">
        <v>55.400000000000006</v>
      </c>
      <c r="S6760" s="74">
        <v>37172</v>
      </c>
      <c r="T6760" s="77">
        <v>0.91666666666666663</v>
      </c>
      <c r="V6760">
        <v>44.06</v>
      </c>
      <c r="X6760" s="42"/>
      <c r="AB6760">
        <v>60.3</v>
      </c>
      <c r="AC6760">
        <v>44.06</v>
      </c>
      <c r="AE6760" s="74"/>
      <c r="AF6760" s="77"/>
      <c r="AH6760" s="497">
        <v>42.8</v>
      </c>
      <c r="AJ6760" s="42"/>
      <c r="AK6760" s="74"/>
      <c r="AL6760" s="77"/>
      <c r="AN6760" s="497">
        <v>57.92</v>
      </c>
      <c r="AP6760" s="42"/>
      <c r="AQ6760" s="74"/>
      <c r="AR6760" s="77"/>
      <c r="AT6760" s="497">
        <v>60.980000000000004</v>
      </c>
      <c r="AV6760" s="42"/>
      <c r="AW6760" s="74"/>
      <c r="AX6760" s="77"/>
      <c r="BA6760" s="497">
        <v>53.96</v>
      </c>
      <c r="BB6760" s="42"/>
      <c r="BC6760" s="74"/>
      <c r="BD6760" s="77"/>
      <c r="BF6760">
        <v>39.019999999999996</v>
      </c>
      <c r="BH6760" s="42"/>
      <c r="BI6760" s="74"/>
      <c r="BJ6760" s="77"/>
      <c r="BL6760" s="497">
        <v>41</v>
      </c>
      <c r="BN6760" s="42"/>
      <c r="BO6760" s="74"/>
      <c r="BP6760" s="77"/>
      <c r="BR6760" s="497">
        <v>57.92</v>
      </c>
      <c r="BT6760" s="42"/>
    </row>
    <row r="6761" spans="1:72" x14ac:dyDescent="0.25">
      <c r="A6761" s="90">
        <v>37172</v>
      </c>
      <c r="B6761" s="20">
        <v>0.95833333333333337</v>
      </c>
      <c r="D6761">
        <v>48.92</v>
      </c>
      <c r="E6761" t="str">
        <f t="shared" si="246"/>
        <v>WEEKDAY</v>
      </c>
      <c r="F6761" t="e">
        <f t="shared" si="245"/>
        <v>#N/A</v>
      </c>
      <c r="G6761" s="74">
        <v>29502</v>
      </c>
      <c r="H6761" s="77">
        <v>0.95833333333333337</v>
      </c>
      <c r="J6761">
        <v>63.319999999999993</v>
      </c>
      <c r="M6761" s="74">
        <v>36441</v>
      </c>
      <c r="N6761" s="77">
        <v>0.95833333333333337</v>
      </c>
      <c r="P6761">
        <v>56.3</v>
      </c>
      <c r="S6761" s="74">
        <v>37172</v>
      </c>
      <c r="T6761" s="77">
        <v>0.95833333333333337</v>
      </c>
      <c r="V6761">
        <v>44.96</v>
      </c>
      <c r="X6761" s="42"/>
      <c r="AB6761">
        <v>59.5</v>
      </c>
      <c r="AC6761">
        <v>44.06</v>
      </c>
      <c r="AE6761" s="74"/>
      <c r="AF6761" s="77"/>
      <c r="AH6761" s="497">
        <v>42.8</v>
      </c>
      <c r="AJ6761" s="42"/>
      <c r="AK6761" s="74"/>
      <c r="AL6761" s="77"/>
      <c r="AN6761" s="497">
        <v>55.94</v>
      </c>
      <c r="AP6761" s="42"/>
      <c r="AQ6761" s="74"/>
      <c r="AR6761" s="77"/>
      <c r="AT6761" s="497">
        <v>60.980000000000004</v>
      </c>
      <c r="AV6761" s="42"/>
      <c r="AW6761" s="74"/>
      <c r="AX6761" s="77"/>
      <c r="BA6761" s="497">
        <v>53.96</v>
      </c>
      <c r="BB6761" s="42"/>
      <c r="BC6761" s="74"/>
      <c r="BD6761" s="77"/>
      <c r="BF6761">
        <v>39.019999999999996</v>
      </c>
      <c r="BH6761" s="42"/>
      <c r="BI6761" s="74"/>
      <c r="BJ6761" s="77"/>
      <c r="BL6761" s="497">
        <v>39.92</v>
      </c>
      <c r="BN6761" s="42"/>
      <c r="BO6761" s="74"/>
      <c r="BP6761" s="77"/>
      <c r="BR6761" s="497">
        <v>57.92</v>
      </c>
      <c r="BT6761" s="42"/>
    </row>
    <row r="6762" spans="1:72" x14ac:dyDescent="0.25">
      <c r="A6762" s="90">
        <v>37172</v>
      </c>
      <c r="B6762" s="20">
        <v>1</v>
      </c>
      <c r="D6762">
        <v>48.019999999999996</v>
      </c>
      <c r="E6762" t="str">
        <f t="shared" si="246"/>
        <v>WEEKDAY</v>
      </c>
      <c r="F6762" t="e">
        <f t="shared" si="245"/>
        <v>#N/A</v>
      </c>
      <c r="G6762" s="74">
        <v>29502</v>
      </c>
      <c r="H6762" s="77">
        <v>1</v>
      </c>
      <c r="J6762">
        <v>62.78</v>
      </c>
      <c r="M6762" s="74">
        <v>36441</v>
      </c>
      <c r="N6762" s="80">
        <v>1</v>
      </c>
      <c r="P6762">
        <v>57.2</v>
      </c>
      <c r="S6762" s="74">
        <v>37172</v>
      </c>
      <c r="T6762" s="80">
        <v>1</v>
      </c>
      <c r="V6762">
        <v>42.980000000000004</v>
      </c>
      <c r="X6762" s="42"/>
      <c r="AB6762">
        <v>58.9</v>
      </c>
      <c r="AC6762">
        <v>42.980000000000004</v>
      </c>
      <c r="AE6762" s="74"/>
      <c r="AF6762" s="80"/>
      <c r="AH6762" s="497">
        <v>41</v>
      </c>
      <c r="AJ6762" s="42"/>
      <c r="AK6762" s="74"/>
      <c r="AL6762" s="80"/>
      <c r="AN6762" s="497">
        <v>55.94</v>
      </c>
      <c r="AP6762" s="42"/>
      <c r="AQ6762" s="74"/>
      <c r="AR6762" s="80"/>
      <c r="AT6762" s="497">
        <v>60.08</v>
      </c>
      <c r="AV6762" s="42"/>
      <c r="AW6762" s="74"/>
      <c r="AX6762" s="80"/>
      <c r="BA6762" s="497">
        <v>53.96</v>
      </c>
      <c r="BB6762" s="42"/>
      <c r="BC6762" s="74"/>
      <c r="BD6762" s="80"/>
      <c r="BF6762">
        <v>39.019999999999996</v>
      </c>
      <c r="BH6762" s="42"/>
      <c r="BI6762" s="74"/>
      <c r="BJ6762" s="80"/>
      <c r="BL6762" s="497">
        <v>37.94</v>
      </c>
      <c r="BN6762" s="42"/>
      <c r="BO6762" s="74"/>
      <c r="BP6762" s="80"/>
      <c r="BR6762" s="497">
        <v>57.92</v>
      </c>
      <c r="BT6762" s="42"/>
    </row>
    <row r="6763" spans="1:72" x14ac:dyDescent="0.25">
      <c r="A6763" s="90">
        <v>37173</v>
      </c>
      <c r="B6763" s="20">
        <v>4.1666666666666664E-2</v>
      </c>
      <c r="D6763">
        <v>48.019999999999996</v>
      </c>
      <c r="E6763" t="str">
        <f t="shared" si="246"/>
        <v>WEEKDAY</v>
      </c>
      <c r="F6763" t="e">
        <f t="shared" ref="F6763:F6826" si="247">IF(E6763="WEEKDAY",VLOOKUP(B6763,$DD$19:$DG$42,2),IF(E6763="SATURDAY",VLOOKUP(B6763,$DD$19:$DG$42,3),VLOOKUP(B6763,$DD$19:$DG$42,4)))</f>
        <v>#N/A</v>
      </c>
      <c r="G6763" s="74">
        <v>29503</v>
      </c>
      <c r="H6763" s="77">
        <v>4.1666666666666664E-2</v>
      </c>
      <c r="J6763">
        <v>62.06</v>
      </c>
      <c r="M6763" s="74">
        <v>36442</v>
      </c>
      <c r="N6763" s="77">
        <v>4.1666666666666664E-2</v>
      </c>
      <c r="P6763">
        <v>59</v>
      </c>
      <c r="S6763" s="74">
        <v>37173</v>
      </c>
      <c r="T6763" s="77">
        <v>4.1666666666666664E-2</v>
      </c>
      <c r="V6763">
        <v>41</v>
      </c>
      <c r="X6763" s="42"/>
      <c r="AB6763">
        <v>58.2</v>
      </c>
      <c r="AC6763">
        <v>42.08</v>
      </c>
      <c r="AE6763" s="74"/>
      <c r="AF6763" s="77"/>
      <c r="AH6763" s="497">
        <v>41</v>
      </c>
      <c r="AJ6763" s="42"/>
      <c r="AK6763" s="74"/>
      <c r="AL6763" s="77"/>
      <c r="AN6763" s="497">
        <v>55.94</v>
      </c>
      <c r="AP6763" s="42"/>
      <c r="AQ6763" s="74"/>
      <c r="AR6763" s="77"/>
      <c r="AT6763" s="497">
        <v>60.08</v>
      </c>
      <c r="AV6763" s="42"/>
      <c r="AW6763" s="74"/>
      <c r="AX6763" s="77"/>
      <c r="BA6763" s="497">
        <v>57.92</v>
      </c>
      <c r="BB6763" s="42"/>
      <c r="BC6763" s="74"/>
      <c r="BD6763" s="77"/>
      <c r="BF6763">
        <v>39.019999999999996</v>
      </c>
      <c r="BH6763" s="42"/>
      <c r="BI6763" s="74"/>
      <c r="BJ6763" s="77"/>
      <c r="BL6763" s="497">
        <v>37.94</v>
      </c>
      <c r="BN6763" s="42"/>
      <c r="BO6763" s="74"/>
      <c r="BP6763" s="77"/>
      <c r="BR6763" s="497">
        <v>55.94</v>
      </c>
      <c r="BT6763" s="42"/>
    </row>
    <row r="6764" spans="1:72" x14ac:dyDescent="0.25">
      <c r="A6764" s="90">
        <v>37173</v>
      </c>
      <c r="B6764" s="20">
        <v>8.3333333333333329E-2</v>
      </c>
      <c r="D6764">
        <v>46.94</v>
      </c>
      <c r="E6764" t="str">
        <f t="shared" si="246"/>
        <v>WEEKDAY</v>
      </c>
      <c r="F6764" t="e">
        <f t="shared" si="247"/>
        <v>#N/A</v>
      </c>
      <c r="G6764" s="74">
        <v>29503</v>
      </c>
      <c r="H6764" s="77">
        <v>8.3333333333333329E-2</v>
      </c>
      <c r="J6764">
        <v>60.980000000000004</v>
      </c>
      <c r="M6764" s="74">
        <v>36442</v>
      </c>
      <c r="N6764" s="77">
        <v>8.3333333333333329E-2</v>
      </c>
      <c r="P6764">
        <v>59</v>
      </c>
      <c r="S6764" s="74">
        <v>37173</v>
      </c>
      <c r="T6764" s="77">
        <v>8.3333333333333329E-2</v>
      </c>
      <c r="V6764">
        <v>39.019999999999996</v>
      </c>
      <c r="X6764" s="42"/>
      <c r="AB6764">
        <v>57.6</v>
      </c>
      <c r="AC6764">
        <v>42.08</v>
      </c>
      <c r="AE6764" s="74"/>
      <c r="AF6764" s="77"/>
      <c r="AH6764" s="497">
        <v>42.8</v>
      </c>
      <c r="AJ6764" s="42"/>
      <c r="AK6764" s="74"/>
      <c r="AL6764" s="77"/>
      <c r="AN6764" s="497">
        <v>55.040000000000006</v>
      </c>
      <c r="AP6764" s="42"/>
      <c r="AQ6764" s="74"/>
      <c r="AR6764" s="77"/>
      <c r="AT6764" s="497">
        <v>59</v>
      </c>
      <c r="AV6764" s="42"/>
      <c r="AW6764" s="74"/>
      <c r="AX6764" s="77"/>
      <c r="BA6764" s="497">
        <v>60.08</v>
      </c>
      <c r="BB6764" s="42"/>
      <c r="BC6764" s="74"/>
      <c r="BD6764" s="77"/>
      <c r="BF6764">
        <v>37.04</v>
      </c>
      <c r="BH6764" s="42"/>
      <c r="BI6764" s="74"/>
      <c r="BJ6764" s="77"/>
      <c r="BL6764" s="497">
        <v>37.04</v>
      </c>
      <c r="BN6764" s="42"/>
      <c r="BO6764" s="74"/>
      <c r="BP6764" s="77"/>
      <c r="BR6764" s="497">
        <v>55.94</v>
      </c>
      <c r="BT6764" s="42"/>
    </row>
    <row r="6765" spans="1:72" x14ac:dyDescent="0.25">
      <c r="A6765" s="90">
        <v>37173</v>
      </c>
      <c r="B6765" s="20">
        <v>0.125</v>
      </c>
      <c r="D6765">
        <v>44.06</v>
      </c>
      <c r="E6765" t="str">
        <f t="shared" si="246"/>
        <v>WEEKDAY</v>
      </c>
      <c r="F6765" t="e">
        <f t="shared" si="247"/>
        <v>#N/A</v>
      </c>
      <c r="G6765" s="74">
        <v>29503</v>
      </c>
      <c r="H6765" s="77">
        <v>0.125</v>
      </c>
      <c r="J6765">
        <v>60.08</v>
      </c>
      <c r="M6765" s="74">
        <v>36442</v>
      </c>
      <c r="N6765" s="77">
        <v>0.125</v>
      </c>
      <c r="P6765">
        <v>58.28</v>
      </c>
      <c r="S6765" s="74">
        <v>37173</v>
      </c>
      <c r="T6765" s="77">
        <v>0.125</v>
      </c>
      <c r="V6765">
        <v>39.92</v>
      </c>
      <c r="X6765" s="42"/>
      <c r="AB6765">
        <v>56.9</v>
      </c>
      <c r="AC6765">
        <v>41</v>
      </c>
      <c r="AE6765" s="74"/>
      <c r="AF6765" s="77"/>
      <c r="AH6765" s="497">
        <v>41</v>
      </c>
      <c r="AJ6765" s="42"/>
      <c r="AK6765" s="74"/>
      <c r="AL6765" s="77"/>
      <c r="AN6765" s="497">
        <v>55.040000000000006</v>
      </c>
      <c r="AP6765" s="42"/>
      <c r="AQ6765" s="74"/>
      <c r="AR6765" s="77"/>
      <c r="AT6765" s="497">
        <v>57.92</v>
      </c>
      <c r="AV6765" s="42"/>
      <c r="AW6765" s="74"/>
      <c r="AX6765" s="77"/>
      <c r="BA6765" s="497">
        <v>60.08</v>
      </c>
      <c r="BB6765" s="42"/>
      <c r="BC6765" s="74"/>
      <c r="BD6765" s="77"/>
      <c r="BF6765">
        <v>37.04</v>
      </c>
      <c r="BH6765" s="42"/>
      <c r="BI6765" s="74"/>
      <c r="BJ6765" s="77"/>
      <c r="BL6765" s="497">
        <v>37.04</v>
      </c>
      <c r="BN6765" s="42"/>
      <c r="BO6765" s="74"/>
      <c r="BP6765" s="77"/>
      <c r="BR6765" s="497">
        <v>48.019999999999996</v>
      </c>
      <c r="BT6765" s="42"/>
    </row>
    <row r="6766" spans="1:72" x14ac:dyDescent="0.25">
      <c r="A6766" s="90">
        <v>37173</v>
      </c>
      <c r="B6766" s="20">
        <v>0.16666666666666666</v>
      </c>
      <c r="D6766">
        <v>46.04</v>
      </c>
      <c r="E6766" t="str">
        <f t="shared" si="246"/>
        <v>WEEKDAY</v>
      </c>
      <c r="F6766" t="e">
        <f t="shared" si="247"/>
        <v>#N/A</v>
      </c>
      <c r="G6766" s="74">
        <v>29503</v>
      </c>
      <c r="H6766" s="77">
        <v>0.16666666666666666</v>
      </c>
      <c r="J6766">
        <v>59</v>
      </c>
      <c r="M6766" s="74">
        <v>36442</v>
      </c>
      <c r="N6766" s="77">
        <v>0.16666666666666666</v>
      </c>
      <c r="P6766">
        <v>57.2</v>
      </c>
      <c r="S6766" s="74">
        <v>37173</v>
      </c>
      <c r="T6766" s="77">
        <v>0.16666666666666666</v>
      </c>
      <c r="V6766">
        <v>35.96</v>
      </c>
      <c r="X6766" s="42"/>
      <c r="AB6766">
        <v>56.4</v>
      </c>
      <c r="AC6766">
        <v>39.92</v>
      </c>
      <c r="AE6766" s="74"/>
      <c r="AF6766" s="77"/>
      <c r="AH6766" s="497">
        <v>39.200000000000003</v>
      </c>
      <c r="AJ6766" s="42"/>
      <c r="AK6766" s="74"/>
      <c r="AL6766" s="77"/>
      <c r="AN6766" s="497">
        <v>55.040000000000006</v>
      </c>
      <c r="AP6766" s="42"/>
      <c r="AQ6766" s="74"/>
      <c r="AR6766" s="77"/>
      <c r="AT6766" s="497">
        <v>57.019999999999996</v>
      </c>
      <c r="AV6766" s="42"/>
      <c r="AW6766" s="74"/>
      <c r="AX6766" s="77"/>
      <c r="BA6766" s="497">
        <v>60.08</v>
      </c>
      <c r="BB6766" s="42"/>
      <c r="BC6766" s="74"/>
      <c r="BD6766" s="77"/>
      <c r="BF6766">
        <v>35.96</v>
      </c>
      <c r="BH6766" s="42"/>
      <c r="BI6766" s="74"/>
      <c r="BJ6766" s="77"/>
      <c r="BL6766" s="497">
        <v>35.06</v>
      </c>
      <c r="BN6766" s="42"/>
      <c r="BO6766" s="74"/>
      <c r="BP6766" s="77"/>
      <c r="BR6766" s="497">
        <v>46.94</v>
      </c>
      <c r="BT6766" s="42"/>
    </row>
    <row r="6767" spans="1:72" x14ac:dyDescent="0.25">
      <c r="A6767" s="90">
        <v>37173</v>
      </c>
      <c r="B6767" s="20">
        <v>0.20833333333333334</v>
      </c>
      <c r="D6767">
        <v>46.04</v>
      </c>
      <c r="E6767" t="str">
        <f t="shared" si="246"/>
        <v>WEEKDAY</v>
      </c>
      <c r="F6767" t="e">
        <f t="shared" si="247"/>
        <v>#N/A</v>
      </c>
      <c r="G6767" s="74">
        <v>29503</v>
      </c>
      <c r="H6767" s="77">
        <v>0.20833333333333334</v>
      </c>
      <c r="J6767">
        <v>59.36</v>
      </c>
      <c r="M6767" s="74">
        <v>36442</v>
      </c>
      <c r="N6767" s="77">
        <v>0.20833333333333334</v>
      </c>
      <c r="P6767">
        <v>57.92</v>
      </c>
      <c r="S6767" s="74">
        <v>37173</v>
      </c>
      <c r="T6767" s="77">
        <v>0.20833333333333334</v>
      </c>
      <c r="V6767">
        <v>37.94</v>
      </c>
      <c r="X6767" s="42"/>
      <c r="AB6767">
        <v>56</v>
      </c>
      <c r="AC6767">
        <v>39.92</v>
      </c>
      <c r="AE6767" s="74"/>
      <c r="AF6767" s="77"/>
      <c r="AH6767" s="497">
        <v>39.200000000000003</v>
      </c>
      <c r="AJ6767" s="42"/>
      <c r="AK6767" s="74"/>
      <c r="AL6767" s="77"/>
      <c r="AN6767" s="497">
        <v>53.96</v>
      </c>
      <c r="AP6767" s="42"/>
      <c r="AQ6767" s="74"/>
      <c r="AR6767" s="77"/>
      <c r="AT6767" s="497">
        <v>55.040000000000006</v>
      </c>
      <c r="AV6767" s="42"/>
      <c r="AW6767" s="74"/>
      <c r="AX6767" s="77"/>
      <c r="BA6767" s="497">
        <v>57.92</v>
      </c>
      <c r="BB6767" s="42"/>
      <c r="BC6767" s="74"/>
      <c r="BD6767" s="77"/>
      <c r="BF6767">
        <v>37.04</v>
      </c>
      <c r="BH6767" s="42"/>
      <c r="BI6767" s="74"/>
      <c r="BJ6767" s="77"/>
      <c r="BL6767" s="497">
        <v>35.06</v>
      </c>
      <c r="BN6767" s="42"/>
      <c r="BO6767" s="74"/>
      <c r="BP6767" s="77"/>
      <c r="BR6767" s="497">
        <v>46.04</v>
      </c>
      <c r="BT6767" s="42"/>
    </row>
    <row r="6768" spans="1:72" x14ac:dyDescent="0.25">
      <c r="A6768" s="90">
        <v>37173</v>
      </c>
      <c r="B6768" s="20">
        <v>0.25</v>
      </c>
      <c r="D6768">
        <v>44.96</v>
      </c>
      <c r="E6768" t="str">
        <f t="shared" si="246"/>
        <v>WEEKDAY</v>
      </c>
      <c r="F6768" t="e">
        <f t="shared" si="247"/>
        <v>#N/A</v>
      </c>
      <c r="G6768" s="74">
        <v>29503</v>
      </c>
      <c r="H6768" s="77">
        <v>0.25</v>
      </c>
      <c r="J6768">
        <v>59.72</v>
      </c>
      <c r="M6768" s="74">
        <v>36442</v>
      </c>
      <c r="N6768" s="77">
        <v>0.25</v>
      </c>
      <c r="P6768">
        <v>59</v>
      </c>
      <c r="S6768" s="74">
        <v>37173</v>
      </c>
      <c r="T6768" s="77">
        <v>0.25</v>
      </c>
      <c r="V6768">
        <v>35.96</v>
      </c>
      <c r="X6768" s="42"/>
      <c r="AB6768">
        <v>55.7</v>
      </c>
      <c r="AC6768">
        <v>39.92</v>
      </c>
      <c r="AE6768" s="74"/>
      <c r="AF6768" s="77"/>
      <c r="AH6768" s="497">
        <v>39.200000000000003</v>
      </c>
      <c r="AJ6768" s="42"/>
      <c r="AK6768" s="74"/>
      <c r="AL6768" s="77"/>
      <c r="AN6768" s="497">
        <v>53.06</v>
      </c>
      <c r="AP6768" s="42"/>
      <c r="AQ6768" s="74"/>
      <c r="AR6768" s="77"/>
      <c r="AT6768" s="497">
        <v>55.040000000000006</v>
      </c>
      <c r="AV6768" s="42"/>
      <c r="AW6768" s="74"/>
      <c r="AX6768" s="77"/>
      <c r="BA6768" s="497">
        <v>57.019999999999996</v>
      </c>
      <c r="BB6768" s="42"/>
      <c r="BC6768" s="74"/>
      <c r="BD6768" s="77"/>
      <c r="BF6768">
        <v>35.96</v>
      </c>
      <c r="BH6768" s="42"/>
      <c r="BI6768" s="74"/>
      <c r="BJ6768" s="77"/>
      <c r="BL6768" s="497">
        <v>35.06</v>
      </c>
      <c r="BN6768" s="42"/>
      <c r="BO6768" s="74"/>
      <c r="BP6768" s="77"/>
      <c r="BR6768" s="497">
        <v>42.980000000000004</v>
      </c>
      <c r="BT6768" s="42"/>
    </row>
    <row r="6769" spans="1:72" x14ac:dyDescent="0.25">
      <c r="A6769" s="90">
        <v>37173</v>
      </c>
      <c r="B6769" s="20">
        <v>0.29166666666666669</v>
      </c>
      <c r="D6769">
        <v>46.04</v>
      </c>
      <c r="E6769" t="str">
        <f t="shared" si="246"/>
        <v>WEEKDAY</v>
      </c>
      <c r="F6769" t="e">
        <f t="shared" si="247"/>
        <v>#N/A</v>
      </c>
      <c r="G6769" s="74">
        <v>29503</v>
      </c>
      <c r="H6769" s="77">
        <v>0.29166666666666669</v>
      </c>
      <c r="J6769">
        <v>60.08</v>
      </c>
      <c r="M6769" s="74">
        <v>36442</v>
      </c>
      <c r="N6769" s="77">
        <v>0.29166666666666669</v>
      </c>
      <c r="P6769">
        <v>59</v>
      </c>
      <c r="S6769" s="74">
        <v>37173</v>
      </c>
      <c r="T6769" s="77">
        <v>0.29166666666666669</v>
      </c>
      <c r="V6769">
        <v>39.92</v>
      </c>
      <c r="X6769" s="42"/>
      <c r="AB6769">
        <v>55.6</v>
      </c>
      <c r="AC6769">
        <v>39.92</v>
      </c>
      <c r="AE6769" s="74"/>
      <c r="AF6769" s="77"/>
      <c r="AH6769" s="497">
        <v>41</v>
      </c>
      <c r="AJ6769" s="42"/>
      <c r="AK6769" s="74"/>
      <c r="AL6769" s="77"/>
      <c r="AN6769" s="497">
        <v>53.06</v>
      </c>
      <c r="AP6769" s="42"/>
      <c r="AQ6769" s="74"/>
      <c r="AR6769" s="77"/>
      <c r="AT6769" s="497">
        <v>55.040000000000006</v>
      </c>
      <c r="AV6769" s="42"/>
      <c r="AW6769" s="74"/>
      <c r="AX6769" s="77"/>
      <c r="BA6769" s="497">
        <v>55.040000000000006</v>
      </c>
      <c r="BB6769" s="42"/>
      <c r="BC6769" s="74"/>
      <c r="BD6769" s="77"/>
      <c r="BF6769">
        <v>35.96</v>
      </c>
      <c r="BH6769" s="42"/>
      <c r="BI6769" s="74"/>
      <c r="BJ6769" s="77"/>
      <c r="BL6769" s="497">
        <v>35.06</v>
      </c>
      <c r="BN6769" s="42"/>
      <c r="BO6769" s="74"/>
      <c r="BP6769" s="77"/>
      <c r="BR6769" s="497">
        <v>42.980000000000004</v>
      </c>
      <c r="BT6769" s="42"/>
    </row>
    <row r="6770" spans="1:72" x14ac:dyDescent="0.25">
      <c r="A6770" s="90">
        <v>37173</v>
      </c>
      <c r="B6770" s="20">
        <v>0.33333333333333331</v>
      </c>
      <c r="D6770">
        <v>48.92</v>
      </c>
      <c r="E6770" t="str">
        <f t="shared" si="246"/>
        <v>WEEKDAY</v>
      </c>
      <c r="F6770" t="e">
        <f t="shared" si="247"/>
        <v>#N/A</v>
      </c>
      <c r="G6770" s="74">
        <v>29503</v>
      </c>
      <c r="H6770" s="77">
        <v>0.33333333333333331</v>
      </c>
      <c r="J6770">
        <v>61.34</v>
      </c>
      <c r="M6770" s="74">
        <v>36442</v>
      </c>
      <c r="N6770" s="77">
        <v>0.33333333333333331</v>
      </c>
      <c r="P6770">
        <v>59.36</v>
      </c>
      <c r="S6770" s="74">
        <v>37173</v>
      </c>
      <c r="T6770" s="77">
        <v>0.33333333333333331</v>
      </c>
      <c r="V6770">
        <v>48.019999999999996</v>
      </c>
      <c r="X6770" s="42"/>
      <c r="AB6770">
        <v>56.7</v>
      </c>
      <c r="AC6770">
        <v>42.08</v>
      </c>
      <c r="AE6770" s="74"/>
      <c r="AF6770" s="77"/>
      <c r="AH6770" s="497">
        <v>44.6</v>
      </c>
      <c r="AJ6770" s="42"/>
      <c r="AK6770" s="74"/>
      <c r="AL6770" s="77"/>
      <c r="AN6770" s="497">
        <v>55.94</v>
      </c>
      <c r="AP6770" s="42"/>
      <c r="AQ6770" s="74"/>
      <c r="AR6770" s="77"/>
      <c r="AT6770" s="497">
        <v>59</v>
      </c>
      <c r="AV6770" s="42"/>
      <c r="AW6770" s="74"/>
      <c r="AX6770" s="77"/>
      <c r="BA6770" s="497">
        <v>50</v>
      </c>
      <c r="BB6770" s="42"/>
      <c r="BC6770" s="74"/>
      <c r="BD6770" s="77"/>
      <c r="BF6770">
        <v>39.019999999999996</v>
      </c>
      <c r="BH6770" s="42"/>
      <c r="BI6770" s="74"/>
      <c r="BJ6770" s="77"/>
      <c r="BL6770" s="497">
        <v>39.92</v>
      </c>
      <c r="BN6770" s="42"/>
      <c r="BO6770" s="74"/>
      <c r="BP6770" s="77"/>
      <c r="BR6770" s="497">
        <v>44.06</v>
      </c>
      <c r="BT6770" s="42"/>
    </row>
    <row r="6771" spans="1:72" x14ac:dyDescent="0.25">
      <c r="A6771" s="90">
        <v>37173</v>
      </c>
      <c r="B6771" s="20">
        <v>0.375</v>
      </c>
      <c r="D6771">
        <v>51.980000000000004</v>
      </c>
      <c r="E6771" t="str">
        <f t="shared" si="246"/>
        <v>WEEKDAY</v>
      </c>
      <c r="F6771" t="e">
        <f t="shared" si="247"/>
        <v>#N/A</v>
      </c>
      <c r="G6771" s="74">
        <v>29503</v>
      </c>
      <c r="H6771" s="77">
        <v>0.375</v>
      </c>
      <c r="J6771">
        <v>62.78</v>
      </c>
      <c r="M6771" s="74">
        <v>36442</v>
      </c>
      <c r="N6771" s="77">
        <v>0.375</v>
      </c>
      <c r="P6771">
        <v>59</v>
      </c>
      <c r="S6771" s="74">
        <v>37173</v>
      </c>
      <c r="T6771" s="77">
        <v>0.375</v>
      </c>
      <c r="V6771">
        <v>51.08</v>
      </c>
      <c r="X6771" s="42"/>
      <c r="AB6771">
        <v>59.1</v>
      </c>
      <c r="AC6771">
        <v>46.04</v>
      </c>
      <c r="AE6771" s="74"/>
      <c r="AF6771" s="77"/>
      <c r="AH6771" s="497">
        <v>48.2</v>
      </c>
      <c r="AJ6771" s="42"/>
      <c r="AK6771" s="74"/>
      <c r="AL6771" s="77"/>
      <c r="AN6771" s="497">
        <v>57.019999999999996</v>
      </c>
      <c r="AP6771" s="42"/>
      <c r="AQ6771" s="74"/>
      <c r="AR6771" s="77"/>
      <c r="AT6771" s="497">
        <v>62.96</v>
      </c>
      <c r="AV6771" s="42"/>
      <c r="AW6771" s="74"/>
      <c r="AX6771" s="77"/>
      <c r="BA6771" s="497">
        <v>46.94</v>
      </c>
      <c r="BB6771" s="42"/>
      <c r="BC6771" s="74"/>
      <c r="BD6771" s="77"/>
      <c r="BF6771">
        <v>44.96</v>
      </c>
      <c r="BH6771" s="42"/>
      <c r="BI6771" s="74"/>
      <c r="BJ6771" s="77"/>
      <c r="BL6771" s="497">
        <v>44.06</v>
      </c>
      <c r="BN6771" s="42"/>
      <c r="BO6771" s="74"/>
      <c r="BP6771" s="77"/>
      <c r="BR6771" s="497">
        <v>42.980000000000004</v>
      </c>
      <c r="BT6771" s="42"/>
    </row>
    <row r="6772" spans="1:72" x14ac:dyDescent="0.25">
      <c r="A6772" s="90">
        <v>37173</v>
      </c>
      <c r="B6772" s="20">
        <v>0.41666666666666669</v>
      </c>
      <c r="D6772">
        <v>53.06</v>
      </c>
      <c r="E6772" t="str">
        <f t="shared" si="246"/>
        <v>WEEKDAY</v>
      </c>
      <c r="F6772" t="e">
        <f t="shared" si="247"/>
        <v>#N/A</v>
      </c>
      <c r="G6772" s="74">
        <v>29503</v>
      </c>
      <c r="H6772" s="77">
        <v>0.41666666666666669</v>
      </c>
      <c r="J6772">
        <v>64.039999999999992</v>
      </c>
      <c r="M6772" s="74">
        <v>36442</v>
      </c>
      <c r="N6772" s="77">
        <v>0.41666666666666669</v>
      </c>
      <c r="P6772">
        <v>62.78</v>
      </c>
      <c r="S6772" s="74">
        <v>37173</v>
      </c>
      <c r="T6772" s="77">
        <v>0.41666666666666669</v>
      </c>
      <c r="V6772">
        <v>53.06</v>
      </c>
      <c r="X6772" s="42"/>
      <c r="AB6772">
        <v>61.1</v>
      </c>
      <c r="AC6772">
        <v>48.019999999999996</v>
      </c>
      <c r="AE6772" s="74"/>
      <c r="AF6772" s="77"/>
      <c r="AH6772" s="497">
        <v>51.8</v>
      </c>
      <c r="AJ6772" s="42"/>
      <c r="AK6772" s="74"/>
      <c r="AL6772" s="77"/>
      <c r="AN6772" s="497">
        <v>55.94</v>
      </c>
      <c r="AP6772" s="42"/>
      <c r="AQ6772" s="74"/>
      <c r="AR6772" s="77"/>
      <c r="AT6772" s="497">
        <v>64.94</v>
      </c>
      <c r="AV6772" s="42"/>
      <c r="AW6772" s="74"/>
      <c r="AX6772" s="77"/>
      <c r="BA6772" s="497">
        <v>46.04</v>
      </c>
      <c r="BB6772" s="42"/>
      <c r="BC6772" s="74"/>
      <c r="BD6772" s="77"/>
      <c r="BF6772">
        <v>51.08</v>
      </c>
      <c r="BH6772" s="42"/>
      <c r="BI6772" s="74"/>
      <c r="BJ6772" s="77"/>
      <c r="BL6772" s="497">
        <v>48.92</v>
      </c>
      <c r="BN6772" s="42"/>
      <c r="BO6772" s="74"/>
      <c r="BP6772" s="77"/>
      <c r="BR6772" s="497">
        <v>46.94</v>
      </c>
      <c r="BT6772" s="42"/>
    </row>
    <row r="6773" spans="1:72" x14ac:dyDescent="0.25">
      <c r="A6773" s="90">
        <v>37173</v>
      </c>
      <c r="B6773" s="20">
        <v>0.45833333333333331</v>
      </c>
      <c r="D6773">
        <v>55.040000000000006</v>
      </c>
      <c r="E6773" t="str">
        <f t="shared" si="246"/>
        <v>WEEKDAY</v>
      </c>
      <c r="F6773" t="e">
        <f t="shared" si="247"/>
        <v>#N/A</v>
      </c>
      <c r="G6773" s="74">
        <v>29503</v>
      </c>
      <c r="H6773" s="77">
        <v>0.45833333333333331</v>
      </c>
      <c r="J6773">
        <v>65.300000000000011</v>
      </c>
      <c r="M6773" s="74">
        <v>36442</v>
      </c>
      <c r="N6773" s="77">
        <v>0.45833333333333331</v>
      </c>
      <c r="P6773">
        <v>66.2</v>
      </c>
      <c r="S6773" s="74">
        <v>37173</v>
      </c>
      <c r="T6773" s="77">
        <v>0.45833333333333331</v>
      </c>
      <c r="V6773">
        <v>55.040000000000006</v>
      </c>
      <c r="X6773" s="42"/>
      <c r="AB6773">
        <v>62.8</v>
      </c>
      <c r="AC6773">
        <v>50</v>
      </c>
      <c r="AE6773" s="74"/>
      <c r="AF6773" s="77"/>
      <c r="AH6773" s="497">
        <v>57.2</v>
      </c>
      <c r="AJ6773" s="42"/>
      <c r="AK6773" s="74"/>
      <c r="AL6773" s="77"/>
      <c r="AN6773" s="497">
        <v>51.980000000000004</v>
      </c>
      <c r="AP6773" s="42"/>
      <c r="AQ6773" s="74"/>
      <c r="AR6773" s="77"/>
      <c r="AT6773" s="497">
        <v>64.94</v>
      </c>
      <c r="AV6773" s="42"/>
      <c r="AW6773" s="74"/>
      <c r="AX6773" s="77"/>
      <c r="BA6773" s="497">
        <v>46.94</v>
      </c>
      <c r="BB6773" s="42"/>
      <c r="BC6773" s="74"/>
      <c r="BD6773" s="77"/>
      <c r="BF6773">
        <v>51.980000000000004</v>
      </c>
      <c r="BH6773" s="42"/>
      <c r="BI6773" s="74"/>
      <c r="BJ6773" s="77"/>
      <c r="BL6773" s="497">
        <v>51.980000000000004</v>
      </c>
      <c r="BN6773" s="42"/>
      <c r="BO6773" s="74"/>
      <c r="BP6773" s="77"/>
      <c r="BR6773" s="497">
        <v>44.96</v>
      </c>
      <c r="BT6773" s="42"/>
    </row>
    <row r="6774" spans="1:72" x14ac:dyDescent="0.25">
      <c r="A6774" s="90">
        <v>37173</v>
      </c>
      <c r="B6774" s="20">
        <v>0.5</v>
      </c>
      <c r="D6774">
        <v>57.019999999999996</v>
      </c>
      <c r="E6774" t="str">
        <f t="shared" si="246"/>
        <v>WEEKDAY</v>
      </c>
      <c r="F6774" t="e">
        <f t="shared" si="247"/>
        <v>#N/A</v>
      </c>
      <c r="G6774" s="74">
        <v>29503</v>
      </c>
      <c r="H6774" s="77">
        <v>0.5</v>
      </c>
      <c r="J6774">
        <v>66.740000000000009</v>
      </c>
      <c r="M6774" s="74">
        <v>36442</v>
      </c>
      <c r="N6774" s="77">
        <v>0.5</v>
      </c>
      <c r="P6774">
        <v>68</v>
      </c>
      <c r="S6774" s="74">
        <v>37173</v>
      </c>
      <c r="T6774" s="77">
        <v>0.5</v>
      </c>
      <c r="V6774">
        <v>57.019999999999996</v>
      </c>
      <c r="X6774" s="42"/>
      <c r="AB6774">
        <v>64.3</v>
      </c>
      <c r="AC6774">
        <v>51.08</v>
      </c>
      <c r="AE6774" s="74"/>
      <c r="AF6774" s="77"/>
      <c r="AH6774" s="497">
        <v>60.8</v>
      </c>
      <c r="AJ6774" s="42"/>
      <c r="AK6774" s="74"/>
      <c r="AL6774" s="77"/>
      <c r="AN6774" s="497">
        <v>50</v>
      </c>
      <c r="AP6774" s="42"/>
      <c r="AQ6774" s="74"/>
      <c r="AR6774" s="77"/>
      <c r="AT6774" s="497">
        <v>59</v>
      </c>
      <c r="AV6774" s="42"/>
      <c r="AW6774" s="74"/>
      <c r="AX6774" s="77"/>
      <c r="BA6774" s="497">
        <v>48.019999999999996</v>
      </c>
      <c r="BB6774" s="42"/>
      <c r="BC6774" s="74"/>
      <c r="BD6774" s="77"/>
      <c r="BF6774">
        <v>53.06</v>
      </c>
      <c r="BH6774" s="42"/>
      <c r="BI6774" s="74"/>
      <c r="BJ6774" s="77"/>
      <c r="BL6774" s="497">
        <v>53.96</v>
      </c>
      <c r="BN6774" s="42"/>
      <c r="BO6774" s="74"/>
      <c r="BP6774" s="77"/>
      <c r="BR6774" s="497">
        <v>44.96</v>
      </c>
      <c r="BT6774" s="42"/>
    </row>
    <row r="6775" spans="1:72" x14ac:dyDescent="0.25">
      <c r="A6775" s="90">
        <v>37173</v>
      </c>
      <c r="B6775" s="20">
        <v>0.54166666666666663</v>
      </c>
      <c r="D6775">
        <v>59</v>
      </c>
      <c r="E6775" t="str">
        <f t="shared" si="246"/>
        <v>WEEKDAY</v>
      </c>
      <c r="F6775" t="e">
        <f t="shared" si="247"/>
        <v>#N/A</v>
      </c>
      <c r="G6775" s="74">
        <v>29503</v>
      </c>
      <c r="H6775" s="77">
        <v>0.54166666666666663</v>
      </c>
      <c r="J6775">
        <v>68</v>
      </c>
      <c r="M6775" s="74">
        <v>36442</v>
      </c>
      <c r="N6775" s="77">
        <v>0.54166666666666663</v>
      </c>
      <c r="P6775">
        <v>68.72</v>
      </c>
      <c r="S6775" s="74">
        <v>37173</v>
      </c>
      <c r="T6775" s="77">
        <v>0.54166666666666663</v>
      </c>
      <c r="V6775">
        <v>55.94</v>
      </c>
      <c r="X6775" s="42"/>
      <c r="AB6775">
        <v>65.400000000000006</v>
      </c>
      <c r="AC6775">
        <v>51.980000000000004</v>
      </c>
      <c r="AE6775" s="74"/>
      <c r="AF6775" s="77"/>
      <c r="AH6775" s="497">
        <v>60.8</v>
      </c>
      <c r="AJ6775" s="42"/>
      <c r="AK6775" s="74"/>
      <c r="AL6775" s="77"/>
      <c r="AN6775" s="497">
        <v>48.92</v>
      </c>
      <c r="AP6775" s="42"/>
      <c r="AQ6775" s="74"/>
      <c r="AR6775" s="77"/>
      <c r="AT6775" s="497">
        <v>57.92</v>
      </c>
      <c r="AV6775" s="42"/>
      <c r="AW6775" s="74"/>
      <c r="AX6775" s="77"/>
      <c r="BA6775" s="497">
        <v>46.94</v>
      </c>
      <c r="BB6775" s="42"/>
      <c r="BC6775" s="74"/>
      <c r="BD6775" s="77"/>
      <c r="BF6775">
        <v>53.96</v>
      </c>
      <c r="BH6775" s="42"/>
      <c r="BI6775" s="74"/>
      <c r="BJ6775" s="77"/>
      <c r="BL6775" s="497">
        <v>57.92</v>
      </c>
      <c r="BN6775" s="42"/>
      <c r="BO6775" s="74"/>
      <c r="BP6775" s="77"/>
      <c r="BR6775" s="497">
        <v>44.06</v>
      </c>
      <c r="BT6775" s="42"/>
    </row>
    <row r="6776" spans="1:72" x14ac:dyDescent="0.25">
      <c r="A6776" s="90">
        <v>37173</v>
      </c>
      <c r="B6776" s="20">
        <v>0.58333333333333337</v>
      </c>
      <c r="D6776">
        <v>60.08</v>
      </c>
      <c r="E6776" t="str">
        <f t="shared" si="246"/>
        <v>WEEKDAY</v>
      </c>
      <c r="F6776" t="e">
        <f t="shared" si="247"/>
        <v>#N/A</v>
      </c>
      <c r="G6776" s="74">
        <v>29503</v>
      </c>
      <c r="H6776" s="77">
        <v>0.58333333333333337</v>
      </c>
      <c r="J6776">
        <v>68</v>
      </c>
      <c r="M6776" s="74">
        <v>36442</v>
      </c>
      <c r="N6776" s="77">
        <v>0.58333333333333337</v>
      </c>
      <c r="P6776">
        <v>69.080000000000013</v>
      </c>
      <c r="S6776" s="74">
        <v>37173</v>
      </c>
      <c r="T6776" s="77">
        <v>0.58333333333333337</v>
      </c>
      <c r="V6776">
        <v>57.019999999999996</v>
      </c>
      <c r="X6776" s="42"/>
      <c r="AB6776">
        <v>65.8</v>
      </c>
      <c r="AC6776">
        <v>48.92</v>
      </c>
      <c r="AE6776" s="74"/>
      <c r="AF6776" s="77"/>
      <c r="AH6776" s="497">
        <v>60.8</v>
      </c>
      <c r="AJ6776" s="42"/>
      <c r="AK6776" s="74"/>
      <c r="AL6776" s="77"/>
      <c r="AN6776" s="497">
        <v>48.019999999999996</v>
      </c>
      <c r="AP6776" s="42"/>
      <c r="AQ6776" s="74"/>
      <c r="AR6776" s="77"/>
      <c r="AT6776" s="497">
        <v>51.980000000000004</v>
      </c>
      <c r="AV6776" s="42"/>
      <c r="AW6776" s="74"/>
      <c r="AX6776" s="77"/>
      <c r="BA6776" s="497">
        <v>46.94</v>
      </c>
      <c r="BB6776" s="42"/>
      <c r="BC6776" s="74"/>
      <c r="BD6776" s="77"/>
      <c r="BF6776">
        <v>53.96</v>
      </c>
      <c r="BH6776" s="42"/>
      <c r="BI6776" s="74"/>
      <c r="BJ6776" s="77"/>
      <c r="BL6776" s="497">
        <v>55.94</v>
      </c>
      <c r="BN6776" s="42"/>
      <c r="BO6776" s="74"/>
      <c r="BP6776" s="77"/>
      <c r="BR6776" s="497">
        <v>46.04</v>
      </c>
      <c r="BT6776" s="42"/>
    </row>
    <row r="6777" spans="1:72" x14ac:dyDescent="0.25">
      <c r="A6777" s="90">
        <v>37173</v>
      </c>
      <c r="B6777" s="20">
        <v>0.625</v>
      </c>
      <c r="D6777">
        <v>60.08</v>
      </c>
      <c r="E6777" t="str">
        <f t="shared" si="246"/>
        <v>WEEKDAY</v>
      </c>
      <c r="F6777" t="e">
        <f t="shared" si="247"/>
        <v>#N/A</v>
      </c>
      <c r="G6777" s="74">
        <v>29503</v>
      </c>
      <c r="H6777" s="77">
        <v>0.625</v>
      </c>
      <c r="J6777">
        <v>68</v>
      </c>
      <c r="M6777" s="74">
        <v>36442</v>
      </c>
      <c r="N6777" s="77">
        <v>0.625</v>
      </c>
      <c r="P6777">
        <v>68.900000000000006</v>
      </c>
      <c r="S6777" s="74">
        <v>37173</v>
      </c>
      <c r="T6777" s="77">
        <v>0.625</v>
      </c>
      <c r="V6777">
        <v>55.94</v>
      </c>
      <c r="X6777" s="42"/>
      <c r="AB6777">
        <v>66.099999999999994</v>
      </c>
      <c r="AC6777">
        <v>50</v>
      </c>
      <c r="AE6777" s="74"/>
      <c r="AF6777" s="77"/>
      <c r="AH6777" s="497">
        <v>62.6</v>
      </c>
      <c r="AJ6777" s="42"/>
      <c r="AK6777" s="74"/>
      <c r="AL6777" s="77"/>
      <c r="AN6777" s="497">
        <v>46.04</v>
      </c>
      <c r="AP6777" s="42"/>
      <c r="AQ6777" s="74"/>
      <c r="AR6777" s="77"/>
      <c r="AT6777" s="497">
        <v>48.92</v>
      </c>
      <c r="AV6777" s="42"/>
      <c r="AW6777" s="74"/>
      <c r="AX6777" s="77"/>
      <c r="BA6777" s="497">
        <v>46.04</v>
      </c>
      <c r="BB6777" s="42"/>
      <c r="BC6777" s="74"/>
      <c r="BD6777" s="77"/>
      <c r="BF6777">
        <v>55.040000000000006</v>
      </c>
      <c r="BH6777" s="42"/>
      <c r="BI6777" s="74"/>
      <c r="BJ6777" s="77"/>
      <c r="BL6777" s="497">
        <v>59</v>
      </c>
      <c r="BN6777" s="42"/>
      <c r="BO6777" s="74"/>
      <c r="BP6777" s="77"/>
      <c r="BR6777" s="497">
        <v>46.94</v>
      </c>
      <c r="BT6777" s="42"/>
    </row>
    <row r="6778" spans="1:72" x14ac:dyDescent="0.25">
      <c r="A6778" s="90">
        <v>37173</v>
      </c>
      <c r="B6778" s="20">
        <v>0.66666666666666663</v>
      </c>
      <c r="D6778">
        <v>59</v>
      </c>
      <c r="E6778" t="str">
        <f t="shared" si="246"/>
        <v>WEEKDAY</v>
      </c>
      <c r="F6778" t="e">
        <f t="shared" si="247"/>
        <v>#N/A</v>
      </c>
      <c r="G6778" s="74">
        <v>29503</v>
      </c>
      <c r="H6778" s="77">
        <v>0.66666666666666663</v>
      </c>
      <c r="J6778">
        <v>68</v>
      </c>
      <c r="M6778" s="74">
        <v>36442</v>
      </c>
      <c r="N6778" s="77">
        <v>0.66666666666666663</v>
      </c>
      <c r="P6778">
        <v>68</v>
      </c>
      <c r="S6778" s="74">
        <v>37173</v>
      </c>
      <c r="T6778" s="77">
        <v>0.66666666666666663</v>
      </c>
      <c r="V6778">
        <v>57.019999999999996</v>
      </c>
      <c r="X6778" s="42"/>
      <c r="AB6778">
        <v>65.900000000000006</v>
      </c>
      <c r="AC6778">
        <v>48.019999999999996</v>
      </c>
      <c r="AE6778" s="74"/>
      <c r="AF6778" s="77"/>
      <c r="AH6778" s="497">
        <v>60.8</v>
      </c>
      <c r="AJ6778" s="42"/>
      <c r="AK6778" s="74"/>
      <c r="AL6778" s="77"/>
      <c r="AN6778" s="497">
        <v>46.04</v>
      </c>
      <c r="AP6778" s="42"/>
      <c r="AQ6778" s="74"/>
      <c r="AR6778" s="77"/>
      <c r="AT6778" s="497">
        <v>46.94</v>
      </c>
      <c r="AV6778" s="42"/>
      <c r="AW6778" s="74"/>
      <c r="AX6778" s="77"/>
      <c r="BA6778" s="497">
        <v>46.04</v>
      </c>
      <c r="BB6778" s="42"/>
      <c r="BC6778" s="74"/>
      <c r="BD6778" s="77"/>
      <c r="BF6778">
        <v>55.94</v>
      </c>
      <c r="BH6778" s="42"/>
      <c r="BI6778" s="74"/>
      <c r="BJ6778" s="77"/>
      <c r="BL6778" s="497">
        <v>57.92</v>
      </c>
      <c r="BN6778" s="42"/>
      <c r="BO6778" s="74"/>
      <c r="BP6778" s="77"/>
      <c r="BR6778" s="497">
        <v>42.980000000000004</v>
      </c>
      <c r="BT6778" s="42"/>
    </row>
    <row r="6779" spans="1:72" x14ac:dyDescent="0.25">
      <c r="A6779" s="90">
        <v>37173</v>
      </c>
      <c r="B6779" s="20">
        <v>0.70833333333333337</v>
      </c>
      <c r="D6779">
        <v>57.92</v>
      </c>
      <c r="E6779" t="str">
        <f t="shared" si="246"/>
        <v>WEEKDAY</v>
      </c>
      <c r="F6779" t="e">
        <f t="shared" si="247"/>
        <v>#N/A</v>
      </c>
      <c r="G6779" s="74">
        <v>29503</v>
      </c>
      <c r="H6779" s="77">
        <v>0.70833333333333337</v>
      </c>
      <c r="J6779">
        <v>66.02</v>
      </c>
      <c r="M6779" s="74">
        <v>36442</v>
      </c>
      <c r="N6779" s="77">
        <v>0.70833333333333337</v>
      </c>
      <c r="P6779">
        <v>66.2</v>
      </c>
      <c r="S6779" s="74">
        <v>37173</v>
      </c>
      <c r="T6779" s="77">
        <v>0.70833333333333337</v>
      </c>
      <c r="V6779">
        <v>57.019999999999996</v>
      </c>
      <c r="X6779" s="42"/>
      <c r="AB6779">
        <v>64.900000000000006</v>
      </c>
      <c r="AC6779">
        <v>46.04</v>
      </c>
      <c r="AE6779" s="74"/>
      <c r="AF6779" s="77"/>
      <c r="AH6779" s="497">
        <v>59</v>
      </c>
      <c r="AJ6779" s="42"/>
      <c r="AK6779" s="74"/>
      <c r="AL6779" s="77"/>
      <c r="AN6779" s="497">
        <v>44.06</v>
      </c>
      <c r="AP6779" s="42"/>
      <c r="AQ6779" s="74"/>
      <c r="AR6779" s="77"/>
      <c r="AT6779" s="497">
        <v>46.04</v>
      </c>
      <c r="AV6779" s="42"/>
      <c r="AW6779" s="74"/>
      <c r="AX6779" s="77"/>
      <c r="BA6779" s="497">
        <v>44.96</v>
      </c>
      <c r="BB6779" s="42"/>
      <c r="BC6779" s="74"/>
      <c r="BD6779" s="77"/>
      <c r="BF6779">
        <v>55.040000000000006</v>
      </c>
      <c r="BH6779" s="42"/>
      <c r="BI6779" s="74"/>
      <c r="BJ6779" s="77"/>
      <c r="BL6779" s="497">
        <v>57.019999999999996</v>
      </c>
      <c r="BN6779" s="42"/>
      <c r="BO6779" s="74"/>
      <c r="BP6779" s="77"/>
      <c r="BR6779" s="497">
        <v>42.08</v>
      </c>
      <c r="BT6779" s="42"/>
    </row>
    <row r="6780" spans="1:72" x14ac:dyDescent="0.25">
      <c r="A6780" s="90">
        <v>37173</v>
      </c>
      <c r="B6780" s="20">
        <v>0.75</v>
      </c>
      <c r="D6780">
        <v>57.92</v>
      </c>
      <c r="E6780" t="str">
        <f t="shared" si="246"/>
        <v>WEEKDAY</v>
      </c>
      <c r="F6780" t="e">
        <f t="shared" si="247"/>
        <v>#N/A</v>
      </c>
      <c r="G6780" s="74">
        <v>29503</v>
      </c>
      <c r="H6780" s="77">
        <v>0.75</v>
      </c>
      <c r="J6780">
        <v>64.039999999999992</v>
      </c>
      <c r="M6780" s="74">
        <v>36442</v>
      </c>
      <c r="N6780" s="77">
        <v>0.75</v>
      </c>
      <c r="P6780">
        <v>64.400000000000006</v>
      </c>
      <c r="S6780" s="74">
        <v>37173</v>
      </c>
      <c r="T6780" s="77">
        <v>0.75</v>
      </c>
      <c r="V6780">
        <v>51.980000000000004</v>
      </c>
      <c r="X6780" s="42"/>
      <c r="AB6780">
        <v>63.5</v>
      </c>
      <c r="AC6780">
        <v>44.96</v>
      </c>
      <c r="AE6780" s="74"/>
      <c r="AF6780" s="77"/>
      <c r="AH6780" s="497">
        <v>57.2</v>
      </c>
      <c r="AJ6780" s="42"/>
      <c r="AK6780" s="74"/>
      <c r="AL6780" s="77"/>
      <c r="AN6780" s="497">
        <v>42.980000000000004</v>
      </c>
      <c r="AP6780" s="42"/>
      <c r="AQ6780" s="74"/>
      <c r="AR6780" s="77"/>
      <c r="AT6780" s="497">
        <v>46.04</v>
      </c>
      <c r="AV6780" s="42"/>
      <c r="AW6780" s="74"/>
      <c r="AX6780" s="77"/>
      <c r="BA6780" s="497">
        <v>44.06</v>
      </c>
      <c r="BB6780" s="42"/>
      <c r="BC6780" s="74"/>
      <c r="BD6780" s="77"/>
      <c r="BF6780">
        <v>51.980000000000004</v>
      </c>
      <c r="BH6780" s="42"/>
      <c r="BI6780" s="74"/>
      <c r="BJ6780" s="77"/>
      <c r="BL6780" s="497">
        <v>50</v>
      </c>
      <c r="BN6780" s="42"/>
      <c r="BO6780" s="74"/>
      <c r="BP6780" s="77"/>
      <c r="BR6780" s="497">
        <v>39.92</v>
      </c>
      <c r="BT6780" s="42"/>
    </row>
    <row r="6781" spans="1:72" x14ac:dyDescent="0.25">
      <c r="A6781" s="90">
        <v>37173</v>
      </c>
      <c r="B6781" s="20">
        <v>0.79166666666666663</v>
      </c>
      <c r="D6781">
        <v>57.92</v>
      </c>
      <c r="E6781" t="str">
        <f t="shared" si="246"/>
        <v>WEEKDAY</v>
      </c>
      <c r="F6781" t="e">
        <f t="shared" si="247"/>
        <v>#N/A</v>
      </c>
      <c r="G6781" s="74">
        <v>29503</v>
      </c>
      <c r="H6781" s="77">
        <v>0.79166666666666663</v>
      </c>
      <c r="J6781">
        <v>62.06</v>
      </c>
      <c r="M6781" s="74">
        <v>36442</v>
      </c>
      <c r="N6781" s="77">
        <v>0.79166666666666663</v>
      </c>
      <c r="P6781">
        <v>62.6</v>
      </c>
      <c r="S6781" s="74">
        <v>37173</v>
      </c>
      <c r="T6781" s="77">
        <v>0.79166666666666663</v>
      </c>
      <c r="V6781">
        <v>53.96</v>
      </c>
      <c r="X6781" s="42"/>
      <c r="AB6781">
        <v>62</v>
      </c>
      <c r="AC6781">
        <v>44.06</v>
      </c>
      <c r="AE6781" s="74"/>
      <c r="AF6781" s="77"/>
      <c r="AH6781" s="497">
        <v>57.2</v>
      </c>
      <c r="AJ6781" s="42"/>
      <c r="AK6781" s="74"/>
      <c r="AL6781" s="77"/>
      <c r="AN6781" s="497">
        <v>42.08</v>
      </c>
      <c r="AP6781" s="42"/>
      <c r="AQ6781" s="74"/>
      <c r="AR6781" s="77"/>
      <c r="AT6781" s="497">
        <v>46.04</v>
      </c>
      <c r="AV6781" s="42"/>
      <c r="AW6781" s="74"/>
      <c r="AX6781" s="77"/>
      <c r="BA6781" s="497">
        <v>42.980000000000004</v>
      </c>
      <c r="BB6781" s="42"/>
      <c r="BC6781" s="74"/>
      <c r="BD6781" s="77"/>
      <c r="BF6781">
        <v>53.06</v>
      </c>
      <c r="BH6781" s="42"/>
      <c r="BI6781" s="74"/>
      <c r="BJ6781" s="77"/>
      <c r="BL6781" s="497">
        <v>48.92</v>
      </c>
      <c r="BN6781" s="42"/>
      <c r="BO6781" s="74"/>
      <c r="BP6781" s="77"/>
      <c r="BR6781" s="497">
        <v>39.92</v>
      </c>
      <c r="BT6781" s="42"/>
    </row>
    <row r="6782" spans="1:72" x14ac:dyDescent="0.25">
      <c r="A6782" s="90">
        <v>37173</v>
      </c>
      <c r="B6782" s="20">
        <v>0.83333333333333337</v>
      </c>
      <c r="D6782">
        <v>57.92</v>
      </c>
      <c r="E6782" t="str">
        <f t="shared" si="246"/>
        <v>WEEKDAY</v>
      </c>
      <c r="F6782" t="e">
        <f t="shared" si="247"/>
        <v>#N/A</v>
      </c>
      <c r="G6782" s="74">
        <v>29503</v>
      </c>
      <c r="H6782" s="77">
        <v>0.83333333333333337</v>
      </c>
      <c r="J6782">
        <v>59.36</v>
      </c>
      <c r="M6782" s="74">
        <v>36442</v>
      </c>
      <c r="N6782" s="77">
        <v>0.83333333333333337</v>
      </c>
      <c r="P6782">
        <v>61.7</v>
      </c>
      <c r="S6782" s="74">
        <v>37173</v>
      </c>
      <c r="T6782" s="77">
        <v>0.83333333333333337</v>
      </c>
      <c r="V6782">
        <v>55.040000000000006</v>
      </c>
      <c r="X6782" s="42"/>
      <c r="AB6782">
        <v>61.2</v>
      </c>
      <c r="AC6782">
        <v>42.980000000000004</v>
      </c>
      <c r="AE6782" s="74"/>
      <c r="AF6782" s="77"/>
      <c r="AH6782" s="497">
        <v>57.2</v>
      </c>
      <c r="AJ6782" s="42"/>
      <c r="AK6782" s="74"/>
      <c r="AL6782" s="77"/>
      <c r="AN6782" s="497">
        <v>41</v>
      </c>
      <c r="AP6782" s="42"/>
      <c r="AQ6782" s="74"/>
      <c r="AR6782" s="77"/>
      <c r="AT6782" s="497">
        <v>44.96</v>
      </c>
      <c r="AV6782" s="42"/>
      <c r="AW6782" s="74"/>
      <c r="AX6782" s="77"/>
      <c r="BA6782" s="497">
        <v>42.08</v>
      </c>
      <c r="BB6782" s="42"/>
      <c r="BC6782" s="74"/>
      <c r="BD6782" s="77"/>
      <c r="BF6782">
        <v>48.92</v>
      </c>
      <c r="BH6782" s="42"/>
      <c r="BI6782" s="74"/>
      <c r="BJ6782" s="77"/>
      <c r="BL6782" s="497">
        <v>48.019999999999996</v>
      </c>
      <c r="BN6782" s="42"/>
      <c r="BO6782" s="74"/>
      <c r="BP6782" s="77"/>
      <c r="BR6782" s="497">
        <v>37.94</v>
      </c>
      <c r="BT6782" s="42"/>
    </row>
    <row r="6783" spans="1:72" x14ac:dyDescent="0.25">
      <c r="A6783" s="90">
        <v>37173</v>
      </c>
      <c r="B6783" s="20">
        <v>0.875</v>
      </c>
      <c r="D6783">
        <v>55.94</v>
      </c>
      <c r="E6783" t="str">
        <f t="shared" si="246"/>
        <v>WEEKDAY</v>
      </c>
      <c r="F6783" t="e">
        <f t="shared" si="247"/>
        <v>#N/A</v>
      </c>
      <c r="G6783" s="74">
        <v>29503</v>
      </c>
      <c r="H6783" s="77">
        <v>0.875</v>
      </c>
      <c r="J6783">
        <v>56.66</v>
      </c>
      <c r="M6783" s="74">
        <v>36442</v>
      </c>
      <c r="N6783" s="77">
        <v>0.875</v>
      </c>
      <c r="P6783">
        <v>60.8</v>
      </c>
      <c r="S6783" s="74">
        <v>37173</v>
      </c>
      <c r="T6783" s="77">
        <v>0.875</v>
      </c>
      <c r="V6783">
        <v>51.980000000000004</v>
      </c>
      <c r="X6783" s="42"/>
      <c r="AB6783">
        <v>60.6</v>
      </c>
      <c r="AC6783">
        <v>42.08</v>
      </c>
      <c r="AE6783" s="74"/>
      <c r="AF6783" s="77"/>
      <c r="AH6783" s="497">
        <v>57.2</v>
      </c>
      <c r="AJ6783" s="42"/>
      <c r="AK6783" s="74"/>
      <c r="AL6783" s="77"/>
      <c r="AN6783" s="497">
        <v>39.92</v>
      </c>
      <c r="AP6783" s="42"/>
      <c r="AQ6783" s="74"/>
      <c r="AR6783" s="77"/>
      <c r="AT6783" s="497">
        <v>42.08</v>
      </c>
      <c r="AV6783" s="42"/>
      <c r="AW6783" s="74"/>
      <c r="AX6783" s="77"/>
      <c r="BA6783" s="497">
        <v>37.94</v>
      </c>
      <c r="BB6783" s="42"/>
      <c r="BC6783" s="74"/>
      <c r="BD6783" s="77"/>
      <c r="BF6783">
        <v>48.019999999999996</v>
      </c>
      <c r="BH6783" s="42"/>
      <c r="BI6783" s="74"/>
      <c r="BJ6783" s="77"/>
      <c r="BL6783" s="497">
        <v>48.019999999999996</v>
      </c>
      <c r="BN6783" s="42"/>
      <c r="BO6783" s="74"/>
      <c r="BP6783" s="77"/>
      <c r="BR6783" s="497">
        <v>35.96</v>
      </c>
      <c r="BT6783" s="42"/>
    </row>
    <row r="6784" spans="1:72" x14ac:dyDescent="0.25">
      <c r="A6784" s="90">
        <v>37173</v>
      </c>
      <c r="B6784" s="20">
        <v>0.91666666666666663</v>
      </c>
      <c r="D6784">
        <v>55.94</v>
      </c>
      <c r="E6784" t="str">
        <f t="shared" si="246"/>
        <v>WEEKDAY</v>
      </c>
      <c r="F6784" t="e">
        <f t="shared" si="247"/>
        <v>#N/A</v>
      </c>
      <c r="G6784" s="74">
        <v>29503</v>
      </c>
      <c r="H6784" s="77">
        <v>0.91666666666666663</v>
      </c>
      <c r="J6784">
        <v>53.96</v>
      </c>
      <c r="M6784" s="74">
        <v>36442</v>
      </c>
      <c r="N6784" s="77">
        <v>0.91666666666666663</v>
      </c>
      <c r="P6784">
        <v>60.8</v>
      </c>
      <c r="S6784" s="74">
        <v>37173</v>
      </c>
      <c r="T6784" s="77">
        <v>0.91666666666666663</v>
      </c>
      <c r="V6784">
        <v>53.06</v>
      </c>
      <c r="X6784" s="42"/>
      <c r="AB6784">
        <v>60</v>
      </c>
      <c r="AC6784">
        <v>41</v>
      </c>
      <c r="AE6784" s="74"/>
      <c r="AF6784" s="77"/>
      <c r="AH6784" s="497">
        <v>57.2</v>
      </c>
      <c r="AJ6784" s="42"/>
      <c r="AK6784" s="74"/>
      <c r="AL6784" s="77"/>
      <c r="AN6784" s="497">
        <v>37.94</v>
      </c>
      <c r="AP6784" s="42"/>
      <c r="AQ6784" s="74"/>
      <c r="AR6784" s="77"/>
      <c r="AT6784" s="497">
        <v>42.980000000000004</v>
      </c>
      <c r="AV6784" s="42"/>
      <c r="AW6784" s="74"/>
      <c r="AX6784" s="77"/>
      <c r="BA6784" s="497">
        <v>37.94</v>
      </c>
      <c r="BB6784" s="42"/>
      <c r="BC6784" s="74"/>
      <c r="BD6784" s="77"/>
      <c r="BF6784">
        <v>46.94</v>
      </c>
      <c r="BH6784" s="42"/>
      <c r="BI6784" s="74"/>
      <c r="BJ6784" s="77"/>
      <c r="BL6784" s="497">
        <v>46.94</v>
      </c>
      <c r="BN6784" s="42"/>
      <c r="BO6784" s="74"/>
      <c r="BP6784" s="77"/>
      <c r="BR6784" s="497">
        <v>35.06</v>
      </c>
      <c r="BT6784" s="42"/>
    </row>
    <row r="6785" spans="1:72" x14ac:dyDescent="0.25">
      <c r="A6785" s="90">
        <v>37173</v>
      </c>
      <c r="B6785" s="20">
        <v>0.95833333333333337</v>
      </c>
      <c r="D6785">
        <v>53.96</v>
      </c>
      <c r="E6785" t="str">
        <f t="shared" si="246"/>
        <v>WEEKDAY</v>
      </c>
      <c r="F6785" t="e">
        <f t="shared" si="247"/>
        <v>#N/A</v>
      </c>
      <c r="G6785" s="74">
        <v>29503</v>
      </c>
      <c r="H6785" s="77">
        <v>0.95833333333333337</v>
      </c>
      <c r="J6785">
        <v>52.7</v>
      </c>
      <c r="M6785" s="74">
        <v>36442</v>
      </c>
      <c r="N6785" s="77">
        <v>0.95833333333333337</v>
      </c>
      <c r="P6785">
        <v>60.8</v>
      </c>
      <c r="S6785" s="74">
        <v>37173</v>
      </c>
      <c r="T6785" s="77">
        <v>0.95833333333333337</v>
      </c>
      <c r="V6785">
        <v>51.980000000000004</v>
      </c>
      <c r="X6785" s="42"/>
      <c r="AB6785">
        <v>59.2</v>
      </c>
      <c r="AC6785">
        <v>41</v>
      </c>
      <c r="AE6785" s="74"/>
      <c r="AF6785" s="77"/>
      <c r="AH6785" s="497">
        <v>57.2</v>
      </c>
      <c r="AJ6785" s="42"/>
      <c r="AK6785" s="74"/>
      <c r="AL6785" s="77"/>
      <c r="AN6785" s="497">
        <v>37.04</v>
      </c>
      <c r="AP6785" s="42"/>
      <c r="AQ6785" s="74"/>
      <c r="AR6785" s="77"/>
      <c r="AT6785" s="497">
        <v>42.08</v>
      </c>
      <c r="AV6785" s="42"/>
      <c r="AW6785" s="74"/>
      <c r="AX6785" s="77"/>
      <c r="BA6785" s="497">
        <v>37.94</v>
      </c>
      <c r="BB6785" s="42"/>
      <c r="BC6785" s="74"/>
      <c r="BD6785" s="77"/>
      <c r="BF6785">
        <v>51.980000000000004</v>
      </c>
      <c r="BH6785" s="42"/>
      <c r="BI6785" s="74"/>
      <c r="BJ6785" s="77"/>
      <c r="BL6785" s="497">
        <v>46.94</v>
      </c>
      <c r="BN6785" s="42"/>
      <c r="BO6785" s="74"/>
      <c r="BP6785" s="77"/>
      <c r="BR6785" s="497">
        <v>33.979999999999997</v>
      </c>
      <c r="BT6785" s="42"/>
    </row>
    <row r="6786" spans="1:72" x14ac:dyDescent="0.25">
      <c r="A6786" s="90">
        <v>37173</v>
      </c>
      <c r="B6786" s="20">
        <v>1</v>
      </c>
      <c r="D6786">
        <v>53.96</v>
      </c>
      <c r="E6786" t="str">
        <f t="shared" si="246"/>
        <v>WEEKDAY</v>
      </c>
      <c r="F6786" t="e">
        <f t="shared" si="247"/>
        <v>#N/A</v>
      </c>
      <c r="G6786" s="74">
        <v>29503</v>
      </c>
      <c r="H6786" s="77">
        <v>1</v>
      </c>
      <c r="J6786">
        <v>51.26</v>
      </c>
      <c r="M6786" s="74">
        <v>36442</v>
      </c>
      <c r="N6786" s="80">
        <v>1</v>
      </c>
      <c r="P6786">
        <v>59</v>
      </c>
      <c r="S6786" s="74">
        <v>37173</v>
      </c>
      <c r="T6786" s="80">
        <v>1</v>
      </c>
      <c r="V6786">
        <v>53.06</v>
      </c>
      <c r="X6786" s="42"/>
      <c r="AB6786">
        <v>58.6</v>
      </c>
      <c r="AC6786">
        <v>39.019999999999996</v>
      </c>
      <c r="AE6786" s="74"/>
      <c r="AF6786" s="80"/>
      <c r="AH6786" s="497">
        <v>57.2</v>
      </c>
      <c r="AJ6786" s="42"/>
      <c r="AK6786" s="74"/>
      <c r="AL6786" s="80"/>
      <c r="AN6786" s="497">
        <v>35.06</v>
      </c>
      <c r="AP6786" s="42"/>
      <c r="AQ6786" s="74"/>
      <c r="AR6786" s="80"/>
      <c r="AT6786" s="497">
        <v>42.08</v>
      </c>
      <c r="AV6786" s="42"/>
      <c r="AW6786" s="74"/>
      <c r="AX6786" s="80"/>
      <c r="BA6786" s="497">
        <v>35.96</v>
      </c>
      <c r="BB6786" s="42"/>
      <c r="BC6786" s="74"/>
      <c r="BD6786" s="80"/>
      <c r="BF6786">
        <v>53.06</v>
      </c>
      <c r="BH6786" s="42"/>
      <c r="BI6786" s="74"/>
      <c r="BJ6786" s="80"/>
      <c r="BL6786" s="497">
        <v>48.019999999999996</v>
      </c>
      <c r="BN6786" s="42"/>
      <c r="BO6786" s="74"/>
      <c r="BP6786" s="80"/>
      <c r="BR6786" s="497">
        <v>33.08</v>
      </c>
      <c r="BT6786" s="42"/>
    </row>
    <row r="6787" spans="1:72" x14ac:dyDescent="0.25">
      <c r="A6787" s="90">
        <v>37174</v>
      </c>
      <c r="B6787" s="20">
        <v>4.1666666666666664E-2</v>
      </c>
      <c r="D6787">
        <v>53.06</v>
      </c>
      <c r="E6787" t="str">
        <f t="shared" si="246"/>
        <v>WEEKDAY</v>
      </c>
      <c r="F6787" t="e">
        <f t="shared" si="247"/>
        <v>#N/A</v>
      </c>
      <c r="G6787" s="74">
        <v>29504</v>
      </c>
      <c r="H6787" s="77">
        <v>4.1666666666666664E-2</v>
      </c>
      <c r="J6787">
        <v>50</v>
      </c>
      <c r="M6787" s="74">
        <v>36443</v>
      </c>
      <c r="N6787" s="77">
        <v>4.1666666666666664E-2</v>
      </c>
      <c r="P6787">
        <v>60.8</v>
      </c>
      <c r="S6787" s="74">
        <v>37174</v>
      </c>
      <c r="T6787" s="77">
        <v>4.1666666666666664E-2</v>
      </c>
      <c r="V6787">
        <v>51.980000000000004</v>
      </c>
      <c r="X6787" s="42"/>
      <c r="AB6787">
        <v>57.9</v>
      </c>
      <c r="AC6787">
        <v>39.92</v>
      </c>
      <c r="AE6787" s="74"/>
      <c r="AF6787" s="77"/>
      <c r="AH6787" s="497">
        <v>55.400000000000006</v>
      </c>
      <c r="AJ6787" s="42"/>
      <c r="AK6787" s="74"/>
      <c r="AL6787" s="77"/>
      <c r="AN6787" s="497">
        <v>33.979999999999997</v>
      </c>
      <c r="AP6787" s="42"/>
      <c r="AQ6787" s="74"/>
      <c r="AR6787" s="77"/>
      <c r="AT6787" s="497">
        <v>41</v>
      </c>
      <c r="AV6787" s="42"/>
      <c r="AW6787" s="74"/>
      <c r="AX6787" s="77"/>
      <c r="BA6787" s="497">
        <v>33.979999999999997</v>
      </c>
      <c r="BB6787" s="42"/>
      <c r="BC6787" s="74"/>
      <c r="BD6787" s="77"/>
      <c r="BF6787">
        <v>53.06</v>
      </c>
      <c r="BH6787" s="42"/>
      <c r="BI6787" s="74"/>
      <c r="BJ6787" s="77"/>
      <c r="BL6787" s="497">
        <v>48.92</v>
      </c>
      <c r="BN6787" s="42"/>
      <c r="BO6787" s="74"/>
      <c r="BP6787" s="77"/>
      <c r="BR6787" s="497">
        <v>33.08</v>
      </c>
      <c r="BT6787" s="42"/>
    </row>
    <row r="6788" spans="1:72" x14ac:dyDescent="0.25">
      <c r="A6788" s="90">
        <v>37174</v>
      </c>
      <c r="B6788" s="20">
        <v>8.3333333333333329E-2</v>
      </c>
      <c r="D6788">
        <v>53.96</v>
      </c>
      <c r="E6788" t="str">
        <f t="shared" si="246"/>
        <v>WEEKDAY</v>
      </c>
      <c r="F6788" t="e">
        <f t="shared" si="247"/>
        <v>#N/A</v>
      </c>
      <c r="G6788" s="74">
        <v>29504</v>
      </c>
      <c r="H6788" s="77">
        <v>8.3333333333333329E-2</v>
      </c>
      <c r="J6788">
        <v>49.28</v>
      </c>
      <c r="M6788" s="74">
        <v>36443</v>
      </c>
      <c r="N6788" s="77">
        <v>8.3333333333333329E-2</v>
      </c>
      <c r="P6788">
        <v>60.8</v>
      </c>
      <c r="S6788" s="74">
        <v>37174</v>
      </c>
      <c r="T6788" s="77">
        <v>8.3333333333333329E-2</v>
      </c>
      <c r="V6788">
        <v>53.06</v>
      </c>
      <c r="X6788" s="42"/>
      <c r="AB6788">
        <v>57.3</v>
      </c>
      <c r="AC6788">
        <v>39.019999999999996</v>
      </c>
      <c r="AE6788" s="74"/>
      <c r="AF6788" s="77"/>
      <c r="AH6788" s="497">
        <v>53.6</v>
      </c>
      <c r="AJ6788" s="42"/>
      <c r="AK6788" s="74"/>
      <c r="AL6788" s="77"/>
      <c r="AN6788" s="497">
        <v>33.08</v>
      </c>
      <c r="AP6788" s="42"/>
      <c r="AQ6788" s="74"/>
      <c r="AR6788" s="77"/>
      <c r="AT6788" s="497">
        <v>39.92</v>
      </c>
      <c r="AV6788" s="42"/>
      <c r="AW6788" s="74"/>
      <c r="AX6788" s="77"/>
      <c r="BA6788" s="497">
        <v>32</v>
      </c>
      <c r="BB6788" s="42"/>
      <c r="BC6788" s="74"/>
      <c r="BD6788" s="77"/>
      <c r="BF6788">
        <v>51.980000000000004</v>
      </c>
      <c r="BH6788" s="42"/>
      <c r="BI6788" s="74"/>
      <c r="BJ6788" s="77"/>
      <c r="BL6788" s="497">
        <v>50</v>
      </c>
      <c r="BN6788" s="42"/>
      <c r="BO6788" s="74"/>
      <c r="BP6788" s="77"/>
      <c r="BR6788" s="497">
        <v>30.92</v>
      </c>
      <c r="BT6788" s="42"/>
    </row>
    <row r="6789" spans="1:72" x14ac:dyDescent="0.25">
      <c r="A6789" s="90">
        <v>37174</v>
      </c>
      <c r="B6789" s="20">
        <v>0.125</v>
      </c>
      <c r="D6789">
        <v>53.06</v>
      </c>
      <c r="E6789" t="str">
        <f t="shared" si="246"/>
        <v>WEEKDAY</v>
      </c>
      <c r="F6789" t="e">
        <f t="shared" si="247"/>
        <v>#N/A</v>
      </c>
      <c r="G6789" s="74">
        <v>29504</v>
      </c>
      <c r="H6789" s="77">
        <v>0.125</v>
      </c>
      <c r="J6789">
        <v>48.74</v>
      </c>
      <c r="M6789" s="74">
        <v>36443</v>
      </c>
      <c r="N6789" s="77">
        <v>0.125</v>
      </c>
      <c r="P6789">
        <v>60.980000000000004</v>
      </c>
      <c r="S6789" s="74">
        <v>37174</v>
      </c>
      <c r="T6789" s="77">
        <v>0.125</v>
      </c>
      <c r="V6789">
        <v>51.08</v>
      </c>
      <c r="X6789" s="42"/>
      <c r="AB6789">
        <v>56.6</v>
      </c>
      <c r="AC6789">
        <v>33.979999999999997</v>
      </c>
      <c r="AE6789" s="74"/>
      <c r="AF6789" s="77"/>
      <c r="AH6789" s="497">
        <v>53.6</v>
      </c>
      <c r="AJ6789" s="42"/>
      <c r="AK6789" s="74"/>
      <c r="AL6789" s="77"/>
      <c r="AN6789" s="497">
        <v>32</v>
      </c>
      <c r="AP6789" s="42"/>
      <c r="AQ6789" s="74"/>
      <c r="AR6789" s="77"/>
      <c r="AT6789" s="497">
        <v>39.019999999999996</v>
      </c>
      <c r="AV6789" s="42"/>
      <c r="AW6789" s="74"/>
      <c r="AX6789" s="77"/>
      <c r="BA6789" s="497">
        <v>28.94</v>
      </c>
      <c r="BB6789" s="42"/>
      <c r="BC6789" s="74"/>
      <c r="BD6789" s="77"/>
      <c r="BF6789">
        <v>51.08</v>
      </c>
      <c r="BH6789" s="42"/>
      <c r="BI6789" s="74"/>
      <c r="BJ6789" s="77"/>
      <c r="BL6789" s="497">
        <v>51.08</v>
      </c>
      <c r="BN6789" s="42"/>
      <c r="BO6789" s="74"/>
      <c r="BP6789" s="77"/>
      <c r="BR6789" s="497">
        <v>30.92</v>
      </c>
      <c r="BT6789" s="42"/>
    </row>
    <row r="6790" spans="1:72" x14ac:dyDescent="0.25">
      <c r="A6790" s="90">
        <v>37174</v>
      </c>
      <c r="B6790" s="20">
        <v>0.16666666666666666</v>
      </c>
      <c r="D6790">
        <v>51.980000000000004</v>
      </c>
      <c r="E6790" t="str">
        <f t="shared" si="246"/>
        <v>WEEKDAY</v>
      </c>
      <c r="F6790" t="e">
        <f t="shared" si="247"/>
        <v>#N/A</v>
      </c>
      <c r="G6790" s="74">
        <v>29504</v>
      </c>
      <c r="H6790" s="77">
        <v>0.16666666666666666</v>
      </c>
      <c r="J6790">
        <v>48.019999999999996</v>
      </c>
      <c r="M6790" s="74">
        <v>36443</v>
      </c>
      <c r="N6790" s="77">
        <v>0.16666666666666666</v>
      </c>
      <c r="P6790">
        <v>60.8</v>
      </c>
      <c r="S6790" s="74">
        <v>37174</v>
      </c>
      <c r="T6790" s="77">
        <v>0.16666666666666666</v>
      </c>
      <c r="V6790">
        <v>51.08</v>
      </c>
      <c r="X6790" s="42"/>
      <c r="AB6790">
        <v>56.1</v>
      </c>
      <c r="AC6790">
        <v>33.979999999999997</v>
      </c>
      <c r="AE6790" s="74"/>
      <c r="AF6790" s="77"/>
      <c r="AH6790" s="497">
        <v>55.400000000000006</v>
      </c>
      <c r="AJ6790" s="42"/>
      <c r="AK6790" s="74"/>
      <c r="AL6790" s="77"/>
      <c r="AN6790" s="497">
        <v>30.92</v>
      </c>
      <c r="AP6790" s="42"/>
      <c r="AQ6790" s="74"/>
      <c r="AR6790" s="77"/>
      <c r="AT6790" s="497">
        <v>35.96</v>
      </c>
      <c r="AV6790" s="42"/>
      <c r="AW6790" s="74"/>
      <c r="AX6790" s="77"/>
      <c r="BA6790" s="497">
        <v>28.94</v>
      </c>
      <c r="BB6790" s="42"/>
      <c r="BC6790" s="74"/>
      <c r="BD6790" s="77"/>
      <c r="BF6790">
        <v>50</v>
      </c>
      <c r="BH6790" s="42"/>
      <c r="BI6790" s="74"/>
      <c r="BJ6790" s="77"/>
      <c r="BL6790" s="497">
        <v>53.06</v>
      </c>
      <c r="BN6790" s="42"/>
      <c r="BO6790" s="74"/>
      <c r="BP6790" s="77"/>
      <c r="BR6790" s="497">
        <v>30.02</v>
      </c>
      <c r="BT6790" s="42"/>
    </row>
    <row r="6791" spans="1:72" x14ac:dyDescent="0.25">
      <c r="A6791" s="90">
        <v>37174</v>
      </c>
      <c r="B6791" s="20">
        <v>0.20833333333333334</v>
      </c>
      <c r="D6791">
        <v>51.08</v>
      </c>
      <c r="E6791" t="str">
        <f t="shared" si="246"/>
        <v>WEEKDAY</v>
      </c>
      <c r="F6791" t="e">
        <f t="shared" si="247"/>
        <v>#N/A</v>
      </c>
      <c r="G6791" s="74">
        <v>29504</v>
      </c>
      <c r="H6791" s="77">
        <v>0.20833333333333334</v>
      </c>
      <c r="J6791">
        <v>47.66</v>
      </c>
      <c r="M6791" s="74">
        <v>36443</v>
      </c>
      <c r="N6791" s="77">
        <v>0.20833333333333334</v>
      </c>
      <c r="P6791">
        <v>60.8</v>
      </c>
      <c r="S6791" s="74">
        <v>37174</v>
      </c>
      <c r="T6791" s="77">
        <v>0.20833333333333334</v>
      </c>
      <c r="V6791">
        <v>50</v>
      </c>
      <c r="X6791" s="42"/>
      <c r="AB6791">
        <v>55.7</v>
      </c>
      <c r="AC6791">
        <v>33.08</v>
      </c>
      <c r="AE6791" s="74"/>
      <c r="AF6791" s="77"/>
      <c r="AH6791" s="497">
        <v>55.400000000000006</v>
      </c>
      <c r="AJ6791" s="42"/>
      <c r="AK6791" s="74"/>
      <c r="AL6791" s="77"/>
      <c r="AN6791" s="497">
        <v>30.02</v>
      </c>
      <c r="AP6791" s="42"/>
      <c r="AQ6791" s="74"/>
      <c r="AR6791" s="77"/>
      <c r="AT6791" s="497">
        <v>35.06</v>
      </c>
      <c r="AV6791" s="42"/>
      <c r="AW6791" s="74"/>
      <c r="AX6791" s="77"/>
      <c r="BA6791" s="497">
        <v>28.04</v>
      </c>
      <c r="BB6791" s="42"/>
      <c r="BC6791" s="74"/>
      <c r="BD6791" s="77"/>
      <c r="BF6791">
        <v>50</v>
      </c>
      <c r="BH6791" s="42"/>
      <c r="BI6791" s="74"/>
      <c r="BJ6791" s="77"/>
      <c r="BL6791" s="497">
        <v>53.06</v>
      </c>
      <c r="BN6791" s="42"/>
      <c r="BO6791" s="74"/>
      <c r="BP6791" s="77"/>
      <c r="BR6791" s="497">
        <v>28.94</v>
      </c>
      <c r="BT6791" s="42"/>
    </row>
    <row r="6792" spans="1:72" x14ac:dyDescent="0.25">
      <c r="A6792" s="90">
        <v>37174</v>
      </c>
      <c r="B6792" s="20">
        <v>0.25</v>
      </c>
      <c r="D6792">
        <v>51.08</v>
      </c>
      <c r="E6792" t="str">
        <f t="shared" si="246"/>
        <v>WEEKDAY</v>
      </c>
      <c r="F6792" t="e">
        <f t="shared" si="247"/>
        <v>#N/A</v>
      </c>
      <c r="G6792" s="74">
        <v>29504</v>
      </c>
      <c r="H6792" s="77">
        <v>0.25</v>
      </c>
      <c r="J6792">
        <v>47.3</v>
      </c>
      <c r="M6792" s="74">
        <v>36443</v>
      </c>
      <c r="N6792" s="77">
        <v>0.25</v>
      </c>
      <c r="P6792">
        <v>59</v>
      </c>
      <c r="S6792" s="74">
        <v>37174</v>
      </c>
      <c r="T6792" s="77">
        <v>0.25</v>
      </c>
      <c r="V6792">
        <v>46.94</v>
      </c>
      <c r="X6792" s="42"/>
      <c r="AB6792">
        <v>55.4</v>
      </c>
      <c r="AC6792">
        <v>33.979999999999997</v>
      </c>
      <c r="AE6792" s="74"/>
      <c r="AF6792" s="77"/>
      <c r="AH6792" s="497">
        <v>53.6</v>
      </c>
      <c r="AJ6792" s="42"/>
      <c r="AK6792" s="74"/>
      <c r="AL6792" s="77"/>
      <c r="AN6792" s="497">
        <v>28.94</v>
      </c>
      <c r="AP6792" s="42"/>
      <c r="AQ6792" s="74"/>
      <c r="AR6792" s="77"/>
      <c r="AT6792" s="497">
        <v>33.979999999999997</v>
      </c>
      <c r="AV6792" s="42"/>
      <c r="AW6792" s="74"/>
      <c r="AX6792" s="77"/>
      <c r="BA6792" s="497">
        <v>26.96</v>
      </c>
      <c r="BB6792" s="42"/>
      <c r="BC6792" s="74"/>
      <c r="BD6792" s="77"/>
      <c r="BF6792">
        <v>50</v>
      </c>
      <c r="BH6792" s="42"/>
      <c r="BI6792" s="74"/>
      <c r="BJ6792" s="77"/>
      <c r="BL6792" s="497">
        <v>55.040000000000006</v>
      </c>
      <c r="BN6792" s="42"/>
      <c r="BO6792" s="74"/>
      <c r="BP6792" s="77"/>
      <c r="BR6792" s="497">
        <v>24.98</v>
      </c>
      <c r="BT6792" s="42"/>
    </row>
    <row r="6793" spans="1:72" x14ac:dyDescent="0.25">
      <c r="A6793" s="90">
        <v>37174</v>
      </c>
      <c r="B6793" s="20">
        <v>0.29166666666666669</v>
      </c>
      <c r="D6793">
        <v>51.980000000000004</v>
      </c>
      <c r="E6793" t="str">
        <f t="shared" si="246"/>
        <v>WEEKDAY</v>
      </c>
      <c r="F6793" t="e">
        <f t="shared" si="247"/>
        <v>#N/A</v>
      </c>
      <c r="G6793" s="74">
        <v>29504</v>
      </c>
      <c r="H6793" s="77">
        <v>0.29166666666666669</v>
      </c>
      <c r="J6793">
        <v>46.94</v>
      </c>
      <c r="M6793" s="74">
        <v>36443</v>
      </c>
      <c r="N6793" s="77">
        <v>0.29166666666666669</v>
      </c>
      <c r="P6793">
        <v>60.8</v>
      </c>
      <c r="S6793" s="74">
        <v>37174</v>
      </c>
      <c r="T6793" s="77">
        <v>0.29166666666666669</v>
      </c>
      <c r="V6793">
        <v>50</v>
      </c>
      <c r="X6793" s="42"/>
      <c r="AB6793">
        <v>55.3</v>
      </c>
      <c r="AC6793">
        <v>35.96</v>
      </c>
      <c r="AE6793" s="74"/>
      <c r="AF6793" s="77"/>
      <c r="AH6793" s="497">
        <v>53.6</v>
      </c>
      <c r="AJ6793" s="42"/>
      <c r="AK6793" s="74"/>
      <c r="AL6793" s="77"/>
      <c r="AN6793" s="497">
        <v>30.02</v>
      </c>
      <c r="AP6793" s="42"/>
      <c r="AQ6793" s="74"/>
      <c r="AR6793" s="77"/>
      <c r="AT6793" s="497">
        <v>33.08</v>
      </c>
      <c r="AV6793" s="42"/>
      <c r="AW6793" s="74"/>
      <c r="AX6793" s="77"/>
      <c r="BA6793" s="497">
        <v>28.94</v>
      </c>
      <c r="BB6793" s="42"/>
      <c r="BC6793" s="74"/>
      <c r="BD6793" s="77"/>
      <c r="BF6793">
        <v>51.08</v>
      </c>
      <c r="BH6793" s="42"/>
      <c r="BI6793" s="74"/>
      <c r="BJ6793" s="77"/>
      <c r="BL6793" s="497">
        <v>55.040000000000006</v>
      </c>
      <c r="BN6793" s="42"/>
      <c r="BO6793" s="74"/>
      <c r="BP6793" s="77"/>
      <c r="BR6793" s="497">
        <v>26.060000000000002</v>
      </c>
      <c r="BT6793" s="42"/>
    </row>
    <row r="6794" spans="1:72" x14ac:dyDescent="0.25">
      <c r="A6794" s="90">
        <v>37174</v>
      </c>
      <c r="B6794" s="20">
        <v>0.33333333333333331</v>
      </c>
      <c r="D6794">
        <v>55.040000000000006</v>
      </c>
      <c r="E6794" t="str">
        <f t="shared" si="246"/>
        <v>WEEKDAY</v>
      </c>
      <c r="F6794" t="e">
        <f t="shared" si="247"/>
        <v>#N/A</v>
      </c>
      <c r="G6794" s="74">
        <v>29504</v>
      </c>
      <c r="H6794" s="77">
        <v>0.33333333333333331</v>
      </c>
      <c r="J6794">
        <v>48.56</v>
      </c>
      <c r="M6794" s="74">
        <v>36443</v>
      </c>
      <c r="N6794" s="77">
        <v>0.33333333333333331</v>
      </c>
      <c r="P6794">
        <v>60.8</v>
      </c>
      <c r="S6794" s="74">
        <v>37174</v>
      </c>
      <c r="T6794" s="77">
        <v>0.33333333333333331</v>
      </c>
      <c r="V6794">
        <v>53.06</v>
      </c>
      <c r="X6794" s="42"/>
      <c r="AB6794">
        <v>56.3</v>
      </c>
      <c r="AC6794">
        <v>41</v>
      </c>
      <c r="AE6794" s="74"/>
      <c r="AF6794" s="77"/>
      <c r="AH6794" s="497">
        <v>53.6</v>
      </c>
      <c r="AJ6794" s="42"/>
      <c r="AK6794" s="74"/>
      <c r="AL6794" s="77"/>
      <c r="AN6794" s="497">
        <v>33.08</v>
      </c>
      <c r="AP6794" s="42"/>
      <c r="AQ6794" s="74"/>
      <c r="AR6794" s="77"/>
      <c r="AT6794" s="497">
        <v>37.94</v>
      </c>
      <c r="AV6794" s="42"/>
      <c r="AW6794" s="74"/>
      <c r="AX6794" s="77"/>
      <c r="BA6794" s="497">
        <v>35.06</v>
      </c>
      <c r="BB6794" s="42"/>
      <c r="BC6794" s="74"/>
      <c r="BD6794" s="77"/>
      <c r="BF6794">
        <v>53.06</v>
      </c>
      <c r="BH6794" s="42"/>
      <c r="BI6794" s="74"/>
      <c r="BJ6794" s="77"/>
      <c r="BL6794" s="497">
        <v>55.040000000000006</v>
      </c>
      <c r="BN6794" s="42"/>
      <c r="BO6794" s="74"/>
      <c r="BP6794" s="77"/>
      <c r="BR6794" s="497">
        <v>33.979999999999997</v>
      </c>
      <c r="BT6794" s="42"/>
    </row>
    <row r="6795" spans="1:72" x14ac:dyDescent="0.25">
      <c r="A6795" s="90">
        <v>37174</v>
      </c>
      <c r="B6795" s="20">
        <v>0.375</v>
      </c>
      <c r="D6795">
        <v>57.019999999999996</v>
      </c>
      <c r="E6795" t="str">
        <f t="shared" si="246"/>
        <v>WEEKDAY</v>
      </c>
      <c r="F6795" t="e">
        <f t="shared" si="247"/>
        <v>#N/A</v>
      </c>
      <c r="G6795" s="74">
        <v>29504</v>
      </c>
      <c r="H6795" s="77">
        <v>0.375</v>
      </c>
      <c r="J6795">
        <v>50.36</v>
      </c>
      <c r="M6795" s="74">
        <v>36443</v>
      </c>
      <c r="N6795" s="77">
        <v>0.375</v>
      </c>
      <c r="P6795">
        <v>62.6</v>
      </c>
      <c r="S6795" s="74">
        <v>37174</v>
      </c>
      <c r="T6795" s="77">
        <v>0.375</v>
      </c>
      <c r="V6795">
        <v>55.94</v>
      </c>
      <c r="X6795" s="42"/>
      <c r="AB6795">
        <v>58.7</v>
      </c>
      <c r="AC6795">
        <v>44.06</v>
      </c>
      <c r="AE6795" s="74"/>
      <c r="AF6795" s="77"/>
      <c r="AH6795" s="497">
        <v>55.400000000000006</v>
      </c>
      <c r="AJ6795" s="42"/>
      <c r="AK6795" s="74"/>
      <c r="AL6795" s="77"/>
      <c r="AN6795" s="497">
        <v>35.06</v>
      </c>
      <c r="AP6795" s="42"/>
      <c r="AQ6795" s="74"/>
      <c r="AR6795" s="77"/>
      <c r="AT6795" s="497">
        <v>41</v>
      </c>
      <c r="AV6795" s="42"/>
      <c r="AW6795" s="74"/>
      <c r="AX6795" s="77"/>
      <c r="BA6795" s="497">
        <v>37.94</v>
      </c>
      <c r="BB6795" s="42"/>
      <c r="BC6795" s="74"/>
      <c r="BD6795" s="77"/>
      <c r="BF6795">
        <v>57.92</v>
      </c>
      <c r="BH6795" s="42"/>
      <c r="BI6795" s="74"/>
      <c r="BJ6795" s="77"/>
      <c r="BL6795" s="497">
        <v>60.08</v>
      </c>
      <c r="BN6795" s="42"/>
      <c r="BO6795" s="74"/>
      <c r="BP6795" s="77"/>
      <c r="BR6795" s="497">
        <v>37.94</v>
      </c>
      <c r="BT6795" s="42"/>
    </row>
    <row r="6796" spans="1:72" x14ac:dyDescent="0.25">
      <c r="A6796" s="90">
        <v>37174</v>
      </c>
      <c r="B6796" s="20">
        <v>0.41666666666666669</v>
      </c>
      <c r="D6796">
        <v>59</v>
      </c>
      <c r="E6796" t="str">
        <f t="shared" si="246"/>
        <v>WEEKDAY</v>
      </c>
      <c r="F6796" t="e">
        <f t="shared" si="247"/>
        <v>#N/A</v>
      </c>
      <c r="G6796" s="74">
        <v>29504</v>
      </c>
      <c r="H6796" s="77">
        <v>0.41666666666666669</v>
      </c>
      <c r="J6796">
        <v>51.980000000000004</v>
      </c>
      <c r="M6796" s="74">
        <v>36443</v>
      </c>
      <c r="N6796" s="77">
        <v>0.41666666666666669</v>
      </c>
      <c r="P6796">
        <v>62.6</v>
      </c>
      <c r="S6796" s="74">
        <v>37174</v>
      </c>
      <c r="T6796" s="77">
        <v>0.41666666666666669</v>
      </c>
      <c r="V6796">
        <v>57.92</v>
      </c>
      <c r="X6796" s="42"/>
      <c r="AB6796">
        <v>60.6</v>
      </c>
      <c r="AC6796">
        <v>46.94</v>
      </c>
      <c r="AE6796" s="74"/>
      <c r="AF6796" s="77"/>
      <c r="AH6796" s="497">
        <v>55.400000000000006</v>
      </c>
      <c r="AJ6796" s="42"/>
      <c r="AK6796" s="74"/>
      <c r="AL6796" s="77"/>
      <c r="AN6796" s="497">
        <v>37.94</v>
      </c>
      <c r="AP6796" s="42"/>
      <c r="AQ6796" s="74"/>
      <c r="AR6796" s="77"/>
      <c r="AT6796" s="497">
        <v>42.08</v>
      </c>
      <c r="AV6796" s="42"/>
      <c r="AW6796" s="74"/>
      <c r="AX6796" s="77"/>
      <c r="BA6796" s="497">
        <v>39.92</v>
      </c>
      <c r="BB6796" s="42"/>
      <c r="BC6796" s="74"/>
      <c r="BD6796" s="77"/>
      <c r="BF6796">
        <v>60.08</v>
      </c>
      <c r="BH6796" s="42"/>
      <c r="BI6796" s="74"/>
      <c r="BJ6796" s="77"/>
      <c r="BL6796" s="497">
        <v>62.96</v>
      </c>
      <c r="BN6796" s="42"/>
      <c r="BO6796" s="74"/>
      <c r="BP6796" s="77"/>
      <c r="BR6796" s="497">
        <v>41</v>
      </c>
      <c r="BT6796" s="42"/>
    </row>
    <row r="6797" spans="1:72" x14ac:dyDescent="0.25">
      <c r="A6797" s="90">
        <v>37174</v>
      </c>
      <c r="B6797" s="20">
        <v>0.45833333333333331</v>
      </c>
      <c r="D6797">
        <v>62.06</v>
      </c>
      <c r="E6797" t="str">
        <f t="shared" si="246"/>
        <v>WEEKDAY</v>
      </c>
      <c r="F6797" t="e">
        <f t="shared" si="247"/>
        <v>#N/A</v>
      </c>
      <c r="G6797" s="74">
        <v>29504</v>
      </c>
      <c r="H6797" s="77">
        <v>0.45833333333333331</v>
      </c>
      <c r="J6797">
        <v>53.6</v>
      </c>
      <c r="M6797" s="74">
        <v>36443</v>
      </c>
      <c r="N6797" s="77">
        <v>0.45833333333333331</v>
      </c>
      <c r="P6797">
        <v>62.6</v>
      </c>
      <c r="S6797" s="74">
        <v>37174</v>
      </c>
      <c r="T6797" s="77">
        <v>0.45833333333333331</v>
      </c>
      <c r="V6797">
        <v>60.08</v>
      </c>
      <c r="X6797" s="42"/>
      <c r="AB6797">
        <v>62.3</v>
      </c>
      <c r="AC6797">
        <v>48.019999999999996</v>
      </c>
      <c r="AE6797" s="74"/>
      <c r="AF6797" s="77"/>
      <c r="AH6797" s="497">
        <v>57.2</v>
      </c>
      <c r="AJ6797" s="42"/>
      <c r="AK6797" s="74"/>
      <c r="AL6797" s="77"/>
      <c r="AN6797" s="497">
        <v>42.08</v>
      </c>
      <c r="AP6797" s="42"/>
      <c r="AQ6797" s="74"/>
      <c r="AR6797" s="77"/>
      <c r="AT6797" s="497">
        <v>44.06</v>
      </c>
      <c r="AV6797" s="42"/>
      <c r="AW6797" s="74"/>
      <c r="AX6797" s="77"/>
      <c r="BA6797" s="497">
        <v>42.08</v>
      </c>
      <c r="BB6797" s="42"/>
      <c r="BC6797" s="74"/>
      <c r="BD6797" s="77"/>
      <c r="BF6797">
        <v>62.06</v>
      </c>
      <c r="BH6797" s="42"/>
      <c r="BI6797" s="74"/>
      <c r="BJ6797" s="77"/>
      <c r="BL6797" s="497">
        <v>64.94</v>
      </c>
      <c r="BN6797" s="42"/>
      <c r="BO6797" s="74"/>
      <c r="BP6797" s="77"/>
      <c r="BR6797" s="497">
        <v>42.08</v>
      </c>
      <c r="BT6797" s="42"/>
    </row>
    <row r="6798" spans="1:72" x14ac:dyDescent="0.25">
      <c r="A6798" s="90">
        <v>37174</v>
      </c>
      <c r="B6798" s="20">
        <v>0.5</v>
      </c>
      <c r="D6798">
        <v>64.039999999999992</v>
      </c>
      <c r="E6798" t="str">
        <f t="shared" si="246"/>
        <v>WEEKDAY</v>
      </c>
      <c r="F6798" t="e">
        <f t="shared" si="247"/>
        <v>#N/A</v>
      </c>
      <c r="G6798" s="74">
        <v>29504</v>
      </c>
      <c r="H6798" s="77">
        <v>0.5</v>
      </c>
      <c r="J6798">
        <v>55.400000000000006</v>
      </c>
      <c r="M6798" s="74">
        <v>36443</v>
      </c>
      <c r="N6798" s="77">
        <v>0.5</v>
      </c>
      <c r="P6798">
        <v>62.6</v>
      </c>
      <c r="S6798" s="74">
        <v>37174</v>
      </c>
      <c r="T6798" s="77">
        <v>0.5</v>
      </c>
      <c r="V6798">
        <v>64.039999999999992</v>
      </c>
      <c r="X6798" s="42"/>
      <c r="AB6798">
        <v>63.8</v>
      </c>
      <c r="AC6798">
        <v>50</v>
      </c>
      <c r="AE6798" s="74"/>
      <c r="AF6798" s="77"/>
      <c r="AH6798" s="497">
        <v>59</v>
      </c>
      <c r="AJ6798" s="42"/>
      <c r="AK6798" s="74"/>
      <c r="AL6798" s="77"/>
      <c r="AN6798" s="497">
        <v>44.96</v>
      </c>
      <c r="AP6798" s="42"/>
      <c r="AQ6798" s="74"/>
      <c r="AR6798" s="77"/>
      <c r="AT6798" s="497">
        <v>46.04</v>
      </c>
      <c r="AV6798" s="42"/>
      <c r="AW6798" s="74"/>
      <c r="AX6798" s="77"/>
      <c r="BA6798" s="497">
        <v>44.96</v>
      </c>
      <c r="BB6798" s="42"/>
      <c r="BC6798" s="74"/>
      <c r="BD6798" s="77"/>
      <c r="BF6798">
        <v>62.06</v>
      </c>
      <c r="BH6798" s="42"/>
      <c r="BI6798" s="74"/>
      <c r="BJ6798" s="77"/>
      <c r="BL6798" s="497">
        <v>66.92</v>
      </c>
      <c r="BN6798" s="42"/>
      <c r="BO6798" s="74"/>
      <c r="BP6798" s="77"/>
      <c r="BR6798" s="497">
        <v>42.980000000000004</v>
      </c>
      <c r="BT6798" s="42"/>
    </row>
    <row r="6799" spans="1:72" x14ac:dyDescent="0.25">
      <c r="A6799" s="90">
        <v>37174</v>
      </c>
      <c r="B6799" s="20">
        <v>0.54166666666666663</v>
      </c>
      <c r="D6799">
        <v>66.02</v>
      </c>
      <c r="E6799" t="str">
        <f t="shared" si="246"/>
        <v>WEEKDAY</v>
      </c>
      <c r="F6799" t="e">
        <f t="shared" si="247"/>
        <v>#N/A</v>
      </c>
      <c r="G6799" s="74">
        <v>29504</v>
      </c>
      <c r="H6799" s="77">
        <v>0.54166666666666663</v>
      </c>
      <c r="J6799">
        <v>57.019999999999996</v>
      </c>
      <c r="M6799" s="74">
        <v>36443</v>
      </c>
      <c r="N6799" s="77">
        <v>0.54166666666666663</v>
      </c>
      <c r="P6799">
        <v>64.400000000000006</v>
      </c>
      <c r="S6799" s="74">
        <v>37174</v>
      </c>
      <c r="T6799" s="77">
        <v>0.54166666666666663</v>
      </c>
      <c r="V6799">
        <v>64.94</v>
      </c>
      <c r="X6799" s="42"/>
      <c r="AB6799">
        <v>64.900000000000006</v>
      </c>
      <c r="AC6799">
        <v>48.019999999999996</v>
      </c>
      <c r="AE6799" s="74"/>
      <c r="AF6799" s="77"/>
      <c r="AH6799" s="497">
        <v>59</v>
      </c>
      <c r="AJ6799" s="42"/>
      <c r="AK6799" s="74"/>
      <c r="AL6799" s="77"/>
      <c r="AN6799" s="497">
        <v>46.04</v>
      </c>
      <c r="AP6799" s="42"/>
      <c r="AQ6799" s="74"/>
      <c r="AR6799" s="77"/>
      <c r="AT6799" s="497">
        <v>48.019999999999996</v>
      </c>
      <c r="AV6799" s="42"/>
      <c r="AW6799" s="74"/>
      <c r="AX6799" s="77"/>
      <c r="BA6799" s="497">
        <v>48.019999999999996</v>
      </c>
      <c r="BB6799" s="42"/>
      <c r="BC6799" s="74"/>
      <c r="BD6799" s="77"/>
      <c r="BF6799">
        <v>62.96</v>
      </c>
      <c r="BH6799" s="42"/>
      <c r="BI6799" s="74"/>
      <c r="BJ6799" s="77"/>
      <c r="BL6799" s="497">
        <v>69.080000000000013</v>
      </c>
      <c r="BN6799" s="42"/>
      <c r="BO6799" s="74"/>
      <c r="BP6799" s="77"/>
      <c r="BR6799" s="497">
        <v>44.96</v>
      </c>
      <c r="BT6799" s="42"/>
    </row>
    <row r="6800" spans="1:72" x14ac:dyDescent="0.25">
      <c r="A6800" s="90">
        <v>37174</v>
      </c>
      <c r="B6800" s="20">
        <v>0.58333333333333337</v>
      </c>
      <c r="D6800">
        <v>68</v>
      </c>
      <c r="E6800" t="str">
        <f t="shared" si="246"/>
        <v>WEEKDAY</v>
      </c>
      <c r="F6800" t="e">
        <f t="shared" si="247"/>
        <v>#N/A</v>
      </c>
      <c r="G6800" s="74">
        <v>29504</v>
      </c>
      <c r="H6800" s="77">
        <v>0.58333333333333337</v>
      </c>
      <c r="J6800">
        <v>57.019999999999996</v>
      </c>
      <c r="M6800" s="74">
        <v>36443</v>
      </c>
      <c r="N6800" s="77">
        <v>0.58333333333333337</v>
      </c>
      <c r="P6800">
        <v>64.94</v>
      </c>
      <c r="S6800" s="74">
        <v>37174</v>
      </c>
      <c r="T6800" s="77">
        <v>0.58333333333333337</v>
      </c>
      <c r="V6800">
        <v>66.02</v>
      </c>
      <c r="X6800" s="42"/>
      <c r="AB6800">
        <v>65.3</v>
      </c>
      <c r="AC6800">
        <v>48.92</v>
      </c>
      <c r="AE6800" s="74"/>
      <c r="AF6800" s="77"/>
      <c r="AH6800" s="497">
        <v>59</v>
      </c>
      <c r="AJ6800" s="42"/>
      <c r="AK6800" s="74"/>
      <c r="AL6800" s="77"/>
      <c r="AN6800" s="497">
        <v>48.019999999999996</v>
      </c>
      <c r="AP6800" s="42"/>
      <c r="AQ6800" s="74"/>
      <c r="AR6800" s="77"/>
      <c r="AT6800" s="497">
        <v>48.019999999999996</v>
      </c>
      <c r="AV6800" s="42"/>
      <c r="AW6800" s="74"/>
      <c r="AX6800" s="77"/>
      <c r="BA6800" s="497">
        <v>48.019999999999996</v>
      </c>
      <c r="BB6800" s="42"/>
      <c r="BC6800" s="74"/>
      <c r="BD6800" s="77"/>
      <c r="BF6800">
        <v>62.96</v>
      </c>
      <c r="BH6800" s="42"/>
      <c r="BI6800" s="74"/>
      <c r="BJ6800" s="77"/>
      <c r="BL6800" s="497">
        <v>69.98</v>
      </c>
      <c r="BN6800" s="42"/>
      <c r="BO6800" s="74"/>
      <c r="BP6800" s="77"/>
      <c r="BR6800" s="497">
        <v>44.96</v>
      </c>
      <c r="BT6800" s="42"/>
    </row>
    <row r="6801" spans="1:72" x14ac:dyDescent="0.25">
      <c r="A6801" s="90">
        <v>37174</v>
      </c>
      <c r="B6801" s="20">
        <v>0.625</v>
      </c>
      <c r="D6801">
        <v>68</v>
      </c>
      <c r="E6801" t="str">
        <f t="shared" si="246"/>
        <v>WEEKDAY</v>
      </c>
      <c r="F6801" t="e">
        <f t="shared" si="247"/>
        <v>#N/A</v>
      </c>
      <c r="G6801" s="74">
        <v>29504</v>
      </c>
      <c r="H6801" s="77">
        <v>0.625</v>
      </c>
      <c r="J6801">
        <v>57.019999999999996</v>
      </c>
      <c r="M6801" s="74">
        <v>36443</v>
      </c>
      <c r="N6801" s="77">
        <v>0.625</v>
      </c>
      <c r="P6801">
        <v>65.12</v>
      </c>
      <c r="S6801" s="74">
        <v>37174</v>
      </c>
      <c r="T6801" s="77">
        <v>0.625</v>
      </c>
      <c r="V6801">
        <v>66.92</v>
      </c>
      <c r="X6801" s="42"/>
      <c r="AB6801">
        <v>65.599999999999994</v>
      </c>
      <c r="AC6801">
        <v>51.08</v>
      </c>
      <c r="AE6801" s="74"/>
      <c r="AF6801" s="77"/>
      <c r="AH6801" s="497">
        <v>60.8</v>
      </c>
      <c r="AJ6801" s="42"/>
      <c r="AK6801" s="74"/>
      <c r="AL6801" s="77"/>
      <c r="AN6801" s="497">
        <v>48.019999999999996</v>
      </c>
      <c r="AP6801" s="42"/>
      <c r="AQ6801" s="74"/>
      <c r="AR6801" s="77"/>
      <c r="AT6801" s="497">
        <v>48.019999999999996</v>
      </c>
      <c r="AV6801" s="42"/>
      <c r="AW6801" s="74"/>
      <c r="AX6801" s="77"/>
      <c r="BA6801" s="497">
        <v>48.92</v>
      </c>
      <c r="BB6801" s="42"/>
      <c r="BC6801" s="74"/>
      <c r="BD6801" s="77"/>
      <c r="BF6801">
        <v>64.039999999999992</v>
      </c>
      <c r="BH6801" s="42"/>
      <c r="BI6801" s="74"/>
      <c r="BJ6801" s="77"/>
      <c r="BL6801" s="497">
        <v>69.080000000000013</v>
      </c>
      <c r="BN6801" s="42"/>
      <c r="BO6801" s="74"/>
      <c r="BP6801" s="77"/>
      <c r="BR6801" s="497">
        <v>46.04</v>
      </c>
      <c r="BT6801" s="42"/>
    </row>
    <row r="6802" spans="1:72" x14ac:dyDescent="0.25">
      <c r="A6802" s="90">
        <v>37174</v>
      </c>
      <c r="B6802" s="20">
        <v>0.66666666666666663</v>
      </c>
      <c r="D6802">
        <v>69.080000000000013</v>
      </c>
      <c r="E6802" t="str">
        <f t="shared" si="246"/>
        <v>WEEKDAY</v>
      </c>
      <c r="F6802" t="e">
        <f t="shared" si="247"/>
        <v>#N/A</v>
      </c>
      <c r="G6802" s="74">
        <v>29504</v>
      </c>
      <c r="H6802" s="77">
        <v>0.66666666666666663</v>
      </c>
      <c r="J6802">
        <v>57.019999999999996</v>
      </c>
      <c r="M6802" s="74">
        <v>36443</v>
      </c>
      <c r="N6802" s="77">
        <v>0.66666666666666663</v>
      </c>
      <c r="P6802">
        <v>64.400000000000006</v>
      </c>
      <c r="S6802" s="74">
        <v>37174</v>
      </c>
      <c r="T6802" s="77">
        <v>0.66666666666666663</v>
      </c>
      <c r="V6802">
        <v>66.02</v>
      </c>
      <c r="X6802" s="42"/>
      <c r="AB6802">
        <v>65.400000000000006</v>
      </c>
      <c r="AC6802">
        <v>48.92</v>
      </c>
      <c r="AE6802" s="74"/>
      <c r="AF6802" s="77"/>
      <c r="AH6802" s="497">
        <v>60.8</v>
      </c>
      <c r="AJ6802" s="42"/>
      <c r="AK6802" s="74"/>
      <c r="AL6802" s="77"/>
      <c r="AN6802" s="497">
        <v>50</v>
      </c>
      <c r="AP6802" s="42"/>
      <c r="AQ6802" s="74"/>
      <c r="AR6802" s="77"/>
      <c r="AT6802" s="497">
        <v>46.94</v>
      </c>
      <c r="AV6802" s="42"/>
      <c r="AW6802" s="74"/>
      <c r="AX6802" s="77"/>
      <c r="BA6802" s="497">
        <v>48.92</v>
      </c>
      <c r="BB6802" s="42"/>
      <c r="BC6802" s="74"/>
      <c r="BD6802" s="77"/>
      <c r="BF6802">
        <v>62.96</v>
      </c>
      <c r="BH6802" s="42"/>
      <c r="BI6802" s="74"/>
      <c r="BJ6802" s="77"/>
      <c r="BL6802" s="497">
        <v>68</v>
      </c>
      <c r="BN6802" s="42"/>
      <c r="BO6802" s="74"/>
      <c r="BP6802" s="77"/>
      <c r="BR6802" s="497">
        <v>44.96</v>
      </c>
      <c r="BT6802" s="42"/>
    </row>
    <row r="6803" spans="1:72" x14ac:dyDescent="0.25">
      <c r="A6803" s="90">
        <v>37174</v>
      </c>
      <c r="B6803" s="20">
        <v>0.70833333333333337</v>
      </c>
      <c r="D6803">
        <v>68</v>
      </c>
      <c r="E6803" t="str">
        <f t="shared" ref="E6803:E6866" si="248">IF(COUNTIF($DI$18:$DI$22, WEEKDAY(A6803))=1, "WEEKDAY", IF(WEEKDAY(A6803) = 1, "SUNDAY", "SATURDAY"))</f>
        <v>WEEKDAY</v>
      </c>
      <c r="F6803" t="e">
        <f t="shared" si="247"/>
        <v>#N/A</v>
      </c>
      <c r="G6803" s="74">
        <v>29504</v>
      </c>
      <c r="H6803" s="77">
        <v>0.70833333333333337</v>
      </c>
      <c r="J6803">
        <v>56.3</v>
      </c>
      <c r="M6803" s="74">
        <v>36443</v>
      </c>
      <c r="N6803" s="77">
        <v>0.70833333333333337</v>
      </c>
      <c r="P6803">
        <v>64.400000000000006</v>
      </c>
      <c r="S6803" s="74">
        <v>37174</v>
      </c>
      <c r="T6803" s="77">
        <v>0.70833333333333337</v>
      </c>
      <c r="V6803">
        <v>62.06</v>
      </c>
      <c r="X6803" s="42"/>
      <c r="AB6803">
        <v>64.400000000000006</v>
      </c>
      <c r="AC6803">
        <v>48.019999999999996</v>
      </c>
      <c r="AE6803" s="74"/>
      <c r="AF6803" s="77"/>
      <c r="AH6803" s="497">
        <v>60.8</v>
      </c>
      <c r="AJ6803" s="42"/>
      <c r="AK6803" s="74"/>
      <c r="AL6803" s="77"/>
      <c r="AN6803" s="497">
        <v>46.94</v>
      </c>
      <c r="AP6803" s="42"/>
      <c r="AQ6803" s="74"/>
      <c r="AR6803" s="77"/>
      <c r="AT6803" s="497">
        <v>44.96</v>
      </c>
      <c r="AV6803" s="42"/>
      <c r="AW6803" s="74"/>
      <c r="AX6803" s="77"/>
      <c r="BA6803" s="497">
        <v>46.94</v>
      </c>
      <c r="BB6803" s="42"/>
      <c r="BC6803" s="74"/>
      <c r="BD6803" s="77"/>
      <c r="BF6803">
        <v>62.06</v>
      </c>
      <c r="BH6803" s="42"/>
      <c r="BI6803" s="74"/>
      <c r="BJ6803" s="77"/>
      <c r="BL6803" s="497">
        <v>66.02</v>
      </c>
      <c r="BN6803" s="42"/>
      <c r="BO6803" s="74"/>
      <c r="BP6803" s="77"/>
      <c r="BR6803" s="497">
        <v>42.08</v>
      </c>
      <c r="BT6803" s="42"/>
    </row>
    <row r="6804" spans="1:72" x14ac:dyDescent="0.25">
      <c r="A6804" s="90">
        <v>37174</v>
      </c>
      <c r="B6804" s="20">
        <v>0.75</v>
      </c>
      <c r="D6804">
        <v>64.94</v>
      </c>
      <c r="E6804" t="str">
        <f t="shared" si="248"/>
        <v>WEEKDAY</v>
      </c>
      <c r="F6804" t="e">
        <f t="shared" si="247"/>
        <v>#N/A</v>
      </c>
      <c r="G6804" s="74">
        <v>29504</v>
      </c>
      <c r="H6804" s="77">
        <v>0.75</v>
      </c>
      <c r="J6804">
        <v>55.76</v>
      </c>
      <c r="M6804" s="74">
        <v>36443</v>
      </c>
      <c r="N6804" s="77">
        <v>0.75</v>
      </c>
      <c r="P6804">
        <v>64.400000000000006</v>
      </c>
      <c r="S6804" s="74">
        <v>37174</v>
      </c>
      <c r="T6804" s="77">
        <v>0.75</v>
      </c>
      <c r="V6804">
        <v>60.08</v>
      </c>
      <c r="X6804" s="42"/>
      <c r="AB6804">
        <v>63</v>
      </c>
      <c r="AC6804">
        <v>44.06</v>
      </c>
      <c r="AE6804" s="74"/>
      <c r="AF6804" s="77"/>
      <c r="AH6804" s="497">
        <v>57.2</v>
      </c>
      <c r="AJ6804" s="42"/>
      <c r="AK6804" s="74"/>
      <c r="AL6804" s="77"/>
      <c r="AN6804" s="497">
        <v>42.980000000000004</v>
      </c>
      <c r="AP6804" s="42"/>
      <c r="AQ6804" s="74"/>
      <c r="AR6804" s="77"/>
      <c r="AT6804" s="497">
        <v>39.92</v>
      </c>
      <c r="AV6804" s="42"/>
      <c r="AW6804" s="74"/>
      <c r="AX6804" s="77"/>
      <c r="BA6804" s="497">
        <v>39.92</v>
      </c>
      <c r="BB6804" s="42"/>
      <c r="BC6804" s="74"/>
      <c r="BD6804" s="77"/>
      <c r="BF6804">
        <v>59</v>
      </c>
      <c r="BH6804" s="42"/>
      <c r="BI6804" s="74"/>
      <c r="BJ6804" s="77"/>
      <c r="BL6804" s="497">
        <v>60.08</v>
      </c>
      <c r="BN6804" s="42"/>
      <c r="BO6804" s="74"/>
      <c r="BP6804" s="77"/>
      <c r="BR6804" s="497">
        <v>37.04</v>
      </c>
      <c r="BT6804" s="42"/>
    </row>
    <row r="6805" spans="1:72" x14ac:dyDescent="0.25">
      <c r="A6805" s="90">
        <v>37174</v>
      </c>
      <c r="B6805" s="20">
        <v>0.79166666666666663</v>
      </c>
      <c r="D6805">
        <v>64.94</v>
      </c>
      <c r="E6805" t="str">
        <f t="shared" si="248"/>
        <v>WEEKDAY</v>
      </c>
      <c r="F6805" t="e">
        <f t="shared" si="247"/>
        <v>#N/A</v>
      </c>
      <c r="G6805" s="74">
        <v>29504</v>
      </c>
      <c r="H6805" s="77">
        <v>0.79166666666666663</v>
      </c>
      <c r="J6805">
        <v>55.040000000000006</v>
      </c>
      <c r="M6805" s="74">
        <v>36443</v>
      </c>
      <c r="N6805" s="77">
        <v>0.79166666666666663</v>
      </c>
      <c r="P6805">
        <v>64.400000000000006</v>
      </c>
      <c r="S6805" s="74">
        <v>37174</v>
      </c>
      <c r="T6805" s="77">
        <v>0.79166666666666663</v>
      </c>
      <c r="V6805">
        <v>57.92</v>
      </c>
      <c r="X6805" s="42"/>
      <c r="AB6805">
        <v>61.5</v>
      </c>
      <c r="AC6805">
        <v>42.08</v>
      </c>
      <c r="AE6805" s="74"/>
      <c r="AF6805" s="77"/>
      <c r="AH6805" s="497">
        <v>55.400000000000006</v>
      </c>
      <c r="AJ6805" s="42"/>
      <c r="AK6805" s="74"/>
      <c r="AL6805" s="77"/>
      <c r="AN6805" s="497">
        <v>41</v>
      </c>
      <c r="AP6805" s="42"/>
      <c r="AQ6805" s="74"/>
      <c r="AR6805" s="77"/>
      <c r="AT6805" s="497">
        <v>35.06</v>
      </c>
      <c r="AV6805" s="42"/>
      <c r="AW6805" s="74"/>
      <c r="AX6805" s="77"/>
      <c r="BA6805" s="497">
        <v>35.96</v>
      </c>
      <c r="BB6805" s="42"/>
      <c r="BC6805" s="74"/>
      <c r="BD6805" s="77"/>
      <c r="BF6805">
        <v>57.019999999999996</v>
      </c>
      <c r="BH6805" s="42"/>
      <c r="BI6805" s="74"/>
      <c r="BJ6805" s="77"/>
      <c r="BL6805" s="497">
        <v>57.019999999999996</v>
      </c>
      <c r="BN6805" s="42"/>
      <c r="BO6805" s="74"/>
      <c r="BP6805" s="77"/>
      <c r="BR6805" s="497">
        <v>32</v>
      </c>
      <c r="BT6805" s="42"/>
    </row>
    <row r="6806" spans="1:72" x14ac:dyDescent="0.25">
      <c r="A6806" s="90">
        <v>37174</v>
      </c>
      <c r="B6806" s="20">
        <v>0.83333333333333337</v>
      </c>
      <c r="D6806">
        <v>64.039999999999992</v>
      </c>
      <c r="E6806" t="str">
        <f t="shared" si="248"/>
        <v>WEEKDAY</v>
      </c>
      <c r="F6806" t="e">
        <f t="shared" si="247"/>
        <v>#N/A</v>
      </c>
      <c r="G6806" s="74">
        <v>29504</v>
      </c>
      <c r="H6806" s="77">
        <v>0.83333333333333337</v>
      </c>
      <c r="J6806">
        <v>55.040000000000006</v>
      </c>
      <c r="M6806" s="74">
        <v>36443</v>
      </c>
      <c r="N6806" s="77">
        <v>0.83333333333333337</v>
      </c>
      <c r="P6806">
        <v>64.400000000000006</v>
      </c>
      <c r="S6806" s="74">
        <v>37174</v>
      </c>
      <c r="T6806" s="77">
        <v>0.83333333333333337</v>
      </c>
      <c r="V6806">
        <v>60.08</v>
      </c>
      <c r="X6806" s="42"/>
      <c r="AB6806">
        <v>60.8</v>
      </c>
      <c r="AC6806">
        <v>42.08</v>
      </c>
      <c r="AE6806" s="74"/>
      <c r="AF6806" s="77"/>
      <c r="AH6806" s="497">
        <v>55.400000000000006</v>
      </c>
      <c r="AJ6806" s="42"/>
      <c r="AK6806" s="74"/>
      <c r="AL6806" s="77"/>
      <c r="AN6806" s="497">
        <v>39.019999999999996</v>
      </c>
      <c r="AP6806" s="42"/>
      <c r="AQ6806" s="74"/>
      <c r="AR6806" s="77"/>
      <c r="AT6806" s="497">
        <v>33.08</v>
      </c>
      <c r="AV6806" s="42"/>
      <c r="AW6806" s="74"/>
      <c r="AX6806" s="77"/>
      <c r="BA6806" s="497">
        <v>35.06</v>
      </c>
      <c r="BB6806" s="42"/>
      <c r="BC6806" s="74"/>
      <c r="BD6806" s="77"/>
      <c r="BF6806">
        <v>55.94</v>
      </c>
      <c r="BH6806" s="42"/>
      <c r="BI6806" s="74"/>
      <c r="BJ6806" s="77"/>
      <c r="BL6806" s="497">
        <v>57.019999999999996</v>
      </c>
      <c r="BN6806" s="42"/>
      <c r="BO6806" s="74"/>
      <c r="BP6806" s="77"/>
      <c r="BR6806" s="497">
        <v>30.92</v>
      </c>
      <c r="BT6806" s="42"/>
    </row>
    <row r="6807" spans="1:72" x14ac:dyDescent="0.25">
      <c r="A6807" s="90">
        <v>37174</v>
      </c>
      <c r="B6807" s="20">
        <v>0.875</v>
      </c>
      <c r="D6807">
        <v>62.06</v>
      </c>
      <c r="E6807" t="str">
        <f t="shared" si="248"/>
        <v>WEEKDAY</v>
      </c>
      <c r="F6807" t="e">
        <f t="shared" si="247"/>
        <v>#N/A</v>
      </c>
      <c r="G6807" s="74">
        <v>29504</v>
      </c>
      <c r="H6807" s="77">
        <v>0.875</v>
      </c>
      <c r="J6807">
        <v>55.040000000000006</v>
      </c>
      <c r="M6807" s="74">
        <v>36443</v>
      </c>
      <c r="N6807" s="77">
        <v>0.875</v>
      </c>
      <c r="P6807">
        <v>64.22</v>
      </c>
      <c r="S6807" s="74">
        <v>37174</v>
      </c>
      <c r="T6807" s="77">
        <v>0.875</v>
      </c>
      <c r="V6807">
        <v>57.92</v>
      </c>
      <c r="X6807" s="42"/>
      <c r="AB6807">
        <v>60.1</v>
      </c>
      <c r="AC6807">
        <v>42.08</v>
      </c>
      <c r="AE6807" s="74"/>
      <c r="AF6807" s="77"/>
      <c r="AH6807" s="497">
        <v>55.400000000000006</v>
      </c>
      <c r="AJ6807" s="42"/>
      <c r="AK6807" s="74"/>
      <c r="AL6807" s="77"/>
      <c r="AN6807" s="497">
        <v>37.94</v>
      </c>
      <c r="AP6807" s="42"/>
      <c r="AQ6807" s="74"/>
      <c r="AR6807" s="77"/>
      <c r="AT6807" s="497">
        <v>30.92</v>
      </c>
      <c r="AV6807" s="42"/>
      <c r="AW6807" s="74"/>
      <c r="AX6807" s="77"/>
      <c r="BA6807" s="497">
        <v>33.979999999999997</v>
      </c>
      <c r="BB6807" s="42"/>
      <c r="BC6807" s="74"/>
      <c r="BD6807" s="77"/>
      <c r="BF6807">
        <v>53.96</v>
      </c>
      <c r="BH6807" s="42"/>
      <c r="BI6807" s="74"/>
      <c r="BJ6807" s="77"/>
      <c r="BL6807" s="497">
        <v>53.96</v>
      </c>
      <c r="BN6807" s="42"/>
      <c r="BO6807" s="74"/>
      <c r="BP6807" s="77"/>
      <c r="BR6807" s="497">
        <v>30.02</v>
      </c>
      <c r="BT6807" s="42"/>
    </row>
    <row r="6808" spans="1:72" x14ac:dyDescent="0.25">
      <c r="A6808" s="90">
        <v>37174</v>
      </c>
      <c r="B6808" s="20">
        <v>0.91666666666666663</v>
      </c>
      <c r="D6808">
        <v>60.980000000000004</v>
      </c>
      <c r="E6808" t="str">
        <f t="shared" si="248"/>
        <v>WEEKDAY</v>
      </c>
      <c r="F6808" t="e">
        <f t="shared" si="247"/>
        <v>#N/A</v>
      </c>
      <c r="G6808" s="74">
        <v>29504</v>
      </c>
      <c r="H6808" s="77">
        <v>0.91666666666666663</v>
      </c>
      <c r="J6808">
        <v>55.040000000000006</v>
      </c>
      <c r="M6808" s="74">
        <v>36443</v>
      </c>
      <c r="N6808" s="77">
        <v>0.91666666666666663</v>
      </c>
      <c r="P6808">
        <v>64.400000000000006</v>
      </c>
      <c r="S6808" s="74">
        <v>37174</v>
      </c>
      <c r="T6808" s="77">
        <v>0.91666666666666663</v>
      </c>
      <c r="V6808">
        <v>57.019999999999996</v>
      </c>
      <c r="X6808" s="42"/>
      <c r="AB6808">
        <v>59.6</v>
      </c>
      <c r="AC6808">
        <v>44.96</v>
      </c>
      <c r="AE6808" s="74"/>
      <c r="AF6808" s="77"/>
      <c r="AH6808" s="497">
        <v>53.6</v>
      </c>
      <c r="AJ6808" s="42"/>
      <c r="AK6808" s="74"/>
      <c r="AL6808" s="77"/>
      <c r="AN6808" s="497">
        <v>35.06</v>
      </c>
      <c r="AP6808" s="42"/>
      <c r="AQ6808" s="74"/>
      <c r="AR6808" s="77"/>
      <c r="AT6808" s="497">
        <v>30.92</v>
      </c>
      <c r="AV6808" s="42"/>
      <c r="AW6808" s="74"/>
      <c r="AX6808" s="77"/>
      <c r="BA6808" s="497">
        <v>33.979999999999997</v>
      </c>
      <c r="BB6808" s="42"/>
      <c r="BC6808" s="74"/>
      <c r="BD6808" s="77"/>
      <c r="BF6808">
        <v>53.06</v>
      </c>
      <c r="BH6808" s="42"/>
      <c r="BI6808" s="74"/>
      <c r="BJ6808" s="77"/>
      <c r="BL6808" s="497">
        <v>51.980000000000004</v>
      </c>
      <c r="BN6808" s="42"/>
      <c r="BO6808" s="74"/>
      <c r="BP6808" s="77"/>
      <c r="BR6808" s="497">
        <v>30.02</v>
      </c>
      <c r="BT6808" s="42"/>
    </row>
    <row r="6809" spans="1:72" x14ac:dyDescent="0.25">
      <c r="A6809" s="90">
        <v>37174</v>
      </c>
      <c r="B6809" s="20">
        <v>0.95833333333333337</v>
      </c>
      <c r="D6809">
        <v>60.08</v>
      </c>
      <c r="E6809" t="str">
        <f t="shared" si="248"/>
        <v>WEEKDAY</v>
      </c>
      <c r="F6809" t="e">
        <f t="shared" si="247"/>
        <v>#N/A</v>
      </c>
      <c r="G6809" s="74">
        <v>29504</v>
      </c>
      <c r="H6809" s="77">
        <v>0.95833333333333337</v>
      </c>
      <c r="J6809">
        <v>55.400000000000006</v>
      </c>
      <c r="M6809" s="74">
        <v>36443</v>
      </c>
      <c r="N6809" s="77">
        <v>0.95833333333333337</v>
      </c>
      <c r="P6809">
        <v>66.2</v>
      </c>
      <c r="S6809" s="74">
        <v>37174</v>
      </c>
      <c r="T6809" s="77">
        <v>0.95833333333333337</v>
      </c>
      <c r="V6809">
        <v>55.94</v>
      </c>
      <c r="X6809" s="42"/>
      <c r="AB6809">
        <v>58.8</v>
      </c>
      <c r="AC6809">
        <v>46.94</v>
      </c>
      <c r="AE6809" s="74"/>
      <c r="AF6809" s="77"/>
      <c r="AH6809" s="497">
        <v>53.6</v>
      </c>
      <c r="AJ6809" s="42"/>
      <c r="AK6809" s="74"/>
      <c r="AL6809" s="77"/>
      <c r="AN6809" s="497">
        <v>35.06</v>
      </c>
      <c r="AP6809" s="42"/>
      <c r="AQ6809" s="74"/>
      <c r="AR6809" s="77"/>
      <c r="AT6809" s="497">
        <v>28.94</v>
      </c>
      <c r="AV6809" s="42"/>
      <c r="AW6809" s="74"/>
      <c r="AX6809" s="77"/>
      <c r="BA6809" s="497">
        <v>30.92</v>
      </c>
      <c r="BB6809" s="42"/>
      <c r="BC6809" s="74"/>
      <c r="BD6809" s="77"/>
      <c r="BF6809">
        <v>51.08</v>
      </c>
      <c r="BH6809" s="42"/>
      <c r="BI6809" s="74"/>
      <c r="BJ6809" s="77"/>
      <c r="BL6809" s="497">
        <v>50</v>
      </c>
      <c r="BN6809" s="42"/>
      <c r="BO6809" s="74"/>
      <c r="BP6809" s="77"/>
      <c r="BR6809" s="497">
        <v>28.94</v>
      </c>
      <c r="BT6809" s="42"/>
    </row>
    <row r="6810" spans="1:72" x14ac:dyDescent="0.25">
      <c r="A6810" s="90">
        <v>37174</v>
      </c>
      <c r="B6810" s="20">
        <v>1</v>
      </c>
      <c r="D6810">
        <v>59</v>
      </c>
      <c r="E6810" t="str">
        <f t="shared" si="248"/>
        <v>WEEKDAY</v>
      </c>
      <c r="F6810" t="e">
        <f t="shared" si="247"/>
        <v>#N/A</v>
      </c>
      <c r="G6810" s="74">
        <v>29504</v>
      </c>
      <c r="H6810" s="77">
        <v>1</v>
      </c>
      <c r="J6810">
        <v>55.58</v>
      </c>
      <c r="M6810" s="74">
        <v>36443</v>
      </c>
      <c r="N6810" s="80">
        <v>1</v>
      </c>
      <c r="P6810">
        <v>64.400000000000006</v>
      </c>
      <c r="S6810" s="74">
        <v>37174</v>
      </c>
      <c r="T6810" s="80">
        <v>1</v>
      </c>
      <c r="V6810">
        <v>55.040000000000006</v>
      </c>
      <c r="X6810" s="42"/>
      <c r="AB6810">
        <v>58.2</v>
      </c>
      <c r="AC6810">
        <v>48.92</v>
      </c>
      <c r="AE6810" s="74"/>
      <c r="AF6810" s="80"/>
      <c r="AH6810" s="497">
        <v>53.6</v>
      </c>
      <c r="AJ6810" s="42"/>
      <c r="AK6810" s="74"/>
      <c r="AL6810" s="80"/>
      <c r="AN6810" s="497">
        <v>35.06</v>
      </c>
      <c r="AP6810" s="42"/>
      <c r="AQ6810" s="74"/>
      <c r="AR6810" s="80"/>
      <c r="AT6810" s="497">
        <v>26.96</v>
      </c>
      <c r="AV6810" s="42"/>
      <c r="AW6810" s="74"/>
      <c r="AX6810" s="80"/>
      <c r="BA6810" s="497">
        <v>30.02</v>
      </c>
      <c r="BB6810" s="42"/>
      <c r="BC6810" s="74"/>
      <c r="BD6810" s="80"/>
      <c r="BF6810">
        <v>51.08</v>
      </c>
      <c r="BH6810" s="42"/>
      <c r="BI6810" s="74"/>
      <c r="BJ6810" s="80"/>
      <c r="BL6810" s="497">
        <v>50</v>
      </c>
      <c r="BN6810" s="42"/>
      <c r="BO6810" s="74"/>
      <c r="BP6810" s="80"/>
      <c r="BR6810" s="497">
        <v>26.96</v>
      </c>
      <c r="BT6810" s="42"/>
    </row>
    <row r="6811" spans="1:72" x14ac:dyDescent="0.25">
      <c r="A6811" s="90">
        <v>37175</v>
      </c>
      <c r="B6811" s="20">
        <v>4.1666666666666664E-2</v>
      </c>
      <c r="D6811">
        <v>59</v>
      </c>
      <c r="E6811" t="str">
        <f t="shared" si="248"/>
        <v>WEEKDAY</v>
      </c>
      <c r="F6811" t="e">
        <f t="shared" si="247"/>
        <v>#N/A</v>
      </c>
      <c r="G6811" s="74">
        <v>29505</v>
      </c>
      <c r="H6811" s="77">
        <v>4.1666666666666664E-2</v>
      </c>
      <c r="J6811">
        <v>55.94</v>
      </c>
      <c r="M6811" s="74">
        <v>36444</v>
      </c>
      <c r="N6811" s="77">
        <v>4.1666666666666664E-2</v>
      </c>
      <c r="P6811">
        <v>65.300000000000011</v>
      </c>
      <c r="S6811" s="74">
        <v>37175</v>
      </c>
      <c r="T6811" s="77">
        <v>4.1666666666666664E-2</v>
      </c>
      <c r="V6811">
        <v>55.94</v>
      </c>
      <c r="X6811" s="42"/>
      <c r="AB6811">
        <v>57.5</v>
      </c>
      <c r="AC6811">
        <v>48.92</v>
      </c>
      <c r="AE6811" s="74"/>
      <c r="AF6811" s="77"/>
      <c r="AH6811" s="497">
        <v>53.6</v>
      </c>
      <c r="AJ6811" s="42"/>
      <c r="AK6811" s="74"/>
      <c r="AL6811" s="77"/>
      <c r="AN6811" s="497">
        <v>33.08</v>
      </c>
      <c r="AP6811" s="42"/>
      <c r="AQ6811" s="74"/>
      <c r="AR6811" s="77"/>
      <c r="AT6811" s="497">
        <v>26.96</v>
      </c>
      <c r="AV6811" s="42"/>
      <c r="AW6811" s="74"/>
      <c r="AX6811" s="77"/>
      <c r="BA6811" s="497">
        <v>28.94</v>
      </c>
      <c r="BB6811" s="42"/>
      <c r="BC6811" s="74"/>
      <c r="BD6811" s="77"/>
      <c r="BF6811">
        <v>50</v>
      </c>
      <c r="BH6811" s="42"/>
      <c r="BI6811" s="74"/>
      <c r="BJ6811" s="77"/>
      <c r="BL6811" s="497">
        <v>48.92</v>
      </c>
      <c r="BN6811" s="42"/>
      <c r="BO6811" s="74"/>
      <c r="BP6811" s="77"/>
      <c r="BR6811" s="497">
        <v>26.96</v>
      </c>
      <c r="BT6811" s="42"/>
    </row>
    <row r="6812" spans="1:72" x14ac:dyDescent="0.25">
      <c r="A6812" s="90">
        <v>37175</v>
      </c>
      <c r="B6812" s="20">
        <v>8.3333333333333329E-2</v>
      </c>
      <c r="D6812">
        <v>59</v>
      </c>
      <c r="E6812" t="str">
        <f t="shared" si="248"/>
        <v>WEEKDAY</v>
      </c>
      <c r="F6812" t="e">
        <f t="shared" si="247"/>
        <v>#N/A</v>
      </c>
      <c r="G6812" s="74">
        <v>29505</v>
      </c>
      <c r="H6812" s="77">
        <v>8.3333333333333329E-2</v>
      </c>
      <c r="J6812">
        <v>57.92</v>
      </c>
      <c r="M6812" s="74">
        <v>36444</v>
      </c>
      <c r="N6812" s="77">
        <v>8.3333333333333329E-2</v>
      </c>
      <c r="P6812">
        <v>66.2</v>
      </c>
      <c r="S6812" s="74">
        <v>37175</v>
      </c>
      <c r="T6812" s="77">
        <v>8.3333333333333329E-2</v>
      </c>
      <c r="V6812">
        <v>55.040000000000006</v>
      </c>
      <c r="X6812" s="42"/>
      <c r="AB6812">
        <v>56.8</v>
      </c>
      <c r="AC6812">
        <v>46.94</v>
      </c>
      <c r="AE6812" s="74"/>
      <c r="AF6812" s="77"/>
      <c r="AH6812" s="497">
        <v>53.6</v>
      </c>
      <c r="AJ6812" s="42"/>
      <c r="AK6812" s="74"/>
      <c r="AL6812" s="77"/>
      <c r="AN6812" s="497">
        <v>33.979999999999997</v>
      </c>
      <c r="AP6812" s="42"/>
      <c r="AQ6812" s="74"/>
      <c r="AR6812" s="77"/>
      <c r="AT6812" s="497">
        <v>26.060000000000002</v>
      </c>
      <c r="AV6812" s="42"/>
      <c r="AW6812" s="74"/>
      <c r="AX6812" s="77"/>
      <c r="BA6812" s="497">
        <v>30.92</v>
      </c>
      <c r="BB6812" s="42"/>
      <c r="BC6812" s="74"/>
      <c r="BD6812" s="77"/>
      <c r="BF6812">
        <v>50</v>
      </c>
      <c r="BH6812" s="42"/>
      <c r="BI6812" s="74"/>
      <c r="BJ6812" s="77"/>
      <c r="BL6812" s="497">
        <v>51.08</v>
      </c>
      <c r="BN6812" s="42"/>
      <c r="BO6812" s="74"/>
      <c r="BP6812" s="77"/>
      <c r="BR6812" s="497">
        <v>26.96</v>
      </c>
      <c r="BT6812" s="42"/>
    </row>
    <row r="6813" spans="1:72" x14ac:dyDescent="0.25">
      <c r="A6813" s="90">
        <v>37175</v>
      </c>
      <c r="B6813" s="20">
        <v>0.125</v>
      </c>
      <c r="D6813">
        <v>59</v>
      </c>
      <c r="E6813" t="str">
        <f t="shared" si="248"/>
        <v>WEEKDAY</v>
      </c>
      <c r="F6813" t="e">
        <f t="shared" si="247"/>
        <v>#N/A</v>
      </c>
      <c r="G6813" s="74">
        <v>29505</v>
      </c>
      <c r="H6813" s="77">
        <v>0.125</v>
      </c>
      <c r="J6813">
        <v>60.08</v>
      </c>
      <c r="M6813" s="74">
        <v>36444</v>
      </c>
      <c r="N6813" s="77">
        <v>0.125</v>
      </c>
      <c r="P6813">
        <v>64.400000000000006</v>
      </c>
      <c r="S6813" s="74">
        <v>37175</v>
      </c>
      <c r="T6813" s="77">
        <v>0.125</v>
      </c>
      <c r="V6813">
        <v>55.94</v>
      </c>
      <c r="X6813" s="42"/>
      <c r="AB6813">
        <v>56.2</v>
      </c>
      <c r="AC6813">
        <v>46.04</v>
      </c>
      <c r="AE6813" s="74"/>
      <c r="AF6813" s="77"/>
      <c r="AH6813" s="497">
        <v>53.6</v>
      </c>
      <c r="AJ6813" s="42"/>
      <c r="AK6813" s="74"/>
      <c r="AL6813" s="77"/>
      <c r="AN6813" s="497">
        <v>32</v>
      </c>
      <c r="AP6813" s="42"/>
      <c r="AQ6813" s="74"/>
      <c r="AR6813" s="77"/>
      <c r="AT6813" s="497">
        <v>26.060000000000002</v>
      </c>
      <c r="AV6813" s="42"/>
      <c r="AW6813" s="74"/>
      <c r="AX6813" s="77"/>
      <c r="BA6813" s="497">
        <v>30.02</v>
      </c>
      <c r="BB6813" s="42"/>
      <c r="BC6813" s="74"/>
      <c r="BD6813" s="77"/>
      <c r="BF6813">
        <v>50</v>
      </c>
      <c r="BH6813" s="42"/>
      <c r="BI6813" s="74"/>
      <c r="BJ6813" s="77"/>
      <c r="BL6813" s="497">
        <v>48.92</v>
      </c>
      <c r="BN6813" s="42"/>
      <c r="BO6813" s="74"/>
      <c r="BP6813" s="77"/>
      <c r="BR6813" s="497">
        <v>26.060000000000002</v>
      </c>
      <c r="BT6813" s="42"/>
    </row>
    <row r="6814" spans="1:72" x14ac:dyDescent="0.25">
      <c r="A6814" s="90">
        <v>37175</v>
      </c>
      <c r="B6814" s="20">
        <v>0.16666666666666666</v>
      </c>
      <c r="D6814">
        <v>57.92</v>
      </c>
      <c r="E6814" t="str">
        <f t="shared" si="248"/>
        <v>WEEKDAY</v>
      </c>
      <c r="F6814" t="e">
        <f t="shared" si="247"/>
        <v>#N/A</v>
      </c>
      <c r="G6814" s="74">
        <v>29505</v>
      </c>
      <c r="H6814" s="77">
        <v>0.16666666666666666</v>
      </c>
      <c r="J6814">
        <v>62.06</v>
      </c>
      <c r="M6814" s="74">
        <v>36444</v>
      </c>
      <c r="N6814" s="77">
        <v>0.16666666666666666</v>
      </c>
      <c r="P6814">
        <v>63.680000000000007</v>
      </c>
      <c r="S6814" s="74">
        <v>37175</v>
      </c>
      <c r="T6814" s="77">
        <v>0.16666666666666666</v>
      </c>
      <c r="V6814">
        <v>55.94</v>
      </c>
      <c r="X6814" s="42"/>
      <c r="AB6814">
        <v>55.7</v>
      </c>
      <c r="AC6814">
        <v>44.96</v>
      </c>
      <c r="AE6814" s="74"/>
      <c r="AF6814" s="77"/>
      <c r="AH6814" s="497">
        <v>51.8</v>
      </c>
      <c r="AJ6814" s="42"/>
      <c r="AK6814" s="74"/>
      <c r="AL6814" s="77"/>
      <c r="AN6814" s="497">
        <v>32</v>
      </c>
      <c r="AP6814" s="42"/>
      <c r="AQ6814" s="74"/>
      <c r="AR6814" s="77"/>
      <c r="AT6814" s="497">
        <v>24.98</v>
      </c>
      <c r="AV6814" s="42"/>
      <c r="AW6814" s="74"/>
      <c r="AX6814" s="77"/>
      <c r="BA6814" s="497">
        <v>28.94</v>
      </c>
      <c r="BB6814" s="42"/>
      <c r="BC6814" s="74"/>
      <c r="BD6814" s="77"/>
      <c r="BF6814">
        <v>48.92</v>
      </c>
      <c r="BH6814" s="42"/>
      <c r="BI6814" s="74"/>
      <c r="BJ6814" s="77"/>
      <c r="BL6814" s="497">
        <v>50</v>
      </c>
      <c r="BN6814" s="42"/>
      <c r="BO6814" s="74"/>
      <c r="BP6814" s="77"/>
      <c r="BR6814" s="497">
        <v>24.98</v>
      </c>
      <c r="BT6814" s="42"/>
    </row>
    <row r="6815" spans="1:72" x14ac:dyDescent="0.25">
      <c r="A6815" s="90">
        <v>37175</v>
      </c>
      <c r="B6815" s="20">
        <v>0.20833333333333334</v>
      </c>
      <c r="D6815">
        <v>57.019999999999996</v>
      </c>
      <c r="E6815" t="str">
        <f t="shared" si="248"/>
        <v>WEEKDAY</v>
      </c>
      <c r="F6815" t="e">
        <f t="shared" si="247"/>
        <v>#N/A</v>
      </c>
      <c r="G6815" s="74">
        <v>29505</v>
      </c>
      <c r="H6815" s="77">
        <v>0.20833333333333334</v>
      </c>
      <c r="J6815">
        <v>62.78</v>
      </c>
      <c r="M6815" s="74">
        <v>36444</v>
      </c>
      <c r="N6815" s="77">
        <v>0.20833333333333334</v>
      </c>
      <c r="P6815">
        <v>62.96</v>
      </c>
      <c r="S6815" s="74">
        <v>37175</v>
      </c>
      <c r="T6815" s="77">
        <v>0.20833333333333334</v>
      </c>
      <c r="V6815">
        <v>55.040000000000006</v>
      </c>
      <c r="X6815" s="42"/>
      <c r="AB6815">
        <v>55.3</v>
      </c>
      <c r="AC6815">
        <v>42.980000000000004</v>
      </c>
      <c r="AE6815" s="74"/>
      <c r="AF6815" s="77"/>
      <c r="AH6815" s="497">
        <v>51.8</v>
      </c>
      <c r="AJ6815" s="42"/>
      <c r="AK6815" s="74"/>
      <c r="AL6815" s="77"/>
      <c r="AN6815" s="497">
        <v>32</v>
      </c>
      <c r="AP6815" s="42"/>
      <c r="AQ6815" s="74"/>
      <c r="AR6815" s="77"/>
      <c r="AT6815" s="497">
        <v>24.98</v>
      </c>
      <c r="AV6815" s="42"/>
      <c r="AW6815" s="74"/>
      <c r="AX6815" s="77"/>
      <c r="BA6815" s="497">
        <v>30.92</v>
      </c>
      <c r="BB6815" s="42"/>
      <c r="BC6815" s="74"/>
      <c r="BD6815" s="77"/>
      <c r="BF6815">
        <v>48.92</v>
      </c>
      <c r="BH6815" s="42"/>
      <c r="BI6815" s="74"/>
      <c r="BJ6815" s="77"/>
      <c r="BL6815" s="497">
        <v>48.92</v>
      </c>
      <c r="BN6815" s="42"/>
      <c r="BO6815" s="74"/>
      <c r="BP6815" s="77"/>
      <c r="BR6815" s="497">
        <v>21.92</v>
      </c>
      <c r="BT6815" s="42"/>
    </row>
    <row r="6816" spans="1:72" x14ac:dyDescent="0.25">
      <c r="A6816" s="90">
        <v>37175</v>
      </c>
      <c r="B6816" s="20">
        <v>0.25</v>
      </c>
      <c r="D6816">
        <v>57.019999999999996</v>
      </c>
      <c r="E6816" t="str">
        <f t="shared" si="248"/>
        <v>WEEKDAY</v>
      </c>
      <c r="F6816" t="e">
        <f t="shared" si="247"/>
        <v>#N/A</v>
      </c>
      <c r="G6816" s="74">
        <v>29505</v>
      </c>
      <c r="H6816" s="77">
        <v>0.25</v>
      </c>
      <c r="J6816">
        <v>63.319999999999993</v>
      </c>
      <c r="M6816" s="74">
        <v>36444</v>
      </c>
      <c r="N6816" s="77">
        <v>0.25</v>
      </c>
      <c r="P6816">
        <v>62.6</v>
      </c>
      <c r="S6816" s="74">
        <v>37175</v>
      </c>
      <c r="T6816" s="77">
        <v>0.25</v>
      </c>
      <c r="V6816">
        <v>53.96</v>
      </c>
      <c r="X6816" s="42"/>
      <c r="AB6816">
        <v>55.1</v>
      </c>
      <c r="AC6816">
        <v>44.96</v>
      </c>
      <c r="AE6816" s="74"/>
      <c r="AF6816" s="77"/>
      <c r="AH6816" s="497">
        <v>51.8</v>
      </c>
      <c r="AJ6816" s="42"/>
      <c r="AK6816" s="74"/>
      <c r="AL6816" s="77"/>
      <c r="AN6816" s="497">
        <v>32</v>
      </c>
      <c r="AP6816" s="42"/>
      <c r="AQ6816" s="74"/>
      <c r="AR6816" s="77"/>
      <c r="AT6816" s="497">
        <v>24.08</v>
      </c>
      <c r="AV6816" s="42"/>
      <c r="AW6816" s="74"/>
      <c r="AX6816" s="77"/>
      <c r="BA6816" s="497">
        <v>30.02</v>
      </c>
      <c r="BB6816" s="42"/>
      <c r="BC6816" s="74"/>
      <c r="BD6816" s="77"/>
      <c r="BF6816">
        <v>48.92</v>
      </c>
      <c r="BH6816" s="42"/>
      <c r="BI6816" s="74"/>
      <c r="BJ6816" s="77"/>
      <c r="BL6816" s="497">
        <v>48.019999999999996</v>
      </c>
      <c r="BN6816" s="42"/>
      <c r="BO6816" s="74"/>
      <c r="BP6816" s="77"/>
      <c r="BR6816" s="497">
        <v>21.92</v>
      </c>
      <c r="BT6816" s="42"/>
    </row>
    <row r="6817" spans="1:72" x14ac:dyDescent="0.25">
      <c r="A6817" s="90">
        <v>37175</v>
      </c>
      <c r="B6817" s="20">
        <v>0.29166666666666669</v>
      </c>
      <c r="D6817">
        <v>57.92</v>
      </c>
      <c r="E6817" t="str">
        <f t="shared" si="248"/>
        <v>WEEKDAY</v>
      </c>
      <c r="F6817" t="e">
        <f t="shared" si="247"/>
        <v>#N/A</v>
      </c>
      <c r="G6817" s="74">
        <v>29505</v>
      </c>
      <c r="H6817" s="77">
        <v>0.29166666666666669</v>
      </c>
      <c r="J6817">
        <v>64.039999999999992</v>
      </c>
      <c r="M6817" s="74">
        <v>36444</v>
      </c>
      <c r="N6817" s="77">
        <v>0.29166666666666669</v>
      </c>
      <c r="P6817">
        <v>64.400000000000006</v>
      </c>
      <c r="S6817" s="74">
        <v>37175</v>
      </c>
      <c r="T6817" s="77">
        <v>0.29166666666666669</v>
      </c>
      <c r="V6817">
        <v>55.94</v>
      </c>
      <c r="X6817" s="42"/>
      <c r="AB6817">
        <v>54.9</v>
      </c>
      <c r="AC6817">
        <v>48.92</v>
      </c>
      <c r="AE6817" s="74"/>
      <c r="AF6817" s="77"/>
      <c r="AH6817" s="497">
        <v>51.8</v>
      </c>
      <c r="AJ6817" s="42"/>
      <c r="AK6817" s="74"/>
      <c r="AL6817" s="77"/>
      <c r="AN6817" s="497">
        <v>33.08</v>
      </c>
      <c r="AP6817" s="42"/>
      <c r="AQ6817" s="74"/>
      <c r="AR6817" s="77"/>
      <c r="AT6817" s="497">
        <v>26.060000000000002</v>
      </c>
      <c r="AV6817" s="42"/>
      <c r="AW6817" s="74"/>
      <c r="AX6817" s="77"/>
      <c r="BA6817" s="497">
        <v>30.92</v>
      </c>
      <c r="BB6817" s="42"/>
      <c r="BC6817" s="74"/>
      <c r="BD6817" s="77"/>
      <c r="BF6817">
        <v>50</v>
      </c>
      <c r="BH6817" s="42"/>
      <c r="BI6817" s="74"/>
      <c r="BJ6817" s="77"/>
      <c r="BL6817" s="497">
        <v>48.92</v>
      </c>
      <c r="BN6817" s="42"/>
      <c r="BO6817" s="74"/>
      <c r="BP6817" s="77"/>
      <c r="BR6817" s="497">
        <v>24.08</v>
      </c>
      <c r="BT6817" s="42"/>
    </row>
    <row r="6818" spans="1:72" x14ac:dyDescent="0.25">
      <c r="A6818" s="90">
        <v>37175</v>
      </c>
      <c r="B6818" s="20">
        <v>0.33333333333333331</v>
      </c>
      <c r="D6818">
        <v>60.08</v>
      </c>
      <c r="E6818" t="str">
        <f t="shared" si="248"/>
        <v>WEEKDAY</v>
      </c>
      <c r="F6818" t="e">
        <f t="shared" si="247"/>
        <v>#N/A</v>
      </c>
      <c r="G6818" s="74">
        <v>29505</v>
      </c>
      <c r="H6818" s="77">
        <v>0.33333333333333331</v>
      </c>
      <c r="J6818">
        <v>64.039999999999992</v>
      </c>
      <c r="M6818" s="74">
        <v>36444</v>
      </c>
      <c r="N6818" s="77">
        <v>0.33333333333333331</v>
      </c>
      <c r="P6818">
        <v>66.2</v>
      </c>
      <c r="S6818" s="74">
        <v>37175</v>
      </c>
      <c r="T6818" s="77">
        <v>0.33333333333333331</v>
      </c>
      <c r="V6818">
        <v>59</v>
      </c>
      <c r="X6818" s="42"/>
      <c r="AB6818">
        <v>55.9</v>
      </c>
      <c r="AC6818">
        <v>50</v>
      </c>
      <c r="AE6818" s="74"/>
      <c r="AF6818" s="77"/>
      <c r="AH6818" s="497">
        <v>51.8</v>
      </c>
      <c r="AJ6818" s="42"/>
      <c r="AK6818" s="74"/>
      <c r="AL6818" s="77"/>
      <c r="AN6818" s="497">
        <v>37.04</v>
      </c>
      <c r="AP6818" s="42"/>
      <c r="AQ6818" s="74"/>
      <c r="AR6818" s="77"/>
      <c r="AT6818" s="497">
        <v>32</v>
      </c>
      <c r="AV6818" s="42"/>
      <c r="AW6818" s="74"/>
      <c r="AX6818" s="77"/>
      <c r="BA6818" s="497">
        <v>35.96</v>
      </c>
      <c r="BB6818" s="42"/>
      <c r="BC6818" s="74"/>
      <c r="BD6818" s="77"/>
      <c r="BF6818">
        <v>53.96</v>
      </c>
      <c r="BH6818" s="42"/>
      <c r="BI6818" s="74"/>
      <c r="BJ6818" s="77"/>
      <c r="BL6818" s="497">
        <v>51.980000000000004</v>
      </c>
      <c r="BN6818" s="42"/>
      <c r="BO6818" s="74"/>
      <c r="BP6818" s="77"/>
      <c r="BR6818" s="497">
        <v>33.08</v>
      </c>
      <c r="BT6818" s="42"/>
    </row>
    <row r="6819" spans="1:72" x14ac:dyDescent="0.25">
      <c r="A6819" s="90">
        <v>37175</v>
      </c>
      <c r="B6819" s="20">
        <v>0.375</v>
      </c>
      <c r="D6819">
        <v>62.06</v>
      </c>
      <c r="E6819" t="str">
        <f t="shared" si="248"/>
        <v>WEEKDAY</v>
      </c>
      <c r="F6819" t="e">
        <f t="shared" si="247"/>
        <v>#N/A</v>
      </c>
      <c r="G6819" s="74">
        <v>29505</v>
      </c>
      <c r="H6819" s="77">
        <v>0.375</v>
      </c>
      <c r="J6819">
        <v>64.039999999999992</v>
      </c>
      <c r="M6819" s="74">
        <v>36444</v>
      </c>
      <c r="N6819" s="77">
        <v>0.375</v>
      </c>
      <c r="P6819">
        <v>68</v>
      </c>
      <c r="S6819" s="74">
        <v>37175</v>
      </c>
      <c r="T6819" s="77">
        <v>0.375</v>
      </c>
      <c r="V6819">
        <v>62.06</v>
      </c>
      <c r="X6819" s="42"/>
      <c r="AB6819">
        <v>58.2</v>
      </c>
      <c r="AC6819">
        <v>55.040000000000006</v>
      </c>
      <c r="AE6819" s="74"/>
      <c r="AF6819" s="77"/>
      <c r="AH6819" s="497">
        <v>53.6</v>
      </c>
      <c r="AJ6819" s="42"/>
      <c r="AK6819" s="74"/>
      <c r="AL6819" s="77"/>
      <c r="AN6819" s="497">
        <v>42.08</v>
      </c>
      <c r="AP6819" s="42"/>
      <c r="AQ6819" s="74"/>
      <c r="AR6819" s="77"/>
      <c r="AT6819" s="497">
        <v>39.019999999999996</v>
      </c>
      <c r="AV6819" s="42"/>
      <c r="AW6819" s="74"/>
      <c r="AX6819" s="77"/>
      <c r="BA6819" s="497">
        <v>42.08</v>
      </c>
      <c r="BB6819" s="42"/>
      <c r="BC6819" s="74"/>
      <c r="BD6819" s="77"/>
      <c r="BF6819">
        <v>59</v>
      </c>
      <c r="BH6819" s="42"/>
      <c r="BI6819" s="74"/>
      <c r="BJ6819" s="77"/>
      <c r="BL6819" s="497">
        <v>57.019999999999996</v>
      </c>
      <c r="BN6819" s="42"/>
      <c r="BO6819" s="74"/>
      <c r="BP6819" s="77"/>
      <c r="BR6819" s="497">
        <v>42.08</v>
      </c>
      <c r="BT6819" s="42"/>
    </row>
    <row r="6820" spans="1:72" x14ac:dyDescent="0.25">
      <c r="A6820" s="90">
        <v>37175</v>
      </c>
      <c r="B6820" s="20">
        <v>0.41666666666666669</v>
      </c>
      <c r="D6820">
        <v>64.94</v>
      </c>
      <c r="E6820" t="str">
        <f t="shared" si="248"/>
        <v>WEEKDAY</v>
      </c>
      <c r="F6820" t="e">
        <f t="shared" si="247"/>
        <v>#N/A</v>
      </c>
      <c r="G6820" s="74">
        <v>29505</v>
      </c>
      <c r="H6820" s="77">
        <v>0.41666666666666669</v>
      </c>
      <c r="J6820">
        <v>64.039999999999992</v>
      </c>
      <c r="M6820" s="74">
        <v>36444</v>
      </c>
      <c r="N6820" s="77">
        <v>0.41666666666666669</v>
      </c>
      <c r="P6820">
        <v>68.180000000000007</v>
      </c>
      <c r="S6820" s="74">
        <v>37175</v>
      </c>
      <c r="T6820" s="77">
        <v>0.41666666666666669</v>
      </c>
      <c r="V6820">
        <v>64.039999999999992</v>
      </c>
      <c r="X6820" s="42"/>
      <c r="AB6820">
        <v>60.2</v>
      </c>
      <c r="AC6820">
        <v>57.019999999999996</v>
      </c>
      <c r="AE6820" s="74"/>
      <c r="AF6820" s="77"/>
      <c r="AH6820" s="497">
        <v>53.6</v>
      </c>
      <c r="AJ6820" s="42"/>
      <c r="AK6820" s="74"/>
      <c r="AL6820" s="77"/>
      <c r="AN6820" s="497">
        <v>46.04</v>
      </c>
      <c r="AP6820" s="42"/>
      <c r="AQ6820" s="74"/>
      <c r="AR6820" s="77"/>
      <c r="AT6820" s="497">
        <v>46.94</v>
      </c>
      <c r="AV6820" s="42"/>
      <c r="AW6820" s="74"/>
      <c r="AX6820" s="77"/>
      <c r="BA6820" s="497">
        <v>50</v>
      </c>
      <c r="BB6820" s="42"/>
      <c r="BC6820" s="74"/>
      <c r="BD6820" s="77"/>
      <c r="BF6820">
        <v>62.06</v>
      </c>
      <c r="BH6820" s="42"/>
      <c r="BI6820" s="74"/>
      <c r="BJ6820" s="77"/>
      <c r="BL6820" s="497">
        <v>62.96</v>
      </c>
      <c r="BN6820" s="42"/>
      <c r="BO6820" s="74"/>
      <c r="BP6820" s="77"/>
      <c r="BR6820" s="497">
        <v>51.08</v>
      </c>
      <c r="BT6820" s="42"/>
    </row>
    <row r="6821" spans="1:72" x14ac:dyDescent="0.25">
      <c r="A6821" s="90">
        <v>37175</v>
      </c>
      <c r="B6821" s="20">
        <v>0.45833333333333331</v>
      </c>
      <c r="D6821">
        <v>68</v>
      </c>
      <c r="E6821" t="str">
        <f t="shared" si="248"/>
        <v>WEEKDAY</v>
      </c>
      <c r="F6821" t="e">
        <f t="shared" si="247"/>
        <v>#N/A</v>
      </c>
      <c r="G6821" s="74">
        <v>29505</v>
      </c>
      <c r="H6821" s="77">
        <v>0.45833333333333331</v>
      </c>
      <c r="J6821">
        <v>64.039999999999992</v>
      </c>
      <c r="M6821" s="74">
        <v>36444</v>
      </c>
      <c r="N6821" s="77">
        <v>0.45833333333333331</v>
      </c>
      <c r="P6821">
        <v>68</v>
      </c>
      <c r="S6821" s="74">
        <v>37175</v>
      </c>
      <c r="T6821" s="77">
        <v>0.45833333333333331</v>
      </c>
      <c r="V6821">
        <v>66.92</v>
      </c>
      <c r="X6821" s="42"/>
      <c r="AB6821">
        <v>61.9</v>
      </c>
      <c r="AC6821">
        <v>60.980000000000004</v>
      </c>
      <c r="AE6821" s="74"/>
      <c r="AF6821" s="77"/>
      <c r="AH6821" s="497">
        <v>53.6</v>
      </c>
      <c r="AJ6821" s="42"/>
      <c r="AK6821" s="74"/>
      <c r="AL6821" s="77"/>
      <c r="AN6821" s="497">
        <v>48.92</v>
      </c>
      <c r="AP6821" s="42"/>
      <c r="AQ6821" s="74"/>
      <c r="AR6821" s="77"/>
      <c r="AT6821" s="497">
        <v>51.08</v>
      </c>
      <c r="AV6821" s="42"/>
      <c r="AW6821" s="74"/>
      <c r="AX6821" s="77"/>
      <c r="BA6821" s="497">
        <v>53.06</v>
      </c>
      <c r="BB6821" s="42"/>
      <c r="BC6821" s="74"/>
      <c r="BD6821" s="77"/>
      <c r="BF6821">
        <v>66.92</v>
      </c>
      <c r="BH6821" s="42"/>
      <c r="BI6821" s="74"/>
      <c r="BJ6821" s="77"/>
      <c r="BL6821" s="497">
        <v>68</v>
      </c>
      <c r="BN6821" s="42"/>
      <c r="BO6821" s="74"/>
      <c r="BP6821" s="77"/>
      <c r="BR6821" s="497">
        <v>53.06</v>
      </c>
      <c r="BT6821" s="42"/>
    </row>
    <row r="6822" spans="1:72" x14ac:dyDescent="0.25">
      <c r="A6822" s="90">
        <v>37175</v>
      </c>
      <c r="B6822" s="20">
        <v>0.5</v>
      </c>
      <c r="D6822">
        <v>69.98</v>
      </c>
      <c r="E6822" t="str">
        <f t="shared" si="248"/>
        <v>WEEKDAY</v>
      </c>
      <c r="F6822" t="e">
        <f t="shared" si="247"/>
        <v>#N/A</v>
      </c>
      <c r="G6822" s="74">
        <v>29505</v>
      </c>
      <c r="H6822" s="77">
        <v>0.5</v>
      </c>
      <c r="J6822">
        <v>64.039999999999992</v>
      </c>
      <c r="M6822" s="74">
        <v>36444</v>
      </c>
      <c r="N6822" s="77">
        <v>0.5</v>
      </c>
      <c r="P6822">
        <v>68.36</v>
      </c>
      <c r="S6822" s="74">
        <v>37175</v>
      </c>
      <c r="T6822" s="77">
        <v>0.5</v>
      </c>
      <c r="V6822">
        <v>69.080000000000013</v>
      </c>
      <c r="X6822" s="42"/>
      <c r="AB6822">
        <v>63.4</v>
      </c>
      <c r="AC6822">
        <v>62.96</v>
      </c>
      <c r="AE6822" s="74"/>
      <c r="AF6822" s="77"/>
      <c r="AH6822" s="497">
        <v>55.400000000000006</v>
      </c>
      <c r="AJ6822" s="42"/>
      <c r="AK6822" s="74"/>
      <c r="AL6822" s="77"/>
      <c r="AN6822" s="497">
        <v>51.08</v>
      </c>
      <c r="AP6822" s="42"/>
      <c r="AQ6822" s="74"/>
      <c r="AR6822" s="77"/>
      <c r="AT6822" s="497">
        <v>53.96</v>
      </c>
      <c r="AV6822" s="42"/>
      <c r="AW6822" s="74"/>
      <c r="AX6822" s="77"/>
      <c r="BA6822" s="497">
        <v>55.040000000000006</v>
      </c>
      <c r="BB6822" s="42"/>
      <c r="BC6822" s="74"/>
      <c r="BD6822" s="77"/>
      <c r="BF6822">
        <v>71.06</v>
      </c>
      <c r="BH6822" s="42"/>
      <c r="BI6822" s="74"/>
      <c r="BJ6822" s="77"/>
      <c r="BL6822" s="497">
        <v>73.039999999999992</v>
      </c>
      <c r="BN6822" s="42"/>
      <c r="BO6822" s="74"/>
      <c r="BP6822" s="77"/>
      <c r="BR6822" s="497">
        <v>55.040000000000006</v>
      </c>
      <c r="BT6822" s="42"/>
    </row>
    <row r="6823" spans="1:72" x14ac:dyDescent="0.25">
      <c r="A6823" s="90">
        <v>37175</v>
      </c>
      <c r="B6823" s="20">
        <v>0.54166666666666663</v>
      </c>
      <c r="D6823">
        <v>71.960000000000008</v>
      </c>
      <c r="E6823" t="str">
        <f t="shared" si="248"/>
        <v>WEEKDAY</v>
      </c>
      <c r="F6823" t="e">
        <f t="shared" si="247"/>
        <v>#N/A</v>
      </c>
      <c r="G6823" s="74">
        <v>29505</v>
      </c>
      <c r="H6823" s="77">
        <v>0.54166666666666663</v>
      </c>
      <c r="J6823">
        <v>64.039999999999992</v>
      </c>
      <c r="M6823" s="74">
        <v>36444</v>
      </c>
      <c r="N6823" s="77">
        <v>0.54166666666666663</v>
      </c>
      <c r="P6823">
        <v>68</v>
      </c>
      <c r="S6823" s="74">
        <v>37175</v>
      </c>
      <c r="T6823" s="77">
        <v>0.54166666666666663</v>
      </c>
      <c r="V6823">
        <v>69.080000000000013</v>
      </c>
      <c r="X6823" s="42"/>
      <c r="AB6823">
        <v>64.5</v>
      </c>
      <c r="AC6823">
        <v>64.039999999999992</v>
      </c>
      <c r="AE6823" s="74"/>
      <c r="AF6823" s="77"/>
      <c r="AH6823" s="497">
        <v>55.400000000000006</v>
      </c>
      <c r="AJ6823" s="42"/>
      <c r="AK6823" s="74"/>
      <c r="AL6823" s="77"/>
      <c r="AN6823" s="497">
        <v>51.980000000000004</v>
      </c>
      <c r="AP6823" s="42"/>
      <c r="AQ6823" s="74"/>
      <c r="AR6823" s="77"/>
      <c r="AT6823" s="497">
        <v>53.96</v>
      </c>
      <c r="AV6823" s="42"/>
      <c r="AW6823" s="74"/>
      <c r="AX6823" s="77"/>
      <c r="BA6823" s="497">
        <v>55.94</v>
      </c>
      <c r="BB6823" s="42"/>
      <c r="BC6823" s="74"/>
      <c r="BD6823" s="77"/>
      <c r="BF6823">
        <v>71.960000000000008</v>
      </c>
      <c r="BH6823" s="42"/>
      <c r="BI6823" s="74"/>
      <c r="BJ6823" s="77"/>
      <c r="BL6823" s="497">
        <v>75.02</v>
      </c>
      <c r="BN6823" s="42"/>
      <c r="BO6823" s="74"/>
      <c r="BP6823" s="77"/>
      <c r="BR6823" s="497">
        <v>57.92</v>
      </c>
      <c r="BT6823" s="42"/>
    </row>
    <row r="6824" spans="1:72" x14ac:dyDescent="0.25">
      <c r="A6824" s="90">
        <v>37175</v>
      </c>
      <c r="B6824" s="20">
        <v>0.58333333333333337</v>
      </c>
      <c r="D6824">
        <v>73.94</v>
      </c>
      <c r="E6824" t="str">
        <f t="shared" si="248"/>
        <v>WEEKDAY</v>
      </c>
      <c r="F6824" t="e">
        <f t="shared" si="247"/>
        <v>#N/A</v>
      </c>
      <c r="G6824" s="74">
        <v>29505</v>
      </c>
      <c r="H6824" s="77">
        <v>0.58333333333333337</v>
      </c>
      <c r="J6824">
        <v>64.400000000000006</v>
      </c>
      <c r="M6824" s="74">
        <v>36444</v>
      </c>
      <c r="N6824" s="77">
        <v>0.58333333333333337</v>
      </c>
      <c r="P6824">
        <v>68.180000000000007</v>
      </c>
      <c r="S6824" s="74">
        <v>37175</v>
      </c>
      <c r="T6824" s="77">
        <v>0.58333333333333337</v>
      </c>
      <c r="V6824">
        <v>69.080000000000013</v>
      </c>
      <c r="X6824" s="42"/>
      <c r="AB6824">
        <v>65</v>
      </c>
      <c r="AC6824">
        <v>64.94</v>
      </c>
      <c r="AE6824" s="74"/>
      <c r="AF6824" s="77"/>
      <c r="AH6824" s="497">
        <v>55.400000000000006</v>
      </c>
      <c r="AJ6824" s="42"/>
      <c r="AK6824" s="74"/>
      <c r="AL6824" s="77"/>
      <c r="AN6824" s="497">
        <v>55.040000000000006</v>
      </c>
      <c r="AP6824" s="42"/>
      <c r="AQ6824" s="74"/>
      <c r="AR6824" s="77"/>
      <c r="AT6824" s="497">
        <v>55.94</v>
      </c>
      <c r="AV6824" s="42"/>
      <c r="AW6824" s="74"/>
      <c r="AX6824" s="77"/>
      <c r="BA6824" s="497">
        <v>59</v>
      </c>
      <c r="BB6824" s="42"/>
      <c r="BC6824" s="74"/>
      <c r="BD6824" s="77"/>
      <c r="BF6824">
        <v>71.960000000000008</v>
      </c>
      <c r="BH6824" s="42"/>
      <c r="BI6824" s="74"/>
      <c r="BJ6824" s="77"/>
      <c r="BL6824" s="497">
        <v>75.92</v>
      </c>
      <c r="BN6824" s="42"/>
      <c r="BO6824" s="74"/>
      <c r="BP6824" s="77"/>
      <c r="BR6824" s="497">
        <v>59</v>
      </c>
      <c r="BT6824" s="42"/>
    </row>
    <row r="6825" spans="1:72" x14ac:dyDescent="0.25">
      <c r="A6825" s="90">
        <v>37175</v>
      </c>
      <c r="B6825" s="20">
        <v>0.625</v>
      </c>
      <c r="D6825">
        <v>71.06</v>
      </c>
      <c r="E6825" t="str">
        <f t="shared" si="248"/>
        <v>WEEKDAY</v>
      </c>
      <c r="F6825" t="e">
        <f t="shared" si="247"/>
        <v>#N/A</v>
      </c>
      <c r="G6825" s="74">
        <v>29505</v>
      </c>
      <c r="H6825" s="77">
        <v>0.625</v>
      </c>
      <c r="J6825">
        <v>64.580000000000013</v>
      </c>
      <c r="M6825" s="74">
        <v>36444</v>
      </c>
      <c r="N6825" s="77">
        <v>0.625</v>
      </c>
      <c r="P6825">
        <v>68</v>
      </c>
      <c r="S6825" s="74">
        <v>37175</v>
      </c>
      <c r="T6825" s="77">
        <v>0.625</v>
      </c>
      <c r="V6825">
        <v>68</v>
      </c>
      <c r="X6825" s="42"/>
      <c r="AB6825">
        <v>65.2</v>
      </c>
      <c r="AC6825">
        <v>66.02</v>
      </c>
      <c r="AE6825" s="74"/>
      <c r="AF6825" s="77"/>
      <c r="AH6825" s="497">
        <v>57.2</v>
      </c>
      <c r="AJ6825" s="42"/>
      <c r="AK6825" s="74"/>
      <c r="AL6825" s="77"/>
      <c r="AN6825" s="497">
        <v>55.040000000000006</v>
      </c>
      <c r="AP6825" s="42"/>
      <c r="AQ6825" s="74"/>
      <c r="AR6825" s="77"/>
      <c r="AT6825" s="497">
        <v>57.019999999999996</v>
      </c>
      <c r="AV6825" s="42"/>
      <c r="AW6825" s="74"/>
      <c r="AX6825" s="77"/>
      <c r="BA6825" s="497">
        <v>60.08</v>
      </c>
      <c r="BB6825" s="42"/>
      <c r="BC6825" s="74"/>
      <c r="BD6825" s="77"/>
      <c r="BF6825">
        <v>71.960000000000008</v>
      </c>
      <c r="BH6825" s="42"/>
      <c r="BI6825" s="74"/>
      <c r="BJ6825" s="77"/>
      <c r="BL6825" s="497">
        <v>75.92</v>
      </c>
      <c r="BN6825" s="42"/>
      <c r="BO6825" s="74"/>
      <c r="BP6825" s="77"/>
      <c r="BR6825" s="497">
        <v>60.08</v>
      </c>
      <c r="BT6825" s="42"/>
    </row>
    <row r="6826" spans="1:72" x14ac:dyDescent="0.25">
      <c r="A6826" s="90">
        <v>37175</v>
      </c>
      <c r="B6826" s="20">
        <v>0.66666666666666663</v>
      </c>
      <c r="D6826">
        <v>71.06</v>
      </c>
      <c r="E6826" t="str">
        <f t="shared" si="248"/>
        <v>WEEKDAY</v>
      </c>
      <c r="F6826" t="e">
        <f t="shared" si="247"/>
        <v>#N/A</v>
      </c>
      <c r="G6826" s="74">
        <v>29505</v>
      </c>
      <c r="H6826" s="77">
        <v>0.66666666666666663</v>
      </c>
      <c r="J6826">
        <v>64.94</v>
      </c>
      <c r="M6826" s="74">
        <v>36444</v>
      </c>
      <c r="N6826" s="77">
        <v>0.66666666666666663</v>
      </c>
      <c r="P6826">
        <v>66.740000000000009</v>
      </c>
      <c r="S6826" s="74">
        <v>37175</v>
      </c>
      <c r="T6826" s="77">
        <v>0.66666666666666663</v>
      </c>
      <c r="V6826">
        <v>66.92</v>
      </c>
      <c r="X6826" s="42"/>
      <c r="AB6826">
        <v>65</v>
      </c>
      <c r="AC6826">
        <v>64.94</v>
      </c>
      <c r="AE6826" s="74"/>
      <c r="AF6826" s="77"/>
      <c r="AH6826" s="497">
        <v>55.400000000000006</v>
      </c>
      <c r="AJ6826" s="42"/>
      <c r="AK6826" s="74"/>
      <c r="AL6826" s="77"/>
      <c r="AN6826" s="497">
        <v>55.040000000000006</v>
      </c>
      <c r="AP6826" s="42"/>
      <c r="AQ6826" s="74"/>
      <c r="AR6826" s="77"/>
      <c r="AT6826" s="497">
        <v>57.019999999999996</v>
      </c>
      <c r="AV6826" s="42"/>
      <c r="AW6826" s="74"/>
      <c r="AX6826" s="77"/>
      <c r="BA6826" s="497">
        <v>59</v>
      </c>
      <c r="BB6826" s="42"/>
      <c r="BC6826" s="74"/>
      <c r="BD6826" s="77"/>
      <c r="BF6826">
        <v>71.06</v>
      </c>
      <c r="BH6826" s="42"/>
      <c r="BI6826" s="74"/>
      <c r="BJ6826" s="77"/>
      <c r="BL6826" s="497">
        <v>75.02</v>
      </c>
      <c r="BN6826" s="42"/>
      <c r="BO6826" s="74"/>
      <c r="BP6826" s="77"/>
      <c r="BR6826" s="497">
        <v>59</v>
      </c>
      <c r="BT6826" s="42"/>
    </row>
    <row r="6827" spans="1:72" x14ac:dyDescent="0.25">
      <c r="A6827" s="90">
        <v>37175</v>
      </c>
      <c r="B6827" s="20">
        <v>0.70833333333333337</v>
      </c>
      <c r="D6827">
        <v>68</v>
      </c>
      <c r="E6827" t="str">
        <f t="shared" si="248"/>
        <v>WEEKDAY</v>
      </c>
      <c r="F6827" t="e">
        <f t="shared" ref="F6827:F6890" si="249">IF(E6827="WEEKDAY",VLOOKUP(B6827,$DD$19:$DG$42,2),IF(E6827="SATURDAY",VLOOKUP(B6827,$DD$19:$DG$42,3),VLOOKUP(B6827,$DD$19:$DG$42,4)))</f>
        <v>#N/A</v>
      </c>
      <c r="G6827" s="74">
        <v>29505</v>
      </c>
      <c r="H6827" s="77">
        <v>0.70833333333333337</v>
      </c>
      <c r="J6827">
        <v>63.319999999999993</v>
      </c>
      <c r="M6827" s="74">
        <v>36444</v>
      </c>
      <c r="N6827" s="77">
        <v>0.70833333333333337</v>
      </c>
      <c r="P6827">
        <v>64.400000000000006</v>
      </c>
      <c r="S6827" s="74">
        <v>37175</v>
      </c>
      <c r="T6827" s="77">
        <v>0.70833333333333337</v>
      </c>
      <c r="V6827">
        <v>64.94</v>
      </c>
      <c r="X6827" s="42"/>
      <c r="AB6827">
        <v>64.099999999999994</v>
      </c>
      <c r="AC6827">
        <v>62.06</v>
      </c>
      <c r="AE6827" s="74"/>
      <c r="AF6827" s="77"/>
      <c r="AH6827" s="497">
        <v>55.400000000000006</v>
      </c>
      <c r="AJ6827" s="42"/>
      <c r="AK6827" s="74"/>
      <c r="AL6827" s="77"/>
      <c r="AN6827" s="497">
        <v>53.06</v>
      </c>
      <c r="AP6827" s="42"/>
      <c r="AQ6827" s="74"/>
      <c r="AR6827" s="77"/>
      <c r="AT6827" s="497">
        <v>55.040000000000006</v>
      </c>
      <c r="AV6827" s="42"/>
      <c r="AW6827" s="74"/>
      <c r="AX6827" s="77"/>
      <c r="BA6827" s="497">
        <v>57.019999999999996</v>
      </c>
      <c r="BB6827" s="42"/>
      <c r="BC6827" s="74"/>
      <c r="BD6827" s="77"/>
      <c r="BF6827">
        <v>71.06</v>
      </c>
      <c r="BH6827" s="42"/>
      <c r="BI6827" s="74"/>
      <c r="BJ6827" s="77"/>
      <c r="BL6827" s="497">
        <v>73.039999999999992</v>
      </c>
      <c r="BN6827" s="42"/>
      <c r="BO6827" s="74"/>
      <c r="BP6827" s="77"/>
      <c r="BR6827" s="497">
        <v>55.040000000000006</v>
      </c>
      <c r="BT6827" s="42"/>
    </row>
    <row r="6828" spans="1:72" x14ac:dyDescent="0.25">
      <c r="A6828" s="90">
        <v>37175</v>
      </c>
      <c r="B6828" s="20">
        <v>0.75</v>
      </c>
      <c r="D6828">
        <v>66.92</v>
      </c>
      <c r="E6828" t="str">
        <f t="shared" si="248"/>
        <v>WEEKDAY</v>
      </c>
      <c r="F6828" t="e">
        <f t="shared" si="249"/>
        <v>#N/A</v>
      </c>
      <c r="G6828" s="74">
        <v>29505</v>
      </c>
      <c r="H6828" s="77">
        <v>0.75</v>
      </c>
      <c r="J6828">
        <v>61.7</v>
      </c>
      <c r="M6828" s="74">
        <v>36444</v>
      </c>
      <c r="N6828" s="77">
        <v>0.75</v>
      </c>
      <c r="P6828">
        <v>55.400000000000006</v>
      </c>
      <c r="S6828" s="74">
        <v>37175</v>
      </c>
      <c r="T6828" s="77">
        <v>0.75</v>
      </c>
      <c r="V6828">
        <v>64.039999999999992</v>
      </c>
      <c r="X6828" s="42"/>
      <c r="AB6828">
        <v>62.6</v>
      </c>
      <c r="AC6828">
        <v>59</v>
      </c>
      <c r="AE6828" s="74"/>
      <c r="AF6828" s="77"/>
      <c r="AH6828" s="497">
        <v>55.400000000000006</v>
      </c>
      <c r="AJ6828" s="42"/>
      <c r="AK6828" s="74"/>
      <c r="AL6828" s="77"/>
      <c r="AN6828" s="497">
        <v>48.92</v>
      </c>
      <c r="AP6828" s="42"/>
      <c r="AQ6828" s="74"/>
      <c r="AR6828" s="77"/>
      <c r="AT6828" s="497">
        <v>50</v>
      </c>
      <c r="AV6828" s="42"/>
      <c r="AW6828" s="74"/>
      <c r="AX6828" s="77"/>
      <c r="BA6828" s="497">
        <v>51.980000000000004</v>
      </c>
      <c r="BB6828" s="42"/>
      <c r="BC6828" s="74"/>
      <c r="BD6828" s="77"/>
      <c r="BF6828">
        <v>66.02</v>
      </c>
      <c r="BH6828" s="42"/>
      <c r="BI6828" s="74"/>
      <c r="BJ6828" s="77"/>
      <c r="BL6828" s="497">
        <v>68</v>
      </c>
      <c r="BN6828" s="42"/>
      <c r="BO6828" s="74"/>
      <c r="BP6828" s="77"/>
      <c r="BR6828" s="497">
        <v>44.06</v>
      </c>
      <c r="BT6828" s="42"/>
    </row>
    <row r="6829" spans="1:72" x14ac:dyDescent="0.25">
      <c r="A6829" s="90">
        <v>37175</v>
      </c>
      <c r="B6829" s="20">
        <v>0.79166666666666663</v>
      </c>
      <c r="D6829">
        <v>66.02</v>
      </c>
      <c r="E6829" t="str">
        <f t="shared" si="248"/>
        <v>WEEKDAY</v>
      </c>
      <c r="F6829" t="e">
        <f t="shared" si="249"/>
        <v>#N/A</v>
      </c>
      <c r="G6829" s="74">
        <v>29505</v>
      </c>
      <c r="H6829" s="77">
        <v>0.79166666666666663</v>
      </c>
      <c r="J6829">
        <v>60.08</v>
      </c>
      <c r="M6829" s="74">
        <v>36444</v>
      </c>
      <c r="N6829" s="77">
        <v>0.79166666666666663</v>
      </c>
      <c r="P6829">
        <v>55.040000000000006</v>
      </c>
      <c r="S6829" s="74">
        <v>37175</v>
      </c>
      <c r="T6829" s="77">
        <v>0.79166666666666663</v>
      </c>
      <c r="V6829">
        <v>62.96</v>
      </c>
      <c r="X6829" s="42"/>
      <c r="AB6829">
        <v>61.2</v>
      </c>
      <c r="AC6829">
        <v>57.019999999999996</v>
      </c>
      <c r="AE6829" s="74"/>
      <c r="AF6829" s="77"/>
      <c r="AH6829" s="497">
        <v>55.400000000000006</v>
      </c>
      <c r="AJ6829" s="42"/>
      <c r="AK6829" s="74"/>
      <c r="AL6829" s="77"/>
      <c r="AN6829" s="497">
        <v>46.94</v>
      </c>
      <c r="AP6829" s="42"/>
      <c r="AQ6829" s="74"/>
      <c r="AR6829" s="77"/>
      <c r="AT6829" s="497">
        <v>42.980000000000004</v>
      </c>
      <c r="AV6829" s="42"/>
      <c r="AW6829" s="74"/>
      <c r="AX6829" s="77"/>
      <c r="BA6829" s="497">
        <v>48.92</v>
      </c>
      <c r="BB6829" s="42"/>
      <c r="BC6829" s="74"/>
      <c r="BD6829" s="77"/>
      <c r="BF6829">
        <v>62.96</v>
      </c>
      <c r="BH6829" s="42"/>
      <c r="BI6829" s="74"/>
      <c r="BJ6829" s="77"/>
      <c r="BL6829" s="497">
        <v>66.92</v>
      </c>
      <c r="BN6829" s="42"/>
      <c r="BO6829" s="74"/>
      <c r="BP6829" s="77"/>
      <c r="BR6829" s="497">
        <v>39.019999999999996</v>
      </c>
      <c r="BT6829" s="42"/>
    </row>
    <row r="6830" spans="1:72" x14ac:dyDescent="0.25">
      <c r="A6830" s="90">
        <v>37175</v>
      </c>
      <c r="B6830" s="20">
        <v>0.83333333333333337</v>
      </c>
      <c r="D6830">
        <v>66.92</v>
      </c>
      <c r="E6830" t="str">
        <f t="shared" si="248"/>
        <v>WEEKDAY</v>
      </c>
      <c r="F6830" t="e">
        <f t="shared" si="249"/>
        <v>#N/A</v>
      </c>
      <c r="G6830" s="74">
        <v>29505</v>
      </c>
      <c r="H6830" s="77">
        <v>0.83333333333333337</v>
      </c>
      <c r="J6830">
        <v>59</v>
      </c>
      <c r="M6830" s="74">
        <v>36444</v>
      </c>
      <c r="N6830" s="77">
        <v>0.83333333333333337</v>
      </c>
      <c r="P6830">
        <v>55.22</v>
      </c>
      <c r="S6830" s="74">
        <v>37175</v>
      </c>
      <c r="T6830" s="77">
        <v>0.83333333333333337</v>
      </c>
      <c r="V6830">
        <v>62.96</v>
      </c>
      <c r="X6830" s="42"/>
      <c r="AB6830">
        <v>60.4</v>
      </c>
      <c r="AC6830">
        <v>51.980000000000004</v>
      </c>
      <c r="AE6830" s="74"/>
      <c r="AF6830" s="77"/>
      <c r="AH6830" s="497">
        <v>55.400000000000006</v>
      </c>
      <c r="AJ6830" s="42"/>
      <c r="AK6830" s="74"/>
      <c r="AL6830" s="77"/>
      <c r="AN6830" s="497">
        <v>44.96</v>
      </c>
      <c r="AP6830" s="42"/>
      <c r="AQ6830" s="74"/>
      <c r="AR6830" s="77"/>
      <c r="AT6830" s="497">
        <v>41</v>
      </c>
      <c r="AV6830" s="42"/>
      <c r="AW6830" s="74"/>
      <c r="AX6830" s="77"/>
      <c r="BA6830" s="497">
        <v>44.96</v>
      </c>
      <c r="BB6830" s="42"/>
      <c r="BC6830" s="74"/>
      <c r="BD6830" s="77"/>
      <c r="BF6830">
        <v>60.980000000000004</v>
      </c>
      <c r="BH6830" s="42"/>
      <c r="BI6830" s="74"/>
      <c r="BJ6830" s="77"/>
      <c r="BL6830" s="497">
        <v>64.039999999999992</v>
      </c>
      <c r="BN6830" s="42"/>
      <c r="BO6830" s="74"/>
      <c r="BP6830" s="77"/>
      <c r="BR6830" s="497">
        <v>37.94</v>
      </c>
      <c r="BT6830" s="42"/>
    </row>
    <row r="6831" spans="1:72" x14ac:dyDescent="0.25">
      <c r="A6831" s="90">
        <v>37175</v>
      </c>
      <c r="B6831" s="20">
        <v>0.875</v>
      </c>
      <c r="D6831">
        <v>66.02</v>
      </c>
      <c r="E6831" t="str">
        <f t="shared" si="248"/>
        <v>WEEKDAY</v>
      </c>
      <c r="F6831" t="e">
        <f t="shared" si="249"/>
        <v>#N/A</v>
      </c>
      <c r="G6831" s="74">
        <v>29505</v>
      </c>
      <c r="H6831" s="77">
        <v>0.875</v>
      </c>
      <c r="J6831">
        <v>58.1</v>
      </c>
      <c r="M6831" s="74">
        <v>36444</v>
      </c>
      <c r="N6831" s="77">
        <v>0.875</v>
      </c>
      <c r="P6831">
        <v>55.400000000000006</v>
      </c>
      <c r="S6831" s="74">
        <v>37175</v>
      </c>
      <c r="T6831" s="77">
        <v>0.875</v>
      </c>
      <c r="V6831">
        <v>60.980000000000004</v>
      </c>
      <c r="X6831" s="42"/>
      <c r="AB6831">
        <v>59.7</v>
      </c>
      <c r="AC6831">
        <v>50</v>
      </c>
      <c r="AE6831" s="74"/>
      <c r="AF6831" s="77"/>
      <c r="AH6831" s="497">
        <v>57.2</v>
      </c>
      <c r="AJ6831" s="42"/>
      <c r="AK6831" s="74"/>
      <c r="AL6831" s="77"/>
      <c r="AN6831" s="497">
        <v>44.96</v>
      </c>
      <c r="AP6831" s="42"/>
      <c r="AQ6831" s="74"/>
      <c r="AR6831" s="77"/>
      <c r="AT6831" s="497">
        <v>37.94</v>
      </c>
      <c r="AV6831" s="42"/>
      <c r="AW6831" s="74"/>
      <c r="AX6831" s="77"/>
      <c r="BA6831" s="497">
        <v>44.96</v>
      </c>
      <c r="BB6831" s="42"/>
      <c r="BC6831" s="74"/>
      <c r="BD6831" s="77"/>
      <c r="BF6831">
        <v>60.08</v>
      </c>
      <c r="BH6831" s="42"/>
      <c r="BI6831" s="74"/>
      <c r="BJ6831" s="77"/>
      <c r="BL6831" s="497">
        <v>60.980000000000004</v>
      </c>
      <c r="BN6831" s="42"/>
      <c r="BO6831" s="74"/>
      <c r="BP6831" s="77"/>
      <c r="BR6831" s="497">
        <v>37.94</v>
      </c>
      <c r="BT6831" s="42"/>
    </row>
    <row r="6832" spans="1:72" x14ac:dyDescent="0.25">
      <c r="A6832" s="90">
        <v>37175</v>
      </c>
      <c r="B6832" s="20">
        <v>0.91666666666666663</v>
      </c>
      <c r="D6832">
        <v>66.02</v>
      </c>
      <c r="E6832" t="str">
        <f t="shared" si="248"/>
        <v>WEEKDAY</v>
      </c>
      <c r="F6832" t="e">
        <f t="shared" si="249"/>
        <v>#N/A</v>
      </c>
      <c r="G6832" s="74">
        <v>29505</v>
      </c>
      <c r="H6832" s="77">
        <v>0.91666666666666663</v>
      </c>
      <c r="J6832">
        <v>57.019999999999996</v>
      </c>
      <c r="M6832" s="74">
        <v>36444</v>
      </c>
      <c r="N6832" s="77">
        <v>0.91666666666666663</v>
      </c>
      <c r="P6832">
        <v>53.6</v>
      </c>
      <c r="S6832" s="74">
        <v>37175</v>
      </c>
      <c r="T6832" s="77">
        <v>0.91666666666666663</v>
      </c>
      <c r="V6832">
        <v>60.980000000000004</v>
      </c>
      <c r="X6832" s="42"/>
      <c r="AB6832">
        <v>59.2</v>
      </c>
      <c r="AC6832">
        <v>46.94</v>
      </c>
      <c r="AE6832" s="74"/>
      <c r="AF6832" s="77"/>
      <c r="AH6832" s="497">
        <v>55.400000000000006</v>
      </c>
      <c r="AJ6832" s="42"/>
      <c r="AK6832" s="74"/>
      <c r="AL6832" s="77"/>
      <c r="AN6832" s="497">
        <v>42.980000000000004</v>
      </c>
      <c r="AP6832" s="42"/>
      <c r="AQ6832" s="74"/>
      <c r="AR6832" s="77"/>
      <c r="AT6832" s="497">
        <v>37.04</v>
      </c>
      <c r="AV6832" s="42"/>
      <c r="AW6832" s="74"/>
      <c r="AX6832" s="77"/>
      <c r="BA6832" s="497">
        <v>42.980000000000004</v>
      </c>
      <c r="BB6832" s="42"/>
      <c r="BC6832" s="74"/>
      <c r="BD6832" s="77"/>
      <c r="BF6832">
        <v>60.08</v>
      </c>
      <c r="BH6832" s="42"/>
      <c r="BI6832" s="74"/>
      <c r="BJ6832" s="77"/>
      <c r="BL6832" s="497">
        <v>60.08</v>
      </c>
      <c r="BN6832" s="42"/>
      <c r="BO6832" s="74"/>
      <c r="BP6832" s="77"/>
      <c r="BR6832" s="497">
        <v>35.06</v>
      </c>
      <c r="BT6832" s="42"/>
    </row>
    <row r="6833" spans="1:72" x14ac:dyDescent="0.25">
      <c r="A6833" s="90">
        <v>37175</v>
      </c>
      <c r="B6833" s="20">
        <v>0.95833333333333337</v>
      </c>
      <c r="D6833">
        <v>64.94</v>
      </c>
      <c r="E6833" t="str">
        <f t="shared" si="248"/>
        <v>WEEKDAY</v>
      </c>
      <c r="F6833" t="e">
        <f t="shared" si="249"/>
        <v>#N/A</v>
      </c>
      <c r="G6833" s="74">
        <v>29505</v>
      </c>
      <c r="H6833" s="77">
        <v>0.95833333333333337</v>
      </c>
      <c r="J6833">
        <v>57.379999999999995</v>
      </c>
      <c r="M6833" s="74">
        <v>36444</v>
      </c>
      <c r="N6833" s="77">
        <v>0.95833333333333337</v>
      </c>
      <c r="P6833">
        <v>53.6</v>
      </c>
      <c r="S6833" s="74">
        <v>37175</v>
      </c>
      <c r="T6833" s="77">
        <v>0.95833333333333337</v>
      </c>
      <c r="V6833">
        <v>59</v>
      </c>
      <c r="X6833" s="42"/>
      <c r="AB6833">
        <v>58.4</v>
      </c>
      <c r="AC6833">
        <v>44.96</v>
      </c>
      <c r="AE6833" s="74"/>
      <c r="AF6833" s="77"/>
      <c r="AH6833" s="497">
        <v>55.400000000000006</v>
      </c>
      <c r="AJ6833" s="42"/>
      <c r="AK6833" s="74"/>
      <c r="AL6833" s="77"/>
      <c r="AN6833" s="497">
        <v>42.08</v>
      </c>
      <c r="AP6833" s="42"/>
      <c r="AQ6833" s="74"/>
      <c r="AR6833" s="77"/>
      <c r="AT6833" s="497">
        <v>35.96</v>
      </c>
      <c r="AV6833" s="42"/>
      <c r="AW6833" s="74"/>
      <c r="AX6833" s="77"/>
      <c r="BA6833" s="497">
        <v>44.06</v>
      </c>
      <c r="BB6833" s="42"/>
      <c r="BC6833" s="74"/>
      <c r="BD6833" s="77"/>
      <c r="BF6833">
        <v>60.980000000000004</v>
      </c>
      <c r="BH6833" s="42"/>
      <c r="BI6833" s="74"/>
      <c r="BJ6833" s="77"/>
      <c r="BL6833" s="497">
        <v>57.92</v>
      </c>
      <c r="BN6833" s="42"/>
      <c r="BO6833" s="74"/>
      <c r="BP6833" s="77"/>
      <c r="BR6833" s="497">
        <v>35.96</v>
      </c>
      <c r="BT6833" s="42"/>
    </row>
    <row r="6834" spans="1:72" x14ac:dyDescent="0.25">
      <c r="A6834" s="90">
        <v>37175</v>
      </c>
      <c r="B6834" s="20">
        <v>1</v>
      </c>
      <c r="D6834">
        <v>62.96</v>
      </c>
      <c r="E6834" t="str">
        <f t="shared" si="248"/>
        <v>WEEKDAY</v>
      </c>
      <c r="F6834" t="e">
        <f t="shared" si="249"/>
        <v>#N/A</v>
      </c>
      <c r="G6834" s="74">
        <v>29505</v>
      </c>
      <c r="H6834" s="77">
        <v>1</v>
      </c>
      <c r="J6834">
        <v>57.56</v>
      </c>
      <c r="M6834" s="74">
        <v>36444</v>
      </c>
      <c r="N6834" s="80">
        <v>1</v>
      </c>
      <c r="P6834">
        <v>51.8</v>
      </c>
      <c r="S6834" s="74">
        <v>37175</v>
      </c>
      <c r="T6834" s="80">
        <v>1</v>
      </c>
      <c r="V6834">
        <v>57.92</v>
      </c>
      <c r="X6834" s="42"/>
      <c r="AB6834">
        <v>57.8</v>
      </c>
      <c r="AC6834">
        <v>42.08</v>
      </c>
      <c r="AE6834" s="74"/>
      <c r="AF6834" s="80"/>
      <c r="AH6834" s="497">
        <v>55.400000000000006</v>
      </c>
      <c r="AJ6834" s="42"/>
      <c r="AK6834" s="74"/>
      <c r="AL6834" s="80"/>
      <c r="AN6834" s="497">
        <v>41</v>
      </c>
      <c r="AP6834" s="42"/>
      <c r="AQ6834" s="74"/>
      <c r="AR6834" s="80"/>
      <c r="AT6834" s="497">
        <v>35.06</v>
      </c>
      <c r="AV6834" s="42"/>
      <c r="AW6834" s="74"/>
      <c r="AX6834" s="80"/>
      <c r="BA6834" s="497">
        <v>42.980000000000004</v>
      </c>
      <c r="BB6834" s="42"/>
      <c r="BC6834" s="74"/>
      <c r="BD6834" s="80"/>
      <c r="BF6834">
        <v>60.08</v>
      </c>
      <c r="BH6834" s="42"/>
      <c r="BI6834" s="74"/>
      <c r="BJ6834" s="80"/>
      <c r="BL6834" s="497">
        <v>59</v>
      </c>
      <c r="BN6834" s="42"/>
      <c r="BO6834" s="74"/>
      <c r="BP6834" s="80"/>
      <c r="BR6834" s="497">
        <v>33.08</v>
      </c>
      <c r="BT6834" s="42"/>
    </row>
    <row r="6835" spans="1:72" x14ac:dyDescent="0.25">
      <c r="A6835" s="90">
        <v>37176</v>
      </c>
      <c r="B6835" s="20">
        <v>4.1666666666666664E-2</v>
      </c>
      <c r="D6835">
        <v>62.06</v>
      </c>
      <c r="E6835" t="str">
        <f t="shared" si="248"/>
        <v>WEEKDAY</v>
      </c>
      <c r="F6835" t="e">
        <f t="shared" si="249"/>
        <v>#N/A</v>
      </c>
      <c r="G6835" s="74">
        <v>29506</v>
      </c>
      <c r="H6835" s="77">
        <v>4.1666666666666664E-2</v>
      </c>
      <c r="J6835">
        <v>57.92</v>
      </c>
      <c r="M6835" s="74">
        <v>36445</v>
      </c>
      <c r="N6835" s="77">
        <v>4.1666666666666664E-2</v>
      </c>
      <c r="P6835">
        <v>46.4</v>
      </c>
      <c r="S6835" s="74">
        <v>37176</v>
      </c>
      <c r="T6835" s="77">
        <v>4.1666666666666664E-2</v>
      </c>
      <c r="V6835">
        <v>55.94</v>
      </c>
      <c r="X6835" s="42"/>
      <c r="AB6835">
        <v>57.1</v>
      </c>
      <c r="AC6835">
        <v>41</v>
      </c>
      <c r="AE6835" s="74"/>
      <c r="AF6835" s="77"/>
      <c r="AH6835" s="497">
        <v>55.400000000000006</v>
      </c>
      <c r="AJ6835" s="42"/>
      <c r="AK6835" s="74"/>
      <c r="AL6835" s="77"/>
      <c r="AN6835" s="497">
        <v>41</v>
      </c>
      <c r="AP6835" s="42"/>
      <c r="AQ6835" s="74"/>
      <c r="AR6835" s="77"/>
      <c r="AT6835" s="497">
        <v>33.979999999999997</v>
      </c>
      <c r="AV6835" s="42"/>
      <c r="AW6835" s="74"/>
      <c r="AX6835" s="77"/>
      <c r="BA6835" s="497">
        <v>42.980000000000004</v>
      </c>
      <c r="BB6835" s="42"/>
      <c r="BC6835" s="74"/>
      <c r="BD6835" s="77"/>
      <c r="BF6835">
        <v>57.92</v>
      </c>
      <c r="BH6835" s="42"/>
      <c r="BI6835" s="74"/>
      <c r="BJ6835" s="77"/>
      <c r="BL6835" s="497">
        <v>60.980000000000004</v>
      </c>
      <c r="BN6835" s="42"/>
      <c r="BO6835" s="74"/>
      <c r="BP6835" s="77"/>
      <c r="BR6835" s="497">
        <v>39.019999999999996</v>
      </c>
      <c r="BT6835" s="42"/>
    </row>
    <row r="6836" spans="1:72" x14ac:dyDescent="0.25">
      <c r="A6836" s="90">
        <v>37176</v>
      </c>
      <c r="B6836" s="20">
        <v>8.3333333333333329E-2</v>
      </c>
      <c r="D6836">
        <v>62.06</v>
      </c>
      <c r="E6836" t="str">
        <f t="shared" si="248"/>
        <v>WEEKDAY</v>
      </c>
      <c r="F6836" t="e">
        <f t="shared" si="249"/>
        <v>#N/A</v>
      </c>
      <c r="G6836" s="74">
        <v>29506</v>
      </c>
      <c r="H6836" s="77">
        <v>8.3333333333333329E-2</v>
      </c>
      <c r="J6836">
        <v>56.66</v>
      </c>
      <c r="M6836" s="74">
        <v>36445</v>
      </c>
      <c r="N6836" s="77">
        <v>8.3333333333333329E-2</v>
      </c>
      <c r="P6836">
        <v>48.2</v>
      </c>
      <c r="S6836" s="74">
        <v>37176</v>
      </c>
      <c r="T6836" s="77">
        <v>8.3333333333333329E-2</v>
      </c>
      <c r="V6836">
        <v>55.94</v>
      </c>
      <c r="X6836" s="42"/>
      <c r="AB6836">
        <v>56.4</v>
      </c>
      <c r="AC6836">
        <v>37.94</v>
      </c>
      <c r="AE6836" s="74"/>
      <c r="AF6836" s="77"/>
      <c r="AH6836" s="497">
        <v>55.400000000000006</v>
      </c>
      <c r="AJ6836" s="42"/>
      <c r="AK6836" s="74"/>
      <c r="AL6836" s="77"/>
      <c r="AN6836" s="497">
        <v>41</v>
      </c>
      <c r="AP6836" s="42"/>
      <c r="AQ6836" s="74"/>
      <c r="AR6836" s="77"/>
      <c r="AT6836" s="497">
        <v>33.08</v>
      </c>
      <c r="AV6836" s="42"/>
      <c r="AW6836" s="74"/>
      <c r="AX6836" s="77"/>
      <c r="BA6836" s="497">
        <v>39.92</v>
      </c>
      <c r="BB6836" s="42"/>
      <c r="BC6836" s="74"/>
      <c r="BD6836" s="77"/>
      <c r="BF6836">
        <v>57.92</v>
      </c>
      <c r="BH6836" s="42"/>
      <c r="BI6836" s="74"/>
      <c r="BJ6836" s="77"/>
      <c r="BL6836" s="497">
        <v>60.980000000000004</v>
      </c>
      <c r="BN6836" s="42"/>
      <c r="BO6836" s="74"/>
      <c r="BP6836" s="77"/>
      <c r="BR6836" s="497">
        <v>33.979999999999997</v>
      </c>
      <c r="BT6836" s="42"/>
    </row>
    <row r="6837" spans="1:72" x14ac:dyDescent="0.25">
      <c r="A6837" s="90">
        <v>37176</v>
      </c>
      <c r="B6837" s="20">
        <v>0.125</v>
      </c>
      <c r="D6837">
        <v>62.06</v>
      </c>
      <c r="E6837" t="str">
        <f t="shared" si="248"/>
        <v>WEEKDAY</v>
      </c>
      <c r="F6837" t="e">
        <f t="shared" si="249"/>
        <v>#N/A</v>
      </c>
      <c r="G6837" s="74">
        <v>29506</v>
      </c>
      <c r="H6837" s="77">
        <v>0.125</v>
      </c>
      <c r="J6837">
        <v>55.22</v>
      </c>
      <c r="M6837" s="74">
        <v>36445</v>
      </c>
      <c r="N6837" s="77">
        <v>0.125</v>
      </c>
      <c r="P6837">
        <v>47.84</v>
      </c>
      <c r="S6837" s="74">
        <v>37176</v>
      </c>
      <c r="T6837" s="77">
        <v>0.125</v>
      </c>
      <c r="V6837">
        <v>57.019999999999996</v>
      </c>
      <c r="X6837" s="42"/>
      <c r="AB6837">
        <v>55.7</v>
      </c>
      <c r="AC6837">
        <v>37.94</v>
      </c>
      <c r="AE6837" s="74"/>
      <c r="AF6837" s="77"/>
      <c r="AH6837" s="497">
        <v>55.400000000000006</v>
      </c>
      <c r="AJ6837" s="42"/>
      <c r="AK6837" s="74"/>
      <c r="AL6837" s="77"/>
      <c r="AN6837" s="497">
        <v>39.92</v>
      </c>
      <c r="AP6837" s="42"/>
      <c r="AQ6837" s="74"/>
      <c r="AR6837" s="77"/>
      <c r="AT6837" s="497">
        <v>33.08</v>
      </c>
      <c r="AV6837" s="42"/>
      <c r="AW6837" s="74"/>
      <c r="AX6837" s="77"/>
      <c r="BA6837" s="497">
        <v>39.92</v>
      </c>
      <c r="BB6837" s="42"/>
      <c r="BC6837" s="74"/>
      <c r="BD6837" s="77"/>
      <c r="BF6837">
        <v>57.92</v>
      </c>
      <c r="BH6837" s="42"/>
      <c r="BI6837" s="74"/>
      <c r="BJ6837" s="77"/>
      <c r="BL6837" s="497">
        <v>57.92</v>
      </c>
      <c r="BN6837" s="42"/>
      <c r="BO6837" s="74"/>
      <c r="BP6837" s="77"/>
      <c r="BR6837" s="497">
        <v>33.979999999999997</v>
      </c>
      <c r="BT6837" s="42"/>
    </row>
    <row r="6838" spans="1:72" x14ac:dyDescent="0.25">
      <c r="A6838" s="90">
        <v>37176</v>
      </c>
      <c r="B6838" s="20">
        <v>0.16666666666666666</v>
      </c>
      <c r="D6838">
        <v>60.08</v>
      </c>
      <c r="E6838" t="str">
        <f t="shared" si="248"/>
        <v>WEEKDAY</v>
      </c>
      <c r="F6838" t="e">
        <f t="shared" si="249"/>
        <v>#N/A</v>
      </c>
      <c r="G6838" s="74">
        <v>29506</v>
      </c>
      <c r="H6838" s="77">
        <v>0.16666666666666666</v>
      </c>
      <c r="J6838">
        <v>53.96</v>
      </c>
      <c r="M6838" s="74">
        <v>36445</v>
      </c>
      <c r="N6838" s="77">
        <v>0.16666666666666666</v>
      </c>
      <c r="P6838">
        <v>47.120000000000005</v>
      </c>
      <c r="S6838" s="74">
        <v>37176</v>
      </c>
      <c r="T6838" s="77">
        <v>0.16666666666666666</v>
      </c>
      <c r="V6838">
        <v>55.94</v>
      </c>
      <c r="X6838" s="42"/>
      <c r="AB6838">
        <v>55.3</v>
      </c>
      <c r="AC6838">
        <v>37.04</v>
      </c>
      <c r="AE6838" s="74"/>
      <c r="AF6838" s="77"/>
      <c r="AH6838" s="497">
        <v>55.400000000000006</v>
      </c>
      <c r="AJ6838" s="42"/>
      <c r="AK6838" s="74"/>
      <c r="AL6838" s="77"/>
      <c r="AN6838" s="497">
        <v>42.08</v>
      </c>
      <c r="AP6838" s="42"/>
      <c r="AQ6838" s="74"/>
      <c r="AR6838" s="77"/>
      <c r="AT6838" s="497">
        <v>33.979999999999997</v>
      </c>
      <c r="AV6838" s="42"/>
      <c r="AW6838" s="74"/>
      <c r="AX6838" s="77"/>
      <c r="BA6838" s="497">
        <v>37.94</v>
      </c>
      <c r="BB6838" s="42"/>
      <c r="BC6838" s="74"/>
      <c r="BD6838" s="77"/>
      <c r="BF6838">
        <v>55.94</v>
      </c>
      <c r="BH6838" s="42"/>
      <c r="BI6838" s="74"/>
      <c r="BJ6838" s="77"/>
      <c r="BL6838" s="497">
        <v>59</v>
      </c>
      <c r="BN6838" s="42"/>
      <c r="BO6838" s="74"/>
      <c r="BP6838" s="77"/>
      <c r="BR6838" s="497">
        <v>33.979999999999997</v>
      </c>
      <c r="BT6838" s="42"/>
    </row>
    <row r="6839" spans="1:72" x14ac:dyDescent="0.25">
      <c r="A6839" s="90">
        <v>37176</v>
      </c>
      <c r="B6839" s="20">
        <v>0.20833333333333334</v>
      </c>
      <c r="D6839">
        <v>60.08</v>
      </c>
      <c r="E6839" t="str">
        <f t="shared" si="248"/>
        <v>WEEKDAY</v>
      </c>
      <c r="F6839" t="e">
        <f t="shared" si="249"/>
        <v>#N/A</v>
      </c>
      <c r="G6839" s="74">
        <v>29506</v>
      </c>
      <c r="H6839" s="77">
        <v>0.20833333333333334</v>
      </c>
      <c r="J6839">
        <v>53.06</v>
      </c>
      <c r="M6839" s="74">
        <v>36445</v>
      </c>
      <c r="N6839" s="77">
        <v>0.20833333333333334</v>
      </c>
      <c r="P6839">
        <v>46.4</v>
      </c>
      <c r="S6839" s="74">
        <v>37176</v>
      </c>
      <c r="T6839" s="77">
        <v>0.20833333333333334</v>
      </c>
      <c r="V6839">
        <v>55.040000000000006</v>
      </c>
      <c r="X6839" s="42"/>
      <c r="AB6839">
        <v>54.9</v>
      </c>
      <c r="AC6839">
        <v>39.92</v>
      </c>
      <c r="AE6839" s="74"/>
      <c r="AF6839" s="77"/>
      <c r="AH6839" s="497">
        <v>55.400000000000006</v>
      </c>
      <c r="AJ6839" s="42"/>
      <c r="AK6839" s="74"/>
      <c r="AL6839" s="77"/>
      <c r="AN6839" s="497">
        <v>42.08</v>
      </c>
      <c r="AP6839" s="42"/>
      <c r="AQ6839" s="74"/>
      <c r="AR6839" s="77"/>
      <c r="AT6839" s="497">
        <v>35.96</v>
      </c>
      <c r="AV6839" s="42"/>
      <c r="AW6839" s="74"/>
      <c r="AX6839" s="77"/>
      <c r="BA6839" s="497">
        <v>37.94</v>
      </c>
      <c r="BB6839" s="42"/>
      <c r="BC6839" s="74"/>
      <c r="BD6839" s="77"/>
      <c r="BF6839">
        <v>55.94</v>
      </c>
      <c r="BH6839" s="42"/>
      <c r="BI6839" s="74"/>
      <c r="BJ6839" s="77"/>
      <c r="BL6839" s="497">
        <v>57.92</v>
      </c>
      <c r="BN6839" s="42"/>
      <c r="BO6839" s="74"/>
      <c r="BP6839" s="77"/>
      <c r="BR6839" s="497">
        <v>33.08</v>
      </c>
      <c r="BT6839" s="42"/>
    </row>
    <row r="6840" spans="1:72" x14ac:dyDescent="0.25">
      <c r="A6840" s="90">
        <v>37176</v>
      </c>
      <c r="B6840" s="20">
        <v>0.25</v>
      </c>
      <c r="D6840">
        <v>60.08</v>
      </c>
      <c r="E6840" t="str">
        <f t="shared" si="248"/>
        <v>WEEKDAY</v>
      </c>
      <c r="F6840" t="e">
        <f t="shared" si="249"/>
        <v>#N/A</v>
      </c>
      <c r="G6840" s="74">
        <v>29506</v>
      </c>
      <c r="H6840" s="77">
        <v>0.25</v>
      </c>
      <c r="J6840">
        <v>51.980000000000004</v>
      </c>
      <c r="M6840" s="74">
        <v>36445</v>
      </c>
      <c r="N6840" s="77">
        <v>0.25</v>
      </c>
      <c r="P6840">
        <v>42.8</v>
      </c>
      <c r="S6840" s="74">
        <v>37176</v>
      </c>
      <c r="T6840" s="77">
        <v>0.25</v>
      </c>
      <c r="V6840">
        <v>53.96</v>
      </c>
      <c r="X6840" s="42"/>
      <c r="AB6840">
        <v>54.7</v>
      </c>
      <c r="AC6840">
        <v>42.08</v>
      </c>
      <c r="AE6840" s="74"/>
      <c r="AF6840" s="77"/>
      <c r="AH6840" s="497">
        <v>55.400000000000006</v>
      </c>
      <c r="AJ6840" s="42"/>
      <c r="AK6840" s="74"/>
      <c r="AL6840" s="77"/>
      <c r="AN6840" s="497">
        <v>42.980000000000004</v>
      </c>
      <c r="AP6840" s="42"/>
      <c r="AQ6840" s="74"/>
      <c r="AR6840" s="77"/>
      <c r="AT6840" s="497">
        <v>35.96</v>
      </c>
      <c r="AV6840" s="42"/>
      <c r="AW6840" s="74"/>
      <c r="AX6840" s="77"/>
      <c r="BA6840" s="497">
        <v>39.019999999999996</v>
      </c>
      <c r="BB6840" s="42"/>
      <c r="BC6840" s="74"/>
      <c r="BD6840" s="77"/>
      <c r="BF6840">
        <v>57.019999999999996</v>
      </c>
      <c r="BH6840" s="42"/>
      <c r="BI6840" s="74"/>
      <c r="BJ6840" s="77"/>
      <c r="BL6840" s="497">
        <v>57.92</v>
      </c>
      <c r="BN6840" s="42"/>
      <c r="BO6840" s="74"/>
      <c r="BP6840" s="77"/>
      <c r="BR6840" s="497">
        <v>33.979999999999997</v>
      </c>
      <c r="BT6840" s="42"/>
    </row>
    <row r="6841" spans="1:72" x14ac:dyDescent="0.25">
      <c r="A6841" s="90">
        <v>37176</v>
      </c>
      <c r="B6841" s="20">
        <v>0.29166666666666669</v>
      </c>
      <c r="D6841">
        <v>60.08</v>
      </c>
      <c r="E6841" t="str">
        <f t="shared" si="248"/>
        <v>WEEKDAY</v>
      </c>
      <c r="F6841" t="e">
        <f t="shared" si="249"/>
        <v>#N/A</v>
      </c>
      <c r="G6841" s="74">
        <v>29506</v>
      </c>
      <c r="H6841" s="77">
        <v>0.29166666666666669</v>
      </c>
      <c r="J6841">
        <v>51.08</v>
      </c>
      <c r="M6841" s="74">
        <v>36445</v>
      </c>
      <c r="N6841" s="77">
        <v>0.29166666666666669</v>
      </c>
      <c r="P6841">
        <v>46.04</v>
      </c>
      <c r="S6841" s="74">
        <v>37176</v>
      </c>
      <c r="T6841" s="77">
        <v>0.29166666666666669</v>
      </c>
      <c r="V6841">
        <v>55.94</v>
      </c>
      <c r="X6841" s="42"/>
      <c r="AB6841">
        <v>54.5</v>
      </c>
      <c r="AC6841">
        <v>48.019999999999996</v>
      </c>
      <c r="AE6841" s="74"/>
      <c r="AF6841" s="77"/>
      <c r="AH6841" s="497">
        <v>55.400000000000006</v>
      </c>
      <c r="AJ6841" s="42"/>
      <c r="AK6841" s="74"/>
      <c r="AL6841" s="77"/>
      <c r="AN6841" s="497">
        <v>42.980000000000004</v>
      </c>
      <c r="AP6841" s="42"/>
      <c r="AQ6841" s="74"/>
      <c r="AR6841" s="77"/>
      <c r="AT6841" s="497">
        <v>35.06</v>
      </c>
      <c r="AV6841" s="42"/>
      <c r="AW6841" s="74"/>
      <c r="AX6841" s="77"/>
      <c r="BA6841" s="497">
        <v>37.94</v>
      </c>
      <c r="BB6841" s="42"/>
      <c r="BC6841" s="74"/>
      <c r="BD6841" s="77"/>
      <c r="BF6841">
        <v>57.019999999999996</v>
      </c>
      <c r="BH6841" s="42"/>
      <c r="BI6841" s="74"/>
      <c r="BJ6841" s="77"/>
      <c r="BL6841" s="497">
        <v>57.019999999999996</v>
      </c>
      <c r="BN6841" s="42"/>
      <c r="BO6841" s="74"/>
      <c r="BP6841" s="77"/>
      <c r="BR6841" s="497">
        <v>35.96</v>
      </c>
      <c r="BT6841" s="42"/>
    </row>
    <row r="6842" spans="1:72" x14ac:dyDescent="0.25">
      <c r="A6842" s="90">
        <v>37176</v>
      </c>
      <c r="B6842" s="20">
        <v>0.33333333333333331</v>
      </c>
      <c r="D6842">
        <v>62.96</v>
      </c>
      <c r="E6842" t="str">
        <f t="shared" si="248"/>
        <v>WEEKDAY</v>
      </c>
      <c r="F6842" t="e">
        <f t="shared" si="249"/>
        <v>#N/A</v>
      </c>
      <c r="G6842" s="74">
        <v>29506</v>
      </c>
      <c r="H6842" s="77">
        <v>0.33333333333333331</v>
      </c>
      <c r="J6842">
        <v>52.7</v>
      </c>
      <c r="M6842" s="74">
        <v>36445</v>
      </c>
      <c r="N6842" s="77">
        <v>0.33333333333333331</v>
      </c>
      <c r="P6842">
        <v>51.8</v>
      </c>
      <c r="S6842" s="74">
        <v>37176</v>
      </c>
      <c r="T6842" s="77">
        <v>0.33333333333333331</v>
      </c>
      <c r="V6842">
        <v>60.08</v>
      </c>
      <c r="X6842" s="42"/>
      <c r="AB6842">
        <v>55.4</v>
      </c>
      <c r="AC6842">
        <v>55.040000000000006</v>
      </c>
      <c r="AE6842" s="74"/>
      <c r="AF6842" s="77"/>
      <c r="AH6842" s="497">
        <v>55.400000000000006</v>
      </c>
      <c r="AJ6842" s="42"/>
      <c r="AK6842" s="74"/>
      <c r="AL6842" s="77"/>
      <c r="AN6842" s="497">
        <v>46.94</v>
      </c>
      <c r="AP6842" s="42"/>
      <c r="AQ6842" s="74"/>
      <c r="AR6842" s="77"/>
      <c r="AT6842" s="497">
        <v>39.92</v>
      </c>
      <c r="AV6842" s="42"/>
      <c r="AW6842" s="74"/>
      <c r="AX6842" s="77"/>
      <c r="BA6842" s="497">
        <v>44.06</v>
      </c>
      <c r="BB6842" s="42"/>
      <c r="BC6842" s="74"/>
      <c r="BD6842" s="77"/>
      <c r="BF6842">
        <v>59</v>
      </c>
      <c r="BH6842" s="42"/>
      <c r="BI6842" s="74"/>
      <c r="BJ6842" s="77"/>
      <c r="BL6842" s="497">
        <v>59</v>
      </c>
      <c r="BN6842" s="42"/>
      <c r="BO6842" s="74"/>
      <c r="BP6842" s="77"/>
      <c r="BR6842" s="497">
        <v>44.96</v>
      </c>
      <c r="BT6842" s="42"/>
    </row>
    <row r="6843" spans="1:72" x14ac:dyDescent="0.25">
      <c r="A6843" s="90">
        <v>37176</v>
      </c>
      <c r="B6843" s="20">
        <v>0.375</v>
      </c>
      <c r="D6843">
        <v>66.02</v>
      </c>
      <c r="E6843" t="str">
        <f t="shared" si="248"/>
        <v>WEEKDAY</v>
      </c>
      <c r="F6843" t="e">
        <f t="shared" si="249"/>
        <v>#N/A</v>
      </c>
      <c r="G6843" s="74">
        <v>29506</v>
      </c>
      <c r="H6843" s="77">
        <v>0.375</v>
      </c>
      <c r="J6843">
        <v>54.32</v>
      </c>
      <c r="M6843" s="74">
        <v>36445</v>
      </c>
      <c r="N6843" s="77">
        <v>0.375</v>
      </c>
      <c r="P6843">
        <v>55.400000000000006</v>
      </c>
      <c r="S6843" s="74">
        <v>37176</v>
      </c>
      <c r="T6843" s="77">
        <v>0.375</v>
      </c>
      <c r="V6843">
        <v>62.96</v>
      </c>
      <c r="X6843" s="42"/>
      <c r="AB6843">
        <v>57.7</v>
      </c>
      <c r="AC6843">
        <v>60.08</v>
      </c>
      <c r="AE6843" s="74"/>
      <c r="AF6843" s="77"/>
      <c r="AH6843" s="497">
        <v>55.400000000000006</v>
      </c>
      <c r="AJ6843" s="42"/>
      <c r="AK6843" s="74"/>
      <c r="AL6843" s="77"/>
      <c r="AN6843" s="497">
        <v>48.92</v>
      </c>
      <c r="AP6843" s="42"/>
      <c r="AQ6843" s="74"/>
      <c r="AR6843" s="77"/>
      <c r="AT6843" s="497">
        <v>46.04</v>
      </c>
      <c r="AV6843" s="42"/>
      <c r="AW6843" s="74"/>
      <c r="AX6843" s="77"/>
      <c r="BA6843" s="497">
        <v>50</v>
      </c>
      <c r="BB6843" s="42"/>
      <c r="BC6843" s="74"/>
      <c r="BD6843" s="77"/>
      <c r="BF6843">
        <v>60.08</v>
      </c>
      <c r="BH6843" s="42"/>
      <c r="BI6843" s="74"/>
      <c r="BJ6843" s="77"/>
      <c r="BL6843" s="497">
        <v>62.96</v>
      </c>
      <c r="BN6843" s="42"/>
      <c r="BO6843" s="74"/>
      <c r="BP6843" s="77"/>
      <c r="BR6843" s="497">
        <v>50</v>
      </c>
      <c r="BT6843" s="42"/>
    </row>
    <row r="6844" spans="1:72" x14ac:dyDescent="0.25">
      <c r="A6844" s="90">
        <v>37176</v>
      </c>
      <c r="B6844" s="20">
        <v>0.41666666666666669</v>
      </c>
      <c r="D6844">
        <v>68</v>
      </c>
      <c r="E6844" t="str">
        <f t="shared" si="248"/>
        <v>WEEKDAY</v>
      </c>
      <c r="F6844" t="e">
        <f t="shared" si="249"/>
        <v>#N/A</v>
      </c>
      <c r="G6844" s="74">
        <v>29506</v>
      </c>
      <c r="H6844" s="77">
        <v>0.41666666666666669</v>
      </c>
      <c r="J6844">
        <v>55.94</v>
      </c>
      <c r="M6844" s="74">
        <v>36445</v>
      </c>
      <c r="N6844" s="77">
        <v>0.41666666666666669</v>
      </c>
      <c r="P6844">
        <v>57.2</v>
      </c>
      <c r="S6844" s="74">
        <v>37176</v>
      </c>
      <c r="T6844" s="77">
        <v>0.41666666666666669</v>
      </c>
      <c r="V6844">
        <v>64.94</v>
      </c>
      <c r="X6844" s="42"/>
      <c r="AB6844">
        <v>59.8</v>
      </c>
      <c r="AC6844">
        <v>62.96</v>
      </c>
      <c r="AE6844" s="74"/>
      <c r="AF6844" s="77"/>
      <c r="AH6844" s="497">
        <v>57.2</v>
      </c>
      <c r="AJ6844" s="42"/>
      <c r="AK6844" s="74"/>
      <c r="AL6844" s="77"/>
      <c r="AN6844" s="497">
        <v>53.96</v>
      </c>
      <c r="AP6844" s="42"/>
      <c r="AQ6844" s="74"/>
      <c r="AR6844" s="77"/>
      <c r="AT6844" s="497">
        <v>51.980000000000004</v>
      </c>
      <c r="AV6844" s="42"/>
      <c r="AW6844" s="74"/>
      <c r="AX6844" s="77"/>
      <c r="BA6844" s="497">
        <v>57.019999999999996</v>
      </c>
      <c r="BB6844" s="42"/>
      <c r="BC6844" s="74"/>
      <c r="BD6844" s="77"/>
      <c r="BF6844">
        <v>62.96</v>
      </c>
      <c r="BH6844" s="42"/>
      <c r="BI6844" s="74"/>
      <c r="BJ6844" s="77"/>
      <c r="BL6844" s="497">
        <v>62.96</v>
      </c>
      <c r="BN6844" s="42"/>
      <c r="BO6844" s="74"/>
      <c r="BP6844" s="77"/>
      <c r="BR6844" s="497">
        <v>53.06</v>
      </c>
      <c r="BT6844" s="42"/>
    </row>
    <row r="6845" spans="1:72" x14ac:dyDescent="0.25">
      <c r="A6845" s="90">
        <v>37176</v>
      </c>
      <c r="B6845" s="20">
        <v>0.45833333333333331</v>
      </c>
      <c r="D6845">
        <v>71.06</v>
      </c>
      <c r="E6845" t="str">
        <f t="shared" si="248"/>
        <v>WEEKDAY</v>
      </c>
      <c r="F6845" t="e">
        <f t="shared" si="249"/>
        <v>#N/A</v>
      </c>
      <c r="G6845" s="74">
        <v>29506</v>
      </c>
      <c r="H6845" s="77">
        <v>0.45833333333333331</v>
      </c>
      <c r="J6845">
        <v>57.019999999999996</v>
      </c>
      <c r="M6845" s="74">
        <v>36445</v>
      </c>
      <c r="N6845" s="77">
        <v>0.45833333333333331</v>
      </c>
      <c r="P6845">
        <v>60.8</v>
      </c>
      <c r="S6845" s="74">
        <v>37176</v>
      </c>
      <c r="T6845" s="77">
        <v>0.45833333333333331</v>
      </c>
      <c r="V6845">
        <v>66.92</v>
      </c>
      <c r="X6845" s="42"/>
      <c r="AB6845">
        <v>61.5</v>
      </c>
      <c r="AC6845">
        <v>64.94</v>
      </c>
      <c r="AE6845" s="74"/>
      <c r="AF6845" s="77"/>
      <c r="AH6845" s="497">
        <v>55.400000000000006</v>
      </c>
      <c r="AJ6845" s="42"/>
      <c r="AK6845" s="74"/>
      <c r="AL6845" s="77"/>
      <c r="AN6845" s="497">
        <v>57.019999999999996</v>
      </c>
      <c r="AP6845" s="42"/>
      <c r="AQ6845" s="74"/>
      <c r="AR6845" s="77"/>
      <c r="AT6845" s="497">
        <v>53.96</v>
      </c>
      <c r="AV6845" s="42"/>
      <c r="AW6845" s="74"/>
      <c r="AX6845" s="77"/>
      <c r="BA6845" s="497">
        <v>60.08</v>
      </c>
      <c r="BB6845" s="42"/>
      <c r="BC6845" s="74"/>
      <c r="BD6845" s="77"/>
      <c r="BF6845">
        <v>64.039999999999992</v>
      </c>
      <c r="BH6845" s="42"/>
      <c r="BI6845" s="74"/>
      <c r="BJ6845" s="77"/>
      <c r="BL6845" s="497">
        <v>66.02</v>
      </c>
      <c r="BN6845" s="42"/>
      <c r="BO6845" s="74"/>
      <c r="BP6845" s="77"/>
      <c r="BR6845" s="497">
        <v>55.94</v>
      </c>
      <c r="BT6845" s="42"/>
    </row>
    <row r="6846" spans="1:72" x14ac:dyDescent="0.25">
      <c r="A6846" s="90">
        <v>37176</v>
      </c>
      <c r="B6846" s="20">
        <v>0.5</v>
      </c>
      <c r="D6846">
        <v>73.94</v>
      </c>
      <c r="E6846" t="str">
        <f t="shared" si="248"/>
        <v>WEEKDAY</v>
      </c>
      <c r="F6846" t="e">
        <f t="shared" si="249"/>
        <v>#N/A</v>
      </c>
      <c r="G6846" s="74">
        <v>29506</v>
      </c>
      <c r="H6846" s="77">
        <v>0.5</v>
      </c>
      <c r="J6846">
        <v>57.92</v>
      </c>
      <c r="M6846" s="74">
        <v>36445</v>
      </c>
      <c r="N6846" s="77">
        <v>0.5</v>
      </c>
      <c r="P6846">
        <v>62.6</v>
      </c>
      <c r="S6846" s="74">
        <v>37176</v>
      </c>
      <c r="T6846" s="77">
        <v>0.5</v>
      </c>
      <c r="V6846">
        <v>68</v>
      </c>
      <c r="X6846" s="42"/>
      <c r="AB6846">
        <v>63</v>
      </c>
      <c r="AC6846">
        <v>66.02</v>
      </c>
      <c r="AE6846" s="74"/>
      <c r="AF6846" s="77"/>
      <c r="AH6846" s="497">
        <v>57.2</v>
      </c>
      <c r="AJ6846" s="42"/>
      <c r="AK6846" s="74"/>
      <c r="AL6846" s="77"/>
      <c r="AN6846" s="497">
        <v>60.08</v>
      </c>
      <c r="AP6846" s="42"/>
      <c r="AQ6846" s="74"/>
      <c r="AR6846" s="77"/>
      <c r="AT6846" s="497">
        <v>57.019999999999996</v>
      </c>
      <c r="AV6846" s="42"/>
      <c r="AW6846" s="74"/>
      <c r="AX6846" s="77"/>
      <c r="BA6846" s="497">
        <v>64.039999999999992</v>
      </c>
      <c r="BB6846" s="42"/>
      <c r="BC6846" s="74"/>
      <c r="BD6846" s="77"/>
      <c r="BF6846">
        <v>62.96</v>
      </c>
      <c r="BH6846" s="42"/>
      <c r="BI6846" s="74"/>
      <c r="BJ6846" s="77"/>
      <c r="BL6846" s="497">
        <v>68</v>
      </c>
      <c r="BN6846" s="42"/>
      <c r="BO6846" s="74"/>
      <c r="BP6846" s="77"/>
      <c r="BR6846" s="497">
        <v>57.92</v>
      </c>
      <c r="BT6846" s="42"/>
    </row>
    <row r="6847" spans="1:72" x14ac:dyDescent="0.25">
      <c r="A6847" s="90">
        <v>37176</v>
      </c>
      <c r="B6847" s="20">
        <v>0.54166666666666663</v>
      </c>
      <c r="D6847">
        <v>75.02</v>
      </c>
      <c r="E6847" t="str">
        <f t="shared" si="248"/>
        <v>WEEKDAY</v>
      </c>
      <c r="F6847" t="e">
        <f t="shared" si="249"/>
        <v>#N/A</v>
      </c>
      <c r="G6847" s="74">
        <v>29506</v>
      </c>
      <c r="H6847" s="77">
        <v>0.54166666666666663</v>
      </c>
      <c r="J6847">
        <v>59</v>
      </c>
      <c r="M6847" s="74">
        <v>36445</v>
      </c>
      <c r="N6847" s="77">
        <v>0.54166666666666663</v>
      </c>
      <c r="P6847">
        <v>62.6</v>
      </c>
      <c r="S6847" s="74">
        <v>37176</v>
      </c>
      <c r="T6847" s="77">
        <v>0.54166666666666663</v>
      </c>
      <c r="V6847">
        <v>68</v>
      </c>
      <c r="X6847" s="42"/>
      <c r="AB6847">
        <v>64</v>
      </c>
      <c r="AC6847">
        <v>66.92</v>
      </c>
      <c r="AE6847" s="74"/>
      <c r="AF6847" s="77"/>
      <c r="AH6847" s="497">
        <v>57.2</v>
      </c>
      <c r="AJ6847" s="42"/>
      <c r="AK6847" s="74"/>
      <c r="AL6847" s="77"/>
      <c r="AN6847" s="497">
        <v>62.06</v>
      </c>
      <c r="AP6847" s="42"/>
      <c r="AQ6847" s="74"/>
      <c r="AR6847" s="77"/>
      <c r="AT6847" s="497">
        <v>57.92</v>
      </c>
      <c r="AV6847" s="42"/>
      <c r="AW6847" s="74"/>
      <c r="AX6847" s="77"/>
      <c r="BA6847" s="497">
        <v>64.94</v>
      </c>
      <c r="BB6847" s="42"/>
      <c r="BC6847" s="74"/>
      <c r="BD6847" s="77"/>
      <c r="BF6847">
        <v>62.96</v>
      </c>
      <c r="BH6847" s="42"/>
      <c r="BI6847" s="74"/>
      <c r="BJ6847" s="77"/>
      <c r="BL6847" s="497">
        <v>68</v>
      </c>
      <c r="BN6847" s="42"/>
      <c r="BO6847" s="74"/>
      <c r="BP6847" s="77"/>
      <c r="BR6847" s="497">
        <v>62.06</v>
      </c>
      <c r="BT6847" s="42"/>
    </row>
    <row r="6848" spans="1:72" x14ac:dyDescent="0.25">
      <c r="A6848" s="90">
        <v>37176</v>
      </c>
      <c r="B6848" s="20">
        <v>0.58333333333333337</v>
      </c>
      <c r="D6848">
        <v>75.02</v>
      </c>
      <c r="E6848" t="str">
        <f t="shared" si="248"/>
        <v>WEEKDAY</v>
      </c>
      <c r="F6848" t="e">
        <f t="shared" si="249"/>
        <v>#N/A</v>
      </c>
      <c r="G6848" s="74">
        <v>29506</v>
      </c>
      <c r="H6848" s="77">
        <v>0.58333333333333337</v>
      </c>
      <c r="J6848">
        <v>59.36</v>
      </c>
      <c r="M6848" s="74">
        <v>36445</v>
      </c>
      <c r="N6848" s="77">
        <v>0.58333333333333337</v>
      </c>
      <c r="P6848">
        <v>60.8</v>
      </c>
      <c r="S6848" s="74">
        <v>37176</v>
      </c>
      <c r="T6848" s="77">
        <v>0.58333333333333337</v>
      </c>
      <c r="V6848">
        <v>69.080000000000013</v>
      </c>
      <c r="X6848" s="42"/>
      <c r="AB6848">
        <v>64.5</v>
      </c>
      <c r="AC6848">
        <v>66.92</v>
      </c>
      <c r="AE6848" s="74"/>
      <c r="AF6848" s="77"/>
      <c r="AH6848" s="497">
        <v>57.2</v>
      </c>
      <c r="AJ6848" s="42"/>
      <c r="AK6848" s="74"/>
      <c r="AL6848" s="77"/>
      <c r="AN6848" s="497">
        <v>64.039999999999992</v>
      </c>
      <c r="AP6848" s="42"/>
      <c r="AQ6848" s="74"/>
      <c r="AR6848" s="77"/>
      <c r="AT6848" s="497">
        <v>60.08</v>
      </c>
      <c r="AV6848" s="42"/>
      <c r="AW6848" s="74"/>
      <c r="AX6848" s="77"/>
      <c r="BA6848" s="497">
        <v>68</v>
      </c>
      <c r="BB6848" s="42"/>
      <c r="BC6848" s="74"/>
      <c r="BD6848" s="77"/>
      <c r="BF6848">
        <v>64.94</v>
      </c>
      <c r="BH6848" s="42"/>
      <c r="BI6848" s="74"/>
      <c r="BJ6848" s="77"/>
      <c r="BL6848" s="497">
        <v>69.080000000000013</v>
      </c>
      <c r="BN6848" s="42"/>
      <c r="BO6848" s="74"/>
      <c r="BP6848" s="77"/>
      <c r="BR6848" s="497">
        <v>62.96</v>
      </c>
      <c r="BT6848" s="42"/>
    </row>
    <row r="6849" spans="1:72" x14ac:dyDescent="0.25">
      <c r="A6849" s="90">
        <v>37176</v>
      </c>
      <c r="B6849" s="20">
        <v>0.625</v>
      </c>
      <c r="D6849">
        <v>75.92</v>
      </c>
      <c r="E6849" t="str">
        <f t="shared" si="248"/>
        <v>WEEKDAY</v>
      </c>
      <c r="F6849" t="e">
        <f t="shared" si="249"/>
        <v>#N/A</v>
      </c>
      <c r="G6849" s="74">
        <v>29506</v>
      </c>
      <c r="H6849" s="77">
        <v>0.625</v>
      </c>
      <c r="J6849">
        <v>59.72</v>
      </c>
      <c r="M6849" s="74">
        <v>36445</v>
      </c>
      <c r="N6849" s="77">
        <v>0.625</v>
      </c>
      <c r="P6849">
        <v>62.6</v>
      </c>
      <c r="S6849" s="74">
        <v>37176</v>
      </c>
      <c r="T6849" s="77">
        <v>0.625</v>
      </c>
      <c r="V6849">
        <v>69.080000000000013</v>
      </c>
      <c r="X6849" s="42"/>
      <c r="AB6849">
        <v>64.8</v>
      </c>
      <c r="AC6849">
        <v>66.02</v>
      </c>
      <c r="AE6849" s="74"/>
      <c r="AF6849" s="77"/>
      <c r="AH6849" s="497">
        <v>57.2</v>
      </c>
      <c r="AJ6849" s="42"/>
      <c r="AK6849" s="74"/>
      <c r="AL6849" s="77"/>
      <c r="AN6849" s="497">
        <v>62.96</v>
      </c>
      <c r="AP6849" s="42"/>
      <c r="AQ6849" s="74"/>
      <c r="AR6849" s="77"/>
      <c r="AT6849" s="497">
        <v>60.980000000000004</v>
      </c>
      <c r="AV6849" s="42"/>
      <c r="AW6849" s="74"/>
      <c r="AX6849" s="77"/>
      <c r="BA6849" s="497">
        <v>66.02</v>
      </c>
      <c r="BB6849" s="42"/>
      <c r="BC6849" s="74"/>
      <c r="BD6849" s="77"/>
      <c r="BF6849">
        <v>64.94</v>
      </c>
      <c r="BH6849" s="42"/>
      <c r="BI6849" s="74"/>
      <c r="BJ6849" s="77"/>
      <c r="BL6849" s="497">
        <v>69.080000000000013</v>
      </c>
      <c r="BN6849" s="42"/>
      <c r="BO6849" s="74"/>
      <c r="BP6849" s="77"/>
      <c r="BR6849" s="497">
        <v>64.039999999999992</v>
      </c>
      <c r="BT6849" s="42"/>
    </row>
    <row r="6850" spans="1:72" x14ac:dyDescent="0.25">
      <c r="A6850" s="90">
        <v>37176</v>
      </c>
      <c r="B6850" s="20">
        <v>0.66666666666666663</v>
      </c>
      <c r="D6850">
        <v>71.06</v>
      </c>
      <c r="E6850" t="str">
        <f t="shared" si="248"/>
        <v>WEEKDAY</v>
      </c>
      <c r="F6850" t="e">
        <f t="shared" si="249"/>
        <v>#N/A</v>
      </c>
      <c r="G6850" s="74">
        <v>29506</v>
      </c>
      <c r="H6850" s="77">
        <v>0.66666666666666663</v>
      </c>
      <c r="J6850">
        <v>60.08</v>
      </c>
      <c r="M6850" s="74">
        <v>36445</v>
      </c>
      <c r="N6850" s="77">
        <v>0.66666666666666663</v>
      </c>
      <c r="P6850">
        <v>62.24</v>
      </c>
      <c r="S6850" s="74">
        <v>37176</v>
      </c>
      <c r="T6850" s="77">
        <v>0.66666666666666663</v>
      </c>
      <c r="V6850">
        <v>66.92</v>
      </c>
      <c r="X6850" s="42"/>
      <c r="AB6850">
        <v>64.599999999999994</v>
      </c>
      <c r="AC6850">
        <v>64.039999999999992</v>
      </c>
      <c r="AE6850" s="74"/>
      <c r="AF6850" s="77"/>
      <c r="AH6850" s="497">
        <v>57.2</v>
      </c>
      <c r="AJ6850" s="42"/>
      <c r="AK6850" s="74"/>
      <c r="AL6850" s="77"/>
      <c r="AN6850" s="497">
        <v>60.980000000000004</v>
      </c>
      <c r="AP6850" s="42"/>
      <c r="AQ6850" s="74"/>
      <c r="AR6850" s="77"/>
      <c r="AT6850" s="497">
        <v>60.08</v>
      </c>
      <c r="AV6850" s="42"/>
      <c r="AW6850" s="74"/>
      <c r="AX6850" s="77"/>
      <c r="BA6850" s="497">
        <v>66.02</v>
      </c>
      <c r="BB6850" s="42"/>
      <c r="BC6850" s="74"/>
      <c r="BD6850" s="77"/>
      <c r="BF6850">
        <v>64.94</v>
      </c>
      <c r="BH6850" s="42"/>
      <c r="BI6850" s="74"/>
      <c r="BJ6850" s="77"/>
      <c r="BL6850" s="497">
        <v>68</v>
      </c>
      <c r="BN6850" s="42"/>
      <c r="BO6850" s="74"/>
      <c r="BP6850" s="77"/>
      <c r="BR6850" s="497">
        <v>62.96</v>
      </c>
      <c r="BT6850" s="42"/>
    </row>
    <row r="6851" spans="1:72" x14ac:dyDescent="0.25">
      <c r="A6851" s="90">
        <v>37176</v>
      </c>
      <c r="B6851" s="20">
        <v>0.70833333333333337</v>
      </c>
      <c r="D6851">
        <v>69.080000000000013</v>
      </c>
      <c r="E6851" t="str">
        <f t="shared" si="248"/>
        <v>WEEKDAY</v>
      </c>
      <c r="F6851" t="e">
        <f t="shared" si="249"/>
        <v>#N/A</v>
      </c>
      <c r="G6851" s="74">
        <v>29506</v>
      </c>
      <c r="H6851" s="77">
        <v>0.70833333333333337</v>
      </c>
      <c r="J6851">
        <v>58.46</v>
      </c>
      <c r="M6851" s="74">
        <v>36445</v>
      </c>
      <c r="N6851" s="77">
        <v>0.70833333333333337</v>
      </c>
      <c r="P6851">
        <v>60.8</v>
      </c>
      <c r="S6851" s="74">
        <v>37176</v>
      </c>
      <c r="T6851" s="77">
        <v>0.70833333333333337</v>
      </c>
      <c r="V6851">
        <v>64.039999999999992</v>
      </c>
      <c r="X6851" s="42"/>
      <c r="AB6851">
        <v>63.7</v>
      </c>
      <c r="AC6851">
        <v>60.08</v>
      </c>
      <c r="AE6851" s="74"/>
      <c r="AF6851" s="77"/>
      <c r="AH6851" s="497">
        <v>57.019999999999996</v>
      </c>
      <c r="AJ6851" s="42"/>
      <c r="AK6851" s="74"/>
      <c r="AL6851" s="77"/>
      <c r="AN6851" s="497">
        <v>60.08</v>
      </c>
      <c r="AP6851" s="42"/>
      <c r="AQ6851" s="74"/>
      <c r="AR6851" s="77"/>
      <c r="AT6851" s="497">
        <v>57.92</v>
      </c>
      <c r="AV6851" s="42"/>
      <c r="AW6851" s="74"/>
      <c r="AX6851" s="77"/>
      <c r="BA6851" s="497">
        <v>64.94</v>
      </c>
      <c r="BB6851" s="42"/>
      <c r="BC6851" s="74"/>
      <c r="BD6851" s="77"/>
      <c r="BF6851">
        <v>62.96</v>
      </c>
      <c r="BH6851" s="42"/>
      <c r="BI6851" s="74"/>
      <c r="BJ6851" s="77"/>
      <c r="BL6851" s="497">
        <v>66.92</v>
      </c>
      <c r="BN6851" s="42"/>
      <c r="BO6851" s="74"/>
      <c r="BP6851" s="77"/>
      <c r="BR6851" s="497">
        <v>55.94</v>
      </c>
      <c r="BT6851" s="42"/>
    </row>
    <row r="6852" spans="1:72" x14ac:dyDescent="0.25">
      <c r="A6852" s="90">
        <v>37176</v>
      </c>
      <c r="B6852" s="20">
        <v>0.75</v>
      </c>
      <c r="D6852">
        <v>66.92</v>
      </c>
      <c r="E6852" t="str">
        <f t="shared" si="248"/>
        <v>WEEKDAY</v>
      </c>
      <c r="F6852" t="e">
        <f t="shared" si="249"/>
        <v>#N/A</v>
      </c>
      <c r="G6852" s="74">
        <v>29506</v>
      </c>
      <c r="H6852" s="77">
        <v>0.75</v>
      </c>
      <c r="J6852">
        <v>56.66</v>
      </c>
      <c r="M6852" s="74">
        <v>36445</v>
      </c>
      <c r="N6852" s="77">
        <v>0.75</v>
      </c>
      <c r="P6852">
        <v>57.2</v>
      </c>
      <c r="S6852" s="74">
        <v>37176</v>
      </c>
      <c r="T6852" s="77">
        <v>0.75</v>
      </c>
      <c r="V6852">
        <v>62.06</v>
      </c>
      <c r="X6852" s="42"/>
      <c r="AB6852">
        <v>62.2</v>
      </c>
      <c r="AC6852">
        <v>55.94</v>
      </c>
      <c r="AE6852" s="74"/>
      <c r="AF6852" s="77"/>
      <c r="AH6852" s="497">
        <v>55.400000000000006</v>
      </c>
      <c r="AJ6852" s="42"/>
      <c r="AK6852" s="74"/>
      <c r="AL6852" s="77"/>
      <c r="AN6852" s="497">
        <v>57.92</v>
      </c>
      <c r="AP6852" s="42"/>
      <c r="AQ6852" s="74"/>
      <c r="AR6852" s="77"/>
      <c r="AT6852" s="497">
        <v>57.019999999999996</v>
      </c>
      <c r="AV6852" s="42"/>
      <c r="AW6852" s="74"/>
      <c r="AX6852" s="77"/>
      <c r="BA6852" s="497">
        <v>64.039999999999992</v>
      </c>
      <c r="BB6852" s="42"/>
      <c r="BC6852" s="74"/>
      <c r="BD6852" s="77"/>
      <c r="BF6852">
        <v>62.06</v>
      </c>
      <c r="BH6852" s="42"/>
      <c r="BI6852" s="74"/>
      <c r="BJ6852" s="77"/>
      <c r="BL6852" s="497">
        <v>62.96</v>
      </c>
      <c r="BN6852" s="42"/>
      <c r="BO6852" s="74"/>
      <c r="BP6852" s="77"/>
      <c r="BR6852" s="497">
        <v>53.06</v>
      </c>
      <c r="BT6852" s="42"/>
    </row>
    <row r="6853" spans="1:72" x14ac:dyDescent="0.25">
      <c r="A6853" s="90">
        <v>37176</v>
      </c>
      <c r="B6853" s="20">
        <v>0.79166666666666663</v>
      </c>
      <c r="D6853">
        <v>66.92</v>
      </c>
      <c r="E6853" t="str">
        <f t="shared" si="248"/>
        <v>WEEKDAY</v>
      </c>
      <c r="F6853" t="e">
        <f t="shared" si="249"/>
        <v>#N/A</v>
      </c>
      <c r="G6853" s="74">
        <v>29506</v>
      </c>
      <c r="H6853" s="77">
        <v>0.79166666666666663</v>
      </c>
      <c r="J6853">
        <v>55.040000000000006</v>
      </c>
      <c r="M6853" s="74">
        <v>36445</v>
      </c>
      <c r="N6853" s="77">
        <v>0.79166666666666663</v>
      </c>
      <c r="P6853">
        <v>55.400000000000006</v>
      </c>
      <c r="S6853" s="74">
        <v>37176</v>
      </c>
      <c r="T6853" s="77">
        <v>0.79166666666666663</v>
      </c>
      <c r="V6853">
        <v>62.06</v>
      </c>
      <c r="X6853" s="42"/>
      <c r="AB6853">
        <v>60.8</v>
      </c>
      <c r="AC6853">
        <v>53.96</v>
      </c>
      <c r="AE6853" s="74"/>
      <c r="AF6853" s="77"/>
      <c r="AH6853" s="497">
        <v>55.400000000000006</v>
      </c>
      <c r="AJ6853" s="42"/>
      <c r="AK6853" s="74"/>
      <c r="AL6853" s="77"/>
      <c r="AN6853" s="497">
        <v>57.019999999999996</v>
      </c>
      <c r="AP6853" s="42"/>
      <c r="AQ6853" s="74"/>
      <c r="AR6853" s="77"/>
      <c r="AT6853" s="497">
        <v>57.019999999999996</v>
      </c>
      <c r="AV6853" s="42"/>
      <c r="AW6853" s="74"/>
      <c r="AX6853" s="77"/>
      <c r="BA6853" s="497">
        <v>62.06</v>
      </c>
      <c r="BB6853" s="42"/>
      <c r="BC6853" s="74"/>
      <c r="BD6853" s="77"/>
      <c r="BF6853">
        <v>60.980000000000004</v>
      </c>
      <c r="BH6853" s="42"/>
      <c r="BI6853" s="74"/>
      <c r="BJ6853" s="77"/>
      <c r="BL6853" s="497">
        <v>62.96</v>
      </c>
      <c r="BN6853" s="42"/>
      <c r="BO6853" s="74"/>
      <c r="BP6853" s="77"/>
      <c r="BR6853" s="497">
        <v>50</v>
      </c>
      <c r="BT6853" s="42"/>
    </row>
    <row r="6854" spans="1:72" x14ac:dyDescent="0.25">
      <c r="A6854" s="90">
        <v>37176</v>
      </c>
      <c r="B6854" s="20">
        <v>0.83333333333333337</v>
      </c>
      <c r="D6854">
        <v>66.92</v>
      </c>
      <c r="E6854" t="str">
        <f t="shared" si="248"/>
        <v>WEEKDAY</v>
      </c>
      <c r="F6854" t="e">
        <f t="shared" si="249"/>
        <v>#N/A</v>
      </c>
      <c r="G6854" s="74">
        <v>29506</v>
      </c>
      <c r="H6854" s="77">
        <v>0.83333333333333337</v>
      </c>
      <c r="J6854">
        <v>54.32</v>
      </c>
      <c r="M6854" s="74">
        <v>36445</v>
      </c>
      <c r="N6854" s="77">
        <v>0.83333333333333337</v>
      </c>
      <c r="P6854">
        <v>53.6</v>
      </c>
      <c r="S6854" s="74">
        <v>37176</v>
      </c>
      <c r="T6854" s="77">
        <v>0.83333333333333337</v>
      </c>
      <c r="V6854">
        <v>62.06</v>
      </c>
      <c r="X6854" s="42"/>
      <c r="AB6854">
        <v>60.1</v>
      </c>
      <c r="AC6854">
        <v>53.06</v>
      </c>
      <c r="AE6854" s="74"/>
      <c r="AF6854" s="77"/>
      <c r="AH6854" s="497">
        <v>53.6</v>
      </c>
      <c r="AJ6854" s="42"/>
      <c r="AK6854" s="74"/>
      <c r="AL6854" s="77"/>
      <c r="AN6854" s="497">
        <v>53.96</v>
      </c>
      <c r="AP6854" s="42"/>
      <c r="AQ6854" s="74"/>
      <c r="AR6854" s="77"/>
      <c r="AT6854" s="497">
        <v>55.94</v>
      </c>
      <c r="AV6854" s="42"/>
      <c r="AW6854" s="74"/>
      <c r="AX6854" s="77"/>
      <c r="BA6854" s="497">
        <v>60.08</v>
      </c>
      <c r="BB6854" s="42"/>
      <c r="BC6854" s="74"/>
      <c r="BD6854" s="77"/>
      <c r="BF6854">
        <v>60.980000000000004</v>
      </c>
      <c r="BH6854" s="42"/>
      <c r="BI6854" s="74"/>
      <c r="BJ6854" s="77"/>
      <c r="BL6854" s="497">
        <v>62.06</v>
      </c>
      <c r="BN6854" s="42"/>
      <c r="BO6854" s="74"/>
      <c r="BP6854" s="77"/>
      <c r="BR6854" s="497">
        <v>50</v>
      </c>
      <c r="BT6854" s="42"/>
    </row>
    <row r="6855" spans="1:72" x14ac:dyDescent="0.25">
      <c r="A6855" s="90">
        <v>37176</v>
      </c>
      <c r="B6855" s="20">
        <v>0.875</v>
      </c>
      <c r="D6855">
        <v>66.02</v>
      </c>
      <c r="E6855" t="str">
        <f t="shared" si="248"/>
        <v>WEEKDAY</v>
      </c>
      <c r="F6855" t="e">
        <f t="shared" si="249"/>
        <v>#N/A</v>
      </c>
      <c r="G6855" s="74">
        <v>29506</v>
      </c>
      <c r="H6855" s="77">
        <v>0.875</v>
      </c>
      <c r="J6855">
        <v>53.78</v>
      </c>
      <c r="M6855" s="74">
        <v>36445</v>
      </c>
      <c r="N6855" s="77">
        <v>0.875</v>
      </c>
      <c r="P6855">
        <v>53.6</v>
      </c>
      <c r="S6855" s="74">
        <v>37176</v>
      </c>
      <c r="T6855" s="77">
        <v>0.875</v>
      </c>
      <c r="V6855">
        <v>60.980000000000004</v>
      </c>
      <c r="X6855" s="42"/>
      <c r="AB6855">
        <v>59.4</v>
      </c>
      <c r="AC6855">
        <v>53.96</v>
      </c>
      <c r="AE6855" s="74"/>
      <c r="AF6855" s="77"/>
      <c r="AH6855" s="497">
        <v>53.6</v>
      </c>
      <c r="AJ6855" s="42"/>
      <c r="AK6855" s="74"/>
      <c r="AL6855" s="77"/>
      <c r="AN6855" s="497">
        <v>53.96</v>
      </c>
      <c r="AP6855" s="42"/>
      <c r="AQ6855" s="74"/>
      <c r="AR6855" s="77"/>
      <c r="AT6855" s="497">
        <v>55.040000000000006</v>
      </c>
      <c r="AV6855" s="42"/>
      <c r="AW6855" s="74"/>
      <c r="AX6855" s="77"/>
      <c r="BA6855" s="497">
        <v>59</v>
      </c>
      <c r="BB6855" s="42"/>
      <c r="BC6855" s="74"/>
      <c r="BD6855" s="77"/>
      <c r="BF6855">
        <v>60.08</v>
      </c>
      <c r="BH6855" s="42"/>
      <c r="BI6855" s="74"/>
      <c r="BJ6855" s="77"/>
      <c r="BL6855" s="497">
        <v>60.980000000000004</v>
      </c>
      <c r="BN6855" s="42"/>
      <c r="BO6855" s="74"/>
      <c r="BP6855" s="77"/>
      <c r="BR6855" s="497">
        <v>50</v>
      </c>
      <c r="BT6855" s="42"/>
    </row>
    <row r="6856" spans="1:72" x14ac:dyDescent="0.25">
      <c r="A6856" s="90">
        <v>37176</v>
      </c>
      <c r="B6856" s="20">
        <v>0.91666666666666663</v>
      </c>
      <c r="D6856">
        <v>64.94</v>
      </c>
      <c r="E6856" t="str">
        <f t="shared" si="248"/>
        <v>WEEKDAY</v>
      </c>
      <c r="F6856" t="e">
        <f t="shared" si="249"/>
        <v>#N/A</v>
      </c>
      <c r="G6856" s="74">
        <v>29506</v>
      </c>
      <c r="H6856" s="77">
        <v>0.91666666666666663</v>
      </c>
      <c r="J6856">
        <v>53.06</v>
      </c>
      <c r="M6856" s="74">
        <v>36445</v>
      </c>
      <c r="N6856" s="77">
        <v>0.91666666666666663</v>
      </c>
      <c r="P6856">
        <v>51.8</v>
      </c>
      <c r="S6856" s="74">
        <v>37176</v>
      </c>
      <c r="T6856" s="77">
        <v>0.91666666666666663</v>
      </c>
      <c r="V6856">
        <v>60.08</v>
      </c>
      <c r="X6856" s="42"/>
      <c r="AB6856">
        <v>58.8</v>
      </c>
      <c r="AC6856">
        <v>51.08</v>
      </c>
      <c r="AE6856" s="74"/>
      <c r="AF6856" s="77"/>
      <c r="AH6856" s="497">
        <v>53.6</v>
      </c>
      <c r="AJ6856" s="42"/>
      <c r="AK6856" s="74"/>
      <c r="AL6856" s="77"/>
      <c r="AN6856" s="497">
        <v>53.06</v>
      </c>
      <c r="AP6856" s="42"/>
      <c r="AQ6856" s="74"/>
      <c r="AR6856" s="77"/>
      <c r="AT6856" s="497">
        <v>55.040000000000006</v>
      </c>
      <c r="AV6856" s="42"/>
      <c r="AW6856" s="74"/>
      <c r="AX6856" s="77"/>
      <c r="BA6856" s="497">
        <v>57.019999999999996</v>
      </c>
      <c r="BB6856" s="42"/>
      <c r="BC6856" s="74"/>
      <c r="BD6856" s="77"/>
      <c r="BF6856">
        <v>57.92</v>
      </c>
      <c r="BH6856" s="42"/>
      <c r="BI6856" s="74"/>
      <c r="BJ6856" s="77"/>
      <c r="BL6856" s="497">
        <v>60.08</v>
      </c>
      <c r="BN6856" s="42"/>
      <c r="BO6856" s="74"/>
      <c r="BP6856" s="77"/>
      <c r="BR6856" s="497">
        <v>50</v>
      </c>
      <c r="BT6856" s="42"/>
    </row>
    <row r="6857" spans="1:72" x14ac:dyDescent="0.25">
      <c r="A6857" s="90">
        <v>37176</v>
      </c>
      <c r="B6857" s="20">
        <v>0.95833333333333337</v>
      </c>
      <c r="D6857">
        <v>64.94</v>
      </c>
      <c r="E6857" t="str">
        <f t="shared" si="248"/>
        <v>WEEKDAY</v>
      </c>
      <c r="F6857" t="e">
        <f t="shared" si="249"/>
        <v>#N/A</v>
      </c>
      <c r="G6857" s="74">
        <v>29506</v>
      </c>
      <c r="H6857" s="77">
        <v>0.95833333333333337</v>
      </c>
      <c r="J6857">
        <v>52.34</v>
      </c>
      <c r="M6857" s="74">
        <v>36445</v>
      </c>
      <c r="N6857" s="77">
        <v>0.95833333333333337</v>
      </c>
      <c r="P6857">
        <v>50</v>
      </c>
      <c r="S6857" s="74">
        <v>37176</v>
      </c>
      <c r="T6857" s="77">
        <v>0.95833333333333337</v>
      </c>
      <c r="V6857">
        <v>60.08</v>
      </c>
      <c r="X6857" s="42"/>
      <c r="AB6857">
        <v>58.1</v>
      </c>
      <c r="AC6857">
        <v>46.04</v>
      </c>
      <c r="AE6857" s="74"/>
      <c r="AF6857" s="77"/>
      <c r="AH6857" s="497">
        <v>53.6</v>
      </c>
      <c r="AJ6857" s="42"/>
      <c r="AK6857" s="74"/>
      <c r="AL6857" s="77"/>
      <c r="AN6857" s="497">
        <v>53.96</v>
      </c>
      <c r="AP6857" s="42"/>
      <c r="AQ6857" s="74"/>
      <c r="AR6857" s="77"/>
      <c r="AT6857" s="497">
        <v>53.96</v>
      </c>
      <c r="AV6857" s="42"/>
      <c r="AW6857" s="74"/>
      <c r="AX6857" s="77"/>
      <c r="BA6857" s="497">
        <v>57.019999999999996</v>
      </c>
      <c r="BB6857" s="42"/>
      <c r="BC6857" s="74"/>
      <c r="BD6857" s="77"/>
      <c r="BF6857">
        <v>57.92</v>
      </c>
      <c r="BH6857" s="42"/>
      <c r="BI6857" s="74"/>
      <c r="BJ6857" s="77"/>
      <c r="BL6857" s="497">
        <v>59</v>
      </c>
      <c r="BN6857" s="42"/>
      <c r="BO6857" s="74"/>
      <c r="BP6857" s="77"/>
      <c r="BR6857" s="497">
        <v>46.94</v>
      </c>
      <c r="BT6857" s="42"/>
    </row>
    <row r="6858" spans="1:72" x14ac:dyDescent="0.25">
      <c r="A6858" s="90">
        <v>37176</v>
      </c>
      <c r="B6858" s="20">
        <v>1</v>
      </c>
      <c r="D6858">
        <v>66.02</v>
      </c>
      <c r="E6858" t="str">
        <f t="shared" si="248"/>
        <v>WEEKDAY</v>
      </c>
      <c r="F6858" t="e">
        <f t="shared" si="249"/>
        <v>#N/A</v>
      </c>
      <c r="G6858" s="74">
        <v>29506</v>
      </c>
      <c r="H6858" s="77">
        <v>1</v>
      </c>
      <c r="J6858">
        <v>51.8</v>
      </c>
      <c r="M6858" s="74">
        <v>36445</v>
      </c>
      <c r="N6858" s="80">
        <v>1</v>
      </c>
      <c r="P6858">
        <v>48.2</v>
      </c>
      <c r="S6858" s="74">
        <v>37176</v>
      </c>
      <c r="T6858" s="80">
        <v>1</v>
      </c>
      <c r="V6858">
        <v>59</v>
      </c>
      <c r="X6858" s="42"/>
      <c r="AB6858">
        <v>57.4</v>
      </c>
      <c r="AC6858">
        <v>46.04</v>
      </c>
      <c r="AE6858" s="74"/>
      <c r="AF6858" s="80"/>
      <c r="AH6858" s="497">
        <v>53.6</v>
      </c>
      <c r="AJ6858" s="42"/>
      <c r="AK6858" s="74"/>
      <c r="AL6858" s="80"/>
      <c r="AN6858" s="497">
        <v>55.040000000000006</v>
      </c>
      <c r="AP6858" s="42"/>
      <c r="AQ6858" s="74"/>
      <c r="AR6858" s="80"/>
      <c r="AT6858" s="497">
        <v>53.06</v>
      </c>
      <c r="AV6858" s="42"/>
      <c r="AW6858" s="74"/>
      <c r="AX6858" s="80"/>
      <c r="BA6858" s="497">
        <v>57.019999999999996</v>
      </c>
      <c r="BB6858" s="42"/>
      <c r="BC6858" s="74"/>
      <c r="BD6858" s="80"/>
      <c r="BF6858">
        <v>53.96</v>
      </c>
      <c r="BH6858" s="42"/>
      <c r="BI6858" s="74"/>
      <c r="BJ6858" s="80"/>
      <c r="BL6858" s="497">
        <v>57.92</v>
      </c>
      <c r="BN6858" s="42"/>
      <c r="BO6858" s="74"/>
      <c r="BP6858" s="80"/>
      <c r="BR6858" s="497">
        <v>46.94</v>
      </c>
      <c r="BT6858" s="42"/>
    </row>
    <row r="6859" spans="1:72" x14ac:dyDescent="0.25">
      <c r="A6859" s="90">
        <v>37177</v>
      </c>
      <c r="B6859" s="20">
        <v>4.1666666666666664E-2</v>
      </c>
      <c r="D6859">
        <v>66.02</v>
      </c>
      <c r="E6859" t="str">
        <f t="shared" si="248"/>
        <v>SATURDAY</v>
      </c>
      <c r="F6859" t="e">
        <f t="shared" si="249"/>
        <v>#N/A</v>
      </c>
      <c r="G6859" s="74">
        <v>29507</v>
      </c>
      <c r="H6859" s="77">
        <v>4.1666666666666664E-2</v>
      </c>
      <c r="J6859">
        <v>51.08</v>
      </c>
      <c r="M6859" s="74">
        <v>36446</v>
      </c>
      <c r="N6859" s="77">
        <v>4.1666666666666664E-2</v>
      </c>
      <c r="P6859">
        <v>50</v>
      </c>
      <c r="S6859" s="74">
        <v>37177</v>
      </c>
      <c r="T6859" s="77">
        <v>4.1666666666666664E-2</v>
      </c>
      <c r="V6859">
        <v>59</v>
      </c>
      <c r="X6859" s="42"/>
      <c r="AB6859">
        <v>56.7</v>
      </c>
      <c r="AC6859">
        <v>48.92</v>
      </c>
      <c r="AE6859" s="74"/>
      <c r="AF6859" s="77"/>
      <c r="AH6859" s="497">
        <v>51.8</v>
      </c>
      <c r="AJ6859" s="42"/>
      <c r="AK6859" s="74"/>
      <c r="AL6859" s="77"/>
      <c r="AN6859" s="497">
        <v>53.96</v>
      </c>
      <c r="AP6859" s="42"/>
      <c r="AQ6859" s="74"/>
      <c r="AR6859" s="77"/>
      <c r="AT6859" s="497">
        <v>53.06</v>
      </c>
      <c r="AV6859" s="42"/>
      <c r="AW6859" s="74"/>
      <c r="AX6859" s="77"/>
      <c r="BA6859" s="497">
        <v>55.040000000000006</v>
      </c>
      <c r="BB6859" s="42"/>
      <c r="BC6859" s="74"/>
      <c r="BD6859" s="77"/>
      <c r="BF6859">
        <v>51.980000000000004</v>
      </c>
      <c r="BH6859" s="42"/>
      <c r="BI6859" s="74"/>
      <c r="BJ6859" s="77"/>
      <c r="BL6859" s="497">
        <v>57.019999999999996</v>
      </c>
      <c r="BN6859" s="42"/>
      <c r="BO6859" s="74"/>
      <c r="BP6859" s="77"/>
      <c r="BR6859" s="497">
        <v>46.94</v>
      </c>
      <c r="BT6859" s="42"/>
    </row>
    <row r="6860" spans="1:72" x14ac:dyDescent="0.25">
      <c r="A6860" s="90">
        <v>37177</v>
      </c>
      <c r="B6860" s="20">
        <v>8.3333333333333329E-2</v>
      </c>
      <c r="D6860">
        <v>64.94</v>
      </c>
      <c r="E6860" t="str">
        <f t="shared" si="248"/>
        <v>SATURDAY</v>
      </c>
      <c r="F6860" t="e">
        <f t="shared" si="249"/>
        <v>#N/A</v>
      </c>
      <c r="G6860" s="74">
        <v>29507</v>
      </c>
      <c r="H6860" s="77">
        <v>8.3333333333333329E-2</v>
      </c>
      <c r="J6860">
        <v>50.36</v>
      </c>
      <c r="M6860" s="74">
        <v>36446</v>
      </c>
      <c r="N6860" s="77">
        <v>8.3333333333333329E-2</v>
      </c>
      <c r="P6860">
        <v>51.8</v>
      </c>
      <c r="S6860" s="74">
        <v>37177</v>
      </c>
      <c r="T6860" s="77">
        <v>8.3333333333333329E-2</v>
      </c>
      <c r="V6860">
        <v>59</v>
      </c>
      <c r="X6860" s="42"/>
      <c r="AB6860">
        <v>56</v>
      </c>
      <c r="AC6860">
        <v>44.96</v>
      </c>
      <c r="AE6860" s="74"/>
      <c r="AF6860" s="77"/>
      <c r="AH6860" s="497">
        <v>51.8</v>
      </c>
      <c r="AJ6860" s="42"/>
      <c r="AK6860" s="74"/>
      <c r="AL6860" s="77"/>
      <c r="AN6860" s="497">
        <v>53.96</v>
      </c>
      <c r="AP6860" s="42"/>
      <c r="AQ6860" s="74"/>
      <c r="AR6860" s="77"/>
      <c r="AT6860" s="497">
        <v>53.96</v>
      </c>
      <c r="AV6860" s="42"/>
      <c r="AW6860" s="74"/>
      <c r="AX6860" s="77"/>
      <c r="BA6860" s="497">
        <v>55.94</v>
      </c>
      <c r="BB6860" s="42"/>
      <c r="BC6860" s="74"/>
      <c r="BD6860" s="77"/>
      <c r="BF6860">
        <v>51.980000000000004</v>
      </c>
      <c r="BH6860" s="42"/>
      <c r="BI6860" s="74"/>
      <c r="BJ6860" s="77"/>
      <c r="BL6860" s="497">
        <v>55.94</v>
      </c>
      <c r="BN6860" s="42"/>
      <c r="BO6860" s="74"/>
      <c r="BP6860" s="77"/>
      <c r="BR6860" s="497">
        <v>48.019999999999996</v>
      </c>
      <c r="BT6860" s="42"/>
    </row>
    <row r="6861" spans="1:72" x14ac:dyDescent="0.25">
      <c r="A6861" s="90">
        <v>37177</v>
      </c>
      <c r="B6861" s="20">
        <v>0.125</v>
      </c>
      <c r="D6861">
        <v>64.039999999999992</v>
      </c>
      <c r="E6861" t="str">
        <f t="shared" si="248"/>
        <v>SATURDAY</v>
      </c>
      <c r="F6861" t="e">
        <f t="shared" si="249"/>
        <v>#N/A</v>
      </c>
      <c r="G6861" s="74">
        <v>29507</v>
      </c>
      <c r="H6861" s="77">
        <v>0.125</v>
      </c>
      <c r="J6861">
        <v>49.64</v>
      </c>
      <c r="M6861" s="74">
        <v>36446</v>
      </c>
      <c r="N6861" s="77">
        <v>0.125</v>
      </c>
      <c r="P6861">
        <v>50.18</v>
      </c>
      <c r="S6861" s="74">
        <v>37177</v>
      </c>
      <c r="T6861" s="77">
        <v>0.125</v>
      </c>
      <c r="V6861">
        <v>57.92</v>
      </c>
      <c r="X6861" s="42"/>
      <c r="AB6861">
        <v>55.4</v>
      </c>
      <c r="AC6861">
        <v>46.94</v>
      </c>
      <c r="AE6861" s="74"/>
      <c r="AF6861" s="77"/>
      <c r="AH6861" s="497">
        <v>51.8</v>
      </c>
      <c r="AJ6861" s="42"/>
      <c r="AK6861" s="74"/>
      <c r="AL6861" s="77"/>
      <c r="AN6861" s="497">
        <v>53.96</v>
      </c>
      <c r="AP6861" s="42"/>
      <c r="AQ6861" s="74"/>
      <c r="AR6861" s="77"/>
      <c r="AT6861" s="497">
        <v>53.96</v>
      </c>
      <c r="AV6861" s="42"/>
      <c r="AW6861" s="74"/>
      <c r="AX6861" s="77"/>
      <c r="BA6861" s="497">
        <v>55.94</v>
      </c>
      <c r="BB6861" s="42"/>
      <c r="BC6861" s="74"/>
      <c r="BD6861" s="77"/>
      <c r="BF6861">
        <v>51.980000000000004</v>
      </c>
      <c r="BH6861" s="42"/>
      <c r="BI6861" s="74"/>
      <c r="BJ6861" s="77"/>
      <c r="BL6861" s="497">
        <v>53.96</v>
      </c>
      <c r="BN6861" s="42"/>
      <c r="BO6861" s="74"/>
      <c r="BP6861" s="77"/>
      <c r="BR6861" s="497">
        <v>48.92</v>
      </c>
      <c r="BT6861" s="42"/>
    </row>
    <row r="6862" spans="1:72" x14ac:dyDescent="0.25">
      <c r="A6862" s="90">
        <v>37177</v>
      </c>
      <c r="B6862" s="20">
        <v>0.16666666666666666</v>
      </c>
      <c r="D6862">
        <v>62.96</v>
      </c>
      <c r="E6862" t="str">
        <f t="shared" si="248"/>
        <v>SATURDAY</v>
      </c>
      <c r="F6862" t="e">
        <f t="shared" si="249"/>
        <v>#N/A</v>
      </c>
      <c r="G6862" s="74">
        <v>29507</v>
      </c>
      <c r="H6862" s="77">
        <v>0.16666666666666666</v>
      </c>
      <c r="J6862">
        <v>48.92</v>
      </c>
      <c r="M6862" s="74">
        <v>36446</v>
      </c>
      <c r="N6862" s="77">
        <v>0.16666666666666666</v>
      </c>
      <c r="P6862">
        <v>48.2</v>
      </c>
      <c r="S6862" s="74">
        <v>37177</v>
      </c>
      <c r="T6862" s="77">
        <v>0.16666666666666666</v>
      </c>
      <c r="V6862">
        <v>60.08</v>
      </c>
      <c r="X6862" s="42"/>
      <c r="AB6862">
        <v>54.9</v>
      </c>
      <c r="AC6862">
        <v>44.06</v>
      </c>
      <c r="AE6862" s="74"/>
      <c r="AF6862" s="77"/>
      <c r="AH6862" s="497">
        <v>51.8</v>
      </c>
      <c r="AJ6862" s="42"/>
      <c r="AK6862" s="74"/>
      <c r="AL6862" s="77"/>
      <c r="AN6862" s="497">
        <v>55.040000000000006</v>
      </c>
      <c r="AP6862" s="42"/>
      <c r="AQ6862" s="74"/>
      <c r="AR6862" s="77"/>
      <c r="AT6862" s="497">
        <v>53.06</v>
      </c>
      <c r="AV6862" s="42"/>
      <c r="AW6862" s="74"/>
      <c r="AX6862" s="77"/>
      <c r="BA6862" s="497">
        <v>53.96</v>
      </c>
      <c r="BB6862" s="42"/>
      <c r="BC6862" s="74"/>
      <c r="BD6862" s="77"/>
      <c r="BF6862">
        <v>51.980000000000004</v>
      </c>
      <c r="BH6862" s="42"/>
      <c r="BI6862" s="74"/>
      <c r="BJ6862" s="77"/>
      <c r="BL6862" s="497">
        <v>51.980000000000004</v>
      </c>
      <c r="BN6862" s="42"/>
      <c r="BO6862" s="74"/>
      <c r="BP6862" s="77"/>
      <c r="BR6862" s="497">
        <v>51.08</v>
      </c>
      <c r="BT6862" s="42"/>
    </row>
    <row r="6863" spans="1:72" x14ac:dyDescent="0.25">
      <c r="A6863" s="90">
        <v>37177</v>
      </c>
      <c r="B6863" s="20">
        <v>0.20833333333333334</v>
      </c>
      <c r="D6863">
        <v>64.039999999999992</v>
      </c>
      <c r="E6863" t="str">
        <f t="shared" si="248"/>
        <v>SATURDAY</v>
      </c>
      <c r="F6863" t="e">
        <f t="shared" si="249"/>
        <v>#N/A</v>
      </c>
      <c r="G6863" s="74">
        <v>29507</v>
      </c>
      <c r="H6863" s="77">
        <v>0.20833333333333334</v>
      </c>
      <c r="J6863">
        <v>48.019999999999996</v>
      </c>
      <c r="M6863" s="74">
        <v>36446</v>
      </c>
      <c r="N6863" s="77">
        <v>0.20833333333333334</v>
      </c>
      <c r="P6863">
        <v>46.4</v>
      </c>
      <c r="S6863" s="74">
        <v>37177</v>
      </c>
      <c r="T6863" s="77">
        <v>0.20833333333333334</v>
      </c>
      <c r="V6863">
        <v>59</v>
      </c>
      <c r="X6863" s="42"/>
      <c r="AB6863">
        <v>54.5</v>
      </c>
      <c r="AC6863">
        <v>46.04</v>
      </c>
      <c r="AE6863" s="74"/>
      <c r="AF6863" s="77"/>
      <c r="AH6863" s="497">
        <v>51.8</v>
      </c>
      <c r="AJ6863" s="42"/>
      <c r="AK6863" s="74"/>
      <c r="AL6863" s="77"/>
      <c r="AN6863" s="497">
        <v>55.94</v>
      </c>
      <c r="AP6863" s="42"/>
      <c r="AQ6863" s="74"/>
      <c r="AR6863" s="77"/>
      <c r="AT6863" s="497">
        <v>55.040000000000006</v>
      </c>
      <c r="AV6863" s="42"/>
      <c r="AW6863" s="74"/>
      <c r="AX6863" s="77"/>
      <c r="BA6863" s="497">
        <v>53.96</v>
      </c>
      <c r="BB6863" s="42"/>
      <c r="BC6863" s="74"/>
      <c r="BD6863" s="77"/>
      <c r="BF6863">
        <v>51.08</v>
      </c>
      <c r="BH6863" s="42"/>
      <c r="BI6863" s="74"/>
      <c r="BJ6863" s="77"/>
      <c r="BL6863" s="497">
        <v>51.980000000000004</v>
      </c>
      <c r="BN6863" s="42"/>
      <c r="BO6863" s="74"/>
      <c r="BP6863" s="77"/>
      <c r="BR6863" s="497">
        <v>53.06</v>
      </c>
      <c r="BT6863" s="42"/>
    </row>
    <row r="6864" spans="1:72" x14ac:dyDescent="0.25">
      <c r="A6864" s="90">
        <v>37177</v>
      </c>
      <c r="B6864" s="20">
        <v>0.25</v>
      </c>
      <c r="D6864">
        <v>62.96</v>
      </c>
      <c r="E6864" t="str">
        <f t="shared" si="248"/>
        <v>SATURDAY</v>
      </c>
      <c r="F6864" t="e">
        <f t="shared" si="249"/>
        <v>#N/A</v>
      </c>
      <c r="G6864" s="74">
        <v>29507</v>
      </c>
      <c r="H6864" s="77">
        <v>0.25</v>
      </c>
      <c r="J6864">
        <v>46.94</v>
      </c>
      <c r="M6864" s="74">
        <v>36446</v>
      </c>
      <c r="N6864" s="77">
        <v>0.25</v>
      </c>
      <c r="P6864">
        <v>46.4</v>
      </c>
      <c r="S6864" s="74">
        <v>37177</v>
      </c>
      <c r="T6864" s="77">
        <v>0.25</v>
      </c>
      <c r="V6864">
        <v>57.019999999999996</v>
      </c>
      <c r="X6864" s="42"/>
      <c r="AB6864">
        <v>54.3</v>
      </c>
      <c r="AC6864">
        <v>46.04</v>
      </c>
      <c r="AE6864" s="74"/>
      <c r="AF6864" s="77"/>
      <c r="AH6864" s="497">
        <v>51.8</v>
      </c>
      <c r="AJ6864" s="42"/>
      <c r="AK6864" s="74"/>
      <c r="AL6864" s="77"/>
      <c r="AN6864" s="497">
        <v>55.94</v>
      </c>
      <c r="AP6864" s="42"/>
      <c r="AQ6864" s="74"/>
      <c r="AR6864" s="77"/>
      <c r="AT6864" s="497">
        <v>55.040000000000006</v>
      </c>
      <c r="AV6864" s="42"/>
      <c r="AW6864" s="74"/>
      <c r="AX6864" s="77"/>
      <c r="BA6864" s="497">
        <v>53.96</v>
      </c>
      <c r="BB6864" s="42"/>
      <c r="BC6864" s="74"/>
      <c r="BD6864" s="77"/>
      <c r="BF6864">
        <v>50</v>
      </c>
      <c r="BH6864" s="42"/>
      <c r="BI6864" s="74"/>
      <c r="BJ6864" s="77"/>
      <c r="BL6864" s="497">
        <v>51.980000000000004</v>
      </c>
      <c r="BN6864" s="42"/>
      <c r="BO6864" s="74"/>
      <c r="BP6864" s="77"/>
      <c r="BR6864" s="497">
        <v>53.96</v>
      </c>
      <c r="BT6864" s="42"/>
    </row>
    <row r="6865" spans="1:72" x14ac:dyDescent="0.25">
      <c r="A6865" s="90">
        <v>37177</v>
      </c>
      <c r="B6865" s="20">
        <v>0.29166666666666669</v>
      </c>
      <c r="D6865">
        <v>62.96</v>
      </c>
      <c r="E6865" t="str">
        <f t="shared" si="248"/>
        <v>SATURDAY</v>
      </c>
      <c r="F6865" t="e">
        <f t="shared" si="249"/>
        <v>#N/A</v>
      </c>
      <c r="G6865" s="74">
        <v>29507</v>
      </c>
      <c r="H6865" s="77">
        <v>0.29166666666666669</v>
      </c>
      <c r="J6865">
        <v>46.04</v>
      </c>
      <c r="M6865" s="74">
        <v>36446</v>
      </c>
      <c r="N6865" s="77">
        <v>0.29166666666666669</v>
      </c>
      <c r="P6865">
        <v>48.2</v>
      </c>
      <c r="S6865" s="74">
        <v>37177</v>
      </c>
      <c r="T6865" s="77">
        <v>0.29166666666666669</v>
      </c>
      <c r="V6865">
        <v>60.08</v>
      </c>
      <c r="X6865" s="42"/>
      <c r="AB6865">
        <v>54.2</v>
      </c>
      <c r="AC6865">
        <v>48.019999999999996</v>
      </c>
      <c r="AE6865" s="74"/>
      <c r="AF6865" s="77"/>
      <c r="AH6865" s="497">
        <v>53.6</v>
      </c>
      <c r="AJ6865" s="42"/>
      <c r="AK6865" s="74"/>
      <c r="AL6865" s="77"/>
      <c r="AN6865" s="497">
        <v>55.040000000000006</v>
      </c>
      <c r="AP6865" s="42"/>
      <c r="AQ6865" s="74"/>
      <c r="AR6865" s="77"/>
      <c r="AT6865" s="497">
        <v>55.040000000000006</v>
      </c>
      <c r="AV6865" s="42"/>
      <c r="AW6865" s="74"/>
      <c r="AX6865" s="77"/>
      <c r="BA6865" s="497">
        <v>55.040000000000006</v>
      </c>
      <c r="BB6865" s="42"/>
      <c r="BC6865" s="74"/>
      <c r="BD6865" s="77"/>
      <c r="BF6865">
        <v>50</v>
      </c>
      <c r="BH6865" s="42"/>
      <c r="BI6865" s="74"/>
      <c r="BJ6865" s="77"/>
      <c r="BL6865" s="497">
        <v>51.980000000000004</v>
      </c>
      <c r="BN6865" s="42"/>
      <c r="BO6865" s="74"/>
      <c r="BP6865" s="77"/>
      <c r="BR6865" s="497">
        <v>53.96</v>
      </c>
      <c r="BT6865" s="42"/>
    </row>
    <row r="6866" spans="1:72" x14ac:dyDescent="0.25">
      <c r="A6866" s="90">
        <v>37177</v>
      </c>
      <c r="B6866" s="20">
        <v>0.33333333333333331</v>
      </c>
      <c r="D6866">
        <v>64.94</v>
      </c>
      <c r="E6866" t="str">
        <f t="shared" si="248"/>
        <v>SATURDAY</v>
      </c>
      <c r="F6866" t="e">
        <f t="shared" si="249"/>
        <v>#N/A</v>
      </c>
      <c r="G6866" s="74">
        <v>29507</v>
      </c>
      <c r="H6866" s="77">
        <v>0.33333333333333331</v>
      </c>
      <c r="J6866">
        <v>47.3</v>
      </c>
      <c r="M6866" s="74">
        <v>36446</v>
      </c>
      <c r="N6866" s="77">
        <v>0.33333333333333331</v>
      </c>
      <c r="P6866">
        <v>54.86</v>
      </c>
      <c r="S6866" s="74">
        <v>37177</v>
      </c>
      <c r="T6866" s="77">
        <v>0.33333333333333331</v>
      </c>
      <c r="V6866">
        <v>62.96</v>
      </c>
      <c r="X6866" s="42"/>
      <c r="AB6866">
        <v>55.1</v>
      </c>
      <c r="AC6866">
        <v>57.019999999999996</v>
      </c>
      <c r="AE6866" s="74"/>
      <c r="AF6866" s="77"/>
      <c r="AH6866" s="497">
        <v>53.6</v>
      </c>
      <c r="AJ6866" s="42"/>
      <c r="AK6866" s="74"/>
      <c r="AL6866" s="77"/>
      <c r="AN6866" s="497">
        <v>55.040000000000006</v>
      </c>
      <c r="AP6866" s="42"/>
      <c r="AQ6866" s="74"/>
      <c r="AR6866" s="77"/>
      <c r="AT6866" s="497">
        <v>57.019999999999996</v>
      </c>
      <c r="AV6866" s="42"/>
      <c r="AW6866" s="74"/>
      <c r="AX6866" s="77"/>
      <c r="BA6866" s="497">
        <v>55.94</v>
      </c>
      <c r="BB6866" s="42"/>
      <c r="BC6866" s="74"/>
      <c r="BD6866" s="77"/>
      <c r="BF6866">
        <v>50</v>
      </c>
      <c r="BH6866" s="42"/>
      <c r="BI6866" s="74"/>
      <c r="BJ6866" s="77"/>
      <c r="BL6866" s="497">
        <v>53.06</v>
      </c>
      <c r="BN6866" s="42"/>
      <c r="BO6866" s="74"/>
      <c r="BP6866" s="77"/>
      <c r="BR6866" s="497">
        <v>55.040000000000006</v>
      </c>
      <c r="BT6866" s="42"/>
    </row>
    <row r="6867" spans="1:72" x14ac:dyDescent="0.25">
      <c r="A6867" s="90">
        <v>37177</v>
      </c>
      <c r="B6867" s="20">
        <v>0.375</v>
      </c>
      <c r="D6867">
        <v>64.94</v>
      </c>
      <c r="E6867" t="str">
        <f t="shared" ref="E6867:E6930" si="250">IF(COUNTIF($DI$18:$DI$22, WEEKDAY(A6867))=1, "WEEKDAY", IF(WEEKDAY(A6867) = 1, "SUNDAY", "SATURDAY"))</f>
        <v>SATURDAY</v>
      </c>
      <c r="F6867" t="e">
        <f t="shared" si="249"/>
        <v>#N/A</v>
      </c>
      <c r="G6867" s="74">
        <v>29507</v>
      </c>
      <c r="H6867" s="77">
        <v>0.375</v>
      </c>
      <c r="J6867">
        <v>48.74</v>
      </c>
      <c r="M6867" s="74">
        <v>36446</v>
      </c>
      <c r="N6867" s="77">
        <v>0.375</v>
      </c>
      <c r="P6867">
        <v>60.8</v>
      </c>
      <c r="S6867" s="74">
        <v>37177</v>
      </c>
      <c r="T6867" s="77">
        <v>0.375</v>
      </c>
      <c r="V6867">
        <v>68</v>
      </c>
      <c r="X6867" s="42"/>
      <c r="AB6867">
        <v>57.4</v>
      </c>
      <c r="AC6867">
        <v>60.980000000000004</v>
      </c>
      <c r="AE6867" s="74"/>
      <c r="AF6867" s="77"/>
      <c r="AH6867" s="497">
        <v>55.400000000000006</v>
      </c>
      <c r="AJ6867" s="42"/>
      <c r="AK6867" s="74"/>
      <c r="AL6867" s="77"/>
      <c r="AN6867" s="497">
        <v>55.94</v>
      </c>
      <c r="AP6867" s="42"/>
      <c r="AQ6867" s="74"/>
      <c r="AR6867" s="77"/>
      <c r="AT6867" s="497">
        <v>59</v>
      </c>
      <c r="AV6867" s="42"/>
      <c r="AW6867" s="74"/>
      <c r="AX6867" s="77"/>
      <c r="BA6867" s="497">
        <v>55.94</v>
      </c>
      <c r="BB6867" s="42"/>
      <c r="BC6867" s="74"/>
      <c r="BD6867" s="77"/>
      <c r="BF6867">
        <v>51.08</v>
      </c>
      <c r="BH6867" s="42"/>
      <c r="BI6867" s="74"/>
      <c r="BJ6867" s="77"/>
      <c r="BL6867" s="497">
        <v>53.06</v>
      </c>
      <c r="BN6867" s="42"/>
      <c r="BO6867" s="74"/>
      <c r="BP6867" s="77"/>
      <c r="BR6867" s="497">
        <v>55.94</v>
      </c>
      <c r="BT6867" s="42"/>
    </row>
    <row r="6868" spans="1:72" x14ac:dyDescent="0.25">
      <c r="A6868" s="90">
        <v>37177</v>
      </c>
      <c r="B6868" s="20">
        <v>0.41666666666666669</v>
      </c>
      <c r="D6868">
        <v>66.92</v>
      </c>
      <c r="E6868" t="str">
        <f t="shared" si="250"/>
        <v>SATURDAY</v>
      </c>
      <c r="F6868" t="e">
        <f t="shared" si="249"/>
        <v>#N/A</v>
      </c>
      <c r="G6868" s="74">
        <v>29507</v>
      </c>
      <c r="H6868" s="77">
        <v>0.41666666666666669</v>
      </c>
      <c r="J6868">
        <v>50</v>
      </c>
      <c r="M6868" s="74">
        <v>36446</v>
      </c>
      <c r="N6868" s="77">
        <v>0.41666666666666669</v>
      </c>
      <c r="P6868">
        <v>62.6</v>
      </c>
      <c r="S6868" s="74">
        <v>37177</v>
      </c>
      <c r="T6868" s="77">
        <v>0.41666666666666669</v>
      </c>
      <c r="V6868">
        <v>69.080000000000013</v>
      </c>
      <c r="X6868" s="42"/>
      <c r="AB6868">
        <v>59.5</v>
      </c>
      <c r="AC6868">
        <v>66.02</v>
      </c>
      <c r="AE6868" s="74"/>
      <c r="AF6868" s="77"/>
      <c r="AH6868" s="497">
        <v>55.400000000000006</v>
      </c>
      <c r="AJ6868" s="42"/>
      <c r="AK6868" s="74"/>
      <c r="AL6868" s="77"/>
      <c r="AN6868" s="497">
        <v>57.019999999999996</v>
      </c>
      <c r="AP6868" s="42"/>
      <c r="AQ6868" s="74"/>
      <c r="AR6868" s="77"/>
      <c r="AT6868" s="497">
        <v>60.08</v>
      </c>
      <c r="AV6868" s="42"/>
      <c r="AW6868" s="74"/>
      <c r="AX6868" s="77"/>
      <c r="BA6868" s="497">
        <v>57.019999999999996</v>
      </c>
      <c r="BB6868" s="42"/>
      <c r="BC6868" s="74"/>
      <c r="BD6868" s="77"/>
      <c r="BF6868">
        <v>51.08</v>
      </c>
      <c r="BH6868" s="42"/>
      <c r="BI6868" s="74"/>
      <c r="BJ6868" s="77"/>
      <c r="BL6868" s="497">
        <v>53.06</v>
      </c>
      <c r="BN6868" s="42"/>
      <c r="BO6868" s="74"/>
      <c r="BP6868" s="77"/>
      <c r="BR6868" s="497">
        <v>57.019999999999996</v>
      </c>
      <c r="BT6868" s="42"/>
    </row>
    <row r="6869" spans="1:72" x14ac:dyDescent="0.25">
      <c r="A6869" s="90">
        <v>37177</v>
      </c>
      <c r="B6869" s="20">
        <v>0.45833333333333331</v>
      </c>
      <c r="D6869">
        <v>69.080000000000013</v>
      </c>
      <c r="E6869" t="str">
        <f t="shared" si="250"/>
        <v>SATURDAY</v>
      </c>
      <c r="F6869" t="e">
        <f t="shared" si="249"/>
        <v>#N/A</v>
      </c>
      <c r="G6869" s="74">
        <v>29507</v>
      </c>
      <c r="H6869" s="77">
        <v>0.45833333333333331</v>
      </c>
      <c r="J6869">
        <v>51.26</v>
      </c>
      <c r="M6869" s="74">
        <v>36446</v>
      </c>
      <c r="N6869" s="77">
        <v>0.45833333333333331</v>
      </c>
      <c r="P6869">
        <v>66.2</v>
      </c>
      <c r="S6869" s="74">
        <v>37177</v>
      </c>
      <c r="T6869" s="77">
        <v>0.45833333333333331</v>
      </c>
      <c r="V6869">
        <v>71.06</v>
      </c>
      <c r="X6869" s="42"/>
      <c r="AB6869">
        <v>61.2</v>
      </c>
      <c r="AC6869">
        <v>69.080000000000013</v>
      </c>
      <c r="AE6869" s="74"/>
      <c r="AF6869" s="77"/>
      <c r="AH6869" s="497">
        <v>57.2</v>
      </c>
      <c r="AJ6869" s="42"/>
      <c r="AK6869" s="74"/>
      <c r="AL6869" s="77"/>
      <c r="AN6869" s="497">
        <v>57.92</v>
      </c>
      <c r="AP6869" s="42"/>
      <c r="AQ6869" s="74"/>
      <c r="AR6869" s="77"/>
      <c r="AT6869" s="497">
        <v>59</v>
      </c>
      <c r="AV6869" s="42"/>
      <c r="AW6869" s="74"/>
      <c r="AX6869" s="77"/>
      <c r="BA6869" s="497">
        <v>57.019999999999996</v>
      </c>
      <c r="BB6869" s="42"/>
      <c r="BC6869" s="74"/>
      <c r="BD6869" s="77"/>
      <c r="BF6869">
        <v>51.980000000000004</v>
      </c>
      <c r="BH6869" s="42"/>
      <c r="BI6869" s="74"/>
      <c r="BJ6869" s="77"/>
      <c r="BL6869" s="497">
        <v>53.06</v>
      </c>
      <c r="BN6869" s="42"/>
      <c r="BO6869" s="74"/>
      <c r="BP6869" s="77"/>
      <c r="BR6869" s="497">
        <v>57.92</v>
      </c>
      <c r="BT6869" s="42"/>
    </row>
    <row r="6870" spans="1:72" x14ac:dyDescent="0.25">
      <c r="A6870" s="90">
        <v>37177</v>
      </c>
      <c r="B6870" s="20">
        <v>0.5</v>
      </c>
      <c r="D6870">
        <v>69.98</v>
      </c>
      <c r="E6870" t="str">
        <f t="shared" si="250"/>
        <v>SATURDAY</v>
      </c>
      <c r="F6870" t="e">
        <f t="shared" si="249"/>
        <v>#N/A</v>
      </c>
      <c r="G6870" s="74">
        <v>29507</v>
      </c>
      <c r="H6870" s="77">
        <v>0.5</v>
      </c>
      <c r="J6870">
        <v>52.7</v>
      </c>
      <c r="M6870" s="74">
        <v>36446</v>
      </c>
      <c r="N6870" s="77">
        <v>0.5</v>
      </c>
      <c r="P6870">
        <v>66.2</v>
      </c>
      <c r="S6870" s="74">
        <v>37177</v>
      </c>
      <c r="T6870" s="77">
        <v>0.5</v>
      </c>
      <c r="V6870">
        <v>73.039999999999992</v>
      </c>
      <c r="X6870" s="42"/>
      <c r="AB6870">
        <v>62.7</v>
      </c>
      <c r="AC6870">
        <v>71.06</v>
      </c>
      <c r="AE6870" s="74"/>
      <c r="AF6870" s="77"/>
      <c r="AH6870" s="497">
        <v>57.2</v>
      </c>
      <c r="AJ6870" s="42"/>
      <c r="AK6870" s="74"/>
      <c r="AL6870" s="77"/>
      <c r="AN6870" s="497">
        <v>59</v>
      </c>
      <c r="AP6870" s="42"/>
      <c r="AQ6870" s="74"/>
      <c r="AR6870" s="77"/>
      <c r="AT6870" s="497">
        <v>59</v>
      </c>
      <c r="AV6870" s="42"/>
      <c r="AW6870" s="74"/>
      <c r="AX6870" s="77"/>
      <c r="BA6870" s="497">
        <v>57.92</v>
      </c>
      <c r="BB6870" s="42"/>
      <c r="BC6870" s="74"/>
      <c r="BD6870" s="77"/>
      <c r="BF6870">
        <v>53.06</v>
      </c>
      <c r="BH6870" s="42"/>
      <c r="BI6870" s="74"/>
      <c r="BJ6870" s="77"/>
      <c r="BL6870" s="497">
        <v>53.96</v>
      </c>
      <c r="BN6870" s="42"/>
      <c r="BO6870" s="74"/>
      <c r="BP6870" s="77"/>
      <c r="BR6870" s="497">
        <v>59</v>
      </c>
      <c r="BT6870" s="42"/>
    </row>
    <row r="6871" spans="1:72" x14ac:dyDescent="0.25">
      <c r="A6871" s="90">
        <v>37177</v>
      </c>
      <c r="B6871" s="20">
        <v>0.54166666666666663</v>
      </c>
      <c r="D6871">
        <v>71.960000000000008</v>
      </c>
      <c r="E6871" t="str">
        <f t="shared" si="250"/>
        <v>SATURDAY</v>
      </c>
      <c r="F6871" t="e">
        <f t="shared" si="249"/>
        <v>#N/A</v>
      </c>
      <c r="G6871" s="74">
        <v>29507</v>
      </c>
      <c r="H6871" s="77">
        <v>0.54166666666666663</v>
      </c>
      <c r="J6871">
        <v>53.96</v>
      </c>
      <c r="M6871" s="74">
        <v>36446</v>
      </c>
      <c r="N6871" s="77">
        <v>0.54166666666666663</v>
      </c>
      <c r="P6871">
        <v>68</v>
      </c>
      <c r="S6871" s="74">
        <v>37177</v>
      </c>
      <c r="T6871" s="77">
        <v>0.54166666666666663</v>
      </c>
      <c r="V6871">
        <v>71.06</v>
      </c>
      <c r="X6871" s="42"/>
      <c r="AB6871">
        <v>63.7</v>
      </c>
      <c r="AC6871">
        <v>71.06</v>
      </c>
      <c r="AE6871" s="74"/>
      <c r="AF6871" s="77"/>
      <c r="AH6871" s="497">
        <v>57.2</v>
      </c>
      <c r="AJ6871" s="42"/>
      <c r="AK6871" s="74"/>
      <c r="AL6871" s="77"/>
      <c r="AN6871" s="497">
        <v>59</v>
      </c>
      <c r="AP6871" s="42"/>
      <c r="AQ6871" s="74"/>
      <c r="AR6871" s="77"/>
      <c r="AT6871" s="497">
        <v>59</v>
      </c>
      <c r="AV6871" s="42"/>
      <c r="AW6871" s="74"/>
      <c r="AX6871" s="77"/>
      <c r="BA6871" s="497">
        <v>62.06</v>
      </c>
      <c r="BB6871" s="42"/>
      <c r="BC6871" s="74"/>
      <c r="BD6871" s="77"/>
      <c r="BF6871">
        <v>53.96</v>
      </c>
      <c r="BH6871" s="42"/>
      <c r="BI6871" s="74"/>
      <c r="BJ6871" s="77"/>
      <c r="BL6871" s="497">
        <v>53.96</v>
      </c>
      <c r="BN6871" s="42"/>
      <c r="BO6871" s="74"/>
      <c r="BP6871" s="77"/>
      <c r="BR6871" s="497">
        <v>60.08</v>
      </c>
      <c r="BT6871" s="42"/>
    </row>
    <row r="6872" spans="1:72" x14ac:dyDescent="0.25">
      <c r="A6872" s="90">
        <v>37177</v>
      </c>
      <c r="B6872" s="20">
        <v>0.58333333333333337</v>
      </c>
      <c r="D6872">
        <v>73.039999999999992</v>
      </c>
      <c r="E6872" t="str">
        <f t="shared" si="250"/>
        <v>SATURDAY</v>
      </c>
      <c r="F6872" t="e">
        <f t="shared" si="249"/>
        <v>#N/A</v>
      </c>
      <c r="G6872" s="74">
        <v>29507</v>
      </c>
      <c r="H6872" s="77">
        <v>0.58333333333333337</v>
      </c>
      <c r="J6872">
        <v>53.24</v>
      </c>
      <c r="M6872" s="74">
        <v>36446</v>
      </c>
      <c r="N6872" s="77">
        <v>0.58333333333333337</v>
      </c>
      <c r="P6872">
        <v>68</v>
      </c>
      <c r="S6872" s="74">
        <v>37177</v>
      </c>
      <c r="T6872" s="77">
        <v>0.58333333333333337</v>
      </c>
      <c r="V6872">
        <v>71.06</v>
      </c>
      <c r="X6872" s="42"/>
      <c r="AB6872">
        <v>64.3</v>
      </c>
      <c r="AC6872">
        <v>71.960000000000008</v>
      </c>
      <c r="AE6872" s="74"/>
      <c r="AF6872" s="77"/>
      <c r="AH6872" s="497">
        <v>59</v>
      </c>
      <c r="AJ6872" s="42"/>
      <c r="AK6872" s="74"/>
      <c r="AL6872" s="77"/>
      <c r="AN6872" s="497">
        <v>60.980000000000004</v>
      </c>
      <c r="AP6872" s="42"/>
      <c r="AQ6872" s="74"/>
      <c r="AR6872" s="77"/>
      <c r="AT6872" s="497">
        <v>60.08</v>
      </c>
      <c r="AV6872" s="42"/>
      <c r="AW6872" s="74"/>
      <c r="AX6872" s="77"/>
      <c r="BA6872" s="497">
        <v>62.96</v>
      </c>
      <c r="BB6872" s="42"/>
      <c r="BC6872" s="74"/>
      <c r="BD6872" s="77"/>
      <c r="BF6872">
        <v>53.06</v>
      </c>
      <c r="BH6872" s="42"/>
      <c r="BI6872" s="74"/>
      <c r="BJ6872" s="77"/>
      <c r="BL6872" s="497">
        <v>55.040000000000006</v>
      </c>
      <c r="BN6872" s="42"/>
      <c r="BO6872" s="74"/>
      <c r="BP6872" s="77"/>
      <c r="BR6872" s="497">
        <v>60.980000000000004</v>
      </c>
      <c r="BT6872" s="42"/>
    </row>
    <row r="6873" spans="1:72" x14ac:dyDescent="0.25">
      <c r="A6873" s="90">
        <v>37177</v>
      </c>
      <c r="B6873" s="20">
        <v>0.625</v>
      </c>
      <c r="D6873">
        <v>73.94</v>
      </c>
      <c r="E6873" t="str">
        <f t="shared" si="250"/>
        <v>SATURDAY</v>
      </c>
      <c r="F6873" t="e">
        <f t="shared" si="249"/>
        <v>#N/A</v>
      </c>
      <c r="G6873" s="74">
        <v>29507</v>
      </c>
      <c r="H6873" s="77">
        <v>0.625</v>
      </c>
      <c r="J6873">
        <v>52.7</v>
      </c>
      <c r="M6873" s="74">
        <v>36446</v>
      </c>
      <c r="N6873" s="77">
        <v>0.625</v>
      </c>
      <c r="P6873">
        <v>68</v>
      </c>
      <c r="S6873" s="74">
        <v>37177</v>
      </c>
      <c r="T6873" s="77">
        <v>0.625</v>
      </c>
      <c r="V6873">
        <v>69.98</v>
      </c>
      <c r="X6873" s="42"/>
      <c r="AB6873">
        <v>64.5</v>
      </c>
      <c r="AC6873">
        <v>69.98</v>
      </c>
      <c r="AE6873" s="74"/>
      <c r="AF6873" s="77"/>
      <c r="AH6873" s="497">
        <v>60.8</v>
      </c>
      <c r="AJ6873" s="42"/>
      <c r="AK6873" s="74"/>
      <c r="AL6873" s="77"/>
      <c r="AN6873" s="497">
        <v>62.06</v>
      </c>
      <c r="AP6873" s="42"/>
      <c r="AQ6873" s="74"/>
      <c r="AR6873" s="77"/>
      <c r="AT6873" s="497">
        <v>60.980000000000004</v>
      </c>
      <c r="AV6873" s="42"/>
      <c r="AW6873" s="74"/>
      <c r="AX6873" s="77"/>
      <c r="BA6873" s="497">
        <v>62.96</v>
      </c>
      <c r="BB6873" s="42"/>
      <c r="BC6873" s="74"/>
      <c r="BD6873" s="77"/>
      <c r="BF6873">
        <v>53.96</v>
      </c>
      <c r="BH6873" s="42"/>
      <c r="BI6873" s="74"/>
      <c r="BJ6873" s="77"/>
      <c r="BL6873" s="497">
        <v>53.96</v>
      </c>
      <c r="BN6873" s="42"/>
      <c r="BO6873" s="74"/>
      <c r="BP6873" s="77"/>
      <c r="BR6873" s="497">
        <v>60.980000000000004</v>
      </c>
      <c r="BT6873" s="42"/>
    </row>
    <row r="6874" spans="1:72" x14ac:dyDescent="0.25">
      <c r="A6874" s="90">
        <v>37177</v>
      </c>
      <c r="B6874" s="20">
        <v>0.66666666666666663</v>
      </c>
      <c r="D6874">
        <v>71.960000000000008</v>
      </c>
      <c r="E6874" t="str">
        <f t="shared" si="250"/>
        <v>SATURDAY</v>
      </c>
      <c r="F6874" t="e">
        <f t="shared" si="249"/>
        <v>#N/A</v>
      </c>
      <c r="G6874" s="74">
        <v>29507</v>
      </c>
      <c r="H6874" s="77">
        <v>0.66666666666666663</v>
      </c>
      <c r="J6874">
        <v>51.980000000000004</v>
      </c>
      <c r="M6874" s="74">
        <v>36446</v>
      </c>
      <c r="N6874" s="77">
        <v>0.66666666666666663</v>
      </c>
      <c r="P6874">
        <v>68</v>
      </c>
      <c r="S6874" s="74">
        <v>37177</v>
      </c>
      <c r="T6874" s="77">
        <v>0.66666666666666663</v>
      </c>
      <c r="V6874">
        <v>66.92</v>
      </c>
      <c r="X6874" s="42"/>
      <c r="AB6874">
        <v>64.3</v>
      </c>
      <c r="AC6874">
        <v>69.080000000000013</v>
      </c>
      <c r="AE6874" s="74"/>
      <c r="AF6874" s="77"/>
      <c r="AH6874" s="497">
        <v>60.8</v>
      </c>
      <c r="AJ6874" s="42"/>
      <c r="AK6874" s="74"/>
      <c r="AL6874" s="77"/>
      <c r="AN6874" s="497">
        <v>60.980000000000004</v>
      </c>
      <c r="AP6874" s="42"/>
      <c r="AQ6874" s="74"/>
      <c r="AR6874" s="77"/>
      <c r="AT6874" s="497">
        <v>60.980000000000004</v>
      </c>
      <c r="AV6874" s="42"/>
      <c r="AW6874" s="74"/>
      <c r="AX6874" s="77"/>
      <c r="BA6874" s="497">
        <v>62.96</v>
      </c>
      <c r="BB6874" s="42"/>
      <c r="BC6874" s="74"/>
      <c r="BD6874" s="77"/>
      <c r="BF6874">
        <v>51.980000000000004</v>
      </c>
      <c r="BH6874" s="42"/>
      <c r="BI6874" s="74"/>
      <c r="BJ6874" s="77"/>
      <c r="BL6874" s="497">
        <v>53.96</v>
      </c>
      <c r="BN6874" s="42"/>
      <c r="BO6874" s="74"/>
      <c r="BP6874" s="77"/>
      <c r="BR6874" s="497">
        <v>62.06</v>
      </c>
      <c r="BT6874" s="42"/>
    </row>
    <row r="6875" spans="1:72" x14ac:dyDescent="0.25">
      <c r="A6875" s="90">
        <v>37177</v>
      </c>
      <c r="B6875" s="20">
        <v>0.70833333333333337</v>
      </c>
      <c r="D6875">
        <v>69.080000000000013</v>
      </c>
      <c r="E6875" t="str">
        <f t="shared" si="250"/>
        <v>SATURDAY</v>
      </c>
      <c r="F6875" t="e">
        <f t="shared" si="249"/>
        <v>#N/A</v>
      </c>
      <c r="G6875" s="74">
        <v>29507</v>
      </c>
      <c r="H6875" s="77">
        <v>0.70833333333333337</v>
      </c>
      <c r="J6875">
        <v>50.36</v>
      </c>
      <c r="M6875" s="74">
        <v>36446</v>
      </c>
      <c r="N6875" s="77">
        <v>0.70833333333333337</v>
      </c>
      <c r="P6875">
        <v>66.2</v>
      </c>
      <c r="S6875" s="74">
        <v>37177</v>
      </c>
      <c r="T6875" s="77">
        <v>0.70833333333333337</v>
      </c>
      <c r="V6875">
        <v>62.96</v>
      </c>
      <c r="X6875" s="42"/>
      <c r="AB6875">
        <v>63.4</v>
      </c>
      <c r="AC6875">
        <v>64.94</v>
      </c>
      <c r="AE6875" s="74"/>
      <c r="AF6875" s="77"/>
      <c r="AH6875" s="497">
        <v>59</v>
      </c>
      <c r="AJ6875" s="42"/>
      <c r="AK6875" s="74"/>
      <c r="AL6875" s="77"/>
      <c r="AN6875" s="497">
        <v>60.980000000000004</v>
      </c>
      <c r="AP6875" s="42"/>
      <c r="AQ6875" s="74"/>
      <c r="AR6875" s="77"/>
      <c r="AT6875" s="497">
        <v>60.980000000000004</v>
      </c>
      <c r="AV6875" s="42"/>
      <c r="AW6875" s="74"/>
      <c r="AX6875" s="77"/>
      <c r="BA6875" s="497">
        <v>60.08</v>
      </c>
      <c r="BB6875" s="42"/>
      <c r="BC6875" s="74"/>
      <c r="BD6875" s="77"/>
      <c r="BF6875">
        <v>51.08</v>
      </c>
      <c r="BH6875" s="42"/>
      <c r="BI6875" s="74"/>
      <c r="BJ6875" s="77"/>
      <c r="BL6875" s="497">
        <v>53.06</v>
      </c>
      <c r="BN6875" s="42"/>
      <c r="BO6875" s="74"/>
      <c r="BP6875" s="77"/>
      <c r="BR6875" s="497">
        <v>60.980000000000004</v>
      </c>
      <c r="BT6875" s="42"/>
    </row>
    <row r="6876" spans="1:72" x14ac:dyDescent="0.25">
      <c r="A6876" s="90">
        <v>37177</v>
      </c>
      <c r="B6876" s="20">
        <v>0.75</v>
      </c>
      <c r="D6876">
        <v>66.02</v>
      </c>
      <c r="E6876" t="str">
        <f t="shared" si="250"/>
        <v>SATURDAY</v>
      </c>
      <c r="F6876" t="e">
        <f t="shared" si="249"/>
        <v>#N/A</v>
      </c>
      <c r="G6876" s="74">
        <v>29507</v>
      </c>
      <c r="H6876" s="77">
        <v>0.75</v>
      </c>
      <c r="J6876">
        <v>48.56</v>
      </c>
      <c r="M6876" s="74">
        <v>36446</v>
      </c>
      <c r="N6876" s="77">
        <v>0.75</v>
      </c>
      <c r="P6876">
        <v>64.400000000000006</v>
      </c>
      <c r="S6876" s="74">
        <v>37177</v>
      </c>
      <c r="T6876" s="77">
        <v>0.75</v>
      </c>
      <c r="V6876">
        <v>60.980000000000004</v>
      </c>
      <c r="X6876" s="42"/>
      <c r="AB6876">
        <v>61.8</v>
      </c>
      <c r="AC6876">
        <v>60.980000000000004</v>
      </c>
      <c r="AE6876" s="74"/>
      <c r="AF6876" s="77"/>
      <c r="AH6876" s="497">
        <v>59</v>
      </c>
      <c r="AJ6876" s="42"/>
      <c r="AK6876" s="74"/>
      <c r="AL6876" s="77"/>
      <c r="AN6876" s="497">
        <v>60.980000000000004</v>
      </c>
      <c r="AP6876" s="42"/>
      <c r="AQ6876" s="74"/>
      <c r="AR6876" s="77"/>
      <c r="AT6876" s="497">
        <v>60.980000000000004</v>
      </c>
      <c r="AV6876" s="42"/>
      <c r="AW6876" s="74"/>
      <c r="AX6876" s="77"/>
      <c r="BA6876" s="497">
        <v>60.08</v>
      </c>
      <c r="BB6876" s="42"/>
      <c r="BC6876" s="74"/>
      <c r="BD6876" s="77"/>
      <c r="BF6876">
        <v>50</v>
      </c>
      <c r="BH6876" s="42"/>
      <c r="BI6876" s="74"/>
      <c r="BJ6876" s="77"/>
      <c r="BL6876" s="497">
        <v>51.980000000000004</v>
      </c>
      <c r="BN6876" s="42"/>
      <c r="BO6876" s="74"/>
      <c r="BP6876" s="77"/>
      <c r="BR6876" s="497">
        <v>60.08</v>
      </c>
      <c r="BT6876" s="42"/>
    </row>
    <row r="6877" spans="1:72" x14ac:dyDescent="0.25">
      <c r="A6877" s="90">
        <v>37177</v>
      </c>
      <c r="B6877" s="20">
        <v>0.79166666666666663</v>
      </c>
      <c r="D6877">
        <v>62.96</v>
      </c>
      <c r="E6877" t="str">
        <f t="shared" si="250"/>
        <v>SATURDAY</v>
      </c>
      <c r="F6877" t="e">
        <f t="shared" si="249"/>
        <v>#N/A</v>
      </c>
      <c r="G6877" s="74">
        <v>29507</v>
      </c>
      <c r="H6877" s="77">
        <v>0.79166666666666663</v>
      </c>
      <c r="J6877">
        <v>46.94</v>
      </c>
      <c r="M6877" s="74">
        <v>36446</v>
      </c>
      <c r="N6877" s="77">
        <v>0.79166666666666663</v>
      </c>
      <c r="P6877">
        <v>64.400000000000006</v>
      </c>
      <c r="S6877" s="74">
        <v>37177</v>
      </c>
      <c r="T6877" s="77">
        <v>0.79166666666666663</v>
      </c>
      <c r="V6877">
        <v>60.980000000000004</v>
      </c>
      <c r="X6877" s="42"/>
      <c r="AB6877">
        <v>60.5</v>
      </c>
      <c r="AC6877">
        <v>60.08</v>
      </c>
      <c r="AE6877" s="74"/>
      <c r="AF6877" s="77"/>
      <c r="AH6877" s="497">
        <v>59</v>
      </c>
      <c r="AJ6877" s="42"/>
      <c r="AK6877" s="74"/>
      <c r="AL6877" s="77"/>
      <c r="AN6877" s="497">
        <v>60.08</v>
      </c>
      <c r="AP6877" s="42"/>
      <c r="AQ6877" s="74"/>
      <c r="AR6877" s="77"/>
      <c r="AT6877" s="497">
        <v>60.980000000000004</v>
      </c>
      <c r="AV6877" s="42"/>
      <c r="AW6877" s="74"/>
      <c r="AX6877" s="77"/>
      <c r="BA6877" s="497">
        <v>60.08</v>
      </c>
      <c r="BB6877" s="42"/>
      <c r="BC6877" s="74"/>
      <c r="BD6877" s="77"/>
      <c r="BF6877">
        <v>48.92</v>
      </c>
      <c r="BH6877" s="42"/>
      <c r="BI6877" s="74"/>
      <c r="BJ6877" s="77"/>
      <c r="BL6877" s="497">
        <v>51.980000000000004</v>
      </c>
      <c r="BN6877" s="42"/>
      <c r="BO6877" s="74"/>
      <c r="BP6877" s="77"/>
      <c r="BR6877" s="497">
        <v>60.08</v>
      </c>
      <c r="BT6877" s="42"/>
    </row>
    <row r="6878" spans="1:72" x14ac:dyDescent="0.25">
      <c r="A6878" s="90">
        <v>37177</v>
      </c>
      <c r="B6878" s="20">
        <v>0.83333333333333337</v>
      </c>
      <c r="D6878">
        <v>62.6</v>
      </c>
      <c r="E6878" t="str">
        <f t="shared" si="250"/>
        <v>SATURDAY</v>
      </c>
      <c r="F6878" t="e">
        <f t="shared" si="249"/>
        <v>#N/A</v>
      </c>
      <c r="G6878" s="74">
        <v>29507</v>
      </c>
      <c r="H6878" s="77">
        <v>0.83333333333333337</v>
      </c>
      <c r="J6878">
        <v>46.58</v>
      </c>
      <c r="M6878" s="74">
        <v>36446</v>
      </c>
      <c r="N6878" s="77">
        <v>0.83333333333333337</v>
      </c>
      <c r="P6878">
        <v>64.400000000000006</v>
      </c>
      <c r="S6878" s="74">
        <v>37177</v>
      </c>
      <c r="T6878" s="77">
        <v>0.83333333333333337</v>
      </c>
      <c r="V6878">
        <v>60.980000000000004</v>
      </c>
      <c r="X6878" s="42"/>
      <c r="AB6878">
        <v>59.8</v>
      </c>
      <c r="AC6878">
        <v>55.94</v>
      </c>
      <c r="AE6878" s="74"/>
      <c r="AF6878" s="77"/>
      <c r="AH6878" s="497">
        <v>59</v>
      </c>
      <c r="AJ6878" s="42"/>
      <c r="AK6878" s="74"/>
      <c r="AL6878" s="77"/>
      <c r="AN6878" s="497">
        <v>60.08</v>
      </c>
      <c r="AP6878" s="42"/>
      <c r="AQ6878" s="74"/>
      <c r="AR6878" s="77"/>
      <c r="AT6878" s="497">
        <v>60.980000000000004</v>
      </c>
      <c r="AV6878" s="42"/>
      <c r="AW6878" s="74"/>
      <c r="AX6878" s="77"/>
      <c r="BA6878" s="497">
        <v>59</v>
      </c>
      <c r="BB6878" s="42"/>
      <c r="BC6878" s="74"/>
      <c r="BD6878" s="77"/>
      <c r="BF6878">
        <v>48.019999999999996</v>
      </c>
      <c r="BH6878" s="42"/>
      <c r="BI6878" s="74"/>
      <c r="BJ6878" s="77"/>
      <c r="BL6878" s="497">
        <v>51.08</v>
      </c>
      <c r="BN6878" s="42"/>
      <c r="BO6878" s="74"/>
      <c r="BP6878" s="77"/>
      <c r="BR6878" s="497">
        <v>60.08</v>
      </c>
      <c r="BT6878" s="42"/>
    </row>
    <row r="6879" spans="1:72" x14ac:dyDescent="0.25">
      <c r="A6879" s="90">
        <v>37177</v>
      </c>
      <c r="B6879" s="20">
        <v>0.875</v>
      </c>
      <c r="D6879">
        <v>62.06</v>
      </c>
      <c r="E6879" t="str">
        <f t="shared" si="250"/>
        <v>SATURDAY</v>
      </c>
      <c r="F6879" t="e">
        <f t="shared" si="249"/>
        <v>#N/A</v>
      </c>
      <c r="G6879" s="74">
        <v>29507</v>
      </c>
      <c r="H6879" s="77">
        <v>0.875</v>
      </c>
      <c r="J6879">
        <v>46.4</v>
      </c>
      <c r="M6879" s="74">
        <v>36446</v>
      </c>
      <c r="N6879" s="77">
        <v>0.875</v>
      </c>
      <c r="P6879">
        <v>64.400000000000006</v>
      </c>
      <c r="S6879" s="74">
        <v>37177</v>
      </c>
      <c r="T6879" s="77">
        <v>0.875</v>
      </c>
      <c r="V6879">
        <v>60.08</v>
      </c>
      <c r="X6879" s="42"/>
      <c r="AB6879">
        <v>59.1</v>
      </c>
      <c r="AC6879">
        <v>55.040000000000006</v>
      </c>
      <c r="AE6879" s="74"/>
      <c r="AF6879" s="77"/>
      <c r="AH6879" s="497">
        <v>55.400000000000006</v>
      </c>
      <c r="AJ6879" s="42"/>
      <c r="AK6879" s="74"/>
      <c r="AL6879" s="77"/>
      <c r="AN6879" s="497">
        <v>57.92</v>
      </c>
      <c r="AP6879" s="42"/>
      <c r="AQ6879" s="74"/>
      <c r="AR6879" s="77"/>
      <c r="AT6879" s="497">
        <v>60.980000000000004</v>
      </c>
      <c r="AV6879" s="42"/>
      <c r="AW6879" s="74"/>
      <c r="AX6879" s="77"/>
      <c r="BA6879" s="497">
        <v>57.92</v>
      </c>
      <c r="BB6879" s="42"/>
      <c r="BC6879" s="74"/>
      <c r="BD6879" s="77"/>
      <c r="BF6879">
        <v>48.019999999999996</v>
      </c>
      <c r="BH6879" s="42"/>
      <c r="BI6879" s="74"/>
      <c r="BJ6879" s="77"/>
      <c r="BL6879" s="497">
        <v>50</v>
      </c>
      <c r="BN6879" s="42"/>
      <c r="BO6879" s="74"/>
      <c r="BP6879" s="77"/>
      <c r="BR6879" s="497">
        <v>60.08</v>
      </c>
      <c r="BT6879" s="42"/>
    </row>
    <row r="6880" spans="1:72" x14ac:dyDescent="0.25">
      <c r="A6880" s="90">
        <v>37177</v>
      </c>
      <c r="B6880" s="20">
        <v>0.91666666666666663</v>
      </c>
      <c r="D6880">
        <v>60.980000000000004</v>
      </c>
      <c r="E6880" t="str">
        <f t="shared" si="250"/>
        <v>SATURDAY</v>
      </c>
      <c r="F6880" t="e">
        <f t="shared" si="249"/>
        <v>#N/A</v>
      </c>
      <c r="G6880" s="74">
        <v>29507</v>
      </c>
      <c r="H6880" s="77">
        <v>0.91666666666666663</v>
      </c>
      <c r="J6880">
        <v>46.04</v>
      </c>
      <c r="M6880" s="74">
        <v>36446</v>
      </c>
      <c r="N6880" s="77">
        <v>0.91666666666666663</v>
      </c>
      <c r="P6880">
        <v>64.400000000000006</v>
      </c>
      <c r="S6880" s="74">
        <v>37177</v>
      </c>
      <c r="T6880" s="77">
        <v>0.91666666666666663</v>
      </c>
      <c r="V6880">
        <v>57.92</v>
      </c>
      <c r="X6880" s="42"/>
      <c r="AB6880">
        <v>58.6</v>
      </c>
      <c r="AC6880">
        <v>57.019999999999996</v>
      </c>
      <c r="AE6880" s="74"/>
      <c r="AF6880" s="77"/>
      <c r="AH6880" s="497">
        <v>53.6</v>
      </c>
      <c r="AJ6880" s="42"/>
      <c r="AK6880" s="74"/>
      <c r="AL6880" s="77"/>
      <c r="AN6880" s="497">
        <v>57.92</v>
      </c>
      <c r="AP6880" s="42"/>
      <c r="AQ6880" s="74"/>
      <c r="AR6880" s="77"/>
      <c r="AT6880" s="497">
        <v>60.980000000000004</v>
      </c>
      <c r="AV6880" s="42"/>
      <c r="AW6880" s="74"/>
      <c r="AX6880" s="77"/>
      <c r="BA6880" s="497">
        <v>57.019999999999996</v>
      </c>
      <c r="BB6880" s="42"/>
      <c r="BC6880" s="74"/>
      <c r="BD6880" s="77"/>
      <c r="BF6880">
        <v>48.019999999999996</v>
      </c>
      <c r="BH6880" s="42"/>
      <c r="BI6880" s="74"/>
      <c r="BJ6880" s="77"/>
      <c r="BL6880" s="497">
        <v>50</v>
      </c>
      <c r="BN6880" s="42"/>
      <c r="BO6880" s="74"/>
      <c r="BP6880" s="77"/>
      <c r="BR6880" s="497">
        <v>60.08</v>
      </c>
      <c r="BT6880" s="42"/>
    </row>
    <row r="6881" spans="1:72" x14ac:dyDescent="0.25">
      <c r="A6881" s="90">
        <v>37177</v>
      </c>
      <c r="B6881" s="20">
        <v>0.95833333333333337</v>
      </c>
      <c r="D6881">
        <v>60.980000000000004</v>
      </c>
      <c r="E6881" t="str">
        <f t="shared" si="250"/>
        <v>SATURDAY</v>
      </c>
      <c r="F6881" t="e">
        <f t="shared" si="249"/>
        <v>#N/A</v>
      </c>
      <c r="G6881" s="74">
        <v>29507</v>
      </c>
      <c r="H6881" s="77">
        <v>0.95833333333333337</v>
      </c>
      <c r="J6881">
        <v>45.68</v>
      </c>
      <c r="M6881" s="74">
        <v>36446</v>
      </c>
      <c r="N6881" s="77">
        <v>0.95833333333333337</v>
      </c>
      <c r="P6881">
        <v>63.5</v>
      </c>
      <c r="S6881" s="74">
        <v>37177</v>
      </c>
      <c r="T6881" s="77">
        <v>0.95833333333333337</v>
      </c>
      <c r="V6881">
        <v>57.019999999999996</v>
      </c>
      <c r="X6881" s="42"/>
      <c r="AB6881">
        <v>57.9</v>
      </c>
      <c r="AC6881">
        <v>51.980000000000004</v>
      </c>
      <c r="AE6881" s="74"/>
      <c r="AF6881" s="77"/>
      <c r="AH6881" s="497">
        <v>53.6</v>
      </c>
      <c r="AJ6881" s="42"/>
      <c r="AK6881" s="74"/>
      <c r="AL6881" s="77"/>
      <c r="AN6881" s="497">
        <v>57.92</v>
      </c>
      <c r="AP6881" s="42"/>
      <c r="AQ6881" s="74"/>
      <c r="AR6881" s="77"/>
      <c r="AT6881" s="497">
        <v>60.980000000000004</v>
      </c>
      <c r="AV6881" s="42"/>
      <c r="AW6881" s="74"/>
      <c r="AX6881" s="77"/>
      <c r="BA6881" s="497">
        <v>55.94</v>
      </c>
      <c r="BB6881" s="42"/>
      <c r="BC6881" s="74"/>
      <c r="BD6881" s="77"/>
      <c r="BF6881">
        <v>46.94</v>
      </c>
      <c r="BH6881" s="42"/>
      <c r="BI6881" s="74"/>
      <c r="BJ6881" s="77"/>
      <c r="BL6881" s="497">
        <v>48.92</v>
      </c>
      <c r="BN6881" s="42"/>
      <c r="BO6881" s="74"/>
      <c r="BP6881" s="77"/>
      <c r="BR6881" s="497">
        <v>59</v>
      </c>
      <c r="BT6881" s="42"/>
    </row>
    <row r="6882" spans="1:72" x14ac:dyDescent="0.25">
      <c r="A6882" s="90">
        <v>37177</v>
      </c>
      <c r="B6882" s="20">
        <v>1</v>
      </c>
      <c r="D6882">
        <v>60.980000000000004</v>
      </c>
      <c r="E6882" t="str">
        <f t="shared" si="250"/>
        <v>SATURDAY</v>
      </c>
      <c r="F6882" t="e">
        <f t="shared" si="249"/>
        <v>#N/A</v>
      </c>
      <c r="G6882" s="74">
        <v>29507</v>
      </c>
      <c r="H6882" s="77">
        <v>1</v>
      </c>
      <c r="J6882">
        <v>45.32</v>
      </c>
      <c r="M6882" s="74">
        <v>36446</v>
      </c>
      <c r="N6882" s="80">
        <v>1</v>
      </c>
      <c r="P6882">
        <v>62.6</v>
      </c>
      <c r="S6882" s="74">
        <v>37177</v>
      </c>
      <c r="T6882" s="80">
        <v>1</v>
      </c>
      <c r="V6882">
        <v>57.019999999999996</v>
      </c>
      <c r="X6882" s="42"/>
      <c r="AB6882">
        <v>57.2</v>
      </c>
      <c r="AC6882">
        <v>51.980000000000004</v>
      </c>
      <c r="AE6882" s="74"/>
      <c r="AF6882" s="80"/>
      <c r="AH6882" s="497">
        <v>51.8</v>
      </c>
      <c r="AJ6882" s="42"/>
      <c r="AK6882" s="74"/>
      <c r="AL6882" s="80"/>
      <c r="AN6882" s="497">
        <v>57.92</v>
      </c>
      <c r="AP6882" s="42"/>
      <c r="AQ6882" s="74"/>
      <c r="AR6882" s="80"/>
      <c r="AT6882" s="497">
        <v>60.980000000000004</v>
      </c>
      <c r="AV6882" s="42"/>
      <c r="AW6882" s="74"/>
      <c r="AX6882" s="80"/>
      <c r="BA6882" s="497">
        <v>55.94</v>
      </c>
      <c r="BB6882" s="42"/>
      <c r="BC6882" s="74"/>
      <c r="BD6882" s="80"/>
      <c r="BF6882">
        <v>46.04</v>
      </c>
      <c r="BH6882" s="42"/>
      <c r="BI6882" s="74"/>
      <c r="BJ6882" s="80"/>
      <c r="BL6882" s="497">
        <v>48.92</v>
      </c>
      <c r="BN6882" s="42"/>
      <c r="BO6882" s="74"/>
      <c r="BP6882" s="80"/>
      <c r="BR6882" s="497">
        <v>57.92</v>
      </c>
      <c r="BT6882" s="42"/>
    </row>
    <row r="6883" spans="1:72" x14ac:dyDescent="0.25">
      <c r="A6883" s="90">
        <v>37178</v>
      </c>
      <c r="B6883" s="20">
        <v>4.1666666666666664E-2</v>
      </c>
      <c r="D6883">
        <v>60.980000000000004</v>
      </c>
      <c r="E6883" t="str">
        <f t="shared" si="250"/>
        <v>SUNDAY</v>
      </c>
      <c r="F6883" t="e">
        <f t="shared" si="249"/>
        <v>#N/A</v>
      </c>
      <c r="G6883" s="74">
        <v>29508</v>
      </c>
      <c r="H6883" s="77">
        <v>4.1666666666666664E-2</v>
      </c>
      <c r="J6883">
        <v>44.96</v>
      </c>
      <c r="M6883" s="74">
        <v>36447</v>
      </c>
      <c r="N6883" s="77">
        <v>4.1666666666666664E-2</v>
      </c>
      <c r="P6883">
        <v>62.6</v>
      </c>
      <c r="S6883" s="74">
        <v>37178</v>
      </c>
      <c r="T6883" s="77">
        <v>4.1666666666666664E-2</v>
      </c>
      <c r="V6883">
        <v>59</v>
      </c>
      <c r="X6883" s="42"/>
      <c r="AB6883">
        <v>56.5</v>
      </c>
      <c r="AC6883">
        <v>50</v>
      </c>
      <c r="AE6883" s="74"/>
      <c r="AF6883" s="77"/>
      <c r="AH6883" s="497">
        <v>51.8</v>
      </c>
      <c r="AJ6883" s="42"/>
      <c r="AK6883" s="74"/>
      <c r="AL6883" s="77"/>
      <c r="AN6883" s="497">
        <v>59</v>
      </c>
      <c r="AP6883" s="42"/>
      <c r="AQ6883" s="74"/>
      <c r="AR6883" s="77"/>
      <c r="AT6883" s="497">
        <v>60.980000000000004</v>
      </c>
      <c r="AV6883" s="42"/>
      <c r="AW6883" s="74"/>
      <c r="AX6883" s="77"/>
      <c r="BA6883" s="497">
        <v>57.019999999999996</v>
      </c>
      <c r="BB6883" s="42"/>
      <c r="BC6883" s="74"/>
      <c r="BD6883" s="77"/>
      <c r="BF6883">
        <v>44.96</v>
      </c>
      <c r="BH6883" s="42"/>
      <c r="BI6883" s="74"/>
      <c r="BJ6883" s="77"/>
      <c r="BL6883" s="497">
        <v>48.92</v>
      </c>
      <c r="BN6883" s="42"/>
      <c r="BO6883" s="74"/>
      <c r="BP6883" s="77"/>
      <c r="BR6883" s="497">
        <v>57.92</v>
      </c>
      <c r="BT6883" s="42"/>
    </row>
    <row r="6884" spans="1:72" x14ac:dyDescent="0.25">
      <c r="A6884" s="90">
        <v>37178</v>
      </c>
      <c r="B6884" s="20">
        <v>8.3333333333333329E-2</v>
      </c>
      <c r="D6884">
        <v>60.08</v>
      </c>
      <c r="E6884" t="str">
        <f t="shared" si="250"/>
        <v>SUNDAY</v>
      </c>
      <c r="F6884" t="e">
        <f t="shared" si="249"/>
        <v>#N/A</v>
      </c>
      <c r="G6884" s="74">
        <v>29508</v>
      </c>
      <c r="H6884" s="77">
        <v>8.3333333333333329E-2</v>
      </c>
      <c r="J6884">
        <v>44.96</v>
      </c>
      <c r="M6884" s="74">
        <v>36447</v>
      </c>
      <c r="N6884" s="77">
        <v>8.3333333333333329E-2</v>
      </c>
      <c r="P6884">
        <v>60.8</v>
      </c>
      <c r="S6884" s="74">
        <v>37178</v>
      </c>
      <c r="T6884" s="77">
        <v>8.3333333333333329E-2</v>
      </c>
      <c r="V6884">
        <v>59</v>
      </c>
      <c r="X6884" s="42"/>
      <c r="AB6884">
        <v>55.8</v>
      </c>
      <c r="AC6884">
        <v>51.08</v>
      </c>
      <c r="AE6884" s="74"/>
      <c r="AF6884" s="77"/>
      <c r="AH6884" s="497">
        <v>48.2</v>
      </c>
      <c r="AJ6884" s="42"/>
      <c r="AK6884" s="74"/>
      <c r="AL6884" s="77"/>
      <c r="AN6884" s="497">
        <v>59</v>
      </c>
      <c r="AP6884" s="42"/>
      <c r="AQ6884" s="74"/>
      <c r="AR6884" s="77"/>
      <c r="AT6884" s="497">
        <v>60.980000000000004</v>
      </c>
      <c r="AV6884" s="42"/>
      <c r="AW6884" s="74"/>
      <c r="AX6884" s="77"/>
      <c r="BA6884" s="497">
        <v>57.92</v>
      </c>
      <c r="BB6884" s="42"/>
      <c r="BC6884" s="74"/>
      <c r="BD6884" s="77"/>
      <c r="BF6884">
        <v>44.96</v>
      </c>
      <c r="BH6884" s="42"/>
      <c r="BI6884" s="74"/>
      <c r="BJ6884" s="77"/>
      <c r="BL6884" s="497">
        <v>48.019999999999996</v>
      </c>
      <c r="BN6884" s="42"/>
      <c r="BO6884" s="74"/>
      <c r="BP6884" s="77"/>
      <c r="BR6884" s="497">
        <v>57.019999999999996</v>
      </c>
      <c r="BT6884" s="42"/>
    </row>
    <row r="6885" spans="1:72" x14ac:dyDescent="0.25">
      <c r="A6885" s="90">
        <v>37178</v>
      </c>
      <c r="B6885" s="20">
        <v>0.125</v>
      </c>
      <c r="D6885">
        <v>60.08</v>
      </c>
      <c r="E6885" t="str">
        <f t="shared" si="250"/>
        <v>SUNDAY</v>
      </c>
      <c r="F6885" t="e">
        <f t="shared" si="249"/>
        <v>#N/A</v>
      </c>
      <c r="G6885" s="74">
        <v>29508</v>
      </c>
      <c r="H6885" s="77">
        <v>0.125</v>
      </c>
      <c r="J6885">
        <v>44.96</v>
      </c>
      <c r="M6885" s="74">
        <v>36447</v>
      </c>
      <c r="N6885" s="77">
        <v>0.125</v>
      </c>
      <c r="P6885">
        <v>59</v>
      </c>
      <c r="S6885" s="74">
        <v>37178</v>
      </c>
      <c r="T6885" s="77">
        <v>0.125</v>
      </c>
      <c r="V6885">
        <v>57.92</v>
      </c>
      <c r="X6885" s="42"/>
      <c r="AB6885">
        <v>55.2</v>
      </c>
      <c r="AC6885">
        <v>51.08</v>
      </c>
      <c r="AE6885" s="74"/>
      <c r="AF6885" s="77"/>
      <c r="AH6885" s="497">
        <v>44.6</v>
      </c>
      <c r="AJ6885" s="42"/>
      <c r="AK6885" s="74"/>
      <c r="AL6885" s="77"/>
      <c r="AN6885" s="497">
        <v>59</v>
      </c>
      <c r="AP6885" s="42"/>
      <c r="AQ6885" s="74"/>
      <c r="AR6885" s="77"/>
      <c r="AT6885" s="497">
        <v>60.980000000000004</v>
      </c>
      <c r="AV6885" s="42"/>
      <c r="AW6885" s="74"/>
      <c r="AX6885" s="77"/>
      <c r="BA6885" s="497">
        <v>57.92</v>
      </c>
      <c r="BB6885" s="42"/>
      <c r="BC6885" s="74"/>
      <c r="BD6885" s="77"/>
      <c r="BF6885">
        <v>44.96</v>
      </c>
      <c r="BH6885" s="42"/>
      <c r="BI6885" s="74"/>
      <c r="BJ6885" s="77"/>
      <c r="BL6885" s="497">
        <v>48.019999999999996</v>
      </c>
      <c r="BN6885" s="42"/>
      <c r="BO6885" s="74"/>
      <c r="BP6885" s="77"/>
      <c r="BR6885" s="497">
        <v>55.040000000000006</v>
      </c>
      <c r="BT6885" s="42"/>
    </row>
    <row r="6886" spans="1:72" x14ac:dyDescent="0.25">
      <c r="A6886" s="90">
        <v>37178</v>
      </c>
      <c r="B6886" s="20">
        <v>0.16666666666666666</v>
      </c>
      <c r="D6886">
        <v>59</v>
      </c>
      <c r="E6886" t="str">
        <f t="shared" si="250"/>
        <v>SUNDAY</v>
      </c>
      <c r="F6886" t="e">
        <f t="shared" si="249"/>
        <v>#N/A</v>
      </c>
      <c r="G6886" s="74">
        <v>29508</v>
      </c>
      <c r="H6886" s="77">
        <v>0.16666666666666666</v>
      </c>
      <c r="J6886">
        <v>44.96</v>
      </c>
      <c r="M6886" s="74">
        <v>36447</v>
      </c>
      <c r="N6886" s="77">
        <v>0.16666666666666666</v>
      </c>
      <c r="P6886">
        <v>59</v>
      </c>
      <c r="S6886" s="74">
        <v>37178</v>
      </c>
      <c r="T6886" s="77">
        <v>0.16666666666666666</v>
      </c>
      <c r="V6886">
        <v>57.92</v>
      </c>
      <c r="X6886" s="42"/>
      <c r="AB6886">
        <v>54.7</v>
      </c>
      <c r="AC6886">
        <v>50</v>
      </c>
      <c r="AE6886" s="74"/>
      <c r="AF6886" s="77"/>
      <c r="AH6886" s="497">
        <v>44.6</v>
      </c>
      <c r="AJ6886" s="42"/>
      <c r="AK6886" s="74"/>
      <c r="AL6886" s="77"/>
      <c r="AN6886" s="497">
        <v>59</v>
      </c>
      <c r="AP6886" s="42"/>
      <c r="AQ6886" s="74"/>
      <c r="AR6886" s="77"/>
      <c r="AT6886" s="497">
        <v>60.980000000000004</v>
      </c>
      <c r="AV6886" s="42"/>
      <c r="AW6886" s="74"/>
      <c r="AX6886" s="77"/>
      <c r="BA6886" s="497">
        <v>57.92</v>
      </c>
      <c r="BB6886" s="42"/>
      <c r="BC6886" s="74"/>
      <c r="BD6886" s="77"/>
      <c r="BF6886">
        <v>44.06</v>
      </c>
      <c r="BH6886" s="42"/>
      <c r="BI6886" s="74"/>
      <c r="BJ6886" s="77"/>
      <c r="BL6886" s="497">
        <v>46.94</v>
      </c>
      <c r="BN6886" s="42"/>
      <c r="BO6886" s="74"/>
      <c r="BP6886" s="77"/>
      <c r="BR6886" s="497">
        <v>53.06</v>
      </c>
      <c r="BT6886" s="42"/>
    </row>
    <row r="6887" spans="1:72" x14ac:dyDescent="0.25">
      <c r="A6887" s="90">
        <v>37178</v>
      </c>
      <c r="B6887" s="20">
        <v>0.20833333333333334</v>
      </c>
      <c r="D6887">
        <v>57.92</v>
      </c>
      <c r="E6887" t="str">
        <f t="shared" si="250"/>
        <v>SUNDAY</v>
      </c>
      <c r="F6887" t="e">
        <f t="shared" si="249"/>
        <v>#N/A</v>
      </c>
      <c r="G6887" s="74">
        <v>29508</v>
      </c>
      <c r="H6887" s="77">
        <v>0.20833333333333334</v>
      </c>
      <c r="J6887">
        <v>44.96</v>
      </c>
      <c r="M6887" s="74">
        <v>36447</v>
      </c>
      <c r="N6887" s="77">
        <v>0.20833333333333334</v>
      </c>
      <c r="P6887">
        <v>55.400000000000006</v>
      </c>
      <c r="S6887" s="74">
        <v>37178</v>
      </c>
      <c r="T6887" s="77">
        <v>0.20833333333333334</v>
      </c>
      <c r="V6887">
        <v>57.92</v>
      </c>
      <c r="X6887" s="42"/>
      <c r="AB6887">
        <v>54.3</v>
      </c>
      <c r="AC6887">
        <v>53.06</v>
      </c>
      <c r="AE6887" s="74"/>
      <c r="AF6887" s="77"/>
      <c r="AH6887" s="497">
        <v>44.6</v>
      </c>
      <c r="AJ6887" s="42"/>
      <c r="AK6887" s="74"/>
      <c r="AL6887" s="77"/>
      <c r="AN6887" s="497">
        <v>59</v>
      </c>
      <c r="AP6887" s="42"/>
      <c r="AQ6887" s="74"/>
      <c r="AR6887" s="77"/>
      <c r="AT6887" s="497">
        <v>60.980000000000004</v>
      </c>
      <c r="AV6887" s="42"/>
      <c r="AW6887" s="74"/>
      <c r="AX6887" s="77"/>
      <c r="BA6887" s="497">
        <v>59</v>
      </c>
      <c r="BB6887" s="42"/>
      <c r="BC6887" s="74"/>
      <c r="BD6887" s="77"/>
      <c r="BF6887">
        <v>44.06</v>
      </c>
      <c r="BH6887" s="42"/>
      <c r="BI6887" s="74"/>
      <c r="BJ6887" s="77"/>
      <c r="BL6887" s="497">
        <v>46.94</v>
      </c>
      <c r="BN6887" s="42"/>
      <c r="BO6887" s="74"/>
      <c r="BP6887" s="77"/>
      <c r="BR6887" s="497">
        <v>51.980000000000004</v>
      </c>
      <c r="BT6887" s="42"/>
    </row>
    <row r="6888" spans="1:72" x14ac:dyDescent="0.25">
      <c r="A6888" s="90">
        <v>37178</v>
      </c>
      <c r="B6888" s="20">
        <v>0.25</v>
      </c>
      <c r="D6888">
        <v>57.92</v>
      </c>
      <c r="E6888" t="str">
        <f t="shared" si="250"/>
        <v>SUNDAY</v>
      </c>
      <c r="F6888" t="e">
        <f t="shared" si="249"/>
        <v>#N/A</v>
      </c>
      <c r="G6888" s="74">
        <v>29508</v>
      </c>
      <c r="H6888" s="77">
        <v>0.25</v>
      </c>
      <c r="J6888">
        <v>44.96</v>
      </c>
      <c r="M6888" s="74">
        <v>36447</v>
      </c>
      <c r="N6888" s="77">
        <v>0.25</v>
      </c>
      <c r="P6888">
        <v>55.400000000000006</v>
      </c>
      <c r="S6888" s="74">
        <v>37178</v>
      </c>
      <c r="T6888" s="77">
        <v>0.25</v>
      </c>
      <c r="V6888">
        <v>57.92</v>
      </c>
      <c r="X6888" s="42"/>
      <c r="AB6888">
        <v>54.1</v>
      </c>
      <c r="AC6888">
        <v>50</v>
      </c>
      <c r="AE6888" s="74"/>
      <c r="AF6888" s="77"/>
      <c r="AH6888" s="497">
        <v>42.8</v>
      </c>
      <c r="AJ6888" s="42"/>
      <c r="AK6888" s="74"/>
      <c r="AL6888" s="77"/>
      <c r="AN6888" s="497">
        <v>60.08</v>
      </c>
      <c r="AP6888" s="42"/>
      <c r="AQ6888" s="74"/>
      <c r="AR6888" s="77"/>
      <c r="AT6888" s="497">
        <v>60.08</v>
      </c>
      <c r="AV6888" s="42"/>
      <c r="AW6888" s="74"/>
      <c r="AX6888" s="77"/>
      <c r="BA6888" s="497">
        <v>60.980000000000004</v>
      </c>
      <c r="BB6888" s="42"/>
      <c r="BC6888" s="74"/>
      <c r="BD6888" s="77"/>
      <c r="BF6888">
        <v>44.96</v>
      </c>
      <c r="BH6888" s="42"/>
      <c r="BI6888" s="74"/>
      <c r="BJ6888" s="77"/>
      <c r="BL6888" s="497">
        <v>46.94</v>
      </c>
      <c r="BN6888" s="42"/>
      <c r="BO6888" s="74"/>
      <c r="BP6888" s="77"/>
      <c r="BR6888" s="497">
        <v>55.040000000000006</v>
      </c>
      <c r="BT6888" s="42"/>
    </row>
    <row r="6889" spans="1:72" x14ac:dyDescent="0.25">
      <c r="A6889" s="90">
        <v>37178</v>
      </c>
      <c r="B6889" s="20">
        <v>0.29166666666666669</v>
      </c>
      <c r="D6889">
        <v>57.92</v>
      </c>
      <c r="E6889" t="str">
        <f t="shared" si="250"/>
        <v>SUNDAY</v>
      </c>
      <c r="F6889" t="e">
        <f t="shared" si="249"/>
        <v>#N/A</v>
      </c>
      <c r="G6889" s="74">
        <v>29508</v>
      </c>
      <c r="H6889" s="77">
        <v>0.29166666666666669</v>
      </c>
      <c r="J6889">
        <v>44.96</v>
      </c>
      <c r="M6889" s="74">
        <v>36447</v>
      </c>
      <c r="N6889" s="77">
        <v>0.29166666666666669</v>
      </c>
      <c r="P6889">
        <v>51.8</v>
      </c>
      <c r="S6889" s="74">
        <v>37178</v>
      </c>
      <c r="T6889" s="77">
        <v>0.29166666666666669</v>
      </c>
      <c r="V6889">
        <v>57.92</v>
      </c>
      <c r="X6889" s="42"/>
      <c r="AB6889">
        <v>53.9</v>
      </c>
      <c r="AC6889">
        <v>53.06</v>
      </c>
      <c r="AE6889" s="74"/>
      <c r="AF6889" s="77"/>
      <c r="AH6889" s="497">
        <v>42.8</v>
      </c>
      <c r="AJ6889" s="42"/>
      <c r="AK6889" s="74"/>
      <c r="AL6889" s="77"/>
      <c r="AN6889" s="497">
        <v>60.08</v>
      </c>
      <c r="AP6889" s="42"/>
      <c r="AQ6889" s="74"/>
      <c r="AR6889" s="77"/>
      <c r="AT6889" s="497">
        <v>60.08</v>
      </c>
      <c r="AV6889" s="42"/>
      <c r="AW6889" s="74"/>
      <c r="AX6889" s="77"/>
      <c r="BA6889" s="497">
        <v>62.06</v>
      </c>
      <c r="BB6889" s="42"/>
      <c r="BC6889" s="74"/>
      <c r="BD6889" s="77"/>
      <c r="BF6889">
        <v>44.06</v>
      </c>
      <c r="BH6889" s="42"/>
      <c r="BI6889" s="74"/>
      <c r="BJ6889" s="77"/>
      <c r="BL6889" s="497">
        <v>46.04</v>
      </c>
      <c r="BN6889" s="42"/>
      <c r="BO6889" s="74"/>
      <c r="BP6889" s="77"/>
      <c r="BR6889" s="497">
        <v>55.94</v>
      </c>
      <c r="BT6889" s="42"/>
    </row>
    <row r="6890" spans="1:72" x14ac:dyDescent="0.25">
      <c r="A6890" s="90">
        <v>37178</v>
      </c>
      <c r="B6890" s="20">
        <v>0.33333333333333331</v>
      </c>
      <c r="D6890">
        <v>57.92</v>
      </c>
      <c r="E6890" t="str">
        <f t="shared" si="250"/>
        <v>SUNDAY</v>
      </c>
      <c r="F6890" t="e">
        <f t="shared" si="249"/>
        <v>#N/A</v>
      </c>
      <c r="G6890" s="74">
        <v>29508</v>
      </c>
      <c r="H6890" s="77">
        <v>0.33333333333333331</v>
      </c>
      <c r="J6890">
        <v>46.04</v>
      </c>
      <c r="M6890" s="74">
        <v>36447</v>
      </c>
      <c r="N6890" s="77">
        <v>0.33333333333333331</v>
      </c>
      <c r="P6890">
        <v>51.26</v>
      </c>
      <c r="S6890" s="74">
        <v>37178</v>
      </c>
      <c r="T6890" s="77">
        <v>0.33333333333333331</v>
      </c>
      <c r="V6890">
        <v>59</v>
      </c>
      <c r="X6890" s="42"/>
      <c r="AB6890">
        <v>54.8</v>
      </c>
      <c r="AC6890">
        <v>60.08</v>
      </c>
      <c r="AE6890" s="74"/>
      <c r="AF6890" s="77"/>
      <c r="AH6890" s="497">
        <v>44.6</v>
      </c>
      <c r="AJ6890" s="42"/>
      <c r="AK6890" s="74"/>
      <c r="AL6890" s="77"/>
      <c r="AN6890" s="497">
        <v>60.980000000000004</v>
      </c>
      <c r="AP6890" s="42"/>
      <c r="AQ6890" s="74"/>
      <c r="AR6890" s="77"/>
      <c r="AT6890" s="497">
        <v>60.980000000000004</v>
      </c>
      <c r="AV6890" s="42"/>
      <c r="AW6890" s="74"/>
      <c r="AX6890" s="77"/>
      <c r="BA6890" s="497">
        <v>62.96</v>
      </c>
      <c r="BB6890" s="42"/>
      <c r="BC6890" s="74"/>
      <c r="BD6890" s="77"/>
      <c r="BF6890">
        <v>42.980000000000004</v>
      </c>
      <c r="BH6890" s="42"/>
      <c r="BI6890" s="74"/>
      <c r="BJ6890" s="77"/>
      <c r="BL6890" s="497">
        <v>46.04</v>
      </c>
      <c r="BN6890" s="42"/>
      <c r="BO6890" s="74"/>
      <c r="BP6890" s="77"/>
      <c r="BR6890" s="497">
        <v>55.94</v>
      </c>
      <c r="BT6890" s="42"/>
    </row>
    <row r="6891" spans="1:72" x14ac:dyDescent="0.25">
      <c r="A6891" s="90">
        <v>37178</v>
      </c>
      <c r="B6891" s="20">
        <v>0.375</v>
      </c>
      <c r="D6891">
        <v>59</v>
      </c>
      <c r="E6891" t="str">
        <f t="shared" si="250"/>
        <v>SUNDAY</v>
      </c>
      <c r="F6891" t="e">
        <f t="shared" ref="F6891:F6954" si="251">IF(E6891="WEEKDAY",VLOOKUP(B6891,$DD$19:$DG$42,2),IF(E6891="SATURDAY",VLOOKUP(B6891,$DD$19:$DG$42,3),VLOOKUP(B6891,$DD$19:$DG$42,4)))</f>
        <v>#N/A</v>
      </c>
      <c r="G6891" s="74">
        <v>29508</v>
      </c>
      <c r="H6891" s="77">
        <v>0.375</v>
      </c>
      <c r="J6891">
        <v>46.94</v>
      </c>
      <c r="M6891" s="74">
        <v>36447</v>
      </c>
      <c r="N6891" s="77">
        <v>0.375</v>
      </c>
      <c r="P6891">
        <v>50</v>
      </c>
      <c r="S6891" s="74">
        <v>37178</v>
      </c>
      <c r="T6891" s="77">
        <v>0.375</v>
      </c>
      <c r="V6891">
        <v>60.08</v>
      </c>
      <c r="X6891" s="42"/>
      <c r="AB6891">
        <v>57.2</v>
      </c>
      <c r="AC6891">
        <v>66.92</v>
      </c>
      <c r="AE6891" s="74"/>
      <c r="AF6891" s="77"/>
      <c r="AH6891" s="497">
        <v>46.4</v>
      </c>
      <c r="AJ6891" s="42"/>
      <c r="AK6891" s="74"/>
      <c r="AL6891" s="77"/>
      <c r="AN6891" s="497">
        <v>60.980000000000004</v>
      </c>
      <c r="AP6891" s="42"/>
      <c r="AQ6891" s="74"/>
      <c r="AR6891" s="77"/>
      <c r="AT6891" s="497">
        <v>60.980000000000004</v>
      </c>
      <c r="AV6891" s="42"/>
      <c r="AW6891" s="74"/>
      <c r="AX6891" s="77"/>
      <c r="BA6891" s="497">
        <v>62.96</v>
      </c>
      <c r="BB6891" s="42"/>
      <c r="BC6891" s="74"/>
      <c r="BD6891" s="77"/>
      <c r="BF6891">
        <v>42.980000000000004</v>
      </c>
      <c r="BH6891" s="42"/>
      <c r="BI6891" s="74"/>
      <c r="BJ6891" s="77"/>
      <c r="BL6891" s="497">
        <v>44.96</v>
      </c>
      <c r="BN6891" s="42"/>
      <c r="BO6891" s="74"/>
      <c r="BP6891" s="77"/>
      <c r="BR6891" s="497">
        <v>57.92</v>
      </c>
      <c r="BT6891" s="42"/>
    </row>
    <row r="6892" spans="1:72" x14ac:dyDescent="0.25">
      <c r="A6892" s="90">
        <v>37178</v>
      </c>
      <c r="B6892" s="20">
        <v>0.41666666666666669</v>
      </c>
      <c r="D6892">
        <v>60.980000000000004</v>
      </c>
      <c r="E6892" t="str">
        <f t="shared" si="250"/>
        <v>SUNDAY</v>
      </c>
      <c r="F6892" t="e">
        <f t="shared" si="251"/>
        <v>#N/A</v>
      </c>
      <c r="G6892" s="74">
        <v>29508</v>
      </c>
      <c r="H6892" s="77">
        <v>0.41666666666666669</v>
      </c>
      <c r="J6892">
        <v>48.019999999999996</v>
      </c>
      <c r="M6892" s="74">
        <v>36447</v>
      </c>
      <c r="N6892" s="77">
        <v>0.41666666666666669</v>
      </c>
      <c r="P6892">
        <v>50</v>
      </c>
      <c r="S6892" s="74">
        <v>37178</v>
      </c>
      <c r="T6892" s="77">
        <v>0.41666666666666669</v>
      </c>
      <c r="V6892">
        <v>60.980000000000004</v>
      </c>
      <c r="X6892" s="42"/>
      <c r="AB6892">
        <v>59.2</v>
      </c>
      <c r="AC6892">
        <v>71.06</v>
      </c>
      <c r="AE6892" s="74"/>
      <c r="AF6892" s="77"/>
      <c r="AH6892" s="497">
        <v>50</v>
      </c>
      <c r="AJ6892" s="42"/>
      <c r="AK6892" s="74"/>
      <c r="AL6892" s="77"/>
      <c r="AN6892" s="497">
        <v>62.06</v>
      </c>
      <c r="AP6892" s="42"/>
      <c r="AQ6892" s="74"/>
      <c r="AR6892" s="77"/>
      <c r="AT6892" s="497">
        <v>62.06</v>
      </c>
      <c r="AV6892" s="42"/>
      <c r="AW6892" s="74"/>
      <c r="AX6892" s="77"/>
      <c r="BA6892" s="497">
        <v>64.94</v>
      </c>
      <c r="BB6892" s="42"/>
      <c r="BC6892" s="74"/>
      <c r="BD6892" s="77"/>
      <c r="BF6892">
        <v>44.06</v>
      </c>
      <c r="BH6892" s="42"/>
      <c r="BI6892" s="74"/>
      <c r="BJ6892" s="77"/>
      <c r="BL6892" s="497">
        <v>44.06</v>
      </c>
      <c r="BN6892" s="42"/>
      <c r="BO6892" s="74"/>
      <c r="BP6892" s="77"/>
      <c r="BR6892" s="497">
        <v>57.019999999999996</v>
      </c>
      <c r="BT6892" s="42"/>
    </row>
    <row r="6893" spans="1:72" x14ac:dyDescent="0.25">
      <c r="A6893" s="90">
        <v>37178</v>
      </c>
      <c r="B6893" s="20">
        <v>0.45833333333333331</v>
      </c>
      <c r="D6893">
        <v>62.96</v>
      </c>
      <c r="E6893" t="str">
        <f t="shared" si="250"/>
        <v>SUNDAY</v>
      </c>
      <c r="F6893" t="e">
        <f t="shared" si="251"/>
        <v>#N/A</v>
      </c>
      <c r="G6893" s="74">
        <v>29508</v>
      </c>
      <c r="H6893" s="77">
        <v>0.45833333333333331</v>
      </c>
      <c r="J6893">
        <v>50</v>
      </c>
      <c r="M6893" s="74">
        <v>36447</v>
      </c>
      <c r="N6893" s="77">
        <v>0.45833333333333331</v>
      </c>
      <c r="P6893">
        <v>51.8</v>
      </c>
      <c r="S6893" s="74">
        <v>37178</v>
      </c>
      <c r="T6893" s="77">
        <v>0.45833333333333331</v>
      </c>
      <c r="V6893">
        <v>62.06</v>
      </c>
      <c r="X6893" s="42"/>
      <c r="AB6893">
        <v>60.9</v>
      </c>
      <c r="AC6893">
        <v>75.02</v>
      </c>
      <c r="AE6893" s="74"/>
      <c r="AF6893" s="77"/>
      <c r="AH6893" s="497">
        <v>51.8</v>
      </c>
      <c r="AJ6893" s="42"/>
      <c r="AK6893" s="74"/>
      <c r="AL6893" s="77"/>
      <c r="AN6893" s="497">
        <v>62.96</v>
      </c>
      <c r="AP6893" s="42"/>
      <c r="AQ6893" s="74"/>
      <c r="AR6893" s="77"/>
      <c r="AT6893" s="497">
        <v>62.96</v>
      </c>
      <c r="AV6893" s="42"/>
      <c r="AW6893" s="74"/>
      <c r="AX6893" s="77"/>
      <c r="BA6893" s="497">
        <v>66.02</v>
      </c>
      <c r="BB6893" s="42"/>
      <c r="BC6893" s="74"/>
      <c r="BD6893" s="77"/>
      <c r="BF6893">
        <v>42.980000000000004</v>
      </c>
      <c r="BH6893" s="42"/>
      <c r="BI6893" s="74"/>
      <c r="BJ6893" s="77"/>
      <c r="BL6893" s="497">
        <v>46.04</v>
      </c>
      <c r="BN6893" s="42"/>
      <c r="BO6893" s="74"/>
      <c r="BP6893" s="77"/>
      <c r="BR6893" s="497">
        <v>64.039999999999992</v>
      </c>
      <c r="BT6893" s="42"/>
    </row>
    <row r="6894" spans="1:72" x14ac:dyDescent="0.25">
      <c r="A6894" s="90">
        <v>37178</v>
      </c>
      <c r="B6894" s="20">
        <v>0.5</v>
      </c>
      <c r="D6894">
        <v>64.039999999999992</v>
      </c>
      <c r="E6894" t="str">
        <f t="shared" si="250"/>
        <v>SUNDAY</v>
      </c>
      <c r="F6894" t="e">
        <f t="shared" si="251"/>
        <v>#N/A</v>
      </c>
      <c r="G6894" s="74">
        <v>29508</v>
      </c>
      <c r="H6894" s="77">
        <v>0.5</v>
      </c>
      <c r="J6894">
        <v>51.980000000000004</v>
      </c>
      <c r="M6894" s="74">
        <v>36447</v>
      </c>
      <c r="N6894" s="77">
        <v>0.5</v>
      </c>
      <c r="P6894">
        <v>51.8</v>
      </c>
      <c r="S6894" s="74">
        <v>37178</v>
      </c>
      <c r="T6894" s="77">
        <v>0.5</v>
      </c>
      <c r="V6894">
        <v>64.94</v>
      </c>
      <c r="X6894" s="42"/>
      <c r="AB6894">
        <v>62.4</v>
      </c>
      <c r="AC6894">
        <v>75.92</v>
      </c>
      <c r="AE6894" s="74"/>
      <c r="AF6894" s="77"/>
      <c r="AH6894" s="497">
        <v>53.6</v>
      </c>
      <c r="AJ6894" s="42"/>
      <c r="AK6894" s="74"/>
      <c r="AL6894" s="77"/>
      <c r="AN6894" s="497">
        <v>62.96</v>
      </c>
      <c r="AP6894" s="42"/>
      <c r="AQ6894" s="74"/>
      <c r="AR6894" s="77"/>
      <c r="AT6894" s="497">
        <v>64.039999999999992</v>
      </c>
      <c r="AV6894" s="42"/>
      <c r="AW6894" s="74"/>
      <c r="AX6894" s="77"/>
      <c r="BA6894" s="497">
        <v>60.08</v>
      </c>
      <c r="BB6894" s="42"/>
      <c r="BC6894" s="74"/>
      <c r="BD6894" s="77"/>
      <c r="BF6894">
        <v>42.980000000000004</v>
      </c>
      <c r="BH6894" s="42"/>
      <c r="BI6894" s="74"/>
      <c r="BJ6894" s="77"/>
      <c r="BL6894" s="497">
        <v>44.96</v>
      </c>
      <c r="BN6894" s="42"/>
      <c r="BO6894" s="74"/>
      <c r="BP6894" s="77"/>
      <c r="BR6894" s="497">
        <v>64.94</v>
      </c>
      <c r="BT6894" s="42"/>
    </row>
    <row r="6895" spans="1:72" x14ac:dyDescent="0.25">
      <c r="A6895" s="90">
        <v>37178</v>
      </c>
      <c r="B6895" s="20">
        <v>0.54166666666666663</v>
      </c>
      <c r="D6895">
        <v>64.94</v>
      </c>
      <c r="E6895" t="str">
        <f t="shared" si="250"/>
        <v>SUNDAY</v>
      </c>
      <c r="F6895" t="e">
        <f t="shared" si="251"/>
        <v>#N/A</v>
      </c>
      <c r="G6895" s="74">
        <v>29508</v>
      </c>
      <c r="H6895" s="77">
        <v>0.54166666666666663</v>
      </c>
      <c r="J6895">
        <v>53.96</v>
      </c>
      <c r="M6895" s="74">
        <v>36447</v>
      </c>
      <c r="N6895" s="77">
        <v>0.54166666666666663</v>
      </c>
      <c r="P6895">
        <v>53.6</v>
      </c>
      <c r="S6895" s="74">
        <v>37178</v>
      </c>
      <c r="T6895" s="77">
        <v>0.54166666666666663</v>
      </c>
      <c r="V6895">
        <v>66.92</v>
      </c>
      <c r="X6895" s="42"/>
      <c r="AB6895">
        <v>63.4</v>
      </c>
      <c r="AC6895">
        <v>75.02</v>
      </c>
      <c r="AE6895" s="74"/>
      <c r="AF6895" s="77"/>
      <c r="AH6895" s="497">
        <v>53.6</v>
      </c>
      <c r="AJ6895" s="42"/>
      <c r="AK6895" s="74"/>
      <c r="AL6895" s="77"/>
      <c r="AN6895" s="497">
        <v>62.96</v>
      </c>
      <c r="AP6895" s="42"/>
      <c r="AQ6895" s="74"/>
      <c r="AR6895" s="77"/>
      <c r="AT6895" s="497">
        <v>64.94</v>
      </c>
      <c r="AV6895" s="42"/>
      <c r="AW6895" s="74"/>
      <c r="AX6895" s="77"/>
      <c r="BA6895" s="497">
        <v>59</v>
      </c>
      <c r="BB6895" s="42"/>
      <c r="BC6895" s="74"/>
      <c r="BD6895" s="77"/>
      <c r="BF6895">
        <v>42.980000000000004</v>
      </c>
      <c r="BH6895" s="42"/>
      <c r="BI6895" s="74"/>
      <c r="BJ6895" s="77"/>
      <c r="BL6895" s="497">
        <v>44.96</v>
      </c>
      <c r="BN6895" s="42"/>
      <c r="BO6895" s="74"/>
      <c r="BP6895" s="77"/>
      <c r="BR6895" s="497">
        <v>64.94</v>
      </c>
      <c r="BT6895" s="42"/>
    </row>
    <row r="6896" spans="1:72" x14ac:dyDescent="0.25">
      <c r="A6896" s="90">
        <v>37178</v>
      </c>
      <c r="B6896" s="20">
        <v>0.58333333333333337</v>
      </c>
      <c r="D6896">
        <v>66.02</v>
      </c>
      <c r="E6896" t="str">
        <f t="shared" si="250"/>
        <v>SUNDAY</v>
      </c>
      <c r="F6896" t="e">
        <f t="shared" si="251"/>
        <v>#N/A</v>
      </c>
      <c r="G6896" s="74">
        <v>29508</v>
      </c>
      <c r="H6896" s="77">
        <v>0.58333333333333337</v>
      </c>
      <c r="J6896">
        <v>55.040000000000006</v>
      </c>
      <c r="M6896" s="74">
        <v>36447</v>
      </c>
      <c r="N6896" s="77">
        <v>0.58333333333333337</v>
      </c>
      <c r="P6896">
        <v>53.6</v>
      </c>
      <c r="S6896" s="74">
        <v>37178</v>
      </c>
      <c r="T6896" s="77">
        <v>0.58333333333333337</v>
      </c>
      <c r="V6896">
        <v>64.94</v>
      </c>
      <c r="X6896" s="42"/>
      <c r="AB6896">
        <v>63.9</v>
      </c>
      <c r="AC6896">
        <v>75.02</v>
      </c>
      <c r="AE6896" s="74"/>
      <c r="AF6896" s="77"/>
      <c r="AH6896" s="497">
        <v>53.6</v>
      </c>
      <c r="AJ6896" s="42"/>
      <c r="AK6896" s="74"/>
      <c r="AL6896" s="77"/>
      <c r="AN6896" s="497">
        <v>62.96</v>
      </c>
      <c r="AP6896" s="42"/>
      <c r="AQ6896" s="74"/>
      <c r="AR6896" s="77"/>
      <c r="AT6896" s="497">
        <v>68</v>
      </c>
      <c r="AV6896" s="42"/>
      <c r="AW6896" s="74"/>
      <c r="AX6896" s="77"/>
      <c r="BA6896" s="497">
        <v>59</v>
      </c>
      <c r="BB6896" s="42"/>
      <c r="BC6896" s="74"/>
      <c r="BD6896" s="77"/>
      <c r="BF6896">
        <v>42.08</v>
      </c>
      <c r="BH6896" s="42"/>
      <c r="BI6896" s="74"/>
      <c r="BJ6896" s="77"/>
      <c r="BL6896" s="497">
        <v>44.06</v>
      </c>
      <c r="BN6896" s="42"/>
      <c r="BO6896" s="74"/>
      <c r="BP6896" s="77"/>
      <c r="BR6896" s="497">
        <v>62.96</v>
      </c>
      <c r="BT6896" s="42"/>
    </row>
    <row r="6897" spans="1:72" x14ac:dyDescent="0.25">
      <c r="A6897" s="90">
        <v>37178</v>
      </c>
      <c r="B6897" s="20">
        <v>0.625</v>
      </c>
      <c r="D6897">
        <v>66.92</v>
      </c>
      <c r="E6897" t="str">
        <f t="shared" si="250"/>
        <v>SUNDAY</v>
      </c>
      <c r="F6897" t="e">
        <f t="shared" si="251"/>
        <v>#N/A</v>
      </c>
      <c r="G6897" s="74">
        <v>29508</v>
      </c>
      <c r="H6897" s="77">
        <v>0.625</v>
      </c>
      <c r="J6897">
        <v>55.94</v>
      </c>
      <c r="M6897" s="74">
        <v>36447</v>
      </c>
      <c r="N6897" s="77">
        <v>0.625</v>
      </c>
      <c r="P6897">
        <v>53.6</v>
      </c>
      <c r="S6897" s="74">
        <v>37178</v>
      </c>
      <c r="T6897" s="77">
        <v>0.625</v>
      </c>
      <c r="V6897">
        <v>64.94</v>
      </c>
      <c r="X6897" s="42"/>
      <c r="AB6897">
        <v>64.2</v>
      </c>
      <c r="AC6897">
        <v>71.960000000000008</v>
      </c>
      <c r="AE6897" s="74"/>
      <c r="AF6897" s="77"/>
      <c r="AH6897" s="497">
        <v>53.6</v>
      </c>
      <c r="AJ6897" s="42"/>
      <c r="AK6897" s="74"/>
      <c r="AL6897" s="77"/>
      <c r="AN6897" s="497">
        <v>62.96</v>
      </c>
      <c r="AP6897" s="42"/>
      <c r="AQ6897" s="74"/>
      <c r="AR6897" s="77"/>
      <c r="AT6897" s="497">
        <v>64.94</v>
      </c>
      <c r="AV6897" s="42"/>
      <c r="AW6897" s="74"/>
      <c r="AX6897" s="77"/>
      <c r="BA6897" s="497">
        <v>57.92</v>
      </c>
      <c r="BB6897" s="42"/>
      <c r="BC6897" s="74"/>
      <c r="BD6897" s="77"/>
      <c r="BF6897">
        <v>42.08</v>
      </c>
      <c r="BH6897" s="42"/>
      <c r="BI6897" s="74"/>
      <c r="BJ6897" s="77"/>
      <c r="BL6897" s="497">
        <v>44.06</v>
      </c>
      <c r="BN6897" s="42"/>
      <c r="BO6897" s="74"/>
      <c r="BP6897" s="77"/>
      <c r="BR6897" s="497">
        <v>62.06</v>
      </c>
      <c r="BT6897" s="42"/>
    </row>
    <row r="6898" spans="1:72" x14ac:dyDescent="0.25">
      <c r="A6898" s="90">
        <v>37178</v>
      </c>
      <c r="B6898" s="20">
        <v>0.66666666666666663</v>
      </c>
      <c r="D6898">
        <v>64.400000000000006</v>
      </c>
      <c r="E6898" t="str">
        <f t="shared" si="250"/>
        <v>SUNDAY</v>
      </c>
      <c r="F6898" t="e">
        <f t="shared" si="251"/>
        <v>#N/A</v>
      </c>
      <c r="G6898" s="74">
        <v>29508</v>
      </c>
      <c r="H6898" s="77">
        <v>0.66666666666666663</v>
      </c>
      <c r="J6898">
        <v>57.019999999999996</v>
      </c>
      <c r="M6898" s="74">
        <v>36447</v>
      </c>
      <c r="N6898" s="77">
        <v>0.66666666666666663</v>
      </c>
      <c r="P6898">
        <v>53.6</v>
      </c>
      <c r="S6898" s="74">
        <v>37178</v>
      </c>
      <c r="T6898" s="77">
        <v>0.66666666666666663</v>
      </c>
      <c r="V6898">
        <v>64.039999999999992</v>
      </c>
      <c r="X6898" s="42"/>
      <c r="AB6898">
        <v>63.9</v>
      </c>
      <c r="AC6898">
        <v>69.080000000000013</v>
      </c>
      <c r="AE6898" s="74"/>
      <c r="AF6898" s="77"/>
      <c r="AH6898" s="497">
        <v>53.6</v>
      </c>
      <c r="AJ6898" s="42"/>
      <c r="AK6898" s="74"/>
      <c r="AL6898" s="77"/>
      <c r="AN6898" s="497">
        <v>64.039999999999992</v>
      </c>
      <c r="AP6898" s="42"/>
      <c r="AQ6898" s="74"/>
      <c r="AR6898" s="77"/>
      <c r="AT6898" s="497">
        <v>64.94</v>
      </c>
      <c r="AV6898" s="42"/>
      <c r="AW6898" s="74"/>
      <c r="AX6898" s="77"/>
      <c r="BA6898" s="497">
        <v>57.019999999999996</v>
      </c>
      <c r="BB6898" s="42"/>
      <c r="BC6898" s="74"/>
      <c r="BD6898" s="77"/>
      <c r="BF6898">
        <v>41</v>
      </c>
      <c r="BH6898" s="42"/>
      <c r="BI6898" s="74"/>
      <c r="BJ6898" s="77"/>
      <c r="BL6898" s="497">
        <v>44.06</v>
      </c>
      <c r="BN6898" s="42"/>
      <c r="BO6898" s="74"/>
      <c r="BP6898" s="77"/>
      <c r="BR6898" s="497">
        <v>59</v>
      </c>
      <c r="BT6898" s="42"/>
    </row>
    <row r="6899" spans="1:72" x14ac:dyDescent="0.25">
      <c r="A6899" s="90">
        <v>37178</v>
      </c>
      <c r="B6899" s="20">
        <v>0.70833333333333337</v>
      </c>
      <c r="D6899">
        <v>64.039999999999992</v>
      </c>
      <c r="E6899" t="str">
        <f t="shared" si="250"/>
        <v>SUNDAY</v>
      </c>
      <c r="F6899" t="e">
        <f t="shared" si="251"/>
        <v>#N/A</v>
      </c>
      <c r="G6899" s="74">
        <v>29508</v>
      </c>
      <c r="H6899" s="77">
        <v>0.70833333333333337</v>
      </c>
      <c r="J6899">
        <v>55.76</v>
      </c>
      <c r="M6899" s="74">
        <v>36447</v>
      </c>
      <c r="N6899" s="77">
        <v>0.70833333333333337</v>
      </c>
      <c r="P6899">
        <v>50</v>
      </c>
      <c r="S6899" s="74">
        <v>37178</v>
      </c>
      <c r="T6899" s="77">
        <v>0.70833333333333337</v>
      </c>
      <c r="V6899">
        <v>62.06</v>
      </c>
      <c r="X6899" s="42"/>
      <c r="AB6899">
        <v>63</v>
      </c>
      <c r="AC6899">
        <v>64.94</v>
      </c>
      <c r="AE6899" s="74"/>
      <c r="AF6899" s="77"/>
      <c r="AH6899" s="497">
        <v>50</v>
      </c>
      <c r="AJ6899" s="42"/>
      <c r="AK6899" s="74"/>
      <c r="AL6899" s="77"/>
      <c r="AN6899" s="497">
        <v>60.08</v>
      </c>
      <c r="AP6899" s="42"/>
      <c r="AQ6899" s="74"/>
      <c r="AR6899" s="77"/>
      <c r="AT6899" s="497">
        <v>64.94</v>
      </c>
      <c r="AV6899" s="42"/>
      <c r="AW6899" s="74"/>
      <c r="AX6899" s="77"/>
      <c r="BA6899" s="497">
        <v>55.94</v>
      </c>
      <c r="BB6899" s="42"/>
      <c r="BC6899" s="74"/>
      <c r="BD6899" s="77"/>
      <c r="BF6899">
        <v>41</v>
      </c>
      <c r="BH6899" s="42"/>
      <c r="BI6899" s="74"/>
      <c r="BJ6899" s="77"/>
      <c r="BL6899" s="497">
        <v>42.980000000000004</v>
      </c>
      <c r="BN6899" s="42"/>
      <c r="BO6899" s="74"/>
      <c r="BP6899" s="77"/>
      <c r="BR6899" s="497">
        <v>57.92</v>
      </c>
      <c r="BT6899" s="42"/>
    </row>
    <row r="6900" spans="1:72" x14ac:dyDescent="0.25">
      <c r="A6900" s="90">
        <v>37178</v>
      </c>
      <c r="B6900" s="20">
        <v>0.75</v>
      </c>
      <c r="D6900">
        <v>62.96</v>
      </c>
      <c r="E6900" t="str">
        <f t="shared" si="250"/>
        <v>SUNDAY</v>
      </c>
      <c r="F6900" t="e">
        <f t="shared" si="251"/>
        <v>#N/A</v>
      </c>
      <c r="G6900" s="74">
        <v>29508</v>
      </c>
      <c r="H6900" s="77">
        <v>0.75</v>
      </c>
      <c r="J6900">
        <v>54.32</v>
      </c>
      <c r="M6900" s="74">
        <v>36447</v>
      </c>
      <c r="N6900" s="77">
        <v>0.75</v>
      </c>
      <c r="P6900">
        <v>48.2</v>
      </c>
      <c r="S6900" s="74">
        <v>37178</v>
      </c>
      <c r="T6900" s="77">
        <v>0.75</v>
      </c>
      <c r="V6900">
        <v>62.06</v>
      </c>
      <c r="X6900" s="42"/>
      <c r="AB6900">
        <v>61.5</v>
      </c>
      <c r="AC6900">
        <v>62.96</v>
      </c>
      <c r="AE6900" s="74"/>
      <c r="AF6900" s="77"/>
      <c r="AH6900" s="497">
        <v>44.6</v>
      </c>
      <c r="AJ6900" s="42"/>
      <c r="AK6900" s="74"/>
      <c r="AL6900" s="77"/>
      <c r="AN6900" s="497">
        <v>53.96</v>
      </c>
      <c r="AP6900" s="42"/>
      <c r="AQ6900" s="74"/>
      <c r="AR6900" s="77"/>
      <c r="AT6900" s="497">
        <v>62.96</v>
      </c>
      <c r="AV6900" s="42"/>
      <c r="AW6900" s="74"/>
      <c r="AX6900" s="77"/>
      <c r="BA6900" s="497">
        <v>55.040000000000006</v>
      </c>
      <c r="BB6900" s="42"/>
      <c r="BC6900" s="74"/>
      <c r="BD6900" s="77"/>
      <c r="BF6900">
        <v>41</v>
      </c>
      <c r="BH6900" s="42"/>
      <c r="BI6900" s="74"/>
      <c r="BJ6900" s="77"/>
      <c r="BL6900" s="497">
        <v>42.980000000000004</v>
      </c>
      <c r="BN6900" s="42"/>
      <c r="BO6900" s="74"/>
      <c r="BP6900" s="77"/>
      <c r="BR6900" s="497">
        <v>55.94</v>
      </c>
      <c r="BT6900" s="42"/>
    </row>
    <row r="6901" spans="1:72" x14ac:dyDescent="0.25">
      <c r="A6901" s="90">
        <v>37178</v>
      </c>
      <c r="B6901" s="20">
        <v>0.79166666666666663</v>
      </c>
      <c r="D6901">
        <v>62.96</v>
      </c>
      <c r="E6901" t="str">
        <f t="shared" si="250"/>
        <v>SUNDAY</v>
      </c>
      <c r="F6901" t="e">
        <f t="shared" si="251"/>
        <v>#N/A</v>
      </c>
      <c r="G6901" s="74">
        <v>29508</v>
      </c>
      <c r="H6901" s="77">
        <v>0.79166666666666663</v>
      </c>
      <c r="J6901">
        <v>53.06</v>
      </c>
      <c r="M6901" s="74">
        <v>36447</v>
      </c>
      <c r="N6901" s="77">
        <v>0.79166666666666663</v>
      </c>
      <c r="P6901">
        <v>46.4</v>
      </c>
      <c r="S6901" s="74">
        <v>37178</v>
      </c>
      <c r="T6901" s="77">
        <v>0.79166666666666663</v>
      </c>
      <c r="V6901">
        <v>62.06</v>
      </c>
      <c r="X6901" s="42"/>
      <c r="AB6901">
        <v>60.2</v>
      </c>
      <c r="AC6901">
        <v>60.980000000000004</v>
      </c>
      <c r="AE6901" s="74"/>
      <c r="AF6901" s="77"/>
      <c r="AH6901" s="497">
        <v>37.4</v>
      </c>
      <c r="AJ6901" s="42"/>
      <c r="AK6901" s="74"/>
      <c r="AL6901" s="77"/>
      <c r="AN6901" s="497">
        <v>51.08</v>
      </c>
      <c r="AP6901" s="42"/>
      <c r="AQ6901" s="74"/>
      <c r="AR6901" s="77"/>
      <c r="AT6901" s="497">
        <v>59</v>
      </c>
      <c r="AV6901" s="42"/>
      <c r="AW6901" s="74"/>
      <c r="AX6901" s="77"/>
      <c r="BA6901" s="497">
        <v>51.980000000000004</v>
      </c>
      <c r="BB6901" s="42"/>
      <c r="BC6901" s="74"/>
      <c r="BD6901" s="77"/>
      <c r="BF6901">
        <v>39.92</v>
      </c>
      <c r="BH6901" s="42"/>
      <c r="BI6901" s="74"/>
      <c r="BJ6901" s="77"/>
      <c r="BL6901" s="497">
        <v>42.980000000000004</v>
      </c>
      <c r="BN6901" s="42"/>
      <c r="BO6901" s="74"/>
      <c r="BP6901" s="77"/>
      <c r="BR6901" s="497">
        <v>55.040000000000006</v>
      </c>
      <c r="BT6901" s="42"/>
    </row>
    <row r="6902" spans="1:72" x14ac:dyDescent="0.25">
      <c r="A6902" s="90">
        <v>37178</v>
      </c>
      <c r="B6902" s="20">
        <v>0.83333333333333337</v>
      </c>
      <c r="D6902">
        <v>62.6</v>
      </c>
      <c r="E6902" t="str">
        <f t="shared" si="250"/>
        <v>SUNDAY</v>
      </c>
      <c r="F6902" t="e">
        <f t="shared" si="251"/>
        <v>#N/A</v>
      </c>
      <c r="G6902" s="74">
        <v>29508</v>
      </c>
      <c r="H6902" s="77">
        <v>0.83333333333333337</v>
      </c>
      <c r="J6902">
        <v>52.7</v>
      </c>
      <c r="M6902" s="74">
        <v>36447</v>
      </c>
      <c r="N6902" s="77">
        <v>0.83333333333333337</v>
      </c>
      <c r="P6902">
        <v>44.6</v>
      </c>
      <c r="S6902" s="74">
        <v>37178</v>
      </c>
      <c r="T6902" s="77">
        <v>0.83333333333333337</v>
      </c>
      <c r="V6902">
        <v>62.06</v>
      </c>
      <c r="X6902" s="42"/>
      <c r="AB6902">
        <v>59.5</v>
      </c>
      <c r="AC6902">
        <v>57.92</v>
      </c>
      <c r="AE6902" s="74"/>
      <c r="AF6902" s="77"/>
      <c r="AH6902" s="497">
        <v>37.4</v>
      </c>
      <c r="AJ6902" s="42"/>
      <c r="AK6902" s="74"/>
      <c r="AL6902" s="77"/>
      <c r="AN6902" s="497">
        <v>48.019999999999996</v>
      </c>
      <c r="AP6902" s="42"/>
      <c r="AQ6902" s="74"/>
      <c r="AR6902" s="77"/>
      <c r="AT6902" s="497">
        <v>57.019999999999996</v>
      </c>
      <c r="AV6902" s="42"/>
      <c r="AW6902" s="74"/>
      <c r="AX6902" s="77"/>
      <c r="BA6902" s="497">
        <v>51.08</v>
      </c>
      <c r="BB6902" s="42"/>
      <c r="BC6902" s="74"/>
      <c r="BD6902" s="77"/>
      <c r="BF6902">
        <v>39.019999999999996</v>
      </c>
      <c r="BH6902" s="42"/>
      <c r="BI6902" s="74"/>
      <c r="BJ6902" s="77"/>
      <c r="BL6902" s="497">
        <v>42.980000000000004</v>
      </c>
      <c r="BN6902" s="42"/>
      <c r="BO6902" s="74"/>
      <c r="BP6902" s="77"/>
      <c r="BR6902" s="497">
        <v>53.06</v>
      </c>
      <c r="BT6902" s="42"/>
    </row>
    <row r="6903" spans="1:72" x14ac:dyDescent="0.25">
      <c r="A6903" s="90">
        <v>37178</v>
      </c>
      <c r="B6903" s="20">
        <v>0.875</v>
      </c>
      <c r="D6903">
        <v>62.96</v>
      </c>
      <c r="E6903" t="str">
        <f t="shared" si="250"/>
        <v>SUNDAY</v>
      </c>
      <c r="F6903" t="e">
        <f t="shared" si="251"/>
        <v>#N/A</v>
      </c>
      <c r="G6903" s="74">
        <v>29508</v>
      </c>
      <c r="H6903" s="77">
        <v>0.875</v>
      </c>
      <c r="J6903">
        <v>52.34</v>
      </c>
      <c r="M6903" s="74">
        <v>36447</v>
      </c>
      <c r="N6903" s="77">
        <v>0.875</v>
      </c>
      <c r="P6903">
        <v>44.6</v>
      </c>
      <c r="S6903" s="74">
        <v>37178</v>
      </c>
      <c r="T6903" s="77">
        <v>0.875</v>
      </c>
      <c r="V6903">
        <v>62.96</v>
      </c>
      <c r="X6903" s="42"/>
      <c r="AB6903">
        <v>58.8</v>
      </c>
      <c r="AC6903">
        <v>57.92</v>
      </c>
      <c r="AE6903" s="74"/>
      <c r="AF6903" s="77"/>
      <c r="AH6903" s="497">
        <v>35.6</v>
      </c>
      <c r="AJ6903" s="42"/>
      <c r="AK6903" s="74"/>
      <c r="AL6903" s="77"/>
      <c r="AN6903" s="497">
        <v>46.94</v>
      </c>
      <c r="AP6903" s="42"/>
      <c r="AQ6903" s="74"/>
      <c r="AR6903" s="77"/>
      <c r="AT6903" s="497">
        <v>55.94</v>
      </c>
      <c r="AV6903" s="42"/>
      <c r="AW6903" s="74"/>
      <c r="AX6903" s="77"/>
      <c r="BA6903" s="497">
        <v>48.92</v>
      </c>
      <c r="BB6903" s="42"/>
      <c r="BC6903" s="74"/>
      <c r="BD6903" s="77"/>
      <c r="BF6903">
        <v>39.019999999999996</v>
      </c>
      <c r="BH6903" s="42"/>
      <c r="BI6903" s="74"/>
      <c r="BJ6903" s="77"/>
      <c r="BL6903" s="497">
        <v>42.980000000000004</v>
      </c>
      <c r="BN6903" s="42"/>
      <c r="BO6903" s="74"/>
      <c r="BP6903" s="77"/>
      <c r="BR6903" s="497">
        <v>51.980000000000004</v>
      </c>
      <c r="BT6903" s="42"/>
    </row>
    <row r="6904" spans="1:72" x14ac:dyDescent="0.25">
      <c r="A6904" s="90">
        <v>37178</v>
      </c>
      <c r="B6904" s="20">
        <v>0.91666666666666663</v>
      </c>
      <c r="D6904">
        <v>64.039999999999992</v>
      </c>
      <c r="E6904" t="str">
        <f t="shared" si="250"/>
        <v>SUNDAY</v>
      </c>
      <c r="F6904" t="e">
        <f t="shared" si="251"/>
        <v>#N/A</v>
      </c>
      <c r="G6904" s="74">
        <v>29508</v>
      </c>
      <c r="H6904" s="77">
        <v>0.91666666666666663</v>
      </c>
      <c r="J6904">
        <v>51.980000000000004</v>
      </c>
      <c r="M6904" s="74">
        <v>36447</v>
      </c>
      <c r="N6904" s="77">
        <v>0.91666666666666663</v>
      </c>
      <c r="P6904">
        <v>41.9</v>
      </c>
      <c r="S6904" s="74">
        <v>37178</v>
      </c>
      <c r="T6904" s="77">
        <v>0.91666666666666663</v>
      </c>
      <c r="V6904">
        <v>62.96</v>
      </c>
      <c r="X6904" s="42"/>
      <c r="AB6904">
        <v>58.3</v>
      </c>
      <c r="AC6904">
        <v>55.94</v>
      </c>
      <c r="AE6904" s="74"/>
      <c r="AF6904" s="77"/>
      <c r="AH6904" s="497">
        <v>33.799999999999997</v>
      </c>
      <c r="AJ6904" s="42"/>
      <c r="AK6904" s="74"/>
      <c r="AL6904" s="77"/>
      <c r="AN6904" s="497">
        <v>44.96</v>
      </c>
      <c r="AP6904" s="42"/>
      <c r="AQ6904" s="74"/>
      <c r="AR6904" s="77"/>
      <c r="AT6904" s="497">
        <v>53.96</v>
      </c>
      <c r="AV6904" s="42"/>
      <c r="AW6904" s="74"/>
      <c r="AX6904" s="77"/>
      <c r="BA6904" s="497">
        <v>48.019999999999996</v>
      </c>
      <c r="BB6904" s="42"/>
      <c r="BC6904" s="74"/>
      <c r="BD6904" s="77"/>
      <c r="BF6904">
        <v>39.019999999999996</v>
      </c>
      <c r="BH6904" s="42"/>
      <c r="BI6904" s="74"/>
      <c r="BJ6904" s="77"/>
      <c r="BL6904" s="497">
        <v>42.980000000000004</v>
      </c>
      <c r="BN6904" s="42"/>
      <c r="BO6904" s="74"/>
      <c r="BP6904" s="77"/>
      <c r="BR6904" s="497">
        <v>51.08</v>
      </c>
      <c r="BT6904" s="42"/>
    </row>
    <row r="6905" spans="1:72" x14ac:dyDescent="0.25">
      <c r="A6905" s="90">
        <v>37178</v>
      </c>
      <c r="B6905" s="20">
        <v>0.95833333333333337</v>
      </c>
      <c r="D6905">
        <v>64.039999999999992</v>
      </c>
      <c r="E6905" t="str">
        <f t="shared" si="250"/>
        <v>SUNDAY</v>
      </c>
      <c r="F6905" t="e">
        <f t="shared" si="251"/>
        <v>#N/A</v>
      </c>
      <c r="G6905" s="74">
        <v>29508</v>
      </c>
      <c r="H6905" s="77">
        <v>0.95833333333333337</v>
      </c>
      <c r="J6905">
        <v>51.980000000000004</v>
      </c>
      <c r="M6905" s="74">
        <v>36447</v>
      </c>
      <c r="N6905" s="77">
        <v>0.95833333333333337</v>
      </c>
      <c r="P6905">
        <v>39.200000000000003</v>
      </c>
      <c r="S6905" s="74">
        <v>37178</v>
      </c>
      <c r="T6905" s="77">
        <v>0.95833333333333337</v>
      </c>
      <c r="V6905">
        <v>62.96</v>
      </c>
      <c r="X6905" s="42"/>
      <c r="AB6905">
        <v>57.5</v>
      </c>
      <c r="AC6905">
        <v>55.040000000000006</v>
      </c>
      <c r="AE6905" s="74"/>
      <c r="AF6905" s="77"/>
      <c r="AH6905" s="497">
        <v>33.799999999999997</v>
      </c>
      <c r="AJ6905" s="42"/>
      <c r="AK6905" s="74"/>
      <c r="AL6905" s="77"/>
      <c r="AN6905" s="497">
        <v>42.08</v>
      </c>
      <c r="AP6905" s="42"/>
      <c r="AQ6905" s="74"/>
      <c r="AR6905" s="77"/>
      <c r="AT6905" s="497">
        <v>51.980000000000004</v>
      </c>
      <c r="AV6905" s="42"/>
      <c r="AW6905" s="74"/>
      <c r="AX6905" s="77"/>
      <c r="BA6905" s="497">
        <v>46.94</v>
      </c>
      <c r="BB6905" s="42"/>
      <c r="BC6905" s="74"/>
      <c r="BD6905" s="77"/>
      <c r="BF6905">
        <v>37.04</v>
      </c>
      <c r="BH6905" s="42"/>
      <c r="BI6905" s="74"/>
      <c r="BJ6905" s="77"/>
      <c r="BL6905" s="497">
        <v>42.980000000000004</v>
      </c>
      <c r="BN6905" s="42"/>
      <c r="BO6905" s="74"/>
      <c r="BP6905" s="77"/>
      <c r="BR6905" s="497">
        <v>48.92</v>
      </c>
      <c r="BT6905" s="42"/>
    </row>
    <row r="6906" spans="1:72" x14ac:dyDescent="0.25">
      <c r="A6906" s="90">
        <v>37178</v>
      </c>
      <c r="B6906" s="20">
        <v>1</v>
      </c>
      <c r="D6906">
        <v>64.039999999999992</v>
      </c>
      <c r="E6906" t="str">
        <f t="shared" si="250"/>
        <v>SUNDAY</v>
      </c>
      <c r="F6906" t="e">
        <f t="shared" si="251"/>
        <v>#N/A</v>
      </c>
      <c r="G6906" s="74">
        <v>29508</v>
      </c>
      <c r="H6906" s="77">
        <v>1</v>
      </c>
      <c r="J6906">
        <v>51.980000000000004</v>
      </c>
      <c r="M6906" s="74">
        <v>36447</v>
      </c>
      <c r="N6906" s="80">
        <v>1</v>
      </c>
      <c r="P6906">
        <v>37.4</v>
      </c>
      <c r="S6906" s="74">
        <v>37178</v>
      </c>
      <c r="T6906" s="80">
        <v>1</v>
      </c>
      <c r="V6906">
        <v>62.96</v>
      </c>
      <c r="X6906" s="42"/>
      <c r="AB6906">
        <v>56.9</v>
      </c>
      <c r="AC6906">
        <v>55.040000000000006</v>
      </c>
      <c r="AE6906" s="74"/>
      <c r="AF6906" s="80"/>
      <c r="AH6906" s="497">
        <v>32</v>
      </c>
      <c r="AJ6906" s="42"/>
      <c r="AK6906" s="74"/>
      <c r="AL6906" s="80"/>
      <c r="AN6906" s="497">
        <v>41</v>
      </c>
      <c r="AP6906" s="42"/>
      <c r="AQ6906" s="74"/>
      <c r="AR6906" s="80"/>
      <c r="AT6906" s="497">
        <v>50</v>
      </c>
      <c r="AV6906" s="42"/>
      <c r="AW6906" s="74"/>
      <c r="AX6906" s="80"/>
      <c r="BA6906" s="497">
        <v>46.94</v>
      </c>
      <c r="BB6906" s="42"/>
      <c r="BC6906" s="74"/>
      <c r="BD6906" s="80"/>
      <c r="BF6906">
        <v>39.019999999999996</v>
      </c>
      <c r="BH6906" s="42"/>
      <c r="BI6906" s="74"/>
      <c r="BJ6906" s="80"/>
      <c r="BL6906" s="497">
        <v>42.980000000000004</v>
      </c>
      <c r="BN6906" s="42"/>
      <c r="BO6906" s="74"/>
      <c r="BP6906" s="80"/>
      <c r="BR6906" s="497">
        <v>46.94</v>
      </c>
      <c r="BT6906" s="42"/>
    </row>
    <row r="6907" spans="1:72" x14ac:dyDescent="0.25">
      <c r="A6907" s="90">
        <v>37179</v>
      </c>
      <c r="B6907" s="20">
        <v>4.1666666666666664E-2</v>
      </c>
      <c r="D6907">
        <v>64.94</v>
      </c>
      <c r="E6907" t="str">
        <f t="shared" si="250"/>
        <v>WEEKDAY</v>
      </c>
      <c r="F6907" t="e">
        <f t="shared" si="251"/>
        <v>#N/A</v>
      </c>
      <c r="G6907" s="74">
        <v>29509</v>
      </c>
      <c r="H6907" s="77">
        <v>4.1666666666666664E-2</v>
      </c>
      <c r="J6907">
        <v>51.980000000000004</v>
      </c>
      <c r="M6907" s="74">
        <v>36448</v>
      </c>
      <c r="N6907" s="77">
        <v>4.1666666666666664E-2</v>
      </c>
      <c r="P6907">
        <v>36.5</v>
      </c>
      <c r="S6907" s="74">
        <v>37179</v>
      </c>
      <c r="T6907" s="77">
        <v>4.1666666666666664E-2</v>
      </c>
      <c r="V6907">
        <v>64.039999999999992</v>
      </c>
      <c r="X6907" s="42"/>
      <c r="AB6907">
        <v>56.2</v>
      </c>
      <c r="AC6907">
        <v>53.06</v>
      </c>
      <c r="AE6907" s="74"/>
      <c r="AF6907" s="77"/>
      <c r="AH6907" s="497">
        <v>32</v>
      </c>
      <c r="AJ6907" s="42"/>
      <c r="AK6907" s="74"/>
      <c r="AL6907" s="77"/>
      <c r="AN6907" s="497">
        <v>39.92</v>
      </c>
      <c r="AP6907" s="42"/>
      <c r="AQ6907" s="74"/>
      <c r="AR6907" s="77"/>
      <c r="AT6907" s="497">
        <v>48.92</v>
      </c>
      <c r="AV6907" s="42"/>
      <c r="AW6907" s="74"/>
      <c r="AX6907" s="77"/>
      <c r="BA6907" s="497">
        <v>46.04</v>
      </c>
      <c r="BB6907" s="42"/>
      <c r="BC6907" s="74"/>
      <c r="BD6907" s="77"/>
      <c r="BF6907">
        <v>39.019999999999996</v>
      </c>
      <c r="BH6907" s="42"/>
      <c r="BI6907" s="74"/>
      <c r="BJ6907" s="77"/>
      <c r="BL6907" s="497">
        <v>42.08</v>
      </c>
      <c r="BN6907" s="42"/>
      <c r="BO6907" s="74"/>
      <c r="BP6907" s="77"/>
      <c r="BR6907" s="497">
        <v>44.96</v>
      </c>
      <c r="BT6907" s="42"/>
    </row>
    <row r="6908" spans="1:72" x14ac:dyDescent="0.25">
      <c r="A6908" s="90">
        <v>37179</v>
      </c>
      <c r="B6908" s="20">
        <v>8.3333333333333329E-2</v>
      </c>
      <c r="D6908">
        <v>66.02</v>
      </c>
      <c r="E6908" t="str">
        <f t="shared" si="250"/>
        <v>WEEKDAY</v>
      </c>
      <c r="F6908" t="e">
        <f t="shared" si="251"/>
        <v>#N/A</v>
      </c>
      <c r="G6908" s="74">
        <v>29509</v>
      </c>
      <c r="H6908" s="77">
        <v>8.3333333333333329E-2</v>
      </c>
      <c r="J6908">
        <v>51.620000000000005</v>
      </c>
      <c r="M6908" s="74">
        <v>36448</v>
      </c>
      <c r="N6908" s="77">
        <v>8.3333333333333329E-2</v>
      </c>
      <c r="P6908">
        <v>35.6</v>
      </c>
      <c r="S6908" s="74">
        <v>37179</v>
      </c>
      <c r="T6908" s="77">
        <v>8.3333333333333329E-2</v>
      </c>
      <c r="V6908">
        <v>64.039999999999992</v>
      </c>
      <c r="X6908" s="42"/>
      <c r="AB6908">
        <v>55.5</v>
      </c>
      <c r="AC6908">
        <v>53.96</v>
      </c>
      <c r="AE6908" s="74"/>
      <c r="AF6908" s="77"/>
      <c r="AH6908" s="497">
        <v>30.2</v>
      </c>
      <c r="AJ6908" s="42"/>
      <c r="AK6908" s="74"/>
      <c r="AL6908" s="77"/>
      <c r="AN6908" s="497">
        <v>39.019999999999996</v>
      </c>
      <c r="AP6908" s="42"/>
      <c r="AQ6908" s="74"/>
      <c r="AR6908" s="77"/>
      <c r="AT6908" s="497">
        <v>46.94</v>
      </c>
      <c r="AV6908" s="42"/>
      <c r="AW6908" s="74"/>
      <c r="AX6908" s="77"/>
      <c r="BA6908" s="497">
        <v>44.96</v>
      </c>
      <c r="BB6908" s="42"/>
      <c r="BC6908" s="74"/>
      <c r="BD6908" s="77"/>
      <c r="BF6908">
        <v>37.04</v>
      </c>
      <c r="BH6908" s="42"/>
      <c r="BI6908" s="74"/>
      <c r="BJ6908" s="77"/>
      <c r="BL6908" s="497">
        <v>41</v>
      </c>
      <c r="BN6908" s="42"/>
      <c r="BO6908" s="74"/>
      <c r="BP6908" s="77"/>
      <c r="BR6908" s="497">
        <v>44.06</v>
      </c>
      <c r="BT6908" s="42"/>
    </row>
    <row r="6909" spans="1:72" x14ac:dyDescent="0.25">
      <c r="A6909" s="90">
        <v>37179</v>
      </c>
      <c r="B6909" s="20">
        <v>0.125</v>
      </c>
      <c r="D6909">
        <v>66.02</v>
      </c>
      <c r="E6909" t="str">
        <f t="shared" si="250"/>
        <v>WEEKDAY</v>
      </c>
      <c r="F6909" t="e">
        <f t="shared" si="251"/>
        <v>#N/A</v>
      </c>
      <c r="G6909" s="74">
        <v>29509</v>
      </c>
      <c r="H6909" s="77">
        <v>0.125</v>
      </c>
      <c r="J6909">
        <v>51.44</v>
      </c>
      <c r="M6909" s="74">
        <v>36448</v>
      </c>
      <c r="N6909" s="77">
        <v>0.125</v>
      </c>
      <c r="P6909">
        <v>35.6</v>
      </c>
      <c r="S6909" s="74">
        <v>37179</v>
      </c>
      <c r="T6909" s="77">
        <v>0.125</v>
      </c>
      <c r="V6909">
        <v>64.94</v>
      </c>
      <c r="X6909" s="42"/>
      <c r="AB6909">
        <v>54.9</v>
      </c>
      <c r="AC6909">
        <v>53.96</v>
      </c>
      <c r="AE6909" s="74"/>
      <c r="AF6909" s="77"/>
      <c r="AH6909" s="497">
        <v>28.4</v>
      </c>
      <c r="AJ6909" s="42"/>
      <c r="AK6909" s="74"/>
      <c r="AL6909" s="77"/>
      <c r="AN6909" s="497">
        <v>37.94</v>
      </c>
      <c r="AP6909" s="42"/>
      <c r="AQ6909" s="74"/>
      <c r="AR6909" s="77"/>
      <c r="AT6909" s="497">
        <v>42.980000000000004</v>
      </c>
      <c r="AV6909" s="42"/>
      <c r="AW6909" s="74"/>
      <c r="AX6909" s="77"/>
      <c r="BA6909" s="497">
        <v>44.06</v>
      </c>
      <c r="BB6909" s="42"/>
      <c r="BC6909" s="74"/>
      <c r="BD6909" s="77"/>
      <c r="BF6909">
        <v>37.04</v>
      </c>
      <c r="BH6909" s="42"/>
      <c r="BI6909" s="74"/>
      <c r="BJ6909" s="77"/>
      <c r="BL6909" s="497">
        <v>39.92</v>
      </c>
      <c r="BN6909" s="42"/>
      <c r="BO6909" s="74"/>
      <c r="BP6909" s="77"/>
      <c r="BR6909" s="497">
        <v>42.980000000000004</v>
      </c>
      <c r="BT6909" s="42"/>
    </row>
    <row r="6910" spans="1:72" x14ac:dyDescent="0.25">
      <c r="A6910" s="90">
        <v>37179</v>
      </c>
      <c r="B6910" s="20">
        <v>0.16666666666666666</v>
      </c>
      <c r="D6910">
        <v>62.06</v>
      </c>
      <c r="E6910" t="str">
        <f t="shared" si="250"/>
        <v>WEEKDAY</v>
      </c>
      <c r="F6910" t="e">
        <f t="shared" si="251"/>
        <v>#N/A</v>
      </c>
      <c r="G6910" s="74">
        <v>29509</v>
      </c>
      <c r="H6910" s="77">
        <v>0.16666666666666666</v>
      </c>
      <c r="J6910">
        <v>51.08</v>
      </c>
      <c r="M6910" s="74">
        <v>36448</v>
      </c>
      <c r="N6910" s="77">
        <v>0.16666666666666666</v>
      </c>
      <c r="P6910">
        <v>35.6</v>
      </c>
      <c r="S6910" s="74">
        <v>37179</v>
      </c>
      <c r="T6910" s="77">
        <v>0.16666666666666666</v>
      </c>
      <c r="V6910">
        <v>62.06</v>
      </c>
      <c r="X6910" s="42"/>
      <c r="AB6910">
        <v>54.4</v>
      </c>
      <c r="AC6910">
        <v>57.92</v>
      </c>
      <c r="AE6910" s="74"/>
      <c r="AF6910" s="77"/>
      <c r="AH6910" s="497">
        <v>28.4</v>
      </c>
      <c r="AJ6910" s="42"/>
      <c r="AK6910" s="74"/>
      <c r="AL6910" s="77"/>
      <c r="AN6910" s="497">
        <v>37.04</v>
      </c>
      <c r="AP6910" s="42"/>
      <c r="AQ6910" s="74"/>
      <c r="AR6910" s="77"/>
      <c r="AT6910" s="497">
        <v>41</v>
      </c>
      <c r="AV6910" s="42"/>
      <c r="AW6910" s="74"/>
      <c r="AX6910" s="77"/>
      <c r="BA6910" s="497">
        <v>42.980000000000004</v>
      </c>
      <c r="BB6910" s="42"/>
      <c r="BC6910" s="74"/>
      <c r="BD6910" s="77"/>
      <c r="BF6910">
        <v>37.94</v>
      </c>
      <c r="BH6910" s="42"/>
      <c r="BI6910" s="74"/>
      <c r="BJ6910" s="77"/>
      <c r="BL6910" s="497">
        <v>39.92</v>
      </c>
      <c r="BN6910" s="42"/>
      <c r="BO6910" s="74"/>
      <c r="BP6910" s="77"/>
      <c r="BR6910" s="497">
        <v>41</v>
      </c>
      <c r="BT6910" s="42"/>
    </row>
    <row r="6911" spans="1:72" x14ac:dyDescent="0.25">
      <c r="A6911" s="90">
        <v>37179</v>
      </c>
      <c r="B6911" s="20">
        <v>0.20833333333333334</v>
      </c>
      <c r="D6911">
        <v>62.06</v>
      </c>
      <c r="E6911" t="str">
        <f t="shared" si="250"/>
        <v>WEEKDAY</v>
      </c>
      <c r="F6911" t="e">
        <f t="shared" si="251"/>
        <v>#N/A</v>
      </c>
      <c r="G6911" s="74">
        <v>29509</v>
      </c>
      <c r="H6911" s="77">
        <v>0.20833333333333334</v>
      </c>
      <c r="J6911">
        <v>50.72</v>
      </c>
      <c r="M6911" s="74">
        <v>36448</v>
      </c>
      <c r="N6911" s="77">
        <v>0.20833333333333334</v>
      </c>
      <c r="P6911">
        <v>35.6</v>
      </c>
      <c r="S6911" s="74">
        <v>37179</v>
      </c>
      <c r="T6911" s="77">
        <v>0.20833333333333334</v>
      </c>
      <c r="V6911">
        <v>60.980000000000004</v>
      </c>
      <c r="X6911" s="42"/>
      <c r="AB6911">
        <v>54</v>
      </c>
      <c r="AC6911">
        <v>57.92</v>
      </c>
      <c r="AE6911" s="74"/>
      <c r="AF6911" s="77"/>
      <c r="AH6911" s="497">
        <v>28.4</v>
      </c>
      <c r="AJ6911" s="42"/>
      <c r="AK6911" s="74"/>
      <c r="AL6911" s="77"/>
      <c r="AN6911" s="497">
        <v>37.94</v>
      </c>
      <c r="AP6911" s="42"/>
      <c r="AQ6911" s="74"/>
      <c r="AR6911" s="77"/>
      <c r="AT6911" s="497">
        <v>41</v>
      </c>
      <c r="AV6911" s="42"/>
      <c r="AW6911" s="74"/>
      <c r="AX6911" s="77"/>
      <c r="BA6911" s="497">
        <v>42.980000000000004</v>
      </c>
      <c r="BB6911" s="42"/>
      <c r="BC6911" s="74"/>
      <c r="BD6911" s="77"/>
      <c r="BF6911">
        <v>37.94</v>
      </c>
      <c r="BH6911" s="42"/>
      <c r="BI6911" s="74"/>
      <c r="BJ6911" s="77"/>
      <c r="BL6911" s="497">
        <v>39.92</v>
      </c>
      <c r="BN6911" s="42"/>
      <c r="BO6911" s="74"/>
      <c r="BP6911" s="77"/>
      <c r="BR6911" s="497">
        <v>41</v>
      </c>
      <c r="BT6911" s="42"/>
    </row>
    <row r="6912" spans="1:72" x14ac:dyDescent="0.25">
      <c r="A6912" s="90">
        <v>37179</v>
      </c>
      <c r="B6912" s="20">
        <v>0.25</v>
      </c>
      <c r="D6912">
        <v>60.980000000000004</v>
      </c>
      <c r="E6912" t="str">
        <f t="shared" si="250"/>
        <v>WEEKDAY</v>
      </c>
      <c r="F6912" t="e">
        <f t="shared" si="251"/>
        <v>#N/A</v>
      </c>
      <c r="G6912" s="74">
        <v>29509</v>
      </c>
      <c r="H6912" s="77">
        <v>0.25</v>
      </c>
      <c r="J6912">
        <v>50.36</v>
      </c>
      <c r="M6912" s="74">
        <v>36448</v>
      </c>
      <c r="N6912" s="77">
        <v>0.25</v>
      </c>
      <c r="P6912">
        <v>35.6</v>
      </c>
      <c r="S6912" s="74">
        <v>37179</v>
      </c>
      <c r="T6912" s="77">
        <v>0.25</v>
      </c>
      <c r="V6912">
        <v>60.08</v>
      </c>
      <c r="X6912" s="42"/>
      <c r="AB6912">
        <v>53.7</v>
      </c>
      <c r="AC6912">
        <v>59</v>
      </c>
      <c r="AE6912" s="74"/>
      <c r="AF6912" s="77"/>
      <c r="AH6912" s="497">
        <v>28.4</v>
      </c>
      <c r="AJ6912" s="42"/>
      <c r="AK6912" s="74"/>
      <c r="AL6912" s="77"/>
      <c r="AN6912" s="497">
        <v>37.94</v>
      </c>
      <c r="AP6912" s="42"/>
      <c r="AQ6912" s="74"/>
      <c r="AR6912" s="77"/>
      <c r="AT6912" s="497">
        <v>42.08</v>
      </c>
      <c r="AV6912" s="42"/>
      <c r="AW6912" s="74"/>
      <c r="AX6912" s="77"/>
      <c r="BA6912" s="497">
        <v>42.980000000000004</v>
      </c>
      <c r="BB6912" s="42"/>
      <c r="BC6912" s="74"/>
      <c r="BD6912" s="77"/>
      <c r="BF6912">
        <v>37.94</v>
      </c>
      <c r="BH6912" s="42"/>
      <c r="BI6912" s="74"/>
      <c r="BJ6912" s="77"/>
      <c r="BL6912" s="497">
        <v>39.019999999999996</v>
      </c>
      <c r="BN6912" s="42"/>
      <c r="BO6912" s="74"/>
      <c r="BP6912" s="77"/>
      <c r="BR6912" s="497">
        <v>41</v>
      </c>
      <c r="BT6912" s="42"/>
    </row>
    <row r="6913" spans="1:72" x14ac:dyDescent="0.25">
      <c r="A6913" s="90">
        <v>37179</v>
      </c>
      <c r="B6913" s="20">
        <v>0.29166666666666669</v>
      </c>
      <c r="D6913">
        <v>60.08</v>
      </c>
      <c r="E6913" t="str">
        <f t="shared" si="250"/>
        <v>WEEKDAY</v>
      </c>
      <c r="F6913" t="e">
        <f t="shared" si="251"/>
        <v>#N/A</v>
      </c>
      <c r="G6913" s="74">
        <v>29509</v>
      </c>
      <c r="H6913" s="77">
        <v>0.29166666666666669</v>
      </c>
      <c r="J6913">
        <v>50</v>
      </c>
      <c r="M6913" s="74">
        <v>36448</v>
      </c>
      <c r="N6913" s="77">
        <v>0.29166666666666669</v>
      </c>
      <c r="P6913">
        <v>35.6</v>
      </c>
      <c r="S6913" s="74">
        <v>37179</v>
      </c>
      <c r="T6913" s="77">
        <v>0.29166666666666669</v>
      </c>
      <c r="V6913">
        <v>60.08</v>
      </c>
      <c r="X6913" s="42"/>
      <c r="AB6913">
        <v>53.5</v>
      </c>
      <c r="AC6913">
        <v>60.08</v>
      </c>
      <c r="AE6913" s="74"/>
      <c r="AF6913" s="77"/>
      <c r="AH6913" s="497">
        <v>30.2</v>
      </c>
      <c r="AJ6913" s="42"/>
      <c r="AK6913" s="74"/>
      <c r="AL6913" s="77"/>
      <c r="AN6913" s="497">
        <v>39.019999999999996</v>
      </c>
      <c r="AP6913" s="42"/>
      <c r="AQ6913" s="74"/>
      <c r="AR6913" s="77"/>
      <c r="AT6913" s="497">
        <v>44.96</v>
      </c>
      <c r="AV6913" s="42"/>
      <c r="AW6913" s="74"/>
      <c r="AX6913" s="77"/>
      <c r="BA6913" s="497">
        <v>44.06</v>
      </c>
      <c r="BB6913" s="42"/>
      <c r="BC6913" s="74"/>
      <c r="BD6913" s="77"/>
      <c r="BF6913">
        <v>39.019999999999996</v>
      </c>
      <c r="BH6913" s="42"/>
      <c r="BI6913" s="74"/>
      <c r="BJ6913" s="77"/>
      <c r="BL6913" s="497">
        <v>39.019999999999996</v>
      </c>
      <c r="BN6913" s="42"/>
      <c r="BO6913" s="74"/>
      <c r="BP6913" s="77"/>
      <c r="BR6913" s="497">
        <v>42.08</v>
      </c>
      <c r="BT6913" s="42"/>
    </row>
    <row r="6914" spans="1:72" x14ac:dyDescent="0.25">
      <c r="A6914" s="90">
        <v>37179</v>
      </c>
      <c r="B6914" s="20">
        <v>0.33333333333333331</v>
      </c>
      <c r="D6914">
        <v>60.08</v>
      </c>
      <c r="E6914" t="str">
        <f t="shared" si="250"/>
        <v>WEEKDAY</v>
      </c>
      <c r="F6914" t="e">
        <f t="shared" si="251"/>
        <v>#N/A</v>
      </c>
      <c r="G6914" s="74">
        <v>29509</v>
      </c>
      <c r="H6914" s="77">
        <v>0.33333333333333331</v>
      </c>
      <c r="J6914">
        <v>51.08</v>
      </c>
      <c r="M6914" s="74">
        <v>36448</v>
      </c>
      <c r="N6914" s="77">
        <v>0.33333333333333331</v>
      </c>
      <c r="P6914">
        <v>40.46</v>
      </c>
      <c r="S6914" s="74">
        <v>37179</v>
      </c>
      <c r="T6914" s="77">
        <v>0.33333333333333331</v>
      </c>
      <c r="V6914">
        <v>60.980000000000004</v>
      </c>
      <c r="X6914" s="42"/>
      <c r="AB6914">
        <v>54.4</v>
      </c>
      <c r="AC6914">
        <v>66.02</v>
      </c>
      <c r="AE6914" s="74"/>
      <c r="AF6914" s="77"/>
      <c r="AH6914" s="497">
        <v>35.6</v>
      </c>
      <c r="AJ6914" s="42"/>
      <c r="AK6914" s="74"/>
      <c r="AL6914" s="77"/>
      <c r="AN6914" s="497">
        <v>39.92</v>
      </c>
      <c r="AP6914" s="42"/>
      <c r="AQ6914" s="74"/>
      <c r="AR6914" s="77"/>
      <c r="AT6914" s="497">
        <v>48.019999999999996</v>
      </c>
      <c r="AV6914" s="42"/>
      <c r="AW6914" s="74"/>
      <c r="AX6914" s="77"/>
      <c r="BA6914" s="497">
        <v>46.04</v>
      </c>
      <c r="BB6914" s="42"/>
      <c r="BC6914" s="74"/>
      <c r="BD6914" s="77"/>
      <c r="BF6914">
        <v>39.92</v>
      </c>
      <c r="BH6914" s="42"/>
      <c r="BI6914" s="74"/>
      <c r="BJ6914" s="77"/>
      <c r="BL6914" s="497">
        <v>39.019999999999996</v>
      </c>
      <c r="BN6914" s="42"/>
      <c r="BO6914" s="74"/>
      <c r="BP6914" s="77"/>
      <c r="BR6914" s="497">
        <v>44.06</v>
      </c>
      <c r="BT6914" s="42"/>
    </row>
    <row r="6915" spans="1:72" x14ac:dyDescent="0.25">
      <c r="A6915" s="90">
        <v>37179</v>
      </c>
      <c r="B6915" s="20">
        <v>0.375</v>
      </c>
      <c r="D6915">
        <v>62.06</v>
      </c>
      <c r="E6915" t="str">
        <f t="shared" si="250"/>
        <v>WEEKDAY</v>
      </c>
      <c r="F6915" t="e">
        <f t="shared" si="251"/>
        <v>#N/A</v>
      </c>
      <c r="G6915" s="74">
        <v>29509</v>
      </c>
      <c r="H6915" s="77">
        <v>0.375</v>
      </c>
      <c r="J6915">
        <v>51.980000000000004</v>
      </c>
      <c r="M6915" s="74">
        <v>36448</v>
      </c>
      <c r="N6915" s="77">
        <v>0.375</v>
      </c>
      <c r="P6915">
        <v>44.6</v>
      </c>
      <c r="S6915" s="74">
        <v>37179</v>
      </c>
      <c r="T6915" s="77">
        <v>0.375</v>
      </c>
      <c r="V6915">
        <v>62.96</v>
      </c>
      <c r="X6915" s="42"/>
      <c r="AB6915">
        <v>56.7</v>
      </c>
      <c r="AC6915">
        <v>69.98</v>
      </c>
      <c r="AE6915" s="74"/>
      <c r="AF6915" s="77"/>
      <c r="AH6915" s="497">
        <v>39.200000000000003</v>
      </c>
      <c r="AJ6915" s="42"/>
      <c r="AK6915" s="74"/>
      <c r="AL6915" s="77"/>
      <c r="AN6915" s="497">
        <v>42.08</v>
      </c>
      <c r="AP6915" s="42"/>
      <c r="AQ6915" s="74"/>
      <c r="AR6915" s="77"/>
      <c r="AT6915" s="497">
        <v>50</v>
      </c>
      <c r="AV6915" s="42"/>
      <c r="AW6915" s="74"/>
      <c r="AX6915" s="77"/>
      <c r="BA6915" s="497">
        <v>48.019999999999996</v>
      </c>
      <c r="BB6915" s="42"/>
      <c r="BC6915" s="74"/>
      <c r="BD6915" s="77"/>
      <c r="BF6915">
        <v>42.08</v>
      </c>
      <c r="BH6915" s="42"/>
      <c r="BI6915" s="74"/>
      <c r="BJ6915" s="77"/>
      <c r="BL6915" s="497">
        <v>42.08</v>
      </c>
      <c r="BN6915" s="42"/>
      <c r="BO6915" s="74"/>
      <c r="BP6915" s="77"/>
      <c r="BR6915" s="497">
        <v>46.04</v>
      </c>
      <c r="BT6915" s="42"/>
    </row>
    <row r="6916" spans="1:72" x14ac:dyDescent="0.25">
      <c r="A6916" s="90">
        <v>37179</v>
      </c>
      <c r="B6916" s="20">
        <v>0.41666666666666669</v>
      </c>
      <c r="D6916">
        <v>64.039999999999992</v>
      </c>
      <c r="E6916" t="str">
        <f t="shared" si="250"/>
        <v>WEEKDAY</v>
      </c>
      <c r="F6916" t="e">
        <f t="shared" si="251"/>
        <v>#N/A</v>
      </c>
      <c r="G6916" s="74">
        <v>29509</v>
      </c>
      <c r="H6916" s="77">
        <v>0.41666666666666669</v>
      </c>
      <c r="J6916">
        <v>53.06</v>
      </c>
      <c r="M6916" s="74">
        <v>36448</v>
      </c>
      <c r="N6916" s="77">
        <v>0.41666666666666669</v>
      </c>
      <c r="P6916">
        <v>48.2</v>
      </c>
      <c r="S6916" s="74">
        <v>37179</v>
      </c>
      <c r="T6916" s="77">
        <v>0.41666666666666669</v>
      </c>
      <c r="V6916">
        <v>64.94</v>
      </c>
      <c r="X6916" s="42"/>
      <c r="AB6916">
        <v>58.7</v>
      </c>
      <c r="AC6916">
        <v>71.06</v>
      </c>
      <c r="AE6916" s="74"/>
      <c r="AF6916" s="77"/>
      <c r="AH6916" s="497">
        <v>44.6</v>
      </c>
      <c r="AJ6916" s="42"/>
      <c r="AK6916" s="74"/>
      <c r="AL6916" s="77"/>
      <c r="AN6916" s="497">
        <v>44.06</v>
      </c>
      <c r="AP6916" s="42"/>
      <c r="AQ6916" s="74"/>
      <c r="AR6916" s="77"/>
      <c r="AT6916" s="497">
        <v>51.980000000000004</v>
      </c>
      <c r="AV6916" s="42"/>
      <c r="AW6916" s="74"/>
      <c r="AX6916" s="77"/>
      <c r="BA6916" s="497">
        <v>48.92</v>
      </c>
      <c r="BB6916" s="42"/>
      <c r="BC6916" s="74"/>
      <c r="BD6916" s="77"/>
      <c r="BF6916">
        <v>44.96</v>
      </c>
      <c r="BH6916" s="42"/>
      <c r="BI6916" s="74"/>
      <c r="BJ6916" s="77"/>
      <c r="BL6916" s="497">
        <v>44.06</v>
      </c>
      <c r="BN6916" s="42"/>
      <c r="BO6916" s="74"/>
      <c r="BP6916" s="77"/>
      <c r="BR6916" s="497">
        <v>46.94</v>
      </c>
      <c r="BT6916" s="42"/>
    </row>
    <row r="6917" spans="1:72" x14ac:dyDescent="0.25">
      <c r="A6917" s="90">
        <v>37179</v>
      </c>
      <c r="B6917" s="20">
        <v>0.45833333333333331</v>
      </c>
      <c r="D6917">
        <v>66.02</v>
      </c>
      <c r="E6917" t="str">
        <f t="shared" si="250"/>
        <v>WEEKDAY</v>
      </c>
      <c r="F6917" t="e">
        <f t="shared" si="251"/>
        <v>#N/A</v>
      </c>
      <c r="G6917" s="74">
        <v>29509</v>
      </c>
      <c r="H6917" s="77">
        <v>0.45833333333333331</v>
      </c>
      <c r="J6917">
        <v>53.78</v>
      </c>
      <c r="M6917" s="74">
        <v>36448</v>
      </c>
      <c r="N6917" s="77">
        <v>0.45833333333333331</v>
      </c>
      <c r="P6917">
        <v>50</v>
      </c>
      <c r="S6917" s="74">
        <v>37179</v>
      </c>
      <c r="T6917" s="77">
        <v>0.45833333333333331</v>
      </c>
      <c r="V6917">
        <v>66.92</v>
      </c>
      <c r="X6917" s="42"/>
      <c r="AB6917">
        <v>60.4</v>
      </c>
      <c r="AC6917">
        <v>73.94</v>
      </c>
      <c r="AE6917" s="74"/>
      <c r="AF6917" s="77"/>
      <c r="AH6917" s="497">
        <v>48.2</v>
      </c>
      <c r="AJ6917" s="42"/>
      <c r="AK6917" s="74"/>
      <c r="AL6917" s="77"/>
      <c r="AN6917" s="497">
        <v>46.94</v>
      </c>
      <c r="AP6917" s="42"/>
      <c r="AQ6917" s="74"/>
      <c r="AR6917" s="77"/>
      <c r="AT6917" s="497">
        <v>51.980000000000004</v>
      </c>
      <c r="AV6917" s="42"/>
      <c r="AW6917" s="74"/>
      <c r="AX6917" s="77"/>
      <c r="BA6917" s="497">
        <v>51.08</v>
      </c>
      <c r="BB6917" s="42"/>
      <c r="BC6917" s="74"/>
      <c r="BD6917" s="77"/>
      <c r="BF6917">
        <v>46.94</v>
      </c>
      <c r="BH6917" s="42"/>
      <c r="BI6917" s="74"/>
      <c r="BJ6917" s="77"/>
      <c r="BL6917" s="497">
        <v>46.04</v>
      </c>
      <c r="BN6917" s="42"/>
      <c r="BO6917" s="74"/>
      <c r="BP6917" s="77"/>
      <c r="BR6917" s="497">
        <v>48.019999999999996</v>
      </c>
      <c r="BT6917" s="42"/>
    </row>
    <row r="6918" spans="1:72" x14ac:dyDescent="0.25">
      <c r="A6918" s="90">
        <v>37179</v>
      </c>
      <c r="B6918" s="20">
        <v>0.5</v>
      </c>
      <c r="D6918">
        <v>68</v>
      </c>
      <c r="E6918" t="str">
        <f t="shared" si="250"/>
        <v>WEEKDAY</v>
      </c>
      <c r="F6918" t="e">
        <f t="shared" si="251"/>
        <v>#N/A</v>
      </c>
      <c r="G6918" s="74">
        <v>29509</v>
      </c>
      <c r="H6918" s="77">
        <v>0.5</v>
      </c>
      <c r="J6918">
        <v>54.32</v>
      </c>
      <c r="M6918" s="74">
        <v>36448</v>
      </c>
      <c r="N6918" s="77">
        <v>0.5</v>
      </c>
      <c r="P6918">
        <v>51.8</v>
      </c>
      <c r="S6918" s="74">
        <v>37179</v>
      </c>
      <c r="T6918" s="77">
        <v>0.5</v>
      </c>
      <c r="V6918">
        <v>68</v>
      </c>
      <c r="X6918" s="42"/>
      <c r="AB6918">
        <v>61.9</v>
      </c>
      <c r="AC6918">
        <v>73.039999999999992</v>
      </c>
      <c r="AE6918" s="74"/>
      <c r="AF6918" s="77"/>
      <c r="AH6918" s="497">
        <v>51.8</v>
      </c>
      <c r="AJ6918" s="42"/>
      <c r="AK6918" s="74"/>
      <c r="AL6918" s="77"/>
      <c r="AN6918" s="497">
        <v>46.94</v>
      </c>
      <c r="AP6918" s="42"/>
      <c r="AQ6918" s="74"/>
      <c r="AR6918" s="77"/>
      <c r="AT6918" s="497">
        <v>53.96</v>
      </c>
      <c r="AV6918" s="42"/>
      <c r="AW6918" s="74"/>
      <c r="AX6918" s="77"/>
      <c r="BA6918" s="497">
        <v>53.06</v>
      </c>
      <c r="BB6918" s="42"/>
      <c r="BC6918" s="74"/>
      <c r="BD6918" s="77"/>
      <c r="BF6918">
        <v>48.019999999999996</v>
      </c>
      <c r="BH6918" s="42"/>
      <c r="BI6918" s="74"/>
      <c r="BJ6918" s="77"/>
      <c r="BL6918" s="497">
        <v>46.04</v>
      </c>
      <c r="BN6918" s="42"/>
      <c r="BO6918" s="74"/>
      <c r="BP6918" s="77"/>
      <c r="BR6918" s="497">
        <v>48.92</v>
      </c>
      <c r="BT6918" s="42"/>
    </row>
    <row r="6919" spans="1:72" x14ac:dyDescent="0.25">
      <c r="A6919" s="90">
        <v>37179</v>
      </c>
      <c r="B6919" s="20">
        <v>0.54166666666666663</v>
      </c>
      <c r="D6919">
        <v>68</v>
      </c>
      <c r="E6919" t="str">
        <f t="shared" si="250"/>
        <v>WEEKDAY</v>
      </c>
      <c r="F6919" t="e">
        <f t="shared" si="251"/>
        <v>#N/A</v>
      </c>
      <c r="G6919" s="74">
        <v>29509</v>
      </c>
      <c r="H6919" s="77">
        <v>0.54166666666666663</v>
      </c>
      <c r="J6919">
        <v>55.040000000000006</v>
      </c>
      <c r="M6919" s="74">
        <v>36448</v>
      </c>
      <c r="N6919" s="77">
        <v>0.54166666666666663</v>
      </c>
      <c r="P6919">
        <v>53.6</v>
      </c>
      <c r="S6919" s="74">
        <v>37179</v>
      </c>
      <c r="T6919" s="77">
        <v>0.54166666666666663</v>
      </c>
      <c r="V6919">
        <v>69.080000000000013</v>
      </c>
      <c r="X6919" s="42"/>
      <c r="AB6919">
        <v>62.9</v>
      </c>
      <c r="AC6919">
        <v>75.02</v>
      </c>
      <c r="AE6919" s="74"/>
      <c r="AF6919" s="77"/>
      <c r="AH6919" s="497">
        <v>53.6</v>
      </c>
      <c r="AJ6919" s="42"/>
      <c r="AK6919" s="74"/>
      <c r="AL6919" s="77"/>
      <c r="AN6919" s="497">
        <v>46.94</v>
      </c>
      <c r="AP6919" s="42"/>
      <c r="AQ6919" s="74"/>
      <c r="AR6919" s="77"/>
      <c r="AT6919" s="497">
        <v>53.06</v>
      </c>
      <c r="AV6919" s="42"/>
      <c r="AW6919" s="74"/>
      <c r="AX6919" s="77"/>
      <c r="BA6919" s="497">
        <v>51.08</v>
      </c>
      <c r="BB6919" s="42"/>
      <c r="BC6919" s="74"/>
      <c r="BD6919" s="77"/>
      <c r="BF6919">
        <v>48.92</v>
      </c>
      <c r="BH6919" s="42"/>
      <c r="BI6919" s="74"/>
      <c r="BJ6919" s="77"/>
      <c r="BL6919" s="497">
        <v>46.94</v>
      </c>
      <c r="BN6919" s="42"/>
      <c r="BO6919" s="74"/>
      <c r="BP6919" s="77"/>
      <c r="BR6919" s="497">
        <v>48.92</v>
      </c>
      <c r="BT6919" s="42"/>
    </row>
    <row r="6920" spans="1:72" x14ac:dyDescent="0.25">
      <c r="A6920" s="90">
        <v>37179</v>
      </c>
      <c r="B6920" s="20">
        <v>0.58333333333333337</v>
      </c>
      <c r="D6920">
        <v>69.080000000000013</v>
      </c>
      <c r="E6920" t="str">
        <f t="shared" si="250"/>
        <v>WEEKDAY</v>
      </c>
      <c r="F6920" t="e">
        <f t="shared" si="251"/>
        <v>#N/A</v>
      </c>
      <c r="G6920" s="74">
        <v>29509</v>
      </c>
      <c r="H6920" s="77">
        <v>0.58333333333333337</v>
      </c>
      <c r="J6920">
        <v>55.76</v>
      </c>
      <c r="M6920" s="74">
        <v>36448</v>
      </c>
      <c r="N6920" s="77">
        <v>0.58333333333333337</v>
      </c>
      <c r="P6920">
        <v>55.400000000000006</v>
      </c>
      <c r="S6920" s="74">
        <v>37179</v>
      </c>
      <c r="T6920" s="77">
        <v>0.58333333333333337</v>
      </c>
      <c r="V6920">
        <v>69.98</v>
      </c>
      <c r="X6920" s="42"/>
      <c r="AB6920">
        <v>63.4</v>
      </c>
      <c r="AC6920">
        <v>75.92</v>
      </c>
      <c r="AE6920" s="74"/>
      <c r="AF6920" s="77"/>
      <c r="AH6920" s="497">
        <v>55.400000000000006</v>
      </c>
      <c r="AJ6920" s="42"/>
      <c r="AK6920" s="74"/>
      <c r="AL6920" s="77"/>
      <c r="AN6920" s="497">
        <v>46.94</v>
      </c>
      <c r="AP6920" s="42"/>
      <c r="AQ6920" s="74"/>
      <c r="AR6920" s="77"/>
      <c r="AT6920" s="497">
        <v>51.980000000000004</v>
      </c>
      <c r="AV6920" s="42"/>
      <c r="AW6920" s="74"/>
      <c r="AX6920" s="77"/>
      <c r="BA6920" s="497">
        <v>51.980000000000004</v>
      </c>
      <c r="BB6920" s="42"/>
      <c r="BC6920" s="74"/>
      <c r="BD6920" s="77"/>
      <c r="BF6920">
        <v>46.94</v>
      </c>
      <c r="BH6920" s="42"/>
      <c r="BI6920" s="74"/>
      <c r="BJ6920" s="77"/>
      <c r="BL6920" s="497">
        <v>50</v>
      </c>
      <c r="BN6920" s="42"/>
      <c r="BO6920" s="74"/>
      <c r="BP6920" s="77"/>
      <c r="BR6920" s="497">
        <v>51.08</v>
      </c>
      <c r="BT6920" s="42"/>
    </row>
    <row r="6921" spans="1:72" x14ac:dyDescent="0.25">
      <c r="A6921" s="90">
        <v>37179</v>
      </c>
      <c r="B6921" s="20">
        <v>0.625</v>
      </c>
      <c r="D6921">
        <v>69.080000000000013</v>
      </c>
      <c r="E6921" t="str">
        <f t="shared" si="250"/>
        <v>WEEKDAY</v>
      </c>
      <c r="F6921" t="e">
        <f t="shared" si="251"/>
        <v>#N/A</v>
      </c>
      <c r="G6921" s="74">
        <v>29509</v>
      </c>
      <c r="H6921" s="77">
        <v>0.625</v>
      </c>
      <c r="J6921">
        <v>56.3</v>
      </c>
      <c r="M6921" s="74">
        <v>36448</v>
      </c>
      <c r="N6921" s="77">
        <v>0.625</v>
      </c>
      <c r="P6921">
        <v>55.400000000000006</v>
      </c>
      <c r="S6921" s="74">
        <v>37179</v>
      </c>
      <c r="T6921" s="77">
        <v>0.625</v>
      </c>
      <c r="V6921">
        <v>69.080000000000013</v>
      </c>
      <c r="X6921" s="42"/>
      <c r="AB6921">
        <v>63.7</v>
      </c>
      <c r="AC6921">
        <v>75.92</v>
      </c>
      <c r="AE6921" s="74"/>
      <c r="AF6921" s="77"/>
      <c r="AH6921" s="497">
        <v>53.6</v>
      </c>
      <c r="AJ6921" s="42"/>
      <c r="AK6921" s="74"/>
      <c r="AL6921" s="77"/>
      <c r="AN6921" s="497">
        <v>46.94</v>
      </c>
      <c r="AP6921" s="42"/>
      <c r="AQ6921" s="74"/>
      <c r="AR6921" s="77"/>
      <c r="AT6921" s="497">
        <v>53.06</v>
      </c>
      <c r="AV6921" s="42"/>
      <c r="AW6921" s="74"/>
      <c r="AX6921" s="77"/>
      <c r="BA6921" s="497">
        <v>53.96</v>
      </c>
      <c r="BB6921" s="42"/>
      <c r="BC6921" s="74"/>
      <c r="BD6921" s="77"/>
      <c r="BF6921">
        <v>48.019999999999996</v>
      </c>
      <c r="BH6921" s="42"/>
      <c r="BI6921" s="74"/>
      <c r="BJ6921" s="77"/>
      <c r="BL6921" s="497">
        <v>48.92</v>
      </c>
      <c r="BN6921" s="42"/>
      <c r="BO6921" s="74"/>
      <c r="BP6921" s="77"/>
      <c r="BR6921" s="497">
        <v>50</v>
      </c>
      <c r="BT6921" s="42"/>
    </row>
    <row r="6922" spans="1:72" x14ac:dyDescent="0.25">
      <c r="A6922" s="90">
        <v>37179</v>
      </c>
      <c r="B6922" s="20">
        <v>0.66666666666666663</v>
      </c>
      <c r="D6922">
        <v>68</v>
      </c>
      <c r="E6922" t="str">
        <f t="shared" si="250"/>
        <v>WEEKDAY</v>
      </c>
      <c r="F6922" t="e">
        <f t="shared" si="251"/>
        <v>#N/A</v>
      </c>
      <c r="G6922" s="74">
        <v>29509</v>
      </c>
      <c r="H6922" s="77">
        <v>0.66666666666666663</v>
      </c>
      <c r="J6922">
        <v>57.019999999999996</v>
      </c>
      <c r="M6922" s="74">
        <v>36448</v>
      </c>
      <c r="N6922" s="77">
        <v>0.66666666666666663</v>
      </c>
      <c r="P6922">
        <v>53.6</v>
      </c>
      <c r="S6922" s="74">
        <v>37179</v>
      </c>
      <c r="T6922" s="77">
        <v>0.66666666666666663</v>
      </c>
      <c r="V6922">
        <v>66.92</v>
      </c>
      <c r="X6922" s="42"/>
      <c r="AB6922">
        <v>63.4</v>
      </c>
      <c r="AC6922">
        <v>75.02</v>
      </c>
      <c r="AE6922" s="74"/>
      <c r="AF6922" s="77"/>
      <c r="AH6922" s="497">
        <v>53.6</v>
      </c>
      <c r="AJ6922" s="42"/>
      <c r="AK6922" s="74"/>
      <c r="AL6922" s="77"/>
      <c r="AN6922" s="497">
        <v>48.019999999999996</v>
      </c>
      <c r="AP6922" s="42"/>
      <c r="AQ6922" s="74"/>
      <c r="AR6922" s="77"/>
      <c r="AT6922" s="497">
        <v>53.06</v>
      </c>
      <c r="AV6922" s="42"/>
      <c r="AW6922" s="74"/>
      <c r="AX6922" s="77"/>
      <c r="BA6922" s="497">
        <v>51.980000000000004</v>
      </c>
      <c r="BB6922" s="42"/>
      <c r="BC6922" s="74"/>
      <c r="BD6922" s="77"/>
      <c r="BF6922">
        <v>46.04</v>
      </c>
      <c r="BH6922" s="42"/>
      <c r="BI6922" s="74"/>
      <c r="BJ6922" s="77"/>
      <c r="BL6922" s="497">
        <v>48.019999999999996</v>
      </c>
      <c r="BN6922" s="42"/>
      <c r="BO6922" s="74"/>
      <c r="BP6922" s="77"/>
      <c r="BR6922" s="497">
        <v>46.94</v>
      </c>
      <c r="BT6922" s="42"/>
    </row>
    <row r="6923" spans="1:72" x14ac:dyDescent="0.25">
      <c r="A6923" s="90">
        <v>37179</v>
      </c>
      <c r="B6923" s="20">
        <v>0.70833333333333337</v>
      </c>
      <c r="D6923">
        <v>66.92</v>
      </c>
      <c r="E6923" t="str">
        <f t="shared" si="250"/>
        <v>WEEKDAY</v>
      </c>
      <c r="F6923" t="e">
        <f t="shared" si="251"/>
        <v>#N/A</v>
      </c>
      <c r="G6923" s="74">
        <v>29509</v>
      </c>
      <c r="H6923" s="77">
        <v>0.70833333333333337</v>
      </c>
      <c r="J6923">
        <v>55.94</v>
      </c>
      <c r="M6923" s="74">
        <v>36448</v>
      </c>
      <c r="N6923" s="77">
        <v>0.70833333333333337</v>
      </c>
      <c r="P6923">
        <v>51.8</v>
      </c>
      <c r="S6923" s="74">
        <v>37179</v>
      </c>
      <c r="T6923" s="77">
        <v>0.70833333333333337</v>
      </c>
      <c r="V6923">
        <v>64.94</v>
      </c>
      <c r="X6923" s="42"/>
      <c r="AB6923">
        <v>62.5</v>
      </c>
      <c r="AC6923">
        <v>71.960000000000008</v>
      </c>
      <c r="AE6923" s="74"/>
      <c r="AF6923" s="77"/>
      <c r="AH6923" s="497">
        <v>51.8</v>
      </c>
      <c r="AJ6923" s="42"/>
      <c r="AK6923" s="74"/>
      <c r="AL6923" s="77"/>
      <c r="AN6923" s="497">
        <v>46.04</v>
      </c>
      <c r="AP6923" s="42"/>
      <c r="AQ6923" s="74"/>
      <c r="AR6923" s="77"/>
      <c r="AT6923" s="497">
        <v>51.980000000000004</v>
      </c>
      <c r="AV6923" s="42"/>
      <c r="AW6923" s="74"/>
      <c r="AX6923" s="77"/>
      <c r="BA6923" s="497">
        <v>50</v>
      </c>
      <c r="BB6923" s="42"/>
      <c r="BC6923" s="74"/>
      <c r="BD6923" s="77"/>
      <c r="BF6923">
        <v>46.04</v>
      </c>
      <c r="BH6923" s="42"/>
      <c r="BI6923" s="74"/>
      <c r="BJ6923" s="77"/>
      <c r="BL6923" s="497">
        <v>44.96</v>
      </c>
      <c r="BN6923" s="42"/>
      <c r="BO6923" s="74"/>
      <c r="BP6923" s="77"/>
      <c r="BR6923" s="497">
        <v>46.94</v>
      </c>
      <c r="BT6923" s="42"/>
    </row>
    <row r="6924" spans="1:72" x14ac:dyDescent="0.25">
      <c r="A6924" s="90">
        <v>37179</v>
      </c>
      <c r="B6924" s="20">
        <v>0.75</v>
      </c>
      <c r="D6924">
        <v>66.02</v>
      </c>
      <c r="E6924" t="str">
        <f t="shared" si="250"/>
        <v>WEEKDAY</v>
      </c>
      <c r="F6924" t="e">
        <f t="shared" si="251"/>
        <v>#N/A</v>
      </c>
      <c r="G6924" s="74">
        <v>29509</v>
      </c>
      <c r="H6924" s="77">
        <v>0.75</v>
      </c>
      <c r="J6924">
        <v>55.040000000000006</v>
      </c>
      <c r="M6924" s="74">
        <v>36448</v>
      </c>
      <c r="N6924" s="77">
        <v>0.75</v>
      </c>
      <c r="P6924">
        <v>48.2</v>
      </c>
      <c r="S6924" s="74">
        <v>37179</v>
      </c>
      <c r="T6924" s="77">
        <v>0.75</v>
      </c>
      <c r="V6924">
        <v>64.039999999999992</v>
      </c>
      <c r="X6924" s="42"/>
      <c r="AB6924">
        <v>61</v>
      </c>
      <c r="AC6924">
        <v>68</v>
      </c>
      <c r="AE6924" s="74"/>
      <c r="AF6924" s="77"/>
      <c r="AH6924" s="497">
        <v>48.2</v>
      </c>
      <c r="AJ6924" s="42"/>
      <c r="AK6924" s="74"/>
      <c r="AL6924" s="77"/>
      <c r="AN6924" s="497">
        <v>44.96</v>
      </c>
      <c r="AP6924" s="42"/>
      <c r="AQ6924" s="74"/>
      <c r="AR6924" s="77"/>
      <c r="AT6924" s="497">
        <v>50</v>
      </c>
      <c r="AV6924" s="42"/>
      <c r="AW6924" s="74"/>
      <c r="AX6924" s="77"/>
      <c r="BA6924" s="497">
        <v>46.94</v>
      </c>
      <c r="BB6924" s="42"/>
      <c r="BC6924" s="74"/>
      <c r="BD6924" s="77"/>
      <c r="BF6924">
        <v>44.06</v>
      </c>
      <c r="BH6924" s="42"/>
      <c r="BI6924" s="74"/>
      <c r="BJ6924" s="77"/>
      <c r="BL6924" s="497">
        <v>44.06</v>
      </c>
      <c r="BN6924" s="42"/>
      <c r="BO6924" s="74"/>
      <c r="BP6924" s="77"/>
      <c r="BR6924" s="497">
        <v>44.96</v>
      </c>
      <c r="BT6924" s="42"/>
    </row>
    <row r="6925" spans="1:72" x14ac:dyDescent="0.25">
      <c r="A6925" s="90">
        <v>37179</v>
      </c>
      <c r="B6925" s="20">
        <v>0.79166666666666663</v>
      </c>
      <c r="D6925">
        <v>64.94</v>
      </c>
      <c r="E6925" t="str">
        <f t="shared" si="250"/>
        <v>WEEKDAY</v>
      </c>
      <c r="F6925" t="e">
        <f t="shared" si="251"/>
        <v>#N/A</v>
      </c>
      <c r="G6925" s="74">
        <v>29509</v>
      </c>
      <c r="H6925" s="77">
        <v>0.79166666666666663</v>
      </c>
      <c r="J6925">
        <v>53.96</v>
      </c>
      <c r="M6925" s="74">
        <v>36448</v>
      </c>
      <c r="N6925" s="77">
        <v>0.79166666666666663</v>
      </c>
      <c r="P6925">
        <v>46.4</v>
      </c>
      <c r="S6925" s="74">
        <v>37179</v>
      </c>
      <c r="T6925" s="77">
        <v>0.79166666666666663</v>
      </c>
      <c r="V6925">
        <v>62.96</v>
      </c>
      <c r="X6925" s="42"/>
      <c r="AB6925">
        <v>59.8</v>
      </c>
      <c r="AC6925">
        <v>64.039999999999992</v>
      </c>
      <c r="AE6925" s="74"/>
      <c r="AF6925" s="77"/>
      <c r="AH6925" s="497">
        <v>46.4</v>
      </c>
      <c r="AJ6925" s="42"/>
      <c r="AK6925" s="74"/>
      <c r="AL6925" s="77"/>
      <c r="AN6925" s="497">
        <v>44.06</v>
      </c>
      <c r="AP6925" s="42"/>
      <c r="AQ6925" s="74"/>
      <c r="AR6925" s="77"/>
      <c r="AT6925" s="497">
        <v>46.94</v>
      </c>
      <c r="AV6925" s="42"/>
      <c r="AW6925" s="74"/>
      <c r="AX6925" s="77"/>
      <c r="BA6925" s="497">
        <v>48.019999999999996</v>
      </c>
      <c r="BB6925" s="42"/>
      <c r="BC6925" s="74"/>
      <c r="BD6925" s="77"/>
      <c r="BF6925">
        <v>41</v>
      </c>
      <c r="BH6925" s="42"/>
      <c r="BI6925" s="74"/>
      <c r="BJ6925" s="77"/>
      <c r="BL6925" s="497">
        <v>42.980000000000004</v>
      </c>
      <c r="BN6925" s="42"/>
      <c r="BO6925" s="74"/>
      <c r="BP6925" s="77"/>
      <c r="BR6925" s="497">
        <v>46.04</v>
      </c>
      <c r="BT6925" s="42"/>
    </row>
    <row r="6926" spans="1:72" x14ac:dyDescent="0.25">
      <c r="A6926" s="90">
        <v>37179</v>
      </c>
      <c r="B6926" s="20">
        <v>0.83333333333333337</v>
      </c>
      <c r="D6926">
        <v>64.039999999999992</v>
      </c>
      <c r="E6926" t="str">
        <f t="shared" si="250"/>
        <v>WEEKDAY</v>
      </c>
      <c r="F6926" t="e">
        <f t="shared" si="251"/>
        <v>#N/A</v>
      </c>
      <c r="G6926" s="74">
        <v>29509</v>
      </c>
      <c r="H6926" s="77">
        <v>0.83333333333333337</v>
      </c>
      <c r="J6926">
        <v>53.6</v>
      </c>
      <c r="M6926" s="74">
        <v>36448</v>
      </c>
      <c r="N6926" s="77">
        <v>0.83333333333333337</v>
      </c>
      <c r="P6926">
        <v>44.6</v>
      </c>
      <c r="S6926" s="74">
        <v>37179</v>
      </c>
      <c r="T6926" s="77">
        <v>0.83333333333333337</v>
      </c>
      <c r="V6926">
        <v>60.08</v>
      </c>
      <c r="X6926" s="42"/>
      <c r="AB6926">
        <v>59.1</v>
      </c>
      <c r="AC6926">
        <v>60.980000000000004</v>
      </c>
      <c r="AE6926" s="74"/>
      <c r="AF6926" s="77"/>
      <c r="AH6926" s="497">
        <v>44.6</v>
      </c>
      <c r="AJ6926" s="42"/>
      <c r="AK6926" s="74"/>
      <c r="AL6926" s="77"/>
      <c r="AN6926" s="497">
        <v>42.980000000000004</v>
      </c>
      <c r="AP6926" s="42"/>
      <c r="AQ6926" s="74"/>
      <c r="AR6926" s="77"/>
      <c r="AT6926" s="497">
        <v>41</v>
      </c>
      <c r="AV6926" s="42"/>
      <c r="AW6926" s="74"/>
      <c r="AX6926" s="77"/>
      <c r="BA6926" s="497">
        <v>48.92</v>
      </c>
      <c r="BB6926" s="42"/>
      <c r="BC6926" s="74"/>
      <c r="BD6926" s="77"/>
      <c r="BF6926">
        <v>39.92</v>
      </c>
      <c r="BH6926" s="42"/>
      <c r="BI6926" s="74"/>
      <c r="BJ6926" s="77"/>
      <c r="BL6926" s="497">
        <v>42.08</v>
      </c>
      <c r="BN6926" s="42"/>
      <c r="BO6926" s="74"/>
      <c r="BP6926" s="77"/>
      <c r="BR6926" s="497">
        <v>44.96</v>
      </c>
      <c r="BT6926" s="42"/>
    </row>
    <row r="6927" spans="1:72" x14ac:dyDescent="0.25">
      <c r="A6927" s="90">
        <v>37179</v>
      </c>
      <c r="B6927" s="20">
        <v>0.875</v>
      </c>
      <c r="D6927">
        <v>62.96</v>
      </c>
      <c r="E6927" t="str">
        <f t="shared" si="250"/>
        <v>WEEKDAY</v>
      </c>
      <c r="F6927" t="e">
        <f t="shared" si="251"/>
        <v>#N/A</v>
      </c>
      <c r="G6927" s="74">
        <v>29509</v>
      </c>
      <c r="H6927" s="77">
        <v>0.875</v>
      </c>
      <c r="J6927">
        <v>53.42</v>
      </c>
      <c r="M6927" s="74">
        <v>36448</v>
      </c>
      <c r="N6927" s="77">
        <v>0.875</v>
      </c>
      <c r="P6927">
        <v>42.8</v>
      </c>
      <c r="S6927" s="74">
        <v>37179</v>
      </c>
      <c r="T6927" s="77">
        <v>0.875</v>
      </c>
      <c r="V6927">
        <v>57.92</v>
      </c>
      <c r="X6927" s="42"/>
      <c r="AB6927">
        <v>58.4</v>
      </c>
      <c r="AC6927">
        <v>57.92</v>
      </c>
      <c r="AE6927" s="74"/>
      <c r="AF6927" s="77"/>
      <c r="AH6927" s="497">
        <v>44.6</v>
      </c>
      <c r="AJ6927" s="42"/>
      <c r="AK6927" s="74"/>
      <c r="AL6927" s="77"/>
      <c r="AN6927" s="497">
        <v>44.06</v>
      </c>
      <c r="AP6927" s="42"/>
      <c r="AQ6927" s="74"/>
      <c r="AR6927" s="77"/>
      <c r="AT6927" s="497">
        <v>39.019999999999996</v>
      </c>
      <c r="AV6927" s="42"/>
      <c r="AW6927" s="74"/>
      <c r="AX6927" s="77"/>
      <c r="BA6927" s="497">
        <v>48.92</v>
      </c>
      <c r="BB6927" s="42"/>
      <c r="BC6927" s="74"/>
      <c r="BD6927" s="77"/>
      <c r="BF6927">
        <v>39.019999999999996</v>
      </c>
      <c r="BH6927" s="42"/>
      <c r="BI6927" s="74"/>
      <c r="BJ6927" s="77"/>
      <c r="BL6927" s="497">
        <v>42.980000000000004</v>
      </c>
      <c r="BN6927" s="42"/>
      <c r="BO6927" s="74"/>
      <c r="BP6927" s="77"/>
      <c r="BR6927" s="497">
        <v>44.96</v>
      </c>
      <c r="BT6927" s="42"/>
    </row>
    <row r="6928" spans="1:72" x14ac:dyDescent="0.25">
      <c r="A6928" s="90">
        <v>37179</v>
      </c>
      <c r="B6928" s="20">
        <v>0.91666666666666663</v>
      </c>
      <c r="D6928">
        <v>62.06</v>
      </c>
      <c r="E6928" t="str">
        <f t="shared" si="250"/>
        <v>WEEKDAY</v>
      </c>
      <c r="F6928" t="e">
        <f t="shared" si="251"/>
        <v>#N/A</v>
      </c>
      <c r="G6928" s="74">
        <v>29509</v>
      </c>
      <c r="H6928" s="77">
        <v>0.91666666666666663</v>
      </c>
      <c r="J6928">
        <v>53.06</v>
      </c>
      <c r="M6928" s="74">
        <v>36448</v>
      </c>
      <c r="N6928" s="77">
        <v>0.91666666666666663</v>
      </c>
      <c r="P6928">
        <v>46.4</v>
      </c>
      <c r="S6928" s="74">
        <v>37179</v>
      </c>
      <c r="T6928" s="77">
        <v>0.91666666666666663</v>
      </c>
      <c r="V6928">
        <v>60.08</v>
      </c>
      <c r="X6928" s="42"/>
      <c r="AB6928">
        <v>57.9</v>
      </c>
      <c r="AC6928">
        <v>55.94</v>
      </c>
      <c r="AE6928" s="74"/>
      <c r="AF6928" s="77"/>
      <c r="AH6928" s="497">
        <v>44.6</v>
      </c>
      <c r="AJ6928" s="42"/>
      <c r="AK6928" s="74"/>
      <c r="AL6928" s="77"/>
      <c r="AN6928" s="497">
        <v>42.980000000000004</v>
      </c>
      <c r="AP6928" s="42"/>
      <c r="AQ6928" s="74"/>
      <c r="AR6928" s="77"/>
      <c r="AT6928" s="497">
        <v>39.019999999999996</v>
      </c>
      <c r="AV6928" s="42"/>
      <c r="AW6928" s="74"/>
      <c r="AX6928" s="77"/>
      <c r="BA6928" s="497">
        <v>48.019999999999996</v>
      </c>
      <c r="BB6928" s="42"/>
      <c r="BC6928" s="74"/>
      <c r="BD6928" s="77"/>
      <c r="BF6928">
        <v>37.94</v>
      </c>
      <c r="BH6928" s="42"/>
      <c r="BI6928" s="74"/>
      <c r="BJ6928" s="77"/>
      <c r="BL6928" s="497">
        <v>39.92</v>
      </c>
      <c r="BN6928" s="42"/>
      <c r="BO6928" s="74"/>
      <c r="BP6928" s="77"/>
      <c r="BR6928" s="497">
        <v>44.06</v>
      </c>
      <c r="BT6928" s="42"/>
    </row>
    <row r="6929" spans="1:72" x14ac:dyDescent="0.25">
      <c r="A6929" s="90">
        <v>37179</v>
      </c>
      <c r="B6929" s="20">
        <v>0.95833333333333337</v>
      </c>
      <c r="D6929">
        <v>60.980000000000004</v>
      </c>
      <c r="E6929" t="str">
        <f t="shared" si="250"/>
        <v>WEEKDAY</v>
      </c>
      <c r="F6929" t="e">
        <f t="shared" si="251"/>
        <v>#N/A</v>
      </c>
      <c r="G6929" s="74">
        <v>29509</v>
      </c>
      <c r="H6929" s="77">
        <v>0.95833333333333337</v>
      </c>
      <c r="J6929">
        <v>53.78</v>
      </c>
      <c r="M6929" s="74">
        <v>36448</v>
      </c>
      <c r="N6929" s="77">
        <v>0.95833333333333337</v>
      </c>
      <c r="P6929">
        <v>44.6</v>
      </c>
      <c r="S6929" s="74">
        <v>37179</v>
      </c>
      <c r="T6929" s="77">
        <v>0.95833333333333337</v>
      </c>
      <c r="V6929">
        <v>57.019999999999996</v>
      </c>
      <c r="X6929" s="42"/>
      <c r="AB6929">
        <v>57.2</v>
      </c>
      <c r="AC6929">
        <v>60.980000000000004</v>
      </c>
      <c r="AE6929" s="74"/>
      <c r="AF6929" s="77"/>
      <c r="AH6929" s="497">
        <v>44.6</v>
      </c>
      <c r="AJ6929" s="42"/>
      <c r="AK6929" s="74"/>
      <c r="AL6929" s="77"/>
      <c r="AN6929" s="497">
        <v>44.06</v>
      </c>
      <c r="AP6929" s="42"/>
      <c r="AQ6929" s="74"/>
      <c r="AR6929" s="77"/>
      <c r="AT6929" s="497">
        <v>35.06</v>
      </c>
      <c r="AV6929" s="42"/>
      <c r="AW6929" s="74"/>
      <c r="AX6929" s="77"/>
      <c r="BA6929" s="497">
        <v>48.019999999999996</v>
      </c>
      <c r="BB6929" s="42"/>
      <c r="BC6929" s="74"/>
      <c r="BD6929" s="77"/>
      <c r="BF6929">
        <v>37.04</v>
      </c>
      <c r="BH6929" s="42"/>
      <c r="BI6929" s="74"/>
      <c r="BJ6929" s="77"/>
      <c r="BL6929" s="497">
        <v>39.92</v>
      </c>
      <c r="BN6929" s="42"/>
      <c r="BO6929" s="74"/>
      <c r="BP6929" s="77"/>
      <c r="BR6929" s="497">
        <v>44.06</v>
      </c>
      <c r="BT6929" s="42"/>
    </row>
    <row r="6930" spans="1:72" x14ac:dyDescent="0.25">
      <c r="A6930" s="90">
        <v>37179</v>
      </c>
      <c r="B6930" s="20">
        <v>1</v>
      </c>
      <c r="D6930">
        <v>60.08</v>
      </c>
      <c r="E6930" t="str">
        <f t="shared" si="250"/>
        <v>WEEKDAY</v>
      </c>
      <c r="F6930" t="e">
        <f t="shared" si="251"/>
        <v>#N/A</v>
      </c>
      <c r="G6930" s="74">
        <v>29509</v>
      </c>
      <c r="H6930" s="77">
        <v>1</v>
      </c>
      <c r="J6930">
        <v>54.32</v>
      </c>
      <c r="M6930" s="74">
        <v>36448</v>
      </c>
      <c r="N6930" s="80">
        <v>1</v>
      </c>
      <c r="P6930">
        <v>46.4</v>
      </c>
      <c r="S6930" s="74">
        <v>37179</v>
      </c>
      <c r="T6930" s="80">
        <v>1</v>
      </c>
      <c r="V6930">
        <v>55.040000000000006</v>
      </c>
      <c r="X6930" s="42"/>
      <c r="AB6930">
        <v>56.5</v>
      </c>
      <c r="AC6930">
        <v>57.92</v>
      </c>
      <c r="AE6930" s="74"/>
      <c r="AF6930" s="80"/>
      <c r="AH6930" s="497">
        <v>46.4</v>
      </c>
      <c r="AJ6930" s="42"/>
      <c r="AK6930" s="74"/>
      <c r="AL6930" s="80"/>
      <c r="AN6930" s="497">
        <v>42.980000000000004</v>
      </c>
      <c r="AP6930" s="42"/>
      <c r="AQ6930" s="74"/>
      <c r="AR6930" s="80"/>
      <c r="AT6930" s="497">
        <v>35.06</v>
      </c>
      <c r="AV6930" s="42"/>
      <c r="AW6930" s="74"/>
      <c r="AX6930" s="80"/>
      <c r="BA6930" s="497">
        <v>46.94</v>
      </c>
      <c r="BB6930" s="42"/>
      <c r="BC6930" s="74"/>
      <c r="BD6930" s="80"/>
      <c r="BF6930">
        <v>37.04</v>
      </c>
      <c r="BH6930" s="42"/>
      <c r="BI6930" s="74"/>
      <c r="BJ6930" s="80"/>
      <c r="BL6930" s="497">
        <v>41</v>
      </c>
      <c r="BN6930" s="42"/>
      <c r="BO6930" s="74"/>
      <c r="BP6930" s="80"/>
      <c r="BR6930" s="497">
        <v>42.980000000000004</v>
      </c>
      <c r="BT6930" s="42"/>
    </row>
    <row r="6931" spans="1:72" x14ac:dyDescent="0.25">
      <c r="A6931" s="90">
        <v>37180</v>
      </c>
      <c r="B6931" s="20">
        <v>4.1666666666666664E-2</v>
      </c>
      <c r="D6931">
        <v>59</v>
      </c>
      <c r="E6931" t="str">
        <f t="shared" ref="E6931:E6994" si="252">IF(COUNTIF($DI$18:$DI$22, WEEKDAY(A6931))=1, "WEEKDAY", IF(WEEKDAY(A6931) = 1, "SUNDAY", "SATURDAY"))</f>
        <v>WEEKDAY</v>
      </c>
      <c r="F6931" t="e">
        <f t="shared" si="251"/>
        <v>#N/A</v>
      </c>
      <c r="G6931" s="74">
        <v>29510</v>
      </c>
      <c r="H6931" s="77">
        <v>4.1666666666666664E-2</v>
      </c>
      <c r="J6931">
        <v>55.040000000000006</v>
      </c>
      <c r="M6931" s="74">
        <v>36449</v>
      </c>
      <c r="N6931" s="77">
        <v>4.1666666666666664E-2</v>
      </c>
      <c r="P6931">
        <v>44.6</v>
      </c>
      <c r="S6931" s="74">
        <v>37180</v>
      </c>
      <c r="T6931" s="77">
        <v>4.1666666666666664E-2</v>
      </c>
      <c r="V6931">
        <v>53.06</v>
      </c>
      <c r="X6931" s="42"/>
      <c r="AB6931">
        <v>55.8</v>
      </c>
      <c r="AC6931">
        <v>57.2</v>
      </c>
      <c r="AE6931" s="74"/>
      <c r="AF6931" s="77"/>
      <c r="AH6931" s="497">
        <v>48.2</v>
      </c>
      <c r="AJ6931" s="42"/>
      <c r="AK6931" s="74"/>
      <c r="AL6931" s="77"/>
      <c r="AN6931" s="497">
        <v>42.980000000000004</v>
      </c>
      <c r="AP6931" s="42"/>
      <c r="AQ6931" s="74"/>
      <c r="AR6931" s="77"/>
      <c r="AT6931" s="497">
        <v>35.06</v>
      </c>
      <c r="AV6931" s="42"/>
      <c r="AW6931" s="74"/>
      <c r="AX6931" s="77"/>
      <c r="BA6931" s="497">
        <v>46.94</v>
      </c>
      <c r="BB6931" s="42"/>
      <c r="BC6931" s="74"/>
      <c r="BD6931" s="77"/>
      <c r="BF6931">
        <v>35.96</v>
      </c>
      <c r="BH6931" s="42"/>
      <c r="BI6931" s="74"/>
      <c r="BJ6931" s="77"/>
      <c r="BL6931" s="497">
        <v>41</v>
      </c>
      <c r="BN6931" s="42"/>
      <c r="BO6931" s="74"/>
      <c r="BP6931" s="77"/>
      <c r="BR6931" s="497">
        <v>42.08</v>
      </c>
      <c r="BT6931" s="42"/>
    </row>
    <row r="6932" spans="1:72" x14ac:dyDescent="0.25">
      <c r="A6932" s="90">
        <v>37180</v>
      </c>
      <c r="B6932" s="20">
        <v>8.3333333333333329E-2</v>
      </c>
      <c r="D6932">
        <v>57.019999999999996</v>
      </c>
      <c r="E6932" t="str">
        <f t="shared" si="252"/>
        <v>WEEKDAY</v>
      </c>
      <c r="F6932" t="e">
        <f t="shared" si="251"/>
        <v>#N/A</v>
      </c>
      <c r="G6932" s="74">
        <v>29510</v>
      </c>
      <c r="H6932" s="77">
        <v>8.3333333333333329E-2</v>
      </c>
      <c r="J6932">
        <v>54.68</v>
      </c>
      <c r="M6932" s="74">
        <v>36449</v>
      </c>
      <c r="N6932" s="77">
        <v>8.3333333333333329E-2</v>
      </c>
      <c r="P6932">
        <v>44.6</v>
      </c>
      <c r="S6932" s="74">
        <v>37180</v>
      </c>
      <c r="T6932" s="77">
        <v>8.3333333333333329E-2</v>
      </c>
      <c r="V6932">
        <v>50</v>
      </c>
      <c r="X6932" s="42"/>
      <c r="AB6932">
        <v>55.1</v>
      </c>
      <c r="AC6932">
        <v>57.2</v>
      </c>
      <c r="AE6932" s="74"/>
      <c r="AF6932" s="77"/>
      <c r="AH6932" s="497">
        <v>50</v>
      </c>
      <c r="AJ6932" s="42"/>
      <c r="AK6932" s="74"/>
      <c r="AL6932" s="77"/>
      <c r="AN6932" s="497">
        <v>42.980000000000004</v>
      </c>
      <c r="AP6932" s="42"/>
      <c r="AQ6932" s="74"/>
      <c r="AR6932" s="77"/>
      <c r="AT6932" s="497">
        <v>35.06</v>
      </c>
      <c r="AV6932" s="42"/>
      <c r="AW6932" s="74"/>
      <c r="AX6932" s="77"/>
      <c r="BA6932" s="497">
        <v>46.04</v>
      </c>
      <c r="BB6932" s="42"/>
      <c r="BC6932" s="74"/>
      <c r="BD6932" s="77"/>
      <c r="BF6932">
        <v>35.96</v>
      </c>
      <c r="BH6932" s="42"/>
      <c r="BI6932" s="74"/>
      <c r="BJ6932" s="77"/>
      <c r="BL6932" s="497">
        <v>41</v>
      </c>
      <c r="BN6932" s="42"/>
      <c r="BO6932" s="74"/>
      <c r="BP6932" s="77"/>
      <c r="BR6932" s="497">
        <v>42.08</v>
      </c>
      <c r="BT6932" s="42"/>
    </row>
    <row r="6933" spans="1:72" x14ac:dyDescent="0.25">
      <c r="A6933" s="90">
        <v>37180</v>
      </c>
      <c r="B6933" s="20">
        <v>0.125</v>
      </c>
      <c r="D6933">
        <v>55.94</v>
      </c>
      <c r="E6933" t="str">
        <f t="shared" si="252"/>
        <v>WEEKDAY</v>
      </c>
      <c r="F6933" t="e">
        <f t="shared" si="251"/>
        <v>#N/A</v>
      </c>
      <c r="G6933" s="74">
        <v>29510</v>
      </c>
      <c r="H6933" s="77">
        <v>0.125</v>
      </c>
      <c r="J6933">
        <v>54.32</v>
      </c>
      <c r="M6933" s="74">
        <v>36449</v>
      </c>
      <c r="N6933" s="77">
        <v>0.125</v>
      </c>
      <c r="P6933">
        <v>43.879999999999995</v>
      </c>
      <c r="S6933" s="74">
        <v>37180</v>
      </c>
      <c r="T6933" s="77">
        <v>0.125</v>
      </c>
      <c r="V6933">
        <v>48.019999999999996</v>
      </c>
      <c r="X6933" s="42"/>
      <c r="AB6933">
        <v>54.5</v>
      </c>
      <c r="AC6933">
        <v>57.2</v>
      </c>
      <c r="AE6933" s="74"/>
      <c r="AF6933" s="77"/>
      <c r="AH6933" s="497">
        <v>50</v>
      </c>
      <c r="AJ6933" s="42"/>
      <c r="AK6933" s="74"/>
      <c r="AL6933" s="77"/>
      <c r="AN6933" s="497">
        <v>42.980000000000004</v>
      </c>
      <c r="AP6933" s="42"/>
      <c r="AQ6933" s="74"/>
      <c r="AR6933" s="77"/>
      <c r="AT6933" s="497">
        <v>35.96</v>
      </c>
      <c r="AV6933" s="42"/>
      <c r="AW6933" s="74"/>
      <c r="AX6933" s="77"/>
      <c r="BA6933" s="497">
        <v>46.04</v>
      </c>
      <c r="BB6933" s="42"/>
      <c r="BC6933" s="74"/>
      <c r="BD6933" s="77"/>
      <c r="BF6933">
        <v>33.08</v>
      </c>
      <c r="BH6933" s="42"/>
      <c r="BI6933" s="74"/>
      <c r="BJ6933" s="77"/>
      <c r="BL6933" s="497">
        <v>37.94</v>
      </c>
      <c r="BN6933" s="42"/>
      <c r="BO6933" s="74"/>
      <c r="BP6933" s="77"/>
      <c r="BR6933" s="497">
        <v>41</v>
      </c>
      <c r="BT6933" s="42"/>
    </row>
    <row r="6934" spans="1:72" x14ac:dyDescent="0.25">
      <c r="A6934" s="90">
        <v>37180</v>
      </c>
      <c r="B6934" s="20">
        <v>0.16666666666666666</v>
      </c>
      <c r="D6934">
        <v>55.94</v>
      </c>
      <c r="E6934" t="str">
        <f t="shared" si="252"/>
        <v>WEEKDAY</v>
      </c>
      <c r="F6934" t="e">
        <f t="shared" si="251"/>
        <v>#N/A</v>
      </c>
      <c r="G6934" s="74">
        <v>29510</v>
      </c>
      <c r="H6934" s="77">
        <v>0.16666666666666666</v>
      </c>
      <c r="J6934">
        <v>53.96</v>
      </c>
      <c r="M6934" s="74">
        <v>36449</v>
      </c>
      <c r="N6934" s="77">
        <v>0.16666666666666666</v>
      </c>
      <c r="P6934">
        <v>42.8</v>
      </c>
      <c r="S6934" s="74">
        <v>37180</v>
      </c>
      <c r="T6934" s="77">
        <v>0.16666666666666666</v>
      </c>
      <c r="V6934">
        <v>46.94</v>
      </c>
      <c r="X6934" s="42"/>
      <c r="AB6934">
        <v>54</v>
      </c>
      <c r="AC6934">
        <v>57.2</v>
      </c>
      <c r="AE6934" s="74"/>
      <c r="AF6934" s="77"/>
      <c r="AH6934" s="497">
        <v>48.2</v>
      </c>
      <c r="AJ6934" s="42"/>
      <c r="AK6934" s="74"/>
      <c r="AL6934" s="77"/>
      <c r="AN6934" s="497">
        <v>42.980000000000004</v>
      </c>
      <c r="AP6934" s="42"/>
      <c r="AQ6934" s="74"/>
      <c r="AR6934" s="77"/>
      <c r="AT6934" s="497">
        <v>39.019999999999996</v>
      </c>
      <c r="AV6934" s="42"/>
      <c r="AW6934" s="74"/>
      <c r="AX6934" s="77"/>
      <c r="BA6934" s="497">
        <v>44.96</v>
      </c>
      <c r="BB6934" s="42"/>
      <c r="BC6934" s="74"/>
      <c r="BD6934" s="77"/>
      <c r="BF6934">
        <v>33.979999999999997</v>
      </c>
      <c r="BH6934" s="42"/>
      <c r="BI6934" s="74"/>
      <c r="BJ6934" s="77"/>
      <c r="BL6934" s="497">
        <v>39.92</v>
      </c>
      <c r="BN6934" s="42"/>
      <c r="BO6934" s="74"/>
      <c r="BP6934" s="77"/>
      <c r="BR6934" s="497">
        <v>41</v>
      </c>
      <c r="BT6934" s="42"/>
    </row>
    <row r="6935" spans="1:72" x14ac:dyDescent="0.25">
      <c r="A6935" s="90">
        <v>37180</v>
      </c>
      <c r="B6935" s="20">
        <v>0.20833333333333334</v>
      </c>
      <c r="D6935">
        <v>55.040000000000006</v>
      </c>
      <c r="E6935" t="str">
        <f t="shared" si="252"/>
        <v>WEEKDAY</v>
      </c>
      <c r="F6935" t="e">
        <f t="shared" si="251"/>
        <v>#N/A</v>
      </c>
      <c r="G6935" s="74">
        <v>29510</v>
      </c>
      <c r="H6935" s="77">
        <v>0.20833333333333334</v>
      </c>
      <c r="J6935">
        <v>53.24</v>
      </c>
      <c r="M6935" s="74">
        <v>36449</v>
      </c>
      <c r="N6935" s="77">
        <v>0.20833333333333334</v>
      </c>
      <c r="P6935">
        <v>42.8</v>
      </c>
      <c r="S6935" s="74">
        <v>37180</v>
      </c>
      <c r="T6935" s="77">
        <v>0.20833333333333334</v>
      </c>
      <c r="V6935">
        <v>48.019999999999996</v>
      </c>
      <c r="X6935" s="42"/>
      <c r="AB6935">
        <v>53.6</v>
      </c>
      <c r="AC6935">
        <v>57.2</v>
      </c>
      <c r="AE6935" s="74"/>
      <c r="AF6935" s="77"/>
      <c r="AH6935" s="497">
        <v>50</v>
      </c>
      <c r="AJ6935" s="42"/>
      <c r="AK6935" s="74"/>
      <c r="AL6935" s="77"/>
      <c r="AN6935" s="497">
        <v>42.980000000000004</v>
      </c>
      <c r="AP6935" s="42"/>
      <c r="AQ6935" s="74"/>
      <c r="AR6935" s="77"/>
      <c r="AT6935" s="497">
        <v>39.92</v>
      </c>
      <c r="AV6935" s="42"/>
      <c r="AW6935" s="74"/>
      <c r="AX6935" s="77"/>
      <c r="BA6935" s="497">
        <v>44.96</v>
      </c>
      <c r="BB6935" s="42"/>
      <c r="BC6935" s="74"/>
      <c r="BD6935" s="77"/>
      <c r="BF6935">
        <v>33.979999999999997</v>
      </c>
      <c r="BH6935" s="42"/>
      <c r="BI6935" s="74"/>
      <c r="BJ6935" s="77"/>
      <c r="BL6935" s="497">
        <v>39.92</v>
      </c>
      <c r="BN6935" s="42"/>
      <c r="BO6935" s="74"/>
      <c r="BP6935" s="77"/>
      <c r="BR6935" s="497">
        <v>41</v>
      </c>
      <c r="BT6935" s="42"/>
    </row>
    <row r="6936" spans="1:72" x14ac:dyDescent="0.25">
      <c r="A6936" s="90">
        <v>37180</v>
      </c>
      <c r="B6936" s="20">
        <v>0.25</v>
      </c>
      <c r="D6936">
        <v>55.94</v>
      </c>
      <c r="E6936" t="str">
        <f t="shared" si="252"/>
        <v>WEEKDAY</v>
      </c>
      <c r="F6936" t="e">
        <f t="shared" si="251"/>
        <v>#N/A</v>
      </c>
      <c r="G6936" s="74">
        <v>29510</v>
      </c>
      <c r="H6936" s="77">
        <v>0.25</v>
      </c>
      <c r="J6936">
        <v>52.7</v>
      </c>
      <c r="M6936" s="74">
        <v>36449</v>
      </c>
      <c r="N6936" s="77">
        <v>0.25</v>
      </c>
      <c r="P6936">
        <v>42.8</v>
      </c>
      <c r="S6936" s="74">
        <v>37180</v>
      </c>
      <c r="T6936" s="77">
        <v>0.25</v>
      </c>
      <c r="V6936">
        <v>48.019999999999996</v>
      </c>
      <c r="X6936" s="42"/>
      <c r="AB6936">
        <v>53.4</v>
      </c>
      <c r="AC6936">
        <v>57.2</v>
      </c>
      <c r="AE6936" s="74"/>
      <c r="AF6936" s="77"/>
      <c r="AH6936" s="497">
        <v>48.2</v>
      </c>
      <c r="AJ6936" s="42"/>
      <c r="AK6936" s="74"/>
      <c r="AL6936" s="77"/>
      <c r="AN6936" s="497">
        <v>42.980000000000004</v>
      </c>
      <c r="AP6936" s="42"/>
      <c r="AQ6936" s="74"/>
      <c r="AR6936" s="77"/>
      <c r="AT6936" s="497">
        <v>41</v>
      </c>
      <c r="AV6936" s="42"/>
      <c r="AW6936" s="74"/>
      <c r="AX6936" s="77"/>
      <c r="BA6936" s="497">
        <v>44.06</v>
      </c>
      <c r="BB6936" s="42"/>
      <c r="BC6936" s="74"/>
      <c r="BD6936" s="77"/>
      <c r="BF6936">
        <v>35.06</v>
      </c>
      <c r="BH6936" s="42"/>
      <c r="BI6936" s="74"/>
      <c r="BJ6936" s="77"/>
      <c r="BL6936" s="497">
        <v>39.019999999999996</v>
      </c>
      <c r="BN6936" s="42"/>
      <c r="BO6936" s="74"/>
      <c r="BP6936" s="77"/>
      <c r="BR6936" s="497">
        <v>39.92</v>
      </c>
      <c r="BT6936" s="42"/>
    </row>
    <row r="6937" spans="1:72" x14ac:dyDescent="0.25">
      <c r="A6937" s="90">
        <v>37180</v>
      </c>
      <c r="B6937" s="20">
        <v>0.29166666666666669</v>
      </c>
      <c r="D6937">
        <v>55.94</v>
      </c>
      <c r="E6937" t="str">
        <f t="shared" si="252"/>
        <v>WEEKDAY</v>
      </c>
      <c r="F6937" t="e">
        <f t="shared" si="251"/>
        <v>#N/A</v>
      </c>
      <c r="G6937" s="74">
        <v>29510</v>
      </c>
      <c r="H6937" s="77">
        <v>0.29166666666666669</v>
      </c>
      <c r="J6937">
        <v>51.980000000000004</v>
      </c>
      <c r="M6937" s="74">
        <v>36449</v>
      </c>
      <c r="N6937" s="77">
        <v>0.29166666666666669</v>
      </c>
      <c r="P6937">
        <v>44.6</v>
      </c>
      <c r="S6937" s="74">
        <v>37180</v>
      </c>
      <c r="T6937" s="77">
        <v>0.29166666666666669</v>
      </c>
      <c r="V6937">
        <v>51.08</v>
      </c>
      <c r="X6937" s="42"/>
      <c r="AB6937">
        <v>53.1</v>
      </c>
      <c r="AC6937">
        <v>57.2</v>
      </c>
      <c r="AE6937" s="74"/>
      <c r="AF6937" s="77"/>
      <c r="AH6937" s="497">
        <v>48.2</v>
      </c>
      <c r="AJ6937" s="42"/>
      <c r="AK6937" s="74"/>
      <c r="AL6937" s="77"/>
      <c r="AN6937" s="497">
        <v>42.980000000000004</v>
      </c>
      <c r="AP6937" s="42"/>
      <c r="AQ6937" s="74"/>
      <c r="AR6937" s="77"/>
      <c r="AT6937" s="497">
        <v>41</v>
      </c>
      <c r="AV6937" s="42"/>
      <c r="AW6937" s="74"/>
      <c r="AX6937" s="77"/>
      <c r="BA6937" s="497">
        <v>44.96</v>
      </c>
      <c r="BB6937" s="42"/>
      <c r="BC6937" s="74"/>
      <c r="BD6937" s="77"/>
      <c r="BF6937">
        <v>33.979999999999997</v>
      </c>
      <c r="BH6937" s="42"/>
      <c r="BI6937" s="74"/>
      <c r="BJ6937" s="77"/>
      <c r="BL6937" s="497">
        <v>37.94</v>
      </c>
      <c r="BN6937" s="42"/>
      <c r="BO6937" s="74"/>
      <c r="BP6937" s="77"/>
      <c r="BR6937" s="497">
        <v>39.92</v>
      </c>
      <c r="BT6937" s="42"/>
    </row>
    <row r="6938" spans="1:72" x14ac:dyDescent="0.25">
      <c r="A6938" s="90">
        <v>37180</v>
      </c>
      <c r="B6938" s="20">
        <v>0.33333333333333331</v>
      </c>
      <c r="D6938">
        <v>59</v>
      </c>
      <c r="E6938" t="str">
        <f t="shared" si="252"/>
        <v>WEEKDAY</v>
      </c>
      <c r="F6938" t="e">
        <f t="shared" si="251"/>
        <v>#N/A</v>
      </c>
      <c r="G6938" s="74">
        <v>29510</v>
      </c>
      <c r="H6938" s="77">
        <v>0.33333333333333331</v>
      </c>
      <c r="J6938">
        <v>53.96</v>
      </c>
      <c r="M6938" s="74">
        <v>36449</v>
      </c>
      <c r="N6938" s="77">
        <v>0.33333333333333331</v>
      </c>
      <c r="P6938">
        <v>51.8</v>
      </c>
      <c r="S6938" s="74">
        <v>37180</v>
      </c>
      <c r="T6938" s="77">
        <v>0.33333333333333331</v>
      </c>
      <c r="V6938">
        <v>57.019999999999996</v>
      </c>
      <c r="X6938" s="42"/>
      <c r="AB6938">
        <v>54</v>
      </c>
      <c r="AC6938">
        <v>57.2</v>
      </c>
      <c r="AE6938" s="74"/>
      <c r="AF6938" s="77"/>
      <c r="AH6938" s="497">
        <v>48.2</v>
      </c>
      <c r="AJ6938" s="42"/>
      <c r="AK6938" s="74"/>
      <c r="AL6938" s="77"/>
      <c r="AN6938" s="497">
        <v>42.980000000000004</v>
      </c>
      <c r="AP6938" s="42"/>
      <c r="AQ6938" s="74"/>
      <c r="AR6938" s="77"/>
      <c r="AT6938" s="497">
        <v>42.08</v>
      </c>
      <c r="AV6938" s="42"/>
      <c r="AW6938" s="74"/>
      <c r="AX6938" s="77"/>
      <c r="BA6938" s="497">
        <v>46.04</v>
      </c>
      <c r="BB6938" s="42"/>
      <c r="BC6938" s="74"/>
      <c r="BD6938" s="77"/>
      <c r="BF6938">
        <v>37.04</v>
      </c>
      <c r="BH6938" s="42"/>
      <c r="BI6938" s="74"/>
      <c r="BJ6938" s="77"/>
      <c r="BL6938" s="497">
        <v>41</v>
      </c>
      <c r="BN6938" s="42"/>
      <c r="BO6938" s="74"/>
      <c r="BP6938" s="77"/>
      <c r="BR6938" s="497">
        <v>39.92</v>
      </c>
      <c r="BT6938" s="42"/>
    </row>
    <row r="6939" spans="1:72" x14ac:dyDescent="0.25">
      <c r="A6939" s="90">
        <v>37180</v>
      </c>
      <c r="B6939" s="20">
        <v>0.375</v>
      </c>
      <c r="D6939">
        <v>62.96</v>
      </c>
      <c r="E6939" t="str">
        <f t="shared" si="252"/>
        <v>WEEKDAY</v>
      </c>
      <c r="F6939" t="e">
        <f t="shared" si="251"/>
        <v>#N/A</v>
      </c>
      <c r="G6939" s="74">
        <v>29510</v>
      </c>
      <c r="H6939" s="77">
        <v>0.375</v>
      </c>
      <c r="J6939">
        <v>55.94</v>
      </c>
      <c r="M6939" s="74">
        <v>36449</v>
      </c>
      <c r="N6939" s="77">
        <v>0.375</v>
      </c>
      <c r="P6939">
        <v>55.22</v>
      </c>
      <c r="S6939" s="74">
        <v>37180</v>
      </c>
      <c r="T6939" s="77">
        <v>0.375</v>
      </c>
      <c r="V6939">
        <v>62.06</v>
      </c>
      <c r="X6939" s="42"/>
      <c r="AB6939">
        <v>56.3</v>
      </c>
      <c r="AC6939">
        <v>57.019999999999996</v>
      </c>
      <c r="AE6939" s="74"/>
      <c r="AF6939" s="77"/>
      <c r="AH6939" s="497">
        <v>46.4</v>
      </c>
      <c r="AJ6939" s="42"/>
      <c r="AK6939" s="74"/>
      <c r="AL6939" s="77"/>
      <c r="AN6939" s="497">
        <v>44.06</v>
      </c>
      <c r="AP6939" s="42"/>
      <c r="AQ6939" s="74"/>
      <c r="AR6939" s="77"/>
      <c r="AT6939" s="497">
        <v>44.06</v>
      </c>
      <c r="AV6939" s="42"/>
      <c r="AW6939" s="74"/>
      <c r="AX6939" s="77"/>
      <c r="BA6939" s="497">
        <v>48.019999999999996</v>
      </c>
      <c r="BB6939" s="42"/>
      <c r="BC6939" s="74"/>
      <c r="BD6939" s="77"/>
      <c r="BF6939">
        <v>41</v>
      </c>
      <c r="BH6939" s="42"/>
      <c r="BI6939" s="74"/>
      <c r="BJ6939" s="77"/>
      <c r="BL6939" s="497">
        <v>42.980000000000004</v>
      </c>
      <c r="BN6939" s="42"/>
      <c r="BO6939" s="74"/>
      <c r="BP6939" s="77"/>
      <c r="BR6939" s="497">
        <v>42.08</v>
      </c>
      <c r="BT6939" s="42"/>
    </row>
    <row r="6940" spans="1:72" x14ac:dyDescent="0.25">
      <c r="A6940" s="90">
        <v>37180</v>
      </c>
      <c r="B6940" s="20">
        <v>0.41666666666666669</v>
      </c>
      <c r="D6940">
        <v>64.94</v>
      </c>
      <c r="E6940" t="str">
        <f t="shared" si="252"/>
        <v>WEEKDAY</v>
      </c>
      <c r="F6940" t="e">
        <f t="shared" si="251"/>
        <v>#N/A</v>
      </c>
      <c r="G6940" s="74">
        <v>29510</v>
      </c>
      <c r="H6940" s="77">
        <v>0.41666666666666669</v>
      </c>
      <c r="J6940">
        <v>57.92</v>
      </c>
      <c r="M6940" s="74">
        <v>36449</v>
      </c>
      <c r="N6940" s="77">
        <v>0.41666666666666669</v>
      </c>
      <c r="P6940">
        <v>58.28</v>
      </c>
      <c r="S6940" s="74">
        <v>37180</v>
      </c>
      <c r="T6940" s="77">
        <v>0.41666666666666669</v>
      </c>
      <c r="V6940">
        <v>64.039999999999992</v>
      </c>
      <c r="X6940" s="42"/>
      <c r="AB6940">
        <v>58.3</v>
      </c>
      <c r="AC6940">
        <v>57.2</v>
      </c>
      <c r="AE6940" s="74"/>
      <c r="AF6940" s="77"/>
      <c r="AH6940" s="497">
        <v>48.2</v>
      </c>
      <c r="AJ6940" s="42"/>
      <c r="AK6940" s="74"/>
      <c r="AL6940" s="77"/>
      <c r="AN6940" s="497">
        <v>44.96</v>
      </c>
      <c r="AP6940" s="42"/>
      <c r="AQ6940" s="74"/>
      <c r="AR6940" s="77"/>
      <c r="AT6940" s="497">
        <v>46.94</v>
      </c>
      <c r="AV6940" s="42"/>
      <c r="AW6940" s="74"/>
      <c r="AX6940" s="77"/>
      <c r="BA6940" s="497">
        <v>48.92</v>
      </c>
      <c r="BB6940" s="42"/>
      <c r="BC6940" s="74"/>
      <c r="BD6940" s="77"/>
      <c r="BF6940">
        <v>44.96</v>
      </c>
      <c r="BH6940" s="42"/>
      <c r="BI6940" s="74"/>
      <c r="BJ6940" s="77"/>
      <c r="BL6940" s="497">
        <v>44.06</v>
      </c>
      <c r="BN6940" s="42"/>
      <c r="BO6940" s="74"/>
      <c r="BP6940" s="77"/>
      <c r="BR6940" s="497">
        <v>46.04</v>
      </c>
      <c r="BT6940" s="42"/>
    </row>
    <row r="6941" spans="1:72" x14ac:dyDescent="0.25">
      <c r="A6941" s="90">
        <v>37180</v>
      </c>
      <c r="B6941" s="20">
        <v>0.45833333333333331</v>
      </c>
      <c r="D6941">
        <v>64.94</v>
      </c>
      <c r="E6941" t="str">
        <f t="shared" si="252"/>
        <v>WEEKDAY</v>
      </c>
      <c r="F6941" t="e">
        <f t="shared" si="251"/>
        <v>#N/A</v>
      </c>
      <c r="G6941" s="74">
        <v>29510</v>
      </c>
      <c r="H6941" s="77">
        <v>0.45833333333333331</v>
      </c>
      <c r="J6941">
        <v>61.88</v>
      </c>
      <c r="M6941" s="74">
        <v>36449</v>
      </c>
      <c r="N6941" s="77">
        <v>0.45833333333333331</v>
      </c>
      <c r="P6941">
        <v>60.8</v>
      </c>
      <c r="S6941" s="74">
        <v>37180</v>
      </c>
      <c r="T6941" s="77">
        <v>0.45833333333333331</v>
      </c>
      <c r="V6941">
        <v>64.039999999999992</v>
      </c>
      <c r="X6941" s="42"/>
      <c r="AB6941">
        <v>60</v>
      </c>
      <c r="AC6941">
        <v>57.2</v>
      </c>
      <c r="AE6941" s="74"/>
      <c r="AF6941" s="77"/>
      <c r="AH6941" s="497">
        <v>48.2</v>
      </c>
      <c r="AJ6941" s="42"/>
      <c r="AK6941" s="74"/>
      <c r="AL6941" s="77"/>
      <c r="AN6941" s="497">
        <v>46.94</v>
      </c>
      <c r="AP6941" s="42"/>
      <c r="AQ6941" s="74"/>
      <c r="AR6941" s="77"/>
      <c r="AT6941" s="497">
        <v>48.92</v>
      </c>
      <c r="AV6941" s="42"/>
      <c r="AW6941" s="74"/>
      <c r="AX6941" s="77"/>
      <c r="BA6941" s="497">
        <v>48.92</v>
      </c>
      <c r="BB6941" s="42"/>
      <c r="BC6941" s="74"/>
      <c r="BD6941" s="77"/>
      <c r="BF6941">
        <v>44.96</v>
      </c>
      <c r="BH6941" s="42"/>
      <c r="BI6941" s="74"/>
      <c r="BJ6941" s="77"/>
      <c r="BL6941" s="497">
        <v>48.019999999999996</v>
      </c>
      <c r="BN6941" s="42"/>
      <c r="BO6941" s="74"/>
      <c r="BP6941" s="77"/>
      <c r="BR6941" s="497">
        <v>48.019999999999996</v>
      </c>
      <c r="BT6941" s="42"/>
    </row>
    <row r="6942" spans="1:72" x14ac:dyDescent="0.25">
      <c r="A6942" s="90">
        <v>37180</v>
      </c>
      <c r="B6942" s="20">
        <v>0.5</v>
      </c>
      <c r="D6942">
        <v>66.92</v>
      </c>
      <c r="E6942" t="str">
        <f t="shared" si="252"/>
        <v>WEEKDAY</v>
      </c>
      <c r="F6942" t="e">
        <f t="shared" si="251"/>
        <v>#N/A</v>
      </c>
      <c r="G6942" s="74">
        <v>29510</v>
      </c>
      <c r="H6942" s="77">
        <v>0.5</v>
      </c>
      <c r="J6942">
        <v>66.02</v>
      </c>
      <c r="M6942" s="74">
        <v>36449</v>
      </c>
      <c r="N6942" s="77">
        <v>0.5</v>
      </c>
      <c r="P6942">
        <v>62.6</v>
      </c>
      <c r="S6942" s="74">
        <v>37180</v>
      </c>
      <c r="T6942" s="77">
        <v>0.5</v>
      </c>
      <c r="V6942">
        <v>66.92</v>
      </c>
      <c r="X6942" s="42"/>
      <c r="AB6942">
        <v>61.4</v>
      </c>
      <c r="AC6942">
        <v>57.2</v>
      </c>
      <c r="AE6942" s="74"/>
      <c r="AF6942" s="77"/>
      <c r="AH6942" s="497">
        <v>48.2</v>
      </c>
      <c r="AJ6942" s="42"/>
      <c r="AK6942" s="74"/>
      <c r="AL6942" s="77"/>
      <c r="AN6942" s="497">
        <v>46.94</v>
      </c>
      <c r="AP6942" s="42"/>
      <c r="AQ6942" s="74"/>
      <c r="AR6942" s="77"/>
      <c r="AT6942" s="497">
        <v>48.92</v>
      </c>
      <c r="AV6942" s="42"/>
      <c r="AW6942" s="74"/>
      <c r="AX6942" s="77"/>
      <c r="BA6942" s="497">
        <v>51.08</v>
      </c>
      <c r="BB6942" s="42"/>
      <c r="BC6942" s="74"/>
      <c r="BD6942" s="77"/>
      <c r="BF6942">
        <v>44.06</v>
      </c>
      <c r="BH6942" s="42"/>
      <c r="BI6942" s="74"/>
      <c r="BJ6942" s="77"/>
      <c r="BL6942" s="497">
        <v>46.94</v>
      </c>
      <c r="BN6942" s="42"/>
      <c r="BO6942" s="74"/>
      <c r="BP6942" s="77"/>
      <c r="BR6942" s="497">
        <v>51.08</v>
      </c>
      <c r="BT6942" s="42"/>
    </row>
    <row r="6943" spans="1:72" x14ac:dyDescent="0.25">
      <c r="A6943" s="90">
        <v>37180</v>
      </c>
      <c r="B6943" s="20">
        <v>0.54166666666666663</v>
      </c>
      <c r="D6943">
        <v>68</v>
      </c>
      <c r="E6943" t="str">
        <f t="shared" si="252"/>
        <v>WEEKDAY</v>
      </c>
      <c r="F6943" t="e">
        <f t="shared" si="251"/>
        <v>#N/A</v>
      </c>
      <c r="G6943" s="74">
        <v>29510</v>
      </c>
      <c r="H6943" s="77">
        <v>0.54166666666666663</v>
      </c>
      <c r="J6943">
        <v>69.98</v>
      </c>
      <c r="M6943" s="74">
        <v>36449</v>
      </c>
      <c r="N6943" s="77">
        <v>0.54166666666666663</v>
      </c>
      <c r="P6943">
        <v>64.400000000000006</v>
      </c>
      <c r="S6943" s="74">
        <v>37180</v>
      </c>
      <c r="T6943" s="77">
        <v>0.54166666666666663</v>
      </c>
      <c r="V6943">
        <v>66.02</v>
      </c>
      <c r="X6943" s="42"/>
      <c r="AB6943">
        <v>62.4</v>
      </c>
      <c r="AC6943">
        <v>57.2</v>
      </c>
      <c r="AE6943" s="74"/>
      <c r="AF6943" s="77"/>
      <c r="AH6943" s="497">
        <v>48.2</v>
      </c>
      <c r="AJ6943" s="42"/>
      <c r="AK6943" s="74"/>
      <c r="AL6943" s="77"/>
      <c r="AN6943" s="497">
        <v>46.94</v>
      </c>
      <c r="AP6943" s="42"/>
      <c r="AQ6943" s="74"/>
      <c r="AR6943" s="77"/>
      <c r="AT6943" s="497">
        <v>50</v>
      </c>
      <c r="AV6943" s="42"/>
      <c r="AW6943" s="74"/>
      <c r="AX6943" s="77"/>
      <c r="BA6943" s="497">
        <v>51.980000000000004</v>
      </c>
      <c r="BB6943" s="42"/>
      <c r="BC6943" s="74"/>
      <c r="BD6943" s="77"/>
      <c r="BF6943">
        <v>44.06</v>
      </c>
      <c r="BH6943" s="42"/>
      <c r="BI6943" s="74"/>
      <c r="BJ6943" s="77"/>
      <c r="BL6943" s="497">
        <v>46.94</v>
      </c>
      <c r="BN6943" s="42"/>
      <c r="BO6943" s="74"/>
      <c r="BP6943" s="77"/>
      <c r="BR6943" s="497">
        <v>53.06</v>
      </c>
      <c r="BT6943" s="42"/>
    </row>
    <row r="6944" spans="1:72" x14ac:dyDescent="0.25">
      <c r="A6944" s="90">
        <v>37180</v>
      </c>
      <c r="B6944" s="20">
        <v>0.58333333333333337</v>
      </c>
      <c r="D6944">
        <v>68</v>
      </c>
      <c r="E6944" t="str">
        <f t="shared" si="252"/>
        <v>WEEKDAY</v>
      </c>
      <c r="F6944" t="e">
        <f t="shared" si="251"/>
        <v>#N/A</v>
      </c>
      <c r="G6944" s="74">
        <v>29510</v>
      </c>
      <c r="H6944" s="77">
        <v>0.58333333333333337</v>
      </c>
      <c r="J6944">
        <v>69.259999999999991</v>
      </c>
      <c r="M6944" s="74">
        <v>36449</v>
      </c>
      <c r="N6944" s="77">
        <v>0.58333333333333337</v>
      </c>
      <c r="P6944">
        <v>66.2</v>
      </c>
      <c r="S6944" s="74">
        <v>37180</v>
      </c>
      <c r="T6944" s="77">
        <v>0.58333333333333337</v>
      </c>
      <c r="V6944">
        <v>66.92</v>
      </c>
      <c r="X6944" s="42"/>
      <c r="AB6944">
        <v>63</v>
      </c>
      <c r="AC6944">
        <v>57.92</v>
      </c>
      <c r="AE6944" s="74"/>
      <c r="AF6944" s="77"/>
      <c r="AH6944" s="497">
        <v>48.2</v>
      </c>
      <c r="AJ6944" s="42"/>
      <c r="AK6944" s="74"/>
      <c r="AL6944" s="77"/>
      <c r="AN6944" s="497">
        <v>48.019999999999996</v>
      </c>
      <c r="AP6944" s="42"/>
      <c r="AQ6944" s="74"/>
      <c r="AR6944" s="77"/>
      <c r="AT6944" s="497">
        <v>50</v>
      </c>
      <c r="AV6944" s="42"/>
      <c r="AW6944" s="74"/>
      <c r="AX6944" s="77"/>
      <c r="BA6944" s="497">
        <v>50</v>
      </c>
      <c r="BB6944" s="42"/>
      <c r="BC6944" s="74"/>
      <c r="BD6944" s="77"/>
      <c r="BF6944">
        <v>44.96</v>
      </c>
      <c r="BH6944" s="42"/>
      <c r="BI6944" s="74"/>
      <c r="BJ6944" s="77"/>
      <c r="BL6944" s="497">
        <v>48.019999999999996</v>
      </c>
      <c r="BN6944" s="42"/>
      <c r="BO6944" s="74"/>
      <c r="BP6944" s="77"/>
      <c r="BR6944" s="497">
        <v>51.08</v>
      </c>
      <c r="BT6944" s="42"/>
    </row>
    <row r="6945" spans="1:72" x14ac:dyDescent="0.25">
      <c r="A6945" s="90">
        <v>37180</v>
      </c>
      <c r="B6945" s="20">
        <v>0.625</v>
      </c>
      <c r="D6945">
        <v>68</v>
      </c>
      <c r="E6945" t="str">
        <f t="shared" si="252"/>
        <v>WEEKDAY</v>
      </c>
      <c r="F6945" t="e">
        <f t="shared" si="251"/>
        <v>#N/A</v>
      </c>
      <c r="G6945" s="74">
        <v>29510</v>
      </c>
      <c r="H6945" s="77">
        <v>0.625</v>
      </c>
      <c r="J6945">
        <v>68.72</v>
      </c>
      <c r="M6945" s="74">
        <v>36449</v>
      </c>
      <c r="N6945" s="77">
        <v>0.625</v>
      </c>
      <c r="P6945">
        <v>66.2</v>
      </c>
      <c r="S6945" s="74">
        <v>37180</v>
      </c>
      <c r="T6945" s="77">
        <v>0.625</v>
      </c>
      <c r="V6945">
        <v>66.92</v>
      </c>
      <c r="X6945" s="42"/>
      <c r="AB6945">
        <v>63.2</v>
      </c>
      <c r="AC6945">
        <v>57.92</v>
      </c>
      <c r="AE6945" s="74"/>
      <c r="AF6945" s="77"/>
      <c r="AH6945" s="497">
        <v>48.2</v>
      </c>
      <c r="AJ6945" s="42"/>
      <c r="AK6945" s="74"/>
      <c r="AL6945" s="77"/>
      <c r="AN6945" s="497">
        <v>46.94</v>
      </c>
      <c r="AP6945" s="42"/>
      <c r="AQ6945" s="74"/>
      <c r="AR6945" s="77"/>
      <c r="AT6945" s="497">
        <v>50</v>
      </c>
      <c r="AV6945" s="42"/>
      <c r="AW6945" s="74"/>
      <c r="AX6945" s="77"/>
      <c r="BA6945" s="497">
        <v>53.06</v>
      </c>
      <c r="BB6945" s="42"/>
      <c r="BC6945" s="74"/>
      <c r="BD6945" s="77"/>
      <c r="BF6945">
        <v>44.96</v>
      </c>
      <c r="BH6945" s="42"/>
      <c r="BI6945" s="74"/>
      <c r="BJ6945" s="77"/>
      <c r="BL6945" s="497">
        <v>46.94</v>
      </c>
      <c r="BN6945" s="42"/>
      <c r="BO6945" s="74"/>
      <c r="BP6945" s="77"/>
      <c r="BR6945" s="497">
        <v>50</v>
      </c>
      <c r="BT6945" s="42"/>
    </row>
    <row r="6946" spans="1:72" x14ac:dyDescent="0.25">
      <c r="A6946" s="90">
        <v>37180</v>
      </c>
      <c r="B6946" s="20">
        <v>0.66666666666666663</v>
      </c>
      <c r="D6946">
        <v>68</v>
      </c>
      <c r="E6946" t="str">
        <f t="shared" si="252"/>
        <v>WEEKDAY</v>
      </c>
      <c r="F6946" t="e">
        <f t="shared" si="251"/>
        <v>#N/A</v>
      </c>
      <c r="G6946" s="74">
        <v>29510</v>
      </c>
      <c r="H6946" s="77">
        <v>0.66666666666666663</v>
      </c>
      <c r="J6946">
        <v>68</v>
      </c>
      <c r="M6946" s="74">
        <v>36449</v>
      </c>
      <c r="N6946" s="77">
        <v>0.66666666666666663</v>
      </c>
      <c r="P6946">
        <v>66.2</v>
      </c>
      <c r="S6946" s="74">
        <v>37180</v>
      </c>
      <c r="T6946" s="77">
        <v>0.66666666666666663</v>
      </c>
      <c r="V6946">
        <v>66.02</v>
      </c>
      <c r="X6946" s="42"/>
      <c r="AB6946">
        <v>63</v>
      </c>
      <c r="AC6946">
        <v>57.019999999999996</v>
      </c>
      <c r="AE6946" s="74"/>
      <c r="AF6946" s="77"/>
      <c r="AH6946" s="497">
        <v>46.4</v>
      </c>
      <c r="AJ6946" s="42"/>
      <c r="AK6946" s="74"/>
      <c r="AL6946" s="77"/>
      <c r="AN6946" s="497">
        <v>46.94</v>
      </c>
      <c r="AP6946" s="42"/>
      <c r="AQ6946" s="74"/>
      <c r="AR6946" s="77"/>
      <c r="AT6946" s="497">
        <v>50</v>
      </c>
      <c r="AV6946" s="42"/>
      <c r="AW6946" s="74"/>
      <c r="AX6946" s="77"/>
      <c r="BA6946" s="497">
        <v>51.980000000000004</v>
      </c>
      <c r="BB6946" s="42"/>
      <c r="BC6946" s="74"/>
      <c r="BD6946" s="77"/>
      <c r="BF6946">
        <v>44.96</v>
      </c>
      <c r="BH6946" s="42"/>
      <c r="BI6946" s="74"/>
      <c r="BJ6946" s="77"/>
      <c r="BL6946" s="497">
        <v>44.96</v>
      </c>
      <c r="BN6946" s="42"/>
      <c r="BO6946" s="74"/>
      <c r="BP6946" s="77"/>
      <c r="BR6946" s="497">
        <v>48.92</v>
      </c>
      <c r="BT6946" s="42"/>
    </row>
    <row r="6947" spans="1:72" x14ac:dyDescent="0.25">
      <c r="A6947" s="90">
        <v>37180</v>
      </c>
      <c r="B6947" s="20">
        <v>0.70833333333333337</v>
      </c>
      <c r="D6947">
        <v>66.02</v>
      </c>
      <c r="E6947" t="str">
        <f t="shared" si="252"/>
        <v>WEEKDAY</v>
      </c>
      <c r="F6947" t="e">
        <f t="shared" si="251"/>
        <v>#N/A</v>
      </c>
      <c r="G6947" s="74">
        <v>29510</v>
      </c>
      <c r="H6947" s="77">
        <v>0.70833333333333337</v>
      </c>
      <c r="J6947">
        <v>67.28</v>
      </c>
      <c r="M6947" s="74">
        <v>36449</v>
      </c>
      <c r="N6947" s="77">
        <v>0.70833333333333337</v>
      </c>
      <c r="P6947">
        <v>62.6</v>
      </c>
      <c r="S6947" s="74">
        <v>37180</v>
      </c>
      <c r="T6947" s="77">
        <v>0.70833333333333337</v>
      </c>
      <c r="V6947">
        <v>64.039999999999992</v>
      </c>
      <c r="X6947" s="42"/>
      <c r="AB6947">
        <v>62</v>
      </c>
      <c r="AC6947">
        <v>55.94</v>
      </c>
      <c r="AE6947" s="74"/>
      <c r="AF6947" s="77"/>
      <c r="AH6947" s="497">
        <v>46.4</v>
      </c>
      <c r="AJ6947" s="42"/>
      <c r="AK6947" s="74"/>
      <c r="AL6947" s="77"/>
      <c r="AN6947" s="497">
        <v>46.04</v>
      </c>
      <c r="AP6947" s="42"/>
      <c r="AQ6947" s="74"/>
      <c r="AR6947" s="77"/>
      <c r="AT6947" s="497">
        <v>50</v>
      </c>
      <c r="AV6947" s="42"/>
      <c r="AW6947" s="74"/>
      <c r="AX6947" s="77"/>
      <c r="BA6947" s="497">
        <v>50</v>
      </c>
      <c r="BB6947" s="42"/>
      <c r="BC6947" s="74"/>
      <c r="BD6947" s="77"/>
      <c r="BF6947">
        <v>42.980000000000004</v>
      </c>
      <c r="BH6947" s="42"/>
      <c r="BI6947" s="74"/>
      <c r="BJ6947" s="77"/>
      <c r="BL6947" s="497">
        <v>42.980000000000004</v>
      </c>
      <c r="BN6947" s="42"/>
      <c r="BO6947" s="74"/>
      <c r="BP6947" s="77"/>
      <c r="BR6947" s="497">
        <v>48.92</v>
      </c>
      <c r="BT6947" s="42"/>
    </row>
    <row r="6948" spans="1:72" x14ac:dyDescent="0.25">
      <c r="A6948" s="90">
        <v>37180</v>
      </c>
      <c r="B6948" s="20">
        <v>0.75</v>
      </c>
      <c r="D6948">
        <v>64.039999999999992</v>
      </c>
      <c r="E6948" t="str">
        <f t="shared" si="252"/>
        <v>WEEKDAY</v>
      </c>
      <c r="F6948" t="e">
        <f t="shared" si="251"/>
        <v>#N/A</v>
      </c>
      <c r="G6948" s="74">
        <v>29510</v>
      </c>
      <c r="H6948" s="77">
        <v>0.75</v>
      </c>
      <c r="J6948">
        <v>66.740000000000009</v>
      </c>
      <c r="M6948" s="74">
        <v>36449</v>
      </c>
      <c r="N6948" s="77">
        <v>0.75</v>
      </c>
      <c r="P6948">
        <v>57.2</v>
      </c>
      <c r="S6948" s="74">
        <v>37180</v>
      </c>
      <c r="T6948" s="77">
        <v>0.75</v>
      </c>
      <c r="V6948">
        <v>62.06</v>
      </c>
      <c r="X6948" s="42"/>
      <c r="AB6948">
        <v>60.5</v>
      </c>
      <c r="AC6948">
        <v>55.94</v>
      </c>
      <c r="AE6948" s="74"/>
      <c r="AF6948" s="77"/>
      <c r="AH6948" s="497">
        <v>46.4</v>
      </c>
      <c r="AJ6948" s="42"/>
      <c r="AK6948" s="74"/>
      <c r="AL6948" s="77"/>
      <c r="AN6948" s="497">
        <v>44.96</v>
      </c>
      <c r="AP6948" s="42"/>
      <c r="AQ6948" s="74"/>
      <c r="AR6948" s="77"/>
      <c r="AT6948" s="497">
        <v>48.019999999999996</v>
      </c>
      <c r="AV6948" s="42"/>
      <c r="AW6948" s="74"/>
      <c r="AX6948" s="77"/>
      <c r="BA6948" s="497">
        <v>48.019999999999996</v>
      </c>
      <c r="BB6948" s="42"/>
      <c r="BC6948" s="74"/>
      <c r="BD6948" s="77"/>
      <c r="BF6948">
        <v>39.92</v>
      </c>
      <c r="BH6948" s="42"/>
      <c r="BI6948" s="74"/>
      <c r="BJ6948" s="77"/>
      <c r="BL6948" s="497">
        <v>39.92</v>
      </c>
      <c r="BN6948" s="42"/>
      <c r="BO6948" s="74"/>
      <c r="BP6948" s="77"/>
      <c r="BR6948" s="497">
        <v>46.94</v>
      </c>
      <c r="BT6948" s="42"/>
    </row>
    <row r="6949" spans="1:72" x14ac:dyDescent="0.25">
      <c r="A6949" s="90">
        <v>37180</v>
      </c>
      <c r="B6949" s="20">
        <v>0.79166666666666663</v>
      </c>
      <c r="D6949">
        <v>64.039999999999992</v>
      </c>
      <c r="E6949" t="str">
        <f t="shared" si="252"/>
        <v>WEEKDAY</v>
      </c>
      <c r="F6949" t="e">
        <f t="shared" si="251"/>
        <v>#N/A</v>
      </c>
      <c r="G6949" s="74">
        <v>29510</v>
      </c>
      <c r="H6949" s="77">
        <v>0.79166666666666663</v>
      </c>
      <c r="J6949">
        <v>66.02</v>
      </c>
      <c r="M6949" s="74">
        <v>36449</v>
      </c>
      <c r="N6949" s="77">
        <v>0.79166666666666663</v>
      </c>
      <c r="P6949">
        <v>57.2</v>
      </c>
      <c r="S6949" s="74">
        <v>37180</v>
      </c>
      <c r="T6949" s="77">
        <v>0.79166666666666663</v>
      </c>
      <c r="V6949">
        <v>62.06</v>
      </c>
      <c r="X6949" s="42"/>
      <c r="AB6949">
        <v>59.3</v>
      </c>
      <c r="AC6949">
        <v>55.040000000000006</v>
      </c>
      <c r="AE6949" s="74"/>
      <c r="AF6949" s="77"/>
      <c r="AH6949" s="497">
        <v>46.4</v>
      </c>
      <c r="AJ6949" s="42"/>
      <c r="AK6949" s="74"/>
      <c r="AL6949" s="77"/>
      <c r="AN6949" s="497">
        <v>44.96</v>
      </c>
      <c r="AP6949" s="42"/>
      <c r="AQ6949" s="74"/>
      <c r="AR6949" s="77"/>
      <c r="AT6949" s="497">
        <v>46.94</v>
      </c>
      <c r="AV6949" s="42"/>
      <c r="AW6949" s="74"/>
      <c r="AX6949" s="77"/>
      <c r="BA6949" s="497">
        <v>48.019999999999996</v>
      </c>
      <c r="BB6949" s="42"/>
      <c r="BC6949" s="74"/>
      <c r="BD6949" s="77"/>
      <c r="BF6949">
        <v>35.96</v>
      </c>
      <c r="BH6949" s="42"/>
      <c r="BI6949" s="74"/>
      <c r="BJ6949" s="77"/>
      <c r="BL6949" s="497">
        <v>39.019999999999996</v>
      </c>
      <c r="BN6949" s="42"/>
      <c r="BO6949" s="74"/>
      <c r="BP6949" s="77"/>
      <c r="BR6949" s="497">
        <v>42.980000000000004</v>
      </c>
      <c r="BT6949" s="42"/>
    </row>
    <row r="6950" spans="1:72" x14ac:dyDescent="0.25">
      <c r="A6950" s="90">
        <v>37180</v>
      </c>
      <c r="B6950" s="20">
        <v>0.83333333333333337</v>
      </c>
      <c r="D6950">
        <v>62.96</v>
      </c>
      <c r="E6950" t="str">
        <f t="shared" si="252"/>
        <v>WEEKDAY</v>
      </c>
      <c r="F6950" t="e">
        <f t="shared" si="251"/>
        <v>#N/A</v>
      </c>
      <c r="G6950" s="74">
        <v>29510</v>
      </c>
      <c r="H6950" s="77">
        <v>0.83333333333333337</v>
      </c>
      <c r="J6950">
        <v>66.02</v>
      </c>
      <c r="M6950" s="74">
        <v>36449</v>
      </c>
      <c r="N6950" s="77">
        <v>0.83333333333333337</v>
      </c>
      <c r="P6950">
        <v>55.400000000000006</v>
      </c>
      <c r="S6950" s="74">
        <v>37180</v>
      </c>
      <c r="T6950" s="77">
        <v>0.83333333333333337</v>
      </c>
      <c r="V6950">
        <v>62.06</v>
      </c>
      <c r="X6950" s="42"/>
      <c r="AB6950">
        <v>58.7</v>
      </c>
      <c r="AC6950">
        <v>53.96</v>
      </c>
      <c r="AE6950" s="74"/>
      <c r="AF6950" s="77"/>
      <c r="AH6950" s="497">
        <v>46.4</v>
      </c>
      <c r="AJ6950" s="42"/>
      <c r="AK6950" s="74"/>
      <c r="AL6950" s="77"/>
      <c r="AN6950" s="497">
        <v>46.04</v>
      </c>
      <c r="AP6950" s="42"/>
      <c r="AQ6950" s="74"/>
      <c r="AR6950" s="77"/>
      <c r="AT6950" s="497">
        <v>46.04</v>
      </c>
      <c r="AV6950" s="42"/>
      <c r="AW6950" s="74"/>
      <c r="AX6950" s="77"/>
      <c r="BA6950" s="497">
        <v>46.94</v>
      </c>
      <c r="BB6950" s="42"/>
      <c r="BC6950" s="74"/>
      <c r="BD6950" s="77"/>
      <c r="BF6950">
        <v>33.979999999999997</v>
      </c>
      <c r="BH6950" s="42"/>
      <c r="BI6950" s="74"/>
      <c r="BJ6950" s="77"/>
      <c r="BL6950" s="497">
        <v>35.96</v>
      </c>
      <c r="BN6950" s="42"/>
      <c r="BO6950" s="74"/>
      <c r="BP6950" s="77"/>
      <c r="BR6950" s="497">
        <v>42.08</v>
      </c>
      <c r="BT6950" s="42"/>
    </row>
    <row r="6951" spans="1:72" x14ac:dyDescent="0.25">
      <c r="A6951" s="90">
        <v>37180</v>
      </c>
      <c r="B6951" s="20">
        <v>0.875</v>
      </c>
      <c r="D6951">
        <v>62.96</v>
      </c>
      <c r="E6951" t="str">
        <f t="shared" si="252"/>
        <v>WEEKDAY</v>
      </c>
      <c r="F6951" t="e">
        <f t="shared" si="251"/>
        <v>#N/A</v>
      </c>
      <c r="G6951" s="74">
        <v>29510</v>
      </c>
      <c r="H6951" s="77">
        <v>0.875</v>
      </c>
      <c r="J6951">
        <v>66.02</v>
      </c>
      <c r="M6951" s="74">
        <v>36449</v>
      </c>
      <c r="N6951" s="77">
        <v>0.875</v>
      </c>
      <c r="P6951">
        <v>55.400000000000006</v>
      </c>
      <c r="S6951" s="74">
        <v>37180</v>
      </c>
      <c r="T6951" s="77">
        <v>0.875</v>
      </c>
      <c r="V6951">
        <v>60.08</v>
      </c>
      <c r="X6951" s="42"/>
      <c r="AB6951">
        <v>58</v>
      </c>
      <c r="AC6951">
        <v>53.06</v>
      </c>
      <c r="AE6951" s="74"/>
      <c r="AF6951" s="77"/>
      <c r="AH6951" s="497">
        <v>46.4</v>
      </c>
      <c r="AJ6951" s="42"/>
      <c r="AK6951" s="74"/>
      <c r="AL6951" s="77"/>
      <c r="AN6951" s="497">
        <v>46.04</v>
      </c>
      <c r="AP6951" s="42"/>
      <c r="AQ6951" s="74"/>
      <c r="AR6951" s="77"/>
      <c r="AT6951" s="497">
        <v>44.06</v>
      </c>
      <c r="AV6951" s="42"/>
      <c r="AW6951" s="74"/>
      <c r="AX6951" s="77"/>
      <c r="BA6951" s="497">
        <v>44.96</v>
      </c>
      <c r="BB6951" s="42"/>
      <c r="BC6951" s="74"/>
      <c r="BD6951" s="77"/>
      <c r="BF6951">
        <v>33.08</v>
      </c>
      <c r="BH6951" s="42"/>
      <c r="BI6951" s="74"/>
      <c r="BJ6951" s="77"/>
      <c r="BL6951" s="497">
        <v>33.979999999999997</v>
      </c>
      <c r="BN6951" s="42"/>
      <c r="BO6951" s="74"/>
      <c r="BP6951" s="77"/>
      <c r="BR6951" s="497">
        <v>42.08</v>
      </c>
      <c r="BT6951" s="42"/>
    </row>
    <row r="6952" spans="1:72" x14ac:dyDescent="0.25">
      <c r="A6952" s="90">
        <v>37180</v>
      </c>
      <c r="B6952" s="20">
        <v>0.91666666666666663</v>
      </c>
      <c r="D6952">
        <v>57.019999999999996</v>
      </c>
      <c r="E6952" t="str">
        <f t="shared" si="252"/>
        <v>WEEKDAY</v>
      </c>
      <c r="F6952" t="e">
        <f t="shared" si="251"/>
        <v>#N/A</v>
      </c>
      <c r="G6952" s="74">
        <v>29510</v>
      </c>
      <c r="H6952" s="77">
        <v>0.91666666666666663</v>
      </c>
      <c r="J6952">
        <v>66.02</v>
      </c>
      <c r="M6952" s="74">
        <v>36449</v>
      </c>
      <c r="N6952" s="77">
        <v>0.91666666666666663</v>
      </c>
      <c r="P6952">
        <v>59</v>
      </c>
      <c r="S6952" s="74">
        <v>37180</v>
      </c>
      <c r="T6952" s="77">
        <v>0.91666666666666663</v>
      </c>
      <c r="V6952">
        <v>57.019999999999996</v>
      </c>
      <c r="X6952" s="42"/>
      <c r="AB6952">
        <v>57.4</v>
      </c>
      <c r="AC6952">
        <v>53.06</v>
      </c>
      <c r="AE6952" s="74"/>
      <c r="AF6952" s="77"/>
      <c r="AH6952" s="497">
        <v>46.4</v>
      </c>
      <c r="AJ6952" s="42"/>
      <c r="AK6952" s="74"/>
      <c r="AL6952" s="77"/>
      <c r="AN6952" s="497">
        <v>44.96</v>
      </c>
      <c r="AP6952" s="42"/>
      <c r="AQ6952" s="74"/>
      <c r="AR6952" s="77"/>
      <c r="AT6952" s="497">
        <v>41</v>
      </c>
      <c r="AV6952" s="42"/>
      <c r="AW6952" s="74"/>
      <c r="AX6952" s="77"/>
      <c r="BA6952" s="497">
        <v>44.06</v>
      </c>
      <c r="BB6952" s="42"/>
      <c r="BC6952" s="74"/>
      <c r="BD6952" s="77"/>
      <c r="BF6952">
        <v>33.08</v>
      </c>
      <c r="BH6952" s="42"/>
      <c r="BI6952" s="74"/>
      <c r="BJ6952" s="77"/>
      <c r="BL6952" s="497">
        <v>37.04</v>
      </c>
      <c r="BN6952" s="42"/>
      <c r="BO6952" s="74"/>
      <c r="BP6952" s="77"/>
      <c r="BR6952" s="497">
        <v>42.08</v>
      </c>
      <c r="BT6952" s="42"/>
    </row>
    <row r="6953" spans="1:72" x14ac:dyDescent="0.25">
      <c r="A6953" s="90">
        <v>37180</v>
      </c>
      <c r="B6953" s="20">
        <v>0.95833333333333337</v>
      </c>
      <c r="D6953">
        <v>53.06</v>
      </c>
      <c r="E6953" t="str">
        <f t="shared" si="252"/>
        <v>WEEKDAY</v>
      </c>
      <c r="F6953" t="e">
        <f t="shared" si="251"/>
        <v>#N/A</v>
      </c>
      <c r="G6953" s="74">
        <v>29510</v>
      </c>
      <c r="H6953" s="77">
        <v>0.95833333333333337</v>
      </c>
      <c r="J6953">
        <v>65.66</v>
      </c>
      <c r="M6953" s="74">
        <v>36449</v>
      </c>
      <c r="N6953" s="77">
        <v>0.95833333333333337</v>
      </c>
      <c r="P6953">
        <v>62.6</v>
      </c>
      <c r="S6953" s="74">
        <v>37180</v>
      </c>
      <c r="T6953" s="77">
        <v>0.95833333333333337</v>
      </c>
      <c r="V6953">
        <v>51.08</v>
      </c>
      <c r="X6953" s="42"/>
      <c r="AB6953">
        <v>56.7</v>
      </c>
      <c r="AC6953">
        <v>53.06</v>
      </c>
      <c r="AE6953" s="74"/>
      <c r="AF6953" s="77"/>
      <c r="AH6953" s="497">
        <v>44.6</v>
      </c>
      <c r="AJ6953" s="42"/>
      <c r="AK6953" s="74"/>
      <c r="AL6953" s="77"/>
      <c r="AN6953" s="497">
        <v>44.96</v>
      </c>
      <c r="AP6953" s="42"/>
      <c r="AQ6953" s="74"/>
      <c r="AR6953" s="77"/>
      <c r="AT6953" s="497">
        <v>37.94</v>
      </c>
      <c r="AV6953" s="42"/>
      <c r="AW6953" s="74"/>
      <c r="AX6953" s="77"/>
      <c r="BA6953" s="497">
        <v>44.06</v>
      </c>
      <c r="BB6953" s="42"/>
      <c r="BC6953" s="74"/>
      <c r="BD6953" s="77"/>
      <c r="BF6953">
        <v>32</v>
      </c>
      <c r="BH6953" s="42"/>
      <c r="BI6953" s="74"/>
      <c r="BJ6953" s="77"/>
      <c r="BL6953" s="497">
        <v>30.92</v>
      </c>
      <c r="BN6953" s="42"/>
      <c r="BO6953" s="74"/>
      <c r="BP6953" s="77"/>
      <c r="BR6953" s="497">
        <v>41</v>
      </c>
      <c r="BT6953" s="42"/>
    </row>
    <row r="6954" spans="1:72" x14ac:dyDescent="0.25">
      <c r="A6954" s="90">
        <v>37180</v>
      </c>
      <c r="B6954" s="20">
        <v>1</v>
      </c>
      <c r="D6954">
        <v>51.980000000000004</v>
      </c>
      <c r="E6954" t="str">
        <f t="shared" si="252"/>
        <v>WEEKDAY</v>
      </c>
      <c r="F6954" t="e">
        <f t="shared" si="251"/>
        <v>#N/A</v>
      </c>
      <c r="G6954" s="74">
        <v>29510</v>
      </c>
      <c r="H6954" s="77">
        <v>1</v>
      </c>
      <c r="J6954">
        <v>65.300000000000011</v>
      </c>
      <c r="M6954" s="74">
        <v>36449</v>
      </c>
      <c r="N6954" s="80">
        <v>1</v>
      </c>
      <c r="P6954">
        <v>57.2</v>
      </c>
      <c r="S6954" s="74">
        <v>37180</v>
      </c>
      <c r="T6954" s="80">
        <v>1</v>
      </c>
      <c r="V6954">
        <v>51.980000000000004</v>
      </c>
      <c r="X6954" s="42"/>
      <c r="AB6954">
        <v>56.1</v>
      </c>
      <c r="AC6954">
        <v>51.08</v>
      </c>
      <c r="AE6954" s="74"/>
      <c r="AF6954" s="80"/>
      <c r="AH6954" s="497">
        <v>46.4</v>
      </c>
      <c r="AJ6954" s="42"/>
      <c r="AK6954" s="74"/>
      <c r="AL6954" s="80"/>
      <c r="AN6954" s="497">
        <v>44.96</v>
      </c>
      <c r="AP6954" s="42"/>
      <c r="AQ6954" s="74"/>
      <c r="AR6954" s="80"/>
      <c r="AT6954" s="497">
        <v>37.94</v>
      </c>
      <c r="AV6954" s="42"/>
      <c r="AW6954" s="74"/>
      <c r="AX6954" s="80"/>
      <c r="BA6954" s="497">
        <v>44.06</v>
      </c>
      <c r="BB6954" s="42"/>
      <c r="BC6954" s="74"/>
      <c r="BD6954" s="80"/>
      <c r="BF6954">
        <v>30.92</v>
      </c>
      <c r="BH6954" s="42"/>
      <c r="BI6954" s="74"/>
      <c r="BJ6954" s="80"/>
      <c r="BL6954" s="497">
        <v>28.94</v>
      </c>
      <c r="BN6954" s="42"/>
      <c r="BO6954" s="74"/>
      <c r="BP6954" s="80"/>
      <c r="BR6954" s="497">
        <v>39.92</v>
      </c>
      <c r="BT6954" s="42"/>
    </row>
    <row r="6955" spans="1:72" x14ac:dyDescent="0.25">
      <c r="A6955" s="90">
        <v>37181</v>
      </c>
      <c r="B6955" s="20">
        <v>4.1666666666666664E-2</v>
      </c>
      <c r="D6955">
        <v>51.980000000000004</v>
      </c>
      <c r="E6955" t="str">
        <f t="shared" si="252"/>
        <v>WEEKDAY</v>
      </c>
      <c r="F6955" t="e">
        <f t="shared" ref="F6955:F7018" si="253">IF(E6955="WEEKDAY",VLOOKUP(B6955,$DD$19:$DG$42,2),IF(E6955="SATURDAY",VLOOKUP(B6955,$DD$19:$DG$42,3),VLOOKUP(B6955,$DD$19:$DG$42,4)))</f>
        <v>#N/A</v>
      </c>
      <c r="G6955" s="74">
        <v>29511</v>
      </c>
      <c r="H6955" s="77">
        <v>4.1666666666666664E-2</v>
      </c>
      <c r="J6955">
        <v>64.94</v>
      </c>
      <c r="M6955" s="74">
        <v>36450</v>
      </c>
      <c r="N6955" s="77">
        <v>4.1666666666666664E-2</v>
      </c>
      <c r="P6955">
        <v>57.2</v>
      </c>
      <c r="S6955" s="74">
        <v>37181</v>
      </c>
      <c r="T6955" s="77">
        <v>4.1666666666666664E-2</v>
      </c>
      <c r="V6955">
        <v>51.08</v>
      </c>
      <c r="X6955" s="42"/>
      <c r="AB6955">
        <v>55.3</v>
      </c>
      <c r="AC6955">
        <v>51.08</v>
      </c>
      <c r="AE6955" s="74"/>
      <c r="AF6955" s="77"/>
      <c r="AH6955" s="497">
        <v>46.4</v>
      </c>
      <c r="AJ6955" s="42"/>
      <c r="AK6955" s="74"/>
      <c r="AL6955" s="77"/>
      <c r="AN6955" s="497">
        <v>42.980000000000004</v>
      </c>
      <c r="AP6955" s="42"/>
      <c r="AQ6955" s="74"/>
      <c r="AR6955" s="77"/>
      <c r="AT6955" s="497">
        <v>41</v>
      </c>
      <c r="AV6955" s="42"/>
      <c r="AW6955" s="74"/>
      <c r="AX6955" s="77"/>
      <c r="BA6955" s="497">
        <v>44.06</v>
      </c>
      <c r="BB6955" s="42"/>
      <c r="BC6955" s="74"/>
      <c r="BD6955" s="77"/>
      <c r="BF6955">
        <v>30.02</v>
      </c>
      <c r="BH6955" s="42"/>
      <c r="BI6955" s="74"/>
      <c r="BJ6955" s="77"/>
      <c r="BL6955" s="497">
        <v>30.92</v>
      </c>
      <c r="BN6955" s="42"/>
      <c r="BO6955" s="74"/>
      <c r="BP6955" s="77"/>
      <c r="BR6955" s="497">
        <v>41</v>
      </c>
      <c r="BT6955" s="42"/>
    </row>
    <row r="6956" spans="1:72" x14ac:dyDescent="0.25">
      <c r="A6956" s="90">
        <v>37181</v>
      </c>
      <c r="B6956" s="20">
        <v>8.3333333333333329E-2</v>
      </c>
      <c r="D6956">
        <v>51.980000000000004</v>
      </c>
      <c r="E6956" t="str">
        <f t="shared" si="252"/>
        <v>WEEKDAY</v>
      </c>
      <c r="F6956" t="e">
        <f t="shared" si="253"/>
        <v>#N/A</v>
      </c>
      <c r="G6956" s="74">
        <v>29511</v>
      </c>
      <c r="H6956" s="77">
        <v>8.3333333333333329E-2</v>
      </c>
      <c r="J6956">
        <v>64.580000000000013</v>
      </c>
      <c r="M6956" s="74">
        <v>36450</v>
      </c>
      <c r="N6956" s="77">
        <v>8.3333333333333329E-2</v>
      </c>
      <c r="P6956">
        <v>57.2</v>
      </c>
      <c r="S6956" s="74">
        <v>37181</v>
      </c>
      <c r="T6956" s="77">
        <v>8.3333333333333329E-2</v>
      </c>
      <c r="V6956">
        <v>51.08</v>
      </c>
      <c r="X6956" s="42"/>
      <c r="AB6956">
        <v>54.7</v>
      </c>
      <c r="AC6956">
        <v>51.08</v>
      </c>
      <c r="AE6956" s="74"/>
      <c r="AF6956" s="77"/>
      <c r="AH6956" s="497">
        <v>44.6</v>
      </c>
      <c r="AJ6956" s="42"/>
      <c r="AK6956" s="74"/>
      <c r="AL6956" s="77"/>
      <c r="AN6956" s="497">
        <v>42.980000000000004</v>
      </c>
      <c r="AP6956" s="42"/>
      <c r="AQ6956" s="74"/>
      <c r="AR6956" s="77"/>
      <c r="AT6956" s="497">
        <v>41</v>
      </c>
      <c r="AV6956" s="42"/>
      <c r="AW6956" s="74"/>
      <c r="AX6956" s="77"/>
      <c r="BA6956" s="497">
        <v>44.06</v>
      </c>
      <c r="BB6956" s="42"/>
      <c r="BC6956" s="74"/>
      <c r="BD6956" s="77"/>
      <c r="BF6956">
        <v>30.02</v>
      </c>
      <c r="BH6956" s="42"/>
      <c r="BI6956" s="74"/>
      <c r="BJ6956" s="77"/>
      <c r="BL6956" s="497">
        <v>30.02</v>
      </c>
      <c r="BN6956" s="42"/>
      <c r="BO6956" s="74"/>
      <c r="BP6956" s="77"/>
      <c r="BR6956" s="497">
        <v>42.08</v>
      </c>
      <c r="BT6956" s="42"/>
    </row>
    <row r="6957" spans="1:72" x14ac:dyDescent="0.25">
      <c r="A6957" s="90">
        <v>37181</v>
      </c>
      <c r="B6957" s="20">
        <v>0.125</v>
      </c>
      <c r="D6957">
        <v>51.980000000000004</v>
      </c>
      <c r="E6957" t="str">
        <f t="shared" si="252"/>
        <v>WEEKDAY</v>
      </c>
      <c r="F6957" t="e">
        <f t="shared" si="253"/>
        <v>#N/A</v>
      </c>
      <c r="G6957" s="74">
        <v>29511</v>
      </c>
      <c r="H6957" s="77">
        <v>0.125</v>
      </c>
      <c r="J6957">
        <v>64.400000000000006</v>
      </c>
      <c r="M6957" s="74">
        <v>36450</v>
      </c>
      <c r="N6957" s="77">
        <v>0.125</v>
      </c>
      <c r="P6957">
        <v>57.2</v>
      </c>
      <c r="S6957" s="74">
        <v>37181</v>
      </c>
      <c r="T6957" s="77">
        <v>0.125</v>
      </c>
      <c r="V6957">
        <v>50</v>
      </c>
      <c r="X6957" s="42"/>
      <c r="AB6957">
        <v>54.1</v>
      </c>
      <c r="AC6957">
        <v>51.08</v>
      </c>
      <c r="AE6957" s="74"/>
      <c r="AF6957" s="77"/>
      <c r="AH6957" s="497">
        <v>42.8</v>
      </c>
      <c r="AJ6957" s="42"/>
      <c r="AK6957" s="74"/>
      <c r="AL6957" s="77"/>
      <c r="AN6957" s="497">
        <v>41</v>
      </c>
      <c r="AP6957" s="42"/>
      <c r="AQ6957" s="74"/>
      <c r="AR6957" s="77"/>
      <c r="AT6957" s="497">
        <v>41</v>
      </c>
      <c r="AV6957" s="42"/>
      <c r="AW6957" s="74"/>
      <c r="AX6957" s="77"/>
      <c r="BA6957" s="497">
        <v>44.06</v>
      </c>
      <c r="BB6957" s="42"/>
      <c r="BC6957" s="74"/>
      <c r="BD6957" s="77"/>
      <c r="BF6957">
        <v>28.94</v>
      </c>
      <c r="BH6957" s="42"/>
      <c r="BI6957" s="74"/>
      <c r="BJ6957" s="77"/>
      <c r="BL6957" s="497">
        <v>28.94</v>
      </c>
      <c r="BN6957" s="42"/>
      <c r="BO6957" s="74"/>
      <c r="BP6957" s="77"/>
      <c r="BR6957" s="497">
        <v>42.08</v>
      </c>
      <c r="BT6957" s="42"/>
    </row>
    <row r="6958" spans="1:72" x14ac:dyDescent="0.25">
      <c r="A6958" s="90">
        <v>37181</v>
      </c>
      <c r="B6958" s="20">
        <v>0.16666666666666666</v>
      </c>
      <c r="D6958">
        <v>50</v>
      </c>
      <c r="E6958" t="str">
        <f t="shared" si="252"/>
        <v>WEEKDAY</v>
      </c>
      <c r="F6958" t="e">
        <f t="shared" si="253"/>
        <v>#N/A</v>
      </c>
      <c r="G6958" s="74">
        <v>29511</v>
      </c>
      <c r="H6958" s="77">
        <v>0.16666666666666666</v>
      </c>
      <c r="J6958">
        <v>64.039999999999992</v>
      </c>
      <c r="M6958" s="74">
        <v>36450</v>
      </c>
      <c r="N6958" s="77">
        <v>0.16666666666666666</v>
      </c>
      <c r="P6958">
        <v>55.400000000000006</v>
      </c>
      <c r="S6958" s="74">
        <v>37181</v>
      </c>
      <c r="T6958" s="77">
        <v>0.16666666666666666</v>
      </c>
      <c r="V6958">
        <v>50</v>
      </c>
      <c r="X6958" s="42"/>
      <c r="AB6958">
        <v>53.6</v>
      </c>
      <c r="AC6958">
        <v>51.08</v>
      </c>
      <c r="AE6958" s="74"/>
      <c r="AF6958" s="77"/>
      <c r="AH6958" s="497">
        <v>42.8</v>
      </c>
      <c r="AJ6958" s="42"/>
      <c r="AK6958" s="74"/>
      <c r="AL6958" s="77"/>
      <c r="AN6958" s="497">
        <v>41</v>
      </c>
      <c r="AP6958" s="42"/>
      <c r="AQ6958" s="74"/>
      <c r="AR6958" s="77"/>
      <c r="AT6958" s="497">
        <v>42.08</v>
      </c>
      <c r="AV6958" s="42"/>
      <c r="AW6958" s="74"/>
      <c r="AX6958" s="77"/>
      <c r="BA6958" s="497">
        <v>44.06</v>
      </c>
      <c r="BB6958" s="42"/>
      <c r="BC6958" s="74"/>
      <c r="BD6958" s="77"/>
      <c r="BF6958">
        <v>26.96</v>
      </c>
      <c r="BH6958" s="42"/>
      <c r="BI6958" s="74"/>
      <c r="BJ6958" s="77"/>
      <c r="BL6958" s="497">
        <v>28.04</v>
      </c>
      <c r="BN6958" s="42"/>
      <c r="BO6958" s="74"/>
      <c r="BP6958" s="77"/>
      <c r="BR6958" s="497">
        <v>42.08</v>
      </c>
      <c r="BT6958" s="42"/>
    </row>
    <row r="6959" spans="1:72" x14ac:dyDescent="0.25">
      <c r="A6959" s="90">
        <v>37181</v>
      </c>
      <c r="B6959" s="20">
        <v>0.20833333333333334</v>
      </c>
      <c r="D6959">
        <v>50</v>
      </c>
      <c r="E6959" t="str">
        <f t="shared" si="252"/>
        <v>WEEKDAY</v>
      </c>
      <c r="F6959" t="e">
        <f t="shared" si="253"/>
        <v>#N/A</v>
      </c>
      <c r="G6959" s="74">
        <v>29511</v>
      </c>
      <c r="H6959" s="77">
        <v>0.20833333333333334</v>
      </c>
      <c r="J6959">
        <v>62.78</v>
      </c>
      <c r="M6959" s="74">
        <v>36450</v>
      </c>
      <c r="N6959" s="77">
        <v>0.20833333333333334</v>
      </c>
      <c r="P6959">
        <v>53.6</v>
      </c>
      <c r="S6959" s="74">
        <v>37181</v>
      </c>
      <c r="T6959" s="77">
        <v>0.20833333333333334</v>
      </c>
      <c r="V6959">
        <v>50</v>
      </c>
      <c r="X6959" s="42"/>
      <c r="AB6959">
        <v>53.2</v>
      </c>
      <c r="AC6959">
        <v>51.08</v>
      </c>
      <c r="AE6959" s="74"/>
      <c r="AF6959" s="77"/>
      <c r="AH6959" s="497">
        <v>39.200000000000003</v>
      </c>
      <c r="AJ6959" s="42"/>
      <c r="AK6959" s="74"/>
      <c r="AL6959" s="77"/>
      <c r="AN6959" s="497">
        <v>41</v>
      </c>
      <c r="AP6959" s="42"/>
      <c r="AQ6959" s="74"/>
      <c r="AR6959" s="77"/>
      <c r="AT6959" s="497">
        <v>42.08</v>
      </c>
      <c r="AV6959" s="42"/>
      <c r="AW6959" s="74"/>
      <c r="AX6959" s="77"/>
      <c r="BA6959" s="497">
        <v>44.06</v>
      </c>
      <c r="BB6959" s="42"/>
      <c r="BC6959" s="74"/>
      <c r="BD6959" s="77"/>
      <c r="BF6959">
        <v>26.96</v>
      </c>
      <c r="BH6959" s="42"/>
      <c r="BI6959" s="74"/>
      <c r="BJ6959" s="77"/>
      <c r="BL6959" s="497">
        <v>28.04</v>
      </c>
      <c r="BN6959" s="42"/>
      <c r="BO6959" s="74"/>
      <c r="BP6959" s="77"/>
      <c r="BR6959" s="497">
        <v>41</v>
      </c>
      <c r="BT6959" s="42"/>
    </row>
    <row r="6960" spans="1:72" x14ac:dyDescent="0.25">
      <c r="A6960" s="90">
        <v>37181</v>
      </c>
      <c r="B6960" s="20">
        <v>0.25</v>
      </c>
      <c r="D6960">
        <v>51.08</v>
      </c>
      <c r="E6960" t="str">
        <f t="shared" si="252"/>
        <v>WEEKDAY</v>
      </c>
      <c r="F6960" t="e">
        <f t="shared" si="253"/>
        <v>#N/A</v>
      </c>
      <c r="G6960" s="74">
        <v>29511</v>
      </c>
      <c r="H6960" s="77">
        <v>0.25</v>
      </c>
      <c r="J6960">
        <v>61.34</v>
      </c>
      <c r="M6960" s="74">
        <v>36450</v>
      </c>
      <c r="N6960" s="77">
        <v>0.25</v>
      </c>
      <c r="P6960">
        <v>53.6</v>
      </c>
      <c r="S6960" s="74">
        <v>37181</v>
      </c>
      <c r="T6960" s="77">
        <v>0.25</v>
      </c>
      <c r="V6960">
        <v>51.08</v>
      </c>
      <c r="X6960" s="42"/>
      <c r="AB6960">
        <v>52.9</v>
      </c>
      <c r="AC6960">
        <v>51.980000000000004</v>
      </c>
      <c r="AE6960" s="74"/>
      <c r="AF6960" s="77"/>
      <c r="AH6960" s="497">
        <v>37.4</v>
      </c>
      <c r="AJ6960" s="42"/>
      <c r="AK6960" s="74"/>
      <c r="AL6960" s="77"/>
      <c r="AN6960" s="497">
        <v>42.08</v>
      </c>
      <c r="AP6960" s="42"/>
      <c r="AQ6960" s="74"/>
      <c r="AR6960" s="77"/>
      <c r="AT6960" s="497">
        <v>42.08</v>
      </c>
      <c r="AV6960" s="42"/>
      <c r="AW6960" s="74"/>
      <c r="AX6960" s="77"/>
      <c r="BA6960" s="497">
        <v>44.06</v>
      </c>
      <c r="BB6960" s="42"/>
      <c r="BC6960" s="74"/>
      <c r="BD6960" s="77"/>
      <c r="BF6960">
        <v>26.96</v>
      </c>
      <c r="BH6960" s="42"/>
      <c r="BI6960" s="74"/>
      <c r="BJ6960" s="77"/>
      <c r="BL6960" s="497">
        <v>24.98</v>
      </c>
      <c r="BN6960" s="42"/>
      <c r="BO6960" s="74"/>
      <c r="BP6960" s="77"/>
      <c r="BR6960" s="497">
        <v>41</v>
      </c>
      <c r="BT6960" s="42"/>
    </row>
    <row r="6961" spans="1:72" x14ac:dyDescent="0.25">
      <c r="A6961" s="90">
        <v>37181</v>
      </c>
      <c r="B6961" s="20">
        <v>0.29166666666666669</v>
      </c>
      <c r="D6961">
        <v>51.08</v>
      </c>
      <c r="E6961" t="str">
        <f t="shared" si="252"/>
        <v>WEEKDAY</v>
      </c>
      <c r="F6961" t="e">
        <f t="shared" si="253"/>
        <v>#N/A</v>
      </c>
      <c r="G6961" s="74">
        <v>29511</v>
      </c>
      <c r="H6961" s="77">
        <v>0.29166666666666669</v>
      </c>
      <c r="J6961">
        <v>60.08</v>
      </c>
      <c r="M6961" s="74">
        <v>36450</v>
      </c>
      <c r="N6961" s="77">
        <v>0.29166666666666669</v>
      </c>
      <c r="P6961">
        <v>53.6</v>
      </c>
      <c r="S6961" s="74">
        <v>37181</v>
      </c>
      <c r="T6961" s="77">
        <v>0.29166666666666669</v>
      </c>
      <c r="V6961">
        <v>51.08</v>
      </c>
      <c r="X6961" s="42"/>
      <c r="AB6961">
        <v>52.6</v>
      </c>
      <c r="AC6961">
        <v>51.980000000000004</v>
      </c>
      <c r="AE6961" s="74"/>
      <c r="AF6961" s="77"/>
      <c r="AH6961" s="497">
        <v>37.4</v>
      </c>
      <c r="AJ6961" s="42"/>
      <c r="AK6961" s="74"/>
      <c r="AL6961" s="77"/>
      <c r="AN6961" s="497">
        <v>42.980000000000004</v>
      </c>
      <c r="AP6961" s="42"/>
      <c r="AQ6961" s="74"/>
      <c r="AR6961" s="77"/>
      <c r="AT6961" s="497">
        <v>42.980000000000004</v>
      </c>
      <c r="AV6961" s="42"/>
      <c r="AW6961" s="74"/>
      <c r="AX6961" s="77"/>
      <c r="BA6961" s="497">
        <v>44.06</v>
      </c>
      <c r="BB6961" s="42"/>
      <c r="BC6961" s="74"/>
      <c r="BD6961" s="77"/>
      <c r="BF6961">
        <v>26.96</v>
      </c>
      <c r="BH6961" s="42"/>
      <c r="BI6961" s="74"/>
      <c r="BJ6961" s="77"/>
      <c r="BL6961" s="497">
        <v>26.060000000000002</v>
      </c>
      <c r="BN6961" s="42"/>
      <c r="BO6961" s="74"/>
      <c r="BP6961" s="77"/>
      <c r="BR6961" s="497">
        <v>41</v>
      </c>
      <c r="BT6961" s="42"/>
    </row>
    <row r="6962" spans="1:72" x14ac:dyDescent="0.25">
      <c r="A6962" s="90">
        <v>37181</v>
      </c>
      <c r="B6962" s="20">
        <v>0.33333333333333331</v>
      </c>
      <c r="D6962">
        <v>51.980000000000004</v>
      </c>
      <c r="E6962" t="str">
        <f t="shared" si="252"/>
        <v>WEEKDAY</v>
      </c>
      <c r="F6962" t="e">
        <f t="shared" si="253"/>
        <v>#N/A</v>
      </c>
      <c r="G6962" s="74">
        <v>29511</v>
      </c>
      <c r="H6962" s="77">
        <v>0.33333333333333331</v>
      </c>
      <c r="J6962">
        <v>63.319999999999993</v>
      </c>
      <c r="M6962" s="74">
        <v>36450</v>
      </c>
      <c r="N6962" s="77">
        <v>0.33333333333333331</v>
      </c>
      <c r="P6962">
        <v>57.2</v>
      </c>
      <c r="S6962" s="74">
        <v>37181</v>
      </c>
      <c r="T6962" s="77">
        <v>0.33333333333333331</v>
      </c>
      <c r="V6962">
        <v>51.980000000000004</v>
      </c>
      <c r="X6962" s="42"/>
      <c r="AB6962">
        <v>53.4</v>
      </c>
      <c r="AC6962">
        <v>53.06</v>
      </c>
      <c r="AE6962" s="74"/>
      <c r="AF6962" s="77"/>
      <c r="AH6962" s="497">
        <v>46.4</v>
      </c>
      <c r="AJ6962" s="42"/>
      <c r="AK6962" s="74"/>
      <c r="AL6962" s="77"/>
      <c r="AN6962" s="497">
        <v>42.980000000000004</v>
      </c>
      <c r="AP6962" s="42"/>
      <c r="AQ6962" s="74"/>
      <c r="AR6962" s="77"/>
      <c r="AT6962" s="497">
        <v>44.06</v>
      </c>
      <c r="AV6962" s="42"/>
      <c r="AW6962" s="74"/>
      <c r="AX6962" s="77"/>
      <c r="BA6962" s="497">
        <v>44.06</v>
      </c>
      <c r="BB6962" s="42"/>
      <c r="BC6962" s="74"/>
      <c r="BD6962" s="77"/>
      <c r="BF6962">
        <v>30.92</v>
      </c>
      <c r="BH6962" s="42"/>
      <c r="BI6962" s="74"/>
      <c r="BJ6962" s="77"/>
      <c r="BL6962" s="497">
        <v>32</v>
      </c>
      <c r="BN6962" s="42"/>
      <c r="BO6962" s="74"/>
      <c r="BP6962" s="77"/>
      <c r="BR6962" s="497">
        <v>42.980000000000004</v>
      </c>
      <c r="BT6962" s="42"/>
    </row>
    <row r="6963" spans="1:72" x14ac:dyDescent="0.25">
      <c r="A6963" s="90">
        <v>37181</v>
      </c>
      <c r="B6963" s="20">
        <v>0.375</v>
      </c>
      <c r="D6963">
        <v>53.06</v>
      </c>
      <c r="E6963" t="str">
        <f t="shared" si="252"/>
        <v>WEEKDAY</v>
      </c>
      <c r="F6963" t="e">
        <f t="shared" si="253"/>
        <v>#N/A</v>
      </c>
      <c r="G6963" s="74">
        <v>29511</v>
      </c>
      <c r="H6963" s="77">
        <v>0.375</v>
      </c>
      <c r="J6963">
        <v>66.740000000000009</v>
      </c>
      <c r="M6963" s="74">
        <v>36450</v>
      </c>
      <c r="N6963" s="77">
        <v>0.375</v>
      </c>
      <c r="P6963">
        <v>62.6</v>
      </c>
      <c r="S6963" s="74">
        <v>37181</v>
      </c>
      <c r="T6963" s="77">
        <v>0.375</v>
      </c>
      <c r="V6963">
        <v>53.06</v>
      </c>
      <c r="X6963" s="42"/>
      <c r="AB6963">
        <v>55.8</v>
      </c>
      <c r="AC6963">
        <v>53.96</v>
      </c>
      <c r="AE6963" s="74"/>
      <c r="AF6963" s="77"/>
      <c r="AH6963" s="497">
        <v>51.8</v>
      </c>
      <c r="AJ6963" s="42"/>
      <c r="AK6963" s="74"/>
      <c r="AL6963" s="77"/>
      <c r="AN6963" s="497">
        <v>42.980000000000004</v>
      </c>
      <c r="AP6963" s="42"/>
      <c r="AQ6963" s="74"/>
      <c r="AR6963" s="77"/>
      <c r="AT6963" s="497">
        <v>46.04</v>
      </c>
      <c r="AV6963" s="42"/>
      <c r="AW6963" s="74"/>
      <c r="AX6963" s="77"/>
      <c r="BA6963" s="497">
        <v>44.96</v>
      </c>
      <c r="BB6963" s="42"/>
      <c r="BC6963" s="74"/>
      <c r="BD6963" s="77"/>
      <c r="BF6963">
        <v>37.04</v>
      </c>
      <c r="BH6963" s="42"/>
      <c r="BI6963" s="74"/>
      <c r="BJ6963" s="77"/>
      <c r="BL6963" s="497">
        <v>37.04</v>
      </c>
      <c r="BN6963" s="42"/>
      <c r="BO6963" s="74"/>
      <c r="BP6963" s="77"/>
      <c r="BR6963" s="497">
        <v>44.96</v>
      </c>
      <c r="BT6963" s="42"/>
    </row>
    <row r="6964" spans="1:72" x14ac:dyDescent="0.25">
      <c r="A6964" s="90">
        <v>37181</v>
      </c>
      <c r="B6964" s="20">
        <v>0.41666666666666669</v>
      </c>
      <c r="D6964">
        <v>55.94</v>
      </c>
      <c r="E6964" t="str">
        <f t="shared" si="252"/>
        <v>WEEKDAY</v>
      </c>
      <c r="F6964" t="e">
        <f t="shared" si="253"/>
        <v>#N/A</v>
      </c>
      <c r="G6964" s="74">
        <v>29511</v>
      </c>
      <c r="H6964" s="77">
        <v>0.41666666666666669</v>
      </c>
      <c r="J6964">
        <v>69.98</v>
      </c>
      <c r="M6964" s="74">
        <v>36450</v>
      </c>
      <c r="N6964" s="77">
        <v>0.41666666666666669</v>
      </c>
      <c r="P6964">
        <v>64.400000000000006</v>
      </c>
      <c r="S6964" s="74">
        <v>37181</v>
      </c>
      <c r="T6964" s="77">
        <v>0.41666666666666669</v>
      </c>
      <c r="V6964">
        <v>55.040000000000006</v>
      </c>
      <c r="X6964" s="42"/>
      <c r="AB6964">
        <v>57.9</v>
      </c>
      <c r="AC6964">
        <v>55.040000000000006</v>
      </c>
      <c r="AE6964" s="74"/>
      <c r="AF6964" s="77"/>
      <c r="AH6964" s="497">
        <v>55.400000000000006</v>
      </c>
      <c r="AJ6964" s="42"/>
      <c r="AK6964" s="74"/>
      <c r="AL6964" s="77"/>
      <c r="AN6964" s="497">
        <v>44.06</v>
      </c>
      <c r="AP6964" s="42"/>
      <c r="AQ6964" s="74"/>
      <c r="AR6964" s="77"/>
      <c r="AT6964" s="497">
        <v>48.92</v>
      </c>
      <c r="AV6964" s="42"/>
      <c r="AW6964" s="74"/>
      <c r="AX6964" s="77"/>
      <c r="BA6964" s="497">
        <v>46.04</v>
      </c>
      <c r="BB6964" s="42"/>
      <c r="BC6964" s="74"/>
      <c r="BD6964" s="77"/>
      <c r="BF6964">
        <v>41</v>
      </c>
      <c r="BH6964" s="42"/>
      <c r="BI6964" s="74"/>
      <c r="BJ6964" s="77"/>
      <c r="BL6964" s="497">
        <v>41</v>
      </c>
      <c r="BN6964" s="42"/>
      <c r="BO6964" s="74"/>
      <c r="BP6964" s="77"/>
      <c r="BR6964" s="497">
        <v>46.94</v>
      </c>
      <c r="BT6964" s="42"/>
    </row>
    <row r="6965" spans="1:72" x14ac:dyDescent="0.25">
      <c r="A6965" s="90">
        <v>37181</v>
      </c>
      <c r="B6965" s="20">
        <v>0.45833333333333331</v>
      </c>
      <c r="D6965">
        <v>57.019999999999996</v>
      </c>
      <c r="E6965" t="str">
        <f t="shared" si="252"/>
        <v>WEEKDAY</v>
      </c>
      <c r="F6965" t="e">
        <f t="shared" si="253"/>
        <v>#N/A</v>
      </c>
      <c r="G6965" s="74">
        <v>29511</v>
      </c>
      <c r="H6965" s="77">
        <v>0.45833333333333331</v>
      </c>
      <c r="J6965">
        <v>71.960000000000008</v>
      </c>
      <c r="M6965" s="74">
        <v>36450</v>
      </c>
      <c r="N6965" s="77">
        <v>0.45833333333333331</v>
      </c>
      <c r="P6965">
        <v>66.2</v>
      </c>
      <c r="S6965" s="74">
        <v>37181</v>
      </c>
      <c r="T6965" s="77">
        <v>0.45833333333333331</v>
      </c>
      <c r="V6965">
        <v>57.019999999999996</v>
      </c>
      <c r="X6965" s="42"/>
      <c r="AB6965">
        <v>59.6</v>
      </c>
      <c r="AC6965">
        <v>55.94</v>
      </c>
      <c r="AE6965" s="74"/>
      <c r="AF6965" s="77"/>
      <c r="AH6965" s="497">
        <v>55.400000000000006</v>
      </c>
      <c r="AJ6965" s="42"/>
      <c r="AK6965" s="74"/>
      <c r="AL6965" s="77"/>
      <c r="AN6965" s="497">
        <v>44.96</v>
      </c>
      <c r="AP6965" s="42"/>
      <c r="AQ6965" s="74"/>
      <c r="AR6965" s="77"/>
      <c r="AT6965" s="497">
        <v>53.06</v>
      </c>
      <c r="AV6965" s="42"/>
      <c r="AW6965" s="74"/>
      <c r="AX6965" s="77"/>
      <c r="BA6965" s="497">
        <v>46.04</v>
      </c>
      <c r="BB6965" s="42"/>
      <c r="BC6965" s="74"/>
      <c r="BD6965" s="77"/>
      <c r="BF6965">
        <v>42.980000000000004</v>
      </c>
      <c r="BH6965" s="42"/>
      <c r="BI6965" s="74"/>
      <c r="BJ6965" s="77"/>
      <c r="BL6965" s="497">
        <v>44.06</v>
      </c>
      <c r="BN6965" s="42"/>
      <c r="BO6965" s="74"/>
      <c r="BP6965" s="77"/>
      <c r="BR6965" s="497">
        <v>46.94</v>
      </c>
      <c r="BT6965" s="42"/>
    </row>
    <row r="6966" spans="1:72" x14ac:dyDescent="0.25">
      <c r="A6966" s="90">
        <v>37181</v>
      </c>
      <c r="B6966" s="20">
        <v>0.5</v>
      </c>
      <c r="D6966">
        <v>57.019999999999996</v>
      </c>
      <c r="E6966" t="str">
        <f t="shared" si="252"/>
        <v>WEEKDAY</v>
      </c>
      <c r="F6966" t="e">
        <f t="shared" si="253"/>
        <v>#N/A</v>
      </c>
      <c r="G6966" s="74">
        <v>29511</v>
      </c>
      <c r="H6966" s="77">
        <v>0.5</v>
      </c>
      <c r="J6966">
        <v>73.94</v>
      </c>
      <c r="M6966" s="74">
        <v>36450</v>
      </c>
      <c r="N6966" s="77">
        <v>0.5</v>
      </c>
      <c r="P6966">
        <v>73.400000000000006</v>
      </c>
      <c r="S6966" s="74">
        <v>37181</v>
      </c>
      <c r="T6966" s="77">
        <v>0.5</v>
      </c>
      <c r="V6966">
        <v>57.019999999999996</v>
      </c>
      <c r="X6966" s="42"/>
      <c r="AB6966">
        <v>61</v>
      </c>
      <c r="AC6966">
        <v>57.019999999999996</v>
      </c>
      <c r="AE6966" s="74"/>
      <c r="AF6966" s="77"/>
      <c r="AH6966" s="497">
        <v>55.400000000000006</v>
      </c>
      <c r="AJ6966" s="42"/>
      <c r="AK6966" s="74"/>
      <c r="AL6966" s="77"/>
      <c r="AN6966" s="497">
        <v>44.96</v>
      </c>
      <c r="AP6966" s="42"/>
      <c r="AQ6966" s="74"/>
      <c r="AR6966" s="77"/>
      <c r="AT6966" s="497">
        <v>53.96</v>
      </c>
      <c r="AV6966" s="42"/>
      <c r="AW6966" s="74"/>
      <c r="AX6966" s="77"/>
      <c r="BA6966" s="497">
        <v>44.96</v>
      </c>
      <c r="BB6966" s="42"/>
      <c r="BC6966" s="74"/>
      <c r="BD6966" s="77"/>
      <c r="BF6966">
        <v>44.96</v>
      </c>
      <c r="BH6966" s="42"/>
      <c r="BI6966" s="74"/>
      <c r="BJ6966" s="77"/>
      <c r="BL6966" s="497">
        <v>46.94</v>
      </c>
      <c r="BN6966" s="42"/>
      <c r="BO6966" s="74"/>
      <c r="BP6966" s="77"/>
      <c r="BR6966" s="497">
        <v>48.019999999999996</v>
      </c>
      <c r="BT6966" s="42"/>
    </row>
    <row r="6967" spans="1:72" x14ac:dyDescent="0.25">
      <c r="A6967" s="90">
        <v>37181</v>
      </c>
      <c r="B6967" s="20">
        <v>0.54166666666666663</v>
      </c>
      <c r="D6967">
        <v>57.92</v>
      </c>
      <c r="E6967" t="str">
        <f t="shared" si="252"/>
        <v>WEEKDAY</v>
      </c>
      <c r="F6967" t="e">
        <f t="shared" si="253"/>
        <v>#N/A</v>
      </c>
      <c r="G6967" s="74">
        <v>29511</v>
      </c>
      <c r="H6967" s="77">
        <v>0.54166666666666663</v>
      </c>
      <c r="J6967">
        <v>75.92</v>
      </c>
      <c r="M6967" s="74">
        <v>36450</v>
      </c>
      <c r="N6967" s="77">
        <v>0.54166666666666663</v>
      </c>
      <c r="P6967">
        <v>68</v>
      </c>
      <c r="S6967" s="74">
        <v>37181</v>
      </c>
      <c r="T6967" s="77">
        <v>0.54166666666666663</v>
      </c>
      <c r="V6967">
        <v>57.92</v>
      </c>
      <c r="X6967" s="42"/>
      <c r="AB6967">
        <v>62</v>
      </c>
      <c r="AC6967">
        <v>57.019999999999996</v>
      </c>
      <c r="AE6967" s="74"/>
      <c r="AF6967" s="77"/>
      <c r="AH6967" s="497">
        <v>57.2</v>
      </c>
      <c r="AJ6967" s="42"/>
      <c r="AK6967" s="74"/>
      <c r="AL6967" s="77"/>
      <c r="AN6967" s="497">
        <v>46.04</v>
      </c>
      <c r="AP6967" s="42"/>
      <c r="AQ6967" s="74"/>
      <c r="AR6967" s="77"/>
      <c r="AT6967" s="497">
        <v>55.040000000000006</v>
      </c>
      <c r="AV6967" s="42"/>
      <c r="AW6967" s="74"/>
      <c r="AX6967" s="77"/>
      <c r="BA6967" s="497">
        <v>46.04</v>
      </c>
      <c r="BB6967" s="42"/>
      <c r="BC6967" s="74"/>
      <c r="BD6967" s="77"/>
      <c r="BF6967">
        <v>46.04</v>
      </c>
      <c r="BH6967" s="42"/>
      <c r="BI6967" s="74"/>
      <c r="BJ6967" s="77"/>
      <c r="BL6967" s="497">
        <v>46.94</v>
      </c>
      <c r="BN6967" s="42"/>
      <c r="BO6967" s="74"/>
      <c r="BP6967" s="77"/>
      <c r="BR6967" s="497">
        <v>48.92</v>
      </c>
      <c r="BT6967" s="42"/>
    </row>
    <row r="6968" spans="1:72" x14ac:dyDescent="0.25">
      <c r="A6968" s="90">
        <v>37181</v>
      </c>
      <c r="B6968" s="20">
        <v>0.58333333333333337</v>
      </c>
      <c r="D6968">
        <v>57.92</v>
      </c>
      <c r="E6968" t="str">
        <f t="shared" si="252"/>
        <v>WEEKDAY</v>
      </c>
      <c r="F6968" t="e">
        <f t="shared" si="253"/>
        <v>#N/A</v>
      </c>
      <c r="G6968" s="74">
        <v>29511</v>
      </c>
      <c r="H6968" s="77">
        <v>0.58333333333333337</v>
      </c>
      <c r="J6968">
        <v>73.94</v>
      </c>
      <c r="M6968" s="74">
        <v>36450</v>
      </c>
      <c r="N6968" s="77">
        <v>0.58333333333333337</v>
      </c>
      <c r="P6968">
        <v>67.28</v>
      </c>
      <c r="S6968" s="74">
        <v>37181</v>
      </c>
      <c r="T6968" s="77">
        <v>0.58333333333333337</v>
      </c>
      <c r="V6968">
        <v>59</v>
      </c>
      <c r="X6968" s="42"/>
      <c r="AB6968">
        <v>62.6</v>
      </c>
      <c r="AC6968">
        <v>57.019999999999996</v>
      </c>
      <c r="AE6968" s="74"/>
      <c r="AF6968" s="77"/>
      <c r="AH6968" s="497">
        <v>57.2</v>
      </c>
      <c r="AJ6968" s="42"/>
      <c r="AK6968" s="74"/>
      <c r="AL6968" s="77"/>
      <c r="AN6968" s="497">
        <v>46.04</v>
      </c>
      <c r="AP6968" s="42"/>
      <c r="AQ6968" s="74"/>
      <c r="AR6968" s="77"/>
      <c r="AT6968" s="497">
        <v>55.040000000000006</v>
      </c>
      <c r="AV6968" s="42"/>
      <c r="AW6968" s="74"/>
      <c r="AX6968" s="77"/>
      <c r="BA6968" s="497">
        <v>46.94</v>
      </c>
      <c r="BB6968" s="42"/>
      <c r="BC6968" s="74"/>
      <c r="BD6968" s="77"/>
      <c r="BF6968">
        <v>48.019999999999996</v>
      </c>
      <c r="BH6968" s="42"/>
      <c r="BI6968" s="74"/>
      <c r="BJ6968" s="77"/>
      <c r="BL6968" s="497">
        <v>48.92</v>
      </c>
      <c r="BN6968" s="42"/>
      <c r="BO6968" s="74"/>
      <c r="BP6968" s="77"/>
      <c r="BR6968" s="497">
        <v>48.92</v>
      </c>
      <c r="BT6968" s="42"/>
    </row>
    <row r="6969" spans="1:72" x14ac:dyDescent="0.25">
      <c r="A6969" s="90">
        <v>37181</v>
      </c>
      <c r="B6969" s="20">
        <v>0.625</v>
      </c>
      <c r="D6969">
        <v>57.019999999999996</v>
      </c>
      <c r="E6969" t="str">
        <f t="shared" si="252"/>
        <v>WEEKDAY</v>
      </c>
      <c r="F6969" t="e">
        <f t="shared" si="253"/>
        <v>#N/A</v>
      </c>
      <c r="G6969" s="74">
        <v>29511</v>
      </c>
      <c r="H6969" s="77">
        <v>0.625</v>
      </c>
      <c r="J6969">
        <v>71.960000000000008</v>
      </c>
      <c r="M6969" s="74">
        <v>36450</v>
      </c>
      <c r="N6969" s="77">
        <v>0.625</v>
      </c>
      <c r="P6969">
        <v>66.2</v>
      </c>
      <c r="S6969" s="74">
        <v>37181</v>
      </c>
      <c r="T6969" s="77">
        <v>0.625</v>
      </c>
      <c r="V6969">
        <v>57.019999999999996</v>
      </c>
      <c r="X6969" s="42"/>
      <c r="AB6969">
        <v>62.8</v>
      </c>
      <c r="AC6969">
        <v>57.019999999999996</v>
      </c>
      <c r="AE6969" s="74"/>
      <c r="AF6969" s="77"/>
      <c r="AH6969" s="497">
        <v>57.2</v>
      </c>
      <c r="AJ6969" s="42"/>
      <c r="AK6969" s="74"/>
      <c r="AL6969" s="77"/>
      <c r="AN6969" s="497">
        <v>44.96</v>
      </c>
      <c r="AP6969" s="42"/>
      <c r="AQ6969" s="74"/>
      <c r="AR6969" s="77"/>
      <c r="AT6969" s="497">
        <v>53.96</v>
      </c>
      <c r="AV6969" s="42"/>
      <c r="AW6969" s="74"/>
      <c r="AX6969" s="77"/>
      <c r="BA6969" s="497">
        <v>46.94</v>
      </c>
      <c r="BB6969" s="42"/>
      <c r="BC6969" s="74"/>
      <c r="BD6969" s="77"/>
      <c r="BF6969">
        <v>48.92</v>
      </c>
      <c r="BH6969" s="42"/>
      <c r="BI6969" s="74"/>
      <c r="BJ6969" s="77"/>
      <c r="BL6969" s="497">
        <v>48.92</v>
      </c>
      <c r="BN6969" s="42"/>
      <c r="BO6969" s="74"/>
      <c r="BP6969" s="77"/>
      <c r="BR6969" s="497">
        <v>50</v>
      </c>
      <c r="BT6969" s="42"/>
    </row>
    <row r="6970" spans="1:72" x14ac:dyDescent="0.25">
      <c r="A6970" s="90">
        <v>37181</v>
      </c>
      <c r="B6970" s="20">
        <v>0.66666666666666663</v>
      </c>
      <c r="D6970">
        <v>55.94</v>
      </c>
      <c r="E6970" t="str">
        <f t="shared" si="252"/>
        <v>WEEKDAY</v>
      </c>
      <c r="F6970" t="e">
        <f t="shared" si="253"/>
        <v>#N/A</v>
      </c>
      <c r="G6970" s="74">
        <v>29511</v>
      </c>
      <c r="H6970" s="77">
        <v>0.66666666666666663</v>
      </c>
      <c r="J6970">
        <v>69.98</v>
      </c>
      <c r="M6970" s="74">
        <v>36450</v>
      </c>
      <c r="N6970" s="77">
        <v>0.66666666666666663</v>
      </c>
      <c r="P6970">
        <v>66.2</v>
      </c>
      <c r="S6970" s="74">
        <v>37181</v>
      </c>
      <c r="T6970" s="77">
        <v>0.66666666666666663</v>
      </c>
      <c r="V6970">
        <v>55.94</v>
      </c>
      <c r="X6970" s="42"/>
      <c r="AB6970">
        <v>62.6</v>
      </c>
      <c r="AC6970">
        <v>55.94</v>
      </c>
      <c r="AE6970" s="74"/>
      <c r="AF6970" s="77"/>
      <c r="AH6970" s="497">
        <v>55.400000000000006</v>
      </c>
      <c r="AJ6970" s="42"/>
      <c r="AK6970" s="74"/>
      <c r="AL6970" s="77"/>
      <c r="AN6970" s="497">
        <v>46.04</v>
      </c>
      <c r="AP6970" s="42"/>
      <c r="AQ6970" s="74"/>
      <c r="AR6970" s="77"/>
      <c r="AT6970" s="497">
        <v>53.06</v>
      </c>
      <c r="AV6970" s="42"/>
      <c r="AW6970" s="74"/>
      <c r="AX6970" s="77"/>
      <c r="BA6970" s="497">
        <v>48.019999999999996</v>
      </c>
      <c r="BB6970" s="42"/>
      <c r="BC6970" s="74"/>
      <c r="BD6970" s="77"/>
      <c r="BF6970">
        <v>48.019999999999996</v>
      </c>
      <c r="BH6970" s="42"/>
      <c r="BI6970" s="74"/>
      <c r="BJ6970" s="77"/>
      <c r="BL6970" s="497">
        <v>48.92</v>
      </c>
      <c r="BN6970" s="42"/>
      <c r="BO6970" s="74"/>
      <c r="BP6970" s="77"/>
      <c r="BR6970" s="497">
        <v>48.019999999999996</v>
      </c>
      <c r="BT6970" s="42"/>
    </row>
    <row r="6971" spans="1:72" x14ac:dyDescent="0.25">
      <c r="A6971" s="90">
        <v>37181</v>
      </c>
      <c r="B6971" s="20">
        <v>0.70833333333333337</v>
      </c>
      <c r="D6971">
        <v>55.040000000000006</v>
      </c>
      <c r="E6971" t="str">
        <f t="shared" si="252"/>
        <v>WEEKDAY</v>
      </c>
      <c r="F6971" t="e">
        <f t="shared" si="253"/>
        <v>#N/A</v>
      </c>
      <c r="G6971" s="74">
        <v>29511</v>
      </c>
      <c r="H6971" s="77">
        <v>0.70833333333333337</v>
      </c>
      <c r="J6971">
        <v>68.900000000000006</v>
      </c>
      <c r="M6971" s="74">
        <v>36450</v>
      </c>
      <c r="N6971" s="77">
        <v>0.70833333333333337</v>
      </c>
      <c r="P6971">
        <v>66.2</v>
      </c>
      <c r="S6971" s="74">
        <v>37181</v>
      </c>
      <c r="T6971" s="77">
        <v>0.70833333333333337</v>
      </c>
      <c r="V6971">
        <v>53.96</v>
      </c>
      <c r="X6971" s="42"/>
      <c r="AB6971">
        <v>61.6</v>
      </c>
      <c r="AC6971">
        <v>55.040000000000006</v>
      </c>
      <c r="AE6971" s="74"/>
      <c r="AF6971" s="77"/>
      <c r="AH6971" s="497">
        <v>53.6</v>
      </c>
      <c r="AJ6971" s="42"/>
      <c r="AK6971" s="74"/>
      <c r="AL6971" s="77"/>
      <c r="AN6971" s="497">
        <v>44.96</v>
      </c>
      <c r="AP6971" s="42"/>
      <c r="AQ6971" s="74"/>
      <c r="AR6971" s="77"/>
      <c r="AT6971" s="497">
        <v>50</v>
      </c>
      <c r="AV6971" s="42"/>
      <c r="AW6971" s="74"/>
      <c r="AX6971" s="77"/>
      <c r="BA6971" s="497">
        <v>46.94</v>
      </c>
      <c r="BB6971" s="42"/>
      <c r="BC6971" s="74"/>
      <c r="BD6971" s="77"/>
      <c r="BF6971">
        <v>46.94</v>
      </c>
      <c r="BH6971" s="42"/>
      <c r="BI6971" s="74"/>
      <c r="BJ6971" s="77"/>
      <c r="BL6971" s="497">
        <v>44.96</v>
      </c>
      <c r="BN6971" s="42"/>
      <c r="BO6971" s="74"/>
      <c r="BP6971" s="77"/>
      <c r="BR6971" s="497">
        <v>46.94</v>
      </c>
      <c r="BT6971" s="42"/>
    </row>
    <row r="6972" spans="1:72" x14ac:dyDescent="0.25">
      <c r="A6972" s="90">
        <v>37181</v>
      </c>
      <c r="B6972" s="20">
        <v>0.75</v>
      </c>
      <c r="D6972">
        <v>53.96</v>
      </c>
      <c r="E6972" t="str">
        <f t="shared" si="252"/>
        <v>WEEKDAY</v>
      </c>
      <c r="F6972" t="e">
        <f t="shared" si="253"/>
        <v>#N/A</v>
      </c>
      <c r="G6972" s="74">
        <v>29511</v>
      </c>
      <c r="H6972" s="77">
        <v>0.75</v>
      </c>
      <c r="J6972">
        <v>68</v>
      </c>
      <c r="M6972" s="74">
        <v>36450</v>
      </c>
      <c r="N6972" s="77">
        <v>0.75</v>
      </c>
      <c r="P6972">
        <v>64.400000000000006</v>
      </c>
      <c r="S6972" s="74">
        <v>37181</v>
      </c>
      <c r="T6972" s="77">
        <v>0.75</v>
      </c>
      <c r="V6972">
        <v>51.980000000000004</v>
      </c>
      <c r="X6972" s="42"/>
      <c r="AB6972">
        <v>60</v>
      </c>
      <c r="AC6972">
        <v>55.040000000000006</v>
      </c>
      <c r="AE6972" s="74"/>
      <c r="AF6972" s="77"/>
      <c r="AH6972" s="497">
        <v>51.8</v>
      </c>
      <c r="AJ6972" s="42"/>
      <c r="AK6972" s="74"/>
      <c r="AL6972" s="77"/>
      <c r="AN6972" s="497">
        <v>44.96</v>
      </c>
      <c r="AP6972" s="42"/>
      <c r="AQ6972" s="74"/>
      <c r="AR6972" s="77"/>
      <c r="AT6972" s="497">
        <v>48.92</v>
      </c>
      <c r="AV6972" s="42"/>
      <c r="AW6972" s="74"/>
      <c r="AX6972" s="77"/>
      <c r="BA6972" s="497">
        <v>46.94</v>
      </c>
      <c r="BB6972" s="42"/>
      <c r="BC6972" s="74"/>
      <c r="BD6972" s="77"/>
      <c r="BF6972">
        <v>44.06</v>
      </c>
      <c r="BH6972" s="42"/>
      <c r="BI6972" s="74"/>
      <c r="BJ6972" s="77"/>
      <c r="BL6972" s="497">
        <v>39.92</v>
      </c>
      <c r="BN6972" s="42"/>
      <c r="BO6972" s="74"/>
      <c r="BP6972" s="77"/>
      <c r="BR6972" s="497">
        <v>46.04</v>
      </c>
      <c r="BT6972" s="42"/>
    </row>
    <row r="6973" spans="1:72" x14ac:dyDescent="0.25">
      <c r="A6973" s="90">
        <v>37181</v>
      </c>
      <c r="B6973" s="20">
        <v>0.79166666666666663</v>
      </c>
      <c r="D6973">
        <v>51.980000000000004</v>
      </c>
      <c r="E6973" t="str">
        <f t="shared" si="252"/>
        <v>WEEKDAY</v>
      </c>
      <c r="F6973" t="e">
        <f t="shared" si="253"/>
        <v>#N/A</v>
      </c>
      <c r="G6973" s="74">
        <v>29511</v>
      </c>
      <c r="H6973" s="77">
        <v>0.79166666666666663</v>
      </c>
      <c r="J6973">
        <v>66.92</v>
      </c>
      <c r="M6973" s="74">
        <v>36450</v>
      </c>
      <c r="N6973" s="77">
        <v>0.79166666666666663</v>
      </c>
      <c r="P6973">
        <v>60.8</v>
      </c>
      <c r="S6973" s="74">
        <v>37181</v>
      </c>
      <c r="T6973" s="77">
        <v>0.79166666666666663</v>
      </c>
      <c r="V6973">
        <v>51.980000000000004</v>
      </c>
      <c r="X6973" s="42"/>
      <c r="AB6973">
        <v>58.9</v>
      </c>
      <c r="AC6973">
        <v>55.040000000000006</v>
      </c>
      <c r="AE6973" s="74"/>
      <c r="AF6973" s="77"/>
      <c r="AH6973" s="497">
        <v>51.8</v>
      </c>
      <c r="AJ6973" s="42"/>
      <c r="AK6973" s="74"/>
      <c r="AL6973" s="77"/>
      <c r="AN6973" s="497">
        <v>44.06</v>
      </c>
      <c r="AP6973" s="42"/>
      <c r="AQ6973" s="74"/>
      <c r="AR6973" s="77"/>
      <c r="AT6973" s="497">
        <v>48.92</v>
      </c>
      <c r="AV6973" s="42"/>
      <c r="AW6973" s="74"/>
      <c r="AX6973" s="77"/>
      <c r="BA6973" s="497">
        <v>46.04</v>
      </c>
      <c r="BB6973" s="42"/>
      <c r="BC6973" s="74"/>
      <c r="BD6973" s="77"/>
      <c r="BF6973">
        <v>39.019999999999996</v>
      </c>
      <c r="BH6973" s="42"/>
      <c r="BI6973" s="74"/>
      <c r="BJ6973" s="77"/>
      <c r="BL6973" s="497">
        <v>39.019999999999996</v>
      </c>
      <c r="BN6973" s="42"/>
      <c r="BO6973" s="74"/>
      <c r="BP6973" s="77"/>
      <c r="BR6973" s="497">
        <v>44.96</v>
      </c>
      <c r="BT6973" s="42"/>
    </row>
    <row r="6974" spans="1:72" x14ac:dyDescent="0.25">
      <c r="A6974" s="90">
        <v>37181</v>
      </c>
      <c r="B6974" s="20">
        <v>0.83333333333333337</v>
      </c>
      <c r="D6974">
        <v>51.980000000000004</v>
      </c>
      <c r="E6974" t="str">
        <f t="shared" si="252"/>
        <v>WEEKDAY</v>
      </c>
      <c r="F6974" t="e">
        <f t="shared" si="253"/>
        <v>#N/A</v>
      </c>
      <c r="G6974" s="74">
        <v>29511</v>
      </c>
      <c r="H6974" s="77">
        <v>0.83333333333333337</v>
      </c>
      <c r="J6974">
        <v>66.2</v>
      </c>
      <c r="M6974" s="74">
        <v>36450</v>
      </c>
      <c r="N6974" s="77">
        <v>0.83333333333333337</v>
      </c>
      <c r="P6974">
        <v>60.8</v>
      </c>
      <c r="S6974" s="74">
        <v>37181</v>
      </c>
      <c r="T6974" s="77">
        <v>0.83333333333333337</v>
      </c>
      <c r="V6974">
        <v>51.08</v>
      </c>
      <c r="X6974" s="42"/>
      <c r="AB6974">
        <v>58.3</v>
      </c>
      <c r="AC6974">
        <v>55.040000000000006</v>
      </c>
      <c r="AE6974" s="74"/>
      <c r="AF6974" s="77"/>
      <c r="AH6974" s="497">
        <v>50</v>
      </c>
      <c r="AJ6974" s="42"/>
      <c r="AK6974" s="74"/>
      <c r="AL6974" s="77"/>
      <c r="AN6974" s="497">
        <v>44.06</v>
      </c>
      <c r="AP6974" s="42"/>
      <c r="AQ6974" s="74"/>
      <c r="AR6974" s="77"/>
      <c r="AT6974" s="497">
        <v>48.019999999999996</v>
      </c>
      <c r="AV6974" s="42"/>
      <c r="AW6974" s="74"/>
      <c r="AX6974" s="77"/>
      <c r="BA6974" s="497">
        <v>46.04</v>
      </c>
      <c r="BB6974" s="42"/>
      <c r="BC6974" s="74"/>
      <c r="BD6974" s="77"/>
      <c r="BF6974">
        <v>37.04</v>
      </c>
      <c r="BH6974" s="42"/>
      <c r="BI6974" s="74"/>
      <c r="BJ6974" s="77"/>
      <c r="BL6974" s="497">
        <v>39.019999999999996</v>
      </c>
      <c r="BN6974" s="42"/>
      <c r="BO6974" s="74"/>
      <c r="BP6974" s="77"/>
      <c r="BR6974" s="497">
        <v>44.06</v>
      </c>
      <c r="BT6974" s="42"/>
    </row>
    <row r="6975" spans="1:72" x14ac:dyDescent="0.25">
      <c r="A6975" s="90">
        <v>37181</v>
      </c>
      <c r="B6975" s="20">
        <v>0.875</v>
      </c>
      <c r="D6975">
        <v>51.08</v>
      </c>
      <c r="E6975" t="str">
        <f t="shared" si="252"/>
        <v>WEEKDAY</v>
      </c>
      <c r="F6975" t="e">
        <f t="shared" si="253"/>
        <v>#N/A</v>
      </c>
      <c r="G6975" s="74">
        <v>29511</v>
      </c>
      <c r="H6975" s="77">
        <v>0.875</v>
      </c>
      <c r="J6975">
        <v>65.66</v>
      </c>
      <c r="M6975" s="74">
        <v>36450</v>
      </c>
      <c r="N6975" s="77">
        <v>0.875</v>
      </c>
      <c r="P6975">
        <v>60.8</v>
      </c>
      <c r="S6975" s="74">
        <v>37181</v>
      </c>
      <c r="T6975" s="77">
        <v>0.875</v>
      </c>
      <c r="V6975">
        <v>50</v>
      </c>
      <c r="X6975" s="42"/>
      <c r="AB6975">
        <v>57.5</v>
      </c>
      <c r="AC6975">
        <v>53.96</v>
      </c>
      <c r="AE6975" s="74"/>
      <c r="AF6975" s="77"/>
      <c r="AH6975" s="497">
        <v>48.2</v>
      </c>
      <c r="AJ6975" s="42"/>
      <c r="AK6975" s="74"/>
      <c r="AL6975" s="77"/>
      <c r="AN6975" s="497">
        <v>42.980000000000004</v>
      </c>
      <c r="AP6975" s="42"/>
      <c r="AQ6975" s="74"/>
      <c r="AR6975" s="77"/>
      <c r="AT6975" s="497">
        <v>46.94</v>
      </c>
      <c r="AV6975" s="42"/>
      <c r="AW6975" s="74"/>
      <c r="AX6975" s="77"/>
      <c r="BA6975" s="497">
        <v>44.96</v>
      </c>
      <c r="BB6975" s="42"/>
      <c r="BC6975" s="74"/>
      <c r="BD6975" s="77"/>
      <c r="BF6975">
        <v>35.96</v>
      </c>
      <c r="BH6975" s="42"/>
      <c r="BI6975" s="74"/>
      <c r="BJ6975" s="77"/>
      <c r="BL6975" s="497">
        <v>37.04</v>
      </c>
      <c r="BN6975" s="42"/>
      <c r="BO6975" s="74"/>
      <c r="BP6975" s="77"/>
      <c r="BR6975" s="497">
        <v>44.06</v>
      </c>
      <c r="BT6975" s="42"/>
    </row>
    <row r="6976" spans="1:72" x14ac:dyDescent="0.25">
      <c r="A6976" s="90">
        <v>37181</v>
      </c>
      <c r="B6976" s="20">
        <v>0.91666666666666663</v>
      </c>
      <c r="D6976">
        <v>50</v>
      </c>
      <c r="E6976" t="str">
        <f t="shared" si="252"/>
        <v>WEEKDAY</v>
      </c>
      <c r="F6976" t="e">
        <f t="shared" si="253"/>
        <v>#N/A</v>
      </c>
      <c r="G6976" s="74">
        <v>29511</v>
      </c>
      <c r="H6976" s="77">
        <v>0.91666666666666663</v>
      </c>
      <c r="J6976">
        <v>64.94</v>
      </c>
      <c r="M6976" s="74">
        <v>36450</v>
      </c>
      <c r="N6976" s="77">
        <v>0.91666666666666663</v>
      </c>
      <c r="P6976">
        <v>60.8</v>
      </c>
      <c r="S6976" s="74">
        <v>37181</v>
      </c>
      <c r="T6976" s="77">
        <v>0.91666666666666663</v>
      </c>
      <c r="V6976">
        <v>48.92</v>
      </c>
      <c r="X6976" s="42"/>
      <c r="AB6976">
        <v>57</v>
      </c>
      <c r="AC6976">
        <v>53.96</v>
      </c>
      <c r="AE6976" s="74"/>
      <c r="AF6976" s="77"/>
      <c r="AH6976" s="497">
        <v>48.2</v>
      </c>
      <c r="AJ6976" s="42"/>
      <c r="AK6976" s="74"/>
      <c r="AL6976" s="77"/>
      <c r="AN6976" s="497">
        <v>42.980000000000004</v>
      </c>
      <c r="AP6976" s="42"/>
      <c r="AQ6976" s="74"/>
      <c r="AR6976" s="77"/>
      <c r="AT6976" s="497">
        <v>46.94</v>
      </c>
      <c r="AV6976" s="42"/>
      <c r="AW6976" s="74"/>
      <c r="AX6976" s="77"/>
      <c r="BA6976" s="497">
        <v>44.06</v>
      </c>
      <c r="BB6976" s="42"/>
      <c r="BC6976" s="74"/>
      <c r="BD6976" s="77"/>
      <c r="BF6976">
        <v>35.06</v>
      </c>
      <c r="BH6976" s="42"/>
      <c r="BI6976" s="74"/>
      <c r="BJ6976" s="77"/>
      <c r="BL6976" s="497">
        <v>35.96</v>
      </c>
      <c r="BN6976" s="42"/>
      <c r="BO6976" s="74"/>
      <c r="BP6976" s="77"/>
      <c r="BR6976" s="497">
        <v>42.980000000000004</v>
      </c>
      <c r="BT6976" s="42"/>
    </row>
    <row r="6977" spans="1:72" x14ac:dyDescent="0.25">
      <c r="A6977" s="90">
        <v>37181</v>
      </c>
      <c r="B6977" s="20">
        <v>0.95833333333333337</v>
      </c>
      <c r="D6977">
        <v>50</v>
      </c>
      <c r="E6977" t="str">
        <f t="shared" si="252"/>
        <v>WEEKDAY</v>
      </c>
      <c r="F6977" t="e">
        <f t="shared" si="253"/>
        <v>#N/A</v>
      </c>
      <c r="G6977" s="74">
        <v>29511</v>
      </c>
      <c r="H6977" s="77">
        <v>0.95833333333333337</v>
      </c>
      <c r="J6977">
        <v>64.94</v>
      </c>
      <c r="M6977" s="74">
        <v>36450</v>
      </c>
      <c r="N6977" s="77">
        <v>0.95833333333333337</v>
      </c>
      <c r="P6977">
        <v>60.8</v>
      </c>
      <c r="S6977" s="74">
        <v>37181</v>
      </c>
      <c r="T6977" s="77">
        <v>0.95833333333333337</v>
      </c>
      <c r="V6977">
        <v>48.019999999999996</v>
      </c>
      <c r="X6977" s="42"/>
      <c r="AB6977">
        <v>56.2</v>
      </c>
      <c r="AC6977">
        <v>53.96</v>
      </c>
      <c r="AE6977" s="74"/>
      <c r="AF6977" s="77"/>
      <c r="AH6977" s="497">
        <v>48.2</v>
      </c>
      <c r="AJ6977" s="42"/>
      <c r="AK6977" s="74"/>
      <c r="AL6977" s="77"/>
      <c r="AN6977" s="497">
        <v>42.980000000000004</v>
      </c>
      <c r="AP6977" s="42"/>
      <c r="AQ6977" s="74"/>
      <c r="AR6977" s="77"/>
      <c r="AT6977" s="497">
        <v>46.04</v>
      </c>
      <c r="AV6977" s="42"/>
      <c r="AW6977" s="74"/>
      <c r="AX6977" s="77"/>
      <c r="BA6977" s="497">
        <v>44.06</v>
      </c>
      <c r="BB6977" s="42"/>
      <c r="BC6977" s="74"/>
      <c r="BD6977" s="77"/>
      <c r="BF6977">
        <v>35.06</v>
      </c>
      <c r="BH6977" s="42"/>
      <c r="BI6977" s="74"/>
      <c r="BJ6977" s="77"/>
      <c r="BL6977" s="497">
        <v>33.979999999999997</v>
      </c>
      <c r="BN6977" s="42"/>
      <c r="BO6977" s="74"/>
      <c r="BP6977" s="77"/>
      <c r="BR6977" s="497">
        <v>42.08</v>
      </c>
      <c r="BT6977" s="42"/>
    </row>
    <row r="6978" spans="1:72" x14ac:dyDescent="0.25">
      <c r="A6978" s="90">
        <v>37181</v>
      </c>
      <c r="B6978" s="20">
        <v>1</v>
      </c>
      <c r="D6978">
        <v>48.019999999999996</v>
      </c>
      <c r="E6978" t="str">
        <f t="shared" si="252"/>
        <v>WEEKDAY</v>
      </c>
      <c r="F6978" t="e">
        <f t="shared" si="253"/>
        <v>#N/A</v>
      </c>
      <c r="G6978" s="74">
        <v>29511</v>
      </c>
      <c r="H6978" s="77">
        <v>1</v>
      </c>
      <c r="J6978">
        <v>64.94</v>
      </c>
      <c r="M6978" s="74">
        <v>36450</v>
      </c>
      <c r="N6978" s="80">
        <v>1</v>
      </c>
      <c r="P6978">
        <v>59</v>
      </c>
      <c r="S6978" s="74">
        <v>37181</v>
      </c>
      <c r="T6978" s="80">
        <v>1</v>
      </c>
      <c r="V6978">
        <v>46.94</v>
      </c>
      <c r="X6978" s="42"/>
      <c r="AB6978">
        <v>55.6</v>
      </c>
      <c r="AC6978">
        <v>53.96</v>
      </c>
      <c r="AE6978" s="74"/>
      <c r="AF6978" s="80"/>
      <c r="AH6978" s="497">
        <v>48.2</v>
      </c>
      <c r="AJ6978" s="42"/>
      <c r="AK6978" s="74"/>
      <c r="AL6978" s="80"/>
      <c r="AN6978" s="497">
        <v>42.08</v>
      </c>
      <c r="AP6978" s="42"/>
      <c r="AQ6978" s="74"/>
      <c r="AR6978" s="80"/>
      <c r="AT6978" s="497">
        <v>44.96</v>
      </c>
      <c r="AV6978" s="42"/>
      <c r="AW6978" s="74"/>
      <c r="AX6978" s="80"/>
      <c r="BA6978" s="497">
        <v>42.980000000000004</v>
      </c>
      <c r="BB6978" s="42"/>
      <c r="BC6978" s="74"/>
      <c r="BD6978" s="80"/>
      <c r="BF6978">
        <v>35.06</v>
      </c>
      <c r="BH6978" s="42"/>
      <c r="BI6978" s="74"/>
      <c r="BJ6978" s="80"/>
      <c r="BL6978" s="497">
        <v>33.979999999999997</v>
      </c>
      <c r="BN6978" s="42"/>
      <c r="BO6978" s="74"/>
      <c r="BP6978" s="80"/>
      <c r="BR6978" s="497">
        <v>35.06</v>
      </c>
      <c r="BT6978" s="42"/>
    </row>
    <row r="6979" spans="1:72" x14ac:dyDescent="0.25">
      <c r="A6979" s="90">
        <v>37182</v>
      </c>
      <c r="B6979" s="20">
        <v>4.1666666666666664E-2</v>
      </c>
      <c r="D6979">
        <v>46.94</v>
      </c>
      <c r="E6979" t="str">
        <f t="shared" si="252"/>
        <v>WEEKDAY</v>
      </c>
      <c r="F6979" t="e">
        <f t="shared" si="253"/>
        <v>#N/A</v>
      </c>
      <c r="G6979" s="74">
        <v>29512</v>
      </c>
      <c r="H6979" s="77">
        <v>4.1666666666666664E-2</v>
      </c>
      <c r="J6979">
        <v>64.94</v>
      </c>
      <c r="M6979" s="74">
        <v>36451</v>
      </c>
      <c r="N6979" s="77">
        <v>4.1666666666666664E-2</v>
      </c>
      <c r="P6979">
        <v>59</v>
      </c>
      <c r="S6979" s="74">
        <v>37182</v>
      </c>
      <c r="T6979" s="77">
        <v>4.1666666666666664E-2</v>
      </c>
      <c r="V6979">
        <v>46.04</v>
      </c>
      <c r="X6979" s="42"/>
      <c r="AB6979">
        <v>54.9</v>
      </c>
      <c r="AC6979">
        <v>53.6</v>
      </c>
      <c r="AE6979" s="74"/>
      <c r="AF6979" s="77"/>
      <c r="AH6979" s="497">
        <v>46.4</v>
      </c>
      <c r="AJ6979" s="42"/>
      <c r="AK6979" s="74"/>
      <c r="AL6979" s="77"/>
      <c r="AN6979" s="497">
        <v>42.980000000000004</v>
      </c>
      <c r="AP6979" s="42"/>
      <c r="AQ6979" s="74"/>
      <c r="AR6979" s="77"/>
      <c r="AT6979" s="497">
        <v>41</v>
      </c>
      <c r="AV6979" s="42"/>
      <c r="AW6979" s="74"/>
      <c r="AX6979" s="77"/>
      <c r="BA6979" s="497">
        <v>39.019999999999996</v>
      </c>
      <c r="BB6979" s="42"/>
      <c r="BC6979" s="74"/>
      <c r="BD6979" s="77"/>
      <c r="BF6979">
        <v>35.06</v>
      </c>
      <c r="BH6979" s="42"/>
      <c r="BI6979" s="74"/>
      <c r="BJ6979" s="77"/>
      <c r="BL6979" s="497">
        <v>33.979999999999997</v>
      </c>
      <c r="BN6979" s="42"/>
      <c r="BO6979" s="74"/>
      <c r="BP6979" s="77"/>
      <c r="BR6979" s="497">
        <v>33.08</v>
      </c>
      <c r="BT6979" s="42"/>
    </row>
    <row r="6980" spans="1:72" x14ac:dyDescent="0.25">
      <c r="A6980" s="90">
        <v>37182</v>
      </c>
      <c r="B6980" s="20">
        <v>8.3333333333333329E-2</v>
      </c>
      <c r="D6980">
        <v>46.94</v>
      </c>
      <c r="E6980" t="str">
        <f t="shared" si="252"/>
        <v>WEEKDAY</v>
      </c>
      <c r="F6980" t="e">
        <f t="shared" si="253"/>
        <v>#N/A</v>
      </c>
      <c r="G6980" s="74">
        <v>29512</v>
      </c>
      <c r="H6980" s="77">
        <v>8.3333333333333329E-2</v>
      </c>
      <c r="J6980">
        <v>65.300000000000011</v>
      </c>
      <c r="M6980" s="74">
        <v>36451</v>
      </c>
      <c r="N6980" s="77">
        <v>8.3333333333333329E-2</v>
      </c>
      <c r="P6980">
        <v>59</v>
      </c>
      <c r="S6980" s="74">
        <v>37182</v>
      </c>
      <c r="T6980" s="77">
        <v>8.3333333333333329E-2</v>
      </c>
      <c r="V6980">
        <v>46.04</v>
      </c>
      <c r="X6980" s="42"/>
      <c r="AB6980">
        <v>54.3</v>
      </c>
      <c r="AC6980">
        <v>53.96</v>
      </c>
      <c r="AE6980" s="74"/>
      <c r="AF6980" s="77"/>
      <c r="AH6980" s="497">
        <v>44.6</v>
      </c>
      <c r="AJ6980" s="42"/>
      <c r="AK6980" s="74"/>
      <c r="AL6980" s="77"/>
      <c r="AN6980" s="497">
        <v>42.08</v>
      </c>
      <c r="AP6980" s="42"/>
      <c r="AQ6980" s="74"/>
      <c r="AR6980" s="77"/>
      <c r="AT6980" s="497">
        <v>39.019999999999996</v>
      </c>
      <c r="AV6980" s="42"/>
      <c r="AW6980" s="74"/>
      <c r="AX6980" s="77"/>
      <c r="BA6980" s="497">
        <v>37.94</v>
      </c>
      <c r="BB6980" s="42"/>
      <c r="BC6980" s="74"/>
      <c r="BD6980" s="77"/>
      <c r="BF6980">
        <v>35.06</v>
      </c>
      <c r="BH6980" s="42"/>
      <c r="BI6980" s="74"/>
      <c r="BJ6980" s="77"/>
      <c r="BL6980" s="497">
        <v>33.979999999999997</v>
      </c>
      <c r="BN6980" s="42"/>
      <c r="BO6980" s="74"/>
      <c r="BP6980" s="77"/>
      <c r="BR6980" s="497">
        <v>35.96</v>
      </c>
      <c r="BT6980" s="42"/>
    </row>
    <row r="6981" spans="1:72" x14ac:dyDescent="0.25">
      <c r="A6981" s="90">
        <v>37182</v>
      </c>
      <c r="B6981" s="20">
        <v>0.125</v>
      </c>
      <c r="D6981">
        <v>46.04</v>
      </c>
      <c r="E6981" t="str">
        <f t="shared" si="252"/>
        <v>WEEKDAY</v>
      </c>
      <c r="F6981" t="e">
        <f t="shared" si="253"/>
        <v>#N/A</v>
      </c>
      <c r="G6981" s="74">
        <v>29512</v>
      </c>
      <c r="H6981" s="77">
        <v>0.125</v>
      </c>
      <c r="J6981">
        <v>65.66</v>
      </c>
      <c r="M6981" s="74">
        <v>36451</v>
      </c>
      <c r="N6981" s="77">
        <v>0.125</v>
      </c>
      <c r="P6981">
        <v>57.2</v>
      </c>
      <c r="S6981" s="74">
        <v>37182</v>
      </c>
      <c r="T6981" s="77">
        <v>0.125</v>
      </c>
      <c r="V6981">
        <v>44.96</v>
      </c>
      <c r="X6981" s="42"/>
      <c r="AB6981">
        <v>53.6</v>
      </c>
      <c r="AC6981">
        <v>55.040000000000006</v>
      </c>
      <c r="AE6981" s="74"/>
      <c r="AF6981" s="77"/>
      <c r="AH6981" s="497">
        <v>42.8</v>
      </c>
      <c r="AJ6981" s="42"/>
      <c r="AK6981" s="74"/>
      <c r="AL6981" s="77"/>
      <c r="AN6981" s="497">
        <v>41</v>
      </c>
      <c r="AP6981" s="42"/>
      <c r="AQ6981" s="74"/>
      <c r="AR6981" s="77"/>
      <c r="AT6981" s="497">
        <v>37.04</v>
      </c>
      <c r="AV6981" s="42"/>
      <c r="AW6981" s="74"/>
      <c r="AX6981" s="77"/>
      <c r="BA6981" s="497">
        <v>35.96</v>
      </c>
      <c r="BB6981" s="42"/>
      <c r="BC6981" s="74"/>
      <c r="BD6981" s="77"/>
      <c r="BF6981">
        <v>35.06</v>
      </c>
      <c r="BH6981" s="42"/>
      <c r="BI6981" s="74"/>
      <c r="BJ6981" s="77"/>
      <c r="BL6981" s="497">
        <v>33.979999999999997</v>
      </c>
      <c r="BN6981" s="42"/>
      <c r="BO6981" s="74"/>
      <c r="BP6981" s="77"/>
      <c r="BR6981" s="497">
        <v>35.96</v>
      </c>
      <c r="BT6981" s="42"/>
    </row>
    <row r="6982" spans="1:72" x14ac:dyDescent="0.25">
      <c r="A6982" s="90">
        <v>37182</v>
      </c>
      <c r="B6982" s="20">
        <v>0.16666666666666666</v>
      </c>
      <c r="D6982">
        <v>44.96</v>
      </c>
      <c r="E6982" t="str">
        <f t="shared" si="252"/>
        <v>WEEKDAY</v>
      </c>
      <c r="F6982" t="e">
        <f t="shared" si="253"/>
        <v>#N/A</v>
      </c>
      <c r="G6982" s="74">
        <v>29512</v>
      </c>
      <c r="H6982" s="77">
        <v>0.16666666666666666</v>
      </c>
      <c r="J6982">
        <v>66.02</v>
      </c>
      <c r="M6982" s="74">
        <v>36451</v>
      </c>
      <c r="N6982" s="77">
        <v>0.16666666666666666</v>
      </c>
      <c r="P6982">
        <v>53.6</v>
      </c>
      <c r="S6982" s="74">
        <v>37182</v>
      </c>
      <c r="T6982" s="77">
        <v>0.16666666666666666</v>
      </c>
      <c r="V6982">
        <v>44.06</v>
      </c>
      <c r="X6982" s="42"/>
      <c r="AB6982">
        <v>53.1</v>
      </c>
      <c r="AC6982">
        <v>55.040000000000006</v>
      </c>
      <c r="AE6982" s="74"/>
      <c r="AF6982" s="77"/>
      <c r="AH6982" s="497">
        <v>42.8</v>
      </c>
      <c r="AJ6982" s="42"/>
      <c r="AK6982" s="74"/>
      <c r="AL6982" s="77"/>
      <c r="AN6982" s="497">
        <v>39.92</v>
      </c>
      <c r="AP6982" s="42"/>
      <c r="AQ6982" s="74"/>
      <c r="AR6982" s="77"/>
      <c r="AT6982" s="497">
        <v>37.04</v>
      </c>
      <c r="AV6982" s="42"/>
      <c r="AW6982" s="74"/>
      <c r="AX6982" s="77"/>
      <c r="BA6982" s="497">
        <v>35.06</v>
      </c>
      <c r="BB6982" s="42"/>
      <c r="BC6982" s="74"/>
      <c r="BD6982" s="77"/>
      <c r="BF6982">
        <v>35.06</v>
      </c>
      <c r="BH6982" s="42"/>
      <c r="BI6982" s="74"/>
      <c r="BJ6982" s="77"/>
      <c r="BL6982" s="497">
        <v>33.979999999999997</v>
      </c>
      <c r="BN6982" s="42"/>
      <c r="BO6982" s="74"/>
      <c r="BP6982" s="77"/>
      <c r="BR6982" s="497">
        <v>37.04</v>
      </c>
      <c r="BT6982" s="42"/>
    </row>
    <row r="6983" spans="1:72" x14ac:dyDescent="0.25">
      <c r="A6983" s="90">
        <v>37182</v>
      </c>
      <c r="B6983" s="20">
        <v>0.20833333333333334</v>
      </c>
      <c r="D6983">
        <v>44.96</v>
      </c>
      <c r="E6983" t="str">
        <f t="shared" si="252"/>
        <v>WEEKDAY</v>
      </c>
      <c r="F6983" t="e">
        <f t="shared" si="253"/>
        <v>#N/A</v>
      </c>
      <c r="G6983" s="74">
        <v>29512</v>
      </c>
      <c r="H6983" s="77">
        <v>0.20833333333333334</v>
      </c>
      <c r="J6983">
        <v>66.38</v>
      </c>
      <c r="M6983" s="74">
        <v>36451</v>
      </c>
      <c r="N6983" s="77">
        <v>0.20833333333333334</v>
      </c>
      <c r="P6983">
        <v>51.8</v>
      </c>
      <c r="S6983" s="74">
        <v>37182</v>
      </c>
      <c r="T6983" s="77">
        <v>0.20833333333333334</v>
      </c>
      <c r="V6983">
        <v>42.980000000000004</v>
      </c>
      <c r="X6983" s="42"/>
      <c r="AB6983">
        <v>52.8</v>
      </c>
      <c r="AC6983">
        <v>55.040000000000006</v>
      </c>
      <c r="AE6983" s="74"/>
      <c r="AF6983" s="77"/>
      <c r="AH6983" s="497">
        <v>39.200000000000003</v>
      </c>
      <c r="AJ6983" s="42"/>
      <c r="AK6983" s="74"/>
      <c r="AL6983" s="77"/>
      <c r="AN6983" s="497">
        <v>39.92</v>
      </c>
      <c r="AP6983" s="42"/>
      <c r="AQ6983" s="74"/>
      <c r="AR6983" s="77"/>
      <c r="AT6983" s="497">
        <v>37.04</v>
      </c>
      <c r="AV6983" s="42"/>
      <c r="AW6983" s="74"/>
      <c r="AX6983" s="77"/>
      <c r="BA6983" s="497">
        <v>35.96</v>
      </c>
      <c r="BB6983" s="42"/>
      <c r="BC6983" s="74"/>
      <c r="BD6983" s="77"/>
      <c r="BF6983">
        <v>35.06</v>
      </c>
      <c r="BH6983" s="42"/>
      <c r="BI6983" s="74"/>
      <c r="BJ6983" s="77"/>
      <c r="BL6983" s="497">
        <v>33.979999999999997</v>
      </c>
      <c r="BN6983" s="42"/>
      <c r="BO6983" s="74"/>
      <c r="BP6983" s="77"/>
      <c r="BR6983" s="497">
        <v>35.96</v>
      </c>
      <c r="BT6983" s="42"/>
    </row>
    <row r="6984" spans="1:72" x14ac:dyDescent="0.25">
      <c r="A6984" s="90">
        <v>37182</v>
      </c>
      <c r="B6984" s="20">
        <v>0.25</v>
      </c>
      <c r="D6984">
        <v>44.06</v>
      </c>
      <c r="E6984" t="str">
        <f t="shared" si="252"/>
        <v>WEEKDAY</v>
      </c>
      <c r="F6984" t="e">
        <f t="shared" si="253"/>
        <v>#N/A</v>
      </c>
      <c r="G6984" s="74">
        <v>29512</v>
      </c>
      <c r="H6984" s="77">
        <v>0.25</v>
      </c>
      <c r="J6984">
        <v>66.56</v>
      </c>
      <c r="M6984" s="74">
        <v>36451</v>
      </c>
      <c r="N6984" s="77">
        <v>0.25</v>
      </c>
      <c r="P6984">
        <v>50</v>
      </c>
      <c r="S6984" s="74">
        <v>37182</v>
      </c>
      <c r="T6984" s="77">
        <v>0.25</v>
      </c>
      <c r="V6984">
        <v>42.08</v>
      </c>
      <c r="X6984" s="42"/>
      <c r="AB6984">
        <v>52.5</v>
      </c>
      <c r="AC6984">
        <v>55.94</v>
      </c>
      <c r="AE6984" s="74"/>
      <c r="AF6984" s="77"/>
      <c r="AH6984" s="497">
        <v>37.4</v>
      </c>
      <c r="AJ6984" s="42"/>
      <c r="AK6984" s="74"/>
      <c r="AL6984" s="77"/>
      <c r="AN6984" s="497">
        <v>39.92</v>
      </c>
      <c r="AP6984" s="42"/>
      <c r="AQ6984" s="74"/>
      <c r="AR6984" s="77"/>
      <c r="AT6984" s="497">
        <v>35.96</v>
      </c>
      <c r="AV6984" s="42"/>
      <c r="AW6984" s="74"/>
      <c r="AX6984" s="77"/>
      <c r="BA6984" s="497">
        <v>35.06</v>
      </c>
      <c r="BB6984" s="42"/>
      <c r="BC6984" s="74"/>
      <c r="BD6984" s="77"/>
      <c r="BF6984">
        <v>37.94</v>
      </c>
      <c r="BH6984" s="42"/>
      <c r="BI6984" s="74"/>
      <c r="BJ6984" s="77"/>
      <c r="BL6984" s="497">
        <v>35.06</v>
      </c>
      <c r="BN6984" s="42"/>
      <c r="BO6984" s="74"/>
      <c r="BP6984" s="77"/>
      <c r="BR6984" s="497">
        <v>35.06</v>
      </c>
      <c r="BT6984" s="42"/>
    </row>
    <row r="6985" spans="1:72" x14ac:dyDescent="0.25">
      <c r="A6985" s="90">
        <v>37182</v>
      </c>
      <c r="B6985" s="20">
        <v>0.29166666666666669</v>
      </c>
      <c r="D6985">
        <v>44.06</v>
      </c>
      <c r="E6985" t="str">
        <f t="shared" si="252"/>
        <v>WEEKDAY</v>
      </c>
      <c r="F6985" t="e">
        <f t="shared" si="253"/>
        <v>#N/A</v>
      </c>
      <c r="G6985" s="74">
        <v>29512</v>
      </c>
      <c r="H6985" s="77">
        <v>0.29166666666666669</v>
      </c>
      <c r="J6985">
        <v>66.92</v>
      </c>
      <c r="M6985" s="74">
        <v>36451</v>
      </c>
      <c r="N6985" s="77">
        <v>0.29166666666666669</v>
      </c>
      <c r="P6985">
        <v>50</v>
      </c>
      <c r="S6985" s="74">
        <v>37182</v>
      </c>
      <c r="T6985" s="77">
        <v>0.29166666666666669</v>
      </c>
      <c r="V6985">
        <v>42.980000000000004</v>
      </c>
      <c r="X6985" s="42"/>
      <c r="AB6985">
        <v>52.2</v>
      </c>
      <c r="AC6985">
        <v>55.94</v>
      </c>
      <c r="AE6985" s="74"/>
      <c r="AF6985" s="77"/>
      <c r="AH6985" s="497">
        <v>37.4</v>
      </c>
      <c r="AJ6985" s="42"/>
      <c r="AK6985" s="74"/>
      <c r="AL6985" s="77"/>
      <c r="AN6985" s="497">
        <v>39.92</v>
      </c>
      <c r="AP6985" s="42"/>
      <c r="AQ6985" s="74"/>
      <c r="AR6985" s="77"/>
      <c r="AT6985" s="497">
        <v>39.019999999999996</v>
      </c>
      <c r="AV6985" s="42"/>
      <c r="AW6985" s="74"/>
      <c r="AX6985" s="77"/>
      <c r="BA6985" s="497">
        <v>33.979999999999997</v>
      </c>
      <c r="BB6985" s="42"/>
      <c r="BC6985" s="74"/>
      <c r="BD6985" s="77"/>
      <c r="BF6985">
        <v>39.019999999999996</v>
      </c>
      <c r="BH6985" s="42"/>
      <c r="BI6985" s="74"/>
      <c r="BJ6985" s="77"/>
      <c r="BL6985" s="497">
        <v>35.96</v>
      </c>
      <c r="BN6985" s="42"/>
      <c r="BO6985" s="74"/>
      <c r="BP6985" s="77"/>
      <c r="BR6985" s="497">
        <v>35.06</v>
      </c>
      <c r="BT6985" s="42"/>
    </row>
    <row r="6986" spans="1:72" x14ac:dyDescent="0.25">
      <c r="A6986" s="90">
        <v>37182</v>
      </c>
      <c r="B6986" s="20">
        <v>0.33333333333333331</v>
      </c>
      <c r="D6986">
        <v>44.96</v>
      </c>
      <c r="E6986" t="str">
        <f t="shared" si="252"/>
        <v>WEEKDAY</v>
      </c>
      <c r="F6986" t="e">
        <f t="shared" si="253"/>
        <v>#N/A</v>
      </c>
      <c r="G6986" s="74">
        <v>29512</v>
      </c>
      <c r="H6986" s="77">
        <v>0.33333333333333331</v>
      </c>
      <c r="J6986">
        <v>68</v>
      </c>
      <c r="M6986" s="74">
        <v>36451</v>
      </c>
      <c r="N6986" s="77">
        <v>0.33333333333333331</v>
      </c>
      <c r="P6986">
        <v>51.26</v>
      </c>
      <c r="S6986" s="74">
        <v>37182</v>
      </c>
      <c r="T6986" s="77">
        <v>0.33333333333333331</v>
      </c>
      <c r="V6986">
        <v>44.96</v>
      </c>
      <c r="X6986" s="42"/>
      <c r="AB6986">
        <v>53</v>
      </c>
      <c r="AC6986">
        <v>57.019999999999996</v>
      </c>
      <c r="AE6986" s="74"/>
      <c r="AF6986" s="77"/>
      <c r="AH6986" s="497">
        <v>42.8</v>
      </c>
      <c r="AJ6986" s="42"/>
      <c r="AK6986" s="74"/>
      <c r="AL6986" s="77"/>
      <c r="AN6986" s="497">
        <v>39.92</v>
      </c>
      <c r="AP6986" s="42"/>
      <c r="AQ6986" s="74"/>
      <c r="AR6986" s="77"/>
      <c r="AT6986" s="497">
        <v>42.980000000000004</v>
      </c>
      <c r="AV6986" s="42"/>
      <c r="AW6986" s="74"/>
      <c r="AX6986" s="77"/>
      <c r="BA6986" s="497">
        <v>39.92</v>
      </c>
      <c r="BB6986" s="42"/>
      <c r="BC6986" s="74"/>
      <c r="BD6986" s="77"/>
      <c r="BF6986">
        <v>42.08</v>
      </c>
      <c r="BH6986" s="42"/>
      <c r="BI6986" s="74"/>
      <c r="BJ6986" s="77"/>
      <c r="BL6986" s="497">
        <v>37.94</v>
      </c>
      <c r="BN6986" s="42"/>
      <c r="BO6986" s="74"/>
      <c r="BP6986" s="77"/>
      <c r="BR6986" s="497">
        <v>37.94</v>
      </c>
      <c r="BT6986" s="42"/>
    </row>
    <row r="6987" spans="1:72" x14ac:dyDescent="0.25">
      <c r="A6987" s="90">
        <v>37182</v>
      </c>
      <c r="B6987" s="20">
        <v>0.375</v>
      </c>
      <c r="D6987">
        <v>46.94</v>
      </c>
      <c r="E6987" t="str">
        <f t="shared" si="252"/>
        <v>WEEKDAY</v>
      </c>
      <c r="F6987" t="e">
        <f t="shared" si="253"/>
        <v>#N/A</v>
      </c>
      <c r="G6987" s="74">
        <v>29512</v>
      </c>
      <c r="H6987" s="77">
        <v>0.375</v>
      </c>
      <c r="J6987">
        <v>68.900000000000006</v>
      </c>
      <c r="M6987" s="74">
        <v>36451</v>
      </c>
      <c r="N6987" s="77">
        <v>0.375</v>
      </c>
      <c r="P6987">
        <v>51.8</v>
      </c>
      <c r="S6987" s="74">
        <v>37182</v>
      </c>
      <c r="T6987" s="77">
        <v>0.375</v>
      </c>
      <c r="V6987">
        <v>46.94</v>
      </c>
      <c r="X6987" s="42"/>
      <c r="AB6987">
        <v>55.3</v>
      </c>
      <c r="AC6987">
        <v>57.92</v>
      </c>
      <c r="AE6987" s="74"/>
      <c r="AF6987" s="77"/>
      <c r="AH6987" s="497">
        <v>46.4</v>
      </c>
      <c r="AJ6987" s="42"/>
      <c r="AK6987" s="74"/>
      <c r="AL6987" s="77"/>
      <c r="AN6987" s="497">
        <v>42.08</v>
      </c>
      <c r="AP6987" s="42"/>
      <c r="AQ6987" s="74"/>
      <c r="AR6987" s="77"/>
      <c r="AT6987" s="497">
        <v>46.04</v>
      </c>
      <c r="AV6987" s="42"/>
      <c r="AW6987" s="74"/>
      <c r="AX6987" s="77"/>
      <c r="BA6987" s="497">
        <v>44.06</v>
      </c>
      <c r="BB6987" s="42"/>
      <c r="BC6987" s="74"/>
      <c r="BD6987" s="77"/>
      <c r="BF6987">
        <v>44.06</v>
      </c>
      <c r="BH6987" s="42"/>
      <c r="BI6987" s="74"/>
      <c r="BJ6987" s="77"/>
      <c r="BL6987" s="497">
        <v>39.92</v>
      </c>
      <c r="BN6987" s="42"/>
      <c r="BO6987" s="74"/>
      <c r="BP6987" s="77"/>
      <c r="BR6987" s="497">
        <v>42.08</v>
      </c>
      <c r="BT6987" s="42"/>
    </row>
    <row r="6988" spans="1:72" x14ac:dyDescent="0.25">
      <c r="A6988" s="90">
        <v>37182</v>
      </c>
      <c r="B6988" s="20">
        <v>0.41666666666666669</v>
      </c>
      <c r="D6988">
        <v>50</v>
      </c>
      <c r="E6988" t="str">
        <f t="shared" si="252"/>
        <v>WEEKDAY</v>
      </c>
      <c r="F6988" t="e">
        <f t="shared" si="253"/>
        <v>#N/A</v>
      </c>
      <c r="G6988" s="74">
        <v>29512</v>
      </c>
      <c r="H6988" s="77">
        <v>0.41666666666666669</v>
      </c>
      <c r="J6988">
        <v>69.98</v>
      </c>
      <c r="M6988" s="74">
        <v>36451</v>
      </c>
      <c r="N6988" s="77">
        <v>0.41666666666666669</v>
      </c>
      <c r="P6988">
        <v>53.6</v>
      </c>
      <c r="S6988" s="74">
        <v>37182</v>
      </c>
      <c r="T6988" s="77">
        <v>0.41666666666666669</v>
      </c>
      <c r="V6988">
        <v>50</v>
      </c>
      <c r="X6988" s="42"/>
      <c r="AB6988">
        <v>57.4</v>
      </c>
      <c r="AC6988">
        <v>60.08</v>
      </c>
      <c r="AE6988" s="74"/>
      <c r="AF6988" s="77"/>
      <c r="AH6988" s="497">
        <v>46.4</v>
      </c>
      <c r="AJ6988" s="42"/>
      <c r="AK6988" s="74"/>
      <c r="AL6988" s="77"/>
      <c r="AN6988" s="497">
        <v>44.96</v>
      </c>
      <c r="AP6988" s="42"/>
      <c r="AQ6988" s="74"/>
      <c r="AR6988" s="77"/>
      <c r="AT6988" s="497">
        <v>46.94</v>
      </c>
      <c r="AV6988" s="42"/>
      <c r="AW6988" s="74"/>
      <c r="AX6988" s="77"/>
      <c r="BA6988" s="497">
        <v>46.94</v>
      </c>
      <c r="BB6988" s="42"/>
      <c r="BC6988" s="74"/>
      <c r="BD6988" s="77"/>
      <c r="BF6988">
        <v>46.04</v>
      </c>
      <c r="BH6988" s="42"/>
      <c r="BI6988" s="74"/>
      <c r="BJ6988" s="77"/>
      <c r="BL6988" s="497">
        <v>42.980000000000004</v>
      </c>
      <c r="BN6988" s="42"/>
      <c r="BO6988" s="74"/>
      <c r="BP6988" s="77"/>
      <c r="BR6988" s="497">
        <v>48.92</v>
      </c>
      <c r="BT6988" s="42"/>
    </row>
    <row r="6989" spans="1:72" x14ac:dyDescent="0.25">
      <c r="A6989" s="90">
        <v>37182</v>
      </c>
      <c r="B6989" s="20">
        <v>0.45833333333333331</v>
      </c>
      <c r="D6989">
        <v>51.08</v>
      </c>
      <c r="E6989" t="str">
        <f t="shared" si="252"/>
        <v>WEEKDAY</v>
      </c>
      <c r="F6989" t="e">
        <f t="shared" si="253"/>
        <v>#N/A</v>
      </c>
      <c r="G6989" s="74">
        <v>29512</v>
      </c>
      <c r="H6989" s="77">
        <v>0.45833333333333331</v>
      </c>
      <c r="J6989">
        <v>71.06</v>
      </c>
      <c r="M6989" s="74">
        <v>36451</v>
      </c>
      <c r="N6989" s="77">
        <v>0.45833333333333331</v>
      </c>
      <c r="P6989">
        <v>53.6</v>
      </c>
      <c r="S6989" s="74">
        <v>37182</v>
      </c>
      <c r="T6989" s="77">
        <v>0.45833333333333331</v>
      </c>
      <c r="V6989">
        <v>51.980000000000004</v>
      </c>
      <c r="X6989" s="42"/>
      <c r="AB6989">
        <v>59.1</v>
      </c>
      <c r="AC6989">
        <v>60.980000000000004</v>
      </c>
      <c r="AE6989" s="74"/>
      <c r="AF6989" s="77"/>
      <c r="AH6989" s="497">
        <v>51.8</v>
      </c>
      <c r="AJ6989" s="42"/>
      <c r="AK6989" s="74"/>
      <c r="AL6989" s="77"/>
      <c r="AN6989" s="497">
        <v>48.019999999999996</v>
      </c>
      <c r="AP6989" s="42"/>
      <c r="AQ6989" s="74"/>
      <c r="AR6989" s="77"/>
      <c r="AT6989" s="497">
        <v>48.92</v>
      </c>
      <c r="AV6989" s="42"/>
      <c r="AW6989" s="74"/>
      <c r="AX6989" s="77"/>
      <c r="BA6989" s="497">
        <v>50</v>
      </c>
      <c r="BB6989" s="42"/>
      <c r="BC6989" s="74"/>
      <c r="BD6989" s="77"/>
      <c r="BF6989">
        <v>48.019999999999996</v>
      </c>
      <c r="BH6989" s="42"/>
      <c r="BI6989" s="74"/>
      <c r="BJ6989" s="77"/>
      <c r="BL6989" s="497">
        <v>44.96</v>
      </c>
      <c r="BN6989" s="42"/>
      <c r="BO6989" s="74"/>
      <c r="BP6989" s="77"/>
      <c r="BR6989" s="497">
        <v>46.94</v>
      </c>
      <c r="BT6989" s="42"/>
    </row>
    <row r="6990" spans="1:72" x14ac:dyDescent="0.25">
      <c r="A6990" s="90">
        <v>37182</v>
      </c>
      <c r="B6990" s="20">
        <v>0.5</v>
      </c>
      <c r="D6990">
        <v>51.980000000000004</v>
      </c>
      <c r="E6990" t="str">
        <f t="shared" si="252"/>
        <v>WEEKDAY</v>
      </c>
      <c r="F6990" t="e">
        <f t="shared" si="253"/>
        <v>#N/A</v>
      </c>
      <c r="G6990" s="74">
        <v>29512</v>
      </c>
      <c r="H6990" s="77">
        <v>0.5</v>
      </c>
      <c r="J6990">
        <v>71.960000000000008</v>
      </c>
      <c r="M6990" s="74">
        <v>36451</v>
      </c>
      <c r="N6990" s="77">
        <v>0.5</v>
      </c>
      <c r="P6990">
        <v>55.400000000000006</v>
      </c>
      <c r="S6990" s="74">
        <v>37182</v>
      </c>
      <c r="T6990" s="77">
        <v>0.5</v>
      </c>
      <c r="V6990">
        <v>53.06</v>
      </c>
      <c r="X6990" s="42"/>
      <c r="AB6990">
        <v>60.6</v>
      </c>
      <c r="AC6990">
        <v>62.96</v>
      </c>
      <c r="AE6990" s="74"/>
      <c r="AF6990" s="77"/>
      <c r="AH6990" s="497">
        <v>51.8</v>
      </c>
      <c r="AJ6990" s="42"/>
      <c r="AK6990" s="74"/>
      <c r="AL6990" s="77"/>
      <c r="AN6990" s="497">
        <v>48.92</v>
      </c>
      <c r="AP6990" s="42"/>
      <c r="AQ6990" s="74"/>
      <c r="AR6990" s="77"/>
      <c r="AT6990" s="497">
        <v>51.08</v>
      </c>
      <c r="AV6990" s="42"/>
      <c r="AW6990" s="74"/>
      <c r="AX6990" s="77"/>
      <c r="BA6990" s="497">
        <v>53.06</v>
      </c>
      <c r="BB6990" s="42"/>
      <c r="BC6990" s="74"/>
      <c r="BD6990" s="77"/>
      <c r="BF6990">
        <v>50</v>
      </c>
      <c r="BH6990" s="42"/>
      <c r="BI6990" s="74"/>
      <c r="BJ6990" s="77"/>
      <c r="BL6990" s="497">
        <v>48.019999999999996</v>
      </c>
      <c r="BN6990" s="42"/>
      <c r="BO6990" s="74"/>
      <c r="BP6990" s="77"/>
      <c r="BR6990" s="497">
        <v>46.94</v>
      </c>
      <c r="BT6990" s="42"/>
    </row>
    <row r="6991" spans="1:72" x14ac:dyDescent="0.25">
      <c r="A6991" s="90">
        <v>37182</v>
      </c>
      <c r="B6991" s="20">
        <v>0.54166666666666663</v>
      </c>
      <c r="D6991">
        <v>55.040000000000006</v>
      </c>
      <c r="E6991" t="str">
        <f t="shared" si="252"/>
        <v>WEEKDAY</v>
      </c>
      <c r="F6991" t="e">
        <f t="shared" si="253"/>
        <v>#N/A</v>
      </c>
      <c r="G6991" s="74">
        <v>29512</v>
      </c>
      <c r="H6991" s="77">
        <v>0.54166666666666663</v>
      </c>
      <c r="J6991">
        <v>73.039999999999992</v>
      </c>
      <c r="M6991" s="74">
        <v>36451</v>
      </c>
      <c r="N6991" s="77">
        <v>0.54166666666666663</v>
      </c>
      <c r="P6991">
        <v>53.6</v>
      </c>
      <c r="S6991" s="74">
        <v>37182</v>
      </c>
      <c r="T6991" s="77">
        <v>0.54166666666666663</v>
      </c>
      <c r="V6991">
        <v>55.040000000000006</v>
      </c>
      <c r="X6991" s="42"/>
      <c r="AB6991">
        <v>61.6</v>
      </c>
      <c r="AC6991">
        <v>64.039999999999992</v>
      </c>
      <c r="AE6991" s="74"/>
      <c r="AF6991" s="77"/>
      <c r="AH6991" s="497">
        <v>53.6</v>
      </c>
      <c r="AJ6991" s="42"/>
      <c r="AK6991" s="74"/>
      <c r="AL6991" s="77"/>
      <c r="AN6991" s="497">
        <v>48.92</v>
      </c>
      <c r="AP6991" s="42"/>
      <c r="AQ6991" s="74"/>
      <c r="AR6991" s="77"/>
      <c r="AT6991" s="497">
        <v>51.980000000000004</v>
      </c>
      <c r="AV6991" s="42"/>
      <c r="AW6991" s="74"/>
      <c r="AX6991" s="77"/>
      <c r="BA6991" s="497">
        <v>51.980000000000004</v>
      </c>
      <c r="BB6991" s="42"/>
      <c r="BC6991" s="74"/>
      <c r="BD6991" s="77"/>
      <c r="BF6991">
        <v>51.980000000000004</v>
      </c>
      <c r="BH6991" s="42"/>
      <c r="BI6991" s="74"/>
      <c r="BJ6991" s="77"/>
      <c r="BL6991" s="497">
        <v>50</v>
      </c>
      <c r="BN6991" s="42"/>
      <c r="BO6991" s="74"/>
      <c r="BP6991" s="77"/>
      <c r="BR6991" s="497">
        <v>48.92</v>
      </c>
      <c r="BT6991" s="42"/>
    </row>
    <row r="6992" spans="1:72" x14ac:dyDescent="0.25">
      <c r="A6992" s="90">
        <v>37182</v>
      </c>
      <c r="B6992" s="20">
        <v>0.58333333333333337</v>
      </c>
      <c r="D6992">
        <v>55.94</v>
      </c>
      <c r="E6992" t="str">
        <f t="shared" si="252"/>
        <v>WEEKDAY</v>
      </c>
      <c r="F6992" t="e">
        <f t="shared" si="253"/>
        <v>#N/A</v>
      </c>
      <c r="G6992" s="74">
        <v>29512</v>
      </c>
      <c r="H6992" s="77">
        <v>0.58333333333333337</v>
      </c>
      <c r="J6992">
        <v>71.78</v>
      </c>
      <c r="M6992" s="74">
        <v>36451</v>
      </c>
      <c r="N6992" s="77">
        <v>0.58333333333333337</v>
      </c>
      <c r="P6992">
        <v>53.6</v>
      </c>
      <c r="S6992" s="74">
        <v>37182</v>
      </c>
      <c r="T6992" s="77">
        <v>0.58333333333333337</v>
      </c>
      <c r="V6992">
        <v>57.019999999999996</v>
      </c>
      <c r="X6992" s="42"/>
      <c r="AB6992">
        <v>62.1</v>
      </c>
      <c r="AC6992">
        <v>64.039999999999992</v>
      </c>
      <c r="AE6992" s="74"/>
      <c r="AF6992" s="77"/>
      <c r="AH6992" s="497">
        <v>55.400000000000006</v>
      </c>
      <c r="AJ6992" s="42"/>
      <c r="AK6992" s="74"/>
      <c r="AL6992" s="77"/>
      <c r="AN6992" s="497">
        <v>50</v>
      </c>
      <c r="AP6992" s="42"/>
      <c r="AQ6992" s="74"/>
      <c r="AR6992" s="77"/>
      <c r="AT6992" s="497">
        <v>53.06</v>
      </c>
      <c r="AV6992" s="42"/>
      <c r="AW6992" s="74"/>
      <c r="AX6992" s="77"/>
      <c r="BA6992" s="497">
        <v>51.980000000000004</v>
      </c>
      <c r="BB6992" s="42"/>
      <c r="BC6992" s="74"/>
      <c r="BD6992" s="77"/>
      <c r="BF6992">
        <v>51.980000000000004</v>
      </c>
      <c r="BH6992" s="42"/>
      <c r="BI6992" s="74"/>
      <c r="BJ6992" s="77"/>
      <c r="BL6992" s="497">
        <v>50</v>
      </c>
      <c r="BN6992" s="42"/>
      <c r="BO6992" s="74"/>
      <c r="BP6992" s="77"/>
      <c r="BR6992" s="497">
        <v>48.92</v>
      </c>
      <c r="BT6992" s="42"/>
    </row>
    <row r="6993" spans="1:72" x14ac:dyDescent="0.25">
      <c r="A6993" s="90">
        <v>37182</v>
      </c>
      <c r="B6993" s="20">
        <v>0.625</v>
      </c>
      <c r="D6993">
        <v>57.019999999999996</v>
      </c>
      <c r="E6993" t="str">
        <f t="shared" si="252"/>
        <v>WEEKDAY</v>
      </c>
      <c r="F6993" t="e">
        <f t="shared" si="253"/>
        <v>#N/A</v>
      </c>
      <c r="G6993" s="74">
        <v>29512</v>
      </c>
      <c r="H6993" s="77">
        <v>0.625</v>
      </c>
      <c r="J6993">
        <v>70.34</v>
      </c>
      <c r="M6993" s="74">
        <v>36451</v>
      </c>
      <c r="N6993" s="77">
        <v>0.625</v>
      </c>
      <c r="P6993">
        <v>57.2</v>
      </c>
      <c r="S6993" s="74">
        <v>37182</v>
      </c>
      <c r="T6993" s="77">
        <v>0.625</v>
      </c>
      <c r="V6993">
        <v>57.019999999999996</v>
      </c>
      <c r="X6993" s="42"/>
      <c r="AB6993">
        <v>62.3</v>
      </c>
      <c r="AC6993">
        <v>57.92</v>
      </c>
      <c r="AE6993" s="74"/>
      <c r="AF6993" s="77"/>
      <c r="AH6993" s="497">
        <v>55.400000000000006</v>
      </c>
      <c r="AJ6993" s="42"/>
      <c r="AK6993" s="74"/>
      <c r="AL6993" s="77"/>
      <c r="AN6993" s="497">
        <v>50</v>
      </c>
      <c r="AP6993" s="42"/>
      <c r="AQ6993" s="74"/>
      <c r="AR6993" s="77"/>
      <c r="AT6993" s="497">
        <v>53.96</v>
      </c>
      <c r="AV6993" s="42"/>
      <c r="AW6993" s="74"/>
      <c r="AX6993" s="77"/>
      <c r="BA6993" s="497">
        <v>51.08</v>
      </c>
      <c r="BB6993" s="42"/>
      <c r="BC6993" s="74"/>
      <c r="BD6993" s="77"/>
      <c r="BF6993">
        <v>51.08</v>
      </c>
      <c r="BH6993" s="42"/>
      <c r="BI6993" s="74"/>
      <c r="BJ6993" s="77"/>
      <c r="BL6993" s="497">
        <v>51.08</v>
      </c>
      <c r="BN6993" s="42"/>
      <c r="BO6993" s="74"/>
      <c r="BP6993" s="77"/>
      <c r="BR6993" s="497">
        <v>50</v>
      </c>
      <c r="BT6993" s="42"/>
    </row>
    <row r="6994" spans="1:72" x14ac:dyDescent="0.25">
      <c r="A6994" s="90">
        <v>37182</v>
      </c>
      <c r="B6994" s="20">
        <v>0.66666666666666663</v>
      </c>
      <c r="D6994">
        <v>57.019999999999996</v>
      </c>
      <c r="E6994" t="str">
        <f t="shared" si="252"/>
        <v>WEEKDAY</v>
      </c>
      <c r="F6994" t="e">
        <f t="shared" si="253"/>
        <v>#N/A</v>
      </c>
      <c r="G6994" s="74">
        <v>29512</v>
      </c>
      <c r="H6994" s="77">
        <v>0.66666666666666663</v>
      </c>
      <c r="J6994">
        <v>69.080000000000013</v>
      </c>
      <c r="M6994" s="74">
        <v>36451</v>
      </c>
      <c r="N6994" s="77">
        <v>0.66666666666666663</v>
      </c>
      <c r="P6994">
        <v>57.2</v>
      </c>
      <c r="S6994" s="74">
        <v>37182</v>
      </c>
      <c r="T6994" s="77">
        <v>0.66666666666666663</v>
      </c>
      <c r="V6994">
        <v>57.019999999999996</v>
      </c>
      <c r="X6994" s="42"/>
      <c r="AB6994">
        <v>62.1</v>
      </c>
      <c r="AC6994">
        <v>57.92</v>
      </c>
      <c r="AE6994" s="74"/>
      <c r="AF6994" s="77"/>
      <c r="AH6994" s="497">
        <v>55.400000000000006</v>
      </c>
      <c r="AJ6994" s="42"/>
      <c r="AK6994" s="74"/>
      <c r="AL6994" s="77"/>
      <c r="AN6994" s="497">
        <v>48.92</v>
      </c>
      <c r="AP6994" s="42"/>
      <c r="AQ6994" s="74"/>
      <c r="AR6994" s="77"/>
      <c r="AT6994" s="497">
        <v>51.08</v>
      </c>
      <c r="AV6994" s="42"/>
      <c r="AW6994" s="74"/>
      <c r="AX6994" s="77"/>
      <c r="BA6994" s="497">
        <v>48.92</v>
      </c>
      <c r="BB6994" s="42"/>
      <c r="BC6994" s="74"/>
      <c r="BD6994" s="77"/>
      <c r="BF6994">
        <v>51.08</v>
      </c>
      <c r="BH6994" s="42"/>
      <c r="BI6994" s="74"/>
      <c r="BJ6994" s="77"/>
      <c r="BL6994" s="497">
        <v>51.980000000000004</v>
      </c>
      <c r="BN6994" s="42"/>
      <c r="BO6994" s="74"/>
      <c r="BP6994" s="77"/>
      <c r="BR6994" s="497">
        <v>48.92</v>
      </c>
      <c r="BT6994" s="42"/>
    </row>
    <row r="6995" spans="1:72" x14ac:dyDescent="0.25">
      <c r="A6995" s="90">
        <v>37182</v>
      </c>
      <c r="B6995" s="20">
        <v>0.70833333333333337</v>
      </c>
      <c r="D6995">
        <v>57.019999999999996</v>
      </c>
      <c r="E6995" t="str">
        <f t="shared" ref="E6995:E7058" si="254">IF(COUNTIF($DI$18:$DI$22, WEEKDAY(A6995))=1, "WEEKDAY", IF(WEEKDAY(A6995) = 1, "SUNDAY", "SATURDAY"))</f>
        <v>WEEKDAY</v>
      </c>
      <c r="F6995" t="e">
        <f t="shared" si="253"/>
        <v>#N/A</v>
      </c>
      <c r="G6995" s="74">
        <v>29512</v>
      </c>
      <c r="H6995" s="77">
        <v>0.70833333333333337</v>
      </c>
      <c r="J6995">
        <v>67.099999999999994</v>
      </c>
      <c r="M6995" s="74">
        <v>36451</v>
      </c>
      <c r="N6995" s="77">
        <v>0.70833333333333337</v>
      </c>
      <c r="P6995">
        <v>55.400000000000006</v>
      </c>
      <c r="S6995" s="74">
        <v>37182</v>
      </c>
      <c r="T6995" s="77">
        <v>0.70833333333333337</v>
      </c>
      <c r="V6995">
        <v>55.040000000000006</v>
      </c>
      <c r="X6995" s="42"/>
      <c r="AB6995">
        <v>61.2</v>
      </c>
      <c r="AC6995">
        <v>57.92</v>
      </c>
      <c r="AE6995" s="74"/>
      <c r="AF6995" s="77"/>
      <c r="AH6995" s="497">
        <v>53.6</v>
      </c>
      <c r="AJ6995" s="42"/>
      <c r="AK6995" s="74"/>
      <c r="AL6995" s="77"/>
      <c r="AN6995" s="497">
        <v>48.019999999999996</v>
      </c>
      <c r="AP6995" s="42"/>
      <c r="AQ6995" s="74"/>
      <c r="AR6995" s="77"/>
      <c r="AT6995" s="497">
        <v>48.019999999999996</v>
      </c>
      <c r="AV6995" s="42"/>
      <c r="AW6995" s="74"/>
      <c r="AX6995" s="77"/>
      <c r="BA6995" s="497">
        <v>46.04</v>
      </c>
      <c r="BB6995" s="42"/>
      <c r="BC6995" s="74"/>
      <c r="BD6995" s="77"/>
      <c r="BF6995">
        <v>50</v>
      </c>
      <c r="BH6995" s="42"/>
      <c r="BI6995" s="74"/>
      <c r="BJ6995" s="77"/>
      <c r="BL6995" s="497">
        <v>51.08</v>
      </c>
      <c r="BN6995" s="42"/>
      <c r="BO6995" s="74"/>
      <c r="BP6995" s="77"/>
      <c r="BR6995" s="497">
        <v>46.94</v>
      </c>
      <c r="BT6995" s="42"/>
    </row>
    <row r="6996" spans="1:72" x14ac:dyDescent="0.25">
      <c r="A6996" s="90">
        <v>37182</v>
      </c>
      <c r="B6996" s="20">
        <v>0.75</v>
      </c>
      <c r="D6996">
        <v>55.94</v>
      </c>
      <c r="E6996" t="str">
        <f t="shared" si="254"/>
        <v>WEEKDAY</v>
      </c>
      <c r="F6996" t="e">
        <f t="shared" si="253"/>
        <v>#N/A</v>
      </c>
      <c r="G6996" s="74">
        <v>29512</v>
      </c>
      <c r="H6996" s="77">
        <v>0.75</v>
      </c>
      <c r="J6996">
        <v>64.94</v>
      </c>
      <c r="M6996" s="74">
        <v>36451</v>
      </c>
      <c r="N6996" s="77">
        <v>0.75</v>
      </c>
      <c r="P6996">
        <v>51.8</v>
      </c>
      <c r="S6996" s="74">
        <v>37182</v>
      </c>
      <c r="T6996" s="77">
        <v>0.75</v>
      </c>
      <c r="V6996">
        <v>51.08</v>
      </c>
      <c r="X6996" s="42"/>
      <c r="AB6996">
        <v>59.6</v>
      </c>
      <c r="AC6996">
        <v>57.92</v>
      </c>
      <c r="AE6996" s="74"/>
      <c r="AF6996" s="77"/>
      <c r="AH6996" s="497">
        <v>44.6</v>
      </c>
      <c r="AJ6996" s="42"/>
      <c r="AK6996" s="74"/>
      <c r="AL6996" s="77"/>
      <c r="AN6996" s="497">
        <v>44.06</v>
      </c>
      <c r="AP6996" s="42"/>
      <c r="AQ6996" s="74"/>
      <c r="AR6996" s="77"/>
      <c r="AT6996" s="497">
        <v>44.06</v>
      </c>
      <c r="AV6996" s="42"/>
      <c r="AW6996" s="74"/>
      <c r="AX6996" s="77"/>
      <c r="BA6996" s="497">
        <v>41</v>
      </c>
      <c r="BB6996" s="42"/>
      <c r="BC6996" s="74"/>
      <c r="BD6996" s="77"/>
      <c r="BF6996">
        <v>51.08</v>
      </c>
      <c r="BH6996" s="42"/>
      <c r="BI6996" s="74"/>
      <c r="BJ6996" s="77"/>
      <c r="BL6996" s="497">
        <v>51.08</v>
      </c>
      <c r="BN6996" s="42"/>
      <c r="BO6996" s="74"/>
      <c r="BP6996" s="77"/>
      <c r="BR6996" s="497">
        <v>37.94</v>
      </c>
      <c r="BT6996" s="42"/>
    </row>
    <row r="6997" spans="1:72" x14ac:dyDescent="0.25">
      <c r="A6997" s="90">
        <v>37182</v>
      </c>
      <c r="B6997" s="20">
        <v>0.79166666666666663</v>
      </c>
      <c r="D6997">
        <v>55.040000000000006</v>
      </c>
      <c r="E6997" t="str">
        <f t="shared" si="254"/>
        <v>WEEKDAY</v>
      </c>
      <c r="F6997" t="e">
        <f t="shared" si="253"/>
        <v>#N/A</v>
      </c>
      <c r="G6997" s="74">
        <v>29512</v>
      </c>
      <c r="H6997" s="77">
        <v>0.79166666666666663</v>
      </c>
      <c r="J6997">
        <v>62.96</v>
      </c>
      <c r="M6997" s="74">
        <v>36451</v>
      </c>
      <c r="N6997" s="77">
        <v>0.79166666666666663</v>
      </c>
      <c r="P6997">
        <v>48.2</v>
      </c>
      <c r="S6997" s="74">
        <v>37182</v>
      </c>
      <c r="T6997" s="77">
        <v>0.79166666666666663</v>
      </c>
      <c r="V6997">
        <v>51.980000000000004</v>
      </c>
      <c r="X6997" s="42"/>
      <c r="AB6997">
        <v>58.5</v>
      </c>
      <c r="AC6997">
        <v>55.94</v>
      </c>
      <c r="AE6997" s="74"/>
      <c r="AF6997" s="77"/>
      <c r="AH6997" s="497">
        <v>42.8</v>
      </c>
      <c r="AJ6997" s="42"/>
      <c r="AK6997" s="74"/>
      <c r="AL6997" s="77"/>
      <c r="AN6997" s="497">
        <v>42.08</v>
      </c>
      <c r="AP6997" s="42"/>
      <c r="AQ6997" s="74"/>
      <c r="AR6997" s="77"/>
      <c r="AT6997" s="497">
        <v>39.019999999999996</v>
      </c>
      <c r="AV6997" s="42"/>
      <c r="AW6997" s="74"/>
      <c r="AX6997" s="77"/>
      <c r="BA6997" s="497">
        <v>39.92</v>
      </c>
      <c r="BB6997" s="42"/>
      <c r="BC6997" s="74"/>
      <c r="BD6997" s="77"/>
      <c r="BF6997">
        <v>50</v>
      </c>
      <c r="BH6997" s="42"/>
      <c r="BI6997" s="74"/>
      <c r="BJ6997" s="77"/>
      <c r="BL6997" s="497">
        <v>50</v>
      </c>
      <c r="BN6997" s="42"/>
      <c r="BO6997" s="74"/>
      <c r="BP6997" s="77"/>
      <c r="BR6997" s="497">
        <v>33.08</v>
      </c>
      <c r="BT6997" s="42"/>
    </row>
    <row r="6998" spans="1:72" x14ac:dyDescent="0.25">
      <c r="A6998" s="90">
        <v>37182</v>
      </c>
      <c r="B6998" s="20">
        <v>0.83333333333333337</v>
      </c>
      <c r="D6998">
        <v>53.96</v>
      </c>
      <c r="E6998" t="str">
        <f t="shared" si="254"/>
        <v>WEEKDAY</v>
      </c>
      <c r="F6998" t="e">
        <f t="shared" si="253"/>
        <v>#N/A</v>
      </c>
      <c r="G6998" s="74">
        <v>29512</v>
      </c>
      <c r="H6998" s="77">
        <v>0.83333333333333337</v>
      </c>
      <c r="J6998">
        <v>62.6</v>
      </c>
      <c r="M6998" s="74">
        <v>36451</v>
      </c>
      <c r="N6998" s="77">
        <v>0.83333333333333337</v>
      </c>
      <c r="P6998">
        <v>48.2</v>
      </c>
      <c r="S6998" s="74">
        <v>37182</v>
      </c>
      <c r="T6998" s="77">
        <v>0.83333333333333337</v>
      </c>
      <c r="V6998">
        <v>44.96</v>
      </c>
      <c r="X6998" s="42"/>
      <c r="AB6998">
        <v>57.9</v>
      </c>
      <c r="AC6998">
        <v>55.94</v>
      </c>
      <c r="AE6998" s="74"/>
      <c r="AF6998" s="77"/>
      <c r="AH6998" s="497">
        <v>39.200000000000003</v>
      </c>
      <c r="AJ6998" s="42"/>
      <c r="AK6998" s="74"/>
      <c r="AL6998" s="77"/>
      <c r="AN6998" s="497">
        <v>39.019999999999996</v>
      </c>
      <c r="AP6998" s="42"/>
      <c r="AQ6998" s="74"/>
      <c r="AR6998" s="77"/>
      <c r="AT6998" s="497">
        <v>37.04</v>
      </c>
      <c r="AV6998" s="42"/>
      <c r="AW6998" s="74"/>
      <c r="AX6998" s="77"/>
      <c r="BA6998" s="497">
        <v>37.04</v>
      </c>
      <c r="BB6998" s="42"/>
      <c r="BC6998" s="74"/>
      <c r="BD6998" s="77"/>
      <c r="BF6998">
        <v>50</v>
      </c>
      <c r="BH6998" s="42"/>
      <c r="BI6998" s="74"/>
      <c r="BJ6998" s="77"/>
      <c r="BL6998" s="497">
        <v>50</v>
      </c>
      <c r="BN6998" s="42"/>
      <c r="BO6998" s="74"/>
      <c r="BP6998" s="77"/>
      <c r="BR6998" s="497">
        <v>33.08</v>
      </c>
      <c r="BT6998" s="42"/>
    </row>
    <row r="6999" spans="1:72" x14ac:dyDescent="0.25">
      <c r="A6999" s="90">
        <v>37182</v>
      </c>
      <c r="B6999" s="20">
        <v>0.875</v>
      </c>
      <c r="D6999">
        <v>53.06</v>
      </c>
      <c r="E6999" t="str">
        <f t="shared" si="254"/>
        <v>WEEKDAY</v>
      </c>
      <c r="F6999" t="e">
        <f t="shared" si="253"/>
        <v>#N/A</v>
      </c>
      <c r="G6999" s="74">
        <v>29512</v>
      </c>
      <c r="H6999" s="77">
        <v>0.875</v>
      </c>
      <c r="J6999">
        <v>62.42</v>
      </c>
      <c r="M6999" s="74">
        <v>36451</v>
      </c>
      <c r="N6999" s="77">
        <v>0.875</v>
      </c>
      <c r="P6999">
        <v>46.4</v>
      </c>
      <c r="S6999" s="74">
        <v>37182</v>
      </c>
      <c r="T6999" s="77">
        <v>0.875</v>
      </c>
      <c r="V6999">
        <v>48.92</v>
      </c>
      <c r="X6999" s="42"/>
      <c r="AB6999">
        <v>57.2</v>
      </c>
      <c r="AC6999">
        <v>55.94</v>
      </c>
      <c r="AE6999" s="74"/>
      <c r="AF6999" s="77"/>
      <c r="AH6999" s="497">
        <v>39.200000000000003</v>
      </c>
      <c r="AJ6999" s="42"/>
      <c r="AK6999" s="74"/>
      <c r="AL6999" s="77"/>
      <c r="AN6999" s="497">
        <v>37.94</v>
      </c>
      <c r="AP6999" s="42"/>
      <c r="AQ6999" s="74"/>
      <c r="AR6999" s="77"/>
      <c r="AT6999" s="497">
        <v>35.96</v>
      </c>
      <c r="AV6999" s="42"/>
      <c r="AW6999" s="74"/>
      <c r="AX6999" s="77"/>
      <c r="BA6999" s="497">
        <v>35.06</v>
      </c>
      <c r="BB6999" s="42"/>
      <c r="BC6999" s="74"/>
      <c r="BD6999" s="77"/>
      <c r="BF6999">
        <v>48.019999999999996</v>
      </c>
      <c r="BH6999" s="42"/>
      <c r="BI6999" s="74"/>
      <c r="BJ6999" s="77"/>
      <c r="BL6999" s="497">
        <v>50</v>
      </c>
      <c r="BN6999" s="42"/>
      <c r="BO6999" s="74"/>
      <c r="BP6999" s="77"/>
      <c r="BR6999" s="497">
        <v>32</v>
      </c>
      <c r="BT6999" s="42"/>
    </row>
    <row r="7000" spans="1:72" x14ac:dyDescent="0.25">
      <c r="A7000" s="90">
        <v>37182</v>
      </c>
      <c r="B7000" s="20">
        <v>0.91666666666666663</v>
      </c>
      <c r="D7000">
        <v>53.06</v>
      </c>
      <c r="E7000" t="str">
        <f t="shared" si="254"/>
        <v>WEEKDAY</v>
      </c>
      <c r="F7000" t="e">
        <f t="shared" si="253"/>
        <v>#N/A</v>
      </c>
      <c r="G7000" s="74">
        <v>29512</v>
      </c>
      <c r="H7000" s="77">
        <v>0.91666666666666663</v>
      </c>
      <c r="J7000">
        <v>62.06</v>
      </c>
      <c r="M7000" s="74">
        <v>36451</v>
      </c>
      <c r="N7000" s="77">
        <v>0.91666666666666663</v>
      </c>
      <c r="P7000">
        <v>45.5</v>
      </c>
      <c r="S7000" s="74">
        <v>37182</v>
      </c>
      <c r="T7000" s="77">
        <v>0.91666666666666663</v>
      </c>
      <c r="V7000">
        <v>46.04</v>
      </c>
      <c r="X7000" s="42"/>
      <c r="AB7000">
        <v>56.6</v>
      </c>
      <c r="AC7000">
        <v>55.94</v>
      </c>
      <c r="AE7000" s="74"/>
      <c r="AF7000" s="77"/>
      <c r="AH7000" s="497">
        <v>37.4</v>
      </c>
      <c r="AJ7000" s="42"/>
      <c r="AK7000" s="74"/>
      <c r="AL7000" s="77"/>
      <c r="AN7000" s="497">
        <v>37.04</v>
      </c>
      <c r="AP7000" s="42"/>
      <c r="AQ7000" s="74"/>
      <c r="AR7000" s="77"/>
      <c r="AT7000" s="497">
        <v>35.96</v>
      </c>
      <c r="AV7000" s="42"/>
      <c r="AW7000" s="74"/>
      <c r="AX7000" s="77"/>
      <c r="BA7000" s="497">
        <v>33.979999999999997</v>
      </c>
      <c r="BB7000" s="42"/>
      <c r="BC7000" s="74"/>
      <c r="BD7000" s="77"/>
      <c r="BF7000">
        <v>48.019999999999996</v>
      </c>
      <c r="BH7000" s="42"/>
      <c r="BI7000" s="74"/>
      <c r="BJ7000" s="77"/>
      <c r="BL7000" s="497">
        <v>48.92</v>
      </c>
      <c r="BN7000" s="42"/>
      <c r="BO7000" s="74"/>
      <c r="BP7000" s="77"/>
      <c r="BR7000" s="497">
        <v>30.92</v>
      </c>
      <c r="BT7000" s="42"/>
    </row>
    <row r="7001" spans="1:72" x14ac:dyDescent="0.25">
      <c r="A7001" s="90">
        <v>37182</v>
      </c>
      <c r="B7001" s="20">
        <v>0.95833333333333337</v>
      </c>
      <c r="D7001">
        <v>51.08</v>
      </c>
      <c r="E7001" t="str">
        <f t="shared" si="254"/>
        <v>WEEKDAY</v>
      </c>
      <c r="F7001" t="e">
        <f t="shared" si="253"/>
        <v>#N/A</v>
      </c>
      <c r="G7001" s="74">
        <v>29512</v>
      </c>
      <c r="H7001" s="77">
        <v>0.95833333333333337</v>
      </c>
      <c r="J7001">
        <v>62.06</v>
      </c>
      <c r="M7001" s="74">
        <v>36451</v>
      </c>
      <c r="N7001" s="77">
        <v>0.95833333333333337</v>
      </c>
      <c r="P7001">
        <v>44.6</v>
      </c>
      <c r="S7001" s="74">
        <v>37182</v>
      </c>
      <c r="T7001" s="77">
        <v>0.95833333333333337</v>
      </c>
      <c r="V7001">
        <v>44.96</v>
      </c>
      <c r="X7001" s="42"/>
      <c r="AB7001">
        <v>55.8</v>
      </c>
      <c r="AC7001">
        <v>53.96</v>
      </c>
      <c r="AE7001" s="74"/>
      <c r="AF7001" s="77"/>
      <c r="AH7001" s="497">
        <v>35.6</v>
      </c>
      <c r="AJ7001" s="42"/>
      <c r="AK7001" s="74"/>
      <c r="AL7001" s="77"/>
      <c r="AN7001" s="497">
        <v>37.04</v>
      </c>
      <c r="AP7001" s="42"/>
      <c r="AQ7001" s="74"/>
      <c r="AR7001" s="77"/>
      <c r="AT7001" s="497">
        <v>35.06</v>
      </c>
      <c r="AV7001" s="42"/>
      <c r="AW7001" s="74"/>
      <c r="AX7001" s="77"/>
      <c r="BA7001" s="497">
        <v>33.08</v>
      </c>
      <c r="BB7001" s="42"/>
      <c r="BC7001" s="74"/>
      <c r="BD7001" s="77"/>
      <c r="BF7001">
        <v>48.019999999999996</v>
      </c>
      <c r="BH7001" s="42"/>
      <c r="BI7001" s="74"/>
      <c r="BJ7001" s="77"/>
      <c r="BL7001" s="497">
        <v>48.92</v>
      </c>
      <c r="BN7001" s="42"/>
      <c r="BO7001" s="74"/>
      <c r="BP7001" s="77"/>
      <c r="BR7001" s="497">
        <v>35.06</v>
      </c>
      <c r="BT7001" s="42"/>
    </row>
    <row r="7002" spans="1:72" x14ac:dyDescent="0.25">
      <c r="A7002" s="90">
        <v>37182</v>
      </c>
      <c r="B7002" s="20">
        <v>1</v>
      </c>
      <c r="D7002">
        <v>50</v>
      </c>
      <c r="E7002" t="str">
        <f t="shared" si="254"/>
        <v>WEEKDAY</v>
      </c>
      <c r="F7002" t="e">
        <f t="shared" si="253"/>
        <v>#N/A</v>
      </c>
      <c r="G7002" s="74">
        <v>29512</v>
      </c>
      <c r="H7002" s="77">
        <v>1</v>
      </c>
      <c r="J7002">
        <v>62.06</v>
      </c>
      <c r="M7002" s="74">
        <v>36451</v>
      </c>
      <c r="N7002" s="80">
        <v>1</v>
      </c>
      <c r="P7002">
        <v>42.8</v>
      </c>
      <c r="S7002" s="74">
        <v>37182</v>
      </c>
      <c r="T7002" s="80">
        <v>1</v>
      </c>
      <c r="V7002">
        <v>41</v>
      </c>
      <c r="X7002" s="42"/>
      <c r="AB7002">
        <v>55.2</v>
      </c>
      <c r="AC7002">
        <v>53.06</v>
      </c>
      <c r="AE7002" s="74"/>
      <c r="AF7002" s="80"/>
      <c r="AH7002" s="497">
        <v>35.6</v>
      </c>
      <c r="AJ7002" s="42"/>
      <c r="AK7002" s="74"/>
      <c r="AL7002" s="80"/>
      <c r="AN7002" s="497">
        <v>35.06</v>
      </c>
      <c r="AP7002" s="42"/>
      <c r="AQ7002" s="74"/>
      <c r="AR7002" s="80"/>
      <c r="AT7002" s="497">
        <v>33.979999999999997</v>
      </c>
      <c r="AV7002" s="42"/>
      <c r="AW7002" s="74"/>
      <c r="AX7002" s="80"/>
      <c r="BA7002" s="497">
        <v>33.979999999999997</v>
      </c>
      <c r="BB7002" s="42"/>
      <c r="BC7002" s="74"/>
      <c r="BD7002" s="80"/>
      <c r="BF7002">
        <v>48.92</v>
      </c>
      <c r="BH7002" s="42"/>
      <c r="BI7002" s="74"/>
      <c r="BJ7002" s="80"/>
      <c r="BL7002" s="497">
        <v>48.92</v>
      </c>
      <c r="BN7002" s="42"/>
      <c r="BO7002" s="74"/>
      <c r="BP7002" s="80"/>
      <c r="BR7002" s="497">
        <v>35.06</v>
      </c>
      <c r="BT7002" s="42"/>
    </row>
    <row r="7003" spans="1:72" x14ac:dyDescent="0.25">
      <c r="A7003" s="90">
        <v>37183</v>
      </c>
      <c r="B7003" s="20">
        <v>4.1666666666666664E-2</v>
      </c>
      <c r="D7003">
        <v>50</v>
      </c>
      <c r="E7003" t="str">
        <f t="shared" si="254"/>
        <v>WEEKDAY</v>
      </c>
      <c r="F7003" t="e">
        <f t="shared" si="253"/>
        <v>#N/A</v>
      </c>
      <c r="G7003" s="74">
        <v>29513</v>
      </c>
      <c r="H7003" s="77">
        <v>4.1666666666666664E-2</v>
      </c>
      <c r="J7003">
        <v>62.06</v>
      </c>
      <c r="M7003" s="74">
        <v>36452</v>
      </c>
      <c r="N7003" s="77">
        <v>4.1666666666666664E-2</v>
      </c>
      <c r="P7003">
        <v>41</v>
      </c>
      <c r="S7003" s="74">
        <v>37183</v>
      </c>
      <c r="T7003" s="77">
        <v>4.1666666666666664E-2</v>
      </c>
      <c r="V7003">
        <v>39.92</v>
      </c>
      <c r="X7003" s="42"/>
      <c r="AB7003">
        <v>54.5</v>
      </c>
      <c r="AC7003">
        <v>53.96</v>
      </c>
      <c r="AE7003" s="74"/>
      <c r="AF7003" s="77"/>
      <c r="AH7003" s="497">
        <v>37.4</v>
      </c>
      <c r="AJ7003" s="42"/>
      <c r="AK7003" s="74"/>
      <c r="AL7003" s="77"/>
      <c r="AN7003" s="497">
        <v>33.979999999999997</v>
      </c>
      <c r="AP7003" s="42"/>
      <c r="AQ7003" s="74"/>
      <c r="AR7003" s="77"/>
      <c r="AT7003" s="497">
        <v>32</v>
      </c>
      <c r="AV7003" s="42"/>
      <c r="AW7003" s="74"/>
      <c r="AX7003" s="77"/>
      <c r="BA7003" s="497">
        <v>33.08</v>
      </c>
      <c r="BB7003" s="42"/>
      <c r="BC7003" s="74"/>
      <c r="BD7003" s="77"/>
      <c r="BF7003">
        <v>50</v>
      </c>
      <c r="BH7003" s="42"/>
      <c r="BI7003" s="74"/>
      <c r="BJ7003" s="77"/>
      <c r="BL7003" s="497">
        <v>50</v>
      </c>
      <c r="BN7003" s="42"/>
      <c r="BO7003" s="74"/>
      <c r="BP7003" s="77"/>
      <c r="BR7003" s="497">
        <v>33.08</v>
      </c>
      <c r="BT7003" s="42"/>
    </row>
    <row r="7004" spans="1:72" x14ac:dyDescent="0.25">
      <c r="A7004" s="90">
        <v>37183</v>
      </c>
      <c r="B7004" s="20">
        <v>8.3333333333333329E-2</v>
      </c>
      <c r="D7004">
        <v>46.94</v>
      </c>
      <c r="E7004" t="str">
        <f t="shared" si="254"/>
        <v>WEEKDAY</v>
      </c>
      <c r="F7004" t="e">
        <f t="shared" si="253"/>
        <v>#N/A</v>
      </c>
      <c r="G7004" s="74">
        <v>29513</v>
      </c>
      <c r="H7004" s="77">
        <v>8.3333333333333329E-2</v>
      </c>
      <c r="J7004">
        <v>61.7</v>
      </c>
      <c r="M7004" s="74">
        <v>36452</v>
      </c>
      <c r="N7004" s="77">
        <v>8.3333333333333329E-2</v>
      </c>
      <c r="P7004">
        <v>41</v>
      </c>
      <c r="S7004" s="74">
        <v>37183</v>
      </c>
      <c r="T7004" s="77">
        <v>8.3333333333333329E-2</v>
      </c>
      <c r="V7004">
        <v>39.92</v>
      </c>
      <c r="X7004" s="42"/>
      <c r="AB7004">
        <v>53.9</v>
      </c>
      <c r="AC7004">
        <v>53.06</v>
      </c>
      <c r="AE7004" s="74"/>
      <c r="AF7004" s="77"/>
      <c r="AH7004" s="497">
        <v>39.200000000000003</v>
      </c>
      <c r="AJ7004" s="42"/>
      <c r="AK7004" s="74"/>
      <c r="AL7004" s="77"/>
      <c r="AN7004" s="497">
        <v>33.979999999999997</v>
      </c>
      <c r="AP7004" s="42"/>
      <c r="AQ7004" s="74"/>
      <c r="AR7004" s="77"/>
      <c r="AT7004" s="497">
        <v>30.02</v>
      </c>
      <c r="AV7004" s="42"/>
      <c r="AW7004" s="74"/>
      <c r="AX7004" s="77"/>
      <c r="BA7004" s="497">
        <v>32</v>
      </c>
      <c r="BB7004" s="42"/>
      <c r="BC7004" s="74"/>
      <c r="BD7004" s="77"/>
      <c r="BF7004">
        <v>48.92</v>
      </c>
      <c r="BH7004" s="42"/>
      <c r="BI7004" s="74"/>
      <c r="BJ7004" s="77"/>
      <c r="BL7004" s="497">
        <v>50</v>
      </c>
      <c r="BN7004" s="42"/>
      <c r="BO7004" s="74"/>
      <c r="BP7004" s="77"/>
      <c r="BR7004" s="497">
        <v>35.96</v>
      </c>
      <c r="BT7004" s="42"/>
    </row>
    <row r="7005" spans="1:72" x14ac:dyDescent="0.25">
      <c r="A7005" s="90">
        <v>37183</v>
      </c>
      <c r="B7005" s="20">
        <v>0.125</v>
      </c>
      <c r="D7005">
        <v>48.019999999999996</v>
      </c>
      <c r="E7005" t="str">
        <f t="shared" si="254"/>
        <v>WEEKDAY</v>
      </c>
      <c r="F7005" t="e">
        <f t="shared" si="253"/>
        <v>#N/A</v>
      </c>
      <c r="G7005" s="74">
        <v>29513</v>
      </c>
      <c r="H7005" s="77">
        <v>0.125</v>
      </c>
      <c r="J7005">
        <v>61.34</v>
      </c>
      <c r="M7005" s="74">
        <v>36452</v>
      </c>
      <c r="N7005" s="77">
        <v>0.125</v>
      </c>
      <c r="P7005">
        <v>39.380000000000003</v>
      </c>
      <c r="S7005" s="74">
        <v>37183</v>
      </c>
      <c r="T7005" s="77">
        <v>0.125</v>
      </c>
      <c r="V7005">
        <v>39.92</v>
      </c>
      <c r="X7005" s="42"/>
      <c r="AB7005">
        <v>53.2</v>
      </c>
      <c r="AC7005">
        <v>53.06</v>
      </c>
      <c r="AE7005" s="74"/>
      <c r="AF7005" s="77"/>
      <c r="AH7005" s="497">
        <v>39.200000000000003</v>
      </c>
      <c r="AJ7005" s="42"/>
      <c r="AK7005" s="74"/>
      <c r="AL7005" s="77"/>
      <c r="AN7005" s="497">
        <v>35.06</v>
      </c>
      <c r="AP7005" s="42"/>
      <c r="AQ7005" s="74"/>
      <c r="AR7005" s="77"/>
      <c r="AT7005" s="497">
        <v>28.94</v>
      </c>
      <c r="AV7005" s="42"/>
      <c r="AW7005" s="74"/>
      <c r="AX7005" s="77"/>
      <c r="BA7005" s="497">
        <v>32</v>
      </c>
      <c r="BB7005" s="42"/>
      <c r="BC7005" s="74"/>
      <c r="BD7005" s="77"/>
      <c r="BF7005">
        <v>50</v>
      </c>
      <c r="BH7005" s="42"/>
      <c r="BI7005" s="74"/>
      <c r="BJ7005" s="77"/>
      <c r="BL7005" s="497">
        <v>48.019999999999996</v>
      </c>
      <c r="BN7005" s="42"/>
      <c r="BO7005" s="74"/>
      <c r="BP7005" s="77"/>
      <c r="BR7005" s="497">
        <v>35.96</v>
      </c>
      <c r="BT7005" s="42"/>
    </row>
    <row r="7006" spans="1:72" x14ac:dyDescent="0.25">
      <c r="A7006" s="90">
        <v>37183</v>
      </c>
      <c r="B7006" s="20">
        <v>0.16666666666666666</v>
      </c>
      <c r="D7006">
        <v>46.94</v>
      </c>
      <c r="E7006" t="str">
        <f t="shared" si="254"/>
        <v>WEEKDAY</v>
      </c>
      <c r="F7006" t="e">
        <f t="shared" si="253"/>
        <v>#N/A</v>
      </c>
      <c r="G7006" s="74">
        <v>29513</v>
      </c>
      <c r="H7006" s="77">
        <v>0.16666666666666666</v>
      </c>
      <c r="J7006">
        <v>60.980000000000004</v>
      </c>
      <c r="M7006" s="74">
        <v>36452</v>
      </c>
      <c r="N7006" s="77">
        <v>0.16666666666666666</v>
      </c>
      <c r="P7006">
        <v>37.4</v>
      </c>
      <c r="S7006" s="74">
        <v>37183</v>
      </c>
      <c r="T7006" s="77">
        <v>0.16666666666666666</v>
      </c>
      <c r="V7006">
        <v>39.019999999999996</v>
      </c>
      <c r="X7006" s="42"/>
      <c r="AB7006">
        <v>52.8</v>
      </c>
      <c r="AC7006">
        <v>51.08</v>
      </c>
      <c r="AE7006" s="74"/>
      <c r="AF7006" s="77"/>
      <c r="AH7006" s="497">
        <v>42.8</v>
      </c>
      <c r="AJ7006" s="42"/>
      <c r="AK7006" s="74"/>
      <c r="AL7006" s="77"/>
      <c r="AN7006" s="497">
        <v>35.06</v>
      </c>
      <c r="AP7006" s="42"/>
      <c r="AQ7006" s="74"/>
      <c r="AR7006" s="77"/>
      <c r="AT7006" s="497">
        <v>28.94</v>
      </c>
      <c r="AV7006" s="42"/>
      <c r="AW7006" s="74"/>
      <c r="AX7006" s="77"/>
      <c r="BA7006" s="497">
        <v>30.92</v>
      </c>
      <c r="BB7006" s="42"/>
      <c r="BC7006" s="74"/>
      <c r="BD7006" s="77"/>
      <c r="BF7006">
        <v>48.019999999999996</v>
      </c>
      <c r="BH7006" s="42"/>
      <c r="BI7006" s="74"/>
      <c r="BJ7006" s="77"/>
      <c r="BL7006" s="497">
        <v>46.94</v>
      </c>
      <c r="BN7006" s="42"/>
      <c r="BO7006" s="74"/>
      <c r="BP7006" s="77"/>
      <c r="BR7006" s="497">
        <v>35.96</v>
      </c>
      <c r="BT7006" s="42"/>
    </row>
    <row r="7007" spans="1:72" x14ac:dyDescent="0.25">
      <c r="A7007" s="90">
        <v>37183</v>
      </c>
      <c r="B7007" s="20">
        <v>0.20833333333333334</v>
      </c>
      <c r="D7007">
        <v>48.019999999999996</v>
      </c>
      <c r="E7007" t="str">
        <f t="shared" si="254"/>
        <v>WEEKDAY</v>
      </c>
      <c r="F7007" t="e">
        <f t="shared" si="253"/>
        <v>#N/A</v>
      </c>
      <c r="G7007" s="74">
        <v>29513</v>
      </c>
      <c r="H7007" s="77">
        <v>0.20833333333333334</v>
      </c>
      <c r="J7007">
        <v>60.620000000000005</v>
      </c>
      <c r="M7007" s="74">
        <v>36452</v>
      </c>
      <c r="N7007" s="77">
        <v>0.20833333333333334</v>
      </c>
      <c r="P7007">
        <v>35.6</v>
      </c>
      <c r="S7007" s="74">
        <v>37183</v>
      </c>
      <c r="T7007" s="77">
        <v>0.20833333333333334</v>
      </c>
      <c r="V7007">
        <v>41</v>
      </c>
      <c r="X7007" s="42"/>
      <c r="AB7007">
        <v>52.4</v>
      </c>
      <c r="AC7007">
        <v>51.08</v>
      </c>
      <c r="AE7007" s="74"/>
      <c r="AF7007" s="77"/>
      <c r="AH7007" s="497">
        <v>41</v>
      </c>
      <c r="AJ7007" s="42"/>
      <c r="AK7007" s="74"/>
      <c r="AL7007" s="77"/>
      <c r="AN7007" s="497">
        <v>33.979999999999997</v>
      </c>
      <c r="AP7007" s="42"/>
      <c r="AQ7007" s="74"/>
      <c r="AR7007" s="77"/>
      <c r="AT7007" s="497">
        <v>28.04</v>
      </c>
      <c r="AV7007" s="42"/>
      <c r="AW7007" s="74"/>
      <c r="AX7007" s="77"/>
      <c r="BA7007" s="497">
        <v>30.92</v>
      </c>
      <c r="BB7007" s="42"/>
      <c r="BC7007" s="74"/>
      <c r="BD7007" s="77"/>
      <c r="BF7007">
        <v>46.94</v>
      </c>
      <c r="BH7007" s="42"/>
      <c r="BI7007" s="74"/>
      <c r="BJ7007" s="77"/>
      <c r="BL7007" s="497">
        <v>48.92</v>
      </c>
      <c r="BN7007" s="42"/>
      <c r="BO7007" s="74"/>
      <c r="BP7007" s="77"/>
      <c r="BR7007" s="497">
        <v>35.96</v>
      </c>
      <c r="BT7007" s="42"/>
    </row>
    <row r="7008" spans="1:72" x14ac:dyDescent="0.25">
      <c r="A7008" s="90">
        <v>37183</v>
      </c>
      <c r="B7008" s="20">
        <v>0.25</v>
      </c>
      <c r="D7008">
        <v>48.019999999999996</v>
      </c>
      <c r="E7008" t="str">
        <f t="shared" si="254"/>
        <v>WEEKDAY</v>
      </c>
      <c r="F7008" t="e">
        <f t="shared" si="253"/>
        <v>#N/A</v>
      </c>
      <c r="G7008" s="74">
        <v>29513</v>
      </c>
      <c r="H7008" s="77">
        <v>0.25</v>
      </c>
      <c r="J7008">
        <v>60.44</v>
      </c>
      <c r="M7008" s="74">
        <v>36452</v>
      </c>
      <c r="N7008" s="77">
        <v>0.25</v>
      </c>
      <c r="P7008">
        <v>35.6</v>
      </c>
      <c r="S7008" s="74">
        <v>37183</v>
      </c>
      <c r="T7008" s="77">
        <v>0.25</v>
      </c>
      <c r="V7008">
        <v>44.96</v>
      </c>
      <c r="X7008" s="42"/>
      <c r="AB7008">
        <v>52.2</v>
      </c>
      <c r="AC7008">
        <v>50</v>
      </c>
      <c r="AE7008" s="74"/>
      <c r="AF7008" s="77"/>
      <c r="AH7008" s="497">
        <v>44.6</v>
      </c>
      <c r="AJ7008" s="42"/>
      <c r="AK7008" s="74"/>
      <c r="AL7008" s="77"/>
      <c r="AN7008" s="497">
        <v>30.02</v>
      </c>
      <c r="AP7008" s="42"/>
      <c r="AQ7008" s="74"/>
      <c r="AR7008" s="77"/>
      <c r="AT7008" s="497">
        <v>28.04</v>
      </c>
      <c r="AV7008" s="42"/>
      <c r="AW7008" s="74"/>
      <c r="AX7008" s="77"/>
      <c r="BA7008" s="497">
        <v>30.92</v>
      </c>
      <c r="BB7008" s="42"/>
      <c r="BC7008" s="74"/>
      <c r="BD7008" s="77"/>
      <c r="BF7008">
        <v>46.94</v>
      </c>
      <c r="BH7008" s="42"/>
      <c r="BI7008" s="74"/>
      <c r="BJ7008" s="77"/>
      <c r="BL7008" s="497">
        <v>48.019999999999996</v>
      </c>
      <c r="BN7008" s="42"/>
      <c r="BO7008" s="74"/>
      <c r="BP7008" s="77"/>
      <c r="BR7008" s="497">
        <v>35.96</v>
      </c>
      <c r="BT7008" s="42"/>
    </row>
    <row r="7009" spans="1:72" x14ac:dyDescent="0.25">
      <c r="A7009" s="90">
        <v>37183</v>
      </c>
      <c r="B7009" s="20">
        <v>0.29166666666666669</v>
      </c>
      <c r="D7009">
        <v>48.92</v>
      </c>
      <c r="E7009" t="str">
        <f t="shared" si="254"/>
        <v>WEEKDAY</v>
      </c>
      <c r="F7009" t="e">
        <f t="shared" si="253"/>
        <v>#N/A</v>
      </c>
      <c r="G7009" s="74">
        <v>29513</v>
      </c>
      <c r="H7009" s="77">
        <v>0.29166666666666669</v>
      </c>
      <c r="J7009">
        <v>60.08</v>
      </c>
      <c r="M7009" s="74">
        <v>36452</v>
      </c>
      <c r="N7009" s="77">
        <v>0.29166666666666669</v>
      </c>
      <c r="P7009">
        <v>37.4</v>
      </c>
      <c r="S7009" s="74">
        <v>37183</v>
      </c>
      <c r="T7009" s="77">
        <v>0.29166666666666669</v>
      </c>
      <c r="V7009">
        <v>48.019999999999996</v>
      </c>
      <c r="X7009" s="42"/>
      <c r="AB7009">
        <v>51.9</v>
      </c>
      <c r="AC7009">
        <v>48.92</v>
      </c>
      <c r="AE7009" s="74"/>
      <c r="AF7009" s="77"/>
      <c r="AH7009" s="497">
        <v>48.2</v>
      </c>
      <c r="AJ7009" s="42"/>
      <c r="AK7009" s="74"/>
      <c r="AL7009" s="77"/>
      <c r="AN7009" s="497">
        <v>30.92</v>
      </c>
      <c r="AP7009" s="42"/>
      <c r="AQ7009" s="74"/>
      <c r="AR7009" s="77"/>
      <c r="AT7009" s="497">
        <v>28.94</v>
      </c>
      <c r="AV7009" s="42"/>
      <c r="AW7009" s="74"/>
      <c r="AX7009" s="77"/>
      <c r="BA7009" s="497">
        <v>30.92</v>
      </c>
      <c r="BB7009" s="42"/>
      <c r="BC7009" s="74"/>
      <c r="BD7009" s="77"/>
      <c r="BF7009">
        <v>46.94</v>
      </c>
      <c r="BH7009" s="42"/>
      <c r="BI7009" s="74"/>
      <c r="BJ7009" s="77"/>
      <c r="BL7009" s="497">
        <v>48.019999999999996</v>
      </c>
      <c r="BN7009" s="42"/>
      <c r="BO7009" s="74"/>
      <c r="BP7009" s="77"/>
      <c r="BR7009" s="497">
        <v>35.96</v>
      </c>
      <c r="BT7009" s="42"/>
    </row>
    <row r="7010" spans="1:72" x14ac:dyDescent="0.25">
      <c r="A7010" s="90">
        <v>37183</v>
      </c>
      <c r="B7010" s="20">
        <v>0.33333333333333331</v>
      </c>
      <c r="D7010">
        <v>51.08</v>
      </c>
      <c r="E7010" t="str">
        <f t="shared" si="254"/>
        <v>WEEKDAY</v>
      </c>
      <c r="F7010" t="e">
        <f t="shared" si="253"/>
        <v>#N/A</v>
      </c>
      <c r="G7010" s="74">
        <v>29513</v>
      </c>
      <c r="H7010" s="77">
        <v>0.33333333333333331</v>
      </c>
      <c r="J7010">
        <v>60.08</v>
      </c>
      <c r="M7010" s="74">
        <v>36452</v>
      </c>
      <c r="N7010" s="77">
        <v>0.33333333333333331</v>
      </c>
      <c r="P7010">
        <v>37.4</v>
      </c>
      <c r="S7010" s="74">
        <v>37183</v>
      </c>
      <c r="T7010" s="77">
        <v>0.33333333333333331</v>
      </c>
      <c r="V7010">
        <v>51.08</v>
      </c>
      <c r="X7010" s="42"/>
      <c r="AB7010">
        <v>52.6</v>
      </c>
      <c r="AC7010">
        <v>53.06</v>
      </c>
      <c r="AE7010" s="74"/>
      <c r="AF7010" s="77"/>
      <c r="AH7010" s="497">
        <v>50</v>
      </c>
      <c r="AJ7010" s="42"/>
      <c r="AK7010" s="74"/>
      <c r="AL7010" s="77"/>
      <c r="AN7010" s="497">
        <v>33.979999999999997</v>
      </c>
      <c r="AP7010" s="42"/>
      <c r="AQ7010" s="74"/>
      <c r="AR7010" s="77"/>
      <c r="AT7010" s="497">
        <v>33.979999999999997</v>
      </c>
      <c r="AV7010" s="42"/>
      <c r="AW7010" s="74"/>
      <c r="AX7010" s="77"/>
      <c r="BA7010" s="497">
        <v>35.06</v>
      </c>
      <c r="BB7010" s="42"/>
      <c r="BC7010" s="74"/>
      <c r="BD7010" s="77"/>
      <c r="BF7010">
        <v>46.04</v>
      </c>
      <c r="BH7010" s="42"/>
      <c r="BI7010" s="74"/>
      <c r="BJ7010" s="77"/>
      <c r="BL7010" s="497">
        <v>48.019999999999996</v>
      </c>
      <c r="BN7010" s="42"/>
      <c r="BO7010" s="74"/>
      <c r="BP7010" s="77"/>
      <c r="BR7010" s="497">
        <v>39.92</v>
      </c>
      <c r="BT7010" s="42"/>
    </row>
    <row r="7011" spans="1:72" x14ac:dyDescent="0.25">
      <c r="A7011" s="90">
        <v>37183</v>
      </c>
      <c r="B7011" s="20">
        <v>0.375</v>
      </c>
      <c r="D7011">
        <v>55.040000000000006</v>
      </c>
      <c r="E7011" t="str">
        <f t="shared" si="254"/>
        <v>WEEKDAY</v>
      </c>
      <c r="F7011" t="e">
        <f t="shared" si="253"/>
        <v>#N/A</v>
      </c>
      <c r="G7011" s="74">
        <v>29513</v>
      </c>
      <c r="H7011" s="77">
        <v>0.375</v>
      </c>
      <c r="J7011">
        <v>60.08</v>
      </c>
      <c r="M7011" s="74">
        <v>36452</v>
      </c>
      <c r="N7011" s="77">
        <v>0.375</v>
      </c>
      <c r="P7011">
        <v>42.8</v>
      </c>
      <c r="S7011" s="74">
        <v>37183</v>
      </c>
      <c r="T7011" s="77">
        <v>0.375</v>
      </c>
      <c r="V7011">
        <v>55.040000000000006</v>
      </c>
      <c r="X7011" s="42"/>
      <c r="AB7011">
        <v>54.9</v>
      </c>
      <c r="AC7011">
        <v>55.94</v>
      </c>
      <c r="AE7011" s="74"/>
      <c r="AF7011" s="77"/>
      <c r="AH7011" s="497">
        <v>51.8</v>
      </c>
      <c r="AJ7011" s="42"/>
      <c r="AK7011" s="74"/>
      <c r="AL7011" s="77"/>
      <c r="AN7011" s="497">
        <v>39.019999999999996</v>
      </c>
      <c r="AP7011" s="42"/>
      <c r="AQ7011" s="74"/>
      <c r="AR7011" s="77"/>
      <c r="AT7011" s="497">
        <v>42.08</v>
      </c>
      <c r="AV7011" s="42"/>
      <c r="AW7011" s="74"/>
      <c r="AX7011" s="77"/>
      <c r="BA7011" s="497">
        <v>42.980000000000004</v>
      </c>
      <c r="BB7011" s="42"/>
      <c r="BC7011" s="74"/>
      <c r="BD7011" s="77"/>
      <c r="BF7011">
        <v>46.04</v>
      </c>
      <c r="BH7011" s="42"/>
      <c r="BI7011" s="74"/>
      <c r="BJ7011" s="77"/>
      <c r="BL7011" s="497">
        <v>48.92</v>
      </c>
      <c r="BN7011" s="42"/>
      <c r="BO7011" s="74"/>
      <c r="BP7011" s="77"/>
      <c r="BR7011" s="497">
        <v>44.06</v>
      </c>
      <c r="BT7011" s="42"/>
    </row>
    <row r="7012" spans="1:72" x14ac:dyDescent="0.25">
      <c r="A7012" s="90">
        <v>37183</v>
      </c>
      <c r="B7012" s="20">
        <v>0.41666666666666669</v>
      </c>
      <c r="D7012">
        <v>55.94</v>
      </c>
      <c r="E7012" t="str">
        <f t="shared" si="254"/>
        <v>WEEKDAY</v>
      </c>
      <c r="F7012" t="e">
        <f t="shared" si="253"/>
        <v>#N/A</v>
      </c>
      <c r="G7012" s="74">
        <v>29513</v>
      </c>
      <c r="H7012" s="77">
        <v>0.41666666666666669</v>
      </c>
      <c r="J7012">
        <v>60.08</v>
      </c>
      <c r="M7012" s="74">
        <v>36452</v>
      </c>
      <c r="N7012" s="77">
        <v>0.41666666666666669</v>
      </c>
      <c r="P7012">
        <v>46.4</v>
      </c>
      <c r="S7012" s="74">
        <v>37183</v>
      </c>
      <c r="T7012" s="77">
        <v>0.41666666666666669</v>
      </c>
      <c r="V7012">
        <v>55.94</v>
      </c>
      <c r="X7012" s="42"/>
      <c r="AB7012">
        <v>57</v>
      </c>
      <c r="AC7012">
        <v>60.08</v>
      </c>
      <c r="AE7012" s="74"/>
      <c r="AF7012" s="77"/>
      <c r="AH7012" s="497">
        <v>51.8</v>
      </c>
      <c r="AJ7012" s="42"/>
      <c r="AK7012" s="74"/>
      <c r="AL7012" s="77"/>
      <c r="AN7012" s="497">
        <v>44.06</v>
      </c>
      <c r="AP7012" s="42"/>
      <c r="AQ7012" s="74"/>
      <c r="AR7012" s="77"/>
      <c r="AT7012" s="497">
        <v>46.94</v>
      </c>
      <c r="AV7012" s="42"/>
      <c r="AW7012" s="74"/>
      <c r="AX7012" s="77"/>
      <c r="BA7012" s="497">
        <v>48.019999999999996</v>
      </c>
      <c r="BB7012" s="42"/>
      <c r="BC7012" s="74"/>
      <c r="BD7012" s="77"/>
      <c r="BF7012">
        <v>46.94</v>
      </c>
      <c r="BH7012" s="42"/>
      <c r="BI7012" s="74"/>
      <c r="BJ7012" s="77"/>
      <c r="BL7012" s="497">
        <v>48.92</v>
      </c>
      <c r="BN7012" s="42"/>
      <c r="BO7012" s="74"/>
      <c r="BP7012" s="77"/>
      <c r="BR7012" s="497">
        <v>50</v>
      </c>
      <c r="BT7012" s="42"/>
    </row>
    <row r="7013" spans="1:72" x14ac:dyDescent="0.25">
      <c r="A7013" s="90">
        <v>37183</v>
      </c>
      <c r="B7013" s="20">
        <v>0.45833333333333331</v>
      </c>
      <c r="D7013">
        <v>57.92</v>
      </c>
      <c r="E7013" t="str">
        <f t="shared" si="254"/>
        <v>WEEKDAY</v>
      </c>
      <c r="F7013" t="e">
        <f t="shared" si="253"/>
        <v>#N/A</v>
      </c>
      <c r="G7013" s="74">
        <v>29513</v>
      </c>
      <c r="H7013" s="77">
        <v>0.45833333333333331</v>
      </c>
      <c r="J7013">
        <v>62.06</v>
      </c>
      <c r="M7013" s="74">
        <v>36452</v>
      </c>
      <c r="N7013" s="77">
        <v>0.45833333333333331</v>
      </c>
      <c r="P7013">
        <v>50</v>
      </c>
      <c r="S7013" s="74">
        <v>37183</v>
      </c>
      <c r="T7013" s="77">
        <v>0.45833333333333331</v>
      </c>
      <c r="V7013">
        <v>57.92</v>
      </c>
      <c r="X7013" s="42"/>
      <c r="AB7013">
        <v>58.7</v>
      </c>
      <c r="AC7013">
        <v>62.06</v>
      </c>
      <c r="AE7013" s="74"/>
      <c r="AF7013" s="77"/>
      <c r="AH7013" s="497">
        <v>53.6</v>
      </c>
      <c r="AJ7013" s="42"/>
      <c r="AK7013" s="74"/>
      <c r="AL7013" s="77"/>
      <c r="AN7013" s="497">
        <v>46.94</v>
      </c>
      <c r="AP7013" s="42"/>
      <c r="AQ7013" s="74"/>
      <c r="AR7013" s="77"/>
      <c r="AT7013" s="497">
        <v>51.08</v>
      </c>
      <c r="AV7013" s="42"/>
      <c r="AW7013" s="74"/>
      <c r="AX7013" s="77"/>
      <c r="BA7013" s="497">
        <v>51.08</v>
      </c>
      <c r="BB7013" s="42"/>
      <c r="BC7013" s="74"/>
      <c r="BD7013" s="77"/>
      <c r="BF7013">
        <v>48.019999999999996</v>
      </c>
      <c r="BH7013" s="42"/>
      <c r="BI7013" s="74"/>
      <c r="BJ7013" s="77"/>
      <c r="BL7013" s="497">
        <v>48.92</v>
      </c>
      <c r="BN7013" s="42"/>
      <c r="BO7013" s="74"/>
      <c r="BP7013" s="77"/>
      <c r="BR7013" s="497">
        <v>51.980000000000004</v>
      </c>
      <c r="BT7013" s="42"/>
    </row>
    <row r="7014" spans="1:72" x14ac:dyDescent="0.25">
      <c r="A7014" s="90">
        <v>37183</v>
      </c>
      <c r="B7014" s="20">
        <v>0.5</v>
      </c>
      <c r="D7014">
        <v>60.08</v>
      </c>
      <c r="E7014" t="str">
        <f t="shared" si="254"/>
        <v>WEEKDAY</v>
      </c>
      <c r="F7014" t="e">
        <f t="shared" si="253"/>
        <v>#N/A</v>
      </c>
      <c r="G7014" s="74">
        <v>29513</v>
      </c>
      <c r="H7014" s="77">
        <v>0.5</v>
      </c>
      <c r="J7014">
        <v>64.039999999999992</v>
      </c>
      <c r="M7014" s="74">
        <v>36452</v>
      </c>
      <c r="N7014" s="77">
        <v>0.5</v>
      </c>
      <c r="P7014">
        <v>51.8</v>
      </c>
      <c r="S7014" s="74">
        <v>37183</v>
      </c>
      <c r="T7014" s="77">
        <v>0.5</v>
      </c>
      <c r="V7014">
        <v>59</v>
      </c>
      <c r="X7014" s="42"/>
      <c r="AB7014">
        <v>60.1</v>
      </c>
      <c r="AC7014">
        <v>62.96</v>
      </c>
      <c r="AE7014" s="74"/>
      <c r="AF7014" s="77"/>
      <c r="AH7014" s="497">
        <v>51.8</v>
      </c>
      <c r="AJ7014" s="42"/>
      <c r="AK7014" s="74"/>
      <c r="AL7014" s="77"/>
      <c r="AN7014" s="497">
        <v>51.980000000000004</v>
      </c>
      <c r="AP7014" s="42"/>
      <c r="AQ7014" s="74"/>
      <c r="AR7014" s="77"/>
      <c r="AT7014" s="497">
        <v>55.94</v>
      </c>
      <c r="AV7014" s="42"/>
      <c r="AW7014" s="74"/>
      <c r="AX7014" s="77"/>
      <c r="BA7014" s="497">
        <v>53.96</v>
      </c>
      <c r="BB7014" s="42"/>
      <c r="BC7014" s="74"/>
      <c r="BD7014" s="77"/>
      <c r="BF7014">
        <v>48.92</v>
      </c>
      <c r="BH7014" s="42"/>
      <c r="BI7014" s="74"/>
      <c r="BJ7014" s="77"/>
      <c r="BL7014" s="497">
        <v>50</v>
      </c>
      <c r="BN7014" s="42"/>
      <c r="BO7014" s="74"/>
      <c r="BP7014" s="77"/>
      <c r="BR7014" s="497">
        <v>55.040000000000006</v>
      </c>
      <c r="BT7014" s="42"/>
    </row>
    <row r="7015" spans="1:72" x14ac:dyDescent="0.25">
      <c r="A7015" s="90">
        <v>37183</v>
      </c>
      <c r="B7015" s="20">
        <v>0.54166666666666663</v>
      </c>
      <c r="D7015">
        <v>62.06</v>
      </c>
      <c r="E7015" t="str">
        <f t="shared" si="254"/>
        <v>WEEKDAY</v>
      </c>
      <c r="F7015" t="e">
        <f t="shared" si="253"/>
        <v>#N/A</v>
      </c>
      <c r="G7015" s="74">
        <v>29513</v>
      </c>
      <c r="H7015" s="77">
        <v>0.54166666666666663</v>
      </c>
      <c r="J7015">
        <v>66.02</v>
      </c>
      <c r="M7015" s="74">
        <v>36452</v>
      </c>
      <c r="N7015" s="77">
        <v>0.54166666666666663</v>
      </c>
      <c r="P7015">
        <v>51.8</v>
      </c>
      <c r="S7015" s="74">
        <v>37183</v>
      </c>
      <c r="T7015" s="77">
        <v>0.54166666666666663</v>
      </c>
      <c r="V7015">
        <v>60.08</v>
      </c>
      <c r="X7015" s="42"/>
      <c r="AB7015">
        <v>61.1</v>
      </c>
      <c r="AC7015">
        <v>64.039999999999992</v>
      </c>
      <c r="AE7015" s="74"/>
      <c r="AF7015" s="77"/>
      <c r="AH7015" s="497">
        <v>53.6</v>
      </c>
      <c r="AJ7015" s="42"/>
      <c r="AK7015" s="74"/>
      <c r="AL7015" s="77"/>
      <c r="AN7015" s="497">
        <v>53.06</v>
      </c>
      <c r="AP7015" s="42"/>
      <c r="AQ7015" s="74"/>
      <c r="AR7015" s="77"/>
      <c r="AT7015" s="497">
        <v>57.92</v>
      </c>
      <c r="AV7015" s="42"/>
      <c r="AW7015" s="74"/>
      <c r="AX7015" s="77"/>
      <c r="BA7015" s="497">
        <v>55.94</v>
      </c>
      <c r="BB7015" s="42"/>
      <c r="BC7015" s="74"/>
      <c r="BD7015" s="77"/>
      <c r="BF7015">
        <v>50</v>
      </c>
      <c r="BH7015" s="42"/>
      <c r="BI7015" s="74"/>
      <c r="BJ7015" s="77"/>
      <c r="BL7015" s="497">
        <v>51.980000000000004</v>
      </c>
      <c r="BN7015" s="42"/>
      <c r="BO7015" s="74"/>
      <c r="BP7015" s="77"/>
      <c r="BR7015" s="497">
        <v>57.92</v>
      </c>
      <c r="BT7015" s="42"/>
    </row>
    <row r="7016" spans="1:72" x14ac:dyDescent="0.25">
      <c r="A7016" s="90">
        <v>37183</v>
      </c>
      <c r="B7016" s="20">
        <v>0.58333333333333337</v>
      </c>
      <c r="D7016">
        <v>62.06</v>
      </c>
      <c r="E7016" t="str">
        <f t="shared" si="254"/>
        <v>WEEKDAY</v>
      </c>
      <c r="F7016" t="e">
        <f t="shared" si="253"/>
        <v>#N/A</v>
      </c>
      <c r="G7016" s="74">
        <v>29513</v>
      </c>
      <c r="H7016" s="77">
        <v>0.58333333333333337</v>
      </c>
      <c r="J7016">
        <v>66.02</v>
      </c>
      <c r="M7016" s="74">
        <v>36452</v>
      </c>
      <c r="N7016" s="77">
        <v>0.58333333333333337</v>
      </c>
      <c r="P7016">
        <v>51.8</v>
      </c>
      <c r="S7016" s="74">
        <v>37183</v>
      </c>
      <c r="T7016" s="77">
        <v>0.58333333333333337</v>
      </c>
      <c r="V7016">
        <v>60.08</v>
      </c>
      <c r="X7016" s="42"/>
      <c r="AB7016">
        <v>61.7</v>
      </c>
      <c r="AC7016">
        <v>66.2</v>
      </c>
      <c r="AE7016" s="74"/>
      <c r="AF7016" s="77"/>
      <c r="AH7016" s="497">
        <v>55.400000000000006</v>
      </c>
      <c r="AJ7016" s="42"/>
      <c r="AK7016" s="74"/>
      <c r="AL7016" s="77"/>
      <c r="AN7016" s="497">
        <v>55.040000000000006</v>
      </c>
      <c r="AP7016" s="42"/>
      <c r="AQ7016" s="74"/>
      <c r="AR7016" s="77"/>
      <c r="AT7016" s="497">
        <v>60.08</v>
      </c>
      <c r="AV7016" s="42"/>
      <c r="AW7016" s="74"/>
      <c r="AX7016" s="77"/>
      <c r="BA7016" s="497">
        <v>57.019999999999996</v>
      </c>
      <c r="BB7016" s="42"/>
      <c r="BC7016" s="74"/>
      <c r="BD7016" s="77"/>
      <c r="BF7016">
        <v>50</v>
      </c>
      <c r="BH7016" s="42"/>
      <c r="BI7016" s="74"/>
      <c r="BJ7016" s="77"/>
      <c r="BL7016" s="497">
        <v>53.06</v>
      </c>
      <c r="BN7016" s="42"/>
      <c r="BO7016" s="74"/>
      <c r="BP7016" s="77"/>
      <c r="BR7016" s="497">
        <v>55.94</v>
      </c>
      <c r="BT7016" s="42"/>
    </row>
    <row r="7017" spans="1:72" x14ac:dyDescent="0.25">
      <c r="A7017" s="90">
        <v>37183</v>
      </c>
      <c r="B7017" s="20">
        <v>0.625</v>
      </c>
      <c r="D7017">
        <v>60.980000000000004</v>
      </c>
      <c r="E7017" t="str">
        <f t="shared" si="254"/>
        <v>WEEKDAY</v>
      </c>
      <c r="F7017" t="e">
        <f t="shared" si="253"/>
        <v>#N/A</v>
      </c>
      <c r="G7017" s="74">
        <v>29513</v>
      </c>
      <c r="H7017" s="77">
        <v>0.625</v>
      </c>
      <c r="J7017">
        <v>66.02</v>
      </c>
      <c r="M7017" s="74">
        <v>36452</v>
      </c>
      <c r="N7017" s="77">
        <v>0.625</v>
      </c>
      <c r="P7017">
        <v>51.8</v>
      </c>
      <c r="S7017" s="74">
        <v>37183</v>
      </c>
      <c r="T7017" s="77">
        <v>0.625</v>
      </c>
      <c r="V7017">
        <v>60.980000000000004</v>
      </c>
      <c r="X7017" s="42"/>
      <c r="AB7017">
        <v>61.9</v>
      </c>
      <c r="AC7017">
        <v>66.2</v>
      </c>
      <c r="AE7017" s="74"/>
      <c r="AF7017" s="77"/>
      <c r="AH7017" s="497">
        <v>55.400000000000006</v>
      </c>
      <c r="AJ7017" s="42"/>
      <c r="AK7017" s="74"/>
      <c r="AL7017" s="77"/>
      <c r="AN7017" s="497">
        <v>55.040000000000006</v>
      </c>
      <c r="AP7017" s="42"/>
      <c r="AQ7017" s="74"/>
      <c r="AR7017" s="77"/>
      <c r="AT7017" s="497">
        <v>60.980000000000004</v>
      </c>
      <c r="AV7017" s="42"/>
      <c r="AW7017" s="74"/>
      <c r="AX7017" s="77"/>
      <c r="BA7017" s="497">
        <v>55.94</v>
      </c>
      <c r="BB7017" s="42"/>
      <c r="BC7017" s="74"/>
      <c r="BD7017" s="77"/>
      <c r="BF7017">
        <v>51.08</v>
      </c>
      <c r="BH7017" s="42"/>
      <c r="BI7017" s="74"/>
      <c r="BJ7017" s="77"/>
      <c r="BL7017" s="497">
        <v>53.06</v>
      </c>
      <c r="BN7017" s="42"/>
      <c r="BO7017" s="74"/>
      <c r="BP7017" s="77"/>
      <c r="BR7017" s="497">
        <v>57.92</v>
      </c>
      <c r="BT7017" s="42"/>
    </row>
    <row r="7018" spans="1:72" x14ac:dyDescent="0.25">
      <c r="A7018" s="90">
        <v>37183</v>
      </c>
      <c r="B7018" s="20">
        <v>0.66666666666666663</v>
      </c>
      <c r="D7018">
        <v>60.08</v>
      </c>
      <c r="E7018" t="str">
        <f t="shared" si="254"/>
        <v>WEEKDAY</v>
      </c>
      <c r="F7018" t="e">
        <f t="shared" si="253"/>
        <v>#N/A</v>
      </c>
      <c r="G7018" s="74">
        <v>29513</v>
      </c>
      <c r="H7018" s="77">
        <v>0.66666666666666663</v>
      </c>
      <c r="J7018">
        <v>66.02</v>
      </c>
      <c r="M7018" s="74">
        <v>36452</v>
      </c>
      <c r="N7018" s="77">
        <v>0.66666666666666663</v>
      </c>
      <c r="P7018">
        <v>50</v>
      </c>
      <c r="S7018" s="74">
        <v>37183</v>
      </c>
      <c r="T7018" s="77">
        <v>0.66666666666666663</v>
      </c>
      <c r="V7018">
        <v>60.08</v>
      </c>
      <c r="X7018" s="42"/>
      <c r="AB7018">
        <v>61.7</v>
      </c>
      <c r="AC7018">
        <v>64.400000000000006</v>
      </c>
      <c r="AE7018" s="74"/>
      <c r="AF7018" s="77"/>
      <c r="AH7018" s="497">
        <v>57.2</v>
      </c>
      <c r="AJ7018" s="42"/>
      <c r="AK7018" s="74"/>
      <c r="AL7018" s="77"/>
      <c r="AN7018" s="497">
        <v>53.96</v>
      </c>
      <c r="AP7018" s="42"/>
      <c r="AQ7018" s="74"/>
      <c r="AR7018" s="77"/>
      <c r="AT7018" s="497">
        <v>60.08</v>
      </c>
      <c r="AV7018" s="42"/>
      <c r="AW7018" s="74"/>
      <c r="AX7018" s="77"/>
      <c r="BA7018" s="497">
        <v>55.040000000000006</v>
      </c>
      <c r="BB7018" s="42"/>
      <c r="BC7018" s="74"/>
      <c r="BD7018" s="77"/>
      <c r="BF7018">
        <v>50</v>
      </c>
      <c r="BH7018" s="42"/>
      <c r="BI7018" s="74"/>
      <c r="BJ7018" s="77"/>
      <c r="BL7018" s="497">
        <v>51.980000000000004</v>
      </c>
      <c r="BN7018" s="42"/>
      <c r="BO7018" s="74"/>
      <c r="BP7018" s="77"/>
      <c r="BR7018" s="497">
        <v>57.92</v>
      </c>
      <c r="BT7018" s="42"/>
    </row>
    <row r="7019" spans="1:72" x14ac:dyDescent="0.25">
      <c r="A7019" s="90">
        <v>37183</v>
      </c>
      <c r="B7019" s="20">
        <v>0.70833333333333337</v>
      </c>
      <c r="D7019">
        <v>59</v>
      </c>
      <c r="E7019" t="str">
        <f t="shared" si="254"/>
        <v>WEEKDAY</v>
      </c>
      <c r="F7019" t="e">
        <f t="shared" ref="F7019:F7082" si="255">IF(E7019="WEEKDAY",VLOOKUP(B7019,$DD$19:$DG$42,2),IF(E7019="SATURDAY",VLOOKUP(B7019,$DD$19:$DG$42,3),VLOOKUP(B7019,$DD$19:$DG$42,4)))</f>
        <v>#N/A</v>
      </c>
      <c r="G7019" s="74">
        <v>29513</v>
      </c>
      <c r="H7019" s="77">
        <v>0.70833333333333337</v>
      </c>
      <c r="J7019">
        <v>64.759999999999991</v>
      </c>
      <c r="M7019" s="74">
        <v>36452</v>
      </c>
      <c r="N7019" s="77">
        <v>0.70833333333333337</v>
      </c>
      <c r="P7019">
        <v>50</v>
      </c>
      <c r="S7019" s="74">
        <v>37183</v>
      </c>
      <c r="T7019" s="77">
        <v>0.70833333333333337</v>
      </c>
      <c r="V7019">
        <v>57.92</v>
      </c>
      <c r="X7019" s="42"/>
      <c r="AB7019">
        <v>60.7</v>
      </c>
      <c r="AC7019">
        <v>60.08</v>
      </c>
      <c r="AE7019" s="74"/>
      <c r="AF7019" s="77"/>
      <c r="AH7019" s="497">
        <v>57.2</v>
      </c>
      <c r="AJ7019" s="42"/>
      <c r="AK7019" s="74"/>
      <c r="AL7019" s="77"/>
      <c r="AN7019" s="497">
        <v>51.980000000000004</v>
      </c>
      <c r="AP7019" s="42"/>
      <c r="AQ7019" s="74"/>
      <c r="AR7019" s="77"/>
      <c r="AT7019" s="497">
        <v>57.019999999999996</v>
      </c>
      <c r="AV7019" s="42"/>
      <c r="AW7019" s="74"/>
      <c r="AX7019" s="77"/>
      <c r="BA7019" s="497">
        <v>51.980000000000004</v>
      </c>
      <c r="BB7019" s="42"/>
      <c r="BC7019" s="74"/>
      <c r="BD7019" s="77"/>
      <c r="BF7019">
        <v>48.92</v>
      </c>
      <c r="BH7019" s="42"/>
      <c r="BI7019" s="74"/>
      <c r="BJ7019" s="77"/>
      <c r="BL7019" s="497">
        <v>51.08</v>
      </c>
      <c r="BN7019" s="42"/>
      <c r="BO7019" s="74"/>
      <c r="BP7019" s="77"/>
      <c r="BR7019" s="497">
        <v>55.040000000000006</v>
      </c>
      <c r="BT7019" s="42"/>
    </row>
    <row r="7020" spans="1:72" x14ac:dyDescent="0.25">
      <c r="A7020" s="90">
        <v>37183</v>
      </c>
      <c r="B7020" s="20">
        <v>0.75</v>
      </c>
      <c r="D7020">
        <v>59</v>
      </c>
      <c r="E7020" t="str">
        <f t="shared" si="254"/>
        <v>WEEKDAY</v>
      </c>
      <c r="F7020" t="e">
        <f t="shared" si="255"/>
        <v>#N/A</v>
      </c>
      <c r="G7020" s="74">
        <v>29513</v>
      </c>
      <c r="H7020" s="77">
        <v>0.75</v>
      </c>
      <c r="J7020">
        <v>63.319999999999993</v>
      </c>
      <c r="M7020" s="74">
        <v>36452</v>
      </c>
      <c r="N7020" s="77">
        <v>0.75</v>
      </c>
      <c r="P7020">
        <v>50</v>
      </c>
      <c r="S7020" s="74">
        <v>37183</v>
      </c>
      <c r="T7020" s="77">
        <v>0.75</v>
      </c>
      <c r="V7020">
        <v>57.019999999999996</v>
      </c>
      <c r="X7020" s="42"/>
      <c r="AB7020">
        <v>59.1</v>
      </c>
      <c r="AC7020">
        <v>55.94</v>
      </c>
      <c r="AE7020" s="74"/>
      <c r="AF7020" s="77"/>
      <c r="AH7020" s="497">
        <v>55.400000000000006</v>
      </c>
      <c r="AJ7020" s="42"/>
      <c r="AK7020" s="74"/>
      <c r="AL7020" s="77"/>
      <c r="AN7020" s="497">
        <v>48.019999999999996</v>
      </c>
      <c r="AP7020" s="42"/>
      <c r="AQ7020" s="74"/>
      <c r="AR7020" s="77"/>
      <c r="AT7020" s="497">
        <v>53.96</v>
      </c>
      <c r="AV7020" s="42"/>
      <c r="AW7020" s="74"/>
      <c r="AX7020" s="77"/>
      <c r="BA7020" s="497">
        <v>46.04</v>
      </c>
      <c r="BB7020" s="42"/>
      <c r="BC7020" s="74"/>
      <c r="BD7020" s="77"/>
      <c r="BF7020">
        <v>46.94</v>
      </c>
      <c r="BH7020" s="42"/>
      <c r="BI7020" s="74"/>
      <c r="BJ7020" s="77"/>
      <c r="BL7020" s="497">
        <v>48.92</v>
      </c>
      <c r="BN7020" s="42"/>
      <c r="BO7020" s="74"/>
      <c r="BP7020" s="77"/>
      <c r="BR7020" s="497">
        <v>51.08</v>
      </c>
      <c r="BT7020" s="42"/>
    </row>
    <row r="7021" spans="1:72" x14ac:dyDescent="0.25">
      <c r="A7021" s="90">
        <v>37183</v>
      </c>
      <c r="B7021" s="20">
        <v>0.79166666666666663</v>
      </c>
      <c r="D7021">
        <v>57.92</v>
      </c>
      <c r="E7021" t="str">
        <f t="shared" si="254"/>
        <v>WEEKDAY</v>
      </c>
      <c r="F7021" t="e">
        <f t="shared" si="255"/>
        <v>#N/A</v>
      </c>
      <c r="G7021" s="74">
        <v>29513</v>
      </c>
      <c r="H7021" s="77">
        <v>0.79166666666666663</v>
      </c>
      <c r="J7021">
        <v>62.06</v>
      </c>
      <c r="M7021" s="74">
        <v>36452</v>
      </c>
      <c r="N7021" s="77">
        <v>0.79166666666666663</v>
      </c>
      <c r="P7021">
        <v>48.2</v>
      </c>
      <c r="S7021" s="74">
        <v>37183</v>
      </c>
      <c r="T7021" s="77">
        <v>0.79166666666666663</v>
      </c>
      <c r="V7021">
        <v>57.019999999999996</v>
      </c>
      <c r="X7021" s="42"/>
      <c r="AB7021">
        <v>58.1</v>
      </c>
      <c r="AC7021">
        <v>55.94</v>
      </c>
      <c r="AE7021" s="74"/>
      <c r="AF7021" s="77"/>
      <c r="AH7021" s="497">
        <v>55.400000000000006</v>
      </c>
      <c r="AJ7021" s="42"/>
      <c r="AK7021" s="74"/>
      <c r="AL7021" s="77"/>
      <c r="AN7021" s="497">
        <v>48.019999999999996</v>
      </c>
      <c r="AP7021" s="42"/>
      <c r="AQ7021" s="74"/>
      <c r="AR7021" s="77"/>
      <c r="AT7021" s="497">
        <v>51.980000000000004</v>
      </c>
      <c r="AV7021" s="42"/>
      <c r="AW7021" s="74"/>
      <c r="AX7021" s="77"/>
      <c r="BA7021" s="497">
        <v>42.980000000000004</v>
      </c>
      <c r="BB7021" s="42"/>
      <c r="BC7021" s="74"/>
      <c r="BD7021" s="77"/>
      <c r="BF7021">
        <v>46.04</v>
      </c>
      <c r="BH7021" s="42"/>
      <c r="BI7021" s="74"/>
      <c r="BJ7021" s="77"/>
      <c r="BL7021" s="497">
        <v>48.019999999999996</v>
      </c>
      <c r="BN7021" s="42"/>
      <c r="BO7021" s="74"/>
      <c r="BP7021" s="77"/>
      <c r="BR7021" s="497">
        <v>48.019999999999996</v>
      </c>
      <c r="BT7021" s="42"/>
    </row>
    <row r="7022" spans="1:72" x14ac:dyDescent="0.25">
      <c r="A7022" s="90">
        <v>37183</v>
      </c>
      <c r="B7022" s="20">
        <v>0.83333333333333337</v>
      </c>
      <c r="D7022">
        <v>57.019999999999996</v>
      </c>
      <c r="E7022" t="str">
        <f t="shared" si="254"/>
        <v>WEEKDAY</v>
      </c>
      <c r="F7022" t="e">
        <f t="shared" si="255"/>
        <v>#N/A</v>
      </c>
      <c r="G7022" s="74">
        <v>29513</v>
      </c>
      <c r="H7022" s="77">
        <v>0.83333333333333337</v>
      </c>
      <c r="J7022">
        <v>62.06</v>
      </c>
      <c r="M7022" s="74">
        <v>36452</v>
      </c>
      <c r="N7022" s="77">
        <v>0.83333333333333337</v>
      </c>
      <c r="P7022">
        <v>46.4</v>
      </c>
      <c r="S7022" s="74">
        <v>37183</v>
      </c>
      <c r="T7022" s="77">
        <v>0.83333333333333337</v>
      </c>
      <c r="V7022">
        <v>55.94</v>
      </c>
      <c r="X7022" s="42"/>
      <c r="AB7022">
        <v>57.5</v>
      </c>
      <c r="AC7022">
        <v>51.980000000000004</v>
      </c>
      <c r="AE7022" s="74"/>
      <c r="AF7022" s="77"/>
      <c r="AH7022" s="497">
        <v>53.6</v>
      </c>
      <c r="AJ7022" s="42"/>
      <c r="AK7022" s="74"/>
      <c r="AL7022" s="77"/>
      <c r="AN7022" s="497">
        <v>46.94</v>
      </c>
      <c r="AP7022" s="42"/>
      <c r="AQ7022" s="74"/>
      <c r="AR7022" s="77"/>
      <c r="AT7022" s="497">
        <v>51.08</v>
      </c>
      <c r="AV7022" s="42"/>
      <c r="AW7022" s="74"/>
      <c r="AX7022" s="77"/>
      <c r="BA7022" s="497">
        <v>39.92</v>
      </c>
      <c r="BB7022" s="42"/>
      <c r="BC7022" s="74"/>
      <c r="BD7022" s="77"/>
      <c r="BF7022">
        <v>48.92</v>
      </c>
      <c r="BH7022" s="42"/>
      <c r="BI7022" s="74"/>
      <c r="BJ7022" s="77"/>
      <c r="BL7022" s="497">
        <v>46.94</v>
      </c>
      <c r="BN7022" s="42"/>
      <c r="BO7022" s="74"/>
      <c r="BP7022" s="77"/>
      <c r="BR7022" s="497">
        <v>46.04</v>
      </c>
      <c r="BT7022" s="42"/>
    </row>
    <row r="7023" spans="1:72" x14ac:dyDescent="0.25">
      <c r="A7023" s="90">
        <v>37183</v>
      </c>
      <c r="B7023" s="20">
        <v>0.875</v>
      </c>
      <c r="D7023">
        <v>57.019999999999996</v>
      </c>
      <c r="E7023" t="str">
        <f t="shared" si="254"/>
        <v>WEEKDAY</v>
      </c>
      <c r="F7023" t="e">
        <f t="shared" si="255"/>
        <v>#N/A</v>
      </c>
      <c r="G7023" s="74">
        <v>29513</v>
      </c>
      <c r="H7023" s="77">
        <v>0.875</v>
      </c>
      <c r="J7023">
        <v>62.06</v>
      </c>
      <c r="M7023" s="74">
        <v>36452</v>
      </c>
      <c r="N7023" s="77">
        <v>0.875</v>
      </c>
      <c r="P7023">
        <v>48.2</v>
      </c>
      <c r="S7023" s="74">
        <v>37183</v>
      </c>
      <c r="T7023" s="77">
        <v>0.875</v>
      </c>
      <c r="V7023">
        <v>55.94</v>
      </c>
      <c r="X7023" s="42"/>
      <c r="AB7023">
        <v>56.8</v>
      </c>
      <c r="AC7023">
        <v>53.06</v>
      </c>
      <c r="AE7023" s="74"/>
      <c r="AF7023" s="77"/>
      <c r="AH7023" s="497">
        <v>46.4</v>
      </c>
      <c r="AJ7023" s="42"/>
      <c r="AK7023" s="74"/>
      <c r="AL7023" s="77"/>
      <c r="AN7023" s="497">
        <v>46.04</v>
      </c>
      <c r="AP7023" s="42"/>
      <c r="AQ7023" s="74"/>
      <c r="AR7023" s="77"/>
      <c r="AT7023" s="497">
        <v>50</v>
      </c>
      <c r="AV7023" s="42"/>
      <c r="AW7023" s="74"/>
      <c r="AX7023" s="77"/>
      <c r="BA7023" s="497">
        <v>37.94</v>
      </c>
      <c r="BB7023" s="42"/>
      <c r="BC7023" s="74"/>
      <c r="BD7023" s="77"/>
      <c r="BF7023">
        <v>48.019999999999996</v>
      </c>
      <c r="BH7023" s="42"/>
      <c r="BI7023" s="74"/>
      <c r="BJ7023" s="77"/>
      <c r="BL7023" s="497">
        <v>46.94</v>
      </c>
      <c r="BN7023" s="42"/>
      <c r="BO7023" s="74"/>
      <c r="BP7023" s="77"/>
      <c r="BR7023" s="497">
        <v>44.96</v>
      </c>
      <c r="BT7023" s="42"/>
    </row>
    <row r="7024" spans="1:72" x14ac:dyDescent="0.25">
      <c r="A7024" s="90">
        <v>37183</v>
      </c>
      <c r="B7024" s="20">
        <v>0.91666666666666663</v>
      </c>
      <c r="D7024">
        <v>57.019999999999996</v>
      </c>
      <c r="E7024" t="str">
        <f t="shared" si="254"/>
        <v>WEEKDAY</v>
      </c>
      <c r="F7024" t="e">
        <f t="shared" si="255"/>
        <v>#N/A</v>
      </c>
      <c r="G7024" s="74">
        <v>29513</v>
      </c>
      <c r="H7024" s="77">
        <v>0.91666666666666663</v>
      </c>
      <c r="J7024">
        <v>62.06</v>
      </c>
      <c r="M7024" s="74">
        <v>36452</v>
      </c>
      <c r="N7024" s="77">
        <v>0.91666666666666663</v>
      </c>
      <c r="P7024">
        <v>46.4</v>
      </c>
      <c r="S7024" s="74">
        <v>37183</v>
      </c>
      <c r="T7024" s="77">
        <v>0.91666666666666663</v>
      </c>
      <c r="V7024">
        <v>55.94</v>
      </c>
      <c r="X7024" s="42"/>
      <c r="AB7024">
        <v>56.2</v>
      </c>
      <c r="AC7024">
        <v>48.019999999999996</v>
      </c>
      <c r="AE7024" s="74"/>
      <c r="AF7024" s="77"/>
      <c r="AH7024" s="497">
        <v>51.8</v>
      </c>
      <c r="AJ7024" s="42"/>
      <c r="AK7024" s="74"/>
      <c r="AL7024" s="77"/>
      <c r="AN7024" s="497">
        <v>44.96</v>
      </c>
      <c r="AP7024" s="42"/>
      <c r="AQ7024" s="74"/>
      <c r="AR7024" s="77"/>
      <c r="AT7024" s="497">
        <v>44.96</v>
      </c>
      <c r="AV7024" s="42"/>
      <c r="AW7024" s="74"/>
      <c r="AX7024" s="77"/>
      <c r="BA7024" s="497">
        <v>37.04</v>
      </c>
      <c r="BB7024" s="42"/>
      <c r="BC7024" s="74"/>
      <c r="BD7024" s="77"/>
      <c r="BF7024">
        <v>48.92</v>
      </c>
      <c r="BH7024" s="42"/>
      <c r="BI7024" s="74"/>
      <c r="BJ7024" s="77"/>
      <c r="BL7024" s="497">
        <v>46.94</v>
      </c>
      <c r="BN7024" s="42"/>
      <c r="BO7024" s="74"/>
      <c r="BP7024" s="77"/>
      <c r="BR7024" s="497">
        <v>44.06</v>
      </c>
      <c r="BT7024" s="42"/>
    </row>
    <row r="7025" spans="1:72" x14ac:dyDescent="0.25">
      <c r="A7025" s="90">
        <v>37183</v>
      </c>
      <c r="B7025" s="20">
        <v>0.95833333333333337</v>
      </c>
      <c r="D7025">
        <v>55.94</v>
      </c>
      <c r="E7025" t="str">
        <f t="shared" si="254"/>
        <v>WEEKDAY</v>
      </c>
      <c r="F7025" t="e">
        <f t="shared" si="255"/>
        <v>#N/A</v>
      </c>
      <c r="G7025" s="74">
        <v>29513</v>
      </c>
      <c r="H7025" s="77">
        <v>0.95833333333333337</v>
      </c>
      <c r="J7025">
        <v>60.980000000000004</v>
      </c>
      <c r="M7025" s="74">
        <v>36452</v>
      </c>
      <c r="N7025" s="77">
        <v>0.95833333333333337</v>
      </c>
      <c r="P7025">
        <v>46.4</v>
      </c>
      <c r="S7025" s="74">
        <v>37183</v>
      </c>
      <c r="T7025" s="77">
        <v>0.95833333333333337</v>
      </c>
      <c r="V7025">
        <v>55.94</v>
      </c>
      <c r="X7025" s="42"/>
      <c r="AB7025">
        <v>55.5</v>
      </c>
      <c r="AC7025">
        <v>44.96</v>
      </c>
      <c r="AE7025" s="74"/>
      <c r="AF7025" s="77"/>
      <c r="AH7025" s="497">
        <v>50</v>
      </c>
      <c r="AJ7025" s="42"/>
      <c r="AK7025" s="74"/>
      <c r="AL7025" s="77"/>
      <c r="AN7025" s="497">
        <v>44.96</v>
      </c>
      <c r="AP7025" s="42"/>
      <c r="AQ7025" s="74"/>
      <c r="AR7025" s="77"/>
      <c r="AT7025" s="497">
        <v>44.06</v>
      </c>
      <c r="AV7025" s="42"/>
      <c r="AW7025" s="74"/>
      <c r="AX7025" s="77"/>
      <c r="BA7025" s="497">
        <v>37.04</v>
      </c>
      <c r="BB7025" s="42"/>
      <c r="BC7025" s="74"/>
      <c r="BD7025" s="77"/>
      <c r="BF7025">
        <v>48.019999999999996</v>
      </c>
      <c r="BH7025" s="42"/>
      <c r="BI7025" s="74"/>
      <c r="BJ7025" s="77"/>
      <c r="BL7025" s="497">
        <v>46.04</v>
      </c>
      <c r="BN7025" s="42"/>
      <c r="BO7025" s="74"/>
      <c r="BP7025" s="77"/>
      <c r="BR7025" s="497">
        <v>44.06</v>
      </c>
      <c r="BT7025" s="42"/>
    </row>
    <row r="7026" spans="1:72" x14ac:dyDescent="0.25">
      <c r="A7026" s="90">
        <v>37183</v>
      </c>
      <c r="B7026" s="20">
        <v>1</v>
      </c>
      <c r="D7026">
        <v>55.94</v>
      </c>
      <c r="E7026" t="str">
        <f t="shared" si="254"/>
        <v>WEEKDAY</v>
      </c>
      <c r="F7026" t="e">
        <f t="shared" si="255"/>
        <v>#N/A</v>
      </c>
      <c r="G7026" s="74">
        <v>29513</v>
      </c>
      <c r="H7026" s="77">
        <v>1</v>
      </c>
      <c r="J7026">
        <v>60.08</v>
      </c>
      <c r="M7026" s="74">
        <v>36452</v>
      </c>
      <c r="N7026" s="80">
        <v>1</v>
      </c>
      <c r="P7026">
        <v>50</v>
      </c>
      <c r="S7026" s="74">
        <v>37183</v>
      </c>
      <c r="T7026" s="80">
        <v>1</v>
      </c>
      <c r="V7026">
        <v>53.96</v>
      </c>
      <c r="X7026" s="42"/>
      <c r="AB7026">
        <v>54.9</v>
      </c>
      <c r="AC7026">
        <v>42.08</v>
      </c>
      <c r="AE7026" s="74"/>
      <c r="AF7026" s="80"/>
      <c r="AH7026" s="497">
        <v>46.4</v>
      </c>
      <c r="AJ7026" s="42"/>
      <c r="AK7026" s="74"/>
      <c r="AL7026" s="80"/>
      <c r="AN7026" s="497">
        <v>44.06</v>
      </c>
      <c r="AP7026" s="42"/>
      <c r="AQ7026" s="74"/>
      <c r="AR7026" s="80"/>
      <c r="AT7026" s="497">
        <v>42.980000000000004</v>
      </c>
      <c r="AV7026" s="42"/>
      <c r="AW7026" s="74"/>
      <c r="AX7026" s="80"/>
      <c r="BA7026" s="497">
        <v>37.04</v>
      </c>
      <c r="BB7026" s="42"/>
      <c r="BC7026" s="74"/>
      <c r="BD7026" s="80"/>
      <c r="BF7026">
        <v>46.04</v>
      </c>
      <c r="BH7026" s="42"/>
      <c r="BI7026" s="74"/>
      <c r="BJ7026" s="80"/>
      <c r="BL7026" s="497">
        <v>46.94</v>
      </c>
      <c r="BN7026" s="42"/>
      <c r="BO7026" s="74"/>
      <c r="BP7026" s="80"/>
      <c r="BR7026" s="497">
        <v>42.980000000000004</v>
      </c>
      <c r="BT7026" s="42"/>
    </row>
    <row r="7027" spans="1:72" x14ac:dyDescent="0.25">
      <c r="A7027" s="90">
        <v>37184</v>
      </c>
      <c r="B7027" s="20">
        <v>4.1666666666666664E-2</v>
      </c>
      <c r="D7027">
        <v>55.040000000000006</v>
      </c>
      <c r="E7027" t="str">
        <f t="shared" si="254"/>
        <v>SATURDAY</v>
      </c>
      <c r="F7027" t="e">
        <f t="shared" si="255"/>
        <v>#N/A</v>
      </c>
      <c r="G7027" s="74">
        <v>29514</v>
      </c>
      <c r="H7027" s="77">
        <v>4.1666666666666664E-2</v>
      </c>
      <c r="J7027">
        <v>59</v>
      </c>
      <c r="M7027" s="74">
        <v>36453</v>
      </c>
      <c r="N7027" s="77">
        <v>4.1666666666666664E-2</v>
      </c>
      <c r="P7027">
        <v>50</v>
      </c>
      <c r="S7027" s="74">
        <v>37184</v>
      </c>
      <c r="T7027" s="77">
        <v>4.1666666666666664E-2</v>
      </c>
      <c r="V7027">
        <v>51.980000000000004</v>
      </c>
      <c r="X7027" s="42"/>
      <c r="AB7027">
        <v>54.2</v>
      </c>
      <c r="AC7027">
        <v>39.92</v>
      </c>
      <c r="AE7027" s="74"/>
      <c r="AF7027" s="77"/>
      <c r="AH7027" s="497">
        <v>46.4</v>
      </c>
      <c r="AJ7027" s="42"/>
      <c r="AK7027" s="74"/>
      <c r="AL7027" s="77"/>
      <c r="AN7027" s="497">
        <v>42.08</v>
      </c>
      <c r="AP7027" s="42"/>
      <c r="AQ7027" s="74"/>
      <c r="AR7027" s="77"/>
      <c r="AT7027" s="497">
        <v>37.94</v>
      </c>
      <c r="AV7027" s="42"/>
      <c r="AW7027" s="74"/>
      <c r="AX7027" s="77"/>
      <c r="BA7027" s="497">
        <v>37.04</v>
      </c>
      <c r="BB7027" s="42"/>
      <c r="BC7027" s="74"/>
      <c r="BD7027" s="77"/>
      <c r="BF7027">
        <v>46.04</v>
      </c>
      <c r="BH7027" s="42"/>
      <c r="BI7027" s="74"/>
      <c r="BJ7027" s="77"/>
      <c r="BL7027" s="497">
        <v>46.94</v>
      </c>
      <c r="BN7027" s="42"/>
      <c r="BO7027" s="74"/>
      <c r="BP7027" s="77"/>
      <c r="BR7027" s="497">
        <v>42.08</v>
      </c>
      <c r="BT7027" s="42"/>
    </row>
    <row r="7028" spans="1:72" x14ac:dyDescent="0.25">
      <c r="A7028" s="90">
        <v>37184</v>
      </c>
      <c r="B7028" s="20">
        <v>8.3333333333333329E-2</v>
      </c>
      <c r="D7028">
        <v>55.040000000000006</v>
      </c>
      <c r="E7028" t="str">
        <f t="shared" si="254"/>
        <v>SATURDAY</v>
      </c>
      <c r="F7028" t="e">
        <f t="shared" si="255"/>
        <v>#N/A</v>
      </c>
      <c r="G7028" s="74">
        <v>29514</v>
      </c>
      <c r="H7028" s="77">
        <v>8.3333333333333329E-2</v>
      </c>
      <c r="J7028">
        <v>56.66</v>
      </c>
      <c r="M7028" s="74">
        <v>36453</v>
      </c>
      <c r="N7028" s="77">
        <v>8.3333333333333329E-2</v>
      </c>
      <c r="P7028">
        <v>50</v>
      </c>
      <c r="S7028" s="74">
        <v>37184</v>
      </c>
      <c r="T7028" s="77">
        <v>8.3333333333333329E-2</v>
      </c>
      <c r="V7028">
        <v>51.980000000000004</v>
      </c>
      <c r="X7028" s="42"/>
      <c r="AB7028">
        <v>53.7</v>
      </c>
      <c r="AC7028">
        <v>37.94</v>
      </c>
      <c r="AE7028" s="74"/>
      <c r="AF7028" s="77"/>
      <c r="AH7028" s="497">
        <v>44.6</v>
      </c>
      <c r="AJ7028" s="42"/>
      <c r="AK7028" s="74"/>
      <c r="AL7028" s="77"/>
      <c r="AN7028" s="497">
        <v>42.08</v>
      </c>
      <c r="AP7028" s="42"/>
      <c r="AQ7028" s="74"/>
      <c r="AR7028" s="77"/>
      <c r="AT7028" s="497">
        <v>41</v>
      </c>
      <c r="AV7028" s="42"/>
      <c r="AW7028" s="74"/>
      <c r="AX7028" s="77"/>
      <c r="BA7028" s="497">
        <v>37.94</v>
      </c>
      <c r="BB7028" s="42"/>
      <c r="BC7028" s="74"/>
      <c r="BD7028" s="77"/>
      <c r="BF7028">
        <v>46.04</v>
      </c>
      <c r="BH7028" s="42"/>
      <c r="BI7028" s="74"/>
      <c r="BJ7028" s="77"/>
      <c r="BL7028" s="497">
        <v>46.94</v>
      </c>
      <c r="BN7028" s="42"/>
      <c r="BO7028" s="74"/>
      <c r="BP7028" s="77"/>
      <c r="BR7028" s="497">
        <v>41</v>
      </c>
      <c r="BT7028" s="42"/>
    </row>
    <row r="7029" spans="1:72" x14ac:dyDescent="0.25">
      <c r="A7029" s="90">
        <v>37184</v>
      </c>
      <c r="B7029" s="20">
        <v>0.125</v>
      </c>
      <c r="D7029">
        <v>55.040000000000006</v>
      </c>
      <c r="E7029" t="str">
        <f t="shared" si="254"/>
        <v>SATURDAY</v>
      </c>
      <c r="F7029" t="e">
        <f t="shared" si="255"/>
        <v>#N/A</v>
      </c>
      <c r="G7029" s="74">
        <v>29514</v>
      </c>
      <c r="H7029" s="77">
        <v>0.125</v>
      </c>
      <c r="J7029">
        <v>54.32</v>
      </c>
      <c r="M7029" s="74">
        <v>36453</v>
      </c>
      <c r="N7029" s="77">
        <v>0.125</v>
      </c>
      <c r="P7029">
        <v>50</v>
      </c>
      <c r="S7029" s="74">
        <v>37184</v>
      </c>
      <c r="T7029" s="77">
        <v>0.125</v>
      </c>
      <c r="V7029">
        <v>51.08</v>
      </c>
      <c r="X7029" s="42"/>
      <c r="AB7029">
        <v>53</v>
      </c>
      <c r="AC7029">
        <v>39.019999999999996</v>
      </c>
      <c r="AE7029" s="74"/>
      <c r="AF7029" s="77"/>
      <c r="AH7029" s="497">
        <v>44.6</v>
      </c>
      <c r="AJ7029" s="42"/>
      <c r="AK7029" s="74"/>
      <c r="AL7029" s="77"/>
      <c r="AN7029" s="497">
        <v>41</v>
      </c>
      <c r="AP7029" s="42"/>
      <c r="AQ7029" s="74"/>
      <c r="AR7029" s="77"/>
      <c r="AT7029" s="497">
        <v>33.08</v>
      </c>
      <c r="AV7029" s="42"/>
      <c r="AW7029" s="74"/>
      <c r="AX7029" s="77"/>
      <c r="BA7029" s="497">
        <v>37.94</v>
      </c>
      <c r="BB7029" s="42"/>
      <c r="BC7029" s="74"/>
      <c r="BD7029" s="77"/>
      <c r="BF7029">
        <v>44.96</v>
      </c>
      <c r="BH7029" s="42"/>
      <c r="BI7029" s="74"/>
      <c r="BJ7029" s="77"/>
      <c r="BL7029" s="497">
        <v>46.94</v>
      </c>
      <c r="BN7029" s="42"/>
      <c r="BO7029" s="74"/>
      <c r="BP7029" s="77"/>
      <c r="BR7029" s="497">
        <v>37.04</v>
      </c>
      <c r="BT7029" s="42"/>
    </row>
    <row r="7030" spans="1:72" x14ac:dyDescent="0.25">
      <c r="A7030" s="90">
        <v>37184</v>
      </c>
      <c r="B7030" s="20">
        <v>0.16666666666666666</v>
      </c>
      <c r="D7030">
        <v>53.96</v>
      </c>
      <c r="E7030" t="str">
        <f t="shared" si="254"/>
        <v>SATURDAY</v>
      </c>
      <c r="F7030" t="e">
        <f t="shared" si="255"/>
        <v>#N/A</v>
      </c>
      <c r="G7030" s="74">
        <v>29514</v>
      </c>
      <c r="H7030" s="77">
        <v>0.16666666666666666</v>
      </c>
      <c r="J7030">
        <v>51.980000000000004</v>
      </c>
      <c r="M7030" s="74">
        <v>36453</v>
      </c>
      <c r="N7030" s="77">
        <v>0.16666666666666666</v>
      </c>
      <c r="P7030">
        <v>50</v>
      </c>
      <c r="S7030" s="74">
        <v>37184</v>
      </c>
      <c r="T7030" s="77">
        <v>0.16666666666666666</v>
      </c>
      <c r="V7030">
        <v>51.980000000000004</v>
      </c>
      <c r="X7030" s="42"/>
      <c r="AB7030">
        <v>52.6</v>
      </c>
      <c r="AC7030">
        <v>39.019999999999996</v>
      </c>
      <c r="AE7030" s="74"/>
      <c r="AF7030" s="77"/>
      <c r="AH7030" s="497">
        <v>42.8</v>
      </c>
      <c r="AJ7030" s="42"/>
      <c r="AK7030" s="74"/>
      <c r="AL7030" s="77"/>
      <c r="AN7030" s="497">
        <v>39.019999999999996</v>
      </c>
      <c r="AP7030" s="42"/>
      <c r="AQ7030" s="74"/>
      <c r="AR7030" s="77"/>
      <c r="AT7030" s="497">
        <v>33.08</v>
      </c>
      <c r="AV7030" s="42"/>
      <c r="AW7030" s="74"/>
      <c r="AX7030" s="77"/>
      <c r="BA7030" s="497">
        <v>39.92</v>
      </c>
      <c r="BB7030" s="42"/>
      <c r="BC7030" s="74"/>
      <c r="BD7030" s="77"/>
      <c r="BF7030">
        <v>44.96</v>
      </c>
      <c r="BH7030" s="42"/>
      <c r="BI7030" s="74"/>
      <c r="BJ7030" s="77"/>
      <c r="BL7030" s="497">
        <v>46.04</v>
      </c>
      <c r="BN7030" s="42"/>
      <c r="BO7030" s="74"/>
      <c r="BP7030" s="77"/>
      <c r="BR7030" s="497">
        <v>33.979999999999997</v>
      </c>
      <c r="BT7030" s="42"/>
    </row>
    <row r="7031" spans="1:72" x14ac:dyDescent="0.25">
      <c r="A7031" s="90">
        <v>37184</v>
      </c>
      <c r="B7031" s="20">
        <v>0.20833333333333334</v>
      </c>
      <c r="D7031">
        <v>53.06</v>
      </c>
      <c r="E7031" t="str">
        <f t="shared" si="254"/>
        <v>SATURDAY</v>
      </c>
      <c r="F7031" t="e">
        <f t="shared" si="255"/>
        <v>#N/A</v>
      </c>
      <c r="G7031" s="74">
        <v>29514</v>
      </c>
      <c r="H7031" s="77">
        <v>0.20833333333333334</v>
      </c>
      <c r="J7031">
        <v>51.26</v>
      </c>
      <c r="M7031" s="74">
        <v>36453</v>
      </c>
      <c r="N7031" s="77">
        <v>0.20833333333333334</v>
      </c>
      <c r="P7031">
        <v>51.8</v>
      </c>
      <c r="S7031" s="74">
        <v>37184</v>
      </c>
      <c r="T7031" s="77">
        <v>0.20833333333333334</v>
      </c>
      <c r="V7031">
        <v>53.06</v>
      </c>
      <c r="X7031" s="42"/>
      <c r="AB7031">
        <v>52.2</v>
      </c>
      <c r="AC7031">
        <v>41</v>
      </c>
      <c r="AE7031" s="74"/>
      <c r="AF7031" s="77"/>
      <c r="AH7031" s="497">
        <v>42.8</v>
      </c>
      <c r="AJ7031" s="42"/>
      <c r="AK7031" s="74"/>
      <c r="AL7031" s="77"/>
      <c r="AN7031" s="497">
        <v>35.96</v>
      </c>
      <c r="AP7031" s="42"/>
      <c r="AQ7031" s="74"/>
      <c r="AR7031" s="77"/>
      <c r="AT7031" s="497">
        <v>33.08</v>
      </c>
      <c r="AV7031" s="42"/>
      <c r="AW7031" s="74"/>
      <c r="AX7031" s="77"/>
      <c r="BA7031" s="497">
        <v>37.04</v>
      </c>
      <c r="BB7031" s="42"/>
      <c r="BC7031" s="74"/>
      <c r="BD7031" s="77"/>
      <c r="BF7031">
        <v>42.980000000000004</v>
      </c>
      <c r="BH7031" s="42"/>
      <c r="BI7031" s="74"/>
      <c r="BJ7031" s="77"/>
      <c r="BL7031" s="497">
        <v>46.04</v>
      </c>
      <c r="BN7031" s="42"/>
      <c r="BO7031" s="74"/>
      <c r="BP7031" s="77"/>
      <c r="BR7031" s="497">
        <v>32</v>
      </c>
      <c r="BT7031" s="42"/>
    </row>
    <row r="7032" spans="1:72" x14ac:dyDescent="0.25">
      <c r="A7032" s="90">
        <v>37184</v>
      </c>
      <c r="B7032" s="20">
        <v>0.25</v>
      </c>
      <c r="D7032">
        <v>53.06</v>
      </c>
      <c r="E7032" t="str">
        <f t="shared" si="254"/>
        <v>SATURDAY</v>
      </c>
      <c r="F7032" t="e">
        <f t="shared" si="255"/>
        <v>#N/A</v>
      </c>
      <c r="G7032" s="74">
        <v>29514</v>
      </c>
      <c r="H7032" s="77">
        <v>0.25</v>
      </c>
      <c r="J7032">
        <v>50.72</v>
      </c>
      <c r="M7032" s="74">
        <v>36453</v>
      </c>
      <c r="N7032" s="77">
        <v>0.25</v>
      </c>
      <c r="P7032">
        <v>51.8</v>
      </c>
      <c r="S7032" s="74">
        <v>37184</v>
      </c>
      <c r="T7032" s="77">
        <v>0.25</v>
      </c>
      <c r="V7032">
        <v>51.08</v>
      </c>
      <c r="X7032" s="42"/>
      <c r="AB7032">
        <v>52</v>
      </c>
      <c r="AC7032">
        <v>42.08</v>
      </c>
      <c r="AE7032" s="74"/>
      <c r="AF7032" s="77"/>
      <c r="AH7032" s="497">
        <v>42.8</v>
      </c>
      <c r="AJ7032" s="42"/>
      <c r="AK7032" s="74"/>
      <c r="AL7032" s="77"/>
      <c r="AN7032" s="497">
        <v>37.94</v>
      </c>
      <c r="AP7032" s="42"/>
      <c r="AQ7032" s="74"/>
      <c r="AR7032" s="77"/>
      <c r="AT7032" s="497">
        <v>32</v>
      </c>
      <c r="AV7032" s="42"/>
      <c r="AW7032" s="74"/>
      <c r="AX7032" s="77"/>
      <c r="BA7032" s="497">
        <v>35.96</v>
      </c>
      <c r="BB7032" s="42"/>
      <c r="BC7032" s="74"/>
      <c r="BD7032" s="77"/>
      <c r="BF7032">
        <v>42.08</v>
      </c>
      <c r="BH7032" s="42"/>
      <c r="BI7032" s="74"/>
      <c r="BJ7032" s="77"/>
      <c r="BL7032" s="497">
        <v>46.04</v>
      </c>
      <c r="BN7032" s="42"/>
      <c r="BO7032" s="74"/>
      <c r="BP7032" s="77"/>
      <c r="BR7032" s="497">
        <v>37.04</v>
      </c>
      <c r="BT7032" s="42"/>
    </row>
    <row r="7033" spans="1:72" x14ac:dyDescent="0.25">
      <c r="A7033" s="90">
        <v>37184</v>
      </c>
      <c r="B7033" s="20">
        <v>0.29166666666666669</v>
      </c>
      <c r="D7033">
        <v>53.06</v>
      </c>
      <c r="E7033" t="str">
        <f t="shared" si="254"/>
        <v>SATURDAY</v>
      </c>
      <c r="F7033" t="e">
        <f t="shared" si="255"/>
        <v>#N/A</v>
      </c>
      <c r="G7033" s="74">
        <v>29514</v>
      </c>
      <c r="H7033" s="77">
        <v>0.29166666666666669</v>
      </c>
      <c r="J7033">
        <v>50</v>
      </c>
      <c r="M7033" s="74">
        <v>36453</v>
      </c>
      <c r="N7033" s="77">
        <v>0.29166666666666669</v>
      </c>
      <c r="P7033">
        <v>51.8</v>
      </c>
      <c r="S7033" s="74">
        <v>37184</v>
      </c>
      <c r="T7033" s="77">
        <v>0.29166666666666669</v>
      </c>
      <c r="V7033">
        <v>51.980000000000004</v>
      </c>
      <c r="X7033" s="42"/>
      <c r="AB7033">
        <v>51.8</v>
      </c>
      <c r="AC7033">
        <v>42.08</v>
      </c>
      <c r="AE7033" s="74"/>
      <c r="AF7033" s="77"/>
      <c r="AH7033" s="497">
        <v>42.8</v>
      </c>
      <c r="AJ7033" s="42"/>
      <c r="AK7033" s="74"/>
      <c r="AL7033" s="77"/>
      <c r="AN7033" s="497">
        <v>41</v>
      </c>
      <c r="AP7033" s="42"/>
      <c r="AQ7033" s="74"/>
      <c r="AR7033" s="77"/>
      <c r="AT7033" s="497">
        <v>32</v>
      </c>
      <c r="AV7033" s="42"/>
      <c r="AW7033" s="74"/>
      <c r="AX7033" s="77"/>
      <c r="BA7033" s="497">
        <v>39.019999999999996</v>
      </c>
      <c r="BB7033" s="42"/>
      <c r="BC7033" s="74"/>
      <c r="BD7033" s="77"/>
      <c r="BF7033">
        <v>41</v>
      </c>
      <c r="BH7033" s="42"/>
      <c r="BI7033" s="74"/>
      <c r="BJ7033" s="77"/>
      <c r="BL7033" s="497">
        <v>44.96</v>
      </c>
      <c r="BN7033" s="42"/>
      <c r="BO7033" s="74"/>
      <c r="BP7033" s="77"/>
      <c r="BR7033" s="497">
        <v>32</v>
      </c>
      <c r="BT7033" s="42"/>
    </row>
    <row r="7034" spans="1:72" x14ac:dyDescent="0.25">
      <c r="A7034" s="90">
        <v>37184</v>
      </c>
      <c r="B7034" s="20">
        <v>0.33333333333333331</v>
      </c>
      <c r="D7034">
        <v>55.94</v>
      </c>
      <c r="E7034" t="str">
        <f t="shared" si="254"/>
        <v>SATURDAY</v>
      </c>
      <c r="F7034" t="e">
        <f t="shared" si="255"/>
        <v>#N/A</v>
      </c>
      <c r="G7034" s="74">
        <v>29514</v>
      </c>
      <c r="H7034" s="77">
        <v>0.33333333333333331</v>
      </c>
      <c r="J7034">
        <v>51.26</v>
      </c>
      <c r="M7034" s="74">
        <v>36453</v>
      </c>
      <c r="N7034" s="77">
        <v>0.33333333333333331</v>
      </c>
      <c r="P7034">
        <v>51.8</v>
      </c>
      <c r="S7034" s="74">
        <v>37184</v>
      </c>
      <c r="T7034" s="77">
        <v>0.33333333333333331</v>
      </c>
      <c r="V7034">
        <v>53.96</v>
      </c>
      <c r="X7034" s="42"/>
      <c r="AB7034">
        <v>52.5</v>
      </c>
      <c r="AC7034">
        <v>53.06</v>
      </c>
      <c r="AE7034" s="74"/>
      <c r="AF7034" s="77"/>
      <c r="AH7034" s="497">
        <v>46.4</v>
      </c>
      <c r="AJ7034" s="42"/>
      <c r="AK7034" s="74"/>
      <c r="AL7034" s="77"/>
      <c r="AN7034" s="497">
        <v>42.08</v>
      </c>
      <c r="AP7034" s="42"/>
      <c r="AQ7034" s="74"/>
      <c r="AR7034" s="77"/>
      <c r="AT7034" s="497">
        <v>41</v>
      </c>
      <c r="AV7034" s="42"/>
      <c r="AW7034" s="74"/>
      <c r="AX7034" s="77"/>
      <c r="BA7034" s="497">
        <v>46.04</v>
      </c>
      <c r="BB7034" s="42"/>
      <c r="BC7034" s="74"/>
      <c r="BD7034" s="77"/>
      <c r="BF7034">
        <v>44.06</v>
      </c>
      <c r="BH7034" s="42"/>
      <c r="BI7034" s="74"/>
      <c r="BJ7034" s="77"/>
      <c r="BL7034" s="497">
        <v>46.04</v>
      </c>
      <c r="BN7034" s="42"/>
      <c r="BO7034" s="74"/>
      <c r="BP7034" s="77"/>
      <c r="BR7034" s="497">
        <v>42.980000000000004</v>
      </c>
      <c r="BT7034" s="42"/>
    </row>
    <row r="7035" spans="1:72" x14ac:dyDescent="0.25">
      <c r="A7035" s="90">
        <v>37184</v>
      </c>
      <c r="B7035" s="20">
        <v>0.375</v>
      </c>
      <c r="D7035">
        <v>57.019999999999996</v>
      </c>
      <c r="E7035" t="str">
        <f t="shared" si="254"/>
        <v>SATURDAY</v>
      </c>
      <c r="F7035" t="e">
        <f t="shared" si="255"/>
        <v>#N/A</v>
      </c>
      <c r="G7035" s="74">
        <v>29514</v>
      </c>
      <c r="H7035" s="77">
        <v>0.375</v>
      </c>
      <c r="J7035">
        <v>52.7</v>
      </c>
      <c r="M7035" s="74">
        <v>36453</v>
      </c>
      <c r="N7035" s="77">
        <v>0.375</v>
      </c>
      <c r="P7035">
        <v>51.8</v>
      </c>
      <c r="S7035" s="74">
        <v>37184</v>
      </c>
      <c r="T7035" s="77">
        <v>0.375</v>
      </c>
      <c r="V7035">
        <v>55.040000000000006</v>
      </c>
      <c r="X7035" s="42"/>
      <c r="AB7035">
        <v>54.7</v>
      </c>
      <c r="AC7035">
        <v>57.92</v>
      </c>
      <c r="AE7035" s="74"/>
      <c r="AF7035" s="77"/>
      <c r="AH7035" s="497">
        <v>50</v>
      </c>
      <c r="AJ7035" s="42"/>
      <c r="AK7035" s="74"/>
      <c r="AL7035" s="77"/>
      <c r="AN7035" s="497">
        <v>42.980000000000004</v>
      </c>
      <c r="AP7035" s="42"/>
      <c r="AQ7035" s="74"/>
      <c r="AR7035" s="77"/>
      <c r="AT7035" s="497">
        <v>48.92</v>
      </c>
      <c r="AV7035" s="42"/>
      <c r="AW7035" s="74"/>
      <c r="AX7035" s="77"/>
      <c r="BA7035" s="497">
        <v>48.92</v>
      </c>
      <c r="BB7035" s="42"/>
      <c r="BC7035" s="74"/>
      <c r="BD7035" s="77"/>
      <c r="BF7035">
        <v>46.04</v>
      </c>
      <c r="BH7035" s="42"/>
      <c r="BI7035" s="74"/>
      <c r="BJ7035" s="77"/>
      <c r="BL7035" s="497">
        <v>48.92</v>
      </c>
      <c r="BN7035" s="42"/>
      <c r="BO7035" s="74"/>
      <c r="BP7035" s="77"/>
      <c r="BR7035" s="497">
        <v>46.94</v>
      </c>
      <c r="BT7035" s="42"/>
    </row>
    <row r="7036" spans="1:72" x14ac:dyDescent="0.25">
      <c r="A7036" s="90">
        <v>37184</v>
      </c>
      <c r="B7036" s="20">
        <v>0.41666666666666669</v>
      </c>
      <c r="D7036">
        <v>59</v>
      </c>
      <c r="E7036" t="str">
        <f t="shared" si="254"/>
        <v>SATURDAY</v>
      </c>
      <c r="F7036" t="e">
        <f t="shared" si="255"/>
        <v>#N/A</v>
      </c>
      <c r="G7036" s="74">
        <v>29514</v>
      </c>
      <c r="H7036" s="77">
        <v>0.41666666666666669</v>
      </c>
      <c r="J7036">
        <v>53.96</v>
      </c>
      <c r="M7036" s="74">
        <v>36453</v>
      </c>
      <c r="N7036" s="77">
        <v>0.41666666666666669</v>
      </c>
      <c r="P7036">
        <v>53.6</v>
      </c>
      <c r="S7036" s="74">
        <v>37184</v>
      </c>
      <c r="T7036" s="77">
        <v>0.41666666666666669</v>
      </c>
      <c r="V7036">
        <v>57.92</v>
      </c>
      <c r="X7036" s="42"/>
      <c r="AB7036">
        <v>56.8</v>
      </c>
      <c r="AC7036">
        <v>60.980000000000004</v>
      </c>
      <c r="AE7036" s="74"/>
      <c r="AF7036" s="77"/>
      <c r="AH7036" s="497">
        <v>51.8</v>
      </c>
      <c r="AJ7036" s="42"/>
      <c r="AK7036" s="74"/>
      <c r="AL7036" s="77"/>
      <c r="AN7036" s="497">
        <v>44.96</v>
      </c>
      <c r="AP7036" s="42"/>
      <c r="AQ7036" s="74"/>
      <c r="AR7036" s="77"/>
      <c r="AT7036" s="497">
        <v>53.06</v>
      </c>
      <c r="AV7036" s="42"/>
      <c r="AW7036" s="74"/>
      <c r="AX7036" s="77"/>
      <c r="BA7036" s="497">
        <v>51.980000000000004</v>
      </c>
      <c r="BB7036" s="42"/>
      <c r="BC7036" s="74"/>
      <c r="BD7036" s="77"/>
      <c r="BF7036">
        <v>46.94</v>
      </c>
      <c r="BH7036" s="42"/>
      <c r="BI7036" s="74"/>
      <c r="BJ7036" s="77"/>
      <c r="BL7036" s="497">
        <v>51.08</v>
      </c>
      <c r="BN7036" s="42"/>
      <c r="BO7036" s="74"/>
      <c r="BP7036" s="77"/>
      <c r="BR7036" s="497">
        <v>51.08</v>
      </c>
      <c r="BT7036" s="42"/>
    </row>
    <row r="7037" spans="1:72" x14ac:dyDescent="0.25">
      <c r="A7037" s="90">
        <v>37184</v>
      </c>
      <c r="B7037" s="20">
        <v>0.45833333333333331</v>
      </c>
      <c r="D7037">
        <v>62.06</v>
      </c>
      <c r="E7037" t="str">
        <f t="shared" si="254"/>
        <v>SATURDAY</v>
      </c>
      <c r="F7037" t="e">
        <f t="shared" si="255"/>
        <v>#N/A</v>
      </c>
      <c r="G7037" s="74">
        <v>29514</v>
      </c>
      <c r="H7037" s="77">
        <v>0.45833333333333331</v>
      </c>
      <c r="J7037">
        <v>55.22</v>
      </c>
      <c r="M7037" s="74">
        <v>36453</v>
      </c>
      <c r="N7037" s="77">
        <v>0.45833333333333331</v>
      </c>
      <c r="P7037">
        <v>53.6</v>
      </c>
      <c r="S7037" s="74">
        <v>37184</v>
      </c>
      <c r="T7037" s="77">
        <v>0.45833333333333331</v>
      </c>
      <c r="V7037">
        <v>60.980000000000004</v>
      </c>
      <c r="X7037" s="42"/>
      <c r="AB7037">
        <v>58.5</v>
      </c>
      <c r="AC7037">
        <v>62.06</v>
      </c>
      <c r="AE7037" s="74"/>
      <c r="AF7037" s="77"/>
      <c r="AH7037" s="497">
        <v>53.6</v>
      </c>
      <c r="AJ7037" s="42"/>
      <c r="AK7037" s="74"/>
      <c r="AL7037" s="77"/>
      <c r="AN7037" s="497">
        <v>48.92</v>
      </c>
      <c r="AP7037" s="42"/>
      <c r="AQ7037" s="74"/>
      <c r="AR7037" s="77"/>
      <c r="AT7037" s="497">
        <v>55.94</v>
      </c>
      <c r="AV7037" s="42"/>
      <c r="AW7037" s="74"/>
      <c r="AX7037" s="77"/>
      <c r="BA7037" s="497">
        <v>53.06</v>
      </c>
      <c r="BB7037" s="42"/>
      <c r="BC7037" s="74"/>
      <c r="BD7037" s="77"/>
      <c r="BF7037">
        <v>50</v>
      </c>
      <c r="BH7037" s="42"/>
      <c r="BI7037" s="74"/>
      <c r="BJ7037" s="77"/>
      <c r="BL7037" s="497">
        <v>51.08</v>
      </c>
      <c r="BN7037" s="42"/>
      <c r="BO7037" s="74"/>
      <c r="BP7037" s="77"/>
      <c r="BR7037" s="497">
        <v>55.040000000000006</v>
      </c>
      <c r="BT7037" s="42"/>
    </row>
    <row r="7038" spans="1:72" x14ac:dyDescent="0.25">
      <c r="A7038" s="90">
        <v>37184</v>
      </c>
      <c r="B7038" s="20">
        <v>0.5</v>
      </c>
      <c r="D7038">
        <v>66.02</v>
      </c>
      <c r="E7038" t="str">
        <f t="shared" si="254"/>
        <v>SATURDAY</v>
      </c>
      <c r="F7038" t="e">
        <f t="shared" si="255"/>
        <v>#N/A</v>
      </c>
      <c r="G7038" s="74">
        <v>29514</v>
      </c>
      <c r="H7038" s="77">
        <v>0.5</v>
      </c>
      <c r="J7038">
        <v>56.66</v>
      </c>
      <c r="M7038" s="74">
        <v>36453</v>
      </c>
      <c r="N7038" s="77">
        <v>0.5</v>
      </c>
      <c r="P7038">
        <v>53.6</v>
      </c>
      <c r="S7038" s="74">
        <v>37184</v>
      </c>
      <c r="T7038" s="77">
        <v>0.5</v>
      </c>
      <c r="V7038">
        <v>64.039999999999992</v>
      </c>
      <c r="X7038" s="42"/>
      <c r="AB7038">
        <v>59.9</v>
      </c>
      <c r="AC7038">
        <v>62.06</v>
      </c>
      <c r="AE7038" s="74"/>
      <c r="AF7038" s="77"/>
      <c r="AH7038" s="497">
        <v>53.6</v>
      </c>
      <c r="AJ7038" s="42"/>
      <c r="AK7038" s="74"/>
      <c r="AL7038" s="77"/>
      <c r="AN7038" s="497">
        <v>51.980000000000004</v>
      </c>
      <c r="AP7038" s="42"/>
      <c r="AQ7038" s="74"/>
      <c r="AR7038" s="77"/>
      <c r="AT7038" s="497">
        <v>60.08</v>
      </c>
      <c r="AV7038" s="42"/>
      <c r="AW7038" s="74"/>
      <c r="AX7038" s="77"/>
      <c r="BA7038" s="497">
        <v>57.019999999999996</v>
      </c>
      <c r="BB7038" s="42"/>
      <c r="BC7038" s="74"/>
      <c r="BD7038" s="77"/>
      <c r="BF7038">
        <v>53.06</v>
      </c>
      <c r="BH7038" s="42"/>
      <c r="BI7038" s="74"/>
      <c r="BJ7038" s="77"/>
      <c r="BL7038" s="497">
        <v>51.08</v>
      </c>
      <c r="BN7038" s="42"/>
      <c r="BO7038" s="74"/>
      <c r="BP7038" s="77"/>
      <c r="BR7038" s="497">
        <v>55.94</v>
      </c>
      <c r="BT7038" s="42"/>
    </row>
    <row r="7039" spans="1:72" x14ac:dyDescent="0.25">
      <c r="A7039" s="90">
        <v>37184</v>
      </c>
      <c r="B7039" s="20">
        <v>0.54166666666666663</v>
      </c>
      <c r="D7039">
        <v>68</v>
      </c>
      <c r="E7039" t="str">
        <f t="shared" si="254"/>
        <v>SATURDAY</v>
      </c>
      <c r="F7039" t="e">
        <f t="shared" si="255"/>
        <v>#N/A</v>
      </c>
      <c r="G7039" s="74">
        <v>29514</v>
      </c>
      <c r="H7039" s="77">
        <v>0.54166666666666663</v>
      </c>
      <c r="J7039">
        <v>57.92</v>
      </c>
      <c r="M7039" s="74">
        <v>36453</v>
      </c>
      <c r="N7039" s="77">
        <v>0.54166666666666663</v>
      </c>
      <c r="P7039">
        <v>53.78</v>
      </c>
      <c r="S7039" s="74">
        <v>37184</v>
      </c>
      <c r="T7039" s="77">
        <v>0.54166666666666663</v>
      </c>
      <c r="V7039">
        <v>66.92</v>
      </c>
      <c r="X7039" s="42"/>
      <c r="AB7039">
        <v>60.8</v>
      </c>
      <c r="AC7039">
        <v>62.96</v>
      </c>
      <c r="AE7039" s="74"/>
      <c r="AF7039" s="77"/>
      <c r="AH7039" s="497">
        <v>55.400000000000006</v>
      </c>
      <c r="AJ7039" s="42"/>
      <c r="AK7039" s="74"/>
      <c r="AL7039" s="77"/>
      <c r="AN7039" s="497">
        <v>53.96</v>
      </c>
      <c r="AP7039" s="42"/>
      <c r="AQ7039" s="74"/>
      <c r="AR7039" s="77"/>
      <c r="AT7039" s="497">
        <v>62.06</v>
      </c>
      <c r="AV7039" s="42"/>
      <c r="AW7039" s="74"/>
      <c r="AX7039" s="77"/>
      <c r="BA7039" s="497">
        <v>55.94</v>
      </c>
      <c r="BB7039" s="42"/>
      <c r="BC7039" s="74"/>
      <c r="BD7039" s="77"/>
      <c r="BF7039">
        <v>53.06</v>
      </c>
      <c r="BH7039" s="42"/>
      <c r="BI7039" s="74"/>
      <c r="BJ7039" s="77"/>
      <c r="BL7039" s="497">
        <v>53.06</v>
      </c>
      <c r="BN7039" s="42"/>
      <c r="BO7039" s="74"/>
      <c r="BP7039" s="77"/>
      <c r="BR7039" s="497">
        <v>57.019999999999996</v>
      </c>
      <c r="BT7039" s="42"/>
    </row>
    <row r="7040" spans="1:72" x14ac:dyDescent="0.25">
      <c r="A7040" s="90">
        <v>37184</v>
      </c>
      <c r="B7040" s="20">
        <v>0.58333333333333337</v>
      </c>
      <c r="D7040">
        <v>69.98</v>
      </c>
      <c r="E7040" t="str">
        <f t="shared" si="254"/>
        <v>SATURDAY</v>
      </c>
      <c r="F7040" t="e">
        <f t="shared" si="255"/>
        <v>#N/A</v>
      </c>
      <c r="G7040" s="74">
        <v>29514</v>
      </c>
      <c r="H7040" s="77">
        <v>0.58333333333333337</v>
      </c>
      <c r="J7040">
        <v>57.92</v>
      </c>
      <c r="M7040" s="74">
        <v>36453</v>
      </c>
      <c r="N7040" s="77">
        <v>0.58333333333333337</v>
      </c>
      <c r="P7040">
        <v>53.6</v>
      </c>
      <c r="S7040" s="74">
        <v>37184</v>
      </c>
      <c r="T7040" s="77">
        <v>0.58333333333333337</v>
      </c>
      <c r="V7040">
        <v>68</v>
      </c>
      <c r="X7040" s="42"/>
      <c r="AB7040">
        <v>61.4</v>
      </c>
      <c r="AC7040">
        <v>62.06</v>
      </c>
      <c r="AE7040" s="74"/>
      <c r="AF7040" s="77"/>
      <c r="AH7040" s="497">
        <v>57.2</v>
      </c>
      <c r="AJ7040" s="42"/>
      <c r="AK7040" s="74"/>
      <c r="AL7040" s="77"/>
      <c r="AN7040" s="497">
        <v>57.019999999999996</v>
      </c>
      <c r="AP7040" s="42"/>
      <c r="AQ7040" s="74"/>
      <c r="AR7040" s="77"/>
      <c r="AT7040" s="497">
        <v>62.96</v>
      </c>
      <c r="AV7040" s="42"/>
      <c r="AW7040" s="74"/>
      <c r="AX7040" s="77"/>
      <c r="BA7040" s="497">
        <v>57.92</v>
      </c>
      <c r="BB7040" s="42"/>
      <c r="BC7040" s="74"/>
      <c r="BD7040" s="77"/>
      <c r="BF7040">
        <v>55.040000000000006</v>
      </c>
      <c r="BH7040" s="42"/>
      <c r="BI7040" s="74"/>
      <c r="BJ7040" s="77"/>
      <c r="BL7040" s="497">
        <v>53.06</v>
      </c>
      <c r="BN7040" s="42"/>
      <c r="BO7040" s="74"/>
      <c r="BP7040" s="77"/>
      <c r="BR7040" s="497">
        <v>59</v>
      </c>
      <c r="BT7040" s="42"/>
    </row>
    <row r="7041" spans="1:72" x14ac:dyDescent="0.25">
      <c r="A7041" s="90">
        <v>37184</v>
      </c>
      <c r="B7041" s="20">
        <v>0.625</v>
      </c>
      <c r="D7041">
        <v>71.06</v>
      </c>
      <c r="E7041" t="str">
        <f t="shared" si="254"/>
        <v>SATURDAY</v>
      </c>
      <c r="F7041" t="e">
        <f t="shared" si="255"/>
        <v>#N/A</v>
      </c>
      <c r="G7041" s="74">
        <v>29514</v>
      </c>
      <c r="H7041" s="77">
        <v>0.625</v>
      </c>
      <c r="J7041">
        <v>57.92</v>
      </c>
      <c r="M7041" s="74">
        <v>36453</v>
      </c>
      <c r="N7041" s="77">
        <v>0.625</v>
      </c>
      <c r="P7041">
        <v>53.6</v>
      </c>
      <c r="S7041" s="74">
        <v>37184</v>
      </c>
      <c r="T7041" s="77">
        <v>0.625</v>
      </c>
      <c r="V7041">
        <v>69.080000000000013</v>
      </c>
      <c r="X7041" s="42"/>
      <c r="AB7041">
        <v>61.6</v>
      </c>
      <c r="AC7041">
        <v>60.08</v>
      </c>
      <c r="AE7041" s="74"/>
      <c r="AF7041" s="77"/>
      <c r="AH7041" s="497">
        <v>55.400000000000006</v>
      </c>
      <c r="AJ7041" s="42"/>
      <c r="AK7041" s="74"/>
      <c r="AL7041" s="77"/>
      <c r="AN7041" s="497">
        <v>57.92</v>
      </c>
      <c r="AP7041" s="42"/>
      <c r="AQ7041" s="74"/>
      <c r="AR7041" s="77"/>
      <c r="AT7041" s="497">
        <v>64.039999999999992</v>
      </c>
      <c r="AV7041" s="42"/>
      <c r="AW7041" s="74"/>
      <c r="AX7041" s="77"/>
      <c r="BA7041" s="497">
        <v>59</v>
      </c>
      <c r="BB7041" s="42"/>
      <c r="BC7041" s="74"/>
      <c r="BD7041" s="77"/>
      <c r="BF7041">
        <v>53.06</v>
      </c>
      <c r="BH7041" s="42"/>
      <c r="BI7041" s="74"/>
      <c r="BJ7041" s="77"/>
      <c r="BL7041" s="497">
        <v>55.94</v>
      </c>
      <c r="BN7041" s="42"/>
      <c r="BO7041" s="74"/>
      <c r="BP7041" s="77"/>
      <c r="BR7041" s="497">
        <v>55.94</v>
      </c>
      <c r="BT7041" s="42"/>
    </row>
    <row r="7042" spans="1:72" x14ac:dyDescent="0.25">
      <c r="A7042" s="90">
        <v>37184</v>
      </c>
      <c r="B7042" s="20">
        <v>0.66666666666666663</v>
      </c>
      <c r="D7042">
        <v>69.98</v>
      </c>
      <c r="E7042" t="str">
        <f t="shared" si="254"/>
        <v>SATURDAY</v>
      </c>
      <c r="F7042" t="e">
        <f t="shared" si="255"/>
        <v>#N/A</v>
      </c>
      <c r="G7042" s="74">
        <v>29514</v>
      </c>
      <c r="H7042" s="77">
        <v>0.66666666666666663</v>
      </c>
      <c r="J7042">
        <v>57.92</v>
      </c>
      <c r="M7042" s="74">
        <v>36453</v>
      </c>
      <c r="N7042" s="77">
        <v>0.66666666666666663</v>
      </c>
      <c r="P7042">
        <v>53.6</v>
      </c>
      <c r="S7042" s="74">
        <v>37184</v>
      </c>
      <c r="T7042" s="77">
        <v>0.66666666666666663</v>
      </c>
      <c r="V7042">
        <v>66.92</v>
      </c>
      <c r="X7042" s="42"/>
      <c r="AB7042">
        <v>61.4</v>
      </c>
      <c r="AC7042">
        <v>59</v>
      </c>
      <c r="AE7042" s="74"/>
      <c r="AF7042" s="77"/>
      <c r="AH7042" s="497">
        <v>55.400000000000006</v>
      </c>
      <c r="AJ7042" s="42"/>
      <c r="AK7042" s="74"/>
      <c r="AL7042" s="77"/>
      <c r="AN7042" s="497">
        <v>57.019999999999996</v>
      </c>
      <c r="AP7042" s="42"/>
      <c r="AQ7042" s="74"/>
      <c r="AR7042" s="77"/>
      <c r="AT7042" s="497">
        <v>60.980000000000004</v>
      </c>
      <c r="AV7042" s="42"/>
      <c r="AW7042" s="74"/>
      <c r="AX7042" s="77"/>
      <c r="BA7042" s="497">
        <v>59</v>
      </c>
      <c r="BB7042" s="42"/>
      <c r="BC7042" s="74"/>
      <c r="BD7042" s="77"/>
      <c r="BF7042">
        <v>53.06</v>
      </c>
      <c r="BH7042" s="42"/>
      <c r="BI7042" s="74"/>
      <c r="BJ7042" s="77"/>
      <c r="BL7042" s="497">
        <v>55.94</v>
      </c>
      <c r="BN7042" s="42"/>
      <c r="BO7042" s="74"/>
      <c r="BP7042" s="77"/>
      <c r="BR7042" s="497">
        <v>55.040000000000006</v>
      </c>
      <c r="BT7042" s="42"/>
    </row>
    <row r="7043" spans="1:72" x14ac:dyDescent="0.25">
      <c r="A7043" s="90">
        <v>37184</v>
      </c>
      <c r="B7043" s="20">
        <v>0.70833333333333337</v>
      </c>
      <c r="D7043">
        <v>69.080000000000013</v>
      </c>
      <c r="E7043" t="str">
        <f t="shared" si="254"/>
        <v>SATURDAY</v>
      </c>
      <c r="F7043" t="e">
        <f t="shared" si="255"/>
        <v>#N/A</v>
      </c>
      <c r="G7043" s="74">
        <v>29514</v>
      </c>
      <c r="H7043" s="77">
        <v>0.70833333333333337</v>
      </c>
      <c r="J7043">
        <v>57.019999999999996</v>
      </c>
      <c r="M7043" s="74">
        <v>36453</v>
      </c>
      <c r="N7043" s="77">
        <v>0.70833333333333337</v>
      </c>
      <c r="P7043">
        <v>51.8</v>
      </c>
      <c r="S7043" s="74">
        <v>37184</v>
      </c>
      <c r="T7043" s="77">
        <v>0.70833333333333337</v>
      </c>
      <c r="V7043">
        <v>62.96</v>
      </c>
      <c r="X7043" s="42"/>
      <c r="AB7043">
        <v>60.5</v>
      </c>
      <c r="AC7043">
        <v>55.94</v>
      </c>
      <c r="AE7043" s="74"/>
      <c r="AF7043" s="77"/>
      <c r="AH7043" s="497">
        <v>51.8</v>
      </c>
      <c r="AJ7043" s="42"/>
      <c r="AK7043" s="74"/>
      <c r="AL7043" s="77"/>
      <c r="AN7043" s="497">
        <v>55.94</v>
      </c>
      <c r="AP7043" s="42"/>
      <c r="AQ7043" s="74"/>
      <c r="AR7043" s="77"/>
      <c r="AT7043" s="497">
        <v>55.040000000000006</v>
      </c>
      <c r="AV7043" s="42"/>
      <c r="AW7043" s="74"/>
      <c r="AX7043" s="77"/>
      <c r="BA7043" s="497">
        <v>55.040000000000006</v>
      </c>
      <c r="BB7043" s="42"/>
      <c r="BC7043" s="74"/>
      <c r="BD7043" s="77"/>
      <c r="BF7043">
        <v>53.06</v>
      </c>
      <c r="BH7043" s="42"/>
      <c r="BI7043" s="74"/>
      <c r="BJ7043" s="77"/>
      <c r="BL7043" s="497">
        <v>53.96</v>
      </c>
      <c r="BN7043" s="42"/>
      <c r="BO7043" s="74"/>
      <c r="BP7043" s="77"/>
      <c r="BR7043" s="497">
        <v>53.06</v>
      </c>
      <c r="BT7043" s="42"/>
    </row>
    <row r="7044" spans="1:72" x14ac:dyDescent="0.25">
      <c r="A7044" s="90">
        <v>37184</v>
      </c>
      <c r="B7044" s="20">
        <v>0.75</v>
      </c>
      <c r="D7044">
        <v>69.080000000000013</v>
      </c>
      <c r="E7044" t="str">
        <f t="shared" si="254"/>
        <v>SATURDAY</v>
      </c>
      <c r="F7044" t="e">
        <f t="shared" si="255"/>
        <v>#N/A</v>
      </c>
      <c r="G7044" s="74">
        <v>29514</v>
      </c>
      <c r="H7044" s="77">
        <v>0.75</v>
      </c>
      <c r="J7044">
        <v>55.94</v>
      </c>
      <c r="M7044" s="74">
        <v>36453</v>
      </c>
      <c r="N7044" s="77">
        <v>0.75</v>
      </c>
      <c r="P7044">
        <v>51.8</v>
      </c>
      <c r="S7044" s="74">
        <v>37184</v>
      </c>
      <c r="T7044" s="77">
        <v>0.75</v>
      </c>
      <c r="V7044">
        <v>60.980000000000004</v>
      </c>
      <c r="X7044" s="42"/>
      <c r="AB7044">
        <v>58.9</v>
      </c>
      <c r="AC7044">
        <v>53.96</v>
      </c>
      <c r="AE7044" s="74"/>
      <c r="AF7044" s="77"/>
      <c r="AH7044" s="497">
        <v>46.4</v>
      </c>
      <c r="AJ7044" s="42"/>
      <c r="AK7044" s="74"/>
      <c r="AL7044" s="77"/>
      <c r="AN7044" s="497">
        <v>53.06</v>
      </c>
      <c r="AP7044" s="42"/>
      <c r="AQ7044" s="74"/>
      <c r="AR7044" s="77"/>
      <c r="AT7044" s="497">
        <v>53.06</v>
      </c>
      <c r="AV7044" s="42"/>
      <c r="AW7044" s="74"/>
      <c r="AX7044" s="77"/>
      <c r="BA7044" s="497">
        <v>50</v>
      </c>
      <c r="BB7044" s="42"/>
      <c r="BC7044" s="74"/>
      <c r="BD7044" s="77"/>
      <c r="BF7044">
        <v>51.980000000000004</v>
      </c>
      <c r="BH7044" s="42"/>
      <c r="BI7044" s="74"/>
      <c r="BJ7044" s="77"/>
      <c r="BL7044" s="497">
        <v>46.94</v>
      </c>
      <c r="BN7044" s="42"/>
      <c r="BO7044" s="74"/>
      <c r="BP7044" s="77"/>
      <c r="BR7044" s="497">
        <v>48.92</v>
      </c>
      <c r="BT7044" s="42"/>
    </row>
    <row r="7045" spans="1:72" x14ac:dyDescent="0.25">
      <c r="A7045" s="90">
        <v>37184</v>
      </c>
      <c r="B7045" s="20">
        <v>0.79166666666666663</v>
      </c>
      <c r="D7045">
        <v>68</v>
      </c>
      <c r="E7045" t="str">
        <f t="shared" si="254"/>
        <v>SATURDAY</v>
      </c>
      <c r="F7045" t="e">
        <f t="shared" si="255"/>
        <v>#N/A</v>
      </c>
      <c r="G7045" s="74">
        <v>29514</v>
      </c>
      <c r="H7045" s="77">
        <v>0.79166666666666663</v>
      </c>
      <c r="J7045">
        <v>55.040000000000006</v>
      </c>
      <c r="M7045" s="74">
        <v>36453</v>
      </c>
      <c r="N7045" s="77">
        <v>0.79166666666666663</v>
      </c>
      <c r="P7045">
        <v>51.8</v>
      </c>
      <c r="S7045" s="74">
        <v>37184</v>
      </c>
      <c r="T7045" s="77">
        <v>0.79166666666666663</v>
      </c>
      <c r="V7045">
        <v>60.08</v>
      </c>
      <c r="X7045" s="42"/>
      <c r="AB7045">
        <v>57.9</v>
      </c>
      <c r="AC7045">
        <v>51.980000000000004</v>
      </c>
      <c r="AE7045" s="74"/>
      <c r="AF7045" s="77"/>
      <c r="AH7045" s="497">
        <v>44.6</v>
      </c>
      <c r="AJ7045" s="42"/>
      <c r="AK7045" s="74"/>
      <c r="AL7045" s="77"/>
      <c r="AN7045" s="497">
        <v>53.06</v>
      </c>
      <c r="AP7045" s="42"/>
      <c r="AQ7045" s="74"/>
      <c r="AR7045" s="77"/>
      <c r="AT7045" s="497">
        <v>50</v>
      </c>
      <c r="AV7045" s="42"/>
      <c r="AW7045" s="74"/>
      <c r="AX7045" s="77"/>
      <c r="BA7045" s="497">
        <v>46.94</v>
      </c>
      <c r="BB7045" s="42"/>
      <c r="BC7045" s="74"/>
      <c r="BD7045" s="77"/>
      <c r="BF7045">
        <v>51.980000000000004</v>
      </c>
      <c r="BH7045" s="42"/>
      <c r="BI7045" s="74"/>
      <c r="BJ7045" s="77"/>
      <c r="BL7045" s="497">
        <v>46.94</v>
      </c>
      <c r="BN7045" s="42"/>
      <c r="BO7045" s="74"/>
      <c r="BP7045" s="77"/>
      <c r="BR7045" s="497">
        <v>46.94</v>
      </c>
      <c r="BT7045" s="42"/>
    </row>
    <row r="7046" spans="1:72" x14ac:dyDescent="0.25">
      <c r="A7046" s="90">
        <v>37184</v>
      </c>
      <c r="B7046" s="20">
        <v>0.83333333333333337</v>
      </c>
      <c r="D7046">
        <v>66.02</v>
      </c>
      <c r="E7046" t="str">
        <f t="shared" si="254"/>
        <v>SATURDAY</v>
      </c>
      <c r="F7046" t="e">
        <f t="shared" si="255"/>
        <v>#N/A</v>
      </c>
      <c r="G7046" s="74">
        <v>29514</v>
      </c>
      <c r="H7046" s="77">
        <v>0.83333333333333337</v>
      </c>
      <c r="J7046">
        <v>53.42</v>
      </c>
      <c r="M7046" s="74">
        <v>36453</v>
      </c>
      <c r="N7046" s="77">
        <v>0.83333333333333337</v>
      </c>
      <c r="P7046">
        <v>50</v>
      </c>
      <c r="S7046" s="74">
        <v>37184</v>
      </c>
      <c r="T7046" s="77">
        <v>0.83333333333333337</v>
      </c>
      <c r="V7046">
        <v>57.019999999999996</v>
      </c>
      <c r="X7046" s="42"/>
      <c r="AB7046">
        <v>57.3</v>
      </c>
      <c r="AC7046">
        <v>51.08</v>
      </c>
      <c r="AE7046" s="74"/>
      <c r="AF7046" s="77"/>
      <c r="AH7046" s="497">
        <v>42.8</v>
      </c>
      <c r="AJ7046" s="42"/>
      <c r="AK7046" s="74"/>
      <c r="AL7046" s="77"/>
      <c r="AN7046" s="497">
        <v>51.08</v>
      </c>
      <c r="AP7046" s="42"/>
      <c r="AQ7046" s="74"/>
      <c r="AR7046" s="77"/>
      <c r="AT7046" s="497">
        <v>48.019999999999996</v>
      </c>
      <c r="AV7046" s="42"/>
      <c r="AW7046" s="74"/>
      <c r="AX7046" s="77"/>
      <c r="BA7046" s="497">
        <v>46.04</v>
      </c>
      <c r="BB7046" s="42"/>
      <c r="BC7046" s="74"/>
      <c r="BD7046" s="77"/>
      <c r="BF7046">
        <v>51.08</v>
      </c>
      <c r="BH7046" s="42"/>
      <c r="BI7046" s="74"/>
      <c r="BJ7046" s="77"/>
      <c r="BL7046" s="497">
        <v>46.04</v>
      </c>
      <c r="BN7046" s="42"/>
      <c r="BO7046" s="74"/>
      <c r="BP7046" s="77"/>
      <c r="BR7046" s="497">
        <v>42.980000000000004</v>
      </c>
      <c r="BT7046" s="42"/>
    </row>
    <row r="7047" spans="1:72" x14ac:dyDescent="0.25">
      <c r="A7047" s="90">
        <v>37184</v>
      </c>
      <c r="B7047" s="20">
        <v>0.875</v>
      </c>
      <c r="D7047">
        <v>64.039999999999992</v>
      </c>
      <c r="E7047" t="str">
        <f t="shared" si="254"/>
        <v>SATURDAY</v>
      </c>
      <c r="F7047" t="e">
        <f t="shared" si="255"/>
        <v>#N/A</v>
      </c>
      <c r="G7047" s="74">
        <v>29514</v>
      </c>
      <c r="H7047" s="77">
        <v>0.875</v>
      </c>
      <c r="J7047">
        <v>51.620000000000005</v>
      </c>
      <c r="M7047" s="74">
        <v>36453</v>
      </c>
      <c r="N7047" s="77">
        <v>0.875</v>
      </c>
      <c r="P7047">
        <v>51.8</v>
      </c>
      <c r="S7047" s="74">
        <v>37184</v>
      </c>
      <c r="T7047" s="77">
        <v>0.875</v>
      </c>
      <c r="V7047">
        <v>57.019999999999996</v>
      </c>
      <c r="X7047" s="42"/>
      <c r="AB7047">
        <v>56.6</v>
      </c>
      <c r="AC7047">
        <v>53.96</v>
      </c>
      <c r="AE7047" s="74"/>
      <c r="AF7047" s="77"/>
      <c r="AH7047" s="497">
        <v>39.200000000000003</v>
      </c>
      <c r="AJ7047" s="42"/>
      <c r="AK7047" s="74"/>
      <c r="AL7047" s="77"/>
      <c r="AN7047" s="497">
        <v>48.019999999999996</v>
      </c>
      <c r="AP7047" s="42"/>
      <c r="AQ7047" s="74"/>
      <c r="AR7047" s="77"/>
      <c r="AT7047" s="497">
        <v>46.04</v>
      </c>
      <c r="AV7047" s="42"/>
      <c r="AW7047" s="74"/>
      <c r="AX7047" s="77"/>
      <c r="BA7047" s="497">
        <v>44.96</v>
      </c>
      <c r="BB7047" s="42"/>
      <c r="BC7047" s="74"/>
      <c r="BD7047" s="77"/>
      <c r="BF7047">
        <v>48.92</v>
      </c>
      <c r="BH7047" s="42"/>
      <c r="BI7047" s="74"/>
      <c r="BJ7047" s="77"/>
      <c r="BL7047" s="497">
        <v>48.019999999999996</v>
      </c>
      <c r="BN7047" s="42"/>
      <c r="BO7047" s="74"/>
      <c r="BP7047" s="77"/>
      <c r="BR7047" s="497">
        <v>42.980000000000004</v>
      </c>
      <c r="BT7047" s="42"/>
    </row>
    <row r="7048" spans="1:72" x14ac:dyDescent="0.25">
      <c r="A7048" s="90">
        <v>37184</v>
      </c>
      <c r="B7048" s="20">
        <v>0.91666666666666663</v>
      </c>
      <c r="D7048">
        <v>62.06</v>
      </c>
      <c r="E7048" t="str">
        <f t="shared" si="254"/>
        <v>SATURDAY</v>
      </c>
      <c r="F7048" t="e">
        <f t="shared" si="255"/>
        <v>#N/A</v>
      </c>
      <c r="G7048" s="74">
        <v>29514</v>
      </c>
      <c r="H7048" s="77">
        <v>0.91666666666666663</v>
      </c>
      <c r="J7048">
        <v>50</v>
      </c>
      <c r="M7048" s="74">
        <v>36453</v>
      </c>
      <c r="N7048" s="77">
        <v>0.91666666666666663</v>
      </c>
      <c r="P7048">
        <v>51.8</v>
      </c>
      <c r="S7048" s="74">
        <v>37184</v>
      </c>
      <c r="T7048" s="77">
        <v>0.91666666666666663</v>
      </c>
      <c r="V7048">
        <v>57.92</v>
      </c>
      <c r="X7048" s="42"/>
      <c r="AB7048">
        <v>56</v>
      </c>
      <c r="AC7048">
        <v>51.980000000000004</v>
      </c>
      <c r="AE7048" s="74"/>
      <c r="AF7048" s="77"/>
      <c r="AH7048" s="497">
        <v>37.4</v>
      </c>
      <c r="AJ7048" s="42"/>
      <c r="AK7048" s="74"/>
      <c r="AL7048" s="77"/>
      <c r="AN7048" s="497">
        <v>48.92</v>
      </c>
      <c r="AP7048" s="42"/>
      <c r="AQ7048" s="74"/>
      <c r="AR7048" s="77"/>
      <c r="AT7048" s="497">
        <v>44.06</v>
      </c>
      <c r="AV7048" s="42"/>
      <c r="AW7048" s="74"/>
      <c r="AX7048" s="77"/>
      <c r="BA7048" s="497">
        <v>44.96</v>
      </c>
      <c r="BB7048" s="42"/>
      <c r="BC7048" s="74"/>
      <c r="BD7048" s="77"/>
      <c r="BF7048">
        <v>46.94</v>
      </c>
      <c r="BH7048" s="42"/>
      <c r="BI7048" s="74"/>
      <c r="BJ7048" s="77"/>
      <c r="BL7048" s="497">
        <v>48.019999999999996</v>
      </c>
      <c r="BN7048" s="42"/>
      <c r="BO7048" s="74"/>
      <c r="BP7048" s="77"/>
      <c r="BR7048" s="497">
        <v>46.04</v>
      </c>
      <c r="BT7048" s="42"/>
    </row>
    <row r="7049" spans="1:72" x14ac:dyDescent="0.25">
      <c r="A7049" s="90">
        <v>37184</v>
      </c>
      <c r="B7049" s="20">
        <v>0.95833333333333337</v>
      </c>
      <c r="D7049">
        <v>60.08</v>
      </c>
      <c r="E7049" t="str">
        <f t="shared" si="254"/>
        <v>SATURDAY</v>
      </c>
      <c r="F7049" t="e">
        <f t="shared" si="255"/>
        <v>#N/A</v>
      </c>
      <c r="G7049" s="74">
        <v>29514</v>
      </c>
      <c r="H7049" s="77">
        <v>0.95833333333333337</v>
      </c>
      <c r="J7049">
        <v>49.64</v>
      </c>
      <c r="M7049" s="74">
        <v>36453</v>
      </c>
      <c r="N7049" s="77">
        <v>0.95833333333333337</v>
      </c>
      <c r="P7049">
        <v>51.8</v>
      </c>
      <c r="S7049" s="74">
        <v>37184</v>
      </c>
      <c r="T7049" s="77">
        <v>0.95833333333333337</v>
      </c>
      <c r="V7049">
        <v>55.040000000000006</v>
      </c>
      <c r="X7049" s="42"/>
      <c r="AB7049">
        <v>55.3</v>
      </c>
      <c r="AC7049">
        <v>53.06</v>
      </c>
      <c r="AE7049" s="74"/>
      <c r="AF7049" s="77"/>
      <c r="AH7049" s="497">
        <v>37.4</v>
      </c>
      <c r="AJ7049" s="42"/>
      <c r="AK7049" s="74"/>
      <c r="AL7049" s="77"/>
      <c r="AN7049" s="497">
        <v>46.04</v>
      </c>
      <c r="AP7049" s="42"/>
      <c r="AQ7049" s="74"/>
      <c r="AR7049" s="77"/>
      <c r="AT7049" s="497">
        <v>41</v>
      </c>
      <c r="AV7049" s="42"/>
      <c r="AW7049" s="74"/>
      <c r="AX7049" s="77"/>
      <c r="BA7049" s="497">
        <v>42.980000000000004</v>
      </c>
      <c r="BB7049" s="42"/>
      <c r="BC7049" s="74"/>
      <c r="BD7049" s="77"/>
      <c r="BF7049">
        <v>46.94</v>
      </c>
      <c r="BH7049" s="42"/>
      <c r="BI7049" s="74"/>
      <c r="BJ7049" s="77"/>
      <c r="BL7049" s="497">
        <v>46.94</v>
      </c>
      <c r="BN7049" s="42"/>
      <c r="BO7049" s="74"/>
      <c r="BP7049" s="77"/>
      <c r="BR7049" s="497">
        <v>46.94</v>
      </c>
      <c r="BT7049" s="42"/>
    </row>
    <row r="7050" spans="1:72" x14ac:dyDescent="0.25">
      <c r="A7050" s="90">
        <v>37184</v>
      </c>
      <c r="B7050" s="20">
        <v>1</v>
      </c>
      <c r="D7050">
        <v>60.08</v>
      </c>
      <c r="E7050" t="str">
        <f t="shared" si="254"/>
        <v>SATURDAY</v>
      </c>
      <c r="F7050" t="e">
        <f t="shared" si="255"/>
        <v>#N/A</v>
      </c>
      <c r="G7050" s="74">
        <v>29514</v>
      </c>
      <c r="H7050" s="77">
        <v>1</v>
      </c>
      <c r="J7050">
        <v>49.28</v>
      </c>
      <c r="M7050" s="74">
        <v>36453</v>
      </c>
      <c r="N7050" s="80">
        <v>1</v>
      </c>
      <c r="P7050">
        <v>50</v>
      </c>
      <c r="S7050" s="74">
        <v>37184</v>
      </c>
      <c r="T7050" s="80">
        <v>1</v>
      </c>
      <c r="V7050">
        <v>55.94</v>
      </c>
      <c r="X7050" s="42"/>
      <c r="AB7050">
        <v>54.7</v>
      </c>
      <c r="AC7050">
        <v>53.06</v>
      </c>
      <c r="AE7050" s="74"/>
      <c r="AF7050" s="80"/>
      <c r="AH7050" s="497">
        <v>39.200000000000003</v>
      </c>
      <c r="AJ7050" s="42"/>
      <c r="AK7050" s="74"/>
      <c r="AL7050" s="80"/>
      <c r="AN7050" s="497">
        <v>46.04</v>
      </c>
      <c r="AP7050" s="42"/>
      <c r="AQ7050" s="74"/>
      <c r="AR7050" s="80"/>
      <c r="AT7050" s="497">
        <v>37.94</v>
      </c>
      <c r="AV7050" s="42"/>
      <c r="AW7050" s="74"/>
      <c r="AX7050" s="80"/>
      <c r="BA7050" s="497">
        <v>42.08</v>
      </c>
      <c r="BB7050" s="42"/>
      <c r="BC7050" s="74"/>
      <c r="BD7050" s="80"/>
      <c r="BF7050">
        <v>46.04</v>
      </c>
      <c r="BH7050" s="42"/>
      <c r="BI7050" s="74"/>
      <c r="BJ7050" s="80"/>
      <c r="BL7050" s="497">
        <v>46.04</v>
      </c>
      <c r="BN7050" s="42"/>
      <c r="BO7050" s="74"/>
      <c r="BP7050" s="80"/>
      <c r="BR7050" s="497">
        <v>48.019999999999996</v>
      </c>
      <c r="BT7050" s="42"/>
    </row>
    <row r="7051" spans="1:72" x14ac:dyDescent="0.25">
      <c r="A7051" s="90">
        <v>37185</v>
      </c>
      <c r="B7051" s="20">
        <v>4.1666666666666664E-2</v>
      </c>
      <c r="D7051">
        <v>60.08</v>
      </c>
      <c r="E7051" t="str">
        <f t="shared" si="254"/>
        <v>SUNDAY</v>
      </c>
      <c r="F7051" t="e">
        <f t="shared" si="255"/>
        <v>#N/A</v>
      </c>
      <c r="G7051" s="74">
        <v>29515</v>
      </c>
      <c r="H7051" s="77">
        <v>4.1666666666666664E-2</v>
      </c>
      <c r="J7051">
        <v>48.92</v>
      </c>
      <c r="M7051" s="74">
        <v>36454</v>
      </c>
      <c r="N7051" s="77">
        <v>4.1666666666666664E-2</v>
      </c>
      <c r="P7051">
        <v>50</v>
      </c>
      <c r="S7051" s="74">
        <v>37185</v>
      </c>
      <c r="T7051" s="77">
        <v>4.1666666666666664E-2</v>
      </c>
      <c r="V7051">
        <v>55.94</v>
      </c>
      <c r="X7051" s="42"/>
      <c r="AB7051">
        <v>54.1</v>
      </c>
      <c r="AC7051">
        <v>53.06</v>
      </c>
      <c r="AE7051" s="74"/>
      <c r="AF7051" s="77"/>
      <c r="AH7051" s="497">
        <v>39.200000000000003</v>
      </c>
      <c r="AJ7051" s="42"/>
      <c r="AK7051" s="74"/>
      <c r="AL7051" s="77"/>
      <c r="AN7051" s="497">
        <v>44.96</v>
      </c>
      <c r="AP7051" s="42"/>
      <c r="AQ7051" s="74"/>
      <c r="AR7051" s="77"/>
      <c r="AT7051" s="497">
        <v>39.92</v>
      </c>
      <c r="AV7051" s="42"/>
      <c r="AW7051" s="74"/>
      <c r="AX7051" s="77"/>
      <c r="BA7051" s="497">
        <v>41</v>
      </c>
      <c r="BB7051" s="42"/>
      <c r="BC7051" s="74"/>
      <c r="BD7051" s="77"/>
      <c r="BF7051">
        <v>44.96</v>
      </c>
      <c r="BH7051" s="42"/>
      <c r="BI7051" s="74"/>
      <c r="BJ7051" s="77"/>
      <c r="BL7051" s="497">
        <v>44.06</v>
      </c>
      <c r="BN7051" s="42"/>
      <c r="BO7051" s="74"/>
      <c r="BP7051" s="77"/>
      <c r="BR7051" s="497">
        <v>46.94</v>
      </c>
      <c r="BT7051" s="42"/>
    </row>
    <row r="7052" spans="1:72" x14ac:dyDescent="0.25">
      <c r="A7052" s="90">
        <v>37185</v>
      </c>
      <c r="B7052" s="20">
        <v>8.3333333333333329E-2</v>
      </c>
      <c r="D7052">
        <v>60.08</v>
      </c>
      <c r="E7052" t="str">
        <f t="shared" si="254"/>
        <v>SUNDAY</v>
      </c>
      <c r="F7052" t="e">
        <f t="shared" si="255"/>
        <v>#N/A</v>
      </c>
      <c r="G7052" s="74">
        <v>29515</v>
      </c>
      <c r="H7052" s="77">
        <v>8.3333333333333329E-2</v>
      </c>
      <c r="J7052">
        <v>49.28</v>
      </c>
      <c r="M7052" s="74">
        <v>36454</v>
      </c>
      <c r="N7052" s="77">
        <v>8.3333333333333329E-2</v>
      </c>
      <c r="P7052">
        <v>48.74</v>
      </c>
      <c r="S7052" s="74">
        <v>37185</v>
      </c>
      <c r="T7052" s="77">
        <v>8.3333333333333329E-2</v>
      </c>
      <c r="V7052">
        <v>55.94</v>
      </c>
      <c r="X7052" s="42"/>
      <c r="AB7052">
        <v>53.4</v>
      </c>
      <c r="AC7052">
        <v>51.08</v>
      </c>
      <c r="AE7052" s="74"/>
      <c r="AF7052" s="77"/>
      <c r="AH7052" s="497">
        <v>39.200000000000003</v>
      </c>
      <c r="AJ7052" s="42"/>
      <c r="AK7052" s="74"/>
      <c r="AL7052" s="77"/>
      <c r="AN7052" s="497">
        <v>42.980000000000004</v>
      </c>
      <c r="AP7052" s="42"/>
      <c r="AQ7052" s="74"/>
      <c r="AR7052" s="77"/>
      <c r="AT7052" s="497">
        <v>39.019999999999996</v>
      </c>
      <c r="AV7052" s="42"/>
      <c r="AW7052" s="74"/>
      <c r="AX7052" s="77"/>
      <c r="BA7052" s="497">
        <v>44.06</v>
      </c>
      <c r="BB7052" s="42"/>
      <c r="BC7052" s="74"/>
      <c r="BD7052" s="77"/>
      <c r="BF7052">
        <v>46.04</v>
      </c>
      <c r="BH7052" s="42"/>
      <c r="BI7052" s="74"/>
      <c r="BJ7052" s="77"/>
      <c r="BL7052" s="497">
        <v>42.08</v>
      </c>
      <c r="BN7052" s="42"/>
      <c r="BO7052" s="74"/>
      <c r="BP7052" s="77"/>
      <c r="BR7052" s="497">
        <v>48.92</v>
      </c>
      <c r="BT7052" s="42"/>
    </row>
    <row r="7053" spans="1:72" x14ac:dyDescent="0.25">
      <c r="A7053" s="90">
        <v>37185</v>
      </c>
      <c r="B7053" s="20">
        <v>0.125</v>
      </c>
      <c r="D7053">
        <v>59</v>
      </c>
      <c r="E7053" t="str">
        <f t="shared" si="254"/>
        <v>SUNDAY</v>
      </c>
      <c r="F7053" t="e">
        <f t="shared" si="255"/>
        <v>#N/A</v>
      </c>
      <c r="G7053" s="74">
        <v>29515</v>
      </c>
      <c r="H7053" s="77">
        <v>0.125</v>
      </c>
      <c r="J7053">
        <v>49.64</v>
      </c>
      <c r="M7053" s="74">
        <v>36454</v>
      </c>
      <c r="N7053" s="77">
        <v>0.125</v>
      </c>
      <c r="P7053">
        <v>47.66</v>
      </c>
      <c r="S7053" s="74">
        <v>37185</v>
      </c>
      <c r="T7053" s="77">
        <v>0.125</v>
      </c>
      <c r="V7053">
        <v>51.980000000000004</v>
      </c>
      <c r="X7053" s="42"/>
      <c r="AB7053">
        <v>52.8</v>
      </c>
      <c r="AC7053">
        <v>51.08</v>
      </c>
      <c r="AE7053" s="74"/>
      <c r="AF7053" s="77"/>
      <c r="AH7053" s="497">
        <v>39.200000000000003</v>
      </c>
      <c r="AJ7053" s="42"/>
      <c r="AK7053" s="74"/>
      <c r="AL7053" s="77"/>
      <c r="AN7053" s="497">
        <v>42.980000000000004</v>
      </c>
      <c r="AP7053" s="42"/>
      <c r="AQ7053" s="74"/>
      <c r="AR7053" s="77"/>
      <c r="AT7053" s="497">
        <v>39.92</v>
      </c>
      <c r="AV7053" s="42"/>
      <c r="AW7053" s="74"/>
      <c r="AX7053" s="77"/>
      <c r="BA7053" s="497">
        <v>42.08</v>
      </c>
      <c r="BB7053" s="42"/>
      <c r="BC7053" s="74"/>
      <c r="BD7053" s="77"/>
      <c r="BF7053">
        <v>46.94</v>
      </c>
      <c r="BH7053" s="42"/>
      <c r="BI7053" s="74"/>
      <c r="BJ7053" s="77"/>
      <c r="BL7053" s="497">
        <v>42.980000000000004</v>
      </c>
      <c r="BN7053" s="42"/>
      <c r="BO7053" s="74"/>
      <c r="BP7053" s="77"/>
      <c r="BR7053" s="497">
        <v>50</v>
      </c>
      <c r="BT7053" s="42"/>
    </row>
    <row r="7054" spans="1:72" x14ac:dyDescent="0.25">
      <c r="A7054" s="90">
        <v>37185</v>
      </c>
      <c r="B7054" s="20">
        <v>0.16666666666666666</v>
      </c>
      <c r="D7054">
        <v>57.92</v>
      </c>
      <c r="E7054" t="str">
        <f t="shared" si="254"/>
        <v>SUNDAY</v>
      </c>
      <c r="F7054" t="e">
        <f t="shared" si="255"/>
        <v>#N/A</v>
      </c>
      <c r="G7054" s="74">
        <v>29515</v>
      </c>
      <c r="H7054" s="77">
        <v>0.16666666666666666</v>
      </c>
      <c r="J7054">
        <v>50</v>
      </c>
      <c r="M7054" s="74">
        <v>36454</v>
      </c>
      <c r="N7054" s="77">
        <v>0.16666666666666666</v>
      </c>
      <c r="P7054">
        <v>46.4</v>
      </c>
      <c r="S7054" s="74">
        <v>37185</v>
      </c>
      <c r="T7054" s="77">
        <v>0.16666666666666666</v>
      </c>
      <c r="V7054">
        <v>53.06</v>
      </c>
      <c r="X7054" s="42"/>
      <c r="AB7054">
        <v>52.4</v>
      </c>
      <c r="AC7054">
        <v>50</v>
      </c>
      <c r="AE7054" s="74"/>
      <c r="AF7054" s="77"/>
      <c r="AH7054" s="497">
        <v>39.200000000000003</v>
      </c>
      <c r="AJ7054" s="42"/>
      <c r="AK7054" s="74"/>
      <c r="AL7054" s="77"/>
      <c r="AN7054" s="497">
        <v>41</v>
      </c>
      <c r="AP7054" s="42"/>
      <c r="AQ7054" s="74"/>
      <c r="AR7054" s="77"/>
      <c r="AT7054" s="497">
        <v>37.94</v>
      </c>
      <c r="AV7054" s="42"/>
      <c r="AW7054" s="74"/>
      <c r="AX7054" s="77"/>
      <c r="BA7054" s="497">
        <v>39.92</v>
      </c>
      <c r="BB7054" s="42"/>
      <c r="BC7054" s="74"/>
      <c r="BD7054" s="77"/>
      <c r="BF7054">
        <v>46.04</v>
      </c>
      <c r="BH7054" s="42"/>
      <c r="BI7054" s="74"/>
      <c r="BJ7054" s="77"/>
      <c r="BL7054" s="497">
        <v>44.96</v>
      </c>
      <c r="BN7054" s="42"/>
      <c r="BO7054" s="74"/>
      <c r="BP7054" s="77"/>
      <c r="BR7054" s="497">
        <v>50</v>
      </c>
      <c r="BT7054" s="42"/>
    </row>
    <row r="7055" spans="1:72" x14ac:dyDescent="0.25">
      <c r="A7055" s="90">
        <v>37185</v>
      </c>
      <c r="B7055" s="20">
        <v>0.20833333333333334</v>
      </c>
      <c r="D7055">
        <v>57.019999999999996</v>
      </c>
      <c r="E7055" t="str">
        <f t="shared" si="254"/>
        <v>SUNDAY</v>
      </c>
      <c r="F7055" t="e">
        <f t="shared" si="255"/>
        <v>#N/A</v>
      </c>
      <c r="G7055" s="74">
        <v>29515</v>
      </c>
      <c r="H7055" s="77">
        <v>0.20833333333333334</v>
      </c>
      <c r="J7055">
        <v>50</v>
      </c>
      <c r="M7055" s="74">
        <v>36454</v>
      </c>
      <c r="N7055" s="77">
        <v>0.20833333333333334</v>
      </c>
      <c r="P7055">
        <v>44.6</v>
      </c>
      <c r="S7055" s="74">
        <v>37185</v>
      </c>
      <c r="T7055" s="77">
        <v>0.20833333333333334</v>
      </c>
      <c r="V7055">
        <v>51.08</v>
      </c>
      <c r="X7055" s="42"/>
      <c r="AB7055">
        <v>52</v>
      </c>
      <c r="AC7055">
        <v>48.92</v>
      </c>
      <c r="AE7055" s="74"/>
      <c r="AF7055" s="77"/>
      <c r="AH7055" s="497">
        <v>37.4</v>
      </c>
      <c r="AJ7055" s="42"/>
      <c r="AK7055" s="74"/>
      <c r="AL7055" s="77"/>
      <c r="AN7055" s="497">
        <v>42.08</v>
      </c>
      <c r="AP7055" s="42"/>
      <c r="AQ7055" s="74"/>
      <c r="AR7055" s="77"/>
      <c r="AT7055" s="497">
        <v>35.96</v>
      </c>
      <c r="AV7055" s="42"/>
      <c r="AW7055" s="74"/>
      <c r="AX7055" s="77"/>
      <c r="BA7055" s="497">
        <v>44.06</v>
      </c>
      <c r="BB7055" s="42"/>
      <c r="BC7055" s="74"/>
      <c r="BD7055" s="77"/>
      <c r="BF7055">
        <v>46.04</v>
      </c>
      <c r="BH7055" s="42"/>
      <c r="BI7055" s="74"/>
      <c r="BJ7055" s="77"/>
      <c r="BL7055" s="497">
        <v>46.04</v>
      </c>
      <c r="BN7055" s="42"/>
      <c r="BO7055" s="74"/>
      <c r="BP7055" s="77"/>
      <c r="BR7055" s="497">
        <v>50</v>
      </c>
      <c r="BT7055" s="42"/>
    </row>
    <row r="7056" spans="1:72" x14ac:dyDescent="0.25">
      <c r="A7056" s="90">
        <v>37185</v>
      </c>
      <c r="B7056" s="20">
        <v>0.25</v>
      </c>
      <c r="D7056">
        <v>55.94</v>
      </c>
      <c r="E7056" t="str">
        <f t="shared" si="254"/>
        <v>SUNDAY</v>
      </c>
      <c r="F7056" t="e">
        <f t="shared" si="255"/>
        <v>#N/A</v>
      </c>
      <c r="G7056" s="74">
        <v>29515</v>
      </c>
      <c r="H7056" s="77">
        <v>0.25</v>
      </c>
      <c r="J7056">
        <v>50</v>
      </c>
      <c r="M7056" s="74">
        <v>36454</v>
      </c>
      <c r="N7056" s="77">
        <v>0.25</v>
      </c>
      <c r="P7056">
        <v>44.6</v>
      </c>
      <c r="S7056" s="74">
        <v>37185</v>
      </c>
      <c r="T7056" s="77">
        <v>0.25</v>
      </c>
      <c r="V7056">
        <v>48.019999999999996</v>
      </c>
      <c r="X7056" s="42"/>
      <c r="AB7056">
        <v>51.8</v>
      </c>
      <c r="AC7056">
        <v>51.980000000000004</v>
      </c>
      <c r="AE7056" s="74"/>
      <c r="AF7056" s="77"/>
      <c r="AH7056" s="497">
        <v>35.6</v>
      </c>
      <c r="AJ7056" s="42"/>
      <c r="AK7056" s="74"/>
      <c r="AL7056" s="77"/>
      <c r="AN7056" s="497">
        <v>42.980000000000004</v>
      </c>
      <c r="AP7056" s="42"/>
      <c r="AQ7056" s="74"/>
      <c r="AR7056" s="77"/>
      <c r="AT7056" s="497">
        <v>35.06</v>
      </c>
      <c r="AV7056" s="42"/>
      <c r="AW7056" s="74"/>
      <c r="AX7056" s="77"/>
      <c r="BA7056" s="497">
        <v>42.980000000000004</v>
      </c>
      <c r="BB7056" s="42"/>
      <c r="BC7056" s="74"/>
      <c r="BD7056" s="77"/>
      <c r="BF7056">
        <v>46.04</v>
      </c>
      <c r="BH7056" s="42"/>
      <c r="BI7056" s="74"/>
      <c r="BJ7056" s="77"/>
      <c r="BL7056" s="497">
        <v>48.019999999999996</v>
      </c>
      <c r="BN7056" s="42"/>
      <c r="BO7056" s="74"/>
      <c r="BP7056" s="77"/>
      <c r="BR7056" s="497">
        <v>50</v>
      </c>
      <c r="BT7056" s="42"/>
    </row>
    <row r="7057" spans="1:72" x14ac:dyDescent="0.25">
      <c r="A7057" s="90">
        <v>37185</v>
      </c>
      <c r="B7057" s="20">
        <v>0.29166666666666669</v>
      </c>
      <c r="D7057">
        <v>57.019999999999996</v>
      </c>
      <c r="E7057" t="str">
        <f t="shared" si="254"/>
        <v>SUNDAY</v>
      </c>
      <c r="F7057" t="e">
        <f t="shared" si="255"/>
        <v>#N/A</v>
      </c>
      <c r="G7057" s="74">
        <v>29515</v>
      </c>
      <c r="H7057" s="77">
        <v>0.29166666666666669</v>
      </c>
      <c r="J7057">
        <v>50</v>
      </c>
      <c r="M7057" s="74">
        <v>36454</v>
      </c>
      <c r="N7057" s="77">
        <v>0.29166666666666669</v>
      </c>
      <c r="P7057">
        <v>46.4</v>
      </c>
      <c r="S7057" s="74">
        <v>37185</v>
      </c>
      <c r="T7057" s="77">
        <v>0.29166666666666669</v>
      </c>
      <c r="V7057">
        <v>51.980000000000004</v>
      </c>
      <c r="X7057" s="42"/>
      <c r="AB7057">
        <v>51.6</v>
      </c>
      <c r="AC7057">
        <v>53.06</v>
      </c>
      <c r="AE7057" s="74"/>
      <c r="AF7057" s="77"/>
      <c r="AH7057" s="497">
        <v>35.6</v>
      </c>
      <c r="AJ7057" s="42"/>
      <c r="AK7057" s="74"/>
      <c r="AL7057" s="77"/>
      <c r="AN7057" s="497">
        <v>42.980000000000004</v>
      </c>
      <c r="AP7057" s="42"/>
      <c r="AQ7057" s="74"/>
      <c r="AR7057" s="77"/>
      <c r="AT7057" s="497">
        <v>39.019999999999996</v>
      </c>
      <c r="AV7057" s="42"/>
      <c r="AW7057" s="74"/>
      <c r="AX7057" s="77"/>
      <c r="BA7057" s="497">
        <v>44.96</v>
      </c>
      <c r="BB7057" s="42"/>
      <c r="BC7057" s="74"/>
      <c r="BD7057" s="77"/>
      <c r="BF7057">
        <v>46.94</v>
      </c>
      <c r="BH7057" s="42"/>
      <c r="BI7057" s="74"/>
      <c r="BJ7057" s="77"/>
      <c r="BL7057" s="497">
        <v>48.92</v>
      </c>
      <c r="BN7057" s="42"/>
      <c r="BO7057" s="74"/>
      <c r="BP7057" s="77"/>
      <c r="BR7057" s="497">
        <v>50</v>
      </c>
      <c r="BT7057" s="42"/>
    </row>
    <row r="7058" spans="1:72" x14ac:dyDescent="0.25">
      <c r="A7058" s="90">
        <v>37185</v>
      </c>
      <c r="B7058" s="20">
        <v>0.33333333333333331</v>
      </c>
      <c r="D7058">
        <v>59</v>
      </c>
      <c r="E7058" t="str">
        <f t="shared" si="254"/>
        <v>SUNDAY</v>
      </c>
      <c r="F7058" t="e">
        <f t="shared" si="255"/>
        <v>#N/A</v>
      </c>
      <c r="G7058" s="74">
        <v>29515</v>
      </c>
      <c r="H7058" s="77">
        <v>0.33333333333333331</v>
      </c>
      <c r="J7058">
        <v>51.08</v>
      </c>
      <c r="M7058" s="74">
        <v>36454</v>
      </c>
      <c r="N7058" s="77">
        <v>0.33333333333333331</v>
      </c>
      <c r="P7058">
        <v>48.2</v>
      </c>
      <c r="S7058" s="74">
        <v>37185</v>
      </c>
      <c r="T7058" s="77">
        <v>0.33333333333333331</v>
      </c>
      <c r="V7058">
        <v>57.92</v>
      </c>
      <c r="X7058" s="42"/>
      <c r="AB7058">
        <v>52.2</v>
      </c>
      <c r="AC7058">
        <v>57.019999999999996</v>
      </c>
      <c r="AE7058" s="74"/>
      <c r="AF7058" s="77"/>
      <c r="AH7058" s="497">
        <v>39.200000000000003</v>
      </c>
      <c r="AJ7058" s="42"/>
      <c r="AK7058" s="74"/>
      <c r="AL7058" s="77"/>
      <c r="AN7058" s="497">
        <v>44.96</v>
      </c>
      <c r="AP7058" s="42"/>
      <c r="AQ7058" s="74"/>
      <c r="AR7058" s="77"/>
      <c r="AT7058" s="497">
        <v>44.06</v>
      </c>
      <c r="AV7058" s="42"/>
      <c r="AW7058" s="74"/>
      <c r="AX7058" s="77"/>
      <c r="BA7058" s="497">
        <v>51.08</v>
      </c>
      <c r="BB7058" s="42"/>
      <c r="BC7058" s="74"/>
      <c r="BD7058" s="77"/>
      <c r="BF7058">
        <v>50</v>
      </c>
      <c r="BH7058" s="42"/>
      <c r="BI7058" s="74"/>
      <c r="BJ7058" s="77"/>
      <c r="BL7058" s="497">
        <v>51.08</v>
      </c>
      <c r="BN7058" s="42"/>
      <c r="BO7058" s="74"/>
      <c r="BP7058" s="77"/>
      <c r="BR7058" s="497">
        <v>50</v>
      </c>
      <c r="BT7058" s="42"/>
    </row>
    <row r="7059" spans="1:72" x14ac:dyDescent="0.25">
      <c r="A7059" s="90">
        <v>37185</v>
      </c>
      <c r="B7059" s="20">
        <v>0.375</v>
      </c>
      <c r="D7059">
        <v>62.96</v>
      </c>
      <c r="E7059" t="str">
        <f t="shared" ref="E7059:E7122" si="256">IF(COUNTIF($DI$18:$DI$22, WEEKDAY(A7059))=1, "WEEKDAY", IF(WEEKDAY(A7059) = 1, "SUNDAY", "SATURDAY"))</f>
        <v>SUNDAY</v>
      </c>
      <c r="F7059" t="e">
        <f t="shared" si="255"/>
        <v>#N/A</v>
      </c>
      <c r="G7059" s="74">
        <v>29515</v>
      </c>
      <c r="H7059" s="77">
        <v>0.375</v>
      </c>
      <c r="J7059">
        <v>51.980000000000004</v>
      </c>
      <c r="M7059" s="74">
        <v>36454</v>
      </c>
      <c r="N7059" s="77">
        <v>0.375</v>
      </c>
      <c r="P7059">
        <v>50</v>
      </c>
      <c r="S7059" s="74">
        <v>37185</v>
      </c>
      <c r="T7059" s="77">
        <v>0.375</v>
      </c>
      <c r="V7059">
        <v>62.96</v>
      </c>
      <c r="X7059" s="42"/>
      <c r="AB7059">
        <v>54.4</v>
      </c>
      <c r="AC7059">
        <v>60.980000000000004</v>
      </c>
      <c r="AE7059" s="74"/>
      <c r="AF7059" s="77"/>
      <c r="AH7059" s="497">
        <v>44.6</v>
      </c>
      <c r="AJ7059" s="42"/>
      <c r="AK7059" s="74"/>
      <c r="AL7059" s="77"/>
      <c r="AN7059" s="497">
        <v>48.019999999999996</v>
      </c>
      <c r="AP7059" s="42"/>
      <c r="AQ7059" s="74"/>
      <c r="AR7059" s="77"/>
      <c r="AT7059" s="497">
        <v>48.019999999999996</v>
      </c>
      <c r="AV7059" s="42"/>
      <c r="AW7059" s="74"/>
      <c r="AX7059" s="77"/>
      <c r="BA7059" s="497">
        <v>53.06</v>
      </c>
      <c r="BB7059" s="42"/>
      <c r="BC7059" s="74"/>
      <c r="BD7059" s="77"/>
      <c r="BF7059">
        <v>55.94</v>
      </c>
      <c r="BH7059" s="42"/>
      <c r="BI7059" s="74"/>
      <c r="BJ7059" s="77"/>
      <c r="BL7059" s="497">
        <v>55.94</v>
      </c>
      <c r="BN7059" s="42"/>
      <c r="BO7059" s="74"/>
      <c r="BP7059" s="77"/>
      <c r="BR7059" s="497">
        <v>50</v>
      </c>
      <c r="BT7059" s="42"/>
    </row>
    <row r="7060" spans="1:72" x14ac:dyDescent="0.25">
      <c r="A7060" s="90">
        <v>37185</v>
      </c>
      <c r="B7060" s="20">
        <v>0.41666666666666669</v>
      </c>
      <c r="D7060">
        <v>66.92</v>
      </c>
      <c r="E7060" t="str">
        <f t="shared" si="256"/>
        <v>SUNDAY</v>
      </c>
      <c r="F7060" t="e">
        <f t="shared" si="255"/>
        <v>#N/A</v>
      </c>
      <c r="G7060" s="74">
        <v>29515</v>
      </c>
      <c r="H7060" s="77">
        <v>0.41666666666666669</v>
      </c>
      <c r="J7060">
        <v>53.06</v>
      </c>
      <c r="M7060" s="74">
        <v>36454</v>
      </c>
      <c r="N7060" s="77">
        <v>0.41666666666666669</v>
      </c>
      <c r="P7060">
        <v>53.6</v>
      </c>
      <c r="S7060" s="74">
        <v>37185</v>
      </c>
      <c r="T7060" s="77">
        <v>0.41666666666666669</v>
      </c>
      <c r="V7060">
        <v>64.039999999999992</v>
      </c>
      <c r="X7060" s="42"/>
      <c r="AB7060">
        <v>56.4</v>
      </c>
      <c r="AC7060">
        <v>62.96</v>
      </c>
      <c r="AE7060" s="74"/>
      <c r="AF7060" s="77"/>
      <c r="AH7060" s="497">
        <v>46.4</v>
      </c>
      <c r="AJ7060" s="42"/>
      <c r="AK7060" s="74"/>
      <c r="AL7060" s="77"/>
      <c r="AN7060" s="497">
        <v>53.06</v>
      </c>
      <c r="AP7060" s="42"/>
      <c r="AQ7060" s="74"/>
      <c r="AR7060" s="77"/>
      <c r="AT7060" s="497">
        <v>51.08</v>
      </c>
      <c r="AV7060" s="42"/>
      <c r="AW7060" s="74"/>
      <c r="AX7060" s="77"/>
      <c r="BA7060" s="497">
        <v>55.94</v>
      </c>
      <c r="BB7060" s="42"/>
      <c r="BC7060" s="74"/>
      <c r="BD7060" s="77"/>
      <c r="BF7060">
        <v>60.980000000000004</v>
      </c>
      <c r="BH7060" s="42"/>
      <c r="BI7060" s="74"/>
      <c r="BJ7060" s="77"/>
      <c r="BL7060" s="497">
        <v>60.08</v>
      </c>
      <c r="BN7060" s="42"/>
      <c r="BO7060" s="74"/>
      <c r="BP7060" s="77"/>
      <c r="BR7060" s="497">
        <v>50</v>
      </c>
      <c r="BT7060" s="42"/>
    </row>
    <row r="7061" spans="1:72" x14ac:dyDescent="0.25">
      <c r="A7061" s="90">
        <v>37185</v>
      </c>
      <c r="B7061" s="20">
        <v>0.45833333333333331</v>
      </c>
      <c r="D7061">
        <v>69.98</v>
      </c>
      <c r="E7061" t="str">
        <f t="shared" si="256"/>
        <v>SUNDAY</v>
      </c>
      <c r="F7061" t="e">
        <f t="shared" si="255"/>
        <v>#N/A</v>
      </c>
      <c r="G7061" s="74">
        <v>29515</v>
      </c>
      <c r="H7061" s="77">
        <v>0.45833333333333331</v>
      </c>
      <c r="J7061">
        <v>55.76</v>
      </c>
      <c r="M7061" s="74">
        <v>36454</v>
      </c>
      <c r="N7061" s="77">
        <v>0.45833333333333331</v>
      </c>
      <c r="P7061">
        <v>53.6</v>
      </c>
      <c r="S7061" s="74">
        <v>37185</v>
      </c>
      <c r="T7061" s="77">
        <v>0.45833333333333331</v>
      </c>
      <c r="V7061">
        <v>64.94</v>
      </c>
      <c r="X7061" s="42"/>
      <c r="AB7061">
        <v>58</v>
      </c>
      <c r="AC7061">
        <v>62.96</v>
      </c>
      <c r="AE7061" s="74"/>
      <c r="AF7061" s="77"/>
      <c r="AH7061" s="497">
        <v>48.2</v>
      </c>
      <c r="AJ7061" s="42"/>
      <c r="AK7061" s="74"/>
      <c r="AL7061" s="77"/>
      <c r="AN7061" s="497">
        <v>57.019999999999996</v>
      </c>
      <c r="AP7061" s="42"/>
      <c r="AQ7061" s="74"/>
      <c r="AR7061" s="77"/>
      <c r="AT7061" s="497">
        <v>57.019999999999996</v>
      </c>
      <c r="AV7061" s="42"/>
      <c r="AW7061" s="74"/>
      <c r="AX7061" s="77"/>
      <c r="BA7061" s="497">
        <v>60.980000000000004</v>
      </c>
      <c r="BB7061" s="42"/>
      <c r="BC7061" s="74"/>
      <c r="BD7061" s="77"/>
      <c r="BF7061">
        <v>64.039999999999992</v>
      </c>
      <c r="BH7061" s="42"/>
      <c r="BI7061" s="74"/>
      <c r="BJ7061" s="77"/>
      <c r="BL7061" s="497">
        <v>64.039999999999992</v>
      </c>
      <c r="BN7061" s="42"/>
      <c r="BO7061" s="74"/>
      <c r="BP7061" s="77"/>
      <c r="BR7061" s="497">
        <v>50</v>
      </c>
      <c r="BT7061" s="42"/>
    </row>
    <row r="7062" spans="1:72" x14ac:dyDescent="0.25">
      <c r="A7062" s="90">
        <v>37185</v>
      </c>
      <c r="B7062" s="20">
        <v>0.5</v>
      </c>
      <c r="D7062">
        <v>71.06</v>
      </c>
      <c r="E7062" t="str">
        <f t="shared" si="256"/>
        <v>SUNDAY</v>
      </c>
      <c r="F7062" t="e">
        <f t="shared" si="255"/>
        <v>#N/A</v>
      </c>
      <c r="G7062" s="74">
        <v>29515</v>
      </c>
      <c r="H7062" s="77">
        <v>0.5</v>
      </c>
      <c r="J7062">
        <v>58.28</v>
      </c>
      <c r="M7062" s="74">
        <v>36454</v>
      </c>
      <c r="N7062" s="77">
        <v>0.5</v>
      </c>
      <c r="P7062">
        <v>57.2</v>
      </c>
      <c r="S7062" s="74">
        <v>37185</v>
      </c>
      <c r="T7062" s="77">
        <v>0.5</v>
      </c>
      <c r="V7062">
        <v>66.02</v>
      </c>
      <c r="X7062" s="42"/>
      <c r="AB7062">
        <v>59.4</v>
      </c>
      <c r="AC7062">
        <v>64.94</v>
      </c>
      <c r="AE7062" s="74"/>
      <c r="AF7062" s="77"/>
      <c r="AH7062" s="497">
        <v>50</v>
      </c>
      <c r="AJ7062" s="42"/>
      <c r="AK7062" s="74"/>
      <c r="AL7062" s="77"/>
      <c r="AN7062" s="497">
        <v>60.08</v>
      </c>
      <c r="AP7062" s="42"/>
      <c r="AQ7062" s="74"/>
      <c r="AR7062" s="77"/>
      <c r="AT7062" s="497">
        <v>62.06</v>
      </c>
      <c r="AV7062" s="42"/>
      <c r="AW7062" s="74"/>
      <c r="AX7062" s="77"/>
      <c r="BA7062" s="497">
        <v>60.08</v>
      </c>
      <c r="BB7062" s="42"/>
      <c r="BC7062" s="74"/>
      <c r="BD7062" s="77"/>
      <c r="BF7062">
        <v>66.02</v>
      </c>
      <c r="BH7062" s="42"/>
      <c r="BI7062" s="74"/>
      <c r="BJ7062" s="77"/>
      <c r="BL7062" s="497">
        <v>69.080000000000013</v>
      </c>
      <c r="BN7062" s="42"/>
      <c r="BO7062" s="74"/>
      <c r="BP7062" s="77"/>
      <c r="BR7062" s="497">
        <v>51.08</v>
      </c>
      <c r="BT7062" s="42"/>
    </row>
    <row r="7063" spans="1:72" x14ac:dyDescent="0.25">
      <c r="A7063" s="90">
        <v>37185</v>
      </c>
      <c r="B7063" s="20">
        <v>0.54166666666666663</v>
      </c>
      <c r="D7063">
        <v>69.98</v>
      </c>
      <c r="E7063" t="str">
        <f t="shared" si="256"/>
        <v>SUNDAY</v>
      </c>
      <c r="F7063" t="e">
        <f t="shared" si="255"/>
        <v>#N/A</v>
      </c>
      <c r="G7063" s="74">
        <v>29515</v>
      </c>
      <c r="H7063" s="77">
        <v>0.54166666666666663</v>
      </c>
      <c r="J7063">
        <v>60.980000000000004</v>
      </c>
      <c r="M7063" s="74">
        <v>36454</v>
      </c>
      <c r="N7063" s="77">
        <v>0.54166666666666663</v>
      </c>
      <c r="P7063">
        <v>57.2</v>
      </c>
      <c r="S7063" s="74">
        <v>37185</v>
      </c>
      <c r="T7063" s="77">
        <v>0.54166666666666663</v>
      </c>
      <c r="V7063">
        <v>66.92</v>
      </c>
      <c r="X7063" s="42"/>
      <c r="AB7063">
        <v>60.4</v>
      </c>
      <c r="AC7063">
        <v>64.94</v>
      </c>
      <c r="AE7063" s="74"/>
      <c r="AF7063" s="77"/>
      <c r="AH7063" s="497">
        <v>51.8</v>
      </c>
      <c r="AJ7063" s="42"/>
      <c r="AK7063" s="74"/>
      <c r="AL7063" s="77"/>
      <c r="AN7063" s="497">
        <v>64.039999999999992</v>
      </c>
      <c r="AP7063" s="42"/>
      <c r="AQ7063" s="74"/>
      <c r="AR7063" s="77"/>
      <c r="AT7063" s="497">
        <v>64.039999999999992</v>
      </c>
      <c r="AV7063" s="42"/>
      <c r="AW7063" s="74"/>
      <c r="AX7063" s="77"/>
      <c r="BA7063" s="497">
        <v>60.08</v>
      </c>
      <c r="BB7063" s="42"/>
      <c r="BC7063" s="74"/>
      <c r="BD7063" s="77"/>
      <c r="BF7063">
        <v>66.92</v>
      </c>
      <c r="BH7063" s="42"/>
      <c r="BI7063" s="74"/>
      <c r="BJ7063" s="77"/>
      <c r="BL7063" s="497">
        <v>71.06</v>
      </c>
      <c r="BN7063" s="42"/>
      <c r="BO7063" s="74"/>
      <c r="BP7063" s="77"/>
      <c r="BR7063" s="497">
        <v>53.06</v>
      </c>
      <c r="BT7063" s="42"/>
    </row>
    <row r="7064" spans="1:72" x14ac:dyDescent="0.25">
      <c r="A7064" s="90">
        <v>37185</v>
      </c>
      <c r="B7064" s="20">
        <v>0.58333333333333337</v>
      </c>
      <c r="D7064">
        <v>71.06</v>
      </c>
      <c r="E7064" t="str">
        <f t="shared" si="256"/>
        <v>SUNDAY</v>
      </c>
      <c r="F7064" t="e">
        <f t="shared" si="255"/>
        <v>#N/A</v>
      </c>
      <c r="G7064" s="74">
        <v>29515</v>
      </c>
      <c r="H7064" s="77">
        <v>0.58333333333333337</v>
      </c>
      <c r="J7064">
        <v>61.34</v>
      </c>
      <c r="M7064" s="74">
        <v>36454</v>
      </c>
      <c r="N7064" s="77">
        <v>0.58333333333333337</v>
      </c>
      <c r="P7064">
        <v>59</v>
      </c>
      <c r="S7064" s="74">
        <v>37185</v>
      </c>
      <c r="T7064" s="77">
        <v>0.58333333333333337</v>
      </c>
      <c r="V7064">
        <v>66.92</v>
      </c>
      <c r="X7064" s="42"/>
      <c r="AB7064">
        <v>61</v>
      </c>
      <c r="AC7064">
        <v>66.02</v>
      </c>
      <c r="AE7064" s="74"/>
      <c r="AF7064" s="77"/>
      <c r="AH7064" s="497">
        <v>51.8</v>
      </c>
      <c r="AJ7064" s="42"/>
      <c r="AK7064" s="74"/>
      <c r="AL7064" s="77"/>
      <c r="AN7064" s="497">
        <v>64.039999999999992</v>
      </c>
      <c r="AP7064" s="42"/>
      <c r="AQ7064" s="74"/>
      <c r="AR7064" s="77"/>
      <c r="AT7064" s="497">
        <v>62.96</v>
      </c>
      <c r="AV7064" s="42"/>
      <c r="AW7064" s="74"/>
      <c r="AX7064" s="77"/>
      <c r="BA7064" s="497">
        <v>60.08</v>
      </c>
      <c r="BB7064" s="42"/>
      <c r="BC7064" s="74"/>
      <c r="BD7064" s="77"/>
      <c r="BF7064">
        <v>66.92</v>
      </c>
      <c r="BH7064" s="42"/>
      <c r="BI7064" s="74"/>
      <c r="BJ7064" s="77"/>
      <c r="BL7064" s="497">
        <v>71.960000000000008</v>
      </c>
      <c r="BN7064" s="42"/>
      <c r="BO7064" s="74"/>
      <c r="BP7064" s="77"/>
      <c r="BR7064" s="497">
        <v>53.96</v>
      </c>
      <c r="BT7064" s="42"/>
    </row>
    <row r="7065" spans="1:72" x14ac:dyDescent="0.25">
      <c r="A7065" s="90">
        <v>37185</v>
      </c>
      <c r="B7065" s="20">
        <v>0.625</v>
      </c>
      <c r="D7065">
        <v>69.98</v>
      </c>
      <c r="E7065" t="str">
        <f t="shared" si="256"/>
        <v>SUNDAY</v>
      </c>
      <c r="F7065" t="e">
        <f t="shared" si="255"/>
        <v>#N/A</v>
      </c>
      <c r="G7065" s="74">
        <v>29515</v>
      </c>
      <c r="H7065" s="77">
        <v>0.625</v>
      </c>
      <c r="J7065">
        <v>61.7</v>
      </c>
      <c r="M7065" s="74">
        <v>36454</v>
      </c>
      <c r="N7065" s="77">
        <v>0.625</v>
      </c>
      <c r="P7065">
        <v>57.2</v>
      </c>
      <c r="S7065" s="74">
        <v>37185</v>
      </c>
      <c r="T7065" s="77">
        <v>0.625</v>
      </c>
      <c r="V7065">
        <v>66.92</v>
      </c>
      <c r="X7065" s="42"/>
      <c r="AB7065">
        <v>61.2</v>
      </c>
      <c r="AC7065">
        <v>64.94</v>
      </c>
      <c r="AE7065" s="74"/>
      <c r="AF7065" s="77"/>
      <c r="AH7065" s="497">
        <v>53.6</v>
      </c>
      <c r="AJ7065" s="42"/>
      <c r="AK7065" s="74"/>
      <c r="AL7065" s="77"/>
      <c r="AN7065" s="497">
        <v>64.039999999999992</v>
      </c>
      <c r="AP7065" s="42"/>
      <c r="AQ7065" s="74"/>
      <c r="AR7065" s="77"/>
      <c r="AT7065" s="497">
        <v>62.06</v>
      </c>
      <c r="AV7065" s="42"/>
      <c r="AW7065" s="74"/>
      <c r="AX7065" s="77"/>
      <c r="BA7065" s="497">
        <v>60.08</v>
      </c>
      <c r="BB7065" s="42"/>
      <c r="BC7065" s="74"/>
      <c r="BD7065" s="77"/>
      <c r="BF7065">
        <v>66.92</v>
      </c>
      <c r="BH7065" s="42"/>
      <c r="BI7065" s="74"/>
      <c r="BJ7065" s="77"/>
      <c r="BL7065" s="497">
        <v>73.039999999999992</v>
      </c>
      <c r="BN7065" s="42"/>
      <c r="BO7065" s="74"/>
      <c r="BP7065" s="77"/>
      <c r="BR7065" s="497">
        <v>57.019999999999996</v>
      </c>
      <c r="BT7065" s="42"/>
    </row>
    <row r="7066" spans="1:72" x14ac:dyDescent="0.25">
      <c r="A7066" s="90">
        <v>37185</v>
      </c>
      <c r="B7066" s="20">
        <v>0.66666666666666663</v>
      </c>
      <c r="D7066">
        <v>69.98</v>
      </c>
      <c r="E7066" t="str">
        <f t="shared" si="256"/>
        <v>SUNDAY</v>
      </c>
      <c r="F7066" t="e">
        <f t="shared" si="255"/>
        <v>#N/A</v>
      </c>
      <c r="G7066" s="74">
        <v>29515</v>
      </c>
      <c r="H7066" s="77">
        <v>0.66666666666666663</v>
      </c>
      <c r="J7066">
        <v>62.06</v>
      </c>
      <c r="M7066" s="74">
        <v>36454</v>
      </c>
      <c r="N7066" s="77">
        <v>0.66666666666666663</v>
      </c>
      <c r="P7066">
        <v>57.2</v>
      </c>
      <c r="S7066" s="74">
        <v>37185</v>
      </c>
      <c r="T7066" s="77">
        <v>0.66666666666666663</v>
      </c>
      <c r="V7066">
        <v>66.02</v>
      </c>
      <c r="X7066" s="42"/>
      <c r="AB7066">
        <v>60.9</v>
      </c>
      <c r="AC7066">
        <v>64.039999999999992</v>
      </c>
      <c r="AE7066" s="74"/>
      <c r="AF7066" s="77"/>
      <c r="AH7066" s="497">
        <v>51.8</v>
      </c>
      <c r="AJ7066" s="42"/>
      <c r="AK7066" s="74"/>
      <c r="AL7066" s="77"/>
      <c r="AN7066" s="497">
        <v>62.06</v>
      </c>
      <c r="AP7066" s="42"/>
      <c r="AQ7066" s="74"/>
      <c r="AR7066" s="77"/>
      <c r="AT7066" s="497">
        <v>60.980000000000004</v>
      </c>
      <c r="AV7066" s="42"/>
      <c r="AW7066" s="74"/>
      <c r="AX7066" s="77"/>
      <c r="BA7066" s="497">
        <v>57.92</v>
      </c>
      <c r="BB7066" s="42"/>
      <c r="BC7066" s="74"/>
      <c r="BD7066" s="77"/>
      <c r="BF7066">
        <v>66.92</v>
      </c>
      <c r="BH7066" s="42"/>
      <c r="BI7066" s="74"/>
      <c r="BJ7066" s="77"/>
      <c r="BL7066" s="497">
        <v>69.98</v>
      </c>
      <c r="BN7066" s="42"/>
      <c r="BO7066" s="74"/>
      <c r="BP7066" s="77"/>
      <c r="BR7066" s="497">
        <v>55.94</v>
      </c>
      <c r="BT7066" s="42"/>
    </row>
    <row r="7067" spans="1:72" x14ac:dyDescent="0.25">
      <c r="A7067" s="90">
        <v>37185</v>
      </c>
      <c r="B7067" s="20">
        <v>0.70833333333333337</v>
      </c>
      <c r="D7067">
        <v>69.080000000000013</v>
      </c>
      <c r="E7067" t="str">
        <f t="shared" si="256"/>
        <v>SUNDAY</v>
      </c>
      <c r="F7067" t="e">
        <f t="shared" si="255"/>
        <v>#N/A</v>
      </c>
      <c r="G7067" s="74">
        <v>29515</v>
      </c>
      <c r="H7067" s="77">
        <v>0.70833333333333337</v>
      </c>
      <c r="J7067">
        <v>60.620000000000005</v>
      </c>
      <c r="M7067" s="74">
        <v>36454</v>
      </c>
      <c r="N7067" s="77">
        <v>0.70833333333333337</v>
      </c>
      <c r="P7067">
        <v>53.6</v>
      </c>
      <c r="S7067" s="74">
        <v>37185</v>
      </c>
      <c r="T7067" s="77">
        <v>0.70833333333333337</v>
      </c>
      <c r="V7067">
        <v>64.94</v>
      </c>
      <c r="X7067" s="42"/>
      <c r="AB7067">
        <v>60</v>
      </c>
      <c r="AC7067">
        <v>62.06</v>
      </c>
      <c r="AE7067" s="74"/>
      <c r="AF7067" s="77"/>
      <c r="AH7067" s="497">
        <v>48.2</v>
      </c>
      <c r="AJ7067" s="42"/>
      <c r="AK7067" s="74"/>
      <c r="AL7067" s="77"/>
      <c r="AN7067" s="497">
        <v>57.92</v>
      </c>
      <c r="AP7067" s="42"/>
      <c r="AQ7067" s="74"/>
      <c r="AR7067" s="77"/>
      <c r="AT7067" s="497">
        <v>60.08</v>
      </c>
      <c r="AV7067" s="42"/>
      <c r="AW7067" s="74"/>
      <c r="AX7067" s="77"/>
      <c r="BA7067" s="497">
        <v>55.94</v>
      </c>
      <c r="BB7067" s="42"/>
      <c r="BC7067" s="74"/>
      <c r="BD7067" s="77"/>
      <c r="BF7067">
        <v>64.039999999999992</v>
      </c>
      <c r="BH7067" s="42"/>
      <c r="BI7067" s="74"/>
      <c r="BJ7067" s="77"/>
      <c r="BL7067" s="497">
        <v>66.92</v>
      </c>
      <c r="BN7067" s="42"/>
      <c r="BO7067" s="74"/>
      <c r="BP7067" s="77"/>
      <c r="BR7067" s="497">
        <v>53.06</v>
      </c>
      <c r="BT7067" s="42"/>
    </row>
    <row r="7068" spans="1:72" x14ac:dyDescent="0.25">
      <c r="A7068" s="90">
        <v>37185</v>
      </c>
      <c r="B7068" s="20">
        <v>0.75</v>
      </c>
      <c r="D7068">
        <v>66.92</v>
      </c>
      <c r="E7068" t="str">
        <f t="shared" si="256"/>
        <v>SUNDAY</v>
      </c>
      <c r="F7068" t="e">
        <f t="shared" si="255"/>
        <v>#N/A</v>
      </c>
      <c r="G7068" s="74">
        <v>29515</v>
      </c>
      <c r="H7068" s="77">
        <v>0.75</v>
      </c>
      <c r="J7068">
        <v>59.36</v>
      </c>
      <c r="M7068" s="74">
        <v>36454</v>
      </c>
      <c r="N7068" s="77">
        <v>0.75</v>
      </c>
      <c r="P7068">
        <v>50</v>
      </c>
      <c r="S7068" s="74">
        <v>37185</v>
      </c>
      <c r="T7068" s="77">
        <v>0.75</v>
      </c>
      <c r="V7068">
        <v>62.96</v>
      </c>
      <c r="X7068" s="42"/>
      <c r="AB7068">
        <v>58.5</v>
      </c>
      <c r="AC7068">
        <v>60.08</v>
      </c>
      <c r="AE7068" s="74"/>
      <c r="AF7068" s="77"/>
      <c r="AH7068" s="497">
        <v>42.8</v>
      </c>
      <c r="AJ7068" s="42"/>
      <c r="AK7068" s="74"/>
      <c r="AL7068" s="77"/>
      <c r="AN7068" s="497">
        <v>57.92</v>
      </c>
      <c r="AP7068" s="42"/>
      <c r="AQ7068" s="74"/>
      <c r="AR7068" s="77"/>
      <c r="AT7068" s="497">
        <v>57.92</v>
      </c>
      <c r="AV7068" s="42"/>
      <c r="AW7068" s="74"/>
      <c r="AX7068" s="77"/>
      <c r="BA7068" s="497">
        <v>53.96</v>
      </c>
      <c r="BB7068" s="42"/>
      <c r="BC7068" s="74"/>
      <c r="BD7068" s="77"/>
      <c r="BF7068">
        <v>62.06</v>
      </c>
      <c r="BH7068" s="42"/>
      <c r="BI7068" s="74"/>
      <c r="BJ7068" s="77"/>
      <c r="BL7068" s="497">
        <v>64.94</v>
      </c>
      <c r="BN7068" s="42"/>
      <c r="BO7068" s="74"/>
      <c r="BP7068" s="77"/>
      <c r="BR7068" s="497">
        <v>48.019999999999996</v>
      </c>
      <c r="BT7068" s="42"/>
    </row>
    <row r="7069" spans="1:72" x14ac:dyDescent="0.25">
      <c r="A7069" s="90">
        <v>37185</v>
      </c>
      <c r="B7069" s="20">
        <v>0.79166666666666663</v>
      </c>
      <c r="D7069">
        <v>68</v>
      </c>
      <c r="E7069" t="str">
        <f t="shared" si="256"/>
        <v>SUNDAY</v>
      </c>
      <c r="F7069" t="e">
        <f t="shared" si="255"/>
        <v>#N/A</v>
      </c>
      <c r="G7069" s="74">
        <v>29515</v>
      </c>
      <c r="H7069" s="77">
        <v>0.79166666666666663</v>
      </c>
      <c r="J7069">
        <v>57.92</v>
      </c>
      <c r="M7069" s="74">
        <v>36454</v>
      </c>
      <c r="N7069" s="77">
        <v>0.79166666666666663</v>
      </c>
      <c r="P7069">
        <v>46.4</v>
      </c>
      <c r="S7069" s="74">
        <v>37185</v>
      </c>
      <c r="T7069" s="77">
        <v>0.79166666666666663</v>
      </c>
      <c r="V7069">
        <v>62.06</v>
      </c>
      <c r="X7069" s="42"/>
      <c r="AB7069">
        <v>57.5</v>
      </c>
      <c r="AC7069">
        <v>59</v>
      </c>
      <c r="AE7069" s="74"/>
      <c r="AF7069" s="77"/>
      <c r="AH7069" s="497">
        <v>37.4</v>
      </c>
      <c r="AJ7069" s="42"/>
      <c r="AK7069" s="74"/>
      <c r="AL7069" s="77"/>
      <c r="AN7069" s="497">
        <v>57.019999999999996</v>
      </c>
      <c r="AP7069" s="42"/>
      <c r="AQ7069" s="74"/>
      <c r="AR7069" s="77"/>
      <c r="AT7069" s="497">
        <v>57.019999999999996</v>
      </c>
      <c r="AV7069" s="42"/>
      <c r="AW7069" s="74"/>
      <c r="AX7069" s="77"/>
      <c r="BA7069" s="497">
        <v>51.08</v>
      </c>
      <c r="BB7069" s="42"/>
      <c r="BC7069" s="74"/>
      <c r="BD7069" s="77"/>
      <c r="BF7069">
        <v>59</v>
      </c>
      <c r="BH7069" s="42"/>
      <c r="BI7069" s="74"/>
      <c r="BJ7069" s="77"/>
      <c r="BL7069" s="497">
        <v>60.980000000000004</v>
      </c>
      <c r="BN7069" s="42"/>
      <c r="BO7069" s="74"/>
      <c r="BP7069" s="77"/>
      <c r="BR7069" s="497">
        <v>42.08</v>
      </c>
      <c r="BT7069" s="42"/>
    </row>
    <row r="7070" spans="1:72" x14ac:dyDescent="0.25">
      <c r="A7070" s="90">
        <v>37185</v>
      </c>
      <c r="B7070" s="20">
        <v>0.83333333333333337</v>
      </c>
      <c r="D7070">
        <v>66.92</v>
      </c>
      <c r="E7070" t="str">
        <f t="shared" si="256"/>
        <v>SUNDAY</v>
      </c>
      <c r="F7070" t="e">
        <f t="shared" si="255"/>
        <v>#N/A</v>
      </c>
      <c r="G7070" s="74">
        <v>29515</v>
      </c>
      <c r="H7070" s="77">
        <v>0.83333333333333337</v>
      </c>
      <c r="J7070">
        <v>57.2</v>
      </c>
      <c r="M7070" s="74">
        <v>36454</v>
      </c>
      <c r="N7070" s="77">
        <v>0.83333333333333337</v>
      </c>
      <c r="P7070">
        <v>44.6</v>
      </c>
      <c r="S7070" s="74">
        <v>37185</v>
      </c>
      <c r="T7070" s="77">
        <v>0.83333333333333337</v>
      </c>
      <c r="V7070">
        <v>62.06</v>
      </c>
      <c r="X7070" s="42"/>
      <c r="AB7070">
        <v>56.9</v>
      </c>
      <c r="AC7070">
        <v>57.019999999999996</v>
      </c>
      <c r="AE7070" s="74"/>
      <c r="AF7070" s="77"/>
      <c r="AH7070" s="497">
        <v>35.6</v>
      </c>
      <c r="AJ7070" s="42"/>
      <c r="AK7070" s="74"/>
      <c r="AL7070" s="77"/>
      <c r="AN7070" s="497">
        <v>53.96</v>
      </c>
      <c r="AP7070" s="42"/>
      <c r="AQ7070" s="74"/>
      <c r="AR7070" s="77"/>
      <c r="AT7070" s="497">
        <v>55.94</v>
      </c>
      <c r="AV7070" s="42"/>
      <c r="AW7070" s="74"/>
      <c r="AX7070" s="77"/>
      <c r="BA7070" s="497">
        <v>51.980000000000004</v>
      </c>
      <c r="BB7070" s="42"/>
      <c r="BC7070" s="74"/>
      <c r="BD7070" s="77"/>
      <c r="BF7070">
        <v>57.92</v>
      </c>
      <c r="BH7070" s="42"/>
      <c r="BI7070" s="74"/>
      <c r="BJ7070" s="77"/>
      <c r="BL7070" s="497">
        <v>57.92</v>
      </c>
      <c r="BN7070" s="42"/>
      <c r="BO7070" s="74"/>
      <c r="BP7070" s="77"/>
      <c r="BR7070" s="497">
        <v>42.08</v>
      </c>
      <c r="BT7070" s="42"/>
    </row>
    <row r="7071" spans="1:72" x14ac:dyDescent="0.25">
      <c r="A7071" s="90">
        <v>37185</v>
      </c>
      <c r="B7071" s="20">
        <v>0.875</v>
      </c>
      <c r="D7071">
        <v>66.02</v>
      </c>
      <c r="E7071" t="str">
        <f t="shared" si="256"/>
        <v>SUNDAY</v>
      </c>
      <c r="F7071" t="e">
        <f t="shared" si="255"/>
        <v>#N/A</v>
      </c>
      <c r="G7071" s="74">
        <v>29515</v>
      </c>
      <c r="H7071" s="77">
        <v>0.875</v>
      </c>
      <c r="J7071">
        <v>56.66</v>
      </c>
      <c r="M7071" s="74">
        <v>36454</v>
      </c>
      <c r="N7071" s="77">
        <v>0.875</v>
      </c>
      <c r="P7071">
        <v>44.6</v>
      </c>
      <c r="S7071" s="74">
        <v>37185</v>
      </c>
      <c r="T7071" s="77">
        <v>0.875</v>
      </c>
      <c r="V7071">
        <v>60.08</v>
      </c>
      <c r="X7071" s="42"/>
      <c r="AB7071">
        <v>56.2</v>
      </c>
      <c r="AC7071">
        <v>55.94</v>
      </c>
      <c r="AE7071" s="74"/>
      <c r="AF7071" s="77"/>
      <c r="AH7071" s="497">
        <v>33.799999999999997</v>
      </c>
      <c r="AJ7071" s="42"/>
      <c r="AK7071" s="74"/>
      <c r="AL7071" s="77"/>
      <c r="AN7071" s="497">
        <v>51.980000000000004</v>
      </c>
      <c r="AP7071" s="42"/>
      <c r="AQ7071" s="74"/>
      <c r="AR7071" s="77"/>
      <c r="AT7071" s="497">
        <v>55.94</v>
      </c>
      <c r="AV7071" s="42"/>
      <c r="AW7071" s="74"/>
      <c r="AX7071" s="77"/>
      <c r="BA7071" s="497">
        <v>51.08</v>
      </c>
      <c r="BB7071" s="42"/>
      <c r="BC7071" s="74"/>
      <c r="BD7071" s="77"/>
      <c r="BF7071">
        <v>60.980000000000004</v>
      </c>
      <c r="BH7071" s="42"/>
      <c r="BI7071" s="74"/>
      <c r="BJ7071" s="77"/>
      <c r="BL7071" s="497">
        <v>55.94</v>
      </c>
      <c r="BN7071" s="42"/>
      <c r="BO7071" s="74"/>
      <c r="BP7071" s="77"/>
      <c r="BR7071" s="497">
        <v>39.019999999999996</v>
      </c>
      <c r="BT7071" s="42"/>
    </row>
    <row r="7072" spans="1:72" x14ac:dyDescent="0.25">
      <c r="A7072" s="90">
        <v>37185</v>
      </c>
      <c r="B7072" s="20">
        <v>0.91666666666666663</v>
      </c>
      <c r="D7072">
        <v>64.039999999999992</v>
      </c>
      <c r="E7072" t="str">
        <f t="shared" si="256"/>
        <v>SUNDAY</v>
      </c>
      <c r="F7072" t="e">
        <f t="shared" si="255"/>
        <v>#N/A</v>
      </c>
      <c r="G7072" s="74">
        <v>29515</v>
      </c>
      <c r="H7072" s="77">
        <v>0.91666666666666663</v>
      </c>
      <c r="J7072">
        <v>55.94</v>
      </c>
      <c r="M7072" s="74">
        <v>36454</v>
      </c>
      <c r="N7072" s="77">
        <v>0.91666666666666663</v>
      </c>
      <c r="P7072">
        <v>42.8</v>
      </c>
      <c r="S7072" s="74">
        <v>37185</v>
      </c>
      <c r="T7072" s="77">
        <v>0.91666666666666663</v>
      </c>
      <c r="V7072">
        <v>60.08</v>
      </c>
      <c r="X7072" s="42"/>
      <c r="AB7072">
        <v>55.6</v>
      </c>
      <c r="AC7072">
        <v>55.94</v>
      </c>
      <c r="AE7072" s="74"/>
      <c r="AF7072" s="77"/>
      <c r="AH7072" s="497">
        <v>32</v>
      </c>
      <c r="AJ7072" s="42"/>
      <c r="AK7072" s="74"/>
      <c r="AL7072" s="77"/>
      <c r="AN7072" s="497">
        <v>51.980000000000004</v>
      </c>
      <c r="AP7072" s="42"/>
      <c r="AQ7072" s="74"/>
      <c r="AR7072" s="77"/>
      <c r="AT7072" s="497">
        <v>53.96</v>
      </c>
      <c r="AV7072" s="42"/>
      <c r="AW7072" s="74"/>
      <c r="AX7072" s="77"/>
      <c r="BA7072" s="497">
        <v>51.08</v>
      </c>
      <c r="BB7072" s="42"/>
      <c r="BC7072" s="74"/>
      <c r="BD7072" s="77"/>
      <c r="BF7072">
        <v>60.08</v>
      </c>
      <c r="BH7072" s="42"/>
      <c r="BI7072" s="74"/>
      <c r="BJ7072" s="77"/>
      <c r="BL7072" s="497">
        <v>57.92</v>
      </c>
      <c r="BN7072" s="42"/>
      <c r="BO7072" s="74"/>
      <c r="BP7072" s="77"/>
      <c r="BR7072" s="497">
        <v>39.92</v>
      </c>
      <c r="BT7072" s="42"/>
    </row>
    <row r="7073" spans="1:72" x14ac:dyDescent="0.25">
      <c r="A7073" s="90">
        <v>37185</v>
      </c>
      <c r="B7073" s="20">
        <v>0.95833333333333337</v>
      </c>
      <c r="D7073">
        <v>64.039999999999992</v>
      </c>
      <c r="E7073" t="str">
        <f t="shared" si="256"/>
        <v>SUNDAY</v>
      </c>
      <c r="F7073" t="e">
        <f t="shared" si="255"/>
        <v>#N/A</v>
      </c>
      <c r="G7073" s="74">
        <v>29515</v>
      </c>
      <c r="H7073" s="77">
        <v>0.95833333333333337</v>
      </c>
      <c r="J7073">
        <v>55.22</v>
      </c>
      <c r="M7073" s="74">
        <v>36454</v>
      </c>
      <c r="N7073" s="77">
        <v>0.95833333333333337</v>
      </c>
      <c r="P7073">
        <v>42.8</v>
      </c>
      <c r="S7073" s="74">
        <v>37185</v>
      </c>
      <c r="T7073" s="77">
        <v>0.95833333333333337</v>
      </c>
      <c r="V7073">
        <v>60.08</v>
      </c>
      <c r="X7073" s="42"/>
      <c r="AB7073">
        <v>54.9</v>
      </c>
      <c r="AC7073">
        <v>55.94</v>
      </c>
      <c r="AE7073" s="74"/>
      <c r="AF7073" s="77"/>
      <c r="AH7073" s="497">
        <v>30.2</v>
      </c>
      <c r="AJ7073" s="42"/>
      <c r="AK7073" s="74"/>
      <c r="AL7073" s="77"/>
      <c r="AN7073" s="497">
        <v>51.980000000000004</v>
      </c>
      <c r="AP7073" s="42"/>
      <c r="AQ7073" s="74"/>
      <c r="AR7073" s="77"/>
      <c r="AT7073" s="497">
        <v>51.980000000000004</v>
      </c>
      <c r="AV7073" s="42"/>
      <c r="AW7073" s="74"/>
      <c r="AX7073" s="77"/>
      <c r="BA7073" s="497">
        <v>48.019999999999996</v>
      </c>
      <c r="BB7073" s="42"/>
      <c r="BC7073" s="74"/>
      <c r="BD7073" s="77"/>
      <c r="BF7073">
        <v>60.08</v>
      </c>
      <c r="BH7073" s="42"/>
      <c r="BI7073" s="74"/>
      <c r="BJ7073" s="77"/>
      <c r="BL7073" s="497">
        <v>59</v>
      </c>
      <c r="BN7073" s="42"/>
      <c r="BO7073" s="74"/>
      <c r="BP7073" s="77"/>
      <c r="BR7073" s="497">
        <v>39.92</v>
      </c>
      <c r="BT7073" s="42"/>
    </row>
    <row r="7074" spans="1:72" x14ac:dyDescent="0.25">
      <c r="A7074" s="90">
        <v>37185</v>
      </c>
      <c r="B7074" s="20">
        <v>1</v>
      </c>
      <c r="D7074">
        <v>64.039999999999992</v>
      </c>
      <c r="E7074" t="str">
        <f t="shared" si="256"/>
        <v>SUNDAY</v>
      </c>
      <c r="F7074" t="e">
        <f t="shared" si="255"/>
        <v>#N/A</v>
      </c>
      <c r="G7074" s="74">
        <v>29515</v>
      </c>
      <c r="H7074" s="77">
        <v>1</v>
      </c>
      <c r="J7074">
        <v>54.68</v>
      </c>
      <c r="M7074" s="74">
        <v>36454</v>
      </c>
      <c r="N7074" s="80">
        <v>1</v>
      </c>
      <c r="P7074">
        <v>42.8</v>
      </c>
      <c r="S7074" s="74">
        <v>37185</v>
      </c>
      <c r="T7074" s="80">
        <v>1</v>
      </c>
      <c r="V7074">
        <v>59</v>
      </c>
      <c r="X7074" s="42"/>
      <c r="AB7074">
        <v>54.2</v>
      </c>
      <c r="AC7074">
        <v>57.92</v>
      </c>
      <c r="AE7074" s="74"/>
      <c r="AF7074" s="80"/>
      <c r="AH7074" s="497">
        <v>30.2</v>
      </c>
      <c r="AJ7074" s="42"/>
      <c r="AK7074" s="74"/>
      <c r="AL7074" s="80"/>
      <c r="AN7074" s="497">
        <v>51.08</v>
      </c>
      <c r="AP7074" s="42"/>
      <c r="AQ7074" s="74"/>
      <c r="AR7074" s="80"/>
      <c r="AT7074" s="497">
        <v>50</v>
      </c>
      <c r="AV7074" s="42"/>
      <c r="AW7074" s="74"/>
      <c r="AX7074" s="80"/>
      <c r="BA7074" s="497">
        <v>46.94</v>
      </c>
      <c r="BB7074" s="42"/>
      <c r="BC7074" s="74"/>
      <c r="BD7074" s="80"/>
      <c r="BF7074">
        <v>59</v>
      </c>
      <c r="BH7074" s="42"/>
      <c r="BI7074" s="74"/>
      <c r="BJ7074" s="80"/>
      <c r="BL7074" s="497">
        <v>59</v>
      </c>
      <c r="BN7074" s="42"/>
      <c r="BO7074" s="74"/>
      <c r="BP7074" s="80"/>
      <c r="BR7074" s="497">
        <v>37.94</v>
      </c>
      <c r="BT7074" s="42"/>
    </row>
    <row r="7075" spans="1:72" x14ac:dyDescent="0.25">
      <c r="A7075" s="90">
        <v>37186</v>
      </c>
      <c r="B7075" s="20">
        <v>4.1666666666666664E-2</v>
      </c>
      <c r="D7075">
        <v>62.96</v>
      </c>
      <c r="E7075" t="str">
        <f t="shared" si="256"/>
        <v>WEEKDAY</v>
      </c>
      <c r="F7075" t="e">
        <f t="shared" si="255"/>
        <v>#N/A</v>
      </c>
      <c r="G7075" s="74">
        <v>29516</v>
      </c>
      <c r="H7075" s="77">
        <v>4.1666666666666664E-2</v>
      </c>
      <c r="J7075">
        <v>53.96</v>
      </c>
      <c r="M7075" s="74">
        <v>36455</v>
      </c>
      <c r="N7075" s="77">
        <v>4.1666666666666664E-2</v>
      </c>
      <c r="P7075">
        <v>39.200000000000003</v>
      </c>
      <c r="S7075" s="74">
        <v>37186</v>
      </c>
      <c r="T7075" s="77">
        <v>4.1666666666666664E-2</v>
      </c>
      <c r="V7075">
        <v>60.08</v>
      </c>
      <c r="X7075" s="42"/>
      <c r="AB7075">
        <v>53.6</v>
      </c>
      <c r="AC7075">
        <v>60.08</v>
      </c>
      <c r="AE7075" s="74"/>
      <c r="AF7075" s="77"/>
      <c r="AH7075" s="497">
        <v>28.4</v>
      </c>
      <c r="AJ7075" s="42"/>
      <c r="AK7075" s="74"/>
      <c r="AL7075" s="77"/>
      <c r="AN7075" s="497">
        <v>50</v>
      </c>
      <c r="AP7075" s="42"/>
      <c r="AQ7075" s="74"/>
      <c r="AR7075" s="77"/>
      <c r="AT7075" s="497">
        <v>46.04</v>
      </c>
      <c r="AV7075" s="42"/>
      <c r="AW7075" s="74"/>
      <c r="AX7075" s="77"/>
      <c r="BA7075" s="497">
        <v>46.04</v>
      </c>
      <c r="BB7075" s="42"/>
      <c r="BC7075" s="74"/>
      <c r="BD7075" s="77"/>
      <c r="BF7075">
        <v>57.92</v>
      </c>
      <c r="BH7075" s="42"/>
      <c r="BI7075" s="74"/>
      <c r="BJ7075" s="77"/>
      <c r="BL7075" s="497">
        <v>57.92</v>
      </c>
      <c r="BN7075" s="42"/>
      <c r="BO7075" s="74"/>
      <c r="BP7075" s="77"/>
      <c r="BR7075" s="497">
        <v>37.94</v>
      </c>
      <c r="BT7075" s="42"/>
    </row>
    <row r="7076" spans="1:72" x14ac:dyDescent="0.25">
      <c r="A7076" s="90">
        <v>37186</v>
      </c>
      <c r="B7076" s="20">
        <v>8.3333333333333329E-2</v>
      </c>
      <c r="D7076">
        <v>62.96</v>
      </c>
      <c r="E7076" t="str">
        <f t="shared" si="256"/>
        <v>WEEKDAY</v>
      </c>
      <c r="F7076" t="e">
        <f t="shared" si="255"/>
        <v>#N/A</v>
      </c>
      <c r="G7076" s="74">
        <v>29516</v>
      </c>
      <c r="H7076" s="77">
        <v>8.3333333333333329E-2</v>
      </c>
      <c r="J7076">
        <v>52.7</v>
      </c>
      <c r="M7076" s="74">
        <v>36455</v>
      </c>
      <c r="N7076" s="77">
        <v>8.3333333333333329E-2</v>
      </c>
      <c r="P7076">
        <v>41</v>
      </c>
      <c r="S7076" s="74">
        <v>37186</v>
      </c>
      <c r="T7076" s="77">
        <v>8.3333333333333329E-2</v>
      </c>
      <c r="V7076">
        <v>57.92</v>
      </c>
      <c r="X7076" s="42"/>
      <c r="AB7076">
        <v>53</v>
      </c>
      <c r="AC7076">
        <v>57.92</v>
      </c>
      <c r="AE7076" s="74"/>
      <c r="AF7076" s="77"/>
      <c r="AH7076" s="497">
        <v>28.4</v>
      </c>
      <c r="AJ7076" s="42"/>
      <c r="AK7076" s="74"/>
      <c r="AL7076" s="77"/>
      <c r="AN7076" s="497">
        <v>50</v>
      </c>
      <c r="AP7076" s="42"/>
      <c r="AQ7076" s="74"/>
      <c r="AR7076" s="77"/>
      <c r="AT7076" s="497">
        <v>46.04</v>
      </c>
      <c r="AV7076" s="42"/>
      <c r="AW7076" s="74"/>
      <c r="AX7076" s="77"/>
      <c r="BA7076" s="497">
        <v>44.96</v>
      </c>
      <c r="BB7076" s="42"/>
      <c r="BC7076" s="74"/>
      <c r="BD7076" s="77"/>
      <c r="BF7076">
        <v>59</v>
      </c>
      <c r="BH7076" s="42"/>
      <c r="BI7076" s="74"/>
      <c r="BJ7076" s="77"/>
      <c r="BL7076" s="497">
        <v>57.019999999999996</v>
      </c>
      <c r="BN7076" s="42"/>
      <c r="BO7076" s="74"/>
      <c r="BP7076" s="77"/>
      <c r="BR7076" s="497">
        <v>46.04</v>
      </c>
      <c r="BT7076" s="42"/>
    </row>
    <row r="7077" spans="1:72" x14ac:dyDescent="0.25">
      <c r="A7077" s="90">
        <v>37186</v>
      </c>
      <c r="B7077" s="20">
        <v>0.125</v>
      </c>
      <c r="D7077">
        <v>62.06</v>
      </c>
      <c r="E7077" t="str">
        <f t="shared" si="256"/>
        <v>WEEKDAY</v>
      </c>
      <c r="F7077" t="e">
        <f t="shared" si="255"/>
        <v>#N/A</v>
      </c>
      <c r="G7077" s="74">
        <v>29516</v>
      </c>
      <c r="H7077" s="77">
        <v>0.125</v>
      </c>
      <c r="J7077">
        <v>51.26</v>
      </c>
      <c r="M7077" s="74">
        <v>36455</v>
      </c>
      <c r="N7077" s="77">
        <v>0.125</v>
      </c>
      <c r="P7077">
        <v>42.08</v>
      </c>
      <c r="S7077" s="74">
        <v>37186</v>
      </c>
      <c r="T7077" s="77">
        <v>0.125</v>
      </c>
      <c r="V7077">
        <v>55.94</v>
      </c>
      <c r="X7077" s="42"/>
      <c r="AB7077">
        <v>52.4</v>
      </c>
      <c r="AC7077">
        <v>55.94</v>
      </c>
      <c r="AE7077" s="74"/>
      <c r="AF7077" s="77"/>
      <c r="AH7077" s="497">
        <v>27.68</v>
      </c>
      <c r="AJ7077" s="42"/>
      <c r="AK7077" s="74"/>
      <c r="AL7077" s="77"/>
      <c r="AN7077" s="497">
        <v>50</v>
      </c>
      <c r="AP7077" s="42"/>
      <c r="AQ7077" s="74"/>
      <c r="AR7077" s="77"/>
      <c r="AT7077" s="497">
        <v>42.08</v>
      </c>
      <c r="AV7077" s="42"/>
      <c r="AW7077" s="74"/>
      <c r="AX7077" s="77"/>
      <c r="BA7077" s="497">
        <v>44.96</v>
      </c>
      <c r="BB7077" s="42"/>
      <c r="BC7077" s="74"/>
      <c r="BD7077" s="77"/>
      <c r="BF7077">
        <v>59</v>
      </c>
      <c r="BH7077" s="42"/>
      <c r="BI7077" s="74"/>
      <c r="BJ7077" s="77"/>
      <c r="BL7077" s="497">
        <v>57.92</v>
      </c>
      <c r="BN7077" s="42"/>
      <c r="BO7077" s="74"/>
      <c r="BP7077" s="77"/>
      <c r="BR7077" s="497">
        <v>46.94</v>
      </c>
      <c r="BT7077" s="42"/>
    </row>
    <row r="7078" spans="1:72" x14ac:dyDescent="0.25">
      <c r="A7078" s="90">
        <v>37186</v>
      </c>
      <c r="B7078" s="20">
        <v>0.16666666666666666</v>
      </c>
      <c r="D7078">
        <v>62.06</v>
      </c>
      <c r="E7078" t="str">
        <f t="shared" si="256"/>
        <v>WEEKDAY</v>
      </c>
      <c r="F7078" t="e">
        <f t="shared" si="255"/>
        <v>#N/A</v>
      </c>
      <c r="G7078" s="74">
        <v>29516</v>
      </c>
      <c r="H7078" s="77">
        <v>0.16666666666666666</v>
      </c>
      <c r="J7078">
        <v>50</v>
      </c>
      <c r="M7078" s="74">
        <v>36455</v>
      </c>
      <c r="N7078" s="77">
        <v>0.16666666666666666</v>
      </c>
      <c r="P7078">
        <v>42.8</v>
      </c>
      <c r="S7078" s="74">
        <v>37186</v>
      </c>
      <c r="T7078" s="77">
        <v>0.16666666666666666</v>
      </c>
      <c r="V7078">
        <v>55.94</v>
      </c>
      <c r="X7078" s="42"/>
      <c r="AB7078">
        <v>52</v>
      </c>
      <c r="AC7078">
        <v>53.96</v>
      </c>
      <c r="AE7078" s="74"/>
      <c r="AF7078" s="77"/>
      <c r="AH7078" s="497">
        <v>27.14</v>
      </c>
      <c r="AJ7078" s="42"/>
      <c r="AK7078" s="74"/>
      <c r="AL7078" s="77"/>
      <c r="AN7078" s="497">
        <v>48.019999999999996</v>
      </c>
      <c r="AP7078" s="42"/>
      <c r="AQ7078" s="74"/>
      <c r="AR7078" s="77"/>
      <c r="AT7078" s="497">
        <v>42.08</v>
      </c>
      <c r="AV7078" s="42"/>
      <c r="AW7078" s="74"/>
      <c r="AX7078" s="77"/>
      <c r="BA7078" s="497">
        <v>42.980000000000004</v>
      </c>
      <c r="BB7078" s="42"/>
      <c r="BC7078" s="74"/>
      <c r="BD7078" s="77"/>
      <c r="BF7078">
        <v>60.08</v>
      </c>
      <c r="BH7078" s="42"/>
      <c r="BI7078" s="74"/>
      <c r="BJ7078" s="77"/>
      <c r="BL7078" s="497">
        <v>57.019999999999996</v>
      </c>
      <c r="BN7078" s="42"/>
      <c r="BO7078" s="74"/>
      <c r="BP7078" s="77"/>
      <c r="BR7078" s="497">
        <v>48.019999999999996</v>
      </c>
      <c r="BT7078" s="42"/>
    </row>
    <row r="7079" spans="1:72" x14ac:dyDescent="0.25">
      <c r="A7079" s="90">
        <v>37186</v>
      </c>
      <c r="B7079" s="20">
        <v>0.20833333333333334</v>
      </c>
      <c r="D7079">
        <v>60.980000000000004</v>
      </c>
      <c r="E7079" t="str">
        <f t="shared" si="256"/>
        <v>WEEKDAY</v>
      </c>
      <c r="F7079" t="e">
        <f t="shared" si="255"/>
        <v>#N/A</v>
      </c>
      <c r="G7079" s="74">
        <v>29516</v>
      </c>
      <c r="H7079" s="77">
        <v>0.20833333333333334</v>
      </c>
      <c r="J7079">
        <v>49.28</v>
      </c>
      <c r="M7079" s="74">
        <v>36455</v>
      </c>
      <c r="N7079" s="77">
        <v>0.20833333333333334</v>
      </c>
      <c r="P7079">
        <v>41</v>
      </c>
      <c r="S7079" s="74">
        <v>37186</v>
      </c>
      <c r="T7079" s="77">
        <v>0.20833333333333334</v>
      </c>
      <c r="V7079">
        <v>55.040000000000006</v>
      </c>
      <c r="X7079" s="42"/>
      <c r="AB7079">
        <v>51.6</v>
      </c>
      <c r="AC7079">
        <v>51.980000000000004</v>
      </c>
      <c r="AE7079" s="74"/>
      <c r="AF7079" s="77"/>
      <c r="AH7079" s="497">
        <v>26.6</v>
      </c>
      <c r="AJ7079" s="42"/>
      <c r="AK7079" s="74"/>
      <c r="AL7079" s="77"/>
      <c r="AN7079" s="497">
        <v>44.96</v>
      </c>
      <c r="AP7079" s="42"/>
      <c r="AQ7079" s="74"/>
      <c r="AR7079" s="77"/>
      <c r="AT7079" s="497">
        <v>41</v>
      </c>
      <c r="AV7079" s="42"/>
      <c r="AW7079" s="74"/>
      <c r="AX7079" s="77"/>
      <c r="BA7079" s="497">
        <v>42.980000000000004</v>
      </c>
      <c r="BB7079" s="42"/>
      <c r="BC7079" s="74"/>
      <c r="BD7079" s="77"/>
      <c r="BF7079">
        <v>59</v>
      </c>
      <c r="BH7079" s="42"/>
      <c r="BI7079" s="74"/>
      <c r="BJ7079" s="77"/>
      <c r="BL7079" s="497">
        <v>55.94</v>
      </c>
      <c r="BN7079" s="42"/>
      <c r="BO7079" s="74"/>
      <c r="BP7079" s="77"/>
      <c r="BR7079" s="497">
        <v>48.92</v>
      </c>
      <c r="BT7079" s="42"/>
    </row>
    <row r="7080" spans="1:72" x14ac:dyDescent="0.25">
      <c r="A7080" s="90">
        <v>37186</v>
      </c>
      <c r="B7080" s="20">
        <v>0.25</v>
      </c>
      <c r="D7080">
        <v>60.08</v>
      </c>
      <c r="E7080" t="str">
        <f t="shared" si="256"/>
        <v>WEEKDAY</v>
      </c>
      <c r="F7080" t="e">
        <f t="shared" si="255"/>
        <v>#N/A</v>
      </c>
      <c r="G7080" s="74">
        <v>29516</v>
      </c>
      <c r="H7080" s="77">
        <v>0.25</v>
      </c>
      <c r="J7080">
        <v>48.74</v>
      </c>
      <c r="M7080" s="74">
        <v>36455</v>
      </c>
      <c r="N7080" s="77">
        <v>0.25</v>
      </c>
      <c r="P7080">
        <v>42.8</v>
      </c>
      <c r="S7080" s="74">
        <v>37186</v>
      </c>
      <c r="T7080" s="77">
        <v>0.25</v>
      </c>
      <c r="V7080">
        <v>55.040000000000006</v>
      </c>
      <c r="X7080" s="42"/>
      <c r="AB7080">
        <v>51.4</v>
      </c>
      <c r="AC7080">
        <v>50</v>
      </c>
      <c r="AE7080" s="74"/>
      <c r="AF7080" s="77"/>
      <c r="AH7080" s="497">
        <v>26.6</v>
      </c>
      <c r="AJ7080" s="42"/>
      <c r="AK7080" s="74"/>
      <c r="AL7080" s="77"/>
      <c r="AN7080" s="497">
        <v>42.980000000000004</v>
      </c>
      <c r="AP7080" s="42"/>
      <c r="AQ7080" s="74"/>
      <c r="AR7080" s="77"/>
      <c r="AT7080" s="497">
        <v>41</v>
      </c>
      <c r="AV7080" s="42"/>
      <c r="AW7080" s="74"/>
      <c r="AX7080" s="77"/>
      <c r="BA7080" s="497">
        <v>39.92</v>
      </c>
      <c r="BB7080" s="42"/>
      <c r="BC7080" s="74"/>
      <c r="BD7080" s="77"/>
      <c r="BF7080">
        <v>57.92</v>
      </c>
      <c r="BH7080" s="42"/>
      <c r="BI7080" s="74"/>
      <c r="BJ7080" s="77"/>
      <c r="BL7080" s="497">
        <v>57.019999999999996</v>
      </c>
      <c r="BN7080" s="42"/>
      <c r="BO7080" s="74"/>
      <c r="BP7080" s="77"/>
      <c r="BR7080" s="497">
        <v>48.92</v>
      </c>
      <c r="BT7080" s="42"/>
    </row>
    <row r="7081" spans="1:72" x14ac:dyDescent="0.25">
      <c r="A7081" s="90">
        <v>37186</v>
      </c>
      <c r="B7081" s="20">
        <v>0.29166666666666669</v>
      </c>
      <c r="D7081">
        <v>62.06</v>
      </c>
      <c r="E7081" t="str">
        <f t="shared" si="256"/>
        <v>WEEKDAY</v>
      </c>
      <c r="F7081" t="e">
        <f t="shared" si="255"/>
        <v>#N/A</v>
      </c>
      <c r="G7081" s="74">
        <v>29516</v>
      </c>
      <c r="H7081" s="77">
        <v>0.29166666666666669</v>
      </c>
      <c r="J7081">
        <v>48.019999999999996</v>
      </c>
      <c r="M7081" s="74">
        <v>36455</v>
      </c>
      <c r="N7081" s="77">
        <v>0.29166666666666669</v>
      </c>
      <c r="P7081">
        <v>42.8</v>
      </c>
      <c r="S7081" s="74">
        <v>37186</v>
      </c>
      <c r="T7081" s="77">
        <v>0.29166666666666669</v>
      </c>
      <c r="V7081">
        <v>57.019999999999996</v>
      </c>
      <c r="X7081" s="42"/>
      <c r="AB7081">
        <v>51.1</v>
      </c>
      <c r="AC7081">
        <v>51.08</v>
      </c>
      <c r="AE7081" s="74"/>
      <c r="AF7081" s="77"/>
      <c r="AH7081" s="497">
        <v>28.4</v>
      </c>
      <c r="AJ7081" s="42"/>
      <c r="AK7081" s="74"/>
      <c r="AL7081" s="77"/>
      <c r="AN7081" s="497">
        <v>44.96</v>
      </c>
      <c r="AP7081" s="42"/>
      <c r="AQ7081" s="74"/>
      <c r="AR7081" s="77"/>
      <c r="AT7081" s="497">
        <v>46.04</v>
      </c>
      <c r="AV7081" s="42"/>
      <c r="AW7081" s="74"/>
      <c r="AX7081" s="77"/>
      <c r="BA7081" s="497">
        <v>41</v>
      </c>
      <c r="BB7081" s="42"/>
      <c r="BC7081" s="74"/>
      <c r="BD7081" s="77"/>
      <c r="BF7081">
        <v>57.019999999999996</v>
      </c>
      <c r="BH7081" s="42"/>
      <c r="BI7081" s="74"/>
      <c r="BJ7081" s="77"/>
      <c r="BL7081" s="497">
        <v>57.019999999999996</v>
      </c>
      <c r="BN7081" s="42"/>
      <c r="BO7081" s="74"/>
      <c r="BP7081" s="77"/>
      <c r="BR7081" s="497">
        <v>48.019999999999996</v>
      </c>
      <c r="BT7081" s="42"/>
    </row>
    <row r="7082" spans="1:72" x14ac:dyDescent="0.25">
      <c r="A7082" s="90">
        <v>37186</v>
      </c>
      <c r="B7082" s="20">
        <v>0.33333333333333331</v>
      </c>
      <c r="D7082">
        <v>62.06</v>
      </c>
      <c r="E7082" t="str">
        <f t="shared" si="256"/>
        <v>WEEKDAY</v>
      </c>
      <c r="F7082" t="e">
        <f t="shared" si="255"/>
        <v>#N/A</v>
      </c>
      <c r="G7082" s="74">
        <v>29516</v>
      </c>
      <c r="H7082" s="77">
        <v>0.33333333333333331</v>
      </c>
      <c r="J7082">
        <v>49.28</v>
      </c>
      <c r="M7082" s="74">
        <v>36455</v>
      </c>
      <c r="N7082" s="77">
        <v>0.33333333333333331</v>
      </c>
      <c r="P7082">
        <v>48.56</v>
      </c>
      <c r="S7082" s="74">
        <v>37186</v>
      </c>
      <c r="T7082" s="77">
        <v>0.33333333333333331</v>
      </c>
      <c r="V7082">
        <v>60.08</v>
      </c>
      <c r="X7082" s="42"/>
      <c r="AB7082">
        <v>51.7</v>
      </c>
      <c r="AC7082">
        <v>53.06</v>
      </c>
      <c r="AE7082" s="74"/>
      <c r="AF7082" s="77"/>
      <c r="AH7082" s="497">
        <v>33.799999999999997</v>
      </c>
      <c r="AJ7082" s="42"/>
      <c r="AK7082" s="74"/>
      <c r="AL7082" s="77"/>
      <c r="AN7082" s="497">
        <v>44.96</v>
      </c>
      <c r="AP7082" s="42"/>
      <c r="AQ7082" s="74"/>
      <c r="AR7082" s="77"/>
      <c r="AT7082" s="497">
        <v>50</v>
      </c>
      <c r="AV7082" s="42"/>
      <c r="AW7082" s="74"/>
      <c r="AX7082" s="77"/>
      <c r="BA7082" s="497">
        <v>44.06</v>
      </c>
      <c r="BB7082" s="42"/>
      <c r="BC7082" s="74"/>
      <c r="BD7082" s="77"/>
      <c r="BF7082">
        <v>60.08</v>
      </c>
      <c r="BH7082" s="42"/>
      <c r="BI7082" s="74"/>
      <c r="BJ7082" s="77"/>
      <c r="BL7082" s="497">
        <v>60.08</v>
      </c>
      <c r="BN7082" s="42"/>
      <c r="BO7082" s="74"/>
      <c r="BP7082" s="77"/>
      <c r="BR7082" s="497">
        <v>50</v>
      </c>
      <c r="BT7082" s="42"/>
    </row>
    <row r="7083" spans="1:72" x14ac:dyDescent="0.25">
      <c r="A7083" s="90">
        <v>37186</v>
      </c>
      <c r="B7083" s="20">
        <v>0.375</v>
      </c>
      <c r="D7083">
        <v>64.039999999999992</v>
      </c>
      <c r="E7083" t="str">
        <f t="shared" si="256"/>
        <v>WEEKDAY</v>
      </c>
      <c r="F7083" t="e">
        <f t="shared" ref="F7083:F7146" si="257">IF(E7083="WEEKDAY",VLOOKUP(B7083,$DD$19:$DG$42,2),IF(E7083="SATURDAY",VLOOKUP(B7083,$DD$19:$DG$42,3),VLOOKUP(B7083,$DD$19:$DG$42,4)))</f>
        <v>#N/A</v>
      </c>
      <c r="G7083" s="74">
        <v>29516</v>
      </c>
      <c r="H7083" s="77">
        <v>0.375</v>
      </c>
      <c r="J7083">
        <v>50.72</v>
      </c>
      <c r="M7083" s="74">
        <v>36455</v>
      </c>
      <c r="N7083" s="77">
        <v>0.375</v>
      </c>
      <c r="P7083">
        <v>53.6</v>
      </c>
      <c r="S7083" s="74">
        <v>37186</v>
      </c>
      <c r="T7083" s="77">
        <v>0.375</v>
      </c>
      <c r="V7083">
        <v>62.06</v>
      </c>
      <c r="X7083" s="42"/>
      <c r="AB7083">
        <v>53.9</v>
      </c>
      <c r="AC7083">
        <v>53.96</v>
      </c>
      <c r="AE7083" s="74"/>
      <c r="AF7083" s="77"/>
      <c r="AH7083" s="497">
        <v>37.4</v>
      </c>
      <c r="AJ7083" s="42"/>
      <c r="AK7083" s="74"/>
      <c r="AL7083" s="77"/>
      <c r="AN7083" s="497">
        <v>46.04</v>
      </c>
      <c r="AP7083" s="42"/>
      <c r="AQ7083" s="74"/>
      <c r="AR7083" s="77"/>
      <c r="AT7083" s="497">
        <v>53.06</v>
      </c>
      <c r="AV7083" s="42"/>
      <c r="AW7083" s="74"/>
      <c r="AX7083" s="77"/>
      <c r="BA7083" s="497">
        <v>48.019999999999996</v>
      </c>
      <c r="BB7083" s="42"/>
      <c r="BC7083" s="74"/>
      <c r="BD7083" s="77"/>
      <c r="BF7083">
        <v>64.039999999999992</v>
      </c>
      <c r="BH7083" s="42"/>
      <c r="BI7083" s="74"/>
      <c r="BJ7083" s="77"/>
      <c r="BL7083" s="497">
        <v>62.96</v>
      </c>
      <c r="BN7083" s="42"/>
      <c r="BO7083" s="74"/>
      <c r="BP7083" s="77"/>
      <c r="BR7083" s="497">
        <v>51.980000000000004</v>
      </c>
      <c r="BT7083" s="42"/>
    </row>
    <row r="7084" spans="1:72" x14ac:dyDescent="0.25">
      <c r="A7084" s="90">
        <v>37186</v>
      </c>
      <c r="B7084" s="20">
        <v>0.41666666666666669</v>
      </c>
      <c r="D7084">
        <v>64.94</v>
      </c>
      <c r="E7084" t="str">
        <f t="shared" si="256"/>
        <v>WEEKDAY</v>
      </c>
      <c r="F7084" t="e">
        <f t="shared" si="257"/>
        <v>#N/A</v>
      </c>
      <c r="G7084" s="74">
        <v>29516</v>
      </c>
      <c r="H7084" s="77">
        <v>0.41666666666666669</v>
      </c>
      <c r="J7084">
        <v>51.980000000000004</v>
      </c>
      <c r="M7084" s="74">
        <v>36455</v>
      </c>
      <c r="N7084" s="77">
        <v>0.41666666666666669</v>
      </c>
      <c r="P7084">
        <v>57.2</v>
      </c>
      <c r="S7084" s="74">
        <v>37186</v>
      </c>
      <c r="T7084" s="77">
        <v>0.41666666666666669</v>
      </c>
      <c r="V7084">
        <v>66.92</v>
      </c>
      <c r="X7084" s="42"/>
      <c r="AB7084">
        <v>55.8</v>
      </c>
      <c r="AC7084">
        <v>53.96</v>
      </c>
      <c r="AE7084" s="74"/>
      <c r="AF7084" s="77"/>
      <c r="AH7084" s="497">
        <v>42.8</v>
      </c>
      <c r="AJ7084" s="42"/>
      <c r="AK7084" s="74"/>
      <c r="AL7084" s="77"/>
      <c r="AN7084" s="497">
        <v>46.94</v>
      </c>
      <c r="AP7084" s="42"/>
      <c r="AQ7084" s="74"/>
      <c r="AR7084" s="77"/>
      <c r="AT7084" s="497">
        <v>57.019999999999996</v>
      </c>
      <c r="AV7084" s="42"/>
      <c r="AW7084" s="74"/>
      <c r="AX7084" s="77"/>
      <c r="BA7084" s="497">
        <v>57.019999999999996</v>
      </c>
      <c r="BB7084" s="42"/>
      <c r="BC7084" s="74"/>
      <c r="BD7084" s="77"/>
      <c r="BF7084">
        <v>69.080000000000013</v>
      </c>
      <c r="BH7084" s="42"/>
      <c r="BI7084" s="74"/>
      <c r="BJ7084" s="77"/>
      <c r="BL7084" s="497">
        <v>68</v>
      </c>
      <c r="BN7084" s="42"/>
      <c r="BO7084" s="74"/>
      <c r="BP7084" s="77"/>
      <c r="BR7084" s="497">
        <v>55.94</v>
      </c>
      <c r="BT7084" s="42"/>
    </row>
    <row r="7085" spans="1:72" x14ac:dyDescent="0.25">
      <c r="A7085" s="90">
        <v>37186</v>
      </c>
      <c r="B7085" s="20">
        <v>0.45833333333333331</v>
      </c>
      <c r="D7085">
        <v>66.02</v>
      </c>
      <c r="E7085" t="str">
        <f t="shared" si="256"/>
        <v>WEEKDAY</v>
      </c>
      <c r="F7085" t="e">
        <f t="shared" si="257"/>
        <v>#N/A</v>
      </c>
      <c r="G7085" s="74">
        <v>29516</v>
      </c>
      <c r="H7085" s="77">
        <v>0.45833333333333331</v>
      </c>
      <c r="J7085">
        <v>53.06</v>
      </c>
      <c r="M7085" s="74">
        <v>36455</v>
      </c>
      <c r="N7085" s="77">
        <v>0.45833333333333331</v>
      </c>
      <c r="P7085">
        <v>57.2</v>
      </c>
      <c r="S7085" s="74">
        <v>37186</v>
      </c>
      <c r="T7085" s="77">
        <v>0.45833333333333331</v>
      </c>
      <c r="V7085">
        <v>69.080000000000013</v>
      </c>
      <c r="X7085" s="42"/>
      <c r="AB7085">
        <v>57.4</v>
      </c>
      <c r="AC7085">
        <v>55.94</v>
      </c>
      <c r="AE7085" s="74"/>
      <c r="AF7085" s="77"/>
      <c r="AH7085" s="497">
        <v>44.6</v>
      </c>
      <c r="AJ7085" s="42"/>
      <c r="AK7085" s="74"/>
      <c r="AL7085" s="77"/>
      <c r="AN7085" s="497">
        <v>48.92</v>
      </c>
      <c r="AP7085" s="42"/>
      <c r="AQ7085" s="74"/>
      <c r="AR7085" s="77"/>
      <c r="AT7085" s="497">
        <v>60.980000000000004</v>
      </c>
      <c r="AV7085" s="42"/>
      <c r="AW7085" s="74"/>
      <c r="AX7085" s="77"/>
      <c r="BA7085" s="497">
        <v>62.96</v>
      </c>
      <c r="BB7085" s="42"/>
      <c r="BC7085" s="74"/>
      <c r="BD7085" s="77"/>
      <c r="BF7085">
        <v>69.080000000000013</v>
      </c>
      <c r="BH7085" s="42"/>
      <c r="BI7085" s="74"/>
      <c r="BJ7085" s="77"/>
      <c r="BL7085" s="497">
        <v>71.06</v>
      </c>
      <c r="BN7085" s="42"/>
      <c r="BO7085" s="74"/>
      <c r="BP7085" s="77"/>
      <c r="BR7085" s="497">
        <v>59</v>
      </c>
      <c r="BT7085" s="42"/>
    </row>
    <row r="7086" spans="1:72" x14ac:dyDescent="0.25">
      <c r="A7086" s="90">
        <v>37186</v>
      </c>
      <c r="B7086" s="20">
        <v>0.5</v>
      </c>
      <c r="D7086">
        <v>68</v>
      </c>
      <c r="E7086" t="str">
        <f t="shared" si="256"/>
        <v>WEEKDAY</v>
      </c>
      <c r="F7086" t="e">
        <f t="shared" si="257"/>
        <v>#N/A</v>
      </c>
      <c r="G7086" s="74">
        <v>29516</v>
      </c>
      <c r="H7086" s="77">
        <v>0.5</v>
      </c>
      <c r="J7086">
        <v>53.96</v>
      </c>
      <c r="M7086" s="74">
        <v>36455</v>
      </c>
      <c r="N7086" s="77">
        <v>0.5</v>
      </c>
      <c r="P7086">
        <v>57.2</v>
      </c>
      <c r="S7086" s="74">
        <v>37186</v>
      </c>
      <c r="T7086" s="77">
        <v>0.5</v>
      </c>
      <c r="V7086">
        <v>69.98</v>
      </c>
      <c r="X7086" s="42"/>
      <c r="AB7086">
        <v>58.8</v>
      </c>
      <c r="AC7086">
        <v>57.92</v>
      </c>
      <c r="AE7086" s="74"/>
      <c r="AF7086" s="77"/>
      <c r="AH7086" s="497">
        <v>48.2</v>
      </c>
      <c r="AJ7086" s="42"/>
      <c r="AK7086" s="74"/>
      <c r="AL7086" s="77"/>
      <c r="AN7086" s="497">
        <v>55.040000000000006</v>
      </c>
      <c r="AP7086" s="42"/>
      <c r="AQ7086" s="74"/>
      <c r="AR7086" s="77"/>
      <c r="AT7086" s="497">
        <v>64.039999999999992</v>
      </c>
      <c r="AV7086" s="42"/>
      <c r="AW7086" s="74"/>
      <c r="AX7086" s="77"/>
      <c r="BA7086" s="497">
        <v>64.94</v>
      </c>
      <c r="BB7086" s="42"/>
      <c r="BC7086" s="74"/>
      <c r="BD7086" s="77"/>
      <c r="BF7086">
        <v>71.06</v>
      </c>
      <c r="BH7086" s="42"/>
      <c r="BI7086" s="74"/>
      <c r="BJ7086" s="77"/>
      <c r="BL7086" s="497">
        <v>73.94</v>
      </c>
      <c r="BN7086" s="42"/>
      <c r="BO7086" s="74"/>
      <c r="BP7086" s="77"/>
      <c r="BR7086" s="497">
        <v>60.980000000000004</v>
      </c>
      <c r="BT7086" s="42"/>
    </row>
    <row r="7087" spans="1:72" x14ac:dyDescent="0.25">
      <c r="A7087" s="90">
        <v>37186</v>
      </c>
      <c r="B7087" s="20">
        <v>0.54166666666666663</v>
      </c>
      <c r="D7087">
        <v>69.080000000000013</v>
      </c>
      <c r="E7087" t="str">
        <f t="shared" si="256"/>
        <v>WEEKDAY</v>
      </c>
      <c r="F7087" t="e">
        <f t="shared" si="257"/>
        <v>#N/A</v>
      </c>
      <c r="G7087" s="74">
        <v>29516</v>
      </c>
      <c r="H7087" s="77">
        <v>0.54166666666666663</v>
      </c>
      <c r="J7087">
        <v>55.040000000000006</v>
      </c>
      <c r="M7087" s="74">
        <v>36455</v>
      </c>
      <c r="N7087" s="77">
        <v>0.54166666666666663</v>
      </c>
      <c r="P7087">
        <v>57.2</v>
      </c>
      <c r="S7087" s="74">
        <v>37186</v>
      </c>
      <c r="T7087" s="77">
        <v>0.54166666666666663</v>
      </c>
      <c r="V7087">
        <v>71.960000000000008</v>
      </c>
      <c r="X7087" s="42"/>
      <c r="AB7087">
        <v>59.7</v>
      </c>
      <c r="AC7087">
        <v>60.08</v>
      </c>
      <c r="AE7087" s="74"/>
      <c r="AF7087" s="77"/>
      <c r="AH7087" s="497">
        <v>51.8</v>
      </c>
      <c r="AJ7087" s="42"/>
      <c r="AK7087" s="74"/>
      <c r="AL7087" s="77"/>
      <c r="AN7087" s="497">
        <v>60.08</v>
      </c>
      <c r="AP7087" s="42"/>
      <c r="AQ7087" s="74"/>
      <c r="AR7087" s="77"/>
      <c r="AT7087" s="497">
        <v>66.02</v>
      </c>
      <c r="AV7087" s="42"/>
      <c r="AW7087" s="74"/>
      <c r="AX7087" s="77"/>
      <c r="BA7087" s="497">
        <v>66.92</v>
      </c>
      <c r="BB7087" s="42"/>
      <c r="BC7087" s="74"/>
      <c r="BD7087" s="77"/>
      <c r="BF7087">
        <v>71.06</v>
      </c>
      <c r="BH7087" s="42"/>
      <c r="BI7087" s="74"/>
      <c r="BJ7087" s="77"/>
      <c r="BL7087" s="497">
        <v>75.02</v>
      </c>
      <c r="BN7087" s="42"/>
      <c r="BO7087" s="74"/>
      <c r="BP7087" s="77"/>
      <c r="BR7087" s="497">
        <v>62.06</v>
      </c>
      <c r="BT7087" s="42"/>
    </row>
    <row r="7088" spans="1:72" x14ac:dyDescent="0.25">
      <c r="A7088" s="90">
        <v>37186</v>
      </c>
      <c r="B7088" s="20">
        <v>0.58333333333333337</v>
      </c>
      <c r="D7088">
        <v>69.98</v>
      </c>
      <c r="E7088" t="str">
        <f t="shared" si="256"/>
        <v>WEEKDAY</v>
      </c>
      <c r="F7088" t="e">
        <f t="shared" si="257"/>
        <v>#N/A</v>
      </c>
      <c r="G7088" s="74">
        <v>29516</v>
      </c>
      <c r="H7088" s="77">
        <v>0.58333333333333337</v>
      </c>
      <c r="J7088">
        <v>55.040000000000006</v>
      </c>
      <c r="M7088" s="74">
        <v>36455</v>
      </c>
      <c r="N7088" s="77">
        <v>0.58333333333333337</v>
      </c>
      <c r="P7088">
        <v>59</v>
      </c>
      <c r="S7088" s="74">
        <v>37186</v>
      </c>
      <c r="T7088" s="77">
        <v>0.58333333333333337</v>
      </c>
      <c r="V7088">
        <v>71.960000000000008</v>
      </c>
      <c r="X7088" s="42"/>
      <c r="AB7088">
        <v>60.4</v>
      </c>
      <c r="AC7088">
        <v>60.08</v>
      </c>
      <c r="AE7088" s="74"/>
      <c r="AF7088" s="77"/>
      <c r="AH7088" s="497">
        <v>51.8</v>
      </c>
      <c r="AJ7088" s="42"/>
      <c r="AK7088" s="74"/>
      <c r="AL7088" s="77"/>
      <c r="AN7088" s="497">
        <v>62.96</v>
      </c>
      <c r="AP7088" s="42"/>
      <c r="AQ7088" s="74"/>
      <c r="AR7088" s="77"/>
      <c r="AT7088" s="497">
        <v>68</v>
      </c>
      <c r="AV7088" s="42"/>
      <c r="AW7088" s="74"/>
      <c r="AX7088" s="77"/>
      <c r="BA7088" s="497">
        <v>68</v>
      </c>
      <c r="BB7088" s="42"/>
      <c r="BC7088" s="74"/>
      <c r="BD7088" s="77"/>
      <c r="BF7088">
        <v>71.06</v>
      </c>
      <c r="BH7088" s="42"/>
      <c r="BI7088" s="74"/>
      <c r="BJ7088" s="77"/>
      <c r="BL7088" s="497">
        <v>77</v>
      </c>
      <c r="BN7088" s="42"/>
      <c r="BO7088" s="74"/>
      <c r="BP7088" s="77"/>
      <c r="BR7088" s="497">
        <v>64.039999999999992</v>
      </c>
      <c r="BT7088" s="42"/>
    </row>
    <row r="7089" spans="1:72" x14ac:dyDescent="0.25">
      <c r="A7089" s="90">
        <v>37186</v>
      </c>
      <c r="B7089" s="20">
        <v>0.625</v>
      </c>
      <c r="D7089">
        <v>69.98</v>
      </c>
      <c r="E7089" t="str">
        <f t="shared" si="256"/>
        <v>WEEKDAY</v>
      </c>
      <c r="F7089" t="e">
        <f t="shared" si="257"/>
        <v>#N/A</v>
      </c>
      <c r="G7089" s="74">
        <v>29516</v>
      </c>
      <c r="H7089" s="77">
        <v>0.625</v>
      </c>
      <c r="J7089">
        <v>55.040000000000006</v>
      </c>
      <c r="M7089" s="74">
        <v>36455</v>
      </c>
      <c r="N7089" s="77">
        <v>0.625</v>
      </c>
      <c r="P7089">
        <v>59</v>
      </c>
      <c r="S7089" s="74">
        <v>37186</v>
      </c>
      <c r="T7089" s="77">
        <v>0.625</v>
      </c>
      <c r="V7089">
        <v>69.080000000000013</v>
      </c>
      <c r="X7089" s="42"/>
      <c r="AB7089">
        <v>60.6</v>
      </c>
      <c r="AC7089">
        <v>60.08</v>
      </c>
      <c r="AE7089" s="74"/>
      <c r="AF7089" s="77"/>
      <c r="AH7089" s="497">
        <v>53.6</v>
      </c>
      <c r="AJ7089" s="42"/>
      <c r="AK7089" s="74"/>
      <c r="AL7089" s="77"/>
      <c r="AN7089" s="497">
        <v>62.96</v>
      </c>
      <c r="AP7089" s="42"/>
      <c r="AQ7089" s="74"/>
      <c r="AR7089" s="77"/>
      <c r="AT7089" s="497">
        <v>69.080000000000013</v>
      </c>
      <c r="AV7089" s="42"/>
      <c r="AW7089" s="74"/>
      <c r="AX7089" s="77"/>
      <c r="BA7089" s="497">
        <v>69.080000000000013</v>
      </c>
      <c r="BB7089" s="42"/>
      <c r="BC7089" s="74"/>
      <c r="BD7089" s="77"/>
      <c r="BF7089">
        <v>71.06</v>
      </c>
      <c r="BH7089" s="42"/>
      <c r="BI7089" s="74"/>
      <c r="BJ7089" s="77"/>
      <c r="BL7089" s="497">
        <v>78.98</v>
      </c>
      <c r="BN7089" s="42"/>
      <c r="BO7089" s="74"/>
      <c r="BP7089" s="77"/>
      <c r="BR7089" s="497">
        <v>64.039999999999992</v>
      </c>
      <c r="BT7089" s="42"/>
    </row>
    <row r="7090" spans="1:72" x14ac:dyDescent="0.25">
      <c r="A7090" s="90">
        <v>37186</v>
      </c>
      <c r="B7090" s="20">
        <v>0.66666666666666663</v>
      </c>
      <c r="D7090">
        <v>69.080000000000013</v>
      </c>
      <c r="E7090" t="str">
        <f t="shared" si="256"/>
        <v>WEEKDAY</v>
      </c>
      <c r="F7090" t="e">
        <f t="shared" si="257"/>
        <v>#N/A</v>
      </c>
      <c r="G7090" s="74">
        <v>29516</v>
      </c>
      <c r="H7090" s="77">
        <v>0.66666666666666663</v>
      </c>
      <c r="J7090">
        <v>55.040000000000006</v>
      </c>
      <c r="M7090" s="74">
        <v>36455</v>
      </c>
      <c r="N7090" s="77">
        <v>0.66666666666666663</v>
      </c>
      <c r="P7090">
        <v>57.2</v>
      </c>
      <c r="S7090" s="74">
        <v>37186</v>
      </c>
      <c r="T7090" s="77">
        <v>0.66666666666666663</v>
      </c>
      <c r="V7090">
        <v>66.02</v>
      </c>
      <c r="X7090" s="42"/>
      <c r="AB7090">
        <v>60.4</v>
      </c>
      <c r="AC7090">
        <v>60.08</v>
      </c>
      <c r="AE7090" s="74"/>
      <c r="AF7090" s="77"/>
      <c r="AH7090" s="497">
        <v>53.6</v>
      </c>
      <c r="AJ7090" s="42"/>
      <c r="AK7090" s="74"/>
      <c r="AL7090" s="77"/>
      <c r="AN7090" s="497">
        <v>64.94</v>
      </c>
      <c r="AP7090" s="42"/>
      <c r="AQ7090" s="74"/>
      <c r="AR7090" s="77"/>
      <c r="AT7090" s="497">
        <v>68</v>
      </c>
      <c r="AV7090" s="42"/>
      <c r="AW7090" s="74"/>
      <c r="AX7090" s="77"/>
      <c r="BA7090" s="497">
        <v>66.92</v>
      </c>
      <c r="BB7090" s="42"/>
      <c r="BC7090" s="74"/>
      <c r="BD7090" s="77"/>
      <c r="BF7090">
        <v>69.98</v>
      </c>
      <c r="BH7090" s="42"/>
      <c r="BI7090" s="74"/>
      <c r="BJ7090" s="77"/>
      <c r="BL7090" s="497">
        <v>78.98</v>
      </c>
      <c r="BN7090" s="42"/>
      <c r="BO7090" s="74"/>
      <c r="BP7090" s="77"/>
      <c r="BR7090" s="497">
        <v>62.96</v>
      </c>
      <c r="BT7090" s="42"/>
    </row>
    <row r="7091" spans="1:72" x14ac:dyDescent="0.25">
      <c r="A7091" s="90">
        <v>37186</v>
      </c>
      <c r="B7091" s="20">
        <v>0.70833333333333337</v>
      </c>
      <c r="D7091">
        <v>69.080000000000013</v>
      </c>
      <c r="E7091" t="str">
        <f t="shared" si="256"/>
        <v>WEEKDAY</v>
      </c>
      <c r="F7091" t="e">
        <f t="shared" si="257"/>
        <v>#N/A</v>
      </c>
      <c r="G7091" s="74">
        <v>29516</v>
      </c>
      <c r="H7091" s="77">
        <v>0.70833333333333337</v>
      </c>
      <c r="J7091">
        <v>53.78</v>
      </c>
      <c r="M7091" s="74">
        <v>36455</v>
      </c>
      <c r="N7091" s="77">
        <v>0.70833333333333337</v>
      </c>
      <c r="P7091">
        <v>55.400000000000006</v>
      </c>
      <c r="S7091" s="74">
        <v>37186</v>
      </c>
      <c r="T7091" s="77">
        <v>0.70833333333333337</v>
      </c>
      <c r="V7091">
        <v>66.02</v>
      </c>
      <c r="X7091" s="42"/>
      <c r="AB7091">
        <v>59.5</v>
      </c>
      <c r="AC7091">
        <v>57.019999999999996</v>
      </c>
      <c r="AE7091" s="74"/>
      <c r="AF7091" s="77"/>
      <c r="AH7091" s="497">
        <v>51.8</v>
      </c>
      <c r="AJ7091" s="42"/>
      <c r="AK7091" s="74"/>
      <c r="AL7091" s="77"/>
      <c r="AN7091" s="497">
        <v>62.96</v>
      </c>
      <c r="AP7091" s="42"/>
      <c r="AQ7091" s="74"/>
      <c r="AR7091" s="77"/>
      <c r="AT7091" s="497">
        <v>62.96</v>
      </c>
      <c r="AV7091" s="42"/>
      <c r="AW7091" s="74"/>
      <c r="AX7091" s="77"/>
      <c r="BA7091" s="497">
        <v>64.039999999999992</v>
      </c>
      <c r="BB7091" s="42"/>
      <c r="BC7091" s="74"/>
      <c r="BD7091" s="77"/>
      <c r="BF7091">
        <v>69.080000000000013</v>
      </c>
      <c r="BH7091" s="42"/>
      <c r="BI7091" s="74"/>
      <c r="BJ7091" s="77"/>
      <c r="BL7091" s="497">
        <v>75.92</v>
      </c>
      <c r="BN7091" s="42"/>
      <c r="BO7091" s="74"/>
      <c r="BP7091" s="77"/>
      <c r="BR7091" s="497">
        <v>59</v>
      </c>
      <c r="BT7091" s="42"/>
    </row>
    <row r="7092" spans="1:72" x14ac:dyDescent="0.25">
      <c r="A7092" s="90">
        <v>37186</v>
      </c>
      <c r="B7092" s="20">
        <v>0.75</v>
      </c>
      <c r="D7092">
        <v>66.92</v>
      </c>
      <c r="E7092" t="str">
        <f t="shared" si="256"/>
        <v>WEEKDAY</v>
      </c>
      <c r="F7092" t="e">
        <f t="shared" si="257"/>
        <v>#N/A</v>
      </c>
      <c r="G7092" s="74">
        <v>29516</v>
      </c>
      <c r="H7092" s="77">
        <v>0.75</v>
      </c>
      <c r="J7092">
        <v>52.34</v>
      </c>
      <c r="M7092" s="74">
        <v>36455</v>
      </c>
      <c r="N7092" s="77">
        <v>0.75</v>
      </c>
      <c r="P7092">
        <v>53.6</v>
      </c>
      <c r="S7092" s="74">
        <v>37186</v>
      </c>
      <c r="T7092" s="77">
        <v>0.75</v>
      </c>
      <c r="V7092">
        <v>64.039999999999992</v>
      </c>
      <c r="X7092" s="42"/>
      <c r="AB7092">
        <v>58</v>
      </c>
      <c r="AC7092">
        <v>48.92</v>
      </c>
      <c r="AE7092" s="74"/>
      <c r="AF7092" s="77"/>
      <c r="AH7092" s="497">
        <v>46.4</v>
      </c>
      <c r="AJ7092" s="42"/>
      <c r="AK7092" s="74"/>
      <c r="AL7092" s="77"/>
      <c r="AN7092" s="497">
        <v>60.08</v>
      </c>
      <c r="AP7092" s="42"/>
      <c r="AQ7092" s="74"/>
      <c r="AR7092" s="77"/>
      <c r="AT7092" s="497">
        <v>53.96</v>
      </c>
      <c r="AV7092" s="42"/>
      <c r="AW7092" s="74"/>
      <c r="AX7092" s="77"/>
      <c r="BA7092" s="497">
        <v>57.019999999999996</v>
      </c>
      <c r="BB7092" s="42"/>
      <c r="BC7092" s="74"/>
      <c r="BD7092" s="77"/>
      <c r="BF7092">
        <v>66.02</v>
      </c>
      <c r="BH7092" s="42"/>
      <c r="BI7092" s="74"/>
      <c r="BJ7092" s="77"/>
      <c r="BL7092" s="497">
        <v>68</v>
      </c>
      <c r="BN7092" s="42"/>
      <c r="BO7092" s="74"/>
      <c r="BP7092" s="77"/>
      <c r="BR7092" s="497">
        <v>57.019999999999996</v>
      </c>
      <c r="BT7092" s="42"/>
    </row>
    <row r="7093" spans="1:72" x14ac:dyDescent="0.25">
      <c r="A7093" s="90">
        <v>37186</v>
      </c>
      <c r="B7093" s="20">
        <v>0.79166666666666663</v>
      </c>
      <c r="D7093">
        <v>64.039999999999992</v>
      </c>
      <c r="E7093" t="str">
        <f t="shared" si="256"/>
        <v>WEEKDAY</v>
      </c>
      <c r="F7093" t="e">
        <f t="shared" si="257"/>
        <v>#N/A</v>
      </c>
      <c r="G7093" s="74">
        <v>29516</v>
      </c>
      <c r="H7093" s="77">
        <v>0.79166666666666663</v>
      </c>
      <c r="J7093">
        <v>51.08</v>
      </c>
      <c r="M7093" s="74">
        <v>36455</v>
      </c>
      <c r="N7093" s="77">
        <v>0.79166666666666663</v>
      </c>
      <c r="P7093">
        <v>53.6</v>
      </c>
      <c r="S7093" s="74">
        <v>37186</v>
      </c>
      <c r="T7093" s="77">
        <v>0.79166666666666663</v>
      </c>
      <c r="V7093">
        <v>62.96</v>
      </c>
      <c r="X7093" s="42"/>
      <c r="AB7093">
        <v>57</v>
      </c>
      <c r="AC7093">
        <v>46.04</v>
      </c>
      <c r="AE7093" s="74"/>
      <c r="AF7093" s="77"/>
      <c r="AH7093" s="497">
        <v>44.6</v>
      </c>
      <c r="AJ7093" s="42"/>
      <c r="AK7093" s="74"/>
      <c r="AL7093" s="77"/>
      <c r="AN7093" s="497">
        <v>59</v>
      </c>
      <c r="AP7093" s="42"/>
      <c r="AQ7093" s="74"/>
      <c r="AR7093" s="77"/>
      <c r="AT7093" s="497">
        <v>51.08</v>
      </c>
      <c r="AV7093" s="42"/>
      <c r="AW7093" s="74"/>
      <c r="AX7093" s="77"/>
      <c r="BA7093" s="497">
        <v>53.06</v>
      </c>
      <c r="BB7093" s="42"/>
      <c r="BC7093" s="74"/>
      <c r="BD7093" s="77"/>
      <c r="BF7093">
        <v>64.94</v>
      </c>
      <c r="BH7093" s="42"/>
      <c r="BI7093" s="74"/>
      <c r="BJ7093" s="77"/>
      <c r="BL7093" s="497">
        <v>62.96</v>
      </c>
      <c r="BN7093" s="42"/>
      <c r="BO7093" s="74"/>
      <c r="BP7093" s="77"/>
      <c r="BR7093" s="497">
        <v>57.019999999999996</v>
      </c>
      <c r="BT7093" s="42"/>
    </row>
    <row r="7094" spans="1:72" x14ac:dyDescent="0.25">
      <c r="A7094" s="90">
        <v>37186</v>
      </c>
      <c r="B7094" s="20">
        <v>0.83333333333333337</v>
      </c>
      <c r="D7094">
        <v>62.96</v>
      </c>
      <c r="E7094" t="str">
        <f t="shared" si="256"/>
        <v>WEEKDAY</v>
      </c>
      <c r="F7094" t="e">
        <f t="shared" si="257"/>
        <v>#N/A</v>
      </c>
      <c r="G7094" s="74">
        <v>29516</v>
      </c>
      <c r="H7094" s="77">
        <v>0.83333333333333337</v>
      </c>
      <c r="J7094">
        <v>50.36</v>
      </c>
      <c r="M7094" s="74">
        <v>36455</v>
      </c>
      <c r="N7094" s="77">
        <v>0.83333333333333337</v>
      </c>
      <c r="P7094">
        <v>53.6</v>
      </c>
      <c r="S7094" s="74">
        <v>37186</v>
      </c>
      <c r="T7094" s="77">
        <v>0.83333333333333337</v>
      </c>
      <c r="V7094">
        <v>64.039999999999992</v>
      </c>
      <c r="X7094" s="42"/>
      <c r="AB7094">
        <v>56.4</v>
      </c>
      <c r="AC7094">
        <v>44.96</v>
      </c>
      <c r="AE7094" s="74"/>
      <c r="AF7094" s="77"/>
      <c r="AH7094" s="497">
        <v>42.8</v>
      </c>
      <c r="AJ7094" s="42"/>
      <c r="AK7094" s="74"/>
      <c r="AL7094" s="77"/>
      <c r="AN7094" s="497">
        <v>57.019999999999996</v>
      </c>
      <c r="AP7094" s="42"/>
      <c r="AQ7094" s="74"/>
      <c r="AR7094" s="77"/>
      <c r="AT7094" s="497">
        <v>48.92</v>
      </c>
      <c r="AV7094" s="42"/>
      <c r="AW7094" s="74"/>
      <c r="AX7094" s="77"/>
      <c r="BA7094" s="497">
        <v>53.06</v>
      </c>
      <c r="BB7094" s="42"/>
      <c r="BC7094" s="74"/>
      <c r="BD7094" s="77"/>
      <c r="BF7094">
        <v>64.039999999999992</v>
      </c>
      <c r="BH7094" s="42"/>
      <c r="BI7094" s="74"/>
      <c r="BJ7094" s="77"/>
      <c r="BL7094" s="497">
        <v>68</v>
      </c>
      <c r="BN7094" s="42"/>
      <c r="BO7094" s="74"/>
      <c r="BP7094" s="77"/>
      <c r="BR7094" s="497">
        <v>57.019999999999996</v>
      </c>
      <c r="BT7094" s="42"/>
    </row>
    <row r="7095" spans="1:72" x14ac:dyDescent="0.25">
      <c r="A7095" s="90">
        <v>37186</v>
      </c>
      <c r="B7095" s="20">
        <v>0.875</v>
      </c>
      <c r="D7095">
        <v>62.06</v>
      </c>
      <c r="E7095" t="str">
        <f t="shared" si="256"/>
        <v>WEEKDAY</v>
      </c>
      <c r="F7095" t="e">
        <f t="shared" si="257"/>
        <v>#N/A</v>
      </c>
      <c r="G7095" s="74">
        <v>29516</v>
      </c>
      <c r="H7095" s="77">
        <v>0.875</v>
      </c>
      <c r="J7095">
        <v>49.64</v>
      </c>
      <c r="M7095" s="74">
        <v>36455</v>
      </c>
      <c r="N7095" s="77">
        <v>0.875</v>
      </c>
      <c r="P7095">
        <v>51.8</v>
      </c>
      <c r="S7095" s="74">
        <v>37186</v>
      </c>
      <c r="T7095" s="77">
        <v>0.875</v>
      </c>
      <c r="V7095">
        <v>62.06</v>
      </c>
      <c r="X7095" s="42"/>
      <c r="AB7095">
        <v>55.7</v>
      </c>
      <c r="AC7095">
        <v>46.04</v>
      </c>
      <c r="AE7095" s="74"/>
      <c r="AF7095" s="77"/>
      <c r="AH7095" s="497">
        <v>39.200000000000003</v>
      </c>
      <c r="AJ7095" s="42"/>
      <c r="AK7095" s="74"/>
      <c r="AL7095" s="77"/>
      <c r="AN7095" s="497">
        <v>57.019999999999996</v>
      </c>
      <c r="AP7095" s="42"/>
      <c r="AQ7095" s="74"/>
      <c r="AR7095" s="77"/>
      <c r="AT7095" s="497">
        <v>46.04</v>
      </c>
      <c r="AV7095" s="42"/>
      <c r="AW7095" s="74"/>
      <c r="AX7095" s="77"/>
      <c r="BA7095" s="497">
        <v>53.96</v>
      </c>
      <c r="BB7095" s="42"/>
      <c r="BC7095" s="74"/>
      <c r="BD7095" s="77"/>
      <c r="BF7095">
        <v>66.02</v>
      </c>
      <c r="BH7095" s="42"/>
      <c r="BI7095" s="74"/>
      <c r="BJ7095" s="77"/>
      <c r="BL7095" s="497">
        <v>66.92</v>
      </c>
      <c r="BN7095" s="42"/>
      <c r="BO7095" s="74"/>
      <c r="BP7095" s="77"/>
      <c r="BR7095" s="497">
        <v>59</v>
      </c>
      <c r="BT7095" s="42"/>
    </row>
    <row r="7096" spans="1:72" x14ac:dyDescent="0.25">
      <c r="A7096" s="90">
        <v>37186</v>
      </c>
      <c r="B7096" s="20">
        <v>0.91666666666666663</v>
      </c>
      <c r="D7096">
        <v>60.980000000000004</v>
      </c>
      <c r="E7096" t="str">
        <f t="shared" si="256"/>
        <v>WEEKDAY</v>
      </c>
      <c r="F7096" t="e">
        <f t="shared" si="257"/>
        <v>#N/A</v>
      </c>
      <c r="G7096" s="74">
        <v>29516</v>
      </c>
      <c r="H7096" s="77">
        <v>0.91666666666666663</v>
      </c>
      <c r="J7096">
        <v>48.92</v>
      </c>
      <c r="M7096" s="74">
        <v>36455</v>
      </c>
      <c r="N7096" s="77">
        <v>0.91666666666666663</v>
      </c>
      <c r="P7096">
        <v>51.8</v>
      </c>
      <c r="S7096" s="74">
        <v>37186</v>
      </c>
      <c r="T7096" s="77">
        <v>0.91666666666666663</v>
      </c>
      <c r="V7096">
        <v>60.08</v>
      </c>
      <c r="X7096" s="42"/>
      <c r="AB7096">
        <v>55.1</v>
      </c>
      <c r="AC7096">
        <v>42.980000000000004</v>
      </c>
      <c r="AE7096" s="74"/>
      <c r="AF7096" s="77"/>
      <c r="AH7096" s="497">
        <v>35.6</v>
      </c>
      <c r="AJ7096" s="42"/>
      <c r="AK7096" s="74"/>
      <c r="AL7096" s="77"/>
      <c r="AN7096" s="497">
        <v>57.019999999999996</v>
      </c>
      <c r="AP7096" s="42"/>
      <c r="AQ7096" s="74"/>
      <c r="AR7096" s="77"/>
      <c r="AT7096" s="497">
        <v>48.019999999999996</v>
      </c>
      <c r="AV7096" s="42"/>
      <c r="AW7096" s="74"/>
      <c r="AX7096" s="77"/>
      <c r="BA7096" s="497">
        <v>55.94</v>
      </c>
      <c r="BB7096" s="42"/>
      <c r="BC7096" s="74"/>
      <c r="BD7096" s="77"/>
      <c r="BF7096">
        <v>64.94</v>
      </c>
      <c r="BH7096" s="42"/>
      <c r="BI7096" s="74"/>
      <c r="BJ7096" s="77"/>
      <c r="BL7096" s="497">
        <v>66.92</v>
      </c>
      <c r="BN7096" s="42"/>
      <c r="BO7096" s="74"/>
      <c r="BP7096" s="77"/>
      <c r="BR7096" s="497">
        <v>59</v>
      </c>
      <c r="BT7096" s="42"/>
    </row>
    <row r="7097" spans="1:72" x14ac:dyDescent="0.25">
      <c r="A7097" s="90">
        <v>37186</v>
      </c>
      <c r="B7097" s="20">
        <v>0.95833333333333337</v>
      </c>
      <c r="D7097">
        <v>60.980000000000004</v>
      </c>
      <c r="E7097" t="str">
        <f t="shared" si="256"/>
        <v>WEEKDAY</v>
      </c>
      <c r="F7097" t="e">
        <f t="shared" si="257"/>
        <v>#N/A</v>
      </c>
      <c r="G7097" s="74">
        <v>29516</v>
      </c>
      <c r="H7097" s="77">
        <v>0.95833333333333337</v>
      </c>
      <c r="J7097">
        <v>48.019999999999996</v>
      </c>
      <c r="M7097" s="74">
        <v>36455</v>
      </c>
      <c r="N7097" s="77">
        <v>0.95833333333333337</v>
      </c>
      <c r="P7097">
        <v>51.8</v>
      </c>
      <c r="S7097" s="74">
        <v>37186</v>
      </c>
      <c r="T7097" s="77">
        <v>0.95833333333333337</v>
      </c>
      <c r="V7097">
        <v>59</v>
      </c>
      <c r="X7097" s="42"/>
      <c r="AB7097">
        <v>54.5</v>
      </c>
      <c r="AC7097">
        <v>42.980000000000004</v>
      </c>
      <c r="AE7097" s="74"/>
      <c r="AF7097" s="77"/>
      <c r="AH7097" s="497">
        <v>37.4</v>
      </c>
      <c r="AJ7097" s="42"/>
      <c r="AK7097" s="74"/>
      <c r="AL7097" s="77"/>
      <c r="AN7097" s="497">
        <v>57.019999999999996</v>
      </c>
      <c r="AP7097" s="42"/>
      <c r="AQ7097" s="74"/>
      <c r="AR7097" s="77"/>
      <c r="AT7097" s="497">
        <v>51.08</v>
      </c>
      <c r="AV7097" s="42"/>
      <c r="AW7097" s="74"/>
      <c r="AX7097" s="77"/>
      <c r="BA7097" s="497">
        <v>60.08</v>
      </c>
      <c r="BB7097" s="42"/>
      <c r="BC7097" s="74"/>
      <c r="BD7097" s="77"/>
      <c r="BF7097">
        <v>64.94</v>
      </c>
      <c r="BH7097" s="42"/>
      <c r="BI7097" s="74"/>
      <c r="BJ7097" s="77"/>
      <c r="BL7097" s="497">
        <v>66.92</v>
      </c>
      <c r="BN7097" s="42"/>
      <c r="BO7097" s="74"/>
      <c r="BP7097" s="77"/>
      <c r="BR7097" s="497">
        <v>59</v>
      </c>
      <c r="BT7097" s="42"/>
    </row>
    <row r="7098" spans="1:72" x14ac:dyDescent="0.25">
      <c r="A7098" s="90">
        <v>37186</v>
      </c>
      <c r="B7098" s="20">
        <v>1</v>
      </c>
      <c r="D7098">
        <v>60.08</v>
      </c>
      <c r="E7098" t="str">
        <f t="shared" si="256"/>
        <v>WEEKDAY</v>
      </c>
      <c r="F7098" t="e">
        <f t="shared" si="257"/>
        <v>#N/A</v>
      </c>
      <c r="G7098" s="74">
        <v>29516</v>
      </c>
      <c r="H7098" s="77">
        <v>1</v>
      </c>
      <c r="J7098">
        <v>46.94</v>
      </c>
      <c r="M7098" s="74">
        <v>36455</v>
      </c>
      <c r="N7098" s="80">
        <v>1</v>
      </c>
      <c r="P7098">
        <v>50</v>
      </c>
      <c r="S7098" s="74">
        <v>37186</v>
      </c>
      <c r="T7098" s="80">
        <v>1</v>
      </c>
      <c r="V7098">
        <v>57.92</v>
      </c>
      <c r="X7098" s="42"/>
      <c r="AB7098">
        <v>53.8</v>
      </c>
      <c r="AC7098">
        <v>42.08</v>
      </c>
      <c r="AE7098" s="74"/>
      <c r="AF7098" s="80"/>
      <c r="AH7098" s="497">
        <v>35.6</v>
      </c>
      <c r="AJ7098" s="42"/>
      <c r="AK7098" s="74"/>
      <c r="AL7098" s="80"/>
      <c r="AN7098" s="497">
        <v>57.019999999999996</v>
      </c>
      <c r="AP7098" s="42"/>
      <c r="AQ7098" s="74"/>
      <c r="AR7098" s="80"/>
      <c r="AT7098" s="497">
        <v>53.96</v>
      </c>
      <c r="AV7098" s="42"/>
      <c r="AW7098" s="74"/>
      <c r="AX7098" s="80"/>
      <c r="BA7098" s="497">
        <v>59</v>
      </c>
      <c r="BB7098" s="42"/>
      <c r="BC7098" s="74"/>
      <c r="BD7098" s="80"/>
      <c r="BF7098">
        <v>64.94</v>
      </c>
      <c r="BH7098" s="42"/>
      <c r="BI7098" s="74"/>
      <c r="BJ7098" s="80"/>
      <c r="BL7098" s="497">
        <v>66.02</v>
      </c>
      <c r="BN7098" s="42"/>
      <c r="BO7098" s="74"/>
      <c r="BP7098" s="80"/>
      <c r="BR7098" s="497">
        <v>60.08</v>
      </c>
      <c r="BT7098" s="42"/>
    </row>
    <row r="7099" spans="1:72" x14ac:dyDescent="0.25">
      <c r="A7099" s="90">
        <v>37187</v>
      </c>
      <c r="B7099" s="20">
        <v>4.1666666666666664E-2</v>
      </c>
      <c r="D7099">
        <v>59</v>
      </c>
      <c r="E7099" t="str">
        <f t="shared" si="256"/>
        <v>WEEKDAY</v>
      </c>
      <c r="F7099" t="e">
        <f t="shared" si="257"/>
        <v>#N/A</v>
      </c>
      <c r="G7099" s="74">
        <v>29517</v>
      </c>
      <c r="H7099" s="77">
        <v>4.1666666666666664E-2</v>
      </c>
      <c r="J7099">
        <v>46.04</v>
      </c>
      <c r="M7099" s="74">
        <v>36456</v>
      </c>
      <c r="N7099" s="77">
        <v>4.1666666666666664E-2</v>
      </c>
      <c r="P7099">
        <v>49.1</v>
      </c>
      <c r="S7099" s="74">
        <v>37187</v>
      </c>
      <c r="T7099" s="77">
        <v>4.1666666666666664E-2</v>
      </c>
      <c r="V7099">
        <v>57.92</v>
      </c>
      <c r="X7099" s="42"/>
      <c r="AB7099">
        <v>53.2</v>
      </c>
      <c r="AC7099">
        <v>46.04</v>
      </c>
      <c r="AE7099" s="74"/>
      <c r="AF7099" s="77"/>
      <c r="AH7099" s="497">
        <v>35.6</v>
      </c>
      <c r="AJ7099" s="42"/>
      <c r="AK7099" s="74"/>
      <c r="AL7099" s="77"/>
      <c r="AN7099" s="497">
        <v>55.040000000000006</v>
      </c>
      <c r="AP7099" s="42"/>
      <c r="AQ7099" s="74"/>
      <c r="AR7099" s="77"/>
      <c r="AT7099" s="497">
        <v>53.96</v>
      </c>
      <c r="AV7099" s="42"/>
      <c r="AW7099" s="74"/>
      <c r="AX7099" s="77"/>
      <c r="BA7099" s="497">
        <v>60.980000000000004</v>
      </c>
      <c r="BB7099" s="42"/>
      <c r="BC7099" s="74"/>
      <c r="BD7099" s="77"/>
      <c r="BF7099">
        <v>62.06</v>
      </c>
      <c r="BH7099" s="42"/>
      <c r="BI7099" s="74"/>
      <c r="BJ7099" s="77"/>
      <c r="BL7099" s="497">
        <v>69.080000000000013</v>
      </c>
      <c r="BN7099" s="42"/>
      <c r="BO7099" s="74"/>
      <c r="BP7099" s="77"/>
      <c r="BR7099" s="497">
        <v>60.08</v>
      </c>
      <c r="BT7099" s="42"/>
    </row>
    <row r="7100" spans="1:72" x14ac:dyDescent="0.25">
      <c r="A7100" s="90">
        <v>37187</v>
      </c>
      <c r="B7100" s="20">
        <v>8.3333333333333329E-2</v>
      </c>
      <c r="D7100">
        <v>59</v>
      </c>
      <c r="E7100" t="str">
        <f t="shared" si="256"/>
        <v>WEEKDAY</v>
      </c>
      <c r="F7100" t="e">
        <f t="shared" si="257"/>
        <v>#N/A</v>
      </c>
      <c r="G7100" s="74">
        <v>29517</v>
      </c>
      <c r="H7100" s="77">
        <v>8.3333333333333329E-2</v>
      </c>
      <c r="J7100">
        <v>45.32</v>
      </c>
      <c r="M7100" s="74">
        <v>36456</v>
      </c>
      <c r="N7100" s="77">
        <v>8.3333333333333329E-2</v>
      </c>
      <c r="P7100">
        <v>48.2</v>
      </c>
      <c r="S7100" s="74">
        <v>37187</v>
      </c>
      <c r="T7100" s="77">
        <v>8.3333333333333329E-2</v>
      </c>
      <c r="V7100">
        <v>57.92</v>
      </c>
      <c r="X7100" s="42"/>
      <c r="AB7100">
        <v>52.6</v>
      </c>
      <c r="AC7100">
        <v>42.08</v>
      </c>
      <c r="AE7100" s="74"/>
      <c r="AF7100" s="77"/>
      <c r="AH7100" s="497">
        <v>35.6</v>
      </c>
      <c r="AJ7100" s="42"/>
      <c r="AK7100" s="74"/>
      <c r="AL7100" s="77"/>
      <c r="AN7100" s="497">
        <v>55.94</v>
      </c>
      <c r="AP7100" s="42"/>
      <c r="AQ7100" s="74"/>
      <c r="AR7100" s="77"/>
      <c r="AT7100" s="497">
        <v>53.96</v>
      </c>
      <c r="AV7100" s="42"/>
      <c r="AW7100" s="74"/>
      <c r="AX7100" s="77"/>
      <c r="BA7100" s="497">
        <v>60.980000000000004</v>
      </c>
      <c r="BB7100" s="42"/>
      <c r="BC7100" s="74"/>
      <c r="BD7100" s="77"/>
      <c r="BF7100">
        <v>62.06</v>
      </c>
      <c r="BH7100" s="42"/>
      <c r="BI7100" s="74"/>
      <c r="BJ7100" s="77"/>
      <c r="BL7100" s="497">
        <v>66.92</v>
      </c>
      <c r="BN7100" s="42"/>
      <c r="BO7100" s="74"/>
      <c r="BP7100" s="77"/>
      <c r="BR7100" s="497">
        <v>60.08</v>
      </c>
      <c r="BT7100" s="42"/>
    </row>
    <row r="7101" spans="1:72" x14ac:dyDescent="0.25">
      <c r="A7101" s="90">
        <v>37187</v>
      </c>
      <c r="B7101" s="20">
        <v>0.125</v>
      </c>
      <c r="D7101">
        <v>57.92</v>
      </c>
      <c r="E7101" t="str">
        <f t="shared" si="256"/>
        <v>WEEKDAY</v>
      </c>
      <c r="F7101" t="e">
        <f t="shared" si="257"/>
        <v>#N/A</v>
      </c>
      <c r="G7101" s="74">
        <v>29517</v>
      </c>
      <c r="H7101" s="77">
        <v>0.125</v>
      </c>
      <c r="J7101">
        <v>44.78</v>
      </c>
      <c r="M7101" s="74">
        <v>36456</v>
      </c>
      <c r="N7101" s="77">
        <v>0.125</v>
      </c>
      <c r="P7101">
        <v>47.84</v>
      </c>
      <c r="S7101" s="74">
        <v>37187</v>
      </c>
      <c r="T7101" s="77">
        <v>0.125</v>
      </c>
      <c r="V7101">
        <v>57.92</v>
      </c>
      <c r="X7101" s="42"/>
      <c r="AB7101">
        <v>52</v>
      </c>
      <c r="AC7101">
        <v>39.92</v>
      </c>
      <c r="AE7101" s="74"/>
      <c r="AF7101" s="77"/>
      <c r="AH7101" s="497">
        <v>37.4</v>
      </c>
      <c r="AJ7101" s="42"/>
      <c r="AK7101" s="74"/>
      <c r="AL7101" s="77"/>
      <c r="AN7101" s="497">
        <v>55.94</v>
      </c>
      <c r="AP7101" s="42"/>
      <c r="AQ7101" s="74"/>
      <c r="AR7101" s="77"/>
      <c r="AT7101" s="497">
        <v>53.96</v>
      </c>
      <c r="AV7101" s="42"/>
      <c r="AW7101" s="74"/>
      <c r="AX7101" s="77"/>
      <c r="BA7101" s="497">
        <v>60.980000000000004</v>
      </c>
      <c r="BB7101" s="42"/>
      <c r="BC7101" s="74"/>
      <c r="BD7101" s="77"/>
      <c r="BF7101">
        <v>60.980000000000004</v>
      </c>
      <c r="BH7101" s="42"/>
      <c r="BI7101" s="74"/>
      <c r="BJ7101" s="77"/>
      <c r="BL7101" s="497">
        <v>64.039999999999992</v>
      </c>
      <c r="BN7101" s="42"/>
      <c r="BO7101" s="74"/>
      <c r="BP7101" s="77"/>
      <c r="BR7101" s="497">
        <v>60.08</v>
      </c>
      <c r="BT7101" s="42"/>
    </row>
    <row r="7102" spans="1:72" x14ac:dyDescent="0.25">
      <c r="A7102" s="90">
        <v>37187</v>
      </c>
      <c r="B7102" s="20">
        <v>0.16666666666666666</v>
      </c>
      <c r="D7102">
        <v>57.92</v>
      </c>
      <c r="E7102" t="str">
        <f t="shared" si="256"/>
        <v>WEEKDAY</v>
      </c>
      <c r="F7102" t="e">
        <f t="shared" si="257"/>
        <v>#N/A</v>
      </c>
      <c r="G7102" s="74">
        <v>29517</v>
      </c>
      <c r="H7102" s="77">
        <v>0.16666666666666666</v>
      </c>
      <c r="J7102">
        <v>44.06</v>
      </c>
      <c r="M7102" s="74">
        <v>36456</v>
      </c>
      <c r="N7102" s="77">
        <v>0.16666666666666666</v>
      </c>
      <c r="P7102">
        <v>47.120000000000005</v>
      </c>
      <c r="S7102" s="74">
        <v>37187</v>
      </c>
      <c r="T7102" s="77">
        <v>0.16666666666666666</v>
      </c>
      <c r="V7102">
        <v>55.040000000000006</v>
      </c>
      <c r="X7102" s="42"/>
      <c r="AB7102">
        <v>51.5</v>
      </c>
      <c r="AC7102">
        <v>39.92</v>
      </c>
      <c r="AE7102" s="74"/>
      <c r="AF7102" s="77"/>
      <c r="AH7102" s="497">
        <v>37.4</v>
      </c>
      <c r="AJ7102" s="42"/>
      <c r="AK7102" s="74"/>
      <c r="AL7102" s="77"/>
      <c r="AN7102" s="497">
        <v>55.040000000000006</v>
      </c>
      <c r="AP7102" s="42"/>
      <c r="AQ7102" s="74"/>
      <c r="AR7102" s="77"/>
      <c r="AT7102" s="497">
        <v>53.96</v>
      </c>
      <c r="AV7102" s="42"/>
      <c r="AW7102" s="74"/>
      <c r="AX7102" s="77"/>
      <c r="BA7102" s="497">
        <v>62.06</v>
      </c>
      <c r="BB7102" s="42"/>
      <c r="BC7102" s="74"/>
      <c r="BD7102" s="77"/>
      <c r="BF7102">
        <v>55.94</v>
      </c>
      <c r="BH7102" s="42"/>
      <c r="BI7102" s="74"/>
      <c r="BJ7102" s="77"/>
      <c r="BL7102" s="497">
        <v>64.039999999999992</v>
      </c>
      <c r="BN7102" s="42"/>
      <c r="BO7102" s="74"/>
      <c r="BP7102" s="77"/>
      <c r="BR7102" s="497">
        <v>60.08</v>
      </c>
      <c r="BT7102" s="42"/>
    </row>
    <row r="7103" spans="1:72" x14ac:dyDescent="0.25">
      <c r="A7103" s="90">
        <v>37187</v>
      </c>
      <c r="B7103" s="20">
        <v>0.20833333333333334</v>
      </c>
      <c r="D7103">
        <v>59</v>
      </c>
      <c r="E7103" t="str">
        <f t="shared" si="256"/>
        <v>WEEKDAY</v>
      </c>
      <c r="F7103" t="e">
        <f t="shared" si="257"/>
        <v>#N/A</v>
      </c>
      <c r="G7103" s="74">
        <v>29517</v>
      </c>
      <c r="H7103" s="77">
        <v>0.20833333333333334</v>
      </c>
      <c r="J7103">
        <v>43.7</v>
      </c>
      <c r="M7103" s="74">
        <v>36456</v>
      </c>
      <c r="N7103" s="77">
        <v>0.20833333333333334</v>
      </c>
      <c r="P7103">
        <v>46.4</v>
      </c>
      <c r="S7103" s="74">
        <v>37187</v>
      </c>
      <c r="T7103" s="77">
        <v>0.20833333333333334</v>
      </c>
      <c r="V7103">
        <v>55.94</v>
      </c>
      <c r="X7103" s="42"/>
      <c r="AB7103">
        <v>51.2</v>
      </c>
      <c r="AC7103">
        <v>41</v>
      </c>
      <c r="AE7103" s="74"/>
      <c r="AF7103" s="77"/>
      <c r="AH7103" s="497">
        <v>39.200000000000003</v>
      </c>
      <c r="AJ7103" s="42"/>
      <c r="AK7103" s="74"/>
      <c r="AL7103" s="77"/>
      <c r="AN7103" s="497">
        <v>55.94</v>
      </c>
      <c r="AP7103" s="42"/>
      <c r="AQ7103" s="74"/>
      <c r="AR7103" s="77"/>
      <c r="AT7103" s="497">
        <v>53.06</v>
      </c>
      <c r="AV7103" s="42"/>
      <c r="AW7103" s="74"/>
      <c r="AX7103" s="77"/>
      <c r="BA7103" s="497">
        <v>62.96</v>
      </c>
      <c r="BB7103" s="42"/>
      <c r="BC7103" s="74"/>
      <c r="BD7103" s="77"/>
      <c r="BF7103">
        <v>53.06</v>
      </c>
      <c r="BH7103" s="42"/>
      <c r="BI7103" s="74"/>
      <c r="BJ7103" s="77"/>
      <c r="BL7103" s="497">
        <v>57.019999999999996</v>
      </c>
      <c r="BN7103" s="42"/>
      <c r="BO7103" s="74"/>
      <c r="BP7103" s="77"/>
      <c r="BR7103" s="497">
        <v>60.08</v>
      </c>
      <c r="BT7103" s="42"/>
    </row>
    <row r="7104" spans="1:72" x14ac:dyDescent="0.25">
      <c r="A7104" s="90">
        <v>37187</v>
      </c>
      <c r="B7104" s="20">
        <v>0.25</v>
      </c>
      <c r="D7104">
        <v>57.92</v>
      </c>
      <c r="E7104" t="str">
        <f t="shared" si="256"/>
        <v>WEEKDAY</v>
      </c>
      <c r="F7104" t="e">
        <f t="shared" si="257"/>
        <v>#N/A</v>
      </c>
      <c r="G7104" s="74">
        <v>29517</v>
      </c>
      <c r="H7104" s="77">
        <v>0.25</v>
      </c>
      <c r="J7104">
        <v>43.34</v>
      </c>
      <c r="M7104" s="74">
        <v>36456</v>
      </c>
      <c r="N7104" s="77">
        <v>0.25</v>
      </c>
      <c r="P7104">
        <v>46.4</v>
      </c>
      <c r="S7104" s="74">
        <v>37187</v>
      </c>
      <c r="T7104" s="77">
        <v>0.25</v>
      </c>
      <c r="V7104">
        <v>55.040000000000006</v>
      </c>
      <c r="X7104" s="42"/>
      <c r="AB7104">
        <v>51</v>
      </c>
      <c r="AC7104">
        <v>41</v>
      </c>
      <c r="AE7104" s="74"/>
      <c r="AF7104" s="77"/>
      <c r="AH7104" s="497">
        <v>39.200000000000003</v>
      </c>
      <c r="AJ7104" s="42"/>
      <c r="AK7104" s="74"/>
      <c r="AL7104" s="77"/>
      <c r="AN7104" s="497">
        <v>55.040000000000006</v>
      </c>
      <c r="AP7104" s="42"/>
      <c r="AQ7104" s="74"/>
      <c r="AR7104" s="77"/>
      <c r="AT7104" s="497">
        <v>53.96</v>
      </c>
      <c r="AV7104" s="42"/>
      <c r="AW7104" s="74"/>
      <c r="AX7104" s="77"/>
      <c r="BA7104" s="497">
        <v>62.96</v>
      </c>
      <c r="BB7104" s="42"/>
      <c r="BC7104" s="74"/>
      <c r="BD7104" s="77"/>
      <c r="BF7104">
        <v>53.06</v>
      </c>
      <c r="BH7104" s="42"/>
      <c r="BI7104" s="74"/>
      <c r="BJ7104" s="77"/>
      <c r="BL7104" s="497">
        <v>55.94</v>
      </c>
      <c r="BN7104" s="42"/>
      <c r="BO7104" s="74"/>
      <c r="BP7104" s="77"/>
      <c r="BR7104" s="497">
        <v>60.08</v>
      </c>
      <c r="BT7104" s="42"/>
    </row>
    <row r="7105" spans="1:72" x14ac:dyDescent="0.25">
      <c r="A7105" s="90">
        <v>37187</v>
      </c>
      <c r="B7105" s="20">
        <v>0.29166666666666669</v>
      </c>
      <c r="D7105">
        <v>59</v>
      </c>
      <c r="E7105" t="str">
        <f t="shared" si="256"/>
        <v>WEEKDAY</v>
      </c>
      <c r="F7105" t="e">
        <f t="shared" si="257"/>
        <v>#N/A</v>
      </c>
      <c r="G7105" s="74">
        <v>29517</v>
      </c>
      <c r="H7105" s="77">
        <v>0.29166666666666669</v>
      </c>
      <c r="J7105">
        <v>42.980000000000004</v>
      </c>
      <c r="M7105" s="74">
        <v>36456</v>
      </c>
      <c r="N7105" s="77">
        <v>0.29166666666666669</v>
      </c>
      <c r="P7105">
        <v>46.4</v>
      </c>
      <c r="S7105" s="74">
        <v>37187</v>
      </c>
      <c r="T7105" s="77">
        <v>0.29166666666666669</v>
      </c>
      <c r="V7105">
        <v>55.94</v>
      </c>
      <c r="X7105" s="42"/>
      <c r="AB7105">
        <v>50.7</v>
      </c>
      <c r="AC7105">
        <v>44.96</v>
      </c>
      <c r="AE7105" s="74"/>
      <c r="AF7105" s="77"/>
      <c r="AH7105" s="497">
        <v>39.200000000000003</v>
      </c>
      <c r="AJ7105" s="42"/>
      <c r="AK7105" s="74"/>
      <c r="AL7105" s="77"/>
      <c r="AN7105" s="497">
        <v>55.94</v>
      </c>
      <c r="AP7105" s="42"/>
      <c r="AQ7105" s="74"/>
      <c r="AR7105" s="77"/>
      <c r="AT7105" s="497">
        <v>53.96</v>
      </c>
      <c r="AV7105" s="42"/>
      <c r="AW7105" s="74"/>
      <c r="AX7105" s="77"/>
      <c r="BA7105" s="497">
        <v>62.96</v>
      </c>
      <c r="BB7105" s="42"/>
      <c r="BC7105" s="74"/>
      <c r="BD7105" s="77"/>
      <c r="BF7105">
        <v>51.980000000000004</v>
      </c>
      <c r="BH7105" s="42"/>
      <c r="BI7105" s="74"/>
      <c r="BJ7105" s="77"/>
      <c r="BL7105" s="497">
        <v>55.040000000000006</v>
      </c>
      <c r="BN7105" s="42"/>
      <c r="BO7105" s="74"/>
      <c r="BP7105" s="77"/>
      <c r="BR7105" s="497">
        <v>59</v>
      </c>
      <c r="BT7105" s="42"/>
    </row>
    <row r="7106" spans="1:72" x14ac:dyDescent="0.25">
      <c r="A7106" s="90">
        <v>37187</v>
      </c>
      <c r="B7106" s="20">
        <v>0.33333333333333331</v>
      </c>
      <c r="D7106">
        <v>60.980000000000004</v>
      </c>
      <c r="E7106" t="str">
        <f t="shared" si="256"/>
        <v>WEEKDAY</v>
      </c>
      <c r="F7106" t="e">
        <f t="shared" si="257"/>
        <v>#N/A</v>
      </c>
      <c r="G7106" s="74">
        <v>29517</v>
      </c>
      <c r="H7106" s="77">
        <v>0.33333333333333331</v>
      </c>
      <c r="J7106">
        <v>43.7</v>
      </c>
      <c r="M7106" s="74">
        <v>36456</v>
      </c>
      <c r="N7106" s="77">
        <v>0.33333333333333331</v>
      </c>
      <c r="P7106">
        <v>48.2</v>
      </c>
      <c r="S7106" s="74">
        <v>37187</v>
      </c>
      <c r="T7106" s="77">
        <v>0.33333333333333331</v>
      </c>
      <c r="V7106">
        <v>60.980000000000004</v>
      </c>
      <c r="X7106" s="42"/>
      <c r="AB7106">
        <v>51.3</v>
      </c>
      <c r="AC7106">
        <v>50</v>
      </c>
      <c r="AE7106" s="74"/>
      <c r="AF7106" s="77"/>
      <c r="AH7106" s="497">
        <v>39.200000000000003</v>
      </c>
      <c r="AJ7106" s="42"/>
      <c r="AK7106" s="74"/>
      <c r="AL7106" s="77"/>
      <c r="AN7106" s="497">
        <v>57.019999999999996</v>
      </c>
      <c r="AP7106" s="42"/>
      <c r="AQ7106" s="74"/>
      <c r="AR7106" s="77"/>
      <c r="AT7106" s="497">
        <v>55.040000000000006</v>
      </c>
      <c r="AV7106" s="42"/>
      <c r="AW7106" s="74"/>
      <c r="AX7106" s="77"/>
      <c r="BA7106" s="497">
        <v>62.96</v>
      </c>
      <c r="BB7106" s="42"/>
      <c r="BC7106" s="74"/>
      <c r="BD7106" s="77"/>
      <c r="BF7106">
        <v>51.08</v>
      </c>
      <c r="BH7106" s="42"/>
      <c r="BI7106" s="74"/>
      <c r="BJ7106" s="77"/>
      <c r="BL7106" s="497">
        <v>55.040000000000006</v>
      </c>
      <c r="BN7106" s="42"/>
      <c r="BO7106" s="74"/>
      <c r="BP7106" s="77"/>
      <c r="BR7106" s="497">
        <v>59</v>
      </c>
      <c r="BT7106" s="42"/>
    </row>
    <row r="7107" spans="1:72" x14ac:dyDescent="0.25">
      <c r="A7107" s="90">
        <v>37187</v>
      </c>
      <c r="B7107" s="20">
        <v>0.375</v>
      </c>
      <c r="D7107">
        <v>62.06</v>
      </c>
      <c r="E7107" t="str">
        <f t="shared" si="256"/>
        <v>WEEKDAY</v>
      </c>
      <c r="F7107" t="e">
        <f t="shared" si="257"/>
        <v>#N/A</v>
      </c>
      <c r="G7107" s="74">
        <v>29517</v>
      </c>
      <c r="H7107" s="77">
        <v>0.375</v>
      </c>
      <c r="J7107">
        <v>44.24</v>
      </c>
      <c r="M7107" s="74">
        <v>36456</v>
      </c>
      <c r="N7107" s="77">
        <v>0.375</v>
      </c>
      <c r="P7107">
        <v>50</v>
      </c>
      <c r="S7107" s="74">
        <v>37187</v>
      </c>
      <c r="T7107" s="77">
        <v>0.375</v>
      </c>
      <c r="V7107">
        <v>62.06</v>
      </c>
      <c r="X7107" s="42"/>
      <c r="AB7107">
        <v>53.4</v>
      </c>
      <c r="AC7107">
        <v>53.06</v>
      </c>
      <c r="AE7107" s="74"/>
      <c r="AF7107" s="77"/>
      <c r="AH7107" s="497">
        <v>39.200000000000003</v>
      </c>
      <c r="AJ7107" s="42"/>
      <c r="AK7107" s="74"/>
      <c r="AL7107" s="77"/>
      <c r="AN7107" s="497">
        <v>59</v>
      </c>
      <c r="AP7107" s="42"/>
      <c r="AQ7107" s="74"/>
      <c r="AR7107" s="77"/>
      <c r="AT7107" s="497">
        <v>57.019999999999996</v>
      </c>
      <c r="AV7107" s="42"/>
      <c r="AW7107" s="74"/>
      <c r="AX7107" s="77"/>
      <c r="BA7107" s="497">
        <v>62.96</v>
      </c>
      <c r="BB7107" s="42"/>
      <c r="BC7107" s="74"/>
      <c r="BD7107" s="77"/>
      <c r="BF7107">
        <v>48.92</v>
      </c>
      <c r="BH7107" s="42"/>
      <c r="BI7107" s="74"/>
      <c r="BJ7107" s="77"/>
      <c r="BL7107" s="497">
        <v>53.96</v>
      </c>
      <c r="BN7107" s="42"/>
      <c r="BO7107" s="74"/>
      <c r="BP7107" s="77"/>
      <c r="BR7107" s="497">
        <v>60.08</v>
      </c>
      <c r="BT7107" s="42"/>
    </row>
    <row r="7108" spans="1:72" x14ac:dyDescent="0.25">
      <c r="A7108" s="90">
        <v>37187</v>
      </c>
      <c r="B7108" s="20">
        <v>0.41666666666666669</v>
      </c>
      <c r="D7108">
        <v>62.96</v>
      </c>
      <c r="E7108" t="str">
        <f t="shared" si="256"/>
        <v>WEEKDAY</v>
      </c>
      <c r="F7108" t="e">
        <f t="shared" si="257"/>
        <v>#N/A</v>
      </c>
      <c r="G7108" s="74">
        <v>29517</v>
      </c>
      <c r="H7108" s="77">
        <v>0.41666666666666669</v>
      </c>
      <c r="J7108">
        <v>44.96</v>
      </c>
      <c r="M7108" s="74">
        <v>36456</v>
      </c>
      <c r="N7108" s="77">
        <v>0.41666666666666669</v>
      </c>
      <c r="P7108">
        <v>53.6</v>
      </c>
      <c r="S7108" s="74">
        <v>37187</v>
      </c>
      <c r="T7108" s="77">
        <v>0.41666666666666669</v>
      </c>
      <c r="V7108">
        <v>62.06</v>
      </c>
      <c r="X7108" s="42"/>
      <c r="AB7108">
        <v>55.3</v>
      </c>
      <c r="AC7108">
        <v>53.96</v>
      </c>
      <c r="AE7108" s="74"/>
      <c r="AF7108" s="77"/>
      <c r="AH7108" s="497">
        <v>39.200000000000003</v>
      </c>
      <c r="AJ7108" s="42"/>
      <c r="AK7108" s="74"/>
      <c r="AL7108" s="77"/>
      <c r="AN7108" s="497">
        <v>60.08</v>
      </c>
      <c r="AP7108" s="42"/>
      <c r="AQ7108" s="74"/>
      <c r="AR7108" s="77"/>
      <c r="AT7108" s="497">
        <v>62.06</v>
      </c>
      <c r="AV7108" s="42"/>
      <c r="AW7108" s="74"/>
      <c r="AX7108" s="77"/>
      <c r="BA7108" s="497">
        <v>62.96</v>
      </c>
      <c r="BB7108" s="42"/>
      <c r="BC7108" s="74"/>
      <c r="BD7108" s="77"/>
      <c r="BF7108">
        <v>46.94</v>
      </c>
      <c r="BH7108" s="42"/>
      <c r="BI7108" s="74"/>
      <c r="BJ7108" s="77"/>
      <c r="BL7108" s="497">
        <v>51.980000000000004</v>
      </c>
      <c r="BN7108" s="42"/>
      <c r="BO7108" s="74"/>
      <c r="BP7108" s="77"/>
      <c r="BR7108" s="497">
        <v>60.08</v>
      </c>
      <c r="BT7108" s="42"/>
    </row>
    <row r="7109" spans="1:72" x14ac:dyDescent="0.25">
      <c r="A7109" s="90">
        <v>37187</v>
      </c>
      <c r="B7109" s="20">
        <v>0.45833333333333331</v>
      </c>
      <c r="D7109">
        <v>64.400000000000006</v>
      </c>
      <c r="E7109" t="str">
        <f t="shared" si="256"/>
        <v>WEEKDAY</v>
      </c>
      <c r="F7109" t="e">
        <f t="shared" si="257"/>
        <v>#N/A</v>
      </c>
      <c r="G7109" s="74">
        <v>29517</v>
      </c>
      <c r="H7109" s="77">
        <v>0.45833333333333331</v>
      </c>
      <c r="J7109">
        <v>46.58</v>
      </c>
      <c r="M7109" s="74">
        <v>36456</v>
      </c>
      <c r="N7109" s="77">
        <v>0.45833333333333331</v>
      </c>
      <c r="P7109">
        <v>51.8</v>
      </c>
      <c r="S7109" s="74">
        <v>37187</v>
      </c>
      <c r="T7109" s="77">
        <v>0.45833333333333331</v>
      </c>
      <c r="V7109">
        <v>62.96</v>
      </c>
      <c r="X7109" s="42"/>
      <c r="AB7109">
        <v>56.9</v>
      </c>
      <c r="AC7109">
        <v>57.019999999999996</v>
      </c>
      <c r="AE7109" s="74"/>
      <c r="AF7109" s="77"/>
      <c r="AH7109" s="497">
        <v>42.8</v>
      </c>
      <c r="AJ7109" s="42"/>
      <c r="AK7109" s="74"/>
      <c r="AL7109" s="77"/>
      <c r="AN7109" s="497">
        <v>60.08</v>
      </c>
      <c r="AP7109" s="42"/>
      <c r="AQ7109" s="74"/>
      <c r="AR7109" s="77"/>
      <c r="AT7109" s="497">
        <v>66.02</v>
      </c>
      <c r="AV7109" s="42"/>
      <c r="AW7109" s="74"/>
      <c r="AX7109" s="77"/>
      <c r="BA7109" s="497">
        <v>64.94</v>
      </c>
      <c r="BB7109" s="42"/>
      <c r="BC7109" s="74"/>
      <c r="BD7109" s="77"/>
      <c r="BF7109">
        <v>44.96</v>
      </c>
      <c r="BH7109" s="42"/>
      <c r="BI7109" s="74"/>
      <c r="BJ7109" s="77"/>
      <c r="BL7109" s="497">
        <v>48.92</v>
      </c>
      <c r="BN7109" s="42"/>
      <c r="BO7109" s="74"/>
      <c r="BP7109" s="77"/>
      <c r="BR7109" s="497">
        <v>57.92</v>
      </c>
      <c r="BT7109" s="42"/>
    </row>
    <row r="7110" spans="1:72" x14ac:dyDescent="0.25">
      <c r="A7110" s="90">
        <v>37187</v>
      </c>
      <c r="B7110" s="20">
        <v>0.5</v>
      </c>
      <c r="D7110">
        <v>64.94</v>
      </c>
      <c r="E7110" t="str">
        <f t="shared" si="256"/>
        <v>WEEKDAY</v>
      </c>
      <c r="F7110" t="e">
        <f t="shared" si="257"/>
        <v>#N/A</v>
      </c>
      <c r="G7110" s="74">
        <v>29517</v>
      </c>
      <c r="H7110" s="77">
        <v>0.5</v>
      </c>
      <c r="J7110">
        <v>48.379999999999995</v>
      </c>
      <c r="M7110" s="74">
        <v>36456</v>
      </c>
      <c r="N7110" s="77">
        <v>0.5</v>
      </c>
      <c r="P7110">
        <v>53.6</v>
      </c>
      <c r="S7110" s="74">
        <v>37187</v>
      </c>
      <c r="T7110" s="77">
        <v>0.5</v>
      </c>
      <c r="V7110">
        <v>64.94</v>
      </c>
      <c r="X7110" s="42"/>
      <c r="AB7110">
        <v>58.4</v>
      </c>
      <c r="AC7110">
        <v>59</v>
      </c>
      <c r="AE7110" s="74"/>
      <c r="AF7110" s="77"/>
      <c r="AH7110" s="497">
        <v>46.4</v>
      </c>
      <c r="AJ7110" s="42"/>
      <c r="AK7110" s="74"/>
      <c r="AL7110" s="77"/>
      <c r="AN7110" s="497">
        <v>59</v>
      </c>
      <c r="AP7110" s="42"/>
      <c r="AQ7110" s="74"/>
      <c r="AR7110" s="77"/>
      <c r="AT7110" s="497">
        <v>68</v>
      </c>
      <c r="AV7110" s="42"/>
      <c r="AW7110" s="74"/>
      <c r="AX7110" s="77"/>
      <c r="BA7110" s="497">
        <v>62.06</v>
      </c>
      <c r="BB7110" s="42"/>
      <c r="BC7110" s="74"/>
      <c r="BD7110" s="77"/>
      <c r="BF7110">
        <v>42.980000000000004</v>
      </c>
      <c r="BH7110" s="42"/>
      <c r="BI7110" s="74"/>
      <c r="BJ7110" s="77"/>
      <c r="BL7110" s="497">
        <v>48.019999999999996</v>
      </c>
      <c r="BN7110" s="42"/>
      <c r="BO7110" s="74"/>
      <c r="BP7110" s="77"/>
      <c r="BR7110" s="497">
        <v>55.040000000000006</v>
      </c>
      <c r="BT7110" s="42"/>
    </row>
    <row r="7111" spans="1:72" x14ac:dyDescent="0.25">
      <c r="A7111" s="90">
        <v>37187</v>
      </c>
      <c r="B7111" s="20">
        <v>0.54166666666666663</v>
      </c>
      <c r="D7111">
        <v>66.02</v>
      </c>
      <c r="E7111" t="str">
        <f t="shared" si="256"/>
        <v>WEEKDAY</v>
      </c>
      <c r="F7111" t="e">
        <f t="shared" si="257"/>
        <v>#N/A</v>
      </c>
      <c r="G7111" s="74">
        <v>29517</v>
      </c>
      <c r="H7111" s="77">
        <v>0.54166666666666663</v>
      </c>
      <c r="J7111">
        <v>50</v>
      </c>
      <c r="M7111" s="74">
        <v>36456</v>
      </c>
      <c r="N7111" s="77">
        <v>0.54166666666666663</v>
      </c>
      <c r="P7111">
        <v>53.6</v>
      </c>
      <c r="S7111" s="74">
        <v>37187</v>
      </c>
      <c r="T7111" s="77">
        <v>0.54166666666666663</v>
      </c>
      <c r="V7111">
        <v>64.94</v>
      </c>
      <c r="X7111" s="42"/>
      <c r="AB7111">
        <v>59.3</v>
      </c>
      <c r="AC7111">
        <v>57.019999999999996</v>
      </c>
      <c r="AE7111" s="74"/>
      <c r="AF7111" s="77"/>
      <c r="AH7111" s="497">
        <v>48.2</v>
      </c>
      <c r="AJ7111" s="42"/>
      <c r="AK7111" s="74"/>
      <c r="AL7111" s="77"/>
      <c r="AN7111" s="497">
        <v>62.06</v>
      </c>
      <c r="AP7111" s="42"/>
      <c r="AQ7111" s="74"/>
      <c r="AR7111" s="77"/>
      <c r="AT7111" s="497">
        <v>69.98</v>
      </c>
      <c r="AV7111" s="42"/>
      <c r="AW7111" s="74"/>
      <c r="AX7111" s="77"/>
      <c r="BA7111" s="497">
        <v>59</v>
      </c>
      <c r="BB7111" s="42"/>
      <c r="BC7111" s="74"/>
      <c r="BD7111" s="77"/>
      <c r="BF7111">
        <v>42.08</v>
      </c>
      <c r="BH7111" s="42"/>
      <c r="BI7111" s="74"/>
      <c r="BJ7111" s="77"/>
      <c r="BL7111" s="497">
        <v>46.04</v>
      </c>
      <c r="BN7111" s="42"/>
      <c r="BO7111" s="74"/>
      <c r="BP7111" s="77"/>
      <c r="BR7111" s="497">
        <v>51.08</v>
      </c>
      <c r="BT7111" s="42"/>
    </row>
    <row r="7112" spans="1:72" x14ac:dyDescent="0.25">
      <c r="A7112" s="90">
        <v>37187</v>
      </c>
      <c r="B7112" s="20">
        <v>0.58333333333333337</v>
      </c>
      <c r="D7112">
        <v>66.92</v>
      </c>
      <c r="E7112" t="str">
        <f t="shared" si="256"/>
        <v>WEEKDAY</v>
      </c>
      <c r="F7112" t="e">
        <f t="shared" si="257"/>
        <v>#N/A</v>
      </c>
      <c r="G7112" s="74">
        <v>29517</v>
      </c>
      <c r="H7112" s="77">
        <v>0.58333333333333337</v>
      </c>
      <c r="J7112">
        <v>50.36</v>
      </c>
      <c r="M7112" s="74">
        <v>36456</v>
      </c>
      <c r="N7112" s="77">
        <v>0.58333333333333337</v>
      </c>
      <c r="P7112">
        <v>51.8</v>
      </c>
      <c r="S7112" s="74">
        <v>37187</v>
      </c>
      <c r="T7112" s="77">
        <v>0.58333333333333337</v>
      </c>
      <c r="V7112">
        <v>66.02</v>
      </c>
      <c r="X7112" s="42"/>
      <c r="AB7112">
        <v>59.9</v>
      </c>
      <c r="AC7112">
        <v>57.92</v>
      </c>
      <c r="AE7112" s="74"/>
      <c r="AF7112" s="77"/>
      <c r="AH7112" s="497">
        <v>48.2</v>
      </c>
      <c r="AJ7112" s="42"/>
      <c r="AK7112" s="74"/>
      <c r="AL7112" s="77"/>
      <c r="AN7112" s="497">
        <v>60.08</v>
      </c>
      <c r="AP7112" s="42"/>
      <c r="AQ7112" s="74"/>
      <c r="AR7112" s="77"/>
      <c r="AT7112" s="497">
        <v>62.96</v>
      </c>
      <c r="AV7112" s="42"/>
      <c r="AW7112" s="74"/>
      <c r="AX7112" s="77"/>
      <c r="BA7112" s="497">
        <v>60.08</v>
      </c>
      <c r="BB7112" s="42"/>
      <c r="BC7112" s="74"/>
      <c r="BD7112" s="77"/>
      <c r="BF7112">
        <v>42.08</v>
      </c>
      <c r="BH7112" s="42"/>
      <c r="BI7112" s="74"/>
      <c r="BJ7112" s="77"/>
      <c r="BL7112" s="497">
        <v>44.96</v>
      </c>
      <c r="BN7112" s="42"/>
      <c r="BO7112" s="74"/>
      <c r="BP7112" s="77"/>
      <c r="BR7112" s="497">
        <v>51.08</v>
      </c>
      <c r="BT7112" s="42"/>
    </row>
    <row r="7113" spans="1:72" x14ac:dyDescent="0.25">
      <c r="A7113" s="90">
        <v>37187</v>
      </c>
      <c r="B7113" s="20">
        <v>0.625</v>
      </c>
      <c r="D7113">
        <v>66.92</v>
      </c>
      <c r="E7113" t="str">
        <f t="shared" si="256"/>
        <v>WEEKDAY</v>
      </c>
      <c r="F7113" t="e">
        <f t="shared" si="257"/>
        <v>#N/A</v>
      </c>
      <c r="G7113" s="74">
        <v>29517</v>
      </c>
      <c r="H7113" s="77">
        <v>0.625</v>
      </c>
      <c r="J7113">
        <v>50.72</v>
      </c>
      <c r="M7113" s="74">
        <v>36456</v>
      </c>
      <c r="N7113" s="77">
        <v>0.625</v>
      </c>
      <c r="P7113">
        <v>50</v>
      </c>
      <c r="S7113" s="74">
        <v>37187</v>
      </c>
      <c r="T7113" s="77">
        <v>0.625</v>
      </c>
      <c r="V7113">
        <v>66.02</v>
      </c>
      <c r="X7113" s="42"/>
      <c r="AB7113">
        <v>60.2</v>
      </c>
      <c r="AC7113">
        <v>57.019999999999996</v>
      </c>
      <c r="AE7113" s="74"/>
      <c r="AF7113" s="77"/>
      <c r="AH7113" s="497">
        <v>48.2</v>
      </c>
      <c r="AJ7113" s="42"/>
      <c r="AK7113" s="74"/>
      <c r="AL7113" s="77"/>
      <c r="AN7113" s="497">
        <v>62.06</v>
      </c>
      <c r="AP7113" s="42"/>
      <c r="AQ7113" s="74"/>
      <c r="AR7113" s="77"/>
      <c r="AT7113" s="497">
        <v>57.92</v>
      </c>
      <c r="AV7113" s="42"/>
      <c r="AW7113" s="74"/>
      <c r="AX7113" s="77"/>
      <c r="BA7113" s="497">
        <v>60.08</v>
      </c>
      <c r="BB7113" s="42"/>
      <c r="BC7113" s="74"/>
      <c r="BD7113" s="77"/>
      <c r="BF7113">
        <v>41</v>
      </c>
      <c r="BH7113" s="42"/>
      <c r="BI7113" s="74"/>
      <c r="BJ7113" s="77"/>
      <c r="BL7113" s="497">
        <v>44.06</v>
      </c>
      <c r="BN7113" s="42"/>
      <c r="BO7113" s="74"/>
      <c r="BP7113" s="77"/>
      <c r="BR7113" s="497">
        <v>51.08</v>
      </c>
      <c r="BT7113" s="42"/>
    </row>
    <row r="7114" spans="1:72" x14ac:dyDescent="0.25">
      <c r="A7114" s="90">
        <v>37187</v>
      </c>
      <c r="B7114" s="20">
        <v>0.66666666666666663</v>
      </c>
      <c r="D7114">
        <v>66.02</v>
      </c>
      <c r="E7114" t="str">
        <f t="shared" si="256"/>
        <v>WEEKDAY</v>
      </c>
      <c r="F7114" t="e">
        <f t="shared" si="257"/>
        <v>#N/A</v>
      </c>
      <c r="G7114" s="74">
        <v>29517</v>
      </c>
      <c r="H7114" s="77">
        <v>0.66666666666666663</v>
      </c>
      <c r="J7114">
        <v>51.08</v>
      </c>
      <c r="M7114" s="74">
        <v>36456</v>
      </c>
      <c r="N7114" s="77">
        <v>0.66666666666666663</v>
      </c>
      <c r="P7114">
        <v>50</v>
      </c>
      <c r="S7114" s="74">
        <v>37187</v>
      </c>
      <c r="T7114" s="77">
        <v>0.66666666666666663</v>
      </c>
      <c r="V7114">
        <v>64.94</v>
      </c>
      <c r="X7114" s="42"/>
      <c r="AB7114">
        <v>60</v>
      </c>
      <c r="AC7114">
        <v>55.040000000000006</v>
      </c>
      <c r="AE7114" s="74"/>
      <c r="AF7114" s="77"/>
      <c r="AH7114" s="497">
        <v>46.4</v>
      </c>
      <c r="AJ7114" s="42"/>
      <c r="AK7114" s="74"/>
      <c r="AL7114" s="77"/>
      <c r="AN7114" s="497">
        <v>62.06</v>
      </c>
      <c r="AP7114" s="42"/>
      <c r="AQ7114" s="74"/>
      <c r="AR7114" s="77"/>
      <c r="AT7114" s="497">
        <v>60.08</v>
      </c>
      <c r="AV7114" s="42"/>
      <c r="AW7114" s="74"/>
      <c r="AX7114" s="77"/>
      <c r="BA7114" s="497">
        <v>59</v>
      </c>
      <c r="BB7114" s="42"/>
      <c r="BC7114" s="74"/>
      <c r="BD7114" s="77"/>
      <c r="BF7114">
        <v>41</v>
      </c>
      <c r="BH7114" s="42"/>
      <c r="BI7114" s="74"/>
      <c r="BJ7114" s="77"/>
      <c r="BL7114" s="497">
        <v>44.06</v>
      </c>
      <c r="BN7114" s="42"/>
      <c r="BO7114" s="74"/>
      <c r="BP7114" s="77"/>
      <c r="BR7114" s="497">
        <v>50</v>
      </c>
      <c r="BT7114" s="42"/>
    </row>
    <row r="7115" spans="1:72" x14ac:dyDescent="0.25">
      <c r="A7115" s="90">
        <v>37187</v>
      </c>
      <c r="B7115" s="20">
        <v>0.70833333333333337</v>
      </c>
      <c r="D7115">
        <v>64.94</v>
      </c>
      <c r="E7115" t="str">
        <f t="shared" si="256"/>
        <v>WEEKDAY</v>
      </c>
      <c r="F7115" t="e">
        <f t="shared" si="257"/>
        <v>#N/A</v>
      </c>
      <c r="G7115" s="74">
        <v>29517</v>
      </c>
      <c r="H7115" s="77">
        <v>0.70833333333333337</v>
      </c>
      <c r="J7115">
        <v>50.36</v>
      </c>
      <c r="M7115" s="74">
        <v>36456</v>
      </c>
      <c r="N7115" s="77">
        <v>0.70833333333333337</v>
      </c>
      <c r="P7115">
        <v>48.2</v>
      </c>
      <c r="S7115" s="74">
        <v>37187</v>
      </c>
      <c r="T7115" s="77">
        <v>0.70833333333333337</v>
      </c>
      <c r="V7115">
        <v>64.039999999999992</v>
      </c>
      <c r="X7115" s="42"/>
      <c r="AB7115">
        <v>59.1</v>
      </c>
      <c r="AC7115">
        <v>53.06</v>
      </c>
      <c r="AE7115" s="74"/>
      <c r="AF7115" s="77"/>
      <c r="AH7115" s="497">
        <v>44.6</v>
      </c>
      <c r="AJ7115" s="42"/>
      <c r="AK7115" s="74"/>
      <c r="AL7115" s="77"/>
      <c r="AN7115" s="497">
        <v>55.94</v>
      </c>
      <c r="AP7115" s="42"/>
      <c r="AQ7115" s="74"/>
      <c r="AR7115" s="77"/>
      <c r="AT7115" s="497">
        <v>57.92</v>
      </c>
      <c r="AV7115" s="42"/>
      <c r="AW7115" s="74"/>
      <c r="AX7115" s="77"/>
      <c r="BA7115" s="497">
        <v>55.94</v>
      </c>
      <c r="BB7115" s="42"/>
      <c r="BC7115" s="74"/>
      <c r="BD7115" s="77"/>
      <c r="BF7115">
        <v>39.92</v>
      </c>
      <c r="BH7115" s="42"/>
      <c r="BI7115" s="74"/>
      <c r="BJ7115" s="77"/>
      <c r="BL7115" s="497">
        <v>44.06</v>
      </c>
      <c r="BN7115" s="42"/>
      <c r="BO7115" s="74"/>
      <c r="BP7115" s="77"/>
      <c r="BR7115" s="497">
        <v>48.92</v>
      </c>
      <c r="BT7115" s="42"/>
    </row>
    <row r="7116" spans="1:72" x14ac:dyDescent="0.25">
      <c r="A7116" s="90">
        <v>37187</v>
      </c>
      <c r="B7116" s="20">
        <v>0.75</v>
      </c>
      <c r="D7116">
        <v>64.400000000000006</v>
      </c>
      <c r="E7116" t="str">
        <f t="shared" si="256"/>
        <v>WEEKDAY</v>
      </c>
      <c r="F7116" t="e">
        <f t="shared" si="257"/>
        <v>#N/A</v>
      </c>
      <c r="G7116" s="74">
        <v>29517</v>
      </c>
      <c r="H7116" s="77">
        <v>0.75</v>
      </c>
      <c r="J7116">
        <v>49.64</v>
      </c>
      <c r="M7116" s="74">
        <v>36456</v>
      </c>
      <c r="N7116" s="77">
        <v>0.75</v>
      </c>
      <c r="P7116">
        <v>45.86</v>
      </c>
      <c r="S7116" s="74">
        <v>37187</v>
      </c>
      <c r="T7116" s="77">
        <v>0.75</v>
      </c>
      <c r="V7116">
        <v>62.6</v>
      </c>
      <c r="X7116" s="42"/>
      <c r="AB7116">
        <v>57.6</v>
      </c>
      <c r="AC7116">
        <v>48.92</v>
      </c>
      <c r="AE7116" s="74"/>
      <c r="AF7116" s="77"/>
      <c r="AH7116" s="497">
        <v>42.8</v>
      </c>
      <c r="AJ7116" s="42"/>
      <c r="AK7116" s="74"/>
      <c r="AL7116" s="77"/>
      <c r="AN7116" s="497">
        <v>53.96</v>
      </c>
      <c r="AP7116" s="42"/>
      <c r="AQ7116" s="74"/>
      <c r="AR7116" s="77"/>
      <c r="AT7116" s="497">
        <v>57.019999999999996</v>
      </c>
      <c r="AV7116" s="42"/>
      <c r="AW7116" s="74"/>
      <c r="AX7116" s="77"/>
      <c r="BA7116" s="497">
        <v>55.040000000000006</v>
      </c>
      <c r="BB7116" s="42"/>
      <c r="BC7116" s="74"/>
      <c r="BD7116" s="77"/>
      <c r="BF7116">
        <v>39.92</v>
      </c>
      <c r="BH7116" s="42"/>
      <c r="BI7116" s="74"/>
      <c r="BJ7116" s="77"/>
      <c r="BL7116" s="497">
        <v>42.980000000000004</v>
      </c>
      <c r="BN7116" s="42"/>
      <c r="BO7116" s="74"/>
      <c r="BP7116" s="77"/>
      <c r="BR7116" s="497">
        <v>48.92</v>
      </c>
      <c r="BT7116" s="42"/>
    </row>
    <row r="7117" spans="1:72" x14ac:dyDescent="0.25">
      <c r="A7117" s="90">
        <v>37187</v>
      </c>
      <c r="B7117" s="20">
        <v>0.79166666666666663</v>
      </c>
      <c r="D7117">
        <v>64.039999999999992</v>
      </c>
      <c r="E7117" t="str">
        <f t="shared" si="256"/>
        <v>WEEKDAY</v>
      </c>
      <c r="F7117" t="e">
        <f t="shared" si="257"/>
        <v>#N/A</v>
      </c>
      <c r="G7117" s="74">
        <v>29517</v>
      </c>
      <c r="H7117" s="77">
        <v>0.79166666666666663</v>
      </c>
      <c r="J7117">
        <v>48.92</v>
      </c>
      <c r="M7117" s="74">
        <v>36456</v>
      </c>
      <c r="N7117" s="77">
        <v>0.79166666666666663</v>
      </c>
      <c r="P7117">
        <v>44.6</v>
      </c>
      <c r="S7117" s="74">
        <v>37187</v>
      </c>
      <c r="T7117" s="77">
        <v>0.79166666666666663</v>
      </c>
      <c r="V7117">
        <v>64.039999999999992</v>
      </c>
      <c r="X7117" s="42"/>
      <c r="AB7117">
        <v>56.6</v>
      </c>
      <c r="AC7117">
        <v>46.04</v>
      </c>
      <c r="AE7117" s="74"/>
      <c r="AF7117" s="77"/>
      <c r="AH7117" s="497">
        <v>37.4</v>
      </c>
      <c r="AJ7117" s="42"/>
      <c r="AK7117" s="74"/>
      <c r="AL7117" s="77"/>
      <c r="AN7117" s="497">
        <v>53.06</v>
      </c>
      <c r="AP7117" s="42"/>
      <c r="AQ7117" s="74"/>
      <c r="AR7117" s="77"/>
      <c r="AT7117" s="497">
        <v>55.94</v>
      </c>
      <c r="AV7117" s="42"/>
      <c r="AW7117" s="74"/>
      <c r="AX7117" s="77"/>
      <c r="BA7117" s="497">
        <v>50</v>
      </c>
      <c r="BB7117" s="42"/>
      <c r="BC7117" s="74"/>
      <c r="BD7117" s="77"/>
      <c r="BF7117">
        <v>39.019999999999996</v>
      </c>
      <c r="BH7117" s="42"/>
      <c r="BI7117" s="74"/>
      <c r="BJ7117" s="77"/>
      <c r="BL7117" s="497">
        <v>42.980000000000004</v>
      </c>
      <c r="BN7117" s="42"/>
      <c r="BO7117" s="74"/>
      <c r="BP7117" s="77"/>
      <c r="BR7117" s="497">
        <v>46.94</v>
      </c>
      <c r="BT7117" s="42"/>
    </row>
    <row r="7118" spans="1:72" x14ac:dyDescent="0.25">
      <c r="A7118" s="90">
        <v>37187</v>
      </c>
      <c r="B7118" s="20">
        <v>0.83333333333333337</v>
      </c>
      <c r="D7118">
        <v>64.400000000000006</v>
      </c>
      <c r="E7118" t="str">
        <f t="shared" si="256"/>
        <v>WEEKDAY</v>
      </c>
      <c r="F7118" t="e">
        <f t="shared" si="257"/>
        <v>#N/A</v>
      </c>
      <c r="G7118" s="74">
        <v>29517</v>
      </c>
      <c r="H7118" s="77">
        <v>0.83333333333333337</v>
      </c>
      <c r="J7118">
        <v>47.66</v>
      </c>
      <c r="M7118" s="74">
        <v>36456</v>
      </c>
      <c r="N7118" s="77">
        <v>0.83333333333333337</v>
      </c>
      <c r="P7118">
        <v>46.4</v>
      </c>
      <c r="S7118" s="74">
        <v>37187</v>
      </c>
      <c r="T7118" s="77">
        <v>0.83333333333333337</v>
      </c>
      <c r="V7118">
        <v>64.039999999999992</v>
      </c>
      <c r="X7118" s="42"/>
      <c r="AB7118">
        <v>56</v>
      </c>
      <c r="AC7118">
        <v>44.06</v>
      </c>
      <c r="AE7118" s="74"/>
      <c r="AF7118" s="77"/>
      <c r="AH7118" s="497">
        <v>37.4</v>
      </c>
      <c r="AJ7118" s="42"/>
      <c r="AK7118" s="74"/>
      <c r="AL7118" s="77"/>
      <c r="AN7118" s="497">
        <v>51.980000000000004</v>
      </c>
      <c r="AP7118" s="42"/>
      <c r="AQ7118" s="74"/>
      <c r="AR7118" s="77"/>
      <c r="AT7118" s="497">
        <v>55.040000000000006</v>
      </c>
      <c r="AV7118" s="42"/>
      <c r="AW7118" s="74"/>
      <c r="AX7118" s="77"/>
      <c r="BA7118" s="497">
        <v>48.019999999999996</v>
      </c>
      <c r="BB7118" s="42"/>
      <c r="BC7118" s="74"/>
      <c r="BD7118" s="77"/>
      <c r="BF7118">
        <v>37.94</v>
      </c>
      <c r="BH7118" s="42"/>
      <c r="BI7118" s="74"/>
      <c r="BJ7118" s="77"/>
      <c r="BL7118" s="497">
        <v>42.980000000000004</v>
      </c>
      <c r="BN7118" s="42"/>
      <c r="BO7118" s="74"/>
      <c r="BP7118" s="77"/>
      <c r="BR7118" s="497">
        <v>46.04</v>
      </c>
      <c r="BT7118" s="42"/>
    </row>
    <row r="7119" spans="1:72" x14ac:dyDescent="0.25">
      <c r="A7119" s="90">
        <v>37187</v>
      </c>
      <c r="B7119" s="20">
        <v>0.875</v>
      </c>
      <c r="D7119">
        <v>64.94</v>
      </c>
      <c r="E7119" t="str">
        <f t="shared" si="256"/>
        <v>WEEKDAY</v>
      </c>
      <c r="F7119" t="e">
        <f t="shared" si="257"/>
        <v>#N/A</v>
      </c>
      <c r="G7119" s="74">
        <v>29517</v>
      </c>
      <c r="H7119" s="77">
        <v>0.875</v>
      </c>
      <c r="J7119">
        <v>46.22</v>
      </c>
      <c r="M7119" s="74">
        <v>36456</v>
      </c>
      <c r="N7119" s="77">
        <v>0.875</v>
      </c>
      <c r="P7119">
        <v>44.6</v>
      </c>
      <c r="S7119" s="74">
        <v>37187</v>
      </c>
      <c r="T7119" s="77">
        <v>0.875</v>
      </c>
      <c r="V7119">
        <v>64.039999999999992</v>
      </c>
      <c r="X7119" s="42"/>
      <c r="AB7119">
        <v>55.3</v>
      </c>
      <c r="AC7119">
        <v>42.980000000000004</v>
      </c>
      <c r="AE7119" s="74"/>
      <c r="AF7119" s="77"/>
      <c r="AH7119" s="497">
        <v>37.4</v>
      </c>
      <c r="AJ7119" s="42"/>
      <c r="AK7119" s="74"/>
      <c r="AL7119" s="77"/>
      <c r="AN7119" s="497">
        <v>50</v>
      </c>
      <c r="AP7119" s="42"/>
      <c r="AQ7119" s="74"/>
      <c r="AR7119" s="77"/>
      <c r="AT7119" s="497">
        <v>51.980000000000004</v>
      </c>
      <c r="AV7119" s="42"/>
      <c r="AW7119" s="74"/>
      <c r="AX7119" s="77"/>
      <c r="BA7119" s="497">
        <v>46.94</v>
      </c>
      <c r="BB7119" s="42"/>
      <c r="BC7119" s="74"/>
      <c r="BD7119" s="77"/>
      <c r="BF7119">
        <v>37.94</v>
      </c>
      <c r="BH7119" s="42"/>
      <c r="BI7119" s="74"/>
      <c r="BJ7119" s="77"/>
      <c r="BL7119" s="497">
        <v>42.08</v>
      </c>
      <c r="BN7119" s="42"/>
      <c r="BO7119" s="74"/>
      <c r="BP7119" s="77"/>
      <c r="BR7119" s="497">
        <v>44.96</v>
      </c>
      <c r="BT7119" s="42"/>
    </row>
    <row r="7120" spans="1:72" x14ac:dyDescent="0.25">
      <c r="A7120" s="90">
        <v>37187</v>
      </c>
      <c r="B7120" s="20">
        <v>0.91666666666666663</v>
      </c>
      <c r="D7120">
        <v>66.02</v>
      </c>
      <c r="E7120" t="str">
        <f t="shared" si="256"/>
        <v>WEEKDAY</v>
      </c>
      <c r="F7120" t="e">
        <f t="shared" si="257"/>
        <v>#N/A</v>
      </c>
      <c r="G7120" s="74">
        <v>29517</v>
      </c>
      <c r="H7120" s="77">
        <v>0.91666666666666663</v>
      </c>
      <c r="J7120">
        <v>44.96</v>
      </c>
      <c r="M7120" s="74">
        <v>36456</v>
      </c>
      <c r="N7120" s="77">
        <v>0.91666666666666663</v>
      </c>
      <c r="P7120">
        <v>44.6</v>
      </c>
      <c r="S7120" s="74">
        <v>37187</v>
      </c>
      <c r="T7120" s="77">
        <v>0.91666666666666663</v>
      </c>
      <c r="V7120">
        <v>64.039999999999992</v>
      </c>
      <c r="X7120" s="42"/>
      <c r="AB7120">
        <v>54.6</v>
      </c>
      <c r="AC7120">
        <v>41</v>
      </c>
      <c r="AE7120" s="74"/>
      <c r="AF7120" s="77"/>
      <c r="AH7120" s="497">
        <v>33.799999999999997</v>
      </c>
      <c r="AJ7120" s="42"/>
      <c r="AK7120" s="74"/>
      <c r="AL7120" s="77"/>
      <c r="AN7120" s="497">
        <v>48.019999999999996</v>
      </c>
      <c r="AP7120" s="42"/>
      <c r="AQ7120" s="74"/>
      <c r="AR7120" s="77"/>
      <c r="AT7120" s="497">
        <v>50</v>
      </c>
      <c r="AV7120" s="42"/>
      <c r="AW7120" s="74"/>
      <c r="AX7120" s="77"/>
      <c r="BA7120" s="497">
        <v>42.980000000000004</v>
      </c>
      <c r="BB7120" s="42"/>
      <c r="BC7120" s="74"/>
      <c r="BD7120" s="77"/>
      <c r="BF7120">
        <v>37.04</v>
      </c>
      <c r="BH7120" s="42"/>
      <c r="BI7120" s="74"/>
      <c r="BJ7120" s="77"/>
      <c r="BL7120" s="497">
        <v>42.08</v>
      </c>
      <c r="BN7120" s="42"/>
      <c r="BO7120" s="74"/>
      <c r="BP7120" s="77"/>
      <c r="BR7120" s="497">
        <v>44.06</v>
      </c>
      <c r="BT7120" s="42"/>
    </row>
    <row r="7121" spans="1:72" x14ac:dyDescent="0.25">
      <c r="A7121" s="90">
        <v>37187</v>
      </c>
      <c r="B7121" s="20">
        <v>0.95833333333333337</v>
      </c>
      <c r="D7121">
        <v>66.02</v>
      </c>
      <c r="E7121" t="str">
        <f t="shared" si="256"/>
        <v>WEEKDAY</v>
      </c>
      <c r="F7121" t="e">
        <f t="shared" si="257"/>
        <v>#N/A</v>
      </c>
      <c r="G7121" s="74">
        <v>29517</v>
      </c>
      <c r="H7121" s="77">
        <v>0.95833333333333337</v>
      </c>
      <c r="J7121">
        <v>44.6</v>
      </c>
      <c r="M7121" s="74">
        <v>36456</v>
      </c>
      <c r="N7121" s="77">
        <v>0.95833333333333337</v>
      </c>
      <c r="P7121">
        <v>42.8</v>
      </c>
      <c r="S7121" s="74">
        <v>37187</v>
      </c>
      <c r="T7121" s="77">
        <v>0.95833333333333337</v>
      </c>
      <c r="V7121">
        <v>62.96</v>
      </c>
      <c r="X7121" s="42"/>
      <c r="AB7121">
        <v>54</v>
      </c>
      <c r="AC7121">
        <v>39.92</v>
      </c>
      <c r="AE7121" s="74"/>
      <c r="AF7121" s="77"/>
      <c r="AH7121" s="497">
        <v>30.2</v>
      </c>
      <c r="AJ7121" s="42"/>
      <c r="AK7121" s="74"/>
      <c r="AL7121" s="77"/>
      <c r="AN7121" s="497">
        <v>48.019999999999996</v>
      </c>
      <c r="AP7121" s="42"/>
      <c r="AQ7121" s="74"/>
      <c r="AR7121" s="77"/>
      <c r="AT7121" s="497">
        <v>48.019999999999996</v>
      </c>
      <c r="AV7121" s="42"/>
      <c r="AW7121" s="74"/>
      <c r="AX7121" s="77"/>
      <c r="BA7121" s="497">
        <v>41</v>
      </c>
      <c r="BB7121" s="42"/>
      <c r="BC7121" s="74"/>
      <c r="BD7121" s="77"/>
      <c r="BF7121">
        <v>37.04</v>
      </c>
      <c r="BH7121" s="42"/>
      <c r="BI7121" s="74"/>
      <c r="BJ7121" s="77"/>
      <c r="BL7121" s="497">
        <v>42.08</v>
      </c>
      <c r="BN7121" s="42"/>
      <c r="BO7121" s="74"/>
      <c r="BP7121" s="77"/>
      <c r="BR7121" s="497">
        <v>42.08</v>
      </c>
      <c r="BT7121" s="42"/>
    </row>
    <row r="7122" spans="1:72" x14ac:dyDescent="0.25">
      <c r="A7122" s="90">
        <v>37187</v>
      </c>
      <c r="B7122" s="20">
        <v>1</v>
      </c>
      <c r="D7122">
        <v>64.94</v>
      </c>
      <c r="E7122" t="str">
        <f t="shared" si="256"/>
        <v>WEEKDAY</v>
      </c>
      <c r="F7122" t="e">
        <f t="shared" si="257"/>
        <v>#N/A</v>
      </c>
      <c r="G7122" s="74">
        <v>29517</v>
      </c>
      <c r="H7122" s="77">
        <v>1</v>
      </c>
      <c r="J7122">
        <v>44.42</v>
      </c>
      <c r="M7122" s="74">
        <v>36456</v>
      </c>
      <c r="N7122" s="80">
        <v>1</v>
      </c>
      <c r="P7122">
        <v>42.8</v>
      </c>
      <c r="S7122" s="74">
        <v>37187</v>
      </c>
      <c r="T7122" s="80">
        <v>1</v>
      </c>
      <c r="V7122">
        <v>62.06</v>
      </c>
      <c r="X7122" s="42"/>
      <c r="AB7122">
        <v>53.3</v>
      </c>
      <c r="AC7122">
        <v>39.019999999999996</v>
      </c>
      <c r="AE7122" s="74"/>
      <c r="AF7122" s="80"/>
      <c r="AH7122" s="497">
        <v>28.4</v>
      </c>
      <c r="AJ7122" s="42"/>
      <c r="AK7122" s="74"/>
      <c r="AL7122" s="80"/>
      <c r="AN7122" s="497">
        <v>44.96</v>
      </c>
      <c r="AP7122" s="42"/>
      <c r="AQ7122" s="74"/>
      <c r="AR7122" s="80"/>
      <c r="AT7122" s="497">
        <v>46.94</v>
      </c>
      <c r="AV7122" s="42"/>
      <c r="AW7122" s="74"/>
      <c r="AX7122" s="80"/>
      <c r="BA7122" s="497">
        <v>42.08</v>
      </c>
      <c r="BB7122" s="42"/>
      <c r="BC7122" s="74"/>
      <c r="BD7122" s="80"/>
      <c r="BF7122">
        <v>37.04</v>
      </c>
      <c r="BH7122" s="42"/>
      <c r="BI7122" s="74"/>
      <c r="BJ7122" s="80"/>
      <c r="BL7122" s="497">
        <v>42.08</v>
      </c>
      <c r="BN7122" s="42"/>
      <c r="BO7122" s="74"/>
      <c r="BP7122" s="80"/>
      <c r="BR7122" s="497">
        <v>41</v>
      </c>
      <c r="BT7122" s="42"/>
    </row>
    <row r="7123" spans="1:72" x14ac:dyDescent="0.25">
      <c r="A7123" s="90">
        <v>37188</v>
      </c>
      <c r="B7123" s="20">
        <v>4.1666666666666664E-2</v>
      </c>
      <c r="D7123">
        <v>64.039999999999992</v>
      </c>
      <c r="E7123" t="str">
        <f t="shared" ref="E7123:E7186" si="258">IF(COUNTIF($DI$18:$DI$22, WEEKDAY(A7123))=1, "WEEKDAY", IF(WEEKDAY(A7123) = 1, "SUNDAY", "SATURDAY"))</f>
        <v>WEEKDAY</v>
      </c>
      <c r="F7123" t="e">
        <f t="shared" si="257"/>
        <v>#N/A</v>
      </c>
      <c r="G7123" s="74">
        <v>29518</v>
      </c>
      <c r="H7123" s="77">
        <v>4.1666666666666664E-2</v>
      </c>
      <c r="J7123">
        <v>44.06</v>
      </c>
      <c r="M7123" s="74">
        <v>36457</v>
      </c>
      <c r="N7123" s="77">
        <v>4.1666666666666664E-2</v>
      </c>
      <c r="P7123">
        <v>42.08</v>
      </c>
      <c r="S7123" s="74">
        <v>37188</v>
      </c>
      <c r="T7123" s="77">
        <v>4.1666666666666664E-2</v>
      </c>
      <c r="V7123">
        <v>62.96</v>
      </c>
      <c r="X7123" s="42"/>
      <c r="AB7123">
        <v>52.7</v>
      </c>
      <c r="AC7123">
        <v>39.92</v>
      </c>
      <c r="AE7123" s="74"/>
      <c r="AF7123" s="77"/>
      <c r="AH7123" s="497">
        <v>28.4</v>
      </c>
      <c r="AJ7123" s="42"/>
      <c r="AK7123" s="74"/>
      <c r="AL7123" s="77"/>
      <c r="AN7123" s="497">
        <v>42.980000000000004</v>
      </c>
      <c r="AP7123" s="42"/>
      <c r="AQ7123" s="74"/>
      <c r="AR7123" s="77"/>
      <c r="AT7123" s="497">
        <v>44.06</v>
      </c>
      <c r="AV7123" s="42"/>
      <c r="AW7123" s="74"/>
      <c r="AX7123" s="77"/>
      <c r="BA7123" s="497">
        <v>39.92</v>
      </c>
      <c r="BB7123" s="42"/>
      <c r="BC7123" s="74"/>
      <c r="BD7123" s="77"/>
      <c r="BF7123">
        <v>37.04</v>
      </c>
      <c r="BH7123" s="42"/>
      <c r="BI7123" s="74"/>
      <c r="BJ7123" s="77"/>
      <c r="BL7123" s="497">
        <v>41</v>
      </c>
      <c r="BN7123" s="42"/>
      <c r="BO7123" s="74"/>
      <c r="BP7123" s="77"/>
      <c r="BR7123" s="497">
        <v>41</v>
      </c>
      <c r="BT7123" s="42"/>
    </row>
    <row r="7124" spans="1:72" x14ac:dyDescent="0.25">
      <c r="A7124" s="90">
        <v>37188</v>
      </c>
      <c r="B7124" s="20">
        <v>8.3333333333333329E-2</v>
      </c>
      <c r="D7124">
        <v>64.039999999999992</v>
      </c>
      <c r="E7124" t="str">
        <f t="shared" si="258"/>
        <v>WEEKDAY</v>
      </c>
      <c r="F7124" t="e">
        <f t="shared" si="257"/>
        <v>#N/A</v>
      </c>
      <c r="G7124" s="74">
        <v>29518</v>
      </c>
      <c r="H7124" s="77">
        <v>8.3333333333333329E-2</v>
      </c>
      <c r="J7124">
        <v>42.980000000000004</v>
      </c>
      <c r="M7124" s="74">
        <v>36457</v>
      </c>
      <c r="N7124" s="77">
        <v>8.3333333333333329E-2</v>
      </c>
      <c r="P7124">
        <v>41.54</v>
      </c>
      <c r="S7124" s="74">
        <v>37188</v>
      </c>
      <c r="T7124" s="77">
        <v>8.3333333333333329E-2</v>
      </c>
      <c r="V7124">
        <v>62.06</v>
      </c>
      <c r="X7124" s="42"/>
      <c r="AB7124">
        <v>52.1</v>
      </c>
      <c r="AC7124">
        <v>39.92</v>
      </c>
      <c r="AE7124" s="74"/>
      <c r="AF7124" s="77"/>
      <c r="AH7124" s="497">
        <v>26.6</v>
      </c>
      <c r="AJ7124" s="42"/>
      <c r="AK7124" s="74"/>
      <c r="AL7124" s="77"/>
      <c r="AN7124" s="497">
        <v>42.980000000000004</v>
      </c>
      <c r="AP7124" s="42"/>
      <c r="AQ7124" s="74"/>
      <c r="AR7124" s="77"/>
      <c r="AT7124" s="497">
        <v>42.980000000000004</v>
      </c>
      <c r="AV7124" s="42"/>
      <c r="AW7124" s="74"/>
      <c r="AX7124" s="77"/>
      <c r="BA7124" s="497">
        <v>39.019999999999996</v>
      </c>
      <c r="BB7124" s="42"/>
      <c r="BC7124" s="74"/>
      <c r="BD7124" s="77"/>
      <c r="BF7124">
        <v>35.06</v>
      </c>
      <c r="BH7124" s="42"/>
      <c r="BI7124" s="74"/>
      <c r="BJ7124" s="77"/>
      <c r="BL7124" s="497">
        <v>39.92</v>
      </c>
      <c r="BN7124" s="42"/>
      <c r="BO7124" s="74"/>
      <c r="BP7124" s="77"/>
      <c r="BR7124" s="497">
        <v>39.92</v>
      </c>
      <c r="BT7124" s="42"/>
    </row>
    <row r="7125" spans="1:72" x14ac:dyDescent="0.25">
      <c r="A7125" s="90">
        <v>37188</v>
      </c>
      <c r="B7125" s="20">
        <v>0.125</v>
      </c>
      <c r="D7125">
        <v>64.94</v>
      </c>
      <c r="E7125" t="str">
        <f t="shared" si="258"/>
        <v>WEEKDAY</v>
      </c>
      <c r="F7125" t="e">
        <f t="shared" si="257"/>
        <v>#N/A</v>
      </c>
      <c r="G7125" s="74">
        <v>29518</v>
      </c>
      <c r="H7125" s="77">
        <v>0.125</v>
      </c>
      <c r="J7125">
        <v>42.08</v>
      </c>
      <c r="M7125" s="74">
        <v>36457</v>
      </c>
      <c r="N7125" s="77">
        <v>0.125</v>
      </c>
      <c r="P7125">
        <v>41</v>
      </c>
      <c r="S7125" s="74">
        <v>37188</v>
      </c>
      <c r="T7125" s="77">
        <v>0.125</v>
      </c>
      <c r="V7125">
        <v>60.980000000000004</v>
      </c>
      <c r="X7125" s="42"/>
      <c r="AB7125">
        <v>51.5</v>
      </c>
      <c r="AC7125">
        <v>41</v>
      </c>
      <c r="AE7125" s="74"/>
      <c r="AF7125" s="77"/>
      <c r="AH7125" s="497">
        <v>26.6</v>
      </c>
      <c r="AJ7125" s="42"/>
      <c r="AK7125" s="74"/>
      <c r="AL7125" s="77"/>
      <c r="AN7125" s="497">
        <v>42.08</v>
      </c>
      <c r="AP7125" s="42"/>
      <c r="AQ7125" s="74"/>
      <c r="AR7125" s="77"/>
      <c r="AT7125" s="497">
        <v>42.980000000000004</v>
      </c>
      <c r="AV7125" s="42"/>
      <c r="AW7125" s="74"/>
      <c r="AX7125" s="77"/>
      <c r="BA7125" s="497">
        <v>41</v>
      </c>
      <c r="BB7125" s="42"/>
      <c r="BC7125" s="74"/>
      <c r="BD7125" s="77"/>
      <c r="BF7125">
        <v>33.08</v>
      </c>
      <c r="BH7125" s="42"/>
      <c r="BI7125" s="74"/>
      <c r="BJ7125" s="77"/>
      <c r="BL7125" s="497">
        <v>39.019999999999996</v>
      </c>
      <c r="BN7125" s="42"/>
      <c r="BO7125" s="74"/>
      <c r="BP7125" s="77"/>
      <c r="BR7125" s="497">
        <v>39.019999999999996</v>
      </c>
      <c r="BT7125" s="42"/>
    </row>
    <row r="7126" spans="1:72" x14ac:dyDescent="0.25">
      <c r="A7126" s="90">
        <v>37188</v>
      </c>
      <c r="B7126" s="20">
        <v>0.16666666666666666</v>
      </c>
      <c r="D7126">
        <v>66.02</v>
      </c>
      <c r="E7126" t="str">
        <f t="shared" si="258"/>
        <v>WEEKDAY</v>
      </c>
      <c r="F7126" t="e">
        <f t="shared" si="257"/>
        <v>#N/A</v>
      </c>
      <c r="G7126" s="74">
        <v>29518</v>
      </c>
      <c r="H7126" s="77">
        <v>0.16666666666666666</v>
      </c>
      <c r="J7126">
        <v>41</v>
      </c>
      <c r="M7126" s="74">
        <v>36457</v>
      </c>
      <c r="N7126" s="77">
        <v>0.16666666666666666</v>
      </c>
      <c r="P7126">
        <v>41</v>
      </c>
      <c r="S7126" s="74">
        <v>37188</v>
      </c>
      <c r="T7126" s="77">
        <v>0.16666666666666666</v>
      </c>
      <c r="V7126">
        <v>60.08</v>
      </c>
      <c r="X7126" s="42"/>
      <c r="AB7126">
        <v>51.1</v>
      </c>
      <c r="AC7126">
        <v>42.08</v>
      </c>
      <c r="AE7126" s="74"/>
      <c r="AF7126" s="77"/>
      <c r="AH7126" s="497">
        <v>24.8</v>
      </c>
      <c r="AJ7126" s="42"/>
      <c r="AK7126" s="74"/>
      <c r="AL7126" s="77"/>
      <c r="AN7126" s="497">
        <v>39.019999999999996</v>
      </c>
      <c r="AP7126" s="42"/>
      <c r="AQ7126" s="74"/>
      <c r="AR7126" s="77"/>
      <c r="AT7126" s="497">
        <v>42.08</v>
      </c>
      <c r="AV7126" s="42"/>
      <c r="AW7126" s="74"/>
      <c r="AX7126" s="77"/>
      <c r="BA7126" s="497">
        <v>37.94</v>
      </c>
      <c r="BB7126" s="42"/>
      <c r="BC7126" s="74"/>
      <c r="BD7126" s="77"/>
      <c r="BF7126">
        <v>32</v>
      </c>
      <c r="BH7126" s="42"/>
      <c r="BI7126" s="74"/>
      <c r="BJ7126" s="77"/>
      <c r="BL7126" s="497">
        <v>37.04</v>
      </c>
      <c r="BN7126" s="42"/>
      <c r="BO7126" s="74"/>
      <c r="BP7126" s="77"/>
      <c r="BR7126" s="497">
        <v>37.94</v>
      </c>
      <c r="BT7126" s="42"/>
    </row>
    <row r="7127" spans="1:72" x14ac:dyDescent="0.25">
      <c r="A7127" s="90">
        <v>37188</v>
      </c>
      <c r="B7127" s="20">
        <v>0.20833333333333334</v>
      </c>
      <c r="D7127">
        <v>64.94</v>
      </c>
      <c r="E7127" t="str">
        <f t="shared" si="258"/>
        <v>WEEKDAY</v>
      </c>
      <c r="F7127" t="e">
        <f t="shared" si="257"/>
        <v>#N/A</v>
      </c>
      <c r="G7127" s="74">
        <v>29518</v>
      </c>
      <c r="H7127" s="77">
        <v>0.20833333333333334</v>
      </c>
      <c r="J7127">
        <v>40.64</v>
      </c>
      <c r="M7127" s="74">
        <v>36457</v>
      </c>
      <c r="N7127" s="77">
        <v>0.20833333333333334</v>
      </c>
      <c r="P7127">
        <v>42.8</v>
      </c>
      <c r="S7127" s="74">
        <v>37188</v>
      </c>
      <c r="T7127" s="77">
        <v>0.20833333333333334</v>
      </c>
      <c r="V7127">
        <v>60.08</v>
      </c>
      <c r="X7127" s="42"/>
      <c r="AB7127">
        <v>50.7</v>
      </c>
      <c r="AC7127">
        <v>42.08</v>
      </c>
      <c r="AE7127" s="74"/>
      <c r="AF7127" s="77"/>
      <c r="AH7127" s="497">
        <v>24.8</v>
      </c>
      <c r="AJ7127" s="42"/>
      <c r="AK7127" s="74"/>
      <c r="AL7127" s="77"/>
      <c r="AN7127" s="497">
        <v>39.019999999999996</v>
      </c>
      <c r="AP7127" s="42"/>
      <c r="AQ7127" s="74"/>
      <c r="AR7127" s="77"/>
      <c r="AT7127" s="497">
        <v>39.019999999999996</v>
      </c>
      <c r="AV7127" s="42"/>
      <c r="AW7127" s="74"/>
      <c r="AX7127" s="77"/>
      <c r="BA7127" s="497">
        <v>35.96</v>
      </c>
      <c r="BB7127" s="42"/>
      <c r="BC7127" s="74"/>
      <c r="BD7127" s="77"/>
      <c r="BF7127">
        <v>33.08</v>
      </c>
      <c r="BH7127" s="42"/>
      <c r="BI7127" s="74"/>
      <c r="BJ7127" s="77"/>
      <c r="BL7127" s="497">
        <v>35.96</v>
      </c>
      <c r="BN7127" s="42"/>
      <c r="BO7127" s="74"/>
      <c r="BP7127" s="77"/>
      <c r="BR7127" s="497">
        <v>37.04</v>
      </c>
      <c r="BT7127" s="42"/>
    </row>
    <row r="7128" spans="1:72" x14ac:dyDescent="0.25">
      <c r="A7128" s="90">
        <v>37188</v>
      </c>
      <c r="B7128" s="20">
        <v>0.25</v>
      </c>
      <c r="D7128">
        <v>64.039999999999992</v>
      </c>
      <c r="E7128" t="str">
        <f t="shared" si="258"/>
        <v>WEEKDAY</v>
      </c>
      <c r="F7128" t="e">
        <f t="shared" si="257"/>
        <v>#N/A</v>
      </c>
      <c r="G7128" s="74">
        <v>29518</v>
      </c>
      <c r="H7128" s="77">
        <v>0.25</v>
      </c>
      <c r="J7128">
        <v>40.28</v>
      </c>
      <c r="M7128" s="74">
        <v>36457</v>
      </c>
      <c r="N7128" s="77">
        <v>0.25</v>
      </c>
      <c r="P7128">
        <v>42.8</v>
      </c>
      <c r="S7128" s="74">
        <v>37188</v>
      </c>
      <c r="T7128" s="77">
        <v>0.25</v>
      </c>
      <c r="V7128">
        <v>59</v>
      </c>
      <c r="X7128" s="42"/>
      <c r="AB7128">
        <v>50.5</v>
      </c>
      <c r="AC7128">
        <v>42.980000000000004</v>
      </c>
      <c r="AE7128" s="74"/>
      <c r="AF7128" s="77"/>
      <c r="AH7128" s="497">
        <v>24.8</v>
      </c>
      <c r="AJ7128" s="42"/>
      <c r="AK7128" s="74"/>
      <c r="AL7128" s="77"/>
      <c r="AN7128" s="497">
        <v>37.94</v>
      </c>
      <c r="AP7128" s="42"/>
      <c r="AQ7128" s="74"/>
      <c r="AR7128" s="77"/>
      <c r="AT7128" s="497">
        <v>37.04</v>
      </c>
      <c r="AV7128" s="42"/>
      <c r="AW7128" s="74"/>
      <c r="AX7128" s="77"/>
      <c r="BA7128" s="497">
        <v>37.04</v>
      </c>
      <c r="BB7128" s="42"/>
      <c r="BC7128" s="74"/>
      <c r="BD7128" s="77"/>
      <c r="BF7128">
        <v>35.06</v>
      </c>
      <c r="BH7128" s="42"/>
      <c r="BI7128" s="74"/>
      <c r="BJ7128" s="77"/>
      <c r="BL7128" s="497">
        <v>32</v>
      </c>
      <c r="BN7128" s="42"/>
      <c r="BO7128" s="74"/>
      <c r="BP7128" s="77"/>
      <c r="BR7128" s="497">
        <v>35.96</v>
      </c>
      <c r="BT7128" s="42"/>
    </row>
    <row r="7129" spans="1:72" x14ac:dyDescent="0.25">
      <c r="A7129" s="90">
        <v>37188</v>
      </c>
      <c r="B7129" s="20">
        <v>0.29166666666666669</v>
      </c>
      <c r="D7129">
        <v>64.039999999999992</v>
      </c>
      <c r="E7129" t="str">
        <f t="shared" si="258"/>
        <v>WEEKDAY</v>
      </c>
      <c r="F7129" t="e">
        <f t="shared" si="257"/>
        <v>#N/A</v>
      </c>
      <c r="G7129" s="74">
        <v>29518</v>
      </c>
      <c r="H7129" s="77">
        <v>0.29166666666666669</v>
      </c>
      <c r="J7129">
        <v>39.92</v>
      </c>
      <c r="M7129" s="74">
        <v>36457</v>
      </c>
      <c r="N7129" s="77">
        <v>0.29166666666666669</v>
      </c>
      <c r="P7129">
        <v>42.8</v>
      </c>
      <c r="S7129" s="74">
        <v>37188</v>
      </c>
      <c r="T7129" s="77">
        <v>0.29166666666666669</v>
      </c>
      <c r="V7129">
        <v>62.06</v>
      </c>
      <c r="X7129" s="42"/>
      <c r="AB7129">
        <v>50.3</v>
      </c>
      <c r="AC7129">
        <v>48.019999999999996</v>
      </c>
      <c r="AE7129" s="74"/>
      <c r="AF7129" s="77"/>
      <c r="AH7129" s="497">
        <v>24.8</v>
      </c>
      <c r="AJ7129" s="42"/>
      <c r="AK7129" s="74"/>
      <c r="AL7129" s="77"/>
      <c r="AN7129" s="497">
        <v>39.019999999999996</v>
      </c>
      <c r="AP7129" s="42"/>
      <c r="AQ7129" s="74"/>
      <c r="AR7129" s="77"/>
      <c r="AT7129" s="497">
        <v>39.019999999999996</v>
      </c>
      <c r="AV7129" s="42"/>
      <c r="AW7129" s="74"/>
      <c r="AX7129" s="77"/>
      <c r="BA7129" s="497">
        <v>35.06</v>
      </c>
      <c r="BB7129" s="42"/>
      <c r="BC7129" s="74"/>
      <c r="BD7129" s="77"/>
      <c r="BF7129">
        <v>35.06</v>
      </c>
      <c r="BH7129" s="42"/>
      <c r="BI7129" s="74"/>
      <c r="BJ7129" s="77"/>
      <c r="BL7129" s="497">
        <v>30.92</v>
      </c>
      <c r="BN7129" s="42"/>
      <c r="BO7129" s="74"/>
      <c r="BP7129" s="77"/>
      <c r="BR7129" s="497">
        <v>35.06</v>
      </c>
      <c r="BT7129" s="42"/>
    </row>
    <row r="7130" spans="1:72" x14ac:dyDescent="0.25">
      <c r="A7130" s="90">
        <v>37188</v>
      </c>
      <c r="B7130" s="20">
        <v>0.33333333333333331</v>
      </c>
      <c r="D7130">
        <v>66.02</v>
      </c>
      <c r="E7130" t="str">
        <f t="shared" si="258"/>
        <v>WEEKDAY</v>
      </c>
      <c r="F7130" t="e">
        <f t="shared" si="257"/>
        <v>#N/A</v>
      </c>
      <c r="G7130" s="74">
        <v>29518</v>
      </c>
      <c r="H7130" s="77">
        <v>0.33333333333333331</v>
      </c>
      <c r="J7130">
        <v>41.54</v>
      </c>
      <c r="M7130" s="74">
        <v>36457</v>
      </c>
      <c r="N7130" s="77">
        <v>0.33333333333333331</v>
      </c>
      <c r="P7130">
        <v>46.4</v>
      </c>
      <c r="S7130" s="74">
        <v>37188</v>
      </c>
      <c r="T7130" s="77">
        <v>0.33333333333333331</v>
      </c>
      <c r="V7130">
        <v>64.039999999999992</v>
      </c>
      <c r="X7130" s="42"/>
      <c r="AB7130">
        <v>50.8</v>
      </c>
      <c r="AC7130">
        <v>51.980000000000004</v>
      </c>
      <c r="AE7130" s="74"/>
      <c r="AF7130" s="77"/>
      <c r="AH7130" s="497">
        <v>28.4</v>
      </c>
      <c r="AJ7130" s="42"/>
      <c r="AK7130" s="74"/>
      <c r="AL7130" s="77"/>
      <c r="AN7130" s="497">
        <v>39.92</v>
      </c>
      <c r="AP7130" s="42"/>
      <c r="AQ7130" s="74"/>
      <c r="AR7130" s="77"/>
      <c r="AT7130" s="497">
        <v>44.96</v>
      </c>
      <c r="AV7130" s="42"/>
      <c r="AW7130" s="74"/>
      <c r="AX7130" s="77"/>
      <c r="BA7130" s="497">
        <v>41</v>
      </c>
      <c r="BB7130" s="42"/>
      <c r="BC7130" s="74"/>
      <c r="BD7130" s="77"/>
      <c r="BF7130">
        <v>35.96</v>
      </c>
      <c r="BH7130" s="42"/>
      <c r="BI7130" s="74"/>
      <c r="BJ7130" s="77"/>
      <c r="BL7130" s="497">
        <v>35.96</v>
      </c>
      <c r="BN7130" s="42"/>
      <c r="BO7130" s="74"/>
      <c r="BP7130" s="77"/>
      <c r="BR7130" s="497">
        <v>37.04</v>
      </c>
      <c r="BT7130" s="42"/>
    </row>
    <row r="7131" spans="1:72" x14ac:dyDescent="0.25">
      <c r="A7131" s="90">
        <v>37188</v>
      </c>
      <c r="B7131" s="20">
        <v>0.375</v>
      </c>
      <c r="D7131">
        <v>69.080000000000013</v>
      </c>
      <c r="E7131" t="str">
        <f t="shared" si="258"/>
        <v>WEEKDAY</v>
      </c>
      <c r="F7131" t="e">
        <f t="shared" si="257"/>
        <v>#N/A</v>
      </c>
      <c r="G7131" s="74">
        <v>29518</v>
      </c>
      <c r="H7131" s="77">
        <v>0.375</v>
      </c>
      <c r="J7131">
        <v>43.34</v>
      </c>
      <c r="M7131" s="74">
        <v>36457</v>
      </c>
      <c r="N7131" s="77">
        <v>0.375</v>
      </c>
      <c r="P7131">
        <v>50</v>
      </c>
      <c r="S7131" s="74">
        <v>37188</v>
      </c>
      <c r="T7131" s="77">
        <v>0.375</v>
      </c>
      <c r="V7131">
        <v>66.92</v>
      </c>
      <c r="X7131" s="42"/>
      <c r="AB7131">
        <v>52.9</v>
      </c>
      <c r="AC7131">
        <v>55.94</v>
      </c>
      <c r="AE7131" s="74"/>
      <c r="AF7131" s="77"/>
      <c r="AH7131" s="497">
        <v>35.6</v>
      </c>
      <c r="AJ7131" s="42"/>
      <c r="AK7131" s="74"/>
      <c r="AL7131" s="77"/>
      <c r="AN7131" s="497">
        <v>42.980000000000004</v>
      </c>
      <c r="AP7131" s="42"/>
      <c r="AQ7131" s="74"/>
      <c r="AR7131" s="77"/>
      <c r="AT7131" s="497">
        <v>48.019999999999996</v>
      </c>
      <c r="AV7131" s="42"/>
      <c r="AW7131" s="74"/>
      <c r="AX7131" s="77"/>
      <c r="BA7131" s="497">
        <v>44.96</v>
      </c>
      <c r="BB7131" s="42"/>
      <c r="BC7131" s="74"/>
      <c r="BD7131" s="77"/>
      <c r="BF7131">
        <v>37.04</v>
      </c>
      <c r="BH7131" s="42"/>
      <c r="BI7131" s="74"/>
      <c r="BJ7131" s="77"/>
      <c r="BL7131" s="497">
        <v>39.019999999999996</v>
      </c>
      <c r="BN7131" s="42"/>
      <c r="BO7131" s="74"/>
      <c r="BP7131" s="77"/>
      <c r="BR7131" s="497">
        <v>39.019999999999996</v>
      </c>
      <c r="BT7131" s="42"/>
    </row>
    <row r="7132" spans="1:72" x14ac:dyDescent="0.25">
      <c r="A7132" s="90">
        <v>37188</v>
      </c>
      <c r="B7132" s="20">
        <v>0.41666666666666669</v>
      </c>
      <c r="D7132">
        <v>71.06</v>
      </c>
      <c r="E7132" t="str">
        <f t="shared" si="258"/>
        <v>WEEKDAY</v>
      </c>
      <c r="F7132" t="e">
        <f t="shared" si="257"/>
        <v>#N/A</v>
      </c>
      <c r="G7132" s="74">
        <v>29518</v>
      </c>
      <c r="H7132" s="77">
        <v>0.41666666666666669</v>
      </c>
      <c r="J7132">
        <v>44.96</v>
      </c>
      <c r="M7132" s="74">
        <v>36457</v>
      </c>
      <c r="N7132" s="77">
        <v>0.41666666666666669</v>
      </c>
      <c r="P7132">
        <v>51.980000000000004</v>
      </c>
      <c r="S7132" s="74">
        <v>37188</v>
      </c>
      <c r="T7132" s="77">
        <v>0.41666666666666669</v>
      </c>
      <c r="V7132">
        <v>68</v>
      </c>
      <c r="X7132" s="42"/>
      <c r="AB7132">
        <v>54.9</v>
      </c>
      <c r="AC7132">
        <v>59</v>
      </c>
      <c r="AE7132" s="74"/>
      <c r="AF7132" s="77"/>
      <c r="AH7132" s="497">
        <v>39.200000000000003</v>
      </c>
      <c r="AJ7132" s="42"/>
      <c r="AK7132" s="74"/>
      <c r="AL7132" s="77"/>
      <c r="AN7132" s="497">
        <v>46.04</v>
      </c>
      <c r="AP7132" s="42"/>
      <c r="AQ7132" s="74"/>
      <c r="AR7132" s="77"/>
      <c r="AT7132" s="497">
        <v>50</v>
      </c>
      <c r="AV7132" s="42"/>
      <c r="AW7132" s="74"/>
      <c r="AX7132" s="77"/>
      <c r="BA7132" s="497">
        <v>46.94</v>
      </c>
      <c r="BB7132" s="42"/>
      <c r="BC7132" s="74"/>
      <c r="BD7132" s="77"/>
      <c r="BF7132">
        <v>37.94</v>
      </c>
      <c r="BH7132" s="42"/>
      <c r="BI7132" s="74"/>
      <c r="BJ7132" s="77"/>
      <c r="BL7132" s="497">
        <v>42.08</v>
      </c>
      <c r="BN7132" s="42"/>
      <c r="BO7132" s="74"/>
      <c r="BP7132" s="77"/>
      <c r="BR7132" s="497">
        <v>41</v>
      </c>
      <c r="BT7132" s="42"/>
    </row>
    <row r="7133" spans="1:72" x14ac:dyDescent="0.25">
      <c r="A7133" s="90">
        <v>37188</v>
      </c>
      <c r="B7133" s="20">
        <v>0.45833333333333331</v>
      </c>
      <c r="D7133">
        <v>73.94</v>
      </c>
      <c r="E7133" t="str">
        <f t="shared" si="258"/>
        <v>WEEKDAY</v>
      </c>
      <c r="F7133" t="e">
        <f t="shared" si="257"/>
        <v>#N/A</v>
      </c>
      <c r="G7133" s="74">
        <v>29518</v>
      </c>
      <c r="H7133" s="77">
        <v>0.45833333333333331</v>
      </c>
      <c r="J7133">
        <v>46.58</v>
      </c>
      <c r="M7133" s="74">
        <v>36457</v>
      </c>
      <c r="N7133" s="77">
        <v>0.45833333333333331</v>
      </c>
      <c r="P7133">
        <v>53.6</v>
      </c>
      <c r="S7133" s="74">
        <v>37188</v>
      </c>
      <c r="T7133" s="77">
        <v>0.45833333333333331</v>
      </c>
      <c r="V7133">
        <v>69.080000000000013</v>
      </c>
      <c r="X7133" s="42"/>
      <c r="AB7133">
        <v>56.6</v>
      </c>
      <c r="AC7133">
        <v>59</v>
      </c>
      <c r="AE7133" s="74"/>
      <c r="AF7133" s="77"/>
      <c r="AH7133" s="497">
        <v>42.8</v>
      </c>
      <c r="AJ7133" s="42"/>
      <c r="AK7133" s="74"/>
      <c r="AL7133" s="77"/>
      <c r="AN7133" s="497">
        <v>46.94</v>
      </c>
      <c r="AP7133" s="42"/>
      <c r="AQ7133" s="74"/>
      <c r="AR7133" s="77"/>
      <c r="AT7133" s="497">
        <v>51.980000000000004</v>
      </c>
      <c r="AV7133" s="42"/>
      <c r="AW7133" s="74"/>
      <c r="AX7133" s="77"/>
      <c r="BA7133" s="497">
        <v>48.92</v>
      </c>
      <c r="BB7133" s="42"/>
      <c r="BC7133" s="74"/>
      <c r="BD7133" s="77"/>
      <c r="BF7133">
        <v>39.92</v>
      </c>
      <c r="BH7133" s="42"/>
      <c r="BI7133" s="74"/>
      <c r="BJ7133" s="77"/>
      <c r="BL7133" s="497">
        <v>42.980000000000004</v>
      </c>
      <c r="BN7133" s="42"/>
      <c r="BO7133" s="74"/>
      <c r="BP7133" s="77"/>
      <c r="BR7133" s="497">
        <v>42.08</v>
      </c>
      <c r="BT7133" s="42"/>
    </row>
    <row r="7134" spans="1:72" x14ac:dyDescent="0.25">
      <c r="A7134" s="90">
        <v>37188</v>
      </c>
      <c r="B7134" s="20">
        <v>0.5</v>
      </c>
      <c r="D7134">
        <v>75.92</v>
      </c>
      <c r="E7134" t="str">
        <f t="shared" si="258"/>
        <v>WEEKDAY</v>
      </c>
      <c r="F7134" t="e">
        <f t="shared" si="257"/>
        <v>#N/A</v>
      </c>
      <c r="G7134" s="74">
        <v>29518</v>
      </c>
      <c r="H7134" s="77">
        <v>0.5</v>
      </c>
      <c r="J7134">
        <v>48.379999999999995</v>
      </c>
      <c r="M7134" s="74">
        <v>36457</v>
      </c>
      <c r="N7134" s="77">
        <v>0.5</v>
      </c>
      <c r="P7134">
        <v>53.6</v>
      </c>
      <c r="S7134" s="74">
        <v>37188</v>
      </c>
      <c r="T7134" s="77">
        <v>0.5</v>
      </c>
      <c r="V7134">
        <v>71.06</v>
      </c>
      <c r="X7134" s="42"/>
      <c r="AB7134">
        <v>58</v>
      </c>
      <c r="AC7134">
        <v>62.06</v>
      </c>
      <c r="AE7134" s="74"/>
      <c r="AF7134" s="77"/>
      <c r="AH7134" s="497">
        <v>44.6</v>
      </c>
      <c r="AJ7134" s="42"/>
      <c r="AK7134" s="74"/>
      <c r="AL7134" s="77"/>
      <c r="AN7134" s="497">
        <v>48.92</v>
      </c>
      <c r="AP7134" s="42"/>
      <c r="AQ7134" s="74"/>
      <c r="AR7134" s="77"/>
      <c r="AT7134" s="497">
        <v>53.06</v>
      </c>
      <c r="AV7134" s="42"/>
      <c r="AW7134" s="74"/>
      <c r="AX7134" s="77"/>
      <c r="BA7134" s="497">
        <v>50</v>
      </c>
      <c r="BB7134" s="42"/>
      <c r="BC7134" s="74"/>
      <c r="BD7134" s="77"/>
      <c r="BF7134">
        <v>41</v>
      </c>
      <c r="BH7134" s="42"/>
      <c r="BI7134" s="74"/>
      <c r="BJ7134" s="77"/>
      <c r="BL7134" s="497">
        <v>44.06</v>
      </c>
      <c r="BN7134" s="42"/>
      <c r="BO7134" s="74"/>
      <c r="BP7134" s="77"/>
      <c r="BR7134" s="497">
        <v>42.980000000000004</v>
      </c>
      <c r="BT7134" s="42"/>
    </row>
    <row r="7135" spans="1:72" x14ac:dyDescent="0.25">
      <c r="A7135" s="90">
        <v>37188</v>
      </c>
      <c r="B7135" s="20">
        <v>0.54166666666666663</v>
      </c>
      <c r="D7135">
        <v>78.080000000000013</v>
      </c>
      <c r="E7135" t="str">
        <f t="shared" si="258"/>
        <v>WEEKDAY</v>
      </c>
      <c r="F7135" t="e">
        <f t="shared" si="257"/>
        <v>#N/A</v>
      </c>
      <c r="G7135" s="74">
        <v>29518</v>
      </c>
      <c r="H7135" s="77">
        <v>0.54166666666666663</v>
      </c>
      <c r="J7135">
        <v>50</v>
      </c>
      <c r="M7135" s="74">
        <v>36457</v>
      </c>
      <c r="N7135" s="77">
        <v>0.54166666666666663</v>
      </c>
      <c r="P7135">
        <v>53.6</v>
      </c>
      <c r="S7135" s="74">
        <v>37188</v>
      </c>
      <c r="T7135" s="77">
        <v>0.54166666666666663</v>
      </c>
      <c r="V7135">
        <v>71.960000000000008</v>
      </c>
      <c r="X7135" s="42"/>
      <c r="AB7135">
        <v>59</v>
      </c>
      <c r="AC7135">
        <v>62.06</v>
      </c>
      <c r="AE7135" s="74"/>
      <c r="AF7135" s="77"/>
      <c r="AH7135" s="497">
        <v>46.4</v>
      </c>
      <c r="AJ7135" s="42"/>
      <c r="AK7135" s="74"/>
      <c r="AL7135" s="77"/>
      <c r="AN7135" s="497">
        <v>51.08</v>
      </c>
      <c r="AP7135" s="42"/>
      <c r="AQ7135" s="74"/>
      <c r="AR7135" s="77"/>
      <c r="AT7135" s="497">
        <v>55.040000000000006</v>
      </c>
      <c r="AV7135" s="42"/>
      <c r="AW7135" s="74"/>
      <c r="AX7135" s="77"/>
      <c r="BA7135" s="497">
        <v>51.980000000000004</v>
      </c>
      <c r="BB7135" s="42"/>
      <c r="BC7135" s="74"/>
      <c r="BD7135" s="77"/>
      <c r="BF7135">
        <v>42.980000000000004</v>
      </c>
      <c r="BH7135" s="42"/>
      <c r="BI7135" s="74"/>
      <c r="BJ7135" s="77"/>
      <c r="BL7135" s="497">
        <v>46.04</v>
      </c>
      <c r="BN7135" s="42"/>
      <c r="BO7135" s="74"/>
      <c r="BP7135" s="77"/>
      <c r="BR7135" s="497">
        <v>46.04</v>
      </c>
      <c r="BT7135" s="42"/>
    </row>
    <row r="7136" spans="1:72" x14ac:dyDescent="0.25">
      <c r="A7136" s="90">
        <v>37188</v>
      </c>
      <c r="B7136" s="20">
        <v>0.58333333333333337</v>
      </c>
      <c r="D7136">
        <v>78.98</v>
      </c>
      <c r="E7136" t="str">
        <f t="shared" si="258"/>
        <v>WEEKDAY</v>
      </c>
      <c r="F7136" t="e">
        <f t="shared" si="257"/>
        <v>#N/A</v>
      </c>
      <c r="G7136" s="74">
        <v>29518</v>
      </c>
      <c r="H7136" s="77">
        <v>0.58333333333333337</v>
      </c>
      <c r="J7136">
        <v>51.08</v>
      </c>
      <c r="M7136" s="74">
        <v>36457</v>
      </c>
      <c r="N7136" s="77">
        <v>0.58333333333333337</v>
      </c>
      <c r="P7136">
        <v>55.400000000000006</v>
      </c>
      <c r="S7136" s="74">
        <v>37188</v>
      </c>
      <c r="T7136" s="77">
        <v>0.58333333333333337</v>
      </c>
      <c r="V7136">
        <v>71.960000000000008</v>
      </c>
      <c r="X7136" s="42"/>
      <c r="AB7136">
        <v>59.6</v>
      </c>
      <c r="AC7136">
        <v>62.06</v>
      </c>
      <c r="AE7136" s="74"/>
      <c r="AF7136" s="77"/>
      <c r="AH7136" s="497">
        <v>46.4</v>
      </c>
      <c r="AJ7136" s="42"/>
      <c r="AK7136" s="74"/>
      <c r="AL7136" s="77"/>
      <c r="AN7136" s="497">
        <v>51.08</v>
      </c>
      <c r="AP7136" s="42"/>
      <c r="AQ7136" s="74"/>
      <c r="AR7136" s="77"/>
      <c r="AT7136" s="497">
        <v>57.019999999999996</v>
      </c>
      <c r="AV7136" s="42"/>
      <c r="AW7136" s="74"/>
      <c r="AX7136" s="77"/>
      <c r="BA7136" s="497">
        <v>51.980000000000004</v>
      </c>
      <c r="BB7136" s="42"/>
      <c r="BC7136" s="74"/>
      <c r="BD7136" s="77"/>
      <c r="BF7136">
        <v>44.96</v>
      </c>
      <c r="BH7136" s="42"/>
      <c r="BI7136" s="74"/>
      <c r="BJ7136" s="77"/>
      <c r="BL7136" s="497">
        <v>46.94</v>
      </c>
      <c r="BN7136" s="42"/>
      <c r="BO7136" s="74"/>
      <c r="BP7136" s="77"/>
      <c r="BR7136" s="497">
        <v>46.04</v>
      </c>
      <c r="BT7136" s="42"/>
    </row>
    <row r="7137" spans="1:72" x14ac:dyDescent="0.25">
      <c r="A7137" s="90">
        <v>37188</v>
      </c>
      <c r="B7137" s="20">
        <v>0.625</v>
      </c>
      <c r="D7137">
        <v>77</v>
      </c>
      <c r="E7137" t="str">
        <f t="shared" si="258"/>
        <v>WEEKDAY</v>
      </c>
      <c r="F7137" t="e">
        <f t="shared" si="257"/>
        <v>#N/A</v>
      </c>
      <c r="G7137" s="74">
        <v>29518</v>
      </c>
      <c r="H7137" s="77">
        <v>0.625</v>
      </c>
      <c r="J7137">
        <v>51.980000000000004</v>
      </c>
      <c r="M7137" s="74">
        <v>36457</v>
      </c>
      <c r="N7137" s="77">
        <v>0.625</v>
      </c>
      <c r="P7137">
        <v>53.6</v>
      </c>
      <c r="S7137" s="74">
        <v>37188</v>
      </c>
      <c r="T7137" s="77">
        <v>0.625</v>
      </c>
      <c r="V7137">
        <v>71.06</v>
      </c>
      <c r="X7137" s="42"/>
      <c r="AB7137">
        <v>59.9</v>
      </c>
      <c r="AC7137">
        <v>60.980000000000004</v>
      </c>
      <c r="AE7137" s="74"/>
      <c r="AF7137" s="77"/>
      <c r="AH7137" s="497">
        <v>46.4</v>
      </c>
      <c r="AJ7137" s="42"/>
      <c r="AK7137" s="74"/>
      <c r="AL7137" s="77"/>
      <c r="AN7137" s="497">
        <v>51.980000000000004</v>
      </c>
      <c r="AP7137" s="42"/>
      <c r="AQ7137" s="74"/>
      <c r="AR7137" s="77"/>
      <c r="AT7137" s="497">
        <v>57.019999999999996</v>
      </c>
      <c r="AV7137" s="42"/>
      <c r="AW7137" s="74"/>
      <c r="AX7137" s="77"/>
      <c r="BA7137" s="497">
        <v>51.08</v>
      </c>
      <c r="BB7137" s="42"/>
      <c r="BC7137" s="74"/>
      <c r="BD7137" s="77"/>
      <c r="BF7137">
        <v>44.96</v>
      </c>
      <c r="BH7137" s="42"/>
      <c r="BI7137" s="74"/>
      <c r="BJ7137" s="77"/>
      <c r="BL7137" s="497">
        <v>48.019999999999996</v>
      </c>
      <c r="BN7137" s="42"/>
      <c r="BO7137" s="74"/>
      <c r="BP7137" s="77"/>
      <c r="BR7137" s="497">
        <v>46.94</v>
      </c>
      <c r="BT7137" s="42"/>
    </row>
    <row r="7138" spans="1:72" x14ac:dyDescent="0.25">
      <c r="A7138" s="90">
        <v>37188</v>
      </c>
      <c r="B7138" s="20">
        <v>0.66666666666666663</v>
      </c>
      <c r="D7138">
        <v>75.02</v>
      </c>
      <c r="E7138" t="str">
        <f t="shared" si="258"/>
        <v>WEEKDAY</v>
      </c>
      <c r="F7138" t="e">
        <f t="shared" si="257"/>
        <v>#N/A</v>
      </c>
      <c r="G7138" s="74">
        <v>29518</v>
      </c>
      <c r="H7138" s="77">
        <v>0.66666666666666663</v>
      </c>
      <c r="J7138">
        <v>53.06</v>
      </c>
      <c r="M7138" s="74">
        <v>36457</v>
      </c>
      <c r="N7138" s="77">
        <v>0.66666666666666663</v>
      </c>
      <c r="P7138">
        <v>53.6</v>
      </c>
      <c r="S7138" s="74">
        <v>37188</v>
      </c>
      <c r="T7138" s="77">
        <v>0.66666666666666663</v>
      </c>
      <c r="V7138">
        <v>69.98</v>
      </c>
      <c r="X7138" s="42"/>
      <c r="AB7138">
        <v>59.7</v>
      </c>
      <c r="AC7138">
        <v>60.08</v>
      </c>
      <c r="AE7138" s="74"/>
      <c r="AF7138" s="77"/>
      <c r="AH7138" s="497">
        <v>46.4</v>
      </c>
      <c r="AJ7138" s="42"/>
      <c r="AK7138" s="74"/>
      <c r="AL7138" s="77"/>
      <c r="AN7138" s="497">
        <v>50</v>
      </c>
      <c r="AP7138" s="42"/>
      <c r="AQ7138" s="74"/>
      <c r="AR7138" s="77"/>
      <c r="AT7138" s="497">
        <v>55.94</v>
      </c>
      <c r="AV7138" s="42"/>
      <c r="AW7138" s="74"/>
      <c r="AX7138" s="77"/>
      <c r="BA7138" s="497">
        <v>48.92</v>
      </c>
      <c r="BB7138" s="42"/>
      <c r="BC7138" s="74"/>
      <c r="BD7138" s="77"/>
      <c r="BF7138">
        <v>46.04</v>
      </c>
      <c r="BH7138" s="42"/>
      <c r="BI7138" s="74"/>
      <c r="BJ7138" s="77"/>
      <c r="BL7138" s="497">
        <v>48.019999999999996</v>
      </c>
      <c r="BN7138" s="42"/>
      <c r="BO7138" s="74"/>
      <c r="BP7138" s="77"/>
      <c r="BR7138" s="497">
        <v>46.04</v>
      </c>
      <c r="BT7138" s="42"/>
    </row>
    <row r="7139" spans="1:72" x14ac:dyDescent="0.25">
      <c r="A7139" s="90">
        <v>37188</v>
      </c>
      <c r="B7139" s="20">
        <v>0.70833333333333337</v>
      </c>
      <c r="D7139">
        <v>71.960000000000008</v>
      </c>
      <c r="E7139" t="str">
        <f t="shared" si="258"/>
        <v>WEEKDAY</v>
      </c>
      <c r="F7139" t="e">
        <f t="shared" si="257"/>
        <v>#N/A</v>
      </c>
      <c r="G7139" s="74">
        <v>29518</v>
      </c>
      <c r="H7139" s="77">
        <v>0.70833333333333337</v>
      </c>
      <c r="J7139">
        <v>52.34</v>
      </c>
      <c r="M7139" s="74">
        <v>36457</v>
      </c>
      <c r="N7139" s="77">
        <v>0.70833333333333337</v>
      </c>
      <c r="P7139">
        <v>50</v>
      </c>
      <c r="S7139" s="74">
        <v>37188</v>
      </c>
      <c r="T7139" s="77">
        <v>0.70833333333333337</v>
      </c>
      <c r="V7139">
        <v>66.92</v>
      </c>
      <c r="X7139" s="42"/>
      <c r="AB7139">
        <v>58.8</v>
      </c>
      <c r="AC7139">
        <v>57.019999999999996</v>
      </c>
      <c r="AE7139" s="74"/>
      <c r="AF7139" s="77"/>
      <c r="AH7139" s="497">
        <v>44.6</v>
      </c>
      <c r="AJ7139" s="42"/>
      <c r="AK7139" s="74"/>
      <c r="AL7139" s="77"/>
      <c r="AN7139" s="497">
        <v>48.019999999999996</v>
      </c>
      <c r="AP7139" s="42"/>
      <c r="AQ7139" s="74"/>
      <c r="AR7139" s="77"/>
      <c r="AT7139" s="497">
        <v>51.08</v>
      </c>
      <c r="AV7139" s="42"/>
      <c r="AW7139" s="74"/>
      <c r="AX7139" s="77"/>
      <c r="BA7139" s="497">
        <v>44.96</v>
      </c>
      <c r="BB7139" s="42"/>
      <c r="BC7139" s="74"/>
      <c r="BD7139" s="77"/>
      <c r="BF7139">
        <v>44.06</v>
      </c>
      <c r="BH7139" s="42"/>
      <c r="BI7139" s="74"/>
      <c r="BJ7139" s="77"/>
      <c r="BL7139" s="497">
        <v>46.04</v>
      </c>
      <c r="BN7139" s="42"/>
      <c r="BO7139" s="74"/>
      <c r="BP7139" s="77"/>
      <c r="BR7139" s="497">
        <v>42.980000000000004</v>
      </c>
      <c r="BT7139" s="42"/>
    </row>
    <row r="7140" spans="1:72" x14ac:dyDescent="0.25">
      <c r="A7140" s="90">
        <v>37188</v>
      </c>
      <c r="B7140" s="20">
        <v>0.75</v>
      </c>
      <c r="D7140">
        <v>69.080000000000013</v>
      </c>
      <c r="E7140" t="str">
        <f t="shared" si="258"/>
        <v>WEEKDAY</v>
      </c>
      <c r="F7140" t="e">
        <f t="shared" si="257"/>
        <v>#N/A</v>
      </c>
      <c r="G7140" s="74">
        <v>29518</v>
      </c>
      <c r="H7140" s="77">
        <v>0.75</v>
      </c>
      <c r="J7140">
        <v>51.8</v>
      </c>
      <c r="M7140" s="74">
        <v>36457</v>
      </c>
      <c r="N7140" s="77">
        <v>0.75</v>
      </c>
      <c r="P7140">
        <v>48.2</v>
      </c>
      <c r="S7140" s="74">
        <v>37188</v>
      </c>
      <c r="T7140" s="77">
        <v>0.75</v>
      </c>
      <c r="V7140">
        <v>66.02</v>
      </c>
      <c r="X7140" s="42"/>
      <c r="AB7140">
        <v>57.3</v>
      </c>
      <c r="AC7140">
        <v>53.96</v>
      </c>
      <c r="AE7140" s="74"/>
      <c r="AF7140" s="77"/>
      <c r="AH7140" s="497">
        <v>42.8</v>
      </c>
      <c r="AJ7140" s="42"/>
      <c r="AK7140" s="74"/>
      <c r="AL7140" s="77"/>
      <c r="AN7140" s="497">
        <v>44.06</v>
      </c>
      <c r="AP7140" s="42"/>
      <c r="AQ7140" s="74"/>
      <c r="AR7140" s="77"/>
      <c r="AT7140" s="497">
        <v>46.04</v>
      </c>
      <c r="AV7140" s="42"/>
      <c r="AW7140" s="74"/>
      <c r="AX7140" s="77"/>
      <c r="BA7140" s="497">
        <v>41</v>
      </c>
      <c r="BB7140" s="42"/>
      <c r="BC7140" s="74"/>
      <c r="BD7140" s="77"/>
      <c r="BF7140">
        <v>42.08</v>
      </c>
      <c r="BH7140" s="42"/>
      <c r="BI7140" s="74"/>
      <c r="BJ7140" s="77"/>
      <c r="BL7140" s="497">
        <v>44.06</v>
      </c>
      <c r="BN7140" s="42"/>
      <c r="BO7140" s="74"/>
      <c r="BP7140" s="77"/>
      <c r="BR7140" s="497">
        <v>35.96</v>
      </c>
      <c r="BT7140" s="42"/>
    </row>
    <row r="7141" spans="1:72" x14ac:dyDescent="0.25">
      <c r="A7141" s="90">
        <v>37188</v>
      </c>
      <c r="B7141" s="20">
        <v>0.79166666666666663</v>
      </c>
      <c r="D7141">
        <v>68</v>
      </c>
      <c r="E7141" t="str">
        <f t="shared" si="258"/>
        <v>WEEKDAY</v>
      </c>
      <c r="F7141" t="e">
        <f t="shared" si="257"/>
        <v>#N/A</v>
      </c>
      <c r="G7141" s="74">
        <v>29518</v>
      </c>
      <c r="H7141" s="77">
        <v>0.79166666666666663</v>
      </c>
      <c r="J7141">
        <v>51.08</v>
      </c>
      <c r="M7141" s="74">
        <v>36457</v>
      </c>
      <c r="N7141" s="77">
        <v>0.79166666666666663</v>
      </c>
      <c r="P7141">
        <v>42.8</v>
      </c>
      <c r="S7141" s="74">
        <v>37188</v>
      </c>
      <c r="T7141" s="77">
        <v>0.79166666666666663</v>
      </c>
      <c r="V7141">
        <v>66.02</v>
      </c>
      <c r="X7141" s="42"/>
      <c r="AB7141">
        <v>56.3</v>
      </c>
      <c r="AC7141">
        <v>53.06</v>
      </c>
      <c r="AE7141" s="74"/>
      <c r="AF7141" s="77"/>
      <c r="AH7141" s="497">
        <v>42.8</v>
      </c>
      <c r="AJ7141" s="42"/>
      <c r="AK7141" s="74"/>
      <c r="AL7141" s="77"/>
      <c r="AN7141" s="497">
        <v>42.980000000000004</v>
      </c>
      <c r="AP7141" s="42"/>
      <c r="AQ7141" s="74"/>
      <c r="AR7141" s="77"/>
      <c r="AT7141" s="497">
        <v>44.06</v>
      </c>
      <c r="AV7141" s="42"/>
      <c r="AW7141" s="74"/>
      <c r="AX7141" s="77"/>
      <c r="BA7141" s="497">
        <v>39.92</v>
      </c>
      <c r="BB7141" s="42"/>
      <c r="BC7141" s="74"/>
      <c r="BD7141" s="77"/>
      <c r="BF7141">
        <v>39.019999999999996</v>
      </c>
      <c r="BH7141" s="42"/>
      <c r="BI7141" s="74"/>
      <c r="BJ7141" s="77"/>
      <c r="BL7141" s="497">
        <v>42.08</v>
      </c>
      <c r="BN7141" s="42"/>
      <c r="BO7141" s="74"/>
      <c r="BP7141" s="77"/>
      <c r="BR7141" s="497">
        <v>32</v>
      </c>
      <c r="BT7141" s="42"/>
    </row>
    <row r="7142" spans="1:72" x14ac:dyDescent="0.25">
      <c r="A7142" s="90">
        <v>37188</v>
      </c>
      <c r="B7142" s="20">
        <v>0.83333333333333337</v>
      </c>
      <c r="D7142">
        <v>69.080000000000013</v>
      </c>
      <c r="E7142" t="str">
        <f t="shared" si="258"/>
        <v>WEEKDAY</v>
      </c>
      <c r="F7142" t="e">
        <f t="shared" si="257"/>
        <v>#N/A</v>
      </c>
      <c r="G7142" s="74">
        <v>29518</v>
      </c>
      <c r="H7142" s="77">
        <v>0.83333333333333337</v>
      </c>
      <c r="J7142">
        <v>50.72</v>
      </c>
      <c r="M7142" s="74">
        <v>36457</v>
      </c>
      <c r="N7142" s="77">
        <v>0.83333333333333337</v>
      </c>
      <c r="P7142">
        <v>46.4</v>
      </c>
      <c r="S7142" s="74">
        <v>37188</v>
      </c>
      <c r="T7142" s="77">
        <v>0.83333333333333337</v>
      </c>
      <c r="V7142">
        <v>64.94</v>
      </c>
      <c r="X7142" s="42"/>
      <c r="AB7142">
        <v>55.7</v>
      </c>
      <c r="AC7142">
        <v>51.980000000000004</v>
      </c>
      <c r="AE7142" s="74"/>
      <c r="AF7142" s="77"/>
      <c r="AH7142" s="497">
        <v>41.72</v>
      </c>
      <c r="AJ7142" s="42"/>
      <c r="AK7142" s="74"/>
      <c r="AL7142" s="77"/>
      <c r="AN7142" s="497">
        <v>42.08</v>
      </c>
      <c r="AP7142" s="42"/>
      <c r="AQ7142" s="74"/>
      <c r="AR7142" s="77"/>
      <c r="AT7142" s="497">
        <v>39.92</v>
      </c>
      <c r="AV7142" s="42"/>
      <c r="AW7142" s="74"/>
      <c r="AX7142" s="77"/>
      <c r="BA7142" s="497">
        <v>35.96</v>
      </c>
      <c r="BB7142" s="42"/>
      <c r="BC7142" s="74"/>
      <c r="BD7142" s="77"/>
      <c r="BF7142">
        <v>41</v>
      </c>
      <c r="BH7142" s="42"/>
      <c r="BI7142" s="74"/>
      <c r="BJ7142" s="77"/>
      <c r="BL7142" s="497">
        <v>41</v>
      </c>
      <c r="BN7142" s="42"/>
      <c r="BO7142" s="74"/>
      <c r="BP7142" s="77"/>
      <c r="BR7142" s="497">
        <v>32</v>
      </c>
      <c r="BT7142" s="42"/>
    </row>
    <row r="7143" spans="1:72" x14ac:dyDescent="0.25">
      <c r="A7143" s="90">
        <v>37188</v>
      </c>
      <c r="B7143" s="20">
        <v>0.875</v>
      </c>
      <c r="D7143">
        <v>68</v>
      </c>
      <c r="E7143" t="str">
        <f t="shared" si="258"/>
        <v>WEEKDAY</v>
      </c>
      <c r="F7143" t="e">
        <f t="shared" si="257"/>
        <v>#N/A</v>
      </c>
      <c r="G7143" s="74">
        <v>29518</v>
      </c>
      <c r="H7143" s="77">
        <v>0.875</v>
      </c>
      <c r="J7143">
        <v>50.36</v>
      </c>
      <c r="M7143" s="74">
        <v>36457</v>
      </c>
      <c r="N7143" s="77">
        <v>0.875</v>
      </c>
      <c r="P7143">
        <v>44.6</v>
      </c>
      <c r="S7143" s="74">
        <v>37188</v>
      </c>
      <c r="T7143" s="77">
        <v>0.875</v>
      </c>
      <c r="V7143">
        <v>64.94</v>
      </c>
      <c r="X7143" s="42"/>
      <c r="AB7143">
        <v>55.1</v>
      </c>
      <c r="AC7143">
        <v>51.08</v>
      </c>
      <c r="AE7143" s="74"/>
      <c r="AF7143" s="77"/>
      <c r="AH7143" s="497">
        <v>41</v>
      </c>
      <c r="AJ7143" s="42"/>
      <c r="AK7143" s="74"/>
      <c r="AL7143" s="77"/>
      <c r="AN7143" s="497">
        <v>39.019999999999996</v>
      </c>
      <c r="AP7143" s="42"/>
      <c r="AQ7143" s="74"/>
      <c r="AR7143" s="77"/>
      <c r="AT7143" s="497">
        <v>37.94</v>
      </c>
      <c r="AV7143" s="42"/>
      <c r="AW7143" s="74"/>
      <c r="AX7143" s="77"/>
      <c r="BA7143" s="497">
        <v>35.06</v>
      </c>
      <c r="BB7143" s="42"/>
      <c r="BC7143" s="74"/>
      <c r="BD7143" s="77"/>
      <c r="BF7143">
        <v>39.019999999999996</v>
      </c>
      <c r="BH7143" s="42"/>
      <c r="BI7143" s="74"/>
      <c r="BJ7143" s="77"/>
      <c r="BL7143" s="497">
        <v>39.92</v>
      </c>
      <c r="BN7143" s="42"/>
      <c r="BO7143" s="74"/>
      <c r="BP7143" s="77"/>
      <c r="BR7143" s="497">
        <v>32</v>
      </c>
      <c r="BT7143" s="42"/>
    </row>
    <row r="7144" spans="1:72" x14ac:dyDescent="0.25">
      <c r="A7144" s="90">
        <v>37188</v>
      </c>
      <c r="B7144" s="20">
        <v>0.91666666666666663</v>
      </c>
      <c r="D7144">
        <v>68</v>
      </c>
      <c r="E7144" t="str">
        <f t="shared" si="258"/>
        <v>WEEKDAY</v>
      </c>
      <c r="F7144" t="e">
        <f t="shared" si="257"/>
        <v>#N/A</v>
      </c>
      <c r="G7144" s="74">
        <v>29518</v>
      </c>
      <c r="H7144" s="77">
        <v>0.91666666666666663</v>
      </c>
      <c r="J7144">
        <v>50</v>
      </c>
      <c r="M7144" s="74">
        <v>36457</v>
      </c>
      <c r="N7144" s="77">
        <v>0.91666666666666663</v>
      </c>
      <c r="P7144">
        <v>44.6</v>
      </c>
      <c r="S7144" s="74">
        <v>37188</v>
      </c>
      <c r="T7144" s="77">
        <v>0.91666666666666663</v>
      </c>
      <c r="V7144">
        <v>64.039999999999992</v>
      </c>
      <c r="X7144" s="42"/>
      <c r="AB7144">
        <v>54.5</v>
      </c>
      <c r="AC7144">
        <v>48.019999999999996</v>
      </c>
      <c r="AE7144" s="74"/>
      <c r="AF7144" s="77"/>
      <c r="AH7144" s="497">
        <v>39.200000000000003</v>
      </c>
      <c r="AJ7144" s="42"/>
      <c r="AK7144" s="74"/>
      <c r="AL7144" s="77"/>
      <c r="AN7144" s="497">
        <v>39.019999999999996</v>
      </c>
      <c r="AP7144" s="42"/>
      <c r="AQ7144" s="74"/>
      <c r="AR7144" s="77"/>
      <c r="AT7144" s="497">
        <v>37.94</v>
      </c>
      <c r="AV7144" s="42"/>
      <c r="AW7144" s="74"/>
      <c r="AX7144" s="77"/>
      <c r="BA7144" s="497">
        <v>33.08</v>
      </c>
      <c r="BB7144" s="42"/>
      <c r="BC7144" s="74"/>
      <c r="BD7144" s="77"/>
      <c r="BF7144">
        <v>37.94</v>
      </c>
      <c r="BH7144" s="42"/>
      <c r="BI7144" s="74"/>
      <c r="BJ7144" s="77"/>
      <c r="BL7144" s="497">
        <v>37.94</v>
      </c>
      <c r="BN7144" s="42"/>
      <c r="BO7144" s="74"/>
      <c r="BP7144" s="77"/>
      <c r="BR7144" s="497">
        <v>28.94</v>
      </c>
      <c r="BT7144" s="42"/>
    </row>
    <row r="7145" spans="1:72" x14ac:dyDescent="0.25">
      <c r="A7145" s="90">
        <v>37188</v>
      </c>
      <c r="B7145" s="20">
        <v>0.95833333333333337</v>
      </c>
      <c r="D7145">
        <v>66.92</v>
      </c>
      <c r="E7145" t="str">
        <f t="shared" si="258"/>
        <v>WEEKDAY</v>
      </c>
      <c r="F7145" t="e">
        <f t="shared" si="257"/>
        <v>#N/A</v>
      </c>
      <c r="G7145" s="74">
        <v>29518</v>
      </c>
      <c r="H7145" s="77">
        <v>0.95833333333333337</v>
      </c>
      <c r="J7145">
        <v>50</v>
      </c>
      <c r="M7145" s="74">
        <v>36457</v>
      </c>
      <c r="N7145" s="77">
        <v>0.95833333333333337</v>
      </c>
      <c r="P7145">
        <v>44.6</v>
      </c>
      <c r="S7145" s="74">
        <v>37188</v>
      </c>
      <c r="T7145" s="77">
        <v>0.95833333333333337</v>
      </c>
      <c r="V7145">
        <v>62.96</v>
      </c>
      <c r="X7145" s="42"/>
      <c r="AB7145">
        <v>53.8</v>
      </c>
      <c r="AC7145">
        <v>48.019999999999996</v>
      </c>
      <c r="AE7145" s="74"/>
      <c r="AF7145" s="77"/>
      <c r="AH7145" s="497">
        <v>39.200000000000003</v>
      </c>
      <c r="AJ7145" s="42"/>
      <c r="AK7145" s="74"/>
      <c r="AL7145" s="77"/>
      <c r="AN7145" s="497">
        <v>37.04</v>
      </c>
      <c r="AP7145" s="42"/>
      <c r="AQ7145" s="74"/>
      <c r="AR7145" s="77"/>
      <c r="AT7145" s="497">
        <v>35.96</v>
      </c>
      <c r="AV7145" s="42"/>
      <c r="AW7145" s="74"/>
      <c r="AX7145" s="77"/>
      <c r="BA7145" s="497">
        <v>33.08</v>
      </c>
      <c r="BB7145" s="42"/>
      <c r="BC7145" s="74"/>
      <c r="BD7145" s="77"/>
      <c r="BF7145">
        <v>37.94</v>
      </c>
      <c r="BH7145" s="42"/>
      <c r="BI7145" s="74"/>
      <c r="BJ7145" s="77"/>
      <c r="BL7145" s="497">
        <v>37.94</v>
      </c>
      <c r="BN7145" s="42"/>
      <c r="BO7145" s="74"/>
      <c r="BP7145" s="77"/>
      <c r="BR7145" s="497">
        <v>28.94</v>
      </c>
      <c r="BT7145" s="42"/>
    </row>
    <row r="7146" spans="1:72" x14ac:dyDescent="0.25">
      <c r="A7146" s="90">
        <v>37188</v>
      </c>
      <c r="B7146" s="20">
        <v>1</v>
      </c>
      <c r="D7146">
        <v>66.02</v>
      </c>
      <c r="E7146" t="str">
        <f t="shared" si="258"/>
        <v>WEEKDAY</v>
      </c>
      <c r="F7146" t="e">
        <f t="shared" si="257"/>
        <v>#N/A</v>
      </c>
      <c r="G7146" s="74">
        <v>29518</v>
      </c>
      <c r="H7146" s="77">
        <v>1</v>
      </c>
      <c r="J7146">
        <v>50</v>
      </c>
      <c r="M7146" s="74">
        <v>36457</v>
      </c>
      <c r="N7146" s="80">
        <v>1</v>
      </c>
      <c r="P7146">
        <v>44.6</v>
      </c>
      <c r="S7146" s="74">
        <v>37188</v>
      </c>
      <c r="T7146" s="80">
        <v>1</v>
      </c>
      <c r="V7146">
        <v>62.96</v>
      </c>
      <c r="X7146" s="42"/>
      <c r="AB7146">
        <v>53.1</v>
      </c>
      <c r="AC7146">
        <v>46.94</v>
      </c>
      <c r="AE7146" s="74"/>
      <c r="AF7146" s="80"/>
      <c r="AH7146" s="497">
        <v>39.200000000000003</v>
      </c>
      <c r="AJ7146" s="42"/>
      <c r="AK7146" s="74"/>
      <c r="AL7146" s="80"/>
      <c r="AN7146" s="497">
        <v>35.06</v>
      </c>
      <c r="AP7146" s="42"/>
      <c r="AQ7146" s="74"/>
      <c r="AR7146" s="80"/>
      <c r="AT7146" s="497">
        <v>33.979999999999997</v>
      </c>
      <c r="AV7146" s="42"/>
      <c r="AW7146" s="74"/>
      <c r="AX7146" s="80"/>
      <c r="BA7146" s="497">
        <v>32</v>
      </c>
      <c r="BB7146" s="42"/>
      <c r="BC7146" s="74"/>
      <c r="BD7146" s="80"/>
      <c r="BF7146">
        <v>39.92</v>
      </c>
      <c r="BH7146" s="42"/>
      <c r="BI7146" s="74"/>
      <c r="BJ7146" s="80"/>
      <c r="BL7146" s="497">
        <v>37.94</v>
      </c>
      <c r="BN7146" s="42"/>
      <c r="BO7146" s="74"/>
      <c r="BP7146" s="80"/>
      <c r="BR7146" s="497">
        <v>28.04</v>
      </c>
      <c r="BT7146" s="42"/>
    </row>
    <row r="7147" spans="1:72" x14ac:dyDescent="0.25">
      <c r="A7147" s="90">
        <v>37189</v>
      </c>
      <c r="B7147" s="20">
        <v>4.1666666666666664E-2</v>
      </c>
      <c r="D7147">
        <v>66.02</v>
      </c>
      <c r="E7147" t="str">
        <f t="shared" si="258"/>
        <v>WEEKDAY</v>
      </c>
      <c r="F7147" t="e">
        <f t="shared" ref="F7147:F7210" si="259">IF(E7147="WEEKDAY",VLOOKUP(B7147,$DD$19:$DG$42,2),IF(E7147="SATURDAY",VLOOKUP(B7147,$DD$19:$DG$42,3),VLOOKUP(B7147,$DD$19:$DG$42,4)))</f>
        <v>#N/A</v>
      </c>
      <c r="G7147" s="74">
        <v>29519</v>
      </c>
      <c r="H7147" s="77">
        <v>4.1666666666666664E-2</v>
      </c>
      <c r="J7147">
        <v>50</v>
      </c>
      <c r="M7147" s="74">
        <v>36458</v>
      </c>
      <c r="N7147" s="77">
        <v>4.1666666666666664E-2</v>
      </c>
      <c r="P7147">
        <v>44.6</v>
      </c>
      <c r="S7147" s="74">
        <v>37189</v>
      </c>
      <c r="T7147" s="77">
        <v>4.1666666666666664E-2</v>
      </c>
      <c r="V7147">
        <v>62.96</v>
      </c>
      <c r="X7147" s="42"/>
      <c r="AB7147">
        <v>52.6</v>
      </c>
      <c r="AC7147">
        <v>46.94</v>
      </c>
      <c r="AE7147" s="74"/>
      <c r="AF7147" s="77"/>
      <c r="AH7147" s="497">
        <v>39.200000000000003</v>
      </c>
      <c r="AJ7147" s="42"/>
      <c r="AK7147" s="74"/>
      <c r="AL7147" s="77"/>
      <c r="AN7147" s="497">
        <v>35.06</v>
      </c>
      <c r="AP7147" s="42"/>
      <c r="AQ7147" s="74"/>
      <c r="AR7147" s="77"/>
      <c r="AT7147" s="497">
        <v>35.06</v>
      </c>
      <c r="AV7147" s="42"/>
      <c r="AW7147" s="74"/>
      <c r="AX7147" s="77"/>
      <c r="BA7147" s="497">
        <v>33.08</v>
      </c>
      <c r="BB7147" s="42"/>
      <c r="BC7147" s="74"/>
      <c r="BD7147" s="77"/>
      <c r="BF7147">
        <v>39.92</v>
      </c>
      <c r="BH7147" s="42"/>
      <c r="BI7147" s="74"/>
      <c r="BJ7147" s="77"/>
      <c r="BL7147" s="497">
        <v>37.04</v>
      </c>
      <c r="BN7147" s="42"/>
      <c r="BO7147" s="74"/>
      <c r="BP7147" s="77"/>
      <c r="BR7147" s="497">
        <v>28.04</v>
      </c>
      <c r="BT7147" s="42"/>
    </row>
    <row r="7148" spans="1:72" x14ac:dyDescent="0.25">
      <c r="A7148" s="90">
        <v>37189</v>
      </c>
      <c r="B7148" s="20">
        <v>8.3333333333333329E-2</v>
      </c>
      <c r="D7148">
        <v>64.400000000000006</v>
      </c>
      <c r="E7148" t="str">
        <f t="shared" si="258"/>
        <v>WEEKDAY</v>
      </c>
      <c r="F7148" t="e">
        <f t="shared" si="259"/>
        <v>#N/A</v>
      </c>
      <c r="G7148" s="74">
        <v>29519</v>
      </c>
      <c r="H7148" s="77">
        <v>8.3333333333333329E-2</v>
      </c>
      <c r="J7148">
        <v>50</v>
      </c>
      <c r="M7148" s="74">
        <v>36458</v>
      </c>
      <c r="N7148" s="77">
        <v>8.3333333333333329E-2</v>
      </c>
      <c r="P7148">
        <v>42.8</v>
      </c>
      <c r="S7148" s="74">
        <v>37189</v>
      </c>
      <c r="T7148" s="77">
        <v>8.3333333333333329E-2</v>
      </c>
      <c r="V7148">
        <v>64.039999999999992</v>
      </c>
      <c r="X7148" s="42"/>
      <c r="AB7148">
        <v>52</v>
      </c>
      <c r="AC7148">
        <v>46.94</v>
      </c>
      <c r="AE7148" s="74"/>
      <c r="AF7148" s="77"/>
      <c r="AH7148" s="497">
        <v>39.200000000000003</v>
      </c>
      <c r="AJ7148" s="42"/>
      <c r="AK7148" s="74"/>
      <c r="AL7148" s="77"/>
      <c r="AN7148" s="497">
        <v>33.979999999999997</v>
      </c>
      <c r="AP7148" s="42"/>
      <c r="AQ7148" s="74"/>
      <c r="AR7148" s="77"/>
      <c r="AT7148" s="497">
        <v>32</v>
      </c>
      <c r="AV7148" s="42"/>
      <c r="AW7148" s="74"/>
      <c r="AX7148" s="77"/>
      <c r="BA7148" s="497">
        <v>30.92</v>
      </c>
      <c r="BB7148" s="42"/>
      <c r="BC7148" s="74"/>
      <c r="BD7148" s="77"/>
      <c r="BF7148">
        <v>42.08</v>
      </c>
      <c r="BH7148" s="42"/>
      <c r="BI7148" s="74"/>
      <c r="BJ7148" s="77"/>
      <c r="BL7148" s="497">
        <v>37.94</v>
      </c>
      <c r="BN7148" s="42"/>
      <c r="BO7148" s="74"/>
      <c r="BP7148" s="77"/>
      <c r="BR7148" s="497">
        <v>26.96</v>
      </c>
      <c r="BT7148" s="42"/>
    </row>
    <row r="7149" spans="1:72" x14ac:dyDescent="0.25">
      <c r="A7149" s="90">
        <v>37189</v>
      </c>
      <c r="B7149" s="20">
        <v>0.125</v>
      </c>
      <c r="D7149">
        <v>64.039999999999992</v>
      </c>
      <c r="E7149" t="str">
        <f t="shared" si="258"/>
        <v>WEEKDAY</v>
      </c>
      <c r="F7149" t="e">
        <f t="shared" si="259"/>
        <v>#N/A</v>
      </c>
      <c r="G7149" s="74">
        <v>29519</v>
      </c>
      <c r="H7149" s="77">
        <v>0.125</v>
      </c>
      <c r="J7149">
        <v>50</v>
      </c>
      <c r="M7149" s="74">
        <v>36458</v>
      </c>
      <c r="N7149" s="77">
        <v>0.125</v>
      </c>
      <c r="P7149">
        <v>42.8</v>
      </c>
      <c r="S7149" s="74">
        <v>37189</v>
      </c>
      <c r="T7149" s="77">
        <v>0.125</v>
      </c>
      <c r="V7149">
        <v>62.6</v>
      </c>
      <c r="X7149" s="42"/>
      <c r="AB7149">
        <v>51.4</v>
      </c>
      <c r="AC7149">
        <v>44.96</v>
      </c>
      <c r="AE7149" s="74"/>
      <c r="AF7149" s="77"/>
      <c r="AH7149" s="497">
        <v>39.200000000000003</v>
      </c>
      <c r="AJ7149" s="42"/>
      <c r="AK7149" s="74"/>
      <c r="AL7149" s="77"/>
      <c r="AN7149" s="497">
        <v>35.06</v>
      </c>
      <c r="AP7149" s="42"/>
      <c r="AQ7149" s="74"/>
      <c r="AR7149" s="77"/>
      <c r="AT7149" s="497">
        <v>30.02</v>
      </c>
      <c r="AV7149" s="42"/>
      <c r="AW7149" s="74"/>
      <c r="AX7149" s="77"/>
      <c r="BA7149" s="497">
        <v>30.92</v>
      </c>
      <c r="BB7149" s="42"/>
      <c r="BC7149" s="74"/>
      <c r="BD7149" s="77"/>
      <c r="BF7149">
        <v>42.08</v>
      </c>
      <c r="BH7149" s="42"/>
      <c r="BI7149" s="74"/>
      <c r="BJ7149" s="77"/>
      <c r="BL7149" s="497">
        <v>37.94</v>
      </c>
      <c r="BN7149" s="42"/>
      <c r="BO7149" s="74"/>
      <c r="BP7149" s="77"/>
      <c r="BR7149" s="497">
        <v>26.96</v>
      </c>
      <c r="BT7149" s="42"/>
    </row>
    <row r="7150" spans="1:72" x14ac:dyDescent="0.25">
      <c r="A7150" s="90">
        <v>37189</v>
      </c>
      <c r="B7150" s="20">
        <v>0.16666666666666666</v>
      </c>
      <c r="D7150">
        <v>62.96</v>
      </c>
      <c r="E7150" t="str">
        <f t="shared" si="258"/>
        <v>WEEKDAY</v>
      </c>
      <c r="F7150" t="e">
        <f t="shared" si="259"/>
        <v>#N/A</v>
      </c>
      <c r="G7150" s="74">
        <v>29519</v>
      </c>
      <c r="H7150" s="77">
        <v>0.16666666666666666</v>
      </c>
      <c r="J7150">
        <v>50</v>
      </c>
      <c r="M7150" s="74">
        <v>36458</v>
      </c>
      <c r="N7150" s="77">
        <v>0.16666666666666666</v>
      </c>
      <c r="P7150">
        <v>41.9</v>
      </c>
      <c r="S7150" s="74">
        <v>37189</v>
      </c>
      <c r="T7150" s="77">
        <v>0.16666666666666666</v>
      </c>
      <c r="V7150">
        <v>62.96</v>
      </c>
      <c r="X7150" s="42"/>
      <c r="AB7150">
        <v>50.9</v>
      </c>
      <c r="AC7150">
        <v>44.96</v>
      </c>
      <c r="AE7150" s="74"/>
      <c r="AF7150" s="77"/>
      <c r="AH7150" s="497">
        <v>39.200000000000003</v>
      </c>
      <c r="AJ7150" s="42"/>
      <c r="AK7150" s="74"/>
      <c r="AL7150" s="77"/>
      <c r="AN7150" s="497">
        <v>35.06</v>
      </c>
      <c r="AP7150" s="42"/>
      <c r="AQ7150" s="74"/>
      <c r="AR7150" s="77"/>
      <c r="AT7150" s="497">
        <v>28.04</v>
      </c>
      <c r="AV7150" s="42"/>
      <c r="AW7150" s="74"/>
      <c r="AX7150" s="77"/>
      <c r="BA7150" s="497">
        <v>30.02</v>
      </c>
      <c r="BB7150" s="42"/>
      <c r="BC7150" s="74"/>
      <c r="BD7150" s="77"/>
      <c r="BF7150">
        <v>42.08</v>
      </c>
      <c r="BH7150" s="42"/>
      <c r="BI7150" s="74"/>
      <c r="BJ7150" s="77"/>
      <c r="BL7150" s="497">
        <v>39.92</v>
      </c>
      <c r="BN7150" s="42"/>
      <c r="BO7150" s="74"/>
      <c r="BP7150" s="77"/>
      <c r="BR7150" s="497">
        <v>28.04</v>
      </c>
      <c r="BT7150" s="42"/>
    </row>
    <row r="7151" spans="1:72" x14ac:dyDescent="0.25">
      <c r="A7151" s="90">
        <v>37189</v>
      </c>
      <c r="B7151" s="20">
        <v>0.20833333333333334</v>
      </c>
      <c r="D7151">
        <v>64.039999999999992</v>
      </c>
      <c r="E7151" t="str">
        <f t="shared" si="258"/>
        <v>WEEKDAY</v>
      </c>
      <c r="F7151" t="e">
        <f t="shared" si="259"/>
        <v>#N/A</v>
      </c>
      <c r="G7151" s="74">
        <v>29519</v>
      </c>
      <c r="H7151" s="77">
        <v>0.20833333333333334</v>
      </c>
      <c r="J7151">
        <v>50.36</v>
      </c>
      <c r="M7151" s="74">
        <v>36458</v>
      </c>
      <c r="N7151" s="77">
        <v>0.20833333333333334</v>
      </c>
      <c r="P7151">
        <v>41</v>
      </c>
      <c r="S7151" s="74">
        <v>37189</v>
      </c>
      <c r="T7151" s="77">
        <v>0.20833333333333334</v>
      </c>
      <c r="V7151">
        <v>64.400000000000006</v>
      </c>
      <c r="X7151" s="42"/>
      <c r="AB7151">
        <v>50.6</v>
      </c>
      <c r="AC7151">
        <v>48.019999999999996</v>
      </c>
      <c r="AE7151" s="74"/>
      <c r="AF7151" s="77"/>
      <c r="AH7151" s="497">
        <v>39.200000000000003</v>
      </c>
      <c r="AJ7151" s="42"/>
      <c r="AK7151" s="74"/>
      <c r="AL7151" s="77"/>
      <c r="AN7151" s="497">
        <v>32</v>
      </c>
      <c r="AP7151" s="42"/>
      <c r="AQ7151" s="74"/>
      <c r="AR7151" s="77"/>
      <c r="AT7151" s="497">
        <v>28.04</v>
      </c>
      <c r="AV7151" s="42"/>
      <c r="AW7151" s="74"/>
      <c r="AX7151" s="77"/>
      <c r="BA7151" s="497">
        <v>30.02</v>
      </c>
      <c r="BB7151" s="42"/>
      <c r="BC7151" s="74"/>
      <c r="BD7151" s="77"/>
      <c r="BF7151">
        <v>42.980000000000004</v>
      </c>
      <c r="BH7151" s="42"/>
      <c r="BI7151" s="74"/>
      <c r="BJ7151" s="77"/>
      <c r="BL7151" s="497">
        <v>41</v>
      </c>
      <c r="BN7151" s="42"/>
      <c r="BO7151" s="74"/>
      <c r="BP7151" s="77"/>
      <c r="BR7151" s="497">
        <v>24.98</v>
      </c>
      <c r="BT7151" s="42"/>
    </row>
    <row r="7152" spans="1:72" x14ac:dyDescent="0.25">
      <c r="A7152" s="90">
        <v>37189</v>
      </c>
      <c r="B7152" s="20">
        <v>0.25</v>
      </c>
      <c r="D7152">
        <v>64.400000000000006</v>
      </c>
      <c r="E7152" t="str">
        <f t="shared" si="258"/>
        <v>WEEKDAY</v>
      </c>
      <c r="F7152" t="e">
        <f t="shared" si="259"/>
        <v>#N/A</v>
      </c>
      <c r="G7152" s="74">
        <v>29519</v>
      </c>
      <c r="H7152" s="77">
        <v>0.25</v>
      </c>
      <c r="J7152">
        <v>50.72</v>
      </c>
      <c r="M7152" s="74">
        <v>36458</v>
      </c>
      <c r="N7152" s="77">
        <v>0.25</v>
      </c>
      <c r="P7152">
        <v>42.8</v>
      </c>
      <c r="S7152" s="74">
        <v>37189</v>
      </c>
      <c r="T7152" s="77">
        <v>0.25</v>
      </c>
      <c r="V7152">
        <v>64.94</v>
      </c>
      <c r="X7152" s="42"/>
      <c r="AB7152">
        <v>50.4</v>
      </c>
      <c r="AC7152">
        <v>50</v>
      </c>
      <c r="AE7152" s="74"/>
      <c r="AF7152" s="77"/>
      <c r="AH7152" s="497">
        <v>37.4</v>
      </c>
      <c r="AJ7152" s="42"/>
      <c r="AK7152" s="74"/>
      <c r="AL7152" s="77"/>
      <c r="AN7152" s="497">
        <v>28.94</v>
      </c>
      <c r="AP7152" s="42"/>
      <c r="AQ7152" s="74"/>
      <c r="AR7152" s="77"/>
      <c r="AT7152" s="497">
        <v>28.04</v>
      </c>
      <c r="AV7152" s="42"/>
      <c r="AW7152" s="74"/>
      <c r="AX7152" s="77"/>
      <c r="BA7152" s="497">
        <v>28.94</v>
      </c>
      <c r="BB7152" s="42"/>
      <c r="BC7152" s="74"/>
      <c r="BD7152" s="77"/>
      <c r="BF7152">
        <v>44.06</v>
      </c>
      <c r="BH7152" s="42"/>
      <c r="BI7152" s="74"/>
      <c r="BJ7152" s="77"/>
      <c r="BL7152" s="497">
        <v>42.08</v>
      </c>
      <c r="BN7152" s="42"/>
      <c r="BO7152" s="74"/>
      <c r="BP7152" s="77"/>
      <c r="BR7152" s="497">
        <v>28.94</v>
      </c>
      <c r="BT7152" s="42"/>
    </row>
    <row r="7153" spans="1:72" x14ac:dyDescent="0.25">
      <c r="A7153" s="90">
        <v>37189</v>
      </c>
      <c r="B7153" s="20">
        <v>0.29166666666666669</v>
      </c>
      <c r="D7153">
        <v>64.94</v>
      </c>
      <c r="E7153" t="str">
        <f t="shared" si="258"/>
        <v>WEEKDAY</v>
      </c>
      <c r="F7153" t="e">
        <f t="shared" si="259"/>
        <v>#N/A</v>
      </c>
      <c r="G7153" s="74">
        <v>29519</v>
      </c>
      <c r="H7153" s="77">
        <v>0.29166666666666669</v>
      </c>
      <c r="J7153">
        <v>51.08</v>
      </c>
      <c r="M7153" s="74">
        <v>36458</v>
      </c>
      <c r="N7153" s="77">
        <v>0.29166666666666669</v>
      </c>
      <c r="P7153">
        <v>42.8</v>
      </c>
      <c r="S7153" s="74">
        <v>37189</v>
      </c>
      <c r="T7153" s="77">
        <v>0.29166666666666669</v>
      </c>
      <c r="V7153">
        <v>64.039999999999992</v>
      </c>
      <c r="X7153" s="42"/>
      <c r="AB7153">
        <v>50.1</v>
      </c>
      <c r="AC7153">
        <v>51.980000000000004</v>
      </c>
      <c r="AE7153" s="74"/>
      <c r="AF7153" s="77"/>
      <c r="AH7153" s="497">
        <v>35.6</v>
      </c>
      <c r="AJ7153" s="42"/>
      <c r="AK7153" s="74"/>
      <c r="AL7153" s="77"/>
      <c r="AN7153" s="497">
        <v>30.02</v>
      </c>
      <c r="AP7153" s="42"/>
      <c r="AQ7153" s="74"/>
      <c r="AR7153" s="77"/>
      <c r="AT7153" s="497">
        <v>26.96</v>
      </c>
      <c r="AV7153" s="42"/>
      <c r="AW7153" s="74"/>
      <c r="AX7153" s="77"/>
      <c r="BA7153" s="497">
        <v>28.94</v>
      </c>
      <c r="BB7153" s="42"/>
      <c r="BC7153" s="74"/>
      <c r="BD7153" s="77"/>
      <c r="BF7153">
        <v>42.980000000000004</v>
      </c>
      <c r="BH7153" s="42"/>
      <c r="BI7153" s="74"/>
      <c r="BJ7153" s="77"/>
      <c r="BL7153" s="497">
        <v>42.08</v>
      </c>
      <c r="BN7153" s="42"/>
      <c r="BO7153" s="74"/>
      <c r="BP7153" s="77"/>
      <c r="BR7153" s="497">
        <v>26.060000000000002</v>
      </c>
      <c r="BT7153" s="42"/>
    </row>
    <row r="7154" spans="1:72" x14ac:dyDescent="0.25">
      <c r="A7154" s="90">
        <v>37189</v>
      </c>
      <c r="B7154" s="20">
        <v>0.33333333333333331</v>
      </c>
      <c r="D7154">
        <v>68</v>
      </c>
      <c r="E7154" t="str">
        <f t="shared" si="258"/>
        <v>WEEKDAY</v>
      </c>
      <c r="F7154" t="e">
        <f t="shared" si="259"/>
        <v>#N/A</v>
      </c>
      <c r="G7154" s="74">
        <v>29519</v>
      </c>
      <c r="H7154" s="77">
        <v>0.33333333333333331</v>
      </c>
      <c r="J7154">
        <v>51.980000000000004</v>
      </c>
      <c r="M7154" s="74">
        <v>36458</v>
      </c>
      <c r="N7154" s="77">
        <v>0.33333333333333331</v>
      </c>
      <c r="P7154">
        <v>48.2</v>
      </c>
      <c r="S7154" s="74">
        <v>37189</v>
      </c>
      <c r="T7154" s="77">
        <v>0.33333333333333331</v>
      </c>
      <c r="V7154">
        <v>66.02</v>
      </c>
      <c r="X7154" s="42"/>
      <c r="AB7154">
        <v>50.6</v>
      </c>
      <c r="AC7154">
        <v>59</v>
      </c>
      <c r="AE7154" s="74"/>
      <c r="AF7154" s="77"/>
      <c r="AH7154" s="497">
        <v>35.6</v>
      </c>
      <c r="AJ7154" s="42"/>
      <c r="AK7154" s="74"/>
      <c r="AL7154" s="77"/>
      <c r="AN7154" s="497">
        <v>33.979999999999997</v>
      </c>
      <c r="AP7154" s="42"/>
      <c r="AQ7154" s="74"/>
      <c r="AR7154" s="77"/>
      <c r="AT7154" s="497">
        <v>32</v>
      </c>
      <c r="AV7154" s="42"/>
      <c r="AW7154" s="74"/>
      <c r="AX7154" s="77"/>
      <c r="BA7154" s="497">
        <v>32</v>
      </c>
      <c r="BB7154" s="42"/>
      <c r="BC7154" s="74"/>
      <c r="BD7154" s="77"/>
      <c r="BF7154">
        <v>44.96</v>
      </c>
      <c r="BH7154" s="42"/>
      <c r="BI7154" s="74"/>
      <c r="BJ7154" s="77"/>
      <c r="BL7154" s="497">
        <v>44.96</v>
      </c>
      <c r="BN7154" s="42"/>
      <c r="BO7154" s="74"/>
      <c r="BP7154" s="77"/>
      <c r="BR7154" s="497">
        <v>33.08</v>
      </c>
      <c r="BT7154" s="42"/>
    </row>
    <row r="7155" spans="1:72" x14ac:dyDescent="0.25">
      <c r="A7155" s="90">
        <v>37189</v>
      </c>
      <c r="B7155" s="20">
        <v>0.375</v>
      </c>
      <c r="D7155">
        <v>73.039999999999992</v>
      </c>
      <c r="E7155" t="str">
        <f t="shared" si="258"/>
        <v>WEEKDAY</v>
      </c>
      <c r="F7155" t="e">
        <f t="shared" si="259"/>
        <v>#N/A</v>
      </c>
      <c r="G7155" s="74">
        <v>29519</v>
      </c>
      <c r="H7155" s="77">
        <v>0.375</v>
      </c>
      <c r="J7155">
        <v>53.06</v>
      </c>
      <c r="M7155" s="74">
        <v>36458</v>
      </c>
      <c r="N7155" s="77">
        <v>0.375</v>
      </c>
      <c r="P7155">
        <v>48.2</v>
      </c>
      <c r="S7155" s="74">
        <v>37189</v>
      </c>
      <c r="T7155" s="77">
        <v>0.375</v>
      </c>
      <c r="V7155">
        <v>69.98</v>
      </c>
      <c r="X7155" s="42"/>
      <c r="AB7155">
        <v>52.8</v>
      </c>
      <c r="AC7155">
        <v>62.06</v>
      </c>
      <c r="AE7155" s="74"/>
      <c r="AF7155" s="77"/>
      <c r="AH7155" s="497">
        <v>39.200000000000003</v>
      </c>
      <c r="AJ7155" s="42"/>
      <c r="AK7155" s="74"/>
      <c r="AL7155" s="77"/>
      <c r="AN7155" s="497">
        <v>37.94</v>
      </c>
      <c r="AP7155" s="42"/>
      <c r="AQ7155" s="74"/>
      <c r="AR7155" s="77"/>
      <c r="AT7155" s="497">
        <v>39.019999999999996</v>
      </c>
      <c r="AV7155" s="42"/>
      <c r="AW7155" s="74"/>
      <c r="AX7155" s="77"/>
      <c r="BA7155" s="497">
        <v>37.04</v>
      </c>
      <c r="BB7155" s="42"/>
      <c r="BC7155" s="74"/>
      <c r="BD7155" s="77"/>
      <c r="BF7155">
        <v>48.019999999999996</v>
      </c>
      <c r="BH7155" s="42"/>
      <c r="BI7155" s="74"/>
      <c r="BJ7155" s="77"/>
      <c r="BL7155" s="497">
        <v>48.019999999999996</v>
      </c>
      <c r="BN7155" s="42"/>
      <c r="BO7155" s="74"/>
      <c r="BP7155" s="77"/>
      <c r="BR7155" s="497">
        <v>39.019999999999996</v>
      </c>
      <c r="BT7155" s="42"/>
    </row>
    <row r="7156" spans="1:72" x14ac:dyDescent="0.25">
      <c r="A7156" s="90">
        <v>37189</v>
      </c>
      <c r="B7156" s="20">
        <v>0.41666666666666669</v>
      </c>
      <c r="D7156">
        <v>75.92</v>
      </c>
      <c r="E7156" t="str">
        <f t="shared" si="258"/>
        <v>WEEKDAY</v>
      </c>
      <c r="F7156" t="e">
        <f t="shared" si="259"/>
        <v>#N/A</v>
      </c>
      <c r="G7156" s="74">
        <v>29519</v>
      </c>
      <c r="H7156" s="77">
        <v>0.41666666666666669</v>
      </c>
      <c r="J7156">
        <v>53.96</v>
      </c>
      <c r="M7156" s="74">
        <v>36458</v>
      </c>
      <c r="N7156" s="77">
        <v>0.41666666666666669</v>
      </c>
      <c r="P7156">
        <v>50</v>
      </c>
      <c r="S7156" s="74">
        <v>37189</v>
      </c>
      <c r="T7156" s="77">
        <v>0.41666666666666669</v>
      </c>
      <c r="V7156">
        <v>73.94</v>
      </c>
      <c r="X7156" s="42"/>
      <c r="AB7156">
        <v>54.7</v>
      </c>
      <c r="AC7156">
        <v>66.92</v>
      </c>
      <c r="AE7156" s="74"/>
      <c r="AF7156" s="77"/>
      <c r="AH7156" s="497">
        <v>42.980000000000004</v>
      </c>
      <c r="AJ7156" s="42"/>
      <c r="AK7156" s="74"/>
      <c r="AL7156" s="77"/>
      <c r="AN7156" s="497">
        <v>42.08</v>
      </c>
      <c r="AP7156" s="42"/>
      <c r="AQ7156" s="74"/>
      <c r="AR7156" s="77"/>
      <c r="AT7156" s="497">
        <v>44.06</v>
      </c>
      <c r="AV7156" s="42"/>
      <c r="AW7156" s="74"/>
      <c r="AX7156" s="77"/>
      <c r="BA7156" s="497">
        <v>42.08</v>
      </c>
      <c r="BB7156" s="42"/>
      <c r="BC7156" s="74"/>
      <c r="BD7156" s="77"/>
      <c r="BF7156">
        <v>50</v>
      </c>
      <c r="BH7156" s="42"/>
      <c r="BI7156" s="74"/>
      <c r="BJ7156" s="77"/>
      <c r="BL7156" s="497">
        <v>51.980000000000004</v>
      </c>
      <c r="BN7156" s="42"/>
      <c r="BO7156" s="74"/>
      <c r="BP7156" s="77"/>
      <c r="BR7156" s="497">
        <v>44.06</v>
      </c>
      <c r="BT7156" s="42"/>
    </row>
    <row r="7157" spans="1:72" x14ac:dyDescent="0.25">
      <c r="A7157" s="90">
        <v>37189</v>
      </c>
      <c r="B7157" s="20">
        <v>0.45833333333333331</v>
      </c>
      <c r="D7157">
        <v>78.080000000000013</v>
      </c>
      <c r="E7157" t="str">
        <f t="shared" si="258"/>
        <v>WEEKDAY</v>
      </c>
      <c r="F7157" t="e">
        <f t="shared" si="259"/>
        <v>#N/A</v>
      </c>
      <c r="G7157" s="74">
        <v>29519</v>
      </c>
      <c r="H7157" s="77">
        <v>0.45833333333333331</v>
      </c>
      <c r="J7157">
        <v>56.66</v>
      </c>
      <c r="M7157" s="74">
        <v>36458</v>
      </c>
      <c r="N7157" s="77">
        <v>0.45833333333333331</v>
      </c>
      <c r="P7157">
        <v>53.6</v>
      </c>
      <c r="S7157" s="74">
        <v>37189</v>
      </c>
      <c r="T7157" s="77">
        <v>0.45833333333333331</v>
      </c>
      <c r="V7157">
        <v>77</v>
      </c>
      <c r="X7157" s="42"/>
      <c r="AB7157">
        <v>56.4</v>
      </c>
      <c r="AC7157">
        <v>68</v>
      </c>
      <c r="AE7157" s="74"/>
      <c r="AF7157" s="77"/>
      <c r="AH7157" s="497">
        <v>46.04</v>
      </c>
      <c r="AJ7157" s="42"/>
      <c r="AK7157" s="74"/>
      <c r="AL7157" s="77"/>
      <c r="AN7157" s="497">
        <v>46.94</v>
      </c>
      <c r="AP7157" s="42"/>
      <c r="AQ7157" s="74"/>
      <c r="AR7157" s="77"/>
      <c r="AT7157" s="497">
        <v>48.019999999999996</v>
      </c>
      <c r="AV7157" s="42"/>
      <c r="AW7157" s="74"/>
      <c r="AX7157" s="77"/>
      <c r="BA7157" s="497">
        <v>48.019999999999996</v>
      </c>
      <c r="BB7157" s="42"/>
      <c r="BC7157" s="74"/>
      <c r="BD7157" s="77"/>
      <c r="BF7157">
        <v>53.06</v>
      </c>
      <c r="BH7157" s="42"/>
      <c r="BI7157" s="74"/>
      <c r="BJ7157" s="77"/>
      <c r="BL7157" s="497">
        <v>55.94</v>
      </c>
      <c r="BN7157" s="42"/>
      <c r="BO7157" s="74"/>
      <c r="BP7157" s="77"/>
      <c r="BR7157" s="497">
        <v>48.92</v>
      </c>
      <c r="BT7157" s="42"/>
    </row>
    <row r="7158" spans="1:72" x14ac:dyDescent="0.25">
      <c r="A7158" s="90">
        <v>37189</v>
      </c>
      <c r="B7158" s="20">
        <v>0.5</v>
      </c>
      <c r="D7158">
        <v>75.02</v>
      </c>
      <c r="E7158" t="str">
        <f t="shared" si="258"/>
        <v>WEEKDAY</v>
      </c>
      <c r="F7158" t="e">
        <f t="shared" si="259"/>
        <v>#N/A</v>
      </c>
      <c r="G7158" s="74">
        <v>29519</v>
      </c>
      <c r="H7158" s="77">
        <v>0.5</v>
      </c>
      <c r="J7158">
        <v>59.36</v>
      </c>
      <c r="M7158" s="74">
        <v>36458</v>
      </c>
      <c r="N7158" s="77">
        <v>0.5</v>
      </c>
      <c r="P7158">
        <v>53.6</v>
      </c>
      <c r="S7158" s="74">
        <v>37189</v>
      </c>
      <c r="T7158" s="77">
        <v>0.5</v>
      </c>
      <c r="V7158">
        <v>75.02</v>
      </c>
      <c r="X7158" s="42"/>
      <c r="AB7158">
        <v>57.8</v>
      </c>
      <c r="AC7158">
        <v>71.06</v>
      </c>
      <c r="AE7158" s="74"/>
      <c r="AF7158" s="77"/>
      <c r="AH7158" s="497">
        <v>48.2</v>
      </c>
      <c r="AJ7158" s="42"/>
      <c r="AK7158" s="74"/>
      <c r="AL7158" s="77"/>
      <c r="AN7158" s="497">
        <v>48.92</v>
      </c>
      <c r="AP7158" s="42"/>
      <c r="AQ7158" s="74"/>
      <c r="AR7158" s="77"/>
      <c r="AT7158" s="497">
        <v>48.92</v>
      </c>
      <c r="AV7158" s="42"/>
      <c r="AW7158" s="74"/>
      <c r="AX7158" s="77"/>
      <c r="BA7158" s="497">
        <v>51.08</v>
      </c>
      <c r="BB7158" s="42"/>
      <c r="BC7158" s="74"/>
      <c r="BD7158" s="77"/>
      <c r="BF7158">
        <v>55.94</v>
      </c>
      <c r="BH7158" s="42"/>
      <c r="BI7158" s="74"/>
      <c r="BJ7158" s="77"/>
      <c r="BL7158" s="497">
        <v>57.92</v>
      </c>
      <c r="BN7158" s="42"/>
      <c r="BO7158" s="74"/>
      <c r="BP7158" s="77"/>
      <c r="BR7158" s="497">
        <v>51.980000000000004</v>
      </c>
      <c r="BT7158" s="42"/>
    </row>
    <row r="7159" spans="1:72" x14ac:dyDescent="0.25">
      <c r="A7159" s="90">
        <v>37189</v>
      </c>
      <c r="B7159" s="20">
        <v>0.54166666666666663</v>
      </c>
      <c r="D7159">
        <v>73.94</v>
      </c>
      <c r="E7159" t="str">
        <f t="shared" si="258"/>
        <v>WEEKDAY</v>
      </c>
      <c r="F7159" t="e">
        <f t="shared" si="259"/>
        <v>#N/A</v>
      </c>
      <c r="G7159" s="74">
        <v>29519</v>
      </c>
      <c r="H7159" s="77">
        <v>0.54166666666666663</v>
      </c>
      <c r="J7159">
        <v>62.06</v>
      </c>
      <c r="M7159" s="74">
        <v>36458</v>
      </c>
      <c r="N7159" s="77">
        <v>0.54166666666666663</v>
      </c>
      <c r="P7159">
        <v>55.400000000000006</v>
      </c>
      <c r="S7159" s="74">
        <v>37189</v>
      </c>
      <c r="T7159" s="77">
        <v>0.54166666666666663</v>
      </c>
      <c r="V7159">
        <v>73.94</v>
      </c>
      <c r="X7159" s="42"/>
      <c r="AB7159">
        <v>58.8</v>
      </c>
      <c r="AC7159">
        <v>69.080000000000013</v>
      </c>
      <c r="AE7159" s="74"/>
      <c r="AF7159" s="77"/>
      <c r="AH7159" s="497">
        <v>48.2</v>
      </c>
      <c r="AJ7159" s="42"/>
      <c r="AK7159" s="74"/>
      <c r="AL7159" s="77"/>
      <c r="AN7159" s="497">
        <v>51.980000000000004</v>
      </c>
      <c r="AP7159" s="42"/>
      <c r="AQ7159" s="74"/>
      <c r="AR7159" s="77"/>
      <c r="AT7159" s="497">
        <v>51.08</v>
      </c>
      <c r="AV7159" s="42"/>
      <c r="AW7159" s="74"/>
      <c r="AX7159" s="77"/>
      <c r="BA7159" s="497">
        <v>55.040000000000006</v>
      </c>
      <c r="BB7159" s="42"/>
      <c r="BC7159" s="74"/>
      <c r="BD7159" s="77"/>
      <c r="BF7159">
        <v>57.92</v>
      </c>
      <c r="BH7159" s="42"/>
      <c r="BI7159" s="74"/>
      <c r="BJ7159" s="77"/>
      <c r="BL7159" s="497">
        <v>59</v>
      </c>
      <c r="BN7159" s="42"/>
      <c r="BO7159" s="74"/>
      <c r="BP7159" s="77"/>
      <c r="BR7159" s="497">
        <v>53.06</v>
      </c>
      <c r="BT7159" s="42"/>
    </row>
    <row r="7160" spans="1:72" x14ac:dyDescent="0.25">
      <c r="A7160" s="90">
        <v>37189</v>
      </c>
      <c r="B7160" s="20">
        <v>0.58333333333333337</v>
      </c>
      <c r="D7160">
        <v>75.02</v>
      </c>
      <c r="E7160" t="str">
        <f t="shared" si="258"/>
        <v>WEEKDAY</v>
      </c>
      <c r="F7160" t="e">
        <f t="shared" si="259"/>
        <v>#N/A</v>
      </c>
      <c r="G7160" s="74">
        <v>29519</v>
      </c>
      <c r="H7160" s="77">
        <v>0.58333333333333337</v>
      </c>
      <c r="J7160">
        <v>62.06</v>
      </c>
      <c r="M7160" s="74">
        <v>36458</v>
      </c>
      <c r="N7160" s="77">
        <v>0.58333333333333337</v>
      </c>
      <c r="P7160">
        <v>57.2</v>
      </c>
      <c r="S7160" s="74">
        <v>37189</v>
      </c>
      <c r="T7160" s="77">
        <v>0.58333333333333337</v>
      </c>
      <c r="V7160">
        <v>75.92</v>
      </c>
      <c r="X7160" s="42"/>
      <c r="AB7160">
        <v>59.4</v>
      </c>
      <c r="AC7160">
        <v>68</v>
      </c>
      <c r="AE7160" s="74"/>
      <c r="AF7160" s="77"/>
      <c r="AH7160" s="497">
        <v>50</v>
      </c>
      <c r="AJ7160" s="42"/>
      <c r="AK7160" s="74"/>
      <c r="AL7160" s="77"/>
      <c r="AN7160" s="497">
        <v>51.980000000000004</v>
      </c>
      <c r="AP7160" s="42"/>
      <c r="AQ7160" s="74"/>
      <c r="AR7160" s="77"/>
      <c r="AT7160" s="497">
        <v>53.06</v>
      </c>
      <c r="AV7160" s="42"/>
      <c r="AW7160" s="74"/>
      <c r="AX7160" s="77"/>
      <c r="BA7160" s="497">
        <v>53.06</v>
      </c>
      <c r="BB7160" s="42"/>
      <c r="BC7160" s="74"/>
      <c r="BD7160" s="77"/>
      <c r="BF7160">
        <v>62.06</v>
      </c>
      <c r="BH7160" s="42"/>
      <c r="BI7160" s="74"/>
      <c r="BJ7160" s="77"/>
      <c r="BL7160" s="497">
        <v>62.06</v>
      </c>
      <c r="BN7160" s="42"/>
      <c r="BO7160" s="74"/>
      <c r="BP7160" s="77"/>
      <c r="BR7160" s="497">
        <v>53.96</v>
      </c>
      <c r="BT7160" s="42"/>
    </row>
    <row r="7161" spans="1:72" x14ac:dyDescent="0.25">
      <c r="A7161" s="90">
        <v>37189</v>
      </c>
      <c r="B7161" s="20">
        <v>0.625</v>
      </c>
      <c r="D7161">
        <v>73.94</v>
      </c>
      <c r="E7161" t="str">
        <f t="shared" si="258"/>
        <v>WEEKDAY</v>
      </c>
      <c r="F7161" t="e">
        <f t="shared" si="259"/>
        <v>#N/A</v>
      </c>
      <c r="G7161" s="74">
        <v>29519</v>
      </c>
      <c r="H7161" s="77">
        <v>0.625</v>
      </c>
      <c r="J7161">
        <v>62.06</v>
      </c>
      <c r="M7161" s="74">
        <v>36458</v>
      </c>
      <c r="N7161" s="77">
        <v>0.625</v>
      </c>
      <c r="P7161">
        <v>57.2</v>
      </c>
      <c r="S7161" s="74">
        <v>37189</v>
      </c>
      <c r="T7161" s="77">
        <v>0.625</v>
      </c>
      <c r="V7161">
        <v>73.94</v>
      </c>
      <c r="X7161" s="42"/>
      <c r="AB7161">
        <v>59.6</v>
      </c>
      <c r="AC7161">
        <v>66.02</v>
      </c>
      <c r="AE7161" s="74"/>
      <c r="AF7161" s="77"/>
      <c r="AH7161" s="497">
        <v>50</v>
      </c>
      <c r="AJ7161" s="42"/>
      <c r="AK7161" s="74"/>
      <c r="AL7161" s="77"/>
      <c r="AN7161" s="497">
        <v>51.980000000000004</v>
      </c>
      <c r="AP7161" s="42"/>
      <c r="AQ7161" s="74"/>
      <c r="AR7161" s="77"/>
      <c r="AT7161" s="497">
        <v>51.980000000000004</v>
      </c>
      <c r="AV7161" s="42"/>
      <c r="AW7161" s="74"/>
      <c r="AX7161" s="77"/>
      <c r="BA7161" s="497">
        <v>53.06</v>
      </c>
      <c r="BB7161" s="42"/>
      <c r="BC7161" s="74"/>
      <c r="BD7161" s="77"/>
      <c r="BF7161">
        <v>64.94</v>
      </c>
      <c r="BH7161" s="42"/>
      <c r="BI7161" s="74"/>
      <c r="BJ7161" s="77"/>
      <c r="BL7161" s="497">
        <v>66.02</v>
      </c>
      <c r="BN7161" s="42"/>
      <c r="BO7161" s="74"/>
      <c r="BP7161" s="77"/>
      <c r="BR7161" s="497">
        <v>55.040000000000006</v>
      </c>
      <c r="BT7161" s="42"/>
    </row>
    <row r="7162" spans="1:72" x14ac:dyDescent="0.25">
      <c r="A7162" s="90">
        <v>37189</v>
      </c>
      <c r="B7162" s="20">
        <v>0.66666666666666663</v>
      </c>
      <c r="D7162">
        <v>71.960000000000008</v>
      </c>
      <c r="E7162" t="str">
        <f t="shared" si="258"/>
        <v>WEEKDAY</v>
      </c>
      <c r="F7162" t="e">
        <f t="shared" si="259"/>
        <v>#N/A</v>
      </c>
      <c r="G7162" s="74">
        <v>29519</v>
      </c>
      <c r="H7162" s="77">
        <v>0.66666666666666663</v>
      </c>
      <c r="J7162">
        <v>62.06</v>
      </c>
      <c r="M7162" s="74">
        <v>36458</v>
      </c>
      <c r="N7162" s="77">
        <v>0.66666666666666663</v>
      </c>
      <c r="P7162">
        <v>57.2</v>
      </c>
      <c r="S7162" s="74">
        <v>37189</v>
      </c>
      <c r="T7162" s="77">
        <v>0.66666666666666663</v>
      </c>
      <c r="V7162">
        <v>71.06</v>
      </c>
      <c r="X7162" s="42"/>
      <c r="AB7162">
        <v>59.4</v>
      </c>
      <c r="AC7162">
        <v>64.039999999999992</v>
      </c>
      <c r="AE7162" s="74"/>
      <c r="AF7162" s="77"/>
      <c r="AH7162" s="497">
        <v>48.2</v>
      </c>
      <c r="AJ7162" s="42"/>
      <c r="AK7162" s="74"/>
      <c r="AL7162" s="77"/>
      <c r="AN7162" s="497">
        <v>53.06</v>
      </c>
      <c r="AP7162" s="42"/>
      <c r="AQ7162" s="74"/>
      <c r="AR7162" s="77"/>
      <c r="AT7162" s="497">
        <v>50</v>
      </c>
      <c r="AV7162" s="42"/>
      <c r="AW7162" s="74"/>
      <c r="AX7162" s="77"/>
      <c r="BA7162" s="497">
        <v>51.980000000000004</v>
      </c>
      <c r="BB7162" s="42"/>
      <c r="BC7162" s="74"/>
      <c r="BD7162" s="77"/>
      <c r="BF7162">
        <v>64.039999999999992</v>
      </c>
      <c r="BH7162" s="42"/>
      <c r="BI7162" s="74"/>
      <c r="BJ7162" s="77"/>
      <c r="BL7162" s="497">
        <v>64.039999999999992</v>
      </c>
      <c r="BN7162" s="42"/>
      <c r="BO7162" s="74"/>
      <c r="BP7162" s="77"/>
      <c r="BR7162" s="497">
        <v>53.06</v>
      </c>
      <c r="BT7162" s="42"/>
    </row>
    <row r="7163" spans="1:72" x14ac:dyDescent="0.25">
      <c r="A7163" s="90">
        <v>37189</v>
      </c>
      <c r="B7163" s="20">
        <v>0.70833333333333337</v>
      </c>
      <c r="D7163">
        <v>69.080000000000013</v>
      </c>
      <c r="E7163" t="str">
        <f t="shared" si="258"/>
        <v>WEEKDAY</v>
      </c>
      <c r="F7163" t="e">
        <f t="shared" si="259"/>
        <v>#N/A</v>
      </c>
      <c r="G7163" s="74">
        <v>29519</v>
      </c>
      <c r="H7163" s="77">
        <v>0.70833333333333337</v>
      </c>
      <c r="J7163">
        <v>60.980000000000004</v>
      </c>
      <c r="M7163" s="74">
        <v>36458</v>
      </c>
      <c r="N7163" s="77">
        <v>0.70833333333333337</v>
      </c>
      <c r="P7163">
        <v>53.6</v>
      </c>
      <c r="S7163" s="74">
        <v>37189</v>
      </c>
      <c r="T7163" s="77">
        <v>0.70833333333333337</v>
      </c>
      <c r="V7163">
        <v>68</v>
      </c>
      <c r="X7163" s="42"/>
      <c r="AB7163">
        <v>58.5</v>
      </c>
      <c r="AC7163">
        <v>60.08</v>
      </c>
      <c r="AE7163" s="74"/>
      <c r="AF7163" s="77"/>
      <c r="AH7163" s="497">
        <v>48.2</v>
      </c>
      <c r="AJ7163" s="42"/>
      <c r="AK7163" s="74"/>
      <c r="AL7163" s="77"/>
      <c r="AN7163" s="497">
        <v>51.08</v>
      </c>
      <c r="AP7163" s="42"/>
      <c r="AQ7163" s="74"/>
      <c r="AR7163" s="77"/>
      <c r="AT7163" s="497">
        <v>48.019999999999996</v>
      </c>
      <c r="AV7163" s="42"/>
      <c r="AW7163" s="74"/>
      <c r="AX7163" s="77"/>
      <c r="BA7163" s="497">
        <v>50</v>
      </c>
      <c r="BB7163" s="42"/>
      <c r="BC7163" s="74"/>
      <c r="BD7163" s="77"/>
      <c r="BF7163">
        <v>64.039999999999992</v>
      </c>
      <c r="BH7163" s="42"/>
      <c r="BI7163" s="74"/>
      <c r="BJ7163" s="77"/>
      <c r="BL7163" s="497">
        <v>62.96</v>
      </c>
      <c r="BN7163" s="42"/>
      <c r="BO7163" s="74"/>
      <c r="BP7163" s="77"/>
      <c r="BR7163" s="497">
        <v>50</v>
      </c>
      <c r="BT7163" s="42"/>
    </row>
    <row r="7164" spans="1:72" x14ac:dyDescent="0.25">
      <c r="A7164" s="90">
        <v>37189</v>
      </c>
      <c r="B7164" s="20">
        <v>0.75</v>
      </c>
      <c r="D7164">
        <v>68</v>
      </c>
      <c r="E7164" t="str">
        <f t="shared" si="258"/>
        <v>WEEKDAY</v>
      </c>
      <c r="F7164" t="e">
        <f t="shared" si="259"/>
        <v>#N/A</v>
      </c>
      <c r="G7164" s="74">
        <v>29519</v>
      </c>
      <c r="H7164" s="77">
        <v>0.75</v>
      </c>
      <c r="J7164">
        <v>60.08</v>
      </c>
      <c r="M7164" s="74">
        <v>36458</v>
      </c>
      <c r="N7164" s="77">
        <v>0.75</v>
      </c>
      <c r="P7164">
        <v>53.6</v>
      </c>
      <c r="S7164" s="74">
        <v>37189</v>
      </c>
      <c r="T7164" s="77">
        <v>0.75</v>
      </c>
      <c r="V7164">
        <v>66.02</v>
      </c>
      <c r="X7164" s="42"/>
      <c r="AB7164">
        <v>57</v>
      </c>
      <c r="AC7164">
        <v>59</v>
      </c>
      <c r="AE7164" s="74"/>
      <c r="AF7164" s="77"/>
      <c r="AH7164" s="497">
        <v>46.4</v>
      </c>
      <c r="AJ7164" s="42"/>
      <c r="AK7164" s="74"/>
      <c r="AL7164" s="77"/>
      <c r="AN7164" s="497">
        <v>50</v>
      </c>
      <c r="AP7164" s="42"/>
      <c r="AQ7164" s="74"/>
      <c r="AR7164" s="77"/>
      <c r="AT7164" s="497">
        <v>48.019999999999996</v>
      </c>
      <c r="AV7164" s="42"/>
      <c r="AW7164" s="74"/>
      <c r="AX7164" s="77"/>
      <c r="BA7164" s="497">
        <v>48.92</v>
      </c>
      <c r="BB7164" s="42"/>
      <c r="BC7164" s="74"/>
      <c r="BD7164" s="77"/>
      <c r="BF7164">
        <v>64.039999999999992</v>
      </c>
      <c r="BH7164" s="42"/>
      <c r="BI7164" s="74"/>
      <c r="BJ7164" s="77"/>
      <c r="BL7164" s="497">
        <v>66.02</v>
      </c>
      <c r="BN7164" s="42"/>
      <c r="BO7164" s="74"/>
      <c r="BP7164" s="77"/>
      <c r="BR7164" s="497">
        <v>46.94</v>
      </c>
      <c r="BT7164" s="42"/>
    </row>
    <row r="7165" spans="1:72" x14ac:dyDescent="0.25">
      <c r="A7165" s="90">
        <v>37189</v>
      </c>
      <c r="B7165" s="20">
        <v>0.79166666666666663</v>
      </c>
      <c r="D7165">
        <v>66.92</v>
      </c>
      <c r="E7165" t="str">
        <f t="shared" si="258"/>
        <v>WEEKDAY</v>
      </c>
      <c r="F7165" t="e">
        <f t="shared" si="259"/>
        <v>#N/A</v>
      </c>
      <c r="G7165" s="74">
        <v>29519</v>
      </c>
      <c r="H7165" s="77">
        <v>0.79166666666666663</v>
      </c>
      <c r="J7165">
        <v>59</v>
      </c>
      <c r="M7165" s="74">
        <v>36458</v>
      </c>
      <c r="N7165" s="77">
        <v>0.79166666666666663</v>
      </c>
      <c r="P7165">
        <v>51.8</v>
      </c>
      <c r="S7165" s="74">
        <v>37189</v>
      </c>
      <c r="T7165" s="77">
        <v>0.79166666666666663</v>
      </c>
      <c r="V7165">
        <v>64.94</v>
      </c>
      <c r="X7165" s="42"/>
      <c r="AB7165">
        <v>56.1</v>
      </c>
      <c r="AC7165">
        <v>53.96</v>
      </c>
      <c r="AE7165" s="74"/>
      <c r="AF7165" s="77"/>
      <c r="AH7165" s="497">
        <v>46.4</v>
      </c>
      <c r="AJ7165" s="42"/>
      <c r="AK7165" s="74"/>
      <c r="AL7165" s="77"/>
      <c r="AN7165" s="497">
        <v>50</v>
      </c>
      <c r="AP7165" s="42"/>
      <c r="AQ7165" s="74"/>
      <c r="AR7165" s="77"/>
      <c r="AT7165" s="497">
        <v>46.94</v>
      </c>
      <c r="AV7165" s="42"/>
      <c r="AW7165" s="74"/>
      <c r="AX7165" s="77"/>
      <c r="BA7165" s="497">
        <v>46.94</v>
      </c>
      <c r="BB7165" s="42"/>
      <c r="BC7165" s="74"/>
      <c r="BD7165" s="77"/>
      <c r="BF7165">
        <v>62.06</v>
      </c>
      <c r="BH7165" s="42"/>
      <c r="BI7165" s="74"/>
      <c r="BJ7165" s="77"/>
      <c r="BL7165" s="497">
        <v>64.039999999999992</v>
      </c>
      <c r="BN7165" s="42"/>
      <c r="BO7165" s="74"/>
      <c r="BP7165" s="77"/>
      <c r="BR7165" s="497">
        <v>37.94</v>
      </c>
      <c r="BT7165" s="42"/>
    </row>
    <row r="7166" spans="1:72" x14ac:dyDescent="0.25">
      <c r="A7166" s="90">
        <v>37189</v>
      </c>
      <c r="B7166" s="20">
        <v>0.83333333333333337</v>
      </c>
      <c r="D7166">
        <v>66.02</v>
      </c>
      <c r="E7166" t="str">
        <f t="shared" si="258"/>
        <v>WEEKDAY</v>
      </c>
      <c r="F7166" t="e">
        <f t="shared" si="259"/>
        <v>#N/A</v>
      </c>
      <c r="G7166" s="74">
        <v>29519</v>
      </c>
      <c r="H7166" s="77">
        <v>0.83333333333333337</v>
      </c>
      <c r="J7166">
        <v>55.400000000000006</v>
      </c>
      <c r="M7166" s="74">
        <v>36458</v>
      </c>
      <c r="N7166" s="77">
        <v>0.83333333333333337</v>
      </c>
      <c r="P7166">
        <v>50</v>
      </c>
      <c r="S7166" s="74">
        <v>37189</v>
      </c>
      <c r="T7166" s="77">
        <v>0.83333333333333337</v>
      </c>
      <c r="V7166">
        <v>64.039999999999992</v>
      </c>
      <c r="X7166" s="42"/>
      <c r="AB7166">
        <v>55.5</v>
      </c>
      <c r="AC7166">
        <v>51.980000000000004</v>
      </c>
      <c r="AE7166" s="74"/>
      <c r="AF7166" s="77"/>
      <c r="AH7166" s="497">
        <v>46.4</v>
      </c>
      <c r="AJ7166" s="42"/>
      <c r="AK7166" s="74"/>
      <c r="AL7166" s="77"/>
      <c r="AN7166" s="497">
        <v>50</v>
      </c>
      <c r="AP7166" s="42"/>
      <c r="AQ7166" s="74"/>
      <c r="AR7166" s="77"/>
      <c r="AT7166" s="497">
        <v>46.04</v>
      </c>
      <c r="AV7166" s="42"/>
      <c r="AW7166" s="74"/>
      <c r="AX7166" s="77"/>
      <c r="BA7166" s="497">
        <v>46.04</v>
      </c>
      <c r="BB7166" s="42"/>
      <c r="BC7166" s="74"/>
      <c r="BD7166" s="77"/>
      <c r="BF7166">
        <v>57.92</v>
      </c>
      <c r="BH7166" s="42"/>
      <c r="BI7166" s="74"/>
      <c r="BJ7166" s="77"/>
      <c r="BL7166" s="497">
        <v>64.94</v>
      </c>
      <c r="BN7166" s="42"/>
      <c r="BO7166" s="74"/>
      <c r="BP7166" s="77"/>
      <c r="BR7166" s="497">
        <v>35.06</v>
      </c>
      <c r="BT7166" s="42"/>
    </row>
    <row r="7167" spans="1:72" x14ac:dyDescent="0.25">
      <c r="A7167" s="90">
        <v>37189</v>
      </c>
      <c r="B7167" s="20">
        <v>0.875</v>
      </c>
      <c r="D7167">
        <v>64.039999999999992</v>
      </c>
      <c r="E7167" t="str">
        <f t="shared" si="258"/>
        <v>WEEKDAY</v>
      </c>
      <c r="F7167" t="e">
        <f t="shared" si="259"/>
        <v>#N/A</v>
      </c>
      <c r="G7167" s="74">
        <v>29519</v>
      </c>
      <c r="H7167" s="77">
        <v>0.875</v>
      </c>
      <c r="J7167">
        <v>51.620000000000005</v>
      </c>
      <c r="M7167" s="74">
        <v>36458</v>
      </c>
      <c r="N7167" s="77">
        <v>0.875</v>
      </c>
      <c r="P7167">
        <v>48.2</v>
      </c>
      <c r="S7167" s="74">
        <v>37189</v>
      </c>
      <c r="T7167" s="77">
        <v>0.875</v>
      </c>
      <c r="V7167">
        <v>62.96</v>
      </c>
      <c r="X7167" s="42"/>
      <c r="AB7167">
        <v>54.8</v>
      </c>
      <c r="AC7167">
        <v>51.08</v>
      </c>
      <c r="AE7167" s="74"/>
      <c r="AF7167" s="77"/>
      <c r="AH7167" s="497">
        <v>45.5</v>
      </c>
      <c r="AJ7167" s="42"/>
      <c r="AK7167" s="74"/>
      <c r="AL7167" s="77"/>
      <c r="AN7167" s="497">
        <v>48.92</v>
      </c>
      <c r="AP7167" s="42"/>
      <c r="AQ7167" s="74"/>
      <c r="AR7167" s="77"/>
      <c r="AT7167" s="497">
        <v>42.08</v>
      </c>
      <c r="AV7167" s="42"/>
      <c r="AW7167" s="74"/>
      <c r="AX7167" s="77"/>
      <c r="BA7167" s="497">
        <v>46.94</v>
      </c>
      <c r="BB7167" s="42"/>
      <c r="BC7167" s="74"/>
      <c r="BD7167" s="77"/>
      <c r="BF7167">
        <v>55.94</v>
      </c>
      <c r="BH7167" s="42"/>
      <c r="BI7167" s="74"/>
      <c r="BJ7167" s="77"/>
      <c r="BL7167" s="497">
        <v>64.039999999999992</v>
      </c>
      <c r="BN7167" s="42"/>
      <c r="BO7167" s="74"/>
      <c r="BP7167" s="77"/>
      <c r="BR7167" s="497">
        <v>35.06</v>
      </c>
      <c r="BT7167" s="42"/>
    </row>
    <row r="7168" spans="1:72" x14ac:dyDescent="0.25">
      <c r="A7168" s="90">
        <v>37189</v>
      </c>
      <c r="B7168" s="20">
        <v>0.91666666666666663</v>
      </c>
      <c r="D7168">
        <v>62.96</v>
      </c>
      <c r="E7168" t="str">
        <f t="shared" si="258"/>
        <v>WEEKDAY</v>
      </c>
      <c r="F7168" t="e">
        <f t="shared" si="259"/>
        <v>#N/A</v>
      </c>
      <c r="G7168" s="74">
        <v>29519</v>
      </c>
      <c r="H7168" s="77">
        <v>0.91666666666666663</v>
      </c>
      <c r="J7168">
        <v>48.019999999999996</v>
      </c>
      <c r="M7168" s="74">
        <v>36458</v>
      </c>
      <c r="N7168" s="77">
        <v>0.91666666666666663</v>
      </c>
      <c r="P7168">
        <v>46.4</v>
      </c>
      <c r="S7168" s="74">
        <v>37189</v>
      </c>
      <c r="T7168" s="77">
        <v>0.91666666666666663</v>
      </c>
      <c r="V7168">
        <v>60.980000000000004</v>
      </c>
      <c r="X7168" s="42"/>
      <c r="AB7168">
        <v>54.2</v>
      </c>
      <c r="AC7168">
        <v>51.08</v>
      </c>
      <c r="AE7168" s="74"/>
      <c r="AF7168" s="77"/>
      <c r="AH7168" s="497">
        <v>44.42</v>
      </c>
      <c r="AJ7168" s="42"/>
      <c r="AK7168" s="74"/>
      <c r="AL7168" s="77"/>
      <c r="AN7168" s="497">
        <v>46.94</v>
      </c>
      <c r="AP7168" s="42"/>
      <c r="AQ7168" s="74"/>
      <c r="AR7168" s="77"/>
      <c r="AT7168" s="497">
        <v>41</v>
      </c>
      <c r="AV7168" s="42"/>
      <c r="AW7168" s="74"/>
      <c r="AX7168" s="77"/>
      <c r="BA7168" s="497">
        <v>46.94</v>
      </c>
      <c r="BB7168" s="42"/>
      <c r="BC7168" s="74"/>
      <c r="BD7168" s="77"/>
      <c r="BF7168">
        <v>53.96</v>
      </c>
      <c r="BH7168" s="42"/>
      <c r="BI7168" s="74"/>
      <c r="BJ7168" s="77"/>
      <c r="BL7168" s="497">
        <v>59</v>
      </c>
      <c r="BN7168" s="42"/>
      <c r="BO7168" s="74"/>
      <c r="BP7168" s="77"/>
      <c r="BR7168" s="497">
        <v>33.979999999999997</v>
      </c>
      <c r="BT7168" s="42"/>
    </row>
    <row r="7169" spans="1:72" x14ac:dyDescent="0.25">
      <c r="A7169" s="90">
        <v>37189</v>
      </c>
      <c r="B7169" s="20">
        <v>0.95833333333333337</v>
      </c>
      <c r="D7169">
        <v>60.980000000000004</v>
      </c>
      <c r="E7169" t="str">
        <f t="shared" si="258"/>
        <v>WEEKDAY</v>
      </c>
      <c r="F7169" t="e">
        <f t="shared" si="259"/>
        <v>#N/A</v>
      </c>
      <c r="G7169" s="74">
        <v>29519</v>
      </c>
      <c r="H7169" s="77">
        <v>0.95833333333333337</v>
      </c>
      <c r="J7169">
        <v>47.66</v>
      </c>
      <c r="M7169" s="74">
        <v>36458</v>
      </c>
      <c r="N7169" s="77">
        <v>0.95833333333333337</v>
      </c>
      <c r="P7169">
        <v>48.2</v>
      </c>
      <c r="S7169" s="74">
        <v>37189</v>
      </c>
      <c r="T7169" s="77">
        <v>0.95833333333333337</v>
      </c>
      <c r="V7169">
        <v>60.980000000000004</v>
      </c>
      <c r="X7169" s="42"/>
      <c r="AB7169">
        <v>53.6</v>
      </c>
      <c r="AC7169">
        <v>50</v>
      </c>
      <c r="AE7169" s="74"/>
      <c r="AF7169" s="77"/>
      <c r="AH7169" s="497">
        <v>44.06</v>
      </c>
      <c r="AJ7169" s="42"/>
      <c r="AK7169" s="74"/>
      <c r="AL7169" s="77"/>
      <c r="AN7169" s="497">
        <v>48.019999999999996</v>
      </c>
      <c r="AP7169" s="42"/>
      <c r="AQ7169" s="74"/>
      <c r="AR7169" s="77"/>
      <c r="AT7169" s="497">
        <v>42.08</v>
      </c>
      <c r="AV7169" s="42"/>
      <c r="AW7169" s="74"/>
      <c r="AX7169" s="77"/>
      <c r="BA7169" s="497">
        <v>46.94</v>
      </c>
      <c r="BB7169" s="42"/>
      <c r="BC7169" s="74"/>
      <c r="BD7169" s="77"/>
      <c r="BF7169">
        <v>53.96</v>
      </c>
      <c r="BH7169" s="42"/>
      <c r="BI7169" s="74"/>
      <c r="BJ7169" s="77"/>
      <c r="BL7169" s="497">
        <v>57.019999999999996</v>
      </c>
      <c r="BN7169" s="42"/>
      <c r="BO7169" s="74"/>
      <c r="BP7169" s="77"/>
      <c r="BR7169" s="497">
        <v>33.08</v>
      </c>
      <c r="BT7169" s="42"/>
    </row>
    <row r="7170" spans="1:72" x14ac:dyDescent="0.25">
      <c r="A7170" s="90">
        <v>37189</v>
      </c>
      <c r="B7170" s="20">
        <v>1</v>
      </c>
      <c r="D7170">
        <v>60.08</v>
      </c>
      <c r="E7170" t="str">
        <f t="shared" si="258"/>
        <v>WEEKDAY</v>
      </c>
      <c r="F7170" t="e">
        <f t="shared" si="259"/>
        <v>#N/A</v>
      </c>
      <c r="G7170" s="74">
        <v>29519</v>
      </c>
      <c r="H7170" s="77">
        <v>1</v>
      </c>
      <c r="J7170">
        <v>47.3</v>
      </c>
      <c r="M7170" s="74">
        <v>36458</v>
      </c>
      <c r="N7170" s="80">
        <v>1</v>
      </c>
      <c r="P7170">
        <v>48.2</v>
      </c>
      <c r="S7170" s="74">
        <v>37189</v>
      </c>
      <c r="T7170" s="80">
        <v>1</v>
      </c>
      <c r="V7170">
        <v>57.92</v>
      </c>
      <c r="X7170" s="42"/>
      <c r="AB7170">
        <v>52.9</v>
      </c>
      <c r="AC7170">
        <v>48.92</v>
      </c>
      <c r="AE7170" s="74"/>
      <c r="AF7170" s="80"/>
      <c r="AH7170" s="497">
        <v>42.8</v>
      </c>
      <c r="AJ7170" s="42"/>
      <c r="AK7170" s="74"/>
      <c r="AL7170" s="80"/>
      <c r="AN7170" s="497">
        <v>46.94</v>
      </c>
      <c r="AP7170" s="42"/>
      <c r="AQ7170" s="74"/>
      <c r="AR7170" s="80"/>
      <c r="AT7170" s="497">
        <v>41</v>
      </c>
      <c r="AV7170" s="42"/>
      <c r="AW7170" s="74"/>
      <c r="AX7170" s="80"/>
      <c r="BA7170" s="497">
        <v>48.019999999999996</v>
      </c>
      <c r="BB7170" s="42"/>
      <c r="BC7170" s="74"/>
      <c r="BD7170" s="80"/>
      <c r="BF7170">
        <v>55.94</v>
      </c>
      <c r="BH7170" s="42"/>
      <c r="BI7170" s="74"/>
      <c r="BJ7170" s="80"/>
      <c r="BL7170" s="497">
        <v>57.92</v>
      </c>
      <c r="BN7170" s="42"/>
      <c r="BO7170" s="74"/>
      <c r="BP7170" s="80"/>
      <c r="BR7170" s="497">
        <v>32</v>
      </c>
      <c r="BT7170" s="42"/>
    </row>
    <row r="7171" spans="1:72" x14ac:dyDescent="0.25">
      <c r="A7171" s="90">
        <v>37190</v>
      </c>
      <c r="B7171" s="20">
        <v>4.1666666666666664E-2</v>
      </c>
      <c r="D7171">
        <v>60.08</v>
      </c>
      <c r="E7171" t="str">
        <f t="shared" si="258"/>
        <v>WEEKDAY</v>
      </c>
      <c r="F7171" t="e">
        <f t="shared" si="259"/>
        <v>#N/A</v>
      </c>
      <c r="G7171" s="74">
        <v>29520</v>
      </c>
      <c r="H7171" s="77">
        <v>4.1666666666666664E-2</v>
      </c>
      <c r="J7171">
        <v>46.94</v>
      </c>
      <c r="M7171" s="74">
        <v>36459</v>
      </c>
      <c r="N7171" s="77">
        <v>4.1666666666666664E-2</v>
      </c>
      <c r="P7171">
        <v>48.2</v>
      </c>
      <c r="S7171" s="74">
        <v>37190</v>
      </c>
      <c r="T7171" s="77">
        <v>4.1666666666666664E-2</v>
      </c>
      <c r="V7171">
        <v>55.94</v>
      </c>
      <c r="X7171" s="42"/>
      <c r="AB7171">
        <v>52.4</v>
      </c>
      <c r="AC7171">
        <v>48.019999999999996</v>
      </c>
      <c r="AE7171" s="74"/>
      <c r="AF7171" s="77"/>
      <c r="AH7171" s="497">
        <v>42.44</v>
      </c>
      <c r="AJ7171" s="42"/>
      <c r="AK7171" s="74"/>
      <c r="AL7171" s="77"/>
      <c r="AN7171" s="497">
        <v>46.94</v>
      </c>
      <c r="AP7171" s="42"/>
      <c r="AQ7171" s="74"/>
      <c r="AR7171" s="77"/>
      <c r="AT7171" s="497">
        <v>41</v>
      </c>
      <c r="AV7171" s="42"/>
      <c r="AW7171" s="74"/>
      <c r="AX7171" s="77"/>
      <c r="BA7171" s="497">
        <v>48.019999999999996</v>
      </c>
      <c r="BB7171" s="42"/>
      <c r="BC7171" s="74"/>
      <c r="BD7171" s="77"/>
      <c r="BF7171">
        <v>57.019999999999996</v>
      </c>
      <c r="BH7171" s="42"/>
      <c r="BI7171" s="74"/>
      <c r="BJ7171" s="77"/>
      <c r="BL7171" s="497">
        <v>59</v>
      </c>
      <c r="BN7171" s="42"/>
      <c r="BO7171" s="74"/>
      <c r="BP7171" s="77"/>
      <c r="BR7171" s="497">
        <v>30.92</v>
      </c>
      <c r="BT7171" s="42"/>
    </row>
    <row r="7172" spans="1:72" x14ac:dyDescent="0.25">
      <c r="A7172" s="90">
        <v>37190</v>
      </c>
      <c r="B7172" s="20">
        <v>8.3333333333333329E-2</v>
      </c>
      <c r="D7172">
        <v>57.92</v>
      </c>
      <c r="E7172" t="str">
        <f t="shared" si="258"/>
        <v>WEEKDAY</v>
      </c>
      <c r="F7172" t="e">
        <f t="shared" si="259"/>
        <v>#N/A</v>
      </c>
      <c r="G7172" s="74">
        <v>29520</v>
      </c>
      <c r="H7172" s="77">
        <v>8.3333333333333329E-2</v>
      </c>
      <c r="J7172">
        <v>46.04</v>
      </c>
      <c r="M7172" s="74">
        <v>36459</v>
      </c>
      <c r="N7172" s="77">
        <v>8.3333333333333329E-2</v>
      </c>
      <c r="P7172">
        <v>46.4</v>
      </c>
      <c r="S7172" s="74">
        <v>37190</v>
      </c>
      <c r="T7172" s="77">
        <v>8.3333333333333329E-2</v>
      </c>
      <c r="V7172">
        <v>57.019999999999996</v>
      </c>
      <c r="X7172" s="42"/>
      <c r="AB7172">
        <v>51.8</v>
      </c>
      <c r="AC7172">
        <v>48.019999999999996</v>
      </c>
      <c r="AE7172" s="74"/>
      <c r="AF7172" s="77"/>
      <c r="AH7172" s="497">
        <v>41.18</v>
      </c>
      <c r="AJ7172" s="42"/>
      <c r="AK7172" s="74"/>
      <c r="AL7172" s="77"/>
      <c r="AN7172" s="497">
        <v>46.04</v>
      </c>
      <c r="AP7172" s="42"/>
      <c r="AQ7172" s="74"/>
      <c r="AR7172" s="77"/>
      <c r="AT7172" s="497">
        <v>41</v>
      </c>
      <c r="AV7172" s="42"/>
      <c r="AW7172" s="74"/>
      <c r="AX7172" s="77"/>
      <c r="BA7172" s="497">
        <v>48.019999999999996</v>
      </c>
      <c r="BB7172" s="42"/>
      <c r="BC7172" s="74"/>
      <c r="BD7172" s="77"/>
      <c r="BF7172">
        <v>57.019999999999996</v>
      </c>
      <c r="BH7172" s="42"/>
      <c r="BI7172" s="74"/>
      <c r="BJ7172" s="77"/>
      <c r="BL7172" s="497">
        <v>59</v>
      </c>
      <c r="BN7172" s="42"/>
      <c r="BO7172" s="74"/>
      <c r="BP7172" s="77"/>
      <c r="BR7172" s="497">
        <v>30.92</v>
      </c>
      <c r="BT7172" s="42"/>
    </row>
    <row r="7173" spans="1:72" x14ac:dyDescent="0.25">
      <c r="A7173" s="90">
        <v>37190</v>
      </c>
      <c r="B7173" s="20">
        <v>0.125</v>
      </c>
      <c r="D7173">
        <v>57.92</v>
      </c>
      <c r="E7173" t="str">
        <f t="shared" si="258"/>
        <v>WEEKDAY</v>
      </c>
      <c r="F7173" t="e">
        <f t="shared" si="259"/>
        <v>#N/A</v>
      </c>
      <c r="G7173" s="74">
        <v>29520</v>
      </c>
      <c r="H7173" s="77">
        <v>0.125</v>
      </c>
      <c r="J7173">
        <v>44.96</v>
      </c>
      <c r="M7173" s="74">
        <v>36459</v>
      </c>
      <c r="N7173" s="77">
        <v>0.125</v>
      </c>
      <c r="P7173">
        <v>46.4</v>
      </c>
      <c r="S7173" s="74">
        <v>37190</v>
      </c>
      <c r="T7173" s="77">
        <v>0.125</v>
      </c>
      <c r="V7173">
        <v>55.94</v>
      </c>
      <c r="X7173" s="42"/>
      <c r="AB7173">
        <v>51.2</v>
      </c>
      <c r="AC7173">
        <v>50</v>
      </c>
      <c r="AE7173" s="74"/>
      <c r="AF7173" s="77"/>
      <c r="AH7173" s="497">
        <v>41.72</v>
      </c>
      <c r="AJ7173" s="42"/>
      <c r="AK7173" s="74"/>
      <c r="AL7173" s="77"/>
      <c r="AN7173" s="497">
        <v>46.04</v>
      </c>
      <c r="AP7173" s="42"/>
      <c r="AQ7173" s="74"/>
      <c r="AR7173" s="77"/>
      <c r="AT7173" s="497">
        <v>41</v>
      </c>
      <c r="AV7173" s="42"/>
      <c r="AW7173" s="74"/>
      <c r="AX7173" s="77"/>
      <c r="BA7173" s="497">
        <v>48.019999999999996</v>
      </c>
      <c r="BB7173" s="42"/>
      <c r="BC7173" s="74"/>
      <c r="BD7173" s="77"/>
      <c r="BF7173">
        <v>57.92</v>
      </c>
      <c r="BH7173" s="42"/>
      <c r="BI7173" s="74"/>
      <c r="BJ7173" s="77"/>
      <c r="BL7173" s="497">
        <v>59</v>
      </c>
      <c r="BN7173" s="42"/>
      <c r="BO7173" s="74"/>
      <c r="BP7173" s="77"/>
      <c r="BR7173" s="497">
        <v>32</v>
      </c>
      <c r="BT7173" s="42"/>
    </row>
    <row r="7174" spans="1:72" x14ac:dyDescent="0.25">
      <c r="A7174" s="90">
        <v>37190</v>
      </c>
      <c r="B7174" s="20">
        <v>0.16666666666666666</v>
      </c>
      <c r="D7174">
        <v>55.94</v>
      </c>
      <c r="E7174" t="str">
        <f t="shared" si="258"/>
        <v>WEEKDAY</v>
      </c>
      <c r="F7174" t="e">
        <f t="shared" si="259"/>
        <v>#N/A</v>
      </c>
      <c r="G7174" s="74">
        <v>29520</v>
      </c>
      <c r="H7174" s="77">
        <v>0.16666666666666666</v>
      </c>
      <c r="J7174">
        <v>44.06</v>
      </c>
      <c r="M7174" s="74">
        <v>36459</v>
      </c>
      <c r="N7174" s="77">
        <v>0.16666666666666666</v>
      </c>
      <c r="P7174">
        <v>46.4</v>
      </c>
      <c r="S7174" s="74">
        <v>37190</v>
      </c>
      <c r="T7174" s="77">
        <v>0.16666666666666666</v>
      </c>
      <c r="V7174">
        <v>55.040000000000006</v>
      </c>
      <c r="X7174" s="42"/>
      <c r="AB7174">
        <v>50.7</v>
      </c>
      <c r="AC7174">
        <v>51.08</v>
      </c>
      <c r="AE7174" s="74"/>
      <c r="AF7174" s="77"/>
      <c r="AH7174" s="497">
        <v>39.380000000000003</v>
      </c>
      <c r="AJ7174" s="42"/>
      <c r="AK7174" s="74"/>
      <c r="AL7174" s="77"/>
      <c r="AN7174" s="497">
        <v>46.04</v>
      </c>
      <c r="AP7174" s="42"/>
      <c r="AQ7174" s="74"/>
      <c r="AR7174" s="77"/>
      <c r="AT7174" s="497">
        <v>41</v>
      </c>
      <c r="AV7174" s="42"/>
      <c r="AW7174" s="74"/>
      <c r="AX7174" s="77"/>
      <c r="BA7174" s="497">
        <v>46.04</v>
      </c>
      <c r="BB7174" s="42"/>
      <c r="BC7174" s="74"/>
      <c r="BD7174" s="77"/>
      <c r="BF7174">
        <v>59</v>
      </c>
      <c r="BH7174" s="42"/>
      <c r="BI7174" s="74"/>
      <c r="BJ7174" s="77"/>
      <c r="BL7174" s="497">
        <v>57.92</v>
      </c>
      <c r="BN7174" s="42"/>
      <c r="BO7174" s="74"/>
      <c r="BP7174" s="77"/>
      <c r="BR7174" s="497">
        <v>32</v>
      </c>
      <c r="BT7174" s="42"/>
    </row>
    <row r="7175" spans="1:72" x14ac:dyDescent="0.25">
      <c r="A7175" s="90">
        <v>37190</v>
      </c>
      <c r="B7175" s="20">
        <v>0.20833333333333334</v>
      </c>
      <c r="D7175">
        <v>55.040000000000006</v>
      </c>
      <c r="E7175" t="str">
        <f t="shared" si="258"/>
        <v>WEEKDAY</v>
      </c>
      <c r="F7175" t="e">
        <f t="shared" si="259"/>
        <v>#N/A</v>
      </c>
      <c r="G7175" s="74">
        <v>29520</v>
      </c>
      <c r="H7175" s="77">
        <v>0.20833333333333334</v>
      </c>
      <c r="J7175">
        <v>44.06</v>
      </c>
      <c r="M7175" s="74">
        <v>36459</v>
      </c>
      <c r="N7175" s="77">
        <v>0.20833333333333334</v>
      </c>
      <c r="P7175">
        <v>44.6</v>
      </c>
      <c r="S7175" s="74">
        <v>37190</v>
      </c>
      <c r="T7175" s="77">
        <v>0.20833333333333334</v>
      </c>
      <c r="V7175">
        <v>53.96</v>
      </c>
      <c r="X7175" s="42"/>
      <c r="AB7175">
        <v>50.4</v>
      </c>
      <c r="AC7175">
        <v>51.980000000000004</v>
      </c>
      <c r="AE7175" s="74"/>
      <c r="AF7175" s="77"/>
      <c r="AH7175" s="497">
        <v>38.119999999999997</v>
      </c>
      <c r="AJ7175" s="42"/>
      <c r="AK7175" s="74"/>
      <c r="AL7175" s="77"/>
      <c r="AN7175" s="497">
        <v>44.96</v>
      </c>
      <c r="AP7175" s="42"/>
      <c r="AQ7175" s="74"/>
      <c r="AR7175" s="77"/>
      <c r="AT7175" s="497">
        <v>42.08</v>
      </c>
      <c r="AV7175" s="42"/>
      <c r="AW7175" s="74"/>
      <c r="AX7175" s="77"/>
      <c r="BA7175" s="497">
        <v>46.04</v>
      </c>
      <c r="BB7175" s="42"/>
      <c r="BC7175" s="74"/>
      <c r="BD7175" s="77"/>
      <c r="BF7175">
        <v>60.08</v>
      </c>
      <c r="BH7175" s="42"/>
      <c r="BI7175" s="74"/>
      <c r="BJ7175" s="77"/>
      <c r="BL7175" s="497">
        <v>59</v>
      </c>
      <c r="BN7175" s="42"/>
      <c r="BO7175" s="74"/>
      <c r="BP7175" s="77"/>
      <c r="BR7175" s="497">
        <v>33.08</v>
      </c>
      <c r="BT7175" s="42"/>
    </row>
    <row r="7176" spans="1:72" x14ac:dyDescent="0.25">
      <c r="A7176" s="90">
        <v>37190</v>
      </c>
      <c r="B7176" s="20">
        <v>0.25</v>
      </c>
      <c r="D7176">
        <v>53.96</v>
      </c>
      <c r="E7176" t="str">
        <f t="shared" si="258"/>
        <v>WEEKDAY</v>
      </c>
      <c r="F7176" t="e">
        <f t="shared" si="259"/>
        <v>#N/A</v>
      </c>
      <c r="G7176" s="74">
        <v>29520</v>
      </c>
      <c r="H7176" s="77">
        <v>0.25</v>
      </c>
      <c r="J7176">
        <v>44.06</v>
      </c>
      <c r="M7176" s="74">
        <v>36459</v>
      </c>
      <c r="N7176" s="77">
        <v>0.25</v>
      </c>
      <c r="P7176">
        <v>44.6</v>
      </c>
      <c r="S7176" s="74">
        <v>37190</v>
      </c>
      <c r="T7176" s="77">
        <v>0.25</v>
      </c>
      <c r="V7176">
        <v>53.06</v>
      </c>
      <c r="X7176" s="42"/>
      <c r="AB7176">
        <v>50.2</v>
      </c>
      <c r="AC7176">
        <v>53.06</v>
      </c>
      <c r="AE7176" s="74"/>
      <c r="AF7176" s="77"/>
      <c r="AH7176" s="497">
        <v>35.96</v>
      </c>
      <c r="AJ7176" s="42"/>
      <c r="AK7176" s="74"/>
      <c r="AL7176" s="77"/>
      <c r="AN7176" s="497">
        <v>44.96</v>
      </c>
      <c r="AP7176" s="42"/>
      <c r="AQ7176" s="74"/>
      <c r="AR7176" s="77"/>
      <c r="AT7176" s="497">
        <v>42.980000000000004</v>
      </c>
      <c r="AV7176" s="42"/>
      <c r="AW7176" s="74"/>
      <c r="AX7176" s="77"/>
      <c r="BA7176" s="497">
        <v>46.94</v>
      </c>
      <c r="BB7176" s="42"/>
      <c r="BC7176" s="74"/>
      <c r="BD7176" s="77"/>
      <c r="BF7176">
        <v>59</v>
      </c>
      <c r="BH7176" s="42"/>
      <c r="BI7176" s="74"/>
      <c r="BJ7176" s="77"/>
      <c r="BL7176" s="497">
        <v>59</v>
      </c>
      <c r="BN7176" s="42"/>
      <c r="BO7176" s="74"/>
      <c r="BP7176" s="77"/>
      <c r="BR7176" s="497">
        <v>33.979999999999997</v>
      </c>
      <c r="BT7176" s="42"/>
    </row>
    <row r="7177" spans="1:72" x14ac:dyDescent="0.25">
      <c r="A7177" s="90">
        <v>37190</v>
      </c>
      <c r="B7177" s="20">
        <v>0.29166666666666669</v>
      </c>
      <c r="D7177">
        <v>53.96</v>
      </c>
      <c r="E7177" t="str">
        <f t="shared" si="258"/>
        <v>WEEKDAY</v>
      </c>
      <c r="F7177" t="e">
        <f t="shared" si="259"/>
        <v>#N/A</v>
      </c>
      <c r="G7177" s="74">
        <v>29520</v>
      </c>
      <c r="H7177" s="77">
        <v>0.29166666666666669</v>
      </c>
      <c r="J7177">
        <v>44.06</v>
      </c>
      <c r="M7177" s="74">
        <v>36459</v>
      </c>
      <c r="N7177" s="77">
        <v>0.29166666666666669</v>
      </c>
      <c r="P7177">
        <v>44.6</v>
      </c>
      <c r="S7177" s="74">
        <v>37190</v>
      </c>
      <c r="T7177" s="77">
        <v>0.29166666666666669</v>
      </c>
      <c r="V7177">
        <v>53.06</v>
      </c>
      <c r="X7177" s="42"/>
      <c r="AB7177">
        <v>50</v>
      </c>
      <c r="AC7177">
        <v>53.96</v>
      </c>
      <c r="AE7177" s="74"/>
      <c r="AF7177" s="77"/>
      <c r="AH7177" s="497">
        <v>33.799999999999997</v>
      </c>
      <c r="AJ7177" s="42"/>
      <c r="AK7177" s="74"/>
      <c r="AL7177" s="77"/>
      <c r="AN7177" s="497">
        <v>46.04</v>
      </c>
      <c r="AP7177" s="42"/>
      <c r="AQ7177" s="74"/>
      <c r="AR7177" s="77"/>
      <c r="AT7177" s="497">
        <v>42.980000000000004</v>
      </c>
      <c r="AV7177" s="42"/>
      <c r="AW7177" s="74"/>
      <c r="AX7177" s="77"/>
      <c r="BA7177" s="497">
        <v>46.04</v>
      </c>
      <c r="BB7177" s="42"/>
      <c r="BC7177" s="74"/>
      <c r="BD7177" s="77"/>
      <c r="BF7177">
        <v>60.08</v>
      </c>
      <c r="BH7177" s="42"/>
      <c r="BI7177" s="74"/>
      <c r="BJ7177" s="77"/>
      <c r="BL7177" s="497">
        <v>60.08</v>
      </c>
      <c r="BN7177" s="42"/>
      <c r="BO7177" s="74"/>
      <c r="BP7177" s="77"/>
      <c r="BR7177" s="497">
        <v>33.979999999999997</v>
      </c>
      <c r="BT7177" s="42"/>
    </row>
    <row r="7178" spans="1:72" x14ac:dyDescent="0.25">
      <c r="A7178" s="90">
        <v>37190</v>
      </c>
      <c r="B7178" s="20">
        <v>0.33333333333333331</v>
      </c>
      <c r="D7178">
        <v>53.96</v>
      </c>
      <c r="E7178" t="str">
        <f t="shared" si="258"/>
        <v>WEEKDAY</v>
      </c>
      <c r="F7178" t="e">
        <f t="shared" si="259"/>
        <v>#N/A</v>
      </c>
      <c r="G7178" s="74">
        <v>29520</v>
      </c>
      <c r="H7178" s="77">
        <v>0.33333333333333331</v>
      </c>
      <c r="J7178">
        <v>44.42</v>
      </c>
      <c r="M7178" s="74">
        <v>36459</v>
      </c>
      <c r="N7178" s="77">
        <v>0.33333333333333331</v>
      </c>
      <c r="P7178">
        <v>50</v>
      </c>
      <c r="S7178" s="74">
        <v>37190</v>
      </c>
      <c r="T7178" s="77">
        <v>0.33333333333333331</v>
      </c>
      <c r="V7178">
        <v>53.96</v>
      </c>
      <c r="X7178" s="42"/>
      <c r="AB7178">
        <v>50.4</v>
      </c>
      <c r="AC7178">
        <v>53.96</v>
      </c>
      <c r="AE7178" s="74"/>
      <c r="AF7178" s="77"/>
      <c r="AH7178" s="497">
        <v>35.24</v>
      </c>
      <c r="AJ7178" s="42"/>
      <c r="AK7178" s="74"/>
      <c r="AL7178" s="77"/>
      <c r="AN7178" s="497">
        <v>46.04</v>
      </c>
      <c r="AP7178" s="42"/>
      <c r="AQ7178" s="74"/>
      <c r="AR7178" s="77"/>
      <c r="AT7178" s="497">
        <v>44.06</v>
      </c>
      <c r="AV7178" s="42"/>
      <c r="AW7178" s="74"/>
      <c r="AX7178" s="77"/>
      <c r="BA7178" s="497">
        <v>46.04</v>
      </c>
      <c r="BB7178" s="42"/>
      <c r="BC7178" s="74"/>
      <c r="BD7178" s="77"/>
      <c r="BF7178">
        <v>60.08</v>
      </c>
      <c r="BH7178" s="42"/>
      <c r="BI7178" s="74"/>
      <c r="BJ7178" s="77"/>
      <c r="BL7178" s="497">
        <v>60.980000000000004</v>
      </c>
      <c r="BN7178" s="42"/>
      <c r="BO7178" s="74"/>
      <c r="BP7178" s="77"/>
      <c r="BR7178" s="497">
        <v>35.06</v>
      </c>
      <c r="BT7178" s="42"/>
    </row>
    <row r="7179" spans="1:72" x14ac:dyDescent="0.25">
      <c r="A7179" s="90">
        <v>37190</v>
      </c>
      <c r="B7179" s="20">
        <v>0.375</v>
      </c>
      <c r="D7179">
        <v>55.040000000000006</v>
      </c>
      <c r="E7179" t="str">
        <f t="shared" si="258"/>
        <v>WEEKDAY</v>
      </c>
      <c r="F7179" t="e">
        <f t="shared" si="259"/>
        <v>#N/A</v>
      </c>
      <c r="G7179" s="74">
        <v>29520</v>
      </c>
      <c r="H7179" s="77">
        <v>0.375</v>
      </c>
      <c r="J7179">
        <v>44.6</v>
      </c>
      <c r="M7179" s="74">
        <v>36459</v>
      </c>
      <c r="N7179" s="77">
        <v>0.375</v>
      </c>
      <c r="P7179">
        <v>51.980000000000004</v>
      </c>
      <c r="S7179" s="74">
        <v>37190</v>
      </c>
      <c r="T7179" s="77">
        <v>0.375</v>
      </c>
      <c r="V7179">
        <v>55.94</v>
      </c>
      <c r="X7179" s="42"/>
      <c r="AB7179">
        <v>52.5</v>
      </c>
      <c r="AC7179">
        <v>55.040000000000006</v>
      </c>
      <c r="AE7179" s="74"/>
      <c r="AF7179" s="77"/>
      <c r="AH7179" s="497">
        <v>40.28</v>
      </c>
      <c r="AJ7179" s="42"/>
      <c r="AK7179" s="74"/>
      <c r="AL7179" s="77"/>
      <c r="AN7179" s="497">
        <v>46.94</v>
      </c>
      <c r="AP7179" s="42"/>
      <c r="AQ7179" s="74"/>
      <c r="AR7179" s="77"/>
      <c r="AT7179" s="497">
        <v>44.96</v>
      </c>
      <c r="AV7179" s="42"/>
      <c r="AW7179" s="74"/>
      <c r="AX7179" s="77"/>
      <c r="BA7179" s="497">
        <v>46.94</v>
      </c>
      <c r="BB7179" s="42"/>
      <c r="BC7179" s="74"/>
      <c r="BD7179" s="77"/>
      <c r="BF7179">
        <v>60.08</v>
      </c>
      <c r="BH7179" s="42"/>
      <c r="BI7179" s="74"/>
      <c r="BJ7179" s="77"/>
      <c r="BL7179" s="497">
        <v>62.06</v>
      </c>
      <c r="BN7179" s="42"/>
      <c r="BO7179" s="74"/>
      <c r="BP7179" s="77"/>
      <c r="BR7179" s="497">
        <v>41</v>
      </c>
      <c r="BT7179" s="42"/>
    </row>
    <row r="7180" spans="1:72" x14ac:dyDescent="0.25">
      <c r="A7180" s="90">
        <v>37190</v>
      </c>
      <c r="B7180" s="20">
        <v>0.41666666666666669</v>
      </c>
      <c r="D7180">
        <v>55.94</v>
      </c>
      <c r="E7180" t="str">
        <f t="shared" si="258"/>
        <v>WEEKDAY</v>
      </c>
      <c r="F7180" t="e">
        <f t="shared" si="259"/>
        <v>#N/A</v>
      </c>
      <c r="G7180" s="74">
        <v>29520</v>
      </c>
      <c r="H7180" s="77">
        <v>0.41666666666666669</v>
      </c>
      <c r="J7180">
        <v>44.96</v>
      </c>
      <c r="M7180" s="74">
        <v>36459</v>
      </c>
      <c r="N7180" s="77">
        <v>0.41666666666666669</v>
      </c>
      <c r="P7180">
        <v>53.6</v>
      </c>
      <c r="S7180" s="74">
        <v>37190</v>
      </c>
      <c r="T7180" s="77">
        <v>0.41666666666666669</v>
      </c>
      <c r="V7180">
        <v>57.019999999999996</v>
      </c>
      <c r="X7180" s="42"/>
      <c r="AB7180">
        <v>54.4</v>
      </c>
      <c r="AC7180">
        <v>57.92</v>
      </c>
      <c r="AE7180" s="74"/>
      <c r="AF7180" s="77"/>
      <c r="AH7180" s="497">
        <v>44.6</v>
      </c>
      <c r="AJ7180" s="42"/>
      <c r="AK7180" s="74"/>
      <c r="AL7180" s="77"/>
      <c r="AN7180" s="497">
        <v>46.94</v>
      </c>
      <c r="AP7180" s="42"/>
      <c r="AQ7180" s="74"/>
      <c r="AR7180" s="77"/>
      <c r="AT7180" s="497">
        <v>44.96</v>
      </c>
      <c r="AV7180" s="42"/>
      <c r="AW7180" s="74"/>
      <c r="AX7180" s="77"/>
      <c r="BA7180" s="497">
        <v>46.94</v>
      </c>
      <c r="BB7180" s="42"/>
      <c r="BC7180" s="74"/>
      <c r="BD7180" s="77"/>
      <c r="BF7180">
        <v>50</v>
      </c>
      <c r="BH7180" s="42"/>
      <c r="BI7180" s="74"/>
      <c r="BJ7180" s="77"/>
      <c r="BL7180" s="497">
        <v>62.06</v>
      </c>
      <c r="BN7180" s="42"/>
      <c r="BO7180" s="74"/>
      <c r="BP7180" s="77"/>
      <c r="BR7180" s="497">
        <v>44.96</v>
      </c>
      <c r="BT7180" s="42"/>
    </row>
    <row r="7181" spans="1:72" x14ac:dyDescent="0.25">
      <c r="A7181" s="90">
        <v>37190</v>
      </c>
      <c r="B7181" s="20">
        <v>0.45833333333333331</v>
      </c>
      <c r="D7181">
        <v>57.019999999999996</v>
      </c>
      <c r="E7181" t="str">
        <f t="shared" si="258"/>
        <v>WEEKDAY</v>
      </c>
      <c r="F7181" t="e">
        <f t="shared" si="259"/>
        <v>#N/A</v>
      </c>
      <c r="G7181" s="74">
        <v>29520</v>
      </c>
      <c r="H7181" s="77">
        <v>0.45833333333333331</v>
      </c>
      <c r="J7181">
        <v>46.04</v>
      </c>
      <c r="M7181" s="74">
        <v>36459</v>
      </c>
      <c r="N7181" s="77">
        <v>0.45833333333333331</v>
      </c>
      <c r="P7181">
        <v>57.2</v>
      </c>
      <c r="S7181" s="74">
        <v>37190</v>
      </c>
      <c r="T7181" s="77">
        <v>0.45833333333333331</v>
      </c>
      <c r="V7181">
        <v>57.92</v>
      </c>
      <c r="X7181" s="42"/>
      <c r="AB7181">
        <v>56.1</v>
      </c>
      <c r="AC7181">
        <v>64.039999999999992</v>
      </c>
      <c r="AE7181" s="74"/>
      <c r="AF7181" s="77"/>
      <c r="AH7181" s="497">
        <v>46.58</v>
      </c>
      <c r="AJ7181" s="42"/>
      <c r="AK7181" s="74"/>
      <c r="AL7181" s="77"/>
      <c r="AN7181" s="497">
        <v>48.019999999999996</v>
      </c>
      <c r="AP7181" s="42"/>
      <c r="AQ7181" s="74"/>
      <c r="AR7181" s="77"/>
      <c r="AT7181" s="497">
        <v>46.04</v>
      </c>
      <c r="AV7181" s="42"/>
      <c r="AW7181" s="74"/>
      <c r="AX7181" s="77"/>
      <c r="BA7181" s="497">
        <v>48.019999999999996</v>
      </c>
      <c r="BB7181" s="42"/>
      <c r="BC7181" s="74"/>
      <c r="BD7181" s="77"/>
      <c r="BF7181">
        <v>48.92</v>
      </c>
      <c r="BH7181" s="42"/>
      <c r="BI7181" s="74"/>
      <c r="BJ7181" s="77"/>
      <c r="BL7181" s="497">
        <v>53.96</v>
      </c>
      <c r="BN7181" s="42"/>
      <c r="BO7181" s="74"/>
      <c r="BP7181" s="77"/>
      <c r="BR7181" s="497">
        <v>48.019999999999996</v>
      </c>
      <c r="BT7181" s="42"/>
    </row>
    <row r="7182" spans="1:72" x14ac:dyDescent="0.25">
      <c r="A7182" s="90">
        <v>37190</v>
      </c>
      <c r="B7182" s="20">
        <v>0.5</v>
      </c>
      <c r="D7182">
        <v>55.94</v>
      </c>
      <c r="E7182" t="str">
        <f t="shared" si="258"/>
        <v>WEEKDAY</v>
      </c>
      <c r="F7182" t="e">
        <f t="shared" si="259"/>
        <v>#N/A</v>
      </c>
      <c r="G7182" s="74">
        <v>29520</v>
      </c>
      <c r="H7182" s="77">
        <v>0.5</v>
      </c>
      <c r="J7182">
        <v>46.94</v>
      </c>
      <c r="M7182" s="74">
        <v>36459</v>
      </c>
      <c r="N7182" s="77">
        <v>0.5</v>
      </c>
      <c r="P7182">
        <v>59</v>
      </c>
      <c r="S7182" s="74">
        <v>37190</v>
      </c>
      <c r="T7182" s="77">
        <v>0.5</v>
      </c>
      <c r="V7182">
        <v>57.019999999999996</v>
      </c>
      <c r="X7182" s="42"/>
      <c r="AB7182">
        <v>57.4</v>
      </c>
      <c r="AC7182">
        <v>68</v>
      </c>
      <c r="AE7182" s="74"/>
      <c r="AF7182" s="77"/>
      <c r="AH7182" s="497">
        <v>48.2</v>
      </c>
      <c r="AJ7182" s="42"/>
      <c r="AK7182" s="74"/>
      <c r="AL7182" s="77"/>
      <c r="AN7182" s="497">
        <v>48.92</v>
      </c>
      <c r="AP7182" s="42"/>
      <c r="AQ7182" s="74"/>
      <c r="AR7182" s="77"/>
      <c r="AT7182" s="497">
        <v>46.94</v>
      </c>
      <c r="AV7182" s="42"/>
      <c r="AW7182" s="74"/>
      <c r="AX7182" s="77"/>
      <c r="BA7182" s="497">
        <v>48.019999999999996</v>
      </c>
      <c r="BB7182" s="42"/>
      <c r="BC7182" s="74"/>
      <c r="BD7182" s="77"/>
      <c r="BF7182">
        <v>48.92</v>
      </c>
      <c r="BH7182" s="42"/>
      <c r="BI7182" s="74"/>
      <c r="BJ7182" s="77"/>
      <c r="BL7182" s="497">
        <v>53.06</v>
      </c>
      <c r="BN7182" s="42"/>
      <c r="BO7182" s="74"/>
      <c r="BP7182" s="77"/>
      <c r="BR7182" s="497">
        <v>48.019999999999996</v>
      </c>
      <c r="BT7182" s="42"/>
    </row>
    <row r="7183" spans="1:72" x14ac:dyDescent="0.25">
      <c r="A7183" s="90">
        <v>37190</v>
      </c>
      <c r="B7183" s="20">
        <v>0.54166666666666663</v>
      </c>
      <c r="D7183">
        <v>55.040000000000006</v>
      </c>
      <c r="E7183" t="str">
        <f t="shared" si="258"/>
        <v>WEEKDAY</v>
      </c>
      <c r="F7183" t="e">
        <f t="shared" si="259"/>
        <v>#N/A</v>
      </c>
      <c r="G7183" s="74">
        <v>29520</v>
      </c>
      <c r="H7183" s="77">
        <v>0.54166666666666663</v>
      </c>
      <c r="J7183">
        <v>48.019999999999996</v>
      </c>
      <c r="M7183" s="74">
        <v>36459</v>
      </c>
      <c r="N7183" s="77">
        <v>0.54166666666666663</v>
      </c>
      <c r="P7183">
        <v>60.8</v>
      </c>
      <c r="S7183" s="74">
        <v>37190</v>
      </c>
      <c r="T7183" s="77">
        <v>0.54166666666666663</v>
      </c>
      <c r="V7183">
        <v>57.019999999999996</v>
      </c>
      <c r="X7183" s="42"/>
      <c r="AB7183">
        <v>58.4</v>
      </c>
      <c r="AC7183">
        <v>68</v>
      </c>
      <c r="AE7183" s="74"/>
      <c r="AF7183" s="77"/>
      <c r="AH7183" s="497">
        <v>48.2</v>
      </c>
      <c r="AJ7183" s="42"/>
      <c r="AK7183" s="74"/>
      <c r="AL7183" s="77"/>
      <c r="AN7183" s="497">
        <v>48.92</v>
      </c>
      <c r="AP7183" s="42"/>
      <c r="AQ7183" s="74"/>
      <c r="AR7183" s="77"/>
      <c r="AT7183" s="497">
        <v>48.019999999999996</v>
      </c>
      <c r="AV7183" s="42"/>
      <c r="AW7183" s="74"/>
      <c r="AX7183" s="77"/>
      <c r="BA7183" s="497">
        <v>48.019999999999996</v>
      </c>
      <c r="BB7183" s="42"/>
      <c r="BC7183" s="74"/>
      <c r="BD7183" s="77"/>
      <c r="BF7183">
        <v>48.92</v>
      </c>
      <c r="BH7183" s="42"/>
      <c r="BI7183" s="74"/>
      <c r="BJ7183" s="77"/>
      <c r="BL7183" s="497">
        <v>51.980000000000004</v>
      </c>
      <c r="BN7183" s="42"/>
      <c r="BO7183" s="74"/>
      <c r="BP7183" s="77"/>
      <c r="BR7183" s="497">
        <v>46.94</v>
      </c>
      <c r="BT7183" s="42"/>
    </row>
    <row r="7184" spans="1:72" x14ac:dyDescent="0.25">
      <c r="A7184" s="90">
        <v>37190</v>
      </c>
      <c r="B7184" s="20">
        <v>0.58333333333333337</v>
      </c>
      <c r="D7184">
        <v>55.94</v>
      </c>
      <c r="E7184" t="str">
        <f t="shared" si="258"/>
        <v>WEEKDAY</v>
      </c>
      <c r="F7184" t="e">
        <f t="shared" si="259"/>
        <v>#N/A</v>
      </c>
      <c r="G7184" s="74">
        <v>29520</v>
      </c>
      <c r="H7184" s="77">
        <v>0.58333333333333337</v>
      </c>
      <c r="J7184">
        <v>48.019999999999996</v>
      </c>
      <c r="M7184" s="74">
        <v>36459</v>
      </c>
      <c r="N7184" s="77">
        <v>0.58333333333333337</v>
      </c>
      <c r="P7184">
        <v>61.88</v>
      </c>
      <c r="S7184" s="74">
        <v>37190</v>
      </c>
      <c r="T7184" s="77">
        <v>0.58333333333333337</v>
      </c>
      <c r="V7184">
        <v>57.92</v>
      </c>
      <c r="X7184" s="42"/>
      <c r="AB7184">
        <v>59</v>
      </c>
      <c r="AC7184">
        <v>66.92</v>
      </c>
      <c r="AE7184" s="74"/>
      <c r="AF7184" s="77"/>
      <c r="AH7184" s="497">
        <v>48.2</v>
      </c>
      <c r="AJ7184" s="42"/>
      <c r="AK7184" s="74"/>
      <c r="AL7184" s="77"/>
      <c r="AN7184" s="497">
        <v>48.92</v>
      </c>
      <c r="AP7184" s="42"/>
      <c r="AQ7184" s="74"/>
      <c r="AR7184" s="77"/>
      <c r="AT7184" s="497">
        <v>48.019999999999996</v>
      </c>
      <c r="AV7184" s="42"/>
      <c r="AW7184" s="74"/>
      <c r="AX7184" s="77"/>
      <c r="BA7184" s="497">
        <v>48.019999999999996</v>
      </c>
      <c r="BB7184" s="42"/>
      <c r="BC7184" s="74"/>
      <c r="BD7184" s="77"/>
      <c r="BF7184">
        <v>48.92</v>
      </c>
      <c r="BH7184" s="42"/>
      <c r="BI7184" s="74"/>
      <c r="BJ7184" s="77"/>
      <c r="BL7184" s="497">
        <v>51.08</v>
      </c>
      <c r="BN7184" s="42"/>
      <c r="BO7184" s="74"/>
      <c r="BP7184" s="77"/>
      <c r="BR7184" s="497">
        <v>50</v>
      </c>
      <c r="BT7184" s="42"/>
    </row>
    <row r="7185" spans="1:72" x14ac:dyDescent="0.25">
      <c r="A7185" s="90">
        <v>37190</v>
      </c>
      <c r="B7185" s="20">
        <v>0.625</v>
      </c>
      <c r="D7185">
        <v>55.040000000000006</v>
      </c>
      <c r="E7185" t="str">
        <f t="shared" si="258"/>
        <v>WEEKDAY</v>
      </c>
      <c r="F7185" t="e">
        <f t="shared" si="259"/>
        <v>#N/A</v>
      </c>
      <c r="G7185" s="74">
        <v>29520</v>
      </c>
      <c r="H7185" s="77">
        <v>0.625</v>
      </c>
      <c r="J7185">
        <v>48.019999999999996</v>
      </c>
      <c r="M7185" s="74">
        <v>36459</v>
      </c>
      <c r="N7185" s="77">
        <v>0.625</v>
      </c>
      <c r="P7185">
        <v>62.6</v>
      </c>
      <c r="S7185" s="74">
        <v>37190</v>
      </c>
      <c r="T7185" s="77">
        <v>0.625</v>
      </c>
      <c r="V7185">
        <v>55.040000000000006</v>
      </c>
      <c r="X7185" s="42"/>
      <c r="AB7185">
        <v>59.3</v>
      </c>
      <c r="AC7185">
        <v>66.92</v>
      </c>
      <c r="AE7185" s="74"/>
      <c r="AF7185" s="77"/>
      <c r="AH7185" s="497">
        <v>50</v>
      </c>
      <c r="AJ7185" s="42"/>
      <c r="AK7185" s="74"/>
      <c r="AL7185" s="77"/>
      <c r="AN7185" s="497">
        <v>50</v>
      </c>
      <c r="AP7185" s="42"/>
      <c r="AQ7185" s="74"/>
      <c r="AR7185" s="77"/>
      <c r="AT7185" s="497">
        <v>48.019999999999996</v>
      </c>
      <c r="AV7185" s="42"/>
      <c r="AW7185" s="74"/>
      <c r="AX7185" s="77"/>
      <c r="BA7185" s="497">
        <v>48.019999999999996</v>
      </c>
      <c r="BB7185" s="42"/>
      <c r="BC7185" s="74"/>
      <c r="BD7185" s="77"/>
      <c r="BF7185">
        <v>46.04</v>
      </c>
      <c r="BH7185" s="42"/>
      <c r="BI7185" s="74"/>
      <c r="BJ7185" s="77"/>
      <c r="BL7185" s="497">
        <v>50</v>
      </c>
      <c r="BN7185" s="42"/>
      <c r="BO7185" s="74"/>
      <c r="BP7185" s="77"/>
      <c r="BR7185" s="497">
        <v>50</v>
      </c>
      <c r="BT7185" s="42"/>
    </row>
    <row r="7186" spans="1:72" x14ac:dyDescent="0.25">
      <c r="A7186" s="90">
        <v>37190</v>
      </c>
      <c r="B7186" s="20">
        <v>0.66666666666666663</v>
      </c>
      <c r="D7186">
        <v>53.96</v>
      </c>
      <c r="E7186" t="str">
        <f t="shared" si="258"/>
        <v>WEEKDAY</v>
      </c>
      <c r="F7186" t="e">
        <f t="shared" si="259"/>
        <v>#N/A</v>
      </c>
      <c r="G7186" s="74">
        <v>29520</v>
      </c>
      <c r="H7186" s="77">
        <v>0.66666666666666663</v>
      </c>
      <c r="J7186">
        <v>48.019999999999996</v>
      </c>
      <c r="M7186" s="74">
        <v>36459</v>
      </c>
      <c r="N7186" s="77">
        <v>0.66666666666666663</v>
      </c>
      <c r="P7186">
        <v>62.6</v>
      </c>
      <c r="S7186" s="74">
        <v>37190</v>
      </c>
      <c r="T7186" s="77">
        <v>0.66666666666666663</v>
      </c>
      <c r="V7186">
        <v>53.06</v>
      </c>
      <c r="X7186" s="42"/>
      <c r="AB7186">
        <v>59</v>
      </c>
      <c r="AC7186">
        <v>62.06</v>
      </c>
      <c r="AE7186" s="74"/>
      <c r="AF7186" s="77"/>
      <c r="AH7186" s="497">
        <v>48.2</v>
      </c>
      <c r="AJ7186" s="42"/>
      <c r="AK7186" s="74"/>
      <c r="AL7186" s="77"/>
      <c r="AN7186" s="497">
        <v>48.92</v>
      </c>
      <c r="AP7186" s="42"/>
      <c r="AQ7186" s="74"/>
      <c r="AR7186" s="77"/>
      <c r="AT7186" s="497">
        <v>46.94</v>
      </c>
      <c r="AV7186" s="42"/>
      <c r="AW7186" s="74"/>
      <c r="AX7186" s="77"/>
      <c r="BA7186" s="497">
        <v>48.019999999999996</v>
      </c>
      <c r="BB7186" s="42"/>
      <c r="BC7186" s="74"/>
      <c r="BD7186" s="77"/>
      <c r="BF7186">
        <v>46.04</v>
      </c>
      <c r="BH7186" s="42"/>
      <c r="BI7186" s="74"/>
      <c r="BJ7186" s="77"/>
      <c r="BL7186" s="497">
        <v>48.92</v>
      </c>
      <c r="BN7186" s="42"/>
      <c r="BO7186" s="74"/>
      <c r="BP7186" s="77"/>
      <c r="BR7186" s="497">
        <v>50</v>
      </c>
      <c r="BT7186" s="42"/>
    </row>
    <row r="7187" spans="1:72" x14ac:dyDescent="0.25">
      <c r="A7187" s="90">
        <v>37190</v>
      </c>
      <c r="B7187" s="20">
        <v>0.70833333333333337</v>
      </c>
      <c r="D7187">
        <v>51.980000000000004</v>
      </c>
      <c r="E7187" t="str">
        <f t="shared" ref="E7187:E7250" si="260">IF(COUNTIF($DI$18:$DI$22, WEEKDAY(A7187))=1, "WEEKDAY", IF(WEEKDAY(A7187) = 1, "SUNDAY", "SATURDAY"))</f>
        <v>WEEKDAY</v>
      </c>
      <c r="F7187" t="e">
        <f t="shared" si="259"/>
        <v>#N/A</v>
      </c>
      <c r="G7187" s="74">
        <v>29520</v>
      </c>
      <c r="H7187" s="77">
        <v>0.70833333333333337</v>
      </c>
      <c r="J7187">
        <v>47.66</v>
      </c>
      <c r="M7187" s="74">
        <v>36459</v>
      </c>
      <c r="N7187" s="77">
        <v>0.70833333333333337</v>
      </c>
      <c r="P7187">
        <v>60.8</v>
      </c>
      <c r="S7187" s="74">
        <v>37190</v>
      </c>
      <c r="T7187" s="77">
        <v>0.70833333333333337</v>
      </c>
      <c r="V7187">
        <v>51.980000000000004</v>
      </c>
      <c r="X7187" s="42"/>
      <c r="AB7187">
        <v>58.1</v>
      </c>
      <c r="AC7187">
        <v>60.08</v>
      </c>
      <c r="AE7187" s="74"/>
      <c r="AF7187" s="77"/>
      <c r="AH7187" s="497">
        <v>48.2</v>
      </c>
      <c r="AJ7187" s="42"/>
      <c r="AK7187" s="74"/>
      <c r="AL7187" s="77"/>
      <c r="AN7187" s="497">
        <v>48.92</v>
      </c>
      <c r="AP7187" s="42"/>
      <c r="AQ7187" s="74"/>
      <c r="AR7187" s="77"/>
      <c r="AT7187" s="497">
        <v>46.94</v>
      </c>
      <c r="AV7187" s="42"/>
      <c r="AW7187" s="74"/>
      <c r="AX7187" s="77"/>
      <c r="BA7187" s="497">
        <v>48.019999999999996</v>
      </c>
      <c r="BB7187" s="42"/>
      <c r="BC7187" s="74"/>
      <c r="BD7187" s="77"/>
      <c r="BF7187">
        <v>46.04</v>
      </c>
      <c r="BH7187" s="42"/>
      <c r="BI7187" s="74"/>
      <c r="BJ7187" s="77"/>
      <c r="BL7187" s="497">
        <v>50</v>
      </c>
      <c r="BN7187" s="42"/>
      <c r="BO7187" s="74"/>
      <c r="BP7187" s="77"/>
      <c r="BR7187" s="497">
        <v>50</v>
      </c>
      <c r="BT7187" s="42"/>
    </row>
    <row r="7188" spans="1:72" x14ac:dyDescent="0.25">
      <c r="A7188" s="90">
        <v>37190</v>
      </c>
      <c r="B7188" s="20">
        <v>0.75</v>
      </c>
      <c r="D7188">
        <v>51.08</v>
      </c>
      <c r="E7188" t="str">
        <f t="shared" si="260"/>
        <v>WEEKDAY</v>
      </c>
      <c r="F7188" t="e">
        <f t="shared" si="259"/>
        <v>#N/A</v>
      </c>
      <c r="G7188" s="74">
        <v>29520</v>
      </c>
      <c r="H7188" s="77">
        <v>0.75</v>
      </c>
      <c r="J7188">
        <v>47.3</v>
      </c>
      <c r="M7188" s="74">
        <v>36459</v>
      </c>
      <c r="N7188" s="77">
        <v>0.75</v>
      </c>
      <c r="P7188">
        <v>59</v>
      </c>
      <c r="S7188" s="74">
        <v>37190</v>
      </c>
      <c r="T7188" s="77">
        <v>0.75</v>
      </c>
      <c r="V7188">
        <v>50</v>
      </c>
      <c r="X7188" s="42"/>
      <c r="AB7188">
        <v>56.7</v>
      </c>
      <c r="AC7188">
        <v>57.92</v>
      </c>
      <c r="AE7188" s="74"/>
      <c r="AF7188" s="77"/>
      <c r="AH7188" s="497">
        <v>48.2</v>
      </c>
      <c r="AJ7188" s="42"/>
      <c r="AK7188" s="74"/>
      <c r="AL7188" s="77"/>
      <c r="AN7188" s="497">
        <v>48.92</v>
      </c>
      <c r="AP7188" s="42"/>
      <c r="AQ7188" s="74"/>
      <c r="AR7188" s="77"/>
      <c r="AT7188" s="497">
        <v>46.94</v>
      </c>
      <c r="AV7188" s="42"/>
      <c r="AW7188" s="74"/>
      <c r="AX7188" s="77"/>
      <c r="BA7188" s="497">
        <v>48.019999999999996</v>
      </c>
      <c r="BB7188" s="42"/>
      <c r="BC7188" s="74"/>
      <c r="BD7188" s="77"/>
      <c r="BF7188">
        <v>46.94</v>
      </c>
      <c r="BH7188" s="42"/>
      <c r="BI7188" s="74"/>
      <c r="BJ7188" s="77"/>
      <c r="BL7188" s="497">
        <v>48.92</v>
      </c>
      <c r="BN7188" s="42"/>
      <c r="BO7188" s="74"/>
      <c r="BP7188" s="77"/>
      <c r="BR7188" s="497">
        <v>50</v>
      </c>
      <c r="BT7188" s="42"/>
    </row>
    <row r="7189" spans="1:72" x14ac:dyDescent="0.25">
      <c r="A7189" s="90">
        <v>37190</v>
      </c>
      <c r="B7189" s="20">
        <v>0.79166666666666663</v>
      </c>
      <c r="D7189">
        <v>50</v>
      </c>
      <c r="E7189" t="str">
        <f t="shared" si="260"/>
        <v>WEEKDAY</v>
      </c>
      <c r="F7189" t="e">
        <f t="shared" si="259"/>
        <v>#N/A</v>
      </c>
      <c r="G7189" s="74">
        <v>29520</v>
      </c>
      <c r="H7189" s="77">
        <v>0.79166666666666663</v>
      </c>
      <c r="J7189">
        <v>46.94</v>
      </c>
      <c r="M7189" s="74">
        <v>36459</v>
      </c>
      <c r="N7189" s="77">
        <v>0.79166666666666663</v>
      </c>
      <c r="P7189">
        <v>57.2</v>
      </c>
      <c r="S7189" s="74">
        <v>37190</v>
      </c>
      <c r="T7189" s="77">
        <v>0.79166666666666663</v>
      </c>
      <c r="V7189">
        <v>48.92</v>
      </c>
      <c r="X7189" s="42"/>
      <c r="AB7189">
        <v>55.7</v>
      </c>
      <c r="AC7189">
        <v>53.96</v>
      </c>
      <c r="AE7189" s="74"/>
      <c r="AF7189" s="77"/>
      <c r="AH7189" s="497">
        <v>44.6</v>
      </c>
      <c r="AJ7189" s="42"/>
      <c r="AK7189" s="74"/>
      <c r="AL7189" s="77"/>
      <c r="AN7189" s="497">
        <v>48.92</v>
      </c>
      <c r="AP7189" s="42"/>
      <c r="AQ7189" s="74"/>
      <c r="AR7189" s="77"/>
      <c r="AT7189" s="497">
        <v>48.019999999999996</v>
      </c>
      <c r="AV7189" s="42"/>
      <c r="AW7189" s="74"/>
      <c r="AX7189" s="77"/>
      <c r="BA7189" s="497">
        <v>48.019999999999996</v>
      </c>
      <c r="BB7189" s="42"/>
      <c r="BC7189" s="74"/>
      <c r="BD7189" s="77"/>
      <c r="BF7189">
        <v>46.94</v>
      </c>
      <c r="BH7189" s="42"/>
      <c r="BI7189" s="74"/>
      <c r="BJ7189" s="77"/>
      <c r="BL7189" s="497">
        <v>48.92</v>
      </c>
      <c r="BN7189" s="42"/>
      <c r="BO7189" s="74"/>
      <c r="BP7189" s="77"/>
      <c r="BR7189" s="497">
        <v>50</v>
      </c>
      <c r="BT7189" s="42"/>
    </row>
    <row r="7190" spans="1:72" x14ac:dyDescent="0.25">
      <c r="A7190" s="90">
        <v>37190</v>
      </c>
      <c r="B7190" s="20">
        <v>0.83333333333333337</v>
      </c>
      <c r="D7190">
        <v>48.92</v>
      </c>
      <c r="E7190" t="str">
        <f t="shared" si="260"/>
        <v>WEEKDAY</v>
      </c>
      <c r="F7190" t="e">
        <f t="shared" si="259"/>
        <v>#N/A</v>
      </c>
      <c r="G7190" s="74">
        <v>29520</v>
      </c>
      <c r="H7190" s="77">
        <v>0.83333333333333337</v>
      </c>
      <c r="J7190">
        <v>46.22</v>
      </c>
      <c r="M7190" s="74">
        <v>36459</v>
      </c>
      <c r="N7190" s="77">
        <v>0.83333333333333337</v>
      </c>
      <c r="P7190">
        <v>57.2</v>
      </c>
      <c r="S7190" s="74">
        <v>37190</v>
      </c>
      <c r="T7190" s="77">
        <v>0.83333333333333337</v>
      </c>
      <c r="V7190">
        <v>48.019999999999996</v>
      </c>
      <c r="X7190" s="42"/>
      <c r="AB7190">
        <v>55.2</v>
      </c>
      <c r="AC7190">
        <v>53.06</v>
      </c>
      <c r="AE7190" s="74"/>
      <c r="AF7190" s="77"/>
      <c r="AH7190" s="497">
        <v>46.4</v>
      </c>
      <c r="AJ7190" s="42"/>
      <c r="AK7190" s="74"/>
      <c r="AL7190" s="77"/>
      <c r="AN7190" s="497">
        <v>48.019999999999996</v>
      </c>
      <c r="AP7190" s="42"/>
      <c r="AQ7190" s="74"/>
      <c r="AR7190" s="77"/>
      <c r="AT7190" s="497">
        <v>46.94</v>
      </c>
      <c r="AV7190" s="42"/>
      <c r="AW7190" s="74"/>
      <c r="AX7190" s="77"/>
      <c r="BA7190" s="497">
        <v>48.019999999999996</v>
      </c>
      <c r="BB7190" s="42"/>
      <c r="BC7190" s="74"/>
      <c r="BD7190" s="77"/>
      <c r="BF7190">
        <v>46.04</v>
      </c>
      <c r="BH7190" s="42"/>
      <c r="BI7190" s="74"/>
      <c r="BJ7190" s="77"/>
      <c r="BL7190" s="497">
        <v>48.019999999999996</v>
      </c>
      <c r="BN7190" s="42"/>
      <c r="BO7190" s="74"/>
      <c r="BP7190" s="77"/>
      <c r="BR7190" s="497">
        <v>48.019999999999996</v>
      </c>
      <c r="BT7190" s="42"/>
    </row>
    <row r="7191" spans="1:72" x14ac:dyDescent="0.25">
      <c r="A7191" s="90">
        <v>37190</v>
      </c>
      <c r="B7191" s="20">
        <v>0.875</v>
      </c>
      <c r="D7191">
        <v>46.94</v>
      </c>
      <c r="E7191" t="str">
        <f t="shared" si="260"/>
        <v>WEEKDAY</v>
      </c>
      <c r="F7191" t="e">
        <f t="shared" si="259"/>
        <v>#N/A</v>
      </c>
      <c r="G7191" s="74">
        <v>29520</v>
      </c>
      <c r="H7191" s="77">
        <v>0.875</v>
      </c>
      <c r="J7191">
        <v>45.68</v>
      </c>
      <c r="M7191" s="74">
        <v>36459</v>
      </c>
      <c r="N7191" s="77">
        <v>0.875</v>
      </c>
      <c r="P7191">
        <v>55.94</v>
      </c>
      <c r="S7191" s="74">
        <v>37190</v>
      </c>
      <c r="T7191" s="77">
        <v>0.875</v>
      </c>
      <c r="V7191">
        <v>46.94</v>
      </c>
      <c r="X7191" s="42"/>
      <c r="AB7191">
        <v>54.5</v>
      </c>
      <c r="AC7191">
        <v>51.980000000000004</v>
      </c>
      <c r="AE7191" s="74"/>
      <c r="AF7191" s="77"/>
      <c r="AH7191" s="497">
        <v>46.22</v>
      </c>
      <c r="AJ7191" s="42"/>
      <c r="AK7191" s="74"/>
      <c r="AL7191" s="77"/>
      <c r="AN7191" s="497">
        <v>48.019999999999996</v>
      </c>
      <c r="AP7191" s="42"/>
      <c r="AQ7191" s="74"/>
      <c r="AR7191" s="77"/>
      <c r="AT7191" s="497">
        <v>46.94</v>
      </c>
      <c r="AV7191" s="42"/>
      <c r="AW7191" s="74"/>
      <c r="AX7191" s="77"/>
      <c r="BA7191" s="497">
        <v>48.019999999999996</v>
      </c>
      <c r="BB7191" s="42"/>
      <c r="BC7191" s="74"/>
      <c r="BD7191" s="77"/>
      <c r="BF7191">
        <v>46.04</v>
      </c>
      <c r="BH7191" s="42"/>
      <c r="BI7191" s="74"/>
      <c r="BJ7191" s="77"/>
      <c r="BL7191" s="497">
        <v>48.019999999999996</v>
      </c>
      <c r="BN7191" s="42"/>
      <c r="BO7191" s="74"/>
      <c r="BP7191" s="77"/>
      <c r="BR7191" s="497">
        <v>48.019999999999996</v>
      </c>
      <c r="BT7191" s="42"/>
    </row>
    <row r="7192" spans="1:72" x14ac:dyDescent="0.25">
      <c r="A7192" s="90">
        <v>37190</v>
      </c>
      <c r="B7192" s="20">
        <v>0.91666666666666663</v>
      </c>
      <c r="D7192">
        <v>46.04</v>
      </c>
      <c r="E7192" t="str">
        <f t="shared" si="260"/>
        <v>WEEKDAY</v>
      </c>
      <c r="F7192" t="e">
        <f t="shared" si="259"/>
        <v>#N/A</v>
      </c>
      <c r="G7192" s="74">
        <v>29520</v>
      </c>
      <c r="H7192" s="77">
        <v>0.91666666666666663</v>
      </c>
      <c r="J7192">
        <v>44.96</v>
      </c>
      <c r="M7192" s="74">
        <v>36459</v>
      </c>
      <c r="N7192" s="77">
        <v>0.91666666666666663</v>
      </c>
      <c r="P7192">
        <v>55.22</v>
      </c>
      <c r="S7192" s="74">
        <v>37190</v>
      </c>
      <c r="T7192" s="77">
        <v>0.91666666666666663</v>
      </c>
      <c r="V7192">
        <v>46.04</v>
      </c>
      <c r="X7192" s="42"/>
      <c r="AB7192">
        <v>53.9</v>
      </c>
      <c r="AC7192">
        <v>51.08</v>
      </c>
      <c r="AE7192" s="74"/>
      <c r="AF7192" s="77"/>
      <c r="AH7192" s="497">
        <v>46.4</v>
      </c>
      <c r="AJ7192" s="42"/>
      <c r="AK7192" s="74"/>
      <c r="AL7192" s="77"/>
      <c r="AN7192" s="497">
        <v>48.019999999999996</v>
      </c>
      <c r="AP7192" s="42"/>
      <c r="AQ7192" s="74"/>
      <c r="AR7192" s="77"/>
      <c r="AT7192" s="497">
        <v>46.94</v>
      </c>
      <c r="AV7192" s="42"/>
      <c r="AW7192" s="74"/>
      <c r="AX7192" s="77"/>
      <c r="BA7192" s="497">
        <v>48.019999999999996</v>
      </c>
      <c r="BB7192" s="42"/>
      <c r="BC7192" s="74"/>
      <c r="BD7192" s="77"/>
      <c r="BF7192">
        <v>44.96</v>
      </c>
      <c r="BH7192" s="42"/>
      <c r="BI7192" s="74"/>
      <c r="BJ7192" s="77"/>
      <c r="BL7192" s="497">
        <v>46.94</v>
      </c>
      <c r="BN7192" s="42"/>
      <c r="BO7192" s="74"/>
      <c r="BP7192" s="77"/>
      <c r="BR7192" s="497">
        <v>46.94</v>
      </c>
      <c r="BT7192" s="42"/>
    </row>
    <row r="7193" spans="1:72" x14ac:dyDescent="0.25">
      <c r="A7193" s="90">
        <v>37190</v>
      </c>
      <c r="B7193" s="20">
        <v>0.95833333333333337</v>
      </c>
      <c r="D7193">
        <v>44.96</v>
      </c>
      <c r="E7193" t="str">
        <f t="shared" si="260"/>
        <v>WEEKDAY</v>
      </c>
      <c r="F7193" t="e">
        <f t="shared" si="259"/>
        <v>#N/A</v>
      </c>
      <c r="G7193" s="74">
        <v>29520</v>
      </c>
      <c r="H7193" s="77">
        <v>0.95833333333333337</v>
      </c>
      <c r="J7193">
        <v>44.6</v>
      </c>
      <c r="M7193" s="74">
        <v>36459</v>
      </c>
      <c r="N7193" s="77">
        <v>0.95833333333333337</v>
      </c>
      <c r="P7193">
        <v>54.32</v>
      </c>
      <c r="S7193" s="74">
        <v>37190</v>
      </c>
      <c r="T7193" s="77">
        <v>0.95833333333333337</v>
      </c>
      <c r="V7193">
        <v>44.96</v>
      </c>
      <c r="X7193" s="42"/>
      <c r="AB7193">
        <v>53.3</v>
      </c>
      <c r="AC7193">
        <v>50</v>
      </c>
      <c r="AE7193" s="74"/>
      <c r="AF7193" s="77"/>
      <c r="AH7193" s="497">
        <v>46.4</v>
      </c>
      <c r="AJ7193" s="42"/>
      <c r="AK7193" s="74"/>
      <c r="AL7193" s="77"/>
      <c r="AN7193" s="497">
        <v>48.019999999999996</v>
      </c>
      <c r="AP7193" s="42"/>
      <c r="AQ7193" s="74"/>
      <c r="AR7193" s="77"/>
      <c r="AT7193" s="497">
        <v>46.94</v>
      </c>
      <c r="AV7193" s="42"/>
      <c r="AW7193" s="74"/>
      <c r="AX7193" s="77"/>
      <c r="BA7193" s="497">
        <v>48.019999999999996</v>
      </c>
      <c r="BB7193" s="42"/>
      <c r="BC7193" s="74"/>
      <c r="BD7193" s="77"/>
      <c r="BF7193">
        <v>44.06</v>
      </c>
      <c r="BH7193" s="42"/>
      <c r="BI7193" s="74"/>
      <c r="BJ7193" s="77"/>
      <c r="BL7193" s="497">
        <v>46.94</v>
      </c>
      <c r="BN7193" s="42"/>
      <c r="BO7193" s="74"/>
      <c r="BP7193" s="77"/>
      <c r="BR7193" s="497">
        <v>44.06</v>
      </c>
      <c r="BT7193" s="42"/>
    </row>
    <row r="7194" spans="1:72" x14ac:dyDescent="0.25">
      <c r="A7194" s="90">
        <v>37190</v>
      </c>
      <c r="B7194" s="20">
        <v>1</v>
      </c>
      <c r="D7194">
        <v>44.96</v>
      </c>
      <c r="E7194" t="str">
        <f t="shared" si="260"/>
        <v>WEEKDAY</v>
      </c>
      <c r="F7194" t="e">
        <f t="shared" si="259"/>
        <v>#N/A</v>
      </c>
      <c r="G7194" s="74">
        <v>29520</v>
      </c>
      <c r="H7194" s="77">
        <v>1</v>
      </c>
      <c r="J7194">
        <v>44.42</v>
      </c>
      <c r="M7194" s="74">
        <v>36459</v>
      </c>
      <c r="N7194" s="80">
        <v>1</v>
      </c>
      <c r="P7194">
        <v>53.42</v>
      </c>
      <c r="S7194" s="74">
        <v>37190</v>
      </c>
      <c r="T7194" s="80">
        <v>1</v>
      </c>
      <c r="V7194">
        <v>44.06</v>
      </c>
      <c r="X7194" s="42"/>
      <c r="AB7194">
        <v>52.6</v>
      </c>
      <c r="AC7194">
        <v>50</v>
      </c>
      <c r="AE7194" s="74"/>
      <c r="AF7194" s="80"/>
      <c r="AH7194" s="497">
        <v>44.6</v>
      </c>
      <c r="AJ7194" s="42"/>
      <c r="AK7194" s="74"/>
      <c r="AL7194" s="80"/>
      <c r="AN7194" s="497">
        <v>48.019999999999996</v>
      </c>
      <c r="AP7194" s="42"/>
      <c r="AQ7194" s="74"/>
      <c r="AR7194" s="80"/>
      <c r="AT7194" s="497">
        <v>46.94</v>
      </c>
      <c r="AV7194" s="42"/>
      <c r="AW7194" s="74"/>
      <c r="AX7194" s="80"/>
      <c r="BA7194" s="497">
        <v>48.019999999999996</v>
      </c>
      <c r="BB7194" s="42"/>
      <c r="BC7194" s="74"/>
      <c r="BD7194" s="80"/>
      <c r="BF7194">
        <v>44.06</v>
      </c>
      <c r="BH7194" s="42"/>
      <c r="BI7194" s="74"/>
      <c r="BJ7194" s="80"/>
      <c r="BL7194" s="497">
        <v>46.04</v>
      </c>
      <c r="BN7194" s="42"/>
      <c r="BO7194" s="74"/>
      <c r="BP7194" s="80"/>
      <c r="BR7194" s="497">
        <v>44.06</v>
      </c>
      <c r="BT7194" s="42"/>
    </row>
    <row r="7195" spans="1:72" x14ac:dyDescent="0.25">
      <c r="A7195" s="90">
        <v>37191</v>
      </c>
      <c r="B7195" s="20">
        <v>4.1666666666666664E-2</v>
      </c>
      <c r="D7195">
        <v>44.06</v>
      </c>
      <c r="E7195" t="str">
        <f t="shared" si="260"/>
        <v>SATURDAY</v>
      </c>
      <c r="F7195" t="e">
        <f t="shared" si="259"/>
        <v>#N/A</v>
      </c>
      <c r="G7195" s="74">
        <v>29521</v>
      </c>
      <c r="H7195" s="77">
        <v>4.1666666666666664E-2</v>
      </c>
      <c r="J7195">
        <v>44.06</v>
      </c>
      <c r="M7195" s="74">
        <v>36460</v>
      </c>
      <c r="N7195" s="77">
        <v>4.1666666666666664E-2</v>
      </c>
      <c r="P7195">
        <v>52.519999999999996</v>
      </c>
      <c r="S7195" s="74">
        <v>37191</v>
      </c>
      <c r="T7195" s="77">
        <v>4.1666666666666664E-2</v>
      </c>
      <c r="V7195">
        <v>44.06</v>
      </c>
      <c r="X7195" s="42"/>
      <c r="AB7195">
        <v>52.1</v>
      </c>
      <c r="AC7195">
        <v>51.980000000000004</v>
      </c>
      <c r="AE7195" s="74"/>
      <c r="AF7195" s="77"/>
      <c r="AH7195" s="497">
        <v>44.6</v>
      </c>
      <c r="AJ7195" s="42"/>
      <c r="AK7195" s="74"/>
      <c r="AL7195" s="77"/>
      <c r="AN7195" s="497">
        <v>48.019999999999996</v>
      </c>
      <c r="AP7195" s="42"/>
      <c r="AQ7195" s="74"/>
      <c r="AR7195" s="77"/>
      <c r="AT7195" s="497">
        <v>46.94</v>
      </c>
      <c r="AV7195" s="42"/>
      <c r="AW7195" s="74"/>
      <c r="AX7195" s="77"/>
      <c r="BA7195" s="497">
        <v>48.019999999999996</v>
      </c>
      <c r="BB7195" s="42"/>
      <c r="BC7195" s="74"/>
      <c r="BD7195" s="77"/>
      <c r="BF7195">
        <v>44.06</v>
      </c>
      <c r="BH7195" s="42"/>
      <c r="BI7195" s="74"/>
      <c r="BJ7195" s="77"/>
      <c r="BL7195" s="497">
        <v>44.96</v>
      </c>
      <c r="BN7195" s="42"/>
      <c r="BO7195" s="74"/>
      <c r="BP7195" s="77"/>
      <c r="BR7195" s="497">
        <v>44.06</v>
      </c>
      <c r="BT7195" s="42"/>
    </row>
    <row r="7196" spans="1:72" x14ac:dyDescent="0.25">
      <c r="A7196" s="90">
        <v>37191</v>
      </c>
      <c r="B7196" s="20">
        <v>8.3333333333333329E-2</v>
      </c>
      <c r="D7196">
        <v>44.06</v>
      </c>
      <c r="E7196" t="str">
        <f t="shared" si="260"/>
        <v>SATURDAY</v>
      </c>
      <c r="F7196" t="e">
        <f t="shared" si="259"/>
        <v>#N/A</v>
      </c>
      <c r="G7196" s="74">
        <v>29521</v>
      </c>
      <c r="H7196" s="77">
        <v>8.3333333333333329E-2</v>
      </c>
      <c r="J7196">
        <v>44.42</v>
      </c>
      <c r="M7196" s="74">
        <v>36460</v>
      </c>
      <c r="N7196" s="77">
        <v>8.3333333333333329E-2</v>
      </c>
      <c r="P7196">
        <v>51.8</v>
      </c>
      <c r="S7196" s="74">
        <v>37191</v>
      </c>
      <c r="T7196" s="77">
        <v>8.3333333333333329E-2</v>
      </c>
      <c r="V7196">
        <v>44.06</v>
      </c>
      <c r="X7196" s="42"/>
      <c r="AB7196">
        <v>51.5</v>
      </c>
      <c r="AC7196">
        <v>53.06</v>
      </c>
      <c r="AE7196" s="74"/>
      <c r="AF7196" s="77"/>
      <c r="AH7196" s="497">
        <v>42.8</v>
      </c>
      <c r="AJ7196" s="42"/>
      <c r="AK7196" s="74"/>
      <c r="AL7196" s="77"/>
      <c r="AN7196" s="497">
        <v>48.019999999999996</v>
      </c>
      <c r="AP7196" s="42"/>
      <c r="AQ7196" s="74"/>
      <c r="AR7196" s="77"/>
      <c r="AT7196" s="497">
        <v>46.04</v>
      </c>
      <c r="AV7196" s="42"/>
      <c r="AW7196" s="74"/>
      <c r="AX7196" s="77"/>
      <c r="BA7196" s="497">
        <v>48.019999999999996</v>
      </c>
      <c r="BB7196" s="42"/>
      <c r="BC7196" s="74"/>
      <c r="BD7196" s="77"/>
      <c r="BF7196">
        <v>44.06</v>
      </c>
      <c r="BH7196" s="42"/>
      <c r="BI7196" s="74"/>
      <c r="BJ7196" s="77"/>
      <c r="BL7196" s="497">
        <v>42.980000000000004</v>
      </c>
      <c r="BN7196" s="42"/>
      <c r="BO7196" s="74"/>
      <c r="BP7196" s="77"/>
      <c r="BR7196" s="497">
        <v>42.980000000000004</v>
      </c>
      <c r="BT7196" s="42"/>
    </row>
    <row r="7197" spans="1:72" x14ac:dyDescent="0.25">
      <c r="A7197" s="90">
        <v>37191</v>
      </c>
      <c r="B7197" s="20">
        <v>0.125</v>
      </c>
      <c r="D7197">
        <v>44.06</v>
      </c>
      <c r="E7197" t="str">
        <f t="shared" si="260"/>
        <v>SATURDAY</v>
      </c>
      <c r="F7197" t="e">
        <f t="shared" si="259"/>
        <v>#N/A</v>
      </c>
      <c r="G7197" s="74">
        <v>29521</v>
      </c>
      <c r="H7197" s="77">
        <v>0.125</v>
      </c>
      <c r="J7197">
        <v>44.6</v>
      </c>
      <c r="M7197" s="74">
        <v>36460</v>
      </c>
      <c r="N7197" s="77">
        <v>0.125</v>
      </c>
      <c r="P7197">
        <v>48.2</v>
      </c>
      <c r="S7197" s="74">
        <v>37191</v>
      </c>
      <c r="T7197" s="77">
        <v>0.125</v>
      </c>
      <c r="V7197">
        <v>42.980000000000004</v>
      </c>
      <c r="X7197" s="42"/>
      <c r="AB7197">
        <v>50.9</v>
      </c>
      <c r="AC7197">
        <v>51.980000000000004</v>
      </c>
      <c r="AE7197" s="74"/>
      <c r="AF7197" s="77"/>
      <c r="AH7197" s="497">
        <v>44.6</v>
      </c>
      <c r="AJ7197" s="42"/>
      <c r="AK7197" s="74"/>
      <c r="AL7197" s="77"/>
      <c r="AN7197" s="497">
        <v>48.019999999999996</v>
      </c>
      <c r="AP7197" s="42"/>
      <c r="AQ7197" s="74"/>
      <c r="AR7197" s="77"/>
      <c r="AT7197" s="497">
        <v>46.94</v>
      </c>
      <c r="AV7197" s="42"/>
      <c r="AW7197" s="74"/>
      <c r="AX7197" s="77"/>
      <c r="BA7197" s="497">
        <v>48.019999999999996</v>
      </c>
      <c r="BB7197" s="42"/>
      <c r="BC7197" s="74"/>
      <c r="BD7197" s="77"/>
      <c r="BF7197">
        <v>44.06</v>
      </c>
      <c r="BH7197" s="42"/>
      <c r="BI7197" s="74"/>
      <c r="BJ7197" s="77"/>
      <c r="BL7197" s="497">
        <v>44.06</v>
      </c>
      <c r="BN7197" s="42"/>
      <c r="BO7197" s="74"/>
      <c r="BP7197" s="77"/>
      <c r="BR7197" s="497">
        <v>42.08</v>
      </c>
      <c r="BT7197" s="42"/>
    </row>
    <row r="7198" spans="1:72" x14ac:dyDescent="0.25">
      <c r="A7198" s="90">
        <v>37191</v>
      </c>
      <c r="B7198" s="20">
        <v>0.16666666666666666</v>
      </c>
      <c r="D7198">
        <v>44.06</v>
      </c>
      <c r="E7198" t="str">
        <f t="shared" si="260"/>
        <v>SATURDAY</v>
      </c>
      <c r="F7198" t="e">
        <f t="shared" si="259"/>
        <v>#N/A</v>
      </c>
      <c r="G7198" s="74">
        <v>29521</v>
      </c>
      <c r="H7198" s="77">
        <v>0.16666666666666666</v>
      </c>
      <c r="J7198">
        <v>44.96</v>
      </c>
      <c r="M7198" s="74">
        <v>36460</v>
      </c>
      <c r="N7198" s="77">
        <v>0.16666666666666666</v>
      </c>
      <c r="P7198">
        <v>48.2</v>
      </c>
      <c r="S7198" s="74">
        <v>37191</v>
      </c>
      <c r="T7198" s="77">
        <v>0.16666666666666666</v>
      </c>
      <c r="V7198">
        <v>42.980000000000004</v>
      </c>
      <c r="X7198" s="42"/>
      <c r="AB7198">
        <v>50.5</v>
      </c>
      <c r="AC7198">
        <v>51.08</v>
      </c>
      <c r="AE7198" s="74"/>
      <c r="AF7198" s="77"/>
      <c r="AH7198" s="497">
        <v>41</v>
      </c>
      <c r="AJ7198" s="42"/>
      <c r="AK7198" s="74"/>
      <c r="AL7198" s="77"/>
      <c r="AN7198" s="497">
        <v>48.019999999999996</v>
      </c>
      <c r="AP7198" s="42"/>
      <c r="AQ7198" s="74"/>
      <c r="AR7198" s="77"/>
      <c r="AT7198" s="497">
        <v>46.94</v>
      </c>
      <c r="AV7198" s="42"/>
      <c r="AW7198" s="74"/>
      <c r="AX7198" s="77"/>
      <c r="BA7198" s="497">
        <v>48.019999999999996</v>
      </c>
      <c r="BB7198" s="42"/>
      <c r="BC7198" s="74"/>
      <c r="BD7198" s="77"/>
      <c r="BF7198">
        <v>42.980000000000004</v>
      </c>
      <c r="BH7198" s="42"/>
      <c r="BI7198" s="74"/>
      <c r="BJ7198" s="77"/>
      <c r="BL7198" s="497">
        <v>44.96</v>
      </c>
      <c r="BN7198" s="42"/>
      <c r="BO7198" s="74"/>
      <c r="BP7198" s="77"/>
      <c r="BR7198" s="497">
        <v>42.08</v>
      </c>
      <c r="BT7198" s="42"/>
    </row>
    <row r="7199" spans="1:72" x14ac:dyDescent="0.25">
      <c r="A7199" s="90">
        <v>37191</v>
      </c>
      <c r="B7199" s="20">
        <v>0.20833333333333334</v>
      </c>
      <c r="D7199">
        <v>44.06</v>
      </c>
      <c r="E7199" t="str">
        <f t="shared" si="260"/>
        <v>SATURDAY</v>
      </c>
      <c r="F7199" t="e">
        <f t="shared" si="259"/>
        <v>#N/A</v>
      </c>
      <c r="G7199" s="74">
        <v>29521</v>
      </c>
      <c r="H7199" s="77">
        <v>0.20833333333333334</v>
      </c>
      <c r="J7199">
        <v>44.24</v>
      </c>
      <c r="M7199" s="74">
        <v>36460</v>
      </c>
      <c r="N7199" s="77">
        <v>0.20833333333333334</v>
      </c>
      <c r="P7199">
        <v>46.4</v>
      </c>
      <c r="S7199" s="74">
        <v>37191</v>
      </c>
      <c r="T7199" s="77">
        <v>0.20833333333333334</v>
      </c>
      <c r="V7199">
        <v>42.980000000000004</v>
      </c>
      <c r="X7199" s="42"/>
      <c r="AB7199">
        <v>50.1</v>
      </c>
      <c r="AC7199">
        <v>51.980000000000004</v>
      </c>
      <c r="AE7199" s="74"/>
      <c r="AF7199" s="77"/>
      <c r="AH7199" s="497">
        <v>39.200000000000003</v>
      </c>
      <c r="AJ7199" s="42"/>
      <c r="AK7199" s="74"/>
      <c r="AL7199" s="77"/>
      <c r="AN7199" s="497">
        <v>48.019999999999996</v>
      </c>
      <c r="AP7199" s="42"/>
      <c r="AQ7199" s="74"/>
      <c r="AR7199" s="77"/>
      <c r="AT7199" s="497">
        <v>46.04</v>
      </c>
      <c r="AV7199" s="42"/>
      <c r="AW7199" s="74"/>
      <c r="AX7199" s="77"/>
      <c r="BA7199" s="497">
        <v>48.019999999999996</v>
      </c>
      <c r="BB7199" s="42"/>
      <c r="BC7199" s="74"/>
      <c r="BD7199" s="77"/>
      <c r="BF7199">
        <v>42.980000000000004</v>
      </c>
      <c r="BH7199" s="42"/>
      <c r="BI7199" s="74"/>
      <c r="BJ7199" s="77"/>
      <c r="BL7199" s="497">
        <v>44.96</v>
      </c>
      <c r="BN7199" s="42"/>
      <c r="BO7199" s="74"/>
      <c r="BP7199" s="77"/>
      <c r="BR7199" s="497">
        <v>42.08</v>
      </c>
      <c r="BT7199" s="42"/>
    </row>
    <row r="7200" spans="1:72" x14ac:dyDescent="0.25">
      <c r="A7200" s="90">
        <v>37191</v>
      </c>
      <c r="B7200" s="20">
        <v>0.25</v>
      </c>
      <c r="D7200">
        <v>44.06</v>
      </c>
      <c r="E7200" t="str">
        <f t="shared" si="260"/>
        <v>SATURDAY</v>
      </c>
      <c r="F7200" t="e">
        <f t="shared" si="259"/>
        <v>#N/A</v>
      </c>
      <c r="G7200" s="74">
        <v>29521</v>
      </c>
      <c r="H7200" s="77">
        <v>0.25</v>
      </c>
      <c r="J7200">
        <v>43.7</v>
      </c>
      <c r="M7200" s="74">
        <v>36460</v>
      </c>
      <c r="N7200" s="77">
        <v>0.25</v>
      </c>
      <c r="P7200">
        <v>46.4</v>
      </c>
      <c r="S7200" s="74">
        <v>37191</v>
      </c>
      <c r="T7200" s="77">
        <v>0.25</v>
      </c>
      <c r="V7200">
        <v>42.08</v>
      </c>
      <c r="X7200" s="42"/>
      <c r="AB7200">
        <v>49.9</v>
      </c>
      <c r="AC7200">
        <v>51.980000000000004</v>
      </c>
      <c r="AE7200" s="74"/>
      <c r="AF7200" s="77"/>
      <c r="AH7200" s="497">
        <v>37.4</v>
      </c>
      <c r="AJ7200" s="42"/>
      <c r="AK7200" s="74"/>
      <c r="AL7200" s="77"/>
      <c r="AN7200" s="497">
        <v>48.019999999999996</v>
      </c>
      <c r="AP7200" s="42"/>
      <c r="AQ7200" s="74"/>
      <c r="AR7200" s="77"/>
      <c r="AT7200" s="497">
        <v>46.04</v>
      </c>
      <c r="AV7200" s="42"/>
      <c r="AW7200" s="74"/>
      <c r="AX7200" s="77"/>
      <c r="BA7200" s="497">
        <v>48.019999999999996</v>
      </c>
      <c r="BB7200" s="42"/>
      <c r="BC7200" s="74"/>
      <c r="BD7200" s="77"/>
      <c r="BF7200">
        <v>42.08</v>
      </c>
      <c r="BH7200" s="42"/>
      <c r="BI7200" s="74"/>
      <c r="BJ7200" s="77"/>
      <c r="BL7200" s="497">
        <v>44.96</v>
      </c>
      <c r="BN7200" s="42"/>
      <c r="BO7200" s="74"/>
      <c r="BP7200" s="77"/>
      <c r="BR7200" s="497">
        <v>42.08</v>
      </c>
      <c r="BT7200" s="42"/>
    </row>
    <row r="7201" spans="1:72" x14ac:dyDescent="0.25">
      <c r="A7201" s="90">
        <v>37191</v>
      </c>
      <c r="B7201" s="20">
        <v>0.29166666666666669</v>
      </c>
      <c r="D7201">
        <v>44.06</v>
      </c>
      <c r="E7201" t="str">
        <f t="shared" si="260"/>
        <v>SATURDAY</v>
      </c>
      <c r="F7201" t="e">
        <f t="shared" si="259"/>
        <v>#N/A</v>
      </c>
      <c r="G7201" s="74">
        <v>29521</v>
      </c>
      <c r="H7201" s="77">
        <v>0.29166666666666669</v>
      </c>
      <c r="J7201">
        <v>42.980000000000004</v>
      </c>
      <c r="M7201" s="74">
        <v>36460</v>
      </c>
      <c r="N7201" s="77">
        <v>0.29166666666666669</v>
      </c>
      <c r="P7201">
        <v>44.6</v>
      </c>
      <c r="S7201" s="74">
        <v>37191</v>
      </c>
      <c r="T7201" s="77">
        <v>0.29166666666666669</v>
      </c>
      <c r="V7201">
        <v>42.980000000000004</v>
      </c>
      <c r="X7201" s="42"/>
      <c r="AB7201">
        <v>49.7</v>
      </c>
      <c r="AC7201">
        <v>53.06</v>
      </c>
      <c r="AE7201" s="74"/>
      <c r="AF7201" s="77"/>
      <c r="AH7201" s="497">
        <v>35.6</v>
      </c>
      <c r="AJ7201" s="42"/>
      <c r="AK7201" s="74"/>
      <c r="AL7201" s="77"/>
      <c r="AN7201" s="497">
        <v>48.92</v>
      </c>
      <c r="AP7201" s="42"/>
      <c r="AQ7201" s="74"/>
      <c r="AR7201" s="77"/>
      <c r="AT7201" s="497">
        <v>46.04</v>
      </c>
      <c r="AV7201" s="42"/>
      <c r="AW7201" s="74"/>
      <c r="AX7201" s="77"/>
      <c r="BA7201" s="497">
        <v>48.019999999999996</v>
      </c>
      <c r="BB7201" s="42"/>
      <c r="BC7201" s="74"/>
      <c r="BD7201" s="77"/>
      <c r="BF7201">
        <v>41</v>
      </c>
      <c r="BH7201" s="42"/>
      <c r="BI7201" s="74"/>
      <c r="BJ7201" s="77"/>
      <c r="BL7201" s="497">
        <v>44.06</v>
      </c>
      <c r="BN7201" s="42"/>
      <c r="BO7201" s="74"/>
      <c r="BP7201" s="77"/>
      <c r="BR7201" s="497">
        <v>42.980000000000004</v>
      </c>
      <c r="BT7201" s="42"/>
    </row>
    <row r="7202" spans="1:72" x14ac:dyDescent="0.25">
      <c r="A7202" s="90">
        <v>37191</v>
      </c>
      <c r="B7202" s="20">
        <v>0.33333333333333331</v>
      </c>
      <c r="D7202">
        <v>44.96</v>
      </c>
      <c r="E7202" t="str">
        <f t="shared" si="260"/>
        <v>SATURDAY</v>
      </c>
      <c r="F7202" t="e">
        <f t="shared" si="259"/>
        <v>#N/A</v>
      </c>
      <c r="G7202" s="74">
        <v>29521</v>
      </c>
      <c r="H7202" s="77">
        <v>0.33333333333333331</v>
      </c>
      <c r="J7202">
        <v>44.06</v>
      </c>
      <c r="M7202" s="74">
        <v>36460</v>
      </c>
      <c r="N7202" s="77">
        <v>0.33333333333333331</v>
      </c>
      <c r="P7202">
        <v>48.2</v>
      </c>
      <c r="S7202" s="74">
        <v>37191</v>
      </c>
      <c r="T7202" s="77">
        <v>0.33333333333333331</v>
      </c>
      <c r="V7202">
        <v>44.96</v>
      </c>
      <c r="X7202" s="42"/>
      <c r="AB7202">
        <v>50.1</v>
      </c>
      <c r="AC7202">
        <v>55.040000000000006</v>
      </c>
      <c r="AE7202" s="74"/>
      <c r="AF7202" s="77"/>
      <c r="AH7202" s="497">
        <v>39.200000000000003</v>
      </c>
      <c r="AJ7202" s="42"/>
      <c r="AK7202" s="74"/>
      <c r="AL7202" s="77"/>
      <c r="AN7202" s="497">
        <v>48.92</v>
      </c>
      <c r="AP7202" s="42"/>
      <c r="AQ7202" s="74"/>
      <c r="AR7202" s="77"/>
      <c r="AT7202" s="497">
        <v>46.94</v>
      </c>
      <c r="AV7202" s="42"/>
      <c r="AW7202" s="74"/>
      <c r="AX7202" s="77"/>
      <c r="BA7202" s="497">
        <v>48.019999999999996</v>
      </c>
      <c r="BB7202" s="42"/>
      <c r="BC7202" s="74"/>
      <c r="BD7202" s="77"/>
      <c r="BF7202">
        <v>42.08</v>
      </c>
      <c r="BH7202" s="42"/>
      <c r="BI7202" s="74"/>
      <c r="BJ7202" s="77"/>
      <c r="BL7202" s="497">
        <v>44.96</v>
      </c>
      <c r="BN7202" s="42"/>
      <c r="BO7202" s="74"/>
      <c r="BP7202" s="77"/>
      <c r="BR7202" s="497">
        <v>44.06</v>
      </c>
      <c r="BT7202" s="42"/>
    </row>
    <row r="7203" spans="1:72" x14ac:dyDescent="0.25">
      <c r="A7203" s="90">
        <v>37191</v>
      </c>
      <c r="B7203" s="20">
        <v>0.375</v>
      </c>
      <c r="D7203">
        <v>46.94</v>
      </c>
      <c r="E7203" t="str">
        <f t="shared" si="260"/>
        <v>SATURDAY</v>
      </c>
      <c r="F7203" t="e">
        <f t="shared" si="259"/>
        <v>#N/A</v>
      </c>
      <c r="G7203" s="74">
        <v>29521</v>
      </c>
      <c r="H7203" s="77">
        <v>0.375</v>
      </c>
      <c r="J7203">
        <v>44.96</v>
      </c>
      <c r="M7203" s="74">
        <v>36460</v>
      </c>
      <c r="N7203" s="77">
        <v>0.375</v>
      </c>
      <c r="P7203">
        <v>53.6</v>
      </c>
      <c r="S7203" s="74">
        <v>37191</v>
      </c>
      <c r="T7203" s="77">
        <v>0.375</v>
      </c>
      <c r="V7203">
        <v>48.019999999999996</v>
      </c>
      <c r="X7203" s="42"/>
      <c r="AB7203">
        <v>52.2</v>
      </c>
      <c r="AC7203">
        <v>59</v>
      </c>
      <c r="AE7203" s="74"/>
      <c r="AF7203" s="77"/>
      <c r="AH7203" s="497">
        <v>46.4</v>
      </c>
      <c r="AJ7203" s="42"/>
      <c r="AK7203" s="74"/>
      <c r="AL7203" s="77"/>
      <c r="AN7203" s="497">
        <v>51.08</v>
      </c>
      <c r="AP7203" s="42"/>
      <c r="AQ7203" s="74"/>
      <c r="AR7203" s="77"/>
      <c r="AT7203" s="497">
        <v>46.94</v>
      </c>
      <c r="AV7203" s="42"/>
      <c r="AW7203" s="74"/>
      <c r="AX7203" s="77"/>
      <c r="BA7203" s="497">
        <v>48.92</v>
      </c>
      <c r="BB7203" s="42"/>
      <c r="BC7203" s="74"/>
      <c r="BD7203" s="77"/>
      <c r="BF7203">
        <v>42.980000000000004</v>
      </c>
      <c r="BH7203" s="42"/>
      <c r="BI7203" s="74"/>
      <c r="BJ7203" s="77"/>
      <c r="BL7203" s="497">
        <v>46.04</v>
      </c>
      <c r="BN7203" s="42"/>
      <c r="BO7203" s="74"/>
      <c r="BP7203" s="77"/>
      <c r="BR7203" s="497">
        <v>44.96</v>
      </c>
      <c r="BT7203" s="42"/>
    </row>
    <row r="7204" spans="1:72" x14ac:dyDescent="0.25">
      <c r="A7204" s="90">
        <v>37191</v>
      </c>
      <c r="B7204" s="20">
        <v>0.41666666666666669</v>
      </c>
      <c r="D7204">
        <v>48.92</v>
      </c>
      <c r="E7204" t="str">
        <f t="shared" si="260"/>
        <v>SATURDAY</v>
      </c>
      <c r="F7204" t="e">
        <f t="shared" si="259"/>
        <v>#N/A</v>
      </c>
      <c r="G7204" s="74">
        <v>29521</v>
      </c>
      <c r="H7204" s="77">
        <v>0.41666666666666669</v>
      </c>
      <c r="J7204">
        <v>46.04</v>
      </c>
      <c r="M7204" s="74">
        <v>36460</v>
      </c>
      <c r="N7204" s="77">
        <v>0.41666666666666669</v>
      </c>
      <c r="P7204">
        <v>57.2</v>
      </c>
      <c r="S7204" s="74">
        <v>37191</v>
      </c>
      <c r="T7204" s="77">
        <v>0.41666666666666669</v>
      </c>
      <c r="V7204">
        <v>50</v>
      </c>
      <c r="X7204" s="42"/>
      <c r="AB7204">
        <v>54.1</v>
      </c>
      <c r="AC7204">
        <v>60.980000000000004</v>
      </c>
      <c r="AE7204" s="74"/>
      <c r="AF7204" s="77"/>
      <c r="AH7204" s="497">
        <v>51.8</v>
      </c>
      <c r="AJ7204" s="42"/>
      <c r="AK7204" s="74"/>
      <c r="AL7204" s="77"/>
      <c r="AN7204" s="497">
        <v>51.980000000000004</v>
      </c>
      <c r="AP7204" s="42"/>
      <c r="AQ7204" s="74"/>
      <c r="AR7204" s="77"/>
      <c r="AT7204" s="497">
        <v>48.019999999999996</v>
      </c>
      <c r="AV7204" s="42"/>
      <c r="AW7204" s="74"/>
      <c r="AX7204" s="77"/>
      <c r="BA7204" s="497">
        <v>50</v>
      </c>
      <c r="BB7204" s="42"/>
      <c r="BC7204" s="74"/>
      <c r="BD7204" s="77"/>
      <c r="BF7204">
        <v>46.94</v>
      </c>
      <c r="BH7204" s="42"/>
      <c r="BI7204" s="74"/>
      <c r="BJ7204" s="77"/>
      <c r="BL7204" s="497">
        <v>48.019999999999996</v>
      </c>
      <c r="BN7204" s="42"/>
      <c r="BO7204" s="74"/>
      <c r="BP7204" s="77"/>
      <c r="BR7204" s="497">
        <v>44.96</v>
      </c>
      <c r="BT7204" s="42"/>
    </row>
    <row r="7205" spans="1:72" x14ac:dyDescent="0.25">
      <c r="A7205" s="90">
        <v>37191</v>
      </c>
      <c r="B7205" s="20">
        <v>0.45833333333333331</v>
      </c>
      <c r="D7205">
        <v>50</v>
      </c>
      <c r="E7205" t="str">
        <f t="shared" si="260"/>
        <v>SATURDAY</v>
      </c>
      <c r="F7205" t="e">
        <f t="shared" si="259"/>
        <v>#N/A</v>
      </c>
      <c r="G7205" s="74">
        <v>29521</v>
      </c>
      <c r="H7205" s="77">
        <v>0.45833333333333331</v>
      </c>
      <c r="J7205">
        <v>47.66</v>
      </c>
      <c r="M7205" s="74">
        <v>36460</v>
      </c>
      <c r="N7205" s="77">
        <v>0.45833333333333331</v>
      </c>
      <c r="P7205">
        <v>57.2</v>
      </c>
      <c r="S7205" s="74">
        <v>37191</v>
      </c>
      <c r="T7205" s="77">
        <v>0.45833333333333331</v>
      </c>
      <c r="V7205">
        <v>50</v>
      </c>
      <c r="X7205" s="42"/>
      <c r="AB7205">
        <v>55.8</v>
      </c>
      <c r="AC7205">
        <v>64.039999999999992</v>
      </c>
      <c r="AE7205" s="74"/>
      <c r="AF7205" s="77"/>
      <c r="AH7205" s="497">
        <v>53.6</v>
      </c>
      <c r="AJ7205" s="42"/>
      <c r="AK7205" s="74"/>
      <c r="AL7205" s="77"/>
      <c r="AN7205" s="497">
        <v>53.06</v>
      </c>
      <c r="AP7205" s="42"/>
      <c r="AQ7205" s="74"/>
      <c r="AR7205" s="77"/>
      <c r="AT7205" s="497">
        <v>48.92</v>
      </c>
      <c r="AV7205" s="42"/>
      <c r="AW7205" s="74"/>
      <c r="AX7205" s="77"/>
      <c r="BA7205" s="497">
        <v>53.06</v>
      </c>
      <c r="BB7205" s="42"/>
      <c r="BC7205" s="74"/>
      <c r="BD7205" s="77"/>
      <c r="BF7205">
        <v>50</v>
      </c>
      <c r="BH7205" s="42"/>
      <c r="BI7205" s="74"/>
      <c r="BJ7205" s="77"/>
      <c r="BL7205" s="497">
        <v>51.08</v>
      </c>
      <c r="BN7205" s="42"/>
      <c r="BO7205" s="74"/>
      <c r="BP7205" s="77"/>
      <c r="BR7205" s="497">
        <v>46.04</v>
      </c>
      <c r="BT7205" s="42"/>
    </row>
    <row r="7206" spans="1:72" x14ac:dyDescent="0.25">
      <c r="A7206" s="90">
        <v>37191</v>
      </c>
      <c r="B7206" s="20">
        <v>0.5</v>
      </c>
      <c r="D7206">
        <v>51.08</v>
      </c>
      <c r="E7206" t="str">
        <f t="shared" si="260"/>
        <v>SATURDAY</v>
      </c>
      <c r="F7206" t="e">
        <f t="shared" si="259"/>
        <v>#N/A</v>
      </c>
      <c r="G7206" s="74">
        <v>29521</v>
      </c>
      <c r="H7206" s="77">
        <v>0.5</v>
      </c>
      <c r="J7206">
        <v>49.46</v>
      </c>
      <c r="M7206" s="74">
        <v>36460</v>
      </c>
      <c r="N7206" s="77">
        <v>0.5</v>
      </c>
      <c r="P7206">
        <v>57.2</v>
      </c>
      <c r="S7206" s="74">
        <v>37191</v>
      </c>
      <c r="T7206" s="77">
        <v>0.5</v>
      </c>
      <c r="V7206">
        <v>51.08</v>
      </c>
      <c r="X7206" s="42"/>
      <c r="AB7206">
        <v>57.1</v>
      </c>
      <c r="AC7206">
        <v>66.92</v>
      </c>
      <c r="AE7206" s="74"/>
      <c r="AF7206" s="77"/>
      <c r="AH7206" s="497">
        <v>55.400000000000006</v>
      </c>
      <c r="AJ7206" s="42"/>
      <c r="AK7206" s="74"/>
      <c r="AL7206" s="77"/>
      <c r="AN7206" s="497">
        <v>53.06</v>
      </c>
      <c r="AP7206" s="42"/>
      <c r="AQ7206" s="74"/>
      <c r="AR7206" s="77"/>
      <c r="AT7206" s="497">
        <v>50</v>
      </c>
      <c r="AV7206" s="42"/>
      <c r="AW7206" s="74"/>
      <c r="AX7206" s="77"/>
      <c r="BA7206" s="497">
        <v>55.040000000000006</v>
      </c>
      <c r="BB7206" s="42"/>
      <c r="BC7206" s="74"/>
      <c r="BD7206" s="77"/>
      <c r="BF7206">
        <v>50</v>
      </c>
      <c r="BH7206" s="42"/>
      <c r="BI7206" s="74"/>
      <c r="BJ7206" s="77"/>
      <c r="BL7206" s="497">
        <v>53.06</v>
      </c>
      <c r="BN7206" s="42"/>
      <c r="BO7206" s="74"/>
      <c r="BP7206" s="77"/>
      <c r="BR7206" s="497">
        <v>46.94</v>
      </c>
      <c r="BT7206" s="42"/>
    </row>
    <row r="7207" spans="1:72" x14ac:dyDescent="0.25">
      <c r="A7207" s="90">
        <v>37191</v>
      </c>
      <c r="B7207" s="20">
        <v>0.54166666666666663</v>
      </c>
      <c r="D7207">
        <v>51.08</v>
      </c>
      <c r="E7207" t="str">
        <f t="shared" si="260"/>
        <v>SATURDAY</v>
      </c>
      <c r="F7207" t="e">
        <f t="shared" si="259"/>
        <v>#N/A</v>
      </c>
      <c r="G7207" s="74">
        <v>29521</v>
      </c>
      <c r="H7207" s="77">
        <v>0.54166666666666663</v>
      </c>
      <c r="J7207">
        <v>51.08</v>
      </c>
      <c r="M7207" s="74">
        <v>36460</v>
      </c>
      <c r="N7207" s="77">
        <v>0.54166666666666663</v>
      </c>
      <c r="P7207">
        <v>57.2</v>
      </c>
      <c r="S7207" s="74">
        <v>37191</v>
      </c>
      <c r="T7207" s="77">
        <v>0.54166666666666663</v>
      </c>
      <c r="V7207">
        <v>51.08</v>
      </c>
      <c r="X7207" s="42"/>
      <c r="AB7207">
        <v>58.2</v>
      </c>
      <c r="AC7207">
        <v>68</v>
      </c>
      <c r="AE7207" s="74"/>
      <c r="AF7207" s="77"/>
      <c r="AH7207" s="497">
        <v>57.2</v>
      </c>
      <c r="AJ7207" s="42"/>
      <c r="AK7207" s="74"/>
      <c r="AL7207" s="77"/>
      <c r="AN7207" s="497">
        <v>55.040000000000006</v>
      </c>
      <c r="AP7207" s="42"/>
      <c r="AQ7207" s="74"/>
      <c r="AR7207" s="77"/>
      <c r="AT7207" s="497">
        <v>51.08</v>
      </c>
      <c r="AV7207" s="42"/>
      <c r="AW7207" s="74"/>
      <c r="AX7207" s="77"/>
      <c r="BA7207" s="497">
        <v>55.040000000000006</v>
      </c>
      <c r="BB7207" s="42"/>
      <c r="BC7207" s="74"/>
      <c r="BD7207" s="77"/>
      <c r="BF7207">
        <v>48.92</v>
      </c>
      <c r="BH7207" s="42"/>
      <c r="BI7207" s="74"/>
      <c r="BJ7207" s="77"/>
      <c r="BL7207" s="497">
        <v>55.040000000000006</v>
      </c>
      <c r="BN7207" s="42"/>
      <c r="BO7207" s="74"/>
      <c r="BP7207" s="77"/>
      <c r="BR7207" s="497">
        <v>48.019999999999996</v>
      </c>
      <c r="BT7207" s="42"/>
    </row>
    <row r="7208" spans="1:72" x14ac:dyDescent="0.25">
      <c r="A7208" s="90">
        <v>37191</v>
      </c>
      <c r="B7208" s="20">
        <v>0.58333333333333337</v>
      </c>
      <c r="D7208">
        <v>51.980000000000004</v>
      </c>
      <c r="E7208" t="str">
        <f t="shared" si="260"/>
        <v>SATURDAY</v>
      </c>
      <c r="F7208" t="e">
        <f t="shared" si="259"/>
        <v>#N/A</v>
      </c>
      <c r="G7208" s="74">
        <v>29521</v>
      </c>
      <c r="H7208" s="77">
        <v>0.58333333333333337</v>
      </c>
      <c r="J7208">
        <v>51.44</v>
      </c>
      <c r="M7208" s="74">
        <v>36460</v>
      </c>
      <c r="N7208" s="77">
        <v>0.58333333333333337</v>
      </c>
      <c r="P7208">
        <v>55.400000000000006</v>
      </c>
      <c r="S7208" s="74">
        <v>37191</v>
      </c>
      <c r="T7208" s="77">
        <v>0.58333333333333337</v>
      </c>
      <c r="V7208">
        <v>53.06</v>
      </c>
      <c r="X7208" s="42"/>
      <c r="AB7208">
        <v>58.8</v>
      </c>
      <c r="AC7208">
        <v>66.02</v>
      </c>
      <c r="AE7208" s="74"/>
      <c r="AF7208" s="77"/>
      <c r="AH7208" s="497">
        <v>57.2</v>
      </c>
      <c r="AJ7208" s="42"/>
      <c r="AK7208" s="74"/>
      <c r="AL7208" s="77"/>
      <c r="AN7208" s="497">
        <v>55.94</v>
      </c>
      <c r="AP7208" s="42"/>
      <c r="AQ7208" s="74"/>
      <c r="AR7208" s="77"/>
      <c r="AT7208" s="497">
        <v>51.08</v>
      </c>
      <c r="AV7208" s="42"/>
      <c r="AW7208" s="74"/>
      <c r="AX7208" s="77"/>
      <c r="BA7208" s="497">
        <v>57.019999999999996</v>
      </c>
      <c r="BB7208" s="42"/>
      <c r="BC7208" s="74"/>
      <c r="BD7208" s="77"/>
      <c r="BF7208">
        <v>53.06</v>
      </c>
      <c r="BH7208" s="42"/>
      <c r="BI7208" s="74"/>
      <c r="BJ7208" s="77"/>
      <c r="BL7208" s="497">
        <v>53.06</v>
      </c>
      <c r="BN7208" s="42"/>
      <c r="BO7208" s="74"/>
      <c r="BP7208" s="77"/>
      <c r="BR7208" s="497">
        <v>48.019999999999996</v>
      </c>
      <c r="BT7208" s="42"/>
    </row>
    <row r="7209" spans="1:72" x14ac:dyDescent="0.25">
      <c r="A7209" s="90">
        <v>37191</v>
      </c>
      <c r="B7209" s="20">
        <v>0.625</v>
      </c>
      <c r="D7209">
        <v>51.08</v>
      </c>
      <c r="E7209" t="str">
        <f t="shared" si="260"/>
        <v>SATURDAY</v>
      </c>
      <c r="F7209" t="e">
        <f t="shared" si="259"/>
        <v>#N/A</v>
      </c>
      <c r="G7209" s="74">
        <v>29521</v>
      </c>
      <c r="H7209" s="77">
        <v>0.625</v>
      </c>
      <c r="J7209">
        <v>51.620000000000005</v>
      </c>
      <c r="M7209" s="74">
        <v>36460</v>
      </c>
      <c r="N7209" s="77">
        <v>0.625</v>
      </c>
      <c r="P7209">
        <v>53.6</v>
      </c>
      <c r="S7209" s="74">
        <v>37191</v>
      </c>
      <c r="T7209" s="77">
        <v>0.625</v>
      </c>
      <c r="V7209">
        <v>51.08</v>
      </c>
      <c r="X7209" s="42"/>
      <c r="AB7209">
        <v>59.1</v>
      </c>
      <c r="AC7209">
        <v>64.94</v>
      </c>
      <c r="AE7209" s="74"/>
      <c r="AF7209" s="77"/>
      <c r="AH7209" s="497">
        <v>57.2</v>
      </c>
      <c r="AJ7209" s="42"/>
      <c r="AK7209" s="74"/>
      <c r="AL7209" s="77"/>
      <c r="AN7209" s="497">
        <v>57.019999999999996</v>
      </c>
      <c r="AP7209" s="42"/>
      <c r="AQ7209" s="74"/>
      <c r="AR7209" s="77"/>
      <c r="AT7209" s="497">
        <v>51.08</v>
      </c>
      <c r="AV7209" s="42"/>
      <c r="AW7209" s="74"/>
      <c r="AX7209" s="77"/>
      <c r="BA7209" s="497">
        <v>57.92</v>
      </c>
      <c r="BB7209" s="42"/>
      <c r="BC7209" s="74"/>
      <c r="BD7209" s="77"/>
      <c r="BF7209">
        <v>53.06</v>
      </c>
      <c r="BH7209" s="42"/>
      <c r="BI7209" s="74"/>
      <c r="BJ7209" s="77"/>
      <c r="BL7209" s="497">
        <v>53.96</v>
      </c>
      <c r="BN7209" s="42"/>
      <c r="BO7209" s="74"/>
      <c r="BP7209" s="77"/>
      <c r="BR7209" s="497">
        <v>48.92</v>
      </c>
      <c r="BT7209" s="42"/>
    </row>
    <row r="7210" spans="1:72" x14ac:dyDescent="0.25">
      <c r="A7210" s="90">
        <v>37191</v>
      </c>
      <c r="B7210" s="20">
        <v>0.66666666666666663</v>
      </c>
      <c r="D7210">
        <v>51.08</v>
      </c>
      <c r="E7210" t="str">
        <f t="shared" si="260"/>
        <v>SATURDAY</v>
      </c>
      <c r="F7210" t="e">
        <f t="shared" si="259"/>
        <v>#N/A</v>
      </c>
      <c r="G7210" s="74">
        <v>29521</v>
      </c>
      <c r="H7210" s="77">
        <v>0.66666666666666663</v>
      </c>
      <c r="J7210">
        <v>51.980000000000004</v>
      </c>
      <c r="M7210" s="74">
        <v>36460</v>
      </c>
      <c r="N7210" s="77">
        <v>0.66666666666666663</v>
      </c>
      <c r="P7210">
        <v>53.6</v>
      </c>
      <c r="S7210" s="74">
        <v>37191</v>
      </c>
      <c r="T7210" s="77">
        <v>0.66666666666666663</v>
      </c>
      <c r="V7210">
        <v>51.08</v>
      </c>
      <c r="X7210" s="42"/>
      <c r="AB7210">
        <v>58.8</v>
      </c>
      <c r="AC7210">
        <v>62.96</v>
      </c>
      <c r="AE7210" s="74"/>
      <c r="AF7210" s="77"/>
      <c r="AH7210" s="497">
        <v>55.400000000000006</v>
      </c>
      <c r="AJ7210" s="42"/>
      <c r="AK7210" s="74"/>
      <c r="AL7210" s="77"/>
      <c r="AN7210" s="497">
        <v>57.019999999999996</v>
      </c>
      <c r="AP7210" s="42"/>
      <c r="AQ7210" s="74"/>
      <c r="AR7210" s="77"/>
      <c r="AT7210" s="497">
        <v>51.08</v>
      </c>
      <c r="AV7210" s="42"/>
      <c r="AW7210" s="74"/>
      <c r="AX7210" s="77"/>
      <c r="BA7210" s="497">
        <v>57.019999999999996</v>
      </c>
      <c r="BB7210" s="42"/>
      <c r="BC7210" s="74"/>
      <c r="BD7210" s="77"/>
      <c r="BF7210">
        <v>53.96</v>
      </c>
      <c r="BH7210" s="42"/>
      <c r="BI7210" s="74"/>
      <c r="BJ7210" s="77"/>
      <c r="BL7210" s="497">
        <v>53.96</v>
      </c>
      <c r="BN7210" s="42"/>
      <c r="BO7210" s="74"/>
      <c r="BP7210" s="77"/>
      <c r="BR7210" s="497">
        <v>48.92</v>
      </c>
      <c r="BT7210" s="42"/>
    </row>
    <row r="7211" spans="1:72" x14ac:dyDescent="0.25">
      <c r="A7211" s="90">
        <v>37191</v>
      </c>
      <c r="B7211" s="20">
        <v>0.70833333333333337</v>
      </c>
      <c r="D7211">
        <v>48.92</v>
      </c>
      <c r="E7211" t="str">
        <f t="shared" si="260"/>
        <v>SATURDAY</v>
      </c>
      <c r="F7211" t="e">
        <f t="shared" ref="F7211:F7274" si="261">IF(E7211="WEEKDAY",VLOOKUP(B7211,$DD$19:$DG$42,2),IF(E7211="SATURDAY",VLOOKUP(B7211,$DD$19:$DG$42,3),VLOOKUP(B7211,$DD$19:$DG$42,4)))</f>
        <v>#N/A</v>
      </c>
      <c r="G7211" s="74">
        <v>29521</v>
      </c>
      <c r="H7211" s="77">
        <v>0.70833333333333337</v>
      </c>
      <c r="J7211">
        <v>50.900000000000006</v>
      </c>
      <c r="M7211" s="74">
        <v>36460</v>
      </c>
      <c r="N7211" s="77">
        <v>0.70833333333333337</v>
      </c>
      <c r="P7211">
        <v>51.8</v>
      </c>
      <c r="S7211" s="74">
        <v>37191</v>
      </c>
      <c r="T7211" s="77">
        <v>0.70833333333333337</v>
      </c>
      <c r="V7211">
        <v>48.92</v>
      </c>
      <c r="X7211" s="42"/>
      <c r="AB7211">
        <v>57.9</v>
      </c>
      <c r="AC7211">
        <v>60.08</v>
      </c>
      <c r="AE7211" s="74"/>
      <c r="AF7211" s="77"/>
      <c r="AH7211" s="497">
        <v>53.6</v>
      </c>
      <c r="AJ7211" s="42"/>
      <c r="AK7211" s="74"/>
      <c r="AL7211" s="77"/>
      <c r="AN7211" s="497">
        <v>55.94</v>
      </c>
      <c r="AP7211" s="42"/>
      <c r="AQ7211" s="74"/>
      <c r="AR7211" s="77"/>
      <c r="AT7211" s="497">
        <v>51.980000000000004</v>
      </c>
      <c r="AV7211" s="42"/>
      <c r="AW7211" s="74"/>
      <c r="AX7211" s="77"/>
      <c r="BA7211" s="497">
        <v>53.96</v>
      </c>
      <c r="BB7211" s="42"/>
      <c r="BC7211" s="74"/>
      <c r="BD7211" s="77"/>
      <c r="BF7211">
        <v>53.96</v>
      </c>
      <c r="BH7211" s="42"/>
      <c r="BI7211" s="74"/>
      <c r="BJ7211" s="77"/>
      <c r="BL7211" s="497">
        <v>53.96</v>
      </c>
      <c r="BN7211" s="42"/>
      <c r="BO7211" s="74"/>
      <c r="BP7211" s="77"/>
      <c r="BR7211" s="497">
        <v>48.92</v>
      </c>
      <c r="BT7211" s="42"/>
    </row>
    <row r="7212" spans="1:72" x14ac:dyDescent="0.25">
      <c r="A7212" s="90">
        <v>37191</v>
      </c>
      <c r="B7212" s="20">
        <v>0.75</v>
      </c>
      <c r="D7212">
        <v>48.019999999999996</v>
      </c>
      <c r="E7212" t="str">
        <f t="shared" si="260"/>
        <v>SATURDAY</v>
      </c>
      <c r="F7212" t="e">
        <f t="shared" si="261"/>
        <v>#N/A</v>
      </c>
      <c r="G7212" s="74">
        <v>29521</v>
      </c>
      <c r="H7212" s="77">
        <v>0.75</v>
      </c>
      <c r="J7212">
        <v>50</v>
      </c>
      <c r="M7212" s="74">
        <v>36460</v>
      </c>
      <c r="N7212" s="77">
        <v>0.75</v>
      </c>
      <c r="P7212">
        <v>50</v>
      </c>
      <c r="S7212" s="74">
        <v>37191</v>
      </c>
      <c r="T7212" s="77">
        <v>0.75</v>
      </c>
      <c r="V7212">
        <v>48.019999999999996</v>
      </c>
      <c r="X7212" s="42"/>
      <c r="AB7212">
        <v>56.4</v>
      </c>
      <c r="AC7212">
        <v>59</v>
      </c>
      <c r="AE7212" s="74"/>
      <c r="AF7212" s="77"/>
      <c r="AH7212" s="497">
        <v>50</v>
      </c>
      <c r="AJ7212" s="42"/>
      <c r="AK7212" s="74"/>
      <c r="AL7212" s="77"/>
      <c r="AN7212" s="497">
        <v>57.019999999999996</v>
      </c>
      <c r="AP7212" s="42"/>
      <c r="AQ7212" s="74"/>
      <c r="AR7212" s="77"/>
      <c r="AT7212" s="497">
        <v>51.08</v>
      </c>
      <c r="AV7212" s="42"/>
      <c r="AW7212" s="74"/>
      <c r="AX7212" s="77"/>
      <c r="BA7212" s="497">
        <v>53.96</v>
      </c>
      <c r="BB7212" s="42"/>
      <c r="BC7212" s="74"/>
      <c r="BD7212" s="77"/>
      <c r="BF7212">
        <v>53.96</v>
      </c>
      <c r="BH7212" s="42"/>
      <c r="BI7212" s="74"/>
      <c r="BJ7212" s="77"/>
      <c r="BL7212" s="497">
        <v>53.96</v>
      </c>
      <c r="BN7212" s="42"/>
      <c r="BO7212" s="74"/>
      <c r="BP7212" s="77"/>
      <c r="BR7212" s="497">
        <v>48.92</v>
      </c>
      <c r="BT7212" s="42"/>
    </row>
    <row r="7213" spans="1:72" x14ac:dyDescent="0.25">
      <c r="A7213" s="90">
        <v>37191</v>
      </c>
      <c r="B7213" s="20">
        <v>0.79166666666666663</v>
      </c>
      <c r="D7213">
        <v>46.94</v>
      </c>
      <c r="E7213" t="str">
        <f t="shared" si="260"/>
        <v>SATURDAY</v>
      </c>
      <c r="F7213" t="e">
        <f t="shared" si="261"/>
        <v>#N/A</v>
      </c>
      <c r="G7213" s="74">
        <v>29521</v>
      </c>
      <c r="H7213" s="77">
        <v>0.79166666666666663</v>
      </c>
      <c r="J7213">
        <v>48.92</v>
      </c>
      <c r="M7213" s="74">
        <v>36460</v>
      </c>
      <c r="N7213" s="77">
        <v>0.79166666666666663</v>
      </c>
      <c r="P7213">
        <v>48.2</v>
      </c>
      <c r="S7213" s="74">
        <v>37191</v>
      </c>
      <c r="T7213" s="77">
        <v>0.79166666666666663</v>
      </c>
      <c r="V7213">
        <v>46.94</v>
      </c>
      <c r="X7213" s="42"/>
      <c r="AB7213">
        <v>55.5</v>
      </c>
      <c r="AC7213">
        <v>57.92</v>
      </c>
      <c r="AE7213" s="74"/>
      <c r="AF7213" s="77"/>
      <c r="AH7213" s="497">
        <v>48.2</v>
      </c>
      <c r="AJ7213" s="42"/>
      <c r="AK7213" s="74"/>
      <c r="AL7213" s="77"/>
      <c r="AN7213" s="497">
        <v>53.06</v>
      </c>
      <c r="AP7213" s="42"/>
      <c r="AQ7213" s="74"/>
      <c r="AR7213" s="77"/>
      <c r="AT7213" s="497">
        <v>51.08</v>
      </c>
      <c r="AV7213" s="42"/>
      <c r="AW7213" s="74"/>
      <c r="AX7213" s="77"/>
      <c r="BA7213" s="497">
        <v>53.96</v>
      </c>
      <c r="BB7213" s="42"/>
      <c r="BC7213" s="74"/>
      <c r="BD7213" s="77"/>
      <c r="BF7213">
        <v>53.96</v>
      </c>
      <c r="BH7213" s="42"/>
      <c r="BI7213" s="74"/>
      <c r="BJ7213" s="77"/>
      <c r="BL7213" s="497">
        <v>51.08</v>
      </c>
      <c r="BN7213" s="42"/>
      <c r="BO7213" s="74"/>
      <c r="BP7213" s="77"/>
      <c r="BR7213" s="497">
        <v>48.92</v>
      </c>
      <c r="BT7213" s="42"/>
    </row>
    <row r="7214" spans="1:72" x14ac:dyDescent="0.25">
      <c r="A7214" s="90">
        <v>37191</v>
      </c>
      <c r="B7214" s="20">
        <v>0.83333333333333337</v>
      </c>
      <c r="D7214">
        <v>46.04</v>
      </c>
      <c r="E7214" t="str">
        <f t="shared" si="260"/>
        <v>SATURDAY</v>
      </c>
      <c r="F7214" t="e">
        <f t="shared" si="261"/>
        <v>#N/A</v>
      </c>
      <c r="G7214" s="74">
        <v>29521</v>
      </c>
      <c r="H7214" s="77">
        <v>0.83333333333333337</v>
      </c>
      <c r="J7214">
        <v>48.56</v>
      </c>
      <c r="M7214" s="74">
        <v>36460</v>
      </c>
      <c r="N7214" s="77">
        <v>0.83333333333333337</v>
      </c>
      <c r="P7214">
        <v>46.4</v>
      </c>
      <c r="S7214" s="74">
        <v>37191</v>
      </c>
      <c r="T7214" s="77">
        <v>0.83333333333333337</v>
      </c>
      <c r="V7214">
        <v>44.96</v>
      </c>
      <c r="X7214" s="42"/>
      <c r="AB7214">
        <v>54.9</v>
      </c>
      <c r="AC7214">
        <v>57.019999999999996</v>
      </c>
      <c r="AE7214" s="74"/>
      <c r="AF7214" s="77"/>
      <c r="AH7214" s="497">
        <v>46.4</v>
      </c>
      <c r="AJ7214" s="42"/>
      <c r="AK7214" s="74"/>
      <c r="AL7214" s="77"/>
      <c r="AN7214" s="497">
        <v>51.980000000000004</v>
      </c>
      <c r="AP7214" s="42"/>
      <c r="AQ7214" s="74"/>
      <c r="AR7214" s="77"/>
      <c r="AT7214" s="497">
        <v>50</v>
      </c>
      <c r="AV7214" s="42"/>
      <c r="AW7214" s="74"/>
      <c r="AX7214" s="77"/>
      <c r="BA7214" s="497">
        <v>53.06</v>
      </c>
      <c r="BB7214" s="42"/>
      <c r="BC7214" s="74"/>
      <c r="BD7214" s="77"/>
      <c r="BF7214">
        <v>51.08</v>
      </c>
      <c r="BH7214" s="42"/>
      <c r="BI7214" s="74"/>
      <c r="BJ7214" s="77"/>
      <c r="BL7214" s="497">
        <v>51.08</v>
      </c>
      <c r="BN7214" s="42"/>
      <c r="BO7214" s="74"/>
      <c r="BP7214" s="77"/>
      <c r="BR7214" s="497">
        <v>48.92</v>
      </c>
      <c r="BT7214" s="42"/>
    </row>
    <row r="7215" spans="1:72" x14ac:dyDescent="0.25">
      <c r="A7215" s="90">
        <v>37191</v>
      </c>
      <c r="B7215" s="20">
        <v>0.875</v>
      </c>
      <c r="D7215">
        <v>46.22</v>
      </c>
      <c r="E7215" t="str">
        <f t="shared" si="260"/>
        <v>SATURDAY</v>
      </c>
      <c r="F7215" t="e">
        <f t="shared" si="261"/>
        <v>#N/A</v>
      </c>
      <c r="G7215" s="74">
        <v>29521</v>
      </c>
      <c r="H7215" s="77">
        <v>0.875</v>
      </c>
      <c r="J7215">
        <v>48.379999999999995</v>
      </c>
      <c r="M7215" s="74">
        <v>36460</v>
      </c>
      <c r="N7215" s="77">
        <v>0.875</v>
      </c>
      <c r="P7215">
        <v>44.6</v>
      </c>
      <c r="S7215" s="74">
        <v>37191</v>
      </c>
      <c r="T7215" s="77">
        <v>0.875</v>
      </c>
      <c r="V7215">
        <v>44.96</v>
      </c>
      <c r="X7215" s="42"/>
      <c r="AB7215">
        <v>54.2</v>
      </c>
      <c r="AC7215">
        <v>55.94</v>
      </c>
      <c r="AE7215" s="74"/>
      <c r="AF7215" s="77"/>
      <c r="AH7215" s="497">
        <v>37.4</v>
      </c>
      <c r="AJ7215" s="42"/>
      <c r="AK7215" s="74"/>
      <c r="AL7215" s="77"/>
      <c r="AN7215" s="497">
        <v>53.06</v>
      </c>
      <c r="AP7215" s="42"/>
      <c r="AQ7215" s="74"/>
      <c r="AR7215" s="77"/>
      <c r="AT7215" s="497">
        <v>50</v>
      </c>
      <c r="AV7215" s="42"/>
      <c r="AW7215" s="74"/>
      <c r="AX7215" s="77"/>
      <c r="BA7215" s="497">
        <v>53.96</v>
      </c>
      <c r="BB7215" s="42"/>
      <c r="BC7215" s="74"/>
      <c r="BD7215" s="77"/>
      <c r="BF7215">
        <v>48.92</v>
      </c>
      <c r="BH7215" s="42"/>
      <c r="BI7215" s="74"/>
      <c r="BJ7215" s="77"/>
      <c r="BL7215" s="497">
        <v>48.92</v>
      </c>
      <c r="BN7215" s="42"/>
      <c r="BO7215" s="74"/>
      <c r="BP7215" s="77"/>
      <c r="BR7215" s="497">
        <v>48.92</v>
      </c>
      <c r="BT7215" s="42"/>
    </row>
    <row r="7216" spans="1:72" x14ac:dyDescent="0.25">
      <c r="A7216" s="90">
        <v>37191</v>
      </c>
      <c r="B7216" s="20">
        <v>0.91666666666666663</v>
      </c>
      <c r="D7216">
        <v>46.04</v>
      </c>
      <c r="E7216" t="str">
        <f t="shared" si="260"/>
        <v>SATURDAY</v>
      </c>
      <c r="F7216" t="e">
        <f t="shared" si="261"/>
        <v>#N/A</v>
      </c>
      <c r="G7216" s="74">
        <v>29521</v>
      </c>
      <c r="H7216" s="77">
        <v>0.91666666666666663</v>
      </c>
      <c r="J7216">
        <v>48.019999999999996</v>
      </c>
      <c r="M7216" s="74">
        <v>36460</v>
      </c>
      <c r="N7216" s="77">
        <v>0.91666666666666663</v>
      </c>
      <c r="P7216">
        <v>44.6</v>
      </c>
      <c r="S7216" s="74">
        <v>37191</v>
      </c>
      <c r="T7216" s="77">
        <v>0.91666666666666663</v>
      </c>
      <c r="V7216">
        <v>44.96</v>
      </c>
      <c r="X7216" s="42"/>
      <c r="AB7216">
        <v>53.6</v>
      </c>
      <c r="AC7216">
        <v>55.040000000000006</v>
      </c>
      <c r="AE7216" s="74"/>
      <c r="AF7216" s="77"/>
      <c r="AH7216" s="497">
        <v>37.4</v>
      </c>
      <c r="AJ7216" s="42"/>
      <c r="AK7216" s="74"/>
      <c r="AL7216" s="77"/>
      <c r="AN7216" s="497">
        <v>51.980000000000004</v>
      </c>
      <c r="AP7216" s="42"/>
      <c r="AQ7216" s="74"/>
      <c r="AR7216" s="77"/>
      <c r="AT7216" s="497">
        <v>50</v>
      </c>
      <c r="AV7216" s="42"/>
      <c r="AW7216" s="74"/>
      <c r="AX7216" s="77"/>
      <c r="BA7216" s="497">
        <v>53.96</v>
      </c>
      <c r="BB7216" s="42"/>
      <c r="BC7216" s="74"/>
      <c r="BD7216" s="77"/>
      <c r="BF7216">
        <v>50</v>
      </c>
      <c r="BH7216" s="42"/>
      <c r="BI7216" s="74"/>
      <c r="BJ7216" s="77"/>
      <c r="BL7216" s="497">
        <v>48.019999999999996</v>
      </c>
      <c r="BN7216" s="42"/>
      <c r="BO7216" s="74"/>
      <c r="BP7216" s="77"/>
      <c r="BR7216" s="497">
        <v>48.92</v>
      </c>
      <c r="BT7216" s="42"/>
    </row>
    <row r="7217" spans="1:72" x14ac:dyDescent="0.25">
      <c r="A7217" s="90">
        <v>37191</v>
      </c>
      <c r="B7217" s="20">
        <v>0.95833333333333337</v>
      </c>
      <c r="D7217">
        <v>44.96</v>
      </c>
      <c r="E7217" t="str">
        <f t="shared" si="260"/>
        <v>SATURDAY</v>
      </c>
      <c r="F7217" t="e">
        <f t="shared" si="261"/>
        <v>#N/A</v>
      </c>
      <c r="G7217" s="74">
        <v>29521</v>
      </c>
      <c r="H7217" s="77">
        <v>0.95833333333333337</v>
      </c>
      <c r="J7217">
        <v>48.019999999999996</v>
      </c>
      <c r="M7217" s="74">
        <v>36460</v>
      </c>
      <c r="N7217" s="77">
        <v>0.95833333333333337</v>
      </c>
      <c r="P7217">
        <v>44.6</v>
      </c>
      <c r="S7217" s="74">
        <v>37191</v>
      </c>
      <c r="T7217" s="77">
        <v>0.95833333333333337</v>
      </c>
      <c r="V7217">
        <v>44.96</v>
      </c>
      <c r="X7217" s="42"/>
      <c r="AB7217">
        <v>53</v>
      </c>
      <c r="AC7217">
        <v>55.040000000000006</v>
      </c>
      <c r="AE7217" s="74"/>
      <c r="AF7217" s="77"/>
      <c r="AH7217" s="497">
        <v>35.6</v>
      </c>
      <c r="AJ7217" s="42"/>
      <c r="AK7217" s="74"/>
      <c r="AL7217" s="77"/>
      <c r="AN7217" s="497">
        <v>51.08</v>
      </c>
      <c r="AP7217" s="42"/>
      <c r="AQ7217" s="74"/>
      <c r="AR7217" s="77"/>
      <c r="AT7217" s="497">
        <v>51.08</v>
      </c>
      <c r="AV7217" s="42"/>
      <c r="AW7217" s="74"/>
      <c r="AX7217" s="77"/>
      <c r="BA7217" s="497">
        <v>53.96</v>
      </c>
      <c r="BB7217" s="42"/>
      <c r="BC7217" s="74"/>
      <c r="BD7217" s="77"/>
      <c r="BF7217">
        <v>50</v>
      </c>
      <c r="BH7217" s="42"/>
      <c r="BI7217" s="74"/>
      <c r="BJ7217" s="77"/>
      <c r="BL7217" s="497">
        <v>46.94</v>
      </c>
      <c r="BN7217" s="42"/>
      <c r="BO7217" s="74"/>
      <c r="BP7217" s="77"/>
      <c r="BR7217" s="497">
        <v>50</v>
      </c>
      <c r="BT7217" s="42"/>
    </row>
    <row r="7218" spans="1:72" x14ac:dyDescent="0.25">
      <c r="A7218" s="90">
        <v>37191</v>
      </c>
      <c r="B7218" s="20">
        <v>1</v>
      </c>
      <c r="D7218">
        <v>44.96</v>
      </c>
      <c r="E7218" t="str">
        <f t="shared" si="260"/>
        <v>SATURDAY</v>
      </c>
      <c r="F7218" t="e">
        <f t="shared" si="261"/>
        <v>#N/A</v>
      </c>
      <c r="G7218" s="74">
        <v>29521</v>
      </c>
      <c r="H7218" s="77">
        <v>1</v>
      </c>
      <c r="J7218">
        <v>48.019999999999996</v>
      </c>
      <c r="M7218" s="74">
        <v>36460</v>
      </c>
      <c r="N7218" s="80">
        <v>1</v>
      </c>
      <c r="P7218">
        <v>41</v>
      </c>
      <c r="S7218" s="74">
        <v>37191</v>
      </c>
      <c r="T7218" s="80">
        <v>1</v>
      </c>
      <c r="V7218">
        <v>44.96</v>
      </c>
      <c r="X7218" s="42"/>
      <c r="AB7218">
        <v>52.2</v>
      </c>
      <c r="AC7218">
        <v>55.040000000000006</v>
      </c>
      <c r="AE7218" s="74"/>
      <c r="AF7218" s="80"/>
      <c r="AH7218" s="497">
        <v>35.6</v>
      </c>
      <c r="AJ7218" s="42"/>
      <c r="AK7218" s="74"/>
      <c r="AL7218" s="80"/>
      <c r="AN7218" s="497">
        <v>51.08</v>
      </c>
      <c r="AP7218" s="42"/>
      <c r="AQ7218" s="74"/>
      <c r="AR7218" s="80"/>
      <c r="AT7218" s="497">
        <v>50</v>
      </c>
      <c r="AV7218" s="42"/>
      <c r="AW7218" s="74"/>
      <c r="AX7218" s="80"/>
      <c r="BA7218" s="497">
        <v>53.96</v>
      </c>
      <c r="BB7218" s="42"/>
      <c r="BC7218" s="74"/>
      <c r="BD7218" s="80"/>
      <c r="BF7218">
        <v>48.92</v>
      </c>
      <c r="BH7218" s="42"/>
      <c r="BI7218" s="74"/>
      <c r="BJ7218" s="80"/>
      <c r="BL7218" s="497">
        <v>46.04</v>
      </c>
      <c r="BN7218" s="42"/>
      <c r="BO7218" s="74"/>
      <c r="BP7218" s="80"/>
      <c r="BR7218" s="497">
        <v>51.980000000000004</v>
      </c>
      <c r="BT7218" s="42"/>
    </row>
    <row r="7219" spans="1:72" x14ac:dyDescent="0.25">
      <c r="A7219" s="90">
        <v>37192</v>
      </c>
      <c r="B7219" s="20">
        <v>4.1666666666666664E-2</v>
      </c>
      <c r="D7219">
        <v>44.06</v>
      </c>
      <c r="E7219" t="str">
        <f t="shared" si="260"/>
        <v>SUNDAY</v>
      </c>
      <c r="F7219" t="e">
        <f t="shared" si="261"/>
        <v>#N/A</v>
      </c>
      <c r="G7219" s="74">
        <v>29522</v>
      </c>
      <c r="H7219" s="77">
        <v>4.1666666666666664E-2</v>
      </c>
      <c r="J7219">
        <v>48.019999999999996</v>
      </c>
      <c r="M7219" s="74">
        <v>36461</v>
      </c>
      <c r="N7219" s="77">
        <v>4.1666666666666664E-2</v>
      </c>
      <c r="P7219">
        <v>41</v>
      </c>
      <c r="S7219" s="74">
        <v>37192</v>
      </c>
      <c r="T7219" s="77">
        <v>4.1666666666666664E-2</v>
      </c>
      <c r="V7219">
        <v>42.08</v>
      </c>
      <c r="X7219" s="42"/>
      <c r="AB7219">
        <v>51.7</v>
      </c>
      <c r="AC7219">
        <v>55.040000000000006</v>
      </c>
      <c r="AE7219" s="74"/>
      <c r="AF7219" s="77"/>
      <c r="AH7219" s="497">
        <v>35.6</v>
      </c>
      <c r="AJ7219" s="42"/>
      <c r="AK7219" s="74"/>
      <c r="AL7219" s="77"/>
      <c r="AN7219" s="497">
        <v>51.08</v>
      </c>
      <c r="AP7219" s="42"/>
      <c r="AQ7219" s="74"/>
      <c r="AR7219" s="77"/>
      <c r="AT7219" s="497">
        <v>50</v>
      </c>
      <c r="AV7219" s="42"/>
      <c r="AW7219" s="74"/>
      <c r="AX7219" s="77"/>
      <c r="BA7219" s="497">
        <v>53.96</v>
      </c>
      <c r="BB7219" s="42"/>
      <c r="BC7219" s="74"/>
      <c r="BD7219" s="77"/>
      <c r="BF7219">
        <v>51.08</v>
      </c>
      <c r="BH7219" s="42"/>
      <c r="BI7219" s="74"/>
      <c r="BJ7219" s="77"/>
      <c r="BL7219" s="497">
        <v>46.04</v>
      </c>
      <c r="BN7219" s="42"/>
      <c r="BO7219" s="74"/>
      <c r="BP7219" s="77"/>
      <c r="BR7219" s="497">
        <v>53.06</v>
      </c>
      <c r="BT7219" s="42"/>
    </row>
    <row r="7220" spans="1:72" x14ac:dyDescent="0.25">
      <c r="A7220" s="90">
        <v>37192</v>
      </c>
      <c r="B7220" s="20">
        <v>8.3333333333333329E-2</v>
      </c>
      <c r="D7220">
        <v>42.980000000000004</v>
      </c>
      <c r="E7220" t="str">
        <f t="shared" si="260"/>
        <v>SUNDAY</v>
      </c>
      <c r="F7220" t="e">
        <f t="shared" si="261"/>
        <v>#N/A</v>
      </c>
      <c r="G7220" s="74">
        <v>29522</v>
      </c>
      <c r="H7220" s="77">
        <v>8.3333333333333329E-2</v>
      </c>
      <c r="J7220">
        <v>47.66</v>
      </c>
      <c r="M7220" s="74">
        <v>36461</v>
      </c>
      <c r="N7220" s="77">
        <v>8.3333333333333329E-2</v>
      </c>
      <c r="P7220">
        <v>39.200000000000003</v>
      </c>
      <c r="S7220" s="74">
        <v>37192</v>
      </c>
      <c r="T7220" s="77">
        <v>8.3333333333333329E-2</v>
      </c>
      <c r="V7220">
        <v>41</v>
      </c>
      <c r="X7220" s="42"/>
      <c r="AB7220">
        <v>51.1</v>
      </c>
      <c r="AC7220">
        <v>55.040000000000006</v>
      </c>
      <c r="AE7220" s="74"/>
      <c r="AF7220" s="77"/>
      <c r="AH7220" s="497">
        <v>35.6</v>
      </c>
      <c r="AJ7220" s="42"/>
      <c r="AK7220" s="74"/>
      <c r="AL7220" s="77"/>
      <c r="AN7220" s="497">
        <v>51.08</v>
      </c>
      <c r="AP7220" s="42"/>
      <c r="AQ7220" s="74"/>
      <c r="AR7220" s="77"/>
      <c r="AT7220" s="497">
        <v>51.08</v>
      </c>
      <c r="AV7220" s="42"/>
      <c r="AW7220" s="74"/>
      <c r="AX7220" s="77"/>
      <c r="BA7220" s="497">
        <v>53.06</v>
      </c>
      <c r="BB7220" s="42"/>
      <c r="BC7220" s="74"/>
      <c r="BD7220" s="77"/>
      <c r="BF7220">
        <v>51.08</v>
      </c>
      <c r="BH7220" s="42"/>
      <c r="BI7220" s="74"/>
      <c r="BJ7220" s="77"/>
      <c r="BL7220" s="497">
        <v>46.04</v>
      </c>
      <c r="BN7220" s="42"/>
      <c r="BO7220" s="74"/>
      <c r="BP7220" s="77"/>
      <c r="BR7220" s="497">
        <v>53.06</v>
      </c>
      <c r="BT7220" s="42"/>
    </row>
    <row r="7221" spans="1:72" x14ac:dyDescent="0.25">
      <c r="A7221" s="90">
        <v>37192</v>
      </c>
      <c r="B7221" s="20">
        <v>0.125</v>
      </c>
      <c r="D7221">
        <v>42.08</v>
      </c>
      <c r="E7221" t="str">
        <f t="shared" si="260"/>
        <v>SUNDAY</v>
      </c>
      <c r="F7221" t="e">
        <f t="shared" si="261"/>
        <v>#N/A</v>
      </c>
      <c r="G7221" s="74">
        <v>29522</v>
      </c>
      <c r="H7221" s="77">
        <v>0.125</v>
      </c>
      <c r="J7221">
        <v>47.3</v>
      </c>
      <c r="M7221" s="74">
        <v>36461</v>
      </c>
      <c r="N7221" s="77">
        <v>0.125</v>
      </c>
      <c r="P7221">
        <v>37.4</v>
      </c>
      <c r="S7221" s="74">
        <v>37192</v>
      </c>
      <c r="T7221" s="77">
        <v>0.125</v>
      </c>
      <c r="V7221">
        <v>41</v>
      </c>
      <c r="X7221" s="42"/>
      <c r="AB7221">
        <v>50.5</v>
      </c>
      <c r="AC7221">
        <v>55.040000000000006</v>
      </c>
      <c r="AE7221" s="74"/>
      <c r="AF7221" s="77"/>
      <c r="AH7221" s="497">
        <v>35.6</v>
      </c>
      <c r="AJ7221" s="42"/>
      <c r="AK7221" s="74"/>
      <c r="AL7221" s="77"/>
      <c r="AN7221" s="497">
        <v>51.08</v>
      </c>
      <c r="AP7221" s="42"/>
      <c r="AQ7221" s="74"/>
      <c r="AR7221" s="77"/>
      <c r="AT7221" s="497">
        <v>51.08</v>
      </c>
      <c r="AV7221" s="42"/>
      <c r="AW7221" s="74"/>
      <c r="AX7221" s="77"/>
      <c r="BA7221" s="497">
        <v>53.06</v>
      </c>
      <c r="BB7221" s="42"/>
      <c r="BC7221" s="74"/>
      <c r="BD7221" s="77"/>
      <c r="BF7221">
        <v>51.08</v>
      </c>
      <c r="BH7221" s="42"/>
      <c r="BI7221" s="74"/>
      <c r="BJ7221" s="77"/>
      <c r="BL7221" s="497">
        <v>46.04</v>
      </c>
      <c r="BN7221" s="42"/>
      <c r="BO7221" s="74"/>
      <c r="BP7221" s="77"/>
      <c r="BR7221" s="497">
        <v>53.06</v>
      </c>
      <c r="BT7221" s="42"/>
    </row>
    <row r="7222" spans="1:72" x14ac:dyDescent="0.25">
      <c r="A7222" s="90">
        <v>37192</v>
      </c>
      <c r="B7222" s="20">
        <v>0.16666666666666666</v>
      </c>
      <c r="D7222">
        <v>42.08</v>
      </c>
      <c r="E7222" t="str">
        <f t="shared" si="260"/>
        <v>SUNDAY</v>
      </c>
      <c r="F7222" t="e">
        <f t="shared" si="261"/>
        <v>#N/A</v>
      </c>
      <c r="G7222" s="74">
        <v>29522</v>
      </c>
      <c r="H7222" s="77">
        <v>0.16666666666666666</v>
      </c>
      <c r="J7222">
        <v>46.94</v>
      </c>
      <c r="M7222" s="74">
        <v>36461</v>
      </c>
      <c r="N7222" s="77">
        <v>0.16666666666666666</v>
      </c>
      <c r="P7222">
        <v>35.6</v>
      </c>
      <c r="S7222" s="74">
        <v>37192</v>
      </c>
      <c r="T7222" s="77">
        <v>0.16666666666666666</v>
      </c>
      <c r="V7222">
        <v>39.92</v>
      </c>
      <c r="X7222" s="42"/>
      <c r="AB7222">
        <v>50.1</v>
      </c>
      <c r="AC7222">
        <v>55.94</v>
      </c>
      <c r="AE7222" s="74"/>
      <c r="AF7222" s="77"/>
      <c r="AH7222" s="497">
        <v>35.6</v>
      </c>
      <c r="AJ7222" s="42"/>
      <c r="AK7222" s="74"/>
      <c r="AL7222" s="77"/>
      <c r="AN7222" s="497">
        <v>51.08</v>
      </c>
      <c r="AP7222" s="42"/>
      <c r="AQ7222" s="74"/>
      <c r="AR7222" s="77"/>
      <c r="AT7222" s="497">
        <v>51.08</v>
      </c>
      <c r="AV7222" s="42"/>
      <c r="AW7222" s="74"/>
      <c r="AX7222" s="77"/>
      <c r="BA7222" s="497">
        <v>53.06</v>
      </c>
      <c r="BB7222" s="42"/>
      <c r="BC7222" s="74"/>
      <c r="BD7222" s="77"/>
      <c r="BF7222">
        <v>48.92</v>
      </c>
      <c r="BH7222" s="42"/>
      <c r="BI7222" s="74"/>
      <c r="BJ7222" s="77"/>
      <c r="BL7222" s="497">
        <v>44.06</v>
      </c>
      <c r="BN7222" s="42"/>
      <c r="BO7222" s="74"/>
      <c r="BP7222" s="77"/>
      <c r="BR7222" s="497">
        <v>51.08</v>
      </c>
      <c r="BT7222" s="42"/>
    </row>
    <row r="7223" spans="1:72" x14ac:dyDescent="0.25">
      <c r="A7223" s="90">
        <v>37192</v>
      </c>
      <c r="B7223" s="20">
        <v>0.20833333333333334</v>
      </c>
      <c r="D7223">
        <v>41</v>
      </c>
      <c r="E7223" t="str">
        <f t="shared" si="260"/>
        <v>SUNDAY</v>
      </c>
      <c r="F7223" t="e">
        <f t="shared" si="261"/>
        <v>#N/A</v>
      </c>
      <c r="G7223" s="74">
        <v>29522</v>
      </c>
      <c r="H7223" s="77">
        <v>0.20833333333333334</v>
      </c>
      <c r="J7223">
        <v>46.94</v>
      </c>
      <c r="M7223" s="74">
        <v>36461</v>
      </c>
      <c r="N7223" s="77">
        <v>0.20833333333333334</v>
      </c>
      <c r="P7223">
        <v>35.6</v>
      </c>
      <c r="S7223" s="74">
        <v>37192</v>
      </c>
      <c r="T7223" s="77">
        <v>0.20833333333333334</v>
      </c>
      <c r="V7223">
        <v>39.019999999999996</v>
      </c>
      <c r="X7223" s="42"/>
      <c r="AB7223">
        <v>49.7</v>
      </c>
      <c r="AC7223">
        <v>57.019999999999996</v>
      </c>
      <c r="AE7223" s="74"/>
      <c r="AF7223" s="77"/>
      <c r="AH7223" s="497">
        <v>33.799999999999997</v>
      </c>
      <c r="AJ7223" s="42"/>
      <c r="AK7223" s="74"/>
      <c r="AL7223" s="77"/>
      <c r="AN7223" s="497">
        <v>51.08</v>
      </c>
      <c r="AP7223" s="42"/>
      <c r="AQ7223" s="74"/>
      <c r="AR7223" s="77"/>
      <c r="AT7223" s="497">
        <v>51.08</v>
      </c>
      <c r="AV7223" s="42"/>
      <c r="AW7223" s="74"/>
      <c r="AX7223" s="77"/>
      <c r="BA7223" s="497">
        <v>53.06</v>
      </c>
      <c r="BB7223" s="42"/>
      <c r="BC7223" s="74"/>
      <c r="BD7223" s="77"/>
      <c r="BF7223">
        <v>48.019999999999996</v>
      </c>
      <c r="BH7223" s="42"/>
      <c r="BI7223" s="74"/>
      <c r="BJ7223" s="77"/>
      <c r="BL7223" s="497">
        <v>42.980000000000004</v>
      </c>
      <c r="BN7223" s="42"/>
      <c r="BO7223" s="74"/>
      <c r="BP7223" s="77"/>
      <c r="BR7223" s="497">
        <v>48.92</v>
      </c>
      <c r="BT7223" s="42"/>
    </row>
    <row r="7224" spans="1:72" x14ac:dyDescent="0.25">
      <c r="A7224" s="90">
        <v>37192</v>
      </c>
      <c r="B7224" s="20">
        <v>0.25</v>
      </c>
      <c r="D7224">
        <v>41</v>
      </c>
      <c r="E7224" t="str">
        <f t="shared" si="260"/>
        <v>SUNDAY</v>
      </c>
      <c r="F7224" t="e">
        <f t="shared" si="261"/>
        <v>#N/A</v>
      </c>
      <c r="G7224" s="74">
        <v>29522</v>
      </c>
      <c r="H7224" s="77">
        <v>0.25</v>
      </c>
      <c r="J7224">
        <v>46.94</v>
      </c>
      <c r="M7224" s="74">
        <v>36461</v>
      </c>
      <c r="N7224" s="77">
        <v>0.25</v>
      </c>
      <c r="P7224">
        <v>33.799999999999997</v>
      </c>
      <c r="S7224" s="74">
        <v>37192</v>
      </c>
      <c r="T7224" s="77">
        <v>0.25</v>
      </c>
      <c r="V7224">
        <v>39.019999999999996</v>
      </c>
      <c r="X7224" s="42"/>
      <c r="AB7224">
        <v>49.5</v>
      </c>
      <c r="AC7224">
        <v>57.019999999999996</v>
      </c>
      <c r="AE7224" s="74"/>
      <c r="AF7224" s="77"/>
      <c r="AH7224" s="497">
        <v>33.799999999999997</v>
      </c>
      <c r="AJ7224" s="42"/>
      <c r="AK7224" s="74"/>
      <c r="AL7224" s="77"/>
      <c r="AN7224" s="497">
        <v>51.08</v>
      </c>
      <c r="AP7224" s="42"/>
      <c r="AQ7224" s="74"/>
      <c r="AR7224" s="77"/>
      <c r="AT7224" s="497">
        <v>51.08</v>
      </c>
      <c r="AV7224" s="42"/>
      <c r="AW7224" s="74"/>
      <c r="AX7224" s="77"/>
      <c r="BA7224" s="497">
        <v>53.06</v>
      </c>
      <c r="BB7224" s="42"/>
      <c r="BC7224" s="74"/>
      <c r="BD7224" s="77"/>
      <c r="BF7224">
        <v>48.92</v>
      </c>
      <c r="BH7224" s="42"/>
      <c r="BI7224" s="74"/>
      <c r="BJ7224" s="77"/>
      <c r="BL7224" s="497">
        <v>44.96</v>
      </c>
      <c r="BN7224" s="42"/>
      <c r="BO7224" s="74"/>
      <c r="BP7224" s="77"/>
      <c r="BR7224" s="497">
        <v>48.019999999999996</v>
      </c>
      <c r="BT7224" s="42"/>
    </row>
    <row r="7225" spans="1:72" x14ac:dyDescent="0.25">
      <c r="A7225" s="90">
        <v>37192</v>
      </c>
      <c r="B7225" s="20">
        <v>0.29166666666666669</v>
      </c>
      <c r="D7225">
        <v>41</v>
      </c>
      <c r="E7225" t="str">
        <f t="shared" si="260"/>
        <v>SUNDAY</v>
      </c>
      <c r="F7225" t="e">
        <f t="shared" si="261"/>
        <v>#N/A</v>
      </c>
      <c r="G7225" s="74">
        <v>29522</v>
      </c>
      <c r="H7225" s="77">
        <v>0.29166666666666669</v>
      </c>
      <c r="J7225">
        <v>46.94</v>
      </c>
      <c r="M7225" s="74">
        <v>36461</v>
      </c>
      <c r="N7225" s="77">
        <v>0.29166666666666669</v>
      </c>
      <c r="P7225">
        <v>35.6</v>
      </c>
      <c r="S7225" s="74">
        <v>37192</v>
      </c>
      <c r="T7225" s="77">
        <v>0.29166666666666669</v>
      </c>
      <c r="V7225">
        <v>39.019999999999996</v>
      </c>
      <c r="X7225" s="42"/>
      <c r="AB7225">
        <v>49.2</v>
      </c>
      <c r="AC7225">
        <v>60.980000000000004</v>
      </c>
      <c r="AE7225" s="74"/>
      <c r="AF7225" s="77"/>
      <c r="AH7225" s="497">
        <v>33.799999999999997</v>
      </c>
      <c r="AJ7225" s="42"/>
      <c r="AK7225" s="74"/>
      <c r="AL7225" s="77"/>
      <c r="AN7225" s="497">
        <v>50</v>
      </c>
      <c r="AP7225" s="42"/>
      <c r="AQ7225" s="74"/>
      <c r="AR7225" s="77"/>
      <c r="AT7225" s="497">
        <v>51.08</v>
      </c>
      <c r="AV7225" s="42"/>
      <c r="AW7225" s="74"/>
      <c r="AX7225" s="77"/>
      <c r="BA7225" s="497">
        <v>53.06</v>
      </c>
      <c r="BB7225" s="42"/>
      <c r="BC7225" s="74"/>
      <c r="BD7225" s="77"/>
      <c r="BF7225">
        <v>48.019999999999996</v>
      </c>
      <c r="BH7225" s="42"/>
      <c r="BI7225" s="74"/>
      <c r="BJ7225" s="77"/>
      <c r="BL7225" s="497">
        <v>46.04</v>
      </c>
      <c r="BN7225" s="42"/>
      <c r="BO7225" s="74"/>
      <c r="BP7225" s="77"/>
      <c r="BR7225" s="497">
        <v>48.92</v>
      </c>
      <c r="BT7225" s="42"/>
    </row>
    <row r="7226" spans="1:72" x14ac:dyDescent="0.25">
      <c r="A7226" s="90">
        <v>37192</v>
      </c>
      <c r="B7226" s="20">
        <v>0.33333333333333331</v>
      </c>
      <c r="D7226">
        <v>42.08</v>
      </c>
      <c r="E7226" t="str">
        <f t="shared" si="260"/>
        <v>SUNDAY</v>
      </c>
      <c r="F7226" t="e">
        <f t="shared" si="261"/>
        <v>#N/A</v>
      </c>
      <c r="G7226" s="74">
        <v>29522</v>
      </c>
      <c r="H7226" s="77">
        <v>0.33333333333333331</v>
      </c>
      <c r="J7226">
        <v>48.379999999999995</v>
      </c>
      <c r="M7226" s="74">
        <v>36461</v>
      </c>
      <c r="N7226" s="77">
        <v>0.33333333333333331</v>
      </c>
      <c r="P7226">
        <v>39.200000000000003</v>
      </c>
      <c r="S7226" s="74">
        <v>37192</v>
      </c>
      <c r="T7226" s="77">
        <v>0.33333333333333331</v>
      </c>
      <c r="V7226">
        <v>42.980000000000004</v>
      </c>
      <c r="X7226" s="42"/>
      <c r="AB7226">
        <v>49.6</v>
      </c>
      <c r="AC7226">
        <v>60.08</v>
      </c>
      <c r="AE7226" s="74"/>
      <c r="AF7226" s="77"/>
      <c r="AH7226" s="497">
        <v>37.4</v>
      </c>
      <c r="AJ7226" s="42"/>
      <c r="AK7226" s="74"/>
      <c r="AL7226" s="77"/>
      <c r="AN7226" s="497">
        <v>50</v>
      </c>
      <c r="AP7226" s="42"/>
      <c r="AQ7226" s="74"/>
      <c r="AR7226" s="77"/>
      <c r="AT7226" s="497">
        <v>53.06</v>
      </c>
      <c r="AV7226" s="42"/>
      <c r="AW7226" s="74"/>
      <c r="AX7226" s="77"/>
      <c r="BA7226" s="497">
        <v>51.980000000000004</v>
      </c>
      <c r="BB7226" s="42"/>
      <c r="BC7226" s="74"/>
      <c r="BD7226" s="77"/>
      <c r="BF7226">
        <v>48.019999999999996</v>
      </c>
      <c r="BH7226" s="42"/>
      <c r="BI7226" s="74"/>
      <c r="BJ7226" s="77"/>
      <c r="BL7226" s="497">
        <v>48.019999999999996</v>
      </c>
      <c r="BN7226" s="42"/>
      <c r="BO7226" s="74"/>
      <c r="BP7226" s="77"/>
      <c r="BR7226" s="497">
        <v>50</v>
      </c>
      <c r="BT7226" s="42"/>
    </row>
    <row r="7227" spans="1:72" x14ac:dyDescent="0.25">
      <c r="A7227" s="90">
        <v>37192</v>
      </c>
      <c r="B7227" s="20">
        <v>0.375</v>
      </c>
      <c r="D7227">
        <v>44.06</v>
      </c>
      <c r="E7227" t="str">
        <f t="shared" si="260"/>
        <v>SUNDAY</v>
      </c>
      <c r="F7227" t="e">
        <f t="shared" si="261"/>
        <v>#N/A</v>
      </c>
      <c r="G7227" s="74">
        <v>29522</v>
      </c>
      <c r="H7227" s="77">
        <v>0.375</v>
      </c>
      <c r="J7227">
        <v>49.64</v>
      </c>
      <c r="M7227" s="74">
        <v>36461</v>
      </c>
      <c r="N7227" s="77">
        <v>0.375</v>
      </c>
      <c r="P7227">
        <v>42.8</v>
      </c>
      <c r="S7227" s="74">
        <v>37192</v>
      </c>
      <c r="T7227" s="77">
        <v>0.375</v>
      </c>
      <c r="V7227">
        <v>44.96</v>
      </c>
      <c r="X7227" s="42"/>
      <c r="AB7227">
        <v>51.8</v>
      </c>
      <c r="AC7227">
        <v>55.94</v>
      </c>
      <c r="AE7227" s="74"/>
      <c r="AF7227" s="77"/>
      <c r="AH7227" s="497">
        <v>44.6</v>
      </c>
      <c r="AJ7227" s="42"/>
      <c r="AK7227" s="74"/>
      <c r="AL7227" s="77"/>
      <c r="AN7227" s="497">
        <v>51.08</v>
      </c>
      <c r="AP7227" s="42"/>
      <c r="AQ7227" s="74"/>
      <c r="AR7227" s="77"/>
      <c r="AT7227" s="497">
        <v>55.94</v>
      </c>
      <c r="AV7227" s="42"/>
      <c r="AW7227" s="74"/>
      <c r="AX7227" s="77"/>
      <c r="BA7227" s="497">
        <v>51.08</v>
      </c>
      <c r="BB7227" s="42"/>
      <c r="BC7227" s="74"/>
      <c r="BD7227" s="77"/>
      <c r="BF7227">
        <v>48.019999999999996</v>
      </c>
      <c r="BH7227" s="42"/>
      <c r="BI7227" s="74"/>
      <c r="BJ7227" s="77"/>
      <c r="BL7227" s="497">
        <v>48.019999999999996</v>
      </c>
      <c r="BN7227" s="42"/>
      <c r="BO7227" s="74"/>
      <c r="BP7227" s="77"/>
      <c r="BR7227" s="497">
        <v>50</v>
      </c>
      <c r="BT7227" s="42"/>
    </row>
    <row r="7228" spans="1:72" x14ac:dyDescent="0.25">
      <c r="A7228" s="90">
        <v>37192</v>
      </c>
      <c r="B7228" s="20">
        <v>0.41666666666666669</v>
      </c>
      <c r="D7228">
        <v>44.96</v>
      </c>
      <c r="E7228" t="str">
        <f t="shared" si="260"/>
        <v>SUNDAY</v>
      </c>
      <c r="F7228" t="e">
        <f t="shared" si="261"/>
        <v>#N/A</v>
      </c>
      <c r="G7228" s="74">
        <v>29522</v>
      </c>
      <c r="H7228" s="77">
        <v>0.41666666666666669</v>
      </c>
      <c r="J7228">
        <v>51.08</v>
      </c>
      <c r="M7228" s="74">
        <v>36461</v>
      </c>
      <c r="N7228" s="77">
        <v>0.41666666666666669</v>
      </c>
      <c r="P7228">
        <v>46.4</v>
      </c>
      <c r="S7228" s="74">
        <v>37192</v>
      </c>
      <c r="T7228" s="77">
        <v>0.41666666666666669</v>
      </c>
      <c r="V7228">
        <v>46.04</v>
      </c>
      <c r="X7228" s="42"/>
      <c r="AB7228">
        <v>53.7</v>
      </c>
      <c r="AC7228">
        <v>55.040000000000006</v>
      </c>
      <c r="AE7228" s="74"/>
      <c r="AF7228" s="77"/>
      <c r="AH7228" s="497">
        <v>48.2</v>
      </c>
      <c r="AJ7228" s="42"/>
      <c r="AK7228" s="74"/>
      <c r="AL7228" s="77"/>
      <c r="AN7228" s="497">
        <v>51.08</v>
      </c>
      <c r="AP7228" s="42"/>
      <c r="AQ7228" s="74"/>
      <c r="AR7228" s="77"/>
      <c r="AT7228" s="497">
        <v>57.019999999999996</v>
      </c>
      <c r="AV7228" s="42"/>
      <c r="AW7228" s="74"/>
      <c r="AX7228" s="77"/>
      <c r="BA7228" s="497">
        <v>51.08</v>
      </c>
      <c r="BB7228" s="42"/>
      <c r="BC7228" s="74"/>
      <c r="BD7228" s="77"/>
      <c r="BF7228">
        <v>48.92</v>
      </c>
      <c r="BH7228" s="42"/>
      <c r="BI7228" s="74"/>
      <c r="BJ7228" s="77"/>
      <c r="BL7228" s="497">
        <v>48.92</v>
      </c>
      <c r="BN7228" s="42"/>
      <c r="BO7228" s="74"/>
      <c r="BP7228" s="77"/>
      <c r="BR7228" s="497">
        <v>50</v>
      </c>
      <c r="BT7228" s="42"/>
    </row>
    <row r="7229" spans="1:72" x14ac:dyDescent="0.25">
      <c r="A7229" s="90">
        <v>37192</v>
      </c>
      <c r="B7229" s="20">
        <v>0.45833333333333331</v>
      </c>
      <c r="D7229">
        <v>46.04</v>
      </c>
      <c r="E7229" t="str">
        <f t="shared" si="260"/>
        <v>SUNDAY</v>
      </c>
      <c r="F7229" t="e">
        <f t="shared" si="261"/>
        <v>#N/A</v>
      </c>
      <c r="G7229" s="74">
        <v>29522</v>
      </c>
      <c r="H7229" s="77">
        <v>0.45833333333333331</v>
      </c>
      <c r="J7229">
        <v>51.8</v>
      </c>
      <c r="M7229" s="74">
        <v>36461</v>
      </c>
      <c r="N7229" s="77">
        <v>0.45833333333333331</v>
      </c>
      <c r="P7229">
        <v>46.4</v>
      </c>
      <c r="S7229" s="74">
        <v>37192</v>
      </c>
      <c r="T7229" s="77">
        <v>0.45833333333333331</v>
      </c>
      <c r="V7229">
        <v>48.019999999999996</v>
      </c>
      <c r="X7229" s="42"/>
      <c r="AB7229">
        <v>55.4</v>
      </c>
      <c r="AC7229">
        <v>55.94</v>
      </c>
      <c r="AE7229" s="74"/>
      <c r="AF7229" s="77"/>
      <c r="AH7229" s="497">
        <v>48.2</v>
      </c>
      <c r="AJ7229" s="42"/>
      <c r="AK7229" s="74"/>
      <c r="AL7229" s="77"/>
      <c r="AN7229" s="497">
        <v>51.980000000000004</v>
      </c>
      <c r="AP7229" s="42"/>
      <c r="AQ7229" s="74"/>
      <c r="AR7229" s="77"/>
      <c r="AT7229" s="497">
        <v>55.94</v>
      </c>
      <c r="AV7229" s="42"/>
      <c r="AW7229" s="74"/>
      <c r="AX7229" s="77"/>
      <c r="BA7229" s="497">
        <v>51.08</v>
      </c>
      <c r="BB7229" s="42"/>
      <c r="BC7229" s="74"/>
      <c r="BD7229" s="77"/>
      <c r="BF7229">
        <v>48.019999999999996</v>
      </c>
      <c r="BH7229" s="42"/>
      <c r="BI7229" s="74"/>
      <c r="BJ7229" s="77"/>
      <c r="BL7229" s="497">
        <v>48.92</v>
      </c>
      <c r="BN7229" s="42"/>
      <c r="BO7229" s="74"/>
      <c r="BP7229" s="77"/>
      <c r="BR7229" s="497">
        <v>50</v>
      </c>
      <c r="BT7229" s="42"/>
    </row>
    <row r="7230" spans="1:72" x14ac:dyDescent="0.25">
      <c r="A7230" s="90">
        <v>37192</v>
      </c>
      <c r="B7230" s="20">
        <v>0.5</v>
      </c>
      <c r="D7230">
        <v>48.019999999999996</v>
      </c>
      <c r="E7230" t="str">
        <f t="shared" si="260"/>
        <v>SUNDAY</v>
      </c>
      <c r="F7230" t="e">
        <f t="shared" si="261"/>
        <v>#N/A</v>
      </c>
      <c r="G7230" s="74">
        <v>29522</v>
      </c>
      <c r="H7230" s="77">
        <v>0.5</v>
      </c>
      <c r="J7230">
        <v>52.34</v>
      </c>
      <c r="M7230" s="74">
        <v>36461</v>
      </c>
      <c r="N7230" s="77">
        <v>0.5</v>
      </c>
      <c r="P7230">
        <v>50</v>
      </c>
      <c r="S7230" s="74">
        <v>37192</v>
      </c>
      <c r="T7230" s="77">
        <v>0.5</v>
      </c>
      <c r="V7230">
        <v>48.92</v>
      </c>
      <c r="X7230" s="42"/>
      <c r="AB7230">
        <v>56.7</v>
      </c>
      <c r="AC7230">
        <v>55.94</v>
      </c>
      <c r="AE7230" s="74"/>
      <c r="AF7230" s="77"/>
      <c r="AH7230" s="497">
        <v>50</v>
      </c>
      <c r="AJ7230" s="42"/>
      <c r="AK7230" s="74"/>
      <c r="AL7230" s="77"/>
      <c r="AN7230" s="497">
        <v>53.06</v>
      </c>
      <c r="AP7230" s="42"/>
      <c r="AQ7230" s="74"/>
      <c r="AR7230" s="77"/>
      <c r="AT7230" s="497">
        <v>57.019999999999996</v>
      </c>
      <c r="AV7230" s="42"/>
      <c r="AW7230" s="74"/>
      <c r="AX7230" s="77"/>
      <c r="BA7230" s="497">
        <v>53.06</v>
      </c>
      <c r="BB7230" s="42"/>
      <c r="BC7230" s="74"/>
      <c r="BD7230" s="77"/>
      <c r="BF7230">
        <v>46.94</v>
      </c>
      <c r="BH7230" s="42"/>
      <c r="BI7230" s="74"/>
      <c r="BJ7230" s="77"/>
      <c r="BL7230" s="497">
        <v>48.92</v>
      </c>
      <c r="BN7230" s="42"/>
      <c r="BO7230" s="74"/>
      <c r="BP7230" s="77"/>
      <c r="BR7230" s="497">
        <v>50</v>
      </c>
      <c r="BT7230" s="42"/>
    </row>
    <row r="7231" spans="1:72" x14ac:dyDescent="0.25">
      <c r="A7231" s="90">
        <v>37192</v>
      </c>
      <c r="B7231" s="20">
        <v>0.54166666666666663</v>
      </c>
      <c r="D7231">
        <v>50</v>
      </c>
      <c r="E7231" t="str">
        <f t="shared" si="260"/>
        <v>SUNDAY</v>
      </c>
      <c r="F7231" t="e">
        <f t="shared" si="261"/>
        <v>#N/A</v>
      </c>
      <c r="G7231" s="74">
        <v>29522</v>
      </c>
      <c r="H7231" s="77">
        <v>0.54166666666666663</v>
      </c>
      <c r="J7231">
        <v>53.06</v>
      </c>
      <c r="M7231" s="74">
        <v>36461</v>
      </c>
      <c r="N7231" s="77">
        <v>0.54166666666666663</v>
      </c>
      <c r="P7231">
        <v>51.8</v>
      </c>
      <c r="S7231" s="74">
        <v>37192</v>
      </c>
      <c r="T7231" s="77">
        <v>0.54166666666666663</v>
      </c>
      <c r="V7231">
        <v>51.08</v>
      </c>
      <c r="X7231" s="42"/>
      <c r="AB7231">
        <v>57.7</v>
      </c>
      <c r="AC7231">
        <v>53.96</v>
      </c>
      <c r="AE7231" s="74"/>
      <c r="AF7231" s="77"/>
      <c r="AH7231" s="497">
        <v>48.2</v>
      </c>
      <c r="AJ7231" s="42"/>
      <c r="AK7231" s="74"/>
      <c r="AL7231" s="77"/>
      <c r="AN7231" s="497">
        <v>53.96</v>
      </c>
      <c r="AP7231" s="42"/>
      <c r="AQ7231" s="74"/>
      <c r="AR7231" s="77"/>
      <c r="AT7231" s="497">
        <v>59</v>
      </c>
      <c r="AV7231" s="42"/>
      <c r="AW7231" s="74"/>
      <c r="AX7231" s="77"/>
      <c r="BA7231" s="497">
        <v>53.96</v>
      </c>
      <c r="BB7231" s="42"/>
      <c r="BC7231" s="74"/>
      <c r="BD7231" s="77"/>
      <c r="BF7231">
        <v>48.019999999999996</v>
      </c>
      <c r="BH7231" s="42"/>
      <c r="BI7231" s="74"/>
      <c r="BJ7231" s="77"/>
      <c r="BL7231" s="497">
        <v>51.08</v>
      </c>
      <c r="BN7231" s="42"/>
      <c r="BO7231" s="74"/>
      <c r="BP7231" s="77"/>
      <c r="BR7231" s="497">
        <v>51.08</v>
      </c>
      <c r="BT7231" s="42"/>
    </row>
    <row r="7232" spans="1:72" x14ac:dyDescent="0.25">
      <c r="A7232" s="90">
        <v>37192</v>
      </c>
      <c r="B7232" s="20">
        <v>0.58333333333333337</v>
      </c>
      <c r="D7232">
        <v>51.08</v>
      </c>
      <c r="E7232" t="str">
        <f t="shared" si="260"/>
        <v>SUNDAY</v>
      </c>
      <c r="F7232" t="e">
        <f t="shared" si="261"/>
        <v>#N/A</v>
      </c>
      <c r="G7232" s="74">
        <v>29522</v>
      </c>
      <c r="H7232" s="77">
        <v>0.58333333333333337</v>
      </c>
      <c r="J7232">
        <v>53.42</v>
      </c>
      <c r="M7232" s="74">
        <v>36461</v>
      </c>
      <c r="N7232" s="77">
        <v>0.58333333333333337</v>
      </c>
      <c r="P7232">
        <v>53.6</v>
      </c>
      <c r="S7232" s="74">
        <v>37192</v>
      </c>
      <c r="T7232" s="77">
        <v>0.58333333333333337</v>
      </c>
      <c r="V7232">
        <v>51.08</v>
      </c>
      <c r="X7232" s="42"/>
      <c r="AB7232">
        <v>58.3</v>
      </c>
      <c r="AC7232">
        <v>53.96</v>
      </c>
      <c r="AE7232" s="74"/>
      <c r="AF7232" s="77"/>
      <c r="AH7232" s="497">
        <v>48.2</v>
      </c>
      <c r="AJ7232" s="42"/>
      <c r="AK7232" s="74"/>
      <c r="AL7232" s="77"/>
      <c r="AN7232" s="497">
        <v>55.94</v>
      </c>
      <c r="AP7232" s="42"/>
      <c r="AQ7232" s="74"/>
      <c r="AR7232" s="77"/>
      <c r="AT7232" s="497">
        <v>57.019999999999996</v>
      </c>
      <c r="AV7232" s="42"/>
      <c r="AW7232" s="74"/>
      <c r="AX7232" s="77"/>
      <c r="BA7232" s="497">
        <v>55.94</v>
      </c>
      <c r="BB7232" s="42"/>
      <c r="BC7232" s="74"/>
      <c r="BD7232" s="77"/>
      <c r="BF7232">
        <v>48.92</v>
      </c>
      <c r="BH7232" s="42"/>
      <c r="BI7232" s="74"/>
      <c r="BJ7232" s="77"/>
      <c r="BL7232" s="497">
        <v>51.08</v>
      </c>
      <c r="BN7232" s="42"/>
      <c r="BO7232" s="74"/>
      <c r="BP7232" s="77"/>
      <c r="BR7232" s="497">
        <v>51.08</v>
      </c>
      <c r="BT7232" s="42"/>
    </row>
    <row r="7233" spans="1:72" x14ac:dyDescent="0.25">
      <c r="A7233" s="90">
        <v>37192</v>
      </c>
      <c r="B7233" s="20">
        <v>0.625</v>
      </c>
      <c r="D7233">
        <v>51.08</v>
      </c>
      <c r="E7233" t="str">
        <f t="shared" si="260"/>
        <v>SUNDAY</v>
      </c>
      <c r="F7233" t="e">
        <f t="shared" si="261"/>
        <v>#N/A</v>
      </c>
      <c r="G7233" s="74">
        <v>29522</v>
      </c>
      <c r="H7233" s="77">
        <v>0.625</v>
      </c>
      <c r="J7233">
        <v>53.6</v>
      </c>
      <c r="M7233" s="74">
        <v>36461</v>
      </c>
      <c r="N7233" s="77">
        <v>0.625</v>
      </c>
      <c r="P7233">
        <v>55.400000000000006</v>
      </c>
      <c r="S7233" s="74">
        <v>37192</v>
      </c>
      <c r="T7233" s="77">
        <v>0.625</v>
      </c>
      <c r="V7233">
        <v>51.08</v>
      </c>
      <c r="X7233" s="42"/>
      <c r="AB7233">
        <v>58.6</v>
      </c>
      <c r="AC7233">
        <v>53.96</v>
      </c>
      <c r="AE7233" s="74"/>
      <c r="AF7233" s="77"/>
      <c r="AH7233" s="497">
        <v>48.2</v>
      </c>
      <c r="AJ7233" s="42"/>
      <c r="AK7233" s="74"/>
      <c r="AL7233" s="77"/>
      <c r="AN7233" s="497">
        <v>55.94</v>
      </c>
      <c r="AP7233" s="42"/>
      <c r="AQ7233" s="74"/>
      <c r="AR7233" s="77"/>
      <c r="AT7233" s="497">
        <v>57.019999999999996</v>
      </c>
      <c r="AV7233" s="42"/>
      <c r="AW7233" s="74"/>
      <c r="AX7233" s="77"/>
      <c r="BA7233" s="497">
        <v>57.019999999999996</v>
      </c>
      <c r="BB7233" s="42"/>
      <c r="BC7233" s="74"/>
      <c r="BD7233" s="77"/>
      <c r="BF7233">
        <v>48.92</v>
      </c>
      <c r="BH7233" s="42"/>
      <c r="BI7233" s="74"/>
      <c r="BJ7233" s="77"/>
      <c r="BL7233" s="497">
        <v>51.08</v>
      </c>
      <c r="BN7233" s="42"/>
      <c r="BO7233" s="74"/>
      <c r="BP7233" s="77"/>
      <c r="BR7233" s="497">
        <v>51.08</v>
      </c>
      <c r="BT7233" s="42"/>
    </row>
    <row r="7234" spans="1:72" x14ac:dyDescent="0.25">
      <c r="A7234" s="90">
        <v>37192</v>
      </c>
      <c r="B7234" s="20">
        <v>0.66666666666666663</v>
      </c>
      <c r="D7234">
        <v>51.08</v>
      </c>
      <c r="E7234" t="str">
        <f t="shared" si="260"/>
        <v>SUNDAY</v>
      </c>
      <c r="F7234" t="e">
        <f t="shared" si="261"/>
        <v>#N/A</v>
      </c>
      <c r="G7234" s="74">
        <v>29522</v>
      </c>
      <c r="H7234" s="77">
        <v>0.66666666666666663</v>
      </c>
      <c r="J7234">
        <v>53.96</v>
      </c>
      <c r="M7234" s="74">
        <v>36461</v>
      </c>
      <c r="N7234" s="77">
        <v>0.66666666666666663</v>
      </c>
      <c r="P7234">
        <v>53.6</v>
      </c>
      <c r="S7234" s="74">
        <v>37192</v>
      </c>
      <c r="T7234" s="77">
        <v>0.66666666666666663</v>
      </c>
      <c r="V7234">
        <v>51.08</v>
      </c>
      <c r="X7234" s="42"/>
      <c r="AB7234">
        <v>58.3</v>
      </c>
      <c r="AC7234">
        <v>51.980000000000004</v>
      </c>
      <c r="AE7234" s="74"/>
      <c r="AF7234" s="77"/>
      <c r="AH7234" s="497">
        <v>48.2</v>
      </c>
      <c r="AJ7234" s="42"/>
      <c r="AK7234" s="74"/>
      <c r="AL7234" s="77"/>
      <c r="AN7234" s="497">
        <v>57.019999999999996</v>
      </c>
      <c r="AP7234" s="42"/>
      <c r="AQ7234" s="74"/>
      <c r="AR7234" s="77"/>
      <c r="AT7234" s="497">
        <v>55.94</v>
      </c>
      <c r="AV7234" s="42"/>
      <c r="AW7234" s="74"/>
      <c r="AX7234" s="77"/>
      <c r="BA7234" s="497">
        <v>57.019999999999996</v>
      </c>
      <c r="BB7234" s="42"/>
      <c r="BC7234" s="74"/>
      <c r="BD7234" s="77"/>
      <c r="BF7234">
        <v>48.92</v>
      </c>
      <c r="BH7234" s="42"/>
      <c r="BI7234" s="74"/>
      <c r="BJ7234" s="77"/>
      <c r="BL7234" s="497">
        <v>50</v>
      </c>
      <c r="BN7234" s="42"/>
      <c r="BO7234" s="74"/>
      <c r="BP7234" s="77"/>
      <c r="BR7234" s="497">
        <v>51.08</v>
      </c>
      <c r="BT7234" s="42"/>
    </row>
    <row r="7235" spans="1:72" x14ac:dyDescent="0.25">
      <c r="A7235" s="90">
        <v>37192</v>
      </c>
      <c r="B7235" s="20">
        <v>0.70833333333333337</v>
      </c>
      <c r="D7235">
        <v>50</v>
      </c>
      <c r="E7235" t="str">
        <f t="shared" si="260"/>
        <v>SUNDAY</v>
      </c>
      <c r="F7235" t="e">
        <f t="shared" si="261"/>
        <v>#N/A</v>
      </c>
      <c r="G7235" s="74">
        <v>29522</v>
      </c>
      <c r="H7235" s="77">
        <v>0.70833333333333337</v>
      </c>
      <c r="J7235">
        <v>53.24</v>
      </c>
      <c r="M7235" s="74">
        <v>36461</v>
      </c>
      <c r="N7235" s="77">
        <v>0.70833333333333337</v>
      </c>
      <c r="P7235">
        <v>51.8</v>
      </c>
      <c r="S7235" s="74">
        <v>37192</v>
      </c>
      <c r="T7235" s="77">
        <v>0.70833333333333337</v>
      </c>
      <c r="V7235">
        <v>48.92</v>
      </c>
      <c r="X7235" s="42"/>
      <c r="AB7235">
        <v>57.4</v>
      </c>
      <c r="AC7235">
        <v>48.92</v>
      </c>
      <c r="AE7235" s="74"/>
      <c r="AF7235" s="77"/>
      <c r="AH7235" s="497">
        <v>46.4</v>
      </c>
      <c r="AJ7235" s="42"/>
      <c r="AK7235" s="74"/>
      <c r="AL7235" s="77"/>
      <c r="AN7235" s="497">
        <v>55.040000000000006</v>
      </c>
      <c r="AP7235" s="42"/>
      <c r="AQ7235" s="74"/>
      <c r="AR7235" s="77"/>
      <c r="AT7235" s="497">
        <v>53.96</v>
      </c>
      <c r="AV7235" s="42"/>
      <c r="AW7235" s="74"/>
      <c r="AX7235" s="77"/>
      <c r="BA7235" s="497">
        <v>53.96</v>
      </c>
      <c r="BB7235" s="42"/>
      <c r="BC7235" s="74"/>
      <c r="BD7235" s="77"/>
      <c r="BF7235">
        <v>48.92</v>
      </c>
      <c r="BH7235" s="42"/>
      <c r="BI7235" s="74"/>
      <c r="BJ7235" s="77"/>
      <c r="BL7235" s="497">
        <v>48.92</v>
      </c>
      <c r="BN7235" s="42"/>
      <c r="BO7235" s="74"/>
      <c r="BP7235" s="77"/>
      <c r="BR7235" s="497">
        <v>50</v>
      </c>
      <c r="BT7235" s="42"/>
    </row>
    <row r="7236" spans="1:72" x14ac:dyDescent="0.25">
      <c r="A7236" s="90">
        <v>37192</v>
      </c>
      <c r="B7236" s="20">
        <v>0.75</v>
      </c>
      <c r="D7236">
        <v>50</v>
      </c>
      <c r="E7236" t="str">
        <f t="shared" si="260"/>
        <v>SUNDAY</v>
      </c>
      <c r="F7236" t="e">
        <f t="shared" si="261"/>
        <v>#N/A</v>
      </c>
      <c r="G7236" s="74">
        <v>29522</v>
      </c>
      <c r="H7236" s="77">
        <v>0.75</v>
      </c>
      <c r="J7236">
        <v>52.7</v>
      </c>
      <c r="M7236" s="74">
        <v>36461</v>
      </c>
      <c r="N7236" s="77">
        <v>0.75</v>
      </c>
      <c r="P7236">
        <v>48.2</v>
      </c>
      <c r="S7236" s="74">
        <v>37192</v>
      </c>
      <c r="T7236" s="77">
        <v>0.75</v>
      </c>
      <c r="V7236">
        <v>46.94</v>
      </c>
      <c r="X7236" s="42"/>
      <c r="AB7236">
        <v>55.9</v>
      </c>
      <c r="AC7236">
        <v>46.94</v>
      </c>
      <c r="AE7236" s="74"/>
      <c r="AF7236" s="77"/>
      <c r="AH7236" s="497">
        <v>44.6</v>
      </c>
      <c r="AJ7236" s="42"/>
      <c r="AK7236" s="74"/>
      <c r="AL7236" s="77"/>
      <c r="AN7236" s="497">
        <v>51.980000000000004</v>
      </c>
      <c r="AP7236" s="42"/>
      <c r="AQ7236" s="74"/>
      <c r="AR7236" s="77"/>
      <c r="AT7236" s="497">
        <v>53.06</v>
      </c>
      <c r="AV7236" s="42"/>
      <c r="AW7236" s="74"/>
      <c r="AX7236" s="77"/>
      <c r="BA7236" s="497">
        <v>46.94</v>
      </c>
      <c r="BB7236" s="42"/>
      <c r="BC7236" s="74"/>
      <c r="BD7236" s="77"/>
      <c r="BF7236">
        <v>46.94</v>
      </c>
      <c r="BH7236" s="42"/>
      <c r="BI7236" s="74"/>
      <c r="BJ7236" s="77"/>
      <c r="BL7236" s="497">
        <v>44.06</v>
      </c>
      <c r="BN7236" s="42"/>
      <c r="BO7236" s="74"/>
      <c r="BP7236" s="77"/>
      <c r="BR7236" s="497">
        <v>46.94</v>
      </c>
      <c r="BT7236" s="42"/>
    </row>
    <row r="7237" spans="1:72" x14ac:dyDescent="0.25">
      <c r="A7237" s="90">
        <v>37192</v>
      </c>
      <c r="B7237" s="20">
        <v>0.79166666666666663</v>
      </c>
      <c r="D7237">
        <v>48.92</v>
      </c>
      <c r="E7237" t="str">
        <f t="shared" si="260"/>
        <v>SUNDAY</v>
      </c>
      <c r="F7237" t="e">
        <f t="shared" si="261"/>
        <v>#N/A</v>
      </c>
      <c r="G7237" s="74">
        <v>29522</v>
      </c>
      <c r="H7237" s="77">
        <v>0.79166666666666663</v>
      </c>
      <c r="J7237">
        <v>51.980000000000004</v>
      </c>
      <c r="M7237" s="74">
        <v>36461</v>
      </c>
      <c r="N7237" s="77">
        <v>0.79166666666666663</v>
      </c>
      <c r="P7237">
        <v>48.2</v>
      </c>
      <c r="S7237" s="74">
        <v>37192</v>
      </c>
      <c r="T7237" s="77">
        <v>0.79166666666666663</v>
      </c>
      <c r="V7237">
        <v>46.04</v>
      </c>
      <c r="X7237" s="42"/>
      <c r="AB7237">
        <v>55</v>
      </c>
      <c r="AC7237">
        <v>44.96</v>
      </c>
      <c r="AE7237" s="74"/>
      <c r="AF7237" s="77"/>
      <c r="AH7237" s="497">
        <v>42.8</v>
      </c>
      <c r="AJ7237" s="42"/>
      <c r="AK7237" s="74"/>
      <c r="AL7237" s="77"/>
      <c r="AN7237" s="497">
        <v>50</v>
      </c>
      <c r="AP7237" s="42"/>
      <c r="AQ7237" s="74"/>
      <c r="AR7237" s="77"/>
      <c r="AT7237" s="497">
        <v>53.06</v>
      </c>
      <c r="AV7237" s="42"/>
      <c r="AW7237" s="74"/>
      <c r="AX7237" s="77"/>
      <c r="BA7237" s="497">
        <v>46.04</v>
      </c>
      <c r="BB7237" s="42"/>
      <c r="BC7237" s="74"/>
      <c r="BD7237" s="77"/>
      <c r="BF7237">
        <v>46.94</v>
      </c>
      <c r="BH7237" s="42"/>
      <c r="BI7237" s="74"/>
      <c r="BJ7237" s="77"/>
      <c r="BL7237" s="497">
        <v>39.92</v>
      </c>
      <c r="BN7237" s="42"/>
      <c r="BO7237" s="74"/>
      <c r="BP7237" s="77"/>
      <c r="BR7237" s="497">
        <v>44.06</v>
      </c>
      <c r="BT7237" s="42"/>
    </row>
    <row r="7238" spans="1:72" x14ac:dyDescent="0.25">
      <c r="A7238" s="90">
        <v>37192</v>
      </c>
      <c r="B7238" s="20">
        <v>0.83333333333333337</v>
      </c>
      <c r="D7238">
        <v>48.019999999999996</v>
      </c>
      <c r="E7238" t="str">
        <f t="shared" si="260"/>
        <v>SUNDAY</v>
      </c>
      <c r="F7238" t="e">
        <f t="shared" si="261"/>
        <v>#N/A</v>
      </c>
      <c r="G7238" s="74">
        <v>29522</v>
      </c>
      <c r="H7238" s="77">
        <v>0.83333333333333337</v>
      </c>
      <c r="J7238">
        <v>50.72</v>
      </c>
      <c r="M7238" s="74">
        <v>36461</v>
      </c>
      <c r="N7238" s="77">
        <v>0.83333333333333337</v>
      </c>
      <c r="P7238">
        <v>46.4</v>
      </c>
      <c r="S7238" s="74">
        <v>37192</v>
      </c>
      <c r="T7238" s="77">
        <v>0.83333333333333337</v>
      </c>
      <c r="V7238">
        <v>44.96</v>
      </c>
      <c r="X7238" s="42"/>
      <c r="AB7238">
        <v>54.5</v>
      </c>
      <c r="AC7238">
        <v>44.42</v>
      </c>
      <c r="AE7238" s="74"/>
      <c r="AF7238" s="77"/>
      <c r="AH7238" s="497">
        <v>42.8</v>
      </c>
      <c r="AJ7238" s="42"/>
      <c r="AK7238" s="74"/>
      <c r="AL7238" s="77"/>
      <c r="AN7238" s="497">
        <v>48.92</v>
      </c>
      <c r="AP7238" s="42"/>
      <c r="AQ7238" s="74"/>
      <c r="AR7238" s="77"/>
      <c r="AT7238" s="497">
        <v>51.08</v>
      </c>
      <c r="AV7238" s="42"/>
      <c r="AW7238" s="74"/>
      <c r="AX7238" s="77"/>
      <c r="BA7238" s="497">
        <v>44.06</v>
      </c>
      <c r="BB7238" s="42"/>
      <c r="BC7238" s="74"/>
      <c r="BD7238" s="77"/>
      <c r="BF7238">
        <v>44.96</v>
      </c>
      <c r="BH7238" s="42"/>
      <c r="BI7238" s="74"/>
      <c r="BJ7238" s="77"/>
      <c r="BL7238" s="497">
        <v>42.980000000000004</v>
      </c>
      <c r="BN7238" s="42"/>
      <c r="BO7238" s="74"/>
      <c r="BP7238" s="77"/>
      <c r="BR7238" s="497">
        <v>42.08</v>
      </c>
      <c r="BT7238" s="42"/>
    </row>
    <row r="7239" spans="1:72" x14ac:dyDescent="0.25">
      <c r="A7239" s="90">
        <v>37192</v>
      </c>
      <c r="B7239" s="20">
        <v>0.875</v>
      </c>
      <c r="D7239">
        <v>46.94</v>
      </c>
      <c r="E7239" t="str">
        <f t="shared" si="260"/>
        <v>SUNDAY</v>
      </c>
      <c r="F7239" t="e">
        <f t="shared" si="261"/>
        <v>#N/A</v>
      </c>
      <c r="G7239" s="74">
        <v>29522</v>
      </c>
      <c r="H7239" s="77">
        <v>0.875</v>
      </c>
      <c r="J7239">
        <v>49.28</v>
      </c>
      <c r="M7239" s="74">
        <v>36461</v>
      </c>
      <c r="N7239" s="77">
        <v>0.875</v>
      </c>
      <c r="P7239">
        <v>46.4</v>
      </c>
      <c r="S7239" s="74">
        <v>37192</v>
      </c>
      <c r="T7239" s="77">
        <v>0.875</v>
      </c>
      <c r="V7239">
        <v>44.06</v>
      </c>
      <c r="X7239" s="42"/>
      <c r="AB7239">
        <v>53.8</v>
      </c>
      <c r="AC7239">
        <v>44.06</v>
      </c>
      <c r="AE7239" s="74"/>
      <c r="AF7239" s="77"/>
      <c r="AH7239" s="497">
        <v>39.200000000000003</v>
      </c>
      <c r="AJ7239" s="42"/>
      <c r="AK7239" s="74"/>
      <c r="AL7239" s="77"/>
      <c r="AN7239" s="497">
        <v>50</v>
      </c>
      <c r="AP7239" s="42"/>
      <c r="AQ7239" s="74"/>
      <c r="AR7239" s="77"/>
      <c r="AT7239" s="497">
        <v>51.08</v>
      </c>
      <c r="AV7239" s="42"/>
      <c r="AW7239" s="74"/>
      <c r="AX7239" s="77"/>
      <c r="BA7239" s="497">
        <v>44.96</v>
      </c>
      <c r="BB7239" s="42"/>
      <c r="BC7239" s="74"/>
      <c r="BD7239" s="77"/>
      <c r="BF7239">
        <v>42.980000000000004</v>
      </c>
      <c r="BH7239" s="42"/>
      <c r="BI7239" s="74"/>
      <c r="BJ7239" s="77"/>
      <c r="BL7239" s="497">
        <v>44.06</v>
      </c>
      <c r="BN7239" s="42"/>
      <c r="BO7239" s="74"/>
      <c r="BP7239" s="77"/>
      <c r="BR7239" s="497">
        <v>39.92</v>
      </c>
      <c r="BT7239" s="42"/>
    </row>
    <row r="7240" spans="1:72" x14ac:dyDescent="0.25">
      <c r="A7240" s="90">
        <v>37192</v>
      </c>
      <c r="B7240" s="20">
        <v>0.91666666666666663</v>
      </c>
      <c r="D7240">
        <v>46.94</v>
      </c>
      <c r="E7240" t="str">
        <f t="shared" si="260"/>
        <v>SUNDAY</v>
      </c>
      <c r="F7240" t="e">
        <f t="shared" si="261"/>
        <v>#N/A</v>
      </c>
      <c r="G7240" s="74">
        <v>29522</v>
      </c>
      <c r="H7240" s="77">
        <v>0.91666666666666663</v>
      </c>
      <c r="J7240">
        <v>48.019999999999996</v>
      </c>
      <c r="M7240" s="74">
        <v>36461</v>
      </c>
      <c r="N7240" s="77">
        <v>0.91666666666666663</v>
      </c>
      <c r="P7240">
        <v>46.4</v>
      </c>
      <c r="S7240" s="74">
        <v>37192</v>
      </c>
      <c r="T7240" s="77">
        <v>0.91666666666666663</v>
      </c>
      <c r="V7240">
        <v>41</v>
      </c>
      <c r="X7240" s="42"/>
      <c r="AB7240">
        <v>53.1</v>
      </c>
      <c r="AC7240">
        <v>44.06</v>
      </c>
      <c r="AE7240" s="74"/>
      <c r="AF7240" s="77"/>
      <c r="AH7240" s="497">
        <v>35.6</v>
      </c>
      <c r="AJ7240" s="42"/>
      <c r="AK7240" s="74"/>
      <c r="AL7240" s="77"/>
      <c r="AN7240" s="497">
        <v>48.019999999999996</v>
      </c>
      <c r="AP7240" s="42"/>
      <c r="AQ7240" s="74"/>
      <c r="AR7240" s="77"/>
      <c r="AT7240" s="497">
        <v>42.08</v>
      </c>
      <c r="AV7240" s="42"/>
      <c r="AW7240" s="74"/>
      <c r="AX7240" s="77"/>
      <c r="BA7240" s="497">
        <v>42.980000000000004</v>
      </c>
      <c r="BB7240" s="42"/>
      <c r="BC7240" s="74"/>
      <c r="BD7240" s="77"/>
      <c r="BF7240">
        <v>42.08</v>
      </c>
      <c r="BH7240" s="42"/>
      <c r="BI7240" s="74"/>
      <c r="BJ7240" s="77"/>
      <c r="BL7240" s="497">
        <v>42.08</v>
      </c>
      <c r="BN7240" s="42"/>
      <c r="BO7240" s="74"/>
      <c r="BP7240" s="77"/>
      <c r="BR7240" s="497">
        <v>39.019999999999996</v>
      </c>
      <c r="BT7240" s="42"/>
    </row>
    <row r="7241" spans="1:72" x14ac:dyDescent="0.25">
      <c r="A7241" s="90">
        <v>37192</v>
      </c>
      <c r="B7241" s="20">
        <v>0.95833333333333337</v>
      </c>
      <c r="D7241">
        <v>44.96</v>
      </c>
      <c r="E7241" t="str">
        <f t="shared" si="260"/>
        <v>SUNDAY</v>
      </c>
      <c r="F7241" t="e">
        <f t="shared" si="261"/>
        <v>#N/A</v>
      </c>
      <c r="G7241" s="74">
        <v>29522</v>
      </c>
      <c r="H7241" s="77">
        <v>0.95833333333333337</v>
      </c>
      <c r="J7241">
        <v>46.76</v>
      </c>
      <c r="M7241" s="74">
        <v>36461</v>
      </c>
      <c r="N7241" s="77">
        <v>0.95833333333333337</v>
      </c>
      <c r="P7241">
        <v>46.4</v>
      </c>
      <c r="S7241" s="74">
        <v>37192</v>
      </c>
      <c r="T7241" s="77">
        <v>0.95833333333333337</v>
      </c>
      <c r="V7241">
        <v>41</v>
      </c>
      <c r="X7241" s="42"/>
      <c r="AB7241">
        <v>52.5</v>
      </c>
      <c r="AC7241">
        <v>42.980000000000004</v>
      </c>
      <c r="AE7241" s="74"/>
      <c r="AF7241" s="77"/>
      <c r="AH7241" s="497">
        <v>33.799999999999997</v>
      </c>
      <c r="AJ7241" s="42"/>
      <c r="AK7241" s="74"/>
      <c r="AL7241" s="77"/>
      <c r="AN7241" s="497">
        <v>48.019999999999996</v>
      </c>
      <c r="AP7241" s="42"/>
      <c r="AQ7241" s="74"/>
      <c r="AR7241" s="77"/>
      <c r="AT7241" s="497">
        <v>39.92</v>
      </c>
      <c r="AV7241" s="42"/>
      <c r="AW7241" s="74"/>
      <c r="AX7241" s="77"/>
      <c r="BA7241" s="497">
        <v>42.08</v>
      </c>
      <c r="BB7241" s="42"/>
      <c r="BC7241" s="74"/>
      <c r="BD7241" s="77"/>
      <c r="BF7241">
        <v>39.019999999999996</v>
      </c>
      <c r="BH7241" s="42"/>
      <c r="BI7241" s="74"/>
      <c r="BJ7241" s="77"/>
      <c r="BL7241" s="497">
        <v>39.92</v>
      </c>
      <c r="BN7241" s="42"/>
      <c r="BO7241" s="74"/>
      <c r="BP7241" s="77"/>
      <c r="BR7241" s="497">
        <v>37.94</v>
      </c>
      <c r="BT7241" s="42"/>
    </row>
    <row r="7242" spans="1:72" x14ac:dyDescent="0.25">
      <c r="A7242" s="90">
        <v>37192</v>
      </c>
      <c r="B7242" s="20">
        <v>1</v>
      </c>
      <c r="D7242">
        <v>44.96</v>
      </c>
      <c r="E7242" t="str">
        <f t="shared" si="260"/>
        <v>SUNDAY</v>
      </c>
      <c r="F7242" t="e">
        <f t="shared" si="261"/>
        <v>#N/A</v>
      </c>
      <c r="G7242" s="74">
        <v>29522</v>
      </c>
      <c r="H7242" s="77">
        <v>1</v>
      </c>
      <c r="J7242">
        <v>45.32</v>
      </c>
      <c r="M7242" s="74">
        <v>36461</v>
      </c>
      <c r="N7242" s="80">
        <v>1</v>
      </c>
      <c r="P7242">
        <v>44.6</v>
      </c>
      <c r="S7242" s="74">
        <v>37192</v>
      </c>
      <c r="T7242" s="80">
        <v>1</v>
      </c>
      <c r="V7242">
        <v>41</v>
      </c>
      <c r="X7242" s="42"/>
      <c r="AB7242">
        <v>51.8</v>
      </c>
      <c r="AC7242">
        <v>42.08</v>
      </c>
      <c r="AE7242" s="74"/>
      <c r="AF7242" s="80"/>
      <c r="AH7242" s="497">
        <v>30.2</v>
      </c>
      <c r="AJ7242" s="42"/>
      <c r="AK7242" s="74"/>
      <c r="AL7242" s="80"/>
      <c r="AN7242" s="497">
        <v>48.019999999999996</v>
      </c>
      <c r="AP7242" s="42"/>
      <c r="AQ7242" s="74"/>
      <c r="AR7242" s="80"/>
      <c r="AT7242" s="497">
        <v>39.019999999999996</v>
      </c>
      <c r="AV7242" s="42"/>
      <c r="AW7242" s="74"/>
      <c r="AX7242" s="80"/>
      <c r="BA7242" s="497">
        <v>44.06</v>
      </c>
      <c r="BB7242" s="42"/>
      <c r="BC7242" s="74"/>
      <c r="BD7242" s="80"/>
      <c r="BF7242">
        <v>39.019999999999996</v>
      </c>
      <c r="BH7242" s="42"/>
      <c r="BI7242" s="74"/>
      <c r="BJ7242" s="80"/>
      <c r="BL7242" s="497">
        <v>37.04</v>
      </c>
      <c r="BN7242" s="42"/>
      <c r="BO7242" s="74"/>
      <c r="BP7242" s="80"/>
      <c r="BR7242" s="497">
        <v>37.04</v>
      </c>
      <c r="BT7242" s="42"/>
    </row>
    <row r="7243" spans="1:72" x14ac:dyDescent="0.25">
      <c r="A7243" s="90">
        <v>37193</v>
      </c>
      <c r="B7243" s="20">
        <v>4.1666666666666664E-2</v>
      </c>
      <c r="D7243">
        <v>44.06</v>
      </c>
      <c r="E7243" t="str">
        <f t="shared" si="260"/>
        <v>WEEKDAY</v>
      </c>
      <c r="F7243" t="e">
        <f t="shared" si="261"/>
        <v>#N/A</v>
      </c>
      <c r="G7243" s="74">
        <v>29523</v>
      </c>
      <c r="H7243" s="77">
        <v>4.1666666666666664E-2</v>
      </c>
      <c r="J7243">
        <v>44.06</v>
      </c>
      <c r="M7243" s="74">
        <v>36462</v>
      </c>
      <c r="N7243" s="77">
        <v>4.1666666666666664E-2</v>
      </c>
      <c r="P7243">
        <v>42.8</v>
      </c>
      <c r="S7243" s="74">
        <v>37193</v>
      </c>
      <c r="T7243" s="77">
        <v>4.1666666666666664E-2</v>
      </c>
      <c r="V7243">
        <v>39.92</v>
      </c>
      <c r="X7243" s="42"/>
      <c r="AB7243">
        <v>51.3</v>
      </c>
      <c r="AC7243">
        <v>41</v>
      </c>
      <c r="AE7243" s="74"/>
      <c r="AF7243" s="77"/>
      <c r="AH7243" s="497">
        <v>30.2</v>
      </c>
      <c r="AJ7243" s="42"/>
      <c r="AK7243" s="74"/>
      <c r="AL7243" s="77"/>
      <c r="AN7243" s="497">
        <v>48.019999999999996</v>
      </c>
      <c r="AP7243" s="42"/>
      <c r="AQ7243" s="74"/>
      <c r="AR7243" s="77"/>
      <c r="AT7243" s="497">
        <v>37.94</v>
      </c>
      <c r="AV7243" s="42"/>
      <c r="AW7243" s="74"/>
      <c r="AX7243" s="77"/>
      <c r="BA7243" s="497">
        <v>42.980000000000004</v>
      </c>
      <c r="BB7243" s="42"/>
      <c r="BC7243" s="74"/>
      <c r="BD7243" s="77"/>
      <c r="BF7243">
        <v>37.94</v>
      </c>
      <c r="BH7243" s="42"/>
      <c r="BI7243" s="74"/>
      <c r="BJ7243" s="77"/>
      <c r="BL7243" s="497">
        <v>37.94</v>
      </c>
      <c r="BN7243" s="42"/>
      <c r="BO7243" s="74"/>
      <c r="BP7243" s="77"/>
      <c r="BR7243" s="497">
        <v>46.94</v>
      </c>
      <c r="BT7243" s="42"/>
    </row>
    <row r="7244" spans="1:72" x14ac:dyDescent="0.25">
      <c r="A7244" s="90">
        <v>37193</v>
      </c>
      <c r="B7244" s="20">
        <v>8.3333333333333329E-2</v>
      </c>
      <c r="D7244">
        <v>42.980000000000004</v>
      </c>
      <c r="E7244" t="str">
        <f t="shared" si="260"/>
        <v>WEEKDAY</v>
      </c>
      <c r="F7244" t="e">
        <f t="shared" si="261"/>
        <v>#N/A</v>
      </c>
      <c r="G7244" s="74">
        <v>29523</v>
      </c>
      <c r="H7244" s="77">
        <v>8.3333333333333329E-2</v>
      </c>
      <c r="J7244">
        <v>42.980000000000004</v>
      </c>
      <c r="M7244" s="74">
        <v>36462</v>
      </c>
      <c r="N7244" s="77">
        <v>8.3333333333333329E-2</v>
      </c>
      <c r="P7244">
        <v>44.6</v>
      </c>
      <c r="S7244" s="74">
        <v>37193</v>
      </c>
      <c r="T7244" s="77">
        <v>8.3333333333333329E-2</v>
      </c>
      <c r="V7244">
        <v>37.94</v>
      </c>
      <c r="X7244" s="42"/>
      <c r="AB7244">
        <v>50.7</v>
      </c>
      <c r="AC7244">
        <v>39.92</v>
      </c>
      <c r="AE7244" s="74"/>
      <c r="AF7244" s="77"/>
      <c r="AH7244" s="497">
        <v>28.4</v>
      </c>
      <c r="AJ7244" s="42"/>
      <c r="AK7244" s="74"/>
      <c r="AL7244" s="77"/>
      <c r="AN7244" s="497">
        <v>48.019999999999996</v>
      </c>
      <c r="AP7244" s="42"/>
      <c r="AQ7244" s="74"/>
      <c r="AR7244" s="77"/>
      <c r="AT7244" s="497">
        <v>41</v>
      </c>
      <c r="AV7244" s="42"/>
      <c r="AW7244" s="74"/>
      <c r="AX7244" s="77"/>
      <c r="BA7244" s="497">
        <v>41</v>
      </c>
      <c r="BB7244" s="42"/>
      <c r="BC7244" s="74"/>
      <c r="BD7244" s="77"/>
      <c r="BF7244">
        <v>37.04</v>
      </c>
      <c r="BH7244" s="42"/>
      <c r="BI7244" s="74"/>
      <c r="BJ7244" s="77"/>
      <c r="BL7244" s="497">
        <v>37.94</v>
      </c>
      <c r="BN7244" s="42"/>
      <c r="BO7244" s="74"/>
      <c r="BP7244" s="77"/>
      <c r="BR7244" s="497">
        <v>50</v>
      </c>
      <c r="BT7244" s="42"/>
    </row>
    <row r="7245" spans="1:72" x14ac:dyDescent="0.25">
      <c r="A7245" s="90">
        <v>37193</v>
      </c>
      <c r="B7245" s="20">
        <v>0.125</v>
      </c>
      <c r="D7245">
        <v>42.08</v>
      </c>
      <c r="E7245" t="str">
        <f t="shared" si="260"/>
        <v>WEEKDAY</v>
      </c>
      <c r="F7245" t="e">
        <f t="shared" si="261"/>
        <v>#N/A</v>
      </c>
      <c r="G7245" s="74">
        <v>29523</v>
      </c>
      <c r="H7245" s="77">
        <v>0.125</v>
      </c>
      <c r="J7245">
        <v>42.08</v>
      </c>
      <c r="M7245" s="74">
        <v>36462</v>
      </c>
      <c r="N7245" s="77">
        <v>0.125</v>
      </c>
      <c r="P7245">
        <v>42.8</v>
      </c>
      <c r="S7245" s="74">
        <v>37193</v>
      </c>
      <c r="T7245" s="77">
        <v>0.125</v>
      </c>
      <c r="V7245">
        <v>35.96</v>
      </c>
      <c r="X7245" s="42"/>
      <c r="AB7245">
        <v>50.1</v>
      </c>
      <c r="AC7245">
        <v>39.019999999999996</v>
      </c>
      <c r="AE7245" s="74"/>
      <c r="AF7245" s="77"/>
      <c r="AH7245" s="497">
        <v>28.4</v>
      </c>
      <c r="AJ7245" s="42"/>
      <c r="AK7245" s="74"/>
      <c r="AL7245" s="77"/>
      <c r="AN7245" s="497">
        <v>46.94</v>
      </c>
      <c r="AP7245" s="42"/>
      <c r="AQ7245" s="74"/>
      <c r="AR7245" s="77"/>
      <c r="AT7245" s="497">
        <v>39.92</v>
      </c>
      <c r="AV7245" s="42"/>
      <c r="AW7245" s="74"/>
      <c r="AX7245" s="77"/>
      <c r="BA7245" s="497">
        <v>50</v>
      </c>
      <c r="BB7245" s="42"/>
      <c r="BC7245" s="74"/>
      <c r="BD7245" s="77"/>
      <c r="BF7245">
        <v>35.96</v>
      </c>
      <c r="BH7245" s="42"/>
      <c r="BI7245" s="74"/>
      <c r="BJ7245" s="77"/>
      <c r="BL7245" s="497">
        <v>35.96</v>
      </c>
      <c r="BN7245" s="42"/>
      <c r="BO7245" s="74"/>
      <c r="BP7245" s="77"/>
      <c r="BR7245" s="497">
        <v>51.08</v>
      </c>
      <c r="BT7245" s="42"/>
    </row>
    <row r="7246" spans="1:72" x14ac:dyDescent="0.25">
      <c r="A7246" s="90">
        <v>37193</v>
      </c>
      <c r="B7246" s="20">
        <v>0.16666666666666666</v>
      </c>
      <c r="D7246">
        <v>42.08</v>
      </c>
      <c r="E7246" t="str">
        <f t="shared" si="260"/>
        <v>WEEKDAY</v>
      </c>
      <c r="F7246" t="e">
        <f t="shared" si="261"/>
        <v>#N/A</v>
      </c>
      <c r="G7246" s="74">
        <v>29523</v>
      </c>
      <c r="H7246" s="77">
        <v>0.16666666666666666</v>
      </c>
      <c r="J7246">
        <v>41</v>
      </c>
      <c r="M7246" s="74">
        <v>36462</v>
      </c>
      <c r="N7246" s="77">
        <v>0.16666666666666666</v>
      </c>
      <c r="P7246">
        <v>42.8</v>
      </c>
      <c r="S7246" s="74">
        <v>37193</v>
      </c>
      <c r="T7246" s="77">
        <v>0.16666666666666666</v>
      </c>
      <c r="V7246">
        <v>35.96</v>
      </c>
      <c r="X7246" s="42"/>
      <c r="AB7246">
        <v>49.7</v>
      </c>
      <c r="AC7246">
        <v>37.94</v>
      </c>
      <c r="AE7246" s="74"/>
      <c r="AF7246" s="77"/>
      <c r="AH7246" s="497">
        <v>26.6</v>
      </c>
      <c r="AJ7246" s="42"/>
      <c r="AK7246" s="74"/>
      <c r="AL7246" s="77"/>
      <c r="AN7246" s="497">
        <v>48.92</v>
      </c>
      <c r="AP7246" s="42"/>
      <c r="AQ7246" s="74"/>
      <c r="AR7246" s="77"/>
      <c r="AT7246" s="497">
        <v>41</v>
      </c>
      <c r="AV7246" s="42"/>
      <c r="AW7246" s="74"/>
      <c r="AX7246" s="77"/>
      <c r="BA7246" s="497">
        <v>51.980000000000004</v>
      </c>
      <c r="BB7246" s="42"/>
      <c r="BC7246" s="74"/>
      <c r="BD7246" s="77"/>
      <c r="BF7246">
        <v>35.96</v>
      </c>
      <c r="BH7246" s="42"/>
      <c r="BI7246" s="74"/>
      <c r="BJ7246" s="77"/>
      <c r="BL7246" s="497">
        <v>37.94</v>
      </c>
      <c r="BN7246" s="42"/>
      <c r="BO7246" s="74"/>
      <c r="BP7246" s="77"/>
      <c r="BR7246" s="497">
        <v>51.980000000000004</v>
      </c>
      <c r="BT7246" s="42"/>
    </row>
    <row r="7247" spans="1:72" x14ac:dyDescent="0.25">
      <c r="A7247" s="90">
        <v>37193</v>
      </c>
      <c r="B7247" s="20">
        <v>0.20833333333333334</v>
      </c>
      <c r="D7247">
        <v>42.08</v>
      </c>
      <c r="E7247" t="str">
        <f t="shared" si="260"/>
        <v>WEEKDAY</v>
      </c>
      <c r="F7247" t="e">
        <f t="shared" si="261"/>
        <v>#N/A</v>
      </c>
      <c r="G7247" s="74">
        <v>29523</v>
      </c>
      <c r="H7247" s="77">
        <v>0.20833333333333334</v>
      </c>
      <c r="J7247">
        <v>40.64</v>
      </c>
      <c r="M7247" s="74">
        <v>36462</v>
      </c>
      <c r="N7247" s="77">
        <v>0.20833333333333334</v>
      </c>
      <c r="P7247">
        <v>42.8</v>
      </c>
      <c r="S7247" s="74">
        <v>37193</v>
      </c>
      <c r="T7247" s="77">
        <v>0.20833333333333334</v>
      </c>
      <c r="V7247">
        <v>37.04</v>
      </c>
      <c r="X7247" s="42"/>
      <c r="AB7247">
        <v>49.3</v>
      </c>
      <c r="AC7247">
        <v>37.04</v>
      </c>
      <c r="AE7247" s="74"/>
      <c r="AF7247" s="77"/>
      <c r="AH7247" s="497">
        <v>26.6</v>
      </c>
      <c r="AJ7247" s="42"/>
      <c r="AK7247" s="74"/>
      <c r="AL7247" s="77"/>
      <c r="AN7247" s="497">
        <v>46.94</v>
      </c>
      <c r="AP7247" s="42"/>
      <c r="AQ7247" s="74"/>
      <c r="AR7247" s="77"/>
      <c r="AT7247" s="497">
        <v>41</v>
      </c>
      <c r="AV7247" s="42"/>
      <c r="AW7247" s="74"/>
      <c r="AX7247" s="77"/>
      <c r="BA7247" s="497">
        <v>51.08</v>
      </c>
      <c r="BB7247" s="42"/>
      <c r="BC7247" s="74"/>
      <c r="BD7247" s="77"/>
      <c r="BF7247">
        <v>37.04</v>
      </c>
      <c r="BH7247" s="42"/>
      <c r="BI7247" s="74"/>
      <c r="BJ7247" s="77"/>
      <c r="BL7247" s="497">
        <v>37.04</v>
      </c>
      <c r="BN7247" s="42"/>
      <c r="BO7247" s="74"/>
      <c r="BP7247" s="77"/>
      <c r="BR7247" s="497">
        <v>53.06</v>
      </c>
      <c r="BT7247" s="42"/>
    </row>
    <row r="7248" spans="1:72" x14ac:dyDescent="0.25">
      <c r="A7248" s="90">
        <v>37193</v>
      </c>
      <c r="B7248" s="20">
        <v>0.25</v>
      </c>
      <c r="D7248">
        <v>42.08</v>
      </c>
      <c r="E7248" t="str">
        <f t="shared" si="260"/>
        <v>WEEKDAY</v>
      </c>
      <c r="F7248" t="e">
        <f t="shared" si="261"/>
        <v>#N/A</v>
      </c>
      <c r="G7248" s="74">
        <v>29523</v>
      </c>
      <c r="H7248" s="77">
        <v>0.25</v>
      </c>
      <c r="J7248">
        <v>40.28</v>
      </c>
      <c r="M7248" s="74">
        <v>36462</v>
      </c>
      <c r="N7248" s="77">
        <v>0.25</v>
      </c>
      <c r="P7248">
        <v>44.6</v>
      </c>
      <c r="S7248" s="74">
        <v>37193</v>
      </c>
      <c r="T7248" s="77">
        <v>0.25</v>
      </c>
      <c r="V7248">
        <v>37.94</v>
      </c>
      <c r="X7248" s="42"/>
      <c r="AB7248">
        <v>49.1</v>
      </c>
      <c r="AC7248">
        <v>37.04</v>
      </c>
      <c r="AE7248" s="74"/>
      <c r="AF7248" s="77"/>
      <c r="AH7248" s="497">
        <v>26.6</v>
      </c>
      <c r="AJ7248" s="42"/>
      <c r="AK7248" s="74"/>
      <c r="AL7248" s="77"/>
      <c r="AN7248" s="497">
        <v>46.94</v>
      </c>
      <c r="AP7248" s="42"/>
      <c r="AQ7248" s="74"/>
      <c r="AR7248" s="77"/>
      <c r="AT7248" s="497">
        <v>42.08</v>
      </c>
      <c r="AV7248" s="42"/>
      <c r="AW7248" s="74"/>
      <c r="AX7248" s="77"/>
      <c r="BA7248" s="497">
        <v>51.08</v>
      </c>
      <c r="BB7248" s="42"/>
      <c r="BC7248" s="74"/>
      <c r="BD7248" s="77"/>
      <c r="BF7248">
        <v>35.06</v>
      </c>
      <c r="BH7248" s="42"/>
      <c r="BI7248" s="74"/>
      <c r="BJ7248" s="77"/>
      <c r="BL7248" s="497">
        <v>37.94</v>
      </c>
      <c r="BN7248" s="42"/>
      <c r="BO7248" s="74"/>
      <c r="BP7248" s="77"/>
      <c r="BR7248" s="497">
        <v>53.06</v>
      </c>
      <c r="BT7248" s="42"/>
    </row>
    <row r="7249" spans="1:72" x14ac:dyDescent="0.25">
      <c r="A7249" s="90">
        <v>37193</v>
      </c>
      <c r="B7249" s="20">
        <v>0.29166666666666669</v>
      </c>
      <c r="D7249">
        <v>42.08</v>
      </c>
      <c r="E7249" t="str">
        <f t="shared" si="260"/>
        <v>WEEKDAY</v>
      </c>
      <c r="F7249" t="e">
        <f t="shared" si="261"/>
        <v>#N/A</v>
      </c>
      <c r="G7249" s="74">
        <v>29523</v>
      </c>
      <c r="H7249" s="77">
        <v>0.29166666666666669</v>
      </c>
      <c r="J7249">
        <v>39.92</v>
      </c>
      <c r="M7249" s="74">
        <v>36462</v>
      </c>
      <c r="N7249" s="77">
        <v>0.29166666666666669</v>
      </c>
      <c r="P7249">
        <v>44.6</v>
      </c>
      <c r="S7249" s="74">
        <v>37193</v>
      </c>
      <c r="T7249" s="77">
        <v>0.29166666666666669</v>
      </c>
      <c r="V7249">
        <v>35.96</v>
      </c>
      <c r="X7249" s="42"/>
      <c r="AB7249">
        <v>48.9</v>
      </c>
      <c r="AC7249">
        <v>37.04</v>
      </c>
      <c r="AE7249" s="74"/>
      <c r="AF7249" s="77"/>
      <c r="AH7249" s="497">
        <v>26.6</v>
      </c>
      <c r="AJ7249" s="42"/>
      <c r="AK7249" s="74"/>
      <c r="AL7249" s="77"/>
      <c r="AN7249" s="497">
        <v>46.94</v>
      </c>
      <c r="AP7249" s="42"/>
      <c r="AQ7249" s="74"/>
      <c r="AR7249" s="77"/>
      <c r="AT7249" s="497">
        <v>42.08</v>
      </c>
      <c r="AV7249" s="42"/>
      <c r="AW7249" s="74"/>
      <c r="AX7249" s="77"/>
      <c r="BA7249" s="497">
        <v>48.92</v>
      </c>
      <c r="BB7249" s="42"/>
      <c r="BC7249" s="74"/>
      <c r="BD7249" s="77"/>
      <c r="BF7249">
        <v>37.04</v>
      </c>
      <c r="BH7249" s="42"/>
      <c r="BI7249" s="74"/>
      <c r="BJ7249" s="77"/>
      <c r="BL7249" s="497">
        <v>37.94</v>
      </c>
      <c r="BN7249" s="42"/>
      <c r="BO7249" s="74"/>
      <c r="BP7249" s="77"/>
      <c r="BR7249" s="497">
        <v>53.96</v>
      </c>
      <c r="BT7249" s="42"/>
    </row>
    <row r="7250" spans="1:72" x14ac:dyDescent="0.25">
      <c r="A7250" s="90">
        <v>37193</v>
      </c>
      <c r="B7250" s="20">
        <v>0.33333333333333331</v>
      </c>
      <c r="D7250">
        <v>42.980000000000004</v>
      </c>
      <c r="E7250" t="str">
        <f t="shared" si="260"/>
        <v>WEEKDAY</v>
      </c>
      <c r="F7250" t="e">
        <f t="shared" si="261"/>
        <v>#N/A</v>
      </c>
      <c r="G7250" s="74">
        <v>29523</v>
      </c>
      <c r="H7250" s="77">
        <v>0.33333333333333331</v>
      </c>
      <c r="J7250">
        <v>41.54</v>
      </c>
      <c r="M7250" s="74">
        <v>36462</v>
      </c>
      <c r="N7250" s="77">
        <v>0.33333333333333331</v>
      </c>
      <c r="P7250">
        <v>48.2</v>
      </c>
      <c r="S7250" s="74">
        <v>37193</v>
      </c>
      <c r="T7250" s="77">
        <v>0.33333333333333331</v>
      </c>
      <c r="V7250">
        <v>44.06</v>
      </c>
      <c r="X7250" s="42"/>
      <c r="AB7250">
        <v>49.2</v>
      </c>
      <c r="AC7250">
        <v>37.94</v>
      </c>
      <c r="AE7250" s="74"/>
      <c r="AF7250" s="77"/>
      <c r="AH7250" s="497">
        <v>33.799999999999997</v>
      </c>
      <c r="AJ7250" s="42"/>
      <c r="AK7250" s="74"/>
      <c r="AL7250" s="77"/>
      <c r="AN7250" s="497">
        <v>48.92</v>
      </c>
      <c r="AP7250" s="42"/>
      <c r="AQ7250" s="74"/>
      <c r="AR7250" s="77"/>
      <c r="AT7250" s="497">
        <v>44.96</v>
      </c>
      <c r="AV7250" s="42"/>
      <c r="AW7250" s="74"/>
      <c r="AX7250" s="77"/>
      <c r="BA7250" s="497">
        <v>53.06</v>
      </c>
      <c r="BB7250" s="42"/>
      <c r="BC7250" s="74"/>
      <c r="BD7250" s="77"/>
      <c r="BF7250">
        <v>37.94</v>
      </c>
      <c r="BH7250" s="42"/>
      <c r="BI7250" s="74"/>
      <c r="BJ7250" s="77"/>
      <c r="BL7250" s="497">
        <v>39.92</v>
      </c>
      <c r="BN7250" s="42"/>
      <c r="BO7250" s="74"/>
      <c r="BP7250" s="77"/>
      <c r="BR7250" s="497">
        <v>55.040000000000006</v>
      </c>
      <c r="BT7250" s="42"/>
    </row>
    <row r="7251" spans="1:72" x14ac:dyDescent="0.25">
      <c r="A7251" s="90">
        <v>37193</v>
      </c>
      <c r="B7251" s="20">
        <v>0.375</v>
      </c>
      <c r="D7251">
        <v>46.04</v>
      </c>
      <c r="E7251" t="str">
        <f t="shared" ref="E7251:E7314" si="262">IF(COUNTIF($DI$18:$DI$22, WEEKDAY(A7251))=1, "WEEKDAY", IF(WEEKDAY(A7251) = 1, "SUNDAY", "SATURDAY"))</f>
        <v>WEEKDAY</v>
      </c>
      <c r="F7251" t="e">
        <f t="shared" si="261"/>
        <v>#N/A</v>
      </c>
      <c r="G7251" s="74">
        <v>29523</v>
      </c>
      <c r="H7251" s="77">
        <v>0.375</v>
      </c>
      <c r="J7251">
        <v>43.34</v>
      </c>
      <c r="M7251" s="74">
        <v>36462</v>
      </c>
      <c r="N7251" s="77">
        <v>0.375</v>
      </c>
      <c r="P7251">
        <v>53.6</v>
      </c>
      <c r="S7251" s="74">
        <v>37193</v>
      </c>
      <c r="T7251" s="77">
        <v>0.375</v>
      </c>
      <c r="V7251">
        <v>46.04</v>
      </c>
      <c r="X7251" s="42"/>
      <c r="AB7251">
        <v>51.3</v>
      </c>
      <c r="AC7251">
        <v>39.92</v>
      </c>
      <c r="AE7251" s="74"/>
      <c r="AF7251" s="77"/>
      <c r="AH7251" s="497">
        <v>37.4</v>
      </c>
      <c r="AJ7251" s="42"/>
      <c r="AK7251" s="74"/>
      <c r="AL7251" s="77"/>
      <c r="AN7251" s="497">
        <v>51.980000000000004</v>
      </c>
      <c r="AP7251" s="42"/>
      <c r="AQ7251" s="74"/>
      <c r="AR7251" s="77"/>
      <c r="AT7251" s="497">
        <v>46.94</v>
      </c>
      <c r="AV7251" s="42"/>
      <c r="AW7251" s="74"/>
      <c r="AX7251" s="77"/>
      <c r="BA7251" s="497">
        <v>57.019999999999996</v>
      </c>
      <c r="BB7251" s="42"/>
      <c r="BC7251" s="74"/>
      <c r="BD7251" s="77"/>
      <c r="BF7251">
        <v>39.92</v>
      </c>
      <c r="BH7251" s="42"/>
      <c r="BI7251" s="74"/>
      <c r="BJ7251" s="77"/>
      <c r="BL7251" s="497">
        <v>41</v>
      </c>
      <c r="BN7251" s="42"/>
      <c r="BO7251" s="74"/>
      <c r="BP7251" s="77"/>
      <c r="BR7251" s="497">
        <v>57.92</v>
      </c>
      <c r="BT7251" s="42"/>
    </row>
    <row r="7252" spans="1:72" x14ac:dyDescent="0.25">
      <c r="A7252" s="90">
        <v>37193</v>
      </c>
      <c r="B7252" s="20">
        <v>0.41666666666666669</v>
      </c>
      <c r="D7252">
        <v>48.019999999999996</v>
      </c>
      <c r="E7252" t="str">
        <f t="shared" si="262"/>
        <v>WEEKDAY</v>
      </c>
      <c r="F7252" t="e">
        <f t="shared" si="261"/>
        <v>#N/A</v>
      </c>
      <c r="G7252" s="74">
        <v>29523</v>
      </c>
      <c r="H7252" s="77">
        <v>0.41666666666666669</v>
      </c>
      <c r="J7252">
        <v>44.96</v>
      </c>
      <c r="M7252" s="74">
        <v>36462</v>
      </c>
      <c r="N7252" s="77">
        <v>0.41666666666666669</v>
      </c>
      <c r="P7252">
        <v>57.2</v>
      </c>
      <c r="S7252" s="74">
        <v>37193</v>
      </c>
      <c r="T7252" s="77">
        <v>0.41666666666666669</v>
      </c>
      <c r="V7252">
        <v>50</v>
      </c>
      <c r="X7252" s="42"/>
      <c r="AB7252">
        <v>53.2</v>
      </c>
      <c r="AC7252">
        <v>42.08</v>
      </c>
      <c r="AE7252" s="74"/>
      <c r="AF7252" s="77"/>
      <c r="AH7252" s="497">
        <v>41</v>
      </c>
      <c r="AJ7252" s="42"/>
      <c r="AK7252" s="74"/>
      <c r="AL7252" s="77"/>
      <c r="AN7252" s="497">
        <v>55.040000000000006</v>
      </c>
      <c r="AP7252" s="42"/>
      <c r="AQ7252" s="74"/>
      <c r="AR7252" s="77"/>
      <c r="AT7252" s="497">
        <v>51.08</v>
      </c>
      <c r="AV7252" s="42"/>
      <c r="AW7252" s="74"/>
      <c r="AX7252" s="77"/>
      <c r="BA7252" s="497">
        <v>62.06</v>
      </c>
      <c r="BB7252" s="42"/>
      <c r="BC7252" s="74"/>
      <c r="BD7252" s="77"/>
      <c r="BF7252">
        <v>41</v>
      </c>
      <c r="BH7252" s="42"/>
      <c r="BI7252" s="74"/>
      <c r="BJ7252" s="77"/>
      <c r="BL7252" s="497">
        <v>42.08</v>
      </c>
      <c r="BN7252" s="42"/>
      <c r="BO7252" s="74"/>
      <c r="BP7252" s="77"/>
      <c r="BR7252" s="497">
        <v>60.08</v>
      </c>
      <c r="BT7252" s="42"/>
    </row>
    <row r="7253" spans="1:72" x14ac:dyDescent="0.25">
      <c r="A7253" s="90">
        <v>37193</v>
      </c>
      <c r="B7253" s="20">
        <v>0.45833333333333331</v>
      </c>
      <c r="D7253">
        <v>50</v>
      </c>
      <c r="E7253" t="str">
        <f t="shared" si="262"/>
        <v>WEEKDAY</v>
      </c>
      <c r="F7253" t="e">
        <f t="shared" si="261"/>
        <v>#N/A</v>
      </c>
      <c r="G7253" s="74">
        <v>29523</v>
      </c>
      <c r="H7253" s="77">
        <v>0.45833333333333331</v>
      </c>
      <c r="J7253">
        <v>46.22</v>
      </c>
      <c r="M7253" s="74">
        <v>36462</v>
      </c>
      <c r="N7253" s="77">
        <v>0.45833333333333331</v>
      </c>
      <c r="P7253">
        <v>62.6</v>
      </c>
      <c r="S7253" s="74">
        <v>37193</v>
      </c>
      <c r="T7253" s="77">
        <v>0.45833333333333331</v>
      </c>
      <c r="V7253">
        <v>51.08</v>
      </c>
      <c r="X7253" s="42"/>
      <c r="AB7253">
        <v>54.9</v>
      </c>
      <c r="AC7253">
        <v>42.08</v>
      </c>
      <c r="AE7253" s="74"/>
      <c r="AF7253" s="77"/>
      <c r="AH7253" s="497">
        <v>42.8</v>
      </c>
      <c r="AJ7253" s="42"/>
      <c r="AK7253" s="74"/>
      <c r="AL7253" s="77"/>
      <c r="AN7253" s="497">
        <v>59</v>
      </c>
      <c r="AP7253" s="42"/>
      <c r="AQ7253" s="74"/>
      <c r="AR7253" s="77"/>
      <c r="AT7253" s="497">
        <v>55.94</v>
      </c>
      <c r="AV7253" s="42"/>
      <c r="AW7253" s="74"/>
      <c r="AX7253" s="77"/>
      <c r="BA7253" s="497">
        <v>64.94</v>
      </c>
      <c r="BB7253" s="42"/>
      <c r="BC7253" s="74"/>
      <c r="BD7253" s="77"/>
      <c r="BF7253">
        <v>42.08</v>
      </c>
      <c r="BH7253" s="42"/>
      <c r="BI7253" s="74"/>
      <c r="BJ7253" s="77"/>
      <c r="BL7253" s="497">
        <v>42.980000000000004</v>
      </c>
      <c r="BN7253" s="42"/>
      <c r="BO7253" s="74"/>
      <c r="BP7253" s="77"/>
      <c r="BR7253" s="497">
        <v>60.980000000000004</v>
      </c>
      <c r="BT7253" s="42"/>
    </row>
    <row r="7254" spans="1:72" x14ac:dyDescent="0.25">
      <c r="A7254" s="90">
        <v>37193</v>
      </c>
      <c r="B7254" s="20">
        <v>0.5</v>
      </c>
      <c r="D7254">
        <v>51.980000000000004</v>
      </c>
      <c r="E7254" t="str">
        <f t="shared" si="262"/>
        <v>WEEKDAY</v>
      </c>
      <c r="F7254" t="e">
        <f t="shared" si="261"/>
        <v>#N/A</v>
      </c>
      <c r="G7254" s="74">
        <v>29523</v>
      </c>
      <c r="H7254" s="77">
        <v>0.5</v>
      </c>
      <c r="J7254">
        <v>47.66</v>
      </c>
      <c r="M7254" s="74">
        <v>36462</v>
      </c>
      <c r="N7254" s="77">
        <v>0.5</v>
      </c>
      <c r="P7254">
        <v>64.400000000000006</v>
      </c>
      <c r="S7254" s="74">
        <v>37193</v>
      </c>
      <c r="T7254" s="77">
        <v>0.5</v>
      </c>
      <c r="V7254">
        <v>51.08</v>
      </c>
      <c r="X7254" s="42"/>
      <c r="AB7254">
        <v>56.3</v>
      </c>
      <c r="AC7254">
        <v>42.980000000000004</v>
      </c>
      <c r="AE7254" s="74"/>
      <c r="AF7254" s="77"/>
      <c r="AH7254" s="497">
        <v>42.8</v>
      </c>
      <c r="AJ7254" s="42"/>
      <c r="AK7254" s="74"/>
      <c r="AL7254" s="77"/>
      <c r="AN7254" s="497">
        <v>62.06</v>
      </c>
      <c r="AP7254" s="42"/>
      <c r="AQ7254" s="74"/>
      <c r="AR7254" s="77"/>
      <c r="AT7254" s="497">
        <v>60.08</v>
      </c>
      <c r="AV7254" s="42"/>
      <c r="AW7254" s="74"/>
      <c r="AX7254" s="77"/>
      <c r="BA7254" s="497">
        <v>66.92</v>
      </c>
      <c r="BB7254" s="42"/>
      <c r="BC7254" s="74"/>
      <c r="BD7254" s="77"/>
      <c r="BF7254">
        <v>44.96</v>
      </c>
      <c r="BH7254" s="42"/>
      <c r="BI7254" s="74"/>
      <c r="BJ7254" s="77"/>
      <c r="BL7254" s="497">
        <v>44.96</v>
      </c>
      <c r="BN7254" s="42"/>
      <c r="BO7254" s="74"/>
      <c r="BP7254" s="77"/>
      <c r="BR7254" s="497">
        <v>64.039999999999992</v>
      </c>
      <c r="BT7254" s="42"/>
    </row>
    <row r="7255" spans="1:72" x14ac:dyDescent="0.25">
      <c r="A7255" s="90">
        <v>37193</v>
      </c>
      <c r="B7255" s="20">
        <v>0.54166666666666663</v>
      </c>
      <c r="D7255">
        <v>53.96</v>
      </c>
      <c r="E7255" t="str">
        <f t="shared" si="262"/>
        <v>WEEKDAY</v>
      </c>
      <c r="F7255" t="e">
        <f t="shared" si="261"/>
        <v>#N/A</v>
      </c>
      <c r="G7255" s="74">
        <v>29523</v>
      </c>
      <c r="H7255" s="77">
        <v>0.54166666666666663</v>
      </c>
      <c r="J7255">
        <v>48.92</v>
      </c>
      <c r="M7255" s="74">
        <v>36462</v>
      </c>
      <c r="N7255" s="77">
        <v>0.54166666666666663</v>
      </c>
      <c r="P7255">
        <v>69.800000000000011</v>
      </c>
      <c r="S7255" s="74">
        <v>37193</v>
      </c>
      <c r="T7255" s="77">
        <v>0.54166666666666663</v>
      </c>
      <c r="V7255">
        <v>53.06</v>
      </c>
      <c r="X7255" s="42"/>
      <c r="AB7255">
        <v>57.3</v>
      </c>
      <c r="AC7255">
        <v>42.08</v>
      </c>
      <c r="AE7255" s="74"/>
      <c r="AF7255" s="77"/>
      <c r="AH7255" s="497">
        <v>41</v>
      </c>
      <c r="AJ7255" s="42"/>
      <c r="AK7255" s="74"/>
      <c r="AL7255" s="77"/>
      <c r="AN7255" s="497">
        <v>64.039999999999992</v>
      </c>
      <c r="AP7255" s="42"/>
      <c r="AQ7255" s="74"/>
      <c r="AR7255" s="77"/>
      <c r="AT7255" s="497">
        <v>64.94</v>
      </c>
      <c r="AV7255" s="42"/>
      <c r="AW7255" s="74"/>
      <c r="AX7255" s="77"/>
      <c r="BA7255" s="497">
        <v>66.02</v>
      </c>
      <c r="BB7255" s="42"/>
      <c r="BC7255" s="74"/>
      <c r="BD7255" s="77"/>
      <c r="BF7255">
        <v>46.94</v>
      </c>
      <c r="BH7255" s="42"/>
      <c r="BI7255" s="74"/>
      <c r="BJ7255" s="77"/>
      <c r="BL7255" s="497">
        <v>46.04</v>
      </c>
      <c r="BN7255" s="42"/>
      <c r="BO7255" s="74"/>
      <c r="BP7255" s="77"/>
      <c r="BR7255" s="497">
        <v>64.94</v>
      </c>
      <c r="BT7255" s="42"/>
    </row>
    <row r="7256" spans="1:72" x14ac:dyDescent="0.25">
      <c r="A7256" s="90">
        <v>37193</v>
      </c>
      <c r="B7256" s="20">
        <v>0.58333333333333337</v>
      </c>
      <c r="D7256">
        <v>55.94</v>
      </c>
      <c r="E7256" t="str">
        <f t="shared" si="262"/>
        <v>WEEKDAY</v>
      </c>
      <c r="F7256" t="e">
        <f t="shared" si="261"/>
        <v>#N/A</v>
      </c>
      <c r="G7256" s="74">
        <v>29523</v>
      </c>
      <c r="H7256" s="77">
        <v>0.58333333333333337</v>
      </c>
      <c r="J7256">
        <v>49.28</v>
      </c>
      <c r="M7256" s="74">
        <v>36462</v>
      </c>
      <c r="N7256" s="77">
        <v>0.58333333333333337</v>
      </c>
      <c r="P7256">
        <v>71.599999999999994</v>
      </c>
      <c r="S7256" s="74">
        <v>37193</v>
      </c>
      <c r="T7256" s="77">
        <v>0.58333333333333337</v>
      </c>
      <c r="V7256">
        <v>55.040000000000006</v>
      </c>
      <c r="X7256" s="42"/>
      <c r="AB7256">
        <v>57.9</v>
      </c>
      <c r="AC7256">
        <v>39.019999999999996</v>
      </c>
      <c r="AE7256" s="74"/>
      <c r="AF7256" s="77"/>
      <c r="AH7256" s="497">
        <v>41</v>
      </c>
      <c r="AJ7256" s="42"/>
      <c r="AK7256" s="74"/>
      <c r="AL7256" s="77"/>
      <c r="AN7256" s="497">
        <v>66.02</v>
      </c>
      <c r="AP7256" s="42"/>
      <c r="AQ7256" s="74"/>
      <c r="AR7256" s="77"/>
      <c r="AT7256" s="497">
        <v>68</v>
      </c>
      <c r="AV7256" s="42"/>
      <c r="AW7256" s="74"/>
      <c r="AX7256" s="77"/>
      <c r="BA7256" s="497">
        <v>66.92</v>
      </c>
      <c r="BB7256" s="42"/>
      <c r="BC7256" s="74"/>
      <c r="BD7256" s="77"/>
      <c r="BF7256">
        <v>44.96</v>
      </c>
      <c r="BH7256" s="42"/>
      <c r="BI7256" s="74"/>
      <c r="BJ7256" s="77"/>
      <c r="BL7256" s="497">
        <v>46.94</v>
      </c>
      <c r="BN7256" s="42"/>
      <c r="BO7256" s="74"/>
      <c r="BP7256" s="77"/>
      <c r="BR7256" s="497">
        <v>64.039999999999992</v>
      </c>
      <c r="BT7256" s="42"/>
    </row>
    <row r="7257" spans="1:72" x14ac:dyDescent="0.25">
      <c r="A7257" s="90">
        <v>37193</v>
      </c>
      <c r="B7257" s="20">
        <v>0.625</v>
      </c>
      <c r="D7257">
        <v>57.92</v>
      </c>
      <c r="E7257" t="str">
        <f t="shared" si="262"/>
        <v>WEEKDAY</v>
      </c>
      <c r="F7257" t="e">
        <f t="shared" si="261"/>
        <v>#N/A</v>
      </c>
      <c r="G7257" s="74">
        <v>29523</v>
      </c>
      <c r="H7257" s="77">
        <v>0.625</v>
      </c>
      <c r="J7257">
        <v>49.64</v>
      </c>
      <c r="M7257" s="74">
        <v>36462</v>
      </c>
      <c r="N7257" s="77">
        <v>0.625</v>
      </c>
      <c r="P7257">
        <v>71.599999999999994</v>
      </c>
      <c r="S7257" s="74">
        <v>37193</v>
      </c>
      <c r="T7257" s="77">
        <v>0.625</v>
      </c>
      <c r="V7257">
        <v>57.019999999999996</v>
      </c>
      <c r="X7257" s="42"/>
      <c r="AB7257">
        <v>58.2</v>
      </c>
      <c r="AC7257">
        <v>33.979999999999997</v>
      </c>
      <c r="AE7257" s="74"/>
      <c r="AF7257" s="77"/>
      <c r="AH7257" s="497">
        <v>41</v>
      </c>
      <c r="AJ7257" s="42"/>
      <c r="AK7257" s="74"/>
      <c r="AL7257" s="77"/>
      <c r="AN7257" s="497">
        <v>64.039999999999992</v>
      </c>
      <c r="AP7257" s="42"/>
      <c r="AQ7257" s="74"/>
      <c r="AR7257" s="77"/>
      <c r="AT7257" s="497">
        <v>68</v>
      </c>
      <c r="AV7257" s="42"/>
      <c r="AW7257" s="74"/>
      <c r="AX7257" s="77"/>
      <c r="BA7257" s="497">
        <v>66.02</v>
      </c>
      <c r="BB7257" s="42"/>
      <c r="BC7257" s="74"/>
      <c r="BD7257" s="77"/>
      <c r="BF7257">
        <v>44.96</v>
      </c>
      <c r="BH7257" s="42"/>
      <c r="BI7257" s="74"/>
      <c r="BJ7257" s="77"/>
      <c r="BL7257" s="497">
        <v>46.94</v>
      </c>
      <c r="BN7257" s="42"/>
      <c r="BO7257" s="74"/>
      <c r="BP7257" s="77"/>
      <c r="BR7257" s="497">
        <v>62.06</v>
      </c>
      <c r="BT7257" s="42"/>
    </row>
    <row r="7258" spans="1:72" x14ac:dyDescent="0.25">
      <c r="A7258" s="90">
        <v>37193</v>
      </c>
      <c r="B7258" s="20">
        <v>0.66666666666666663</v>
      </c>
      <c r="D7258">
        <v>59</v>
      </c>
      <c r="E7258" t="str">
        <f t="shared" si="262"/>
        <v>WEEKDAY</v>
      </c>
      <c r="F7258" t="e">
        <f t="shared" si="261"/>
        <v>#N/A</v>
      </c>
      <c r="G7258" s="74">
        <v>29523</v>
      </c>
      <c r="H7258" s="77">
        <v>0.66666666666666663</v>
      </c>
      <c r="J7258">
        <v>50</v>
      </c>
      <c r="M7258" s="74">
        <v>36462</v>
      </c>
      <c r="N7258" s="77">
        <v>0.66666666666666663</v>
      </c>
      <c r="P7258">
        <v>69.800000000000011</v>
      </c>
      <c r="S7258" s="74">
        <v>37193</v>
      </c>
      <c r="T7258" s="77">
        <v>0.66666666666666663</v>
      </c>
      <c r="V7258">
        <v>57.019999999999996</v>
      </c>
      <c r="X7258" s="42"/>
      <c r="AB7258">
        <v>57.8</v>
      </c>
      <c r="AC7258">
        <v>33.979999999999997</v>
      </c>
      <c r="AE7258" s="74"/>
      <c r="AF7258" s="77"/>
      <c r="AH7258" s="497">
        <v>39.200000000000003</v>
      </c>
      <c r="AJ7258" s="42"/>
      <c r="AK7258" s="74"/>
      <c r="AL7258" s="77"/>
      <c r="AN7258" s="497">
        <v>62.96</v>
      </c>
      <c r="AP7258" s="42"/>
      <c r="AQ7258" s="74"/>
      <c r="AR7258" s="77"/>
      <c r="AT7258" s="497">
        <v>68</v>
      </c>
      <c r="AV7258" s="42"/>
      <c r="AW7258" s="74"/>
      <c r="AX7258" s="77"/>
      <c r="BA7258" s="497">
        <v>66.02</v>
      </c>
      <c r="BB7258" s="42"/>
      <c r="BC7258" s="74"/>
      <c r="BD7258" s="77"/>
      <c r="BF7258">
        <v>46.04</v>
      </c>
      <c r="BH7258" s="42"/>
      <c r="BI7258" s="74"/>
      <c r="BJ7258" s="77"/>
      <c r="BL7258" s="497">
        <v>46.04</v>
      </c>
      <c r="BN7258" s="42"/>
      <c r="BO7258" s="74"/>
      <c r="BP7258" s="77"/>
      <c r="BR7258" s="497">
        <v>59</v>
      </c>
      <c r="BT7258" s="42"/>
    </row>
    <row r="7259" spans="1:72" x14ac:dyDescent="0.25">
      <c r="A7259" s="90">
        <v>37193</v>
      </c>
      <c r="B7259" s="20">
        <v>0.70833333333333337</v>
      </c>
      <c r="D7259">
        <v>57.92</v>
      </c>
      <c r="E7259" t="str">
        <f t="shared" si="262"/>
        <v>WEEKDAY</v>
      </c>
      <c r="F7259" t="e">
        <f t="shared" si="261"/>
        <v>#N/A</v>
      </c>
      <c r="G7259" s="74">
        <v>29523</v>
      </c>
      <c r="H7259" s="77">
        <v>0.70833333333333337</v>
      </c>
      <c r="J7259">
        <v>48.74</v>
      </c>
      <c r="M7259" s="74">
        <v>36462</v>
      </c>
      <c r="N7259" s="77">
        <v>0.70833333333333337</v>
      </c>
      <c r="P7259">
        <v>62.6</v>
      </c>
      <c r="S7259" s="74">
        <v>37193</v>
      </c>
      <c r="T7259" s="77">
        <v>0.70833333333333337</v>
      </c>
      <c r="V7259">
        <v>53.96</v>
      </c>
      <c r="X7259" s="42"/>
      <c r="AB7259">
        <v>56.9</v>
      </c>
      <c r="AC7259">
        <v>35.06</v>
      </c>
      <c r="AE7259" s="74"/>
      <c r="AF7259" s="77"/>
      <c r="AH7259" s="497">
        <v>39.200000000000003</v>
      </c>
      <c r="AJ7259" s="42"/>
      <c r="AK7259" s="74"/>
      <c r="AL7259" s="77"/>
      <c r="AN7259" s="497">
        <v>60.980000000000004</v>
      </c>
      <c r="AP7259" s="42"/>
      <c r="AQ7259" s="74"/>
      <c r="AR7259" s="77"/>
      <c r="AT7259" s="497">
        <v>64.94</v>
      </c>
      <c r="AV7259" s="42"/>
      <c r="AW7259" s="74"/>
      <c r="AX7259" s="77"/>
      <c r="BA7259" s="497">
        <v>64.94</v>
      </c>
      <c r="BB7259" s="42"/>
      <c r="BC7259" s="74"/>
      <c r="BD7259" s="77"/>
      <c r="BF7259">
        <v>42.980000000000004</v>
      </c>
      <c r="BH7259" s="42"/>
      <c r="BI7259" s="74"/>
      <c r="BJ7259" s="77"/>
      <c r="BL7259" s="497">
        <v>42.980000000000004</v>
      </c>
      <c r="BN7259" s="42"/>
      <c r="BO7259" s="74"/>
      <c r="BP7259" s="77"/>
      <c r="BR7259" s="497">
        <v>55.94</v>
      </c>
      <c r="BT7259" s="42"/>
    </row>
    <row r="7260" spans="1:72" x14ac:dyDescent="0.25">
      <c r="A7260" s="90">
        <v>37193</v>
      </c>
      <c r="B7260" s="20">
        <v>0.75</v>
      </c>
      <c r="D7260">
        <v>57.92</v>
      </c>
      <c r="E7260" t="str">
        <f t="shared" si="262"/>
        <v>WEEKDAY</v>
      </c>
      <c r="F7260" t="e">
        <f t="shared" si="261"/>
        <v>#N/A</v>
      </c>
      <c r="G7260" s="74">
        <v>29523</v>
      </c>
      <c r="H7260" s="77">
        <v>0.75</v>
      </c>
      <c r="J7260">
        <v>47.3</v>
      </c>
      <c r="M7260" s="74">
        <v>36462</v>
      </c>
      <c r="N7260" s="77">
        <v>0.75</v>
      </c>
      <c r="P7260">
        <v>57.2</v>
      </c>
      <c r="S7260" s="74">
        <v>37193</v>
      </c>
      <c r="T7260" s="77">
        <v>0.75</v>
      </c>
      <c r="V7260">
        <v>55.040000000000006</v>
      </c>
      <c r="X7260" s="42"/>
      <c r="AB7260">
        <v>55.5</v>
      </c>
      <c r="AC7260">
        <v>35.96</v>
      </c>
      <c r="AE7260" s="74"/>
      <c r="AF7260" s="77"/>
      <c r="AH7260" s="497">
        <v>39.200000000000003</v>
      </c>
      <c r="AJ7260" s="42"/>
      <c r="AK7260" s="74"/>
      <c r="AL7260" s="77"/>
      <c r="AN7260" s="497">
        <v>60.08</v>
      </c>
      <c r="AP7260" s="42"/>
      <c r="AQ7260" s="74"/>
      <c r="AR7260" s="77"/>
      <c r="AT7260" s="497">
        <v>62.06</v>
      </c>
      <c r="AV7260" s="42"/>
      <c r="AW7260" s="74"/>
      <c r="AX7260" s="77"/>
      <c r="BA7260" s="497">
        <v>64.039999999999992</v>
      </c>
      <c r="BB7260" s="42"/>
      <c r="BC7260" s="74"/>
      <c r="BD7260" s="77"/>
      <c r="BF7260">
        <v>39.92</v>
      </c>
      <c r="BH7260" s="42"/>
      <c r="BI7260" s="74"/>
      <c r="BJ7260" s="77"/>
      <c r="BL7260" s="497">
        <v>39.019999999999996</v>
      </c>
      <c r="BN7260" s="42"/>
      <c r="BO7260" s="74"/>
      <c r="BP7260" s="77"/>
      <c r="BR7260" s="497">
        <v>55.040000000000006</v>
      </c>
      <c r="BT7260" s="42"/>
    </row>
    <row r="7261" spans="1:72" x14ac:dyDescent="0.25">
      <c r="A7261" s="90">
        <v>37193</v>
      </c>
      <c r="B7261" s="20">
        <v>0.79166666666666663</v>
      </c>
      <c r="D7261">
        <v>57.019999999999996</v>
      </c>
      <c r="E7261" t="str">
        <f t="shared" si="262"/>
        <v>WEEKDAY</v>
      </c>
      <c r="F7261" t="e">
        <f t="shared" si="261"/>
        <v>#N/A</v>
      </c>
      <c r="G7261" s="74">
        <v>29523</v>
      </c>
      <c r="H7261" s="77">
        <v>0.79166666666666663</v>
      </c>
      <c r="J7261">
        <v>46.04</v>
      </c>
      <c r="M7261" s="74">
        <v>36462</v>
      </c>
      <c r="N7261" s="77">
        <v>0.79166666666666663</v>
      </c>
      <c r="P7261">
        <v>55.400000000000006</v>
      </c>
      <c r="S7261" s="74">
        <v>37193</v>
      </c>
      <c r="T7261" s="77">
        <v>0.79166666666666663</v>
      </c>
      <c r="V7261">
        <v>55.94</v>
      </c>
      <c r="X7261" s="42"/>
      <c r="AB7261">
        <v>54.6</v>
      </c>
      <c r="AC7261">
        <v>35.96</v>
      </c>
      <c r="AE7261" s="74"/>
      <c r="AF7261" s="77"/>
      <c r="AH7261" s="497">
        <v>39.200000000000003</v>
      </c>
      <c r="AJ7261" s="42"/>
      <c r="AK7261" s="74"/>
      <c r="AL7261" s="77"/>
      <c r="AN7261" s="497">
        <v>57.92</v>
      </c>
      <c r="AP7261" s="42"/>
      <c r="AQ7261" s="74"/>
      <c r="AR7261" s="77"/>
      <c r="AT7261" s="497">
        <v>59</v>
      </c>
      <c r="AV7261" s="42"/>
      <c r="AW7261" s="74"/>
      <c r="AX7261" s="77"/>
      <c r="BA7261" s="497">
        <v>60.08</v>
      </c>
      <c r="BB7261" s="42"/>
      <c r="BC7261" s="74"/>
      <c r="BD7261" s="77"/>
      <c r="BF7261">
        <v>37.94</v>
      </c>
      <c r="BH7261" s="42"/>
      <c r="BI7261" s="74"/>
      <c r="BJ7261" s="77"/>
      <c r="BL7261" s="497">
        <v>37.04</v>
      </c>
      <c r="BN7261" s="42"/>
      <c r="BO7261" s="74"/>
      <c r="BP7261" s="77"/>
      <c r="BR7261" s="497">
        <v>55.040000000000006</v>
      </c>
      <c r="BT7261" s="42"/>
    </row>
    <row r="7262" spans="1:72" x14ac:dyDescent="0.25">
      <c r="A7262" s="90">
        <v>37193</v>
      </c>
      <c r="B7262" s="20">
        <v>0.83333333333333337</v>
      </c>
      <c r="D7262">
        <v>57.019999999999996</v>
      </c>
      <c r="E7262" t="str">
        <f t="shared" si="262"/>
        <v>WEEKDAY</v>
      </c>
      <c r="F7262" t="e">
        <f t="shared" si="261"/>
        <v>#N/A</v>
      </c>
      <c r="G7262" s="74">
        <v>29523</v>
      </c>
      <c r="H7262" s="77">
        <v>0.83333333333333337</v>
      </c>
      <c r="J7262">
        <v>45.68</v>
      </c>
      <c r="M7262" s="74">
        <v>36462</v>
      </c>
      <c r="N7262" s="77">
        <v>0.83333333333333337</v>
      </c>
      <c r="P7262">
        <v>53.6</v>
      </c>
      <c r="S7262" s="74">
        <v>37193</v>
      </c>
      <c r="T7262" s="77">
        <v>0.83333333333333337</v>
      </c>
      <c r="V7262">
        <v>51.980000000000004</v>
      </c>
      <c r="X7262" s="42"/>
      <c r="AB7262">
        <v>54.1</v>
      </c>
      <c r="AC7262">
        <v>35.96</v>
      </c>
      <c r="AE7262" s="74"/>
      <c r="AF7262" s="77"/>
      <c r="AH7262" s="497">
        <v>37.4</v>
      </c>
      <c r="AJ7262" s="42"/>
      <c r="AK7262" s="74"/>
      <c r="AL7262" s="77"/>
      <c r="AN7262" s="497">
        <v>59</v>
      </c>
      <c r="AP7262" s="42"/>
      <c r="AQ7262" s="74"/>
      <c r="AR7262" s="77"/>
      <c r="AT7262" s="497">
        <v>55.94</v>
      </c>
      <c r="AV7262" s="42"/>
      <c r="AW7262" s="74"/>
      <c r="AX7262" s="77"/>
      <c r="BA7262" s="497">
        <v>55.040000000000006</v>
      </c>
      <c r="BB7262" s="42"/>
      <c r="BC7262" s="74"/>
      <c r="BD7262" s="77"/>
      <c r="BF7262">
        <v>35.96</v>
      </c>
      <c r="BH7262" s="42"/>
      <c r="BI7262" s="74"/>
      <c r="BJ7262" s="77"/>
      <c r="BL7262" s="497">
        <v>35.96</v>
      </c>
      <c r="BN7262" s="42"/>
      <c r="BO7262" s="74"/>
      <c r="BP7262" s="77"/>
      <c r="BR7262" s="497">
        <v>55.040000000000006</v>
      </c>
      <c r="BT7262" s="42"/>
    </row>
    <row r="7263" spans="1:72" x14ac:dyDescent="0.25">
      <c r="A7263" s="90">
        <v>37193</v>
      </c>
      <c r="B7263" s="20">
        <v>0.875</v>
      </c>
      <c r="D7263">
        <v>57.019999999999996</v>
      </c>
      <c r="E7263" t="str">
        <f t="shared" si="262"/>
        <v>WEEKDAY</v>
      </c>
      <c r="F7263" t="e">
        <f t="shared" si="261"/>
        <v>#N/A</v>
      </c>
      <c r="G7263" s="74">
        <v>29523</v>
      </c>
      <c r="H7263" s="77">
        <v>0.875</v>
      </c>
      <c r="J7263">
        <v>45.32</v>
      </c>
      <c r="M7263" s="74">
        <v>36462</v>
      </c>
      <c r="N7263" s="77">
        <v>0.875</v>
      </c>
      <c r="P7263">
        <v>50</v>
      </c>
      <c r="S7263" s="74">
        <v>37193</v>
      </c>
      <c r="T7263" s="77">
        <v>0.875</v>
      </c>
      <c r="V7263">
        <v>53.96</v>
      </c>
      <c r="X7263" s="42"/>
      <c r="AB7263">
        <v>53.5</v>
      </c>
      <c r="AC7263">
        <v>35.96</v>
      </c>
      <c r="AE7263" s="74"/>
      <c r="AF7263" s="77"/>
      <c r="AH7263" s="497">
        <v>37.4</v>
      </c>
      <c r="AJ7263" s="42"/>
      <c r="AK7263" s="74"/>
      <c r="AL7263" s="77"/>
      <c r="AN7263" s="497">
        <v>57.92</v>
      </c>
      <c r="AP7263" s="42"/>
      <c r="AQ7263" s="74"/>
      <c r="AR7263" s="77"/>
      <c r="AT7263" s="497">
        <v>57.019999999999996</v>
      </c>
      <c r="AV7263" s="42"/>
      <c r="AW7263" s="74"/>
      <c r="AX7263" s="77"/>
      <c r="BA7263" s="497">
        <v>55.040000000000006</v>
      </c>
      <c r="BB7263" s="42"/>
      <c r="BC7263" s="74"/>
      <c r="BD7263" s="77"/>
      <c r="BF7263">
        <v>35.96</v>
      </c>
      <c r="BH7263" s="42"/>
      <c r="BI7263" s="74"/>
      <c r="BJ7263" s="77"/>
      <c r="BL7263" s="497">
        <v>37.04</v>
      </c>
      <c r="BN7263" s="42"/>
      <c r="BO7263" s="74"/>
      <c r="BP7263" s="77"/>
      <c r="BR7263" s="497">
        <v>55.040000000000006</v>
      </c>
      <c r="BT7263" s="42"/>
    </row>
    <row r="7264" spans="1:72" x14ac:dyDescent="0.25">
      <c r="A7264" s="90">
        <v>37193</v>
      </c>
      <c r="B7264" s="20">
        <v>0.91666666666666663</v>
      </c>
      <c r="D7264">
        <v>55.94</v>
      </c>
      <c r="E7264" t="str">
        <f t="shared" si="262"/>
        <v>WEEKDAY</v>
      </c>
      <c r="F7264" t="e">
        <f t="shared" si="261"/>
        <v>#N/A</v>
      </c>
      <c r="G7264" s="74">
        <v>29523</v>
      </c>
      <c r="H7264" s="77">
        <v>0.91666666666666663</v>
      </c>
      <c r="J7264">
        <v>44.96</v>
      </c>
      <c r="M7264" s="74">
        <v>36462</v>
      </c>
      <c r="N7264" s="77">
        <v>0.91666666666666663</v>
      </c>
      <c r="P7264">
        <v>50</v>
      </c>
      <c r="S7264" s="74">
        <v>37193</v>
      </c>
      <c r="T7264" s="77">
        <v>0.91666666666666663</v>
      </c>
      <c r="V7264">
        <v>53.96</v>
      </c>
      <c r="X7264" s="42"/>
      <c r="AB7264">
        <v>52.8</v>
      </c>
      <c r="AC7264">
        <v>35.96</v>
      </c>
      <c r="AE7264" s="74"/>
      <c r="AF7264" s="77"/>
      <c r="AH7264" s="497">
        <v>37.4</v>
      </c>
      <c r="AJ7264" s="42"/>
      <c r="AK7264" s="74"/>
      <c r="AL7264" s="77"/>
      <c r="AN7264" s="497">
        <v>55.040000000000006</v>
      </c>
      <c r="AP7264" s="42"/>
      <c r="AQ7264" s="74"/>
      <c r="AR7264" s="77"/>
      <c r="AT7264" s="497">
        <v>59</v>
      </c>
      <c r="AV7264" s="42"/>
      <c r="AW7264" s="74"/>
      <c r="AX7264" s="77"/>
      <c r="BA7264" s="497">
        <v>55.040000000000006</v>
      </c>
      <c r="BB7264" s="42"/>
      <c r="BC7264" s="74"/>
      <c r="BD7264" s="77"/>
      <c r="BF7264">
        <v>35.96</v>
      </c>
      <c r="BH7264" s="42"/>
      <c r="BI7264" s="74"/>
      <c r="BJ7264" s="77"/>
      <c r="BL7264" s="497">
        <v>35.06</v>
      </c>
      <c r="BN7264" s="42"/>
      <c r="BO7264" s="74"/>
      <c r="BP7264" s="77"/>
      <c r="BR7264" s="497">
        <v>55.040000000000006</v>
      </c>
      <c r="BT7264" s="42"/>
    </row>
    <row r="7265" spans="1:72" x14ac:dyDescent="0.25">
      <c r="A7265" s="90">
        <v>37193</v>
      </c>
      <c r="B7265" s="20">
        <v>0.95833333333333337</v>
      </c>
      <c r="D7265">
        <v>55.94</v>
      </c>
      <c r="E7265" t="str">
        <f t="shared" si="262"/>
        <v>WEEKDAY</v>
      </c>
      <c r="F7265" t="e">
        <f t="shared" si="261"/>
        <v>#N/A</v>
      </c>
      <c r="G7265" s="74">
        <v>29523</v>
      </c>
      <c r="H7265" s="77">
        <v>0.95833333333333337</v>
      </c>
      <c r="J7265">
        <v>44.24</v>
      </c>
      <c r="M7265" s="74">
        <v>36462</v>
      </c>
      <c r="N7265" s="77">
        <v>0.95833333333333337</v>
      </c>
      <c r="P7265">
        <v>50</v>
      </c>
      <c r="S7265" s="74">
        <v>37193</v>
      </c>
      <c r="T7265" s="77">
        <v>0.95833333333333337</v>
      </c>
      <c r="V7265">
        <v>55.040000000000006</v>
      </c>
      <c r="X7265" s="42"/>
      <c r="AB7265">
        <v>52.2</v>
      </c>
      <c r="AC7265">
        <v>35.96</v>
      </c>
      <c r="AE7265" s="74"/>
      <c r="AF7265" s="77"/>
      <c r="AH7265" s="497">
        <v>37.4</v>
      </c>
      <c r="AJ7265" s="42"/>
      <c r="AK7265" s="74"/>
      <c r="AL7265" s="77"/>
      <c r="AN7265" s="497">
        <v>53.06</v>
      </c>
      <c r="AP7265" s="42"/>
      <c r="AQ7265" s="74"/>
      <c r="AR7265" s="77"/>
      <c r="AT7265" s="497">
        <v>60.980000000000004</v>
      </c>
      <c r="AV7265" s="42"/>
      <c r="AW7265" s="74"/>
      <c r="AX7265" s="77"/>
      <c r="BA7265" s="497">
        <v>55.94</v>
      </c>
      <c r="BB7265" s="42"/>
      <c r="BC7265" s="74"/>
      <c r="BD7265" s="77"/>
      <c r="BF7265">
        <v>33.979999999999997</v>
      </c>
      <c r="BH7265" s="42"/>
      <c r="BI7265" s="74"/>
      <c r="BJ7265" s="77"/>
      <c r="BL7265" s="497">
        <v>33.979999999999997</v>
      </c>
      <c r="BN7265" s="42"/>
      <c r="BO7265" s="74"/>
      <c r="BP7265" s="77"/>
      <c r="BR7265" s="497">
        <v>51.08</v>
      </c>
      <c r="BT7265" s="42"/>
    </row>
    <row r="7266" spans="1:72" x14ac:dyDescent="0.25">
      <c r="A7266" s="90">
        <v>37193</v>
      </c>
      <c r="B7266" s="20">
        <v>1</v>
      </c>
      <c r="D7266">
        <v>55.94</v>
      </c>
      <c r="E7266" t="str">
        <f t="shared" si="262"/>
        <v>WEEKDAY</v>
      </c>
      <c r="F7266" t="e">
        <f t="shared" si="261"/>
        <v>#N/A</v>
      </c>
      <c r="G7266" s="74">
        <v>29523</v>
      </c>
      <c r="H7266" s="77">
        <v>1</v>
      </c>
      <c r="J7266">
        <v>43.7</v>
      </c>
      <c r="M7266" s="74">
        <v>36462</v>
      </c>
      <c r="N7266" s="80">
        <v>1</v>
      </c>
      <c r="P7266">
        <v>48.2</v>
      </c>
      <c r="S7266" s="74">
        <v>37193</v>
      </c>
      <c r="T7266" s="80">
        <v>1</v>
      </c>
      <c r="V7266">
        <v>55.040000000000006</v>
      </c>
      <c r="X7266" s="42"/>
      <c r="AB7266">
        <v>51.5</v>
      </c>
      <c r="AC7266">
        <v>35.96</v>
      </c>
      <c r="AE7266" s="74"/>
      <c r="AF7266" s="80"/>
      <c r="AH7266" s="497">
        <v>37.4</v>
      </c>
      <c r="AJ7266" s="42"/>
      <c r="AK7266" s="74"/>
      <c r="AL7266" s="80"/>
      <c r="AN7266" s="497">
        <v>53.06</v>
      </c>
      <c r="AP7266" s="42"/>
      <c r="AQ7266" s="74"/>
      <c r="AR7266" s="80"/>
      <c r="AT7266" s="497">
        <v>60.08</v>
      </c>
      <c r="AV7266" s="42"/>
      <c r="AW7266" s="74"/>
      <c r="AX7266" s="80"/>
      <c r="BA7266" s="497">
        <v>55.040000000000006</v>
      </c>
      <c r="BB7266" s="42"/>
      <c r="BC7266" s="74"/>
      <c r="BD7266" s="80"/>
      <c r="BF7266">
        <v>32</v>
      </c>
      <c r="BH7266" s="42"/>
      <c r="BI7266" s="74"/>
      <c r="BJ7266" s="80"/>
      <c r="BL7266" s="497">
        <v>33.08</v>
      </c>
      <c r="BN7266" s="42"/>
      <c r="BO7266" s="74"/>
      <c r="BP7266" s="80"/>
      <c r="BR7266" s="497">
        <v>50</v>
      </c>
      <c r="BT7266" s="42"/>
    </row>
    <row r="7267" spans="1:72" x14ac:dyDescent="0.25">
      <c r="A7267" s="90">
        <v>37194</v>
      </c>
      <c r="B7267" s="20">
        <v>4.1666666666666664E-2</v>
      </c>
      <c r="D7267">
        <v>55.94</v>
      </c>
      <c r="E7267" t="str">
        <f t="shared" si="262"/>
        <v>WEEKDAY</v>
      </c>
      <c r="F7267" t="e">
        <f t="shared" si="261"/>
        <v>#N/A</v>
      </c>
      <c r="G7267" s="74">
        <v>29524</v>
      </c>
      <c r="H7267" s="77">
        <v>4.1666666666666664E-2</v>
      </c>
      <c r="J7267">
        <v>42.980000000000004</v>
      </c>
      <c r="M7267" s="74">
        <v>36463</v>
      </c>
      <c r="N7267" s="77">
        <v>4.1666666666666664E-2</v>
      </c>
      <c r="P7267">
        <v>50</v>
      </c>
      <c r="S7267" s="74">
        <v>37194</v>
      </c>
      <c r="T7267" s="77">
        <v>4.1666666666666664E-2</v>
      </c>
      <c r="V7267">
        <v>53.96</v>
      </c>
      <c r="X7267" s="42"/>
      <c r="AB7267">
        <v>51</v>
      </c>
      <c r="AC7267">
        <v>35.96</v>
      </c>
      <c r="AE7267" s="74"/>
      <c r="AF7267" s="77"/>
      <c r="AH7267" s="497">
        <v>35.6</v>
      </c>
      <c r="AJ7267" s="42"/>
      <c r="AK7267" s="74"/>
      <c r="AL7267" s="77"/>
      <c r="AN7267" s="497">
        <v>53.96</v>
      </c>
      <c r="AP7267" s="42"/>
      <c r="AQ7267" s="74"/>
      <c r="AR7267" s="77"/>
      <c r="AT7267" s="497">
        <v>57.92</v>
      </c>
      <c r="AV7267" s="42"/>
      <c r="AW7267" s="74"/>
      <c r="AX7267" s="77"/>
      <c r="BA7267" s="497">
        <v>53.96</v>
      </c>
      <c r="BB7267" s="42"/>
      <c r="BC7267" s="74"/>
      <c r="BD7267" s="77"/>
      <c r="BF7267">
        <v>32</v>
      </c>
      <c r="BH7267" s="42"/>
      <c r="BI7267" s="74"/>
      <c r="BJ7267" s="77"/>
      <c r="BL7267" s="497">
        <v>33.08</v>
      </c>
      <c r="BN7267" s="42"/>
      <c r="BO7267" s="74"/>
      <c r="BP7267" s="77"/>
      <c r="BR7267" s="497">
        <v>46.04</v>
      </c>
      <c r="BT7267" s="42"/>
    </row>
    <row r="7268" spans="1:72" x14ac:dyDescent="0.25">
      <c r="A7268" s="90">
        <v>37194</v>
      </c>
      <c r="B7268" s="20">
        <v>8.3333333333333329E-2</v>
      </c>
      <c r="D7268">
        <v>55.040000000000006</v>
      </c>
      <c r="E7268" t="str">
        <f t="shared" si="262"/>
        <v>WEEKDAY</v>
      </c>
      <c r="F7268" t="e">
        <f t="shared" si="261"/>
        <v>#N/A</v>
      </c>
      <c r="G7268" s="74">
        <v>29524</v>
      </c>
      <c r="H7268" s="77">
        <v>8.3333333333333329E-2</v>
      </c>
      <c r="J7268">
        <v>42.620000000000005</v>
      </c>
      <c r="M7268" s="74">
        <v>36463</v>
      </c>
      <c r="N7268" s="77">
        <v>8.3333333333333329E-2</v>
      </c>
      <c r="P7268">
        <v>48.2</v>
      </c>
      <c r="S7268" s="74">
        <v>37194</v>
      </c>
      <c r="T7268" s="77">
        <v>8.3333333333333329E-2</v>
      </c>
      <c r="V7268">
        <v>53.96</v>
      </c>
      <c r="X7268" s="42"/>
      <c r="AB7268">
        <v>50.4</v>
      </c>
      <c r="AC7268">
        <v>37.04</v>
      </c>
      <c r="AE7268" s="74"/>
      <c r="AF7268" s="77"/>
      <c r="AH7268" s="497">
        <v>35.6</v>
      </c>
      <c r="AJ7268" s="42"/>
      <c r="AK7268" s="74"/>
      <c r="AL7268" s="77"/>
      <c r="AN7268" s="497">
        <v>51.08</v>
      </c>
      <c r="AP7268" s="42"/>
      <c r="AQ7268" s="74"/>
      <c r="AR7268" s="77"/>
      <c r="AT7268" s="497">
        <v>57.92</v>
      </c>
      <c r="AV7268" s="42"/>
      <c r="AW7268" s="74"/>
      <c r="AX7268" s="77"/>
      <c r="BA7268" s="497">
        <v>51.08</v>
      </c>
      <c r="BB7268" s="42"/>
      <c r="BC7268" s="74"/>
      <c r="BD7268" s="77"/>
      <c r="BF7268">
        <v>30.92</v>
      </c>
      <c r="BH7268" s="42"/>
      <c r="BI7268" s="74"/>
      <c r="BJ7268" s="77"/>
      <c r="BL7268" s="497">
        <v>33.08</v>
      </c>
      <c r="BN7268" s="42"/>
      <c r="BO7268" s="74"/>
      <c r="BP7268" s="77"/>
      <c r="BR7268" s="497">
        <v>44.06</v>
      </c>
      <c r="BT7268" s="42"/>
    </row>
    <row r="7269" spans="1:72" x14ac:dyDescent="0.25">
      <c r="A7269" s="90">
        <v>37194</v>
      </c>
      <c r="B7269" s="20">
        <v>0.125</v>
      </c>
      <c r="D7269">
        <v>55.040000000000006</v>
      </c>
      <c r="E7269" t="str">
        <f t="shared" si="262"/>
        <v>WEEKDAY</v>
      </c>
      <c r="F7269" t="e">
        <f t="shared" si="261"/>
        <v>#N/A</v>
      </c>
      <c r="G7269" s="74">
        <v>29524</v>
      </c>
      <c r="H7269" s="77">
        <v>0.125</v>
      </c>
      <c r="J7269">
        <v>42.44</v>
      </c>
      <c r="M7269" s="74">
        <v>36463</v>
      </c>
      <c r="N7269" s="77">
        <v>0.125</v>
      </c>
      <c r="P7269">
        <v>50</v>
      </c>
      <c r="S7269" s="74">
        <v>37194</v>
      </c>
      <c r="T7269" s="77">
        <v>0.125</v>
      </c>
      <c r="V7269">
        <v>51.980000000000004</v>
      </c>
      <c r="X7269" s="42"/>
      <c r="AB7269">
        <v>49.9</v>
      </c>
      <c r="AC7269">
        <v>37.94</v>
      </c>
      <c r="AE7269" s="74"/>
      <c r="AF7269" s="77"/>
      <c r="AH7269" s="497">
        <v>35.6</v>
      </c>
      <c r="AJ7269" s="42"/>
      <c r="AK7269" s="74"/>
      <c r="AL7269" s="77"/>
      <c r="AN7269" s="497">
        <v>50</v>
      </c>
      <c r="AP7269" s="42"/>
      <c r="AQ7269" s="74"/>
      <c r="AR7269" s="77"/>
      <c r="AT7269" s="497">
        <v>57.019999999999996</v>
      </c>
      <c r="AV7269" s="42"/>
      <c r="AW7269" s="74"/>
      <c r="AX7269" s="77"/>
      <c r="BA7269" s="497">
        <v>50</v>
      </c>
      <c r="BB7269" s="42"/>
      <c r="BC7269" s="74"/>
      <c r="BD7269" s="77"/>
      <c r="BF7269">
        <v>32</v>
      </c>
      <c r="BH7269" s="42"/>
      <c r="BI7269" s="74"/>
      <c r="BJ7269" s="77"/>
      <c r="BL7269" s="497">
        <v>30.92</v>
      </c>
      <c r="BN7269" s="42"/>
      <c r="BO7269" s="74"/>
      <c r="BP7269" s="77"/>
      <c r="BR7269" s="497">
        <v>42.980000000000004</v>
      </c>
      <c r="BT7269" s="42"/>
    </row>
    <row r="7270" spans="1:72" x14ac:dyDescent="0.25">
      <c r="A7270" s="90">
        <v>37194</v>
      </c>
      <c r="B7270" s="20">
        <v>0.16666666666666666</v>
      </c>
      <c r="D7270">
        <v>53.96</v>
      </c>
      <c r="E7270" t="str">
        <f t="shared" si="262"/>
        <v>WEEKDAY</v>
      </c>
      <c r="F7270" t="e">
        <f t="shared" si="261"/>
        <v>#N/A</v>
      </c>
      <c r="G7270" s="74">
        <v>29524</v>
      </c>
      <c r="H7270" s="77">
        <v>0.16666666666666666</v>
      </c>
      <c r="J7270">
        <v>42.08</v>
      </c>
      <c r="M7270" s="74">
        <v>36463</v>
      </c>
      <c r="N7270" s="77">
        <v>0.16666666666666666</v>
      </c>
      <c r="P7270">
        <v>51.8</v>
      </c>
      <c r="S7270" s="74">
        <v>37194</v>
      </c>
      <c r="T7270" s="77">
        <v>0.16666666666666666</v>
      </c>
      <c r="V7270">
        <v>53.96</v>
      </c>
      <c r="X7270" s="42"/>
      <c r="AB7270">
        <v>49.5</v>
      </c>
      <c r="AC7270">
        <v>37.94</v>
      </c>
      <c r="AE7270" s="74"/>
      <c r="AF7270" s="77"/>
      <c r="AH7270" s="497">
        <v>35.6</v>
      </c>
      <c r="AJ7270" s="42"/>
      <c r="AK7270" s="74"/>
      <c r="AL7270" s="77"/>
      <c r="AN7270" s="497">
        <v>46.94</v>
      </c>
      <c r="AP7270" s="42"/>
      <c r="AQ7270" s="74"/>
      <c r="AR7270" s="77"/>
      <c r="AT7270" s="497">
        <v>55.94</v>
      </c>
      <c r="AV7270" s="42"/>
      <c r="AW7270" s="74"/>
      <c r="AX7270" s="77"/>
      <c r="BA7270" s="497">
        <v>48.92</v>
      </c>
      <c r="BB7270" s="42"/>
      <c r="BC7270" s="74"/>
      <c r="BD7270" s="77"/>
      <c r="BF7270">
        <v>30.92</v>
      </c>
      <c r="BH7270" s="42"/>
      <c r="BI7270" s="74"/>
      <c r="BJ7270" s="77"/>
      <c r="BL7270" s="497">
        <v>30.92</v>
      </c>
      <c r="BN7270" s="42"/>
      <c r="BO7270" s="74"/>
      <c r="BP7270" s="77"/>
      <c r="BR7270" s="497">
        <v>41</v>
      </c>
      <c r="BT7270" s="42"/>
    </row>
    <row r="7271" spans="1:72" x14ac:dyDescent="0.25">
      <c r="A7271" s="90">
        <v>37194</v>
      </c>
      <c r="B7271" s="20">
        <v>0.20833333333333334</v>
      </c>
      <c r="D7271">
        <v>53.96</v>
      </c>
      <c r="E7271" t="str">
        <f t="shared" si="262"/>
        <v>WEEKDAY</v>
      </c>
      <c r="F7271" t="e">
        <f t="shared" si="261"/>
        <v>#N/A</v>
      </c>
      <c r="G7271" s="74">
        <v>29524</v>
      </c>
      <c r="H7271" s="77">
        <v>0.20833333333333334</v>
      </c>
      <c r="J7271">
        <v>42.08</v>
      </c>
      <c r="M7271" s="74">
        <v>36463</v>
      </c>
      <c r="N7271" s="77">
        <v>0.20833333333333334</v>
      </c>
      <c r="P7271">
        <v>51.8</v>
      </c>
      <c r="S7271" s="74">
        <v>37194</v>
      </c>
      <c r="T7271" s="77">
        <v>0.20833333333333334</v>
      </c>
      <c r="V7271">
        <v>53.96</v>
      </c>
      <c r="X7271" s="42"/>
      <c r="AB7271">
        <v>49.1</v>
      </c>
      <c r="AC7271">
        <v>37.94</v>
      </c>
      <c r="AE7271" s="74"/>
      <c r="AF7271" s="77"/>
      <c r="AH7271" s="497">
        <v>35.6</v>
      </c>
      <c r="AJ7271" s="42"/>
      <c r="AK7271" s="74"/>
      <c r="AL7271" s="77"/>
      <c r="AN7271" s="497">
        <v>46.04</v>
      </c>
      <c r="AP7271" s="42"/>
      <c r="AQ7271" s="74"/>
      <c r="AR7271" s="77"/>
      <c r="AT7271" s="497">
        <v>53.96</v>
      </c>
      <c r="AV7271" s="42"/>
      <c r="AW7271" s="74"/>
      <c r="AX7271" s="77"/>
      <c r="BA7271" s="497">
        <v>46.04</v>
      </c>
      <c r="BB7271" s="42"/>
      <c r="BC7271" s="74"/>
      <c r="BD7271" s="77"/>
      <c r="BF7271">
        <v>32</v>
      </c>
      <c r="BH7271" s="42"/>
      <c r="BI7271" s="74"/>
      <c r="BJ7271" s="77"/>
      <c r="BL7271" s="497">
        <v>26.060000000000002</v>
      </c>
      <c r="BN7271" s="42"/>
      <c r="BO7271" s="74"/>
      <c r="BP7271" s="77"/>
      <c r="BR7271" s="497">
        <v>39.019999999999996</v>
      </c>
      <c r="BT7271" s="42"/>
    </row>
    <row r="7272" spans="1:72" x14ac:dyDescent="0.25">
      <c r="A7272" s="90">
        <v>37194</v>
      </c>
      <c r="B7272" s="20">
        <v>0.25</v>
      </c>
      <c r="D7272">
        <v>53.06</v>
      </c>
      <c r="E7272" t="str">
        <f t="shared" si="262"/>
        <v>WEEKDAY</v>
      </c>
      <c r="F7272" t="e">
        <f t="shared" si="261"/>
        <v>#N/A</v>
      </c>
      <c r="G7272" s="74">
        <v>29524</v>
      </c>
      <c r="H7272" s="77">
        <v>0.25</v>
      </c>
      <c r="J7272">
        <v>42.08</v>
      </c>
      <c r="M7272" s="74">
        <v>36463</v>
      </c>
      <c r="N7272" s="77">
        <v>0.25</v>
      </c>
      <c r="P7272">
        <v>51.8</v>
      </c>
      <c r="S7272" s="74">
        <v>37194</v>
      </c>
      <c r="T7272" s="77">
        <v>0.25</v>
      </c>
      <c r="V7272">
        <v>51.08</v>
      </c>
      <c r="X7272" s="42"/>
      <c r="AB7272">
        <v>48.9</v>
      </c>
      <c r="AC7272">
        <v>39.019999999999996</v>
      </c>
      <c r="AE7272" s="74"/>
      <c r="AF7272" s="77"/>
      <c r="AH7272" s="497">
        <v>35.6</v>
      </c>
      <c r="AJ7272" s="42"/>
      <c r="AK7272" s="74"/>
      <c r="AL7272" s="77"/>
      <c r="AN7272" s="497">
        <v>44.96</v>
      </c>
      <c r="AP7272" s="42"/>
      <c r="AQ7272" s="74"/>
      <c r="AR7272" s="77"/>
      <c r="AT7272" s="497">
        <v>53.06</v>
      </c>
      <c r="AV7272" s="42"/>
      <c r="AW7272" s="74"/>
      <c r="AX7272" s="77"/>
      <c r="BA7272" s="497">
        <v>44.96</v>
      </c>
      <c r="BB7272" s="42"/>
      <c r="BC7272" s="74"/>
      <c r="BD7272" s="77"/>
      <c r="BF7272">
        <v>30.92</v>
      </c>
      <c r="BH7272" s="42"/>
      <c r="BI7272" s="74"/>
      <c r="BJ7272" s="77"/>
      <c r="BL7272" s="497">
        <v>28.04</v>
      </c>
      <c r="BN7272" s="42"/>
      <c r="BO7272" s="74"/>
      <c r="BP7272" s="77"/>
      <c r="BR7272" s="497">
        <v>37.04</v>
      </c>
      <c r="BT7272" s="42"/>
    </row>
    <row r="7273" spans="1:72" x14ac:dyDescent="0.25">
      <c r="A7273" s="90">
        <v>37194</v>
      </c>
      <c r="B7273" s="20">
        <v>0.29166666666666669</v>
      </c>
      <c r="D7273">
        <v>53.06</v>
      </c>
      <c r="E7273" t="str">
        <f t="shared" si="262"/>
        <v>WEEKDAY</v>
      </c>
      <c r="F7273" t="e">
        <f t="shared" si="261"/>
        <v>#N/A</v>
      </c>
      <c r="G7273" s="74">
        <v>29524</v>
      </c>
      <c r="H7273" s="77">
        <v>0.29166666666666669</v>
      </c>
      <c r="J7273">
        <v>42.08</v>
      </c>
      <c r="M7273" s="74">
        <v>36463</v>
      </c>
      <c r="N7273" s="77">
        <v>0.29166666666666669</v>
      </c>
      <c r="P7273">
        <v>51.44</v>
      </c>
      <c r="S7273" s="74">
        <v>37194</v>
      </c>
      <c r="T7273" s="77">
        <v>0.29166666666666669</v>
      </c>
      <c r="V7273">
        <v>50</v>
      </c>
      <c r="X7273" s="42"/>
      <c r="AB7273">
        <v>48.7</v>
      </c>
      <c r="AC7273">
        <v>39.019999999999996</v>
      </c>
      <c r="AE7273" s="74"/>
      <c r="AF7273" s="77"/>
      <c r="AH7273" s="497">
        <v>35.6</v>
      </c>
      <c r="AJ7273" s="42"/>
      <c r="AK7273" s="74"/>
      <c r="AL7273" s="77"/>
      <c r="AN7273" s="497">
        <v>44.06</v>
      </c>
      <c r="AP7273" s="42"/>
      <c r="AQ7273" s="74"/>
      <c r="AR7273" s="77"/>
      <c r="AT7273" s="497">
        <v>53.06</v>
      </c>
      <c r="AV7273" s="42"/>
      <c r="AW7273" s="74"/>
      <c r="AX7273" s="77"/>
      <c r="BA7273" s="497">
        <v>44.96</v>
      </c>
      <c r="BB7273" s="42"/>
      <c r="BC7273" s="74"/>
      <c r="BD7273" s="77"/>
      <c r="BF7273">
        <v>33.08</v>
      </c>
      <c r="BH7273" s="42"/>
      <c r="BI7273" s="74"/>
      <c r="BJ7273" s="77"/>
      <c r="BL7273" s="497">
        <v>28.94</v>
      </c>
      <c r="BN7273" s="42"/>
      <c r="BO7273" s="74"/>
      <c r="BP7273" s="77"/>
      <c r="BR7273" s="497">
        <v>35.96</v>
      </c>
      <c r="BT7273" s="42"/>
    </row>
    <row r="7274" spans="1:72" x14ac:dyDescent="0.25">
      <c r="A7274" s="90">
        <v>37194</v>
      </c>
      <c r="B7274" s="20">
        <v>0.33333333333333331</v>
      </c>
      <c r="D7274">
        <v>53.06</v>
      </c>
      <c r="E7274" t="str">
        <f t="shared" si="262"/>
        <v>WEEKDAY</v>
      </c>
      <c r="F7274" t="e">
        <f t="shared" si="261"/>
        <v>#N/A</v>
      </c>
      <c r="G7274" s="74">
        <v>29524</v>
      </c>
      <c r="H7274" s="77">
        <v>0.33333333333333331</v>
      </c>
      <c r="J7274">
        <v>42.980000000000004</v>
      </c>
      <c r="M7274" s="74">
        <v>36463</v>
      </c>
      <c r="N7274" s="77">
        <v>0.33333333333333331</v>
      </c>
      <c r="P7274">
        <v>53.6</v>
      </c>
      <c r="S7274" s="74">
        <v>37194</v>
      </c>
      <c r="T7274" s="77">
        <v>0.33333333333333331</v>
      </c>
      <c r="V7274">
        <v>53.96</v>
      </c>
      <c r="X7274" s="42"/>
      <c r="AB7274">
        <v>49</v>
      </c>
      <c r="AC7274">
        <v>39.92</v>
      </c>
      <c r="AE7274" s="74"/>
      <c r="AF7274" s="77"/>
      <c r="AH7274" s="497">
        <v>35.6</v>
      </c>
      <c r="AJ7274" s="42"/>
      <c r="AK7274" s="74"/>
      <c r="AL7274" s="77"/>
      <c r="AN7274" s="497">
        <v>44.06</v>
      </c>
      <c r="AP7274" s="42"/>
      <c r="AQ7274" s="74"/>
      <c r="AR7274" s="77"/>
      <c r="AT7274" s="497">
        <v>51.980000000000004</v>
      </c>
      <c r="AV7274" s="42"/>
      <c r="AW7274" s="74"/>
      <c r="AX7274" s="77"/>
      <c r="BA7274" s="497">
        <v>44.06</v>
      </c>
      <c r="BB7274" s="42"/>
      <c r="BC7274" s="74"/>
      <c r="BD7274" s="77"/>
      <c r="BF7274">
        <v>35.96</v>
      </c>
      <c r="BH7274" s="42"/>
      <c r="BI7274" s="74"/>
      <c r="BJ7274" s="77"/>
      <c r="BL7274" s="497">
        <v>33.08</v>
      </c>
      <c r="BN7274" s="42"/>
      <c r="BO7274" s="74"/>
      <c r="BP7274" s="77"/>
      <c r="BR7274" s="497">
        <v>37.94</v>
      </c>
      <c r="BT7274" s="42"/>
    </row>
    <row r="7275" spans="1:72" x14ac:dyDescent="0.25">
      <c r="A7275" s="90">
        <v>37194</v>
      </c>
      <c r="B7275" s="20">
        <v>0.375</v>
      </c>
      <c r="D7275">
        <v>53.96</v>
      </c>
      <c r="E7275" t="str">
        <f t="shared" si="262"/>
        <v>WEEKDAY</v>
      </c>
      <c r="F7275" t="e">
        <f t="shared" ref="F7275:F7338" si="263">IF(E7275="WEEKDAY",VLOOKUP(B7275,$DD$19:$DG$42,2),IF(E7275="SATURDAY",VLOOKUP(B7275,$DD$19:$DG$42,3),VLOOKUP(B7275,$DD$19:$DG$42,4)))</f>
        <v>#N/A</v>
      </c>
      <c r="G7275" s="74">
        <v>29524</v>
      </c>
      <c r="H7275" s="77">
        <v>0.375</v>
      </c>
      <c r="J7275">
        <v>44.06</v>
      </c>
      <c r="M7275" s="74">
        <v>36463</v>
      </c>
      <c r="N7275" s="77">
        <v>0.375</v>
      </c>
      <c r="P7275">
        <v>55.400000000000006</v>
      </c>
      <c r="S7275" s="74">
        <v>37194</v>
      </c>
      <c r="T7275" s="77">
        <v>0.375</v>
      </c>
      <c r="V7275">
        <v>55.94</v>
      </c>
      <c r="X7275" s="42"/>
      <c r="AB7275">
        <v>51.1</v>
      </c>
      <c r="AC7275">
        <v>39.92</v>
      </c>
      <c r="AE7275" s="74"/>
      <c r="AF7275" s="77"/>
      <c r="AH7275" s="497">
        <v>37.4</v>
      </c>
      <c r="AJ7275" s="42"/>
      <c r="AK7275" s="74"/>
      <c r="AL7275" s="77"/>
      <c r="AN7275" s="497">
        <v>44.96</v>
      </c>
      <c r="AP7275" s="42"/>
      <c r="AQ7275" s="74"/>
      <c r="AR7275" s="77"/>
      <c r="AT7275" s="497">
        <v>51.980000000000004</v>
      </c>
      <c r="AV7275" s="42"/>
      <c r="AW7275" s="74"/>
      <c r="AX7275" s="77"/>
      <c r="BA7275" s="497">
        <v>44.06</v>
      </c>
      <c r="BB7275" s="42"/>
      <c r="BC7275" s="74"/>
      <c r="BD7275" s="77"/>
      <c r="BF7275">
        <v>39.92</v>
      </c>
      <c r="BH7275" s="42"/>
      <c r="BI7275" s="74"/>
      <c r="BJ7275" s="77"/>
      <c r="BL7275" s="497">
        <v>37.04</v>
      </c>
      <c r="BN7275" s="42"/>
      <c r="BO7275" s="74"/>
      <c r="BP7275" s="77"/>
      <c r="BR7275" s="497">
        <v>37.94</v>
      </c>
      <c r="BT7275" s="42"/>
    </row>
    <row r="7276" spans="1:72" x14ac:dyDescent="0.25">
      <c r="A7276" s="90">
        <v>37194</v>
      </c>
      <c r="B7276" s="20">
        <v>0.41666666666666669</v>
      </c>
      <c r="D7276">
        <v>55.94</v>
      </c>
      <c r="E7276" t="str">
        <f t="shared" si="262"/>
        <v>WEEKDAY</v>
      </c>
      <c r="F7276" t="e">
        <f t="shared" si="263"/>
        <v>#N/A</v>
      </c>
      <c r="G7276" s="74">
        <v>29524</v>
      </c>
      <c r="H7276" s="77">
        <v>0.41666666666666669</v>
      </c>
      <c r="J7276">
        <v>44.96</v>
      </c>
      <c r="M7276" s="74">
        <v>36463</v>
      </c>
      <c r="N7276" s="77">
        <v>0.41666666666666669</v>
      </c>
      <c r="P7276">
        <v>57.2</v>
      </c>
      <c r="S7276" s="74">
        <v>37194</v>
      </c>
      <c r="T7276" s="77">
        <v>0.41666666666666669</v>
      </c>
      <c r="V7276">
        <v>57.019999999999996</v>
      </c>
      <c r="X7276" s="42"/>
      <c r="AB7276">
        <v>53</v>
      </c>
      <c r="AC7276">
        <v>41</v>
      </c>
      <c r="AE7276" s="74"/>
      <c r="AF7276" s="77"/>
      <c r="AH7276" s="497">
        <v>37.4</v>
      </c>
      <c r="AJ7276" s="42"/>
      <c r="AK7276" s="74"/>
      <c r="AL7276" s="77"/>
      <c r="AN7276" s="497">
        <v>44.06</v>
      </c>
      <c r="AP7276" s="42"/>
      <c r="AQ7276" s="74"/>
      <c r="AR7276" s="77"/>
      <c r="AT7276" s="497">
        <v>51.980000000000004</v>
      </c>
      <c r="AV7276" s="42"/>
      <c r="AW7276" s="74"/>
      <c r="AX7276" s="77"/>
      <c r="BA7276" s="497">
        <v>44.96</v>
      </c>
      <c r="BB7276" s="42"/>
      <c r="BC7276" s="74"/>
      <c r="BD7276" s="77"/>
      <c r="BF7276">
        <v>48.019999999999996</v>
      </c>
      <c r="BH7276" s="42"/>
      <c r="BI7276" s="74"/>
      <c r="BJ7276" s="77"/>
      <c r="BL7276" s="497">
        <v>42.08</v>
      </c>
      <c r="BN7276" s="42"/>
      <c r="BO7276" s="74"/>
      <c r="BP7276" s="77"/>
      <c r="BR7276" s="497">
        <v>37.94</v>
      </c>
      <c r="BT7276" s="42"/>
    </row>
    <row r="7277" spans="1:72" x14ac:dyDescent="0.25">
      <c r="A7277" s="90">
        <v>37194</v>
      </c>
      <c r="B7277" s="20">
        <v>0.45833333333333331</v>
      </c>
      <c r="D7277">
        <v>57.019999999999996</v>
      </c>
      <c r="E7277" t="str">
        <f t="shared" si="262"/>
        <v>WEEKDAY</v>
      </c>
      <c r="F7277" t="e">
        <f t="shared" si="263"/>
        <v>#N/A</v>
      </c>
      <c r="G7277" s="74">
        <v>29524</v>
      </c>
      <c r="H7277" s="77">
        <v>0.45833333333333331</v>
      </c>
      <c r="J7277">
        <v>46.04</v>
      </c>
      <c r="M7277" s="74">
        <v>36463</v>
      </c>
      <c r="N7277" s="77">
        <v>0.45833333333333331</v>
      </c>
      <c r="P7277">
        <v>59</v>
      </c>
      <c r="S7277" s="74">
        <v>37194</v>
      </c>
      <c r="T7277" s="77">
        <v>0.45833333333333331</v>
      </c>
      <c r="V7277">
        <v>57.92</v>
      </c>
      <c r="X7277" s="42"/>
      <c r="AB7277">
        <v>54.6</v>
      </c>
      <c r="AC7277">
        <v>42.980000000000004</v>
      </c>
      <c r="AE7277" s="74"/>
      <c r="AF7277" s="77"/>
      <c r="AH7277" s="497">
        <v>37.4</v>
      </c>
      <c r="AJ7277" s="42"/>
      <c r="AK7277" s="74"/>
      <c r="AL7277" s="77"/>
      <c r="AN7277" s="497">
        <v>44.06</v>
      </c>
      <c r="AP7277" s="42"/>
      <c r="AQ7277" s="74"/>
      <c r="AR7277" s="77"/>
      <c r="AT7277" s="497">
        <v>51.980000000000004</v>
      </c>
      <c r="AV7277" s="42"/>
      <c r="AW7277" s="74"/>
      <c r="AX7277" s="77"/>
      <c r="BA7277" s="497">
        <v>44.96</v>
      </c>
      <c r="BB7277" s="42"/>
      <c r="BC7277" s="74"/>
      <c r="BD7277" s="77"/>
      <c r="BF7277">
        <v>51.08</v>
      </c>
      <c r="BH7277" s="42"/>
      <c r="BI7277" s="74"/>
      <c r="BJ7277" s="77"/>
      <c r="BL7277" s="497">
        <v>48.019999999999996</v>
      </c>
      <c r="BN7277" s="42"/>
      <c r="BO7277" s="74"/>
      <c r="BP7277" s="77"/>
      <c r="BR7277" s="497">
        <v>37.94</v>
      </c>
      <c r="BT7277" s="42"/>
    </row>
    <row r="7278" spans="1:72" x14ac:dyDescent="0.25">
      <c r="A7278" s="90">
        <v>37194</v>
      </c>
      <c r="B7278" s="20">
        <v>0.5</v>
      </c>
      <c r="D7278">
        <v>57.92</v>
      </c>
      <c r="E7278" t="str">
        <f t="shared" si="262"/>
        <v>WEEKDAY</v>
      </c>
      <c r="F7278" t="e">
        <f t="shared" si="263"/>
        <v>#N/A</v>
      </c>
      <c r="G7278" s="74">
        <v>29524</v>
      </c>
      <c r="H7278" s="77">
        <v>0.5</v>
      </c>
      <c r="J7278">
        <v>46.94</v>
      </c>
      <c r="M7278" s="74">
        <v>36463</v>
      </c>
      <c r="N7278" s="77">
        <v>0.5</v>
      </c>
      <c r="P7278">
        <v>60.8</v>
      </c>
      <c r="S7278" s="74">
        <v>37194</v>
      </c>
      <c r="T7278" s="77">
        <v>0.5</v>
      </c>
      <c r="V7278">
        <v>60.980000000000004</v>
      </c>
      <c r="X7278" s="42"/>
      <c r="AB7278">
        <v>56</v>
      </c>
      <c r="AC7278">
        <v>42.980000000000004</v>
      </c>
      <c r="AE7278" s="74"/>
      <c r="AF7278" s="77"/>
      <c r="AH7278" s="497">
        <v>39.200000000000003</v>
      </c>
      <c r="AJ7278" s="42"/>
      <c r="AK7278" s="74"/>
      <c r="AL7278" s="77"/>
      <c r="AN7278" s="497">
        <v>44.06</v>
      </c>
      <c r="AP7278" s="42"/>
      <c r="AQ7278" s="74"/>
      <c r="AR7278" s="77"/>
      <c r="AT7278" s="497">
        <v>51.980000000000004</v>
      </c>
      <c r="AV7278" s="42"/>
      <c r="AW7278" s="74"/>
      <c r="AX7278" s="77"/>
      <c r="BA7278" s="497">
        <v>39.92</v>
      </c>
      <c r="BB7278" s="42"/>
      <c r="BC7278" s="74"/>
      <c r="BD7278" s="77"/>
      <c r="BF7278">
        <v>55.040000000000006</v>
      </c>
      <c r="BH7278" s="42"/>
      <c r="BI7278" s="74"/>
      <c r="BJ7278" s="77"/>
      <c r="BL7278" s="497">
        <v>51.980000000000004</v>
      </c>
      <c r="BN7278" s="42"/>
      <c r="BO7278" s="74"/>
      <c r="BP7278" s="77"/>
      <c r="BR7278" s="497">
        <v>39.019999999999996</v>
      </c>
      <c r="BT7278" s="42"/>
    </row>
    <row r="7279" spans="1:72" x14ac:dyDescent="0.25">
      <c r="A7279" s="90">
        <v>37194</v>
      </c>
      <c r="B7279" s="20">
        <v>0.54166666666666663</v>
      </c>
      <c r="D7279">
        <v>59</v>
      </c>
      <c r="E7279" t="str">
        <f t="shared" si="262"/>
        <v>WEEKDAY</v>
      </c>
      <c r="F7279" t="e">
        <f t="shared" si="263"/>
        <v>#N/A</v>
      </c>
      <c r="G7279" s="74">
        <v>29524</v>
      </c>
      <c r="H7279" s="77">
        <v>0.54166666666666663</v>
      </c>
      <c r="J7279">
        <v>48.019999999999996</v>
      </c>
      <c r="M7279" s="74">
        <v>36463</v>
      </c>
      <c r="N7279" s="77">
        <v>0.54166666666666663</v>
      </c>
      <c r="P7279">
        <v>62.6</v>
      </c>
      <c r="S7279" s="74">
        <v>37194</v>
      </c>
      <c r="T7279" s="77">
        <v>0.54166666666666663</v>
      </c>
      <c r="V7279">
        <v>60.08</v>
      </c>
      <c r="X7279" s="42"/>
      <c r="AB7279">
        <v>57</v>
      </c>
      <c r="AC7279">
        <v>44.06</v>
      </c>
      <c r="AE7279" s="74"/>
      <c r="AF7279" s="77"/>
      <c r="AH7279" s="497">
        <v>39.200000000000003</v>
      </c>
      <c r="AJ7279" s="42"/>
      <c r="AK7279" s="74"/>
      <c r="AL7279" s="77"/>
      <c r="AN7279" s="497">
        <v>42.980000000000004</v>
      </c>
      <c r="AP7279" s="42"/>
      <c r="AQ7279" s="74"/>
      <c r="AR7279" s="77"/>
      <c r="AT7279" s="497">
        <v>51.980000000000004</v>
      </c>
      <c r="AV7279" s="42"/>
      <c r="AW7279" s="74"/>
      <c r="AX7279" s="77"/>
      <c r="BA7279" s="497">
        <v>39.92</v>
      </c>
      <c r="BB7279" s="42"/>
      <c r="BC7279" s="74"/>
      <c r="BD7279" s="77"/>
      <c r="BF7279">
        <v>55.94</v>
      </c>
      <c r="BH7279" s="42"/>
      <c r="BI7279" s="74"/>
      <c r="BJ7279" s="77"/>
      <c r="BL7279" s="497">
        <v>55.040000000000006</v>
      </c>
      <c r="BN7279" s="42"/>
      <c r="BO7279" s="74"/>
      <c r="BP7279" s="77"/>
      <c r="BR7279" s="497">
        <v>39.019999999999996</v>
      </c>
      <c r="BT7279" s="42"/>
    </row>
    <row r="7280" spans="1:72" x14ac:dyDescent="0.25">
      <c r="A7280" s="90">
        <v>37194</v>
      </c>
      <c r="B7280" s="20">
        <v>0.58333333333333337</v>
      </c>
      <c r="D7280">
        <v>60.980000000000004</v>
      </c>
      <c r="E7280" t="str">
        <f t="shared" si="262"/>
        <v>WEEKDAY</v>
      </c>
      <c r="F7280" t="e">
        <f t="shared" si="263"/>
        <v>#N/A</v>
      </c>
      <c r="G7280" s="74">
        <v>29524</v>
      </c>
      <c r="H7280" s="77">
        <v>0.58333333333333337</v>
      </c>
      <c r="J7280">
        <v>48.379999999999995</v>
      </c>
      <c r="M7280" s="74">
        <v>36463</v>
      </c>
      <c r="N7280" s="77">
        <v>0.58333333333333337</v>
      </c>
      <c r="P7280">
        <v>64.400000000000006</v>
      </c>
      <c r="S7280" s="74">
        <v>37194</v>
      </c>
      <c r="T7280" s="77">
        <v>0.58333333333333337</v>
      </c>
      <c r="V7280">
        <v>60.980000000000004</v>
      </c>
      <c r="X7280" s="42"/>
      <c r="AB7280">
        <v>57.6</v>
      </c>
      <c r="AC7280">
        <v>42.980000000000004</v>
      </c>
      <c r="AE7280" s="74"/>
      <c r="AF7280" s="77"/>
      <c r="AH7280" s="497">
        <v>39.200000000000003</v>
      </c>
      <c r="AJ7280" s="42"/>
      <c r="AK7280" s="74"/>
      <c r="AL7280" s="77"/>
      <c r="AN7280" s="497">
        <v>41</v>
      </c>
      <c r="AP7280" s="42"/>
      <c r="AQ7280" s="74"/>
      <c r="AR7280" s="77"/>
      <c r="AT7280" s="497">
        <v>51.08</v>
      </c>
      <c r="AV7280" s="42"/>
      <c r="AW7280" s="74"/>
      <c r="AX7280" s="77"/>
      <c r="BA7280" s="497">
        <v>39.92</v>
      </c>
      <c r="BB7280" s="42"/>
      <c r="BC7280" s="74"/>
      <c r="BD7280" s="77"/>
      <c r="BF7280">
        <v>59</v>
      </c>
      <c r="BH7280" s="42"/>
      <c r="BI7280" s="74"/>
      <c r="BJ7280" s="77"/>
      <c r="BL7280" s="497">
        <v>57.019999999999996</v>
      </c>
      <c r="BN7280" s="42"/>
      <c r="BO7280" s="74"/>
      <c r="BP7280" s="77"/>
      <c r="BR7280" s="497">
        <v>37.94</v>
      </c>
      <c r="BT7280" s="42"/>
    </row>
    <row r="7281" spans="1:72" x14ac:dyDescent="0.25">
      <c r="A7281" s="90">
        <v>37194</v>
      </c>
      <c r="B7281" s="20">
        <v>0.625</v>
      </c>
      <c r="D7281">
        <v>60.08</v>
      </c>
      <c r="E7281" t="str">
        <f t="shared" si="262"/>
        <v>WEEKDAY</v>
      </c>
      <c r="F7281" t="e">
        <f t="shared" si="263"/>
        <v>#N/A</v>
      </c>
      <c r="G7281" s="74">
        <v>29524</v>
      </c>
      <c r="H7281" s="77">
        <v>0.625</v>
      </c>
      <c r="J7281">
        <v>48.56</v>
      </c>
      <c r="M7281" s="74">
        <v>36463</v>
      </c>
      <c r="N7281" s="77">
        <v>0.625</v>
      </c>
      <c r="P7281">
        <v>64.400000000000006</v>
      </c>
      <c r="S7281" s="74">
        <v>37194</v>
      </c>
      <c r="T7281" s="77">
        <v>0.625</v>
      </c>
      <c r="V7281">
        <v>62.06</v>
      </c>
      <c r="X7281" s="42"/>
      <c r="AB7281">
        <v>57.9</v>
      </c>
      <c r="AC7281">
        <v>44.06</v>
      </c>
      <c r="AE7281" s="74"/>
      <c r="AF7281" s="77"/>
      <c r="AH7281" s="497">
        <v>39.200000000000003</v>
      </c>
      <c r="AJ7281" s="42"/>
      <c r="AK7281" s="74"/>
      <c r="AL7281" s="77"/>
      <c r="AN7281" s="497">
        <v>41</v>
      </c>
      <c r="AP7281" s="42"/>
      <c r="AQ7281" s="74"/>
      <c r="AR7281" s="77"/>
      <c r="AT7281" s="497">
        <v>50</v>
      </c>
      <c r="AV7281" s="42"/>
      <c r="AW7281" s="74"/>
      <c r="AX7281" s="77"/>
      <c r="BA7281" s="497">
        <v>41</v>
      </c>
      <c r="BB7281" s="42"/>
      <c r="BC7281" s="74"/>
      <c r="BD7281" s="77"/>
      <c r="BF7281">
        <v>60.08</v>
      </c>
      <c r="BH7281" s="42"/>
      <c r="BI7281" s="74"/>
      <c r="BJ7281" s="77"/>
      <c r="BL7281" s="497">
        <v>59</v>
      </c>
      <c r="BN7281" s="42"/>
      <c r="BO7281" s="74"/>
      <c r="BP7281" s="77"/>
      <c r="BR7281" s="497">
        <v>37.94</v>
      </c>
      <c r="BT7281" s="42"/>
    </row>
    <row r="7282" spans="1:72" x14ac:dyDescent="0.25">
      <c r="A7282" s="90">
        <v>37194</v>
      </c>
      <c r="B7282" s="20">
        <v>0.66666666666666663</v>
      </c>
      <c r="D7282">
        <v>60.08</v>
      </c>
      <c r="E7282" t="str">
        <f t="shared" si="262"/>
        <v>WEEKDAY</v>
      </c>
      <c r="F7282" t="e">
        <f t="shared" si="263"/>
        <v>#N/A</v>
      </c>
      <c r="G7282" s="74">
        <v>29524</v>
      </c>
      <c r="H7282" s="77">
        <v>0.66666666666666663</v>
      </c>
      <c r="J7282">
        <v>48.92</v>
      </c>
      <c r="M7282" s="74">
        <v>36463</v>
      </c>
      <c r="N7282" s="77">
        <v>0.66666666666666663</v>
      </c>
      <c r="P7282">
        <v>62.6</v>
      </c>
      <c r="S7282" s="74">
        <v>37194</v>
      </c>
      <c r="T7282" s="77">
        <v>0.66666666666666663</v>
      </c>
      <c r="V7282">
        <v>60.08</v>
      </c>
      <c r="X7282" s="42"/>
      <c r="AB7282">
        <v>57.6</v>
      </c>
      <c r="AC7282">
        <v>42.980000000000004</v>
      </c>
      <c r="AE7282" s="74"/>
      <c r="AF7282" s="77"/>
      <c r="AH7282" s="497">
        <v>39.200000000000003</v>
      </c>
      <c r="AJ7282" s="42"/>
      <c r="AK7282" s="74"/>
      <c r="AL7282" s="77"/>
      <c r="AN7282" s="497">
        <v>41</v>
      </c>
      <c r="AP7282" s="42"/>
      <c r="AQ7282" s="74"/>
      <c r="AR7282" s="77"/>
      <c r="AT7282" s="497">
        <v>48.019999999999996</v>
      </c>
      <c r="AV7282" s="42"/>
      <c r="AW7282" s="74"/>
      <c r="AX7282" s="77"/>
      <c r="BA7282" s="497">
        <v>41</v>
      </c>
      <c r="BB7282" s="42"/>
      <c r="BC7282" s="74"/>
      <c r="BD7282" s="77"/>
      <c r="BF7282">
        <v>60.08</v>
      </c>
      <c r="BH7282" s="42"/>
      <c r="BI7282" s="74"/>
      <c r="BJ7282" s="77"/>
      <c r="BL7282" s="497">
        <v>60.980000000000004</v>
      </c>
      <c r="BN7282" s="42"/>
      <c r="BO7282" s="74"/>
      <c r="BP7282" s="77"/>
      <c r="BR7282" s="497">
        <v>37.04</v>
      </c>
      <c r="BT7282" s="42"/>
    </row>
    <row r="7283" spans="1:72" x14ac:dyDescent="0.25">
      <c r="A7283" s="90">
        <v>37194</v>
      </c>
      <c r="B7283" s="20">
        <v>0.70833333333333337</v>
      </c>
      <c r="D7283">
        <v>57.92</v>
      </c>
      <c r="E7283" t="str">
        <f t="shared" si="262"/>
        <v>WEEKDAY</v>
      </c>
      <c r="F7283" t="e">
        <f t="shared" si="263"/>
        <v>#N/A</v>
      </c>
      <c r="G7283" s="74">
        <v>29524</v>
      </c>
      <c r="H7283" s="77">
        <v>0.70833333333333337</v>
      </c>
      <c r="J7283">
        <v>48.019999999999996</v>
      </c>
      <c r="M7283" s="74">
        <v>36463</v>
      </c>
      <c r="N7283" s="77">
        <v>0.70833333333333337</v>
      </c>
      <c r="P7283">
        <v>60.8</v>
      </c>
      <c r="S7283" s="74">
        <v>37194</v>
      </c>
      <c r="T7283" s="77">
        <v>0.70833333333333337</v>
      </c>
      <c r="V7283">
        <v>57.019999999999996</v>
      </c>
      <c r="X7283" s="42"/>
      <c r="AB7283">
        <v>56.7</v>
      </c>
      <c r="AC7283">
        <v>42.980000000000004</v>
      </c>
      <c r="AE7283" s="74"/>
      <c r="AF7283" s="77"/>
      <c r="AH7283" s="497">
        <v>37.4</v>
      </c>
      <c r="AJ7283" s="42"/>
      <c r="AK7283" s="74"/>
      <c r="AL7283" s="77"/>
      <c r="AN7283" s="497">
        <v>39.92</v>
      </c>
      <c r="AP7283" s="42"/>
      <c r="AQ7283" s="74"/>
      <c r="AR7283" s="77"/>
      <c r="AT7283" s="497">
        <v>46.04</v>
      </c>
      <c r="AV7283" s="42"/>
      <c r="AW7283" s="74"/>
      <c r="AX7283" s="77"/>
      <c r="BA7283" s="497">
        <v>39.92</v>
      </c>
      <c r="BB7283" s="42"/>
      <c r="BC7283" s="74"/>
      <c r="BD7283" s="77"/>
      <c r="BF7283">
        <v>57.92</v>
      </c>
      <c r="BH7283" s="42"/>
      <c r="BI7283" s="74"/>
      <c r="BJ7283" s="77"/>
      <c r="BL7283" s="497">
        <v>60.08</v>
      </c>
      <c r="BN7283" s="42"/>
      <c r="BO7283" s="74"/>
      <c r="BP7283" s="77"/>
      <c r="BR7283" s="497">
        <v>35.06</v>
      </c>
      <c r="BT7283" s="42"/>
    </row>
    <row r="7284" spans="1:72" x14ac:dyDescent="0.25">
      <c r="A7284" s="90">
        <v>37194</v>
      </c>
      <c r="B7284" s="20">
        <v>0.75</v>
      </c>
      <c r="D7284">
        <v>55.94</v>
      </c>
      <c r="E7284" t="str">
        <f t="shared" si="262"/>
        <v>WEEKDAY</v>
      </c>
      <c r="F7284" t="e">
        <f t="shared" si="263"/>
        <v>#N/A</v>
      </c>
      <c r="G7284" s="74">
        <v>29524</v>
      </c>
      <c r="H7284" s="77">
        <v>0.75</v>
      </c>
      <c r="J7284">
        <v>46.94</v>
      </c>
      <c r="M7284" s="74">
        <v>36463</v>
      </c>
      <c r="N7284" s="77">
        <v>0.75</v>
      </c>
      <c r="P7284">
        <v>55.400000000000006</v>
      </c>
      <c r="S7284" s="74">
        <v>37194</v>
      </c>
      <c r="T7284" s="77">
        <v>0.75</v>
      </c>
      <c r="V7284">
        <v>53.96</v>
      </c>
      <c r="X7284" s="42"/>
      <c r="AB7284">
        <v>55.3</v>
      </c>
      <c r="AC7284">
        <v>42.980000000000004</v>
      </c>
      <c r="AE7284" s="74"/>
      <c r="AF7284" s="77"/>
      <c r="AH7284" s="497">
        <v>37.4</v>
      </c>
      <c r="AJ7284" s="42"/>
      <c r="AK7284" s="74"/>
      <c r="AL7284" s="77"/>
      <c r="AN7284" s="497">
        <v>39.92</v>
      </c>
      <c r="AP7284" s="42"/>
      <c r="AQ7284" s="74"/>
      <c r="AR7284" s="77"/>
      <c r="AT7284" s="497">
        <v>42.980000000000004</v>
      </c>
      <c r="AV7284" s="42"/>
      <c r="AW7284" s="74"/>
      <c r="AX7284" s="77"/>
      <c r="BA7284" s="497">
        <v>39.92</v>
      </c>
      <c r="BB7284" s="42"/>
      <c r="BC7284" s="74"/>
      <c r="BD7284" s="77"/>
      <c r="BF7284">
        <v>53.06</v>
      </c>
      <c r="BH7284" s="42"/>
      <c r="BI7284" s="74"/>
      <c r="BJ7284" s="77"/>
      <c r="BL7284" s="497">
        <v>48.92</v>
      </c>
      <c r="BN7284" s="42"/>
      <c r="BO7284" s="74"/>
      <c r="BP7284" s="77"/>
      <c r="BR7284" s="497">
        <v>33.08</v>
      </c>
      <c r="BT7284" s="42"/>
    </row>
    <row r="7285" spans="1:72" x14ac:dyDescent="0.25">
      <c r="A7285" s="90">
        <v>37194</v>
      </c>
      <c r="B7285" s="20">
        <v>0.79166666666666663</v>
      </c>
      <c r="D7285">
        <v>53.96</v>
      </c>
      <c r="E7285" t="str">
        <f t="shared" si="262"/>
        <v>WEEKDAY</v>
      </c>
      <c r="F7285" t="e">
        <f t="shared" si="263"/>
        <v>#N/A</v>
      </c>
      <c r="G7285" s="74">
        <v>29524</v>
      </c>
      <c r="H7285" s="77">
        <v>0.79166666666666663</v>
      </c>
      <c r="J7285">
        <v>46.04</v>
      </c>
      <c r="M7285" s="74">
        <v>36463</v>
      </c>
      <c r="N7285" s="77">
        <v>0.79166666666666663</v>
      </c>
      <c r="P7285">
        <v>55.400000000000006</v>
      </c>
      <c r="S7285" s="74">
        <v>37194</v>
      </c>
      <c r="T7285" s="77">
        <v>0.79166666666666663</v>
      </c>
      <c r="V7285">
        <v>51.980000000000004</v>
      </c>
      <c r="X7285" s="42"/>
      <c r="AB7285">
        <v>54.4</v>
      </c>
      <c r="AC7285">
        <v>42.08</v>
      </c>
      <c r="AE7285" s="74"/>
      <c r="AF7285" s="77"/>
      <c r="AH7285" s="497">
        <v>37.4</v>
      </c>
      <c r="AJ7285" s="42"/>
      <c r="AK7285" s="74"/>
      <c r="AL7285" s="77"/>
      <c r="AN7285" s="497">
        <v>37.94</v>
      </c>
      <c r="AP7285" s="42"/>
      <c r="AQ7285" s="74"/>
      <c r="AR7285" s="77"/>
      <c r="AT7285" s="497">
        <v>39.92</v>
      </c>
      <c r="AV7285" s="42"/>
      <c r="AW7285" s="74"/>
      <c r="AX7285" s="77"/>
      <c r="BA7285" s="497">
        <v>39.019999999999996</v>
      </c>
      <c r="BB7285" s="42"/>
      <c r="BC7285" s="74"/>
      <c r="BD7285" s="77"/>
      <c r="BF7285">
        <v>51.980000000000004</v>
      </c>
      <c r="BH7285" s="42"/>
      <c r="BI7285" s="74"/>
      <c r="BJ7285" s="77"/>
      <c r="BL7285" s="497">
        <v>51.980000000000004</v>
      </c>
      <c r="BN7285" s="42"/>
      <c r="BO7285" s="74"/>
      <c r="BP7285" s="77"/>
      <c r="BR7285" s="497">
        <v>30.92</v>
      </c>
      <c r="BT7285" s="42"/>
    </row>
    <row r="7286" spans="1:72" x14ac:dyDescent="0.25">
      <c r="A7286" s="90">
        <v>37194</v>
      </c>
      <c r="B7286" s="20">
        <v>0.83333333333333337</v>
      </c>
      <c r="D7286">
        <v>53.06</v>
      </c>
      <c r="E7286" t="str">
        <f t="shared" si="262"/>
        <v>WEEKDAY</v>
      </c>
      <c r="F7286" t="e">
        <f t="shared" si="263"/>
        <v>#N/A</v>
      </c>
      <c r="G7286" s="74">
        <v>29524</v>
      </c>
      <c r="H7286" s="77">
        <v>0.83333333333333337</v>
      </c>
      <c r="J7286">
        <v>45.32</v>
      </c>
      <c r="M7286" s="74">
        <v>36463</v>
      </c>
      <c r="N7286" s="77">
        <v>0.83333333333333337</v>
      </c>
      <c r="P7286">
        <v>53.6</v>
      </c>
      <c r="S7286" s="74">
        <v>37194</v>
      </c>
      <c r="T7286" s="77">
        <v>0.83333333333333337</v>
      </c>
      <c r="V7286">
        <v>51.08</v>
      </c>
      <c r="X7286" s="42"/>
      <c r="AB7286">
        <v>53.8</v>
      </c>
      <c r="AC7286">
        <v>41</v>
      </c>
      <c r="AE7286" s="74"/>
      <c r="AF7286" s="77"/>
      <c r="AH7286" s="497">
        <v>37.4</v>
      </c>
      <c r="AJ7286" s="42"/>
      <c r="AK7286" s="74"/>
      <c r="AL7286" s="77"/>
      <c r="AN7286" s="497">
        <v>35.06</v>
      </c>
      <c r="AP7286" s="42"/>
      <c r="AQ7286" s="74"/>
      <c r="AR7286" s="77"/>
      <c r="AT7286" s="497">
        <v>35.96</v>
      </c>
      <c r="AV7286" s="42"/>
      <c r="AW7286" s="74"/>
      <c r="AX7286" s="77"/>
      <c r="BA7286" s="497">
        <v>37.94</v>
      </c>
      <c r="BB7286" s="42"/>
      <c r="BC7286" s="74"/>
      <c r="BD7286" s="77"/>
      <c r="BF7286">
        <v>48.92</v>
      </c>
      <c r="BH7286" s="42"/>
      <c r="BI7286" s="74"/>
      <c r="BJ7286" s="77"/>
      <c r="BL7286" s="497">
        <v>50</v>
      </c>
      <c r="BN7286" s="42"/>
      <c r="BO7286" s="74"/>
      <c r="BP7286" s="77"/>
      <c r="BR7286" s="497">
        <v>28.04</v>
      </c>
      <c r="BT7286" s="42"/>
    </row>
    <row r="7287" spans="1:72" x14ac:dyDescent="0.25">
      <c r="A7287" s="90">
        <v>37194</v>
      </c>
      <c r="B7287" s="20">
        <v>0.875</v>
      </c>
      <c r="D7287">
        <v>51.980000000000004</v>
      </c>
      <c r="E7287" t="str">
        <f t="shared" si="262"/>
        <v>WEEKDAY</v>
      </c>
      <c r="F7287" t="e">
        <f t="shared" si="263"/>
        <v>#N/A</v>
      </c>
      <c r="G7287" s="74">
        <v>29524</v>
      </c>
      <c r="H7287" s="77">
        <v>0.875</v>
      </c>
      <c r="J7287">
        <v>44.78</v>
      </c>
      <c r="M7287" s="74">
        <v>36463</v>
      </c>
      <c r="N7287" s="77">
        <v>0.875</v>
      </c>
      <c r="P7287">
        <v>55.22</v>
      </c>
      <c r="S7287" s="74">
        <v>37194</v>
      </c>
      <c r="T7287" s="77">
        <v>0.875</v>
      </c>
      <c r="V7287">
        <v>48.019999999999996</v>
      </c>
      <c r="X7287" s="42"/>
      <c r="AB7287">
        <v>53.2</v>
      </c>
      <c r="AC7287">
        <v>42.08</v>
      </c>
      <c r="AE7287" s="74"/>
      <c r="AF7287" s="77"/>
      <c r="AH7287" s="497">
        <v>35.6</v>
      </c>
      <c r="AJ7287" s="42"/>
      <c r="AK7287" s="74"/>
      <c r="AL7287" s="77"/>
      <c r="AN7287" s="497">
        <v>33.08</v>
      </c>
      <c r="AP7287" s="42"/>
      <c r="AQ7287" s="74"/>
      <c r="AR7287" s="77"/>
      <c r="AT7287" s="497">
        <v>35.96</v>
      </c>
      <c r="AV7287" s="42"/>
      <c r="AW7287" s="74"/>
      <c r="AX7287" s="77"/>
      <c r="BA7287" s="497">
        <v>37.04</v>
      </c>
      <c r="BB7287" s="42"/>
      <c r="BC7287" s="74"/>
      <c r="BD7287" s="77"/>
      <c r="BF7287">
        <v>48.019999999999996</v>
      </c>
      <c r="BH7287" s="42"/>
      <c r="BI7287" s="74"/>
      <c r="BJ7287" s="77"/>
      <c r="BL7287" s="497">
        <v>48.92</v>
      </c>
      <c r="BN7287" s="42"/>
      <c r="BO7287" s="74"/>
      <c r="BP7287" s="77"/>
      <c r="BR7287" s="497">
        <v>28.04</v>
      </c>
      <c r="BT7287" s="42"/>
    </row>
    <row r="7288" spans="1:72" x14ac:dyDescent="0.25">
      <c r="A7288" s="90">
        <v>37194</v>
      </c>
      <c r="B7288" s="20">
        <v>0.91666666666666663</v>
      </c>
      <c r="D7288">
        <v>50</v>
      </c>
      <c r="E7288" t="str">
        <f t="shared" si="262"/>
        <v>WEEKDAY</v>
      </c>
      <c r="F7288" t="e">
        <f t="shared" si="263"/>
        <v>#N/A</v>
      </c>
      <c r="G7288" s="74">
        <v>29524</v>
      </c>
      <c r="H7288" s="77">
        <v>0.91666666666666663</v>
      </c>
      <c r="J7288">
        <v>44.06</v>
      </c>
      <c r="M7288" s="74">
        <v>36463</v>
      </c>
      <c r="N7288" s="77">
        <v>0.91666666666666663</v>
      </c>
      <c r="P7288">
        <v>57.2</v>
      </c>
      <c r="S7288" s="74">
        <v>37194</v>
      </c>
      <c r="T7288" s="77">
        <v>0.91666666666666663</v>
      </c>
      <c r="V7288">
        <v>46.94</v>
      </c>
      <c r="X7288" s="42"/>
      <c r="AB7288">
        <v>52.5</v>
      </c>
      <c r="AC7288">
        <v>42.08</v>
      </c>
      <c r="AE7288" s="74"/>
      <c r="AF7288" s="77"/>
      <c r="AH7288" s="497">
        <v>35.6</v>
      </c>
      <c r="AJ7288" s="42"/>
      <c r="AK7288" s="74"/>
      <c r="AL7288" s="77"/>
      <c r="AN7288" s="497">
        <v>33.08</v>
      </c>
      <c r="AP7288" s="42"/>
      <c r="AQ7288" s="74"/>
      <c r="AR7288" s="77"/>
      <c r="AT7288" s="497">
        <v>33.08</v>
      </c>
      <c r="AV7288" s="42"/>
      <c r="AW7288" s="74"/>
      <c r="AX7288" s="77"/>
      <c r="BA7288" s="497">
        <v>35.06</v>
      </c>
      <c r="BB7288" s="42"/>
      <c r="BC7288" s="74"/>
      <c r="BD7288" s="77"/>
      <c r="BF7288">
        <v>48.92</v>
      </c>
      <c r="BH7288" s="42"/>
      <c r="BI7288" s="74"/>
      <c r="BJ7288" s="77"/>
      <c r="BL7288" s="497">
        <v>50</v>
      </c>
      <c r="BN7288" s="42"/>
      <c r="BO7288" s="74"/>
      <c r="BP7288" s="77"/>
      <c r="BR7288" s="497">
        <v>26.060000000000002</v>
      </c>
      <c r="BT7288" s="42"/>
    </row>
    <row r="7289" spans="1:72" x14ac:dyDescent="0.25">
      <c r="A7289" s="90">
        <v>37194</v>
      </c>
      <c r="B7289" s="20">
        <v>0.95833333333333337</v>
      </c>
      <c r="D7289">
        <v>48.92</v>
      </c>
      <c r="E7289" t="str">
        <f t="shared" si="262"/>
        <v>WEEKDAY</v>
      </c>
      <c r="F7289" t="e">
        <f t="shared" si="263"/>
        <v>#N/A</v>
      </c>
      <c r="G7289" s="74">
        <v>29524</v>
      </c>
      <c r="H7289" s="77">
        <v>0.95833333333333337</v>
      </c>
      <c r="J7289">
        <v>43.34</v>
      </c>
      <c r="M7289" s="74">
        <v>36463</v>
      </c>
      <c r="N7289" s="77">
        <v>0.95833333333333337</v>
      </c>
      <c r="P7289">
        <v>55.400000000000006</v>
      </c>
      <c r="S7289" s="74">
        <v>37194</v>
      </c>
      <c r="T7289" s="77">
        <v>0.95833333333333337</v>
      </c>
      <c r="V7289">
        <v>46.04</v>
      </c>
      <c r="X7289" s="42"/>
      <c r="AB7289">
        <v>52</v>
      </c>
      <c r="AC7289">
        <v>42.08</v>
      </c>
      <c r="AE7289" s="74"/>
      <c r="AF7289" s="77"/>
      <c r="AH7289" s="497">
        <v>35.6</v>
      </c>
      <c r="AJ7289" s="42"/>
      <c r="AK7289" s="74"/>
      <c r="AL7289" s="77"/>
      <c r="AN7289" s="497">
        <v>33.979999999999997</v>
      </c>
      <c r="AP7289" s="42"/>
      <c r="AQ7289" s="74"/>
      <c r="AR7289" s="77"/>
      <c r="AT7289" s="497">
        <v>32</v>
      </c>
      <c r="AV7289" s="42"/>
      <c r="AW7289" s="74"/>
      <c r="AX7289" s="77"/>
      <c r="BA7289" s="497">
        <v>33.08</v>
      </c>
      <c r="BB7289" s="42"/>
      <c r="BC7289" s="74"/>
      <c r="BD7289" s="77"/>
      <c r="BF7289">
        <v>50</v>
      </c>
      <c r="BH7289" s="42"/>
      <c r="BI7289" s="74"/>
      <c r="BJ7289" s="77"/>
      <c r="BL7289" s="497">
        <v>48.92</v>
      </c>
      <c r="BN7289" s="42"/>
      <c r="BO7289" s="74"/>
      <c r="BP7289" s="77"/>
      <c r="BR7289" s="497">
        <v>24.98</v>
      </c>
      <c r="BT7289" s="42"/>
    </row>
    <row r="7290" spans="1:72" x14ac:dyDescent="0.25">
      <c r="A7290" s="90">
        <v>37194</v>
      </c>
      <c r="B7290" s="20">
        <v>1</v>
      </c>
      <c r="D7290">
        <v>48.019999999999996</v>
      </c>
      <c r="E7290" t="str">
        <f t="shared" si="262"/>
        <v>WEEKDAY</v>
      </c>
      <c r="F7290" t="e">
        <f t="shared" si="263"/>
        <v>#N/A</v>
      </c>
      <c r="G7290" s="74">
        <v>29524</v>
      </c>
      <c r="H7290" s="77">
        <v>1</v>
      </c>
      <c r="J7290">
        <v>42.8</v>
      </c>
      <c r="M7290" s="74">
        <v>36463</v>
      </c>
      <c r="N7290" s="80">
        <v>1</v>
      </c>
      <c r="P7290">
        <v>56.3</v>
      </c>
      <c r="S7290" s="74">
        <v>37194</v>
      </c>
      <c r="T7290" s="80">
        <v>1</v>
      </c>
      <c r="V7290">
        <v>44.96</v>
      </c>
      <c r="X7290" s="42"/>
      <c r="AB7290">
        <v>51.3</v>
      </c>
      <c r="AC7290">
        <v>42.980000000000004</v>
      </c>
      <c r="AE7290" s="74"/>
      <c r="AF7290" s="80"/>
      <c r="AH7290" s="497">
        <v>35.6</v>
      </c>
      <c r="AJ7290" s="42"/>
      <c r="AK7290" s="74"/>
      <c r="AL7290" s="80"/>
      <c r="AN7290" s="497">
        <v>32</v>
      </c>
      <c r="AP7290" s="42"/>
      <c r="AQ7290" s="74"/>
      <c r="AR7290" s="80"/>
      <c r="AT7290" s="497">
        <v>30.02</v>
      </c>
      <c r="AV7290" s="42"/>
      <c r="AW7290" s="74"/>
      <c r="AX7290" s="80"/>
      <c r="BA7290" s="497">
        <v>30.92</v>
      </c>
      <c r="BB7290" s="42"/>
      <c r="BC7290" s="74"/>
      <c r="BD7290" s="80"/>
      <c r="BF7290">
        <v>50</v>
      </c>
      <c r="BH7290" s="42"/>
      <c r="BI7290" s="74"/>
      <c r="BJ7290" s="80"/>
      <c r="BL7290" s="497">
        <v>48.92</v>
      </c>
      <c r="BN7290" s="42"/>
      <c r="BO7290" s="74"/>
      <c r="BP7290" s="80"/>
      <c r="BR7290" s="497">
        <v>24.08</v>
      </c>
      <c r="BT7290" s="42"/>
    </row>
    <row r="7291" spans="1:72" x14ac:dyDescent="0.25">
      <c r="A7291" s="90">
        <v>37195</v>
      </c>
      <c r="B7291" s="20">
        <v>4.1666666666666664E-2</v>
      </c>
      <c r="D7291">
        <v>46.94</v>
      </c>
      <c r="E7291" t="str">
        <f t="shared" si="262"/>
        <v>WEEKDAY</v>
      </c>
      <c r="F7291" t="e">
        <f t="shared" si="263"/>
        <v>#N/A</v>
      </c>
      <c r="G7291" s="74">
        <v>29525</v>
      </c>
      <c r="H7291" s="77">
        <v>4.1666666666666664E-2</v>
      </c>
      <c r="J7291">
        <v>42.08</v>
      </c>
      <c r="M7291" s="74">
        <v>36464</v>
      </c>
      <c r="N7291" s="77">
        <v>4.1666666666666664E-2</v>
      </c>
      <c r="P7291">
        <v>57.2</v>
      </c>
      <c r="S7291" s="74">
        <v>37195</v>
      </c>
      <c r="T7291" s="77">
        <v>4.1666666666666664E-2</v>
      </c>
      <c r="V7291">
        <v>44.06</v>
      </c>
      <c r="X7291" s="42"/>
      <c r="AB7291">
        <v>50.8</v>
      </c>
      <c r="AC7291">
        <v>41</v>
      </c>
      <c r="AE7291" s="74"/>
      <c r="AF7291" s="77"/>
      <c r="AH7291" s="497">
        <v>33.799999999999997</v>
      </c>
      <c r="AJ7291" s="42"/>
      <c r="AK7291" s="74"/>
      <c r="AL7291" s="77"/>
      <c r="AN7291" s="497">
        <v>33.08</v>
      </c>
      <c r="AP7291" s="42"/>
      <c r="AQ7291" s="74"/>
      <c r="AR7291" s="77"/>
      <c r="AT7291" s="497">
        <v>28.94</v>
      </c>
      <c r="AV7291" s="42"/>
      <c r="AW7291" s="74"/>
      <c r="AX7291" s="77"/>
      <c r="BA7291" s="497">
        <v>30.92</v>
      </c>
      <c r="BB7291" s="42"/>
      <c r="BC7291" s="74"/>
      <c r="BD7291" s="77"/>
      <c r="BF7291">
        <v>50</v>
      </c>
      <c r="BH7291" s="42"/>
      <c r="BI7291" s="74"/>
      <c r="BJ7291" s="77"/>
      <c r="BL7291" s="497">
        <v>48.019999999999996</v>
      </c>
      <c r="BN7291" s="42"/>
      <c r="BO7291" s="74"/>
      <c r="BP7291" s="77"/>
      <c r="BR7291" s="497">
        <v>23</v>
      </c>
      <c r="BT7291" s="42"/>
    </row>
    <row r="7292" spans="1:72" x14ac:dyDescent="0.25">
      <c r="A7292" s="90">
        <v>37195</v>
      </c>
      <c r="B7292" s="20">
        <v>8.3333333333333329E-2</v>
      </c>
      <c r="D7292">
        <v>46.04</v>
      </c>
      <c r="E7292" t="str">
        <f t="shared" si="262"/>
        <v>WEEKDAY</v>
      </c>
      <c r="F7292" t="e">
        <f t="shared" si="263"/>
        <v>#N/A</v>
      </c>
      <c r="G7292" s="74">
        <v>29525</v>
      </c>
      <c r="H7292" s="77">
        <v>8.3333333333333329E-2</v>
      </c>
      <c r="J7292">
        <v>41.72</v>
      </c>
      <c r="M7292" s="74">
        <v>36464</v>
      </c>
      <c r="N7292" s="77">
        <v>8.3333333333333329E-2</v>
      </c>
      <c r="P7292">
        <v>57.2</v>
      </c>
      <c r="S7292" s="74">
        <v>37195</v>
      </c>
      <c r="T7292" s="77">
        <v>8.3333333333333329E-2</v>
      </c>
      <c r="V7292">
        <v>39.92</v>
      </c>
      <c r="X7292" s="42"/>
      <c r="AB7292">
        <v>50.2</v>
      </c>
      <c r="AC7292">
        <v>41</v>
      </c>
      <c r="AE7292" s="74"/>
      <c r="AF7292" s="77"/>
      <c r="AH7292" s="497">
        <v>33.799999999999997</v>
      </c>
      <c r="AJ7292" s="42"/>
      <c r="AK7292" s="74"/>
      <c r="AL7292" s="77"/>
      <c r="AN7292" s="497">
        <v>30.92</v>
      </c>
      <c r="AP7292" s="42"/>
      <c r="AQ7292" s="74"/>
      <c r="AR7292" s="77"/>
      <c r="AT7292" s="497">
        <v>30.02</v>
      </c>
      <c r="AV7292" s="42"/>
      <c r="AW7292" s="74"/>
      <c r="AX7292" s="77"/>
      <c r="BA7292" s="497">
        <v>30.02</v>
      </c>
      <c r="BB7292" s="42"/>
      <c r="BC7292" s="74"/>
      <c r="BD7292" s="77"/>
      <c r="BF7292">
        <v>48.92</v>
      </c>
      <c r="BH7292" s="42"/>
      <c r="BI7292" s="74"/>
      <c r="BJ7292" s="77"/>
      <c r="BL7292" s="497">
        <v>48.019999999999996</v>
      </c>
      <c r="BN7292" s="42"/>
      <c r="BO7292" s="74"/>
      <c r="BP7292" s="77"/>
      <c r="BR7292" s="497">
        <v>21.92</v>
      </c>
      <c r="BT7292" s="42"/>
    </row>
    <row r="7293" spans="1:72" x14ac:dyDescent="0.25">
      <c r="A7293" s="90">
        <v>37195</v>
      </c>
      <c r="B7293" s="20">
        <v>0.125</v>
      </c>
      <c r="D7293">
        <v>44.96</v>
      </c>
      <c r="E7293" t="str">
        <f t="shared" si="262"/>
        <v>WEEKDAY</v>
      </c>
      <c r="F7293" t="e">
        <f t="shared" si="263"/>
        <v>#N/A</v>
      </c>
      <c r="G7293" s="74">
        <v>29525</v>
      </c>
      <c r="H7293" s="77">
        <v>0.125</v>
      </c>
      <c r="J7293">
        <v>41.36</v>
      </c>
      <c r="M7293" s="74">
        <v>36464</v>
      </c>
      <c r="N7293" s="77">
        <v>0.125</v>
      </c>
      <c r="P7293">
        <v>57.2</v>
      </c>
      <c r="S7293" s="74">
        <v>37195</v>
      </c>
      <c r="T7293" s="77">
        <v>0.125</v>
      </c>
      <c r="V7293">
        <v>41</v>
      </c>
      <c r="X7293" s="42"/>
      <c r="AB7293">
        <v>49.6</v>
      </c>
      <c r="AC7293">
        <v>42.980000000000004</v>
      </c>
      <c r="AE7293" s="74"/>
      <c r="AF7293" s="77"/>
      <c r="AH7293" s="497">
        <v>32</v>
      </c>
      <c r="AJ7293" s="42"/>
      <c r="AK7293" s="74"/>
      <c r="AL7293" s="77"/>
      <c r="AN7293" s="497">
        <v>28.94</v>
      </c>
      <c r="AP7293" s="42"/>
      <c r="AQ7293" s="74"/>
      <c r="AR7293" s="77"/>
      <c r="AT7293" s="497">
        <v>26.96</v>
      </c>
      <c r="AV7293" s="42"/>
      <c r="AW7293" s="74"/>
      <c r="AX7293" s="77"/>
      <c r="BA7293" s="497">
        <v>28.04</v>
      </c>
      <c r="BB7293" s="42"/>
      <c r="BC7293" s="74"/>
      <c r="BD7293" s="77"/>
      <c r="BF7293">
        <v>48.92</v>
      </c>
      <c r="BH7293" s="42"/>
      <c r="BI7293" s="74"/>
      <c r="BJ7293" s="77"/>
      <c r="BL7293" s="497">
        <v>48.019999999999996</v>
      </c>
      <c r="BN7293" s="42"/>
      <c r="BO7293" s="74"/>
      <c r="BP7293" s="77"/>
      <c r="BR7293" s="497">
        <v>21.02</v>
      </c>
      <c r="BT7293" s="42"/>
    </row>
    <row r="7294" spans="1:72" x14ac:dyDescent="0.25">
      <c r="A7294" s="90">
        <v>37195</v>
      </c>
      <c r="B7294" s="20">
        <v>0.16666666666666666</v>
      </c>
      <c r="D7294">
        <v>44.06</v>
      </c>
      <c r="E7294" t="str">
        <f t="shared" si="262"/>
        <v>WEEKDAY</v>
      </c>
      <c r="F7294" t="e">
        <f t="shared" si="263"/>
        <v>#N/A</v>
      </c>
      <c r="G7294" s="74">
        <v>29525</v>
      </c>
      <c r="H7294" s="77">
        <v>0.16666666666666666</v>
      </c>
      <c r="J7294">
        <v>41</v>
      </c>
      <c r="M7294" s="74">
        <v>36464</v>
      </c>
      <c r="N7294" s="77">
        <v>0.16666666666666666</v>
      </c>
      <c r="P7294">
        <v>55.400000000000006</v>
      </c>
      <c r="S7294" s="74">
        <v>37195</v>
      </c>
      <c r="T7294" s="77">
        <v>0.16666666666666666</v>
      </c>
      <c r="V7294">
        <v>39.92</v>
      </c>
      <c r="X7294" s="42"/>
      <c r="AB7294">
        <v>49.2</v>
      </c>
      <c r="AC7294">
        <v>44.06</v>
      </c>
      <c r="AE7294" s="74"/>
      <c r="AF7294" s="77"/>
      <c r="AH7294" s="497">
        <v>30.2</v>
      </c>
      <c r="AJ7294" s="42"/>
      <c r="AK7294" s="74"/>
      <c r="AL7294" s="77"/>
      <c r="AN7294" s="497">
        <v>28.94</v>
      </c>
      <c r="AP7294" s="42"/>
      <c r="AQ7294" s="74"/>
      <c r="AR7294" s="77"/>
      <c r="AT7294" s="497">
        <v>28.94</v>
      </c>
      <c r="AV7294" s="42"/>
      <c r="AW7294" s="74"/>
      <c r="AX7294" s="77"/>
      <c r="BA7294" s="497">
        <v>28.04</v>
      </c>
      <c r="BB7294" s="42"/>
      <c r="BC7294" s="74"/>
      <c r="BD7294" s="77"/>
      <c r="BF7294">
        <v>48.92</v>
      </c>
      <c r="BH7294" s="42"/>
      <c r="BI7294" s="74"/>
      <c r="BJ7294" s="77"/>
      <c r="BL7294" s="497">
        <v>48.019999999999996</v>
      </c>
      <c r="BN7294" s="42"/>
      <c r="BO7294" s="74"/>
      <c r="BP7294" s="77"/>
      <c r="BR7294" s="497">
        <v>21.02</v>
      </c>
      <c r="BT7294" s="42"/>
    </row>
    <row r="7295" spans="1:72" x14ac:dyDescent="0.25">
      <c r="A7295" s="90">
        <v>37195</v>
      </c>
      <c r="B7295" s="20">
        <v>0.20833333333333334</v>
      </c>
      <c r="D7295">
        <v>44.06</v>
      </c>
      <c r="E7295" t="str">
        <f t="shared" si="262"/>
        <v>WEEKDAY</v>
      </c>
      <c r="F7295" t="e">
        <f t="shared" si="263"/>
        <v>#N/A</v>
      </c>
      <c r="G7295" s="74">
        <v>29525</v>
      </c>
      <c r="H7295" s="77">
        <v>0.20833333333333334</v>
      </c>
      <c r="J7295">
        <v>41.36</v>
      </c>
      <c r="M7295" s="74">
        <v>36464</v>
      </c>
      <c r="N7295" s="77">
        <v>0.20833333333333334</v>
      </c>
      <c r="P7295">
        <v>55.400000000000006</v>
      </c>
      <c r="S7295" s="74">
        <v>37195</v>
      </c>
      <c r="T7295" s="77">
        <v>0.20833333333333334</v>
      </c>
      <c r="V7295">
        <v>39.92</v>
      </c>
      <c r="X7295" s="42"/>
      <c r="AB7295">
        <v>48.8</v>
      </c>
      <c r="AC7295">
        <v>44.06</v>
      </c>
      <c r="AE7295" s="74"/>
      <c r="AF7295" s="77"/>
      <c r="AH7295" s="497">
        <v>30.2</v>
      </c>
      <c r="AJ7295" s="42"/>
      <c r="AK7295" s="74"/>
      <c r="AL7295" s="77"/>
      <c r="AN7295" s="497">
        <v>28.04</v>
      </c>
      <c r="AP7295" s="42"/>
      <c r="AQ7295" s="74"/>
      <c r="AR7295" s="77"/>
      <c r="AT7295" s="497">
        <v>24.98</v>
      </c>
      <c r="AV7295" s="42"/>
      <c r="AW7295" s="74"/>
      <c r="AX7295" s="77"/>
      <c r="BA7295" s="497">
        <v>26.96</v>
      </c>
      <c r="BB7295" s="42"/>
      <c r="BC7295" s="74"/>
      <c r="BD7295" s="77"/>
      <c r="BF7295">
        <v>48.019999999999996</v>
      </c>
      <c r="BH7295" s="42"/>
      <c r="BI7295" s="74"/>
      <c r="BJ7295" s="77"/>
      <c r="BL7295" s="497">
        <v>48.019999999999996</v>
      </c>
      <c r="BN7295" s="42"/>
      <c r="BO7295" s="74"/>
      <c r="BP7295" s="77"/>
      <c r="BR7295" s="497">
        <v>19.939999999999998</v>
      </c>
      <c r="BT7295" s="42"/>
    </row>
    <row r="7296" spans="1:72" x14ac:dyDescent="0.25">
      <c r="A7296" s="90">
        <v>37195</v>
      </c>
      <c r="B7296" s="20">
        <v>0.25</v>
      </c>
      <c r="D7296">
        <v>44.96</v>
      </c>
      <c r="E7296" t="str">
        <f t="shared" si="262"/>
        <v>WEEKDAY</v>
      </c>
      <c r="F7296" t="e">
        <f t="shared" si="263"/>
        <v>#N/A</v>
      </c>
      <c r="G7296" s="74">
        <v>29525</v>
      </c>
      <c r="H7296" s="77">
        <v>0.25</v>
      </c>
      <c r="J7296">
        <v>41.72</v>
      </c>
      <c r="M7296" s="74">
        <v>36464</v>
      </c>
      <c r="N7296" s="77">
        <v>0.25</v>
      </c>
      <c r="P7296">
        <v>55.400000000000006</v>
      </c>
      <c r="S7296" s="74">
        <v>37195</v>
      </c>
      <c r="T7296" s="77">
        <v>0.25</v>
      </c>
      <c r="V7296">
        <v>42.08</v>
      </c>
      <c r="X7296" s="42"/>
      <c r="AB7296">
        <v>48.6</v>
      </c>
      <c r="AC7296">
        <v>44.06</v>
      </c>
      <c r="AE7296" s="74"/>
      <c r="AF7296" s="77"/>
      <c r="AH7296" s="497">
        <v>28.4</v>
      </c>
      <c r="AJ7296" s="42"/>
      <c r="AK7296" s="74"/>
      <c r="AL7296" s="77"/>
      <c r="AN7296" s="497">
        <v>26.060000000000002</v>
      </c>
      <c r="AP7296" s="42"/>
      <c r="AQ7296" s="74"/>
      <c r="AR7296" s="77"/>
      <c r="AT7296" s="497">
        <v>26.96</v>
      </c>
      <c r="AV7296" s="42"/>
      <c r="AW7296" s="74"/>
      <c r="AX7296" s="77"/>
      <c r="BA7296" s="497">
        <v>26.96</v>
      </c>
      <c r="BB7296" s="42"/>
      <c r="BC7296" s="74"/>
      <c r="BD7296" s="77"/>
      <c r="BF7296">
        <v>48.019999999999996</v>
      </c>
      <c r="BH7296" s="42"/>
      <c r="BI7296" s="74"/>
      <c r="BJ7296" s="77"/>
      <c r="BL7296" s="497">
        <v>46.94</v>
      </c>
      <c r="BN7296" s="42"/>
      <c r="BO7296" s="74"/>
      <c r="BP7296" s="77"/>
      <c r="BR7296" s="497">
        <v>19.04</v>
      </c>
      <c r="BT7296" s="42"/>
    </row>
    <row r="7297" spans="1:72" x14ac:dyDescent="0.25">
      <c r="A7297" s="90">
        <v>37195</v>
      </c>
      <c r="B7297" s="20">
        <v>0.29166666666666669</v>
      </c>
      <c r="D7297">
        <v>46.04</v>
      </c>
      <c r="E7297" t="str">
        <f t="shared" si="262"/>
        <v>WEEKDAY</v>
      </c>
      <c r="F7297" t="e">
        <f t="shared" si="263"/>
        <v>#N/A</v>
      </c>
      <c r="G7297" s="74">
        <v>29525</v>
      </c>
      <c r="H7297" s="77">
        <v>0.29166666666666669</v>
      </c>
      <c r="J7297">
        <v>42.08</v>
      </c>
      <c r="M7297" s="74">
        <v>36464</v>
      </c>
      <c r="N7297" s="77">
        <v>0.29166666666666669</v>
      </c>
      <c r="P7297">
        <v>55.040000000000006</v>
      </c>
      <c r="S7297" s="74">
        <v>37195</v>
      </c>
      <c r="T7297" s="77">
        <v>0.29166666666666669</v>
      </c>
      <c r="V7297">
        <v>42.980000000000004</v>
      </c>
      <c r="X7297" s="42"/>
      <c r="AB7297">
        <v>48.4</v>
      </c>
      <c r="AC7297">
        <v>44.96</v>
      </c>
      <c r="AE7297" s="74"/>
      <c r="AF7297" s="77"/>
      <c r="AH7297" s="497">
        <v>28.4</v>
      </c>
      <c r="AJ7297" s="42"/>
      <c r="AK7297" s="74"/>
      <c r="AL7297" s="77"/>
      <c r="AN7297" s="497">
        <v>26.96</v>
      </c>
      <c r="AP7297" s="42"/>
      <c r="AQ7297" s="74"/>
      <c r="AR7297" s="77"/>
      <c r="AT7297" s="497">
        <v>24.08</v>
      </c>
      <c r="AV7297" s="42"/>
      <c r="AW7297" s="74"/>
      <c r="AX7297" s="77"/>
      <c r="BA7297" s="497">
        <v>24.98</v>
      </c>
      <c r="BB7297" s="42"/>
      <c r="BC7297" s="74"/>
      <c r="BD7297" s="77"/>
      <c r="BF7297">
        <v>46.94</v>
      </c>
      <c r="BH7297" s="42"/>
      <c r="BI7297" s="74"/>
      <c r="BJ7297" s="77"/>
      <c r="BL7297" s="497">
        <v>46.94</v>
      </c>
      <c r="BN7297" s="42"/>
      <c r="BO7297" s="74"/>
      <c r="BP7297" s="77"/>
      <c r="BR7297" s="497">
        <v>19.939999999999998</v>
      </c>
      <c r="BT7297" s="42"/>
    </row>
    <row r="7298" spans="1:72" x14ac:dyDescent="0.25">
      <c r="A7298" s="90">
        <v>37195</v>
      </c>
      <c r="B7298" s="20">
        <v>0.33333333333333331</v>
      </c>
      <c r="D7298">
        <v>44.96</v>
      </c>
      <c r="E7298" t="str">
        <f t="shared" si="262"/>
        <v>WEEKDAY</v>
      </c>
      <c r="F7298" t="e">
        <f t="shared" si="263"/>
        <v>#N/A</v>
      </c>
      <c r="G7298" s="74">
        <v>29525</v>
      </c>
      <c r="H7298" s="77">
        <v>0.33333333333333331</v>
      </c>
      <c r="J7298">
        <v>44.06</v>
      </c>
      <c r="M7298" s="74">
        <v>36464</v>
      </c>
      <c r="N7298" s="77">
        <v>0.33333333333333331</v>
      </c>
      <c r="P7298">
        <v>57.2</v>
      </c>
      <c r="S7298" s="74">
        <v>37195</v>
      </c>
      <c r="T7298" s="77">
        <v>0.33333333333333331</v>
      </c>
      <c r="V7298">
        <v>44.96</v>
      </c>
      <c r="X7298" s="42"/>
      <c r="AB7298">
        <v>48.7</v>
      </c>
      <c r="AC7298">
        <v>46.04</v>
      </c>
      <c r="AE7298" s="74"/>
      <c r="AF7298" s="77"/>
      <c r="AH7298" s="497">
        <v>30.2</v>
      </c>
      <c r="AJ7298" s="42"/>
      <c r="AK7298" s="74"/>
      <c r="AL7298" s="77"/>
      <c r="AN7298" s="497">
        <v>30.02</v>
      </c>
      <c r="AP7298" s="42"/>
      <c r="AQ7298" s="74"/>
      <c r="AR7298" s="77"/>
      <c r="AT7298" s="497">
        <v>28.94</v>
      </c>
      <c r="AV7298" s="42"/>
      <c r="AW7298" s="74"/>
      <c r="AX7298" s="77"/>
      <c r="BA7298" s="497">
        <v>30.02</v>
      </c>
      <c r="BB7298" s="42"/>
      <c r="BC7298" s="74"/>
      <c r="BD7298" s="77"/>
      <c r="BF7298">
        <v>48.92</v>
      </c>
      <c r="BH7298" s="42"/>
      <c r="BI7298" s="74"/>
      <c r="BJ7298" s="77"/>
      <c r="BL7298" s="497">
        <v>48.019999999999996</v>
      </c>
      <c r="BN7298" s="42"/>
      <c r="BO7298" s="74"/>
      <c r="BP7298" s="77"/>
      <c r="BR7298" s="497">
        <v>26.060000000000002</v>
      </c>
      <c r="BT7298" s="42"/>
    </row>
    <row r="7299" spans="1:72" x14ac:dyDescent="0.25">
      <c r="A7299" s="90">
        <v>37195</v>
      </c>
      <c r="B7299" s="20">
        <v>0.375</v>
      </c>
      <c r="D7299">
        <v>46.04</v>
      </c>
      <c r="E7299" t="str">
        <f t="shared" si="262"/>
        <v>WEEKDAY</v>
      </c>
      <c r="F7299" t="e">
        <f t="shared" si="263"/>
        <v>#N/A</v>
      </c>
      <c r="G7299" s="74">
        <v>29525</v>
      </c>
      <c r="H7299" s="77">
        <v>0.375</v>
      </c>
      <c r="J7299">
        <v>46.04</v>
      </c>
      <c r="M7299" s="74">
        <v>36464</v>
      </c>
      <c r="N7299" s="77">
        <v>0.375</v>
      </c>
      <c r="P7299">
        <v>59</v>
      </c>
      <c r="S7299" s="74">
        <v>37195</v>
      </c>
      <c r="T7299" s="77">
        <v>0.375</v>
      </c>
      <c r="V7299">
        <v>46.94</v>
      </c>
      <c r="X7299" s="42"/>
      <c r="AB7299">
        <v>50.8</v>
      </c>
      <c r="AC7299">
        <v>46.04</v>
      </c>
      <c r="AE7299" s="74"/>
      <c r="AF7299" s="77"/>
      <c r="AH7299" s="497">
        <v>33.799999999999997</v>
      </c>
      <c r="AJ7299" s="42"/>
      <c r="AK7299" s="74"/>
      <c r="AL7299" s="77"/>
      <c r="AN7299" s="497">
        <v>33.08</v>
      </c>
      <c r="AP7299" s="42"/>
      <c r="AQ7299" s="74"/>
      <c r="AR7299" s="77"/>
      <c r="AT7299" s="497">
        <v>33.979999999999997</v>
      </c>
      <c r="AV7299" s="42"/>
      <c r="AW7299" s="74"/>
      <c r="AX7299" s="77"/>
      <c r="BA7299" s="497">
        <v>33.979999999999997</v>
      </c>
      <c r="BB7299" s="42"/>
      <c r="BC7299" s="74"/>
      <c r="BD7299" s="77"/>
      <c r="BF7299">
        <v>53.96</v>
      </c>
      <c r="BH7299" s="42"/>
      <c r="BI7299" s="74"/>
      <c r="BJ7299" s="77"/>
      <c r="BL7299" s="497">
        <v>53.06</v>
      </c>
      <c r="BN7299" s="42"/>
      <c r="BO7299" s="74"/>
      <c r="BP7299" s="77"/>
      <c r="BR7299" s="497">
        <v>30.02</v>
      </c>
      <c r="BT7299" s="42"/>
    </row>
    <row r="7300" spans="1:72" x14ac:dyDescent="0.25">
      <c r="A7300" s="90">
        <v>37195</v>
      </c>
      <c r="B7300" s="20">
        <v>0.41666666666666669</v>
      </c>
      <c r="D7300">
        <v>48.019999999999996</v>
      </c>
      <c r="E7300" t="str">
        <f t="shared" si="262"/>
        <v>WEEKDAY</v>
      </c>
      <c r="F7300" t="e">
        <f t="shared" si="263"/>
        <v>#N/A</v>
      </c>
      <c r="G7300" s="74">
        <v>29525</v>
      </c>
      <c r="H7300" s="77">
        <v>0.41666666666666669</v>
      </c>
      <c r="J7300">
        <v>48.019999999999996</v>
      </c>
      <c r="M7300" s="74">
        <v>36464</v>
      </c>
      <c r="N7300" s="77">
        <v>0.41666666666666669</v>
      </c>
      <c r="P7300">
        <v>60.8</v>
      </c>
      <c r="S7300" s="74">
        <v>37195</v>
      </c>
      <c r="T7300" s="77">
        <v>0.41666666666666669</v>
      </c>
      <c r="V7300">
        <v>48.92</v>
      </c>
      <c r="X7300" s="42"/>
      <c r="AB7300">
        <v>52.7</v>
      </c>
      <c r="AC7300">
        <v>48.019999999999996</v>
      </c>
      <c r="AE7300" s="74"/>
      <c r="AF7300" s="77"/>
      <c r="AH7300" s="497">
        <v>39.200000000000003</v>
      </c>
      <c r="AJ7300" s="42"/>
      <c r="AK7300" s="74"/>
      <c r="AL7300" s="77"/>
      <c r="AN7300" s="497">
        <v>37.94</v>
      </c>
      <c r="AP7300" s="42"/>
      <c r="AQ7300" s="74"/>
      <c r="AR7300" s="77"/>
      <c r="AT7300" s="497">
        <v>37.04</v>
      </c>
      <c r="AV7300" s="42"/>
      <c r="AW7300" s="74"/>
      <c r="AX7300" s="77"/>
      <c r="BA7300" s="497">
        <v>37.94</v>
      </c>
      <c r="BB7300" s="42"/>
      <c r="BC7300" s="74"/>
      <c r="BD7300" s="77"/>
      <c r="BF7300">
        <v>57.019999999999996</v>
      </c>
      <c r="BH7300" s="42"/>
      <c r="BI7300" s="74"/>
      <c r="BJ7300" s="77"/>
      <c r="BL7300" s="497">
        <v>57.019999999999996</v>
      </c>
      <c r="BN7300" s="42"/>
      <c r="BO7300" s="74"/>
      <c r="BP7300" s="77"/>
      <c r="BR7300" s="497">
        <v>35.06</v>
      </c>
      <c r="BT7300" s="42"/>
    </row>
    <row r="7301" spans="1:72" x14ac:dyDescent="0.25">
      <c r="A7301" s="90">
        <v>37195</v>
      </c>
      <c r="B7301" s="20">
        <v>0.45833333333333331</v>
      </c>
      <c r="D7301">
        <v>48.92</v>
      </c>
      <c r="E7301" t="str">
        <f t="shared" si="262"/>
        <v>WEEKDAY</v>
      </c>
      <c r="F7301" t="e">
        <f t="shared" si="263"/>
        <v>#N/A</v>
      </c>
      <c r="G7301" s="74">
        <v>29525</v>
      </c>
      <c r="H7301" s="77">
        <v>0.45833333333333331</v>
      </c>
      <c r="J7301">
        <v>50</v>
      </c>
      <c r="M7301" s="74">
        <v>36464</v>
      </c>
      <c r="N7301" s="77">
        <v>0.45833333333333331</v>
      </c>
      <c r="P7301">
        <v>64.580000000000013</v>
      </c>
      <c r="S7301" s="74">
        <v>37195</v>
      </c>
      <c r="T7301" s="77">
        <v>0.45833333333333331</v>
      </c>
      <c r="V7301">
        <v>50</v>
      </c>
      <c r="X7301" s="42"/>
      <c r="AB7301">
        <v>54.3</v>
      </c>
      <c r="AC7301">
        <v>48.92</v>
      </c>
      <c r="AE7301" s="74"/>
      <c r="AF7301" s="77"/>
      <c r="AH7301" s="497">
        <v>42.8</v>
      </c>
      <c r="AJ7301" s="42"/>
      <c r="AK7301" s="74"/>
      <c r="AL7301" s="77"/>
      <c r="AN7301" s="497">
        <v>39.92</v>
      </c>
      <c r="AP7301" s="42"/>
      <c r="AQ7301" s="74"/>
      <c r="AR7301" s="77"/>
      <c r="AT7301" s="497">
        <v>42.980000000000004</v>
      </c>
      <c r="AV7301" s="42"/>
      <c r="AW7301" s="74"/>
      <c r="AX7301" s="77"/>
      <c r="BA7301" s="497">
        <v>42.08</v>
      </c>
      <c r="BB7301" s="42"/>
      <c r="BC7301" s="74"/>
      <c r="BD7301" s="77"/>
      <c r="BF7301">
        <v>57.92</v>
      </c>
      <c r="BH7301" s="42"/>
      <c r="BI7301" s="74"/>
      <c r="BJ7301" s="77"/>
      <c r="BL7301" s="497">
        <v>62.06</v>
      </c>
      <c r="BN7301" s="42"/>
      <c r="BO7301" s="74"/>
      <c r="BP7301" s="77"/>
      <c r="BR7301" s="497">
        <v>37.94</v>
      </c>
      <c r="BT7301" s="42"/>
    </row>
    <row r="7302" spans="1:72" x14ac:dyDescent="0.25">
      <c r="A7302" s="90">
        <v>37195</v>
      </c>
      <c r="B7302" s="20">
        <v>0.5</v>
      </c>
      <c r="D7302">
        <v>50</v>
      </c>
      <c r="E7302" t="str">
        <f t="shared" si="262"/>
        <v>WEEKDAY</v>
      </c>
      <c r="F7302" t="e">
        <f t="shared" si="263"/>
        <v>#N/A</v>
      </c>
      <c r="G7302" s="74">
        <v>29525</v>
      </c>
      <c r="H7302" s="77">
        <v>0.5</v>
      </c>
      <c r="J7302">
        <v>51.980000000000004</v>
      </c>
      <c r="M7302" s="74">
        <v>36464</v>
      </c>
      <c r="N7302" s="77">
        <v>0.5</v>
      </c>
      <c r="P7302">
        <v>68</v>
      </c>
      <c r="S7302" s="74">
        <v>37195</v>
      </c>
      <c r="T7302" s="77">
        <v>0.5</v>
      </c>
      <c r="V7302">
        <v>51.08</v>
      </c>
      <c r="X7302" s="42"/>
      <c r="AB7302">
        <v>55.7</v>
      </c>
      <c r="AC7302">
        <v>48.92</v>
      </c>
      <c r="AE7302" s="74"/>
      <c r="AF7302" s="77"/>
      <c r="AH7302" s="497">
        <v>44.6</v>
      </c>
      <c r="AJ7302" s="42"/>
      <c r="AK7302" s="74"/>
      <c r="AL7302" s="77"/>
      <c r="AN7302" s="497">
        <v>44.96</v>
      </c>
      <c r="AP7302" s="42"/>
      <c r="AQ7302" s="74"/>
      <c r="AR7302" s="77"/>
      <c r="AT7302" s="497">
        <v>44.06</v>
      </c>
      <c r="AV7302" s="42"/>
      <c r="AW7302" s="74"/>
      <c r="AX7302" s="77"/>
      <c r="BA7302" s="497">
        <v>44.96</v>
      </c>
      <c r="BB7302" s="42"/>
      <c r="BC7302" s="74"/>
      <c r="BD7302" s="77"/>
      <c r="BF7302">
        <v>59</v>
      </c>
      <c r="BH7302" s="42"/>
      <c r="BI7302" s="74"/>
      <c r="BJ7302" s="77"/>
      <c r="BL7302" s="497">
        <v>64.94</v>
      </c>
      <c r="BN7302" s="42"/>
      <c r="BO7302" s="74"/>
      <c r="BP7302" s="77"/>
      <c r="BR7302" s="497">
        <v>41</v>
      </c>
      <c r="BT7302" s="42"/>
    </row>
    <row r="7303" spans="1:72" x14ac:dyDescent="0.25">
      <c r="A7303" s="90">
        <v>37195</v>
      </c>
      <c r="B7303" s="20">
        <v>0.54166666666666663</v>
      </c>
      <c r="D7303">
        <v>51.08</v>
      </c>
      <c r="E7303" t="str">
        <f t="shared" si="262"/>
        <v>WEEKDAY</v>
      </c>
      <c r="F7303" t="e">
        <f t="shared" si="263"/>
        <v>#N/A</v>
      </c>
      <c r="G7303" s="74">
        <v>29525</v>
      </c>
      <c r="H7303" s="77">
        <v>0.54166666666666663</v>
      </c>
      <c r="J7303">
        <v>53.96</v>
      </c>
      <c r="M7303" s="74">
        <v>36464</v>
      </c>
      <c r="N7303" s="77">
        <v>0.54166666666666663</v>
      </c>
      <c r="P7303">
        <v>69.800000000000011</v>
      </c>
      <c r="S7303" s="74">
        <v>37195</v>
      </c>
      <c r="T7303" s="77">
        <v>0.54166666666666663</v>
      </c>
      <c r="V7303">
        <v>55.040000000000006</v>
      </c>
      <c r="X7303" s="42"/>
      <c r="AB7303">
        <v>56.7</v>
      </c>
      <c r="AC7303">
        <v>50</v>
      </c>
      <c r="AE7303" s="74"/>
      <c r="AF7303" s="77"/>
      <c r="AH7303" s="497">
        <v>46.4</v>
      </c>
      <c r="AJ7303" s="42"/>
      <c r="AK7303" s="74"/>
      <c r="AL7303" s="77"/>
      <c r="AN7303" s="497">
        <v>46.94</v>
      </c>
      <c r="AP7303" s="42"/>
      <c r="AQ7303" s="74"/>
      <c r="AR7303" s="77"/>
      <c r="AT7303" s="497">
        <v>44.96</v>
      </c>
      <c r="AV7303" s="42"/>
      <c r="AW7303" s="74"/>
      <c r="AX7303" s="77"/>
      <c r="BA7303" s="497">
        <v>48.019999999999996</v>
      </c>
      <c r="BB7303" s="42"/>
      <c r="BC7303" s="74"/>
      <c r="BD7303" s="77"/>
      <c r="BF7303">
        <v>59</v>
      </c>
      <c r="BH7303" s="42"/>
      <c r="BI7303" s="74"/>
      <c r="BJ7303" s="77"/>
      <c r="BL7303" s="497">
        <v>66.92</v>
      </c>
      <c r="BN7303" s="42"/>
      <c r="BO7303" s="74"/>
      <c r="BP7303" s="77"/>
      <c r="BR7303" s="497">
        <v>42.980000000000004</v>
      </c>
      <c r="BT7303" s="42"/>
    </row>
    <row r="7304" spans="1:72" x14ac:dyDescent="0.25">
      <c r="A7304" s="90">
        <v>37195</v>
      </c>
      <c r="B7304" s="20">
        <v>0.58333333333333337</v>
      </c>
      <c r="D7304">
        <v>51.980000000000004</v>
      </c>
      <c r="E7304" t="str">
        <f t="shared" si="262"/>
        <v>WEEKDAY</v>
      </c>
      <c r="F7304" t="e">
        <f t="shared" si="263"/>
        <v>#N/A</v>
      </c>
      <c r="G7304" s="74">
        <v>29525</v>
      </c>
      <c r="H7304" s="77">
        <v>0.58333333333333337</v>
      </c>
      <c r="J7304">
        <v>55.040000000000006</v>
      </c>
      <c r="M7304" s="74">
        <v>36464</v>
      </c>
      <c r="N7304" s="77">
        <v>0.58333333333333337</v>
      </c>
      <c r="P7304">
        <v>71.599999999999994</v>
      </c>
      <c r="S7304" s="74">
        <v>37195</v>
      </c>
      <c r="T7304" s="77">
        <v>0.58333333333333337</v>
      </c>
      <c r="V7304">
        <v>55.040000000000006</v>
      </c>
      <c r="X7304" s="42"/>
      <c r="AB7304">
        <v>57.3</v>
      </c>
      <c r="AC7304">
        <v>51.08</v>
      </c>
      <c r="AE7304" s="74"/>
      <c r="AF7304" s="77"/>
      <c r="AH7304" s="497">
        <v>46.4</v>
      </c>
      <c r="AJ7304" s="42"/>
      <c r="AK7304" s="74"/>
      <c r="AL7304" s="77"/>
      <c r="AN7304" s="497">
        <v>48.92</v>
      </c>
      <c r="AP7304" s="42"/>
      <c r="AQ7304" s="74"/>
      <c r="AR7304" s="77"/>
      <c r="AT7304" s="497">
        <v>46.94</v>
      </c>
      <c r="AV7304" s="42"/>
      <c r="AW7304" s="74"/>
      <c r="AX7304" s="77"/>
      <c r="BA7304" s="497">
        <v>51.08</v>
      </c>
      <c r="BB7304" s="42"/>
      <c r="BC7304" s="74"/>
      <c r="BD7304" s="77"/>
      <c r="BF7304">
        <v>59</v>
      </c>
      <c r="BH7304" s="42"/>
      <c r="BI7304" s="74"/>
      <c r="BJ7304" s="77"/>
      <c r="BL7304" s="497">
        <v>66.92</v>
      </c>
      <c r="BN7304" s="42"/>
      <c r="BO7304" s="74"/>
      <c r="BP7304" s="77"/>
      <c r="BR7304" s="497">
        <v>44.06</v>
      </c>
      <c r="BT7304" s="42"/>
    </row>
    <row r="7305" spans="1:72" x14ac:dyDescent="0.25">
      <c r="A7305" s="90">
        <v>37195</v>
      </c>
      <c r="B7305" s="20">
        <v>0.625</v>
      </c>
      <c r="D7305">
        <v>55.040000000000006</v>
      </c>
      <c r="E7305" t="str">
        <f t="shared" si="262"/>
        <v>WEEKDAY</v>
      </c>
      <c r="F7305" t="e">
        <f t="shared" si="263"/>
        <v>#N/A</v>
      </c>
      <c r="G7305" s="74">
        <v>29525</v>
      </c>
      <c r="H7305" s="77">
        <v>0.625</v>
      </c>
      <c r="J7305">
        <v>55.94</v>
      </c>
      <c r="M7305" s="74">
        <v>36464</v>
      </c>
      <c r="N7305" s="77">
        <v>0.625</v>
      </c>
      <c r="P7305">
        <v>71.599999999999994</v>
      </c>
      <c r="S7305" s="74">
        <v>37195</v>
      </c>
      <c r="T7305" s="77">
        <v>0.625</v>
      </c>
      <c r="V7305">
        <v>55.94</v>
      </c>
      <c r="X7305" s="42"/>
      <c r="AB7305">
        <v>57.7</v>
      </c>
      <c r="AC7305">
        <v>51.08</v>
      </c>
      <c r="AE7305" s="74"/>
      <c r="AF7305" s="77"/>
      <c r="AH7305" s="497">
        <v>48.2</v>
      </c>
      <c r="AJ7305" s="42"/>
      <c r="AK7305" s="74"/>
      <c r="AL7305" s="77"/>
      <c r="AN7305" s="497">
        <v>50</v>
      </c>
      <c r="AP7305" s="42"/>
      <c r="AQ7305" s="74"/>
      <c r="AR7305" s="77"/>
      <c r="AT7305" s="497">
        <v>48.019999999999996</v>
      </c>
      <c r="AV7305" s="42"/>
      <c r="AW7305" s="74"/>
      <c r="AX7305" s="77"/>
      <c r="BA7305" s="497">
        <v>53.06</v>
      </c>
      <c r="BB7305" s="42"/>
      <c r="BC7305" s="74"/>
      <c r="BD7305" s="77"/>
      <c r="BF7305">
        <v>57.019999999999996</v>
      </c>
      <c r="BH7305" s="42"/>
      <c r="BI7305" s="74"/>
      <c r="BJ7305" s="77"/>
      <c r="BL7305" s="497">
        <v>64.94</v>
      </c>
      <c r="BN7305" s="42"/>
      <c r="BO7305" s="74"/>
      <c r="BP7305" s="77"/>
      <c r="BR7305" s="497">
        <v>44.06</v>
      </c>
      <c r="BT7305" s="42"/>
    </row>
    <row r="7306" spans="1:72" x14ac:dyDescent="0.25">
      <c r="A7306" s="90">
        <v>37195</v>
      </c>
      <c r="B7306" s="20">
        <v>0.66666666666666663</v>
      </c>
      <c r="D7306">
        <v>55.94</v>
      </c>
      <c r="E7306" t="str">
        <f t="shared" si="262"/>
        <v>WEEKDAY</v>
      </c>
      <c r="F7306" t="e">
        <f t="shared" si="263"/>
        <v>#N/A</v>
      </c>
      <c r="G7306" s="74">
        <v>29525</v>
      </c>
      <c r="H7306" s="77">
        <v>0.66666666666666663</v>
      </c>
      <c r="J7306">
        <v>57.019999999999996</v>
      </c>
      <c r="M7306" s="74">
        <v>36464</v>
      </c>
      <c r="N7306" s="77">
        <v>0.66666666666666663</v>
      </c>
      <c r="P7306">
        <v>69.800000000000011</v>
      </c>
      <c r="S7306" s="74">
        <v>37195</v>
      </c>
      <c r="T7306" s="77">
        <v>0.66666666666666663</v>
      </c>
      <c r="V7306">
        <v>55.94</v>
      </c>
      <c r="X7306" s="42"/>
      <c r="AB7306">
        <v>57.3</v>
      </c>
      <c r="AC7306">
        <v>51.08</v>
      </c>
      <c r="AE7306" s="74"/>
      <c r="AF7306" s="77"/>
      <c r="AH7306" s="497">
        <v>46.4</v>
      </c>
      <c r="AJ7306" s="42"/>
      <c r="AK7306" s="74"/>
      <c r="AL7306" s="77"/>
      <c r="AN7306" s="497">
        <v>48.92</v>
      </c>
      <c r="AP7306" s="42"/>
      <c r="AQ7306" s="74"/>
      <c r="AR7306" s="77"/>
      <c r="AT7306" s="497">
        <v>48.019999999999996</v>
      </c>
      <c r="AV7306" s="42"/>
      <c r="AW7306" s="74"/>
      <c r="AX7306" s="77"/>
      <c r="BA7306" s="497">
        <v>51.980000000000004</v>
      </c>
      <c r="BB7306" s="42"/>
      <c r="BC7306" s="74"/>
      <c r="BD7306" s="77"/>
      <c r="BF7306">
        <v>57.92</v>
      </c>
      <c r="BH7306" s="42"/>
      <c r="BI7306" s="74"/>
      <c r="BJ7306" s="77"/>
      <c r="BL7306" s="497">
        <v>62.06</v>
      </c>
      <c r="BN7306" s="42"/>
      <c r="BO7306" s="74"/>
      <c r="BP7306" s="77"/>
      <c r="BR7306" s="497">
        <v>42.08</v>
      </c>
      <c r="BT7306" s="42"/>
    </row>
    <row r="7307" spans="1:72" x14ac:dyDescent="0.25">
      <c r="A7307" s="90">
        <v>37195</v>
      </c>
      <c r="B7307" s="20">
        <v>0.70833333333333337</v>
      </c>
      <c r="D7307">
        <v>55.94</v>
      </c>
      <c r="E7307" t="str">
        <f t="shared" si="262"/>
        <v>WEEKDAY</v>
      </c>
      <c r="F7307" t="e">
        <f t="shared" si="263"/>
        <v>#N/A</v>
      </c>
      <c r="G7307" s="74">
        <v>29525</v>
      </c>
      <c r="H7307" s="77">
        <v>0.70833333333333337</v>
      </c>
      <c r="J7307">
        <v>56.3</v>
      </c>
      <c r="M7307" s="74">
        <v>36464</v>
      </c>
      <c r="N7307" s="77">
        <v>0.70833333333333337</v>
      </c>
      <c r="P7307">
        <v>68</v>
      </c>
      <c r="S7307" s="74">
        <v>37195</v>
      </c>
      <c r="T7307" s="77">
        <v>0.70833333333333337</v>
      </c>
      <c r="V7307">
        <v>55.94</v>
      </c>
      <c r="X7307" s="42"/>
      <c r="AB7307">
        <v>56.4</v>
      </c>
      <c r="AC7307">
        <v>51.08</v>
      </c>
      <c r="AE7307" s="74"/>
      <c r="AF7307" s="77"/>
      <c r="AH7307" s="497">
        <v>44.6</v>
      </c>
      <c r="AJ7307" s="42"/>
      <c r="AK7307" s="74"/>
      <c r="AL7307" s="77"/>
      <c r="AN7307" s="497">
        <v>46.94</v>
      </c>
      <c r="AP7307" s="42"/>
      <c r="AQ7307" s="74"/>
      <c r="AR7307" s="77"/>
      <c r="AT7307" s="497">
        <v>44.06</v>
      </c>
      <c r="AV7307" s="42"/>
      <c r="AW7307" s="74"/>
      <c r="AX7307" s="77"/>
      <c r="BA7307" s="497">
        <v>50</v>
      </c>
      <c r="BB7307" s="42"/>
      <c r="BC7307" s="74"/>
      <c r="BD7307" s="77"/>
      <c r="BF7307">
        <v>55.94</v>
      </c>
      <c r="BH7307" s="42"/>
      <c r="BI7307" s="74"/>
      <c r="BJ7307" s="77"/>
      <c r="BL7307" s="497">
        <v>57.019999999999996</v>
      </c>
      <c r="BN7307" s="42"/>
      <c r="BO7307" s="74"/>
      <c r="BP7307" s="77"/>
      <c r="BR7307" s="497">
        <v>37.04</v>
      </c>
      <c r="BT7307" s="42"/>
    </row>
    <row r="7308" spans="1:72" x14ac:dyDescent="0.25">
      <c r="A7308" s="90">
        <v>37195</v>
      </c>
      <c r="B7308" s="20">
        <v>0.75</v>
      </c>
      <c r="D7308">
        <v>57.019999999999996</v>
      </c>
      <c r="E7308" t="str">
        <f t="shared" si="262"/>
        <v>WEEKDAY</v>
      </c>
      <c r="F7308" t="e">
        <f t="shared" si="263"/>
        <v>#N/A</v>
      </c>
      <c r="G7308" s="74">
        <v>29525</v>
      </c>
      <c r="H7308" s="77">
        <v>0.75</v>
      </c>
      <c r="J7308">
        <v>55.76</v>
      </c>
      <c r="M7308" s="74">
        <v>36464</v>
      </c>
      <c r="N7308" s="77">
        <v>0.75</v>
      </c>
      <c r="P7308">
        <v>66.2</v>
      </c>
      <c r="S7308" s="74">
        <v>37195</v>
      </c>
      <c r="T7308" s="77">
        <v>0.75</v>
      </c>
      <c r="V7308">
        <v>57.019999999999996</v>
      </c>
      <c r="X7308" s="42"/>
      <c r="AB7308">
        <v>54.9</v>
      </c>
      <c r="AC7308">
        <v>50</v>
      </c>
      <c r="AE7308" s="74"/>
      <c r="AF7308" s="77"/>
      <c r="AH7308" s="497">
        <v>39.200000000000003</v>
      </c>
      <c r="AJ7308" s="42"/>
      <c r="AK7308" s="74"/>
      <c r="AL7308" s="77"/>
      <c r="AN7308" s="497">
        <v>44.06</v>
      </c>
      <c r="AP7308" s="42"/>
      <c r="AQ7308" s="74"/>
      <c r="AR7308" s="77"/>
      <c r="AT7308" s="497">
        <v>42.08</v>
      </c>
      <c r="AV7308" s="42"/>
      <c r="AW7308" s="74"/>
      <c r="AX7308" s="77"/>
      <c r="BA7308" s="497">
        <v>44.96</v>
      </c>
      <c r="BB7308" s="42"/>
      <c r="BC7308" s="74"/>
      <c r="BD7308" s="77"/>
      <c r="BF7308">
        <v>55.040000000000006</v>
      </c>
      <c r="BH7308" s="42"/>
      <c r="BI7308" s="74"/>
      <c r="BJ7308" s="77"/>
      <c r="BL7308" s="497">
        <v>55.94</v>
      </c>
      <c r="BN7308" s="42"/>
      <c r="BO7308" s="74"/>
      <c r="BP7308" s="77"/>
      <c r="BR7308" s="497">
        <v>33.979999999999997</v>
      </c>
      <c r="BT7308" s="42"/>
    </row>
    <row r="7309" spans="1:72" x14ac:dyDescent="0.25">
      <c r="A7309" s="90">
        <v>37195</v>
      </c>
      <c r="B7309" s="20">
        <v>0.79166666666666663</v>
      </c>
      <c r="D7309">
        <v>57.019999999999996</v>
      </c>
      <c r="E7309" t="str">
        <f t="shared" si="262"/>
        <v>WEEKDAY</v>
      </c>
      <c r="F7309" t="e">
        <f t="shared" si="263"/>
        <v>#N/A</v>
      </c>
      <c r="G7309" s="74">
        <v>29525</v>
      </c>
      <c r="H7309" s="77">
        <v>0.79166666666666663</v>
      </c>
      <c r="J7309">
        <v>55.040000000000006</v>
      </c>
      <c r="M7309" s="74">
        <v>36464</v>
      </c>
      <c r="N7309" s="77">
        <v>0.79166666666666663</v>
      </c>
      <c r="P7309">
        <v>68</v>
      </c>
      <c r="S7309" s="74">
        <v>37195</v>
      </c>
      <c r="T7309" s="77">
        <v>0.79166666666666663</v>
      </c>
      <c r="V7309">
        <v>57.019999999999996</v>
      </c>
      <c r="X7309" s="42"/>
      <c r="AB7309">
        <v>54</v>
      </c>
      <c r="AC7309">
        <v>50</v>
      </c>
      <c r="AE7309" s="74"/>
      <c r="AF7309" s="77"/>
      <c r="AH7309" s="497">
        <v>37.4</v>
      </c>
      <c r="AJ7309" s="42"/>
      <c r="AK7309" s="74"/>
      <c r="AL7309" s="77"/>
      <c r="AN7309" s="497">
        <v>42.980000000000004</v>
      </c>
      <c r="AP7309" s="42"/>
      <c r="AQ7309" s="74"/>
      <c r="AR7309" s="77"/>
      <c r="AT7309" s="497">
        <v>42.08</v>
      </c>
      <c r="AV7309" s="42"/>
      <c r="AW7309" s="74"/>
      <c r="AX7309" s="77"/>
      <c r="BA7309" s="497">
        <v>44.96</v>
      </c>
      <c r="BB7309" s="42"/>
      <c r="BC7309" s="74"/>
      <c r="BD7309" s="77"/>
      <c r="BF7309">
        <v>53.96</v>
      </c>
      <c r="BH7309" s="42"/>
      <c r="BI7309" s="74"/>
      <c r="BJ7309" s="77"/>
      <c r="BL7309" s="497">
        <v>55.94</v>
      </c>
      <c r="BN7309" s="42"/>
      <c r="BO7309" s="74"/>
      <c r="BP7309" s="77"/>
      <c r="BR7309" s="497">
        <v>33.08</v>
      </c>
      <c r="BT7309" s="42"/>
    </row>
    <row r="7310" spans="1:72" x14ac:dyDescent="0.25">
      <c r="A7310" s="90">
        <v>37195</v>
      </c>
      <c r="B7310" s="20">
        <v>0.83333333333333337</v>
      </c>
      <c r="D7310">
        <v>57.92</v>
      </c>
      <c r="E7310" t="str">
        <f t="shared" si="262"/>
        <v>WEEKDAY</v>
      </c>
      <c r="F7310" t="e">
        <f t="shared" si="263"/>
        <v>#N/A</v>
      </c>
      <c r="G7310" s="74">
        <v>29525</v>
      </c>
      <c r="H7310" s="77">
        <v>0.83333333333333337</v>
      </c>
      <c r="J7310">
        <v>54.32</v>
      </c>
      <c r="M7310" s="74">
        <v>36464</v>
      </c>
      <c r="N7310" s="77">
        <v>0.83333333333333337</v>
      </c>
      <c r="P7310">
        <v>66.2</v>
      </c>
      <c r="S7310" s="74">
        <v>37195</v>
      </c>
      <c r="T7310" s="77">
        <v>0.83333333333333337</v>
      </c>
      <c r="V7310">
        <v>57.019999999999996</v>
      </c>
      <c r="X7310" s="42"/>
      <c r="AB7310">
        <v>53.5</v>
      </c>
      <c r="AC7310">
        <v>48.92</v>
      </c>
      <c r="AE7310" s="74"/>
      <c r="AF7310" s="77"/>
      <c r="AH7310" s="497">
        <v>37.4</v>
      </c>
      <c r="AJ7310" s="42"/>
      <c r="AK7310" s="74"/>
      <c r="AL7310" s="77"/>
      <c r="AN7310" s="497">
        <v>42.08</v>
      </c>
      <c r="AP7310" s="42"/>
      <c r="AQ7310" s="74"/>
      <c r="AR7310" s="77"/>
      <c r="AT7310" s="497">
        <v>41</v>
      </c>
      <c r="AV7310" s="42"/>
      <c r="AW7310" s="74"/>
      <c r="AX7310" s="77"/>
      <c r="BA7310" s="497">
        <v>46.94</v>
      </c>
      <c r="BB7310" s="42"/>
      <c r="BC7310" s="74"/>
      <c r="BD7310" s="77"/>
      <c r="BF7310">
        <v>48.019999999999996</v>
      </c>
      <c r="BH7310" s="42"/>
      <c r="BI7310" s="74"/>
      <c r="BJ7310" s="77"/>
      <c r="BL7310" s="497">
        <v>51.980000000000004</v>
      </c>
      <c r="BN7310" s="42"/>
      <c r="BO7310" s="74"/>
      <c r="BP7310" s="77"/>
      <c r="BR7310" s="497">
        <v>28.94</v>
      </c>
      <c r="BT7310" s="42"/>
    </row>
    <row r="7311" spans="1:72" x14ac:dyDescent="0.25">
      <c r="A7311" s="90">
        <v>37195</v>
      </c>
      <c r="B7311" s="20">
        <v>0.875</v>
      </c>
      <c r="D7311">
        <v>57.92</v>
      </c>
      <c r="E7311" t="str">
        <f t="shared" si="262"/>
        <v>WEEKDAY</v>
      </c>
      <c r="F7311" t="e">
        <f t="shared" si="263"/>
        <v>#N/A</v>
      </c>
      <c r="G7311" s="74">
        <v>29525</v>
      </c>
      <c r="H7311" s="77">
        <v>0.875</v>
      </c>
      <c r="J7311">
        <v>53.78</v>
      </c>
      <c r="M7311" s="74">
        <v>36464</v>
      </c>
      <c r="N7311" s="77">
        <v>0.875</v>
      </c>
      <c r="P7311">
        <v>64.400000000000006</v>
      </c>
      <c r="S7311" s="74">
        <v>37195</v>
      </c>
      <c r="T7311" s="77">
        <v>0.875</v>
      </c>
      <c r="V7311">
        <v>57.019999999999996</v>
      </c>
      <c r="X7311" s="42"/>
      <c r="AB7311">
        <v>52.9</v>
      </c>
      <c r="AC7311">
        <v>46.94</v>
      </c>
      <c r="AE7311" s="74"/>
      <c r="AF7311" s="77"/>
      <c r="AH7311" s="497">
        <v>35.6</v>
      </c>
      <c r="AJ7311" s="42"/>
      <c r="AK7311" s="74"/>
      <c r="AL7311" s="77"/>
      <c r="AN7311" s="497">
        <v>41</v>
      </c>
      <c r="AP7311" s="42"/>
      <c r="AQ7311" s="74"/>
      <c r="AR7311" s="77"/>
      <c r="AT7311" s="497">
        <v>42.08</v>
      </c>
      <c r="AV7311" s="42"/>
      <c r="AW7311" s="74"/>
      <c r="AX7311" s="77"/>
      <c r="BA7311" s="497">
        <v>44.96</v>
      </c>
      <c r="BB7311" s="42"/>
      <c r="BC7311" s="74"/>
      <c r="BD7311" s="77"/>
      <c r="BF7311">
        <v>46.04</v>
      </c>
      <c r="BH7311" s="42"/>
      <c r="BI7311" s="74"/>
      <c r="BJ7311" s="77"/>
      <c r="BL7311" s="497">
        <v>50</v>
      </c>
      <c r="BN7311" s="42"/>
      <c r="BO7311" s="74"/>
      <c r="BP7311" s="77"/>
      <c r="BR7311" s="497">
        <v>30.02</v>
      </c>
      <c r="BT7311" s="42"/>
    </row>
    <row r="7312" spans="1:72" x14ac:dyDescent="0.25">
      <c r="A7312" s="90">
        <v>37195</v>
      </c>
      <c r="B7312" s="20">
        <v>0.91666666666666663</v>
      </c>
      <c r="D7312">
        <v>58.64</v>
      </c>
      <c r="E7312" t="str">
        <f t="shared" si="262"/>
        <v>WEEKDAY</v>
      </c>
      <c r="F7312" t="e">
        <f t="shared" si="263"/>
        <v>#N/A</v>
      </c>
      <c r="G7312" s="74">
        <v>29525</v>
      </c>
      <c r="H7312" s="77">
        <v>0.91666666666666663</v>
      </c>
      <c r="J7312">
        <v>53.6</v>
      </c>
      <c r="M7312" s="74">
        <v>36464</v>
      </c>
      <c r="N7312" s="77">
        <v>0.91666666666666663</v>
      </c>
      <c r="P7312">
        <v>61.34</v>
      </c>
      <c r="S7312" s="74">
        <v>37195</v>
      </c>
      <c r="T7312" s="77">
        <v>0.91666666666666663</v>
      </c>
      <c r="V7312">
        <v>55.040000000000006</v>
      </c>
      <c r="X7312" s="42"/>
      <c r="AB7312">
        <v>52.2</v>
      </c>
      <c r="AC7312">
        <v>47.84</v>
      </c>
      <c r="AE7312" s="74"/>
      <c r="AF7312" s="77"/>
      <c r="AH7312" s="497">
        <v>36.32</v>
      </c>
      <c r="AJ7312" s="42"/>
      <c r="AK7312" s="74"/>
      <c r="AL7312" s="77"/>
      <c r="AN7312" s="497">
        <v>39.380000000000003</v>
      </c>
      <c r="AP7312" s="42"/>
      <c r="AQ7312" s="74"/>
      <c r="AR7312" s="77"/>
      <c r="AT7312" s="497">
        <v>42.8</v>
      </c>
      <c r="AV7312" s="42"/>
      <c r="AW7312" s="74"/>
      <c r="AX7312" s="77"/>
      <c r="BA7312" s="497">
        <v>43.34</v>
      </c>
      <c r="BB7312" s="42"/>
      <c r="BC7312" s="74"/>
      <c r="BD7312" s="77"/>
      <c r="BF7312">
        <v>45.32</v>
      </c>
      <c r="BH7312" s="42"/>
      <c r="BI7312" s="74"/>
      <c r="BJ7312" s="77"/>
      <c r="BL7312" s="497">
        <v>48.019999999999996</v>
      </c>
      <c r="BN7312" s="42"/>
      <c r="BO7312" s="74"/>
      <c r="BP7312" s="77"/>
      <c r="BR7312" s="497">
        <v>30.02</v>
      </c>
      <c r="BT7312" s="42"/>
    </row>
    <row r="7313" spans="1:72" x14ac:dyDescent="0.25">
      <c r="A7313" s="90">
        <v>37195</v>
      </c>
      <c r="B7313" s="20">
        <v>0.95833333333333337</v>
      </c>
      <c r="D7313">
        <v>59.36</v>
      </c>
      <c r="E7313" t="str">
        <f t="shared" si="262"/>
        <v>WEEKDAY</v>
      </c>
      <c r="F7313" t="e">
        <f t="shared" si="263"/>
        <v>#N/A</v>
      </c>
      <c r="G7313" s="74">
        <v>29525</v>
      </c>
      <c r="H7313" s="77">
        <v>0.95833333333333337</v>
      </c>
      <c r="J7313">
        <v>53.6</v>
      </c>
      <c r="M7313" s="74">
        <v>36464</v>
      </c>
      <c r="N7313" s="77">
        <v>0.95833333333333337</v>
      </c>
      <c r="P7313">
        <v>58.28</v>
      </c>
      <c r="S7313" s="74">
        <v>37195</v>
      </c>
      <c r="T7313" s="77">
        <v>0.95833333333333337</v>
      </c>
      <c r="V7313">
        <v>53.06</v>
      </c>
      <c r="X7313" s="42"/>
      <c r="AB7313">
        <v>51.6</v>
      </c>
      <c r="AC7313">
        <v>48.74</v>
      </c>
      <c r="AE7313" s="74"/>
      <c r="AF7313" s="77"/>
      <c r="AH7313" s="497">
        <v>37.22</v>
      </c>
      <c r="AJ7313" s="42"/>
      <c r="AK7313" s="74"/>
      <c r="AL7313" s="77"/>
      <c r="AN7313" s="497">
        <v>37.94</v>
      </c>
      <c r="AP7313" s="42"/>
      <c r="AQ7313" s="74"/>
      <c r="AR7313" s="77"/>
      <c r="AT7313" s="497">
        <v>43.52</v>
      </c>
      <c r="AV7313" s="42"/>
      <c r="AW7313" s="74"/>
      <c r="AX7313" s="77"/>
      <c r="BA7313" s="497">
        <v>41.54</v>
      </c>
      <c r="BB7313" s="42"/>
      <c r="BC7313" s="74"/>
      <c r="BD7313" s="77"/>
      <c r="BF7313">
        <v>44.6</v>
      </c>
      <c r="BH7313" s="42"/>
      <c r="BI7313" s="74"/>
      <c r="BJ7313" s="77"/>
      <c r="BL7313" s="497">
        <v>46.04</v>
      </c>
      <c r="BN7313" s="42"/>
      <c r="BO7313" s="74"/>
      <c r="BP7313" s="77"/>
      <c r="BR7313" s="497">
        <v>29.84</v>
      </c>
      <c r="BT7313" s="42"/>
    </row>
    <row r="7314" spans="1:72" x14ac:dyDescent="0.25">
      <c r="A7314" s="90">
        <v>37195</v>
      </c>
      <c r="B7314" s="20">
        <v>1</v>
      </c>
      <c r="D7314">
        <v>60.08</v>
      </c>
      <c r="E7314" t="str">
        <f t="shared" si="262"/>
        <v>WEEKDAY</v>
      </c>
      <c r="F7314" t="e">
        <f t="shared" si="263"/>
        <v>#N/A</v>
      </c>
      <c r="G7314" s="74">
        <v>29525</v>
      </c>
      <c r="H7314" s="77">
        <v>1</v>
      </c>
      <c r="J7314">
        <v>53.42</v>
      </c>
      <c r="M7314" s="74">
        <v>36464</v>
      </c>
      <c r="N7314" s="80">
        <v>1</v>
      </c>
      <c r="P7314">
        <v>55.22</v>
      </c>
      <c r="S7314" s="74">
        <v>37195</v>
      </c>
      <c r="T7314" s="80">
        <v>1</v>
      </c>
      <c r="V7314">
        <v>51.08</v>
      </c>
      <c r="X7314" s="42"/>
      <c r="AB7314">
        <v>50.9</v>
      </c>
      <c r="AC7314">
        <v>49.64</v>
      </c>
      <c r="AE7314" s="74"/>
      <c r="AF7314" s="80"/>
      <c r="AH7314" s="497">
        <v>37.94</v>
      </c>
      <c r="AJ7314" s="42"/>
      <c r="AK7314" s="74"/>
      <c r="AL7314" s="80"/>
      <c r="AN7314" s="497">
        <v>36.32</v>
      </c>
      <c r="AP7314" s="42"/>
      <c r="AQ7314" s="74"/>
      <c r="AR7314" s="80"/>
      <c r="AT7314" s="497">
        <v>44.24</v>
      </c>
      <c r="AV7314" s="42"/>
      <c r="AW7314" s="74"/>
      <c r="AX7314" s="80"/>
      <c r="BA7314" s="497">
        <v>39.92</v>
      </c>
      <c r="BB7314" s="42"/>
      <c r="BC7314" s="74"/>
      <c r="BD7314" s="80"/>
      <c r="BF7314">
        <v>43.879999999999995</v>
      </c>
      <c r="BH7314" s="42"/>
      <c r="BI7314" s="74"/>
      <c r="BJ7314" s="80"/>
      <c r="BL7314" s="497">
        <v>44.06</v>
      </c>
      <c r="BN7314" s="42"/>
      <c r="BO7314" s="74"/>
      <c r="BP7314" s="80"/>
      <c r="BR7314" s="497">
        <v>29.66</v>
      </c>
      <c r="BT7314" s="42"/>
    </row>
    <row r="7315" spans="1:72" x14ac:dyDescent="0.25">
      <c r="A7315" s="90">
        <v>36831</v>
      </c>
      <c r="B7315" s="20">
        <v>4.1666666666666664E-2</v>
      </c>
      <c r="D7315">
        <v>60.8</v>
      </c>
      <c r="E7315" t="str">
        <f t="shared" ref="E7315:E7378" si="264">IF(COUNTIF($DI$18:$DI$22, WEEKDAY(A7315))=1, "WEEKDAY", IF(WEEKDAY(A7315) = 1, "SUNDAY", "SATURDAY"))</f>
        <v>WEEKDAY</v>
      </c>
      <c r="F7315" t="e">
        <f t="shared" si="263"/>
        <v>#N/A</v>
      </c>
      <c r="G7315" s="74">
        <v>28795</v>
      </c>
      <c r="H7315" s="77">
        <v>4.1666666666666664E-2</v>
      </c>
      <c r="J7315">
        <v>53.42</v>
      </c>
      <c r="M7315" s="74">
        <v>36100</v>
      </c>
      <c r="N7315" s="77">
        <v>4.1666666666666664E-2</v>
      </c>
      <c r="P7315">
        <v>51.980000000000004</v>
      </c>
      <c r="S7315" s="74">
        <v>36831</v>
      </c>
      <c r="T7315" s="77">
        <v>4.1666666666666664E-2</v>
      </c>
      <c r="V7315">
        <v>48.92</v>
      </c>
      <c r="X7315" s="42"/>
      <c r="AB7315">
        <v>50.4</v>
      </c>
      <c r="AC7315">
        <v>50.36</v>
      </c>
      <c r="AE7315" s="74"/>
      <c r="AF7315" s="77"/>
      <c r="AH7315" s="497">
        <v>38.659999999999997</v>
      </c>
      <c r="AJ7315" s="42"/>
      <c r="AK7315" s="74"/>
      <c r="AL7315" s="77"/>
      <c r="AN7315" s="497">
        <v>34.700000000000003</v>
      </c>
      <c r="AP7315" s="42"/>
      <c r="AQ7315" s="74"/>
      <c r="AR7315" s="77"/>
      <c r="AT7315" s="497">
        <v>44.78</v>
      </c>
      <c r="AV7315" s="42"/>
      <c r="AW7315" s="74"/>
      <c r="AX7315" s="77"/>
      <c r="BA7315" s="497">
        <v>38.119999999999997</v>
      </c>
      <c r="BB7315" s="42"/>
      <c r="BC7315" s="74"/>
      <c r="BD7315" s="77"/>
      <c r="BF7315">
        <v>43.16</v>
      </c>
      <c r="BH7315" s="42"/>
      <c r="BI7315" s="74"/>
      <c r="BJ7315" s="77"/>
      <c r="BL7315" s="497">
        <v>41.9</v>
      </c>
      <c r="BN7315" s="42"/>
      <c r="BO7315" s="74"/>
      <c r="BP7315" s="77"/>
      <c r="BR7315" s="497">
        <v>29.66</v>
      </c>
      <c r="BT7315" s="42"/>
    </row>
    <row r="7316" spans="1:72" x14ac:dyDescent="0.25">
      <c r="A7316" s="90">
        <v>36831</v>
      </c>
      <c r="B7316" s="20">
        <v>8.3333333333333329E-2</v>
      </c>
      <c r="D7316">
        <v>61.519999999999996</v>
      </c>
      <c r="E7316" t="str">
        <f t="shared" si="264"/>
        <v>WEEKDAY</v>
      </c>
      <c r="F7316" t="e">
        <f t="shared" si="263"/>
        <v>#N/A</v>
      </c>
      <c r="G7316" s="74">
        <v>28795</v>
      </c>
      <c r="H7316" s="77">
        <v>8.3333333333333329E-2</v>
      </c>
      <c r="J7316">
        <v>53.24</v>
      </c>
      <c r="M7316" s="74">
        <v>36100</v>
      </c>
      <c r="N7316" s="77">
        <v>8.3333333333333329E-2</v>
      </c>
      <c r="P7316">
        <v>48.92</v>
      </c>
      <c r="S7316" s="74">
        <v>36831</v>
      </c>
      <c r="T7316" s="77">
        <v>8.3333333333333329E-2</v>
      </c>
      <c r="V7316">
        <v>46.94</v>
      </c>
      <c r="X7316" s="42"/>
      <c r="AB7316">
        <v>49.8</v>
      </c>
      <c r="AC7316">
        <v>51.26</v>
      </c>
      <c r="AE7316" s="74"/>
      <c r="AF7316" s="77"/>
      <c r="AH7316" s="497">
        <v>39.380000000000003</v>
      </c>
      <c r="AJ7316" s="42"/>
      <c r="AK7316" s="74"/>
      <c r="AL7316" s="77"/>
      <c r="AN7316" s="497">
        <v>33.08</v>
      </c>
      <c r="AP7316" s="42"/>
      <c r="AQ7316" s="74"/>
      <c r="AR7316" s="77"/>
      <c r="AT7316" s="497">
        <v>45.5</v>
      </c>
      <c r="AV7316" s="42"/>
      <c r="AW7316" s="74"/>
      <c r="AX7316" s="77"/>
      <c r="BA7316" s="497">
        <v>36.5</v>
      </c>
      <c r="BB7316" s="42"/>
      <c r="BC7316" s="74"/>
      <c r="BD7316" s="77"/>
      <c r="BF7316">
        <v>42.44</v>
      </c>
      <c r="BH7316" s="42"/>
      <c r="BI7316" s="74"/>
      <c r="BJ7316" s="77"/>
      <c r="BL7316" s="497">
        <v>39.92</v>
      </c>
      <c r="BN7316" s="42"/>
      <c r="BO7316" s="74"/>
      <c r="BP7316" s="77"/>
      <c r="BR7316" s="497">
        <v>29.48</v>
      </c>
      <c r="BT7316" s="42"/>
    </row>
    <row r="7317" spans="1:72" x14ac:dyDescent="0.25">
      <c r="A7317" s="90">
        <v>36831</v>
      </c>
      <c r="B7317" s="20">
        <v>0.125</v>
      </c>
      <c r="D7317">
        <v>62.24</v>
      </c>
      <c r="E7317" t="str">
        <f t="shared" si="264"/>
        <v>WEEKDAY</v>
      </c>
      <c r="F7317" t="e">
        <f t="shared" si="263"/>
        <v>#N/A</v>
      </c>
      <c r="G7317" s="74">
        <v>28795</v>
      </c>
      <c r="H7317" s="77">
        <v>0.125</v>
      </c>
      <c r="J7317">
        <v>53.24</v>
      </c>
      <c r="M7317" s="74">
        <v>36100</v>
      </c>
      <c r="N7317" s="77">
        <v>0.125</v>
      </c>
      <c r="P7317">
        <v>45.86</v>
      </c>
      <c r="S7317" s="74">
        <v>36831</v>
      </c>
      <c r="T7317" s="77">
        <v>0.125</v>
      </c>
      <c r="V7317">
        <v>44.96</v>
      </c>
      <c r="X7317" s="42"/>
      <c r="AB7317">
        <v>49.2</v>
      </c>
      <c r="AC7317">
        <v>52.16</v>
      </c>
      <c r="AE7317" s="74"/>
      <c r="AF7317" s="77"/>
      <c r="AH7317" s="497">
        <v>40.28</v>
      </c>
      <c r="AJ7317" s="42"/>
      <c r="AK7317" s="74"/>
      <c r="AL7317" s="77"/>
      <c r="AN7317" s="497">
        <v>31.82</v>
      </c>
      <c r="AP7317" s="42"/>
      <c r="AQ7317" s="74"/>
      <c r="AR7317" s="77"/>
      <c r="AT7317" s="497">
        <v>46.22</v>
      </c>
      <c r="AV7317" s="42"/>
      <c r="AW7317" s="74"/>
      <c r="AX7317" s="77"/>
      <c r="BA7317" s="497">
        <v>34.700000000000003</v>
      </c>
      <c r="BB7317" s="42"/>
      <c r="BC7317" s="74"/>
      <c r="BD7317" s="77"/>
      <c r="BF7317">
        <v>41.72</v>
      </c>
      <c r="BH7317" s="42"/>
      <c r="BI7317" s="74"/>
      <c r="BJ7317" s="77"/>
      <c r="BL7317" s="497">
        <v>37.94</v>
      </c>
      <c r="BN7317" s="42"/>
      <c r="BO7317" s="74"/>
      <c r="BP7317" s="77"/>
      <c r="BR7317" s="497">
        <v>29.3</v>
      </c>
      <c r="BT7317" s="42"/>
    </row>
    <row r="7318" spans="1:72" x14ac:dyDescent="0.25">
      <c r="A7318" s="90">
        <v>36831</v>
      </c>
      <c r="B7318" s="20">
        <v>0.16666666666666666</v>
      </c>
      <c r="D7318">
        <v>62.96</v>
      </c>
      <c r="E7318" t="str">
        <f t="shared" si="264"/>
        <v>WEEKDAY</v>
      </c>
      <c r="F7318" t="e">
        <f t="shared" si="263"/>
        <v>#N/A</v>
      </c>
      <c r="G7318" s="74">
        <v>28795</v>
      </c>
      <c r="H7318" s="77">
        <v>0.16666666666666666</v>
      </c>
      <c r="J7318">
        <v>53.06</v>
      </c>
      <c r="M7318" s="74">
        <v>36100</v>
      </c>
      <c r="N7318" s="77">
        <v>0.16666666666666666</v>
      </c>
      <c r="P7318">
        <v>42.8</v>
      </c>
      <c r="S7318" s="74">
        <v>36831</v>
      </c>
      <c r="T7318" s="77">
        <v>0.16666666666666666</v>
      </c>
      <c r="V7318">
        <v>42.980000000000004</v>
      </c>
      <c r="X7318" s="42"/>
      <c r="AB7318">
        <v>48.8</v>
      </c>
      <c r="AC7318">
        <v>53.06</v>
      </c>
      <c r="AE7318" s="74"/>
      <c r="AF7318" s="77"/>
      <c r="AH7318" s="497">
        <v>41</v>
      </c>
      <c r="AJ7318" s="42"/>
      <c r="AK7318" s="74"/>
      <c r="AL7318" s="77"/>
      <c r="AN7318" s="497">
        <v>30.02</v>
      </c>
      <c r="AP7318" s="42"/>
      <c r="AQ7318" s="74"/>
      <c r="AR7318" s="77"/>
      <c r="AT7318" s="497">
        <v>46.94</v>
      </c>
      <c r="AV7318" s="42"/>
      <c r="AW7318" s="74"/>
      <c r="AX7318" s="77"/>
      <c r="BA7318" s="497">
        <v>33.08</v>
      </c>
      <c r="BB7318" s="42"/>
      <c r="BC7318" s="74"/>
      <c r="BD7318" s="77"/>
      <c r="BF7318">
        <v>41</v>
      </c>
      <c r="BH7318" s="42"/>
      <c r="BI7318" s="74"/>
      <c r="BJ7318" s="77"/>
      <c r="BL7318" s="497">
        <v>35.96</v>
      </c>
      <c r="BN7318" s="42"/>
      <c r="BO7318" s="74"/>
      <c r="BP7318" s="77"/>
      <c r="BR7318" s="497">
        <v>28.94</v>
      </c>
      <c r="BT7318" s="42"/>
    </row>
    <row r="7319" spans="1:72" x14ac:dyDescent="0.25">
      <c r="A7319" s="90">
        <v>36831</v>
      </c>
      <c r="B7319" s="20">
        <v>0.20833333333333334</v>
      </c>
      <c r="D7319">
        <v>64.039999999999992</v>
      </c>
      <c r="E7319" t="str">
        <f t="shared" si="264"/>
        <v>WEEKDAY</v>
      </c>
      <c r="F7319" t="e">
        <f t="shared" si="263"/>
        <v>#N/A</v>
      </c>
      <c r="G7319" s="74">
        <v>28795</v>
      </c>
      <c r="H7319" s="77">
        <v>0.20833333333333334</v>
      </c>
      <c r="J7319">
        <v>51.980000000000004</v>
      </c>
      <c r="M7319" s="74">
        <v>36100</v>
      </c>
      <c r="N7319" s="77">
        <v>0.20833333333333334</v>
      </c>
      <c r="P7319">
        <v>41</v>
      </c>
      <c r="S7319" s="74">
        <v>36831</v>
      </c>
      <c r="T7319" s="77">
        <v>0.20833333333333334</v>
      </c>
      <c r="V7319">
        <v>42.980000000000004</v>
      </c>
      <c r="X7319" s="42"/>
      <c r="AB7319">
        <v>48.4</v>
      </c>
      <c r="AC7319">
        <v>51.980000000000004</v>
      </c>
      <c r="AE7319" s="74"/>
      <c r="AF7319" s="77"/>
      <c r="AH7319" s="497">
        <v>39.200000000000003</v>
      </c>
      <c r="AJ7319" s="42"/>
      <c r="AK7319" s="74"/>
      <c r="AL7319" s="77"/>
      <c r="AN7319" s="497">
        <v>30.92</v>
      </c>
      <c r="AP7319" s="42"/>
      <c r="AQ7319" s="74"/>
      <c r="AR7319" s="77"/>
      <c r="AT7319" s="497">
        <v>46.94</v>
      </c>
      <c r="AV7319" s="42"/>
      <c r="AW7319" s="74"/>
      <c r="AX7319" s="77"/>
      <c r="BA7319" s="497">
        <v>30.92</v>
      </c>
      <c r="BB7319" s="42"/>
      <c r="BC7319" s="74"/>
      <c r="BD7319" s="77"/>
      <c r="BF7319">
        <v>42.08</v>
      </c>
      <c r="BH7319" s="42"/>
      <c r="BI7319" s="74"/>
      <c r="BJ7319" s="77"/>
      <c r="BL7319" s="497">
        <v>35.96</v>
      </c>
      <c r="BN7319" s="42"/>
      <c r="BO7319" s="74"/>
      <c r="BP7319" s="77"/>
      <c r="BR7319" s="497">
        <v>28.04</v>
      </c>
      <c r="BT7319" s="42"/>
    </row>
    <row r="7320" spans="1:72" x14ac:dyDescent="0.25">
      <c r="A7320" s="90">
        <v>36831</v>
      </c>
      <c r="B7320" s="20">
        <v>0.25</v>
      </c>
      <c r="D7320">
        <v>62.96</v>
      </c>
      <c r="E7320" t="str">
        <f t="shared" si="264"/>
        <v>WEEKDAY</v>
      </c>
      <c r="F7320" t="e">
        <f t="shared" si="263"/>
        <v>#N/A</v>
      </c>
      <c r="G7320" s="74">
        <v>28795</v>
      </c>
      <c r="H7320" s="77">
        <v>0.25</v>
      </c>
      <c r="J7320">
        <v>51.980000000000004</v>
      </c>
      <c r="M7320" s="74">
        <v>36100</v>
      </c>
      <c r="N7320" s="77">
        <v>0.25</v>
      </c>
      <c r="P7320">
        <v>41</v>
      </c>
      <c r="S7320" s="74">
        <v>36831</v>
      </c>
      <c r="T7320" s="77">
        <v>0.25</v>
      </c>
      <c r="V7320">
        <v>42.980000000000004</v>
      </c>
      <c r="X7320" s="42"/>
      <c r="AB7320">
        <v>48.1</v>
      </c>
      <c r="AC7320">
        <v>51.08</v>
      </c>
      <c r="AE7320" s="74"/>
      <c r="AF7320" s="77"/>
      <c r="AH7320" s="497">
        <v>39.200000000000003</v>
      </c>
      <c r="AJ7320" s="42"/>
      <c r="AK7320" s="74"/>
      <c r="AL7320" s="77"/>
      <c r="AN7320" s="497">
        <v>33.08</v>
      </c>
      <c r="AP7320" s="42"/>
      <c r="AQ7320" s="74"/>
      <c r="AR7320" s="77"/>
      <c r="AT7320" s="497">
        <v>46.04</v>
      </c>
      <c r="AV7320" s="42"/>
      <c r="AW7320" s="74"/>
      <c r="AX7320" s="77"/>
      <c r="BA7320" s="497">
        <v>30.92</v>
      </c>
      <c r="BB7320" s="42"/>
      <c r="BC7320" s="74"/>
      <c r="BD7320" s="77"/>
      <c r="BF7320">
        <v>42.980000000000004</v>
      </c>
      <c r="BH7320" s="42"/>
      <c r="BI7320" s="74"/>
      <c r="BJ7320" s="77"/>
      <c r="BL7320" s="497">
        <v>37.04</v>
      </c>
      <c r="BN7320" s="42"/>
      <c r="BO7320" s="74"/>
      <c r="BP7320" s="77"/>
      <c r="BR7320" s="497">
        <v>28.04</v>
      </c>
      <c r="BT7320" s="42"/>
    </row>
    <row r="7321" spans="1:72" x14ac:dyDescent="0.25">
      <c r="A7321" s="90">
        <v>36831</v>
      </c>
      <c r="B7321" s="20">
        <v>0.29166666666666669</v>
      </c>
      <c r="D7321">
        <v>62.96</v>
      </c>
      <c r="E7321" t="str">
        <f t="shared" si="264"/>
        <v>WEEKDAY</v>
      </c>
      <c r="F7321" t="e">
        <f t="shared" si="263"/>
        <v>#N/A</v>
      </c>
      <c r="G7321" s="74">
        <v>28795</v>
      </c>
      <c r="H7321" s="77">
        <v>0.29166666666666669</v>
      </c>
      <c r="J7321">
        <v>51.08</v>
      </c>
      <c r="M7321" s="74">
        <v>36100</v>
      </c>
      <c r="N7321" s="77">
        <v>0.29166666666666669</v>
      </c>
      <c r="P7321">
        <v>39.200000000000003</v>
      </c>
      <c r="S7321" s="74">
        <v>36831</v>
      </c>
      <c r="T7321" s="77">
        <v>0.29166666666666669</v>
      </c>
      <c r="V7321">
        <v>42.980000000000004</v>
      </c>
      <c r="X7321" s="42"/>
      <c r="AB7321">
        <v>48</v>
      </c>
      <c r="AC7321">
        <v>53.96</v>
      </c>
      <c r="AE7321" s="74"/>
      <c r="AF7321" s="77"/>
      <c r="AH7321" s="497">
        <v>37.4</v>
      </c>
      <c r="AJ7321" s="42"/>
      <c r="AK7321" s="74"/>
      <c r="AL7321" s="77"/>
      <c r="AN7321" s="497">
        <v>33.08</v>
      </c>
      <c r="AP7321" s="42"/>
      <c r="AQ7321" s="74"/>
      <c r="AR7321" s="77"/>
      <c r="AT7321" s="497">
        <v>44.96</v>
      </c>
      <c r="AV7321" s="42"/>
      <c r="AW7321" s="74"/>
      <c r="AX7321" s="77"/>
      <c r="BA7321" s="497">
        <v>30.92</v>
      </c>
      <c r="BB7321" s="42"/>
      <c r="BC7321" s="74"/>
      <c r="BD7321" s="77"/>
      <c r="BF7321">
        <v>42.08</v>
      </c>
      <c r="BH7321" s="42"/>
      <c r="BI7321" s="74"/>
      <c r="BJ7321" s="77"/>
      <c r="BL7321" s="497">
        <v>37.94</v>
      </c>
      <c r="BN7321" s="42"/>
      <c r="BO7321" s="74"/>
      <c r="BP7321" s="77"/>
      <c r="BR7321" s="497">
        <v>26.060000000000002</v>
      </c>
      <c r="BT7321" s="42"/>
    </row>
    <row r="7322" spans="1:72" x14ac:dyDescent="0.25">
      <c r="A7322" s="90">
        <v>36831</v>
      </c>
      <c r="B7322" s="20">
        <v>0.33333333333333331</v>
      </c>
      <c r="D7322">
        <v>62.96</v>
      </c>
      <c r="E7322" t="str">
        <f t="shared" si="264"/>
        <v>WEEKDAY</v>
      </c>
      <c r="F7322" t="e">
        <f t="shared" si="263"/>
        <v>#N/A</v>
      </c>
      <c r="G7322" s="74">
        <v>28795</v>
      </c>
      <c r="H7322" s="77">
        <v>0.33333333333333331</v>
      </c>
      <c r="J7322">
        <v>51.980000000000004</v>
      </c>
      <c r="M7322" s="74">
        <v>36100</v>
      </c>
      <c r="N7322" s="77">
        <v>0.33333333333333331</v>
      </c>
      <c r="P7322">
        <v>44.6</v>
      </c>
      <c r="S7322" s="74">
        <v>36831</v>
      </c>
      <c r="T7322" s="77">
        <v>0.33333333333333331</v>
      </c>
      <c r="V7322">
        <v>46.04</v>
      </c>
      <c r="X7322" s="42"/>
      <c r="AB7322">
        <v>48.2</v>
      </c>
      <c r="AC7322">
        <v>55.94</v>
      </c>
      <c r="AE7322" s="74"/>
      <c r="AF7322" s="77"/>
      <c r="AH7322" s="497">
        <v>42.8</v>
      </c>
      <c r="AJ7322" s="42"/>
      <c r="AK7322" s="74"/>
      <c r="AL7322" s="77"/>
      <c r="AN7322" s="497">
        <v>33.979999999999997</v>
      </c>
      <c r="AP7322" s="42"/>
      <c r="AQ7322" s="74"/>
      <c r="AR7322" s="77"/>
      <c r="AT7322" s="497">
        <v>44.96</v>
      </c>
      <c r="AV7322" s="42"/>
      <c r="AW7322" s="74"/>
      <c r="AX7322" s="77"/>
      <c r="BA7322" s="497">
        <v>33.979999999999997</v>
      </c>
      <c r="BB7322" s="42"/>
      <c r="BC7322" s="74"/>
      <c r="BD7322" s="77"/>
      <c r="BF7322">
        <v>41</v>
      </c>
      <c r="BH7322" s="42"/>
      <c r="BI7322" s="74"/>
      <c r="BJ7322" s="77"/>
      <c r="BL7322" s="497">
        <v>39.92</v>
      </c>
      <c r="BN7322" s="42"/>
      <c r="BO7322" s="74"/>
      <c r="BP7322" s="77"/>
      <c r="BR7322" s="497">
        <v>30.02</v>
      </c>
      <c r="BT7322" s="42"/>
    </row>
    <row r="7323" spans="1:72" x14ac:dyDescent="0.25">
      <c r="A7323" s="90">
        <v>36831</v>
      </c>
      <c r="B7323" s="20">
        <v>0.375</v>
      </c>
      <c r="D7323">
        <v>64.94</v>
      </c>
      <c r="E7323" t="str">
        <f t="shared" si="264"/>
        <v>WEEKDAY</v>
      </c>
      <c r="F7323" t="e">
        <f t="shared" si="263"/>
        <v>#N/A</v>
      </c>
      <c r="G7323" s="74">
        <v>28795</v>
      </c>
      <c r="H7323" s="77">
        <v>0.375</v>
      </c>
      <c r="J7323">
        <v>53.96</v>
      </c>
      <c r="M7323" s="74">
        <v>36100</v>
      </c>
      <c r="N7323" s="77">
        <v>0.375</v>
      </c>
      <c r="P7323">
        <v>50</v>
      </c>
      <c r="S7323" s="74">
        <v>36831</v>
      </c>
      <c r="T7323" s="77">
        <v>0.375</v>
      </c>
      <c r="V7323">
        <v>48.019999999999996</v>
      </c>
      <c r="X7323" s="42"/>
      <c r="AB7323">
        <v>50.3</v>
      </c>
      <c r="AC7323">
        <v>60.08</v>
      </c>
      <c r="AE7323" s="74"/>
      <c r="AF7323" s="77"/>
      <c r="AH7323" s="497">
        <v>51.8</v>
      </c>
      <c r="AJ7323" s="42"/>
      <c r="AK7323" s="74"/>
      <c r="AL7323" s="77"/>
      <c r="AN7323" s="497">
        <v>35.96</v>
      </c>
      <c r="AP7323" s="42"/>
      <c r="AQ7323" s="74"/>
      <c r="AR7323" s="77"/>
      <c r="AT7323" s="497">
        <v>46.94</v>
      </c>
      <c r="AV7323" s="42"/>
      <c r="AW7323" s="74"/>
      <c r="AX7323" s="77"/>
      <c r="BA7323" s="497">
        <v>39.019999999999996</v>
      </c>
      <c r="BB7323" s="42"/>
      <c r="BC7323" s="74"/>
      <c r="BD7323" s="77"/>
      <c r="BF7323">
        <v>42.980000000000004</v>
      </c>
      <c r="BH7323" s="42"/>
      <c r="BI7323" s="74"/>
      <c r="BJ7323" s="77"/>
      <c r="BL7323" s="497">
        <v>42.08</v>
      </c>
      <c r="BN7323" s="42"/>
      <c r="BO7323" s="74"/>
      <c r="BP7323" s="77"/>
      <c r="BR7323" s="497">
        <v>39.019999999999996</v>
      </c>
      <c r="BT7323" s="42"/>
    </row>
    <row r="7324" spans="1:72" x14ac:dyDescent="0.25">
      <c r="A7324" s="90">
        <v>36831</v>
      </c>
      <c r="B7324" s="20">
        <v>0.41666666666666669</v>
      </c>
      <c r="D7324">
        <v>64.94</v>
      </c>
      <c r="E7324" t="str">
        <f t="shared" si="264"/>
        <v>WEEKDAY</v>
      </c>
      <c r="F7324" t="e">
        <f t="shared" si="263"/>
        <v>#N/A</v>
      </c>
      <c r="G7324" s="74">
        <v>28795</v>
      </c>
      <c r="H7324" s="77">
        <v>0.41666666666666669</v>
      </c>
      <c r="J7324">
        <v>55.94</v>
      </c>
      <c r="M7324" s="74">
        <v>36100</v>
      </c>
      <c r="N7324" s="77">
        <v>0.41666666666666669</v>
      </c>
      <c r="P7324">
        <v>50</v>
      </c>
      <c r="S7324" s="74">
        <v>36831</v>
      </c>
      <c r="T7324" s="77">
        <v>0.41666666666666669</v>
      </c>
      <c r="V7324">
        <v>51.08</v>
      </c>
      <c r="X7324" s="42"/>
      <c r="AB7324">
        <v>52.2</v>
      </c>
      <c r="AC7324">
        <v>64.039999999999992</v>
      </c>
      <c r="AE7324" s="74"/>
      <c r="AF7324" s="77"/>
      <c r="AH7324" s="497">
        <v>57.2</v>
      </c>
      <c r="AJ7324" s="42"/>
      <c r="AK7324" s="74"/>
      <c r="AL7324" s="77"/>
      <c r="AN7324" s="497">
        <v>39.019999999999996</v>
      </c>
      <c r="AP7324" s="42"/>
      <c r="AQ7324" s="74"/>
      <c r="AR7324" s="77"/>
      <c r="AT7324" s="497">
        <v>46.94</v>
      </c>
      <c r="AV7324" s="42"/>
      <c r="AW7324" s="74"/>
      <c r="AX7324" s="77"/>
      <c r="BA7324" s="497">
        <v>46.04</v>
      </c>
      <c r="BB7324" s="42"/>
      <c r="BC7324" s="74"/>
      <c r="BD7324" s="77"/>
      <c r="BF7324">
        <v>48.019999999999996</v>
      </c>
      <c r="BH7324" s="42"/>
      <c r="BI7324" s="74"/>
      <c r="BJ7324" s="77"/>
      <c r="BL7324" s="497">
        <v>44.06</v>
      </c>
      <c r="BN7324" s="42"/>
      <c r="BO7324" s="74"/>
      <c r="BP7324" s="77"/>
      <c r="BR7324" s="497">
        <v>44.96</v>
      </c>
      <c r="BT7324" s="42"/>
    </row>
    <row r="7325" spans="1:72" x14ac:dyDescent="0.25">
      <c r="A7325" s="90">
        <v>36831</v>
      </c>
      <c r="B7325" s="20">
        <v>0.45833333333333331</v>
      </c>
      <c r="D7325">
        <v>64.039999999999992</v>
      </c>
      <c r="E7325" t="str">
        <f t="shared" si="264"/>
        <v>WEEKDAY</v>
      </c>
      <c r="F7325" t="e">
        <f t="shared" si="263"/>
        <v>#N/A</v>
      </c>
      <c r="G7325" s="74">
        <v>28795</v>
      </c>
      <c r="H7325" s="77">
        <v>0.45833333333333331</v>
      </c>
      <c r="J7325">
        <v>57.92</v>
      </c>
      <c r="M7325" s="74">
        <v>36100</v>
      </c>
      <c r="N7325" s="77">
        <v>0.45833333333333331</v>
      </c>
      <c r="P7325">
        <v>53.6</v>
      </c>
      <c r="S7325" s="74">
        <v>36831</v>
      </c>
      <c r="T7325" s="77">
        <v>0.45833333333333331</v>
      </c>
      <c r="V7325">
        <v>53.06</v>
      </c>
      <c r="X7325" s="42"/>
      <c r="AB7325">
        <v>53.8</v>
      </c>
      <c r="AC7325">
        <v>66.02</v>
      </c>
      <c r="AE7325" s="74"/>
      <c r="AF7325" s="77"/>
      <c r="AH7325" s="497">
        <v>60.8</v>
      </c>
      <c r="AJ7325" s="42"/>
      <c r="AK7325" s="74"/>
      <c r="AL7325" s="77"/>
      <c r="AN7325" s="497">
        <v>39.92</v>
      </c>
      <c r="AP7325" s="42"/>
      <c r="AQ7325" s="74"/>
      <c r="AR7325" s="77"/>
      <c r="AT7325" s="497">
        <v>48.92</v>
      </c>
      <c r="AV7325" s="42"/>
      <c r="AW7325" s="74"/>
      <c r="AX7325" s="77"/>
      <c r="BA7325" s="497">
        <v>51.980000000000004</v>
      </c>
      <c r="BB7325" s="42"/>
      <c r="BC7325" s="74"/>
      <c r="BD7325" s="77"/>
      <c r="BF7325">
        <v>51.08</v>
      </c>
      <c r="BH7325" s="42"/>
      <c r="BI7325" s="74"/>
      <c r="BJ7325" s="77"/>
      <c r="BL7325" s="497">
        <v>46.04</v>
      </c>
      <c r="BN7325" s="42"/>
      <c r="BO7325" s="74"/>
      <c r="BP7325" s="77"/>
      <c r="BR7325" s="497">
        <v>48.019999999999996</v>
      </c>
      <c r="BT7325" s="42"/>
    </row>
    <row r="7326" spans="1:72" x14ac:dyDescent="0.25">
      <c r="A7326" s="90">
        <v>36831</v>
      </c>
      <c r="B7326" s="20">
        <v>0.5</v>
      </c>
      <c r="D7326">
        <v>64.039999999999992</v>
      </c>
      <c r="E7326" t="str">
        <f t="shared" si="264"/>
        <v>WEEKDAY</v>
      </c>
      <c r="F7326" t="e">
        <f t="shared" si="263"/>
        <v>#N/A</v>
      </c>
      <c r="G7326" s="74">
        <v>28795</v>
      </c>
      <c r="H7326" s="77">
        <v>0.5</v>
      </c>
      <c r="J7326">
        <v>60.08</v>
      </c>
      <c r="M7326" s="74">
        <v>36100</v>
      </c>
      <c r="N7326" s="77">
        <v>0.5</v>
      </c>
      <c r="P7326">
        <v>55.58</v>
      </c>
      <c r="S7326" s="74">
        <v>36831</v>
      </c>
      <c r="T7326" s="77">
        <v>0.5</v>
      </c>
      <c r="V7326">
        <v>55.040000000000006</v>
      </c>
      <c r="X7326" s="42"/>
      <c r="AB7326">
        <v>55.2</v>
      </c>
      <c r="AC7326">
        <v>66.92</v>
      </c>
      <c r="AE7326" s="74"/>
      <c r="AF7326" s="77"/>
      <c r="AH7326" s="497">
        <v>64.400000000000006</v>
      </c>
      <c r="AJ7326" s="42"/>
      <c r="AK7326" s="74"/>
      <c r="AL7326" s="77"/>
      <c r="AN7326" s="497">
        <v>41</v>
      </c>
      <c r="AP7326" s="42"/>
      <c r="AQ7326" s="74"/>
      <c r="AR7326" s="77"/>
      <c r="AT7326" s="497">
        <v>50</v>
      </c>
      <c r="AV7326" s="42"/>
      <c r="AW7326" s="74"/>
      <c r="AX7326" s="77"/>
      <c r="BA7326" s="497">
        <v>55.94</v>
      </c>
      <c r="BB7326" s="42"/>
      <c r="BC7326" s="74"/>
      <c r="BD7326" s="77"/>
      <c r="BF7326">
        <v>51.980000000000004</v>
      </c>
      <c r="BH7326" s="42"/>
      <c r="BI7326" s="74"/>
      <c r="BJ7326" s="77"/>
      <c r="BL7326" s="497">
        <v>48.019999999999996</v>
      </c>
      <c r="BN7326" s="42"/>
      <c r="BO7326" s="74"/>
      <c r="BP7326" s="77"/>
      <c r="BR7326" s="497">
        <v>50</v>
      </c>
      <c r="BT7326" s="42"/>
    </row>
    <row r="7327" spans="1:72" x14ac:dyDescent="0.25">
      <c r="A7327" s="90">
        <v>36831</v>
      </c>
      <c r="B7327" s="20">
        <v>0.54166666666666663</v>
      </c>
      <c r="D7327">
        <v>62.96</v>
      </c>
      <c r="E7327" t="str">
        <f t="shared" si="264"/>
        <v>WEEKDAY</v>
      </c>
      <c r="F7327" t="e">
        <f t="shared" si="263"/>
        <v>#N/A</v>
      </c>
      <c r="G7327" s="74">
        <v>28795</v>
      </c>
      <c r="H7327" s="77">
        <v>0.54166666666666663</v>
      </c>
      <c r="J7327">
        <v>62.06</v>
      </c>
      <c r="M7327" s="74">
        <v>36100</v>
      </c>
      <c r="N7327" s="77">
        <v>0.54166666666666663</v>
      </c>
      <c r="P7327">
        <v>55.94</v>
      </c>
      <c r="S7327" s="74">
        <v>36831</v>
      </c>
      <c r="T7327" s="77">
        <v>0.54166666666666663</v>
      </c>
      <c r="V7327">
        <v>55.94</v>
      </c>
      <c r="X7327" s="42"/>
      <c r="AB7327">
        <v>56.2</v>
      </c>
      <c r="AC7327">
        <v>68</v>
      </c>
      <c r="AE7327" s="74"/>
      <c r="AF7327" s="77"/>
      <c r="AH7327" s="497">
        <v>64.400000000000006</v>
      </c>
      <c r="AJ7327" s="42"/>
      <c r="AK7327" s="74"/>
      <c r="AL7327" s="77"/>
      <c r="AN7327" s="497">
        <v>42.08</v>
      </c>
      <c r="AP7327" s="42"/>
      <c r="AQ7327" s="74"/>
      <c r="AR7327" s="77"/>
      <c r="AT7327" s="497">
        <v>50</v>
      </c>
      <c r="AV7327" s="42"/>
      <c r="AW7327" s="74"/>
      <c r="AX7327" s="77"/>
      <c r="BA7327" s="497">
        <v>57.019999999999996</v>
      </c>
      <c r="BB7327" s="42"/>
      <c r="BC7327" s="74"/>
      <c r="BD7327" s="77"/>
      <c r="BF7327">
        <v>53.06</v>
      </c>
      <c r="BH7327" s="42"/>
      <c r="BI7327" s="74"/>
      <c r="BJ7327" s="77"/>
      <c r="BL7327" s="497">
        <v>53.06</v>
      </c>
      <c r="BN7327" s="42"/>
      <c r="BO7327" s="74"/>
      <c r="BP7327" s="77"/>
      <c r="BR7327" s="497">
        <v>50</v>
      </c>
      <c r="BT7327" s="42"/>
    </row>
    <row r="7328" spans="1:72" x14ac:dyDescent="0.25">
      <c r="A7328" s="90">
        <v>36831</v>
      </c>
      <c r="B7328" s="20">
        <v>0.58333333333333337</v>
      </c>
      <c r="D7328">
        <v>64.94</v>
      </c>
      <c r="E7328" t="str">
        <f t="shared" si="264"/>
        <v>WEEKDAY</v>
      </c>
      <c r="F7328" t="e">
        <f t="shared" si="263"/>
        <v>#N/A</v>
      </c>
      <c r="G7328" s="74">
        <v>28795</v>
      </c>
      <c r="H7328" s="77">
        <v>0.58333333333333337</v>
      </c>
      <c r="J7328">
        <v>60.08</v>
      </c>
      <c r="M7328" s="74">
        <v>36100</v>
      </c>
      <c r="N7328" s="77">
        <v>0.58333333333333337</v>
      </c>
      <c r="P7328">
        <v>57.92</v>
      </c>
      <c r="S7328" s="74">
        <v>36831</v>
      </c>
      <c r="T7328" s="77">
        <v>0.58333333333333337</v>
      </c>
      <c r="V7328">
        <v>57.92</v>
      </c>
      <c r="X7328" s="42"/>
      <c r="AB7328">
        <v>56.8</v>
      </c>
      <c r="AC7328">
        <v>68</v>
      </c>
      <c r="AE7328" s="74"/>
      <c r="AF7328" s="77"/>
      <c r="AH7328" s="497">
        <v>66.2</v>
      </c>
      <c r="AJ7328" s="42"/>
      <c r="AK7328" s="74"/>
      <c r="AL7328" s="77"/>
      <c r="AN7328" s="497">
        <v>42.08</v>
      </c>
      <c r="AP7328" s="42"/>
      <c r="AQ7328" s="74"/>
      <c r="AR7328" s="77"/>
      <c r="AT7328" s="497">
        <v>51.08</v>
      </c>
      <c r="AV7328" s="42"/>
      <c r="AW7328" s="74"/>
      <c r="AX7328" s="77"/>
      <c r="BA7328" s="497">
        <v>57.92</v>
      </c>
      <c r="BB7328" s="42"/>
      <c r="BC7328" s="74"/>
      <c r="BD7328" s="77"/>
      <c r="BF7328">
        <v>51.08</v>
      </c>
      <c r="BH7328" s="42"/>
      <c r="BI7328" s="74"/>
      <c r="BJ7328" s="77"/>
      <c r="BL7328" s="497">
        <v>53.06</v>
      </c>
      <c r="BN7328" s="42"/>
      <c r="BO7328" s="74"/>
      <c r="BP7328" s="77"/>
      <c r="BR7328" s="497">
        <v>51.980000000000004</v>
      </c>
      <c r="BT7328" s="42"/>
    </row>
    <row r="7329" spans="1:72" x14ac:dyDescent="0.25">
      <c r="A7329" s="90">
        <v>36831</v>
      </c>
      <c r="B7329" s="20">
        <v>0.625</v>
      </c>
      <c r="D7329">
        <v>64.94</v>
      </c>
      <c r="E7329" t="str">
        <f t="shared" si="264"/>
        <v>WEEKDAY</v>
      </c>
      <c r="F7329" t="e">
        <f t="shared" si="263"/>
        <v>#N/A</v>
      </c>
      <c r="G7329" s="74">
        <v>28795</v>
      </c>
      <c r="H7329" s="77">
        <v>0.625</v>
      </c>
      <c r="J7329">
        <v>60.980000000000004</v>
      </c>
      <c r="M7329" s="74">
        <v>36100</v>
      </c>
      <c r="N7329" s="77">
        <v>0.625</v>
      </c>
      <c r="P7329">
        <v>57.379999999999995</v>
      </c>
      <c r="S7329" s="74">
        <v>36831</v>
      </c>
      <c r="T7329" s="77">
        <v>0.625</v>
      </c>
      <c r="V7329">
        <v>57.019999999999996</v>
      </c>
      <c r="X7329" s="42"/>
      <c r="AB7329">
        <v>57.1</v>
      </c>
      <c r="AC7329">
        <v>68</v>
      </c>
      <c r="AE7329" s="74"/>
      <c r="AF7329" s="77"/>
      <c r="AH7329" s="497">
        <v>68</v>
      </c>
      <c r="AJ7329" s="42"/>
      <c r="AK7329" s="74"/>
      <c r="AL7329" s="77"/>
      <c r="AN7329" s="497">
        <v>42.08</v>
      </c>
      <c r="AP7329" s="42"/>
      <c r="AQ7329" s="74"/>
      <c r="AR7329" s="77"/>
      <c r="AT7329" s="497">
        <v>50</v>
      </c>
      <c r="AV7329" s="42"/>
      <c r="AW7329" s="74"/>
      <c r="AX7329" s="77"/>
      <c r="BA7329" s="497">
        <v>57.92</v>
      </c>
      <c r="BB7329" s="42"/>
      <c r="BC7329" s="74"/>
      <c r="BD7329" s="77"/>
      <c r="BF7329">
        <v>48.92</v>
      </c>
      <c r="BH7329" s="42"/>
      <c r="BI7329" s="74"/>
      <c r="BJ7329" s="77"/>
      <c r="BL7329" s="497">
        <v>53.06</v>
      </c>
      <c r="BN7329" s="42"/>
      <c r="BO7329" s="74"/>
      <c r="BP7329" s="77"/>
      <c r="BR7329" s="497">
        <v>51.980000000000004</v>
      </c>
      <c r="BT7329" s="42"/>
    </row>
    <row r="7330" spans="1:72" x14ac:dyDescent="0.25">
      <c r="A7330" s="90">
        <v>36831</v>
      </c>
      <c r="B7330" s="20">
        <v>0.66666666666666663</v>
      </c>
      <c r="D7330">
        <v>64.94</v>
      </c>
      <c r="E7330" t="str">
        <f t="shared" si="264"/>
        <v>WEEKDAY</v>
      </c>
      <c r="F7330" t="e">
        <f t="shared" si="263"/>
        <v>#N/A</v>
      </c>
      <c r="G7330" s="74">
        <v>28795</v>
      </c>
      <c r="H7330" s="77">
        <v>0.66666666666666663</v>
      </c>
      <c r="J7330">
        <v>59</v>
      </c>
      <c r="M7330" s="74">
        <v>36100</v>
      </c>
      <c r="N7330" s="77">
        <v>0.66666666666666663</v>
      </c>
      <c r="P7330">
        <v>56.66</v>
      </c>
      <c r="S7330" s="74">
        <v>36831</v>
      </c>
      <c r="T7330" s="77">
        <v>0.66666666666666663</v>
      </c>
      <c r="V7330">
        <v>55.94</v>
      </c>
      <c r="X7330" s="42"/>
      <c r="AB7330">
        <v>56.8</v>
      </c>
      <c r="AC7330">
        <v>64.94</v>
      </c>
      <c r="AE7330" s="74"/>
      <c r="AF7330" s="77"/>
      <c r="AH7330" s="497">
        <v>66.2</v>
      </c>
      <c r="AJ7330" s="42"/>
      <c r="AK7330" s="74"/>
      <c r="AL7330" s="77"/>
      <c r="AN7330" s="497">
        <v>42.08</v>
      </c>
      <c r="AP7330" s="42"/>
      <c r="AQ7330" s="74"/>
      <c r="AR7330" s="77"/>
      <c r="AT7330" s="497">
        <v>48.92</v>
      </c>
      <c r="AV7330" s="42"/>
      <c r="AW7330" s="74"/>
      <c r="AX7330" s="77"/>
      <c r="BA7330" s="497">
        <v>57.019999999999996</v>
      </c>
      <c r="BB7330" s="42"/>
      <c r="BC7330" s="74"/>
      <c r="BD7330" s="77"/>
      <c r="BF7330">
        <v>48.92</v>
      </c>
      <c r="BH7330" s="42"/>
      <c r="BI7330" s="74"/>
      <c r="BJ7330" s="77"/>
      <c r="BL7330" s="497">
        <v>51.980000000000004</v>
      </c>
      <c r="BN7330" s="42"/>
      <c r="BO7330" s="74"/>
      <c r="BP7330" s="77"/>
      <c r="BR7330" s="497">
        <v>50</v>
      </c>
      <c r="BT7330" s="42"/>
    </row>
    <row r="7331" spans="1:72" x14ac:dyDescent="0.25">
      <c r="A7331" s="90">
        <v>36831</v>
      </c>
      <c r="B7331" s="20">
        <v>0.70833333333333337</v>
      </c>
      <c r="D7331">
        <v>66.02</v>
      </c>
      <c r="E7331" t="str">
        <f t="shared" si="264"/>
        <v>WEEKDAY</v>
      </c>
      <c r="F7331" t="e">
        <f t="shared" si="263"/>
        <v>#N/A</v>
      </c>
      <c r="G7331" s="74">
        <v>28795</v>
      </c>
      <c r="H7331" s="77">
        <v>0.70833333333333337</v>
      </c>
      <c r="J7331">
        <v>55.040000000000006</v>
      </c>
      <c r="M7331" s="74">
        <v>36100</v>
      </c>
      <c r="N7331" s="77">
        <v>0.70833333333333337</v>
      </c>
      <c r="P7331">
        <v>53.42</v>
      </c>
      <c r="S7331" s="74">
        <v>36831</v>
      </c>
      <c r="T7331" s="77">
        <v>0.70833333333333337</v>
      </c>
      <c r="V7331">
        <v>55.040000000000006</v>
      </c>
      <c r="X7331" s="42"/>
      <c r="AB7331">
        <v>55.9</v>
      </c>
      <c r="AC7331">
        <v>62.06</v>
      </c>
      <c r="AE7331" s="74"/>
      <c r="AF7331" s="77"/>
      <c r="AH7331" s="497">
        <v>66.2</v>
      </c>
      <c r="AJ7331" s="42"/>
      <c r="AK7331" s="74"/>
      <c r="AL7331" s="77"/>
      <c r="AN7331" s="497">
        <v>41</v>
      </c>
      <c r="AP7331" s="42"/>
      <c r="AQ7331" s="74"/>
      <c r="AR7331" s="77"/>
      <c r="AT7331" s="497">
        <v>46.94</v>
      </c>
      <c r="AV7331" s="42"/>
      <c r="AW7331" s="74"/>
      <c r="AX7331" s="77"/>
      <c r="BA7331" s="497">
        <v>48.92</v>
      </c>
      <c r="BB7331" s="42"/>
      <c r="BC7331" s="74"/>
      <c r="BD7331" s="77"/>
      <c r="BF7331">
        <v>48.92</v>
      </c>
      <c r="BH7331" s="42"/>
      <c r="BI7331" s="74"/>
      <c r="BJ7331" s="77"/>
      <c r="BL7331" s="497">
        <v>50</v>
      </c>
      <c r="BN7331" s="42"/>
      <c r="BO7331" s="74"/>
      <c r="BP7331" s="77"/>
      <c r="BR7331" s="497">
        <v>44.96</v>
      </c>
      <c r="BT7331" s="42"/>
    </row>
    <row r="7332" spans="1:72" x14ac:dyDescent="0.25">
      <c r="A7332" s="90">
        <v>36831</v>
      </c>
      <c r="B7332" s="20">
        <v>0.75</v>
      </c>
      <c r="D7332">
        <v>64.94</v>
      </c>
      <c r="E7332" t="str">
        <f t="shared" si="264"/>
        <v>WEEKDAY</v>
      </c>
      <c r="F7332" t="e">
        <f t="shared" si="263"/>
        <v>#N/A</v>
      </c>
      <c r="G7332" s="74">
        <v>28795</v>
      </c>
      <c r="H7332" s="77">
        <v>0.75</v>
      </c>
      <c r="J7332">
        <v>53.96</v>
      </c>
      <c r="M7332" s="74">
        <v>36100</v>
      </c>
      <c r="N7332" s="77">
        <v>0.75</v>
      </c>
      <c r="P7332">
        <v>51.8</v>
      </c>
      <c r="S7332" s="74">
        <v>36831</v>
      </c>
      <c r="T7332" s="77">
        <v>0.75</v>
      </c>
      <c r="V7332">
        <v>53.06</v>
      </c>
      <c r="X7332" s="42"/>
      <c r="AB7332">
        <v>54.4</v>
      </c>
      <c r="AC7332">
        <v>60.08</v>
      </c>
      <c r="AE7332" s="74"/>
      <c r="AF7332" s="77"/>
      <c r="AH7332" s="497">
        <v>62.6</v>
      </c>
      <c r="AJ7332" s="42"/>
      <c r="AK7332" s="74"/>
      <c r="AL7332" s="77"/>
      <c r="AN7332" s="497">
        <v>39.92</v>
      </c>
      <c r="AP7332" s="42"/>
      <c r="AQ7332" s="74"/>
      <c r="AR7332" s="77"/>
      <c r="AT7332" s="497">
        <v>44.96</v>
      </c>
      <c r="AV7332" s="42"/>
      <c r="AW7332" s="74"/>
      <c r="AX7332" s="77"/>
      <c r="BA7332" s="497">
        <v>44.96</v>
      </c>
      <c r="BB7332" s="42"/>
      <c r="BC7332" s="74"/>
      <c r="BD7332" s="77"/>
      <c r="BF7332">
        <v>46.94</v>
      </c>
      <c r="BH7332" s="42"/>
      <c r="BI7332" s="74"/>
      <c r="BJ7332" s="77"/>
      <c r="BL7332" s="497">
        <v>46.04</v>
      </c>
      <c r="BN7332" s="42"/>
      <c r="BO7332" s="74"/>
      <c r="BP7332" s="77"/>
      <c r="BR7332" s="497">
        <v>35.06</v>
      </c>
      <c r="BT7332" s="42"/>
    </row>
    <row r="7333" spans="1:72" x14ac:dyDescent="0.25">
      <c r="A7333" s="90">
        <v>36831</v>
      </c>
      <c r="B7333" s="20">
        <v>0.79166666666666663</v>
      </c>
      <c r="D7333">
        <v>64.94</v>
      </c>
      <c r="E7333" t="str">
        <f t="shared" si="264"/>
        <v>WEEKDAY</v>
      </c>
      <c r="F7333" t="e">
        <f t="shared" si="263"/>
        <v>#N/A</v>
      </c>
      <c r="G7333" s="74">
        <v>28795</v>
      </c>
      <c r="H7333" s="77">
        <v>0.79166666666666663</v>
      </c>
      <c r="J7333">
        <v>53.96</v>
      </c>
      <c r="M7333" s="74">
        <v>36100</v>
      </c>
      <c r="N7333" s="77">
        <v>0.79166666666666663</v>
      </c>
      <c r="P7333">
        <v>50</v>
      </c>
      <c r="S7333" s="74">
        <v>36831</v>
      </c>
      <c r="T7333" s="77">
        <v>0.79166666666666663</v>
      </c>
      <c r="V7333">
        <v>51.980000000000004</v>
      </c>
      <c r="X7333" s="42"/>
      <c r="AB7333">
        <v>53.5</v>
      </c>
      <c r="AC7333">
        <v>60.08</v>
      </c>
      <c r="AE7333" s="74"/>
      <c r="AF7333" s="77"/>
      <c r="AH7333" s="497">
        <v>60.8</v>
      </c>
      <c r="AJ7333" s="42"/>
      <c r="AK7333" s="74"/>
      <c r="AL7333" s="77"/>
      <c r="AN7333" s="497">
        <v>37.94</v>
      </c>
      <c r="AP7333" s="42"/>
      <c r="AQ7333" s="74"/>
      <c r="AR7333" s="77"/>
      <c r="AT7333" s="497">
        <v>44.96</v>
      </c>
      <c r="AV7333" s="42"/>
      <c r="AW7333" s="74"/>
      <c r="AX7333" s="77"/>
      <c r="BA7333" s="497">
        <v>44.06</v>
      </c>
      <c r="BB7333" s="42"/>
      <c r="BC7333" s="74"/>
      <c r="BD7333" s="77"/>
      <c r="BF7333">
        <v>44.06</v>
      </c>
      <c r="BH7333" s="42"/>
      <c r="BI7333" s="74"/>
      <c r="BJ7333" s="77"/>
      <c r="BL7333" s="497">
        <v>46.04</v>
      </c>
      <c r="BN7333" s="42"/>
      <c r="BO7333" s="74"/>
      <c r="BP7333" s="77"/>
      <c r="BR7333" s="497">
        <v>32</v>
      </c>
      <c r="BT7333" s="42"/>
    </row>
    <row r="7334" spans="1:72" x14ac:dyDescent="0.25">
      <c r="A7334" s="90">
        <v>36831</v>
      </c>
      <c r="B7334" s="20">
        <v>0.83333333333333337</v>
      </c>
      <c r="D7334">
        <v>55.94</v>
      </c>
      <c r="E7334" t="str">
        <f t="shared" si="264"/>
        <v>WEEKDAY</v>
      </c>
      <c r="F7334" t="e">
        <f t="shared" si="263"/>
        <v>#N/A</v>
      </c>
      <c r="G7334" s="74">
        <v>28795</v>
      </c>
      <c r="H7334" s="77">
        <v>0.83333333333333337</v>
      </c>
      <c r="J7334">
        <v>53.06</v>
      </c>
      <c r="M7334" s="74">
        <v>36100</v>
      </c>
      <c r="N7334" s="77">
        <v>0.83333333333333337</v>
      </c>
      <c r="P7334">
        <v>50</v>
      </c>
      <c r="S7334" s="74">
        <v>36831</v>
      </c>
      <c r="T7334" s="77">
        <v>0.83333333333333337</v>
      </c>
      <c r="V7334">
        <v>51.08</v>
      </c>
      <c r="X7334" s="42"/>
      <c r="AB7334">
        <v>53</v>
      </c>
      <c r="AC7334">
        <v>59</v>
      </c>
      <c r="AE7334" s="74"/>
      <c r="AF7334" s="77"/>
      <c r="AH7334" s="497">
        <v>60.8</v>
      </c>
      <c r="AJ7334" s="42"/>
      <c r="AK7334" s="74"/>
      <c r="AL7334" s="77"/>
      <c r="AN7334" s="497">
        <v>37.94</v>
      </c>
      <c r="AP7334" s="42"/>
      <c r="AQ7334" s="74"/>
      <c r="AR7334" s="77"/>
      <c r="AT7334" s="497">
        <v>44.06</v>
      </c>
      <c r="AV7334" s="42"/>
      <c r="AW7334" s="74"/>
      <c r="AX7334" s="77"/>
      <c r="BA7334" s="497">
        <v>39.92</v>
      </c>
      <c r="BB7334" s="42"/>
      <c r="BC7334" s="74"/>
      <c r="BD7334" s="77"/>
      <c r="BF7334">
        <v>44.96</v>
      </c>
      <c r="BH7334" s="42"/>
      <c r="BI7334" s="74"/>
      <c r="BJ7334" s="77"/>
      <c r="BL7334" s="497">
        <v>44.96</v>
      </c>
      <c r="BN7334" s="42"/>
      <c r="BO7334" s="74"/>
      <c r="BP7334" s="77"/>
      <c r="BR7334" s="497">
        <v>30.02</v>
      </c>
      <c r="BT7334" s="42"/>
    </row>
    <row r="7335" spans="1:72" x14ac:dyDescent="0.25">
      <c r="A7335" s="90">
        <v>36831</v>
      </c>
      <c r="B7335" s="20">
        <v>0.875</v>
      </c>
      <c r="D7335">
        <v>57.019999999999996</v>
      </c>
      <c r="E7335" t="str">
        <f t="shared" si="264"/>
        <v>WEEKDAY</v>
      </c>
      <c r="F7335" t="e">
        <f t="shared" si="263"/>
        <v>#N/A</v>
      </c>
      <c r="G7335" s="74">
        <v>28795</v>
      </c>
      <c r="H7335" s="77">
        <v>0.875</v>
      </c>
      <c r="J7335">
        <v>51.980000000000004</v>
      </c>
      <c r="M7335" s="74">
        <v>36100</v>
      </c>
      <c r="N7335" s="77">
        <v>0.875</v>
      </c>
      <c r="P7335">
        <v>50</v>
      </c>
      <c r="S7335" s="74">
        <v>36831</v>
      </c>
      <c r="T7335" s="77">
        <v>0.875</v>
      </c>
      <c r="V7335">
        <v>50</v>
      </c>
      <c r="X7335" s="42"/>
      <c r="AB7335">
        <v>52.4</v>
      </c>
      <c r="AC7335">
        <v>57.92</v>
      </c>
      <c r="AE7335" s="74"/>
      <c r="AF7335" s="77"/>
      <c r="AH7335" s="497">
        <v>59</v>
      </c>
      <c r="AJ7335" s="42"/>
      <c r="AK7335" s="74"/>
      <c r="AL7335" s="77"/>
      <c r="AN7335" s="497">
        <v>39.019999999999996</v>
      </c>
      <c r="AP7335" s="42"/>
      <c r="AQ7335" s="74"/>
      <c r="AR7335" s="77"/>
      <c r="AT7335" s="497">
        <v>44.06</v>
      </c>
      <c r="AV7335" s="42"/>
      <c r="AW7335" s="74"/>
      <c r="AX7335" s="77"/>
      <c r="BA7335" s="497">
        <v>39.019999999999996</v>
      </c>
      <c r="BB7335" s="42"/>
      <c r="BC7335" s="74"/>
      <c r="BD7335" s="77"/>
      <c r="BF7335">
        <v>39.92</v>
      </c>
      <c r="BH7335" s="42"/>
      <c r="BI7335" s="74"/>
      <c r="BJ7335" s="77"/>
      <c r="BL7335" s="497">
        <v>44.96</v>
      </c>
      <c r="BN7335" s="42"/>
      <c r="BO7335" s="74"/>
      <c r="BP7335" s="77"/>
      <c r="BR7335" s="497">
        <v>37.94</v>
      </c>
      <c r="BT7335" s="42"/>
    </row>
    <row r="7336" spans="1:72" x14ac:dyDescent="0.25">
      <c r="A7336" s="90">
        <v>36831</v>
      </c>
      <c r="B7336" s="20">
        <v>0.91666666666666663</v>
      </c>
      <c r="D7336">
        <v>55.040000000000006</v>
      </c>
      <c r="E7336" t="str">
        <f t="shared" si="264"/>
        <v>WEEKDAY</v>
      </c>
      <c r="F7336" t="e">
        <f t="shared" si="263"/>
        <v>#N/A</v>
      </c>
      <c r="G7336" s="74">
        <v>28795</v>
      </c>
      <c r="H7336" s="77">
        <v>0.91666666666666663</v>
      </c>
      <c r="J7336">
        <v>50</v>
      </c>
      <c r="M7336" s="74">
        <v>36100</v>
      </c>
      <c r="N7336" s="77">
        <v>0.91666666666666663</v>
      </c>
      <c r="P7336">
        <v>50</v>
      </c>
      <c r="S7336" s="74">
        <v>36831</v>
      </c>
      <c r="T7336" s="77">
        <v>0.91666666666666663</v>
      </c>
      <c r="V7336">
        <v>48.92</v>
      </c>
      <c r="X7336" s="42"/>
      <c r="AB7336">
        <v>51.7</v>
      </c>
      <c r="AC7336">
        <v>57.92</v>
      </c>
      <c r="AE7336" s="74"/>
      <c r="AF7336" s="77"/>
      <c r="AH7336" s="497">
        <v>59</v>
      </c>
      <c r="AJ7336" s="42"/>
      <c r="AK7336" s="74"/>
      <c r="AL7336" s="77"/>
      <c r="AN7336" s="497">
        <v>39.019999999999996</v>
      </c>
      <c r="AP7336" s="42"/>
      <c r="AQ7336" s="74"/>
      <c r="AR7336" s="77"/>
      <c r="AT7336" s="497">
        <v>42.08</v>
      </c>
      <c r="AV7336" s="42"/>
      <c r="AW7336" s="74"/>
      <c r="AX7336" s="77"/>
      <c r="BA7336" s="497">
        <v>37.04</v>
      </c>
      <c r="BB7336" s="42"/>
      <c r="BC7336" s="74"/>
      <c r="BD7336" s="77"/>
      <c r="BF7336">
        <v>39.92</v>
      </c>
      <c r="BH7336" s="42"/>
      <c r="BI7336" s="74"/>
      <c r="BJ7336" s="77"/>
      <c r="BL7336" s="497">
        <v>44.06</v>
      </c>
      <c r="BN7336" s="42"/>
      <c r="BO7336" s="74"/>
      <c r="BP7336" s="77"/>
      <c r="BR7336" s="497">
        <v>37.04</v>
      </c>
      <c r="BT7336" s="42"/>
    </row>
    <row r="7337" spans="1:72" x14ac:dyDescent="0.25">
      <c r="A7337" s="90">
        <v>36831</v>
      </c>
      <c r="B7337" s="20">
        <v>0.95833333333333337</v>
      </c>
      <c r="D7337">
        <v>53.96</v>
      </c>
      <c r="E7337" t="str">
        <f t="shared" si="264"/>
        <v>WEEKDAY</v>
      </c>
      <c r="F7337" t="e">
        <f t="shared" si="263"/>
        <v>#N/A</v>
      </c>
      <c r="G7337" s="74">
        <v>28795</v>
      </c>
      <c r="H7337" s="77">
        <v>0.95833333333333337</v>
      </c>
      <c r="J7337">
        <v>51.08</v>
      </c>
      <c r="M7337" s="74">
        <v>36100</v>
      </c>
      <c r="N7337" s="77">
        <v>0.95833333333333337</v>
      </c>
      <c r="P7337">
        <v>48.2</v>
      </c>
      <c r="S7337" s="74">
        <v>36831</v>
      </c>
      <c r="T7337" s="77">
        <v>0.95833333333333337</v>
      </c>
      <c r="V7337">
        <v>48.92</v>
      </c>
      <c r="X7337" s="42"/>
      <c r="AB7337">
        <v>51.1</v>
      </c>
      <c r="AC7337">
        <v>59</v>
      </c>
      <c r="AE7337" s="74"/>
      <c r="AF7337" s="77"/>
      <c r="AH7337" s="497">
        <v>53.6</v>
      </c>
      <c r="AJ7337" s="42"/>
      <c r="AK7337" s="74"/>
      <c r="AL7337" s="77"/>
      <c r="AN7337" s="497">
        <v>37.94</v>
      </c>
      <c r="AP7337" s="42"/>
      <c r="AQ7337" s="74"/>
      <c r="AR7337" s="77"/>
      <c r="AT7337" s="497">
        <v>41</v>
      </c>
      <c r="AV7337" s="42"/>
      <c r="AW7337" s="74"/>
      <c r="AX7337" s="77"/>
      <c r="BA7337" s="497">
        <v>35.96</v>
      </c>
      <c r="BB7337" s="42"/>
      <c r="BC7337" s="74"/>
      <c r="BD7337" s="77"/>
      <c r="BF7337">
        <v>39.019999999999996</v>
      </c>
      <c r="BH7337" s="42"/>
      <c r="BI7337" s="74"/>
      <c r="BJ7337" s="77"/>
      <c r="BL7337" s="497">
        <v>42.980000000000004</v>
      </c>
      <c r="BN7337" s="42"/>
      <c r="BO7337" s="74"/>
      <c r="BP7337" s="77"/>
      <c r="BR7337" s="497">
        <v>33.979999999999997</v>
      </c>
      <c r="BT7337" s="42"/>
    </row>
    <row r="7338" spans="1:72" x14ac:dyDescent="0.25">
      <c r="A7338" s="90">
        <v>36831</v>
      </c>
      <c r="B7338" s="20">
        <v>1</v>
      </c>
      <c r="D7338">
        <v>53.06</v>
      </c>
      <c r="E7338" t="str">
        <f t="shared" si="264"/>
        <v>WEEKDAY</v>
      </c>
      <c r="F7338" t="e">
        <f t="shared" si="263"/>
        <v>#N/A</v>
      </c>
      <c r="G7338" s="74">
        <v>28795</v>
      </c>
      <c r="H7338" s="77">
        <v>1</v>
      </c>
      <c r="J7338">
        <v>50</v>
      </c>
      <c r="M7338" s="74">
        <v>36100</v>
      </c>
      <c r="N7338" s="80">
        <v>1</v>
      </c>
      <c r="P7338">
        <v>48.2</v>
      </c>
      <c r="S7338" s="74">
        <v>36831</v>
      </c>
      <c r="T7338" s="80">
        <v>1</v>
      </c>
      <c r="V7338">
        <v>48.92</v>
      </c>
      <c r="X7338" s="42"/>
      <c r="AB7338">
        <v>50.4</v>
      </c>
      <c r="AC7338">
        <v>57.019999999999996</v>
      </c>
      <c r="AE7338" s="74"/>
      <c r="AF7338" s="80"/>
      <c r="AH7338" s="497">
        <v>50</v>
      </c>
      <c r="AJ7338" s="42"/>
      <c r="AK7338" s="74"/>
      <c r="AL7338" s="80"/>
      <c r="AN7338" s="497">
        <v>37.94</v>
      </c>
      <c r="AP7338" s="42"/>
      <c r="AQ7338" s="74"/>
      <c r="AR7338" s="80"/>
      <c r="AT7338" s="497">
        <v>37.94</v>
      </c>
      <c r="AV7338" s="42"/>
      <c r="AW7338" s="74"/>
      <c r="AX7338" s="80"/>
      <c r="BA7338" s="497">
        <v>33.979999999999997</v>
      </c>
      <c r="BB7338" s="42"/>
      <c r="BC7338" s="74"/>
      <c r="BD7338" s="80"/>
      <c r="BF7338">
        <v>37.04</v>
      </c>
      <c r="BH7338" s="42"/>
      <c r="BI7338" s="74"/>
      <c r="BJ7338" s="80"/>
      <c r="BL7338" s="497">
        <v>42.08</v>
      </c>
      <c r="BN7338" s="42"/>
      <c r="BO7338" s="74"/>
      <c r="BP7338" s="80"/>
      <c r="BR7338" s="497">
        <v>33.979999999999997</v>
      </c>
      <c r="BT7338" s="42"/>
    </row>
    <row r="7339" spans="1:72" x14ac:dyDescent="0.25">
      <c r="A7339" s="90">
        <v>36832</v>
      </c>
      <c r="B7339" s="20">
        <v>4.1666666666666664E-2</v>
      </c>
      <c r="D7339">
        <v>51.08</v>
      </c>
      <c r="E7339" t="str">
        <f t="shared" si="264"/>
        <v>WEEKDAY</v>
      </c>
      <c r="F7339" t="e">
        <f t="shared" ref="F7339:F7402" si="265">IF(E7339="WEEKDAY",VLOOKUP(B7339,$DD$19:$DG$42,2),IF(E7339="SATURDAY",VLOOKUP(B7339,$DD$19:$DG$42,3),VLOOKUP(B7339,$DD$19:$DG$42,4)))</f>
        <v>#N/A</v>
      </c>
      <c r="G7339" s="74">
        <v>28796</v>
      </c>
      <c r="H7339" s="77">
        <v>4.1666666666666664E-2</v>
      </c>
      <c r="J7339">
        <v>50</v>
      </c>
      <c r="M7339" s="74">
        <v>36101</v>
      </c>
      <c r="N7339" s="77">
        <v>4.1666666666666664E-2</v>
      </c>
      <c r="P7339">
        <v>46.4</v>
      </c>
      <c r="S7339" s="74">
        <v>36832</v>
      </c>
      <c r="T7339" s="77">
        <v>4.1666666666666664E-2</v>
      </c>
      <c r="V7339">
        <v>48.019999999999996</v>
      </c>
      <c r="X7339" s="42"/>
      <c r="AB7339">
        <v>49.9</v>
      </c>
      <c r="AC7339">
        <v>57.019999999999996</v>
      </c>
      <c r="AE7339" s="74"/>
      <c r="AF7339" s="77"/>
      <c r="AH7339" s="497">
        <v>50</v>
      </c>
      <c r="AJ7339" s="42"/>
      <c r="AK7339" s="74"/>
      <c r="AL7339" s="77"/>
      <c r="AN7339" s="497">
        <v>37.94</v>
      </c>
      <c r="AP7339" s="42"/>
      <c r="AQ7339" s="74"/>
      <c r="AR7339" s="77"/>
      <c r="AT7339" s="497">
        <v>35.96</v>
      </c>
      <c r="AV7339" s="42"/>
      <c r="AW7339" s="74"/>
      <c r="AX7339" s="77"/>
      <c r="BA7339" s="497">
        <v>32</v>
      </c>
      <c r="BB7339" s="42"/>
      <c r="BC7339" s="74"/>
      <c r="BD7339" s="77"/>
      <c r="BF7339">
        <v>37.94</v>
      </c>
      <c r="BH7339" s="42"/>
      <c r="BI7339" s="74"/>
      <c r="BJ7339" s="77"/>
      <c r="BL7339" s="497">
        <v>42.08</v>
      </c>
      <c r="BN7339" s="42"/>
      <c r="BO7339" s="74"/>
      <c r="BP7339" s="77"/>
      <c r="BR7339" s="497">
        <v>30.02</v>
      </c>
      <c r="BT7339" s="42"/>
    </row>
    <row r="7340" spans="1:72" x14ac:dyDescent="0.25">
      <c r="A7340" s="90">
        <v>36832</v>
      </c>
      <c r="B7340" s="20">
        <v>8.3333333333333329E-2</v>
      </c>
      <c r="D7340">
        <v>48.92</v>
      </c>
      <c r="E7340" t="str">
        <f t="shared" si="264"/>
        <v>WEEKDAY</v>
      </c>
      <c r="F7340" t="e">
        <f t="shared" si="265"/>
        <v>#N/A</v>
      </c>
      <c r="G7340" s="74">
        <v>28796</v>
      </c>
      <c r="H7340" s="77">
        <v>8.3333333333333329E-2</v>
      </c>
      <c r="J7340">
        <v>46.94</v>
      </c>
      <c r="M7340" s="74">
        <v>36101</v>
      </c>
      <c r="N7340" s="77">
        <v>8.3333333333333329E-2</v>
      </c>
      <c r="P7340">
        <v>46.4</v>
      </c>
      <c r="S7340" s="74">
        <v>36832</v>
      </c>
      <c r="T7340" s="77">
        <v>8.3333333333333329E-2</v>
      </c>
      <c r="V7340">
        <v>46.94</v>
      </c>
      <c r="X7340" s="42"/>
      <c r="AB7340">
        <v>49.3</v>
      </c>
      <c r="AC7340">
        <v>55.94</v>
      </c>
      <c r="AE7340" s="74"/>
      <c r="AF7340" s="77"/>
      <c r="AH7340" s="497">
        <v>50</v>
      </c>
      <c r="AJ7340" s="42"/>
      <c r="AK7340" s="74"/>
      <c r="AL7340" s="77"/>
      <c r="AN7340" s="497">
        <v>37.94</v>
      </c>
      <c r="AP7340" s="42"/>
      <c r="AQ7340" s="74"/>
      <c r="AR7340" s="77"/>
      <c r="AT7340" s="497">
        <v>33.979999999999997</v>
      </c>
      <c r="AV7340" s="42"/>
      <c r="AW7340" s="74"/>
      <c r="AX7340" s="77"/>
      <c r="BA7340" s="497">
        <v>30.92</v>
      </c>
      <c r="BB7340" s="42"/>
      <c r="BC7340" s="74"/>
      <c r="BD7340" s="77"/>
      <c r="BF7340">
        <v>37.04</v>
      </c>
      <c r="BH7340" s="42"/>
      <c r="BI7340" s="74"/>
      <c r="BJ7340" s="77"/>
      <c r="BL7340" s="497">
        <v>42.08</v>
      </c>
      <c r="BN7340" s="42"/>
      <c r="BO7340" s="74"/>
      <c r="BP7340" s="77"/>
      <c r="BR7340" s="497">
        <v>28.94</v>
      </c>
      <c r="BT7340" s="42"/>
    </row>
    <row r="7341" spans="1:72" x14ac:dyDescent="0.25">
      <c r="A7341" s="90">
        <v>36832</v>
      </c>
      <c r="B7341" s="20">
        <v>0.125</v>
      </c>
      <c r="D7341">
        <v>48.019999999999996</v>
      </c>
      <c r="E7341" t="str">
        <f t="shared" si="264"/>
        <v>WEEKDAY</v>
      </c>
      <c r="F7341" t="e">
        <f t="shared" si="265"/>
        <v>#N/A</v>
      </c>
      <c r="G7341" s="74">
        <v>28796</v>
      </c>
      <c r="H7341" s="77">
        <v>0.125</v>
      </c>
      <c r="J7341">
        <v>46.04</v>
      </c>
      <c r="M7341" s="74">
        <v>36101</v>
      </c>
      <c r="N7341" s="77">
        <v>0.125</v>
      </c>
      <c r="P7341">
        <v>46.4</v>
      </c>
      <c r="S7341" s="74">
        <v>36832</v>
      </c>
      <c r="T7341" s="77">
        <v>0.125</v>
      </c>
      <c r="V7341">
        <v>46.04</v>
      </c>
      <c r="X7341" s="42"/>
      <c r="AB7341">
        <v>48.7</v>
      </c>
      <c r="AC7341">
        <v>60.08</v>
      </c>
      <c r="AE7341" s="74"/>
      <c r="AF7341" s="77"/>
      <c r="AH7341" s="497">
        <v>46.4</v>
      </c>
      <c r="AJ7341" s="42"/>
      <c r="AK7341" s="74"/>
      <c r="AL7341" s="77"/>
      <c r="AN7341" s="497">
        <v>37.94</v>
      </c>
      <c r="AP7341" s="42"/>
      <c r="AQ7341" s="74"/>
      <c r="AR7341" s="77"/>
      <c r="AT7341" s="497">
        <v>35.06</v>
      </c>
      <c r="AV7341" s="42"/>
      <c r="AW7341" s="74"/>
      <c r="AX7341" s="77"/>
      <c r="BA7341" s="497">
        <v>30.02</v>
      </c>
      <c r="BB7341" s="42"/>
      <c r="BC7341" s="74"/>
      <c r="BD7341" s="77"/>
      <c r="BF7341">
        <v>37.04</v>
      </c>
      <c r="BH7341" s="42"/>
      <c r="BI7341" s="74"/>
      <c r="BJ7341" s="77"/>
      <c r="BL7341" s="497">
        <v>42.08</v>
      </c>
      <c r="BN7341" s="42"/>
      <c r="BO7341" s="74"/>
      <c r="BP7341" s="77"/>
      <c r="BR7341" s="497">
        <v>28.94</v>
      </c>
      <c r="BT7341" s="42"/>
    </row>
    <row r="7342" spans="1:72" x14ac:dyDescent="0.25">
      <c r="A7342" s="90">
        <v>36832</v>
      </c>
      <c r="B7342" s="20">
        <v>0.16666666666666666</v>
      </c>
      <c r="D7342">
        <v>48.92</v>
      </c>
      <c r="E7342" t="str">
        <f t="shared" si="264"/>
        <v>WEEKDAY</v>
      </c>
      <c r="F7342" t="e">
        <f t="shared" si="265"/>
        <v>#N/A</v>
      </c>
      <c r="G7342" s="74">
        <v>28796</v>
      </c>
      <c r="H7342" s="77">
        <v>0.16666666666666666</v>
      </c>
      <c r="J7342">
        <v>46.04</v>
      </c>
      <c r="M7342" s="74">
        <v>36101</v>
      </c>
      <c r="N7342" s="77">
        <v>0.16666666666666666</v>
      </c>
      <c r="P7342">
        <v>42.8</v>
      </c>
      <c r="S7342" s="74">
        <v>36832</v>
      </c>
      <c r="T7342" s="77">
        <v>0.16666666666666666</v>
      </c>
      <c r="V7342">
        <v>44.96</v>
      </c>
      <c r="X7342" s="42"/>
      <c r="AB7342">
        <v>48.3</v>
      </c>
      <c r="AC7342">
        <v>59</v>
      </c>
      <c r="AE7342" s="74"/>
      <c r="AF7342" s="77"/>
      <c r="AH7342" s="497">
        <v>46.4</v>
      </c>
      <c r="AJ7342" s="42"/>
      <c r="AK7342" s="74"/>
      <c r="AL7342" s="77"/>
      <c r="AN7342" s="497">
        <v>35.96</v>
      </c>
      <c r="AP7342" s="42"/>
      <c r="AQ7342" s="74"/>
      <c r="AR7342" s="77"/>
      <c r="AT7342" s="497">
        <v>35.96</v>
      </c>
      <c r="AV7342" s="42"/>
      <c r="AW7342" s="74"/>
      <c r="AX7342" s="77"/>
      <c r="BA7342" s="497">
        <v>30.02</v>
      </c>
      <c r="BB7342" s="42"/>
      <c r="BC7342" s="74"/>
      <c r="BD7342" s="77"/>
      <c r="BF7342">
        <v>39.019999999999996</v>
      </c>
      <c r="BH7342" s="42"/>
      <c r="BI7342" s="74"/>
      <c r="BJ7342" s="77"/>
      <c r="BL7342" s="497">
        <v>42.08</v>
      </c>
      <c r="BN7342" s="42"/>
      <c r="BO7342" s="74"/>
      <c r="BP7342" s="77"/>
      <c r="BR7342" s="497">
        <v>30.02</v>
      </c>
      <c r="BT7342" s="42"/>
    </row>
    <row r="7343" spans="1:72" x14ac:dyDescent="0.25">
      <c r="A7343" s="90">
        <v>36832</v>
      </c>
      <c r="B7343" s="20">
        <v>0.20833333333333334</v>
      </c>
      <c r="D7343">
        <v>48.019999999999996</v>
      </c>
      <c r="E7343" t="str">
        <f t="shared" si="264"/>
        <v>WEEKDAY</v>
      </c>
      <c r="F7343" t="e">
        <f t="shared" si="265"/>
        <v>#N/A</v>
      </c>
      <c r="G7343" s="74">
        <v>28796</v>
      </c>
      <c r="H7343" s="77">
        <v>0.20833333333333334</v>
      </c>
      <c r="J7343">
        <v>44.96</v>
      </c>
      <c r="M7343" s="74">
        <v>36101</v>
      </c>
      <c r="N7343" s="77">
        <v>0.20833333333333334</v>
      </c>
      <c r="P7343">
        <v>43.52</v>
      </c>
      <c r="S7343" s="74">
        <v>36832</v>
      </c>
      <c r="T7343" s="77">
        <v>0.20833333333333334</v>
      </c>
      <c r="V7343">
        <v>44.06</v>
      </c>
      <c r="X7343" s="42"/>
      <c r="AB7343">
        <v>47.9</v>
      </c>
      <c r="AC7343">
        <v>57.92</v>
      </c>
      <c r="AE7343" s="74"/>
      <c r="AF7343" s="77"/>
      <c r="AH7343" s="497">
        <v>46.4</v>
      </c>
      <c r="AJ7343" s="42"/>
      <c r="AK7343" s="74"/>
      <c r="AL7343" s="77"/>
      <c r="AN7343" s="497">
        <v>35.96</v>
      </c>
      <c r="AP7343" s="42"/>
      <c r="AQ7343" s="74"/>
      <c r="AR7343" s="77"/>
      <c r="AT7343" s="497">
        <v>37.94</v>
      </c>
      <c r="AV7343" s="42"/>
      <c r="AW7343" s="74"/>
      <c r="AX7343" s="77"/>
      <c r="BA7343" s="497">
        <v>30.02</v>
      </c>
      <c r="BB7343" s="42"/>
      <c r="BC7343" s="74"/>
      <c r="BD7343" s="77"/>
      <c r="BF7343">
        <v>39.92</v>
      </c>
      <c r="BH7343" s="42"/>
      <c r="BI7343" s="74"/>
      <c r="BJ7343" s="77"/>
      <c r="BL7343" s="497">
        <v>41</v>
      </c>
      <c r="BN7343" s="42"/>
      <c r="BO7343" s="74"/>
      <c r="BP7343" s="77"/>
      <c r="BR7343" s="497">
        <v>30.02</v>
      </c>
      <c r="BT7343" s="42"/>
    </row>
    <row r="7344" spans="1:72" x14ac:dyDescent="0.25">
      <c r="A7344" s="90">
        <v>36832</v>
      </c>
      <c r="B7344" s="20">
        <v>0.25</v>
      </c>
      <c r="D7344">
        <v>46.94</v>
      </c>
      <c r="E7344" t="str">
        <f t="shared" si="264"/>
        <v>WEEKDAY</v>
      </c>
      <c r="F7344" t="e">
        <f t="shared" si="265"/>
        <v>#N/A</v>
      </c>
      <c r="G7344" s="74">
        <v>28796</v>
      </c>
      <c r="H7344" s="77">
        <v>0.25</v>
      </c>
      <c r="J7344">
        <v>46.04</v>
      </c>
      <c r="M7344" s="74">
        <v>36101</v>
      </c>
      <c r="N7344" s="77">
        <v>0.25</v>
      </c>
      <c r="P7344">
        <v>44.6</v>
      </c>
      <c r="S7344" s="74">
        <v>36832</v>
      </c>
      <c r="T7344" s="77">
        <v>0.25</v>
      </c>
      <c r="V7344">
        <v>44.06</v>
      </c>
      <c r="X7344" s="42"/>
      <c r="AB7344">
        <v>47.6</v>
      </c>
      <c r="AC7344">
        <v>57.019999999999996</v>
      </c>
      <c r="AE7344" s="74"/>
      <c r="AF7344" s="77"/>
      <c r="AH7344" s="497">
        <v>44.6</v>
      </c>
      <c r="AJ7344" s="42"/>
      <c r="AK7344" s="74"/>
      <c r="AL7344" s="77"/>
      <c r="AN7344" s="497">
        <v>35.96</v>
      </c>
      <c r="AP7344" s="42"/>
      <c r="AQ7344" s="74"/>
      <c r="AR7344" s="77"/>
      <c r="AT7344" s="497">
        <v>39.019999999999996</v>
      </c>
      <c r="AV7344" s="42"/>
      <c r="AW7344" s="74"/>
      <c r="AX7344" s="77"/>
      <c r="BA7344" s="497">
        <v>28.04</v>
      </c>
      <c r="BB7344" s="42"/>
      <c r="BC7344" s="74"/>
      <c r="BD7344" s="77"/>
      <c r="BF7344">
        <v>39.92</v>
      </c>
      <c r="BH7344" s="42"/>
      <c r="BI7344" s="74"/>
      <c r="BJ7344" s="77"/>
      <c r="BL7344" s="497">
        <v>41</v>
      </c>
      <c r="BN7344" s="42"/>
      <c r="BO7344" s="74"/>
      <c r="BP7344" s="77"/>
      <c r="BR7344" s="497">
        <v>30.02</v>
      </c>
      <c r="BT7344" s="42"/>
    </row>
    <row r="7345" spans="1:72" x14ac:dyDescent="0.25">
      <c r="A7345" s="90">
        <v>36832</v>
      </c>
      <c r="B7345" s="20">
        <v>0.29166666666666669</v>
      </c>
      <c r="D7345">
        <v>46.94</v>
      </c>
      <c r="E7345" t="str">
        <f t="shared" si="264"/>
        <v>WEEKDAY</v>
      </c>
      <c r="F7345" t="e">
        <f t="shared" si="265"/>
        <v>#N/A</v>
      </c>
      <c r="G7345" s="74">
        <v>28796</v>
      </c>
      <c r="H7345" s="77">
        <v>0.29166666666666669</v>
      </c>
      <c r="J7345">
        <v>44.96</v>
      </c>
      <c r="M7345" s="74">
        <v>36101</v>
      </c>
      <c r="N7345" s="77">
        <v>0.29166666666666669</v>
      </c>
      <c r="P7345">
        <v>44.6</v>
      </c>
      <c r="S7345" s="74">
        <v>36832</v>
      </c>
      <c r="T7345" s="77">
        <v>0.29166666666666669</v>
      </c>
      <c r="V7345">
        <v>44.96</v>
      </c>
      <c r="X7345" s="42"/>
      <c r="AB7345">
        <v>47.5</v>
      </c>
      <c r="AC7345">
        <v>57.019999999999996</v>
      </c>
      <c r="AE7345" s="74"/>
      <c r="AF7345" s="77"/>
      <c r="AH7345" s="497">
        <v>44.6</v>
      </c>
      <c r="AJ7345" s="42"/>
      <c r="AK7345" s="74"/>
      <c r="AL7345" s="77"/>
      <c r="AN7345" s="497">
        <v>35.96</v>
      </c>
      <c r="AP7345" s="42"/>
      <c r="AQ7345" s="74"/>
      <c r="AR7345" s="77"/>
      <c r="AT7345" s="497">
        <v>39.92</v>
      </c>
      <c r="AV7345" s="42"/>
      <c r="AW7345" s="74"/>
      <c r="AX7345" s="77"/>
      <c r="BA7345" s="497">
        <v>28.94</v>
      </c>
      <c r="BB7345" s="42"/>
      <c r="BC7345" s="74"/>
      <c r="BD7345" s="77"/>
      <c r="BF7345">
        <v>39.92</v>
      </c>
      <c r="BH7345" s="42"/>
      <c r="BI7345" s="74"/>
      <c r="BJ7345" s="77"/>
      <c r="BL7345" s="497">
        <v>41</v>
      </c>
      <c r="BN7345" s="42"/>
      <c r="BO7345" s="74"/>
      <c r="BP7345" s="77"/>
      <c r="BR7345" s="497">
        <v>28.94</v>
      </c>
      <c r="BT7345" s="42"/>
    </row>
    <row r="7346" spans="1:72" x14ac:dyDescent="0.25">
      <c r="A7346" s="90">
        <v>36832</v>
      </c>
      <c r="B7346" s="20">
        <v>0.33333333333333331</v>
      </c>
      <c r="D7346">
        <v>48.92</v>
      </c>
      <c r="E7346" t="str">
        <f t="shared" si="264"/>
        <v>WEEKDAY</v>
      </c>
      <c r="F7346" t="e">
        <f t="shared" si="265"/>
        <v>#N/A</v>
      </c>
      <c r="G7346" s="74">
        <v>28796</v>
      </c>
      <c r="H7346" s="77">
        <v>0.33333333333333331</v>
      </c>
      <c r="J7346">
        <v>48.92</v>
      </c>
      <c r="M7346" s="74">
        <v>36101</v>
      </c>
      <c r="N7346" s="77">
        <v>0.33333333333333331</v>
      </c>
      <c r="P7346">
        <v>46.4</v>
      </c>
      <c r="S7346" s="74">
        <v>36832</v>
      </c>
      <c r="T7346" s="77">
        <v>0.33333333333333331</v>
      </c>
      <c r="V7346">
        <v>48.92</v>
      </c>
      <c r="X7346" s="42"/>
      <c r="AB7346">
        <v>47.7</v>
      </c>
      <c r="AC7346">
        <v>57.92</v>
      </c>
      <c r="AE7346" s="74"/>
      <c r="AF7346" s="77"/>
      <c r="AH7346" s="497">
        <v>50</v>
      </c>
      <c r="AJ7346" s="42"/>
      <c r="AK7346" s="74"/>
      <c r="AL7346" s="77"/>
      <c r="AN7346" s="497">
        <v>33.979999999999997</v>
      </c>
      <c r="AP7346" s="42"/>
      <c r="AQ7346" s="74"/>
      <c r="AR7346" s="77"/>
      <c r="AT7346" s="497">
        <v>42.08</v>
      </c>
      <c r="AV7346" s="42"/>
      <c r="AW7346" s="74"/>
      <c r="AX7346" s="77"/>
      <c r="BA7346" s="497">
        <v>32</v>
      </c>
      <c r="BB7346" s="42"/>
      <c r="BC7346" s="74"/>
      <c r="BD7346" s="77"/>
      <c r="BF7346">
        <v>39.92</v>
      </c>
      <c r="BH7346" s="42"/>
      <c r="BI7346" s="74"/>
      <c r="BJ7346" s="77"/>
      <c r="BL7346" s="497">
        <v>39.019999999999996</v>
      </c>
      <c r="BN7346" s="42"/>
      <c r="BO7346" s="74"/>
      <c r="BP7346" s="77"/>
      <c r="BR7346" s="497">
        <v>30.92</v>
      </c>
      <c r="BT7346" s="42"/>
    </row>
    <row r="7347" spans="1:72" x14ac:dyDescent="0.25">
      <c r="A7347" s="90">
        <v>36832</v>
      </c>
      <c r="B7347" s="20">
        <v>0.375</v>
      </c>
      <c r="D7347">
        <v>51.08</v>
      </c>
      <c r="E7347" t="str">
        <f t="shared" si="264"/>
        <v>WEEKDAY</v>
      </c>
      <c r="F7347" t="e">
        <f t="shared" si="265"/>
        <v>#N/A</v>
      </c>
      <c r="G7347" s="74">
        <v>28796</v>
      </c>
      <c r="H7347" s="77">
        <v>0.375</v>
      </c>
      <c r="J7347">
        <v>53.96</v>
      </c>
      <c r="M7347" s="74">
        <v>36101</v>
      </c>
      <c r="N7347" s="77">
        <v>0.375</v>
      </c>
      <c r="P7347">
        <v>50</v>
      </c>
      <c r="S7347" s="74">
        <v>36832</v>
      </c>
      <c r="T7347" s="77">
        <v>0.375</v>
      </c>
      <c r="V7347">
        <v>51.980000000000004</v>
      </c>
      <c r="X7347" s="42"/>
      <c r="AB7347">
        <v>49.8</v>
      </c>
      <c r="AC7347">
        <v>60.980000000000004</v>
      </c>
      <c r="AE7347" s="74"/>
      <c r="AF7347" s="77"/>
      <c r="AH7347" s="497">
        <v>59</v>
      </c>
      <c r="AJ7347" s="42"/>
      <c r="AK7347" s="74"/>
      <c r="AL7347" s="77"/>
      <c r="AN7347" s="497">
        <v>33.08</v>
      </c>
      <c r="AP7347" s="42"/>
      <c r="AQ7347" s="74"/>
      <c r="AR7347" s="77"/>
      <c r="AT7347" s="497">
        <v>42.980000000000004</v>
      </c>
      <c r="AV7347" s="42"/>
      <c r="AW7347" s="74"/>
      <c r="AX7347" s="77"/>
      <c r="BA7347" s="497">
        <v>37.04</v>
      </c>
      <c r="BB7347" s="42"/>
      <c r="BC7347" s="74"/>
      <c r="BD7347" s="77"/>
      <c r="BF7347">
        <v>39.92</v>
      </c>
      <c r="BH7347" s="42"/>
      <c r="BI7347" s="74"/>
      <c r="BJ7347" s="77"/>
      <c r="BL7347" s="497">
        <v>39.019999999999996</v>
      </c>
      <c r="BN7347" s="42"/>
      <c r="BO7347" s="74"/>
      <c r="BP7347" s="77"/>
      <c r="BR7347" s="497">
        <v>33.979999999999997</v>
      </c>
      <c r="BT7347" s="42"/>
    </row>
    <row r="7348" spans="1:72" x14ac:dyDescent="0.25">
      <c r="A7348" s="90">
        <v>36832</v>
      </c>
      <c r="B7348" s="20">
        <v>0.41666666666666669</v>
      </c>
      <c r="D7348">
        <v>51.08</v>
      </c>
      <c r="E7348" t="str">
        <f t="shared" si="264"/>
        <v>WEEKDAY</v>
      </c>
      <c r="F7348" t="e">
        <f t="shared" si="265"/>
        <v>#N/A</v>
      </c>
      <c r="G7348" s="74">
        <v>28796</v>
      </c>
      <c r="H7348" s="77">
        <v>0.41666666666666669</v>
      </c>
      <c r="J7348">
        <v>57.019999999999996</v>
      </c>
      <c r="M7348" s="74">
        <v>36101</v>
      </c>
      <c r="N7348" s="77">
        <v>0.41666666666666669</v>
      </c>
      <c r="P7348">
        <v>50</v>
      </c>
      <c r="S7348" s="74">
        <v>36832</v>
      </c>
      <c r="T7348" s="77">
        <v>0.41666666666666669</v>
      </c>
      <c r="V7348">
        <v>53.96</v>
      </c>
      <c r="X7348" s="42"/>
      <c r="AB7348">
        <v>51.7</v>
      </c>
      <c r="AC7348">
        <v>60.980000000000004</v>
      </c>
      <c r="AE7348" s="74"/>
      <c r="AF7348" s="77"/>
      <c r="AH7348" s="497">
        <v>64.400000000000006</v>
      </c>
      <c r="AJ7348" s="42"/>
      <c r="AK7348" s="74"/>
      <c r="AL7348" s="77"/>
      <c r="AN7348" s="497">
        <v>33.979999999999997</v>
      </c>
      <c r="AP7348" s="42"/>
      <c r="AQ7348" s="74"/>
      <c r="AR7348" s="77"/>
      <c r="AT7348" s="497">
        <v>44.06</v>
      </c>
      <c r="AV7348" s="42"/>
      <c r="AW7348" s="74"/>
      <c r="AX7348" s="77"/>
      <c r="BA7348" s="497">
        <v>44.06</v>
      </c>
      <c r="BB7348" s="42"/>
      <c r="BC7348" s="74"/>
      <c r="BD7348" s="77"/>
      <c r="BF7348">
        <v>39.92</v>
      </c>
      <c r="BH7348" s="42"/>
      <c r="BI7348" s="74"/>
      <c r="BJ7348" s="77"/>
      <c r="BL7348" s="497">
        <v>39.019999999999996</v>
      </c>
      <c r="BN7348" s="42"/>
      <c r="BO7348" s="74"/>
      <c r="BP7348" s="77"/>
      <c r="BR7348" s="497">
        <v>37.94</v>
      </c>
      <c r="BT7348" s="42"/>
    </row>
    <row r="7349" spans="1:72" x14ac:dyDescent="0.25">
      <c r="A7349" s="90">
        <v>36832</v>
      </c>
      <c r="B7349" s="20">
        <v>0.45833333333333331</v>
      </c>
      <c r="D7349">
        <v>50</v>
      </c>
      <c r="E7349" t="str">
        <f t="shared" si="264"/>
        <v>WEEKDAY</v>
      </c>
      <c r="F7349" t="e">
        <f t="shared" si="265"/>
        <v>#N/A</v>
      </c>
      <c r="G7349" s="74">
        <v>28796</v>
      </c>
      <c r="H7349" s="77">
        <v>0.45833333333333331</v>
      </c>
      <c r="J7349">
        <v>60.08</v>
      </c>
      <c r="M7349" s="74">
        <v>36101</v>
      </c>
      <c r="N7349" s="77">
        <v>0.45833333333333331</v>
      </c>
      <c r="P7349">
        <v>51.8</v>
      </c>
      <c r="S7349" s="74">
        <v>36832</v>
      </c>
      <c r="T7349" s="77">
        <v>0.45833333333333331</v>
      </c>
      <c r="V7349">
        <v>57.019999999999996</v>
      </c>
      <c r="X7349" s="42"/>
      <c r="AB7349">
        <v>53.3</v>
      </c>
      <c r="AC7349">
        <v>64.039999999999992</v>
      </c>
      <c r="AE7349" s="74"/>
      <c r="AF7349" s="77"/>
      <c r="AH7349" s="497">
        <v>64.400000000000006</v>
      </c>
      <c r="AJ7349" s="42"/>
      <c r="AK7349" s="74"/>
      <c r="AL7349" s="77"/>
      <c r="AN7349" s="497">
        <v>35.06</v>
      </c>
      <c r="AP7349" s="42"/>
      <c r="AQ7349" s="74"/>
      <c r="AR7349" s="77"/>
      <c r="AT7349" s="497">
        <v>46.94</v>
      </c>
      <c r="AV7349" s="42"/>
      <c r="AW7349" s="74"/>
      <c r="AX7349" s="77"/>
      <c r="BA7349" s="497">
        <v>50</v>
      </c>
      <c r="BB7349" s="42"/>
      <c r="BC7349" s="74"/>
      <c r="BD7349" s="77"/>
      <c r="BF7349">
        <v>41</v>
      </c>
      <c r="BH7349" s="42"/>
      <c r="BI7349" s="74"/>
      <c r="BJ7349" s="77"/>
      <c r="BL7349" s="497">
        <v>37.94</v>
      </c>
      <c r="BN7349" s="42"/>
      <c r="BO7349" s="74"/>
      <c r="BP7349" s="77"/>
      <c r="BR7349" s="497">
        <v>41</v>
      </c>
      <c r="BT7349" s="42"/>
    </row>
    <row r="7350" spans="1:72" x14ac:dyDescent="0.25">
      <c r="A7350" s="90">
        <v>36832</v>
      </c>
      <c r="B7350" s="20">
        <v>0.5</v>
      </c>
      <c r="D7350">
        <v>51.08</v>
      </c>
      <c r="E7350" t="str">
        <f t="shared" si="264"/>
        <v>WEEKDAY</v>
      </c>
      <c r="F7350" t="e">
        <f t="shared" si="265"/>
        <v>#N/A</v>
      </c>
      <c r="G7350" s="74">
        <v>28796</v>
      </c>
      <c r="H7350" s="77">
        <v>0.5</v>
      </c>
      <c r="J7350">
        <v>60.980000000000004</v>
      </c>
      <c r="M7350" s="74">
        <v>36101</v>
      </c>
      <c r="N7350" s="77">
        <v>0.5</v>
      </c>
      <c r="P7350">
        <v>51.8</v>
      </c>
      <c r="S7350" s="74">
        <v>36832</v>
      </c>
      <c r="T7350" s="77">
        <v>0.5</v>
      </c>
      <c r="V7350">
        <v>59</v>
      </c>
      <c r="X7350" s="42"/>
      <c r="AB7350">
        <v>54.7</v>
      </c>
      <c r="AC7350">
        <v>64.94</v>
      </c>
      <c r="AE7350" s="74"/>
      <c r="AF7350" s="77"/>
      <c r="AH7350" s="497">
        <v>71.599999999999994</v>
      </c>
      <c r="AJ7350" s="42"/>
      <c r="AK7350" s="74"/>
      <c r="AL7350" s="77"/>
      <c r="AN7350" s="497">
        <v>35.06</v>
      </c>
      <c r="AP7350" s="42"/>
      <c r="AQ7350" s="74"/>
      <c r="AR7350" s="77"/>
      <c r="AT7350" s="497">
        <v>48.019999999999996</v>
      </c>
      <c r="AV7350" s="42"/>
      <c r="AW7350" s="74"/>
      <c r="AX7350" s="77"/>
      <c r="BA7350" s="497">
        <v>55.94</v>
      </c>
      <c r="BB7350" s="42"/>
      <c r="BC7350" s="74"/>
      <c r="BD7350" s="77"/>
      <c r="BF7350">
        <v>41</v>
      </c>
      <c r="BH7350" s="42"/>
      <c r="BI7350" s="74"/>
      <c r="BJ7350" s="77"/>
      <c r="BL7350" s="497">
        <v>39.019999999999996</v>
      </c>
      <c r="BN7350" s="42"/>
      <c r="BO7350" s="74"/>
      <c r="BP7350" s="77"/>
      <c r="BR7350" s="497">
        <v>44.06</v>
      </c>
      <c r="BT7350" s="42"/>
    </row>
    <row r="7351" spans="1:72" x14ac:dyDescent="0.25">
      <c r="A7351" s="90">
        <v>36832</v>
      </c>
      <c r="B7351" s="20">
        <v>0.54166666666666663</v>
      </c>
      <c r="D7351">
        <v>53.96</v>
      </c>
      <c r="E7351" t="str">
        <f t="shared" si="264"/>
        <v>WEEKDAY</v>
      </c>
      <c r="F7351" t="e">
        <f t="shared" si="265"/>
        <v>#N/A</v>
      </c>
      <c r="G7351" s="74">
        <v>28796</v>
      </c>
      <c r="H7351" s="77">
        <v>0.54166666666666663</v>
      </c>
      <c r="J7351">
        <v>62.96</v>
      </c>
      <c r="M7351" s="74">
        <v>36101</v>
      </c>
      <c r="N7351" s="77">
        <v>0.54166666666666663</v>
      </c>
      <c r="P7351">
        <v>51.8</v>
      </c>
      <c r="S7351" s="74">
        <v>36832</v>
      </c>
      <c r="T7351" s="77">
        <v>0.54166666666666663</v>
      </c>
      <c r="V7351">
        <v>60.08</v>
      </c>
      <c r="X7351" s="42"/>
      <c r="AB7351">
        <v>55.7</v>
      </c>
      <c r="AC7351">
        <v>66.02</v>
      </c>
      <c r="AE7351" s="74"/>
      <c r="AF7351" s="77"/>
      <c r="AH7351" s="497">
        <v>73.400000000000006</v>
      </c>
      <c r="AJ7351" s="42"/>
      <c r="AK7351" s="74"/>
      <c r="AL7351" s="77"/>
      <c r="AN7351" s="497">
        <v>37.04</v>
      </c>
      <c r="AP7351" s="42"/>
      <c r="AQ7351" s="74"/>
      <c r="AR7351" s="77"/>
      <c r="AT7351" s="497">
        <v>48.019999999999996</v>
      </c>
      <c r="AV7351" s="42"/>
      <c r="AW7351" s="74"/>
      <c r="AX7351" s="77"/>
      <c r="BA7351" s="497">
        <v>57.92</v>
      </c>
      <c r="BB7351" s="42"/>
      <c r="BC7351" s="74"/>
      <c r="BD7351" s="77"/>
      <c r="BF7351">
        <v>44.96</v>
      </c>
      <c r="BH7351" s="42"/>
      <c r="BI7351" s="74"/>
      <c r="BJ7351" s="77"/>
      <c r="BL7351" s="497">
        <v>41</v>
      </c>
      <c r="BN7351" s="42"/>
      <c r="BO7351" s="74"/>
      <c r="BP7351" s="77"/>
      <c r="BR7351" s="497">
        <v>44.96</v>
      </c>
      <c r="BT7351" s="42"/>
    </row>
    <row r="7352" spans="1:72" x14ac:dyDescent="0.25">
      <c r="A7352" s="90">
        <v>36832</v>
      </c>
      <c r="B7352" s="20">
        <v>0.58333333333333337</v>
      </c>
      <c r="D7352">
        <v>55.040000000000006</v>
      </c>
      <c r="E7352" t="str">
        <f t="shared" si="264"/>
        <v>WEEKDAY</v>
      </c>
      <c r="F7352" t="e">
        <f t="shared" si="265"/>
        <v>#N/A</v>
      </c>
      <c r="G7352" s="74">
        <v>28796</v>
      </c>
      <c r="H7352" s="77">
        <v>0.58333333333333337</v>
      </c>
      <c r="J7352">
        <v>64.039999999999992</v>
      </c>
      <c r="M7352" s="74">
        <v>36101</v>
      </c>
      <c r="N7352" s="77">
        <v>0.58333333333333337</v>
      </c>
      <c r="P7352">
        <v>53.6</v>
      </c>
      <c r="S7352" s="74">
        <v>36832</v>
      </c>
      <c r="T7352" s="77">
        <v>0.58333333333333337</v>
      </c>
      <c r="V7352">
        <v>60.980000000000004</v>
      </c>
      <c r="X7352" s="42"/>
      <c r="AB7352">
        <v>56.4</v>
      </c>
      <c r="AC7352">
        <v>64.94</v>
      </c>
      <c r="AE7352" s="74"/>
      <c r="AF7352" s="77"/>
      <c r="AH7352" s="497">
        <v>73.400000000000006</v>
      </c>
      <c r="AJ7352" s="42"/>
      <c r="AK7352" s="74"/>
      <c r="AL7352" s="77"/>
      <c r="AN7352" s="497">
        <v>35.06</v>
      </c>
      <c r="AP7352" s="42"/>
      <c r="AQ7352" s="74"/>
      <c r="AR7352" s="77"/>
      <c r="AT7352" s="497">
        <v>50</v>
      </c>
      <c r="AV7352" s="42"/>
      <c r="AW7352" s="74"/>
      <c r="AX7352" s="77"/>
      <c r="BA7352" s="497">
        <v>59</v>
      </c>
      <c r="BB7352" s="42"/>
      <c r="BC7352" s="74"/>
      <c r="BD7352" s="77"/>
      <c r="BF7352">
        <v>44.06</v>
      </c>
      <c r="BH7352" s="42"/>
      <c r="BI7352" s="74"/>
      <c r="BJ7352" s="77"/>
      <c r="BL7352" s="497">
        <v>42.08</v>
      </c>
      <c r="BN7352" s="42"/>
      <c r="BO7352" s="74"/>
      <c r="BP7352" s="77"/>
      <c r="BR7352" s="497">
        <v>46.04</v>
      </c>
      <c r="BT7352" s="42"/>
    </row>
    <row r="7353" spans="1:72" x14ac:dyDescent="0.25">
      <c r="A7353" s="90">
        <v>36832</v>
      </c>
      <c r="B7353" s="20">
        <v>0.625</v>
      </c>
      <c r="D7353">
        <v>57.019999999999996</v>
      </c>
      <c r="E7353" t="str">
        <f t="shared" si="264"/>
        <v>WEEKDAY</v>
      </c>
      <c r="F7353" t="e">
        <f t="shared" si="265"/>
        <v>#N/A</v>
      </c>
      <c r="G7353" s="74">
        <v>28796</v>
      </c>
      <c r="H7353" s="77">
        <v>0.625</v>
      </c>
      <c r="J7353">
        <v>64.039999999999992</v>
      </c>
      <c r="M7353" s="74">
        <v>36101</v>
      </c>
      <c r="N7353" s="77">
        <v>0.625</v>
      </c>
      <c r="P7353">
        <v>53.6</v>
      </c>
      <c r="S7353" s="74">
        <v>36832</v>
      </c>
      <c r="T7353" s="77">
        <v>0.625</v>
      </c>
      <c r="V7353">
        <v>62.06</v>
      </c>
      <c r="X7353" s="42"/>
      <c r="AB7353">
        <v>56.7</v>
      </c>
      <c r="AC7353">
        <v>64.039999999999992</v>
      </c>
      <c r="AE7353" s="74"/>
      <c r="AF7353" s="77"/>
      <c r="AH7353" s="497">
        <v>73.400000000000006</v>
      </c>
      <c r="AJ7353" s="42"/>
      <c r="AK7353" s="74"/>
      <c r="AL7353" s="77"/>
      <c r="AN7353" s="497">
        <v>33.979999999999997</v>
      </c>
      <c r="AP7353" s="42"/>
      <c r="AQ7353" s="74"/>
      <c r="AR7353" s="77"/>
      <c r="AT7353" s="497">
        <v>53.06</v>
      </c>
      <c r="AV7353" s="42"/>
      <c r="AW7353" s="74"/>
      <c r="AX7353" s="77"/>
      <c r="BA7353" s="497">
        <v>59</v>
      </c>
      <c r="BB7353" s="42"/>
      <c r="BC7353" s="74"/>
      <c r="BD7353" s="77"/>
      <c r="BF7353">
        <v>42.08</v>
      </c>
      <c r="BH7353" s="42"/>
      <c r="BI7353" s="74"/>
      <c r="BJ7353" s="77"/>
      <c r="BL7353" s="497">
        <v>42.08</v>
      </c>
      <c r="BN7353" s="42"/>
      <c r="BO7353" s="74"/>
      <c r="BP7353" s="77"/>
      <c r="BR7353" s="497">
        <v>46.04</v>
      </c>
      <c r="BT7353" s="42"/>
    </row>
    <row r="7354" spans="1:72" x14ac:dyDescent="0.25">
      <c r="A7354" s="90">
        <v>36832</v>
      </c>
      <c r="B7354" s="20">
        <v>0.66666666666666663</v>
      </c>
      <c r="D7354">
        <v>57.92</v>
      </c>
      <c r="E7354" t="str">
        <f t="shared" si="264"/>
        <v>WEEKDAY</v>
      </c>
      <c r="F7354" t="e">
        <f t="shared" si="265"/>
        <v>#N/A</v>
      </c>
      <c r="G7354" s="74">
        <v>28796</v>
      </c>
      <c r="H7354" s="77">
        <v>0.66666666666666663</v>
      </c>
      <c r="J7354">
        <v>62.96</v>
      </c>
      <c r="M7354" s="74">
        <v>36101</v>
      </c>
      <c r="N7354" s="77">
        <v>0.66666666666666663</v>
      </c>
      <c r="P7354">
        <v>51.8</v>
      </c>
      <c r="S7354" s="74">
        <v>36832</v>
      </c>
      <c r="T7354" s="77">
        <v>0.66666666666666663</v>
      </c>
      <c r="V7354">
        <v>60.980000000000004</v>
      </c>
      <c r="X7354" s="42"/>
      <c r="AB7354">
        <v>56.3</v>
      </c>
      <c r="AC7354">
        <v>62.96</v>
      </c>
      <c r="AE7354" s="74"/>
      <c r="AF7354" s="77"/>
      <c r="AH7354" s="497">
        <v>71.599999999999994</v>
      </c>
      <c r="AJ7354" s="42"/>
      <c r="AK7354" s="74"/>
      <c r="AL7354" s="77"/>
      <c r="AN7354" s="497">
        <v>37.04</v>
      </c>
      <c r="AP7354" s="42"/>
      <c r="AQ7354" s="74"/>
      <c r="AR7354" s="77"/>
      <c r="AT7354" s="497">
        <v>53.96</v>
      </c>
      <c r="AV7354" s="42"/>
      <c r="AW7354" s="74"/>
      <c r="AX7354" s="77"/>
      <c r="BA7354" s="497">
        <v>57.92</v>
      </c>
      <c r="BB7354" s="42"/>
      <c r="BC7354" s="74"/>
      <c r="BD7354" s="77"/>
      <c r="BF7354">
        <v>42.08</v>
      </c>
      <c r="BH7354" s="42"/>
      <c r="BI7354" s="74"/>
      <c r="BJ7354" s="77"/>
      <c r="BL7354" s="497">
        <v>42.08</v>
      </c>
      <c r="BN7354" s="42"/>
      <c r="BO7354" s="74"/>
      <c r="BP7354" s="77"/>
      <c r="BR7354" s="497">
        <v>44.06</v>
      </c>
      <c r="BT7354" s="42"/>
    </row>
    <row r="7355" spans="1:72" x14ac:dyDescent="0.25">
      <c r="A7355" s="90">
        <v>36832</v>
      </c>
      <c r="B7355" s="20">
        <v>0.70833333333333337</v>
      </c>
      <c r="D7355">
        <v>57.019999999999996</v>
      </c>
      <c r="E7355" t="str">
        <f t="shared" si="264"/>
        <v>WEEKDAY</v>
      </c>
      <c r="F7355" t="e">
        <f t="shared" si="265"/>
        <v>#N/A</v>
      </c>
      <c r="G7355" s="74">
        <v>28796</v>
      </c>
      <c r="H7355" s="77">
        <v>0.70833333333333337</v>
      </c>
      <c r="J7355">
        <v>60.980000000000004</v>
      </c>
      <c r="M7355" s="74">
        <v>36101</v>
      </c>
      <c r="N7355" s="77">
        <v>0.70833333333333337</v>
      </c>
      <c r="P7355">
        <v>48.2</v>
      </c>
      <c r="S7355" s="74">
        <v>36832</v>
      </c>
      <c r="T7355" s="77">
        <v>0.70833333333333337</v>
      </c>
      <c r="V7355">
        <v>57.92</v>
      </c>
      <c r="X7355" s="42"/>
      <c r="AB7355">
        <v>55.4</v>
      </c>
      <c r="AC7355">
        <v>62.06</v>
      </c>
      <c r="AE7355" s="74"/>
      <c r="AF7355" s="77"/>
      <c r="AH7355" s="497">
        <v>71.599999999999994</v>
      </c>
      <c r="AJ7355" s="42"/>
      <c r="AK7355" s="74"/>
      <c r="AL7355" s="77"/>
      <c r="AN7355" s="497">
        <v>37.04</v>
      </c>
      <c r="AP7355" s="42"/>
      <c r="AQ7355" s="74"/>
      <c r="AR7355" s="77"/>
      <c r="AT7355" s="497">
        <v>53.96</v>
      </c>
      <c r="AV7355" s="42"/>
      <c r="AW7355" s="74"/>
      <c r="AX7355" s="77"/>
      <c r="BA7355" s="497">
        <v>55.040000000000006</v>
      </c>
      <c r="BB7355" s="42"/>
      <c r="BC7355" s="74"/>
      <c r="BD7355" s="77"/>
      <c r="BF7355">
        <v>41</v>
      </c>
      <c r="BH7355" s="42"/>
      <c r="BI7355" s="74"/>
      <c r="BJ7355" s="77"/>
      <c r="BL7355" s="497">
        <v>41</v>
      </c>
      <c r="BN7355" s="42"/>
      <c r="BO7355" s="74"/>
      <c r="BP7355" s="77"/>
      <c r="BR7355" s="497">
        <v>37.94</v>
      </c>
      <c r="BT7355" s="42"/>
    </row>
    <row r="7356" spans="1:72" x14ac:dyDescent="0.25">
      <c r="A7356" s="90">
        <v>36832</v>
      </c>
      <c r="B7356" s="20">
        <v>0.75</v>
      </c>
      <c r="D7356">
        <v>57.019999999999996</v>
      </c>
      <c r="E7356" t="str">
        <f t="shared" si="264"/>
        <v>WEEKDAY</v>
      </c>
      <c r="F7356" t="e">
        <f t="shared" si="265"/>
        <v>#N/A</v>
      </c>
      <c r="G7356" s="74">
        <v>28796</v>
      </c>
      <c r="H7356" s="77">
        <v>0.75</v>
      </c>
      <c r="J7356">
        <v>60.08</v>
      </c>
      <c r="M7356" s="74">
        <v>36101</v>
      </c>
      <c r="N7356" s="77">
        <v>0.75</v>
      </c>
      <c r="P7356">
        <v>46.4</v>
      </c>
      <c r="S7356" s="74">
        <v>36832</v>
      </c>
      <c r="T7356" s="77">
        <v>0.75</v>
      </c>
      <c r="V7356">
        <v>57.019999999999996</v>
      </c>
      <c r="X7356" s="42"/>
      <c r="AB7356">
        <v>53.9</v>
      </c>
      <c r="AC7356">
        <v>60.08</v>
      </c>
      <c r="AE7356" s="74"/>
      <c r="AF7356" s="77"/>
      <c r="AH7356" s="497">
        <v>69.800000000000011</v>
      </c>
      <c r="AJ7356" s="42"/>
      <c r="AK7356" s="74"/>
      <c r="AL7356" s="77"/>
      <c r="AN7356" s="497">
        <v>37.04</v>
      </c>
      <c r="AP7356" s="42"/>
      <c r="AQ7356" s="74"/>
      <c r="AR7356" s="77"/>
      <c r="AT7356" s="497">
        <v>53.96</v>
      </c>
      <c r="AV7356" s="42"/>
      <c r="AW7356" s="74"/>
      <c r="AX7356" s="77"/>
      <c r="BA7356" s="497">
        <v>50</v>
      </c>
      <c r="BB7356" s="42"/>
      <c r="BC7356" s="74"/>
      <c r="BD7356" s="77"/>
      <c r="BF7356">
        <v>39.92</v>
      </c>
      <c r="BH7356" s="42"/>
      <c r="BI7356" s="74"/>
      <c r="BJ7356" s="77"/>
      <c r="BL7356" s="497">
        <v>39.92</v>
      </c>
      <c r="BN7356" s="42"/>
      <c r="BO7356" s="74"/>
      <c r="BP7356" s="77"/>
      <c r="BR7356" s="497">
        <v>35.96</v>
      </c>
      <c r="BT7356" s="42"/>
    </row>
    <row r="7357" spans="1:72" x14ac:dyDescent="0.25">
      <c r="A7357" s="90">
        <v>36832</v>
      </c>
      <c r="B7357" s="20">
        <v>0.79166666666666663</v>
      </c>
      <c r="D7357">
        <v>55.94</v>
      </c>
      <c r="E7357" t="str">
        <f t="shared" si="264"/>
        <v>WEEKDAY</v>
      </c>
      <c r="F7357" t="e">
        <f t="shared" si="265"/>
        <v>#N/A</v>
      </c>
      <c r="G7357" s="74">
        <v>28796</v>
      </c>
      <c r="H7357" s="77">
        <v>0.79166666666666663</v>
      </c>
      <c r="J7357">
        <v>59</v>
      </c>
      <c r="M7357" s="74">
        <v>36101</v>
      </c>
      <c r="N7357" s="77">
        <v>0.79166666666666663</v>
      </c>
      <c r="P7357">
        <v>46.4</v>
      </c>
      <c r="S7357" s="74">
        <v>36832</v>
      </c>
      <c r="T7357" s="77">
        <v>0.79166666666666663</v>
      </c>
      <c r="V7357">
        <v>55.94</v>
      </c>
      <c r="X7357" s="42"/>
      <c r="AB7357">
        <v>53.1</v>
      </c>
      <c r="AC7357">
        <v>59</v>
      </c>
      <c r="AE7357" s="74"/>
      <c r="AF7357" s="77"/>
      <c r="AH7357" s="497">
        <v>66.2</v>
      </c>
      <c r="AJ7357" s="42"/>
      <c r="AK7357" s="74"/>
      <c r="AL7357" s="77"/>
      <c r="AN7357" s="497">
        <v>37.04</v>
      </c>
      <c r="AP7357" s="42"/>
      <c r="AQ7357" s="74"/>
      <c r="AR7357" s="77"/>
      <c r="AT7357" s="497">
        <v>53.06</v>
      </c>
      <c r="AV7357" s="42"/>
      <c r="AW7357" s="74"/>
      <c r="AX7357" s="77"/>
      <c r="BA7357" s="497">
        <v>48.92</v>
      </c>
      <c r="BB7357" s="42"/>
      <c r="BC7357" s="74"/>
      <c r="BD7357" s="77"/>
      <c r="BF7357">
        <v>39.92</v>
      </c>
      <c r="BH7357" s="42"/>
      <c r="BI7357" s="74"/>
      <c r="BJ7357" s="77"/>
      <c r="BL7357" s="497">
        <v>39.92</v>
      </c>
      <c r="BN7357" s="42"/>
      <c r="BO7357" s="74"/>
      <c r="BP7357" s="77"/>
      <c r="BR7357" s="497">
        <v>35.06</v>
      </c>
      <c r="BT7357" s="42"/>
    </row>
    <row r="7358" spans="1:72" x14ac:dyDescent="0.25">
      <c r="A7358" s="90">
        <v>36832</v>
      </c>
      <c r="B7358" s="20">
        <v>0.83333333333333337</v>
      </c>
      <c r="D7358">
        <v>55.040000000000006</v>
      </c>
      <c r="E7358" t="str">
        <f t="shared" si="264"/>
        <v>WEEKDAY</v>
      </c>
      <c r="F7358" t="e">
        <f t="shared" si="265"/>
        <v>#N/A</v>
      </c>
      <c r="G7358" s="74">
        <v>28796</v>
      </c>
      <c r="H7358" s="77">
        <v>0.83333333333333337</v>
      </c>
      <c r="J7358">
        <v>57.92</v>
      </c>
      <c r="M7358" s="74">
        <v>36101</v>
      </c>
      <c r="N7358" s="77">
        <v>0.83333333333333337</v>
      </c>
      <c r="P7358">
        <v>44.6</v>
      </c>
      <c r="S7358" s="74">
        <v>36832</v>
      </c>
      <c r="T7358" s="77">
        <v>0.83333333333333337</v>
      </c>
      <c r="V7358">
        <v>55.040000000000006</v>
      </c>
      <c r="X7358" s="42"/>
      <c r="AB7358">
        <v>52.6</v>
      </c>
      <c r="AC7358">
        <v>59</v>
      </c>
      <c r="AE7358" s="74"/>
      <c r="AF7358" s="77"/>
      <c r="AH7358" s="497">
        <v>68</v>
      </c>
      <c r="AJ7358" s="42"/>
      <c r="AK7358" s="74"/>
      <c r="AL7358" s="77"/>
      <c r="AN7358" s="497">
        <v>35.96</v>
      </c>
      <c r="AP7358" s="42"/>
      <c r="AQ7358" s="74"/>
      <c r="AR7358" s="77"/>
      <c r="AT7358" s="497">
        <v>53.06</v>
      </c>
      <c r="AV7358" s="42"/>
      <c r="AW7358" s="74"/>
      <c r="AX7358" s="77"/>
      <c r="BA7358" s="497">
        <v>44.96</v>
      </c>
      <c r="BB7358" s="42"/>
      <c r="BC7358" s="74"/>
      <c r="BD7358" s="77"/>
      <c r="BF7358">
        <v>39.019999999999996</v>
      </c>
      <c r="BH7358" s="42"/>
      <c r="BI7358" s="74"/>
      <c r="BJ7358" s="77"/>
      <c r="BL7358" s="497">
        <v>39.019999999999996</v>
      </c>
      <c r="BN7358" s="42"/>
      <c r="BO7358" s="74"/>
      <c r="BP7358" s="77"/>
      <c r="BR7358" s="497">
        <v>37.04</v>
      </c>
      <c r="BT7358" s="42"/>
    </row>
    <row r="7359" spans="1:72" x14ac:dyDescent="0.25">
      <c r="A7359" s="90">
        <v>36832</v>
      </c>
      <c r="B7359" s="20">
        <v>0.875</v>
      </c>
      <c r="D7359">
        <v>53.96</v>
      </c>
      <c r="E7359" t="str">
        <f t="shared" si="264"/>
        <v>WEEKDAY</v>
      </c>
      <c r="F7359" t="e">
        <f t="shared" si="265"/>
        <v>#N/A</v>
      </c>
      <c r="G7359" s="74">
        <v>28796</v>
      </c>
      <c r="H7359" s="77">
        <v>0.875</v>
      </c>
      <c r="J7359">
        <v>57.019999999999996</v>
      </c>
      <c r="M7359" s="74">
        <v>36101</v>
      </c>
      <c r="N7359" s="77">
        <v>0.875</v>
      </c>
      <c r="P7359">
        <v>44.6</v>
      </c>
      <c r="S7359" s="74">
        <v>36832</v>
      </c>
      <c r="T7359" s="77">
        <v>0.875</v>
      </c>
      <c r="V7359">
        <v>55.040000000000006</v>
      </c>
      <c r="X7359" s="42"/>
      <c r="AB7359">
        <v>52</v>
      </c>
      <c r="AC7359">
        <v>57.92</v>
      </c>
      <c r="AE7359" s="74"/>
      <c r="AF7359" s="77"/>
      <c r="AH7359" s="497">
        <v>68</v>
      </c>
      <c r="AJ7359" s="42"/>
      <c r="AK7359" s="74"/>
      <c r="AL7359" s="77"/>
      <c r="AN7359" s="497">
        <v>35.96</v>
      </c>
      <c r="AP7359" s="42"/>
      <c r="AQ7359" s="74"/>
      <c r="AR7359" s="77"/>
      <c r="AT7359" s="497">
        <v>53.06</v>
      </c>
      <c r="AV7359" s="42"/>
      <c r="AW7359" s="74"/>
      <c r="AX7359" s="77"/>
      <c r="BA7359" s="497">
        <v>48.019999999999996</v>
      </c>
      <c r="BB7359" s="42"/>
      <c r="BC7359" s="74"/>
      <c r="BD7359" s="77"/>
      <c r="BF7359">
        <v>39.019999999999996</v>
      </c>
      <c r="BH7359" s="42"/>
      <c r="BI7359" s="74"/>
      <c r="BJ7359" s="77"/>
      <c r="BL7359" s="497">
        <v>37.94</v>
      </c>
      <c r="BN7359" s="42"/>
      <c r="BO7359" s="74"/>
      <c r="BP7359" s="77"/>
      <c r="BR7359" s="497">
        <v>37.94</v>
      </c>
      <c r="BT7359" s="42"/>
    </row>
    <row r="7360" spans="1:72" x14ac:dyDescent="0.25">
      <c r="A7360" s="90">
        <v>36832</v>
      </c>
      <c r="B7360" s="20">
        <v>0.91666666666666663</v>
      </c>
      <c r="D7360">
        <v>53.96</v>
      </c>
      <c r="E7360" t="str">
        <f t="shared" si="264"/>
        <v>WEEKDAY</v>
      </c>
      <c r="F7360" t="e">
        <f t="shared" si="265"/>
        <v>#N/A</v>
      </c>
      <c r="G7360" s="74">
        <v>28796</v>
      </c>
      <c r="H7360" s="77">
        <v>0.91666666666666663</v>
      </c>
      <c r="J7360">
        <v>55.040000000000006</v>
      </c>
      <c r="M7360" s="74">
        <v>36101</v>
      </c>
      <c r="N7360" s="77">
        <v>0.91666666666666663</v>
      </c>
      <c r="P7360">
        <v>42.8</v>
      </c>
      <c r="S7360" s="74">
        <v>36832</v>
      </c>
      <c r="T7360" s="77">
        <v>0.91666666666666663</v>
      </c>
      <c r="V7360">
        <v>53.06</v>
      </c>
      <c r="X7360" s="42"/>
      <c r="AB7360">
        <v>51.3</v>
      </c>
      <c r="AC7360">
        <v>57.92</v>
      </c>
      <c r="AE7360" s="74"/>
      <c r="AF7360" s="77"/>
      <c r="AH7360" s="497">
        <v>69.800000000000011</v>
      </c>
      <c r="AJ7360" s="42"/>
      <c r="AK7360" s="74"/>
      <c r="AL7360" s="77"/>
      <c r="AN7360" s="497">
        <v>35.96</v>
      </c>
      <c r="AP7360" s="42"/>
      <c r="AQ7360" s="74"/>
      <c r="AR7360" s="77"/>
      <c r="AT7360" s="497">
        <v>53.06</v>
      </c>
      <c r="AV7360" s="42"/>
      <c r="AW7360" s="74"/>
      <c r="AX7360" s="77"/>
      <c r="BA7360" s="497">
        <v>46.04</v>
      </c>
      <c r="BB7360" s="42"/>
      <c r="BC7360" s="74"/>
      <c r="BD7360" s="77"/>
      <c r="BF7360">
        <v>37.94</v>
      </c>
      <c r="BH7360" s="42"/>
      <c r="BI7360" s="74"/>
      <c r="BJ7360" s="77"/>
      <c r="BL7360" s="497">
        <v>37.94</v>
      </c>
      <c r="BN7360" s="42"/>
      <c r="BO7360" s="74"/>
      <c r="BP7360" s="77"/>
      <c r="BR7360" s="497">
        <v>37.94</v>
      </c>
      <c r="BT7360" s="42"/>
    </row>
    <row r="7361" spans="1:72" x14ac:dyDescent="0.25">
      <c r="A7361" s="90">
        <v>36832</v>
      </c>
      <c r="B7361" s="20">
        <v>0.95833333333333337</v>
      </c>
      <c r="D7361">
        <v>51.980000000000004</v>
      </c>
      <c r="E7361" t="str">
        <f t="shared" si="264"/>
        <v>WEEKDAY</v>
      </c>
      <c r="F7361" t="e">
        <f t="shared" si="265"/>
        <v>#N/A</v>
      </c>
      <c r="G7361" s="74">
        <v>28796</v>
      </c>
      <c r="H7361" s="77">
        <v>0.95833333333333337</v>
      </c>
      <c r="J7361">
        <v>55.94</v>
      </c>
      <c r="M7361" s="74">
        <v>36101</v>
      </c>
      <c r="N7361" s="77">
        <v>0.95833333333333337</v>
      </c>
      <c r="P7361">
        <v>42.8</v>
      </c>
      <c r="S7361" s="74">
        <v>36832</v>
      </c>
      <c r="T7361" s="77">
        <v>0.95833333333333337</v>
      </c>
      <c r="V7361">
        <v>51.980000000000004</v>
      </c>
      <c r="X7361" s="42"/>
      <c r="AB7361">
        <v>50.8</v>
      </c>
      <c r="AC7361">
        <v>57.92</v>
      </c>
      <c r="AE7361" s="74"/>
      <c r="AF7361" s="77"/>
      <c r="AH7361" s="497">
        <v>69.800000000000011</v>
      </c>
      <c r="AJ7361" s="42"/>
      <c r="AK7361" s="74"/>
      <c r="AL7361" s="77"/>
      <c r="AN7361" s="497">
        <v>35.06</v>
      </c>
      <c r="AP7361" s="42"/>
      <c r="AQ7361" s="74"/>
      <c r="AR7361" s="77"/>
      <c r="AT7361" s="497">
        <v>51.980000000000004</v>
      </c>
      <c r="AV7361" s="42"/>
      <c r="AW7361" s="74"/>
      <c r="AX7361" s="77"/>
      <c r="BA7361" s="497">
        <v>48.019999999999996</v>
      </c>
      <c r="BB7361" s="42"/>
      <c r="BC7361" s="74"/>
      <c r="BD7361" s="77"/>
      <c r="BF7361">
        <v>37.94</v>
      </c>
      <c r="BH7361" s="42"/>
      <c r="BI7361" s="74"/>
      <c r="BJ7361" s="77"/>
      <c r="BL7361" s="497">
        <v>37.94</v>
      </c>
      <c r="BN7361" s="42"/>
      <c r="BO7361" s="74"/>
      <c r="BP7361" s="77"/>
      <c r="BR7361" s="497">
        <v>37.04</v>
      </c>
      <c r="BT7361" s="42"/>
    </row>
    <row r="7362" spans="1:72" x14ac:dyDescent="0.25">
      <c r="A7362" s="90">
        <v>36832</v>
      </c>
      <c r="B7362" s="20">
        <v>1</v>
      </c>
      <c r="D7362">
        <v>51.980000000000004</v>
      </c>
      <c r="E7362" t="str">
        <f t="shared" si="264"/>
        <v>WEEKDAY</v>
      </c>
      <c r="F7362" t="e">
        <f t="shared" si="265"/>
        <v>#N/A</v>
      </c>
      <c r="G7362" s="74">
        <v>28796</v>
      </c>
      <c r="H7362" s="77">
        <v>1</v>
      </c>
      <c r="J7362">
        <v>55.040000000000006</v>
      </c>
      <c r="M7362" s="74">
        <v>36101</v>
      </c>
      <c r="N7362" s="80">
        <v>1</v>
      </c>
      <c r="P7362">
        <v>42.8</v>
      </c>
      <c r="S7362" s="74">
        <v>36832</v>
      </c>
      <c r="T7362" s="80">
        <v>1</v>
      </c>
      <c r="V7362">
        <v>53.96</v>
      </c>
      <c r="X7362" s="42"/>
      <c r="AB7362">
        <v>50.1</v>
      </c>
      <c r="AC7362">
        <v>57.92</v>
      </c>
      <c r="AE7362" s="74"/>
      <c r="AF7362" s="80"/>
      <c r="AH7362" s="497">
        <v>69.800000000000011</v>
      </c>
      <c r="AJ7362" s="42"/>
      <c r="AK7362" s="74"/>
      <c r="AL7362" s="80"/>
      <c r="AN7362" s="497">
        <v>35.06</v>
      </c>
      <c r="AP7362" s="42"/>
      <c r="AQ7362" s="74"/>
      <c r="AR7362" s="80"/>
      <c r="AT7362" s="497">
        <v>51.08</v>
      </c>
      <c r="AV7362" s="42"/>
      <c r="AW7362" s="74"/>
      <c r="AX7362" s="80"/>
      <c r="BA7362" s="497">
        <v>48.92</v>
      </c>
      <c r="BB7362" s="42"/>
      <c r="BC7362" s="74"/>
      <c r="BD7362" s="80"/>
      <c r="BF7362">
        <v>37.04</v>
      </c>
      <c r="BH7362" s="42"/>
      <c r="BI7362" s="74"/>
      <c r="BJ7362" s="80"/>
      <c r="BL7362" s="497">
        <v>39.019999999999996</v>
      </c>
      <c r="BN7362" s="42"/>
      <c r="BO7362" s="74"/>
      <c r="BP7362" s="80"/>
      <c r="BR7362" s="497">
        <v>37.94</v>
      </c>
      <c r="BT7362" s="42"/>
    </row>
    <row r="7363" spans="1:72" x14ac:dyDescent="0.25">
      <c r="A7363" s="90">
        <v>36833</v>
      </c>
      <c r="B7363" s="20">
        <v>4.1666666666666664E-2</v>
      </c>
      <c r="D7363">
        <v>51.08</v>
      </c>
      <c r="E7363" t="str">
        <f t="shared" si="264"/>
        <v>WEEKDAY</v>
      </c>
      <c r="F7363" t="e">
        <f t="shared" si="265"/>
        <v>#N/A</v>
      </c>
      <c r="G7363" s="74">
        <v>28797</v>
      </c>
      <c r="H7363" s="77">
        <v>4.1666666666666664E-2</v>
      </c>
      <c r="J7363">
        <v>53.06</v>
      </c>
      <c r="M7363" s="74">
        <v>36102</v>
      </c>
      <c r="N7363" s="77">
        <v>4.1666666666666664E-2</v>
      </c>
      <c r="P7363">
        <v>41</v>
      </c>
      <c r="S7363" s="74">
        <v>36833</v>
      </c>
      <c r="T7363" s="77">
        <v>4.1666666666666664E-2</v>
      </c>
      <c r="V7363">
        <v>51.980000000000004</v>
      </c>
      <c r="X7363" s="42"/>
      <c r="AB7363">
        <v>49.6</v>
      </c>
      <c r="AC7363">
        <v>57.019999999999996</v>
      </c>
      <c r="AE7363" s="74"/>
      <c r="AF7363" s="77"/>
      <c r="AH7363" s="497">
        <v>68</v>
      </c>
      <c r="AJ7363" s="42"/>
      <c r="AK7363" s="74"/>
      <c r="AL7363" s="77"/>
      <c r="AN7363" s="497">
        <v>35.06</v>
      </c>
      <c r="AP7363" s="42"/>
      <c r="AQ7363" s="74"/>
      <c r="AR7363" s="77"/>
      <c r="AT7363" s="497">
        <v>50</v>
      </c>
      <c r="AV7363" s="42"/>
      <c r="AW7363" s="74"/>
      <c r="AX7363" s="77"/>
      <c r="BA7363" s="497">
        <v>48.019999999999996</v>
      </c>
      <c r="BB7363" s="42"/>
      <c r="BC7363" s="74"/>
      <c r="BD7363" s="77"/>
      <c r="BF7363">
        <v>35.96</v>
      </c>
      <c r="BH7363" s="42"/>
      <c r="BI7363" s="74"/>
      <c r="BJ7363" s="77"/>
      <c r="BL7363" s="497">
        <v>37.94</v>
      </c>
      <c r="BN7363" s="42"/>
      <c r="BO7363" s="74"/>
      <c r="BP7363" s="77"/>
      <c r="BR7363" s="497">
        <v>39.019999999999996</v>
      </c>
      <c r="BT7363" s="42"/>
    </row>
    <row r="7364" spans="1:72" x14ac:dyDescent="0.25">
      <c r="A7364" s="90">
        <v>36833</v>
      </c>
      <c r="B7364" s="20">
        <v>8.3333333333333329E-2</v>
      </c>
      <c r="D7364">
        <v>50</v>
      </c>
      <c r="E7364" t="str">
        <f t="shared" si="264"/>
        <v>WEEKDAY</v>
      </c>
      <c r="F7364" t="e">
        <f t="shared" si="265"/>
        <v>#N/A</v>
      </c>
      <c r="G7364" s="74">
        <v>28797</v>
      </c>
      <c r="H7364" s="77">
        <v>8.3333333333333329E-2</v>
      </c>
      <c r="J7364">
        <v>51.980000000000004</v>
      </c>
      <c r="M7364" s="74">
        <v>36102</v>
      </c>
      <c r="N7364" s="77">
        <v>8.3333333333333329E-2</v>
      </c>
      <c r="P7364">
        <v>41</v>
      </c>
      <c r="S7364" s="74">
        <v>36833</v>
      </c>
      <c r="T7364" s="77">
        <v>8.3333333333333329E-2</v>
      </c>
      <c r="V7364">
        <v>51.08</v>
      </c>
      <c r="X7364" s="42"/>
      <c r="AB7364">
        <v>49</v>
      </c>
      <c r="AC7364">
        <v>55.94</v>
      </c>
      <c r="AE7364" s="74"/>
      <c r="AF7364" s="77"/>
      <c r="AH7364" s="497">
        <v>68</v>
      </c>
      <c r="AJ7364" s="42"/>
      <c r="AK7364" s="74"/>
      <c r="AL7364" s="77"/>
      <c r="AN7364" s="497">
        <v>33.979999999999997</v>
      </c>
      <c r="AP7364" s="42"/>
      <c r="AQ7364" s="74"/>
      <c r="AR7364" s="77"/>
      <c r="AT7364" s="497">
        <v>51.8</v>
      </c>
      <c r="AV7364" s="42"/>
      <c r="AW7364" s="74"/>
      <c r="AX7364" s="77"/>
      <c r="BA7364" s="497">
        <v>48.92</v>
      </c>
      <c r="BB7364" s="42"/>
      <c r="BC7364" s="74"/>
      <c r="BD7364" s="77"/>
      <c r="BF7364">
        <v>35.06</v>
      </c>
      <c r="BH7364" s="42"/>
      <c r="BI7364" s="74"/>
      <c r="BJ7364" s="77"/>
      <c r="BL7364" s="497">
        <v>37.94</v>
      </c>
      <c r="BN7364" s="42"/>
      <c r="BO7364" s="74"/>
      <c r="BP7364" s="77"/>
      <c r="BR7364" s="497">
        <v>39.92</v>
      </c>
      <c r="BT7364" s="42"/>
    </row>
    <row r="7365" spans="1:72" x14ac:dyDescent="0.25">
      <c r="A7365" s="90">
        <v>36833</v>
      </c>
      <c r="B7365" s="20">
        <v>0.125</v>
      </c>
      <c r="D7365">
        <v>48.92</v>
      </c>
      <c r="E7365" t="str">
        <f t="shared" si="264"/>
        <v>WEEKDAY</v>
      </c>
      <c r="F7365" t="e">
        <f t="shared" si="265"/>
        <v>#N/A</v>
      </c>
      <c r="G7365" s="74">
        <v>28797</v>
      </c>
      <c r="H7365" s="77">
        <v>0.125</v>
      </c>
      <c r="J7365">
        <v>51.08</v>
      </c>
      <c r="M7365" s="74">
        <v>36102</v>
      </c>
      <c r="N7365" s="77">
        <v>0.125</v>
      </c>
      <c r="P7365">
        <v>41</v>
      </c>
      <c r="S7365" s="74">
        <v>36833</v>
      </c>
      <c r="T7365" s="77">
        <v>0.125</v>
      </c>
      <c r="V7365">
        <v>48.92</v>
      </c>
      <c r="X7365" s="42"/>
      <c r="AB7365">
        <v>48.4</v>
      </c>
      <c r="AC7365">
        <v>57.019999999999996</v>
      </c>
      <c r="AE7365" s="74"/>
      <c r="AF7365" s="77"/>
      <c r="AH7365" s="497">
        <v>66.2</v>
      </c>
      <c r="AJ7365" s="42"/>
      <c r="AK7365" s="74"/>
      <c r="AL7365" s="77"/>
      <c r="AN7365" s="497">
        <v>33.979999999999997</v>
      </c>
      <c r="AP7365" s="42"/>
      <c r="AQ7365" s="74"/>
      <c r="AR7365" s="77"/>
      <c r="AT7365" s="497">
        <v>48.92</v>
      </c>
      <c r="AV7365" s="42"/>
      <c r="AW7365" s="74"/>
      <c r="AX7365" s="77"/>
      <c r="BA7365" s="497">
        <v>51.08</v>
      </c>
      <c r="BB7365" s="42"/>
      <c r="BC7365" s="74"/>
      <c r="BD7365" s="77"/>
      <c r="BF7365">
        <v>33.979999999999997</v>
      </c>
      <c r="BH7365" s="42"/>
      <c r="BI7365" s="74"/>
      <c r="BJ7365" s="77"/>
      <c r="BL7365" s="497">
        <v>35.96</v>
      </c>
      <c r="BN7365" s="42"/>
      <c r="BO7365" s="74"/>
      <c r="BP7365" s="77"/>
      <c r="BR7365" s="497">
        <v>41</v>
      </c>
      <c r="BT7365" s="42"/>
    </row>
    <row r="7366" spans="1:72" x14ac:dyDescent="0.25">
      <c r="A7366" s="90">
        <v>36833</v>
      </c>
      <c r="B7366" s="20">
        <v>0.16666666666666666</v>
      </c>
      <c r="D7366">
        <v>48.92</v>
      </c>
      <c r="E7366" t="str">
        <f t="shared" si="264"/>
        <v>WEEKDAY</v>
      </c>
      <c r="F7366" t="e">
        <f t="shared" si="265"/>
        <v>#N/A</v>
      </c>
      <c r="G7366" s="74">
        <v>28797</v>
      </c>
      <c r="H7366" s="77">
        <v>0.16666666666666666</v>
      </c>
      <c r="J7366">
        <v>51.08</v>
      </c>
      <c r="M7366" s="74">
        <v>36102</v>
      </c>
      <c r="N7366" s="77">
        <v>0.16666666666666666</v>
      </c>
      <c r="P7366">
        <v>39.200000000000003</v>
      </c>
      <c r="S7366" s="74">
        <v>36833</v>
      </c>
      <c r="T7366" s="77">
        <v>0.16666666666666666</v>
      </c>
      <c r="V7366">
        <v>48.019999999999996</v>
      </c>
      <c r="X7366" s="42"/>
      <c r="AB7366">
        <v>48</v>
      </c>
      <c r="AC7366">
        <v>55.94</v>
      </c>
      <c r="AE7366" s="74"/>
      <c r="AF7366" s="77"/>
      <c r="AH7366" s="497">
        <v>64.400000000000006</v>
      </c>
      <c r="AJ7366" s="42"/>
      <c r="AK7366" s="74"/>
      <c r="AL7366" s="77"/>
      <c r="AN7366" s="497">
        <v>33.08</v>
      </c>
      <c r="AP7366" s="42"/>
      <c r="AQ7366" s="74"/>
      <c r="AR7366" s="77"/>
      <c r="AT7366" s="497">
        <v>46.94</v>
      </c>
      <c r="AV7366" s="42"/>
      <c r="AW7366" s="74"/>
      <c r="AX7366" s="77"/>
      <c r="BA7366" s="497">
        <v>51.980000000000004</v>
      </c>
      <c r="BB7366" s="42"/>
      <c r="BC7366" s="74"/>
      <c r="BD7366" s="77"/>
      <c r="BF7366">
        <v>33.979999999999997</v>
      </c>
      <c r="BH7366" s="42"/>
      <c r="BI7366" s="74"/>
      <c r="BJ7366" s="77"/>
      <c r="BL7366" s="497">
        <v>33.979999999999997</v>
      </c>
      <c r="BN7366" s="42"/>
      <c r="BO7366" s="74"/>
      <c r="BP7366" s="77"/>
      <c r="BR7366" s="497">
        <v>41</v>
      </c>
      <c r="BT7366" s="42"/>
    </row>
    <row r="7367" spans="1:72" x14ac:dyDescent="0.25">
      <c r="A7367" s="90">
        <v>36833</v>
      </c>
      <c r="B7367" s="20">
        <v>0.20833333333333334</v>
      </c>
      <c r="D7367">
        <v>46.94</v>
      </c>
      <c r="E7367" t="str">
        <f t="shared" si="264"/>
        <v>WEEKDAY</v>
      </c>
      <c r="F7367" t="e">
        <f t="shared" si="265"/>
        <v>#N/A</v>
      </c>
      <c r="G7367" s="74">
        <v>28797</v>
      </c>
      <c r="H7367" s="77">
        <v>0.20833333333333334</v>
      </c>
      <c r="J7367">
        <v>51.08</v>
      </c>
      <c r="M7367" s="74">
        <v>36102</v>
      </c>
      <c r="N7367" s="77">
        <v>0.20833333333333334</v>
      </c>
      <c r="P7367">
        <v>39.200000000000003</v>
      </c>
      <c r="S7367" s="74">
        <v>36833</v>
      </c>
      <c r="T7367" s="77">
        <v>0.20833333333333334</v>
      </c>
      <c r="V7367">
        <v>48.92</v>
      </c>
      <c r="X7367" s="42"/>
      <c r="AB7367">
        <v>47.6</v>
      </c>
      <c r="AC7367">
        <v>57.92</v>
      </c>
      <c r="AE7367" s="74"/>
      <c r="AF7367" s="77"/>
      <c r="AH7367" s="497">
        <v>62.6</v>
      </c>
      <c r="AJ7367" s="42"/>
      <c r="AK7367" s="74"/>
      <c r="AL7367" s="77"/>
      <c r="AN7367" s="497">
        <v>33.08</v>
      </c>
      <c r="AP7367" s="42"/>
      <c r="AQ7367" s="74"/>
      <c r="AR7367" s="77"/>
      <c r="AT7367" s="497">
        <v>44.96</v>
      </c>
      <c r="AV7367" s="42"/>
      <c r="AW7367" s="74"/>
      <c r="AX7367" s="77"/>
      <c r="BA7367" s="497">
        <v>55.94</v>
      </c>
      <c r="BB7367" s="42"/>
      <c r="BC7367" s="74"/>
      <c r="BD7367" s="77"/>
      <c r="BF7367">
        <v>33.979999999999997</v>
      </c>
      <c r="BH7367" s="42"/>
      <c r="BI7367" s="74"/>
      <c r="BJ7367" s="77"/>
      <c r="BL7367" s="497">
        <v>33.979999999999997</v>
      </c>
      <c r="BN7367" s="42"/>
      <c r="BO7367" s="74"/>
      <c r="BP7367" s="77"/>
      <c r="BR7367" s="497">
        <v>42.08</v>
      </c>
      <c r="BT7367" s="42"/>
    </row>
    <row r="7368" spans="1:72" x14ac:dyDescent="0.25">
      <c r="A7368" s="90">
        <v>36833</v>
      </c>
      <c r="B7368" s="20">
        <v>0.25</v>
      </c>
      <c r="D7368">
        <v>46.94</v>
      </c>
      <c r="E7368" t="str">
        <f t="shared" si="264"/>
        <v>WEEKDAY</v>
      </c>
      <c r="F7368" t="e">
        <f t="shared" si="265"/>
        <v>#N/A</v>
      </c>
      <c r="G7368" s="74">
        <v>28797</v>
      </c>
      <c r="H7368" s="77">
        <v>0.25</v>
      </c>
      <c r="J7368">
        <v>50</v>
      </c>
      <c r="M7368" s="74">
        <v>36102</v>
      </c>
      <c r="N7368" s="77">
        <v>0.25</v>
      </c>
      <c r="P7368">
        <v>39.200000000000003</v>
      </c>
      <c r="S7368" s="74">
        <v>36833</v>
      </c>
      <c r="T7368" s="77">
        <v>0.25</v>
      </c>
      <c r="V7368">
        <v>46.94</v>
      </c>
      <c r="X7368" s="42"/>
      <c r="AB7368">
        <v>47.2</v>
      </c>
      <c r="AC7368">
        <v>57.92</v>
      </c>
      <c r="AE7368" s="74"/>
      <c r="AF7368" s="77"/>
      <c r="AH7368" s="497">
        <v>60.8</v>
      </c>
      <c r="AJ7368" s="42"/>
      <c r="AK7368" s="74"/>
      <c r="AL7368" s="77"/>
      <c r="AN7368" s="497">
        <v>33.08</v>
      </c>
      <c r="AP7368" s="42"/>
      <c r="AQ7368" s="74"/>
      <c r="AR7368" s="77"/>
      <c r="AT7368" s="497">
        <v>44.06</v>
      </c>
      <c r="AV7368" s="42"/>
      <c r="AW7368" s="74"/>
      <c r="AX7368" s="77"/>
      <c r="BA7368" s="497">
        <v>57.019999999999996</v>
      </c>
      <c r="BB7368" s="42"/>
      <c r="BC7368" s="74"/>
      <c r="BD7368" s="77"/>
      <c r="BF7368">
        <v>35.06</v>
      </c>
      <c r="BH7368" s="42"/>
      <c r="BI7368" s="74"/>
      <c r="BJ7368" s="77"/>
      <c r="BL7368" s="497">
        <v>32</v>
      </c>
      <c r="BN7368" s="42"/>
      <c r="BO7368" s="74"/>
      <c r="BP7368" s="77"/>
      <c r="BR7368" s="497">
        <v>42.08</v>
      </c>
      <c r="BT7368" s="42"/>
    </row>
    <row r="7369" spans="1:72" x14ac:dyDescent="0.25">
      <c r="A7369" s="90">
        <v>36833</v>
      </c>
      <c r="B7369" s="20">
        <v>0.29166666666666669</v>
      </c>
      <c r="D7369">
        <v>46.94</v>
      </c>
      <c r="E7369" t="str">
        <f t="shared" si="264"/>
        <v>WEEKDAY</v>
      </c>
      <c r="F7369" t="e">
        <f t="shared" si="265"/>
        <v>#N/A</v>
      </c>
      <c r="G7369" s="74">
        <v>28797</v>
      </c>
      <c r="H7369" s="77">
        <v>0.29166666666666669</v>
      </c>
      <c r="J7369">
        <v>48.92</v>
      </c>
      <c r="M7369" s="74">
        <v>36102</v>
      </c>
      <c r="N7369" s="77">
        <v>0.29166666666666669</v>
      </c>
      <c r="P7369">
        <v>39.200000000000003</v>
      </c>
      <c r="S7369" s="74">
        <v>36833</v>
      </c>
      <c r="T7369" s="77">
        <v>0.29166666666666669</v>
      </c>
      <c r="V7369">
        <v>48.019999999999996</v>
      </c>
      <c r="X7369" s="42"/>
      <c r="AB7369">
        <v>47.2</v>
      </c>
      <c r="AC7369">
        <v>57.92</v>
      </c>
      <c r="AE7369" s="74"/>
      <c r="AF7369" s="77"/>
      <c r="AH7369" s="497">
        <v>60.8</v>
      </c>
      <c r="AJ7369" s="42"/>
      <c r="AK7369" s="74"/>
      <c r="AL7369" s="77"/>
      <c r="AN7369" s="497">
        <v>33.08</v>
      </c>
      <c r="AP7369" s="42"/>
      <c r="AQ7369" s="74"/>
      <c r="AR7369" s="77"/>
      <c r="AT7369" s="497">
        <v>42.08</v>
      </c>
      <c r="AV7369" s="42"/>
      <c r="AW7369" s="74"/>
      <c r="AX7369" s="77"/>
      <c r="BA7369" s="497">
        <v>57.019999999999996</v>
      </c>
      <c r="BB7369" s="42"/>
      <c r="BC7369" s="74"/>
      <c r="BD7369" s="77"/>
      <c r="BF7369">
        <v>35.06</v>
      </c>
      <c r="BH7369" s="42"/>
      <c r="BI7369" s="74"/>
      <c r="BJ7369" s="77"/>
      <c r="BL7369" s="497">
        <v>32</v>
      </c>
      <c r="BN7369" s="42"/>
      <c r="BO7369" s="74"/>
      <c r="BP7369" s="77"/>
      <c r="BR7369" s="497">
        <v>51.980000000000004</v>
      </c>
      <c r="BT7369" s="42"/>
    </row>
    <row r="7370" spans="1:72" x14ac:dyDescent="0.25">
      <c r="A7370" s="90">
        <v>36833</v>
      </c>
      <c r="B7370" s="20">
        <v>0.33333333333333331</v>
      </c>
      <c r="D7370">
        <v>48.92</v>
      </c>
      <c r="E7370" t="str">
        <f t="shared" si="264"/>
        <v>WEEKDAY</v>
      </c>
      <c r="F7370" t="e">
        <f t="shared" si="265"/>
        <v>#N/A</v>
      </c>
      <c r="G7370" s="74">
        <v>28797</v>
      </c>
      <c r="H7370" s="77">
        <v>0.33333333333333331</v>
      </c>
      <c r="J7370">
        <v>51.980000000000004</v>
      </c>
      <c r="M7370" s="74">
        <v>36102</v>
      </c>
      <c r="N7370" s="77">
        <v>0.33333333333333331</v>
      </c>
      <c r="P7370">
        <v>42.8</v>
      </c>
      <c r="S7370" s="74">
        <v>36833</v>
      </c>
      <c r="T7370" s="77">
        <v>0.33333333333333331</v>
      </c>
      <c r="V7370">
        <v>51.980000000000004</v>
      </c>
      <c r="X7370" s="42"/>
      <c r="AB7370">
        <v>47.3</v>
      </c>
      <c r="AC7370">
        <v>60.08</v>
      </c>
      <c r="AE7370" s="74"/>
      <c r="AF7370" s="77"/>
      <c r="AH7370" s="497">
        <v>60.8</v>
      </c>
      <c r="AJ7370" s="42"/>
      <c r="AK7370" s="74"/>
      <c r="AL7370" s="77"/>
      <c r="AN7370" s="497">
        <v>33.08</v>
      </c>
      <c r="AP7370" s="42"/>
      <c r="AQ7370" s="74"/>
      <c r="AR7370" s="77"/>
      <c r="AT7370" s="497">
        <v>42.08</v>
      </c>
      <c r="AV7370" s="42"/>
      <c r="AW7370" s="74"/>
      <c r="AX7370" s="77"/>
      <c r="BA7370" s="497">
        <v>51.980000000000004</v>
      </c>
      <c r="BB7370" s="42"/>
      <c r="BC7370" s="74"/>
      <c r="BD7370" s="77"/>
      <c r="BF7370">
        <v>37.04</v>
      </c>
      <c r="BH7370" s="42"/>
      <c r="BI7370" s="74"/>
      <c r="BJ7370" s="77"/>
      <c r="BL7370" s="497">
        <v>35.06</v>
      </c>
      <c r="BN7370" s="42"/>
      <c r="BO7370" s="74"/>
      <c r="BP7370" s="77"/>
      <c r="BR7370" s="497">
        <v>55.040000000000006</v>
      </c>
      <c r="BT7370" s="42"/>
    </row>
    <row r="7371" spans="1:72" x14ac:dyDescent="0.25">
      <c r="A7371" s="90">
        <v>36833</v>
      </c>
      <c r="B7371" s="20">
        <v>0.375</v>
      </c>
      <c r="D7371">
        <v>51.08</v>
      </c>
      <c r="E7371" t="str">
        <f t="shared" si="264"/>
        <v>WEEKDAY</v>
      </c>
      <c r="F7371" t="e">
        <f t="shared" si="265"/>
        <v>#N/A</v>
      </c>
      <c r="G7371" s="74">
        <v>28797</v>
      </c>
      <c r="H7371" s="77">
        <v>0.375</v>
      </c>
      <c r="J7371">
        <v>55.94</v>
      </c>
      <c r="M7371" s="74">
        <v>36102</v>
      </c>
      <c r="N7371" s="77">
        <v>0.375</v>
      </c>
      <c r="P7371">
        <v>44.6</v>
      </c>
      <c r="S7371" s="74">
        <v>36833</v>
      </c>
      <c r="T7371" s="77">
        <v>0.375</v>
      </c>
      <c r="V7371">
        <v>55.040000000000006</v>
      </c>
      <c r="X7371" s="42"/>
      <c r="AB7371">
        <v>49.4</v>
      </c>
      <c r="AC7371">
        <v>64.039999999999992</v>
      </c>
      <c r="AE7371" s="74"/>
      <c r="AF7371" s="77"/>
      <c r="AH7371" s="497">
        <v>60.8</v>
      </c>
      <c r="AJ7371" s="42"/>
      <c r="AK7371" s="74"/>
      <c r="AL7371" s="77"/>
      <c r="AN7371" s="497">
        <v>33.979999999999997</v>
      </c>
      <c r="AP7371" s="42"/>
      <c r="AQ7371" s="74"/>
      <c r="AR7371" s="77"/>
      <c r="AT7371" s="497">
        <v>42.08</v>
      </c>
      <c r="AV7371" s="42"/>
      <c r="AW7371" s="74"/>
      <c r="AX7371" s="77"/>
      <c r="BA7371" s="497">
        <v>55.040000000000006</v>
      </c>
      <c r="BB7371" s="42"/>
      <c r="BC7371" s="74"/>
      <c r="BD7371" s="77"/>
      <c r="BF7371">
        <v>39.019999999999996</v>
      </c>
      <c r="BH7371" s="42"/>
      <c r="BI7371" s="74"/>
      <c r="BJ7371" s="77"/>
      <c r="BL7371" s="497">
        <v>39.019999999999996</v>
      </c>
      <c r="BN7371" s="42"/>
      <c r="BO7371" s="74"/>
      <c r="BP7371" s="77"/>
      <c r="BR7371" s="497">
        <v>55.94</v>
      </c>
      <c r="BT7371" s="42"/>
    </row>
    <row r="7372" spans="1:72" x14ac:dyDescent="0.25">
      <c r="A7372" s="90">
        <v>36833</v>
      </c>
      <c r="B7372" s="20">
        <v>0.41666666666666669</v>
      </c>
      <c r="D7372">
        <v>53.96</v>
      </c>
      <c r="E7372" t="str">
        <f t="shared" si="264"/>
        <v>WEEKDAY</v>
      </c>
      <c r="F7372" t="e">
        <f t="shared" si="265"/>
        <v>#N/A</v>
      </c>
      <c r="G7372" s="74">
        <v>28797</v>
      </c>
      <c r="H7372" s="77">
        <v>0.41666666666666669</v>
      </c>
      <c r="J7372">
        <v>59</v>
      </c>
      <c r="M7372" s="74">
        <v>36102</v>
      </c>
      <c r="N7372" s="77">
        <v>0.41666666666666669</v>
      </c>
      <c r="P7372">
        <v>46.4</v>
      </c>
      <c r="S7372" s="74">
        <v>36833</v>
      </c>
      <c r="T7372" s="77">
        <v>0.41666666666666669</v>
      </c>
      <c r="V7372">
        <v>55.94</v>
      </c>
      <c r="X7372" s="42"/>
      <c r="AB7372">
        <v>51.4</v>
      </c>
      <c r="AC7372">
        <v>68</v>
      </c>
      <c r="AE7372" s="74"/>
      <c r="AF7372" s="77"/>
      <c r="AH7372" s="497">
        <v>62.6</v>
      </c>
      <c r="AJ7372" s="42"/>
      <c r="AK7372" s="74"/>
      <c r="AL7372" s="77"/>
      <c r="AN7372" s="497">
        <v>37.94</v>
      </c>
      <c r="AP7372" s="42"/>
      <c r="AQ7372" s="74"/>
      <c r="AR7372" s="77"/>
      <c r="AT7372" s="497">
        <v>46.04</v>
      </c>
      <c r="AV7372" s="42"/>
      <c r="AW7372" s="74"/>
      <c r="AX7372" s="77"/>
      <c r="BA7372" s="497">
        <v>53.96</v>
      </c>
      <c r="BB7372" s="42"/>
      <c r="BC7372" s="74"/>
      <c r="BD7372" s="77"/>
      <c r="BF7372">
        <v>42.08</v>
      </c>
      <c r="BH7372" s="42"/>
      <c r="BI7372" s="74"/>
      <c r="BJ7372" s="77"/>
      <c r="BL7372" s="497">
        <v>41</v>
      </c>
      <c r="BN7372" s="42"/>
      <c r="BO7372" s="74"/>
      <c r="BP7372" s="77"/>
      <c r="BR7372" s="497">
        <v>53.96</v>
      </c>
      <c r="BT7372" s="42"/>
    </row>
    <row r="7373" spans="1:72" x14ac:dyDescent="0.25">
      <c r="A7373" s="90">
        <v>36833</v>
      </c>
      <c r="B7373" s="20">
        <v>0.45833333333333331</v>
      </c>
      <c r="D7373">
        <v>59</v>
      </c>
      <c r="E7373" t="str">
        <f t="shared" si="264"/>
        <v>WEEKDAY</v>
      </c>
      <c r="F7373" t="e">
        <f t="shared" si="265"/>
        <v>#N/A</v>
      </c>
      <c r="G7373" s="74">
        <v>28797</v>
      </c>
      <c r="H7373" s="77">
        <v>0.45833333333333331</v>
      </c>
      <c r="J7373">
        <v>60.980000000000004</v>
      </c>
      <c r="M7373" s="74">
        <v>36102</v>
      </c>
      <c r="N7373" s="77">
        <v>0.45833333333333331</v>
      </c>
      <c r="P7373">
        <v>47.66</v>
      </c>
      <c r="S7373" s="74">
        <v>36833</v>
      </c>
      <c r="T7373" s="77">
        <v>0.45833333333333331</v>
      </c>
      <c r="V7373">
        <v>59</v>
      </c>
      <c r="X7373" s="42"/>
      <c r="AB7373">
        <v>53</v>
      </c>
      <c r="AC7373">
        <v>71.960000000000008</v>
      </c>
      <c r="AE7373" s="74"/>
      <c r="AF7373" s="77"/>
      <c r="AH7373" s="497">
        <v>66.2</v>
      </c>
      <c r="AJ7373" s="42"/>
      <c r="AK7373" s="74"/>
      <c r="AL7373" s="77"/>
      <c r="AN7373" s="497">
        <v>39.92</v>
      </c>
      <c r="AP7373" s="42"/>
      <c r="AQ7373" s="74"/>
      <c r="AR7373" s="77"/>
      <c r="AT7373" s="497">
        <v>46.94</v>
      </c>
      <c r="AV7373" s="42"/>
      <c r="AW7373" s="74"/>
      <c r="AX7373" s="77"/>
      <c r="BA7373" s="497">
        <v>55.94</v>
      </c>
      <c r="BB7373" s="42"/>
      <c r="BC7373" s="74"/>
      <c r="BD7373" s="77"/>
      <c r="BF7373">
        <v>44.06</v>
      </c>
      <c r="BH7373" s="42"/>
      <c r="BI7373" s="74"/>
      <c r="BJ7373" s="77"/>
      <c r="BL7373" s="497">
        <v>44.06</v>
      </c>
      <c r="BN7373" s="42"/>
      <c r="BO7373" s="74"/>
      <c r="BP7373" s="77"/>
      <c r="BR7373" s="497">
        <v>53.06</v>
      </c>
      <c r="BT7373" s="42"/>
    </row>
    <row r="7374" spans="1:72" x14ac:dyDescent="0.25">
      <c r="A7374" s="90">
        <v>36833</v>
      </c>
      <c r="B7374" s="20">
        <v>0.5</v>
      </c>
      <c r="D7374">
        <v>62.06</v>
      </c>
      <c r="E7374" t="str">
        <f t="shared" si="264"/>
        <v>WEEKDAY</v>
      </c>
      <c r="F7374" t="e">
        <f t="shared" si="265"/>
        <v>#N/A</v>
      </c>
      <c r="G7374" s="74">
        <v>28797</v>
      </c>
      <c r="H7374" s="77">
        <v>0.5</v>
      </c>
      <c r="J7374">
        <v>62.06</v>
      </c>
      <c r="M7374" s="74">
        <v>36102</v>
      </c>
      <c r="N7374" s="77">
        <v>0.5</v>
      </c>
      <c r="P7374">
        <v>48.2</v>
      </c>
      <c r="S7374" s="74">
        <v>36833</v>
      </c>
      <c r="T7374" s="77">
        <v>0.5</v>
      </c>
      <c r="V7374">
        <v>60.980000000000004</v>
      </c>
      <c r="X7374" s="42"/>
      <c r="AB7374">
        <v>54.3</v>
      </c>
      <c r="AC7374">
        <v>71.960000000000008</v>
      </c>
      <c r="AE7374" s="74"/>
      <c r="AF7374" s="77"/>
      <c r="AH7374" s="497">
        <v>66.2</v>
      </c>
      <c r="AJ7374" s="42"/>
      <c r="AK7374" s="74"/>
      <c r="AL7374" s="77"/>
      <c r="AN7374" s="497">
        <v>42.980000000000004</v>
      </c>
      <c r="AP7374" s="42"/>
      <c r="AQ7374" s="74"/>
      <c r="AR7374" s="77"/>
      <c r="AT7374" s="497">
        <v>48.019999999999996</v>
      </c>
      <c r="AV7374" s="42"/>
      <c r="AW7374" s="74"/>
      <c r="AX7374" s="77"/>
      <c r="BA7374" s="497">
        <v>59</v>
      </c>
      <c r="BB7374" s="42"/>
      <c r="BC7374" s="74"/>
      <c r="BD7374" s="77"/>
      <c r="BF7374">
        <v>46.04</v>
      </c>
      <c r="BH7374" s="42"/>
      <c r="BI7374" s="74"/>
      <c r="BJ7374" s="77"/>
      <c r="BL7374" s="497">
        <v>46.04</v>
      </c>
      <c r="BN7374" s="42"/>
      <c r="BO7374" s="74"/>
      <c r="BP7374" s="77"/>
      <c r="BR7374" s="497">
        <v>53.96</v>
      </c>
      <c r="BT7374" s="42"/>
    </row>
    <row r="7375" spans="1:72" x14ac:dyDescent="0.25">
      <c r="A7375" s="90">
        <v>36833</v>
      </c>
      <c r="B7375" s="20">
        <v>0.54166666666666663</v>
      </c>
      <c r="D7375">
        <v>64.039999999999992</v>
      </c>
      <c r="E7375" t="str">
        <f t="shared" si="264"/>
        <v>WEEKDAY</v>
      </c>
      <c r="F7375" t="e">
        <f t="shared" si="265"/>
        <v>#N/A</v>
      </c>
      <c r="G7375" s="74">
        <v>28797</v>
      </c>
      <c r="H7375" s="77">
        <v>0.54166666666666663</v>
      </c>
      <c r="J7375">
        <v>62.06</v>
      </c>
      <c r="M7375" s="74">
        <v>36102</v>
      </c>
      <c r="N7375" s="77">
        <v>0.54166666666666663</v>
      </c>
      <c r="P7375">
        <v>48.2</v>
      </c>
      <c r="S7375" s="74">
        <v>36833</v>
      </c>
      <c r="T7375" s="77">
        <v>0.54166666666666663</v>
      </c>
      <c r="V7375">
        <v>62.96</v>
      </c>
      <c r="X7375" s="42"/>
      <c r="AB7375">
        <v>55.4</v>
      </c>
      <c r="AC7375">
        <v>73.039999999999992</v>
      </c>
      <c r="AE7375" s="74"/>
      <c r="AF7375" s="77"/>
      <c r="AH7375" s="497">
        <v>66.2</v>
      </c>
      <c r="AJ7375" s="42"/>
      <c r="AK7375" s="74"/>
      <c r="AL7375" s="77"/>
      <c r="AN7375" s="497">
        <v>46.04</v>
      </c>
      <c r="AP7375" s="42"/>
      <c r="AQ7375" s="74"/>
      <c r="AR7375" s="77"/>
      <c r="AT7375" s="497">
        <v>48.92</v>
      </c>
      <c r="AV7375" s="42"/>
      <c r="AW7375" s="74"/>
      <c r="AX7375" s="77"/>
      <c r="BA7375" s="497">
        <v>60.980000000000004</v>
      </c>
      <c r="BB7375" s="42"/>
      <c r="BC7375" s="74"/>
      <c r="BD7375" s="77"/>
      <c r="BF7375">
        <v>48.019999999999996</v>
      </c>
      <c r="BH7375" s="42"/>
      <c r="BI7375" s="74"/>
      <c r="BJ7375" s="77"/>
      <c r="BL7375" s="497">
        <v>48.92</v>
      </c>
      <c r="BN7375" s="42"/>
      <c r="BO7375" s="74"/>
      <c r="BP7375" s="77"/>
      <c r="BR7375" s="497">
        <v>53.96</v>
      </c>
      <c r="BT7375" s="42"/>
    </row>
    <row r="7376" spans="1:72" x14ac:dyDescent="0.25">
      <c r="A7376" s="90">
        <v>36833</v>
      </c>
      <c r="B7376" s="20">
        <v>0.58333333333333337</v>
      </c>
      <c r="D7376">
        <v>68</v>
      </c>
      <c r="E7376" t="str">
        <f t="shared" si="264"/>
        <v>WEEKDAY</v>
      </c>
      <c r="F7376" t="e">
        <f t="shared" si="265"/>
        <v>#N/A</v>
      </c>
      <c r="G7376" s="74">
        <v>28797</v>
      </c>
      <c r="H7376" s="77">
        <v>0.58333333333333337</v>
      </c>
      <c r="J7376">
        <v>64.039999999999992</v>
      </c>
      <c r="M7376" s="74">
        <v>36102</v>
      </c>
      <c r="N7376" s="77">
        <v>0.58333333333333337</v>
      </c>
      <c r="P7376">
        <v>50</v>
      </c>
      <c r="S7376" s="74">
        <v>36833</v>
      </c>
      <c r="T7376" s="77">
        <v>0.58333333333333337</v>
      </c>
      <c r="V7376">
        <v>64.039999999999992</v>
      </c>
      <c r="X7376" s="42"/>
      <c r="AB7376">
        <v>56</v>
      </c>
      <c r="AC7376">
        <v>69.98</v>
      </c>
      <c r="AE7376" s="74"/>
      <c r="AF7376" s="77"/>
      <c r="AH7376" s="497">
        <v>68</v>
      </c>
      <c r="AJ7376" s="42"/>
      <c r="AK7376" s="74"/>
      <c r="AL7376" s="77"/>
      <c r="AN7376" s="497">
        <v>48.019999999999996</v>
      </c>
      <c r="AP7376" s="42"/>
      <c r="AQ7376" s="74"/>
      <c r="AR7376" s="77"/>
      <c r="AT7376" s="497">
        <v>48.92</v>
      </c>
      <c r="AV7376" s="42"/>
      <c r="AW7376" s="74"/>
      <c r="AX7376" s="77"/>
      <c r="BA7376" s="497">
        <v>59</v>
      </c>
      <c r="BB7376" s="42"/>
      <c r="BC7376" s="74"/>
      <c r="BD7376" s="77"/>
      <c r="BF7376">
        <v>48.92</v>
      </c>
      <c r="BH7376" s="42"/>
      <c r="BI7376" s="74"/>
      <c r="BJ7376" s="77"/>
      <c r="BL7376" s="497">
        <v>50</v>
      </c>
      <c r="BN7376" s="42"/>
      <c r="BO7376" s="74"/>
      <c r="BP7376" s="77"/>
      <c r="BR7376" s="497">
        <v>53.96</v>
      </c>
      <c r="BT7376" s="42"/>
    </row>
    <row r="7377" spans="1:72" x14ac:dyDescent="0.25">
      <c r="A7377" s="90">
        <v>36833</v>
      </c>
      <c r="B7377" s="20">
        <v>0.625</v>
      </c>
      <c r="D7377">
        <v>69.080000000000013</v>
      </c>
      <c r="E7377" t="str">
        <f t="shared" si="264"/>
        <v>WEEKDAY</v>
      </c>
      <c r="F7377" t="e">
        <f t="shared" si="265"/>
        <v>#N/A</v>
      </c>
      <c r="G7377" s="74">
        <v>28797</v>
      </c>
      <c r="H7377" s="77">
        <v>0.625</v>
      </c>
      <c r="J7377">
        <v>62.96</v>
      </c>
      <c r="M7377" s="74">
        <v>36102</v>
      </c>
      <c r="N7377" s="77">
        <v>0.625</v>
      </c>
      <c r="P7377">
        <v>48.2</v>
      </c>
      <c r="S7377" s="74">
        <v>36833</v>
      </c>
      <c r="T7377" s="77">
        <v>0.625</v>
      </c>
      <c r="V7377">
        <v>62.96</v>
      </c>
      <c r="X7377" s="42"/>
      <c r="AB7377">
        <v>56.4</v>
      </c>
      <c r="AC7377">
        <v>69.080000000000013</v>
      </c>
      <c r="AE7377" s="74"/>
      <c r="AF7377" s="77"/>
      <c r="AH7377" s="497">
        <v>69.800000000000011</v>
      </c>
      <c r="AJ7377" s="42"/>
      <c r="AK7377" s="74"/>
      <c r="AL7377" s="77"/>
      <c r="AN7377" s="497">
        <v>48.019999999999996</v>
      </c>
      <c r="AP7377" s="42"/>
      <c r="AQ7377" s="74"/>
      <c r="AR7377" s="77"/>
      <c r="AT7377" s="497">
        <v>46.94</v>
      </c>
      <c r="AV7377" s="42"/>
      <c r="AW7377" s="74"/>
      <c r="AX7377" s="77"/>
      <c r="BA7377" s="497">
        <v>59</v>
      </c>
      <c r="BB7377" s="42"/>
      <c r="BC7377" s="74"/>
      <c r="BD7377" s="77"/>
      <c r="BF7377">
        <v>50</v>
      </c>
      <c r="BH7377" s="42"/>
      <c r="BI7377" s="74"/>
      <c r="BJ7377" s="77"/>
      <c r="BL7377" s="497">
        <v>51.08</v>
      </c>
      <c r="BN7377" s="42"/>
      <c r="BO7377" s="74"/>
      <c r="BP7377" s="77"/>
      <c r="BR7377" s="497">
        <v>57.019999999999996</v>
      </c>
      <c r="BT7377" s="42"/>
    </row>
    <row r="7378" spans="1:72" x14ac:dyDescent="0.25">
      <c r="A7378" s="90">
        <v>36833</v>
      </c>
      <c r="B7378" s="20">
        <v>0.66666666666666663</v>
      </c>
      <c r="D7378">
        <v>68</v>
      </c>
      <c r="E7378" t="str">
        <f t="shared" si="264"/>
        <v>WEEKDAY</v>
      </c>
      <c r="F7378" t="e">
        <f t="shared" si="265"/>
        <v>#N/A</v>
      </c>
      <c r="G7378" s="74">
        <v>28797</v>
      </c>
      <c r="H7378" s="77">
        <v>0.66666666666666663</v>
      </c>
      <c r="J7378">
        <v>60.980000000000004</v>
      </c>
      <c r="M7378" s="74">
        <v>36102</v>
      </c>
      <c r="N7378" s="77">
        <v>0.66666666666666663</v>
      </c>
      <c r="P7378">
        <v>48.2</v>
      </c>
      <c r="S7378" s="74">
        <v>36833</v>
      </c>
      <c r="T7378" s="77">
        <v>0.66666666666666663</v>
      </c>
      <c r="V7378">
        <v>59</v>
      </c>
      <c r="X7378" s="42"/>
      <c r="AB7378">
        <v>56</v>
      </c>
      <c r="AC7378">
        <v>66.92</v>
      </c>
      <c r="AE7378" s="74"/>
      <c r="AF7378" s="77"/>
      <c r="AH7378" s="497">
        <v>66.2</v>
      </c>
      <c r="AJ7378" s="42"/>
      <c r="AK7378" s="74"/>
      <c r="AL7378" s="77"/>
      <c r="AN7378" s="497">
        <v>48.019999999999996</v>
      </c>
      <c r="AP7378" s="42"/>
      <c r="AQ7378" s="74"/>
      <c r="AR7378" s="77"/>
      <c r="AT7378" s="497">
        <v>46.04</v>
      </c>
      <c r="AV7378" s="42"/>
      <c r="AW7378" s="74"/>
      <c r="AX7378" s="77"/>
      <c r="BA7378" s="497">
        <v>60.08</v>
      </c>
      <c r="BB7378" s="42"/>
      <c r="BC7378" s="74"/>
      <c r="BD7378" s="77"/>
      <c r="BF7378">
        <v>48.019999999999996</v>
      </c>
      <c r="BH7378" s="42"/>
      <c r="BI7378" s="74"/>
      <c r="BJ7378" s="77"/>
      <c r="BL7378" s="497">
        <v>50</v>
      </c>
      <c r="BN7378" s="42"/>
      <c r="BO7378" s="74"/>
      <c r="BP7378" s="77"/>
      <c r="BR7378" s="497">
        <v>55.040000000000006</v>
      </c>
      <c r="BT7378" s="42"/>
    </row>
    <row r="7379" spans="1:72" x14ac:dyDescent="0.25">
      <c r="A7379" s="90">
        <v>36833</v>
      </c>
      <c r="B7379" s="20">
        <v>0.70833333333333337</v>
      </c>
      <c r="D7379">
        <v>60.08</v>
      </c>
      <c r="E7379" t="str">
        <f t="shared" ref="E7379:E7442" si="266">IF(COUNTIF($DI$18:$DI$22, WEEKDAY(A7379))=1, "WEEKDAY", IF(WEEKDAY(A7379) = 1, "SUNDAY", "SATURDAY"))</f>
        <v>WEEKDAY</v>
      </c>
      <c r="F7379" t="e">
        <f t="shared" si="265"/>
        <v>#N/A</v>
      </c>
      <c r="G7379" s="74">
        <v>28797</v>
      </c>
      <c r="H7379" s="77">
        <v>0.70833333333333337</v>
      </c>
      <c r="J7379">
        <v>57.019999999999996</v>
      </c>
      <c r="M7379" s="74">
        <v>36102</v>
      </c>
      <c r="N7379" s="77">
        <v>0.70833333333333337</v>
      </c>
      <c r="P7379">
        <v>46.4</v>
      </c>
      <c r="S7379" s="74">
        <v>36833</v>
      </c>
      <c r="T7379" s="77">
        <v>0.70833333333333337</v>
      </c>
      <c r="V7379">
        <v>55.040000000000006</v>
      </c>
      <c r="X7379" s="42"/>
      <c r="AB7379">
        <v>55.1</v>
      </c>
      <c r="AC7379">
        <v>64.039999999999992</v>
      </c>
      <c r="AE7379" s="74"/>
      <c r="AF7379" s="77"/>
      <c r="AH7379" s="497">
        <v>62.6</v>
      </c>
      <c r="AJ7379" s="42"/>
      <c r="AK7379" s="74"/>
      <c r="AL7379" s="77"/>
      <c r="AN7379" s="497">
        <v>44.96</v>
      </c>
      <c r="AP7379" s="42"/>
      <c r="AQ7379" s="74"/>
      <c r="AR7379" s="77"/>
      <c r="AT7379" s="497">
        <v>42.08</v>
      </c>
      <c r="AV7379" s="42"/>
      <c r="AW7379" s="74"/>
      <c r="AX7379" s="77"/>
      <c r="BA7379" s="497">
        <v>60.08</v>
      </c>
      <c r="BB7379" s="42"/>
      <c r="BC7379" s="74"/>
      <c r="BD7379" s="77"/>
      <c r="BF7379">
        <v>46.94</v>
      </c>
      <c r="BH7379" s="42"/>
      <c r="BI7379" s="74"/>
      <c r="BJ7379" s="77"/>
      <c r="BL7379" s="497">
        <v>46.94</v>
      </c>
      <c r="BN7379" s="42"/>
      <c r="BO7379" s="74"/>
      <c r="BP7379" s="77"/>
      <c r="BR7379" s="497">
        <v>57.92</v>
      </c>
      <c r="BT7379" s="42"/>
    </row>
    <row r="7380" spans="1:72" x14ac:dyDescent="0.25">
      <c r="A7380" s="90">
        <v>36833</v>
      </c>
      <c r="B7380" s="20">
        <v>0.75</v>
      </c>
      <c r="D7380">
        <v>57.92</v>
      </c>
      <c r="E7380" t="str">
        <f t="shared" si="266"/>
        <v>WEEKDAY</v>
      </c>
      <c r="F7380" t="e">
        <f t="shared" si="265"/>
        <v>#N/A</v>
      </c>
      <c r="G7380" s="74">
        <v>28797</v>
      </c>
      <c r="H7380" s="77">
        <v>0.75</v>
      </c>
      <c r="J7380">
        <v>55.040000000000006</v>
      </c>
      <c r="M7380" s="74">
        <v>36102</v>
      </c>
      <c r="N7380" s="77">
        <v>0.75</v>
      </c>
      <c r="P7380">
        <v>44.6</v>
      </c>
      <c r="S7380" s="74">
        <v>36833</v>
      </c>
      <c r="T7380" s="77">
        <v>0.75</v>
      </c>
      <c r="V7380">
        <v>53.06</v>
      </c>
      <c r="X7380" s="42"/>
      <c r="AB7380">
        <v>53.6</v>
      </c>
      <c r="AC7380">
        <v>62.06</v>
      </c>
      <c r="AE7380" s="74"/>
      <c r="AF7380" s="77"/>
      <c r="AH7380" s="497">
        <v>59</v>
      </c>
      <c r="AJ7380" s="42"/>
      <c r="AK7380" s="74"/>
      <c r="AL7380" s="77"/>
      <c r="AN7380" s="497">
        <v>44.96</v>
      </c>
      <c r="AP7380" s="42"/>
      <c r="AQ7380" s="74"/>
      <c r="AR7380" s="77"/>
      <c r="AT7380" s="497">
        <v>42.08</v>
      </c>
      <c r="AV7380" s="42"/>
      <c r="AW7380" s="74"/>
      <c r="AX7380" s="77"/>
      <c r="BA7380" s="497">
        <v>59</v>
      </c>
      <c r="BB7380" s="42"/>
      <c r="BC7380" s="74"/>
      <c r="BD7380" s="77"/>
      <c r="BF7380">
        <v>42.980000000000004</v>
      </c>
      <c r="BH7380" s="42"/>
      <c r="BI7380" s="74"/>
      <c r="BJ7380" s="77"/>
      <c r="BL7380" s="497">
        <v>42.08</v>
      </c>
      <c r="BN7380" s="42"/>
      <c r="BO7380" s="74"/>
      <c r="BP7380" s="77"/>
      <c r="BR7380" s="497">
        <v>55.040000000000006</v>
      </c>
      <c r="BT7380" s="42"/>
    </row>
    <row r="7381" spans="1:72" x14ac:dyDescent="0.25">
      <c r="A7381" s="90">
        <v>36833</v>
      </c>
      <c r="B7381" s="20">
        <v>0.79166666666666663</v>
      </c>
      <c r="D7381">
        <v>59</v>
      </c>
      <c r="E7381" t="str">
        <f t="shared" si="266"/>
        <v>WEEKDAY</v>
      </c>
      <c r="F7381" t="e">
        <f t="shared" si="265"/>
        <v>#N/A</v>
      </c>
      <c r="G7381" s="74">
        <v>28797</v>
      </c>
      <c r="H7381" s="77">
        <v>0.79166666666666663</v>
      </c>
      <c r="J7381">
        <v>55.94</v>
      </c>
      <c r="M7381" s="74">
        <v>36102</v>
      </c>
      <c r="N7381" s="77">
        <v>0.79166666666666663</v>
      </c>
      <c r="P7381">
        <v>42.8</v>
      </c>
      <c r="S7381" s="74">
        <v>36833</v>
      </c>
      <c r="T7381" s="77">
        <v>0.79166666666666663</v>
      </c>
      <c r="V7381">
        <v>55.94</v>
      </c>
      <c r="X7381" s="42"/>
      <c r="AB7381">
        <v>52.8</v>
      </c>
      <c r="AC7381">
        <v>62.06</v>
      </c>
      <c r="AE7381" s="74"/>
      <c r="AF7381" s="77"/>
      <c r="AH7381" s="497">
        <v>53.6</v>
      </c>
      <c r="AJ7381" s="42"/>
      <c r="AK7381" s="74"/>
      <c r="AL7381" s="77"/>
      <c r="AN7381" s="497">
        <v>42.980000000000004</v>
      </c>
      <c r="AP7381" s="42"/>
      <c r="AQ7381" s="74"/>
      <c r="AR7381" s="77"/>
      <c r="AT7381" s="497">
        <v>39.019999999999996</v>
      </c>
      <c r="AV7381" s="42"/>
      <c r="AW7381" s="74"/>
      <c r="AX7381" s="77"/>
      <c r="BA7381" s="497">
        <v>57.019999999999996</v>
      </c>
      <c r="BB7381" s="42"/>
      <c r="BC7381" s="74"/>
      <c r="BD7381" s="77"/>
      <c r="BF7381">
        <v>41</v>
      </c>
      <c r="BH7381" s="42"/>
      <c r="BI7381" s="74"/>
      <c r="BJ7381" s="77"/>
      <c r="BL7381" s="497">
        <v>39.019999999999996</v>
      </c>
      <c r="BN7381" s="42"/>
      <c r="BO7381" s="74"/>
      <c r="BP7381" s="77"/>
      <c r="BR7381" s="497">
        <v>55.040000000000006</v>
      </c>
      <c r="BT7381" s="42"/>
    </row>
    <row r="7382" spans="1:72" x14ac:dyDescent="0.25">
      <c r="A7382" s="90">
        <v>36833</v>
      </c>
      <c r="B7382" s="20">
        <v>0.83333333333333337</v>
      </c>
      <c r="D7382">
        <v>62.96</v>
      </c>
      <c r="E7382" t="str">
        <f t="shared" si="266"/>
        <v>WEEKDAY</v>
      </c>
      <c r="F7382" t="e">
        <f t="shared" si="265"/>
        <v>#N/A</v>
      </c>
      <c r="G7382" s="74">
        <v>28797</v>
      </c>
      <c r="H7382" s="77">
        <v>0.83333333333333337</v>
      </c>
      <c r="J7382">
        <v>55.040000000000006</v>
      </c>
      <c r="M7382" s="74">
        <v>36102</v>
      </c>
      <c r="N7382" s="77">
        <v>0.83333333333333337</v>
      </c>
      <c r="P7382">
        <v>41</v>
      </c>
      <c r="S7382" s="74">
        <v>36833</v>
      </c>
      <c r="T7382" s="77">
        <v>0.83333333333333337</v>
      </c>
      <c r="V7382">
        <v>55.040000000000006</v>
      </c>
      <c r="X7382" s="42"/>
      <c r="AB7382">
        <v>52.3</v>
      </c>
      <c r="AC7382">
        <v>62.06</v>
      </c>
      <c r="AE7382" s="74"/>
      <c r="AF7382" s="77"/>
      <c r="AH7382" s="497">
        <v>51.8</v>
      </c>
      <c r="AJ7382" s="42"/>
      <c r="AK7382" s="74"/>
      <c r="AL7382" s="77"/>
      <c r="AN7382" s="497">
        <v>41</v>
      </c>
      <c r="AP7382" s="42"/>
      <c r="AQ7382" s="74"/>
      <c r="AR7382" s="77"/>
      <c r="AT7382" s="497">
        <v>37.04</v>
      </c>
      <c r="AV7382" s="42"/>
      <c r="AW7382" s="74"/>
      <c r="AX7382" s="77"/>
      <c r="BA7382" s="497">
        <v>57.019999999999996</v>
      </c>
      <c r="BB7382" s="42"/>
      <c r="BC7382" s="74"/>
      <c r="BD7382" s="77"/>
      <c r="BF7382">
        <v>42.08</v>
      </c>
      <c r="BH7382" s="42"/>
      <c r="BI7382" s="74"/>
      <c r="BJ7382" s="77"/>
      <c r="BL7382" s="497">
        <v>39.92</v>
      </c>
      <c r="BN7382" s="42"/>
      <c r="BO7382" s="74"/>
      <c r="BP7382" s="77"/>
      <c r="BR7382" s="497">
        <v>55.040000000000006</v>
      </c>
      <c r="BT7382" s="42"/>
    </row>
    <row r="7383" spans="1:72" x14ac:dyDescent="0.25">
      <c r="A7383" s="90">
        <v>36833</v>
      </c>
      <c r="B7383" s="20">
        <v>0.875</v>
      </c>
      <c r="D7383">
        <v>62.96</v>
      </c>
      <c r="E7383" t="str">
        <f t="shared" si="266"/>
        <v>WEEKDAY</v>
      </c>
      <c r="F7383" t="e">
        <f t="shared" si="265"/>
        <v>#N/A</v>
      </c>
      <c r="G7383" s="74">
        <v>28797</v>
      </c>
      <c r="H7383" s="77">
        <v>0.875</v>
      </c>
      <c r="J7383">
        <v>53.06</v>
      </c>
      <c r="M7383" s="74">
        <v>36102</v>
      </c>
      <c r="N7383" s="77">
        <v>0.875</v>
      </c>
      <c r="P7383">
        <v>41</v>
      </c>
      <c r="S7383" s="74">
        <v>36833</v>
      </c>
      <c r="T7383" s="77">
        <v>0.875</v>
      </c>
      <c r="V7383">
        <v>55.040000000000006</v>
      </c>
      <c r="X7383" s="42"/>
      <c r="AB7383">
        <v>51.7</v>
      </c>
      <c r="AC7383">
        <v>60.980000000000004</v>
      </c>
      <c r="AE7383" s="74"/>
      <c r="AF7383" s="77"/>
      <c r="AH7383" s="497">
        <v>44.6</v>
      </c>
      <c r="AJ7383" s="42"/>
      <c r="AK7383" s="74"/>
      <c r="AL7383" s="77"/>
      <c r="AN7383" s="497">
        <v>41</v>
      </c>
      <c r="AP7383" s="42"/>
      <c r="AQ7383" s="74"/>
      <c r="AR7383" s="77"/>
      <c r="AT7383" s="497">
        <v>35.96</v>
      </c>
      <c r="AV7383" s="42"/>
      <c r="AW7383" s="74"/>
      <c r="AX7383" s="77"/>
      <c r="BA7383" s="497">
        <v>57.019999999999996</v>
      </c>
      <c r="BB7383" s="42"/>
      <c r="BC7383" s="74"/>
      <c r="BD7383" s="77"/>
      <c r="BF7383">
        <v>42.08</v>
      </c>
      <c r="BH7383" s="42"/>
      <c r="BI7383" s="74"/>
      <c r="BJ7383" s="77"/>
      <c r="BL7383" s="497">
        <v>35.06</v>
      </c>
      <c r="BN7383" s="42"/>
      <c r="BO7383" s="74"/>
      <c r="BP7383" s="77"/>
      <c r="BR7383" s="497">
        <v>55.040000000000006</v>
      </c>
      <c r="BT7383" s="42"/>
    </row>
    <row r="7384" spans="1:72" x14ac:dyDescent="0.25">
      <c r="A7384" s="90">
        <v>36833</v>
      </c>
      <c r="B7384" s="20">
        <v>0.91666666666666663</v>
      </c>
      <c r="D7384">
        <v>62.96</v>
      </c>
      <c r="E7384" t="str">
        <f t="shared" si="266"/>
        <v>WEEKDAY</v>
      </c>
      <c r="F7384" t="e">
        <f t="shared" si="265"/>
        <v>#N/A</v>
      </c>
      <c r="G7384" s="74">
        <v>28797</v>
      </c>
      <c r="H7384" s="77">
        <v>0.91666666666666663</v>
      </c>
      <c r="J7384">
        <v>53.06</v>
      </c>
      <c r="M7384" s="74">
        <v>36102</v>
      </c>
      <c r="N7384" s="77">
        <v>0.91666666666666663</v>
      </c>
      <c r="P7384">
        <v>37.4</v>
      </c>
      <c r="S7384" s="74">
        <v>36833</v>
      </c>
      <c r="T7384" s="77">
        <v>0.91666666666666663</v>
      </c>
      <c r="V7384">
        <v>55.040000000000006</v>
      </c>
      <c r="X7384" s="42"/>
      <c r="AB7384">
        <v>51</v>
      </c>
      <c r="AC7384">
        <v>62.06</v>
      </c>
      <c r="AE7384" s="74"/>
      <c r="AF7384" s="77"/>
      <c r="AH7384" s="497">
        <v>42.8</v>
      </c>
      <c r="AJ7384" s="42"/>
      <c r="AK7384" s="74"/>
      <c r="AL7384" s="77"/>
      <c r="AN7384" s="497">
        <v>39.92</v>
      </c>
      <c r="AP7384" s="42"/>
      <c r="AQ7384" s="74"/>
      <c r="AR7384" s="77"/>
      <c r="AT7384" s="497">
        <v>35.06</v>
      </c>
      <c r="AV7384" s="42"/>
      <c r="AW7384" s="74"/>
      <c r="AX7384" s="77"/>
      <c r="BA7384" s="497">
        <v>53.96</v>
      </c>
      <c r="BB7384" s="42"/>
      <c r="BC7384" s="74"/>
      <c r="BD7384" s="77"/>
      <c r="BF7384">
        <v>42.980000000000004</v>
      </c>
      <c r="BH7384" s="42"/>
      <c r="BI7384" s="74"/>
      <c r="BJ7384" s="77"/>
      <c r="BL7384" s="497">
        <v>37.94</v>
      </c>
      <c r="BN7384" s="42"/>
      <c r="BO7384" s="74"/>
      <c r="BP7384" s="77"/>
      <c r="BR7384" s="497">
        <v>55.94</v>
      </c>
      <c r="BT7384" s="42"/>
    </row>
    <row r="7385" spans="1:72" x14ac:dyDescent="0.25">
      <c r="A7385" s="90">
        <v>36833</v>
      </c>
      <c r="B7385" s="20">
        <v>0.95833333333333337</v>
      </c>
      <c r="D7385">
        <v>62.06</v>
      </c>
      <c r="E7385" t="str">
        <f t="shared" si="266"/>
        <v>WEEKDAY</v>
      </c>
      <c r="F7385" t="e">
        <f t="shared" si="265"/>
        <v>#N/A</v>
      </c>
      <c r="G7385" s="74">
        <v>28797</v>
      </c>
      <c r="H7385" s="77">
        <v>0.95833333333333337</v>
      </c>
      <c r="J7385">
        <v>51.08</v>
      </c>
      <c r="M7385" s="74">
        <v>36102</v>
      </c>
      <c r="N7385" s="77">
        <v>0.95833333333333337</v>
      </c>
      <c r="P7385">
        <v>35.6</v>
      </c>
      <c r="S7385" s="74">
        <v>36833</v>
      </c>
      <c r="T7385" s="77">
        <v>0.95833333333333337</v>
      </c>
      <c r="V7385">
        <v>55.040000000000006</v>
      </c>
      <c r="X7385" s="42"/>
      <c r="AB7385">
        <v>50.5</v>
      </c>
      <c r="AC7385">
        <v>60.980000000000004</v>
      </c>
      <c r="AE7385" s="74"/>
      <c r="AF7385" s="77"/>
      <c r="AH7385" s="497">
        <v>42.8</v>
      </c>
      <c r="AJ7385" s="42"/>
      <c r="AK7385" s="74"/>
      <c r="AL7385" s="77"/>
      <c r="AN7385" s="497">
        <v>39.92</v>
      </c>
      <c r="AP7385" s="42"/>
      <c r="AQ7385" s="74"/>
      <c r="AR7385" s="77"/>
      <c r="AT7385" s="497">
        <v>33.979999999999997</v>
      </c>
      <c r="AV7385" s="42"/>
      <c r="AW7385" s="74"/>
      <c r="AX7385" s="77"/>
      <c r="BA7385" s="497">
        <v>50</v>
      </c>
      <c r="BB7385" s="42"/>
      <c r="BC7385" s="74"/>
      <c r="BD7385" s="77"/>
      <c r="BF7385">
        <v>42.980000000000004</v>
      </c>
      <c r="BH7385" s="42"/>
      <c r="BI7385" s="74"/>
      <c r="BJ7385" s="77"/>
      <c r="BL7385" s="497">
        <v>35.06</v>
      </c>
      <c r="BN7385" s="42"/>
      <c r="BO7385" s="74"/>
      <c r="BP7385" s="77"/>
      <c r="BR7385" s="497">
        <v>55.040000000000006</v>
      </c>
      <c r="BT7385" s="42"/>
    </row>
    <row r="7386" spans="1:72" x14ac:dyDescent="0.25">
      <c r="A7386" s="90">
        <v>36833</v>
      </c>
      <c r="B7386" s="20">
        <v>1</v>
      </c>
      <c r="D7386">
        <v>62.06</v>
      </c>
      <c r="E7386" t="str">
        <f t="shared" si="266"/>
        <v>WEEKDAY</v>
      </c>
      <c r="F7386" t="e">
        <f t="shared" si="265"/>
        <v>#N/A</v>
      </c>
      <c r="G7386" s="74">
        <v>28797</v>
      </c>
      <c r="H7386" s="77">
        <v>1</v>
      </c>
      <c r="J7386">
        <v>51.08</v>
      </c>
      <c r="M7386" s="74">
        <v>36102</v>
      </c>
      <c r="N7386" s="80">
        <v>1</v>
      </c>
      <c r="P7386">
        <v>33.799999999999997</v>
      </c>
      <c r="S7386" s="74">
        <v>36833</v>
      </c>
      <c r="T7386" s="80">
        <v>1</v>
      </c>
      <c r="V7386">
        <v>55.94</v>
      </c>
      <c r="X7386" s="42"/>
      <c r="AB7386">
        <v>49.7</v>
      </c>
      <c r="AC7386">
        <v>60.08</v>
      </c>
      <c r="AE7386" s="74"/>
      <c r="AF7386" s="80"/>
      <c r="AH7386" s="497">
        <v>42.8</v>
      </c>
      <c r="AJ7386" s="42"/>
      <c r="AK7386" s="74"/>
      <c r="AL7386" s="80"/>
      <c r="AN7386" s="497">
        <v>39.019999999999996</v>
      </c>
      <c r="AP7386" s="42"/>
      <c r="AQ7386" s="74"/>
      <c r="AR7386" s="80"/>
      <c r="AT7386" s="497">
        <v>30.92</v>
      </c>
      <c r="AV7386" s="42"/>
      <c r="AW7386" s="74"/>
      <c r="AX7386" s="80"/>
      <c r="BA7386" s="497">
        <v>57.019999999999996</v>
      </c>
      <c r="BB7386" s="42"/>
      <c r="BC7386" s="74"/>
      <c r="BD7386" s="80"/>
      <c r="BF7386">
        <v>44.96</v>
      </c>
      <c r="BH7386" s="42"/>
      <c r="BI7386" s="74"/>
      <c r="BJ7386" s="80"/>
      <c r="BL7386" s="497">
        <v>33.979999999999997</v>
      </c>
      <c r="BN7386" s="42"/>
      <c r="BO7386" s="74"/>
      <c r="BP7386" s="80"/>
      <c r="BR7386" s="497">
        <v>55.040000000000006</v>
      </c>
      <c r="BT7386" s="42"/>
    </row>
    <row r="7387" spans="1:72" x14ac:dyDescent="0.25">
      <c r="A7387" s="90">
        <v>36834</v>
      </c>
      <c r="B7387" s="20">
        <v>4.1666666666666664E-2</v>
      </c>
      <c r="D7387">
        <v>60.980000000000004</v>
      </c>
      <c r="E7387" t="str">
        <f t="shared" si="266"/>
        <v>SATURDAY</v>
      </c>
      <c r="F7387" t="e">
        <f t="shared" si="265"/>
        <v>#N/A</v>
      </c>
      <c r="G7387" s="74">
        <v>28798</v>
      </c>
      <c r="H7387" s="77">
        <v>4.1666666666666664E-2</v>
      </c>
      <c r="J7387">
        <v>50</v>
      </c>
      <c r="M7387" s="74">
        <v>36103</v>
      </c>
      <c r="N7387" s="77">
        <v>4.1666666666666664E-2</v>
      </c>
      <c r="P7387">
        <v>33.799999999999997</v>
      </c>
      <c r="S7387" s="74">
        <v>36834</v>
      </c>
      <c r="T7387" s="77">
        <v>4.1666666666666664E-2</v>
      </c>
      <c r="V7387">
        <v>55.040000000000006</v>
      </c>
      <c r="X7387" s="42"/>
      <c r="AB7387">
        <v>49.3</v>
      </c>
      <c r="AC7387">
        <v>60.08</v>
      </c>
      <c r="AE7387" s="74"/>
      <c r="AF7387" s="77"/>
      <c r="AH7387" s="497">
        <v>39.200000000000003</v>
      </c>
      <c r="AJ7387" s="42"/>
      <c r="AK7387" s="74"/>
      <c r="AL7387" s="77"/>
      <c r="AN7387" s="497">
        <v>35.96</v>
      </c>
      <c r="AP7387" s="42"/>
      <c r="AQ7387" s="74"/>
      <c r="AR7387" s="77"/>
      <c r="AT7387" s="497">
        <v>28.94</v>
      </c>
      <c r="AV7387" s="42"/>
      <c r="AW7387" s="74"/>
      <c r="AX7387" s="77"/>
      <c r="BA7387" s="497">
        <v>53.96</v>
      </c>
      <c r="BB7387" s="42"/>
      <c r="BC7387" s="74"/>
      <c r="BD7387" s="77"/>
      <c r="BF7387">
        <v>46.04</v>
      </c>
      <c r="BH7387" s="42"/>
      <c r="BI7387" s="74"/>
      <c r="BJ7387" s="77"/>
      <c r="BL7387" s="497">
        <v>35.06</v>
      </c>
      <c r="BN7387" s="42"/>
      <c r="BO7387" s="74"/>
      <c r="BP7387" s="77"/>
      <c r="BR7387" s="497">
        <v>51.08</v>
      </c>
      <c r="BT7387" s="42"/>
    </row>
    <row r="7388" spans="1:72" x14ac:dyDescent="0.25">
      <c r="A7388" s="90">
        <v>36834</v>
      </c>
      <c r="B7388" s="20">
        <v>8.3333333333333329E-2</v>
      </c>
      <c r="D7388">
        <v>60.980000000000004</v>
      </c>
      <c r="E7388" t="str">
        <f t="shared" si="266"/>
        <v>SATURDAY</v>
      </c>
      <c r="F7388" t="e">
        <f t="shared" si="265"/>
        <v>#N/A</v>
      </c>
      <c r="G7388" s="74">
        <v>28798</v>
      </c>
      <c r="H7388" s="77">
        <v>8.3333333333333329E-2</v>
      </c>
      <c r="J7388">
        <v>50</v>
      </c>
      <c r="M7388" s="74">
        <v>36103</v>
      </c>
      <c r="N7388" s="77">
        <v>8.3333333333333329E-2</v>
      </c>
      <c r="P7388">
        <v>34.520000000000003</v>
      </c>
      <c r="S7388" s="74">
        <v>36834</v>
      </c>
      <c r="T7388" s="77">
        <v>8.3333333333333329E-2</v>
      </c>
      <c r="V7388">
        <v>53.06</v>
      </c>
      <c r="X7388" s="42"/>
      <c r="AB7388">
        <v>48.6</v>
      </c>
      <c r="AC7388">
        <v>60.08</v>
      </c>
      <c r="AE7388" s="74"/>
      <c r="AF7388" s="77"/>
      <c r="AH7388" s="497">
        <v>37.4</v>
      </c>
      <c r="AJ7388" s="42"/>
      <c r="AK7388" s="74"/>
      <c r="AL7388" s="77"/>
      <c r="AN7388" s="497">
        <v>35.96</v>
      </c>
      <c r="AP7388" s="42"/>
      <c r="AQ7388" s="74"/>
      <c r="AR7388" s="77"/>
      <c r="AT7388" s="497">
        <v>28.04</v>
      </c>
      <c r="AV7388" s="42"/>
      <c r="AW7388" s="74"/>
      <c r="AX7388" s="77"/>
      <c r="BA7388" s="497">
        <v>57.019999999999996</v>
      </c>
      <c r="BB7388" s="42"/>
      <c r="BC7388" s="74"/>
      <c r="BD7388" s="77"/>
      <c r="BF7388">
        <v>48.019999999999996</v>
      </c>
      <c r="BH7388" s="42"/>
      <c r="BI7388" s="74"/>
      <c r="BJ7388" s="77"/>
      <c r="BL7388" s="497">
        <v>37.04</v>
      </c>
      <c r="BN7388" s="42"/>
      <c r="BO7388" s="74"/>
      <c r="BP7388" s="77"/>
      <c r="BR7388" s="497">
        <v>55.040000000000006</v>
      </c>
      <c r="BT7388" s="42"/>
    </row>
    <row r="7389" spans="1:72" x14ac:dyDescent="0.25">
      <c r="A7389" s="90">
        <v>36834</v>
      </c>
      <c r="B7389" s="20">
        <v>0.125</v>
      </c>
      <c r="D7389">
        <v>60.08</v>
      </c>
      <c r="E7389" t="str">
        <f t="shared" si="266"/>
        <v>SATURDAY</v>
      </c>
      <c r="F7389" t="e">
        <f t="shared" si="265"/>
        <v>#N/A</v>
      </c>
      <c r="G7389" s="74">
        <v>28798</v>
      </c>
      <c r="H7389" s="77">
        <v>0.125</v>
      </c>
      <c r="J7389">
        <v>50</v>
      </c>
      <c r="M7389" s="74">
        <v>36103</v>
      </c>
      <c r="N7389" s="77">
        <v>0.125</v>
      </c>
      <c r="P7389">
        <v>35.24</v>
      </c>
      <c r="S7389" s="74">
        <v>36834</v>
      </c>
      <c r="T7389" s="77">
        <v>0.125</v>
      </c>
      <c r="V7389">
        <v>50</v>
      </c>
      <c r="X7389" s="42"/>
      <c r="AB7389">
        <v>48.1</v>
      </c>
      <c r="AC7389">
        <v>59</v>
      </c>
      <c r="AE7389" s="74"/>
      <c r="AF7389" s="77"/>
      <c r="AH7389" s="497">
        <v>37.4</v>
      </c>
      <c r="AJ7389" s="42"/>
      <c r="AK7389" s="74"/>
      <c r="AL7389" s="77"/>
      <c r="AN7389" s="497">
        <v>37.04</v>
      </c>
      <c r="AP7389" s="42"/>
      <c r="AQ7389" s="74"/>
      <c r="AR7389" s="77"/>
      <c r="AT7389" s="497">
        <v>28.04</v>
      </c>
      <c r="AV7389" s="42"/>
      <c r="AW7389" s="74"/>
      <c r="AX7389" s="77"/>
      <c r="BA7389" s="497">
        <v>57.92</v>
      </c>
      <c r="BB7389" s="42"/>
      <c r="BC7389" s="74"/>
      <c r="BD7389" s="77"/>
      <c r="BF7389">
        <v>48.019999999999996</v>
      </c>
      <c r="BH7389" s="42"/>
      <c r="BI7389" s="74"/>
      <c r="BJ7389" s="77"/>
      <c r="BL7389" s="497">
        <v>39.92</v>
      </c>
      <c r="BN7389" s="42"/>
      <c r="BO7389" s="74"/>
      <c r="BP7389" s="77"/>
      <c r="BR7389" s="497">
        <v>57.92</v>
      </c>
      <c r="BT7389" s="42"/>
    </row>
    <row r="7390" spans="1:72" x14ac:dyDescent="0.25">
      <c r="A7390" s="90">
        <v>36834</v>
      </c>
      <c r="B7390" s="20">
        <v>0.16666666666666666</v>
      </c>
      <c r="D7390">
        <v>59</v>
      </c>
      <c r="E7390" t="str">
        <f t="shared" si="266"/>
        <v>SATURDAY</v>
      </c>
      <c r="F7390" t="e">
        <f t="shared" si="265"/>
        <v>#N/A</v>
      </c>
      <c r="G7390" s="74">
        <v>28798</v>
      </c>
      <c r="H7390" s="77">
        <v>0.16666666666666666</v>
      </c>
      <c r="J7390">
        <v>50</v>
      </c>
      <c r="M7390" s="74">
        <v>36103</v>
      </c>
      <c r="N7390" s="77">
        <v>0.16666666666666666</v>
      </c>
      <c r="P7390">
        <v>35.6</v>
      </c>
      <c r="S7390" s="74">
        <v>36834</v>
      </c>
      <c r="T7390" s="77">
        <v>0.16666666666666666</v>
      </c>
      <c r="V7390">
        <v>51.08</v>
      </c>
      <c r="X7390" s="42"/>
      <c r="AB7390">
        <v>47.6</v>
      </c>
      <c r="AC7390">
        <v>59</v>
      </c>
      <c r="AE7390" s="74"/>
      <c r="AF7390" s="77"/>
      <c r="AH7390" s="497">
        <v>35.6</v>
      </c>
      <c r="AJ7390" s="42"/>
      <c r="AK7390" s="74"/>
      <c r="AL7390" s="77"/>
      <c r="AN7390" s="497">
        <v>35.96</v>
      </c>
      <c r="AP7390" s="42"/>
      <c r="AQ7390" s="74"/>
      <c r="AR7390" s="77"/>
      <c r="AT7390" s="497">
        <v>28.94</v>
      </c>
      <c r="AV7390" s="42"/>
      <c r="AW7390" s="74"/>
      <c r="AX7390" s="77"/>
      <c r="BA7390" s="497">
        <v>57.92</v>
      </c>
      <c r="BB7390" s="42"/>
      <c r="BC7390" s="74"/>
      <c r="BD7390" s="77"/>
      <c r="BF7390">
        <v>50</v>
      </c>
      <c r="BH7390" s="42"/>
      <c r="BI7390" s="74"/>
      <c r="BJ7390" s="77"/>
      <c r="BL7390" s="497">
        <v>42.980000000000004</v>
      </c>
      <c r="BN7390" s="42"/>
      <c r="BO7390" s="74"/>
      <c r="BP7390" s="77"/>
      <c r="BR7390" s="497">
        <v>57.92</v>
      </c>
      <c r="BT7390" s="42"/>
    </row>
    <row r="7391" spans="1:72" x14ac:dyDescent="0.25">
      <c r="A7391" s="90">
        <v>36834</v>
      </c>
      <c r="B7391" s="20">
        <v>0.20833333333333334</v>
      </c>
      <c r="D7391">
        <v>57.92</v>
      </c>
      <c r="E7391" t="str">
        <f t="shared" si="266"/>
        <v>SATURDAY</v>
      </c>
      <c r="F7391" t="e">
        <f t="shared" si="265"/>
        <v>#N/A</v>
      </c>
      <c r="G7391" s="74">
        <v>28798</v>
      </c>
      <c r="H7391" s="77">
        <v>0.20833333333333334</v>
      </c>
      <c r="J7391">
        <v>50</v>
      </c>
      <c r="M7391" s="74">
        <v>36103</v>
      </c>
      <c r="N7391" s="77">
        <v>0.20833333333333334</v>
      </c>
      <c r="P7391">
        <v>37.4</v>
      </c>
      <c r="S7391" s="74">
        <v>36834</v>
      </c>
      <c r="T7391" s="77">
        <v>0.20833333333333334</v>
      </c>
      <c r="V7391">
        <v>51.08</v>
      </c>
      <c r="X7391" s="42"/>
      <c r="AB7391">
        <v>47.2</v>
      </c>
      <c r="AC7391">
        <v>57.019999999999996</v>
      </c>
      <c r="AE7391" s="74"/>
      <c r="AF7391" s="77"/>
      <c r="AH7391" s="497">
        <v>35.6</v>
      </c>
      <c r="AJ7391" s="42"/>
      <c r="AK7391" s="74"/>
      <c r="AL7391" s="77"/>
      <c r="AN7391" s="497">
        <v>37.94</v>
      </c>
      <c r="AP7391" s="42"/>
      <c r="AQ7391" s="74"/>
      <c r="AR7391" s="77"/>
      <c r="AT7391" s="497">
        <v>26.060000000000002</v>
      </c>
      <c r="AV7391" s="42"/>
      <c r="AW7391" s="74"/>
      <c r="AX7391" s="77"/>
      <c r="BA7391" s="497">
        <v>59</v>
      </c>
      <c r="BB7391" s="42"/>
      <c r="BC7391" s="74"/>
      <c r="BD7391" s="77"/>
      <c r="BF7391">
        <v>50</v>
      </c>
      <c r="BH7391" s="42"/>
      <c r="BI7391" s="74"/>
      <c r="BJ7391" s="77"/>
      <c r="BL7391" s="497">
        <v>46.04</v>
      </c>
      <c r="BN7391" s="42"/>
      <c r="BO7391" s="74"/>
      <c r="BP7391" s="77"/>
      <c r="BR7391" s="497">
        <v>59</v>
      </c>
      <c r="BT7391" s="42"/>
    </row>
    <row r="7392" spans="1:72" x14ac:dyDescent="0.25">
      <c r="A7392" s="90">
        <v>36834</v>
      </c>
      <c r="B7392" s="20">
        <v>0.25</v>
      </c>
      <c r="D7392">
        <v>57.92</v>
      </c>
      <c r="E7392" t="str">
        <f t="shared" si="266"/>
        <v>SATURDAY</v>
      </c>
      <c r="F7392" t="e">
        <f t="shared" si="265"/>
        <v>#N/A</v>
      </c>
      <c r="G7392" s="74">
        <v>28798</v>
      </c>
      <c r="H7392" s="77">
        <v>0.25</v>
      </c>
      <c r="J7392">
        <v>50</v>
      </c>
      <c r="M7392" s="74">
        <v>36103</v>
      </c>
      <c r="N7392" s="77">
        <v>0.25</v>
      </c>
      <c r="P7392">
        <v>35.6</v>
      </c>
      <c r="S7392" s="74">
        <v>36834</v>
      </c>
      <c r="T7392" s="77">
        <v>0.25</v>
      </c>
      <c r="V7392">
        <v>50</v>
      </c>
      <c r="X7392" s="42"/>
      <c r="AB7392">
        <v>46.8</v>
      </c>
      <c r="AC7392">
        <v>53.96</v>
      </c>
      <c r="AE7392" s="74"/>
      <c r="AF7392" s="77"/>
      <c r="AH7392" s="497">
        <v>33.799999999999997</v>
      </c>
      <c r="AJ7392" s="42"/>
      <c r="AK7392" s="74"/>
      <c r="AL7392" s="77"/>
      <c r="AN7392" s="497">
        <v>39.019999999999996</v>
      </c>
      <c r="AP7392" s="42"/>
      <c r="AQ7392" s="74"/>
      <c r="AR7392" s="77"/>
      <c r="AT7392" s="497">
        <v>26.96</v>
      </c>
      <c r="AV7392" s="42"/>
      <c r="AW7392" s="74"/>
      <c r="AX7392" s="77"/>
      <c r="BA7392" s="497">
        <v>60.980000000000004</v>
      </c>
      <c r="BB7392" s="42"/>
      <c r="BC7392" s="74"/>
      <c r="BD7392" s="77"/>
      <c r="BF7392">
        <v>51.980000000000004</v>
      </c>
      <c r="BH7392" s="42"/>
      <c r="BI7392" s="74"/>
      <c r="BJ7392" s="77"/>
      <c r="BL7392" s="497">
        <v>48.019999999999996</v>
      </c>
      <c r="BN7392" s="42"/>
      <c r="BO7392" s="74"/>
      <c r="BP7392" s="77"/>
      <c r="BR7392" s="497">
        <v>60.08</v>
      </c>
      <c r="BT7392" s="42"/>
    </row>
    <row r="7393" spans="1:72" x14ac:dyDescent="0.25">
      <c r="A7393" s="90">
        <v>36834</v>
      </c>
      <c r="B7393" s="20">
        <v>0.29166666666666669</v>
      </c>
      <c r="D7393">
        <v>60.08</v>
      </c>
      <c r="E7393" t="str">
        <f t="shared" si="266"/>
        <v>SATURDAY</v>
      </c>
      <c r="F7393" t="e">
        <f t="shared" si="265"/>
        <v>#N/A</v>
      </c>
      <c r="G7393" s="74">
        <v>28798</v>
      </c>
      <c r="H7393" s="77">
        <v>0.29166666666666669</v>
      </c>
      <c r="J7393">
        <v>50</v>
      </c>
      <c r="M7393" s="74">
        <v>36103</v>
      </c>
      <c r="N7393" s="77">
        <v>0.29166666666666669</v>
      </c>
      <c r="P7393">
        <v>37.4</v>
      </c>
      <c r="S7393" s="74">
        <v>36834</v>
      </c>
      <c r="T7393" s="77">
        <v>0.29166666666666669</v>
      </c>
      <c r="V7393">
        <v>48.92</v>
      </c>
      <c r="X7393" s="42"/>
      <c r="AB7393">
        <v>46.7</v>
      </c>
      <c r="AC7393">
        <v>57.019999999999996</v>
      </c>
      <c r="AE7393" s="74"/>
      <c r="AF7393" s="77"/>
      <c r="AH7393" s="497">
        <v>32</v>
      </c>
      <c r="AJ7393" s="42"/>
      <c r="AK7393" s="74"/>
      <c r="AL7393" s="77"/>
      <c r="AN7393" s="497">
        <v>42.08</v>
      </c>
      <c r="AP7393" s="42"/>
      <c r="AQ7393" s="74"/>
      <c r="AR7393" s="77"/>
      <c r="AT7393" s="497">
        <v>26.060000000000002</v>
      </c>
      <c r="AV7393" s="42"/>
      <c r="AW7393" s="74"/>
      <c r="AX7393" s="77"/>
      <c r="BA7393" s="497">
        <v>60.08</v>
      </c>
      <c r="BB7393" s="42"/>
      <c r="BC7393" s="74"/>
      <c r="BD7393" s="77"/>
      <c r="BF7393">
        <v>53.06</v>
      </c>
      <c r="BH7393" s="42"/>
      <c r="BI7393" s="74"/>
      <c r="BJ7393" s="77"/>
      <c r="BL7393" s="497">
        <v>48.92</v>
      </c>
      <c r="BN7393" s="42"/>
      <c r="BO7393" s="74"/>
      <c r="BP7393" s="77"/>
      <c r="BR7393" s="497">
        <v>59</v>
      </c>
      <c r="BT7393" s="42"/>
    </row>
    <row r="7394" spans="1:72" x14ac:dyDescent="0.25">
      <c r="A7394" s="90">
        <v>36834</v>
      </c>
      <c r="B7394" s="20">
        <v>0.33333333333333331</v>
      </c>
      <c r="D7394">
        <v>60.980000000000004</v>
      </c>
      <c r="E7394" t="str">
        <f t="shared" si="266"/>
        <v>SATURDAY</v>
      </c>
      <c r="F7394" t="e">
        <f t="shared" si="265"/>
        <v>#N/A</v>
      </c>
      <c r="G7394" s="74">
        <v>28798</v>
      </c>
      <c r="H7394" s="77">
        <v>0.33333333333333331</v>
      </c>
      <c r="J7394">
        <v>51.08</v>
      </c>
      <c r="M7394" s="74">
        <v>36103</v>
      </c>
      <c r="N7394" s="77">
        <v>0.33333333333333331</v>
      </c>
      <c r="P7394">
        <v>37.4</v>
      </c>
      <c r="S7394" s="74">
        <v>36834</v>
      </c>
      <c r="T7394" s="77">
        <v>0.33333333333333331</v>
      </c>
      <c r="V7394">
        <v>53.96</v>
      </c>
      <c r="X7394" s="42"/>
      <c r="AB7394">
        <v>46.9</v>
      </c>
      <c r="AC7394">
        <v>57.019999999999996</v>
      </c>
      <c r="AE7394" s="74"/>
      <c r="AF7394" s="77"/>
      <c r="AH7394" s="497">
        <v>37.4</v>
      </c>
      <c r="AJ7394" s="42"/>
      <c r="AK7394" s="74"/>
      <c r="AL7394" s="77"/>
      <c r="AN7394" s="497">
        <v>42.08</v>
      </c>
      <c r="AP7394" s="42"/>
      <c r="AQ7394" s="74"/>
      <c r="AR7394" s="77"/>
      <c r="AT7394" s="497">
        <v>28.94</v>
      </c>
      <c r="AV7394" s="42"/>
      <c r="AW7394" s="74"/>
      <c r="AX7394" s="77"/>
      <c r="BA7394" s="497">
        <v>62.96</v>
      </c>
      <c r="BB7394" s="42"/>
      <c r="BC7394" s="74"/>
      <c r="BD7394" s="77"/>
      <c r="BF7394">
        <v>53.06</v>
      </c>
      <c r="BH7394" s="42"/>
      <c r="BI7394" s="74"/>
      <c r="BJ7394" s="77"/>
      <c r="BL7394" s="497">
        <v>48.019999999999996</v>
      </c>
      <c r="BN7394" s="42"/>
      <c r="BO7394" s="74"/>
      <c r="BP7394" s="77"/>
      <c r="BR7394" s="497">
        <v>60.980000000000004</v>
      </c>
      <c r="BT7394" s="42"/>
    </row>
    <row r="7395" spans="1:72" x14ac:dyDescent="0.25">
      <c r="A7395" s="90">
        <v>36834</v>
      </c>
      <c r="B7395" s="20">
        <v>0.375</v>
      </c>
      <c r="D7395">
        <v>64.039999999999992</v>
      </c>
      <c r="E7395" t="str">
        <f t="shared" si="266"/>
        <v>SATURDAY</v>
      </c>
      <c r="F7395" t="e">
        <f t="shared" si="265"/>
        <v>#N/A</v>
      </c>
      <c r="G7395" s="74">
        <v>28798</v>
      </c>
      <c r="H7395" s="77">
        <v>0.375</v>
      </c>
      <c r="J7395">
        <v>51.08</v>
      </c>
      <c r="M7395" s="74">
        <v>36103</v>
      </c>
      <c r="N7395" s="77">
        <v>0.375</v>
      </c>
      <c r="P7395">
        <v>41</v>
      </c>
      <c r="S7395" s="74">
        <v>36834</v>
      </c>
      <c r="T7395" s="77">
        <v>0.375</v>
      </c>
      <c r="V7395">
        <v>57.92</v>
      </c>
      <c r="X7395" s="42"/>
      <c r="AB7395">
        <v>48.9</v>
      </c>
      <c r="AC7395">
        <v>57.92</v>
      </c>
      <c r="AE7395" s="74"/>
      <c r="AF7395" s="77"/>
      <c r="AH7395" s="497">
        <v>46.4</v>
      </c>
      <c r="AJ7395" s="42"/>
      <c r="AK7395" s="74"/>
      <c r="AL7395" s="77"/>
      <c r="AN7395" s="497">
        <v>42.08</v>
      </c>
      <c r="AP7395" s="42"/>
      <c r="AQ7395" s="74"/>
      <c r="AR7395" s="77"/>
      <c r="AT7395" s="497">
        <v>32</v>
      </c>
      <c r="AV7395" s="42"/>
      <c r="AW7395" s="74"/>
      <c r="AX7395" s="77"/>
      <c r="BA7395" s="497">
        <v>66.02</v>
      </c>
      <c r="BB7395" s="42"/>
      <c r="BC7395" s="74"/>
      <c r="BD7395" s="77"/>
      <c r="BF7395">
        <v>55.040000000000006</v>
      </c>
      <c r="BH7395" s="42"/>
      <c r="BI7395" s="74"/>
      <c r="BJ7395" s="77"/>
      <c r="BL7395" s="497">
        <v>51.08</v>
      </c>
      <c r="BN7395" s="42"/>
      <c r="BO7395" s="74"/>
      <c r="BP7395" s="77"/>
      <c r="BR7395" s="497">
        <v>62.96</v>
      </c>
      <c r="BT7395" s="42"/>
    </row>
    <row r="7396" spans="1:72" x14ac:dyDescent="0.25">
      <c r="A7396" s="90">
        <v>36834</v>
      </c>
      <c r="B7396" s="20">
        <v>0.41666666666666669</v>
      </c>
      <c r="D7396">
        <v>66.92</v>
      </c>
      <c r="E7396" t="str">
        <f t="shared" si="266"/>
        <v>SATURDAY</v>
      </c>
      <c r="F7396" t="e">
        <f t="shared" si="265"/>
        <v>#N/A</v>
      </c>
      <c r="G7396" s="74">
        <v>28798</v>
      </c>
      <c r="H7396" s="77">
        <v>0.41666666666666669</v>
      </c>
      <c r="J7396">
        <v>51.980000000000004</v>
      </c>
      <c r="M7396" s="74">
        <v>36103</v>
      </c>
      <c r="N7396" s="77">
        <v>0.41666666666666669</v>
      </c>
      <c r="P7396">
        <v>42.8</v>
      </c>
      <c r="S7396" s="74">
        <v>36834</v>
      </c>
      <c r="T7396" s="77">
        <v>0.41666666666666669</v>
      </c>
      <c r="V7396">
        <v>60.980000000000004</v>
      </c>
      <c r="X7396" s="42"/>
      <c r="AB7396">
        <v>50.9</v>
      </c>
      <c r="AC7396">
        <v>55.94</v>
      </c>
      <c r="AE7396" s="74"/>
      <c r="AF7396" s="77"/>
      <c r="AH7396" s="497">
        <v>51.8</v>
      </c>
      <c r="AJ7396" s="42"/>
      <c r="AK7396" s="74"/>
      <c r="AL7396" s="77"/>
      <c r="AN7396" s="497">
        <v>44.06</v>
      </c>
      <c r="AP7396" s="42"/>
      <c r="AQ7396" s="74"/>
      <c r="AR7396" s="77"/>
      <c r="AT7396" s="497">
        <v>33.979999999999997</v>
      </c>
      <c r="AV7396" s="42"/>
      <c r="AW7396" s="74"/>
      <c r="AX7396" s="77"/>
      <c r="BA7396" s="497">
        <v>68</v>
      </c>
      <c r="BB7396" s="42"/>
      <c r="BC7396" s="74"/>
      <c r="BD7396" s="77"/>
      <c r="BF7396">
        <v>57.019999999999996</v>
      </c>
      <c r="BH7396" s="42"/>
      <c r="BI7396" s="74"/>
      <c r="BJ7396" s="77"/>
      <c r="BL7396" s="497">
        <v>53.96</v>
      </c>
      <c r="BN7396" s="42"/>
      <c r="BO7396" s="74"/>
      <c r="BP7396" s="77"/>
      <c r="BR7396" s="497">
        <v>64.94</v>
      </c>
      <c r="BT7396" s="42"/>
    </row>
    <row r="7397" spans="1:72" x14ac:dyDescent="0.25">
      <c r="A7397" s="90">
        <v>36834</v>
      </c>
      <c r="B7397" s="20">
        <v>0.45833333333333331</v>
      </c>
      <c r="D7397">
        <v>69.98</v>
      </c>
      <c r="E7397" t="str">
        <f t="shared" si="266"/>
        <v>SATURDAY</v>
      </c>
      <c r="F7397" t="e">
        <f t="shared" si="265"/>
        <v>#N/A</v>
      </c>
      <c r="G7397" s="74">
        <v>28798</v>
      </c>
      <c r="H7397" s="77">
        <v>0.45833333333333331</v>
      </c>
      <c r="J7397">
        <v>51.980000000000004</v>
      </c>
      <c r="M7397" s="74">
        <v>36103</v>
      </c>
      <c r="N7397" s="77">
        <v>0.45833333333333331</v>
      </c>
      <c r="P7397">
        <v>44.6</v>
      </c>
      <c r="S7397" s="74">
        <v>36834</v>
      </c>
      <c r="T7397" s="77">
        <v>0.45833333333333331</v>
      </c>
      <c r="V7397">
        <v>62.96</v>
      </c>
      <c r="X7397" s="42"/>
      <c r="AB7397">
        <v>52.5</v>
      </c>
      <c r="AC7397">
        <v>55.040000000000006</v>
      </c>
      <c r="AE7397" s="74"/>
      <c r="AF7397" s="77"/>
      <c r="AH7397" s="497">
        <v>55.400000000000006</v>
      </c>
      <c r="AJ7397" s="42"/>
      <c r="AK7397" s="74"/>
      <c r="AL7397" s="77"/>
      <c r="AN7397" s="497">
        <v>50</v>
      </c>
      <c r="AP7397" s="42"/>
      <c r="AQ7397" s="74"/>
      <c r="AR7397" s="77"/>
      <c r="AT7397" s="497">
        <v>37.04</v>
      </c>
      <c r="AV7397" s="42"/>
      <c r="AW7397" s="74"/>
      <c r="AX7397" s="77"/>
      <c r="BA7397" s="497">
        <v>69.080000000000013</v>
      </c>
      <c r="BB7397" s="42"/>
      <c r="BC7397" s="74"/>
      <c r="BD7397" s="77"/>
      <c r="BF7397">
        <v>59</v>
      </c>
      <c r="BH7397" s="42"/>
      <c r="BI7397" s="74"/>
      <c r="BJ7397" s="77"/>
      <c r="BL7397" s="497">
        <v>59</v>
      </c>
      <c r="BN7397" s="42"/>
      <c r="BO7397" s="74"/>
      <c r="BP7397" s="77"/>
      <c r="BR7397" s="497">
        <v>66.92</v>
      </c>
      <c r="BT7397" s="42"/>
    </row>
    <row r="7398" spans="1:72" x14ac:dyDescent="0.25">
      <c r="A7398" s="90">
        <v>36834</v>
      </c>
      <c r="B7398" s="20">
        <v>0.5</v>
      </c>
      <c r="D7398">
        <v>69.98</v>
      </c>
      <c r="E7398" t="str">
        <f t="shared" si="266"/>
        <v>SATURDAY</v>
      </c>
      <c r="F7398" t="e">
        <f t="shared" si="265"/>
        <v>#N/A</v>
      </c>
      <c r="G7398" s="74">
        <v>28798</v>
      </c>
      <c r="H7398" s="77">
        <v>0.5</v>
      </c>
      <c r="J7398">
        <v>53.06</v>
      </c>
      <c r="M7398" s="74">
        <v>36103</v>
      </c>
      <c r="N7398" s="77">
        <v>0.5</v>
      </c>
      <c r="P7398">
        <v>46.4</v>
      </c>
      <c r="S7398" s="74">
        <v>36834</v>
      </c>
      <c r="T7398" s="77">
        <v>0.5</v>
      </c>
      <c r="V7398">
        <v>64.039999999999992</v>
      </c>
      <c r="X7398" s="42"/>
      <c r="AB7398">
        <v>53.9</v>
      </c>
      <c r="AC7398">
        <v>53.96</v>
      </c>
      <c r="AE7398" s="74"/>
      <c r="AF7398" s="77"/>
      <c r="AH7398" s="497">
        <v>55.400000000000006</v>
      </c>
      <c r="AJ7398" s="42"/>
      <c r="AK7398" s="74"/>
      <c r="AL7398" s="77"/>
      <c r="AN7398" s="497">
        <v>53.96</v>
      </c>
      <c r="AP7398" s="42"/>
      <c r="AQ7398" s="74"/>
      <c r="AR7398" s="77"/>
      <c r="AT7398" s="497">
        <v>39.019999999999996</v>
      </c>
      <c r="AV7398" s="42"/>
      <c r="AW7398" s="74"/>
      <c r="AX7398" s="77"/>
      <c r="BA7398" s="497">
        <v>71.960000000000008</v>
      </c>
      <c r="BB7398" s="42"/>
      <c r="BC7398" s="74"/>
      <c r="BD7398" s="77"/>
      <c r="BF7398">
        <v>60.980000000000004</v>
      </c>
      <c r="BH7398" s="42"/>
      <c r="BI7398" s="74"/>
      <c r="BJ7398" s="77"/>
      <c r="BL7398" s="497">
        <v>62.96</v>
      </c>
      <c r="BN7398" s="42"/>
      <c r="BO7398" s="74"/>
      <c r="BP7398" s="77"/>
      <c r="BR7398" s="497">
        <v>68</v>
      </c>
      <c r="BT7398" s="42"/>
    </row>
    <row r="7399" spans="1:72" x14ac:dyDescent="0.25">
      <c r="A7399" s="90">
        <v>36834</v>
      </c>
      <c r="B7399" s="20">
        <v>0.54166666666666663</v>
      </c>
      <c r="D7399">
        <v>69.98</v>
      </c>
      <c r="E7399" t="str">
        <f t="shared" si="266"/>
        <v>SATURDAY</v>
      </c>
      <c r="F7399" t="e">
        <f t="shared" si="265"/>
        <v>#N/A</v>
      </c>
      <c r="G7399" s="74">
        <v>28798</v>
      </c>
      <c r="H7399" s="77">
        <v>0.54166666666666663</v>
      </c>
      <c r="J7399">
        <v>53.06</v>
      </c>
      <c r="M7399" s="74">
        <v>36103</v>
      </c>
      <c r="N7399" s="77">
        <v>0.54166666666666663</v>
      </c>
      <c r="P7399">
        <v>46.4</v>
      </c>
      <c r="S7399" s="74">
        <v>36834</v>
      </c>
      <c r="T7399" s="77">
        <v>0.54166666666666663</v>
      </c>
      <c r="V7399">
        <v>64.039999999999992</v>
      </c>
      <c r="X7399" s="42"/>
      <c r="AB7399">
        <v>55</v>
      </c>
      <c r="AC7399">
        <v>53.96</v>
      </c>
      <c r="AE7399" s="74"/>
      <c r="AF7399" s="77"/>
      <c r="AH7399" s="497">
        <v>57.2</v>
      </c>
      <c r="AJ7399" s="42"/>
      <c r="AK7399" s="74"/>
      <c r="AL7399" s="77"/>
      <c r="AN7399" s="497">
        <v>59</v>
      </c>
      <c r="AP7399" s="42"/>
      <c r="AQ7399" s="74"/>
      <c r="AR7399" s="77"/>
      <c r="AT7399" s="497">
        <v>39.92</v>
      </c>
      <c r="AV7399" s="42"/>
      <c r="AW7399" s="74"/>
      <c r="AX7399" s="77"/>
      <c r="BA7399" s="497">
        <v>71.960000000000008</v>
      </c>
      <c r="BB7399" s="42"/>
      <c r="BC7399" s="74"/>
      <c r="BD7399" s="77"/>
      <c r="BF7399">
        <v>62.06</v>
      </c>
      <c r="BH7399" s="42"/>
      <c r="BI7399" s="74"/>
      <c r="BJ7399" s="77"/>
      <c r="BL7399" s="497">
        <v>64.94</v>
      </c>
      <c r="BN7399" s="42"/>
      <c r="BO7399" s="74"/>
      <c r="BP7399" s="77"/>
      <c r="BR7399" s="497">
        <v>66.02</v>
      </c>
      <c r="BT7399" s="42"/>
    </row>
    <row r="7400" spans="1:72" x14ac:dyDescent="0.25">
      <c r="A7400" s="90">
        <v>36834</v>
      </c>
      <c r="B7400" s="20">
        <v>0.58333333333333337</v>
      </c>
      <c r="D7400">
        <v>69.98</v>
      </c>
      <c r="E7400" t="str">
        <f t="shared" si="266"/>
        <v>SATURDAY</v>
      </c>
      <c r="F7400" t="e">
        <f t="shared" si="265"/>
        <v>#N/A</v>
      </c>
      <c r="G7400" s="74">
        <v>28798</v>
      </c>
      <c r="H7400" s="77">
        <v>0.58333333333333337</v>
      </c>
      <c r="J7400">
        <v>53.06</v>
      </c>
      <c r="M7400" s="74">
        <v>36103</v>
      </c>
      <c r="N7400" s="77">
        <v>0.58333333333333337</v>
      </c>
      <c r="P7400">
        <v>46.4</v>
      </c>
      <c r="S7400" s="74">
        <v>36834</v>
      </c>
      <c r="T7400" s="77">
        <v>0.58333333333333337</v>
      </c>
      <c r="V7400">
        <v>62.06</v>
      </c>
      <c r="X7400" s="42"/>
      <c r="AB7400">
        <v>55.7</v>
      </c>
      <c r="AC7400">
        <v>53.06</v>
      </c>
      <c r="AE7400" s="74"/>
      <c r="AF7400" s="77"/>
      <c r="AH7400" s="497">
        <v>60.8</v>
      </c>
      <c r="AJ7400" s="42"/>
      <c r="AK7400" s="74"/>
      <c r="AL7400" s="77"/>
      <c r="AN7400" s="497">
        <v>62.06</v>
      </c>
      <c r="AP7400" s="42"/>
      <c r="AQ7400" s="74"/>
      <c r="AR7400" s="77"/>
      <c r="AT7400" s="497">
        <v>41</v>
      </c>
      <c r="AV7400" s="42"/>
      <c r="AW7400" s="74"/>
      <c r="AX7400" s="77"/>
      <c r="BA7400" s="497">
        <v>73.039999999999992</v>
      </c>
      <c r="BB7400" s="42"/>
      <c r="BC7400" s="74"/>
      <c r="BD7400" s="77"/>
      <c r="BF7400">
        <v>64.039999999999992</v>
      </c>
      <c r="BH7400" s="42"/>
      <c r="BI7400" s="74"/>
      <c r="BJ7400" s="77"/>
      <c r="BL7400" s="497">
        <v>66.92</v>
      </c>
      <c r="BN7400" s="42"/>
      <c r="BO7400" s="74"/>
      <c r="BP7400" s="77"/>
      <c r="BR7400" s="497">
        <v>64.94</v>
      </c>
      <c r="BT7400" s="42"/>
    </row>
    <row r="7401" spans="1:72" x14ac:dyDescent="0.25">
      <c r="A7401" s="90">
        <v>36834</v>
      </c>
      <c r="B7401" s="20">
        <v>0.625</v>
      </c>
      <c r="D7401">
        <v>69.98</v>
      </c>
      <c r="E7401" t="str">
        <f t="shared" si="266"/>
        <v>SATURDAY</v>
      </c>
      <c r="F7401" t="e">
        <f t="shared" si="265"/>
        <v>#N/A</v>
      </c>
      <c r="G7401" s="74">
        <v>28798</v>
      </c>
      <c r="H7401" s="77">
        <v>0.625</v>
      </c>
      <c r="J7401">
        <v>53.06</v>
      </c>
      <c r="M7401" s="74">
        <v>36103</v>
      </c>
      <c r="N7401" s="77">
        <v>0.625</v>
      </c>
      <c r="P7401">
        <v>46.4</v>
      </c>
      <c r="S7401" s="74">
        <v>36834</v>
      </c>
      <c r="T7401" s="77">
        <v>0.625</v>
      </c>
      <c r="V7401">
        <v>62.96</v>
      </c>
      <c r="X7401" s="42"/>
      <c r="AB7401">
        <v>56</v>
      </c>
      <c r="AC7401">
        <v>51.980000000000004</v>
      </c>
      <c r="AE7401" s="74"/>
      <c r="AF7401" s="77"/>
      <c r="AH7401" s="497">
        <v>60.8</v>
      </c>
      <c r="AJ7401" s="42"/>
      <c r="AK7401" s="74"/>
      <c r="AL7401" s="77"/>
      <c r="AN7401" s="497">
        <v>60.08</v>
      </c>
      <c r="AP7401" s="42"/>
      <c r="AQ7401" s="74"/>
      <c r="AR7401" s="77"/>
      <c r="AT7401" s="497">
        <v>39.92</v>
      </c>
      <c r="AV7401" s="42"/>
      <c r="AW7401" s="74"/>
      <c r="AX7401" s="77"/>
      <c r="BA7401" s="497">
        <v>71.06</v>
      </c>
      <c r="BB7401" s="42"/>
      <c r="BC7401" s="74"/>
      <c r="BD7401" s="77"/>
      <c r="BF7401">
        <v>64.94</v>
      </c>
      <c r="BH7401" s="42"/>
      <c r="BI7401" s="74"/>
      <c r="BJ7401" s="77"/>
      <c r="BL7401" s="497">
        <v>66.92</v>
      </c>
      <c r="BN7401" s="42"/>
      <c r="BO7401" s="74"/>
      <c r="BP7401" s="77"/>
      <c r="BR7401" s="497">
        <v>64.039999999999992</v>
      </c>
      <c r="BT7401" s="42"/>
    </row>
    <row r="7402" spans="1:72" x14ac:dyDescent="0.25">
      <c r="A7402" s="90">
        <v>36834</v>
      </c>
      <c r="B7402" s="20">
        <v>0.66666666666666663</v>
      </c>
      <c r="D7402">
        <v>69.080000000000013</v>
      </c>
      <c r="E7402" t="str">
        <f t="shared" si="266"/>
        <v>SATURDAY</v>
      </c>
      <c r="F7402" t="e">
        <f t="shared" si="265"/>
        <v>#N/A</v>
      </c>
      <c r="G7402" s="74">
        <v>28798</v>
      </c>
      <c r="H7402" s="77">
        <v>0.66666666666666663</v>
      </c>
      <c r="J7402">
        <v>53.96</v>
      </c>
      <c r="M7402" s="74">
        <v>36103</v>
      </c>
      <c r="N7402" s="77">
        <v>0.66666666666666663</v>
      </c>
      <c r="P7402">
        <v>46.4</v>
      </c>
      <c r="S7402" s="74">
        <v>36834</v>
      </c>
      <c r="T7402" s="77">
        <v>0.66666666666666663</v>
      </c>
      <c r="V7402">
        <v>64.039999999999992</v>
      </c>
      <c r="X7402" s="42"/>
      <c r="AB7402">
        <v>55.6</v>
      </c>
      <c r="AC7402">
        <v>51.08</v>
      </c>
      <c r="AE7402" s="74"/>
      <c r="AF7402" s="77"/>
      <c r="AH7402" s="497">
        <v>60.8</v>
      </c>
      <c r="AJ7402" s="42"/>
      <c r="AK7402" s="74"/>
      <c r="AL7402" s="77"/>
      <c r="AN7402" s="497">
        <v>60.980000000000004</v>
      </c>
      <c r="AP7402" s="42"/>
      <c r="AQ7402" s="74"/>
      <c r="AR7402" s="77"/>
      <c r="AT7402" s="497">
        <v>37.04</v>
      </c>
      <c r="AV7402" s="42"/>
      <c r="AW7402" s="74"/>
      <c r="AX7402" s="77"/>
      <c r="BA7402" s="497">
        <v>71.06</v>
      </c>
      <c r="BB7402" s="42"/>
      <c r="BC7402" s="74"/>
      <c r="BD7402" s="77"/>
      <c r="BF7402">
        <v>64.94</v>
      </c>
      <c r="BH7402" s="42"/>
      <c r="BI7402" s="74"/>
      <c r="BJ7402" s="77"/>
      <c r="BL7402" s="497">
        <v>64.94</v>
      </c>
      <c r="BN7402" s="42"/>
      <c r="BO7402" s="74"/>
      <c r="BP7402" s="77"/>
      <c r="BR7402" s="497">
        <v>64.039999999999992</v>
      </c>
      <c r="BT7402" s="42"/>
    </row>
    <row r="7403" spans="1:72" x14ac:dyDescent="0.25">
      <c r="A7403" s="90">
        <v>36834</v>
      </c>
      <c r="B7403" s="20">
        <v>0.70833333333333337</v>
      </c>
      <c r="D7403">
        <v>66.02</v>
      </c>
      <c r="E7403" t="str">
        <f t="shared" si="266"/>
        <v>SATURDAY</v>
      </c>
      <c r="F7403" t="e">
        <f t="shared" ref="F7403:F7466" si="267">IF(E7403="WEEKDAY",VLOOKUP(B7403,$DD$19:$DG$42,2),IF(E7403="SATURDAY",VLOOKUP(B7403,$DD$19:$DG$42,3),VLOOKUP(B7403,$DD$19:$DG$42,4)))</f>
        <v>#N/A</v>
      </c>
      <c r="G7403" s="74">
        <v>28798</v>
      </c>
      <c r="H7403" s="77">
        <v>0.70833333333333337</v>
      </c>
      <c r="J7403">
        <v>53.06</v>
      </c>
      <c r="M7403" s="74">
        <v>36103</v>
      </c>
      <c r="N7403" s="77">
        <v>0.70833333333333337</v>
      </c>
      <c r="P7403">
        <v>44.6</v>
      </c>
      <c r="S7403" s="74">
        <v>36834</v>
      </c>
      <c r="T7403" s="77">
        <v>0.70833333333333337</v>
      </c>
      <c r="V7403">
        <v>64.039999999999992</v>
      </c>
      <c r="X7403" s="42"/>
      <c r="AB7403">
        <v>54.7</v>
      </c>
      <c r="AC7403">
        <v>51.08</v>
      </c>
      <c r="AE7403" s="74"/>
      <c r="AF7403" s="77"/>
      <c r="AH7403" s="497">
        <v>53.6</v>
      </c>
      <c r="AJ7403" s="42"/>
      <c r="AK7403" s="74"/>
      <c r="AL7403" s="77"/>
      <c r="AN7403" s="497">
        <v>57.92</v>
      </c>
      <c r="AP7403" s="42"/>
      <c r="AQ7403" s="74"/>
      <c r="AR7403" s="77"/>
      <c r="AT7403" s="497">
        <v>37.4</v>
      </c>
      <c r="AV7403" s="42"/>
      <c r="AW7403" s="74"/>
      <c r="AX7403" s="77"/>
      <c r="BA7403" s="497">
        <v>69.080000000000013</v>
      </c>
      <c r="BB7403" s="42"/>
      <c r="BC7403" s="74"/>
      <c r="BD7403" s="77"/>
      <c r="BF7403">
        <v>62.96</v>
      </c>
      <c r="BH7403" s="42"/>
      <c r="BI7403" s="74"/>
      <c r="BJ7403" s="77"/>
      <c r="BL7403" s="497">
        <v>62.96</v>
      </c>
      <c r="BN7403" s="42"/>
      <c r="BO7403" s="74"/>
      <c r="BP7403" s="77"/>
      <c r="BR7403" s="497">
        <v>62.96</v>
      </c>
      <c r="BT7403" s="42"/>
    </row>
    <row r="7404" spans="1:72" x14ac:dyDescent="0.25">
      <c r="A7404" s="90">
        <v>36834</v>
      </c>
      <c r="B7404" s="20">
        <v>0.75</v>
      </c>
      <c r="D7404">
        <v>64.039999999999992</v>
      </c>
      <c r="E7404" t="str">
        <f t="shared" si="266"/>
        <v>SATURDAY</v>
      </c>
      <c r="F7404" t="e">
        <f t="shared" si="267"/>
        <v>#N/A</v>
      </c>
      <c r="G7404" s="74">
        <v>28798</v>
      </c>
      <c r="H7404" s="77">
        <v>0.75</v>
      </c>
      <c r="J7404">
        <v>51.980000000000004</v>
      </c>
      <c r="M7404" s="74">
        <v>36103</v>
      </c>
      <c r="N7404" s="77">
        <v>0.75</v>
      </c>
      <c r="P7404">
        <v>42.8</v>
      </c>
      <c r="S7404" s="74">
        <v>36834</v>
      </c>
      <c r="T7404" s="77">
        <v>0.75</v>
      </c>
      <c r="V7404">
        <v>60.980000000000004</v>
      </c>
      <c r="X7404" s="42"/>
      <c r="AB7404">
        <v>53.2</v>
      </c>
      <c r="AC7404">
        <v>51.08</v>
      </c>
      <c r="AE7404" s="74"/>
      <c r="AF7404" s="77"/>
      <c r="AH7404" s="497">
        <v>50</v>
      </c>
      <c r="AJ7404" s="42"/>
      <c r="AK7404" s="74"/>
      <c r="AL7404" s="77"/>
      <c r="AN7404" s="497">
        <v>55.94</v>
      </c>
      <c r="AP7404" s="42"/>
      <c r="AQ7404" s="74"/>
      <c r="AR7404" s="77"/>
      <c r="AT7404" s="497">
        <v>37.94</v>
      </c>
      <c r="AV7404" s="42"/>
      <c r="AW7404" s="74"/>
      <c r="AX7404" s="77"/>
      <c r="BA7404" s="497">
        <v>66.92</v>
      </c>
      <c r="BB7404" s="42"/>
      <c r="BC7404" s="74"/>
      <c r="BD7404" s="77"/>
      <c r="BF7404">
        <v>60.08</v>
      </c>
      <c r="BH7404" s="42"/>
      <c r="BI7404" s="74"/>
      <c r="BJ7404" s="77"/>
      <c r="BL7404" s="497">
        <v>62.96</v>
      </c>
      <c r="BN7404" s="42"/>
      <c r="BO7404" s="74"/>
      <c r="BP7404" s="77"/>
      <c r="BR7404" s="497">
        <v>62.06</v>
      </c>
      <c r="BT7404" s="42"/>
    </row>
    <row r="7405" spans="1:72" x14ac:dyDescent="0.25">
      <c r="A7405" s="90">
        <v>36834</v>
      </c>
      <c r="B7405" s="20">
        <v>0.79166666666666663</v>
      </c>
      <c r="D7405">
        <v>66.02</v>
      </c>
      <c r="E7405" t="str">
        <f t="shared" si="266"/>
        <v>SATURDAY</v>
      </c>
      <c r="F7405" t="e">
        <f t="shared" si="267"/>
        <v>#N/A</v>
      </c>
      <c r="G7405" s="74">
        <v>28798</v>
      </c>
      <c r="H7405" s="77">
        <v>0.79166666666666663</v>
      </c>
      <c r="J7405">
        <v>53.06</v>
      </c>
      <c r="M7405" s="74">
        <v>36103</v>
      </c>
      <c r="N7405" s="77">
        <v>0.79166666666666663</v>
      </c>
      <c r="P7405">
        <v>41</v>
      </c>
      <c r="S7405" s="74">
        <v>36834</v>
      </c>
      <c r="T7405" s="77">
        <v>0.79166666666666663</v>
      </c>
      <c r="V7405">
        <v>60.08</v>
      </c>
      <c r="X7405" s="42"/>
      <c r="AB7405">
        <v>52.4</v>
      </c>
      <c r="AC7405">
        <v>51.08</v>
      </c>
      <c r="AE7405" s="74"/>
      <c r="AF7405" s="77"/>
      <c r="AH7405" s="497">
        <v>48.2</v>
      </c>
      <c r="AJ7405" s="42"/>
      <c r="AK7405" s="74"/>
      <c r="AL7405" s="77"/>
      <c r="AN7405" s="497">
        <v>55.040000000000006</v>
      </c>
      <c r="AP7405" s="42"/>
      <c r="AQ7405" s="74"/>
      <c r="AR7405" s="77"/>
      <c r="AT7405" s="497">
        <v>37.94</v>
      </c>
      <c r="AV7405" s="42"/>
      <c r="AW7405" s="74"/>
      <c r="AX7405" s="77"/>
      <c r="BA7405" s="497">
        <v>66.92</v>
      </c>
      <c r="BB7405" s="42"/>
      <c r="BC7405" s="74"/>
      <c r="BD7405" s="77"/>
      <c r="BF7405">
        <v>60.08</v>
      </c>
      <c r="BH7405" s="42"/>
      <c r="BI7405" s="74"/>
      <c r="BJ7405" s="77"/>
      <c r="BL7405" s="497">
        <v>60.08</v>
      </c>
      <c r="BN7405" s="42"/>
      <c r="BO7405" s="74"/>
      <c r="BP7405" s="77"/>
      <c r="BR7405" s="497">
        <v>62.06</v>
      </c>
      <c r="BT7405" s="42"/>
    </row>
    <row r="7406" spans="1:72" x14ac:dyDescent="0.25">
      <c r="A7406" s="90">
        <v>36834</v>
      </c>
      <c r="B7406" s="20">
        <v>0.83333333333333337</v>
      </c>
      <c r="D7406">
        <v>64.039999999999992</v>
      </c>
      <c r="E7406" t="str">
        <f t="shared" si="266"/>
        <v>SATURDAY</v>
      </c>
      <c r="F7406" t="e">
        <f t="shared" si="267"/>
        <v>#N/A</v>
      </c>
      <c r="G7406" s="74">
        <v>28798</v>
      </c>
      <c r="H7406" s="77">
        <v>0.83333333333333337</v>
      </c>
      <c r="J7406">
        <v>51.980000000000004</v>
      </c>
      <c r="M7406" s="74">
        <v>36103</v>
      </c>
      <c r="N7406" s="77">
        <v>0.83333333333333337</v>
      </c>
      <c r="P7406">
        <v>39.200000000000003</v>
      </c>
      <c r="S7406" s="74">
        <v>36834</v>
      </c>
      <c r="T7406" s="77">
        <v>0.83333333333333337</v>
      </c>
      <c r="V7406">
        <v>57.019999999999996</v>
      </c>
      <c r="X7406" s="42"/>
      <c r="AB7406">
        <v>51.9</v>
      </c>
      <c r="AC7406">
        <v>51.08</v>
      </c>
      <c r="AE7406" s="74"/>
      <c r="AF7406" s="77"/>
      <c r="AH7406" s="497">
        <v>42.8</v>
      </c>
      <c r="AJ7406" s="42"/>
      <c r="AK7406" s="74"/>
      <c r="AL7406" s="77"/>
      <c r="AN7406" s="497">
        <v>53.96</v>
      </c>
      <c r="AP7406" s="42"/>
      <c r="AQ7406" s="74"/>
      <c r="AR7406" s="77"/>
      <c r="AT7406" s="497">
        <v>39.92</v>
      </c>
      <c r="AV7406" s="42"/>
      <c r="AW7406" s="74"/>
      <c r="AX7406" s="77"/>
      <c r="BA7406" s="497">
        <v>66.02</v>
      </c>
      <c r="BB7406" s="42"/>
      <c r="BC7406" s="74"/>
      <c r="BD7406" s="77"/>
      <c r="BF7406">
        <v>59</v>
      </c>
      <c r="BH7406" s="42"/>
      <c r="BI7406" s="74"/>
      <c r="BJ7406" s="77"/>
      <c r="BL7406" s="497">
        <v>57.019999999999996</v>
      </c>
      <c r="BN7406" s="42"/>
      <c r="BO7406" s="74"/>
      <c r="BP7406" s="77"/>
      <c r="BR7406" s="497">
        <v>59</v>
      </c>
      <c r="BT7406" s="42"/>
    </row>
    <row r="7407" spans="1:72" x14ac:dyDescent="0.25">
      <c r="A7407" s="90">
        <v>36834</v>
      </c>
      <c r="B7407" s="20">
        <v>0.875</v>
      </c>
      <c r="D7407">
        <v>64.94</v>
      </c>
      <c r="E7407" t="str">
        <f t="shared" si="266"/>
        <v>SATURDAY</v>
      </c>
      <c r="F7407" t="e">
        <f t="shared" si="267"/>
        <v>#N/A</v>
      </c>
      <c r="G7407" s="74">
        <v>28798</v>
      </c>
      <c r="H7407" s="77">
        <v>0.875</v>
      </c>
      <c r="J7407">
        <v>51.980000000000004</v>
      </c>
      <c r="M7407" s="74">
        <v>36103</v>
      </c>
      <c r="N7407" s="77">
        <v>0.875</v>
      </c>
      <c r="P7407">
        <v>39.200000000000003</v>
      </c>
      <c r="S7407" s="74">
        <v>36834</v>
      </c>
      <c r="T7407" s="77">
        <v>0.875</v>
      </c>
      <c r="V7407">
        <v>55.040000000000006</v>
      </c>
      <c r="X7407" s="42"/>
      <c r="AB7407">
        <v>51.3</v>
      </c>
      <c r="AC7407">
        <v>51.980000000000004</v>
      </c>
      <c r="AE7407" s="74"/>
      <c r="AF7407" s="77"/>
      <c r="AH7407" s="497">
        <v>51.8</v>
      </c>
      <c r="AJ7407" s="42"/>
      <c r="AK7407" s="74"/>
      <c r="AL7407" s="77"/>
      <c r="AN7407" s="497">
        <v>53.96</v>
      </c>
      <c r="AP7407" s="42"/>
      <c r="AQ7407" s="74"/>
      <c r="AR7407" s="77"/>
      <c r="AT7407" s="497">
        <v>41</v>
      </c>
      <c r="AV7407" s="42"/>
      <c r="AW7407" s="74"/>
      <c r="AX7407" s="77"/>
      <c r="BA7407" s="497">
        <v>64.94</v>
      </c>
      <c r="BB7407" s="42"/>
      <c r="BC7407" s="74"/>
      <c r="BD7407" s="77"/>
      <c r="BF7407">
        <v>57.019999999999996</v>
      </c>
      <c r="BH7407" s="42"/>
      <c r="BI7407" s="74"/>
      <c r="BJ7407" s="77"/>
      <c r="BL7407" s="497">
        <v>55.94</v>
      </c>
      <c r="BN7407" s="42"/>
      <c r="BO7407" s="74"/>
      <c r="BP7407" s="77"/>
      <c r="BR7407" s="497">
        <v>57.92</v>
      </c>
      <c r="BT7407" s="42"/>
    </row>
    <row r="7408" spans="1:72" x14ac:dyDescent="0.25">
      <c r="A7408" s="90">
        <v>36834</v>
      </c>
      <c r="B7408" s="20">
        <v>0.91666666666666663</v>
      </c>
      <c r="D7408">
        <v>64.039999999999992</v>
      </c>
      <c r="E7408" t="str">
        <f t="shared" si="266"/>
        <v>SATURDAY</v>
      </c>
      <c r="F7408" t="e">
        <f t="shared" si="267"/>
        <v>#N/A</v>
      </c>
      <c r="G7408" s="74">
        <v>28798</v>
      </c>
      <c r="H7408" s="77">
        <v>0.91666666666666663</v>
      </c>
      <c r="J7408">
        <v>53.06</v>
      </c>
      <c r="M7408" s="74">
        <v>36103</v>
      </c>
      <c r="N7408" s="77">
        <v>0.91666666666666663</v>
      </c>
      <c r="P7408">
        <v>37.4</v>
      </c>
      <c r="S7408" s="74">
        <v>36834</v>
      </c>
      <c r="T7408" s="77">
        <v>0.91666666666666663</v>
      </c>
      <c r="V7408">
        <v>53.06</v>
      </c>
      <c r="X7408" s="42"/>
      <c r="AB7408">
        <v>50.7</v>
      </c>
      <c r="AC7408">
        <v>51.980000000000004</v>
      </c>
      <c r="AE7408" s="74"/>
      <c r="AF7408" s="77"/>
      <c r="AH7408" s="497">
        <v>48.2</v>
      </c>
      <c r="AJ7408" s="42"/>
      <c r="AK7408" s="74"/>
      <c r="AL7408" s="77"/>
      <c r="AN7408" s="497">
        <v>53.06</v>
      </c>
      <c r="AP7408" s="42"/>
      <c r="AQ7408" s="74"/>
      <c r="AR7408" s="77"/>
      <c r="AT7408" s="497">
        <v>42.08</v>
      </c>
      <c r="AV7408" s="42"/>
      <c r="AW7408" s="74"/>
      <c r="AX7408" s="77"/>
      <c r="BA7408" s="497">
        <v>64.039999999999992</v>
      </c>
      <c r="BB7408" s="42"/>
      <c r="BC7408" s="74"/>
      <c r="BD7408" s="77"/>
      <c r="BF7408">
        <v>59</v>
      </c>
      <c r="BH7408" s="42"/>
      <c r="BI7408" s="74"/>
      <c r="BJ7408" s="77"/>
      <c r="BL7408" s="497">
        <v>55.94</v>
      </c>
      <c r="BN7408" s="42"/>
      <c r="BO7408" s="74"/>
      <c r="BP7408" s="77"/>
      <c r="BR7408" s="497">
        <v>59</v>
      </c>
      <c r="BT7408" s="42"/>
    </row>
    <row r="7409" spans="1:72" x14ac:dyDescent="0.25">
      <c r="A7409" s="90">
        <v>36834</v>
      </c>
      <c r="B7409" s="20">
        <v>0.95833333333333337</v>
      </c>
      <c r="D7409">
        <v>64.039999999999992</v>
      </c>
      <c r="E7409" t="str">
        <f t="shared" si="266"/>
        <v>SATURDAY</v>
      </c>
      <c r="F7409" t="e">
        <f t="shared" si="267"/>
        <v>#N/A</v>
      </c>
      <c r="G7409" s="74">
        <v>28798</v>
      </c>
      <c r="H7409" s="77">
        <v>0.95833333333333337</v>
      </c>
      <c r="J7409">
        <v>53.06</v>
      </c>
      <c r="M7409" s="74">
        <v>36103</v>
      </c>
      <c r="N7409" s="77">
        <v>0.95833333333333337</v>
      </c>
      <c r="P7409">
        <v>33.799999999999997</v>
      </c>
      <c r="S7409" s="74">
        <v>36834</v>
      </c>
      <c r="T7409" s="77">
        <v>0.95833333333333337</v>
      </c>
      <c r="V7409">
        <v>53.06</v>
      </c>
      <c r="X7409" s="42"/>
      <c r="AB7409">
        <v>50.1</v>
      </c>
      <c r="AC7409">
        <v>51.980000000000004</v>
      </c>
      <c r="AE7409" s="74"/>
      <c r="AF7409" s="77"/>
      <c r="AH7409" s="497">
        <v>46.4</v>
      </c>
      <c r="AJ7409" s="42"/>
      <c r="AK7409" s="74"/>
      <c r="AL7409" s="77"/>
      <c r="AN7409" s="497">
        <v>53.96</v>
      </c>
      <c r="AP7409" s="42"/>
      <c r="AQ7409" s="74"/>
      <c r="AR7409" s="77"/>
      <c r="AT7409" s="497">
        <v>42.980000000000004</v>
      </c>
      <c r="AV7409" s="42"/>
      <c r="AW7409" s="74"/>
      <c r="AX7409" s="77"/>
      <c r="BA7409" s="497">
        <v>62.96</v>
      </c>
      <c r="BB7409" s="42"/>
      <c r="BC7409" s="74"/>
      <c r="BD7409" s="77"/>
      <c r="BF7409">
        <v>60.08</v>
      </c>
      <c r="BH7409" s="42"/>
      <c r="BI7409" s="74"/>
      <c r="BJ7409" s="77"/>
      <c r="BL7409" s="497">
        <v>55.94</v>
      </c>
      <c r="BN7409" s="42"/>
      <c r="BO7409" s="74"/>
      <c r="BP7409" s="77"/>
      <c r="BR7409" s="497">
        <v>59</v>
      </c>
      <c r="BT7409" s="42"/>
    </row>
    <row r="7410" spans="1:72" x14ac:dyDescent="0.25">
      <c r="A7410" s="90">
        <v>36834</v>
      </c>
      <c r="B7410" s="20">
        <v>1</v>
      </c>
      <c r="D7410">
        <v>64.039999999999992</v>
      </c>
      <c r="E7410" t="str">
        <f t="shared" si="266"/>
        <v>SATURDAY</v>
      </c>
      <c r="F7410" t="e">
        <f t="shared" si="267"/>
        <v>#N/A</v>
      </c>
      <c r="G7410" s="74">
        <v>28798</v>
      </c>
      <c r="H7410" s="77">
        <v>1</v>
      </c>
      <c r="J7410">
        <v>53.06</v>
      </c>
      <c r="M7410" s="74">
        <v>36103</v>
      </c>
      <c r="N7410" s="80">
        <v>1</v>
      </c>
      <c r="P7410">
        <v>33.799999999999997</v>
      </c>
      <c r="S7410" s="74">
        <v>36834</v>
      </c>
      <c r="T7410" s="80">
        <v>1</v>
      </c>
      <c r="V7410">
        <v>51.980000000000004</v>
      </c>
      <c r="X7410" s="42"/>
      <c r="AB7410">
        <v>49.4</v>
      </c>
      <c r="AC7410">
        <v>53.06</v>
      </c>
      <c r="AE7410" s="74"/>
      <c r="AF7410" s="80"/>
      <c r="AH7410" s="497">
        <v>46.4</v>
      </c>
      <c r="AJ7410" s="42"/>
      <c r="AK7410" s="74"/>
      <c r="AL7410" s="80"/>
      <c r="AN7410" s="497">
        <v>53.96</v>
      </c>
      <c r="AP7410" s="42"/>
      <c r="AQ7410" s="74"/>
      <c r="AR7410" s="80"/>
      <c r="AT7410" s="497">
        <v>44.06</v>
      </c>
      <c r="AV7410" s="42"/>
      <c r="AW7410" s="74"/>
      <c r="AX7410" s="80"/>
      <c r="BA7410" s="497">
        <v>62.96</v>
      </c>
      <c r="BB7410" s="42"/>
      <c r="BC7410" s="74"/>
      <c r="BD7410" s="80"/>
      <c r="BF7410">
        <v>60.08</v>
      </c>
      <c r="BH7410" s="42"/>
      <c r="BI7410" s="74"/>
      <c r="BJ7410" s="80"/>
      <c r="BL7410" s="497">
        <v>55.94</v>
      </c>
      <c r="BN7410" s="42"/>
      <c r="BO7410" s="74"/>
      <c r="BP7410" s="80"/>
      <c r="BR7410" s="497">
        <v>57.019999999999996</v>
      </c>
      <c r="BT7410" s="42"/>
    </row>
    <row r="7411" spans="1:72" x14ac:dyDescent="0.25">
      <c r="A7411" s="90">
        <v>36835</v>
      </c>
      <c r="B7411" s="20">
        <v>4.1666666666666664E-2</v>
      </c>
      <c r="D7411">
        <v>62.96</v>
      </c>
      <c r="E7411" t="str">
        <f t="shared" si="266"/>
        <v>SUNDAY</v>
      </c>
      <c r="F7411" t="e">
        <f t="shared" si="267"/>
        <v>#N/A</v>
      </c>
      <c r="G7411" s="74">
        <v>28799</v>
      </c>
      <c r="H7411" s="77">
        <v>4.1666666666666664E-2</v>
      </c>
      <c r="J7411">
        <v>53.06</v>
      </c>
      <c r="M7411" s="74">
        <v>36104</v>
      </c>
      <c r="N7411" s="77">
        <v>4.1666666666666664E-2</v>
      </c>
      <c r="P7411">
        <v>32</v>
      </c>
      <c r="S7411" s="74">
        <v>36835</v>
      </c>
      <c r="T7411" s="77">
        <v>4.1666666666666664E-2</v>
      </c>
      <c r="V7411">
        <v>51.08</v>
      </c>
      <c r="X7411" s="42"/>
      <c r="AB7411">
        <v>48.9</v>
      </c>
      <c r="AC7411">
        <v>51.980000000000004</v>
      </c>
      <c r="AE7411" s="74"/>
      <c r="AF7411" s="77"/>
      <c r="AH7411" s="497">
        <v>42.8</v>
      </c>
      <c r="AJ7411" s="42"/>
      <c r="AK7411" s="74"/>
      <c r="AL7411" s="77"/>
      <c r="AN7411" s="497">
        <v>53.96</v>
      </c>
      <c r="AP7411" s="42"/>
      <c r="AQ7411" s="74"/>
      <c r="AR7411" s="77"/>
      <c r="AT7411" s="497">
        <v>44.06</v>
      </c>
      <c r="AV7411" s="42"/>
      <c r="AW7411" s="74"/>
      <c r="AX7411" s="77"/>
      <c r="BA7411" s="497">
        <v>62.06</v>
      </c>
      <c r="BB7411" s="42"/>
      <c r="BC7411" s="74"/>
      <c r="BD7411" s="77"/>
      <c r="BF7411">
        <v>60.980000000000004</v>
      </c>
      <c r="BH7411" s="42"/>
      <c r="BI7411" s="74"/>
      <c r="BJ7411" s="77"/>
      <c r="BL7411" s="497">
        <v>57.92</v>
      </c>
      <c r="BN7411" s="42"/>
      <c r="BO7411" s="74"/>
      <c r="BP7411" s="77"/>
      <c r="BR7411" s="497">
        <v>55.040000000000006</v>
      </c>
      <c r="BT7411" s="42"/>
    </row>
    <row r="7412" spans="1:72" x14ac:dyDescent="0.25">
      <c r="A7412" s="90">
        <v>36835</v>
      </c>
      <c r="B7412" s="20">
        <v>8.3333333333333329E-2</v>
      </c>
      <c r="D7412">
        <v>60.980000000000004</v>
      </c>
      <c r="E7412" t="str">
        <f t="shared" si="266"/>
        <v>SUNDAY</v>
      </c>
      <c r="F7412" t="e">
        <f t="shared" si="267"/>
        <v>#N/A</v>
      </c>
      <c r="G7412" s="74">
        <v>28799</v>
      </c>
      <c r="H7412" s="77">
        <v>8.3333333333333329E-2</v>
      </c>
      <c r="J7412">
        <v>53.06</v>
      </c>
      <c r="M7412" s="74">
        <v>36104</v>
      </c>
      <c r="N7412" s="77">
        <v>8.3333333333333329E-2</v>
      </c>
      <c r="P7412">
        <v>33.799999999999997</v>
      </c>
      <c r="S7412" s="74">
        <v>36835</v>
      </c>
      <c r="T7412" s="77">
        <v>8.3333333333333329E-2</v>
      </c>
      <c r="V7412">
        <v>50</v>
      </c>
      <c r="X7412" s="42"/>
      <c r="AB7412">
        <v>48.3</v>
      </c>
      <c r="AC7412">
        <v>51.980000000000004</v>
      </c>
      <c r="AE7412" s="74"/>
      <c r="AF7412" s="77"/>
      <c r="AH7412" s="497">
        <v>41</v>
      </c>
      <c r="AJ7412" s="42"/>
      <c r="AK7412" s="74"/>
      <c r="AL7412" s="77"/>
      <c r="AN7412" s="497">
        <v>55.040000000000006</v>
      </c>
      <c r="AP7412" s="42"/>
      <c r="AQ7412" s="74"/>
      <c r="AR7412" s="77"/>
      <c r="AT7412" s="497">
        <v>44.06</v>
      </c>
      <c r="AV7412" s="42"/>
      <c r="AW7412" s="74"/>
      <c r="AX7412" s="77"/>
      <c r="BA7412" s="497">
        <v>62.06</v>
      </c>
      <c r="BB7412" s="42"/>
      <c r="BC7412" s="74"/>
      <c r="BD7412" s="77"/>
      <c r="BF7412">
        <v>60.08</v>
      </c>
      <c r="BH7412" s="42"/>
      <c r="BI7412" s="74"/>
      <c r="BJ7412" s="77"/>
      <c r="BL7412" s="497">
        <v>57.92</v>
      </c>
      <c r="BN7412" s="42"/>
      <c r="BO7412" s="74"/>
      <c r="BP7412" s="77"/>
      <c r="BR7412" s="497">
        <v>53.96</v>
      </c>
      <c r="BT7412" s="42"/>
    </row>
    <row r="7413" spans="1:72" x14ac:dyDescent="0.25">
      <c r="A7413" s="90">
        <v>36835</v>
      </c>
      <c r="B7413" s="20">
        <v>0.125</v>
      </c>
      <c r="D7413">
        <v>60.08</v>
      </c>
      <c r="E7413" t="str">
        <f t="shared" si="266"/>
        <v>SUNDAY</v>
      </c>
      <c r="F7413" t="e">
        <f t="shared" si="267"/>
        <v>#N/A</v>
      </c>
      <c r="G7413" s="74">
        <v>28799</v>
      </c>
      <c r="H7413" s="77">
        <v>0.125</v>
      </c>
      <c r="J7413">
        <v>53.96</v>
      </c>
      <c r="M7413" s="74">
        <v>36104</v>
      </c>
      <c r="N7413" s="77">
        <v>0.125</v>
      </c>
      <c r="P7413">
        <v>33.799999999999997</v>
      </c>
      <c r="S7413" s="74">
        <v>36835</v>
      </c>
      <c r="T7413" s="77">
        <v>0.125</v>
      </c>
      <c r="V7413">
        <v>48.92</v>
      </c>
      <c r="X7413" s="42"/>
      <c r="AB7413">
        <v>47.7</v>
      </c>
      <c r="AC7413">
        <v>53.06</v>
      </c>
      <c r="AE7413" s="74"/>
      <c r="AF7413" s="77"/>
      <c r="AH7413" s="497">
        <v>37.4</v>
      </c>
      <c r="AJ7413" s="42"/>
      <c r="AK7413" s="74"/>
      <c r="AL7413" s="77"/>
      <c r="AN7413" s="497">
        <v>57.019999999999996</v>
      </c>
      <c r="AP7413" s="42"/>
      <c r="AQ7413" s="74"/>
      <c r="AR7413" s="77"/>
      <c r="AT7413" s="497">
        <v>46.04</v>
      </c>
      <c r="AV7413" s="42"/>
      <c r="AW7413" s="74"/>
      <c r="AX7413" s="77"/>
      <c r="BA7413" s="497">
        <v>57.019999999999996</v>
      </c>
      <c r="BB7413" s="42"/>
      <c r="BC7413" s="74"/>
      <c r="BD7413" s="77"/>
      <c r="BF7413">
        <v>59</v>
      </c>
      <c r="BH7413" s="42"/>
      <c r="BI7413" s="74"/>
      <c r="BJ7413" s="77"/>
      <c r="BL7413" s="497">
        <v>59</v>
      </c>
      <c r="BN7413" s="42"/>
      <c r="BO7413" s="74"/>
      <c r="BP7413" s="77"/>
      <c r="BR7413" s="497">
        <v>53.06</v>
      </c>
      <c r="BT7413" s="42"/>
    </row>
    <row r="7414" spans="1:72" x14ac:dyDescent="0.25">
      <c r="A7414" s="90">
        <v>36835</v>
      </c>
      <c r="B7414" s="20">
        <v>0.16666666666666666</v>
      </c>
      <c r="D7414">
        <v>59</v>
      </c>
      <c r="E7414" t="str">
        <f t="shared" si="266"/>
        <v>SUNDAY</v>
      </c>
      <c r="F7414" t="e">
        <f t="shared" si="267"/>
        <v>#N/A</v>
      </c>
      <c r="G7414" s="74">
        <v>28799</v>
      </c>
      <c r="H7414" s="77">
        <v>0.16666666666666666</v>
      </c>
      <c r="J7414">
        <v>53.96</v>
      </c>
      <c r="M7414" s="74">
        <v>36104</v>
      </c>
      <c r="N7414" s="77">
        <v>0.16666666666666666</v>
      </c>
      <c r="P7414">
        <v>35.6</v>
      </c>
      <c r="S7414" s="74">
        <v>36835</v>
      </c>
      <c r="T7414" s="77">
        <v>0.16666666666666666</v>
      </c>
      <c r="V7414">
        <v>48.019999999999996</v>
      </c>
      <c r="X7414" s="42"/>
      <c r="AB7414">
        <v>47.2</v>
      </c>
      <c r="AC7414">
        <v>53.06</v>
      </c>
      <c r="AE7414" s="74"/>
      <c r="AF7414" s="77"/>
      <c r="AH7414" s="497">
        <v>35.6</v>
      </c>
      <c r="AJ7414" s="42"/>
      <c r="AK7414" s="74"/>
      <c r="AL7414" s="77"/>
      <c r="AN7414" s="497">
        <v>55.94</v>
      </c>
      <c r="AP7414" s="42"/>
      <c r="AQ7414" s="74"/>
      <c r="AR7414" s="77"/>
      <c r="AT7414" s="497">
        <v>46.04</v>
      </c>
      <c r="AV7414" s="42"/>
      <c r="AW7414" s="74"/>
      <c r="AX7414" s="77"/>
      <c r="BA7414" s="497">
        <v>55.040000000000006</v>
      </c>
      <c r="BB7414" s="42"/>
      <c r="BC7414" s="74"/>
      <c r="BD7414" s="77"/>
      <c r="BF7414">
        <v>60.08</v>
      </c>
      <c r="BH7414" s="42"/>
      <c r="BI7414" s="74"/>
      <c r="BJ7414" s="77"/>
      <c r="BL7414" s="497">
        <v>57.92</v>
      </c>
      <c r="BN7414" s="42"/>
      <c r="BO7414" s="74"/>
      <c r="BP7414" s="77"/>
      <c r="BR7414" s="497">
        <v>53.06</v>
      </c>
      <c r="BT7414" s="42"/>
    </row>
    <row r="7415" spans="1:72" x14ac:dyDescent="0.25">
      <c r="A7415" s="90">
        <v>36835</v>
      </c>
      <c r="B7415" s="20">
        <v>0.20833333333333334</v>
      </c>
      <c r="D7415">
        <v>57.92</v>
      </c>
      <c r="E7415" t="str">
        <f t="shared" si="266"/>
        <v>SUNDAY</v>
      </c>
      <c r="F7415" t="e">
        <f t="shared" si="267"/>
        <v>#N/A</v>
      </c>
      <c r="G7415" s="74">
        <v>28799</v>
      </c>
      <c r="H7415" s="77">
        <v>0.20833333333333334</v>
      </c>
      <c r="J7415">
        <v>53.96</v>
      </c>
      <c r="M7415" s="74">
        <v>36104</v>
      </c>
      <c r="N7415" s="77">
        <v>0.20833333333333334</v>
      </c>
      <c r="P7415">
        <v>35.6</v>
      </c>
      <c r="S7415" s="74">
        <v>36835</v>
      </c>
      <c r="T7415" s="77">
        <v>0.20833333333333334</v>
      </c>
      <c r="V7415">
        <v>46.94</v>
      </c>
      <c r="X7415" s="42"/>
      <c r="AB7415">
        <v>46.8</v>
      </c>
      <c r="AC7415">
        <v>55.040000000000006</v>
      </c>
      <c r="AE7415" s="74"/>
      <c r="AF7415" s="77"/>
      <c r="AH7415" s="497">
        <v>35.6</v>
      </c>
      <c r="AJ7415" s="42"/>
      <c r="AK7415" s="74"/>
      <c r="AL7415" s="77"/>
      <c r="AN7415" s="497">
        <v>55.94</v>
      </c>
      <c r="AP7415" s="42"/>
      <c r="AQ7415" s="74"/>
      <c r="AR7415" s="77"/>
      <c r="AT7415" s="497">
        <v>44.96</v>
      </c>
      <c r="AV7415" s="42"/>
      <c r="AW7415" s="74"/>
      <c r="AX7415" s="77"/>
      <c r="BA7415" s="497">
        <v>50</v>
      </c>
      <c r="BB7415" s="42"/>
      <c r="BC7415" s="74"/>
      <c r="BD7415" s="77"/>
      <c r="BF7415">
        <v>62.06</v>
      </c>
      <c r="BH7415" s="42"/>
      <c r="BI7415" s="74"/>
      <c r="BJ7415" s="77"/>
      <c r="BL7415" s="497">
        <v>60.08</v>
      </c>
      <c r="BN7415" s="42"/>
      <c r="BO7415" s="74"/>
      <c r="BP7415" s="77"/>
      <c r="BR7415" s="497">
        <v>53.06</v>
      </c>
      <c r="BT7415" s="42"/>
    </row>
    <row r="7416" spans="1:72" x14ac:dyDescent="0.25">
      <c r="A7416" s="90">
        <v>36835</v>
      </c>
      <c r="B7416" s="20">
        <v>0.25</v>
      </c>
      <c r="D7416">
        <v>57.92</v>
      </c>
      <c r="E7416" t="str">
        <f t="shared" si="266"/>
        <v>SUNDAY</v>
      </c>
      <c r="F7416" t="e">
        <f t="shared" si="267"/>
        <v>#N/A</v>
      </c>
      <c r="G7416" s="74">
        <v>28799</v>
      </c>
      <c r="H7416" s="77">
        <v>0.25</v>
      </c>
      <c r="J7416">
        <v>51.980000000000004</v>
      </c>
      <c r="M7416" s="74">
        <v>36104</v>
      </c>
      <c r="N7416" s="77">
        <v>0.25</v>
      </c>
      <c r="P7416">
        <v>28.4</v>
      </c>
      <c r="S7416" s="74">
        <v>36835</v>
      </c>
      <c r="T7416" s="77">
        <v>0.25</v>
      </c>
      <c r="V7416">
        <v>46.94</v>
      </c>
      <c r="X7416" s="42"/>
      <c r="AB7416">
        <v>46.5</v>
      </c>
      <c r="AC7416">
        <v>55.040000000000006</v>
      </c>
      <c r="AE7416" s="74"/>
      <c r="AF7416" s="77"/>
      <c r="AH7416" s="497">
        <v>37.4</v>
      </c>
      <c r="AJ7416" s="42"/>
      <c r="AK7416" s="74"/>
      <c r="AL7416" s="77"/>
      <c r="AN7416" s="497">
        <v>55.040000000000006</v>
      </c>
      <c r="AP7416" s="42"/>
      <c r="AQ7416" s="74"/>
      <c r="AR7416" s="77"/>
      <c r="AT7416" s="497">
        <v>42.980000000000004</v>
      </c>
      <c r="AV7416" s="42"/>
      <c r="AW7416" s="74"/>
      <c r="AX7416" s="77"/>
      <c r="BA7416" s="497">
        <v>48.019999999999996</v>
      </c>
      <c r="BB7416" s="42"/>
      <c r="BC7416" s="74"/>
      <c r="BD7416" s="77"/>
      <c r="BF7416">
        <v>62.06</v>
      </c>
      <c r="BH7416" s="42"/>
      <c r="BI7416" s="74"/>
      <c r="BJ7416" s="77"/>
      <c r="BL7416" s="497">
        <v>60.980000000000004</v>
      </c>
      <c r="BN7416" s="42"/>
      <c r="BO7416" s="74"/>
      <c r="BP7416" s="77"/>
      <c r="BR7416" s="497">
        <v>50</v>
      </c>
      <c r="BT7416" s="42"/>
    </row>
    <row r="7417" spans="1:72" x14ac:dyDescent="0.25">
      <c r="A7417" s="90">
        <v>36835</v>
      </c>
      <c r="B7417" s="20">
        <v>0.29166666666666669</v>
      </c>
      <c r="D7417">
        <v>59</v>
      </c>
      <c r="E7417" t="str">
        <f t="shared" si="266"/>
        <v>SUNDAY</v>
      </c>
      <c r="F7417" t="e">
        <f t="shared" si="267"/>
        <v>#N/A</v>
      </c>
      <c r="G7417" s="74">
        <v>28799</v>
      </c>
      <c r="H7417" s="77">
        <v>0.29166666666666669</v>
      </c>
      <c r="J7417">
        <v>51.08</v>
      </c>
      <c r="M7417" s="74">
        <v>36104</v>
      </c>
      <c r="N7417" s="77">
        <v>0.29166666666666669</v>
      </c>
      <c r="P7417">
        <v>30.2</v>
      </c>
      <c r="S7417" s="74">
        <v>36835</v>
      </c>
      <c r="T7417" s="77">
        <v>0.29166666666666669</v>
      </c>
      <c r="V7417">
        <v>46.94</v>
      </c>
      <c r="X7417" s="42"/>
      <c r="AB7417">
        <v>46.4</v>
      </c>
      <c r="AC7417">
        <v>55.040000000000006</v>
      </c>
      <c r="AE7417" s="74"/>
      <c r="AF7417" s="77"/>
      <c r="AH7417" s="497">
        <v>39.200000000000003</v>
      </c>
      <c r="AJ7417" s="42"/>
      <c r="AK7417" s="74"/>
      <c r="AL7417" s="77"/>
      <c r="AN7417" s="497">
        <v>55.94</v>
      </c>
      <c r="AP7417" s="42"/>
      <c r="AQ7417" s="74"/>
      <c r="AR7417" s="77"/>
      <c r="AT7417" s="497">
        <v>39.92</v>
      </c>
      <c r="AV7417" s="42"/>
      <c r="AW7417" s="74"/>
      <c r="AX7417" s="77"/>
      <c r="BA7417" s="497">
        <v>46.94</v>
      </c>
      <c r="BB7417" s="42"/>
      <c r="BC7417" s="74"/>
      <c r="BD7417" s="77"/>
      <c r="BF7417">
        <v>62.96</v>
      </c>
      <c r="BH7417" s="42"/>
      <c r="BI7417" s="74"/>
      <c r="BJ7417" s="77"/>
      <c r="BL7417" s="497">
        <v>62.06</v>
      </c>
      <c r="BN7417" s="42"/>
      <c r="BO7417" s="74"/>
      <c r="BP7417" s="77"/>
      <c r="BR7417" s="497">
        <v>46.94</v>
      </c>
      <c r="BT7417" s="42"/>
    </row>
    <row r="7418" spans="1:72" x14ac:dyDescent="0.25">
      <c r="A7418" s="90">
        <v>36835</v>
      </c>
      <c r="B7418" s="20">
        <v>0.33333333333333331</v>
      </c>
      <c r="D7418">
        <v>60.980000000000004</v>
      </c>
      <c r="E7418" t="str">
        <f t="shared" si="266"/>
        <v>SUNDAY</v>
      </c>
      <c r="F7418" t="e">
        <f t="shared" si="267"/>
        <v>#N/A</v>
      </c>
      <c r="G7418" s="74">
        <v>28799</v>
      </c>
      <c r="H7418" s="77">
        <v>0.33333333333333331</v>
      </c>
      <c r="J7418">
        <v>51.980000000000004</v>
      </c>
      <c r="M7418" s="74">
        <v>36104</v>
      </c>
      <c r="N7418" s="77">
        <v>0.33333333333333331</v>
      </c>
      <c r="P7418">
        <v>30.2</v>
      </c>
      <c r="S7418" s="74">
        <v>36835</v>
      </c>
      <c r="T7418" s="77">
        <v>0.33333333333333331</v>
      </c>
      <c r="V7418">
        <v>48.019999999999996</v>
      </c>
      <c r="X7418" s="42"/>
      <c r="AB7418">
        <v>46.5</v>
      </c>
      <c r="AC7418">
        <v>55.94</v>
      </c>
      <c r="AE7418" s="74"/>
      <c r="AF7418" s="77"/>
      <c r="AH7418" s="497">
        <v>44.6</v>
      </c>
      <c r="AJ7418" s="42"/>
      <c r="AK7418" s="74"/>
      <c r="AL7418" s="77"/>
      <c r="AN7418" s="497">
        <v>55.94</v>
      </c>
      <c r="AP7418" s="42"/>
      <c r="AQ7418" s="74"/>
      <c r="AR7418" s="77"/>
      <c r="AT7418" s="497">
        <v>37.94</v>
      </c>
      <c r="AV7418" s="42"/>
      <c r="AW7418" s="74"/>
      <c r="AX7418" s="77"/>
      <c r="BA7418" s="497">
        <v>46.94</v>
      </c>
      <c r="BB7418" s="42"/>
      <c r="BC7418" s="74"/>
      <c r="BD7418" s="77"/>
      <c r="BF7418">
        <v>64.039999999999992</v>
      </c>
      <c r="BH7418" s="42"/>
      <c r="BI7418" s="74"/>
      <c r="BJ7418" s="77"/>
      <c r="BL7418" s="497">
        <v>60.980000000000004</v>
      </c>
      <c r="BN7418" s="42"/>
      <c r="BO7418" s="74"/>
      <c r="BP7418" s="77"/>
      <c r="BR7418" s="497">
        <v>46.04</v>
      </c>
      <c r="BT7418" s="42"/>
    </row>
    <row r="7419" spans="1:72" x14ac:dyDescent="0.25">
      <c r="A7419" s="90">
        <v>36835</v>
      </c>
      <c r="B7419" s="20">
        <v>0.375</v>
      </c>
      <c r="D7419">
        <v>60.980000000000004</v>
      </c>
      <c r="E7419" t="str">
        <f t="shared" si="266"/>
        <v>SUNDAY</v>
      </c>
      <c r="F7419" t="e">
        <f t="shared" si="267"/>
        <v>#N/A</v>
      </c>
      <c r="G7419" s="74">
        <v>28799</v>
      </c>
      <c r="H7419" s="77">
        <v>0.375</v>
      </c>
      <c r="J7419">
        <v>53.96</v>
      </c>
      <c r="M7419" s="74">
        <v>36104</v>
      </c>
      <c r="N7419" s="77">
        <v>0.375</v>
      </c>
      <c r="P7419">
        <v>42.8</v>
      </c>
      <c r="S7419" s="74">
        <v>36835</v>
      </c>
      <c r="T7419" s="77">
        <v>0.375</v>
      </c>
      <c r="V7419">
        <v>50</v>
      </c>
      <c r="X7419" s="42"/>
      <c r="AB7419">
        <v>48.5</v>
      </c>
      <c r="AC7419">
        <v>57.019999999999996</v>
      </c>
      <c r="AE7419" s="74"/>
      <c r="AF7419" s="77"/>
      <c r="AH7419" s="497">
        <v>44.6</v>
      </c>
      <c r="AJ7419" s="42"/>
      <c r="AK7419" s="74"/>
      <c r="AL7419" s="77"/>
      <c r="AN7419" s="497">
        <v>57.019999999999996</v>
      </c>
      <c r="AP7419" s="42"/>
      <c r="AQ7419" s="74"/>
      <c r="AR7419" s="77"/>
      <c r="AT7419" s="497">
        <v>39.019999999999996</v>
      </c>
      <c r="AV7419" s="42"/>
      <c r="AW7419" s="74"/>
      <c r="AX7419" s="77"/>
      <c r="BA7419" s="497">
        <v>48.019999999999996</v>
      </c>
      <c r="BB7419" s="42"/>
      <c r="BC7419" s="74"/>
      <c r="BD7419" s="77"/>
      <c r="BF7419">
        <v>64.94</v>
      </c>
      <c r="BH7419" s="42"/>
      <c r="BI7419" s="74"/>
      <c r="BJ7419" s="77"/>
      <c r="BL7419" s="497">
        <v>64.039999999999992</v>
      </c>
      <c r="BN7419" s="42"/>
      <c r="BO7419" s="74"/>
      <c r="BP7419" s="77"/>
      <c r="BR7419" s="497">
        <v>41</v>
      </c>
      <c r="BT7419" s="42"/>
    </row>
    <row r="7420" spans="1:72" x14ac:dyDescent="0.25">
      <c r="A7420" s="90">
        <v>36835</v>
      </c>
      <c r="B7420" s="20">
        <v>0.41666666666666669</v>
      </c>
      <c r="D7420">
        <v>64.039999999999992</v>
      </c>
      <c r="E7420" t="str">
        <f t="shared" si="266"/>
        <v>SUNDAY</v>
      </c>
      <c r="F7420" t="e">
        <f t="shared" si="267"/>
        <v>#N/A</v>
      </c>
      <c r="G7420" s="74">
        <v>28799</v>
      </c>
      <c r="H7420" s="77">
        <v>0.41666666666666669</v>
      </c>
      <c r="J7420">
        <v>57.92</v>
      </c>
      <c r="M7420" s="74">
        <v>36104</v>
      </c>
      <c r="N7420" s="77">
        <v>0.41666666666666669</v>
      </c>
      <c r="P7420">
        <v>42.8</v>
      </c>
      <c r="S7420" s="74">
        <v>36835</v>
      </c>
      <c r="T7420" s="77">
        <v>0.41666666666666669</v>
      </c>
      <c r="V7420">
        <v>51.980000000000004</v>
      </c>
      <c r="X7420" s="42"/>
      <c r="AB7420">
        <v>50.5</v>
      </c>
      <c r="AC7420">
        <v>60.08</v>
      </c>
      <c r="AE7420" s="74"/>
      <c r="AF7420" s="77"/>
      <c r="AH7420" s="497">
        <v>44.6</v>
      </c>
      <c r="AJ7420" s="42"/>
      <c r="AK7420" s="74"/>
      <c r="AL7420" s="77"/>
      <c r="AN7420" s="497">
        <v>57.92</v>
      </c>
      <c r="AP7420" s="42"/>
      <c r="AQ7420" s="74"/>
      <c r="AR7420" s="77"/>
      <c r="AT7420" s="497">
        <v>42.980000000000004</v>
      </c>
      <c r="AV7420" s="42"/>
      <c r="AW7420" s="74"/>
      <c r="AX7420" s="77"/>
      <c r="BA7420" s="497">
        <v>48.92</v>
      </c>
      <c r="BB7420" s="42"/>
      <c r="BC7420" s="74"/>
      <c r="BD7420" s="77"/>
      <c r="BF7420">
        <v>64.94</v>
      </c>
      <c r="BH7420" s="42"/>
      <c r="BI7420" s="74"/>
      <c r="BJ7420" s="77"/>
      <c r="BL7420" s="497">
        <v>66.92</v>
      </c>
      <c r="BN7420" s="42"/>
      <c r="BO7420" s="74"/>
      <c r="BP7420" s="77"/>
      <c r="BR7420" s="497">
        <v>42.08</v>
      </c>
      <c r="BT7420" s="42"/>
    </row>
    <row r="7421" spans="1:72" x14ac:dyDescent="0.25">
      <c r="A7421" s="90">
        <v>36835</v>
      </c>
      <c r="B7421" s="20">
        <v>0.45833333333333331</v>
      </c>
      <c r="D7421">
        <v>64.94</v>
      </c>
      <c r="E7421" t="str">
        <f t="shared" si="266"/>
        <v>SUNDAY</v>
      </c>
      <c r="F7421" t="e">
        <f t="shared" si="267"/>
        <v>#N/A</v>
      </c>
      <c r="G7421" s="74">
        <v>28799</v>
      </c>
      <c r="H7421" s="77">
        <v>0.45833333333333331</v>
      </c>
      <c r="J7421">
        <v>60.08</v>
      </c>
      <c r="M7421" s="74">
        <v>36104</v>
      </c>
      <c r="N7421" s="77">
        <v>0.45833333333333331</v>
      </c>
      <c r="P7421">
        <v>46.4</v>
      </c>
      <c r="S7421" s="74">
        <v>36835</v>
      </c>
      <c r="T7421" s="77">
        <v>0.45833333333333331</v>
      </c>
      <c r="V7421">
        <v>53.96</v>
      </c>
      <c r="X7421" s="42"/>
      <c r="AB7421">
        <v>52.1</v>
      </c>
      <c r="AC7421">
        <v>60.980000000000004</v>
      </c>
      <c r="AE7421" s="74"/>
      <c r="AF7421" s="77"/>
      <c r="AH7421" s="497">
        <v>46.4</v>
      </c>
      <c r="AJ7421" s="42"/>
      <c r="AK7421" s="74"/>
      <c r="AL7421" s="77"/>
      <c r="AN7421" s="497">
        <v>57.92</v>
      </c>
      <c r="AP7421" s="42"/>
      <c r="AQ7421" s="74"/>
      <c r="AR7421" s="77"/>
      <c r="AT7421" s="497">
        <v>42.08</v>
      </c>
      <c r="AV7421" s="42"/>
      <c r="AW7421" s="74"/>
      <c r="AX7421" s="77"/>
      <c r="BA7421" s="497">
        <v>44.06</v>
      </c>
      <c r="BB7421" s="42"/>
      <c r="BC7421" s="74"/>
      <c r="BD7421" s="77"/>
      <c r="BF7421">
        <v>64.94</v>
      </c>
      <c r="BH7421" s="42"/>
      <c r="BI7421" s="74"/>
      <c r="BJ7421" s="77"/>
      <c r="BL7421" s="497">
        <v>66.02</v>
      </c>
      <c r="BN7421" s="42"/>
      <c r="BO7421" s="74"/>
      <c r="BP7421" s="77"/>
      <c r="BR7421" s="497">
        <v>44.06</v>
      </c>
      <c r="BT7421" s="42"/>
    </row>
    <row r="7422" spans="1:72" x14ac:dyDescent="0.25">
      <c r="A7422" s="90">
        <v>36835</v>
      </c>
      <c r="B7422" s="20">
        <v>0.5</v>
      </c>
      <c r="D7422">
        <v>66.92</v>
      </c>
      <c r="E7422" t="str">
        <f t="shared" si="266"/>
        <v>SUNDAY</v>
      </c>
      <c r="F7422" t="e">
        <f t="shared" si="267"/>
        <v>#N/A</v>
      </c>
      <c r="G7422" s="74">
        <v>28799</v>
      </c>
      <c r="H7422" s="77">
        <v>0.5</v>
      </c>
      <c r="J7422">
        <v>60.08</v>
      </c>
      <c r="M7422" s="74">
        <v>36104</v>
      </c>
      <c r="N7422" s="77">
        <v>0.5</v>
      </c>
      <c r="P7422">
        <v>48.56</v>
      </c>
      <c r="S7422" s="74">
        <v>36835</v>
      </c>
      <c r="T7422" s="77">
        <v>0.5</v>
      </c>
      <c r="V7422">
        <v>51.08</v>
      </c>
      <c r="X7422" s="42"/>
      <c r="AB7422">
        <v>53.5</v>
      </c>
      <c r="AC7422">
        <v>62.96</v>
      </c>
      <c r="AE7422" s="74"/>
      <c r="AF7422" s="77"/>
      <c r="AH7422" s="497">
        <v>48.2</v>
      </c>
      <c r="AJ7422" s="42"/>
      <c r="AK7422" s="74"/>
      <c r="AL7422" s="77"/>
      <c r="AN7422" s="497">
        <v>60.08</v>
      </c>
      <c r="AP7422" s="42"/>
      <c r="AQ7422" s="74"/>
      <c r="AR7422" s="77"/>
      <c r="AT7422" s="497">
        <v>42.08</v>
      </c>
      <c r="AV7422" s="42"/>
      <c r="AW7422" s="74"/>
      <c r="AX7422" s="77"/>
      <c r="BA7422" s="497">
        <v>48.019999999999996</v>
      </c>
      <c r="BB7422" s="42"/>
      <c r="BC7422" s="74"/>
      <c r="BD7422" s="77"/>
      <c r="BF7422">
        <v>66.02</v>
      </c>
      <c r="BH7422" s="42"/>
      <c r="BI7422" s="74"/>
      <c r="BJ7422" s="77"/>
      <c r="BL7422" s="497">
        <v>66.92</v>
      </c>
      <c r="BN7422" s="42"/>
      <c r="BO7422" s="74"/>
      <c r="BP7422" s="77"/>
      <c r="BR7422" s="497">
        <v>44.06</v>
      </c>
      <c r="BT7422" s="42"/>
    </row>
    <row r="7423" spans="1:72" x14ac:dyDescent="0.25">
      <c r="A7423" s="90">
        <v>36835</v>
      </c>
      <c r="B7423" s="20">
        <v>0.54166666666666663</v>
      </c>
      <c r="D7423">
        <v>68</v>
      </c>
      <c r="E7423" t="str">
        <f t="shared" si="266"/>
        <v>SUNDAY</v>
      </c>
      <c r="F7423" t="e">
        <f t="shared" si="267"/>
        <v>#N/A</v>
      </c>
      <c r="G7423" s="74">
        <v>28799</v>
      </c>
      <c r="H7423" s="77">
        <v>0.54166666666666663</v>
      </c>
      <c r="J7423">
        <v>60.980000000000004</v>
      </c>
      <c r="M7423" s="74">
        <v>36104</v>
      </c>
      <c r="N7423" s="77">
        <v>0.54166666666666663</v>
      </c>
      <c r="P7423">
        <v>50</v>
      </c>
      <c r="S7423" s="74">
        <v>36835</v>
      </c>
      <c r="T7423" s="77">
        <v>0.54166666666666663</v>
      </c>
      <c r="V7423">
        <v>50</v>
      </c>
      <c r="X7423" s="42"/>
      <c r="AB7423">
        <v>54.6</v>
      </c>
      <c r="AC7423">
        <v>62.96</v>
      </c>
      <c r="AE7423" s="74"/>
      <c r="AF7423" s="77"/>
      <c r="AH7423" s="497">
        <v>44.6</v>
      </c>
      <c r="AJ7423" s="42"/>
      <c r="AK7423" s="74"/>
      <c r="AL7423" s="77"/>
      <c r="AN7423" s="497">
        <v>57.92</v>
      </c>
      <c r="AP7423" s="42"/>
      <c r="AQ7423" s="74"/>
      <c r="AR7423" s="77"/>
      <c r="AT7423" s="497">
        <v>42.08</v>
      </c>
      <c r="AV7423" s="42"/>
      <c r="AW7423" s="74"/>
      <c r="AX7423" s="77"/>
      <c r="BA7423" s="497">
        <v>48.019999999999996</v>
      </c>
      <c r="BB7423" s="42"/>
      <c r="BC7423" s="74"/>
      <c r="BD7423" s="77"/>
      <c r="BF7423">
        <v>66.02</v>
      </c>
      <c r="BH7423" s="42"/>
      <c r="BI7423" s="74"/>
      <c r="BJ7423" s="77"/>
      <c r="BL7423" s="497">
        <v>66.02</v>
      </c>
      <c r="BN7423" s="42"/>
      <c r="BO7423" s="74"/>
      <c r="BP7423" s="77"/>
      <c r="BR7423" s="497">
        <v>44.96</v>
      </c>
      <c r="BT7423" s="42"/>
    </row>
    <row r="7424" spans="1:72" x14ac:dyDescent="0.25">
      <c r="A7424" s="90">
        <v>36835</v>
      </c>
      <c r="B7424" s="20">
        <v>0.58333333333333337</v>
      </c>
      <c r="D7424">
        <v>69.98</v>
      </c>
      <c r="E7424" t="str">
        <f t="shared" si="266"/>
        <v>SUNDAY</v>
      </c>
      <c r="F7424" t="e">
        <f t="shared" si="267"/>
        <v>#N/A</v>
      </c>
      <c r="G7424" s="74">
        <v>28799</v>
      </c>
      <c r="H7424" s="77">
        <v>0.58333333333333337</v>
      </c>
      <c r="J7424">
        <v>60.980000000000004</v>
      </c>
      <c r="M7424" s="74">
        <v>36104</v>
      </c>
      <c r="N7424" s="77">
        <v>0.58333333333333337</v>
      </c>
      <c r="P7424">
        <v>50.18</v>
      </c>
      <c r="S7424" s="74">
        <v>36835</v>
      </c>
      <c r="T7424" s="77">
        <v>0.58333333333333337</v>
      </c>
      <c r="V7424">
        <v>50</v>
      </c>
      <c r="X7424" s="42"/>
      <c r="AB7424">
        <v>55.2</v>
      </c>
      <c r="AC7424">
        <v>62.96</v>
      </c>
      <c r="AE7424" s="74"/>
      <c r="AF7424" s="77"/>
      <c r="AH7424" s="497">
        <v>44.6</v>
      </c>
      <c r="AJ7424" s="42"/>
      <c r="AK7424" s="74"/>
      <c r="AL7424" s="77"/>
      <c r="AN7424" s="497">
        <v>57.019999999999996</v>
      </c>
      <c r="AP7424" s="42"/>
      <c r="AQ7424" s="74"/>
      <c r="AR7424" s="77"/>
      <c r="AT7424" s="497">
        <v>42.08</v>
      </c>
      <c r="AV7424" s="42"/>
      <c r="AW7424" s="74"/>
      <c r="AX7424" s="77"/>
      <c r="BA7424" s="497">
        <v>48.92</v>
      </c>
      <c r="BB7424" s="42"/>
      <c r="BC7424" s="74"/>
      <c r="BD7424" s="77"/>
      <c r="BF7424">
        <v>66.92</v>
      </c>
      <c r="BH7424" s="42"/>
      <c r="BI7424" s="74"/>
      <c r="BJ7424" s="77"/>
      <c r="BL7424" s="497">
        <v>64.94</v>
      </c>
      <c r="BN7424" s="42"/>
      <c r="BO7424" s="74"/>
      <c r="BP7424" s="77"/>
      <c r="BR7424" s="497">
        <v>44.06</v>
      </c>
      <c r="BT7424" s="42"/>
    </row>
    <row r="7425" spans="1:72" x14ac:dyDescent="0.25">
      <c r="A7425" s="90">
        <v>36835</v>
      </c>
      <c r="B7425" s="20">
        <v>0.625</v>
      </c>
      <c r="D7425">
        <v>71.960000000000008</v>
      </c>
      <c r="E7425" t="str">
        <f t="shared" si="266"/>
        <v>SUNDAY</v>
      </c>
      <c r="F7425" t="e">
        <f t="shared" si="267"/>
        <v>#N/A</v>
      </c>
      <c r="G7425" s="74">
        <v>28799</v>
      </c>
      <c r="H7425" s="77">
        <v>0.625</v>
      </c>
      <c r="J7425">
        <v>62.06</v>
      </c>
      <c r="M7425" s="74">
        <v>36104</v>
      </c>
      <c r="N7425" s="77">
        <v>0.625</v>
      </c>
      <c r="P7425">
        <v>50</v>
      </c>
      <c r="S7425" s="74">
        <v>36835</v>
      </c>
      <c r="T7425" s="77">
        <v>0.625</v>
      </c>
      <c r="V7425">
        <v>51.980000000000004</v>
      </c>
      <c r="X7425" s="42"/>
      <c r="AB7425">
        <v>55.6</v>
      </c>
      <c r="AC7425">
        <v>62.96</v>
      </c>
      <c r="AE7425" s="74"/>
      <c r="AF7425" s="77"/>
      <c r="AH7425" s="497">
        <v>42.8</v>
      </c>
      <c r="AJ7425" s="42"/>
      <c r="AK7425" s="74"/>
      <c r="AL7425" s="77"/>
      <c r="AN7425" s="497">
        <v>57.019999999999996</v>
      </c>
      <c r="AP7425" s="42"/>
      <c r="AQ7425" s="74"/>
      <c r="AR7425" s="77"/>
      <c r="AT7425" s="497">
        <v>39.92</v>
      </c>
      <c r="AV7425" s="42"/>
      <c r="AW7425" s="74"/>
      <c r="AX7425" s="77"/>
      <c r="BA7425" s="497">
        <v>44.96</v>
      </c>
      <c r="BB7425" s="42"/>
      <c r="BC7425" s="74"/>
      <c r="BD7425" s="77"/>
      <c r="BF7425">
        <v>64.94</v>
      </c>
      <c r="BH7425" s="42"/>
      <c r="BI7425" s="74"/>
      <c r="BJ7425" s="77"/>
      <c r="BL7425" s="497">
        <v>64.94</v>
      </c>
      <c r="BN7425" s="42"/>
      <c r="BO7425" s="74"/>
      <c r="BP7425" s="77"/>
      <c r="BR7425" s="497">
        <v>44.06</v>
      </c>
      <c r="BT7425" s="42"/>
    </row>
    <row r="7426" spans="1:72" x14ac:dyDescent="0.25">
      <c r="A7426" s="90">
        <v>36835</v>
      </c>
      <c r="B7426" s="20">
        <v>0.66666666666666663</v>
      </c>
      <c r="D7426">
        <v>73.039999999999992</v>
      </c>
      <c r="E7426" t="str">
        <f t="shared" si="266"/>
        <v>SUNDAY</v>
      </c>
      <c r="F7426" t="e">
        <f t="shared" si="267"/>
        <v>#N/A</v>
      </c>
      <c r="G7426" s="74">
        <v>28799</v>
      </c>
      <c r="H7426" s="77">
        <v>0.66666666666666663</v>
      </c>
      <c r="J7426">
        <v>60.08</v>
      </c>
      <c r="M7426" s="74">
        <v>36104</v>
      </c>
      <c r="N7426" s="77">
        <v>0.66666666666666663</v>
      </c>
      <c r="P7426">
        <v>50</v>
      </c>
      <c r="S7426" s="74">
        <v>36835</v>
      </c>
      <c r="T7426" s="77">
        <v>0.66666666666666663</v>
      </c>
      <c r="V7426">
        <v>50</v>
      </c>
      <c r="X7426" s="42"/>
      <c r="AB7426">
        <v>55.2</v>
      </c>
      <c r="AC7426">
        <v>60.980000000000004</v>
      </c>
      <c r="AE7426" s="74"/>
      <c r="AF7426" s="77"/>
      <c r="AH7426" s="497">
        <v>44.6</v>
      </c>
      <c r="AJ7426" s="42"/>
      <c r="AK7426" s="74"/>
      <c r="AL7426" s="77"/>
      <c r="AN7426" s="497">
        <v>57.019999999999996</v>
      </c>
      <c r="AP7426" s="42"/>
      <c r="AQ7426" s="74"/>
      <c r="AR7426" s="77"/>
      <c r="AT7426" s="497">
        <v>41</v>
      </c>
      <c r="AV7426" s="42"/>
      <c r="AW7426" s="74"/>
      <c r="AX7426" s="77"/>
      <c r="BA7426" s="497">
        <v>46.04</v>
      </c>
      <c r="BB7426" s="42"/>
      <c r="BC7426" s="74"/>
      <c r="BD7426" s="77"/>
      <c r="BF7426">
        <v>55.040000000000006</v>
      </c>
      <c r="BH7426" s="42"/>
      <c r="BI7426" s="74"/>
      <c r="BJ7426" s="77"/>
      <c r="BL7426" s="497">
        <v>64.039999999999992</v>
      </c>
      <c r="BN7426" s="42"/>
      <c r="BO7426" s="74"/>
      <c r="BP7426" s="77"/>
      <c r="BR7426" s="497">
        <v>44.06</v>
      </c>
      <c r="BT7426" s="42"/>
    </row>
    <row r="7427" spans="1:72" x14ac:dyDescent="0.25">
      <c r="A7427" s="90">
        <v>36835</v>
      </c>
      <c r="B7427" s="20">
        <v>0.70833333333333337</v>
      </c>
      <c r="D7427">
        <v>69.98</v>
      </c>
      <c r="E7427" t="str">
        <f t="shared" si="266"/>
        <v>SUNDAY</v>
      </c>
      <c r="F7427" t="e">
        <f t="shared" si="267"/>
        <v>#N/A</v>
      </c>
      <c r="G7427" s="74">
        <v>28799</v>
      </c>
      <c r="H7427" s="77">
        <v>0.70833333333333337</v>
      </c>
      <c r="J7427">
        <v>57.019999999999996</v>
      </c>
      <c r="M7427" s="74">
        <v>36104</v>
      </c>
      <c r="N7427" s="77">
        <v>0.70833333333333337</v>
      </c>
      <c r="P7427">
        <v>44.6</v>
      </c>
      <c r="S7427" s="74">
        <v>36835</v>
      </c>
      <c r="T7427" s="77">
        <v>0.70833333333333337</v>
      </c>
      <c r="V7427">
        <v>50</v>
      </c>
      <c r="X7427" s="42"/>
      <c r="AB7427">
        <v>54.3</v>
      </c>
      <c r="AC7427">
        <v>60.08</v>
      </c>
      <c r="AE7427" s="74"/>
      <c r="AF7427" s="77"/>
      <c r="AH7427" s="497">
        <v>44.6</v>
      </c>
      <c r="AJ7427" s="42"/>
      <c r="AK7427" s="74"/>
      <c r="AL7427" s="77"/>
      <c r="AN7427" s="497">
        <v>57.019999999999996</v>
      </c>
      <c r="AP7427" s="42"/>
      <c r="AQ7427" s="74"/>
      <c r="AR7427" s="77"/>
      <c r="AT7427" s="497">
        <v>39.92</v>
      </c>
      <c r="AV7427" s="42"/>
      <c r="AW7427" s="74"/>
      <c r="AX7427" s="77"/>
      <c r="BA7427" s="497">
        <v>42.08</v>
      </c>
      <c r="BB7427" s="42"/>
      <c r="BC7427" s="74"/>
      <c r="BD7427" s="77"/>
      <c r="BF7427">
        <v>53.06</v>
      </c>
      <c r="BH7427" s="42"/>
      <c r="BI7427" s="74"/>
      <c r="BJ7427" s="77"/>
      <c r="BL7427" s="497">
        <v>60.980000000000004</v>
      </c>
      <c r="BN7427" s="42"/>
      <c r="BO7427" s="74"/>
      <c r="BP7427" s="77"/>
      <c r="BR7427" s="497">
        <v>42.08</v>
      </c>
      <c r="BT7427" s="42"/>
    </row>
    <row r="7428" spans="1:72" x14ac:dyDescent="0.25">
      <c r="A7428" s="90">
        <v>36835</v>
      </c>
      <c r="B7428" s="20">
        <v>0.75</v>
      </c>
      <c r="D7428">
        <v>64.94</v>
      </c>
      <c r="E7428" t="str">
        <f t="shared" si="266"/>
        <v>SUNDAY</v>
      </c>
      <c r="F7428" t="e">
        <f t="shared" si="267"/>
        <v>#N/A</v>
      </c>
      <c r="G7428" s="74">
        <v>28799</v>
      </c>
      <c r="H7428" s="77">
        <v>0.75</v>
      </c>
      <c r="J7428">
        <v>55.94</v>
      </c>
      <c r="M7428" s="74">
        <v>36104</v>
      </c>
      <c r="N7428" s="77">
        <v>0.75</v>
      </c>
      <c r="P7428">
        <v>42.8</v>
      </c>
      <c r="S7428" s="74">
        <v>36835</v>
      </c>
      <c r="T7428" s="77">
        <v>0.75</v>
      </c>
      <c r="V7428">
        <v>48.92</v>
      </c>
      <c r="X7428" s="42"/>
      <c r="AB7428">
        <v>52.8</v>
      </c>
      <c r="AC7428">
        <v>59</v>
      </c>
      <c r="AE7428" s="74"/>
      <c r="AF7428" s="77"/>
      <c r="AH7428" s="497">
        <v>44.6</v>
      </c>
      <c r="AJ7428" s="42"/>
      <c r="AK7428" s="74"/>
      <c r="AL7428" s="77"/>
      <c r="AN7428" s="497">
        <v>57.019999999999996</v>
      </c>
      <c r="AP7428" s="42"/>
      <c r="AQ7428" s="74"/>
      <c r="AR7428" s="77"/>
      <c r="AT7428" s="497">
        <v>39.92</v>
      </c>
      <c r="AV7428" s="42"/>
      <c r="AW7428" s="74"/>
      <c r="AX7428" s="77"/>
      <c r="BA7428" s="497">
        <v>39.92</v>
      </c>
      <c r="BB7428" s="42"/>
      <c r="BC7428" s="74"/>
      <c r="BD7428" s="77"/>
      <c r="BF7428">
        <v>51.08</v>
      </c>
      <c r="BH7428" s="42"/>
      <c r="BI7428" s="74"/>
      <c r="BJ7428" s="77"/>
      <c r="BL7428" s="497">
        <v>53.06</v>
      </c>
      <c r="BN7428" s="42"/>
      <c r="BO7428" s="74"/>
      <c r="BP7428" s="77"/>
      <c r="BR7428" s="497">
        <v>39.019999999999996</v>
      </c>
      <c r="BT7428" s="42"/>
    </row>
    <row r="7429" spans="1:72" x14ac:dyDescent="0.25">
      <c r="A7429" s="90">
        <v>36835</v>
      </c>
      <c r="B7429" s="20">
        <v>0.79166666666666663</v>
      </c>
      <c r="D7429">
        <v>66.02</v>
      </c>
      <c r="E7429" t="str">
        <f t="shared" si="266"/>
        <v>SUNDAY</v>
      </c>
      <c r="F7429" t="e">
        <f t="shared" si="267"/>
        <v>#N/A</v>
      </c>
      <c r="G7429" s="74">
        <v>28799</v>
      </c>
      <c r="H7429" s="77">
        <v>0.79166666666666663</v>
      </c>
      <c r="J7429">
        <v>55.94</v>
      </c>
      <c r="M7429" s="74">
        <v>36104</v>
      </c>
      <c r="N7429" s="77">
        <v>0.79166666666666663</v>
      </c>
      <c r="P7429">
        <v>41</v>
      </c>
      <c r="S7429" s="74">
        <v>36835</v>
      </c>
      <c r="T7429" s="77">
        <v>0.79166666666666663</v>
      </c>
      <c r="V7429">
        <v>46.94</v>
      </c>
      <c r="X7429" s="42"/>
      <c r="AB7429">
        <v>52</v>
      </c>
      <c r="AC7429">
        <v>57.019999999999996</v>
      </c>
      <c r="AE7429" s="74"/>
      <c r="AF7429" s="77"/>
      <c r="AH7429" s="497">
        <v>44.6</v>
      </c>
      <c r="AJ7429" s="42"/>
      <c r="AK7429" s="74"/>
      <c r="AL7429" s="77"/>
      <c r="AN7429" s="497">
        <v>57.019999999999996</v>
      </c>
      <c r="AP7429" s="42"/>
      <c r="AQ7429" s="74"/>
      <c r="AR7429" s="77"/>
      <c r="AT7429" s="497">
        <v>39.92</v>
      </c>
      <c r="AV7429" s="42"/>
      <c r="AW7429" s="74"/>
      <c r="AX7429" s="77"/>
      <c r="BA7429" s="497">
        <v>39.92</v>
      </c>
      <c r="BB7429" s="42"/>
      <c r="BC7429" s="74"/>
      <c r="BD7429" s="77"/>
      <c r="BF7429">
        <v>51.980000000000004</v>
      </c>
      <c r="BH7429" s="42"/>
      <c r="BI7429" s="74"/>
      <c r="BJ7429" s="77"/>
      <c r="BL7429" s="497">
        <v>51.980000000000004</v>
      </c>
      <c r="BN7429" s="42"/>
      <c r="BO7429" s="74"/>
      <c r="BP7429" s="77"/>
      <c r="BR7429" s="497">
        <v>39.019999999999996</v>
      </c>
      <c r="BT7429" s="42"/>
    </row>
    <row r="7430" spans="1:72" x14ac:dyDescent="0.25">
      <c r="A7430" s="90">
        <v>36835</v>
      </c>
      <c r="B7430" s="20">
        <v>0.83333333333333337</v>
      </c>
      <c r="D7430">
        <v>66.02</v>
      </c>
      <c r="E7430" t="str">
        <f t="shared" si="266"/>
        <v>SUNDAY</v>
      </c>
      <c r="F7430" t="e">
        <f t="shared" si="267"/>
        <v>#N/A</v>
      </c>
      <c r="G7430" s="74">
        <v>28799</v>
      </c>
      <c r="H7430" s="77">
        <v>0.83333333333333337</v>
      </c>
      <c r="J7430">
        <v>55.94</v>
      </c>
      <c r="M7430" s="74">
        <v>36104</v>
      </c>
      <c r="N7430" s="77">
        <v>0.83333333333333337</v>
      </c>
      <c r="P7430">
        <v>39.200000000000003</v>
      </c>
      <c r="S7430" s="74">
        <v>36835</v>
      </c>
      <c r="T7430" s="77">
        <v>0.83333333333333337</v>
      </c>
      <c r="V7430">
        <v>46.04</v>
      </c>
      <c r="X7430" s="42"/>
      <c r="AB7430">
        <v>51.5</v>
      </c>
      <c r="AC7430">
        <v>57.92</v>
      </c>
      <c r="AE7430" s="74"/>
      <c r="AF7430" s="77"/>
      <c r="AH7430" s="497">
        <v>44.6</v>
      </c>
      <c r="AJ7430" s="42"/>
      <c r="AK7430" s="74"/>
      <c r="AL7430" s="77"/>
      <c r="AN7430" s="497">
        <v>51.980000000000004</v>
      </c>
      <c r="AP7430" s="42"/>
      <c r="AQ7430" s="74"/>
      <c r="AR7430" s="77"/>
      <c r="AT7430" s="497">
        <v>39.92</v>
      </c>
      <c r="AV7430" s="42"/>
      <c r="AW7430" s="74"/>
      <c r="AX7430" s="77"/>
      <c r="BA7430" s="497">
        <v>35.96</v>
      </c>
      <c r="BB7430" s="42"/>
      <c r="BC7430" s="74"/>
      <c r="BD7430" s="77"/>
      <c r="BF7430">
        <v>50</v>
      </c>
      <c r="BH7430" s="42"/>
      <c r="BI7430" s="74"/>
      <c r="BJ7430" s="77"/>
      <c r="BL7430" s="497">
        <v>51.980000000000004</v>
      </c>
      <c r="BN7430" s="42"/>
      <c r="BO7430" s="74"/>
      <c r="BP7430" s="77"/>
      <c r="BR7430" s="497">
        <v>39.019999999999996</v>
      </c>
      <c r="BT7430" s="42"/>
    </row>
    <row r="7431" spans="1:72" x14ac:dyDescent="0.25">
      <c r="A7431" s="90">
        <v>36835</v>
      </c>
      <c r="B7431" s="20">
        <v>0.875</v>
      </c>
      <c r="D7431">
        <v>66.02</v>
      </c>
      <c r="E7431" t="str">
        <f t="shared" si="266"/>
        <v>SUNDAY</v>
      </c>
      <c r="F7431" t="e">
        <f t="shared" si="267"/>
        <v>#N/A</v>
      </c>
      <c r="G7431" s="74">
        <v>28799</v>
      </c>
      <c r="H7431" s="77">
        <v>0.875</v>
      </c>
      <c r="J7431">
        <v>55.040000000000006</v>
      </c>
      <c r="M7431" s="74">
        <v>36104</v>
      </c>
      <c r="N7431" s="77">
        <v>0.875</v>
      </c>
      <c r="P7431">
        <v>39.200000000000003</v>
      </c>
      <c r="S7431" s="74">
        <v>36835</v>
      </c>
      <c r="T7431" s="77">
        <v>0.875</v>
      </c>
      <c r="V7431">
        <v>46.04</v>
      </c>
      <c r="X7431" s="42"/>
      <c r="AB7431">
        <v>51</v>
      </c>
      <c r="AC7431">
        <v>59</v>
      </c>
      <c r="AE7431" s="74"/>
      <c r="AF7431" s="77"/>
      <c r="AH7431" s="497">
        <v>44.6</v>
      </c>
      <c r="AJ7431" s="42"/>
      <c r="AK7431" s="74"/>
      <c r="AL7431" s="77"/>
      <c r="AN7431" s="497">
        <v>53.06</v>
      </c>
      <c r="AP7431" s="42"/>
      <c r="AQ7431" s="74"/>
      <c r="AR7431" s="77"/>
      <c r="AT7431" s="497">
        <v>41</v>
      </c>
      <c r="AV7431" s="42"/>
      <c r="AW7431" s="74"/>
      <c r="AX7431" s="77"/>
      <c r="BA7431" s="497">
        <v>35.06</v>
      </c>
      <c r="BB7431" s="42"/>
      <c r="BC7431" s="74"/>
      <c r="BD7431" s="77"/>
      <c r="BF7431">
        <v>50</v>
      </c>
      <c r="BH7431" s="42"/>
      <c r="BI7431" s="74"/>
      <c r="BJ7431" s="77"/>
      <c r="BL7431" s="497">
        <v>51.08</v>
      </c>
      <c r="BN7431" s="42"/>
      <c r="BO7431" s="74"/>
      <c r="BP7431" s="77"/>
      <c r="BR7431" s="497">
        <v>35.06</v>
      </c>
      <c r="BT7431" s="42"/>
    </row>
    <row r="7432" spans="1:72" x14ac:dyDescent="0.25">
      <c r="A7432" s="90">
        <v>36835</v>
      </c>
      <c r="B7432" s="20">
        <v>0.91666666666666663</v>
      </c>
      <c r="D7432">
        <v>66.02</v>
      </c>
      <c r="E7432" t="str">
        <f t="shared" si="266"/>
        <v>SUNDAY</v>
      </c>
      <c r="F7432" t="e">
        <f t="shared" si="267"/>
        <v>#N/A</v>
      </c>
      <c r="G7432" s="74">
        <v>28799</v>
      </c>
      <c r="H7432" s="77">
        <v>0.91666666666666663</v>
      </c>
      <c r="J7432">
        <v>55.040000000000006</v>
      </c>
      <c r="M7432" s="74">
        <v>36104</v>
      </c>
      <c r="N7432" s="77">
        <v>0.91666666666666663</v>
      </c>
      <c r="P7432">
        <v>37.4</v>
      </c>
      <c r="S7432" s="74">
        <v>36835</v>
      </c>
      <c r="T7432" s="77">
        <v>0.91666666666666663</v>
      </c>
      <c r="V7432">
        <v>44.96</v>
      </c>
      <c r="X7432" s="42"/>
      <c r="AB7432">
        <v>50.3</v>
      </c>
      <c r="AC7432">
        <v>59</v>
      </c>
      <c r="AE7432" s="74"/>
      <c r="AF7432" s="77"/>
      <c r="AH7432" s="497">
        <v>44.6</v>
      </c>
      <c r="AJ7432" s="42"/>
      <c r="AK7432" s="74"/>
      <c r="AL7432" s="77"/>
      <c r="AN7432" s="497">
        <v>50</v>
      </c>
      <c r="AP7432" s="42"/>
      <c r="AQ7432" s="74"/>
      <c r="AR7432" s="77"/>
      <c r="AT7432" s="497">
        <v>39.92</v>
      </c>
      <c r="AV7432" s="42"/>
      <c r="AW7432" s="74"/>
      <c r="AX7432" s="77"/>
      <c r="BA7432" s="497">
        <v>33.08</v>
      </c>
      <c r="BB7432" s="42"/>
      <c r="BC7432" s="74"/>
      <c r="BD7432" s="77"/>
      <c r="BF7432">
        <v>50</v>
      </c>
      <c r="BH7432" s="42"/>
      <c r="BI7432" s="74"/>
      <c r="BJ7432" s="77"/>
      <c r="BL7432" s="497">
        <v>51.08</v>
      </c>
      <c r="BN7432" s="42"/>
      <c r="BO7432" s="74"/>
      <c r="BP7432" s="77"/>
      <c r="BR7432" s="497">
        <v>32</v>
      </c>
      <c r="BT7432" s="42"/>
    </row>
    <row r="7433" spans="1:72" x14ac:dyDescent="0.25">
      <c r="A7433" s="90">
        <v>36835</v>
      </c>
      <c r="B7433" s="20">
        <v>0.95833333333333337</v>
      </c>
      <c r="D7433">
        <v>64.94</v>
      </c>
      <c r="E7433" t="str">
        <f t="shared" si="266"/>
        <v>SUNDAY</v>
      </c>
      <c r="F7433" t="e">
        <f t="shared" si="267"/>
        <v>#N/A</v>
      </c>
      <c r="G7433" s="74">
        <v>28799</v>
      </c>
      <c r="H7433" s="77">
        <v>0.95833333333333337</v>
      </c>
      <c r="J7433">
        <v>53.96</v>
      </c>
      <c r="M7433" s="74">
        <v>36104</v>
      </c>
      <c r="N7433" s="77">
        <v>0.95833333333333337</v>
      </c>
      <c r="P7433">
        <v>35.6</v>
      </c>
      <c r="S7433" s="74">
        <v>36835</v>
      </c>
      <c r="T7433" s="77">
        <v>0.95833333333333337</v>
      </c>
      <c r="V7433">
        <v>44.96</v>
      </c>
      <c r="X7433" s="42"/>
      <c r="AB7433">
        <v>49.8</v>
      </c>
      <c r="AC7433">
        <v>59</v>
      </c>
      <c r="AE7433" s="74"/>
      <c r="AF7433" s="77"/>
      <c r="AH7433" s="497">
        <v>44.6</v>
      </c>
      <c r="AJ7433" s="42"/>
      <c r="AK7433" s="74"/>
      <c r="AL7433" s="77"/>
      <c r="AN7433" s="497">
        <v>51.980000000000004</v>
      </c>
      <c r="AP7433" s="42"/>
      <c r="AQ7433" s="74"/>
      <c r="AR7433" s="77"/>
      <c r="AT7433" s="497">
        <v>41</v>
      </c>
      <c r="AV7433" s="42"/>
      <c r="AW7433" s="74"/>
      <c r="AX7433" s="77"/>
      <c r="BA7433" s="497">
        <v>33.979999999999997</v>
      </c>
      <c r="BB7433" s="42"/>
      <c r="BC7433" s="74"/>
      <c r="BD7433" s="77"/>
      <c r="BF7433">
        <v>48.92</v>
      </c>
      <c r="BH7433" s="42"/>
      <c r="BI7433" s="74"/>
      <c r="BJ7433" s="77"/>
      <c r="BL7433" s="497">
        <v>48.92</v>
      </c>
      <c r="BN7433" s="42"/>
      <c r="BO7433" s="74"/>
      <c r="BP7433" s="77"/>
      <c r="BR7433" s="497">
        <v>28.94</v>
      </c>
      <c r="BT7433" s="42"/>
    </row>
    <row r="7434" spans="1:72" x14ac:dyDescent="0.25">
      <c r="A7434" s="90">
        <v>36835</v>
      </c>
      <c r="B7434" s="20">
        <v>1</v>
      </c>
      <c r="D7434">
        <v>64.039999999999992</v>
      </c>
      <c r="E7434" t="str">
        <f t="shared" si="266"/>
        <v>SUNDAY</v>
      </c>
      <c r="F7434" t="e">
        <f t="shared" si="267"/>
        <v>#N/A</v>
      </c>
      <c r="G7434" s="74">
        <v>28799</v>
      </c>
      <c r="H7434" s="77">
        <v>1</v>
      </c>
      <c r="J7434">
        <v>53.06</v>
      </c>
      <c r="M7434" s="74">
        <v>36104</v>
      </c>
      <c r="N7434" s="80">
        <v>1</v>
      </c>
      <c r="P7434">
        <v>33.799999999999997</v>
      </c>
      <c r="S7434" s="74">
        <v>36835</v>
      </c>
      <c r="T7434" s="80">
        <v>1</v>
      </c>
      <c r="V7434">
        <v>44.06</v>
      </c>
      <c r="X7434" s="42"/>
      <c r="AB7434">
        <v>49.1</v>
      </c>
      <c r="AC7434">
        <v>59</v>
      </c>
      <c r="AE7434" s="74"/>
      <c r="AF7434" s="80"/>
      <c r="AH7434" s="497">
        <v>44.6</v>
      </c>
      <c r="AJ7434" s="42"/>
      <c r="AK7434" s="74"/>
      <c r="AL7434" s="80"/>
      <c r="AN7434" s="497">
        <v>50</v>
      </c>
      <c r="AP7434" s="42"/>
      <c r="AQ7434" s="74"/>
      <c r="AR7434" s="80"/>
      <c r="AT7434" s="497">
        <v>41</v>
      </c>
      <c r="AV7434" s="42"/>
      <c r="AW7434" s="74"/>
      <c r="AX7434" s="80"/>
      <c r="BA7434" s="497">
        <v>32</v>
      </c>
      <c r="BB7434" s="42"/>
      <c r="BC7434" s="74"/>
      <c r="BD7434" s="80"/>
      <c r="BF7434">
        <v>50</v>
      </c>
      <c r="BH7434" s="42"/>
      <c r="BI7434" s="74"/>
      <c r="BJ7434" s="80"/>
      <c r="BL7434" s="497">
        <v>48.92</v>
      </c>
      <c r="BN7434" s="42"/>
      <c r="BO7434" s="74"/>
      <c r="BP7434" s="80"/>
      <c r="BR7434" s="497">
        <v>26.060000000000002</v>
      </c>
      <c r="BT7434" s="42"/>
    </row>
    <row r="7435" spans="1:72" x14ac:dyDescent="0.25">
      <c r="A7435" s="90">
        <v>36836</v>
      </c>
      <c r="B7435" s="20">
        <v>4.1666666666666664E-2</v>
      </c>
      <c r="D7435">
        <v>64.039999999999992</v>
      </c>
      <c r="E7435" t="str">
        <f t="shared" si="266"/>
        <v>WEEKDAY</v>
      </c>
      <c r="F7435" t="e">
        <f t="shared" si="267"/>
        <v>#N/A</v>
      </c>
      <c r="G7435" s="74">
        <v>28800</v>
      </c>
      <c r="H7435" s="77">
        <v>4.1666666666666664E-2</v>
      </c>
      <c r="J7435">
        <v>51.08</v>
      </c>
      <c r="M7435" s="74">
        <v>36105</v>
      </c>
      <c r="N7435" s="77">
        <v>4.1666666666666664E-2</v>
      </c>
      <c r="P7435">
        <v>33.799999999999997</v>
      </c>
      <c r="S7435" s="74">
        <v>36836</v>
      </c>
      <c r="T7435" s="77">
        <v>4.1666666666666664E-2</v>
      </c>
      <c r="V7435">
        <v>44.06</v>
      </c>
      <c r="X7435" s="42"/>
      <c r="AB7435">
        <v>48.6</v>
      </c>
      <c r="AC7435">
        <v>60.08</v>
      </c>
      <c r="AE7435" s="74"/>
      <c r="AF7435" s="77"/>
      <c r="AH7435" s="497">
        <v>44.6</v>
      </c>
      <c r="AJ7435" s="42"/>
      <c r="AK7435" s="74"/>
      <c r="AL7435" s="77"/>
      <c r="AN7435" s="497">
        <v>50</v>
      </c>
      <c r="AP7435" s="42"/>
      <c r="AQ7435" s="74"/>
      <c r="AR7435" s="77"/>
      <c r="AT7435" s="497">
        <v>39.92</v>
      </c>
      <c r="AV7435" s="42"/>
      <c r="AW7435" s="74"/>
      <c r="AX7435" s="77"/>
      <c r="BA7435" s="497">
        <v>30.92</v>
      </c>
      <c r="BB7435" s="42"/>
      <c r="BC7435" s="74"/>
      <c r="BD7435" s="77"/>
      <c r="BF7435">
        <v>50</v>
      </c>
      <c r="BH7435" s="42"/>
      <c r="BI7435" s="74"/>
      <c r="BJ7435" s="77"/>
      <c r="BL7435" s="497">
        <v>48.019999999999996</v>
      </c>
      <c r="BN7435" s="42"/>
      <c r="BO7435" s="74"/>
      <c r="BP7435" s="77"/>
      <c r="BR7435" s="497">
        <v>24.08</v>
      </c>
      <c r="BT7435" s="42"/>
    </row>
    <row r="7436" spans="1:72" x14ac:dyDescent="0.25">
      <c r="A7436" s="90">
        <v>36836</v>
      </c>
      <c r="B7436" s="20">
        <v>8.3333333333333329E-2</v>
      </c>
      <c r="D7436">
        <v>62.06</v>
      </c>
      <c r="E7436" t="str">
        <f t="shared" si="266"/>
        <v>WEEKDAY</v>
      </c>
      <c r="F7436" t="e">
        <f t="shared" si="267"/>
        <v>#N/A</v>
      </c>
      <c r="G7436" s="74">
        <v>28800</v>
      </c>
      <c r="H7436" s="77">
        <v>8.3333333333333329E-2</v>
      </c>
      <c r="J7436">
        <v>51.08</v>
      </c>
      <c r="M7436" s="74">
        <v>36105</v>
      </c>
      <c r="N7436" s="77">
        <v>8.3333333333333329E-2</v>
      </c>
      <c r="P7436">
        <v>33.799999999999997</v>
      </c>
      <c r="S7436" s="74">
        <v>36836</v>
      </c>
      <c r="T7436" s="77">
        <v>8.3333333333333329E-2</v>
      </c>
      <c r="V7436">
        <v>42.980000000000004</v>
      </c>
      <c r="X7436" s="42"/>
      <c r="AB7436">
        <v>48</v>
      </c>
      <c r="AC7436">
        <v>60.08</v>
      </c>
      <c r="AE7436" s="74"/>
      <c r="AF7436" s="77"/>
      <c r="AH7436" s="497">
        <v>37.4</v>
      </c>
      <c r="AJ7436" s="42"/>
      <c r="AK7436" s="74"/>
      <c r="AL7436" s="77"/>
      <c r="AN7436" s="497">
        <v>48.019999999999996</v>
      </c>
      <c r="AP7436" s="42"/>
      <c r="AQ7436" s="74"/>
      <c r="AR7436" s="77"/>
      <c r="AT7436" s="497">
        <v>35.06</v>
      </c>
      <c r="AV7436" s="42"/>
      <c r="AW7436" s="74"/>
      <c r="AX7436" s="77"/>
      <c r="BA7436" s="497">
        <v>30.92</v>
      </c>
      <c r="BB7436" s="42"/>
      <c r="BC7436" s="74"/>
      <c r="BD7436" s="77"/>
      <c r="BF7436">
        <v>48.92</v>
      </c>
      <c r="BH7436" s="42"/>
      <c r="BI7436" s="74"/>
      <c r="BJ7436" s="77"/>
      <c r="BL7436" s="497">
        <v>50</v>
      </c>
      <c r="BN7436" s="42"/>
      <c r="BO7436" s="74"/>
      <c r="BP7436" s="77"/>
      <c r="BR7436" s="497">
        <v>23</v>
      </c>
      <c r="BT7436" s="42"/>
    </row>
    <row r="7437" spans="1:72" x14ac:dyDescent="0.25">
      <c r="A7437" s="90">
        <v>36836</v>
      </c>
      <c r="B7437" s="20">
        <v>0.125</v>
      </c>
      <c r="D7437">
        <v>60.980000000000004</v>
      </c>
      <c r="E7437" t="str">
        <f t="shared" si="266"/>
        <v>WEEKDAY</v>
      </c>
      <c r="F7437" t="e">
        <f t="shared" si="267"/>
        <v>#N/A</v>
      </c>
      <c r="G7437" s="74">
        <v>28800</v>
      </c>
      <c r="H7437" s="77">
        <v>0.125</v>
      </c>
      <c r="J7437">
        <v>51.08</v>
      </c>
      <c r="M7437" s="74">
        <v>36105</v>
      </c>
      <c r="N7437" s="77">
        <v>0.125</v>
      </c>
      <c r="P7437">
        <v>33.799999999999997</v>
      </c>
      <c r="S7437" s="74">
        <v>36836</v>
      </c>
      <c r="T7437" s="77">
        <v>0.125</v>
      </c>
      <c r="V7437">
        <v>42.08</v>
      </c>
      <c r="X7437" s="42"/>
      <c r="AB7437">
        <v>47.4</v>
      </c>
      <c r="AC7437">
        <v>60.08</v>
      </c>
      <c r="AE7437" s="74"/>
      <c r="AF7437" s="77"/>
      <c r="AH7437" s="497">
        <v>39.200000000000003</v>
      </c>
      <c r="AJ7437" s="42"/>
      <c r="AK7437" s="74"/>
      <c r="AL7437" s="77"/>
      <c r="AN7437" s="497">
        <v>46.94</v>
      </c>
      <c r="AP7437" s="42"/>
      <c r="AQ7437" s="74"/>
      <c r="AR7437" s="77"/>
      <c r="AT7437" s="497">
        <v>37.04</v>
      </c>
      <c r="AV7437" s="42"/>
      <c r="AW7437" s="74"/>
      <c r="AX7437" s="77"/>
      <c r="BA7437" s="497">
        <v>30.02</v>
      </c>
      <c r="BB7437" s="42"/>
      <c r="BC7437" s="74"/>
      <c r="BD7437" s="77"/>
      <c r="BF7437">
        <v>48.019999999999996</v>
      </c>
      <c r="BH7437" s="42"/>
      <c r="BI7437" s="74"/>
      <c r="BJ7437" s="77"/>
      <c r="BL7437" s="497">
        <v>48.92</v>
      </c>
      <c r="BN7437" s="42"/>
      <c r="BO7437" s="74"/>
      <c r="BP7437" s="77"/>
      <c r="BR7437" s="497">
        <v>23</v>
      </c>
      <c r="BT7437" s="42"/>
    </row>
    <row r="7438" spans="1:72" x14ac:dyDescent="0.25">
      <c r="A7438" s="90">
        <v>36836</v>
      </c>
      <c r="B7438" s="20">
        <v>0.16666666666666666</v>
      </c>
      <c r="D7438">
        <v>60.08</v>
      </c>
      <c r="E7438" t="str">
        <f t="shared" si="266"/>
        <v>WEEKDAY</v>
      </c>
      <c r="F7438" t="e">
        <f t="shared" si="267"/>
        <v>#N/A</v>
      </c>
      <c r="G7438" s="74">
        <v>28800</v>
      </c>
      <c r="H7438" s="77">
        <v>0.16666666666666666</v>
      </c>
      <c r="J7438">
        <v>50</v>
      </c>
      <c r="M7438" s="74">
        <v>36105</v>
      </c>
      <c r="N7438" s="77">
        <v>0.16666666666666666</v>
      </c>
      <c r="P7438">
        <v>33.799999999999997</v>
      </c>
      <c r="S7438" s="74">
        <v>36836</v>
      </c>
      <c r="T7438" s="77">
        <v>0.16666666666666666</v>
      </c>
      <c r="V7438">
        <v>41</v>
      </c>
      <c r="X7438" s="42"/>
      <c r="AB7438">
        <v>47</v>
      </c>
      <c r="AC7438">
        <v>59</v>
      </c>
      <c r="AE7438" s="74"/>
      <c r="AF7438" s="77"/>
      <c r="AH7438" s="497">
        <v>37.4</v>
      </c>
      <c r="AJ7438" s="42"/>
      <c r="AK7438" s="74"/>
      <c r="AL7438" s="77"/>
      <c r="AN7438" s="497">
        <v>46.94</v>
      </c>
      <c r="AP7438" s="42"/>
      <c r="AQ7438" s="74"/>
      <c r="AR7438" s="77"/>
      <c r="AT7438" s="497">
        <v>37.94</v>
      </c>
      <c r="AV7438" s="42"/>
      <c r="AW7438" s="74"/>
      <c r="AX7438" s="77"/>
      <c r="BA7438" s="497">
        <v>28.94</v>
      </c>
      <c r="BB7438" s="42"/>
      <c r="BC7438" s="74"/>
      <c r="BD7438" s="77"/>
      <c r="BF7438">
        <v>48.019999999999996</v>
      </c>
      <c r="BH7438" s="42"/>
      <c r="BI7438" s="74"/>
      <c r="BJ7438" s="77"/>
      <c r="BL7438" s="497">
        <v>48.019999999999996</v>
      </c>
      <c r="BN7438" s="42"/>
      <c r="BO7438" s="74"/>
      <c r="BP7438" s="77"/>
      <c r="BR7438" s="497">
        <v>21.02</v>
      </c>
      <c r="BT7438" s="42"/>
    </row>
    <row r="7439" spans="1:72" x14ac:dyDescent="0.25">
      <c r="A7439" s="90">
        <v>36836</v>
      </c>
      <c r="B7439" s="20">
        <v>0.20833333333333334</v>
      </c>
      <c r="D7439">
        <v>59</v>
      </c>
      <c r="E7439" t="str">
        <f t="shared" si="266"/>
        <v>WEEKDAY</v>
      </c>
      <c r="F7439" t="e">
        <f t="shared" si="267"/>
        <v>#N/A</v>
      </c>
      <c r="G7439" s="74">
        <v>28800</v>
      </c>
      <c r="H7439" s="77">
        <v>0.20833333333333334</v>
      </c>
      <c r="J7439">
        <v>51.08</v>
      </c>
      <c r="M7439" s="74">
        <v>36105</v>
      </c>
      <c r="N7439" s="77">
        <v>0.20833333333333334</v>
      </c>
      <c r="P7439">
        <v>33.799999999999997</v>
      </c>
      <c r="S7439" s="74">
        <v>36836</v>
      </c>
      <c r="T7439" s="77">
        <v>0.20833333333333334</v>
      </c>
      <c r="V7439">
        <v>41</v>
      </c>
      <c r="X7439" s="42"/>
      <c r="AB7439">
        <v>46.5</v>
      </c>
      <c r="AC7439">
        <v>57.92</v>
      </c>
      <c r="AE7439" s="74"/>
      <c r="AF7439" s="77"/>
      <c r="AH7439" s="497">
        <v>33.799999999999997</v>
      </c>
      <c r="AJ7439" s="42"/>
      <c r="AK7439" s="74"/>
      <c r="AL7439" s="77"/>
      <c r="AN7439" s="497">
        <v>46.04</v>
      </c>
      <c r="AP7439" s="42"/>
      <c r="AQ7439" s="74"/>
      <c r="AR7439" s="77"/>
      <c r="AT7439" s="497">
        <v>37.94</v>
      </c>
      <c r="AV7439" s="42"/>
      <c r="AW7439" s="74"/>
      <c r="AX7439" s="77"/>
      <c r="BA7439" s="497">
        <v>28.04</v>
      </c>
      <c r="BB7439" s="42"/>
      <c r="BC7439" s="74"/>
      <c r="BD7439" s="77"/>
      <c r="BF7439">
        <v>48.019999999999996</v>
      </c>
      <c r="BH7439" s="42"/>
      <c r="BI7439" s="74"/>
      <c r="BJ7439" s="77"/>
      <c r="BL7439" s="497">
        <v>46.94</v>
      </c>
      <c r="BN7439" s="42"/>
      <c r="BO7439" s="74"/>
      <c r="BP7439" s="77"/>
      <c r="BR7439" s="497">
        <v>21.02</v>
      </c>
      <c r="BT7439" s="42"/>
    </row>
    <row r="7440" spans="1:72" x14ac:dyDescent="0.25">
      <c r="A7440" s="90">
        <v>36836</v>
      </c>
      <c r="B7440" s="20">
        <v>0.25</v>
      </c>
      <c r="D7440">
        <v>57.92</v>
      </c>
      <c r="E7440" t="str">
        <f t="shared" si="266"/>
        <v>WEEKDAY</v>
      </c>
      <c r="F7440" t="e">
        <f t="shared" si="267"/>
        <v>#N/A</v>
      </c>
      <c r="G7440" s="74">
        <v>28800</v>
      </c>
      <c r="H7440" s="77">
        <v>0.25</v>
      </c>
      <c r="J7440">
        <v>50</v>
      </c>
      <c r="M7440" s="74">
        <v>36105</v>
      </c>
      <c r="N7440" s="77">
        <v>0.25</v>
      </c>
      <c r="P7440">
        <v>32</v>
      </c>
      <c r="S7440" s="74">
        <v>36836</v>
      </c>
      <c r="T7440" s="77">
        <v>0.25</v>
      </c>
      <c r="V7440">
        <v>41</v>
      </c>
      <c r="X7440" s="42"/>
      <c r="AB7440">
        <v>46.2</v>
      </c>
      <c r="AC7440">
        <v>57.019999999999996</v>
      </c>
      <c r="AE7440" s="74"/>
      <c r="AF7440" s="77"/>
      <c r="AH7440" s="497">
        <v>33.799999999999997</v>
      </c>
      <c r="AJ7440" s="42"/>
      <c r="AK7440" s="74"/>
      <c r="AL7440" s="77"/>
      <c r="AN7440" s="497">
        <v>44.96</v>
      </c>
      <c r="AP7440" s="42"/>
      <c r="AQ7440" s="74"/>
      <c r="AR7440" s="77"/>
      <c r="AT7440" s="497">
        <v>37.94</v>
      </c>
      <c r="AV7440" s="42"/>
      <c r="AW7440" s="74"/>
      <c r="AX7440" s="77"/>
      <c r="BA7440" s="497">
        <v>28.04</v>
      </c>
      <c r="BB7440" s="42"/>
      <c r="BC7440" s="74"/>
      <c r="BD7440" s="77"/>
      <c r="BF7440">
        <v>48.019999999999996</v>
      </c>
      <c r="BH7440" s="42"/>
      <c r="BI7440" s="74"/>
      <c r="BJ7440" s="77"/>
      <c r="BL7440" s="497">
        <v>48.019999999999996</v>
      </c>
      <c r="BN7440" s="42"/>
      <c r="BO7440" s="74"/>
      <c r="BP7440" s="77"/>
      <c r="BR7440" s="497">
        <v>19.939999999999998</v>
      </c>
      <c r="BT7440" s="42"/>
    </row>
    <row r="7441" spans="1:72" x14ac:dyDescent="0.25">
      <c r="A7441" s="90">
        <v>36836</v>
      </c>
      <c r="B7441" s="20">
        <v>0.29166666666666669</v>
      </c>
      <c r="D7441">
        <v>60.08</v>
      </c>
      <c r="E7441" t="str">
        <f t="shared" si="266"/>
        <v>WEEKDAY</v>
      </c>
      <c r="F7441" t="e">
        <f t="shared" si="267"/>
        <v>#N/A</v>
      </c>
      <c r="G7441" s="74">
        <v>28800</v>
      </c>
      <c r="H7441" s="77">
        <v>0.29166666666666669</v>
      </c>
      <c r="J7441">
        <v>48.92</v>
      </c>
      <c r="M7441" s="74">
        <v>36105</v>
      </c>
      <c r="N7441" s="77">
        <v>0.29166666666666669</v>
      </c>
      <c r="P7441">
        <v>32</v>
      </c>
      <c r="S7441" s="74">
        <v>36836</v>
      </c>
      <c r="T7441" s="77">
        <v>0.29166666666666669</v>
      </c>
      <c r="V7441">
        <v>41</v>
      </c>
      <c r="X7441" s="42"/>
      <c r="AB7441">
        <v>46.1</v>
      </c>
      <c r="AC7441">
        <v>57.019999999999996</v>
      </c>
      <c r="AE7441" s="74"/>
      <c r="AF7441" s="77"/>
      <c r="AH7441" s="497">
        <v>39.200000000000003</v>
      </c>
      <c r="AJ7441" s="42"/>
      <c r="AK7441" s="74"/>
      <c r="AL7441" s="77"/>
      <c r="AN7441" s="497">
        <v>44.96</v>
      </c>
      <c r="AP7441" s="42"/>
      <c r="AQ7441" s="74"/>
      <c r="AR7441" s="77"/>
      <c r="AT7441" s="497">
        <v>39.019999999999996</v>
      </c>
      <c r="AV7441" s="42"/>
      <c r="AW7441" s="74"/>
      <c r="AX7441" s="77"/>
      <c r="BA7441" s="497">
        <v>26.96</v>
      </c>
      <c r="BB7441" s="42"/>
      <c r="BC7441" s="74"/>
      <c r="BD7441" s="77"/>
      <c r="BF7441">
        <v>48.019999999999996</v>
      </c>
      <c r="BH7441" s="42"/>
      <c r="BI7441" s="74"/>
      <c r="BJ7441" s="77"/>
      <c r="BL7441" s="497">
        <v>48.019999999999996</v>
      </c>
      <c r="BN7441" s="42"/>
      <c r="BO7441" s="74"/>
      <c r="BP7441" s="77"/>
      <c r="BR7441" s="497">
        <v>19.939999999999998</v>
      </c>
      <c r="BT7441" s="42"/>
    </row>
    <row r="7442" spans="1:72" x14ac:dyDescent="0.25">
      <c r="A7442" s="90">
        <v>36836</v>
      </c>
      <c r="B7442" s="20">
        <v>0.33333333333333331</v>
      </c>
      <c r="D7442">
        <v>62.06</v>
      </c>
      <c r="E7442" t="str">
        <f t="shared" si="266"/>
        <v>WEEKDAY</v>
      </c>
      <c r="F7442" t="e">
        <f t="shared" si="267"/>
        <v>#N/A</v>
      </c>
      <c r="G7442" s="74">
        <v>28800</v>
      </c>
      <c r="H7442" s="77">
        <v>0.33333333333333331</v>
      </c>
      <c r="J7442">
        <v>53.06</v>
      </c>
      <c r="M7442" s="74">
        <v>36105</v>
      </c>
      <c r="N7442" s="77">
        <v>0.33333333333333331</v>
      </c>
      <c r="P7442">
        <v>33.799999999999997</v>
      </c>
      <c r="S7442" s="74">
        <v>36836</v>
      </c>
      <c r="T7442" s="77">
        <v>0.33333333333333331</v>
      </c>
      <c r="V7442">
        <v>42.980000000000004</v>
      </c>
      <c r="X7442" s="42"/>
      <c r="AB7442">
        <v>46.2</v>
      </c>
      <c r="AC7442">
        <v>59</v>
      </c>
      <c r="AE7442" s="74"/>
      <c r="AF7442" s="77"/>
      <c r="AH7442" s="497">
        <v>42.8</v>
      </c>
      <c r="AJ7442" s="42"/>
      <c r="AK7442" s="74"/>
      <c r="AL7442" s="77"/>
      <c r="AN7442" s="497">
        <v>46.04</v>
      </c>
      <c r="AP7442" s="42"/>
      <c r="AQ7442" s="74"/>
      <c r="AR7442" s="77"/>
      <c r="AT7442" s="497">
        <v>39.019999999999996</v>
      </c>
      <c r="AV7442" s="42"/>
      <c r="AW7442" s="74"/>
      <c r="AX7442" s="77"/>
      <c r="BA7442" s="497">
        <v>26.96</v>
      </c>
      <c r="BB7442" s="42"/>
      <c r="BC7442" s="74"/>
      <c r="BD7442" s="77"/>
      <c r="BF7442">
        <v>46.94</v>
      </c>
      <c r="BH7442" s="42"/>
      <c r="BI7442" s="74"/>
      <c r="BJ7442" s="77"/>
      <c r="BL7442" s="497">
        <v>50</v>
      </c>
      <c r="BN7442" s="42"/>
      <c r="BO7442" s="74"/>
      <c r="BP7442" s="77"/>
      <c r="BR7442" s="497">
        <v>21.92</v>
      </c>
      <c r="BT7442" s="42"/>
    </row>
    <row r="7443" spans="1:72" x14ac:dyDescent="0.25">
      <c r="A7443" s="90">
        <v>36836</v>
      </c>
      <c r="B7443" s="20">
        <v>0.375</v>
      </c>
      <c r="D7443">
        <v>66.02</v>
      </c>
      <c r="E7443" t="str">
        <f t="shared" ref="E7443:E7506" si="268">IF(COUNTIF($DI$18:$DI$22, WEEKDAY(A7443))=1, "WEEKDAY", IF(WEEKDAY(A7443) = 1, "SUNDAY", "SATURDAY"))</f>
        <v>WEEKDAY</v>
      </c>
      <c r="F7443" t="e">
        <f t="shared" si="267"/>
        <v>#N/A</v>
      </c>
      <c r="G7443" s="74">
        <v>28800</v>
      </c>
      <c r="H7443" s="77">
        <v>0.375</v>
      </c>
      <c r="J7443">
        <v>55.94</v>
      </c>
      <c r="M7443" s="74">
        <v>36105</v>
      </c>
      <c r="N7443" s="77">
        <v>0.375</v>
      </c>
      <c r="P7443">
        <v>37.4</v>
      </c>
      <c r="S7443" s="74">
        <v>36836</v>
      </c>
      <c r="T7443" s="77">
        <v>0.375</v>
      </c>
      <c r="V7443">
        <v>46.04</v>
      </c>
      <c r="X7443" s="42"/>
      <c r="AB7443">
        <v>48.2</v>
      </c>
      <c r="AC7443">
        <v>59</v>
      </c>
      <c r="AE7443" s="74"/>
      <c r="AF7443" s="77"/>
      <c r="AH7443" s="497">
        <v>46.4</v>
      </c>
      <c r="AJ7443" s="42"/>
      <c r="AK7443" s="74"/>
      <c r="AL7443" s="77"/>
      <c r="AN7443" s="497">
        <v>48.019999999999996</v>
      </c>
      <c r="AP7443" s="42"/>
      <c r="AQ7443" s="74"/>
      <c r="AR7443" s="77"/>
      <c r="AT7443" s="497">
        <v>42.08</v>
      </c>
      <c r="AV7443" s="42"/>
      <c r="AW7443" s="74"/>
      <c r="AX7443" s="77"/>
      <c r="BA7443" s="497">
        <v>28.04</v>
      </c>
      <c r="BB7443" s="42"/>
      <c r="BC7443" s="74"/>
      <c r="BD7443" s="77"/>
      <c r="BF7443">
        <v>44.96</v>
      </c>
      <c r="BH7443" s="42"/>
      <c r="BI7443" s="74"/>
      <c r="BJ7443" s="77"/>
      <c r="BL7443" s="497">
        <v>50</v>
      </c>
      <c r="BN7443" s="42"/>
      <c r="BO7443" s="74"/>
      <c r="BP7443" s="77"/>
      <c r="BR7443" s="497">
        <v>24.08</v>
      </c>
      <c r="BT7443" s="42"/>
    </row>
    <row r="7444" spans="1:72" x14ac:dyDescent="0.25">
      <c r="A7444" s="90">
        <v>36836</v>
      </c>
      <c r="B7444" s="20">
        <v>0.41666666666666669</v>
      </c>
      <c r="D7444">
        <v>66.02</v>
      </c>
      <c r="E7444" t="str">
        <f t="shared" si="268"/>
        <v>WEEKDAY</v>
      </c>
      <c r="F7444" t="e">
        <f t="shared" si="267"/>
        <v>#N/A</v>
      </c>
      <c r="G7444" s="74">
        <v>28800</v>
      </c>
      <c r="H7444" s="77">
        <v>0.41666666666666669</v>
      </c>
      <c r="J7444">
        <v>60.08</v>
      </c>
      <c r="M7444" s="74">
        <v>36105</v>
      </c>
      <c r="N7444" s="77">
        <v>0.41666666666666669</v>
      </c>
      <c r="P7444">
        <v>39.200000000000003</v>
      </c>
      <c r="S7444" s="74">
        <v>36836</v>
      </c>
      <c r="T7444" s="77">
        <v>0.41666666666666669</v>
      </c>
      <c r="V7444">
        <v>48.019999999999996</v>
      </c>
      <c r="X7444" s="42"/>
      <c r="AB7444">
        <v>50.3</v>
      </c>
      <c r="AC7444">
        <v>57.019999999999996</v>
      </c>
      <c r="AE7444" s="74"/>
      <c r="AF7444" s="77"/>
      <c r="AH7444" s="497">
        <v>48.2</v>
      </c>
      <c r="AJ7444" s="42"/>
      <c r="AK7444" s="74"/>
      <c r="AL7444" s="77"/>
      <c r="AN7444" s="497">
        <v>50</v>
      </c>
      <c r="AP7444" s="42"/>
      <c r="AQ7444" s="74"/>
      <c r="AR7444" s="77"/>
      <c r="AT7444" s="497">
        <v>46.04</v>
      </c>
      <c r="AV7444" s="42"/>
      <c r="AW7444" s="74"/>
      <c r="AX7444" s="77"/>
      <c r="BA7444" s="497">
        <v>26.060000000000002</v>
      </c>
      <c r="BB7444" s="42"/>
      <c r="BC7444" s="74"/>
      <c r="BD7444" s="77"/>
      <c r="BF7444">
        <v>46.04</v>
      </c>
      <c r="BH7444" s="42"/>
      <c r="BI7444" s="74"/>
      <c r="BJ7444" s="77"/>
      <c r="BL7444" s="497">
        <v>51.08</v>
      </c>
      <c r="BN7444" s="42"/>
      <c r="BO7444" s="74"/>
      <c r="BP7444" s="77"/>
      <c r="BR7444" s="497">
        <v>24.98</v>
      </c>
      <c r="BT7444" s="42"/>
    </row>
    <row r="7445" spans="1:72" x14ac:dyDescent="0.25">
      <c r="A7445" s="90">
        <v>36836</v>
      </c>
      <c r="B7445" s="20">
        <v>0.45833333333333331</v>
      </c>
      <c r="D7445">
        <v>66.92</v>
      </c>
      <c r="E7445" t="str">
        <f t="shared" si="268"/>
        <v>WEEKDAY</v>
      </c>
      <c r="F7445" t="e">
        <f t="shared" si="267"/>
        <v>#N/A</v>
      </c>
      <c r="G7445" s="74">
        <v>28800</v>
      </c>
      <c r="H7445" s="77">
        <v>0.45833333333333331</v>
      </c>
      <c r="J7445">
        <v>62.96</v>
      </c>
      <c r="M7445" s="74">
        <v>36105</v>
      </c>
      <c r="N7445" s="77">
        <v>0.45833333333333331</v>
      </c>
      <c r="P7445">
        <v>41</v>
      </c>
      <c r="S7445" s="74">
        <v>36836</v>
      </c>
      <c r="T7445" s="77">
        <v>0.45833333333333331</v>
      </c>
      <c r="V7445">
        <v>51.08</v>
      </c>
      <c r="X7445" s="42"/>
      <c r="AB7445">
        <v>51.9</v>
      </c>
      <c r="AC7445">
        <v>57.92</v>
      </c>
      <c r="AE7445" s="74"/>
      <c r="AF7445" s="77"/>
      <c r="AH7445" s="497">
        <v>50</v>
      </c>
      <c r="AJ7445" s="42"/>
      <c r="AK7445" s="74"/>
      <c r="AL7445" s="77"/>
      <c r="AN7445" s="497">
        <v>51.08</v>
      </c>
      <c r="AP7445" s="42"/>
      <c r="AQ7445" s="74"/>
      <c r="AR7445" s="77"/>
      <c r="AT7445" s="497">
        <v>50</v>
      </c>
      <c r="AV7445" s="42"/>
      <c r="AW7445" s="74"/>
      <c r="AX7445" s="77"/>
      <c r="BA7445" s="497">
        <v>28.04</v>
      </c>
      <c r="BB7445" s="42"/>
      <c r="BC7445" s="74"/>
      <c r="BD7445" s="77"/>
      <c r="BF7445">
        <v>48.019999999999996</v>
      </c>
      <c r="BH7445" s="42"/>
      <c r="BI7445" s="74"/>
      <c r="BJ7445" s="77"/>
      <c r="BL7445" s="497">
        <v>53.96</v>
      </c>
      <c r="BN7445" s="42"/>
      <c r="BO7445" s="74"/>
      <c r="BP7445" s="77"/>
      <c r="BR7445" s="497">
        <v>24.08</v>
      </c>
      <c r="BT7445" s="42"/>
    </row>
    <row r="7446" spans="1:72" x14ac:dyDescent="0.25">
      <c r="A7446" s="90">
        <v>36836</v>
      </c>
      <c r="B7446" s="20">
        <v>0.5</v>
      </c>
      <c r="D7446">
        <v>68</v>
      </c>
      <c r="E7446" t="str">
        <f t="shared" si="268"/>
        <v>WEEKDAY</v>
      </c>
      <c r="F7446" t="e">
        <f t="shared" si="267"/>
        <v>#N/A</v>
      </c>
      <c r="G7446" s="74">
        <v>28800</v>
      </c>
      <c r="H7446" s="77">
        <v>0.5</v>
      </c>
      <c r="J7446">
        <v>64.94</v>
      </c>
      <c r="M7446" s="74">
        <v>36105</v>
      </c>
      <c r="N7446" s="77">
        <v>0.5</v>
      </c>
      <c r="P7446">
        <v>42.8</v>
      </c>
      <c r="S7446" s="74">
        <v>36836</v>
      </c>
      <c r="T7446" s="77">
        <v>0.5</v>
      </c>
      <c r="V7446">
        <v>53.06</v>
      </c>
      <c r="X7446" s="42"/>
      <c r="AB7446">
        <v>53.3</v>
      </c>
      <c r="AC7446">
        <v>57.019999999999996</v>
      </c>
      <c r="AE7446" s="74"/>
      <c r="AF7446" s="77"/>
      <c r="AH7446" s="497">
        <v>51.8</v>
      </c>
      <c r="AJ7446" s="42"/>
      <c r="AK7446" s="74"/>
      <c r="AL7446" s="77"/>
      <c r="AN7446" s="497">
        <v>51.980000000000004</v>
      </c>
      <c r="AP7446" s="42"/>
      <c r="AQ7446" s="74"/>
      <c r="AR7446" s="77"/>
      <c r="AT7446" s="497">
        <v>53.06</v>
      </c>
      <c r="AV7446" s="42"/>
      <c r="AW7446" s="74"/>
      <c r="AX7446" s="77"/>
      <c r="BA7446" s="497">
        <v>30.92</v>
      </c>
      <c r="BB7446" s="42"/>
      <c r="BC7446" s="74"/>
      <c r="BD7446" s="77"/>
      <c r="BF7446">
        <v>48.019999999999996</v>
      </c>
      <c r="BH7446" s="42"/>
      <c r="BI7446" s="74"/>
      <c r="BJ7446" s="77"/>
      <c r="BL7446" s="497">
        <v>53.06</v>
      </c>
      <c r="BN7446" s="42"/>
      <c r="BO7446" s="74"/>
      <c r="BP7446" s="77"/>
      <c r="BR7446" s="497">
        <v>24.98</v>
      </c>
      <c r="BT7446" s="42"/>
    </row>
    <row r="7447" spans="1:72" x14ac:dyDescent="0.25">
      <c r="A7447" s="90">
        <v>36836</v>
      </c>
      <c r="B7447" s="20">
        <v>0.54166666666666663</v>
      </c>
      <c r="D7447">
        <v>66.92</v>
      </c>
      <c r="E7447" t="str">
        <f t="shared" si="268"/>
        <v>WEEKDAY</v>
      </c>
      <c r="F7447" t="e">
        <f t="shared" si="267"/>
        <v>#N/A</v>
      </c>
      <c r="G7447" s="74">
        <v>28800</v>
      </c>
      <c r="H7447" s="77">
        <v>0.54166666666666663</v>
      </c>
      <c r="J7447">
        <v>66.02</v>
      </c>
      <c r="M7447" s="74">
        <v>36105</v>
      </c>
      <c r="N7447" s="77">
        <v>0.54166666666666663</v>
      </c>
      <c r="P7447">
        <v>44.6</v>
      </c>
      <c r="S7447" s="74">
        <v>36836</v>
      </c>
      <c r="T7447" s="77">
        <v>0.54166666666666663</v>
      </c>
      <c r="V7447">
        <v>55.040000000000006</v>
      </c>
      <c r="X7447" s="42"/>
      <c r="AB7447">
        <v>54.3</v>
      </c>
      <c r="AC7447">
        <v>57.019999999999996</v>
      </c>
      <c r="AE7447" s="74"/>
      <c r="AF7447" s="77"/>
      <c r="AH7447" s="497">
        <v>53.6</v>
      </c>
      <c r="AJ7447" s="42"/>
      <c r="AK7447" s="74"/>
      <c r="AL7447" s="77"/>
      <c r="AN7447" s="497">
        <v>51.08</v>
      </c>
      <c r="AP7447" s="42"/>
      <c r="AQ7447" s="74"/>
      <c r="AR7447" s="77"/>
      <c r="AT7447" s="497">
        <v>53.96</v>
      </c>
      <c r="AV7447" s="42"/>
      <c r="AW7447" s="74"/>
      <c r="AX7447" s="77"/>
      <c r="BA7447" s="497">
        <v>30.92</v>
      </c>
      <c r="BB7447" s="42"/>
      <c r="BC7447" s="74"/>
      <c r="BD7447" s="77"/>
      <c r="BF7447">
        <v>48.019999999999996</v>
      </c>
      <c r="BH7447" s="42"/>
      <c r="BI7447" s="74"/>
      <c r="BJ7447" s="77"/>
      <c r="BL7447" s="497">
        <v>53.06</v>
      </c>
      <c r="BN7447" s="42"/>
      <c r="BO7447" s="74"/>
      <c r="BP7447" s="77"/>
      <c r="BR7447" s="497">
        <v>26.060000000000002</v>
      </c>
      <c r="BT7447" s="42"/>
    </row>
    <row r="7448" spans="1:72" x14ac:dyDescent="0.25">
      <c r="A7448" s="90">
        <v>36836</v>
      </c>
      <c r="B7448" s="20">
        <v>0.58333333333333337</v>
      </c>
      <c r="D7448">
        <v>69.080000000000013</v>
      </c>
      <c r="E7448" t="str">
        <f t="shared" si="268"/>
        <v>WEEKDAY</v>
      </c>
      <c r="F7448" t="e">
        <f t="shared" si="267"/>
        <v>#N/A</v>
      </c>
      <c r="G7448" s="74">
        <v>28800</v>
      </c>
      <c r="H7448" s="77">
        <v>0.58333333333333337</v>
      </c>
      <c r="J7448">
        <v>66.92</v>
      </c>
      <c r="M7448" s="74">
        <v>36105</v>
      </c>
      <c r="N7448" s="77">
        <v>0.58333333333333337</v>
      </c>
      <c r="P7448">
        <v>44.6</v>
      </c>
      <c r="S7448" s="74">
        <v>36836</v>
      </c>
      <c r="T7448" s="77">
        <v>0.58333333333333337</v>
      </c>
      <c r="V7448">
        <v>57.019999999999996</v>
      </c>
      <c r="X7448" s="42"/>
      <c r="AB7448">
        <v>54.9</v>
      </c>
      <c r="AC7448">
        <v>57.019999999999996</v>
      </c>
      <c r="AE7448" s="74"/>
      <c r="AF7448" s="77"/>
      <c r="AH7448" s="497">
        <v>53.6</v>
      </c>
      <c r="AJ7448" s="42"/>
      <c r="AK7448" s="74"/>
      <c r="AL7448" s="77"/>
      <c r="AN7448" s="497">
        <v>51.08</v>
      </c>
      <c r="AP7448" s="42"/>
      <c r="AQ7448" s="74"/>
      <c r="AR7448" s="77"/>
      <c r="AT7448" s="497">
        <v>57.019999999999996</v>
      </c>
      <c r="AV7448" s="42"/>
      <c r="AW7448" s="74"/>
      <c r="AX7448" s="77"/>
      <c r="BA7448" s="497">
        <v>32</v>
      </c>
      <c r="BB7448" s="42"/>
      <c r="BC7448" s="74"/>
      <c r="BD7448" s="77"/>
      <c r="BF7448">
        <v>42.08</v>
      </c>
      <c r="BH7448" s="42"/>
      <c r="BI7448" s="74"/>
      <c r="BJ7448" s="77"/>
      <c r="BL7448" s="497">
        <v>53.96</v>
      </c>
      <c r="BN7448" s="42"/>
      <c r="BO7448" s="74"/>
      <c r="BP7448" s="77"/>
      <c r="BR7448" s="497">
        <v>26.060000000000002</v>
      </c>
      <c r="BT7448" s="42"/>
    </row>
    <row r="7449" spans="1:72" x14ac:dyDescent="0.25">
      <c r="A7449" s="90">
        <v>36836</v>
      </c>
      <c r="B7449" s="20">
        <v>0.625</v>
      </c>
      <c r="D7449">
        <v>68</v>
      </c>
      <c r="E7449" t="str">
        <f t="shared" si="268"/>
        <v>WEEKDAY</v>
      </c>
      <c r="F7449" t="e">
        <f t="shared" si="267"/>
        <v>#N/A</v>
      </c>
      <c r="G7449" s="74">
        <v>28800</v>
      </c>
      <c r="H7449" s="77">
        <v>0.625</v>
      </c>
      <c r="J7449">
        <v>64.039999999999992</v>
      </c>
      <c r="M7449" s="74">
        <v>36105</v>
      </c>
      <c r="N7449" s="77">
        <v>0.625</v>
      </c>
      <c r="P7449">
        <v>44.6</v>
      </c>
      <c r="S7449" s="74">
        <v>36836</v>
      </c>
      <c r="T7449" s="77">
        <v>0.625</v>
      </c>
      <c r="V7449">
        <v>55.94</v>
      </c>
      <c r="X7449" s="42"/>
      <c r="AB7449">
        <v>55.3</v>
      </c>
      <c r="AC7449">
        <v>53.96</v>
      </c>
      <c r="AE7449" s="74"/>
      <c r="AF7449" s="77"/>
      <c r="AH7449" s="497">
        <v>53.6</v>
      </c>
      <c r="AJ7449" s="42"/>
      <c r="AK7449" s="74"/>
      <c r="AL7449" s="77"/>
      <c r="AN7449" s="497">
        <v>51.980000000000004</v>
      </c>
      <c r="AP7449" s="42"/>
      <c r="AQ7449" s="74"/>
      <c r="AR7449" s="77"/>
      <c r="AT7449" s="497">
        <v>57.019999999999996</v>
      </c>
      <c r="AV7449" s="42"/>
      <c r="AW7449" s="74"/>
      <c r="AX7449" s="77"/>
      <c r="BA7449" s="497">
        <v>32</v>
      </c>
      <c r="BB7449" s="42"/>
      <c r="BC7449" s="74"/>
      <c r="BD7449" s="77"/>
      <c r="BF7449">
        <v>42.08</v>
      </c>
      <c r="BH7449" s="42"/>
      <c r="BI7449" s="74"/>
      <c r="BJ7449" s="77"/>
      <c r="BL7449" s="497">
        <v>48.92</v>
      </c>
      <c r="BN7449" s="42"/>
      <c r="BO7449" s="74"/>
      <c r="BP7449" s="77"/>
      <c r="BR7449" s="497">
        <v>26.060000000000002</v>
      </c>
      <c r="BT7449" s="42"/>
    </row>
    <row r="7450" spans="1:72" x14ac:dyDescent="0.25">
      <c r="A7450" s="90">
        <v>36836</v>
      </c>
      <c r="B7450" s="20">
        <v>0.66666666666666663</v>
      </c>
      <c r="D7450">
        <v>68</v>
      </c>
      <c r="E7450" t="str">
        <f t="shared" si="268"/>
        <v>WEEKDAY</v>
      </c>
      <c r="F7450" t="e">
        <f t="shared" si="267"/>
        <v>#N/A</v>
      </c>
      <c r="G7450" s="74">
        <v>28800</v>
      </c>
      <c r="H7450" s="77">
        <v>0.66666666666666663</v>
      </c>
      <c r="J7450">
        <v>62.06</v>
      </c>
      <c r="M7450" s="74">
        <v>36105</v>
      </c>
      <c r="N7450" s="77">
        <v>0.66666666666666663</v>
      </c>
      <c r="P7450">
        <v>44.6</v>
      </c>
      <c r="S7450" s="74">
        <v>36836</v>
      </c>
      <c r="T7450" s="77">
        <v>0.66666666666666663</v>
      </c>
      <c r="V7450">
        <v>55.94</v>
      </c>
      <c r="X7450" s="42"/>
      <c r="AB7450">
        <v>54.9</v>
      </c>
      <c r="AC7450">
        <v>53.96</v>
      </c>
      <c r="AE7450" s="74"/>
      <c r="AF7450" s="77"/>
      <c r="AH7450" s="497">
        <v>51.8</v>
      </c>
      <c r="AJ7450" s="42"/>
      <c r="AK7450" s="74"/>
      <c r="AL7450" s="77"/>
      <c r="AN7450" s="497">
        <v>51.980000000000004</v>
      </c>
      <c r="AP7450" s="42"/>
      <c r="AQ7450" s="74"/>
      <c r="AR7450" s="77"/>
      <c r="AT7450" s="497">
        <v>55.94</v>
      </c>
      <c r="AV7450" s="42"/>
      <c r="AW7450" s="74"/>
      <c r="AX7450" s="77"/>
      <c r="BA7450" s="497">
        <v>30.92</v>
      </c>
      <c r="BB7450" s="42"/>
      <c r="BC7450" s="74"/>
      <c r="BD7450" s="77"/>
      <c r="BF7450">
        <v>42.08</v>
      </c>
      <c r="BH7450" s="42"/>
      <c r="BI7450" s="74"/>
      <c r="BJ7450" s="77"/>
      <c r="BL7450" s="497">
        <v>46.94</v>
      </c>
      <c r="BN7450" s="42"/>
      <c r="BO7450" s="74"/>
      <c r="BP7450" s="77"/>
      <c r="BR7450" s="497">
        <v>26.96</v>
      </c>
      <c r="BT7450" s="42"/>
    </row>
    <row r="7451" spans="1:72" x14ac:dyDescent="0.25">
      <c r="A7451" s="90">
        <v>36836</v>
      </c>
      <c r="B7451" s="20">
        <v>0.70833333333333337</v>
      </c>
      <c r="D7451">
        <v>66.92</v>
      </c>
      <c r="E7451" t="str">
        <f t="shared" si="268"/>
        <v>WEEKDAY</v>
      </c>
      <c r="F7451" t="e">
        <f t="shared" si="267"/>
        <v>#N/A</v>
      </c>
      <c r="G7451" s="74">
        <v>28800</v>
      </c>
      <c r="H7451" s="77">
        <v>0.70833333333333337</v>
      </c>
      <c r="J7451">
        <v>59</v>
      </c>
      <c r="M7451" s="74">
        <v>36105</v>
      </c>
      <c r="N7451" s="77">
        <v>0.70833333333333337</v>
      </c>
      <c r="P7451">
        <v>44.6</v>
      </c>
      <c r="S7451" s="74">
        <v>36836</v>
      </c>
      <c r="T7451" s="77">
        <v>0.70833333333333337</v>
      </c>
      <c r="V7451">
        <v>53.06</v>
      </c>
      <c r="X7451" s="42"/>
      <c r="AB7451">
        <v>53.9</v>
      </c>
      <c r="AC7451">
        <v>53.96</v>
      </c>
      <c r="AE7451" s="74"/>
      <c r="AF7451" s="77"/>
      <c r="AH7451" s="497">
        <v>48.2</v>
      </c>
      <c r="AJ7451" s="42"/>
      <c r="AK7451" s="74"/>
      <c r="AL7451" s="77"/>
      <c r="AN7451" s="497">
        <v>51.08</v>
      </c>
      <c r="AP7451" s="42"/>
      <c r="AQ7451" s="74"/>
      <c r="AR7451" s="77"/>
      <c r="AT7451" s="497">
        <v>51.980000000000004</v>
      </c>
      <c r="AV7451" s="42"/>
      <c r="AW7451" s="74"/>
      <c r="AX7451" s="77"/>
      <c r="BA7451" s="497">
        <v>30.02</v>
      </c>
      <c r="BB7451" s="42"/>
      <c r="BC7451" s="74"/>
      <c r="BD7451" s="77"/>
      <c r="BF7451">
        <v>42.980000000000004</v>
      </c>
      <c r="BH7451" s="42"/>
      <c r="BI7451" s="74"/>
      <c r="BJ7451" s="77"/>
      <c r="BL7451" s="497">
        <v>42.980000000000004</v>
      </c>
      <c r="BN7451" s="42"/>
      <c r="BO7451" s="74"/>
      <c r="BP7451" s="77"/>
      <c r="BR7451" s="497">
        <v>26.060000000000002</v>
      </c>
      <c r="BT7451" s="42"/>
    </row>
    <row r="7452" spans="1:72" x14ac:dyDescent="0.25">
      <c r="A7452" s="90">
        <v>36836</v>
      </c>
      <c r="B7452" s="20">
        <v>0.75</v>
      </c>
      <c r="D7452">
        <v>66.92</v>
      </c>
      <c r="E7452" t="str">
        <f t="shared" si="268"/>
        <v>WEEKDAY</v>
      </c>
      <c r="F7452" t="e">
        <f t="shared" si="267"/>
        <v>#N/A</v>
      </c>
      <c r="G7452" s="74">
        <v>28800</v>
      </c>
      <c r="H7452" s="77">
        <v>0.75</v>
      </c>
      <c r="J7452">
        <v>57.92</v>
      </c>
      <c r="M7452" s="74">
        <v>36105</v>
      </c>
      <c r="N7452" s="77">
        <v>0.75</v>
      </c>
      <c r="P7452">
        <v>39.200000000000003</v>
      </c>
      <c r="S7452" s="74">
        <v>36836</v>
      </c>
      <c r="T7452" s="77">
        <v>0.75</v>
      </c>
      <c r="V7452">
        <v>51.980000000000004</v>
      </c>
      <c r="X7452" s="42"/>
      <c r="AB7452">
        <v>52.4</v>
      </c>
      <c r="AC7452">
        <v>53.06</v>
      </c>
      <c r="AE7452" s="74"/>
      <c r="AF7452" s="77"/>
      <c r="AH7452" s="497">
        <v>46.4</v>
      </c>
      <c r="AJ7452" s="42"/>
      <c r="AK7452" s="74"/>
      <c r="AL7452" s="77"/>
      <c r="AN7452" s="497">
        <v>44.96</v>
      </c>
      <c r="AP7452" s="42"/>
      <c r="AQ7452" s="74"/>
      <c r="AR7452" s="77"/>
      <c r="AT7452" s="497">
        <v>51.08</v>
      </c>
      <c r="AV7452" s="42"/>
      <c r="AW7452" s="74"/>
      <c r="AX7452" s="77"/>
      <c r="BA7452" s="497">
        <v>32</v>
      </c>
      <c r="BB7452" s="42"/>
      <c r="BC7452" s="74"/>
      <c r="BD7452" s="77"/>
      <c r="BF7452">
        <v>42.08</v>
      </c>
      <c r="BH7452" s="42"/>
      <c r="BI7452" s="74"/>
      <c r="BJ7452" s="77"/>
      <c r="BL7452" s="497">
        <v>44.06</v>
      </c>
      <c r="BN7452" s="42"/>
      <c r="BO7452" s="74"/>
      <c r="BP7452" s="77"/>
      <c r="BR7452" s="497">
        <v>24.98</v>
      </c>
      <c r="BT7452" s="42"/>
    </row>
    <row r="7453" spans="1:72" x14ac:dyDescent="0.25">
      <c r="A7453" s="90">
        <v>36836</v>
      </c>
      <c r="B7453" s="20">
        <v>0.79166666666666663</v>
      </c>
      <c r="D7453">
        <v>66.92</v>
      </c>
      <c r="E7453" t="str">
        <f t="shared" si="268"/>
        <v>WEEKDAY</v>
      </c>
      <c r="F7453" t="e">
        <f t="shared" si="267"/>
        <v>#N/A</v>
      </c>
      <c r="G7453" s="74">
        <v>28800</v>
      </c>
      <c r="H7453" s="77">
        <v>0.79166666666666663</v>
      </c>
      <c r="J7453">
        <v>57.92</v>
      </c>
      <c r="M7453" s="74">
        <v>36105</v>
      </c>
      <c r="N7453" s="77">
        <v>0.79166666666666663</v>
      </c>
      <c r="P7453">
        <v>37.4</v>
      </c>
      <c r="S7453" s="74">
        <v>36836</v>
      </c>
      <c r="T7453" s="77">
        <v>0.79166666666666663</v>
      </c>
      <c r="V7453">
        <v>50</v>
      </c>
      <c r="X7453" s="42"/>
      <c r="AB7453">
        <v>51.7</v>
      </c>
      <c r="AC7453">
        <v>53.06</v>
      </c>
      <c r="AE7453" s="74"/>
      <c r="AF7453" s="77"/>
      <c r="AH7453" s="497">
        <v>44.6</v>
      </c>
      <c r="AJ7453" s="42"/>
      <c r="AK7453" s="74"/>
      <c r="AL7453" s="77"/>
      <c r="AN7453" s="497">
        <v>42.08</v>
      </c>
      <c r="AP7453" s="42"/>
      <c r="AQ7453" s="74"/>
      <c r="AR7453" s="77"/>
      <c r="AT7453" s="497">
        <v>50</v>
      </c>
      <c r="AV7453" s="42"/>
      <c r="AW7453" s="74"/>
      <c r="AX7453" s="77"/>
      <c r="BA7453" s="497">
        <v>33.08</v>
      </c>
      <c r="BB7453" s="42"/>
      <c r="BC7453" s="74"/>
      <c r="BD7453" s="77"/>
      <c r="BF7453">
        <v>42.08</v>
      </c>
      <c r="BH7453" s="42"/>
      <c r="BI7453" s="74"/>
      <c r="BJ7453" s="77"/>
      <c r="BL7453" s="497">
        <v>42.08</v>
      </c>
      <c r="BN7453" s="42"/>
      <c r="BO7453" s="74"/>
      <c r="BP7453" s="77"/>
      <c r="BR7453" s="497">
        <v>24.98</v>
      </c>
      <c r="BT7453" s="42"/>
    </row>
    <row r="7454" spans="1:72" x14ac:dyDescent="0.25">
      <c r="A7454" s="90">
        <v>36836</v>
      </c>
      <c r="B7454" s="20">
        <v>0.83333333333333337</v>
      </c>
      <c r="D7454">
        <v>68</v>
      </c>
      <c r="E7454" t="str">
        <f t="shared" si="268"/>
        <v>WEEKDAY</v>
      </c>
      <c r="F7454" t="e">
        <f t="shared" si="267"/>
        <v>#N/A</v>
      </c>
      <c r="G7454" s="74">
        <v>28800</v>
      </c>
      <c r="H7454" s="77">
        <v>0.83333333333333337</v>
      </c>
      <c r="J7454">
        <v>57.92</v>
      </c>
      <c r="M7454" s="74">
        <v>36105</v>
      </c>
      <c r="N7454" s="77">
        <v>0.83333333333333337</v>
      </c>
      <c r="P7454">
        <v>35.42</v>
      </c>
      <c r="S7454" s="74">
        <v>36836</v>
      </c>
      <c r="T7454" s="77">
        <v>0.83333333333333337</v>
      </c>
      <c r="V7454">
        <v>48.019999999999996</v>
      </c>
      <c r="X7454" s="42"/>
      <c r="AB7454">
        <v>51.2</v>
      </c>
      <c r="AC7454">
        <v>53.06</v>
      </c>
      <c r="AE7454" s="74"/>
      <c r="AF7454" s="77"/>
      <c r="AH7454" s="497">
        <v>37.4</v>
      </c>
      <c r="AJ7454" s="42"/>
      <c r="AK7454" s="74"/>
      <c r="AL7454" s="77"/>
      <c r="AN7454" s="497">
        <v>42.08</v>
      </c>
      <c r="AP7454" s="42"/>
      <c r="AQ7454" s="74"/>
      <c r="AR7454" s="77"/>
      <c r="AT7454" s="497">
        <v>50</v>
      </c>
      <c r="AV7454" s="42"/>
      <c r="AW7454" s="74"/>
      <c r="AX7454" s="77"/>
      <c r="BA7454" s="497">
        <v>32</v>
      </c>
      <c r="BB7454" s="42"/>
      <c r="BC7454" s="74"/>
      <c r="BD7454" s="77"/>
      <c r="BF7454">
        <v>42.08</v>
      </c>
      <c r="BH7454" s="42"/>
      <c r="BI7454" s="74"/>
      <c r="BJ7454" s="77"/>
      <c r="BL7454" s="497">
        <v>42.980000000000004</v>
      </c>
      <c r="BN7454" s="42"/>
      <c r="BO7454" s="74"/>
      <c r="BP7454" s="77"/>
      <c r="BR7454" s="497">
        <v>23</v>
      </c>
      <c r="BT7454" s="42"/>
    </row>
    <row r="7455" spans="1:72" x14ac:dyDescent="0.25">
      <c r="A7455" s="90">
        <v>36836</v>
      </c>
      <c r="B7455" s="20">
        <v>0.875</v>
      </c>
      <c r="D7455">
        <v>66.02</v>
      </c>
      <c r="E7455" t="str">
        <f t="shared" si="268"/>
        <v>WEEKDAY</v>
      </c>
      <c r="F7455" t="e">
        <f t="shared" si="267"/>
        <v>#N/A</v>
      </c>
      <c r="G7455" s="74">
        <v>28800</v>
      </c>
      <c r="H7455" s="77">
        <v>0.875</v>
      </c>
      <c r="J7455">
        <v>57.92</v>
      </c>
      <c r="M7455" s="74">
        <v>36105</v>
      </c>
      <c r="N7455" s="77">
        <v>0.875</v>
      </c>
      <c r="P7455">
        <v>33.799999999999997</v>
      </c>
      <c r="S7455" s="74">
        <v>36836</v>
      </c>
      <c r="T7455" s="77">
        <v>0.875</v>
      </c>
      <c r="V7455">
        <v>46.94</v>
      </c>
      <c r="X7455" s="42"/>
      <c r="AB7455">
        <v>50.7</v>
      </c>
      <c r="AC7455">
        <v>53.06</v>
      </c>
      <c r="AE7455" s="74"/>
      <c r="AF7455" s="77"/>
      <c r="AH7455" s="497">
        <v>35.6</v>
      </c>
      <c r="AJ7455" s="42"/>
      <c r="AK7455" s="74"/>
      <c r="AL7455" s="77"/>
      <c r="AN7455" s="497">
        <v>41</v>
      </c>
      <c r="AP7455" s="42"/>
      <c r="AQ7455" s="74"/>
      <c r="AR7455" s="77"/>
      <c r="AT7455" s="497">
        <v>48.019999999999996</v>
      </c>
      <c r="AV7455" s="42"/>
      <c r="AW7455" s="74"/>
      <c r="AX7455" s="77"/>
      <c r="BA7455" s="497">
        <v>35.06</v>
      </c>
      <c r="BB7455" s="42"/>
      <c r="BC7455" s="74"/>
      <c r="BD7455" s="77"/>
      <c r="BF7455">
        <v>41</v>
      </c>
      <c r="BH7455" s="42"/>
      <c r="BI7455" s="74"/>
      <c r="BJ7455" s="77"/>
      <c r="BL7455" s="497">
        <v>44.06</v>
      </c>
      <c r="BN7455" s="42"/>
      <c r="BO7455" s="74"/>
      <c r="BP7455" s="77"/>
      <c r="BR7455" s="497">
        <v>19.939999999999998</v>
      </c>
      <c r="BT7455" s="42"/>
    </row>
    <row r="7456" spans="1:72" x14ac:dyDescent="0.25">
      <c r="A7456" s="90">
        <v>36836</v>
      </c>
      <c r="B7456" s="20">
        <v>0.91666666666666663</v>
      </c>
      <c r="D7456">
        <v>64.039999999999992</v>
      </c>
      <c r="E7456" t="str">
        <f t="shared" si="268"/>
        <v>WEEKDAY</v>
      </c>
      <c r="F7456" t="e">
        <f t="shared" si="267"/>
        <v>#N/A</v>
      </c>
      <c r="G7456" s="74">
        <v>28800</v>
      </c>
      <c r="H7456" s="77">
        <v>0.91666666666666663</v>
      </c>
      <c r="J7456">
        <v>57.92</v>
      </c>
      <c r="M7456" s="74">
        <v>36105</v>
      </c>
      <c r="N7456" s="77">
        <v>0.91666666666666663</v>
      </c>
      <c r="P7456">
        <v>35.6</v>
      </c>
      <c r="S7456" s="74">
        <v>36836</v>
      </c>
      <c r="T7456" s="77">
        <v>0.91666666666666663</v>
      </c>
      <c r="V7456">
        <v>46.94</v>
      </c>
      <c r="X7456" s="42"/>
      <c r="AB7456">
        <v>50</v>
      </c>
      <c r="AC7456">
        <v>53.06</v>
      </c>
      <c r="AE7456" s="74"/>
      <c r="AF7456" s="77"/>
      <c r="AH7456" s="497">
        <v>33.799999999999997</v>
      </c>
      <c r="AJ7456" s="42"/>
      <c r="AK7456" s="74"/>
      <c r="AL7456" s="77"/>
      <c r="AN7456" s="497">
        <v>39.92</v>
      </c>
      <c r="AP7456" s="42"/>
      <c r="AQ7456" s="74"/>
      <c r="AR7456" s="77"/>
      <c r="AT7456" s="497">
        <v>41</v>
      </c>
      <c r="AV7456" s="42"/>
      <c r="AW7456" s="74"/>
      <c r="AX7456" s="77"/>
      <c r="BA7456" s="497">
        <v>35.96</v>
      </c>
      <c r="BB7456" s="42"/>
      <c r="BC7456" s="74"/>
      <c r="BD7456" s="77"/>
      <c r="BF7456">
        <v>41</v>
      </c>
      <c r="BH7456" s="42"/>
      <c r="BI7456" s="74"/>
      <c r="BJ7456" s="77"/>
      <c r="BL7456" s="497">
        <v>42.980000000000004</v>
      </c>
      <c r="BN7456" s="42"/>
      <c r="BO7456" s="74"/>
      <c r="BP7456" s="77"/>
      <c r="BR7456" s="497">
        <v>17.96</v>
      </c>
      <c r="BT7456" s="42"/>
    </row>
    <row r="7457" spans="1:72" x14ac:dyDescent="0.25">
      <c r="A7457" s="90">
        <v>36836</v>
      </c>
      <c r="B7457" s="20">
        <v>0.95833333333333337</v>
      </c>
      <c r="D7457">
        <v>62.96</v>
      </c>
      <c r="E7457" t="str">
        <f t="shared" si="268"/>
        <v>WEEKDAY</v>
      </c>
      <c r="F7457" t="e">
        <f t="shared" si="267"/>
        <v>#N/A</v>
      </c>
      <c r="G7457" s="74">
        <v>28800</v>
      </c>
      <c r="H7457" s="77">
        <v>0.95833333333333337</v>
      </c>
      <c r="J7457">
        <v>57.019999999999996</v>
      </c>
      <c r="M7457" s="74">
        <v>36105</v>
      </c>
      <c r="N7457" s="77">
        <v>0.95833333333333337</v>
      </c>
      <c r="P7457">
        <v>35.6</v>
      </c>
      <c r="S7457" s="74">
        <v>36836</v>
      </c>
      <c r="T7457" s="77">
        <v>0.95833333333333337</v>
      </c>
      <c r="V7457">
        <v>44.96</v>
      </c>
      <c r="X7457" s="42"/>
      <c r="AB7457">
        <v>49.4</v>
      </c>
      <c r="AC7457">
        <v>53.96</v>
      </c>
      <c r="AE7457" s="74"/>
      <c r="AF7457" s="77"/>
      <c r="AH7457" s="497">
        <v>30.2</v>
      </c>
      <c r="AJ7457" s="42"/>
      <c r="AK7457" s="74"/>
      <c r="AL7457" s="77"/>
      <c r="AN7457" s="497">
        <v>41</v>
      </c>
      <c r="AP7457" s="42"/>
      <c r="AQ7457" s="74"/>
      <c r="AR7457" s="77"/>
      <c r="AT7457" s="497">
        <v>39.019999999999996</v>
      </c>
      <c r="AV7457" s="42"/>
      <c r="AW7457" s="74"/>
      <c r="AX7457" s="77"/>
      <c r="BA7457" s="497">
        <v>35.96</v>
      </c>
      <c r="BB7457" s="42"/>
      <c r="BC7457" s="74"/>
      <c r="BD7457" s="77"/>
      <c r="BF7457">
        <v>37.94</v>
      </c>
      <c r="BH7457" s="42"/>
      <c r="BI7457" s="74"/>
      <c r="BJ7457" s="77"/>
      <c r="BL7457" s="497">
        <v>42.08</v>
      </c>
      <c r="BN7457" s="42"/>
      <c r="BO7457" s="74"/>
      <c r="BP7457" s="77"/>
      <c r="BR7457" s="497">
        <v>21.02</v>
      </c>
      <c r="BT7457" s="42"/>
    </row>
    <row r="7458" spans="1:72" x14ac:dyDescent="0.25">
      <c r="A7458" s="90">
        <v>36836</v>
      </c>
      <c r="B7458" s="20">
        <v>1</v>
      </c>
      <c r="D7458">
        <v>60.980000000000004</v>
      </c>
      <c r="E7458" t="str">
        <f t="shared" si="268"/>
        <v>WEEKDAY</v>
      </c>
      <c r="F7458" t="e">
        <f t="shared" si="267"/>
        <v>#N/A</v>
      </c>
      <c r="G7458" s="74">
        <v>28800</v>
      </c>
      <c r="H7458" s="77">
        <v>1</v>
      </c>
      <c r="J7458">
        <v>55.94</v>
      </c>
      <c r="M7458" s="74">
        <v>36105</v>
      </c>
      <c r="N7458" s="80">
        <v>1</v>
      </c>
      <c r="P7458">
        <v>33.799999999999997</v>
      </c>
      <c r="S7458" s="74">
        <v>36836</v>
      </c>
      <c r="T7458" s="80">
        <v>1</v>
      </c>
      <c r="V7458">
        <v>44.96</v>
      </c>
      <c r="X7458" s="42"/>
      <c r="AB7458">
        <v>48.7</v>
      </c>
      <c r="AC7458">
        <v>53.96</v>
      </c>
      <c r="AE7458" s="74"/>
      <c r="AF7458" s="80"/>
      <c r="AH7458" s="497">
        <v>30.2</v>
      </c>
      <c r="AJ7458" s="42"/>
      <c r="AK7458" s="74"/>
      <c r="AL7458" s="80"/>
      <c r="AN7458" s="497">
        <v>39.019999999999996</v>
      </c>
      <c r="AP7458" s="42"/>
      <c r="AQ7458" s="74"/>
      <c r="AR7458" s="80"/>
      <c r="AT7458" s="497">
        <v>39.019999999999996</v>
      </c>
      <c r="AV7458" s="42"/>
      <c r="AW7458" s="74"/>
      <c r="AX7458" s="80"/>
      <c r="BA7458" s="497">
        <v>35.96</v>
      </c>
      <c r="BB7458" s="42"/>
      <c r="BC7458" s="74"/>
      <c r="BD7458" s="80"/>
      <c r="BF7458">
        <v>37.04</v>
      </c>
      <c r="BH7458" s="42"/>
      <c r="BI7458" s="74"/>
      <c r="BJ7458" s="80"/>
      <c r="BL7458" s="497">
        <v>42.08</v>
      </c>
      <c r="BN7458" s="42"/>
      <c r="BO7458" s="74"/>
      <c r="BP7458" s="80"/>
      <c r="BR7458" s="497">
        <v>24.98</v>
      </c>
      <c r="BT7458" s="42"/>
    </row>
    <row r="7459" spans="1:72" x14ac:dyDescent="0.25">
      <c r="A7459" s="90">
        <v>36837</v>
      </c>
      <c r="B7459" s="20">
        <v>4.1666666666666664E-2</v>
      </c>
      <c r="D7459">
        <v>59</v>
      </c>
      <c r="E7459" t="str">
        <f t="shared" si="268"/>
        <v>WEEKDAY</v>
      </c>
      <c r="F7459" t="e">
        <f t="shared" si="267"/>
        <v>#N/A</v>
      </c>
      <c r="G7459" s="74">
        <v>28801</v>
      </c>
      <c r="H7459" s="77">
        <v>4.1666666666666664E-2</v>
      </c>
      <c r="J7459">
        <v>55.040000000000006</v>
      </c>
      <c r="M7459" s="74">
        <v>36106</v>
      </c>
      <c r="N7459" s="77">
        <v>4.1666666666666664E-2</v>
      </c>
      <c r="P7459">
        <v>33.799999999999997</v>
      </c>
      <c r="S7459" s="74">
        <v>36837</v>
      </c>
      <c r="T7459" s="77">
        <v>4.1666666666666664E-2</v>
      </c>
      <c r="V7459">
        <v>44.96</v>
      </c>
      <c r="X7459" s="42"/>
      <c r="AB7459">
        <v>48.3</v>
      </c>
      <c r="AC7459">
        <v>53.06</v>
      </c>
      <c r="AE7459" s="74"/>
      <c r="AF7459" s="77"/>
      <c r="AH7459" s="497">
        <v>28.4</v>
      </c>
      <c r="AJ7459" s="42"/>
      <c r="AK7459" s="74"/>
      <c r="AL7459" s="77"/>
      <c r="AN7459" s="497">
        <v>37.94</v>
      </c>
      <c r="AP7459" s="42"/>
      <c r="AQ7459" s="74"/>
      <c r="AR7459" s="77"/>
      <c r="AT7459" s="497">
        <v>42.08</v>
      </c>
      <c r="AV7459" s="42"/>
      <c r="AW7459" s="74"/>
      <c r="AX7459" s="77"/>
      <c r="BA7459" s="497">
        <v>35.96</v>
      </c>
      <c r="BB7459" s="42"/>
      <c r="BC7459" s="74"/>
      <c r="BD7459" s="77"/>
      <c r="BF7459">
        <v>37.04</v>
      </c>
      <c r="BH7459" s="42"/>
      <c r="BI7459" s="74"/>
      <c r="BJ7459" s="77"/>
      <c r="BL7459" s="497">
        <v>42.08</v>
      </c>
      <c r="BN7459" s="42"/>
      <c r="BO7459" s="74"/>
      <c r="BP7459" s="77"/>
      <c r="BR7459" s="497">
        <v>24.98</v>
      </c>
      <c r="BT7459" s="42"/>
    </row>
    <row r="7460" spans="1:72" x14ac:dyDescent="0.25">
      <c r="A7460" s="90">
        <v>36837</v>
      </c>
      <c r="B7460" s="20">
        <v>8.3333333333333329E-2</v>
      </c>
      <c r="D7460">
        <v>55.94</v>
      </c>
      <c r="E7460" t="str">
        <f t="shared" si="268"/>
        <v>WEEKDAY</v>
      </c>
      <c r="F7460" t="e">
        <f t="shared" si="267"/>
        <v>#N/A</v>
      </c>
      <c r="G7460" s="74">
        <v>28801</v>
      </c>
      <c r="H7460" s="77">
        <v>8.3333333333333329E-2</v>
      </c>
      <c r="J7460">
        <v>53.06</v>
      </c>
      <c r="M7460" s="74">
        <v>36106</v>
      </c>
      <c r="N7460" s="77">
        <v>8.3333333333333329E-2</v>
      </c>
      <c r="P7460">
        <v>30.2</v>
      </c>
      <c r="S7460" s="74">
        <v>36837</v>
      </c>
      <c r="T7460" s="77">
        <v>8.3333333333333329E-2</v>
      </c>
      <c r="V7460">
        <v>42.980000000000004</v>
      </c>
      <c r="X7460" s="42"/>
      <c r="AB7460">
        <v>47.6</v>
      </c>
      <c r="AC7460">
        <v>51.980000000000004</v>
      </c>
      <c r="AE7460" s="74"/>
      <c r="AF7460" s="77"/>
      <c r="AH7460" s="497">
        <v>26.6</v>
      </c>
      <c r="AJ7460" s="42"/>
      <c r="AK7460" s="74"/>
      <c r="AL7460" s="77"/>
      <c r="AN7460" s="497">
        <v>37.94</v>
      </c>
      <c r="AP7460" s="42"/>
      <c r="AQ7460" s="74"/>
      <c r="AR7460" s="77"/>
      <c r="AT7460" s="497">
        <v>35.96</v>
      </c>
      <c r="AV7460" s="42"/>
      <c r="AW7460" s="74"/>
      <c r="AX7460" s="77"/>
      <c r="BA7460" s="497">
        <v>37.04</v>
      </c>
      <c r="BB7460" s="42"/>
      <c r="BC7460" s="74"/>
      <c r="BD7460" s="77"/>
      <c r="BF7460">
        <v>35.96</v>
      </c>
      <c r="BH7460" s="42"/>
      <c r="BI7460" s="74"/>
      <c r="BJ7460" s="77"/>
      <c r="BL7460" s="497">
        <v>37.94</v>
      </c>
      <c r="BN7460" s="42"/>
      <c r="BO7460" s="74"/>
      <c r="BP7460" s="77"/>
      <c r="BR7460" s="497">
        <v>24.98</v>
      </c>
      <c r="BT7460" s="42"/>
    </row>
    <row r="7461" spans="1:72" x14ac:dyDescent="0.25">
      <c r="A7461" s="90">
        <v>36837</v>
      </c>
      <c r="B7461" s="20">
        <v>0.125</v>
      </c>
      <c r="D7461">
        <v>53.96</v>
      </c>
      <c r="E7461" t="str">
        <f t="shared" si="268"/>
        <v>WEEKDAY</v>
      </c>
      <c r="F7461" t="e">
        <f t="shared" si="267"/>
        <v>#N/A</v>
      </c>
      <c r="G7461" s="74">
        <v>28801</v>
      </c>
      <c r="H7461" s="77">
        <v>0.125</v>
      </c>
      <c r="J7461">
        <v>51.08</v>
      </c>
      <c r="M7461" s="74">
        <v>36106</v>
      </c>
      <c r="N7461" s="77">
        <v>0.125</v>
      </c>
      <c r="P7461">
        <v>30.2</v>
      </c>
      <c r="S7461" s="74">
        <v>36837</v>
      </c>
      <c r="T7461" s="77">
        <v>0.125</v>
      </c>
      <c r="V7461">
        <v>42.980000000000004</v>
      </c>
      <c r="X7461" s="42"/>
      <c r="AB7461">
        <v>47.1</v>
      </c>
      <c r="AC7461">
        <v>51.980000000000004</v>
      </c>
      <c r="AE7461" s="74"/>
      <c r="AF7461" s="77"/>
      <c r="AH7461" s="497">
        <v>28.4</v>
      </c>
      <c r="AJ7461" s="42"/>
      <c r="AK7461" s="74"/>
      <c r="AL7461" s="77"/>
      <c r="AN7461" s="497">
        <v>37.04</v>
      </c>
      <c r="AP7461" s="42"/>
      <c r="AQ7461" s="74"/>
      <c r="AR7461" s="77"/>
      <c r="AT7461" s="497">
        <v>37.94</v>
      </c>
      <c r="AV7461" s="42"/>
      <c r="AW7461" s="74"/>
      <c r="AX7461" s="77"/>
      <c r="BA7461" s="497">
        <v>37.04</v>
      </c>
      <c r="BB7461" s="42"/>
      <c r="BC7461" s="74"/>
      <c r="BD7461" s="77"/>
      <c r="BF7461">
        <v>33.979999999999997</v>
      </c>
      <c r="BH7461" s="42"/>
      <c r="BI7461" s="74"/>
      <c r="BJ7461" s="77"/>
      <c r="BL7461" s="497">
        <v>37.94</v>
      </c>
      <c r="BN7461" s="42"/>
      <c r="BO7461" s="74"/>
      <c r="BP7461" s="77"/>
      <c r="BR7461" s="497">
        <v>24.98</v>
      </c>
      <c r="BT7461" s="42"/>
    </row>
    <row r="7462" spans="1:72" x14ac:dyDescent="0.25">
      <c r="A7462" s="90">
        <v>36837</v>
      </c>
      <c r="B7462" s="20">
        <v>0.16666666666666666</v>
      </c>
      <c r="D7462">
        <v>53.06</v>
      </c>
      <c r="E7462" t="str">
        <f t="shared" si="268"/>
        <v>WEEKDAY</v>
      </c>
      <c r="F7462" t="e">
        <f t="shared" si="267"/>
        <v>#N/A</v>
      </c>
      <c r="G7462" s="74">
        <v>28801</v>
      </c>
      <c r="H7462" s="77">
        <v>0.16666666666666666</v>
      </c>
      <c r="J7462">
        <v>51.08</v>
      </c>
      <c r="M7462" s="74">
        <v>36106</v>
      </c>
      <c r="N7462" s="77">
        <v>0.16666666666666666</v>
      </c>
      <c r="P7462">
        <v>30.2</v>
      </c>
      <c r="S7462" s="74">
        <v>36837</v>
      </c>
      <c r="T7462" s="77">
        <v>0.16666666666666666</v>
      </c>
      <c r="V7462">
        <v>42.08</v>
      </c>
      <c r="X7462" s="42"/>
      <c r="AB7462">
        <v>46.6</v>
      </c>
      <c r="AC7462">
        <v>51.980000000000004</v>
      </c>
      <c r="AE7462" s="74"/>
      <c r="AF7462" s="77"/>
      <c r="AH7462" s="497">
        <v>28.4</v>
      </c>
      <c r="AJ7462" s="42"/>
      <c r="AK7462" s="74"/>
      <c r="AL7462" s="77"/>
      <c r="AN7462" s="497">
        <v>35.06</v>
      </c>
      <c r="AP7462" s="42"/>
      <c r="AQ7462" s="74"/>
      <c r="AR7462" s="77"/>
      <c r="AT7462" s="497">
        <v>44.06</v>
      </c>
      <c r="AV7462" s="42"/>
      <c r="AW7462" s="74"/>
      <c r="AX7462" s="77"/>
      <c r="BA7462" s="497">
        <v>33.08</v>
      </c>
      <c r="BB7462" s="42"/>
      <c r="BC7462" s="74"/>
      <c r="BD7462" s="77"/>
      <c r="BF7462">
        <v>33.979999999999997</v>
      </c>
      <c r="BH7462" s="42"/>
      <c r="BI7462" s="74"/>
      <c r="BJ7462" s="77"/>
      <c r="BL7462" s="497">
        <v>35.96</v>
      </c>
      <c r="BN7462" s="42"/>
      <c r="BO7462" s="74"/>
      <c r="BP7462" s="77"/>
      <c r="BR7462" s="497">
        <v>24.08</v>
      </c>
      <c r="BT7462" s="42"/>
    </row>
    <row r="7463" spans="1:72" x14ac:dyDescent="0.25">
      <c r="A7463" s="90">
        <v>36837</v>
      </c>
      <c r="B7463" s="20">
        <v>0.20833333333333334</v>
      </c>
      <c r="D7463">
        <v>51.980000000000004</v>
      </c>
      <c r="E7463" t="str">
        <f t="shared" si="268"/>
        <v>WEEKDAY</v>
      </c>
      <c r="F7463" t="e">
        <f t="shared" si="267"/>
        <v>#N/A</v>
      </c>
      <c r="G7463" s="74">
        <v>28801</v>
      </c>
      <c r="H7463" s="77">
        <v>0.20833333333333334</v>
      </c>
      <c r="J7463">
        <v>51.980000000000004</v>
      </c>
      <c r="M7463" s="74">
        <v>36106</v>
      </c>
      <c r="N7463" s="77">
        <v>0.20833333333333334</v>
      </c>
      <c r="P7463">
        <v>30.2</v>
      </c>
      <c r="S7463" s="74">
        <v>36837</v>
      </c>
      <c r="T7463" s="77">
        <v>0.20833333333333334</v>
      </c>
      <c r="V7463">
        <v>42.08</v>
      </c>
      <c r="X7463" s="42"/>
      <c r="AB7463">
        <v>46.2</v>
      </c>
      <c r="AC7463">
        <v>51.08</v>
      </c>
      <c r="AE7463" s="74"/>
      <c r="AF7463" s="77"/>
      <c r="AH7463" s="497">
        <v>32</v>
      </c>
      <c r="AJ7463" s="42"/>
      <c r="AK7463" s="74"/>
      <c r="AL7463" s="77"/>
      <c r="AN7463" s="497">
        <v>33.979999999999997</v>
      </c>
      <c r="AP7463" s="42"/>
      <c r="AQ7463" s="74"/>
      <c r="AR7463" s="77"/>
      <c r="AT7463" s="497">
        <v>44.06</v>
      </c>
      <c r="AV7463" s="42"/>
      <c r="AW7463" s="74"/>
      <c r="AX7463" s="77"/>
      <c r="BA7463" s="497">
        <v>33.979999999999997</v>
      </c>
      <c r="BB7463" s="42"/>
      <c r="BC7463" s="74"/>
      <c r="BD7463" s="77"/>
      <c r="BF7463">
        <v>35.06</v>
      </c>
      <c r="BH7463" s="42"/>
      <c r="BI7463" s="74"/>
      <c r="BJ7463" s="77"/>
      <c r="BL7463" s="497">
        <v>35.96</v>
      </c>
      <c r="BN7463" s="42"/>
      <c r="BO7463" s="74"/>
      <c r="BP7463" s="77"/>
      <c r="BR7463" s="497">
        <v>24.98</v>
      </c>
      <c r="BT7463" s="42"/>
    </row>
    <row r="7464" spans="1:72" x14ac:dyDescent="0.25">
      <c r="A7464" s="90">
        <v>36837</v>
      </c>
      <c r="B7464" s="20">
        <v>0.25</v>
      </c>
      <c r="D7464">
        <v>50</v>
      </c>
      <c r="E7464" t="str">
        <f t="shared" si="268"/>
        <v>WEEKDAY</v>
      </c>
      <c r="F7464" t="e">
        <f t="shared" si="267"/>
        <v>#N/A</v>
      </c>
      <c r="G7464" s="74">
        <v>28801</v>
      </c>
      <c r="H7464" s="77">
        <v>0.25</v>
      </c>
      <c r="J7464">
        <v>51.08</v>
      </c>
      <c r="M7464" s="74">
        <v>36106</v>
      </c>
      <c r="N7464" s="77">
        <v>0.25</v>
      </c>
      <c r="P7464">
        <v>30.2</v>
      </c>
      <c r="S7464" s="74">
        <v>36837</v>
      </c>
      <c r="T7464" s="77">
        <v>0.25</v>
      </c>
      <c r="V7464">
        <v>41</v>
      </c>
      <c r="X7464" s="42"/>
      <c r="AB7464">
        <v>45.9</v>
      </c>
      <c r="AC7464">
        <v>51.08</v>
      </c>
      <c r="AE7464" s="74"/>
      <c r="AF7464" s="77"/>
      <c r="AH7464" s="497">
        <v>32</v>
      </c>
      <c r="AJ7464" s="42"/>
      <c r="AK7464" s="74"/>
      <c r="AL7464" s="77"/>
      <c r="AN7464" s="497">
        <v>33.979999999999997</v>
      </c>
      <c r="AP7464" s="42"/>
      <c r="AQ7464" s="74"/>
      <c r="AR7464" s="77"/>
      <c r="AT7464" s="497">
        <v>44.06</v>
      </c>
      <c r="AV7464" s="42"/>
      <c r="AW7464" s="74"/>
      <c r="AX7464" s="77"/>
      <c r="BA7464" s="497">
        <v>33.979999999999997</v>
      </c>
      <c r="BB7464" s="42"/>
      <c r="BC7464" s="74"/>
      <c r="BD7464" s="77"/>
      <c r="BF7464">
        <v>35.06</v>
      </c>
      <c r="BH7464" s="42"/>
      <c r="BI7464" s="74"/>
      <c r="BJ7464" s="77"/>
      <c r="BL7464" s="497">
        <v>37.04</v>
      </c>
      <c r="BN7464" s="42"/>
      <c r="BO7464" s="74"/>
      <c r="BP7464" s="77"/>
      <c r="BR7464" s="497">
        <v>24.08</v>
      </c>
      <c r="BT7464" s="42"/>
    </row>
    <row r="7465" spans="1:72" x14ac:dyDescent="0.25">
      <c r="A7465" s="90">
        <v>36837</v>
      </c>
      <c r="B7465" s="20">
        <v>0.29166666666666669</v>
      </c>
      <c r="D7465">
        <v>48.019999999999996</v>
      </c>
      <c r="E7465" t="str">
        <f t="shared" si="268"/>
        <v>WEEKDAY</v>
      </c>
      <c r="F7465" t="e">
        <f t="shared" si="267"/>
        <v>#N/A</v>
      </c>
      <c r="G7465" s="74">
        <v>28801</v>
      </c>
      <c r="H7465" s="77">
        <v>0.29166666666666669</v>
      </c>
      <c r="J7465">
        <v>50</v>
      </c>
      <c r="M7465" s="74">
        <v>36106</v>
      </c>
      <c r="N7465" s="77">
        <v>0.29166666666666669</v>
      </c>
      <c r="P7465">
        <v>30.2</v>
      </c>
      <c r="S7465" s="74">
        <v>36837</v>
      </c>
      <c r="T7465" s="77">
        <v>0.29166666666666669</v>
      </c>
      <c r="V7465">
        <v>42.08</v>
      </c>
      <c r="X7465" s="42"/>
      <c r="AB7465">
        <v>45.8</v>
      </c>
      <c r="AC7465">
        <v>50</v>
      </c>
      <c r="AE7465" s="74"/>
      <c r="AF7465" s="77"/>
      <c r="AH7465" s="497">
        <v>32</v>
      </c>
      <c r="AJ7465" s="42"/>
      <c r="AK7465" s="74"/>
      <c r="AL7465" s="77"/>
      <c r="AN7465" s="497">
        <v>32</v>
      </c>
      <c r="AP7465" s="42"/>
      <c r="AQ7465" s="74"/>
      <c r="AR7465" s="77"/>
      <c r="AT7465" s="497">
        <v>44.96</v>
      </c>
      <c r="AV7465" s="42"/>
      <c r="AW7465" s="74"/>
      <c r="AX7465" s="77"/>
      <c r="BA7465" s="497">
        <v>33.08</v>
      </c>
      <c r="BB7465" s="42"/>
      <c r="BC7465" s="74"/>
      <c r="BD7465" s="77"/>
      <c r="BF7465">
        <v>35.06</v>
      </c>
      <c r="BH7465" s="42"/>
      <c r="BI7465" s="74"/>
      <c r="BJ7465" s="77"/>
      <c r="BL7465" s="497">
        <v>37.04</v>
      </c>
      <c r="BN7465" s="42"/>
      <c r="BO7465" s="74"/>
      <c r="BP7465" s="77"/>
      <c r="BR7465" s="497">
        <v>24.08</v>
      </c>
      <c r="BT7465" s="42"/>
    </row>
    <row r="7466" spans="1:72" x14ac:dyDescent="0.25">
      <c r="A7466" s="90">
        <v>36837</v>
      </c>
      <c r="B7466" s="20">
        <v>0.33333333333333331</v>
      </c>
      <c r="D7466">
        <v>48.92</v>
      </c>
      <c r="E7466" t="str">
        <f t="shared" si="268"/>
        <v>WEEKDAY</v>
      </c>
      <c r="F7466" t="e">
        <f t="shared" si="267"/>
        <v>#N/A</v>
      </c>
      <c r="G7466" s="74">
        <v>28801</v>
      </c>
      <c r="H7466" s="77">
        <v>0.33333333333333331</v>
      </c>
      <c r="J7466">
        <v>53.06</v>
      </c>
      <c r="M7466" s="74">
        <v>36106</v>
      </c>
      <c r="N7466" s="77">
        <v>0.33333333333333331</v>
      </c>
      <c r="P7466">
        <v>37.4</v>
      </c>
      <c r="S7466" s="74">
        <v>36837</v>
      </c>
      <c r="T7466" s="77">
        <v>0.33333333333333331</v>
      </c>
      <c r="V7466">
        <v>44.96</v>
      </c>
      <c r="X7466" s="42"/>
      <c r="AB7466">
        <v>45.9</v>
      </c>
      <c r="AC7466">
        <v>50</v>
      </c>
      <c r="AE7466" s="74"/>
      <c r="AF7466" s="77"/>
      <c r="AH7466" s="497">
        <v>46.4</v>
      </c>
      <c r="AJ7466" s="42"/>
      <c r="AK7466" s="74"/>
      <c r="AL7466" s="77"/>
      <c r="AN7466" s="497">
        <v>33.08</v>
      </c>
      <c r="AP7466" s="42"/>
      <c r="AQ7466" s="74"/>
      <c r="AR7466" s="77"/>
      <c r="AT7466" s="497">
        <v>44.96</v>
      </c>
      <c r="AV7466" s="42"/>
      <c r="AW7466" s="74"/>
      <c r="AX7466" s="77"/>
      <c r="BA7466" s="497">
        <v>33.979999999999997</v>
      </c>
      <c r="BB7466" s="42"/>
      <c r="BC7466" s="74"/>
      <c r="BD7466" s="77"/>
      <c r="BF7466">
        <v>35.96</v>
      </c>
      <c r="BH7466" s="42"/>
      <c r="BI7466" s="74"/>
      <c r="BJ7466" s="77"/>
      <c r="BL7466" s="497">
        <v>37.04</v>
      </c>
      <c r="BN7466" s="42"/>
      <c r="BO7466" s="74"/>
      <c r="BP7466" s="77"/>
      <c r="BR7466" s="497">
        <v>24.98</v>
      </c>
      <c r="BT7466" s="42"/>
    </row>
    <row r="7467" spans="1:72" x14ac:dyDescent="0.25">
      <c r="A7467" s="90">
        <v>36837</v>
      </c>
      <c r="B7467" s="20">
        <v>0.375</v>
      </c>
      <c r="D7467">
        <v>50</v>
      </c>
      <c r="E7467" t="str">
        <f t="shared" si="268"/>
        <v>WEEKDAY</v>
      </c>
      <c r="F7467" t="e">
        <f t="shared" ref="F7467:F7530" si="269">IF(E7467="WEEKDAY",VLOOKUP(B7467,$DD$19:$DG$42,2),IF(E7467="SATURDAY",VLOOKUP(B7467,$DD$19:$DG$42,3),VLOOKUP(B7467,$DD$19:$DG$42,4)))</f>
        <v>#N/A</v>
      </c>
      <c r="G7467" s="74">
        <v>28801</v>
      </c>
      <c r="H7467" s="77">
        <v>0.375</v>
      </c>
      <c r="J7467">
        <v>55.040000000000006</v>
      </c>
      <c r="M7467" s="74">
        <v>36106</v>
      </c>
      <c r="N7467" s="77">
        <v>0.375</v>
      </c>
      <c r="P7467">
        <v>42.8</v>
      </c>
      <c r="S7467" s="74">
        <v>36837</v>
      </c>
      <c r="T7467" s="77">
        <v>0.375</v>
      </c>
      <c r="V7467">
        <v>46.94</v>
      </c>
      <c r="X7467" s="42"/>
      <c r="AB7467">
        <v>47.9</v>
      </c>
      <c r="AC7467">
        <v>51.08</v>
      </c>
      <c r="AE7467" s="74"/>
      <c r="AF7467" s="77"/>
      <c r="AH7467" s="497">
        <v>51.8</v>
      </c>
      <c r="AJ7467" s="42"/>
      <c r="AK7467" s="74"/>
      <c r="AL7467" s="77"/>
      <c r="AN7467" s="497">
        <v>33.979999999999997</v>
      </c>
      <c r="AP7467" s="42"/>
      <c r="AQ7467" s="74"/>
      <c r="AR7467" s="77"/>
      <c r="AT7467" s="497">
        <v>48.019999999999996</v>
      </c>
      <c r="AV7467" s="42"/>
      <c r="AW7467" s="74"/>
      <c r="AX7467" s="77"/>
      <c r="BA7467" s="497">
        <v>35.06</v>
      </c>
      <c r="BB7467" s="42"/>
      <c r="BC7467" s="74"/>
      <c r="BD7467" s="77"/>
      <c r="BF7467">
        <v>35.96</v>
      </c>
      <c r="BH7467" s="42"/>
      <c r="BI7467" s="74"/>
      <c r="BJ7467" s="77"/>
      <c r="BL7467" s="497">
        <v>37.04</v>
      </c>
      <c r="BN7467" s="42"/>
      <c r="BO7467" s="74"/>
      <c r="BP7467" s="77"/>
      <c r="BR7467" s="497">
        <v>26.96</v>
      </c>
      <c r="BT7467" s="42"/>
    </row>
    <row r="7468" spans="1:72" x14ac:dyDescent="0.25">
      <c r="A7468" s="90">
        <v>36837</v>
      </c>
      <c r="B7468" s="20">
        <v>0.41666666666666669</v>
      </c>
      <c r="D7468">
        <v>51.08</v>
      </c>
      <c r="E7468" t="str">
        <f t="shared" si="268"/>
        <v>WEEKDAY</v>
      </c>
      <c r="F7468" t="e">
        <f t="shared" si="269"/>
        <v>#N/A</v>
      </c>
      <c r="G7468" s="74">
        <v>28801</v>
      </c>
      <c r="H7468" s="77">
        <v>0.41666666666666669</v>
      </c>
      <c r="J7468">
        <v>57.019999999999996</v>
      </c>
      <c r="M7468" s="74">
        <v>36106</v>
      </c>
      <c r="N7468" s="77">
        <v>0.41666666666666669</v>
      </c>
      <c r="P7468">
        <v>44.6</v>
      </c>
      <c r="S7468" s="74">
        <v>36837</v>
      </c>
      <c r="T7468" s="77">
        <v>0.41666666666666669</v>
      </c>
      <c r="V7468">
        <v>50</v>
      </c>
      <c r="X7468" s="42"/>
      <c r="AB7468">
        <v>49.9</v>
      </c>
      <c r="AC7468">
        <v>51.08</v>
      </c>
      <c r="AE7468" s="74"/>
      <c r="AF7468" s="77"/>
      <c r="AH7468" s="497">
        <v>53.6</v>
      </c>
      <c r="AJ7468" s="42"/>
      <c r="AK7468" s="74"/>
      <c r="AL7468" s="77"/>
      <c r="AN7468" s="497">
        <v>35.06</v>
      </c>
      <c r="AP7468" s="42"/>
      <c r="AQ7468" s="74"/>
      <c r="AR7468" s="77"/>
      <c r="AT7468" s="497">
        <v>50</v>
      </c>
      <c r="AV7468" s="42"/>
      <c r="AW7468" s="74"/>
      <c r="AX7468" s="77"/>
      <c r="BA7468" s="497">
        <v>35.96</v>
      </c>
      <c r="BB7468" s="42"/>
      <c r="BC7468" s="74"/>
      <c r="BD7468" s="77"/>
      <c r="BF7468">
        <v>37.04</v>
      </c>
      <c r="BH7468" s="42"/>
      <c r="BI7468" s="74"/>
      <c r="BJ7468" s="77"/>
      <c r="BL7468" s="497">
        <v>39.92</v>
      </c>
      <c r="BN7468" s="42"/>
      <c r="BO7468" s="74"/>
      <c r="BP7468" s="77"/>
      <c r="BR7468" s="497">
        <v>30.02</v>
      </c>
      <c r="BT7468" s="42"/>
    </row>
    <row r="7469" spans="1:72" x14ac:dyDescent="0.25">
      <c r="A7469" s="90">
        <v>36837</v>
      </c>
      <c r="B7469" s="20">
        <v>0.45833333333333331</v>
      </c>
      <c r="D7469">
        <v>53.06</v>
      </c>
      <c r="E7469" t="str">
        <f t="shared" si="268"/>
        <v>WEEKDAY</v>
      </c>
      <c r="F7469" t="e">
        <f t="shared" si="269"/>
        <v>#N/A</v>
      </c>
      <c r="G7469" s="74">
        <v>28801</v>
      </c>
      <c r="H7469" s="77">
        <v>0.45833333333333331</v>
      </c>
      <c r="J7469">
        <v>59</v>
      </c>
      <c r="M7469" s="74">
        <v>36106</v>
      </c>
      <c r="N7469" s="77">
        <v>0.45833333333333331</v>
      </c>
      <c r="P7469">
        <v>48.2</v>
      </c>
      <c r="S7469" s="74">
        <v>36837</v>
      </c>
      <c r="T7469" s="77">
        <v>0.45833333333333331</v>
      </c>
      <c r="V7469">
        <v>51.980000000000004</v>
      </c>
      <c r="X7469" s="42"/>
      <c r="AB7469">
        <v>51.5</v>
      </c>
      <c r="AC7469">
        <v>51.08</v>
      </c>
      <c r="AE7469" s="74"/>
      <c r="AF7469" s="77"/>
      <c r="AH7469" s="497">
        <v>60.8</v>
      </c>
      <c r="AJ7469" s="42"/>
      <c r="AK7469" s="74"/>
      <c r="AL7469" s="77"/>
      <c r="AN7469" s="497">
        <v>35.06</v>
      </c>
      <c r="AP7469" s="42"/>
      <c r="AQ7469" s="74"/>
      <c r="AR7469" s="77"/>
      <c r="AT7469" s="497">
        <v>57.019999999999996</v>
      </c>
      <c r="AV7469" s="42"/>
      <c r="AW7469" s="74"/>
      <c r="AX7469" s="77"/>
      <c r="BA7469" s="497">
        <v>35.96</v>
      </c>
      <c r="BB7469" s="42"/>
      <c r="BC7469" s="74"/>
      <c r="BD7469" s="77"/>
      <c r="BF7469">
        <v>35.96</v>
      </c>
      <c r="BH7469" s="42"/>
      <c r="BI7469" s="74"/>
      <c r="BJ7469" s="77"/>
      <c r="BL7469" s="497">
        <v>41</v>
      </c>
      <c r="BN7469" s="42"/>
      <c r="BO7469" s="74"/>
      <c r="BP7469" s="77"/>
      <c r="BR7469" s="497">
        <v>30.92</v>
      </c>
      <c r="BT7469" s="42"/>
    </row>
    <row r="7470" spans="1:72" x14ac:dyDescent="0.25">
      <c r="A7470" s="90">
        <v>36837</v>
      </c>
      <c r="B7470" s="20">
        <v>0.5</v>
      </c>
      <c r="D7470">
        <v>55.040000000000006</v>
      </c>
      <c r="E7470" t="str">
        <f t="shared" si="268"/>
        <v>WEEKDAY</v>
      </c>
      <c r="F7470" t="e">
        <f t="shared" si="269"/>
        <v>#N/A</v>
      </c>
      <c r="G7470" s="74">
        <v>28801</v>
      </c>
      <c r="H7470" s="77">
        <v>0.5</v>
      </c>
      <c r="J7470">
        <v>60.980000000000004</v>
      </c>
      <c r="M7470" s="74">
        <v>36106</v>
      </c>
      <c r="N7470" s="77">
        <v>0.5</v>
      </c>
      <c r="P7470">
        <v>46.4</v>
      </c>
      <c r="S7470" s="74">
        <v>36837</v>
      </c>
      <c r="T7470" s="77">
        <v>0.5</v>
      </c>
      <c r="V7470">
        <v>53.06</v>
      </c>
      <c r="X7470" s="42"/>
      <c r="AB7470">
        <v>52.9</v>
      </c>
      <c r="AC7470">
        <v>53.06</v>
      </c>
      <c r="AE7470" s="74"/>
      <c r="AF7470" s="77"/>
      <c r="AH7470" s="497">
        <v>60.8</v>
      </c>
      <c r="AJ7470" s="42"/>
      <c r="AK7470" s="74"/>
      <c r="AL7470" s="77"/>
      <c r="AN7470" s="497">
        <v>35.06</v>
      </c>
      <c r="AP7470" s="42"/>
      <c r="AQ7470" s="74"/>
      <c r="AR7470" s="77"/>
      <c r="AT7470" s="497">
        <v>60.980000000000004</v>
      </c>
      <c r="AV7470" s="42"/>
      <c r="AW7470" s="74"/>
      <c r="AX7470" s="77"/>
      <c r="BA7470" s="497">
        <v>35.96</v>
      </c>
      <c r="BB7470" s="42"/>
      <c r="BC7470" s="74"/>
      <c r="BD7470" s="77"/>
      <c r="BF7470">
        <v>39.019999999999996</v>
      </c>
      <c r="BH7470" s="42"/>
      <c r="BI7470" s="74"/>
      <c r="BJ7470" s="77"/>
      <c r="BL7470" s="497">
        <v>42.08</v>
      </c>
      <c r="BN7470" s="42"/>
      <c r="BO7470" s="74"/>
      <c r="BP7470" s="77"/>
      <c r="BR7470" s="497">
        <v>33.08</v>
      </c>
      <c r="BT7470" s="42"/>
    </row>
    <row r="7471" spans="1:72" x14ac:dyDescent="0.25">
      <c r="A7471" s="90">
        <v>36837</v>
      </c>
      <c r="B7471" s="20">
        <v>0.54166666666666663</v>
      </c>
      <c r="D7471">
        <v>57.019999999999996</v>
      </c>
      <c r="E7471" t="str">
        <f t="shared" si="268"/>
        <v>WEEKDAY</v>
      </c>
      <c r="F7471" t="e">
        <f t="shared" si="269"/>
        <v>#N/A</v>
      </c>
      <c r="G7471" s="74">
        <v>28801</v>
      </c>
      <c r="H7471" s="77">
        <v>0.54166666666666663</v>
      </c>
      <c r="J7471">
        <v>60.08</v>
      </c>
      <c r="M7471" s="74">
        <v>36106</v>
      </c>
      <c r="N7471" s="77">
        <v>0.54166666666666663</v>
      </c>
      <c r="P7471">
        <v>48.2</v>
      </c>
      <c r="S7471" s="74">
        <v>36837</v>
      </c>
      <c r="T7471" s="77">
        <v>0.54166666666666663</v>
      </c>
      <c r="V7471">
        <v>55.040000000000006</v>
      </c>
      <c r="X7471" s="42"/>
      <c r="AB7471">
        <v>54</v>
      </c>
      <c r="AC7471">
        <v>53.06</v>
      </c>
      <c r="AE7471" s="74"/>
      <c r="AF7471" s="77"/>
      <c r="AH7471" s="497">
        <v>64.400000000000006</v>
      </c>
      <c r="AJ7471" s="42"/>
      <c r="AK7471" s="74"/>
      <c r="AL7471" s="77"/>
      <c r="AN7471" s="497">
        <v>35.06</v>
      </c>
      <c r="AP7471" s="42"/>
      <c r="AQ7471" s="74"/>
      <c r="AR7471" s="77"/>
      <c r="AT7471" s="497">
        <v>62.06</v>
      </c>
      <c r="AV7471" s="42"/>
      <c r="AW7471" s="74"/>
      <c r="AX7471" s="77"/>
      <c r="BA7471" s="497">
        <v>37.94</v>
      </c>
      <c r="BB7471" s="42"/>
      <c r="BC7471" s="74"/>
      <c r="BD7471" s="77"/>
      <c r="BF7471">
        <v>37.94</v>
      </c>
      <c r="BH7471" s="42"/>
      <c r="BI7471" s="74"/>
      <c r="BJ7471" s="77"/>
      <c r="BL7471" s="497">
        <v>42.980000000000004</v>
      </c>
      <c r="BN7471" s="42"/>
      <c r="BO7471" s="74"/>
      <c r="BP7471" s="77"/>
      <c r="BR7471" s="497">
        <v>33.979999999999997</v>
      </c>
      <c r="BT7471" s="42"/>
    </row>
    <row r="7472" spans="1:72" x14ac:dyDescent="0.25">
      <c r="A7472" s="90">
        <v>36837</v>
      </c>
      <c r="B7472" s="20">
        <v>0.58333333333333337</v>
      </c>
      <c r="D7472">
        <v>57.019999999999996</v>
      </c>
      <c r="E7472" t="str">
        <f t="shared" si="268"/>
        <v>WEEKDAY</v>
      </c>
      <c r="F7472" t="e">
        <f t="shared" si="269"/>
        <v>#N/A</v>
      </c>
      <c r="G7472" s="74">
        <v>28801</v>
      </c>
      <c r="H7472" s="77">
        <v>0.58333333333333337</v>
      </c>
      <c r="J7472">
        <v>60.08</v>
      </c>
      <c r="M7472" s="74">
        <v>36106</v>
      </c>
      <c r="N7472" s="77">
        <v>0.58333333333333337</v>
      </c>
      <c r="P7472">
        <v>50</v>
      </c>
      <c r="S7472" s="74">
        <v>36837</v>
      </c>
      <c r="T7472" s="77">
        <v>0.58333333333333337</v>
      </c>
      <c r="V7472">
        <v>55.94</v>
      </c>
      <c r="X7472" s="42"/>
      <c r="AB7472">
        <v>54.6</v>
      </c>
      <c r="AC7472">
        <v>55.040000000000006</v>
      </c>
      <c r="AE7472" s="74"/>
      <c r="AF7472" s="77"/>
      <c r="AH7472" s="497">
        <v>60.8</v>
      </c>
      <c r="AJ7472" s="42"/>
      <c r="AK7472" s="74"/>
      <c r="AL7472" s="77"/>
      <c r="AN7472" s="497">
        <v>37.04</v>
      </c>
      <c r="AP7472" s="42"/>
      <c r="AQ7472" s="74"/>
      <c r="AR7472" s="77"/>
      <c r="AT7472" s="497">
        <v>64.94</v>
      </c>
      <c r="AV7472" s="42"/>
      <c r="AW7472" s="74"/>
      <c r="AX7472" s="77"/>
      <c r="BA7472" s="497">
        <v>37.94</v>
      </c>
      <c r="BB7472" s="42"/>
      <c r="BC7472" s="74"/>
      <c r="BD7472" s="77"/>
      <c r="BF7472">
        <v>39.019999999999996</v>
      </c>
      <c r="BH7472" s="42"/>
      <c r="BI7472" s="74"/>
      <c r="BJ7472" s="77"/>
      <c r="BL7472" s="497">
        <v>39.019999999999996</v>
      </c>
      <c r="BN7472" s="42"/>
      <c r="BO7472" s="74"/>
      <c r="BP7472" s="77"/>
      <c r="BR7472" s="497">
        <v>35.96</v>
      </c>
      <c r="BT7472" s="42"/>
    </row>
    <row r="7473" spans="1:72" x14ac:dyDescent="0.25">
      <c r="A7473" s="90">
        <v>36837</v>
      </c>
      <c r="B7473" s="20">
        <v>0.625</v>
      </c>
      <c r="D7473">
        <v>57.92</v>
      </c>
      <c r="E7473" t="str">
        <f t="shared" si="268"/>
        <v>WEEKDAY</v>
      </c>
      <c r="F7473" t="e">
        <f t="shared" si="269"/>
        <v>#N/A</v>
      </c>
      <c r="G7473" s="74">
        <v>28801</v>
      </c>
      <c r="H7473" s="77">
        <v>0.625</v>
      </c>
      <c r="J7473">
        <v>60.08</v>
      </c>
      <c r="M7473" s="74">
        <v>36106</v>
      </c>
      <c r="N7473" s="77">
        <v>0.625</v>
      </c>
      <c r="P7473">
        <v>48.2</v>
      </c>
      <c r="S7473" s="74">
        <v>36837</v>
      </c>
      <c r="T7473" s="77">
        <v>0.625</v>
      </c>
      <c r="V7473">
        <v>55.040000000000006</v>
      </c>
      <c r="X7473" s="42"/>
      <c r="AB7473">
        <v>54.9</v>
      </c>
      <c r="AC7473">
        <v>53.96</v>
      </c>
      <c r="AE7473" s="74"/>
      <c r="AF7473" s="77"/>
      <c r="AH7473" s="497">
        <v>60.8</v>
      </c>
      <c r="AJ7473" s="42"/>
      <c r="AK7473" s="74"/>
      <c r="AL7473" s="77"/>
      <c r="AN7473" s="497">
        <v>35.96</v>
      </c>
      <c r="AP7473" s="42"/>
      <c r="AQ7473" s="74"/>
      <c r="AR7473" s="77"/>
      <c r="AT7473" s="497">
        <v>64.039999999999992</v>
      </c>
      <c r="AV7473" s="42"/>
      <c r="AW7473" s="74"/>
      <c r="AX7473" s="77"/>
      <c r="BA7473" s="497">
        <v>39.92</v>
      </c>
      <c r="BB7473" s="42"/>
      <c r="BC7473" s="74"/>
      <c r="BD7473" s="77"/>
      <c r="BF7473">
        <v>39.92</v>
      </c>
      <c r="BH7473" s="42"/>
      <c r="BI7473" s="74"/>
      <c r="BJ7473" s="77"/>
      <c r="BL7473" s="497">
        <v>39.92</v>
      </c>
      <c r="BN7473" s="42"/>
      <c r="BO7473" s="74"/>
      <c r="BP7473" s="77"/>
      <c r="BR7473" s="497">
        <v>35.06</v>
      </c>
      <c r="BT7473" s="42"/>
    </row>
    <row r="7474" spans="1:72" x14ac:dyDescent="0.25">
      <c r="A7474" s="90">
        <v>36837</v>
      </c>
      <c r="B7474" s="20">
        <v>0.66666666666666663</v>
      </c>
      <c r="D7474">
        <v>57.92</v>
      </c>
      <c r="E7474" t="str">
        <f t="shared" si="268"/>
        <v>WEEKDAY</v>
      </c>
      <c r="F7474" t="e">
        <f t="shared" si="269"/>
        <v>#N/A</v>
      </c>
      <c r="G7474" s="74">
        <v>28801</v>
      </c>
      <c r="H7474" s="77">
        <v>0.66666666666666663</v>
      </c>
      <c r="J7474">
        <v>59</v>
      </c>
      <c r="M7474" s="74">
        <v>36106</v>
      </c>
      <c r="N7474" s="77">
        <v>0.66666666666666663</v>
      </c>
      <c r="P7474">
        <v>48.2</v>
      </c>
      <c r="S7474" s="74">
        <v>36837</v>
      </c>
      <c r="T7474" s="77">
        <v>0.66666666666666663</v>
      </c>
      <c r="V7474">
        <v>55.94</v>
      </c>
      <c r="X7474" s="42"/>
      <c r="AB7474">
        <v>54.5</v>
      </c>
      <c r="AC7474">
        <v>53.96</v>
      </c>
      <c r="AE7474" s="74"/>
      <c r="AF7474" s="77"/>
      <c r="AH7474" s="497">
        <v>57.2</v>
      </c>
      <c r="AJ7474" s="42"/>
      <c r="AK7474" s="74"/>
      <c r="AL7474" s="77"/>
      <c r="AN7474" s="497">
        <v>35.96</v>
      </c>
      <c r="AP7474" s="42"/>
      <c r="AQ7474" s="74"/>
      <c r="AR7474" s="77"/>
      <c r="AT7474" s="497">
        <v>62.96</v>
      </c>
      <c r="AV7474" s="42"/>
      <c r="AW7474" s="74"/>
      <c r="AX7474" s="77"/>
      <c r="BA7474" s="497">
        <v>39.92</v>
      </c>
      <c r="BB7474" s="42"/>
      <c r="BC7474" s="74"/>
      <c r="BD7474" s="77"/>
      <c r="BF7474">
        <v>42.08</v>
      </c>
      <c r="BH7474" s="42"/>
      <c r="BI7474" s="74"/>
      <c r="BJ7474" s="77"/>
      <c r="BL7474" s="497">
        <v>39.92</v>
      </c>
      <c r="BN7474" s="42"/>
      <c r="BO7474" s="74"/>
      <c r="BP7474" s="77"/>
      <c r="BR7474" s="497">
        <v>35.06</v>
      </c>
      <c r="BT7474" s="42"/>
    </row>
    <row r="7475" spans="1:72" x14ac:dyDescent="0.25">
      <c r="A7475" s="90">
        <v>36837</v>
      </c>
      <c r="B7475" s="20">
        <v>0.70833333333333337</v>
      </c>
      <c r="D7475">
        <v>57.019999999999996</v>
      </c>
      <c r="E7475" t="str">
        <f t="shared" si="268"/>
        <v>WEEKDAY</v>
      </c>
      <c r="F7475" t="e">
        <f t="shared" si="269"/>
        <v>#N/A</v>
      </c>
      <c r="G7475" s="74">
        <v>28801</v>
      </c>
      <c r="H7475" s="77">
        <v>0.70833333333333337</v>
      </c>
      <c r="J7475">
        <v>57.92</v>
      </c>
      <c r="M7475" s="74">
        <v>36106</v>
      </c>
      <c r="N7475" s="77">
        <v>0.70833333333333337</v>
      </c>
      <c r="P7475">
        <v>46.4</v>
      </c>
      <c r="S7475" s="74">
        <v>36837</v>
      </c>
      <c r="T7475" s="77">
        <v>0.70833333333333337</v>
      </c>
      <c r="V7475">
        <v>53.96</v>
      </c>
      <c r="X7475" s="42"/>
      <c r="AB7475">
        <v>53.5</v>
      </c>
      <c r="AC7475">
        <v>51.08</v>
      </c>
      <c r="AE7475" s="74"/>
      <c r="AF7475" s="77"/>
      <c r="AH7475" s="497">
        <v>55.400000000000006</v>
      </c>
      <c r="AJ7475" s="42"/>
      <c r="AK7475" s="74"/>
      <c r="AL7475" s="77"/>
      <c r="AN7475" s="497">
        <v>35.96</v>
      </c>
      <c r="AP7475" s="42"/>
      <c r="AQ7475" s="74"/>
      <c r="AR7475" s="77"/>
      <c r="AT7475" s="497">
        <v>60.08</v>
      </c>
      <c r="AV7475" s="42"/>
      <c r="AW7475" s="74"/>
      <c r="AX7475" s="77"/>
      <c r="BA7475" s="497">
        <v>37.94</v>
      </c>
      <c r="BB7475" s="42"/>
      <c r="BC7475" s="74"/>
      <c r="BD7475" s="77"/>
      <c r="BF7475">
        <v>41</v>
      </c>
      <c r="BH7475" s="42"/>
      <c r="BI7475" s="74"/>
      <c r="BJ7475" s="77"/>
      <c r="BL7475" s="497">
        <v>39.019999999999996</v>
      </c>
      <c r="BN7475" s="42"/>
      <c r="BO7475" s="74"/>
      <c r="BP7475" s="77"/>
      <c r="BR7475" s="497">
        <v>32</v>
      </c>
      <c r="BT7475" s="42"/>
    </row>
    <row r="7476" spans="1:72" x14ac:dyDescent="0.25">
      <c r="A7476" s="90">
        <v>36837</v>
      </c>
      <c r="B7476" s="20">
        <v>0.75</v>
      </c>
      <c r="D7476">
        <v>55.94</v>
      </c>
      <c r="E7476" t="str">
        <f t="shared" si="268"/>
        <v>WEEKDAY</v>
      </c>
      <c r="F7476" t="e">
        <f t="shared" si="269"/>
        <v>#N/A</v>
      </c>
      <c r="G7476" s="74">
        <v>28801</v>
      </c>
      <c r="H7476" s="77">
        <v>0.75</v>
      </c>
      <c r="J7476">
        <v>55.94</v>
      </c>
      <c r="M7476" s="74">
        <v>36106</v>
      </c>
      <c r="N7476" s="77">
        <v>0.75</v>
      </c>
      <c r="P7476">
        <v>44.6</v>
      </c>
      <c r="S7476" s="74">
        <v>36837</v>
      </c>
      <c r="T7476" s="77">
        <v>0.75</v>
      </c>
      <c r="V7476">
        <v>51.08</v>
      </c>
      <c r="X7476" s="42"/>
      <c r="AB7476">
        <v>52.1</v>
      </c>
      <c r="AC7476">
        <v>48.92</v>
      </c>
      <c r="AE7476" s="74"/>
      <c r="AF7476" s="77"/>
      <c r="AH7476" s="497">
        <v>55.400000000000006</v>
      </c>
      <c r="AJ7476" s="42"/>
      <c r="AK7476" s="74"/>
      <c r="AL7476" s="77"/>
      <c r="AN7476" s="497">
        <v>37.04</v>
      </c>
      <c r="AP7476" s="42"/>
      <c r="AQ7476" s="74"/>
      <c r="AR7476" s="77"/>
      <c r="AT7476" s="497">
        <v>64.039999999999992</v>
      </c>
      <c r="AV7476" s="42"/>
      <c r="AW7476" s="74"/>
      <c r="AX7476" s="77"/>
      <c r="BA7476" s="497">
        <v>33.08</v>
      </c>
      <c r="BB7476" s="42"/>
      <c r="BC7476" s="74"/>
      <c r="BD7476" s="77"/>
      <c r="BF7476">
        <v>41</v>
      </c>
      <c r="BH7476" s="42"/>
      <c r="BI7476" s="74"/>
      <c r="BJ7476" s="77"/>
      <c r="BL7476" s="497">
        <v>37.04</v>
      </c>
      <c r="BN7476" s="42"/>
      <c r="BO7476" s="74"/>
      <c r="BP7476" s="77"/>
      <c r="BR7476" s="497">
        <v>32</v>
      </c>
      <c r="BT7476" s="42"/>
    </row>
    <row r="7477" spans="1:72" x14ac:dyDescent="0.25">
      <c r="A7477" s="90">
        <v>36837</v>
      </c>
      <c r="B7477" s="20">
        <v>0.79166666666666663</v>
      </c>
      <c r="D7477">
        <v>55.040000000000006</v>
      </c>
      <c r="E7477" t="str">
        <f t="shared" si="268"/>
        <v>WEEKDAY</v>
      </c>
      <c r="F7477" t="e">
        <f t="shared" si="269"/>
        <v>#N/A</v>
      </c>
      <c r="G7477" s="74">
        <v>28801</v>
      </c>
      <c r="H7477" s="77">
        <v>0.79166666666666663</v>
      </c>
      <c r="J7477">
        <v>55.040000000000006</v>
      </c>
      <c r="M7477" s="74">
        <v>36106</v>
      </c>
      <c r="N7477" s="77">
        <v>0.79166666666666663</v>
      </c>
      <c r="P7477">
        <v>42.8</v>
      </c>
      <c r="S7477" s="74">
        <v>36837</v>
      </c>
      <c r="T7477" s="77">
        <v>0.79166666666666663</v>
      </c>
      <c r="V7477">
        <v>53.06</v>
      </c>
      <c r="X7477" s="42"/>
      <c r="AB7477">
        <v>51.4</v>
      </c>
      <c r="AC7477">
        <v>46.94</v>
      </c>
      <c r="AE7477" s="74"/>
      <c r="AF7477" s="77"/>
      <c r="AH7477" s="497">
        <v>51.8</v>
      </c>
      <c r="AJ7477" s="42"/>
      <c r="AK7477" s="74"/>
      <c r="AL7477" s="77"/>
      <c r="AN7477" s="497">
        <v>35.96</v>
      </c>
      <c r="AP7477" s="42"/>
      <c r="AQ7477" s="74"/>
      <c r="AR7477" s="77"/>
      <c r="AT7477" s="497">
        <v>62.06</v>
      </c>
      <c r="AV7477" s="42"/>
      <c r="AW7477" s="74"/>
      <c r="AX7477" s="77"/>
      <c r="BA7477" s="497">
        <v>33.08</v>
      </c>
      <c r="BB7477" s="42"/>
      <c r="BC7477" s="74"/>
      <c r="BD7477" s="77"/>
      <c r="BF7477">
        <v>41</v>
      </c>
      <c r="BH7477" s="42"/>
      <c r="BI7477" s="74"/>
      <c r="BJ7477" s="77"/>
      <c r="BL7477" s="497">
        <v>37.94</v>
      </c>
      <c r="BN7477" s="42"/>
      <c r="BO7477" s="74"/>
      <c r="BP7477" s="77"/>
      <c r="BR7477" s="497">
        <v>32</v>
      </c>
      <c r="BT7477" s="42"/>
    </row>
    <row r="7478" spans="1:72" x14ac:dyDescent="0.25">
      <c r="A7478" s="90">
        <v>36837</v>
      </c>
      <c r="B7478" s="20">
        <v>0.83333333333333337</v>
      </c>
      <c r="D7478">
        <v>53.96</v>
      </c>
      <c r="E7478" t="str">
        <f t="shared" si="268"/>
        <v>WEEKDAY</v>
      </c>
      <c r="F7478" t="e">
        <f t="shared" si="269"/>
        <v>#N/A</v>
      </c>
      <c r="G7478" s="74">
        <v>28801</v>
      </c>
      <c r="H7478" s="77">
        <v>0.83333333333333337</v>
      </c>
      <c r="J7478">
        <v>55.040000000000006</v>
      </c>
      <c r="M7478" s="74">
        <v>36106</v>
      </c>
      <c r="N7478" s="77">
        <v>0.83333333333333337</v>
      </c>
      <c r="P7478">
        <v>42.8</v>
      </c>
      <c r="S7478" s="74">
        <v>36837</v>
      </c>
      <c r="T7478" s="77">
        <v>0.83333333333333337</v>
      </c>
      <c r="V7478">
        <v>50</v>
      </c>
      <c r="X7478" s="42"/>
      <c r="AB7478">
        <v>51</v>
      </c>
      <c r="AC7478">
        <v>46.94</v>
      </c>
      <c r="AE7478" s="74"/>
      <c r="AF7478" s="77"/>
      <c r="AH7478" s="497">
        <v>46.4</v>
      </c>
      <c r="AJ7478" s="42"/>
      <c r="AK7478" s="74"/>
      <c r="AL7478" s="77"/>
      <c r="AN7478" s="497">
        <v>35.06</v>
      </c>
      <c r="AP7478" s="42"/>
      <c r="AQ7478" s="74"/>
      <c r="AR7478" s="77"/>
      <c r="AT7478" s="497">
        <v>57.92</v>
      </c>
      <c r="AV7478" s="42"/>
      <c r="AW7478" s="74"/>
      <c r="AX7478" s="77"/>
      <c r="BA7478" s="497">
        <v>33.08</v>
      </c>
      <c r="BB7478" s="42"/>
      <c r="BC7478" s="74"/>
      <c r="BD7478" s="77"/>
      <c r="BF7478">
        <v>41</v>
      </c>
      <c r="BH7478" s="42"/>
      <c r="BI7478" s="74"/>
      <c r="BJ7478" s="77"/>
      <c r="BL7478" s="497">
        <v>37.94</v>
      </c>
      <c r="BN7478" s="42"/>
      <c r="BO7478" s="74"/>
      <c r="BP7478" s="77"/>
      <c r="BR7478" s="497">
        <v>33.08</v>
      </c>
      <c r="BT7478" s="42"/>
    </row>
    <row r="7479" spans="1:72" x14ac:dyDescent="0.25">
      <c r="A7479" s="90">
        <v>36837</v>
      </c>
      <c r="B7479" s="20">
        <v>0.875</v>
      </c>
      <c r="D7479">
        <v>53.06</v>
      </c>
      <c r="E7479" t="str">
        <f t="shared" si="268"/>
        <v>WEEKDAY</v>
      </c>
      <c r="F7479" t="e">
        <f t="shared" si="269"/>
        <v>#N/A</v>
      </c>
      <c r="G7479" s="74">
        <v>28801</v>
      </c>
      <c r="H7479" s="77">
        <v>0.875</v>
      </c>
      <c r="J7479">
        <v>53.06</v>
      </c>
      <c r="M7479" s="74">
        <v>36106</v>
      </c>
      <c r="N7479" s="77">
        <v>0.875</v>
      </c>
      <c r="P7479">
        <v>41</v>
      </c>
      <c r="S7479" s="74">
        <v>36837</v>
      </c>
      <c r="T7479" s="77">
        <v>0.875</v>
      </c>
      <c r="V7479">
        <v>48.92</v>
      </c>
      <c r="X7479" s="42"/>
      <c r="AB7479">
        <v>50.4</v>
      </c>
      <c r="AC7479">
        <v>46.94</v>
      </c>
      <c r="AE7479" s="74"/>
      <c r="AF7479" s="77"/>
      <c r="AH7479" s="497">
        <v>39.200000000000003</v>
      </c>
      <c r="AJ7479" s="42"/>
      <c r="AK7479" s="74"/>
      <c r="AL7479" s="77"/>
      <c r="AN7479" s="497">
        <v>35.06</v>
      </c>
      <c r="AP7479" s="42"/>
      <c r="AQ7479" s="74"/>
      <c r="AR7479" s="77"/>
      <c r="AT7479" s="497">
        <v>55.94</v>
      </c>
      <c r="AV7479" s="42"/>
      <c r="AW7479" s="74"/>
      <c r="AX7479" s="77"/>
      <c r="BA7479" s="497">
        <v>32</v>
      </c>
      <c r="BB7479" s="42"/>
      <c r="BC7479" s="74"/>
      <c r="BD7479" s="77"/>
      <c r="BF7479">
        <v>41</v>
      </c>
      <c r="BH7479" s="42"/>
      <c r="BI7479" s="74"/>
      <c r="BJ7479" s="77"/>
      <c r="BL7479" s="497">
        <v>39.92</v>
      </c>
      <c r="BN7479" s="42"/>
      <c r="BO7479" s="74"/>
      <c r="BP7479" s="77"/>
      <c r="BR7479" s="497">
        <v>32</v>
      </c>
      <c r="BT7479" s="42"/>
    </row>
    <row r="7480" spans="1:72" x14ac:dyDescent="0.25">
      <c r="A7480" s="90">
        <v>36837</v>
      </c>
      <c r="B7480" s="20">
        <v>0.91666666666666663</v>
      </c>
      <c r="D7480">
        <v>53.06</v>
      </c>
      <c r="E7480" t="str">
        <f t="shared" si="268"/>
        <v>WEEKDAY</v>
      </c>
      <c r="F7480" t="e">
        <f t="shared" si="269"/>
        <v>#N/A</v>
      </c>
      <c r="G7480" s="74">
        <v>28801</v>
      </c>
      <c r="H7480" s="77">
        <v>0.91666666666666663</v>
      </c>
      <c r="J7480">
        <v>51.980000000000004</v>
      </c>
      <c r="M7480" s="74">
        <v>36106</v>
      </c>
      <c r="N7480" s="77">
        <v>0.91666666666666663</v>
      </c>
      <c r="P7480">
        <v>37.4</v>
      </c>
      <c r="S7480" s="74">
        <v>36837</v>
      </c>
      <c r="T7480" s="77">
        <v>0.91666666666666663</v>
      </c>
      <c r="V7480">
        <v>46.94</v>
      </c>
      <c r="X7480" s="42"/>
      <c r="AB7480">
        <v>49.7</v>
      </c>
      <c r="AC7480">
        <v>48.019999999999996</v>
      </c>
      <c r="AE7480" s="74"/>
      <c r="AF7480" s="77"/>
      <c r="AH7480" s="497">
        <v>37.4</v>
      </c>
      <c r="AJ7480" s="42"/>
      <c r="AK7480" s="74"/>
      <c r="AL7480" s="77"/>
      <c r="AN7480" s="497">
        <v>35.06</v>
      </c>
      <c r="AP7480" s="42"/>
      <c r="AQ7480" s="74"/>
      <c r="AR7480" s="77"/>
      <c r="AT7480" s="497">
        <v>53.06</v>
      </c>
      <c r="AV7480" s="42"/>
      <c r="AW7480" s="74"/>
      <c r="AX7480" s="77"/>
      <c r="BA7480" s="497">
        <v>32</v>
      </c>
      <c r="BB7480" s="42"/>
      <c r="BC7480" s="74"/>
      <c r="BD7480" s="77"/>
      <c r="BF7480">
        <v>39.019999999999996</v>
      </c>
      <c r="BH7480" s="42"/>
      <c r="BI7480" s="74"/>
      <c r="BJ7480" s="77"/>
      <c r="BL7480" s="497">
        <v>39.92</v>
      </c>
      <c r="BN7480" s="42"/>
      <c r="BO7480" s="74"/>
      <c r="BP7480" s="77"/>
      <c r="BR7480" s="497">
        <v>35.06</v>
      </c>
      <c r="BT7480" s="42"/>
    </row>
    <row r="7481" spans="1:72" x14ac:dyDescent="0.25">
      <c r="A7481" s="90">
        <v>36837</v>
      </c>
      <c r="B7481" s="20">
        <v>0.95833333333333337</v>
      </c>
      <c r="D7481">
        <v>51.980000000000004</v>
      </c>
      <c r="E7481" t="str">
        <f t="shared" si="268"/>
        <v>WEEKDAY</v>
      </c>
      <c r="F7481" t="e">
        <f t="shared" si="269"/>
        <v>#N/A</v>
      </c>
      <c r="G7481" s="74">
        <v>28801</v>
      </c>
      <c r="H7481" s="77">
        <v>0.95833333333333337</v>
      </c>
      <c r="J7481">
        <v>51.08</v>
      </c>
      <c r="M7481" s="74">
        <v>36106</v>
      </c>
      <c r="N7481" s="77">
        <v>0.95833333333333337</v>
      </c>
      <c r="P7481">
        <v>39.200000000000003</v>
      </c>
      <c r="S7481" s="74">
        <v>36837</v>
      </c>
      <c r="T7481" s="77">
        <v>0.95833333333333337</v>
      </c>
      <c r="V7481">
        <v>46.04</v>
      </c>
      <c r="X7481" s="42"/>
      <c r="AB7481">
        <v>49.1</v>
      </c>
      <c r="AC7481">
        <v>48.019999999999996</v>
      </c>
      <c r="AE7481" s="74"/>
      <c r="AF7481" s="77"/>
      <c r="AH7481" s="497">
        <v>33.799999999999997</v>
      </c>
      <c r="AJ7481" s="42"/>
      <c r="AK7481" s="74"/>
      <c r="AL7481" s="77"/>
      <c r="AN7481" s="497">
        <v>35.96</v>
      </c>
      <c r="AP7481" s="42"/>
      <c r="AQ7481" s="74"/>
      <c r="AR7481" s="77"/>
      <c r="AT7481" s="497">
        <v>50</v>
      </c>
      <c r="AV7481" s="42"/>
      <c r="AW7481" s="74"/>
      <c r="AX7481" s="77"/>
      <c r="BA7481" s="497">
        <v>32</v>
      </c>
      <c r="BB7481" s="42"/>
      <c r="BC7481" s="74"/>
      <c r="BD7481" s="77"/>
      <c r="BF7481">
        <v>41</v>
      </c>
      <c r="BH7481" s="42"/>
      <c r="BI7481" s="74"/>
      <c r="BJ7481" s="77"/>
      <c r="BL7481" s="497">
        <v>39.92</v>
      </c>
      <c r="BN7481" s="42"/>
      <c r="BO7481" s="74"/>
      <c r="BP7481" s="77"/>
      <c r="BR7481" s="497">
        <v>35.96</v>
      </c>
      <c r="BT7481" s="42"/>
    </row>
    <row r="7482" spans="1:72" x14ac:dyDescent="0.25">
      <c r="A7482" s="90">
        <v>36837</v>
      </c>
      <c r="B7482" s="20">
        <v>1</v>
      </c>
      <c r="D7482">
        <v>51.08</v>
      </c>
      <c r="E7482" t="str">
        <f t="shared" si="268"/>
        <v>WEEKDAY</v>
      </c>
      <c r="F7482" t="e">
        <f t="shared" si="269"/>
        <v>#N/A</v>
      </c>
      <c r="G7482" s="74">
        <v>28801</v>
      </c>
      <c r="H7482" s="77">
        <v>1</v>
      </c>
      <c r="J7482">
        <v>51.08</v>
      </c>
      <c r="M7482" s="74">
        <v>36106</v>
      </c>
      <c r="N7482" s="80">
        <v>1</v>
      </c>
      <c r="P7482">
        <v>41</v>
      </c>
      <c r="S7482" s="74">
        <v>36837</v>
      </c>
      <c r="T7482" s="80">
        <v>1</v>
      </c>
      <c r="V7482">
        <v>46.04</v>
      </c>
      <c r="X7482" s="42"/>
      <c r="AB7482">
        <v>48.5</v>
      </c>
      <c r="AC7482">
        <v>48.92</v>
      </c>
      <c r="AE7482" s="74"/>
      <c r="AF7482" s="80"/>
      <c r="AH7482" s="497">
        <v>33.799999999999997</v>
      </c>
      <c r="AJ7482" s="42"/>
      <c r="AK7482" s="74"/>
      <c r="AL7482" s="80"/>
      <c r="AN7482" s="497">
        <v>35.96</v>
      </c>
      <c r="AP7482" s="42"/>
      <c r="AQ7482" s="74"/>
      <c r="AR7482" s="80"/>
      <c r="AT7482" s="497">
        <v>48.92</v>
      </c>
      <c r="AV7482" s="42"/>
      <c r="AW7482" s="74"/>
      <c r="AX7482" s="80"/>
      <c r="BA7482" s="497">
        <v>30.02</v>
      </c>
      <c r="BB7482" s="42"/>
      <c r="BC7482" s="74"/>
      <c r="BD7482" s="80"/>
      <c r="BF7482">
        <v>41</v>
      </c>
      <c r="BH7482" s="42"/>
      <c r="BI7482" s="74"/>
      <c r="BJ7482" s="80"/>
      <c r="BL7482" s="497">
        <v>39.019999999999996</v>
      </c>
      <c r="BN7482" s="42"/>
      <c r="BO7482" s="74"/>
      <c r="BP7482" s="80"/>
      <c r="BR7482" s="497">
        <v>37.04</v>
      </c>
      <c r="BT7482" s="42"/>
    </row>
    <row r="7483" spans="1:72" x14ac:dyDescent="0.25">
      <c r="A7483" s="90">
        <v>36838</v>
      </c>
      <c r="B7483" s="20">
        <v>4.1666666666666664E-2</v>
      </c>
      <c r="D7483">
        <v>51.08</v>
      </c>
      <c r="E7483" t="str">
        <f t="shared" si="268"/>
        <v>WEEKDAY</v>
      </c>
      <c r="F7483" t="e">
        <f t="shared" si="269"/>
        <v>#N/A</v>
      </c>
      <c r="G7483" s="74">
        <v>28802</v>
      </c>
      <c r="H7483" s="77">
        <v>4.1666666666666664E-2</v>
      </c>
      <c r="J7483">
        <v>50</v>
      </c>
      <c r="M7483" s="74">
        <v>36107</v>
      </c>
      <c r="N7483" s="77">
        <v>4.1666666666666664E-2</v>
      </c>
      <c r="P7483">
        <v>41</v>
      </c>
      <c r="S7483" s="74">
        <v>36838</v>
      </c>
      <c r="T7483" s="77">
        <v>4.1666666666666664E-2</v>
      </c>
      <c r="V7483">
        <v>42.980000000000004</v>
      </c>
      <c r="X7483" s="42"/>
      <c r="AB7483">
        <v>48</v>
      </c>
      <c r="AC7483">
        <v>50</v>
      </c>
      <c r="AE7483" s="74"/>
      <c r="AF7483" s="77"/>
      <c r="AH7483" s="497">
        <v>32</v>
      </c>
      <c r="AJ7483" s="42"/>
      <c r="AK7483" s="74"/>
      <c r="AL7483" s="77"/>
      <c r="AN7483" s="497">
        <v>35.96</v>
      </c>
      <c r="AP7483" s="42"/>
      <c r="AQ7483" s="74"/>
      <c r="AR7483" s="77"/>
      <c r="AT7483" s="497">
        <v>46.94</v>
      </c>
      <c r="AV7483" s="42"/>
      <c r="AW7483" s="74"/>
      <c r="AX7483" s="77"/>
      <c r="BA7483" s="497">
        <v>28.94</v>
      </c>
      <c r="BB7483" s="42"/>
      <c r="BC7483" s="74"/>
      <c r="BD7483" s="77"/>
      <c r="BF7483">
        <v>41</v>
      </c>
      <c r="BH7483" s="42"/>
      <c r="BI7483" s="74"/>
      <c r="BJ7483" s="77"/>
      <c r="BL7483" s="497">
        <v>37.94</v>
      </c>
      <c r="BN7483" s="42"/>
      <c r="BO7483" s="74"/>
      <c r="BP7483" s="77"/>
      <c r="BR7483" s="497">
        <v>37.04</v>
      </c>
      <c r="BT7483" s="42"/>
    </row>
    <row r="7484" spans="1:72" x14ac:dyDescent="0.25">
      <c r="A7484" s="90">
        <v>36838</v>
      </c>
      <c r="B7484" s="20">
        <v>8.3333333333333329E-2</v>
      </c>
      <c r="D7484">
        <v>51.08</v>
      </c>
      <c r="E7484" t="str">
        <f t="shared" si="268"/>
        <v>WEEKDAY</v>
      </c>
      <c r="F7484" t="e">
        <f t="shared" si="269"/>
        <v>#N/A</v>
      </c>
      <c r="G7484" s="74">
        <v>28802</v>
      </c>
      <c r="H7484" s="77">
        <v>8.3333333333333329E-2</v>
      </c>
      <c r="J7484">
        <v>50</v>
      </c>
      <c r="M7484" s="74">
        <v>36107</v>
      </c>
      <c r="N7484" s="77">
        <v>8.3333333333333329E-2</v>
      </c>
      <c r="P7484">
        <v>41</v>
      </c>
      <c r="S7484" s="74">
        <v>36838</v>
      </c>
      <c r="T7484" s="77">
        <v>8.3333333333333329E-2</v>
      </c>
      <c r="V7484">
        <v>44.96</v>
      </c>
      <c r="X7484" s="42"/>
      <c r="AB7484">
        <v>47.4</v>
      </c>
      <c r="AC7484">
        <v>48.019999999999996</v>
      </c>
      <c r="AE7484" s="74"/>
      <c r="AF7484" s="77"/>
      <c r="AH7484" s="497">
        <v>28.4</v>
      </c>
      <c r="AJ7484" s="42"/>
      <c r="AK7484" s="74"/>
      <c r="AL7484" s="77"/>
      <c r="AN7484" s="497">
        <v>33.08</v>
      </c>
      <c r="AP7484" s="42"/>
      <c r="AQ7484" s="74"/>
      <c r="AR7484" s="77"/>
      <c r="AT7484" s="497">
        <v>44.06</v>
      </c>
      <c r="AV7484" s="42"/>
      <c r="AW7484" s="74"/>
      <c r="AX7484" s="77"/>
      <c r="BA7484" s="497">
        <v>32</v>
      </c>
      <c r="BB7484" s="42"/>
      <c r="BC7484" s="74"/>
      <c r="BD7484" s="77"/>
      <c r="BF7484">
        <v>41</v>
      </c>
      <c r="BH7484" s="42"/>
      <c r="BI7484" s="74"/>
      <c r="BJ7484" s="77"/>
      <c r="BL7484" s="497">
        <v>39.019999999999996</v>
      </c>
      <c r="BN7484" s="42"/>
      <c r="BO7484" s="74"/>
      <c r="BP7484" s="77"/>
      <c r="BR7484" s="497">
        <v>37.04</v>
      </c>
      <c r="BT7484" s="42"/>
    </row>
    <row r="7485" spans="1:72" x14ac:dyDescent="0.25">
      <c r="A7485" s="90">
        <v>36838</v>
      </c>
      <c r="B7485" s="20">
        <v>0.125</v>
      </c>
      <c r="D7485">
        <v>51.08</v>
      </c>
      <c r="E7485" t="str">
        <f t="shared" si="268"/>
        <v>WEEKDAY</v>
      </c>
      <c r="F7485" t="e">
        <f t="shared" si="269"/>
        <v>#N/A</v>
      </c>
      <c r="G7485" s="74">
        <v>28802</v>
      </c>
      <c r="H7485" s="77">
        <v>0.125</v>
      </c>
      <c r="J7485">
        <v>48.92</v>
      </c>
      <c r="M7485" s="74">
        <v>36107</v>
      </c>
      <c r="N7485" s="77">
        <v>0.125</v>
      </c>
      <c r="P7485">
        <v>39.200000000000003</v>
      </c>
      <c r="S7485" s="74">
        <v>36838</v>
      </c>
      <c r="T7485" s="77">
        <v>0.125</v>
      </c>
      <c r="V7485">
        <v>44.06</v>
      </c>
      <c r="X7485" s="42"/>
      <c r="AB7485">
        <v>46.9</v>
      </c>
      <c r="AC7485">
        <v>46.94</v>
      </c>
      <c r="AE7485" s="74"/>
      <c r="AF7485" s="77"/>
      <c r="AH7485" s="497">
        <v>28.4</v>
      </c>
      <c r="AJ7485" s="42"/>
      <c r="AK7485" s="74"/>
      <c r="AL7485" s="77"/>
      <c r="AN7485" s="497">
        <v>33.08</v>
      </c>
      <c r="AP7485" s="42"/>
      <c r="AQ7485" s="74"/>
      <c r="AR7485" s="77"/>
      <c r="AT7485" s="497">
        <v>39.92</v>
      </c>
      <c r="AV7485" s="42"/>
      <c r="AW7485" s="74"/>
      <c r="AX7485" s="77"/>
      <c r="BA7485" s="497">
        <v>33.08</v>
      </c>
      <c r="BB7485" s="42"/>
      <c r="BC7485" s="74"/>
      <c r="BD7485" s="77"/>
      <c r="BF7485">
        <v>42.08</v>
      </c>
      <c r="BH7485" s="42"/>
      <c r="BI7485" s="74"/>
      <c r="BJ7485" s="77"/>
      <c r="BL7485" s="497">
        <v>39.92</v>
      </c>
      <c r="BN7485" s="42"/>
      <c r="BO7485" s="74"/>
      <c r="BP7485" s="77"/>
      <c r="BR7485" s="497">
        <v>37.04</v>
      </c>
      <c r="BT7485" s="42"/>
    </row>
    <row r="7486" spans="1:72" x14ac:dyDescent="0.25">
      <c r="A7486" s="90">
        <v>36838</v>
      </c>
      <c r="B7486" s="20">
        <v>0.16666666666666666</v>
      </c>
      <c r="D7486">
        <v>51.08</v>
      </c>
      <c r="E7486" t="str">
        <f t="shared" si="268"/>
        <v>WEEKDAY</v>
      </c>
      <c r="F7486" t="e">
        <f t="shared" si="269"/>
        <v>#N/A</v>
      </c>
      <c r="G7486" s="74">
        <v>28802</v>
      </c>
      <c r="H7486" s="77">
        <v>0.16666666666666666</v>
      </c>
      <c r="J7486">
        <v>48.92</v>
      </c>
      <c r="M7486" s="74">
        <v>36107</v>
      </c>
      <c r="N7486" s="77">
        <v>0.16666666666666666</v>
      </c>
      <c r="P7486">
        <v>39.200000000000003</v>
      </c>
      <c r="S7486" s="74">
        <v>36838</v>
      </c>
      <c r="T7486" s="77">
        <v>0.16666666666666666</v>
      </c>
      <c r="V7486">
        <v>42.980000000000004</v>
      </c>
      <c r="X7486" s="42"/>
      <c r="AB7486">
        <v>46.4</v>
      </c>
      <c r="AC7486">
        <v>46.04</v>
      </c>
      <c r="AE7486" s="74"/>
      <c r="AF7486" s="77"/>
      <c r="AH7486" s="497">
        <v>26.6</v>
      </c>
      <c r="AJ7486" s="42"/>
      <c r="AK7486" s="74"/>
      <c r="AL7486" s="77"/>
      <c r="AN7486" s="497">
        <v>33.08</v>
      </c>
      <c r="AP7486" s="42"/>
      <c r="AQ7486" s="74"/>
      <c r="AR7486" s="77"/>
      <c r="AT7486" s="497">
        <v>37.04</v>
      </c>
      <c r="AV7486" s="42"/>
      <c r="AW7486" s="74"/>
      <c r="AX7486" s="77"/>
      <c r="BA7486" s="497">
        <v>35.06</v>
      </c>
      <c r="BB7486" s="42"/>
      <c r="BC7486" s="74"/>
      <c r="BD7486" s="77"/>
      <c r="BF7486">
        <v>42.08</v>
      </c>
      <c r="BH7486" s="42"/>
      <c r="BI7486" s="74"/>
      <c r="BJ7486" s="77"/>
      <c r="BL7486" s="497">
        <v>41</v>
      </c>
      <c r="BN7486" s="42"/>
      <c r="BO7486" s="74"/>
      <c r="BP7486" s="77"/>
      <c r="BR7486" s="497">
        <v>37.04</v>
      </c>
      <c r="BT7486" s="42"/>
    </row>
    <row r="7487" spans="1:72" x14ac:dyDescent="0.25">
      <c r="A7487" s="90">
        <v>36838</v>
      </c>
      <c r="B7487" s="20">
        <v>0.20833333333333334</v>
      </c>
      <c r="D7487">
        <v>48.92</v>
      </c>
      <c r="E7487" t="str">
        <f t="shared" si="268"/>
        <v>WEEKDAY</v>
      </c>
      <c r="F7487" t="e">
        <f t="shared" si="269"/>
        <v>#N/A</v>
      </c>
      <c r="G7487" s="74">
        <v>28802</v>
      </c>
      <c r="H7487" s="77">
        <v>0.20833333333333334</v>
      </c>
      <c r="J7487">
        <v>48.019999999999996</v>
      </c>
      <c r="M7487" s="74">
        <v>36107</v>
      </c>
      <c r="N7487" s="77">
        <v>0.20833333333333334</v>
      </c>
      <c r="P7487">
        <v>41</v>
      </c>
      <c r="S7487" s="74">
        <v>36838</v>
      </c>
      <c r="T7487" s="77">
        <v>0.20833333333333334</v>
      </c>
      <c r="V7487">
        <v>42.980000000000004</v>
      </c>
      <c r="X7487" s="42"/>
      <c r="AB7487">
        <v>46</v>
      </c>
      <c r="AC7487">
        <v>44.96</v>
      </c>
      <c r="AE7487" s="74"/>
      <c r="AF7487" s="77"/>
      <c r="AH7487" s="497">
        <v>24.8</v>
      </c>
      <c r="AJ7487" s="42"/>
      <c r="AK7487" s="74"/>
      <c r="AL7487" s="77"/>
      <c r="AN7487" s="497">
        <v>35.06</v>
      </c>
      <c r="AP7487" s="42"/>
      <c r="AQ7487" s="74"/>
      <c r="AR7487" s="77"/>
      <c r="AT7487" s="497">
        <v>35.06</v>
      </c>
      <c r="AV7487" s="42"/>
      <c r="AW7487" s="74"/>
      <c r="AX7487" s="77"/>
      <c r="BA7487" s="497">
        <v>35.96</v>
      </c>
      <c r="BB7487" s="42"/>
      <c r="BC7487" s="74"/>
      <c r="BD7487" s="77"/>
      <c r="BF7487">
        <v>42.08</v>
      </c>
      <c r="BH7487" s="42"/>
      <c r="BI7487" s="74"/>
      <c r="BJ7487" s="77"/>
      <c r="BL7487" s="497">
        <v>41</v>
      </c>
      <c r="BN7487" s="42"/>
      <c r="BO7487" s="74"/>
      <c r="BP7487" s="77"/>
      <c r="BR7487" s="497">
        <v>37.94</v>
      </c>
      <c r="BT7487" s="42"/>
    </row>
    <row r="7488" spans="1:72" x14ac:dyDescent="0.25">
      <c r="A7488" s="90">
        <v>36838</v>
      </c>
      <c r="B7488" s="20">
        <v>0.25</v>
      </c>
      <c r="D7488">
        <v>48.92</v>
      </c>
      <c r="E7488" t="str">
        <f t="shared" si="268"/>
        <v>WEEKDAY</v>
      </c>
      <c r="F7488" t="e">
        <f t="shared" si="269"/>
        <v>#N/A</v>
      </c>
      <c r="G7488" s="74">
        <v>28802</v>
      </c>
      <c r="H7488" s="77">
        <v>0.25</v>
      </c>
      <c r="J7488">
        <v>48.019999999999996</v>
      </c>
      <c r="M7488" s="74">
        <v>36107</v>
      </c>
      <c r="N7488" s="77">
        <v>0.25</v>
      </c>
      <c r="P7488">
        <v>37.4</v>
      </c>
      <c r="S7488" s="74">
        <v>36838</v>
      </c>
      <c r="T7488" s="77">
        <v>0.25</v>
      </c>
      <c r="V7488">
        <v>42.980000000000004</v>
      </c>
      <c r="X7488" s="42"/>
      <c r="AB7488">
        <v>45.7</v>
      </c>
      <c r="AC7488">
        <v>39.92</v>
      </c>
      <c r="AE7488" s="74"/>
      <c r="AF7488" s="77"/>
      <c r="AH7488" s="497">
        <v>26.6</v>
      </c>
      <c r="AJ7488" s="42"/>
      <c r="AK7488" s="74"/>
      <c r="AL7488" s="77"/>
      <c r="AN7488" s="497">
        <v>35.96</v>
      </c>
      <c r="AP7488" s="42"/>
      <c r="AQ7488" s="74"/>
      <c r="AR7488" s="77"/>
      <c r="AT7488" s="497">
        <v>35.06</v>
      </c>
      <c r="AV7488" s="42"/>
      <c r="AW7488" s="74"/>
      <c r="AX7488" s="77"/>
      <c r="BA7488" s="497">
        <v>42.980000000000004</v>
      </c>
      <c r="BB7488" s="42"/>
      <c r="BC7488" s="74"/>
      <c r="BD7488" s="77"/>
      <c r="BF7488">
        <v>42.08</v>
      </c>
      <c r="BH7488" s="42"/>
      <c r="BI7488" s="74"/>
      <c r="BJ7488" s="77"/>
      <c r="BL7488" s="497">
        <v>41</v>
      </c>
      <c r="BN7488" s="42"/>
      <c r="BO7488" s="74"/>
      <c r="BP7488" s="77"/>
      <c r="BR7488" s="497">
        <v>37.94</v>
      </c>
      <c r="BT7488" s="42"/>
    </row>
    <row r="7489" spans="1:72" x14ac:dyDescent="0.25">
      <c r="A7489" s="90">
        <v>36838</v>
      </c>
      <c r="B7489" s="20">
        <v>0.29166666666666669</v>
      </c>
      <c r="D7489">
        <v>48.92</v>
      </c>
      <c r="E7489" t="str">
        <f t="shared" si="268"/>
        <v>WEEKDAY</v>
      </c>
      <c r="F7489" t="e">
        <f t="shared" si="269"/>
        <v>#N/A</v>
      </c>
      <c r="G7489" s="74">
        <v>28802</v>
      </c>
      <c r="H7489" s="77">
        <v>0.29166666666666669</v>
      </c>
      <c r="J7489">
        <v>48.019999999999996</v>
      </c>
      <c r="M7489" s="74">
        <v>36107</v>
      </c>
      <c r="N7489" s="77">
        <v>0.29166666666666669</v>
      </c>
      <c r="P7489">
        <v>39.200000000000003</v>
      </c>
      <c r="S7489" s="74">
        <v>36838</v>
      </c>
      <c r="T7489" s="77">
        <v>0.29166666666666669</v>
      </c>
      <c r="V7489">
        <v>42.980000000000004</v>
      </c>
      <c r="X7489" s="42"/>
      <c r="AB7489">
        <v>45.6</v>
      </c>
      <c r="AC7489">
        <v>44.06</v>
      </c>
      <c r="AE7489" s="74"/>
      <c r="AF7489" s="77"/>
      <c r="AH7489" s="497">
        <v>24.8</v>
      </c>
      <c r="AJ7489" s="42"/>
      <c r="AK7489" s="74"/>
      <c r="AL7489" s="77"/>
      <c r="AN7489" s="497">
        <v>35.96</v>
      </c>
      <c r="AP7489" s="42"/>
      <c r="AQ7489" s="74"/>
      <c r="AR7489" s="77"/>
      <c r="AT7489" s="497">
        <v>30.92</v>
      </c>
      <c r="AV7489" s="42"/>
      <c r="AW7489" s="74"/>
      <c r="AX7489" s="77"/>
      <c r="BA7489" s="497">
        <v>42.980000000000004</v>
      </c>
      <c r="BB7489" s="42"/>
      <c r="BC7489" s="74"/>
      <c r="BD7489" s="77"/>
      <c r="BF7489">
        <v>41</v>
      </c>
      <c r="BH7489" s="42"/>
      <c r="BI7489" s="74"/>
      <c r="BJ7489" s="77"/>
      <c r="BL7489" s="497">
        <v>41</v>
      </c>
      <c r="BN7489" s="42"/>
      <c r="BO7489" s="74"/>
      <c r="BP7489" s="77"/>
      <c r="BR7489" s="497">
        <v>39.019999999999996</v>
      </c>
      <c r="BT7489" s="42"/>
    </row>
    <row r="7490" spans="1:72" x14ac:dyDescent="0.25">
      <c r="A7490" s="90">
        <v>36838</v>
      </c>
      <c r="B7490" s="20">
        <v>0.33333333333333331</v>
      </c>
      <c r="D7490">
        <v>51.980000000000004</v>
      </c>
      <c r="E7490" t="str">
        <f t="shared" si="268"/>
        <v>WEEKDAY</v>
      </c>
      <c r="F7490" t="e">
        <f t="shared" si="269"/>
        <v>#N/A</v>
      </c>
      <c r="G7490" s="74">
        <v>28802</v>
      </c>
      <c r="H7490" s="77">
        <v>0.33333333333333331</v>
      </c>
      <c r="J7490">
        <v>48.019999999999996</v>
      </c>
      <c r="M7490" s="74">
        <v>36107</v>
      </c>
      <c r="N7490" s="77">
        <v>0.33333333333333331</v>
      </c>
      <c r="P7490">
        <v>39.200000000000003</v>
      </c>
      <c r="S7490" s="74">
        <v>36838</v>
      </c>
      <c r="T7490" s="77">
        <v>0.33333333333333331</v>
      </c>
      <c r="V7490">
        <v>46.04</v>
      </c>
      <c r="X7490" s="42"/>
      <c r="AB7490">
        <v>45.7</v>
      </c>
      <c r="AC7490">
        <v>44.06</v>
      </c>
      <c r="AE7490" s="74"/>
      <c r="AF7490" s="77"/>
      <c r="AH7490" s="497">
        <v>28.4</v>
      </c>
      <c r="AJ7490" s="42"/>
      <c r="AK7490" s="74"/>
      <c r="AL7490" s="77"/>
      <c r="AN7490" s="497">
        <v>37.04</v>
      </c>
      <c r="AP7490" s="42"/>
      <c r="AQ7490" s="74"/>
      <c r="AR7490" s="77"/>
      <c r="AT7490" s="497">
        <v>35.96</v>
      </c>
      <c r="AV7490" s="42"/>
      <c r="AW7490" s="74"/>
      <c r="AX7490" s="77"/>
      <c r="BA7490" s="497">
        <v>44.96</v>
      </c>
      <c r="BB7490" s="42"/>
      <c r="BC7490" s="74"/>
      <c r="BD7490" s="77"/>
      <c r="BF7490">
        <v>42.08</v>
      </c>
      <c r="BH7490" s="42"/>
      <c r="BI7490" s="74"/>
      <c r="BJ7490" s="77"/>
      <c r="BL7490" s="497">
        <v>42.08</v>
      </c>
      <c r="BN7490" s="42"/>
      <c r="BO7490" s="74"/>
      <c r="BP7490" s="77"/>
      <c r="BR7490" s="497">
        <v>44.06</v>
      </c>
      <c r="BT7490" s="42"/>
    </row>
    <row r="7491" spans="1:72" x14ac:dyDescent="0.25">
      <c r="A7491" s="90">
        <v>36838</v>
      </c>
      <c r="B7491" s="20">
        <v>0.375</v>
      </c>
      <c r="D7491">
        <v>53.96</v>
      </c>
      <c r="E7491" t="str">
        <f t="shared" si="268"/>
        <v>WEEKDAY</v>
      </c>
      <c r="F7491" t="e">
        <f t="shared" si="269"/>
        <v>#N/A</v>
      </c>
      <c r="G7491" s="74">
        <v>28802</v>
      </c>
      <c r="H7491" s="77">
        <v>0.375</v>
      </c>
      <c r="J7491">
        <v>48.019999999999996</v>
      </c>
      <c r="M7491" s="74">
        <v>36107</v>
      </c>
      <c r="N7491" s="77">
        <v>0.375</v>
      </c>
      <c r="P7491">
        <v>42.8</v>
      </c>
      <c r="S7491" s="74">
        <v>36838</v>
      </c>
      <c r="T7491" s="77">
        <v>0.375</v>
      </c>
      <c r="V7491">
        <v>50</v>
      </c>
      <c r="X7491" s="42"/>
      <c r="AB7491">
        <v>47.6</v>
      </c>
      <c r="AC7491">
        <v>44.96</v>
      </c>
      <c r="AE7491" s="74"/>
      <c r="AF7491" s="77"/>
      <c r="AH7491" s="497">
        <v>35.6</v>
      </c>
      <c r="AJ7491" s="42"/>
      <c r="AK7491" s="74"/>
      <c r="AL7491" s="77"/>
      <c r="AN7491" s="497">
        <v>37.94</v>
      </c>
      <c r="AP7491" s="42"/>
      <c r="AQ7491" s="74"/>
      <c r="AR7491" s="77"/>
      <c r="AT7491" s="497">
        <v>39.019999999999996</v>
      </c>
      <c r="AV7491" s="42"/>
      <c r="AW7491" s="74"/>
      <c r="AX7491" s="77"/>
      <c r="BA7491" s="497">
        <v>48.019999999999996</v>
      </c>
      <c r="BB7491" s="42"/>
      <c r="BC7491" s="74"/>
      <c r="BD7491" s="77"/>
      <c r="BF7491">
        <v>41</v>
      </c>
      <c r="BH7491" s="42"/>
      <c r="BI7491" s="74"/>
      <c r="BJ7491" s="77"/>
      <c r="BL7491" s="497">
        <v>44.06</v>
      </c>
      <c r="BN7491" s="42"/>
      <c r="BO7491" s="74"/>
      <c r="BP7491" s="77"/>
      <c r="BR7491" s="497">
        <v>42.980000000000004</v>
      </c>
      <c r="BT7491" s="42"/>
    </row>
    <row r="7492" spans="1:72" x14ac:dyDescent="0.25">
      <c r="A7492" s="90">
        <v>36838</v>
      </c>
      <c r="B7492" s="20">
        <v>0.41666666666666669</v>
      </c>
      <c r="D7492">
        <v>57.019999999999996</v>
      </c>
      <c r="E7492" t="str">
        <f t="shared" si="268"/>
        <v>WEEKDAY</v>
      </c>
      <c r="F7492" t="e">
        <f t="shared" si="269"/>
        <v>#N/A</v>
      </c>
      <c r="G7492" s="74">
        <v>28802</v>
      </c>
      <c r="H7492" s="77">
        <v>0.41666666666666669</v>
      </c>
      <c r="J7492">
        <v>46.94</v>
      </c>
      <c r="M7492" s="74">
        <v>36107</v>
      </c>
      <c r="N7492" s="77">
        <v>0.41666666666666669</v>
      </c>
      <c r="P7492">
        <v>44.6</v>
      </c>
      <c r="S7492" s="74">
        <v>36838</v>
      </c>
      <c r="T7492" s="77">
        <v>0.41666666666666669</v>
      </c>
      <c r="V7492">
        <v>51.980000000000004</v>
      </c>
      <c r="X7492" s="42"/>
      <c r="AB7492">
        <v>49.6</v>
      </c>
      <c r="AC7492">
        <v>42.980000000000004</v>
      </c>
      <c r="AE7492" s="74"/>
      <c r="AF7492" s="77"/>
      <c r="AH7492" s="497">
        <v>42.8</v>
      </c>
      <c r="AJ7492" s="42"/>
      <c r="AK7492" s="74"/>
      <c r="AL7492" s="77"/>
      <c r="AN7492" s="497">
        <v>41</v>
      </c>
      <c r="AP7492" s="42"/>
      <c r="AQ7492" s="74"/>
      <c r="AR7492" s="77"/>
      <c r="AT7492" s="497">
        <v>41</v>
      </c>
      <c r="AV7492" s="42"/>
      <c r="AW7492" s="74"/>
      <c r="AX7492" s="77"/>
      <c r="BA7492" s="497">
        <v>50</v>
      </c>
      <c r="BB7492" s="42"/>
      <c r="BC7492" s="74"/>
      <c r="BD7492" s="77"/>
      <c r="BF7492">
        <v>39.92</v>
      </c>
      <c r="BH7492" s="42"/>
      <c r="BI7492" s="74"/>
      <c r="BJ7492" s="77"/>
      <c r="BL7492" s="497">
        <v>42.980000000000004</v>
      </c>
      <c r="BN7492" s="42"/>
      <c r="BO7492" s="74"/>
      <c r="BP7492" s="77"/>
      <c r="BR7492" s="497">
        <v>42.980000000000004</v>
      </c>
      <c r="BT7492" s="42"/>
    </row>
    <row r="7493" spans="1:72" x14ac:dyDescent="0.25">
      <c r="A7493" s="90">
        <v>36838</v>
      </c>
      <c r="B7493" s="20">
        <v>0.45833333333333331</v>
      </c>
      <c r="D7493">
        <v>59</v>
      </c>
      <c r="E7493" t="str">
        <f t="shared" si="268"/>
        <v>WEEKDAY</v>
      </c>
      <c r="F7493" t="e">
        <f t="shared" si="269"/>
        <v>#N/A</v>
      </c>
      <c r="G7493" s="74">
        <v>28802</v>
      </c>
      <c r="H7493" s="77">
        <v>0.45833333333333331</v>
      </c>
      <c r="J7493">
        <v>48.019999999999996</v>
      </c>
      <c r="M7493" s="74">
        <v>36107</v>
      </c>
      <c r="N7493" s="77">
        <v>0.45833333333333331</v>
      </c>
      <c r="P7493">
        <v>46.4</v>
      </c>
      <c r="S7493" s="74">
        <v>36838</v>
      </c>
      <c r="T7493" s="77">
        <v>0.45833333333333331</v>
      </c>
      <c r="V7493">
        <v>55.040000000000006</v>
      </c>
      <c r="X7493" s="42"/>
      <c r="AB7493">
        <v>51.2</v>
      </c>
      <c r="AC7493">
        <v>44.06</v>
      </c>
      <c r="AE7493" s="74"/>
      <c r="AF7493" s="77"/>
      <c r="AH7493" s="497">
        <v>46.4</v>
      </c>
      <c r="AJ7493" s="42"/>
      <c r="AK7493" s="74"/>
      <c r="AL7493" s="77"/>
      <c r="AN7493" s="497">
        <v>41</v>
      </c>
      <c r="AP7493" s="42"/>
      <c r="AQ7493" s="74"/>
      <c r="AR7493" s="77"/>
      <c r="AT7493" s="497">
        <v>42.08</v>
      </c>
      <c r="AV7493" s="42"/>
      <c r="AW7493" s="74"/>
      <c r="AX7493" s="77"/>
      <c r="BA7493" s="497">
        <v>53.06</v>
      </c>
      <c r="BB7493" s="42"/>
      <c r="BC7493" s="74"/>
      <c r="BD7493" s="77"/>
      <c r="BF7493">
        <v>41</v>
      </c>
      <c r="BH7493" s="42"/>
      <c r="BI7493" s="74"/>
      <c r="BJ7493" s="77"/>
      <c r="BL7493" s="497">
        <v>42.08</v>
      </c>
      <c r="BN7493" s="42"/>
      <c r="BO7493" s="74"/>
      <c r="BP7493" s="77"/>
      <c r="BR7493" s="497">
        <v>44.06</v>
      </c>
      <c r="BT7493" s="42"/>
    </row>
    <row r="7494" spans="1:72" x14ac:dyDescent="0.25">
      <c r="A7494" s="90">
        <v>36838</v>
      </c>
      <c r="B7494" s="20">
        <v>0.5</v>
      </c>
      <c r="D7494">
        <v>62.06</v>
      </c>
      <c r="E7494" t="str">
        <f t="shared" si="268"/>
        <v>WEEKDAY</v>
      </c>
      <c r="F7494" t="e">
        <f t="shared" si="269"/>
        <v>#N/A</v>
      </c>
      <c r="G7494" s="74">
        <v>28802</v>
      </c>
      <c r="H7494" s="77">
        <v>0.5</v>
      </c>
      <c r="J7494">
        <v>48.019999999999996</v>
      </c>
      <c r="M7494" s="74">
        <v>36107</v>
      </c>
      <c r="N7494" s="77">
        <v>0.5</v>
      </c>
      <c r="P7494">
        <v>46.4</v>
      </c>
      <c r="S7494" s="74">
        <v>36838</v>
      </c>
      <c r="T7494" s="77">
        <v>0.5</v>
      </c>
      <c r="V7494">
        <v>55.94</v>
      </c>
      <c r="X7494" s="42"/>
      <c r="AB7494">
        <v>52.6</v>
      </c>
      <c r="AC7494">
        <v>42.980000000000004</v>
      </c>
      <c r="AE7494" s="74"/>
      <c r="AF7494" s="77"/>
      <c r="AH7494" s="497">
        <v>50</v>
      </c>
      <c r="AJ7494" s="42"/>
      <c r="AK7494" s="74"/>
      <c r="AL7494" s="77"/>
      <c r="AN7494" s="497">
        <v>42.08</v>
      </c>
      <c r="AP7494" s="42"/>
      <c r="AQ7494" s="74"/>
      <c r="AR7494" s="77"/>
      <c r="AT7494" s="497">
        <v>44.06</v>
      </c>
      <c r="AV7494" s="42"/>
      <c r="AW7494" s="74"/>
      <c r="AX7494" s="77"/>
      <c r="BA7494" s="497">
        <v>55.94</v>
      </c>
      <c r="BB7494" s="42"/>
      <c r="BC7494" s="74"/>
      <c r="BD7494" s="77"/>
      <c r="BF7494">
        <v>41</v>
      </c>
      <c r="BH7494" s="42"/>
      <c r="BI7494" s="74"/>
      <c r="BJ7494" s="77"/>
      <c r="BL7494" s="497">
        <v>42.08</v>
      </c>
      <c r="BN7494" s="42"/>
      <c r="BO7494" s="74"/>
      <c r="BP7494" s="77"/>
      <c r="BR7494" s="497">
        <v>44.96</v>
      </c>
      <c r="BT7494" s="42"/>
    </row>
    <row r="7495" spans="1:72" x14ac:dyDescent="0.25">
      <c r="A7495" s="90">
        <v>36838</v>
      </c>
      <c r="B7495" s="20">
        <v>0.54166666666666663</v>
      </c>
      <c r="D7495">
        <v>66.02</v>
      </c>
      <c r="E7495" t="str">
        <f t="shared" si="268"/>
        <v>WEEKDAY</v>
      </c>
      <c r="F7495" t="e">
        <f t="shared" si="269"/>
        <v>#N/A</v>
      </c>
      <c r="G7495" s="74">
        <v>28802</v>
      </c>
      <c r="H7495" s="77">
        <v>0.54166666666666663</v>
      </c>
      <c r="J7495">
        <v>48.92</v>
      </c>
      <c r="M7495" s="74">
        <v>36107</v>
      </c>
      <c r="N7495" s="77">
        <v>0.54166666666666663</v>
      </c>
      <c r="P7495">
        <v>46.4</v>
      </c>
      <c r="S7495" s="74">
        <v>36838</v>
      </c>
      <c r="T7495" s="77">
        <v>0.54166666666666663</v>
      </c>
      <c r="V7495">
        <v>57.92</v>
      </c>
      <c r="X7495" s="42"/>
      <c r="AB7495">
        <v>53.7</v>
      </c>
      <c r="AC7495">
        <v>42.980000000000004</v>
      </c>
      <c r="AE7495" s="74"/>
      <c r="AF7495" s="77"/>
      <c r="AH7495" s="497">
        <v>53.6</v>
      </c>
      <c r="AJ7495" s="42"/>
      <c r="AK7495" s="74"/>
      <c r="AL7495" s="77"/>
      <c r="AN7495" s="497">
        <v>41</v>
      </c>
      <c r="AP7495" s="42"/>
      <c r="AQ7495" s="74"/>
      <c r="AR7495" s="77"/>
      <c r="AT7495" s="497">
        <v>44.96</v>
      </c>
      <c r="AV7495" s="42"/>
      <c r="AW7495" s="74"/>
      <c r="AX7495" s="77"/>
      <c r="BA7495" s="497">
        <v>57.92</v>
      </c>
      <c r="BB7495" s="42"/>
      <c r="BC7495" s="74"/>
      <c r="BD7495" s="77"/>
      <c r="BF7495">
        <v>42.08</v>
      </c>
      <c r="BH7495" s="42"/>
      <c r="BI7495" s="74"/>
      <c r="BJ7495" s="77"/>
      <c r="BL7495" s="497">
        <v>42.08</v>
      </c>
      <c r="BN7495" s="42"/>
      <c r="BO7495" s="74"/>
      <c r="BP7495" s="77"/>
      <c r="BR7495" s="497">
        <v>44.96</v>
      </c>
      <c r="BT7495" s="42"/>
    </row>
    <row r="7496" spans="1:72" x14ac:dyDescent="0.25">
      <c r="A7496" s="90">
        <v>36838</v>
      </c>
      <c r="B7496" s="20">
        <v>0.58333333333333337</v>
      </c>
      <c r="D7496">
        <v>68</v>
      </c>
      <c r="E7496" t="str">
        <f t="shared" si="268"/>
        <v>WEEKDAY</v>
      </c>
      <c r="F7496" t="e">
        <f t="shared" si="269"/>
        <v>#N/A</v>
      </c>
      <c r="G7496" s="74">
        <v>28802</v>
      </c>
      <c r="H7496" s="77">
        <v>0.58333333333333337</v>
      </c>
      <c r="J7496">
        <v>48.92</v>
      </c>
      <c r="M7496" s="74">
        <v>36107</v>
      </c>
      <c r="N7496" s="77">
        <v>0.58333333333333337</v>
      </c>
      <c r="P7496">
        <v>46.4</v>
      </c>
      <c r="S7496" s="74">
        <v>36838</v>
      </c>
      <c r="T7496" s="77">
        <v>0.58333333333333337</v>
      </c>
      <c r="V7496">
        <v>60.08</v>
      </c>
      <c r="X7496" s="42"/>
      <c r="AB7496">
        <v>54.2</v>
      </c>
      <c r="AC7496">
        <v>42.08</v>
      </c>
      <c r="AE7496" s="74"/>
      <c r="AF7496" s="77"/>
      <c r="AH7496" s="497">
        <v>55.400000000000006</v>
      </c>
      <c r="AJ7496" s="42"/>
      <c r="AK7496" s="74"/>
      <c r="AL7496" s="77"/>
      <c r="AN7496" s="497">
        <v>39.92</v>
      </c>
      <c r="AP7496" s="42"/>
      <c r="AQ7496" s="74"/>
      <c r="AR7496" s="77"/>
      <c r="AT7496" s="497">
        <v>37.94</v>
      </c>
      <c r="AV7496" s="42"/>
      <c r="AW7496" s="74"/>
      <c r="AX7496" s="77"/>
      <c r="BA7496" s="497">
        <v>57.92</v>
      </c>
      <c r="BB7496" s="42"/>
      <c r="BC7496" s="74"/>
      <c r="BD7496" s="77"/>
      <c r="BF7496">
        <v>42.08</v>
      </c>
      <c r="BH7496" s="42"/>
      <c r="BI7496" s="74"/>
      <c r="BJ7496" s="77"/>
      <c r="BL7496" s="497">
        <v>42.08</v>
      </c>
      <c r="BN7496" s="42"/>
      <c r="BO7496" s="74"/>
      <c r="BP7496" s="77"/>
      <c r="BR7496" s="497">
        <v>44.96</v>
      </c>
      <c r="BT7496" s="42"/>
    </row>
    <row r="7497" spans="1:72" x14ac:dyDescent="0.25">
      <c r="A7497" s="90">
        <v>36838</v>
      </c>
      <c r="B7497" s="20">
        <v>0.625</v>
      </c>
      <c r="D7497">
        <v>69.080000000000013</v>
      </c>
      <c r="E7497" t="str">
        <f t="shared" si="268"/>
        <v>WEEKDAY</v>
      </c>
      <c r="F7497" t="e">
        <f t="shared" si="269"/>
        <v>#N/A</v>
      </c>
      <c r="G7497" s="74">
        <v>28802</v>
      </c>
      <c r="H7497" s="77">
        <v>0.625</v>
      </c>
      <c r="J7497">
        <v>48.92</v>
      </c>
      <c r="M7497" s="74">
        <v>36107</v>
      </c>
      <c r="N7497" s="77">
        <v>0.625</v>
      </c>
      <c r="P7497">
        <v>46.4</v>
      </c>
      <c r="S7497" s="74">
        <v>36838</v>
      </c>
      <c r="T7497" s="77">
        <v>0.625</v>
      </c>
      <c r="V7497">
        <v>55.94</v>
      </c>
      <c r="X7497" s="42"/>
      <c r="AB7497">
        <v>54.6</v>
      </c>
      <c r="AC7497">
        <v>42.980000000000004</v>
      </c>
      <c r="AE7497" s="74"/>
      <c r="AF7497" s="77"/>
      <c r="AH7497" s="497">
        <v>55.400000000000006</v>
      </c>
      <c r="AJ7497" s="42"/>
      <c r="AK7497" s="74"/>
      <c r="AL7497" s="77"/>
      <c r="AN7497" s="497">
        <v>39.019999999999996</v>
      </c>
      <c r="AP7497" s="42"/>
      <c r="AQ7497" s="74"/>
      <c r="AR7497" s="77"/>
      <c r="AT7497" s="497">
        <v>39.92</v>
      </c>
      <c r="AV7497" s="42"/>
      <c r="AW7497" s="74"/>
      <c r="AX7497" s="77"/>
      <c r="BA7497" s="497">
        <v>59</v>
      </c>
      <c r="BB7497" s="42"/>
      <c r="BC7497" s="74"/>
      <c r="BD7497" s="77"/>
      <c r="BF7497">
        <v>42.08</v>
      </c>
      <c r="BH7497" s="42"/>
      <c r="BI7497" s="74"/>
      <c r="BJ7497" s="77"/>
      <c r="BL7497" s="497">
        <v>42.08</v>
      </c>
      <c r="BN7497" s="42"/>
      <c r="BO7497" s="74"/>
      <c r="BP7497" s="77"/>
      <c r="BR7497" s="497">
        <v>44.96</v>
      </c>
      <c r="BT7497" s="42"/>
    </row>
    <row r="7498" spans="1:72" x14ac:dyDescent="0.25">
      <c r="A7498" s="90">
        <v>36838</v>
      </c>
      <c r="B7498" s="20">
        <v>0.66666666666666663</v>
      </c>
      <c r="D7498">
        <v>66.92</v>
      </c>
      <c r="E7498" t="str">
        <f t="shared" si="268"/>
        <v>WEEKDAY</v>
      </c>
      <c r="F7498" t="e">
        <f t="shared" si="269"/>
        <v>#N/A</v>
      </c>
      <c r="G7498" s="74">
        <v>28802</v>
      </c>
      <c r="H7498" s="77">
        <v>0.66666666666666663</v>
      </c>
      <c r="J7498">
        <v>48.92</v>
      </c>
      <c r="M7498" s="74">
        <v>36107</v>
      </c>
      <c r="N7498" s="77">
        <v>0.66666666666666663</v>
      </c>
      <c r="P7498">
        <v>46.4</v>
      </c>
      <c r="S7498" s="74">
        <v>36838</v>
      </c>
      <c r="T7498" s="77">
        <v>0.66666666666666663</v>
      </c>
      <c r="V7498">
        <v>55.040000000000006</v>
      </c>
      <c r="X7498" s="42"/>
      <c r="AB7498">
        <v>54.1</v>
      </c>
      <c r="AC7498">
        <v>39.92</v>
      </c>
      <c r="AE7498" s="74"/>
      <c r="AF7498" s="77"/>
      <c r="AH7498" s="497">
        <v>55.400000000000006</v>
      </c>
      <c r="AJ7498" s="42"/>
      <c r="AK7498" s="74"/>
      <c r="AL7498" s="77"/>
      <c r="AN7498" s="497">
        <v>39.92</v>
      </c>
      <c r="AP7498" s="42"/>
      <c r="AQ7498" s="74"/>
      <c r="AR7498" s="77"/>
      <c r="AT7498" s="497">
        <v>39.019999999999996</v>
      </c>
      <c r="AV7498" s="42"/>
      <c r="AW7498" s="74"/>
      <c r="AX7498" s="77"/>
      <c r="BA7498" s="497">
        <v>57.92</v>
      </c>
      <c r="BB7498" s="42"/>
      <c r="BC7498" s="74"/>
      <c r="BD7498" s="77"/>
      <c r="BF7498">
        <v>42.08</v>
      </c>
      <c r="BH7498" s="42"/>
      <c r="BI7498" s="74"/>
      <c r="BJ7498" s="77"/>
      <c r="BL7498" s="497">
        <v>42.980000000000004</v>
      </c>
      <c r="BN7498" s="42"/>
      <c r="BO7498" s="74"/>
      <c r="BP7498" s="77"/>
      <c r="BR7498" s="497">
        <v>46.04</v>
      </c>
      <c r="BT7498" s="42"/>
    </row>
    <row r="7499" spans="1:72" x14ac:dyDescent="0.25">
      <c r="A7499" s="90">
        <v>36838</v>
      </c>
      <c r="B7499" s="20">
        <v>0.70833333333333337</v>
      </c>
      <c r="D7499">
        <v>68</v>
      </c>
      <c r="E7499" t="str">
        <f t="shared" si="268"/>
        <v>WEEKDAY</v>
      </c>
      <c r="F7499" t="e">
        <f t="shared" si="269"/>
        <v>#N/A</v>
      </c>
      <c r="G7499" s="74">
        <v>28802</v>
      </c>
      <c r="H7499" s="77">
        <v>0.70833333333333337</v>
      </c>
      <c r="J7499">
        <v>48.92</v>
      </c>
      <c r="M7499" s="74">
        <v>36107</v>
      </c>
      <c r="N7499" s="77">
        <v>0.70833333333333337</v>
      </c>
      <c r="P7499">
        <v>44.6</v>
      </c>
      <c r="S7499" s="74">
        <v>36838</v>
      </c>
      <c r="T7499" s="77">
        <v>0.70833333333333337</v>
      </c>
      <c r="V7499">
        <v>53.06</v>
      </c>
      <c r="X7499" s="42"/>
      <c r="AB7499">
        <v>53.2</v>
      </c>
      <c r="AC7499">
        <v>39.019999999999996</v>
      </c>
      <c r="AE7499" s="74"/>
      <c r="AF7499" s="77"/>
      <c r="AH7499" s="497">
        <v>53.6</v>
      </c>
      <c r="AJ7499" s="42"/>
      <c r="AK7499" s="74"/>
      <c r="AL7499" s="77"/>
      <c r="AN7499" s="497">
        <v>39.92</v>
      </c>
      <c r="AP7499" s="42"/>
      <c r="AQ7499" s="74"/>
      <c r="AR7499" s="77"/>
      <c r="AT7499" s="497">
        <v>35.96</v>
      </c>
      <c r="AV7499" s="42"/>
      <c r="AW7499" s="74"/>
      <c r="AX7499" s="77"/>
      <c r="BA7499" s="497">
        <v>55.94</v>
      </c>
      <c r="BB7499" s="42"/>
      <c r="BC7499" s="74"/>
      <c r="BD7499" s="77"/>
      <c r="BF7499">
        <v>42.980000000000004</v>
      </c>
      <c r="BH7499" s="42"/>
      <c r="BI7499" s="74"/>
      <c r="BJ7499" s="77"/>
      <c r="BL7499" s="497">
        <v>42.08</v>
      </c>
      <c r="BN7499" s="42"/>
      <c r="BO7499" s="74"/>
      <c r="BP7499" s="77"/>
      <c r="BR7499" s="497">
        <v>46.04</v>
      </c>
      <c r="BT7499" s="42"/>
    </row>
    <row r="7500" spans="1:72" x14ac:dyDescent="0.25">
      <c r="A7500" s="90">
        <v>36838</v>
      </c>
      <c r="B7500" s="20">
        <v>0.75</v>
      </c>
      <c r="D7500">
        <v>66.02</v>
      </c>
      <c r="E7500" t="str">
        <f t="shared" si="268"/>
        <v>WEEKDAY</v>
      </c>
      <c r="F7500" t="e">
        <f t="shared" si="269"/>
        <v>#N/A</v>
      </c>
      <c r="G7500" s="74">
        <v>28802</v>
      </c>
      <c r="H7500" s="77">
        <v>0.75</v>
      </c>
      <c r="J7500">
        <v>48.92</v>
      </c>
      <c r="M7500" s="74">
        <v>36107</v>
      </c>
      <c r="N7500" s="77">
        <v>0.75</v>
      </c>
      <c r="P7500">
        <v>44.6</v>
      </c>
      <c r="S7500" s="74">
        <v>36838</v>
      </c>
      <c r="T7500" s="77">
        <v>0.75</v>
      </c>
      <c r="V7500">
        <v>51.08</v>
      </c>
      <c r="X7500" s="42"/>
      <c r="AB7500">
        <v>51.7</v>
      </c>
      <c r="AC7500">
        <v>37.04</v>
      </c>
      <c r="AE7500" s="74"/>
      <c r="AF7500" s="77"/>
      <c r="AH7500" s="497">
        <v>51.8</v>
      </c>
      <c r="AJ7500" s="42"/>
      <c r="AK7500" s="74"/>
      <c r="AL7500" s="77"/>
      <c r="AN7500" s="497">
        <v>39.92</v>
      </c>
      <c r="AP7500" s="42"/>
      <c r="AQ7500" s="74"/>
      <c r="AR7500" s="77"/>
      <c r="AT7500" s="497">
        <v>33.979999999999997</v>
      </c>
      <c r="AV7500" s="42"/>
      <c r="AW7500" s="74"/>
      <c r="AX7500" s="77"/>
      <c r="BA7500" s="497">
        <v>51.08</v>
      </c>
      <c r="BB7500" s="42"/>
      <c r="BC7500" s="74"/>
      <c r="BD7500" s="77"/>
      <c r="BF7500">
        <v>42.980000000000004</v>
      </c>
      <c r="BH7500" s="42"/>
      <c r="BI7500" s="74"/>
      <c r="BJ7500" s="77"/>
      <c r="BL7500" s="497">
        <v>42.08</v>
      </c>
      <c r="BN7500" s="42"/>
      <c r="BO7500" s="74"/>
      <c r="BP7500" s="77"/>
      <c r="BR7500" s="497">
        <v>46.94</v>
      </c>
      <c r="BT7500" s="42"/>
    </row>
    <row r="7501" spans="1:72" x14ac:dyDescent="0.25">
      <c r="A7501" s="90">
        <v>36838</v>
      </c>
      <c r="B7501" s="20">
        <v>0.79166666666666663</v>
      </c>
      <c r="D7501">
        <v>64.94</v>
      </c>
      <c r="E7501" t="str">
        <f t="shared" si="268"/>
        <v>WEEKDAY</v>
      </c>
      <c r="F7501" t="e">
        <f t="shared" si="269"/>
        <v>#N/A</v>
      </c>
      <c r="G7501" s="74">
        <v>28802</v>
      </c>
      <c r="H7501" s="77">
        <v>0.79166666666666663</v>
      </c>
      <c r="J7501">
        <v>48.019999999999996</v>
      </c>
      <c r="M7501" s="74">
        <v>36107</v>
      </c>
      <c r="N7501" s="77">
        <v>0.79166666666666663</v>
      </c>
      <c r="P7501">
        <v>42.8</v>
      </c>
      <c r="S7501" s="74">
        <v>36838</v>
      </c>
      <c r="T7501" s="77">
        <v>0.79166666666666663</v>
      </c>
      <c r="V7501">
        <v>51.980000000000004</v>
      </c>
      <c r="X7501" s="42"/>
      <c r="AB7501">
        <v>51</v>
      </c>
      <c r="AC7501">
        <v>37.04</v>
      </c>
      <c r="AE7501" s="74"/>
      <c r="AF7501" s="77"/>
      <c r="AH7501" s="497">
        <v>48.2</v>
      </c>
      <c r="AJ7501" s="42"/>
      <c r="AK7501" s="74"/>
      <c r="AL7501" s="77"/>
      <c r="AN7501" s="497">
        <v>39.92</v>
      </c>
      <c r="AP7501" s="42"/>
      <c r="AQ7501" s="74"/>
      <c r="AR7501" s="77"/>
      <c r="AT7501" s="497">
        <v>33.08</v>
      </c>
      <c r="AV7501" s="42"/>
      <c r="AW7501" s="74"/>
      <c r="AX7501" s="77"/>
      <c r="BA7501" s="497">
        <v>48.92</v>
      </c>
      <c r="BB7501" s="42"/>
      <c r="BC7501" s="74"/>
      <c r="BD7501" s="77"/>
      <c r="BF7501">
        <v>42.980000000000004</v>
      </c>
      <c r="BH7501" s="42"/>
      <c r="BI7501" s="74"/>
      <c r="BJ7501" s="77"/>
      <c r="BL7501" s="497">
        <v>42.08</v>
      </c>
      <c r="BN7501" s="42"/>
      <c r="BO7501" s="74"/>
      <c r="BP7501" s="77"/>
      <c r="BR7501" s="497">
        <v>46.94</v>
      </c>
      <c r="BT7501" s="42"/>
    </row>
    <row r="7502" spans="1:72" x14ac:dyDescent="0.25">
      <c r="A7502" s="90">
        <v>36838</v>
      </c>
      <c r="B7502" s="20">
        <v>0.83333333333333337</v>
      </c>
      <c r="D7502">
        <v>62.96</v>
      </c>
      <c r="E7502" t="str">
        <f t="shared" si="268"/>
        <v>WEEKDAY</v>
      </c>
      <c r="F7502" t="e">
        <f t="shared" si="269"/>
        <v>#N/A</v>
      </c>
      <c r="G7502" s="74">
        <v>28802</v>
      </c>
      <c r="H7502" s="77">
        <v>0.83333333333333337</v>
      </c>
      <c r="J7502">
        <v>48.019999999999996</v>
      </c>
      <c r="M7502" s="74">
        <v>36107</v>
      </c>
      <c r="N7502" s="77">
        <v>0.83333333333333337</v>
      </c>
      <c r="P7502">
        <v>42.8</v>
      </c>
      <c r="S7502" s="74">
        <v>36838</v>
      </c>
      <c r="T7502" s="77">
        <v>0.83333333333333337</v>
      </c>
      <c r="V7502">
        <v>53.96</v>
      </c>
      <c r="X7502" s="42"/>
      <c r="AB7502">
        <v>50.6</v>
      </c>
      <c r="AC7502">
        <v>35.96</v>
      </c>
      <c r="AE7502" s="74"/>
      <c r="AF7502" s="77"/>
      <c r="AH7502" s="497">
        <v>48.2</v>
      </c>
      <c r="AJ7502" s="42"/>
      <c r="AK7502" s="74"/>
      <c r="AL7502" s="77"/>
      <c r="AN7502" s="497">
        <v>39.92</v>
      </c>
      <c r="AP7502" s="42"/>
      <c r="AQ7502" s="74"/>
      <c r="AR7502" s="77"/>
      <c r="AT7502" s="497">
        <v>30.02</v>
      </c>
      <c r="AV7502" s="42"/>
      <c r="AW7502" s="74"/>
      <c r="AX7502" s="77"/>
      <c r="BA7502" s="497">
        <v>48.019999999999996</v>
      </c>
      <c r="BB7502" s="42"/>
      <c r="BC7502" s="74"/>
      <c r="BD7502" s="77"/>
      <c r="BF7502">
        <v>42.980000000000004</v>
      </c>
      <c r="BH7502" s="42"/>
      <c r="BI7502" s="74"/>
      <c r="BJ7502" s="77"/>
      <c r="BL7502" s="497">
        <v>42.08</v>
      </c>
      <c r="BN7502" s="42"/>
      <c r="BO7502" s="74"/>
      <c r="BP7502" s="77"/>
      <c r="BR7502" s="497">
        <v>46.94</v>
      </c>
      <c r="BT7502" s="42"/>
    </row>
    <row r="7503" spans="1:72" x14ac:dyDescent="0.25">
      <c r="A7503" s="90">
        <v>36838</v>
      </c>
      <c r="B7503" s="20">
        <v>0.875</v>
      </c>
      <c r="D7503">
        <v>62.06</v>
      </c>
      <c r="E7503" t="str">
        <f t="shared" si="268"/>
        <v>WEEKDAY</v>
      </c>
      <c r="F7503" t="e">
        <f t="shared" si="269"/>
        <v>#N/A</v>
      </c>
      <c r="G7503" s="74">
        <v>28802</v>
      </c>
      <c r="H7503" s="77">
        <v>0.875</v>
      </c>
      <c r="J7503">
        <v>48.019999999999996</v>
      </c>
      <c r="M7503" s="74">
        <v>36107</v>
      </c>
      <c r="N7503" s="77">
        <v>0.875</v>
      </c>
      <c r="P7503">
        <v>41</v>
      </c>
      <c r="S7503" s="74">
        <v>36838</v>
      </c>
      <c r="T7503" s="77">
        <v>0.875</v>
      </c>
      <c r="V7503">
        <v>55.040000000000006</v>
      </c>
      <c r="X7503" s="42"/>
      <c r="AB7503">
        <v>50</v>
      </c>
      <c r="AC7503">
        <v>35.96</v>
      </c>
      <c r="AE7503" s="74"/>
      <c r="AF7503" s="77"/>
      <c r="AH7503" s="497">
        <v>50</v>
      </c>
      <c r="AJ7503" s="42"/>
      <c r="AK7503" s="74"/>
      <c r="AL7503" s="77"/>
      <c r="AN7503" s="497">
        <v>41</v>
      </c>
      <c r="AP7503" s="42"/>
      <c r="AQ7503" s="74"/>
      <c r="AR7503" s="77"/>
      <c r="AT7503" s="497">
        <v>30.02</v>
      </c>
      <c r="AV7503" s="42"/>
      <c r="AW7503" s="74"/>
      <c r="AX7503" s="77"/>
      <c r="BA7503" s="497">
        <v>46.94</v>
      </c>
      <c r="BB7503" s="42"/>
      <c r="BC7503" s="74"/>
      <c r="BD7503" s="77"/>
      <c r="BF7503">
        <v>42.08</v>
      </c>
      <c r="BH7503" s="42"/>
      <c r="BI7503" s="74"/>
      <c r="BJ7503" s="77"/>
      <c r="BL7503" s="497">
        <v>42.980000000000004</v>
      </c>
      <c r="BN7503" s="42"/>
      <c r="BO7503" s="74"/>
      <c r="BP7503" s="77"/>
      <c r="BR7503" s="497">
        <v>46.04</v>
      </c>
      <c r="BT7503" s="42"/>
    </row>
    <row r="7504" spans="1:72" x14ac:dyDescent="0.25">
      <c r="A7504" s="90">
        <v>36838</v>
      </c>
      <c r="B7504" s="20">
        <v>0.91666666666666663</v>
      </c>
      <c r="D7504">
        <v>62.06</v>
      </c>
      <c r="E7504" t="str">
        <f t="shared" si="268"/>
        <v>WEEKDAY</v>
      </c>
      <c r="F7504" t="e">
        <f t="shared" si="269"/>
        <v>#N/A</v>
      </c>
      <c r="G7504" s="74">
        <v>28802</v>
      </c>
      <c r="H7504" s="77">
        <v>0.91666666666666663</v>
      </c>
      <c r="J7504">
        <v>48.019999999999996</v>
      </c>
      <c r="M7504" s="74">
        <v>36107</v>
      </c>
      <c r="N7504" s="77">
        <v>0.91666666666666663</v>
      </c>
      <c r="P7504">
        <v>39.200000000000003</v>
      </c>
      <c r="S7504" s="74">
        <v>36838</v>
      </c>
      <c r="T7504" s="77">
        <v>0.91666666666666663</v>
      </c>
      <c r="V7504">
        <v>53.06</v>
      </c>
      <c r="X7504" s="42"/>
      <c r="AB7504">
        <v>49.4</v>
      </c>
      <c r="AC7504">
        <v>35.06</v>
      </c>
      <c r="AE7504" s="74"/>
      <c r="AF7504" s="77"/>
      <c r="AH7504" s="497">
        <v>51.8</v>
      </c>
      <c r="AJ7504" s="42"/>
      <c r="AK7504" s="74"/>
      <c r="AL7504" s="77"/>
      <c r="AN7504" s="497">
        <v>41</v>
      </c>
      <c r="AP7504" s="42"/>
      <c r="AQ7504" s="74"/>
      <c r="AR7504" s="77"/>
      <c r="AT7504" s="497">
        <v>30.02</v>
      </c>
      <c r="AV7504" s="42"/>
      <c r="AW7504" s="74"/>
      <c r="AX7504" s="77"/>
      <c r="BA7504" s="497">
        <v>48.019999999999996</v>
      </c>
      <c r="BB7504" s="42"/>
      <c r="BC7504" s="74"/>
      <c r="BD7504" s="77"/>
      <c r="BF7504">
        <v>42.08</v>
      </c>
      <c r="BH7504" s="42"/>
      <c r="BI7504" s="74"/>
      <c r="BJ7504" s="77"/>
      <c r="BL7504" s="497">
        <v>42.980000000000004</v>
      </c>
      <c r="BN7504" s="42"/>
      <c r="BO7504" s="74"/>
      <c r="BP7504" s="77"/>
      <c r="BR7504" s="497">
        <v>46.04</v>
      </c>
      <c r="BT7504" s="42"/>
    </row>
    <row r="7505" spans="1:72" x14ac:dyDescent="0.25">
      <c r="A7505" s="90">
        <v>36838</v>
      </c>
      <c r="B7505" s="20">
        <v>0.95833333333333337</v>
      </c>
      <c r="D7505">
        <v>62.06</v>
      </c>
      <c r="E7505" t="str">
        <f t="shared" si="268"/>
        <v>WEEKDAY</v>
      </c>
      <c r="F7505" t="e">
        <f t="shared" si="269"/>
        <v>#N/A</v>
      </c>
      <c r="G7505" s="74">
        <v>28802</v>
      </c>
      <c r="H7505" s="77">
        <v>0.95833333333333337</v>
      </c>
      <c r="J7505">
        <v>48.019999999999996</v>
      </c>
      <c r="M7505" s="74">
        <v>36107</v>
      </c>
      <c r="N7505" s="77">
        <v>0.95833333333333337</v>
      </c>
      <c r="P7505">
        <v>41</v>
      </c>
      <c r="S7505" s="74">
        <v>36838</v>
      </c>
      <c r="T7505" s="77">
        <v>0.95833333333333337</v>
      </c>
      <c r="V7505">
        <v>53.96</v>
      </c>
      <c r="X7505" s="42"/>
      <c r="AB7505">
        <v>48.7</v>
      </c>
      <c r="AC7505">
        <v>33.979999999999997</v>
      </c>
      <c r="AE7505" s="74"/>
      <c r="AF7505" s="77"/>
      <c r="AH7505" s="497">
        <v>53.6</v>
      </c>
      <c r="AJ7505" s="42"/>
      <c r="AK7505" s="74"/>
      <c r="AL7505" s="77"/>
      <c r="AN7505" s="497">
        <v>39.92</v>
      </c>
      <c r="AP7505" s="42"/>
      <c r="AQ7505" s="74"/>
      <c r="AR7505" s="77"/>
      <c r="AT7505" s="497">
        <v>26.96</v>
      </c>
      <c r="AV7505" s="42"/>
      <c r="AW7505" s="74"/>
      <c r="AX7505" s="77"/>
      <c r="BA7505" s="497">
        <v>46.94</v>
      </c>
      <c r="BB7505" s="42"/>
      <c r="BC7505" s="74"/>
      <c r="BD7505" s="77"/>
      <c r="BF7505">
        <v>42.08</v>
      </c>
      <c r="BH7505" s="42"/>
      <c r="BI7505" s="74"/>
      <c r="BJ7505" s="77"/>
      <c r="BL7505" s="497">
        <v>42.980000000000004</v>
      </c>
      <c r="BN7505" s="42"/>
      <c r="BO7505" s="74"/>
      <c r="BP7505" s="77"/>
      <c r="BR7505" s="497">
        <v>44.96</v>
      </c>
      <c r="BT7505" s="42"/>
    </row>
    <row r="7506" spans="1:72" x14ac:dyDescent="0.25">
      <c r="A7506" s="90">
        <v>36838</v>
      </c>
      <c r="B7506" s="20">
        <v>1</v>
      </c>
      <c r="D7506">
        <v>62.06</v>
      </c>
      <c r="E7506" t="str">
        <f t="shared" si="268"/>
        <v>WEEKDAY</v>
      </c>
      <c r="F7506" t="e">
        <f t="shared" si="269"/>
        <v>#N/A</v>
      </c>
      <c r="G7506" s="74">
        <v>28802</v>
      </c>
      <c r="H7506" s="77">
        <v>1</v>
      </c>
      <c r="J7506">
        <v>46.94</v>
      </c>
      <c r="M7506" s="74">
        <v>36107</v>
      </c>
      <c r="N7506" s="80">
        <v>1</v>
      </c>
      <c r="P7506">
        <v>41</v>
      </c>
      <c r="S7506" s="74">
        <v>36838</v>
      </c>
      <c r="T7506" s="80">
        <v>1</v>
      </c>
      <c r="V7506">
        <v>51.980000000000004</v>
      </c>
      <c r="X7506" s="42"/>
      <c r="AB7506">
        <v>48.1</v>
      </c>
      <c r="AC7506">
        <v>33.08</v>
      </c>
      <c r="AE7506" s="74"/>
      <c r="AF7506" s="80"/>
      <c r="AH7506" s="497">
        <v>51.8</v>
      </c>
      <c r="AJ7506" s="42"/>
      <c r="AK7506" s="74"/>
      <c r="AL7506" s="80"/>
      <c r="AN7506" s="497">
        <v>39.92</v>
      </c>
      <c r="AP7506" s="42"/>
      <c r="AQ7506" s="74"/>
      <c r="AR7506" s="80"/>
      <c r="AT7506" s="497">
        <v>26.060000000000002</v>
      </c>
      <c r="AV7506" s="42"/>
      <c r="AW7506" s="74"/>
      <c r="AX7506" s="80"/>
      <c r="BA7506" s="497">
        <v>46.04</v>
      </c>
      <c r="BB7506" s="42"/>
      <c r="BC7506" s="74"/>
      <c r="BD7506" s="80"/>
      <c r="BF7506">
        <v>42.08</v>
      </c>
      <c r="BH7506" s="42"/>
      <c r="BI7506" s="74"/>
      <c r="BJ7506" s="80"/>
      <c r="BL7506" s="497">
        <v>42.08</v>
      </c>
      <c r="BN7506" s="42"/>
      <c r="BO7506" s="74"/>
      <c r="BP7506" s="80"/>
      <c r="BR7506" s="497">
        <v>44.06</v>
      </c>
      <c r="BT7506" s="42"/>
    </row>
    <row r="7507" spans="1:72" x14ac:dyDescent="0.25">
      <c r="A7507" s="90">
        <v>36839</v>
      </c>
      <c r="B7507" s="20">
        <v>4.1666666666666664E-2</v>
      </c>
      <c r="D7507">
        <v>60.980000000000004</v>
      </c>
      <c r="E7507" t="str">
        <f t="shared" ref="E7507:E7570" si="270">IF(COUNTIF($DI$18:$DI$22, WEEKDAY(A7507))=1, "WEEKDAY", IF(WEEKDAY(A7507) = 1, "SUNDAY", "SATURDAY"))</f>
        <v>WEEKDAY</v>
      </c>
      <c r="F7507" t="e">
        <f t="shared" si="269"/>
        <v>#N/A</v>
      </c>
      <c r="G7507" s="74">
        <v>28803</v>
      </c>
      <c r="H7507" s="77">
        <v>4.1666666666666664E-2</v>
      </c>
      <c r="J7507">
        <v>46.94</v>
      </c>
      <c r="M7507" s="74">
        <v>36108</v>
      </c>
      <c r="N7507" s="77">
        <v>4.1666666666666664E-2</v>
      </c>
      <c r="P7507">
        <v>42.8</v>
      </c>
      <c r="S7507" s="74">
        <v>36839</v>
      </c>
      <c r="T7507" s="77">
        <v>4.1666666666666664E-2</v>
      </c>
      <c r="V7507">
        <v>51.08</v>
      </c>
      <c r="X7507" s="42"/>
      <c r="AB7507">
        <v>47.6</v>
      </c>
      <c r="AC7507">
        <v>32</v>
      </c>
      <c r="AE7507" s="74"/>
      <c r="AF7507" s="77"/>
      <c r="AH7507" s="497">
        <v>51.8</v>
      </c>
      <c r="AJ7507" s="42"/>
      <c r="AK7507" s="74"/>
      <c r="AL7507" s="77"/>
      <c r="AN7507" s="497">
        <v>39.019999999999996</v>
      </c>
      <c r="AP7507" s="42"/>
      <c r="AQ7507" s="74"/>
      <c r="AR7507" s="77"/>
      <c r="AT7507" s="497">
        <v>26.96</v>
      </c>
      <c r="AV7507" s="42"/>
      <c r="AW7507" s="74"/>
      <c r="AX7507" s="77"/>
      <c r="BA7507" s="497">
        <v>46.04</v>
      </c>
      <c r="BB7507" s="42"/>
      <c r="BC7507" s="74"/>
      <c r="BD7507" s="77"/>
      <c r="BF7507">
        <v>41</v>
      </c>
      <c r="BH7507" s="42"/>
      <c r="BI7507" s="74"/>
      <c r="BJ7507" s="77"/>
      <c r="BL7507" s="497">
        <v>42.08</v>
      </c>
      <c r="BN7507" s="42"/>
      <c r="BO7507" s="74"/>
      <c r="BP7507" s="77"/>
      <c r="BR7507" s="497">
        <v>44.06</v>
      </c>
      <c r="BT7507" s="42"/>
    </row>
    <row r="7508" spans="1:72" x14ac:dyDescent="0.25">
      <c r="A7508" s="90">
        <v>36839</v>
      </c>
      <c r="B7508" s="20">
        <v>8.3333333333333329E-2</v>
      </c>
      <c r="D7508">
        <v>62.06</v>
      </c>
      <c r="E7508" t="str">
        <f t="shared" si="270"/>
        <v>WEEKDAY</v>
      </c>
      <c r="F7508" t="e">
        <f t="shared" si="269"/>
        <v>#N/A</v>
      </c>
      <c r="G7508" s="74">
        <v>28803</v>
      </c>
      <c r="H7508" s="77">
        <v>8.3333333333333329E-2</v>
      </c>
      <c r="J7508">
        <v>44.06</v>
      </c>
      <c r="M7508" s="74">
        <v>36108</v>
      </c>
      <c r="N7508" s="77">
        <v>8.3333333333333329E-2</v>
      </c>
      <c r="P7508">
        <v>41.9</v>
      </c>
      <c r="S7508" s="74">
        <v>36839</v>
      </c>
      <c r="T7508" s="77">
        <v>8.3333333333333329E-2</v>
      </c>
      <c r="V7508">
        <v>48.019999999999996</v>
      </c>
      <c r="X7508" s="42"/>
      <c r="AB7508">
        <v>47</v>
      </c>
      <c r="AC7508">
        <v>32</v>
      </c>
      <c r="AE7508" s="74"/>
      <c r="AF7508" s="77"/>
      <c r="AH7508" s="497">
        <v>51.8</v>
      </c>
      <c r="AJ7508" s="42"/>
      <c r="AK7508" s="74"/>
      <c r="AL7508" s="77"/>
      <c r="AN7508" s="497">
        <v>39.019999999999996</v>
      </c>
      <c r="AP7508" s="42"/>
      <c r="AQ7508" s="74"/>
      <c r="AR7508" s="77"/>
      <c r="AT7508" s="497">
        <v>24.98</v>
      </c>
      <c r="AV7508" s="42"/>
      <c r="AW7508" s="74"/>
      <c r="AX7508" s="77"/>
      <c r="BA7508" s="497">
        <v>46.04</v>
      </c>
      <c r="BB7508" s="42"/>
      <c r="BC7508" s="74"/>
      <c r="BD7508" s="77"/>
      <c r="BF7508">
        <v>41</v>
      </c>
      <c r="BH7508" s="42"/>
      <c r="BI7508" s="74"/>
      <c r="BJ7508" s="77"/>
      <c r="BL7508" s="497">
        <v>42.08</v>
      </c>
      <c r="BN7508" s="42"/>
      <c r="BO7508" s="74"/>
      <c r="BP7508" s="77"/>
      <c r="BR7508" s="497">
        <v>42.980000000000004</v>
      </c>
      <c r="BT7508" s="42"/>
    </row>
    <row r="7509" spans="1:72" x14ac:dyDescent="0.25">
      <c r="A7509" s="90">
        <v>36839</v>
      </c>
      <c r="B7509" s="20">
        <v>0.125</v>
      </c>
      <c r="D7509">
        <v>62.06</v>
      </c>
      <c r="E7509" t="str">
        <f t="shared" si="270"/>
        <v>WEEKDAY</v>
      </c>
      <c r="F7509" t="e">
        <f t="shared" si="269"/>
        <v>#N/A</v>
      </c>
      <c r="G7509" s="74">
        <v>28803</v>
      </c>
      <c r="H7509" s="77">
        <v>0.125</v>
      </c>
      <c r="J7509">
        <v>44.96</v>
      </c>
      <c r="M7509" s="74">
        <v>36108</v>
      </c>
      <c r="N7509" s="77">
        <v>0.125</v>
      </c>
      <c r="P7509">
        <v>41</v>
      </c>
      <c r="S7509" s="74">
        <v>36839</v>
      </c>
      <c r="T7509" s="77">
        <v>0.125</v>
      </c>
      <c r="V7509">
        <v>48.019999999999996</v>
      </c>
      <c r="X7509" s="42"/>
      <c r="AB7509">
        <v>46.5</v>
      </c>
      <c r="AC7509">
        <v>32</v>
      </c>
      <c r="AE7509" s="74"/>
      <c r="AF7509" s="77"/>
      <c r="AH7509" s="497">
        <v>53.6</v>
      </c>
      <c r="AJ7509" s="42"/>
      <c r="AK7509" s="74"/>
      <c r="AL7509" s="77"/>
      <c r="AN7509" s="497">
        <v>37.94</v>
      </c>
      <c r="AP7509" s="42"/>
      <c r="AQ7509" s="74"/>
      <c r="AR7509" s="77"/>
      <c r="AT7509" s="497">
        <v>24.08</v>
      </c>
      <c r="AV7509" s="42"/>
      <c r="AW7509" s="74"/>
      <c r="AX7509" s="77"/>
      <c r="BA7509" s="497">
        <v>46.94</v>
      </c>
      <c r="BB7509" s="42"/>
      <c r="BC7509" s="74"/>
      <c r="BD7509" s="77"/>
      <c r="BF7509">
        <v>41</v>
      </c>
      <c r="BH7509" s="42"/>
      <c r="BI7509" s="74"/>
      <c r="BJ7509" s="77"/>
      <c r="BL7509" s="497">
        <v>42.08</v>
      </c>
      <c r="BN7509" s="42"/>
      <c r="BO7509" s="74"/>
      <c r="BP7509" s="77"/>
      <c r="BR7509" s="497">
        <v>42.08</v>
      </c>
      <c r="BT7509" s="42"/>
    </row>
    <row r="7510" spans="1:72" x14ac:dyDescent="0.25">
      <c r="A7510" s="90">
        <v>36839</v>
      </c>
      <c r="B7510" s="20">
        <v>0.16666666666666666</v>
      </c>
      <c r="D7510">
        <v>60.980000000000004</v>
      </c>
      <c r="E7510" t="str">
        <f t="shared" si="270"/>
        <v>WEEKDAY</v>
      </c>
      <c r="F7510" t="e">
        <f t="shared" si="269"/>
        <v>#N/A</v>
      </c>
      <c r="G7510" s="74">
        <v>28803</v>
      </c>
      <c r="H7510" s="77">
        <v>0.16666666666666666</v>
      </c>
      <c r="J7510">
        <v>44.06</v>
      </c>
      <c r="M7510" s="74">
        <v>36108</v>
      </c>
      <c r="N7510" s="77">
        <v>0.16666666666666666</v>
      </c>
      <c r="P7510">
        <v>41</v>
      </c>
      <c r="S7510" s="74">
        <v>36839</v>
      </c>
      <c r="T7510" s="77">
        <v>0.16666666666666666</v>
      </c>
      <c r="V7510">
        <v>50</v>
      </c>
      <c r="X7510" s="42"/>
      <c r="AB7510">
        <v>46.1</v>
      </c>
      <c r="AC7510">
        <v>30.92</v>
      </c>
      <c r="AE7510" s="74"/>
      <c r="AF7510" s="77"/>
      <c r="AH7510" s="497">
        <v>50</v>
      </c>
      <c r="AJ7510" s="42"/>
      <c r="AK7510" s="74"/>
      <c r="AL7510" s="77"/>
      <c r="AN7510" s="497">
        <v>37.94</v>
      </c>
      <c r="AP7510" s="42"/>
      <c r="AQ7510" s="74"/>
      <c r="AR7510" s="77"/>
      <c r="AT7510" s="497">
        <v>28.04</v>
      </c>
      <c r="AV7510" s="42"/>
      <c r="AW7510" s="74"/>
      <c r="AX7510" s="77"/>
      <c r="BA7510" s="497">
        <v>48.019999999999996</v>
      </c>
      <c r="BB7510" s="42"/>
      <c r="BC7510" s="74"/>
      <c r="BD7510" s="77"/>
      <c r="BF7510">
        <v>41</v>
      </c>
      <c r="BH7510" s="42"/>
      <c r="BI7510" s="74"/>
      <c r="BJ7510" s="77"/>
      <c r="BL7510" s="497">
        <v>41</v>
      </c>
      <c r="BN7510" s="42"/>
      <c r="BO7510" s="74"/>
      <c r="BP7510" s="77"/>
      <c r="BR7510" s="497">
        <v>39.92</v>
      </c>
      <c r="BT7510" s="42"/>
    </row>
    <row r="7511" spans="1:72" x14ac:dyDescent="0.25">
      <c r="A7511" s="90">
        <v>36839</v>
      </c>
      <c r="B7511" s="20">
        <v>0.20833333333333334</v>
      </c>
      <c r="D7511">
        <v>60.980000000000004</v>
      </c>
      <c r="E7511" t="str">
        <f t="shared" si="270"/>
        <v>WEEKDAY</v>
      </c>
      <c r="F7511" t="e">
        <f t="shared" si="269"/>
        <v>#N/A</v>
      </c>
      <c r="G7511" s="74">
        <v>28803</v>
      </c>
      <c r="H7511" s="77">
        <v>0.20833333333333334</v>
      </c>
      <c r="J7511">
        <v>42.980000000000004</v>
      </c>
      <c r="M7511" s="74">
        <v>36108</v>
      </c>
      <c r="N7511" s="77">
        <v>0.20833333333333334</v>
      </c>
      <c r="P7511">
        <v>41</v>
      </c>
      <c r="S7511" s="74">
        <v>36839</v>
      </c>
      <c r="T7511" s="77">
        <v>0.20833333333333334</v>
      </c>
      <c r="V7511">
        <v>50</v>
      </c>
      <c r="X7511" s="42"/>
      <c r="AB7511">
        <v>45.7</v>
      </c>
      <c r="AC7511">
        <v>28.04</v>
      </c>
      <c r="AE7511" s="74"/>
      <c r="AF7511" s="77"/>
      <c r="AH7511" s="497">
        <v>48.2</v>
      </c>
      <c r="AJ7511" s="42"/>
      <c r="AK7511" s="74"/>
      <c r="AL7511" s="77"/>
      <c r="AN7511" s="497">
        <v>37.94</v>
      </c>
      <c r="AP7511" s="42"/>
      <c r="AQ7511" s="74"/>
      <c r="AR7511" s="77"/>
      <c r="AT7511" s="497">
        <v>26.060000000000002</v>
      </c>
      <c r="AV7511" s="42"/>
      <c r="AW7511" s="74"/>
      <c r="AX7511" s="77"/>
      <c r="BA7511" s="497">
        <v>48.92</v>
      </c>
      <c r="BB7511" s="42"/>
      <c r="BC7511" s="74"/>
      <c r="BD7511" s="77"/>
      <c r="BF7511">
        <v>41</v>
      </c>
      <c r="BH7511" s="42"/>
      <c r="BI7511" s="74"/>
      <c r="BJ7511" s="77"/>
      <c r="BL7511" s="497">
        <v>41</v>
      </c>
      <c r="BN7511" s="42"/>
      <c r="BO7511" s="74"/>
      <c r="BP7511" s="77"/>
      <c r="BR7511" s="497">
        <v>39.019999999999996</v>
      </c>
      <c r="BT7511" s="42"/>
    </row>
    <row r="7512" spans="1:72" x14ac:dyDescent="0.25">
      <c r="A7512" s="90">
        <v>36839</v>
      </c>
      <c r="B7512" s="20">
        <v>0.25</v>
      </c>
      <c r="D7512">
        <v>60.08</v>
      </c>
      <c r="E7512" t="str">
        <f t="shared" si="270"/>
        <v>WEEKDAY</v>
      </c>
      <c r="F7512" t="e">
        <f t="shared" si="269"/>
        <v>#N/A</v>
      </c>
      <c r="G7512" s="74">
        <v>28803</v>
      </c>
      <c r="H7512" s="77">
        <v>0.25</v>
      </c>
      <c r="J7512">
        <v>42.980000000000004</v>
      </c>
      <c r="M7512" s="74">
        <v>36108</v>
      </c>
      <c r="N7512" s="77">
        <v>0.25</v>
      </c>
      <c r="P7512">
        <v>39.200000000000003</v>
      </c>
      <c r="S7512" s="74">
        <v>36839</v>
      </c>
      <c r="T7512" s="77">
        <v>0.25</v>
      </c>
      <c r="V7512">
        <v>48.92</v>
      </c>
      <c r="X7512" s="42"/>
      <c r="AB7512">
        <v>45.4</v>
      </c>
      <c r="AC7512">
        <v>28.94</v>
      </c>
      <c r="AE7512" s="74"/>
      <c r="AF7512" s="77"/>
      <c r="AH7512" s="497">
        <v>46.4</v>
      </c>
      <c r="AJ7512" s="42"/>
      <c r="AK7512" s="74"/>
      <c r="AL7512" s="77"/>
      <c r="AN7512" s="497">
        <v>37.94</v>
      </c>
      <c r="AP7512" s="42"/>
      <c r="AQ7512" s="74"/>
      <c r="AR7512" s="77"/>
      <c r="AT7512" s="497">
        <v>24.98</v>
      </c>
      <c r="AV7512" s="42"/>
      <c r="AW7512" s="74"/>
      <c r="AX7512" s="77"/>
      <c r="BA7512" s="497">
        <v>48.019999999999996</v>
      </c>
      <c r="BB7512" s="42"/>
      <c r="BC7512" s="74"/>
      <c r="BD7512" s="77"/>
      <c r="BF7512">
        <v>41</v>
      </c>
      <c r="BH7512" s="42"/>
      <c r="BI7512" s="74"/>
      <c r="BJ7512" s="77"/>
      <c r="BL7512" s="497">
        <v>41</v>
      </c>
      <c r="BN7512" s="42"/>
      <c r="BO7512" s="74"/>
      <c r="BP7512" s="77"/>
      <c r="BR7512" s="497">
        <v>37.94</v>
      </c>
      <c r="BT7512" s="42"/>
    </row>
    <row r="7513" spans="1:72" x14ac:dyDescent="0.25">
      <c r="A7513" s="90">
        <v>36839</v>
      </c>
      <c r="B7513" s="20">
        <v>0.29166666666666669</v>
      </c>
      <c r="D7513">
        <v>60.980000000000004</v>
      </c>
      <c r="E7513" t="str">
        <f t="shared" si="270"/>
        <v>WEEKDAY</v>
      </c>
      <c r="F7513" t="e">
        <f t="shared" si="269"/>
        <v>#N/A</v>
      </c>
      <c r="G7513" s="74">
        <v>28803</v>
      </c>
      <c r="H7513" s="77">
        <v>0.29166666666666669</v>
      </c>
      <c r="J7513">
        <v>44.96</v>
      </c>
      <c r="M7513" s="74">
        <v>36108</v>
      </c>
      <c r="N7513" s="77">
        <v>0.29166666666666669</v>
      </c>
      <c r="P7513">
        <v>39.200000000000003</v>
      </c>
      <c r="S7513" s="74">
        <v>36839</v>
      </c>
      <c r="T7513" s="77">
        <v>0.29166666666666669</v>
      </c>
      <c r="V7513">
        <v>50</v>
      </c>
      <c r="X7513" s="42"/>
      <c r="AB7513">
        <v>45.2</v>
      </c>
      <c r="AC7513">
        <v>28.94</v>
      </c>
      <c r="AE7513" s="74"/>
      <c r="AF7513" s="77"/>
      <c r="AH7513" s="497">
        <v>42.8</v>
      </c>
      <c r="AJ7513" s="42"/>
      <c r="AK7513" s="74"/>
      <c r="AL7513" s="77"/>
      <c r="AN7513" s="497">
        <v>37.94</v>
      </c>
      <c r="AP7513" s="42"/>
      <c r="AQ7513" s="74"/>
      <c r="AR7513" s="77"/>
      <c r="AT7513" s="497">
        <v>24.98</v>
      </c>
      <c r="AV7513" s="42"/>
      <c r="AW7513" s="74"/>
      <c r="AX7513" s="77"/>
      <c r="BA7513" s="497">
        <v>48.019999999999996</v>
      </c>
      <c r="BB7513" s="42"/>
      <c r="BC7513" s="74"/>
      <c r="BD7513" s="77"/>
      <c r="BF7513">
        <v>41</v>
      </c>
      <c r="BH7513" s="42"/>
      <c r="BI7513" s="74"/>
      <c r="BJ7513" s="77"/>
      <c r="BL7513" s="497">
        <v>39.92</v>
      </c>
      <c r="BN7513" s="42"/>
      <c r="BO7513" s="74"/>
      <c r="BP7513" s="77"/>
      <c r="BR7513" s="497">
        <v>35.96</v>
      </c>
      <c r="BT7513" s="42"/>
    </row>
    <row r="7514" spans="1:72" x14ac:dyDescent="0.25">
      <c r="A7514" s="90">
        <v>36839</v>
      </c>
      <c r="B7514" s="20">
        <v>0.33333333333333331</v>
      </c>
      <c r="D7514">
        <v>62.96</v>
      </c>
      <c r="E7514" t="str">
        <f t="shared" si="270"/>
        <v>WEEKDAY</v>
      </c>
      <c r="F7514" t="e">
        <f t="shared" si="269"/>
        <v>#N/A</v>
      </c>
      <c r="G7514" s="74">
        <v>28803</v>
      </c>
      <c r="H7514" s="77">
        <v>0.33333333333333331</v>
      </c>
      <c r="J7514">
        <v>46.04</v>
      </c>
      <c r="M7514" s="74">
        <v>36108</v>
      </c>
      <c r="N7514" s="77">
        <v>0.33333333333333331</v>
      </c>
      <c r="P7514">
        <v>42.8</v>
      </c>
      <c r="S7514" s="74">
        <v>36839</v>
      </c>
      <c r="T7514" s="77">
        <v>0.33333333333333331</v>
      </c>
      <c r="V7514">
        <v>51.980000000000004</v>
      </c>
      <c r="X7514" s="42"/>
      <c r="AB7514">
        <v>45.3</v>
      </c>
      <c r="AC7514">
        <v>35.06</v>
      </c>
      <c r="AE7514" s="74"/>
      <c r="AF7514" s="77"/>
      <c r="AH7514" s="497">
        <v>44.6</v>
      </c>
      <c r="AJ7514" s="42"/>
      <c r="AK7514" s="74"/>
      <c r="AL7514" s="77"/>
      <c r="AN7514" s="497">
        <v>37.94</v>
      </c>
      <c r="AP7514" s="42"/>
      <c r="AQ7514" s="74"/>
      <c r="AR7514" s="77"/>
      <c r="AT7514" s="497">
        <v>28.04</v>
      </c>
      <c r="AV7514" s="42"/>
      <c r="AW7514" s="74"/>
      <c r="AX7514" s="77"/>
      <c r="BA7514" s="497">
        <v>48.019999999999996</v>
      </c>
      <c r="BB7514" s="42"/>
      <c r="BC7514" s="74"/>
      <c r="BD7514" s="77"/>
      <c r="BF7514">
        <v>42.08</v>
      </c>
      <c r="BH7514" s="42"/>
      <c r="BI7514" s="74"/>
      <c r="BJ7514" s="77"/>
      <c r="BL7514" s="497">
        <v>39.019999999999996</v>
      </c>
      <c r="BN7514" s="42"/>
      <c r="BO7514" s="74"/>
      <c r="BP7514" s="77"/>
      <c r="BR7514" s="497">
        <v>35.06</v>
      </c>
      <c r="BT7514" s="42"/>
    </row>
    <row r="7515" spans="1:72" x14ac:dyDescent="0.25">
      <c r="A7515" s="90">
        <v>36839</v>
      </c>
      <c r="B7515" s="20">
        <v>0.375</v>
      </c>
      <c r="D7515">
        <v>64.94</v>
      </c>
      <c r="E7515" t="str">
        <f t="shared" si="270"/>
        <v>WEEKDAY</v>
      </c>
      <c r="F7515" t="e">
        <f t="shared" si="269"/>
        <v>#N/A</v>
      </c>
      <c r="G7515" s="74">
        <v>28803</v>
      </c>
      <c r="H7515" s="77">
        <v>0.375</v>
      </c>
      <c r="J7515">
        <v>50</v>
      </c>
      <c r="M7515" s="74">
        <v>36108</v>
      </c>
      <c r="N7515" s="77">
        <v>0.375</v>
      </c>
      <c r="P7515">
        <v>42.8</v>
      </c>
      <c r="S7515" s="74">
        <v>36839</v>
      </c>
      <c r="T7515" s="77">
        <v>0.375</v>
      </c>
      <c r="V7515">
        <v>57.019999999999996</v>
      </c>
      <c r="X7515" s="42"/>
      <c r="AB7515">
        <v>47.2</v>
      </c>
      <c r="AC7515">
        <v>37.04</v>
      </c>
      <c r="AE7515" s="74"/>
      <c r="AF7515" s="77"/>
      <c r="AH7515" s="497">
        <v>45.86</v>
      </c>
      <c r="AJ7515" s="42"/>
      <c r="AK7515" s="74"/>
      <c r="AL7515" s="77"/>
      <c r="AN7515" s="497">
        <v>37.94</v>
      </c>
      <c r="AP7515" s="42"/>
      <c r="AQ7515" s="74"/>
      <c r="AR7515" s="77"/>
      <c r="AT7515" s="497">
        <v>30.02</v>
      </c>
      <c r="AV7515" s="42"/>
      <c r="AW7515" s="74"/>
      <c r="AX7515" s="77"/>
      <c r="BA7515" s="497">
        <v>46.94</v>
      </c>
      <c r="BB7515" s="42"/>
      <c r="BC7515" s="74"/>
      <c r="BD7515" s="77"/>
      <c r="BF7515">
        <v>42.08</v>
      </c>
      <c r="BH7515" s="42"/>
      <c r="BI7515" s="74"/>
      <c r="BJ7515" s="77"/>
      <c r="BL7515" s="497">
        <v>42.980000000000004</v>
      </c>
      <c r="BN7515" s="42"/>
      <c r="BO7515" s="74"/>
      <c r="BP7515" s="77"/>
      <c r="BR7515" s="497">
        <v>33.979999999999997</v>
      </c>
      <c r="BT7515" s="42"/>
    </row>
    <row r="7516" spans="1:72" x14ac:dyDescent="0.25">
      <c r="A7516" s="90">
        <v>36839</v>
      </c>
      <c r="B7516" s="20">
        <v>0.41666666666666669</v>
      </c>
      <c r="D7516">
        <v>66.92</v>
      </c>
      <c r="E7516" t="str">
        <f t="shared" si="270"/>
        <v>WEEKDAY</v>
      </c>
      <c r="F7516" t="e">
        <f t="shared" si="269"/>
        <v>#N/A</v>
      </c>
      <c r="G7516" s="74">
        <v>28803</v>
      </c>
      <c r="H7516" s="77">
        <v>0.41666666666666669</v>
      </c>
      <c r="J7516">
        <v>51.08</v>
      </c>
      <c r="M7516" s="74">
        <v>36108</v>
      </c>
      <c r="N7516" s="77">
        <v>0.41666666666666669</v>
      </c>
      <c r="P7516">
        <v>48.2</v>
      </c>
      <c r="S7516" s="74">
        <v>36839</v>
      </c>
      <c r="T7516" s="77">
        <v>0.41666666666666669</v>
      </c>
      <c r="V7516">
        <v>57.92</v>
      </c>
      <c r="X7516" s="42"/>
      <c r="AB7516">
        <v>49.2</v>
      </c>
      <c r="AC7516">
        <v>37.94</v>
      </c>
      <c r="AE7516" s="74"/>
      <c r="AF7516" s="77"/>
      <c r="AH7516" s="497">
        <v>46.4</v>
      </c>
      <c r="AJ7516" s="42"/>
      <c r="AK7516" s="74"/>
      <c r="AL7516" s="77"/>
      <c r="AN7516" s="497">
        <v>39.92</v>
      </c>
      <c r="AP7516" s="42"/>
      <c r="AQ7516" s="74"/>
      <c r="AR7516" s="77"/>
      <c r="AT7516" s="497">
        <v>32</v>
      </c>
      <c r="AV7516" s="42"/>
      <c r="AW7516" s="74"/>
      <c r="AX7516" s="77"/>
      <c r="BA7516" s="497">
        <v>44.96</v>
      </c>
      <c r="BB7516" s="42"/>
      <c r="BC7516" s="74"/>
      <c r="BD7516" s="77"/>
      <c r="BF7516">
        <v>42.08</v>
      </c>
      <c r="BH7516" s="42"/>
      <c r="BI7516" s="74"/>
      <c r="BJ7516" s="77"/>
      <c r="BL7516" s="497">
        <v>46.04</v>
      </c>
      <c r="BN7516" s="42"/>
      <c r="BO7516" s="74"/>
      <c r="BP7516" s="77"/>
      <c r="BR7516" s="497">
        <v>33.979999999999997</v>
      </c>
      <c r="BT7516" s="42"/>
    </row>
    <row r="7517" spans="1:72" x14ac:dyDescent="0.25">
      <c r="A7517" s="90">
        <v>36839</v>
      </c>
      <c r="B7517" s="20">
        <v>0.45833333333333331</v>
      </c>
      <c r="D7517">
        <v>68</v>
      </c>
      <c r="E7517" t="str">
        <f t="shared" si="270"/>
        <v>WEEKDAY</v>
      </c>
      <c r="F7517" t="e">
        <f t="shared" si="269"/>
        <v>#N/A</v>
      </c>
      <c r="G7517" s="74">
        <v>28803</v>
      </c>
      <c r="H7517" s="77">
        <v>0.45833333333333331</v>
      </c>
      <c r="J7517">
        <v>53.96</v>
      </c>
      <c r="M7517" s="74">
        <v>36108</v>
      </c>
      <c r="N7517" s="77">
        <v>0.45833333333333331</v>
      </c>
      <c r="P7517">
        <v>50</v>
      </c>
      <c r="S7517" s="74">
        <v>36839</v>
      </c>
      <c r="T7517" s="77">
        <v>0.45833333333333331</v>
      </c>
      <c r="V7517">
        <v>57.92</v>
      </c>
      <c r="X7517" s="42"/>
      <c r="AB7517">
        <v>50.8</v>
      </c>
      <c r="AC7517">
        <v>39.019999999999996</v>
      </c>
      <c r="AE7517" s="74"/>
      <c r="AF7517" s="77"/>
      <c r="AH7517" s="497">
        <v>48.2</v>
      </c>
      <c r="AJ7517" s="42"/>
      <c r="AK7517" s="74"/>
      <c r="AL7517" s="77"/>
      <c r="AN7517" s="497">
        <v>41</v>
      </c>
      <c r="AP7517" s="42"/>
      <c r="AQ7517" s="74"/>
      <c r="AR7517" s="77"/>
      <c r="AT7517" s="497">
        <v>32</v>
      </c>
      <c r="AV7517" s="42"/>
      <c r="AW7517" s="74"/>
      <c r="AX7517" s="77"/>
      <c r="BA7517" s="497">
        <v>42.08</v>
      </c>
      <c r="BB7517" s="42"/>
      <c r="BC7517" s="74"/>
      <c r="BD7517" s="77"/>
      <c r="BF7517">
        <v>44.06</v>
      </c>
      <c r="BH7517" s="42"/>
      <c r="BI7517" s="74"/>
      <c r="BJ7517" s="77"/>
      <c r="BL7517" s="497">
        <v>44.06</v>
      </c>
      <c r="BN7517" s="42"/>
      <c r="BO7517" s="74"/>
      <c r="BP7517" s="77"/>
      <c r="BR7517" s="497">
        <v>33.979999999999997</v>
      </c>
      <c r="BT7517" s="42"/>
    </row>
    <row r="7518" spans="1:72" x14ac:dyDescent="0.25">
      <c r="A7518" s="90">
        <v>36839</v>
      </c>
      <c r="B7518" s="20">
        <v>0.5</v>
      </c>
      <c r="D7518">
        <v>69.98</v>
      </c>
      <c r="E7518" t="str">
        <f t="shared" si="270"/>
        <v>WEEKDAY</v>
      </c>
      <c r="F7518" t="e">
        <f t="shared" si="269"/>
        <v>#N/A</v>
      </c>
      <c r="G7518" s="74">
        <v>28803</v>
      </c>
      <c r="H7518" s="77">
        <v>0.5</v>
      </c>
      <c r="J7518">
        <v>55.94</v>
      </c>
      <c r="M7518" s="74">
        <v>36108</v>
      </c>
      <c r="N7518" s="77">
        <v>0.5</v>
      </c>
      <c r="P7518">
        <v>50</v>
      </c>
      <c r="S7518" s="74">
        <v>36839</v>
      </c>
      <c r="T7518" s="77">
        <v>0.5</v>
      </c>
      <c r="V7518">
        <v>59</v>
      </c>
      <c r="X7518" s="42"/>
      <c r="AB7518">
        <v>52.2</v>
      </c>
      <c r="AC7518">
        <v>39.92</v>
      </c>
      <c r="AE7518" s="74"/>
      <c r="AF7518" s="77"/>
      <c r="AH7518" s="497">
        <v>48.2</v>
      </c>
      <c r="AJ7518" s="42"/>
      <c r="AK7518" s="74"/>
      <c r="AL7518" s="77"/>
      <c r="AN7518" s="497">
        <v>42.08</v>
      </c>
      <c r="AP7518" s="42"/>
      <c r="AQ7518" s="74"/>
      <c r="AR7518" s="77"/>
      <c r="AT7518" s="497">
        <v>33.979999999999997</v>
      </c>
      <c r="AV7518" s="42"/>
      <c r="AW7518" s="74"/>
      <c r="AX7518" s="77"/>
      <c r="BA7518" s="497">
        <v>41</v>
      </c>
      <c r="BB7518" s="42"/>
      <c r="BC7518" s="74"/>
      <c r="BD7518" s="77"/>
      <c r="BF7518">
        <v>44.96</v>
      </c>
      <c r="BH7518" s="42"/>
      <c r="BI7518" s="74"/>
      <c r="BJ7518" s="77"/>
      <c r="BL7518" s="497">
        <v>44.06</v>
      </c>
      <c r="BN7518" s="42"/>
      <c r="BO7518" s="74"/>
      <c r="BP7518" s="77"/>
      <c r="BR7518" s="497">
        <v>33.979999999999997</v>
      </c>
      <c r="BT7518" s="42"/>
    </row>
    <row r="7519" spans="1:72" x14ac:dyDescent="0.25">
      <c r="A7519" s="90">
        <v>36839</v>
      </c>
      <c r="B7519" s="20">
        <v>0.54166666666666663</v>
      </c>
      <c r="D7519">
        <v>69.080000000000013</v>
      </c>
      <c r="E7519" t="str">
        <f t="shared" si="270"/>
        <v>WEEKDAY</v>
      </c>
      <c r="F7519" t="e">
        <f t="shared" si="269"/>
        <v>#N/A</v>
      </c>
      <c r="G7519" s="74">
        <v>28803</v>
      </c>
      <c r="H7519" s="77">
        <v>0.54166666666666663</v>
      </c>
      <c r="J7519">
        <v>57.92</v>
      </c>
      <c r="M7519" s="74">
        <v>36108</v>
      </c>
      <c r="N7519" s="77">
        <v>0.54166666666666663</v>
      </c>
      <c r="P7519">
        <v>51.8</v>
      </c>
      <c r="S7519" s="74">
        <v>36839</v>
      </c>
      <c r="T7519" s="77">
        <v>0.54166666666666663</v>
      </c>
      <c r="V7519">
        <v>59</v>
      </c>
      <c r="X7519" s="42"/>
      <c r="AB7519">
        <v>53.2</v>
      </c>
      <c r="AC7519">
        <v>41</v>
      </c>
      <c r="AE7519" s="74"/>
      <c r="AF7519" s="77"/>
      <c r="AH7519" s="497">
        <v>50</v>
      </c>
      <c r="AJ7519" s="42"/>
      <c r="AK7519" s="74"/>
      <c r="AL7519" s="77"/>
      <c r="AN7519" s="497">
        <v>42.980000000000004</v>
      </c>
      <c r="AP7519" s="42"/>
      <c r="AQ7519" s="74"/>
      <c r="AR7519" s="77"/>
      <c r="AT7519" s="497">
        <v>35.06</v>
      </c>
      <c r="AV7519" s="42"/>
      <c r="AW7519" s="74"/>
      <c r="AX7519" s="77"/>
      <c r="BA7519" s="497">
        <v>41</v>
      </c>
      <c r="BB7519" s="42"/>
      <c r="BC7519" s="74"/>
      <c r="BD7519" s="77"/>
      <c r="BF7519">
        <v>44.96</v>
      </c>
      <c r="BH7519" s="42"/>
      <c r="BI7519" s="74"/>
      <c r="BJ7519" s="77"/>
      <c r="BL7519" s="497">
        <v>44.96</v>
      </c>
      <c r="BN7519" s="42"/>
      <c r="BO7519" s="74"/>
      <c r="BP7519" s="77"/>
      <c r="BR7519" s="497">
        <v>33.979999999999997</v>
      </c>
      <c r="BT7519" s="42"/>
    </row>
    <row r="7520" spans="1:72" x14ac:dyDescent="0.25">
      <c r="A7520" s="90">
        <v>36839</v>
      </c>
      <c r="B7520" s="20">
        <v>0.58333333333333337</v>
      </c>
      <c r="D7520">
        <v>68</v>
      </c>
      <c r="E7520" t="str">
        <f t="shared" si="270"/>
        <v>WEEKDAY</v>
      </c>
      <c r="F7520" t="e">
        <f t="shared" si="269"/>
        <v>#N/A</v>
      </c>
      <c r="G7520" s="74">
        <v>28803</v>
      </c>
      <c r="H7520" s="77">
        <v>0.58333333333333337</v>
      </c>
      <c r="J7520">
        <v>60.08</v>
      </c>
      <c r="M7520" s="74">
        <v>36108</v>
      </c>
      <c r="N7520" s="77">
        <v>0.58333333333333337</v>
      </c>
      <c r="P7520">
        <v>51.8</v>
      </c>
      <c r="S7520" s="74">
        <v>36839</v>
      </c>
      <c r="T7520" s="77">
        <v>0.58333333333333337</v>
      </c>
      <c r="V7520">
        <v>57.92</v>
      </c>
      <c r="X7520" s="42"/>
      <c r="AB7520">
        <v>53.8</v>
      </c>
      <c r="AC7520">
        <v>42.08</v>
      </c>
      <c r="AE7520" s="74"/>
      <c r="AF7520" s="77"/>
      <c r="AH7520" s="497">
        <v>48.2</v>
      </c>
      <c r="AJ7520" s="42"/>
      <c r="AK7520" s="74"/>
      <c r="AL7520" s="77"/>
      <c r="AN7520" s="497">
        <v>42.980000000000004</v>
      </c>
      <c r="AP7520" s="42"/>
      <c r="AQ7520" s="74"/>
      <c r="AR7520" s="77"/>
      <c r="AT7520" s="497">
        <v>35.06</v>
      </c>
      <c r="AV7520" s="42"/>
      <c r="AW7520" s="74"/>
      <c r="AX7520" s="77"/>
      <c r="BA7520" s="497">
        <v>41</v>
      </c>
      <c r="BB7520" s="42"/>
      <c r="BC7520" s="74"/>
      <c r="BD7520" s="77"/>
      <c r="BF7520">
        <v>46.94</v>
      </c>
      <c r="BH7520" s="42"/>
      <c r="BI7520" s="74"/>
      <c r="BJ7520" s="77"/>
      <c r="BL7520" s="497">
        <v>46.04</v>
      </c>
      <c r="BN7520" s="42"/>
      <c r="BO7520" s="74"/>
      <c r="BP7520" s="77"/>
      <c r="BR7520" s="497">
        <v>37.04</v>
      </c>
      <c r="BT7520" s="42"/>
    </row>
    <row r="7521" spans="1:72" x14ac:dyDescent="0.25">
      <c r="A7521" s="90">
        <v>36839</v>
      </c>
      <c r="B7521" s="20">
        <v>0.625</v>
      </c>
      <c r="D7521">
        <v>66.92</v>
      </c>
      <c r="E7521" t="str">
        <f t="shared" si="270"/>
        <v>WEEKDAY</v>
      </c>
      <c r="F7521" t="e">
        <f t="shared" si="269"/>
        <v>#N/A</v>
      </c>
      <c r="G7521" s="74">
        <v>28803</v>
      </c>
      <c r="H7521" s="77">
        <v>0.625</v>
      </c>
      <c r="J7521">
        <v>60.08</v>
      </c>
      <c r="M7521" s="74">
        <v>36108</v>
      </c>
      <c r="N7521" s="77">
        <v>0.625</v>
      </c>
      <c r="P7521">
        <v>51.8</v>
      </c>
      <c r="S7521" s="74">
        <v>36839</v>
      </c>
      <c r="T7521" s="77">
        <v>0.625</v>
      </c>
      <c r="V7521">
        <v>57.019999999999996</v>
      </c>
      <c r="X7521" s="42"/>
      <c r="AB7521">
        <v>54.2</v>
      </c>
      <c r="AC7521">
        <v>41</v>
      </c>
      <c r="AE7521" s="74"/>
      <c r="AF7521" s="77"/>
      <c r="AH7521" s="497">
        <v>48.2</v>
      </c>
      <c r="AJ7521" s="42"/>
      <c r="AK7521" s="74"/>
      <c r="AL7521" s="77"/>
      <c r="AN7521" s="497">
        <v>42.08</v>
      </c>
      <c r="AP7521" s="42"/>
      <c r="AQ7521" s="74"/>
      <c r="AR7521" s="77"/>
      <c r="AT7521" s="497">
        <v>33.979999999999997</v>
      </c>
      <c r="AV7521" s="42"/>
      <c r="AW7521" s="74"/>
      <c r="AX7521" s="77"/>
      <c r="BA7521" s="497">
        <v>39.92</v>
      </c>
      <c r="BB7521" s="42"/>
      <c r="BC7521" s="74"/>
      <c r="BD7521" s="77"/>
      <c r="BF7521">
        <v>46.94</v>
      </c>
      <c r="BH7521" s="42"/>
      <c r="BI7521" s="74"/>
      <c r="BJ7521" s="77"/>
      <c r="BL7521" s="497">
        <v>46.04</v>
      </c>
      <c r="BN7521" s="42"/>
      <c r="BO7521" s="74"/>
      <c r="BP7521" s="77"/>
      <c r="BR7521" s="497">
        <v>39.019999999999996</v>
      </c>
      <c r="BT7521" s="42"/>
    </row>
    <row r="7522" spans="1:72" x14ac:dyDescent="0.25">
      <c r="A7522" s="90">
        <v>36839</v>
      </c>
      <c r="B7522" s="20">
        <v>0.66666666666666663</v>
      </c>
      <c r="D7522">
        <v>64.94</v>
      </c>
      <c r="E7522" t="str">
        <f t="shared" si="270"/>
        <v>WEEKDAY</v>
      </c>
      <c r="F7522" t="e">
        <f t="shared" si="269"/>
        <v>#N/A</v>
      </c>
      <c r="G7522" s="74">
        <v>28803</v>
      </c>
      <c r="H7522" s="77">
        <v>0.66666666666666663</v>
      </c>
      <c r="J7522">
        <v>59</v>
      </c>
      <c r="M7522" s="74">
        <v>36108</v>
      </c>
      <c r="N7522" s="77">
        <v>0.66666666666666663</v>
      </c>
      <c r="P7522">
        <v>51.8</v>
      </c>
      <c r="S7522" s="74">
        <v>36839</v>
      </c>
      <c r="T7522" s="77">
        <v>0.66666666666666663</v>
      </c>
      <c r="V7522">
        <v>55.94</v>
      </c>
      <c r="X7522" s="42"/>
      <c r="AB7522">
        <v>53.7</v>
      </c>
      <c r="AC7522">
        <v>41</v>
      </c>
      <c r="AE7522" s="74"/>
      <c r="AF7522" s="77"/>
      <c r="AH7522" s="497">
        <v>46.4</v>
      </c>
      <c r="AJ7522" s="42"/>
      <c r="AK7522" s="74"/>
      <c r="AL7522" s="77"/>
      <c r="AN7522" s="497">
        <v>42.08</v>
      </c>
      <c r="AP7522" s="42"/>
      <c r="AQ7522" s="74"/>
      <c r="AR7522" s="77"/>
      <c r="AT7522" s="497">
        <v>33.08</v>
      </c>
      <c r="AV7522" s="42"/>
      <c r="AW7522" s="74"/>
      <c r="AX7522" s="77"/>
      <c r="BA7522" s="497">
        <v>39.019999999999996</v>
      </c>
      <c r="BB7522" s="42"/>
      <c r="BC7522" s="74"/>
      <c r="BD7522" s="77"/>
      <c r="BF7522">
        <v>44.96</v>
      </c>
      <c r="BH7522" s="42"/>
      <c r="BI7522" s="74"/>
      <c r="BJ7522" s="77"/>
      <c r="BL7522" s="497">
        <v>46.04</v>
      </c>
      <c r="BN7522" s="42"/>
      <c r="BO7522" s="74"/>
      <c r="BP7522" s="77"/>
      <c r="BR7522" s="497">
        <v>37.04</v>
      </c>
      <c r="BT7522" s="42"/>
    </row>
    <row r="7523" spans="1:72" x14ac:dyDescent="0.25">
      <c r="A7523" s="90">
        <v>36839</v>
      </c>
      <c r="B7523" s="20">
        <v>0.70833333333333337</v>
      </c>
      <c r="D7523">
        <v>64.039999999999992</v>
      </c>
      <c r="E7523" t="str">
        <f t="shared" si="270"/>
        <v>WEEKDAY</v>
      </c>
      <c r="F7523" t="e">
        <f t="shared" si="269"/>
        <v>#N/A</v>
      </c>
      <c r="G7523" s="74">
        <v>28803</v>
      </c>
      <c r="H7523" s="77">
        <v>0.70833333333333337</v>
      </c>
      <c r="J7523">
        <v>57.92</v>
      </c>
      <c r="M7523" s="74">
        <v>36108</v>
      </c>
      <c r="N7523" s="77">
        <v>0.70833333333333337</v>
      </c>
      <c r="P7523">
        <v>48.2</v>
      </c>
      <c r="S7523" s="74">
        <v>36839</v>
      </c>
      <c r="T7523" s="77">
        <v>0.70833333333333337</v>
      </c>
      <c r="V7523">
        <v>55.94</v>
      </c>
      <c r="X7523" s="42"/>
      <c r="AB7523">
        <v>52.8</v>
      </c>
      <c r="AC7523">
        <v>37.04</v>
      </c>
      <c r="AE7523" s="74"/>
      <c r="AF7523" s="77"/>
      <c r="AH7523" s="497">
        <v>42.8</v>
      </c>
      <c r="AJ7523" s="42"/>
      <c r="AK7523" s="74"/>
      <c r="AL7523" s="77"/>
      <c r="AN7523" s="497">
        <v>41</v>
      </c>
      <c r="AP7523" s="42"/>
      <c r="AQ7523" s="74"/>
      <c r="AR7523" s="77"/>
      <c r="AT7523" s="497">
        <v>30.02</v>
      </c>
      <c r="AV7523" s="42"/>
      <c r="AW7523" s="74"/>
      <c r="AX7523" s="77"/>
      <c r="BA7523" s="497">
        <v>39.019999999999996</v>
      </c>
      <c r="BB7523" s="42"/>
      <c r="BC7523" s="74"/>
      <c r="BD7523" s="77"/>
      <c r="BF7523">
        <v>44.06</v>
      </c>
      <c r="BH7523" s="42"/>
      <c r="BI7523" s="74"/>
      <c r="BJ7523" s="77"/>
      <c r="BL7523" s="497">
        <v>44.06</v>
      </c>
      <c r="BN7523" s="42"/>
      <c r="BO7523" s="74"/>
      <c r="BP7523" s="77"/>
      <c r="BR7523" s="497">
        <v>35.06</v>
      </c>
      <c r="BT7523" s="42"/>
    </row>
    <row r="7524" spans="1:72" x14ac:dyDescent="0.25">
      <c r="A7524" s="90">
        <v>36839</v>
      </c>
      <c r="B7524" s="20">
        <v>0.75</v>
      </c>
      <c r="D7524">
        <v>62.96</v>
      </c>
      <c r="E7524" t="str">
        <f t="shared" si="270"/>
        <v>WEEKDAY</v>
      </c>
      <c r="F7524" t="e">
        <f t="shared" si="269"/>
        <v>#N/A</v>
      </c>
      <c r="G7524" s="74">
        <v>28803</v>
      </c>
      <c r="H7524" s="77">
        <v>0.75</v>
      </c>
      <c r="J7524">
        <v>57.92</v>
      </c>
      <c r="M7524" s="74">
        <v>36108</v>
      </c>
      <c r="N7524" s="77">
        <v>0.75</v>
      </c>
      <c r="P7524">
        <v>42.8</v>
      </c>
      <c r="S7524" s="74">
        <v>36839</v>
      </c>
      <c r="T7524" s="77">
        <v>0.75</v>
      </c>
      <c r="V7524">
        <v>55.94</v>
      </c>
      <c r="X7524" s="42"/>
      <c r="AB7524">
        <v>51.3</v>
      </c>
      <c r="AC7524">
        <v>35.96</v>
      </c>
      <c r="AE7524" s="74"/>
      <c r="AF7524" s="77"/>
      <c r="AH7524" s="497">
        <v>41</v>
      </c>
      <c r="AJ7524" s="42"/>
      <c r="AK7524" s="74"/>
      <c r="AL7524" s="77"/>
      <c r="AN7524" s="497">
        <v>39.019999999999996</v>
      </c>
      <c r="AP7524" s="42"/>
      <c r="AQ7524" s="74"/>
      <c r="AR7524" s="77"/>
      <c r="AT7524" s="497">
        <v>28.94</v>
      </c>
      <c r="AV7524" s="42"/>
      <c r="AW7524" s="74"/>
      <c r="AX7524" s="77"/>
      <c r="BA7524" s="497">
        <v>37.94</v>
      </c>
      <c r="BB7524" s="42"/>
      <c r="BC7524" s="74"/>
      <c r="BD7524" s="77"/>
      <c r="BF7524">
        <v>44.06</v>
      </c>
      <c r="BH7524" s="42"/>
      <c r="BI7524" s="74"/>
      <c r="BJ7524" s="77"/>
      <c r="BL7524" s="497">
        <v>42.08</v>
      </c>
      <c r="BN7524" s="42"/>
      <c r="BO7524" s="74"/>
      <c r="BP7524" s="77"/>
      <c r="BR7524" s="497">
        <v>33.979999999999997</v>
      </c>
      <c r="BT7524" s="42"/>
    </row>
    <row r="7525" spans="1:72" x14ac:dyDescent="0.25">
      <c r="A7525" s="90">
        <v>36839</v>
      </c>
      <c r="B7525" s="20">
        <v>0.79166666666666663</v>
      </c>
      <c r="D7525">
        <v>60.980000000000004</v>
      </c>
      <c r="E7525" t="str">
        <f t="shared" si="270"/>
        <v>WEEKDAY</v>
      </c>
      <c r="F7525" t="e">
        <f t="shared" si="269"/>
        <v>#N/A</v>
      </c>
      <c r="G7525" s="74">
        <v>28803</v>
      </c>
      <c r="H7525" s="77">
        <v>0.79166666666666663</v>
      </c>
      <c r="J7525">
        <v>57.019999999999996</v>
      </c>
      <c r="M7525" s="74">
        <v>36108</v>
      </c>
      <c r="N7525" s="77">
        <v>0.79166666666666663</v>
      </c>
      <c r="P7525">
        <v>39.200000000000003</v>
      </c>
      <c r="S7525" s="74">
        <v>36839</v>
      </c>
      <c r="T7525" s="77">
        <v>0.79166666666666663</v>
      </c>
      <c r="V7525">
        <v>55.94</v>
      </c>
      <c r="X7525" s="42"/>
      <c r="AB7525">
        <v>50.6</v>
      </c>
      <c r="AC7525">
        <v>33.979999999999997</v>
      </c>
      <c r="AE7525" s="74"/>
      <c r="AF7525" s="77"/>
      <c r="AH7525" s="497">
        <v>39.200000000000003</v>
      </c>
      <c r="AJ7525" s="42"/>
      <c r="AK7525" s="74"/>
      <c r="AL7525" s="77"/>
      <c r="AN7525" s="497">
        <v>37.94</v>
      </c>
      <c r="AP7525" s="42"/>
      <c r="AQ7525" s="74"/>
      <c r="AR7525" s="77"/>
      <c r="AT7525" s="497">
        <v>28.04</v>
      </c>
      <c r="AV7525" s="42"/>
      <c r="AW7525" s="74"/>
      <c r="AX7525" s="77"/>
      <c r="BA7525" s="497">
        <v>37.04</v>
      </c>
      <c r="BB7525" s="42"/>
      <c r="BC7525" s="74"/>
      <c r="BD7525" s="77"/>
      <c r="BF7525">
        <v>42.980000000000004</v>
      </c>
      <c r="BH7525" s="42"/>
      <c r="BI7525" s="74"/>
      <c r="BJ7525" s="77"/>
      <c r="BL7525" s="497">
        <v>41</v>
      </c>
      <c r="BN7525" s="42"/>
      <c r="BO7525" s="74"/>
      <c r="BP7525" s="77"/>
      <c r="BR7525" s="497">
        <v>33.979999999999997</v>
      </c>
      <c r="BT7525" s="42"/>
    </row>
    <row r="7526" spans="1:72" x14ac:dyDescent="0.25">
      <c r="A7526" s="90">
        <v>36839</v>
      </c>
      <c r="B7526" s="20">
        <v>0.83333333333333337</v>
      </c>
      <c r="D7526">
        <v>60.08</v>
      </c>
      <c r="E7526" t="str">
        <f t="shared" si="270"/>
        <v>WEEKDAY</v>
      </c>
      <c r="F7526" t="e">
        <f t="shared" si="269"/>
        <v>#N/A</v>
      </c>
      <c r="G7526" s="74">
        <v>28803</v>
      </c>
      <c r="H7526" s="77">
        <v>0.83333333333333337</v>
      </c>
      <c r="J7526">
        <v>55.040000000000006</v>
      </c>
      <c r="M7526" s="74">
        <v>36108</v>
      </c>
      <c r="N7526" s="77">
        <v>0.83333333333333337</v>
      </c>
      <c r="P7526">
        <v>41</v>
      </c>
      <c r="S7526" s="74">
        <v>36839</v>
      </c>
      <c r="T7526" s="77">
        <v>0.83333333333333337</v>
      </c>
      <c r="V7526">
        <v>55.94</v>
      </c>
      <c r="X7526" s="42"/>
      <c r="AB7526">
        <v>50.2</v>
      </c>
      <c r="AC7526">
        <v>30.02</v>
      </c>
      <c r="AE7526" s="74"/>
      <c r="AF7526" s="77"/>
      <c r="AH7526" s="497">
        <v>39.200000000000003</v>
      </c>
      <c r="AJ7526" s="42"/>
      <c r="AK7526" s="74"/>
      <c r="AL7526" s="77"/>
      <c r="AN7526" s="497">
        <v>35.96</v>
      </c>
      <c r="AP7526" s="42"/>
      <c r="AQ7526" s="74"/>
      <c r="AR7526" s="77"/>
      <c r="AT7526" s="497">
        <v>26.060000000000002</v>
      </c>
      <c r="AV7526" s="42"/>
      <c r="AW7526" s="74"/>
      <c r="AX7526" s="77"/>
      <c r="BA7526" s="497">
        <v>35.96</v>
      </c>
      <c r="BB7526" s="42"/>
      <c r="BC7526" s="74"/>
      <c r="BD7526" s="77"/>
      <c r="BF7526">
        <v>42.08</v>
      </c>
      <c r="BH7526" s="42"/>
      <c r="BI7526" s="74"/>
      <c r="BJ7526" s="77"/>
      <c r="BL7526" s="497">
        <v>42.08</v>
      </c>
      <c r="BN7526" s="42"/>
      <c r="BO7526" s="74"/>
      <c r="BP7526" s="77"/>
      <c r="BR7526" s="497">
        <v>33.08</v>
      </c>
      <c r="BT7526" s="42"/>
    </row>
    <row r="7527" spans="1:72" x14ac:dyDescent="0.25">
      <c r="A7527" s="90">
        <v>36839</v>
      </c>
      <c r="B7527" s="20">
        <v>0.875</v>
      </c>
      <c r="D7527">
        <v>59</v>
      </c>
      <c r="E7527" t="str">
        <f t="shared" si="270"/>
        <v>WEEKDAY</v>
      </c>
      <c r="F7527" t="e">
        <f t="shared" si="269"/>
        <v>#N/A</v>
      </c>
      <c r="G7527" s="74">
        <v>28803</v>
      </c>
      <c r="H7527" s="77">
        <v>0.875</v>
      </c>
      <c r="J7527">
        <v>55.040000000000006</v>
      </c>
      <c r="M7527" s="74">
        <v>36108</v>
      </c>
      <c r="N7527" s="77">
        <v>0.875</v>
      </c>
      <c r="P7527">
        <v>39.200000000000003</v>
      </c>
      <c r="S7527" s="74">
        <v>36839</v>
      </c>
      <c r="T7527" s="77">
        <v>0.875</v>
      </c>
      <c r="V7527">
        <v>55.040000000000006</v>
      </c>
      <c r="X7527" s="42"/>
      <c r="AB7527">
        <v>49.7</v>
      </c>
      <c r="AC7527">
        <v>28.94</v>
      </c>
      <c r="AE7527" s="74"/>
      <c r="AF7527" s="77"/>
      <c r="AH7527" s="497">
        <v>33.799999999999997</v>
      </c>
      <c r="AJ7527" s="42"/>
      <c r="AK7527" s="74"/>
      <c r="AL7527" s="77"/>
      <c r="AN7527" s="497">
        <v>37.04</v>
      </c>
      <c r="AP7527" s="42"/>
      <c r="AQ7527" s="74"/>
      <c r="AR7527" s="77"/>
      <c r="AT7527" s="497">
        <v>26.96</v>
      </c>
      <c r="AV7527" s="42"/>
      <c r="AW7527" s="74"/>
      <c r="AX7527" s="77"/>
      <c r="BA7527" s="497">
        <v>35.96</v>
      </c>
      <c r="BB7527" s="42"/>
      <c r="BC7527" s="74"/>
      <c r="BD7527" s="77"/>
      <c r="BF7527">
        <v>42.08</v>
      </c>
      <c r="BH7527" s="42"/>
      <c r="BI7527" s="74"/>
      <c r="BJ7527" s="77"/>
      <c r="BL7527" s="497">
        <v>42.08</v>
      </c>
      <c r="BN7527" s="42"/>
      <c r="BO7527" s="74"/>
      <c r="BP7527" s="77"/>
      <c r="BR7527" s="497">
        <v>32</v>
      </c>
      <c r="BT7527" s="42"/>
    </row>
    <row r="7528" spans="1:72" x14ac:dyDescent="0.25">
      <c r="A7528" s="90">
        <v>36839</v>
      </c>
      <c r="B7528" s="20">
        <v>0.91666666666666663</v>
      </c>
      <c r="D7528">
        <v>55.94</v>
      </c>
      <c r="E7528" t="str">
        <f t="shared" si="270"/>
        <v>WEEKDAY</v>
      </c>
      <c r="F7528" t="e">
        <f t="shared" si="269"/>
        <v>#N/A</v>
      </c>
      <c r="G7528" s="74">
        <v>28803</v>
      </c>
      <c r="H7528" s="77">
        <v>0.91666666666666663</v>
      </c>
      <c r="J7528">
        <v>53.96</v>
      </c>
      <c r="M7528" s="74">
        <v>36108</v>
      </c>
      <c r="N7528" s="77">
        <v>0.91666666666666663</v>
      </c>
      <c r="P7528">
        <v>39.200000000000003</v>
      </c>
      <c r="S7528" s="74">
        <v>36839</v>
      </c>
      <c r="T7528" s="77">
        <v>0.91666666666666663</v>
      </c>
      <c r="V7528">
        <v>53.96</v>
      </c>
      <c r="X7528" s="42"/>
      <c r="AB7528">
        <v>49</v>
      </c>
      <c r="AC7528">
        <v>30.02</v>
      </c>
      <c r="AE7528" s="74"/>
      <c r="AF7528" s="77"/>
      <c r="AH7528" s="497">
        <v>30.2</v>
      </c>
      <c r="AJ7528" s="42"/>
      <c r="AK7528" s="74"/>
      <c r="AL7528" s="77"/>
      <c r="AN7528" s="497">
        <v>35.96</v>
      </c>
      <c r="AP7528" s="42"/>
      <c r="AQ7528" s="74"/>
      <c r="AR7528" s="77"/>
      <c r="AT7528" s="497">
        <v>24.08</v>
      </c>
      <c r="AV7528" s="42"/>
      <c r="AW7528" s="74"/>
      <c r="AX7528" s="77"/>
      <c r="BA7528" s="497">
        <v>37.04</v>
      </c>
      <c r="BB7528" s="42"/>
      <c r="BC7528" s="74"/>
      <c r="BD7528" s="77"/>
      <c r="BF7528">
        <v>42.980000000000004</v>
      </c>
      <c r="BH7528" s="42"/>
      <c r="BI7528" s="74"/>
      <c r="BJ7528" s="77"/>
      <c r="BL7528" s="497">
        <v>42.08</v>
      </c>
      <c r="BN7528" s="42"/>
      <c r="BO7528" s="74"/>
      <c r="BP7528" s="77"/>
      <c r="BR7528" s="497">
        <v>32</v>
      </c>
      <c r="BT7528" s="42"/>
    </row>
    <row r="7529" spans="1:72" x14ac:dyDescent="0.25">
      <c r="A7529" s="90">
        <v>36839</v>
      </c>
      <c r="B7529" s="20">
        <v>0.95833333333333337</v>
      </c>
      <c r="D7529">
        <v>53.06</v>
      </c>
      <c r="E7529" t="str">
        <f t="shared" si="270"/>
        <v>WEEKDAY</v>
      </c>
      <c r="F7529" t="e">
        <f t="shared" si="269"/>
        <v>#N/A</v>
      </c>
      <c r="G7529" s="74">
        <v>28803</v>
      </c>
      <c r="H7529" s="77">
        <v>0.95833333333333337</v>
      </c>
      <c r="J7529">
        <v>53.06</v>
      </c>
      <c r="M7529" s="74">
        <v>36108</v>
      </c>
      <c r="N7529" s="77">
        <v>0.95833333333333337</v>
      </c>
      <c r="P7529">
        <v>37.4</v>
      </c>
      <c r="S7529" s="74">
        <v>36839</v>
      </c>
      <c r="T7529" s="77">
        <v>0.95833333333333337</v>
      </c>
      <c r="V7529">
        <v>53.96</v>
      </c>
      <c r="X7529" s="42"/>
      <c r="AB7529">
        <v>48.4</v>
      </c>
      <c r="AC7529">
        <v>28.04</v>
      </c>
      <c r="AE7529" s="74"/>
      <c r="AF7529" s="77"/>
      <c r="AH7529" s="497">
        <v>32</v>
      </c>
      <c r="AJ7529" s="42"/>
      <c r="AK7529" s="74"/>
      <c r="AL7529" s="77"/>
      <c r="AN7529" s="497">
        <v>35.96</v>
      </c>
      <c r="AP7529" s="42"/>
      <c r="AQ7529" s="74"/>
      <c r="AR7529" s="77"/>
      <c r="AT7529" s="497">
        <v>19.939999999999998</v>
      </c>
      <c r="AV7529" s="42"/>
      <c r="AW7529" s="74"/>
      <c r="AX7529" s="77"/>
      <c r="BA7529" s="497">
        <v>37.04</v>
      </c>
      <c r="BB7529" s="42"/>
      <c r="BC7529" s="74"/>
      <c r="BD7529" s="77"/>
      <c r="BF7529">
        <v>44.06</v>
      </c>
      <c r="BH7529" s="42"/>
      <c r="BI7529" s="74"/>
      <c r="BJ7529" s="77"/>
      <c r="BL7529" s="497">
        <v>42.980000000000004</v>
      </c>
      <c r="BN7529" s="42"/>
      <c r="BO7529" s="74"/>
      <c r="BP7529" s="77"/>
      <c r="BR7529" s="497">
        <v>32</v>
      </c>
      <c r="BT7529" s="42"/>
    </row>
    <row r="7530" spans="1:72" x14ac:dyDescent="0.25">
      <c r="A7530" s="90">
        <v>36839</v>
      </c>
      <c r="B7530" s="20">
        <v>1</v>
      </c>
      <c r="D7530">
        <v>53.06</v>
      </c>
      <c r="E7530" t="str">
        <f t="shared" si="270"/>
        <v>WEEKDAY</v>
      </c>
      <c r="F7530" t="e">
        <f t="shared" si="269"/>
        <v>#N/A</v>
      </c>
      <c r="G7530" s="74">
        <v>28803</v>
      </c>
      <c r="H7530" s="77">
        <v>1</v>
      </c>
      <c r="J7530">
        <v>51.08</v>
      </c>
      <c r="M7530" s="74">
        <v>36108</v>
      </c>
      <c r="N7530" s="80">
        <v>1</v>
      </c>
      <c r="P7530">
        <v>39.200000000000003</v>
      </c>
      <c r="S7530" s="74">
        <v>36839</v>
      </c>
      <c r="T7530" s="80">
        <v>1</v>
      </c>
      <c r="V7530">
        <v>53.96</v>
      </c>
      <c r="X7530" s="42"/>
      <c r="AB7530">
        <v>47.7</v>
      </c>
      <c r="AC7530">
        <v>28.04</v>
      </c>
      <c r="AE7530" s="74"/>
      <c r="AF7530" s="80"/>
      <c r="AH7530" s="497">
        <v>30.2</v>
      </c>
      <c r="AJ7530" s="42"/>
      <c r="AK7530" s="74"/>
      <c r="AL7530" s="80"/>
      <c r="AN7530" s="497">
        <v>37.04</v>
      </c>
      <c r="AP7530" s="42"/>
      <c r="AQ7530" s="74"/>
      <c r="AR7530" s="80"/>
      <c r="AT7530" s="497">
        <v>21.92</v>
      </c>
      <c r="AV7530" s="42"/>
      <c r="AW7530" s="74"/>
      <c r="AX7530" s="80"/>
      <c r="BA7530" s="497">
        <v>35.96</v>
      </c>
      <c r="BB7530" s="42"/>
      <c r="BC7530" s="74"/>
      <c r="BD7530" s="80"/>
      <c r="BF7530">
        <v>44.96</v>
      </c>
      <c r="BH7530" s="42"/>
      <c r="BI7530" s="74"/>
      <c r="BJ7530" s="80"/>
      <c r="BL7530" s="497">
        <v>42.08</v>
      </c>
      <c r="BN7530" s="42"/>
      <c r="BO7530" s="74"/>
      <c r="BP7530" s="80"/>
      <c r="BR7530" s="497">
        <v>30.92</v>
      </c>
      <c r="BT7530" s="42"/>
    </row>
    <row r="7531" spans="1:72" x14ac:dyDescent="0.25">
      <c r="A7531" s="90">
        <v>36840</v>
      </c>
      <c r="B7531" s="20">
        <v>4.1666666666666664E-2</v>
      </c>
      <c r="D7531">
        <v>51.980000000000004</v>
      </c>
      <c r="E7531" t="str">
        <f t="shared" si="270"/>
        <v>WEEKDAY</v>
      </c>
      <c r="F7531" t="e">
        <f t="shared" ref="F7531:F7594" si="271">IF(E7531="WEEKDAY",VLOOKUP(B7531,$DD$19:$DG$42,2),IF(E7531="SATURDAY",VLOOKUP(B7531,$DD$19:$DG$42,3),VLOOKUP(B7531,$DD$19:$DG$42,4)))</f>
        <v>#N/A</v>
      </c>
      <c r="G7531" s="74">
        <v>28804</v>
      </c>
      <c r="H7531" s="77">
        <v>4.1666666666666664E-2</v>
      </c>
      <c r="J7531">
        <v>50</v>
      </c>
      <c r="M7531" s="74">
        <v>36109</v>
      </c>
      <c r="N7531" s="77">
        <v>4.1666666666666664E-2</v>
      </c>
      <c r="P7531">
        <v>37.4</v>
      </c>
      <c r="S7531" s="74">
        <v>36840</v>
      </c>
      <c r="T7531" s="77">
        <v>4.1666666666666664E-2</v>
      </c>
      <c r="V7531">
        <v>53.96</v>
      </c>
      <c r="X7531" s="42"/>
      <c r="AB7531">
        <v>47.2</v>
      </c>
      <c r="AC7531">
        <v>26.060000000000002</v>
      </c>
      <c r="AE7531" s="74"/>
      <c r="AF7531" s="77"/>
      <c r="AH7531" s="497">
        <v>30.2</v>
      </c>
      <c r="AJ7531" s="42"/>
      <c r="AK7531" s="74"/>
      <c r="AL7531" s="77"/>
      <c r="AN7531" s="497">
        <v>37.04</v>
      </c>
      <c r="AP7531" s="42"/>
      <c r="AQ7531" s="74"/>
      <c r="AR7531" s="77"/>
      <c r="AT7531" s="497">
        <v>21.02</v>
      </c>
      <c r="AV7531" s="42"/>
      <c r="AW7531" s="74"/>
      <c r="AX7531" s="77"/>
      <c r="BA7531" s="497">
        <v>35.96</v>
      </c>
      <c r="BB7531" s="42"/>
      <c r="BC7531" s="74"/>
      <c r="BD7531" s="77"/>
      <c r="BF7531">
        <v>42.980000000000004</v>
      </c>
      <c r="BH7531" s="42"/>
      <c r="BI7531" s="74"/>
      <c r="BJ7531" s="77"/>
      <c r="BL7531" s="497">
        <v>42.980000000000004</v>
      </c>
      <c r="BN7531" s="42"/>
      <c r="BO7531" s="74"/>
      <c r="BP7531" s="77"/>
      <c r="BR7531" s="497">
        <v>30.02</v>
      </c>
      <c r="BT7531" s="42"/>
    </row>
    <row r="7532" spans="1:72" x14ac:dyDescent="0.25">
      <c r="A7532" s="90">
        <v>36840</v>
      </c>
      <c r="B7532" s="20">
        <v>8.3333333333333329E-2</v>
      </c>
      <c r="D7532">
        <v>50</v>
      </c>
      <c r="E7532" t="str">
        <f t="shared" si="270"/>
        <v>WEEKDAY</v>
      </c>
      <c r="F7532" t="e">
        <f t="shared" si="271"/>
        <v>#N/A</v>
      </c>
      <c r="G7532" s="74">
        <v>28804</v>
      </c>
      <c r="H7532" s="77">
        <v>8.3333333333333329E-2</v>
      </c>
      <c r="J7532">
        <v>48.019999999999996</v>
      </c>
      <c r="M7532" s="74">
        <v>36109</v>
      </c>
      <c r="N7532" s="77">
        <v>8.3333333333333329E-2</v>
      </c>
      <c r="P7532">
        <v>37.4</v>
      </c>
      <c r="S7532" s="74">
        <v>36840</v>
      </c>
      <c r="T7532" s="77">
        <v>8.3333333333333329E-2</v>
      </c>
      <c r="V7532">
        <v>55.040000000000006</v>
      </c>
      <c r="X7532" s="42"/>
      <c r="AB7532">
        <v>46.6</v>
      </c>
      <c r="AC7532">
        <v>24.98</v>
      </c>
      <c r="AE7532" s="74"/>
      <c r="AF7532" s="77"/>
      <c r="AH7532" s="497">
        <v>30.2</v>
      </c>
      <c r="AJ7532" s="42"/>
      <c r="AK7532" s="74"/>
      <c r="AL7532" s="77"/>
      <c r="AN7532" s="497">
        <v>39.019999999999996</v>
      </c>
      <c r="AP7532" s="42"/>
      <c r="AQ7532" s="74"/>
      <c r="AR7532" s="77"/>
      <c r="AT7532" s="497">
        <v>19.04</v>
      </c>
      <c r="AV7532" s="42"/>
      <c r="AW7532" s="74"/>
      <c r="AX7532" s="77"/>
      <c r="BA7532" s="497">
        <v>33.979999999999997</v>
      </c>
      <c r="BB7532" s="42"/>
      <c r="BC7532" s="74"/>
      <c r="BD7532" s="77"/>
      <c r="BF7532">
        <v>44.96</v>
      </c>
      <c r="BH7532" s="42"/>
      <c r="BI7532" s="74"/>
      <c r="BJ7532" s="77"/>
      <c r="BL7532" s="497">
        <v>42.980000000000004</v>
      </c>
      <c r="BN7532" s="42"/>
      <c r="BO7532" s="74"/>
      <c r="BP7532" s="77"/>
      <c r="BR7532" s="497">
        <v>30.02</v>
      </c>
      <c r="BT7532" s="42"/>
    </row>
    <row r="7533" spans="1:72" x14ac:dyDescent="0.25">
      <c r="A7533" s="90">
        <v>36840</v>
      </c>
      <c r="B7533" s="20">
        <v>0.125</v>
      </c>
      <c r="D7533">
        <v>46.94</v>
      </c>
      <c r="E7533" t="str">
        <f t="shared" si="270"/>
        <v>WEEKDAY</v>
      </c>
      <c r="F7533" t="e">
        <f t="shared" si="271"/>
        <v>#N/A</v>
      </c>
      <c r="G7533" s="74">
        <v>28804</v>
      </c>
      <c r="H7533" s="77">
        <v>0.125</v>
      </c>
      <c r="J7533">
        <v>46.94</v>
      </c>
      <c r="M7533" s="74">
        <v>36109</v>
      </c>
      <c r="N7533" s="77">
        <v>0.125</v>
      </c>
      <c r="P7533">
        <v>37.4</v>
      </c>
      <c r="S7533" s="74">
        <v>36840</v>
      </c>
      <c r="T7533" s="77">
        <v>0.125</v>
      </c>
      <c r="V7533">
        <v>55.040000000000006</v>
      </c>
      <c r="X7533" s="42"/>
      <c r="AB7533">
        <v>46.1</v>
      </c>
      <c r="AC7533">
        <v>26.060000000000002</v>
      </c>
      <c r="AE7533" s="74"/>
      <c r="AF7533" s="77"/>
      <c r="AH7533" s="497">
        <v>30.2</v>
      </c>
      <c r="AJ7533" s="42"/>
      <c r="AK7533" s="74"/>
      <c r="AL7533" s="77"/>
      <c r="AN7533" s="497">
        <v>39.92</v>
      </c>
      <c r="AP7533" s="42"/>
      <c r="AQ7533" s="74"/>
      <c r="AR7533" s="77"/>
      <c r="AT7533" s="497">
        <v>17.96</v>
      </c>
      <c r="AV7533" s="42"/>
      <c r="AW7533" s="74"/>
      <c r="AX7533" s="77"/>
      <c r="BA7533" s="497">
        <v>33.979999999999997</v>
      </c>
      <c r="BB7533" s="42"/>
      <c r="BC7533" s="74"/>
      <c r="BD7533" s="77"/>
      <c r="BF7533">
        <v>46.04</v>
      </c>
      <c r="BH7533" s="42"/>
      <c r="BI7533" s="74"/>
      <c r="BJ7533" s="77"/>
      <c r="BL7533" s="497">
        <v>42.980000000000004</v>
      </c>
      <c r="BN7533" s="42"/>
      <c r="BO7533" s="74"/>
      <c r="BP7533" s="77"/>
      <c r="BR7533" s="497">
        <v>30.02</v>
      </c>
      <c r="BT7533" s="42"/>
    </row>
    <row r="7534" spans="1:72" x14ac:dyDescent="0.25">
      <c r="A7534" s="90">
        <v>36840</v>
      </c>
      <c r="B7534" s="20">
        <v>0.16666666666666666</v>
      </c>
      <c r="D7534">
        <v>42.980000000000004</v>
      </c>
      <c r="E7534" t="str">
        <f t="shared" si="270"/>
        <v>WEEKDAY</v>
      </c>
      <c r="F7534" t="e">
        <f t="shared" si="271"/>
        <v>#N/A</v>
      </c>
      <c r="G7534" s="74">
        <v>28804</v>
      </c>
      <c r="H7534" s="77">
        <v>0.16666666666666666</v>
      </c>
      <c r="J7534">
        <v>46.94</v>
      </c>
      <c r="M7534" s="74">
        <v>36109</v>
      </c>
      <c r="N7534" s="77">
        <v>0.16666666666666666</v>
      </c>
      <c r="P7534">
        <v>37.4</v>
      </c>
      <c r="S7534" s="74">
        <v>36840</v>
      </c>
      <c r="T7534" s="77">
        <v>0.16666666666666666</v>
      </c>
      <c r="V7534">
        <v>55.040000000000006</v>
      </c>
      <c r="X7534" s="42"/>
      <c r="AB7534">
        <v>45.7</v>
      </c>
      <c r="AC7534">
        <v>24.98</v>
      </c>
      <c r="AE7534" s="74"/>
      <c r="AF7534" s="77"/>
      <c r="AH7534" s="497">
        <v>32</v>
      </c>
      <c r="AJ7534" s="42"/>
      <c r="AK7534" s="74"/>
      <c r="AL7534" s="77"/>
      <c r="AN7534" s="497">
        <v>39.019999999999996</v>
      </c>
      <c r="AP7534" s="42"/>
      <c r="AQ7534" s="74"/>
      <c r="AR7534" s="77"/>
      <c r="AT7534" s="497">
        <v>19.939999999999998</v>
      </c>
      <c r="AV7534" s="42"/>
      <c r="AW7534" s="74"/>
      <c r="AX7534" s="77"/>
      <c r="BA7534" s="497">
        <v>33.979999999999997</v>
      </c>
      <c r="BB7534" s="42"/>
      <c r="BC7534" s="74"/>
      <c r="BD7534" s="77"/>
      <c r="BF7534">
        <v>46.94</v>
      </c>
      <c r="BH7534" s="42"/>
      <c r="BI7534" s="74"/>
      <c r="BJ7534" s="77"/>
      <c r="BL7534" s="497">
        <v>44.96</v>
      </c>
      <c r="BN7534" s="42"/>
      <c r="BO7534" s="74"/>
      <c r="BP7534" s="77"/>
      <c r="BR7534" s="497">
        <v>26.060000000000002</v>
      </c>
      <c r="BT7534" s="42"/>
    </row>
    <row r="7535" spans="1:72" x14ac:dyDescent="0.25">
      <c r="A7535" s="90">
        <v>36840</v>
      </c>
      <c r="B7535" s="20">
        <v>0.20833333333333334</v>
      </c>
      <c r="D7535">
        <v>42.980000000000004</v>
      </c>
      <c r="E7535" t="str">
        <f t="shared" si="270"/>
        <v>WEEKDAY</v>
      </c>
      <c r="F7535" t="e">
        <f t="shared" si="271"/>
        <v>#N/A</v>
      </c>
      <c r="G7535" s="74">
        <v>28804</v>
      </c>
      <c r="H7535" s="77">
        <v>0.20833333333333334</v>
      </c>
      <c r="J7535">
        <v>46.04</v>
      </c>
      <c r="M7535" s="74">
        <v>36109</v>
      </c>
      <c r="N7535" s="77">
        <v>0.20833333333333334</v>
      </c>
      <c r="P7535">
        <v>37.4</v>
      </c>
      <c r="S7535" s="74">
        <v>36840</v>
      </c>
      <c r="T7535" s="77">
        <v>0.20833333333333334</v>
      </c>
      <c r="V7535">
        <v>55.94</v>
      </c>
      <c r="X7535" s="42"/>
      <c r="AB7535">
        <v>45.3</v>
      </c>
      <c r="AC7535">
        <v>24.98</v>
      </c>
      <c r="AE7535" s="74"/>
      <c r="AF7535" s="77"/>
      <c r="AH7535" s="497">
        <v>32</v>
      </c>
      <c r="AJ7535" s="42"/>
      <c r="AK7535" s="74"/>
      <c r="AL7535" s="77"/>
      <c r="AN7535" s="497">
        <v>39.92</v>
      </c>
      <c r="AP7535" s="42"/>
      <c r="AQ7535" s="74"/>
      <c r="AR7535" s="77"/>
      <c r="AT7535" s="497">
        <v>19.04</v>
      </c>
      <c r="AV7535" s="42"/>
      <c r="AW7535" s="74"/>
      <c r="AX7535" s="77"/>
      <c r="BA7535" s="497">
        <v>30.92</v>
      </c>
      <c r="BB7535" s="42"/>
      <c r="BC7535" s="74"/>
      <c r="BD7535" s="77"/>
      <c r="BF7535">
        <v>48.019999999999996</v>
      </c>
      <c r="BH7535" s="42"/>
      <c r="BI7535" s="74"/>
      <c r="BJ7535" s="77"/>
      <c r="BL7535" s="497">
        <v>44.96</v>
      </c>
      <c r="BN7535" s="42"/>
      <c r="BO7535" s="74"/>
      <c r="BP7535" s="77"/>
      <c r="BR7535" s="497">
        <v>24.98</v>
      </c>
      <c r="BT7535" s="42"/>
    </row>
    <row r="7536" spans="1:72" x14ac:dyDescent="0.25">
      <c r="A7536" s="90">
        <v>36840</v>
      </c>
      <c r="B7536" s="20">
        <v>0.25</v>
      </c>
      <c r="D7536">
        <v>42.980000000000004</v>
      </c>
      <c r="E7536" t="str">
        <f t="shared" si="270"/>
        <v>WEEKDAY</v>
      </c>
      <c r="F7536" t="e">
        <f t="shared" si="271"/>
        <v>#N/A</v>
      </c>
      <c r="G7536" s="74">
        <v>28804</v>
      </c>
      <c r="H7536" s="77">
        <v>0.25</v>
      </c>
      <c r="J7536">
        <v>46.94</v>
      </c>
      <c r="M7536" s="74">
        <v>36109</v>
      </c>
      <c r="N7536" s="77">
        <v>0.25</v>
      </c>
      <c r="P7536">
        <v>37.4</v>
      </c>
      <c r="S7536" s="74">
        <v>36840</v>
      </c>
      <c r="T7536" s="77">
        <v>0.25</v>
      </c>
      <c r="V7536">
        <v>57.92</v>
      </c>
      <c r="X7536" s="42"/>
      <c r="AB7536">
        <v>44.9</v>
      </c>
      <c r="AC7536">
        <v>24.98</v>
      </c>
      <c r="AE7536" s="74"/>
      <c r="AF7536" s="77"/>
      <c r="AH7536" s="497">
        <v>32</v>
      </c>
      <c r="AJ7536" s="42"/>
      <c r="AK7536" s="74"/>
      <c r="AL7536" s="77"/>
      <c r="AN7536" s="497">
        <v>39.019999999999996</v>
      </c>
      <c r="AP7536" s="42"/>
      <c r="AQ7536" s="74"/>
      <c r="AR7536" s="77"/>
      <c r="AT7536" s="497">
        <v>21.92</v>
      </c>
      <c r="AV7536" s="42"/>
      <c r="AW7536" s="74"/>
      <c r="AX7536" s="77"/>
      <c r="BA7536" s="497">
        <v>30.02</v>
      </c>
      <c r="BB7536" s="42"/>
      <c r="BC7536" s="74"/>
      <c r="BD7536" s="77"/>
      <c r="BF7536">
        <v>50</v>
      </c>
      <c r="BH7536" s="42"/>
      <c r="BI7536" s="74"/>
      <c r="BJ7536" s="77"/>
      <c r="BL7536" s="497">
        <v>44.06</v>
      </c>
      <c r="BN7536" s="42"/>
      <c r="BO7536" s="74"/>
      <c r="BP7536" s="77"/>
      <c r="BR7536" s="497">
        <v>24.08</v>
      </c>
      <c r="BT7536" s="42"/>
    </row>
    <row r="7537" spans="1:72" x14ac:dyDescent="0.25">
      <c r="A7537" s="90">
        <v>36840</v>
      </c>
      <c r="B7537" s="20">
        <v>0.29166666666666669</v>
      </c>
      <c r="D7537">
        <v>42.980000000000004</v>
      </c>
      <c r="E7537" t="str">
        <f t="shared" si="270"/>
        <v>WEEKDAY</v>
      </c>
      <c r="F7537" t="e">
        <f t="shared" si="271"/>
        <v>#N/A</v>
      </c>
      <c r="G7537" s="74">
        <v>28804</v>
      </c>
      <c r="H7537" s="77">
        <v>0.29166666666666669</v>
      </c>
      <c r="J7537">
        <v>46.94</v>
      </c>
      <c r="M7537" s="74">
        <v>36109</v>
      </c>
      <c r="N7537" s="77">
        <v>0.29166666666666669</v>
      </c>
      <c r="P7537">
        <v>37.4</v>
      </c>
      <c r="S7537" s="74">
        <v>36840</v>
      </c>
      <c r="T7537" s="77">
        <v>0.29166666666666669</v>
      </c>
      <c r="V7537">
        <v>60.08</v>
      </c>
      <c r="X7537" s="42"/>
      <c r="AB7537">
        <v>44.8</v>
      </c>
      <c r="AC7537">
        <v>24.08</v>
      </c>
      <c r="AE7537" s="74"/>
      <c r="AF7537" s="77"/>
      <c r="AH7537" s="497">
        <v>33.799999999999997</v>
      </c>
      <c r="AJ7537" s="42"/>
      <c r="AK7537" s="74"/>
      <c r="AL7537" s="77"/>
      <c r="AN7537" s="497">
        <v>39.92</v>
      </c>
      <c r="AP7537" s="42"/>
      <c r="AQ7537" s="74"/>
      <c r="AR7537" s="77"/>
      <c r="AT7537" s="497">
        <v>23</v>
      </c>
      <c r="AV7537" s="42"/>
      <c r="AW7537" s="74"/>
      <c r="AX7537" s="77"/>
      <c r="BA7537" s="497">
        <v>28.94</v>
      </c>
      <c r="BB7537" s="42"/>
      <c r="BC7537" s="74"/>
      <c r="BD7537" s="77"/>
      <c r="BF7537">
        <v>57.019999999999996</v>
      </c>
      <c r="BH7537" s="42"/>
      <c r="BI7537" s="74"/>
      <c r="BJ7537" s="77"/>
      <c r="BL7537" s="497">
        <v>48.92</v>
      </c>
      <c r="BN7537" s="42"/>
      <c r="BO7537" s="74"/>
      <c r="BP7537" s="77"/>
      <c r="BR7537" s="497">
        <v>23</v>
      </c>
      <c r="BT7537" s="42"/>
    </row>
    <row r="7538" spans="1:72" x14ac:dyDescent="0.25">
      <c r="A7538" s="90">
        <v>36840</v>
      </c>
      <c r="B7538" s="20">
        <v>0.33333333333333331</v>
      </c>
      <c r="D7538">
        <v>44.06</v>
      </c>
      <c r="E7538" t="str">
        <f t="shared" si="270"/>
        <v>WEEKDAY</v>
      </c>
      <c r="F7538" t="e">
        <f t="shared" si="271"/>
        <v>#N/A</v>
      </c>
      <c r="G7538" s="74">
        <v>28804</v>
      </c>
      <c r="H7538" s="77">
        <v>0.33333333333333331</v>
      </c>
      <c r="J7538">
        <v>50</v>
      </c>
      <c r="M7538" s="74">
        <v>36109</v>
      </c>
      <c r="N7538" s="77">
        <v>0.33333333333333331</v>
      </c>
      <c r="P7538">
        <v>39.200000000000003</v>
      </c>
      <c r="S7538" s="74">
        <v>36840</v>
      </c>
      <c r="T7538" s="77">
        <v>0.33333333333333331</v>
      </c>
      <c r="V7538">
        <v>60.980000000000004</v>
      </c>
      <c r="X7538" s="42"/>
      <c r="AB7538">
        <v>44.9</v>
      </c>
      <c r="AC7538">
        <v>33.08</v>
      </c>
      <c r="AE7538" s="74"/>
      <c r="AF7538" s="77"/>
      <c r="AH7538" s="497">
        <v>33.799999999999997</v>
      </c>
      <c r="AJ7538" s="42"/>
      <c r="AK7538" s="74"/>
      <c r="AL7538" s="77"/>
      <c r="AN7538" s="497">
        <v>41</v>
      </c>
      <c r="AP7538" s="42"/>
      <c r="AQ7538" s="74"/>
      <c r="AR7538" s="77"/>
      <c r="AT7538" s="497">
        <v>24.08</v>
      </c>
      <c r="AV7538" s="42"/>
      <c r="AW7538" s="74"/>
      <c r="AX7538" s="77"/>
      <c r="BA7538" s="497">
        <v>28.94</v>
      </c>
      <c r="BB7538" s="42"/>
      <c r="BC7538" s="74"/>
      <c r="BD7538" s="77"/>
      <c r="BF7538">
        <v>59</v>
      </c>
      <c r="BH7538" s="42"/>
      <c r="BI7538" s="74"/>
      <c r="BJ7538" s="77"/>
      <c r="BL7538" s="497">
        <v>51.08</v>
      </c>
      <c r="BN7538" s="42"/>
      <c r="BO7538" s="74"/>
      <c r="BP7538" s="77"/>
      <c r="BR7538" s="497">
        <v>24.08</v>
      </c>
      <c r="BT7538" s="42"/>
    </row>
    <row r="7539" spans="1:72" x14ac:dyDescent="0.25">
      <c r="A7539" s="90">
        <v>36840</v>
      </c>
      <c r="B7539" s="20">
        <v>0.375</v>
      </c>
      <c r="D7539">
        <v>44.96</v>
      </c>
      <c r="E7539" t="str">
        <f t="shared" si="270"/>
        <v>WEEKDAY</v>
      </c>
      <c r="F7539" t="e">
        <f t="shared" si="271"/>
        <v>#N/A</v>
      </c>
      <c r="G7539" s="74">
        <v>28804</v>
      </c>
      <c r="H7539" s="77">
        <v>0.375</v>
      </c>
      <c r="J7539">
        <v>55.040000000000006</v>
      </c>
      <c r="M7539" s="74">
        <v>36109</v>
      </c>
      <c r="N7539" s="77">
        <v>0.375</v>
      </c>
      <c r="P7539">
        <v>42.8</v>
      </c>
      <c r="S7539" s="74">
        <v>36840</v>
      </c>
      <c r="T7539" s="77">
        <v>0.375</v>
      </c>
      <c r="V7539">
        <v>59</v>
      </c>
      <c r="X7539" s="42"/>
      <c r="AB7539">
        <v>46.8</v>
      </c>
      <c r="AC7539">
        <v>39.92</v>
      </c>
      <c r="AE7539" s="74"/>
      <c r="AF7539" s="77"/>
      <c r="AH7539" s="497">
        <v>39.200000000000003</v>
      </c>
      <c r="AJ7539" s="42"/>
      <c r="AK7539" s="74"/>
      <c r="AL7539" s="77"/>
      <c r="AN7539" s="497">
        <v>44.96</v>
      </c>
      <c r="AP7539" s="42"/>
      <c r="AQ7539" s="74"/>
      <c r="AR7539" s="77"/>
      <c r="AT7539" s="497">
        <v>26.060000000000002</v>
      </c>
      <c r="AV7539" s="42"/>
      <c r="AW7539" s="74"/>
      <c r="AX7539" s="77"/>
      <c r="BA7539" s="497">
        <v>28.04</v>
      </c>
      <c r="BB7539" s="42"/>
      <c r="BC7539" s="74"/>
      <c r="BD7539" s="77"/>
      <c r="BF7539">
        <v>57.92</v>
      </c>
      <c r="BH7539" s="42"/>
      <c r="BI7539" s="74"/>
      <c r="BJ7539" s="77"/>
      <c r="BL7539" s="497">
        <v>53.96</v>
      </c>
      <c r="BN7539" s="42"/>
      <c r="BO7539" s="74"/>
      <c r="BP7539" s="77"/>
      <c r="BR7539" s="497">
        <v>24.08</v>
      </c>
      <c r="BT7539" s="42"/>
    </row>
    <row r="7540" spans="1:72" x14ac:dyDescent="0.25">
      <c r="A7540" s="90">
        <v>36840</v>
      </c>
      <c r="B7540" s="20">
        <v>0.41666666666666669</v>
      </c>
      <c r="D7540">
        <v>46.04</v>
      </c>
      <c r="E7540" t="str">
        <f t="shared" si="270"/>
        <v>WEEKDAY</v>
      </c>
      <c r="F7540" t="e">
        <f t="shared" si="271"/>
        <v>#N/A</v>
      </c>
      <c r="G7540" s="74">
        <v>28804</v>
      </c>
      <c r="H7540" s="77">
        <v>0.41666666666666669</v>
      </c>
      <c r="J7540">
        <v>57.019999999999996</v>
      </c>
      <c r="M7540" s="74">
        <v>36109</v>
      </c>
      <c r="N7540" s="77">
        <v>0.41666666666666669</v>
      </c>
      <c r="P7540">
        <v>42.8</v>
      </c>
      <c r="S7540" s="74">
        <v>36840</v>
      </c>
      <c r="T7540" s="77">
        <v>0.41666666666666669</v>
      </c>
      <c r="V7540">
        <v>60.980000000000004</v>
      </c>
      <c r="X7540" s="42"/>
      <c r="AB7540">
        <v>48.8</v>
      </c>
      <c r="AC7540">
        <v>42.980000000000004</v>
      </c>
      <c r="AE7540" s="74"/>
      <c r="AF7540" s="77"/>
      <c r="AH7540" s="497">
        <v>42.8</v>
      </c>
      <c r="AJ7540" s="42"/>
      <c r="AK7540" s="74"/>
      <c r="AL7540" s="77"/>
      <c r="AN7540" s="497">
        <v>48.019999999999996</v>
      </c>
      <c r="AP7540" s="42"/>
      <c r="AQ7540" s="74"/>
      <c r="AR7540" s="77"/>
      <c r="AT7540" s="497">
        <v>28.04</v>
      </c>
      <c r="AV7540" s="42"/>
      <c r="AW7540" s="74"/>
      <c r="AX7540" s="77"/>
      <c r="BA7540" s="497">
        <v>28.04</v>
      </c>
      <c r="BB7540" s="42"/>
      <c r="BC7540" s="74"/>
      <c r="BD7540" s="77"/>
      <c r="BF7540">
        <v>57.92</v>
      </c>
      <c r="BH7540" s="42"/>
      <c r="BI7540" s="74"/>
      <c r="BJ7540" s="77"/>
      <c r="BL7540" s="497">
        <v>55.040000000000006</v>
      </c>
      <c r="BN7540" s="42"/>
      <c r="BO7540" s="74"/>
      <c r="BP7540" s="77"/>
      <c r="BR7540" s="497">
        <v>24.98</v>
      </c>
      <c r="BT7540" s="42"/>
    </row>
    <row r="7541" spans="1:72" x14ac:dyDescent="0.25">
      <c r="A7541" s="90">
        <v>36840</v>
      </c>
      <c r="B7541" s="20">
        <v>0.45833333333333331</v>
      </c>
      <c r="D7541">
        <v>48.019999999999996</v>
      </c>
      <c r="E7541" t="str">
        <f t="shared" si="270"/>
        <v>WEEKDAY</v>
      </c>
      <c r="F7541" t="e">
        <f t="shared" si="271"/>
        <v>#N/A</v>
      </c>
      <c r="G7541" s="74">
        <v>28804</v>
      </c>
      <c r="H7541" s="77">
        <v>0.45833333333333331</v>
      </c>
      <c r="J7541">
        <v>59</v>
      </c>
      <c r="M7541" s="74">
        <v>36109</v>
      </c>
      <c r="N7541" s="77">
        <v>0.45833333333333331</v>
      </c>
      <c r="P7541">
        <v>44.6</v>
      </c>
      <c r="S7541" s="74">
        <v>36840</v>
      </c>
      <c r="T7541" s="77">
        <v>0.45833333333333331</v>
      </c>
      <c r="V7541">
        <v>60.08</v>
      </c>
      <c r="X7541" s="42"/>
      <c r="AB7541">
        <v>50.4</v>
      </c>
      <c r="AC7541">
        <v>44.06</v>
      </c>
      <c r="AE7541" s="74"/>
      <c r="AF7541" s="77"/>
      <c r="AH7541" s="497">
        <v>48.2</v>
      </c>
      <c r="AJ7541" s="42"/>
      <c r="AK7541" s="74"/>
      <c r="AL7541" s="77"/>
      <c r="AN7541" s="497">
        <v>48.92</v>
      </c>
      <c r="AP7541" s="42"/>
      <c r="AQ7541" s="74"/>
      <c r="AR7541" s="77"/>
      <c r="AT7541" s="497">
        <v>28.94</v>
      </c>
      <c r="AV7541" s="42"/>
      <c r="AW7541" s="74"/>
      <c r="AX7541" s="77"/>
      <c r="BA7541" s="497">
        <v>28.94</v>
      </c>
      <c r="BB7541" s="42"/>
      <c r="BC7541" s="74"/>
      <c r="BD7541" s="77"/>
      <c r="BF7541">
        <v>60.08</v>
      </c>
      <c r="BH7541" s="42"/>
      <c r="BI7541" s="74"/>
      <c r="BJ7541" s="77"/>
      <c r="BL7541" s="497">
        <v>53.96</v>
      </c>
      <c r="BN7541" s="42"/>
      <c r="BO7541" s="74"/>
      <c r="BP7541" s="77"/>
      <c r="BR7541" s="497">
        <v>24.98</v>
      </c>
      <c r="BT7541" s="42"/>
    </row>
    <row r="7542" spans="1:72" x14ac:dyDescent="0.25">
      <c r="A7542" s="90">
        <v>36840</v>
      </c>
      <c r="B7542" s="20">
        <v>0.5</v>
      </c>
      <c r="D7542">
        <v>50</v>
      </c>
      <c r="E7542" t="str">
        <f t="shared" si="270"/>
        <v>WEEKDAY</v>
      </c>
      <c r="F7542" t="e">
        <f t="shared" si="271"/>
        <v>#N/A</v>
      </c>
      <c r="G7542" s="74">
        <v>28804</v>
      </c>
      <c r="H7542" s="77">
        <v>0.5</v>
      </c>
      <c r="J7542">
        <v>60.980000000000004</v>
      </c>
      <c r="M7542" s="74">
        <v>36109</v>
      </c>
      <c r="N7542" s="77">
        <v>0.5</v>
      </c>
      <c r="P7542">
        <v>44.6</v>
      </c>
      <c r="S7542" s="74">
        <v>36840</v>
      </c>
      <c r="T7542" s="77">
        <v>0.5</v>
      </c>
      <c r="V7542">
        <v>59</v>
      </c>
      <c r="X7542" s="42"/>
      <c r="AB7542">
        <v>51.8</v>
      </c>
      <c r="AC7542">
        <v>46.04</v>
      </c>
      <c r="AE7542" s="74"/>
      <c r="AF7542" s="77"/>
      <c r="AH7542" s="497">
        <v>50</v>
      </c>
      <c r="AJ7542" s="42"/>
      <c r="AK7542" s="74"/>
      <c r="AL7542" s="77"/>
      <c r="AN7542" s="497">
        <v>50</v>
      </c>
      <c r="AP7542" s="42"/>
      <c r="AQ7542" s="74"/>
      <c r="AR7542" s="77"/>
      <c r="AT7542" s="497">
        <v>30.02</v>
      </c>
      <c r="AV7542" s="42"/>
      <c r="AW7542" s="74"/>
      <c r="AX7542" s="77"/>
      <c r="BA7542" s="497">
        <v>28.04</v>
      </c>
      <c r="BB7542" s="42"/>
      <c r="BC7542" s="74"/>
      <c r="BD7542" s="77"/>
      <c r="BF7542">
        <v>51.08</v>
      </c>
      <c r="BH7542" s="42"/>
      <c r="BI7542" s="74"/>
      <c r="BJ7542" s="77"/>
      <c r="BL7542" s="497">
        <v>60.08</v>
      </c>
      <c r="BN7542" s="42"/>
      <c r="BO7542" s="74"/>
      <c r="BP7542" s="77"/>
      <c r="BR7542" s="497">
        <v>24.98</v>
      </c>
      <c r="BT7542" s="42"/>
    </row>
    <row r="7543" spans="1:72" x14ac:dyDescent="0.25">
      <c r="A7543" s="90">
        <v>36840</v>
      </c>
      <c r="B7543" s="20">
        <v>0.54166666666666663</v>
      </c>
      <c r="D7543">
        <v>53.06</v>
      </c>
      <c r="E7543" t="str">
        <f t="shared" si="270"/>
        <v>WEEKDAY</v>
      </c>
      <c r="F7543" t="e">
        <f t="shared" si="271"/>
        <v>#N/A</v>
      </c>
      <c r="G7543" s="74">
        <v>28804</v>
      </c>
      <c r="H7543" s="77">
        <v>0.54166666666666663</v>
      </c>
      <c r="J7543">
        <v>60.980000000000004</v>
      </c>
      <c r="M7543" s="74">
        <v>36109</v>
      </c>
      <c r="N7543" s="77">
        <v>0.54166666666666663</v>
      </c>
      <c r="P7543">
        <v>46.4</v>
      </c>
      <c r="S7543" s="74">
        <v>36840</v>
      </c>
      <c r="T7543" s="77">
        <v>0.54166666666666663</v>
      </c>
      <c r="V7543">
        <v>60.08</v>
      </c>
      <c r="X7543" s="42"/>
      <c r="AB7543">
        <v>52.8</v>
      </c>
      <c r="AC7543">
        <v>46.04</v>
      </c>
      <c r="AE7543" s="74"/>
      <c r="AF7543" s="77"/>
      <c r="AH7543" s="497">
        <v>53.6</v>
      </c>
      <c r="AJ7543" s="42"/>
      <c r="AK7543" s="74"/>
      <c r="AL7543" s="77"/>
      <c r="AN7543" s="497">
        <v>50</v>
      </c>
      <c r="AP7543" s="42"/>
      <c r="AQ7543" s="74"/>
      <c r="AR7543" s="77"/>
      <c r="AT7543" s="497">
        <v>33.08</v>
      </c>
      <c r="AV7543" s="42"/>
      <c r="AW7543" s="74"/>
      <c r="AX7543" s="77"/>
      <c r="BA7543" s="497">
        <v>28.04</v>
      </c>
      <c r="BB7543" s="42"/>
      <c r="BC7543" s="74"/>
      <c r="BD7543" s="77"/>
      <c r="BF7543">
        <v>48.92</v>
      </c>
      <c r="BH7543" s="42"/>
      <c r="BI7543" s="74"/>
      <c r="BJ7543" s="77"/>
      <c r="BL7543" s="497">
        <v>53.06</v>
      </c>
      <c r="BN7543" s="42"/>
      <c r="BO7543" s="74"/>
      <c r="BP7543" s="77"/>
      <c r="BR7543" s="497">
        <v>26.060000000000002</v>
      </c>
      <c r="BT7543" s="42"/>
    </row>
    <row r="7544" spans="1:72" x14ac:dyDescent="0.25">
      <c r="A7544" s="90">
        <v>36840</v>
      </c>
      <c r="B7544" s="20">
        <v>0.58333333333333337</v>
      </c>
      <c r="D7544">
        <v>53.96</v>
      </c>
      <c r="E7544" t="str">
        <f t="shared" si="270"/>
        <v>WEEKDAY</v>
      </c>
      <c r="F7544" t="e">
        <f t="shared" si="271"/>
        <v>#N/A</v>
      </c>
      <c r="G7544" s="74">
        <v>28804</v>
      </c>
      <c r="H7544" s="77">
        <v>0.58333333333333337</v>
      </c>
      <c r="J7544">
        <v>60.08</v>
      </c>
      <c r="M7544" s="74">
        <v>36109</v>
      </c>
      <c r="N7544" s="77">
        <v>0.58333333333333337</v>
      </c>
      <c r="P7544">
        <v>46.58</v>
      </c>
      <c r="S7544" s="74">
        <v>36840</v>
      </c>
      <c r="T7544" s="77">
        <v>0.58333333333333337</v>
      </c>
      <c r="V7544">
        <v>59</v>
      </c>
      <c r="X7544" s="42"/>
      <c r="AB7544">
        <v>53.4</v>
      </c>
      <c r="AC7544">
        <v>46.94</v>
      </c>
      <c r="AE7544" s="74"/>
      <c r="AF7544" s="77"/>
      <c r="AH7544" s="497">
        <v>53.6</v>
      </c>
      <c r="AJ7544" s="42"/>
      <c r="AK7544" s="74"/>
      <c r="AL7544" s="77"/>
      <c r="AN7544" s="497">
        <v>48.92</v>
      </c>
      <c r="AP7544" s="42"/>
      <c r="AQ7544" s="74"/>
      <c r="AR7544" s="77"/>
      <c r="AT7544" s="497">
        <v>33.979999999999997</v>
      </c>
      <c r="AV7544" s="42"/>
      <c r="AW7544" s="74"/>
      <c r="AX7544" s="77"/>
      <c r="BA7544" s="497">
        <v>28.04</v>
      </c>
      <c r="BB7544" s="42"/>
      <c r="BC7544" s="74"/>
      <c r="BD7544" s="77"/>
      <c r="BF7544">
        <v>48.019999999999996</v>
      </c>
      <c r="BH7544" s="42"/>
      <c r="BI7544" s="74"/>
      <c r="BJ7544" s="77"/>
      <c r="BL7544" s="497">
        <v>51.08</v>
      </c>
      <c r="BN7544" s="42"/>
      <c r="BO7544" s="74"/>
      <c r="BP7544" s="77"/>
      <c r="BR7544" s="497">
        <v>26.060000000000002</v>
      </c>
      <c r="BT7544" s="42"/>
    </row>
    <row r="7545" spans="1:72" x14ac:dyDescent="0.25">
      <c r="A7545" s="90">
        <v>36840</v>
      </c>
      <c r="B7545" s="20">
        <v>0.625</v>
      </c>
      <c r="D7545">
        <v>55.040000000000006</v>
      </c>
      <c r="E7545" t="str">
        <f t="shared" si="270"/>
        <v>WEEKDAY</v>
      </c>
      <c r="F7545" t="e">
        <f t="shared" si="271"/>
        <v>#N/A</v>
      </c>
      <c r="G7545" s="74">
        <v>28804</v>
      </c>
      <c r="H7545" s="77">
        <v>0.625</v>
      </c>
      <c r="J7545">
        <v>60.08</v>
      </c>
      <c r="M7545" s="74">
        <v>36109</v>
      </c>
      <c r="N7545" s="77">
        <v>0.625</v>
      </c>
      <c r="P7545">
        <v>46.4</v>
      </c>
      <c r="S7545" s="74">
        <v>36840</v>
      </c>
      <c r="T7545" s="77">
        <v>0.625</v>
      </c>
      <c r="V7545">
        <v>57.92</v>
      </c>
      <c r="X7545" s="42"/>
      <c r="AB7545">
        <v>53.7</v>
      </c>
      <c r="AC7545">
        <v>46.04</v>
      </c>
      <c r="AE7545" s="74"/>
      <c r="AF7545" s="77"/>
      <c r="AH7545" s="497">
        <v>57.2</v>
      </c>
      <c r="AJ7545" s="42"/>
      <c r="AK7545" s="74"/>
      <c r="AL7545" s="77"/>
      <c r="AN7545" s="497">
        <v>50</v>
      </c>
      <c r="AP7545" s="42"/>
      <c r="AQ7545" s="74"/>
      <c r="AR7545" s="77"/>
      <c r="AT7545" s="497">
        <v>35.96</v>
      </c>
      <c r="AV7545" s="42"/>
      <c r="AW7545" s="74"/>
      <c r="AX7545" s="77"/>
      <c r="BA7545" s="497">
        <v>28.04</v>
      </c>
      <c r="BB7545" s="42"/>
      <c r="BC7545" s="74"/>
      <c r="BD7545" s="77"/>
      <c r="BF7545">
        <v>48.019999999999996</v>
      </c>
      <c r="BH7545" s="42"/>
      <c r="BI7545" s="74"/>
      <c r="BJ7545" s="77"/>
      <c r="BL7545" s="497">
        <v>50</v>
      </c>
      <c r="BN7545" s="42"/>
      <c r="BO7545" s="74"/>
      <c r="BP7545" s="77"/>
      <c r="BR7545" s="497">
        <v>26.060000000000002</v>
      </c>
      <c r="BT7545" s="42"/>
    </row>
    <row r="7546" spans="1:72" x14ac:dyDescent="0.25">
      <c r="A7546" s="90">
        <v>36840</v>
      </c>
      <c r="B7546" s="20">
        <v>0.66666666666666663</v>
      </c>
      <c r="D7546">
        <v>53.96</v>
      </c>
      <c r="E7546" t="str">
        <f t="shared" si="270"/>
        <v>WEEKDAY</v>
      </c>
      <c r="F7546" t="e">
        <f t="shared" si="271"/>
        <v>#N/A</v>
      </c>
      <c r="G7546" s="74">
        <v>28804</v>
      </c>
      <c r="H7546" s="77">
        <v>0.66666666666666663</v>
      </c>
      <c r="J7546">
        <v>59</v>
      </c>
      <c r="M7546" s="74">
        <v>36109</v>
      </c>
      <c r="N7546" s="77">
        <v>0.66666666666666663</v>
      </c>
      <c r="P7546">
        <v>48.2</v>
      </c>
      <c r="S7546" s="74">
        <v>36840</v>
      </c>
      <c r="T7546" s="77">
        <v>0.66666666666666663</v>
      </c>
      <c r="V7546">
        <v>57.019999999999996</v>
      </c>
      <c r="X7546" s="42"/>
      <c r="AB7546">
        <v>53.3</v>
      </c>
      <c r="AC7546">
        <v>44.06</v>
      </c>
      <c r="AE7546" s="74"/>
      <c r="AF7546" s="77"/>
      <c r="AH7546" s="497">
        <v>55.400000000000006</v>
      </c>
      <c r="AJ7546" s="42"/>
      <c r="AK7546" s="74"/>
      <c r="AL7546" s="77"/>
      <c r="AN7546" s="497">
        <v>51.08</v>
      </c>
      <c r="AP7546" s="42"/>
      <c r="AQ7546" s="74"/>
      <c r="AR7546" s="77"/>
      <c r="AT7546" s="497">
        <v>35.96</v>
      </c>
      <c r="AV7546" s="42"/>
      <c r="AW7546" s="74"/>
      <c r="AX7546" s="77"/>
      <c r="BA7546" s="497">
        <v>26.96</v>
      </c>
      <c r="BB7546" s="42"/>
      <c r="BC7546" s="74"/>
      <c r="BD7546" s="77"/>
      <c r="BF7546">
        <v>46.04</v>
      </c>
      <c r="BH7546" s="42"/>
      <c r="BI7546" s="74"/>
      <c r="BJ7546" s="77"/>
      <c r="BL7546" s="497">
        <v>48.92</v>
      </c>
      <c r="BN7546" s="42"/>
      <c r="BO7546" s="74"/>
      <c r="BP7546" s="77"/>
      <c r="BR7546" s="497">
        <v>26.060000000000002</v>
      </c>
      <c r="BT7546" s="42"/>
    </row>
    <row r="7547" spans="1:72" x14ac:dyDescent="0.25">
      <c r="A7547" s="90">
        <v>36840</v>
      </c>
      <c r="B7547" s="20">
        <v>0.70833333333333337</v>
      </c>
      <c r="D7547">
        <v>51.980000000000004</v>
      </c>
      <c r="E7547" t="str">
        <f t="shared" si="270"/>
        <v>WEEKDAY</v>
      </c>
      <c r="F7547" t="e">
        <f t="shared" si="271"/>
        <v>#N/A</v>
      </c>
      <c r="G7547" s="74">
        <v>28804</v>
      </c>
      <c r="H7547" s="77">
        <v>0.70833333333333337</v>
      </c>
      <c r="J7547">
        <v>57.019999999999996</v>
      </c>
      <c r="M7547" s="74">
        <v>36109</v>
      </c>
      <c r="N7547" s="77">
        <v>0.70833333333333337</v>
      </c>
      <c r="P7547">
        <v>48.2</v>
      </c>
      <c r="S7547" s="74">
        <v>36840</v>
      </c>
      <c r="T7547" s="77">
        <v>0.70833333333333337</v>
      </c>
      <c r="V7547">
        <v>57.019999999999996</v>
      </c>
      <c r="X7547" s="42"/>
      <c r="AB7547">
        <v>52.3</v>
      </c>
      <c r="AC7547">
        <v>39.92</v>
      </c>
      <c r="AE7547" s="74"/>
      <c r="AF7547" s="77"/>
      <c r="AH7547" s="497">
        <v>50</v>
      </c>
      <c r="AJ7547" s="42"/>
      <c r="AK7547" s="74"/>
      <c r="AL7547" s="77"/>
      <c r="AN7547" s="497">
        <v>51.08</v>
      </c>
      <c r="AP7547" s="42"/>
      <c r="AQ7547" s="74"/>
      <c r="AR7547" s="77"/>
      <c r="AT7547" s="497">
        <v>35.96</v>
      </c>
      <c r="AV7547" s="42"/>
      <c r="AW7547" s="74"/>
      <c r="AX7547" s="77"/>
      <c r="BA7547" s="497">
        <v>26.96</v>
      </c>
      <c r="BB7547" s="42"/>
      <c r="BC7547" s="74"/>
      <c r="BD7547" s="77"/>
      <c r="BF7547">
        <v>46.04</v>
      </c>
      <c r="BH7547" s="42"/>
      <c r="BI7547" s="74"/>
      <c r="BJ7547" s="77"/>
      <c r="BL7547" s="497">
        <v>46.94</v>
      </c>
      <c r="BN7547" s="42"/>
      <c r="BO7547" s="74"/>
      <c r="BP7547" s="77"/>
      <c r="BR7547" s="497">
        <v>24.98</v>
      </c>
      <c r="BT7547" s="42"/>
    </row>
    <row r="7548" spans="1:72" x14ac:dyDescent="0.25">
      <c r="A7548" s="90">
        <v>36840</v>
      </c>
      <c r="B7548" s="20">
        <v>0.75</v>
      </c>
      <c r="D7548">
        <v>51.08</v>
      </c>
      <c r="E7548" t="str">
        <f t="shared" si="270"/>
        <v>WEEKDAY</v>
      </c>
      <c r="F7548" t="e">
        <f t="shared" si="271"/>
        <v>#N/A</v>
      </c>
      <c r="G7548" s="74">
        <v>28804</v>
      </c>
      <c r="H7548" s="77">
        <v>0.75</v>
      </c>
      <c r="J7548">
        <v>57.92</v>
      </c>
      <c r="M7548" s="74">
        <v>36109</v>
      </c>
      <c r="N7548" s="77">
        <v>0.75</v>
      </c>
      <c r="P7548">
        <v>48.2</v>
      </c>
      <c r="S7548" s="74">
        <v>36840</v>
      </c>
      <c r="T7548" s="77">
        <v>0.75</v>
      </c>
      <c r="V7548">
        <v>55.94</v>
      </c>
      <c r="X7548" s="42"/>
      <c r="AB7548">
        <v>50.8</v>
      </c>
      <c r="AC7548">
        <v>37.04</v>
      </c>
      <c r="AE7548" s="74"/>
      <c r="AF7548" s="77"/>
      <c r="AH7548" s="497">
        <v>42.8</v>
      </c>
      <c r="AJ7548" s="42"/>
      <c r="AK7548" s="74"/>
      <c r="AL7548" s="77"/>
      <c r="AN7548" s="497">
        <v>51.08</v>
      </c>
      <c r="AP7548" s="42"/>
      <c r="AQ7548" s="74"/>
      <c r="AR7548" s="77"/>
      <c r="AT7548" s="497">
        <v>35.96</v>
      </c>
      <c r="AV7548" s="42"/>
      <c r="AW7548" s="74"/>
      <c r="AX7548" s="77"/>
      <c r="BA7548" s="497">
        <v>26.96</v>
      </c>
      <c r="BB7548" s="42"/>
      <c r="BC7548" s="74"/>
      <c r="BD7548" s="77"/>
      <c r="BF7548">
        <v>46.04</v>
      </c>
      <c r="BH7548" s="42"/>
      <c r="BI7548" s="74"/>
      <c r="BJ7548" s="77"/>
      <c r="BL7548" s="497">
        <v>46.04</v>
      </c>
      <c r="BN7548" s="42"/>
      <c r="BO7548" s="74"/>
      <c r="BP7548" s="77"/>
      <c r="BR7548" s="497">
        <v>24.98</v>
      </c>
      <c r="BT7548" s="42"/>
    </row>
    <row r="7549" spans="1:72" x14ac:dyDescent="0.25">
      <c r="A7549" s="90">
        <v>36840</v>
      </c>
      <c r="B7549" s="20">
        <v>0.79166666666666663</v>
      </c>
      <c r="D7549">
        <v>50</v>
      </c>
      <c r="E7549" t="str">
        <f t="shared" si="270"/>
        <v>WEEKDAY</v>
      </c>
      <c r="F7549" t="e">
        <f t="shared" si="271"/>
        <v>#N/A</v>
      </c>
      <c r="G7549" s="74">
        <v>28804</v>
      </c>
      <c r="H7549" s="77">
        <v>0.79166666666666663</v>
      </c>
      <c r="J7549">
        <v>55.94</v>
      </c>
      <c r="M7549" s="74">
        <v>36109</v>
      </c>
      <c r="N7549" s="77">
        <v>0.79166666666666663</v>
      </c>
      <c r="P7549">
        <v>48.2</v>
      </c>
      <c r="S7549" s="74">
        <v>36840</v>
      </c>
      <c r="T7549" s="77">
        <v>0.79166666666666663</v>
      </c>
      <c r="V7549">
        <v>55.040000000000006</v>
      </c>
      <c r="X7549" s="42"/>
      <c r="AB7549">
        <v>50.2</v>
      </c>
      <c r="AC7549">
        <v>35.06</v>
      </c>
      <c r="AE7549" s="74"/>
      <c r="AF7549" s="77"/>
      <c r="AH7549" s="497">
        <v>39.200000000000003</v>
      </c>
      <c r="AJ7549" s="42"/>
      <c r="AK7549" s="74"/>
      <c r="AL7549" s="77"/>
      <c r="AN7549" s="497">
        <v>48.019999999999996</v>
      </c>
      <c r="AP7549" s="42"/>
      <c r="AQ7549" s="74"/>
      <c r="AR7549" s="77"/>
      <c r="AT7549" s="497">
        <v>37.94</v>
      </c>
      <c r="AV7549" s="42"/>
      <c r="AW7549" s="74"/>
      <c r="AX7549" s="77"/>
      <c r="BA7549" s="497">
        <v>26.96</v>
      </c>
      <c r="BB7549" s="42"/>
      <c r="BC7549" s="74"/>
      <c r="BD7549" s="77"/>
      <c r="BF7549">
        <v>46.94</v>
      </c>
      <c r="BH7549" s="42"/>
      <c r="BI7549" s="74"/>
      <c r="BJ7549" s="77"/>
      <c r="BL7549" s="497">
        <v>46.04</v>
      </c>
      <c r="BN7549" s="42"/>
      <c r="BO7549" s="74"/>
      <c r="BP7549" s="77"/>
      <c r="BR7549" s="497">
        <v>24.98</v>
      </c>
      <c r="BT7549" s="42"/>
    </row>
    <row r="7550" spans="1:72" x14ac:dyDescent="0.25">
      <c r="A7550" s="90">
        <v>36840</v>
      </c>
      <c r="B7550" s="20">
        <v>0.83333333333333337</v>
      </c>
      <c r="D7550">
        <v>48.019999999999996</v>
      </c>
      <c r="E7550" t="str">
        <f t="shared" si="270"/>
        <v>WEEKDAY</v>
      </c>
      <c r="F7550" t="e">
        <f t="shared" si="271"/>
        <v>#N/A</v>
      </c>
      <c r="G7550" s="74">
        <v>28804</v>
      </c>
      <c r="H7550" s="77">
        <v>0.83333333333333337</v>
      </c>
      <c r="J7550">
        <v>53.96</v>
      </c>
      <c r="M7550" s="74">
        <v>36109</v>
      </c>
      <c r="N7550" s="77">
        <v>0.83333333333333337</v>
      </c>
      <c r="P7550">
        <v>48.2</v>
      </c>
      <c r="S7550" s="74">
        <v>36840</v>
      </c>
      <c r="T7550" s="77">
        <v>0.83333333333333337</v>
      </c>
      <c r="V7550">
        <v>55.040000000000006</v>
      </c>
      <c r="X7550" s="42"/>
      <c r="AB7550">
        <v>49.8</v>
      </c>
      <c r="AC7550">
        <v>32</v>
      </c>
      <c r="AE7550" s="74"/>
      <c r="AF7550" s="77"/>
      <c r="AH7550" s="497">
        <v>35.6</v>
      </c>
      <c r="AJ7550" s="42"/>
      <c r="AK7550" s="74"/>
      <c r="AL7550" s="77"/>
      <c r="AN7550" s="497">
        <v>46.94</v>
      </c>
      <c r="AP7550" s="42"/>
      <c r="AQ7550" s="74"/>
      <c r="AR7550" s="77"/>
      <c r="AT7550" s="497">
        <v>39.019999999999996</v>
      </c>
      <c r="AV7550" s="42"/>
      <c r="AW7550" s="74"/>
      <c r="AX7550" s="77"/>
      <c r="BA7550" s="497">
        <v>26.96</v>
      </c>
      <c r="BB7550" s="42"/>
      <c r="BC7550" s="74"/>
      <c r="BD7550" s="77"/>
      <c r="BF7550">
        <v>46.04</v>
      </c>
      <c r="BH7550" s="42"/>
      <c r="BI7550" s="74"/>
      <c r="BJ7550" s="77"/>
      <c r="BL7550" s="497">
        <v>46.04</v>
      </c>
      <c r="BN7550" s="42"/>
      <c r="BO7550" s="74"/>
      <c r="BP7550" s="77"/>
      <c r="BR7550" s="497">
        <v>24.08</v>
      </c>
      <c r="BT7550" s="42"/>
    </row>
    <row r="7551" spans="1:72" x14ac:dyDescent="0.25">
      <c r="A7551" s="90">
        <v>36840</v>
      </c>
      <c r="B7551" s="20">
        <v>0.875</v>
      </c>
      <c r="D7551">
        <v>46.04</v>
      </c>
      <c r="E7551" t="str">
        <f t="shared" si="270"/>
        <v>WEEKDAY</v>
      </c>
      <c r="F7551" t="e">
        <f t="shared" si="271"/>
        <v>#N/A</v>
      </c>
      <c r="G7551" s="74">
        <v>28804</v>
      </c>
      <c r="H7551" s="77">
        <v>0.875</v>
      </c>
      <c r="J7551">
        <v>53.06</v>
      </c>
      <c r="M7551" s="74">
        <v>36109</v>
      </c>
      <c r="N7551" s="77">
        <v>0.875</v>
      </c>
      <c r="P7551">
        <v>46.4</v>
      </c>
      <c r="S7551" s="74">
        <v>36840</v>
      </c>
      <c r="T7551" s="77">
        <v>0.875</v>
      </c>
      <c r="V7551">
        <v>53.96</v>
      </c>
      <c r="X7551" s="42"/>
      <c r="AB7551">
        <v>49.2</v>
      </c>
      <c r="AC7551">
        <v>30.02</v>
      </c>
      <c r="AE7551" s="74"/>
      <c r="AF7551" s="77"/>
      <c r="AH7551" s="497">
        <v>33.799999999999997</v>
      </c>
      <c r="AJ7551" s="42"/>
      <c r="AK7551" s="74"/>
      <c r="AL7551" s="77"/>
      <c r="AN7551" s="497">
        <v>46.04</v>
      </c>
      <c r="AP7551" s="42"/>
      <c r="AQ7551" s="74"/>
      <c r="AR7551" s="77"/>
      <c r="AT7551" s="497">
        <v>39.019999999999996</v>
      </c>
      <c r="AV7551" s="42"/>
      <c r="AW7551" s="74"/>
      <c r="AX7551" s="77"/>
      <c r="BA7551" s="497">
        <v>26.96</v>
      </c>
      <c r="BB7551" s="42"/>
      <c r="BC7551" s="74"/>
      <c r="BD7551" s="77"/>
      <c r="BF7551">
        <v>46.04</v>
      </c>
      <c r="BH7551" s="42"/>
      <c r="BI7551" s="74"/>
      <c r="BJ7551" s="77"/>
      <c r="BL7551" s="497">
        <v>46.94</v>
      </c>
      <c r="BN7551" s="42"/>
      <c r="BO7551" s="74"/>
      <c r="BP7551" s="77"/>
      <c r="BR7551" s="497">
        <v>24.08</v>
      </c>
      <c r="BT7551" s="42"/>
    </row>
    <row r="7552" spans="1:72" x14ac:dyDescent="0.25">
      <c r="A7552" s="90">
        <v>36840</v>
      </c>
      <c r="B7552" s="20">
        <v>0.91666666666666663</v>
      </c>
      <c r="D7552">
        <v>44.06</v>
      </c>
      <c r="E7552" t="str">
        <f t="shared" si="270"/>
        <v>WEEKDAY</v>
      </c>
      <c r="F7552" t="e">
        <f t="shared" si="271"/>
        <v>#N/A</v>
      </c>
      <c r="G7552" s="74">
        <v>28804</v>
      </c>
      <c r="H7552" s="77">
        <v>0.91666666666666663</v>
      </c>
      <c r="J7552">
        <v>51.980000000000004</v>
      </c>
      <c r="M7552" s="74">
        <v>36109</v>
      </c>
      <c r="N7552" s="77">
        <v>0.91666666666666663</v>
      </c>
      <c r="P7552">
        <v>48.2</v>
      </c>
      <c r="S7552" s="74">
        <v>36840</v>
      </c>
      <c r="T7552" s="77">
        <v>0.91666666666666663</v>
      </c>
      <c r="V7552">
        <v>53.96</v>
      </c>
      <c r="X7552" s="42"/>
      <c r="AB7552">
        <v>48.5</v>
      </c>
      <c r="AC7552">
        <v>28.94</v>
      </c>
      <c r="AE7552" s="74"/>
      <c r="AF7552" s="77"/>
      <c r="AH7552" s="497">
        <v>32</v>
      </c>
      <c r="AJ7552" s="42"/>
      <c r="AK7552" s="74"/>
      <c r="AL7552" s="77"/>
      <c r="AN7552" s="497">
        <v>44.06</v>
      </c>
      <c r="AP7552" s="42"/>
      <c r="AQ7552" s="74"/>
      <c r="AR7552" s="77"/>
      <c r="AT7552" s="497">
        <v>39.019999999999996</v>
      </c>
      <c r="AV7552" s="42"/>
      <c r="AW7552" s="74"/>
      <c r="AX7552" s="77"/>
      <c r="BA7552" s="497">
        <v>26.96</v>
      </c>
      <c r="BB7552" s="42"/>
      <c r="BC7552" s="74"/>
      <c r="BD7552" s="77"/>
      <c r="BF7552">
        <v>46.04</v>
      </c>
      <c r="BH7552" s="42"/>
      <c r="BI7552" s="74"/>
      <c r="BJ7552" s="77"/>
      <c r="BL7552" s="497">
        <v>46.04</v>
      </c>
      <c r="BN7552" s="42"/>
      <c r="BO7552" s="74"/>
      <c r="BP7552" s="77"/>
      <c r="BR7552" s="497">
        <v>24.08</v>
      </c>
      <c r="BT7552" s="42"/>
    </row>
    <row r="7553" spans="1:72" x14ac:dyDescent="0.25">
      <c r="A7553" s="90">
        <v>36840</v>
      </c>
      <c r="B7553" s="20">
        <v>0.95833333333333337</v>
      </c>
      <c r="D7553">
        <v>42.08</v>
      </c>
      <c r="E7553" t="str">
        <f t="shared" si="270"/>
        <v>WEEKDAY</v>
      </c>
      <c r="F7553" t="e">
        <f t="shared" si="271"/>
        <v>#N/A</v>
      </c>
      <c r="G7553" s="74">
        <v>28804</v>
      </c>
      <c r="H7553" s="77">
        <v>0.95833333333333337</v>
      </c>
      <c r="J7553">
        <v>51.980000000000004</v>
      </c>
      <c r="M7553" s="74">
        <v>36109</v>
      </c>
      <c r="N7553" s="77">
        <v>0.95833333333333337</v>
      </c>
      <c r="P7553">
        <v>50.72</v>
      </c>
      <c r="S7553" s="74">
        <v>36840</v>
      </c>
      <c r="T7553" s="77">
        <v>0.95833333333333337</v>
      </c>
      <c r="V7553">
        <v>53.96</v>
      </c>
      <c r="X7553" s="42"/>
      <c r="AB7553">
        <v>47.9</v>
      </c>
      <c r="AC7553">
        <v>28.94</v>
      </c>
      <c r="AE7553" s="74"/>
      <c r="AF7553" s="77"/>
      <c r="AH7553" s="497">
        <v>30.2</v>
      </c>
      <c r="AJ7553" s="42"/>
      <c r="AK7553" s="74"/>
      <c r="AL7553" s="77"/>
      <c r="AN7553" s="497">
        <v>44.06</v>
      </c>
      <c r="AP7553" s="42"/>
      <c r="AQ7553" s="74"/>
      <c r="AR7553" s="77"/>
      <c r="AT7553" s="497">
        <v>39.019999999999996</v>
      </c>
      <c r="AV7553" s="42"/>
      <c r="AW7553" s="74"/>
      <c r="AX7553" s="77"/>
      <c r="BA7553" s="497">
        <v>26.96</v>
      </c>
      <c r="BB7553" s="42"/>
      <c r="BC7553" s="74"/>
      <c r="BD7553" s="77"/>
      <c r="BF7553">
        <v>44.96</v>
      </c>
      <c r="BH7553" s="42"/>
      <c r="BI7553" s="74"/>
      <c r="BJ7553" s="77"/>
      <c r="BL7553" s="497">
        <v>46.04</v>
      </c>
      <c r="BN7553" s="42"/>
      <c r="BO7553" s="74"/>
      <c r="BP7553" s="77"/>
      <c r="BR7553" s="497">
        <v>24.08</v>
      </c>
      <c r="BT7553" s="42"/>
    </row>
    <row r="7554" spans="1:72" x14ac:dyDescent="0.25">
      <c r="A7554" s="90">
        <v>36840</v>
      </c>
      <c r="B7554" s="20">
        <v>1</v>
      </c>
      <c r="D7554">
        <v>42.980000000000004</v>
      </c>
      <c r="E7554" t="str">
        <f t="shared" si="270"/>
        <v>WEEKDAY</v>
      </c>
      <c r="F7554" t="e">
        <f t="shared" si="271"/>
        <v>#N/A</v>
      </c>
      <c r="G7554" s="74">
        <v>28804</v>
      </c>
      <c r="H7554" s="77">
        <v>1</v>
      </c>
      <c r="J7554">
        <v>53.06</v>
      </c>
      <c r="M7554" s="74">
        <v>36109</v>
      </c>
      <c r="N7554" s="80">
        <v>1</v>
      </c>
      <c r="P7554">
        <v>53.6</v>
      </c>
      <c r="S7554" s="74">
        <v>36840</v>
      </c>
      <c r="T7554" s="80">
        <v>1</v>
      </c>
      <c r="V7554">
        <v>53.96</v>
      </c>
      <c r="X7554" s="42"/>
      <c r="AB7554">
        <v>47.3</v>
      </c>
      <c r="AC7554">
        <v>28.94</v>
      </c>
      <c r="AE7554" s="74"/>
      <c r="AF7554" s="80"/>
      <c r="AH7554" s="497">
        <v>30.2</v>
      </c>
      <c r="AJ7554" s="42"/>
      <c r="AK7554" s="74"/>
      <c r="AL7554" s="80"/>
      <c r="AN7554" s="497">
        <v>44.06</v>
      </c>
      <c r="AP7554" s="42"/>
      <c r="AQ7554" s="74"/>
      <c r="AR7554" s="80"/>
      <c r="AT7554" s="497">
        <v>39.019999999999996</v>
      </c>
      <c r="AV7554" s="42"/>
      <c r="AW7554" s="74"/>
      <c r="AX7554" s="80"/>
      <c r="BA7554" s="497">
        <v>26.96</v>
      </c>
      <c r="BB7554" s="42"/>
      <c r="BC7554" s="74"/>
      <c r="BD7554" s="80"/>
      <c r="BF7554">
        <v>42.980000000000004</v>
      </c>
      <c r="BH7554" s="42"/>
      <c r="BI7554" s="74"/>
      <c r="BJ7554" s="80"/>
      <c r="BL7554" s="497">
        <v>44.96</v>
      </c>
      <c r="BN7554" s="42"/>
      <c r="BO7554" s="74"/>
      <c r="BP7554" s="80"/>
      <c r="BR7554" s="497">
        <v>24.08</v>
      </c>
      <c r="BT7554" s="42"/>
    </row>
    <row r="7555" spans="1:72" x14ac:dyDescent="0.25">
      <c r="A7555" s="90">
        <v>36841</v>
      </c>
      <c r="B7555" s="20">
        <v>4.1666666666666664E-2</v>
      </c>
      <c r="D7555">
        <v>42.08</v>
      </c>
      <c r="E7555" t="str">
        <f t="shared" si="270"/>
        <v>SATURDAY</v>
      </c>
      <c r="F7555" t="e">
        <f t="shared" si="271"/>
        <v>#N/A</v>
      </c>
      <c r="G7555" s="74">
        <v>28805</v>
      </c>
      <c r="H7555" s="77">
        <v>4.1666666666666664E-2</v>
      </c>
      <c r="J7555">
        <v>51.980000000000004</v>
      </c>
      <c r="M7555" s="74">
        <v>36110</v>
      </c>
      <c r="N7555" s="77">
        <v>4.1666666666666664E-2</v>
      </c>
      <c r="P7555">
        <v>57.2</v>
      </c>
      <c r="S7555" s="74">
        <v>36841</v>
      </c>
      <c r="T7555" s="77">
        <v>4.1666666666666664E-2</v>
      </c>
      <c r="V7555">
        <v>53.06</v>
      </c>
      <c r="X7555" s="42"/>
      <c r="AB7555">
        <v>46.7</v>
      </c>
      <c r="AC7555">
        <v>30.92</v>
      </c>
      <c r="AE7555" s="74"/>
      <c r="AF7555" s="77"/>
      <c r="AH7555" s="497">
        <v>30.2</v>
      </c>
      <c r="AJ7555" s="42"/>
      <c r="AK7555" s="74"/>
      <c r="AL7555" s="77"/>
      <c r="AN7555" s="497">
        <v>42.980000000000004</v>
      </c>
      <c r="AP7555" s="42"/>
      <c r="AQ7555" s="74"/>
      <c r="AR7555" s="77"/>
      <c r="AT7555" s="497">
        <v>39.019999999999996</v>
      </c>
      <c r="AV7555" s="42"/>
      <c r="AW7555" s="74"/>
      <c r="AX7555" s="77"/>
      <c r="BA7555" s="497">
        <v>26.96</v>
      </c>
      <c r="BB7555" s="42"/>
      <c r="BC7555" s="74"/>
      <c r="BD7555" s="77"/>
      <c r="BF7555">
        <v>42.08</v>
      </c>
      <c r="BH7555" s="42"/>
      <c r="BI7555" s="74"/>
      <c r="BJ7555" s="77"/>
      <c r="BL7555" s="497">
        <v>44.96</v>
      </c>
      <c r="BN7555" s="42"/>
      <c r="BO7555" s="74"/>
      <c r="BP7555" s="77"/>
      <c r="BR7555" s="497">
        <v>23</v>
      </c>
      <c r="BT7555" s="42"/>
    </row>
    <row r="7556" spans="1:72" x14ac:dyDescent="0.25">
      <c r="A7556" s="90">
        <v>36841</v>
      </c>
      <c r="B7556" s="20">
        <v>8.3333333333333329E-2</v>
      </c>
      <c r="D7556">
        <v>42.08</v>
      </c>
      <c r="E7556" t="str">
        <f t="shared" si="270"/>
        <v>SATURDAY</v>
      </c>
      <c r="F7556" t="e">
        <f t="shared" si="271"/>
        <v>#N/A</v>
      </c>
      <c r="G7556" s="74">
        <v>28805</v>
      </c>
      <c r="H7556" s="77">
        <v>8.3333333333333329E-2</v>
      </c>
      <c r="J7556">
        <v>51.980000000000004</v>
      </c>
      <c r="M7556" s="74">
        <v>36110</v>
      </c>
      <c r="N7556" s="77">
        <v>8.3333333333333329E-2</v>
      </c>
      <c r="P7556">
        <v>59</v>
      </c>
      <c r="S7556" s="74">
        <v>36841</v>
      </c>
      <c r="T7556" s="77">
        <v>8.3333333333333329E-2</v>
      </c>
      <c r="V7556">
        <v>51.980000000000004</v>
      </c>
      <c r="X7556" s="42"/>
      <c r="AB7556">
        <v>46.1</v>
      </c>
      <c r="AC7556">
        <v>30.02</v>
      </c>
      <c r="AE7556" s="74"/>
      <c r="AF7556" s="77"/>
      <c r="AH7556" s="497">
        <v>30.2</v>
      </c>
      <c r="AJ7556" s="42"/>
      <c r="AK7556" s="74"/>
      <c r="AL7556" s="77"/>
      <c r="AN7556" s="497">
        <v>42.980000000000004</v>
      </c>
      <c r="AP7556" s="42"/>
      <c r="AQ7556" s="74"/>
      <c r="AR7556" s="77"/>
      <c r="AT7556" s="497">
        <v>39.019999999999996</v>
      </c>
      <c r="AV7556" s="42"/>
      <c r="AW7556" s="74"/>
      <c r="AX7556" s="77"/>
      <c r="BA7556" s="497">
        <v>26.96</v>
      </c>
      <c r="BB7556" s="42"/>
      <c r="BC7556" s="74"/>
      <c r="BD7556" s="77"/>
      <c r="BF7556">
        <v>41</v>
      </c>
      <c r="BH7556" s="42"/>
      <c r="BI7556" s="74"/>
      <c r="BJ7556" s="77"/>
      <c r="BL7556" s="497">
        <v>44.06</v>
      </c>
      <c r="BN7556" s="42"/>
      <c r="BO7556" s="74"/>
      <c r="BP7556" s="77"/>
      <c r="BR7556" s="497">
        <v>23</v>
      </c>
      <c r="BT7556" s="42"/>
    </row>
    <row r="7557" spans="1:72" x14ac:dyDescent="0.25">
      <c r="A7557" s="90">
        <v>36841</v>
      </c>
      <c r="B7557" s="20">
        <v>0.125</v>
      </c>
      <c r="D7557">
        <v>42.08</v>
      </c>
      <c r="E7557" t="str">
        <f t="shared" si="270"/>
        <v>SATURDAY</v>
      </c>
      <c r="F7557" t="e">
        <f t="shared" si="271"/>
        <v>#N/A</v>
      </c>
      <c r="G7557" s="74">
        <v>28805</v>
      </c>
      <c r="H7557" s="77">
        <v>0.125</v>
      </c>
      <c r="J7557">
        <v>51.980000000000004</v>
      </c>
      <c r="M7557" s="74">
        <v>36110</v>
      </c>
      <c r="N7557" s="77">
        <v>0.125</v>
      </c>
      <c r="P7557">
        <v>60.8</v>
      </c>
      <c r="S7557" s="74">
        <v>36841</v>
      </c>
      <c r="T7557" s="77">
        <v>0.125</v>
      </c>
      <c r="V7557">
        <v>51.08</v>
      </c>
      <c r="X7557" s="42"/>
      <c r="AB7557">
        <v>45.6</v>
      </c>
      <c r="AC7557">
        <v>32</v>
      </c>
      <c r="AE7557" s="74"/>
      <c r="AF7557" s="77"/>
      <c r="AH7557" s="497">
        <v>32</v>
      </c>
      <c r="AJ7557" s="42"/>
      <c r="AK7557" s="74"/>
      <c r="AL7557" s="77"/>
      <c r="AN7557" s="497">
        <v>41</v>
      </c>
      <c r="AP7557" s="42"/>
      <c r="AQ7557" s="74"/>
      <c r="AR7557" s="77"/>
      <c r="AT7557" s="497">
        <v>37.94</v>
      </c>
      <c r="AV7557" s="42"/>
      <c r="AW7557" s="74"/>
      <c r="AX7557" s="77"/>
      <c r="BA7557" s="497">
        <v>26.96</v>
      </c>
      <c r="BB7557" s="42"/>
      <c r="BC7557" s="74"/>
      <c r="BD7557" s="77"/>
      <c r="BF7557">
        <v>41</v>
      </c>
      <c r="BH7557" s="42"/>
      <c r="BI7557" s="74"/>
      <c r="BJ7557" s="77"/>
      <c r="BL7557" s="497">
        <v>42.980000000000004</v>
      </c>
      <c r="BN7557" s="42"/>
      <c r="BO7557" s="74"/>
      <c r="BP7557" s="77"/>
      <c r="BR7557" s="497">
        <v>21.02</v>
      </c>
      <c r="BT7557" s="42"/>
    </row>
    <row r="7558" spans="1:72" x14ac:dyDescent="0.25">
      <c r="A7558" s="90">
        <v>36841</v>
      </c>
      <c r="B7558" s="20">
        <v>0.16666666666666666</v>
      </c>
      <c r="D7558">
        <v>41</v>
      </c>
      <c r="E7558" t="str">
        <f t="shared" si="270"/>
        <v>SATURDAY</v>
      </c>
      <c r="F7558" t="e">
        <f t="shared" si="271"/>
        <v>#N/A</v>
      </c>
      <c r="G7558" s="74">
        <v>28805</v>
      </c>
      <c r="H7558" s="77">
        <v>0.16666666666666666</v>
      </c>
      <c r="J7558">
        <v>53.06</v>
      </c>
      <c r="M7558" s="74">
        <v>36110</v>
      </c>
      <c r="N7558" s="77">
        <v>0.16666666666666666</v>
      </c>
      <c r="P7558">
        <v>60.8</v>
      </c>
      <c r="S7558" s="74">
        <v>36841</v>
      </c>
      <c r="T7558" s="77">
        <v>0.16666666666666666</v>
      </c>
      <c r="V7558">
        <v>51.08</v>
      </c>
      <c r="X7558" s="42"/>
      <c r="AB7558">
        <v>45.2</v>
      </c>
      <c r="AC7558">
        <v>28.94</v>
      </c>
      <c r="AE7558" s="74"/>
      <c r="AF7558" s="77"/>
      <c r="AH7558" s="497">
        <v>33.799999999999997</v>
      </c>
      <c r="AJ7558" s="42"/>
      <c r="AK7558" s="74"/>
      <c r="AL7558" s="77"/>
      <c r="AN7558" s="497">
        <v>41</v>
      </c>
      <c r="AP7558" s="42"/>
      <c r="AQ7558" s="74"/>
      <c r="AR7558" s="77"/>
      <c r="AT7558" s="497">
        <v>37.94</v>
      </c>
      <c r="AV7558" s="42"/>
      <c r="AW7558" s="74"/>
      <c r="AX7558" s="77"/>
      <c r="BA7558" s="497">
        <v>26.96</v>
      </c>
      <c r="BB7558" s="42"/>
      <c r="BC7558" s="74"/>
      <c r="BD7558" s="77"/>
      <c r="BF7558">
        <v>39.92</v>
      </c>
      <c r="BH7558" s="42"/>
      <c r="BI7558" s="74"/>
      <c r="BJ7558" s="77"/>
      <c r="BL7558" s="497">
        <v>42.08</v>
      </c>
      <c r="BN7558" s="42"/>
      <c r="BO7558" s="74"/>
      <c r="BP7558" s="77"/>
      <c r="BR7558" s="497">
        <v>23</v>
      </c>
      <c r="BT7558" s="42"/>
    </row>
    <row r="7559" spans="1:72" x14ac:dyDescent="0.25">
      <c r="A7559" s="90">
        <v>36841</v>
      </c>
      <c r="B7559" s="20">
        <v>0.20833333333333334</v>
      </c>
      <c r="D7559">
        <v>39.92</v>
      </c>
      <c r="E7559" t="str">
        <f t="shared" si="270"/>
        <v>SATURDAY</v>
      </c>
      <c r="F7559" t="e">
        <f t="shared" si="271"/>
        <v>#N/A</v>
      </c>
      <c r="G7559" s="74">
        <v>28805</v>
      </c>
      <c r="H7559" s="77">
        <v>0.20833333333333334</v>
      </c>
      <c r="J7559">
        <v>53.06</v>
      </c>
      <c r="M7559" s="74">
        <v>36110</v>
      </c>
      <c r="N7559" s="77">
        <v>0.20833333333333334</v>
      </c>
      <c r="P7559">
        <v>60.8</v>
      </c>
      <c r="S7559" s="74">
        <v>36841</v>
      </c>
      <c r="T7559" s="77">
        <v>0.20833333333333334</v>
      </c>
      <c r="V7559">
        <v>51.08</v>
      </c>
      <c r="X7559" s="42"/>
      <c r="AB7559">
        <v>44.8</v>
      </c>
      <c r="AC7559">
        <v>28.04</v>
      </c>
      <c r="AE7559" s="74"/>
      <c r="AF7559" s="77"/>
      <c r="AH7559" s="497">
        <v>35.6</v>
      </c>
      <c r="AJ7559" s="42"/>
      <c r="AK7559" s="74"/>
      <c r="AL7559" s="77"/>
      <c r="AN7559" s="497">
        <v>39.92</v>
      </c>
      <c r="AP7559" s="42"/>
      <c r="AQ7559" s="74"/>
      <c r="AR7559" s="77"/>
      <c r="AT7559" s="497">
        <v>39.019999999999996</v>
      </c>
      <c r="AV7559" s="42"/>
      <c r="AW7559" s="74"/>
      <c r="AX7559" s="77"/>
      <c r="BA7559" s="497">
        <v>28.04</v>
      </c>
      <c r="BB7559" s="42"/>
      <c r="BC7559" s="74"/>
      <c r="BD7559" s="77"/>
      <c r="BF7559">
        <v>39.019999999999996</v>
      </c>
      <c r="BH7559" s="42"/>
      <c r="BI7559" s="74"/>
      <c r="BJ7559" s="77"/>
      <c r="BL7559" s="497">
        <v>41</v>
      </c>
      <c r="BN7559" s="42"/>
      <c r="BO7559" s="74"/>
      <c r="BP7559" s="77"/>
      <c r="BR7559" s="497">
        <v>21.92</v>
      </c>
      <c r="BT7559" s="42"/>
    </row>
    <row r="7560" spans="1:72" x14ac:dyDescent="0.25">
      <c r="A7560" s="90">
        <v>36841</v>
      </c>
      <c r="B7560" s="20">
        <v>0.25</v>
      </c>
      <c r="D7560">
        <v>39.019999999999996</v>
      </c>
      <c r="E7560" t="str">
        <f t="shared" si="270"/>
        <v>SATURDAY</v>
      </c>
      <c r="F7560" t="e">
        <f t="shared" si="271"/>
        <v>#N/A</v>
      </c>
      <c r="G7560" s="74">
        <v>28805</v>
      </c>
      <c r="H7560" s="77">
        <v>0.25</v>
      </c>
      <c r="J7560">
        <v>53.06</v>
      </c>
      <c r="M7560" s="74">
        <v>36110</v>
      </c>
      <c r="N7560" s="77">
        <v>0.25</v>
      </c>
      <c r="P7560">
        <v>60.8</v>
      </c>
      <c r="S7560" s="74">
        <v>36841</v>
      </c>
      <c r="T7560" s="77">
        <v>0.25</v>
      </c>
      <c r="V7560">
        <v>51.08</v>
      </c>
      <c r="X7560" s="42"/>
      <c r="AB7560">
        <v>44.4</v>
      </c>
      <c r="AC7560">
        <v>28.04</v>
      </c>
      <c r="AE7560" s="74"/>
      <c r="AF7560" s="77"/>
      <c r="AH7560" s="497">
        <v>42.8</v>
      </c>
      <c r="AJ7560" s="42"/>
      <c r="AK7560" s="74"/>
      <c r="AL7560" s="77"/>
      <c r="AN7560" s="497">
        <v>39.019999999999996</v>
      </c>
      <c r="AP7560" s="42"/>
      <c r="AQ7560" s="74"/>
      <c r="AR7560" s="77"/>
      <c r="AT7560" s="497">
        <v>39.019999999999996</v>
      </c>
      <c r="AV7560" s="42"/>
      <c r="AW7560" s="74"/>
      <c r="AX7560" s="77"/>
      <c r="BA7560" s="497">
        <v>28.04</v>
      </c>
      <c r="BB7560" s="42"/>
      <c r="BC7560" s="74"/>
      <c r="BD7560" s="77"/>
      <c r="BF7560">
        <v>39.019999999999996</v>
      </c>
      <c r="BH7560" s="42"/>
      <c r="BI7560" s="74"/>
      <c r="BJ7560" s="77"/>
      <c r="BL7560" s="497">
        <v>41</v>
      </c>
      <c r="BN7560" s="42"/>
      <c r="BO7560" s="74"/>
      <c r="BP7560" s="77"/>
      <c r="BR7560" s="497">
        <v>24.08</v>
      </c>
      <c r="BT7560" s="42"/>
    </row>
    <row r="7561" spans="1:72" x14ac:dyDescent="0.25">
      <c r="A7561" s="90">
        <v>36841</v>
      </c>
      <c r="B7561" s="20">
        <v>0.29166666666666669</v>
      </c>
      <c r="D7561">
        <v>39.019999999999996</v>
      </c>
      <c r="E7561" t="str">
        <f t="shared" si="270"/>
        <v>SATURDAY</v>
      </c>
      <c r="F7561" t="e">
        <f t="shared" si="271"/>
        <v>#N/A</v>
      </c>
      <c r="G7561" s="74">
        <v>28805</v>
      </c>
      <c r="H7561" s="77">
        <v>0.29166666666666669</v>
      </c>
      <c r="J7561">
        <v>53.96</v>
      </c>
      <c r="M7561" s="74">
        <v>36110</v>
      </c>
      <c r="N7561" s="77">
        <v>0.29166666666666669</v>
      </c>
      <c r="P7561">
        <v>60.8</v>
      </c>
      <c r="S7561" s="74">
        <v>36841</v>
      </c>
      <c r="T7561" s="77">
        <v>0.29166666666666669</v>
      </c>
      <c r="V7561">
        <v>51.08</v>
      </c>
      <c r="X7561" s="42"/>
      <c r="AB7561">
        <v>44.3</v>
      </c>
      <c r="AC7561">
        <v>30.02</v>
      </c>
      <c r="AE7561" s="74"/>
      <c r="AF7561" s="77"/>
      <c r="AH7561" s="497">
        <v>42.8</v>
      </c>
      <c r="AJ7561" s="42"/>
      <c r="AK7561" s="74"/>
      <c r="AL7561" s="77"/>
      <c r="AN7561" s="497">
        <v>37.94</v>
      </c>
      <c r="AP7561" s="42"/>
      <c r="AQ7561" s="74"/>
      <c r="AR7561" s="77"/>
      <c r="AT7561" s="497">
        <v>39.019999999999996</v>
      </c>
      <c r="AV7561" s="42"/>
      <c r="AW7561" s="74"/>
      <c r="AX7561" s="77"/>
      <c r="BA7561" s="497">
        <v>28.04</v>
      </c>
      <c r="BB7561" s="42"/>
      <c r="BC7561" s="74"/>
      <c r="BD7561" s="77"/>
      <c r="BF7561">
        <v>37.94</v>
      </c>
      <c r="BH7561" s="42"/>
      <c r="BI7561" s="74"/>
      <c r="BJ7561" s="77"/>
      <c r="BL7561" s="497">
        <v>39.92</v>
      </c>
      <c r="BN7561" s="42"/>
      <c r="BO7561" s="74"/>
      <c r="BP7561" s="77"/>
      <c r="BR7561" s="497">
        <v>23</v>
      </c>
      <c r="BT7561" s="42"/>
    </row>
    <row r="7562" spans="1:72" x14ac:dyDescent="0.25">
      <c r="A7562" s="90">
        <v>36841</v>
      </c>
      <c r="B7562" s="20">
        <v>0.33333333333333331</v>
      </c>
      <c r="D7562">
        <v>39.019999999999996</v>
      </c>
      <c r="E7562" t="str">
        <f t="shared" si="270"/>
        <v>SATURDAY</v>
      </c>
      <c r="F7562" t="e">
        <f t="shared" si="271"/>
        <v>#N/A</v>
      </c>
      <c r="G7562" s="74">
        <v>28805</v>
      </c>
      <c r="H7562" s="77">
        <v>0.33333333333333331</v>
      </c>
      <c r="J7562">
        <v>53.96</v>
      </c>
      <c r="M7562" s="74">
        <v>36110</v>
      </c>
      <c r="N7562" s="77">
        <v>0.33333333333333331</v>
      </c>
      <c r="P7562">
        <v>51.8</v>
      </c>
      <c r="S7562" s="74">
        <v>36841</v>
      </c>
      <c r="T7562" s="77">
        <v>0.33333333333333331</v>
      </c>
      <c r="V7562">
        <v>51.08</v>
      </c>
      <c r="X7562" s="42"/>
      <c r="AB7562">
        <v>44.4</v>
      </c>
      <c r="AC7562">
        <v>35.06</v>
      </c>
      <c r="AE7562" s="74"/>
      <c r="AF7562" s="77"/>
      <c r="AH7562" s="497">
        <v>41</v>
      </c>
      <c r="AJ7562" s="42"/>
      <c r="AK7562" s="74"/>
      <c r="AL7562" s="77"/>
      <c r="AN7562" s="497">
        <v>37.94</v>
      </c>
      <c r="AP7562" s="42"/>
      <c r="AQ7562" s="74"/>
      <c r="AR7562" s="77"/>
      <c r="AT7562" s="497">
        <v>41</v>
      </c>
      <c r="AV7562" s="42"/>
      <c r="AW7562" s="74"/>
      <c r="AX7562" s="77"/>
      <c r="BA7562" s="497">
        <v>28.04</v>
      </c>
      <c r="BB7562" s="42"/>
      <c r="BC7562" s="74"/>
      <c r="BD7562" s="77"/>
      <c r="BF7562">
        <v>37.94</v>
      </c>
      <c r="BH7562" s="42"/>
      <c r="BI7562" s="74"/>
      <c r="BJ7562" s="77"/>
      <c r="BL7562" s="497">
        <v>39.92</v>
      </c>
      <c r="BN7562" s="42"/>
      <c r="BO7562" s="74"/>
      <c r="BP7562" s="77"/>
      <c r="BR7562" s="497">
        <v>24.98</v>
      </c>
      <c r="BT7562" s="42"/>
    </row>
    <row r="7563" spans="1:72" x14ac:dyDescent="0.25">
      <c r="A7563" s="90">
        <v>36841</v>
      </c>
      <c r="B7563" s="20">
        <v>0.375</v>
      </c>
      <c r="D7563">
        <v>41</v>
      </c>
      <c r="E7563" t="str">
        <f t="shared" si="270"/>
        <v>SATURDAY</v>
      </c>
      <c r="F7563" t="e">
        <f t="shared" si="271"/>
        <v>#N/A</v>
      </c>
      <c r="G7563" s="74">
        <v>28805</v>
      </c>
      <c r="H7563" s="77">
        <v>0.375</v>
      </c>
      <c r="J7563">
        <v>53.96</v>
      </c>
      <c r="M7563" s="74">
        <v>36110</v>
      </c>
      <c r="N7563" s="77">
        <v>0.375</v>
      </c>
      <c r="P7563">
        <v>51.8</v>
      </c>
      <c r="S7563" s="74">
        <v>36841</v>
      </c>
      <c r="T7563" s="77">
        <v>0.375</v>
      </c>
      <c r="V7563">
        <v>51.08</v>
      </c>
      <c r="X7563" s="42"/>
      <c r="AB7563">
        <v>46.2</v>
      </c>
      <c r="AC7563">
        <v>44.96</v>
      </c>
      <c r="AE7563" s="74"/>
      <c r="AF7563" s="77"/>
      <c r="AH7563" s="497">
        <v>42.8</v>
      </c>
      <c r="AJ7563" s="42"/>
      <c r="AK7563" s="74"/>
      <c r="AL7563" s="77"/>
      <c r="AN7563" s="497">
        <v>37.94</v>
      </c>
      <c r="AP7563" s="42"/>
      <c r="AQ7563" s="74"/>
      <c r="AR7563" s="77"/>
      <c r="AT7563" s="497">
        <v>42.08</v>
      </c>
      <c r="AV7563" s="42"/>
      <c r="AW7563" s="74"/>
      <c r="AX7563" s="77"/>
      <c r="BA7563" s="497">
        <v>28.94</v>
      </c>
      <c r="BB7563" s="42"/>
      <c r="BC7563" s="74"/>
      <c r="BD7563" s="77"/>
      <c r="BF7563">
        <v>37.94</v>
      </c>
      <c r="BH7563" s="42"/>
      <c r="BI7563" s="74"/>
      <c r="BJ7563" s="77"/>
      <c r="BL7563" s="497">
        <v>41</v>
      </c>
      <c r="BN7563" s="42"/>
      <c r="BO7563" s="74"/>
      <c r="BP7563" s="77"/>
      <c r="BR7563" s="497">
        <v>24.98</v>
      </c>
      <c r="BT7563" s="42"/>
    </row>
    <row r="7564" spans="1:72" x14ac:dyDescent="0.25">
      <c r="A7564" s="90">
        <v>36841</v>
      </c>
      <c r="B7564" s="20">
        <v>0.41666666666666669</v>
      </c>
      <c r="D7564">
        <v>42.08</v>
      </c>
      <c r="E7564" t="str">
        <f t="shared" si="270"/>
        <v>SATURDAY</v>
      </c>
      <c r="F7564" t="e">
        <f t="shared" si="271"/>
        <v>#N/A</v>
      </c>
      <c r="G7564" s="74">
        <v>28805</v>
      </c>
      <c r="H7564" s="77">
        <v>0.41666666666666669</v>
      </c>
      <c r="J7564">
        <v>53.96</v>
      </c>
      <c r="M7564" s="74">
        <v>36110</v>
      </c>
      <c r="N7564" s="77">
        <v>0.41666666666666669</v>
      </c>
      <c r="P7564">
        <v>50</v>
      </c>
      <c r="S7564" s="74">
        <v>36841</v>
      </c>
      <c r="T7564" s="77">
        <v>0.41666666666666669</v>
      </c>
      <c r="V7564">
        <v>51.08</v>
      </c>
      <c r="X7564" s="42"/>
      <c r="AB7564">
        <v>48.2</v>
      </c>
      <c r="AC7564">
        <v>48.92</v>
      </c>
      <c r="AE7564" s="74"/>
      <c r="AF7564" s="77"/>
      <c r="AH7564" s="497">
        <v>44.6</v>
      </c>
      <c r="AJ7564" s="42"/>
      <c r="AK7564" s="74"/>
      <c r="AL7564" s="77"/>
      <c r="AN7564" s="497">
        <v>37.94</v>
      </c>
      <c r="AP7564" s="42"/>
      <c r="AQ7564" s="74"/>
      <c r="AR7564" s="77"/>
      <c r="AT7564" s="497">
        <v>44.06</v>
      </c>
      <c r="AV7564" s="42"/>
      <c r="AW7564" s="74"/>
      <c r="AX7564" s="77"/>
      <c r="BA7564" s="497">
        <v>28.94</v>
      </c>
      <c r="BB7564" s="42"/>
      <c r="BC7564" s="74"/>
      <c r="BD7564" s="77"/>
      <c r="BF7564">
        <v>39.92</v>
      </c>
      <c r="BH7564" s="42"/>
      <c r="BI7564" s="74"/>
      <c r="BJ7564" s="77"/>
      <c r="BL7564" s="497">
        <v>42.08</v>
      </c>
      <c r="BN7564" s="42"/>
      <c r="BO7564" s="74"/>
      <c r="BP7564" s="77"/>
      <c r="BR7564" s="497">
        <v>26.96</v>
      </c>
      <c r="BT7564" s="42"/>
    </row>
    <row r="7565" spans="1:72" x14ac:dyDescent="0.25">
      <c r="A7565" s="90">
        <v>36841</v>
      </c>
      <c r="B7565" s="20">
        <v>0.45833333333333331</v>
      </c>
      <c r="D7565">
        <v>44.06</v>
      </c>
      <c r="E7565" t="str">
        <f t="shared" si="270"/>
        <v>SATURDAY</v>
      </c>
      <c r="F7565" t="e">
        <f t="shared" si="271"/>
        <v>#N/A</v>
      </c>
      <c r="G7565" s="74">
        <v>28805</v>
      </c>
      <c r="H7565" s="77">
        <v>0.45833333333333331</v>
      </c>
      <c r="J7565">
        <v>53.96</v>
      </c>
      <c r="M7565" s="74">
        <v>36110</v>
      </c>
      <c r="N7565" s="77">
        <v>0.45833333333333331</v>
      </c>
      <c r="P7565">
        <v>51.8</v>
      </c>
      <c r="S7565" s="74">
        <v>36841</v>
      </c>
      <c r="T7565" s="77">
        <v>0.45833333333333331</v>
      </c>
      <c r="V7565">
        <v>51.980000000000004</v>
      </c>
      <c r="X7565" s="42"/>
      <c r="AB7565">
        <v>49.9</v>
      </c>
      <c r="AC7565">
        <v>48.92</v>
      </c>
      <c r="AE7565" s="74"/>
      <c r="AF7565" s="77"/>
      <c r="AH7565" s="497">
        <v>44.6</v>
      </c>
      <c r="AJ7565" s="42"/>
      <c r="AK7565" s="74"/>
      <c r="AL7565" s="77"/>
      <c r="AN7565" s="497">
        <v>37.04</v>
      </c>
      <c r="AP7565" s="42"/>
      <c r="AQ7565" s="74"/>
      <c r="AR7565" s="77"/>
      <c r="AT7565" s="497">
        <v>46.04</v>
      </c>
      <c r="AV7565" s="42"/>
      <c r="AW7565" s="74"/>
      <c r="AX7565" s="77"/>
      <c r="BA7565" s="497">
        <v>30.02</v>
      </c>
      <c r="BB7565" s="42"/>
      <c r="BC7565" s="74"/>
      <c r="BD7565" s="77"/>
      <c r="BF7565">
        <v>39.92</v>
      </c>
      <c r="BH7565" s="42"/>
      <c r="BI7565" s="74"/>
      <c r="BJ7565" s="77"/>
      <c r="BL7565" s="497">
        <v>42.08</v>
      </c>
      <c r="BN7565" s="42"/>
      <c r="BO7565" s="74"/>
      <c r="BP7565" s="77"/>
      <c r="BR7565" s="497">
        <v>28.94</v>
      </c>
      <c r="BT7565" s="42"/>
    </row>
    <row r="7566" spans="1:72" x14ac:dyDescent="0.25">
      <c r="A7566" s="90">
        <v>36841</v>
      </c>
      <c r="B7566" s="20">
        <v>0.5</v>
      </c>
      <c r="D7566">
        <v>46.94</v>
      </c>
      <c r="E7566" t="str">
        <f t="shared" si="270"/>
        <v>SATURDAY</v>
      </c>
      <c r="F7566" t="e">
        <f t="shared" si="271"/>
        <v>#N/A</v>
      </c>
      <c r="G7566" s="74">
        <v>28805</v>
      </c>
      <c r="H7566" s="77">
        <v>0.5</v>
      </c>
      <c r="J7566">
        <v>55.040000000000006</v>
      </c>
      <c r="M7566" s="74">
        <v>36110</v>
      </c>
      <c r="N7566" s="77">
        <v>0.5</v>
      </c>
      <c r="P7566">
        <v>53.6</v>
      </c>
      <c r="S7566" s="74">
        <v>36841</v>
      </c>
      <c r="T7566" s="77">
        <v>0.5</v>
      </c>
      <c r="V7566">
        <v>53.96</v>
      </c>
      <c r="X7566" s="42"/>
      <c r="AB7566">
        <v>51.2</v>
      </c>
      <c r="AC7566">
        <v>50</v>
      </c>
      <c r="AE7566" s="74"/>
      <c r="AF7566" s="77"/>
      <c r="AH7566" s="497">
        <v>44.6</v>
      </c>
      <c r="AJ7566" s="42"/>
      <c r="AK7566" s="74"/>
      <c r="AL7566" s="77"/>
      <c r="AN7566" s="497">
        <v>37.04</v>
      </c>
      <c r="AP7566" s="42"/>
      <c r="AQ7566" s="74"/>
      <c r="AR7566" s="77"/>
      <c r="AT7566" s="497">
        <v>50</v>
      </c>
      <c r="AV7566" s="42"/>
      <c r="AW7566" s="74"/>
      <c r="AX7566" s="77"/>
      <c r="BA7566" s="497">
        <v>30.92</v>
      </c>
      <c r="BB7566" s="42"/>
      <c r="BC7566" s="74"/>
      <c r="BD7566" s="77"/>
      <c r="BF7566">
        <v>42.08</v>
      </c>
      <c r="BH7566" s="42"/>
      <c r="BI7566" s="74"/>
      <c r="BJ7566" s="77"/>
      <c r="BL7566" s="497">
        <v>41</v>
      </c>
      <c r="BN7566" s="42"/>
      <c r="BO7566" s="74"/>
      <c r="BP7566" s="77"/>
      <c r="BR7566" s="497">
        <v>30.02</v>
      </c>
      <c r="BT7566" s="42"/>
    </row>
    <row r="7567" spans="1:72" x14ac:dyDescent="0.25">
      <c r="A7567" s="90">
        <v>36841</v>
      </c>
      <c r="B7567" s="20">
        <v>0.54166666666666663</v>
      </c>
      <c r="D7567">
        <v>48.019999999999996</v>
      </c>
      <c r="E7567" t="str">
        <f t="shared" si="270"/>
        <v>SATURDAY</v>
      </c>
      <c r="F7567" t="e">
        <f t="shared" si="271"/>
        <v>#N/A</v>
      </c>
      <c r="G7567" s="74">
        <v>28805</v>
      </c>
      <c r="H7567" s="77">
        <v>0.54166666666666663</v>
      </c>
      <c r="J7567">
        <v>55.94</v>
      </c>
      <c r="M7567" s="74">
        <v>36110</v>
      </c>
      <c r="N7567" s="77">
        <v>0.54166666666666663</v>
      </c>
      <c r="P7567">
        <v>57.2</v>
      </c>
      <c r="S7567" s="74">
        <v>36841</v>
      </c>
      <c r="T7567" s="77">
        <v>0.54166666666666663</v>
      </c>
      <c r="V7567">
        <v>55.040000000000006</v>
      </c>
      <c r="X7567" s="42"/>
      <c r="AB7567">
        <v>52.2</v>
      </c>
      <c r="AC7567">
        <v>50</v>
      </c>
      <c r="AE7567" s="74"/>
      <c r="AF7567" s="77"/>
      <c r="AH7567" s="497">
        <v>44.6</v>
      </c>
      <c r="AJ7567" s="42"/>
      <c r="AK7567" s="74"/>
      <c r="AL7567" s="77"/>
      <c r="AN7567" s="497">
        <v>37.04</v>
      </c>
      <c r="AP7567" s="42"/>
      <c r="AQ7567" s="74"/>
      <c r="AR7567" s="77"/>
      <c r="AT7567" s="497">
        <v>50</v>
      </c>
      <c r="AV7567" s="42"/>
      <c r="AW7567" s="74"/>
      <c r="AX7567" s="77"/>
      <c r="BA7567" s="497">
        <v>30.92</v>
      </c>
      <c r="BB7567" s="42"/>
      <c r="BC7567" s="74"/>
      <c r="BD7567" s="77"/>
      <c r="BF7567">
        <v>39.019999999999996</v>
      </c>
      <c r="BH7567" s="42"/>
      <c r="BI7567" s="74"/>
      <c r="BJ7567" s="77"/>
      <c r="BL7567" s="497">
        <v>44.06</v>
      </c>
      <c r="BN7567" s="42"/>
      <c r="BO7567" s="74"/>
      <c r="BP7567" s="77"/>
      <c r="BR7567" s="497">
        <v>30.02</v>
      </c>
      <c r="BT7567" s="42"/>
    </row>
    <row r="7568" spans="1:72" x14ac:dyDescent="0.25">
      <c r="A7568" s="90">
        <v>36841</v>
      </c>
      <c r="B7568" s="20">
        <v>0.58333333333333337</v>
      </c>
      <c r="D7568">
        <v>50</v>
      </c>
      <c r="E7568" t="str">
        <f t="shared" si="270"/>
        <v>SATURDAY</v>
      </c>
      <c r="F7568" t="e">
        <f t="shared" si="271"/>
        <v>#N/A</v>
      </c>
      <c r="G7568" s="74">
        <v>28805</v>
      </c>
      <c r="H7568" s="77">
        <v>0.58333333333333337</v>
      </c>
      <c r="J7568">
        <v>57.019999999999996</v>
      </c>
      <c r="M7568" s="74">
        <v>36110</v>
      </c>
      <c r="N7568" s="77">
        <v>0.58333333333333337</v>
      </c>
      <c r="P7568">
        <v>59</v>
      </c>
      <c r="S7568" s="74">
        <v>36841</v>
      </c>
      <c r="T7568" s="77">
        <v>0.58333333333333337</v>
      </c>
      <c r="V7568">
        <v>55.94</v>
      </c>
      <c r="X7568" s="42"/>
      <c r="AB7568">
        <v>52.8</v>
      </c>
      <c r="AC7568">
        <v>51.08</v>
      </c>
      <c r="AE7568" s="74"/>
      <c r="AF7568" s="77"/>
      <c r="AH7568" s="497">
        <v>44.6</v>
      </c>
      <c r="AJ7568" s="42"/>
      <c r="AK7568" s="74"/>
      <c r="AL7568" s="77"/>
      <c r="AN7568" s="497">
        <v>39.019999999999996</v>
      </c>
      <c r="AP7568" s="42"/>
      <c r="AQ7568" s="74"/>
      <c r="AR7568" s="77"/>
      <c r="AT7568" s="497">
        <v>51.980000000000004</v>
      </c>
      <c r="AV7568" s="42"/>
      <c r="AW7568" s="74"/>
      <c r="AX7568" s="77"/>
      <c r="BA7568" s="497">
        <v>33.979999999999997</v>
      </c>
      <c r="BB7568" s="42"/>
      <c r="BC7568" s="74"/>
      <c r="BD7568" s="77"/>
      <c r="BF7568">
        <v>39.92</v>
      </c>
      <c r="BH7568" s="42"/>
      <c r="BI7568" s="74"/>
      <c r="BJ7568" s="77"/>
      <c r="BL7568" s="497">
        <v>39.92</v>
      </c>
      <c r="BN7568" s="42"/>
      <c r="BO7568" s="74"/>
      <c r="BP7568" s="77"/>
      <c r="BR7568" s="497">
        <v>30.02</v>
      </c>
      <c r="BT7568" s="42"/>
    </row>
    <row r="7569" spans="1:72" x14ac:dyDescent="0.25">
      <c r="A7569" s="90">
        <v>36841</v>
      </c>
      <c r="B7569" s="20">
        <v>0.625</v>
      </c>
      <c r="D7569">
        <v>50</v>
      </c>
      <c r="E7569" t="str">
        <f t="shared" si="270"/>
        <v>SATURDAY</v>
      </c>
      <c r="F7569" t="e">
        <f t="shared" si="271"/>
        <v>#N/A</v>
      </c>
      <c r="G7569" s="74">
        <v>28805</v>
      </c>
      <c r="H7569" s="77">
        <v>0.625</v>
      </c>
      <c r="J7569">
        <v>59</v>
      </c>
      <c r="M7569" s="74">
        <v>36110</v>
      </c>
      <c r="N7569" s="77">
        <v>0.625</v>
      </c>
      <c r="P7569">
        <v>60.8</v>
      </c>
      <c r="S7569" s="74">
        <v>36841</v>
      </c>
      <c r="T7569" s="77">
        <v>0.625</v>
      </c>
      <c r="V7569">
        <v>55.94</v>
      </c>
      <c r="X7569" s="42"/>
      <c r="AB7569">
        <v>53.1</v>
      </c>
      <c r="AC7569">
        <v>51.08</v>
      </c>
      <c r="AE7569" s="74"/>
      <c r="AF7569" s="77"/>
      <c r="AH7569" s="497">
        <v>44.6</v>
      </c>
      <c r="AJ7569" s="42"/>
      <c r="AK7569" s="74"/>
      <c r="AL7569" s="77"/>
      <c r="AN7569" s="497">
        <v>37.04</v>
      </c>
      <c r="AP7569" s="42"/>
      <c r="AQ7569" s="74"/>
      <c r="AR7569" s="77"/>
      <c r="AT7569" s="497">
        <v>51.08</v>
      </c>
      <c r="AV7569" s="42"/>
      <c r="AW7569" s="74"/>
      <c r="AX7569" s="77"/>
      <c r="BA7569" s="497">
        <v>35.96</v>
      </c>
      <c r="BB7569" s="42"/>
      <c r="BC7569" s="74"/>
      <c r="BD7569" s="77"/>
      <c r="BF7569">
        <v>39.019999999999996</v>
      </c>
      <c r="BH7569" s="42"/>
      <c r="BI7569" s="74"/>
      <c r="BJ7569" s="77"/>
      <c r="BL7569" s="497">
        <v>39.92</v>
      </c>
      <c r="BN7569" s="42"/>
      <c r="BO7569" s="74"/>
      <c r="BP7569" s="77"/>
      <c r="BR7569" s="497">
        <v>30.02</v>
      </c>
      <c r="BT7569" s="42"/>
    </row>
    <row r="7570" spans="1:72" x14ac:dyDescent="0.25">
      <c r="A7570" s="90">
        <v>36841</v>
      </c>
      <c r="B7570" s="20">
        <v>0.66666666666666663</v>
      </c>
      <c r="D7570">
        <v>50</v>
      </c>
      <c r="E7570" t="str">
        <f t="shared" si="270"/>
        <v>SATURDAY</v>
      </c>
      <c r="F7570" t="e">
        <f t="shared" si="271"/>
        <v>#N/A</v>
      </c>
      <c r="G7570" s="74">
        <v>28805</v>
      </c>
      <c r="H7570" s="77">
        <v>0.66666666666666663</v>
      </c>
      <c r="J7570">
        <v>59</v>
      </c>
      <c r="M7570" s="74">
        <v>36110</v>
      </c>
      <c r="N7570" s="77">
        <v>0.66666666666666663</v>
      </c>
      <c r="P7570">
        <v>59</v>
      </c>
      <c r="S7570" s="74">
        <v>36841</v>
      </c>
      <c r="T7570" s="77">
        <v>0.66666666666666663</v>
      </c>
      <c r="V7570">
        <v>55.040000000000006</v>
      </c>
      <c r="X7570" s="42"/>
      <c r="AB7570">
        <v>52.7</v>
      </c>
      <c r="AC7570">
        <v>51.980000000000004</v>
      </c>
      <c r="AE7570" s="74"/>
      <c r="AF7570" s="77"/>
      <c r="AH7570" s="497">
        <v>44.6</v>
      </c>
      <c r="AJ7570" s="42"/>
      <c r="AK7570" s="74"/>
      <c r="AL7570" s="77"/>
      <c r="AN7570" s="497">
        <v>37.94</v>
      </c>
      <c r="AP7570" s="42"/>
      <c r="AQ7570" s="74"/>
      <c r="AR7570" s="77"/>
      <c r="AT7570" s="497">
        <v>51.08</v>
      </c>
      <c r="AV7570" s="42"/>
      <c r="AW7570" s="74"/>
      <c r="AX7570" s="77"/>
      <c r="BA7570" s="497">
        <v>33.08</v>
      </c>
      <c r="BB7570" s="42"/>
      <c r="BC7570" s="74"/>
      <c r="BD7570" s="77"/>
      <c r="BF7570">
        <v>39.019999999999996</v>
      </c>
      <c r="BH7570" s="42"/>
      <c r="BI7570" s="74"/>
      <c r="BJ7570" s="77"/>
      <c r="BL7570" s="497">
        <v>39.019999999999996</v>
      </c>
      <c r="BN7570" s="42"/>
      <c r="BO7570" s="74"/>
      <c r="BP7570" s="77"/>
      <c r="BR7570" s="497">
        <v>28.94</v>
      </c>
      <c r="BT7570" s="42"/>
    </row>
    <row r="7571" spans="1:72" x14ac:dyDescent="0.25">
      <c r="A7571" s="90">
        <v>36841</v>
      </c>
      <c r="B7571" s="20">
        <v>0.70833333333333337</v>
      </c>
      <c r="D7571">
        <v>50</v>
      </c>
      <c r="E7571" t="str">
        <f t="shared" ref="E7571:E7634" si="272">IF(COUNTIF($DI$18:$DI$22, WEEKDAY(A7571))=1, "WEEKDAY", IF(WEEKDAY(A7571) = 1, "SUNDAY", "SATURDAY"))</f>
        <v>SATURDAY</v>
      </c>
      <c r="F7571" t="e">
        <f t="shared" si="271"/>
        <v>#N/A</v>
      </c>
      <c r="G7571" s="74">
        <v>28805</v>
      </c>
      <c r="H7571" s="77">
        <v>0.70833333333333337</v>
      </c>
      <c r="J7571">
        <v>57.019999999999996</v>
      </c>
      <c r="M7571" s="74">
        <v>36110</v>
      </c>
      <c r="N7571" s="77">
        <v>0.70833333333333337</v>
      </c>
      <c r="P7571">
        <v>57.2</v>
      </c>
      <c r="S7571" s="74">
        <v>36841</v>
      </c>
      <c r="T7571" s="77">
        <v>0.70833333333333337</v>
      </c>
      <c r="V7571">
        <v>53.96</v>
      </c>
      <c r="X7571" s="42"/>
      <c r="AB7571">
        <v>51.7</v>
      </c>
      <c r="AC7571">
        <v>51.980000000000004</v>
      </c>
      <c r="AE7571" s="74"/>
      <c r="AF7571" s="77"/>
      <c r="AH7571" s="497">
        <v>39.200000000000003</v>
      </c>
      <c r="AJ7571" s="42"/>
      <c r="AK7571" s="74"/>
      <c r="AL7571" s="77"/>
      <c r="AN7571" s="497">
        <v>35.96</v>
      </c>
      <c r="AP7571" s="42"/>
      <c r="AQ7571" s="74"/>
      <c r="AR7571" s="77"/>
      <c r="AT7571" s="497">
        <v>48.019999999999996</v>
      </c>
      <c r="AV7571" s="42"/>
      <c r="AW7571" s="74"/>
      <c r="AX7571" s="77"/>
      <c r="BA7571" s="497">
        <v>30.92</v>
      </c>
      <c r="BB7571" s="42"/>
      <c r="BC7571" s="74"/>
      <c r="BD7571" s="77"/>
      <c r="BF7571">
        <v>37.04</v>
      </c>
      <c r="BH7571" s="42"/>
      <c r="BI7571" s="74"/>
      <c r="BJ7571" s="77"/>
      <c r="BL7571" s="497">
        <v>37.04</v>
      </c>
      <c r="BN7571" s="42"/>
      <c r="BO7571" s="74"/>
      <c r="BP7571" s="77"/>
      <c r="BR7571" s="497">
        <v>28.04</v>
      </c>
      <c r="BT7571" s="42"/>
    </row>
    <row r="7572" spans="1:72" x14ac:dyDescent="0.25">
      <c r="A7572" s="90">
        <v>36841</v>
      </c>
      <c r="B7572" s="20">
        <v>0.75</v>
      </c>
      <c r="D7572">
        <v>48.92</v>
      </c>
      <c r="E7572" t="str">
        <f t="shared" si="272"/>
        <v>SATURDAY</v>
      </c>
      <c r="F7572" t="e">
        <f t="shared" si="271"/>
        <v>#N/A</v>
      </c>
      <c r="G7572" s="74">
        <v>28805</v>
      </c>
      <c r="H7572" s="77">
        <v>0.75</v>
      </c>
      <c r="J7572">
        <v>55.94</v>
      </c>
      <c r="M7572" s="74">
        <v>36110</v>
      </c>
      <c r="N7572" s="77">
        <v>0.75</v>
      </c>
      <c r="P7572">
        <v>55.400000000000006</v>
      </c>
      <c r="S7572" s="74">
        <v>36841</v>
      </c>
      <c r="T7572" s="77">
        <v>0.75</v>
      </c>
      <c r="V7572">
        <v>53.96</v>
      </c>
      <c r="X7572" s="42"/>
      <c r="AB7572">
        <v>50.3</v>
      </c>
      <c r="AC7572">
        <v>53.06</v>
      </c>
      <c r="AE7572" s="74"/>
      <c r="AF7572" s="77"/>
      <c r="AH7572" s="497">
        <v>37.4</v>
      </c>
      <c r="AJ7572" s="42"/>
      <c r="AK7572" s="74"/>
      <c r="AL7572" s="77"/>
      <c r="AN7572" s="497">
        <v>35.06</v>
      </c>
      <c r="AP7572" s="42"/>
      <c r="AQ7572" s="74"/>
      <c r="AR7572" s="77"/>
      <c r="AT7572" s="497">
        <v>46.04</v>
      </c>
      <c r="AV7572" s="42"/>
      <c r="AW7572" s="74"/>
      <c r="AX7572" s="77"/>
      <c r="BA7572" s="497">
        <v>28.94</v>
      </c>
      <c r="BB7572" s="42"/>
      <c r="BC7572" s="74"/>
      <c r="BD7572" s="77"/>
      <c r="BF7572">
        <v>37.04</v>
      </c>
      <c r="BH7572" s="42"/>
      <c r="BI7572" s="74"/>
      <c r="BJ7572" s="77"/>
      <c r="BL7572" s="497">
        <v>37.04</v>
      </c>
      <c r="BN7572" s="42"/>
      <c r="BO7572" s="74"/>
      <c r="BP7572" s="77"/>
      <c r="BR7572" s="497">
        <v>24.98</v>
      </c>
      <c r="BT7572" s="42"/>
    </row>
    <row r="7573" spans="1:72" x14ac:dyDescent="0.25">
      <c r="A7573" s="90">
        <v>36841</v>
      </c>
      <c r="B7573" s="20">
        <v>0.79166666666666663</v>
      </c>
      <c r="D7573">
        <v>48.019999999999996</v>
      </c>
      <c r="E7573" t="str">
        <f t="shared" si="272"/>
        <v>SATURDAY</v>
      </c>
      <c r="F7573" t="e">
        <f t="shared" si="271"/>
        <v>#N/A</v>
      </c>
      <c r="G7573" s="74">
        <v>28805</v>
      </c>
      <c r="H7573" s="77">
        <v>0.79166666666666663</v>
      </c>
      <c r="J7573">
        <v>53.06</v>
      </c>
      <c r="M7573" s="74">
        <v>36110</v>
      </c>
      <c r="N7573" s="77">
        <v>0.79166666666666663</v>
      </c>
      <c r="P7573">
        <v>53.6</v>
      </c>
      <c r="S7573" s="74">
        <v>36841</v>
      </c>
      <c r="T7573" s="77">
        <v>0.79166666666666663</v>
      </c>
      <c r="V7573">
        <v>53.06</v>
      </c>
      <c r="X7573" s="42"/>
      <c r="AB7573">
        <v>49.7</v>
      </c>
      <c r="AC7573">
        <v>53.96</v>
      </c>
      <c r="AE7573" s="74"/>
      <c r="AF7573" s="77"/>
      <c r="AH7573" s="497">
        <v>35.6</v>
      </c>
      <c r="AJ7573" s="42"/>
      <c r="AK7573" s="74"/>
      <c r="AL7573" s="77"/>
      <c r="AN7573" s="497">
        <v>35.06</v>
      </c>
      <c r="AP7573" s="42"/>
      <c r="AQ7573" s="74"/>
      <c r="AR7573" s="77"/>
      <c r="AT7573" s="497">
        <v>42.980000000000004</v>
      </c>
      <c r="AV7573" s="42"/>
      <c r="AW7573" s="74"/>
      <c r="AX7573" s="77"/>
      <c r="BA7573" s="497">
        <v>28.04</v>
      </c>
      <c r="BB7573" s="42"/>
      <c r="BC7573" s="74"/>
      <c r="BD7573" s="77"/>
      <c r="BF7573">
        <v>37.04</v>
      </c>
      <c r="BH7573" s="42"/>
      <c r="BI7573" s="74"/>
      <c r="BJ7573" s="77"/>
      <c r="BL7573" s="497">
        <v>37.04</v>
      </c>
      <c r="BN7573" s="42"/>
      <c r="BO7573" s="74"/>
      <c r="BP7573" s="77"/>
      <c r="BR7573" s="497">
        <v>21.92</v>
      </c>
      <c r="BT7573" s="42"/>
    </row>
    <row r="7574" spans="1:72" x14ac:dyDescent="0.25">
      <c r="A7574" s="90">
        <v>36841</v>
      </c>
      <c r="B7574" s="20">
        <v>0.83333333333333337</v>
      </c>
      <c r="D7574">
        <v>48.019999999999996</v>
      </c>
      <c r="E7574" t="str">
        <f t="shared" si="272"/>
        <v>SATURDAY</v>
      </c>
      <c r="F7574" t="e">
        <f t="shared" si="271"/>
        <v>#N/A</v>
      </c>
      <c r="G7574" s="74">
        <v>28805</v>
      </c>
      <c r="H7574" s="77">
        <v>0.83333333333333337</v>
      </c>
      <c r="J7574">
        <v>53.06</v>
      </c>
      <c r="M7574" s="74">
        <v>36110</v>
      </c>
      <c r="N7574" s="77">
        <v>0.83333333333333337</v>
      </c>
      <c r="P7574">
        <v>51.8</v>
      </c>
      <c r="S7574" s="74">
        <v>36841</v>
      </c>
      <c r="T7574" s="77">
        <v>0.83333333333333337</v>
      </c>
      <c r="V7574">
        <v>53.06</v>
      </c>
      <c r="X7574" s="42"/>
      <c r="AB7574">
        <v>49.3</v>
      </c>
      <c r="AC7574">
        <v>53.96</v>
      </c>
      <c r="AE7574" s="74"/>
      <c r="AF7574" s="77"/>
      <c r="AH7574" s="497">
        <v>33.799999999999997</v>
      </c>
      <c r="AJ7574" s="42"/>
      <c r="AK7574" s="74"/>
      <c r="AL7574" s="77"/>
      <c r="AN7574" s="497">
        <v>33.979999999999997</v>
      </c>
      <c r="AP7574" s="42"/>
      <c r="AQ7574" s="74"/>
      <c r="AR7574" s="77"/>
      <c r="AT7574" s="497">
        <v>39.200000000000003</v>
      </c>
      <c r="AV7574" s="42"/>
      <c r="AW7574" s="74"/>
      <c r="AX7574" s="77"/>
      <c r="BA7574" s="497">
        <v>28.04</v>
      </c>
      <c r="BB7574" s="42"/>
      <c r="BC7574" s="74"/>
      <c r="BD7574" s="77"/>
      <c r="BF7574">
        <v>37.04</v>
      </c>
      <c r="BH7574" s="42"/>
      <c r="BI7574" s="74"/>
      <c r="BJ7574" s="77"/>
      <c r="BL7574" s="497">
        <v>37.04</v>
      </c>
      <c r="BN7574" s="42"/>
      <c r="BO7574" s="74"/>
      <c r="BP7574" s="77"/>
      <c r="BR7574" s="497">
        <v>19.939999999999998</v>
      </c>
      <c r="BT7574" s="42"/>
    </row>
    <row r="7575" spans="1:72" x14ac:dyDescent="0.25">
      <c r="A7575" s="90">
        <v>36841</v>
      </c>
      <c r="B7575" s="20">
        <v>0.875</v>
      </c>
      <c r="D7575">
        <v>46.04</v>
      </c>
      <c r="E7575" t="str">
        <f t="shared" si="272"/>
        <v>SATURDAY</v>
      </c>
      <c r="F7575" t="e">
        <f t="shared" si="271"/>
        <v>#N/A</v>
      </c>
      <c r="G7575" s="74">
        <v>28805</v>
      </c>
      <c r="H7575" s="77">
        <v>0.875</v>
      </c>
      <c r="J7575">
        <v>53.96</v>
      </c>
      <c r="M7575" s="74">
        <v>36110</v>
      </c>
      <c r="N7575" s="77">
        <v>0.875</v>
      </c>
      <c r="P7575">
        <v>50</v>
      </c>
      <c r="S7575" s="74">
        <v>36841</v>
      </c>
      <c r="T7575" s="77">
        <v>0.875</v>
      </c>
      <c r="V7575">
        <v>51.980000000000004</v>
      </c>
      <c r="X7575" s="42"/>
      <c r="AB7575">
        <v>48.7</v>
      </c>
      <c r="AC7575">
        <v>53.96</v>
      </c>
      <c r="AE7575" s="74"/>
      <c r="AF7575" s="77"/>
      <c r="AH7575" s="497">
        <v>28.4</v>
      </c>
      <c r="AJ7575" s="42"/>
      <c r="AK7575" s="74"/>
      <c r="AL7575" s="77"/>
      <c r="AN7575" s="497">
        <v>32</v>
      </c>
      <c r="AP7575" s="42"/>
      <c r="AQ7575" s="74"/>
      <c r="AR7575" s="77"/>
      <c r="AT7575" s="497">
        <v>37.94</v>
      </c>
      <c r="AV7575" s="42"/>
      <c r="AW7575" s="74"/>
      <c r="AX7575" s="77"/>
      <c r="BA7575" s="497">
        <v>26.96</v>
      </c>
      <c r="BB7575" s="42"/>
      <c r="BC7575" s="74"/>
      <c r="BD7575" s="77"/>
      <c r="BF7575">
        <v>37.04</v>
      </c>
      <c r="BH7575" s="42"/>
      <c r="BI7575" s="74"/>
      <c r="BJ7575" s="77"/>
      <c r="BL7575" s="497">
        <v>37.04</v>
      </c>
      <c r="BN7575" s="42"/>
      <c r="BO7575" s="74"/>
      <c r="BP7575" s="77"/>
      <c r="BR7575" s="497">
        <v>21.02</v>
      </c>
      <c r="BT7575" s="42"/>
    </row>
    <row r="7576" spans="1:72" x14ac:dyDescent="0.25">
      <c r="A7576" s="90">
        <v>36841</v>
      </c>
      <c r="B7576" s="20">
        <v>0.91666666666666663</v>
      </c>
      <c r="D7576">
        <v>44.96</v>
      </c>
      <c r="E7576" t="str">
        <f t="shared" si="272"/>
        <v>SATURDAY</v>
      </c>
      <c r="F7576" t="e">
        <f t="shared" si="271"/>
        <v>#N/A</v>
      </c>
      <c r="G7576" s="74">
        <v>28805</v>
      </c>
      <c r="H7576" s="77">
        <v>0.91666666666666663</v>
      </c>
      <c r="J7576">
        <v>53.96</v>
      </c>
      <c r="M7576" s="74">
        <v>36110</v>
      </c>
      <c r="N7576" s="77">
        <v>0.91666666666666663</v>
      </c>
      <c r="P7576">
        <v>50</v>
      </c>
      <c r="S7576" s="74">
        <v>36841</v>
      </c>
      <c r="T7576" s="77">
        <v>0.91666666666666663</v>
      </c>
      <c r="V7576">
        <v>51.08</v>
      </c>
      <c r="X7576" s="42"/>
      <c r="AB7576">
        <v>48.1</v>
      </c>
      <c r="AC7576">
        <v>53.96</v>
      </c>
      <c r="AE7576" s="74"/>
      <c r="AF7576" s="77"/>
      <c r="AH7576" s="497">
        <v>24.8</v>
      </c>
      <c r="AJ7576" s="42"/>
      <c r="AK7576" s="74"/>
      <c r="AL7576" s="77"/>
      <c r="AN7576" s="497">
        <v>30.92</v>
      </c>
      <c r="AP7576" s="42"/>
      <c r="AQ7576" s="74"/>
      <c r="AR7576" s="77"/>
      <c r="AT7576" s="497">
        <v>35.96</v>
      </c>
      <c r="AV7576" s="42"/>
      <c r="AW7576" s="74"/>
      <c r="AX7576" s="77"/>
      <c r="BA7576" s="497">
        <v>24.98</v>
      </c>
      <c r="BB7576" s="42"/>
      <c r="BC7576" s="74"/>
      <c r="BD7576" s="77"/>
      <c r="BF7576">
        <v>35.96</v>
      </c>
      <c r="BH7576" s="42"/>
      <c r="BI7576" s="74"/>
      <c r="BJ7576" s="77"/>
      <c r="BL7576" s="497">
        <v>37.04</v>
      </c>
      <c r="BN7576" s="42"/>
      <c r="BO7576" s="74"/>
      <c r="BP7576" s="77"/>
      <c r="BR7576" s="497">
        <v>17.96</v>
      </c>
      <c r="BT7576" s="42"/>
    </row>
    <row r="7577" spans="1:72" x14ac:dyDescent="0.25">
      <c r="A7577" s="90">
        <v>36841</v>
      </c>
      <c r="B7577" s="20">
        <v>0.95833333333333337</v>
      </c>
      <c r="D7577">
        <v>44.06</v>
      </c>
      <c r="E7577" t="str">
        <f t="shared" si="272"/>
        <v>SATURDAY</v>
      </c>
      <c r="F7577" t="e">
        <f t="shared" si="271"/>
        <v>#N/A</v>
      </c>
      <c r="G7577" s="74">
        <v>28805</v>
      </c>
      <c r="H7577" s="77">
        <v>0.95833333333333337</v>
      </c>
      <c r="J7577">
        <v>53.06</v>
      </c>
      <c r="M7577" s="74">
        <v>36110</v>
      </c>
      <c r="N7577" s="77">
        <v>0.95833333333333337</v>
      </c>
      <c r="P7577">
        <v>48.2</v>
      </c>
      <c r="S7577" s="74">
        <v>36841</v>
      </c>
      <c r="T7577" s="77">
        <v>0.95833333333333337</v>
      </c>
      <c r="V7577">
        <v>50</v>
      </c>
      <c r="X7577" s="42"/>
      <c r="AB7577">
        <v>47.5</v>
      </c>
      <c r="AC7577">
        <v>55.040000000000006</v>
      </c>
      <c r="AE7577" s="74"/>
      <c r="AF7577" s="77"/>
      <c r="AH7577" s="497">
        <v>24.8</v>
      </c>
      <c r="AJ7577" s="42"/>
      <c r="AK7577" s="74"/>
      <c r="AL7577" s="77"/>
      <c r="AN7577" s="497">
        <v>30.92</v>
      </c>
      <c r="AP7577" s="42"/>
      <c r="AQ7577" s="74"/>
      <c r="AR7577" s="77"/>
      <c r="AT7577" s="497">
        <v>33.979999999999997</v>
      </c>
      <c r="AV7577" s="42"/>
      <c r="AW7577" s="74"/>
      <c r="AX7577" s="77"/>
      <c r="BA7577" s="497">
        <v>24.08</v>
      </c>
      <c r="BB7577" s="42"/>
      <c r="BC7577" s="74"/>
      <c r="BD7577" s="77"/>
      <c r="BF7577">
        <v>35.96</v>
      </c>
      <c r="BH7577" s="42"/>
      <c r="BI7577" s="74"/>
      <c r="BJ7577" s="77"/>
      <c r="BL7577" s="497">
        <v>35.96</v>
      </c>
      <c r="BN7577" s="42"/>
      <c r="BO7577" s="74"/>
      <c r="BP7577" s="77"/>
      <c r="BR7577" s="497">
        <v>17.96</v>
      </c>
      <c r="BT7577" s="42"/>
    </row>
    <row r="7578" spans="1:72" x14ac:dyDescent="0.25">
      <c r="A7578" s="90">
        <v>36841</v>
      </c>
      <c r="B7578" s="20">
        <v>1</v>
      </c>
      <c r="D7578">
        <v>42.980000000000004</v>
      </c>
      <c r="E7578" t="str">
        <f t="shared" si="272"/>
        <v>SATURDAY</v>
      </c>
      <c r="F7578" t="e">
        <f t="shared" si="271"/>
        <v>#N/A</v>
      </c>
      <c r="G7578" s="74">
        <v>28805</v>
      </c>
      <c r="H7578" s="77">
        <v>1</v>
      </c>
      <c r="J7578">
        <v>53.06</v>
      </c>
      <c r="M7578" s="74">
        <v>36110</v>
      </c>
      <c r="N7578" s="80">
        <v>1</v>
      </c>
      <c r="P7578">
        <v>46.4</v>
      </c>
      <c r="S7578" s="74">
        <v>36841</v>
      </c>
      <c r="T7578" s="80">
        <v>1</v>
      </c>
      <c r="V7578">
        <v>48.92</v>
      </c>
      <c r="X7578" s="42"/>
      <c r="AB7578">
        <v>46.9</v>
      </c>
      <c r="AC7578">
        <v>55.040000000000006</v>
      </c>
      <c r="AE7578" s="74"/>
      <c r="AF7578" s="80"/>
      <c r="AH7578" s="497">
        <v>21.2</v>
      </c>
      <c r="AJ7578" s="42"/>
      <c r="AK7578" s="74"/>
      <c r="AL7578" s="80"/>
      <c r="AN7578" s="497">
        <v>30.92</v>
      </c>
      <c r="AP7578" s="42"/>
      <c r="AQ7578" s="74"/>
      <c r="AR7578" s="80"/>
      <c r="AT7578" s="497">
        <v>33.08</v>
      </c>
      <c r="AV7578" s="42"/>
      <c r="AW7578" s="74"/>
      <c r="AX7578" s="80"/>
      <c r="BA7578" s="497">
        <v>23</v>
      </c>
      <c r="BB7578" s="42"/>
      <c r="BC7578" s="74"/>
      <c r="BD7578" s="80"/>
      <c r="BF7578">
        <v>35.96</v>
      </c>
      <c r="BH7578" s="42"/>
      <c r="BI7578" s="74"/>
      <c r="BJ7578" s="80"/>
      <c r="BL7578" s="497">
        <v>35.96</v>
      </c>
      <c r="BN7578" s="42"/>
      <c r="BO7578" s="74"/>
      <c r="BP7578" s="80"/>
      <c r="BR7578" s="497">
        <v>17.059999999999999</v>
      </c>
      <c r="BT7578" s="42"/>
    </row>
    <row r="7579" spans="1:72" x14ac:dyDescent="0.25">
      <c r="A7579" s="90">
        <v>36842</v>
      </c>
      <c r="B7579" s="20">
        <v>4.1666666666666664E-2</v>
      </c>
      <c r="D7579">
        <v>42.08</v>
      </c>
      <c r="E7579" t="str">
        <f t="shared" si="272"/>
        <v>SUNDAY</v>
      </c>
      <c r="F7579" t="e">
        <f t="shared" si="271"/>
        <v>#N/A</v>
      </c>
      <c r="G7579" s="74">
        <v>28806</v>
      </c>
      <c r="H7579" s="77">
        <v>4.1666666666666664E-2</v>
      </c>
      <c r="J7579">
        <v>51.08</v>
      </c>
      <c r="M7579" s="74">
        <v>36111</v>
      </c>
      <c r="N7579" s="77">
        <v>4.1666666666666664E-2</v>
      </c>
      <c r="P7579">
        <v>42.8</v>
      </c>
      <c r="S7579" s="74">
        <v>36842</v>
      </c>
      <c r="T7579" s="77">
        <v>4.1666666666666664E-2</v>
      </c>
      <c r="V7579">
        <v>48.019999999999996</v>
      </c>
      <c r="X7579" s="42"/>
      <c r="AB7579">
        <v>46.4</v>
      </c>
      <c r="AC7579">
        <v>53.96</v>
      </c>
      <c r="AE7579" s="74"/>
      <c r="AF7579" s="77"/>
      <c r="AH7579" s="497">
        <v>21.2</v>
      </c>
      <c r="AJ7579" s="42"/>
      <c r="AK7579" s="74"/>
      <c r="AL7579" s="77"/>
      <c r="AN7579" s="497">
        <v>32</v>
      </c>
      <c r="AP7579" s="42"/>
      <c r="AQ7579" s="74"/>
      <c r="AR7579" s="77"/>
      <c r="AT7579" s="497">
        <v>33.08</v>
      </c>
      <c r="AV7579" s="42"/>
      <c r="AW7579" s="74"/>
      <c r="AX7579" s="77"/>
      <c r="BA7579" s="497">
        <v>21.92</v>
      </c>
      <c r="BB7579" s="42"/>
      <c r="BC7579" s="74"/>
      <c r="BD7579" s="77"/>
      <c r="BF7579">
        <v>35.96</v>
      </c>
      <c r="BH7579" s="42"/>
      <c r="BI7579" s="74"/>
      <c r="BJ7579" s="77"/>
      <c r="BL7579" s="497">
        <v>35.96</v>
      </c>
      <c r="BN7579" s="42"/>
      <c r="BO7579" s="74"/>
      <c r="BP7579" s="77"/>
      <c r="BR7579" s="497">
        <v>15.98</v>
      </c>
      <c r="BT7579" s="42"/>
    </row>
    <row r="7580" spans="1:72" x14ac:dyDescent="0.25">
      <c r="A7580" s="90">
        <v>36842</v>
      </c>
      <c r="B7580" s="20">
        <v>8.3333333333333329E-2</v>
      </c>
      <c r="D7580">
        <v>42.08</v>
      </c>
      <c r="E7580" t="str">
        <f t="shared" si="272"/>
        <v>SUNDAY</v>
      </c>
      <c r="F7580" t="e">
        <f t="shared" si="271"/>
        <v>#N/A</v>
      </c>
      <c r="G7580" s="74">
        <v>28806</v>
      </c>
      <c r="H7580" s="77">
        <v>8.3333333333333329E-2</v>
      </c>
      <c r="J7580">
        <v>53.06</v>
      </c>
      <c r="M7580" s="74">
        <v>36111</v>
      </c>
      <c r="N7580" s="77">
        <v>8.3333333333333329E-2</v>
      </c>
      <c r="P7580">
        <v>39.200000000000003</v>
      </c>
      <c r="S7580" s="74">
        <v>36842</v>
      </c>
      <c r="T7580" s="77">
        <v>8.3333333333333329E-2</v>
      </c>
      <c r="V7580">
        <v>46.94</v>
      </c>
      <c r="X7580" s="42"/>
      <c r="AB7580">
        <v>45.8</v>
      </c>
      <c r="AC7580">
        <v>53.06</v>
      </c>
      <c r="AE7580" s="74"/>
      <c r="AF7580" s="77"/>
      <c r="AH7580" s="497">
        <v>21.2</v>
      </c>
      <c r="AJ7580" s="42"/>
      <c r="AK7580" s="74"/>
      <c r="AL7580" s="77"/>
      <c r="AN7580" s="497">
        <v>32</v>
      </c>
      <c r="AP7580" s="42"/>
      <c r="AQ7580" s="74"/>
      <c r="AR7580" s="77"/>
      <c r="AT7580" s="497">
        <v>33.08</v>
      </c>
      <c r="AV7580" s="42"/>
      <c r="AW7580" s="74"/>
      <c r="AX7580" s="77"/>
      <c r="BA7580" s="497">
        <v>21.92</v>
      </c>
      <c r="BB7580" s="42"/>
      <c r="BC7580" s="74"/>
      <c r="BD7580" s="77"/>
      <c r="BF7580">
        <v>35.96</v>
      </c>
      <c r="BH7580" s="42"/>
      <c r="BI7580" s="74"/>
      <c r="BJ7580" s="77"/>
      <c r="BL7580" s="497">
        <v>35.96</v>
      </c>
      <c r="BN7580" s="42"/>
      <c r="BO7580" s="74"/>
      <c r="BP7580" s="77"/>
      <c r="BR7580" s="497">
        <v>15.98</v>
      </c>
      <c r="BT7580" s="42"/>
    </row>
    <row r="7581" spans="1:72" x14ac:dyDescent="0.25">
      <c r="A7581" s="90">
        <v>36842</v>
      </c>
      <c r="B7581" s="20">
        <v>0.125</v>
      </c>
      <c r="D7581">
        <v>41</v>
      </c>
      <c r="E7581" t="str">
        <f t="shared" si="272"/>
        <v>SUNDAY</v>
      </c>
      <c r="F7581" t="e">
        <f t="shared" si="271"/>
        <v>#N/A</v>
      </c>
      <c r="G7581" s="74">
        <v>28806</v>
      </c>
      <c r="H7581" s="77">
        <v>0.125</v>
      </c>
      <c r="J7581">
        <v>51.980000000000004</v>
      </c>
      <c r="M7581" s="74">
        <v>36111</v>
      </c>
      <c r="N7581" s="77">
        <v>0.125</v>
      </c>
      <c r="P7581">
        <v>39.200000000000003</v>
      </c>
      <c r="S7581" s="74">
        <v>36842</v>
      </c>
      <c r="T7581" s="77">
        <v>0.125</v>
      </c>
      <c r="V7581">
        <v>46.94</v>
      </c>
      <c r="X7581" s="42"/>
      <c r="AB7581">
        <v>45.3</v>
      </c>
      <c r="AC7581">
        <v>51.980000000000004</v>
      </c>
      <c r="AE7581" s="74"/>
      <c r="AF7581" s="77"/>
      <c r="AH7581" s="497">
        <v>19.399999999999999</v>
      </c>
      <c r="AJ7581" s="42"/>
      <c r="AK7581" s="74"/>
      <c r="AL7581" s="77"/>
      <c r="AN7581" s="497">
        <v>32</v>
      </c>
      <c r="AP7581" s="42"/>
      <c r="AQ7581" s="74"/>
      <c r="AR7581" s="77"/>
      <c r="AT7581" s="497">
        <v>33.08</v>
      </c>
      <c r="AV7581" s="42"/>
      <c r="AW7581" s="74"/>
      <c r="AX7581" s="77"/>
      <c r="BA7581" s="497">
        <v>21.92</v>
      </c>
      <c r="BB7581" s="42"/>
      <c r="BC7581" s="74"/>
      <c r="BD7581" s="77"/>
      <c r="BF7581">
        <v>35.96</v>
      </c>
      <c r="BH7581" s="42"/>
      <c r="BI7581" s="74"/>
      <c r="BJ7581" s="77"/>
      <c r="BL7581" s="497">
        <v>35.06</v>
      </c>
      <c r="BN7581" s="42"/>
      <c r="BO7581" s="74"/>
      <c r="BP7581" s="77"/>
      <c r="BR7581" s="497">
        <v>15.98</v>
      </c>
      <c r="BT7581" s="42"/>
    </row>
    <row r="7582" spans="1:72" x14ac:dyDescent="0.25">
      <c r="A7582" s="90">
        <v>36842</v>
      </c>
      <c r="B7582" s="20">
        <v>0.16666666666666666</v>
      </c>
      <c r="D7582">
        <v>39.92</v>
      </c>
      <c r="E7582" t="str">
        <f t="shared" si="272"/>
        <v>SUNDAY</v>
      </c>
      <c r="F7582" t="e">
        <f t="shared" si="271"/>
        <v>#N/A</v>
      </c>
      <c r="G7582" s="74">
        <v>28806</v>
      </c>
      <c r="H7582" s="77">
        <v>0.16666666666666666</v>
      </c>
      <c r="J7582">
        <v>51.980000000000004</v>
      </c>
      <c r="M7582" s="74">
        <v>36111</v>
      </c>
      <c r="N7582" s="77">
        <v>0.16666666666666666</v>
      </c>
      <c r="P7582">
        <v>39.56</v>
      </c>
      <c r="S7582" s="74">
        <v>36842</v>
      </c>
      <c r="T7582" s="77">
        <v>0.16666666666666666</v>
      </c>
      <c r="V7582">
        <v>46.94</v>
      </c>
      <c r="X7582" s="42"/>
      <c r="AB7582">
        <v>44.9</v>
      </c>
      <c r="AC7582">
        <v>50</v>
      </c>
      <c r="AE7582" s="74"/>
      <c r="AF7582" s="77"/>
      <c r="AH7582" s="497">
        <v>30.2</v>
      </c>
      <c r="AJ7582" s="42"/>
      <c r="AK7582" s="74"/>
      <c r="AL7582" s="77"/>
      <c r="AN7582" s="497">
        <v>30.92</v>
      </c>
      <c r="AP7582" s="42"/>
      <c r="AQ7582" s="74"/>
      <c r="AR7582" s="77"/>
      <c r="AT7582" s="497">
        <v>32</v>
      </c>
      <c r="AV7582" s="42"/>
      <c r="AW7582" s="74"/>
      <c r="AX7582" s="77"/>
      <c r="BA7582" s="497">
        <v>24.98</v>
      </c>
      <c r="BB7582" s="42"/>
      <c r="BC7582" s="74"/>
      <c r="BD7582" s="77"/>
      <c r="BF7582">
        <v>35.06</v>
      </c>
      <c r="BH7582" s="42"/>
      <c r="BI7582" s="74"/>
      <c r="BJ7582" s="77"/>
      <c r="BL7582" s="497">
        <v>35.06</v>
      </c>
      <c r="BN7582" s="42"/>
      <c r="BO7582" s="74"/>
      <c r="BP7582" s="77"/>
      <c r="BR7582" s="497">
        <v>15.079999999999998</v>
      </c>
      <c r="BT7582" s="42"/>
    </row>
    <row r="7583" spans="1:72" x14ac:dyDescent="0.25">
      <c r="A7583" s="90">
        <v>36842</v>
      </c>
      <c r="B7583" s="20">
        <v>0.20833333333333334</v>
      </c>
      <c r="D7583">
        <v>37.94</v>
      </c>
      <c r="E7583" t="str">
        <f t="shared" si="272"/>
        <v>SUNDAY</v>
      </c>
      <c r="F7583" t="e">
        <f t="shared" si="271"/>
        <v>#N/A</v>
      </c>
      <c r="G7583" s="74">
        <v>28806</v>
      </c>
      <c r="H7583" s="77">
        <v>0.20833333333333334</v>
      </c>
      <c r="J7583">
        <v>51.980000000000004</v>
      </c>
      <c r="M7583" s="74">
        <v>36111</v>
      </c>
      <c r="N7583" s="77">
        <v>0.20833333333333334</v>
      </c>
      <c r="P7583">
        <v>40.1</v>
      </c>
      <c r="S7583" s="74">
        <v>36842</v>
      </c>
      <c r="T7583" s="77">
        <v>0.20833333333333334</v>
      </c>
      <c r="V7583">
        <v>48.019999999999996</v>
      </c>
      <c r="X7583" s="42"/>
      <c r="AB7583">
        <v>44.6</v>
      </c>
      <c r="AC7583">
        <v>50</v>
      </c>
      <c r="AE7583" s="74"/>
      <c r="AF7583" s="77"/>
      <c r="AH7583" s="497">
        <v>30.2</v>
      </c>
      <c r="AJ7583" s="42"/>
      <c r="AK7583" s="74"/>
      <c r="AL7583" s="77"/>
      <c r="AN7583" s="497">
        <v>30.92</v>
      </c>
      <c r="AP7583" s="42"/>
      <c r="AQ7583" s="74"/>
      <c r="AR7583" s="77"/>
      <c r="AT7583" s="497">
        <v>32</v>
      </c>
      <c r="AV7583" s="42"/>
      <c r="AW7583" s="74"/>
      <c r="AX7583" s="77"/>
      <c r="BA7583" s="497">
        <v>28.94</v>
      </c>
      <c r="BB7583" s="42"/>
      <c r="BC7583" s="74"/>
      <c r="BD7583" s="77"/>
      <c r="BF7583">
        <v>35.06</v>
      </c>
      <c r="BH7583" s="42"/>
      <c r="BI7583" s="74"/>
      <c r="BJ7583" s="77"/>
      <c r="BL7583" s="497">
        <v>35.96</v>
      </c>
      <c r="BN7583" s="42"/>
      <c r="BO7583" s="74"/>
      <c r="BP7583" s="77"/>
      <c r="BR7583" s="497">
        <v>15.98</v>
      </c>
      <c r="BT7583" s="42"/>
    </row>
    <row r="7584" spans="1:72" x14ac:dyDescent="0.25">
      <c r="A7584" s="90">
        <v>36842</v>
      </c>
      <c r="B7584" s="20">
        <v>0.25</v>
      </c>
      <c r="D7584">
        <v>37.94</v>
      </c>
      <c r="E7584" t="str">
        <f t="shared" si="272"/>
        <v>SUNDAY</v>
      </c>
      <c r="F7584" t="e">
        <f t="shared" si="271"/>
        <v>#N/A</v>
      </c>
      <c r="G7584" s="74">
        <v>28806</v>
      </c>
      <c r="H7584" s="77">
        <v>0.25</v>
      </c>
      <c r="J7584">
        <v>51.08</v>
      </c>
      <c r="M7584" s="74">
        <v>36111</v>
      </c>
      <c r="N7584" s="77">
        <v>0.25</v>
      </c>
      <c r="P7584">
        <v>41</v>
      </c>
      <c r="S7584" s="74">
        <v>36842</v>
      </c>
      <c r="T7584" s="77">
        <v>0.25</v>
      </c>
      <c r="V7584">
        <v>48.019999999999996</v>
      </c>
      <c r="X7584" s="42"/>
      <c r="AB7584">
        <v>44.2</v>
      </c>
      <c r="AC7584">
        <v>50</v>
      </c>
      <c r="AE7584" s="74"/>
      <c r="AF7584" s="77"/>
      <c r="AH7584" s="497">
        <v>21.2</v>
      </c>
      <c r="AJ7584" s="42"/>
      <c r="AK7584" s="74"/>
      <c r="AL7584" s="77"/>
      <c r="AN7584" s="497">
        <v>30.92</v>
      </c>
      <c r="AP7584" s="42"/>
      <c r="AQ7584" s="74"/>
      <c r="AR7584" s="77"/>
      <c r="AT7584" s="497">
        <v>32</v>
      </c>
      <c r="AV7584" s="42"/>
      <c r="AW7584" s="74"/>
      <c r="AX7584" s="77"/>
      <c r="BA7584" s="497">
        <v>30.92</v>
      </c>
      <c r="BB7584" s="42"/>
      <c r="BC7584" s="74"/>
      <c r="BD7584" s="77"/>
      <c r="BF7584">
        <v>35.06</v>
      </c>
      <c r="BH7584" s="42"/>
      <c r="BI7584" s="74"/>
      <c r="BJ7584" s="77"/>
      <c r="BL7584" s="497">
        <v>35.96</v>
      </c>
      <c r="BN7584" s="42"/>
      <c r="BO7584" s="74"/>
      <c r="BP7584" s="77"/>
      <c r="BR7584" s="497">
        <v>17.059999999999999</v>
      </c>
      <c r="BT7584" s="42"/>
    </row>
    <row r="7585" spans="1:72" x14ac:dyDescent="0.25">
      <c r="A7585" s="90">
        <v>36842</v>
      </c>
      <c r="B7585" s="20">
        <v>0.29166666666666669</v>
      </c>
      <c r="D7585">
        <v>37.94</v>
      </c>
      <c r="E7585" t="str">
        <f t="shared" si="272"/>
        <v>SUNDAY</v>
      </c>
      <c r="F7585" t="e">
        <f t="shared" si="271"/>
        <v>#N/A</v>
      </c>
      <c r="G7585" s="74">
        <v>28806</v>
      </c>
      <c r="H7585" s="77">
        <v>0.29166666666666669</v>
      </c>
      <c r="J7585">
        <v>50</v>
      </c>
      <c r="M7585" s="74">
        <v>36111</v>
      </c>
      <c r="N7585" s="77">
        <v>0.29166666666666669</v>
      </c>
      <c r="P7585">
        <v>41</v>
      </c>
      <c r="S7585" s="74">
        <v>36842</v>
      </c>
      <c r="T7585" s="77">
        <v>0.29166666666666669</v>
      </c>
      <c r="V7585">
        <v>48.019999999999996</v>
      </c>
      <c r="X7585" s="42"/>
      <c r="AB7585">
        <v>44.1</v>
      </c>
      <c r="AC7585">
        <v>51.08</v>
      </c>
      <c r="AE7585" s="74"/>
      <c r="AF7585" s="77"/>
      <c r="AH7585" s="497">
        <v>24.8</v>
      </c>
      <c r="AJ7585" s="42"/>
      <c r="AK7585" s="74"/>
      <c r="AL7585" s="77"/>
      <c r="AN7585" s="497">
        <v>30.02</v>
      </c>
      <c r="AP7585" s="42"/>
      <c r="AQ7585" s="74"/>
      <c r="AR7585" s="77"/>
      <c r="AT7585" s="497">
        <v>30.92</v>
      </c>
      <c r="AV7585" s="42"/>
      <c r="AW7585" s="74"/>
      <c r="AX7585" s="77"/>
      <c r="BA7585" s="497">
        <v>32</v>
      </c>
      <c r="BB7585" s="42"/>
      <c r="BC7585" s="74"/>
      <c r="BD7585" s="77"/>
      <c r="BF7585">
        <v>33.979999999999997</v>
      </c>
      <c r="BH7585" s="42"/>
      <c r="BI7585" s="74"/>
      <c r="BJ7585" s="77"/>
      <c r="BL7585" s="497">
        <v>35.06</v>
      </c>
      <c r="BN7585" s="42"/>
      <c r="BO7585" s="74"/>
      <c r="BP7585" s="77"/>
      <c r="BR7585" s="497">
        <v>17.059999999999999</v>
      </c>
      <c r="BT7585" s="42"/>
    </row>
    <row r="7586" spans="1:72" x14ac:dyDescent="0.25">
      <c r="A7586" s="90">
        <v>36842</v>
      </c>
      <c r="B7586" s="20">
        <v>0.33333333333333331</v>
      </c>
      <c r="D7586">
        <v>39.92</v>
      </c>
      <c r="E7586" t="str">
        <f t="shared" si="272"/>
        <v>SUNDAY</v>
      </c>
      <c r="F7586" t="e">
        <f t="shared" si="271"/>
        <v>#N/A</v>
      </c>
      <c r="G7586" s="74">
        <v>28806</v>
      </c>
      <c r="H7586" s="77">
        <v>0.33333333333333331</v>
      </c>
      <c r="J7586">
        <v>51.08</v>
      </c>
      <c r="M7586" s="74">
        <v>36111</v>
      </c>
      <c r="N7586" s="77">
        <v>0.33333333333333331</v>
      </c>
      <c r="P7586">
        <v>42.8</v>
      </c>
      <c r="S7586" s="74">
        <v>36842</v>
      </c>
      <c r="T7586" s="77">
        <v>0.33333333333333331</v>
      </c>
      <c r="V7586">
        <v>48.019999999999996</v>
      </c>
      <c r="X7586" s="42"/>
      <c r="AB7586">
        <v>44.2</v>
      </c>
      <c r="AC7586">
        <v>51.980000000000004</v>
      </c>
      <c r="AE7586" s="74"/>
      <c r="AF7586" s="77"/>
      <c r="AH7586" s="497">
        <v>35.6</v>
      </c>
      <c r="AJ7586" s="42"/>
      <c r="AK7586" s="74"/>
      <c r="AL7586" s="77"/>
      <c r="AN7586" s="497">
        <v>30.02</v>
      </c>
      <c r="AP7586" s="42"/>
      <c r="AQ7586" s="74"/>
      <c r="AR7586" s="77"/>
      <c r="AT7586" s="497">
        <v>30.92</v>
      </c>
      <c r="AV7586" s="42"/>
      <c r="AW7586" s="74"/>
      <c r="AX7586" s="77"/>
      <c r="BA7586" s="497">
        <v>33.979999999999997</v>
      </c>
      <c r="BB7586" s="42"/>
      <c r="BC7586" s="74"/>
      <c r="BD7586" s="77"/>
      <c r="BF7586">
        <v>33.08</v>
      </c>
      <c r="BH7586" s="42"/>
      <c r="BI7586" s="74"/>
      <c r="BJ7586" s="77"/>
      <c r="BL7586" s="497">
        <v>35.06</v>
      </c>
      <c r="BN7586" s="42"/>
      <c r="BO7586" s="74"/>
      <c r="BP7586" s="77"/>
      <c r="BR7586" s="497">
        <v>17.059999999999999</v>
      </c>
      <c r="BT7586" s="42"/>
    </row>
    <row r="7587" spans="1:72" x14ac:dyDescent="0.25">
      <c r="A7587" s="90">
        <v>36842</v>
      </c>
      <c r="B7587" s="20">
        <v>0.375</v>
      </c>
      <c r="D7587">
        <v>42.980000000000004</v>
      </c>
      <c r="E7587" t="str">
        <f t="shared" si="272"/>
        <v>SUNDAY</v>
      </c>
      <c r="F7587" t="e">
        <f t="shared" si="271"/>
        <v>#N/A</v>
      </c>
      <c r="G7587" s="74">
        <v>28806</v>
      </c>
      <c r="H7587" s="77">
        <v>0.375</v>
      </c>
      <c r="J7587">
        <v>51.08</v>
      </c>
      <c r="M7587" s="74">
        <v>36111</v>
      </c>
      <c r="N7587" s="77">
        <v>0.375</v>
      </c>
      <c r="P7587">
        <v>46.4</v>
      </c>
      <c r="S7587" s="74">
        <v>36842</v>
      </c>
      <c r="T7587" s="77">
        <v>0.375</v>
      </c>
      <c r="V7587">
        <v>48.019999999999996</v>
      </c>
      <c r="X7587" s="42"/>
      <c r="AB7587">
        <v>45.9</v>
      </c>
      <c r="AC7587">
        <v>53.06</v>
      </c>
      <c r="AE7587" s="74"/>
      <c r="AF7587" s="77"/>
      <c r="AH7587" s="497">
        <v>37.4</v>
      </c>
      <c r="AJ7587" s="42"/>
      <c r="AK7587" s="74"/>
      <c r="AL7587" s="77"/>
      <c r="AN7587" s="497">
        <v>30.92</v>
      </c>
      <c r="AP7587" s="42"/>
      <c r="AQ7587" s="74"/>
      <c r="AR7587" s="77"/>
      <c r="AT7587" s="497">
        <v>30.02</v>
      </c>
      <c r="AV7587" s="42"/>
      <c r="AW7587" s="74"/>
      <c r="AX7587" s="77"/>
      <c r="BA7587" s="497">
        <v>35.06</v>
      </c>
      <c r="BB7587" s="42"/>
      <c r="BC7587" s="74"/>
      <c r="BD7587" s="77"/>
      <c r="BF7587">
        <v>35.96</v>
      </c>
      <c r="BH7587" s="42"/>
      <c r="BI7587" s="74"/>
      <c r="BJ7587" s="77"/>
      <c r="BL7587" s="497">
        <v>37.04</v>
      </c>
      <c r="BN7587" s="42"/>
      <c r="BO7587" s="74"/>
      <c r="BP7587" s="77"/>
      <c r="BR7587" s="497">
        <v>23</v>
      </c>
      <c r="BT7587" s="42"/>
    </row>
    <row r="7588" spans="1:72" x14ac:dyDescent="0.25">
      <c r="A7588" s="90">
        <v>36842</v>
      </c>
      <c r="B7588" s="20">
        <v>0.41666666666666669</v>
      </c>
      <c r="D7588">
        <v>44.06</v>
      </c>
      <c r="E7588" t="str">
        <f t="shared" si="272"/>
        <v>SUNDAY</v>
      </c>
      <c r="F7588" t="e">
        <f t="shared" si="271"/>
        <v>#N/A</v>
      </c>
      <c r="G7588" s="74">
        <v>28806</v>
      </c>
      <c r="H7588" s="77">
        <v>0.41666666666666669</v>
      </c>
      <c r="J7588">
        <v>51.980000000000004</v>
      </c>
      <c r="M7588" s="74">
        <v>36111</v>
      </c>
      <c r="N7588" s="77">
        <v>0.41666666666666669</v>
      </c>
      <c r="P7588">
        <v>48.2</v>
      </c>
      <c r="S7588" s="74">
        <v>36842</v>
      </c>
      <c r="T7588" s="77">
        <v>0.41666666666666669</v>
      </c>
      <c r="V7588">
        <v>48.019999999999996</v>
      </c>
      <c r="X7588" s="42"/>
      <c r="AB7588">
        <v>47.9</v>
      </c>
      <c r="AC7588">
        <v>53.06</v>
      </c>
      <c r="AE7588" s="74"/>
      <c r="AF7588" s="77"/>
      <c r="AH7588" s="497">
        <v>39.200000000000003</v>
      </c>
      <c r="AJ7588" s="42"/>
      <c r="AK7588" s="74"/>
      <c r="AL7588" s="77"/>
      <c r="AN7588" s="497">
        <v>33.08</v>
      </c>
      <c r="AP7588" s="42"/>
      <c r="AQ7588" s="74"/>
      <c r="AR7588" s="77"/>
      <c r="AT7588" s="497">
        <v>28.94</v>
      </c>
      <c r="AV7588" s="42"/>
      <c r="AW7588" s="74"/>
      <c r="AX7588" s="77"/>
      <c r="BA7588" s="497">
        <v>35.06</v>
      </c>
      <c r="BB7588" s="42"/>
      <c r="BC7588" s="74"/>
      <c r="BD7588" s="77"/>
      <c r="BF7588">
        <v>37.04</v>
      </c>
      <c r="BH7588" s="42"/>
      <c r="BI7588" s="74"/>
      <c r="BJ7588" s="77"/>
      <c r="BL7588" s="497">
        <v>37.04</v>
      </c>
      <c r="BN7588" s="42"/>
      <c r="BO7588" s="74"/>
      <c r="BP7588" s="77"/>
      <c r="BR7588" s="497">
        <v>26.96</v>
      </c>
      <c r="BT7588" s="42"/>
    </row>
    <row r="7589" spans="1:72" x14ac:dyDescent="0.25">
      <c r="A7589" s="90">
        <v>36842</v>
      </c>
      <c r="B7589" s="20">
        <v>0.45833333333333331</v>
      </c>
      <c r="D7589">
        <v>48.019999999999996</v>
      </c>
      <c r="E7589" t="str">
        <f t="shared" si="272"/>
        <v>SUNDAY</v>
      </c>
      <c r="F7589" t="e">
        <f t="shared" si="271"/>
        <v>#N/A</v>
      </c>
      <c r="G7589" s="74">
        <v>28806</v>
      </c>
      <c r="H7589" s="77">
        <v>0.45833333333333331</v>
      </c>
      <c r="J7589">
        <v>50</v>
      </c>
      <c r="M7589" s="74">
        <v>36111</v>
      </c>
      <c r="N7589" s="77">
        <v>0.45833333333333331</v>
      </c>
      <c r="P7589">
        <v>48.2</v>
      </c>
      <c r="S7589" s="74">
        <v>36842</v>
      </c>
      <c r="T7589" s="77">
        <v>0.45833333333333331</v>
      </c>
      <c r="V7589">
        <v>48.92</v>
      </c>
      <c r="X7589" s="42"/>
      <c r="AB7589">
        <v>49.5</v>
      </c>
      <c r="AC7589">
        <v>53.6</v>
      </c>
      <c r="AE7589" s="74"/>
      <c r="AF7589" s="77"/>
      <c r="AH7589" s="497">
        <v>42.8</v>
      </c>
      <c r="AJ7589" s="42"/>
      <c r="AK7589" s="74"/>
      <c r="AL7589" s="77"/>
      <c r="AN7589" s="497">
        <v>35.96</v>
      </c>
      <c r="AP7589" s="42"/>
      <c r="AQ7589" s="74"/>
      <c r="AR7589" s="77"/>
      <c r="AT7589" s="497">
        <v>28.04</v>
      </c>
      <c r="AV7589" s="42"/>
      <c r="AW7589" s="74"/>
      <c r="AX7589" s="77"/>
      <c r="BA7589" s="497">
        <v>37.04</v>
      </c>
      <c r="BB7589" s="42"/>
      <c r="BC7589" s="74"/>
      <c r="BD7589" s="77"/>
      <c r="BF7589">
        <v>39.019999999999996</v>
      </c>
      <c r="BH7589" s="42"/>
      <c r="BI7589" s="74"/>
      <c r="BJ7589" s="77"/>
      <c r="BL7589" s="497">
        <v>39.019999999999996</v>
      </c>
      <c r="BN7589" s="42"/>
      <c r="BO7589" s="74"/>
      <c r="BP7589" s="77"/>
      <c r="BR7589" s="497">
        <v>30.02</v>
      </c>
      <c r="BT7589" s="42"/>
    </row>
    <row r="7590" spans="1:72" x14ac:dyDescent="0.25">
      <c r="A7590" s="90">
        <v>36842</v>
      </c>
      <c r="B7590" s="20">
        <v>0.5</v>
      </c>
      <c r="D7590">
        <v>44.06</v>
      </c>
      <c r="E7590" t="str">
        <f t="shared" si="272"/>
        <v>SUNDAY</v>
      </c>
      <c r="F7590" t="e">
        <f t="shared" si="271"/>
        <v>#N/A</v>
      </c>
      <c r="G7590" s="74">
        <v>28806</v>
      </c>
      <c r="H7590" s="77">
        <v>0.5</v>
      </c>
      <c r="J7590">
        <v>50</v>
      </c>
      <c r="M7590" s="74">
        <v>36111</v>
      </c>
      <c r="N7590" s="77">
        <v>0.5</v>
      </c>
      <c r="P7590">
        <v>48.2</v>
      </c>
      <c r="S7590" s="74">
        <v>36842</v>
      </c>
      <c r="T7590" s="77">
        <v>0.5</v>
      </c>
      <c r="V7590">
        <v>50</v>
      </c>
      <c r="X7590" s="42"/>
      <c r="AB7590">
        <v>50.9</v>
      </c>
      <c r="AC7590">
        <v>53.96</v>
      </c>
      <c r="AE7590" s="74"/>
      <c r="AF7590" s="77"/>
      <c r="AH7590" s="497">
        <v>46.4</v>
      </c>
      <c r="AJ7590" s="42"/>
      <c r="AK7590" s="74"/>
      <c r="AL7590" s="77"/>
      <c r="AN7590" s="497">
        <v>37.94</v>
      </c>
      <c r="AP7590" s="42"/>
      <c r="AQ7590" s="74"/>
      <c r="AR7590" s="77"/>
      <c r="AT7590" s="497">
        <v>28.4</v>
      </c>
      <c r="AV7590" s="42"/>
      <c r="AW7590" s="74"/>
      <c r="AX7590" s="77"/>
      <c r="BA7590" s="497">
        <v>37.04</v>
      </c>
      <c r="BB7590" s="42"/>
      <c r="BC7590" s="74"/>
      <c r="BD7590" s="77"/>
      <c r="BF7590">
        <v>41</v>
      </c>
      <c r="BH7590" s="42"/>
      <c r="BI7590" s="74"/>
      <c r="BJ7590" s="77"/>
      <c r="BL7590" s="497">
        <v>39.92</v>
      </c>
      <c r="BN7590" s="42"/>
      <c r="BO7590" s="74"/>
      <c r="BP7590" s="77"/>
      <c r="BR7590" s="497">
        <v>33.979999999999997</v>
      </c>
      <c r="BT7590" s="42"/>
    </row>
    <row r="7591" spans="1:72" x14ac:dyDescent="0.25">
      <c r="A7591" s="90">
        <v>36842</v>
      </c>
      <c r="B7591" s="20">
        <v>0.54166666666666663</v>
      </c>
      <c r="D7591">
        <v>51.08</v>
      </c>
      <c r="E7591" t="str">
        <f t="shared" si="272"/>
        <v>SUNDAY</v>
      </c>
      <c r="F7591" t="e">
        <f t="shared" si="271"/>
        <v>#N/A</v>
      </c>
      <c r="G7591" s="74">
        <v>28806</v>
      </c>
      <c r="H7591" s="77">
        <v>0.54166666666666663</v>
      </c>
      <c r="J7591">
        <v>48.019999999999996</v>
      </c>
      <c r="M7591" s="74">
        <v>36111</v>
      </c>
      <c r="N7591" s="77">
        <v>0.54166666666666663</v>
      </c>
      <c r="P7591">
        <v>50</v>
      </c>
      <c r="S7591" s="74">
        <v>36842</v>
      </c>
      <c r="T7591" s="77">
        <v>0.54166666666666663</v>
      </c>
      <c r="V7591">
        <v>51.08</v>
      </c>
      <c r="X7591" s="42"/>
      <c r="AB7591">
        <v>51.9</v>
      </c>
      <c r="AC7591">
        <v>55.040000000000006</v>
      </c>
      <c r="AE7591" s="74"/>
      <c r="AF7591" s="77"/>
      <c r="AH7591" s="497">
        <v>44.6</v>
      </c>
      <c r="AJ7591" s="42"/>
      <c r="AK7591" s="74"/>
      <c r="AL7591" s="77"/>
      <c r="AN7591" s="497">
        <v>39.92</v>
      </c>
      <c r="AP7591" s="42"/>
      <c r="AQ7591" s="74"/>
      <c r="AR7591" s="77"/>
      <c r="AT7591" s="497">
        <v>30.02</v>
      </c>
      <c r="AV7591" s="42"/>
      <c r="AW7591" s="74"/>
      <c r="AX7591" s="77"/>
      <c r="BA7591" s="497">
        <v>37.94</v>
      </c>
      <c r="BB7591" s="42"/>
      <c r="BC7591" s="74"/>
      <c r="BD7591" s="77"/>
      <c r="BF7591">
        <v>44.06</v>
      </c>
      <c r="BH7591" s="42"/>
      <c r="BI7591" s="74"/>
      <c r="BJ7591" s="77"/>
      <c r="BL7591" s="497">
        <v>41</v>
      </c>
      <c r="BN7591" s="42"/>
      <c r="BO7591" s="74"/>
      <c r="BP7591" s="77"/>
      <c r="BR7591" s="497">
        <v>35.96</v>
      </c>
      <c r="BT7591" s="42"/>
    </row>
    <row r="7592" spans="1:72" x14ac:dyDescent="0.25">
      <c r="A7592" s="90">
        <v>36842</v>
      </c>
      <c r="B7592" s="20">
        <v>0.58333333333333337</v>
      </c>
      <c r="D7592">
        <v>51.980000000000004</v>
      </c>
      <c r="E7592" t="str">
        <f t="shared" si="272"/>
        <v>SUNDAY</v>
      </c>
      <c r="F7592" t="e">
        <f t="shared" si="271"/>
        <v>#N/A</v>
      </c>
      <c r="G7592" s="74">
        <v>28806</v>
      </c>
      <c r="H7592" s="77">
        <v>0.58333333333333337</v>
      </c>
      <c r="J7592">
        <v>48.019999999999996</v>
      </c>
      <c r="M7592" s="74">
        <v>36111</v>
      </c>
      <c r="N7592" s="77">
        <v>0.58333333333333337</v>
      </c>
      <c r="P7592">
        <v>50</v>
      </c>
      <c r="S7592" s="74">
        <v>36842</v>
      </c>
      <c r="T7592" s="77">
        <v>0.58333333333333337</v>
      </c>
      <c r="V7592">
        <v>51.980000000000004</v>
      </c>
      <c r="X7592" s="42"/>
      <c r="AB7592">
        <v>52.5</v>
      </c>
      <c r="AC7592">
        <v>55.040000000000006</v>
      </c>
      <c r="AE7592" s="74"/>
      <c r="AF7592" s="77"/>
      <c r="AH7592" s="497">
        <v>46.4</v>
      </c>
      <c r="AJ7592" s="42"/>
      <c r="AK7592" s="74"/>
      <c r="AL7592" s="77"/>
      <c r="AN7592" s="497">
        <v>42.08</v>
      </c>
      <c r="AP7592" s="42"/>
      <c r="AQ7592" s="74"/>
      <c r="AR7592" s="77"/>
      <c r="AT7592" s="497">
        <v>30.92</v>
      </c>
      <c r="AV7592" s="42"/>
      <c r="AW7592" s="74"/>
      <c r="AX7592" s="77"/>
      <c r="BA7592" s="497">
        <v>39.019999999999996</v>
      </c>
      <c r="BB7592" s="42"/>
      <c r="BC7592" s="74"/>
      <c r="BD7592" s="77"/>
      <c r="BF7592">
        <v>46.94</v>
      </c>
      <c r="BH7592" s="42"/>
      <c r="BI7592" s="74"/>
      <c r="BJ7592" s="77"/>
      <c r="BL7592" s="497">
        <v>42.08</v>
      </c>
      <c r="BN7592" s="42"/>
      <c r="BO7592" s="74"/>
      <c r="BP7592" s="77"/>
      <c r="BR7592" s="497">
        <v>37.04</v>
      </c>
      <c r="BT7592" s="42"/>
    </row>
    <row r="7593" spans="1:72" x14ac:dyDescent="0.25">
      <c r="A7593" s="90">
        <v>36842</v>
      </c>
      <c r="B7593" s="20">
        <v>0.625</v>
      </c>
      <c r="D7593">
        <v>51.980000000000004</v>
      </c>
      <c r="E7593" t="str">
        <f t="shared" si="272"/>
        <v>SUNDAY</v>
      </c>
      <c r="F7593" t="e">
        <f t="shared" si="271"/>
        <v>#N/A</v>
      </c>
      <c r="G7593" s="74">
        <v>28806</v>
      </c>
      <c r="H7593" s="77">
        <v>0.625</v>
      </c>
      <c r="J7593">
        <v>48.92</v>
      </c>
      <c r="M7593" s="74">
        <v>36111</v>
      </c>
      <c r="N7593" s="77">
        <v>0.625</v>
      </c>
      <c r="P7593">
        <v>51.8</v>
      </c>
      <c r="S7593" s="74">
        <v>36842</v>
      </c>
      <c r="T7593" s="77">
        <v>0.625</v>
      </c>
      <c r="V7593">
        <v>51.980000000000004</v>
      </c>
      <c r="X7593" s="42"/>
      <c r="AB7593">
        <v>52.8</v>
      </c>
      <c r="AC7593">
        <v>55.94</v>
      </c>
      <c r="AE7593" s="74"/>
      <c r="AF7593" s="77"/>
      <c r="AH7593" s="497">
        <v>46.4</v>
      </c>
      <c r="AJ7593" s="42"/>
      <c r="AK7593" s="74"/>
      <c r="AL7593" s="77"/>
      <c r="AN7593" s="497">
        <v>44.06</v>
      </c>
      <c r="AP7593" s="42"/>
      <c r="AQ7593" s="74"/>
      <c r="AR7593" s="77"/>
      <c r="AT7593" s="497">
        <v>30.92</v>
      </c>
      <c r="AV7593" s="42"/>
      <c r="AW7593" s="74"/>
      <c r="AX7593" s="77"/>
      <c r="BA7593" s="497">
        <v>39.019999999999996</v>
      </c>
      <c r="BB7593" s="42"/>
      <c r="BC7593" s="74"/>
      <c r="BD7593" s="77"/>
      <c r="BF7593">
        <v>48.92</v>
      </c>
      <c r="BH7593" s="42"/>
      <c r="BI7593" s="74"/>
      <c r="BJ7593" s="77"/>
      <c r="BL7593" s="497">
        <v>42.980000000000004</v>
      </c>
      <c r="BN7593" s="42"/>
      <c r="BO7593" s="74"/>
      <c r="BP7593" s="77"/>
      <c r="BR7593" s="497">
        <v>37.04</v>
      </c>
      <c r="BT7593" s="42"/>
    </row>
    <row r="7594" spans="1:72" x14ac:dyDescent="0.25">
      <c r="A7594" s="90">
        <v>36842</v>
      </c>
      <c r="B7594" s="20">
        <v>0.66666666666666663</v>
      </c>
      <c r="D7594">
        <v>51.08</v>
      </c>
      <c r="E7594" t="str">
        <f t="shared" si="272"/>
        <v>SUNDAY</v>
      </c>
      <c r="F7594" t="e">
        <f t="shared" si="271"/>
        <v>#N/A</v>
      </c>
      <c r="G7594" s="74">
        <v>28806</v>
      </c>
      <c r="H7594" s="77">
        <v>0.66666666666666663</v>
      </c>
      <c r="J7594">
        <v>48.019999999999996</v>
      </c>
      <c r="M7594" s="74">
        <v>36111</v>
      </c>
      <c r="N7594" s="77">
        <v>0.66666666666666663</v>
      </c>
      <c r="P7594">
        <v>50</v>
      </c>
      <c r="S7594" s="74">
        <v>36842</v>
      </c>
      <c r="T7594" s="77">
        <v>0.66666666666666663</v>
      </c>
      <c r="V7594">
        <v>51.980000000000004</v>
      </c>
      <c r="X7594" s="42"/>
      <c r="AB7594">
        <v>52.4</v>
      </c>
      <c r="AC7594">
        <v>55.040000000000006</v>
      </c>
      <c r="AE7594" s="74"/>
      <c r="AF7594" s="77"/>
      <c r="AH7594" s="497">
        <v>44.6</v>
      </c>
      <c r="AJ7594" s="42"/>
      <c r="AK7594" s="74"/>
      <c r="AL7594" s="77"/>
      <c r="AN7594" s="497">
        <v>42.980000000000004</v>
      </c>
      <c r="AP7594" s="42"/>
      <c r="AQ7594" s="74"/>
      <c r="AR7594" s="77"/>
      <c r="AT7594" s="497">
        <v>32</v>
      </c>
      <c r="AV7594" s="42"/>
      <c r="AW7594" s="74"/>
      <c r="AX7594" s="77"/>
      <c r="BA7594" s="497">
        <v>39.019999999999996</v>
      </c>
      <c r="BB7594" s="42"/>
      <c r="BC7594" s="74"/>
      <c r="BD7594" s="77"/>
      <c r="BF7594">
        <v>48.019999999999996</v>
      </c>
      <c r="BH7594" s="42"/>
      <c r="BI7594" s="74"/>
      <c r="BJ7594" s="77"/>
      <c r="BL7594" s="497">
        <v>42.980000000000004</v>
      </c>
      <c r="BN7594" s="42"/>
      <c r="BO7594" s="74"/>
      <c r="BP7594" s="77"/>
      <c r="BR7594" s="497">
        <v>35.96</v>
      </c>
      <c r="BT7594" s="42"/>
    </row>
    <row r="7595" spans="1:72" x14ac:dyDescent="0.25">
      <c r="A7595" s="90">
        <v>36842</v>
      </c>
      <c r="B7595" s="20">
        <v>0.70833333333333337</v>
      </c>
      <c r="D7595">
        <v>51.08</v>
      </c>
      <c r="E7595" t="str">
        <f t="shared" si="272"/>
        <v>SUNDAY</v>
      </c>
      <c r="F7595" t="e">
        <f t="shared" ref="F7595:F7658" si="273">IF(E7595="WEEKDAY",VLOOKUP(B7595,$DD$19:$DG$42,2),IF(E7595="SATURDAY",VLOOKUP(B7595,$DD$19:$DG$42,3),VLOOKUP(B7595,$DD$19:$DG$42,4)))</f>
        <v>#N/A</v>
      </c>
      <c r="G7595" s="74">
        <v>28806</v>
      </c>
      <c r="H7595" s="77">
        <v>0.70833333333333337</v>
      </c>
      <c r="J7595">
        <v>48.019999999999996</v>
      </c>
      <c r="M7595" s="74">
        <v>36111</v>
      </c>
      <c r="N7595" s="77">
        <v>0.70833333333333337</v>
      </c>
      <c r="P7595">
        <v>46.4</v>
      </c>
      <c r="S7595" s="74">
        <v>36842</v>
      </c>
      <c r="T7595" s="77">
        <v>0.70833333333333337</v>
      </c>
      <c r="V7595">
        <v>50</v>
      </c>
      <c r="X7595" s="42"/>
      <c r="AB7595">
        <v>51.4</v>
      </c>
      <c r="AC7595">
        <v>53.06</v>
      </c>
      <c r="AE7595" s="74"/>
      <c r="AF7595" s="77"/>
      <c r="AH7595" s="497">
        <v>39.200000000000003</v>
      </c>
      <c r="AJ7595" s="42"/>
      <c r="AK7595" s="74"/>
      <c r="AL7595" s="77"/>
      <c r="AN7595" s="497">
        <v>39.019999999999996</v>
      </c>
      <c r="AP7595" s="42"/>
      <c r="AQ7595" s="74"/>
      <c r="AR7595" s="77"/>
      <c r="AT7595" s="497">
        <v>32</v>
      </c>
      <c r="AV7595" s="42"/>
      <c r="AW7595" s="74"/>
      <c r="AX7595" s="77"/>
      <c r="BA7595" s="497">
        <v>39.92</v>
      </c>
      <c r="BB7595" s="42"/>
      <c r="BC7595" s="74"/>
      <c r="BD7595" s="77"/>
      <c r="BF7595">
        <v>44.96</v>
      </c>
      <c r="BH7595" s="42"/>
      <c r="BI7595" s="74"/>
      <c r="BJ7595" s="77"/>
      <c r="BL7595" s="497">
        <v>42.08</v>
      </c>
      <c r="BN7595" s="42"/>
      <c r="BO7595" s="74"/>
      <c r="BP7595" s="77"/>
      <c r="BR7595" s="497">
        <v>35.96</v>
      </c>
      <c r="BT7595" s="42"/>
    </row>
    <row r="7596" spans="1:72" x14ac:dyDescent="0.25">
      <c r="A7596" s="90">
        <v>36842</v>
      </c>
      <c r="B7596" s="20">
        <v>0.75</v>
      </c>
      <c r="D7596">
        <v>50</v>
      </c>
      <c r="E7596" t="str">
        <f t="shared" si="272"/>
        <v>SUNDAY</v>
      </c>
      <c r="F7596" t="e">
        <f t="shared" si="273"/>
        <v>#N/A</v>
      </c>
      <c r="G7596" s="74">
        <v>28806</v>
      </c>
      <c r="H7596" s="77">
        <v>0.75</v>
      </c>
      <c r="J7596">
        <v>48.019999999999996</v>
      </c>
      <c r="M7596" s="74">
        <v>36111</v>
      </c>
      <c r="N7596" s="77">
        <v>0.75</v>
      </c>
      <c r="P7596">
        <v>46.4</v>
      </c>
      <c r="S7596" s="74">
        <v>36842</v>
      </c>
      <c r="T7596" s="77">
        <v>0.75</v>
      </c>
      <c r="V7596">
        <v>48.019999999999996</v>
      </c>
      <c r="X7596" s="42"/>
      <c r="AB7596">
        <v>50</v>
      </c>
      <c r="AC7596">
        <v>48.92</v>
      </c>
      <c r="AE7596" s="74"/>
      <c r="AF7596" s="77"/>
      <c r="AH7596" s="497">
        <v>35.6</v>
      </c>
      <c r="AJ7596" s="42"/>
      <c r="AK7596" s="74"/>
      <c r="AL7596" s="77"/>
      <c r="AN7596" s="497">
        <v>37.94</v>
      </c>
      <c r="AP7596" s="42"/>
      <c r="AQ7596" s="74"/>
      <c r="AR7596" s="77"/>
      <c r="AT7596" s="497">
        <v>32</v>
      </c>
      <c r="AV7596" s="42"/>
      <c r="AW7596" s="74"/>
      <c r="AX7596" s="77"/>
      <c r="BA7596" s="497">
        <v>39.92</v>
      </c>
      <c r="BB7596" s="42"/>
      <c r="BC7596" s="74"/>
      <c r="BD7596" s="77"/>
      <c r="BF7596">
        <v>44.06</v>
      </c>
      <c r="BH7596" s="42"/>
      <c r="BI7596" s="74"/>
      <c r="BJ7596" s="77"/>
      <c r="BL7596" s="497">
        <v>42.08</v>
      </c>
      <c r="BN7596" s="42"/>
      <c r="BO7596" s="74"/>
      <c r="BP7596" s="77"/>
      <c r="BR7596" s="497">
        <v>35.06</v>
      </c>
      <c r="BT7596" s="42"/>
    </row>
    <row r="7597" spans="1:72" x14ac:dyDescent="0.25">
      <c r="A7597" s="90">
        <v>36842</v>
      </c>
      <c r="B7597" s="20">
        <v>0.79166666666666663</v>
      </c>
      <c r="D7597">
        <v>48.92</v>
      </c>
      <c r="E7597" t="str">
        <f t="shared" si="272"/>
        <v>SUNDAY</v>
      </c>
      <c r="F7597" t="e">
        <f t="shared" si="273"/>
        <v>#N/A</v>
      </c>
      <c r="G7597" s="74">
        <v>28806</v>
      </c>
      <c r="H7597" s="77">
        <v>0.79166666666666663</v>
      </c>
      <c r="J7597">
        <v>48.019999999999996</v>
      </c>
      <c r="M7597" s="74">
        <v>36111</v>
      </c>
      <c r="N7597" s="77">
        <v>0.79166666666666663</v>
      </c>
      <c r="P7597">
        <v>46.4</v>
      </c>
      <c r="S7597" s="74">
        <v>36842</v>
      </c>
      <c r="T7597" s="77">
        <v>0.79166666666666663</v>
      </c>
      <c r="V7597">
        <v>46.94</v>
      </c>
      <c r="X7597" s="42"/>
      <c r="AB7597">
        <v>49.4</v>
      </c>
      <c r="AC7597">
        <v>51.08</v>
      </c>
      <c r="AE7597" s="74"/>
      <c r="AF7597" s="77"/>
      <c r="AH7597" s="497">
        <v>32</v>
      </c>
      <c r="AJ7597" s="42"/>
      <c r="AK7597" s="74"/>
      <c r="AL7597" s="77"/>
      <c r="AN7597" s="497">
        <v>37.94</v>
      </c>
      <c r="AP7597" s="42"/>
      <c r="AQ7597" s="74"/>
      <c r="AR7597" s="77"/>
      <c r="AT7597" s="497">
        <v>32</v>
      </c>
      <c r="AV7597" s="42"/>
      <c r="AW7597" s="74"/>
      <c r="AX7597" s="77"/>
      <c r="BA7597" s="497">
        <v>39.92</v>
      </c>
      <c r="BB7597" s="42"/>
      <c r="BC7597" s="74"/>
      <c r="BD7597" s="77"/>
      <c r="BF7597">
        <v>44.06</v>
      </c>
      <c r="BH7597" s="42"/>
      <c r="BI7597" s="74"/>
      <c r="BJ7597" s="77"/>
      <c r="BL7597" s="497">
        <v>42.980000000000004</v>
      </c>
      <c r="BN7597" s="42"/>
      <c r="BO7597" s="74"/>
      <c r="BP7597" s="77"/>
      <c r="BR7597" s="497">
        <v>35.06</v>
      </c>
      <c r="BT7597" s="42"/>
    </row>
    <row r="7598" spans="1:72" x14ac:dyDescent="0.25">
      <c r="A7598" s="90">
        <v>36842</v>
      </c>
      <c r="B7598" s="20">
        <v>0.83333333333333337</v>
      </c>
      <c r="D7598">
        <v>48.92</v>
      </c>
      <c r="E7598" t="str">
        <f t="shared" si="272"/>
        <v>SUNDAY</v>
      </c>
      <c r="F7598" t="e">
        <f t="shared" si="273"/>
        <v>#N/A</v>
      </c>
      <c r="G7598" s="74">
        <v>28806</v>
      </c>
      <c r="H7598" s="77">
        <v>0.83333333333333337</v>
      </c>
      <c r="J7598">
        <v>48.019999999999996</v>
      </c>
      <c r="M7598" s="74">
        <v>36111</v>
      </c>
      <c r="N7598" s="77">
        <v>0.83333333333333337</v>
      </c>
      <c r="P7598">
        <v>44.6</v>
      </c>
      <c r="S7598" s="74">
        <v>36842</v>
      </c>
      <c r="T7598" s="77">
        <v>0.83333333333333337</v>
      </c>
      <c r="V7598">
        <v>44.96</v>
      </c>
      <c r="X7598" s="42"/>
      <c r="AB7598">
        <v>49</v>
      </c>
      <c r="AC7598">
        <v>51.980000000000004</v>
      </c>
      <c r="AE7598" s="74"/>
      <c r="AF7598" s="77"/>
      <c r="AH7598" s="497">
        <v>28.4</v>
      </c>
      <c r="AJ7598" s="42"/>
      <c r="AK7598" s="74"/>
      <c r="AL7598" s="77"/>
      <c r="AN7598" s="497">
        <v>37.94</v>
      </c>
      <c r="AP7598" s="42"/>
      <c r="AQ7598" s="74"/>
      <c r="AR7598" s="77"/>
      <c r="AT7598" s="497">
        <v>30.92</v>
      </c>
      <c r="AV7598" s="42"/>
      <c r="AW7598" s="74"/>
      <c r="AX7598" s="77"/>
      <c r="BA7598" s="497">
        <v>39.92</v>
      </c>
      <c r="BB7598" s="42"/>
      <c r="BC7598" s="74"/>
      <c r="BD7598" s="77"/>
      <c r="BF7598">
        <v>46.94</v>
      </c>
      <c r="BH7598" s="42"/>
      <c r="BI7598" s="74"/>
      <c r="BJ7598" s="77"/>
      <c r="BL7598" s="497">
        <v>42.980000000000004</v>
      </c>
      <c r="BN7598" s="42"/>
      <c r="BO7598" s="74"/>
      <c r="BP7598" s="77"/>
      <c r="BR7598" s="497">
        <v>35.06</v>
      </c>
      <c r="BT7598" s="42"/>
    </row>
    <row r="7599" spans="1:72" x14ac:dyDescent="0.25">
      <c r="A7599" s="90">
        <v>36842</v>
      </c>
      <c r="B7599" s="20">
        <v>0.875</v>
      </c>
      <c r="D7599">
        <v>48.92</v>
      </c>
      <c r="E7599" t="str">
        <f t="shared" si="272"/>
        <v>SUNDAY</v>
      </c>
      <c r="F7599" t="e">
        <f t="shared" si="273"/>
        <v>#N/A</v>
      </c>
      <c r="G7599" s="74">
        <v>28806</v>
      </c>
      <c r="H7599" s="77">
        <v>0.875</v>
      </c>
      <c r="J7599">
        <v>46.94</v>
      </c>
      <c r="M7599" s="74">
        <v>36111</v>
      </c>
      <c r="N7599" s="77">
        <v>0.875</v>
      </c>
      <c r="P7599">
        <v>44.6</v>
      </c>
      <c r="S7599" s="74">
        <v>36842</v>
      </c>
      <c r="T7599" s="77">
        <v>0.875</v>
      </c>
      <c r="V7599">
        <v>44.06</v>
      </c>
      <c r="X7599" s="42"/>
      <c r="AB7599">
        <v>48.5</v>
      </c>
      <c r="AC7599">
        <v>53.96</v>
      </c>
      <c r="AE7599" s="74"/>
      <c r="AF7599" s="77"/>
      <c r="AH7599" s="497">
        <v>26.6</v>
      </c>
      <c r="AJ7599" s="42"/>
      <c r="AK7599" s="74"/>
      <c r="AL7599" s="77"/>
      <c r="AN7599" s="497">
        <v>37.04</v>
      </c>
      <c r="AP7599" s="42"/>
      <c r="AQ7599" s="74"/>
      <c r="AR7599" s="77"/>
      <c r="AT7599" s="497">
        <v>32</v>
      </c>
      <c r="AV7599" s="42"/>
      <c r="AW7599" s="74"/>
      <c r="AX7599" s="77"/>
      <c r="BA7599" s="497">
        <v>39.92</v>
      </c>
      <c r="BB7599" s="42"/>
      <c r="BC7599" s="74"/>
      <c r="BD7599" s="77"/>
      <c r="BF7599">
        <v>46.94</v>
      </c>
      <c r="BH7599" s="42"/>
      <c r="BI7599" s="74"/>
      <c r="BJ7599" s="77"/>
      <c r="BL7599" s="497">
        <v>44.06</v>
      </c>
      <c r="BN7599" s="42"/>
      <c r="BO7599" s="74"/>
      <c r="BP7599" s="77"/>
      <c r="BR7599" s="497">
        <v>35.06</v>
      </c>
      <c r="BT7599" s="42"/>
    </row>
    <row r="7600" spans="1:72" x14ac:dyDescent="0.25">
      <c r="A7600" s="90">
        <v>36842</v>
      </c>
      <c r="B7600" s="20">
        <v>0.91666666666666663</v>
      </c>
      <c r="D7600">
        <v>48.92</v>
      </c>
      <c r="E7600" t="str">
        <f t="shared" si="272"/>
        <v>SUNDAY</v>
      </c>
      <c r="F7600" t="e">
        <f t="shared" si="273"/>
        <v>#N/A</v>
      </c>
      <c r="G7600" s="74">
        <v>28806</v>
      </c>
      <c r="H7600" s="77">
        <v>0.91666666666666663</v>
      </c>
      <c r="J7600">
        <v>46.94</v>
      </c>
      <c r="M7600" s="74">
        <v>36111</v>
      </c>
      <c r="N7600" s="77">
        <v>0.91666666666666663</v>
      </c>
      <c r="P7600">
        <v>44.6</v>
      </c>
      <c r="S7600" s="74">
        <v>36842</v>
      </c>
      <c r="T7600" s="77">
        <v>0.91666666666666663</v>
      </c>
      <c r="V7600">
        <v>42.980000000000004</v>
      </c>
      <c r="X7600" s="42"/>
      <c r="AB7600">
        <v>47.9</v>
      </c>
      <c r="AC7600">
        <v>55.040000000000006</v>
      </c>
      <c r="AE7600" s="74"/>
      <c r="AF7600" s="77"/>
      <c r="AH7600" s="497">
        <v>24.8</v>
      </c>
      <c r="AJ7600" s="42"/>
      <c r="AK7600" s="74"/>
      <c r="AL7600" s="77"/>
      <c r="AN7600" s="497">
        <v>35.96</v>
      </c>
      <c r="AP7600" s="42"/>
      <c r="AQ7600" s="74"/>
      <c r="AR7600" s="77"/>
      <c r="AT7600" s="497">
        <v>33.08</v>
      </c>
      <c r="AV7600" s="42"/>
      <c r="AW7600" s="74"/>
      <c r="AX7600" s="77"/>
      <c r="BA7600" s="497">
        <v>41</v>
      </c>
      <c r="BB7600" s="42"/>
      <c r="BC7600" s="74"/>
      <c r="BD7600" s="77"/>
      <c r="BF7600">
        <v>46.94</v>
      </c>
      <c r="BH7600" s="42"/>
      <c r="BI7600" s="74"/>
      <c r="BJ7600" s="77"/>
      <c r="BL7600" s="497">
        <v>44.96</v>
      </c>
      <c r="BN7600" s="42"/>
      <c r="BO7600" s="74"/>
      <c r="BP7600" s="77"/>
      <c r="BR7600" s="497">
        <v>35.06</v>
      </c>
      <c r="BT7600" s="42"/>
    </row>
    <row r="7601" spans="1:72" x14ac:dyDescent="0.25">
      <c r="A7601" s="90">
        <v>36842</v>
      </c>
      <c r="B7601" s="20">
        <v>0.95833333333333337</v>
      </c>
      <c r="D7601">
        <v>48.92</v>
      </c>
      <c r="E7601" t="str">
        <f t="shared" si="272"/>
        <v>SUNDAY</v>
      </c>
      <c r="F7601" t="e">
        <f t="shared" si="273"/>
        <v>#N/A</v>
      </c>
      <c r="G7601" s="74">
        <v>28806</v>
      </c>
      <c r="H7601" s="77">
        <v>0.95833333333333337</v>
      </c>
      <c r="J7601">
        <v>44.96</v>
      </c>
      <c r="M7601" s="74">
        <v>36111</v>
      </c>
      <c r="N7601" s="77">
        <v>0.95833333333333337</v>
      </c>
      <c r="P7601">
        <v>42.8</v>
      </c>
      <c r="S7601" s="74">
        <v>36842</v>
      </c>
      <c r="T7601" s="77">
        <v>0.95833333333333337</v>
      </c>
      <c r="V7601">
        <v>42.980000000000004</v>
      </c>
      <c r="X7601" s="42"/>
      <c r="AB7601">
        <v>47.3</v>
      </c>
      <c r="AC7601">
        <v>55.94</v>
      </c>
      <c r="AE7601" s="74"/>
      <c r="AF7601" s="77"/>
      <c r="AH7601" s="497">
        <v>23</v>
      </c>
      <c r="AJ7601" s="42"/>
      <c r="AK7601" s="74"/>
      <c r="AL7601" s="77"/>
      <c r="AN7601" s="497">
        <v>37.04</v>
      </c>
      <c r="AP7601" s="42"/>
      <c r="AQ7601" s="74"/>
      <c r="AR7601" s="77"/>
      <c r="AT7601" s="497">
        <v>32</v>
      </c>
      <c r="AV7601" s="42"/>
      <c r="AW7601" s="74"/>
      <c r="AX7601" s="77"/>
      <c r="BA7601" s="497">
        <v>41</v>
      </c>
      <c r="BB7601" s="42"/>
      <c r="BC7601" s="74"/>
      <c r="BD7601" s="77"/>
      <c r="BF7601">
        <v>46.94</v>
      </c>
      <c r="BH7601" s="42"/>
      <c r="BI7601" s="74"/>
      <c r="BJ7601" s="77"/>
      <c r="BL7601" s="497">
        <v>44.96</v>
      </c>
      <c r="BN7601" s="42"/>
      <c r="BO7601" s="74"/>
      <c r="BP7601" s="77"/>
      <c r="BR7601" s="497">
        <v>35.06</v>
      </c>
      <c r="BT7601" s="42"/>
    </row>
    <row r="7602" spans="1:72" x14ac:dyDescent="0.25">
      <c r="A7602" s="90">
        <v>36842</v>
      </c>
      <c r="B7602" s="20">
        <v>1</v>
      </c>
      <c r="D7602">
        <v>48.92</v>
      </c>
      <c r="E7602" t="str">
        <f t="shared" si="272"/>
        <v>SUNDAY</v>
      </c>
      <c r="F7602" t="e">
        <f t="shared" si="273"/>
        <v>#N/A</v>
      </c>
      <c r="G7602" s="74">
        <v>28806</v>
      </c>
      <c r="H7602" s="77">
        <v>1</v>
      </c>
      <c r="J7602">
        <v>44.96</v>
      </c>
      <c r="M7602" s="74">
        <v>36111</v>
      </c>
      <c r="N7602" s="80">
        <v>1</v>
      </c>
      <c r="P7602">
        <v>42.8</v>
      </c>
      <c r="S7602" s="74">
        <v>36842</v>
      </c>
      <c r="T7602" s="80">
        <v>1</v>
      </c>
      <c r="V7602">
        <v>42.980000000000004</v>
      </c>
      <c r="X7602" s="42"/>
      <c r="AB7602">
        <v>46.7</v>
      </c>
      <c r="AC7602">
        <v>57.019999999999996</v>
      </c>
      <c r="AE7602" s="74"/>
      <c r="AF7602" s="80"/>
      <c r="AH7602" s="497">
        <v>21.2</v>
      </c>
      <c r="AJ7602" s="42"/>
      <c r="AK7602" s="74"/>
      <c r="AL7602" s="80"/>
      <c r="AN7602" s="497">
        <v>35.06</v>
      </c>
      <c r="AP7602" s="42"/>
      <c r="AQ7602" s="74"/>
      <c r="AR7602" s="80"/>
      <c r="AT7602" s="497">
        <v>32</v>
      </c>
      <c r="AV7602" s="42"/>
      <c r="AW7602" s="74"/>
      <c r="AX7602" s="80"/>
      <c r="BA7602" s="497">
        <v>41</v>
      </c>
      <c r="BB7602" s="42"/>
      <c r="BC7602" s="74"/>
      <c r="BD7602" s="80"/>
      <c r="BF7602">
        <v>44.96</v>
      </c>
      <c r="BH7602" s="42"/>
      <c r="BI7602" s="74"/>
      <c r="BJ7602" s="80"/>
      <c r="BL7602" s="497">
        <v>46.04</v>
      </c>
      <c r="BN7602" s="42"/>
      <c r="BO7602" s="74"/>
      <c r="BP7602" s="80"/>
      <c r="BR7602" s="497">
        <v>35.96</v>
      </c>
      <c r="BT7602" s="42"/>
    </row>
    <row r="7603" spans="1:72" x14ac:dyDescent="0.25">
      <c r="A7603" s="90">
        <v>36843</v>
      </c>
      <c r="B7603" s="20">
        <v>4.1666666666666664E-2</v>
      </c>
      <c r="D7603">
        <v>48.92</v>
      </c>
      <c r="E7603" t="str">
        <f t="shared" si="272"/>
        <v>WEEKDAY</v>
      </c>
      <c r="F7603" t="e">
        <f t="shared" si="273"/>
        <v>#N/A</v>
      </c>
      <c r="G7603" s="74">
        <v>28807</v>
      </c>
      <c r="H7603" s="77">
        <v>4.1666666666666664E-2</v>
      </c>
      <c r="J7603">
        <v>44.96</v>
      </c>
      <c r="M7603" s="74">
        <v>36112</v>
      </c>
      <c r="N7603" s="77">
        <v>4.1666666666666664E-2</v>
      </c>
      <c r="P7603">
        <v>41</v>
      </c>
      <c r="S7603" s="74">
        <v>36843</v>
      </c>
      <c r="T7603" s="77">
        <v>4.1666666666666664E-2</v>
      </c>
      <c r="V7603">
        <v>42.08</v>
      </c>
      <c r="X7603" s="42"/>
      <c r="AB7603">
        <v>46.2</v>
      </c>
      <c r="AC7603">
        <v>57.019999999999996</v>
      </c>
      <c r="AE7603" s="74"/>
      <c r="AF7603" s="77"/>
      <c r="AH7603" s="497">
        <v>19.399999999999999</v>
      </c>
      <c r="AJ7603" s="42"/>
      <c r="AK7603" s="74"/>
      <c r="AL7603" s="77"/>
      <c r="AN7603" s="497">
        <v>35.96</v>
      </c>
      <c r="AP7603" s="42"/>
      <c r="AQ7603" s="74"/>
      <c r="AR7603" s="77"/>
      <c r="AT7603" s="497">
        <v>30.92</v>
      </c>
      <c r="AV7603" s="42"/>
      <c r="AW7603" s="74"/>
      <c r="AX7603" s="77"/>
      <c r="BA7603" s="497">
        <v>42.08</v>
      </c>
      <c r="BB7603" s="42"/>
      <c r="BC7603" s="74"/>
      <c r="BD7603" s="77"/>
      <c r="BF7603">
        <v>42.08</v>
      </c>
      <c r="BH7603" s="42"/>
      <c r="BI7603" s="74"/>
      <c r="BJ7603" s="77"/>
      <c r="BL7603" s="497">
        <v>44.96</v>
      </c>
      <c r="BN7603" s="42"/>
      <c r="BO7603" s="74"/>
      <c r="BP7603" s="77"/>
      <c r="BR7603" s="497">
        <v>35.96</v>
      </c>
      <c r="BT7603" s="42"/>
    </row>
    <row r="7604" spans="1:72" x14ac:dyDescent="0.25">
      <c r="A7604" s="90">
        <v>36843</v>
      </c>
      <c r="B7604" s="20">
        <v>8.3333333333333329E-2</v>
      </c>
      <c r="D7604">
        <v>48.92</v>
      </c>
      <c r="E7604" t="str">
        <f t="shared" si="272"/>
        <v>WEEKDAY</v>
      </c>
      <c r="F7604" t="e">
        <f t="shared" si="273"/>
        <v>#N/A</v>
      </c>
      <c r="G7604" s="74">
        <v>28807</v>
      </c>
      <c r="H7604" s="77">
        <v>8.3333333333333329E-2</v>
      </c>
      <c r="J7604">
        <v>44.96</v>
      </c>
      <c r="M7604" s="74">
        <v>36112</v>
      </c>
      <c r="N7604" s="77">
        <v>8.3333333333333329E-2</v>
      </c>
      <c r="P7604">
        <v>41</v>
      </c>
      <c r="S7604" s="74">
        <v>36843</v>
      </c>
      <c r="T7604" s="77">
        <v>8.3333333333333329E-2</v>
      </c>
      <c r="V7604">
        <v>41</v>
      </c>
      <c r="X7604" s="42"/>
      <c r="AB7604">
        <v>45.6</v>
      </c>
      <c r="AC7604">
        <v>57.92</v>
      </c>
      <c r="AE7604" s="74"/>
      <c r="AF7604" s="77"/>
      <c r="AH7604" s="497">
        <v>21.2</v>
      </c>
      <c r="AJ7604" s="42"/>
      <c r="AK7604" s="74"/>
      <c r="AL7604" s="77"/>
      <c r="AN7604" s="497">
        <v>35.96</v>
      </c>
      <c r="AP7604" s="42"/>
      <c r="AQ7604" s="74"/>
      <c r="AR7604" s="77"/>
      <c r="AT7604" s="497">
        <v>30.02</v>
      </c>
      <c r="AV7604" s="42"/>
      <c r="AW7604" s="74"/>
      <c r="AX7604" s="77"/>
      <c r="BA7604" s="497">
        <v>42.08</v>
      </c>
      <c r="BB7604" s="42"/>
      <c r="BC7604" s="74"/>
      <c r="BD7604" s="77"/>
      <c r="BF7604">
        <v>42.980000000000004</v>
      </c>
      <c r="BH7604" s="42"/>
      <c r="BI7604" s="74"/>
      <c r="BJ7604" s="77"/>
      <c r="BL7604" s="497">
        <v>42.980000000000004</v>
      </c>
      <c r="BN7604" s="42"/>
      <c r="BO7604" s="74"/>
      <c r="BP7604" s="77"/>
      <c r="BR7604" s="497">
        <v>35.06</v>
      </c>
      <c r="BT7604" s="42"/>
    </row>
    <row r="7605" spans="1:72" x14ac:dyDescent="0.25">
      <c r="A7605" s="90">
        <v>36843</v>
      </c>
      <c r="B7605" s="20">
        <v>0.125</v>
      </c>
      <c r="D7605">
        <v>48.92</v>
      </c>
      <c r="E7605" t="str">
        <f t="shared" si="272"/>
        <v>WEEKDAY</v>
      </c>
      <c r="F7605" t="e">
        <f t="shared" si="273"/>
        <v>#N/A</v>
      </c>
      <c r="G7605" s="74">
        <v>28807</v>
      </c>
      <c r="H7605" s="77">
        <v>0.125</v>
      </c>
      <c r="J7605">
        <v>44.96</v>
      </c>
      <c r="M7605" s="74">
        <v>36112</v>
      </c>
      <c r="N7605" s="77">
        <v>0.125</v>
      </c>
      <c r="P7605">
        <v>42.8</v>
      </c>
      <c r="S7605" s="74">
        <v>36843</v>
      </c>
      <c r="T7605" s="77">
        <v>0.125</v>
      </c>
      <c r="V7605">
        <v>42.08</v>
      </c>
      <c r="X7605" s="42"/>
      <c r="AB7605">
        <v>45.1</v>
      </c>
      <c r="AC7605">
        <v>57.92</v>
      </c>
      <c r="AE7605" s="74"/>
      <c r="AF7605" s="77"/>
      <c r="AH7605" s="497">
        <v>19.399999999999999</v>
      </c>
      <c r="AJ7605" s="42"/>
      <c r="AK7605" s="74"/>
      <c r="AL7605" s="77"/>
      <c r="AN7605" s="497">
        <v>37.04</v>
      </c>
      <c r="AP7605" s="42"/>
      <c r="AQ7605" s="74"/>
      <c r="AR7605" s="77"/>
      <c r="AT7605" s="497">
        <v>28.94</v>
      </c>
      <c r="AV7605" s="42"/>
      <c r="AW7605" s="74"/>
      <c r="AX7605" s="77"/>
      <c r="BA7605" s="497">
        <v>42.980000000000004</v>
      </c>
      <c r="BB7605" s="42"/>
      <c r="BC7605" s="74"/>
      <c r="BD7605" s="77"/>
      <c r="BF7605">
        <v>42.980000000000004</v>
      </c>
      <c r="BH7605" s="42"/>
      <c r="BI7605" s="74"/>
      <c r="BJ7605" s="77"/>
      <c r="BL7605" s="497">
        <v>42.980000000000004</v>
      </c>
      <c r="BN7605" s="42"/>
      <c r="BO7605" s="74"/>
      <c r="BP7605" s="77"/>
      <c r="BR7605" s="497">
        <v>35.06</v>
      </c>
      <c r="BT7605" s="42"/>
    </row>
    <row r="7606" spans="1:72" x14ac:dyDescent="0.25">
      <c r="A7606" s="90">
        <v>36843</v>
      </c>
      <c r="B7606" s="20">
        <v>0.16666666666666666</v>
      </c>
      <c r="D7606">
        <v>48.92</v>
      </c>
      <c r="E7606" t="str">
        <f t="shared" si="272"/>
        <v>WEEKDAY</v>
      </c>
      <c r="F7606" t="e">
        <f t="shared" si="273"/>
        <v>#N/A</v>
      </c>
      <c r="G7606" s="74">
        <v>28807</v>
      </c>
      <c r="H7606" s="77">
        <v>0.16666666666666666</v>
      </c>
      <c r="J7606">
        <v>44.06</v>
      </c>
      <c r="M7606" s="74">
        <v>36112</v>
      </c>
      <c r="N7606" s="77">
        <v>0.16666666666666666</v>
      </c>
      <c r="P7606">
        <v>41</v>
      </c>
      <c r="S7606" s="74">
        <v>36843</v>
      </c>
      <c r="T7606" s="77">
        <v>0.16666666666666666</v>
      </c>
      <c r="V7606">
        <v>42.08</v>
      </c>
      <c r="X7606" s="42"/>
      <c r="AB7606">
        <v>44.7</v>
      </c>
      <c r="AC7606">
        <v>57.92</v>
      </c>
      <c r="AE7606" s="74"/>
      <c r="AF7606" s="77"/>
      <c r="AH7606" s="497">
        <v>19.399999999999999</v>
      </c>
      <c r="AJ7606" s="42"/>
      <c r="AK7606" s="74"/>
      <c r="AL7606" s="77"/>
      <c r="AN7606" s="497">
        <v>37.94</v>
      </c>
      <c r="AP7606" s="42"/>
      <c r="AQ7606" s="74"/>
      <c r="AR7606" s="77"/>
      <c r="AT7606" s="497">
        <v>28.04</v>
      </c>
      <c r="AV7606" s="42"/>
      <c r="AW7606" s="74"/>
      <c r="AX7606" s="77"/>
      <c r="BA7606" s="497">
        <v>41</v>
      </c>
      <c r="BB7606" s="42"/>
      <c r="BC7606" s="74"/>
      <c r="BD7606" s="77"/>
      <c r="BF7606">
        <v>42.08</v>
      </c>
      <c r="BH7606" s="42"/>
      <c r="BI7606" s="74"/>
      <c r="BJ7606" s="77"/>
      <c r="BL7606" s="497">
        <v>44.96</v>
      </c>
      <c r="BN7606" s="42"/>
      <c r="BO7606" s="74"/>
      <c r="BP7606" s="77"/>
      <c r="BR7606" s="497">
        <v>35.06</v>
      </c>
      <c r="BT7606" s="42"/>
    </row>
    <row r="7607" spans="1:72" x14ac:dyDescent="0.25">
      <c r="A7607" s="90">
        <v>36843</v>
      </c>
      <c r="B7607" s="20">
        <v>0.20833333333333334</v>
      </c>
      <c r="D7607">
        <v>50</v>
      </c>
      <c r="E7607" t="str">
        <f t="shared" si="272"/>
        <v>WEEKDAY</v>
      </c>
      <c r="F7607" t="e">
        <f t="shared" si="273"/>
        <v>#N/A</v>
      </c>
      <c r="G7607" s="74">
        <v>28807</v>
      </c>
      <c r="H7607" s="77">
        <v>0.20833333333333334</v>
      </c>
      <c r="J7607">
        <v>44.06</v>
      </c>
      <c r="M7607" s="74">
        <v>36112</v>
      </c>
      <c r="N7607" s="77">
        <v>0.20833333333333334</v>
      </c>
      <c r="P7607">
        <v>39.200000000000003</v>
      </c>
      <c r="S7607" s="74">
        <v>36843</v>
      </c>
      <c r="T7607" s="77">
        <v>0.20833333333333334</v>
      </c>
      <c r="V7607">
        <v>42.08</v>
      </c>
      <c r="X7607" s="42"/>
      <c r="AB7607">
        <v>44.3</v>
      </c>
      <c r="AC7607">
        <v>57.92</v>
      </c>
      <c r="AE7607" s="74"/>
      <c r="AF7607" s="77"/>
      <c r="AH7607" s="497">
        <v>19.399999999999999</v>
      </c>
      <c r="AJ7607" s="42"/>
      <c r="AK7607" s="74"/>
      <c r="AL7607" s="77"/>
      <c r="AN7607" s="497">
        <v>39.019999999999996</v>
      </c>
      <c r="AP7607" s="42"/>
      <c r="AQ7607" s="74"/>
      <c r="AR7607" s="77"/>
      <c r="AT7607" s="497">
        <v>26.96</v>
      </c>
      <c r="AV7607" s="42"/>
      <c r="AW7607" s="74"/>
      <c r="AX7607" s="77"/>
      <c r="BA7607" s="497">
        <v>42.08</v>
      </c>
      <c r="BB7607" s="42"/>
      <c r="BC7607" s="74"/>
      <c r="BD7607" s="77"/>
      <c r="BF7607">
        <v>41</v>
      </c>
      <c r="BH7607" s="42"/>
      <c r="BI7607" s="74"/>
      <c r="BJ7607" s="77"/>
      <c r="BL7607" s="497">
        <v>44.96</v>
      </c>
      <c r="BN7607" s="42"/>
      <c r="BO7607" s="74"/>
      <c r="BP7607" s="77"/>
      <c r="BR7607" s="497">
        <v>35.96</v>
      </c>
      <c r="BT7607" s="42"/>
    </row>
    <row r="7608" spans="1:72" x14ac:dyDescent="0.25">
      <c r="A7608" s="90">
        <v>36843</v>
      </c>
      <c r="B7608" s="20">
        <v>0.25</v>
      </c>
      <c r="D7608">
        <v>50</v>
      </c>
      <c r="E7608" t="str">
        <f t="shared" si="272"/>
        <v>WEEKDAY</v>
      </c>
      <c r="F7608" t="e">
        <f t="shared" si="273"/>
        <v>#N/A</v>
      </c>
      <c r="G7608" s="74">
        <v>28807</v>
      </c>
      <c r="H7608" s="77">
        <v>0.25</v>
      </c>
      <c r="J7608">
        <v>44.06</v>
      </c>
      <c r="M7608" s="74">
        <v>36112</v>
      </c>
      <c r="N7608" s="77">
        <v>0.25</v>
      </c>
      <c r="P7608">
        <v>39.200000000000003</v>
      </c>
      <c r="S7608" s="74">
        <v>36843</v>
      </c>
      <c r="T7608" s="77">
        <v>0.25</v>
      </c>
      <c r="V7608">
        <v>42.08</v>
      </c>
      <c r="X7608" s="42"/>
      <c r="AB7608">
        <v>44</v>
      </c>
      <c r="AC7608">
        <v>57.019999999999996</v>
      </c>
      <c r="AE7608" s="74"/>
      <c r="AF7608" s="77"/>
      <c r="AH7608" s="497">
        <v>17.600000000000001</v>
      </c>
      <c r="AJ7608" s="42"/>
      <c r="AK7608" s="74"/>
      <c r="AL7608" s="77"/>
      <c r="AN7608" s="497">
        <v>39.92</v>
      </c>
      <c r="AP7608" s="42"/>
      <c r="AQ7608" s="74"/>
      <c r="AR7608" s="77"/>
      <c r="AT7608" s="497">
        <v>24.98</v>
      </c>
      <c r="AV7608" s="42"/>
      <c r="AW7608" s="74"/>
      <c r="AX7608" s="77"/>
      <c r="BA7608" s="497">
        <v>42.980000000000004</v>
      </c>
      <c r="BB7608" s="42"/>
      <c r="BC7608" s="74"/>
      <c r="BD7608" s="77"/>
      <c r="BF7608">
        <v>44.06</v>
      </c>
      <c r="BH7608" s="42"/>
      <c r="BI7608" s="74"/>
      <c r="BJ7608" s="77"/>
      <c r="BL7608" s="497">
        <v>44.96</v>
      </c>
      <c r="BN7608" s="42"/>
      <c r="BO7608" s="74"/>
      <c r="BP7608" s="77"/>
      <c r="BR7608" s="497">
        <v>35.96</v>
      </c>
      <c r="BT7608" s="42"/>
    </row>
    <row r="7609" spans="1:72" x14ac:dyDescent="0.25">
      <c r="A7609" s="90">
        <v>36843</v>
      </c>
      <c r="B7609" s="20">
        <v>0.29166666666666669</v>
      </c>
      <c r="D7609">
        <v>51.980000000000004</v>
      </c>
      <c r="E7609" t="str">
        <f t="shared" si="272"/>
        <v>WEEKDAY</v>
      </c>
      <c r="F7609" t="e">
        <f t="shared" si="273"/>
        <v>#N/A</v>
      </c>
      <c r="G7609" s="74">
        <v>28807</v>
      </c>
      <c r="H7609" s="77">
        <v>0.29166666666666669</v>
      </c>
      <c r="J7609">
        <v>42.980000000000004</v>
      </c>
      <c r="M7609" s="74">
        <v>36112</v>
      </c>
      <c r="N7609" s="77">
        <v>0.29166666666666669</v>
      </c>
      <c r="P7609">
        <v>39.200000000000003</v>
      </c>
      <c r="S7609" s="74">
        <v>36843</v>
      </c>
      <c r="T7609" s="77">
        <v>0.29166666666666669</v>
      </c>
      <c r="V7609">
        <v>42.980000000000004</v>
      </c>
      <c r="X7609" s="42"/>
      <c r="AB7609">
        <v>43.9</v>
      </c>
      <c r="AC7609">
        <v>57.92</v>
      </c>
      <c r="AE7609" s="74"/>
      <c r="AF7609" s="77"/>
      <c r="AH7609" s="497">
        <v>17.600000000000001</v>
      </c>
      <c r="AJ7609" s="42"/>
      <c r="AK7609" s="74"/>
      <c r="AL7609" s="77"/>
      <c r="AN7609" s="497">
        <v>42.08</v>
      </c>
      <c r="AP7609" s="42"/>
      <c r="AQ7609" s="74"/>
      <c r="AR7609" s="77"/>
      <c r="AT7609" s="497">
        <v>24.08</v>
      </c>
      <c r="AV7609" s="42"/>
      <c r="AW7609" s="74"/>
      <c r="AX7609" s="77"/>
      <c r="BA7609" s="497">
        <v>42.08</v>
      </c>
      <c r="BB7609" s="42"/>
      <c r="BC7609" s="74"/>
      <c r="BD7609" s="77"/>
      <c r="BF7609">
        <v>42.980000000000004</v>
      </c>
      <c r="BH7609" s="42"/>
      <c r="BI7609" s="74"/>
      <c r="BJ7609" s="77"/>
      <c r="BL7609" s="497">
        <v>46.04</v>
      </c>
      <c r="BN7609" s="42"/>
      <c r="BO7609" s="74"/>
      <c r="BP7609" s="77"/>
      <c r="BR7609" s="497">
        <v>37.04</v>
      </c>
      <c r="BT7609" s="42"/>
    </row>
    <row r="7610" spans="1:72" x14ac:dyDescent="0.25">
      <c r="A7610" s="90">
        <v>36843</v>
      </c>
      <c r="B7610" s="20">
        <v>0.33333333333333331</v>
      </c>
      <c r="D7610">
        <v>51.980000000000004</v>
      </c>
      <c r="E7610" t="str">
        <f t="shared" si="272"/>
        <v>WEEKDAY</v>
      </c>
      <c r="F7610" t="e">
        <f t="shared" si="273"/>
        <v>#N/A</v>
      </c>
      <c r="G7610" s="74">
        <v>28807</v>
      </c>
      <c r="H7610" s="77">
        <v>0.33333333333333331</v>
      </c>
      <c r="J7610">
        <v>44.06</v>
      </c>
      <c r="M7610" s="74">
        <v>36112</v>
      </c>
      <c r="N7610" s="77">
        <v>0.33333333333333331</v>
      </c>
      <c r="P7610">
        <v>42.8</v>
      </c>
      <c r="S7610" s="74">
        <v>36843</v>
      </c>
      <c r="T7610" s="77">
        <v>0.33333333333333331</v>
      </c>
      <c r="V7610">
        <v>42.980000000000004</v>
      </c>
      <c r="X7610" s="42"/>
      <c r="AB7610">
        <v>43.9</v>
      </c>
      <c r="AC7610">
        <v>53.96</v>
      </c>
      <c r="AE7610" s="74"/>
      <c r="AF7610" s="77"/>
      <c r="AH7610" s="497">
        <v>21.2</v>
      </c>
      <c r="AJ7610" s="42"/>
      <c r="AK7610" s="74"/>
      <c r="AL7610" s="77"/>
      <c r="AN7610" s="497">
        <v>42.08</v>
      </c>
      <c r="AP7610" s="42"/>
      <c r="AQ7610" s="74"/>
      <c r="AR7610" s="77"/>
      <c r="AT7610" s="497">
        <v>26.060000000000002</v>
      </c>
      <c r="AV7610" s="42"/>
      <c r="AW7610" s="74"/>
      <c r="AX7610" s="77"/>
      <c r="BA7610" s="497">
        <v>42.980000000000004</v>
      </c>
      <c r="BB7610" s="42"/>
      <c r="BC7610" s="74"/>
      <c r="BD7610" s="77"/>
      <c r="BF7610">
        <v>44.06</v>
      </c>
      <c r="BH7610" s="42"/>
      <c r="BI7610" s="74"/>
      <c r="BJ7610" s="77"/>
      <c r="BL7610" s="497">
        <v>44.96</v>
      </c>
      <c r="BN7610" s="42"/>
      <c r="BO7610" s="74"/>
      <c r="BP7610" s="77"/>
      <c r="BR7610" s="497">
        <v>37.94</v>
      </c>
      <c r="BT7610" s="42"/>
    </row>
    <row r="7611" spans="1:72" x14ac:dyDescent="0.25">
      <c r="A7611" s="90">
        <v>36843</v>
      </c>
      <c r="B7611" s="20">
        <v>0.375</v>
      </c>
      <c r="D7611">
        <v>53.06</v>
      </c>
      <c r="E7611" t="str">
        <f t="shared" si="272"/>
        <v>WEEKDAY</v>
      </c>
      <c r="F7611" t="e">
        <f t="shared" si="273"/>
        <v>#N/A</v>
      </c>
      <c r="G7611" s="74">
        <v>28807</v>
      </c>
      <c r="H7611" s="77">
        <v>0.375</v>
      </c>
      <c r="J7611">
        <v>44.06</v>
      </c>
      <c r="M7611" s="74">
        <v>36112</v>
      </c>
      <c r="N7611" s="77">
        <v>0.375</v>
      </c>
      <c r="P7611">
        <v>46.4</v>
      </c>
      <c r="S7611" s="74">
        <v>36843</v>
      </c>
      <c r="T7611" s="77">
        <v>0.375</v>
      </c>
      <c r="V7611">
        <v>44.06</v>
      </c>
      <c r="X7611" s="42"/>
      <c r="AB7611">
        <v>45.6</v>
      </c>
      <c r="AC7611">
        <v>50</v>
      </c>
      <c r="AE7611" s="74"/>
      <c r="AF7611" s="77"/>
      <c r="AH7611" s="497">
        <v>30.2</v>
      </c>
      <c r="AJ7611" s="42"/>
      <c r="AK7611" s="74"/>
      <c r="AL7611" s="77"/>
      <c r="AN7611" s="497">
        <v>44.06</v>
      </c>
      <c r="AP7611" s="42"/>
      <c r="AQ7611" s="74"/>
      <c r="AR7611" s="77"/>
      <c r="AT7611" s="497">
        <v>28.94</v>
      </c>
      <c r="AV7611" s="42"/>
      <c r="AW7611" s="74"/>
      <c r="AX7611" s="77"/>
      <c r="BA7611" s="497">
        <v>44.96</v>
      </c>
      <c r="BB7611" s="42"/>
      <c r="BC7611" s="74"/>
      <c r="BD7611" s="77"/>
      <c r="BF7611">
        <v>46.04</v>
      </c>
      <c r="BH7611" s="42"/>
      <c r="BI7611" s="74"/>
      <c r="BJ7611" s="77"/>
      <c r="BL7611" s="497">
        <v>46.04</v>
      </c>
      <c r="BN7611" s="42"/>
      <c r="BO7611" s="74"/>
      <c r="BP7611" s="77"/>
      <c r="BR7611" s="497">
        <v>39.92</v>
      </c>
      <c r="BT7611" s="42"/>
    </row>
    <row r="7612" spans="1:72" x14ac:dyDescent="0.25">
      <c r="A7612" s="90">
        <v>36843</v>
      </c>
      <c r="B7612" s="20">
        <v>0.41666666666666669</v>
      </c>
      <c r="D7612">
        <v>53.96</v>
      </c>
      <c r="E7612" t="str">
        <f t="shared" si="272"/>
        <v>WEEKDAY</v>
      </c>
      <c r="F7612" t="e">
        <f t="shared" si="273"/>
        <v>#N/A</v>
      </c>
      <c r="G7612" s="74">
        <v>28807</v>
      </c>
      <c r="H7612" s="77">
        <v>0.41666666666666669</v>
      </c>
      <c r="J7612">
        <v>44.96</v>
      </c>
      <c r="M7612" s="74">
        <v>36112</v>
      </c>
      <c r="N7612" s="77">
        <v>0.41666666666666669</v>
      </c>
      <c r="P7612">
        <v>48.2</v>
      </c>
      <c r="S7612" s="74">
        <v>36843</v>
      </c>
      <c r="T7612" s="77">
        <v>0.41666666666666669</v>
      </c>
      <c r="V7612">
        <v>44.96</v>
      </c>
      <c r="X7612" s="42"/>
      <c r="AB7612">
        <v>47.5</v>
      </c>
      <c r="AC7612">
        <v>51.980000000000004</v>
      </c>
      <c r="AE7612" s="74"/>
      <c r="AF7612" s="77"/>
      <c r="AH7612" s="497">
        <v>39.200000000000003</v>
      </c>
      <c r="AJ7612" s="42"/>
      <c r="AK7612" s="74"/>
      <c r="AL7612" s="77"/>
      <c r="AN7612" s="497">
        <v>44.06</v>
      </c>
      <c r="AP7612" s="42"/>
      <c r="AQ7612" s="74"/>
      <c r="AR7612" s="77"/>
      <c r="AT7612" s="497">
        <v>32</v>
      </c>
      <c r="AV7612" s="42"/>
      <c r="AW7612" s="74"/>
      <c r="AX7612" s="77"/>
      <c r="BA7612" s="497">
        <v>46.94</v>
      </c>
      <c r="BB7612" s="42"/>
      <c r="BC7612" s="74"/>
      <c r="BD7612" s="77"/>
      <c r="BF7612">
        <v>48.019999999999996</v>
      </c>
      <c r="BH7612" s="42"/>
      <c r="BI7612" s="74"/>
      <c r="BJ7612" s="77"/>
      <c r="BL7612" s="497">
        <v>48.019999999999996</v>
      </c>
      <c r="BN7612" s="42"/>
      <c r="BO7612" s="74"/>
      <c r="BP7612" s="77"/>
      <c r="BR7612" s="497">
        <v>44.06</v>
      </c>
      <c r="BT7612" s="42"/>
    </row>
    <row r="7613" spans="1:72" x14ac:dyDescent="0.25">
      <c r="A7613" s="90">
        <v>36843</v>
      </c>
      <c r="B7613" s="20">
        <v>0.45833333333333331</v>
      </c>
      <c r="D7613">
        <v>55.040000000000006</v>
      </c>
      <c r="E7613" t="str">
        <f t="shared" si="272"/>
        <v>WEEKDAY</v>
      </c>
      <c r="F7613" t="e">
        <f t="shared" si="273"/>
        <v>#N/A</v>
      </c>
      <c r="G7613" s="74">
        <v>28807</v>
      </c>
      <c r="H7613" s="77">
        <v>0.45833333333333331</v>
      </c>
      <c r="J7613">
        <v>44.96</v>
      </c>
      <c r="M7613" s="74">
        <v>36112</v>
      </c>
      <c r="N7613" s="77">
        <v>0.45833333333333331</v>
      </c>
      <c r="P7613">
        <v>50</v>
      </c>
      <c r="S7613" s="74">
        <v>36843</v>
      </c>
      <c r="T7613" s="77">
        <v>0.45833333333333331</v>
      </c>
      <c r="V7613">
        <v>46.94</v>
      </c>
      <c r="X7613" s="42"/>
      <c r="AB7613">
        <v>49.2</v>
      </c>
      <c r="AC7613">
        <v>51.980000000000004</v>
      </c>
      <c r="AE7613" s="74"/>
      <c r="AF7613" s="77"/>
      <c r="AH7613" s="497">
        <v>44.6</v>
      </c>
      <c r="AJ7613" s="42"/>
      <c r="AK7613" s="74"/>
      <c r="AL7613" s="77"/>
      <c r="AN7613" s="497">
        <v>44.96</v>
      </c>
      <c r="AP7613" s="42"/>
      <c r="AQ7613" s="74"/>
      <c r="AR7613" s="77"/>
      <c r="AT7613" s="497">
        <v>35.06</v>
      </c>
      <c r="AV7613" s="42"/>
      <c r="AW7613" s="74"/>
      <c r="AX7613" s="77"/>
      <c r="BA7613" s="497">
        <v>48.92</v>
      </c>
      <c r="BB7613" s="42"/>
      <c r="BC7613" s="74"/>
      <c r="BD7613" s="77"/>
      <c r="BF7613">
        <v>48.019999999999996</v>
      </c>
      <c r="BH7613" s="42"/>
      <c r="BI7613" s="74"/>
      <c r="BJ7613" s="77"/>
      <c r="BL7613" s="497">
        <v>53.06</v>
      </c>
      <c r="BN7613" s="42"/>
      <c r="BO7613" s="74"/>
      <c r="BP7613" s="77"/>
      <c r="BR7613" s="497">
        <v>44.96</v>
      </c>
      <c r="BT7613" s="42"/>
    </row>
    <row r="7614" spans="1:72" x14ac:dyDescent="0.25">
      <c r="A7614" s="90">
        <v>36843</v>
      </c>
      <c r="B7614" s="20">
        <v>0.5</v>
      </c>
      <c r="D7614">
        <v>55.94</v>
      </c>
      <c r="E7614" t="str">
        <f t="shared" si="272"/>
        <v>WEEKDAY</v>
      </c>
      <c r="F7614" t="e">
        <f t="shared" si="273"/>
        <v>#N/A</v>
      </c>
      <c r="G7614" s="74">
        <v>28807</v>
      </c>
      <c r="H7614" s="77">
        <v>0.5</v>
      </c>
      <c r="J7614">
        <v>46.94</v>
      </c>
      <c r="M7614" s="74">
        <v>36112</v>
      </c>
      <c r="N7614" s="77">
        <v>0.5</v>
      </c>
      <c r="P7614">
        <v>48.2</v>
      </c>
      <c r="S7614" s="74">
        <v>36843</v>
      </c>
      <c r="T7614" s="77">
        <v>0.5</v>
      </c>
      <c r="V7614">
        <v>48.019999999999996</v>
      </c>
      <c r="X7614" s="42"/>
      <c r="AB7614">
        <v>50.6</v>
      </c>
      <c r="AC7614">
        <v>51.08</v>
      </c>
      <c r="AE7614" s="74"/>
      <c r="AF7614" s="77"/>
      <c r="AH7614" s="497">
        <v>48.2</v>
      </c>
      <c r="AJ7614" s="42"/>
      <c r="AK7614" s="74"/>
      <c r="AL7614" s="77"/>
      <c r="AN7614" s="497">
        <v>46.04</v>
      </c>
      <c r="AP7614" s="42"/>
      <c r="AQ7614" s="74"/>
      <c r="AR7614" s="77"/>
      <c r="AT7614" s="497">
        <v>37.04</v>
      </c>
      <c r="AV7614" s="42"/>
      <c r="AW7614" s="74"/>
      <c r="AX7614" s="77"/>
      <c r="BA7614" s="497">
        <v>51.08</v>
      </c>
      <c r="BB7614" s="42"/>
      <c r="BC7614" s="74"/>
      <c r="BD7614" s="77"/>
      <c r="BF7614">
        <v>50</v>
      </c>
      <c r="BH7614" s="42"/>
      <c r="BI7614" s="74"/>
      <c r="BJ7614" s="77"/>
      <c r="BL7614" s="497">
        <v>53.96</v>
      </c>
      <c r="BN7614" s="42"/>
      <c r="BO7614" s="74"/>
      <c r="BP7614" s="77"/>
      <c r="BR7614" s="497">
        <v>46.04</v>
      </c>
      <c r="BT7614" s="42"/>
    </row>
    <row r="7615" spans="1:72" x14ac:dyDescent="0.25">
      <c r="A7615" s="90">
        <v>36843</v>
      </c>
      <c r="B7615" s="20">
        <v>0.54166666666666663</v>
      </c>
      <c r="D7615">
        <v>57.019999999999996</v>
      </c>
      <c r="E7615" t="str">
        <f t="shared" si="272"/>
        <v>WEEKDAY</v>
      </c>
      <c r="F7615" t="e">
        <f t="shared" si="273"/>
        <v>#N/A</v>
      </c>
      <c r="G7615" s="74">
        <v>28807</v>
      </c>
      <c r="H7615" s="77">
        <v>0.54166666666666663</v>
      </c>
      <c r="J7615">
        <v>48.019999999999996</v>
      </c>
      <c r="M7615" s="74">
        <v>36112</v>
      </c>
      <c r="N7615" s="77">
        <v>0.54166666666666663</v>
      </c>
      <c r="P7615">
        <v>50</v>
      </c>
      <c r="S7615" s="74">
        <v>36843</v>
      </c>
      <c r="T7615" s="77">
        <v>0.54166666666666663</v>
      </c>
      <c r="V7615">
        <v>48.92</v>
      </c>
      <c r="X7615" s="42"/>
      <c r="AB7615">
        <v>51.6</v>
      </c>
      <c r="AC7615">
        <v>51.08</v>
      </c>
      <c r="AE7615" s="74"/>
      <c r="AF7615" s="77"/>
      <c r="AH7615" s="497">
        <v>50</v>
      </c>
      <c r="AJ7615" s="42"/>
      <c r="AK7615" s="74"/>
      <c r="AL7615" s="77"/>
      <c r="AN7615" s="497">
        <v>46.94</v>
      </c>
      <c r="AP7615" s="42"/>
      <c r="AQ7615" s="74"/>
      <c r="AR7615" s="77"/>
      <c r="AT7615" s="497">
        <v>37.94</v>
      </c>
      <c r="AV7615" s="42"/>
      <c r="AW7615" s="74"/>
      <c r="AX7615" s="77"/>
      <c r="BA7615" s="497">
        <v>53.96</v>
      </c>
      <c r="BB7615" s="42"/>
      <c r="BC7615" s="74"/>
      <c r="BD7615" s="77"/>
      <c r="BF7615">
        <v>48.019999999999996</v>
      </c>
      <c r="BH7615" s="42"/>
      <c r="BI7615" s="74"/>
      <c r="BJ7615" s="77"/>
      <c r="BL7615" s="497">
        <v>53.96</v>
      </c>
      <c r="BN7615" s="42"/>
      <c r="BO7615" s="74"/>
      <c r="BP7615" s="77"/>
      <c r="BR7615" s="497">
        <v>46.94</v>
      </c>
      <c r="BT7615" s="42"/>
    </row>
    <row r="7616" spans="1:72" x14ac:dyDescent="0.25">
      <c r="A7616" s="90">
        <v>36843</v>
      </c>
      <c r="B7616" s="20">
        <v>0.58333333333333337</v>
      </c>
      <c r="D7616">
        <v>57.92</v>
      </c>
      <c r="E7616" t="str">
        <f t="shared" si="272"/>
        <v>WEEKDAY</v>
      </c>
      <c r="F7616" t="e">
        <f t="shared" si="273"/>
        <v>#N/A</v>
      </c>
      <c r="G7616" s="74">
        <v>28807</v>
      </c>
      <c r="H7616" s="77">
        <v>0.58333333333333337</v>
      </c>
      <c r="J7616">
        <v>48.92</v>
      </c>
      <c r="M7616" s="74">
        <v>36112</v>
      </c>
      <c r="N7616" s="77">
        <v>0.58333333333333337</v>
      </c>
      <c r="P7616">
        <v>50</v>
      </c>
      <c r="S7616" s="74">
        <v>36843</v>
      </c>
      <c r="T7616" s="77">
        <v>0.58333333333333337</v>
      </c>
      <c r="V7616">
        <v>50</v>
      </c>
      <c r="X7616" s="42"/>
      <c r="AB7616">
        <v>52.2</v>
      </c>
      <c r="AC7616">
        <v>48.92</v>
      </c>
      <c r="AE7616" s="74"/>
      <c r="AF7616" s="77"/>
      <c r="AH7616" s="497">
        <v>51.8</v>
      </c>
      <c r="AJ7616" s="42"/>
      <c r="AK7616" s="74"/>
      <c r="AL7616" s="77"/>
      <c r="AN7616" s="497">
        <v>46.04</v>
      </c>
      <c r="AP7616" s="42"/>
      <c r="AQ7616" s="74"/>
      <c r="AR7616" s="77"/>
      <c r="AT7616" s="497">
        <v>37.94</v>
      </c>
      <c r="AV7616" s="42"/>
      <c r="AW7616" s="74"/>
      <c r="AX7616" s="77"/>
      <c r="BA7616" s="497">
        <v>55.040000000000006</v>
      </c>
      <c r="BB7616" s="42"/>
      <c r="BC7616" s="74"/>
      <c r="BD7616" s="77"/>
      <c r="BF7616">
        <v>46.94</v>
      </c>
      <c r="BH7616" s="42"/>
      <c r="BI7616" s="74"/>
      <c r="BJ7616" s="77"/>
      <c r="BL7616" s="497">
        <v>50</v>
      </c>
      <c r="BN7616" s="42"/>
      <c r="BO7616" s="74"/>
      <c r="BP7616" s="77"/>
      <c r="BR7616" s="497">
        <v>48.019999999999996</v>
      </c>
      <c r="BT7616" s="42"/>
    </row>
    <row r="7617" spans="1:72" x14ac:dyDescent="0.25">
      <c r="A7617" s="90">
        <v>36843</v>
      </c>
      <c r="B7617" s="20">
        <v>0.625</v>
      </c>
      <c r="D7617">
        <v>57.92</v>
      </c>
      <c r="E7617" t="str">
        <f t="shared" si="272"/>
        <v>WEEKDAY</v>
      </c>
      <c r="F7617" t="e">
        <f t="shared" si="273"/>
        <v>#N/A</v>
      </c>
      <c r="G7617" s="74">
        <v>28807</v>
      </c>
      <c r="H7617" s="77">
        <v>0.625</v>
      </c>
      <c r="J7617">
        <v>48.92</v>
      </c>
      <c r="M7617" s="74">
        <v>36112</v>
      </c>
      <c r="N7617" s="77">
        <v>0.625</v>
      </c>
      <c r="P7617">
        <v>50</v>
      </c>
      <c r="S7617" s="74">
        <v>36843</v>
      </c>
      <c r="T7617" s="77">
        <v>0.625</v>
      </c>
      <c r="V7617">
        <v>50</v>
      </c>
      <c r="X7617" s="42"/>
      <c r="AB7617">
        <v>52.5</v>
      </c>
      <c r="AC7617">
        <v>46.94</v>
      </c>
      <c r="AE7617" s="74"/>
      <c r="AF7617" s="77"/>
      <c r="AH7617" s="497">
        <v>53.6</v>
      </c>
      <c r="AJ7617" s="42"/>
      <c r="AK7617" s="74"/>
      <c r="AL7617" s="77"/>
      <c r="AN7617" s="497">
        <v>48.019999999999996</v>
      </c>
      <c r="AP7617" s="42"/>
      <c r="AQ7617" s="74"/>
      <c r="AR7617" s="77"/>
      <c r="AT7617" s="497">
        <v>37.04</v>
      </c>
      <c r="AV7617" s="42"/>
      <c r="AW7617" s="74"/>
      <c r="AX7617" s="77"/>
      <c r="BA7617" s="497">
        <v>57.019999999999996</v>
      </c>
      <c r="BB7617" s="42"/>
      <c r="BC7617" s="74"/>
      <c r="BD7617" s="77"/>
      <c r="BF7617">
        <v>46.04</v>
      </c>
      <c r="BH7617" s="42"/>
      <c r="BI7617" s="74"/>
      <c r="BJ7617" s="77"/>
      <c r="BL7617" s="497">
        <v>48.019999999999996</v>
      </c>
      <c r="BN7617" s="42"/>
      <c r="BO7617" s="74"/>
      <c r="BP7617" s="77"/>
      <c r="BR7617" s="497">
        <v>50</v>
      </c>
      <c r="BT7617" s="42"/>
    </row>
    <row r="7618" spans="1:72" x14ac:dyDescent="0.25">
      <c r="A7618" s="90">
        <v>36843</v>
      </c>
      <c r="B7618" s="20">
        <v>0.66666666666666663</v>
      </c>
      <c r="D7618">
        <v>57.92</v>
      </c>
      <c r="E7618" t="str">
        <f t="shared" si="272"/>
        <v>WEEKDAY</v>
      </c>
      <c r="F7618" t="e">
        <f t="shared" si="273"/>
        <v>#N/A</v>
      </c>
      <c r="G7618" s="74">
        <v>28807</v>
      </c>
      <c r="H7618" s="77">
        <v>0.66666666666666663</v>
      </c>
      <c r="J7618">
        <v>48.92</v>
      </c>
      <c r="M7618" s="74">
        <v>36112</v>
      </c>
      <c r="N7618" s="77">
        <v>0.66666666666666663</v>
      </c>
      <c r="P7618">
        <v>50</v>
      </c>
      <c r="S7618" s="74">
        <v>36843</v>
      </c>
      <c r="T7618" s="77">
        <v>0.66666666666666663</v>
      </c>
      <c r="V7618">
        <v>50</v>
      </c>
      <c r="X7618" s="42"/>
      <c r="AB7618">
        <v>52</v>
      </c>
      <c r="AC7618">
        <v>46.04</v>
      </c>
      <c r="AE7618" s="74"/>
      <c r="AF7618" s="77"/>
      <c r="AH7618" s="497">
        <v>53.6</v>
      </c>
      <c r="AJ7618" s="42"/>
      <c r="AK7618" s="74"/>
      <c r="AL7618" s="77"/>
      <c r="AN7618" s="497">
        <v>46.94</v>
      </c>
      <c r="AP7618" s="42"/>
      <c r="AQ7618" s="74"/>
      <c r="AR7618" s="77"/>
      <c r="AT7618" s="497">
        <v>35.96</v>
      </c>
      <c r="AV7618" s="42"/>
      <c r="AW7618" s="74"/>
      <c r="AX7618" s="77"/>
      <c r="BA7618" s="497">
        <v>55.040000000000006</v>
      </c>
      <c r="BB7618" s="42"/>
      <c r="BC7618" s="74"/>
      <c r="BD7618" s="77"/>
      <c r="BF7618">
        <v>48.019999999999996</v>
      </c>
      <c r="BH7618" s="42"/>
      <c r="BI7618" s="74"/>
      <c r="BJ7618" s="77"/>
      <c r="BL7618" s="497">
        <v>46.04</v>
      </c>
      <c r="BN7618" s="42"/>
      <c r="BO7618" s="74"/>
      <c r="BP7618" s="77"/>
      <c r="BR7618" s="497">
        <v>48.92</v>
      </c>
      <c r="BT7618" s="42"/>
    </row>
    <row r="7619" spans="1:72" x14ac:dyDescent="0.25">
      <c r="A7619" s="90">
        <v>36843</v>
      </c>
      <c r="B7619" s="20">
        <v>0.70833333333333337</v>
      </c>
      <c r="D7619">
        <v>57.019999999999996</v>
      </c>
      <c r="E7619" t="str">
        <f t="shared" si="272"/>
        <v>WEEKDAY</v>
      </c>
      <c r="F7619" t="e">
        <f t="shared" si="273"/>
        <v>#N/A</v>
      </c>
      <c r="G7619" s="74">
        <v>28807</v>
      </c>
      <c r="H7619" s="77">
        <v>0.70833333333333337</v>
      </c>
      <c r="J7619">
        <v>48.92</v>
      </c>
      <c r="M7619" s="74">
        <v>36112</v>
      </c>
      <c r="N7619" s="77">
        <v>0.70833333333333337</v>
      </c>
      <c r="P7619">
        <v>50</v>
      </c>
      <c r="S7619" s="74">
        <v>36843</v>
      </c>
      <c r="T7619" s="77">
        <v>0.70833333333333337</v>
      </c>
      <c r="V7619">
        <v>50</v>
      </c>
      <c r="X7619" s="42"/>
      <c r="AB7619">
        <v>51.1</v>
      </c>
      <c r="AC7619">
        <v>44.06</v>
      </c>
      <c r="AE7619" s="74"/>
      <c r="AF7619" s="77"/>
      <c r="AH7619" s="497">
        <v>50</v>
      </c>
      <c r="AJ7619" s="42"/>
      <c r="AK7619" s="74"/>
      <c r="AL7619" s="77"/>
      <c r="AN7619" s="497">
        <v>46.04</v>
      </c>
      <c r="AP7619" s="42"/>
      <c r="AQ7619" s="74"/>
      <c r="AR7619" s="77"/>
      <c r="AT7619" s="497">
        <v>33.08</v>
      </c>
      <c r="AV7619" s="42"/>
      <c r="AW7619" s="74"/>
      <c r="AX7619" s="77"/>
      <c r="BA7619" s="497">
        <v>53.06</v>
      </c>
      <c r="BB7619" s="42"/>
      <c r="BC7619" s="74"/>
      <c r="BD7619" s="77"/>
      <c r="BF7619">
        <v>44.96</v>
      </c>
      <c r="BH7619" s="42"/>
      <c r="BI7619" s="74"/>
      <c r="BJ7619" s="77"/>
      <c r="BL7619" s="497">
        <v>46.04</v>
      </c>
      <c r="BN7619" s="42"/>
      <c r="BO7619" s="74"/>
      <c r="BP7619" s="77"/>
      <c r="BR7619" s="497">
        <v>48.92</v>
      </c>
      <c r="BT7619" s="42"/>
    </row>
    <row r="7620" spans="1:72" x14ac:dyDescent="0.25">
      <c r="A7620" s="90">
        <v>36843</v>
      </c>
      <c r="B7620" s="20">
        <v>0.75</v>
      </c>
      <c r="D7620">
        <v>55.040000000000006</v>
      </c>
      <c r="E7620" t="str">
        <f t="shared" si="272"/>
        <v>WEEKDAY</v>
      </c>
      <c r="F7620" t="e">
        <f t="shared" si="273"/>
        <v>#N/A</v>
      </c>
      <c r="G7620" s="74">
        <v>28807</v>
      </c>
      <c r="H7620" s="77">
        <v>0.75</v>
      </c>
      <c r="J7620">
        <v>48.92</v>
      </c>
      <c r="M7620" s="74">
        <v>36112</v>
      </c>
      <c r="N7620" s="77">
        <v>0.75</v>
      </c>
      <c r="P7620">
        <v>48.2</v>
      </c>
      <c r="S7620" s="74">
        <v>36843</v>
      </c>
      <c r="T7620" s="77">
        <v>0.75</v>
      </c>
      <c r="V7620">
        <v>48.92</v>
      </c>
      <c r="X7620" s="42"/>
      <c r="AB7620">
        <v>49.6</v>
      </c>
      <c r="AC7620">
        <v>44.06</v>
      </c>
      <c r="AE7620" s="74"/>
      <c r="AF7620" s="77"/>
      <c r="AH7620" s="497">
        <v>41</v>
      </c>
      <c r="AJ7620" s="42"/>
      <c r="AK7620" s="74"/>
      <c r="AL7620" s="77"/>
      <c r="AN7620" s="497">
        <v>44.96</v>
      </c>
      <c r="AP7620" s="42"/>
      <c r="AQ7620" s="74"/>
      <c r="AR7620" s="77"/>
      <c r="AT7620" s="497">
        <v>30.92</v>
      </c>
      <c r="AV7620" s="42"/>
      <c r="AW7620" s="74"/>
      <c r="AX7620" s="77"/>
      <c r="BA7620" s="497">
        <v>50</v>
      </c>
      <c r="BB7620" s="42"/>
      <c r="BC7620" s="74"/>
      <c r="BD7620" s="77"/>
      <c r="BF7620">
        <v>44.06</v>
      </c>
      <c r="BH7620" s="42"/>
      <c r="BI7620" s="74"/>
      <c r="BJ7620" s="77"/>
      <c r="BL7620" s="497">
        <v>46.04</v>
      </c>
      <c r="BN7620" s="42"/>
      <c r="BO7620" s="74"/>
      <c r="BP7620" s="77"/>
      <c r="BR7620" s="497">
        <v>46.94</v>
      </c>
      <c r="BT7620" s="42"/>
    </row>
    <row r="7621" spans="1:72" x14ac:dyDescent="0.25">
      <c r="A7621" s="90">
        <v>36843</v>
      </c>
      <c r="B7621" s="20">
        <v>0.79166666666666663</v>
      </c>
      <c r="D7621">
        <v>55.040000000000006</v>
      </c>
      <c r="E7621" t="str">
        <f t="shared" si="272"/>
        <v>WEEKDAY</v>
      </c>
      <c r="F7621" t="e">
        <f t="shared" si="273"/>
        <v>#N/A</v>
      </c>
      <c r="G7621" s="74">
        <v>28807</v>
      </c>
      <c r="H7621" s="77">
        <v>0.79166666666666663</v>
      </c>
      <c r="J7621">
        <v>50</v>
      </c>
      <c r="M7621" s="74">
        <v>36112</v>
      </c>
      <c r="N7621" s="77">
        <v>0.79166666666666663</v>
      </c>
      <c r="P7621">
        <v>46.4</v>
      </c>
      <c r="S7621" s="74">
        <v>36843</v>
      </c>
      <c r="T7621" s="77">
        <v>0.79166666666666663</v>
      </c>
      <c r="V7621">
        <v>50</v>
      </c>
      <c r="X7621" s="42"/>
      <c r="AB7621">
        <v>49.1</v>
      </c>
      <c r="AC7621">
        <v>42.980000000000004</v>
      </c>
      <c r="AE7621" s="74"/>
      <c r="AF7621" s="77"/>
      <c r="AH7621" s="497">
        <v>37.4</v>
      </c>
      <c r="AJ7621" s="42"/>
      <c r="AK7621" s="74"/>
      <c r="AL7621" s="77"/>
      <c r="AN7621" s="497">
        <v>44.96</v>
      </c>
      <c r="AP7621" s="42"/>
      <c r="AQ7621" s="74"/>
      <c r="AR7621" s="77"/>
      <c r="AT7621" s="497">
        <v>28.04</v>
      </c>
      <c r="AV7621" s="42"/>
      <c r="AW7621" s="74"/>
      <c r="AX7621" s="77"/>
      <c r="BA7621" s="497">
        <v>46.94</v>
      </c>
      <c r="BB7621" s="42"/>
      <c r="BC7621" s="74"/>
      <c r="BD7621" s="77"/>
      <c r="BF7621">
        <v>42.980000000000004</v>
      </c>
      <c r="BH7621" s="42"/>
      <c r="BI7621" s="74"/>
      <c r="BJ7621" s="77"/>
      <c r="BL7621" s="497">
        <v>44.96</v>
      </c>
      <c r="BN7621" s="42"/>
      <c r="BO7621" s="74"/>
      <c r="BP7621" s="77"/>
      <c r="BR7621" s="497">
        <v>46.04</v>
      </c>
      <c r="BT7621" s="42"/>
    </row>
    <row r="7622" spans="1:72" x14ac:dyDescent="0.25">
      <c r="A7622" s="90">
        <v>36843</v>
      </c>
      <c r="B7622" s="20">
        <v>0.83333333333333337</v>
      </c>
      <c r="D7622">
        <v>53.06</v>
      </c>
      <c r="E7622" t="str">
        <f t="shared" si="272"/>
        <v>WEEKDAY</v>
      </c>
      <c r="F7622" t="e">
        <f t="shared" si="273"/>
        <v>#N/A</v>
      </c>
      <c r="G7622" s="74">
        <v>28807</v>
      </c>
      <c r="H7622" s="77">
        <v>0.83333333333333337</v>
      </c>
      <c r="J7622">
        <v>51.08</v>
      </c>
      <c r="M7622" s="74">
        <v>36112</v>
      </c>
      <c r="N7622" s="77">
        <v>0.83333333333333337</v>
      </c>
      <c r="P7622">
        <v>48.2</v>
      </c>
      <c r="S7622" s="74">
        <v>36843</v>
      </c>
      <c r="T7622" s="77">
        <v>0.83333333333333337</v>
      </c>
      <c r="V7622">
        <v>50</v>
      </c>
      <c r="X7622" s="42"/>
      <c r="AB7622">
        <v>48.7</v>
      </c>
      <c r="AC7622">
        <v>42.08</v>
      </c>
      <c r="AE7622" s="74"/>
      <c r="AF7622" s="77"/>
      <c r="AH7622" s="497">
        <v>33.799999999999997</v>
      </c>
      <c r="AJ7622" s="42"/>
      <c r="AK7622" s="74"/>
      <c r="AL7622" s="77"/>
      <c r="AN7622" s="497">
        <v>44.06</v>
      </c>
      <c r="AP7622" s="42"/>
      <c r="AQ7622" s="74"/>
      <c r="AR7622" s="77"/>
      <c r="AT7622" s="497">
        <v>26.96</v>
      </c>
      <c r="AV7622" s="42"/>
      <c r="AW7622" s="74"/>
      <c r="AX7622" s="77"/>
      <c r="BA7622" s="497">
        <v>46.04</v>
      </c>
      <c r="BB7622" s="42"/>
      <c r="BC7622" s="74"/>
      <c r="BD7622" s="77"/>
      <c r="BF7622">
        <v>42.980000000000004</v>
      </c>
      <c r="BH7622" s="42"/>
      <c r="BI7622" s="74"/>
      <c r="BJ7622" s="77"/>
      <c r="BL7622" s="497">
        <v>44.06</v>
      </c>
      <c r="BN7622" s="42"/>
      <c r="BO7622" s="74"/>
      <c r="BP7622" s="77"/>
      <c r="BR7622" s="497">
        <v>46.94</v>
      </c>
      <c r="BT7622" s="42"/>
    </row>
    <row r="7623" spans="1:72" x14ac:dyDescent="0.25">
      <c r="A7623" s="90">
        <v>36843</v>
      </c>
      <c r="B7623" s="20">
        <v>0.875</v>
      </c>
      <c r="D7623">
        <v>53.96</v>
      </c>
      <c r="E7623" t="str">
        <f t="shared" si="272"/>
        <v>WEEKDAY</v>
      </c>
      <c r="F7623" t="e">
        <f t="shared" si="273"/>
        <v>#N/A</v>
      </c>
      <c r="G7623" s="74">
        <v>28807</v>
      </c>
      <c r="H7623" s="77">
        <v>0.875</v>
      </c>
      <c r="J7623">
        <v>51.08</v>
      </c>
      <c r="M7623" s="74">
        <v>36112</v>
      </c>
      <c r="N7623" s="77">
        <v>0.875</v>
      </c>
      <c r="P7623">
        <v>46.4</v>
      </c>
      <c r="S7623" s="74">
        <v>36843</v>
      </c>
      <c r="T7623" s="77">
        <v>0.875</v>
      </c>
      <c r="V7623">
        <v>51.08</v>
      </c>
      <c r="X7623" s="42"/>
      <c r="AB7623">
        <v>48.1</v>
      </c>
      <c r="AC7623">
        <v>41</v>
      </c>
      <c r="AE7623" s="74"/>
      <c r="AF7623" s="77"/>
      <c r="AH7623" s="497">
        <v>33.799999999999997</v>
      </c>
      <c r="AJ7623" s="42"/>
      <c r="AK7623" s="74"/>
      <c r="AL7623" s="77"/>
      <c r="AN7623" s="497">
        <v>42.980000000000004</v>
      </c>
      <c r="AP7623" s="42"/>
      <c r="AQ7623" s="74"/>
      <c r="AR7623" s="77"/>
      <c r="AT7623" s="497">
        <v>26.060000000000002</v>
      </c>
      <c r="AV7623" s="42"/>
      <c r="AW7623" s="74"/>
      <c r="AX7623" s="77"/>
      <c r="BA7623" s="497">
        <v>48.92</v>
      </c>
      <c r="BB7623" s="42"/>
      <c r="BC7623" s="74"/>
      <c r="BD7623" s="77"/>
      <c r="BF7623">
        <v>44.96</v>
      </c>
      <c r="BH7623" s="42"/>
      <c r="BI7623" s="74"/>
      <c r="BJ7623" s="77"/>
      <c r="BL7623" s="497">
        <v>42.08</v>
      </c>
      <c r="BN7623" s="42"/>
      <c r="BO7623" s="74"/>
      <c r="BP7623" s="77"/>
      <c r="BR7623" s="497">
        <v>46.04</v>
      </c>
      <c r="BT7623" s="42"/>
    </row>
    <row r="7624" spans="1:72" x14ac:dyDescent="0.25">
      <c r="A7624" s="90">
        <v>36843</v>
      </c>
      <c r="B7624" s="20">
        <v>0.91666666666666663</v>
      </c>
      <c r="D7624">
        <v>51.980000000000004</v>
      </c>
      <c r="E7624" t="str">
        <f t="shared" si="272"/>
        <v>WEEKDAY</v>
      </c>
      <c r="F7624" t="e">
        <f t="shared" si="273"/>
        <v>#N/A</v>
      </c>
      <c r="G7624" s="74">
        <v>28807</v>
      </c>
      <c r="H7624" s="77">
        <v>0.91666666666666663</v>
      </c>
      <c r="J7624">
        <v>51.980000000000004</v>
      </c>
      <c r="M7624" s="74">
        <v>36112</v>
      </c>
      <c r="N7624" s="77">
        <v>0.91666666666666663</v>
      </c>
      <c r="P7624">
        <v>42.8</v>
      </c>
      <c r="S7624" s="74">
        <v>36843</v>
      </c>
      <c r="T7624" s="77">
        <v>0.91666666666666663</v>
      </c>
      <c r="V7624">
        <v>51.08</v>
      </c>
      <c r="X7624" s="42"/>
      <c r="AB7624">
        <v>47.5</v>
      </c>
      <c r="AC7624">
        <v>39.92</v>
      </c>
      <c r="AE7624" s="74"/>
      <c r="AF7624" s="77"/>
      <c r="AH7624" s="497">
        <v>30.2</v>
      </c>
      <c r="AJ7624" s="42"/>
      <c r="AK7624" s="74"/>
      <c r="AL7624" s="77"/>
      <c r="AN7624" s="497">
        <v>42.980000000000004</v>
      </c>
      <c r="AP7624" s="42"/>
      <c r="AQ7624" s="74"/>
      <c r="AR7624" s="77"/>
      <c r="AT7624" s="497">
        <v>24.08</v>
      </c>
      <c r="AV7624" s="42"/>
      <c r="AW7624" s="74"/>
      <c r="AX7624" s="77"/>
      <c r="BA7624" s="497">
        <v>48.92</v>
      </c>
      <c r="BB7624" s="42"/>
      <c r="BC7624" s="74"/>
      <c r="BD7624" s="77"/>
      <c r="BF7624">
        <v>46.04</v>
      </c>
      <c r="BH7624" s="42"/>
      <c r="BI7624" s="74"/>
      <c r="BJ7624" s="77"/>
      <c r="BL7624" s="497">
        <v>41</v>
      </c>
      <c r="BN7624" s="42"/>
      <c r="BO7624" s="74"/>
      <c r="BP7624" s="77"/>
      <c r="BR7624" s="497">
        <v>44.06</v>
      </c>
      <c r="BT7624" s="42"/>
    </row>
    <row r="7625" spans="1:72" x14ac:dyDescent="0.25">
      <c r="A7625" s="90">
        <v>36843</v>
      </c>
      <c r="B7625" s="20">
        <v>0.95833333333333337</v>
      </c>
      <c r="D7625">
        <v>51.08</v>
      </c>
      <c r="E7625" t="str">
        <f t="shared" si="272"/>
        <v>WEEKDAY</v>
      </c>
      <c r="F7625" t="e">
        <f t="shared" si="273"/>
        <v>#N/A</v>
      </c>
      <c r="G7625" s="74">
        <v>28807</v>
      </c>
      <c r="H7625" s="77">
        <v>0.95833333333333337</v>
      </c>
      <c r="J7625">
        <v>51.980000000000004</v>
      </c>
      <c r="M7625" s="74">
        <v>36112</v>
      </c>
      <c r="N7625" s="77">
        <v>0.95833333333333337</v>
      </c>
      <c r="P7625">
        <v>41</v>
      </c>
      <c r="S7625" s="74">
        <v>36843</v>
      </c>
      <c r="T7625" s="77">
        <v>0.95833333333333337</v>
      </c>
      <c r="V7625">
        <v>51.980000000000004</v>
      </c>
      <c r="X7625" s="42"/>
      <c r="AB7625">
        <v>46.9</v>
      </c>
      <c r="AC7625">
        <v>39.019999999999996</v>
      </c>
      <c r="AE7625" s="74"/>
      <c r="AF7625" s="77"/>
      <c r="AH7625" s="497">
        <v>28.4</v>
      </c>
      <c r="AJ7625" s="42"/>
      <c r="AK7625" s="74"/>
      <c r="AL7625" s="77"/>
      <c r="AN7625" s="497">
        <v>39.92</v>
      </c>
      <c r="AP7625" s="42"/>
      <c r="AQ7625" s="74"/>
      <c r="AR7625" s="77"/>
      <c r="AT7625" s="497">
        <v>23</v>
      </c>
      <c r="AV7625" s="42"/>
      <c r="AW7625" s="74"/>
      <c r="AX7625" s="77"/>
      <c r="BA7625" s="497">
        <v>50</v>
      </c>
      <c r="BB7625" s="42"/>
      <c r="BC7625" s="74"/>
      <c r="BD7625" s="77"/>
      <c r="BF7625">
        <v>44.06</v>
      </c>
      <c r="BH7625" s="42"/>
      <c r="BI7625" s="74"/>
      <c r="BJ7625" s="77"/>
      <c r="BL7625" s="497">
        <v>42.08</v>
      </c>
      <c r="BN7625" s="42"/>
      <c r="BO7625" s="74"/>
      <c r="BP7625" s="77"/>
      <c r="BR7625" s="497">
        <v>44.06</v>
      </c>
      <c r="BT7625" s="42"/>
    </row>
    <row r="7626" spans="1:72" x14ac:dyDescent="0.25">
      <c r="A7626" s="90">
        <v>36843</v>
      </c>
      <c r="B7626" s="20">
        <v>1</v>
      </c>
      <c r="D7626">
        <v>51.08</v>
      </c>
      <c r="E7626" t="str">
        <f t="shared" si="272"/>
        <v>WEEKDAY</v>
      </c>
      <c r="F7626" t="e">
        <f t="shared" si="273"/>
        <v>#N/A</v>
      </c>
      <c r="G7626" s="74">
        <v>28807</v>
      </c>
      <c r="H7626" s="77">
        <v>1</v>
      </c>
      <c r="J7626">
        <v>53.06</v>
      </c>
      <c r="M7626" s="74">
        <v>36112</v>
      </c>
      <c r="N7626" s="80">
        <v>1</v>
      </c>
      <c r="P7626">
        <v>42.8</v>
      </c>
      <c r="S7626" s="74">
        <v>36843</v>
      </c>
      <c r="T7626" s="80">
        <v>1</v>
      </c>
      <c r="V7626">
        <v>51.980000000000004</v>
      </c>
      <c r="X7626" s="42"/>
      <c r="AB7626">
        <v>46.3</v>
      </c>
      <c r="AC7626">
        <v>39.019999999999996</v>
      </c>
      <c r="AE7626" s="74"/>
      <c r="AF7626" s="80"/>
      <c r="AH7626" s="497">
        <v>28.4</v>
      </c>
      <c r="AJ7626" s="42"/>
      <c r="AK7626" s="74"/>
      <c r="AL7626" s="80"/>
      <c r="AN7626" s="497">
        <v>37.04</v>
      </c>
      <c r="AP7626" s="42"/>
      <c r="AQ7626" s="74"/>
      <c r="AR7626" s="80"/>
      <c r="AT7626" s="497">
        <v>23</v>
      </c>
      <c r="AV7626" s="42"/>
      <c r="AW7626" s="74"/>
      <c r="AX7626" s="80"/>
      <c r="BA7626" s="497">
        <v>50</v>
      </c>
      <c r="BB7626" s="42"/>
      <c r="BC7626" s="74"/>
      <c r="BD7626" s="80"/>
      <c r="BF7626">
        <v>44.96</v>
      </c>
      <c r="BH7626" s="42"/>
      <c r="BI7626" s="74"/>
      <c r="BJ7626" s="80"/>
      <c r="BL7626" s="497">
        <v>42.08</v>
      </c>
      <c r="BN7626" s="42"/>
      <c r="BO7626" s="74"/>
      <c r="BP7626" s="80"/>
      <c r="BR7626" s="497">
        <v>44.06</v>
      </c>
      <c r="BT7626" s="42"/>
    </row>
    <row r="7627" spans="1:72" x14ac:dyDescent="0.25">
      <c r="A7627" s="90">
        <v>36844</v>
      </c>
      <c r="B7627" s="20">
        <v>4.1666666666666664E-2</v>
      </c>
      <c r="D7627">
        <v>50</v>
      </c>
      <c r="E7627" t="str">
        <f t="shared" si="272"/>
        <v>WEEKDAY</v>
      </c>
      <c r="F7627" t="e">
        <f t="shared" si="273"/>
        <v>#N/A</v>
      </c>
      <c r="G7627" s="74">
        <v>28808</v>
      </c>
      <c r="H7627" s="77">
        <v>4.1666666666666664E-2</v>
      </c>
      <c r="J7627">
        <v>53.06</v>
      </c>
      <c r="M7627" s="74">
        <v>36113</v>
      </c>
      <c r="N7627" s="77">
        <v>4.1666666666666664E-2</v>
      </c>
      <c r="P7627">
        <v>41</v>
      </c>
      <c r="S7627" s="74">
        <v>36844</v>
      </c>
      <c r="T7627" s="77">
        <v>4.1666666666666664E-2</v>
      </c>
      <c r="V7627">
        <v>51.980000000000004</v>
      </c>
      <c r="X7627" s="42"/>
      <c r="AB7627">
        <v>45.7</v>
      </c>
      <c r="AC7627">
        <v>39.019999999999996</v>
      </c>
      <c r="AE7627" s="74"/>
      <c r="AF7627" s="77"/>
      <c r="AH7627" s="497">
        <v>26.6</v>
      </c>
      <c r="AJ7627" s="42"/>
      <c r="AK7627" s="74"/>
      <c r="AL7627" s="77"/>
      <c r="AN7627" s="497">
        <v>37.04</v>
      </c>
      <c r="AP7627" s="42"/>
      <c r="AQ7627" s="74"/>
      <c r="AR7627" s="77"/>
      <c r="AT7627" s="497">
        <v>21.02</v>
      </c>
      <c r="AV7627" s="42"/>
      <c r="AW7627" s="74"/>
      <c r="AX7627" s="77"/>
      <c r="BA7627" s="497">
        <v>46.94</v>
      </c>
      <c r="BB7627" s="42"/>
      <c r="BC7627" s="74"/>
      <c r="BD7627" s="77"/>
      <c r="BF7627">
        <v>42.08</v>
      </c>
      <c r="BH7627" s="42"/>
      <c r="BI7627" s="74"/>
      <c r="BJ7627" s="77"/>
      <c r="BL7627" s="497">
        <v>42.08</v>
      </c>
      <c r="BN7627" s="42"/>
      <c r="BO7627" s="74"/>
      <c r="BP7627" s="77"/>
      <c r="BR7627" s="497">
        <v>44.06</v>
      </c>
      <c r="BT7627" s="42"/>
    </row>
    <row r="7628" spans="1:72" x14ac:dyDescent="0.25">
      <c r="A7628" s="90">
        <v>36844</v>
      </c>
      <c r="B7628" s="20">
        <v>8.3333333333333329E-2</v>
      </c>
      <c r="D7628">
        <v>48.92</v>
      </c>
      <c r="E7628" t="str">
        <f t="shared" si="272"/>
        <v>WEEKDAY</v>
      </c>
      <c r="F7628" t="e">
        <f t="shared" si="273"/>
        <v>#N/A</v>
      </c>
      <c r="G7628" s="74">
        <v>28808</v>
      </c>
      <c r="H7628" s="77">
        <v>8.3333333333333329E-2</v>
      </c>
      <c r="J7628">
        <v>53.06</v>
      </c>
      <c r="M7628" s="74">
        <v>36113</v>
      </c>
      <c r="N7628" s="77">
        <v>8.3333333333333329E-2</v>
      </c>
      <c r="P7628">
        <v>41</v>
      </c>
      <c r="S7628" s="74">
        <v>36844</v>
      </c>
      <c r="T7628" s="77">
        <v>8.3333333333333329E-2</v>
      </c>
      <c r="V7628">
        <v>51.980000000000004</v>
      </c>
      <c r="X7628" s="42"/>
      <c r="AB7628">
        <v>45.1</v>
      </c>
      <c r="AC7628">
        <v>39.019999999999996</v>
      </c>
      <c r="AE7628" s="74"/>
      <c r="AF7628" s="77"/>
      <c r="AH7628" s="497">
        <v>26.6</v>
      </c>
      <c r="AJ7628" s="42"/>
      <c r="AK7628" s="74"/>
      <c r="AL7628" s="77"/>
      <c r="AN7628" s="497">
        <v>35.96</v>
      </c>
      <c r="AP7628" s="42"/>
      <c r="AQ7628" s="74"/>
      <c r="AR7628" s="77"/>
      <c r="AT7628" s="497">
        <v>19.939999999999998</v>
      </c>
      <c r="AV7628" s="42"/>
      <c r="AW7628" s="74"/>
      <c r="AX7628" s="77"/>
      <c r="BA7628" s="497">
        <v>48.019999999999996</v>
      </c>
      <c r="BB7628" s="42"/>
      <c r="BC7628" s="74"/>
      <c r="BD7628" s="77"/>
      <c r="BF7628">
        <v>41</v>
      </c>
      <c r="BH7628" s="42"/>
      <c r="BI7628" s="74"/>
      <c r="BJ7628" s="77"/>
      <c r="BL7628" s="497">
        <v>41</v>
      </c>
      <c r="BN7628" s="42"/>
      <c r="BO7628" s="74"/>
      <c r="BP7628" s="77"/>
      <c r="BR7628" s="497">
        <v>44.96</v>
      </c>
      <c r="BT7628" s="42"/>
    </row>
    <row r="7629" spans="1:72" x14ac:dyDescent="0.25">
      <c r="A7629" s="90">
        <v>36844</v>
      </c>
      <c r="B7629" s="20">
        <v>0.125</v>
      </c>
      <c r="D7629">
        <v>50</v>
      </c>
      <c r="E7629" t="str">
        <f t="shared" si="272"/>
        <v>WEEKDAY</v>
      </c>
      <c r="F7629" t="e">
        <f t="shared" si="273"/>
        <v>#N/A</v>
      </c>
      <c r="G7629" s="74">
        <v>28808</v>
      </c>
      <c r="H7629" s="77">
        <v>0.125</v>
      </c>
      <c r="J7629">
        <v>53.96</v>
      </c>
      <c r="M7629" s="74">
        <v>36113</v>
      </c>
      <c r="N7629" s="77">
        <v>0.125</v>
      </c>
      <c r="P7629">
        <v>41</v>
      </c>
      <c r="S7629" s="74">
        <v>36844</v>
      </c>
      <c r="T7629" s="77">
        <v>0.125</v>
      </c>
      <c r="V7629">
        <v>51.980000000000004</v>
      </c>
      <c r="X7629" s="42"/>
      <c r="AB7629">
        <v>44.7</v>
      </c>
      <c r="AC7629">
        <v>37.94</v>
      </c>
      <c r="AE7629" s="74"/>
      <c r="AF7629" s="77"/>
      <c r="AH7629" s="497">
        <v>26.6</v>
      </c>
      <c r="AJ7629" s="42"/>
      <c r="AK7629" s="74"/>
      <c r="AL7629" s="77"/>
      <c r="AN7629" s="497">
        <v>35.06</v>
      </c>
      <c r="AP7629" s="42"/>
      <c r="AQ7629" s="74"/>
      <c r="AR7629" s="77"/>
      <c r="AT7629" s="497">
        <v>23</v>
      </c>
      <c r="AV7629" s="42"/>
      <c r="AW7629" s="74"/>
      <c r="AX7629" s="77"/>
      <c r="BA7629" s="497">
        <v>46.94</v>
      </c>
      <c r="BB7629" s="42"/>
      <c r="BC7629" s="74"/>
      <c r="BD7629" s="77"/>
      <c r="BF7629">
        <v>41</v>
      </c>
      <c r="BH7629" s="42"/>
      <c r="BI7629" s="74"/>
      <c r="BJ7629" s="77"/>
      <c r="BL7629" s="497">
        <v>39.92</v>
      </c>
      <c r="BN7629" s="42"/>
      <c r="BO7629" s="74"/>
      <c r="BP7629" s="77"/>
      <c r="BR7629" s="497">
        <v>44.06</v>
      </c>
      <c r="BT7629" s="42"/>
    </row>
    <row r="7630" spans="1:72" x14ac:dyDescent="0.25">
      <c r="A7630" s="90">
        <v>36844</v>
      </c>
      <c r="B7630" s="20">
        <v>0.16666666666666666</v>
      </c>
      <c r="D7630">
        <v>50</v>
      </c>
      <c r="E7630" t="str">
        <f t="shared" si="272"/>
        <v>WEEKDAY</v>
      </c>
      <c r="F7630" t="e">
        <f t="shared" si="273"/>
        <v>#N/A</v>
      </c>
      <c r="G7630" s="74">
        <v>28808</v>
      </c>
      <c r="H7630" s="77">
        <v>0.16666666666666666</v>
      </c>
      <c r="J7630">
        <v>55.040000000000006</v>
      </c>
      <c r="M7630" s="74">
        <v>36113</v>
      </c>
      <c r="N7630" s="77">
        <v>0.16666666666666666</v>
      </c>
      <c r="P7630">
        <v>41</v>
      </c>
      <c r="S7630" s="74">
        <v>36844</v>
      </c>
      <c r="T7630" s="77">
        <v>0.16666666666666666</v>
      </c>
      <c r="V7630">
        <v>51.980000000000004</v>
      </c>
      <c r="X7630" s="42"/>
      <c r="AB7630">
        <v>44.2</v>
      </c>
      <c r="AC7630">
        <v>37.04</v>
      </c>
      <c r="AE7630" s="74"/>
      <c r="AF7630" s="77"/>
      <c r="AH7630" s="497">
        <v>26.6</v>
      </c>
      <c r="AJ7630" s="42"/>
      <c r="AK7630" s="74"/>
      <c r="AL7630" s="77"/>
      <c r="AN7630" s="497">
        <v>35.06</v>
      </c>
      <c r="AP7630" s="42"/>
      <c r="AQ7630" s="74"/>
      <c r="AR7630" s="77"/>
      <c r="AT7630" s="497">
        <v>21.02</v>
      </c>
      <c r="AV7630" s="42"/>
      <c r="AW7630" s="74"/>
      <c r="AX7630" s="77"/>
      <c r="BA7630" s="497">
        <v>44.06</v>
      </c>
      <c r="BB7630" s="42"/>
      <c r="BC7630" s="74"/>
      <c r="BD7630" s="77"/>
      <c r="BF7630">
        <v>42.08</v>
      </c>
      <c r="BH7630" s="42"/>
      <c r="BI7630" s="74"/>
      <c r="BJ7630" s="77"/>
      <c r="BL7630" s="497">
        <v>41</v>
      </c>
      <c r="BN7630" s="42"/>
      <c r="BO7630" s="74"/>
      <c r="BP7630" s="77"/>
      <c r="BR7630" s="497">
        <v>44.06</v>
      </c>
      <c r="BT7630" s="42"/>
    </row>
    <row r="7631" spans="1:72" x14ac:dyDescent="0.25">
      <c r="A7631" s="90">
        <v>36844</v>
      </c>
      <c r="B7631" s="20">
        <v>0.20833333333333334</v>
      </c>
      <c r="D7631">
        <v>50</v>
      </c>
      <c r="E7631" t="str">
        <f t="shared" si="272"/>
        <v>WEEKDAY</v>
      </c>
      <c r="F7631" t="e">
        <f t="shared" si="273"/>
        <v>#N/A</v>
      </c>
      <c r="G7631" s="74">
        <v>28808</v>
      </c>
      <c r="H7631" s="77">
        <v>0.20833333333333334</v>
      </c>
      <c r="J7631">
        <v>55.040000000000006</v>
      </c>
      <c r="M7631" s="74">
        <v>36113</v>
      </c>
      <c r="N7631" s="77">
        <v>0.20833333333333334</v>
      </c>
      <c r="P7631">
        <v>39.200000000000003</v>
      </c>
      <c r="S7631" s="74">
        <v>36844</v>
      </c>
      <c r="T7631" s="77">
        <v>0.20833333333333334</v>
      </c>
      <c r="V7631">
        <v>51.08</v>
      </c>
      <c r="X7631" s="42"/>
      <c r="AB7631">
        <v>43.8</v>
      </c>
      <c r="AC7631">
        <v>35.96</v>
      </c>
      <c r="AE7631" s="74"/>
      <c r="AF7631" s="77"/>
      <c r="AH7631" s="497">
        <v>26.6</v>
      </c>
      <c r="AJ7631" s="42"/>
      <c r="AK7631" s="74"/>
      <c r="AL7631" s="77"/>
      <c r="AN7631" s="497">
        <v>35.06</v>
      </c>
      <c r="AP7631" s="42"/>
      <c r="AQ7631" s="74"/>
      <c r="AR7631" s="77"/>
      <c r="AT7631" s="497">
        <v>19.939999999999998</v>
      </c>
      <c r="AV7631" s="42"/>
      <c r="AW7631" s="74"/>
      <c r="AX7631" s="77"/>
      <c r="BA7631" s="497">
        <v>46.04</v>
      </c>
      <c r="BB7631" s="42"/>
      <c r="BC7631" s="74"/>
      <c r="BD7631" s="77"/>
      <c r="BF7631">
        <v>44.06</v>
      </c>
      <c r="BH7631" s="42"/>
      <c r="BI7631" s="74"/>
      <c r="BJ7631" s="77"/>
      <c r="BL7631" s="497">
        <v>41</v>
      </c>
      <c r="BN7631" s="42"/>
      <c r="BO7631" s="74"/>
      <c r="BP7631" s="77"/>
      <c r="BR7631" s="497">
        <v>44.06</v>
      </c>
      <c r="BT7631" s="42"/>
    </row>
    <row r="7632" spans="1:72" x14ac:dyDescent="0.25">
      <c r="A7632" s="90">
        <v>36844</v>
      </c>
      <c r="B7632" s="20">
        <v>0.25</v>
      </c>
      <c r="D7632">
        <v>48.92</v>
      </c>
      <c r="E7632" t="str">
        <f t="shared" si="272"/>
        <v>WEEKDAY</v>
      </c>
      <c r="F7632" t="e">
        <f t="shared" si="273"/>
        <v>#N/A</v>
      </c>
      <c r="G7632" s="74">
        <v>28808</v>
      </c>
      <c r="H7632" s="77">
        <v>0.25</v>
      </c>
      <c r="J7632">
        <v>55.040000000000006</v>
      </c>
      <c r="M7632" s="74">
        <v>36113</v>
      </c>
      <c r="N7632" s="77">
        <v>0.25</v>
      </c>
      <c r="P7632">
        <v>39.200000000000003</v>
      </c>
      <c r="S7632" s="74">
        <v>36844</v>
      </c>
      <c r="T7632" s="77">
        <v>0.25</v>
      </c>
      <c r="V7632">
        <v>50</v>
      </c>
      <c r="X7632" s="42"/>
      <c r="AB7632">
        <v>43.6</v>
      </c>
      <c r="AC7632">
        <v>35.06</v>
      </c>
      <c r="AE7632" s="74"/>
      <c r="AF7632" s="77"/>
      <c r="AH7632" s="497">
        <v>28.4</v>
      </c>
      <c r="AJ7632" s="42"/>
      <c r="AK7632" s="74"/>
      <c r="AL7632" s="77"/>
      <c r="AN7632" s="497">
        <v>35.06</v>
      </c>
      <c r="AP7632" s="42"/>
      <c r="AQ7632" s="74"/>
      <c r="AR7632" s="77"/>
      <c r="AT7632" s="497">
        <v>17.059999999999999</v>
      </c>
      <c r="AV7632" s="42"/>
      <c r="AW7632" s="74"/>
      <c r="AX7632" s="77"/>
      <c r="BA7632" s="497">
        <v>46.04</v>
      </c>
      <c r="BB7632" s="42"/>
      <c r="BC7632" s="74"/>
      <c r="BD7632" s="77"/>
      <c r="BF7632">
        <v>48.019999999999996</v>
      </c>
      <c r="BH7632" s="42"/>
      <c r="BI7632" s="74"/>
      <c r="BJ7632" s="77"/>
      <c r="BL7632" s="497">
        <v>41</v>
      </c>
      <c r="BN7632" s="42"/>
      <c r="BO7632" s="74"/>
      <c r="BP7632" s="77"/>
      <c r="BR7632" s="497">
        <v>44.06</v>
      </c>
      <c r="BT7632" s="42"/>
    </row>
    <row r="7633" spans="1:72" x14ac:dyDescent="0.25">
      <c r="A7633" s="90">
        <v>36844</v>
      </c>
      <c r="B7633" s="20">
        <v>0.29166666666666669</v>
      </c>
      <c r="D7633">
        <v>50</v>
      </c>
      <c r="E7633" t="str">
        <f t="shared" si="272"/>
        <v>WEEKDAY</v>
      </c>
      <c r="F7633" t="e">
        <f t="shared" si="273"/>
        <v>#N/A</v>
      </c>
      <c r="G7633" s="74">
        <v>28808</v>
      </c>
      <c r="H7633" s="77">
        <v>0.29166666666666669</v>
      </c>
      <c r="J7633">
        <v>55.94</v>
      </c>
      <c r="M7633" s="74">
        <v>36113</v>
      </c>
      <c r="N7633" s="77">
        <v>0.29166666666666669</v>
      </c>
      <c r="P7633">
        <v>39.200000000000003</v>
      </c>
      <c r="S7633" s="74">
        <v>36844</v>
      </c>
      <c r="T7633" s="77">
        <v>0.29166666666666669</v>
      </c>
      <c r="V7633">
        <v>50</v>
      </c>
      <c r="X7633" s="42"/>
      <c r="AB7633">
        <v>43.5</v>
      </c>
      <c r="AC7633">
        <v>35.06</v>
      </c>
      <c r="AE7633" s="74"/>
      <c r="AF7633" s="77"/>
      <c r="AH7633" s="497">
        <v>26.6</v>
      </c>
      <c r="AJ7633" s="42"/>
      <c r="AK7633" s="74"/>
      <c r="AL7633" s="77"/>
      <c r="AN7633" s="497">
        <v>35.06</v>
      </c>
      <c r="AP7633" s="42"/>
      <c r="AQ7633" s="74"/>
      <c r="AR7633" s="77"/>
      <c r="AT7633" s="497">
        <v>19.04</v>
      </c>
      <c r="AV7633" s="42"/>
      <c r="AW7633" s="74"/>
      <c r="AX7633" s="77"/>
      <c r="BA7633" s="497">
        <v>46.04</v>
      </c>
      <c r="BB7633" s="42"/>
      <c r="BC7633" s="74"/>
      <c r="BD7633" s="77"/>
      <c r="BF7633">
        <v>48.019999999999996</v>
      </c>
      <c r="BH7633" s="42"/>
      <c r="BI7633" s="74"/>
      <c r="BJ7633" s="77"/>
      <c r="BL7633" s="497">
        <v>41</v>
      </c>
      <c r="BN7633" s="42"/>
      <c r="BO7633" s="74"/>
      <c r="BP7633" s="77"/>
      <c r="BR7633" s="497">
        <v>44.06</v>
      </c>
      <c r="BT7633" s="42"/>
    </row>
    <row r="7634" spans="1:72" x14ac:dyDescent="0.25">
      <c r="A7634" s="90">
        <v>36844</v>
      </c>
      <c r="B7634" s="20">
        <v>0.33333333333333331</v>
      </c>
      <c r="D7634">
        <v>51.08</v>
      </c>
      <c r="E7634" t="str">
        <f t="shared" si="272"/>
        <v>WEEKDAY</v>
      </c>
      <c r="F7634" t="e">
        <f t="shared" si="273"/>
        <v>#N/A</v>
      </c>
      <c r="G7634" s="74">
        <v>28808</v>
      </c>
      <c r="H7634" s="77">
        <v>0.33333333333333331</v>
      </c>
      <c r="J7634">
        <v>55.94</v>
      </c>
      <c r="M7634" s="74">
        <v>36113</v>
      </c>
      <c r="N7634" s="77">
        <v>0.33333333333333331</v>
      </c>
      <c r="P7634">
        <v>41</v>
      </c>
      <c r="S7634" s="74">
        <v>36844</v>
      </c>
      <c r="T7634" s="77">
        <v>0.33333333333333331</v>
      </c>
      <c r="V7634">
        <v>53.06</v>
      </c>
      <c r="X7634" s="42"/>
      <c r="AB7634">
        <v>43.5</v>
      </c>
      <c r="AC7634">
        <v>35.96</v>
      </c>
      <c r="AE7634" s="74"/>
      <c r="AF7634" s="77"/>
      <c r="AH7634" s="497">
        <v>30.2</v>
      </c>
      <c r="AJ7634" s="42"/>
      <c r="AK7634" s="74"/>
      <c r="AL7634" s="77"/>
      <c r="AN7634" s="497">
        <v>37.04</v>
      </c>
      <c r="AP7634" s="42"/>
      <c r="AQ7634" s="74"/>
      <c r="AR7634" s="77"/>
      <c r="AT7634" s="497">
        <v>23</v>
      </c>
      <c r="AV7634" s="42"/>
      <c r="AW7634" s="74"/>
      <c r="AX7634" s="77"/>
      <c r="BA7634" s="497">
        <v>46.94</v>
      </c>
      <c r="BB7634" s="42"/>
      <c r="BC7634" s="74"/>
      <c r="BD7634" s="77"/>
      <c r="BF7634">
        <v>44.96</v>
      </c>
      <c r="BH7634" s="42"/>
      <c r="BI7634" s="74"/>
      <c r="BJ7634" s="77"/>
      <c r="BL7634" s="497">
        <v>44.06</v>
      </c>
      <c r="BN7634" s="42"/>
      <c r="BO7634" s="74"/>
      <c r="BP7634" s="77"/>
      <c r="BR7634" s="497">
        <v>44.06</v>
      </c>
      <c r="BT7634" s="42"/>
    </row>
    <row r="7635" spans="1:72" x14ac:dyDescent="0.25">
      <c r="A7635" s="90">
        <v>36844</v>
      </c>
      <c r="B7635" s="20">
        <v>0.375</v>
      </c>
      <c r="D7635">
        <v>51.980000000000004</v>
      </c>
      <c r="E7635" t="str">
        <f t="shared" ref="E7635:E7698" si="274">IF(COUNTIF($DI$18:$DI$22, WEEKDAY(A7635))=1, "WEEKDAY", IF(WEEKDAY(A7635) = 1, "SUNDAY", "SATURDAY"))</f>
        <v>WEEKDAY</v>
      </c>
      <c r="F7635" t="e">
        <f t="shared" si="273"/>
        <v>#N/A</v>
      </c>
      <c r="G7635" s="74">
        <v>28808</v>
      </c>
      <c r="H7635" s="77">
        <v>0.375</v>
      </c>
      <c r="J7635">
        <v>55.94</v>
      </c>
      <c r="M7635" s="74">
        <v>36113</v>
      </c>
      <c r="N7635" s="77">
        <v>0.375</v>
      </c>
      <c r="P7635">
        <v>46.4</v>
      </c>
      <c r="S7635" s="74">
        <v>36844</v>
      </c>
      <c r="T7635" s="77">
        <v>0.375</v>
      </c>
      <c r="V7635">
        <v>53.96</v>
      </c>
      <c r="X7635" s="42"/>
      <c r="AB7635">
        <v>45.1</v>
      </c>
      <c r="AC7635">
        <v>37.94</v>
      </c>
      <c r="AE7635" s="74"/>
      <c r="AF7635" s="77"/>
      <c r="AH7635" s="497">
        <v>44.6</v>
      </c>
      <c r="AJ7635" s="42"/>
      <c r="AK7635" s="74"/>
      <c r="AL7635" s="77"/>
      <c r="AN7635" s="497">
        <v>42.08</v>
      </c>
      <c r="AP7635" s="42"/>
      <c r="AQ7635" s="74"/>
      <c r="AR7635" s="77"/>
      <c r="AT7635" s="497">
        <v>26.060000000000002</v>
      </c>
      <c r="AV7635" s="42"/>
      <c r="AW7635" s="74"/>
      <c r="AX7635" s="77"/>
      <c r="BA7635" s="497">
        <v>48.92</v>
      </c>
      <c r="BB7635" s="42"/>
      <c r="BC7635" s="74"/>
      <c r="BD7635" s="77"/>
      <c r="BF7635">
        <v>48.92</v>
      </c>
      <c r="BH7635" s="42"/>
      <c r="BI7635" s="74"/>
      <c r="BJ7635" s="77"/>
      <c r="BL7635" s="497">
        <v>48.92</v>
      </c>
      <c r="BN7635" s="42"/>
      <c r="BO7635" s="74"/>
      <c r="BP7635" s="77"/>
      <c r="BR7635" s="497">
        <v>44.06</v>
      </c>
      <c r="BT7635" s="42"/>
    </row>
    <row r="7636" spans="1:72" x14ac:dyDescent="0.25">
      <c r="A7636" s="90">
        <v>36844</v>
      </c>
      <c r="B7636" s="20">
        <v>0.41666666666666669</v>
      </c>
      <c r="D7636">
        <v>55.040000000000006</v>
      </c>
      <c r="E7636" t="str">
        <f t="shared" si="274"/>
        <v>WEEKDAY</v>
      </c>
      <c r="F7636" t="e">
        <f t="shared" si="273"/>
        <v>#N/A</v>
      </c>
      <c r="G7636" s="74">
        <v>28808</v>
      </c>
      <c r="H7636" s="77">
        <v>0.41666666666666669</v>
      </c>
      <c r="J7636">
        <v>59</v>
      </c>
      <c r="M7636" s="74">
        <v>36113</v>
      </c>
      <c r="N7636" s="77">
        <v>0.41666666666666669</v>
      </c>
      <c r="P7636">
        <v>50</v>
      </c>
      <c r="S7636" s="74">
        <v>36844</v>
      </c>
      <c r="T7636" s="77">
        <v>0.41666666666666669</v>
      </c>
      <c r="V7636">
        <v>53.06</v>
      </c>
      <c r="X7636" s="42"/>
      <c r="AB7636">
        <v>47.1</v>
      </c>
      <c r="AC7636">
        <v>39.019999999999996</v>
      </c>
      <c r="AE7636" s="74"/>
      <c r="AF7636" s="77"/>
      <c r="AH7636" s="497">
        <v>46.4</v>
      </c>
      <c r="AJ7636" s="42"/>
      <c r="AK7636" s="74"/>
      <c r="AL7636" s="77"/>
      <c r="AN7636" s="497">
        <v>44.96</v>
      </c>
      <c r="AP7636" s="42"/>
      <c r="AQ7636" s="74"/>
      <c r="AR7636" s="77"/>
      <c r="AT7636" s="497">
        <v>32</v>
      </c>
      <c r="AV7636" s="42"/>
      <c r="AW7636" s="74"/>
      <c r="AX7636" s="77"/>
      <c r="BA7636" s="497">
        <v>51.08</v>
      </c>
      <c r="BB7636" s="42"/>
      <c r="BC7636" s="74"/>
      <c r="BD7636" s="77"/>
      <c r="BF7636">
        <v>50</v>
      </c>
      <c r="BH7636" s="42"/>
      <c r="BI7636" s="74"/>
      <c r="BJ7636" s="77"/>
      <c r="BL7636" s="497">
        <v>51.980000000000004</v>
      </c>
      <c r="BN7636" s="42"/>
      <c r="BO7636" s="74"/>
      <c r="BP7636" s="77"/>
      <c r="BR7636" s="497">
        <v>46.04</v>
      </c>
      <c r="BT7636" s="42"/>
    </row>
    <row r="7637" spans="1:72" x14ac:dyDescent="0.25">
      <c r="A7637" s="90">
        <v>36844</v>
      </c>
      <c r="B7637" s="20">
        <v>0.45833333333333331</v>
      </c>
      <c r="D7637">
        <v>60.980000000000004</v>
      </c>
      <c r="E7637" t="str">
        <f t="shared" si="274"/>
        <v>WEEKDAY</v>
      </c>
      <c r="F7637" t="e">
        <f t="shared" si="273"/>
        <v>#N/A</v>
      </c>
      <c r="G7637" s="74">
        <v>28808</v>
      </c>
      <c r="H7637" s="77">
        <v>0.45833333333333331</v>
      </c>
      <c r="J7637">
        <v>60.980000000000004</v>
      </c>
      <c r="M7637" s="74">
        <v>36113</v>
      </c>
      <c r="N7637" s="77">
        <v>0.45833333333333331</v>
      </c>
      <c r="P7637">
        <v>51.8</v>
      </c>
      <c r="S7637" s="74">
        <v>36844</v>
      </c>
      <c r="T7637" s="77">
        <v>0.45833333333333331</v>
      </c>
      <c r="V7637">
        <v>53.06</v>
      </c>
      <c r="X7637" s="42"/>
      <c r="AB7637">
        <v>48.8</v>
      </c>
      <c r="AC7637">
        <v>39.92</v>
      </c>
      <c r="AE7637" s="74"/>
      <c r="AF7637" s="77"/>
      <c r="AH7637" s="497">
        <v>51.8</v>
      </c>
      <c r="AJ7637" s="42"/>
      <c r="AK7637" s="74"/>
      <c r="AL7637" s="77"/>
      <c r="AN7637" s="497">
        <v>50</v>
      </c>
      <c r="AP7637" s="42"/>
      <c r="AQ7637" s="74"/>
      <c r="AR7637" s="77"/>
      <c r="AT7637" s="497">
        <v>39.019999999999996</v>
      </c>
      <c r="AV7637" s="42"/>
      <c r="AW7637" s="74"/>
      <c r="AX7637" s="77"/>
      <c r="BA7637" s="497">
        <v>51.08</v>
      </c>
      <c r="BB7637" s="42"/>
      <c r="BC7637" s="74"/>
      <c r="BD7637" s="77"/>
      <c r="BF7637">
        <v>50</v>
      </c>
      <c r="BH7637" s="42"/>
      <c r="BI7637" s="74"/>
      <c r="BJ7637" s="77"/>
      <c r="BL7637" s="497">
        <v>53.06</v>
      </c>
      <c r="BN7637" s="42"/>
      <c r="BO7637" s="74"/>
      <c r="BP7637" s="77"/>
      <c r="BR7637" s="497">
        <v>46.04</v>
      </c>
      <c r="BT7637" s="42"/>
    </row>
    <row r="7638" spans="1:72" x14ac:dyDescent="0.25">
      <c r="A7638" s="90">
        <v>36844</v>
      </c>
      <c r="B7638" s="20">
        <v>0.5</v>
      </c>
      <c r="D7638">
        <v>62.06</v>
      </c>
      <c r="E7638" t="str">
        <f t="shared" si="274"/>
        <v>WEEKDAY</v>
      </c>
      <c r="F7638" t="e">
        <f t="shared" si="273"/>
        <v>#N/A</v>
      </c>
      <c r="G7638" s="74">
        <v>28808</v>
      </c>
      <c r="H7638" s="77">
        <v>0.5</v>
      </c>
      <c r="J7638">
        <v>62.96</v>
      </c>
      <c r="M7638" s="74">
        <v>36113</v>
      </c>
      <c r="N7638" s="77">
        <v>0.5</v>
      </c>
      <c r="P7638">
        <v>53.6</v>
      </c>
      <c r="S7638" s="74">
        <v>36844</v>
      </c>
      <c r="T7638" s="77">
        <v>0.5</v>
      </c>
      <c r="V7638">
        <v>53.06</v>
      </c>
      <c r="X7638" s="42"/>
      <c r="AB7638">
        <v>50.2</v>
      </c>
      <c r="AC7638">
        <v>39.92</v>
      </c>
      <c r="AE7638" s="74"/>
      <c r="AF7638" s="77"/>
      <c r="AH7638" s="497">
        <v>55.400000000000006</v>
      </c>
      <c r="AJ7638" s="42"/>
      <c r="AK7638" s="74"/>
      <c r="AL7638" s="77"/>
      <c r="AN7638" s="497">
        <v>50</v>
      </c>
      <c r="AP7638" s="42"/>
      <c r="AQ7638" s="74"/>
      <c r="AR7638" s="77"/>
      <c r="AT7638" s="497">
        <v>42.08</v>
      </c>
      <c r="AV7638" s="42"/>
      <c r="AW7638" s="74"/>
      <c r="AX7638" s="77"/>
      <c r="BA7638" s="497">
        <v>51.08</v>
      </c>
      <c r="BB7638" s="42"/>
      <c r="BC7638" s="74"/>
      <c r="BD7638" s="77"/>
      <c r="BF7638">
        <v>50</v>
      </c>
      <c r="BH7638" s="42"/>
      <c r="BI7638" s="74"/>
      <c r="BJ7638" s="77"/>
      <c r="BL7638" s="497">
        <v>55.040000000000006</v>
      </c>
      <c r="BN7638" s="42"/>
      <c r="BO7638" s="74"/>
      <c r="BP7638" s="77"/>
      <c r="BR7638" s="497">
        <v>42.980000000000004</v>
      </c>
      <c r="BT7638" s="42"/>
    </row>
    <row r="7639" spans="1:72" x14ac:dyDescent="0.25">
      <c r="A7639" s="90">
        <v>36844</v>
      </c>
      <c r="B7639" s="20">
        <v>0.54166666666666663</v>
      </c>
      <c r="D7639">
        <v>60.980000000000004</v>
      </c>
      <c r="E7639" t="str">
        <f t="shared" si="274"/>
        <v>WEEKDAY</v>
      </c>
      <c r="F7639" t="e">
        <f t="shared" si="273"/>
        <v>#N/A</v>
      </c>
      <c r="G7639" s="74">
        <v>28808</v>
      </c>
      <c r="H7639" s="77">
        <v>0.54166666666666663</v>
      </c>
      <c r="J7639">
        <v>64.039999999999992</v>
      </c>
      <c r="M7639" s="74">
        <v>36113</v>
      </c>
      <c r="N7639" s="77">
        <v>0.54166666666666663</v>
      </c>
      <c r="P7639">
        <v>55.400000000000006</v>
      </c>
      <c r="S7639" s="74">
        <v>36844</v>
      </c>
      <c r="T7639" s="77">
        <v>0.54166666666666663</v>
      </c>
      <c r="V7639">
        <v>53.96</v>
      </c>
      <c r="X7639" s="42"/>
      <c r="AB7639">
        <v>51.2</v>
      </c>
      <c r="AC7639">
        <v>42.08</v>
      </c>
      <c r="AE7639" s="74"/>
      <c r="AF7639" s="77"/>
      <c r="AH7639" s="497">
        <v>57.2</v>
      </c>
      <c r="AJ7639" s="42"/>
      <c r="AK7639" s="74"/>
      <c r="AL7639" s="77"/>
      <c r="AN7639" s="497">
        <v>53.96</v>
      </c>
      <c r="AP7639" s="42"/>
      <c r="AQ7639" s="74"/>
      <c r="AR7639" s="77"/>
      <c r="AT7639" s="497">
        <v>44.96</v>
      </c>
      <c r="AV7639" s="42"/>
      <c r="AW7639" s="74"/>
      <c r="AX7639" s="77"/>
      <c r="BA7639" s="497">
        <v>50</v>
      </c>
      <c r="BB7639" s="42"/>
      <c r="BC7639" s="74"/>
      <c r="BD7639" s="77"/>
      <c r="BF7639">
        <v>50</v>
      </c>
      <c r="BH7639" s="42"/>
      <c r="BI7639" s="74"/>
      <c r="BJ7639" s="77"/>
      <c r="BL7639" s="497">
        <v>55.94</v>
      </c>
      <c r="BN7639" s="42"/>
      <c r="BO7639" s="74"/>
      <c r="BP7639" s="77"/>
      <c r="BR7639" s="497">
        <v>42.980000000000004</v>
      </c>
      <c r="BT7639" s="42"/>
    </row>
    <row r="7640" spans="1:72" x14ac:dyDescent="0.25">
      <c r="A7640" s="90">
        <v>36844</v>
      </c>
      <c r="B7640" s="20">
        <v>0.58333333333333337</v>
      </c>
      <c r="D7640">
        <v>60.980000000000004</v>
      </c>
      <c r="E7640" t="str">
        <f t="shared" si="274"/>
        <v>WEEKDAY</v>
      </c>
      <c r="F7640" t="e">
        <f t="shared" si="273"/>
        <v>#N/A</v>
      </c>
      <c r="G7640" s="74">
        <v>28808</v>
      </c>
      <c r="H7640" s="77">
        <v>0.58333333333333337</v>
      </c>
      <c r="J7640">
        <v>64.94</v>
      </c>
      <c r="M7640" s="74">
        <v>36113</v>
      </c>
      <c r="N7640" s="77">
        <v>0.58333333333333337</v>
      </c>
      <c r="P7640">
        <v>54.68</v>
      </c>
      <c r="S7640" s="74">
        <v>36844</v>
      </c>
      <c r="T7640" s="77">
        <v>0.58333333333333337</v>
      </c>
      <c r="V7640">
        <v>53.96</v>
      </c>
      <c r="X7640" s="42"/>
      <c r="AB7640">
        <v>51.9</v>
      </c>
      <c r="AC7640">
        <v>42.980000000000004</v>
      </c>
      <c r="AE7640" s="74"/>
      <c r="AF7640" s="77"/>
      <c r="AH7640" s="497">
        <v>59</v>
      </c>
      <c r="AJ7640" s="42"/>
      <c r="AK7640" s="74"/>
      <c r="AL7640" s="77"/>
      <c r="AN7640" s="497">
        <v>55.040000000000006</v>
      </c>
      <c r="AP7640" s="42"/>
      <c r="AQ7640" s="74"/>
      <c r="AR7640" s="77"/>
      <c r="AT7640" s="497">
        <v>46.04</v>
      </c>
      <c r="AV7640" s="42"/>
      <c r="AW7640" s="74"/>
      <c r="AX7640" s="77"/>
      <c r="BA7640" s="497">
        <v>51.08</v>
      </c>
      <c r="BB7640" s="42"/>
      <c r="BC7640" s="74"/>
      <c r="BD7640" s="77"/>
      <c r="BF7640">
        <v>50</v>
      </c>
      <c r="BH7640" s="42"/>
      <c r="BI7640" s="74"/>
      <c r="BJ7640" s="77"/>
      <c r="BL7640" s="497">
        <v>55.040000000000006</v>
      </c>
      <c r="BN7640" s="42"/>
      <c r="BO7640" s="74"/>
      <c r="BP7640" s="77"/>
      <c r="BR7640" s="497">
        <v>44.96</v>
      </c>
      <c r="BT7640" s="42"/>
    </row>
    <row r="7641" spans="1:72" x14ac:dyDescent="0.25">
      <c r="A7641" s="90">
        <v>36844</v>
      </c>
      <c r="B7641" s="20">
        <v>0.625</v>
      </c>
      <c r="D7641">
        <v>60.980000000000004</v>
      </c>
      <c r="E7641" t="str">
        <f t="shared" si="274"/>
        <v>WEEKDAY</v>
      </c>
      <c r="F7641" t="e">
        <f t="shared" si="273"/>
        <v>#N/A</v>
      </c>
      <c r="G7641" s="74">
        <v>28808</v>
      </c>
      <c r="H7641" s="77">
        <v>0.625</v>
      </c>
      <c r="J7641">
        <v>66.02</v>
      </c>
      <c r="M7641" s="74">
        <v>36113</v>
      </c>
      <c r="N7641" s="77">
        <v>0.625</v>
      </c>
      <c r="P7641">
        <v>53.6</v>
      </c>
      <c r="S7641" s="74">
        <v>36844</v>
      </c>
      <c r="T7641" s="77">
        <v>0.625</v>
      </c>
      <c r="V7641">
        <v>53.06</v>
      </c>
      <c r="X7641" s="42"/>
      <c r="AB7641">
        <v>52.2</v>
      </c>
      <c r="AC7641">
        <v>42.980000000000004</v>
      </c>
      <c r="AE7641" s="74"/>
      <c r="AF7641" s="77"/>
      <c r="AH7641" s="497">
        <v>59</v>
      </c>
      <c r="AJ7641" s="42"/>
      <c r="AK7641" s="74"/>
      <c r="AL7641" s="77"/>
      <c r="AN7641" s="497">
        <v>53.96</v>
      </c>
      <c r="AP7641" s="42"/>
      <c r="AQ7641" s="74"/>
      <c r="AR7641" s="77"/>
      <c r="AT7641" s="497">
        <v>46.04</v>
      </c>
      <c r="AV7641" s="42"/>
      <c r="AW7641" s="74"/>
      <c r="AX7641" s="77"/>
      <c r="BA7641" s="497">
        <v>48.019999999999996</v>
      </c>
      <c r="BB7641" s="42"/>
      <c r="BC7641" s="74"/>
      <c r="BD7641" s="77"/>
      <c r="BF7641">
        <v>50</v>
      </c>
      <c r="BH7641" s="42"/>
      <c r="BI7641" s="74"/>
      <c r="BJ7641" s="77"/>
      <c r="BL7641" s="497">
        <v>55.040000000000006</v>
      </c>
      <c r="BN7641" s="42"/>
      <c r="BO7641" s="74"/>
      <c r="BP7641" s="77"/>
      <c r="BR7641" s="497">
        <v>46.04</v>
      </c>
      <c r="BT7641" s="42"/>
    </row>
    <row r="7642" spans="1:72" x14ac:dyDescent="0.25">
      <c r="A7642" s="90">
        <v>36844</v>
      </c>
      <c r="B7642" s="20">
        <v>0.66666666666666663</v>
      </c>
      <c r="D7642">
        <v>59</v>
      </c>
      <c r="E7642" t="str">
        <f t="shared" si="274"/>
        <v>WEEKDAY</v>
      </c>
      <c r="F7642" t="e">
        <f t="shared" si="273"/>
        <v>#N/A</v>
      </c>
      <c r="G7642" s="74">
        <v>28808</v>
      </c>
      <c r="H7642" s="77">
        <v>0.66666666666666663</v>
      </c>
      <c r="J7642">
        <v>64.94</v>
      </c>
      <c r="M7642" s="74">
        <v>36113</v>
      </c>
      <c r="N7642" s="77">
        <v>0.66666666666666663</v>
      </c>
      <c r="P7642">
        <v>53.6</v>
      </c>
      <c r="S7642" s="74">
        <v>36844</v>
      </c>
      <c r="T7642" s="77">
        <v>0.66666666666666663</v>
      </c>
      <c r="V7642">
        <v>53.6</v>
      </c>
      <c r="X7642" s="42"/>
      <c r="AB7642">
        <v>51.7</v>
      </c>
      <c r="AC7642">
        <v>42.08</v>
      </c>
      <c r="AE7642" s="74"/>
      <c r="AF7642" s="77"/>
      <c r="AH7642" s="497">
        <v>57.2</v>
      </c>
      <c r="AJ7642" s="42"/>
      <c r="AK7642" s="74"/>
      <c r="AL7642" s="77"/>
      <c r="AN7642" s="497">
        <v>55.040000000000006</v>
      </c>
      <c r="AP7642" s="42"/>
      <c r="AQ7642" s="74"/>
      <c r="AR7642" s="77"/>
      <c r="AT7642" s="497">
        <v>44.06</v>
      </c>
      <c r="AV7642" s="42"/>
      <c r="AW7642" s="74"/>
      <c r="AX7642" s="77"/>
      <c r="BA7642" s="497">
        <v>48.019999999999996</v>
      </c>
      <c r="BB7642" s="42"/>
      <c r="BC7642" s="74"/>
      <c r="BD7642" s="77"/>
      <c r="BF7642">
        <v>50</v>
      </c>
      <c r="BH7642" s="42"/>
      <c r="BI7642" s="74"/>
      <c r="BJ7642" s="77"/>
      <c r="BL7642" s="497">
        <v>53.06</v>
      </c>
      <c r="BN7642" s="42"/>
      <c r="BO7642" s="74"/>
      <c r="BP7642" s="77"/>
      <c r="BR7642" s="497">
        <v>44.06</v>
      </c>
      <c r="BT7642" s="42"/>
    </row>
    <row r="7643" spans="1:72" x14ac:dyDescent="0.25">
      <c r="A7643" s="90">
        <v>36844</v>
      </c>
      <c r="B7643" s="20">
        <v>0.70833333333333337</v>
      </c>
      <c r="D7643">
        <v>57.019999999999996</v>
      </c>
      <c r="E7643" t="str">
        <f t="shared" si="274"/>
        <v>WEEKDAY</v>
      </c>
      <c r="F7643" t="e">
        <f t="shared" si="273"/>
        <v>#N/A</v>
      </c>
      <c r="G7643" s="74">
        <v>28808</v>
      </c>
      <c r="H7643" s="77">
        <v>0.70833333333333337</v>
      </c>
      <c r="J7643">
        <v>64.039999999999992</v>
      </c>
      <c r="M7643" s="74">
        <v>36113</v>
      </c>
      <c r="N7643" s="77">
        <v>0.70833333333333337</v>
      </c>
      <c r="P7643">
        <v>48.2</v>
      </c>
      <c r="S7643" s="74">
        <v>36844</v>
      </c>
      <c r="T7643" s="77">
        <v>0.70833333333333337</v>
      </c>
      <c r="V7643">
        <v>53.06</v>
      </c>
      <c r="X7643" s="42"/>
      <c r="AB7643">
        <v>50.8</v>
      </c>
      <c r="AC7643">
        <v>42.08</v>
      </c>
      <c r="AE7643" s="74"/>
      <c r="AF7643" s="77"/>
      <c r="AH7643" s="497">
        <v>57.2</v>
      </c>
      <c r="AJ7643" s="42"/>
      <c r="AK7643" s="74"/>
      <c r="AL7643" s="77"/>
      <c r="AN7643" s="497">
        <v>53.96</v>
      </c>
      <c r="AP7643" s="42"/>
      <c r="AQ7643" s="74"/>
      <c r="AR7643" s="77"/>
      <c r="AT7643" s="497">
        <v>42.08</v>
      </c>
      <c r="AV7643" s="42"/>
      <c r="AW7643" s="74"/>
      <c r="AX7643" s="77"/>
      <c r="BA7643" s="497">
        <v>46.04</v>
      </c>
      <c r="BB7643" s="42"/>
      <c r="BC7643" s="74"/>
      <c r="BD7643" s="77"/>
      <c r="BF7643">
        <v>48.019999999999996</v>
      </c>
      <c r="BH7643" s="42"/>
      <c r="BI7643" s="74"/>
      <c r="BJ7643" s="77"/>
      <c r="BL7643" s="497">
        <v>50</v>
      </c>
      <c r="BN7643" s="42"/>
      <c r="BO7643" s="74"/>
      <c r="BP7643" s="77"/>
      <c r="BR7643" s="497">
        <v>42.08</v>
      </c>
      <c r="BT7643" s="42"/>
    </row>
    <row r="7644" spans="1:72" x14ac:dyDescent="0.25">
      <c r="A7644" s="90">
        <v>36844</v>
      </c>
      <c r="B7644" s="20">
        <v>0.75</v>
      </c>
      <c r="D7644">
        <v>57.019999999999996</v>
      </c>
      <c r="E7644" t="str">
        <f t="shared" si="274"/>
        <v>WEEKDAY</v>
      </c>
      <c r="F7644" t="e">
        <f t="shared" si="273"/>
        <v>#N/A</v>
      </c>
      <c r="G7644" s="74">
        <v>28808</v>
      </c>
      <c r="H7644" s="77">
        <v>0.75</v>
      </c>
      <c r="J7644">
        <v>64.039999999999992</v>
      </c>
      <c r="M7644" s="74">
        <v>36113</v>
      </c>
      <c r="N7644" s="77">
        <v>0.75</v>
      </c>
      <c r="P7644">
        <v>46.4</v>
      </c>
      <c r="S7644" s="74">
        <v>36844</v>
      </c>
      <c r="T7644" s="77">
        <v>0.75</v>
      </c>
      <c r="V7644">
        <v>50</v>
      </c>
      <c r="X7644" s="42"/>
      <c r="AB7644">
        <v>49.3</v>
      </c>
      <c r="AC7644">
        <v>41</v>
      </c>
      <c r="AE7644" s="74"/>
      <c r="AF7644" s="77"/>
      <c r="AH7644" s="497">
        <v>51.8</v>
      </c>
      <c r="AJ7644" s="42"/>
      <c r="AK7644" s="74"/>
      <c r="AL7644" s="77"/>
      <c r="AN7644" s="497">
        <v>50</v>
      </c>
      <c r="AP7644" s="42"/>
      <c r="AQ7644" s="74"/>
      <c r="AR7644" s="77"/>
      <c r="AT7644" s="497">
        <v>42.08</v>
      </c>
      <c r="AV7644" s="42"/>
      <c r="AW7644" s="74"/>
      <c r="AX7644" s="77"/>
      <c r="BA7644" s="497">
        <v>39.92</v>
      </c>
      <c r="BB7644" s="42"/>
      <c r="BC7644" s="74"/>
      <c r="BD7644" s="77"/>
      <c r="BF7644">
        <v>46.94</v>
      </c>
      <c r="BH7644" s="42"/>
      <c r="BI7644" s="74"/>
      <c r="BJ7644" s="77"/>
      <c r="BL7644" s="497">
        <v>46.94</v>
      </c>
      <c r="BN7644" s="42"/>
      <c r="BO7644" s="74"/>
      <c r="BP7644" s="77"/>
      <c r="BR7644" s="497">
        <v>42.08</v>
      </c>
      <c r="BT7644" s="42"/>
    </row>
    <row r="7645" spans="1:72" x14ac:dyDescent="0.25">
      <c r="A7645" s="90">
        <v>36844</v>
      </c>
      <c r="B7645" s="20">
        <v>0.79166666666666663</v>
      </c>
      <c r="D7645">
        <v>57.019999999999996</v>
      </c>
      <c r="E7645" t="str">
        <f t="shared" si="274"/>
        <v>WEEKDAY</v>
      </c>
      <c r="F7645" t="e">
        <f t="shared" si="273"/>
        <v>#N/A</v>
      </c>
      <c r="G7645" s="74">
        <v>28808</v>
      </c>
      <c r="H7645" s="77">
        <v>0.79166666666666663</v>
      </c>
      <c r="J7645">
        <v>64.039999999999992</v>
      </c>
      <c r="M7645" s="74">
        <v>36113</v>
      </c>
      <c r="N7645" s="77">
        <v>0.79166666666666663</v>
      </c>
      <c r="P7645">
        <v>46.4</v>
      </c>
      <c r="S7645" s="74">
        <v>36844</v>
      </c>
      <c r="T7645" s="77">
        <v>0.79166666666666663</v>
      </c>
      <c r="V7645">
        <v>48.019999999999996</v>
      </c>
      <c r="X7645" s="42"/>
      <c r="AB7645">
        <v>48.7</v>
      </c>
      <c r="AC7645">
        <v>41</v>
      </c>
      <c r="AE7645" s="74"/>
      <c r="AF7645" s="77"/>
      <c r="AH7645" s="497">
        <v>55.400000000000006</v>
      </c>
      <c r="AJ7645" s="42"/>
      <c r="AK7645" s="74"/>
      <c r="AL7645" s="77"/>
      <c r="AN7645" s="497">
        <v>48.92</v>
      </c>
      <c r="AP7645" s="42"/>
      <c r="AQ7645" s="74"/>
      <c r="AR7645" s="77"/>
      <c r="AT7645" s="497">
        <v>39.92</v>
      </c>
      <c r="AV7645" s="42"/>
      <c r="AW7645" s="74"/>
      <c r="AX7645" s="77"/>
      <c r="BA7645" s="497">
        <v>41</v>
      </c>
      <c r="BB7645" s="42"/>
      <c r="BC7645" s="74"/>
      <c r="BD7645" s="77"/>
      <c r="BF7645">
        <v>44.06</v>
      </c>
      <c r="BH7645" s="42"/>
      <c r="BI7645" s="74"/>
      <c r="BJ7645" s="77"/>
      <c r="BL7645" s="497">
        <v>44.96</v>
      </c>
      <c r="BN7645" s="42"/>
      <c r="BO7645" s="74"/>
      <c r="BP7645" s="77"/>
      <c r="BR7645" s="497">
        <v>42.08</v>
      </c>
      <c r="BT7645" s="42"/>
    </row>
    <row r="7646" spans="1:72" x14ac:dyDescent="0.25">
      <c r="A7646" s="90">
        <v>36844</v>
      </c>
      <c r="B7646" s="20">
        <v>0.83333333333333337</v>
      </c>
      <c r="D7646">
        <v>57.019999999999996</v>
      </c>
      <c r="E7646" t="str">
        <f t="shared" si="274"/>
        <v>WEEKDAY</v>
      </c>
      <c r="F7646" t="e">
        <f t="shared" si="273"/>
        <v>#N/A</v>
      </c>
      <c r="G7646" s="74">
        <v>28808</v>
      </c>
      <c r="H7646" s="77">
        <v>0.83333333333333337</v>
      </c>
      <c r="J7646">
        <v>64.039999999999992</v>
      </c>
      <c r="M7646" s="74">
        <v>36113</v>
      </c>
      <c r="N7646" s="77">
        <v>0.83333333333333337</v>
      </c>
      <c r="P7646">
        <v>46.4</v>
      </c>
      <c r="S7646" s="74">
        <v>36844</v>
      </c>
      <c r="T7646" s="77">
        <v>0.83333333333333337</v>
      </c>
      <c r="V7646">
        <v>48.019999999999996</v>
      </c>
      <c r="X7646" s="42"/>
      <c r="AB7646">
        <v>48.4</v>
      </c>
      <c r="AC7646">
        <v>39.92</v>
      </c>
      <c r="AE7646" s="74"/>
      <c r="AF7646" s="77"/>
      <c r="AH7646" s="497">
        <v>55.400000000000006</v>
      </c>
      <c r="AJ7646" s="42"/>
      <c r="AK7646" s="74"/>
      <c r="AL7646" s="77"/>
      <c r="AN7646" s="497">
        <v>46.94</v>
      </c>
      <c r="AP7646" s="42"/>
      <c r="AQ7646" s="74"/>
      <c r="AR7646" s="77"/>
      <c r="AT7646" s="497">
        <v>39.019999999999996</v>
      </c>
      <c r="AV7646" s="42"/>
      <c r="AW7646" s="74"/>
      <c r="AX7646" s="77"/>
      <c r="BA7646" s="497">
        <v>37.94</v>
      </c>
      <c r="BB7646" s="42"/>
      <c r="BC7646" s="74"/>
      <c r="BD7646" s="77"/>
      <c r="BF7646">
        <v>41</v>
      </c>
      <c r="BH7646" s="42"/>
      <c r="BI7646" s="74"/>
      <c r="BJ7646" s="77"/>
      <c r="BL7646" s="497">
        <v>42.08</v>
      </c>
      <c r="BN7646" s="42"/>
      <c r="BO7646" s="74"/>
      <c r="BP7646" s="77"/>
      <c r="BR7646" s="497">
        <v>39.019999999999996</v>
      </c>
      <c r="BT7646" s="42"/>
    </row>
    <row r="7647" spans="1:72" x14ac:dyDescent="0.25">
      <c r="A7647" s="90">
        <v>36844</v>
      </c>
      <c r="B7647" s="20">
        <v>0.875</v>
      </c>
      <c r="D7647">
        <v>57.019999999999996</v>
      </c>
      <c r="E7647" t="str">
        <f t="shared" si="274"/>
        <v>WEEKDAY</v>
      </c>
      <c r="F7647" t="e">
        <f t="shared" si="273"/>
        <v>#N/A</v>
      </c>
      <c r="G7647" s="74">
        <v>28808</v>
      </c>
      <c r="H7647" s="77">
        <v>0.875</v>
      </c>
      <c r="J7647">
        <v>62.96</v>
      </c>
      <c r="M7647" s="74">
        <v>36113</v>
      </c>
      <c r="N7647" s="77">
        <v>0.875</v>
      </c>
      <c r="P7647">
        <v>48.2</v>
      </c>
      <c r="S7647" s="74">
        <v>36844</v>
      </c>
      <c r="T7647" s="77">
        <v>0.875</v>
      </c>
      <c r="V7647">
        <v>46.04</v>
      </c>
      <c r="X7647" s="42"/>
      <c r="AB7647">
        <v>47.8</v>
      </c>
      <c r="AC7647">
        <v>39.92</v>
      </c>
      <c r="AE7647" s="74"/>
      <c r="AF7647" s="77"/>
      <c r="AH7647" s="497">
        <v>53.6</v>
      </c>
      <c r="AJ7647" s="42"/>
      <c r="AK7647" s="74"/>
      <c r="AL7647" s="77"/>
      <c r="AN7647" s="497">
        <v>46.04</v>
      </c>
      <c r="AP7647" s="42"/>
      <c r="AQ7647" s="74"/>
      <c r="AR7647" s="77"/>
      <c r="AT7647" s="497">
        <v>39.019999999999996</v>
      </c>
      <c r="AV7647" s="42"/>
      <c r="AW7647" s="74"/>
      <c r="AX7647" s="77"/>
      <c r="BA7647" s="497">
        <v>37.94</v>
      </c>
      <c r="BB7647" s="42"/>
      <c r="BC7647" s="74"/>
      <c r="BD7647" s="77"/>
      <c r="BF7647">
        <v>41</v>
      </c>
      <c r="BH7647" s="42"/>
      <c r="BI7647" s="74"/>
      <c r="BJ7647" s="77"/>
      <c r="BL7647" s="497">
        <v>39.92</v>
      </c>
      <c r="BN7647" s="42"/>
      <c r="BO7647" s="74"/>
      <c r="BP7647" s="77"/>
      <c r="BR7647" s="497">
        <v>37.94</v>
      </c>
      <c r="BT7647" s="42"/>
    </row>
    <row r="7648" spans="1:72" x14ac:dyDescent="0.25">
      <c r="A7648" s="90">
        <v>36844</v>
      </c>
      <c r="B7648" s="20">
        <v>0.91666666666666663</v>
      </c>
      <c r="D7648">
        <v>55.94</v>
      </c>
      <c r="E7648" t="str">
        <f t="shared" si="274"/>
        <v>WEEKDAY</v>
      </c>
      <c r="F7648" t="e">
        <f t="shared" si="273"/>
        <v>#N/A</v>
      </c>
      <c r="G7648" s="74">
        <v>28808</v>
      </c>
      <c r="H7648" s="77">
        <v>0.91666666666666663</v>
      </c>
      <c r="J7648">
        <v>62.96</v>
      </c>
      <c r="M7648" s="74">
        <v>36113</v>
      </c>
      <c r="N7648" s="77">
        <v>0.91666666666666663</v>
      </c>
      <c r="P7648">
        <v>48.2</v>
      </c>
      <c r="S7648" s="74">
        <v>36844</v>
      </c>
      <c r="T7648" s="77">
        <v>0.91666666666666663</v>
      </c>
      <c r="V7648">
        <v>44.06</v>
      </c>
      <c r="X7648" s="42"/>
      <c r="AB7648">
        <v>47.2</v>
      </c>
      <c r="AC7648">
        <v>41</v>
      </c>
      <c r="AE7648" s="74"/>
      <c r="AF7648" s="77"/>
      <c r="AH7648" s="497">
        <v>53.6</v>
      </c>
      <c r="AJ7648" s="42"/>
      <c r="AK7648" s="74"/>
      <c r="AL7648" s="77"/>
      <c r="AN7648" s="497">
        <v>42.08</v>
      </c>
      <c r="AP7648" s="42"/>
      <c r="AQ7648" s="74"/>
      <c r="AR7648" s="77"/>
      <c r="AT7648" s="497">
        <v>39.019999999999996</v>
      </c>
      <c r="AV7648" s="42"/>
      <c r="AW7648" s="74"/>
      <c r="AX7648" s="77"/>
      <c r="BA7648" s="497">
        <v>35.06</v>
      </c>
      <c r="BB7648" s="42"/>
      <c r="BC7648" s="74"/>
      <c r="BD7648" s="77"/>
      <c r="BF7648">
        <v>37.94</v>
      </c>
      <c r="BH7648" s="42"/>
      <c r="BI7648" s="74"/>
      <c r="BJ7648" s="77"/>
      <c r="BL7648" s="497">
        <v>37.94</v>
      </c>
      <c r="BN7648" s="42"/>
      <c r="BO7648" s="74"/>
      <c r="BP7648" s="77"/>
      <c r="BR7648" s="497">
        <v>37.04</v>
      </c>
      <c r="BT7648" s="42"/>
    </row>
    <row r="7649" spans="1:72" x14ac:dyDescent="0.25">
      <c r="A7649" s="90">
        <v>36844</v>
      </c>
      <c r="B7649" s="20">
        <v>0.95833333333333337</v>
      </c>
      <c r="D7649">
        <v>55.94</v>
      </c>
      <c r="E7649" t="str">
        <f t="shared" si="274"/>
        <v>WEEKDAY</v>
      </c>
      <c r="F7649" t="e">
        <f t="shared" si="273"/>
        <v>#N/A</v>
      </c>
      <c r="G7649" s="74">
        <v>28808</v>
      </c>
      <c r="H7649" s="77">
        <v>0.95833333333333337</v>
      </c>
      <c r="J7649">
        <v>62.06</v>
      </c>
      <c r="M7649" s="74">
        <v>36113</v>
      </c>
      <c r="N7649" s="77">
        <v>0.95833333333333337</v>
      </c>
      <c r="P7649">
        <v>48.2</v>
      </c>
      <c r="S7649" s="74">
        <v>36844</v>
      </c>
      <c r="T7649" s="77">
        <v>0.95833333333333337</v>
      </c>
      <c r="V7649">
        <v>42.08</v>
      </c>
      <c r="X7649" s="42"/>
      <c r="AB7649">
        <v>46.6</v>
      </c>
      <c r="AC7649">
        <v>41</v>
      </c>
      <c r="AE7649" s="74"/>
      <c r="AF7649" s="77"/>
      <c r="AH7649" s="497">
        <v>48.2</v>
      </c>
      <c r="AJ7649" s="42"/>
      <c r="AK7649" s="74"/>
      <c r="AL7649" s="77"/>
      <c r="AN7649" s="497">
        <v>39.92</v>
      </c>
      <c r="AP7649" s="42"/>
      <c r="AQ7649" s="74"/>
      <c r="AR7649" s="77"/>
      <c r="AT7649" s="497">
        <v>39.019999999999996</v>
      </c>
      <c r="AV7649" s="42"/>
      <c r="AW7649" s="74"/>
      <c r="AX7649" s="77"/>
      <c r="BA7649" s="497">
        <v>33.979999999999997</v>
      </c>
      <c r="BB7649" s="42"/>
      <c r="BC7649" s="74"/>
      <c r="BD7649" s="77"/>
      <c r="BF7649">
        <v>39.92</v>
      </c>
      <c r="BH7649" s="42"/>
      <c r="BI7649" s="74"/>
      <c r="BJ7649" s="77"/>
      <c r="BL7649" s="497">
        <v>35.96</v>
      </c>
      <c r="BN7649" s="42"/>
      <c r="BO7649" s="74"/>
      <c r="BP7649" s="77"/>
      <c r="BR7649" s="497">
        <v>28.04</v>
      </c>
      <c r="BT7649" s="42"/>
    </row>
    <row r="7650" spans="1:72" x14ac:dyDescent="0.25">
      <c r="A7650" s="90">
        <v>36844</v>
      </c>
      <c r="B7650" s="20">
        <v>1</v>
      </c>
      <c r="D7650">
        <v>55.94</v>
      </c>
      <c r="E7650" t="str">
        <f t="shared" si="274"/>
        <v>WEEKDAY</v>
      </c>
      <c r="F7650" t="e">
        <f t="shared" si="273"/>
        <v>#N/A</v>
      </c>
      <c r="G7650" s="74">
        <v>28808</v>
      </c>
      <c r="H7650" s="77">
        <v>1</v>
      </c>
      <c r="J7650">
        <v>62.06</v>
      </c>
      <c r="M7650" s="74">
        <v>36113</v>
      </c>
      <c r="N7650" s="80">
        <v>1</v>
      </c>
      <c r="P7650">
        <v>48.2</v>
      </c>
      <c r="S7650" s="74">
        <v>36844</v>
      </c>
      <c r="T7650" s="80">
        <v>1</v>
      </c>
      <c r="V7650">
        <v>41</v>
      </c>
      <c r="X7650" s="42"/>
      <c r="AB7650">
        <v>46</v>
      </c>
      <c r="AC7650">
        <v>42.08</v>
      </c>
      <c r="AE7650" s="74"/>
      <c r="AF7650" s="80"/>
      <c r="AH7650" s="497">
        <v>39.200000000000003</v>
      </c>
      <c r="AJ7650" s="42"/>
      <c r="AK7650" s="74"/>
      <c r="AL7650" s="80"/>
      <c r="AN7650" s="497">
        <v>37.94</v>
      </c>
      <c r="AP7650" s="42"/>
      <c r="AQ7650" s="74"/>
      <c r="AR7650" s="80"/>
      <c r="AT7650" s="497">
        <v>35.96</v>
      </c>
      <c r="AV7650" s="42"/>
      <c r="AW7650" s="74"/>
      <c r="AX7650" s="80"/>
      <c r="BA7650" s="497">
        <v>30.92</v>
      </c>
      <c r="BB7650" s="42"/>
      <c r="BC7650" s="74"/>
      <c r="BD7650" s="80"/>
      <c r="BF7650">
        <v>37.94</v>
      </c>
      <c r="BH7650" s="42"/>
      <c r="BI7650" s="74"/>
      <c r="BJ7650" s="80"/>
      <c r="BL7650" s="497">
        <v>32</v>
      </c>
      <c r="BN7650" s="42"/>
      <c r="BO7650" s="74"/>
      <c r="BP7650" s="80"/>
      <c r="BR7650" s="497">
        <v>26.96</v>
      </c>
      <c r="BT7650" s="42"/>
    </row>
    <row r="7651" spans="1:72" x14ac:dyDescent="0.25">
      <c r="A7651" s="90">
        <v>36845</v>
      </c>
      <c r="B7651" s="20">
        <v>4.1666666666666664E-2</v>
      </c>
      <c r="D7651">
        <v>55.040000000000006</v>
      </c>
      <c r="E7651" t="str">
        <f t="shared" si="274"/>
        <v>WEEKDAY</v>
      </c>
      <c r="F7651" t="e">
        <f t="shared" si="273"/>
        <v>#N/A</v>
      </c>
      <c r="G7651" s="74">
        <v>28809</v>
      </c>
      <c r="H7651" s="77">
        <v>4.1666666666666664E-2</v>
      </c>
      <c r="J7651">
        <v>62.06</v>
      </c>
      <c r="M7651" s="74">
        <v>36114</v>
      </c>
      <c r="N7651" s="77">
        <v>4.1666666666666664E-2</v>
      </c>
      <c r="P7651">
        <v>48.2</v>
      </c>
      <c r="S7651" s="74">
        <v>36845</v>
      </c>
      <c r="T7651" s="77">
        <v>4.1666666666666664E-2</v>
      </c>
      <c r="V7651">
        <v>39.92</v>
      </c>
      <c r="X7651" s="42"/>
      <c r="AB7651">
        <v>45.5</v>
      </c>
      <c r="AC7651">
        <v>41</v>
      </c>
      <c r="AE7651" s="74"/>
      <c r="AF7651" s="77"/>
      <c r="AH7651" s="497">
        <v>39.200000000000003</v>
      </c>
      <c r="AJ7651" s="42"/>
      <c r="AK7651" s="74"/>
      <c r="AL7651" s="77"/>
      <c r="AN7651" s="497">
        <v>37.04</v>
      </c>
      <c r="AP7651" s="42"/>
      <c r="AQ7651" s="74"/>
      <c r="AR7651" s="77"/>
      <c r="AT7651" s="497">
        <v>30.92</v>
      </c>
      <c r="AV7651" s="42"/>
      <c r="AW7651" s="74"/>
      <c r="AX7651" s="77"/>
      <c r="BA7651" s="497">
        <v>32</v>
      </c>
      <c r="BB7651" s="42"/>
      <c r="BC7651" s="74"/>
      <c r="BD7651" s="77"/>
      <c r="BF7651">
        <v>35.96</v>
      </c>
      <c r="BH7651" s="42"/>
      <c r="BI7651" s="74"/>
      <c r="BJ7651" s="77"/>
      <c r="BL7651" s="497">
        <v>32</v>
      </c>
      <c r="BN7651" s="42"/>
      <c r="BO7651" s="74"/>
      <c r="BP7651" s="77"/>
      <c r="BR7651" s="497">
        <v>26.060000000000002</v>
      </c>
      <c r="BT7651" s="42"/>
    </row>
    <row r="7652" spans="1:72" x14ac:dyDescent="0.25">
      <c r="A7652" s="90">
        <v>36845</v>
      </c>
      <c r="B7652" s="20">
        <v>8.3333333333333329E-2</v>
      </c>
      <c r="D7652">
        <v>55.040000000000006</v>
      </c>
      <c r="E7652" t="str">
        <f t="shared" si="274"/>
        <v>WEEKDAY</v>
      </c>
      <c r="F7652" t="e">
        <f t="shared" si="273"/>
        <v>#N/A</v>
      </c>
      <c r="G7652" s="74">
        <v>28809</v>
      </c>
      <c r="H7652" s="77">
        <v>8.3333333333333329E-2</v>
      </c>
      <c r="J7652">
        <v>60.980000000000004</v>
      </c>
      <c r="M7652" s="74">
        <v>36114</v>
      </c>
      <c r="N7652" s="77">
        <v>8.3333333333333329E-2</v>
      </c>
      <c r="P7652">
        <v>50</v>
      </c>
      <c r="S7652" s="74">
        <v>36845</v>
      </c>
      <c r="T7652" s="77">
        <v>8.3333333333333329E-2</v>
      </c>
      <c r="V7652">
        <v>39.92</v>
      </c>
      <c r="X7652" s="42"/>
      <c r="AB7652">
        <v>44.9</v>
      </c>
      <c r="AC7652">
        <v>42.08</v>
      </c>
      <c r="AE7652" s="74"/>
      <c r="AF7652" s="77"/>
      <c r="AH7652" s="497">
        <v>39.200000000000003</v>
      </c>
      <c r="AJ7652" s="42"/>
      <c r="AK7652" s="74"/>
      <c r="AL7652" s="77"/>
      <c r="AN7652" s="497">
        <v>35.96</v>
      </c>
      <c r="AP7652" s="42"/>
      <c r="AQ7652" s="74"/>
      <c r="AR7652" s="77"/>
      <c r="AT7652" s="497">
        <v>33.979999999999997</v>
      </c>
      <c r="AV7652" s="42"/>
      <c r="AW7652" s="74"/>
      <c r="AX7652" s="77"/>
      <c r="BA7652" s="497">
        <v>30.92</v>
      </c>
      <c r="BB7652" s="42"/>
      <c r="BC7652" s="74"/>
      <c r="BD7652" s="77"/>
      <c r="BF7652">
        <v>35.06</v>
      </c>
      <c r="BH7652" s="42"/>
      <c r="BI7652" s="74"/>
      <c r="BJ7652" s="77"/>
      <c r="BL7652" s="497">
        <v>32</v>
      </c>
      <c r="BN7652" s="42"/>
      <c r="BO7652" s="74"/>
      <c r="BP7652" s="77"/>
      <c r="BR7652" s="497">
        <v>24.08</v>
      </c>
      <c r="BT7652" s="42"/>
    </row>
    <row r="7653" spans="1:72" x14ac:dyDescent="0.25">
      <c r="A7653" s="90">
        <v>36845</v>
      </c>
      <c r="B7653" s="20">
        <v>0.125</v>
      </c>
      <c r="D7653">
        <v>55.94</v>
      </c>
      <c r="E7653" t="str">
        <f t="shared" si="274"/>
        <v>WEEKDAY</v>
      </c>
      <c r="F7653" t="e">
        <f t="shared" si="273"/>
        <v>#N/A</v>
      </c>
      <c r="G7653" s="74">
        <v>28809</v>
      </c>
      <c r="H7653" s="77">
        <v>0.125</v>
      </c>
      <c r="J7653">
        <v>60.08</v>
      </c>
      <c r="M7653" s="74">
        <v>36114</v>
      </c>
      <c r="N7653" s="77">
        <v>0.125</v>
      </c>
      <c r="P7653">
        <v>50</v>
      </c>
      <c r="S7653" s="74">
        <v>36845</v>
      </c>
      <c r="T7653" s="77">
        <v>0.125</v>
      </c>
      <c r="V7653">
        <v>39.019999999999996</v>
      </c>
      <c r="X7653" s="42"/>
      <c r="AB7653">
        <v>44.4</v>
      </c>
      <c r="AC7653">
        <v>42.08</v>
      </c>
      <c r="AE7653" s="74"/>
      <c r="AF7653" s="77"/>
      <c r="AH7653" s="497">
        <v>44.6</v>
      </c>
      <c r="AJ7653" s="42"/>
      <c r="AK7653" s="74"/>
      <c r="AL7653" s="77"/>
      <c r="AN7653" s="497">
        <v>35.96</v>
      </c>
      <c r="AP7653" s="42"/>
      <c r="AQ7653" s="74"/>
      <c r="AR7653" s="77"/>
      <c r="AT7653" s="497">
        <v>33.979999999999997</v>
      </c>
      <c r="AV7653" s="42"/>
      <c r="AW7653" s="74"/>
      <c r="AX7653" s="77"/>
      <c r="BA7653" s="497">
        <v>30.92</v>
      </c>
      <c r="BB7653" s="42"/>
      <c r="BC7653" s="74"/>
      <c r="BD7653" s="77"/>
      <c r="BF7653">
        <v>33.08</v>
      </c>
      <c r="BH7653" s="42"/>
      <c r="BI7653" s="74"/>
      <c r="BJ7653" s="77"/>
      <c r="BL7653" s="497">
        <v>30.02</v>
      </c>
      <c r="BN7653" s="42"/>
      <c r="BO7653" s="74"/>
      <c r="BP7653" s="77"/>
      <c r="BR7653" s="497">
        <v>23</v>
      </c>
      <c r="BT7653" s="42"/>
    </row>
    <row r="7654" spans="1:72" x14ac:dyDescent="0.25">
      <c r="A7654" s="90">
        <v>36845</v>
      </c>
      <c r="B7654" s="20">
        <v>0.16666666666666666</v>
      </c>
      <c r="D7654">
        <v>55.94</v>
      </c>
      <c r="E7654" t="str">
        <f t="shared" si="274"/>
        <v>WEEKDAY</v>
      </c>
      <c r="F7654" t="e">
        <f t="shared" si="273"/>
        <v>#N/A</v>
      </c>
      <c r="G7654" s="74">
        <v>28809</v>
      </c>
      <c r="H7654" s="77">
        <v>0.16666666666666666</v>
      </c>
      <c r="J7654">
        <v>60.08</v>
      </c>
      <c r="M7654" s="74">
        <v>36114</v>
      </c>
      <c r="N7654" s="77">
        <v>0.16666666666666666</v>
      </c>
      <c r="P7654">
        <v>48.2</v>
      </c>
      <c r="S7654" s="74">
        <v>36845</v>
      </c>
      <c r="T7654" s="77">
        <v>0.16666666666666666</v>
      </c>
      <c r="V7654">
        <v>37.94</v>
      </c>
      <c r="X7654" s="42"/>
      <c r="AB7654">
        <v>44</v>
      </c>
      <c r="AC7654">
        <v>42.08</v>
      </c>
      <c r="AE7654" s="74"/>
      <c r="AF7654" s="77"/>
      <c r="AH7654" s="497">
        <v>46.4</v>
      </c>
      <c r="AJ7654" s="42"/>
      <c r="AK7654" s="74"/>
      <c r="AL7654" s="77"/>
      <c r="AN7654" s="497">
        <v>35.96</v>
      </c>
      <c r="AP7654" s="42"/>
      <c r="AQ7654" s="74"/>
      <c r="AR7654" s="77"/>
      <c r="AT7654" s="497">
        <v>33.979999999999997</v>
      </c>
      <c r="AV7654" s="42"/>
      <c r="AW7654" s="74"/>
      <c r="AX7654" s="77"/>
      <c r="BA7654" s="497">
        <v>30.02</v>
      </c>
      <c r="BB7654" s="42"/>
      <c r="BC7654" s="74"/>
      <c r="BD7654" s="77"/>
      <c r="BF7654">
        <v>32</v>
      </c>
      <c r="BH7654" s="42"/>
      <c r="BI7654" s="74"/>
      <c r="BJ7654" s="77"/>
      <c r="BL7654" s="497">
        <v>28.94</v>
      </c>
      <c r="BN7654" s="42"/>
      <c r="BO7654" s="74"/>
      <c r="BP7654" s="77"/>
      <c r="BR7654" s="497">
        <v>23</v>
      </c>
      <c r="BT7654" s="42"/>
    </row>
    <row r="7655" spans="1:72" x14ac:dyDescent="0.25">
      <c r="A7655" s="90">
        <v>36845</v>
      </c>
      <c r="B7655" s="20">
        <v>0.20833333333333334</v>
      </c>
      <c r="D7655">
        <v>55.94</v>
      </c>
      <c r="E7655" t="str">
        <f t="shared" si="274"/>
        <v>WEEKDAY</v>
      </c>
      <c r="F7655" t="e">
        <f t="shared" si="273"/>
        <v>#N/A</v>
      </c>
      <c r="G7655" s="74">
        <v>28809</v>
      </c>
      <c r="H7655" s="77">
        <v>0.20833333333333334</v>
      </c>
      <c r="J7655">
        <v>55.94</v>
      </c>
      <c r="M7655" s="74">
        <v>36114</v>
      </c>
      <c r="N7655" s="77">
        <v>0.20833333333333334</v>
      </c>
      <c r="P7655">
        <v>48.2</v>
      </c>
      <c r="S7655" s="74">
        <v>36845</v>
      </c>
      <c r="T7655" s="77">
        <v>0.20833333333333334</v>
      </c>
      <c r="V7655">
        <v>37.04</v>
      </c>
      <c r="X7655" s="42"/>
      <c r="AB7655">
        <v>43.7</v>
      </c>
      <c r="AC7655">
        <v>39.92</v>
      </c>
      <c r="AE7655" s="74"/>
      <c r="AF7655" s="77"/>
      <c r="AH7655" s="497">
        <v>51.8</v>
      </c>
      <c r="AJ7655" s="42"/>
      <c r="AK7655" s="74"/>
      <c r="AL7655" s="77"/>
      <c r="AN7655" s="497">
        <v>35.06</v>
      </c>
      <c r="AP7655" s="42"/>
      <c r="AQ7655" s="74"/>
      <c r="AR7655" s="77"/>
      <c r="AT7655" s="497">
        <v>35.06</v>
      </c>
      <c r="AV7655" s="42"/>
      <c r="AW7655" s="74"/>
      <c r="AX7655" s="77"/>
      <c r="BA7655" s="497">
        <v>28.94</v>
      </c>
      <c r="BB7655" s="42"/>
      <c r="BC7655" s="74"/>
      <c r="BD7655" s="77"/>
      <c r="BF7655">
        <v>30.92</v>
      </c>
      <c r="BH7655" s="42"/>
      <c r="BI7655" s="74"/>
      <c r="BJ7655" s="77"/>
      <c r="BL7655" s="497">
        <v>28.94</v>
      </c>
      <c r="BN7655" s="42"/>
      <c r="BO7655" s="74"/>
      <c r="BP7655" s="77"/>
      <c r="BR7655" s="497">
        <v>21.92</v>
      </c>
      <c r="BT7655" s="42"/>
    </row>
    <row r="7656" spans="1:72" x14ac:dyDescent="0.25">
      <c r="A7656" s="90">
        <v>36845</v>
      </c>
      <c r="B7656" s="20">
        <v>0.25</v>
      </c>
      <c r="D7656">
        <v>57.019999999999996</v>
      </c>
      <c r="E7656" t="str">
        <f t="shared" si="274"/>
        <v>WEEKDAY</v>
      </c>
      <c r="F7656" t="e">
        <f t="shared" si="273"/>
        <v>#N/A</v>
      </c>
      <c r="G7656" s="74">
        <v>28809</v>
      </c>
      <c r="H7656" s="77">
        <v>0.25</v>
      </c>
      <c r="J7656">
        <v>55.040000000000006</v>
      </c>
      <c r="M7656" s="74">
        <v>36114</v>
      </c>
      <c r="N7656" s="77">
        <v>0.25</v>
      </c>
      <c r="P7656">
        <v>48.2</v>
      </c>
      <c r="S7656" s="74">
        <v>36845</v>
      </c>
      <c r="T7656" s="77">
        <v>0.25</v>
      </c>
      <c r="V7656">
        <v>37.04</v>
      </c>
      <c r="X7656" s="42"/>
      <c r="AB7656">
        <v>43.4</v>
      </c>
      <c r="AC7656">
        <v>37.94</v>
      </c>
      <c r="AE7656" s="74"/>
      <c r="AF7656" s="77"/>
      <c r="AH7656" s="497">
        <v>44.6</v>
      </c>
      <c r="AJ7656" s="42"/>
      <c r="AK7656" s="74"/>
      <c r="AL7656" s="77"/>
      <c r="AN7656" s="497">
        <v>33.979999999999997</v>
      </c>
      <c r="AP7656" s="42"/>
      <c r="AQ7656" s="74"/>
      <c r="AR7656" s="77"/>
      <c r="AT7656" s="497">
        <v>35.06</v>
      </c>
      <c r="AV7656" s="42"/>
      <c r="AW7656" s="74"/>
      <c r="AX7656" s="77"/>
      <c r="BA7656" s="497">
        <v>30.02</v>
      </c>
      <c r="BB7656" s="42"/>
      <c r="BC7656" s="74"/>
      <c r="BD7656" s="77"/>
      <c r="BF7656">
        <v>30.02</v>
      </c>
      <c r="BH7656" s="42"/>
      <c r="BI7656" s="74"/>
      <c r="BJ7656" s="77"/>
      <c r="BL7656" s="497">
        <v>30.02</v>
      </c>
      <c r="BN7656" s="42"/>
      <c r="BO7656" s="74"/>
      <c r="BP7656" s="77"/>
      <c r="BR7656" s="497">
        <v>21.02</v>
      </c>
      <c r="BT7656" s="42"/>
    </row>
    <row r="7657" spans="1:72" x14ac:dyDescent="0.25">
      <c r="A7657" s="90">
        <v>36845</v>
      </c>
      <c r="B7657" s="20">
        <v>0.29166666666666669</v>
      </c>
      <c r="D7657">
        <v>55.94</v>
      </c>
      <c r="E7657" t="str">
        <f t="shared" si="274"/>
        <v>WEEKDAY</v>
      </c>
      <c r="F7657" t="e">
        <f t="shared" si="273"/>
        <v>#N/A</v>
      </c>
      <c r="G7657" s="74">
        <v>28809</v>
      </c>
      <c r="H7657" s="77">
        <v>0.29166666666666669</v>
      </c>
      <c r="J7657">
        <v>53.06</v>
      </c>
      <c r="M7657" s="74">
        <v>36114</v>
      </c>
      <c r="N7657" s="77">
        <v>0.29166666666666669</v>
      </c>
      <c r="P7657">
        <v>48.2</v>
      </c>
      <c r="S7657" s="74">
        <v>36845</v>
      </c>
      <c r="T7657" s="77">
        <v>0.29166666666666669</v>
      </c>
      <c r="V7657">
        <v>37.04</v>
      </c>
      <c r="X7657" s="42"/>
      <c r="AB7657">
        <v>43.3</v>
      </c>
      <c r="AC7657">
        <v>37.04</v>
      </c>
      <c r="AE7657" s="74"/>
      <c r="AF7657" s="77"/>
      <c r="AH7657" s="497">
        <v>46.4</v>
      </c>
      <c r="AJ7657" s="42"/>
      <c r="AK7657" s="74"/>
      <c r="AL7657" s="77"/>
      <c r="AN7657" s="497">
        <v>33.979999999999997</v>
      </c>
      <c r="AP7657" s="42"/>
      <c r="AQ7657" s="74"/>
      <c r="AR7657" s="77"/>
      <c r="AT7657" s="497">
        <v>35.06</v>
      </c>
      <c r="AV7657" s="42"/>
      <c r="AW7657" s="74"/>
      <c r="AX7657" s="77"/>
      <c r="BA7657" s="497">
        <v>26.060000000000002</v>
      </c>
      <c r="BB7657" s="42"/>
      <c r="BC7657" s="74"/>
      <c r="BD7657" s="77"/>
      <c r="BF7657">
        <v>30.92</v>
      </c>
      <c r="BH7657" s="42"/>
      <c r="BI7657" s="74"/>
      <c r="BJ7657" s="77"/>
      <c r="BL7657" s="497">
        <v>28.04</v>
      </c>
      <c r="BN7657" s="42"/>
      <c r="BO7657" s="74"/>
      <c r="BP7657" s="77"/>
      <c r="BR7657" s="497">
        <v>19.939999999999998</v>
      </c>
      <c r="BT7657" s="42"/>
    </row>
    <row r="7658" spans="1:72" x14ac:dyDescent="0.25">
      <c r="A7658" s="90">
        <v>36845</v>
      </c>
      <c r="B7658" s="20">
        <v>0.33333333333333331</v>
      </c>
      <c r="D7658">
        <v>55.94</v>
      </c>
      <c r="E7658" t="str">
        <f t="shared" si="274"/>
        <v>WEEKDAY</v>
      </c>
      <c r="F7658" t="e">
        <f t="shared" si="273"/>
        <v>#N/A</v>
      </c>
      <c r="G7658" s="74">
        <v>28809</v>
      </c>
      <c r="H7658" s="77">
        <v>0.33333333333333331</v>
      </c>
      <c r="J7658">
        <v>51.980000000000004</v>
      </c>
      <c r="M7658" s="74">
        <v>36114</v>
      </c>
      <c r="N7658" s="77">
        <v>0.33333333333333331</v>
      </c>
      <c r="P7658">
        <v>50</v>
      </c>
      <c r="S7658" s="74">
        <v>36845</v>
      </c>
      <c r="T7658" s="77">
        <v>0.33333333333333331</v>
      </c>
      <c r="V7658">
        <v>39.019999999999996</v>
      </c>
      <c r="X7658" s="42"/>
      <c r="AB7658">
        <v>43.3</v>
      </c>
      <c r="AC7658">
        <v>37.94</v>
      </c>
      <c r="AE7658" s="74"/>
      <c r="AF7658" s="77"/>
      <c r="AH7658" s="497">
        <v>50</v>
      </c>
      <c r="AJ7658" s="42"/>
      <c r="AK7658" s="74"/>
      <c r="AL7658" s="77"/>
      <c r="AN7658" s="497">
        <v>35.06</v>
      </c>
      <c r="AP7658" s="42"/>
      <c r="AQ7658" s="74"/>
      <c r="AR7658" s="77"/>
      <c r="AT7658" s="497">
        <v>37.04</v>
      </c>
      <c r="AV7658" s="42"/>
      <c r="AW7658" s="74"/>
      <c r="AX7658" s="77"/>
      <c r="BA7658" s="497">
        <v>30.02</v>
      </c>
      <c r="BB7658" s="42"/>
      <c r="BC7658" s="74"/>
      <c r="BD7658" s="77"/>
      <c r="BF7658">
        <v>30.92</v>
      </c>
      <c r="BH7658" s="42"/>
      <c r="BI7658" s="74"/>
      <c r="BJ7658" s="77"/>
      <c r="BL7658" s="497">
        <v>30.92</v>
      </c>
      <c r="BN7658" s="42"/>
      <c r="BO7658" s="74"/>
      <c r="BP7658" s="77"/>
      <c r="BR7658" s="497">
        <v>21.92</v>
      </c>
      <c r="BT7658" s="42"/>
    </row>
    <row r="7659" spans="1:72" x14ac:dyDescent="0.25">
      <c r="A7659" s="90">
        <v>36845</v>
      </c>
      <c r="B7659" s="20">
        <v>0.375</v>
      </c>
      <c r="D7659">
        <v>59</v>
      </c>
      <c r="E7659" t="str">
        <f t="shared" si="274"/>
        <v>WEEKDAY</v>
      </c>
      <c r="F7659" t="e">
        <f t="shared" ref="F7659:F7722" si="275">IF(E7659="WEEKDAY",VLOOKUP(B7659,$DD$19:$DG$42,2),IF(E7659="SATURDAY",VLOOKUP(B7659,$DD$19:$DG$42,3),VLOOKUP(B7659,$DD$19:$DG$42,4)))</f>
        <v>#N/A</v>
      </c>
      <c r="G7659" s="74">
        <v>28809</v>
      </c>
      <c r="H7659" s="77">
        <v>0.375</v>
      </c>
      <c r="J7659">
        <v>51.08</v>
      </c>
      <c r="M7659" s="74">
        <v>36114</v>
      </c>
      <c r="N7659" s="77">
        <v>0.375</v>
      </c>
      <c r="P7659">
        <v>53.6</v>
      </c>
      <c r="S7659" s="74">
        <v>36845</v>
      </c>
      <c r="T7659" s="77">
        <v>0.375</v>
      </c>
      <c r="V7659">
        <v>41</v>
      </c>
      <c r="X7659" s="42"/>
      <c r="AB7659">
        <v>44.8</v>
      </c>
      <c r="AC7659">
        <v>39.019999999999996</v>
      </c>
      <c r="AE7659" s="74"/>
      <c r="AF7659" s="77"/>
      <c r="AH7659" s="497">
        <v>51.8</v>
      </c>
      <c r="AJ7659" s="42"/>
      <c r="AK7659" s="74"/>
      <c r="AL7659" s="77"/>
      <c r="AN7659" s="497">
        <v>37.94</v>
      </c>
      <c r="AP7659" s="42"/>
      <c r="AQ7659" s="74"/>
      <c r="AR7659" s="77"/>
      <c r="AT7659" s="497">
        <v>41</v>
      </c>
      <c r="AV7659" s="42"/>
      <c r="AW7659" s="74"/>
      <c r="AX7659" s="77"/>
      <c r="BA7659" s="497">
        <v>35.06</v>
      </c>
      <c r="BB7659" s="42"/>
      <c r="BC7659" s="74"/>
      <c r="BD7659" s="77"/>
      <c r="BF7659">
        <v>37.04</v>
      </c>
      <c r="BH7659" s="42"/>
      <c r="BI7659" s="74"/>
      <c r="BJ7659" s="77"/>
      <c r="BL7659" s="497">
        <v>35.06</v>
      </c>
      <c r="BN7659" s="42"/>
      <c r="BO7659" s="74"/>
      <c r="BP7659" s="77"/>
      <c r="BR7659" s="497">
        <v>30.02</v>
      </c>
      <c r="BT7659" s="42"/>
    </row>
    <row r="7660" spans="1:72" x14ac:dyDescent="0.25">
      <c r="A7660" s="90">
        <v>36845</v>
      </c>
      <c r="B7660" s="20">
        <v>0.41666666666666669</v>
      </c>
      <c r="D7660">
        <v>62.96</v>
      </c>
      <c r="E7660" t="str">
        <f t="shared" si="274"/>
        <v>WEEKDAY</v>
      </c>
      <c r="F7660" t="e">
        <f t="shared" si="275"/>
        <v>#N/A</v>
      </c>
      <c r="G7660" s="74">
        <v>28809</v>
      </c>
      <c r="H7660" s="77">
        <v>0.41666666666666669</v>
      </c>
      <c r="J7660">
        <v>51.08</v>
      </c>
      <c r="M7660" s="74">
        <v>36114</v>
      </c>
      <c r="N7660" s="77">
        <v>0.41666666666666669</v>
      </c>
      <c r="P7660">
        <v>56.3</v>
      </c>
      <c r="S7660" s="74">
        <v>36845</v>
      </c>
      <c r="T7660" s="77">
        <v>0.41666666666666669</v>
      </c>
      <c r="V7660">
        <v>42.980000000000004</v>
      </c>
      <c r="X7660" s="42"/>
      <c r="AB7660">
        <v>46.8</v>
      </c>
      <c r="AC7660">
        <v>39.92</v>
      </c>
      <c r="AE7660" s="74"/>
      <c r="AF7660" s="77"/>
      <c r="AH7660" s="497">
        <v>55.400000000000006</v>
      </c>
      <c r="AJ7660" s="42"/>
      <c r="AK7660" s="74"/>
      <c r="AL7660" s="77"/>
      <c r="AN7660" s="497">
        <v>39.019999999999996</v>
      </c>
      <c r="AP7660" s="42"/>
      <c r="AQ7660" s="74"/>
      <c r="AR7660" s="77"/>
      <c r="AT7660" s="497">
        <v>44.06</v>
      </c>
      <c r="AV7660" s="42"/>
      <c r="AW7660" s="74"/>
      <c r="AX7660" s="77"/>
      <c r="BA7660" s="497">
        <v>41</v>
      </c>
      <c r="BB7660" s="42"/>
      <c r="BC7660" s="74"/>
      <c r="BD7660" s="77"/>
      <c r="BF7660">
        <v>39.92</v>
      </c>
      <c r="BH7660" s="42"/>
      <c r="BI7660" s="74"/>
      <c r="BJ7660" s="77"/>
      <c r="BL7660" s="497">
        <v>41</v>
      </c>
      <c r="BN7660" s="42"/>
      <c r="BO7660" s="74"/>
      <c r="BP7660" s="77"/>
      <c r="BR7660" s="497">
        <v>37.04</v>
      </c>
      <c r="BT7660" s="42"/>
    </row>
    <row r="7661" spans="1:72" x14ac:dyDescent="0.25">
      <c r="A7661" s="90">
        <v>36845</v>
      </c>
      <c r="B7661" s="20">
        <v>0.45833333333333331</v>
      </c>
      <c r="D7661">
        <v>64.039999999999992</v>
      </c>
      <c r="E7661" t="str">
        <f t="shared" si="274"/>
        <v>WEEKDAY</v>
      </c>
      <c r="F7661" t="e">
        <f t="shared" si="275"/>
        <v>#N/A</v>
      </c>
      <c r="G7661" s="74">
        <v>28809</v>
      </c>
      <c r="H7661" s="77">
        <v>0.45833333333333331</v>
      </c>
      <c r="J7661">
        <v>53.06</v>
      </c>
      <c r="M7661" s="74">
        <v>36114</v>
      </c>
      <c r="N7661" s="77">
        <v>0.45833333333333331</v>
      </c>
      <c r="P7661">
        <v>59</v>
      </c>
      <c r="S7661" s="74">
        <v>36845</v>
      </c>
      <c r="T7661" s="77">
        <v>0.45833333333333331</v>
      </c>
      <c r="V7661">
        <v>44.96</v>
      </c>
      <c r="X7661" s="42"/>
      <c r="AB7661">
        <v>48.5</v>
      </c>
      <c r="AC7661">
        <v>42.08</v>
      </c>
      <c r="AE7661" s="74"/>
      <c r="AF7661" s="77"/>
      <c r="AH7661" s="497">
        <v>60.8</v>
      </c>
      <c r="AJ7661" s="42"/>
      <c r="AK7661" s="74"/>
      <c r="AL7661" s="77"/>
      <c r="AN7661" s="497">
        <v>44.06</v>
      </c>
      <c r="AP7661" s="42"/>
      <c r="AQ7661" s="74"/>
      <c r="AR7661" s="77"/>
      <c r="AT7661" s="497">
        <v>46.94</v>
      </c>
      <c r="AV7661" s="42"/>
      <c r="AW7661" s="74"/>
      <c r="AX7661" s="77"/>
      <c r="BA7661" s="497">
        <v>46.04</v>
      </c>
      <c r="BB7661" s="42"/>
      <c r="BC7661" s="74"/>
      <c r="BD7661" s="77"/>
      <c r="BF7661">
        <v>44.06</v>
      </c>
      <c r="BH7661" s="42"/>
      <c r="BI7661" s="74"/>
      <c r="BJ7661" s="77"/>
      <c r="BL7661" s="497">
        <v>44.96</v>
      </c>
      <c r="BN7661" s="42"/>
      <c r="BO7661" s="74"/>
      <c r="BP7661" s="77"/>
      <c r="BR7661" s="497">
        <v>39.019999999999996</v>
      </c>
      <c r="BT7661" s="42"/>
    </row>
    <row r="7662" spans="1:72" x14ac:dyDescent="0.25">
      <c r="A7662" s="90">
        <v>36845</v>
      </c>
      <c r="B7662" s="20">
        <v>0.5</v>
      </c>
      <c r="D7662">
        <v>64.94</v>
      </c>
      <c r="E7662" t="str">
        <f t="shared" si="274"/>
        <v>WEEKDAY</v>
      </c>
      <c r="F7662" t="e">
        <f t="shared" si="275"/>
        <v>#N/A</v>
      </c>
      <c r="G7662" s="74">
        <v>28809</v>
      </c>
      <c r="H7662" s="77">
        <v>0.5</v>
      </c>
      <c r="J7662">
        <v>53.06</v>
      </c>
      <c r="M7662" s="74">
        <v>36114</v>
      </c>
      <c r="N7662" s="77">
        <v>0.5</v>
      </c>
      <c r="P7662">
        <v>59.36</v>
      </c>
      <c r="S7662" s="74">
        <v>36845</v>
      </c>
      <c r="T7662" s="77">
        <v>0.5</v>
      </c>
      <c r="V7662">
        <v>48.019999999999996</v>
      </c>
      <c r="X7662" s="42"/>
      <c r="AB7662">
        <v>49.8</v>
      </c>
      <c r="AC7662">
        <v>42.980000000000004</v>
      </c>
      <c r="AE7662" s="74"/>
      <c r="AF7662" s="77"/>
      <c r="AH7662" s="497">
        <v>62.6</v>
      </c>
      <c r="AJ7662" s="42"/>
      <c r="AK7662" s="74"/>
      <c r="AL7662" s="77"/>
      <c r="AN7662" s="497">
        <v>44.96</v>
      </c>
      <c r="AP7662" s="42"/>
      <c r="AQ7662" s="74"/>
      <c r="AR7662" s="77"/>
      <c r="AT7662" s="497">
        <v>48.92</v>
      </c>
      <c r="AV7662" s="42"/>
      <c r="AW7662" s="74"/>
      <c r="AX7662" s="77"/>
      <c r="BA7662" s="497">
        <v>50</v>
      </c>
      <c r="BB7662" s="42"/>
      <c r="BC7662" s="74"/>
      <c r="BD7662" s="77"/>
      <c r="BF7662">
        <v>46.94</v>
      </c>
      <c r="BH7662" s="42"/>
      <c r="BI7662" s="74"/>
      <c r="BJ7662" s="77"/>
      <c r="BL7662" s="497">
        <v>46.04</v>
      </c>
      <c r="BN7662" s="42"/>
      <c r="BO7662" s="74"/>
      <c r="BP7662" s="77"/>
      <c r="BR7662" s="497">
        <v>41</v>
      </c>
      <c r="BT7662" s="42"/>
    </row>
    <row r="7663" spans="1:72" x14ac:dyDescent="0.25">
      <c r="A7663" s="90">
        <v>36845</v>
      </c>
      <c r="B7663" s="20">
        <v>0.54166666666666663</v>
      </c>
      <c r="D7663">
        <v>68</v>
      </c>
      <c r="E7663" t="str">
        <f t="shared" si="274"/>
        <v>WEEKDAY</v>
      </c>
      <c r="F7663" t="e">
        <f t="shared" si="275"/>
        <v>#N/A</v>
      </c>
      <c r="G7663" s="74">
        <v>28809</v>
      </c>
      <c r="H7663" s="77">
        <v>0.54166666666666663</v>
      </c>
      <c r="J7663">
        <v>53.96</v>
      </c>
      <c r="M7663" s="74">
        <v>36114</v>
      </c>
      <c r="N7663" s="77">
        <v>0.54166666666666663</v>
      </c>
      <c r="P7663">
        <v>59.18</v>
      </c>
      <c r="S7663" s="74">
        <v>36845</v>
      </c>
      <c r="T7663" s="77">
        <v>0.54166666666666663</v>
      </c>
      <c r="V7663">
        <v>46.04</v>
      </c>
      <c r="X7663" s="42"/>
      <c r="AB7663">
        <v>50.9</v>
      </c>
      <c r="AC7663">
        <v>44.96</v>
      </c>
      <c r="AE7663" s="74"/>
      <c r="AF7663" s="77"/>
      <c r="AH7663" s="497">
        <v>64.400000000000006</v>
      </c>
      <c r="AJ7663" s="42"/>
      <c r="AK7663" s="74"/>
      <c r="AL7663" s="77"/>
      <c r="AN7663" s="497">
        <v>46.04</v>
      </c>
      <c r="AP7663" s="42"/>
      <c r="AQ7663" s="74"/>
      <c r="AR7663" s="77"/>
      <c r="AT7663" s="497">
        <v>51.08</v>
      </c>
      <c r="AV7663" s="42"/>
      <c r="AW7663" s="74"/>
      <c r="AX7663" s="77"/>
      <c r="BA7663" s="497">
        <v>53.06</v>
      </c>
      <c r="BB7663" s="42"/>
      <c r="BC7663" s="74"/>
      <c r="BD7663" s="77"/>
      <c r="BF7663">
        <v>50</v>
      </c>
      <c r="BH7663" s="42"/>
      <c r="BI7663" s="74"/>
      <c r="BJ7663" s="77"/>
      <c r="BL7663" s="497">
        <v>48.019999999999996</v>
      </c>
      <c r="BN7663" s="42"/>
      <c r="BO7663" s="74"/>
      <c r="BP7663" s="77"/>
      <c r="BR7663" s="497">
        <v>41</v>
      </c>
      <c r="BT7663" s="42"/>
    </row>
    <row r="7664" spans="1:72" x14ac:dyDescent="0.25">
      <c r="A7664" s="90">
        <v>36845</v>
      </c>
      <c r="B7664" s="20">
        <v>0.58333333333333337</v>
      </c>
      <c r="D7664">
        <v>68</v>
      </c>
      <c r="E7664" t="str">
        <f t="shared" si="274"/>
        <v>WEEKDAY</v>
      </c>
      <c r="F7664" t="e">
        <f t="shared" si="275"/>
        <v>#N/A</v>
      </c>
      <c r="G7664" s="74">
        <v>28809</v>
      </c>
      <c r="H7664" s="77">
        <v>0.58333333333333337</v>
      </c>
      <c r="J7664">
        <v>53.96</v>
      </c>
      <c r="M7664" s="74">
        <v>36114</v>
      </c>
      <c r="N7664" s="77">
        <v>0.58333333333333337</v>
      </c>
      <c r="P7664">
        <v>58.46</v>
      </c>
      <c r="S7664" s="74">
        <v>36845</v>
      </c>
      <c r="T7664" s="77">
        <v>0.58333333333333337</v>
      </c>
      <c r="V7664">
        <v>46.94</v>
      </c>
      <c r="X7664" s="42"/>
      <c r="AB7664">
        <v>51.5</v>
      </c>
      <c r="AC7664">
        <v>46.04</v>
      </c>
      <c r="AE7664" s="74"/>
      <c r="AF7664" s="77"/>
      <c r="AH7664" s="497">
        <v>66.2</v>
      </c>
      <c r="AJ7664" s="42"/>
      <c r="AK7664" s="74"/>
      <c r="AL7664" s="77"/>
      <c r="AN7664" s="497">
        <v>46.94</v>
      </c>
      <c r="AP7664" s="42"/>
      <c r="AQ7664" s="74"/>
      <c r="AR7664" s="77"/>
      <c r="AT7664" s="497">
        <v>51.980000000000004</v>
      </c>
      <c r="AV7664" s="42"/>
      <c r="AW7664" s="74"/>
      <c r="AX7664" s="77"/>
      <c r="BA7664" s="497">
        <v>51.980000000000004</v>
      </c>
      <c r="BB7664" s="42"/>
      <c r="BC7664" s="74"/>
      <c r="BD7664" s="77"/>
      <c r="BF7664">
        <v>51.980000000000004</v>
      </c>
      <c r="BH7664" s="42"/>
      <c r="BI7664" s="74"/>
      <c r="BJ7664" s="77"/>
      <c r="BL7664" s="497">
        <v>50</v>
      </c>
      <c r="BN7664" s="42"/>
      <c r="BO7664" s="74"/>
      <c r="BP7664" s="77"/>
      <c r="BR7664" s="497">
        <v>41</v>
      </c>
      <c r="BT7664" s="42"/>
    </row>
    <row r="7665" spans="1:72" x14ac:dyDescent="0.25">
      <c r="A7665" s="90">
        <v>36845</v>
      </c>
      <c r="B7665" s="20">
        <v>0.625</v>
      </c>
      <c r="D7665">
        <v>68</v>
      </c>
      <c r="E7665" t="str">
        <f t="shared" si="274"/>
        <v>WEEKDAY</v>
      </c>
      <c r="F7665" t="e">
        <f t="shared" si="275"/>
        <v>#N/A</v>
      </c>
      <c r="G7665" s="74">
        <v>28809</v>
      </c>
      <c r="H7665" s="77">
        <v>0.625</v>
      </c>
      <c r="J7665">
        <v>53.96</v>
      </c>
      <c r="M7665" s="74">
        <v>36114</v>
      </c>
      <c r="N7665" s="77">
        <v>0.625</v>
      </c>
      <c r="P7665">
        <v>57.379999999999995</v>
      </c>
      <c r="S7665" s="74">
        <v>36845</v>
      </c>
      <c r="T7665" s="77">
        <v>0.625</v>
      </c>
      <c r="V7665">
        <v>46.94</v>
      </c>
      <c r="X7665" s="42"/>
      <c r="AB7665">
        <v>51.8</v>
      </c>
      <c r="AC7665">
        <v>46.04</v>
      </c>
      <c r="AE7665" s="74"/>
      <c r="AF7665" s="77"/>
      <c r="AH7665" s="497">
        <v>66.2</v>
      </c>
      <c r="AJ7665" s="42"/>
      <c r="AK7665" s="74"/>
      <c r="AL7665" s="77"/>
      <c r="AN7665" s="497">
        <v>48.92</v>
      </c>
      <c r="AP7665" s="42"/>
      <c r="AQ7665" s="74"/>
      <c r="AR7665" s="77"/>
      <c r="AT7665" s="497">
        <v>51.08</v>
      </c>
      <c r="AV7665" s="42"/>
      <c r="AW7665" s="74"/>
      <c r="AX7665" s="77"/>
      <c r="BA7665" s="497">
        <v>51.08</v>
      </c>
      <c r="BB7665" s="42"/>
      <c r="BC7665" s="74"/>
      <c r="BD7665" s="77"/>
      <c r="BF7665">
        <v>53.06</v>
      </c>
      <c r="BH7665" s="42"/>
      <c r="BI7665" s="74"/>
      <c r="BJ7665" s="77"/>
      <c r="BL7665" s="497">
        <v>48.92</v>
      </c>
      <c r="BN7665" s="42"/>
      <c r="BO7665" s="74"/>
      <c r="BP7665" s="77"/>
      <c r="BR7665" s="497">
        <v>39.92</v>
      </c>
      <c r="BT7665" s="42"/>
    </row>
    <row r="7666" spans="1:72" x14ac:dyDescent="0.25">
      <c r="A7666" s="90">
        <v>36845</v>
      </c>
      <c r="B7666" s="20">
        <v>0.66666666666666663</v>
      </c>
      <c r="D7666">
        <v>66.02</v>
      </c>
      <c r="E7666" t="str">
        <f t="shared" si="274"/>
        <v>WEEKDAY</v>
      </c>
      <c r="F7666" t="e">
        <f t="shared" si="275"/>
        <v>#N/A</v>
      </c>
      <c r="G7666" s="74">
        <v>28809</v>
      </c>
      <c r="H7666" s="77">
        <v>0.66666666666666663</v>
      </c>
      <c r="J7666">
        <v>53.06</v>
      </c>
      <c r="M7666" s="74">
        <v>36114</v>
      </c>
      <c r="N7666" s="77">
        <v>0.66666666666666663</v>
      </c>
      <c r="P7666">
        <v>55.400000000000006</v>
      </c>
      <c r="S7666" s="74">
        <v>36845</v>
      </c>
      <c r="T7666" s="77">
        <v>0.66666666666666663</v>
      </c>
      <c r="V7666">
        <v>46.04</v>
      </c>
      <c r="X7666" s="42"/>
      <c r="AB7666">
        <v>51.3</v>
      </c>
      <c r="AC7666">
        <v>44.96</v>
      </c>
      <c r="AE7666" s="74"/>
      <c r="AF7666" s="77"/>
      <c r="AH7666" s="497">
        <v>64.400000000000006</v>
      </c>
      <c r="AJ7666" s="42"/>
      <c r="AK7666" s="74"/>
      <c r="AL7666" s="77"/>
      <c r="AN7666" s="497">
        <v>46.94</v>
      </c>
      <c r="AP7666" s="42"/>
      <c r="AQ7666" s="74"/>
      <c r="AR7666" s="77"/>
      <c r="AT7666" s="497">
        <v>50</v>
      </c>
      <c r="AV7666" s="42"/>
      <c r="AW7666" s="74"/>
      <c r="AX7666" s="77"/>
      <c r="BA7666" s="497">
        <v>48.92</v>
      </c>
      <c r="BB7666" s="42"/>
      <c r="BC7666" s="74"/>
      <c r="BD7666" s="77"/>
      <c r="BF7666">
        <v>53.06</v>
      </c>
      <c r="BH7666" s="42"/>
      <c r="BI7666" s="74"/>
      <c r="BJ7666" s="77"/>
      <c r="BL7666" s="497">
        <v>48.92</v>
      </c>
      <c r="BN7666" s="42"/>
      <c r="BO7666" s="74"/>
      <c r="BP7666" s="77"/>
      <c r="BR7666" s="497">
        <v>37.04</v>
      </c>
      <c r="BT7666" s="42"/>
    </row>
    <row r="7667" spans="1:72" x14ac:dyDescent="0.25">
      <c r="A7667" s="90">
        <v>36845</v>
      </c>
      <c r="B7667" s="20">
        <v>0.70833333333333337</v>
      </c>
      <c r="D7667">
        <v>66.02</v>
      </c>
      <c r="E7667" t="str">
        <f t="shared" si="274"/>
        <v>WEEKDAY</v>
      </c>
      <c r="F7667" t="e">
        <f t="shared" si="275"/>
        <v>#N/A</v>
      </c>
      <c r="G7667" s="74">
        <v>28809</v>
      </c>
      <c r="H7667" s="77">
        <v>0.70833333333333337</v>
      </c>
      <c r="J7667">
        <v>51.980000000000004</v>
      </c>
      <c r="M7667" s="74">
        <v>36114</v>
      </c>
      <c r="N7667" s="77">
        <v>0.70833333333333337</v>
      </c>
      <c r="P7667">
        <v>51.8</v>
      </c>
      <c r="S7667" s="74">
        <v>36845</v>
      </c>
      <c r="T7667" s="77">
        <v>0.70833333333333337</v>
      </c>
      <c r="V7667">
        <v>44.96</v>
      </c>
      <c r="X7667" s="42"/>
      <c r="AB7667">
        <v>50.4</v>
      </c>
      <c r="AC7667">
        <v>42.980000000000004</v>
      </c>
      <c r="AE7667" s="74"/>
      <c r="AF7667" s="77"/>
      <c r="AH7667" s="497">
        <v>60.8</v>
      </c>
      <c r="AJ7667" s="42"/>
      <c r="AK7667" s="74"/>
      <c r="AL7667" s="77"/>
      <c r="AN7667" s="497">
        <v>42.980000000000004</v>
      </c>
      <c r="AP7667" s="42"/>
      <c r="AQ7667" s="74"/>
      <c r="AR7667" s="77"/>
      <c r="AT7667" s="497">
        <v>46.04</v>
      </c>
      <c r="AV7667" s="42"/>
      <c r="AW7667" s="74"/>
      <c r="AX7667" s="77"/>
      <c r="BA7667" s="497">
        <v>44.96</v>
      </c>
      <c r="BB7667" s="42"/>
      <c r="BC7667" s="74"/>
      <c r="BD7667" s="77"/>
      <c r="BF7667">
        <v>48.92</v>
      </c>
      <c r="BH7667" s="42"/>
      <c r="BI7667" s="74"/>
      <c r="BJ7667" s="77"/>
      <c r="BL7667" s="497">
        <v>46.04</v>
      </c>
      <c r="BN7667" s="42"/>
      <c r="BO7667" s="74"/>
      <c r="BP7667" s="77"/>
      <c r="BR7667" s="497">
        <v>33.08</v>
      </c>
      <c r="BT7667" s="42"/>
    </row>
    <row r="7668" spans="1:72" x14ac:dyDescent="0.25">
      <c r="A7668" s="90">
        <v>36845</v>
      </c>
      <c r="B7668" s="20">
        <v>0.75</v>
      </c>
      <c r="D7668">
        <v>60.980000000000004</v>
      </c>
      <c r="E7668" t="str">
        <f t="shared" si="274"/>
        <v>WEEKDAY</v>
      </c>
      <c r="F7668" t="e">
        <f t="shared" si="275"/>
        <v>#N/A</v>
      </c>
      <c r="G7668" s="74">
        <v>28809</v>
      </c>
      <c r="H7668" s="77">
        <v>0.75</v>
      </c>
      <c r="J7668">
        <v>51.980000000000004</v>
      </c>
      <c r="M7668" s="74">
        <v>36114</v>
      </c>
      <c r="N7668" s="77">
        <v>0.75</v>
      </c>
      <c r="P7668">
        <v>50</v>
      </c>
      <c r="S7668" s="74">
        <v>36845</v>
      </c>
      <c r="T7668" s="77">
        <v>0.75</v>
      </c>
      <c r="V7668">
        <v>42.980000000000004</v>
      </c>
      <c r="X7668" s="42"/>
      <c r="AB7668">
        <v>49</v>
      </c>
      <c r="AC7668">
        <v>42.08</v>
      </c>
      <c r="AE7668" s="74"/>
      <c r="AF7668" s="77"/>
      <c r="AH7668" s="497">
        <v>60.8</v>
      </c>
      <c r="AJ7668" s="42"/>
      <c r="AK7668" s="74"/>
      <c r="AL7668" s="77"/>
      <c r="AN7668" s="497">
        <v>42.980000000000004</v>
      </c>
      <c r="AP7668" s="42"/>
      <c r="AQ7668" s="74"/>
      <c r="AR7668" s="77"/>
      <c r="AT7668" s="497">
        <v>46.04</v>
      </c>
      <c r="AV7668" s="42"/>
      <c r="AW7668" s="74"/>
      <c r="AX7668" s="77"/>
      <c r="BA7668" s="497">
        <v>42.980000000000004</v>
      </c>
      <c r="BB7668" s="42"/>
      <c r="BC7668" s="74"/>
      <c r="BD7668" s="77"/>
      <c r="BF7668">
        <v>46.94</v>
      </c>
      <c r="BH7668" s="42"/>
      <c r="BI7668" s="74"/>
      <c r="BJ7668" s="77"/>
      <c r="BL7668" s="497">
        <v>44.96</v>
      </c>
      <c r="BN7668" s="42"/>
      <c r="BO7668" s="74"/>
      <c r="BP7668" s="77"/>
      <c r="BR7668" s="497">
        <v>30.02</v>
      </c>
      <c r="BT7668" s="42"/>
    </row>
    <row r="7669" spans="1:72" x14ac:dyDescent="0.25">
      <c r="A7669" s="90">
        <v>36845</v>
      </c>
      <c r="B7669" s="20">
        <v>0.79166666666666663</v>
      </c>
      <c r="D7669">
        <v>59</v>
      </c>
      <c r="E7669" t="str">
        <f t="shared" si="274"/>
        <v>WEEKDAY</v>
      </c>
      <c r="F7669" t="e">
        <f t="shared" si="275"/>
        <v>#N/A</v>
      </c>
      <c r="G7669" s="74">
        <v>28809</v>
      </c>
      <c r="H7669" s="77">
        <v>0.79166666666666663</v>
      </c>
      <c r="J7669">
        <v>51.980000000000004</v>
      </c>
      <c r="M7669" s="74">
        <v>36114</v>
      </c>
      <c r="N7669" s="77">
        <v>0.79166666666666663</v>
      </c>
      <c r="P7669">
        <v>50</v>
      </c>
      <c r="S7669" s="74">
        <v>36845</v>
      </c>
      <c r="T7669" s="77">
        <v>0.79166666666666663</v>
      </c>
      <c r="V7669">
        <v>42.980000000000004</v>
      </c>
      <c r="X7669" s="42"/>
      <c r="AB7669">
        <v>48.4</v>
      </c>
      <c r="AC7669">
        <v>41</v>
      </c>
      <c r="AE7669" s="74"/>
      <c r="AF7669" s="77"/>
      <c r="AH7669" s="497">
        <v>60.8</v>
      </c>
      <c r="AJ7669" s="42"/>
      <c r="AK7669" s="74"/>
      <c r="AL7669" s="77"/>
      <c r="AN7669" s="497">
        <v>42.08</v>
      </c>
      <c r="AP7669" s="42"/>
      <c r="AQ7669" s="74"/>
      <c r="AR7669" s="77"/>
      <c r="AT7669" s="497">
        <v>44.96</v>
      </c>
      <c r="AV7669" s="42"/>
      <c r="AW7669" s="74"/>
      <c r="AX7669" s="77"/>
      <c r="BA7669" s="497">
        <v>39.92</v>
      </c>
      <c r="BB7669" s="42"/>
      <c r="BC7669" s="74"/>
      <c r="BD7669" s="77"/>
      <c r="BF7669">
        <v>46.04</v>
      </c>
      <c r="BH7669" s="42"/>
      <c r="BI7669" s="74"/>
      <c r="BJ7669" s="77"/>
      <c r="BL7669" s="497">
        <v>44.06</v>
      </c>
      <c r="BN7669" s="42"/>
      <c r="BO7669" s="74"/>
      <c r="BP7669" s="77"/>
      <c r="BR7669" s="497">
        <v>30.02</v>
      </c>
      <c r="BT7669" s="42"/>
    </row>
    <row r="7670" spans="1:72" x14ac:dyDescent="0.25">
      <c r="A7670" s="90">
        <v>36845</v>
      </c>
      <c r="B7670" s="20">
        <v>0.83333333333333337</v>
      </c>
      <c r="D7670">
        <v>57.92</v>
      </c>
      <c r="E7670" t="str">
        <f t="shared" si="274"/>
        <v>WEEKDAY</v>
      </c>
      <c r="F7670" t="e">
        <f t="shared" si="275"/>
        <v>#N/A</v>
      </c>
      <c r="G7670" s="74">
        <v>28809</v>
      </c>
      <c r="H7670" s="77">
        <v>0.83333333333333337</v>
      </c>
      <c r="J7670">
        <v>51.980000000000004</v>
      </c>
      <c r="M7670" s="74">
        <v>36114</v>
      </c>
      <c r="N7670" s="77">
        <v>0.83333333333333337</v>
      </c>
      <c r="P7670">
        <v>48.2</v>
      </c>
      <c r="S7670" s="74">
        <v>36845</v>
      </c>
      <c r="T7670" s="77">
        <v>0.83333333333333337</v>
      </c>
      <c r="V7670">
        <v>42.08</v>
      </c>
      <c r="X7670" s="42"/>
      <c r="AB7670">
        <v>48.1</v>
      </c>
      <c r="AC7670">
        <v>39.92</v>
      </c>
      <c r="AE7670" s="74"/>
      <c r="AF7670" s="77"/>
      <c r="AH7670" s="497">
        <v>59</v>
      </c>
      <c r="AJ7670" s="42"/>
      <c r="AK7670" s="74"/>
      <c r="AL7670" s="77"/>
      <c r="AN7670" s="497">
        <v>42.08</v>
      </c>
      <c r="AP7670" s="42"/>
      <c r="AQ7670" s="74"/>
      <c r="AR7670" s="77"/>
      <c r="AT7670" s="497">
        <v>44.06</v>
      </c>
      <c r="AV7670" s="42"/>
      <c r="AW7670" s="74"/>
      <c r="AX7670" s="77"/>
      <c r="BA7670" s="497">
        <v>39.019999999999996</v>
      </c>
      <c r="BB7670" s="42"/>
      <c r="BC7670" s="74"/>
      <c r="BD7670" s="77"/>
      <c r="BF7670">
        <v>46.04</v>
      </c>
      <c r="BH7670" s="42"/>
      <c r="BI7670" s="74"/>
      <c r="BJ7670" s="77"/>
      <c r="BL7670" s="497">
        <v>42.08</v>
      </c>
      <c r="BN7670" s="42"/>
      <c r="BO7670" s="74"/>
      <c r="BP7670" s="77"/>
      <c r="BR7670" s="497">
        <v>30.02</v>
      </c>
      <c r="BT7670" s="42"/>
    </row>
    <row r="7671" spans="1:72" x14ac:dyDescent="0.25">
      <c r="A7671" s="90">
        <v>36845</v>
      </c>
      <c r="B7671" s="20">
        <v>0.875</v>
      </c>
      <c r="D7671">
        <v>57.019999999999996</v>
      </c>
      <c r="E7671" t="str">
        <f t="shared" si="274"/>
        <v>WEEKDAY</v>
      </c>
      <c r="F7671" t="e">
        <f t="shared" si="275"/>
        <v>#N/A</v>
      </c>
      <c r="G7671" s="74">
        <v>28809</v>
      </c>
      <c r="H7671" s="77">
        <v>0.875</v>
      </c>
      <c r="J7671">
        <v>48.92</v>
      </c>
      <c r="M7671" s="74">
        <v>36114</v>
      </c>
      <c r="N7671" s="77">
        <v>0.875</v>
      </c>
      <c r="P7671">
        <v>48.2</v>
      </c>
      <c r="S7671" s="74">
        <v>36845</v>
      </c>
      <c r="T7671" s="77">
        <v>0.875</v>
      </c>
      <c r="V7671">
        <v>42.08</v>
      </c>
      <c r="X7671" s="42"/>
      <c r="AB7671">
        <v>47.5</v>
      </c>
      <c r="AC7671">
        <v>39.92</v>
      </c>
      <c r="AE7671" s="74"/>
      <c r="AF7671" s="77"/>
      <c r="AH7671" s="497">
        <v>60.8</v>
      </c>
      <c r="AJ7671" s="42"/>
      <c r="AK7671" s="74"/>
      <c r="AL7671" s="77"/>
      <c r="AN7671" s="497">
        <v>42.08</v>
      </c>
      <c r="AP7671" s="42"/>
      <c r="AQ7671" s="74"/>
      <c r="AR7671" s="77"/>
      <c r="AT7671" s="497">
        <v>44.96</v>
      </c>
      <c r="AV7671" s="42"/>
      <c r="AW7671" s="74"/>
      <c r="AX7671" s="77"/>
      <c r="BA7671" s="497">
        <v>37.04</v>
      </c>
      <c r="BB7671" s="42"/>
      <c r="BC7671" s="74"/>
      <c r="BD7671" s="77"/>
      <c r="BF7671">
        <v>44.96</v>
      </c>
      <c r="BH7671" s="42"/>
      <c r="BI7671" s="74"/>
      <c r="BJ7671" s="77"/>
      <c r="BL7671" s="497">
        <v>44.06</v>
      </c>
      <c r="BN7671" s="42"/>
      <c r="BO7671" s="74"/>
      <c r="BP7671" s="77"/>
      <c r="BR7671" s="497">
        <v>30.92</v>
      </c>
      <c r="BT7671" s="42"/>
    </row>
    <row r="7672" spans="1:72" x14ac:dyDescent="0.25">
      <c r="A7672" s="90">
        <v>36845</v>
      </c>
      <c r="B7672" s="20">
        <v>0.91666666666666663</v>
      </c>
      <c r="D7672">
        <v>55.040000000000006</v>
      </c>
      <c r="E7672" t="str">
        <f t="shared" si="274"/>
        <v>WEEKDAY</v>
      </c>
      <c r="F7672" t="e">
        <f t="shared" si="275"/>
        <v>#N/A</v>
      </c>
      <c r="G7672" s="74">
        <v>28809</v>
      </c>
      <c r="H7672" s="77">
        <v>0.91666666666666663</v>
      </c>
      <c r="J7672">
        <v>46.94</v>
      </c>
      <c r="M7672" s="74">
        <v>36114</v>
      </c>
      <c r="N7672" s="77">
        <v>0.91666666666666663</v>
      </c>
      <c r="P7672">
        <v>46.4</v>
      </c>
      <c r="S7672" s="74">
        <v>36845</v>
      </c>
      <c r="T7672" s="77">
        <v>0.91666666666666663</v>
      </c>
      <c r="V7672">
        <v>41</v>
      </c>
      <c r="X7672" s="42"/>
      <c r="AB7672">
        <v>46.9</v>
      </c>
      <c r="AC7672">
        <v>37.94</v>
      </c>
      <c r="AE7672" s="74"/>
      <c r="AF7672" s="77"/>
      <c r="AH7672" s="497">
        <v>60.8</v>
      </c>
      <c r="AJ7672" s="42"/>
      <c r="AK7672" s="74"/>
      <c r="AL7672" s="77"/>
      <c r="AN7672" s="497">
        <v>42.08</v>
      </c>
      <c r="AP7672" s="42"/>
      <c r="AQ7672" s="74"/>
      <c r="AR7672" s="77"/>
      <c r="AT7672" s="497">
        <v>41</v>
      </c>
      <c r="AV7672" s="42"/>
      <c r="AW7672" s="74"/>
      <c r="AX7672" s="77"/>
      <c r="BA7672" s="497">
        <v>35.96</v>
      </c>
      <c r="BB7672" s="42"/>
      <c r="BC7672" s="74"/>
      <c r="BD7672" s="77"/>
      <c r="BF7672">
        <v>44.96</v>
      </c>
      <c r="BH7672" s="42"/>
      <c r="BI7672" s="74"/>
      <c r="BJ7672" s="77"/>
      <c r="BL7672" s="497">
        <v>44.06</v>
      </c>
      <c r="BN7672" s="42"/>
      <c r="BO7672" s="74"/>
      <c r="BP7672" s="77"/>
      <c r="BR7672" s="497">
        <v>30.02</v>
      </c>
      <c r="BT7672" s="42"/>
    </row>
    <row r="7673" spans="1:72" x14ac:dyDescent="0.25">
      <c r="A7673" s="90">
        <v>36845</v>
      </c>
      <c r="B7673" s="20">
        <v>0.95833333333333337</v>
      </c>
      <c r="D7673">
        <v>53.96</v>
      </c>
      <c r="E7673" t="str">
        <f t="shared" si="274"/>
        <v>WEEKDAY</v>
      </c>
      <c r="F7673" t="e">
        <f t="shared" si="275"/>
        <v>#N/A</v>
      </c>
      <c r="G7673" s="74">
        <v>28809</v>
      </c>
      <c r="H7673" s="77">
        <v>0.95833333333333337</v>
      </c>
      <c r="J7673">
        <v>46.94</v>
      </c>
      <c r="M7673" s="74">
        <v>36114</v>
      </c>
      <c r="N7673" s="77">
        <v>0.95833333333333337</v>
      </c>
      <c r="P7673">
        <v>46.4</v>
      </c>
      <c r="S7673" s="74">
        <v>36845</v>
      </c>
      <c r="T7673" s="77">
        <v>0.95833333333333337</v>
      </c>
      <c r="V7673">
        <v>39.92</v>
      </c>
      <c r="X7673" s="42"/>
      <c r="AB7673">
        <v>46.3</v>
      </c>
      <c r="AC7673">
        <v>35.96</v>
      </c>
      <c r="AE7673" s="74"/>
      <c r="AF7673" s="77"/>
      <c r="AH7673" s="497">
        <v>59</v>
      </c>
      <c r="AJ7673" s="42"/>
      <c r="AK7673" s="74"/>
      <c r="AL7673" s="77"/>
      <c r="AN7673" s="497">
        <v>42.08</v>
      </c>
      <c r="AP7673" s="42"/>
      <c r="AQ7673" s="74"/>
      <c r="AR7673" s="77"/>
      <c r="AT7673" s="497">
        <v>35.06</v>
      </c>
      <c r="AV7673" s="42"/>
      <c r="AW7673" s="74"/>
      <c r="AX7673" s="77"/>
      <c r="BA7673" s="497">
        <v>37.04</v>
      </c>
      <c r="BB7673" s="42"/>
      <c r="BC7673" s="74"/>
      <c r="BD7673" s="77"/>
      <c r="BF7673">
        <v>48.92</v>
      </c>
      <c r="BH7673" s="42"/>
      <c r="BI7673" s="74"/>
      <c r="BJ7673" s="77"/>
      <c r="BL7673" s="497">
        <v>44.06</v>
      </c>
      <c r="BN7673" s="42"/>
      <c r="BO7673" s="74"/>
      <c r="BP7673" s="77"/>
      <c r="BR7673" s="497">
        <v>30.02</v>
      </c>
      <c r="BT7673" s="42"/>
    </row>
    <row r="7674" spans="1:72" x14ac:dyDescent="0.25">
      <c r="A7674" s="90">
        <v>36845</v>
      </c>
      <c r="B7674" s="20">
        <v>1</v>
      </c>
      <c r="D7674">
        <v>53.06</v>
      </c>
      <c r="E7674" t="str">
        <f t="shared" si="274"/>
        <v>WEEKDAY</v>
      </c>
      <c r="F7674" t="e">
        <f t="shared" si="275"/>
        <v>#N/A</v>
      </c>
      <c r="G7674" s="74">
        <v>28809</v>
      </c>
      <c r="H7674" s="77">
        <v>1</v>
      </c>
      <c r="J7674">
        <v>46.04</v>
      </c>
      <c r="M7674" s="74">
        <v>36114</v>
      </c>
      <c r="N7674" s="80">
        <v>1</v>
      </c>
      <c r="P7674">
        <v>44.6</v>
      </c>
      <c r="S7674" s="74">
        <v>36845</v>
      </c>
      <c r="T7674" s="80">
        <v>1</v>
      </c>
      <c r="V7674">
        <v>39.92</v>
      </c>
      <c r="X7674" s="42"/>
      <c r="AB7674">
        <v>45.7</v>
      </c>
      <c r="AC7674">
        <v>28.94</v>
      </c>
      <c r="AE7674" s="74"/>
      <c r="AF7674" s="80"/>
      <c r="AH7674" s="497">
        <v>57.2</v>
      </c>
      <c r="AJ7674" s="42"/>
      <c r="AK7674" s="74"/>
      <c r="AL7674" s="80"/>
      <c r="AN7674" s="497">
        <v>42.08</v>
      </c>
      <c r="AP7674" s="42"/>
      <c r="AQ7674" s="74"/>
      <c r="AR7674" s="80"/>
      <c r="AT7674" s="497">
        <v>30.92</v>
      </c>
      <c r="AV7674" s="42"/>
      <c r="AW7674" s="74"/>
      <c r="AX7674" s="80"/>
      <c r="BA7674" s="497">
        <v>37.04</v>
      </c>
      <c r="BB7674" s="42"/>
      <c r="BC7674" s="74"/>
      <c r="BD7674" s="80"/>
      <c r="BF7674">
        <v>50</v>
      </c>
      <c r="BH7674" s="42"/>
      <c r="BI7674" s="74"/>
      <c r="BJ7674" s="80"/>
      <c r="BL7674" s="497">
        <v>44.96</v>
      </c>
      <c r="BN7674" s="42"/>
      <c r="BO7674" s="74"/>
      <c r="BP7674" s="80"/>
      <c r="BR7674" s="497">
        <v>30.02</v>
      </c>
      <c r="BT7674" s="42"/>
    </row>
    <row r="7675" spans="1:72" x14ac:dyDescent="0.25">
      <c r="A7675" s="90">
        <v>36846</v>
      </c>
      <c r="B7675" s="20">
        <v>4.1666666666666664E-2</v>
      </c>
      <c r="D7675">
        <v>51.980000000000004</v>
      </c>
      <c r="E7675" t="str">
        <f t="shared" si="274"/>
        <v>WEEKDAY</v>
      </c>
      <c r="F7675" t="e">
        <f t="shared" si="275"/>
        <v>#N/A</v>
      </c>
      <c r="G7675" s="74">
        <v>28810</v>
      </c>
      <c r="H7675" s="77">
        <v>4.1666666666666664E-2</v>
      </c>
      <c r="J7675">
        <v>44.06</v>
      </c>
      <c r="M7675" s="74">
        <v>36115</v>
      </c>
      <c r="N7675" s="77">
        <v>4.1666666666666664E-2</v>
      </c>
      <c r="P7675">
        <v>44.6</v>
      </c>
      <c r="S7675" s="74">
        <v>36846</v>
      </c>
      <c r="T7675" s="77">
        <v>4.1666666666666664E-2</v>
      </c>
      <c r="V7675">
        <v>39.019999999999996</v>
      </c>
      <c r="X7675" s="42"/>
      <c r="AB7675">
        <v>45.1</v>
      </c>
      <c r="AC7675">
        <v>30.02</v>
      </c>
      <c r="AE7675" s="74"/>
      <c r="AF7675" s="77"/>
      <c r="AH7675" s="497">
        <v>55.400000000000006</v>
      </c>
      <c r="AJ7675" s="42"/>
      <c r="AK7675" s="74"/>
      <c r="AL7675" s="77"/>
      <c r="AN7675" s="497">
        <v>42.08</v>
      </c>
      <c r="AP7675" s="42"/>
      <c r="AQ7675" s="74"/>
      <c r="AR7675" s="77"/>
      <c r="AT7675" s="497">
        <v>30.92</v>
      </c>
      <c r="AV7675" s="42"/>
      <c r="AW7675" s="74"/>
      <c r="AX7675" s="77"/>
      <c r="BA7675" s="497">
        <v>35.96</v>
      </c>
      <c r="BB7675" s="42"/>
      <c r="BC7675" s="74"/>
      <c r="BD7675" s="77"/>
      <c r="BF7675">
        <v>51.08</v>
      </c>
      <c r="BH7675" s="42"/>
      <c r="BI7675" s="74"/>
      <c r="BJ7675" s="77"/>
      <c r="BL7675" s="497">
        <v>48.019999999999996</v>
      </c>
      <c r="BN7675" s="42"/>
      <c r="BO7675" s="74"/>
      <c r="BP7675" s="77"/>
      <c r="BR7675" s="497">
        <v>30.02</v>
      </c>
      <c r="BT7675" s="42"/>
    </row>
    <row r="7676" spans="1:72" x14ac:dyDescent="0.25">
      <c r="A7676" s="90">
        <v>36846</v>
      </c>
      <c r="B7676" s="20">
        <v>8.3333333333333329E-2</v>
      </c>
      <c r="D7676">
        <v>51.08</v>
      </c>
      <c r="E7676" t="str">
        <f t="shared" si="274"/>
        <v>WEEKDAY</v>
      </c>
      <c r="F7676" t="e">
        <f t="shared" si="275"/>
        <v>#N/A</v>
      </c>
      <c r="G7676" s="74">
        <v>28810</v>
      </c>
      <c r="H7676" s="77">
        <v>8.3333333333333329E-2</v>
      </c>
      <c r="J7676">
        <v>42.08</v>
      </c>
      <c r="M7676" s="74">
        <v>36115</v>
      </c>
      <c r="N7676" s="77">
        <v>8.3333333333333329E-2</v>
      </c>
      <c r="P7676">
        <v>42.8</v>
      </c>
      <c r="S7676" s="74">
        <v>36846</v>
      </c>
      <c r="T7676" s="77">
        <v>8.3333333333333329E-2</v>
      </c>
      <c r="V7676">
        <v>39.019999999999996</v>
      </c>
      <c r="X7676" s="42"/>
      <c r="AB7676">
        <v>44.6</v>
      </c>
      <c r="AC7676">
        <v>30.02</v>
      </c>
      <c r="AE7676" s="74"/>
      <c r="AF7676" s="77"/>
      <c r="AH7676" s="497">
        <v>57.2</v>
      </c>
      <c r="AJ7676" s="42"/>
      <c r="AK7676" s="74"/>
      <c r="AL7676" s="77"/>
      <c r="AN7676" s="497">
        <v>42.08</v>
      </c>
      <c r="AP7676" s="42"/>
      <c r="AQ7676" s="74"/>
      <c r="AR7676" s="77"/>
      <c r="AT7676" s="497">
        <v>28.94</v>
      </c>
      <c r="AV7676" s="42"/>
      <c r="AW7676" s="74"/>
      <c r="AX7676" s="77"/>
      <c r="BA7676" s="497">
        <v>35.06</v>
      </c>
      <c r="BB7676" s="42"/>
      <c r="BC7676" s="74"/>
      <c r="BD7676" s="77"/>
      <c r="BF7676">
        <v>48.92</v>
      </c>
      <c r="BH7676" s="42"/>
      <c r="BI7676" s="74"/>
      <c r="BJ7676" s="77"/>
      <c r="BL7676" s="497">
        <v>48.019999999999996</v>
      </c>
      <c r="BN7676" s="42"/>
      <c r="BO7676" s="74"/>
      <c r="BP7676" s="77"/>
      <c r="BR7676" s="497">
        <v>28.94</v>
      </c>
      <c r="BT7676" s="42"/>
    </row>
    <row r="7677" spans="1:72" x14ac:dyDescent="0.25">
      <c r="A7677" s="90">
        <v>36846</v>
      </c>
      <c r="B7677" s="20">
        <v>0.125</v>
      </c>
      <c r="D7677">
        <v>50</v>
      </c>
      <c r="E7677" t="str">
        <f t="shared" si="274"/>
        <v>WEEKDAY</v>
      </c>
      <c r="F7677" t="e">
        <f t="shared" si="275"/>
        <v>#N/A</v>
      </c>
      <c r="G7677" s="74">
        <v>28810</v>
      </c>
      <c r="H7677" s="77">
        <v>0.125</v>
      </c>
      <c r="J7677">
        <v>42.08</v>
      </c>
      <c r="M7677" s="74">
        <v>36115</v>
      </c>
      <c r="N7677" s="77">
        <v>0.125</v>
      </c>
      <c r="P7677">
        <v>41</v>
      </c>
      <c r="S7677" s="74">
        <v>36846</v>
      </c>
      <c r="T7677" s="77">
        <v>0.125</v>
      </c>
      <c r="V7677">
        <v>39.019999999999996</v>
      </c>
      <c r="X7677" s="42"/>
      <c r="AB7677">
        <v>44.1</v>
      </c>
      <c r="AC7677">
        <v>28.94</v>
      </c>
      <c r="AE7677" s="74"/>
      <c r="AF7677" s="77"/>
      <c r="AH7677" s="497">
        <v>55.400000000000006</v>
      </c>
      <c r="AJ7677" s="42"/>
      <c r="AK7677" s="74"/>
      <c r="AL7677" s="77"/>
      <c r="AN7677" s="497">
        <v>42.08</v>
      </c>
      <c r="AP7677" s="42"/>
      <c r="AQ7677" s="74"/>
      <c r="AR7677" s="77"/>
      <c r="AT7677" s="497">
        <v>30.02</v>
      </c>
      <c r="AV7677" s="42"/>
      <c r="AW7677" s="74"/>
      <c r="AX7677" s="77"/>
      <c r="BA7677" s="497">
        <v>35.96</v>
      </c>
      <c r="BB7677" s="42"/>
      <c r="BC7677" s="74"/>
      <c r="BD7677" s="77"/>
      <c r="BF7677">
        <v>51.980000000000004</v>
      </c>
      <c r="BH7677" s="42"/>
      <c r="BI7677" s="74"/>
      <c r="BJ7677" s="77"/>
      <c r="BL7677" s="497">
        <v>50</v>
      </c>
      <c r="BN7677" s="42"/>
      <c r="BO7677" s="74"/>
      <c r="BP7677" s="77"/>
      <c r="BR7677" s="497">
        <v>28.94</v>
      </c>
      <c r="BT7677" s="42"/>
    </row>
    <row r="7678" spans="1:72" x14ac:dyDescent="0.25">
      <c r="A7678" s="90">
        <v>36846</v>
      </c>
      <c r="B7678" s="20">
        <v>0.16666666666666666</v>
      </c>
      <c r="D7678">
        <v>48.92</v>
      </c>
      <c r="E7678" t="str">
        <f t="shared" si="274"/>
        <v>WEEKDAY</v>
      </c>
      <c r="F7678" t="e">
        <f t="shared" si="275"/>
        <v>#N/A</v>
      </c>
      <c r="G7678" s="74">
        <v>28810</v>
      </c>
      <c r="H7678" s="77">
        <v>0.16666666666666666</v>
      </c>
      <c r="J7678">
        <v>41</v>
      </c>
      <c r="M7678" s="74">
        <v>36115</v>
      </c>
      <c r="N7678" s="77">
        <v>0.16666666666666666</v>
      </c>
      <c r="P7678">
        <v>39.200000000000003</v>
      </c>
      <c r="S7678" s="74">
        <v>36846</v>
      </c>
      <c r="T7678" s="77">
        <v>0.16666666666666666</v>
      </c>
      <c r="V7678">
        <v>37.94</v>
      </c>
      <c r="X7678" s="42"/>
      <c r="AB7678">
        <v>43.7</v>
      </c>
      <c r="AC7678">
        <v>28.04</v>
      </c>
      <c r="AE7678" s="74"/>
      <c r="AF7678" s="77"/>
      <c r="AH7678" s="497">
        <v>53.6</v>
      </c>
      <c r="AJ7678" s="42"/>
      <c r="AK7678" s="74"/>
      <c r="AL7678" s="77"/>
      <c r="AN7678" s="497">
        <v>42.08</v>
      </c>
      <c r="AP7678" s="42"/>
      <c r="AQ7678" s="74"/>
      <c r="AR7678" s="77"/>
      <c r="AT7678" s="497">
        <v>37.94</v>
      </c>
      <c r="AV7678" s="42"/>
      <c r="AW7678" s="74"/>
      <c r="AX7678" s="77"/>
      <c r="BA7678" s="497">
        <v>35.06</v>
      </c>
      <c r="BB7678" s="42"/>
      <c r="BC7678" s="74"/>
      <c r="BD7678" s="77"/>
      <c r="BF7678">
        <v>53.06</v>
      </c>
      <c r="BH7678" s="42"/>
      <c r="BI7678" s="74"/>
      <c r="BJ7678" s="77"/>
      <c r="BL7678" s="497">
        <v>48.92</v>
      </c>
      <c r="BN7678" s="42"/>
      <c r="BO7678" s="74"/>
      <c r="BP7678" s="77"/>
      <c r="BR7678" s="497">
        <v>30.02</v>
      </c>
      <c r="BT7678" s="42"/>
    </row>
    <row r="7679" spans="1:72" x14ac:dyDescent="0.25">
      <c r="A7679" s="90">
        <v>36846</v>
      </c>
      <c r="B7679" s="20">
        <v>0.20833333333333334</v>
      </c>
      <c r="D7679">
        <v>50</v>
      </c>
      <c r="E7679" t="str">
        <f t="shared" si="274"/>
        <v>WEEKDAY</v>
      </c>
      <c r="F7679" t="e">
        <f t="shared" si="275"/>
        <v>#N/A</v>
      </c>
      <c r="G7679" s="74">
        <v>28810</v>
      </c>
      <c r="H7679" s="77">
        <v>0.20833333333333334</v>
      </c>
      <c r="J7679">
        <v>41</v>
      </c>
      <c r="M7679" s="74">
        <v>36115</v>
      </c>
      <c r="N7679" s="77">
        <v>0.20833333333333334</v>
      </c>
      <c r="P7679">
        <v>37.4</v>
      </c>
      <c r="S7679" s="74">
        <v>36846</v>
      </c>
      <c r="T7679" s="77">
        <v>0.20833333333333334</v>
      </c>
      <c r="V7679">
        <v>39.92</v>
      </c>
      <c r="X7679" s="42"/>
      <c r="AB7679">
        <v>43.4</v>
      </c>
      <c r="AC7679">
        <v>28.04</v>
      </c>
      <c r="AE7679" s="74"/>
      <c r="AF7679" s="77"/>
      <c r="AH7679" s="497">
        <v>50</v>
      </c>
      <c r="AJ7679" s="42"/>
      <c r="AK7679" s="74"/>
      <c r="AL7679" s="77"/>
      <c r="AN7679" s="497">
        <v>42.980000000000004</v>
      </c>
      <c r="AP7679" s="42"/>
      <c r="AQ7679" s="74"/>
      <c r="AR7679" s="77"/>
      <c r="AT7679" s="497">
        <v>37.04</v>
      </c>
      <c r="AV7679" s="42"/>
      <c r="AW7679" s="74"/>
      <c r="AX7679" s="77"/>
      <c r="BA7679" s="497">
        <v>35.06</v>
      </c>
      <c r="BB7679" s="42"/>
      <c r="BC7679" s="74"/>
      <c r="BD7679" s="77"/>
      <c r="BF7679">
        <v>53.96</v>
      </c>
      <c r="BH7679" s="42"/>
      <c r="BI7679" s="74"/>
      <c r="BJ7679" s="77"/>
      <c r="BL7679" s="497">
        <v>53.06</v>
      </c>
      <c r="BN7679" s="42"/>
      <c r="BO7679" s="74"/>
      <c r="BP7679" s="77"/>
      <c r="BR7679" s="497">
        <v>28.94</v>
      </c>
      <c r="BT7679" s="42"/>
    </row>
    <row r="7680" spans="1:72" x14ac:dyDescent="0.25">
      <c r="A7680" s="90">
        <v>36846</v>
      </c>
      <c r="B7680" s="20">
        <v>0.25</v>
      </c>
      <c r="D7680">
        <v>50</v>
      </c>
      <c r="E7680" t="str">
        <f t="shared" si="274"/>
        <v>WEEKDAY</v>
      </c>
      <c r="F7680" t="e">
        <f t="shared" si="275"/>
        <v>#N/A</v>
      </c>
      <c r="G7680" s="74">
        <v>28810</v>
      </c>
      <c r="H7680" s="77">
        <v>0.25</v>
      </c>
      <c r="J7680">
        <v>41</v>
      </c>
      <c r="M7680" s="74">
        <v>36115</v>
      </c>
      <c r="N7680" s="77">
        <v>0.25</v>
      </c>
      <c r="P7680">
        <v>39.200000000000003</v>
      </c>
      <c r="S7680" s="74">
        <v>36846</v>
      </c>
      <c r="T7680" s="77">
        <v>0.25</v>
      </c>
      <c r="V7680">
        <v>39.019999999999996</v>
      </c>
      <c r="X7680" s="42"/>
      <c r="AB7680">
        <v>43.2</v>
      </c>
      <c r="AC7680">
        <v>28.94</v>
      </c>
      <c r="AE7680" s="74"/>
      <c r="AF7680" s="77"/>
      <c r="AH7680" s="497">
        <v>50</v>
      </c>
      <c r="AJ7680" s="42"/>
      <c r="AK7680" s="74"/>
      <c r="AL7680" s="77"/>
      <c r="AN7680" s="497">
        <v>42.980000000000004</v>
      </c>
      <c r="AP7680" s="42"/>
      <c r="AQ7680" s="74"/>
      <c r="AR7680" s="77"/>
      <c r="AT7680" s="497">
        <v>33.979999999999997</v>
      </c>
      <c r="AV7680" s="42"/>
      <c r="AW7680" s="74"/>
      <c r="AX7680" s="77"/>
      <c r="BA7680" s="497">
        <v>35.06</v>
      </c>
      <c r="BB7680" s="42"/>
      <c r="BC7680" s="74"/>
      <c r="BD7680" s="77"/>
      <c r="BF7680">
        <v>53.06</v>
      </c>
      <c r="BH7680" s="42"/>
      <c r="BI7680" s="74"/>
      <c r="BJ7680" s="77"/>
      <c r="BL7680" s="497">
        <v>53.06</v>
      </c>
      <c r="BN7680" s="42"/>
      <c r="BO7680" s="74"/>
      <c r="BP7680" s="77"/>
      <c r="BR7680" s="497">
        <v>28.04</v>
      </c>
      <c r="BT7680" s="42"/>
    </row>
    <row r="7681" spans="1:72" x14ac:dyDescent="0.25">
      <c r="A7681" s="90">
        <v>36846</v>
      </c>
      <c r="B7681" s="20">
        <v>0.29166666666666669</v>
      </c>
      <c r="D7681">
        <v>50</v>
      </c>
      <c r="E7681" t="str">
        <f t="shared" si="274"/>
        <v>WEEKDAY</v>
      </c>
      <c r="F7681" t="e">
        <f t="shared" si="275"/>
        <v>#N/A</v>
      </c>
      <c r="G7681" s="74">
        <v>28810</v>
      </c>
      <c r="H7681" s="77">
        <v>0.29166666666666669</v>
      </c>
      <c r="J7681">
        <v>42.08</v>
      </c>
      <c r="M7681" s="74">
        <v>36115</v>
      </c>
      <c r="N7681" s="77">
        <v>0.29166666666666669</v>
      </c>
      <c r="P7681">
        <v>39.200000000000003</v>
      </c>
      <c r="S7681" s="74">
        <v>36846</v>
      </c>
      <c r="T7681" s="77">
        <v>0.29166666666666669</v>
      </c>
      <c r="V7681">
        <v>39.019999999999996</v>
      </c>
      <c r="X7681" s="42"/>
      <c r="AB7681">
        <v>43.1</v>
      </c>
      <c r="AC7681">
        <v>32</v>
      </c>
      <c r="AE7681" s="74"/>
      <c r="AF7681" s="77"/>
      <c r="AH7681" s="497">
        <v>51.8</v>
      </c>
      <c r="AJ7681" s="42"/>
      <c r="AK7681" s="74"/>
      <c r="AL7681" s="77"/>
      <c r="AN7681" s="497">
        <v>44.06</v>
      </c>
      <c r="AP7681" s="42"/>
      <c r="AQ7681" s="74"/>
      <c r="AR7681" s="77"/>
      <c r="AT7681" s="497">
        <v>33.08</v>
      </c>
      <c r="AV7681" s="42"/>
      <c r="AW7681" s="74"/>
      <c r="AX7681" s="77"/>
      <c r="BA7681" s="497">
        <v>33.979999999999997</v>
      </c>
      <c r="BB7681" s="42"/>
      <c r="BC7681" s="74"/>
      <c r="BD7681" s="77"/>
      <c r="BF7681">
        <v>53.96</v>
      </c>
      <c r="BH7681" s="42"/>
      <c r="BI7681" s="74"/>
      <c r="BJ7681" s="77"/>
      <c r="BL7681" s="497">
        <v>51.980000000000004</v>
      </c>
      <c r="BN7681" s="42"/>
      <c r="BO7681" s="74"/>
      <c r="BP7681" s="77"/>
      <c r="BR7681" s="497">
        <v>26.96</v>
      </c>
      <c r="BT7681" s="42"/>
    </row>
    <row r="7682" spans="1:72" x14ac:dyDescent="0.25">
      <c r="A7682" s="90">
        <v>36846</v>
      </c>
      <c r="B7682" s="20">
        <v>0.33333333333333331</v>
      </c>
      <c r="D7682">
        <v>48.92</v>
      </c>
      <c r="E7682" t="str">
        <f t="shared" si="274"/>
        <v>WEEKDAY</v>
      </c>
      <c r="F7682" t="e">
        <f t="shared" si="275"/>
        <v>#N/A</v>
      </c>
      <c r="G7682" s="74">
        <v>28810</v>
      </c>
      <c r="H7682" s="77">
        <v>0.33333333333333331</v>
      </c>
      <c r="J7682">
        <v>42.980000000000004</v>
      </c>
      <c r="M7682" s="74">
        <v>36115</v>
      </c>
      <c r="N7682" s="77">
        <v>0.33333333333333331</v>
      </c>
      <c r="P7682">
        <v>41</v>
      </c>
      <c r="S7682" s="74">
        <v>36846</v>
      </c>
      <c r="T7682" s="77">
        <v>0.33333333333333331</v>
      </c>
      <c r="V7682">
        <v>39.92</v>
      </c>
      <c r="X7682" s="42"/>
      <c r="AB7682">
        <v>43.1</v>
      </c>
      <c r="AC7682">
        <v>35.96</v>
      </c>
      <c r="AE7682" s="74"/>
      <c r="AF7682" s="77"/>
      <c r="AH7682" s="497">
        <v>55.400000000000006</v>
      </c>
      <c r="AJ7682" s="42"/>
      <c r="AK7682" s="74"/>
      <c r="AL7682" s="77"/>
      <c r="AN7682" s="497">
        <v>44.96</v>
      </c>
      <c r="AP7682" s="42"/>
      <c r="AQ7682" s="74"/>
      <c r="AR7682" s="77"/>
      <c r="AT7682" s="497">
        <v>39.019999999999996</v>
      </c>
      <c r="AV7682" s="42"/>
      <c r="AW7682" s="74"/>
      <c r="AX7682" s="77"/>
      <c r="BA7682" s="497">
        <v>33.979999999999997</v>
      </c>
      <c r="BB7682" s="42"/>
      <c r="BC7682" s="74"/>
      <c r="BD7682" s="77"/>
      <c r="BF7682">
        <v>55.94</v>
      </c>
      <c r="BH7682" s="42"/>
      <c r="BI7682" s="74"/>
      <c r="BJ7682" s="77"/>
      <c r="BL7682" s="497">
        <v>53.06</v>
      </c>
      <c r="BN7682" s="42"/>
      <c r="BO7682" s="74"/>
      <c r="BP7682" s="77"/>
      <c r="BR7682" s="497">
        <v>28.04</v>
      </c>
      <c r="BT7682" s="42"/>
    </row>
    <row r="7683" spans="1:72" x14ac:dyDescent="0.25">
      <c r="A7683" s="90">
        <v>36846</v>
      </c>
      <c r="B7683" s="20">
        <v>0.375</v>
      </c>
      <c r="D7683">
        <v>50</v>
      </c>
      <c r="E7683" t="str">
        <f t="shared" si="274"/>
        <v>WEEKDAY</v>
      </c>
      <c r="F7683" t="e">
        <f t="shared" si="275"/>
        <v>#N/A</v>
      </c>
      <c r="G7683" s="74">
        <v>28810</v>
      </c>
      <c r="H7683" s="77">
        <v>0.375</v>
      </c>
      <c r="J7683">
        <v>44.06</v>
      </c>
      <c r="M7683" s="74">
        <v>36115</v>
      </c>
      <c r="N7683" s="77">
        <v>0.375</v>
      </c>
      <c r="P7683">
        <v>44.6</v>
      </c>
      <c r="S7683" s="74">
        <v>36846</v>
      </c>
      <c r="T7683" s="77">
        <v>0.375</v>
      </c>
      <c r="V7683">
        <v>42.08</v>
      </c>
      <c r="X7683" s="42"/>
      <c r="AB7683">
        <v>44.5</v>
      </c>
      <c r="AC7683">
        <v>39.019999999999996</v>
      </c>
      <c r="AE7683" s="74"/>
      <c r="AF7683" s="77"/>
      <c r="AH7683" s="497">
        <v>57.2</v>
      </c>
      <c r="AJ7683" s="42"/>
      <c r="AK7683" s="74"/>
      <c r="AL7683" s="77"/>
      <c r="AN7683" s="497">
        <v>46.04</v>
      </c>
      <c r="AP7683" s="42"/>
      <c r="AQ7683" s="74"/>
      <c r="AR7683" s="77"/>
      <c r="AT7683" s="497">
        <v>41</v>
      </c>
      <c r="AV7683" s="42"/>
      <c r="AW7683" s="74"/>
      <c r="AX7683" s="77"/>
      <c r="BA7683" s="497">
        <v>41</v>
      </c>
      <c r="BB7683" s="42"/>
      <c r="BC7683" s="74"/>
      <c r="BD7683" s="77"/>
      <c r="BF7683">
        <v>57.92</v>
      </c>
      <c r="BH7683" s="42"/>
      <c r="BI7683" s="74"/>
      <c r="BJ7683" s="77"/>
      <c r="BL7683" s="497">
        <v>57.019999999999996</v>
      </c>
      <c r="BN7683" s="42"/>
      <c r="BO7683" s="74"/>
      <c r="BP7683" s="77"/>
      <c r="BR7683" s="497">
        <v>32</v>
      </c>
      <c r="BT7683" s="42"/>
    </row>
    <row r="7684" spans="1:72" x14ac:dyDescent="0.25">
      <c r="A7684" s="90">
        <v>36846</v>
      </c>
      <c r="B7684" s="20">
        <v>0.41666666666666669</v>
      </c>
      <c r="D7684">
        <v>50</v>
      </c>
      <c r="E7684" t="str">
        <f t="shared" si="274"/>
        <v>WEEKDAY</v>
      </c>
      <c r="F7684" t="e">
        <f t="shared" si="275"/>
        <v>#N/A</v>
      </c>
      <c r="G7684" s="74">
        <v>28810</v>
      </c>
      <c r="H7684" s="77">
        <v>0.41666666666666669</v>
      </c>
      <c r="J7684">
        <v>44.96</v>
      </c>
      <c r="M7684" s="74">
        <v>36115</v>
      </c>
      <c r="N7684" s="77">
        <v>0.41666666666666669</v>
      </c>
      <c r="P7684">
        <v>48.2</v>
      </c>
      <c r="S7684" s="74">
        <v>36846</v>
      </c>
      <c r="T7684" s="77">
        <v>0.41666666666666669</v>
      </c>
      <c r="V7684">
        <v>42.980000000000004</v>
      </c>
      <c r="X7684" s="42"/>
      <c r="AB7684">
        <v>46.5</v>
      </c>
      <c r="AC7684">
        <v>42.08</v>
      </c>
      <c r="AE7684" s="74"/>
      <c r="AF7684" s="77"/>
      <c r="AH7684" s="497">
        <v>62.6</v>
      </c>
      <c r="AJ7684" s="42"/>
      <c r="AK7684" s="74"/>
      <c r="AL7684" s="77"/>
      <c r="AN7684" s="497">
        <v>48.019999999999996</v>
      </c>
      <c r="AP7684" s="42"/>
      <c r="AQ7684" s="74"/>
      <c r="AR7684" s="77"/>
      <c r="AT7684" s="497">
        <v>42.08</v>
      </c>
      <c r="AV7684" s="42"/>
      <c r="AW7684" s="74"/>
      <c r="AX7684" s="77"/>
      <c r="BA7684" s="497">
        <v>50</v>
      </c>
      <c r="BB7684" s="42"/>
      <c r="BC7684" s="74"/>
      <c r="BD7684" s="77"/>
      <c r="BF7684">
        <v>60.08</v>
      </c>
      <c r="BH7684" s="42"/>
      <c r="BI7684" s="74"/>
      <c r="BJ7684" s="77"/>
      <c r="BL7684" s="497">
        <v>57.92</v>
      </c>
      <c r="BN7684" s="42"/>
      <c r="BO7684" s="74"/>
      <c r="BP7684" s="77"/>
      <c r="BR7684" s="497">
        <v>35.96</v>
      </c>
      <c r="BT7684" s="42"/>
    </row>
    <row r="7685" spans="1:72" x14ac:dyDescent="0.25">
      <c r="A7685" s="90">
        <v>36846</v>
      </c>
      <c r="B7685" s="20">
        <v>0.45833333333333331</v>
      </c>
      <c r="D7685">
        <v>51.08</v>
      </c>
      <c r="E7685" t="str">
        <f t="shared" si="274"/>
        <v>WEEKDAY</v>
      </c>
      <c r="F7685" t="e">
        <f t="shared" si="275"/>
        <v>#N/A</v>
      </c>
      <c r="G7685" s="74">
        <v>28810</v>
      </c>
      <c r="H7685" s="77">
        <v>0.45833333333333331</v>
      </c>
      <c r="J7685">
        <v>46.94</v>
      </c>
      <c r="M7685" s="74">
        <v>36115</v>
      </c>
      <c r="N7685" s="77">
        <v>0.45833333333333331</v>
      </c>
      <c r="P7685">
        <v>48.2</v>
      </c>
      <c r="S7685" s="74">
        <v>36846</v>
      </c>
      <c r="T7685" s="77">
        <v>0.45833333333333331</v>
      </c>
      <c r="V7685">
        <v>42.980000000000004</v>
      </c>
      <c r="X7685" s="42"/>
      <c r="AB7685">
        <v>48.1</v>
      </c>
      <c r="AC7685">
        <v>42.980000000000004</v>
      </c>
      <c r="AE7685" s="74"/>
      <c r="AF7685" s="77"/>
      <c r="AH7685" s="497">
        <v>66.2</v>
      </c>
      <c r="AJ7685" s="42"/>
      <c r="AK7685" s="74"/>
      <c r="AL7685" s="77"/>
      <c r="AN7685" s="497">
        <v>48.92</v>
      </c>
      <c r="AP7685" s="42"/>
      <c r="AQ7685" s="74"/>
      <c r="AR7685" s="77"/>
      <c r="AT7685" s="497">
        <v>44.06</v>
      </c>
      <c r="AV7685" s="42"/>
      <c r="AW7685" s="74"/>
      <c r="AX7685" s="77"/>
      <c r="BA7685" s="497">
        <v>55.040000000000006</v>
      </c>
      <c r="BB7685" s="42"/>
      <c r="BC7685" s="74"/>
      <c r="BD7685" s="77"/>
      <c r="BF7685">
        <v>62.06</v>
      </c>
      <c r="BH7685" s="42"/>
      <c r="BI7685" s="74"/>
      <c r="BJ7685" s="77"/>
      <c r="BL7685" s="497">
        <v>59</v>
      </c>
      <c r="BN7685" s="42"/>
      <c r="BO7685" s="74"/>
      <c r="BP7685" s="77"/>
      <c r="BR7685" s="497">
        <v>39.019999999999996</v>
      </c>
      <c r="BT7685" s="42"/>
    </row>
    <row r="7686" spans="1:72" x14ac:dyDescent="0.25">
      <c r="A7686" s="90">
        <v>36846</v>
      </c>
      <c r="B7686" s="20">
        <v>0.5</v>
      </c>
      <c r="D7686">
        <v>51.08</v>
      </c>
      <c r="E7686" t="str">
        <f t="shared" si="274"/>
        <v>WEEKDAY</v>
      </c>
      <c r="F7686" t="e">
        <f t="shared" si="275"/>
        <v>#N/A</v>
      </c>
      <c r="G7686" s="74">
        <v>28810</v>
      </c>
      <c r="H7686" s="77">
        <v>0.5</v>
      </c>
      <c r="J7686">
        <v>48.92</v>
      </c>
      <c r="M7686" s="74">
        <v>36115</v>
      </c>
      <c r="N7686" s="77">
        <v>0.5</v>
      </c>
      <c r="P7686">
        <v>50</v>
      </c>
      <c r="S7686" s="74">
        <v>36846</v>
      </c>
      <c r="T7686" s="77">
        <v>0.5</v>
      </c>
      <c r="V7686">
        <v>44.06</v>
      </c>
      <c r="X7686" s="42"/>
      <c r="AB7686">
        <v>49.5</v>
      </c>
      <c r="AC7686">
        <v>44.06</v>
      </c>
      <c r="AE7686" s="74"/>
      <c r="AF7686" s="77"/>
      <c r="AH7686" s="497">
        <v>69.800000000000011</v>
      </c>
      <c r="AJ7686" s="42"/>
      <c r="AK7686" s="74"/>
      <c r="AL7686" s="77"/>
      <c r="AN7686" s="497">
        <v>50</v>
      </c>
      <c r="AP7686" s="42"/>
      <c r="AQ7686" s="74"/>
      <c r="AR7686" s="77"/>
      <c r="AT7686" s="497">
        <v>46.04</v>
      </c>
      <c r="AV7686" s="42"/>
      <c r="AW7686" s="74"/>
      <c r="AX7686" s="77"/>
      <c r="BA7686" s="497">
        <v>57.019999999999996</v>
      </c>
      <c r="BB7686" s="42"/>
      <c r="BC7686" s="74"/>
      <c r="BD7686" s="77"/>
      <c r="BF7686">
        <v>64.94</v>
      </c>
      <c r="BH7686" s="42"/>
      <c r="BI7686" s="74"/>
      <c r="BJ7686" s="77"/>
      <c r="BL7686" s="497">
        <v>62.06</v>
      </c>
      <c r="BN7686" s="42"/>
      <c r="BO7686" s="74"/>
      <c r="BP7686" s="77"/>
      <c r="BR7686" s="497">
        <v>41</v>
      </c>
      <c r="BT7686" s="42"/>
    </row>
    <row r="7687" spans="1:72" x14ac:dyDescent="0.25">
      <c r="A7687" s="90">
        <v>36846</v>
      </c>
      <c r="B7687" s="20">
        <v>0.54166666666666663</v>
      </c>
      <c r="D7687">
        <v>51.08</v>
      </c>
      <c r="E7687" t="str">
        <f t="shared" si="274"/>
        <v>WEEKDAY</v>
      </c>
      <c r="F7687" t="e">
        <f t="shared" si="275"/>
        <v>#N/A</v>
      </c>
      <c r="G7687" s="74">
        <v>28810</v>
      </c>
      <c r="H7687" s="77">
        <v>0.54166666666666663</v>
      </c>
      <c r="J7687">
        <v>51.08</v>
      </c>
      <c r="M7687" s="74">
        <v>36115</v>
      </c>
      <c r="N7687" s="77">
        <v>0.54166666666666663</v>
      </c>
      <c r="P7687">
        <v>48.2</v>
      </c>
      <c r="S7687" s="74">
        <v>36846</v>
      </c>
      <c r="T7687" s="77">
        <v>0.54166666666666663</v>
      </c>
      <c r="V7687">
        <v>46.04</v>
      </c>
      <c r="X7687" s="42"/>
      <c r="AB7687">
        <v>50.5</v>
      </c>
      <c r="AC7687">
        <v>46.04</v>
      </c>
      <c r="AE7687" s="74"/>
      <c r="AF7687" s="77"/>
      <c r="AH7687" s="497">
        <v>69.800000000000011</v>
      </c>
      <c r="AJ7687" s="42"/>
      <c r="AK7687" s="74"/>
      <c r="AL7687" s="77"/>
      <c r="AN7687" s="497">
        <v>53.06</v>
      </c>
      <c r="AP7687" s="42"/>
      <c r="AQ7687" s="74"/>
      <c r="AR7687" s="77"/>
      <c r="AT7687" s="497">
        <v>48.92</v>
      </c>
      <c r="AV7687" s="42"/>
      <c r="AW7687" s="74"/>
      <c r="AX7687" s="77"/>
      <c r="BA7687" s="497">
        <v>59</v>
      </c>
      <c r="BB7687" s="42"/>
      <c r="BC7687" s="74"/>
      <c r="BD7687" s="77"/>
      <c r="BF7687">
        <v>66.02</v>
      </c>
      <c r="BH7687" s="42"/>
      <c r="BI7687" s="74"/>
      <c r="BJ7687" s="77"/>
      <c r="BL7687" s="497">
        <v>60.08</v>
      </c>
      <c r="BN7687" s="42"/>
      <c r="BO7687" s="74"/>
      <c r="BP7687" s="77"/>
      <c r="BR7687" s="497">
        <v>42.980000000000004</v>
      </c>
      <c r="BT7687" s="42"/>
    </row>
    <row r="7688" spans="1:72" x14ac:dyDescent="0.25">
      <c r="A7688" s="90">
        <v>36846</v>
      </c>
      <c r="B7688" s="20">
        <v>0.58333333333333337</v>
      </c>
      <c r="D7688">
        <v>50</v>
      </c>
      <c r="E7688" t="str">
        <f t="shared" si="274"/>
        <v>WEEKDAY</v>
      </c>
      <c r="F7688" t="e">
        <f t="shared" si="275"/>
        <v>#N/A</v>
      </c>
      <c r="G7688" s="74">
        <v>28810</v>
      </c>
      <c r="H7688" s="77">
        <v>0.58333333333333337</v>
      </c>
      <c r="J7688">
        <v>50</v>
      </c>
      <c r="M7688" s="74">
        <v>36115</v>
      </c>
      <c r="N7688" s="77">
        <v>0.58333333333333337</v>
      </c>
      <c r="P7688">
        <v>50</v>
      </c>
      <c r="S7688" s="74">
        <v>36846</v>
      </c>
      <c r="T7688" s="77">
        <v>0.58333333333333337</v>
      </c>
      <c r="V7688">
        <v>48.019999999999996</v>
      </c>
      <c r="X7688" s="42"/>
      <c r="AB7688">
        <v>51.1</v>
      </c>
      <c r="AC7688">
        <v>46.94</v>
      </c>
      <c r="AE7688" s="74"/>
      <c r="AF7688" s="77"/>
      <c r="AH7688" s="497">
        <v>69.800000000000011</v>
      </c>
      <c r="AJ7688" s="42"/>
      <c r="AK7688" s="74"/>
      <c r="AL7688" s="77"/>
      <c r="AN7688" s="497">
        <v>55.040000000000006</v>
      </c>
      <c r="AP7688" s="42"/>
      <c r="AQ7688" s="74"/>
      <c r="AR7688" s="77"/>
      <c r="AT7688" s="497">
        <v>50</v>
      </c>
      <c r="AV7688" s="42"/>
      <c r="AW7688" s="74"/>
      <c r="AX7688" s="77"/>
      <c r="BA7688" s="497">
        <v>59</v>
      </c>
      <c r="BB7688" s="42"/>
      <c r="BC7688" s="74"/>
      <c r="BD7688" s="77"/>
      <c r="BF7688">
        <v>62.96</v>
      </c>
      <c r="BH7688" s="42"/>
      <c r="BI7688" s="74"/>
      <c r="BJ7688" s="77"/>
      <c r="BL7688" s="497">
        <v>59</v>
      </c>
      <c r="BN7688" s="42"/>
      <c r="BO7688" s="74"/>
      <c r="BP7688" s="77"/>
      <c r="BR7688" s="497">
        <v>44.06</v>
      </c>
      <c r="BT7688" s="42"/>
    </row>
    <row r="7689" spans="1:72" x14ac:dyDescent="0.25">
      <c r="A7689" s="90">
        <v>36846</v>
      </c>
      <c r="B7689" s="20">
        <v>0.625</v>
      </c>
      <c r="D7689">
        <v>50</v>
      </c>
      <c r="E7689" t="str">
        <f t="shared" si="274"/>
        <v>WEEKDAY</v>
      </c>
      <c r="F7689" t="e">
        <f t="shared" si="275"/>
        <v>#N/A</v>
      </c>
      <c r="G7689" s="74">
        <v>28810</v>
      </c>
      <c r="H7689" s="77">
        <v>0.625</v>
      </c>
      <c r="J7689">
        <v>51.08</v>
      </c>
      <c r="M7689" s="74">
        <v>36115</v>
      </c>
      <c r="N7689" s="77">
        <v>0.625</v>
      </c>
      <c r="P7689">
        <v>50</v>
      </c>
      <c r="S7689" s="74">
        <v>36846</v>
      </c>
      <c r="T7689" s="77">
        <v>0.625</v>
      </c>
      <c r="V7689">
        <v>46.94</v>
      </c>
      <c r="X7689" s="42"/>
      <c r="AB7689">
        <v>51.4</v>
      </c>
      <c r="AC7689">
        <v>48.019999999999996</v>
      </c>
      <c r="AE7689" s="74"/>
      <c r="AF7689" s="77"/>
      <c r="AH7689" s="497">
        <v>68</v>
      </c>
      <c r="AJ7689" s="42"/>
      <c r="AK7689" s="74"/>
      <c r="AL7689" s="77"/>
      <c r="AN7689" s="497">
        <v>55.94</v>
      </c>
      <c r="AP7689" s="42"/>
      <c r="AQ7689" s="74"/>
      <c r="AR7689" s="77"/>
      <c r="AT7689" s="497">
        <v>51.08</v>
      </c>
      <c r="AV7689" s="42"/>
      <c r="AW7689" s="74"/>
      <c r="AX7689" s="77"/>
      <c r="BA7689" s="497">
        <v>60.08</v>
      </c>
      <c r="BB7689" s="42"/>
      <c r="BC7689" s="74"/>
      <c r="BD7689" s="77"/>
      <c r="BF7689">
        <v>62.96</v>
      </c>
      <c r="BH7689" s="42"/>
      <c r="BI7689" s="74"/>
      <c r="BJ7689" s="77"/>
      <c r="BL7689" s="497">
        <v>60.08</v>
      </c>
      <c r="BN7689" s="42"/>
      <c r="BO7689" s="74"/>
      <c r="BP7689" s="77"/>
      <c r="BR7689" s="497">
        <v>42.980000000000004</v>
      </c>
      <c r="BT7689" s="42"/>
    </row>
    <row r="7690" spans="1:72" x14ac:dyDescent="0.25">
      <c r="A7690" s="90">
        <v>36846</v>
      </c>
      <c r="B7690" s="20">
        <v>0.66666666666666663</v>
      </c>
      <c r="D7690">
        <v>50</v>
      </c>
      <c r="E7690" t="str">
        <f t="shared" si="274"/>
        <v>WEEKDAY</v>
      </c>
      <c r="F7690" t="e">
        <f t="shared" si="275"/>
        <v>#N/A</v>
      </c>
      <c r="G7690" s="74">
        <v>28810</v>
      </c>
      <c r="H7690" s="77">
        <v>0.66666666666666663</v>
      </c>
      <c r="J7690">
        <v>48.019999999999996</v>
      </c>
      <c r="M7690" s="74">
        <v>36115</v>
      </c>
      <c r="N7690" s="77">
        <v>0.66666666666666663</v>
      </c>
      <c r="P7690">
        <v>49.1</v>
      </c>
      <c r="S7690" s="74">
        <v>36846</v>
      </c>
      <c r="T7690" s="77">
        <v>0.66666666666666663</v>
      </c>
      <c r="V7690">
        <v>46.94</v>
      </c>
      <c r="X7690" s="42"/>
      <c r="AB7690">
        <v>51</v>
      </c>
      <c r="AC7690">
        <v>48.019999999999996</v>
      </c>
      <c r="AE7690" s="74"/>
      <c r="AF7690" s="77"/>
      <c r="AH7690" s="497">
        <v>66.2</v>
      </c>
      <c r="AJ7690" s="42"/>
      <c r="AK7690" s="74"/>
      <c r="AL7690" s="77"/>
      <c r="AN7690" s="497">
        <v>55.040000000000006</v>
      </c>
      <c r="AP7690" s="42"/>
      <c r="AQ7690" s="74"/>
      <c r="AR7690" s="77"/>
      <c r="AT7690" s="497">
        <v>48.92</v>
      </c>
      <c r="AV7690" s="42"/>
      <c r="AW7690" s="74"/>
      <c r="AX7690" s="77"/>
      <c r="BA7690" s="497">
        <v>59</v>
      </c>
      <c r="BB7690" s="42"/>
      <c r="BC7690" s="74"/>
      <c r="BD7690" s="77"/>
      <c r="BF7690">
        <v>62.96</v>
      </c>
      <c r="BH7690" s="42"/>
      <c r="BI7690" s="74"/>
      <c r="BJ7690" s="77"/>
      <c r="BL7690" s="497">
        <v>57.92</v>
      </c>
      <c r="BN7690" s="42"/>
      <c r="BO7690" s="74"/>
      <c r="BP7690" s="77"/>
      <c r="BR7690" s="497">
        <v>42.08</v>
      </c>
      <c r="BT7690" s="42"/>
    </row>
    <row r="7691" spans="1:72" x14ac:dyDescent="0.25">
      <c r="A7691" s="90">
        <v>36846</v>
      </c>
      <c r="B7691" s="20">
        <v>0.70833333333333337</v>
      </c>
      <c r="D7691">
        <v>50</v>
      </c>
      <c r="E7691" t="str">
        <f t="shared" si="274"/>
        <v>WEEKDAY</v>
      </c>
      <c r="F7691" t="e">
        <f t="shared" si="275"/>
        <v>#N/A</v>
      </c>
      <c r="G7691" s="74">
        <v>28810</v>
      </c>
      <c r="H7691" s="77">
        <v>0.70833333333333337</v>
      </c>
      <c r="J7691">
        <v>46.94</v>
      </c>
      <c r="M7691" s="74">
        <v>36115</v>
      </c>
      <c r="N7691" s="77">
        <v>0.70833333333333337</v>
      </c>
      <c r="P7691">
        <v>47.66</v>
      </c>
      <c r="S7691" s="74">
        <v>36846</v>
      </c>
      <c r="T7691" s="77">
        <v>0.70833333333333337</v>
      </c>
      <c r="V7691">
        <v>46.94</v>
      </c>
      <c r="X7691" s="42"/>
      <c r="AB7691">
        <v>50</v>
      </c>
      <c r="AC7691">
        <v>46.94</v>
      </c>
      <c r="AE7691" s="74"/>
      <c r="AF7691" s="77"/>
      <c r="AH7691" s="497">
        <v>62.6</v>
      </c>
      <c r="AJ7691" s="42"/>
      <c r="AK7691" s="74"/>
      <c r="AL7691" s="77"/>
      <c r="AN7691" s="497">
        <v>53.96</v>
      </c>
      <c r="AP7691" s="42"/>
      <c r="AQ7691" s="74"/>
      <c r="AR7691" s="77"/>
      <c r="AT7691" s="497">
        <v>44.96</v>
      </c>
      <c r="AV7691" s="42"/>
      <c r="AW7691" s="74"/>
      <c r="AX7691" s="77"/>
      <c r="BA7691" s="497">
        <v>55.040000000000006</v>
      </c>
      <c r="BB7691" s="42"/>
      <c r="BC7691" s="74"/>
      <c r="BD7691" s="77"/>
      <c r="BF7691">
        <v>64.94</v>
      </c>
      <c r="BH7691" s="42"/>
      <c r="BI7691" s="74"/>
      <c r="BJ7691" s="77"/>
      <c r="BL7691" s="497">
        <v>60.980000000000004</v>
      </c>
      <c r="BN7691" s="42"/>
      <c r="BO7691" s="74"/>
      <c r="BP7691" s="77"/>
      <c r="BR7691" s="497">
        <v>37.04</v>
      </c>
      <c r="BT7691" s="42"/>
    </row>
    <row r="7692" spans="1:72" x14ac:dyDescent="0.25">
      <c r="A7692" s="90">
        <v>36846</v>
      </c>
      <c r="B7692" s="20">
        <v>0.75</v>
      </c>
      <c r="D7692">
        <v>50</v>
      </c>
      <c r="E7692" t="str">
        <f t="shared" si="274"/>
        <v>WEEKDAY</v>
      </c>
      <c r="F7692" t="e">
        <f t="shared" si="275"/>
        <v>#N/A</v>
      </c>
      <c r="G7692" s="74">
        <v>28810</v>
      </c>
      <c r="H7692" s="77">
        <v>0.75</v>
      </c>
      <c r="J7692">
        <v>46.94</v>
      </c>
      <c r="M7692" s="74">
        <v>36115</v>
      </c>
      <c r="N7692" s="77">
        <v>0.75</v>
      </c>
      <c r="P7692">
        <v>46.4</v>
      </c>
      <c r="S7692" s="74">
        <v>36846</v>
      </c>
      <c r="T7692" s="77">
        <v>0.75</v>
      </c>
      <c r="V7692">
        <v>46.94</v>
      </c>
      <c r="X7692" s="42"/>
      <c r="AB7692">
        <v>48.7</v>
      </c>
      <c r="AC7692">
        <v>46.04</v>
      </c>
      <c r="AE7692" s="74"/>
      <c r="AF7692" s="77"/>
      <c r="AH7692" s="497">
        <v>60.8</v>
      </c>
      <c r="AJ7692" s="42"/>
      <c r="AK7692" s="74"/>
      <c r="AL7692" s="77"/>
      <c r="AN7692" s="497">
        <v>55.040000000000006</v>
      </c>
      <c r="AP7692" s="42"/>
      <c r="AQ7692" s="74"/>
      <c r="AR7692" s="77"/>
      <c r="AT7692" s="497">
        <v>37.94</v>
      </c>
      <c r="AV7692" s="42"/>
      <c r="AW7692" s="74"/>
      <c r="AX7692" s="77"/>
      <c r="BA7692" s="497">
        <v>53.06</v>
      </c>
      <c r="BB7692" s="42"/>
      <c r="BC7692" s="74"/>
      <c r="BD7692" s="77"/>
      <c r="BF7692">
        <v>66.02</v>
      </c>
      <c r="BH7692" s="42"/>
      <c r="BI7692" s="74"/>
      <c r="BJ7692" s="77"/>
      <c r="BL7692" s="497">
        <v>60.980000000000004</v>
      </c>
      <c r="BN7692" s="42"/>
      <c r="BO7692" s="74"/>
      <c r="BP7692" s="77"/>
      <c r="BR7692" s="497">
        <v>35.96</v>
      </c>
      <c r="BT7692" s="42"/>
    </row>
    <row r="7693" spans="1:72" x14ac:dyDescent="0.25">
      <c r="A7693" s="90">
        <v>36846</v>
      </c>
      <c r="B7693" s="20">
        <v>0.79166666666666663</v>
      </c>
      <c r="D7693">
        <v>50</v>
      </c>
      <c r="E7693" t="str">
        <f t="shared" si="274"/>
        <v>WEEKDAY</v>
      </c>
      <c r="F7693" t="e">
        <f t="shared" si="275"/>
        <v>#N/A</v>
      </c>
      <c r="G7693" s="74">
        <v>28810</v>
      </c>
      <c r="H7693" s="77">
        <v>0.79166666666666663</v>
      </c>
      <c r="J7693">
        <v>46.04</v>
      </c>
      <c r="M7693" s="74">
        <v>36115</v>
      </c>
      <c r="N7693" s="77">
        <v>0.79166666666666663</v>
      </c>
      <c r="P7693">
        <v>46.4</v>
      </c>
      <c r="S7693" s="74">
        <v>36846</v>
      </c>
      <c r="T7693" s="77">
        <v>0.79166666666666663</v>
      </c>
      <c r="V7693">
        <v>46.94</v>
      </c>
      <c r="X7693" s="42"/>
      <c r="AB7693">
        <v>48.1</v>
      </c>
      <c r="AC7693">
        <v>44.96</v>
      </c>
      <c r="AE7693" s="74"/>
      <c r="AF7693" s="77"/>
      <c r="AH7693" s="497">
        <v>57.2</v>
      </c>
      <c r="AJ7693" s="42"/>
      <c r="AK7693" s="74"/>
      <c r="AL7693" s="77"/>
      <c r="AN7693" s="497">
        <v>55.040000000000006</v>
      </c>
      <c r="AP7693" s="42"/>
      <c r="AQ7693" s="74"/>
      <c r="AR7693" s="77"/>
      <c r="AT7693" s="497">
        <v>37.94</v>
      </c>
      <c r="AV7693" s="42"/>
      <c r="AW7693" s="74"/>
      <c r="AX7693" s="77"/>
      <c r="BA7693" s="497">
        <v>50</v>
      </c>
      <c r="BB7693" s="42"/>
      <c r="BC7693" s="74"/>
      <c r="BD7693" s="77"/>
      <c r="BF7693">
        <v>53.06</v>
      </c>
      <c r="BH7693" s="42"/>
      <c r="BI7693" s="74"/>
      <c r="BJ7693" s="77"/>
      <c r="BL7693" s="497">
        <v>60.980000000000004</v>
      </c>
      <c r="BN7693" s="42"/>
      <c r="BO7693" s="74"/>
      <c r="BP7693" s="77"/>
      <c r="BR7693" s="497">
        <v>33.08</v>
      </c>
      <c r="BT7693" s="42"/>
    </row>
    <row r="7694" spans="1:72" x14ac:dyDescent="0.25">
      <c r="A7694" s="90">
        <v>36846</v>
      </c>
      <c r="B7694" s="20">
        <v>0.83333333333333337</v>
      </c>
      <c r="D7694">
        <v>51.980000000000004</v>
      </c>
      <c r="E7694" t="str">
        <f t="shared" si="274"/>
        <v>WEEKDAY</v>
      </c>
      <c r="F7694" t="e">
        <f t="shared" si="275"/>
        <v>#N/A</v>
      </c>
      <c r="G7694" s="74">
        <v>28810</v>
      </c>
      <c r="H7694" s="77">
        <v>0.83333333333333337</v>
      </c>
      <c r="J7694">
        <v>44.96</v>
      </c>
      <c r="M7694" s="74">
        <v>36115</v>
      </c>
      <c r="N7694" s="77">
        <v>0.83333333333333337</v>
      </c>
      <c r="P7694">
        <v>46.4</v>
      </c>
      <c r="S7694" s="74">
        <v>36846</v>
      </c>
      <c r="T7694" s="77">
        <v>0.83333333333333337</v>
      </c>
      <c r="V7694">
        <v>46.04</v>
      </c>
      <c r="X7694" s="42"/>
      <c r="AB7694">
        <v>47.8</v>
      </c>
      <c r="AC7694">
        <v>46.04</v>
      </c>
      <c r="AE7694" s="74"/>
      <c r="AF7694" s="77"/>
      <c r="AH7694" s="497">
        <v>53.6</v>
      </c>
      <c r="AJ7694" s="42"/>
      <c r="AK7694" s="74"/>
      <c r="AL7694" s="77"/>
      <c r="AN7694" s="497">
        <v>55.040000000000006</v>
      </c>
      <c r="AP7694" s="42"/>
      <c r="AQ7694" s="74"/>
      <c r="AR7694" s="77"/>
      <c r="AT7694" s="497">
        <v>35.06</v>
      </c>
      <c r="AV7694" s="42"/>
      <c r="AW7694" s="74"/>
      <c r="AX7694" s="77"/>
      <c r="BA7694" s="497">
        <v>51.08</v>
      </c>
      <c r="BB7694" s="42"/>
      <c r="BC7694" s="74"/>
      <c r="BD7694" s="77"/>
      <c r="BF7694">
        <v>48.92</v>
      </c>
      <c r="BH7694" s="42"/>
      <c r="BI7694" s="74"/>
      <c r="BJ7694" s="77"/>
      <c r="BL7694" s="497">
        <v>60.980000000000004</v>
      </c>
      <c r="BN7694" s="42"/>
      <c r="BO7694" s="74"/>
      <c r="BP7694" s="77"/>
      <c r="BR7694" s="497">
        <v>32</v>
      </c>
      <c r="BT7694" s="42"/>
    </row>
    <row r="7695" spans="1:72" x14ac:dyDescent="0.25">
      <c r="A7695" s="90">
        <v>36846</v>
      </c>
      <c r="B7695" s="20">
        <v>0.875</v>
      </c>
      <c r="D7695">
        <v>51.08</v>
      </c>
      <c r="E7695" t="str">
        <f t="shared" si="274"/>
        <v>WEEKDAY</v>
      </c>
      <c r="F7695" t="e">
        <f t="shared" si="275"/>
        <v>#N/A</v>
      </c>
      <c r="G7695" s="74">
        <v>28810</v>
      </c>
      <c r="H7695" s="77">
        <v>0.875</v>
      </c>
      <c r="J7695">
        <v>44.96</v>
      </c>
      <c r="M7695" s="74">
        <v>36115</v>
      </c>
      <c r="N7695" s="77">
        <v>0.875</v>
      </c>
      <c r="P7695">
        <v>46.4</v>
      </c>
      <c r="S7695" s="74">
        <v>36846</v>
      </c>
      <c r="T7695" s="77">
        <v>0.875</v>
      </c>
      <c r="V7695">
        <v>46.94</v>
      </c>
      <c r="X7695" s="42"/>
      <c r="AB7695">
        <v>47.2</v>
      </c>
      <c r="AC7695">
        <v>44.96</v>
      </c>
      <c r="AE7695" s="74"/>
      <c r="AF7695" s="77"/>
      <c r="AH7695" s="497">
        <v>51.8</v>
      </c>
      <c r="AJ7695" s="42"/>
      <c r="AK7695" s="74"/>
      <c r="AL7695" s="77"/>
      <c r="AN7695" s="497">
        <v>55.94</v>
      </c>
      <c r="AP7695" s="42"/>
      <c r="AQ7695" s="74"/>
      <c r="AR7695" s="77"/>
      <c r="AT7695" s="497">
        <v>33.08</v>
      </c>
      <c r="AV7695" s="42"/>
      <c r="AW7695" s="74"/>
      <c r="AX7695" s="77"/>
      <c r="BA7695" s="497">
        <v>51.08</v>
      </c>
      <c r="BB7695" s="42"/>
      <c r="BC7695" s="74"/>
      <c r="BD7695" s="77"/>
      <c r="BF7695">
        <v>46.94</v>
      </c>
      <c r="BH7695" s="42"/>
      <c r="BI7695" s="74"/>
      <c r="BJ7695" s="77"/>
      <c r="BL7695" s="497">
        <v>51.980000000000004</v>
      </c>
      <c r="BN7695" s="42"/>
      <c r="BO7695" s="74"/>
      <c r="BP7695" s="77"/>
      <c r="BR7695" s="497">
        <v>32</v>
      </c>
      <c r="BT7695" s="42"/>
    </row>
    <row r="7696" spans="1:72" x14ac:dyDescent="0.25">
      <c r="A7696" s="90">
        <v>36846</v>
      </c>
      <c r="B7696" s="20">
        <v>0.91666666666666663</v>
      </c>
      <c r="D7696">
        <v>50</v>
      </c>
      <c r="E7696" t="str">
        <f t="shared" si="274"/>
        <v>WEEKDAY</v>
      </c>
      <c r="F7696" t="e">
        <f t="shared" si="275"/>
        <v>#N/A</v>
      </c>
      <c r="G7696" s="74">
        <v>28810</v>
      </c>
      <c r="H7696" s="77">
        <v>0.91666666666666663</v>
      </c>
      <c r="J7696">
        <v>44.96</v>
      </c>
      <c r="M7696" s="74">
        <v>36115</v>
      </c>
      <c r="N7696" s="77">
        <v>0.91666666666666663</v>
      </c>
      <c r="P7696">
        <v>46.4</v>
      </c>
      <c r="S7696" s="74">
        <v>36846</v>
      </c>
      <c r="T7696" s="77">
        <v>0.91666666666666663</v>
      </c>
      <c r="V7696">
        <v>48.019999999999996</v>
      </c>
      <c r="X7696" s="42"/>
      <c r="AB7696">
        <v>46.6</v>
      </c>
      <c r="AC7696">
        <v>46.04</v>
      </c>
      <c r="AE7696" s="74"/>
      <c r="AF7696" s="77"/>
      <c r="AH7696" s="497">
        <v>50</v>
      </c>
      <c r="AJ7696" s="42"/>
      <c r="AK7696" s="74"/>
      <c r="AL7696" s="77"/>
      <c r="AN7696" s="497">
        <v>55.94</v>
      </c>
      <c r="AP7696" s="42"/>
      <c r="AQ7696" s="74"/>
      <c r="AR7696" s="77"/>
      <c r="AT7696" s="497">
        <v>32</v>
      </c>
      <c r="AV7696" s="42"/>
      <c r="AW7696" s="74"/>
      <c r="AX7696" s="77"/>
      <c r="BA7696" s="497">
        <v>51.980000000000004</v>
      </c>
      <c r="BB7696" s="42"/>
      <c r="BC7696" s="74"/>
      <c r="BD7696" s="77"/>
      <c r="BF7696">
        <v>46.94</v>
      </c>
      <c r="BH7696" s="42"/>
      <c r="BI7696" s="74"/>
      <c r="BJ7696" s="77"/>
      <c r="BL7696" s="497">
        <v>51.08</v>
      </c>
      <c r="BN7696" s="42"/>
      <c r="BO7696" s="74"/>
      <c r="BP7696" s="77"/>
      <c r="BR7696" s="497">
        <v>30.92</v>
      </c>
      <c r="BT7696" s="42"/>
    </row>
    <row r="7697" spans="1:72" x14ac:dyDescent="0.25">
      <c r="A7697" s="90">
        <v>36846</v>
      </c>
      <c r="B7697" s="20">
        <v>0.95833333333333337</v>
      </c>
      <c r="D7697">
        <v>48.92</v>
      </c>
      <c r="E7697" t="str">
        <f t="shared" si="274"/>
        <v>WEEKDAY</v>
      </c>
      <c r="F7697" t="e">
        <f t="shared" si="275"/>
        <v>#N/A</v>
      </c>
      <c r="G7697" s="74">
        <v>28810</v>
      </c>
      <c r="H7697" s="77">
        <v>0.95833333333333337</v>
      </c>
      <c r="J7697">
        <v>44.96</v>
      </c>
      <c r="M7697" s="74">
        <v>36115</v>
      </c>
      <c r="N7697" s="77">
        <v>0.95833333333333337</v>
      </c>
      <c r="P7697">
        <v>46.4</v>
      </c>
      <c r="S7697" s="74">
        <v>36846</v>
      </c>
      <c r="T7697" s="77">
        <v>0.95833333333333337</v>
      </c>
      <c r="V7697">
        <v>48.92</v>
      </c>
      <c r="X7697" s="42"/>
      <c r="AB7697">
        <v>46</v>
      </c>
      <c r="AC7697">
        <v>46.04</v>
      </c>
      <c r="AE7697" s="74"/>
      <c r="AF7697" s="77"/>
      <c r="AH7697" s="497">
        <v>48.2</v>
      </c>
      <c r="AJ7697" s="42"/>
      <c r="AK7697" s="74"/>
      <c r="AL7697" s="77"/>
      <c r="AN7697" s="497">
        <v>55.94</v>
      </c>
      <c r="AP7697" s="42"/>
      <c r="AQ7697" s="74"/>
      <c r="AR7697" s="77"/>
      <c r="AT7697" s="497">
        <v>32</v>
      </c>
      <c r="AV7697" s="42"/>
      <c r="AW7697" s="74"/>
      <c r="AX7697" s="77"/>
      <c r="BA7697" s="497">
        <v>53.06</v>
      </c>
      <c r="BB7697" s="42"/>
      <c r="BC7697" s="74"/>
      <c r="BD7697" s="77"/>
      <c r="BF7697">
        <v>46.04</v>
      </c>
      <c r="BH7697" s="42"/>
      <c r="BI7697" s="74"/>
      <c r="BJ7697" s="77"/>
      <c r="BL7697" s="497">
        <v>48.92</v>
      </c>
      <c r="BN7697" s="42"/>
      <c r="BO7697" s="74"/>
      <c r="BP7697" s="77"/>
      <c r="BR7697" s="497">
        <v>30.92</v>
      </c>
      <c r="BT7697" s="42"/>
    </row>
    <row r="7698" spans="1:72" x14ac:dyDescent="0.25">
      <c r="A7698" s="90">
        <v>36846</v>
      </c>
      <c r="B7698" s="20">
        <v>1</v>
      </c>
      <c r="D7698">
        <v>48.019999999999996</v>
      </c>
      <c r="E7698" t="str">
        <f t="shared" si="274"/>
        <v>WEEKDAY</v>
      </c>
      <c r="F7698" t="e">
        <f t="shared" si="275"/>
        <v>#N/A</v>
      </c>
      <c r="G7698" s="74">
        <v>28810</v>
      </c>
      <c r="H7698" s="77">
        <v>1</v>
      </c>
      <c r="J7698">
        <v>44.96</v>
      </c>
      <c r="M7698" s="74">
        <v>36115</v>
      </c>
      <c r="N7698" s="80">
        <v>1</v>
      </c>
      <c r="P7698">
        <v>44.6</v>
      </c>
      <c r="S7698" s="74">
        <v>36846</v>
      </c>
      <c r="T7698" s="80">
        <v>1</v>
      </c>
      <c r="V7698">
        <v>48.019999999999996</v>
      </c>
      <c r="X7698" s="42"/>
      <c r="AB7698">
        <v>45.5</v>
      </c>
      <c r="AC7698">
        <v>46.04</v>
      </c>
      <c r="AE7698" s="74"/>
      <c r="AF7698" s="80"/>
      <c r="AH7698" s="497">
        <v>46.4</v>
      </c>
      <c r="AJ7698" s="42"/>
      <c r="AK7698" s="74"/>
      <c r="AL7698" s="80"/>
      <c r="AN7698" s="497">
        <v>55.94</v>
      </c>
      <c r="AP7698" s="42"/>
      <c r="AQ7698" s="74"/>
      <c r="AR7698" s="80"/>
      <c r="AT7698" s="497">
        <v>32</v>
      </c>
      <c r="AV7698" s="42"/>
      <c r="AW7698" s="74"/>
      <c r="AX7698" s="80"/>
      <c r="BA7698" s="497">
        <v>53.06</v>
      </c>
      <c r="BB7698" s="42"/>
      <c r="BC7698" s="74"/>
      <c r="BD7698" s="80"/>
      <c r="BF7698">
        <v>44.96</v>
      </c>
      <c r="BH7698" s="42"/>
      <c r="BI7698" s="74"/>
      <c r="BJ7698" s="80"/>
      <c r="BL7698" s="497">
        <v>46.94</v>
      </c>
      <c r="BN7698" s="42"/>
      <c r="BO7698" s="74"/>
      <c r="BP7698" s="80"/>
      <c r="BR7698" s="497">
        <v>28.94</v>
      </c>
      <c r="BT7698" s="42"/>
    </row>
    <row r="7699" spans="1:72" x14ac:dyDescent="0.25">
      <c r="A7699" s="90">
        <v>36847</v>
      </c>
      <c r="B7699" s="20">
        <v>4.1666666666666664E-2</v>
      </c>
      <c r="D7699">
        <v>48.92</v>
      </c>
      <c r="E7699" t="str">
        <f t="shared" ref="E7699:E7762" si="276">IF(COUNTIF($DI$18:$DI$22, WEEKDAY(A7699))=1, "WEEKDAY", IF(WEEKDAY(A7699) = 1, "SUNDAY", "SATURDAY"))</f>
        <v>WEEKDAY</v>
      </c>
      <c r="F7699" t="e">
        <f t="shared" si="275"/>
        <v>#N/A</v>
      </c>
      <c r="G7699" s="74">
        <v>28811</v>
      </c>
      <c r="H7699" s="77">
        <v>4.1666666666666664E-2</v>
      </c>
      <c r="J7699">
        <v>46.04</v>
      </c>
      <c r="M7699" s="74">
        <v>36116</v>
      </c>
      <c r="N7699" s="77">
        <v>4.1666666666666664E-2</v>
      </c>
      <c r="P7699">
        <v>44.6</v>
      </c>
      <c r="S7699" s="74">
        <v>36847</v>
      </c>
      <c r="T7699" s="77">
        <v>4.1666666666666664E-2</v>
      </c>
      <c r="V7699">
        <v>46.94</v>
      </c>
      <c r="X7699" s="42"/>
      <c r="AB7699">
        <v>44.9</v>
      </c>
      <c r="AC7699">
        <v>46.94</v>
      </c>
      <c r="AE7699" s="74"/>
      <c r="AF7699" s="77"/>
      <c r="AH7699" s="497">
        <v>43.7</v>
      </c>
      <c r="AJ7699" s="42"/>
      <c r="AK7699" s="74"/>
      <c r="AL7699" s="77"/>
      <c r="AN7699" s="497">
        <v>55.94</v>
      </c>
      <c r="AP7699" s="42"/>
      <c r="AQ7699" s="74"/>
      <c r="AR7699" s="77"/>
      <c r="AT7699" s="497">
        <v>30.02</v>
      </c>
      <c r="AV7699" s="42"/>
      <c r="AW7699" s="74"/>
      <c r="AX7699" s="77"/>
      <c r="BA7699" s="497">
        <v>53.06</v>
      </c>
      <c r="BB7699" s="42"/>
      <c r="BC7699" s="74"/>
      <c r="BD7699" s="77"/>
      <c r="BF7699">
        <v>44.06</v>
      </c>
      <c r="BH7699" s="42"/>
      <c r="BI7699" s="74"/>
      <c r="BJ7699" s="77"/>
      <c r="BL7699" s="497">
        <v>44.96</v>
      </c>
      <c r="BN7699" s="42"/>
      <c r="BO7699" s="74"/>
      <c r="BP7699" s="77"/>
      <c r="BR7699" s="497">
        <v>30.02</v>
      </c>
      <c r="BT7699" s="42"/>
    </row>
    <row r="7700" spans="1:72" x14ac:dyDescent="0.25">
      <c r="A7700" s="90">
        <v>36847</v>
      </c>
      <c r="B7700" s="20">
        <v>8.3333333333333329E-2</v>
      </c>
      <c r="D7700">
        <v>48.92</v>
      </c>
      <c r="E7700" t="str">
        <f t="shared" si="276"/>
        <v>WEEKDAY</v>
      </c>
      <c r="F7700" t="e">
        <f t="shared" si="275"/>
        <v>#N/A</v>
      </c>
      <c r="G7700" s="74">
        <v>28811</v>
      </c>
      <c r="H7700" s="77">
        <v>8.3333333333333329E-2</v>
      </c>
      <c r="J7700">
        <v>46.94</v>
      </c>
      <c r="M7700" s="74">
        <v>36116</v>
      </c>
      <c r="N7700" s="77">
        <v>8.3333333333333329E-2</v>
      </c>
      <c r="P7700">
        <v>42.8</v>
      </c>
      <c r="S7700" s="74">
        <v>36847</v>
      </c>
      <c r="T7700" s="77">
        <v>8.3333333333333329E-2</v>
      </c>
      <c r="V7700">
        <v>46.94</v>
      </c>
      <c r="X7700" s="42"/>
      <c r="AB7700">
        <v>44.4</v>
      </c>
      <c r="AC7700">
        <v>46.04</v>
      </c>
      <c r="AE7700" s="74"/>
      <c r="AF7700" s="77"/>
      <c r="AH7700" s="497">
        <v>41</v>
      </c>
      <c r="AJ7700" s="42"/>
      <c r="AK7700" s="74"/>
      <c r="AL7700" s="77"/>
      <c r="AN7700" s="497">
        <v>55.040000000000006</v>
      </c>
      <c r="AP7700" s="42"/>
      <c r="AQ7700" s="74"/>
      <c r="AR7700" s="77"/>
      <c r="AT7700" s="497">
        <v>30.92</v>
      </c>
      <c r="AV7700" s="42"/>
      <c r="AW7700" s="74"/>
      <c r="AX7700" s="77"/>
      <c r="BA7700" s="497">
        <v>53.06</v>
      </c>
      <c r="BB7700" s="42"/>
      <c r="BC7700" s="74"/>
      <c r="BD7700" s="77"/>
      <c r="BF7700">
        <v>42.980000000000004</v>
      </c>
      <c r="BH7700" s="42"/>
      <c r="BI7700" s="74"/>
      <c r="BJ7700" s="77"/>
      <c r="BL7700" s="497">
        <v>44.96</v>
      </c>
      <c r="BN7700" s="42"/>
      <c r="BO7700" s="74"/>
      <c r="BP7700" s="77"/>
      <c r="BR7700" s="497">
        <v>30.02</v>
      </c>
      <c r="BT7700" s="42"/>
    </row>
    <row r="7701" spans="1:72" x14ac:dyDescent="0.25">
      <c r="A7701" s="90">
        <v>36847</v>
      </c>
      <c r="B7701" s="20">
        <v>0.125</v>
      </c>
      <c r="D7701">
        <v>48.92</v>
      </c>
      <c r="E7701" t="str">
        <f t="shared" si="276"/>
        <v>WEEKDAY</v>
      </c>
      <c r="F7701" t="e">
        <f t="shared" si="275"/>
        <v>#N/A</v>
      </c>
      <c r="G7701" s="74">
        <v>28811</v>
      </c>
      <c r="H7701" s="77">
        <v>0.125</v>
      </c>
      <c r="J7701">
        <v>46.94</v>
      </c>
      <c r="M7701" s="74">
        <v>36116</v>
      </c>
      <c r="N7701" s="77">
        <v>0.125</v>
      </c>
      <c r="P7701">
        <v>46.4</v>
      </c>
      <c r="S7701" s="74">
        <v>36847</v>
      </c>
      <c r="T7701" s="77">
        <v>0.125</v>
      </c>
      <c r="V7701">
        <v>46.94</v>
      </c>
      <c r="X7701" s="42"/>
      <c r="AB7701">
        <v>44</v>
      </c>
      <c r="AC7701">
        <v>46.94</v>
      </c>
      <c r="AE7701" s="74"/>
      <c r="AF7701" s="77"/>
      <c r="AH7701" s="497">
        <v>39.200000000000003</v>
      </c>
      <c r="AJ7701" s="42"/>
      <c r="AK7701" s="74"/>
      <c r="AL7701" s="77"/>
      <c r="AN7701" s="497">
        <v>53.96</v>
      </c>
      <c r="AP7701" s="42"/>
      <c r="AQ7701" s="74"/>
      <c r="AR7701" s="77"/>
      <c r="AT7701" s="497">
        <v>30.02</v>
      </c>
      <c r="AV7701" s="42"/>
      <c r="AW7701" s="74"/>
      <c r="AX7701" s="77"/>
      <c r="BA7701" s="497">
        <v>51.980000000000004</v>
      </c>
      <c r="BB7701" s="42"/>
      <c r="BC7701" s="74"/>
      <c r="BD7701" s="77"/>
      <c r="BF7701">
        <v>42.980000000000004</v>
      </c>
      <c r="BH7701" s="42"/>
      <c r="BI7701" s="74"/>
      <c r="BJ7701" s="77"/>
      <c r="BL7701" s="497">
        <v>44.06</v>
      </c>
      <c r="BN7701" s="42"/>
      <c r="BO7701" s="74"/>
      <c r="BP7701" s="77"/>
      <c r="BR7701" s="497">
        <v>30.02</v>
      </c>
      <c r="BT7701" s="42"/>
    </row>
    <row r="7702" spans="1:72" x14ac:dyDescent="0.25">
      <c r="A7702" s="90">
        <v>36847</v>
      </c>
      <c r="B7702" s="20">
        <v>0.16666666666666666</v>
      </c>
      <c r="D7702">
        <v>48.019999999999996</v>
      </c>
      <c r="E7702" t="str">
        <f t="shared" si="276"/>
        <v>WEEKDAY</v>
      </c>
      <c r="F7702" t="e">
        <f t="shared" si="275"/>
        <v>#N/A</v>
      </c>
      <c r="G7702" s="74">
        <v>28811</v>
      </c>
      <c r="H7702" s="77">
        <v>0.16666666666666666</v>
      </c>
      <c r="J7702">
        <v>46.94</v>
      </c>
      <c r="M7702" s="74">
        <v>36116</v>
      </c>
      <c r="N7702" s="77">
        <v>0.16666666666666666</v>
      </c>
      <c r="P7702">
        <v>44.6</v>
      </c>
      <c r="S7702" s="74">
        <v>36847</v>
      </c>
      <c r="T7702" s="77">
        <v>0.16666666666666666</v>
      </c>
      <c r="V7702">
        <v>46.94</v>
      </c>
      <c r="X7702" s="42"/>
      <c r="AB7702">
        <v>43.6</v>
      </c>
      <c r="AC7702">
        <v>46.94</v>
      </c>
      <c r="AE7702" s="74"/>
      <c r="AF7702" s="77"/>
      <c r="AH7702" s="497">
        <v>35.6</v>
      </c>
      <c r="AJ7702" s="42"/>
      <c r="AK7702" s="74"/>
      <c r="AL7702" s="77"/>
      <c r="AN7702" s="497">
        <v>53.96</v>
      </c>
      <c r="AP7702" s="42"/>
      <c r="AQ7702" s="74"/>
      <c r="AR7702" s="77"/>
      <c r="AT7702" s="497">
        <v>30.02</v>
      </c>
      <c r="AV7702" s="42"/>
      <c r="AW7702" s="74"/>
      <c r="AX7702" s="77"/>
      <c r="BA7702" s="497">
        <v>53.96</v>
      </c>
      <c r="BB7702" s="42"/>
      <c r="BC7702" s="74"/>
      <c r="BD7702" s="77"/>
      <c r="BF7702">
        <v>42.08</v>
      </c>
      <c r="BH7702" s="42"/>
      <c r="BI7702" s="74"/>
      <c r="BJ7702" s="77"/>
      <c r="BL7702" s="497">
        <v>42.980000000000004</v>
      </c>
      <c r="BN7702" s="42"/>
      <c r="BO7702" s="74"/>
      <c r="BP7702" s="77"/>
      <c r="BR7702" s="497">
        <v>28.94</v>
      </c>
      <c r="BT7702" s="42"/>
    </row>
    <row r="7703" spans="1:72" x14ac:dyDescent="0.25">
      <c r="A7703" s="90">
        <v>36847</v>
      </c>
      <c r="B7703" s="20">
        <v>0.20833333333333334</v>
      </c>
      <c r="D7703">
        <v>48.019999999999996</v>
      </c>
      <c r="E7703" t="str">
        <f t="shared" si="276"/>
        <v>WEEKDAY</v>
      </c>
      <c r="F7703" t="e">
        <f t="shared" si="275"/>
        <v>#N/A</v>
      </c>
      <c r="G7703" s="74">
        <v>28811</v>
      </c>
      <c r="H7703" s="77">
        <v>0.20833333333333334</v>
      </c>
      <c r="J7703">
        <v>46.04</v>
      </c>
      <c r="M7703" s="74">
        <v>36116</v>
      </c>
      <c r="N7703" s="77">
        <v>0.20833333333333334</v>
      </c>
      <c r="P7703">
        <v>44.6</v>
      </c>
      <c r="S7703" s="74">
        <v>36847</v>
      </c>
      <c r="T7703" s="77">
        <v>0.20833333333333334</v>
      </c>
      <c r="V7703">
        <v>46.04</v>
      </c>
      <c r="X7703" s="42"/>
      <c r="AB7703">
        <v>43.3</v>
      </c>
      <c r="AC7703">
        <v>48.019999999999996</v>
      </c>
      <c r="AE7703" s="74"/>
      <c r="AF7703" s="77"/>
      <c r="AH7703" s="497">
        <v>33.799999999999997</v>
      </c>
      <c r="AJ7703" s="42"/>
      <c r="AK7703" s="74"/>
      <c r="AL7703" s="77"/>
      <c r="AN7703" s="497">
        <v>48.019999999999996</v>
      </c>
      <c r="AP7703" s="42"/>
      <c r="AQ7703" s="74"/>
      <c r="AR7703" s="77"/>
      <c r="AT7703" s="497">
        <v>32</v>
      </c>
      <c r="AV7703" s="42"/>
      <c r="AW7703" s="74"/>
      <c r="AX7703" s="77"/>
      <c r="BA7703" s="497">
        <v>55.94</v>
      </c>
      <c r="BB7703" s="42"/>
      <c r="BC7703" s="74"/>
      <c r="BD7703" s="77"/>
      <c r="BF7703">
        <v>42.08</v>
      </c>
      <c r="BH7703" s="42"/>
      <c r="BI7703" s="74"/>
      <c r="BJ7703" s="77"/>
      <c r="BL7703" s="497">
        <v>42.980000000000004</v>
      </c>
      <c r="BN7703" s="42"/>
      <c r="BO7703" s="74"/>
      <c r="BP7703" s="77"/>
      <c r="BR7703" s="497">
        <v>28.94</v>
      </c>
      <c r="BT7703" s="42"/>
    </row>
    <row r="7704" spans="1:72" x14ac:dyDescent="0.25">
      <c r="A7704" s="90">
        <v>36847</v>
      </c>
      <c r="B7704" s="20">
        <v>0.25</v>
      </c>
      <c r="D7704">
        <v>48.019999999999996</v>
      </c>
      <c r="E7704" t="str">
        <f t="shared" si="276"/>
        <v>WEEKDAY</v>
      </c>
      <c r="F7704" t="e">
        <f t="shared" si="275"/>
        <v>#N/A</v>
      </c>
      <c r="G7704" s="74">
        <v>28811</v>
      </c>
      <c r="H7704" s="77">
        <v>0.25</v>
      </c>
      <c r="J7704">
        <v>46.94</v>
      </c>
      <c r="M7704" s="74">
        <v>36116</v>
      </c>
      <c r="N7704" s="77">
        <v>0.25</v>
      </c>
      <c r="P7704">
        <v>44.6</v>
      </c>
      <c r="S7704" s="74">
        <v>36847</v>
      </c>
      <c r="T7704" s="77">
        <v>0.25</v>
      </c>
      <c r="V7704">
        <v>46.04</v>
      </c>
      <c r="X7704" s="42"/>
      <c r="AB7704">
        <v>43</v>
      </c>
      <c r="AC7704">
        <v>48.019999999999996</v>
      </c>
      <c r="AE7704" s="74"/>
      <c r="AF7704" s="77"/>
      <c r="AH7704" s="497">
        <v>33.799999999999997</v>
      </c>
      <c r="AJ7704" s="42"/>
      <c r="AK7704" s="74"/>
      <c r="AL7704" s="77"/>
      <c r="AN7704" s="497">
        <v>46.04</v>
      </c>
      <c r="AP7704" s="42"/>
      <c r="AQ7704" s="74"/>
      <c r="AR7704" s="77"/>
      <c r="AT7704" s="497">
        <v>32</v>
      </c>
      <c r="AV7704" s="42"/>
      <c r="AW7704" s="74"/>
      <c r="AX7704" s="77"/>
      <c r="BA7704" s="497">
        <v>57.019999999999996</v>
      </c>
      <c r="BB7704" s="42"/>
      <c r="BC7704" s="74"/>
      <c r="BD7704" s="77"/>
      <c r="BF7704">
        <v>41</v>
      </c>
      <c r="BH7704" s="42"/>
      <c r="BI7704" s="74"/>
      <c r="BJ7704" s="77"/>
      <c r="BL7704" s="497">
        <v>42.08</v>
      </c>
      <c r="BN7704" s="42"/>
      <c r="BO7704" s="74"/>
      <c r="BP7704" s="77"/>
      <c r="BR7704" s="497">
        <v>28.94</v>
      </c>
      <c r="BT7704" s="42"/>
    </row>
    <row r="7705" spans="1:72" x14ac:dyDescent="0.25">
      <c r="A7705" s="90">
        <v>36847</v>
      </c>
      <c r="B7705" s="20">
        <v>0.29166666666666669</v>
      </c>
      <c r="D7705">
        <v>46.04</v>
      </c>
      <c r="E7705" t="str">
        <f t="shared" si="276"/>
        <v>WEEKDAY</v>
      </c>
      <c r="F7705" t="e">
        <f t="shared" si="275"/>
        <v>#N/A</v>
      </c>
      <c r="G7705" s="74">
        <v>28811</v>
      </c>
      <c r="H7705" s="77">
        <v>0.29166666666666669</v>
      </c>
      <c r="J7705">
        <v>46.94</v>
      </c>
      <c r="M7705" s="74">
        <v>36116</v>
      </c>
      <c r="N7705" s="77">
        <v>0.29166666666666669</v>
      </c>
      <c r="P7705">
        <v>44.6</v>
      </c>
      <c r="S7705" s="74">
        <v>36847</v>
      </c>
      <c r="T7705" s="77">
        <v>0.29166666666666669</v>
      </c>
      <c r="V7705">
        <v>44.96</v>
      </c>
      <c r="X7705" s="42"/>
      <c r="AB7705">
        <v>42.9</v>
      </c>
      <c r="AC7705">
        <v>46.94</v>
      </c>
      <c r="AE7705" s="74"/>
      <c r="AF7705" s="77"/>
      <c r="AH7705" s="497">
        <v>32</v>
      </c>
      <c r="AJ7705" s="42"/>
      <c r="AK7705" s="74"/>
      <c r="AL7705" s="77"/>
      <c r="AN7705" s="497">
        <v>42.980000000000004</v>
      </c>
      <c r="AP7705" s="42"/>
      <c r="AQ7705" s="74"/>
      <c r="AR7705" s="77"/>
      <c r="AT7705" s="497">
        <v>33.08</v>
      </c>
      <c r="AV7705" s="42"/>
      <c r="AW7705" s="74"/>
      <c r="AX7705" s="77"/>
      <c r="BA7705" s="497">
        <v>57.019999999999996</v>
      </c>
      <c r="BB7705" s="42"/>
      <c r="BC7705" s="74"/>
      <c r="BD7705" s="77"/>
      <c r="BF7705">
        <v>42.08</v>
      </c>
      <c r="BH7705" s="42"/>
      <c r="BI7705" s="74"/>
      <c r="BJ7705" s="77"/>
      <c r="BL7705" s="497">
        <v>41</v>
      </c>
      <c r="BN7705" s="42"/>
      <c r="BO7705" s="74"/>
      <c r="BP7705" s="77"/>
      <c r="BR7705" s="497">
        <v>30.92</v>
      </c>
      <c r="BT7705" s="42"/>
    </row>
    <row r="7706" spans="1:72" x14ac:dyDescent="0.25">
      <c r="A7706" s="90">
        <v>36847</v>
      </c>
      <c r="B7706" s="20">
        <v>0.33333333333333331</v>
      </c>
      <c r="D7706">
        <v>46.04</v>
      </c>
      <c r="E7706" t="str">
        <f t="shared" si="276"/>
        <v>WEEKDAY</v>
      </c>
      <c r="F7706" t="e">
        <f t="shared" si="275"/>
        <v>#N/A</v>
      </c>
      <c r="G7706" s="74">
        <v>28811</v>
      </c>
      <c r="H7706" s="77">
        <v>0.33333333333333331</v>
      </c>
      <c r="J7706">
        <v>48.019999999999996</v>
      </c>
      <c r="M7706" s="74">
        <v>36116</v>
      </c>
      <c r="N7706" s="77">
        <v>0.33333333333333331</v>
      </c>
      <c r="P7706">
        <v>46.4</v>
      </c>
      <c r="S7706" s="74">
        <v>36847</v>
      </c>
      <c r="T7706" s="77">
        <v>0.33333333333333331</v>
      </c>
      <c r="V7706">
        <v>46.94</v>
      </c>
      <c r="X7706" s="42"/>
      <c r="AB7706">
        <v>42.9</v>
      </c>
      <c r="AC7706">
        <v>48.92</v>
      </c>
      <c r="AE7706" s="74"/>
      <c r="AF7706" s="77"/>
      <c r="AH7706" s="497">
        <v>33.799999999999997</v>
      </c>
      <c r="AJ7706" s="42"/>
      <c r="AK7706" s="74"/>
      <c r="AL7706" s="77"/>
      <c r="AN7706" s="497">
        <v>39.92</v>
      </c>
      <c r="AP7706" s="42"/>
      <c r="AQ7706" s="74"/>
      <c r="AR7706" s="77"/>
      <c r="AT7706" s="497">
        <v>35.06</v>
      </c>
      <c r="AV7706" s="42"/>
      <c r="AW7706" s="74"/>
      <c r="AX7706" s="77"/>
      <c r="BA7706" s="497">
        <v>60.08</v>
      </c>
      <c r="BB7706" s="42"/>
      <c r="BC7706" s="74"/>
      <c r="BD7706" s="77"/>
      <c r="BF7706">
        <v>41</v>
      </c>
      <c r="BH7706" s="42"/>
      <c r="BI7706" s="74"/>
      <c r="BJ7706" s="77"/>
      <c r="BL7706" s="497">
        <v>41</v>
      </c>
      <c r="BN7706" s="42"/>
      <c r="BO7706" s="74"/>
      <c r="BP7706" s="77"/>
      <c r="BR7706" s="497">
        <v>33.08</v>
      </c>
      <c r="BT7706" s="42"/>
    </row>
    <row r="7707" spans="1:72" x14ac:dyDescent="0.25">
      <c r="A7707" s="90">
        <v>36847</v>
      </c>
      <c r="B7707" s="20">
        <v>0.375</v>
      </c>
      <c r="D7707">
        <v>46.94</v>
      </c>
      <c r="E7707" t="str">
        <f t="shared" si="276"/>
        <v>WEEKDAY</v>
      </c>
      <c r="F7707" t="e">
        <f t="shared" si="275"/>
        <v>#N/A</v>
      </c>
      <c r="G7707" s="74">
        <v>28811</v>
      </c>
      <c r="H7707" s="77">
        <v>0.375</v>
      </c>
      <c r="J7707">
        <v>48.92</v>
      </c>
      <c r="M7707" s="74">
        <v>36116</v>
      </c>
      <c r="N7707" s="77">
        <v>0.375</v>
      </c>
      <c r="P7707">
        <v>46.4</v>
      </c>
      <c r="S7707" s="74">
        <v>36847</v>
      </c>
      <c r="T7707" s="77">
        <v>0.375</v>
      </c>
      <c r="V7707">
        <v>50</v>
      </c>
      <c r="X7707" s="42"/>
      <c r="AB7707">
        <v>44.3</v>
      </c>
      <c r="AC7707">
        <v>48.92</v>
      </c>
      <c r="AE7707" s="74"/>
      <c r="AF7707" s="77"/>
      <c r="AH7707" s="497">
        <v>35.6</v>
      </c>
      <c r="AJ7707" s="42"/>
      <c r="AK7707" s="74"/>
      <c r="AL7707" s="77"/>
      <c r="AN7707" s="497">
        <v>39.019999999999996</v>
      </c>
      <c r="AP7707" s="42"/>
      <c r="AQ7707" s="74"/>
      <c r="AR7707" s="77"/>
      <c r="AT7707" s="497">
        <v>37.94</v>
      </c>
      <c r="AV7707" s="42"/>
      <c r="AW7707" s="74"/>
      <c r="AX7707" s="77"/>
      <c r="BA7707" s="497">
        <v>62.06</v>
      </c>
      <c r="BB7707" s="42"/>
      <c r="BC7707" s="74"/>
      <c r="BD7707" s="77"/>
      <c r="BF7707">
        <v>39.92</v>
      </c>
      <c r="BH7707" s="42"/>
      <c r="BI7707" s="74"/>
      <c r="BJ7707" s="77"/>
      <c r="BL7707" s="497">
        <v>41</v>
      </c>
      <c r="BN7707" s="42"/>
      <c r="BO7707" s="74"/>
      <c r="BP7707" s="77"/>
      <c r="BR7707" s="497">
        <v>37.94</v>
      </c>
      <c r="BT7707" s="42"/>
    </row>
    <row r="7708" spans="1:72" x14ac:dyDescent="0.25">
      <c r="A7708" s="90">
        <v>36847</v>
      </c>
      <c r="B7708" s="20">
        <v>0.41666666666666669</v>
      </c>
      <c r="D7708">
        <v>50</v>
      </c>
      <c r="E7708" t="str">
        <f t="shared" si="276"/>
        <v>WEEKDAY</v>
      </c>
      <c r="F7708" t="e">
        <f t="shared" si="275"/>
        <v>#N/A</v>
      </c>
      <c r="G7708" s="74">
        <v>28811</v>
      </c>
      <c r="H7708" s="77">
        <v>0.41666666666666669</v>
      </c>
      <c r="J7708">
        <v>51.08</v>
      </c>
      <c r="M7708" s="74">
        <v>36116</v>
      </c>
      <c r="N7708" s="77">
        <v>0.41666666666666669</v>
      </c>
      <c r="P7708">
        <v>46.4</v>
      </c>
      <c r="S7708" s="74">
        <v>36847</v>
      </c>
      <c r="T7708" s="77">
        <v>0.41666666666666669</v>
      </c>
      <c r="V7708">
        <v>53.06</v>
      </c>
      <c r="X7708" s="42"/>
      <c r="AB7708">
        <v>46.2</v>
      </c>
      <c r="AC7708">
        <v>50</v>
      </c>
      <c r="AE7708" s="74"/>
      <c r="AF7708" s="77"/>
      <c r="AH7708" s="497">
        <v>39.200000000000003</v>
      </c>
      <c r="AJ7708" s="42"/>
      <c r="AK7708" s="74"/>
      <c r="AL7708" s="77"/>
      <c r="AN7708" s="497">
        <v>39.92</v>
      </c>
      <c r="AP7708" s="42"/>
      <c r="AQ7708" s="74"/>
      <c r="AR7708" s="77"/>
      <c r="AT7708" s="497">
        <v>39.92</v>
      </c>
      <c r="AV7708" s="42"/>
      <c r="AW7708" s="74"/>
      <c r="AX7708" s="77"/>
      <c r="BA7708" s="497">
        <v>64.039999999999992</v>
      </c>
      <c r="BB7708" s="42"/>
      <c r="BC7708" s="74"/>
      <c r="BD7708" s="77"/>
      <c r="BF7708">
        <v>37.94</v>
      </c>
      <c r="BH7708" s="42"/>
      <c r="BI7708" s="74"/>
      <c r="BJ7708" s="77"/>
      <c r="BL7708" s="497">
        <v>41</v>
      </c>
      <c r="BN7708" s="42"/>
      <c r="BO7708" s="74"/>
      <c r="BP7708" s="77"/>
      <c r="BR7708" s="497">
        <v>42.980000000000004</v>
      </c>
      <c r="BT7708" s="42"/>
    </row>
    <row r="7709" spans="1:72" x14ac:dyDescent="0.25">
      <c r="A7709" s="90">
        <v>36847</v>
      </c>
      <c r="B7709" s="20">
        <v>0.45833333333333331</v>
      </c>
      <c r="D7709">
        <v>50</v>
      </c>
      <c r="E7709" t="str">
        <f t="shared" si="276"/>
        <v>WEEKDAY</v>
      </c>
      <c r="F7709" t="e">
        <f t="shared" si="275"/>
        <v>#N/A</v>
      </c>
      <c r="G7709" s="74">
        <v>28811</v>
      </c>
      <c r="H7709" s="77">
        <v>0.45833333333333331</v>
      </c>
      <c r="J7709">
        <v>51.980000000000004</v>
      </c>
      <c r="M7709" s="74">
        <v>36116</v>
      </c>
      <c r="N7709" s="77">
        <v>0.45833333333333331</v>
      </c>
      <c r="P7709">
        <v>46.4</v>
      </c>
      <c r="S7709" s="74">
        <v>36847</v>
      </c>
      <c r="T7709" s="77">
        <v>0.45833333333333331</v>
      </c>
      <c r="V7709">
        <v>53.06</v>
      </c>
      <c r="X7709" s="42"/>
      <c r="AB7709">
        <v>47.8</v>
      </c>
      <c r="AC7709">
        <v>50</v>
      </c>
      <c r="AE7709" s="74"/>
      <c r="AF7709" s="77"/>
      <c r="AH7709" s="497">
        <v>42.8</v>
      </c>
      <c r="AJ7709" s="42"/>
      <c r="AK7709" s="74"/>
      <c r="AL7709" s="77"/>
      <c r="AN7709" s="497">
        <v>42.08</v>
      </c>
      <c r="AP7709" s="42"/>
      <c r="AQ7709" s="74"/>
      <c r="AR7709" s="77"/>
      <c r="AT7709" s="497">
        <v>42.980000000000004</v>
      </c>
      <c r="AV7709" s="42"/>
      <c r="AW7709" s="74"/>
      <c r="AX7709" s="77"/>
      <c r="BA7709" s="497">
        <v>66.92</v>
      </c>
      <c r="BB7709" s="42"/>
      <c r="BC7709" s="74"/>
      <c r="BD7709" s="77"/>
      <c r="BF7709">
        <v>37.94</v>
      </c>
      <c r="BH7709" s="42"/>
      <c r="BI7709" s="74"/>
      <c r="BJ7709" s="77"/>
      <c r="BL7709" s="497">
        <v>41</v>
      </c>
      <c r="BN7709" s="42"/>
      <c r="BO7709" s="74"/>
      <c r="BP7709" s="77"/>
      <c r="BR7709" s="497">
        <v>48.019999999999996</v>
      </c>
      <c r="BT7709" s="42"/>
    </row>
    <row r="7710" spans="1:72" x14ac:dyDescent="0.25">
      <c r="A7710" s="90">
        <v>36847</v>
      </c>
      <c r="B7710" s="20">
        <v>0.5</v>
      </c>
      <c r="D7710">
        <v>51.980000000000004</v>
      </c>
      <c r="E7710" t="str">
        <f t="shared" si="276"/>
        <v>WEEKDAY</v>
      </c>
      <c r="F7710" t="e">
        <f t="shared" si="275"/>
        <v>#N/A</v>
      </c>
      <c r="G7710" s="74">
        <v>28811</v>
      </c>
      <c r="H7710" s="77">
        <v>0.5</v>
      </c>
      <c r="J7710">
        <v>50</v>
      </c>
      <c r="M7710" s="74">
        <v>36116</v>
      </c>
      <c r="N7710" s="77">
        <v>0.5</v>
      </c>
      <c r="P7710">
        <v>46.4</v>
      </c>
      <c r="S7710" s="74">
        <v>36847</v>
      </c>
      <c r="T7710" s="77">
        <v>0.5</v>
      </c>
      <c r="V7710">
        <v>53.06</v>
      </c>
      <c r="X7710" s="42"/>
      <c r="AB7710">
        <v>49.2</v>
      </c>
      <c r="AC7710">
        <v>50</v>
      </c>
      <c r="AE7710" s="74"/>
      <c r="AF7710" s="77"/>
      <c r="AH7710" s="497">
        <v>44.6</v>
      </c>
      <c r="AJ7710" s="42"/>
      <c r="AK7710" s="74"/>
      <c r="AL7710" s="77"/>
      <c r="AN7710" s="497">
        <v>44.06</v>
      </c>
      <c r="AP7710" s="42"/>
      <c r="AQ7710" s="74"/>
      <c r="AR7710" s="77"/>
      <c r="AT7710" s="497">
        <v>46.04</v>
      </c>
      <c r="AV7710" s="42"/>
      <c r="AW7710" s="74"/>
      <c r="AX7710" s="77"/>
      <c r="BA7710" s="497">
        <v>66.92</v>
      </c>
      <c r="BB7710" s="42"/>
      <c r="BC7710" s="74"/>
      <c r="BD7710" s="77"/>
      <c r="BF7710">
        <v>39.92</v>
      </c>
      <c r="BH7710" s="42"/>
      <c r="BI7710" s="74"/>
      <c r="BJ7710" s="77"/>
      <c r="BL7710" s="497">
        <v>41</v>
      </c>
      <c r="BN7710" s="42"/>
      <c r="BO7710" s="74"/>
      <c r="BP7710" s="77"/>
      <c r="BR7710" s="497">
        <v>51.08</v>
      </c>
      <c r="BT7710" s="42"/>
    </row>
    <row r="7711" spans="1:72" x14ac:dyDescent="0.25">
      <c r="A7711" s="90">
        <v>36847</v>
      </c>
      <c r="B7711" s="20">
        <v>0.54166666666666663</v>
      </c>
      <c r="D7711">
        <v>53.06</v>
      </c>
      <c r="E7711" t="str">
        <f t="shared" si="276"/>
        <v>WEEKDAY</v>
      </c>
      <c r="F7711" t="e">
        <f t="shared" si="275"/>
        <v>#N/A</v>
      </c>
      <c r="G7711" s="74">
        <v>28811</v>
      </c>
      <c r="H7711" s="77">
        <v>0.54166666666666663</v>
      </c>
      <c r="J7711">
        <v>51.08</v>
      </c>
      <c r="M7711" s="74">
        <v>36116</v>
      </c>
      <c r="N7711" s="77">
        <v>0.54166666666666663</v>
      </c>
      <c r="P7711">
        <v>46.4</v>
      </c>
      <c r="S7711" s="74">
        <v>36847</v>
      </c>
      <c r="T7711" s="77">
        <v>0.54166666666666663</v>
      </c>
      <c r="V7711">
        <v>53.06</v>
      </c>
      <c r="X7711" s="42"/>
      <c r="AB7711">
        <v>50.2</v>
      </c>
      <c r="AC7711">
        <v>50</v>
      </c>
      <c r="AE7711" s="74"/>
      <c r="AF7711" s="77"/>
      <c r="AH7711" s="497">
        <v>46.4</v>
      </c>
      <c r="AJ7711" s="42"/>
      <c r="AK7711" s="74"/>
      <c r="AL7711" s="77"/>
      <c r="AN7711" s="497">
        <v>44.06</v>
      </c>
      <c r="AP7711" s="42"/>
      <c r="AQ7711" s="74"/>
      <c r="AR7711" s="77"/>
      <c r="AT7711" s="497">
        <v>46.94</v>
      </c>
      <c r="AV7711" s="42"/>
      <c r="AW7711" s="74"/>
      <c r="AX7711" s="77"/>
      <c r="BA7711" s="497">
        <v>66.92</v>
      </c>
      <c r="BB7711" s="42"/>
      <c r="BC7711" s="74"/>
      <c r="BD7711" s="77"/>
      <c r="BF7711">
        <v>39.92</v>
      </c>
      <c r="BH7711" s="42"/>
      <c r="BI7711" s="74"/>
      <c r="BJ7711" s="77"/>
      <c r="BL7711" s="497">
        <v>41</v>
      </c>
      <c r="BN7711" s="42"/>
      <c r="BO7711" s="74"/>
      <c r="BP7711" s="77"/>
      <c r="BR7711" s="497">
        <v>55.94</v>
      </c>
      <c r="BT7711" s="42"/>
    </row>
    <row r="7712" spans="1:72" x14ac:dyDescent="0.25">
      <c r="A7712" s="90">
        <v>36847</v>
      </c>
      <c r="B7712" s="20">
        <v>0.58333333333333337</v>
      </c>
      <c r="D7712">
        <v>55.040000000000006</v>
      </c>
      <c r="E7712" t="str">
        <f t="shared" si="276"/>
        <v>WEEKDAY</v>
      </c>
      <c r="F7712" t="e">
        <f t="shared" si="275"/>
        <v>#N/A</v>
      </c>
      <c r="G7712" s="74">
        <v>28811</v>
      </c>
      <c r="H7712" s="77">
        <v>0.58333333333333337</v>
      </c>
      <c r="J7712">
        <v>50</v>
      </c>
      <c r="M7712" s="74">
        <v>36116</v>
      </c>
      <c r="N7712" s="77">
        <v>0.58333333333333337</v>
      </c>
      <c r="P7712">
        <v>46.4</v>
      </c>
      <c r="S7712" s="74">
        <v>36847</v>
      </c>
      <c r="T7712" s="77">
        <v>0.58333333333333337</v>
      </c>
      <c r="V7712">
        <v>53.06</v>
      </c>
      <c r="X7712" s="42"/>
      <c r="AB7712">
        <v>50.9</v>
      </c>
      <c r="AC7712">
        <v>50</v>
      </c>
      <c r="AE7712" s="74"/>
      <c r="AF7712" s="77"/>
      <c r="AH7712" s="497">
        <v>48.2</v>
      </c>
      <c r="AJ7712" s="42"/>
      <c r="AK7712" s="74"/>
      <c r="AL7712" s="77"/>
      <c r="AN7712" s="497">
        <v>44.96</v>
      </c>
      <c r="AP7712" s="42"/>
      <c r="AQ7712" s="74"/>
      <c r="AR7712" s="77"/>
      <c r="AT7712" s="497">
        <v>48.019999999999996</v>
      </c>
      <c r="AV7712" s="42"/>
      <c r="AW7712" s="74"/>
      <c r="AX7712" s="77"/>
      <c r="BA7712" s="497">
        <v>66.02</v>
      </c>
      <c r="BB7712" s="42"/>
      <c r="BC7712" s="74"/>
      <c r="BD7712" s="77"/>
      <c r="BF7712">
        <v>41</v>
      </c>
      <c r="BH7712" s="42"/>
      <c r="BI7712" s="74"/>
      <c r="BJ7712" s="77"/>
      <c r="BL7712" s="497">
        <v>42.08</v>
      </c>
      <c r="BN7712" s="42"/>
      <c r="BO7712" s="74"/>
      <c r="BP7712" s="77"/>
      <c r="BR7712" s="497">
        <v>55.94</v>
      </c>
      <c r="BT7712" s="42"/>
    </row>
    <row r="7713" spans="1:72" x14ac:dyDescent="0.25">
      <c r="A7713" s="90">
        <v>36847</v>
      </c>
      <c r="B7713" s="20">
        <v>0.625</v>
      </c>
      <c r="D7713">
        <v>53.96</v>
      </c>
      <c r="E7713" t="str">
        <f t="shared" si="276"/>
        <v>WEEKDAY</v>
      </c>
      <c r="F7713" t="e">
        <f t="shared" si="275"/>
        <v>#N/A</v>
      </c>
      <c r="G7713" s="74">
        <v>28811</v>
      </c>
      <c r="H7713" s="77">
        <v>0.625</v>
      </c>
      <c r="J7713">
        <v>51.08</v>
      </c>
      <c r="M7713" s="74">
        <v>36116</v>
      </c>
      <c r="N7713" s="77">
        <v>0.625</v>
      </c>
      <c r="P7713">
        <v>44.6</v>
      </c>
      <c r="S7713" s="74">
        <v>36847</v>
      </c>
      <c r="T7713" s="77">
        <v>0.625</v>
      </c>
      <c r="V7713">
        <v>51.980000000000004</v>
      </c>
      <c r="X7713" s="42"/>
      <c r="AB7713">
        <v>51.1</v>
      </c>
      <c r="AC7713">
        <v>50</v>
      </c>
      <c r="AE7713" s="74"/>
      <c r="AF7713" s="77"/>
      <c r="AH7713" s="497">
        <v>48.2</v>
      </c>
      <c r="AJ7713" s="42"/>
      <c r="AK7713" s="74"/>
      <c r="AL7713" s="77"/>
      <c r="AN7713" s="497">
        <v>44.96</v>
      </c>
      <c r="AP7713" s="42"/>
      <c r="AQ7713" s="74"/>
      <c r="AR7713" s="77"/>
      <c r="AT7713" s="497">
        <v>48.019999999999996</v>
      </c>
      <c r="AV7713" s="42"/>
      <c r="AW7713" s="74"/>
      <c r="AX7713" s="77"/>
      <c r="BA7713" s="497">
        <v>64.94</v>
      </c>
      <c r="BB7713" s="42"/>
      <c r="BC7713" s="74"/>
      <c r="BD7713" s="77"/>
      <c r="BF7713">
        <v>42.08</v>
      </c>
      <c r="BH7713" s="42"/>
      <c r="BI7713" s="74"/>
      <c r="BJ7713" s="77"/>
      <c r="BL7713" s="497">
        <v>42.08</v>
      </c>
      <c r="BN7713" s="42"/>
      <c r="BO7713" s="74"/>
      <c r="BP7713" s="77"/>
      <c r="BR7713" s="497">
        <v>66.92</v>
      </c>
      <c r="BT7713" s="42"/>
    </row>
    <row r="7714" spans="1:72" x14ac:dyDescent="0.25">
      <c r="A7714" s="90">
        <v>36847</v>
      </c>
      <c r="B7714" s="20">
        <v>0.66666666666666663</v>
      </c>
      <c r="D7714">
        <v>53.96</v>
      </c>
      <c r="E7714" t="str">
        <f t="shared" si="276"/>
        <v>WEEKDAY</v>
      </c>
      <c r="F7714" t="e">
        <f t="shared" si="275"/>
        <v>#N/A</v>
      </c>
      <c r="G7714" s="74">
        <v>28811</v>
      </c>
      <c r="H7714" s="77">
        <v>0.66666666666666663</v>
      </c>
      <c r="J7714">
        <v>51.980000000000004</v>
      </c>
      <c r="M7714" s="74">
        <v>36116</v>
      </c>
      <c r="N7714" s="77">
        <v>0.66666666666666663</v>
      </c>
      <c r="P7714">
        <v>44.6</v>
      </c>
      <c r="S7714" s="74">
        <v>36847</v>
      </c>
      <c r="T7714" s="77">
        <v>0.66666666666666663</v>
      </c>
      <c r="V7714">
        <v>50</v>
      </c>
      <c r="X7714" s="42"/>
      <c r="AB7714">
        <v>50.7</v>
      </c>
      <c r="AC7714">
        <v>48.019999999999996</v>
      </c>
      <c r="AE7714" s="74"/>
      <c r="AF7714" s="77"/>
      <c r="AH7714" s="497">
        <v>46.4</v>
      </c>
      <c r="AJ7714" s="42"/>
      <c r="AK7714" s="74"/>
      <c r="AL7714" s="77"/>
      <c r="AN7714" s="497">
        <v>42.980000000000004</v>
      </c>
      <c r="AP7714" s="42"/>
      <c r="AQ7714" s="74"/>
      <c r="AR7714" s="77"/>
      <c r="AT7714" s="497">
        <v>48.019999999999996</v>
      </c>
      <c r="AV7714" s="42"/>
      <c r="AW7714" s="74"/>
      <c r="AX7714" s="77"/>
      <c r="BA7714" s="497">
        <v>64.94</v>
      </c>
      <c r="BB7714" s="42"/>
      <c r="BC7714" s="74"/>
      <c r="BD7714" s="77"/>
      <c r="BF7714">
        <v>41</v>
      </c>
      <c r="BH7714" s="42"/>
      <c r="BI7714" s="74"/>
      <c r="BJ7714" s="77"/>
      <c r="BL7714" s="497">
        <v>42.08</v>
      </c>
      <c r="BN7714" s="42"/>
      <c r="BO7714" s="74"/>
      <c r="BP7714" s="77"/>
      <c r="BR7714" s="497">
        <v>66.02</v>
      </c>
      <c r="BT7714" s="42"/>
    </row>
    <row r="7715" spans="1:72" x14ac:dyDescent="0.25">
      <c r="A7715" s="90">
        <v>36847</v>
      </c>
      <c r="B7715" s="20">
        <v>0.70833333333333337</v>
      </c>
      <c r="D7715">
        <v>55.040000000000006</v>
      </c>
      <c r="E7715" t="str">
        <f t="shared" si="276"/>
        <v>WEEKDAY</v>
      </c>
      <c r="F7715" t="e">
        <f t="shared" si="275"/>
        <v>#N/A</v>
      </c>
      <c r="G7715" s="74">
        <v>28811</v>
      </c>
      <c r="H7715" s="77">
        <v>0.70833333333333337</v>
      </c>
      <c r="J7715">
        <v>53.96</v>
      </c>
      <c r="M7715" s="74">
        <v>36116</v>
      </c>
      <c r="N7715" s="77">
        <v>0.70833333333333337</v>
      </c>
      <c r="P7715">
        <v>44.6</v>
      </c>
      <c r="S7715" s="74">
        <v>36847</v>
      </c>
      <c r="T7715" s="77">
        <v>0.70833333333333337</v>
      </c>
      <c r="V7715">
        <v>48.019999999999996</v>
      </c>
      <c r="X7715" s="42"/>
      <c r="AB7715">
        <v>49.8</v>
      </c>
      <c r="AC7715">
        <v>46.94</v>
      </c>
      <c r="AE7715" s="74"/>
      <c r="AF7715" s="77"/>
      <c r="AH7715" s="497">
        <v>42.8</v>
      </c>
      <c r="AJ7715" s="42"/>
      <c r="AK7715" s="74"/>
      <c r="AL7715" s="77"/>
      <c r="AN7715" s="497">
        <v>41</v>
      </c>
      <c r="AP7715" s="42"/>
      <c r="AQ7715" s="74"/>
      <c r="AR7715" s="77"/>
      <c r="AT7715" s="497">
        <v>46.94</v>
      </c>
      <c r="AV7715" s="42"/>
      <c r="AW7715" s="74"/>
      <c r="AX7715" s="77"/>
      <c r="BA7715" s="497">
        <v>66.02</v>
      </c>
      <c r="BB7715" s="42"/>
      <c r="BC7715" s="74"/>
      <c r="BD7715" s="77"/>
      <c r="BF7715">
        <v>42.08</v>
      </c>
      <c r="BH7715" s="42"/>
      <c r="BI7715" s="74"/>
      <c r="BJ7715" s="77"/>
      <c r="BL7715" s="497">
        <v>42.08</v>
      </c>
      <c r="BN7715" s="42"/>
      <c r="BO7715" s="74"/>
      <c r="BP7715" s="77"/>
      <c r="BR7715" s="497">
        <v>64.94</v>
      </c>
      <c r="BT7715" s="42"/>
    </row>
    <row r="7716" spans="1:72" x14ac:dyDescent="0.25">
      <c r="A7716" s="90">
        <v>36847</v>
      </c>
      <c r="B7716" s="20">
        <v>0.75</v>
      </c>
      <c r="D7716">
        <v>53.96</v>
      </c>
      <c r="E7716" t="str">
        <f t="shared" si="276"/>
        <v>WEEKDAY</v>
      </c>
      <c r="F7716" t="e">
        <f t="shared" si="275"/>
        <v>#N/A</v>
      </c>
      <c r="G7716" s="74">
        <v>28811</v>
      </c>
      <c r="H7716" s="77">
        <v>0.75</v>
      </c>
      <c r="J7716">
        <v>57.019999999999996</v>
      </c>
      <c r="M7716" s="74">
        <v>36116</v>
      </c>
      <c r="N7716" s="77">
        <v>0.75</v>
      </c>
      <c r="P7716">
        <v>44.6</v>
      </c>
      <c r="S7716" s="74">
        <v>36847</v>
      </c>
      <c r="T7716" s="77">
        <v>0.75</v>
      </c>
      <c r="V7716">
        <v>46.04</v>
      </c>
      <c r="X7716" s="42"/>
      <c r="AB7716">
        <v>48.4</v>
      </c>
      <c r="AC7716">
        <v>46.04</v>
      </c>
      <c r="AE7716" s="74"/>
      <c r="AF7716" s="77"/>
      <c r="AH7716" s="497">
        <v>37.4</v>
      </c>
      <c r="AJ7716" s="42"/>
      <c r="AK7716" s="74"/>
      <c r="AL7716" s="77"/>
      <c r="AN7716" s="497">
        <v>37.94</v>
      </c>
      <c r="AP7716" s="42"/>
      <c r="AQ7716" s="74"/>
      <c r="AR7716" s="77"/>
      <c r="AT7716" s="497">
        <v>46.04</v>
      </c>
      <c r="AV7716" s="42"/>
      <c r="AW7716" s="74"/>
      <c r="AX7716" s="77"/>
      <c r="BA7716" s="497">
        <v>64.94</v>
      </c>
      <c r="BB7716" s="42"/>
      <c r="BC7716" s="74"/>
      <c r="BD7716" s="77"/>
      <c r="BF7716">
        <v>42.08</v>
      </c>
      <c r="BH7716" s="42"/>
      <c r="BI7716" s="74"/>
      <c r="BJ7716" s="77"/>
      <c r="BL7716" s="497">
        <v>42.08</v>
      </c>
      <c r="BN7716" s="42"/>
      <c r="BO7716" s="74"/>
      <c r="BP7716" s="77"/>
      <c r="BR7716" s="497">
        <v>66.02</v>
      </c>
      <c r="BT7716" s="42"/>
    </row>
    <row r="7717" spans="1:72" x14ac:dyDescent="0.25">
      <c r="A7717" s="90">
        <v>36847</v>
      </c>
      <c r="B7717" s="20">
        <v>0.79166666666666663</v>
      </c>
      <c r="D7717">
        <v>55.040000000000006</v>
      </c>
      <c r="E7717" t="str">
        <f t="shared" si="276"/>
        <v>WEEKDAY</v>
      </c>
      <c r="F7717" t="e">
        <f t="shared" si="275"/>
        <v>#N/A</v>
      </c>
      <c r="G7717" s="74">
        <v>28811</v>
      </c>
      <c r="H7717" s="77">
        <v>0.79166666666666663</v>
      </c>
      <c r="J7717">
        <v>59</v>
      </c>
      <c r="M7717" s="74">
        <v>36116</v>
      </c>
      <c r="N7717" s="77">
        <v>0.79166666666666663</v>
      </c>
      <c r="P7717">
        <v>44.6</v>
      </c>
      <c r="S7717" s="74">
        <v>36847</v>
      </c>
      <c r="T7717" s="77">
        <v>0.79166666666666663</v>
      </c>
      <c r="V7717">
        <v>46.04</v>
      </c>
      <c r="X7717" s="42"/>
      <c r="AB7717">
        <v>47.8</v>
      </c>
      <c r="AC7717">
        <v>46.04</v>
      </c>
      <c r="AE7717" s="74"/>
      <c r="AF7717" s="77"/>
      <c r="AH7717" s="497">
        <v>33.799999999999997</v>
      </c>
      <c r="AJ7717" s="42"/>
      <c r="AK7717" s="74"/>
      <c r="AL7717" s="77"/>
      <c r="AN7717" s="497">
        <v>37.04</v>
      </c>
      <c r="AP7717" s="42"/>
      <c r="AQ7717" s="74"/>
      <c r="AR7717" s="77"/>
      <c r="AT7717" s="497">
        <v>44.96</v>
      </c>
      <c r="AV7717" s="42"/>
      <c r="AW7717" s="74"/>
      <c r="AX7717" s="77"/>
      <c r="BA7717" s="497">
        <v>64.94</v>
      </c>
      <c r="BB7717" s="42"/>
      <c r="BC7717" s="74"/>
      <c r="BD7717" s="77"/>
      <c r="BF7717">
        <v>42.08</v>
      </c>
      <c r="BH7717" s="42"/>
      <c r="BI7717" s="74"/>
      <c r="BJ7717" s="77"/>
      <c r="BL7717" s="497">
        <v>41</v>
      </c>
      <c r="BN7717" s="42"/>
      <c r="BO7717" s="74"/>
      <c r="BP7717" s="77"/>
      <c r="BR7717" s="497">
        <v>66.02</v>
      </c>
      <c r="BT7717" s="42"/>
    </row>
    <row r="7718" spans="1:72" x14ac:dyDescent="0.25">
      <c r="A7718" s="90">
        <v>36847</v>
      </c>
      <c r="B7718" s="20">
        <v>0.83333333333333337</v>
      </c>
      <c r="D7718">
        <v>55.94</v>
      </c>
      <c r="E7718" t="str">
        <f t="shared" si="276"/>
        <v>WEEKDAY</v>
      </c>
      <c r="F7718" t="e">
        <f t="shared" si="275"/>
        <v>#N/A</v>
      </c>
      <c r="G7718" s="74">
        <v>28811</v>
      </c>
      <c r="H7718" s="77">
        <v>0.83333333333333337</v>
      </c>
      <c r="J7718">
        <v>60.980000000000004</v>
      </c>
      <c r="M7718" s="74">
        <v>36116</v>
      </c>
      <c r="N7718" s="77">
        <v>0.83333333333333337</v>
      </c>
      <c r="P7718">
        <v>44.6</v>
      </c>
      <c r="S7718" s="74">
        <v>36847</v>
      </c>
      <c r="T7718" s="77">
        <v>0.83333333333333337</v>
      </c>
      <c r="V7718">
        <v>44.06</v>
      </c>
      <c r="X7718" s="42"/>
      <c r="AB7718">
        <v>47.5</v>
      </c>
      <c r="AC7718">
        <v>46.04</v>
      </c>
      <c r="AE7718" s="74"/>
      <c r="AF7718" s="77"/>
      <c r="AH7718" s="497">
        <v>32</v>
      </c>
      <c r="AJ7718" s="42"/>
      <c r="AK7718" s="74"/>
      <c r="AL7718" s="77"/>
      <c r="AN7718" s="497">
        <v>37.04</v>
      </c>
      <c r="AP7718" s="42"/>
      <c r="AQ7718" s="74"/>
      <c r="AR7718" s="77"/>
      <c r="AT7718" s="497">
        <v>44.96</v>
      </c>
      <c r="AV7718" s="42"/>
      <c r="AW7718" s="74"/>
      <c r="AX7718" s="77"/>
      <c r="BA7718" s="497">
        <v>64.039999999999992</v>
      </c>
      <c r="BB7718" s="42"/>
      <c r="BC7718" s="74"/>
      <c r="BD7718" s="77"/>
      <c r="BF7718">
        <v>42.980000000000004</v>
      </c>
      <c r="BH7718" s="42"/>
      <c r="BI7718" s="74"/>
      <c r="BJ7718" s="77"/>
      <c r="BL7718" s="497">
        <v>42.08</v>
      </c>
      <c r="BN7718" s="42"/>
      <c r="BO7718" s="74"/>
      <c r="BP7718" s="77"/>
      <c r="BR7718" s="497">
        <v>62.06</v>
      </c>
      <c r="BT7718" s="42"/>
    </row>
    <row r="7719" spans="1:72" x14ac:dyDescent="0.25">
      <c r="A7719" s="90">
        <v>36847</v>
      </c>
      <c r="B7719" s="20">
        <v>0.875</v>
      </c>
      <c r="D7719">
        <v>55.040000000000006</v>
      </c>
      <c r="E7719" t="str">
        <f t="shared" si="276"/>
        <v>WEEKDAY</v>
      </c>
      <c r="F7719" t="e">
        <f t="shared" si="275"/>
        <v>#N/A</v>
      </c>
      <c r="G7719" s="74">
        <v>28811</v>
      </c>
      <c r="H7719" s="77">
        <v>0.875</v>
      </c>
      <c r="J7719">
        <v>62.06</v>
      </c>
      <c r="M7719" s="74">
        <v>36116</v>
      </c>
      <c r="N7719" s="77">
        <v>0.875</v>
      </c>
      <c r="P7719">
        <v>44.6</v>
      </c>
      <c r="S7719" s="74">
        <v>36847</v>
      </c>
      <c r="T7719" s="77">
        <v>0.875</v>
      </c>
      <c r="V7719">
        <v>44.06</v>
      </c>
      <c r="X7719" s="42"/>
      <c r="AB7719">
        <v>46.9</v>
      </c>
      <c r="AC7719">
        <v>46.04</v>
      </c>
      <c r="AE7719" s="74"/>
      <c r="AF7719" s="77"/>
      <c r="AH7719" s="497">
        <v>30.2</v>
      </c>
      <c r="AJ7719" s="42"/>
      <c r="AK7719" s="74"/>
      <c r="AL7719" s="77"/>
      <c r="AN7719" s="497">
        <v>33.979999999999997</v>
      </c>
      <c r="AP7719" s="42"/>
      <c r="AQ7719" s="74"/>
      <c r="AR7719" s="77"/>
      <c r="AT7719" s="497">
        <v>44.96</v>
      </c>
      <c r="AV7719" s="42"/>
      <c r="AW7719" s="74"/>
      <c r="AX7719" s="77"/>
      <c r="BA7719" s="497">
        <v>64.039999999999992</v>
      </c>
      <c r="BB7719" s="42"/>
      <c r="BC7719" s="74"/>
      <c r="BD7719" s="77"/>
      <c r="BF7719">
        <v>42.980000000000004</v>
      </c>
      <c r="BH7719" s="42"/>
      <c r="BI7719" s="74"/>
      <c r="BJ7719" s="77"/>
      <c r="BL7719" s="497">
        <v>42.980000000000004</v>
      </c>
      <c r="BN7719" s="42"/>
      <c r="BO7719" s="74"/>
      <c r="BP7719" s="77"/>
      <c r="BR7719" s="497">
        <v>59</v>
      </c>
      <c r="BT7719" s="42"/>
    </row>
    <row r="7720" spans="1:72" x14ac:dyDescent="0.25">
      <c r="A7720" s="90">
        <v>36847</v>
      </c>
      <c r="B7720" s="20">
        <v>0.91666666666666663</v>
      </c>
      <c r="D7720">
        <v>53.96</v>
      </c>
      <c r="E7720" t="str">
        <f t="shared" si="276"/>
        <v>WEEKDAY</v>
      </c>
      <c r="F7720" t="e">
        <f t="shared" si="275"/>
        <v>#N/A</v>
      </c>
      <c r="G7720" s="74">
        <v>28811</v>
      </c>
      <c r="H7720" s="77">
        <v>0.91666666666666663</v>
      </c>
      <c r="J7720">
        <v>60.980000000000004</v>
      </c>
      <c r="M7720" s="74">
        <v>36116</v>
      </c>
      <c r="N7720" s="77">
        <v>0.91666666666666663</v>
      </c>
      <c r="P7720">
        <v>42.8</v>
      </c>
      <c r="S7720" s="74">
        <v>36847</v>
      </c>
      <c r="T7720" s="77">
        <v>0.91666666666666663</v>
      </c>
      <c r="V7720">
        <v>42.08</v>
      </c>
      <c r="X7720" s="42"/>
      <c r="AB7720">
        <v>46.3</v>
      </c>
      <c r="AC7720">
        <v>44.96</v>
      </c>
      <c r="AE7720" s="74"/>
      <c r="AF7720" s="77"/>
      <c r="AH7720" s="497">
        <v>30.2</v>
      </c>
      <c r="AJ7720" s="42"/>
      <c r="AK7720" s="74"/>
      <c r="AL7720" s="77"/>
      <c r="AN7720" s="497">
        <v>35.96</v>
      </c>
      <c r="AP7720" s="42"/>
      <c r="AQ7720" s="74"/>
      <c r="AR7720" s="77"/>
      <c r="AT7720" s="497">
        <v>44.06</v>
      </c>
      <c r="AV7720" s="42"/>
      <c r="AW7720" s="74"/>
      <c r="AX7720" s="77"/>
      <c r="BA7720" s="497">
        <v>62.96</v>
      </c>
      <c r="BB7720" s="42"/>
      <c r="BC7720" s="74"/>
      <c r="BD7720" s="77"/>
      <c r="BF7720">
        <v>42.980000000000004</v>
      </c>
      <c r="BH7720" s="42"/>
      <c r="BI7720" s="74"/>
      <c r="BJ7720" s="77"/>
      <c r="BL7720" s="497">
        <v>42.08</v>
      </c>
      <c r="BN7720" s="42"/>
      <c r="BO7720" s="74"/>
      <c r="BP7720" s="77"/>
      <c r="BR7720" s="497">
        <v>57.92</v>
      </c>
      <c r="BT7720" s="42"/>
    </row>
    <row r="7721" spans="1:72" x14ac:dyDescent="0.25">
      <c r="A7721" s="90">
        <v>36847</v>
      </c>
      <c r="B7721" s="20">
        <v>0.95833333333333337</v>
      </c>
      <c r="D7721">
        <v>53.06</v>
      </c>
      <c r="E7721" t="str">
        <f t="shared" si="276"/>
        <v>WEEKDAY</v>
      </c>
      <c r="F7721" t="e">
        <f t="shared" si="275"/>
        <v>#N/A</v>
      </c>
      <c r="G7721" s="74">
        <v>28811</v>
      </c>
      <c r="H7721" s="77">
        <v>0.95833333333333337</v>
      </c>
      <c r="J7721">
        <v>60.08</v>
      </c>
      <c r="M7721" s="74">
        <v>36116</v>
      </c>
      <c r="N7721" s="77">
        <v>0.95833333333333337</v>
      </c>
      <c r="P7721">
        <v>42.8</v>
      </c>
      <c r="S7721" s="74">
        <v>36847</v>
      </c>
      <c r="T7721" s="77">
        <v>0.95833333333333337</v>
      </c>
      <c r="V7721">
        <v>41</v>
      </c>
      <c r="X7721" s="42"/>
      <c r="AB7721">
        <v>45.7</v>
      </c>
      <c r="AC7721">
        <v>44.96</v>
      </c>
      <c r="AE7721" s="74"/>
      <c r="AF7721" s="77"/>
      <c r="AH7721" s="497">
        <v>28.4</v>
      </c>
      <c r="AJ7721" s="42"/>
      <c r="AK7721" s="74"/>
      <c r="AL7721" s="77"/>
      <c r="AN7721" s="497">
        <v>35.06</v>
      </c>
      <c r="AP7721" s="42"/>
      <c r="AQ7721" s="74"/>
      <c r="AR7721" s="77"/>
      <c r="AT7721" s="497">
        <v>44.06</v>
      </c>
      <c r="AV7721" s="42"/>
      <c r="AW7721" s="74"/>
      <c r="AX7721" s="77"/>
      <c r="BA7721" s="497">
        <v>64.94</v>
      </c>
      <c r="BB7721" s="42"/>
      <c r="BC7721" s="74"/>
      <c r="BD7721" s="77"/>
      <c r="BF7721">
        <v>41</v>
      </c>
      <c r="BH7721" s="42"/>
      <c r="BI7721" s="74"/>
      <c r="BJ7721" s="77"/>
      <c r="BL7721" s="497">
        <v>42.08</v>
      </c>
      <c r="BN7721" s="42"/>
      <c r="BO7721" s="74"/>
      <c r="BP7721" s="77"/>
      <c r="BR7721" s="497">
        <v>57.019999999999996</v>
      </c>
      <c r="BT7721" s="42"/>
    </row>
    <row r="7722" spans="1:72" x14ac:dyDescent="0.25">
      <c r="A7722" s="90">
        <v>36847</v>
      </c>
      <c r="B7722" s="20">
        <v>1</v>
      </c>
      <c r="D7722">
        <v>53.06</v>
      </c>
      <c r="E7722" t="str">
        <f t="shared" si="276"/>
        <v>WEEKDAY</v>
      </c>
      <c r="F7722" t="e">
        <f t="shared" si="275"/>
        <v>#N/A</v>
      </c>
      <c r="G7722" s="74">
        <v>28811</v>
      </c>
      <c r="H7722" s="77">
        <v>1</v>
      </c>
      <c r="J7722">
        <v>60.980000000000004</v>
      </c>
      <c r="M7722" s="74">
        <v>36116</v>
      </c>
      <c r="N7722" s="80">
        <v>1</v>
      </c>
      <c r="P7722">
        <v>42.8</v>
      </c>
      <c r="S7722" s="74">
        <v>36847</v>
      </c>
      <c r="T7722" s="80">
        <v>1</v>
      </c>
      <c r="V7722">
        <v>39.92</v>
      </c>
      <c r="X7722" s="42"/>
      <c r="AB7722">
        <v>45.2</v>
      </c>
      <c r="AC7722">
        <v>44.96</v>
      </c>
      <c r="AE7722" s="74"/>
      <c r="AF7722" s="80"/>
      <c r="AH7722" s="497">
        <v>28.4</v>
      </c>
      <c r="AJ7722" s="42"/>
      <c r="AK7722" s="74"/>
      <c r="AL7722" s="80"/>
      <c r="AN7722" s="497">
        <v>33.979999999999997</v>
      </c>
      <c r="AP7722" s="42"/>
      <c r="AQ7722" s="74"/>
      <c r="AR7722" s="80"/>
      <c r="AT7722" s="497">
        <v>44.06</v>
      </c>
      <c r="AV7722" s="42"/>
      <c r="AW7722" s="74"/>
      <c r="AX7722" s="80"/>
      <c r="BA7722" s="497">
        <v>64.039999999999992</v>
      </c>
      <c r="BB7722" s="42"/>
      <c r="BC7722" s="74"/>
      <c r="BD7722" s="80"/>
      <c r="BF7722">
        <v>39.019999999999996</v>
      </c>
      <c r="BH7722" s="42"/>
      <c r="BI7722" s="74"/>
      <c r="BJ7722" s="80"/>
      <c r="BL7722" s="497">
        <v>41</v>
      </c>
      <c r="BN7722" s="42"/>
      <c r="BO7722" s="74"/>
      <c r="BP7722" s="80"/>
      <c r="BR7722" s="497">
        <v>57.019999999999996</v>
      </c>
      <c r="BT7722" s="42"/>
    </row>
    <row r="7723" spans="1:72" x14ac:dyDescent="0.25">
      <c r="A7723" s="90">
        <v>36848</v>
      </c>
      <c r="B7723" s="20">
        <v>4.1666666666666664E-2</v>
      </c>
      <c r="D7723">
        <v>53.06</v>
      </c>
      <c r="E7723" t="str">
        <f t="shared" si="276"/>
        <v>SATURDAY</v>
      </c>
      <c r="F7723" t="e">
        <f t="shared" ref="F7723:F7786" si="277">IF(E7723="WEEKDAY",VLOOKUP(B7723,$DD$19:$DG$42,2),IF(E7723="SATURDAY",VLOOKUP(B7723,$DD$19:$DG$42,3),VLOOKUP(B7723,$DD$19:$DG$42,4)))</f>
        <v>#N/A</v>
      </c>
      <c r="G7723" s="74">
        <v>28812</v>
      </c>
      <c r="H7723" s="77">
        <v>4.1666666666666664E-2</v>
      </c>
      <c r="J7723">
        <v>60.980000000000004</v>
      </c>
      <c r="M7723" s="74">
        <v>36117</v>
      </c>
      <c r="N7723" s="77">
        <v>4.1666666666666664E-2</v>
      </c>
      <c r="P7723">
        <v>39.200000000000003</v>
      </c>
      <c r="S7723" s="74">
        <v>36848</v>
      </c>
      <c r="T7723" s="77">
        <v>4.1666666666666664E-2</v>
      </c>
      <c r="V7723">
        <v>39.019999999999996</v>
      </c>
      <c r="X7723" s="42"/>
      <c r="AB7723">
        <v>44.6</v>
      </c>
      <c r="AC7723">
        <v>44.96</v>
      </c>
      <c r="AE7723" s="74"/>
      <c r="AF7723" s="77"/>
      <c r="AH7723" s="497">
        <v>26.6</v>
      </c>
      <c r="AJ7723" s="42"/>
      <c r="AK7723" s="74"/>
      <c r="AL7723" s="77"/>
      <c r="AN7723" s="497">
        <v>33.08</v>
      </c>
      <c r="AP7723" s="42"/>
      <c r="AQ7723" s="74"/>
      <c r="AR7723" s="77"/>
      <c r="AT7723" s="497">
        <v>42.980000000000004</v>
      </c>
      <c r="AV7723" s="42"/>
      <c r="AW7723" s="74"/>
      <c r="AX7723" s="77"/>
      <c r="BA7723" s="497">
        <v>59</v>
      </c>
      <c r="BB7723" s="42"/>
      <c r="BC7723" s="74"/>
      <c r="BD7723" s="77"/>
      <c r="BF7723">
        <v>37.94</v>
      </c>
      <c r="BH7723" s="42"/>
      <c r="BI7723" s="74"/>
      <c r="BJ7723" s="77"/>
      <c r="BL7723" s="497">
        <v>39.019999999999996</v>
      </c>
      <c r="BN7723" s="42"/>
      <c r="BO7723" s="74"/>
      <c r="BP7723" s="77"/>
      <c r="BR7723" s="497">
        <v>55.94</v>
      </c>
      <c r="BT7723" s="42"/>
    </row>
    <row r="7724" spans="1:72" x14ac:dyDescent="0.25">
      <c r="A7724" s="90">
        <v>36848</v>
      </c>
      <c r="B7724" s="20">
        <v>8.3333333333333329E-2</v>
      </c>
      <c r="D7724">
        <v>51.980000000000004</v>
      </c>
      <c r="E7724" t="str">
        <f t="shared" si="276"/>
        <v>SATURDAY</v>
      </c>
      <c r="F7724" t="e">
        <f t="shared" si="277"/>
        <v>#N/A</v>
      </c>
      <c r="G7724" s="74">
        <v>28812</v>
      </c>
      <c r="H7724" s="77">
        <v>8.3333333333333329E-2</v>
      </c>
      <c r="J7724">
        <v>60.08</v>
      </c>
      <c r="M7724" s="74">
        <v>36117</v>
      </c>
      <c r="N7724" s="77">
        <v>8.3333333333333329E-2</v>
      </c>
      <c r="P7724">
        <v>39.200000000000003</v>
      </c>
      <c r="S7724" s="74">
        <v>36848</v>
      </c>
      <c r="T7724" s="77">
        <v>8.3333333333333329E-2</v>
      </c>
      <c r="V7724">
        <v>39.019999999999996</v>
      </c>
      <c r="X7724" s="42"/>
      <c r="AB7724">
        <v>44</v>
      </c>
      <c r="AC7724">
        <v>44.96</v>
      </c>
      <c r="AE7724" s="74"/>
      <c r="AF7724" s="77"/>
      <c r="AH7724" s="497">
        <v>26.6</v>
      </c>
      <c r="AJ7724" s="42"/>
      <c r="AK7724" s="74"/>
      <c r="AL7724" s="77"/>
      <c r="AN7724" s="497">
        <v>32</v>
      </c>
      <c r="AP7724" s="42"/>
      <c r="AQ7724" s="74"/>
      <c r="AR7724" s="77"/>
      <c r="AT7724" s="497">
        <v>44.06</v>
      </c>
      <c r="AV7724" s="42"/>
      <c r="AW7724" s="74"/>
      <c r="AX7724" s="77"/>
      <c r="BA7724" s="497">
        <v>55.94</v>
      </c>
      <c r="BB7724" s="42"/>
      <c r="BC7724" s="74"/>
      <c r="BD7724" s="77"/>
      <c r="BF7724">
        <v>37.04</v>
      </c>
      <c r="BH7724" s="42"/>
      <c r="BI7724" s="74"/>
      <c r="BJ7724" s="77"/>
      <c r="BL7724" s="497">
        <v>39.019999999999996</v>
      </c>
      <c r="BN7724" s="42"/>
      <c r="BO7724" s="74"/>
      <c r="BP7724" s="77"/>
      <c r="BR7724" s="497">
        <v>59</v>
      </c>
      <c r="BT7724" s="42"/>
    </row>
    <row r="7725" spans="1:72" x14ac:dyDescent="0.25">
      <c r="A7725" s="90">
        <v>36848</v>
      </c>
      <c r="B7725" s="20">
        <v>0.125</v>
      </c>
      <c r="D7725">
        <v>51.980000000000004</v>
      </c>
      <c r="E7725" t="str">
        <f t="shared" si="276"/>
        <v>SATURDAY</v>
      </c>
      <c r="F7725" t="e">
        <f t="shared" si="277"/>
        <v>#N/A</v>
      </c>
      <c r="G7725" s="74">
        <v>28812</v>
      </c>
      <c r="H7725" s="77">
        <v>0.125</v>
      </c>
      <c r="J7725">
        <v>60.08</v>
      </c>
      <c r="M7725" s="74">
        <v>36117</v>
      </c>
      <c r="N7725" s="77">
        <v>0.125</v>
      </c>
      <c r="P7725">
        <v>39.200000000000003</v>
      </c>
      <c r="S7725" s="74">
        <v>36848</v>
      </c>
      <c r="T7725" s="77">
        <v>0.125</v>
      </c>
      <c r="V7725">
        <v>37.94</v>
      </c>
      <c r="X7725" s="42"/>
      <c r="AB7725">
        <v>43.7</v>
      </c>
      <c r="AC7725">
        <v>44.96</v>
      </c>
      <c r="AE7725" s="74"/>
      <c r="AF7725" s="77"/>
      <c r="AH7725" s="497">
        <v>26.6</v>
      </c>
      <c r="AJ7725" s="42"/>
      <c r="AK7725" s="74"/>
      <c r="AL7725" s="77"/>
      <c r="AN7725" s="497">
        <v>32</v>
      </c>
      <c r="AP7725" s="42"/>
      <c r="AQ7725" s="74"/>
      <c r="AR7725" s="77"/>
      <c r="AT7725" s="497">
        <v>42.980000000000004</v>
      </c>
      <c r="AV7725" s="42"/>
      <c r="AW7725" s="74"/>
      <c r="AX7725" s="77"/>
      <c r="BA7725" s="497">
        <v>57.019999999999996</v>
      </c>
      <c r="BB7725" s="42"/>
      <c r="BC7725" s="74"/>
      <c r="BD7725" s="77"/>
      <c r="BF7725">
        <v>37.04</v>
      </c>
      <c r="BH7725" s="42"/>
      <c r="BI7725" s="74"/>
      <c r="BJ7725" s="77"/>
      <c r="BL7725" s="497">
        <v>39.019999999999996</v>
      </c>
      <c r="BN7725" s="42"/>
      <c r="BO7725" s="74"/>
      <c r="BP7725" s="77"/>
      <c r="BR7725" s="497">
        <v>55.94</v>
      </c>
      <c r="BT7725" s="42"/>
    </row>
    <row r="7726" spans="1:72" x14ac:dyDescent="0.25">
      <c r="A7726" s="90">
        <v>36848</v>
      </c>
      <c r="B7726" s="20">
        <v>0.16666666666666666</v>
      </c>
      <c r="D7726">
        <v>51.980000000000004</v>
      </c>
      <c r="E7726" t="str">
        <f t="shared" si="276"/>
        <v>SATURDAY</v>
      </c>
      <c r="F7726" t="e">
        <f t="shared" si="277"/>
        <v>#N/A</v>
      </c>
      <c r="G7726" s="74">
        <v>28812</v>
      </c>
      <c r="H7726" s="77">
        <v>0.16666666666666666</v>
      </c>
      <c r="J7726">
        <v>62.06</v>
      </c>
      <c r="M7726" s="74">
        <v>36117</v>
      </c>
      <c r="N7726" s="77">
        <v>0.16666666666666666</v>
      </c>
      <c r="P7726">
        <v>37.4</v>
      </c>
      <c r="S7726" s="74">
        <v>36848</v>
      </c>
      <c r="T7726" s="77">
        <v>0.16666666666666666</v>
      </c>
      <c r="V7726">
        <v>37.94</v>
      </c>
      <c r="X7726" s="42"/>
      <c r="AB7726">
        <v>43.3</v>
      </c>
      <c r="AC7726">
        <v>44.96</v>
      </c>
      <c r="AE7726" s="74"/>
      <c r="AF7726" s="77"/>
      <c r="AH7726" s="497">
        <v>26.6</v>
      </c>
      <c r="AJ7726" s="42"/>
      <c r="AK7726" s="74"/>
      <c r="AL7726" s="77"/>
      <c r="AN7726" s="497">
        <v>32</v>
      </c>
      <c r="AP7726" s="42"/>
      <c r="AQ7726" s="74"/>
      <c r="AR7726" s="77"/>
      <c r="AT7726" s="497">
        <v>42.980000000000004</v>
      </c>
      <c r="AV7726" s="42"/>
      <c r="AW7726" s="74"/>
      <c r="AX7726" s="77"/>
      <c r="BA7726" s="497">
        <v>57.019999999999996</v>
      </c>
      <c r="BB7726" s="42"/>
      <c r="BC7726" s="74"/>
      <c r="BD7726" s="77"/>
      <c r="BF7726">
        <v>35.96</v>
      </c>
      <c r="BH7726" s="42"/>
      <c r="BI7726" s="74"/>
      <c r="BJ7726" s="77"/>
      <c r="BL7726" s="497">
        <v>37.94</v>
      </c>
      <c r="BN7726" s="42"/>
      <c r="BO7726" s="74"/>
      <c r="BP7726" s="77"/>
      <c r="BR7726" s="497">
        <v>55.040000000000006</v>
      </c>
      <c r="BT7726" s="42"/>
    </row>
    <row r="7727" spans="1:72" x14ac:dyDescent="0.25">
      <c r="A7727" s="90">
        <v>36848</v>
      </c>
      <c r="B7727" s="20">
        <v>0.20833333333333334</v>
      </c>
      <c r="D7727">
        <v>51.08</v>
      </c>
      <c r="E7727" t="str">
        <f t="shared" si="276"/>
        <v>SATURDAY</v>
      </c>
      <c r="F7727" t="e">
        <f t="shared" si="277"/>
        <v>#N/A</v>
      </c>
      <c r="G7727" s="74">
        <v>28812</v>
      </c>
      <c r="H7727" s="77">
        <v>0.20833333333333334</v>
      </c>
      <c r="J7727">
        <v>62.06</v>
      </c>
      <c r="M7727" s="74">
        <v>36117</v>
      </c>
      <c r="N7727" s="77">
        <v>0.20833333333333334</v>
      </c>
      <c r="P7727">
        <v>37.4</v>
      </c>
      <c r="S7727" s="74">
        <v>36848</v>
      </c>
      <c r="T7727" s="77">
        <v>0.20833333333333334</v>
      </c>
      <c r="V7727">
        <v>37.04</v>
      </c>
      <c r="X7727" s="42"/>
      <c r="AB7727">
        <v>43</v>
      </c>
      <c r="AC7727">
        <v>44.96</v>
      </c>
      <c r="AE7727" s="74"/>
      <c r="AF7727" s="77"/>
      <c r="AH7727" s="497">
        <v>26.6</v>
      </c>
      <c r="AJ7727" s="42"/>
      <c r="AK7727" s="74"/>
      <c r="AL7727" s="77"/>
      <c r="AN7727" s="497">
        <v>33.08</v>
      </c>
      <c r="AP7727" s="42"/>
      <c r="AQ7727" s="74"/>
      <c r="AR7727" s="77"/>
      <c r="AT7727" s="497">
        <v>37.94</v>
      </c>
      <c r="AV7727" s="42"/>
      <c r="AW7727" s="74"/>
      <c r="AX7727" s="77"/>
      <c r="BA7727" s="497">
        <v>57.019999999999996</v>
      </c>
      <c r="BB7727" s="42"/>
      <c r="BC7727" s="74"/>
      <c r="BD7727" s="77"/>
      <c r="BF7727">
        <v>35.06</v>
      </c>
      <c r="BH7727" s="42"/>
      <c r="BI7727" s="74"/>
      <c r="BJ7727" s="77"/>
      <c r="BL7727" s="497">
        <v>37.04</v>
      </c>
      <c r="BN7727" s="42"/>
      <c r="BO7727" s="74"/>
      <c r="BP7727" s="77"/>
      <c r="BR7727" s="497">
        <v>55.94</v>
      </c>
      <c r="BT7727" s="42"/>
    </row>
    <row r="7728" spans="1:72" x14ac:dyDescent="0.25">
      <c r="A7728" s="90">
        <v>36848</v>
      </c>
      <c r="B7728" s="20">
        <v>0.25</v>
      </c>
      <c r="D7728">
        <v>51.08</v>
      </c>
      <c r="E7728" t="str">
        <f t="shared" si="276"/>
        <v>SATURDAY</v>
      </c>
      <c r="F7728" t="e">
        <f t="shared" si="277"/>
        <v>#N/A</v>
      </c>
      <c r="G7728" s="74">
        <v>28812</v>
      </c>
      <c r="H7728" s="77">
        <v>0.25</v>
      </c>
      <c r="J7728">
        <v>62.96</v>
      </c>
      <c r="M7728" s="74">
        <v>36117</v>
      </c>
      <c r="N7728" s="77">
        <v>0.25</v>
      </c>
      <c r="P7728">
        <v>37.4</v>
      </c>
      <c r="S7728" s="74">
        <v>36848</v>
      </c>
      <c r="T7728" s="77">
        <v>0.25</v>
      </c>
      <c r="V7728">
        <v>37.04</v>
      </c>
      <c r="X7728" s="42"/>
      <c r="AB7728">
        <v>42.7</v>
      </c>
      <c r="AC7728">
        <v>44.96</v>
      </c>
      <c r="AE7728" s="74"/>
      <c r="AF7728" s="77"/>
      <c r="AH7728" s="497">
        <v>26.6</v>
      </c>
      <c r="AJ7728" s="42"/>
      <c r="AK7728" s="74"/>
      <c r="AL7728" s="77"/>
      <c r="AN7728" s="497">
        <v>33.08</v>
      </c>
      <c r="AP7728" s="42"/>
      <c r="AQ7728" s="74"/>
      <c r="AR7728" s="77"/>
      <c r="AT7728" s="497">
        <v>35.06</v>
      </c>
      <c r="AV7728" s="42"/>
      <c r="AW7728" s="74"/>
      <c r="AX7728" s="77"/>
      <c r="BA7728" s="497">
        <v>55.94</v>
      </c>
      <c r="BB7728" s="42"/>
      <c r="BC7728" s="74"/>
      <c r="BD7728" s="77"/>
      <c r="BF7728">
        <v>33.979999999999997</v>
      </c>
      <c r="BH7728" s="42"/>
      <c r="BI7728" s="74"/>
      <c r="BJ7728" s="77"/>
      <c r="BL7728" s="497">
        <v>37.04</v>
      </c>
      <c r="BN7728" s="42"/>
      <c r="BO7728" s="74"/>
      <c r="BP7728" s="77"/>
      <c r="BR7728" s="497">
        <v>55.040000000000006</v>
      </c>
      <c r="BT7728" s="42"/>
    </row>
    <row r="7729" spans="1:72" x14ac:dyDescent="0.25">
      <c r="A7729" s="90">
        <v>36848</v>
      </c>
      <c r="B7729" s="20">
        <v>0.29166666666666669</v>
      </c>
      <c r="D7729">
        <v>53.06</v>
      </c>
      <c r="E7729" t="str">
        <f t="shared" si="276"/>
        <v>SATURDAY</v>
      </c>
      <c r="F7729" t="e">
        <f t="shared" si="277"/>
        <v>#N/A</v>
      </c>
      <c r="G7729" s="74">
        <v>28812</v>
      </c>
      <c r="H7729" s="77">
        <v>0.29166666666666669</v>
      </c>
      <c r="J7729">
        <v>64.039999999999992</v>
      </c>
      <c r="M7729" s="74">
        <v>36117</v>
      </c>
      <c r="N7729" s="77">
        <v>0.29166666666666669</v>
      </c>
      <c r="P7729">
        <v>35.6</v>
      </c>
      <c r="S7729" s="74">
        <v>36848</v>
      </c>
      <c r="T7729" s="77">
        <v>0.29166666666666669</v>
      </c>
      <c r="V7729">
        <v>37.04</v>
      </c>
      <c r="X7729" s="42"/>
      <c r="AB7729">
        <v>42.6</v>
      </c>
      <c r="AC7729">
        <v>44.96</v>
      </c>
      <c r="AE7729" s="74"/>
      <c r="AF7729" s="77"/>
      <c r="AH7729" s="497">
        <v>26.6</v>
      </c>
      <c r="AJ7729" s="42"/>
      <c r="AK7729" s="74"/>
      <c r="AL7729" s="77"/>
      <c r="AN7729" s="497">
        <v>33.08</v>
      </c>
      <c r="AP7729" s="42"/>
      <c r="AQ7729" s="74"/>
      <c r="AR7729" s="77"/>
      <c r="AT7729" s="497">
        <v>39.019999999999996</v>
      </c>
      <c r="AV7729" s="42"/>
      <c r="AW7729" s="74"/>
      <c r="AX7729" s="77"/>
      <c r="BA7729" s="497">
        <v>55.040000000000006</v>
      </c>
      <c r="BB7729" s="42"/>
      <c r="BC7729" s="74"/>
      <c r="BD7729" s="77"/>
      <c r="BF7729">
        <v>33.08</v>
      </c>
      <c r="BH7729" s="42"/>
      <c r="BI7729" s="74"/>
      <c r="BJ7729" s="77"/>
      <c r="BL7729" s="497">
        <v>35.96</v>
      </c>
      <c r="BN7729" s="42"/>
      <c r="BO7729" s="74"/>
      <c r="BP7729" s="77"/>
      <c r="BR7729" s="497">
        <v>53.96</v>
      </c>
      <c r="BT7729" s="42"/>
    </row>
    <row r="7730" spans="1:72" x14ac:dyDescent="0.25">
      <c r="A7730" s="90">
        <v>36848</v>
      </c>
      <c r="B7730" s="20">
        <v>0.33333333333333331</v>
      </c>
      <c r="D7730">
        <v>53.06</v>
      </c>
      <c r="E7730" t="str">
        <f t="shared" si="276"/>
        <v>SATURDAY</v>
      </c>
      <c r="F7730" t="e">
        <f t="shared" si="277"/>
        <v>#N/A</v>
      </c>
      <c r="G7730" s="74">
        <v>28812</v>
      </c>
      <c r="H7730" s="77">
        <v>0.33333333333333331</v>
      </c>
      <c r="J7730">
        <v>62.96</v>
      </c>
      <c r="M7730" s="74">
        <v>36117</v>
      </c>
      <c r="N7730" s="77">
        <v>0.33333333333333331</v>
      </c>
      <c r="P7730">
        <v>35.6</v>
      </c>
      <c r="S7730" s="74">
        <v>36848</v>
      </c>
      <c r="T7730" s="77">
        <v>0.33333333333333331</v>
      </c>
      <c r="V7730">
        <v>37.94</v>
      </c>
      <c r="X7730" s="42"/>
      <c r="AB7730">
        <v>42.6</v>
      </c>
      <c r="AC7730">
        <v>46.04</v>
      </c>
      <c r="AE7730" s="74"/>
      <c r="AF7730" s="77"/>
      <c r="AH7730" s="497">
        <v>32</v>
      </c>
      <c r="AJ7730" s="42"/>
      <c r="AK7730" s="74"/>
      <c r="AL7730" s="77"/>
      <c r="AN7730" s="497">
        <v>33.979999999999997</v>
      </c>
      <c r="AP7730" s="42"/>
      <c r="AQ7730" s="74"/>
      <c r="AR7730" s="77"/>
      <c r="AT7730" s="497">
        <v>42.08</v>
      </c>
      <c r="AV7730" s="42"/>
      <c r="AW7730" s="74"/>
      <c r="AX7730" s="77"/>
      <c r="BA7730" s="497">
        <v>53.96</v>
      </c>
      <c r="BB7730" s="42"/>
      <c r="BC7730" s="74"/>
      <c r="BD7730" s="77"/>
      <c r="BF7730">
        <v>33.979999999999997</v>
      </c>
      <c r="BH7730" s="42"/>
      <c r="BI7730" s="74"/>
      <c r="BJ7730" s="77"/>
      <c r="BL7730" s="497">
        <v>35.06</v>
      </c>
      <c r="BN7730" s="42"/>
      <c r="BO7730" s="74"/>
      <c r="BP7730" s="77"/>
      <c r="BR7730" s="497">
        <v>53.06</v>
      </c>
      <c r="BT7730" s="42"/>
    </row>
    <row r="7731" spans="1:72" x14ac:dyDescent="0.25">
      <c r="A7731" s="90">
        <v>36848</v>
      </c>
      <c r="B7731" s="20">
        <v>0.375</v>
      </c>
      <c r="D7731">
        <v>53.96</v>
      </c>
      <c r="E7731" t="str">
        <f t="shared" si="276"/>
        <v>SATURDAY</v>
      </c>
      <c r="F7731" t="e">
        <f t="shared" si="277"/>
        <v>#N/A</v>
      </c>
      <c r="G7731" s="74">
        <v>28812</v>
      </c>
      <c r="H7731" s="77">
        <v>0.375</v>
      </c>
      <c r="J7731">
        <v>62.96</v>
      </c>
      <c r="M7731" s="74">
        <v>36117</v>
      </c>
      <c r="N7731" s="77">
        <v>0.375</v>
      </c>
      <c r="P7731">
        <v>37.4</v>
      </c>
      <c r="S7731" s="74">
        <v>36848</v>
      </c>
      <c r="T7731" s="77">
        <v>0.375</v>
      </c>
      <c r="V7731">
        <v>39.92</v>
      </c>
      <c r="X7731" s="42"/>
      <c r="AB7731">
        <v>43.9</v>
      </c>
      <c r="AC7731">
        <v>48.019999999999996</v>
      </c>
      <c r="AE7731" s="74"/>
      <c r="AF7731" s="77"/>
      <c r="AH7731" s="497">
        <v>42.8</v>
      </c>
      <c r="AJ7731" s="42"/>
      <c r="AK7731" s="74"/>
      <c r="AL7731" s="77"/>
      <c r="AN7731" s="497">
        <v>35.06</v>
      </c>
      <c r="AP7731" s="42"/>
      <c r="AQ7731" s="74"/>
      <c r="AR7731" s="77"/>
      <c r="AT7731" s="497">
        <v>42.980000000000004</v>
      </c>
      <c r="AV7731" s="42"/>
      <c r="AW7731" s="74"/>
      <c r="AX7731" s="77"/>
      <c r="BA7731" s="497">
        <v>55.94</v>
      </c>
      <c r="BB7731" s="42"/>
      <c r="BC7731" s="74"/>
      <c r="BD7731" s="77"/>
      <c r="BF7731">
        <v>35.96</v>
      </c>
      <c r="BH7731" s="42"/>
      <c r="BI7731" s="74"/>
      <c r="BJ7731" s="77"/>
      <c r="BL7731" s="497">
        <v>37.04</v>
      </c>
      <c r="BN7731" s="42"/>
      <c r="BO7731" s="74"/>
      <c r="BP7731" s="77"/>
      <c r="BR7731" s="497">
        <v>53.96</v>
      </c>
      <c r="BT7731" s="42"/>
    </row>
    <row r="7732" spans="1:72" x14ac:dyDescent="0.25">
      <c r="A7732" s="90">
        <v>36848</v>
      </c>
      <c r="B7732" s="20">
        <v>0.41666666666666669</v>
      </c>
      <c r="D7732">
        <v>53.96</v>
      </c>
      <c r="E7732" t="str">
        <f t="shared" si="276"/>
        <v>SATURDAY</v>
      </c>
      <c r="F7732" t="e">
        <f t="shared" si="277"/>
        <v>#N/A</v>
      </c>
      <c r="G7732" s="74">
        <v>28812</v>
      </c>
      <c r="H7732" s="77">
        <v>0.41666666666666669</v>
      </c>
      <c r="J7732">
        <v>64.039999999999992</v>
      </c>
      <c r="M7732" s="74">
        <v>36117</v>
      </c>
      <c r="N7732" s="77">
        <v>0.41666666666666669</v>
      </c>
      <c r="P7732">
        <v>41</v>
      </c>
      <c r="S7732" s="74">
        <v>36848</v>
      </c>
      <c r="T7732" s="77">
        <v>0.41666666666666669</v>
      </c>
      <c r="V7732">
        <v>42.08</v>
      </c>
      <c r="X7732" s="42"/>
      <c r="AB7732">
        <v>45.8</v>
      </c>
      <c r="AC7732">
        <v>50</v>
      </c>
      <c r="AE7732" s="74"/>
      <c r="AF7732" s="77"/>
      <c r="AH7732" s="497">
        <v>46.4</v>
      </c>
      <c r="AJ7732" s="42"/>
      <c r="AK7732" s="74"/>
      <c r="AL7732" s="77"/>
      <c r="AN7732" s="497">
        <v>35.96</v>
      </c>
      <c r="AP7732" s="42"/>
      <c r="AQ7732" s="74"/>
      <c r="AR7732" s="77"/>
      <c r="AT7732" s="497">
        <v>46.04</v>
      </c>
      <c r="AV7732" s="42"/>
      <c r="AW7732" s="74"/>
      <c r="AX7732" s="77"/>
      <c r="BA7732" s="497">
        <v>53.06</v>
      </c>
      <c r="BB7732" s="42"/>
      <c r="BC7732" s="74"/>
      <c r="BD7732" s="77"/>
      <c r="BF7732">
        <v>37.94</v>
      </c>
      <c r="BH7732" s="42"/>
      <c r="BI7732" s="74"/>
      <c r="BJ7732" s="77"/>
      <c r="BL7732" s="497">
        <v>39.019999999999996</v>
      </c>
      <c r="BN7732" s="42"/>
      <c r="BO7732" s="74"/>
      <c r="BP7732" s="77"/>
      <c r="BR7732" s="497">
        <v>53.06</v>
      </c>
      <c r="BT7732" s="42"/>
    </row>
    <row r="7733" spans="1:72" x14ac:dyDescent="0.25">
      <c r="A7733" s="90">
        <v>36848</v>
      </c>
      <c r="B7733" s="20">
        <v>0.45833333333333331</v>
      </c>
      <c r="D7733">
        <v>55.040000000000006</v>
      </c>
      <c r="E7733" t="str">
        <f t="shared" si="276"/>
        <v>SATURDAY</v>
      </c>
      <c r="F7733" t="e">
        <f t="shared" si="277"/>
        <v>#N/A</v>
      </c>
      <c r="G7733" s="74">
        <v>28812</v>
      </c>
      <c r="H7733" s="77">
        <v>0.45833333333333331</v>
      </c>
      <c r="J7733">
        <v>64.94</v>
      </c>
      <c r="M7733" s="74">
        <v>36117</v>
      </c>
      <c r="N7733" s="77">
        <v>0.45833333333333331</v>
      </c>
      <c r="P7733">
        <v>42.8</v>
      </c>
      <c r="S7733" s="74">
        <v>36848</v>
      </c>
      <c r="T7733" s="77">
        <v>0.45833333333333331</v>
      </c>
      <c r="V7733">
        <v>44.06</v>
      </c>
      <c r="X7733" s="42"/>
      <c r="AB7733">
        <v>47.5</v>
      </c>
      <c r="AC7733">
        <v>53.06</v>
      </c>
      <c r="AE7733" s="74"/>
      <c r="AF7733" s="77"/>
      <c r="AH7733" s="497">
        <v>51.8</v>
      </c>
      <c r="AJ7733" s="42"/>
      <c r="AK7733" s="74"/>
      <c r="AL7733" s="77"/>
      <c r="AN7733" s="497">
        <v>37.04</v>
      </c>
      <c r="AP7733" s="42"/>
      <c r="AQ7733" s="74"/>
      <c r="AR7733" s="77"/>
      <c r="AT7733" s="497">
        <v>48.92</v>
      </c>
      <c r="AV7733" s="42"/>
      <c r="AW7733" s="74"/>
      <c r="AX7733" s="77"/>
      <c r="BA7733" s="497">
        <v>51.980000000000004</v>
      </c>
      <c r="BB7733" s="42"/>
      <c r="BC7733" s="74"/>
      <c r="BD7733" s="77"/>
      <c r="BF7733">
        <v>39.92</v>
      </c>
      <c r="BH7733" s="42"/>
      <c r="BI7733" s="74"/>
      <c r="BJ7733" s="77"/>
      <c r="BL7733" s="497">
        <v>41</v>
      </c>
      <c r="BN7733" s="42"/>
      <c r="BO7733" s="74"/>
      <c r="BP7733" s="77"/>
      <c r="BR7733" s="497">
        <v>53.96</v>
      </c>
      <c r="BT7733" s="42"/>
    </row>
    <row r="7734" spans="1:72" x14ac:dyDescent="0.25">
      <c r="A7734" s="90">
        <v>36848</v>
      </c>
      <c r="B7734" s="20">
        <v>0.5</v>
      </c>
      <c r="D7734">
        <v>55.94</v>
      </c>
      <c r="E7734" t="str">
        <f t="shared" si="276"/>
        <v>SATURDAY</v>
      </c>
      <c r="F7734" t="e">
        <f t="shared" si="277"/>
        <v>#N/A</v>
      </c>
      <c r="G7734" s="74">
        <v>28812</v>
      </c>
      <c r="H7734" s="77">
        <v>0.5</v>
      </c>
      <c r="J7734">
        <v>64.039999999999992</v>
      </c>
      <c r="M7734" s="74">
        <v>36117</v>
      </c>
      <c r="N7734" s="77">
        <v>0.5</v>
      </c>
      <c r="P7734">
        <v>44.6</v>
      </c>
      <c r="S7734" s="74">
        <v>36848</v>
      </c>
      <c r="T7734" s="77">
        <v>0.5</v>
      </c>
      <c r="V7734">
        <v>44.96</v>
      </c>
      <c r="X7734" s="42"/>
      <c r="AB7734">
        <v>48.8</v>
      </c>
      <c r="AC7734">
        <v>53.96</v>
      </c>
      <c r="AE7734" s="74"/>
      <c r="AF7734" s="77"/>
      <c r="AH7734" s="497">
        <v>53.6</v>
      </c>
      <c r="AJ7734" s="42"/>
      <c r="AK7734" s="74"/>
      <c r="AL7734" s="77"/>
      <c r="AN7734" s="497">
        <v>39.019999999999996</v>
      </c>
      <c r="AP7734" s="42"/>
      <c r="AQ7734" s="74"/>
      <c r="AR7734" s="77"/>
      <c r="AT7734" s="497">
        <v>51.08</v>
      </c>
      <c r="AV7734" s="42"/>
      <c r="AW7734" s="74"/>
      <c r="AX7734" s="77"/>
      <c r="BA7734" s="497">
        <v>51.980000000000004</v>
      </c>
      <c r="BB7734" s="42"/>
      <c r="BC7734" s="74"/>
      <c r="BD7734" s="77"/>
      <c r="BF7734">
        <v>39.92</v>
      </c>
      <c r="BH7734" s="42"/>
      <c r="BI7734" s="74"/>
      <c r="BJ7734" s="77"/>
      <c r="BL7734" s="497">
        <v>42.08</v>
      </c>
      <c r="BN7734" s="42"/>
      <c r="BO7734" s="74"/>
      <c r="BP7734" s="77"/>
      <c r="BR7734" s="497">
        <v>53.06</v>
      </c>
      <c r="BT7734" s="42"/>
    </row>
    <row r="7735" spans="1:72" x14ac:dyDescent="0.25">
      <c r="A7735" s="90">
        <v>36848</v>
      </c>
      <c r="B7735" s="20">
        <v>0.54166666666666663</v>
      </c>
      <c r="D7735">
        <v>55.040000000000006</v>
      </c>
      <c r="E7735" t="str">
        <f t="shared" si="276"/>
        <v>SATURDAY</v>
      </c>
      <c r="F7735" t="e">
        <f t="shared" si="277"/>
        <v>#N/A</v>
      </c>
      <c r="G7735" s="74">
        <v>28812</v>
      </c>
      <c r="H7735" s="77">
        <v>0.54166666666666663</v>
      </c>
      <c r="J7735">
        <v>64.039999999999992</v>
      </c>
      <c r="M7735" s="74">
        <v>36117</v>
      </c>
      <c r="N7735" s="77">
        <v>0.54166666666666663</v>
      </c>
      <c r="P7735">
        <v>46.4</v>
      </c>
      <c r="S7735" s="74">
        <v>36848</v>
      </c>
      <c r="T7735" s="77">
        <v>0.54166666666666663</v>
      </c>
      <c r="V7735">
        <v>44.96</v>
      </c>
      <c r="X7735" s="42"/>
      <c r="AB7735">
        <v>49.8</v>
      </c>
      <c r="AC7735">
        <v>53.96</v>
      </c>
      <c r="AE7735" s="74"/>
      <c r="AF7735" s="77"/>
      <c r="AH7735" s="497">
        <v>57.2</v>
      </c>
      <c r="AJ7735" s="42"/>
      <c r="AK7735" s="74"/>
      <c r="AL7735" s="77"/>
      <c r="AN7735" s="497">
        <v>39.92</v>
      </c>
      <c r="AP7735" s="42"/>
      <c r="AQ7735" s="74"/>
      <c r="AR7735" s="77"/>
      <c r="AT7735" s="497">
        <v>51.980000000000004</v>
      </c>
      <c r="AV7735" s="42"/>
      <c r="AW7735" s="74"/>
      <c r="AX7735" s="77"/>
      <c r="BA7735" s="497">
        <v>51.980000000000004</v>
      </c>
      <c r="BB7735" s="42"/>
      <c r="BC7735" s="74"/>
      <c r="BD7735" s="77"/>
      <c r="BF7735">
        <v>42.08</v>
      </c>
      <c r="BH7735" s="42"/>
      <c r="BI7735" s="74"/>
      <c r="BJ7735" s="77"/>
      <c r="BL7735" s="497">
        <v>42.980000000000004</v>
      </c>
      <c r="BN7735" s="42"/>
      <c r="BO7735" s="74"/>
      <c r="BP7735" s="77"/>
      <c r="BR7735" s="497">
        <v>51.980000000000004</v>
      </c>
      <c r="BT7735" s="42"/>
    </row>
    <row r="7736" spans="1:72" x14ac:dyDescent="0.25">
      <c r="A7736" s="90">
        <v>36848</v>
      </c>
      <c r="B7736" s="20">
        <v>0.58333333333333337</v>
      </c>
      <c r="D7736">
        <v>55.040000000000006</v>
      </c>
      <c r="E7736" t="str">
        <f t="shared" si="276"/>
        <v>SATURDAY</v>
      </c>
      <c r="F7736" t="e">
        <f t="shared" si="277"/>
        <v>#N/A</v>
      </c>
      <c r="G7736" s="74">
        <v>28812</v>
      </c>
      <c r="H7736" s="77">
        <v>0.58333333333333337</v>
      </c>
      <c r="J7736">
        <v>62.96</v>
      </c>
      <c r="M7736" s="74">
        <v>36117</v>
      </c>
      <c r="N7736" s="77">
        <v>0.58333333333333337</v>
      </c>
      <c r="P7736">
        <v>46.4</v>
      </c>
      <c r="S7736" s="74">
        <v>36848</v>
      </c>
      <c r="T7736" s="77">
        <v>0.58333333333333337</v>
      </c>
      <c r="V7736">
        <v>44.96</v>
      </c>
      <c r="X7736" s="42"/>
      <c r="AB7736">
        <v>50.5</v>
      </c>
      <c r="AC7736">
        <v>53.06</v>
      </c>
      <c r="AE7736" s="74"/>
      <c r="AF7736" s="77"/>
      <c r="AH7736" s="497">
        <v>59</v>
      </c>
      <c r="AJ7736" s="42"/>
      <c r="AK7736" s="74"/>
      <c r="AL7736" s="77"/>
      <c r="AN7736" s="497">
        <v>41</v>
      </c>
      <c r="AP7736" s="42"/>
      <c r="AQ7736" s="74"/>
      <c r="AR7736" s="77"/>
      <c r="AT7736" s="497">
        <v>51.08</v>
      </c>
      <c r="AV7736" s="42"/>
      <c r="AW7736" s="74"/>
      <c r="AX7736" s="77"/>
      <c r="BA7736" s="497">
        <v>51.08</v>
      </c>
      <c r="BB7736" s="42"/>
      <c r="BC7736" s="74"/>
      <c r="BD7736" s="77"/>
      <c r="BF7736">
        <v>41</v>
      </c>
      <c r="BH7736" s="42"/>
      <c r="BI7736" s="74"/>
      <c r="BJ7736" s="77"/>
      <c r="BL7736" s="497">
        <v>44.06</v>
      </c>
      <c r="BN7736" s="42"/>
      <c r="BO7736" s="74"/>
      <c r="BP7736" s="77"/>
      <c r="BR7736" s="497">
        <v>50</v>
      </c>
      <c r="BT7736" s="42"/>
    </row>
    <row r="7737" spans="1:72" x14ac:dyDescent="0.25">
      <c r="A7737" s="90">
        <v>36848</v>
      </c>
      <c r="B7737" s="20">
        <v>0.625</v>
      </c>
      <c r="D7737">
        <v>55.94</v>
      </c>
      <c r="E7737" t="str">
        <f t="shared" si="276"/>
        <v>SATURDAY</v>
      </c>
      <c r="F7737" t="e">
        <f t="shared" si="277"/>
        <v>#N/A</v>
      </c>
      <c r="G7737" s="74">
        <v>28812</v>
      </c>
      <c r="H7737" s="77">
        <v>0.625</v>
      </c>
      <c r="J7737">
        <v>60.980000000000004</v>
      </c>
      <c r="M7737" s="74">
        <v>36117</v>
      </c>
      <c r="N7737" s="77">
        <v>0.625</v>
      </c>
      <c r="P7737">
        <v>46.4</v>
      </c>
      <c r="S7737" s="74">
        <v>36848</v>
      </c>
      <c r="T7737" s="77">
        <v>0.625</v>
      </c>
      <c r="V7737">
        <v>44.06</v>
      </c>
      <c r="X7737" s="42"/>
      <c r="AB7737">
        <v>50.7</v>
      </c>
      <c r="AC7737">
        <v>53.06</v>
      </c>
      <c r="AE7737" s="74"/>
      <c r="AF7737" s="77"/>
      <c r="AH7737" s="497">
        <v>60.8</v>
      </c>
      <c r="AJ7737" s="42"/>
      <c r="AK7737" s="74"/>
      <c r="AL7737" s="77"/>
      <c r="AN7737" s="497">
        <v>41</v>
      </c>
      <c r="AP7737" s="42"/>
      <c r="AQ7737" s="74"/>
      <c r="AR7737" s="77"/>
      <c r="AT7737" s="497">
        <v>51.08</v>
      </c>
      <c r="AV7737" s="42"/>
      <c r="AW7737" s="74"/>
      <c r="AX7737" s="77"/>
      <c r="BA7737" s="497">
        <v>50</v>
      </c>
      <c r="BB7737" s="42"/>
      <c r="BC7737" s="74"/>
      <c r="BD7737" s="77"/>
      <c r="BF7737">
        <v>41</v>
      </c>
      <c r="BH7737" s="42"/>
      <c r="BI7737" s="74"/>
      <c r="BJ7737" s="77"/>
      <c r="BL7737" s="497">
        <v>44.06</v>
      </c>
      <c r="BN7737" s="42"/>
      <c r="BO7737" s="74"/>
      <c r="BP7737" s="77"/>
      <c r="BR7737" s="497">
        <v>48.92</v>
      </c>
      <c r="BT7737" s="42"/>
    </row>
    <row r="7738" spans="1:72" x14ac:dyDescent="0.25">
      <c r="A7738" s="90">
        <v>36848</v>
      </c>
      <c r="B7738" s="20">
        <v>0.66666666666666663</v>
      </c>
      <c r="D7738">
        <v>57.019999999999996</v>
      </c>
      <c r="E7738" t="str">
        <f t="shared" si="276"/>
        <v>SATURDAY</v>
      </c>
      <c r="F7738" t="e">
        <f t="shared" si="277"/>
        <v>#N/A</v>
      </c>
      <c r="G7738" s="74">
        <v>28812</v>
      </c>
      <c r="H7738" s="77">
        <v>0.66666666666666663</v>
      </c>
      <c r="J7738">
        <v>57.92</v>
      </c>
      <c r="M7738" s="74">
        <v>36117</v>
      </c>
      <c r="N7738" s="77">
        <v>0.66666666666666663</v>
      </c>
      <c r="P7738">
        <v>42.8</v>
      </c>
      <c r="S7738" s="74">
        <v>36848</v>
      </c>
      <c r="T7738" s="77">
        <v>0.66666666666666663</v>
      </c>
      <c r="V7738">
        <v>42.980000000000004</v>
      </c>
      <c r="X7738" s="42"/>
      <c r="AB7738">
        <v>50.4</v>
      </c>
      <c r="AC7738">
        <v>51.980000000000004</v>
      </c>
      <c r="AE7738" s="74"/>
      <c r="AF7738" s="77"/>
      <c r="AH7738" s="497">
        <v>59</v>
      </c>
      <c r="AJ7738" s="42"/>
      <c r="AK7738" s="74"/>
      <c r="AL7738" s="77"/>
      <c r="AN7738" s="497">
        <v>39.92</v>
      </c>
      <c r="AP7738" s="42"/>
      <c r="AQ7738" s="74"/>
      <c r="AR7738" s="77"/>
      <c r="AT7738" s="497">
        <v>51.08</v>
      </c>
      <c r="AV7738" s="42"/>
      <c r="AW7738" s="74"/>
      <c r="AX7738" s="77"/>
      <c r="BA7738" s="497">
        <v>48.019999999999996</v>
      </c>
      <c r="BB7738" s="42"/>
      <c r="BC7738" s="74"/>
      <c r="BD7738" s="77"/>
      <c r="BF7738">
        <v>41</v>
      </c>
      <c r="BH7738" s="42"/>
      <c r="BI7738" s="74"/>
      <c r="BJ7738" s="77"/>
      <c r="BL7738" s="497">
        <v>42.08</v>
      </c>
      <c r="BN7738" s="42"/>
      <c r="BO7738" s="74"/>
      <c r="BP7738" s="77"/>
      <c r="BR7738" s="497">
        <v>48.019999999999996</v>
      </c>
      <c r="BT7738" s="42"/>
    </row>
    <row r="7739" spans="1:72" x14ac:dyDescent="0.25">
      <c r="A7739" s="90">
        <v>36848</v>
      </c>
      <c r="B7739" s="20">
        <v>0.70833333333333337</v>
      </c>
      <c r="D7739">
        <v>57.019999999999996</v>
      </c>
      <c r="E7739" t="str">
        <f t="shared" si="276"/>
        <v>SATURDAY</v>
      </c>
      <c r="F7739" t="e">
        <f t="shared" si="277"/>
        <v>#N/A</v>
      </c>
      <c r="G7739" s="74">
        <v>28812</v>
      </c>
      <c r="H7739" s="77">
        <v>0.70833333333333337</v>
      </c>
      <c r="J7739">
        <v>55.040000000000006</v>
      </c>
      <c r="M7739" s="74">
        <v>36117</v>
      </c>
      <c r="N7739" s="77">
        <v>0.70833333333333337</v>
      </c>
      <c r="P7739">
        <v>41</v>
      </c>
      <c r="S7739" s="74">
        <v>36848</v>
      </c>
      <c r="T7739" s="77">
        <v>0.70833333333333337</v>
      </c>
      <c r="V7739">
        <v>42.08</v>
      </c>
      <c r="X7739" s="42"/>
      <c r="AB7739">
        <v>49.4</v>
      </c>
      <c r="AC7739">
        <v>51.980000000000004</v>
      </c>
      <c r="AE7739" s="74"/>
      <c r="AF7739" s="77"/>
      <c r="AH7739" s="497">
        <v>55.400000000000006</v>
      </c>
      <c r="AJ7739" s="42"/>
      <c r="AK7739" s="74"/>
      <c r="AL7739" s="77"/>
      <c r="AN7739" s="497">
        <v>35.96</v>
      </c>
      <c r="AP7739" s="42"/>
      <c r="AQ7739" s="74"/>
      <c r="AR7739" s="77"/>
      <c r="AT7739" s="497">
        <v>50</v>
      </c>
      <c r="AV7739" s="42"/>
      <c r="AW7739" s="74"/>
      <c r="AX7739" s="77"/>
      <c r="BA7739" s="497">
        <v>46.94</v>
      </c>
      <c r="BB7739" s="42"/>
      <c r="BC7739" s="74"/>
      <c r="BD7739" s="77"/>
      <c r="BF7739">
        <v>39.019999999999996</v>
      </c>
      <c r="BH7739" s="42"/>
      <c r="BI7739" s="74"/>
      <c r="BJ7739" s="77"/>
      <c r="BL7739" s="497">
        <v>37.94</v>
      </c>
      <c r="BN7739" s="42"/>
      <c r="BO7739" s="74"/>
      <c r="BP7739" s="77"/>
      <c r="BR7739" s="497">
        <v>46.94</v>
      </c>
      <c r="BT7739" s="42"/>
    </row>
    <row r="7740" spans="1:72" x14ac:dyDescent="0.25">
      <c r="A7740" s="90">
        <v>36848</v>
      </c>
      <c r="B7740" s="20">
        <v>0.75</v>
      </c>
      <c r="D7740">
        <v>57.92</v>
      </c>
      <c r="E7740" t="str">
        <f t="shared" si="276"/>
        <v>SATURDAY</v>
      </c>
      <c r="F7740" t="e">
        <f t="shared" si="277"/>
        <v>#N/A</v>
      </c>
      <c r="G7740" s="74">
        <v>28812</v>
      </c>
      <c r="H7740" s="77">
        <v>0.75</v>
      </c>
      <c r="J7740">
        <v>51.980000000000004</v>
      </c>
      <c r="M7740" s="74">
        <v>36117</v>
      </c>
      <c r="N7740" s="77">
        <v>0.75</v>
      </c>
      <c r="P7740">
        <v>39.200000000000003</v>
      </c>
      <c r="S7740" s="74">
        <v>36848</v>
      </c>
      <c r="T7740" s="77">
        <v>0.75</v>
      </c>
      <c r="V7740">
        <v>42.08</v>
      </c>
      <c r="X7740" s="42"/>
      <c r="AB7740">
        <v>48</v>
      </c>
      <c r="AC7740">
        <v>51.980000000000004</v>
      </c>
      <c r="AE7740" s="74"/>
      <c r="AF7740" s="77"/>
      <c r="AH7740" s="497">
        <v>46.4</v>
      </c>
      <c r="AJ7740" s="42"/>
      <c r="AK7740" s="74"/>
      <c r="AL7740" s="77"/>
      <c r="AN7740" s="497">
        <v>33.979999999999997</v>
      </c>
      <c r="AP7740" s="42"/>
      <c r="AQ7740" s="74"/>
      <c r="AR7740" s="77"/>
      <c r="AT7740" s="497">
        <v>48.92</v>
      </c>
      <c r="AV7740" s="42"/>
      <c r="AW7740" s="74"/>
      <c r="AX7740" s="77"/>
      <c r="BA7740" s="497">
        <v>46.94</v>
      </c>
      <c r="BB7740" s="42"/>
      <c r="BC7740" s="74"/>
      <c r="BD7740" s="77"/>
      <c r="BF7740">
        <v>37.94</v>
      </c>
      <c r="BH7740" s="42"/>
      <c r="BI7740" s="74"/>
      <c r="BJ7740" s="77"/>
      <c r="BL7740" s="497">
        <v>35.96</v>
      </c>
      <c r="BN7740" s="42"/>
      <c r="BO7740" s="74"/>
      <c r="BP7740" s="77"/>
      <c r="BR7740" s="497">
        <v>46.04</v>
      </c>
      <c r="BT7740" s="42"/>
    </row>
    <row r="7741" spans="1:72" x14ac:dyDescent="0.25">
      <c r="A7741" s="90">
        <v>36848</v>
      </c>
      <c r="B7741" s="20">
        <v>0.79166666666666663</v>
      </c>
      <c r="D7741">
        <v>57.019999999999996</v>
      </c>
      <c r="E7741" t="str">
        <f t="shared" si="276"/>
        <v>SATURDAY</v>
      </c>
      <c r="F7741" t="e">
        <f t="shared" si="277"/>
        <v>#N/A</v>
      </c>
      <c r="G7741" s="74">
        <v>28812</v>
      </c>
      <c r="H7741" s="77">
        <v>0.79166666666666663</v>
      </c>
      <c r="J7741">
        <v>51.08</v>
      </c>
      <c r="M7741" s="74">
        <v>36117</v>
      </c>
      <c r="N7741" s="77">
        <v>0.79166666666666663</v>
      </c>
      <c r="P7741">
        <v>35.6</v>
      </c>
      <c r="S7741" s="74">
        <v>36848</v>
      </c>
      <c r="T7741" s="77">
        <v>0.79166666666666663</v>
      </c>
      <c r="V7741">
        <v>41</v>
      </c>
      <c r="X7741" s="42"/>
      <c r="AB7741">
        <v>47.5</v>
      </c>
      <c r="AC7741">
        <v>51.980000000000004</v>
      </c>
      <c r="AE7741" s="74"/>
      <c r="AF7741" s="77"/>
      <c r="AH7741" s="497">
        <v>51.8</v>
      </c>
      <c r="AJ7741" s="42"/>
      <c r="AK7741" s="74"/>
      <c r="AL7741" s="77"/>
      <c r="AN7741" s="497">
        <v>33.979999999999997</v>
      </c>
      <c r="AP7741" s="42"/>
      <c r="AQ7741" s="74"/>
      <c r="AR7741" s="77"/>
      <c r="AT7741" s="497">
        <v>48.92</v>
      </c>
      <c r="AV7741" s="42"/>
      <c r="AW7741" s="74"/>
      <c r="AX7741" s="77"/>
      <c r="BA7741" s="497">
        <v>46.04</v>
      </c>
      <c r="BB7741" s="42"/>
      <c r="BC7741" s="74"/>
      <c r="BD7741" s="77"/>
      <c r="BF7741">
        <v>35.06</v>
      </c>
      <c r="BH7741" s="42"/>
      <c r="BI7741" s="74"/>
      <c r="BJ7741" s="77"/>
      <c r="BL7741" s="497">
        <v>35.06</v>
      </c>
      <c r="BN7741" s="42"/>
      <c r="BO7741" s="74"/>
      <c r="BP7741" s="77"/>
      <c r="BR7741" s="497">
        <v>44.96</v>
      </c>
      <c r="BT7741" s="42"/>
    </row>
    <row r="7742" spans="1:72" x14ac:dyDescent="0.25">
      <c r="A7742" s="90">
        <v>36848</v>
      </c>
      <c r="B7742" s="20">
        <v>0.83333333333333337</v>
      </c>
      <c r="D7742">
        <v>60.08</v>
      </c>
      <c r="E7742" t="str">
        <f t="shared" si="276"/>
        <v>SATURDAY</v>
      </c>
      <c r="F7742" t="e">
        <f t="shared" si="277"/>
        <v>#N/A</v>
      </c>
      <c r="G7742" s="74">
        <v>28812</v>
      </c>
      <c r="H7742" s="77">
        <v>0.83333333333333337</v>
      </c>
      <c r="J7742">
        <v>50</v>
      </c>
      <c r="M7742" s="74">
        <v>36117</v>
      </c>
      <c r="N7742" s="77">
        <v>0.83333333333333337</v>
      </c>
      <c r="P7742">
        <v>35.6</v>
      </c>
      <c r="S7742" s="74">
        <v>36848</v>
      </c>
      <c r="T7742" s="77">
        <v>0.83333333333333337</v>
      </c>
      <c r="V7742">
        <v>39.92</v>
      </c>
      <c r="X7742" s="42"/>
      <c r="AB7742">
        <v>47.1</v>
      </c>
      <c r="AC7742">
        <v>51.08</v>
      </c>
      <c r="AE7742" s="74"/>
      <c r="AF7742" s="77"/>
      <c r="AH7742" s="497">
        <v>50</v>
      </c>
      <c r="AJ7742" s="42"/>
      <c r="AK7742" s="74"/>
      <c r="AL7742" s="77"/>
      <c r="AN7742" s="497">
        <v>33.08</v>
      </c>
      <c r="AP7742" s="42"/>
      <c r="AQ7742" s="74"/>
      <c r="AR7742" s="77"/>
      <c r="AT7742" s="497">
        <v>48.019999999999996</v>
      </c>
      <c r="AV7742" s="42"/>
      <c r="AW7742" s="74"/>
      <c r="AX7742" s="77"/>
      <c r="BA7742" s="497">
        <v>44.96</v>
      </c>
      <c r="BB7742" s="42"/>
      <c r="BC7742" s="74"/>
      <c r="BD7742" s="77"/>
      <c r="BF7742">
        <v>33.979999999999997</v>
      </c>
      <c r="BH7742" s="42"/>
      <c r="BI7742" s="74"/>
      <c r="BJ7742" s="77"/>
      <c r="BL7742" s="497">
        <v>32</v>
      </c>
      <c r="BN7742" s="42"/>
      <c r="BO7742" s="74"/>
      <c r="BP7742" s="77"/>
      <c r="BR7742" s="497">
        <v>44.06</v>
      </c>
      <c r="BT7742" s="42"/>
    </row>
    <row r="7743" spans="1:72" x14ac:dyDescent="0.25">
      <c r="A7743" s="90">
        <v>36848</v>
      </c>
      <c r="B7743" s="20">
        <v>0.875</v>
      </c>
      <c r="D7743">
        <v>59</v>
      </c>
      <c r="E7743" t="str">
        <f t="shared" si="276"/>
        <v>SATURDAY</v>
      </c>
      <c r="F7743" t="e">
        <f t="shared" si="277"/>
        <v>#N/A</v>
      </c>
      <c r="G7743" s="74">
        <v>28812</v>
      </c>
      <c r="H7743" s="77">
        <v>0.875</v>
      </c>
      <c r="J7743">
        <v>48.92</v>
      </c>
      <c r="M7743" s="74">
        <v>36117</v>
      </c>
      <c r="N7743" s="77">
        <v>0.875</v>
      </c>
      <c r="P7743">
        <v>33.799999999999997</v>
      </c>
      <c r="S7743" s="74">
        <v>36848</v>
      </c>
      <c r="T7743" s="77">
        <v>0.875</v>
      </c>
      <c r="V7743">
        <v>41</v>
      </c>
      <c r="X7743" s="42"/>
      <c r="AB7743">
        <v>46.6</v>
      </c>
      <c r="AC7743">
        <v>51.980000000000004</v>
      </c>
      <c r="AE7743" s="74"/>
      <c r="AF7743" s="77"/>
      <c r="AH7743" s="497">
        <v>48.2</v>
      </c>
      <c r="AJ7743" s="42"/>
      <c r="AK7743" s="74"/>
      <c r="AL7743" s="77"/>
      <c r="AN7743" s="497">
        <v>30.02</v>
      </c>
      <c r="AP7743" s="42"/>
      <c r="AQ7743" s="74"/>
      <c r="AR7743" s="77"/>
      <c r="AT7743" s="497">
        <v>48.019999999999996</v>
      </c>
      <c r="AV7743" s="42"/>
      <c r="AW7743" s="74"/>
      <c r="AX7743" s="77"/>
      <c r="BA7743" s="497">
        <v>44.06</v>
      </c>
      <c r="BB7743" s="42"/>
      <c r="BC7743" s="74"/>
      <c r="BD7743" s="77"/>
      <c r="BF7743">
        <v>33.08</v>
      </c>
      <c r="BH7743" s="42"/>
      <c r="BI7743" s="74"/>
      <c r="BJ7743" s="77"/>
      <c r="BL7743" s="497">
        <v>30.02</v>
      </c>
      <c r="BN7743" s="42"/>
      <c r="BO7743" s="74"/>
      <c r="BP7743" s="77"/>
      <c r="BR7743" s="497">
        <v>37.04</v>
      </c>
      <c r="BT7743" s="42"/>
    </row>
    <row r="7744" spans="1:72" x14ac:dyDescent="0.25">
      <c r="A7744" s="90">
        <v>36848</v>
      </c>
      <c r="B7744" s="20">
        <v>0.91666666666666663</v>
      </c>
      <c r="D7744">
        <v>60.08</v>
      </c>
      <c r="E7744" t="str">
        <f t="shared" si="276"/>
        <v>SATURDAY</v>
      </c>
      <c r="F7744" t="e">
        <f t="shared" si="277"/>
        <v>#N/A</v>
      </c>
      <c r="G7744" s="74">
        <v>28812</v>
      </c>
      <c r="H7744" s="77">
        <v>0.91666666666666663</v>
      </c>
      <c r="J7744">
        <v>48.019999999999996</v>
      </c>
      <c r="M7744" s="74">
        <v>36117</v>
      </c>
      <c r="N7744" s="77">
        <v>0.91666666666666663</v>
      </c>
      <c r="P7744">
        <v>33.799999999999997</v>
      </c>
      <c r="S7744" s="74">
        <v>36848</v>
      </c>
      <c r="T7744" s="77">
        <v>0.91666666666666663</v>
      </c>
      <c r="V7744">
        <v>41</v>
      </c>
      <c r="X7744" s="42"/>
      <c r="AB7744">
        <v>45.9</v>
      </c>
      <c r="AC7744">
        <v>53.06</v>
      </c>
      <c r="AE7744" s="74"/>
      <c r="AF7744" s="77"/>
      <c r="AH7744" s="497">
        <v>46.4</v>
      </c>
      <c r="AJ7744" s="42"/>
      <c r="AK7744" s="74"/>
      <c r="AL7744" s="77"/>
      <c r="AN7744" s="497">
        <v>30.02</v>
      </c>
      <c r="AP7744" s="42"/>
      <c r="AQ7744" s="74"/>
      <c r="AR7744" s="77"/>
      <c r="AT7744" s="497">
        <v>46.94</v>
      </c>
      <c r="AV7744" s="42"/>
      <c r="AW7744" s="74"/>
      <c r="AX7744" s="77"/>
      <c r="BA7744" s="497">
        <v>42.980000000000004</v>
      </c>
      <c r="BB7744" s="42"/>
      <c r="BC7744" s="74"/>
      <c r="BD7744" s="77"/>
      <c r="BF7744">
        <v>30.92</v>
      </c>
      <c r="BH7744" s="42"/>
      <c r="BI7744" s="74"/>
      <c r="BJ7744" s="77"/>
      <c r="BL7744" s="497">
        <v>30.02</v>
      </c>
      <c r="BN7744" s="42"/>
      <c r="BO7744" s="74"/>
      <c r="BP7744" s="77"/>
      <c r="BR7744" s="497">
        <v>35.96</v>
      </c>
      <c r="BT7744" s="42"/>
    </row>
    <row r="7745" spans="1:72" x14ac:dyDescent="0.25">
      <c r="A7745" s="90">
        <v>36848</v>
      </c>
      <c r="B7745" s="20">
        <v>0.95833333333333337</v>
      </c>
      <c r="D7745">
        <v>59</v>
      </c>
      <c r="E7745" t="str">
        <f t="shared" si="276"/>
        <v>SATURDAY</v>
      </c>
      <c r="F7745" t="e">
        <f t="shared" si="277"/>
        <v>#N/A</v>
      </c>
      <c r="G7745" s="74">
        <v>28812</v>
      </c>
      <c r="H7745" s="77">
        <v>0.95833333333333337</v>
      </c>
      <c r="J7745">
        <v>48.019999999999996</v>
      </c>
      <c r="M7745" s="74">
        <v>36117</v>
      </c>
      <c r="N7745" s="77">
        <v>0.95833333333333337</v>
      </c>
      <c r="P7745">
        <v>32</v>
      </c>
      <c r="S7745" s="74">
        <v>36848</v>
      </c>
      <c r="T7745" s="77">
        <v>0.95833333333333337</v>
      </c>
      <c r="V7745">
        <v>39.92</v>
      </c>
      <c r="X7745" s="42"/>
      <c r="AB7745">
        <v>45.4</v>
      </c>
      <c r="AC7745">
        <v>53.06</v>
      </c>
      <c r="AE7745" s="74"/>
      <c r="AF7745" s="77"/>
      <c r="AH7745" s="497">
        <v>46.4</v>
      </c>
      <c r="AJ7745" s="42"/>
      <c r="AK7745" s="74"/>
      <c r="AL7745" s="77"/>
      <c r="AN7745" s="497">
        <v>32</v>
      </c>
      <c r="AP7745" s="42"/>
      <c r="AQ7745" s="74"/>
      <c r="AR7745" s="77"/>
      <c r="AT7745" s="497">
        <v>46.4</v>
      </c>
      <c r="AV7745" s="42"/>
      <c r="AW7745" s="74"/>
      <c r="AX7745" s="77"/>
      <c r="BA7745" s="497">
        <v>39.92</v>
      </c>
      <c r="BB7745" s="42"/>
      <c r="BC7745" s="74"/>
      <c r="BD7745" s="77"/>
      <c r="BF7745">
        <v>30.92</v>
      </c>
      <c r="BH7745" s="42"/>
      <c r="BI7745" s="74"/>
      <c r="BJ7745" s="77"/>
      <c r="BL7745" s="497">
        <v>28.04</v>
      </c>
      <c r="BN7745" s="42"/>
      <c r="BO7745" s="74"/>
      <c r="BP7745" s="77"/>
      <c r="BR7745" s="497">
        <v>33.979999999999997</v>
      </c>
      <c r="BT7745" s="42"/>
    </row>
    <row r="7746" spans="1:72" x14ac:dyDescent="0.25">
      <c r="A7746" s="90">
        <v>36848</v>
      </c>
      <c r="B7746" s="20">
        <v>1</v>
      </c>
      <c r="D7746">
        <v>57.92</v>
      </c>
      <c r="E7746" t="str">
        <f t="shared" si="276"/>
        <v>SATURDAY</v>
      </c>
      <c r="F7746" t="e">
        <f t="shared" si="277"/>
        <v>#N/A</v>
      </c>
      <c r="G7746" s="74">
        <v>28812</v>
      </c>
      <c r="H7746" s="77">
        <v>1</v>
      </c>
      <c r="J7746">
        <v>48.019999999999996</v>
      </c>
      <c r="M7746" s="74">
        <v>36117</v>
      </c>
      <c r="N7746" s="80">
        <v>1</v>
      </c>
      <c r="P7746">
        <v>32</v>
      </c>
      <c r="S7746" s="74">
        <v>36848</v>
      </c>
      <c r="T7746" s="80">
        <v>1</v>
      </c>
      <c r="V7746">
        <v>39.92</v>
      </c>
      <c r="X7746" s="42"/>
      <c r="AB7746">
        <v>44.9</v>
      </c>
      <c r="AC7746">
        <v>53.06</v>
      </c>
      <c r="AE7746" s="74"/>
      <c r="AF7746" s="80"/>
      <c r="AH7746" s="497">
        <v>44.6</v>
      </c>
      <c r="AJ7746" s="42"/>
      <c r="AK7746" s="74"/>
      <c r="AL7746" s="80"/>
      <c r="AN7746" s="497">
        <v>30.02</v>
      </c>
      <c r="AP7746" s="42"/>
      <c r="AQ7746" s="74"/>
      <c r="AR7746" s="80"/>
      <c r="AT7746" s="497">
        <v>46.94</v>
      </c>
      <c r="AV7746" s="42"/>
      <c r="AW7746" s="74"/>
      <c r="AX7746" s="80"/>
      <c r="BA7746" s="497">
        <v>39.92</v>
      </c>
      <c r="BB7746" s="42"/>
      <c r="BC7746" s="74"/>
      <c r="BD7746" s="80"/>
      <c r="BF7746">
        <v>30.02</v>
      </c>
      <c r="BH7746" s="42"/>
      <c r="BI7746" s="74"/>
      <c r="BJ7746" s="80"/>
      <c r="BL7746" s="497">
        <v>28.94</v>
      </c>
      <c r="BN7746" s="42"/>
      <c r="BO7746" s="74"/>
      <c r="BP7746" s="80"/>
      <c r="BR7746" s="497">
        <v>35.06</v>
      </c>
      <c r="BT7746" s="42"/>
    </row>
    <row r="7747" spans="1:72" x14ac:dyDescent="0.25">
      <c r="A7747" s="90">
        <v>36849</v>
      </c>
      <c r="B7747" s="20">
        <v>4.1666666666666664E-2</v>
      </c>
      <c r="D7747">
        <v>57.92</v>
      </c>
      <c r="E7747" t="str">
        <f t="shared" si="276"/>
        <v>SUNDAY</v>
      </c>
      <c r="F7747" t="e">
        <f t="shared" si="277"/>
        <v>#N/A</v>
      </c>
      <c r="G7747" s="74">
        <v>28813</v>
      </c>
      <c r="H7747" s="77">
        <v>4.1666666666666664E-2</v>
      </c>
      <c r="J7747">
        <v>46.94</v>
      </c>
      <c r="M7747" s="74">
        <v>36118</v>
      </c>
      <c r="N7747" s="77">
        <v>4.1666666666666664E-2</v>
      </c>
      <c r="P7747">
        <v>32</v>
      </c>
      <c r="S7747" s="74">
        <v>36849</v>
      </c>
      <c r="T7747" s="77">
        <v>4.1666666666666664E-2</v>
      </c>
      <c r="V7747">
        <v>39.019999999999996</v>
      </c>
      <c r="X7747" s="42"/>
      <c r="AB7747">
        <v>44.3</v>
      </c>
      <c r="AC7747">
        <v>53.96</v>
      </c>
      <c r="AE7747" s="74"/>
      <c r="AF7747" s="77"/>
      <c r="AH7747" s="497">
        <v>46.4</v>
      </c>
      <c r="AJ7747" s="42"/>
      <c r="AK7747" s="74"/>
      <c r="AL7747" s="77"/>
      <c r="AN7747" s="497">
        <v>30.92</v>
      </c>
      <c r="AP7747" s="42"/>
      <c r="AQ7747" s="74"/>
      <c r="AR7747" s="77"/>
      <c r="AT7747" s="497">
        <v>48.019999999999996</v>
      </c>
      <c r="AV7747" s="42"/>
      <c r="AW7747" s="74"/>
      <c r="AX7747" s="77"/>
      <c r="BA7747" s="497">
        <v>39.92</v>
      </c>
      <c r="BB7747" s="42"/>
      <c r="BC7747" s="74"/>
      <c r="BD7747" s="77"/>
      <c r="BF7747">
        <v>30.92</v>
      </c>
      <c r="BH7747" s="42"/>
      <c r="BI7747" s="74"/>
      <c r="BJ7747" s="77"/>
      <c r="BL7747" s="497">
        <v>26.060000000000002</v>
      </c>
      <c r="BN7747" s="42"/>
      <c r="BO7747" s="74"/>
      <c r="BP7747" s="77"/>
      <c r="BR7747" s="497">
        <v>35.06</v>
      </c>
      <c r="BT7747" s="42"/>
    </row>
    <row r="7748" spans="1:72" x14ac:dyDescent="0.25">
      <c r="A7748" s="90">
        <v>36849</v>
      </c>
      <c r="B7748" s="20">
        <v>8.3333333333333329E-2</v>
      </c>
      <c r="D7748">
        <v>59</v>
      </c>
      <c r="E7748" t="str">
        <f t="shared" si="276"/>
        <v>SUNDAY</v>
      </c>
      <c r="F7748" t="e">
        <f t="shared" si="277"/>
        <v>#N/A</v>
      </c>
      <c r="G7748" s="74">
        <v>28813</v>
      </c>
      <c r="H7748" s="77">
        <v>8.3333333333333329E-2</v>
      </c>
      <c r="J7748">
        <v>46.04</v>
      </c>
      <c r="M7748" s="74">
        <v>36118</v>
      </c>
      <c r="N7748" s="77">
        <v>8.3333333333333329E-2</v>
      </c>
      <c r="P7748">
        <v>31.1</v>
      </c>
      <c r="S7748" s="74">
        <v>36849</v>
      </c>
      <c r="T7748" s="77">
        <v>8.3333333333333329E-2</v>
      </c>
      <c r="V7748">
        <v>37.94</v>
      </c>
      <c r="X7748" s="42"/>
      <c r="AB7748">
        <v>43.8</v>
      </c>
      <c r="AC7748">
        <v>53.96</v>
      </c>
      <c r="AE7748" s="74"/>
      <c r="AF7748" s="77"/>
      <c r="AH7748" s="497">
        <v>46.4</v>
      </c>
      <c r="AJ7748" s="42"/>
      <c r="AK7748" s="74"/>
      <c r="AL7748" s="77"/>
      <c r="AN7748" s="497">
        <v>30.92</v>
      </c>
      <c r="AP7748" s="42"/>
      <c r="AQ7748" s="74"/>
      <c r="AR7748" s="77"/>
      <c r="AT7748" s="497">
        <v>48.92</v>
      </c>
      <c r="AV7748" s="42"/>
      <c r="AW7748" s="74"/>
      <c r="AX7748" s="77"/>
      <c r="BA7748" s="497">
        <v>39.92</v>
      </c>
      <c r="BB7748" s="42"/>
      <c r="BC7748" s="74"/>
      <c r="BD7748" s="77"/>
      <c r="BF7748">
        <v>30.92</v>
      </c>
      <c r="BH7748" s="42"/>
      <c r="BI7748" s="74"/>
      <c r="BJ7748" s="77"/>
      <c r="BL7748" s="497">
        <v>28.04</v>
      </c>
      <c r="BN7748" s="42"/>
      <c r="BO7748" s="74"/>
      <c r="BP7748" s="77"/>
      <c r="BR7748" s="497">
        <v>33.979999999999997</v>
      </c>
      <c r="BT7748" s="42"/>
    </row>
    <row r="7749" spans="1:72" x14ac:dyDescent="0.25">
      <c r="A7749" s="90">
        <v>36849</v>
      </c>
      <c r="B7749" s="20">
        <v>0.125</v>
      </c>
      <c r="D7749">
        <v>59</v>
      </c>
      <c r="E7749" t="str">
        <f t="shared" si="276"/>
        <v>SUNDAY</v>
      </c>
      <c r="F7749" t="e">
        <f t="shared" si="277"/>
        <v>#N/A</v>
      </c>
      <c r="G7749" s="74">
        <v>28813</v>
      </c>
      <c r="H7749" s="77">
        <v>0.125</v>
      </c>
      <c r="J7749">
        <v>46.04</v>
      </c>
      <c r="M7749" s="74">
        <v>36118</v>
      </c>
      <c r="N7749" s="77">
        <v>0.125</v>
      </c>
      <c r="P7749">
        <v>30.2</v>
      </c>
      <c r="S7749" s="74">
        <v>36849</v>
      </c>
      <c r="T7749" s="77">
        <v>0.125</v>
      </c>
      <c r="V7749">
        <v>37.94</v>
      </c>
      <c r="X7749" s="42"/>
      <c r="AB7749">
        <v>43.4</v>
      </c>
      <c r="AC7749">
        <v>53.96</v>
      </c>
      <c r="AE7749" s="74"/>
      <c r="AF7749" s="77"/>
      <c r="AH7749" s="497">
        <v>44.6</v>
      </c>
      <c r="AJ7749" s="42"/>
      <c r="AK7749" s="74"/>
      <c r="AL7749" s="77"/>
      <c r="AN7749" s="497">
        <v>30.92</v>
      </c>
      <c r="AP7749" s="42"/>
      <c r="AQ7749" s="74"/>
      <c r="AR7749" s="77"/>
      <c r="AT7749" s="497">
        <v>48.92</v>
      </c>
      <c r="AV7749" s="42"/>
      <c r="AW7749" s="74"/>
      <c r="AX7749" s="77"/>
      <c r="BA7749" s="497">
        <v>39.92</v>
      </c>
      <c r="BB7749" s="42"/>
      <c r="BC7749" s="74"/>
      <c r="BD7749" s="77"/>
      <c r="BF7749">
        <v>30.92</v>
      </c>
      <c r="BH7749" s="42"/>
      <c r="BI7749" s="74"/>
      <c r="BJ7749" s="77"/>
      <c r="BL7749" s="497">
        <v>28.04</v>
      </c>
      <c r="BN7749" s="42"/>
      <c r="BO7749" s="74"/>
      <c r="BP7749" s="77"/>
      <c r="BR7749" s="497">
        <v>32</v>
      </c>
      <c r="BT7749" s="42"/>
    </row>
    <row r="7750" spans="1:72" x14ac:dyDescent="0.25">
      <c r="A7750" s="90">
        <v>36849</v>
      </c>
      <c r="B7750" s="20">
        <v>0.16666666666666666</v>
      </c>
      <c r="D7750">
        <v>59</v>
      </c>
      <c r="E7750" t="str">
        <f t="shared" si="276"/>
        <v>SUNDAY</v>
      </c>
      <c r="F7750" t="e">
        <f t="shared" si="277"/>
        <v>#N/A</v>
      </c>
      <c r="G7750" s="74">
        <v>28813</v>
      </c>
      <c r="H7750" s="77">
        <v>0.16666666666666666</v>
      </c>
      <c r="J7750">
        <v>44.96</v>
      </c>
      <c r="M7750" s="74">
        <v>36118</v>
      </c>
      <c r="N7750" s="77">
        <v>0.16666666666666666</v>
      </c>
      <c r="P7750">
        <v>30.2</v>
      </c>
      <c r="S7750" s="74">
        <v>36849</v>
      </c>
      <c r="T7750" s="77">
        <v>0.16666666666666666</v>
      </c>
      <c r="V7750">
        <v>35.96</v>
      </c>
      <c r="X7750" s="42"/>
      <c r="AB7750">
        <v>43</v>
      </c>
      <c r="AC7750">
        <v>55.040000000000006</v>
      </c>
      <c r="AE7750" s="74"/>
      <c r="AF7750" s="77"/>
      <c r="AH7750" s="497">
        <v>44.6</v>
      </c>
      <c r="AJ7750" s="42"/>
      <c r="AK7750" s="74"/>
      <c r="AL7750" s="77"/>
      <c r="AN7750" s="497">
        <v>28.94</v>
      </c>
      <c r="AP7750" s="42"/>
      <c r="AQ7750" s="74"/>
      <c r="AR7750" s="77"/>
      <c r="AT7750" s="497">
        <v>48.019999999999996</v>
      </c>
      <c r="AV7750" s="42"/>
      <c r="AW7750" s="74"/>
      <c r="AX7750" s="77"/>
      <c r="BA7750" s="497">
        <v>39.92</v>
      </c>
      <c r="BB7750" s="42"/>
      <c r="BC7750" s="74"/>
      <c r="BD7750" s="77"/>
      <c r="BF7750">
        <v>32</v>
      </c>
      <c r="BH7750" s="42"/>
      <c r="BI7750" s="74"/>
      <c r="BJ7750" s="77"/>
      <c r="BL7750" s="497">
        <v>28.04</v>
      </c>
      <c r="BN7750" s="42"/>
      <c r="BO7750" s="74"/>
      <c r="BP7750" s="77"/>
      <c r="BR7750" s="497">
        <v>33.979999999999997</v>
      </c>
      <c r="BT7750" s="42"/>
    </row>
    <row r="7751" spans="1:72" x14ac:dyDescent="0.25">
      <c r="A7751" s="90">
        <v>36849</v>
      </c>
      <c r="B7751" s="20">
        <v>0.20833333333333334</v>
      </c>
      <c r="D7751">
        <v>57.92</v>
      </c>
      <c r="E7751" t="str">
        <f t="shared" si="276"/>
        <v>SUNDAY</v>
      </c>
      <c r="F7751" t="e">
        <f t="shared" si="277"/>
        <v>#N/A</v>
      </c>
      <c r="G7751" s="74">
        <v>28813</v>
      </c>
      <c r="H7751" s="77">
        <v>0.20833333333333334</v>
      </c>
      <c r="J7751">
        <v>46.04</v>
      </c>
      <c r="M7751" s="74">
        <v>36118</v>
      </c>
      <c r="N7751" s="77">
        <v>0.20833333333333334</v>
      </c>
      <c r="P7751">
        <v>30.2</v>
      </c>
      <c r="S7751" s="74">
        <v>36849</v>
      </c>
      <c r="T7751" s="77">
        <v>0.20833333333333334</v>
      </c>
      <c r="V7751">
        <v>35.06</v>
      </c>
      <c r="X7751" s="42"/>
      <c r="AB7751">
        <v>42.8</v>
      </c>
      <c r="AC7751">
        <v>55.040000000000006</v>
      </c>
      <c r="AE7751" s="74"/>
      <c r="AF7751" s="77"/>
      <c r="AH7751" s="497">
        <v>44.6</v>
      </c>
      <c r="AJ7751" s="42"/>
      <c r="AK7751" s="74"/>
      <c r="AL7751" s="77"/>
      <c r="AN7751" s="497">
        <v>28.94</v>
      </c>
      <c r="AP7751" s="42"/>
      <c r="AQ7751" s="74"/>
      <c r="AR7751" s="77"/>
      <c r="AT7751" s="497">
        <v>51.980000000000004</v>
      </c>
      <c r="AV7751" s="42"/>
      <c r="AW7751" s="74"/>
      <c r="AX7751" s="77"/>
      <c r="BA7751" s="497">
        <v>39.92</v>
      </c>
      <c r="BB7751" s="42"/>
      <c r="BC7751" s="74"/>
      <c r="BD7751" s="77"/>
      <c r="BF7751">
        <v>30.92</v>
      </c>
      <c r="BH7751" s="42"/>
      <c r="BI7751" s="74"/>
      <c r="BJ7751" s="77"/>
      <c r="BL7751" s="497">
        <v>28.04</v>
      </c>
      <c r="BN7751" s="42"/>
      <c r="BO7751" s="74"/>
      <c r="BP7751" s="77"/>
      <c r="BR7751" s="497">
        <v>35.06</v>
      </c>
      <c r="BT7751" s="42"/>
    </row>
    <row r="7752" spans="1:72" x14ac:dyDescent="0.25">
      <c r="A7752" s="90">
        <v>36849</v>
      </c>
      <c r="B7752" s="20">
        <v>0.25</v>
      </c>
      <c r="D7752">
        <v>57.019999999999996</v>
      </c>
      <c r="E7752" t="str">
        <f t="shared" si="276"/>
        <v>SUNDAY</v>
      </c>
      <c r="F7752" t="e">
        <f t="shared" si="277"/>
        <v>#N/A</v>
      </c>
      <c r="G7752" s="74">
        <v>28813</v>
      </c>
      <c r="H7752" s="77">
        <v>0.25</v>
      </c>
      <c r="J7752">
        <v>44.96</v>
      </c>
      <c r="M7752" s="74">
        <v>36118</v>
      </c>
      <c r="N7752" s="77">
        <v>0.25</v>
      </c>
      <c r="P7752">
        <v>32.9</v>
      </c>
      <c r="S7752" s="74">
        <v>36849</v>
      </c>
      <c r="T7752" s="77">
        <v>0.25</v>
      </c>
      <c r="V7752">
        <v>35.06</v>
      </c>
      <c r="X7752" s="42"/>
      <c r="AB7752">
        <v>42.6</v>
      </c>
      <c r="AC7752">
        <v>55.94</v>
      </c>
      <c r="AE7752" s="74"/>
      <c r="AF7752" s="77"/>
      <c r="AH7752" s="497">
        <v>39.200000000000003</v>
      </c>
      <c r="AJ7752" s="42"/>
      <c r="AK7752" s="74"/>
      <c r="AL7752" s="77"/>
      <c r="AN7752" s="497">
        <v>30.02</v>
      </c>
      <c r="AP7752" s="42"/>
      <c r="AQ7752" s="74"/>
      <c r="AR7752" s="77"/>
      <c r="AT7752" s="497">
        <v>51.08</v>
      </c>
      <c r="AV7752" s="42"/>
      <c r="AW7752" s="74"/>
      <c r="AX7752" s="77"/>
      <c r="BA7752" s="497">
        <v>39.92</v>
      </c>
      <c r="BB7752" s="42"/>
      <c r="BC7752" s="74"/>
      <c r="BD7752" s="77"/>
      <c r="BF7752">
        <v>33.08</v>
      </c>
      <c r="BH7752" s="42"/>
      <c r="BI7752" s="74"/>
      <c r="BJ7752" s="77"/>
      <c r="BL7752" s="497">
        <v>28.94</v>
      </c>
      <c r="BN7752" s="42"/>
      <c r="BO7752" s="74"/>
      <c r="BP7752" s="77"/>
      <c r="BR7752" s="497">
        <v>35.96</v>
      </c>
      <c r="BT7752" s="42"/>
    </row>
    <row r="7753" spans="1:72" x14ac:dyDescent="0.25">
      <c r="A7753" s="90">
        <v>36849</v>
      </c>
      <c r="B7753" s="20">
        <v>0.29166666666666669</v>
      </c>
      <c r="D7753">
        <v>55.94</v>
      </c>
      <c r="E7753" t="str">
        <f t="shared" si="276"/>
        <v>SUNDAY</v>
      </c>
      <c r="F7753" t="e">
        <f t="shared" si="277"/>
        <v>#N/A</v>
      </c>
      <c r="G7753" s="74">
        <v>28813</v>
      </c>
      <c r="H7753" s="77">
        <v>0.29166666666666669</v>
      </c>
      <c r="J7753">
        <v>46.04</v>
      </c>
      <c r="M7753" s="74">
        <v>36118</v>
      </c>
      <c r="N7753" s="77">
        <v>0.29166666666666669</v>
      </c>
      <c r="P7753">
        <v>35.6</v>
      </c>
      <c r="S7753" s="74">
        <v>36849</v>
      </c>
      <c r="T7753" s="77">
        <v>0.29166666666666669</v>
      </c>
      <c r="V7753">
        <v>35.06</v>
      </c>
      <c r="X7753" s="42"/>
      <c r="AB7753">
        <v>42.5</v>
      </c>
      <c r="AC7753">
        <v>57.019999999999996</v>
      </c>
      <c r="AE7753" s="74"/>
      <c r="AF7753" s="77"/>
      <c r="AH7753" s="497">
        <v>39.200000000000003</v>
      </c>
      <c r="AJ7753" s="42"/>
      <c r="AK7753" s="74"/>
      <c r="AL7753" s="77"/>
      <c r="AN7753" s="497">
        <v>30.92</v>
      </c>
      <c r="AP7753" s="42"/>
      <c r="AQ7753" s="74"/>
      <c r="AR7753" s="77"/>
      <c r="AT7753" s="497">
        <v>51.08</v>
      </c>
      <c r="AV7753" s="42"/>
      <c r="AW7753" s="74"/>
      <c r="AX7753" s="77"/>
      <c r="BA7753" s="497">
        <v>39.019999999999996</v>
      </c>
      <c r="BB7753" s="42"/>
      <c r="BC7753" s="74"/>
      <c r="BD7753" s="77"/>
      <c r="BF7753">
        <v>33.979999999999997</v>
      </c>
      <c r="BH7753" s="42"/>
      <c r="BI7753" s="74"/>
      <c r="BJ7753" s="77"/>
      <c r="BL7753" s="497">
        <v>28.94</v>
      </c>
      <c r="BN7753" s="42"/>
      <c r="BO7753" s="74"/>
      <c r="BP7753" s="77"/>
      <c r="BR7753" s="497">
        <v>33.08</v>
      </c>
      <c r="BT7753" s="42"/>
    </row>
    <row r="7754" spans="1:72" x14ac:dyDescent="0.25">
      <c r="A7754" s="90">
        <v>36849</v>
      </c>
      <c r="B7754" s="20">
        <v>0.33333333333333331</v>
      </c>
      <c r="D7754">
        <v>55.94</v>
      </c>
      <c r="E7754" t="str">
        <f t="shared" si="276"/>
        <v>SUNDAY</v>
      </c>
      <c r="F7754" t="e">
        <f t="shared" si="277"/>
        <v>#N/A</v>
      </c>
      <c r="G7754" s="74">
        <v>28813</v>
      </c>
      <c r="H7754" s="77">
        <v>0.33333333333333331</v>
      </c>
      <c r="J7754">
        <v>46.94</v>
      </c>
      <c r="M7754" s="74">
        <v>36118</v>
      </c>
      <c r="N7754" s="77">
        <v>0.33333333333333331</v>
      </c>
      <c r="P7754">
        <v>37.4</v>
      </c>
      <c r="S7754" s="74">
        <v>36849</v>
      </c>
      <c r="T7754" s="77">
        <v>0.33333333333333331</v>
      </c>
      <c r="V7754">
        <v>35.96</v>
      </c>
      <c r="X7754" s="42"/>
      <c r="AB7754">
        <v>42.4</v>
      </c>
      <c r="AC7754">
        <v>57.92</v>
      </c>
      <c r="AE7754" s="74"/>
      <c r="AF7754" s="77"/>
      <c r="AH7754" s="497">
        <v>41</v>
      </c>
      <c r="AJ7754" s="42"/>
      <c r="AK7754" s="74"/>
      <c r="AL7754" s="77"/>
      <c r="AN7754" s="497">
        <v>28.94</v>
      </c>
      <c r="AP7754" s="42"/>
      <c r="AQ7754" s="74"/>
      <c r="AR7754" s="77"/>
      <c r="AT7754" s="497">
        <v>51.980000000000004</v>
      </c>
      <c r="AV7754" s="42"/>
      <c r="AW7754" s="74"/>
      <c r="AX7754" s="77"/>
      <c r="BA7754" s="497">
        <v>39.019999999999996</v>
      </c>
      <c r="BB7754" s="42"/>
      <c r="BC7754" s="74"/>
      <c r="BD7754" s="77"/>
      <c r="BF7754">
        <v>35.06</v>
      </c>
      <c r="BH7754" s="42"/>
      <c r="BI7754" s="74"/>
      <c r="BJ7754" s="77"/>
      <c r="BL7754" s="497">
        <v>30.92</v>
      </c>
      <c r="BN7754" s="42"/>
      <c r="BO7754" s="74"/>
      <c r="BP7754" s="77"/>
      <c r="BR7754" s="497">
        <v>33.979999999999997</v>
      </c>
      <c r="BT7754" s="42"/>
    </row>
    <row r="7755" spans="1:72" x14ac:dyDescent="0.25">
      <c r="A7755" s="90">
        <v>36849</v>
      </c>
      <c r="B7755" s="20">
        <v>0.375</v>
      </c>
      <c r="D7755">
        <v>55.94</v>
      </c>
      <c r="E7755" t="str">
        <f t="shared" si="276"/>
        <v>SUNDAY</v>
      </c>
      <c r="F7755" t="e">
        <f t="shared" si="277"/>
        <v>#N/A</v>
      </c>
      <c r="G7755" s="74">
        <v>28813</v>
      </c>
      <c r="H7755" s="77">
        <v>0.375</v>
      </c>
      <c r="J7755">
        <v>48.92</v>
      </c>
      <c r="M7755" s="74">
        <v>36118</v>
      </c>
      <c r="N7755" s="77">
        <v>0.375</v>
      </c>
      <c r="P7755">
        <v>39.200000000000003</v>
      </c>
      <c r="S7755" s="74">
        <v>36849</v>
      </c>
      <c r="T7755" s="77">
        <v>0.375</v>
      </c>
      <c r="V7755">
        <v>35.96</v>
      </c>
      <c r="X7755" s="42"/>
      <c r="AB7755">
        <v>43.8</v>
      </c>
      <c r="AC7755">
        <v>57.92</v>
      </c>
      <c r="AE7755" s="74"/>
      <c r="AF7755" s="77"/>
      <c r="AH7755" s="497">
        <v>44.6</v>
      </c>
      <c r="AJ7755" s="42"/>
      <c r="AK7755" s="74"/>
      <c r="AL7755" s="77"/>
      <c r="AN7755" s="497">
        <v>28.94</v>
      </c>
      <c r="AP7755" s="42"/>
      <c r="AQ7755" s="74"/>
      <c r="AR7755" s="77"/>
      <c r="AT7755" s="497">
        <v>53.06</v>
      </c>
      <c r="AV7755" s="42"/>
      <c r="AW7755" s="74"/>
      <c r="AX7755" s="77"/>
      <c r="BA7755" s="497">
        <v>42.980000000000004</v>
      </c>
      <c r="BB7755" s="42"/>
      <c r="BC7755" s="74"/>
      <c r="BD7755" s="77"/>
      <c r="BF7755">
        <v>35.96</v>
      </c>
      <c r="BH7755" s="42"/>
      <c r="BI7755" s="74"/>
      <c r="BJ7755" s="77"/>
      <c r="BL7755" s="497">
        <v>33.979999999999997</v>
      </c>
      <c r="BN7755" s="42"/>
      <c r="BO7755" s="74"/>
      <c r="BP7755" s="77"/>
      <c r="BR7755" s="497">
        <v>39.019999999999996</v>
      </c>
      <c r="BT7755" s="42"/>
    </row>
    <row r="7756" spans="1:72" x14ac:dyDescent="0.25">
      <c r="A7756" s="90">
        <v>36849</v>
      </c>
      <c r="B7756" s="20">
        <v>0.41666666666666669</v>
      </c>
      <c r="D7756">
        <v>57.019999999999996</v>
      </c>
      <c r="E7756" t="str">
        <f t="shared" si="276"/>
        <v>SUNDAY</v>
      </c>
      <c r="F7756" t="e">
        <f t="shared" si="277"/>
        <v>#N/A</v>
      </c>
      <c r="G7756" s="74">
        <v>28813</v>
      </c>
      <c r="H7756" s="77">
        <v>0.41666666666666669</v>
      </c>
      <c r="J7756">
        <v>48.92</v>
      </c>
      <c r="M7756" s="74">
        <v>36118</v>
      </c>
      <c r="N7756" s="77">
        <v>0.41666666666666669</v>
      </c>
      <c r="P7756">
        <v>41</v>
      </c>
      <c r="S7756" s="74">
        <v>36849</v>
      </c>
      <c r="T7756" s="77">
        <v>0.41666666666666669</v>
      </c>
      <c r="V7756">
        <v>37.94</v>
      </c>
      <c r="X7756" s="42"/>
      <c r="AB7756">
        <v>45.7</v>
      </c>
      <c r="AC7756">
        <v>57.92</v>
      </c>
      <c r="AE7756" s="74"/>
      <c r="AF7756" s="77"/>
      <c r="AH7756" s="497">
        <v>48.2</v>
      </c>
      <c r="AJ7756" s="42"/>
      <c r="AK7756" s="74"/>
      <c r="AL7756" s="77"/>
      <c r="AN7756" s="497">
        <v>30.92</v>
      </c>
      <c r="AP7756" s="42"/>
      <c r="AQ7756" s="74"/>
      <c r="AR7756" s="77"/>
      <c r="AT7756" s="497">
        <v>55.040000000000006</v>
      </c>
      <c r="AV7756" s="42"/>
      <c r="AW7756" s="74"/>
      <c r="AX7756" s="77"/>
      <c r="BA7756" s="497">
        <v>44.96</v>
      </c>
      <c r="BB7756" s="42"/>
      <c r="BC7756" s="74"/>
      <c r="BD7756" s="77"/>
      <c r="BF7756">
        <v>37.94</v>
      </c>
      <c r="BH7756" s="42"/>
      <c r="BI7756" s="74"/>
      <c r="BJ7756" s="77"/>
      <c r="BL7756" s="497">
        <v>37.04</v>
      </c>
      <c r="BN7756" s="42"/>
      <c r="BO7756" s="74"/>
      <c r="BP7756" s="77"/>
      <c r="BR7756" s="497">
        <v>39.92</v>
      </c>
      <c r="BT7756" s="42"/>
    </row>
    <row r="7757" spans="1:72" x14ac:dyDescent="0.25">
      <c r="A7757" s="90">
        <v>36849</v>
      </c>
      <c r="B7757" s="20">
        <v>0.45833333333333331</v>
      </c>
      <c r="D7757">
        <v>57.019999999999996</v>
      </c>
      <c r="E7757" t="str">
        <f t="shared" si="276"/>
        <v>SUNDAY</v>
      </c>
      <c r="F7757" t="e">
        <f t="shared" si="277"/>
        <v>#N/A</v>
      </c>
      <c r="G7757" s="74">
        <v>28813</v>
      </c>
      <c r="H7757" s="77">
        <v>0.45833333333333331</v>
      </c>
      <c r="J7757">
        <v>48.92</v>
      </c>
      <c r="M7757" s="74">
        <v>36118</v>
      </c>
      <c r="N7757" s="77">
        <v>0.45833333333333331</v>
      </c>
      <c r="P7757">
        <v>46.4</v>
      </c>
      <c r="S7757" s="74">
        <v>36849</v>
      </c>
      <c r="T7757" s="77">
        <v>0.45833333333333331</v>
      </c>
      <c r="V7757">
        <v>39.019999999999996</v>
      </c>
      <c r="X7757" s="42"/>
      <c r="AB7757">
        <v>47.3</v>
      </c>
      <c r="AC7757">
        <v>59</v>
      </c>
      <c r="AE7757" s="74"/>
      <c r="AF7757" s="77"/>
      <c r="AH7757" s="497">
        <v>51.8</v>
      </c>
      <c r="AJ7757" s="42"/>
      <c r="AK7757" s="74"/>
      <c r="AL7757" s="77"/>
      <c r="AN7757" s="497">
        <v>33.08</v>
      </c>
      <c r="AP7757" s="42"/>
      <c r="AQ7757" s="74"/>
      <c r="AR7757" s="77"/>
      <c r="AT7757" s="497">
        <v>55.040000000000006</v>
      </c>
      <c r="AV7757" s="42"/>
      <c r="AW7757" s="74"/>
      <c r="AX7757" s="77"/>
      <c r="BA7757" s="497">
        <v>46.94</v>
      </c>
      <c r="BB7757" s="42"/>
      <c r="BC7757" s="74"/>
      <c r="BD7757" s="77"/>
      <c r="BF7757">
        <v>39.92</v>
      </c>
      <c r="BH7757" s="42"/>
      <c r="BI7757" s="74"/>
      <c r="BJ7757" s="77"/>
      <c r="BL7757" s="497">
        <v>39.019999999999996</v>
      </c>
      <c r="BN7757" s="42"/>
      <c r="BO7757" s="74"/>
      <c r="BP7757" s="77"/>
      <c r="BR7757" s="497">
        <v>42.08</v>
      </c>
      <c r="BT7757" s="42"/>
    </row>
    <row r="7758" spans="1:72" x14ac:dyDescent="0.25">
      <c r="A7758" s="90">
        <v>36849</v>
      </c>
      <c r="B7758" s="20">
        <v>0.5</v>
      </c>
      <c r="D7758">
        <v>57.92</v>
      </c>
      <c r="E7758" t="str">
        <f t="shared" si="276"/>
        <v>SUNDAY</v>
      </c>
      <c r="F7758" t="e">
        <f t="shared" si="277"/>
        <v>#N/A</v>
      </c>
      <c r="G7758" s="74">
        <v>28813</v>
      </c>
      <c r="H7758" s="77">
        <v>0.5</v>
      </c>
      <c r="J7758">
        <v>51.980000000000004</v>
      </c>
      <c r="M7758" s="74">
        <v>36118</v>
      </c>
      <c r="N7758" s="77">
        <v>0.5</v>
      </c>
      <c r="P7758">
        <v>48.2</v>
      </c>
      <c r="S7758" s="74">
        <v>36849</v>
      </c>
      <c r="T7758" s="77">
        <v>0.5</v>
      </c>
      <c r="V7758">
        <v>39.92</v>
      </c>
      <c r="X7758" s="42"/>
      <c r="AB7758">
        <v>48.6</v>
      </c>
      <c r="AC7758">
        <v>60.08</v>
      </c>
      <c r="AE7758" s="74"/>
      <c r="AF7758" s="77"/>
      <c r="AH7758" s="497">
        <v>53.6</v>
      </c>
      <c r="AJ7758" s="42"/>
      <c r="AK7758" s="74"/>
      <c r="AL7758" s="77"/>
      <c r="AN7758" s="497">
        <v>35.06</v>
      </c>
      <c r="AP7758" s="42"/>
      <c r="AQ7758" s="74"/>
      <c r="AR7758" s="77"/>
      <c r="AT7758" s="497">
        <v>57.019999999999996</v>
      </c>
      <c r="AV7758" s="42"/>
      <c r="AW7758" s="74"/>
      <c r="AX7758" s="77"/>
      <c r="BA7758" s="497">
        <v>46.94</v>
      </c>
      <c r="BB7758" s="42"/>
      <c r="BC7758" s="74"/>
      <c r="BD7758" s="77"/>
      <c r="BF7758">
        <v>42.08</v>
      </c>
      <c r="BH7758" s="42"/>
      <c r="BI7758" s="74"/>
      <c r="BJ7758" s="77"/>
      <c r="BL7758" s="497">
        <v>39.92</v>
      </c>
      <c r="BN7758" s="42"/>
      <c r="BO7758" s="74"/>
      <c r="BP7758" s="77"/>
      <c r="BR7758" s="497">
        <v>44.96</v>
      </c>
      <c r="BT7758" s="42"/>
    </row>
    <row r="7759" spans="1:72" x14ac:dyDescent="0.25">
      <c r="A7759" s="90">
        <v>36849</v>
      </c>
      <c r="B7759" s="20">
        <v>0.54166666666666663</v>
      </c>
      <c r="D7759">
        <v>60.08</v>
      </c>
      <c r="E7759" t="str">
        <f t="shared" si="276"/>
        <v>SUNDAY</v>
      </c>
      <c r="F7759" t="e">
        <f t="shared" si="277"/>
        <v>#N/A</v>
      </c>
      <c r="G7759" s="74">
        <v>28813</v>
      </c>
      <c r="H7759" s="77">
        <v>0.54166666666666663</v>
      </c>
      <c r="J7759">
        <v>51.980000000000004</v>
      </c>
      <c r="M7759" s="74">
        <v>36118</v>
      </c>
      <c r="N7759" s="77">
        <v>0.54166666666666663</v>
      </c>
      <c r="P7759">
        <v>50</v>
      </c>
      <c r="S7759" s="74">
        <v>36849</v>
      </c>
      <c r="T7759" s="77">
        <v>0.54166666666666663</v>
      </c>
      <c r="V7759">
        <v>39.92</v>
      </c>
      <c r="X7759" s="42"/>
      <c r="AB7759">
        <v>49.6</v>
      </c>
      <c r="AC7759">
        <v>60.08</v>
      </c>
      <c r="AE7759" s="74"/>
      <c r="AF7759" s="77"/>
      <c r="AH7759" s="497">
        <v>55.400000000000006</v>
      </c>
      <c r="AJ7759" s="42"/>
      <c r="AK7759" s="74"/>
      <c r="AL7759" s="77"/>
      <c r="AN7759" s="497">
        <v>35.96</v>
      </c>
      <c r="AP7759" s="42"/>
      <c r="AQ7759" s="74"/>
      <c r="AR7759" s="77"/>
      <c r="AT7759" s="497">
        <v>55.040000000000006</v>
      </c>
      <c r="AV7759" s="42"/>
      <c r="AW7759" s="74"/>
      <c r="AX7759" s="77"/>
      <c r="BA7759" s="497">
        <v>48.92</v>
      </c>
      <c r="BB7759" s="42"/>
      <c r="BC7759" s="74"/>
      <c r="BD7759" s="77"/>
      <c r="BF7759">
        <v>44.06</v>
      </c>
      <c r="BH7759" s="42"/>
      <c r="BI7759" s="74"/>
      <c r="BJ7759" s="77"/>
      <c r="BL7759" s="497">
        <v>41</v>
      </c>
      <c r="BN7759" s="42"/>
      <c r="BO7759" s="74"/>
      <c r="BP7759" s="77"/>
      <c r="BR7759" s="497">
        <v>44.96</v>
      </c>
      <c r="BT7759" s="42"/>
    </row>
    <row r="7760" spans="1:72" x14ac:dyDescent="0.25">
      <c r="A7760" s="90">
        <v>36849</v>
      </c>
      <c r="B7760" s="20">
        <v>0.58333333333333337</v>
      </c>
      <c r="D7760">
        <v>60.08</v>
      </c>
      <c r="E7760" t="str">
        <f t="shared" si="276"/>
        <v>SUNDAY</v>
      </c>
      <c r="F7760" t="e">
        <f t="shared" si="277"/>
        <v>#N/A</v>
      </c>
      <c r="G7760" s="74">
        <v>28813</v>
      </c>
      <c r="H7760" s="77">
        <v>0.58333333333333337</v>
      </c>
      <c r="J7760">
        <v>53.06</v>
      </c>
      <c r="M7760" s="74">
        <v>36118</v>
      </c>
      <c r="N7760" s="77">
        <v>0.58333333333333337</v>
      </c>
      <c r="P7760">
        <v>50</v>
      </c>
      <c r="S7760" s="74">
        <v>36849</v>
      </c>
      <c r="T7760" s="77">
        <v>0.58333333333333337</v>
      </c>
      <c r="V7760">
        <v>39.92</v>
      </c>
      <c r="X7760" s="42"/>
      <c r="AB7760">
        <v>50.3</v>
      </c>
      <c r="AC7760">
        <v>60.980000000000004</v>
      </c>
      <c r="AE7760" s="74"/>
      <c r="AF7760" s="77"/>
      <c r="AH7760" s="497">
        <v>57.2</v>
      </c>
      <c r="AJ7760" s="42"/>
      <c r="AK7760" s="74"/>
      <c r="AL7760" s="77"/>
      <c r="AN7760" s="497">
        <v>37.04</v>
      </c>
      <c r="AP7760" s="42"/>
      <c r="AQ7760" s="74"/>
      <c r="AR7760" s="77"/>
      <c r="AT7760" s="497">
        <v>55.94</v>
      </c>
      <c r="AV7760" s="42"/>
      <c r="AW7760" s="74"/>
      <c r="AX7760" s="77"/>
      <c r="BA7760" s="497">
        <v>50</v>
      </c>
      <c r="BB7760" s="42"/>
      <c r="BC7760" s="74"/>
      <c r="BD7760" s="77"/>
      <c r="BF7760">
        <v>46.04</v>
      </c>
      <c r="BH7760" s="42"/>
      <c r="BI7760" s="74"/>
      <c r="BJ7760" s="77"/>
      <c r="BL7760" s="497">
        <v>42.08</v>
      </c>
      <c r="BN7760" s="42"/>
      <c r="BO7760" s="74"/>
      <c r="BP7760" s="77"/>
      <c r="BR7760" s="497">
        <v>44.96</v>
      </c>
      <c r="BT7760" s="42"/>
    </row>
    <row r="7761" spans="1:72" x14ac:dyDescent="0.25">
      <c r="A7761" s="90">
        <v>36849</v>
      </c>
      <c r="B7761" s="20">
        <v>0.625</v>
      </c>
      <c r="D7761">
        <v>60.08</v>
      </c>
      <c r="E7761" t="str">
        <f t="shared" si="276"/>
        <v>SUNDAY</v>
      </c>
      <c r="F7761" t="e">
        <f t="shared" si="277"/>
        <v>#N/A</v>
      </c>
      <c r="G7761" s="74">
        <v>28813</v>
      </c>
      <c r="H7761" s="77">
        <v>0.625</v>
      </c>
      <c r="J7761">
        <v>53.06</v>
      </c>
      <c r="M7761" s="74">
        <v>36118</v>
      </c>
      <c r="N7761" s="77">
        <v>0.625</v>
      </c>
      <c r="P7761">
        <v>50</v>
      </c>
      <c r="S7761" s="74">
        <v>36849</v>
      </c>
      <c r="T7761" s="77">
        <v>0.625</v>
      </c>
      <c r="V7761">
        <v>39.92</v>
      </c>
      <c r="X7761" s="42"/>
      <c r="AB7761">
        <v>50.5</v>
      </c>
      <c r="AC7761">
        <v>60.980000000000004</v>
      </c>
      <c r="AE7761" s="74"/>
      <c r="AF7761" s="77"/>
      <c r="AH7761" s="497">
        <v>57.2</v>
      </c>
      <c r="AJ7761" s="42"/>
      <c r="AK7761" s="74"/>
      <c r="AL7761" s="77"/>
      <c r="AN7761" s="497">
        <v>37.94</v>
      </c>
      <c r="AP7761" s="42"/>
      <c r="AQ7761" s="74"/>
      <c r="AR7761" s="77"/>
      <c r="AT7761" s="497">
        <v>53.96</v>
      </c>
      <c r="AV7761" s="42"/>
      <c r="AW7761" s="74"/>
      <c r="AX7761" s="77"/>
      <c r="BA7761" s="497">
        <v>50</v>
      </c>
      <c r="BB7761" s="42"/>
      <c r="BC7761" s="74"/>
      <c r="BD7761" s="77"/>
      <c r="BF7761">
        <v>46.04</v>
      </c>
      <c r="BH7761" s="42"/>
      <c r="BI7761" s="74"/>
      <c r="BJ7761" s="77"/>
      <c r="BL7761" s="497">
        <v>42.08</v>
      </c>
      <c r="BN7761" s="42"/>
      <c r="BO7761" s="74"/>
      <c r="BP7761" s="77"/>
      <c r="BR7761" s="497">
        <v>44.96</v>
      </c>
      <c r="BT7761" s="42"/>
    </row>
    <row r="7762" spans="1:72" x14ac:dyDescent="0.25">
      <c r="A7762" s="90">
        <v>36849</v>
      </c>
      <c r="B7762" s="20">
        <v>0.66666666666666663</v>
      </c>
      <c r="D7762">
        <v>60.08</v>
      </c>
      <c r="E7762" t="str">
        <f t="shared" si="276"/>
        <v>SUNDAY</v>
      </c>
      <c r="F7762" t="e">
        <f t="shared" si="277"/>
        <v>#N/A</v>
      </c>
      <c r="G7762" s="74">
        <v>28813</v>
      </c>
      <c r="H7762" s="77">
        <v>0.66666666666666663</v>
      </c>
      <c r="J7762">
        <v>53.06</v>
      </c>
      <c r="M7762" s="74">
        <v>36118</v>
      </c>
      <c r="N7762" s="77">
        <v>0.66666666666666663</v>
      </c>
      <c r="P7762">
        <v>50</v>
      </c>
      <c r="S7762" s="74">
        <v>36849</v>
      </c>
      <c r="T7762" s="77">
        <v>0.66666666666666663</v>
      </c>
      <c r="V7762">
        <v>39.019999999999996</v>
      </c>
      <c r="X7762" s="42"/>
      <c r="AB7762">
        <v>50.2</v>
      </c>
      <c r="AC7762">
        <v>60.980000000000004</v>
      </c>
      <c r="AE7762" s="74"/>
      <c r="AF7762" s="77"/>
      <c r="AH7762" s="497">
        <v>57.2</v>
      </c>
      <c r="AJ7762" s="42"/>
      <c r="AK7762" s="74"/>
      <c r="AL7762" s="77"/>
      <c r="AN7762" s="497">
        <v>37.04</v>
      </c>
      <c r="AP7762" s="42"/>
      <c r="AQ7762" s="74"/>
      <c r="AR7762" s="77"/>
      <c r="AT7762" s="497">
        <v>51.980000000000004</v>
      </c>
      <c r="AV7762" s="42"/>
      <c r="AW7762" s="74"/>
      <c r="AX7762" s="77"/>
      <c r="BA7762" s="497">
        <v>48.92</v>
      </c>
      <c r="BB7762" s="42"/>
      <c r="BC7762" s="74"/>
      <c r="BD7762" s="77"/>
      <c r="BF7762">
        <v>44.96</v>
      </c>
      <c r="BH7762" s="42"/>
      <c r="BI7762" s="74"/>
      <c r="BJ7762" s="77"/>
      <c r="BL7762" s="497">
        <v>42.08</v>
      </c>
      <c r="BN7762" s="42"/>
      <c r="BO7762" s="74"/>
      <c r="BP7762" s="77"/>
      <c r="BR7762" s="497">
        <v>44.06</v>
      </c>
      <c r="BT7762" s="42"/>
    </row>
    <row r="7763" spans="1:72" x14ac:dyDescent="0.25">
      <c r="A7763" s="90">
        <v>36849</v>
      </c>
      <c r="B7763" s="20">
        <v>0.70833333333333337</v>
      </c>
      <c r="D7763">
        <v>59</v>
      </c>
      <c r="E7763" t="str">
        <f t="shared" ref="E7763:E7826" si="278">IF(COUNTIF($DI$18:$DI$22, WEEKDAY(A7763))=1, "WEEKDAY", IF(WEEKDAY(A7763) = 1, "SUNDAY", "SATURDAY"))</f>
        <v>SUNDAY</v>
      </c>
      <c r="F7763" t="e">
        <f t="shared" si="277"/>
        <v>#N/A</v>
      </c>
      <c r="G7763" s="74">
        <v>28813</v>
      </c>
      <c r="H7763" s="77">
        <v>0.70833333333333337</v>
      </c>
      <c r="J7763">
        <v>51.08</v>
      </c>
      <c r="M7763" s="74">
        <v>36118</v>
      </c>
      <c r="N7763" s="77">
        <v>0.70833333333333337</v>
      </c>
      <c r="P7763">
        <v>46.4</v>
      </c>
      <c r="S7763" s="74">
        <v>36849</v>
      </c>
      <c r="T7763" s="77">
        <v>0.70833333333333337</v>
      </c>
      <c r="V7763">
        <v>39.019999999999996</v>
      </c>
      <c r="X7763" s="42"/>
      <c r="AB7763">
        <v>49.2</v>
      </c>
      <c r="AC7763">
        <v>60.980000000000004</v>
      </c>
      <c r="AE7763" s="74"/>
      <c r="AF7763" s="77"/>
      <c r="AH7763" s="497">
        <v>55.400000000000006</v>
      </c>
      <c r="AJ7763" s="42"/>
      <c r="AK7763" s="74"/>
      <c r="AL7763" s="77"/>
      <c r="AN7763" s="497">
        <v>37.04</v>
      </c>
      <c r="AP7763" s="42"/>
      <c r="AQ7763" s="74"/>
      <c r="AR7763" s="77"/>
      <c r="AT7763" s="497">
        <v>50</v>
      </c>
      <c r="AV7763" s="42"/>
      <c r="AW7763" s="74"/>
      <c r="AX7763" s="77"/>
      <c r="BA7763" s="497">
        <v>46.94</v>
      </c>
      <c r="BB7763" s="42"/>
      <c r="BC7763" s="74"/>
      <c r="BD7763" s="77"/>
      <c r="BF7763">
        <v>44.96</v>
      </c>
      <c r="BH7763" s="42"/>
      <c r="BI7763" s="74"/>
      <c r="BJ7763" s="77"/>
      <c r="BL7763" s="497">
        <v>42.08</v>
      </c>
      <c r="BN7763" s="42"/>
      <c r="BO7763" s="74"/>
      <c r="BP7763" s="77"/>
      <c r="BR7763" s="497">
        <v>44.06</v>
      </c>
      <c r="BT7763" s="42"/>
    </row>
    <row r="7764" spans="1:72" x14ac:dyDescent="0.25">
      <c r="A7764" s="90">
        <v>36849</v>
      </c>
      <c r="B7764" s="20">
        <v>0.75</v>
      </c>
      <c r="D7764">
        <v>57.019999999999996</v>
      </c>
      <c r="E7764" t="str">
        <f t="shared" si="278"/>
        <v>SUNDAY</v>
      </c>
      <c r="F7764" t="e">
        <f t="shared" si="277"/>
        <v>#N/A</v>
      </c>
      <c r="G7764" s="74">
        <v>28813</v>
      </c>
      <c r="H7764" s="77">
        <v>0.75</v>
      </c>
      <c r="J7764">
        <v>51.08</v>
      </c>
      <c r="M7764" s="74">
        <v>36118</v>
      </c>
      <c r="N7764" s="77">
        <v>0.75</v>
      </c>
      <c r="P7764">
        <v>46.94</v>
      </c>
      <c r="S7764" s="74">
        <v>36849</v>
      </c>
      <c r="T7764" s="77">
        <v>0.75</v>
      </c>
      <c r="V7764">
        <v>39.019999999999996</v>
      </c>
      <c r="X7764" s="42"/>
      <c r="AB7764">
        <v>47.8</v>
      </c>
      <c r="AC7764">
        <v>60.980000000000004</v>
      </c>
      <c r="AE7764" s="74"/>
      <c r="AF7764" s="77"/>
      <c r="AH7764" s="497">
        <v>53.6</v>
      </c>
      <c r="AJ7764" s="42"/>
      <c r="AK7764" s="74"/>
      <c r="AL7764" s="77"/>
      <c r="AN7764" s="497">
        <v>35.96</v>
      </c>
      <c r="AP7764" s="42"/>
      <c r="AQ7764" s="74"/>
      <c r="AR7764" s="77"/>
      <c r="AT7764" s="497">
        <v>42.980000000000004</v>
      </c>
      <c r="AV7764" s="42"/>
      <c r="AW7764" s="74"/>
      <c r="AX7764" s="77"/>
      <c r="BA7764" s="497">
        <v>44.06</v>
      </c>
      <c r="BB7764" s="42"/>
      <c r="BC7764" s="74"/>
      <c r="BD7764" s="77"/>
      <c r="BF7764">
        <v>44.06</v>
      </c>
      <c r="BH7764" s="42"/>
      <c r="BI7764" s="74"/>
      <c r="BJ7764" s="77"/>
      <c r="BL7764" s="497">
        <v>42.08</v>
      </c>
      <c r="BN7764" s="42"/>
      <c r="BO7764" s="74"/>
      <c r="BP7764" s="77"/>
      <c r="BR7764" s="497">
        <v>42.08</v>
      </c>
      <c r="BT7764" s="42"/>
    </row>
    <row r="7765" spans="1:72" x14ac:dyDescent="0.25">
      <c r="A7765" s="90">
        <v>36849</v>
      </c>
      <c r="B7765" s="20">
        <v>0.79166666666666663</v>
      </c>
      <c r="D7765">
        <v>55.94</v>
      </c>
      <c r="E7765" t="str">
        <f t="shared" si="278"/>
        <v>SUNDAY</v>
      </c>
      <c r="F7765" t="e">
        <f t="shared" si="277"/>
        <v>#N/A</v>
      </c>
      <c r="G7765" s="74">
        <v>28813</v>
      </c>
      <c r="H7765" s="77">
        <v>0.79166666666666663</v>
      </c>
      <c r="J7765">
        <v>51.08</v>
      </c>
      <c r="M7765" s="74">
        <v>36118</v>
      </c>
      <c r="N7765" s="77">
        <v>0.79166666666666663</v>
      </c>
      <c r="P7765">
        <v>48.2</v>
      </c>
      <c r="S7765" s="74">
        <v>36849</v>
      </c>
      <c r="T7765" s="77">
        <v>0.79166666666666663</v>
      </c>
      <c r="V7765">
        <v>37.04</v>
      </c>
      <c r="X7765" s="42"/>
      <c r="AB7765">
        <v>47.2</v>
      </c>
      <c r="AC7765">
        <v>60.980000000000004</v>
      </c>
      <c r="AE7765" s="74"/>
      <c r="AF7765" s="77"/>
      <c r="AH7765" s="497">
        <v>50</v>
      </c>
      <c r="AJ7765" s="42"/>
      <c r="AK7765" s="74"/>
      <c r="AL7765" s="77"/>
      <c r="AN7765" s="497">
        <v>35.96</v>
      </c>
      <c r="AP7765" s="42"/>
      <c r="AQ7765" s="74"/>
      <c r="AR7765" s="77"/>
      <c r="AT7765" s="497">
        <v>44.06</v>
      </c>
      <c r="AV7765" s="42"/>
      <c r="AW7765" s="74"/>
      <c r="AX7765" s="77"/>
      <c r="BA7765" s="497">
        <v>44.06</v>
      </c>
      <c r="BB7765" s="42"/>
      <c r="BC7765" s="74"/>
      <c r="BD7765" s="77"/>
      <c r="BF7765">
        <v>44.06</v>
      </c>
      <c r="BH7765" s="42"/>
      <c r="BI7765" s="74"/>
      <c r="BJ7765" s="77"/>
      <c r="BL7765" s="497">
        <v>42.980000000000004</v>
      </c>
      <c r="BN7765" s="42"/>
      <c r="BO7765" s="74"/>
      <c r="BP7765" s="77"/>
      <c r="BR7765" s="497">
        <v>39.92</v>
      </c>
      <c r="BT7765" s="42"/>
    </row>
    <row r="7766" spans="1:72" x14ac:dyDescent="0.25">
      <c r="A7766" s="90">
        <v>36849</v>
      </c>
      <c r="B7766" s="20">
        <v>0.83333333333333337</v>
      </c>
      <c r="D7766">
        <v>53.96</v>
      </c>
      <c r="E7766" t="str">
        <f t="shared" si="278"/>
        <v>SUNDAY</v>
      </c>
      <c r="F7766" t="e">
        <f t="shared" si="277"/>
        <v>#N/A</v>
      </c>
      <c r="G7766" s="74">
        <v>28813</v>
      </c>
      <c r="H7766" s="77">
        <v>0.83333333333333337</v>
      </c>
      <c r="J7766">
        <v>51.08</v>
      </c>
      <c r="M7766" s="74">
        <v>36118</v>
      </c>
      <c r="N7766" s="77">
        <v>0.83333333333333337</v>
      </c>
      <c r="P7766">
        <v>48.2</v>
      </c>
      <c r="S7766" s="74">
        <v>36849</v>
      </c>
      <c r="T7766" s="77">
        <v>0.83333333333333337</v>
      </c>
      <c r="V7766">
        <v>35.96</v>
      </c>
      <c r="X7766" s="42"/>
      <c r="AB7766">
        <v>46.9</v>
      </c>
      <c r="AC7766">
        <v>60.980000000000004</v>
      </c>
      <c r="AE7766" s="74"/>
      <c r="AF7766" s="77"/>
      <c r="AH7766" s="497">
        <v>46.4</v>
      </c>
      <c r="AJ7766" s="42"/>
      <c r="AK7766" s="74"/>
      <c r="AL7766" s="77"/>
      <c r="AN7766" s="497">
        <v>35.96</v>
      </c>
      <c r="AP7766" s="42"/>
      <c r="AQ7766" s="74"/>
      <c r="AR7766" s="77"/>
      <c r="AT7766" s="497">
        <v>42.08</v>
      </c>
      <c r="AV7766" s="42"/>
      <c r="AW7766" s="74"/>
      <c r="AX7766" s="77"/>
      <c r="BA7766" s="497">
        <v>42.08</v>
      </c>
      <c r="BB7766" s="42"/>
      <c r="BC7766" s="74"/>
      <c r="BD7766" s="77"/>
      <c r="BF7766">
        <v>44.06</v>
      </c>
      <c r="BH7766" s="42"/>
      <c r="BI7766" s="74"/>
      <c r="BJ7766" s="77"/>
      <c r="BL7766" s="497">
        <v>42.08</v>
      </c>
      <c r="BN7766" s="42"/>
      <c r="BO7766" s="74"/>
      <c r="BP7766" s="77"/>
      <c r="BR7766" s="497">
        <v>42.08</v>
      </c>
      <c r="BT7766" s="42"/>
    </row>
    <row r="7767" spans="1:72" x14ac:dyDescent="0.25">
      <c r="A7767" s="90">
        <v>36849</v>
      </c>
      <c r="B7767" s="20">
        <v>0.875</v>
      </c>
      <c r="D7767">
        <v>53.06</v>
      </c>
      <c r="E7767" t="str">
        <f t="shared" si="278"/>
        <v>SUNDAY</v>
      </c>
      <c r="F7767" t="e">
        <f t="shared" si="277"/>
        <v>#N/A</v>
      </c>
      <c r="G7767" s="74">
        <v>28813</v>
      </c>
      <c r="H7767" s="77">
        <v>0.875</v>
      </c>
      <c r="J7767">
        <v>50</v>
      </c>
      <c r="M7767" s="74">
        <v>36118</v>
      </c>
      <c r="N7767" s="77">
        <v>0.875</v>
      </c>
      <c r="P7767">
        <v>48.2</v>
      </c>
      <c r="S7767" s="74">
        <v>36849</v>
      </c>
      <c r="T7767" s="77">
        <v>0.875</v>
      </c>
      <c r="V7767">
        <v>35.96</v>
      </c>
      <c r="X7767" s="42"/>
      <c r="AB7767">
        <v>46.3</v>
      </c>
      <c r="AC7767">
        <v>60.980000000000004</v>
      </c>
      <c r="AE7767" s="74"/>
      <c r="AF7767" s="77"/>
      <c r="AH7767" s="497">
        <v>51.8</v>
      </c>
      <c r="AJ7767" s="42"/>
      <c r="AK7767" s="74"/>
      <c r="AL7767" s="77"/>
      <c r="AN7767" s="497">
        <v>35.96</v>
      </c>
      <c r="AP7767" s="42"/>
      <c r="AQ7767" s="74"/>
      <c r="AR7767" s="77"/>
      <c r="AT7767" s="497">
        <v>41</v>
      </c>
      <c r="AV7767" s="42"/>
      <c r="AW7767" s="74"/>
      <c r="AX7767" s="77"/>
      <c r="BA7767" s="497">
        <v>44.06</v>
      </c>
      <c r="BB7767" s="42"/>
      <c r="BC7767" s="74"/>
      <c r="BD7767" s="77"/>
      <c r="BF7767">
        <v>42.980000000000004</v>
      </c>
      <c r="BH7767" s="42"/>
      <c r="BI7767" s="74"/>
      <c r="BJ7767" s="77"/>
      <c r="BL7767" s="497">
        <v>42.08</v>
      </c>
      <c r="BN7767" s="42"/>
      <c r="BO7767" s="74"/>
      <c r="BP7767" s="77"/>
      <c r="BR7767" s="497">
        <v>39.92</v>
      </c>
      <c r="BT7767" s="42"/>
    </row>
    <row r="7768" spans="1:72" x14ac:dyDescent="0.25">
      <c r="A7768" s="90">
        <v>36849</v>
      </c>
      <c r="B7768" s="20">
        <v>0.91666666666666663</v>
      </c>
      <c r="D7768">
        <v>51.980000000000004</v>
      </c>
      <c r="E7768" t="str">
        <f t="shared" si="278"/>
        <v>SUNDAY</v>
      </c>
      <c r="F7768" t="e">
        <f t="shared" si="277"/>
        <v>#N/A</v>
      </c>
      <c r="G7768" s="74">
        <v>28813</v>
      </c>
      <c r="H7768" s="77">
        <v>0.91666666666666663</v>
      </c>
      <c r="J7768">
        <v>48.92</v>
      </c>
      <c r="M7768" s="74">
        <v>36118</v>
      </c>
      <c r="N7768" s="77">
        <v>0.91666666666666663</v>
      </c>
      <c r="P7768">
        <v>48.2</v>
      </c>
      <c r="S7768" s="74">
        <v>36849</v>
      </c>
      <c r="T7768" s="77">
        <v>0.91666666666666663</v>
      </c>
      <c r="V7768">
        <v>35.96</v>
      </c>
      <c r="X7768" s="42"/>
      <c r="AB7768">
        <v>45.7</v>
      </c>
      <c r="AC7768">
        <v>60.980000000000004</v>
      </c>
      <c r="AE7768" s="74"/>
      <c r="AF7768" s="77"/>
      <c r="AH7768" s="497">
        <v>53.6</v>
      </c>
      <c r="AJ7768" s="42"/>
      <c r="AK7768" s="74"/>
      <c r="AL7768" s="77"/>
      <c r="AN7768" s="497">
        <v>35.96</v>
      </c>
      <c r="AP7768" s="42"/>
      <c r="AQ7768" s="74"/>
      <c r="AR7768" s="77"/>
      <c r="AT7768" s="497">
        <v>41</v>
      </c>
      <c r="AV7768" s="42"/>
      <c r="AW7768" s="74"/>
      <c r="AX7768" s="77"/>
      <c r="BA7768" s="497">
        <v>44.06</v>
      </c>
      <c r="BB7768" s="42"/>
      <c r="BC7768" s="74"/>
      <c r="BD7768" s="77"/>
      <c r="BF7768">
        <v>42.980000000000004</v>
      </c>
      <c r="BH7768" s="42"/>
      <c r="BI7768" s="74"/>
      <c r="BJ7768" s="77"/>
      <c r="BL7768" s="497">
        <v>42.980000000000004</v>
      </c>
      <c r="BN7768" s="42"/>
      <c r="BO7768" s="74"/>
      <c r="BP7768" s="77"/>
      <c r="BR7768" s="497">
        <v>42.08</v>
      </c>
      <c r="BT7768" s="42"/>
    </row>
    <row r="7769" spans="1:72" x14ac:dyDescent="0.25">
      <c r="A7769" s="90">
        <v>36849</v>
      </c>
      <c r="B7769" s="20">
        <v>0.95833333333333337</v>
      </c>
      <c r="D7769">
        <v>51.08</v>
      </c>
      <c r="E7769" t="str">
        <f t="shared" si="278"/>
        <v>SUNDAY</v>
      </c>
      <c r="F7769" t="e">
        <f t="shared" si="277"/>
        <v>#N/A</v>
      </c>
      <c r="G7769" s="74">
        <v>28813</v>
      </c>
      <c r="H7769" s="77">
        <v>0.95833333333333337</v>
      </c>
      <c r="J7769">
        <v>46.94</v>
      </c>
      <c r="M7769" s="74">
        <v>36118</v>
      </c>
      <c r="N7769" s="77">
        <v>0.95833333333333337</v>
      </c>
      <c r="P7769">
        <v>48.2</v>
      </c>
      <c r="S7769" s="74">
        <v>36849</v>
      </c>
      <c r="T7769" s="77">
        <v>0.95833333333333337</v>
      </c>
      <c r="V7769">
        <v>35.06</v>
      </c>
      <c r="X7769" s="42"/>
      <c r="AB7769">
        <v>45.2</v>
      </c>
      <c r="AC7769">
        <v>60.08</v>
      </c>
      <c r="AE7769" s="74"/>
      <c r="AF7769" s="77"/>
      <c r="AH7769" s="497">
        <v>51.8</v>
      </c>
      <c r="AJ7769" s="42"/>
      <c r="AK7769" s="74"/>
      <c r="AL7769" s="77"/>
      <c r="AN7769" s="497">
        <v>35.96</v>
      </c>
      <c r="AP7769" s="42"/>
      <c r="AQ7769" s="74"/>
      <c r="AR7769" s="77"/>
      <c r="AT7769" s="497">
        <v>41</v>
      </c>
      <c r="AV7769" s="42"/>
      <c r="AW7769" s="74"/>
      <c r="AX7769" s="77"/>
      <c r="BA7769" s="497">
        <v>44.06</v>
      </c>
      <c r="BB7769" s="42"/>
      <c r="BC7769" s="74"/>
      <c r="BD7769" s="77"/>
      <c r="BF7769">
        <v>42.08</v>
      </c>
      <c r="BH7769" s="42"/>
      <c r="BI7769" s="74"/>
      <c r="BJ7769" s="77"/>
      <c r="BL7769" s="497">
        <v>42.980000000000004</v>
      </c>
      <c r="BN7769" s="42"/>
      <c r="BO7769" s="74"/>
      <c r="BP7769" s="77"/>
      <c r="BR7769" s="497">
        <v>42.980000000000004</v>
      </c>
      <c r="BT7769" s="42"/>
    </row>
    <row r="7770" spans="1:72" x14ac:dyDescent="0.25">
      <c r="A7770" s="90">
        <v>36849</v>
      </c>
      <c r="B7770" s="20">
        <v>1</v>
      </c>
      <c r="D7770">
        <v>50</v>
      </c>
      <c r="E7770" t="str">
        <f t="shared" si="278"/>
        <v>SUNDAY</v>
      </c>
      <c r="F7770" t="e">
        <f t="shared" si="277"/>
        <v>#N/A</v>
      </c>
      <c r="G7770" s="74">
        <v>28813</v>
      </c>
      <c r="H7770" s="77">
        <v>1</v>
      </c>
      <c r="J7770">
        <v>46.04</v>
      </c>
      <c r="M7770" s="74">
        <v>36118</v>
      </c>
      <c r="N7770" s="80">
        <v>1</v>
      </c>
      <c r="P7770">
        <v>48.2</v>
      </c>
      <c r="S7770" s="74">
        <v>36849</v>
      </c>
      <c r="T7770" s="80">
        <v>1</v>
      </c>
      <c r="V7770">
        <v>33.979999999999997</v>
      </c>
      <c r="X7770" s="42"/>
      <c r="AB7770">
        <v>44.7</v>
      </c>
      <c r="AC7770">
        <v>57.92</v>
      </c>
      <c r="AE7770" s="74"/>
      <c r="AF7770" s="80"/>
      <c r="AH7770" s="497">
        <v>44.6</v>
      </c>
      <c r="AJ7770" s="42"/>
      <c r="AK7770" s="74"/>
      <c r="AL7770" s="80"/>
      <c r="AN7770" s="497">
        <v>35.96</v>
      </c>
      <c r="AP7770" s="42"/>
      <c r="AQ7770" s="74"/>
      <c r="AR7770" s="80"/>
      <c r="AT7770" s="497">
        <v>41</v>
      </c>
      <c r="AV7770" s="42"/>
      <c r="AW7770" s="74"/>
      <c r="AX7770" s="80"/>
      <c r="BA7770" s="497">
        <v>44.96</v>
      </c>
      <c r="BB7770" s="42"/>
      <c r="BC7770" s="74"/>
      <c r="BD7770" s="80"/>
      <c r="BF7770">
        <v>42.980000000000004</v>
      </c>
      <c r="BH7770" s="42"/>
      <c r="BI7770" s="74"/>
      <c r="BJ7770" s="80"/>
      <c r="BL7770" s="497">
        <v>42.08</v>
      </c>
      <c r="BN7770" s="42"/>
      <c r="BO7770" s="74"/>
      <c r="BP7770" s="80"/>
      <c r="BR7770" s="497">
        <v>42.980000000000004</v>
      </c>
      <c r="BT7770" s="42"/>
    </row>
    <row r="7771" spans="1:72" x14ac:dyDescent="0.25">
      <c r="A7771" s="90">
        <v>36850</v>
      </c>
      <c r="B7771" s="20">
        <v>4.1666666666666664E-2</v>
      </c>
      <c r="D7771">
        <v>48.92</v>
      </c>
      <c r="E7771" t="str">
        <f t="shared" si="278"/>
        <v>WEEKDAY</v>
      </c>
      <c r="F7771" t="e">
        <f t="shared" si="277"/>
        <v>#N/A</v>
      </c>
      <c r="G7771" s="74">
        <v>28814</v>
      </c>
      <c r="H7771" s="77">
        <v>4.1666666666666664E-2</v>
      </c>
      <c r="J7771">
        <v>44.96</v>
      </c>
      <c r="M7771" s="74">
        <v>36119</v>
      </c>
      <c r="N7771" s="77">
        <v>4.1666666666666664E-2</v>
      </c>
      <c r="P7771">
        <v>48.2</v>
      </c>
      <c r="S7771" s="74">
        <v>36850</v>
      </c>
      <c r="T7771" s="77">
        <v>4.1666666666666664E-2</v>
      </c>
      <c r="V7771">
        <v>33.08</v>
      </c>
      <c r="X7771" s="42"/>
      <c r="AB7771">
        <v>44.1</v>
      </c>
      <c r="AC7771">
        <v>57.019999999999996</v>
      </c>
      <c r="AE7771" s="74"/>
      <c r="AF7771" s="77"/>
      <c r="AH7771" s="497">
        <v>53.6</v>
      </c>
      <c r="AJ7771" s="42"/>
      <c r="AK7771" s="74"/>
      <c r="AL7771" s="77"/>
      <c r="AN7771" s="497">
        <v>35.96</v>
      </c>
      <c r="AP7771" s="42"/>
      <c r="AQ7771" s="74"/>
      <c r="AR7771" s="77"/>
      <c r="AT7771" s="497">
        <v>39.92</v>
      </c>
      <c r="AV7771" s="42"/>
      <c r="AW7771" s="74"/>
      <c r="AX7771" s="77"/>
      <c r="BA7771" s="497">
        <v>44.96</v>
      </c>
      <c r="BB7771" s="42"/>
      <c r="BC7771" s="74"/>
      <c r="BD7771" s="77"/>
      <c r="BF7771">
        <v>42.08</v>
      </c>
      <c r="BH7771" s="42"/>
      <c r="BI7771" s="74"/>
      <c r="BJ7771" s="77"/>
      <c r="BL7771" s="497">
        <v>42.08</v>
      </c>
      <c r="BN7771" s="42"/>
      <c r="BO7771" s="74"/>
      <c r="BP7771" s="77"/>
      <c r="BR7771" s="497">
        <v>39.92</v>
      </c>
      <c r="BT7771" s="42"/>
    </row>
    <row r="7772" spans="1:72" x14ac:dyDescent="0.25">
      <c r="A7772" s="90">
        <v>36850</v>
      </c>
      <c r="B7772" s="20">
        <v>8.3333333333333329E-2</v>
      </c>
      <c r="D7772">
        <v>48.019999999999996</v>
      </c>
      <c r="E7772" t="str">
        <f t="shared" si="278"/>
        <v>WEEKDAY</v>
      </c>
      <c r="F7772" t="e">
        <f t="shared" si="277"/>
        <v>#N/A</v>
      </c>
      <c r="G7772" s="74">
        <v>28814</v>
      </c>
      <c r="H7772" s="77">
        <v>8.3333333333333329E-2</v>
      </c>
      <c r="J7772">
        <v>44.06</v>
      </c>
      <c r="M7772" s="74">
        <v>36119</v>
      </c>
      <c r="N7772" s="77">
        <v>8.3333333333333329E-2</v>
      </c>
      <c r="P7772">
        <v>48.2</v>
      </c>
      <c r="S7772" s="74">
        <v>36850</v>
      </c>
      <c r="T7772" s="77">
        <v>8.3333333333333329E-2</v>
      </c>
      <c r="V7772">
        <v>33.979999999999997</v>
      </c>
      <c r="X7772" s="42"/>
      <c r="AB7772">
        <v>43.6</v>
      </c>
      <c r="AC7772">
        <v>57.019999999999996</v>
      </c>
      <c r="AE7772" s="74"/>
      <c r="AF7772" s="77"/>
      <c r="AH7772" s="497">
        <v>46.4</v>
      </c>
      <c r="AJ7772" s="42"/>
      <c r="AK7772" s="74"/>
      <c r="AL7772" s="77"/>
      <c r="AN7772" s="497">
        <v>35.06</v>
      </c>
      <c r="AP7772" s="42"/>
      <c r="AQ7772" s="74"/>
      <c r="AR7772" s="77"/>
      <c r="AT7772" s="497">
        <v>37.94</v>
      </c>
      <c r="AV7772" s="42"/>
      <c r="AW7772" s="74"/>
      <c r="AX7772" s="77"/>
      <c r="BA7772" s="497">
        <v>44.06</v>
      </c>
      <c r="BB7772" s="42"/>
      <c r="BC7772" s="74"/>
      <c r="BD7772" s="77"/>
      <c r="BF7772">
        <v>44.06</v>
      </c>
      <c r="BH7772" s="42"/>
      <c r="BI7772" s="74"/>
      <c r="BJ7772" s="77"/>
      <c r="BL7772" s="497">
        <v>42.980000000000004</v>
      </c>
      <c r="BN7772" s="42"/>
      <c r="BO7772" s="74"/>
      <c r="BP7772" s="77"/>
      <c r="BR7772" s="497">
        <v>39.019999999999996</v>
      </c>
      <c r="BT7772" s="42"/>
    </row>
    <row r="7773" spans="1:72" x14ac:dyDescent="0.25">
      <c r="A7773" s="90">
        <v>36850</v>
      </c>
      <c r="B7773" s="20">
        <v>0.125</v>
      </c>
      <c r="D7773">
        <v>46.94</v>
      </c>
      <c r="E7773" t="str">
        <f t="shared" si="278"/>
        <v>WEEKDAY</v>
      </c>
      <c r="F7773" t="e">
        <f t="shared" si="277"/>
        <v>#N/A</v>
      </c>
      <c r="G7773" s="74">
        <v>28814</v>
      </c>
      <c r="H7773" s="77">
        <v>0.125</v>
      </c>
      <c r="J7773">
        <v>42.08</v>
      </c>
      <c r="M7773" s="74">
        <v>36119</v>
      </c>
      <c r="N7773" s="77">
        <v>0.125</v>
      </c>
      <c r="P7773">
        <v>48.2</v>
      </c>
      <c r="S7773" s="74">
        <v>36850</v>
      </c>
      <c r="T7773" s="77">
        <v>0.125</v>
      </c>
      <c r="V7773">
        <v>33.08</v>
      </c>
      <c r="X7773" s="42"/>
      <c r="AB7773">
        <v>43.3</v>
      </c>
      <c r="AC7773">
        <v>57.019999999999996</v>
      </c>
      <c r="AE7773" s="74"/>
      <c r="AF7773" s="77"/>
      <c r="AH7773" s="497">
        <v>46.4</v>
      </c>
      <c r="AJ7773" s="42"/>
      <c r="AK7773" s="74"/>
      <c r="AL7773" s="77"/>
      <c r="AN7773" s="497">
        <v>35.06</v>
      </c>
      <c r="AP7773" s="42"/>
      <c r="AQ7773" s="74"/>
      <c r="AR7773" s="77"/>
      <c r="AT7773" s="497">
        <v>37.04</v>
      </c>
      <c r="AV7773" s="42"/>
      <c r="AW7773" s="74"/>
      <c r="AX7773" s="77"/>
      <c r="BA7773" s="497">
        <v>44.06</v>
      </c>
      <c r="BB7773" s="42"/>
      <c r="BC7773" s="74"/>
      <c r="BD7773" s="77"/>
      <c r="BF7773">
        <v>42.980000000000004</v>
      </c>
      <c r="BH7773" s="42"/>
      <c r="BI7773" s="74"/>
      <c r="BJ7773" s="77"/>
      <c r="BL7773" s="497">
        <v>42.08</v>
      </c>
      <c r="BN7773" s="42"/>
      <c r="BO7773" s="74"/>
      <c r="BP7773" s="77"/>
      <c r="BR7773" s="497">
        <v>37.94</v>
      </c>
      <c r="BT7773" s="42"/>
    </row>
    <row r="7774" spans="1:72" x14ac:dyDescent="0.25">
      <c r="A7774" s="90">
        <v>36850</v>
      </c>
      <c r="B7774" s="20">
        <v>0.16666666666666666</v>
      </c>
      <c r="D7774">
        <v>46.94</v>
      </c>
      <c r="E7774" t="str">
        <f t="shared" si="278"/>
        <v>WEEKDAY</v>
      </c>
      <c r="F7774" t="e">
        <f t="shared" si="277"/>
        <v>#N/A</v>
      </c>
      <c r="G7774" s="74">
        <v>28814</v>
      </c>
      <c r="H7774" s="77">
        <v>0.16666666666666666</v>
      </c>
      <c r="J7774">
        <v>42.08</v>
      </c>
      <c r="M7774" s="74">
        <v>36119</v>
      </c>
      <c r="N7774" s="77">
        <v>0.16666666666666666</v>
      </c>
      <c r="P7774">
        <v>48.2</v>
      </c>
      <c r="S7774" s="74">
        <v>36850</v>
      </c>
      <c r="T7774" s="77">
        <v>0.16666666666666666</v>
      </c>
      <c r="V7774">
        <v>33.08</v>
      </c>
      <c r="X7774" s="42"/>
      <c r="AB7774">
        <v>42.9</v>
      </c>
      <c r="AC7774">
        <v>48.92</v>
      </c>
      <c r="AE7774" s="74"/>
      <c r="AF7774" s="77"/>
      <c r="AH7774" s="497">
        <v>50</v>
      </c>
      <c r="AJ7774" s="42"/>
      <c r="AK7774" s="74"/>
      <c r="AL7774" s="77"/>
      <c r="AN7774" s="497">
        <v>35.06</v>
      </c>
      <c r="AP7774" s="42"/>
      <c r="AQ7774" s="74"/>
      <c r="AR7774" s="77"/>
      <c r="AT7774" s="497">
        <v>39.019999999999996</v>
      </c>
      <c r="AV7774" s="42"/>
      <c r="AW7774" s="74"/>
      <c r="AX7774" s="77"/>
      <c r="BA7774" s="497">
        <v>44.06</v>
      </c>
      <c r="BB7774" s="42"/>
      <c r="BC7774" s="74"/>
      <c r="BD7774" s="77"/>
      <c r="BF7774">
        <v>42.08</v>
      </c>
      <c r="BH7774" s="42"/>
      <c r="BI7774" s="74"/>
      <c r="BJ7774" s="77"/>
      <c r="BL7774" s="497">
        <v>41</v>
      </c>
      <c r="BN7774" s="42"/>
      <c r="BO7774" s="74"/>
      <c r="BP7774" s="77"/>
      <c r="BR7774" s="497">
        <v>37.04</v>
      </c>
      <c r="BT7774" s="42"/>
    </row>
    <row r="7775" spans="1:72" x14ac:dyDescent="0.25">
      <c r="A7775" s="90">
        <v>36850</v>
      </c>
      <c r="B7775" s="20">
        <v>0.20833333333333334</v>
      </c>
      <c r="D7775">
        <v>46.94</v>
      </c>
      <c r="E7775" t="str">
        <f t="shared" si="278"/>
        <v>WEEKDAY</v>
      </c>
      <c r="F7775" t="e">
        <f t="shared" si="277"/>
        <v>#N/A</v>
      </c>
      <c r="G7775" s="74">
        <v>28814</v>
      </c>
      <c r="H7775" s="77">
        <v>0.20833333333333334</v>
      </c>
      <c r="J7775">
        <v>41</v>
      </c>
      <c r="M7775" s="74">
        <v>36119</v>
      </c>
      <c r="N7775" s="77">
        <v>0.20833333333333334</v>
      </c>
      <c r="P7775">
        <v>50</v>
      </c>
      <c r="S7775" s="74">
        <v>36850</v>
      </c>
      <c r="T7775" s="77">
        <v>0.20833333333333334</v>
      </c>
      <c r="V7775">
        <v>33.08</v>
      </c>
      <c r="X7775" s="42"/>
      <c r="AB7775">
        <v>42.6</v>
      </c>
      <c r="AC7775">
        <v>46.94</v>
      </c>
      <c r="AE7775" s="74"/>
      <c r="AF7775" s="77"/>
      <c r="AH7775" s="497">
        <v>48.2</v>
      </c>
      <c r="AJ7775" s="42"/>
      <c r="AK7775" s="74"/>
      <c r="AL7775" s="77"/>
      <c r="AN7775" s="497">
        <v>35.06</v>
      </c>
      <c r="AP7775" s="42"/>
      <c r="AQ7775" s="74"/>
      <c r="AR7775" s="77"/>
      <c r="AT7775" s="497">
        <v>37.94</v>
      </c>
      <c r="AV7775" s="42"/>
      <c r="AW7775" s="74"/>
      <c r="AX7775" s="77"/>
      <c r="BA7775" s="497">
        <v>41</v>
      </c>
      <c r="BB7775" s="42"/>
      <c r="BC7775" s="74"/>
      <c r="BD7775" s="77"/>
      <c r="BF7775">
        <v>41</v>
      </c>
      <c r="BH7775" s="42"/>
      <c r="BI7775" s="74"/>
      <c r="BJ7775" s="77"/>
      <c r="BL7775" s="497">
        <v>41</v>
      </c>
      <c r="BN7775" s="42"/>
      <c r="BO7775" s="74"/>
      <c r="BP7775" s="77"/>
      <c r="BR7775" s="497">
        <v>37.04</v>
      </c>
      <c r="BT7775" s="42"/>
    </row>
    <row r="7776" spans="1:72" x14ac:dyDescent="0.25">
      <c r="A7776" s="90">
        <v>36850</v>
      </c>
      <c r="B7776" s="20">
        <v>0.25</v>
      </c>
      <c r="D7776">
        <v>46.94</v>
      </c>
      <c r="E7776" t="str">
        <f t="shared" si="278"/>
        <v>WEEKDAY</v>
      </c>
      <c r="F7776" t="e">
        <f t="shared" si="277"/>
        <v>#N/A</v>
      </c>
      <c r="G7776" s="74">
        <v>28814</v>
      </c>
      <c r="H7776" s="77">
        <v>0.25</v>
      </c>
      <c r="J7776">
        <v>41</v>
      </c>
      <c r="M7776" s="74">
        <v>36119</v>
      </c>
      <c r="N7776" s="77">
        <v>0.25</v>
      </c>
      <c r="P7776">
        <v>50</v>
      </c>
      <c r="S7776" s="74">
        <v>36850</v>
      </c>
      <c r="T7776" s="77">
        <v>0.25</v>
      </c>
      <c r="V7776">
        <v>32</v>
      </c>
      <c r="X7776" s="42"/>
      <c r="AB7776">
        <v>42.4</v>
      </c>
      <c r="AC7776">
        <v>46.94</v>
      </c>
      <c r="AE7776" s="74"/>
      <c r="AF7776" s="77"/>
      <c r="AH7776" s="497">
        <v>44.6</v>
      </c>
      <c r="AJ7776" s="42"/>
      <c r="AK7776" s="74"/>
      <c r="AL7776" s="77"/>
      <c r="AN7776" s="497">
        <v>35.06</v>
      </c>
      <c r="AP7776" s="42"/>
      <c r="AQ7776" s="74"/>
      <c r="AR7776" s="77"/>
      <c r="AT7776" s="497">
        <v>37.94</v>
      </c>
      <c r="AV7776" s="42"/>
      <c r="AW7776" s="74"/>
      <c r="AX7776" s="77"/>
      <c r="BA7776" s="497">
        <v>37.04</v>
      </c>
      <c r="BB7776" s="42"/>
      <c r="BC7776" s="74"/>
      <c r="BD7776" s="77"/>
      <c r="BF7776">
        <v>41</v>
      </c>
      <c r="BH7776" s="42"/>
      <c r="BI7776" s="74"/>
      <c r="BJ7776" s="77"/>
      <c r="BL7776" s="497">
        <v>41</v>
      </c>
      <c r="BN7776" s="42"/>
      <c r="BO7776" s="74"/>
      <c r="BP7776" s="77"/>
      <c r="BR7776" s="497">
        <v>35.96</v>
      </c>
      <c r="BT7776" s="42"/>
    </row>
    <row r="7777" spans="1:72" x14ac:dyDescent="0.25">
      <c r="A7777" s="90">
        <v>36850</v>
      </c>
      <c r="B7777" s="20">
        <v>0.29166666666666669</v>
      </c>
      <c r="D7777">
        <v>46.04</v>
      </c>
      <c r="E7777" t="str">
        <f t="shared" si="278"/>
        <v>WEEKDAY</v>
      </c>
      <c r="F7777" t="e">
        <f t="shared" si="277"/>
        <v>#N/A</v>
      </c>
      <c r="G7777" s="74">
        <v>28814</v>
      </c>
      <c r="H7777" s="77">
        <v>0.29166666666666669</v>
      </c>
      <c r="J7777">
        <v>39.019999999999996</v>
      </c>
      <c r="M7777" s="74">
        <v>36119</v>
      </c>
      <c r="N7777" s="77">
        <v>0.29166666666666669</v>
      </c>
      <c r="P7777">
        <v>48.2</v>
      </c>
      <c r="S7777" s="74">
        <v>36850</v>
      </c>
      <c r="T7777" s="77">
        <v>0.29166666666666669</v>
      </c>
      <c r="V7777">
        <v>32</v>
      </c>
      <c r="X7777" s="42"/>
      <c r="AB7777">
        <v>42.3</v>
      </c>
      <c r="AC7777">
        <v>46.04</v>
      </c>
      <c r="AE7777" s="74"/>
      <c r="AF7777" s="77"/>
      <c r="AH7777" s="497">
        <v>42.8</v>
      </c>
      <c r="AJ7777" s="42"/>
      <c r="AK7777" s="74"/>
      <c r="AL7777" s="77"/>
      <c r="AN7777" s="497">
        <v>35.96</v>
      </c>
      <c r="AP7777" s="42"/>
      <c r="AQ7777" s="74"/>
      <c r="AR7777" s="77"/>
      <c r="AT7777" s="497">
        <v>37.04</v>
      </c>
      <c r="AV7777" s="42"/>
      <c r="AW7777" s="74"/>
      <c r="AX7777" s="77"/>
      <c r="BA7777" s="497">
        <v>37.04</v>
      </c>
      <c r="BB7777" s="42"/>
      <c r="BC7777" s="74"/>
      <c r="BD7777" s="77"/>
      <c r="BF7777">
        <v>42.08</v>
      </c>
      <c r="BH7777" s="42"/>
      <c r="BI7777" s="74"/>
      <c r="BJ7777" s="77"/>
      <c r="BL7777" s="497">
        <v>41</v>
      </c>
      <c r="BN7777" s="42"/>
      <c r="BO7777" s="74"/>
      <c r="BP7777" s="77"/>
      <c r="BR7777" s="497">
        <v>35.06</v>
      </c>
      <c r="BT7777" s="42"/>
    </row>
    <row r="7778" spans="1:72" x14ac:dyDescent="0.25">
      <c r="A7778" s="90">
        <v>36850</v>
      </c>
      <c r="B7778" s="20">
        <v>0.33333333333333331</v>
      </c>
      <c r="D7778">
        <v>46.04</v>
      </c>
      <c r="E7778" t="str">
        <f t="shared" si="278"/>
        <v>WEEKDAY</v>
      </c>
      <c r="F7778" t="e">
        <f t="shared" si="277"/>
        <v>#N/A</v>
      </c>
      <c r="G7778" s="74">
        <v>28814</v>
      </c>
      <c r="H7778" s="77">
        <v>0.33333333333333331</v>
      </c>
      <c r="J7778">
        <v>41</v>
      </c>
      <c r="M7778" s="74">
        <v>36119</v>
      </c>
      <c r="N7778" s="77">
        <v>0.33333333333333331</v>
      </c>
      <c r="P7778">
        <v>50</v>
      </c>
      <c r="S7778" s="74">
        <v>36850</v>
      </c>
      <c r="T7778" s="77">
        <v>0.33333333333333331</v>
      </c>
      <c r="V7778">
        <v>33.979999999999997</v>
      </c>
      <c r="X7778" s="42"/>
      <c r="AB7778">
        <v>42.3</v>
      </c>
      <c r="AC7778">
        <v>46.94</v>
      </c>
      <c r="AE7778" s="74"/>
      <c r="AF7778" s="77"/>
      <c r="AH7778" s="497">
        <v>42.8</v>
      </c>
      <c r="AJ7778" s="42"/>
      <c r="AK7778" s="74"/>
      <c r="AL7778" s="77"/>
      <c r="AN7778" s="497">
        <v>35.96</v>
      </c>
      <c r="AP7778" s="42"/>
      <c r="AQ7778" s="74"/>
      <c r="AR7778" s="77"/>
      <c r="AT7778" s="497">
        <v>37.04</v>
      </c>
      <c r="AV7778" s="42"/>
      <c r="AW7778" s="74"/>
      <c r="AX7778" s="77"/>
      <c r="BA7778" s="497">
        <v>37.94</v>
      </c>
      <c r="BB7778" s="42"/>
      <c r="BC7778" s="74"/>
      <c r="BD7778" s="77"/>
      <c r="BF7778">
        <v>42.08</v>
      </c>
      <c r="BH7778" s="42"/>
      <c r="BI7778" s="74"/>
      <c r="BJ7778" s="77"/>
      <c r="BL7778" s="497">
        <v>41</v>
      </c>
      <c r="BN7778" s="42"/>
      <c r="BO7778" s="74"/>
      <c r="BP7778" s="77"/>
      <c r="BR7778" s="497">
        <v>35.06</v>
      </c>
      <c r="BT7778" s="42"/>
    </row>
    <row r="7779" spans="1:72" x14ac:dyDescent="0.25">
      <c r="A7779" s="90">
        <v>36850</v>
      </c>
      <c r="B7779" s="20">
        <v>0.375</v>
      </c>
      <c r="D7779">
        <v>46.94</v>
      </c>
      <c r="E7779" t="str">
        <f t="shared" si="278"/>
        <v>WEEKDAY</v>
      </c>
      <c r="F7779" t="e">
        <f t="shared" si="277"/>
        <v>#N/A</v>
      </c>
      <c r="G7779" s="74">
        <v>28814</v>
      </c>
      <c r="H7779" s="77">
        <v>0.375</v>
      </c>
      <c r="J7779">
        <v>42.980000000000004</v>
      </c>
      <c r="M7779" s="74">
        <v>36119</v>
      </c>
      <c r="N7779" s="77">
        <v>0.375</v>
      </c>
      <c r="P7779">
        <v>51.8</v>
      </c>
      <c r="S7779" s="74">
        <v>36850</v>
      </c>
      <c r="T7779" s="77">
        <v>0.375</v>
      </c>
      <c r="V7779">
        <v>37.04</v>
      </c>
      <c r="X7779" s="42"/>
      <c r="AB7779">
        <v>43.6</v>
      </c>
      <c r="AC7779">
        <v>48.019999999999996</v>
      </c>
      <c r="AE7779" s="74"/>
      <c r="AF7779" s="77"/>
      <c r="AH7779" s="497">
        <v>42.8</v>
      </c>
      <c r="AJ7779" s="42"/>
      <c r="AK7779" s="74"/>
      <c r="AL7779" s="77"/>
      <c r="AN7779" s="497">
        <v>37.04</v>
      </c>
      <c r="AP7779" s="42"/>
      <c r="AQ7779" s="74"/>
      <c r="AR7779" s="77"/>
      <c r="AT7779" s="497">
        <v>37.94</v>
      </c>
      <c r="AV7779" s="42"/>
      <c r="AW7779" s="74"/>
      <c r="AX7779" s="77"/>
      <c r="BA7779" s="497">
        <v>39.019999999999996</v>
      </c>
      <c r="BB7779" s="42"/>
      <c r="BC7779" s="74"/>
      <c r="BD7779" s="77"/>
      <c r="BF7779">
        <v>42.980000000000004</v>
      </c>
      <c r="BH7779" s="42"/>
      <c r="BI7779" s="74"/>
      <c r="BJ7779" s="77"/>
      <c r="BL7779" s="497">
        <v>42.08</v>
      </c>
      <c r="BN7779" s="42"/>
      <c r="BO7779" s="74"/>
      <c r="BP7779" s="77"/>
      <c r="BR7779" s="497">
        <v>35.06</v>
      </c>
      <c r="BT7779" s="42"/>
    </row>
    <row r="7780" spans="1:72" x14ac:dyDescent="0.25">
      <c r="A7780" s="90">
        <v>36850</v>
      </c>
      <c r="B7780" s="20">
        <v>0.41666666666666669</v>
      </c>
      <c r="D7780">
        <v>48.019999999999996</v>
      </c>
      <c r="E7780" t="str">
        <f t="shared" si="278"/>
        <v>WEEKDAY</v>
      </c>
      <c r="F7780" t="e">
        <f t="shared" si="277"/>
        <v>#N/A</v>
      </c>
      <c r="G7780" s="74">
        <v>28814</v>
      </c>
      <c r="H7780" s="77">
        <v>0.41666666666666669</v>
      </c>
      <c r="J7780">
        <v>44.96</v>
      </c>
      <c r="M7780" s="74">
        <v>36119</v>
      </c>
      <c r="N7780" s="77">
        <v>0.41666666666666669</v>
      </c>
      <c r="P7780">
        <v>55.400000000000006</v>
      </c>
      <c r="S7780" s="74">
        <v>36850</v>
      </c>
      <c r="T7780" s="77">
        <v>0.41666666666666669</v>
      </c>
      <c r="V7780">
        <v>39.019999999999996</v>
      </c>
      <c r="X7780" s="42"/>
      <c r="AB7780">
        <v>45.5</v>
      </c>
      <c r="AC7780">
        <v>51.980000000000004</v>
      </c>
      <c r="AE7780" s="74"/>
      <c r="AF7780" s="77"/>
      <c r="AH7780" s="497">
        <v>44.6</v>
      </c>
      <c r="AJ7780" s="42"/>
      <c r="AK7780" s="74"/>
      <c r="AL7780" s="77"/>
      <c r="AN7780" s="497">
        <v>39.019999999999996</v>
      </c>
      <c r="AP7780" s="42"/>
      <c r="AQ7780" s="74"/>
      <c r="AR7780" s="77"/>
      <c r="AT7780" s="497">
        <v>39.92</v>
      </c>
      <c r="AV7780" s="42"/>
      <c r="AW7780" s="74"/>
      <c r="AX7780" s="77"/>
      <c r="BA7780" s="497">
        <v>37.94</v>
      </c>
      <c r="BB7780" s="42"/>
      <c r="BC7780" s="74"/>
      <c r="BD7780" s="77"/>
      <c r="BF7780">
        <v>44.06</v>
      </c>
      <c r="BH7780" s="42"/>
      <c r="BI7780" s="74"/>
      <c r="BJ7780" s="77"/>
      <c r="BL7780" s="497">
        <v>42.980000000000004</v>
      </c>
      <c r="BN7780" s="42"/>
      <c r="BO7780" s="74"/>
      <c r="BP7780" s="77"/>
      <c r="BR7780" s="497">
        <v>33.979999999999997</v>
      </c>
      <c r="BT7780" s="42"/>
    </row>
    <row r="7781" spans="1:72" x14ac:dyDescent="0.25">
      <c r="A7781" s="90">
        <v>36850</v>
      </c>
      <c r="B7781" s="20">
        <v>0.45833333333333331</v>
      </c>
      <c r="D7781">
        <v>48.019999999999996</v>
      </c>
      <c r="E7781" t="str">
        <f t="shared" si="278"/>
        <v>WEEKDAY</v>
      </c>
      <c r="F7781" t="e">
        <f t="shared" si="277"/>
        <v>#N/A</v>
      </c>
      <c r="G7781" s="74">
        <v>28814</v>
      </c>
      <c r="H7781" s="77">
        <v>0.45833333333333331</v>
      </c>
      <c r="J7781">
        <v>46.04</v>
      </c>
      <c r="M7781" s="74">
        <v>36119</v>
      </c>
      <c r="N7781" s="77">
        <v>0.45833333333333331</v>
      </c>
      <c r="P7781">
        <v>57.2</v>
      </c>
      <c r="S7781" s="74">
        <v>36850</v>
      </c>
      <c r="T7781" s="77">
        <v>0.45833333333333331</v>
      </c>
      <c r="V7781">
        <v>39.92</v>
      </c>
      <c r="X7781" s="42"/>
      <c r="AB7781">
        <v>47.2</v>
      </c>
      <c r="AC7781">
        <v>51.08</v>
      </c>
      <c r="AE7781" s="74"/>
      <c r="AF7781" s="77"/>
      <c r="AH7781" s="497">
        <v>46.4</v>
      </c>
      <c r="AJ7781" s="42"/>
      <c r="AK7781" s="74"/>
      <c r="AL7781" s="77"/>
      <c r="AN7781" s="497">
        <v>39.92</v>
      </c>
      <c r="AP7781" s="42"/>
      <c r="AQ7781" s="74"/>
      <c r="AR7781" s="77"/>
      <c r="AT7781" s="497">
        <v>41</v>
      </c>
      <c r="AV7781" s="42"/>
      <c r="AW7781" s="74"/>
      <c r="AX7781" s="77"/>
      <c r="BA7781" s="497">
        <v>37.94</v>
      </c>
      <c r="BB7781" s="42"/>
      <c r="BC7781" s="74"/>
      <c r="BD7781" s="77"/>
      <c r="BF7781">
        <v>44.96</v>
      </c>
      <c r="BH7781" s="42"/>
      <c r="BI7781" s="74"/>
      <c r="BJ7781" s="77"/>
      <c r="BL7781" s="497">
        <v>44.96</v>
      </c>
      <c r="BN7781" s="42"/>
      <c r="BO7781" s="74"/>
      <c r="BP7781" s="77"/>
      <c r="BR7781" s="497">
        <v>33.08</v>
      </c>
      <c r="BT7781" s="42"/>
    </row>
    <row r="7782" spans="1:72" x14ac:dyDescent="0.25">
      <c r="A7782" s="90">
        <v>36850</v>
      </c>
      <c r="B7782" s="20">
        <v>0.5</v>
      </c>
      <c r="D7782">
        <v>48.92</v>
      </c>
      <c r="E7782" t="str">
        <f t="shared" si="278"/>
        <v>WEEKDAY</v>
      </c>
      <c r="F7782" t="e">
        <f t="shared" si="277"/>
        <v>#N/A</v>
      </c>
      <c r="G7782" s="74">
        <v>28814</v>
      </c>
      <c r="H7782" s="77">
        <v>0.5</v>
      </c>
      <c r="J7782">
        <v>46.04</v>
      </c>
      <c r="M7782" s="74">
        <v>36119</v>
      </c>
      <c r="N7782" s="77">
        <v>0.5</v>
      </c>
      <c r="P7782">
        <v>57.2</v>
      </c>
      <c r="S7782" s="74">
        <v>36850</v>
      </c>
      <c r="T7782" s="77">
        <v>0.5</v>
      </c>
      <c r="V7782">
        <v>42.08</v>
      </c>
      <c r="X7782" s="42"/>
      <c r="AB7782">
        <v>48.5</v>
      </c>
      <c r="AC7782">
        <v>51.08</v>
      </c>
      <c r="AE7782" s="74"/>
      <c r="AF7782" s="77"/>
      <c r="AH7782" s="497">
        <v>48.2</v>
      </c>
      <c r="AJ7782" s="42"/>
      <c r="AK7782" s="74"/>
      <c r="AL7782" s="77"/>
      <c r="AN7782" s="497">
        <v>41</v>
      </c>
      <c r="AP7782" s="42"/>
      <c r="AQ7782" s="74"/>
      <c r="AR7782" s="77"/>
      <c r="AT7782" s="497">
        <v>42.980000000000004</v>
      </c>
      <c r="AV7782" s="42"/>
      <c r="AW7782" s="74"/>
      <c r="AX7782" s="77"/>
      <c r="BA7782" s="497">
        <v>39.019999999999996</v>
      </c>
      <c r="BB7782" s="42"/>
      <c r="BC7782" s="74"/>
      <c r="BD7782" s="77"/>
      <c r="BF7782">
        <v>46.04</v>
      </c>
      <c r="BH7782" s="42"/>
      <c r="BI7782" s="74"/>
      <c r="BJ7782" s="77"/>
      <c r="BL7782" s="497">
        <v>46.04</v>
      </c>
      <c r="BN7782" s="42"/>
      <c r="BO7782" s="74"/>
      <c r="BP7782" s="77"/>
      <c r="BR7782" s="497">
        <v>32</v>
      </c>
      <c r="BT7782" s="42"/>
    </row>
    <row r="7783" spans="1:72" x14ac:dyDescent="0.25">
      <c r="A7783" s="90">
        <v>36850</v>
      </c>
      <c r="B7783" s="20">
        <v>0.54166666666666663</v>
      </c>
      <c r="D7783">
        <v>50</v>
      </c>
      <c r="E7783" t="str">
        <f t="shared" si="278"/>
        <v>WEEKDAY</v>
      </c>
      <c r="F7783" t="e">
        <f t="shared" si="277"/>
        <v>#N/A</v>
      </c>
      <c r="G7783" s="74">
        <v>28814</v>
      </c>
      <c r="H7783" s="77">
        <v>0.54166666666666663</v>
      </c>
      <c r="J7783">
        <v>48.019999999999996</v>
      </c>
      <c r="M7783" s="74">
        <v>36119</v>
      </c>
      <c r="N7783" s="77">
        <v>0.54166666666666663</v>
      </c>
      <c r="P7783">
        <v>57.2</v>
      </c>
      <c r="S7783" s="74">
        <v>36850</v>
      </c>
      <c r="T7783" s="77">
        <v>0.54166666666666663</v>
      </c>
      <c r="V7783">
        <v>42.980000000000004</v>
      </c>
      <c r="X7783" s="42"/>
      <c r="AB7783">
        <v>49.5</v>
      </c>
      <c r="AC7783">
        <v>51.980000000000004</v>
      </c>
      <c r="AE7783" s="74"/>
      <c r="AF7783" s="77"/>
      <c r="AH7783" s="497">
        <v>46.4</v>
      </c>
      <c r="AJ7783" s="42"/>
      <c r="AK7783" s="74"/>
      <c r="AL7783" s="77"/>
      <c r="AN7783" s="497">
        <v>42.980000000000004</v>
      </c>
      <c r="AP7783" s="42"/>
      <c r="AQ7783" s="74"/>
      <c r="AR7783" s="77"/>
      <c r="AT7783" s="497">
        <v>42.980000000000004</v>
      </c>
      <c r="AV7783" s="42"/>
      <c r="AW7783" s="74"/>
      <c r="AX7783" s="77"/>
      <c r="BA7783" s="497">
        <v>37.04</v>
      </c>
      <c r="BB7783" s="42"/>
      <c r="BC7783" s="74"/>
      <c r="BD7783" s="77"/>
      <c r="BF7783">
        <v>46.04</v>
      </c>
      <c r="BH7783" s="42"/>
      <c r="BI7783" s="74"/>
      <c r="BJ7783" s="77"/>
      <c r="BL7783" s="497">
        <v>46.04</v>
      </c>
      <c r="BN7783" s="42"/>
      <c r="BO7783" s="74"/>
      <c r="BP7783" s="77"/>
      <c r="BR7783" s="497">
        <v>30.02</v>
      </c>
      <c r="BT7783" s="42"/>
    </row>
    <row r="7784" spans="1:72" x14ac:dyDescent="0.25">
      <c r="A7784" s="90">
        <v>36850</v>
      </c>
      <c r="B7784" s="20">
        <v>0.58333333333333337</v>
      </c>
      <c r="D7784">
        <v>51.08</v>
      </c>
      <c r="E7784" t="str">
        <f t="shared" si="278"/>
        <v>WEEKDAY</v>
      </c>
      <c r="F7784" t="e">
        <f t="shared" si="277"/>
        <v>#N/A</v>
      </c>
      <c r="G7784" s="74">
        <v>28814</v>
      </c>
      <c r="H7784" s="77">
        <v>0.58333333333333337</v>
      </c>
      <c r="J7784">
        <v>48.019999999999996</v>
      </c>
      <c r="M7784" s="74">
        <v>36119</v>
      </c>
      <c r="N7784" s="77">
        <v>0.58333333333333337</v>
      </c>
      <c r="P7784">
        <v>57.2</v>
      </c>
      <c r="S7784" s="74">
        <v>36850</v>
      </c>
      <c r="T7784" s="77">
        <v>0.58333333333333337</v>
      </c>
      <c r="V7784">
        <v>42.980000000000004</v>
      </c>
      <c r="X7784" s="42"/>
      <c r="AB7784">
        <v>50.1</v>
      </c>
      <c r="AC7784">
        <v>51.08</v>
      </c>
      <c r="AE7784" s="74"/>
      <c r="AF7784" s="77"/>
      <c r="AH7784" s="497">
        <v>46.4</v>
      </c>
      <c r="AJ7784" s="42"/>
      <c r="AK7784" s="74"/>
      <c r="AL7784" s="77"/>
      <c r="AN7784" s="497">
        <v>44.06</v>
      </c>
      <c r="AP7784" s="42"/>
      <c r="AQ7784" s="74"/>
      <c r="AR7784" s="77"/>
      <c r="AT7784" s="497">
        <v>44.06</v>
      </c>
      <c r="AV7784" s="42"/>
      <c r="AW7784" s="74"/>
      <c r="AX7784" s="77"/>
      <c r="BA7784" s="497">
        <v>33.979999999999997</v>
      </c>
      <c r="BB7784" s="42"/>
      <c r="BC7784" s="74"/>
      <c r="BD7784" s="77"/>
      <c r="BF7784">
        <v>44.96</v>
      </c>
      <c r="BH7784" s="42"/>
      <c r="BI7784" s="74"/>
      <c r="BJ7784" s="77"/>
      <c r="BL7784" s="497">
        <v>44.96</v>
      </c>
      <c r="BN7784" s="42"/>
      <c r="BO7784" s="74"/>
      <c r="BP7784" s="77"/>
      <c r="BR7784" s="497">
        <v>28.04</v>
      </c>
      <c r="BT7784" s="42"/>
    </row>
    <row r="7785" spans="1:72" x14ac:dyDescent="0.25">
      <c r="A7785" s="90">
        <v>36850</v>
      </c>
      <c r="B7785" s="20">
        <v>0.625</v>
      </c>
      <c r="D7785">
        <v>51.08</v>
      </c>
      <c r="E7785" t="str">
        <f t="shared" si="278"/>
        <v>WEEKDAY</v>
      </c>
      <c r="F7785" t="e">
        <f t="shared" si="277"/>
        <v>#N/A</v>
      </c>
      <c r="G7785" s="74">
        <v>28814</v>
      </c>
      <c r="H7785" s="77">
        <v>0.625</v>
      </c>
      <c r="J7785">
        <v>48.019999999999996</v>
      </c>
      <c r="M7785" s="74">
        <v>36119</v>
      </c>
      <c r="N7785" s="77">
        <v>0.625</v>
      </c>
      <c r="P7785">
        <v>57.2</v>
      </c>
      <c r="S7785" s="74">
        <v>36850</v>
      </c>
      <c r="T7785" s="77">
        <v>0.625</v>
      </c>
      <c r="V7785">
        <v>44.06</v>
      </c>
      <c r="X7785" s="42"/>
      <c r="AB7785">
        <v>50.4</v>
      </c>
      <c r="AC7785">
        <v>51.08</v>
      </c>
      <c r="AE7785" s="74"/>
      <c r="AF7785" s="77"/>
      <c r="AH7785" s="497">
        <v>44.6</v>
      </c>
      <c r="AJ7785" s="42"/>
      <c r="AK7785" s="74"/>
      <c r="AL7785" s="77"/>
      <c r="AN7785" s="497">
        <v>44.96</v>
      </c>
      <c r="AP7785" s="42"/>
      <c r="AQ7785" s="74"/>
      <c r="AR7785" s="77"/>
      <c r="AT7785" s="497">
        <v>42.980000000000004</v>
      </c>
      <c r="AV7785" s="42"/>
      <c r="AW7785" s="74"/>
      <c r="AX7785" s="77"/>
      <c r="BA7785" s="497">
        <v>33.08</v>
      </c>
      <c r="BB7785" s="42"/>
      <c r="BC7785" s="74"/>
      <c r="BD7785" s="77"/>
      <c r="BF7785">
        <v>44.06</v>
      </c>
      <c r="BH7785" s="42"/>
      <c r="BI7785" s="74"/>
      <c r="BJ7785" s="77"/>
      <c r="BL7785" s="497">
        <v>44.06</v>
      </c>
      <c r="BN7785" s="42"/>
      <c r="BO7785" s="74"/>
      <c r="BP7785" s="77"/>
      <c r="BR7785" s="497">
        <v>26.96</v>
      </c>
      <c r="BT7785" s="42"/>
    </row>
    <row r="7786" spans="1:72" x14ac:dyDescent="0.25">
      <c r="A7786" s="90">
        <v>36850</v>
      </c>
      <c r="B7786" s="20">
        <v>0.66666666666666663</v>
      </c>
      <c r="D7786">
        <v>51.08</v>
      </c>
      <c r="E7786" t="str">
        <f t="shared" si="278"/>
        <v>WEEKDAY</v>
      </c>
      <c r="F7786" t="e">
        <f t="shared" si="277"/>
        <v>#N/A</v>
      </c>
      <c r="G7786" s="74">
        <v>28814</v>
      </c>
      <c r="H7786" s="77">
        <v>0.66666666666666663</v>
      </c>
      <c r="J7786">
        <v>46.94</v>
      </c>
      <c r="M7786" s="74">
        <v>36119</v>
      </c>
      <c r="N7786" s="77">
        <v>0.66666666666666663</v>
      </c>
      <c r="P7786">
        <v>55.400000000000006</v>
      </c>
      <c r="S7786" s="74">
        <v>36850</v>
      </c>
      <c r="T7786" s="77">
        <v>0.66666666666666663</v>
      </c>
      <c r="V7786">
        <v>42.980000000000004</v>
      </c>
      <c r="X7786" s="42"/>
      <c r="AB7786">
        <v>50</v>
      </c>
      <c r="AC7786">
        <v>51.08</v>
      </c>
      <c r="AE7786" s="74"/>
      <c r="AF7786" s="77"/>
      <c r="AH7786" s="497">
        <v>44.6</v>
      </c>
      <c r="AJ7786" s="42"/>
      <c r="AK7786" s="74"/>
      <c r="AL7786" s="77"/>
      <c r="AN7786" s="497">
        <v>46.04</v>
      </c>
      <c r="AP7786" s="42"/>
      <c r="AQ7786" s="74"/>
      <c r="AR7786" s="77"/>
      <c r="AT7786" s="497">
        <v>41</v>
      </c>
      <c r="AV7786" s="42"/>
      <c r="AW7786" s="74"/>
      <c r="AX7786" s="77"/>
      <c r="BA7786" s="497">
        <v>33.08</v>
      </c>
      <c r="BB7786" s="42"/>
      <c r="BC7786" s="74"/>
      <c r="BD7786" s="77"/>
      <c r="BF7786">
        <v>44.06</v>
      </c>
      <c r="BH7786" s="42"/>
      <c r="BI7786" s="74"/>
      <c r="BJ7786" s="77"/>
      <c r="BL7786" s="497">
        <v>44.06</v>
      </c>
      <c r="BN7786" s="42"/>
      <c r="BO7786" s="74"/>
      <c r="BP7786" s="77"/>
      <c r="BR7786" s="497">
        <v>24.98</v>
      </c>
      <c r="BT7786" s="42"/>
    </row>
    <row r="7787" spans="1:72" x14ac:dyDescent="0.25">
      <c r="A7787" s="90">
        <v>36850</v>
      </c>
      <c r="B7787" s="20">
        <v>0.70833333333333337</v>
      </c>
      <c r="D7787">
        <v>51.08</v>
      </c>
      <c r="E7787" t="str">
        <f t="shared" si="278"/>
        <v>WEEKDAY</v>
      </c>
      <c r="F7787" t="e">
        <f t="shared" ref="F7787:F7850" si="279">IF(E7787="WEEKDAY",VLOOKUP(B7787,$DD$19:$DG$42,2),IF(E7787="SATURDAY",VLOOKUP(B7787,$DD$19:$DG$42,3),VLOOKUP(B7787,$DD$19:$DG$42,4)))</f>
        <v>#N/A</v>
      </c>
      <c r="G7787" s="74">
        <v>28814</v>
      </c>
      <c r="H7787" s="77">
        <v>0.70833333333333337</v>
      </c>
      <c r="J7787">
        <v>46.94</v>
      </c>
      <c r="M7787" s="74">
        <v>36119</v>
      </c>
      <c r="N7787" s="77">
        <v>0.70833333333333337</v>
      </c>
      <c r="P7787">
        <v>53.6</v>
      </c>
      <c r="S7787" s="74">
        <v>36850</v>
      </c>
      <c r="T7787" s="77">
        <v>0.70833333333333337</v>
      </c>
      <c r="V7787">
        <v>42.980000000000004</v>
      </c>
      <c r="X7787" s="42"/>
      <c r="AB7787">
        <v>49</v>
      </c>
      <c r="AC7787">
        <v>51.08</v>
      </c>
      <c r="AE7787" s="74"/>
      <c r="AF7787" s="77"/>
      <c r="AH7787" s="497">
        <v>44.6</v>
      </c>
      <c r="AJ7787" s="42"/>
      <c r="AK7787" s="74"/>
      <c r="AL7787" s="77"/>
      <c r="AN7787" s="497">
        <v>46.94</v>
      </c>
      <c r="AP7787" s="42"/>
      <c r="AQ7787" s="74"/>
      <c r="AR7787" s="77"/>
      <c r="AT7787" s="497">
        <v>41</v>
      </c>
      <c r="AV7787" s="42"/>
      <c r="AW7787" s="74"/>
      <c r="AX7787" s="77"/>
      <c r="BA7787" s="497">
        <v>32</v>
      </c>
      <c r="BB7787" s="42"/>
      <c r="BC7787" s="74"/>
      <c r="BD7787" s="77"/>
      <c r="BF7787">
        <v>42.980000000000004</v>
      </c>
      <c r="BH7787" s="42"/>
      <c r="BI7787" s="74"/>
      <c r="BJ7787" s="77"/>
      <c r="BL7787" s="497">
        <v>44.06</v>
      </c>
      <c r="BN7787" s="42"/>
      <c r="BO7787" s="74"/>
      <c r="BP7787" s="77"/>
      <c r="BR7787" s="497">
        <v>21.92</v>
      </c>
      <c r="BT7787" s="42"/>
    </row>
    <row r="7788" spans="1:72" x14ac:dyDescent="0.25">
      <c r="A7788" s="90">
        <v>36850</v>
      </c>
      <c r="B7788" s="20">
        <v>0.75</v>
      </c>
      <c r="D7788">
        <v>51.08</v>
      </c>
      <c r="E7788" t="str">
        <f t="shared" si="278"/>
        <v>WEEKDAY</v>
      </c>
      <c r="F7788" t="e">
        <f t="shared" si="279"/>
        <v>#N/A</v>
      </c>
      <c r="G7788" s="74">
        <v>28814</v>
      </c>
      <c r="H7788" s="77">
        <v>0.75</v>
      </c>
      <c r="J7788">
        <v>44.96</v>
      </c>
      <c r="M7788" s="74">
        <v>36119</v>
      </c>
      <c r="N7788" s="77">
        <v>0.75</v>
      </c>
      <c r="P7788">
        <v>50</v>
      </c>
      <c r="S7788" s="74">
        <v>36850</v>
      </c>
      <c r="T7788" s="77">
        <v>0.75</v>
      </c>
      <c r="V7788">
        <v>42.980000000000004</v>
      </c>
      <c r="X7788" s="42"/>
      <c r="AB7788">
        <v>47.7</v>
      </c>
      <c r="AC7788">
        <v>48.92</v>
      </c>
      <c r="AE7788" s="74"/>
      <c r="AF7788" s="77"/>
      <c r="AH7788" s="497">
        <v>40.64</v>
      </c>
      <c r="AJ7788" s="42"/>
      <c r="AK7788" s="74"/>
      <c r="AL7788" s="77"/>
      <c r="AN7788" s="497">
        <v>48.92</v>
      </c>
      <c r="AP7788" s="42"/>
      <c r="AQ7788" s="74"/>
      <c r="AR7788" s="77"/>
      <c r="AT7788" s="497">
        <v>41</v>
      </c>
      <c r="AV7788" s="42"/>
      <c r="AW7788" s="74"/>
      <c r="AX7788" s="77"/>
      <c r="BA7788" s="497">
        <v>30.02</v>
      </c>
      <c r="BB7788" s="42"/>
      <c r="BC7788" s="74"/>
      <c r="BD7788" s="77"/>
      <c r="BF7788">
        <v>42.980000000000004</v>
      </c>
      <c r="BH7788" s="42"/>
      <c r="BI7788" s="74"/>
      <c r="BJ7788" s="77"/>
      <c r="BL7788" s="497">
        <v>44.06</v>
      </c>
      <c r="BN7788" s="42"/>
      <c r="BO7788" s="74"/>
      <c r="BP7788" s="77"/>
      <c r="BR7788" s="497">
        <v>19.939999999999998</v>
      </c>
      <c r="BT7788" s="42"/>
    </row>
    <row r="7789" spans="1:72" x14ac:dyDescent="0.25">
      <c r="A7789" s="90">
        <v>36850</v>
      </c>
      <c r="B7789" s="20">
        <v>0.79166666666666663</v>
      </c>
      <c r="D7789">
        <v>51.08</v>
      </c>
      <c r="E7789" t="str">
        <f t="shared" si="278"/>
        <v>WEEKDAY</v>
      </c>
      <c r="F7789" t="e">
        <f t="shared" si="279"/>
        <v>#N/A</v>
      </c>
      <c r="G7789" s="74">
        <v>28814</v>
      </c>
      <c r="H7789" s="77">
        <v>0.79166666666666663</v>
      </c>
      <c r="J7789">
        <v>44.06</v>
      </c>
      <c r="M7789" s="74">
        <v>36119</v>
      </c>
      <c r="N7789" s="77">
        <v>0.79166666666666663</v>
      </c>
      <c r="P7789">
        <v>50</v>
      </c>
      <c r="S7789" s="74">
        <v>36850</v>
      </c>
      <c r="T7789" s="77">
        <v>0.79166666666666663</v>
      </c>
      <c r="V7789">
        <v>42.08</v>
      </c>
      <c r="X7789" s="42"/>
      <c r="AB7789">
        <v>47.1</v>
      </c>
      <c r="AC7789">
        <v>48.019999999999996</v>
      </c>
      <c r="AE7789" s="74"/>
      <c r="AF7789" s="77"/>
      <c r="AH7789" s="497">
        <v>37.4</v>
      </c>
      <c r="AJ7789" s="42"/>
      <c r="AK7789" s="74"/>
      <c r="AL7789" s="77"/>
      <c r="AN7789" s="497">
        <v>50</v>
      </c>
      <c r="AP7789" s="42"/>
      <c r="AQ7789" s="74"/>
      <c r="AR7789" s="77"/>
      <c r="AT7789" s="497">
        <v>41</v>
      </c>
      <c r="AV7789" s="42"/>
      <c r="AW7789" s="74"/>
      <c r="AX7789" s="77"/>
      <c r="BA7789" s="497">
        <v>28.94</v>
      </c>
      <c r="BB7789" s="42"/>
      <c r="BC7789" s="74"/>
      <c r="BD7789" s="77"/>
      <c r="BF7789">
        <v>42.980000000000004</v>
      </c>
      <c r="BH7789" s="42"/>
      <c r="BI7789" s="74"/>
      <c r="BJ7789" s="77"/>
      <c r="BL7789" s="497">
        <v>42.980000000000004</v>
      </c>
      <c r="BN7789" s="42"/>
      <c r="BO7789" s="74"/>
      <c r="BP7789" s="77"/>
      <c r="BR7789" s="497">
        <v>19.04</v>
      </c>
      <c r="BT7789" s="42"/>
    </row>
    <row r="7790" spans="1:72" x14ac:dyDescent="0.25">
      <c r="A7790" s="90">
        <v>36850</v>
      </c>
      <c r="B7790" s="20">
        <v>0.83333333333333337</v>
      </c>
      <c r="D7790">
        <v>51.08</v>
      </c>
      <c r="E7790" t="str">
        <f t="shared" si="278"/>
        <v>WEEKDAY</v>
      </c>
      <c r="F7790" t="e">
        <f t="shared" si="279"/>
        <v>#N/A</v>
      </c>
      <c r="G7790" s="74">
        <v>28814</v>
      </c>
      <c r="H7790" s="77">
        <v>0.83333333333333337</v>
      </c>
      <c r="J7790">
        <v>44.96</v>
      </c>
      <c r="M7790" s="74">
        <v>36119</v>
      </c>
      <c r="N7790" s="77">
        <v>0.83333333333333337</v>
      </c>
      <c r="P7790">
        <v>48.2</v>
      </c>
      <c r="S7790" s="74">
        <v>36850</v>
      </c>
      <c r="T7790" s="77">
        <v>0.83333333333333337</v>
      </c>
      <c r="V7790">
        <v>35.96</v>
      </c>
      <c r="X7790" s="42"/>
      <c r="AB7790">
        <v>46.8</v>
      </c>
      <c r="AC7790">
        <v>46.04</v>
      </c>
      <c r="AE7790" s="74"/>
      <c r="AF7790" s="77"/>
      <c r="AH7790" s="497">
        <v>35.6</v>
      </c>
      <c r="AJ7790" s="42"/>
      <c r="AK7790" s="74"/>
      <c r="AL7790" s="77"/>
      <c r="AN7790" s="497">
        <v>48.92</v>
      </c>
      <c r="AP7790" s="42"/>
      <c r="AQ7790" s="74"/>
      <c r="AR7790" s="77"/>
      <c r="AT7790" s="497">
        <v>42.08</v>
      </c>
      <c r="AV7790" s="42"/>
      <c r="AW7790" s="74"/>
      <c r="AX7790" s="77"/>
      <c r="BA7790" s="497">
        <v>24.98</v>
      </c>
      <c r="BB7790" s="42"/>
      <c r="BC7790" s="74"/>
      <c r="BD7790" s="77"/>
      <c r="BF7790">
        <v>39.019999999999996</v>
      </c>
      <c r="BH7790" s="42"/>
      <c r="BI7790" s="74"/>
      <c r="BJ7790" s="77"/>
      <c r="BL7790" s="497">
        <v>41</v>
      </c>
      <c r="BN7790" s="42"/>
      <c r="BO7790" s="74"/>
      <c r="BP7790" s="77"/>
      <c r="BR7790" s="497">
        <v>17.96</v>
      </c>
      <c r="BT7790" s="42"/>
    </row>
    <row r="7791" spans="1:72" x14ac:dyDescent="0.25">
      <c r="A7791" s="90">
        <v>36850</v>
      </c>
      <c r="B7791" s="20">
        <v>0.875</v>
      </c>
      <c r="D7791">
        <v>50</v>
      </c>
      <c r="E7791" t="str">
        <f t="shared" si="278"/>
        <v>WEEKDAY</v>
      </c>
      <c r="F7791" t="e">
        <f t="shared" si="279"/>
        <v>#N/A</v>
      </c>
      <c r="G7791" s="74">
        <v>28814</v>
      </c>
      <c r="H7791" s="77">
        <v>0.875</v>
      </c>
      <c r="J7791">
        <v>41</v>
      </c>
      <c r="M7791" s="74">
        <v>36119</v>
      </c>
      <c r="N7791" s="77">
        <v>0.875</v>
      </c>
      <c r="P7791">
        <v>48.2</v>
      </c>
      <c r="S7791" s="74">
        <v>36850</v>
      </c>
      <c r="T7791" s="77">
        <v>0.875</v>
      </c>
      <c r="V7791">
        <v>37.94</v>
      </c>
      <c r="X7791" s="42"/>
      <c r="AB7791">
        <v>46.2</v>
      </c>
      <c r="AC7791">
        <v>44.96</v>
      </c>
      <c r="AE7791" s="74"/>
      <c r="AF7791" s="77"/>
      <c r="AH7791" s="497">
        <v>35.6</v>
      </c>
      <c r="AJ7791" s="42"/>
      <c r="AK7791" s="74"/>
      <c r="AL7791" s="77"/>
      <c r="AN7791" s="497">
        <v>48.92</v>
      </c>
      <c r="AP7791" s="42"/>
      <c r="AQ7791" s="74"/>
      <c r="AR7791" s="77"/>
      <c r="AT7791" s="497">
        <v>42.08</v>
      </c>
      <c r="AV7791" s="42"/>
      <c r="AW7791" s="74"/>
      <c r="AX7791" s="77"/>
      <c r="BA7791" s="497">
        <v>24.08</v>
      </c>
      <c r="BB7791" s="42"/>
      <c r="BC7791" s="74"/>
      <c r="BD7791" s="77"/>
      <c r="BF7791">
        <v>37.94</v>
      </c>
      <c r="BH7791" s="42"/>
      <c r="BI7791" s="74"/>
      <c r="BJ7791" s="77"/>
      <c r="BL7791" s="497">
        <v>37.94</v>
      </c>
      <c r="BN7791" s="42"/>
      <c r="BO7791" s="74"/>
      <c r="BP7791" s="77"/>
      <c r="BR7791" s="497">
        <v>17.059999999999999</v>
      </c>
      <c r="BT7791" s="42"/>
    </row>
    <row r="7792" spans="1:72" x14ac:dyDescent="0.25">
      <c r="A7792" s="90">
        <v>36850</v>
      </c>
      <c r="B7792" s="20">
        <v>0.91666666666666663</v>
      </c>
      <c r="D7792">
        <v>48.019999999999996</v>
      </c>
      <c r="E7792" t="str">
        <f t="shared" si="278"/>
        <v>WEEKDAY</v>
      </c>
      <c r="F7792" t="e">
        <f t="shared" si="279"/>
        <v>#N/A</v>
      </c>
      <c r="G7792" s="74">
        <v>28814</v>
      </c>
      <c r="H7792" s="77">
        <v>0.91666666666666663</v>
      </c>
      <c r="J7792">
        <v>39.92</v>
      </c>
      <c r="M7792" s="74">
        <v>36119</v>
      </c>
      <c r="N7792" s="77">
        <v>0.91666666666666663</v>
      </c>
      <c r="P7792">
        <v>46.4</v>
      </c>
      <c r="S7792" s="74">
        <v>36850</v>
      </c>
      <c r="T7792" s="77">
        <v>0.91666666666666663</v>
      </c>
      <c r="V7792">
        <v>37.04</v>
      </c>
      <c r="X7792" s="42"/>
      <c r="AB7792">
        <v>45.6</v>
      </c>
      <c r="AC7792">
        <v>44.96</v>
      </c>
      <c r="AE7792" s="74"/>
      <c r="AF7792" s="77"/>
      <c r="AH7792" s="497">
        <v>35.6</v>
      </c>
      <c r="AJ7792" s="42"/>
      <c r="AK7792" s="74"/>
      <c r="AL7792" s="77"/>
      <c r="AN7792" s="497">
        <v>48.92</v>
      </c>
      <c r="AP7792" s="42"/>
      <c r="AQ7792" s="74"/>
      <c r="AR7792" s="77"/>
      <c r="AT7792" s="497">
        <v>42.08</v>
      </c>
      <c r="AV7792" s="42"/>
      <c r="AW7792" s="74"/>
      <c r="AX7792" s="77"/>
      <c r="BA7792" s="497">
        <v>21.92</v>
      </c>
      <c r="BB7792" s="42"/>
      <c r="BC7792" s="74"/>
      <c r="BD7792" s="77"/>
      <c r="BF7792">
        <v>37.04</v>
      </c>
      <c r="BH7792" s="42"/>
      <c r="BI7792" s="74"/>
      <c r="BJ7792" s="77"/>
      <c r="BL7792" s="497">
        <v>37.94</v>
      </c>
      <c r="BN7792" s="42"/>
      <c r="BO7792" s="74"/>
      <c r="BP7792" s="77"/>
      <c r="BR7792" s="497">
        <v>15.079999999999998</v>
      </c>
      <c r="BT7792" s="42"/>
    </row>
    <row r="7793" spans="1:72" x14ac:dyDescent="0.25">
      <c r="A7793" s="90">
        <v>36850</v>
      </c>
      <c r="B7793" s="20">
        <v>0.95833333333333337</v>
      </c>
      <c r="D7793">
        <v>48.92</v>
      </c>
      <c r="E7793" t="str">
        <f t="shared" si="278"/>
        <v>WEEKDAY</v>
      </c>
      <c r="F7793" t="e">
        <f t="shared" si="279"/>
        <v>#N/A</v>
      </c>
      <c r="G7793" s="74">
        <v>28814</v>
      </c>
      <c r="H7793" s="77">
        <v>0.95833333333333337</v>
      </c>
      <c r="J7793">
        <v>39.019999999999996</v>
      </c>
      <c r="M7793" s="74">
        <v>36119</v>
      </c>
      <c r="N7793" s="77">
        <v>0.95833333333333337</v>
      </c>
      <c r="P7793">
        <v>46.4</v>
      </c>
      <c r="S7793" s="74">
        <v>36850</v>
      </c>
      <c r="T7793" s="77">
        <v>0.95833333333333337</v>
      </c>
      <c r="V7793">
        <v>35.96</v>
      </c>
      <c r="X7793" s="42"/>
      <c r="AB7793">
        <v>45.1</v>
      </c>
      <c r="AC7793">
        <v>44.06</v>
      </c>
      <c r="AE7793" s="74"/>
      <c r="AF7793" s="77"/>
      <c r="AH7793" s="497">
        <v>33.799999999999997</v>
      </c>
      <c r="AJ7793" s="42"/>
      <c r="AK7793" s="74"/>
      <c r="AL7793" s="77"/>
      <c r="AN7793" s="497">
        <v>42.08</v>
      </c>
      <c r="AP7793" s="42"/>
      <c r="AQ7793" s="74"/>
      <c r="AR7793" s="77"/>
      <c r="AT7793" s="497">
        <v>42.08</v>
      </c>
      <c r="AV7793" s="42"/>
      <c r="AW7793" s="74"/>
      <c r="AX7793" s="77"/>
      <c r="BA7793" s="497">
        <v>19.04</v>
      </c>
      <c r="BB7793" s="42"/>
      <c r="BC7793" s="74"/>
      <c r="BD7793" s="77"/>
      <c r="BF7793">
        <v>37.94</v>
      </c>
      <c r="BH7793" s="42"/>
      <c r="BI7793" s="74"/>
      <c r="BJ7793" s="77"/>
      <c r="BL7793" s="497">
        <v>35.96</v>
      </c>
      <c r="BN7793" s="42"/>
      <c r="BO7793" s="74"/>
      <c r="BP7793" s="77"/>
      <c r="BR7793" s="497">
        <v>12.920000000000002</v>
      </c>
      <c r="BT7793" s="42"/>
    </row>
    <row r="7794" spans="1:72" x14ac:dyDescent="0.25">
      <c r="A7794" s="90">
        <v>36850</v>
      </c>
      <c r="B7794" s="20">
        <v>1</v>
      </c>
      <c r="D7794">
        <v>48.019999999999996</v>
      </c>
      <c r="E7794" t="str">
        <f t="shared" si="278"/>
        <v>WEEKDAY</v>
      </c>
      <c r="F7794" t="e">
        <f t="shared" si="279"/>
        <v>#N/A</v>
      </c>
      <c r="G7794" s="74">
        <v>28814</v>
      </c>
      <c r="H7794" s="77">
        <v>1</v>
      </c>
      <c r="J7794">
        <v>39.019999999999996</v>
      </c>
      <c r="M7794" s="74">
        <v>36119</v>
      </c>
      <c r="N7794" s="80">
        <v>1</v>
      </c>
      <c r="P7794">
        <v>46.4</v>
      </c>
      <c r="S7794" s="74">
        <v>36850</v>
      </c>
      <c r="T7794" s="80">
        <v>1</v>
      </c>
      <c r="V7794">
        <v>35.06</v>
      </c>
      <c r="X7794" s="42"/>
      <c r="AB7794">
        <v>44.7</v>
      </c>
      <c r="AC7794">
        <v>44.06</v>
      </c>
      <c r="AE7794" s="74"/>
      <c r="AF7794" s="80"/>
      <c r="AH7794" s="497">
        <v>33.799999999999997</v>
      </c>
      <c r="AJ7794" s="42"/>
      <c r="AK7794" s="74"/>
      <c r="AL7794" s="80"/>
      <c r="AN7794" s="497">
        <v>37.04</v>
      </c>
      <c r="AP7794" s="42"/>
      <c r="AQ7794" s="74"/>
      <c r="AR7794" s="80"/>
      <c r="AT7794" s="497">
        <v>42.08</v>
      </c>
      <c r="AV7794" s="42"/>
      <c r="AW7794" s="74"/>
      <c r="AX7794" s="80"/>
      <c r="BA7794" s="497">
        <v>17.96</v>
      </c>
      <c r="BB7794" s="42"/>
      <c r="BC7794" s="74"/>
      <c r="BD7794" s="80"/>
      <c r="BF7794">
        <v>39.019999999999996</v>
      </c>
      <c r="BH7794" s="42"/>
      <c r="BI7794" s="74"/>
      <c r="BJ7794" s="80"/>
      <c r="BL7794" s="497">
        <v>37.04</v>
      </c>
      <c r="BN7794" s="42"/>
      <c r="BO7794" s="74"/>
      <c r="BP7794" s="80"/>
      <c r="BR7794" s="497">
        <v>12.920000000000002</v>
      </c>
      <c r="BT7794" s="42"/>
    </row>
    <row r="7795" spans="1:72" x14ac:dyDescent="0.25">
      <c r="A7795" s="90">
        <v>36851</v>
      </c>
      <c r="B7795" s="20">
        <v>4.1666666666666664E-2</v>
      </c>
      <c r="D7795">
        <v>46.94</v>
      </c>
      <c r="E7795" t="str">
        <f t="shared" si="278"/>
        <v>WEEKDAY</v>
      </c>
      <c r="F7795" t="e">
        <f t="shared" si="279"/>
        <v>#N/A</v>
      </c>
      <c r="G7795" s="74">
        <v>28815</v>
      </c>
      <c r="H7795" s="77">
        <v>4.1666666666666664E-2</v>
      </c>
      <c r="J7795">
        <v>37.94</v>
      </c>
      <c r="M7795" s="74">
        <v>36120</v>
      </c>
      <c r="N7795" s="77">
        <v>4.1666666666666664E-2</v>
      </c>
      <c r="P7795">
        <v>44.6</v>
      </c>
      <c r="S7795" s="74">
        <v>36851</v>
      </c>
      <c r="T7795" s="77">
        <v>4.1666666666666664E-2</v>
      </c>
      <c r="V7795">
        <v>33.979999999999997</v>
      </c>
      <c r="X7795" s="42"/>
      <c r="AB7795">
        <v>44</v>
      </c>
      <c r="AC7795">
        <v>42.980000000000004</v>
      </c>
      <c r="AE7795" s="74"/>
      <c r="AF7795" s="77"/>
      <c r="AH7795" s="497">
        <v>28.4</v>
      </c>
      <c r="AJ7795" s="42"/>
      <c r="AK7795" s="74"/>
      <c r="AL7795" s="77"/>
      <c r="AN7795" s="497">
        <v>35.06</v>
      </c>
      <c r="AP7795" s="42"/>
      <c r="AQ7795" s="74"/>
      <c r="AR7795" s="77"/>
      <c r="AT7795" s="497">
        <v>42.980000000000004</v>
      </c>
      <c r="AV7795" s="42"/>
      <c r="AW7795" s="74"/>
      <c r="AX7795" s="77"/>
      <c r="BA7795" s="497">
        <v>17.96</v>
      </c>
      <c r="BB7795" s="42"/>
      <c r="BC7795" s="74"/>
      <c r="BD7795" s="77"/>
      <c r="BF7795">
        <v>39.92</v>
      </c>
      <c r="BH7795" s="42"/>
      <c r="BI7795" s="74"/>
      <c r="BJ7795" s="77"/>
      <c r="BL7795" s="497">
        <v>37.94</v>
      </c>
      <c r="BN7795" s="42"/>
      <c r="BO7795" s="74"/>
      <c r="BP7795" s="77"/>
      <c r="BR7795" s="497">
        <v>10.039999999999999</v>
      </c>
      <c r="BT7795" s="42"/>
    </row>
    <row r="7796" spans="1:72" x14ac:dyDescent="0.25">
      <c r="A7796" s="90">
        <v>36851</v>
      </c>
      <c r="B7796" s="20">
        <v>8.3333333333333329E-2</v>
      </c>
      <c r="D7796">
        <v>46.94</v>
      </c>
      <c r="E7796" t="str">
        <f t="shared" si="278"/>
        <v>WEEKDAY</v>
      </c>
      <c r="F7796" t="e">
        <f t="shared" si="279"/>
        <v>#N/A</v>
      </c>
      <c r="G7796" s="74">
        <v>28815</v>
      </c>
      <c r="H7796" s="77">
        <v>8.3333333333333329E-2</v>
      </c>
      <c r="J7796">
        <v>37.04</v>
      </c>
      <c r="M7796" s="74">
        <v>36120</v>
      </c>
      <c r="N7796" s="77">
        <v>8.3333333333333329E-2</v>
      </c>
      <c r="P7796">
        <v>42.8</v>
      </c>
      <c r="S7796" s="74">
        <v>36851</v>
      </c>
      <c r="T7796" s="77">
        <v>8.3333333333333329E-2</v>
      </c>
      <c r="V7796">
        <v>33.08</v>
      </c>
      <c r="X7796" s="42"/>
      <c r="AB7796">
        <v>43.6</v>
      </c>
      <c r="AC7796">
        <v>42.08</v>
      </c>
      <c r="AE7796" s="74"/>
      <c r="AF7796" s="77"/>
      <c r="AH7796" s="497">
        <v>28.4</v>
      </c>
      <c r="AJ7796" s="42"/>
      <c r="AK7796" s="74"/>
      <c r="AL7796" s="77"/>
      <c r="AN7796" s="497">
        <v>33.979999999999997</v>
      </c>
      <c r="AP7796" s="42"/>
      <c r="AQ7796" s="74"/>
      <c r="AR7796" s="77"/>
      <c r="AT7796" s="497">
        <v>42.980000000000004</v>
      </c>
      <c r="AV7796" s="42"/>
      <c r="AW7796" s="74"/>
      <c r="AX7796" s="77"/>
      <c r="BA7796" s="497">
        <v>15.079999999999998</v>
      </c>
      <c r="BB7796" s="42"/>
      <c r="BC7796" s="74"/>
      <c r="BD7796" s="77"/>
      <c r="BF7796">
        <v>39.019999999999996</v>
      </c>
      <c r="BH7796" s="42"/>
      <c r="BI7796" s="74"/>
      <c r="BJ7796" s="77"/>
      <c r="BL7796" s="497">
        <v>37.94</v>
      </c>
      <c r="BN7796" s="42"/>
      <c r="BO7796" s="74"/>
      <c r="BP7796" s="77"/>
      <c r="BR7796" s="497">
        <v>8.9599999999999973</v>
      </c>
      <c r="BT7796" s="42"/>
    </row>
    <row r="7797" spans="1:72" x14ac:dyDescent="0.25">
      <c r="A7797" s="90">
        <v>36851</v>
      </c>
      <c r="B7797" s="20">
        <v>0.125</v>
      </c>
      <c r="D7797">
        <v>46.04</v>
      </c>
      <c r="E7797" t="str">
        <f t="shared" si="278"/>
        <v>WEEKDAY</v>
      </c>
      <c r="F7797" t="e">
        <f t="shared" si="279"/>
        <v>#N/A</v>
      </c>
      <c r="G7797" s="74">
        <v>28815</v>
      </c>
      <c r="H7797" s="77">
        <v>0.125</v>
      </c>
      <c r="J7797">
        <v>37.04</v>
      </c>
      <c r="M7797" s="74">
        <v>36120</v>
      </c>
      <c r="N7797" s="77">
        <v>0.125</v>
      </c>
      <c r="P7797">
        <v>42.8</v>
      </c>
      <c r="S7797" s="74">
        <v>36851</v>
      </c>
      <c r="T7797" s="77">
        <v>0.125</v>
      </c>
      <c r="V7797">
        <v>32</v>
      </c>
      <c r="X7797" s="42"/>
      <c r="AB7797">
        <v>43.3</v>
      </c>
      <c r="AC7797">
        <v>42.08</v>
      </c>
      <c r="AE7797" s="74"/>
      <c r="AF7797" s="77"/>
      <c r="AH7797" s="497">
        <v>28.4</v>
      </c>
      <c r="AJ7797" s="42"/>
      <c r="AK7797" s="74"/>
      <c r="AL7797" s="77"/>
      <c r="AN7797" s="497">
        <v>35.06</v>
      </c>
      <c r="AP7797" s="42"/>
      <c r="AQ7797" s="74"/>
      <c r="AR7797" s="77"/>
      <c r="AT7797" s="497">
        <v>42.980000000000004</v>
      </c>
      <c r="AV7797" s="42"/>
      <c r="AW7797" s="74"/>
      <c r="AX7797" s="77"/>
      <c r="BA7797" s="497">
        <v>14</v>
      </c>
      <c r="BB7797" s="42"/>
      <c r="BC7797" s="74"/>
      <c r="BD7797" s="77"/>
      <c r="BF7797">
        <v>39.019999999999996</v>
      </c>
      <c r="BH7797" s="42"/>
      <c r="BI7797" s="74"/>
      <c r="BJ7797" s="77"/>
      <c r="BL7797" s="497">
        <v>37.04</v>
      </c>
      <c r="BN7797" s="42"/>
      <c r="BO7797" s="74"/>
      <c r="BP7797" s="77"/>
      <c r="BR7797" s="497">
        <v>8.9599999999999973</v>
      </c>
      <c r="BT7797" s="42"/>
    </row>
    <row r="7798" spans="1:72" x14ac:dyDescent="0.25">
      <c r="A7798" s="90">
        <v>36851</v>
      </c>
      <c r="B7798" s="20">
        <v>0.16666666666666666</v>
      </c>
      <c r="D7798">
        <v>46.04</v>
      </c>
      <c r="E7798" t="str">
        <f t="shared" si="278"/>
        <v>WEEKDAY</v>
      </c>
      <c r="F7798" t="e">
        <f t="shared" si="279"/>
        <v>#N/A</v>
      </c>
      <c r="G7798" s="74">
        <v>28815</v>
      </c>
      <c r="H7798" s="77">
        <v>0.16666666666666666</v>
      </c>
      <c r="J7798">
        <v>37.94</v>
      </c>
      <c r="M7798" s="74">
        <v>36120</v>
      </c>
      <c r="N7798" s="77">
        <v>0.16666666666666666</v>
      </c>
      <c r="P7798">
        <v>42.8</v>
      </c>
      <c r="S7798" s="74">
        <v>36851</v>
      </c>
      <c r="T7798" s="77">
        <v>0.16666666666666666</v>
      </c>
      <c r="V7798">
        <v>32</v>
      </c>
      <c r="X7798" s="42"/>
      <c r="AB7798">
        <v>42.8</v>
      </c>
      <c r="AC7798">
        <v>42.08</v>
      </c>
      <c r="AE7798" s="74"/>
      <c r="AF7798" s="77"/>
      <c r="AH7798" s="497">
        <v>28.4</v>
      </c>
      <c r="AJ7798" s="42"/>
      <c r="AK7798" s="74"/>
      <c r="AL7798" s="77"/>
      <c r="AN7798" s="497">
        <v>33.979999999999997</v>
      </c>
      <c r="AP7798" s="42"/>
      <c r="AQ7798" s="74"/>
      <c r="AR7798" s="77"/>
      <c r="AT7798" s="497">
        <v>44.06</v>
      </c>
      <c r="AV7798" s="42"/>
      <c r="AW7798" s="74"/>
      <c r="AX7798" s="77"/>
      <c r="BA7798" s="497">
        <v>12.02</v>
      </c>
      <c r="BB7798" s="42"/>
      <c r="BC7798" s="74"/>
      <c r="BD7798" s="77"/>
      <c r="BF7798">
        <v>37.94</v>
      </c>
      <c r="BH7798" s="42"/>
      <c r="BI7798" s="74"/>
      <c r="BJ7798" s="77"/>
      <c r="BL7798" s="497">
        <v>37.04</v>
      </c>
      <c r="BN7798" s="42"/>
      <c r="BO7798" s="74"/>
      <c r="BP7798" s="77"/>
      <c r="BR7798" s="497">
        <v>8.0599999999999987</v>
      </c>
      <c r="BT7798" s="42"/>
    </row>
    <row r="7799" spans="1:72" x14ac:dyDescent="0.25">
      <c r="A7799" s="90">
        <v>36851</v>
      </c>
      <c r="B7799" s="20">
        <v>0.20833333333333334</v>
      </c>
      <c r="D7799">
        <v>46.94</v>
      </c>
      <c r="E7799" t="str">
        <f t="shared" si="278"/>
        <v>WEEKDAY</v>
      </c>
      <c r="F7799" t="e">
        <f t="shared" si="279"/>
        <v>#N/A</v>
      </c>
      <c r="G7799" s="74">
        <v>28815</v>
      </c>
      <c r="H7799" s="77">
        <v>0.20833333333333334</v>
      </c>
      <c r="J7799">
        <v>37.94</v>
      </c>
      <c r="M7799" s="74">
        <v>36120</v>
      </c>
      <c r="N7799" s="77">
        <v>0.20833333333333334</v>
      </c>
      <c r="P7799">
        <v>42.8</v>
      </c>
      <c r="S7799" s="74">
        <v>36851</v>
      </c>
      <c r="T7799" s="77">
        <v>0.20833333333333334</v>
      </c>
      <c r="V7799">
        <v>30.92</v>
      </c>
      <c r="X7799" s="42"/>
      <c r="AB7799">
        <v>42.5</v>
      </c>
      <c r="AC7799">
        <v>41</v>
      </c>
      <c r="AE7799" s="74"/>
      <c r="AF7799" s="77"/>
      <c r="AH7799" s="497">
        <v>26.6</v>
      </c>
      <c r="AJ7799" s="42"/>
      <c r="AK7799" s="74"/>
      <c r="AL7799" s="77"/>
      <c r="AN7799" s="497">
        <v>33.979999999999997</v>
      </c>
      <c r="AP7799" s="42"/>
      <c r="AQ7799" s="74"/>
      <c r="AR7799" s="77"/>
      <c r="AT7799" s="497">
        <v>44.06</v>
      </c>
      <c r="AV7799" s="42"/>
      <c r="AW7799" s="74"/>
      <c r="AX7799" s="77"/>
      <c r="BA7799" s="497">
        <v>10.940000000000001</v>
      </c>
      <c r="BB7799" s="42"/>
      <c r="BC7799" s="74"/>
      <c r="BD7799" s="77"/>
      <c r="BF7799">
        <v>37.94</v>
      </c>
      <c r="BH7799" s="42"/>
      <c r="BI7799" s="74"/>
      <c r="BJ7799" s="77"/>
      <c r="BL7799" s="497">
        <v>37.04</v>
      </c>
      <c r="BN7799" s="42"/>
      <c r="BO7799" s="74"/>
      <c r="BP7799" s="77"/>
      <c r="BR7799" s="497">
        <v>6.98</v>
      </c>
      <c r="BT7799" s="42"/>
    </row>
    <row r="7800" spans="1:72" x14ac:dyDescent="0.25">
      <c r="A7800" s="90">
        <v>36851</v>
      </c>
      <c r="B7800" s="20">
        <v>0.25</v>
      </c>
      <c r="D7800">
        <v>48.019999999999996</v>
      </c>
      <c r="E7800" t="str">
        <f t="shared" si="278"/>
        <v>WEEKDAY</v>
      </c>
      <c r="F7800" t="e">
        <f t="shared" si="279"/>
        <v>#N/A</v>
      </c>
      <c r="G7800" s="74">
        <v>28815</v>
      </c>
      <c r="H7800" s="77">
        <v>0.25</v>
      </c>
      <c r="J7800">
        <v>37.94</v>
      </c>
      <c r="M7800" s="74">
        <v>36120</v>
      </c>
      <c r="N7800" s="77">
        <v>0.25</v>
      </c>
      <c r="P7800">
        <v>42.8</v>
      </c>
      <c r="S7800" s="74">
        <v>36851</v>
      </c>
      <c r="T7800" s="77">
        <v>0.25</v>
      </c>
      <c r="V7800">
        <v>30.92</v>
      </c>
      <c r="X7800" s="42"/>
      <c r="AB7800">
        <v>42.3</v>
      </c>
      <c r="AC7800">
        <v>42.08</v>
      </c>
      <c r="AE7800" s="74"/>
      <c r="AF7800" s="77"/>
      <c r="AH7800" s="497">
        <v>24.8</v>
      </c>
      <c r="AJ7800" s="42"/>
      <c r="AK7800" s="74"/>
      <c r="AL7800" s="77"/>
      <c r="AN7800" s="497">
        <v>33.08</v>
      </c>
      <c r="AP7800" s="42"/>
      <c r="AQ7800" s="74"/>
      <c r="AR7800" s="77"/>
      <c r="AT7800" s="497">
        <v>44.06</v>
      </c>
      <c r="AV7800" s="42"/>
      <c r="AW7800" s="74"/>
      <c r="AX7800" s="77"/>
      <c r="BA7800" s="497">
        <v>10.039999999999999</v>
      </c>
      <c r="BB7800" s="42"/>
      <c r="BC7800" s="74"/>
      <c r="BD7800" s="77"/>
      <c r="BF7800">
        <v>37.94</v>
      </c>
      <c r="BH7800" s="42"/>
      <c r="BI7800" s="74"/>
      <c r="BJ7800" s="77"/>
      <c r="BL7800" s="497">
        <v>37.04</v>
      </c>
      <c r="BN7800" s="42"/>
      <c r="BO7800" s="74"/>
      <c r="BP7800" s="77"/>
      <c r="BR7800" s="497">
        <v>6.98</v>
      </c>
      <c r="BT7800" s="42"/>
    </row>
    <row r="7801" spans="1:72" x14ac:dyDescent="0.25">
      <c r="A7801" s="90">
        <v>36851</v>
      </c>
      <c r="B7801" s="20">
        <v>0.29166666666666669</v>
      </c>
      <c r="D7801">
        <v>48.019999999999996</v>
      </c>
      <c r="E7801" t="str">
        <f t="shared" si="278"/>
        <v>WEEKDAY</v>
      </c>
      <c r="F7801" t="e">
        <f t="shared" si="279"/>
        <v>#N/A</v>
      </c>
      <c r="G7801" s="74">
        <v>28815</v>
      </c>
      <c r="H7801" s="77">
        <v>0.29166666666666669</v>
      </c>
      <c r="J7801">
        <v>37.94</v>
      </c>
      <c r="M7801" s="74">
        <v>36120</v>
      </c>
      <c r="N7801" s="77">
        <v>0.29166666666666669</v>
      </c>
      <c r="P7801">
        <v>39.200000000000003</v>
      </c>
      <c r="S7801" s="74">
        <v>36851</v>
      </c>
      <c r="T7801" s="77">
        <v>0.29166666666666669</v>
      </c>
      <c r="V7801">
        <v>30.92</v>
      </c>
      <c r="X7801" s="42"/>
      <c r="AB7801">
        <v>42.2</v>
      </c>
      <c r="AC7801">
        <v>42.08</v>
      </c>
      <c r="AE7801" s="74"/>
      <c r="AF7801" s="77"/>
      <c r="AH7801" s="497">
        <v>24.8</v>
      </c>
      <c r="AJ7801" s="42"/>
      <c r="AK7801" s="74"/>
      <c r="AL7801" s="77"/>
      <c r="AN7801" s="497">
        <v>33.08</v>
      </c>
      <c r="AP7801" s="42"/>
      <c r="AQ7801" s="74"/>
      <c r="AR7801" s="77"/>
      <c r="AT7801" s="497">
        <v>44.96</v>
      </c>
      <c r="AV7801" s="42"/>
      <c r="AW7801" s="74"/>
      <c r="AX7801" s="77"/>
      <c r="BA7801" s="497">
        <v>12.02</v>
      </c>
      <c r="BB7801" s="42"/>
      <c r="BC7801" s="74"/>
      <c r="BD7801" s="77"/>
      <c r="BF7801">
        <v>37.94</v>
      </c>
      <c r="BH7801" s="42"/>
      <c r="BI7801" s="74"/>
      <c r="BJ7801" s="77"/>
      <c r="BL7801" s="497">
        <v>37.04</v>
      </c>
      <c r="BN7801" s="42"/>
      <c r="BO7801" s="74"/>
      <c r="BP7801" s="77"/>
      <c r="BR7801" s="497">
        <v>6.98</v>
      </c>
      <c r="BT7801" s="42"/>
    </row>
    <row r="7802" spans="1:72" x14ac:dyDescent="0.25">
      <c r="A7802" s="90">
        <v>36851</v>
      </c>
      <c r="B7802" s="20">
        <v>0.33333333333333331</v>
      </c>
      <c r="D7802">
        <v>53.06</v>
      </c>
      <c r="E7802" t="str">
        <f t="shared" si="278"/>
        <v>WEEKDAY</v>
      </c>
      <c r="F7802" t="e">
        <f t="shared" si="279"/>
        <v>#N/A</v>
      </c>
      <c r="G7802" s="74">
        <v>28815</v>
      </c>
      <c r="H7802" s="77">
        <v>0.33333333333333331</v>
      </c>
      <c r="J7802">
        <v>37.94</v>
      </c>
      <c r="M7802" s="74">
        <v>36120</v>
      </c>
      <c r="N7802" s="77">
        <v>0.33333333333333331</v>
      </c>
      <c r="P7802">
        <v>41</v>
      </c>
      <c r="S7802" s="74">
        <v>36851</v>
      </c>
      <c r="T7802" s="77">
        <v>0.33333333333333331</v>
      </c>
      <c r="V7802">
        <v>32</v>
      </c>
      <c r="X7802" s="42"/>
      <c r="AB7802">
        <v>42.2</v>
      </c>
      <c r="AC7802">
        <v>46.04</v>
      </c>
      <c r="AE7802" s="74"/>
      <c r="AF7802" s="77"/>
      <c r="AH7802" s="497">
        <v>26.6</v>
      </c>
      <c r="AJ7802" s="42"/>
      <c r="AK7802" s="74"/>
      <c r="AL7802" s="77"/>
      <c r="AN7802" s="497">
        <v>33.08</v>
      </c>
      <c r="AP7802" s="42"/>
      <c r="AQ7802" s="74"/>
      <c r="AR7802" s="77"/>
      <c r="AT7802" s="497">
        <v>44.96</v>
      </c>
      <c r="AV7802" s="42"/>
      <c r="AW7802" s="74"/>
      <c r="AX7802" s="77"/>
      <c r="BA7802" s="497">
        <v>10.940000000000001</v>
      </c>
      <c r="BB7802" s="42"/>
      <c r="BC7802" s="74"/>
      <c r="BD7802" s="77"/>
      <c r="BF7802">
        <v>37.94</v>
      </c>
      <c r="BH7802" s="42"/>
      <c r="BI7802" s="74"/>
      <c r="BJ7802" s="77"/>
      <c r="BL7802" s="497">
        <v>37.04</v>
      </c>
      <c r="BN7802" s="42"/>
      <c r="BO7802" s="74"/>
      <c r="BP7802" s="77"/>
      <c r="BR7802" s="497">
        <v>6.0799999999999983</v>
      </c>
      <c r="BT7802" s="42"/>
    </row>
    <row r="7803" spans="1:72" x14ac:dyDescent="0.25">
      <c r="A7803" s="90">
        <v>36851</v>
      </c>
      <c r="B7803" s="20">
        <v>0.375</v>
      </c>
      <c r="D7803">
        <v>53.96</v>
      </c>
      <c r="E7803" t="str">
        <f t="shared" si="278"/>
        <v>WEEKDAY</v>
      </c>
      <c r="F7803" t="e">
        <f t="shared" si="279"/>
        <v>#N/A</v>
      </c>
      <c r="G7803" s="74">
        <v>28815</v>
      </c>
      <c r="H7803" s="77">
        <v>0.375</v>
      </c>
      <c r="J7803">
        <v>37.94</v>
      </c>
      <c r="M7803" s="74">
        <v>36120</v>
      </c>
      <c r="N7803" s="77">
        <v>0.375</v>
      </c>
      <c r="P7803">
        <v>42.8</v>
      </c>
      <c r="S7803" s="74">
        <v>36851</v>
      </c>
      <c r="T7803" s="77">
        <v>0.375</v>
      </c>
      <c r="V7803">
        <v>33.979999999999997</v>
      </c>
      <c r="X7803" s="42"/>
      <c r="AB7803">
        <v>43.5</v>
      </c>
      <c r="AC7803">
        <v>48.019999999999996</v>
      </c>
      <c r="AE7803" s="74"/>
      <c r="AF7803" s="77"/>
      <c r="AH7803" s="497">
        <v>33.799999999999997</v>
      </c>
      <c r="AJ7803" s="42"/>
      <c r="AK7803" s="74"/>
      <c r="AL7803" s="77"/>
      <c r="AN7803" s="497">
        <v>32</v>
      </c>
      <c r="AP7803" s="42"/>
      <c r="AQ7803" s="74"/>
      <c r="AR7803" s="77"/>
      <c r="AT7803" s="497">
        <v>44.96</v>
      </c>
      <c r="AV7803" s="42"/>
      <c r="AW7803" s="74"/>
      <c r="AX7803" s="77"/>
      <c r="BA7803" s="497">
        <v>8.9599999999999973</v>
      </c>
      <c r="BB7803" s="42"/>
      <c r="BC7803" s="74"/>
      <c r="BD7803" s="77"/>
      <c r="BF7803">
        <v>37.94</v>
      </c>
      <c r="BH7803" s="42"/>
      <c r="BI7803" s="74"/>
      <c r="BJ7803" s="77"/>
      <c r="BL7803" s="497">
        <v>37.94</v>
      </c>
      <c r="BN7803" s="42"/>
      <c r="BO7803" s="74"/>
      <c r="BP7803" s="77"/>
      <c r="BR7803" s="497">
        <v>6.0799999999999983</v>
      </c>
      <c r="BT7803" s="42"/>
    </row>
    <row r="7804" spans="1:72" x14ac:dyDescent="0.25">
      <c r="A7804" s="90">
        <v>36851</v>
      </c>
      <c r="B7804" s="20">
        <v>0.41666666666666669</v>
      </c>
      <c r="D7804">
        <v>55.94</v>
      </c>
      <c r="E7804" t="str">
        <f t="shared" si="278"/>
        <v>WEEKDAY</v>
      </c>
      <c r="F7804" t="e">
        <f t="shared" si="279"/>
        <v>#N/A</v>
      </c>
      <c r="G7804" s="74">
        <v>28815</v>
      </c>
      <c r="H7804" s="77">
        <v>0.41666666666666669</v>
      </c>
      <c r="J7804">
        <v>39.92</v>
      </c>
      <c r="M7804" s="74">
        <v>36120</v>
      </c>
      <c r="N7804" s="77">
        <v>0.41666666666666669</v>
      </c>
      <c r="P7804">
        <v>44.6</v>
      </c>
      <c r="S7804" s="74">
        <v>36851</v>
      </c>
      <c r="T7804" s="77">
        <v>0.41666666666666669</v>
      </c>
      <c r="V7804">
        <v>35.06</v>
      </c>
      <c r="X7804" s="42"/>
      <c r="AB7804">
        <v>45.5</v>
      </c>
      <c r="AC7804">
        <v>51.08</v>
      </c>
      <c r="AE7804" s="74"/>
      <c r="AF7804" s="77"/>
      <c r="AH7804" s="497">
        <v>37.4</v>
      </c>
      <c r="AJ7804" s="42"/>
      <c r="AK7804" s="74"/>
      <c r="AL7804" s="77"/>
      <c r="AN7804" s="497">
        <v>33.08</v>
      </c>
      <c r="AP7804" s="42"/>
      <c r="AQ7804" s="74"/>
      <c r="AR7804" s="77"/>
      <c r="AT7804" s="497">
        <v>46.04</v>
      </c>
      <c r="AV7804" s="42"/>
      <c r="AW7804" s="74"/>
      <c r="AX7804" s="77"/>
      <c r="BA7804" s="497">
        <v>10.039999999999999</v>
      </c>
      <c r="BB7804" s="42"/>
      <c r="BC7804" s="74"/>
      <c r="BD7804" s="77"/>
      <c r="BF7804">
        <v>37.04</v>
      </c>
      <c r="BH7804" s="42"/>
      <c r="BI7804" s="74"/>
      <c r="BJ7804" s="77"/>
      <c r="BL7804" s="497">
        <v>37.94</v>
      </c>
      <c r="BN7804" s="42"/>
      <c r="BO7804" s="74"/>
      <c r="BP7804" s="77"/>
      <c r="BR7804" s="497">
        <v>6.98</v>
      </c>
      <c r="BT7804" s="42"/>
    </row>
    <row r="7805" spans="1:72" x14ac:dyDescent="0.25">
      <c r="A7805" s="90">
        <v>36851</v>
      </c>
      <c r="B7805" s="20">
        <v>0.45833333333333331</v>
      </c>
      <c r="D7805">
        <v>57.019999999999996</v>
      </c>
      <c r="E7805" t="str">
        <f t="shared" si="278"/>
        <v>WEEKDAY</v>
      </c>
      <c r="F7805" t="e">
        <f t="shared" si="279"/>
        <v>#N/A</v>
      </c>
      <c r="G7805" s="74">
        <v>28815</v>
      </c>
      <c r="H7805" s="77">
        <v>0.45833333333333331</v>
      </c>
      <c r="J7805">
        <v>41</v>
      </c>
      <c r="M7805" s="74">
        <v>36120</v>
      </c>
      <c r="N7805" s="77">
        <v>0.45833333333333331</v>
      </c>
      <c r="P7805">
        <v>46.4</v>
      </c>
      <c r="S7805" s="74">
        <v>36851</v>
      </c>
      <c r="T7805" s="77">
        <v>0.45833333333333331</v>
      </c>
      <c r="V7805">
        <v>35.96</v>
      </c>
      <c r="X7805" s="42"/>
      <c r="AB7805">
        <v>47.1</v>
      </c>
      <c r="AC7805">
        <v>51.980000000000004</v>
      </c>
      <c r="AE7805" s="74"/>
      <c r="AF7805" s="77"/>
      <c r="AH7805" s="497">
        <v>40.46</v>
      </c>
      <c r="AJ7805" s="42"/>
      <c r="AK7805" s="74"/>
      <c r="AL7805" s="77"/>
      <c r="AN7805" s="497">
        <v>33.08</v>
      </c>
      <c r="AP7805" s="42"/>
      <c r="AQ7805" s="74"/>
      <c r="AR7805" s="77"/>
      <c r="AT7805" s="497">
        <v>46.04</v>
      </c>
      <c r="AV7805" s="42"/>
      <c r="AW7805" s="74"/>
      <c r="AX7805" s="77"/>
      <c r="BA7805" s="497">
        <v>10.940000000000001</v>
      </c>
      <c r="BB7805" s="42"/>
      <c r="BC7805" s="74"/>
      <c r="BD7805" s="77"/>
      <c r="BF7805">
        <v>39.019999999999996</v>
      </c>
      <c r="BH7805" s="42"/>
      <c r="BI7805" s="74"/>
      <c r="BJ7805" s="77"/>
      <c r="BL7805" s="497">
        <v>37.94</v>
      </c>
      <c r="BN7805" s="42"/>
      <c r="BO7805" s="74"/>
      <c r="BP7805" s="77"/>
      <c r="BR7805" s="497">
        <v>8.9599999999999973</v>
      </c>
      <c r="BT7805" s="42"/>
    </row>
    <row r="7806" spans="1:72" x14ac:dyDescent="0.25">
      <c r="A7806" s="90">
        <v>36851</v>
      </c>
      <c r="B7806" s="20">
        <v>0.5</v>
      </c>
      <c r="D7806">
        <v>57.92</v>
      </c>
      <c r="E7806" t="str">
        <f t="shared" si="278"/>
        <v>WEEKDAY</v>
      </c>
      <c r="F7806" t="e">
        <f t="shared" si="279"/>
        <v>#N/A</v>
      </c>
      <c r="G7806" s="74">
        <v>28815</v>
      </c>
      <c r="H7806" s="77">
        <v>0.5</v>
      </c>
      <c r="J7806">
        <v>39.92</v>
      </c>
      <c r="M7806" s="74">
        <v>36120</v>
      </c>
      <c r="N7806" s="77">
        <v>0.5</v>
      </c>
      <c r="P7806">
        <v>46.4</v>
      </c>
      <c r="S7806" s="74">
        <v>36851</v>
      </c>
      <c r="T7806" s="77">
        <v>0.5</v>
      </c>
      <c r="V7806">
        <v>39.92</v>
      </c>
      <c r="X7806" s="42"/>
      <c r="AB7806">
        <v>48.5</v>
      </c>
      <c r="AC7806">
        <v>55.040000000000006</v>
      </c>
      <c r="AE7806" s="74"/>
      <c r="AF7806" s="77"/>
      <c r="AH7806" s="497">
        <v>42.980000000000004</v>
      </c>
      <c r="AJ7806" s="42"/>
      <c r="AK7806" s="74"/>
      <c r="AL7806" s="77"/>
      <c r="AN7806" s="497">
        <v>32</v>
      </c>
      <c r="AP7806" s="42"/>
      <c r="AQ7806" s="74"/>
      <c r="AR7806" s="77"/>
      <c r="AT7806" s="497">
        <v>46.94</v>
      </c>
      <c r="AV7806" s="42"/>
      <c r="AW7806" s="74"/>
      <c r="AX7806" s="77"/>
      <c r="BA7806" s="497">
        <v>12.920000000000002</v>
      </c>
      <c r="BB7806" s="42"/>
      <c r="BC7806" s="74"/>
      <c r="BD7806" s="77"/>
      <c r="BF7806">
        <v>39.92</v>
      </c>
      <c r="BH7806" s="42"/>
      <c r="BI7806" s="74"/>
      <c r="BJ7806" s="77"/>
      <c r="BL7806" s="497">
        <v>37.94</v>
      </c>
      <c r="BN7806" s="42"/>
      <c r="BO7806" s="74"/>
      <c r="BP7806" s="77"/>
      <c r="BR7806" s="497">
        <v>10.039999999999999</v>
      </c>
      <c r="BT7806" s="42"/>
    </row>
    <row r="7807" spans="1:72" x14ac:dyDescent="0.25">
      <c r="A7807" s="90">
        <v>36851</v>
      </c>
      <c r="B7807" s="20">
        <v>0.54166666666666663</v>
      </c>
      <c r="D7807">
        <v>57.92</v>
      </c>
      <c r="E7807" t="str">
        <f t="shared" si="278"/>
        <v>WEEKDAY</v>
      </c>
      <c r="F7807" t="e">
        <f t="shared" si="279"/>
        <v>#N/A</v>
      </c>
      <c r="G7807" s="74">
        <v>28815</v>
      </c>
      <c r="H7807" s="77">
        <v>0.54166666666666663</v>
      </c>
      <c r="J7807">
        <v>39.019999999999996</v>
      </c>
      <c r="M7807" s="74">
        <v>36120</v>
      </c>
      <c r="N7807" s="77">
        <v>0.54166666666666663</v>
      </c>
      <c r="P7807">
        <v>46.4</v>
      </c>
      <c r="S7807" s="74">
        <v>36851</v>
      </c>
      <c r="T7807" s="77">
        <v>0.54166666666666663</v>
      </c>
      <c r="V7807">
        <v>39.92</v>
      </c>
      <c r="X7807" s="42"/>
      <c r="AB7807">
        <v>49.5</v>
      </c>
      <c r="AC7807">
        <v>57.92</v>
      </c>
      <c r="AE7807" s="74"/>
      <c r="AF7807" s="77"/>
      <c r="AH7807" s="497">
        <v>44.6</v>
      </c>
      <c r="AJ7807" s="42"/>
      <c r="AK7807" s="74"/>
      <c r="AL7807" s="77"/>
      <c r="AN7807" s="497">
        <v>32</v>
      </c>
      <c r="AP7807" s="42"/>
      <c r="AQ7807" s="74"/>
      <c r="AR7807" s="77"/>
      <c r="AT7807" s="497">
        <v>48.019999999999996</v>
      </c>
      <c r="AV7807" s="42"/>
      <c r="AW7807" s="74"/>
      <c r="AX7807" s="77"/>
      <c r="BA7807" s="497">
        <v>12.920000000000002</v>
      </c>
      <c r="BB7807" s="42"/>
      <c r="BC7807" s="74"/>
      <c r="BD7807" s="77"/>
      <c r="BF7807">
        <v>37.04</v>
      </c>
      <c r="BH7807" s="42"/>
      <c r="BI7807" s="74"/>
      <c r="BJ7807" s="77"/>
      <c r="BL7807" s="497">
        <v>37.04</v>
      </c>
      <c r="BN7807" s="42"/>
      <c r="BO7807" s="74"/>
      <c r="BP7807" s="77"/>
      <c r="BR7807" s="497">
        <v>12.02</v>
      </c>
      <c r="BT7807" s="42"/>
    </row>
    <row r="7808" spans="1:72" x14ac:dyDescent="0.25">
      <c r="A7808" s="90">
        <v>36851</v>
      </c>
      <c r="B7808" s="20">
        <v>0.58333333333333337</v>
      </c>
      <c r="D7808">
        <v>57.92</v>
      </c>
      <c r="E7808" t="str">
        <f t="shared" si="278"/>
        <v>WEEKDAY</v>
      </c>
      <c r="F7808" t="e">
        <f t="shared" si="279"/>
        <v>#N/A</v>
      </c>
      <c r="G7808" s="74">
        <v>28815</v>
      </c>
      <c r="H7808" s="77">
        <v>0.58333333333333337</v>
      </c>
      <c r="J7808">
        <v>37.94</v>
      </c>
      <c r="M7808" s="74">
        <v>36120</v>
      </c>
      <c r="N7808" s="77">
        <v>0.58333333333333337</v>
      </c>
      <c r="P7808">
        <v>46.4</v>
      </c>
      <c r="S7808" s="74">
        <v>36851</v>
      </c>
      <c r="T7808" s="77">
        <v>0.58333333333333337</v>
      </c>
      <c r="V7808">
        <v>39.92</v>
      </c>
      <c r="X7808" s="42"/>
      <c r="AB7808">
        <v>50.1</v>
      </c>
      <c r="AC7808">
        <v>60.08</v>
      </c>
      <c r="AE7808" s="74"/>
      <c r="AF7808" s="77"/>
      <c r="AH7808" s="497">
        <v>44.6</v>
      </c>
      <c r="AJ7808" s="42"/>
      <c r="AK7808" s="74"/>
      <c r="AL7808" s="77"/>
      <c r="AN7808" s="497">
        <v>33.08</v>
      </c>
      <c r="AP7808" s="42"/>
      <c r="AQ7808" s="74"/>
      <c r="AR7808" s="77"/>
      <c r="AT7808" s="497">
        <v>48.019999999999996</v>
      </c>
      <c r="AV7808" s="42"/>
      <c r="AW7808" s="74"/>
      <c r="AX7808" s="77"/>
      <c r="BA7808" s="497">
        <v>12.920000000000002</v>
      </c>
      <c r="BB7808" s="42"/>
      <c r="BC7808" s="74"/>
      <c r="BD7808" s="77"/>
      <c r="BF7808">
        <v>37.04</v>
      </c>
      <c r="BH7808" s="42"/>
      <c r="BI7808" s="74"/>
      <c r="BJ7808" s="77"/>
      <c r="BL7808" s="497">
        <v>37.94</v>
      </c>
      <c r="BN7808" s="42"/>
      <c r="BO7808" s="74"/>
      <c r="BP7808" s="77"/>
      <c r="BR7808" s="497">
        <v>12.920000000000002</v>
      </c>
      <c r="BT7808" s="42"/>
    </row>
    <row r="7809" spans="1:72" x14ac:dyDescent="0.25">
      <c r="A7809" s="90">
        <v>36851</v>
      </c>
      <c r="B7809" s="20">
        <v>0.625</v>
      </c>
      <c r="D7809">
        <v>57.92</v>
      </c>
      <c r="E7809" t="str">
        <f t="shared" si="278"/>
        <v>WEEKDAY</v>
      </c>
      <c r="F7809" t="e">
        <f t="shared" si="279"/>
        <v>#N/A</v>
      </c>
      <c r="G7809" s="74">
        <v>28815</v>
      </c>
      <c r="H7809" s="77">
        <v>0.625</v>
      </c>
      <c r="J7809">
        <v>39.019999999999996</v>
      </c>
      <c r="M7809" s="74">
        <v>36120</v>
      </c>
      <c r="N7809" s="77">
        <v>0.625</v>
      </c>
      <c r="P7809">
        <v>44.6</v>
      </c>
      <c r="S7809" s="74">
        <v>36851</v>
      </c>
      <c r="T7809" s="77">
        <v>0.625</v>
      </c>
      <c r="V7809">
        <v>39.92</v>
      </c>
      <c r="X7809" s="42"/>
      <c r="AB7809">
        <v>50.3</v>
      </c>
      <c r="AC7809">
        <v>60.08</v>
      </c>
      <c r="AE7809" s="74"/>
      <c r="AF7809" s="77"/>
      <c r="AH7809" s="497">
        <v>44.6</v>
      </c>
      <c r="AJ7809" s="42"/>
      <c r="AK7809" s="74"/>
      <c r="AL7809" s="77"/>
      <c r="AN7809" s="497">
        <v>32</v>
      </c>
      <c r="AP7809" s="42"/>
      <c r="AQ7809" s="74"/>
      <c r="AR7809" s="77"/>
      <c r="AT7809" s="497">
        <v>48.019999999999996</v>
      </c>
      <c r="AV7809" s="42"/>
      <c r="AW7809" s="74"/>
      <c r="AX7809" s="77"/>
      <c r="BA7809" s="497">
        <v>14</v>
      </c>
      <c r="BB7809" s="42"/>
      <c r="BC7809" s="74"/>
      <c r="BD7809" s="77"/>
      <c r="BF7809">
        <v>37.94</v>
      </c>
      <c r="BH7809" s="42"/>
      <c r="BI7809" s="74"/>
      <c r="BJ7809" s="77"/>
      <c r="BL7809" s="497">
        <v>37.04</v>
      </c>
      <c r="BN7809" s="42"/>
      <c r="BO7809" s="74"/>
      <c r="BP7809" s="77"/>
      <c r="BR7809" s="497">
        <v>14</v>
      </c>
      <c r="BT7809" s="42"/>
    </row>
    <row r="7810" spans="1:72" x14ac:dyDescent="0.25">
      <c r="A7810" s="90">
        <v>36851</v>
      </c>
      <c r="B7810" s="20">
        <v>0.66666666666666663</v>
      </c>
      <c r="D7810">
        <v>59</v>
      </c>
      <c r="E7810" t="str">
        <f t="shared" si="278"/>
        <v>WEEKDAY</v>
      </c>
      <c r="F7810" t="e">
        <f t="shared" si="279"/>
        <v>#N/A</v>
      </c>
      <c r="G7810" s="74">
        <v>28815</v>
      </c>
      <c r="H7810" s="77">
        <v>0.66666666666666663</v>
      </c>
      <c r="J7810">
        <v>37.94</v>
      </c>
      <c r="M7810" s="74">
        <v>36120</v>
      </c>
      <c r="N7810" s="77">
        <v>0.66666666666666663</v>
      </c>
      <c r="P7810">
        <v>44.6</v>
      </c>
      <c r="S7810" s="74">
        <v>36851</v>
      </c>
      <c r="T7810" s="77">
        <v>0.66666666666666663</v>
      </c>
      <c r="V7810">
        <v>37.94</v>
      </c>
      <c r="X7810" s="42"/>
      <c r="AB7810">
        <v>49.9</v>
      </c>
      <c r="AC7810">
        <v>57.92</v>
      </c>
      <c r="AE7810" s="74"/>
      <c r="AF7810" s="77"/>
      <c r="AH7810" s="497">
        <v>44.6</v>
      </c>
      <c r="AJ7810" s="42"/>
      <c r="AK7810" s="74"/>
      <c r="AL7810" s="77"/>
      <c r="AN7810" s="497">
        <v>33.08</v>
      </c>
      <c r="AP7810" s="42"/>
      <c r="AQ7810" s="74"/>
      <c r="AR7810" s="77"/>
      <c r="AT7810" s="497">
        <v>48.019999999999996</v>
      </c>
      <c r="AV7810" s="42"/>
      <c r="AW7810" s="74"/>
      <c r="AX7810" s="77"/>
      <c r="BA7810" s="497">
        <v>14</v>
      </c>
      <c r="BB7810" s="42"/>
      <c r="BC7810" s="74"/>
      <c r="BD7810" s="77"/>
      <c r="BF7810">
        <v>37.04</v>
      </c>
      <c r="BH7810" s="42"/>
      <c r="BI7810" s="74"/>
      <c r="BJ7810" s="77"/>
      <c r="BL7810" s="497">
        <v>35.96</v>
      </c>
      <c r="BN7810" s="42"/>
      <c r="BO7810" s="74"/>
      <c r="BP7810" s="77"/>
      <c r="BR7810" s="497">
        <v>15.079999999999998</v>
      </c>
      <c r="BT7810" s="42"/>
    </row>
    <row r="7811" spans="1:72" x14ac:dyDescent="0.25">
      <c r="A7811" s="90">
        <v>36851</v>
      </c>
      <c r="B7811" s="20">
        <v>0.70833333333333337</v>
      </c>
      <c r="D7811">
        <v>60.08</v>
      </c>
      <c r="E7811" t="str">
        <f t="shared" si="278"/>
        <v>WEEKDAY</v>
      </c>
      <c r="F7811" t="e">
        <f t="shared" si="279"/>
        <v>#N/A</v>
      </c>
      <c r="G7811" s="74">
        <v>28815</v>
      </c>
      <c r="H7811" s="77">
        <v>0.70833333333333337</v>
      </c>
      <c r="J7811">
        <v>37.04</v>
      </c>
      <c r="M7811" s="74">
        <v>36120</v>
      </c>
      <c r="N7811" s="77">
        <v>0.70833333333333337</v>
      </c>
      <c r="P7811">
        <v>42.8</v>
      </c>
      <c r="S7811" s="74">
        <v>36851</v>
      </c>
      <c r="T7811" s="77">
        <v>0.70833333333333337</v>
      </c>
      <c r="V7811">
        <v>35.96</v>
      </c>
      <c r="X7811" s="42"/>
      <c r="AB7811">
        <v>48.9</v>
      </c>
      <c r="AC7811">
        <v>51.08</v>
      </c>
      <c r="AE7811" s="74"/>
      <c r="AF7811" s="77"/>
      <c r="AH7811" s="497">
        <v>42.8</v>
      </c>
      <c r="AJ7811" s="42"/>
      <c r="AK7811" s="74"/>
      <c r="AL7811" s="77"/>
      <c r="AN7811" s="497">
        <v>32</v>
      </c>
      <c r="AP7811" s="42"/>
      <c r="AQ7811" s="74"/>
      <c r="AR7811" s="77"/>
      <c r="AT7811" s="497">
        <v>48.019999999999996</v>
      </c>
      <c r="AV7811" s="42"/>
      <c r="AW7811" s="74"/>
      <c r="AX7811" s="77"/>
      <c r="BA7811" s="497">
        <v>14</v>
      </c>
      <c r="BB7811" s="42"/>
      <c r="BC7811" s="74"/>
      <c r="BD7811" s="77"/>
      <c r="BF7811">
        <v>35.96</v>
      </c>
      <c r="BH7811" s="42"/>
      <c r="BI7811" s="74"/>
      <c r="BJ7811" s="77"/>
      <c r="BL7811" s="497">
        <v>35.96</v>
      </c>
      <c r="BN7811" s="42"/>
      <c r="BO7811" s="74"/>
      <c r="BP7811" s="77"/>
      <c r="BR7811" s="497">
        <v>15.98</v>
      </c>
      <c r="BT7811" s="42"/>
    </row>
    <row r="7812" spans="1:72" x14ac:dyDescent="0.25">
      <c r="A7812" s="90">
        <v>36851</v>
      </c>
      <c r="B7812" s="20">
        <v>0.75</v>
      </c>
      <c r="D7812">
        <v>60.980000000000004</v>
      </c>
      <c r="E7812" t="str">
        <f t="shared" si="278"/>
        <v>WEEKDAY</v>
      </c>
      <c r="F7812" t="e">
        <f t="shared" si="279"/>
        <v>#N/A</v>
      </c>
      <c r="G7812" s="74">
        <v>28815</v>
      </c>
      <c r="H7812" s="77">
        <v>0.75</v>
      </c>
      <c r="J7812">
        <v>37.04</v>
      </c>
      <c r="M7812" s="74">
        <v>36120</v>
      </c>
      <c r="N7812" s="77">
        <v>0.75</v>
      </c>
      <c r="P7812">
        <v>42.8</v>
      </c>
      <c r="S7812" s="74">
        <v>36851</v>
      </c>
      <c r="T7812" s="77">
        <v>0.75</v>
      </c>
      <c r="V7812">
        <v>35.06</v>
      </c>
      <c r="X7812" s="42"/>
      <c r="AB7812">
        <v>47.6</v>
      </c>
      <c r="AC7812">
        <v>51.980000000000004</v>
      </c>
      <c r="AE7812" s="74"/>
      <c r="AF7812" s="77"/>
      <c r="AH7812" s="497">
        <v>37.4</v>
      </c>
      <c r="AJ7812" s="42"/>
      <c r="AK7812" s="74"/>
      <c r="AL7812" s="77"/>
      <c r="AN7812" s="497">
        <v>32</v>
      </c>
      <c r="AP7812" s="42"/>
      <c r="AQ7812" s="74"/>
      <c r="AR7812" s="77"/>
      <c r="AT7812" s="497">
        <v>46.94</v>
      </c>
      <c r="AV7812" s="42"/>
      <c r="AW7812" s="74"/>
      <c r="AX7812" s="77"/>
      <c r="BA7812" s="497">
        <v>15.079999999999998</v>
      </c>
      <c r="BB7812" s="42"/>
      <c r="BC7812" s="74"/>
      <c r="BD7812" s="77"/>
      <c r="BF7812">
        <v>37.04</v>
      </c>
      <c r="BH7812" s="42"/>
      <c r="BI7812" s="74"/>
      <c r="BJ7812" s="77"/>
      <c r="BL7812" s="497">
        <v>35.06</v>
      </c>
      <c r="BN7812" s="42"/>
      <c r="BO7812" s="74"/>
      <c r="BP7812" s="77"/>
      <c r="BR7812" s="497">
        <v>15.98</v>
      </c>
      <c r="BT7812" s="42"/>
    </row>
    <row r="7813" spans="1:72" x14ac:dyDescent="0.25">
      <c r="A7813" s="90">
        <v>36851</v>
      </c>
      <c r="B7813" s="20">
        <v>0.79166666666666663</v>
      </c>
      <c r="D7813">
        <v>60.08</v>
      </c>
      <c r="E7813" t="str">
        <f t="shared" si="278"/>
        <v>WEEKDAY</v>
      </c>
      <c r="F7813" t="e">
        <f t="shared" si="279"/>
        <v>#N/A</v>
      </c>
      <c r="G7813" s="74">
        <v>28815</v>
      </c>
      <c r="H7813" s="77">
        <v>0.79166666666666663</v>
      </c>
      <c r="J7813">
        <v>37.04</v>
      </c>
      <c r="M7813" s="74">
        <v>36120</v>
      </c>
      <c r="N7813" s="77">
        <v>0.79166666666666663</v>
      </c>
      <c r="P7813">
        <v>42.8</v>
      </c>
      <c r="S7813" s="74">
        <v>36851</v>
      </c>
      <c r="T7813" s="77">
        <v>0.79166666666666663</v>
      </c>
      <c r="V7813">
        <v>35.06</v>
      </c>
      <c r="X7813" s="42"/>
      <c r="AB7813">
        <v>47</v>
      </c>
      <c r="AC7813">
        <v>51.08</v>
      </c>
      <c r="AE7813" s="74"/>
      <c r="AF7813" s="77"/>
      <c r="AH7813" s="497">
        <v>33.799999999999997</v>
      </c>
      <c r="AJ7813" s="42"/>
      <c r="AK7813" s="74"/>
      <c r="AL7813" s="77"/>
      <c r="AN7813" s="497">
        <v>32</v>
      </c>
      <c r="AP7813" s="42"/>
      <c r="AQ7813" s="74"/>
      <c r="AR7813" s="77"/>
      <c r="AT7813" s="497">
        <v>46.04</v>
      </c>
      <c r="AV7813" s="42"/>
      <c r="AW7813" s="74"/>
      <c r="AX7813" s="77"/>
      <c r="BA7813" s="497">
        <v>15.98</v>
      </c>
      <c r="BB7813" s="42"/>
      <c r="BC7813" s="74"/>
      <c r="BD7813" s="77"/>
      <c r="BF7813">
        <v>35.96</v>
      </c>
      <c r="BH7813" s="42"/>
      <c r="BI7813" s="74"/>
      <c r="BJ7813" s="77"/>
      <c r="BL7813" s="497">
        <v>35.06</v>
      </c>
      <c r="BN7813" s="42"/>
      <c r="BO7813" s="74"/>
      <c r="BP7813" s="77"/>
      <c r="BR7813" s="497">
        <v>15.079999999999998</v>
      </c>
      <c r="BT7813" s="42"/>
    </row>
    <row r="7814" spans="1:72" x14ac:dyDescent="0.25">
      <c r="A7814" s="90">
        <v>36851</v>
      </c>
      <c r="B7814" s="20">
        <v>0.83333333333333337</v>
      </c>
      <c r="D7814">
        <v>60.980000000000004</v>
      </c>
      <c r="E7814" t="str">
        <f t="shared" si="278"/>
        <v>WEEKDAY</v>
      </c>
      <c r="F7814" t="e">
        <f t="shared" si="279"/>
        <v>#N/A</v>
      </c>
      <c r="G7814" s="74">
        <v>28815</v>
      </c>
      <c r="H7814" s="77">
        <v>0.83333333333333337</v>
      </c>
      <c r="J7814">
        <v>35.96</v>
      </c>
      <c r="M7814" s="74">
        <v>36120</v>
      </c>
      <c r="N7814" s="77">
        <v>0.83333333333333337</v>
      </c>
      <c r="P7814">
        <v>42.8</v>
      </c>
      <c r="S7814" s="74">
        <v>36851</v>
      </c>
      <c r="T7814" s="77">
        <v>0.83333333333333337</v>
      </c>
      <c r="V7814">
        <v>33.979999999999997</v>
      </c>
      <c r="X7814" s="42"/>
      <c r="AB7814">
        <v>46.7</v>
      </c>
      <c r="AC7814">
        <v>53.96</v>
      </c>
      <c r="AE7814" s="74"/>
      <c r="AF7814" s="77"/>
      <c r="AH7814" s="497">
        <v>28.4</v>
      </c>
      <c r="AJ7814" s="42"/>
      <c r="AK7814" s="74"/>
      <c r="AL7814" s="77"/>
      <c r="AN7814" s="497">
        <v>30.92</v>
      </c>
      <c r="AP7814" s="42"/>
      <c r="AQ7814" s="74"/>
      <c r="AR7814" s="77"/>
      <c r="AT7814" s="497">
        <v>46.04</v>
      </c>
      <c r="AV7814" s="42"/>
      <c r="AW7814" s="74"/>
      <c r="AX7814" s="77"/>
      <c r="BA7814" s="497">
        <v>15.98</v>
      </c>
      <c r="BB7814" s="42"/>
      <c r="BC7814" s="74"/>
      <c r="BD7814" s="77"/>
      <c r="BF7814">
        <v>35.96</v>
      </c>
      <c r="BH7814" s="42"/>
      <c r="BI7814" s="74"/>
      <c r="BJ7814" s="77"/>
      <c r="BL7814" s="497">
        <v>35.06</v>
      </c>
      <c r="BN7814" s="42"/>
      <c r="BO7814" s="74"/>
      <c r="BP7814" s="77"/>
      <c r="BR7814" s="497">
        <v>15.079999999999998</v>
      </c>
      <c r="BT7814" s="42"/>
    </row>
    <row r="7815" spans="1:72" x14ac:dyDescent="0.25">
      <c r="A7815" s="90">
        <v>36851</v>
      </c>
      <c r="B7815" s="20">
        <v>0.875</v>
      </c>
      <c r="D7815">
        <v>60.980000000000004</v>
      </c>
      <c r="E7815" t="str">
        <f t="shared" si="278"/>
        <v>WEEKDAY</v>
      </c>
      <c r="F7815" t="e">
        <f t="shared" si="279"/>
        <v>#N/A</v>
      </c>
      <c r="G7815" s="74">
        <v>28815</v>
      </c>
      <c r="H7815" s="77">
        <v>0.875</v>
      </c>
      <c r="J7815">
        <v>35.06</v>
      </c>
      <c r="M7815" s="74">
        <v>36120</v>
      </c>
      <c r="N7815" s="77">
        <v>0.875</v>
      </c>
      <c r="P7815">
        <v>42.8</v>
      </c>
      <c r="S7815" s="74">
        <v>36851</v>
      </c>
      <c r="T7815" s="77">
        <v>0.875</v>
      </c>
      <c r="V7815">
        <v>32</v>
      </c>
      <c r="X7815" s="42"/>
      <c r="AB7815">
        <v>46.1</v>
      </c>
      <c r="AC7815">
        <v>51.980000000000004</v>
      </c>
      <c r="AE7815" s="74"/>
      <c r="AF7815" s="77"/>
      <c r="AH7815" s="497">
        <v>33.799999999999997</v>
      </c>
      <c r="AJ7815" s="42"/>
      <c r="AK7815" s="74"/>
      <c r="AL7815" s="77"/>
      <c r="AN7815" s="497">
        <v>30.92</v>
      </c>
      <c r="AP7815" s="42"/>
      <c r="AQ7815" s="74"/>
      <c r="AR7815" s="77"/>
      <c r="AT7815" s="497">
        <v>44.96</v>
      </c>
      <c r="AV7815" s="42"/>
      <c r="AW7815" s="74"/>
      <c r="AX7815" s="77"/>
      <c r="BA7815" s="497">
        <v>15.98</v>
      </c>
      <c r="BB7815" s="42"/>
      <c r="BC7815" s="74"/>
      <c r="BD7815" s="77"/>
      <c r="BF7815">
        <v>35.96</v>
      </c>
      <c r="BH7815" s="42"/>
      <c r="BI7815" s="74"/>
      <c r="BJ7815" s="77"/>
      <c r="BL7815" s="497">
        <v>35.06</v>
      </c>
      <c r="BN7815" s="42"/>
      <c r="BO7815" s="74"/>
      <c r="BP7815" s="77"/>
      <c r="BR7815" s="497">
        <v>15.079999999999998</v>
      </c>
      <c r="BT7815" s="42"/>
    </row>
    <row r="7816" spans="1:72" x14ac:dyDescent="0.25">
      <c r="A7816" s="90">
        <v>36851</v>
      </c>
      <c r="B7816" s="20">
        <v>0.91666666666666663</v>
      </c>
      <c r="D7816">
        <v>60.980000000000004</v>
      </c>
      <c r="E7816" t="str">
        <f t="shared" si="278"/>
        <v>WEEKDAY</v>
      </c>
      <c r="F7816" t="e">
        <f t="shared" si="279"/>
        <v>#N/A</v>
      </c>
      <c r="G7816" s="74">
        <v>28815</v>
      </c>
      <c r="H7816" s="77">
        <v>0.91666666666666663</v>
      </c>
      <c r="J7816">
        <v>35.06</v>
      </c>
      <c r="M7816" s="74">
        <v>36120</v>
      </c>
      <c r="N7816" s="77">
        <v>0.91666666666666663</v>
      </c>
      <c r="P7816">
        <v>41</v>
      </c>
      <c r="S7816" s="74">
        <v>36851</v>
      </c>
      <c r="T7816" s="77">
        <v>0.91666666666666663</v>
      </c>
      <c r="V7816">
        <v>32</v>
      </c>
      <c r="X7816" s="42"/>
      <c r="AB7816">
        <v>45.5</v>
      </c>
      <c r="AC7816">
        <v>51.980000000000004</v>
      </c>
      <c r="AE7816" s="74"/>
      <c r="AF7816" s="77"/>
      <c r="AH7816" s="497">
        <v>30.2</v>
      </c>
      <c r="AJ7816" s="42"/>
      <c r="AK7816" s="74"/>
      <c r="AL7816" s="77"/>
      <c r="AN7816" s="497">
        <v>30.92</v>
      </c>
      <c r="AP7816" s="42"/>
      <c r="AQ7816" s="74"/>
      <c r="AR7816" s="77"/>
      <c r="AT7816" s="497">
        <v>44.06</v>
      </c>
      <c r="AV7816" s="42"/>
      <c r="AW7816" s="74"/>
      <c r="AX7816" s="77"/>
      <c r="BA7816" s="497">
        <v>15.98</v>
      </c>
      <c r="BB7816" s="42"/>
      <c r="BC7816" s="74"/>
      <c r="BD7816" s="77"/>
      <c r="BF7816">
        <v>35.96</v>
      </c>
      <c r="BH7816" s="42"/>
      <c r="BI7816" s="74"/>
      <c r="BJ7816" s="77"/>
      <c r="BL7816" s="497">
        <v>33.979999999999997</v>
      </c>
      <c r="BN7816" s="42"/>
      <c r="BO7816" s="74"/>
      <c r="BP7816" s="77"/>
      <c r="BR7816" s="497">
        <v>15.079999999999998</v>
      </c>
      <c r="BT7816" s="42"/>
    </row>
    <row r="7817" spans="1:72" x14ac:dyDescent="0.25">
      <c r="A7817" s="90">
        <v>36851</v>
      </c>
      <c r="B7817" s="20">
        <v>0.95833333333333337</v>
      </c>
      <c r="D7817">
        <v>60.980000000000004</v>
      </c>
      <c r="E7817" t="str">
        <f t="shared" si="278"/>
        <v>WEEKDAY</v>
      </c>
      <c r="F7817" t="e">
        <f t="shared" si="279"/>
        <v>#N/A</v>
      </c>
      <c r="G7817" s="74">
        <v>28815</v>
      </c>
      <c r="H7817" s="77">
        <v>0.95833333333333337</v>
      </c>
      <c r="J7817">
        <v>35.06</v>
      </c>
      <c r="M7817" s="74">
        <v>36120</v>
      </c>
      <c r="N7817" s="77">
        <v>0.95833333333333337</v>
      </c>
      <c r="P7817">
        <v>41</v>
      </c>
      <c r="S7817" s="74">
        <v>36851</v>
      </c>
      <c r="T7817" s="77">
        <v>0.95833333333333337</v>
      </c>
      <c r="V7817">
        <v>30.92</v>
      </c>
      <c r="X7817" s="42"/>
      <c r="AB7817">
        <v>45.1</v>
      </c>
      <c r="AC7817">
        <v>50</v>
      </c>
      <c r="AE7817" s="74"/>
      <c r="AF7817" s="77"/>
      <c r="AH7817" s="497">
        <v>30.2</v>
      </c>
      <c r="AJ7817" s="42"/>
      <c r="AK7817" s="74"/>
      <c r="AL7817" s="77"/>
      <c r="AN7817" s="497">
        <v>30.92</v>
      </c>
      <c r="AP7817" s="42"/>
      <c r="AQ7817" s="74"/>
      <c r="AR7817" s="77"/>
      <c r="AT7817" s="497">
        <v>39.92</v>
      </c>
      <c r="AV7817" s="42"/>
      <c r="AW7817" s="74"/>
      <c r="AX7817" s="77"/>
      <c r="BA7817" s="497">
        <v>17.059999999999999</v>
      </c>
      <c r="BB7817" s="42"/>
      <c r="BC7817" s="74"/>
      <c r="BD7817" s="77"/>
      <c r="BF7817">
        <v>35.06</v>
      </c>
      <c r="BH7817" s="42"/>
      <c r="BI7817" s="74"/>
      <c r="BJ7817" s="77"/>
      <c r="BL7817" s="497">
        <v>35.06</v>
      </c>
      <c r="BN7817" s="42"/>
      <c r="BO7817" s="74"/>
      <c r="BP7817" s="77"/>
      <c r="BR7817" s="497">
        <v>15.98</v>
      </c>
      <c r="BT7817" s="42"/>
    </row>
    <row r="7818" spans="1:72" x14ac:dyDescent="0.25">
      <c r="A7818" s="90">
        <v>36851</v>
      </c>
      <c r="B7818" s="20">
        <v>1</v>
      </c>
      <c r="D7818">
        <v>62.06</v>
      </c>
      <c r="E7818" t="str">
        <f t="shared" si="278"/>
        <v>WEEKDAY</v>
      </c>
      <c r="F7818" t="e">
        <f t="shared" si="279"/>
        <v>#N/A</v>
      </c>
      <c r="G7818" s="74">
        <v>28815</v>
      </c>
      <c r="H7818" s="77">
        <v>1</v>
      </c>
      <c r="J7818">
        <v>33.979999999999997</v>
      </c>
      <c r="M7818" s="74">
        <v>36120</v>
      </c>
      <c r="N7818" s="80">
        <v>1</v>
      </c>
      <c r="P7818">
        <v>39.200000000000003</v>
      </c>
      <c r="S7818" s="74">
        <v>36851</v>
      </c>
      <c r="T7818" s="80">
        <v>1</v>
      </c>
      <c r="V7818">
        <v>30.92</v>
      </c>
      <c r="X7818" s="42"/>
      <c r="AB7818">
        <v>44.6</v>
      </c>
      <c r="AC7818">
        <v>48.92</v>
      </c>
      <c r="AE7818" s="74"/>
      <c r="AF7818" s="80"/>
      <c r="AH7818" s="497">
        <v>28.4</v>
      </c>
      <c r="AJ7818" s="42"/>
      <c r="AK7818" s="74"/>
      <c r="AL7818" s="80"/>
      <c r="AN7818" s="497">
        <v>30.02</v>
      </c>
      <c r="AP7818" s="42"/>
      <c r="AQ7818" s="74"/>
      <c r="AR7818" s="80"/>
      <c r="AT7818" s="497">
        <v>37.94</v>
      </c>
      <c r="AV7818" s="42"/>
      <c r="AW7818" s="74"/>
      <c r="AX7818" s="80"/>
      <c r="BA7818" s="497">
        <v>17.96</v>
      </c>
      <c r="BB7818" s="42"/>
      <c r="BC7818" s="74"/>
      <c r="BD7818" s="80"/>
      <c r="BF7818">
        <v>35.06</v>
      </c>
      <c r="BH7818" s="42"/>
      <c r="BI7818" s="74"/>
      <c r="BJ7818" s="80"/>
      <c r="BL7818" s="497">
        <v>35.06</v>
      </c>
      <c r="BN7818" s="42"/>
      <c r="BO7818" s="74"/>
      <c r="BP7818" s="80"/>
      <c r="BR7818" s="497">
        <v>14</v>
      </c>
      <c r="BT7818" s="42"/>
    </row>
    <row r="7819" spans="1:72" x14ac:dyDescent="0.25">
      <c r="A7819" s="90">
        <v>36852</v>
      </c>
      <c r="B7819" s="20">
        <v>4.1666666666666664E-2</v>
      </c>
      <c r="D7819">
        <v>62.06</v>
      </c>
      <c r="E7819" t="str">
        <f t="shared" si="278"/>
        <v>WEEKDAY</v>
      </c>
      <c r="F7819" t="e">
        <f t="shared" si="279"/>
        <v>#N/A</v>
      </c>
      <c r="G7819" s="74">
        <v>28816</v>
      </c>
      <c r="H7819" s="77">
        <v>4.1666666666666664E-2</v>
      </c>
      <c r="J7819">
        <v>35.06</v>
      </c>
      <c r="M7819" s="74">
        <v>36121</v>
      </c>
      <c r="N7819" s="77">
        <v>4.1666666666666664E-2</v>
      </c>
      <c r="P7819">
        <v>37.4</v>
      </c>
      <c r="S7819" s="74">
        <v>36852</v>
      </c>
      <c r="T7819" s="77">
        <v>4.1666666666666664E-2</v>
      </c>
      <c r="V7819">
        <v>30.02</v>
      </c>
      <c r="X7819" s="42"/>
      <c r="AB7819">
        <v>44</v>
      </c>
      <c r="AC7819">
        <v>48.019999999999996</v>
      </c>
      <c r="AE7819" s="74"/>
      <c r="AF7819" s="77"/>
      <c r="AH7819" s="497">
        <v>30.2</v>
      </c>
      <c r="AJ7819" s="42"/>
      <c r="AK7819" s="74"/>
      <c r="AL7819" s="77"/>
      <c r="AN7819" s="497">
        <v>30.02</v>
      </c>
      <c r="AP7819" s="42"/>
      <c r="AQ7819" s="74"/>
      <c r="AR7819" s="77"/>
      <c r="AT7819" s="497">
        <v>35.06</v>
      </c>
      <c r="AV7819" s="42"/>
      <c r="AW7819" s="74"/>
      <c r="AX7819" s="77"/>
      <c r="BA7819" s="497">
        <v>17.96</v>
      </c>
      <c r="BB7819" s="42"/>
      <c r="BC7819" s="74"/>
      <c r="BD7819" s="77"/>
      <c r="BF7819">
        <v>35.06</v>
      </c>
      <c r="BH7819" s="42"/>
      <c r="BI7819" s="74"/>
      <c r="BJ7819" s="77"/>
      <c r="BL7819" s="497">
        <v>35.06</v>
      </c>
      <c r="BN7819" s="42"/>
      <c r="BO7819" s="74"/>
      <c r="BP7819" s="77"/>
      <c r="BR7819" s="497">
        <v>14</v>
      </c>
      <c r="BT7819" s="42"/>
    </row>
    <row r="7820" spans="1:72" x14ac:dyDescent="0.25">
      <c r="A7820" s="90">
        <v>36852</v>
      </c>
      <c r="B7820" s="20">
        <v>8.3333333333333329E-2</v>
      </c>
      <c r="D7820">
        <v>62.06</v>
      </c>
      <c r="E7820" t="str">
        <f t="shared" si="278"/>
        <v>WEEKDAY</v>
      </c>
      <c r="F7820" t="e">
        <f t="shared" si="279"/>
        <v>#N/A</v>
      </c>
      <c r="G7820" s="74">
        <v>28816</v>
      </c>
      <c r="H7820" s="77">
        <v>8.3333333333333329E-2</v>
      </c>
      <c r="J7820">
        <v>35.06</v>
      </c>
      <c r="M7820" s="74">
        <v>36121</v>
      </c>
      <c r="N7820" s="77">
        <v>8.3333333333333329E-2</v>
      </c>
      <c r="P7820">
        <v>37.4</v>
      </c>
      <c r="S7820" s="74">
        <v>36852</v>
      </c>
      <c r="T7820" s="77">
        <v>8.3333333333333329E-2</v>
      </c>
      <c r="V7820">
        <v>30.02</v>
      </c>
      <c r="X7820" s="42"/>
      <c r="AB7820">
        <v>43.5</v>
      </c>
      <c r="AC7820">
        <v>48.019999999999996</v>
      </c>
      <c r="AE7820" s="74"/>
      <c r="AF7820" s="77"/>
      <c r="AH7820" s="497">
        <v>30.2</v>
      </c>
      <c r="AJ7820" s="42"/>
      <c r="AK7820" s="74"/>
      <c r="AL7820" s="77"/>
      <c r="AN7820" s="497">
        <v>30.02</v>
      </c>
      <c r="AP7820" s="42"/>
      <c r="AQ7820" s="74"/>
      <c r="AR7820" s="77"/>
      <c r="AT7820" s="497">
        <v>33.979999999999997</v>
      </c>
      <c r="AV7820" s="42"/>
      <c r="AW7820" s="74"/>
      <c r="AX7820" s="77"/>
      <c r="BA7820" s="497">
        <v>19.04</v>
      </c>
      <c r="BB7820" s="42"/>
      <c r="BC7820" s="74"/>
      <c r="BD7820" s="77"/>
      <c r="BF7820">
        <v>35.06</v>
      </c>
      <c r="BH7820" s="42"/>
      <c r="BI7820" s="74"/>
      <c r="BJ7820" s="77"/>
      <c r="BL7820" s="497">
        <v>33.979999999999997</v>
      </c>
      <c r="BN7820" s="42"/>
      <c r="BO7820" s="74"/>
      <c r="BP7820" s="77"/>
      <c r="BR7820" s="497">
        <v>14</v>
      </c>
      <c r="BT7820" s="42"/>
    </row>
    <row r="7821" spans="1:72" x14ac:dyDescent="0.25">
      <c r="A7821" s="90">
        <v>36852</v>
      </c>
      <c r="B7821" s="20">
        <v>0.125</v>
      </c>
      <c r="D7821">
        <v>60.08</v>
      </c>
      <c r="E7821" t="str">
        <f t="shared" si="278"/>
        <v>WEEKDAY</v>
      </c>
      <c r="F7821" t="e">
        <f t="shared" si="279"/>
        <v>#N/A</v>
      </c>
      <c r="G7821" s="74">
        <v>28816</v>
      </c>
      <c r="H7821" s="77">
        <v>0.125</v>
      </c>
      <c r="J7821">
        <v>35.06</v>
      </c>
      <c r="M7821" s="74">
        <v>36121</v>
      </c>
      <c r="N7821" s="77">
        <v>0.125</v>
      </c>
      <c r="P7821">
        <v>37.4</v>
      </c>
      <c r="S7821" s="74">
        <v>36852</v>
      </c>
      <c r="T7821" s="77">
        <v>0.125</v>
      </c>
      <c r="V7821">
        <v>28.94</v>
      </c>
      <c r="X7821" s="42"/>
      <c r="AB7821">
        <v>43.2</v>
      </c>
      <c r="AC7821">
        <v>44.96</v>
      </c>
      <c r="AE7821" s="74"/>
      <c r="AF7821" s="77"/>
      <c r="AH7821" s="497">
        <v>26.6</v>
      </c>
      <c r="AJ7821" s="42"/>
      <c r="AK7821" s="74"/>
      <c r="AL7821" s="77"/>
      <c r="AN7821" s="497">
        <v>30.02</v>
      </c>
      <c r="AP7821" s="42"/>
      <c r="AQ7821" s="74"/>
      <c r="AR7821" s="77"/>
      <c r="AT7821" s="497">
        <v>33.08</v>
      </c>
      <c r="AV7821" s="42"/>
      <c r="AW7821" s="74"/>
      <c r="AX7821" s="77"/>
      <c r="BA7821" s="497">
        <v>19.04</v>
      </c>
      <c r="BB7821" s="42"/>
      <c r="BC7821" s="74"/>
      <c r="BD7821" s="77"/>
      <c r="BF7821">
        <v>35.06</v>
      </c>
      <c r="BH7821" s="42"/>
      <c r="BI7821" s="74"/>
      <c r="BJ7821" s="77"/>
      <c r="BL7821" s="497">
        <v>33.979999999999997</v>
      </c>
      <c r="BN7821" s="42"/>
      <c r="BO7821" s="74"/>
      <c r="BP7821" s="77"/>
      <c r="BR7821" s="497">
        <v>14</v>
      </c>
      <c r="BT7821" s="42"/>
    </row>
    <row r="7822" spans="1:72" x14ac:dyDescent="0.25">
      <c r="A7822" s="90">
        <v>36852</v>
      </c>
      <c r="B7822" s="20">
        <v>0.16666666666666666</v>
      </c>
      <c r="D7822">
        <v>57.92</v>
      </c>
      <c r="E7822" t="str">
        <f t="shared" si="278"/>
        <v>WEEKDAY</v>
      </c>
      <c r="F7822" t="e">
        <f t="shared" si="279"/>
        <v>#N/A</v>
      </c>
      <c r="G7822" s="74">
        <v>28816</v>
      </c>
      <c r="H7822" s="77">
        <v>0.16666666666666666</v>
      </c>
      <c r="J7822">
        <v>35.06</v>
      </c>
      <c r="M7822" s="74">
        <v>36121</v>
      </c>
      <c r="N7822" s="77">
        <v>0.16666666666666666</v>
      </c>
      <c r="P7822">
        <v>37.4</v>
      </c>
      <c r="S7822" s="74">
        <v>36852</v>
      </c>
      <c r="T7822" s="77">
        <v>0.16666666666666666</v>
      </c>
      <c r="V7822">
        <v>28.94</v>
      </c>
      <c r="X7822" s="42"/>
      <c r="AB7822">
        <v>42.8</v>
      </c>
      <c r="AC7822">
        <v>46.04</v>
      </c>
      <c r="AE7822" s="74"/>
      <c r="AF7822" s="77"/>
      <c r="AH7822" s="497">
        <v>26.6</v>
      </c>
      <c r="AJ7822" s="42"/>
      <c r="AK7822" s="74"/>
      <c r="AL7822" s="77"/>
      <c r="AN7822" s="497">
        <v>30.02</v>
      </c>
      <c r="AP7822" s="42"/>
      <c r="AQ7822" s="74"/>
      <c r="AR7822" s="77"/>
      <c r="AT7822" s="497">
        <v>33.08</v>
      </c>
      <c r="AV7822" s="42"/>
      <c r="AW7822" s="74"/>
      <c r="AX7822" s="77"/>
      <c r="BA7822" s="497">
        <v>19.939999999999998</v>
      </c>
      <c r="BB7822" s="42"/>
      <c r="BC7822" s="74"/>
      <c r="BD7822" s="77"/>
      <c r="BF7822">
        <v>33.979999999999997</v>
      </c>
      <c r="BH7822" s="42"/>
      <c r="BI7822" s="74"/>
      <c r="BJ7822" s="77"/>
      <c r="BL7822" s="497">
        <v>33.979999999999997</v>
      </c>
      <c r="BN7822" s="42"/>
      <c r="BO7822" s="74"/>
      <c r="BP7822" s="77"/>
      <c r="BR7822" s="497">
        <v>14</v>
      </c>
      <c r="BT7822" s="42"/>
    </row>
    <row r="7823" spans="1:72" x14ac:dyDescent="0.25">
      <c r="A7823" s="90">
        <v>36852</v>
      </c>
      <c r="B7823" s="20">
        <v>0.20833333333333334</v>
      </c>
      <c r="D7823">
        <v>55.94</v>
      </c>
      <c r="E7823" t="str">
        <f t="shared" si="278"/>
        <v>WEEKDAY</v>
      </c>
      <c r="F7823" t="e">
        <f t="shared" si="279"/>
        <v>#N/A</v>
      </c>
      <c r="G7823" s="74">
        <v>28816</v>
      </c>
      <c r="H7823" s="77">
        <v>0.20833333333333334</v>
      </c>
      <c r="J7823">
        <v>33.979999999999997</v>
      </c>
      <c r="M7823" s="74">
        <v>36121</v>
      </c>
      <c r="N7823" s="77">
        <v>0.20833333333333334</v>
      </c>
      <c r="P7823">
        <v>35.6</v>
      </c>
      <c r="S7823" s="74">
        <v>36852</v>
      </c>
      <c r="T7823" s="77">
        <v>0.20833333333333334</v>
      </c>
      <c r="V7823">
        <v>28.04</v>
      </c>
      <c r="X7823" s="42"/>
      <c r="AB7823">
        <v>42.4</v>
      </c>
      <c r="AC7823">
        <v>46.04</v>
      </c>
      <c r="AE7823" s="74"/>
      <c r="AF7823" s="77"/>
      <c r="AH7823" s="497">
        <v>26.6</v>
      </c>
      <c r="AJ7823" s="42"/>
      <c r="AK7823" s="74"/>
      <c r="AL7823" s="77"/>
      <c r="AN7823" s="497">
        <v>30.02</v>
      </c>
      <c r="AP7823" s="42"/>
      <c r="AQ7823" s="74"/>
      <c r="AR7823" s="77"/>
      <c r="AT7823" s="497">
        <v>33.08</v>
      </c>
      <c r="AV7823" s="42"/>
      <c r="AW7823" s="74"/>
      <c r="AX7823" s="77"/>
      <c r="BA7823" s="497">
        <v>15.079999999999998</v>
      </c>
      <c r="BB7823" s="42"/>
      <c r="BC7823" s="74"/>
      <c r="BD7823" s="77"/>
      <c r="BF7823">
        <v>33.979999999999997</v>
      </c>
      <c r="BH7823" s="42"/>
      <c r="BI7823" s="74"/>
      <c r="BJ7823" s="77"/>
      <c r="BL7823" s="497">
        <v>33.979999999999997</v>
      </c>
      <c r="BN7823" s="42"/>
      <c r="BO7823" s="74"/>
      <c r="BP7823" s="77"/>
      <c r="BR7823" s="497">
        <v>14</v>
      </c>
      <c r="BT7823" s="42"/>
    </row>
    <row r="7824" spans="1:72" x14ac:dyDescent="0.25">
      <c r="A7824" s="90">
        <v>36852</v>
      </c>
      <c r="B7824" s="20">
        <v>0.25</v>
      </c>
      <c r="D7824">
        <v>55.040000000000006</v>
      </c>
      <c r="E7824" t="str">
        <f t="shared" si="278"/>
        <v>WEEKDAY</v>
      </c>
      <c r="F7824" t="e">
        <f t="shared" si="279"/>
        <v>#N/A</v>
      </c>
      <c r="G7824" s="74">
        <v>28816</v>
      </c>
      <c r="H7824" s="77">
        <v>0.25</v>
      </c>
      <c r="J7824">
        <v>33.979999999999997</v>
      </c>
      <c r="M7824" s="74">
        <v>36121</v>
      </c>
      <c r="N7824" s="77">
        <v>0.25</v>
      </c>
      <c r="P7824">
        <v>35.6</v>
      </c>
      <c r="S7824" s="74">
        <v>36852</v>
      </c>
      <c r="T7824" s="77">
        <v>0.25</v>
      </c>
      <c r="V7824">
        <v>28.04</v>
      </c>
      <c r="X7824" s="42"/>
      <c r="AB7824">
        <v>42.2</v>
      </c>
      <c r="AC7824">
        <v>44.96</v>
      </c>
      <c r="AE7824" s="74"/>
      <c r="AF7824" s="77"/>
      <c r="AH7824" s="497">
        <v>24.8</v>
      </c>
      <c r="AJ7824" s="42"/>
      <c r="AK7824" s="74"/>
      <c r="AL7824" s="77"/>
      <c r="AN7824" s="497">
        <v>28.94</v>
      </c>
      <c r="AP7824" s="42"/>
      <c r="AQ7824" s="74"/>
      <c r="AR7824" s="77"/>
      <c r="AT7824" s="497">
        <v>33.08</v>
      </c>
      <c r="AV7824" s="42"/>
      <c r="AW7824" s="74"/>
      <c r="AX7824" s="77"/>
      <c r="BA7824" s="497">
        <v>12.920000000000002</v>
      </c>
      <c r="BB7824" s="42"/>
      <c r="BC7824" s="74"/>
      <c r="BD7824" s="77"/>
      <c r="BF7824">
        <v>33.08</v>
      </c>
      <c r="BH7824" s="42"/>
      <c r="BI7824" s="74"/>
      <c r="BJ7824" s="77"/>
      <c r="BL7824" s="497">
        <v>33.979999999999997</v>
      </c>
      <c r="BN7824" s="42"/>
      <c r="BO7824" s="74"/>
      <c r="BP7824" s="77"/>
      <c r="BR7824" s="497">
        <v>14</v>
      </c>
      <c r="BT7824" s="42"/>
    </row>
    <row r="7825" spans="1:72" x14ac:dyDescent="0.25">
      <c r="A7825" s="90">
        <v>36852</v>
      </c>
      <c r="B7825" s="20">
        <v>0.29166666666666669</v>
      </c>
      <c r="D7825">
        <v>53.96</v>
      </c>
      <c r="E7825" t="str">
        <f t="shared" si="278"/>
        <v>WEEKDAY</v>
      </c>
      <c r="F7825" t="e">
        <f t="shared" si="279"/>
        <v>#N/A</v>
      </c>
      <c r="G7825" s="74">
        <v>28816</v>
      </c>
      <c r="H7825" s="77">
        <v>0.29166666666666669</v>
      </c>
      <c r="J7825">
        <v>33.979999999999997</v>
      </c>
      <c r="M7825" s="74">
        <v>36121</v>
      </c>
      <c r="N7825" s="77">
        <v>0.29166666666666669</v>
      </c>
      <c r="P7825">
        <v>33.799999999999997</v>
      </c>
      <c r="S7825" s="74">
        <v>36852</v>
      </c>
      <c r="T7825" s="77">
        <v>0.29166666666666669</v>
      </c>
      <c r="V7825">
        <v>28.04</v>
      </c>
      <c r="X7825" s="42"/>
      <c r="AB7825">
        <v>42.1</v>
      </c>
      <c r="AC7825">
        <v>46.94</v>
      </c>
      <c r="AE7825" s="74"/>
      <c r="AF7825" s="77"/>
      <c r="AH7825" s="497">
        <v>24.8</v>
      </c>
      <c r="AJ7825" s="42"/>
      <c r="AK7825" s="74"/>
      <c r="AL7825" s="77"/>
      <c r="AN7825" s="497">
        <v>28.94</v>
      </c>
      <c r="AP7825" s="42"/>
      <c r="AQ7825" s="74"/>
      <c r="AR7825" s="77"/>
      <c r="AT7825" s="497">
        <v>35.06</v>
      </c>
      <c r="AV7825" s="42"/>
      <c r="AW7825" s="74"/>
      <c r="AX7825" s="77"/>
      <c r="BA7825" s="497">
        <v>14</v>
      </c>
      <c r="BB7825" s="42"/>
      <c r="BC7825" s="74"/>
      <c r="BD7825" s="77"/>
      <c r="BF7825">
        <v>33.08</v>
      </c>
      <c r="BH7825" s="42"/>
      <c r="BI7825" s="74"/>
      <c r="BJ7825" s="77"/>
      <c r="BL7825" s="497">
        <v>33.979999999999997</v>
      </c>
      <c r="BN7825" s="42"/>
      <c r="BO7825" s="74"/>
      <c r="BP7825" s="77"/>
      <c r="BR7825" s="497">
        <v>12.920000000000002</v>
      </c>
      <c r="BT7825" s="42"/>
    </row>
    <row r="7826" spans="1:72" x14ac:dyDescent="0.25">
      <c r="A7826" s="90">
        <v>36852</v>
      </c>
      <c r="B7826" s="20">
        <v>0.33333333333333331</v>
      </c>
      <c r="D7826">
        <v>53.06</v>
      </c>
      <c r="E7826" t="str">
        <f t="shared" si="278"/>
        <v>WEEKDAY</v>
      </c>
      <c r="F7826" t="e">
        <f t="shared" si="279"/>
        <v>#N/A</v>
      </c>
      <c r="G7826" s="74">
        <v>28816</v>
      </c>
      <c r="H7826" s="77">
        <v>0.33333333333333331</v>
      </c>
      <c r="J7826">
        <v>33.979999999999997</v>
      </c>
      <c r="M7826" s="74">
        <v>36121</v>
      </c>
      <c r="N7826" s="77">
        <v>0.33333333333333331</v>
      </c>
      <c r="P7826">
        <v>37.4</v>
      </c>
      <c r="S7826" s="74">
        <v>36852</v>
      </c>
      <c r="T7826" s="77">
        <v>0.33333333333333331</v>
      </c>
      <c r="V7826">
        <v>28.94</v>
      </c>
      <c r="X7826" s="42"/>
      <c r="AB7826">
        <v>42.1</v>
      </c>
      <c r="AC7826">
        <v>48.92</v>
      </c>
      <c r="AE7826" s="74"/>
      <c r="AF7826" s="77"/>
      <c r="AH7826" s="497">
        <v>30.2</v>
      </c>
      <c r="AJ7826" s="42"/>
      <c r="AK7826" s="74"/>
      <c r="AL7826" s="77"/>
      <c r="AN7826" s="497">
        <v>28.94</v>
      </c>
      <c r="AP7826" s="42"/>
      <c r="AQ7826" s="74"/>
      <c r="AR7826" s="77"/>
      <c r="AT7826" s="497">
        <v>37.04</v>
      </c>
      <c r="AV7826" s="42"/>
      <c r="AW7826" s="74"/>
      <c r="AX7826" s="77"/>
      <c r="BA7826" s="497">
        <v>17.059999999999999</v>
      </c>
      <c r="BB7826" s="42"/>
      <c r="BC7826" s="74"/>
      <c r="BD7826" s="77"/>
      <c r="BF7826">
        <v>33.979999999999997</v>
      </c>
      <c r="BH7826" s="42"/>
      <c r="BI7826" s="74"/>
      <c r="BJ7826" s="77"/>
      <c r="BL7826" s="497">
        <v>33.979999999999997</v>
      </c>
      <c r="BN7826" s="42"/>
      <c r="BO7826" s="74"/>
      <c r="BP7826" s="77"/>
      <c r="BR7826" s="497">
        <v>15.079999999999998</v>
      </c>
      <c r="BT7826" s="42"/>
    </row>
    <row r="7827" spans="1:72" x14ac:dyDescent="0.25">
      <c r="A7827" s="90">
        <v>36852</v>
      </c>
      <c r="B7827" s="20">
        <v>0.375</v>
      </c>
      <c r="D7827">
        <v>53.96</v>
      </c>
      <c r="E7827" t="str">
        <f t="shared" ref="E7827:E7890" si="280">IF(COUNTIF($DI$18:$DI$22, WEEKDAY(A7827))=1, "WEEKDAY", IF(WEEKDAY(A7827) = 1, "SUNDAY", "SATURDAY"))</f>
        <v>WEEKDAY</v>
      </c>
      <c r="F7827" t="e">
        <f t="shared" si="279"/>
        <v>#N/A</v>
      </c>
      <c r="G7827" s="74">
        <v>28816</v>
      </c>
      <c r="H7827" s="77">
        <v>0.375</v>
      </c>
      <c r="J7827">
        <v>35.06</v>
      </c>
      <c r="M7827" s="74">
        <v>36121</v>
      </c>
      <c r="N7827" s="77">
        <v>0.375</v>
      </c>
      <c r="P7827">
        <v>39.200000000000003</v>
      </c>
      <c r="S7827" s="74">
        <v>36852</v>
      </c>
      <c r="T7827" s="77">
        <v>0.375</v>
      </c>
      <c r="V7827">
        <v>30.02</v>
      </c>
      <c r="X7827" s="42"/>
      <c r="AB7827">
        <v>43.3</v>
      </c>
      <c r="AC7827">
        <v>51.08</v>
      </c>
      <c r="AE7827" s="74"/>
      <c r="AF7827" s="77"/>
      <c r="AH7827" s="497">
        <v>37.4</v>
      </c>
      <c r="AJ7827" s="42"/>
      <c r="AK7827" s="74"/>
      <c r="AL7827" s="77"/>
      <c r="AN7827" s="497">
        <v>30.02</v>
      </c>
      <c r="AP7827" s="42"/>
      <c r="AQ7827" s="74"/>
      <c r="AR7827" s="77"/>
      <c r="AT7827" s="497">
        <v>39.92</v>
      </c>
      <c r="AV7827" s="42"/>
      <c r="AW7827" s="74"/>
      <c r="AX7827" s="77"/>
      <c r="BA7827" s="497">
        <v>21.02</v>
      </c>
      <c r="BB7827" s="42"/>
      <c r="BC7827" s="74"/>
      <c r="BD7827" s="77"/>
      <c r="BF7827">
        <v>33.979999999999997</v>
      </c>
      <c r="BH7827" s="42"/>
      <c r="BI7827" s="74"/>
      <c r="BJ7827" s="77"/>
      <c r="BL7827" s="497">
        <v>35.06</v>
      </c>
      <c r="BN7827" s="42"/>
      <c r="BO7827" s="74"/>
      <c r="BP7827" s="77"/>
      <c r="BR7827" s="497">
        <v>17.059999999999999</v>
      </c>
      <c r="BT7827" s="42"/>
    </row>
    <row r="7828" spans="1:72" x14ac:dyDescent="0.25">
      <c r="A7828" s="90">
        <v>36852</v>
      </c>
      <c r="B7828" s="20">
        <v>0.41666666666666669</v>
      </c>
      <c r="D7828">
        <v>55.040000000000006</v>
      </c>
      <c r="E7828" t="str">
        <f t="shared" si="280"/>
        <v>WEEKDAY</v>
      </c>
      <c r="F7828" t="e">
        <f t="shared" si="279"/>
        <v>#N/A</v>
      </c>
      <c r="G7828" s="74">
        <v>28816</v>
      </c>
      <c r="H7828" s="77">
        <v>0.41666666666666669</v>
      </c>
      <c r="J7828">
        <v>35.96</v>
      </c>
      <c r="M7828" s="74">
        <v>36121</v>
      </c>
      <c r="N7828" s="77">
        <v>0.41666666666666669</v>
      </c>
      <c r="P7828">
        <v>41</v>
      </c>
      <c r="S7828" s="74">
        <v>36852</v>
      </c>
      <c r="T7828" s="77">
        <v>0.41666666666666669</v>
      </c>
      <c r="V7828">
        <v>32</v>
      </c>
      <c r="X7828" s="42"/>
      <c r="AB7828">
        <v>45.3</v>
      </c>
      <c r="AC7828">
        <v>53.06</v>
      </c>
      <c r="AE7828" s="74"/>
      <c r="AF7828" s="77"/>
      <c r="AH7828" s="497">
        <v>42.8</v>
      </c>
      <c r="AJ7828" s="42"/>
      <c r="AK7828" s="74"/>
      <c r="AL7828" s="77"/>
      <c r="AN7828" s="497">
        <v>30.02</v>
      </c>
      <c r="AP7828" s="42"/>
      <c r="AQ7828" s="74"/>
      <c r="AR7828" s="77"/>
      <c r="AT7828" s="497">
        <v>44.06</v>
      </c>
      <c r="AV7828" s="42"/>
      <c r="AW7828" s="74"/>
      <c r="AX7828" s="77"/>
      <c r="BA7828" s="497">
        <v>24.08</v>
      </c>
      <c r="BB7828" s="42"/>
      <c r="BC7828" s="74"/>
      <c r="BD7828" s="77"/>
      <c r="BF7828">
        <v>33.979999999999997</v>
      </c>
      <c r="BH7828" s="42"/>
      <c r="BI7828" s="74"/>
      <c r="BJ7828" s="77"/>
      <c r="BL7828" s="497">
        <v>35.96</v>
      </c>
      <c r="BN7828" s="42"/>
      <c r="BO7828" s="74"/>
      <c r="BP7828" s="77"/>
      <c r="BR7828" s="497">
        <v>19.939999999999998</v>
      </c>
      <c r="BT7828" s="42"/>
    </row>
    <row r="7829" spans="1:72" x14ac:dyDescent="0.25">
      <c r="A7829" s="90">
        <v>36852</v>
      </c>
      <c r="B7829" s="20">
        <v>0.45833333333333331</v>
      </c>
      <c r="D7829">
        <v>55.040000000000006</v>
      </c>
      <c r="E7829" t="str">
        <f t="shared" si="280"/>
        <v>WEEKDAY</v>
      </c>
      <c r="F7829" t="e">
        <f t="shared" si="279"/>
        <v>#N/A</v>
      </c>
      <c r="G7829" s="74">
        <v>28816</v>
      </c>
      <c r="H7829" s="77">
        <v>0.45833333333333331</v>
      </c>
      <c r="J7829">
        <v>37.04</v>
      </c>
      <c r="M7829" s="74">
        <v>36121</v>
      </c>
      <c r="N7829" s="77">
        <v>0.45833333333333331</v>
      </c>
      <c r="P7829">
        <v>42.8</v>
      </c>
      <c r="S7829" s="74">
        <v>36852</v>
      </c>
      <c r="T7829" s="77">
        <v>0.45833333333333331</v>
      </c>
      <c r="V7829">
        <v>33.08</v>
      </c>
      <c r="X7829" s="42"/>
      <c r="AB7829">
        <v>46.9</v>
      </c>
      <c r="AC7829">
        <v>55.040000000000006</v>
      </c>
      <c r="AE7829" s="74"/>
      <c r="AF7829" s="77"/>
      <c r="AH7829" s="497">
        <v>46.4</v>
      </c>
      <c r="AJ7829" s="42"/>
      <c r="AK7829" s="74"/>
      <c r="AL7829" s="77"/>
      <c r="AN7829" s="497">
        <v>32</v>
      </c>
      <c r="AP7829" s="42"/>
      <c r="AQ7829" s="74"/>
      <c r="AR7829" s="77"/>
      <c r="AT7829" s="497">
        <v>46.04</v>
      </c>
      <c r="AV7829" s="42"/>
      <c r="AW7829" s="74"/>
      <c r="AX7829" s="77"/>
      <c r="BA7829" s="497">
        <v>28.04</v>
      </c>
      <c r="BB7829" s="42"/>
      <c r="BC7829" s="74"/>
      <c r="BD7829" s="77"/>
      <c r="BF7829">
        <v>33.979999999999997</v>
      </c>
      <c r="BH7829" s="42"/>
      <c r="BI7829" s="74"/>
      <c r="BJ7829" s="77"/>
      <c r="BL7829" s="497">
        <v>35.96</v>
      </c>
      <c r="BN7829" s="42"/>
      <c r="BO7829" s="74"/>
      <c r="BP7829" s="77"/>
      <c r="BR7829" s="497">
        <v>23</v>
      </c>
      <c r="BT7829" s="42"/>
    </row>
    <row r="7830" spans="1:72" x14ac:dyDescent="0.25">
      <c r="A7830" s="90">
        <v>36852</v>
      </c>
      <c r="B7830" s="20">
        <v>0.5</v>
      </c>
      <c r="D7830">
        <v>55.040000000000006</v>
      </c>
      <c r="E7830" t="str">
        <f t="shared" si="280"/>
        <v>WEEKDAY</v>
      </c>
      <c r="F7830" t="e">
        <f t="shared" si="279"/>
        <v>#N/A</v>
      </c>
      <c r="G7830" s="74">
        <v>28816</v>
      </c>
      <c r="H7830" s="77">
        <v>0.5</v>
      </c>
      <c r="J7830">
        <v>37.94</v>
      </c>
      <c r="M7830" s="74">
        <v>36121</v>
      </c>
      <c r="N7830" s="77">
        <v>0.5</v>
      </c>
      <c r="P7830">
        <v>42.8</v>
      </c>
      <c r="S7830" s="74">
        <v>36852</v>
      </c>
      <c r="T7830" s="77">
        <v>0.5</v>
      </c>
      <c r="V7830">
        <v>33.979999999999997</v>
      </c>
      <c r="X7830" s="42"/>
      <c r="AB7830">
        <v>48.3</v>
      </c>
      <c r="AC7830">
        <v>55.94</v>
      </c>
      <c r="AE7830" s="74"/>
      <c r="AF7830" s="77"/>
      <c r="AH7830" s="497">
        <v>48.2</v>
      </c>
      <c r="AJ7830" s="42"/>
      <c r="AK7830" s="74"/>
      <c r="AL7830" s="77"/>
      <c r="AN7830" s="497">
        <v>33.08</v>
      </c>
      <c r="AP7830" s="42"/>
      <c r="AQ7830" s="74"/>
      <c r="AR7830" s="77"/>
      <c r="AT7830" s="497">
        <v>46.94</v>
      </c>
      <c r="AV7830" s="42"/>
      <c r="AW7830" s="74"/>
      <c r="AX7830" s="77"/>
      <c r="BA7830" s="497">
        <v>30.02</v>
      </c>
      <c r="BB7830" s="42"/>
      <c r="BC7830" s="74"/>
      <c r="BD7830" s="77"/>
      <c r="BF7830">
        <v>35.06</v>
      </c>
      <c r="BH7830" s="42"/>
      <c r="BI7830" s="74"/>
      <c r="BJ7830" s="77"/>
      <c r="BL7830" s="497">
        <v>39.019999999999996</v>
      </c>
      <c r="BN7830" s="42"/>
      <c r="BO7830" s="74"/>
      <c r="BP7830" s="77"/>
      <c r="BR7830" s="497">
        <v>26.96</v>
      </c>
      <c r="BT7830" s="42"/>
    </row>
    <row r="7831" spans="1:72" x14ac:dyDescent="0.25">
      <c r="A7831" s="90">
        <v>36852</v>
      </c>
      <c r="B7831" s="20">
        <v>0.54166666666666663</v>
      </c>
      <c r="D7831">
        <v>55.94</v>
      </c>
      <c r="E7831" t="str">
        <f t="shared" si="280"/>
        <v>WEEKDAY</v>
      </c>
      <c r="F7831" t="e">
        <f t="shared" si="279"/>
        <v>#N/A</v>
      </c>
      <c r="G7831" s="74">
        <v>28816</v>
      </c>
      <c r="H7831" s="77">
        <v>0.54166666666666663</v>
      </c>
      <c r="J7831">
        <v>37.94</v>
      </c>
      <c r="M7831" s="74">
        <v>36121</v>
      </c>
      <c r="N7831" s="77">
        <v>0.54166666666666663</v>
      </c>
      <c r="P7831">
        <v>46.4</v>
      </c>
      <c r="S7831" s="74">
        <v>36852</v>
      </c>
      <c r="T7831" s="77">
        <v>0.54166666666666663</v>
      </c>
      <c r="V7831">
        <v>33.08</v>
      </c>
      <c r="X7831" s="42"/>
      <c r="AB7831">
        <v>49.3</v>
      </c>
      <c r="AC7831">
        <v>57.019999999999996</v>
      </c>
      <c r="AE7831" s="74"/>
      <c r="AF7831" s="77"/>
      <c r="AH7831" s="497">
        <v>51.8</v>
      </c>
      <c r="AJ7831" s="42"/>
      <c r="AK7831" s="74"/>
      <c r="AL7831" s="77"/>
      <c r="AN7831" s="497">
        <v>35.06</v>
      </c>
      <c r="AP7831" s="42"/>
      <c r="AQ7831" s="74"/>
      <c r="AR7831" s="77"/>
      <c r="AT7831" s="497">
        <v>46.94</v>
      </c>
      <c r="AV7831" s="42"/>
      <c r="AW7831" s="74"/>
      <c r="AX7831" s="77"/>
      <c r="BA7831" s="497">
        <v>33.08</v>
      </c>
      <c r="BB7831" s="42"/>
      <c r="BC7831" s="74"/>
      <c r="BD7831" s="77"/>
      <c r="BF7831">
        <v>35.96</v>
      </c>
      <c r="BH7831" s="42"/>
      <c r="BI7831" s="74"/>
      <c r="BJ7831" s="77"/>
      <c r="BL7831" s="497">
        <v>39.019999999999996</v>
      </c>
      <c r="BN7831" s="42"/>
      <c r="BO7831" s="74"/>
      <c r="BP7831" s="77"/>
      <c r="BR7831" s="497">
        <v>28.04</v>
      </c>
      <c r="BT7831" s="42"/>
    </row>
    <row r="7832" spans="1:72" x14ac:dyDescent="0.25">
      <c r="A7832" s="90">
        <v>36852</v>
      </c>
      <c r="B7832" s="20">
        <v>0.58333333333333337</v>
      </c>
      <c r="D7832">
        <v>55.94</v>
      </c>
      <c r="E7832" t="str">
        <f t="shared" si="280"/>
        <v>WEEKDAY</v>
      </c>
      <c r="F7832" t="e">
        <f t="shared" si="279"/>
        <v>#N/A</v>
      </c>
      <c r="G7832" s="74">
        <v>28816</v>
      </c>
      <c r="H7832" s="77">
        <v>0.58333333333333337</v>
      </c>
      <c r="J7832">
        <v>37.94</v>
      </c>
      <c r="M7832" s="74">
        <v>36121</v>
      </c>
      <c r="N7832" s="77">
        <v>0.58333333333333337</v>
      </c>
      <c r="P7832">
        <v>48.2</v>
      </c>
      <c r="S7832" s="74">
        <v>36852</v>
      </c>
      <c r="T7832" s="77">
        <v>0.58333333333333337</v>
      </c>
      <c r="V7832">
        <v>35.96</v>
      </c>
      <c r="X7832" s="42"/>
      <c r="AB7832">
        <v>49.9</v>
      </c>
      <c r="AC7832">
        <v>59</v>
      </c>
      <c r="AE7832" s="74"/>
      <c r="AF7832" s="77"/>
      <c r="AH7832" s="497">
        <v>51.8</v>
      </c>
      <c r="AJ7832" s="42"/>
      <c r="AK7832" s="74"/>
      <c r="AL7832" s="77"/>
      <c r="AN7832" s="497">
        <v>35.96</v>
      </c>
      <c r="AP7832" s="42"/>
      <c r="AQ7832" s="74"/>
      <c r="AR7832" s="77"/>
      <c r="AT7832" s="497">
        <v>48.92</v>
      </c>
      <c r="AV7832" s="42"/>
      <c r="AW7832" s="74"/>
      <c r="AX7832" s="77"/>
      <c r="BA7832" s="497">
        <v>30.02</v>
      </c>
      <c r="BB7832" s="42"/>
      <c r="BC7832" s="74"/>
      <c r="BD7832" s="77"/>
      <c r="BF7832">
        <v>35.96</v>
      </c>
      <c r="BH7832" s="42"/>
      <c r="BI7832" s="74"/>
      <c r="BJ7832" s="77"/>
      <c r="BL7832" s="497">
        <v>39.92</v>
      </c>
      <c r="BN7832" s="42"/>
      <c r="BO7832" s="74"/>
      <c r="BP7832" s="77"/>
      <c r="BR7832" s="497">
        <v>28.94</v>
      </c>
      <c r="BT7832" s="42"/>
    </row>
    <row r="7833" spans="1:72" x14ac:dyDescent="0.25">
      <c r="A7833" s="90">
        <v>36852</v>
      </c>
      <c r="B7833" s="20">
        <v>0.625</v>
      </c>
      <c r="D7833">
        <v>55.040000000000006</v>
      </c>
      <c r="E7833" t="str">
        <f t="shared" si="280"/>
        <v>WEEKDAY</v>
      </c>
      <c r="F7833" t="e">
        <f t="shared" si="279"/>
        <v>#N/A</v>
      </c>
      <c r="G7833" s="74">
        <v>28816</v>
      </c>
      <c r="H7833" s="77">
        <v>0.625</v>
      </c>
      <c r="J7833">
        <v>37.94</v>
      </c>
      <c r="M7833" s="74">
        <v>36121</v>
      </c>
      <c r="N7833" s="77">
        <v>0.625</v>
      </c>
      <c r="P7833">
        <v>48.2</v>
      </c>
      <c r="S7833" s="74">
        <v>36852</v>
      </c>
      <c r="T7833" s="77">
        <v>0.625</v>
      </c>
      <c r="V7833">
        <v>33.979999999999997</v>
      </c>
      <c r="X7833" s="42"/>
      <c r="AB7833">
        <v>50.1</v>
      </c>
      <c r="AC7833">
        <v>60.08</v>
      </c>
      <c r="AE7833" s="74"/>
      <c r="AF7833" s="77"/>
      <c r="AH7833" s="497">
        <v>52.34</v>
      </c>
      <c r="AJ7833" s="42"/>
      <c r="AK7833" s="74"/>
      <c r="AL7833" s="77"/>
      <c r="AN7833" s="497">
        <v>37.04</v>
      </c>
      <c r="AP7833" s="42"/>
      <c r="AQ7833" s="74"/>
      <c r="AR7833" s="77"/>
      <c r="AT7833" s="497">
        <v>48.019999999999996</v>
      </c>
      <c r="AV7833" s="42"/>
      <c r="AW7833" s="74"/>
      <c r="AX7833" s="77"/>
      <c r="BA7833" s="497">
        <v>30.92</v>
      </c>
      <c r="BB7833" s="42"/>
      <c r="BC7833" s="74"/>
      <c r="BD7833" s="77"/>
      <c r="BF7833">
        <v>37.94</v>
      </c>
      <c r="BH7833" s="42"/>
      <c r="BI7833" s="74"/>
      <c r="BJ7833" s="77"/>
      <c r="BL7833" s="497">
        <v>39.92</v>
      </c>
      <c r="BN7833" s="42"/>
      <c r="BO7833" s="74"/>
      <c r="BP7833" s="77"/>
      <c r="BR7833" s="497">
        <v>30.02</v>
      </c>
      <c r="BT7833" s="42"/>
    </row>
    <row r="7834" spans="1:72" x14ac:dyDescent="0.25">
      <c r="A7834" s="90">
        <v>36852</v>
      </c>
      <c r="B7834" s="20">
        <v>0.66666666666666663</v>
      </c>
      <c r="D7834">
        <v>53.96</v>
      </c>
      <c r="E7834" t="str">
        <f t="shared" si="280"/>
        <v>WEEKDAY</v>
      </c>
      <c r="F7834" t="e">
        <f t="shared" si="279"/>
        <v>#N/A</v>
      </c>
      <c r="G7834" s="74">
        <v>28816</v>
      </c>
      <c r="H7834" s="77">
        <v>0.66666666666666663</v>
      </c>
      <c r="J7834">
        <v>37.94</v>
      </c>
      <c r="M7834" s="74">
        <v>36121</v>
      </c>
      <c r="N7834" s="77">
        <v>0.66666666666666663</v>
      </c>
      <c r="P7834">
        <v>42.8</v>
      </c>
      <c r="S7834" s="74">
        <v>36852</v>
      </c>
      <c r="T7834" s="77">
        <v>0.66666666666666663</v>
      </c>
      <c r="V7834">
        <v>33.08</v>
      </c>
      <c r="X7834" s="42"/>
      <c r="AB7834">
        <v>49.7</v>
      </c>
      <c r="AC7834">
        <v>57.019999999999996</v>
      </c>
      <c r="AE7834" s="74"/>
      <c r="AF7834" s="77"/>
      <c r="AH7834" s="497">
        <v>51.8</v>
      </c>
      <c r="AJ7834" s="42"/>
      <c r="AK7834" s="74"/>
      <c r="AL7834" s="77"/>
      <c r="AN7834" s="497">
        <v>35.96</v>
      </c>
      <c r="AP7834" s="42"/>
      <c r="AQ7834" s="74"/>
      <c r="AR7834" s="77"/>
      <c r="AT7834" s="497">
        <v>44.96</v>
      </c>
      <c r="AV7834" s="42"/>
      <c r="AW7834" s="74"/>
      <c r="AX7834" s="77"/>
      <c r="BA7834" s="497">
        <v>30.02</v>
      </c>
      <c r="BB7834" s="42"/>
      <c r="BC7834" s="74"/>
      <c r="BD7834" s="77"/>
      <c r="BF7834">
        <v>37.04</v>
      </c>
      <c r="BH7834" s="42"/>
      <c r="BI7834" s="74"/>
      <c r="BJ7834" s="77"/>
      <c r="BL7834" s="497">
        <v>37.04</v>
      </c>
      <c r="BN7834" s="42"/>
      <c r="BO7834" s="74"/>
      <c r="BP7834" s="77"/>
      <c r="BR7834" s="497">
        <v>28.94</v>
      </c>
      <c r="BT7834" s="42"/>
    </row>
    <row r="7835" spans="1:72" x14ac:dyDescent="0.25">
      <c r="A7835" s="90">
        <v>36852</v>
      </c>
      <c r="B7835" s="20">
        <v>0.70833333333333337</v>
      </c>
      <c r="D7835">
        <v>51.08</v>
      </c>
      <c r="E7835" t="str">
        <f t="shared" si="280"/>
        <v>WEEKDAY</v>
      </c>
      <c r="F7835" t="e">
        <f t="shared" si="279"/>
        <v>#N/A</v>
      </c>
      <c r="G7835" s="74">
        <v>28816</v>
      </c>
      <c r="H7835" s="77">
        <v>0.70833333333333337</v>
      </c>
      <c r="J7835">
        <v>37.04</v>
      </c>
      <c r="M7835" s="74">
        <v>36121</v>
      </c>
      <c r="N7835" s="77">
        <v>0.70833333333333337</v>
      </c>
      <c r="P7835">
        <v>42.8</v>
      </c>
      <c r="S7835" s="74">
        <v>36852</v>
      </c>
      <c r="T7835" s="77">
        <v>0.70833333333333337</v>
      </c>
      <c r="V7835">
        <v>33.08</v>
      </c>
      <c r="X7835" s="42"/>
      <c r="AB7835">
        <v>48.7</v>
      </c>
      <c r="AC7835">
        <v>50</v>
      </c>
      <c r="AE7835" s="74"/>
      <c r="AF7835" s="77"/>
      <c r="AH7835" s="497">
        <v>44.6</v>
      </c>
      <c r="AJ7835" s="42"/>
      <c r="AK7835" s="74"/>
      <c r="AL7835" s="77"/>
      <c r="AN7835" s="497">
        <v>33.08</v>
      </c>
      <c r="AP7835" s="42"/>
      <c r="AQ7835" s="74"/>
      <c r="AR7835" s="77"/>
      <c r="AT7835" s="497">
        <v>44.96</v>
      </c>
      <c r="AV7835" s="42"/>
      <c r="AW7835" s="74"/>
      <c r="AX7835" s="77"/>
      <c r="BA7835" s="497">
        <v>28.04</v>
      </c>
      <c r="BB7835" s="42"/>
      <c r="BC7835" s="74"/>
      <c r="BD7835" s="77"/>
      <c r="BF7835">
        <v>35.06</v>
      </c>
      <c r="BH7835" s="42"/>
      <c r="BI7835" s="74"/>
      <c r="BJ7835" s="77"/>
      <c r="BL7835" s="497">
        <v>33.979999999999997</v>
      </c>
      <c r="BN7835" s="42"/>
      <c r="BO7835" s="74"/>
      <c r="BP7835" s="77"/>
      <c r="BR7835" s="497">
        <v>26.060000000000002</v>
      </c>
      <c r="BT7835" s="42"/>
    </row>
    <row r="7836" spans="1:72" x14ac:dyDescent="0.25">
      <c r="A7836" s="90">
        <v>36852</v>
      </c>
      <c r="B7836" s="20">
        <v>0.75</v>
      </c>
      <c r="D7836">
        <v>50</v>
      </c>
      <c r="E7836" t="str">
        <f t="shared" si="280"/>
        <v>WEEKDAY</v>
      </c>
      <c r="F7836" t="e">
        <f t="shared" si="279"/>
        <v>#N/A</v>
      </c>
      <c r="G7836" s="74">
        <v>28816</v>
      </c>
      <c r="H7836" s="77">
        <v>0.75</v>
      </c>
      <c r="J7836">
        <v>37.04</v>
      </c>
      <c r="M7836" s="74">
        <v>36121</v>
      </c>
      <c r="N7836" s="77">
        <v>0.75</v>
      </c>
      <c r="P7836">
        <v>42.8</v>
      </c>
      <c r="S7836" s="74">
        <v>36852</v>
      </c>
      <c r="T7836" s="77">
        <v>0.75</v>
      </c>
      <c r="V7836">
        <v>32</v>
      </c>
      <c r="X7836" s="42"/>
      <c r="AB7836">
        <v>47.4</v>
      </c>
      <c r="AC7836">
        <v>46.04</v>
      </c>
      <c r="AE7836" s="74"/>
      <c r="AF7836" s="77"/>
      <c r="AH7836" s="497">
        <v>41</v>
      </c>
      <c r="AJ7836" s="42"/>
      <c r="AK7836" s="74"/>
      <c r="AL7836" s="77"/>
      <c r="AN7836" s="497">
        <v>33.979999999999997</v>
      </c>
      <c r="AP7836" s="42"/>
      <c r="AQ7836" s="74"/>
      <c r="AR7836" s="77"/>
      <c r="AT7836" s="497">
        <v>39.019999999999996</v>
      </c>
      <c r="AV7836" s="42"/>
      <c r="AW7836" s="74"/>
      <c r="AX7836" s="77"/>
      <c r="BA7836" s="497">
        <v>26.96</v>
      </c>
      <c r="BB7836" s="42"/>
      <c r="BC7836" s="74"/>
      <c r="BD7836" s="77"/>
      <c r="BF7836">
        <v>33.08</v>
      </c>
      <c r="BH7836" s="42"/>
      <c r="BI7836" s="74"/>
      <c r="BJ7836" s="77"/>
      <c r="BL7836" s="497">
        <v>35.06</v>
      </c>
      <c r="BN7836" s="42"/>
      <c r="BO7836" s="74"/>
      <c r="BP7836" s="77"/>
      <c r="BR7836" s="497">
        <v>24.08</v>
      </c>
      <c r="BT7836" s="42"/>
    </row>
    <row r="7837" spans="1:72" x14ac:dyDescent="0.25">
      <c r="A7837" s="90">
        <v>36852</v>
      </c>
      <c r="B7837" s="20">
        <v>0.79166666666666663</v>
      </c>
      <c r="D7837">
        <v>48.019999999999996</v>
      </c>
      <c r="E7837" t="str">
        <f t="shared" si="280"/>
        <v>WEEKDAY</v>
      </c>
      <c r="F7837" t="e">
        <f t="shared" si="279"/>
        <v>#N/A</v>
      </c>
      <c r="G7837" s="74">
        <v>28816</v>
      </c>
      <c r="H7837" s="77">
        <v>0.79166666666666663</v>
      </c>
      <c r="J7837">
        <v>37.04</v>
      </c>
      <c r="M7837" s="74">
        <v>36121</v>
      </c>
      <c r="N7837" s="77">
        <v>0.79166666666666663</v>
      </c>
      <c r="P7837">
        <v>41</v>
      </c>
      <c r="S7837" s="74">
        <v>36852</v>
      </c>
      <c r="T7837" s="77">
        <v>0.79166666666666663</v>
      </c>
      <c r="V7837">
        <v>32</v>
      </c>
      <c r="X7837" s="42"/>
      <c r="AB7837">
        <v>46.8</v>
      </c>
      <c r="AC7837">
        <v>44.06</v>
      </c>
      <c r="AE7837" s="74"/>
      <c r="AF7837" s="77"/>
      <c r="AH7837" s="497">
        <v>37.4</v>
      </c>
      <c r="AJ7837" s="42"/>
      <c r="AK7837" s="74"/>
      <c r="AL7837" s="77"/>
      <c r="AN7837" s="497">
        <v>32</v>
      </c>
      <c r="AP7837" s="42"/>
      <c r="AQ7837" s="74"/>
      <c r="AR7837" s="77"/>
      <c r="AT7837" s="497">
        <v>37.04</v>
      </c>
      <c r="AV7837" s="42"/>
      <c r="AW7837" s="74"/>
      <c r="AX7837" s="77"/>
      <c r="BA7837" s="497">
        <v>26.060000000000002</v>
      </c>
      <c r="BB7837" s="42"/>
      <c r="BC7837" s="74"/>
      <c r="BD7837" s="77"/>
      <c r="BF7837">
        <v>30.92</v>
      </c>
      <c r="BH7837" s="42"/>
      <c r="BI7837" s="74"/>
      <c r="BJ7837" s="77"/>
      <c r="BL7837" s="497">
        <v>33.08</v>
      </c>
      <c r="BN7837" s="42"/>
      <c r="BO7837" s="74"/>
      <c r="BP7837" s="77"/>
      <c r="BR7837" s="497">
        <v>26.060000000000002</v>
      </c>
      <c r="BT7837" s="42"/>
    </row>
    <row r="7838" spans="1:72" x14ac:dyDescent="0.25">
      <c r="A7838" s="90">
        <v>36852</v>
      </c>
      <c r="B7838" s="20">
        <v>0.83333333333333337</v>
      </c>
      <c r="D7838">
        <v>46.04</v>
      </c>
      <c r="E7838" t="str">
        <f t="shared" si="280"/>
        <v>WEEKDAY</v>
      </c>
      <c r="F7838" t="e">
        <f t="shared" si="279"/>
        <v>#N/A</v>
      </c>
      <c r="G7838" s="74">
        <v>28816</v>
      </c>
      <c r="H7838" s="77">
        <v>0.83333333333333337</v>
      </c>
      <c r="J7838">
        <v>37.04</v>
      </c>
      <c r="M7838" s="74">
        <v>36121</v>
      </c>
      <c r="N7838" s="77">
        <v>0.83333333333333337</v>
      </c>
      <c r="P7838">
        <v>41</v>
      </c>
      <c r="S7838" s="74">
        <v>36852</v>
      </c>
      <c r="T7838" s="77">
        <v>0.83333333333333337</v>
      </c>
      <c r="V7838">
        <v>30.92</v>
      </c>
      <c r="X7838" s="42"/>
      <c r="AB7838">
        <v>46.5</v>
      </c>
      <c r="AC7838">
        <v>41</v>
      </c>
      <c r="AE7838" s="74"/>
      <c r="AF7838" s="77"/>
      <c r="AH7838" s="497">
        <v>35.6</v>
      </c>
      <c r="AJ7838" s="42"/>
      <c r="AK7838" s="74"/>
      <c r="AL7838" s="77"/>
      <c r="AN7838" s="497">
        <v>32</v>
      </c>
      <c r="AP7838" s="42"/>
      <c r="AQ7838" s="74"/>
      <c r="AR7838" s="77"/>
      <c r="AT7838" s="497">
        <v>35.06</v>
      </c>
      <c r="AV7838" s="42"/>
      <c r="AW7838" s="74"/>
      <c r="AX7838" s="77"/>
      <c r="BA7838" s="497">
        <v>24.08</v>
      </c>
      <c r="BB7838" s="42"/>
      <c r="BC7838" s="74"/>
      <c r="BD7838" s="77"/>
      <c r="BF7838">
        <v>30.92</v>
      </c>
      <c r="BH7838" s="42"/>
      <c r="BI7838" s="74"/>
      <c r="BJ7838" s="77"/>
      <c r="BL7838" s="497">
        <v>32</v>
      </c>
      <c r="BN7838" s="42"/>
      <c r="BO7838" s="74"/>
      <c r="BP7838" s="77"/>
      <c r="BR7838" s="497">
        <v>26.060000000000002</v>
      </c>
      <c r="BT7838" s="42"/>
    </row>
    <row r="7839" spans="1:72" x14ac:dyDescent="0.25">
      <c r="A7839" s="90">
        <v>36852</v>
      </c>
      <c r="B7839" s="20">
        <v>0.875</v>
      </c>
      <c r="D7839">
        <v>42.980000000000004</v>
      </c>
      <c r="E7839" t="str">
        <f t="shared" si="280"/>
        <v>WEEKDAY</v>
      </c>
      <c r="F7839" t="e">
        <f t="shared" si="279"/>
        <v>#N/A</v>
      </c>
      <c r="G7839" s="74">
        <v>28816</v>
      </c>
      <c r="H7839" s="77">
        <v>0.875</v>
      </c>
      <c r="J7839">
        <v>37.04</v>
      </c>
      <c r="M7839" s="74">
        <v>36121</v>
      </c>
      <c r="N7839" s="77">
        <v>0.875</v>
      </c>
      <c r="P7839">
        <v>41</v>
      </c>
      <c r="S7839" s="74">
        <v>36852</v>
      </c>
      <c r="T7839" s="77">
        <v>0.875</v>
      </c>
      <c r="V7839">
        <v>30.02</v>
      </c>
      <c r="X7839" s="42"/>
      <c r="AB7839">
        <v>45.9</v>
      </c>
      <c r="AC7839">
        <v>39.019999999999996</v>
      </c>
      <c r="AE7839" s="74"/>
      <c r="AF7839" s="77"/>
      <c r="AH7839" s="497">
        <v>33.799999999999997</v>
      </c>
      <c r="AJ7839" s="42"/>
      <c r="AK7839" s="74"/>
      <c r="AL7839" s="77"/>
      <c r="AN7839" s="497">
        <v>30.02</v>
      </c>
      <c r="AP7839" s="42"/>
      <c r="AQ7839" s="74"/>
      <c r="AR7839" s="77"/>
      <c r="AT7839" s="497">
        <v>33.08</v>
      </c>
      <c r="AV7839" s="42"/>
      <c r="AW7839" s="74"/>
      <c r="AX7839" s="77"/>
      <c r="BA7839" s="497">
        <v>24.98</v>
      </c>
      <c r="BB7839" s="42"/>
      <c r="BC7839" s="74"/>
      <c r="BD7839" s="77"/>
      <c r="BF7839">
        <v>28.94</v>
      </c>
      <c r="BH7839" s="42"/>
      <c r="BI7839" s="74"/>
      <c r="BJ7839" s="77"/>
      <c r="BL7839" s="497">
        <v>30.92</v>
      </c>
      <c r="BN7839" s="42"/>
      <c r="BO7839" s="74"/>
      <c r="BP7839" s="77"/>
      <c r="BR7839" s="497">
        <v>26.060000000000002</v>
      </c>
      <c r="BT7839" s="42"/>
    </row>
    <row r="7840" spans="1:72" x14ac:dyDescent="0.25">
      <c r="A7840" s="90">
        <v>36852</v>
      </c>
      <c r="B7840" s="20">
        <v>0.91666666666666663</v>
      </c>
      <c r="D7840">
        <v>42.08</v>
      </c>
      <c r="E7840" t="str">
        <f t="shared" si="280"/>
        <v>WEEKDAY</v>
      </c>
      <c r="F7840" t="e">
        <f t="shared" si="279"/>
        <v>#N/A</v>
      </c>
      <c r="G7840" s="74">
        <v>28816</v>
      </c>
      <c r="H7840" s="77">
        <v>0.91666666666666663</v>
      </c>
      <c r="J7840">
        <v>35.96</v>
      </c>
      <c r="M7840" s="74">
        <v>36121</v>
      </c>
      <c r="N7840" s="77">
        <v>0.91666666666666663</v>
      </c>
      <c r="P7840">
        <v>41</v>
      </c>
      <c r="S7840" s="74">
        <v>36852</v>
      </c>
      <c r="T7840" s="77">
        <v>0.91666666666666663</v>
      </c>
      <c r="V7840">
        <v>30.02</v>
      </c>
      <c r="X7840" s="42"/>
      <c r="AB7840">
        <v>45.3</v>
      </c>
      <c r="AC7840">
        <v>41</v>
      </c>
      <c r="AE7840" s="74"/>
      <c r="AF7840" s="77"/>
      <c r="AH7840" s="497">
        <v>32</v>
      </c>
      <c r="AJ7840" s="42"/>
      <c r="AK7840" s="74"/>
      <c r="AL7840" s="77"/>
      <c r="AN7840" s="497">
        <v>28.94</v>
      </c>
      <c r="AP7840" s="42"/>
      <c r="AQ7840" s="74"/>
      <c r="AR7840" s="77"/>
      <c r="AT7840" s="497">
        <v>32</v>
      </c>
      <c r="AV7840" s="42"/>
      <c r="AW7840" s="74"/>
      <c r="AX7840" s="77"/>
      <c r="BA7840" s="497">
        <v>21.92</v>
      </c>
      <c r="BB7840" s="42"/>
      <c r="BC7840" s="74"/>
      <c r="BD7840" s="77"/>
      <c r="BF7840">
        <v>28.94</v>
      </c>
      <c r="BH7840" s="42"/>
      <c r="BI7840" s="74"/>
      <c r="BJ7840" s="77"/>
      <c r="BL7840" s="497">
        <v>30.92</v>
      </c>
      <c r="BN7840" s="42"/>
      <c r="BO7840" s="74"/>
      <c r="BP7840" s="77"/>
      <c r="BR7840" s="497">
        <v>23</v>
      </c>
      <c r="BT7840" s="42"/>
    </row>
    <row r="7841" spans="1:72" x14ac:dyDescent="0.25">
      <c r="A7841" s="90">
        <v>36852</v>
      </c>
      <c r="B7841" s="20">
        <v>0.95833333333333337</v>
      </c>
      <c r="D7841">
        <v>41</v>
      </c>
      <c r="E7841" t="str">
        <f t="shared" si="280"/>
        <v>WEEKDAY</v>
      </c>
      <c r="F7841" t="e">
        <f t="shared" si="279"/>
        <v>#N/A</v>
      </c>
      <c r="G7841" s="74">
        <v>28816</v>
      </c>
      <c r="H7841" s="77">
        <v>0.95833333333333337</v>
      </c>
      <c r="J7841">
        <v>33.979999999999997</v>
      </c>
      <c r="M7841" s="74">
        <v>36121</v>
      </c>
      <c r="N7841" s="77">
        <v>0.95833333333333337</v>
      </c>
      <c r="P7841">
        <v>41</v>
      </c>
      <c r="S7841" s="74">
        <v>36852</v>
      </c>
      <c r="T7841" s="77">
        <v>0.95833333333333337</v>
      </c>
      <c r="V7841">
        <v>30.02</v>
      </c>
      <c r="X7841" s="42"/>
      <c r="AB7841">
        <v>44.8</v>
      </c>
      <c r="AC7841">
        <v>39.019999999999996</v>
      </c>
      <c r="AE7841" s="74"/>
      <c r="AF7841" s="77"/>
      <c r="AH7841" s="497">
        <v>30.2</v>
      </c>
      <c r="AJ7841" s="42"/>
      <c r="AK7841" s="74"/>
      <c r="AL7841" s="77"/>
      <c r="AN7841" s="497">
        <v>28.04</v>
      </c>
      <c r="AP7841" s="42"/>
      <c r="AQ7841" s="74"/>
      <c r="AR7841" s="77"/>
      <c r="AT7841" s="497">
        <v>30.02</v>
      </c>
      <c r="AV7841" s="42"/>
      <c r="AW7841" s="74"/>
      <c r="AX7841" s="77"/>
      <c r="BA7841" s="497">
        <v>21.92</v>
      </c>
      <c r="BB7841" s="42"/>
      <c r="BC7841" s="74"/>
      <c r="BD7841" s="77"/>
      <c r="BF7841">
        <v>28.94</v>
      </c>
      <c r="BH7841" s="42"/>
      <c r="BI7841" s="74"/>
      <c r="BJ7841" s="77"/>
      <c r="BL7841" s="497">
        <v>30.02</v>
      </c>
      <c r="BN7841" s="42"/>
      <c r="BO7841" s="74"/>
      <c r="BP7841" s="77"/>
      <c r="BR7841" s="497">
        <v>21.92</v>
      </c>
      <c r="BT7841" s="42"/>
    </row>
    <row r="7842" spans="1:72" x14ac:dyDescent="0.25">
      <c r="A7842" s="90">
        <v>36852</v>
      </c>
      <c r="B7842" s="20">
        <v>1</v>
      </c>
      <c r="D7842">
        <v>39.92</v>
      </c>
      <c r="E7842" t="str">
        <f t="shared" si="280"/>
        <v>WEEKDAY</v>
      </c>
      <c r="F7842" t="e">
        <f t="shared" si="279"/>
        <v>#N/A</v>
      </c>
      <c r="G7842" s="74">
        <v>28816</v>
      </c>
      <c r="H7842" s="77">
        <v>1</v>
      </c>
      <c r="J7842">
        <v>33.979999999999997</v>
      </c>
      <c r="M7842" s="74">
        <v>36121</v>
      </c>
      <c r="N7842" s="80">
        <v>1</v>
      </c>
      <c r="P7842">
        <v>41</v>
      </c>
      <c r="S7842" s="74">
        <v>36852</v>
      </c>
      <c r="T7842" s="80">
        <v>1</v>
      </c>
      <c r="V7842">
        <v>28.94</v>
      </c>
      <c r="X7842" s="42"/>
      <c r="AB7842">
        <v>44.4</v>
      </c>
      <c r="AC7842">
        <v>37.04</v>
      </c>
      <c r="AE7842" s="74"/>
      <c r="AF7842" s="80"/>
      <c r="AH7842" s="497">
        <v>30.2</v>
      </c>
      <c r="AJ7842" s="42"/>
      <c r="AK7842" s="74"/>
      <c r="AL7842" s="80"/>
      <c r="AN7842" s="497">
        <v>26.96</v>
      </c>
      <c r="AP7842" s="42"/>
      <c r="AQ7842" s="74"/>
      <c r="AR7842" s="80"/>
      <c r="AT7842" s="497">
        <v>30.02</v>
      </c>
      <c r="AV7842" s="42"/>
      <c r="AW7842" s="74"/>
      <c r="AX7842" s="80"/>
      <c r="BA7842" s="497">
        <v>23</v>
      </c>
      <c r="BB7842" s="42"/>
      <c r="BC7842" s="74"/>
      <c r="BD7842" s="80"/>
      <c r="BF7842">
        <v>28.94</v>
      </c>
      <c r="BH7842" s="42"/>
      <c r="BI7842" s="74"/>
      <c r="BJ7842" s="80"/>
      <c r="BL7842" s="497">
        <v>30.02</v>
      </c>
      <c r="BN7842" s="42"/>
      <c r="BO7842" s="74"/>
      <c r="BP7842" s="80"/>
      <c r="BR7842" s="497">
        <v>19.939999999999998</v>
      </c>
      <c r="BT7842" s="42"/>
    </row>
    <row r="7843" spans="1:72" x14ac:dyDescent="0.25">
      <c r="A7843" s="90">
        <v>36853</v>
      </c>
      <c r="B7843" s="20">
        <v>4.1666666666666664E-2</v>
      </c>
      <c r="D7843">
        <v>39.019999999999996</v>
      </c>
      <c r="E7843" t="str">
        <f t="shared" si="280"/>
        <v>WEEKDAY</v>
      </c>
      <c r="F7843" t="e">
        <f t="shared" si="279"/>
        <v>#N/A</v>
      </c>
      <c r="G7843" s="74">
        <v>28817</v>
      </c>
      <c r="H7843" s="77">
        <v>4.1666666666666664E-2</v>
      </c>
      <c r="J7843">
        <v>33.979999999999997</v>
      </c>
      <c r="M7843" s="74">
        <v>36122</v>
      </c>
      <c r="N7843" s="77">
        <v>4.1666666666666664E-2</v>
      </c>
      <c r="P7843">
        <v>39.200000000000003</v>
      </c>
      <c r="S7843" s="74">
        <v>36853</v>
      </c>
      <c r="T7843" s="77">
        <v>4.1666666666666664E-2</v>
      </c>
      <c r="V7843">
        <v>28.04</v>
      </c>
      <c r="X7843" s="42"/>
      <c r="AB7843">
        <v>43.8</v>
      </c>
      <c r="AC7843">
        <v>37.04</v>
      </c>
      <c r="AE7843" s="74"/>
      <c r="AF7843" s="77"/>
      <c r="AH7843" s="497">
        <v>28.4</v>
      </c>
      <c r="AJ7843" s="42"/>
      <c r="AK7843" s="74"/>
      <c r="AL7843" s="77"/>
      <c r="AN7843" s="497">
        <v>28.04</v>
      </c>
      <c r="AP7843" s="42"/>
      <c r="AQ7843" s="74"/>
      <c r="AR7843" s="77"/>
      <c r="AT7843" s="497">
        <v>28.04</v>
      </c>
      <c r="AV7843" s="42"/>
      <c r="AW7843" s="74"/>
      <c r="AX7843" s="77"/>
      <c r="BA7843" s="497">
        <v>21.02</v>
      </c>
      <c r="BB7843" s="42"/>
      <c r="BC7843" s="74"/>
      <c r="BD7843" s="77"/>
      <c r="BF7843">
        <v>30.02</v>
      </c>
      <c r="BH7843" s="42"/>
      <c r="BI7843" s="74"/>
      <c r="BJ7843" s="77"/>
      <c r="BL7843" s="497">
        <v>28.94</v>
      </c>
      <c r="BN7843" s="42"/>
      <c r="BO7843" s="74"/>
      <c r="BP7843" s="77"/>
      <c r="BR7843" s="497">
        <v>19.04</v>
      </c>
      <c r="BT7843" s="42"/>
    </row>
    <row r="7844" spans="1:72" x14ac:dyDescent="0.25">
      <c r="A7844" s="90">
        <v>36853</v>
      </c>
      <c r="B7844" s="20">
        <v>8.3333333333333329E-2</v>
      </c>
      <c r="D7844">
        <v>37.94</v>
      </c>
      <c r="E7844" t="str">
        <f t="shared" si="280"/>
        <v>WEEKDAY</v>
      </c>
      <c r="F7844" t="e">
        <f t="shared" si="279"/>
        <v>#N/A</v>
      </c>
      <c r="G7844" s="74">
        <v>28817</v>
      </c>
      <c r="H7844" s="77">
        <v>8.3333333333333329E-2</v>
      </c>
      <c r="J7844">
        <v>33.979999999999997</v>
      </c>
      <c r="M7844" s="74">
        <v>36122</v>
      </c>
      <c r="N7844" s="77">
        <v>8.3333333333333329E-2</v>
      </c>
      <c r="P7844">
        <v>37.4</v>
      </c>
      <c r="S7844" s="74">
        <v>36853</v>
      </c>
      <c r="T7844" s="77">
        <v>8.3333333333333329E-2</v>
      </c>
      <c r="V7844">
        <v>26.96</v>
      </c>
      <c r="X7844" s="42"/>
      <c r="AB7844">
        <v>43.4</v>
      </c>
      <c r="AC7844">
        <v>35.96</v>
      </c>
      <c r="AE7844" s="74"/>
      <c r="AF7844" s="77"/>
      <c r="AH7844" s="497">
        <v>26.6</v>
      </c>
      <c r="AJ7844" s="42"/>
      <c r="AK7844" s="74"/>
      <c r="AL7844" s="77"/>
      <c r="AN7844" s="497">
        <v>28.94</v>
      </c>
      <c r="AP7844" s="42"/>
      <c r="AQ7844" s="74"/>
      <c r="AR7844" s="77"/>
      <c r="AT7844" s="497">
        <v>28.04</v>
      </c>
      <c r="AV7844" s="42"/>
      <c r="AW7844" s="74"/>
      <c r="AX7844" s="77"/>
      <c r="BA7844" s="497">
        <v>19.939999999999998</v>
      </c>
      <c r="BB7844" s="42"/>
      <c r="BC7844" s="74"/>
      <c r="BD7844" s="77"/>
      <c r="BF7844">
        <v>30.92</v>
      </c>
      <c r="BH7844" s="42"/>
      <c r="BI7844" s="74"/>
      <c r="BJ7844" s="77"/>
      <c r="BL7844" s="497">
        <v>26.96</v>
      </c>
      <c r="BN7844" s="42"/>
      <c r="BO7844" s="74"/>
      <c r="BP7844" s="77"/>
      <c r="BR7844" s="497">
        <v>19.939999999999998</v>
      </c>
      <c r="BT7844" s="42"/>
    </row>
    <row r="7845" spans="1:72" x14ac:dyDescent="0.25">
      <c r="A7845" s="90">
        <v>36853</v>
      </c>
      <c r="B7845" s="20">
        <v>0.125</v>
      </c>
      <c r="D7845">
        <v>37.04</v>
      </c>
      <c r="E7845" t="str">
        <f t="shared" si="280"/>
        <v>WEEKDAY</v>
      </c>
      <c r="F7845" t="e">
        <f t="shared" si="279"/>
        <v>#N/A</v>
      </c>
      <c r="G7845" s="74">
        <v>28817</v>
      </c>
      <c r="H7845" s="77">
        <v>0.125</v>
      </c>
      <c r="J7845">
        <v>33.979999999999997</v>
      </c>
      <c r="M7845" s="74">
        <v>36122</v>
      </c>
      <c r="N7845" s="77">
        <v>0.125</v>
      </c>
      <c r="P7845">
        <v>39.200000000000003</v>
      </c>
      <c r="S7845" s="74">
        <v>36853</v>
      </c>
      <c r="T7845" s="77">
        <v>0.125</v>
      </c>
      <c r="V7845">
        <v>26.060000000000002</v>
      </c>
      <c r="X7845" s="42"/>
      <c r="AB7845">
        <v>43</v>
      </c>
      <c r="AC7845">
        <v>35.96</v>
      </c>
      <c r="AE7845" s="74"/>
      <c r="AF7845" s="77"/>
      <c r="AH7845" s="497">
        <v>26.6</v>
      </c>
      <c r="AJ7845" s="42"/>
      <c r="AK7845" s="74"/>
      <c r="AL7845" s="77"/>
      <c r="AN7845" s="497">
        <v>28.04</v>
      </c>
      <c r="AP7845" s="42"/>
      <c r="AQ7845" s="74"/>
      <c r="AR7845" s="77"/>
      <c r="AT7845" s="497">
        <v>26.6</v>
      </c>
      <c r="AV7845" s="42"/>
      <c r="AW7845" s="74"/>
      <c r="AX7845" s="77"/>
      <c r="BA7845" s="497">
        <v>24.08</v>
      </c>
      <c r="BB7845" s="42"/>
      <c r="BC7845" s="74"/>
      <c r="BD7845" s="77"/>
      <c r="BF7845">
        <v>30.02</v>
      </c>
      <c r="BH7845" s="42"/>
      <c r="BI7845" s="74"/>
      <c r="BJ7845" s="77"/>
      <c r="BL7845" s="497">
        <v>26.96</v>
      </c>
      <c r="BN7845" s="42"/>
      <c r="BO7845" s="74"/>
      <c r="BP7845" s="77"/>
      <c r="BR7845" s="497">
        <v>17.96</v>
      </c>
      <c r="BT7845" s="42"/>
    </row>
    <row r="7846" spans="1:72" x14ac:dyDescent="0.25">
      <c r="A7846" s="90">
        <v>36853</v>
      </c>
      <c r="B7846" s="20">
        <v>0.16666666666666666</v>
      </c>
      <c r="D7846">
        <v>37.04</v>
      </c>
      <c r="E7846" t="str">
        <f t="shared" si="280"/>
        <v>WEEKDAY</v>
      </c>
      <c r="F7846" t="e">
        <f t="shared" si="279"/>
        <v>#N/A</v>
      </c>
      <c r="G7846" s="74">
        <v>28817</v>
      </c>
      <c r="H7846" s="77">
        <v>0.16666666666666666</v>
      </c>
      <c r="J7846">
        <v>35.06</v>
      </c>
      <c r="M7846" s="74">
        <v>36122</v>
      </c>
      <c r="N7846" s="77">
        <v>0.16666666666666666</v>
      </c>
      <c r="P7846">
        <v>39.200000000000003</v>
      </c>
      <c r="S7846" s="74">
        <v>36853</v>
      </c>
      <c r="T7846" s="77">
        <v>0.16666666666666666</v>
      </c>
      <c r="V7846">
        <v>26.060000000000002</v>
      </c>
      <c r="X7846" s="42"/>
      <c r="AB7846">
        <v>42.6</v>
      </c>
      <c r="AC7846">
        <v>35.96</v>
      </c>
      <c r="AE7846" s="74"/>
      <c r="AF7846" s="77"/>
      <c r="AH7846" s="497">
        <v>26.6</v>
      </c>
      <c r="AJ7846" s="42"/>
      <c r="AK7846" s="74"/>
      <c r="AL7846" s="77"/>
      <c r="AN7846" s="497">
        <v>26.060000000000002</v>
      </c>
      <c r="AP7846" s="42"/>
      <c r="AQ7846" s="74"/>
      <c r="AR7846" s="77"/>
      <c r="AT7846" s="497">
        <v>26.96</v>
      </c>
      <c r="AV7846" s="42"/>
      <c r="AW7846" s="74"/>
      <c r="AX7846" s="77"/>
      <c r="BA7846" s="497">
        <v>24.08</v>
      </c>
      <c r="BB7846" s="42"/>
      <c r="BC7846" s="74"/>
      <c r="BD7846" s="77"/>
      <c r="BF7846">
        <v>30.02</v>
      </c>
      <c r="BH7846" s="42"/>
      <c r="BI7846" s="74"/>
      <c r="BJ7846" s="77"/>
      <c r="BL7846" s="497">
        <v>26.96</v>
      </c>
      <c r="BN7846" s="42"/>
      <c r="BO7846" s="74"/>
      <c r="BP7846" s="77"/>
      <c r="BR7846" s="497">
        <v>19.04</v>
      </c>
      <c r="BT7846" s="42"/>
    </row>
    <row r="7847" spans="1:72" x14ac:dyDescent="0.25">
      <c r="A7847" s="90">
        <v>36853</v>
      </c>
      <c r="B7847" s="20">
        <v>0.20833333333333334</v>
      </c>
      <c r="D7847">
        <v>35.96</v>
      </c>
      <c r="E7847" t="str">
        <f t="shared" si="280"/>
        <v>WEEKDAY</v>
      </c>
      <c r="F7847" t="e">
        <f t="shared" si="279"/>
        <v>#N/A</v>
      </c>
      <c r="G7847" s="74">
        <v>28817</v>
      </c>
      <c r="H7847" s="77">
        <v>0.20833333333333334</v>
      </c>
      <c r="J7847">
        <v>35.96</v>
      </c>
      <c r="M7847" s="74">
        <v>36122</v>
      </c>
      <c r="N7847" s="77">
        <v>0.20833333333333334</v>
      </c>
      <c r="P7847">
        <v>37.4</v>
      </c>
      <c r="S7847" s="74">
        <v>36853</v>
      </c>
      <c r="T7847" s="77">
        <v>0.20833333333333334</v>
      </c>
      <c r="V7847">
        <v>24.98</v>
      </c>
      <c r="X7847" s="42"/>
      <c r="AB7847">
        <v>42.3</v>
      </c>
      <c r="AC7847">
        <v>39.019999999999996</v>
      </c>
      <c r="AE7847" s="74"/>
      <c r="AF7847" s="77"/>
      <c r="AH7847" s="497">
        <v>26.6</v>
      </c>
      <c r="AJ7847" s="42"/>
      <c r="AK7847" s="74"/>
      <c r="AL7847" s="77"/>
      <c r="AN7847" s="497">
        <v>26.060000000000002</v>
      </c>
      <c r="AP7847" s="42"/>
      <c r="AQ7847" s="74"/>
      <c r="AR7847" s="77"/>
      <c r="AT7847" s="497">
        <v>26.6</v>
      </c>
      <c r="AV7847" s="42"/>
      <c r="AW7847" s="74"/>
      <c r="AX7847" s="77"/>
      <c r="BA7847" s="497">
        <v>24.98</v>
      </c>
      <c r="BB7847" s="42"/>
      <c r="BC7847" s="74"/>
      <c r="BD7847" s="77"/>
      <c r="BF7847">
        <v>30.92</v>
      </c>
      <c r="BH7847" s="42"/>
      <c r="BI7847" s="74"/>
      <c r="BJ7847" s="77"/>
      <c r="BL7847" s="497">
        <v>28.04</v>
      </c>
      <c r="BN7847" s="42"/>
      <c r="BO7847" s="74"/>
      <c r="BP7847" s="77"/>
      <c r="BR7847" s="497">
        <v>17.96</v>
      </c>
      <c r="BT7847" s="42"/>
    </row>
    <row r="7848" spans="1:72" x14ac:dyDescent="0.25">
      <c r="A7848" s="90">
        <v>36853</v>
      </c>
      <c r="B7848" s="20">
        <v>0.25</v>
      </c>
      <c r="D7848">
        <v>35.96</v>
      </c>
      <c r="E7848" t="str">
        <f t="shared" si="280"/>
        <v>WEEKDAY</v>
      </c>
      <c r="F7848" t="e">
        <f t="shared" si="279"/>
        <v>#N/A</v>
      </c>
      <c r="G7848" s="74">
        <v>28817</v>
      </c>
      <c r="H7848" s="77">
        <v>0.25</v>
      </c>
      <c r="J7848">
        <v>37.04</v>
      </c>
      <c r="M7848" s="74">
        <v>36122</v>
      </c>
      <c r="N7848" s="77">
        <v>0.25</v>
      </c>
      <c r="P7848">
        <v>39.200000000000003</v>
      </c>
      <c r="S7848" s="74">
        <v>36853</v>
      </c>
      <c r="T7848" s="77">
        <v>0.25</v>
      </c>
      <c r="V7848">
        <v>24.98</v>
      </c>
      <c r="X7848" s="42"/>
      <c r="AB7848">
        <v>42</v>
      </c>
      <c r="AC7848">
        <v>41</v>
      </c>
      <c r="AE7848" s="74"/>
      <c r="AF7848" s="77"/>
      <c r="AH7848" s="497">
        <v>26.6</v>
      </c>
      <c r="AJ7848" s="42"/>
      <c r="AK7848" s="74"/>
      <c r="AL7848" s="77"/>
      <c r="AN7848" s="497">
        <v>26.96</v>
      </c>
      <c r="AP7848" s="42"/>
      <c r="AQ7848" s="74"/>
      <c r="AR7848" s="77"/>
      <c r="AT7848" s="497">
        <v>24.98</v>
      </c>
      <c r="AV7848" s="42"/>
      <c r="AW7848" s="74"/>
      <c r="AX7848" s="77"/>
      <c r="BA7848" s="497">
        <v>24.98</v>
      </c>
      <c r="BB7848" s="42"/>
      <c r="BC7848" s="74"/>
      <c r="BD7848" s="77"/>
      <c r="BF7848">
        <v>30.92</v>
      </c>
      <c r="BH7848" s="42"/>
      <c r="BI7848" s="74"/>
      <c r="BJ7848" s="77"/>
      <c r="BL7848" s="497">
        <v>28.04</v>
      </c>
      <c r="BN7848" s="42"/>
      <c r="BO7848" s="74"/>
      <c r="BP7848" s="77"/>
      <c r="BR7848" s="497">
        <v>17.96</v>
      </c>
      <c r="BT7848" s="42"/>
    </row>
    <row r="7849" spans="1:72" x14ac:dyDescent="0.25">
      <c r="A7849" s="90">
        <v>36853</v>
      </c>
      <c r="B7849" s="20">
        <v>0.29166666666666669</v>
      </c>
      <c r="D7849">
        <v>37.04</v>
      </c>
      <c r="E7849" t="str">
        <f t="shared" si="280"/>
        <v>WEEKDAY</v>
      </c>
      <c r="F7849" t="e">
        <f t="shared" si="279"/>
        <v>#N/A</v>
      </c>
      <c r="G7849" s="74">
        <v>28817</v>
      </c>
      <c r="H7849" s="77">
        <v>0.29166666666666669</v>
      </c>
      <c r="J7849">
        <v>37.04</v>
      </c>
      <c r="M7849" s="74">
        <v>36122</v>
      </c>
      <c r="N7849" s="77">
        <v>0.29166666666666669</v>
      </c>
      <c r="P7849">
        <v>37.4</v>
      </c>
      <c r="S7849" s="74">
        <v>36853</v>
      </c>
      <c r="T7849" s="77">
        <v>0.29166666666666669</v>
      </c>
      <c r="V7849">
        <v>24.98</v>
      </c>
      <c r="X7849" s="42"/>
      <c r="AB7849">
        <v>41.9</v>
      </c>
      <c r="AC7849">
        <v>39.019999999999996</v>
      </c>
      <c r="AE7849" s="74"/>
      <c r="AF7849" s="77"/>
      <c r="AH7849" s="497">
        <v>26.6</v>
      </c>
      <c r="AJ7849" s="42"/>
      <c r="AK7849" s="74"/>
      <c r="AL7849" s="77"/>
      <c r="AN7849" s="497">
        <v>26.060000000000002</v>
      </c>
      <c r="AP7849" s="42"/>
      <c r="AQ7849" s="74"/>
      <c r="AR7849" s="77"/>
      <c r="AT7849" s="497">
        <v>24.98</v>
      </c>
      <c r="AV7849" s="42"/>
      <c r="AW7849" s="74"/>
      <c r="AX7849" s="77"/>
      <c r="BA7849" s="497">
        <v>24.98</v>
      </c>
      <c r="BB7849" s="42"/>
      <c r="BC7849" s="74"/>
      <c r="BD7849" s="77"/>
      <c r="BF7849">
        <v>32</v>
      </c>
      <c r="BH7849" s="42"/>
      <c r="BI7849" s="74"/>
      <c r="BJ7849" s="77"/>
      <c r="BL7849" s="497">
        <v>28.94</v>
      </c>
      <c r="BN7849" s="42"/>
      <c r="BO7849" s="74"/>
      <c r="BP7849" s="77"/>
      <c r="BR7849" s="497">
        <v>23</v>
      </c>
      <c r="BT7849" s="42"/>
    </row>
    <row r="7850" spans="1:72" x14ac:dyDescent="0.25">
      <c r="A7850" s="90">
        <v>36853</v>
      </c>
      <c r="B7850" s="20">
        <v>0.33333333333333331</v>
      </c>
      <c r="D7850">
        <v>37.04</v>
      </c>
      <c r="E7850" t="str">
        <f t="shared" si="280"/>
        <v>WEEKDAY</v>
      </c>
      <c r="F7850" t="e">
        <f t="shared" si="279"/>
        <v>#N/A</v>
      </c>
      <c r="G7850" s="74">
        <v>28817</v>
      </c>
      <c r="H7850" s="77">
        <v>0.33333333333333331</v>
      </c>
      <c r="J7850">
        <v>37.94</v>
      </c>
      <c r="M7850" s="74">
        <v>36122</v>
      </c>
      <c r="N7850" s="77">
        <v>0.33333333333333331</v>
      </c>
      <c r="P7850">
        <v>39.200000000000003</v>
      </c>
      <c r="S7850" s="74">
        <v>36853</v>
      </c>
      <c r="T7850" s="77">
        <v>0.33333333333333331</v>
      </c>
      <c r="V7850">
        <v>26.96</v>
      </c>
      <c r="X7850" s="42"/>
      <c r="AB7850">
        <v>42</v>
      </c>
      <c r="AC7850">
        <v>42.980000000000004</v>
      </c>
      <c r="AE7850" s="74"/>
      <c r="AF7850" s="77"/>
      <c r="AH7850" s="497">
        <v>26.6</v>
      </c>
      <c r="AJ7850" s="42"/>
      <c r="AK7850" s="74"/>
      <c r="AL7850" s="77"/>
      <c r="AN7850" s="497">
        <v>26.96</v>
      </c>
      <c r="AP7850" s="42"/>
      <c r="AQ7850" s="74"/>
      <c r="AR7850" s="77"/>
      <c r="AT7850" s="497">
        <v>26.060000000000002</v>
      </c>
      <c r="AV7850" s="42"/>
      <c r="AW7850" s="74"/>
      <c r="AX7850" s="77"/>
      <c r="BA7850" s="497">
        <v>26.060000000000002</v>
      </c>
      <c r="BB7850" s="42"/>
      <c r="BC7850" s="74"/>
      <c r="BD7850" s="77"/>
      <c r="BF7850">
        <v>33.08</v>
      </c>
      <c r="BH7850" s="42"/>
      <c r="BI7850" s="74"/>
      <c r="BJ7850" s="77"/>
      <c r="BL7850" s="497">
        <v>30.02</v>
      </c>
      <c r="BN7850" s="42"/>
      <c r="BO7850" s="74"/>
      <c r="BP7850" s="77"/>
      <c r="BR7850" s="497">
        <v>26.060000000000002</v>
      </c>
      <c r="BT7850" s="42"/>
    </row>
    <row r="7851" spans="1:72" x14ac:dyDescent="0.25">
      <c r="A7851" s="90">
        <v>36853</v>
      </c>
      <c r="B7851" s="20">
        <v>0.375</v>
      </c>
      <c r="D7851">
        <v>37.94</v>
      </c>
      <c r="E7851" t="str">
        <f t="shared" si="280"/>
        <v>WEEKDAY</v>
      </c>
      <c r="F7851" t="e">
        <f t="shared" ref="F7851:F7914" si="281">IF(E7851="WEEKDAY",VLOOKUP(B7851,$DD$19:$DG$42,2),IF(E7851="SATURDAY",VLOOKUP(B7851,$DD$19:$DG$42,3),VLOOKUP(B7851,$DD$19:$DG$42,4)))</f>
        <v>#N/A</v>
      </c>
      <c r="G7851" s="74">
        <v>28817</v>
      </c>
      <c r="H7851" s="77">
        <v>0.375</v>
      </c>
      <c r="J7851">
        <v>39.019999999999996</v>
      </c>
      <c r="M7851" s="74">
        <v>36122</v>
      </c>
      <c r="N7851" s="77">
        <v>0.375</v>
      </c>
      <c r="P7851">
        <v>42.8</v>
      </c>
      <c r="S7851" s="74">
        <v>36853</v>
      </c>
      <c r="T7851" s="77">
        <v>0.375</v>
      </c>
      <c r="V7851">
        <v>28.94</v>
      </c>
      <c r="X7851" s="42"/>
      <c r="AB7851">
        <v>43.1</v>
      </c>
      <c r="AC7851">
        <v>46.04</v>
      </c>
      <c r="AE7851" s="74"/>
      <c r="AF7851" s="77"/>
      <c r="AH7851" s="497">
        <v>32</v>
      </c>
      <c r="AJ7851" s="42"/>
      <c r="AK7851" s="74"/>
      <c r="AL7851" s="77"/>
      <c r="AN7851" s="497">
        <v>30.02</v>
      </c>
      <c r="AP7851" s="42"/>
      <c r="AQ7851" s="74"/>
      <c r="AR7851" s="77"/>
      <c r="AT7851" s="497">
        <v>30.92</v>
      </c>
      <c r="AV7851" s="42"/>
      <c r="AW7851" s="74"/>
      <c r="AX7851" s="77"/>
      <c r="BA7851" s="497">
        <v>28.94</v>
      </c>
      <c r="BB7851" s="42"/>
      <c r="BC7851" s="74"/>
      <c r="BD7851" s="77"/>
      <c r="BF7851">
        <v>33.08</v>
      </c>
      <c r="BH7851" s="42"/>
      <c r="BI7851" s="74"/>
      <c r="BJ7851" s="77"/>
      <c r="BL7851" s="497">
        <v>30.92</v>
      </c>
      <c r="BN7851" s="42"/>
      <c r="BO7851" s="74"/>
      <c r="BP7851" s="77"/>
      <c r="BR7851" s="497">
        <v>28.04</v>
      </c>
      <c r="BT7851" s="42"/>
    </row>
    <row r="7852" spans="1:72" x14ac:dyDescent="0.25">
      <c r="A7852" s="90">
        <v>36853</v>
      </c>
      <c r="B7852" s="20">
        <v>0.41666666666666669</v>
      </c>
      <c r="D7852">
        <v>41</v>
      </c>
      <c r="E7852" t="str">
        <f t="shared" si="280"/>
        <v>WEEKDAY</v>
      </c>
      <c r="F7852" t="e">
        <f t="shared" si="281"/>
        <v>#N/A</v>
      </c>
      <c r="G7852" s="74">
        <v>28817</v>
      </c>
      <c r="H7852" s="77">
        <v>0.41666666666666669</v>
      </c>
      <c r="J7852">
        <v>39.92</v>
      </c>
      <c r="M7852" s="74">
        <v>36122</v>
      </c>
      <c r="N7852" s="77">
        <v>0.41666666666666669</v>
      </c>
      <c r="P7852">
        <v>46.4</v>
      </c>
      <c r="S7852" s="74">
        <v>36853</v>
      </c>
      <c r="T7852" s="77">
        <v>0.41666666666666669</v>
      </c>
      <c r="V7852">
        <v>30.92</v>
      </c>
      <c r="X7852" s="42"/>
      <c r="AB7852">
        <v>45</v>
      </c>
      <c r="AC7852">
        <v>48.92</v>
      </c>
      <c r="AE7852" s="74"/>
      <c r="AF7852" s="77"/>
      <c r="AH7852" s="497">
        <v>39.200000000000003</v>
      </c>
      <c r="AJ7852" s="42"/>
      <c r="AK7852" s="74"/>
      <c r="AL7852" s="77"/>
      <c r="AN7852" s="497">
        <v>32</v>
      </c>
      <c r="AP7852" s="42"/>
      <c r="AQ7852" s="74"/>
      <c r="AR7852" s="77"/>
      <c r="AT7852" s="497">
        <v>35.06</v>
      </c>
      <c r="AV7852" s="42"/>
      <c r="AW7852" s="74"/>
      <c r="AX7852" s="77"/>
      <c r="BA7852" s="497">
        <v>32</v>
      </c>
      <c r="BB7852" s="42"/>
      <c r="BC7852" s="74"/>
      <c r="BD7852" s="77"/>
      <c r="BF7852">
        <v>33.979999999999997</v>
      </c>
      <c r="BH7852" s="42"/>
      <c r="BI7852" s="74"/>
      <c r="BJ7852" s="77"/>
      <c r="BL7852" s="497">
        <v>33.08</v>
      </c>
      <c r="BN7852" s="42"/>
      <c r="BO7852" s="74"/>
      <c r="BP7852" s="77"/>
      <c r="BR7852" s="497">
        <v>35.06</v>
      </c>
      <c r="BT7852" s="42"/>
    </row>
    <row r="7853" spans="1:72" x14ac:dyDescent="0.25">
      <c r="A7853" s="90">
        <v>36853</v>
      </c>
      <c r="B7853" s="20">
        <v>0.45833333333333331</v>
      </c>
      <c r="D7853">
        <v>42.980000000000004</v>
      </c>
      <c r="E7853" t="str">
        <f t="shared" si="280"/>
        <v>WEEKDAY</v>
      </c>
      <c r="F7853" t="e">
        <f t="shared" si="281"/>
        <v>#N/A</v>
      </c>
      <c r="G7853" s="74">
        <v>28817</v>
      </c>
      <c r="H7853" s="77">
        <v>0.45833333333333331</v>
      </c>
      <c r="J7853">
        <v>39.92</v>
      </c>
      <c r="M7853" s="74">
        <v>36122</v>
      </c>
      <c r="N7853" s="77">
        <v>0.45833333333333331</v>
      </c>
      <c r="P7853">
        <v>48.2</v>
      </c>
      <c r="S7853" s="74">
        <v>36853</v>
      </c>
      <c r="T7853" s="77">
        <v>0.45833333333333331</v>
      </c>
      <c r="V7853">
        <v>32</v>
      </c>
      <c r="X7853" s="42"/>
      <c r="AB7853">
        <v>46.7</v>
      </c>
      <c r="AC7853">
        <v>51.08</v>
      </c>
      <c r="AE7853" s="74"/>
      <c r="AF7853" s="77"/>
      <c r="AH7853" s="497">
        <v>46.4</v>
      </c>
      <c r="AJ7853" s="42"/>
      <c r="AK7853" s="74"/>
      <c r="AL7853" s="77"/>
      <c r="AN7853" s="497">
        <v>33.08</v>
      </c>
      <c r="AP7853" s="42"/>
      <c r="AQ7853" s="74"/>
      <c r="AR7853" s="77"/>
      <c r="AT7853" s="497">
        <v>41</v>
      </c>
      <c r="AV7853" s="42"/>
      <c r="AW7853" s="74"/>
      <c r="AX7853" s="77"/>
      <c r="BA7853" s="497">
        <v>37.04</v>
      </c>
      <c r="BB7853" s="42"/>
      <c r="BC7853" s="74"/>
      <c r="BD7853" s="77"/>
      <c r="BF7853">
        <v>35.96</v>
      </c>
      <c r="BH7853" s="42"/>
      <c r="BI7853" s="74"/>
      <c r="BJ7853" s="77"/>
      <c r="BL7853" s="497">
        <v>35.96</v>
      </c>
      <c r="BN7853" s="42"/>
      <c r="BO7853" s="74"/>
      <c r="BP7853" s="77"/>
      <c r="BR7853" s="497">
        <v>39.019999999999996</v>
      </c>
      <c r="BT7853" s="42"/>
    </row>
    <row r="7854" spans="1:72" x14ac:dyDescent="0.25">
      <c r="A7854" s="90">
        <v>36853</v>
      </c>
      <c r="B7854" s="20">
        <v>0.5</v>
      </c>
      <c r="D7854">
        <v>44.96</v>
      </c>
      <c r="E7854" t="str">
        <f t="shared" si="280"/>
        <v>WEEKDAY</v>
      </c>
      <c r="F7854" t="e">
        <f t="shared" si="281"/>
        <v>#N/A</v>
      </c>
      <c r="G7854" s="74">
        <v>28817</v>
      </c>
      <c r="H7854" s="77">
        <v>0.5</v>
      </c>
      <c r="J7854">
        <v>39.92</v>
      </c>
      <c r="M7854" s="74">
        <v>36122</v>
      </c>
      <c r="N7854" s="77">
        <v>0.5</v>
      </c>
      <c r="P7854">
        <v>53.6</v>
      </c>
      <c r="S7854" s="74">
        <v>36853</v>
      </c>
      <c r="T7854" s="77">
        <v>0.5</v>
      </c>
      <c r="V7854">
        <v>35.06</v>
      </c>
      <c r="X7854" s="42"/>
      <c r="AB7854">
        <v>48</v>
      </c>
      <c r="AC7854">
        <v>53.96</v>
      </c>
      <c r="AE7854" s="74"/>
      <c r="AF7854" s="77"/>
      <c r="AH7854" s="497">
        <v>51.8</v>
      </c>
      <c r="AJ7854" s="42"/>
      <c r="AK7854" s="74"/>
      <c r="AL7854" s="77"/>
      <c r="AN7854" s="497">
        <v>33.979999999999997</v>
      </c>
      <c r="AP7854" s="42"/>
      <c r="AQ7854" s="74"/>
      <c r="AR7854" s="77"/>
      <c r="AT7854" s="497">
        <v>44.78</v>
      </c>
      <c r="AV7854" s="42"/>
      <c r="AW7854" s="74"/>
      <c r="AX7854" s="77"/>
      <c r="BA7854" s="497">
        <v>42.980000000000004</v>
      </c>
      <c r="BB7854" s="42"/>
      <c r="BC7854" s="74"/>
      <c r="BD7854" s="77"/>
      <c r="BF7854">
        <v>37.94</v>
      </c>
      <c r="BH7854" s="42"/>
      <c r="BI7854" s="74"/>
      <c r="BJ7854" s="77"/>
      <c r="BL7854" s="497">
        <v>37.04</v>
      </c>
      <c r="BN7854" s="42"/>
      <c r="BO7854" s="74"/>
      <c r="BP7854" s="77"/>
      <c r="BR7854" s="497">
        <v>44.96</v>
      </c>
      <c r="BT7854" s="42"/>
    </row>
    <row r="7855" spans="1:72" x14ac:dyDescent="0.25">
      <c r="A7855" s="90">
        <v>36853</v>
      </c>
      <c r="B7855" s="20">
        <v>0.54166666666666663</v>
      </c>
      <c r="D7855">
        <v>46.04</v>
      </c>
      <c r="E7855" t="str">
        <f t="shared" si="280"/>
        <v>WEEKDAY</v>
      </c>
      <c r="F7855" t="e">
        <f t="shared" si="281"/>
        <v>#N/A</v>
      </c>
      <c r="G7855" s="74">
        <v>28817</v>
      </c>
      <c r="H7855" s="77">
        <v>0.54166666666666663</v>
      </c>
      <c r="J7855">
        <v>42.08</v>
      </c>
      <c r="M7855" s="74">
        <v>36122</v>
      </c>
      <c r="N7855" s="77">
        <v>0.54166666666666663</v>
      </c>
      <c r="P7855">
        <v>55.400000000000006</v>
      </c>
      <c r="S7855" s="74">
        <v>36853</v>
      </c>
      <c r="T7855" s="77">
        <v>0.54166666666666663</v>
      </c>
      <c r="V7855">
        <v>35.96</v>
      </c>
      <c r="X7855" s="42"/>
      <c r="AB7855">
        <v>49</v>
      </c>
      <c r="AC7855">
        <v>55.040000000000006</v>
      </c>
      <c r="AE7855" s="74"/>
      <c r="AF7855" s="77"/>
      <c r="AH7855" s="497">
        <v>55.400000000000006</v>
      </c>
      <c r="AJ7855" s="42"/>
      <c r="AK7855" s="74"/>
      <c r="AL7855" s="77"/>
      <c r="AN7855" s="497">
        <v>35.96</v>
      </c>
      <c r="AP7855" s="42"/>
      <c r="AQ7855" s="74"/>
      <c r="AR7855" s="77"/>
      <c r="AT7855" s="497">
        <v>48.019999999999996</v>
      </c>
      <c r="AV7855" s="42"/>
      <c r="AW7855" s="74"/>
      <c r="AX7855" s="77"/>
      <c r="BA7855" s="497">
        <v>46.94</v>
      </c>
      <c r="BB7855" s="42"/>
      <c r="BC7855" s="74"/>
      <c r="BD7855" s="77"/>
      <c r="BF7855">
        <v>37.04</v>
      </c>
      <c r="BH7855" s="42"/>
      <c r="BI7855" s="74"/>
      <c r="BJ7855" s="77"/>
      <c r="BL7855" s="497">
        <v>37.94</v>
      </c>
      <c r="BN7855" s="42"/>
      <c r="BO7855" s="74"/>
      <c r="BP7855" s="77"/>
      <c r="BR7855" s="497">
        <v>46.04</v>
      </c>
      <c r="BT7855" s="42"/>
    </row>
    <row r="7856" spans="1:72" x14ac:dyDescent="0.25">
      <c r="A7856" s="90">
        <v>36853</v>
      </c>
      <c r="B7856" s="20">
        <v>0.58333333333333337</v>
      </c>
      <c r="D7856">
        <v>46.04</v>
      </c>
      <c r="E7856" t="str">
        <f t="shared" si="280"/>
        <v>WEEKDAY</v>
      </c>
      <c r="F7856" t="e">
        <f t="shared" si="281"/>
        <v>#N/A</v>
      </c>
      <c r="G7856" s="74">
        <v>28817</v>
      </c>
      <c r="H7856" s="77">
        <v>0.58333333333333337</v>
      </c>
      <c r="J7856">
        <v>42.980000000000004</v>
      </c>
      <c r="M7856" s="74">
        <v>36122</v>
      </c>
      <c r="N7856" s="77">
        <v>0.58333333333333337</v>
      </c>
      <c r="P7856">
        <v>55.400000000000006</v>
      </c>
      <c r="S7856" s="74">
        <v>36853</v>
      </c>
      <c r="T7856" s="77">
        <v>0.58333333333333337</v>
      </c>
      <c r="V7856">
        <v>35.96</v>
      </c>
      <c r="X7856" s="42"/>
      <c r="AB7856">
        <v>49.6</v>
      </c>
      <c r="AC7856">
        <v>53.96</v>
      </c>
      <c r="AE7856" s="74"/>
      <c r="AF7856" s="77"/>
      <c r="AH7856" s="497">
        <v>57.2</v>
      </c>
      <c r="AJ7856" s="42"/>
      <c r="AK7856" s="74"/>
      <c r="AL7856" s="77"/>
      <c r="AN7856" s="497">
        <v>35.06</v>
      </c>
      <c r="AP7856" s="42"/>
      <c r="AQ7856" s="74"/>
      <c r="AR7856" s="77"/>
      <c r="AT7856" s="497">
        <v>50</v>
      </c>
      <c r="AV7856" s="42"/>
      <c r="AW7856" s="74"/>
      <c r="AX7856" s="77"/>
      <c r="BA7856" s="497">
        <v>48.019999999999996</v>
      </c>
      <c r="BB7856" s="42"/>
      <c r="BC7856" s="74"/>
      <c r="BD7856" s="77"/>
      <c r="BF7856">
        <v>37.04</v>
      </c>
      <c r="BH7856" s="42"/>
      <c r="BI7856" s="74"/>
      <c r="BJ7856" s="77"/>
      <c r="BL7856" s="497">
        <v>37.94</v>
      </c>
      <c r="BN7856" s="42"/>
      <c r="BO7856" s="74"/>
      <c r="BP7856" s="77"/>
      <c r="BR7856" s="497">
        <v>42.980000000000004</v>
      </c>
      <c r="BT7856" s="42"/>
    </row>
    <row r="7857" spans="1:72" x14ac:dyDescent="0.25">
      <c r="A7857" s="90">
        <v>36853</v>
      </c>
      <c r="B7857" s="20">
        <v>0.625</v>
      </c>
      <c r="D7857">
        <v>46.04</v>
      </c>
      <c r="E7857" t="str">
        <f t="shared" si="280"/>
        <v>WEEKDAY</v>
      </c>
      <c r="F7857" t="e">
        <f t="shared" si="281"/>
        <v>#N/A</v>
      </c>
      <c r="G7857" s="74">
        <v>28817</v>
      </c>
      <c r="H7857" s="77">
        <v>0.625</v>
      </c>
      <c r="J7857">
        <v>44.06</v>
      </c>
      <c r="M7857" s="74">
        <v>36122</v>
      </c>
      <c r="N7857" s="77">
        <v>0.625</v>
      </c>
      <c r="P7857">
        <v>55.400000000000006</v>
      </c>
      <c r="S7857" s="74">
        <v>36853</v>
      </c>
      <c r="T7857" s="77">
        <v>0.625</v>
      </c>
      <c r="V7857">
        <v>35.96</v>
      </c>
      <c r="X7857" s="42"/>
      <c r="AB7857">
        <v>49.8</v>
      </c>
      <c r="AC7857">
        <v>53.06</v>
      </c>
      <c r="AE7857" s="74"/>
      <c r="AF7857" s="77"/>
      <c r="AH7857" s="497">
        <v>57.2</v>
      </c>
      <c r="AJ7857" s="42"/>
      <c r="AK7857" s="74"/>
      <c r="AL7857" s="77"/>
      <c r="AN7857" s="497">
        <v>33.979999999999997</v>
      </c>
      <c r="AP7857" s="42"/>
      <c r="AQ7857" s="74"/>
      <c r="AR7857" s="77"/>
      <c r="AT7857" s="497">
        <v>51.08</v>
      </c>
      <c r="AV7857" s="42"/>
      <c r="AW7857" s="74"/>
      <c r="AX7857" s="77"/>
      <c r="BA7857" s="497">
        <v>46.04</v>
      </c>
      <c r="BB7857" s="42"/>
      <c r="BC7857" s="74"/>
      <c r="BD7857" s="77"/>
      <c r="BF7857">
        <v>37.04</v>
      </c>
      <c r="BH7857" s="42"/>
      <c r="BI7857" s="74"/>
      <c r="BJ7857" s="77"/>
      <c r="BL7857" s="497">
        <v>37.94</v>
      </c>
      <c r="BN7857" s="42"/>
      <c r="BO7857" s="74"/>
      <c r="BP7857" s="77"/>
      <c r="BR7857" s="497">
        <v>41</v>
      </c>
      <c r="BT7857" s="42"/>
    </row>
    <row r="7858" spans="1:72" x14ac:dyDescent="0.25">
      <c r="A7858" s="90">
        <v>36853</v>
      </c>
      <c r="B7858" s="20">
        <v>0.66666666666666663</v>
      </c>
      <c r="D7858">
        <v>44.06</v>
      </c>
      <c r="E7858" t="str">
        <f t="shared" si="280"/>
        <v>WEEKDAY</v>
      </c>
      <c r="F7858" t="e">
        <f t="shared" si="281"/>
        <v>#N/A</v>
      </c>
      <c r="G7858" s="74">
        <v>28817</v>
      </c>
      <c r="H7858" s="77">
        <v>0.66666666666666663</v>
      </c>
      <c r="J7858">
        <v>46.04</v>
      </c>
      <c r="M7858" s="74">
        <v>36122</v>
      </c>
      <c r="N7858" s="77">
        <v>0.66666666666666663</v>
      </c>
      <c r="P7858">
        <v>55.400000000000006</v>
      </c>
      <c r="S7858" s="74">
        <v>36853</v>
      </c>
      <c r="T7858" s="77">
        <v>0.66666666666666663</v>
      </c>
      <c r="V7858">
        <v>35.06</v>
      </c>
      <c r="X7858" s="42"/>
      <c r="AB7858">
        <v>49.5</v>
      </c>
      <c r="AC7858">
        <v>50</v>
      </c>
      <c r="AE7858" s="74"/>
      <c r="AF7858" s="77"/>
      <c r="AH7858" s="497">
        <v>55.400000000000006</v>
      </c>
      <c r="AJ7858" s="42"/>
      <c r="AK7858" s="74"/>
      <c r="AL7858" s="77"/>
      <c r="AN7858" s="497">
        <v>33.08</v>
      </c>
      <c r="AP7858" s="42"/>
      <c r="AQ7858" s="74"/>
      <c r="AR7858" s="77"/>
      <c r="AT7858" s="497">
        <v>50</v>
      </c>
      <c r="AV7858" s="42"/>
      <c r="AW7858" s="74"/>
      <c r="AX7858" s="77"/>
      <c r="BA7858" s="497">
        <v>48.019999999999996</v>
      </c>
      <c r="BB7858" s="42"/>
      <c r="BC7858" s="74"/>
      <c r="BD7858" s="77"/>
      <c r="BF7858">
        <v>37.04</v>
      </c>
      <c r="BH7858" s="42"/>
      <c r="BI7858" s="74"/>
      <c r="BJ7858" s="77"/>
      <c r="BL7858" s="497">
        <v>35.06</v>
      </c>
      <c r="BN7858" s="42"/>
      <c r="BO7858" s="74"/>
      <c r="BP7858" s="77"/>
      <c r="BR7858" s="497">
        <v>39.019999999999996</v>
      </c>
      <c r="BT7858" s="42"/>
    </row>
    <row r="7859" spans="1:72" x14ac:dyDescent="0.25">
      <c r="A7859" s="90">
        <v>36853</v>
      </c>
      <c r="B7859" s="20">
        <v>0.70833333333333337</v>
      </c>
      <c r="D7859">
        <v>37.94</v>
      </c>
      <c r="E7859" t="str">
        <f t="shared" si="280"/>
        <v>WEEKDAY</v>
      </c>
      <c r="F7859" t="e">
        <f t="shared" si="281"/>
        <v>#N/A</v>
      </c>
      <c r="G7859" s="74">
        <v>28817</v>
      </c>
      <c r="H7859" s="77">
        <v>0.70833333333333337</v>
      </c>
      <c r="J7859">
        <v>46.04</v>
      </c>
      <c r="M7859" s="74">
        <v>36122</v>
      </c>
      <c r="N7859" s="77">
        <v>0.70833333333333337</v>
      </c>
      <c r="P7859">
        <v>51.8</v>
      </c>
      <c r="S7859" s="74">
        <v>36853</v>
      </c>
      <c r="T7859" s="77">
        <v>0.70833333333333337</v>
      </c>
      <c r="V7859">
        <v>33.08</v>
      </c>
      <c r="X7859" s="42"/>
      <c r="AB7859">
        <v>48.4</v>
      </c>
      <c r="AC7859">
        <v>46.94</v>
      </c>
      <c r="AE7859" s="74"/>
      <c r="AF7859" s="77"/>
      <c r="AH7859" s="497">
        <v>51.8</v>
      </c>
      <c r="AJ7859" s="42"/>
      <c r="AK7859" s="74"/>
      <c r="AL7859" s="77"/>
      <c r="AN7859" s="497">
        <v>32</v>
      </c>
      <c r="AP7859" s="42"/>
      <c r="AQ7859" s="74"/>
      <c r="AR7859" s="77"/>
      <c r="AT7859" s="497">
        <v>48.019999999999996</v>
      </c>
      <c r="AV7859" s="42"/>
      <c r="AW7859" s="74"/>
      <c r="AX7859" s="77"/>
      <c r="BA7859" s="497">
        <v>48.019999999999996</v>
      </c>
      <c r="BB7859" s="42"/>
      <c r="BC7859" s="74"/>
      <c r="BD7859" s="77"/>
      <c r="BF7859">
        <v>35.96</v>
      </c>
      <c r="BH7859" s="42"/>
      <c r="BI7859" s="74"/>
      <c r="BJ7859" s="77"/>
      <c r="BL7859" s="497">
        <v>33.08</v>
      </c>
      <c r="BN7859" s="42"/>
      <c r="BO7859" s="74"/>
      <c r="BP7859" s="77"/>
      <c r="BR7859" s="497">
        <v>37.94</v>
      </c>
      <c r="BT7859" s="42"/>
    </row>
    <row r="7860" spans="1:72" x14ac:dyDescent="0.25">
      <c r="A7860" s="90">
        <v>36853</v>
      </c>
      <c r="B7860" s="20">
        <v>0.75</v>
      </c>
      <c r="D7860">
        <v>37.94</v>
      </c>
      <c r="E7860" t="str">
        <f t="shared" si="280"/>
        <v>WEEKDAY</v>
      </c>
      <c r="F7860" t="e">
        <f t="shared" si="281"/>
        <v>#N/A</v>
      </c>
      <c r="G7860" s="74">
        <v>28817</v>
      </c>
      <c r="H7860" s="77">
        <v>0.75</v>
      </c>
      <c r="J7860">
        <v>46.94</v>
      </c>
      <c r="M7860" s="74">
        <v>36122</v>
      </c>
      <c r="N7860" s="77">
        <v>0.75</v>
      </c>
      <c r="P7860">
        <v>50</v>
      </c>
      <c r="S7860" s="74">
        <v>36853</v>
      </c>
      <c r="T7860" s="77">
        <v>0.75</v>
      </c>
      <c r="V7860">
        <v>32</v>
      </c>
      <c r="X7860" s="42"/>
      <c r="AB7860">
        <v>47.1</v>
      </c>
      <c r="AC7860">
        <v>42.08</v>
      </c>
      <c r="AE7860" s="74"/>
      <c r="AF7860" s="77"/>
      <c r="AH7860" s="497">
        <v>51.8</v>
      </c>
      <c r="AJ7860" s="42"/>
      <c r="AK7860" s="74"/>
      <c r="AL7860" s="77"/>
      <c r="AN7860" s="497">
        <v>30.92</v>
      </c>
      <c r="AP7860" s="42"/>
      <c r="AQ7860" s="74"/>
      <c r="AR7860" s="77"/>
      <c r="AT7860" s="497">
        <v>46.94</v>
      </c>
      <c r="AV7860" s="42"/>
      <c r="AW7860" s="74"/>
      <c r="AX7860" s="77"/>
      <c r="BA7860" s="497">
        <v>48.92</v>
      </c>
      <c r="BB7860" s="42"/>
      <c r="BC7860" s="74"/>
      <c r="BD7860" s="77"/>
      <c r="BF7860">
        <v>33.08</v>
      </c>
      <c r="BH7860" s="42"/>
      <c r="BI7860" s="74"/>
      <c r="BJ7860" s="77"/>
      <c r="BL7860" s="497">
        <v>30.92</v>
      </c>
      <c r="BN7860" s="42"/>
      <c r="BO7860" s="74"/>
      <c r="BP7860" s="77"/>
      <c r="BR7860" s="497">
        <v>37.94</v>
      </c>
      <c r="BT7860" s="42"/>
    </row>
    <row r="7861" spans="1:72" x14ac:dyDescent="0.25">
      <c r="A7861" s="90">
        <v>36853</v>
      </c>
      <c r="B7861" s="20">
        <v>0.79166666666666663</v>
      </c>
      <c r="D7861">
        <v>35.96</v>
      </c>
      <c r="E7861" t="str">
        <f t="shared" si="280"/>
        <v>WEEKDAY</v>
      </c>
      <c r="F7861" t="e">
        <f t="shared" si="281"/>
        <v>#N/A</v>
      </c>
      <c r="G7861" s="74">
        <v>28817</v>
      </c>
      <c r="H7861" s="77">
        <v>0.79166666666666663</v>
      </c>
      <c r="J7861">
        <v>46.04</v>
      </c>
      <c r="M7861" s="74">
        <v>36122</v>
      </c>
      <c r="N7861" s="77">
        <v>0.79166666666666663</v>
      </c>
      <c r="P7861">
        <v>51.8</v>
      </c>
      <c r="S7861" s="74">
        <v>36853</v>
      </c>
      <c r="T7861" s="77">
        <v>0.79166666666666663</v>
      </c>
      <c r="V7861">
        <v>30.92</v>
      </c>
      <c r="X7861" s="42"/>
      <c r="AB7861">
        <v>46.6</v>
      </c>
      <c r="AC7861">
        <v>42.980000000000004</v>
      </c>
      <c r="AE7861" s="74"/>
      <c r="AF7861" s="77"/>
      <c r="AH7861" s="497">
        <v>48.2</v>
      </c>
      <c r="AJ7861" s="42"/>
      <c r="AK7861" s="74"/>
      <c r="AL7861" s="77"/>
      <c r="AN7861" s="497">
        <v>30.92</v>
      </c>
      <c r="AP7861" s="42"/>
      <c r="AQ7861" s="74"/>
      <c r="AR7861" s="77"/>
      <c r="AT7861" s="497">
        <v>44.96</v>
      </c>
      <c r="AV7861" s="42"/>
      <c r="AW7861" s="74"/>
      <c r="AX7861" s="77"/>
      <c r="BA7861" s="497">
        <v>50</v>
      </c>
      <c r="BB7861" s="42"/>
      <c r="BC7861" s="74"/>
      <c r="BD7861" s="77"/>
      <c r="BF7861">
        <v>30.92</v>
      </c>
      <c r="BH7861" s="42"/>
      <c r="BI7861" s="74"/>
      <c r="BJ7861" s="77"/>
      <c r="BL7861" s="497">
        <v>30.02</v>
      </c>
      <c r="BN7861" s="42"/>
      <c r="BO7861" s="74"/>
      <c r="BP7861" s="77"/>
      <c r="BR7861" s="497">
        <v>37.04</v>
      </c>
      <c r="BT7861" s="42"/>
    </row>
    <row r="7862" spans="1:72" x14ac:dyDescent="0.25">
      <c r="A7862" s="90">
        <v>36853</v>
      </c>
      <c r="B7862" s="20">
        <v>0.83333333333333337</v>
      </c>
      <c r="D7862">
        <v>33.979999999999997</v>
      </c>
      <c r="E7862" t="str">
        <f t="shared" si="280"/>
        <v>WEEKDAY</v>
      </c>
      <c r="F7862" t="e">
        <f t="shared" si="281"/>
        <v>#N/A</v>
      </c>
      <c r="G7862" s="74">
        <v>28817</v>
      </c>
      <c r="H7862" s="77">
        <v>0.83333333333333337</v>
      </c>
      <c r="J7862">
        <v>48.019999999999996</v>
      </c>
      <c r="M7862" s="74">
        <v>36122</v>
      </c>
      <c r="N7862" s="77">
        <v>0.83333333333333337</v>
      </c>
      <c r="P7862">
        <v>53.6</v>
      </c>
      <c r="S7862" s="74">
        <v>36853</v>
      </c>
      <c r="T7862" s="77">
        <v>0.83333333333333337</v>
      </c>
      <c r="V7862">
        <v>30.02</v>
      </c>
      <c r="X7862" s="42"/>
      <c r="AB7862">
        <v>46.3</v>
      </c>
      <c r="AC7862">
        <v>39.92</v>
      </c>
      <c r="AE7862" s="74"/>
      <c r="AF7862" s="77"/>
      <c r="AH7862" s="497">
        <v>48.2</v>
      </c>
      <c r="AJ7862" s="42"/>
      <c r="AK7862" s="74"/>
      <c r="AL7862" s="77"/>
      <c r="AN7862" s="497">
        <v>30.02</v>
      </c>
      <c r="AP7862" s="42"/>
      <c r="AQ7862" s="74"/>
      <c r="AR7862" s="77"/>
      <c r="AT7862" s="497">
        <v>44.96</v>
      </c>
      <c r="AV7862" s="42"/>
      <c r="AW7862" s="74"/>
      <c r="AX7862" s="77"/>
      <c r="BA7862" s="497">
        <v>50</v>
      </c>
      <c r="BB7862" s="42"/>
      <c r="BC7862" s="74"/>
      <c r="BD7862" s="77"/>
      <c r="BF7862">
        <v>30.92</v>
      </c>
      <c r="BH7862" s="42"/>
      <c r="BI7862" s="74"/>
      <c r="BJ7862" s="77"/>
      <c r="BL7862" s="497">
        <v>28.04</v>
      </c>
      <c r="BN7862" s="42"/>
      <c r="BO7862" s="74"/>
      <c r="BP7862" s="77"/>
      <c r="BR7862" s="497">
        <v>37.04</v>
      </c>
      <c r="BT7862" s="42"/>
    </row>
    <row r="7863" spans="1:72" x14ac:dyDescent="0.25">
      <c r="A7863" s="90">
        <v>36853</v>
      </c>
      <c r="B7863" s="20">
        <v>0.875</v>
      </c>
      <c r="D7863">
        <v>32</v>
      </c>
      <c r="E7863" t="str">
        <f t="shared" si="280"/>
        <v>WEEKDAY</v>
      </c>
      <c r="F7863" t="e">
        <f t="shared" si="281"/>
        <v>#N/A</v>
      </c>
      <c r="G7863" s="74">
        <v>28817</v>
      </c>
      <c r="H7863" s="77">
        <v>0.875</v>
      </c>
      <c r="J7863">
        <v>48.019999999999996</v>
      </c>
      <c r="M7863" s="74">
        <v>36122</v>
      </c>
      <c r="N7863" s="77">
        <v>0.875</v>
      </c>
      <c r="P7863">
        <v>53.6</v>
      </c>
      <c r="S7863" s="74">
        <v>36853</v>
      </c>
      <c r="T7863" s="77">
        <v>0.875</v>
      </c>
      <c r="V7863">
        <v>28.94</v>
      </c>
      <c r="X7863" s="42"/>
      <c r="AB7863">
        <v>45.7</v>
      </c>
      <c r="AC7863">
        <v>37.94</v>
      </c>
      <c r="AE7863" s="74"/>
      <c r="AF7863" s="77"/>
      <c r="AH7863" s="497">
        <v>44.6</v>
      </c>
      <c r="AJ7863" s="42"/>
      <c r="AK7863" s="74"/>
      <c r="AL7863" s="77"/>
      <c r="AN7863" s="497">
        <v>30.02</v>
      </c>
      <c r="AP7863" s="42"/>
      <c r="AQ7863" s="74"/>
      <c r="AR7863" s="77"/>
      <c r="AT7863" s="497">
        <v>41</v>
      </c>
      <c r="AV7863" s="42"/>
      <c r="AW7863" s="74"/>
      <c r="AX7863" s="77"/>
      <c r="BA7863" s="497">
        <v>51.08</v>
      </c>
      <c r="BB7863" s="42"/>
      <c r="BC7863" s="74"/>
      <c r="BD7863" s="77"/>
      <c r="BF7863">
        <v>30.02</v>
      </c>
      <c r="BH7863" s="42"/>
      <c r="BI7863" s="74"/>
      <c r="BJ7863" s="77"/>
      <c r="BL7863" s="497">
        <v>28.04</v>
      </c>
      <c r="BN7863" s="42"/>
      <c r="BO7863" s="74"/>
      <c r="BP7863" s="77"/>
      <c r="BR7863" s="497">
        <v>48.92</v>
      </c>
      <c r="BT7863" s="42"/>
    </row>
    <row r="7864" spans="1:72" x14ac:dyDescent="0.25">
      <c r="A7864" s="90">
        <v>36853</v>
      </c>
      <c r="B7864" s="20">
        <v>0.91666666666666663</v>
      </c>
      <c r="D7864">
        <v>30.02</v>
      </c>
      <c r="E7864" t="str">
        <f t="shared" si="280"/>
        <v>WEEKDAY</v>
      </c>
      <c r="F7864" t="e">
        <f t="shared" si="281"/>
        <v>#N/A</v>
      </c>
      <c r="G7864" s="74">
        <v>28817</v>
      </c>
      <c r="H7864" s="77">
        <v>0.91666666666666663</v>
      </c>
      <c r="J7864">
        <v>48.019999999999996</v>
      </c>
      <c r="M7864" s="74">
        <v>36122</v>
      </c>
      <c r="N7864" s="77">
        <v>0.91666666666666663</v>
      </c>
      <c r="P7864">
        <v>53.6</v>
      </c>
      <c r="S7864" s="74">
        <v>36853</v>
      </c>
      <c r="T7864" s="77">
        <v>0.91666666666666663</v>
      </c>
      <c r="V7864">
        <v>28.04</v>
      </c>
      <c r="X7864" s="42"/>
      <c r="AB7864">
        <v>45.1</v>
      </c>
      <c r="AC7864">
        <v>37.94</v>
      </c>
      <c r="AE7864" s="74"/>
      <c r="AF7864" s="77"/>
      <c r="AH7864" s="497">
        <v>39.200000000000003</v>
      </c>
      <c r="AJ7864" s="42"/>
      <c r="AK7864" s="74"/>
      <c r="AL7864" s="77"/>
      <c r="AN7864" s="497">
        <v>28.04</v>
      </c>
      <c r="AP7864" s="42"/>
      <c r="AQ7864" s="74"/>
      <c r="AR7864" s="77"/>
      <c r="AT7864" s="497">
        <v>39.92</v>
      </c>
      <c r="AV7864" s="42"/>
      <c r="AW7864" s="74"/>
      <c r="AX7864" s="77"/>
      <c r="BA7864" s="497">
        <v>50</v>
      </c>
      <c r="BB7864" s="42"/>
      <c r="BC7864" s="74"/>
      <c r="BD7864" s="77"/>
      <c r="BF7864">
        <v>28.94</v>
      </c>
      <c r="BH7864" s="42"/>
      <c r="BI7864" s="74"/>
      <c r="BJ7864" s="77"/>
      <c r="BL7864" s="497">
        <v>28.04</v>
      </c>
      <c r="BN7864" s="42"/>
      <c r="BO7864" s="74"/>
      <c r="BP7864" s="77"/>
      <c r="BR7864" s="497">
        <v>48.019999999999996</v>
      </c>
      <c r="BT7864" s="42"/>
    </row>
    <row r="7865" spans="1:72" x14ac:dyDescent="0.25">
      <c r="A7865" s="90">
        <v>36853</v>
      </c>
      <c r="B7865" s="20">
        <v>0.95833333333333337</v>
      </c>
      <c r="D7865">
        <v>28.94</v>
      </c>
      <c r="E7865" t="str">
        <f t="shared" si="280"/>
        <v>WEEKDAY</v>
      </c>
      <c r="F7865" t="e">
        <f t="shared" si="281"/>
        <v>#N/A</v>
      </c>
      <c r="G7865" s="74">
        <v>28817</v>
      </c>
      <c r="H7865" s="77">
        <v>0.95833333333333337</v>
      </c>
      <c r="J7865">
        <v>50</v>
      </c>
      <c r="M7865" s="74">
        <v>36122</v>
      </c>
      <c r="N7865" s="77">
        <v>0.95833333333333337</v>
      </c>
      <c r="P7865">
        <v>53.6</v>
      </c>
      <c r="S7865" s="74">
        <v>36853</v>
      </c>
      <c r="T7865" s="77">
        <v>0.95833333333333337</v>
      </c>
      <c r="V7865">
        <v>26.96</v>
      </c>
      <c r="X7865" s="42"/>
      <c r="AB7865">
        <v>44.7</v>
      </c>
      <c r="AC7865">
        <v>39.92</v>
      </c>
      <c r="AE7865" s="74"/>
      <c r="AF7865" s="77"/>
      <c r="AH7865" s="497">
        <v>39.200000000000003</v>
      </c>
      <c r="AJ7865" s="42"/>
      <c r="AK7865" s="74"/>
      <c r="AL7865" s="77"/>
      <c r="AN7865" s="497">
        <v>26.96</v>
      </c>
      <c r="AP7865" s="42"/>
      <c r="AQ7865" s="74"/>
      <c r="AR7865" s="77"/>
      <c r="AT7865" s="497">
        <v>42.08</v>
      </c>
      <c r="AV7865" s="42"/>
      <c r="AW7865" s="74"/>
      <c r="AX7865" s="77"/>
      <c r="BA7865" s="497">
        <v>48.92</v>
      </c>
      <c r="BB7865" s="42"/>
      <c r="BC7865" s="74"/>
      <c r="BD7865" s="77"/>
      <c r="BF7865">
        <v>28.04</v>
      </c>
      <c r="BH7865" s="42"/>
      <c r="BI7865" s="74"/>
      <c r="BJ7865" s="77"/>
      <c r="BL7865" s="497">
        <v>26.96</v>
      </c>
      <c r="BN7865" s="42"/>
      <c r="BO7865" s="74"/>
      <c r="BP7865" s="77"/>
      <c r="BR7865" s="497">
        <v>48.019999999999996</v>
      </c>
      <c r="BT7865" s="42"/>
    </row>
    <row r="7866" spans="1:72" x14ac:dyDescent="0.25">
      <c r="A7866" s="90">
        <v>36853</v>
      </c>
      <c r="B7866" s="20">
        <v>1</v>
      </c>
      <c r="D7866">
        <v>28.04</v>
      </c>
      <c r="E7866" t="str">
        <f t="shared" si="280"/>
        <v>WEEKDAY</v>
      </c>
      <c r="F7866" t="e">
        <f t="shared" si="281"/>
        <v>#N/A</v>
      </c>
      <c r="G7866" s="74">
        <v>28817</v>
      </c>
      <c r="H7866" s="77">
        <v>1</v>
      </c>
      <c r="J7866">
        <v>51.08</v>
      </c>
      <c r="M7866" s="74">
        <v>36122</v>
      </c>
      <c r="N7866" s="80">
        <v>1</v>
      </c>
      <c r="P7866">
        <v>53.6</v>
      </c>
      <c r="S7866" s="74">
        <v>36853</v>
      </c>
      <c r="T7866" s="80">
        <v>1</v>
      </c>
      <c r="V7866">
        <v>26.060000000000002</v>
      </c>
      <c r="X7866" s="42"/>
      <c r="AB7866">
        <v>44.3</v>
      </c>
      <c r="AC7866">
        <v>39.019999999999996</v>
      </c>
      <c r="AE7866" s="74"/>
      <c r="AF7866" s="80"/>
      <c r="AH7866" s="497">
        <v>39.200000000000003</v>
      </c>
      <c r="AJ7866" s="42"/>
      <c r="AK7866" s="74"/>
      <c r="AL7866" s="80"/>
      <c r="AN7866" s="497">
        <v>26.060000000000002</v>
      </c>
      <c r="AP7866" s="42"/>
      <c r="AQ7866" s="74"/>
      <c r="AR7866" s="80"/>
      <c r="AT7866" s="497">
        <v>39.019999999999996</v>
      </c>
      <c r="AV7866" s="42"/>
      <c r="AW7866" s="74"/>
      <c r="AX7866" s="80"/>
      <c r="BA7866" s="497">
        <v>48.92</v>
      </c>
      <c r="BB7866" s="42"/>
      <c r="BC7866" s="74"/>
      <c r="BD7866" s="80"/>
      <c r="BF7866">
        <v>28.94</v>
      </c>
      <c r="BH7866" s="42"/>
      <c r="BI7866" s="74"/>
      <c r="BJ7866" s="80"/>
      <c r="BL7866" s="497">
        <v>28.04</v>
      </c>
      <c r="BN7866" s="42"/>
      <c r="BO7866" s="74"/>
      <c r="BP7866" s="80"/>
      <c r="BR7866" s="497">
        <v>48.92</v>
      </c>
      <c r="BT7866" s="42"/>
    </row>
    <row r="7867" spans="1:72" x14ac:dyDescent="0.25">
      <c r="A7867" s="90">
        <v>36854</v>
      </c>
      <c r="B7867" s="20">
        <v>4.1666666666666664E-2</v>
      </c>
      <c r="D7867">
        <v>26.96</v>
      </c>
      <c r="E7867" t="str">
        <f t="shared" si="280"/>
        <v>WEEKDAY</v>
      </c>
      <c r="F7867" t="e">
        <f t="shared" si="281"/>
        <v>#N/A</v>
      </c>
      <c r="G7867" s="74">
        <v>28818</v>
      </c>
      <c r="H7867" s="77">
        <v>4.1666666666666664E-2</v>
      </c>
      <c r="J7867">
        <v>51.980000000000004</v>
      </c>
      <c r="M7867" s="74">
        <v>36123</v>
      </c>
      <c r="N7867" s="77">
        <v>4.1666666666666664E-2</v>
      </c>
      <c r="P7867">
        <v>53.6</v>
      </c>
      <c r="S7867" s="74">
        <v>36854</v>
      </c>
      <c r="T7867" s="77">
        <v>4.1666666666666664E-2</v>
      </c>
      <c r="V7867">
        <v>26.060000000000002</v>
      </c>
      <c r="X7867" s="42"/>
      <c r="AB7867">
        <v>43.7</v>
      </c>
      <c r="AC7867">
        <v>37.94</v>
      </c>
      <c r="AE7867" s="74"/>
      <c r="AF7867" s="77"/>
      <c r="AH7867" s="497">
        <v>42.8</v>
      </c>
      <c r="AJ7867" s="42"/>
      <c r="AK7867" s="74"/>
      <c r="AL7867" s="77"/>
      <c r="AN7867" s="497">
        <v>26.060000000000002</v>
      </c>
      <c r="AP7867" s="42"/>
      <c r="AQ7867" s="74"/>
      <c r="AR7867" s="77"/>
      <c r="AT7867" s="497">
        <v>41</v>
      </c>
      <c r="AV7867" s="42"/>
      <c r="AW7867" s="74"/>
      <c r="AX7867" s="77"/>
      <c r="BA7867" s="497">
        <v>50</v>
      </c>
      <c r="BB7867" s="42"/>
      <c r="BC7867" s="74"/>
      <c r="BD7867" s="77"/>
      <c r="BF7867">
        <v>28.04</v>
      </c>
      <c r="BH7867" s="42"/>
      <c r="BI7867" s="74"/>
      <c r="BJ7867" s="77"/>
      <c r="BL7867" s="497">
        <v>28.04</v>
      </c>
      <c r="BN7867" s="42"/>
      <c r="BO7867" s="74"/>
      <c r="BP7867" s="77"/>
      <c r="BR7867" s="497">
        <v>50</v>
      </c>
      <c r="BT7867" s="42"/>
    </row>
    <row r="7868" spans="1:72" x14ac:dyDescent="0.25">
      <c r="A7868" s="90">
        <v>36854</v>
      </c>
      <c r="B7868" s="20">
        <v>8.3333333333333329E-2</v>
      </c>
      <c r="D7868">
        <v>26.060000000000002</v>
      </c>
      <c r="E7868" t="str">
        <f t="shared" si="280"/>
        <v>WEEKDAY</v>
      </c>
      <c r="F7868" t="e">
        <f t="shared" si="281"/>
        <v>#N/A</v>
      </c>
      <c r="G7868" s="74">
        <v>28818</v>
      </c>
      <c r="H7868" s="77">
        <v>8.3333333333333329E-2</v>
      </c>
      <c r="J7868">
        <v>50</v>
      </c>
      <c r="M7868" s="74">
        <v>36123</v>
      </c>
      <c r="N7868" s="77">
        <v>8.3333333333333329E-2</v>
      </c>
      <c r="P7868">
        <v>53.6</v>
      </c>
      <c r="S7868" s="74">
        <v>36854</v>
      </c>
      <c r="T7868" s="77">
        <v>8.3333333333333329E-2</v>
      </c>
      <c r="V7868">
        <v>26.060000000000002</v>
      </c>
      <c r="X7868" s="42"/>
      <c r="AB7868">
        <v>43.3</v>
      </c>
      <c r="AC7868">
        <v>39.92</v>
      </c>
      <c r="AE7868" s="74"/>
      <c r="AF7868" s="77"/>
      <c r="AH7868" s="497">
        <v>44.6</v>
      </c>
      <c r="AJ7868" s="42"/>
      <c r="AK7868" s="74"/>
      <c r="AL7868" s="77"/>
      <c r="AN7868" s="497">
        <v>26.060000000000002</v>
      </c>
      <c r="AP7868" s="42"/>
      <c r="AQ7868" s="74"/>
      <c r="AR7868" s="77"/>
      <c r="AT7868" s="497">
        <v>41</v>
      </c>
      <c r="AV7868" s="42"/>
      <c r="AW7868" s="74"/>
      <c r="AX7868" s="77"/>
      <c r="BA7868" s="497">
        <v>50</v>
      </c>
      <c r="BB7868" s="42"/>
      <c r="BC7868" s="74"/>
      <c r="BD7868" s="77"/>
      <c r="BF7868">
        <v>26.060000000000002</v>
      </c>
      <c r="BH7868" s="42"/>
      <c r="BI7868" s="74"/>
      <c r="BJ7868" s="77"/>
      <c r="BL7868" s="497">
        <v>28.94</v>
      </c>
      <c r="BN7868" s="42"/>
      <c r="BO7868" s="74"/>
      <c r="BP7868" s="77"/>
      <c r="BR7868" s="497">
        <v>50</v>
      </c>
      <c r="BT7868" s="42"/>
    </row>
    <row r="7869" spans="1:72" x14ac:dyDescent="0.25">
      <c r="A7869" s="90">
        <v>36854</v>
      </c>
      <c r="B7869" s="20">
        <v>0.125</v>
      </c>
      <c r="D7869">
        <v>26.060000000000002</v>
      </c>
      <c r="E7869" t="str">
        <f t="shared" si="280"/>
        <v>WEEKDAY</v>
      </c>
      <c r="F7869" t="e">
        <f t="shared" si="281"/>
        <v>#N/A</v>
      </c>
      <c r="G7869" s="74">
        <v>28818</v>
      </c>
      <c r="H7869" s="77">
        <v>0.125</v>
      </c>
      <c r="J7869">
        <v>50</v>
      </c>
      <c r="M7869" s="74">
        <v>36123</v>
      </c>
      <c r="N7869" s="77">
        <v>0.125</v>
      </c>
      <c r="P7869">
        <v>51.8</v>
      </c>
      <c r="S7869" s="74">
        <v>36854</v>
      </c>
      <c r="T7869" s="77">
        <v>0.125</v>
      </c>
      <c r="V7869">
        <v>26.060000000000002</v>
      </c>
      <c r="X7869" s="42"/>
      <c r="AB7869">
        <v>42.9</v>
      </c>
      <c r="AC7869">
        <v>37.94</v>
      </c>
      <c r="AE7869" s="74"/>
      <c r="AF7869" s="77"/>
      <c r="AH7869" s="497">
        <v>44.6</v>
      </c>
      <c r="AJ7869" s="42"/>
      <c r="AK7869" s="74"/>
      <c r="AL7869" s="77"/>
      <c r="AN7869" s="497">
        <v>28.04</v>
      </c>
      <c r="AP7869" s="42"/>
      <c r="AQ7869" s="74"/>
      <c r="AR7869" s="77"/>
      <c r="AT7869" s="497">
        <v>42.08</v>
      </c>
      <c r="AV7869" s="42"/>
      <c r="AW7869" s="74"/>
      <c r="AX7869" s="77"/>
      <c r="BA7869" s="497">
        <v>50</v>
      </c>
      <c r="BB7869" s="42"/>
      <c r="BC7869" s="74"/>
      <c r="BD7869" s="77"/>
      <c r="BF7869">
        <v>26.96</v>
      </c>
      <c r="BH7869" s="42"/>
      <c r="BI7869" s="74"/>
      <c r="BJ7869" s="77"/>
      <c r="BL7869" s="497">
        <v>28.04</v>
      </c>
      <c r="BN7869" s="42"/>
      <c r="BO7869" s="74"/>
      <c r="BP7869" s="77"/>
      <c r="BR7869" s="497">
        <v>50</v>
      </c>
      <c r="BT7869" s="42"/>
    </row>
    <row r="7870" spans="1:72" x14ac:dyDescent="0.25">
      <c r="A7870" s="90">
        <v>36854</v>
      </c>
      <c r="B7870" s="20">
        <v>0.16666666666666666</v>
      </c>
      <c r="D7870">
        <v>26.96</v>
      </c>
      <c r="E7870" t="str">
        <f t="shared" si="280"/>
        <v>WEEKDAY</v>
      </c>
      <c r="F7870" t="e">
        <f t="shared" si="281"/>
        <v>#N/A</v>
      </c>
      <c r="G7870" s="74">
        <v>28818</v>
      </c>
      <c r="H7870" s="77">
        <v>0.16666666666666666</v>
      </c>
      <c r="J7870">
        <v>50</v>
      </c>
      <c r="M7870" s="74">
        <v>36123</v>
      </c>
      <c r="N7870" s="77">
        <v>0.16666666666666666</v>
      </c>
      <c r="P7870">
        <v>52.519999999999996</v>
      </c>
      <c r="S7870" s="74">
        <v>36854</v>
      </c>
      <c r="T7870" s="77">
        <v>0.16666666666666666</v>
      </c>
      <c r="V7870">
        <v>26.060000000000002</v>
      </c>
      <c r="X7870" s="42"/>
      <c r="AB7870">
        <v>42.6</v>
      </c>
      <c r="AC7870">
        <v>41</v>
      </c>
      <c r="AE7870" s="74"/>
      <c r="AF7870" s="77"/>
      <c r="AH7870" s="497">
        <v>46.4</v>
      </c>
      <c r="AJ7870" s="42"/>
      <c r="AK7870" s="74"/>
      <c r="AL7870" s="77"/>
      <c r="AN7870" s="497">
        <v>26.96</v>
      </c>
      <c r="AP7870" s="42"/>
      <c r="AQ7870" s="74"/>
      <c r="AR7870" s="77"/>
      <c r="AT7870" s="497">
        <v>42.980000000000004</v>
      </c>
      <c r="AV7870" s="42"/>
      <c r="AW7870" s="74"/>
      <c r="AX7870" s="77"/>
      <c r="BA7870" s="497">
        <v>51.08</v>
      </c>
      <c r="BB7870" s="42"/>
      <c r="BC7870" s="74"/>
      <c r="BD7870" s="77"/>
      <c r="BF7870">
        <v>26.060000000000002</v>
      </c>
      <c r="BH7870" s="42"/>
      <c r="BI7870" s="74"/>
      <c r="BJ7870" s="77"/>
      <c r="BL7870" s="497">
        <v>26.96</v>
      </c>
      <c r="BN7870" s="42"/>
      <c r="BO7870" s="74"/>
      <c r="BP7870" s="77"/>
      <c r="BR7870" s="497">
        <v>51.08</v>
      </c>
      <c r="BT7870" s="42"/>
    </row>
    <row r="7871" spans="1:72" x14ac:dyDescent="0.25">
      <c r="A7871" s="90">
        <v>36854</v>
      </c>
      <c r="B7871" s="20">
        <v>0.20833333333333334</v>
      </c>
      <c r="D7871">
        <v>26.060000000000002</v>
      </c>
      <c r="E7871" t="str">
        <f t="shared" si="280"/>
        <v>WEEKDAY</v>
      </c>
      <c r="F7871" t="e">
        <f t="shared" si="281"/>
        <v>#N/A</v>
      </c>
      <c r="G7871" s="74">
        <v>28818</v>
      </c>
      <c r="H7871" s="77">
        <v>0.20833333333333334</v>
      </c>
      <c r="J7871">
        <v>48.92</v>
      </c>
      <c r="M7871" s="74">
        <v>36123</v>
      </c>
      <c r="N7871" s="77">
        <v>0.20833333333333334</v>
      </c>
      <c r="P7871">
        <v>53.6</v>
      </c>
      <c r="S7871" s="74">
        <v>36854</v>
      </c>
      <c r="T7871" s="77">
        <v>0.20833333333333334</v>
      </c>
      <c r="V7871">
        <v>24.98</v>
      </c>
      <c r="X7871" s="42"/>
      <c r="AB7871">
        <v>42.2</v>
      </c>
      <c r="AC7871">
        <v>39.92</v>
      </c>
      <c r="AE7871" s="74"/>
      <c r="AF7871" s="77"/>
      <c r="AH7871" s="497">
        <v>48.2</v>
      </c>
      <c r="AJ7871" s="42"/>
      <c r="AK7871" s="74"/>
      <c r="AL7871" s="77"/>
      <c r="AN7871" s="497">
        <v>26.96</v>
      </c>
      <c r="AP7871" s="42"/>
      <c r="AQ7871" s="74"/>
      <c r="AR7871" s="77"/>
      <c r="AT7871" s="497">
        <v>46.94</v>
      </c>
      <c r="AV7871" s="42"/>
      <c r="AW7871" s="74"/>
      <c r="AX7871" s="77"/>
      <c r="BA7871" s="497">
        <v>51.980000000000004</v>
      </c>
      <c r="BB7871" s="42"/>
      <c r="BC7871" s="74"/>
      <c r="BD7871" s="77"/>
      <c r="BF7871">
        <v>26.96</v>
      </c>
      <c r="BH7871" s="42"/>
      <c r="BI7871" s="74"/>
      <c r="BJ7871" s="77"/>
      <c r="BL7871" s="497">
        <v>26.060000000000002</v>
      </c>
      <c r="BN7871" s="42"/>
      <c r="BO7871" s="74"/>
      <c r="BP7871" s="77"/>
      <c r="BR7871" s="497">
        <v>51.08</v>
      </c>
      <c r="BT7871" s="42"/>
    </row>
    <row r="7872" spans="1:72" x14ac:dyDescent="0.25">
      <c r="A7872" s="90">
        <v>36854</v>
      </c>
      <c r="B7872" s="20">
        <v>0.25</v>
      </c>
      <c r="D7872">
        <v>26.060000000000002</v>
      </c>
      <c r="E7872" t="str">
        <f t="shared" si="280"/>
        <v>WEEKDAY</v>
      </c>
      <c r="F7872" t="e">
        <f t="shared" si="281"/>
        <v>#N/A</v>
      </c>
      <c r="G7872" s="74">
        <v>28818</v>
      </c>
      <c r="H7872" s="77">
        <v>0.25</v>
      </c>
      <c r="J7872">
        <v>48.019999999999996</v>
      </c>
      <c r="M7872" s="74">
        <v>36123</v>
      </c>
      <c r="N7872" s="77">
        <v>0.25</v>
      </c>
      <c r="P7872">
        <v>51.8</v>
      </c>
      <c r="S7872" s="74">
        <v>36854</v>
      </c>
      <c r="T7872" s="77">
        <v>0.25</v>
      </c>
      <c r="V7872">
        <v>24.08</v>
      </c>
      <c r="X7872" s="42"/>
      <c r="AB7872">
        <v>42</v>
      </c>
      <c r="AC7872">
        <v>39.92</v>
      </c>
      <c r="AE7872" s="74"/>
      <c r="AF7872" s="77"/>
      <c r="AH7872" s="497">
        <v>46.4</v>
      </c>
      <c r="AJ7872" s="42"/>
      <c r="AK7872" s="74"/>
      <c r="AL7872" s="77"/>
      <c r="AN7872" s="497">
        <v>26.060000000000002</v>
      </c>
      <c r="AP7872" s="42"/>
      <c r="AQ7872" s="74"/>
      <c r="AR7872" s="77"/>
      <c r="AT7872" s="497">
        <v>46.94</v>
      </c>
      <c r="AV7872" s="42"/>
      <c r="AW7872" s="74"/>
      <c r="AX7872" s="77"/>
      <c r="BA7872" s="497">
        <v>51.08</v>
      </c>
      <c r="BB7872" s="42"/>
      <c r="BC7872" s="74"/>
      <c r="BD7872" s="77"/>
      <c r="BF7872">
        <v>24.98</v>
      </c>
      <c r="BH7872" s="42"/>
      <c r="BI7872" s="74"/>
      <c r="BJ7872" s="77"/>
      <c r="BL7872" s="497">
        <v>24.98</v>
      </c>
      <c r="BN7872" s="42"/>
      <c r="BO7872" s="74"/>
      <c r="BP7872" s="77"/>
      <c r="BR7872" s="497">
        <v>51.08</v>
      </c>
      <c r="BT7872" s="42"/>
    </row>
    <row r="7873" spans="1:72" x14ac:dyDescent="0.25">
      <c r="A7873" s="90">
        <v>36854</v>
      </c>
      <c r="B7873" s="20">
        <v>0.29166666666666669</v>
      </c>
      <c r="D7873">
        <v>26.96</v>
      </c>
      <c r="E7873" t="str">
        <f t="shared" si="280"/>
        <v>WEEKDAY</v>
      </c>
      <c r="F7873" t="e">
        <f t="shared" si="281"/>
        <v>#N/A</v>
      </c>
      <c r="G7873" s="74">
        <v>28818</v>
      </c>
      <c r="H7873" s="77">
        <v>0.29166666666666669</v>
      </c>
      <c r="J7873">
        <v>48.019999999999996</v>
      </c>
      <c r="M7873" s="74">
        <v>36123</v>
      </c>
      <c r="N7873" s="77">
        <v>0.29166666666666669</v>
      </c>
      <c r="P7873">
        <v>51.8</v>
      </c>
      <c r="S7873" s="74">
        <v>36854</v>
      </c>
      <c r="T7873" s="77">
        <v>0.29166666666666669</v>
      </c>
      <c r="V7873">
        <v>24.08</v>
      </c>
      <c r="X7873" s="42"/>
      <c r="AB7873">
        <v>41.9</v>
      </c>
      <c r="AC7873">
        <v>41</v>
      </c>
      <c r="AE7873" s="74"/>
      <c r="AF7873" s="77"/>
      <c r="AH7873" s="497">
        <v>46.4</v>
      </c>
      <c r="AJ7873" s="42"/>
      <c r="AK7873" s="74"/>
      <c r="AL7873" s="77"/>
      <c r="AN7873" s="497">
        <v>26.060000000000002</v>
      </c>
      <c r="AP7873" s="42"/>
      <c r="AQ7873" s="74"/>
      <c r="AR7873" s="77"/>
      <c r="AT7873" s="497">
        <v>46.94</v>
      </c>
      <c r="AV7873" s="42"/>
      <c r="AW7873" s="74"/>
      <c r="AX7873" s="77"/>
      <c r="BA7873" s="497">
        <v>51.08</v>
      </c>
      <c r="BB7873" s="42"/>
      <c r="BC7873" s="74"/>
      <c r="BD7873" s="77"/>
      <c r="BF7873">
        <v>26.060000000000002</v>
      </c>
      <c r="BH7873" s="42"/>
      <c r="BI7873" s="74"/>
      <c r="BJ7873" s="77"/>
      <c r="BL7873" s="497">
        <v>26.96</v>
      </c>
      <c r="BN7873" s="42"/>
      <c r="BO7873" s="74"/>
      <c r="BP7873" s="77"/>
      <c r="BR7873" s="497">
        <v>48.019999999999996</v>
      </c>
      <c r="BT7873" s="42"/>
    </row>
    <row r="7874" spans="1:72" x14ac:dyDescent="0.25">
      <c r="A7874" s="90">
        <v>36854</v>
      </c>
      <c r="B7874" s="20">
        <v>0.33333333333333331</v>
      </c>
      <c r="D7874">
        <v>28.04</v>
      </c>
      <c r="E7874" t="str">
        <f t="shared" si="280"/>
        <v>WEEKDAY</v>
      </c>
      <c r="F7874" t="e">
        <f t="shared" si="281"/>
        <v>#N/A</v>
      </c>
      <c r="G7874" s="74">
        <v>28818</v>
      </c>
      <c r="H7874" s="77">
        <v>0.33333333333333331</v>
      </c>
      <c r="J7874">
        <v>48.92</v>
      </c>
      <c r="M7874" s="74">
        <v>36123</v>
      </c>
      <c r="N7874" s="77">
        <v>0.33333333333333331</v>
      </c>
      <c r="P7874">
        <v>50</v>
      </c>
      <c r="S7874" s="74">
        <v>36854</v>
      </c>
      <c r="T7874" s="77">
        <v>0.33333333333333331</v>
      </c>
      <c r="V7874">
        <v>24.98</v>
      </c>
      <c r="X7874" s="42"/>
      <c r="AB7874">
        <v>41.9</v>
      </c>
      <c r="AC7874">
        <v>42.980000000000004</v>
      </c>
      <c r="AE7874" s="74"/>
      <c r="AF7874" s="77"/>
      <c r="AH7874" s="497">
        <v>48.2</v>
      </c>
      <c r="AJ7874" s="42"/>
      <c r="AK7874" s="74"/>
      <c r="AL7874" s="77"/>
      <c r="AN7874" s="497">
        <v>26.060000000000002</v>
      </c>
      <c r="AP7874" s="42"/>
      <c r="AQ7874" s="74"/>
      <c r="AR7874" s="77"/>
      <c r="AT7874" s="497">
        <v>48.019999999999996</v>
      </c>
      <c r="AV7874" s="42"/>
      <c r="AW7874" s="74"/>
      <c r="AX7874" s="77"/>
      <c r="BA7874" s="497">
        <v>51.980000000000004</v>
      </c>
      <c r="BB7874" s="42"/>
      <c r="BC7874" s="74"/>
      <c r="BD7874" s="77"/>
      <c r="BF7874">
        <v>26.96</v>
      </c>
      <c r="BH7874" s="42"/>
      <c r="BI7874" s="74"/>
      <c r="BJ7874" s="77"/>
      <c r="BL7874" s="497">
        <v>28.04</v>
      </c>
      <c r="BN7874" s="42"/>
      <c r="BO7874" s="74"/>
      <c r="BP7874" s="77"/>
      <c r="BR7874" s="497">
        <v>48.019999999999996</v>
      </c>
      <c r="BT7874" s="42"/>
    </row>
    <row r="7875" spans="1:72" x14ac:dyDescent="0.25">
      <c r="A7875" s="90">
        <v>36854</v>
      </c>
      <c r="B7875" s="20">
        <v>0.375</v>
      </c>
      <c r="D7875">
        <v>28.94</v>
      </c>
      <c r="E7875" t="str">
        <f t="shared" si="280"/>
        <v>WEEKDAY</v>
      </c>
      <c r="F7875" t="e">
        <f t="shared" si="281"/>
        <v>#N/A</v>
      </c>
      <c r="G7875" s="74">
        <v>28818</v>
      </c>
      <c r="H7875" s="77">
        <v>0.375</v>
      </c>
      <c r="J7875">
        <v>48.92</v>
      </c>
      <c r="M7875" s="74">
        <v>36123</v>
      </c>
      <c r="N7875" s="77">
        <v>0.375</v>
      </c>
      <c r="P7875">
        <v>51.8</v>
      </c>
      <c r="S7875" s="74">
        <v>36854</v>
      </c>
      <c r="T7875" s="77">
        <v>0.375</v>
      </c>
      <c r="V7875">
        <v>28.94</v>
      </c>
      <c r="X7875" s="42"/>
      <c r="AB7875">
        <v>43</v>
      </c>
      <c r="AC7875">
        <v>48.92</v>
      </c>
      <c r="AE7875" s="74"/>
      <c r="AF7875" s="77"/>
      <c r="AH7875" s="497">
        <v>46.4</v>
      </c>
      <c r="AJ7875" s="42"/>
      <c r="AK7875" s="74"/>
      <c r="AL7875" s="77"/>
      <c r="AN7875" s="497">
        <v>28.04</v>
      </c>
      <c r="AP7875" s="42"/>
      <c r="AQ7875" s="74"/>
      <c r="AR7875" s="77"/>
      <c r="AT7875" s="497">
        <v>48.92</v>
      </c>
      <c r="AV7875" s="42"/>
      <c r="AW7875" s="74"/>
      <c r="AX7875" s="77"/>
      <c r="BA7875" s="497">
        <v>51.08</v>
      </c>
      <c r="BB7875" s="42"/>
      <c r="BC7875" s="74"/>
      <c r="BD7875" s="77"/>
      <c r="BF7875">
        <v>28.94</v>
      </c>
      <c r="BH7875" s="42"/>
      <c r="BI7875" s="74"/>
      <c r="BJ7875" s="77"/>
      <c r="BL7875" s="497">
        <v>30.02</v>
      </c>
      <c r="BN7875" s="42"/>
      <c r="BO7875" s="74"/>
      <c r="BP7875" s="77"/>
      <c r="BR7875" s="497">
        <v>46.94</v>
      </c>
      <c r="BT7875" s="42"/>
    </row>
    <row r="7876" spans="1:72" x14ac:dyDescent="0.25">
      <c r="A7876" s="90">
        <v>36854</v>
      </c>
      <c r="B7876" s="20">
        <v>0.41666666666666669</v>
      </c>
      <c r="D7876">
        <v>30.02</v>
      </c>
      <c r="E7876" t="str">
        <f t="shared" si="280"/>
        <v>WEEKDAY</v>
      </c>
      <c r="F7876" t="e">
        <f t="shared" si="281"/>
        <v>#N/A</v>
      </c>
      <c r="G7876" s="74">
        <v>28818</v>
      </c>
      <c r="H7876" s="77">
        <v>0.41666666666666669</v>
      </c>
      <c r="J7876">
        <v>50</v>
      </c>
      <c r="M7876" s="74">
        <v>36123</v>
      </c>
      <c r="N7876" s="77">
        <v>0.41666666666666669</v>
      </c>
      <c r="P7876">
        <v>53.6</v>
      </c>
      <c r="S7876" s="74">
        <v>36854</v>
      </c>
      <c r="T7876" s="77">
        <v>0.41666666666666669</v>
      </c>
      <c r="V7876">
        <v>30.92</v>
      </c>
      <c r="X7876" s="42"/>
      <c r="AB7876">
        <v>44.9</v>
      </c>
      <c r="AC7876">
        <v>53.06</v>
      </c>
      <c r="AE7876" s="74"/>
      <c r="AF7876" s="77"/>
      <c r="AH7876" s="497">
        <v>46.4</v>
      </c>
      <c r="AJ7876" s="42"/>
      <c r="AK7876" s="74"/>
      <c r="AL7876" s="77"/>
      <c r="AN7876" s="497">
        <v>30.02</v>
      </c>
      <c r="AP7876" s="42"/>
      <c r="AQ7876" s="74"/>
      <c r="AR7876" s="77"/>
      <c r="AT7876" s="497">
        <v>48.92</v>
      </c>
      <c r="AV7876" s="42"/>
      <c r="AW7876" s="74"/>
      <c r="AX7876" s="77"/>
      <c r="BA7876" s="497">
        <v>51.08</v>
      </c>
      <c r="BB7876" s="42"/>
      <c r="BC7876" s="74"/>
      <c r="BD7876" s="77"/>
      <c r="BF7876">
        <v>30.92</v>
      </c>
      <c r="BH7876" s="42"/>
      <c r="BI7876" s="74"/>
      <c r="BJ7876" s="77"/>
      <c r="BL7876" s="497">
        <v>32</v>
      </c>
      <c r="BN7876" s="42"/>
      <c r="BO7876" s="74"/>
      <c r="BP7876" s="77"/>
      <c r="BR7876" s="497">
        <v>48.019999999999996</v>
      </c>
      <c r="BT7876" s="42"/>
    </row>
    <row r="7877" spans="1:72" x14ac:dyDescent="0.25">
      <c r="A7877" s="90">
        <v>36854</v>
      </c>
      <c r="B7877" s="20">
        <v>0.45833333333333331</v>
      </c>
      <c r="D7877">
        <v>32</v>
      </c>
      <c r="E7877" t="str">
        <f t="shared" si="280"/>
        <v>WEEKDAY</v>
      </c>
      <c r="F7877" t="e">
        <f t="shared" si="281"/>
        <v>#N/A</v>
      </c>
      <c r="G7877" s="74">
        <v>28818</v>
      </c>
      <c r="H7877" s="77">
        <v>0.45833333333333331</v>
      </c>
      <c r="J7877">
        <v>50</v>
      </c>
      <c r="M7877" s="74">
        <v>36123</v>
      </c>
      <c r="N7877" s="77">
        <v>0.45833333333333331</v>
      </c>
      <c r="P7877">
        <v>53.6</v>
      </c>
      <c r="S7877" s="74">
        <v>36854</v>
      </c>
      <c r="T7877" s="77">
        <v>0.45833333333333331</v>
      </c>
      <c r="V7877">
        <v>32</v>
      </c>
      <c r="X7877" s="42"/>
      <c r="AB7877">
        <v>46.5</v>
      </c>
      <c r="AC7877">
        <v>53.06</v>
      </c>
      <c r="AE7877" s="74"/>
      <c r="AF7877" s="77"/>
      <c r="AH7877" s="497">
        <v>46.4</v>
      </c>
      <c r="AJ7877" s="42"/>
      <c r="AK7877" s="74"/>
      <c r="AL7877" s="77"/>
      <c r="AN7877" s="497">
        <v>33.08</v>
      </c>
      <c r="AP7877" s="42"/>
      <c r="AQ7877" s="74"/>
      <c r="AR7877" s="77"/>
      <c r="AT7877" s="497">
        <v>48.019999999999996</v>
      </c>
      <c r="AV7877" s="42"/>
      <c r="AW7877" s="74"/>
      <c r="AX7877" s="77"/>
      <c r="BA7877" s="497">
        <v>48.92</v>
      </c>
      <c r="BB7877" s="42"/>
      <c r="BC7877" s="74"/>
      <c r="BD7877" s="77"/>
      <c r="BF7877">
        <v>33.979999999999997</v>
      </c>
      <c r="BH7877" s="42"/>
      <c r="BI7877" s="74"/>
      <c r="BJ7877" s="77"/>
      <c r="BL7877" s="497">
        <v>37.04</v>
      </c>
      <c r="BN7877" s="42"/>
      <c r="BO7877" s="74"/>
      <c r="BP7877" s="77"/>
      <c r="BR7877" s="497">
        <v>48.92</v>
      </c>
      <c r="BT7877" s="42"/>
    </row>
    <row r="7878" spans="1:72" x14ac:dyDescent="0.25">
      <c r="A7878" s="90">
        <v>36854</v>
      </c>
      <c r="B7878" s="20">
        <v>0.5</v>
      </c>
      <c r="D7878">
        <v>35.06</v>
      </c>
      <c r="E7878" t="str">
        <f t="shared" si="280"/>
        <v>WEEKDAY</v>
      </c>
      <c r="F7878" t="e">
        <f t="shared" si="281"/>
        <v>#N/A</v>
      </c>
      <c r="G7878" s="74">
        <v>28818</v>
      </c>
      <c r="H7878" s="77">
        <v>0.5</v>
      </c>
      <c r="J7878">
        <v>50</v>
      </c>
      <c r="M7878" s="74">
        <v>36123</v>
      </c>
      <c r="N7878" s="77">
        <v>0.5</v>
      </c>
      <c r="P7878">
        <v>55.400000000000006</v>
      </c>
      <c r="S7878" s="74">
        <v>36854</v>
      </c>
      <c r="T7878" s="77">
        <v>0.5</v>
      </c>
      <c r="V7878">
        <v>33.08</v>
      </c>
      <c r="X7878" s="42"/>
      <c r="AB7878">
        <v>47.8</v>
      </c>
      <c r="AC7878">
        <v>53.96</v>
      </c>
      <c r="AE7878" s="74"/>
      <c r="AF7878" s="77"/>
      <c r="AH7878" s="497">
        <v>48.2</v>
      </c>
      <c r="AJ7878" s="42"/>
      <c r="AK7878" s="74"/>
      <c r="AL7878" s="77"/>
      <c r="AN7878" s="497">
        <v>33.979999999999997</v>
      </c>
      <c r="AP7878" s="42"/>
      <c r="AQ7878" s="74"/>
      <c r="AR7878" s="77"/>
      <c r="AT7878" s="497">
        <v>48.92</v>
      </c>
      <c r="AV7878" s="42"/>
      <c r="AW7878" s="74"/>
      <c r="AX7878" s="77"/>
      <c r="BA7878" s="497">
        <v>48.92</v>
      </c>
      <c r="BB7878" s="42"/>
      <c r="BC7878" s="74"/>
      <c r="BD7878" s="77"/>
      <c r="BF7878">
        <v>39.019999999999996</v>
      </c>
      <c r="BH7878" s="42"/>
      <c r="BI7878" s="74"/>
      <c r="BJ7878" s="77"/>
      <c r="BL7878" s="497">
        <v>39.92</v>
      </c>
      <c r="BN7878" s="42"/>
      <c r="BO7878" s="74"/>
      <c r="BP7878" s="77"/>
      <c r="BR7878" s="497">
        <v>48.92</v>
      </c>
      <c r="BT7878" s="42"/>
    </row>
    <row r="7879" spans="1:72" x14ac:dyDescent="0.25">
      <c r="A7879" s="90">
        <v>36854</v>
      </c>
      <c r="B7879" s="20">
        <v>0.54166666666666663</v>
      </c>
      <c r="D7879">
        <v>35.96</v>
      </c>
      <c r="E7879" t="str">
        <f t="shared" si="280"/>
        <v>WEEKDAY</v>
      </c>
      <c r="F7879" t="e">
        <f t="shared" si="281"/>
        <v>#N/A</v>
      </c>
      <c r="G7879" s="74">
        <v>28818</v>
      </c>
      <c r="H7879" s="77">
        <v>0.54166666666666663</v>
      </c>
      <c r="J7879">
        <v>51.08</v>
      </c>
      <c r="M7879" s="74">
        <v>36123</v>
      </c>
      <c r="N7879" s="77">
        <v>0.54166666666666663</v>
      </c>
      <c r="P7879">
        <v>55.400000000000006</v>
      </c>
      <c r="S7879" s="74">
        <v>36854</v>
      </c>
      <c r="T7879" s="77">
        <v>0.54166666666666663</v>
      </c>
      <c r="V7879">
        <v>35.06</v>
      </c>
      <c r="X7879" s="42"/>
      <c r="AB7879">
        <v>48.9</v>
      </c>
      <c r="AC7879">
        <v>53.06</v>
      </c>
      <c r="AE7879" s="74"/>
      <c r="AF7879" s="77"/>
      <c r="AH7879" s="497">
        <v>50</v>
      </c>
      <c r="AJ7879" s="42"/>
      <c r="AK7879" s="74"/>
      <c r="AL7879" s="77"/>
      <c r="AN7879" s="497">
        <v>35.06</v>
      </c>
      <c r="AP7879" s="42"/>
      <c r="AQ7879" s="74"/>
      <c r="AR7879" s="77"/>
      <c r="AT7879" s="497">
        <v>50</v>
      </c>
      <c r="AV7879" s="42"/>
      <c r="AW7879" s="74"/>
      <c r="AX7879" s="77"/>
      <c r="BA7879" s="497">
        <v>50</v>
      </c>
      <c r="BB7879" s="42"/>
      <c r="BC7879" s="74"/>
      <c r="BD7879" s="77"/>
      <c r="BF7879">
        <v>39.019999999999996</v>
      </c>
      <c r="BH7879" s="42"/>
      <c r="BI7879" s="74"/>
      <c r="BJ7879" s="77"/>
      <c r="BL7879" s="497">
        <v>41</v>
      </c>
      <c r="BN7879" s="42"/>
      <c r="BO7879" s="74"/>
      <c r="BP7879" s="77"/>
      <c r="BR7879" s="497">
        <v>48.019999999999996</v>
      </c>
      <c r="BT7879" s="42"/>
    </row>
    <row r="7880" spans="1:72" x14ac:dyDescent="0.25">
      <c r="A7880" s="90">
        <v>36854</v>
      </c>
      <c r="B7880" s="20">
        <v>0.58333333333333337</v>
      </c>
      <c r="D7880">
        <v>37.04</v>
      </c>
      <c r="E7880" t="str">
        <f t="shared" si="280"/>
        <v>WEEKDAY</v>
      </c>
      <c r="F7880" t="e">
        <f t="shared" si="281"/>
        <v>#N/A</v>
      </c>
      <c r="G7880" s="74">
        <v>28818</v>
      </c>
      <c r="H7880" s="77">
        <v>0.58333333333333337</v>
      </c>
      <c r="J7880">
        <v>51.08</v>
      </c>
      <c r="M7880" s="74">
        <v>36123</v>
      </c>
      <c r="N7880" s="77">
        <v>0.58333333333333337</v>
      </c>
      <c r="P7880">
        <v>55.400000000000006</v>
      </c>
      <c r="S7880" s="74">
        <v>36854</v>
      </c>
      <c r="T7880" s="77">
        <v>0.58333333333333337</v>
      </c>
      <c r="V7880">
        <v>35.06</v>
      </c>
      <c r="X7880" s="42"/>
      <c r="AB7880">
        <v>49.4</v>
      </c>
      <c r="AC7880">
        <v>53.06</v>
      </c>
      <c r="AE7880" s="74"/>
      <c r="AF7880" s="77"/>
      <c r="AH7880" s="497">
        <v>51.8</v>
      </c>
      <c r="AJ7880" s="42"/>
      <c r="AK7880" s="74"/>
      <c r="AL7880" s="77"/>
      <c r="AN7880" s="497">
        <v>35.06</v>
      </c>
      <c r="AP7880" s="42"/>
      <c r="AQ7880" s="74"/>
      <c r="AR7880" s="77"/>
      <c r="AT7880" s="497">
        <v>51.08</v>
      </c>
      <c r="AV7880" s="42"/>
      <c r="AW7880" s="74"/>
      <c r="AX7880" s="77"/>
      <c r="BA7880" s="497">
        <v>48.92</v>
      </c>
      <c r="BB7880" s="42"/>
      <c r="BC7880" s="74"/>
      <c r="BD7880" s="77"/>
      <c r="BF7880">
        <v>41</v>
      </c>
      <c r="BH7880" s="42"/>
      <c r="BI7880" s="74"/>
      <c r="BJ7880" s="77"/>
      <c r="BL7880" s="497">
        <v>41</v>
      </c>
      <c r="BN7880" s="42"/>
      <c r="BO7880" s="74"/>
      <c r="BP7880" s="77"/>
      <c r="BR7880" s="497">
        <v>46.94</v>
      </c>
      <c r="BT7880" s="42"/>
    </row>
    <row r="7881" spans="1:72" x14ac:dyDescent="0.25">
      <c r="A7881" s="90">
        <v>36854</v>
      </c>
      <c r="B7881" s="20">
        <v>0.625</v>
      </c>
      <c r="D7881">
        <v>37.94</v>
      </c>
      <c r="E7881" t="str">
        <f t="shared" si="280"/>
        <v>WEEKDAY</v>
      </c>
      <c r="F7881" t="e">
        <f t="shared" si="281"/>
        <v>#N/A</v>
      </c>
      <c r="G7881" s="74">
        <v>28818</v>
      </c>
      <c r="H7881" s="77">
        <v>0.625</v>
      </c>
      <c r="J7881">
        <v>50</v>
      </c>
      <c r="M7881" s="74">
        <v>36123</v>
      </c>
      <c r="N7881" s="77">
        <v>0.625</v>
      </c>
      <c r="P7881">
        <v>53.6</v>
      </c>
      <c r="S7881" s="74">
        <v>36854</v>
      </c>
      <c r="T7881" s="77">
        <v>0.625</v>
      </c>
      <c r="V7881">
        <v>35.96</v>
      </c>
      <c r="X7881" s="42"/>
      <c r="AB7881">
        <v>49.6</v>
      </c>
      <c r="AC7881">
        <v>53.96</v>
      </c>
      <c r="AE7881" s="74"/>
      <c r="AF7881" s="77"/>
      <c r="AH7881" s="497">
        <v>51.8</v>
      </c>
      <c r="AJ7881" s="42"/>
      <c r="AK7881" s="74"/>
      <c r="AL7881" s="77"/>
      <c r="AN7881" s="497">
        <v>33.979999999999997</v>
      </c>
      <c r="AP7881" s="42"/>
      <c r="AQ7881" s="74"/>
      <c r="AR7881" s="77"/>
      <c r="AT7881" s="497">
        <v>51.08</v>
      </c>
      <c r="AV7881" s="42"/>
      <c r="AW7881" s="74"/>
      <c r="AX7881" s="77"/>
      <c r="BA7881" s="497">
        <v>48.019999999999996</v>
      </c>
      <c r="BB7881" s="42"/>
      <c r="BC7881" s="74"/>
      <c r="BD7881" s="77"/>
      <c r="BF7881">
        <v>41</v>
      </c>
      <c r="BH7881" s="42"/>
      <c r="BI7881" s="74"/>
      <c r="BJ7881" s="77"/>
      <c r="BL7881" s="497">
        <v>39.92</v>
      </c>
      <c r="BN7881" s="42"/>
      <c r="BO7881" s="74"/>
      <c r="BP7881" s="77"/>
      <c r="BR7881" s="497">
        <v>46.04</v>
      </c>
      <c r="BT7881" s="42"/>
    </row>
    <row r="7882" spans="1:72" x14ac:dyDescent="0.25">
      <c r="A7882" s="90">
        <v>36854</v>
      </c>
      <c r="B7882" s="20">
        <v>0.66666666666666663</v>
      </c>
      <c r="D7882">
        <v>39.019999999999996</v>
      </c>
      <c r="E7882" t="str">
        <f t="shared" si="280"/>
        <v>WEEKDAY</v>
      </c>
      <c r="F7882" t="e">
        <f t="shared" si="281"/>
        <v>#N/A</v>
      </c>
      <c r="G7882" s="74">
        <v>28818</v>
      </c>
      <c r="H7882" s="77">
        <v>0.66666666666666663</v>
      </c>
      <c r="J7882">
        <v>48.92</v>
      </c>
      <c r="M7882" s="74">
        <v>36123</v>
      </c>
      <c r="N7882" s="77">
        <v>0.66666666666666663</v>
      </c>
      <c r="P7882">
        <v>53.6</v>
      </c>
      <c r="S7882" s="74">
        <v>36854</v>
      </c>
      <c r="T7882" s="77">
        <v>0.66666666666666663</v>
      </c>
      <c r="V7882">
        <v>33.979999999999997</v>
      </c>
      <c r="X7882" s="42"/>
      <c r="AB7882">
        <v>49.2</v>
      </c>
      <c r="AC7882">
        <v>53.06</v>
      </c>
      <c r="AE7882" s="74"/>
      <c r="AF7882" s="77"/>
      <c r="AH7882" s="497">
        <v>50</v>
      </c>
      <c r="AJ7882" s="42"/>
      <c r="AK7882" s="74"/>
      <c r="AL7882" s="77"/>
      <c r="AN7882" s="497">
        <v>33.08</v>
      </c>
      <c r="AP7882" s="42"/>
      <c r="AQ7882" s="74"/>
      <c r="AR7882" s="77"/>
      <c r="AT7882" s="497">
        <v>50</v>
      </c>
      <c r="AV7882" s="42"/>
      <c r="AW7882" s="74"/>
      <c r="AX7882" s="77"/>
      <c r="BA7882" s="497">
        <v>46.94</v>
      </c>
      <c r="BB7882" s="42"/>
      <c r="BC7882" s="74"/>
      <c r="BD7882" s="77"/>
      <c r="BF7882">
        <v>39.92</v>
      </c>
      <c r="BH7882" s="42"/>
      <c r="BI7882" s="74"/>
      <c r="BJ7882" s="77"/>
      <c r="BL7882" s="497">
        <v>39.92</v>
      </c>
      <c r="BN7882" s="42"/>
      <c r="BO7882" s="74"/>
      <c r="BP7882" s="77"/>
      <c r="BR7882" s="497">
        <v>46.04</v>
      </c>
      <c r="BT7882" s="42"/>
    </row>
    <row r="7883" spans="1:72" x14ac:dyDescent="0.25">
      <c r="A7883" s="90">
        <v>36854</v>
      </c>
      <c r="B7883" s="20">
        <v>0.70833333333333337</v>
      </c>
      <c r="D7883">
        <v>37.94</v>
      </c>
      <c r="E7883" t="str">
        <f t="shared" si="280"/>
        <v>WEEKDAY</v>
      </c>
      <c r="F7883" t="e">
        <f t="shared" si="281"/>
        <v>#N/A</v>
      </c>
      <c r="G7883" s="74">
        <v>28818</v>
      </c>
      <c r="H7883" s="77">
        <v>0.70833333333333337</v>
      </c>
      <c r="J7883">
        <v>48.019999999999996</v>
      </c>
      <c r="M7883" s="74">
        <v>36123</v>
      </c>
      <c r="N7883" s="77">
        <v>0.70833333333333337</v>
      </c>
      <c r="P7883">
        <v>53.6</v>
      </c>
      <c r="S7883" s="74">
        <v>36854</v>
      </c>
      <c r="T7883" s="77">
        <v>0.70833333333333337</v>
      </c>
      <c r="V7883">
        <v>35.06</v>
      </c>
      <c r="X7883" s="42"/>
      <c r="AB7883">
        <v>48.2</v>
      </c>
      <c r="AC7883">
        <v>53.06</v>
      </c>
      <c r="AE7883" s="74"/>
      <c r="AF7883" s="77"/>
      <c r="AH7883" s="497">
        <v>50</v>
      </c>
      <c r="AJ7883" s="42"/>
      <c r="AK7883" s="74"/>
      <c r="AL7883" s="77"/>
      <c r="AN7883" s="497">
        <v>30.02</v>
      </c>
      <c r="AP7883" s="42"/>
      <c r="AQ7883" s="74"/>
      <c r="AR7883" s="77"/>
      <c r="AT7883" s="497">
        <v>48.92</v>
      </c>
      <c r="AV7883" s="42"/>
      <c r="AW7883" s="74"/>
      <c r="AX7883" s="77"/>
      <c r="BA7883" s="497">
        <v>46.04</v>
      </c>
      <c r="BB7883" s="42"/>
      <c r="BC7883" s="74"/>
      <c r="BD7883" s="77"/>
      <c r="BF7883">
        <v>37.04</v>
      </c>
      <c r="BH7883" s="42"/>
      <c r="BI7883" s="74"/>
      <c r="BJ7883" s="77"/>
      <c r="BL7883" s="497">
        <v>37.04</v>
      </c>
      <c r="BN7883" s="42"/>
      <c r="BO7883" s="74"/>
      <c r="BP7883" s="77"/>
      <c r="BR7883" s="497">
        <v>44.96</v>
      </c>
      <c r="BT7883" s="42"/>
    </row>
    <row r="7884" spans="1:72" x14ac:dyDescent="0.25">
      <c r="A7884" s="90">
        <v>36854</v>
      </c>
      <c r="B7884" s="20">
        <v>0.75</v>
      </c>
      <c r="D7884">
        <v>37.04</v>
      </c>
      <c r="E7884" t="str">
        <f t="shared" si="280"/>
        <v>WEEKDAY</v>
      </c>
      <c r="F7884" t="e">
        <f t="shared" si="281"/>
        <v>#N/A</v>
      </c>
      <c r="G7884" s="74">
        <v>28818</v>
      </c>
      <c r="H7884" s="77">
        <v>0.75</v>
      </c>
      <c r="J7884">
        <v>48.019999999999996</v>
      </c>
      <c r="M7884" s="74">
        <v>36123</v>
      </c>
      <c r="N7884" s="77">
        <v>0.75</v>
      </c>
      <c r="P7884">
        <v>51.8</v>
      </c>
      <c r="S7884" s="74">
        <v>36854</v>
      </c>
      <c r="T7884" s="77">
        <v>0.75</v>
      </c>
      <c r="V7884">
        <v>33.08</v>
      </c>
      <c r="X7884" s="42"/>
      <c r="AB7884">
        <v>46.9</v>
      </c>
      <c r="AC7884">
        <v>53.06</v>
      </c>
      <c r="AE7884" s="74"/>
      <c r="AF7884" s="77"/>
      <c r="AH7884" s="497">
        <v>50</v>
      </c>
      <c r="AJ7884" s="42"/>
      <c r="AK7884" s="74"/>
      <c r="AL7884" s="77"/>
      <c r="AN7884" s="497">
        <v>30.02</v>
      </c>
      <c r="AP7884" s="42"/>
      <c r="AQ7884" s="74"/>
      <c r="AR7884" s="77"/>
      <c r="AT7884" s="497">
        <v>48.92</v>
      </c>
      <c r="AV7884" s="42"/>
      <c r="AW7884" s="74"/>
      <c r="AX7884" s="77"/>
      <c r="BA7884" s="497">
        <v>44.96</v>
      </c>
      <c r="BB7884" s="42"/>
      <c r="BC7884" s="74"/>
      <c r="BD7884" s="77"/>
      <c r="BF7884">
        <v>33.979999999999997</v>
      </c>
      <c r="BH7884" s="42"/>
      <c r="BI7884" s="74"/>
      <c r="BJ7884" s="77"/>
      <c r="BL7884" s="497">
        <v>35.06</v>
      </c>
      <c r="BN7884" s="42"/>
      <c r="BO7884" s="74"/>
      <c r="BP7884" s="77"/>
      <c r="BR7884" s="497">
        <v>44.06</v>
      </c>
      <c r="BT7884" s="42"/>
    </row>
    <row r="7885" spans="1:72" x14ac:dyDescent="0.25">
      <c r="A7885" s="90">
        <v>36854</v>
      </c>
      <c r="B7885" s="20">
        <v>0.79166666666666663</v>
      </c>
      <c r="D7885">
        <v>37.04</v>
      </c>
      <c r="E7885" t="str">
        <f t="shared" si="280"/>
        <v>WEEKDAY</v>
      </c>
      <c r="F7885" t="e">
        <f t="shared" si="281"/>
        <v>#N/A</v>
      </c>
      <c r="G7885" s="74">
        <v>28818</v>
      </c>
      <c r="H7885" s="77">
        <v>0.79166666666666663</v>
      </c>
      <c r="J7885">
        <v>46.94</v>
      </c>
      <c r="M7885" s="74">
        <v>36123</v>
      </c>
      <c r="N7885" s="77">
        <v>0.79166666666666663</v>
      </c>
      <c r="P7885">
        <v>50</v>
      </c>
      <c r="S7885" s="74">
        <v>36854</v>
      </c>
      <c r="T7885" s="77">
        <v>0.79166666666666663</v>
      </c>
      <c r="V7885">
        <v>33.08</v>
      </c>
      <c r="X7885" s="42"/>
      <c r="AB7885">
        <v>46.4</v>
      </c>
      <c r="AC7885">
        <v>53.06</v>
      </c>
      <c r="AE7885" s="74"/>
      <c r="AF7885" s="77"/>
      <c r="AH7885" s="497">
        <v>50</v>
      </c>
      <c r="AJ7885" s="42"/>
      <c r="AK7885" s="74"/>
      <c r="AL7885" s="77"/>
      <c r="AN7885" s="497">
        <v>30.02</v>
      </c>
      <c r="AP7885" s="42"/>
      <c r="AQ7885" s="74"/>
      <c r="AR7885" s="77"/>
      <c r="AT7885" s="497">
        <v>48.92</v>
      </c>
      <c r="AV7885" s="42"/>
      <c r="AW7885" s="74"/>
      <c r="AX7885" s="77"/>
      <c r="BA7885" s="497">
        <v>44.96</v>
      </c>
      <c r="BB7885" s="42"/>
      <c r="BC7885" s="74"/>
      <c r="BD7885" s="77"/>
      <c r="BF7885">
        <v>33.08</v>
      </c>
      <c r="BH7885" s="42"/>
      <c r="BI7885" s="74"/>
      <c r="BJ7885" s="77"/>
      <c r="BL7885" s="497">
        <v>32</v>
      </c>
      <c r="BN7885" s="42"/>
      <c r="BO7885" s="74"/>
      <c r="BP7885" s="77"/>
      <c r="BR7885" s="497">
        <v>42.980000000000004</v>
      </c>
      <c r="BT7885" s="42"/>
    </row>
    <row r="7886" spans="1:72" x14ac:dyDescent="0.25">
      <c r="A7886" s="90">
        <v>36854</v>
      </c>
      <c r="B7886" s="20">
        <v>0.83333333333333337</v>
      </c>
      <c r="D7886">
        <v>37.04</v>
      </c>
      <c r="E7886" t="str">
        <f t="shared" si="280"/>
        <v>WEEKDAY</v>
      </c>
      <c r="F7886" t="e">
        <f t="shared" si="281"/>
        <v>#N/A</v>
      </c>
      <c r="G7886" s="74">
        <v>28818</v>
      </c>
      <c r="H7886" s="77">
        <v>0.83333333333333337</v>
      </c>
      <c r="J7886">
        <v>46.94</v>
      </c>
      <c r="M7886" s="74">
        <v>36123</v>
      </c>
      <c r="N7886" s="77">
        <v>0.83333333333333337</v>
      </c>
      <c r="P7886">
        <v>48.2</v>
      </c>
      <c r="S7886" s="74">
        <v>36854</v>
      </c>
      <c r="T7886" s="77">
        <v>0.83333333333333337</v>
      </c>
      <c r="V7886">
        <v>35.06</v>
      </c>
      <c r="X7886" s="42"/>
      <c r="AB7886">
        <v>46.1</v>
      </c>
      <c r="AC7886">
        <v>53.06</v>
      </c>
      <c r="AE7886" s="74"/>
      <c r="AF7886" s="77"/>
      <c r="AH7886" s="497">
        <v>51.8</v>
      </c>
      <c r="AJ7886" s="42"/>
      <c r="AK7886" s="74"/>
      <c r="AL7886" s="77"/>
      <c r="AN7886" s="497">
        <v>30.02</v>
      </c>
      <c r="AP7886" s="42"/>
      <c r="AQ7886" s="74"/>
      <c r="AR7886" s="77"/>
      <c r="AT7886" s="497">
        <v>50</v>
      </c>
      <c r="AV7886" s="42"/>
      <c r="AW7886" s="74"/>
      <c r="AX7886" s="77"/>
      <c r="BA7886" s="497">
        <v>44.96</v>
      </c>
      <c r="BB7886" s="42"/>
      <c r="BC7886" s="74"/>
      <c r="BD7886" s="77"/>
      <c r="BF7886">
        <v>32</v>
      </c>
      <c r="BH7886" s="42"/>
      <c r="BI7886" s="74"/>
      <c r="BJ7886" s="77"/>
      <c r="BL7886" s="497">
        <v>28.94</v>
      </c>
      <c r="BN7886" s="42"/>
      <c r="BO7886" s="74"/>
      <c r="BP7886" s="77"/>
      <c r="BR7886" s="497">
        <v>41</v>
      </c>
      <c r="BT7886" s="42"/>
    </row>
    <row r="7887" spans="1:72" x14ac:dyDescent="0.25">
      <c r="A7887" s="90">
        <v>36854</v>
      </c>
      <c r="B7887" s="20">
        <v>0.875</v>
      </c>
      <c r="D7887">
        <v>37.94</v>
      </c>
      <c r="E7887" t="str">
        <f t="shared" si="280"/>
        <v>WEEKDAY</v>
      </c>
      <c r="F7887" t="e">
        <f t="shared" si="281"/>
        <v>#N/A</v>
      </c>
      <c r="G7887" s="74">
        <v>28818</v>
      </c>
      <c r="H7887" s="77">
        <v>0.875</v>
      </c>
      <c r="J7887">
        <v>46.04</v>
      </c>
      <c r="M7887" s="74">
        <v>36123</v>
      </c>
      <c r="N7887" s="77">
        <v>0.875</v>
      </c>
      <c r="P7887">
        <v>44.6</v>
      </c>
      <c r="S7887" s="74">
        <v>36854</v>
      </c>
      <c r="T7887" s="77">
        <v>0.875</v>
      </c>
      <c r="V7887">
        <v>32</v>
      </c>
      <c r="X7887" s="42"/>
      <c r="AB7887">
        <v>45.5</v>
      </c>
      <c r="AC7887">
        <v>53.96</v>
      </c>
      <c r="AE7887" s="74"/>
      <c r="AF7887" s="77"/>
      <c r="AH7887" s="497">
        <v>53.6</v>
      </c>
      <c r="AJ7887" s="42"/>
      <c r="AK7887" s="74"/>
      <c r="AL7887" s="77"/>
      <c r="AN7887" s="497">
        <v>30.92</v>
      </c>
      <c r="AP7887" s="42"/>
      <c r="AQ7887" s="74"/>
      <c r="AR7887" s="77"/>
      <c r="AT7887" s="497">
        <v>50</v>
      </c>
      <c r="AV7887" s="42"/>
      <c r="AW7887" s="74"/>
      <c r="AX7887" s="77"/>
      <c r="BA7887" s="497">
        <v>44.96</v>
      </c>
      <c r="BB7887" s="42"/>
      <c r="BC7887" s="74"/>
      <c r="BD7887" s="77"/>
      <c r="BF7887">
        <v>30.92</v>
      </c>
      <c r="BH7887" s="42"/>
      <c r="BI7887" s="74"/>
      <c r="BJ7887" s="77"/>
      <c r="BL7887" s="497">
        <v>28.04</v>
      </c>
      <c r="BN7887" s="42"/>
      <c r="BO7887" s="74"/>
      <c r="BP7887" s="77"/>
      <c r="BR7887" s="497">
        <v>39.019999999999996</v>
      </c>
      <c r="BT7887" s="42"/>
    </row>
    <row r="7888" spans="1:72" x14ac:dyDescent="0.25">
      <c r="A7888" s="90">
        <v>36854</v>
      </c>
      <c r="B7888" s="20">
        <v>0.91666666666666663</v>
      </c>
      <c r="D7888">
        <v>37.94</v>
      </c>
      <c r="E7888" t="str">
        <f t="shared" si="280"/>
        <v>WEEKDAY</v>
      </c>
      <c r="F7888" t="e">
        <f t="shared" si="281"/>
        <v>#N/A</v>
      </c>
      <c r="G7888" s="74">
        <v>28818</v>
      </c>
      <c r="H7888" s="77">
        <v>0.91666666666666663</v>
      </c>
      <c r="J7888">
        <v>46.04</v>
      </c>
      <c r="M7888" s="74">
        <v>36123</v>
      </c>
      <c r="N7888" s="77">
        <v>0.91666666666666663</v>
      </c>
      <c r="P7888">
        <v>42.8</v>
      </c>
      <c r="S7888" s="74">
        <v>36854</v>
      </c>
      <c r="T7888" s="77">
        <v>0.91666666666666663</v>
      </c>
      <c r="V7888">
        <v>33.08</v>
      </c>
      <c r="X7888" s="42"/>
      <c r="AB7888">
        <v>44.9</v>
      </c>
      <c r="AC7888">
        <v>53.96</v>
      </c>
      <c r="AE7888" s="74"/>
      <c r="AF7888" s="77"/>
      <c r="AH7888" s="497">
        <v>55.400000000000006</v>
      </c>
      <c r="AJ7888" s="42"/>
      <c r="AK7888" s="74"/>
      <c r="AL7888" s="77"/>
      <c r="AN7888" s="497">
        <v>30.92</v>
      </c>
      <c r="AP7888" s="42"/>
      <c r="AQ7888" s="74"/>
      <c r="AR7888" s="77"/>
      <c r="AT7888" s="497">
        <v>51.980000000000004</v>
      </c>
      <c r="AV7888" s="42"/>
      <c r="AW7888" s="74"/>
      <c r="AX7888" s="77"/>
      <c r="BA7888" s="497">
        <v>42.980000000000004</v>
      </c>
      <c r="BB7888" s="42"/>
      <c r="BC7888" s="74"/>
      <c r="BD7888" s="77"/>
      <c r="BF7888">
        <v>30.92</v>
      </c>
      <c r="BH7888" s="42"/>
      <c r="BI7888" s="74"/>
      <c r="BJ7888" s="77"/>
      <c r="BL7888" s="497">
        <v>26.96</v>
      </c>
      <c r="BN7888" s="42"/>
      <c r="BO7888" s="74"/>
      <c r="BP7888" s="77"/>
      <c r="BR7888" s="497">
        <v>39.019999999999996</v>
      </c>
      <c r="BT7888" s="42"/>
    </row>
    <row r="7889" spans="1:72" x14ac:dyDescent="0.25">
      <c r="A7889" s="90">
        <v>36854</v>
      </c>
      <c r="B7889" s="20">
        <v>0.95833333333333337</v>
      </c>
      <c r="D7889">
        <v>37.94</v>
      </c>
      <c r="E7889" t="str">
        <f t="shared" si="280"/>
        <v>WEEKDAY</v>
      </c>
      <c r="F7889" t="e">
        <f t="shared" si="281"/>
        <v>#N/A</v>
      </c>
      <c r="G7889" s="74">
        <v>28818</v>
      </c>
      <c r="H7889" s="77">
        <v>0.95833333333333337</v>
      </c>
      <c r="J7889">
        <v>46.04</v>
      </c>
      <c r="M7889" s="74">
        <v>36123</v>
      </c>
      <c r="N7889" s="77">
        <v>0.95833333333333337</v>
      </c>
      <c r="P7889">
        <v>41</v>
      </c>
      <c r="S7889" s="74">
        <v>36854</v>
      </c>
      <c r="T7889" s="77">
        <v>0.95833333333333337</v>
      </c>
      <c r="V7889">
        <v>33.08</v>
      </c>
      <c r="X7889" s="42"/>
      <c r="AB7889">
        <v>44.5</v>
      </c>
      <c r="AC7889">
        <v>55.040000000000006</v>
      </c>
      <c r="AE7889" s="74"/>
      <c r="AF7889" s="77"/>
      <c r="AH7889" s="497">
        <v>55.400000000000006</v>
      </c>
      <c r="AJ7889" s="42"/>
      <c r="AK7889" s="74"/>
      <c r="AL7889" s="77"/>
      <c r="AN7889" s="497">
        <v>32</v>
      </c>
      <c r="AP7889" s="42"/>
      <c r="AQ7889" s="74"/>
      <c r="AR7889" s="77"/>
      <c r="AT7889" s="497">
        <v>53.06</v>
      </c>
      <c r="AV7889" s="42"/>
      <c r="AW7889" s="74"/>
      <c r="AX7889" s="77"/>
      <c r="BA7889" s="497">
        <v>44.06</v>
      </c>
      <c r="BB7889" s="42"/>
      <c r="BC7889" s="74"/>
      <c r="BD7889" s="77"/>
      <c r="BF7889">
        <v>30.02</v>
      </c>
      <c r="BH7889" s="42"/>
      <c r="BI7889" s="74"/>
      <c r="BJ7889" s="77"/>
      <c r="BL7889" s="497">
        <v>26.060000000000002</v>
      </c>
      <c r="BN7889" s="42"/>
      <c r="BO7889" s="74"/>
      <c r="BP7889" s="77"/>
      <c r="BR7889" s="497">
        <v>37.04</v>
      </c>
      <c r="BT7889" s="42"/>
    </row>
    <row r="7890" spans="1:72" x14ac:dyDescent="0.25">
      <c r="A7890" s="90">
        <v>36854</v>
      </c>
      <c r="B7890" s="20">
        <v>1</v>
      </c>
      <c r="D7890">
        <v>37.94</v>
      </c>
      <c r="E7890" t="str">
        <f t="shared" si="280"/>
        <v>WEEKDAY</v>
      </c>
      <c r="F7890" t="e">
        <f t="shared" si="281"/>
        <v>#N/A</v>
      </c>
      <c r="G7890" s="74">
        <v>28818</v>
      </c>
      <c r="H7890" s="77">
        <v>1</v>
      </c>
      <c r="J7890">
        <v>44.96</v>
      </c>
      <c r="M7890" s="74">
        <v>36123</v>
      </c>
      <c r="N7890" s="80">
        <v>1</v>
      </c>
      <c r="P7890">
        <v>41</v>
      </c>
      <c r="S7890" s="74">
        <v>36854</v>
      </c>
      <c r="T7890" s="80">
        <v>1</v>
      </c>
      <c r="V7890">
        <v>30.02</v>
      </c>
      <c r="X7890" s="42"/>
      <c r="AB7890">
        <v>44.1</v>
      </c>
      <c r="AC7890">
        <v>55.94</v>
      </c>
      <c r="AE7890" s="74"/>
      <c r="AF7890" s="80"/>
      <c r="AH7890" s="497">
        <v>55.400000000000006</v>
      </c>
      <c r="AJ7890" s="42"/>
      <c r="AK7890" s="74"/>
      <c r="AL7890" s="80"/>
      <c r="AN7890" s="497">
        <v>30.92</v>
      </c>
      <c r="AP7890" s="42"/>
      <c r="AQ7890" s="74"/>
      <c r="AR7890" s="80"/>
      <c r="AT7890" s="497">
        <v>55.040000000000006</v>
      </c>
      <c r="AV7890" s="42"/>
      <c r="AW7890" s="74"/>
      <c r="AX7890" s="80"/>
      <c r="BA7890" s="497">
        <v>42.980000000000004</v>
      </c>
      <c r="BB7890" s="42"/>
      <c r="BC7890" s="74"/>
      <c r="BD7890" s="80"/>
      <c r="BF7890">
        <v>30.02</v>
      </c>
      <c r="BH7890" s="42"/>
      <c r="BI7890" s="74"/>
      <c r="BJ7890" s="80"/>
      <c r="BL7890" s="497">
        <v>26.96</v>
      </c>
      <c r="BN7890" s="42"/>
      <c r="BO7890" s="74"/>
      <c r="BP7890" s="80"/>
      <c r="BR7890" s="497">
        <v>37.04</v>
      </c>
      <c r="BT7890" s="42"/>
    </row>
    <row r="7891" spans="1:72" x14ac:dyDescent="0.25">
      <c r="A7891" s="90">
        <v>36855</v>
      </c>
      <c r="B7891" s="20">
        <v>4.1666666666666664E-2</v>
      </c>
      <c r="D7891">
        <v>37.94</v>
      </c>
      <c r="E7891" t="str">
        <f t="shared" ref="E7891:E7954" si="282">IF(COUNTIF($DI$18:$DI$22, WEEKDAY(A7891))=1, "WEEKDAY", IF(WEEKDAY(A7891) = 1, "SUNDAY", "SATURDAY"))</f>
        <v>SATURDAY</v>
      </c>
      <c r="F7891" t="e">
        <f t="shared" si="281"/>
        <v>#N/A</v>
      </c>
      <c r="G7891" s="74">
        <v>28819</v>
      </c>
      <c r="H7891" s="77">
        <v>4.1666666666666664E-2</v>
      </c>
      <c r="J7891">
        <v>44.96</v>
      </c>
      <c r="M7891" s="74">
        <v>36124</v>
      </c>
      <c r="N7891" s="77">
        <v>4.1666666666666664E-2</v>
      </c>
      <c r="P7891">
        <v>39.200000000000003</v>
      </c>
      <c r="S7891" s="74">
        <v>36855</v>
      </c>
      <c r="T7891" s="77">
        <v>4.1666666666666664E-2</v>
      </c>
      <c r="V7891">
        <v>28.04</v>
      </c>
      <c r="X7891" s="42"/>
      <c r="AB7891">
        <v>43.5</v>
      </c>
      <c r="AC7891">
        <v>44.96</v>
      </c>
      <c r="AE7891" s="74"/>
      <c r="AF7891" s="77"/>
      <c r="AH7891" s="497">
        <v>57.2</v>
      </c>
      <c r="AJ7891" s="42"/>
      <c r="AK7891" s="74"/>
      <c r="AL7891" s="77"/>
      <c r="AN7891" s="497">
        <v>30.92</v>
      </c>
      <c r="AP7891" s="42"/>
      <c r="AQ7891" s="74"/>
      <c r="AR7891" s="77"/>
      <c r="AT7891" s="497">
        <v>57.019999999999996</v>
      </c>
      <c r="AV7891" s="42"/>
      <c r="AW7891" s="74"/>
      <c r="AX7891" s="77"/>
      <c r="BA7891" s="497">
        <v>42.08</v>
      </c>
      <c r="BB7891" s="42"/>
      <c r="BC7891" s="74"/>
      <c r="BD7891" s="77"/>
      <c r="BF7891">
        <v>30.02</v>
      </c>
      <c r="BH7891" s="42"/>
      <c r="BI7891" s="74"/>
      <c r="BJ7891" s="77"/>
      <c r="BL7891" s="497">
        <v>24.98</v>
      </c>
      <c r="BN7891" s="42"/>
      <c r="BO7891" s="74"/>
      <c r="BP7891" s="77"/>
      <c r="BR7891" s="497">
        <v>35.96</v>
      </c>
      <c r="BT7891" s="42"/>
    </row>
    <row r="7892" spans="1:72" x14ac:dyDescent="0.25">
      <c r="A7892" s="90">
        <v>36855</v>
      </c>
      <c r="B7892" s="20">
        <v>8.3333333333333329E-2</v>
      </c>
      <c r="D7892">
        <v>39.019999999999996</v>
      </c>
      <c r="E7892" t="str">
        <f t="shared" si="282"/>
        <v>SATURDAY</v>
      </c>
      <c r="F7892" t="e">
        <f t="shared" si="281"/>
        <v>#N/A</v>
      </c>
      <c r="G7892" s="74">
        <v>28819</v>
      </c>
      <c r="H7892" s="77">
        <v>8.3333333333333329E-2</v>
      </c>
      <c r="J7892">
        <v>44.96</v>
      </c>
      <c r="M7892" s="74">
        <v>36124</v>
      </c>
      <c r="N7892" s="77">
        <v>8.3333333333333329E-2</v>
      </c>
      <c r="P7892">
        <v>39.200000000000003</v>
      </c>
      <c r="S7892" s="74">
        <v>36855</v>
      </c>
      <c r="T7892" s="77">
        <v>8.3333333333333329E-2</v>
      </c>
      <c r="V7892">
        <v>28.94</v>
      </c>
      <c r="X7892" s="42"/>
      <c r="AB7892">
        <v>43.1</v>
      </c>
      <c r="AC7892">
        <v>44.96</v>
      </c>
      <c r="AE7892" s="74"/>
      <c r="AF7892" s="77"/>
      <c r="AH7892" s="497">
        <v>57.2</v>
      </c>
      <c r="AJ7892" s="42"/>
      <c r="AK7892" s="74"/>
      <c r="AL7892" s="77"/>
      <c r="AN7892" s="497">
        <v>30.92</v>
      </c>
      <c r="AP7892" s="42"/>
      <c r="AQ7892" s="74"/>
      <c r="AR7892" s="77"/>
      <c r="AT7892" s="497">
        <v>57.92</v>
      </c>
      <c r="AV7892" s="42"/>
      <c r="AW7892" s="74"/>
      <c r="AX7892" s="77"/>
      <c r="BA7892" s="497">
        <v>42.08</v>
      </c>
      <c r="BB7892" s="42"/>
      <c r="BC7892" s="74"/>
      <c r="BD7892" s="77"/>
      <c r="BF7892">
        <v>28.94</v>
      </c>
      <c r="BH7892" s="42"/>
      <c r="BI7892" s="74"/>
      <c r="BJ7892" s="77"/>
      <c r="BL7892" s="497">
        <v>24.08</v>
      </c>
      <c r="BN7892" s="42"/>
      <c r="BO7892" s="74"/>
      <c r="BP7892" s="77"/>
      <c r="BR7892" s="497">
        <v>35.96</v>
      </c>
      <c r="BT7892" s="42"/>
    </row>
    <row r="7893" spans="1:72" x14ac:dyDescent="0.25">
      <c r="A7893" s="90">
        <v>36855</v>
      </c>
      <c r="B7893" s="20">
        <v>0.125</v>
      </c>
      <c r="D7893">
        <v>39.019999999999996</v>
      </c>
      <c r="E7893" t="str">
        <f t="shared" si="282"/>
        <v>SATURDAY</v>
      </c>
      <c r="F7893" t="e">
        <f t="shared" si="281"/>
        <v>#N/A</v>
      </c>
      <c r="G7893" s="74">
        <v>28819</v>
      </c>
      <c r="H7893" s="77">
        <v>0.125</v>
      </c>
      <c r="J7893">
        <v>44.06</v>
      </c>
      <c r="M7893" s="74">
        <v>36124</v>
      </c>
      <c r="N7893" s="77">
        <v>0.125</v>
      </c>
      <c r="P7893">
        <v>39.200000000000003</v>
      </c>
      <c r="S7893" s="74">
        <v>36855</v>
      </c>
      <c r="T7893" s="77">
        <v>0.125</v>
      </c>
      <c r="V7893">
        <v>26.060000000000002</v>
      </c>
      <c r="X7893" s="42"/>
      <c r="AB7893">
        <v>42.7</v>
      </c>
      <c r="AC7893">
        <v>44.06</v>
      </c>
      <c r="AE7893" s="74"/>
      <c r="AF7893" s="77"/>
      <c r="AH7893" s="497">
        <v>57.2</v>
      </c>
      <c r="AJ7893" s="42"/>
      <c r="AK7893" s="74"/>
      <c r="AL7893" s="77"/>
      <c r="AN7893" s="497">
        <v>30.92</v>
      </c>
      <c r="AP7893" s="42"/>
      <c r="AQ7893" s="74"/>
      <c r="AR7893" s="77"/>
      <c r="AT7893" s="497">
        <v>59</v>
      </c>
      <c r="AV7893" s="42"/>
      <c r="AW7893" s="74"/>
      <c r="AX7893" s="77"/>
      <c r="BA7893" s="497">
        <v>42.08</v>
      </c>
      <c r="BB7893" s="42"/>
      <c r="BC7893" s="74"/>
      <c r="BD7893" s="77"/>
      <c r="BF7893">
        <v>28.94</v>
      </c>
      <c r="BH7893" s="42"/>
      <c r="BI7893" s="74"/>
      <c r="BJ7893" s="77"/>
      <c r="BL7893" s="497">
        <v>24.08</v>
      </c>
      <c r="BN7893" s="42"/>
      <c r="BO7893" s="74"/>
      <c r="BP7893" s="77"/>
      <c r="BR7893" s="497">
        <v>35.06</v>
      </c>
      <c r="BT7893" s="42"/>
    </row>
    <row r="7894" spans="1:72" x14ac:dyDescent="0.25">
      <c r="A7894" s="90">
        <v>36855</v>
      </c>
      <c r="B7894" s="20">
        <v>0.16666666666666666</v>
      </c>
      <c r="D7894">
        <v>39.019999999999996</v>
      </c>
      <c r="E7894" t="str">
        <f t="shared" si="282"/>
        <v>SATURDAY</v>
      </c>
      <c r="F7894" t="e">
        <f t="shared" si="281"/>
        <v>#N/A</v>
      </c>
      <c r="G7894" s="74">
        <v>28819</v>
      </c>
      <c r="H7894" s="77">
        <v>0.16666666666666666</v>
      </c>
      <c r="J7894">
        <v>44.06</v>
      </c>
      <c r="M7894" s="74">
        <v>36124</v>
      </c>
      <c r="N7894" s="77">
        <v>0.16666666666666666</v>
      </c>
      <c r="P7894">
        <v>33.799999999999997</v>
      </c>
      <c r="S7894" s="74">
        <v>36855</v>
      </c>
      <c r="T7894" s="77">
        <v>0.16666666666666666</v>
      </c>
      <c r="V7894">
        <v>24.98</v>
      </c>
      <c r="X7894" s="42"/>
      <c r="AB7894">
        <v>42.3</v>
      </c>
      <c r="AC7894">
        <v>42.08</v>
      </c>
      <c r="AE7894" s="74"/>
      <c r="AF7894" s="77"/>
      <c r="AH7894" s="497">
        <v>57.2</v>
      </c>
      <c r="AJ7894" s="42"/>
      <c r="AK7894" s="74"/>
      <c r="AL7894" s="77"/>
      <c r="AN7894" s="497">
        <v>30.92</v>
      </c>
      <c r="AP7894" s="42"/>
      <c r="AQ7894" s="74"/>
      <c r="AR7894" s="77"/>
      <c r="AT7894" s="497">
        <v>60.08</v>
      </c>
      <c r="AV7894" s="42"/>
      <c r="AW7894" s="74"/>
      <c r="AX7894" s="77"/>
      <c r="BA7894" s="497">
        <v>41</v>
      </c>
      <c r="BB7894" s="42"/>
      <c r="BC7894" s="74"/>
      <c r="BD7894" s="77"/>
      <c r="BF7894">
        <v>28.94</v>
      </c>
      <c r="BH7894" s="42"/>
      <c r="BI7894" s="74"/>
      <c r="BJ7894" s="77"/>
      <c r="BL7894" s="497">
        <v>26.060000000000002</v>
      </c>
      <c r="BN7894" s="42"/>
      <c r="BO7894" s="74"/>
      <c r="BP7894" s="77"/>
      <c r="BR7894" s="497">
        <v>35.06</v>
      </c>
      <c r="BT7894" s="42"/>
    </row>
    <row r="7895" spans="1:72" x14ac:dyDescent="0.25">
      <c r="A7895" s="90">
        <v>36855</v>
      </c>
      <c r="B7895" s="20">
        <v>0.20833333333333334</v>
      </c>
      <c r="D7895">
        <v>39.92</v>
      </c>
      <c r="E7895" t="str">
        <f t="shared" si="282"/>
        <v>SATURDAY</v>
      </c>
      <c r="F7895" t="e">
        <f t="shared" si="281"/>
        <v>#N/A</v>
      </c>
      <c r="G7895" s="74">
        <v>28819</v>
      </c>
      <c r="H7895" s="77">
        <v>0.20833333333333334</v>
      </c>
      <c r="J7895">
        <v>42.980000000000004</v>
      </c>
      <c r="M7895" s="74">
        <v>36124</v>
      </c>
      <c r="N7895" s="77">
        <v>0.20833333333333334</v>
      </c>
      <c r="P7895">
        <v>32</v>
      </c>
      <c r="S7895" s="74">
        <v>36855</v>
      </c>
      <c r="T7895" s="77">
        <v>0.20833333333333334</v>
      </c>
      <c r="V7895">
        <v>26.060000000000002</v>
      </c>
      <c r="X7895" s="42"/>
      <c r="AB7895">
        <v>42</v>
      </c>
      <c r="AC7895">
        <v>39.92</v>
      </c>
      <c r="AE7895" s="74"/>
      <c r="AF7895" s="77"/>
      <c r="AH7895" s="497">
        <v>57.2</v>
      </c>
      <c r="AJ7895" s="42"/>
      <c r="AK7895" s="74"/>
      <c r="AL7895" s="77"/>
      <c r="AN7895" s="497">
        <v>30.92</v>
      </c>
      <c r="AP7895" s="42"/>
      <c r="AQ7895" s="74"/>
      <c r="AR7895" s="77"/>
      <c r="AT7895" s="497">
        <v>60.980000000000004</v>
      </c>
      <c r="AV7895" s="42"/>
      <c r="AW7895" s="74"/>
      <c r="AX7895" s="77"/>
      <c r="BA7895" s="497">
        <v>41</v>
      </c>
      <c r="BB7895" s="42"/>
      <c r="BC7895" s="74"/>
      <c r="BD7895" s="77"/>
      <c r="BF7895">
        <v>28.94</v>
      </c>
      <c r="BH7895" s="42"/>
      <c r="BI7895" s="74"/>
      <c r="BJ7895" s="77"/>
      <c r="BL7895" s="497">
        <v>24.98</v>
      </c>
      <c r="BN7895" s="42"/>
      <c r="BO7895" s="74"/>
      <c r="BP7895" s="77"/>
      <c r="BR7895" s="497">
        <v>33.979999999999997</v>
      </c>
      <c r="BT7895" s="42"/>
    </row>
    <row r="7896" spans="1:72" x14ac:dyDescent="0.25">
      <c r="A7896" s="90">
        <v>36855</v>
      </c>
      <c r="B7896" s="20">
        <v>0.25</v>
      </c>
      <c r="D7896">
        <v>39.92</v>
      </c>
      <c r="E7896" t="str">
        <f t="shared" si="282"/>
        <v>SATURDAY</v>
      </c>
      <c r="F7896" t="e">
        <f t="shared" si="281"/>
        <v>#N/A</v>
      </c>
      <c r="G7896" s="74">
        <v>28819</v>
      </c>
      <c r="H7896" s="77">
        <v>0.25</v>
      </c>
      <c r="J7896">
        <v>42.980000000000004</v>
      </c>
      <c r="M7896" s="74">
        <v>36124</v>
      </c>
      <c r="N7896" s="77">
        <v>0.25</v>
      </c>
      <c r="P7896">
        <v>30.2</v>
      </c>
      <c r="S7896" s="74">
        <v>36855</v>
      </c>
      <c r="T7896" s="77">
        <v>0.25</v>
      </c>
      <c r="V7896">
        <v>26.060000000000002</v>
      </c>
      <c r="X7896" s="42"/>
      <c r="AB7896">
        <v>41.8</v>
      </c>
      <c r="AC7896">
        <v>39.019999999999996</v>
      </c>
      <c r="AE7896" s="74"/>
      <c r="AF7896" s="77"/>
      <c r="AH7896" s="497">
        <v>57.2</v>
      </c>
      <c r="AJ7896" s="42"/>
      <c r="AK7896" s="74"/>
      <c r="AL7896" s="77"/>
      <c r="AN7896" s="497">
        <v>30.02</v>
      </c>
      <c r="AP7896" s="42"/>
      <c r="AQ7896" s="74"/>
      <c r="AR7896" s="77"/>
      <c r="AT7896" s="497">
        <v>60.980000000000004</v>
      </c>
      <c r="AV7896" s="42"/>
      <c r="AW7896" s="74"/>
      <c r="AX7896" s="77"/>
      <c r="BA7896" s="497">
        <v>39.92</v>
      </c>
      <c r="BB7896" s="42"/>
      <c r="BC7896" s="74"/>
      <c r="BD7896" s="77"/>
      <c r="BF7896">
        <v>28.94</v>
      </c>
      <c r="BH7896" s="42"/>
      <c r="BI7896" s="74"/>
      <c r="BJ7896" s="77"/>
      <c r="BL7896" s="497">
        <v>26.060000000000002</v>
      </c>
      <c r="BN7896" s="42"/>
      <c r="BO7896" s="74"/>
      <c r="BP7896" s="77"/>
      <c r="BR7896" s="497">
        <v>33.979999999999997</v>
      </c>
      <c r="BT7896" s="42"/>
    </row>
    <row r="7897" spans="1:72" x14ac:dyDescent="0.25">
      <c r="A7897" s="90">
        <v>36855</v>
      </c>
      <c r="B7897" s="20">
        <v>0.29166666666666669</v>
      </c>
      <c r="D7897">
        <v>41</v>
      </c>
      <c r="E7897" t="str">
        <f t="shared" si="282"/>
        <v>SATURDAY</v>
      </c>
      <c r="F7897" t="e">
        <f t="shared" si="281"/>
        <v>#N/A</v>
      </c>
      <c r="G7897" s="74">
        <v>28819</v>
      </c>
      <c r="H7897" s="77">
        <v>0.29166666666666669</v>
      </c>
      <c r="J7897">
        <v>42.08</v>
      </c>
      <c r="M7897" s="74">
        <v>36124</v>
      </c>
      <c r="N7897" s="77">
        <v>0.29166666666666669</v>
      </c>
      <c r="P7897">
        <v>28.4</v>
      </c>
      <c r="S7897" s="74">
        <v>36855</v>
      </c>
      <c r="T7897" s="77">
        <v>0.29166666666666669</v>
      </c>
      <c r="V7897">
        <v>28.04</v>
      </c>
      <c r="X7897" s="42"/>
      <c r="AB7897">
        <v>41.7</v>
      </c>
      <c r="AC7897">
        <v>39.019999999999996</v>
      </c>
      <c r="AE7897" s="74"/>
      <c r="AF7897" s="77"/>
      <c r="AH7897" s="497">
        <v>57.2</v>
      </c>
      <c r="AJ7897" s="42"/>
      <c r="AK7897" s="74"/>
      <c r="AL7897" s="77"/>
      <c r="AN7897" s="497">
        <v>28.94</v>
      </c>
      <c r="AP7897" s="42"/>
      <c r="AQ7897" s="74"/>
      <c r="AR7897" s="77"/>
      <c r="AT7897" s="497">
        <v>60.980000000000004</v>
      </c>
      <c r="AV7897" s="42"/>
      <c r="AW7897" s="74"/>
      <c r="AX7897" s="77"/>
      <c r="BA7897" s="497">
        <v>39.92</v>
      </c>
      <c r="BB7897" s="42"/>
      <c r="BC7897" s="74"/>
      <c r="BD7897" s="77"/>
      <c r="BF7897">
        <v>28.94</v>
      </c>
      <c r="BH7897" s="42"/>
      <c r="BI7897" s="74"/>
      <c r="BJ7897" s="77"/>
      <c r="BL7897" s="497">
        <v>26.060000000000002</v>
      </c>
      <c r="BN7897" s="42"/>
      <c r="BO7897" s="74"/>
      <c r="BP7897" s="77"/>
      <c r="BR7897" s="497">
        <v>33.979999999999997</v>
      </c>
      <c r="BT7897" s="42"/>
    </row>
    <row r="7898" spans="1:72" x14ac:dyDescent="0.25">
      <c r="A7898" s="90">
        <v>36855</v>
      </c>
      <c r="B7898" s="20">
        <v>0.33333333333333331</v>
      </c>
      <c r="D7898">
        <v>42.08</v>
      </c>
      <c r="E7898" t="str">
        <f t="shared" si="282"/>
        <v>SATURDAY</v>
      </c>
      <c r="F7898" t="e">
        <f t="shared" si="281"/>
        <v>#N/A</v>
      </c>
      <c r="G7898" s="74">
        <v>28819</v>
      </c>
      <c r="H7898" s="77">
        <v>0.33333333333333331</v>
      </c>
      <c r="J7898">
        <v>41</v>
      </c>
      <c r="M7898" s="74">
        <v>36124</v>
      </c>
      <c r="N7898" s="77">
        <v>0.33333333333333331</v>
      </c>
      <c r="P7898">
        <v>37.4</v>
      </c>
      <c r="S7898" s="74">
        <v>36855</v>
      </c>
      <c r="T7898" s="77">
        <v>0.33333333333333331</v>
      </c>
      <c r="V7898">
        <v>28.94</v>
      </c>
      <c r="X7898" s="42"/>
      <c r="AB7898">
        <v>41.7</v>
      </c>
      <c r="AC7898">
        <v>39.019999999999996</v>
      </c>
      <c r="AE7898" s="74"/>
      <c r="AF7898" s="77"/>
      <c r="AH7898" s="497">
        <v>59</v>
      </c>
      <c r="AJ7898" s="42"/>
      <c r="AK7898" s="74"/>
      <c r="AL7898" s="77"/>
      <c r="AN7898" s="497">
        <v>28.94</v>
      </c>
      <c r="AP7898" s="42"/>
      <c r="AQ7898" s="74"/>
      <c r="AR7898" s="77"/>
      <c r="AT7898" s="497">
        <v>62.06</v>
      </c>
      <c r="AV7898" s="42"/>
      <c r="AW7898" s="74"/>
      <c r="AX7898" s="77"/>
      <c r="BA7898" s="497">
        <v>39.92</v>
      </c>
      <c r="BB7898" s="42"/>
      <c r="BC7898" s="74"/>
      <c r="BD7898" s="77"/>
      <c r="BF7898">
        <v>30.92</v>
      </c>
      <c r="BH7898" s="42"/>
      <c r="BI7898" s="74"/>
      <c r="BJ7898" s="77"/>
      <c r="BL7898" s="497">
        <v>24.98</v>
      </c>
      <c r="BN7898" s="42"/>
      <c r="BO7898" s="74"/>
      <c r="BP7898" s="77"/>
      <c r="BR7898" s="497">
        <v>33.979999999999997</v>
      </c>
      <c r="BT7898" s="42"/>
    </row>
    <row r="7899" spans="1:72" x14ac:dyDescent="0.25">
      <c r="A7899" s="90">
        <v>36855</v>
      </c>
      <c r="B7899" s="20">
        <v>0.375</v>
      </c>
      <c r="D7899">
        <v>42.08</v>
      </c>
      <c r="E7899" t="str">
        <f t="shared" si="282"/>
        <v>SATURDAY</v>
      </c>
      <c r="F7899" t="e">
        <f t="shared" si="281"/>
        <v>#N/A</v>
      </c>
      <c r="G7899" s="74">
        <v>28819</v>
      </c>
      <c r="H7899" s="77">
        <v>0.375</v>
      </c>
      <c r="J7899">
        <v>42.08</v>
      </c>
      <c r="M7899" s="74">
        <v>36124</v>
      </c>
      <c r="N7899" s="77">
        <v>0.375</v>
      </c>
      <c r="P7899">
        <v>41</v>
      </c>
      <c r="S7899" s="74">
        <v>36855</v>
      </c>
      <c r="T7899" s="77">
        <v>0.375</v>
      </c>
      <c r="V7899">
        <v>30.92</v>
      </c>
      <c r="X7899" s="42"/>
      <c r="AB7899">
        <v>42.8</v>
      </c>
      <c r="AC7899">
        <v>41</v>
      </c>
      <c r="AE7899" s="74"/>
      <c r="AF7899" s="77"/>
      <c r="AH7899" s="497">
        <v>60.8</v>
      </c>
      <c r="AJ7899" s="42"/>
      <c r="AK7899" s="74"/>
      <c r="AL7899" s="77"/>
      <c r="AN7899" s="497">
        <v>33.08</v>
      </c>
      <c r="AP7899" s="42"/>
      <c r="AQ7899" s="74"/>
      <c r="AR7899" s="77"/>
      <c r="AT7899" s="497">
        <v>62.96</v>
      </c>
      <c r="AV7899" s="42"/>
      <c r="AW7899" s="74"/>
      <c r="AX7899" s="77"/>
      <c r="BA7899" s="497">
        <v>39.92</v>
      </c>
      <c r="BB7899" s="42"/>
      <c r="BC7899" s="74"/>
      <c r="BD7899" s="77"/>
      <c r="BF7899">
        <v>35.06</v>
      </c>
      <c r="BH7899" s="42"/>
      <c r="BI7899" s="74"/>
      <c r="BJ7899" s="77"/>
      <c r="BL7899" s="497">
        <v>30.02</v>
      </c>
      <c r="BN7899" s="42"/>
      <c r="BO7899" s="74"/>
      <c r="BP7899" s="77"/>
      <c r="BR7899" s="497">
        <v>35.06</v>
      </c>
      <c r="BT7899" s="42"/>
    </row>
    <row r="7900" spans="1:72" x14ac:dyDescent="0.25">
      <c r="A7900" s="90">
        <v>36855</v>
      </c>
      <c r="B7900" s="20">
        <v>0.41666666666666669</v>
      </c>
      <c r="D7900">
        <v>44.06</v>
      </c>
      <c r="E7900" t="str">
        <f t="shared" si="282"/>
        <v>SATURDAY</v>
      </c>
      <c r="F7900" t="e">
        <f t="shared" si="281"/>
        <v>#N/A</v>
      </c>
      <c r="G7900" s="74">
        <v>28819</v>
      </c>
      <c r="H7900" s="77">
        <v>0.41666666666666669</v>
      </c>
      <c r="J7900">
        <v>44.06</v>
      </c>
      <c r="M7900" s="74">
        <v>36124</v>
      </c>
      <c r="N7900" s="77">
        <v>0.41666666666666669</v>
      </c>
      <c r="P7900">
        <v>43.7</v>
      </c>
      <c r="S7900" s="74">
        <v>36855</v>
      </c>
      <c r="T7900" s="77">
        <v>0.41666666666666669</v>
      </c>
      <c r="V7900">
        <v>33.979999999999997</v>
      </c>
      <c r="X7900" s="42"/>
      <c r="AB7900">
        <v>44.6</v>
      </c>
      <c r="AC7900">
        <v>41</v>
      </c>
      <c r="AE7900" s="74"/>
      <c r="AF7900" s="77"/>
      <c r="AH7900" s="497">
        <v>62.6</v>
      </c>
      <c r="AJ7900" s="42"/>
      <c r="AK7900" s="74"/>
      <c r="AL7900" s="77"/>
      <c r="AN7900" s="497">
        <v>33.979999999999997</v>
      </c>
      <c r="AP7900" s="42"/>
      <c r="AQ7900" s="74"/>
      <c r="AR7900" s="77"/>
      <c r="AT7900" s="497">
        <v>62.96</v>
      </c>
      <c r="AV7900" s="42"/>
      <c r="AW7900" s="74"/>
      <c r="AX7900" s="77"/>
      <c r="BA7900" s="497">
        <v>41</v>
      </c>
      <c r="BB7900" s="42"/>
      <c r="BC7900" s="74"/>
      <c r="BD7900" s="77"/>
      <c r="BF7900">
        <v>39.92</v>
      </c>
      <c r="BH7900" s="42"/>
      <c r="BI7900" s="74"/>
      <c r="BJ7900" s="77"/>
      <c r="BL7900" s="497">
        <v>33.979999999999997</v>
      </c>
      <c r="BN7900" s="42"/>
      <c r="BO7900" s="74"/>
      <c r="BP7900" s="77"/>
      <c r="BR7900" s="497">
        <v>35.06</v>
      </c>
      <c r="BT7900" s="42"/>
    </row>
    <row r="7901" spans="1:72" x14ac:dyDescent="0.25">
      <c r="A7901" s="90">
        <v>36855</v>
      </c>
      <c r="B7901" s="20">
        <v>0.45833333333333331</v>
      </c>
      <c r="D7901">
        <v>46.04</v>
      </c>
      <c r="E7901" t="str">
        <f t="shared" si="282"/>
        <v>SATURDAY</v>
      </c>
      <c r="F7901" t="e">
        <f t="shared" si="281"/>
        <v>#N/A</v>
      </c>
      <c r="G7901" s="74">
        <v>28819</v>
      </c>
      <c r="H7901" s="77">
        <v>0.45833333333333331</v>
      </c>
      <c r="J7901">
        <v>42.980000000000004</v>
      </c>
      <c r="M7901" s="74">
        <v>36124</v>
      </c>
      <c r="N7901" s="77">
        <v>0.45833333333333331</v>
      </c>
      <c r="P7901">
        <v>46.4</v>
      </c>
      <c r="S7901" s="74">
        <v>36855</v>
      </c>
      <c r="T7901" s="77">
        <v>0.45833333333333331</v>
      </c>
      <c r="V7901">
        <v>35.96</v>
      </c>
      <c r="X7901" s="42"/>
      <c r="AB7901">
        <v>46.2</v>
      </c>
      <c r="AC7901">
        <v>42.980000000000004</v>
      </c>
      <c r="AE7901" s="74"/>
      <c r="AF7901" s="77"/>
      <c r="AH7901" s="497">
        <v>64.400000000000006</v>
      </c>
      <c r="AJ7901" s="42"/>
      <c r="AK7901" s="74"/>
      <c r="AL7901" s="77"/>
      <c r="AN7901" s="497">
        <v>37.94</v>
      </c>
      <c r="AP7901" s="42"/>
      <c r="AQ7901" s="74"/>
      <c r="AR7901" s="77"/>
      <c r="AT7901" s="497">
        <v>51.8</v>
      </c>
      <c r="AV7901" s="42"/>
      <c r="AW7901" s="74"/>
      <c r="AX7901" s="77"/>
      <c r="BA7901" s="497">
        <v>41</v>
      </c>
      <c r="BB7901" s="42"/>
      <c r="BC7901" s="74"/>
      <c r="BD7901" s="77"/>
      <c r="BF7901">
        <v>46.04</v>
      </c>
      <c r="BH7901" s="42"/>
      <c r="BI7901" s="74"/>
      <c r="BJ7901" s="77"/>
      <c r="BL7901" s="497">
        <v>39.92</v>
      </c>
      <c r="BN7901" s="42"/>
      <c r="BO7901" s="74"/>
      <c r="BP7901" s="77"/>
      <c r="BR7901" s="497">
        <v>35.06</v>
      </c>
      <c r="BT7901" s="42"/>
    </row>
    <row r="7902" spans="1:72" x14ac:dyDescent="0.25">
      <c r="A7902" s="90">
        <v>36855</v>
      </c>
      <c r="B7902" s="20">
        <v>0.5</v>
      </c>
      <c r="D7902">
        <v>48.92</v>
      </c>
      <c r="E7902" t="str">
        <f t="shared" si="282"/>
        <v>SATURDAY</v>
      </c>
      <c r="F7902" t="e">
        <f t="shared" si="281"/>
        <v>#N/A</v>
      </c>
      <c r="G7902" s="74">
        <v>28819</v>
      </c>
      <c r="H7902" s="77">
        <v>0.5</v>
      </c>
      <c r="J7902">
        <v>42.980000000000004</v>
      </c>
      <c r="M7902" s="74">
        <v>36124</v>
      </c>
      <c r="N7902" s="77">
        <v>0.5</v>
      </c>
      <c r="P7902">
        <v>46.4</v>
      </c>
      <c r="S7902" s="74">
        <v>36855</v>
      </c>
      <c r="T7902" s="77">
        <v>0.5</v>
      </c>
      <c r="V7902">
        <v>37.94</v>
      </c>
      <c r="X7902" s="42"/>
      <c r="AB7902">
        <v>47.5</v>
      </c>
      <c r="AC7902">
        <v>42.980000000000004</v>
      </c>
      <c r="AE7902" s="74"/>
      <c r="AF7902" s="77"/>
      <c r="AH7902" s="497">
        <v>64.400000000000006</v>
      </c>
      <c r="AJ7902" s="42"/>
      <c r="AK7902" s="74"/>
      <c r="AL7902" s="77"/>
      <c r="AN7902" s="497">
        <v>41</v>
      </c>
      <c r="AP7902" s="42"/>
      <c r="AQ7902" s="74"/>
      <c r="AR7902" s="77"/>
      <c r="AT7902" s="497">
        <v>53.96</v>
      </c>
      <c r="AV7902" s="42"/>
      <c r="AW7902" s="74"/>
      <c r="AX7902" s="77"/>
      <c r="BA7902" s="497">
        <v>42.980000000000004</v>
      </c>
      <c r="BB7902" s="42"/>
      <c r="BC7902" s="74"/>
      <c r="BD7902" s="77"/>
      <c r="BF7902">
        <v>51.08</v>
      </c>
      <c r="BH7902" s="42"/>
      <c r="BI7902" s="74"/>
      <c r="BJ7902" s="77"/>
      <c r="BL7902" s="497">
        <v>46.04</v>
      </c>
      <c r="BN7902" s="42"/>
      <c r="BO7902" s="74"/>
      <c r="BP7902" s="77"/>
      <c r="BR7902" s="497">
        <v>32</v>
      </c>
      <c r="BT7902" s="42"/>
    </row>
    <row r="7903" spans="1:72" x14ac:dyDescent="0.25">
      <c r="A7903" s="90">
        <v>36855</v>
      </c>
      <c r="B7903" s="20">
        <v>0.54166666666666663</v>
      </c>
      <c r="D7903">
        <v>50</v>
      </c>
      <c r="E7903" t="str">
        <f t="shared" si="282"/>
        <v>SATURDAY</v>
      </c>
      <c r="F7903" t="e">
        <f t="shared" si="281"/>
        <v>#N/A</v>
      </c>
      <c r="G7903" s="74">
        <v>28819</v>
      </c>
      <c r="H7903" s="77">
        <v>0.54166666666666663</v>
      </c>
      <c r="J7903">
        <v>42.08</v>
      </c>
      <c r="M7903" s="74">
        <v>36124</v>
      </c>
      <c r="N7903" s="77">
        <v>0.54166666666666663</v>
      </c>
      <c r="P7903">
        <v>46.4</v>
      </c>
      <c r="S7903" s="74">
        <v>36855</v>
      </c>
      <c r="T7903" s="77">
        <v>0.54166666666666663</v>
      </c>
      <c r="V7903">
        <v>39.019999999999996</v>
      </c>
      <c r="X7903" s="42"/>
      <c r="AB7903">
        <v>48.5</v>
      </c>
      <c r="AC7903">
        <v>44.06</v>
      </c>
      <c r="AE7903" s="74"/>
      <c r="AF7903" s="77"/>
      <c r="AH7903" s="497">
        <v>65.300000000000011</v>
      </c>
      <c r="AJ7903" s="42"/>
      <c r="AK7903" s="74"/>
      <c r="AL7903" s="77"/>
      <c r="AN7903" s="497">
        <v>42.08</v>
      </c>
      <c r="AP7903" s="42"/>
      <c r="AQ7903" s="74"/>
      <c r="AR7903" s="77"/>
      <c r="AT7903" s="497">
        <v>48.019999999999996</v>
      </c>
      <c r="AV7903" s="42"/>
      <c r="AW7903" s="74"/>
      <c r="AX7903" s="77"/>
      <c r="BA7903" s="497">
        <v>44.96</v>
      </c>
      <c r="BB7903" s="42"/>
      <c r="BC7903" s="74"/>
      <c r="BD7903" s="77"/>
      <c r="BF7903">
        <v>53.06</v>
      </c>
      <c r="BH7903" s="42"/>
      <c r="BI7903" s="74"/>
      <c r="BJ7903" s="77"/>
      <c r="BL7903" s="497">
        <v>50</v>
      </c>
      <c r="BN7903" s="42"/>
      <c r="BO7903" s="74"/>
      <c r="BP7903" s="77"/>
      <c r="BR7903" s="497">
        <v>32</v>
      </c>
      <c r="BT7903" s="42"/>
    </row>
    <row r="7904" spans="1:72" x14ac:dyDescent="0.25">
      <c r="A7904" s="90">
        <v>36855</v>
      </c>
      <c r="B7904" s="20">
        <v>0.58333333333333337</v>
      </c>
      <c r="D7904">
        <v>51.08</v>
      </c>
      <c r="E7904" t="str">
        <f t="shared" si="282"/>
        <v>SATURDAY</v>
      </c>
      <c r="F7904" t="e">
        <f t="shared" si="281"/>
        <v>#N/A</v>
      </c>
      <c r="G7904" s="74">
        <v>28819</v>
      </c>
      <c r="H7904" s="77">
        <v>0.58333333333333337</v>
      </c>
      <c r="J7904">
        <v>42.08</v>
      </c>
      <c r="M7904" s="74">
        <v>36124</v>
      </c>
      <c r="N7904" s="77">
        <v>0.58333333333333337</v>
      </c>
      <c r="P7904">
        <v>46.4</v>
      </c>
      <c r="S7904" s="74">
        <v>36855</v>
      </c>
      <c r="T7904" s="77">
        <v>0.58333333333333337</v>
      </c>
      <c r="V7904">
        <v>39.92</v>
      </c>
      <c r="X7904" s="42"/>
      <c r="AB7904">
        <v>49.1</v>
      </c>
      <c r="AC7904">
        <v>44.96</v>
      </c>
      <c r="AE7904" s="74"/>
      <c r="AF7904" s="77"/>
      <c r="AH7904" s="497">
        <v>66.2</v>
      </c>
      <c r="AJ7904" s="42"/>
      <c r="AK7904" s="74"/>
      <c r="AL7904" s="77"/>
      <c r="AN7904" s="497">
        <v>42.980000000000004</v>
      </c>
      <c r="AP7904" s="42"/>
      <c r="AQ7904" s="74"/>
      <c r="AR7904" s="77"/>
      <c r="AT7904" s="497">
        <v>42.980000000000004</v>
      </c>
      <c r="AV7904" s="42"/>
      <c r="AW7904" s="74"/>
      <c r="AX7904" s="77"/>
      <c r="BA7904" s="497">
        <v>46.04</v>
      </c>
      <c r="BB7904" s="42"/>
      <c r="BC7904" s="74"/>
      <c r="BD7904" s="77"/>
      <c r="BF7904">
        <v>53.96</v>
      </c>
      <c r="BH7904" s="42"/>
      <c r="BI7904" s="74"/>
      <c r="BJ7904" s="77"/>
      <c r="BL7904" s="497">
        <v>53.06</v>
      </c>
      <c r="BN7904" s="42"/>
      <c r="BO7904" s="74"/>
      <c r="BP7904" s="77"/>
      <c r="BR7904" s="497">
        <v>30.92</v>
      </c>
      <c r="BT7904" s="42"/>
    </row>
    <row r="7905" spans="1:72" x14ac:dyDescent="0.25">
      <c r="A7905" s="90">
        <v>36855</v>
      </c>
      <c r="B7905" s="20">
        <v>0.625</v>
      </c>
      <c r="D7905">
        <v>51.08</v>
      </c>
      <c r="E7905" t="str">
        <f t="shared" si="282"/>
        <v>SATURDAY</v>
      </c>
      <c r="F7905" t="e">
        <f t="shared" si="281"/>
        <v>#N/A</v>
      </c>
      <c r="G7905" s="74">
        <v>28819</v>
      </c>
      <c r="H7905" s="77">
        <v>0.625</v>
      </c>
      <c r="J7905">
        <v>39.92</v>
      </c>
      <c r="M7905" s="74">
        <v>36124</v>
      </c>
      <c r="N7905" s="77">
        <v>0.625</v>
      </c>
      <c r="P7905">
        <v>46.4</v>
      </c>
      <c r="S7905" s="74">
        <v>36855</v>
      </c>
      <c r="T7905" s="77">
        <v>0.625</v>
      </c>
      <c r="V7905">
        <v>39.92</v>
      </c>
      <c r="X7905" s="42"/>
      <c r="AB7905">
        <v>49.3</v>
      </c>
      <c r="AC7905">
        <v>44.06</v>
      </c>
      <c r="AE7905" s="74"/>
      <c r="AF7905" s="77"/>
      <c r="AH7905" s="497">
        <v>66.2</v>
      </c>
      <c r="AJ7905" s="42"/>
      <c r="AK7905" s="74"/>
      <c r="AL7905" s="77"/>
      <c r="AN7905" s="497">
        <v>44.06</v>
      </c>
      <c r="AP7905" s="42"/>
      <c r="AQ7905" s="74"/>
      <c r="AR7905" s="77"/>
      <c r="AT7905" s="497">
        <v>42.08</v>
      </c>
      <c r="AV7905" s="42"/>
      <c r="AW7905" s="74"/>
      <c r="AX7905" s="77"/>
      <c r="BA7905" s="497">
        <v>46.94</v>
      </c>
      <c r="BB7905" s="42"/>
      <c r="BC7905" s="74"/>
      <c r="BD7905" s="77"/>
      <c r="BF7905">
        <v>55.94</v>
      </c>
      <c r="BH7905" s="42"/>
      <c r="BI7905" s="74"/>
      <c r="BJ7905" s="77"/>
      <c r="BL7905" s="497">
        <v>51.980000000000004</v>
      </c>
      <c r="BN7905" s="42"/>
      <c r="BO7905" s="74"/>
      <c r="BP7905" s="77"/>
      <c r="BR7905" s="497">
        <v>30.92</v>
      </c>
      <c r="BT7905" s="42"/>
    </row>
    <row r="7906" spans="1:72" x14ac:dyDescent="0.25">
      <c r="A7906" s="90">
        <v>36855</v>
      </c>
      <c r="B7906" s="20">
        <v>0.66666666666666663</v>
      </c>
      <c r="D7906">
        <v>51.980000000000004</v>
      </c>
      <c r="E7906" t="str">
        <f t="shared" si="282"/>
        <v>SATURDAY</v>
      </c>
      <c r="F7906" t="e">
        <f t="shared" si="281"/>
        <v>#N/A</v>
      </c>
      <c r="G7906" s="74">
        <v>28819</v>
      </c>
      <c r="H7906" s="77">
        <v>0.66666666666666663</v>
      </c>
      <c r="J7906">
        <v>39.92</v>
      </c>
      <c r="M7906" s="74">
        <v>36124</v>
      </c>
      <c r="N7906" s="77">
        <v>0.66666666666666663</v>
      </c>
      <c r="P7906">
        <v>44.6</v>
      </c>
      <c r="S7906" s="74">
        <v>36855</v>
      </c>
      <c r="T7906" s="77">
        <v>0.66666666666666663</v>
      </c>
      <c r="V7906">
        <v>39.92</v>
      </c>
      <c r="X7906" s="42"/>
      <c r="AB7906">
        <v>48.9</v>
      </c>
      <c r="AC7906">
        <v>42.980000000000004</v>
      </c>
      <c r="AE7906" s="74"/>
      <c r="AF7906" s="77"/>
      <c r="AH7906" s="497">
        <v>64.400000000000006</v>
      </c>
      <c r="AJ7906" s="42"/>
      <c r="AK7906" s="74"/>
      <c r="AL7906" s="77"/>
      <c r="AN7906" s="497">
        <v>42.980000000000004</v>
      </c>
      <c r="AP7906" s="42"/>
      <c r="AQ7906" s="74"/>
      <c r="AR7906" s="77"/>
      <c r="AT7906" s="497">
        <v>39.92</v>
      </c>
      <c r="AV7906" s="42"/>
      <c r="AW7906" s="74"/>
      <c r="AX7906" s="77"/>
      <c r="BA7906" s="497">
        <v>46.94</v>
      </c>
      <c r="BB7906" s="42"/>
      <c r="BC7906" s="74"/>
      <c r="BD7906" s="77"/>
      <c r="BF7906">
        <v>53.96</v>
      </c>
      <c r="BH7906" s="42"/>
      <c r="BI7906" s="74"/>
      <c r="BJ7906" s="77"/>
      <c r="BL7906" s="497">
        <v>48.92</v>
      </c>
      <c r="BN7906" s="42"/>
      <c r="BO7906" s="74"/>
      <c r="BP7906" s="77"/>
      <c r="BR7906" s="497">
        <v>30.02</v>
      </c>
      <c r="BT7906" s="42"/>
    </row>
    <row r="7907" spans="1:72" x14ac:dyDescent="0.25">
      <c r="A7907" s="90">
        <v>36855</v>
      </c>
      <c r="B7907" s="20">
        <v>0.70833333333333337</v>
      </c>
      <c r="D7907">
        <v>51.08</v>
      </c>
      <c r="E7907" t="str">
        <f t="shared" si="282"/>
        <v>SATURDAY</v>
      </c>
      <c r="F7907" t="e">
        <f t="shared" si="281"/>
        <v>#N/A</v>
      </c>
      <c r="G7907" s="74">
        <v>28819</v>
      </c>
      <c r="H7907" s="77">
        <v>0.70833333333333337</v>
      </c>
      <c r="J7907">
        <v>39.019999999999996</v>
      </c>
      <c r="M7907" s="74">
        <v>36124</v>
      </c>
      <c r="N7907" s="77">
        <v>0.70833333333333337</v>
      </c>
      <c r="P7907">
        <v>42.8</v>
      </c>
      <c r="S7907" s="74">
        <v>36855</v>
      </c>
      <c r="T7907" s="77">
        <v>0.70833333333333337</v>
      </c>
      <c r="V7907">
        <v>39.019999999999996</v>
      </c>
      <c r="X7907" s="42"/>
      <c r="AB7907">
        <v>47.9</v>
      </c>
      <c r="AC7907">
        <v>41</v>
      </c>
      <c r="AE7907" s="74"/>
      <c r="AF7907" s="77"/>
      <c r="AH7907" s="497">
        <v>64.400000000000006</v>
      </c>
      <c r="AJ7907" s="42"/>
      <c r="AK7907" s="74"/>
      <c r="AL7907" s="77"/>
      <c r="AN7907" s="497">
        <v>41</v>
      </c>
      <c r="AP7907" s="42"/>
      <c r="AQ7907" s="74"/>
      <c r="AR7907" s="77"/>
      <c r="AT7907" s="497">
        <v>37.04</v>
      </c>
      <c r="AV7907" s="42"/>
      <c r="AW7907" s="74"/>
      <c r="AX7907" s="77"/>
      <c r="BA7907" s="497">
        <v>46.94</v>
      </c>
      <c r="BB7907" s="42"/>
      <c r="BC7907" s="74"/>
      <c r="BD7907" s="77"/>
      <c r="BF7907">
        <v>51.08</v>
      </c>
      <c r="BH7907" s="42"/>
      <c r="BI7907" s="74"/>
      <c r="BJ7907" s="77"/>
      <c r="BL7907" s="497">
        <v>46.94</v>
      </c>
      <c r="BN7907" s="42"/>
      <c r="BO7907" s="74"/>
      <c r="BP7907" s="77"/>
      <c r="BR7907" s="497">
        <v>28.94</v>
      </c>
      <c r="BT7907" s="42"/>
    </row>
    <row r="7908" spans="1:72" x14ac:dyDescent="0.25">
      <c r="A7908" s="90">
        <v>36855</v>
      </c>
      <c r="B7908" s="20">
        <v>0.75</v>
      </c>
      <c r="D7908">
        <v>50</v>
      </c>
      <c r="E7908" t="str">
        <f t="shared" si="282"/>
        <v>SATURDAY</v>
      </c>
      <c r="F7908" t="e">
        <f t="shared" si="281"/>
        <v>#N/A</v>
      </c>
      <c r="G7908" s="74">
        <v>28819</v>
      </c>
      <c r="H7908" s="77">
        <v>0.75</v>
      </c>
      <c r="J7908">
        <v>37.04</v>
      </c>
      <c r="M7908" s="74">
        <v>36124</v>
      </c>
      <c r="N7908" s="77">
        <v>0.75</v>
      </c>
      <c r="P7908">
        <v>42.8</v>
      </c>
      <c r="S7908" s="74">
        <v>36855</v>
      </c>
      <c r="T7908" s="77">
        <v>0.75</v>
      </c>
      <c r="V7908">
        <v>37.04</v>
      </c>
      <c r="X7908" s="42"/>
      <c r="AB7908">
        <v>46.7</v>
      </c>
      <c r="AC7908">
        <v>39.92</v>
      </c>
      <c r="AE7908" s="74"/>
      <c r="AF7908" s="77"/>
      <c r="AH7908" s="497">
        <v>60.44</v>
      </c>
      <c r="AJ7908" s="42"/>
      <c r="AK7908" s="74"/>
      <c r="AL7908" s="77"/>
      <c r="AN7908" s="497">
        <v>39.92</v>
      </c>
      <c r="AP7908" s="42"/>
      <c r="AQ7908" s="74"/>
      <c r="AR7908" s="77"/>
      <c r="AT7908" s="497">
        <v>35.96</v>
      </c>
      <c r="AV7908" s="42"/>
      <c r="AW7908" s="74"/>
      <c r="AX7908" s="77"/>
      <c r="BA7908" s="497">
        <v>50</v>
      </c>
      <c r="BB7908" s="42"/>
      <c r="BC7908" s="74"/>
      <c r="BD7908" s="77"/>
      <c r="BF7908">
        <v>50</v>
      </c>
      <c r="BH7908" s="42"/>
      <c r="BI7908" s="74"/>
      <c r="BJ7908" s="77"/>
      <c r="BL7908" s="497">
        <v>42.980000000000004</v>
      </c>
      <c r="BN7908" s="42"/>
      <c r="BO7908" s="74"/>
      <c r="BP7908" s="77"/>
      <c r="BR7908" s="497">
        <v>28.94</v>
      </c>
      <c r="BT7908" s="42"/>
    </row>
    <row r="7909" spans="1:72" x14ac:dyDescent="0.25">
      <c r="A7909" s="90">
        <v>36855</v>
      </c>
      <c r="B7909" s="20">
        <v>0.79166666666666663</v>
      </c>
      <c r="D7909">
        <v>48.92</v>
      </c>
      <c r="E7909" t="str">
        <f t="shared" si="282"/>
        <v>SATURDAY</v>
      </c>
      <c r="F7909" t="e">
        <f t="shared" si="281"/>
        <v>#N/A</v>
      </c>
      <c r="G7909" s="74">
        <v>28819</v>
      </c>
      <c r="H7909" s="77">
        <v>0.79166666666666663</v>
      </c>
      <c r="J7909">
        <v>35.96</v>
      </c>
      <c r="M7909" s="74">
        <v>36124</v>
      </c>
      <c r="N7909" s="77">
        <v>0.79166666666666663</v>
      </c>
      <c r="P7909">
        <v>41</v>
      </c>
      <c r="S7909" s="74">
        <v>36855</v>
      </c>
      <c r="T7909" s="77">
        <v>0.79166666666666663</v>
      </c>
      <c r="V7909">
        <v>35.96</v>
      </c>
      <c r="X7909" s="42"/>
      <c r="AB7909">
        <v>46.2</v>
      </c>
      <c r="AC7909">
        <v>35.96</v>
      </c>
      <c r="AE7909" s="74"/>
      <c r="AF7909" s="77"/>
      <c r="AH7909" s="497">
        <v>57.2</v>
      </c>
      <c r="AJ7909" s="42"/>
      <c r="AK7909" s="74"/>
      <c r="AL7909" s="77"/>
      <c r="AN7909" s="497">
        <v>39.92</v>
      </c>
      <c r="AP7909" s="42"/>
      <c r="AQ7909" s="74"/>
      <c r="AR7909" s="77"/>
      <c r="AT7909" s="497">
        <v>35.06</v>
      </c>
      <c r="AV7909" s="42"/>
      <c r="AW7909" s="74"/>
      <c r="AX7909" s="77"/>
      <c r="BA7909" s="497">
        <v>55.94</v>
      </c>
      <c r="BB7909" s="42"/>
      <c r="BC7909" s="74"/>
      <c r="BD7909" s="77"/>
      <c r="BF7909">
        <v>48.92</v>
      </c>
      <c r="BH7909" s="42"/>
      <c r="BI7909" s="74"/>
      <c r="BJ7909" s="77"/>
      <c r="BL7909" s="497">
        <v>42.980000000000004</v>
      </c>
      <c r="BN7909" s="42"/>
      <c r="BO7909" s="74"/>
      <c r="BP7909" s="77"/>
      <c r="BR7909" s="497">
        <v>30.02</v>
      </c>
      <c r="BT7909" s="42"/>
    </row>
    <row r="7910" spans="1:72" x14ac:dyDescent="0.25">
      <c r="A7910" s="90">
        <v>36855</v>
      </c>
      <c r="B7910" s="20">
        <v>0.83333333333333337</v>
      </c>
      <c r="D7910">
        <v>48.92</v>
      </c>
      <c r="E7910" t="str">
        <f t="shared" si="282"/>
        <v>SATURDAY</v>
      </c>
      <c r="F7910" t="e">
        <f t="shared" si="281"/>
        <v>#N/A</v>
      </c>
      <c r="G7910" s="74">
        <v>28819</v>
      </c>
      <c r="H7910" s="77">
        <v>0.83333333333333337</v>
      </c>
      <c r="J7910">
        <v>35.96</v>
      </c>
      <c r="M7910" s="74">
        <v>36124</v>
      </c>
      <c r="N7910" s="77">
        <v>0.83333333333333337</v>
      </c>
      <c r="P7910">
        <v>39.200000000000003</v>
      </c>
      <c r="S7910" s="74">
        <v>36855</v>
      </c>
      <c r="T7910" s="77">
        <v>0.83333333333333337</v>
      </c>
      <c r="V7910">
        <v>35.96</v>
      </c>
      <c r="X7910" s="42"/>
      <c r="AB7910">
        <v>45.9</v>
      </c>
      <c r="AC7910">
        <v>35.06</v>
      </c>
      <c r="AE7910" s="74"/>
      <c r="AF7910" s="77"/>
      <c r="AH7910" s="497">
        <v>55.400000000000006</v>
      </c>
      <c r="AJ7910" s="42"/>
      <c r="AK7910" s="74"/>
      <c r="AL7910" s="77"/>
      <c r="AN7910" s="497">
        <v>39.92</v>
      </c>
      <c r="AP7910" s="42"/>
      <c r="AQ7910" s="74"/>
      <c r="AR7910" s="77"/>
      <c r="AT7910" s="497">
        <v>33.979999999999997</v>
      </c>
      <c r="AV7910" s="42"/>
      <c r="AW7910" s="74"/>
      <c r="AX7910" s="77"/>
      <c r="BA7910" s="497">
        <v>55.040000000000006</v>
      </c>
      <c r="BB7910" s="42"/>
      <c r="BC7910" s="74"/>
      <c r="BD7910" s="77"/>
      <c r="BF7910">
        <v>44.96</v>
      </c>
      <c r="BH7910" s="42"/>
      <c r="BI7910" s="74"/>
      <c r="BJ7910" s="77"/>
      <c r="BL7910" s="497">
        <v>33.979999999999997</v>
      </c>
      <c r="BN7910" s="42"/>
      <c r="BO7910" s="74"/>
      <c r="BP7910" s="77"/>
      <c r="BR7910" s="497">
        <v>30.02</v>
      </c>
      <c r="BT7910" s="42"/>
    </row>
    <row r="7911" spans="1:72" x14ac:dyDescent="0.25">
      <c r="A7911" s="90">
        <v>36855</v>
      </c>
      <c r="B7911" s="20">
        <v>0.875</v>
      </c>
      <c r="D7911">
        <v>48.019999999999996</v>
      </c>
      <c r="E7911" t="str">
        <f t="shared" si="282"/>
        <v>SATURDAY</v>
      </c>
      <c r="F7911" t="e">
        <f t="shared" si="281"/>
        <v>#N/A</v>
      </c>
      <c r="G7911" s="74">
        <v>28819</v>
      </c>
      <c r="H7911" s="77">
        <v>0.875</v>
      </c>
      <c r="J7911">
        <v>35.06</v>
      </c>
      <c r="M7911" s="74">
        <v>36124</v>
      </c>
      <c r="N7911" s="77">
        <v>0.875</v>
      </c>
      <c r="P7911">
        <v>39.200000000000003</v>
      </c>
      <c r="S7911" s="74">
        <v>36855</v>
      </c>
      <c r="T7911" s="77">
        <v>0.875</v>
      </c>
      <c r="V7911">
        <v>37.04</v>
      </c>
      <c r="X7911" s="42"/>
      <c r="AB7911">
        <v>45.3</v>
      </c>
      <c r="AC7911">
        <v>33.979999999999997</v>
      </c>
      <c r="AE7911" s="74"/>
      <c r="AF7911" s="77"/>
      <c r="AH7911" s="497">
        <v>55.400000000000006</v>
      </c>
      <c r="AJ7911" s="42"/>
      <c r="AK7911" s="74"/>
      <c r="AL7911" s="77"/>
      <c r="AN7911" s="497">
        <v>39.019999999999996</v>
      </c>
      <c r="AP7911" s="42"/>
      <c r="AQ7911" s="74"/>
      <c r="AR7911" s="77"/>
      <c r="AT7911" s="497">
        <v>33.979999999999997</v>
      </c>
      <c r="AV7911" s="42"/>
      <c r="AW7911" s="74"/>
      <c r="AX7911" s="77"/>
      <c r="BA7911" s="497">
        <v>57.019999999999996</v>
      </c>
      <c r="BB7911" s="42"/>
      <c r="BC7911" s="74"/>
      <c r="BD7911" s="77"/>
      <c r="BF7911">
        <v>48.019999999999996</v>
      </c>
      <c r="BH7911" s="42"/>
      <c r="BI7911" s="74"/>
      <c r="BJ7911" s="77"/>
      <c r="BL7911" s="497">
        <v>35.96</v>
      </c>
      <c r="BN7911" s="42"/>
      <c r="BO7911" s="74"/>
      <c r="BP7911" s="77"/>
      <c r="BR7911" s="497">
        <v>30.92</v>
      </c>
      <c r="BT7911" s="42"/>
    </row>
    <row r="7912" spans="1:72" x14ac:dyDescent="0.25">
      <c r="A7912" s="90">
        <v>36855</v>
      </c>
      <c r="B7912" s="20">
        <v>0.91666666666666663</v>
      </c>
      <c r="D7912">
        <v>46.94</v>
      </c>
      <c r="E7912" t="str">
        <f t="shared" si="282"/>
        <v>SATURDAY</v>
      </c>
      <c r="F7912" t="e">
        <f t="shared" si="281"/>
        <v>#N/A</v>
      </c>
      <c r="G7912" s="74">
        <v>28819</v>
      </c>
      <c r="H7912" s="77">
        <v>0.91666666666666663</v>
      </c>
      <c r="J7912">
        <v>33.979999999999997</v>
      </c>
      <c r="M7912" s="74">
        <v>36124</v>
      </c>
      <c r="N7912" s="77">
        <v>0.91666666666666663</v>
      </c>
      <c r="P7912">
        <v>39.200000000000003</v>
      </c>
      <c r="S7912" s="74">
        <v>36855</v>
      </c>
      <c r="T7912" s="77">
        <v>0.91666666666666663</v>
      </c>
      <c r="V7912">
        <v>37.94</v>
      </c>
      <c r="X7912" s="42"/>
      <c r="AB7912">
        <v>44.8</v>
      </c>
      <c r="AC7912">
        <v>33.08</v>
      </c>
      <c r="AE7912" s="74"/>
      <c r="AF7912" s="77"/>
      <c r="AH7912" s="497">
        <v>55.400000000000006</v>
      </c>
      <c r="AJ7912" s="42"/>
      <c r="AK7912" s="74"/>
      <c r="AL7912" s="77"/>
      <c r="AN7912" s="497">
        <v>37.94</v>
      </c>
      <c r="AP7912" s="42"/>
      <c r="AQ7912" s="74"/>
      <c r="AR7912" s="77"/>
      <c r="AT7912" s="497">
        <v>33.08</v>
      </c>
      <c r="AV7912" s="42"/>
      <c r="AW7912" s="74"/>
      <c r="AX7912" s="77"/>
      <c r="BA7912" s="497">
        <v>57.92</v>
      </c>
      <c r="BB7912" s="42"/>
      <c r="BC7912" s="74"/>
      <c r="BD7912" s="77"/>
      <c r="BF7912">
        <v>46.04</v>
      </c>
      <c r="BH7912" s="42"/>
      <c r="BI7912" s="74"/>
      <c r="BJ7912" s="77"/>
      <c r="BL7912" s="497">
        <v>39.92</v>
      </c>
      <c r="BN7912" s="42"/>
      <c r="BO7912" s="74"/>
      <c r="BP7912" s="77"/>
      <c r="BR7912" s="497">
        <v>30.92</v>
      </c>
      <c r="BT7912" s="42"/>
    </row>
    <row r="7913" spans="1:72" x14ac:dyDescent="0.25">
      <c r="A7913" s="90">
        <v>36855</v>
      </c>
      <c r="B7913" s="20">
        <v>0.95833333333333337</v>
      </c>
      <c r="D7913">
        <v>46.04</v>
      </c>
      <c r="E7913" t="str">
        <f t="shared" si="282"/>
        <v>SATURDAY</v>
      </c>
      <c r="F7913" t="e">
        <f t="shared" si="281"/>
        <v>#N/A</v>
      </c>
      <c r="G7913" s="74">
        <v>28819</v>
      </c>
      <c r="H7913" s="77">
        <v>0.95833333333333337</v>
      </c>
      <c r="J7913">
        <v>33.08</v>
      </c>
      <c r="M7913" s="74">
        <v>36124</v>
      </c>
      <c r="N7913" s="77">
        <v>0.95833333333333337</v>
      </c>
      <c r="P7913">
        <v>41</v>
      </c>
      <c r="S7913" s="74">
        <v>36855</v>
      </c>
      <c r="T7913" s="77">
        <v>0.95833333333333337</v>
      </c>
      <c r="V7913">
        <v>39.92</v>
      </c>
      <c r="X7913" s="42"/>
      <c r="AB7913">
        <v>44.3</v>
      </c>
      <c r="AC7913">
        <v>32</v>
      </c>
      <c r="AE7913" s="74"/>
      <c r="AF7913" s="77"/>
      <c r="AH7913" s="497">
        <v>55.400000000000006</v>
      </c>
      <c r="AJ7913" s="42"/>
      <c r="AK7913" s="74"/>
      <c r="AL7913" s="77"/>
      <c r="AN7913" s="497">
        <v>37.94</v>
      </c>
      <c r="AP7913" s="42"/>
      <c r="AQ7913" s="74"/>
      <c r="AR7913" s="77"/>
      <c r="AT7913" s="497">
        <v>30.92</v>
      </c>
      <c r="AV7913" s="42"/>
      <c r="AW7913" s="74"/>
      <c r="AX7913" s="77"/>
      <c r="BA7913" s="497">
        <v>57.92</v>
      </c>
      <c r="BB7913" s="42"/>
      <c r="BC7913" s="74"/>
      <c r="BD7913" s="77"/>
      <c r="BF7913">
        <v>46.94</v>
      </c>
      <c r="BH7913" s="42"/>
      <c r="BI7913" s="74"/>
      <c r="BJ7913" s="77"/>
      <c r="BL7913" s="497">
        <v>39.92</v>
      </c>
      <c r="BN7913" s="42"/>
      <c r="BO7913" s="74"/>
      <c r="BP7913" s="77"/>
      <c r="BR7913" s="497">
        <v>33.08</v>
      </c>
      <c r="BT7913" s="42"/>
    </row>
    <row r="7914" spans="1:72" x14ac:dyDescent="0.25">
      <c r="A7914" s="90">
        <v>36855</v>
      </c>
      <c r="B7914" s="20">
        <v>1</v>
      </c>
      <c r="D7914">
        <v>46.04</v>
      </c>
      <c r="E7914" t="str">
        <f t="shared" si="282"/>
        <v>SATURDAY</v>
      </c>
      <c r="F7914" t="e">
        <f t="shared" si="281"/>
        <v>#N/A</v>
      </c>
      <c r="G7914" s="74">
        <v>28819</v>
      </c>
      <c r="H7914" s="77">
        <v>1</v>
      </c>
      <c r="J7914">
        <v>32</v>
      </c>
      <c r="M7914" s="74">
        <v>36124</v>
      </c>
      <c r="N7914" s="80">
        <v>1</v>
      </c>
      <c r="P7914">
        <v>41</v>
      </c>
      <c r="S7914" s="74">
        <v>36855</v>
      </c>
      <c r="T7914" s="80">
        <v>1</v>
      </c>
      <c r="V7914">
        <v>41</v>
      </c>
      <c r="X7914" s="42"/>
      <c r="AB7914">
        <v>43.9</v>
      </c>
      <c r="AC7914">
        <v>28.94</v>
      </c>
      <c r="AE7914" s="74"/>
      <c r="AF7914" s="80"/>
      <c r="AH7914" s="497">
        <v>53.6</v>
      </c>
      <c r="AJ7914" s="42"/>
      <c r="AK7914" s="74"/>
      <c r="AL7914" s="80"/>
      <c r="AN7914" s="497">
        <v>37.04</v>
      </c>
      <c r="AP7914" s="42"/>
      <c r="AQ7914" s="74"/>
      <c r="AR7914" s="80"/>
      <c r="AT7914" s="497">
        <v>30.02</v>
      </c>
      <c r="AV7914" s="42"/>
      <c r="AW7914" s="74"/>
      <c r="AX7914" s="80"/>
      <c r="BA7914" s="497">
        <v>53.96</v>
      </c>
      <c r="BB7914" s="42"/>
      <c r="BC7914" s="74"/>
      <c r="BD7914" s="80"/>
      <c r="BF7914">
        <v>48.92</v>
      </c>
      <c r="BH7914" s="42"/>
      <c r="BI7914" s="74"/>
      <c r="BJ7914" s="80"/>
      <c r="BL7914" s="497">
        <v>42.08</v>
      </c>
      <c r="BN7914" s="42"/>
      <c r="BO7914" s="74"/>
      <c r="BP7914" s="80"/>
      <c r="BR7914" s="497">
        <v>33.08</v>
      </c>
      <c r="BT7914" s="42"/>
    </row>
    <row r="7915" spans="1:72" x14ac:dyDescent="0.25">
      <c r="A7915" s="90">
        <v>36856</v>
      </c>
      <c r="B7915" s="20">
        <v>4.1666666666666664E-2</v>
      </c>
      <c r="D7915">
        <v>46.94</v>
      </c>
      <c r="E7915" t="str">
        <f t="shared" si="282"/>
        <v>SUNDAY</v>
      </c>
      <c r="F7915" t="e">
        <f t="shared" ref="F7915:F7978" si="283">IF(E7915="WEEKDAY",VLOOKUP(B7915,$DD$19:$DG$42,2),IF(E7915="SATURDAY",VLOOKUP(B7915,$DD$19:$DG$42,3),VLOOKUP(B7915,$DD$19:$DG$42,4)))</f>
        <v>#N/A</v>
      </c>
      <c r="G7915" s="74">
        <v>28820</v>
      </c>
      <c r="H7915" s="77">
        <v>4.1666666666666664E-2</v>
      </c>
      <c r="J7915">
        <v>32</v>
      </c>
      <c r="M7915" s="74">
        <v>36125</v>
      </c>
      <c r="N7915" s="77">
        <v>4.1666666666666664E-2</v>
      </c>
      <c r="P7915">
        <v>42.8</v>
      </c>
      <c r="S7915" s="74">
        <v>36856</v>
      </c>
      <c r="T7915" s="77">
        <v>4.1666666666666664E-2</v>
      </c>
      <c r="V7915">
        <v>42.980000000000004</v>
      </c>
      <c r="X7915" s="42"/>
      <c r="AB7915">
        <v>43.4</v>
      </c>
      <c r="AC7915">
        <v>28.94</v>
      </c>
      <c r="AE7915" s="74"/>
      <c r="AF7915" s="77"/>
      <c r="AH7915" s="497">
        <v>52.7</v>
      </c>
      <c r="AJ7915" s="42"/>
      <c r="AK7915" s="74"/>
      <c r="AL7915" s="77"/>
      <c r="AN7915" s="497">
        <v>37.04</v>
      </c>
      <c r="AP7915" s="42"/>
      <c r="AQ7915" s="74"/>
      <c r="AR7915" s="77"/>
      <c r="AT7915" s="497">
        <v>30.02</v>
      </c>
      <c r="AV7915" s="42"/>
      <c r="AW7915" s="74"/>
      <c r="AX7915" s="77"/>
      <c r="BA7915" s="497">
        <v>50</v>
      </c>
      <c r="BB7915" s="42"/>
      <c r="BC7915" s="74"/>
      <c r="BD7915" s="77"/>
      <c r="BF7915">
        <v>50</v>
      </c>
      <c r="BH7915" s="42"/>
      <c r="BI7915" s="74"/>
      <c r="BJ7915" s="77"/>
      <c r="BL7915" s="497">
        <v>42.980000000000004</v>
      </c>
      <c r="BN7915" s="42"/>
      <c r="BO7915" s="74"/>
      <c r="BP7915" s="77"/>
      <c r="BR7915" s="497">
        <v>30.02</v>
      </c>
      <c r="BT7915" s="42"/>
    </row>
    <row r="7916" spans="1:72" x14ac:dyDescent="0.25">
      <c r="A7916" s="90">
        <v>36856</v>
      </c>
      <c r="B7916" s="20">
        <v>8.3333333333333329E-2</v>
      </c>
      <c r="D7916">
        <v>46.04</v>
      </c>
      <c r="E7916" t="str">
        <f t="shared" si="282"/>
        <v>SUNDAY</v>
      </c>
      <c r="F7916" t="e">
        <f t="shared" si="283"/>
        <v>#N/A</v>
      </c>
      <c r="G7916" s="74">
        <v>28820</v>
      </c>
      <c r="H7916" s="77">
        <v>8.3333333333333329E-2</v>
      </c>
      <c r="J7916">
        <v>30.92</v>
      </c>
      <c r="M7916" s="74">
        <v>36125</v>
      </c>
      <c r="N7916" s="77">
        <v>8.3333333333333329E-2</v>
      </c>
      <c r="P7916">
        <v>44.6</v>
      </c>
      <c r="S7916" s="74">
        <v>36856</v>
      </c>
      <c r="T7916" s="77">
        <v>8.3333333333333329E-2</v>
      </c>
      <c r="V7916">
        <v>44.06</v>
      </c>
      <c r="X7916" s="42"/>
      <c r="AB7916">
        <v>42.9</v>
      </c>
      <c r="AC7916">
        <v>28.94</v>
      </c>
      <c r="AE7916" s="74"/>
      <c r="AF7916" s="77"/>
      <c r="AH7916" s="497">
        <v>51.8</v>
      </c>
      <c r="AJ7916" s="42"/>
      <c r="AK7916" s="74"/>
      <c r="AL7916" s="77"/>
      <c r="AN7916" s="497">
        <v>37.04</v>
      </c>
      <c r="AP7916" s="42"/>
      <c r="AQ7916" s="74"/>
      <c r="AR7916" s="77"/>
      <c r="AT7916" s="497">
        <v>28.94</v>
      </c>
      <c r="AV7916" s="42"/>
      <c r="AW7916" s="74"/>
      <c r="AX7916" s="77"/>
      <c r="BA7916" s="497">
        <v>48.019999999999996</v>
      </c>
      <c r="BB7916" s="42"/>
      <c r="BC7916" s="74"/>
      <c r="BD7916" s="77"/>
      <c r="BF7916">
        <v>48.92</v>
      </c>
      <c r="BH7916" s="42"/>
      <c r="BI7916" s="74"/>
      <c r="BJ7916" s="77"/>
      <c r="BL7916" s="497">
        <v>42.980000000000004</v>
      </c>
      <c r="BN7916" s="42"/>
      <c r="BO7916" s="74"/>
      <c r="BP7916" s="77"/>
      <c r="BR7916" s="497">
        <v>30.02</v>
      </c>
      <c r="BT7916" s="42"/>
    </row>
    <row r="7917" spans="1:72" x14ac:dyDescent="0.25">
      <c r="A7917" s="90">
        <v>36856</v>
      </c>
      <c r="B7917" s="20">
        <v>0.125</v>
      </c>
      <c r="D7917">
        <v>44.96</v>
      </c>
      <c r="E7917" t="str">
        <f t="shared" si="282"/>
        <v>SUNDAY</v>
      </c>
      <c r="F7917" t="e">
        <f t="shared" si="283"/>
        <v>#N/A</v>
      </c>
      <c r="G7917" s="74">
        <v>28820</v>
      </c>
      <c r="H7917" s="77">
        <v>0.125</v>
      </c>
      <c r="J7917">
        <v>30.92</v>
      </c>
      <c r="M7917" s="74">
        <v>36125</v>
      </c>
      <c r="N7917" s="77">
        <v>0.125</v>
      </c>
      <c r="P7917">
        <v>44.6</v>
      </c>
      <c r="S7917" s="74">
        <v>36856</v>
      </c>
      <c r="T7917" s="77">
        <v>0.125</v>
      </c>
      <c r="V7917">
        <v>44.06</v>
      </c>
      <c r="X7917" s="42"/>
      <c r="AB7917">
        <v>42.5</v>
      </c>
      <c r="AC7917">
        <v>30.02</v>
      </c>
      <c r="AE7917" s="74"/>
      <c r="AF7917" s="77"/>
      <c r="AH7917" s="497">
        <v>51.8</v>
      </c>
      <c r="AJ7917" s="42"/>
      <c r="AK7917" s="74"/>
      <c r="AL7917" s="77"/>
      <c r="AN7917" s="497">
        <v>37.94</v>
      </c>
      <c r="AP7917" s="42"/>
      <c r="AQ7917" s="74"/>
      <c r="AR7917" s="77"/>
      <c r="AT7917" s="497">
        <v>28.04</v>
      </c>
      <c r="AV7917" s="42"/>
      <c r="AW7917" s="74"/>
      <c r="AX7917" s="77"/>
      <c r="BA7917" s="497">
        <v>42.08</v>
      </c>
      <c r="BB7917" s="42"/>
      <c r="BC7917" s="74"/>
      <c r="BD7917" s="77"/>
      <c r="BF7917">
        <v>51.08</v>
      </c>
      <c r="BH7917" s="42"/>
      <c r="BI7917" s="74"/>
      <c r="BJ7917" s="77"/>
      <c r="BL7917" s="497">
        <v>44.06</v>
      </c>
      <c r="BN7917" s="42"/>
      <c r="BO7917" s="74"/>
      <c r="BP7917" s="77"/>
      <c r="BR7917" s="497">
        <v>28.94</v>
      </c>
      <c r="BT7917" s="42"/>
    </row>
    <row r="7918" spans="1:72" x14ac:dyDescent="0.25">
      <c r="A7918" s="90">
        <v>36856</v>
      </c>
      <c r="B7918" s="20">
        <v>0.16666666666666666</v>
      </c>
      <c r="D7918">
        <v>42.980000000000004</v>
      </c>
      <c r="E7918" t="str">
        <f t="shared" si="282"/>
        <v>SUNDAY</v>
      </c>
      <c r="F7918" t="e">
        <f t="shared" si="283"/>
        <v>#N/A</v>
      </c>
      <c r="G7918" s="74">
        <v>28820</v>
      </c>
      <c r="H7918" s="77">
        <v>0.16666666666666666</v>
      </c>
      <c r="J7918">
        <v>30.02</v>
      </c>
      <c r="M7918" s="74">
        <v>36125</v>
      </c>
      <c r="N7918" s="77">
        <v>0.16666666666666666</v>
      </c>
      <c r="P7918">
        <v>44.6</v>
      </c>
      <c r="S7918" s="74">
        <v>36856</v>
      </c>
      <c r="T7918" s="77">
        <v>0.16666666666666666</v>
      </c>
      <c r="V7918">
        <v>46.04</v>
      </c>
      <c r="X7918" s="42"/>
      <c r="AB7918">
        <v>42.2</v>
      </c>
      <c r="AC7918">
        <v>30.02</v>
      </c>
      <c r="AE7918" s="74"/>
      <c r="AF7918" s="77"/>
      <c r="AH7918" s="497">
        <v>51.8</v>
      </c>
      <c r="AJ7918" s="42"/>
      <c r="AK7918" s="74"/>
      <c r="AL7918" s="77"/>
      <c r="AN7918" s="497">
        <v>39.019999999999996</v>
      </c>
      <c r="AP7918" s="42"/>
      <c r="AQ7918" s="74"/>
      <c r="AR7918" s="77"/>
      <c r="AT7918" s="497">
        <v>26.96</v>
      </c>
      <c r="AV7918" s="42"/>
      <c r="AW7918" s="74"/>
      <c r="AX7918" s="77"/>
      <c r="BA7918" s="497">
        <v>39.92</v>
      </c>
      <c r="BB7918" s="42"/>
      <c r="BC7918" s="74"/>
      <c r="BD7918" s="77"/>
      <c r="BF7918">
        <v>50</v>
      </c>
      <c r="BH7918" s="42"/>
      <c r="BI7918" s="74"/>
      <c r="BJ7918" s="77"/>
      <c r="BL7918" s="497">
        <v>44.06</v>
      </c>
      <c r="BN7918" s="42"/>
      <c r="BO7918" s="74"/>
      <c r="BP7918" s="77"/>
      <c r="BR7918" s="497">
        <v>28.94</v>
      </c>
      <c r="BT7918" s="42"/>
    </row>
    <row r="7919" spans="1:72" x14ac:dyDescent="0.25">
      <c r="A7919" s="90">
        <v>36856</v>
      </c>
      <c r="B7919" s="20">
        <v>0.20833333333333334</v>
      </c>
      <c r="D7919">
        <v>42.980000000000004</v>
      </c>
      <c r="E7919" t="str">
        <f t="shared" si="282"/>
        <v>SUNDAY</v>
      </c>
      <c r="F7919" t="e">
        <f t="shared" si="283"/>
        <v>#N/A</v>
      </c>
      <c r="G7919" s="74">
        <v>28820</v>
      </c>
      <c r="H7919" s="77">
        <v>0.20833333333333334</v>
      </c>
      <c r="J7919">
        <v>28.94</v>
      </c>
      <c r="M7919" s="74">
        <v>36125</v>
      </c>
      <c r="N7919" s="77">
        <v>0.20833333333333334</v>
      </c>
      <c r="P7919">
        <v>46.4</v>
      </c>
      <c r="S7919" s="74">
        <v>36856</v>
      </c>
      <c r="T7919" s="77">
        <v>0.20833333333333334</v>
      </c>
      <c r="V7919">
        <v>48.019999999999996</v>
      </c>
      <c r="X7919" s="42"/>
      <c r="AB7919">
        <v>41.8</v>
      </c>
      <c r="AC7919">
        <v>30.92</v>
      </c>
      <c r="AE7919" s="74"/>
      <c r="AF7919" s="77"/>
      <c r="AH7919" s="497">
        <v>50</v>
      </c>
      <c r="AJ7919" s="42"/>
      <c r="AK7919" s="74"/>
      <c r="AL7919" s="77"/>
      <c r="AN7919" s="497">
        <v>41</v>
      </c>
      <c r="AP7919" s="42"/>
      <c r="AQ7919" s="74"/>
      <c r="AR7919" s="77"/>
      <c r="AT7919" s="497">
        <v>26.96</v>
      </c>
      <c r="AV7919" s="42"/>
      <c r="AW7919" s="74"/>
      <c r="AX7919" s="77"/>
      <c r="BA7919" s="497">
        <v>37.94</v>
      </c>
      <c r="BB7919" s="42"/>
      <c r="BC7919" s="74"/>
      <c r="BD7919" s="77"/>
      <c r="BF7919">
        <v>51.08</v>
      </c>
      <c r="BH7919" s="42"/>
      <c r="BI7919" s="74"/>
      <c r="BJ7919" s="77"/>
      <c r="BL7919" s="497">
        <v>46.04</v>
      </c>
      <c r="BN7919" s="42"/>
      <c r="BO7919" s="74"/>
      <c r="BP7919" s="77"/>
      <c r="BR7919" s="497">
        <v>28.94</v>
      </c>
      <c r="BT7919" s="42"/>
    </row>
    <row r="7920" spans="1:72" x14ac:dyDescent="0.25">
      <c r="A7920" s="90">
        <v>36856</v>
      </c>
      <c r="B7920" s="20">
        <v>0.25</v>
      </c>
      <c r="D7920">
        <v>42.980000000000004</v>
      </c>
      <c r="E7920" t="str">
        <f t="shared" si="282"/>
        <v>SUNDAY</v>
      </c>
      <c r="F7920" t="e">
        <f t="shared" si="283"/>
        <v>#N/A</v>
      </c>
      <c r="G7920" s="74">
        <v>28820</v>
      </c>
      <c r="H7920" s="77">
        <v>0.25</v>
      </c>
      <c r="J7920">
        <v>28.04</v>
      </c>
      <c r="M7920" s="74">
        <v>36125</v>
      </c>
      <c r="N7920" s="77">
        <v>0.25</v>
      </c>
      <c r="P7920">
        <v>46.4</v>
      </c>
      <c r="S7920" s="74">
        <v>36856</v>
      </c>
      <c r="T7920" s="77">
        <v>0.25</v>
      </c>
      <c r="V7920">
        <v>48.019999999999996</v>
      </c>
      <c r="X7920" s="42"/>
      <c r="AB7920">
        <v>41.7</v>
      </c>
      <c r="AC7920">
        <v>28.94</v>
      </c>
      <c r="AE7920" s="74"/>
      <c r="AF7920" s="77"/>
      <c r="AH7920" s="497">
        <v>50</v>
      </c>
      <c r="AJ7920" s="42"/>
      <c r="AK7920" s="74"/>
      <c r="AL7920" s="77"/>
      <c r="AN7920" s="497">
        <v>35.96</v>
      </c>
      <c r="AP7920" s="42"/>
      <c r="AQ7920" s="74"/>
      <c r="AR7920" s="77"/>
      <c r="AT7920" s="497">
        <v>24.98</v>
      </c>
      <c r="AV7920" s="42"/>
      <c r="AW7920" s="74"/>
      <c r="AX7920" s="77"/>
      <c r="BA7920" s="497">
        <v>37.04</v>
      </c>
      <c r="BB7920" s="42"/>
      <c r="BC7920" s="74"/>
      <c r="BD7920" s="77"/>
      <c r="BF7920">
        <v>51.08</v>
      </c>
      <c r="BH7920" s="42"/>
      <c r="BI7920" s="74"/>
      <c r="BJ7920" s="77"/>
      <c r="BL7920" s="497">
        <v>46.04</v>
      </c>
      <c r="BN7920" s="42"/>
      <c r="BO7920" s="74"/>
      <c r="BP7920" s="77"/>
      <c r="BR7920" s="497">
        <v>28.04</v>
      </c>
      <c r="BT7920" s="42"/>
    </row>
    <row r="7921" spans="1:72" x14ac:dyDescent="0.25">
      <c r="A7921" s="90">
        <v>36856</v>
      </c>
      <c r="B7921" s="20">
        <v>0.29166666666666669</v>
      </c>
      <c r="D7921">
        <v>42.08</v>
      </c>
      <c r="E7921" t="str">
        <f t="shared" si="282"/>
        <v>SUNDAY</v>
      </c>
      <c r="F7921" t="e">
        <f t="shared" si="283"/>
        <v>#N/A</v>
      </c>
      <c r="G7921" s="74">
        <v>28820</v>
      </c>
      <c r="H7921" s="77">
        <v>0.29166666666666669</v>
      </c>
      <c r="J7921">
        <v>26.96</v>
      </c>
      <c r="M7921" s="74">
        <v>36125</v>
      </c>
      <c r="N7921" s="77">
        <v>0.29166666666666669</v>
      </c>
      <c r="P7921">
        <v>46.4</v>
      </c>
      <c r="S7921" s="74">
        <v>36856</v>
      </c>
      <c r="T7921" s="77">
        <v>0.29166666666666669</v>
      </c>
      <c r="V7921">
        <v>46.94</v>
      </c>
      <c r="X7921" s="42"/>
      <c r="AB7921">
        <v>41.5</v>
      </c>
      <c r="AC7921">
        <v>28.94</v>
      </c>
      <c r="AE7921" s="74"/>
      <c r="AF7921" s="77"/>
      <c r="AH7921" s="497">
        <v>50</v>
      </c>
      <c r="AJ7921" s="42"/>
      <c r="AK7921" s="74"/>
      <c r="AL7921" s="77"/>
      <c r="AN7921" s="497">
        <v>39.92</v>
      </c>
      <c r="AP7921" s="42"/>
      <c r="AQ7921" s="74"/>
      <c r="AR7921" s="77"/>
      <c r="AT7921" s="497">
        <v>24.98</v>
      </c>
      <c r="AV7921" s="42"/>
      <c r="AW7921" s="74"/>
      <c r="AX7921" s="77"/>
      <c r="BA7921" s="497">
        <v>37.04</v>
      </c>
      <c r="BB7921" s="42"/>
      <c r="BC7921" s="74"/>
      <c r="BD7921" s="77"/>
      <c r="BF7921">
        <v>50</v>
      </c>
      <c r="BH7921" s="42"/>
      <c r="BI7921" s="74"/>
      <c r="BJ7921" s="77"/>
      <c r="BL7921" s="497">
        <v>44.96</v>
      </c>
      <c r="BN7921" s="42"/>
      <c r="BO7921" s="74"/>
      <c r="BP7921" s="77"/>
      <c r="BR7921" s="497">
        <v>26.96</v>
      </c>
      <c r="BT7921" s="42"/>
    </row>
    <row r="7922" spans="1:72" x14ac:dyDescent="0.25">
      <c r="A7922" s="90">
        <v>36856</v>
      </c>
      <c r="B7922" s="20">
        <v>0.33333333333333331</v>
      </c>
      <c r="D7922">
        <v>42.08</v>
      </c>
      <c r="E7922" t="str">
        <f t="shared" si="282"/>
        <v>SUNDAY</v>
      </c>
      <c r="F7922" t="e">
        <f t="shared" si="283"/>
        <v>#N/A</v>
      </c>
      <c r="G7922" s="74">
        <v>28820</v>
      </c>
      <c r="H7922" s="77">
        <v>0.33333333333333331</v>
      </c>
      <c r="J7922">
        <v>26.96</v>
      </c>
      <c r="M7922" s="74">
        <v>36125</v>
      </c>
      <c r="N7922" s="77">
        <v>0.33333333333333331</v>
      </c>
      <c r="P7922">
        <v>48.2</v>
      </c>
      <c r="S7922" s="74">
        <v>36856</v>
      </c>
      <c r="T7922" s="77">
        <v>0.33333333333333331</v>
      </c>
      <c r="V7922">
        <v>48.019999999999996</v>
      </c>
      <c r="X7922" s="42"/>
      <c r="AB7922">
        <v>41.6</v>
      </c>
      <c r="AC7922">
        <v>30.92</v>
      </c>
      <c r="AE7922" s="74"/>
      <c r="AF7922" s="77"/>
      <c r="AH7922" s="497">
        <v>48.2</v>
      </c>
      <c r="AJ7922" s="42"/>
      <c r="AK7922" s="74"/>
      <c r="AL7922" s="77"/>
      <c r="AN7922" s="497">
        <v>41</v>
      </c>
      <c r="AP7922" s="42"/>
      <c r="AQ7922" s="74"/>
      <c r="AR7922" s="77"/>
      <c r="AT7922" s="497">
        <v>26.060000000000002</v>
      </c>
      <c r="AV7922" s="42"/>
      <c r="AW7922" s="74"/>
      <c r="AX7922" s="77"/>
      <c r="BA7922" s="497">
        <v>35.06</v>
      </c>
      <c r="BB7922" s="42"/>
      <c r="BC7922" s="74"/>
      <c r="BD7922" s="77"/>
      <c r="BF7922">
        <v>51.08</v>
      </c>
      <c r="BH7922" s="42"/>
      <c r="BI7922" s="74"/>
      <c r="BJ7922" s="77"/>
      <c r="BL7922" s="497">
        <v>46.94</v>
      </c>
      <c r="BN7922" s="42"/>
      <c r="BO7922" s="74"/>
      <c r="BP7922" s="77"/>
      <c r="BR7922" s="497">
        <v>26.96</v>
      </c>
      <c r="BT7922" s="42"/>
    </row>
    <row r="7923" spans="1:72" x14ac:dyDescent="0.25">
      <c r="A7923" s="90">
        <v>36856</v>
      </c>
      <c r="B7923" s="20">
        <v>0.375</v>
      </c>
      <c r="D7923">
        <v>42.980000000000004</v>
      </c>
      <c r="E7923" t="str">
        <f t="shared" si="282"/>
        <v>SUNDAY</v>
      </c>
      <c r="F7923" t="e">
        <f t="shared" si="283"/>
        <v>#N/A</v>
      </c>
      <c r="G7923" s="74">
        <v>28820</v>
      </c>
      <c r="H7923" s="77">
        <v>0.375</v>
      </c>
      <c r="J7923">
        <v>28.04</v>
      </c>
      <c r="M7923" s="74">
        <v>36125</v>
      </c>
      <c r="N7923" s="77">
        <v>0.375</v>
      </c>
      <c r="P7923">
        <v>48.2</v>
      </c>
      <c r="S7923" s="74">
        <v>36856</v>
      </c>
      <c r="T7923" s="77">
        <v>0.375</v>
      </c>
      <c r="V7923">
        <v>48.92</v>
      </c>
      <c r="X7923" s="42"/>
      <c r="AB7923">
        <v>42.6</v>
      </c>
      <c r="AC7923">
        <v>39.92</v>
      </c>
      <c r="AE7923" s="74"/>
      <c r="AF7923" s="77"/>
      <c r="AH7923" s="497">
        <v>48.2</v>
      </c>
      <c r="AJ7923" s="42"/>
      <c r="AK7923" s="74"/>
      <c r="AL7923" s="77"/>
      <c r="AN7923" s="497">
        <v>42.08</v>
      </c>
      <c r="AP7923" s="42"/>
      <c r="AQ7923" s="74"/>
      <c r="AR7923" s="77"/>
      <c r="AT7923" s="497">
        <v>28.94</v>
      </c>
      <c r="AV7923" s="42"/>
      <c r="AW7923" s="74"/>
      <c r="AX7923" s="77"/>
      <c r="BA7923" s="497">
        <v>33.979999999999997</v>
      </c>
      <c r="BB7923" s="42"/>
      <c r="BC7923" s="74"/>
      <c r="BD7923" s="77"/>
      <c r="BF7923">
        <v>51.08</v>
      </c>
      <c r="BH7923" s="42"/>
      <c r="BI7923" s="74"/>
      <c r="BJ7923" s="77"/>
      <c r="BL7923" s="497">
        <v>46.94</v>
      </c>
      <c r="BN7923" s="42"/>
      <c r="BO7923" s="74"/>
      <c r="BP7923" s="77"/>
      <c r="BR7923" s="497">
        <v>26.96</v>
      </c>
      <c r="BT7923" s="42"/>
    </row>
    <row r="7924" spans="1:72" x14ac:dyDescent="0.25">
      <c r="A7924" s="90">
        <v>36856</v>
      </c>
      <c r="B7924" s="20">
        <v>0.41666666666666669</v>
      </c>
      <c r="D7924">
        <v>44.06</v>
      </c>
      <c r="E7924" t="str">
        <f t="shared" si="282"/>
        <v>SUNDAY</v>
      </c>
      <c r="F7924" t="e">
        <f t="shared" si="283"/>
        <v>#N/A</v>
      </c>
      <c r="G7924" s="74">
        <v>28820</v>
      </c>
      <c r="H7924" s="77">
        <v>0.41666666666666669</v>
      </c>
      <c r="J7924">
        <v>28.94</v>
      </c>
      <c r="M7924" s="74">
        <v>36125</v>
      </c>
      <c r="N7924" s="77">
        <v>0.41666666666666669</v>
      </c>
      <c r="P7924">
        <v>50</v>
      </c>
      <c r="S7924" s="74">
        <v>36856</v>
      </c>
      <c r="T7924" s="77">
        <v>0.41666666666666669</v>
      </c>
      <c r="V7924">
        <v>50</v>
      </c>
      <c r="X7924" s="42"/>
      <c r="AB7924">
        <v>44.5</v>
      </c>
      <c r="AC7924">
        <v>42.08</v>
      </c>
      <c r="AE7924" s="74"/>
      <c r="AF7924" s="77"/>
      <c r="AH7924" s="497">
        <v>48.2</v>
      </c>
      <c r="AJ7924" s="42"/>
      <c r="AK7924" s="74"/>
      <c r="AL7924" s="77"/>
      <c r="AN7924" s="497">
        <v>42.980000000000004</v>
      </c>
      <c r="AP7924" s="42"/>
      <c r="AQ7924" s="74"/>
      <c r="AR7924" s="77"/>
      <c r="AT7924" s="497">
        <v>30.92</v>
      </c>
      <c r="AV7924" s="42"/>
      <c r="AW7924" s="74"/>
      <c r="AX7924" s="77"/>
      <c r="BA7924" s="497">
        <v>33.08</v>
      </c>
      <c r="BB7924" s="42"/>
      <c r="BC7924" s="74"/>
      <c r="BD7924" s="77"/>
      <c r="BF7924">
        <v>53.06</v>
      </c>
      <c r="BH7924" s="42"/>
      <c r="BI7924" s="74"/>
      <c r="BJ7924" s="77"/>
      <c r="BL7924" s="497">
        <v>48.019999999999996</v>
      </c>
      <c r="BN7924" s="42"/>
      <c r="BO7924" s="74"/>
      <c r="BP7924" s="77"/>
      <c r="BR7924" s="497">
        <v>28.94</v>
      </c>
      <c r="BT7924" s="42"/>
    </row>
    <row r="7925" spans="1:72" x14ac:dyDescent="0.25">
      <c r="A7925" s="90">
        <v>36856</v>
      </c>
      <c r="B7925" s="20">
        <v>0.45833333333333331</v>
      </c>
      <c r="D7925">
        <v>44.96</v>
      </c>
      <c r="E7925" t="str">
        <f t="shared" si="282"/>
        <v>SUNDAY</v>
      </c>
      <c r="F7925" t="e">
        <f t="shared" si="283"/>
        <v>#N/A</v>
      </c>
      <c r="G7925" s="74">
        <v>28820</v>
      </c>
      <c r="H7925" s="77">
        <v>0.45833333333333331</v>
      </c>
      <c r="J7925">
        <v>30.92</v>
      </c>
      <c r="M7925" s="74">
        <v>36125</v>
      </c>
      <c r="N7925" s="77">
        <v>0.45833333333333331</v>
      </c>
      <c r="P7925">
        <v>50</v>
      </c>
      <c r="S7925" s="74">
        <v>36856</v>
      </c>
      <c r="T7925" s="77">
        <v>0.45833333333333331</v>
      </c>
      <c r="V7925">
        <v>51.08</v>
      </c>
      <c r="X7925" s="42"/>
      <c r="AB7925">
        <v>46.1</v>
      </c>
      <c r="AC7925">
        <v>46.04</v>
      </c>
      <c r="AE7925" s="74"/>
      <c r="AF7925" s="77"/>
      <c r="AH7925" s="497">
        <v>50</v>
      </c>
      <c r="AJ7925" s="42"/>
      <c r="AK7925" s="74"/>
      <c r="AL7925" s="77"/>
      <c r="AN7925" s="497">
        <v>44.96</v>
      </c>
      <c r="AP7925" s="42"/>
      <c r="AQ7925" s="74"/>
      <c r="AR7925" s="77"/>
      <c r="AT7925" s="497">
        <v>32</v>
      </c>
      <c r="AV7925" s="42"/>
      <c r="AW7925" s="74"/>
      <c r="AX7925" s="77"/>
      <c r="BA7925" s="497">
        <v>33.08</v>
      </c>
      <c r="BB7925" s="42"/>
      <c r="BC7925" s="74"/>
      <c r="BD7925" s="77"/>
      <c r="BF7925">
        <v>59</v>
      </c>
      <c r="BH7925" s="42"/>
      <c r="BI7925" s="74"/>
      <c r="BJ7925" s="77"/>
      <c r="BL7925" s="497">
        <v>53.96</v>
      </c>
      <c r="BN7925" s="42"/>
      <c r="BO7925" s="74"/>
      <c r="BP7925" s="77"/>
      <c r="BR7925" s="497">
        <v>28.04</v>
      </c>
      <c r="BT7925" s="42"/>
    </row>
    <row r="7926" spans="1:72" x14ac:dyDescent="0.25">
      <c r="A7926" s="90">
        <v>36856</v>
      </c>
      <c r="B7926" s="20">
        <v>0.5</v>
      </c>
      <c r="D7926">
        <v>44.96</v>
      </c>
      <c r="E7926" t="str">
        <f t="shared" si="282"/>
        <v>SUNDAY</v>
      </c>
      <c r="F7926" t="e">
        <f t="shared" si="283"/>
        <v>#N/A</v>
      </c>
      <c r="G7926" s="74">
        <v>28820</v>
      </c>
      <c r="H7926" s="77">
        <v>0.5</v>
      </c>
      <c r="J7926">
        <v>33.08</v>
      </c>
      <c r="M7926" s="74">
        <v>36125</v>
      </c>
      <c r="N7926" s="77">
        <v>0.5</v>
      </c>
      <c r="P7926">
        <v>51.8</v>
      </c>
      <c r="S7926" s="74">
        <v>36856</v>
      </c>
      <c r="T7926" s="77">
        <v>0.5</v>
      </c>
      <c r="V7926">
        <v>51.08</v>
      </c>
      <c r="X7926" s="42"/>
      <c r="AB7926">
        <v>47.4</v>
      </c>
      <c r="AC7926">
        <v>46.04</v>
      </c>
      <c r="AE7926" s="74"/>
      <c r="AF7926" s="77"/>
      <c r="AH7926" s="497">
        <v>50</v>
      </c>
      <c r="AJ7926" s="42"/>
      <c r="AK7926" s="74"/>
      <c r="AL7926" s="77"/>
      <c r="AN7926" s="497">
        <v>50</v>
      </c>
      <c r="AP7926" s="42"/>
      <c r="AQ7926" s="74"/>
      <c r="AR7926" s="77"/>
      <c r="AT7926" s="497">
        <v>33.08</v>
      </c>
      <c r="AV7926" s="42"/>
      <c r="AW7926" s="74"/>
      <c r="AX7926" s="77"/>
      <c r="BA7926" s="497">
        <v>33.08</v>
      </c>
      <c r="BB7926" s="42"/>
      <c r="BC7926" s="74"/>
      <c r="BD7926" s="77"/>
      <c r="BF7926">
        <v>62.06</v>
      </c>
      <c r="BH7926" s="42"/>
      <c r="BI7926" s="74"/>
      <c r="BJ7926" s="77"/>
      <c r="BL7926" s="497">
        <v>60.08</v>
      </c>
      <c r="BN7926" s="42"/>
      <c r="BO7926" s="74"/>
      <c r="BP7926" s="77"/>
      <c r="BR7926" s="497">
        <v>28.94</v>
      </c>
      <c r="BT7926" s="42"/>
    </row>
    <row r="7927" spans="1:72" x14ac:dyDescent="0.25">
      <c r="A7927" s="90">
        <v>36856</v>
      </c>
      <c r="B7927" s="20">
        <v>0.54166666666666663</v>
      </c>
      <c r="D7927">
        <v>44.06</v>
      </c>
      <c r="E7927" t="str">
        <f t="shared" si="282"/>
        <v>SUNDAY</v>
      </c>
      <c r="F7927" t="e">
        <f t="shared" si="283"/>
        <v>#N/A</v>
      </c>
      <c r="G7927" s="74">
        <v>28820</v>
      </c>
      <c r="H7927" s="77">
        <v>0.54166666666666663</v>
      </c>
      <c r="J7927">
        <v>33.08</v>
      </c>
      <c r="M7927" s="74">
        <v>36125</v>
      </c>
      <c r="N7927" s="77">
        <v>0.54166666666666663</v>
      </c>
      <c r="P7927">
        <v>51.8</v>
      </c>
      <c r="S7927" s="74">
        <v>36856</v>
      </c>
      <c r="T7927" s="77">
        <v>0.54166666666666663</v>
      </c>
      <c r="V7927">
        <v>51.980000000000004</v>
      </c>
      <c r="X7927" s="42"/>
      <c r="AB7927">
        <v>48.4</v>
      </c>
      <c r="AC7927">
        <v>46.04</v>
      </c>
      <c r="AE7927" s="74"/>
      <c r="AF7927" s="77"/>
      <c r="AH7927" s="497">
        <v>51.8</v>
      </c>
      <c r="AJ7927" s="42"/>
      <c r="AK7927" s="74"/>
      <c r="AL7927" s="77"/>
      <c r="AN7927" s="497">
        <v>53.96</v>
      </c>
      <c r="AP7927" s="42"/>
      <c r="AQ7927" s="74"/>
      <c r="AR7927" s="77"/>
      <c r="AT7927" s="497">
        <v>37.04</v>
      </c>
      <c r="AV7927" s="42"/>
      <c r="AW7927" s="74"/>
      <c r="AX7927" s="77"/>
      <c r="BA7927" s="497">
        <v>33.08</v>
      </c>
      <c r="BB7927" s="42"/>
      <c r="BC7927" s="74"/>
      <c r="BD7927" s="77"/>
      <c r="BF7927">
        <v>62.96</v>
      </c>
      <c r="BH7927" s="42"/>
      <c r="BI7927" s="74"/>
      <c r="BJ7927" s="77"/>
      <c r="BL7927" s="497">
        <v>60.980000000000004</v>
      </c>
      <c r="BN7927" s="42"/>
      <c r="BO7927" s="74"/>
      <c r="BP7927" s="77"/>
      <c r="BR7927" s="497">
        <v>28.94</v>
      </c>
      <c r="BT7927" s="42"/>
    </row>
    <row r="7928" spans="1:72" x14ac:dyDescent="0.25">
      <c r="A7928" s="90">
        <v>36856</v>
      </c>
      <c r="B7928" s="20">
        <v>0.58333333333333337</v>
      </c>
      <c r="D7928">
        <v>44.96</v>
      </c>
      <c r="E7928" t="str">
        <f t="shared" si="282"/>
        <v>SUNDAY</v>
      </c>
      <c r="F7928" t="e">
        <f t="shared" si="283"/>
        <v>#N/A</v>
      </c>
      <c r="G7928" s="74">
        <v>28820</v>
      </c>
      <c r="H7928" s="77">
        <v>0.58333333333333337</v>
      </c>
      <c r="J7928">
        <v>35.06</v>
      </c>
      <c r="M7928" s="74">
        <v>36125</v>
      </c>
      <c r="N7928" s="77">
        <v>0.58333333333333337</v>
      </c>
      <c r="P7928">
        <v>50</v>
      </c>
      <c r="S7928" s="74">
        <v>36856</v>
      </c>
      <c r="T7928" s="77">
        <v>0.58333333333333337</v>
      </c>
      <c r="V7928">
        <v>53.96</v>
      </c>
      <c r="X7928" s="42"/>
      <c r="AB7928">
        <v>49</v>
      </c>
      <c r="AC7928">
        <v>44.96</v>
      </c>
      <c r="AE7928" s="74"/>
      <c r="AF7928" s="77"/>
      <c r="AH7928" s="497">
        <v>53.6</v>
      </c>
      <c r="AJ7928" s="42"/>
      <c r="AK7928" s="74"/>
      <c r="AL7928" s="77"/>
      <c r="AN7928" s="497">
        <v>55.040000000000006</v>
      </c>
      <c r="AP7928" s="42"/>
      <c r="AQ7928" s="74"/>
      <c r="AR7928" s="77"/>
      <c r="AT7928" s="497">
        <v>37.04</v>
      </c>
      <c r="AV7928" s="42"/>
      <c r="AW7928" s="74"/>
      <c r="AX7928" s="77"/>
      <c r="BA7928" s="497">
        <v>33.08</v>
      </c>
      <c r="BB7928" s="42"/>
      <c r="BC7928" s="74"/>
      <c r="BD7928" s="77"/>
      <c r="BF7928">
        <v>66.02</v>
      </c>
      <c r="BH7928" s="42"/>
      <c r="BI7928" s="74"/>
      <c r="BJ7928" s="77"/>
      <c r="BL7928" s="497">
        <v>62.96</v>
      </c>
      <c r="BN7928" s="42"/>
      <c r="BO7928" s="74"/>
      <c r="BP7928" s="77"/>
      <c r="BR7928" s="497">
        <v>30.02</v>
      </c>
      <c r="BT7928" s="42"/>
    </row>
    <row r="7929" spans="1:72" x14ac:dyDescent="0.25">
      <c r="A7929" s="90">
        <v>36856</v>
      </c>
      <c r="B7929" s="20">
        <v>0.625</v>
      </c>
      <c r="D7929">
        <v>44.06</v>
      </c>
      <c r="E7929" t="str">
        <f t="shared" si="282"/>
        <v>SUNDAY</v>
      </c>
      <c r="F7929" t="e">
        <f t="shared" si="283"/>
        <v>#N/A</v>
      </c>
      <c r="G7929" s="74">
        <v>28820</v>
      </c>
      <c r="H7929" s="77">
        <v>0.625</v>
      </c>
      <c r="J7929">
        <v>33.979999999999997</v>
      </c>
      <c r="M7929" s="74">
        <v>36125</v>
      </c>
      <c r="N7929" s="77">
        <v>0.625</v>
      </c>
      <c r="P7929">
        <v>48.2</v>
      </c>
      <c r="S7929" s="74">
        <v>36856</v>
      </c>
      <c r="T7929" s="77">
        <v>0.625</v>
      </c>
      <c r="V7929">
        <v>55.94</v>
      </c>
      <c r="X7929" s="42"/>
      <c r="AB7929">
        <v>49.2</v>
      </c>
      <c r="AC7929">
        <v>44.96</v>
      </c>
      <c r="AE7929" s="74"/>
      <c r="AF7929" s="77"/>
      <c r="AH7929" s="497">
        <v>53.6</v>
      </c>
      <c r="AJ7929" s="42"/>
      <c r="AK7929" s="74"/>
      <c r="AL7929" s="77"/>
      <c r="AN7929" s="497">
        <v>53.96</v>
      </c>
      <c r="AP7929" s="42"/>
      <c r="AQ7929" s="74"/>
      <c r="AR7929" s="77"/>
      <c r="AT7929" s="497">
        <v>37.04</v>
      </c>
      <c r="AV7929" s="42"/>
      <c r="AW7929" s="74"/>
      <c r="AX7929" s="77"/>
      <c r="BA7929" s="497">
        <v>32</v>
      </c>
      <c r="BB7929" s="42"/>
      <c r="BC7929" s="74"/>
      <c r="BD7929" s="77"/>
      <c r="BF7929">
        <v>64.039999999999992</v>
      </c>
      <c r="BH7929" s="42"/>
      <c r="BI7929" s="74"/>
      <c r="BJ7929" s="77"/>
      <c r="BL7929" s="497">
        <v>60.08</v>
      </c>
      <c r="BN7929" s="42"/>
      <c r="BO7929" s="74"/>
      <c r="BP7929" s="77"/>
      <c r="BR7929" s="497">
        <v>30.02</v>
      </c>
      <c r="BT7929" s="42"/>
    </row>
    <row r="7930" spans="1:72" x14ac:dyDescent="0.25">
      <c r="A7930" s="90">
        <v>36856</v>
      </c>
      <c r="B7930" s="20">
        <v>0.66666666666666663</v>
      </c>
      <c r="D7930">
        <v>44.06</v>
      </c>
      <c r="E7930" t="str">
        <f t="shared" si="282"/>
        <v>SUNDAY</v>
      </c>
      <c r="F7930" t="e">
        <f t="shared" si="283"/>
        <v>#N/A</v>
      </c>
      <c r="G7930" s="74">
        <v>28820</v>
      </c>
      <c r="H7930" s="77">
        <v>0.66666666666666663</v>
      </c>
      <c r="J7930">
        <v>33.08</v>
      </c>
      <c r="M7930" s="74">
        <v>36125</v>
      </c>
      <c r="N7930" s="77">
        <v>0.66666666666666663</v>
      </c>
      <c r="P7930">
        <v>48.2</v>
      </c>
      <c r="S7930" s="74">
        <v>36856</v>
      </c>
      <c r="T7930" s="77">
        <v>0.66666666666666663</v>
      </c>
      <c r="V7930">
        <v>55.040000000000006</v>
      </c>
      <c r="X7930" s="42"/>
      <c r="AB7930">
        <v>48.8</v>
      </c>
      <c r="AC7930">
        <v>44.06</v>
      </c>
      <c r="AE7930" s="74"/>
      <c r="AF7930" s="77"/>
      <c r="AH7930" s="497">
        <v>53.6</v>
      </c>
      <c r="AJ7930" s="42"/>
      <c r="AK7930" s="74"/>
      <c r="AL7930" s="77"/>
      <c r="AN7930" s="497">
        <v>51.980000000000004</v>
      </c>
      <c r="AP7930" s="42"/>
      <c r="AQ7930" s="74"/>
      <c r="AR7930" s="77"/>
      <c r="AT7930" s="497">
        <v>35.96</v>
      </c>
      <c r="AV7930" s="42"/>
      <c r="AW7930" s="74"/>
      <c r="AX7930" s="77"/>
      <c r="BA7930" s="497">
        <v>32</v>
      </c>
      <c r="BB7930" s="42"/>
      <c r="BC7930" s="74"/>
      <c r="BD7930" s="77"/>
      <c r="BF7930">
        <v>62.96</v>
      </c>
      <c r="BH7930" s="42"/>
      <c r="BI7930" s="74"/>
      <c r="BJ7930" s="77"/>
      <c r="BL7930" s="497">
        <v>59</v>
      </c>
      <c r="BN7930" s="42"/>
      <c r="BO7930" s="74"/>
      <c r="BP7930" s="77"/>
      <c r="BR7930" s="497">
        <v>30.02</v>
      </c>
      <c r="BT7930" s="42"/>
    </row>
    <row r="7931" spans="1:72" x14ac:dyDescent="0.25">
      <c r="A7931" s="90">
        <v>36856</v>
      </c>
      <c r="B7931" s="20">
        <v>0.70833333333333337</v>
      </c>
      <c r="D7931">
        <v>42.08</v>
      </c>
      <c r="E7931" t="str">
        <f t="shared" si="282"/>
        <v>SUNDAY</v>
      </c>
      <c r="F7931" t="e">
        <f t="shared" si="283"/>
        <v>#N/A</v>
      </c>
      <c r="G7931" s="74">
        <v>28820</v>
      </c>
      <c r="H7931" s="77">
        <v>0.70833333333333337</v>
      </c>
      <c r="J7931">
        <v>30.92</v>
      </c>
      <c r="M7931" s="74">
        <v>36125</v>
      </c>
      <c r="N7931" s="77">
        <v>0.70833333333333337</v>
      </c>
      <c r="P7931">
        <v>48.2</v>
      </c>
      <c r="S7931" s="74">
        <v>36856</v>
      </c>
      <c r="T7931" s="77">
        <v>0.70833333333333337</v>
      </c>
      <c r="V7931">
        <v>53.06</v>
      </c>
      <c r="X7931" s="42"/>
      <c r="AB7931">
        <v>47.8</v>
      </c>
      <c r="AC7931">
        <v>42.08</v>
      </c>
      <c r="AE7931" s="74"/>
      <c r="AF7931" s="77"/>
      <c r="AH7931" s="497">
        <v>51.8</v>
      </c>
      <c r="AJ7931" s="42"/>
      <c r="AK7931" s="74"/>
      <c r="AL7931" s="77"/>
      <c r="AN7931" s="497">
        <v>48.92</v>
      </c>
      <c r="AP7931" s="42"/>
      <c r="AQ7931" s="74"/>
      <c r="AR7931" s="77"/>
      <c r="AT7931" s="497">
        <v>33.979999999999997</v>
      </c>
      <c r="AV7931" s="42"/>
      <c r="AW7931" s="74"/>
      <c r="AX7931" s="77"/>
      <c r="BA7931" s="497">
        <v>32</v>
      </c>
      <c r="BB7931" s="42"/>
      <c r="BC7931" s="74"/>
      <c r="BD7931" s="77"/>
      <c r="BF7931">
        <v>60.08</v>
      </c>
      <c r="BH7931" s="42"/>
      <c r="BI7931" s="74"/>
      <c r="BJ7931" s="77"/>
      <c r="BL7931" s="497">
        <v>59</v>
      </c>
      <c r="BN7931" s="42"/>
      <c r="BO7931" s="74"/>
      <c r="BP7931" s="77"/>
      <c r="BR7931" s="497">
        <v>28.94</v>
      </c>
      <c r="BT7931" s="42"/>
    </row>
    <row r="7932" spans="1:72" x14ac:dyDescent="0.25">
      <c r="A7932" s="90">
        <v>36856</v>
      </c>
      <c r="B7932" s="20">
        <v>0.75</v>
      </c>
      <c r="D7932">
        <v>41</v>
      </c>
      <c r="E7932" t="str">
        <f t="shared" si="282"/>
        <v>SUNDAY</v>
      </c>
      <c r="F7932" t="e">
        <f t="shared" si="283"/>
        <v>#N/A</v>
      </c>
      <c r="G7932" s="74">
        <v>28820</v>
      </c>
      <c r="H7932" s="77">
        <v>0.75</v>
      </c>
      <c r="J7932">
        <v>30.92</v>
      </c>
      <c r="M7932" s="74">
        <v>36125</v>
      </c>
      <c r="N7932" s="77">
        <v>0.75</v>
      </c>
      <c r="P7932">
        <v>48.2</v>
      </c>
      <c r="S7932" s="74">
        <v>36856</v>
      </c>
      <c r="T7932" s="77">
        <v>0.75</v>
      </c>
      <c r="V7932">
        <v>51.980000000000004</v>
      </c>
      <c r="X7932" s="42"/>
      <c r="AB7932">
        <v>46.6</v>
      </c>
      <c r="AC7932">
        <v>42.08</v>
      </c>
      <c r="AE7932" s="74"/>
      <c r="AF7932" s="77"/>
      <c r="AH7932" s="497">
        <v>51.8</v>
      </c>
      <c r="AJ7932" s="42"/>
      <c r="AK7932" s="74"/>
      <c r="AL7932" s="77"/>
      <c r="AN7932" s="497">
        <v>50</v>
      </c>
      <c r="AP7932" s="42"/>
      <c r="AQ7932" s="74"/>
      <c r="AR7932" s="77"/>
      <c r="AT7932" s="497">
        <v>33.08</v>
      </c>
      <c r="AV7932" s="42"/>
      <c r="AW7932" s="74"/>
      <c r="AX7932" s="77"/>
      <c r="BA7932" s="497">
        <v>32</v>
      </c>
      <c r="BB7932" s="42"/>
      <c r="BC7932" s="74"/>
      <c r="BD7932" s="77"/>
      <c r="BF7932">
        <v>59</v>
      </c>
      <c r="BH7932" s="42"/>
      <c r="BI7932" s="74"/>
      <c r="BJ7932" s="77"/>
      <c r="BL7932" s="497">
        <v>57.92</v>
      </c>
      <c r="BN7932" s="42"/>
      <c r="BO7932" s="74"/>
      <c r="BP7932" s="77"/>
      <c r="BR7932" s="497">
        <v>28.94</v>
      </c>
      <c r="BT7932" s="42"/>
    </row>
    <row r="7933" spans="1:72" x14ac:dyDescent="0.25">
      <c r="A7933" s="90">
        <v>36856</v>
      </c>
      <c r="B7933" s="20">
        <v>0.79166666666666663</v>
      </c>
      <c r="D7933">
        <v>39.019999999999996</v>
      </c>
      <c r="E7933" t="str">
        <f t="shared" si="282"/>
        <v>SUNDAY</v>
      </c>
      <c r="F7933" t="e">
        <f t="shared" si="283"/>
        <v>#N/A</v>
      </c>
      <c r="G7933" s="74">
        <v>28820</v>
      </c>
      <c r="H7933" s="77">
        <v>0.79166666666666663</v>
      </c>
      <c r="J7933">
        <v>30.02</v>
      </c>
      <c r="M7933" s="74">
        <v>36125</v>
      </c>
      <c r="N7933" s="77">
        <v>0.79166666666666663</v>
      </c>
      <c r="P7933">
        <v>48.2</v>
      </c>
      <c r="S7933" s="74">
        <v>36856</v>
      </c>
      <c r="T7933" s="77">
        <v>0.79166666666666663</v>
      </c>
      <c r="V7933">
        <v>51.08</v>
      </c>
      <c r="X7933" s="42"/>
      <c r="AB7933">
        <v>46</v>
      </c>
      <c r="AC7933">
        <v>42.980000000000004</v>
      </c>
      <c r="AE7933" s="74"/>
      <c r="AF7933" s="77"/>
      <c r="AH7933" s="497">
        <v>48.2</v>
      </c>
      <c r="AJ7933" s="42"/>
      <c r="AK7933" s="74"/>
      <c r="AL7933" s="77"/>
      <c r="AN7933" s="497">
        <v>46.94</v>
      </c>
      <c r="AP7933" s="42"/>
      <c r="AQ7933" s="74"/>
      <c r="AR7933" s="77"/>
      <c r="AT7933" s="497">
        <v>33.08</v>
      </c>
      <c r="AV7933" s="42"/>
      <c r="AW7933" s="74"/>
      <c r="AX7933" s="77"/>
      <c r="BA7933" s="497">
        <v>30.92</v>
      </c>
      <c r="BB7933" s="42"/>
      <c r="BC7933" s="74"/>
      <c r="BD7933" s="77"/>
      <c r="BF7933">
        <v>57.92</v>
      </c>
      <c r="BH7933" s="42"/>
      <c r="BI7933" s="74"/>
      <c r="BJ7933" s="77"/>
      <c r="BL7933" s="497">
        <v>57.019999999999996</v>
      </c>
      <c r="BN7933" s="42"/>
      <c r="BO7933" s="74"/>
      <c r="BP7933" s="77"/>
      <c r="BR7933" s="497">
        <v>28.04</v>
      </c>
      <c r="BT7933" s="42"/>
    </row>
    <row r="7934" spans="1:72" x14ac:dyDescent="0.25">
      <c r="A7934" s="90">
        <v>36856</v>
      </c>
      <c r="B7934" s="20">
        <v>0.83333333333333337</v>
      </c>
      <c r="D7934">
        <v>37.94</v>
      </c>
      <c r="E7934" t="str">
        <f t="shared" si="282"/>
        <v>SUNDAY</v>
      </c>
      <c r="F7934" t="e">
        <f t="shared" si="283"/>
        <v>#N/A</v>
      </c>
      <c r="G7934" s="74">
        <v>28820</v>
      </c>
      <c r="H7934" s="77">
        <v>0.83333333333333337</v>
      </c>
      <c r="J7934">
        <v>30.02</v>
      </c>
      <c r="M7934" s="74">
        <v>36125</v>
      </c>
      <c r="N7934" s="77">
        <v>0.83333333333333337</v>
      </c>
      <c r="P7934">
        <v>48.2</v>
      </c>
      <c r="S7934" s="74">
        <v>36856</v>
      </c>
      <c r="T7934" s="77">
        <v>0.83333333333333337</v>
      </c>
      <c r="V7934">
        <v>51.8</v>
      </c>
      <c r="X7934" s="42"/>
      <c r="AB7934">
        <v>45.7</v>
      </c>
      <c r="AC7934">
        <v>35.96</v>
      </c>
      <c r="AE7934" s="74"/>
      <c r="AF7934" s="77"/>
      <c r="AH7934" s="497">
        <v>48.2</v>
      </c>
      <c r="AJ7934" s="42"/>
      <c r="AK7934" s="74"/>
      <c r="AL7934" s="77"/>
      <c r="AN7934" s="497">
        <v>51.08</v>
      </c>
      <c r="AP7934" s="42"/>
      <c r="AQ7934" s="74"/>
      <c r="AR7934" s="77"/>
      <c r="AT7934" s="497">
        <v>33.979999999999997</v>
      </c>
      <c r="AV7934" s="42"/>
      <c r="AW7934" s="74"/>
      <c r="AX7934" s="77"/>
      <c r="BA7934" s="497">
        <v>30.92</v>
      </c>
      <c r="BB7934" s="42"/>
      <c r="BC7934" s="74"/>
      <c r="BD7934" s="77"/>
      <c r="BF7934">
        <v>57.019999999999996</v>
      </c>
      <c r="BH7934" s="42"/>
      <c r="BI7934" s="74"/>
      <c r="BJ7934" s="77"/>
      <c r="BL7934" s="497">
        <v>55.040000000000006</v>
      </c>
      <c r="BN7934" s="42"/>
      <c r="BO7934" s="74"/>
      <c r="BP7934" s="77"/>
      <c r="BR7934" s="497">
        <v>28.04</v>
      </c>
      <c r="BT7934" s="42"/>
    </row>
    <row r="7935" spans="1:72" x14ac:dyDescent="0.25">
      <c r="A7935" s="90">
        <v>36856</v>
      </c>
      <c r="B7935" s="20">
        <v>0.875</v>
      </c>
      <c r="D7935">
        <v>35.96</v>
      </c>
      <c r="E7935" t="str">
        <f t="shared" si="282"/>
        <v>SUNDAY</v>
      </c>
      <c r="F7935" t="e">
        <f t="shared" si="283"/>
        <v>#N/A</v>
      </c>
      <c r="G7935" s="74">
        <v>28820</v>
      </c>
      <c r="H7935" s="77">
        <v>0.875</v>
      </c>
      <c r="J7935">
        <v>28.94</v>
      </c>
      <c r="M7935" s="74">
        <v>36125</v>
      </c>
      <c r="N7935" s="77">
        <v>0.875</v>
      </c>
      <c r="P7935">
        <v>48.2</v>
      </c>
      <c r="S7935" s="74">
        <v>36856</v>
      </c>
      <c r="T7935" s="77">
        <v>0.875</v>
      </c>
      <c r="V7935">
        <v>50</v>
      </c>
      <c r="X7935" s="42"/>
      <c r="AB7935">
        <v>45.2</v>
      </c>
      <c r="AC7935">
        <v>35.06</v>
      </c>
      <c r="AE7935" s="74"/>
      <c r="AF7935" s="77"/>
      <c r="AH7935" s="497">
        <v>46.4</v>
      </c>
      <c r="AJ7935" s="42"/>
      <c r="AK7935" s="74"/>
      <c r="AL7935" s="77"/>
      <c r="AN7935" s="497">
        <v>48.92</v>
      </c>
      <c r="AP7935" s="42"/>
      <c r="AQ7935" s="74"/>
      <c r="AR7935" s="77"/>
      <c r="AT7935" s="497">
        <v>33.08</v>
      </c>
      <c r="AV7935" s="42"/>
      <c r="AW7935" s="74"/>
      <c r="AX7935" s="77"/>
      <c r="BA7935" s="497">
        <v>30.92</v>
      </c>
      <c r="BB7935" s="42"/>
      <c r="BC7935" s="74"/>
      <c r="BD7935" s="77"/>
      <c r="BF7935">
        <v>57.92</v>
      </c>
      <c r="BH7935" s="42"/>
      <c r="BI7935" s="74"/>
      <c r="BJ7935" s="77"/>
      <c r="BL7935" s="497">
        <v>55.040000000000006</v>
      </c>
      <c r="BN7935" s="42"/>
      <c r="BO7935" s="74"/>
      <c r="BP7935" s="77"/>
      <c r="BR7935" s="497">
        <v>26.96</v>
      </c>
      <c r="BT7935" s="42"/>
    </row>
    <row r="7936" spans="1:72" x14ac:dyDescent="0.25">
      <c r="A7936" s="90">
        <v>36856</v>
      </c>
      <c r="B7936" s="20">
        <v>0.91666666666666663</v>
      </c>
      <c r="D7936">
        <v>35.06</v>
      </c>
      <c r="E7936" t="str">
        <f t="shared" si="282"/>
        <v>SUNDAY</v>
      </c>
      <c r="F7936" t="e">
        <f t="shared" si="283"/>
        <v>#N/A</v>
      </c>
      <c r="G7936" s="74">
        <v>28820</v>
      </c>
      <c r="H7936" s="77">
        <v>0.91666666666666663</v>
      </c>
      <c r="J7936">
        <v>28.04</v>
      </c>
      <c r="M7936" s="74">
        <v>36125</v>
      </c>
      <c r="N7936" s="77">
        <v>0.91666666666666663</v>
      </c>
      <c r="P7936">
        <v>48.2</v>
      </c>
      <c r="S7936" s="74">
        <v>36856</v>
      </c>
      <c r="T7936" s="77">
        <v>0.91666666666666663</v>
      </c>
      <c r="V7936">
        <v>50</v>
      </c>
      <c r="X7936" s="42"/>
      <c r="AB7936">
        <v>44.6</v>
      </c>
      <c r="AC7936">
        <v>35.06</v>
      </c>
      <c r="AE7936" s="74"/>
      <c r="AF7936" s="77"/>
      <c r="AH7936" s="497">
        <v>44.6</v>
      </c>
      <c r="AJ7936" s="42"/>
      <c r="AK7936" s="74"/>
      <c r="AL7936" s="77"/>
      <c r="AN7936" s="497">
        <v>48.92</v>
      </c>
      <c r="AP7936" s="42"/>
      <c r="AQ7936" s="74"/>
      <c r="AR7936" s="77"/>
      <c r="AT7936" s="497">
        <v>30.92</v>
      </c>
      <c r="AV7936" s="42"/>
      <c r="AW7936" s="74"/>
      <c r="AX7936" s="77"/>
      <c r="BA7936" s="497">
        <v>30.92</v>
      </c>
      <c r="BB7936" s="42"/>
      <c r="BC7936" s="74"/>
      <c r="BD7936" s="77"/>
      <c r="BF7936">
        <v>57.019999999999996</v>
      </c>
      <c r="BH7936" s="42"/>
      <c r="BI7936" s="74"/>
      <c r="BJ7936" s="77"/>
      <c r="BL7936" s="497">
        <v>55.94</v>
      </c>
      <c r="BN7936" s="42"/>
      <c r="BO7936" s="74"/>
      <c r="BP7936" s="77"/>
      <c r="BR7936" s="497">
        <v>26.96</v>
      </c>
      <c r="BT7936" s="42"/>
    </row>
    <row r="7937" spans="1:72" x14ac:dyDescent="0.25">
      <c r="A7937" s="90">
        <v>36856</v>
      </c>
      <c r="B7937" s="20">
        <v>0.95833333333333337</v>
      </c>
      <c r="D7937">
        <v>33.979999999999997</v>
      </c>
      <c r="E7937" t="str">
        <f t="shared" si="282"/>
        <v>SUNDAY</v>
      </c>
      <c r="F7937" t="e">
        <f t="shared" si="283"/>
        <v>#N/A</v>
      </c>
      <c r="G7937" s="74">
        <v>28820</v>
      </c>
      <c r="H7937" s="77">
        <v>0.95833333333333337</v>
      </c>
      <c r="J7937">
        <v>28.04</v>
      </c>
      <c r="M7937" s="74">
        <v>36125</v>
      </c>
      <c r="N7937" s="77">
        <v>0.95833333333333337</v>
      </c>
      <c r="P7937">
        <v>46.4</v>
      </c>
      <c r="S7937" s="74">
        <v>36856</v>
      </c>
      <c r="T7937" s="77">
        <v>0.95833333333333337</v>
      </c>
      <c r="V7937">
        <v>48.019999999999996</v>
      </c>
      <c r="X7937" s="42"/>
      <c r="AB7937">
        <v>44.1</v>
      </c>
      <c r="AC7937">
        <v>37.04</v>
      </c>
      <c r="AE7937" s="74"/>
      <c r="AF7937" s="77"/>
      <c r="AH7937" s="497">
        <v>42.8</v>
      </c>
      <c r="AJ7937" s="42"/>
      <c r="AK7937" s="74"/>
      <c r="AL7937" s="77"/>
      <c r="AN7937" s="497">
        <v>50</v>
      </c>
      <c r="AP7937" s="42"/>
      <c r="AQ7937" s="74"/>
      <c r="AR7937" s="77"/>
      <c r="AT7937" s="497">
        <v>33.08</v>
      </c>
      <c r="AV7937" s="42"/>
      <c r="AW7937" s="74"/>
      <c r="AX7937" s="77"/>
      <c r="BA7937" s="497">
        <v>30.92</v>
      </c>
      <c r="BB7937" s="42"/>
      <c r="BC7937" s="74"/>
      <c r="BD7937" s="77"/>
      <c r="BF7937">
        <v>59</v>
      </c>
      <c r="BH7937" s="42"/>
      <c r="BI7937" s="74"/>
      <c r="BJ7937" s="77"/>
      <c r="BL7937" s="497">
        <v>55.040000000000006</v>
      </c>
      <c r="BN7937" s="42"/>
      <c r="BO7937" s="74"/>
      <c r="BP7937" s="77"/>
      <c r="BR7937" s="497">
        <v>26.96</v>
      </c>
      <c r="BT7937" s="42"/>
    </row>
    <row r="7938" spans="1:72" x14ac:dyDescent="0.25">
      <c r="A7938" s="90">
        <v>36856</v>
      </c>
      <c r="B7938" s="20">
        <v>1</v>
      </c>
      <c r="D7938">
        <v>33.08</v>
      </c>
      <c r="E7938" t="str">
        <f t="shared" si="282"/>
        <v>SUNDAY</v>
      </c>
      <c r="F7938" t="e">
        <f t="shared" si="283"/>
        <v>#N/A</v>
      </c>
      <c r="G7938" s="74">
        <v>28820</v>
      </c>
      <c r="H7938" s="77">
        <v>1</v>
      </c>
      <c r="J7938">
        <v>26.96</v>
      </c>
      <c r="M7938" s="74">
        <v>36125</v>
      </c>
      <c r="N7938" s="80">
        <v>1</v>
      </c>
      <c r="P7938">
        <v>46.4</v>
      </c>
      <c r="S7938" s="74">
        <v>36856</v>
      </c>
      <c r="T7938" s="80">
        <v>1</v>
      </c>
      <c r="V7938">
        <v>46.94</v>
      </c>
      <c r="X7938" s="42"/>
      <c r="AB7938">
        <v>43.7</v>
      </c>
      <c r="AC7938">
        <v>37.94</v>
      </c>
      <c r="AE7938" s="74"/>
      <c r="AF7938" s="80"/>
      <c r="AH7938" s="497">
        <v>41</v>
      </c>
      <c r="AJ7938" s="42"/>
      <c r="AK7938" s="74"/>
      <c r="AL7938" s="80"/>
      <c r="AN7938" s="497">
        <v>48.92</v>
      </c>
      <c r="AP7938" s="42"/>
      <c r="AQ7938" s="74"/>
      <c r="AR7938" s="80"/>
      <c r="AT7938" s="497">
        <v>32</v>
      </c>
      <c r="AV7938" s="42"/>
      <c r="AW7938" s="74"/>
      <c r="AX7938" s="80"/>
      <c r="BA7938" s="497">
        <v>32</v>
      </c>
      <c r="BB7938" s="42"/>
      <c r="BC7938" s="74"/>
      <c r="BD7938" s="80"/>
      <c r="BF7938">
        <v>60.08</v>
      </c>
      <c r="BH7938" s="42"/>
      <c r="BI7938" s="74"/>
      <c r="BJ7938" s="80"/>
      <c r="BL7938" s="497">
        <v>57.019999999999996</v>
      </c>
      <c r="BN7938" s="42"/>
      <c r="BO7938" s="74"/>
      <c r="BP7938" s="80"/>
      <c r="BR7938" s="497">
        <v>26.96</v>
      </c>
      <c r="BT7938" s="42"/>
    </row>
    <row r="7939" spans="1:72" x14ac:dyDescent="0.25">
      <c r="A7939" s="90">
        <v>36857</v>
      </c>
      <c r="B7939" s="20">
        <v>4.1666666666666664E-2</v>
      </c>
      <c r="D7939">
        <v>32</v>
      </c>
      <c r="E7939" t="str">
        <f t="shared" si="282"/>
        <v>WEEKDAY</v>
      </c>
      <c r="F7939" t="e">
        <f t="shared" si="283"/>
        <v>#N/A</v>
      </c>
      <c r="G7939" s="74">
        <v>28821</v>
      </c>
      <c r="H7939" s="77">
        <v>4.1666666666666664E-2</v>
      </c>
      <c r="J7939">
        <v>26.96</v>
      </c>
      <c r="M7939" s="74">
        <v>36126</v>
      </c>
      <c r="N7939" s="77">
        <v>4.1666666666666664E-2</v>
      </c>
      <c r="P7939">
        <v>44.6</v>
      </c>
      <c r="S7939" s="74">
        <v>36857</v>
      </c>
      <c r="T7939" s="77">
        <v>4.1666666666666664E-2</v>
      </c>
      <c r="V7939">
        <v>48.019999999999996</v>
      </c>
      <c r="X7939" s="42"/>
      <c r="AB7939">
        <v>43.2</v>
      </c>
      <c r="AC7939">
        <v>39.019999999999996</v>
      </c>
      <c r="AE7939" s="74"/>
      <c r="AF7939" s="77"/>
      <c r="AH7939" s="497">
        <v>39.200000000000003</v>
      </c>
      <c r="AJ7939" s="42"/>
      <c r="AK7939" s="74"/>
      <c r="AL7939" s="77"/>
      <c r="AN7939" s="497">
        <v>48.92</v>
      </c>
      <c r="AP7939" s="42"/>
      <c r="AQ7939" s="74"/>
      <c r="AR7939" s="77"/>
      <c r="AT7939" s="497">
        <v>30.02</v>
      </c>
      <c r="AV7939" s="42"/>
      <c r="AW7939" s="74"/>
      <c r="AX7939" s="77"/>
      <c r="BA7939" s="497">
        <v>30.92</v>
      </c>
      <c r="BB7939" s="42"/>
      <c r="BC7939" s="74"/>
      <c r="BD7939" s="77"/>
      <c r="BF7939">
        <v>60.980000000000004</v>
      </c>
      <c r="BH7939" s="42"/>
      <c r="BI7939" s="74"/>
      <c r="BJ7939" s="77"/>
      <c r="BL7939" s="497">
        <v>57.019999999999996</v>
      </c>
      <c r="BN7939" s="42"/>
      <c r="BO7939" s="74"/>
      <c r="BP7939" s="77"/>
      <c r="BR7939" s="497">
        <v>26.96</v>
      </c>
      <c r="BT7939" s="42"/>
    </row>
    <row r="7940" spans="1:72" x14ac:dyDescent="0.25">
      <c r="A7940" s="90">
        <v>36857</v>
      </c>
      <c r="B7940" s="20">
        <v>8.3333333333333329E-2</v>
      </c>
      <c r="D7940">
        <v>30.92</v>
      </c>
      <c r="E7940" t="str">
        <f t="shared" si="282"/>
        <v>WEEKDAY</v>
      </c>
      <c r="F7940" t="e">
        <f t="shared" si="283"/>
        <v>#N/A</v>
      </c>
      <c r="G7940" s="74">
        <v>28821</v>
      </c>
      <c r="H7940" s="77">
        <v>8.3333333333333329E-2</v>
      </c>
      <c r="J7940">
        <v>26.96</v>
      </c>
      <c r="M7940" s="74">
        <v>36126</v>
      </c>
      <c r="N7940" s="77">
        <v>8.3333333333333329E-2</v>
      </c>
      <c r="P7940">
        <v>42.8</v>
      </c>
      <c r="S7940" s="74">
        <v>36857</v>
      </c>
      <c r="T7940" s="77">
        <v>8.3333333333333329E-2</v>
      </c>
      <c r="V7940">
        <v>46.94</v>
      </c>
      <c r="X7940" s="42"/>
      <c r="AB7940">
        <v>42.7</v>
      </c>
      <c r="AC7940">
        <v>37.94</v>
      </c>
      <c r="AE7940" s="74"/>
      <c r="AF7940" s="77"/>
      <c r="AH7940" s="497">
        <v>39.200000000000003</v>
      </c>
      <c r="AJ7940" s="42"/>
      <c r="AK7940" s="74"/>
      <c r="AL7940" s="77"/>
      <c r="AN7940" s="497">
        <v>48.92</v>
      </c>
      <c r="AP7940" s="42"/>
      <c r="AQ7940" s="74"/>
      <c r="AR7940" s="77"/>
      <c r="AT7940" s="497">
        <v>30.02</v>
      </c>
      <c r="AV7940" s="42"/>
      <c r="AW7940" s="74"/>
      <c r="AX7940" s="77"/>
      <c r="BA7940" s="497">
        <v>30.92</v>
      </c>
      <c r="BB7940" s="42"/>
      <c r="BC7940" s="74"/>
      <c r="BD7940" s="77"/>
      <c r="BF7940">
        <v>62.06</v>
      </c>
      <c r="BH7940" s="42"/>
      <c r="BI7940" s="74"/>
      <c r="BJ7940" s="77"/>
      <c r="BL7940" s="497">
        <v>55.94</v>
      </c>
      <c r="BN7940" s="42"/>
      <c r="BO7940" s="74"/>
      <c r="BP7940" s="77"/>
      <c r="BR7940" s="497">
        <v>26.060000000000002</v>
      </c>
      <c r="BT7940" s="42"/>
    </row>
    <row r="7941" spans="1:72" x14ac:dyDescent="0.25">
      <c r="A7941" s="90">
        <v>36857</v>
      </c>
      <c r="B7941" s="20">
        <v>0.125</v>
      </c>
      <c r="D7941">
        <v>30.02</v>
      </c>
      <c r="E7941" t="str">
        <f t="shared" si="282"/>
        <v>WEEKDAY</v>
      </c>
      <c r="F7941" t="e">
        <f t="shared" si="283"/>
        <v>#N/A</v>
      </c>
      <c r="G7941" s="74">
        <v>28821</v>
      </c>
      <c r="H7941" s="77">
        <v>0.125</v>
      </c>
      <c r="J7941">
        <v>26.060000000000002</v>
      </c>
      <c r="M7941" s="74">
        <v>36126</v>
      </c>
      <c r="N7941" s="77">
        <v>0.125</v>
      </c>
      <c r="P7941">
        <v>42.8</v>
      </c>
      <c r="S7941" s="74">
        <v>36857</v>
      </c>
      <c r="T7941" s="77">
        <v>0.125</v>
      </c>
      <c r="V7941">
        <v>44.96</v>
      </c>
      <c r="X7941" s="42"/>
      <c r="AB7941">
        <v>42.3</v>
      </c>
      <c r="AC7941">
        <v>39.92</v>
      </c>
      <c r="AE7941" s="74"/>
      <c r="AF7941" s="77"/>
      <c r="AH7941" s="497">
        <v>37.4</v>
      </c>
      <c r="AJ7941" s="42"/>
      <c r="AK7941" s="74"/>
      <c r="AL7941" s="77"/>
      <c r="AN7941" s="497">
        <v>50</v>
      </c>
      <c r="AP7941" s="42"/>
      <c r="AQ7941" s="74"/>
      <c r="AR7941" s="77"/>
      <c r="AT7941" s="497">
        <v>30.02</v>
      </c>
      <c r="AV7941" s="42"/>
      <c r="AW7941" s="74"/>
      <c r="AX7941" s="77"/>
      <c r="BA7941" s="497">
        <v>30.92</v>
      </c>
      <c r="BB7941" s="42"/>
      <c r="BC7941" s="74"/>
      <c r="BD7941" s="77"/>
      <c r="BF7941">
        <v>60.08</v>
      </c>
      <c r="BH7941" s="42"/>
      <c r="BI7941" s="74"/>
      <c r="BJ7941" s="77"/>
      <c r="BL7941" s="497">
        <v>57.92</v>
      </c>
      <c r="BN7941" s="42"/>
      <c r="BO7941" s="74"/>
      <c r="BP7941" s="77"/>
      <c r="BR7941" s="497">
        <v>26.060000000000002</v>
      </c>
      <c r="BT7941" s="42"/>
    </row>
    <row r="7942" spans="1:72" x14ac:dyDescent="0.25">
      <c r="A7942" s="90">
        <v>36857</v>
      </c>
      <c r="B7942" s="20">
        <v>0.16666666666666666</v>
      </c>
      <c r="D7942">
        <v>28.04</v>
      </c>
      <c r="E7942" t="str">
        <f t="shared" si="282"/>
        <v>WEEKDAY</v>
      </c>
      <c r="F7942" t="e">
        <f t="shared" si="283"/>
        <v>#N/A</v>
      </c>
      <c r="G7942" s="74">
        <v>28821</v>
      </c>
      <c r="H7942" s="77">
        <v>0.16666666666666666</v>
      </c>
      <c r="J7942">
        <v>26.060000000000002</v>
      </c>
      <c r="M7942" s="74">
        <v>36126</v>
      </c>
      <c r="N7942" s="77">
        <v>0.16666666666666666</v>
      </c>
      <c r="P7942">
        <v>42.620000000000005</v>
      </c>
      <c r="S7942" s="74">
        <v>36857</v>
      </c>
      <c r="T7942" s="77">
        <v>0.16666666666666666</v>
      </c>
      <c r="V7942">
        <v>44.06</v>
      </c>
      <c r="X7942" s="42"/>
      <c r="AB7942">
        <v>42</v>
      </c>
      <c r="AC7942">
        <v>37.94</v>
      </c>
      <c r="AE7942" s="74"/>
      <c r="AF7942" s="77"/>
      <c r="AH7942" s="497">
        <v>35.6</v>
      </c>
      <c r="AJ7942" s="42"/>
      <c r="AK7942" s="74"/>
      <c r="AL7942" s="77"/>
      <c r="AN7942" s="497">
        <v>48.92</v>
      </c>
      <c r="AP7942" s="42"/>
      <c r="AQ7942" s="74"/>
      <c r="AR7942" s="77"/>
      <c r="AT7942" s="497">
        <v>30.02</v>
      </c>
      <c r="AV7942" s="42"/>
      <c r="AW7942" s="74"/>
      <c r="AX7942" s="77"/>
      <c r="BA7942" s="497">
        <v>30.92</v>
      </c>
      <c r="BB7942" s="42"/>
      <c r="BC7942" s="74"/>
      <c r="BD7942" s="77"/>
      <c r="BF7942">
        <v>62.96</v>
      </c>
      <c r="BH7942" s="42"/>
      <c r="BI7942" s="74"/>
      <c r="BJ7942" s="77"/>
      <c r="BL7942" s="497">
        <v>57.92</v>
      </c>
      <c r="BN7942" s="42"/>
      <c r="BO7942" s="74"/>
      <c r="BP7942" s="77"/>
      <c r="BR7942" s="497">
        <v>24.98</v>
      </c>
      <c r="BT7942" s="42"/>
    </row>
    <row r="7943" spans="1:72" x14ac:dyDescent="0.25">
      <c r="A7943" s="90">
        <v>36857</v>
      </c>
      <c r="B7943" s="20">
        <v>0.20833333333333334</v>
      </c>
      <c r="D7943">
        <v>28.04</v>
      </c>
      <c r="E7943" t="str">
        <f t="shared" si="282"/>
        <v>WEEKDAY</v>
      </c>
      <c r="F7943" t="e">
        <f t="shared" si="283"/>
        <v>#N/A</v>
      </c>
      <c r="G7943" s="74">
        <v>28821</v>
      </c>
      <c r="H7943" s="77">
        <v>0.20833333333333334</v>
      </c>
      <c r="J7943">
        <v>26.060000000000002</v>
      </c>
      <c r="M7943" s="74">
        <v>36126</v>
      </c>
      <c r="N7943" s="77">
        <v>0.20833333333333334</v>
      </c>
      <c r="P7943">
        <v>42.8</v>
      </c>
      <c r="S7943" s="74">
        <v>36857</v>
      </c>
      <c r="T7943" s="77">
        <v>0.20833333333333334</v>
      </c>
      <c r="V7943">
        <v>42.980000000000004</v>
      </c>
      <c r="X7943" s="42"/>
      <c r="AB7943">
        <v>41.6</v>
      </c>
      <c r="AC7943">
        <v>35.06</v>
      </c>
      <c r="AE7943" s="74"/>
      <c r="AF7943" s="77"/>
      <c r="AH7943" s="497">
        <v>33.799999999999997</v>
      </c>
      <c r="AJ7943" s="42"/>
      <c r="AK7943" s="74"/>
      <c r="AL7943" s="77"/>
      <c r="AN7943" s="497">
        <v>50</v>
      </c>
      <c r="AP7943" s="42"/>
      <c r="AQ7943" s="74"/>
      <c r="AR7943" s="77"/>
      <c r="AT7943" s="497">
        <v>30.02</v>
      </c>
      <c r="AV7943" s="42"/>
      <c r="AW7943" s="74"/>
      <c r="AX7943" s="77"/>
      <c r="BA7943" s="497">
        <v>30.92</v>
      </c>
      <c r="BB7943" s="42"/>
      <c r="BC7943" s="74"/>
      <c r="BD7943" s="77"/>
      <c r="BF7943">
        <v>64.039999999999992</v>
      </c>
      <c r="BH7943" s="42"/>
      <c r="BI7943" s="74"/>
      <c r="BJ7943" s="77"/>
      <c r="BL7943" s="497">
        <v>59</v>
      </c>
      <c r="BN7943" s="42"/>
      <c r="BO7943" s="74"/>
      <c r="BP7943" s="77"/>
      <c r="BR7943" s="497">
        <v>24.08</v>
      </c>
      <c r="BT7943" s="42"/>
    </row>
    <row r="7944" spans="1:72" x14ac:dyDescent="0.25">
      <c r="A7944" s="90">
        <v>36857</v>
      </c>
      <c r="B7944" s="20">
        <v>0.25</v>
      </c>
      <c r="D7944">
        <v>26.96</v>
      </c>
      <c r="E7944" t="str">
        <f t="shared" si="282"/>
        <v>WEEKDAY</v>
      </c>
      <c r="F7944" t="e">
        <f t="shared" si="283"/>
        <v>#N/A</v>
      </c>
      <c r="G7944" s="74">
        <v>28821</v>
      </c>
      <c r="H7944" s="77">
        <v>0.25</v>
      </c>
      <c r="J7944">
        <v>26.96</v>
      </c>
      <c r="M7944" s="74">
        <v>36126</v>
      </c>
      <c r="N7944" s="77">
        <v>0.25</v>
      </c>
      <c r="P7944">
        <v>42.8</v>
      </c>
      <c r="S7944" s="74">
        <v>36857</v>
      </c>
      <c r="T7944" s="77">
        <v>0.25</v>
      </c>
      <c r="V7944">
        <v>44.06</v>
      </c>
      <c r="X7944" s="42"/>
      <c r="AB7944">
        <v>41.4</v>
      </c>
      <c r="AC7944">
        <v>32</v>
      </c>
      <c r="AE7944" s="74"/>
      <c r="AF7944" s="77"/>
      <c r="AH7944" s="497">
        <v>32</v>
      </c>
      <c r="AJ7944" s="42"/>
      <c r="AK7944" s="74"/>
      <c r="AL7944" s="77"/>
      <c r="AN7944" s="497">
        <v>51.980000000000004</v>
      </c>
      <c r="AP7944" s="42"/>
      <c r="AQ7944" s="74"/>
      <c r="AR7944" s="77"/>
      <c r="AT7944" s="497">
        <v>30.92</v>
      </c>
      <c r="AV7944" s="42"/>
      <c r="AW7944" s="74"/>
      <c r="AX7944" s="77"/>
      <c r="BA7944" s="497">
        <v>30.92</v>
      </c>
      <c r="BB7944" s="42"/>
      <c r="BC7944" s="74"/>
      <c r="BD7944" s="77"/>
      <c r="BF7944">
        <v>64.94</v>
      </c>
      <c r="BH7944" s="42"/>
      <c r="BI7944" s="74"/>
      <c r="BJ7944" s="77"/>
      <c r="BL7944" s="497">
        <v>59</v>
      </c>
      <c r="BN7944" s="42"/>
      <c r="BO7944" s="74"/>
      <c r="BP7944" s="77"/>
      <c r="BR7944" s="497">
        <v>23</v>
      </c>
      <c r="BT7944" s="42"/>
    </row>
    <row r="7945" spans="1:72" x14ac:dyDescent="0.25">
      <c r="A7945" s="90">
        <v>36857</v>
      </c>
      <c r="B7945" s="20">
        <v>0.29166666666666669</v>
      </c>
      <c r="D7945">
        <v>26.96</v>
      </c>
      <c r="E7945" t="str">
        <f t="shared" si="282"/>
        <v>WEEKDAY</v>
      </c>
      <c r="F7945" t="e">
        <f t="shared" si="283"/>
        <v>#N/A</v>
      </c>
      <c r="G7945" s="74">
        <v>28821</v>
      </c>
      <c r="H7945" s="77">
        <v>0.29166666666666669</v>
      </c>
      <c r="J7945">
        <v>26.060000000000002</v>
      </c>
      <c r="M7945" s="74">
        <v>36126</v>
      </c>
      <c r="N7945" s="77">
        <v>0.29166666666666669</v>
      </c>
      <c r="P7945">
        <v>48.2</v>
      </c>
      <c r="S7945" s="74">
        <v>36857</v>
      </c>
      <c r="T7945" s="77">
        <v>0.29166666666666669</v>
      </c>
      <c r="V7945">
        <v>44.96</v>
      </c>
      <c r="X7945" s="42"/>
      <c r="AB7945">
        <v>41.3</v>
      </c>
      <c r="AC7945">
        <v>33.979999999999997</v>
      </c>
      <c r="AE7945" s="74"/>
      <c r="AF7945" s="77"/>
      <c r="AH7945" s="497">
        <v>32</v>
      </c>
      <c r="AJ7945" s="42"/>
      <c r="AK7945" s="74"/>
      <c r="AL7945" s="77"/>
      <c r="AN7945" s="497">
        <v>53.06</v>
      </c>
      <c r="AP7945" s="42"/>
      <c r="AQ7945" s="74"/>
      <c r="AR7945" s="77"/>
      <c r="AT7945" s="497">
        <v>30.92</v>
      </c>
      <c r="AV7945" s="42"/>
      <c r="AW7945" s="74"/>
      <c r="AX7945" s="77"/>
      <c r="BA7945" s="497">
        <v>32</v>
      </c>
      <c r="BB7945" s="42"/>
      <c r="BC7945" s="74"/>
      <c r="BD7945" s="77"/>
      <c r="BF7945">
        <v>64.94</v>
      </c>
      <c r="BH7945" s="42"/>
      <c r="BI7945" s="74"/>
      <c r="BJ7945" s="77"/>
      <c r="BL7945" s="497">
        <v>60.08</v>
      </c>
      <c r="BN7945" s="42"/>
      <c r="BO7945" s="74"/>
      <c r="BP7945" s="77"/>
      <c r="BR7945" s="497">
        <v>21.92</v>
      </c>
      <c r="BT7945" s="42"/>
    </row>
    <row r="7946" spans="1:72" x14ac:dyDescent="0.25">
      <c r="A7946" s="90">
        <v>36857</v>
      </c>
      <c r="B7946" s="20">
        <v>0.33333333333333331</v>
      </c>
      <c r="D7946">
        <v>26.96</v>
      </c>
      <c r="E7946" t="str">
        <f t="shared" si="282"/>
        <v>WEEKDAY</v>
      </c>
      <c r="F7946" t="e">
        <f t="shared" si="283"/>
        <v>#N/A</v>
      </c>
      <c r="G7946" s="74">
        <v>28821</v>
      </c>
      <c r="H7946" s="77">
        <v>0.33333333333333331</v>
      </c>
      <c r="J7946">
        <v>26.060000000000002</v>
      </c>
      <c r="M7946" s="74">
        <v>36126</v>
      </c>
      <c r="N7946" s="77">
        <v>0.33333333333333331</v>
      </c>
      <c r="P7946">
        <v>42.8</v>
      </c>
      <c r="S7946" s="74">
        <v>36857</v>
      </c>
      <c r="T7946" s="77">
        <v>0.33333333333333331</v>
      </c>
      <c r="V7946">
        <v>46.04</v>
      </c>
      <c r="X7946" s="42"/>
      <c r="AB7946">
        <v>41.3</v>
      </c>
      <c r="AC7946">
        <v>37.94</v>
      </c>
      <c r="AE7946" s="74"/>
      <c r="AF7946" s="77"/>
      <c r="AH7946" s="497">
        <v>33.799999999999997</v>
      </c>
      <c r="AJ7946" s="42"/>
      <c r="AK7946" s="74"/>
      <c r="AL7946" s="77"/>
      <c r="AN7946" s="497">
        <v>53.06</v>
      </c>
      <c r="AP7946" s="42"/>
      <c r="AQ7946" s="74"/>
      <c r="AR7946" s="77"/>
      <c r="AT7946" s="497">
        <v>32</v>
      </c>
      <c r="AV7946" s="42"/>
      <c r="AW7946" s="74"/>
      <c r="AX7946" s="77"/>
      <c r="BA7946" s="497">
        <v>32</v>
      </c>
      <c r="BB7946" s="42"/>
      <c r="BC7946" s="74"/>
      <c r="BD7946" s="77"/>
      <c r="BF7946">
        <v>62.96</v>
      </c>
      <c r="BH7946" s="42"/>
      <c r="BI7946" s="74"/>
      <c r="BJ7946" s="77"/>
      <c r="BL7946" s="497">
        <v>60.980000000000004</v>
      </c>
      <c r="BN7946" s="42"/>
      <c r="BO7946" s="74"/>
      <c r="BP7946" s="77"/>
      <c r="BR7946" s="497">
        <v>19.939999999999998</v>
      </c>
      <c r="BT7946" s="42"/>
    </row>
    <row r="7947" spans="1:72" x14ac:dyDescent="0.25">
      <c r="A7947" s="90">
        <v>36857</v>
      </c>
      <c r="B7947" s="20">
        <v>0.375</v>
      </c>
      <c r="D7947">
        <v>28.04</v>
      </c>
      <c r="E7947" t="str">
        <f t="shared" si="282"/>
        <v>WEEKDAY</v>
      </c>
      <c r="F7947" t="e">
        <f t="shared" si="283"/>
        <v>#N/A</v>
      </c>
      <c r="G7947" s="74">
        <v>28821</v>
      </c>
      <c r="H7947" s="77">
        <v>0.375</v>
      </c>
      <c r="J7947">
        <v>26.96</v>
      </c>
      <c r="M7947" s="74">
        <v>36126</v>
      </c>
      <c r="N7947" s="77">
        <v>0.375</v>
      </c>
      <c r="P7947">
        <v>44.6</v>
      </c>
      <c r="S7947" s="74">
        <v>36857</v>
      </c>
      <c r="T7947" s="77">
        <v>0.375</v>
      </c>
      <c r="V7947">
        <v>46.94</v>
      </c>
      <c r="X7947" s="42"/>
      <c r="AB7947">
        <v>42.3</v>
      </c>
      <c r="AC7947">
        <v>46.94</v>
      </c>
      <c r="AE7947" s="74"/>
      <c r="AF7947" s="77"/>
      <c r="AH7947" s="497">
        <v>37.4</v>
      </c>
      <c r="AJ7947" s="42"/>
      <c r="AK7947" s="74"/>
      <c r="AL7947" s="77"/>
      <c r="AN7947" s="497">
        <v>53.96</v>
      </c>
      <c r="AP7947" s="42"/>
      <c r="AQ7947" s="74"/>
      <c r="AR7947" s="77"/>
      <c r="AT7947" s="497">
        <v>33.08</v>
      </c>
      <c r="AV7947" s="42"/>
      <c r="AW7947" s="74"/>
      <c r="AX7947" s="77"/>
      <c r="BA7947" s="497">
        <v>33.979999999999997</v>
      </c>
      <c r="BB7947" s="42"/>
      <c r="BC7947" s="74"/>
      <c r="BD7947" s="77"/>
      <c r="BF7947">
        <v>62.96</v>
      </c>
      <c r="BH7947" s="42"/>
      <c r="BI7947" s="74"/>
      <c r="BJ7947" s="77"/>
      <c r="BL7947" s="497">
        <v>62.06</v>
      </c>
      <c r="BN7947" s="42"/>
      <c r="BO7947" s="74"/>
      <c r="BP7947" s="77"/>
      <c r="BR7947" s="497">
        <v>21.02</v>
      </c>
      <c r="BT7947" s="42"/>
    </row>
    <row r="7948" spans="1:72" x14ac:dyDescent="0.25">
      <c r="A7948" s="90">
        <v>36857</v>
      </c>
      <c r="B7948" s="20">
        <v>0.41666666666666669</v>
      </c>
      <c r="D7948">
        <v>30.02</v>
      </c>
      <c r="E7948" t="str">
        <f t="shared" si="282"/>
        <v>WEEKDAY</v>
      </c>
      <c r="F7948" t="e">
        <f t="shared" si="283"/>
        <v>#N/A</v>
      </c>
      <c r="G7948" s="74">
        <v>28821</v>
      </c>
      <c r="H7948" s="77">
        <v>0.41666666666666669</v>
      </c>
      <c r="J7948">
        <v>28.04</v>
      </c>
      <c r="M7948" s="74">
        <v>36126</v>
      </c>
      <c r="N7948" s="77">
        <v>0.41666666666666669</v>
      </c>
      <c r="P7948">
        <v>46.4</v>
      </c>
      <c r="S7948" s="74">
        <v>36857</v>
      </c>
      <c r="T7948" s="77">
        <v>0.41666666666666669</v>
      </c>
      <c r="V7948">
        <v>48.92</v>
      </c>
      <c r="X7948" s="42"/>
      <c r="AB7948">
        <v>44.2</v>
      </c>
      <c r="AC7948">
        <v>50</v>
      </c>
      <c r="AE7948" s="74"/>
      <c r="AF7948" s="77"/>
      <c r="AH7948" s="497">
        <v>42.8</v>
      </c>
      <c r="AJ7948" s="42"/>
      <c r="AK7948" s="74"/>
      <c r="AL7948" s="77"/>
      <c r="AN7948" s="497">
        <v>55.040000000000006</v>
      </c>
      <c r="AP7948" s="42"/>
      <c r="AQ7948" s="74"/>
      <c r="AR7948" s="77"/>
      <c r="AT7948" s="497">
        <v>33.979999999999997</v>
      </c>
      <c r="AV7948" s="42"/>
      <c r="AW7948" s="74"/>
      <c r="AX7948" s="77"/>
      <c r="BA7948" s="497">
        <v>35.06</v>
      </c>
      <c r="BB7948" s="42"/>
      <c r="BC7948" s="74"/>
      <c r="BD7948" s="77"/>
      <c r="BF7948">
        <v>53.06</v>
      </c>
      <c r="BH7948" s="42"/>
      <c r="BI7948" s="74"/>
      <c r="BJ7948" s="77"/>
      <c r="BL7948" s="497">
        <v>64.94</v>
      </c>
      <c r="BN7948" s="42"/>
      <c r="BO7948" s="74"/>
      <c r="BP7948" s="77"/>
      <c r="BR7948" s="497">
        <v>24.08</v>
      </c>
      <c r="BT7948" s="42"/>
    </row>
    <row r="7949" spans="1:72" x14ac:dyDescent="0.25">
      <c r="A7949" s="90">
        <v>36857</v>
      </c>
      <c r="B7949" s="20">
        <v>0.45833333333333331</v>
      </c>
      <c r="D7949">
        <v>30.92</v>
      </c>
      <c r="E7949" t="str">
        <f t="shared" si="282"/>
        <v>WEEKDAY</v>
      </c>
      <c r="F7949" t="e">
        <f t="shared" si="283"/>
        <v>#N/A</v>
      </c>
      <c r="G7949" s="74">
        <v>28821</v>
      </c>
      <c r="H7949" s="77">
        <v>0.45833333333333331</v>
      </c>
      <c r="J7949">
        <v>28.94</v>
      </c>
      <c r="M7949" s="74">
        <v>36126</v>
      </c>
      <c r="N7949" s="77">
        <v>0.45833333333333331</v>
      </c>
      <c r="P7949">
        <v>46.4</v>
      </c>
      <c r="S7949" s="74">
        <v>36857</v>
      </c>
      <c r="T7949" s="77">
        <v>0.45833333333333331</v>
      </c>
      <c r="V7949">
        <v>51.08</v>
      </c>
      <c r="X7949" s="42"/>
      <c r="AB7949">
        <v>45.8</v>
      </c>
      <c r="AC7949">
        <v>51.08</v>
      </c>
      <c r="AE7949" s="74"/>
      <c r="AF7949" s="77"/>
      <c r="AH7949" s="497">
        <v>46.4</v>
      </c>
      <c r="AJ7949" s="42"/>
      <c r="AK7949" s="74"/>
      <c r="AL7949" s="77"/>
      <c r="AN7949" s="497">
        <v>59</v>
      </c>
      <c r="AP7949" s="42"/>
      <c r="AQ7949" s="74"/>
      <c r="AR7949" s="77"/>
      <c r="AT7949" s="497">
        <v>37.04</v>
      </c>
      <c r="AV7949" s="42"/>
      <c r="AW7949" s="74"/>
      <c r="AX7949" s="77"/>
      <c r="BA7949" s="497">
        <v>35.96</v>
      </c>
      <c r="BB7949" s="42"/>
      <c r="BC7949" s="74"/>
      <c r="BD7949" s="77"/>
      <c r="BF7949">
        <v>57.019999999999996</v>
      </c>
      <c r="BH7949" s="42"/>
      <c r="BI7949" s="74"/>
      <c r="BJ7949" s="77"/>
      <c r="BL7949" s="497">
        <v>60.08</v>
      </c>
      <c r="BN7949" s="42"/>
      <c r="BO7949" s="74"/>
      <c r="BP7949" s="77"/>
      <c r="BR7949" s="497">
        <v>24.08</v>
      </c>
      <c r="BT7949" s="42"/>
    </row>
    <row r="7950" spans="1:72" x14ac:dyDescent="0.25">
      <c r="A7950" s="90">
        <v>36857</v>
      </c>
      <c r="B7950" s="20">
        <v>0.5</v>
      </c>
      <c r="D7950">
        <v>33.08</v>
      </c>
      <c r="E7950" t="str">
        <f t="shared" si="282"/>
        <v>WEEKDAY</v>
      </c>
      <c r="F7950" t="e">
        <f t="shared" si="283"/>
        <v>#N/A</v>
      </c>
      <c r="G7950" s="74">
        <v>28821</v>
      </c>
      <c r="H7950" s="77">
        <v>0.5</v>
      </c>
      <c r="J7950">
        <v>30.02</v>
      </c>
      <c r="M7950" s="74">
        <v>36126</v>
      </c>
      <c r="N7950" s="77">
        <v>0.5</v>
      </c>
      <c r="P7950">
        <v>47.66</v>
      </c>
      <c r="S7950" s="74">
        <v>36857</v>
      </c>
      <c r="T7950" s="77">
        <v>0.5</v>
      </c>
      <c r="V7950">
        <v>51.08</v>
      </c>
      <c r="X7950" s="42"/>
      <c r="AB7950">
        <v>47.1</v>
      </c>
      <c r="AC7950">
        <v>51.980000000000004</v>
      </c>
      <c r="AE7950" s="74"/>
      <c r="AF7950" s="77"/>
      <c r="AH7950" s="497">
        <v>48.2</v>
      </c>
      <c r="AJ7950" s="42"/>
      <c r="AK7950" s="74"/>
      <c r="AL7950" s="77"/>
      <c r="AN7950" s="497">
        <v>60.08</v>
      </c>
      <c r="AP7950" s="42"/>
      <c r="AQ7950" s="74"/>
      <c r="AR7950" s="77"/>
      <c r="AT7950" s="497">
        <v>41</v>
      </c>
      <c r="AV7950" s="42"/>
      <c r="AW7950" s="74"/>
      <c r="AX7950" s="77"/>
      <c r="BA7950" s="497">
        <v>35.96</v>
      </c>
      <c r="BB7950" s="42"/>
      <c r="BC7950" s="74"/>
      <c r="BD7950" s="77"/>
      <c r="BF7950">
        <v>59</v>
      </c>
      <c r="BH7950" s="42"/>
      <c r="BI7950" s="74"/>
      <c r="BJ7950" s="77"/>
      <c r="BL7950" s="497">
        <v>60.08</v>
      </c>
      <c r="BN7950" s="42"/>
      <c r="BO7950" s="74"/>
      <c r="BP7950" s="77"/>
      <c r="BR7950" s="497">
        <v>26.060000000000002</v>
      </c>
      <c r="BT7950" s="42"/>
    </row>
    <row r="7951" spans="1:72" x14ac:dyDescent="0.25">
      <c r="A7951" s="90">
        <v>36857</v>
      </c>
      <c r="B7951" s="20">
        <v>0.54166666666666663</v>
      </c>
      <c r="D7951">
        <v>33.979999999999997</v>
      </c>
      <c r="E7951" t="str">
        <f t="shared" si="282"/>
        <v>WEEKDAY</v>
      </c>
      <c r="F7951" t="e">
        <f t="shared" si="283"/>
        <v>#N/A</v>
      </c>
      <c r="G7951" s="74">
        <v>28821</v>
      </c>
      <c r="H7951" s="77">
        <v>0.54166666666666663</v>
      </c>
      <c r="J7951">
        <v>30.92</v>
      </c>
      <c r="M7951" s="74">
        <v>36126</v>
      </c>
      <c r="N7951" s="77">
        <v>0.54166666666666663</v>
      </c>
      <c r="P7951">
        <v>48.2</v>
      </c>
      <c r="S7951" s="74">
        <v>36857</v>
      </c>
      <c r="T7951" s="77">
        <v>0.54166666666666663</v>
      </c>
      <c r="V7951">
        <v>51.980000000000004</v>
      </c>
      <c r="X7951" s="42"/>
      <c r="AB7951">
        <v>48.2</v>
      </c>
      <c r="AC7951">
        <v>53.06</v>
      </c>
      <c r="AE7951" s="74"/>
      <c r="AF7951" s="77"/>
      <c r="AH7951" s="497">
        <v>50</v>
      </c>
      <c r="AJ7951" s="42"/>
      <c r="AK7951" s="74"/>
      <c r="AL7951" s="77"/>
      <c r="AN7951" s="497">
        <v>59</v>
      </c>
      <c r="AP7951" s="42"/>
      <c r="AQ7951" s="74"/>
      <c r="AR7951" s="77"/>
      <c r="AT7951" s="497">
        <v>44.96</v>
      </c>
      <c r="AV7951" s="42"/>
      <c r="AW7951" s="74"/>
      <c r="AX7951" s="77"/>
      <c r="BA7951" s="497">
        <v>37.04</v>
      </c>
      <c r="BB7951" s="42"/>
      <c r="BC7951" s="74"/>
      <c r="BD7951" s="77"/>
      <c r="BF7951">
        <v>55.94</v>
      </c>
      <c r="BH7951" s="42"/>
      <c r="BI7951" s="74"/>
      <c r="BJ7951" s="77"/>
      <c r="BL7951" s="497">
        <v>59</v>
      </c>
      <c r="BN7951" s="42"/>
      <c r="BO7951" s="74"/>
      <c r="BP7951" s="77"/>
      <c r="BR7951" s="497">
        <v>26.96</v>
      </c>
      <c r="BT7951" s="42"/>
    </row>
    <row r="7952" spans="1:72" x14ac:dyDescent="0.25">
      <c r="A7952" s="90">
        <v>36857</v>
      </c>
      <c r="B7952" s="20">
        <v>0.58333333333333337</v>
      </c>
      <c r="D7952">
        <v>35.06</v>
      </c>
      <c r="E7952" t="str">
        <f t="shared" si="282"/>
        <v>WEEKDAY</v>
      </c>
      <c r="F7952" t="e">
        <f t="shared" si="283"/>
        <v>#N/A</v>
      </c>
      <c r="G7952" s="74">
        <v>28821</v>
      </c>
      <c r="H7952" s="77">
        <v>0.58333333333333337</v>
      </c>
      <c r="J7952">
        <v>30.92</v>
      </c>
      <c r="M7952" s="74">
        <v>36126</v>
      </c>
      <c r="N7952" s="77">
        <v>0.58333333333333337</v>
      </c>
      <c r="P7952">
        <v>46.4</v>
      </c>
      <c r="S7952" s="74">
        <v>36857</v>
      </c>
      <c r="T7952" s="77">
        <v>0.58333333333333337</v>
      </c>
      <c r="V7952">
        <v>51.08</v>
      </c>
      <c r="X7952" s="42"/>
      <c r="AB7952">
        <v>48.8</v>
      </c>
      <c r="AC7952">
        <v>51.980000000000004</v>
      </c>
      <c r="AE7952" s="74"/>
      <c r="AF7952" s="77"/>
      <c r="AH7952" s="497">
        <v>51.8</v>
      </c>
      <c r="AJ7952" s="42"/>
      <c r="AK7952" s="74"/>
      <c r="AL7952" s="77"/>
      <c r="AN7952" s="497">
        <v>59</v>
      </c>
      <c r="AP7952" s="42"/>
      <c r="AQ7952" s="74"/>
      <c r="AR7952" s="77"/>
      <c r="AT7952" s="497">
        <v>46.04</v>
      </c>
      <c r="AV7952" s="42"/>
      <c r="AW7952" s="74"/>
      <c r="AX7952" s="77"/>
      <c r="BA7952" s="497">
        <v>37.04</v>
      </c>
      <c r="BB7952" s="42"/>
      <c r="BC7952" s="74"/>
      <c r="BD7952" s="77"/>
      <c r="BF7952">
        <v>53.06</v>
      </c>
      <c r="BH7952" s="42"/>
      <c r="BI7952" s="74"/>
      <c r="BJ7952" s="77"/>
      <c r="BL7952" s="497">
        <v>60.980000000000004</v>
      </c>
      <c r="BN7952" s="42"/>
      <c r="BO7952" s="74"/>
      <c r="BP7952" s="77"/>
      <c r="BR7952" s="497">
        <v>26.96</v>
      </c>
      <c r="BT7952" s="42"/>
    </row>
    <row r="7953" spans="1:72" x14ac:dyDescent="0.25">
      <c r="A7953" s="90">
        <v>36857</v>
      </c>
      <c r="B7953" s="20">
        <v>0.625</v>
      </c>
      <c r="D7953">
        <v>35.96</v>
      </c>
      <c r="E7953" t="str">
        <f t="shared" si="282"/>
        <v>WEEKDAY</v>
      </c>
      <c r="F7953" t="e">
        <f t="shared" si="283"/>
        <v>#N/A</v>
      </c>
      <c r="G7953" s="74">
        <v>28821</v>
      </c>
      <c r="H7953" s="77">
        <v>0.625</v>
      </c>
      <c r="J7953">
        <v>33.08</v>
      </c>
      <c r="M7953" s="74">
        <v>36126</v>
      </c>
      <c r="N7953" s="77">
        <v>0.625</v>
      </c>
      <c r="P7953">
        <v>44.6</v>
      </c>
      <c r="S7953" s="74">
        <v>36857</v>
      </c>
      <c r="T7953" s="77">
        <v>0.625</v>
      </c>
      <c r="V7953">
        <v>50</v>
      </c>
      <c r="X7953" s="42"/>
      <c r="AB7953">
        <v>49</v>
      </c>
      <c r="AC7953">
        <v>51.980000000000004</v>
      </c>
      <c r="AE7953" s="74"/>
      <c r="AF7953" s="77"/>
      <c r="AH7953" s="497">
        <v>51.8</v>
      </c>
      <c r="AJ7953" s="42"/>
      <c r="AK7953" s="74"/>
      <c r="AL7953" s="77"/>
      <c r="AN7953" s="497">
        <v>57.92</v>
      </c>
      <c r="AP7953" s="42"/>
      <c r="AQ7953" s="74"/>
      <c r="AR7953" s="77"/>
      <c r="AT7953" s="497">
        <v>46.04</v>
      </c>
      <c r="AV7953" s="42"/>
      <c r="AW7953" s="74"/>
      <c r="AX7953" s="77"/>
      <c r="BA7953" s="497">
        <v>35.96</v>
      </c>
      <c r="BB7953" s="42"/>
      <c r="BC7953" s="74"/>
      <c r="BD7953" s="77"/>
      <c r="BF7953">
        <v>51.08</v>
      </c>
      <c r="BH7953" s="42"/>
      <c r="BI7953" s="74"/>
      <c r="BJ7953" s="77"/>
      <c r="BL7953" s="497">
        <v>55.94</v>
      </c>
      <c r="BN7953" s="42"/>
      <c r="BO7953" s="74"/>
      <c r="BP7953" s="77"/>
      <c r="BR7953" s="497">
        <v>26.060000000000002</v>
      </c>
      <c r="BT7953" s="42"/>
    </row>
    <row r="7954" spans="1:72" x14ac:dyDescent="0.25">
      <c r="A7954" s="90">
        <v>36857</v>
      </c>
      <c r="B7954" s="20">
        <v>0.66666666666666663</v>
      </c>
      <c r="D7954">
        <v>37.04</v>
      </c>
      <c r="E7954" t="str">
        <f t="shared" si="282"/>
        <v>WEEKDAY</v>
      </c>
      <c r="F7954" t="e">
        <f t="shared" si="283"/>
        <v>#N/A</v>
      </c>
      <c r="G7954" s="74">
        <v>28821</v>
      </c>
      <c r="H7954" s="77">
        <v>0.66666666666666663</v>
      </c>
      <c r="J7954">
        <v>33.979999999999997</v>
      </c>
      <c r="M7954" s="74">
        <v>36126</v>
      </c>
      <c r="N7954" s="77">
        <v>0.66666666666666663</v>
      </c>
      <c r="P7954">
        <v>44.6</v>
      </c>
      <c r="S7954" s="74">
        <v>36857</v>
      </c>
      <c r="T7954" s="77">
        <v>0.66666666666666663</v>
      </c>
      <c r="V7954">
        <v>48.92</v>
      </c>
      <c r="X7954" s="42"/>
      <c r="AB7954">
        <v>48.6</v>
      </c>
      <c r="AC7954">
        <v>50</v>
      </c>
      <c r="AE7954" s="74"/>
      <c r="AF7954" s="77"/>
      <c r="AH7954" s="497">
        <v>51.8</v>
      </c>
      <c r="AJ7954" s="42"/>
      <c r="AK7954" s="74"/>
      <c r="AL7954" s="77"/>
      <c r="AN7954" s="497">
        <v>57.019999999999996</v>
      </c>
      <c r="AP7954" s="42"/>
      <c r="AQ7954" s="74"/>
      <c r="AR7954" s="77"/>
      <c r="AT7954" s="497">
        <v>48.019999999999996</v>
      </c>
      <c r="AV7954" s="42"/>
      <c r="AW7954" s="74"/>
      <c r="AX7954" s="77"/>
      <c r="BA7954" s="497">
        <v>35.06</v>
      </c>
      <c r="BB7954" s="42"/>
      <c r="BC7954" s="74"/>
      <c r="BD7954" s="77"/>
      <c r="BF7954">
        <v>51.08</v>
      </c>
      <c r="BH7954" s="42"/>
      <c r="BI7954" s="74"/>
      <c r="BJ7954" s="77"/>
      <c r="BL7954" s="497">
        <v>53.06</v>
      </c>
      <c r="BN7954" s="42"/>
      <c r="BO7954" s="74"/>
      <c r="BP7954" s="77"/>
      <c r="BR7954" s="497">
        <v>26.060000000000002</v>
      </c>
      <c r="BT7954" s="42"/>
    </row>
    <row r="7955" spans="1:72" x14ac:dyDescent="0.25">
      <c r="A7955" s="90">
        <v>36857</v>
      </c>
      <c r="B7955" s="20">
        <v>0.70833333333333337</v>
      </c>
      <c r="D7955">
        <v>37.94</v>
      </c>
      <c r="E7955" t="str">
        <f t="shared" ref="E7955:E8018" si="284">IF(COUNTIF($DI$18:$DI$22, WEEKDAY(A7955))=1, "WEEKDAY", IF(WEEKDAY(A7955) = 1, "SUNDAY", "SATURDAY"))</f>
        <v>WEEKDAY</v>
      </c>
      <c r="F7955" t="e">
        <f t="shared" si="283"/>
        <v>#N/A</v>
      </c>
      <c r="G7955" s="74">
        <v>28821</v>
      </c>
      <c r="H7955" s="77">
        <v>0.70833333333333337</v>
      </c>
      <c r="J7955">
        <v>35.06</v>
      </c>
      <c r="M7955" s="74">
        <v>36126</v>
      </c>
      <c r="N7955" s="77">
        <v>0.70833333333333337</v>
      </c>
      <c r="P7955">
        <v>42.8</v>
      </c>
      <c r="S7955" s="74">
        <v>36857</v>
      </c>
      <c r="T7955" s="77">
        <v>0.70833333333333337</v>
      </c>
      <c r="V7955">
        <v>48.92</v>
      </c>
      <c r="X7955" s="42"/>
      <c r="AB7955">
        <v>47.5</v>
      </c>
      <c r="AC7955">
        <v>48.92</v>
      </c>
      <c r="AE7955" s="74"/>
      <c r="AF7955" s="77"/>
      <c r="AH7955" s="497">
        <v>51.8</v>
      </c>
      <c r="AJ7955" s="42"/>
      <c r="AK7955" s="74"/>
      <c r="AL7955" s="77"/>
      <c r="AN7955" s="497">
        <v>55.94</v>
      </c>
      <c r="AP7955" s="42"/>
      <c r="AQ7955" s="74"/>
      <c r="AR7955" s="77"/>
      <c r="AT7955" s="497">
        <v>46.94</v>
      </c>
      <c r="AV7955" s="42"/>
      <c r="AW7955" s="74"/>
      <c r="AX7955" s="77"/>
      <c r="BA7955" s="497">
        <v>33.08</v>
      </c>
      <c r="BB7955" s="42"/>
      <c r="BC7955" s="74"/>
      <c r="BD7955" s="77"/>
      <c r="BF7955">
        <v>48.019999999999996</v>
      </c>
      <c r="BH7955" s="42"/>
      <c r="BI7955" s="74"/>
      <c r="BJ7955" s="77"/>
      <c r="BL7955" s="497">
        <v>51.08</v>
      </c>
      <c r="BN7955" s="42"/>
      <c r="BO7955" s="74"/>
      <c r="BP7955" s="77"/>
      <c r="BR7955" s="497">
        <v>24.98</v>
      </c>
      <c r="BT7955" s="42"/>
    </row>
    <row r="7956" spans="1:72" x14ac:dyDescent="0.25">
      <c r="A7956" s="90">
        <v>36857</v>
      </c>
      <c r="B7956" s="20">
        <v>0.75</v>
      </c>
      <c r="D7956">
        <v>39.019999999999996</v>
      </c>
      <c r="E7956" t="str">
        <f t="shared" si="284"/>
        <v>WEEKDAY</v>
      </c>
      <c r="F7956" t="e">
        <f t="shared" si="283"/>
        <v>#N/A</v>
      </c>
      <c r="G7956" s="74">
        <v>28821</v>
      </c>
      <c r="H7956" s="77">
        <v>0.75</v>
      </c>
      <c r="J7956">
        <v>37.04</v>
      </c>
      <c r="M7956" s="74">
        <v>36126</v>
      </c>
      <c r="N7956" s="77">
        <v>0.75</v>
      </c>
      <c r="P7956">
        <v>41</v>
      </c>
      <c r="S7956" s="74">
        <v>36857</v>
      </c>
      <c r="T7956" s="77">
        <v>0.75</v>
      </c>
      <c r="V7956">
        <v>48.92</v>
      </c>
      <c r="X7956" s="42"/>
      <c r="AB7956">
        <v>46.3</v>
      </c>
      <c r="AC7956">
        <v>46.94</v>
      </c>
      <c r="AE7956" s="74"/>
      <c r="AF7956" s="77"/>
      <c r="AH7956" s="497">
        <v>50</v>
      </c>
      <c r="AJ7956" s="42"/>
      <c r="AK7956" s="74"/>
      <c r="AL7956" s="77"/>
      <c r="AN7956" s="497">
        <v>55.94</v>
      </c>
      <c r="AP7956" s="42"/>
      <c r="AQ7956" s="74"/>
      <c r="AR7956" s="77"/>
      <c r="AT7956" s="497">
        <v>46.04</v>
      </c>
      <c r="AV7956" s="42"/>
      <c r="AW7956" s="74"/>
      <c r="AX7956" s="77"/>
      <c r="BA7956" s="497">
        <v>32</v>
      </c>
      <c r="BB7956" s="42"/>
      <c r="BC7956" s="74"/>
      <c r="BD7956" s="77"/>
      <c r="BF7956">
        <v>48.019999999999996</v>
      </c>
      <c r="BH7956" s="42"/>
      <c r="BI7956" s="74"/>
      <c r="BJ7956" s="77"/>
      <c r="BL7956" s="497">
        <v>50</v>
      </c>
      <c r="BN7956" s="42"/>
      <c r="BO7956" s="74"/>
      <c r="BP7956" s="77"/>
      <c r="BR7956" s="497">
        <v>24.98</v>
      </c>
      <c r="BT7956" s="42"/>
    </row>
    <row r="7957" spans="1:72" x14ac:dyDescent="0.25">
      <c r="A7957" s="90">
        <v>36857</v>
      </c>
      <c r="B7957" s="20">
        <v>0.79166666666666663</v>
      </c>
      <c r="D7957">
        <v>41</v>
      </c>
      <c r="E7957" t="str">
        <f t="shared" si="284"/>
        <v>WEEKDAY</v>
      </c>
      <c r="F7957" t="e">
        <f t="shared" si="283"/>
        <v>#N/A</v>
      </c>
      <c r="G7957" s="74">
        <v>28821</v>
      </c>
      <c r="H7957" s="77">
        <v>0.79166666666666663</v>
      </c>
      <c r="J7957">
        <v>37.94</v>
      </c>
      <c r="M7957" s="74">
        <v>36126</v>
      </c>
      <c r="N7957" s="77">
        <v>0.79166666666666663</v>
      </c>
      <c r="P7957">
        <v>41</v>
      </c>
      <c r="S7957" s="74">
        <v>36857</v>
      </c>
      <c r="T7957" s="77">
        <v>0.79166666666666663</v>
      </c>
      <c r="V7957">
        <v>50</v>
      </c>
      <c r="X7957" s="42"/>
      <c r="AB7957">
        <v>45.8</v>
      </c>
      <c r="AC7957">
        <v>46.94</v>
      </c>
      <c r="AE7957" s="74"/>
      <c r="AF7957" s="77"/>
      <c r="AH7957" s="497">
        <v>51.8</v>
      </c>
      <c r="AJ7957" s="42"/>
      <c r="AK7957" s="74"/>
      <c r="AL7957" s="77"/>
      <c r="AN7957" s="497">
        <v>55.040000000000006</v>
      </c>
      <c r="AP7957" s="42"/>
      <c r="AQ7957" s="74"/>
      <c r="AR7957" s="77"/>
      <c r="AT7957" s="497">
        <v>44.96</v>
      </c>
      <c r="AV7957" s="42"/>
      <c r="AW7957" s="74"/>
      <c r="AX7957" s="77"/>
      <c r="BA7957" s="497">
        <v>30.92</v>
      </c>
      <c r="BB7957" s="42"/>
      <c r="BC7957" s="74"/>
      <c r="BD7957" s="77"/>
      <c r="BF7957">
        <v>48.019999999999996</v>
      </c>
      <c r="BH7957" s="42"/>
      <c r="BI7957" s="74"/>
      <c r="BJ7957" s="77"/>
      <c r="BL7957" s="497">
        <v>50</v>
      </c>
      <c r="BN7957" s="42"/>
      <c r="BO7957" s="74"/>
      <c r="BP7957" s="77"/>
      <c r="BR7957" s="497">
        <v>24.98</v>
      </c>
      <c r="BT7957" s="42"/>
    </row>
    <row r="7958" spans="1:72" x14ac:dyDescent="0.25">
      <c r="A7958" s="90">
        <v>36857</v>
      </c>
      <c r="B7958" s="20">
        <v>0.83333333333333337</v>
      </c>
      <c r="D7958">
        <v>41</v>
      </c>
      <c r="E7958" t="str">
        <f t="shared" si="284"/>
        <v>WEEKDAY</v>
      </c>
      <c r="F7958" t="e">
        <f t="shared" si="283"/>
        <v>#N/A</v>
      </c>
      <c r="G7958" s="74">
        <v>28821</v>
      </c>
      <c r="H7958" s="77">
        <v>0.83333333333333337</v>
      </c>
      <c r="J7958">
        <v>35.96</v>
      </c>
      <c r="M7958" s="74">
        <v>36126</v>
      </c>
      <c r="N7958" s="77">
        <v>0.83333333333333337</v>
      </c>
      <c r="P7958">
        <v>41</v>
      </c>
      <c r="S7958" s="74">
        <v>36857</v>
      </c>
      <c r="T7958" s="77">
        <v>0.83333333333333337</v>
      </c>
      <c r="V7958">
        <v>48.019999999999996</v>
      </c>
      <c r="X7958" s="42"/>
      <c r="AB7958">
        <v>45.5</v>
      </c>
      <c r="AC7958">
        <v>46.94</v>
      </c>
      <c r="AE7958" s="74"/>
      <c r="AF7958" s="77"/>
      <c r="AH7958" s="497">
        <v>50</v>
      </c>
      <c r="AJ7958" s="42"/>
      <c r="AK7958" s="74"/>
      <c r="AL7958" s="77"/>
      <c r="AN7958" s="497">
        <v>55.040000000000006</v>
      </c>
      <c r="AP7958" s="42"/>
      <c r="AQ7958" s="74"/>
      <c r="AR7958" s="77"/>
      <c r="AT7958" s="497">
        <v>44.06</v>
      </c>
      <c r="AV7958" s="42"/>
      <c r="AW7958" s="74"/>
      <c r="AX7958" s="77"/>
      <c r="BA7958" s="497">
        <v>30.92</v>
      </c>
      <c r="BB7958" s="42"/>
      <c r="BC7958" s="74"/>
      <c r="BD7958" s="77"/>
      <c r="BF7958">
        <v>46.94</v>
      </c>
      <c r="BH7958" s="42"/>
      <c r="BI7958" s="74"/>
      <c r="BJ7958" s="77"/>
      <c r="BL7958" s="497">
        <v>48.92</v>
      </c>
      <c r="BN7958" s="42"/>
      <c r="BO7958" s="74"/>
      <c r="BP7958" s="77"/>
      <c r="BR7958" s="497">
        <v>24.98</v>
      </c>
      <c r="BT7958" s="42"/>
    </row>
    <row r="7959" spans="1:72" x14ac:dyDescent="0.25">
      <c r="A7959" s="90">
        <v>36857</v>
      </c>
      <c r="B7959" s="20">
        <v>0.875</v>
      </c>
      <c r="D7959">
        <v>41</v>
      </c>
      <c r="E7959" t="str">
        <f t="shared" si="284"/>
        <v>WEEKDAY</v>
      </c>
      <c r="F7959" t="e">
        <f t="shared" si="283"/>
        <v>#N/A</v>
      </c>
      <c r="G7959" s="74">
        <v>28821</v>
      </c>
      <c r="H7959" s="77">
        <v>0.875</v>
      </c>
      <c r="J7959">
        <v>37.04</v>
      </c>
      <c r="M7959" s="74">
        <v>36126</v>
      </c>
      <c r="N7959" s="77">
        <v>0.875</v>
      </c>
      <c r="P7959">
        <v>41</v>
      </c>
      <c r="S7959" s="74">
        <v>36857</v>
      </c>
      <c r="T7959" s="77">
        <v>0.875</v>
      </c>
      <c r="V7959">
        <v>48.019999999999996</v>
      </c>
      <c r="X7959" s="42"/>
      <c r="AB7959">
        <v>44.9</v>
      </c>
      <c r="AC7959">
        <v>46.04</v>
      </c>
      <c r="AE7959" s="74"/>
      <c r="AF7959" s="77"/>
      <c r="AH7959" s="497">
        <v>48.2</v>
      </c>
      <c r="AJ7959" s="42"/>
      <c r="AK7959" s="74"/>
      <c r="AL7959" s="77"/>
      <c r="AN7959" s="497">
        <v>55.040000000000006</v>
      </c>
      <c r="AP7959" s="42"/>
      <c r="AQ7959" s="74"/>
      <c r="AR7959" s="77"/>
      <c r="AT7959" s="497">
        <v>44.06</v>
      </c>
      <c r="AV7959" s="42"/>
      <c r="AW7959" s="74"/>
      <c r="AX7959" s="77"/>
      <c r="BA7959" s="497">
        <v>30.92</v>
      </c>
      <c r="BB7959" s="42"/>
      <c r="BC7959" s="74"/>
      <c r="BD7959" s="77"/>
      <c r="BF7959">
        <v>44.96</v>
      </c>
      <c r="BH7959" s="42"/>
      <c r="BI7959" s="74"/>
      <c r="BJ7959" s="77"/>
      <c r="BL7959" s="497">
        <v>48.92</v>
      </c>
      <c r="BN7959" s="42"/>
      <c r="BO7959" s="74"/>
      <c r="BP7959" s="77"/>
      <c r="BR7959" s="497">
        <v>24.98</v>
      </c>
      <c r="BT7959" s="42"/>
    </row>
    <row r="7960" spans="1:72" x14ac:dyDescent="0.25">
      <c r="A7960" s="90">
        <v>36857</v>
      </c>
      <c r="B7960" s="20">
        <v>0.91666666666666663</v>
      </c>
      <c r="D7960">
        <v>44.06</v>
      </c>
      <c r="E7960" t="str">
        <f t="shared" si="284"/>
        <v>WEEKDAY</v>
      </c>
      <c r="F7960" t="e">
        <f t="shared" si="283"/>
        <v>#N/A</v>
      </c>
      <c r="G7960" s="74">
        <v>28821</v>
      </c>
      <c r="H7960" s="77">
        <v>0.91666666666666663</v>
      </c>
      <c r="J7960">
        <v>37.04</v>
      </c>
      <c r="M7960" s="74">
        <v>36126</v>
      </c>
      <c r="N7960" s="77">
        <v>0.91666666666666663</v>
      </c>
      <c r="P7960">
        <v>41</v>
      </c>
      <c r="S7960" s="74">
        <v>36857</v>
      </c>
      <c r="T7960" s="77">
        <v>0.91666666666666663</v>
      </c>
      <c r="V7960">
        <v>46.94</v>
      </c>
      <c r="X7960" s="42"/>
      <c r="AB7960">
        <v>44.3</v>
      </c>
      <c r="AC7960">
        <v>48.019999999999996</v>
      </c>
      <c r="AE7960" s="74"/>
      <c r="AF7960" s="77"/>
      <c r="AH7960" s="497">
        <v>48.019999999999996</v>
      </c>
      <c r="AJ7960" s="42"/>
      <c r="AK7960" s="74"/>
      <c r="AL7960" s="77"/>
      <c r="AN7960" s="497">
        <v>55.94</v>
      </c>
      <c r="AP7960" s="42"/>
      <c r="AQ7960" s="74"/>
      <c r="AR7960" s="77"/>
      <c r="AT7960" s="497">
        <v>42.980000000000004</v>
      </c>
      <c r="AV7960" s="42"/>
      <c r="AW7960" s="74"/>
      <c r="AX7960" s="77"/>
      <c r="BA7960" s="497">
        <v>32</v>
      </c>
      <c r="BB7960" s="42"/>
      <c r="BC7960" s="74"/>
      <c r="BD7960" s="77"/>
      <c r="BF7960">
        <v>44.06</v>
      </c>
      <c r="BH7960" s="42"/>
      <c r="BI7960" s="74"/>
      <c r="BJ7960" s="77"/>
      <c r="BL7960" s="497">
        <v>48.019999999999996</v>
      </c>
      <c r="BN7960" s="42"/>
      <c r="BO7960" s="74"/>
      <c r="BP7960" s="77"/>
      <c r="BR7960" s="497">
        <v>24.98</v>
      </c>
      <c r="BT7960" s="42"/>
    </row>
    <row r="7961" spans="1:72" x14ac:dyDescent="0.25">
      <c r="A7961" s="90">
        <v>36857</v>
      </c>
      <c r="B7961" s="20">
        <v>0.95833333333333337</v>
      </c>
      <c r="D7961">
        <v>44.06</v>
      </c>
      <c r="E7961" t="str">
        <f t="shared" si="284"/>
        <v>WEEKDAY</v>
      </c>
      <c r="F7961" t="e">
        <f t="shared" si="283"/>
        <v>#N/A</v>
      </c>
      <c r="G7961" s="74">
        <v>28821</v>
      </c>
      <c r="H7961" s="77">
        <v>0.95833333333333337</v>
      </c>
      <c r="J7961">
        <v>35.96</v>
      </c>
      <c r="M7961" s="74">
        <v>36126</v>
      </c>
      <c r="N7961" s="77">
        <v>0.95833333333333337</v>
      </c>
      <c r="P7961">
        <v>41</v>
      </c>
      <c r="S7961" s="74">
        <v>36857</v>
      </c>
      <c r="T7961" s="77">
        <v>0.95833333333333337</v>
      </c>
      <c r="V7961">
        <v>48.019999999999996</v>
      </c>
      <c r="X7961" s="42"/>
      <c r="AB7961">
        <v>43.8</v>
      </c>
      <c r="AC7961">
        <v>51.08</v>
      </c>
      <c r="AE7961" s="74"/>
      <c r="AF7961" s="77"/>
      <c r="AH7961" s="497">
        <v>48.2</v>
      </c>
      <c r="AJ7961" s="42"/>
      <c r="AK7961" s="74"/>
      <c r="AL7961" s="77"/>
      <c r="AN7961" s="497">
        <v>53.96</v>
      </c>
      <c r="AP7961" s="42"/>
      <c r="AQ7961" s="74"/>
      <c r="AR7961" s="77"/>
      <c r="AT7961" s="497">
        <v>42.980000000000004</v>
      </c>
      <c r="AV7961" s="42"/>
      <c r="AW7961" s="74"/>
      <c r="AX7961" s="77"/>
      <c r="BA7961" s="497">
        <v>33.08</v>
      </c>
      <c r="BB7961" s="42"/>
      <c r="BC7961" s="74"/>
      <c r="BD7961" s="77"/>
      <c r="BF7961">
        <v>42.980000000000004</v>
      </c>
      <c r="BH7961" s="42"/>
      <c r="BI7961" s="74"/>
      <c r="BJ7961" s="77"/>
      <c r="BL7961" s="497">
        <v>46.04</v>
      </c>
      <c r="BN7961" s="42"/>
      <c r="BO7961" s="74"/>
      <c r="BP7961" s="77"/>
      <c r="BR7961" s="497">
        <v>24.08</v>
      </c>
      <c r="BT7961" s="42"/>
    </row>
    <row r="7962" spans="1:72" x14ac:dyDescent="0.25">
      <c r="A7962" s="90">
        <v>36857</v>
      </c>
      <c r="B7962" s="20">
        <v>1</v>
      </c>
      <c r="D7962">
        <v>44.06</v>
      </c>
      <c r="E7962" t="str">
        <f t="shared" si="284"/>
        <v>WEEKDAY</v>
      </c>
      <c r="F7962" t="e">
        <f t="shared" si="283"/>
        <v>#N/A</v>
      </c>
      <c r="G7962" s="74">
        <v>28821</v>
      </c>
      <c r="H7962" s="77">
        <v>1</v>
      </c>
      <c r="J7962">
        <v>35.06</v>
      </c>
      <c r="M7962" s="74">
        <v>36126</v>
      </c>
      <c r="N7962" s="80">
        <v>1</v>
      </c>
      <c r="P7962">
        <v>39.200000000000003</v>
      </c>
      <c r="S7962" s="74">
        <v>36857</v>
      </c>
      <c r="T7962" s="80">
        <v>1</v>
      </c>
      <c r="V7962">
        <v>46.94</v>
      </c>
      <c r="X7962" s="42"/>
      <c r="AB7962">
        <v>43.4</v>
      </c>
      <c r="AC7962">
        <v>51.08</v>
      </c>
      <c r="AE7962" s="74"/>
      <c r="AF7962" s="80"/>
      <c r="AH7962" s="497">
        <v>48.2</v>
      </c>
      <c r="AJ7962" s="42"/>
      <c r="AK7962" s="74"/>
      <c r="AL7962" s="80"/>
      <c r="AN7962" s="497">
        <v>53.96</v>
      </c>
      <c r="AP7962" s="42"/>
      <c r="AQ7962" s="74"/>
      <c r="AR7962" s="80"/>
      <c r="AT7962" s="497">
        <v>44.96</v>
      </c>
      <c r="AV7962" s="42"/>
      <c r="AW7962" s="74"/>
      <c r="AX7962" s="80"/>
      <c r="BA7962" s="497">
        <v>33.08</v>
      </c>
      <c r="BB7962" s="42"/>
      <c r="BC7962" s="74"/>
      <c r="BD7962" s="80"/>
      <c r="BF7962">
        <v>41</v>
      </c>
      <c r="BH7962" s="42"/>
      <c r="BI7962" s="74"/>
      <c r="BJ7962" s="80"/>
      <c r="BL7962" s="497">
        <v>44.06</v>
      </c>
      <c r="BN7962" s="42"/>
      <c r="BO7962" s="74"/>
      <c r="BP7962" s="80"/>
      <c r="BR7962" s="497">
        <v>23</v>
      </c>
      <c r="BT7962" s="42"/>
    </row>
    <row r="7963" spans="1:72" x14ac:dyDescent="0.25">
      <c r="A7963" s="90">
        <v>36858</v>
      </c>
      <c r="B7963" s="20">
        <v>4.1666666666666664E-2</v>
      </c>
      <c r="D7963">
        <v>44.06</v>
      </c>
      <c r="E7963" t="str">
        <f t="shared" si="284"/>
        <v>WEEKDAY</v>
      </c>
      <c r="F7963" t="e">
        <f t="shared" si="283"/>
        <v>#N/A</v>
      </c>
      <c r="G7963" s="74">
        <v>28822</v>
      </c>
      <c r="H7963" s="77">
        <v>4.1666666666666664E-2</v>
      </c>
      <c r="J7963">
        <v>35.06</v>
      </c>
      <c r="M7963" s="74">
        <v>36127</v>
      </c>
      <c r="N7963" s="77">
        <v>4.1666666666666664E-2</v>
      </c>
      <c r="P7963">
        <v>39.200000000000003</v>
      </c>
      <c r="S7963" s="74">
        <v>36858</v>
      </c>
      <c r="T7963" s="77">
        <v>4.1666666666666664E-2</v>
      </c>
      <c r="V7963">
        <v>46.94</v>
      </c>
      <c r="X7963" s="42"/>
      <c r="AB7963">
        <v>42.9</v>
      </c>
      <c r="AC7963">
        <v>51.08</v>
      </c>
      <c r="AE7963" s="74"/>
      <c r="AF7963" s="77"/>
      <c r="AH7963" s="497">
        <v>48.2</v>
      </c>
      <c r="AJ7963" s="42"/>
      <c r="AK7963" s="74"/>
      <c r="AL7963" s="77"/>
      <c r="AN7963" s="497">
        <v>53.06</v>
      </c>
      <c r="AP7963" s="42"/>
      <c r="AQ7963" s="74"/>
      <c r="AR7963" s="77"/>
      <c r="AT7963" s="497">
        <v>46.04</v>
      </c>
      <c r="AV7963" s="42"/>
      <c r="AW7963" s="74"/>
      <c r="AX7963" s="77"/>
      <c r="BA7963" s="497">
        <v>33.08</v>
      </c>
      <c r="BB7963" s="42"/>
      <c r="BC7963" s="74"/>
      <c r="BD7963" s="77"/>
      <c r="BF7963">
        <v>39.92</v>
      </c>
      <c r="BH7963" s="42"/>
      <c r="BI7963" s="74"/>
      <c r="BJ7963" s="77"/>
      <c r="BL7963" s="497">
        <v>42.980000000000004</v>
      </c>
      <c r="BN7963" s="42"/>
      <c r="BO7963" s="74"/>
      <c r="BP7963" s="77"/>
      <c r="BR7963" s="497">
        <v>23</v>
      </c>
      <c r="BT7963" s="42"/>
    </row>
    <row r="7964" spans="1:72" x14ac:dyDescent="0.25">
      <c r="A7964" s="90">
        <v>36858</v>
      </c>
      <c r="B7964" s="20">
        <v>8.3333333333333329E-2</v>
      </c>
      <c r="D7964">
        <v>42.980000000000004</v>
      </c>
      <c r="E7964" t="str">
        <f t="shared" si="284"/>
        <v>WEEKDAY</v>
      </c>
      <c r="F7964" t="e">
        <f t="shared" si="283"/>
        <v>#N/A</v>
      </c>
      <c r="G7964" s="74">
        <v>28822</v>
      </c>
      <c r="H7964" s="77">
        <v>8.3333333333333329E-2</v>
      </c>
      <c r="J7964">
        <v>33.979999999999997</v>
      </c>
      <c r="M7964" s="74">
        <v>36127</v>
      </c>
      <c r="N7964" s="77">
        <v>8.3333333333333329E-2</v>
      </c>
      <c r="P7964">
        <v>37.4</v>
      </c>
      <c r="S7964" s="74">
        <v>36858</v>
      </c>
      <c r="T7964" s="77">
        <v>8.3333333333333329E-2</v>
      </c>
      <c r="V7964">
        <v>46.04</v>
      </c>
      <c r="X7964" s="42"/>
      <c r="AB7964">
        <v>42.5</v>
      </c>
      <c r="AC7964">
        <v>51.980000000000004</v>
      </c>
      <c r="AE7964" s="74"/>
      <c r="AF7964" s="77"/>
      <c r="AH7964" s="497">
        <v>48.2</v>
      </c>
      <c r="AJ7964" s="42"/>
      <c r="AK7964" s="74"/>
      <c r="AL7964" s="77"/>
      <c r="AN7964" s="497">
        <v>51.08</v>
      </c>
      <c r="AP7964" s="42"/>
      <c r="AQ7964" s="74"/>
      <c r="AR7964" s="77"/>
      <c r="AT7964" s="497">
        <v>46.04</v>
      </c>
      <c r="AV7964" s="42"/>
      <c r="AW7964" s="74"/>
      <c r="AX7964" s="77"/>
      <c r="BA7964" s="497">
        <v>33.979999999999997</v>
      </c>
      <c r="BB7964" s="42"/>
      <c r="BC7964" s="74"/>
      <c r="BD7964" s="77"/>
      <c r="BF7964">
        <v>39.92</v>
      </c>
      <c r="BH7964" s="42"/>
      <c r="BI7964" s="74"/>
      <c r="BJ7964" s="77"/>
      <c r="BL7964" s="497">
        <v>41</v>
      </c>
      <c r="BN7964" s="42"/>
      <c r="BO7964" s="74"/>
      <c r="BP7964" s="77"/>
      <c r="BR7964" s="497">
        <v>23</v>
      </c>
      <c r="BT7964" s="42"/>
    </row>
    <row r="7965" spans="1:72" x14ac:dyDescent="0.25">
      <c r="A7965" s="90">
        <v>36858</v>
      </c>
      <c r="B7965" s="20">
        <v>0.125</v>
      </c>
      <c r="D7965">
        <v>44.96</v>
      </c>
      <c r="E7965" t="str">
        <f t="shared" si="284"/>
        <v>WEEKDAY</v>
      </c>
      <c r="F7965" t="e">
        <f t="shared" si="283"/>
        <v>#N/A</v>
      </c>
      <c r="G7965" s="74">
        <v>28822</v>
      </c>
      <c r="H7965" s="77">
        <v>0.125</v>
      </c>
      <c r="J7965">
        <v>35.06</v>
      </c>
      <c r="M7965" s="74">
        <v>36127</v>
      </c>
      <c r="N7965" s="77">
        <v>0.125</v>
      </c>
      <c r="P7965">
        <v>37.4</v>
      </c>
      <c r="S7965" s="74">
        <v>36858</v>
      </c>
      <c r="T7965" s="77">
        <v>0.125</v>
      </c>
      <c r="V7965">
        <v>44.06</v>
      </c>
      <c r="X7965" s="42"/>
      <c r="AB7965">
        <v>42.1</v>
      </c>
      <c r="AC7965">
        <v>51.980000000000004</v>
      </c>
      <c r="AE7965" s="74"/>
      <c r="AF7965" s="77"/>
      <c r="AH7965" s="497">
        <v>44.6</v>
      </c>
      <c r="AJ7965" s="42"/>
      <c r="AK7965" s="74"/>
      <c r="AL7965" s="77"/>
      <c r="AN7965" s="497">
        <v>48.019999999999996</v>
      </c>
      <c r="AP7965" s="42"/>
      <c r="AQ7965" s="74"/>
      <c r="AR7965" s="77"/>
      <c r="AT7965" s="497">
        <v>46.94</v>
      </c>
      <c r="AV7965" s="42"/>
      <c r="AW7965" s="74"/>
      <c r="AX7965" s="77"/>
      <c r="BA7965" s="497">
        <v>33.979999999999997</v>
      </c>
      <c r="BB7965" s="42"/>
      <c r="BC7965" s="74"/>
      <c r="BD7965" s="77"/>
      <c r="BF7965">
        <v>39.92</v>
      </c>
      <c r="BH7965" s="42"/>
      <c r="BI7965" s="74"/>
      <c r="BJ7965" s="77"/>
      <c r="BL7965" s="497">
        <v>39.92</v>
      </c>
      <c r="BN7965" s="42"/>
      <c r="BO7965" s="74"/>
      <c r="BP7965" s="77"/>
      <c r="BR7965" s="497">
        <v>21.92</v>
      </c>
      <c r="BT7965" s="42"/>
    </row>
    <row r="7966" spans="1:72" x14ac:dyDescent="0.25">
      <c r="A7966" s="90">
        <v>36858</v>
      </c>
      <c r="B7966" s="20">
        <v>0.16666666666666666</v>
      </c>
      <c r="D7966">
        <v>46.04</v>
      </c>
      <c r="E7966" t="str">
        <f t="shared" si="284"/>
        <v>WEEKDAY</v>
      </c>
      <c r="F7966" t="e">
        <f t="shared" si="283"/>
        <v>#N/A</v>
      </c>
      <c r="G7966" s="74">
        <v>28822</v>
      </c>
      <c r="H7966" s="77">
        <v>0.16666666666666666</v>
      </c>
      <c r="J7966">
        <v>35.06</v>
      </c>
      <c r="M7966" s="74">
        <v>36127</v>
      </c>
      <c r="N7966" s="77">
        <v>0.16666666666666666</v>
      </c>
      <c r="P7966">
        <v>37.4</v>
      </c>
      <c r="S7966" s="74">
        <v>36858</v>
      </c>
      <c r="T7966" s="77">
        <v>0.16666666666666666</v>
      </c>
      <c r="V7966">
        <v>44.06</v>
      </c>
      <c r="X7966" s="42"/>
      <c r="AB7966">
        <v>41.7</v>
      </c>
      <c r="AC7966">
        <v>51.980000000000004</v>
      </c>
      <c r="AE7966" s="74"/>
      <c r="AF7966" s="77"/>
      <c r="AH7966" s="497">
        <v>42.8</v>
      </c>
      <c r="AJ7966" s="42"/>
      <c r="AK7966" s="74"/>
      <c r="AL7966" s="77"/>
      <c r="AN7966" s="497">
        <v>46.04</v>
      </c>
      <c r="AP7966" s="42"/>
      <c r="AQ7966" s="74"/>
      <c r="AR7966" s="77"/>
      <c r="AT7966" s="497">
        <v>46.94</v>
      </c>
      <c r="AV7966" s="42"/>
      <c r="AW7966" s="74"/>
      <c r="AX7966" s="77"/>
      <c r="BA7966" s="497">
        <v>33.979999999999997</v>
      </c>
      <c r="BB7966" s="42"/>
      <c r="BC7966" s="74"/>
      <c r="BD7966" s="77"/>
      <c r="BF7966">
        <v>39.92</v>
      </c>
      <c r="BH7966" s="42"/>
      <c r="BI7966" s="74"/>
      <c r="BJ7966" s="77"/>
      <c r="BL7966" s="497">
        <v>39.92</v>
      </c>
      <c r="BN7966" s="42"/>
      <c r="BO7966" s="74"/>
      <c r="BP7966" s="77"/>
      <c r="BR7966" s="497">
        <v>21.92</v>
      </c>
      <c r="BT7966" s="42"/>
    </row>
    <row r="7967" spans="1:72" x14ac:dyDescent="0.25">
      <c r="A7967" s="90">
        <v>36858</v>
      </c>
      <c r="B7967" s="20">
        <v>0.20833333333333334</v>
      </c>
      <c r="D7967">
        <v>46.94</v>
      </c>
      <c r="E7967" t="str">
        <f t="shared" si="284"/>
        <v>WEEKDAY</v>
      </c>
      <c r="F7967" t="e">
        <f t="shared" si="283"/>
        <v>#N/A</v>
      </c>
      <c r="G7967" s="74">
        <v>28822</v>
      </c>
      <c r="H7967" s="77">
        <v>0.20833333333333334</v>
      </c>
      <c r="J7967">
        <v>35.06</v>
      </c>
      <c r="M7967" s="74">
        <v>36127</v>
      </c>
      <c r="N7967" s="77">
        <v>0.20833333333333334</v>
      </c>
      <c r="P7967">
        <v>36.32</v>
      </c>
      <c r="S7967" s="74">
        <v>36858</v>
      </c>
      <c r="T7967" s="77">
        <v>0.20833333333333334</v>
      </c>
      <c r="V7967">
        <v>42.980000000000004</v>
      </c>
      <c r="X7967" s="42"/>
      <c r="AB7967">
        <v>41.4</v>
      </c>
      <c r="AC7967">
        <v>53.06</v>
      </c>
      <c r="AE7967" s="74"/>
      <c r="AF7967" s="77"/>
      <c r="AH7967" s="497">
        <v>42.8</v>
      </c>
      <c r="AJ7967" s="42"/>
      <c r="AK7967" s="74"/>
      <c r="AL7967" s="77"/>
      <c r="AN7967" s="497">
        <v>42.980000000000004</v>
      </c>
      <c r="AP7967" s="42"/>
      <c r="AQ7967" s="74"/>
      <c r="AR7967" s="77"/>
      <c r="AT7967" s="497">
        <v>46.94</v>
      </c>
      <c r="AV7967" s="42"/>
      <c r="AW7967" s="74"/>
      <c r="AX7967" s="77"/>
      <c r="BA7967" s="497">
        <v>33.979999999999997</v>
      </c>
      <c r="BB7967" s="42"/>
      <c r="BC7967" s="74"/>
      <c r="BD7967" s="77"/>
      <c r="BF7967">
        <v>39.92</v>
      </c>
      <c r="BH7967" s="42"/>
      <c r="BI7967" s="74"/>
      <c r="BJ7967" s="77"/>
      <c r="BL7967" s="497">
        <v>39.92</v>
      </c>
      <c r="BN7967" s="42"/>
      <c r="BO7967" s="74"/>
      <c r="BP7967" s="77"/>
      <c r="BR7967" s="497">
        <v>21.02</v>
      </c>
      <c r="BT7967" s="42"/>
    </row>
    <row r="7968" spans="1:72" x14ac:dyDescent="0.25">
      <c r="A7968" s="90">
        <v>36858</v>
      </c>
      <c r="B7968" s="20">
        <v>0.25</v>
      </c>
      <c r="D7968">
        <v>48.019999999999996</v>
      </c>
      <c r="E7968" t="str">
        <f t="shared" si="284"/>
        <v>WEEKDAY</v>
      </c>
      <c r="F7968" t="e">
        <f t="shared" si="283"/>
        <v>#N/A</v>
      </c>
      <c r="G7968" s="74">
        <v>28822</v>
      </c>
      <c r="H7968" s="77">
        <v>0.25</v>
      </c>
      <c r="J7968">
        <v>35.96</v>
      </c>
      <c r="M7968" s="74">
        <v>36127</v>
      </c>
      <c r="N7968" s="77">
        <v>0.25</v>
      </c>
      <c r="P7968">
        <v>35.6</v>
      </c>
      <c r="S7968" s="74">
        <v>36858</v>
      </c>
      <c r="T7968" s="77">
        <v>0.25</v>
      </c>
      <c r="V7968">
        <v>39.92</v>
      </c>
      <c r="X7968" s="42"/>
      <c r="AB7968">
        <v>41.2</v>
      </c>
      <c r="AC7968">
        <v>53.06</v>
      </c>
      <c r="AE7968" s="74"/>
      <c r="AF7968" s="77"/>
      <c r="AH7968" s="497">
        <v>48.2</v>
      </c>
      <c r="AJ7968" s="42"/>
      <c r="AK7968" s="74"/>
      <c r="AL7968" s="77"/>
      <c r="AN7968" s="497">
        <v>39.92</v>
      </c>
      <c r="AP7968" s="42"/>
      <c r="AQ7968" s="74"/>
      <c r="AR7968" s="77"/>
      <c r="AT7968" s="497">
        <v>46.94</v>
      </c>
      <c r="AV7968" s="42"/>
      <c r="AW7968" s="74"/>
      <c r="AX7968" s="77"/>
      <c r="BA7968" s="497">
        <v>33.979999999999997</v>
      </c>
      <c r="BB7968" s="42"/>
      <c r="BC7968" s="74"/>
      <c r="BD7968" s="77"/>
      <c r="BF7968">
        <v>37.94</v>
      </c>
      <c r="BH7968" s="42"/>
      <c r="BI7968" s="74"/>
      <c r="BJ7968" s="77"/>
      <c r="BL7968" s="497">
        <v>39.92</v>
      </c>
      <c r="BN7968" s="42"/>
      <c r="BO7968" s="74"/>
      <c r="BP7968" s="77"/>
      <c r="BR7968" s="497">
        <v>21.92</v>
      </c>
      <c r="BT7968" s="42"/>
    </row>
    <row r="7969" spans="1:72" x14ac:dyDescent="0.25">
      <c r="A7969" s="90">
        <v>36858</v>
      </c>
      <c r="B7969" s="20">
        <v>0.29166666666666669</v>
      </c>
      <c r="D7969">
        <v>48.92</v>
      </c>
      <c r="E7969" t="str">
        <f t="shared" si="284"/>
        <v>WEEKDAY</v>
      </c>
      <c r="F7969" t="e">
        <f t="shared" si="283"/>
        <v>#N/A</v>
      </c>
      <c r="G7969" s="74">
        <v>28822</v>
      </c>
      <c r="H7969" s="77">
        <v>0.29166666666666669</v>
      </c>
      <c r="J7969">
        <v>37.04</v>
      </c>
      <c r="M7969" s="74">
        <v>36127</v>
      </c>
      <c r="N7969" s="77">
        <v>0.29166666666666669</v>
      </c>
      <c r="P7969">
        <v>41</v>
      </c>
      <c r="S7969" s="74">
        <v>36858</v>
      </c>
      <c r="T7969" s="77">
        <v>0.29166666666666669</v>
      </c>
      <c r="V7969">
        <v>39.019999999999996</v>
      </c>
      <c r="X7969" s="42"/>
      <c r="AB7969">
        <v>41.1</v>
      </c>
      <c r="AC7969">
        <v>53.06</v>
      </c>
      <c r="AE7969" s="74"/>
      <c r="AF7969" s="77"/>
      <c r="AH7969" s="497">
        <v>42.8</v>
      </c>
      <c r="AJ7969" s="42"/>
      <c r="AK7969" s="74"/>
      <c r="AL7969" s="77"/>
      <c r="AN7969" s="497">
        <v>37.04</v>
      </c>
      <c r="AP7969" s="42"/>
      <c r="AQ7969" s="74"/>
      <c r="AR7969" s="77"/>
      <c r="AT7969" s="497">
        <v>48.019999999999996</v>
      </c>
      <c r="AV7969" s="42"/>
      <c r="AW7969" s="74"/>
      <c r="AX7969" s="77"/>
      <c r="BA7969" s="497">
        <v>35.06</v>
      </c>
      <c r="BB7969" s="42"/>
      <c r="BC7969" s="74"/>
      <c r="BD7969" s="77"/>
      <c r="BF7969">
        <v>39.019999999999996</v>
      </c>
      <c r="BH7969" s="42"/>
      <c r="BI7969" s="74"/>
      <c r="BJ7969" s="77"/>
      <c r="BL7969" s="497">
        <v>39.019999999999996</v>
      </c>
      <c r="BN7969" s="42"/>
      <c r="BO7969" s="74"/>
      <c r="BP7969" s="77"/>
      <c r="BR7969" s="497">
        <v>21.92</v>
      </c>
      <c r="BT7969" s="42"/>
    </row>
    <row r="7970" spans="1:72" x14ac:dyDescent="0.25">
      <c r="A7970" s="90">
        <v>36858</v>
      </c>
      <c r="B7970" s="20">
        <v>0.33333333333333331</v>
      </c>
      <c r="D7970">
        <v>48.92</v>
      </c>
      <c r="E7970" t="str">
        <f t="shared" si="284"/>
        <v>WEEKDAY</v>
      </c>
      <c r="F7970" t="e">
        <f t="shared" si="283"/>
        <v>#N/A</v>
      </c>
      <c r="G7970" s="74">
        <v>28822</v>
      </c>
      <c r="H7970" s="77">
        <v>0.33333333333333331</v>
      </c>
      <c r="J7970">
        <v>37.04</v>
      </c>
      <c r="M7970" s="74">
        <v>36127</v>
      </c>
      <c r="N7970" s="77">
        <v>0.33333333333333331</v>
      </c>
      <c r="P7970">
        <v>41</v>
      </c>
      <c r="S7970" s="74">
        <v>36858</v>
      </c>
      <c r="T7970" s="77">
        <v>0.33333333333333331</v>
      </c>
      <c r="V7970">
        <v>44.06</v>
      </c>
      <c r="X7970" s="42"/>
      <c r="AB7970">
        <v>41.2</v>
      </c>
      <c r="AC7970">
        <v>53.06</v>
      </c>
      <c r="AE7970" s="74"/>
      <c r="AF7970" s="77"/>
      <c r="AH7970" s="497">
        <v>42.8</v>
      </c>
      <c r="AJ7970" s="42"/>
      <c r="AK7970" s="74"/>
      <c r="AL7970" s="77"/>
      <c r="AN7970" s="497">
        <v>35.96</v>
      </c>
      <c r="AP7970" s="42"/>
      <c r="AQ7970" s="74"/>
      <c r="AR7970" s="77"/>
      <c r="AT7970" s="497">
        <v>48.92</v>
      </c>
      <c r="AV7970" s="42"/>
      <c r="AW7970" s="74"/>
      <c r="AX7970" s="77"/>
      <c r="BA7970" s="497">
        <v>35.06</v>
      </c>
      <c r="BB7970" s="42"/>
      <c r="BC7970" s="74"/>
      <c r="BD7970" s="77"/>
      <c r="BF7970">
        <v>37.94</v>
      </c>
      <c r="BH7970" s="42"/>
      <c r="BI7970" s="74"/>
      <c r="BJ7970" s="77"/>
      <c r="BL7970" s="497">
        <v>39.92</v>
      </c>
      <c r="BN7970" s="42"/>
      <c r="BO7970" s="74"/>
      <c r="BP7970" s="77"/>
      <c r="BR7970" s="497">
        <v>21.92</v>
      </c>
      <c r="BT7970" s="42"/>
    </row>
    <row r="7971" spans="1:72" x14ac:dyDescent="0.25">
      <c r="A7971" s="90">
        <v>36858</v>
      </c>
      <c r="B7971" s="20">
        <v>0.375</v>
      </c>
      <c r="D7971">
        <v>50</v>
      </c>
      <c r="E7971" t="str">
        <f t="shared" si="284"/>
        <v>WEEKDAY</v>
      </c>
      <c r="F7971" t="e">
        <f t="shared" si="283"/>
        <v>#N/A</v>
      </c>
      <c r="G7971" s="74">
        <v>28822</v>
      </c>
      <c r="H7971" s="77">
        <v>0.375</v>
      </c>
      <c r="J7971">
        <v>37.04</v>
      </c>
      <c r="M7971" s="74">
        <v>36127</v>
      </c>
      <c r="N7971" s="77">
        <v>0.375</v>
      </c>
      <c r="P7971">
        <v>44.6</v>
      </c>
      <c r="S7971" s="74">
        <v>36858</v>
      </c>
      <c r="T7971" s="77">
        <v>0.375</v>
      </c>
      <c r="V7971">
        <v>44.96</v>
      </c>
      <c r="X7971" s="42"/>
      <c r="AB7971">
        <v>42.1</v>
      </c>
      <c r="AC7971">
        <v>53.96</v>
      </c>
      <c r="AE7971" s="74"/>
      <c r="AF7971" s="77"/>
      <c r="AH7971" s="497">
        <v>48.2</v>
      </c>
      <c r="AJ7971" s="42"/>
      <c r="AK7971" s="74"/>
      <c r="AL7971" s="77"/>
      <c r="AN7971" s="497">
        <v>35.06</v>
      </c>
      <c r="AP7971" s="42"/>
      <c r="AQ7971" s="74"/>
      <c r="AR7971" s="77"/>
      <c r="AT7971" s="497">
        <v>50</v>
      </c>
      <c r="AV7971" s="42"/>
      <c r="AW7971" s="74"/>
      <c r="AX7971" s="77"/>
      <c r="BA7971" s="497">
        <v>35.96</v>
      </c>
      <c r="BB7971" s="42"/>
      <c r="BC7971" s="74"/>
      <c r="BD7971" s="77"/>
      <c r="BF7971">
        <v>35.96</v>
      </c>
      <c r="BH7971" s="42"/>
      <c r="BI7971" s="74"/>
      <c r="BJ7971" s="77"/>
      <c r="BL7971" s="497">
        <v>39.019999999999996</v>
      </c>
      <c r="BN7971" s="42"/>
      <c r="BO7971" s="74"/>
      <c r="BP7971" s="77"/>
      <c r="BR7971" s="497">
        <v>19.939999999999998</v>
      </c>
      <c r="BT7971" s="42"/>
    </row>
    <row r="7972" spans="1:72" x14ac:dyDescent="0.25">
      <c r="A7972" s="90">
        <v>36858</v>
      </c>
      <c r="B7972" s="20">
        <v>0.41666666666666669</v>
      </c>
      <c r="D7972">
        <v>53.06</v>
      </c>
      <c r="E7972" t="str">
        <f t="shared" si="284"/>
        <v>WEEKDAY</v>
      </c>
      <c r="F7972" t="e">
        <f t="shared" si="283"/>
        <v>#N/A</v>
      </c>
      <c r="G7972" s="74">
        <v>28822</v>
      </c>
      <c r="H7972" s="77">
        <v>0.41666666666666669</v>
      </c>
      <c r="J7972">
        <v>37.94</v>
      </c>
      <c r="M7972" s="74">
        <v>36127</v>
      </c>
      <c r="N7972" s="77">
        <v>0.41666666666666669</v>
      </c>
      <c r="P7972">
        <v>44.6</v>
      </c>
      <c r="S7972" s="74">
        <v>36858</v>
      </c>
      <c r="T7972" s="77">
        <v>0.41666666666666669</v>
      </c>
      <c r="V7972">
        <v>46.94</v>
      </c>
      <c r="X7972" s="42"/>
      <c r="AB7972">
        <v>44</v>
      </c>
      <c r="AC7972">
        <v>55.040000000000006</v>
      </c>
      <c r="AE7972" s="74"/>
      <c r="AF7972" s="77"/>
      <c r="AH7972" s="497">
        <v>53.6</v>
      </c>
      <c r="AJ7972" s="42"/>
      <c r="AK7972" s="74"/>
      <c r="AL7972" s="77"/>
      <c r="AN7972" s="497">
        <v>35.06</v>
      </c>
      <c r="AP7972" s="42"/>
      <c r="AQ7972" s="74"/>
      <c r="AR7972" s="77"/>
      <c r="AT7972" s="497">
        <v>51.980000000000004</v>
      </c>
      <c r="AV7972" s="42"/>
      <c r="AW7972" s="74"/>
      <c r="AX7972" s="77"/>
      <c r="BA7972" s="497">
        <v>37.04</v>
      </c>
      <c r="BB7972" s="42"/>
      <c r="BC7972" s="74"/>
      <c r="BD7972" s="77"/>
      <c r="BF7972">
        <v>35.96</v>
      </c>
      <c r="BH7972" s="42"/>
      <c r="BI7972" s="74"/>
      <c r="BJ7972" s="77"/>
      <c r="BL7972" s="497">
        <v>39.019999999999996</v>
      </c>
      <c r="BN7972" s="42"/>
      <c r="BO7972" s="74"/>
      <c r="BP7972" s="77"/>
      <c r="BR7972" s="497">
        <v>24.08</v>
      </c>
      <c r="BT7972" s="42"/>
    </row>
    <row r="7973" spans="1:72" x14ac:dyDescent="0.25">
      <c r="A7973" s="90">
        <v>36858</v>
      </c>
      <c r="B7973" s="20">
        <v>0.45833333333333331</v>
      </c>
      <c r="D7973">
        <v>57.92</v>
      </c>
      <c r="E7973" t="str">
        <f t="shared" si="284"/>
        <v>WEEKDAY</v>
      </c>
      <c r="F7973" t="e">
        <f t="shared" si="283"/>
        <v>#N/A</v>
      </c>
      <c r="G7973" s="74">
        <v>28822</v>
      </c>
      <c r="H7973" s="77">
        <v>0.45833333333333331</v>
      </c>
      <c r="J7973">
        <v>37.94</v>
      </c>
      <c r="M7973" s="74">
        <v>36127</v>
      </c>
      <c r="N7973" s="77">
        <v>0.45833333333333331</v>
      </c>
      <c r="P7973">
        <v>50</v>
      </c>
      <c r="S7973" s="74">
        <v>36858</v>
      </c>
      <c r="T7973" s="77">
        <v>0.45833333333333331</v>
      </c>
      <c r="V7973">
        <v>48.019999999999996</v>
      </c>
      <c r="X7973" s="42"/>
      <c r="AB7973">
        <v>45.5</v>
      </c>
      <c r="AC7973">
        <v>53.96</v>
      </c>
      <c r="AE7973" s="74"/>
      <c r="AF7973" s="77"/>
      <c r="AH7973" s="497">
        <v>57.2</v>
      </c>
      <c r="AJ7973" s="42"/>
      <c r="AK7973" s="74"/>
      <c r="AL7973" s="77"/>
      <c r="AN7973" s="497">
        <v>35.96</v>
      </c>
      <c r="AP7973" s="42"/>
      <c r="AQ7973" s="74"/>
      <c r="AR7973" s="77"/>
      <c r="AT7973" s="497">
        <v>51.08</v>
      </c>
      <c r="AV7973" s="42"/>
      <c r="AW7973" s="74"/>
      <c r="AX7973" s="77"/>
      <c r="BA7973" s="497">
        <v>39.92</v>
      </c>
      <c r="BB7973" s="42"/>
      <c r="BC7973" s="74"/>
      <c r="BD7973" s="77"/>
      <c r="BF7973">
        <v>37.94</v>
      </c>
      <c r="BH7973" s="42"/>
      <c r="BI7973" s="74"/>
      <c r="BJ7973" s="77"/>
      <c r="BL7973" s="497">
        <v>37.94</v>
      </c>
      <c r="BN7973" s="42"/>
      <c r="BO7973" s="74"/>
      <c r="BP7973" s="77"/>
      <c r="BR7973" s="497">
        <v>26.060000000000002</v>
      </c>
      <c r="BT7973" s="42"/>
    </row>
    <row r="7974" spans="1:72" x14ac:dyDescent="0.25">
      <c r="A7974" s="90">
        <v>36858</v>
      </c>
      <c r="B7974" s="20">
        <v>0.5</v>
      </c>
      <c r="D7974">
        <v>57.92</v>
      </c>
      <c r="E7974" t="str">
        <f t="shared" si="284"/>
        <v>WEEKDAY</v>
      </c>
      <c r="F7974" t="e">
        <f t="shared" si="283"/>
        <v>#N/A</v>
      </c>
      <c r="G7974" s="74">
        <v>28822</v>
      </c>
      <c r="H7974" s="77">
        <v>0.5</v>
      </c>
      <c r="J7974">
        <v>39.019999999999996</v>
      </c>
      <c r="M7974" s="74">
        <v>36127</v>
      </c>
      <c r="N7974" s="77">
        <v>0.5</v>
      </c>
      <c r="P7974">
        <v>55.400000000000006</v>
      </c>
      <c r="S7974" s="74">
        <v>36858</v>
      </c>
      <c r="T7974" s="77">
        <v>0.5</v>
      </c>
      <c r="V7974">
        <v>48.92</v>
      </c>
      <c r="X7974" s="42"/>
      <c r="AB7974">
        <v>46.8</v>
      </c>
      <c r="AC7974">
        <v>55.040000000000006</v>
      </c>
      <c r="AE7974" s="74"/>
      <c r="AF7974" s="77"/>
      <c r="AH7974" s="497">
        <v>59</v>
      </c>
      <c r="AJ7974" s="42"/>
      <c r="AK7974" s="74"/>
      <c r="AL7974" s="77"/>
      <c r="AN7974" s="497">
        <v>37.04</v>
      </c>
      <c r="AP7974" s="42"/>
      <c r="AQ7974" s="74"/>
      <c r="AR7974" s="77"/>
      <c r="AT7974" s="497">
        <v>50</v>
      </c>
      <c r="AV7974" s="42"/>
      <c r="AW7974" s="74"/>
      <c r="AX7974" s="77"/>
      <c r="BA7974" s="497">
        <v>42.08</v>
      </c>
      <c r="BB7974" s="42"/>
      <c r="BC7974" s="74"/>
      <c r="BD7974" s="77"/>
      <c r="BF7974">
        <v>33.979999999999997</v>
      </c>
      <c r="BH7974" s="42"/>
      <c r="BI7974" s="74"/>
      <c r="BJ7974" s="77"/>
      <c r="BL7974" s="497">
        <v>37.94</v>
      </c>
      <c r="BN7974" s="42"/>
      <c r="BO7974" s="74"/>
      <c r="BP7974" s="77"/>
      <c r="BR7974" s="497">
        <v>26.060000000000002</v>
      </c>
      <c r="BT7974" s="42"/>
    </row>
    <row r="7975" spans="1:72" x14ac:dyDescent="0.25">
      <c r="A7975" s="90">
        <v>36858</v>
      </c>
      <c r="B7975" s="20">
        <v>0.54166666666666663</v>
      </c>
      <c r="D7975">
        <v>59</v>
      </c>
      <c r="E7975" t="str">
        <f t="shared" si="284"/>
        <v>WEEKDAY</v>
      </c>
      <c r="F7975" t="e">
        <f t="shared" si="283"/>
        <v>#N/A</v>
      </c>
      <c r="G7975" s="74">
        <v>28822</v>
      </c>
      <c r="H7975" s="77">
        <v>0.54166666666666663</v>
      </c>
      <c r="J7975">
        <v>39.019999999999996</v>
      </c>
      <c r="M7975" s="74">
        <v>36127</v>
      </c>
      <c r="N7975" s="77">
        <v>0.54166666666666663</v>
      </c>
      <c r="P7975">
        <v>59</v>
      </c>
      <c r="S7975" s="74">
        <v>36858</v>
      </c>
      <c r="T7975" s="77">
        <v>0.54166666666666663</v>
      </c>
      <c r="V7975">
        <v>46.94</v>
      </c>
      <c r="X7975" s="42"/>
      <c r="AB7975">
        <v>47.8</v>
      </c>
      <c r="AC7975">
        <v>55.94</v>
      </c>
      <c r="AE7975" s="74"/>
      <c r="AF7975" s="77"/>
      <c r="AH7975" s="497">
        <v>60.8</v>
      </c>
      <c r="AJ7975" s="42"/>
      <c r="AK7975" s="74"/>
      <c r="AL7975" s="77"/>
      <c r="AN7975" s="497">
        <v>37.04</v>
      </c>
      <c r="AP7975" s="42"/>
      <c r="AQ7975" s="74"/>
      <c r="AR7975" s="77"/>
      <c r="AT7975" s="497">
        <v>51.08</v>
      </c>
      <c r="AV7975" s="42"/>
      <c r="AW7975" s="74"/>
      <c r="AX7975" s="77"/>
      <c r="BA7975" s="497">
        <v>42.08</v>
      </c>
      <c r="BB7975" s="42"/>
      <c r="BC7975" s="74"/>
      <c r="BD7975" s="77"/>
      <c r="BF7975">
        <v>33.979999999999997</v>
      </c>
      <c r="BH7975" s="42"/>
      <c r="BI7975" s="74"/>
      <c r="BJ7975" s="77"/>
      <c r="BL7975" s="497">
        <v>37.94</v>
      </c>
      <c r="BN7975" s="42"/>
      <c r="BO7975" s="74"/>
      <c r="BP7975" s="77"/>
      <c r="BR7975" s="497">
        <v>26.96</v>
      </c>
      <c r="BT7975" s="42"/>
    </row>
    <row r="7976" spans="1:72" x14ac:dyDescent="0.25">
      <c r="A7976" s="90">
        <v>36858</v>
      </c>
      <c r="B7976" s="20">
        <v>0.58333333333333337</v>
      </c>
      <c r="D7976">
        <v>62.06</v>
      </c>
      <c r="E7976" t="str">
        <f t="shared" si="284"/>
        <v>WEEKDAY</v>
      </c>
      <c r="F7976" t="e">
        <f t="shared" si="283"/>
        <v>#N/A</v>
      </c>
      <c r="G7976" s="74">
        <v>28822</v>
      </c>
      <c r="H7976" s="77">
        <v>0.58333333333333337</v>
      </c>
      <c r="J7976">
        <v>39.92</v>
      </c>
      <c r="M7976" s="74">
        <v>36127</v>
      </c>
      <c r="N7976" s="77">
        <v>0.58333333333333337</v>
      </c>
      <c r="P7976">
        <v>60.8</v>
      </c>
      <c r="S7976" s="74">
        <v>36858</v>
      </c>
      <c r="T7976" s="77">
        <v>0.58333333333333337</v>
      </c>
      <c r="V7976">
        <v>48.019999999999996</v>
      </c>
      <c r="X7976" s="42"/>
      <c r="AB7976">
        <v>48.4</v>
      </c>
      <c r="AC7976">
        <v>57.019999999999996</v>
      </c>
      <c r="AE7976" s="74"/>
      <c r="AF7976" s="77"/>
      <c r="AH7976" s="497">
        <v>60.8</v>
      </c>
      <c r="AJ7976" s="42"/>
      <c r="AK7976" s="74"/>
      <c r="AL7976" s="77"/>
      <c r="AN7976" s="497">
        <v>39.019999999999996</v>
      </c>
      <c r="AP7976" s="42"/>
      <c r="AQ7976" s="74"/>
      <c r="AR7976" s="77"/>
      <c r="AT7976" s="497">
        <v>51.08</v>
      </c>
      <c r="AV7976" s="42"/>
      <c r="AW7976" s="74"/>
      <c r="AX7976" s="77"/>
      <c r="BA7976" s="497">
        <v>42.980000000000004</v>
      </c>
      <c r="BB7976" s="42"/>
      <c r="BC7976" s="74"/>
      <c r="BD7976" s="77"/>
      <c r="BF7976">
        <v>35.06</v>
      </c>
      <c r="BH7976" s="42"/>
      <c r="BI7976" s="74"/>
      <c r="BJ7976" s="77"/>
      <c r="BL7976" s="497">
        <v>37.04</v>
      </c>
      <c r="BN7976" s="42"/>
      <c r="BO7976" s="74"/>
      <c r="BP7976" s="77"/>
      <c r="BR7976" s="497">
        <v>28.04</v>
      </c>
      <c r="BT7976" s="42"/>
    </row>
    <row r="7977" spans="1:72" x14ac:dyDescent="0.25">
      <c r="A7977" s="90">
        <v>36858</v>
      </c>
      <c r="B7977" s="20">
        <v>0.625</v>
      </c>
      <c r="D7977">
        <v>60.980000000000004</v>
      </c>
      <c r="E7977" t="str">
        <f t="shared" si="284"/>
        <v>WEEKDAY</v>
      </c>
      <c r="F7977" t="e">
        <f t="shared" si="283"/>
        <v>#N/A</v>
      </c>
      <c r="G7977" s="74">
        <v>28822</v>
      </c>
      <c r="H7977" s="77">
        <v>0.625</v>
      </c>
      <c r="J7977">
        <v>41</v>
      </c>
      <c r="M7977" s="74">
        <v>36127</v>
      </c>
      <c r="N7977" s="77">
        <v>0.625</v>
      </c>
      <c r="P7977">
        <v>62.6</v>
      </c>
      <c r="S7977" s="74">
        <v>36858</v>
      </c>
      <c r="T7977" s="77">
        <v>0.625</v>
      </c>
      <c r="V7977">
        <v>48.92</v>
      </c>
      <c r="X7977" s="42"/>
      <c r="AB7977">
        <v>48.6</v>
      </c>
      <c r="AC7977">
        <v>57.019999999999996</v>
      </c>
      <c r="AE7977" s="74"/>
      <c r="AF7977" s="77"/>
      <c r="AH7977" s="497">
        <v>60.8</v>
      </c>
      <c r="AJ7977" s="42"/>
      <c r="AK7977" s="74"/>
      <c r="AL7977" s="77"/>
      <c r="AN7977" s="497">
        <v>39.019999999999996</v>
      </c>
      <c r="AP7977" s="42"/>
      <c r="AQ7977" s="74"/>
      <c r="AR7977" s="77"/>
      <c r="AT7977" s="497">
        <v>51.08</v>
      </c>
      <c r="AV7977" s="42"/>
      <c r="AW7977" s="74"/>
      <c r="AX7977" s="77"/>
      <c r="BA7977" s="497">
        <v>42.08</v>
      </c>
      <c r="BB7977" s="42"/>
      <c r="BC7977" s="74"/>
      <c r="BD7977" s="77"/>
      <c r="BF7977">
        <v>35.96</v>
      </c>
      <c r="BH7977" s="42"/>
      <c r="BI7977" s="74"/>
      <c r="BJ7977" s="77"/>
      <c r="BL7977" s="497">
        <v>37.04</v>
      </c>
      <c r="BN7977" s="42"/>
      <c r="BO7977" s="74"/>
      <c r="BP7977" s="77"/>
      <c r="BR7977" s="497">
        <v>28.04</v>
      </c>
      <c r="BT7977" s="42"/>
    </row>
    <row r="7978" spans="1:72" x14ac:dyDescent="0.25">
      <c r="A7978" s="90">
        <v>36858</v>
      </c>
      <c r="B7978" s="20">
        <v>0.66666666666666663</v>
      </c>
      <c r="D7978">
        <v>62.06</v>
      </c>
      <c r="E7978" t="str">
        <f t="shared" si="284"/>
        <v>WEEKDAY</v>
      </c>
      <c r="F7978" t="e">
        <f t="shared" si="283"/>
        <v>#N/A</v>
      </c>
      <c r="G7978" s="74">
        <v>28822</v>
      </c>
      <c r="H7978" s="77">
        <v>0.66666666666666663</v>
      </c>
      <c r="J7978">
        <v>42.08</v>
      </c>
      <c r="M7978" s="74">
        <v>36127</v>
      </c>
      <c r="N7978" s="77">
        <v>0.66666666666666663</v>
      </c>
      <c r="P7978">
        <v>60.8</v>
      </c>
      <c r="S7978" s="74">
        <v>36858</v>
      </c>
      <c r="T7978" s="77">
        <v>0.66666666666666663</v>
      </c>
      <c r="V7978">
        <v>48.92</v>
      </c>
      <c r="X7978" s="42"/>
      <c r="AB7978">
        <v>48.2</v>
      </c>
      <c r="AC7978">
        <v>57.019999999999996</v>
      </c>
      <c r="AE7978" s="74"/>
      <c r="AF7978" s="77"/>
      <c r="AH7978" s="497">
        <v>57.2</v>
      </c>
      <c r="AJ7978" s="42"/>
      <c r="AK7978" s="74"/>
      <c r="AL7978" s="77"/>
      <c r="AN7978" s="497">
        <v>33.08</v>
      </c>
      <c r="AP7978" s="42"/>
      <c r="AQ7978" s="74"/>
      <c r="AR7978" s="77"/>
      <c r="AT7978" s="497">
        <v>51.08</v>
      </c>
      <c r="AV7978" s="42"/>
      <c r="AW7978" s="74"/>
      <c r="AX7978" s="77"/>
      <c r="BA7978" s="497">
        <v>41</v>
      </c>
      <c r="BB7978" s="42"/>
      <c r="BC7978" s="74"/>
      <c r="BD7978" s="77"/>
      <c r="BF7978">
        <v>35.96</v>
      </c>
      <c r="BH7978" s="42"/>
      <c r="BI7978" s="74"/>
      <c r="BJ7978" s="77"/>
      <c r="BL7978" s="497">
        <v>35.96</v>
      </c>
      <c r="BN7978" s="42"/>
      <c r="BO7978" s="74"/>
      <c r="BP7978" s="77"/>
      <c r="BR7978" s="497">
        <v>28.04</v>
      </c>
      <c r="BT7978" s="42"/>
    </row>
    <row r="7979" spans="1:72" x14ac:dyDescent="0.25">
      <c r="A7979" s="90">
        <v>36858</v>
      </c>
      <c r="B7979" s="20">
        <v>0.70833333333333337</v>
      </c>
      <c r="D7979">
        <v>62.96</v>
      </c>
      <c r="E7979" t="str">
        <f t="shared" si="284"/>
        <v>WEEKDAY</v>
      </c>
      <c r="F7979" t="e">
        <f t="shared" ref="F7979:F8042" si="285">IF(E7979="WEEKDAY",VLOOKUP(B7979,$DD$19:$DG$42,2),IF(E7979="SATURDAY",VLOOKUP(B7979,$DD$19:$DG$42,3),VLOOKUP(B7979,$DD$19:$DG$42,4)))</f>
        <v>#N/A</v>
      </c>
      <c r="G7979" s="74">
        <v>28822</v>
      </c>
      <c r="H7979" s="77">
        <v>0.70833333333333337</v>
      </c>
      <c r="J7979">
        <v>42.08</v>
      </c>
      <c r="M7979" s="74">
        <v>36127</v>
      </c>
      <c r="N7979" s="77">
        <v>0.70833333333333337</v>
      </c>
      <c r="P7979">
        <v>59</v>
      </c>
      <c r="S7979" s="74">
        <v>36858</v>
      </c>
      <c r="T7979" s="77">
        <v>0.70833333333333337</v>
      </c>
      <c r="V7979">
        <v>48.019999999999996</v>
      </c>
      <c r="X7979" s="42"/>
      <c r="AB7979">
        <v>47.2</v>
      </c>
      <c r="AC7979">
        <v>57.92</v>
      </c>
      <c r="AE7979" s="74"/>
      <c r="AF7979" s="77"/>
      <c r="AH7979" s="497">
        <v>55.400000000000006</v>
      </c>
      <c r="AJ7979" s="42"/>
      <c r="AK7979" s="74"/>
      <c r="AL7979" s="77"/>
      <c r="AN7979" s="497">
        <v>33.08</v>
      </c>
      <c r="AP7979" s="42"/>
      <c r="AQ7979" s="74"/>
      <c r="AR7979" s="77"/>
      <c r="AT7979" s="497">
        <v>50</v>
      </c>
      <c r="AV7979" s="42"/>
      <c r="AW7979" s="74"/>
      <c r="AX7979" s="77"/>
      <c r="BA7979" s="497">
        <v>41</v>
      </c>
      <c r="BB7979" s="42"/>
      <c r="BC7979" s="74"/>
      <c r="BD7979" s="77"/>
      <c r="BF7979">
        <v>35.06</v>
      </c>
      <c r="BH7979" s="42"/>
      <c r="BI7979" s="74"/>
      <c r="BJ7979" s="77"/>
      <c r="BL7979" s="497">
        <v>35.06</v>
      </c>
      <c r="BN7979" s="42"/>
      <c r="BO7979" s="74"/>
      <c r="BP7979" s="77"/>
      <c r="BR7979" s="497">
        <v>26.96</v>
      </c>
      <c r="BT7979" s="42"/>
    </row>
    <row r="7980" spans="1:72" x14ac:dyDescent="0.25">
      <c r="A7980" s="90">
        <v>36858</v>
      </c>
      <c r="B7980" s="20">
        <v>0.75</v>
      </c>
      <c r="D7980">
        <v>64.94</v>
      </c>
      <c r="E7980" t="str">
        <f t="shared" si="284"/>
        <v>WEEKDAY</v>
      </c>
      <c r="F7980" t="e">
        <f t="shared" si="285"/>
        <v>#N/A</v>
      </c>
      <c r="G7980" s="74">
        <v>28822</v>
      </c>
      <c r="H7980" s="77">
        <v>0.75</v>
      </c>
      <c r="J7980">
        <v>41</v>
      </c>
      <c r="M7980" s="74">
        <v>36127</v>
      </c>
      <c r="N7980" s="77">
        <v>0.75</v>
      </c>
      <c r="P7980">
        <v>53.6</v>
      </c>
      <c r="S7980" s="74">
        <v>36858</v>
      </c>
      <c r="T7980" s="77">
        <v>0.75</v>
      </c>
      <c r="V7980">
        <v>46.94</v>
      </c>
      <c r="X7980" s="42"/>
      <c r="AB7980">
        <v>45.9</v>
      </c>
      <c r="AC7980">
        <v>59</v>
      </c>
      <c r="AE7980" s="74"/>
      <c r="AF7980" s="77"/>
      <c r="AH7980" s="497">
        <v>53.6</v>
      </c>
      <c r="AJ7980" s="42"/>
      <c r="AK7980" s="74"/>
      <c r="AL7980" s="77"/>
      <c r="AN7980" s="497">
        <v>30.92</v>
      </c>
      <c r="AP7980" s="42"/>
      <c r="AQ7980" s="74"/>
      <c r="AR7980" s="77"/>
      <c r="AT7980" s="497">
        <v>46.94</v>
      </c>
      <c r="AV7980" s="42"/>
      <c r="AW7980" s="74"/>
      <c r="AX7980" s="77"/>
      <c r="BA7980" s="497">
        <v>41</v>
      </c>
      <c r="BB7980" s="42"/>
      <c r="BC7980" s="74"/>
      <c r="BD7980" s="77"/>
      <c r="BF7980">
        <v>35.06</v>
      </c>
      <c r="BH7980" s="42"/>
      <c r="BI7980" s="74"/>
      <c r="BJ7980" s="77"/>
      <c r="BL7980" s="497">
        <v>33.979999999999997</v>
      </c>
      <c r="BN7980" s="42"/>
      <c r="BO7980" s="74"/>
      <c r="BP7980" s="77"/>
      <c r="BR7980" s="497">
        <v>28.04</v>
      </c>
      <c r="BT7980" s="42"/>
    </row>
    <row r="7981" spans="1:72" x14ac:dyDescent="0.25">
      <c r="A7981" s="90">
        <v>36858</v>
      </c>
      <c r="B7981" s="20">
        <v>0.79166666666666663</v>
      </c>
      <c r="D7981">
        <v>59</v>
      </c>
      <c r="E7981" t="str">
        <f t="shared" si="284"/>
        <v>WEEKDAY</v>
      </c>
      <c r="F7981" t="e">
        <f t="shared" si="285"/>
        <v>#N/A</v>
      </c>
      <c r="G7981" s="74">
        <v>28822</v>
      </c>
      <c r="H7981" s="77">
        <v>0.79166666666666663</v>
      </c>
      <c r="J7981">
        <v>41</v>
      </c>
      <c r="M7981" s="74">
        <v>36127</v>
      </c>
      <c r="N7981" s="77">
        <v>0.79166666666666663</v>
      </c>
      <c r="P7981">
        <v>50</v>
      </c>
      <c r="S7981" s="74">
        <v>36858</v>
      </c>
      <c r="T7981" s="77">
        <v>0.79166666666666663</v>
      </c>
      <c r="V7981">
        <v>46.04</v>
      </c>
      <c r="X7981" s="42"/>
      <c r="AB7981">
        <v>45.4</v>
      </c>
      <c r="AC7981">
        <v>60.08</v>
      </c>
      <c r="AE7981" s="74"/>
      <c r="AF7981" s="77"/>
      <c r="AH7981" s="497">
        <v>51.8</v>
      </c>
      <c r="AJ7981" s="42"/>
      <c r="AK7981" s="74"/>
      <c r="AL7981" s="77"/>
      <c r="AN7981" s="497">
        <v>32</v>
      </c>
      <c r="AP7981" s="42"/>
      <c r="AQ7981" s="74"/>
      <c r="AR7981" s="77"/>
      <c r="AT7981" s="497">
        <v>46.04</v>
      </c>
      <c r="AV7981" s="42"/>
      <c r="AW7981" s="74"/>
      <c r="AX7981" s="77"/>
      <c r="BA7981" s="497">
        <v>39.92</v>
      </c>
      <c r="BB7981" s="42"/>
      <c r="BC7981" s="74"/>
      <c r="BD7981" s="77"/>
      <c r="BF7981">
        <v>35.06</v>
      </c>
      <c r="BH7981" s="42"/>
      <c r="BI7981" s="74"/>
      <c r="BJ7981" s="77"/>
      <c r="BL7981" s="497">
        <v>33.979999999999997</v>
      </c>
      <c r="BN7981" s="42"/>
      <c r="BO7981" s="74"/>
      <c r="BP7981" s="77"/>
      <c r="BR7981" s="497">
        <v>26.96</v>
      </c>
      <c r="BT7981" s="42"/>
    </row>
    <row r="7982" spans="1:72" x14ac:dyDescent="0.25">
      <c r="A7982" s="90">
        <v>36858</v>
      </c>
      <c r="B7982" s="20">
        <v>0.83333333333333337</v>
      </c>
      <c r="D7982">
        <v>57.92</v>
      </c>
      <c r="E7982" t="str">
        <f t="shared" si="284"/>
        <v>WEEKDAY</v>
      </c>
      <c r="F7982" t="e">
        <f t="shared" si="285"/>
        <v>#N/A</v>
      </c>
      <c r="G7982" s="74">
        <v>28822</v>
      </c>
      <c r="H7982" s="77">
        <v>0.83333333333333337</v>
      </c>
      <c r="J7982">
        <v>39.92</v>
      </c>
      <c r="M7982" s="74">
        <v>36127</v>
      </c>
      <c r="N7982" s="77">
        <v>0.83333333333333337</v>
      </c>
      <c r="P7982">
        <v>51.8</v>
      </c>
      <c r="S7982" s="74">
        <v>36858</v>
      </c>
      <c r="T7982" s="77">
        <v>0.83333333333333337</v>
      </c>
      <c r="V7982">
        <v>42.980000000000004</v>
      </c>
      <c r="X7982" s="42"/>
      <c r="AB7982">
        <v>45.2</v>
      </c>
      <c r="AC7982">
        <v>60.980000000000004</v>
      </c>
      <c r="AE7982" s="74"/>
      <c r="AF7982" s="77"/>
      <c r="AH7982" s="497">
        <v>46.4</v>
      </c>
      <c r="AJ7982" s="42"/>
      <c r="AK7982" s="74"/>
      <c r="AL7982" s="77"/>
      <c r="AN7982" s="497">
        <v>32</v>
      </c>
      <c r="AP7982" s="42"/>
      <c r="AQ7982" s="74"/>
      <c r="AR7982" s="77"/>
      <c r="AT7982" s="497">
        <v>42.980000000000004</v>
      </c>
      <c r="AV7982" s="42"/>
      <c r="AW7982" s="74"/>
      <c r="AX7982" s="77"/>
      <c r="BA7982" s="497">
        <v>41</v>
      </c>
      <c r="BB7982" s="42"/>
      <c r="BC7982" s="74"/>
      <c r="BD7982" s="77"/>
      <c r="BF7982">
        <v>35.06</v>
      </c>
      <c r="BH7982" s="42"/>
      <c r="BI7982" s="74"/>
      <c r="BJ7982" s="77"/>
      <c r="BL7982" s="497">
        <v>33.979999999999997</v>
      </c>
      <c r="BN7982" s="42"/>
      <c r="BO7982" s="74"/>
      <c r="BP7982" s="77"/>
      <c r="BR7982" s="497">
        <v>24.98</v>
      </c>
      <c r="BT7982" s="42"/>
    </row>
    <row r="7983" spans="1:72" x14ac:dyDescent="0.25">
      <c r="A7983" s="90">
        <v>36858</v>
      </c>
      <c r="B7983" s="20">
        <v>0.875</v>
      </c>
      <c r="D7983">
        <v>57.019999999999996</v>
      </c>
      <c r="E7983" t="str">
        <f t="shared" si="284"/>
        <v>WEEKDAY</v>
      </c>
      <c r="F7983" t="e">
        <f t="shared" si="285"/>
        <v>#N/A</v>
      </c>
      <c r="G7983" s="74">
        <v>28822</v>
      </c>
      <c r="H7983" s="77">
        <v>0.875</v>
      </c>
      <c r="J7983">
        <v>39.92</v>
      </c>
      <c r="M7983" s="74">
        <v>36127</v>
      </c>
      <c r="N7983" s="77">
        <v>0.875</v>
      </c>
      <c r="P7983">
        <v>50</v>
      </c>
      <c r="S7983" s="74">
        <v>36858</v>
      </c>
      <c r="T7983" s="77">
        <v>0.875</v>
      </c>
      <c r="V7983">
        <v>42.980000000000004</v>
      </c>
      <c r="X7983" s="42"/>
      <c r="AB7983">
        <v>44.6</v>
      </c>
      <c r="AC7983">
        <v>60.980000000000004</v>
      </c>
      <c r="AE7983" s="74"/>
      <c r="AF7983" s="77"/>
      <c r="AH7983" s="497">
        <v>42.8</v>
      </c>
      <c r="AJ7983" s="42"/>
      <c r="AK7983" s="74"/>
      <c r="AL7983" s="77"/>
      <c r="AN7983" s="497">
        <v>32</v>
      </c>
      <c r="AP7983" s="42"/>
      <c r="AQ7983" s="74"/>
      <c r="AR7983" s="77"/>
      <c r="AT7983" s="497">
        <v>44.06</v>
      </c>
      <c r="AV7983" s="42"/>
      <c r="AW7983" s="74"/>
      <c r="AX7983" s="77"/>
      <c r="BA7983" s="497">
        <v>39.92</v>
      </c>
      <c r="BB7983" s="42"/>
      <c r="BC7983" s="74"/>
      <c r="BD7983" s="77"/>
      <c r="BF7983">
        <v>35.06</v>
      </c>
      <c r="BH7983" s="42"/>
      <c r="BI7983" s="74"/>
      <c r="BJ7983" s="77"/>
      <c r="BL7983" s="497">
        <v>33.979999999999997</v>
      </c>
      <c r="BN7983" s="42"/>
      <c r="BO7983" s="74"/>
      <c r="BP7983" s="77"/>
      <c r="BR7983" s="497">
        <v>23</v>
      </c>
      <c r="BT7983" s="42"/>
    </row>
    <row r="7984" spans="1:72" x14ac:dyDescent="0.25">
      <c r="A7984" s="90">
        <v>36858</v>
      </c>
      <c r="B7984" s="20">
        <v>0.91666666666666663</v>
      </c>
      <c r="D7984">
        <v>55.94</v>
      </c>
      <c r="E7984" t="str">
        <f t="shared" si="284"/>
        <v>WEEKDAY</v>
      </c>
      <c r="F7984" t="e">
        <f t="shared" si="285"/>
        <v>#N/A</v>
      </c>
      <c r="G7984" s="74">
        <v>28822</v>
      </c>
      <c r="H7984" s="77">
        <v>0.91666666666666663</v>
      </c>
      <c r="J7984">
        <v>39.019999999999996</v>
      </c>
      <c r="M7984" s="74">
        <v>36127</v>
      </c>
      <c r="N7984" s="77">
        <v>0.91666666666666663</v>
      </c>
      <c r="P7984">
        <v>50</v>
      </c>
      <c r="S7984" s="74">
        <v>36858</v>
      </c>
      <c r="T7984" s="77">
        <v>0.91666666666666663</v>
      </c>
      <c r="V7984">
        <v>42.980000000000004</v>
      </c>
      <c r="X7984" s="42"/>
      <c r="AB7984">
        <v>44</v>
      </c>
      <c r="AC7984">
        <v>60.980000000000004</v>
      </c>
      <c r="AE7984" s="74"/>
      <c r="AF7984" s="77"/>
      <c r="AH7984" s="497">
        <v>42.8</v>
      </c>
      <c r="AJ7984" s="42"/>
      <c r="AK7984" s="74"/>
      <c r="AL7984" s="77"/>
      <c r="AN7984" s="497">
        <v>30.92</v>
      </c>
      <c r="AP7984" s="42"/>
      <c r="AQ7984" s="74"/>
      <c r="AR7984" s="77"/>
      <c r="AT7984" s="497">
        <v>42.08</v>
      </c>
      <c r="AV7984" s="42"/>
      <c r="AW7984" s="74"/>
      <c r="AX7984" s="77"/>
      <c r="BA7984" s="497">
        <v>39.92</v>
      </c>
      <c r="BB7984" s="42"/>
      <c r="BC7984" s="74"/>
      <c r="BD7984" s="77"/>
      <c r="BF7984">
        <v>35.06</v>
      </c>
      <c r="BH7984" s="42"/>
      <c r="BI7984" s="74"/>
      <c r="BJ7984" s="77"/>
      <c r="BL7984" s="497">
        <v>35.06</v>
      </c>
      <c r="BN7984" s="42"/>
      <c r="BO7984" s="74"/>
      <c r="BP7984" s="77"/>
      <c r="BR7984" s="497">
        <v>21.92</v>
      </c>
      <c r="BT7984" s="42"/>
    </row>
    <row r="7985" spans="1:72" x14ac:dyDescent="0.25">
      <c r="A7985" s="90">
        <v>36858</v>
      </c>
      <c r="B7985" s="20">
        <v>0.95833333333333337</v>
      </c>
      <c r="D7985">
        <v>55.040000000000006</v>
      </c>
      <c r="E7985" t="str">
        <f t="shared" si="284"/>
        <v>WEEKDAY</v>
      </c>
      <c r="F7985" t="e">
        <f t="shared" si="285"/>
        <v>#N/A</v>
      </c>
      <c r="G7985" s="74">
        <v>28822</v>
      </c>
      <c r="H7985" s="77">
        <v>0.95833333333333337</v>
      </c>
      <c r="J7985">
        <v>39.019999999999996</v>
      </c>
      <c r="M7985" s="74">
        <v>36127</v>
      </c>
      <c r="N7985" s="77">
        <v>0.95833333333333337</v>
      </c>
      <c r="P7985">
        <v>44.6</v>
      </c>
      <c r="S7985" s="74">
        <v>36858</v>
      </c>
      <c r="T7985" s="77">
        <v>0.95833333333333337</v>
      </c>
      <c r="V7985">
        <v>44.96</v>
      </c>
      <c r="X7985" s="42"/>
      <c r="AB7985">
        <v>43.6</v>
      </c>
      <c r="AC7985">
        <v>60.08</v>
      </c>
      <c r="AE7985" s="74"/>
      <c r="AF7985" s="77"/>
      <c r="AH7985" s="497">
        <v>39.200000000000003</v>
      </c>
      <c r="AJ7985" s="42"/>
      <c r="AK7985" s="74"/>
      <c r="AL7985" s="77"/>
      <c r="AN7985" s="497">
        <v>30.92</v>
      </c>
      <c r="AP7985" s="42"/>
      <c r="AQ7985" s="74"/>
      <c r="AR7985" s="77"/>
      <c r="AT7985" s="497">
        <v>42.08</v>
      </c>
      <c r="AV7985" s="42"/>
      <c r="AW7985" s="74"/>
      <c r="AX7985" s="77"/>
      <c r="BA7985" s="497">
        <v>39.92</v>
      </c>
      <c r="BB7985" s="42"/>
      <c r="BC7985" s="74"/>
      <c r="BD7985" s="77"/>
      <c r="BF7985">
        <v>35.96</v>
      </c>
      <c r="BH7985" s="42"/>
      <c r="BI7985" s="74"/>
      <c r="BJ7985" s="77"/>
      <c r="BL7985" s="497">
        <v>35.06</v>
      </c>
      <c r="BN7985" s="42"/>
      <c r="BO7985" s="74"/>
      <c r="BP7985" s="77"/>
      <c r="BR7985" s="497">
        <v>21.92</v>
      </c>
      <c r="BT7985" s="42"/>
    </row>
    <row r="7986" spans="1:72" x14ac:dyDescent="0.25">
      <c r="A7986" s="90">
        <v>36858</v>
      </c>
      <c r="B7986" s="20">
        <v>1</v>
      </c>
      <c r="D7986">
        <v>55.040000000000006</v>
      </c>
      <c r="E7986" t="str">
        <f t="shared" si="284"/>
        <v>WEEKDAY</v>
      </c>
      <c r="F7986" t="e">
        <f t="shared" si="285"/>
        <v>#N/A</v>
      </c>
      <c r="G7986" s="74">
        <v>28822</v>
      </c>
      <c r="H7986" s="77">
        <v>1</v>
      </c>
      <c r="J7986">
        <v>37.94</v>
      </c>
      <c r="M7986" s="74">
        <v>36127</v>
      </c>
      <c r="N7986" s="80">
        <v>1</v>
      </c>
      <c r="P7986">
        <v>44.6</v>
      </c>
      <c r="S7986" s="74">
        <v>36858</v>
      </c>
      <c r="T7986" s="80">
        <v>1</v>
      </c>
      <c r="V7986">
        <v>44.06</v>
      </c>
      <c r="X7986" s="42"/>
      <c r="AB7986">
        <v>43.2</v>
      </c>
      <c r="AC7986">
        <v>55.040000000000006</v>
      </c>
      <c r="AE7986" s="74"/>
      <c r="AF7986" s="80"/>
      <c r="AH7986" s="497">
        <v>38.119999999999997</v>
      </c>
      <c r="AJ7986" s="42"/>
      <c r="AK7986" s="74"/>
      <c r="AL7986" s="80"/>
      <c r="AN7986" s="497">
        <v>30.92</v>
      </c>
      <c r="AP7986" s="42"/>
      <c r="AQ7986" s="74"/>
      <c r="AR7986" s="80"/>
      <c r="AT7986" s="497">
        <v>42.08</v>
      </c>
      <c r="AV7986" s="42"/>
      <c r="AW7986" s="74"/>
      <c r="AX7986" s="80"/>
      <c r="BA7986" s="497">
        <v>39.019999999999996</v>
      </c>
      <c r="BB7986" s="42"/>
      <c r="BC7986" s="74"/>
      <c r="BD7986" s="80"/>
      <c r="BF7986">
        <v>35.96</v>
      </c>
      <c r="BH7986" s="42"/>
      <c r="BI7986" s="74"/>
      <c r="BJ7986" s="80"/>
      <c r="BL7986" s="497">
        <v>35.96</v>
      </c>
      <c r="BN7986" s="42"/>
      <c r="BO7986" s="74"/>
      <c r="BP7986" s="80"/>
      <c r="BR7986" s="497">
        <v>23</v>
      </c>
      <c r="BT7986" s="42"/>
    </row>
    <row r="7987" spans="1:72" x14ac:dyDescent="0.25">
      <c r="A7987" s="90">
        <v>36859</v>
      </c>
      <c r="B7987" s="20">
        <v>4.1666666666666664E-2</v>
      </c>
      <c r="D7987">
        <v>55.040000000000006</v>
      </c>
      <c r="E7987" t="str">
        <f t="shared" si="284"/>
        <v>WEEKDAY</v>
      </c>
      <c r="F7987" t="e">
        <f t="shared" si="285"/>
        <v>#N/A</v>
      </c>
      <c r="G7987" s="74">
        <v>28823</v>
      </c>
      <c r="H7987" s="77">
        <v>4.1666666666666664E-2</v>
      </c>
      <c r="J7987">
        <v>37.04</v>
      </c>
      <c r="M7987" s="74">
        <v>36128</v>
      </c>
      <c r="N7987" s="77">
        <v>4.1666666666666664E-2</v>
      </c>
      <c r="P7987">
        <v>41</v>
      </c>
      <c r="S7987" s="74">
        <v>36859</v>
      </c>
      <c r="T7987" s="77">
        <v>4.1666666666666664E-2</v>
      </c>
      <c r="V7987">
        <v>42.08</v>
      </c>
      <c r="X7987" s="42"/>
      <c r="AB7987">
        <v>42.8</v>
      </c>
      <c r="AC7987">
        <v>53.06</v>
      </c>
      <c r="AE7987" s="74"/>
      <c r="AF7987" s="77"/>
      <c r="AH7987" s="497">
        <v>37.4</v>
      </c>
      <c r="AJ7987" s="42"/>
      <c r="AK7987" s="74"/>
      <c r="AL7987" s="77"/>
      <c r="AN7987" s="497">
        <v>30.92</v>
      </c>
      <c r="AP7987" s="42"/>
      <c r="AQ7987" s="74"/>
      <c r="AR7987" s="77"/>
      <c r="AT7987" s="497">
        <v>41</v>
      </c>
      <c r="AV7987" s="42"/>
      <c r="AW7987" s="74"/>
      <c r="AX7987" s="77"/>
      <c r="BA7987" s="497">
        <v>37.94</v>
      </c>
      <c r="BB7987" s="42"/>
      <c r="BC7987" s="74"/>
      <c r="BD7987" s="77"/>
      <c r="BF7987">
        <v>35.96</v>
      </c>
      <c r="BH7987" s="42"/>
      <c r="BI7987" s="74"/>
      <c r="BJ7987" s="77"/>
      <c r="BL7987" s="497">
        <v>35.96</v>
      </c>
      <c r="BN7987" s="42"/>
      <c r="BO7987" s="74"/>
      <c r="BP7987" s="77"/>
      <c r="BR7987" s="497">
        <v>23</v>
      </c>
      <c r="BT7987" s="42"/>
    </row>
    <row r="7988" spans="1:72" x14ac:dyDescent="0.25">
      <c r="A7988" s="90">
        <v>36859</v>
      </c>
      <c r="B7988" s="20">
        <v>8.3333333333333329E-2</v>
      </c>
      <c r="D7988">
        <v>53.06</v>
      </c>
      <c r="E7988" t="str">
        <f t="shared" si="284"/>
        <v>WEEKDAY</v>
      </c>
      <c r="F7988" t="e">
        <f t="shared" si="285"/>
        <v>#N/A</v>
      </c>
      <c r="G7988" s="74">
        <v>28823</v>
      </c>
      <c r="H7988" s="77">
        <v>8.3333333333333329E-2</v>
      </c>
      <c r="J7988">
        <v>37.04</v>
      </c>
      <c r="M7988" s="74">
        <v>36128</v>
      </c>
      <c r="N7988" s="77">
        <v>8.3333333333333329E-2</v>
      </c>
      <c r="P7988">
        <v>42.8</v>
      </c>
      <c r="S7988" s="74">
        <v>36859</v>
      </c>
      <c r="T7988" s="77">
        <v>8.3333333333333329E-2</v>
      </c>
      <c r="V7988">
        <v>39.92</v>
      </c>
      <c r="X7988" s="42"/>
      <c r="AB7988">
        <v>42.3</v>
      </c>
      <c r="AC7988">
        <v>48.019999999999996</v>
      </c>
      <c r="AE7988" s="74"/>
      <c r="AF7988" s="77"/>
      <c r="AH7988" s="497">
        <v>37.4</v>
      </c>
      <c r="AJ7988" s="42"/>
      <c r="AK7988" s="74"/>
      <c r="AL7988" s="77"/>
      <c r="AN7988" s="497">
        <v>32</v>
      </c>
      <c r="AP7988" s="42"/>
      <c r="AQ7988" s="74"/>
      <c r="AR7988" s="77"/>
      <c r="AT7988" s="497">
        <v>42.08</v>
      </c>
      <c r="AV7988" s="42"/>
      <c r="AW7988" s="74"/>
      <c r="AX7988" s="77"/>
      <c r="BA7988" s="497">
        <v>37.04</v>
      </c>
      <c r="BB7988" s="42"/>
      <c r="BC7988" s="74"/>
      <c r="BD7988" s="77"/>
      <c r="BF7988">
        <v>37.04</v>
      </c>
      <c r="BH7988" s="42"/>
      <c r="BI7988" s="74"/>
      <c r="BJ7988" s="77"/>
      <c r="BL7988" s="497">
        <v>37.04</v>
      </c>
      <c r="BN7988" s="42"/>
      <c r="BO7988" s="74"/>
      <c r="BP7988" s="77"/>
      <c r="BR7988" s="497">
        <v>23</v>
      </c>
      <c r="BT7988" s="42"/>
    </row>
    <row r="7989" spans="1:72" x14ac:dyDescent="0.25">
      <c r="A7989" s="90">
        <v>36859</v>
      </c>
      <c r="B7989" s="20">
        <v>0.125</v>
      </c>
      <c r="D7989">
        <v>51.980000000000004</v>
      </c>
      <c r="E7989" t="str">
        <f t="shared" si="284"/>
        <v>WEEKDAY</v>
      </c>
      <c r="F7989" t="e">
        <f t="shared" si="285"/>
        <v>#N/A</v>
      </c>
      <c r="G7989" s="74">
        <v>28823</v>
      </c>
      <c r="H7989" s="77">
        <v>0.125</v>
      </c>
      <c r="J7989">
        <v>35.96</v>
      </c>
      <c r="M7989" s="74">
        <v>36128</v>
      </c>
      <c r="N7989" s="77">
        <v>0.125</v>
      </c>
      <c r="P7989">
        <v>41</v>
      </c>
      <c r="S7989" s="74">
        <v>36859</v>
      </c>
      <c r="T7989" s="77">
        <v>0.125</v>
      </c>
      <c r="V7989">
        <v>39.92</v>
      </c>
      <c r="X7989" s="42"/>
      <c r="AB7989">
        <v>41.9</v>
      </c>
      <c r="AC7989">
        <v>44.06</v>
      </c>
      <c r="AE7989" s="74"/>
      <c r="AF7989" s="77"/>
      <c r="AH7989" s="497">
        <v>37.4</v>
      </c>
      <c r="AJ7989" s="42"/>
      <c r="AK7989" s="74"/>
      <c r="AL7989" s="77"/>
      <c r="AN7989" s="497">
        <v>33.08</v>
      </c>
      <c r="AP7989" s="42"/>
      <c r="AQ7989" s="74"/>
      <c r="AR7989" s="77"/>
      <c r="AT7989" s="497">
        <v>42.08</v>
      </c>
      <c r="AV7989" s="42"/>
      <c r="AW7989" s="74"/>
      <c r="AX7989" s="77"/>
      <c r="BA7989" s="497">
        <v>37.04</v>
      </c>
      <c r="BB7989" s="42"/>
      <c r="BC7989" s="74"/>
      <c r="BD7989" s="77"/>
      <c r="BF7989">
        <v>35.96</v>
      </c>
      <c r="BH7989" s="42"/>
      <c r="BI7989" s="74"/>
      <c r="BJ7989" s="77"/>
      <c r="BL7989" s="497">
        <v>37.04</v>
      </c>
      <c r="BN7989" s="42"/>
      <c r="BO7989" s="74"/>
      <c r="BP7989" s="77"/>
      <c r="BR7989" s="497">
        <v>21.92</v>
      </c>
      <c r="BT7989" s="42"/>
    </row>
    <row r="7990" spans="1:72" x14ac:dyDescent="0.25">
      <c r="A7990" s="90">
        <v>36859</v>
      </c>
      <c r="B7990" s="20">
        <v>0.16666666666666666</v>
      </c>
      <c r="D7990">
        <v>51.08</v>
      </c>
      <c r="E7990" t="str">
        <f t="shared" si="284"/>
        <v>WEEKDAY</v>
      </c>
      <c r="F7990" t="e">
        <f t="shared" si="285"/>
        <v>#N/A</v>
      </c>
      <c r="G7990" s="74">
        <v>28823</v>
      </c>
      <c r="H7990" s="77">
        <v>0.16666666666666666</v>
      </c>
      <c r="J7990">
        <v>35.96</v>
      </c>
      <c r="M7990" s="74">
        <v>36128</v>
      </c>
      <c r="N7990" s="77">
        <v>0.16666666666666666</v>
      </c>
      <c r="P7990">
        <v>41</v>
      </c>
      <c r="S7990" s="74">
        <v>36859</v>
      </c>
      <c r="T7990" s="77">
        <v>0.16666666666666666</v>
      </c>
      <c r="V7990">
        <v>39.019999999999996</v>
      </c>
      <c r="X7990" s="42"/>
      <c r="AB7990">
        <v>41.6</v>
      </c>
      <c r="AC7990">
        <v>44.06</v>
      </c>
      <c r="AE7990" s="74"/>
      <c r="AF7990" s="77"/>
      <c r="AH7990" s="497">
        <v>37.4</v>
      </c>
      <c r="AJ7990" s="42"/>
      <c r="AK7990" s="74"/>
      <c r="AL7990" s="77"/>
      <c r="AN7990" s="497">
        <v>33.08</v>
      </c>
      <c r="AP7990" s="42"/>
      <c r="AQ7990" s="74"/>
      <c r="AR7990" s="77"/>
      <c r="AT7990" s="497">
        <v>39.019999999999996</v>
      </c>
      <c r="AV7990" s="42"/>
      <c r="AW7990" s="74"/>
      <c r="AX7990" s="77"/>
      <c r="BA7990" s="497">
        <v>37.94</v>
      </c>
      <c r="BB7990" s="42"/>
      <c r="BC7990" s="74"/>
      <c r="BD7990" s="77"/>
      <c r="BF7990">
        <v>33.979999999999997</v>
      </c>
      <c r="BH7990" s="42"/>
      <c r="BI7990" s="74"/>
      <c r="BJ7990" s="77"/>
      <c r="BL7990" s="497">
        <v>35.96</v>
      </c>
      <c r="BN7990" s="42"/>
      <c r="BO7990" s="74"/>
      <c r="BP7990" s="77"/>
      <c r="BR7990" s="497">
        <v>21.92</v>
      </c>
      <c r="BT7990" s="42"/>
    </row>
    <row r="7991" spans="1:72" x14ac:dyDescent="0.25">
      <c r="A7991" s="90">
        <v>36859</v>
      </c>
      <c r="B7991" s="20">
        <v>0.20833333333333334</v>
      </c>
      <c r="D7991">
        <v>50</v>
      </c>
      <c r="E7991" t="str">
        <f t="shared" si="284"/>
        <v>WEEKDAY</v>
      </c>
      <c r="F7991" t="e">
        <f t="shared" si="285"/>
        <v>#N/A</v>
      </c>
      <c r="G7991" s="74">
        <v>28823</v>
      </c>
      <c r="H7991" s="77">
        <v>0.20833333333333334</v>
      </c>
      <c r="J7991">
        <v>35.06</v>
      </c>
      <c r="M7991" s="74">
        <v>36128</v>
      </c>
      <c r="N7991" s="77">
        <v>0.20833333333333334</v>
      </c>
      <c r="P7991">
        <v>42.8</v>
      </c>
      <c r="S7991" s="74">
        <v>36859</v>
      </c>
      <c r="T7991" s="77">
        <v>0.20833333333333334</v>
      </c>
      <c r="V7991">
        <v>39.019999999999996</v>
      </c>
      <c r="X7991" s="42"/>
      <c r="AB7991">
        <v>41.2</v>
      </c>
      <c r="AC7991">
        <v>44.06</v>
      </c>
      <c r="AE7991" s="74"/>
      <c r="AF7991" s="77"/>
      <c r="AH7991" s="497">
        <v>37.4</v>
      </c>
      <c r="AJ7991" s="42"/>
      <c r="AK7991" s="74"/>
      <c r="AL7991" s="77"/>
      <c r="AN7991" s="497">
        <v>33.979999999999997</v>
      </c>
      <c r="AP7991" s="42"/>
      <c r="AQ7991" s="74"/>
      <c r="AR7991" s="77"/>
      <c r="AT7991" s="497">
        <v>37.94</v>
      </c>
      <c r="AV7991" s="42"/>
      <c r="AW7991" s="74"/>
      <c r="AX7991" s="77"/>
      <c r="BA7991" s="497">
        <v>37.04</v>
      </c>
      <c r="BB7991" s="42"/>
      <c r="BC7991" s="74"/>
      <c r="BD7991" s="77"/>
      <c r="BF7991">
        <v>35.06</v>
      </c>
      <c r="BH7991" s="42"/>
      <c r="BI7991" s="74"/>
      <c r="BJ7991" s="77"/>
      <c r="BL7991" s="497">
        <v>33.979999999999997</v>
      </c>
      <c r="BN7991" s="42"/>
      <c r="BO7991" s="74"/>
      <c r="BP7991" s="77"/>
      <c r="BR7991" s="497">
        <v>21.92</v>
      </c>
      <c r="BT7991" s="42"/>
    </row>
    <row r="7992" spans="1:72" x14ac:dyDescent="0.25">
      <c r="A7992" s="90">
        <v>36859</v>
      </c>
      <c r="B7992" s="20">
        <v>0.25</v>
      </c>
      <c r="D7992">
        <v>50</v>
      </c>
      <c r="E7992" t="str">
        <f t="shared" si="284"/>
        <v>WEEKDAY</v>
      </c>
      <c r="F7992" t="e">
        <f t="shared" si="285"/>
        <v>#N/A</v>
      </c>
      <c r="G7992" s="74">
        <v>28823</v>
      </c>
      <c r="H7992" s="77">
        <v>0.25</v>
      </c>
      <c r="J7992">
        <v>33.979999999999997</v>
      </c>
      <c r="M7992" s="74">
        <v>36128</v>
      </c>
      <c r="N7992" s="77">
        <v>0.25</v>
      </c>
      <c r="P7992">
        <v>42.8</v>
      </c>
      <c r="S7992" s="74">
        <v>36859</v>
      </c>
      <c r="T7992" s="77">
        <v>0.25</v>
      </c>
      <c r="V7992">
        <v>39.019999999999996</v>
      </c>
      <c r="X7992" s="42"/>
      <c r="AB7992">
        <v>41</v>
      </c>
      <c r="AC7992">
        <v>44.06</v>
      </c>
      <c r="AE7992" s="74"/>
      <c r="AF7992" s="77"/>
      <c r="AH7992" s="497">
        <v>37.4</v>
      </c>
      <c r="AJ7992" s="42"/>
      <c r="AK7992" s="74"/>
      <c r="AL7992" s="77"/>
      <c r="AN7992" s="497">
        <v>33.979999999999997</v>
      </c>
      <c r="AP7992" s="42"/>
      <c r="AQ7992" s="74"/>
      <c r="AR7992" s="77"/>
      <c r="AT7992" s="497">
        <v>37.04</v>
      </c>
      <c r="AV7992" s="42"/>
      <c r="AW7992" s="74"/>
      <c r="AX7992" s="77"/>
      <c r="BA7992" s="497">
        <v>37.94</v>
      </c>
      <c r="BB7992" s="42"/>
      <c r="BC7992" s="74"/>
      <c r="BD7992" s="77"/>
      <c r="BF7992">
        <v>35.06</v>
      </c>
      <c r="BH7992" s="42"/>
      <c r="BI7992" s="74"/>
      <c r="BJ7992" s="77"/>
      <c r="BL7992" s="497">
        <v>35.96</v>
      </c>
      <c r="BN7992" s="42"/>
      <c r="BO7992" s="74"/>
      <c r="BP7992" s="77"/>
      <c r="BR7992" s="497">
        <v>21.92</v>
      </c>
      <c r="BT7992" s="42"/>
    </row>
    <row r="7993" spans="1:72" x14ac:dyDescent="0.25">
      <c r="A7993" s="90">
        <v>36859</v>
      </c>
      <c r="B7993" s="20">
        <v>0.29166666666666669</v>
      </c>
      <c r="D7993">
        <v>48.019999999999996</v>
      </c>
      <c r="E7993" t="str">
        <f t="shared" si="284"/>
        <v>WEEKDAY</v>
      </c>
      <c r="F7993" t="e">
        <f t="shared" si="285"/>
        <v>#N/A</v>
      </c>
      <c r="G7993" s="74">
        <v>28823</v>
      </c>
      <c r="H7993" s="77">
        <v>0.29166666666666669</v>
      </c>
      <c r="J7993">
        <v>33.979999999999997</v>
      </c>
      <c r="M7993" s="74">
        <v>36128</v>
      </c>
      <c r="N7993" s="77">
        <v>0.29166666666666669</v>
      </c>
      <c r="P7993">
        <v>41</v>
      </c>
      <c r="S7993" s="74">
        <v>36859</v>
      </c>
      <c r="T7993" s="77">
        <v>0.29166666666666669</v>
      </c>
      <c r="V7993">
        <v>37.94</v>
      </c>
      <c r="X7993" s="42"/>
      <c r="AB7993">
        <v>40.9</v>
      </c>
      <c r="AC7993">
        <v>42.980000000000004</v>
      </c>
      <c r="AE7993" s="74"/>
      <c r="AF7993" s="77"/>
      <c r="AH7993" s="497">
        <v>42.8</v>
      </c>
      <c r="AJ7993" s="42"/>
      <c r="AK7993" s="74"/>
      <c r="AL7993" s="77"/>
      <c r="AN7993" s="497">
        <v>33.979999999999997</v>
      </c>
      <c r="AP7993" s="42"/>
      <c r="AQ7993" s="74"/>
      <c r="AR7993" s="77"/>
      <c r="AT7993" s="497">
        <v>35.96</v>
      </c>
      <c r="AV7993" s="42"/>
      <c r="AW7993" s="74"/>
      <c r="AX7993" s="77"/>
      <c r="BA7993" s="497">
        <v>37.94</v>
      </c>
      <c r="BB7993" s="42"/>
      <c r="BC7993" s="74"/>
      <c r="BD7993" s="77"/>
      <c r="BF7993">
        <v>35.06</v>
      </c>
      <c r="BH7993" s="42"/>
      <c r="BI7993" s="74"/>
      <c r="BJ7993" s="77"/>
      <c r="BL7993" s="497">
        <v>35.96</v>
      </c>
      <c r="BN7993" s="42"/>
      <c r="BO7993" s="74"/>
      <c r="BP7993" s="77"/>
      <c r="BR7993" s="497">
        <v>23</v>
      </c>
      <c r="BT7993" s="42"/>
    </row>
    <row r="7994" spans="1:72" x14ac:dyDescent="0.25">
      <c r="A7994" s="90">
        <v>36859</v>
      </c>
      <c r="B7994" s="20">
        <v>0.33333333333333331</v>
      </c>
      <c r="D7994">
        <v>48.92</v>
      </c>
      <c r="E7994" t="str">
        <f t="shared" si="284"/>
        <v>WEEKDAY</v>
      </c>
      <c r="F7994" t="e">
        <f t="shared" si="285"/>
        <v>#N/A</v>
      </c>
      <c r="G7994" s="74">
        <v>28823</v>
      </c>
      <c r="H7994" s="77">
        <v>0.33333333333333331</v>
      </c>
      <c r="J7994">
        <v>35.96</v>
      </c>
      <c r="M7994" s="74">
        <v>36128</v>
      </c>
      <c r="N7994" s="77">
        <v>0.33333333333333331</v>
      </c>
      <c r="P7994">
        <v>42.8</v>
      </c>
      <c r="S7994" s="74">
        <v>36859</v>
      </c>
      <c r="T7994" s="77">
        <v>0.33333333333333331</v>
      </c>
      <c r="V7994">
        <v>39.019999999999996</v>
      </c>
      <c r="X7994" s="42"/>
      <c r="AB7994">
        <v>40.9</v>
      </c>
      <c r="AC7994">
        <v>42.08</v>
      </c>
      <c r="AE7994" s="74"/>
      <c r="AF7994" s="77"/>
      <c r="AH7994" s="497">
        <v>42.8</v>
      </c>
      <c r="AJ7994" s="42"/>
      <c r="AK7994" s="74"/>
      <c r="AL7994" s="77"/>
      <c r="AN7994" s="497">
        <v>33.979999999999997</v>
      </c>
      <c r="AP7994" s="42"/>
      <c r="AQ7994" s="74"/>
      <c r="AR7994" s="77"/>
      <c r="AT7994" s="497">
        <v>35.96</v>
      </c>
      <c r="AV7994" s="42"/>
      <c r="AW7994" s="74"/>
      <c r="AX7994" s="77"/>
      <c r="BA7994" s="497">
        <v>37.94</v>
      </c>
      <c r="BB7994" s="42"/>
      <c r="BC7994" s="74"/>
      <c r="BD7994" s="77"/>
      <c r="BF7994">
        <v>35.06</v>
      </c>
      <c r="BH7994" s="42"/>
      <c r="BI7994" s="74"/>
      <c r="BJ7994" s="77"/>
      <c r="BL7994" s="497">
        <v>35.96</v>
      </c>
      <c r="BN7994" s="42"/>
      <c r="BO7994" s="74"/>
      <c r="BP7994" s="77"/>
      <c r="BR7994" s="497">
        <v>24.08</v>
      </c>
      <c r="BT7994" s="42"/>
    </row>
    <row r="7995" spans="1:72" x14ac:dyDescent="0.25">
      <c r="A7995" s="90">
        <v>36859</v>
      </c>
      <c r="B7995" s="20">
        <v>0.375</v>
      </c>
      <c r="D7995">
        <v>50</v>
      </c>
      <c r="E7995" t="str">
        <f t="shared" si="284"/>
        <v>WEEKDAY</v>
      </c>
      <c r="F7995" t="e">
        <f t="shared" si="285"/>
        <v>#N/A</v>
      </c>
      <c r="G7995" s="74">
        <v>28823</v>
      </c>
      <c r="H7995" s="77">
        <v>0.375</v>
      </c>
      <c r="J7995">
        <v>37.04</v>
      </c>
      <c r="M7995" s="74">
        <v>36128</v>
      </c>
      <c r="N7995" s="77">
        <v>0.375</v>
      </c>
      <c r="P7995">
        <v>50</v>
      </c>
      <c r="S7995" s="74">
        <v>36859</v>
      </c>
      <c r="T7995" s="77">
        <v>0.375</v>
      </c>
      <c r="V7995">
        <v>42.08</v>
      </c>
      <c r="X7995" s="42"/>
      <c r="AB7995">
        <v>41.8</v>
      </c>
      <c r="AC7995">
        <v>42.980000000000004</v>
      </c>
      <c r="AE7995" s="74"/>
      <c r="AF7995" s="77"/>
      <c r="AH7995" s="497">
        <v>42.8</v>
      </c>
      <c r="AJ7995" s="42"/>
      <c r="AK7995" s="74"/>
      <c r="AL7995" s="77"/>
      <c r="AN7995" s="497">
        <v>33.08</v>
      </c>
      <c r="AP7995" s="42"/>
      <c r="AQ7995" s="74"/>
      <c r="AR7995" s="77"/>
      <c r="AT7995" s="497">
        <v>37.04</v>
      </c>
      <c r="AV7995" s="42"/>
      <c r="AW7995" s="74"/>
      <c r="AX7995" s="77"/>
      <c r="BA7995" s="497">
        <v>37.94</v>
      </c>
      <c r="BB7995" s="42"/>
      <c r="BC7995" s="74"/>
      <c r="BD7995" s="77"/>
      <c r="BF7995">
        <v>35.06</v>
      </c>
      <c r="BH7995" s="42"/>
      <c r="BI7995" s="74"/>
      <c r="BJ7995" s="77"/>
      <c r="BL7995" s="497">
        <v>35.96</v>
      </c>
      <c r="BN7995" s="42"/>
      <c r="BO7995" s="74"/>
      <c r="BP7995" s="77"/>
      <c r="BR7995" s="497">
        <v>24.08</v>
      </c>
      <c r="BT7995" s="42"/>
    </row>
    <row r="7996" spans="1:72" x14ac:dyDescent="0.25">
      <c r="A7996" s="90">
        <v>36859</v>
      </c>
      <c r="B7996" s="20">
        <v>0.41666666666666669</v>
      </c>
      <c r="D7996">
        <v>53.06</v>
      </c>
      <c r="E7996" t="str">
        <f t="shared" si="284"/>
        <v>WEEKDAY</v>
      </c>
      <c r="F7996" t="e">
        <f t="shared" si="285"/>
        <v>#N/A</v>
      </c>
      <c r="G7996" s="74">
        <v>28823</v>
      </c>
      <c r="H7996" s="77">
        <v>0.41666666666666669</v>
      </c>
      <c r="J7996">
        <v>39.019999999999996</v>
      </c>
      <c r="M7996" s="74">
        <v>36128</v>
      </c>
      <c r="N7996" s="77">
        <v>0.41666666666666669</v>
      </c>
      <c r="P7996">
        <v>55.400000000000006</v>
      </c>
      <c r="S7996" s="74">
        <v>36859</v>
      </c>
      <c r="T7996" s="77">
        <v>0.41666666666666669</v>
      </c>
      <c r="V7996">
        <v>44.06</v>
      </c>
      <c r="X7996" s="42"/>
      <c r="AB7996">
        <v>43.6</v>
      </c>
      <c r="AC7996">
        <v>44.06</v>
      </c>
      <c r="AE7996" s="74"/>
      <c r="AF7996" s="77"/>
      <c r="AH7996" s="497">
        <v>42.8</v>
      </c>
      <c r="AJ7996" s="42"/>
      <c r="AK7996" s="74"/>
      <c r="AL7996" s="77"/>
      <c r="AN7996" s="497">
        <v>33.979999999999997</v>
      </c>
      <c r="AP7996" s="42"/>
      <c r="AQ7996" s="74"/>
      <c r="AR7996" s="77"/>
      <c r="AT7996" s="497">
        <v>39.92</v>
      </c>
      <c r="AV7996" s="42"/>
      <c r="AW7996" s="74"/>
      <c r="AX7996" s="77"/>
      <c r="BA7996" s="497">
        <v>39.019999999999996</v>
      </c>
      <c r="BB7996" s="42"/>
      <c r="BC7996" s="74"/>
      <c r="BD7996" s="77"/>
      <c r="BF7996">
        <v>35.06</v>
      </c>
      <c r="BH7996" s="42"/>
      <c r="BI7996" s="74"/>
      <c r="BJ7996" s="77"/>
      <c r="BL7996" s="497">
        <v>37.04</v>
      </c>
      <c r="BN7996" s="42"/>
      <c r="BO7996" s="74"/>
      <c r="BP7996" s="77"/>
      <c r="BR7996" s="497">
        <v>24.98</v>
      </c>
      <c r="BT7996" s="42"/>
    </row>
    <row r="7997" spans="1:72" x14ac:dyDescent="0.25">
      <c r="A7997" s="90">
        <v>36859</v>
      </c>
      <c r="B7997" s="20">
        <v>0.45833333333333331</v>
      </c>
      <c r="D7997">
        <v>53.96</v>
      </c>
      <c r="E7997" t="str">
        <f t="shared" si="284"/>
        <v>WEEKDAY</v>
      </c>
      <c r="F7997" t="e">
        <f t="shared" si="285"/>
        <v>#N/A</v>
      </c>
      <c r="G7997" s="74">
        <v>28823</v>
      </c>
      <c r="H7997" s="77">
        <v>0.45833333333333331</v>
      </c>
      <c r="J7997">
        <v>42.08</v>
      </c>
      <c r="M7997" s="74">
        <v>36128</v>
      </c>
      <c r="N7997" s="77">
        <v>0.45833333333333331</v>
      </c>
      <c r="P7997">
        <v>53.6</v>
      </c>
      <c r="S7997" s="74">
        <v>36859</v>
      </c>
      <c r="T7997" s="77">
        <v>0.45833333333333331</v>
      </c>
      <c r="V7997">
        <v>44.96</v>
      </c>
      <c r="X7997" s="42"/>
      <c r="AB7997">
        <v>45.1</v>
      </c>
      <c r="AC7997">
        <v>44.96</v>
      </c>
      <c r="AE7997" s="74"/>
      <c r="AF7997" s="77"/>
      <c r="AH7997" s="497">
        <v>42.8</v>
      </c>
      <c r="AJ7997" s="42"/>
      <c r="AK7997" s="74"/>
      <c r="AL7997" s="77"/>
      <c r="AN7997" s="497">
        <v>33.08</v>
      </c>
      <c r="AP7997" s="42"/>
      <c r="AQ7997" s="74"/>
      <c r="AR7997" s="77"/>
      <c r="AT7997" s="497">
        <v>39.92</v>
      </c>
      <c r="AV7997" s="42"/>
      <c r="AW7997" s="74"/>
      <c r="AX7997" s="77"/>
      <c r="BA7997" s="497">
        <v>39.92</v>
      </c>
      <c r="BB7997" s="42"/>
      <c r="BC7997" s="74"/>
      <c r="BD7997" s="77"/>
      <c r="BF7997">
        <v>35.96</v>
      </c>
      <c r="BH7997" s="42"/>
      <c r="BI7997" s="74"/>
      <c r="BJ7997" s="77"/>
      <c r="BL7997" s="497">
        <v>37.94</v>
      </c>
      <c r="BN7997" s="42"/>
      <c r="BO7997" s="74"/>
      <c r="BP7997" s="77"/>
      <c r="BR7997" s="497">
        <v>28.04</v>
      </c>
      <c r="BT7997" s="42"/>
    </row>
    <row r="7998" spans="1:72" x14ac:dyDescent="0.25">
      <c r="A7998" s="90">
        <v>36859</v>
      </c>
      <c r="B7998" s="20">
        <v>0.5</v>
      </c>
      <c r="D7998">
        <v>55.040000000000006</v>
      </c>
      <c r="E7998" t="str">
        <f t="shared" si="284"/>
        <v>WEEKDAY</v>
      </c>
      <c r="F7998" t="e">
        <f t="shared" si="285"/>
        <v>#N/A</v>
      </c>
      <c r="G7998" s="74">
        <v>28823</v>
      </c>
      <c r="H7998" s="77">
        <v>0.5</v>
      </c>
      <c r="J7998">
        <v>42.980000000000004</v>
      </c>
      <c r="M7998" s="74">
        <v>36128</v>
      </c>
      <c r="N7998" s="77">
        <v>0.5</v>
      </c>
      <c r="P7998">
        <v>55.400000000000006</v>
      </c>
      <c r="S7998" s="74">
        <v>36859</v>
      </c>
      <c r="T7998" s="77">
        <v>0.5</v>
      </c>
      <c r="V7998">
        <v>46.94</v>
      </c>
      <c r="X7998" s="42"/>
      <c r="AB7998">
        <v>46.4</v>
      </c>
      <c r="AC7998">
        <v>46.04</v>
      </c>
      <c r="AE7998" s="74"/>
      <c r="AF7998" s="77"/>
      <c r="AH7998" s="497">
        <v>44.6</v>
      </c>
      <c r="AJ7998" s="42"/>
      <c r="AK7998" s="74"/>
      <c r="AL7998" s="77"/>
      <c r="AN7998" s="497">
        <v>33.979999999999997</v>
      </c>
      <c r="AP7998" s="42"/>
      <c r="AQ7998" s="74"/>
      <c r="AR7998" s="77"/>
      <c r="AT7998" s="497">
        <v>39.019999999999996</v>
      </c>
      <c r="AV7998" s="42"/>
      <c r="AW7998" s="74"/>
      <c r="AX7998" s="77"/>
      <c r="BA7998" s="497">
        <v>39.92</v>
      </c>
      <c r="BB7998" s="42"/>
      <c r="BC7998" s="74"/>
      <c r="BD7998" s="77"/>
      <c r="BF7998">
        <v>35.96</v>
      </c>
      <c r="BH7998" s="42"/>
      <c r="BI7998" s="74"/>
      <c r="BJ7998" s="77"/>
      <c r="BL7998" s="497">
        <v>37.94</v>
      </c>
      <c r="BN7998" s="42"/>
      <c r="BO7998" s="74"/>
      <c r="BP7998" s="77"/>
      <c r="BR7998" s="497">
        <v>28.04</v>
      </c>
      <c r="BT7998" s="42"/>
    </row>
    <row r="7999" spans="1:72" x14ac:dyDescent="0.25">
      <c r="A7999" s="90">
        <v>36859</v>
      </c>
      <c r="B7999" s="20">
        <v>0.54166666666666663</v>
      </c>
      <c r="D7999">
        <v>55.040000000000006</v>
      </c>
      <c r="E7999" t="str">
        <f t="shared" si="284"/>
        <v>WEEKDAY</v>
      </c>
      <c r="F7999" t="e">
        <f t="shared" si="285"/>
        <v>#N/A</v>
      </c>
      <c r="G7999" s="74">
        <v>28823</v>
      </c>
      <c r="H7999" s="77">
        <v>0.54166666666666663</v>
      </c>
      <c r="J7999">
        <v>44.06</v>
      </c>
      <c r="M7999" s="74">
        <v>36128</v>
      </c>
      <c r="N7999" s="77">
        <v>0.54166666666666663</v>
      </c>
      <c r="P7999">
        <v>57.2</v>
      </c>
      <c r="S7999" s="74">
        <v>36859</v>
      </c>
      <c r="T7999" s="77">
        <v>0.54166666666666663</v>
      </c>
      <c r="V7999">
        <v>46.94</v>
      </c>
      <c r="X7999" s="42"/>
      <c r="AB7999">
        <v>47.3</v>
      </c>
      <c r="AC7999">
        <v>46.04</v>
      </c>
      <c r="AE7999" s="74"/>
      <c r="AF7999" s="77"/>
      <c r="AH7999" s="497">
        <v>44.6</v>
      </c>
      <c r="AJ7999" s="42"/>
      <c r="AK7999" s="74"/>
      <c r="AL7999" s="77"/>
      <c r="AN7999" s="497">
        <v>33.979999999999997</v>
      </c>
      <c r="AP7999" s="42"/>
      <c r="AQ7999" s="74"/>
      <c r="AR7999" s="77"/>
      <c r="AT7999" s="497">
        <v>39.92</v>
      </c>
      <c r="AV7999" s="42"/>
      <c r="AW7999" s="74"/>
      <c r="AX7999" s="77"/>
      <c r="BA7999" s="497">
        <v>39.92</v>
      </c>
      <c r="BB7999" s="42"/>
      <c r="BC7999" s="74"/>
      <c r="BD7999" s="77"/>
      <c r="BF7999">
        <v>37.04</v>
      </c>
      <c r="BH7999" s="42"/>
      <c r="BI7999" s="74"/>
      <c r="BJ7999" s="77"/>
      <c r="BL7999" s="497">
        <v>37.94</v>
      </c>
      <c r="BN7999" s="42"/>
      <c r="BO7999" s="74"/>
      <c r="BP7999" s="77"/>
      <c r="BR7999" s="497">
        <v>30.92</v>
      </c>
      <c r="BT7999" s="42"/>
    </row>
    <row r="8000" spans="1:72" x14ac:dyDescent="0.25">
      <c r="A8000" s="90">
        <v>36859</v>
      </c>
      <c r="B8000" s="20">
        <v>0.58333333333333337</v>
      </c>
      <c r="D8000">
        <v>55.94</v>
      </c>
      <c r="E8000" t="str">
        <f t="shared" si="284"/>
        <v>WEEKDAY</v>
      </c>
      <c r="F8000" t="e">
        <f t="shared" si="285"/>
        <v>#N/A</v>
      </c>
      <c r="G8000" s="74">
        <v>28823</v>
      </c>
      <c r="H8000" s="77">
        <v>0.58333333333333337</v>
      </c>
      <c r="J8000">
        <v>44.06</v>
      </c>
      <c r="M8000" s="74">
        <v>36128</v>
      </c>
      <c r="N8000" s="77">
        <v>0.58333333333333337</v>
      </c>
      <c r="P8000">
        <v>59</v>
      </c>
      <c r="S8000" s="74">
        <v>36859</v>
      </c>
      <c r="T8000" s="77">
        <v>0.58333333333333337</v>
      </c>
      <c r="V8000">
        <v>48.92</v>
      </c>
      <c r="X8000" s="42"/>
      <c r="AB8000">
        <v>47.9</v>
      </c>
      <c r="AC8000">
        <v>46.94</v>
      </c>
      <c r="AE8000" s="74"/>
      <c r="AF8000" s="77"/>
      <c r="AH8000" s="497">
        <v>44.6</v>
      </c>
      <c r="AJ8000" s="42"/>
      <c r="AK8000" s="74"/>
      <c r="AL8000" s="77"/>
      <c r="AN8000" s="497">
        <v>35.06</v>
      </c>
      <c r="AP8000" s="42"/>
      <c r="AQ8000" s="74"/>
      <c r="AR8000" s="77"/>
      <c r="AT8000" s="497">
        <v>41</v>
      </c>
      <c r="AV8000" s="42"/>
      <c r="AW8000" s="74"/>
      <c r="AX8000" s="77"/>
      <c r="BA8000" s="497">
        <v>41</v>
      </c>
      <c r="BB8000" s="42"/>
      <c r="BC8000" s="74"/>
      <c r="BD8000" s="77"/>
      <c r="BF8000">
        <v>37.04</v>
      </c>
      <c r="BH8000" s="42"/>
      <c r="BI8000" s="74"/>
      <c r="BJ8000" s="77"/>
      <c r="BL8000" s="497">
        <v>37.94</v>
      </c>
      <c r="BN8000" s="42"/>
      <c r="BO8000" s="74"/>
      <c r="BP8000" s="77"/>
      <c r="BR8000" s="497">
        <v>30.92</v>
      </c>
      <c r="BT8000" s="42"/>
    </row>
    <row r="8001" spans="1:72" x14ac:dyDescent="0.25">
      <c r="A8001" s="90">
        <v>36859</v>
      </c>
      <c r="B8001" s="20">
        <v>0.625</v>
      </c>
      <c r="D8001">
        <v>55.040000000000006</v>
      </c>
      <c r="E8001" t="str">
        <f t="shared" si="284"/>
        <v>WEEKDAY</v>
      </c>
      <c r="F8001" t="e">
        <f t="shared" si="285"/>
        <v>#N/A</v>
      </c>
      <c r="G8001" s="74">
        <v>28823</v>
      </c>
      <c r="H8001" s="77">
        <v>0.625</v>
      </c>
      <c r="J8001">
        <v>44.06</v>
      </c>
      <c r="M8001" s="74">
        <v>36128</v>
      </c>
      <c r="N8001" s="77">
        <v>0.625</v>
      </c>
      <c r="P8001">
        <v>57.2</v>
      </c>
      <c r="S8001" s="74">
        <v>36859</v>
      </c>
      <c r="T8001" s="77">
        <v>0.625</v>
      </c>
      <c r="V8001">
        <v>48.019999999999996</v>
      </c>
      <c r="X8001" s="42"/>
      <c r="AB8001">
        <v>48</v>
      </c>
      <c r="AC8001">
        <v>46.04</v>
      </c>
      <c r="AE8001" s="74"/>
      <c r="AF8001" s="77"/>
      <c r="AH8001" s="497">
        <v>44.6</v>
      </c>
      <c r="AJ8001" s="42"/>
      <c r="AK8001" s="74"/>
      <c r="AL8001" s="77"/>
      <c r="AN8001" s="497">
        <v>35.96</v>
      </c>
      <c r="AP8001" s="42"/>
      <c r="AQ8001" s="74"/>
      <c r="AR8001" s="77"/>
      <c r="AT8001" s="497">
        <v>39.92</v>
      </c>
      <c r="AV8001" s="42"/>
      <c r="AW8001" s="74"/>
      <c r="AX8001" s="77"/>
      <c r="BA8001" s="497">
        <v>41</v>
      </c>
      <c r="BB8001" s="42"/>
      <c r="BC8001" s="74"/>
      <c r="BD8001" s="77"/>
      <c r="BF8001">
        <v>37.04</v>
      </c>
      <c r="BH8001" s="42"/>
      <c r="BI8001" s="74"/>
      <c r="BJ8001" s="77"/>
      <c r="BL8001" s="497">
        <v>35.96</v>
      </c>
      <c r="BN8001" s="42"/>
      <c r="BO8001" s="74"/>
      <c r="BP8001" s="77"/>
      <c r="BR8001" s="497">
        <v>30.92</v>
      </c>
      <c r="BT8001" s="42"/>
    </row>
    <row r="8002" spans="1:72" x14ac:dyDescent="0.25">
      <c r="A8002" s="90">
        <v>36859</v>
      </c>
      <c r="B8002" s="20">
        <v>0.66666666666666663</v>
      </c>
      <c r="D8002">
        <v>55.040000000000006</v>
      </c>
      <c r="E8002" t="str">
        <f t="shared" si="284"/>
        <v>WEEKDAY</v>
      </c>
      <c r="F8002" t="e">
        <f t="shared" si="285"/>
        <v>#N/A</v>
      </c>
      <c r="G8002" s="74">
        <v>28823</v>
      </c>
      <c r="H8002" s="77">
        <v>0.66666666666666663</v>
      </c>
      <c r="J8002">
        <v>42.980000000000004</v>
      </c>
      <c r="M8002" s="74">
        <v>36128</v>
      </c>
      <c r="N8002" s="77">
        <v>0.66666666666666663</v>
      </c>
      <c r="P8002">
        <v>55.400000000000006</v>
      </c>
      <c r="S8002" s="74">
        <v>36859</v>
      </c>
      <c r="T8002" s="77">
        <v>0.66666666666666663</v>
      </c>
      <c r="V8002">
        <v>46.94</v>
      </c>
      <c r="X8002" s="42"/>
      <c r="AB8002">
        <v>47.7</v>
      </c>
      <c r="AC8002">
        <v>44.96</v>
      </c>
      <c r="AE8002" s="74"/>
      <c r="AF8002" s="77"/>
      <c r="AH8002" s="497">
        <v>44.6</v>
      </c>
      <c r="AJ8002" s="42"/>
      <c r="AK8002" s="74"/>
      <c r="AL8002" s="77"/>
      <c r="AN8002" s="497">
        <v>35.96</v>
      </c>
      <c r="AP8002" s="42"/>
      <c r="AQ8002" s="74"/>
      <c r="AR8002" s="77"/>
      <c r="AT8002" s="497">
        <v>39.019999999999996</v>
      </c>
      <c r="AV8002" s="42"/>
      <c r="AW8002" s="74"/>
      <c r="AX8002" s="77"/>
      <c r="BA8002" s="497">
        <v>41</v>
      </c>
      <c r="BB8002" s="42"/>
      <c r="BC8002" s="74"/>
      <c r="BD8002" s="77"/>
      <c r="BF8002">
        <v>37.04</v>
      </c>
      <c r="BH8002" s="42"/>
      <c r="BI8002" s="74"/>
      <c r="BJ8002" s="77"/>
      <c r="BL8002" s="497">
        <v>35.06</v>
      </c>
      <c r="BN8002" s="42"/>
      <c r="BO8002" s="74"/>
      <c r="BP8002" s="77"/>
      <c r="BR8002" s="497">
        <v>32</v>
      </c>
      <c r="BT8002" s="42"/>
    </row>
    <row r="8003" spans="1:72" x14ac:dyDescent="0.25">
      <c r="A8003" s="90">
        <v>36859</v>
      </c>
      <c r="B8003" s="20">
        <v>0.70833333333333337</v>
      </c>
      <c r="D8003">
        <v>53.96</v>
      </c>
      <c r="E8003" t="str">
        <f t="shared" si="284"/>
        <v>WEEKDAY</v>
      </c>
      <c r="F8003" t="e">
        <f t="shared" si="285"/>
        <v>#N/A</v>
      </c>
      <c r="G8003" s="74">
        <v>28823</v>
      </c>
      <c r="H8003" s="77">
        <v>0.70833333333333337</v>
      </c>
      <c r="J8003">
        <v>42.08</v>
      </c>
      <c r="M8003" s="74">
        <v>36128</v>
      </c>
      <c r="N8003" s="77">
        <v>0.70833333333333337</v>
      </c>
      <c r="P8003">
        <v>50</v>
      </c>
      <c r="S8003" s="74">
        <v>36859</v>
      </c>
      <c r="T8003" s="77">
        <v>0.70833333333333337</v>
      </c>
      <c r="V8003">
        <v>44.06</v>
      </c>
      <c r="X8003" s="42"/>
      <c r="AB8003">
        <v>46.7</v>
      </c>
      <c r="AC8003">
        <v>44.96</v>
      </c>
      <c r="AE8003" s="74"/>
      <c r="AF8003" s="77"/>
      <c r="AH8003" s="497">
        <v>44.6</v>
      </c>
      <c r="AJ8003" s="42"/>
      <c r="AK8003" s="74"/>
      <c r="AL8003" s="77"/>
      <c r="AN8003" s="497">
        <v>33.979999999999997</v>
      </c>
      <c r="AP8003" s="42"/>
      <c r="AQ8003" s="74"/>
      <c r="AR8003" s="77"/>
      <c r="AT8003" s="497">
        <v>35.96</v>
      </c>
      <c r="AV8003" s="42"/>
      <c r="AW8003" s="74"/>
      <c r="AX8003" s="77"/>
      <c r="BA8003" s="497">
        <v>39.92</v>
      </c>
      <c r="BB8003" s="42"/>
      <c r="BC8003" s="74"/>
      <c r="BD8003" s="77"/>
      <c r="BF8003">
        <v>37.04</v>
      </c>
      <c r="BH8003" s="42"/>
      <c r="BI8003" s="74"/>
      <c r="BJ8003" s="77"/>
      <c r="BL8003" s="497">
        <v>35.96</v>
      </c>
      <c r="BN8003" s="42"/>
      <c r="BO8003" s="74"/>
      <c r="BP8003" s="77"/>
      <c r="BR8003" s="497">
        <v>33.08</v>
      </c>
      <c r="BT8003" s="42"/>
    </row>
    <row r="8004" spans="1:72" x14ac:dyDescent="0.25">
      <c r="A8004" s="90">
        <v>36859</v>
      </c>
      <c r="B8004" s="20">
        <v>0.75</v>
      </c>
      <c r="D8004">
        <v>53.06</v>
      </c>
      <c r="E8004" t="str">
        <f t="shared" si="284"/>
        <v>WEEKDAY</v>
      </c>
      <c r="F8004" t="e">
        <f t="shared" si="285"/>
        <v>#N/A</v>
      </c>
      <c r="G8004" s="74">
        <v>28823</v>
      </c>
      <c r="H8004" s="77">
        <v>0.75</v>
      </c>
      <c r="J8004">
        <v>42.980000000000004</v>
      </c>
      <c r="M8004" s="74">
        <v>36128</v>
      </c>
      <c r="N8004" s="77">
        <v>0.75</v>
      </c>
      <c r="P8004">
        <v>48.2</v>
      </c>
      <c r="S8004" s="74">
        <v>36859</v>
      </c>
      <c r="T8004" s="77">
        <v>0.75</v>
      </c>
      <c r="V8004">
        <v>42.08</v>
      </c>
      <c r="X8004" s="42"/>
      <c r="AB8004">
        <v>45.5</v>
      </c>
      <c r="AC8004">
        <v>44.06</v>
      </c>
      <c r="AE8004" s="74"/>
      <c r="AF8004" s="77"/>
      <c r="AH8004" s="497">
        <v>44.6</v>
      </c>
      <c r="AJ8004" s="42"/>
      <c r="AK8004" s="74"/>
      <c r="AL8004" s="77"/>
      <c r="AN8004" s="497">
        <v>32</v>
      </c>
      <c r="AP8004" s="42"/>
      <c r="AQ8004" s="74"/>
      <c r="AR8004" s="77"/>
      <c r="AT8004" s="497">
        <v>35.06</v>
      </c>
      <c r="AV8004" s="42"/>
      <c r="AW8004" s="74"/>
      <c r="AX8004" s="77"/>
      <c r="BA8004" s="497">
        <v>39.92</v>
      </c>
      <c r="BB8004" s="42"/>
      <c r="BC8004" s="74"/>
      <c r="BD8004" s="77"/>
      <c r="BF8004">
        <v>35.96</v>
      </c>
      <c r="BH8004" s="42"/>
      <c r="BI8004" s="74"/>
      <c r="BJ8004" s="77"/>
      <c r="BL8004" s="497">
        <v>35.96</v>
      </c>
      <c r="BN8004" s="42"/>
      <c r="BO8004" s="74"/>
      <c r="BP8004" s="77"/>
      <c r="BR8004" s="497">
        <v>33.08</v>
      </c>
      <c r="BT8004" s="42"/>
    </row>
    <row r="8005" spans="1:72" x14ac:dyDescent="0.25">
      <c r="A8005" s="90">
        <v>36859</v>
      </c>
      <c r="B8005" s="20">
        <v>0.79166666666666663</v>
      </c>
      <c r="D8005">
        <v>53.06</v>
      </c>
      <c r="E8005" t="str">
        <f t="shared" si="284"/>
        <v>WEEKDAY</v>
      </c>
      <c r="F8005" t="e">
        <f t="shared" si="285"/>
        <v>#N/A</v>
      </c>
      <c r="G8005" s="74">
        <v>28823</v>
      </c>
      <c r="H8005" s="77">
        <v>0.79166666666666663</v>
      </c>
      <c r="J8005">
        <v>44.06</v>
      </c>
      <c r="M8005" s="74">
        <v>36128</v>
      </c>
      <c r="N8005" s="77">
        <v>0.79166666666666663</v>
      </c>
      <c r="P8005">
        <v>48.2</v>
      </c>
      <c r="S8005" s="74">
        <v>36859</v>
      </c>
      <c r="T8005" s="77">
        <v>0.79166666666666663</v>
      </c>
      <c r="V8005">
        <v>42.980000000000004</v>
      </c>
      <c r="X8005" s="42"/>
      <c r="AB8005">
        <v>45</v>
      </c>
      <c r="AC8005">
        <v>42.980000000000004</v>
      </c>
      <c r="AE8005" s="74"/>
      <c r="AF8005" s="77"/>
      <c r="AH8005" s="497">
        <v>44.6</v>
      </c>
      <c r="AJ8005" s="42"/>
      <c r="AK8005" s="74"/>
      <c r="AL8005" s="77"/>
      <c r="AN8005" s="497">
        <v>33.08</v>
      </c>
      <c r="AP8005" s="42"/>
      <c r="AQ8005" s="74"/>
      <c r="AR8005" s="77"/>
      <c r="AT8005" s="497">
        <v>33.979999999999997</v>
      </c>
      <c r="AV8005" s="42"/>
      <c r="AW8005" s="74"/>
      <c r="AX8005" s="77"/>
      <c r="BA8005" s="497">
        <v>41</v>
      </c>
      <c r="BB8005" s="42"/>
      <c r="BC8005" s="74"/>
      <c r="BD8005" s="77"/>
      <c r="BF8005">
        <v>35.96</v>
      </c>
      <c r="BH8005" s="42"/>
      <c r="BI8005" s="74"/>
      <c r="BJ8005" s="77"/>
      <c r="BL8005" s="497">
        <v>35.96</v>
      </c>
      <c r="BN8005" s="42"/>
      <c r="BO8005" s="74"/>
      <c r="BP8005" s="77"/>
      <c r="BR8005" s="497">
        <v>33.08</v>
      </c>
      <c r="BT8005" s="42"/>
    </row>
    <row r="8006" spans="1:72" x14ac:dyDescent="0.25">
      <c r="A8006" s="90">
        <v>36859</v>
      </c>
      <c r="B8006" s="20">
        <v>0.83333333333333337</v>
      </c>
      <c r="D8006">
        <v>53.06</v>
      </c>
      <c r="E8006" t="str">
        <f t="shared" si="284"/>
        <v>WEEKDAY</v>
      </c>
      <c r="F8006" t="e">
        <f t="shared" si="285"/>
        <v>#N/A</v>
      </c>
      <c r="G8006" s="74">
        <v>28823</v>
      </c>
      <c r="H8006" s="77">
        <v>0.83333333333333337</v>
      </c>
      <c r="J8006">
        <v>42.980000000000004</v>
      </c>
      <c r="M8006" s="74">
        <v>36128</v>
      </c>
      <c r="N8006" s="77">
        <v>0.83333333333333337</v>
      </c>
      <c r="P8006">
        <v>46.4</v>
      </c>
      <c r="S8006" s="74">
        <v>36859</v>
      </c>
      <c r="T8006" s="77">
        <v>0.83333333333333337</v>
      </c>
      <c r="V8006">
        <v>46.04</v>
      </c>
      <c r="X8006" s="42"/>
      <c r="AB8006">
        <v>44.7</v>
      </c>
      <c r="AC8006">
        <v>42.980000000000004</v>
      </c>
      <c r="AE8006" s="74"/>
      <c r="AF8006" s="77"/>
      <c r="AH8006" s="497">
        <v>44.6</v>
      </c>
      <c r="AJ8006" s="42"/>
      <c r="AK8006" s="74"/>
      <c r="AL8006" s="77"/>
      <c r="AN8006" s="497">
        <v>30.92</v>
      </c>
      <c r="AP8006" s="42"/>
      <c r="AQ8006" s="74"/>
      <c r="AR8006" s="77"/>
      <c r="AT8006" s="497">
        <v>33.979999999999997</v>
      </c>
      <c r="AV8006" s="42"/>
      <c r="AW8006" s="74"/>
      <c r="AX8006" s="77"/>
      <c r="BA8006" s="497">
        <v>41</v>
      </c>
      <c r="BB8006" s="42"/>
      <c r="BC8006" s="74"/>
      <c r="BD8006" s="77"/>
      <c r="BF8006">
        <v>35.06</v>
      </c>
      <c r="BH8006" s="42"/>
      <c r="BI8006" s="74"/>
      <c r="BJ8006" s="77"/>
      <c r="BL8006" s="497">
        <v>35.06</v>
      </c>
      <c r="BN8006" s="42"/>
      <c r="BO8006" s="74"/>
      <c r="BP8006" s="77"/>
      <c r="BR8006" s="497">
        <v>33.979999999999997</v>
      </c>
      <c r="BT8006" s="42"/>
    </row>
    <row r="8007" spans="1:72" x14ac:dyDescent="0.25">
      <c r="A8007" s="90">
        <v>36859</v>
      </c>
      <c r="B8007" s="20">
        <v>0.875</v>
      </c>
      <c r="D8007">
        <v>51.980000000000004</v>
      </c>
      <c r="E8007" t="str">
        <f t="shared" si="284"/>
        <v>WEEKDAY</v>
      </c>
      <c r="F8007" t="e">
        <f t="shared" si="285"/>
        <v>#N/A</v>
      </c>
      <c r="G8007" s="74">
        <v>28823</v>
      </c>
      <c r="H8007" s="77">
        <v>0.875</v>
      </c>
      <c r="J8007">
        <v>42.08</v>
      </c>
      <c r="M8007" s="74">
        <v>36128</v>
      </c>
      <c r="N8007" s="77">
        <v>0.875</v>
      </c>
      <c r="P8007">
        <v>46.4</v>
      </c>
      <c r="S8007" s="74">
        <v>36859</v>
      </c>
      <c r="T8007" s="77">
        <v>0.875</v>
      </c>
      <c r="V8007">
        <v>42.08</v>
      </c>
      <c r="X8007" s="42"/>
      <c r="AB8007">
        <v>44.2</v>
      </c>
      <c r="AC8007">
        <v>42.08</v>
      </c>
      <c r="AE8007" s="74"/>
      <c r="AF8007" s="77"/>
      <c r="AH8007" s="497">
        <v>44.6</v>
      </c>
      <c r="AJ8007" s="42"/>
      <c r="AK8007" s="74"/>
      <c r="AL8007" s="77"/>
      <c r="AN8007" s="497">
        <v>30.02</v>
      </c>
      <c r="AP8007" s="42"/>
      <c r="AQ8007" s="74"/>
      <c r="AR8007" s="77"/>
      <c r="AT8007" s="497">
        <v>33.979999999999997</v>
      </c>
      <c r="AV8007" s="42"/>
      <c r="AW8007" s="74"/>
      <c r="AX8007" s="77"/>
      <c r="BA8007" s="497">
        <v>42.08</v>
      </c>
      <c r="BB8007" s="42"/>
      <c r="BC8007" s="74"/>
      <c r="BD8007" s="77"/>
      <c r="BF8007">
        <v>33.979999999999997</v>
      </c>
      <c r="BH8007" s="42"/>
      <c r="BI8007" s="74"/>
      <c r="BJ8007" s="77"/>
      <c r="BL8007" s="497">
        <v>33.979999999999997</v>
      </c>
      <c r="BN8007" s="42"/>
      <c r="BO8007" s="74"/>
      <c r="BP8007" s="77"/>
      <c r="BR8007" s="497">
        <v>33.979999999999997</v>
      </c>
      <c r="BT8007" s="42"/>
    </row>
    <row r="8008" spans="1:72" x14ac:dyDescent="0.25">
      <c r="A8008" s="90">
        <v>36859</v>
      </c>
      <c r="B8008" s="20">
        <v>0.91666666666666663</v>
      </c>
      <c r="D8008">
        <v>51.980000000000004</v>
      </c>
      <c r="E8008" t="str">
        <f t="shared" si="284"/>
        <v>WEEKDAY</v>
      </c>
      <c r="F8008" t="e">
        <f t="shared" si="285"/>
        <v>#N/A</v>
      </c>
      <c r="G8008" s="74">
        <v>28823</v>
      </c>
      <c r="H8008" s="77">
        <v>0.91666666666666663</v>
      </c>
      <c r="J8008">
        <v>42.08</v>
      </c>
      <c r="M8008" s="74">
        <v>36128</v>
      </c>
      <c r="N8008" s="77">
        <v>0.91666666666666663</v>
      </c>
      <c r="P8008">
        <v>48.2</v>
      </c>
      <c r="S8008" s="74">
        <v>36859</v>
      </c>
      <c r="T8008" s="77">
        <v>0.91666666666666663</v>
      </c>
      <c r="V8008">
        <v>39.200000000000003</v>
      </c>
      <c r="X8008" s="42"/>
      <c r="AB8008">
        <v>43.6</v>
      </c>
      <c r="AC8008">
        <v>39.92</v>
      </c>
      <c r="AE8008" s="74"/>
      <c r="AF8008" s="77"/>
      <c r="AH8008" s="497">
        <v>44.6</v>
      </c>
      <c r="AJ8008" s="42"/>
      <c r="AK8008" s="74"/>
      <c r="AL8008" s="77"/>
      <c r="AN8008" s="497">
        <v>30.02</v>
      </c>
      <c r="AP8008" s="42"/>
      <c r="AQ8008" s="74"/>
      <c r="AR8008" s="77"/>
      <c r="AT8008" s="497">
        <v>33.979999999999997</v>
      </c>
      <c r="AV8008" s="42"/>
      <c r="AW8008" s="74"/>
      <c r="AX8008" s="77"/>
      <c r="BA8008" s="497">
        <v>42.980000000000004</v>
      </c>
      <c r="BB8008" s="42"/>
      <c r="BC8008" s="74"/>
      <c r="BD8008" s="77"/>
      <c r="BF8008">
        <v>33.08</v>
      </c>
      <c r="BH8008" s="42"/>
      <c r="BI8008" s="74"/>
      <c r="BJ8008" s="77"/>
      <c r="BL8008" s="497">
        <v>35.06</v>
      </c>
      <c r="BN8008" s="42"/>
      <c r="BO8008" s="74"/>
      <c r="BP8008" s="77"/>
      <c r="BR8008" s="497">
        <v>35.06</v>
      </c>
      <c r="BT8008" s="42"/>
    </row>
    <row r="8009" spans="1:72" x14ac:dyDescent="0.25">
      <c r="A8009" s="90">
        <v>36859</v>
      </c>
      <c r="B8009" s="20">
        <v>0.95833333333333337</v>
      </c>
      <c r="D8009">
        <v>51.980000000000004</v>
      </c>
      <c r="E8009" t="str">
        <f t="shared" si="284"/>
        <v>WEEKDAY</v>
      </c>
      <c r="F8009" t="e">
        <f t="shared" si="285"/>
        <v>#N/A</v>
      </c>
      <c r="G8009" s="74">
        <v>28823</v>
      </c>
      <c r="H8009" s="77">
        <v>0.95833333333333337</v>
      </c>
      <c r="J8009">
        <v>39.92</v>
      </c>
      <c r="M8009" s="74">
        <v>36128</v>
      </c>
      <c r="N8009" s="77">
        <v>0.95833333333333337</v>
      </c>
      <c r="P8009">
        <v>48.2</v>
      </c>
      <c r="S8009" s="74">
        <v>36859</v>
      </c>
      <c r="T8009" s="77">
        <v>0.95833333333333337</v>
      </c>
      <c r="V8009">
        <v>39.92</v>
      </c>
      <c r="X8009" s="42"/>
      <c r="AB8009">
        <v>43.2</v>
      </c>
      <c r="AC8009">
        <v>39.019999999999996</v>
      </c>
      <c r="AE8009" s="74"/>
      <c r="AF8009" s="77"/>
      <c r="AH8009" s="497">
        <v>46.4</v>
      </c>
      <c r="AJ8009" s="42"/>
      <c r="AK8009" s="74"/>
      <c r="AL8009" s="77"/>
      <c r="AN8009" s="497">
        <v>30.02</v>
      </c>
      <c r="AP8009" s="42"/>
      <c r="AQ8009" s="74"/>
      <c r="AR8009" s="77"/>
      <c r="AT8009" s="497">
        <v>32</v>
      </c>
      <c r="AV8009" s="42"/>
      <c r="AW8009" s="74"/>
      <c r="AX8009" s="77"/>
      <c r="BA8009" s="497">
        <v>42.980000000000004</v>
      </c>
      <c r="BB8009" s="42"/>
      <c r="BC8009" s="74"/>
      <c r="BD8009" s="77"/>
      <c r="BF8009">
        <v>33.08</v>
      </c>
      <c r="BH8009" s="42"/>
      <c r="BI8009" s="74"/>
      <c r="BJ8009" s="77"/>
      <c r="BL8009" s="497">
        <v>35.06</v>
      </c>
      <c r="BN8009" s="42"/>
      <c r="BO8009" s="74"/>
      <c r="BP8009" s="77"/>
      <c r="BR8009" s="497">
        <v>35.06</v>
      </c>
      <c r="BT8009" s="42"/>
    </row>
    <row r="8010" spans="1:72" x14ac:dyDescent="0.25">
      <c r="A8010" s="90">
        <v>36859</v>
      </c>
      <c r="B8010" s="20">
        <v>1</v>
      </c>
      <c r="D8010">
        <v>51.08</v>
      </c>
      <c r="E8010" t="str">
        <f t="shared" si="284"/>
        <v>WEEKDAY</v>
      </c>
      <c r="F8010" t="e">
        <f t="shared" si="285"/>
        <v>#N/A</v>
      </c>
      <c r="G8010" s="74">
        <v>28823</v>
      </c>
      <c r="H8010" s="77">
        <v>1</v>
      </c>
      <c r="J8010">
        <v>39.92</v>
      </c>
      <c r="M8010" s="74">
        <v>36128</v>
      </c>
      <c r="N8010" s="80">
        <v>1</v>
      </c>
      <c r="P8010">
        <v>48.2</v>
      </c>
      <c r="S8010" s="74">
        <v>36859</v>
      </c>
      <c r="T8010" s="80">
        <v>1</v>
      </c>
      <c r="V8010">
        <v>41</v>
      </c>
      <c r="X8010" s="42"/>
      <c r="AB8010">
        <v>42.8</v>
      </c>
      <c r="AC8010">
        <v>37.04</v>
      </c>
      <c r="AE8010" s="74"/>
      <c r="AF8010" s="80"/>
      <c r="AH8010" s="497">
        <v>46.4</v>
      </c>
      <c r="AJ8010" s="42"/>
      <c r="AK8010" s="74"/>
      <c r="AL8010" s="80"/>
      <c r="AN8010" s="497">
        <v>30.02</v>
      </c>
      <c r="AP8010" s="42"/>
      <c r="AQ8010" s="74"/>
      <c r="AR8010" s="80"/>
      <c r="AT8010" s="497">
        <v>33.979999999999997</v>
      </c>
      <c r="AV8010" s="42"/>
      <c r="AW8010" s="74"/>
      <c r="AX8010" s="80"/>
      <c r="BA8010" s="497">
        <v>42.980000000000004</v>
      </c>
      <c r="BB8010" s="42"/>
      <c r="BC8010" s="74"/>
      <c r="BD8010" s="80"/>
      <c r="BF8010">
        <v>35.06</v>
      </c>
      <c r="BH8010" s="42"/>
      <c r="BI8010" s="74"/>
      <c r="BJ8010" s="80"/>
      <c r="BL8010" s="497">
        <v>35.06</v>
      </c>
      <c r="BN8010" s="42"/>
      <c r="BO8010" s="74"/>
      <c r="BP8010" s="80"/>
      <c r="BR8010" s="497">
        <v>35.96</v>
      </c>
      <c r="BT8010" s="42"/>
    </row>
    <row r="8011" spans="1:72" x14ac:dyDescent="0.25">
      <c r="A8011" s="90">
        <v>36860</v>
      </c>
      <c r="B8011" s="20">
        <v>4.1666666666666664E-2</v>
      </c>
      <c r="D8011">
        <v>50</v>
      </c>
      <c r="E8011" t="str">
        <f t="shared" si="284"/>
        <v>WEEKDAY</v>
      </c>
      <c r="F8011" t="e">
        <f t="shared" si="285"/>
        <v>#N/A</v>
      </c>
      <c r="G8011" s="74">
        <v>28824</v>
      </c>
      <c r="H8011" s="77">
        <v>4.1666666666666664E-2</v>
      </c>
      <c r="J8011">
        <v>39.92</v>
      </c>
      <c r="M8011" s="74">
        <v>36129</v>
      </c>
      <c r="N8011" s="77">
        <v>4.1666666666666664E-2</v>
      </c>
      <c r="P8011">
        <v>48.2</v>
      </c>
      <c r="S8011" s="74">
        <v>36860</v>
      </c>
      <c r="T8011" s="77">
        <v>4.1666666666666664E-2</v>
      </c>
      <c r="V8011">
        <v>42.08</v>
      </c>
      <c r="X8011" s="42"/>
      <c r="AB8011">
        <v>42.4</v>
      </c>
      <c r="AC8011">
        <v>37.94</v>
      </c>
      <c r="AE8011" s="74"/>
      <c r="AF8011" s="77"/>
      <c r="AH8011" s="497">
        <v>46.4</v>
      </c>
      <c r="AJ8011" s="42"/>
      <c r="AK8011" s="74"/>
      <c r="AL8011" s="77"/>
      <c r="AN8011" s="497">
        <v>30.02</v>
      </c>
      <c r="AP8011" s="42"/>
      <c r="AQ8011" s="74"/>
      <c r="AR8011" s="77"/>
      <c r="AT8011" s="497">
        <v>33.979999999999997</v>
      </c>
      <c r="AV8011" s="42"/>
      <c r="AW8011" s="74"/>
      <c r="AX8011" s="77"/>
      <c r="BA8011" s="497">
        <v>42.980000000000004</v>
      </c>
      <c r="BB8011" s="42"/>
      <c r="BC8011" s="74"/>
      <c r="BD8011" s="77"/>
      <c r="BF8011">
        <v>35.06</v>
      </c>
      <c r="BH8011" s="42"/>
      <c r="BI8011" s="74"/>
      <c r="BJ8011" s="77"/>
      <c r="BL8011" s="497">
        <v>35.96</v>
      </c>
      <c r="BN8011" s="42"/>
      <c r="BO8011" s="74"/>
      <c r="BP8011" s="77"/>
      <c r="BR8011" s="497">
        <v>35.96</v>
      </c>
      <c r="BT8011" s="42"/>
    </row>
    <row r="8012" spans="1:72" x14ac:dyDescent="0.25">
      <c r="A8012" s="90">
        <v>36860</v>
      </c>
      <c r="B8012" s="20">
        <v>8.3333333333333329E-2</v>
      </c>
      <c r="D8012">
        <v>48.92</v>
      </c>
      <c r="E8012" t="str">
        <f t="shared" si="284"/>
        <v>WEEKDAY</v>
      </c>
      <c r="F8012" t="e">
        <f t="shared" si="285"/>
        <v>#N/A</v>
      </c>
      <c r="G8012" s="74">
        <v>28824</v>
      </c>
      <c r="H8012" s="77">
        <v>8.3333333333333329E-2</v>
      </c>
      <c r="J8012">
        <v>39.92</v>
      </c>
      <c r="M8012" s="74">
        <v>36129</v>
      </c>
      <c r="N8012" s="77">
        <v>8.3333333333333329E-2</v>
      </c>
      <c r="P8012">
        <v>48.2</v>
      </c>
      <c r="S8012" s="74">
        <v>36860</v>
      </c>
      <c r="T8012" s="77">
        <v>8.3333333333333329E-2</v>
      </c>
      <c r="V8012">
        <v>41</v>
      </c>
      <c r="X8012" s="42"/>
      <c r="AB8012">
        <v>41.9</v>
      </c>
      <c r="AC8012">
        <v>39.019999999999996</v>
      </c>
      <c r="AE8012" s="74"/>
      <c r="AF8012" s="77"/>
      <c r="AH8012" s="497">
        <v>46.4</v>
      </c>
      <c r="AJ8012" s="42"/>
      <c r="AK8012" s="74"/>
      <c r="AL8012" s="77"/>
      <c r="AN8012" s="497">
        <v>30.02</v>
      </c>
      <c r="AP8012" s="42"/>
      <c r="AQ8012" s="74"/>
      <c r="AR8012" s="77"/>
      <c r="AT8012" s="497">
        <v>33.979999999999997</v>
      </c>
      <c r="AV8012" s="42"/>
      <c r="AW8012" s="74"/>
      <c r="AX8012" s="77"/>
      <c r="BA8012" s="497">
        <v>44.06</v>
      </c>
      <c r="BB8012" s="42"/>
      <c r="BC8012" s="74"/>
      <c r="BD8012" s="77"/>
      <c r="BF8012">
        <v>35.96</v>
      </c>
      <c r="BH8012" s="42"/>
      <c r="BI8012" s="74"/>
      <c r="BJ8012" s="77"/>
      <c r="BL8012" s="497">
        <v>35.96</v>
      </c>
      <c r="BN8012" s="42"/>
      <c r="BO8012" s="74"/>
      <c r="BP8012" s="77"/>
      <c r="BR8012" s="497">
        <v>35.96</v>
      </c>
      <c r="BT8012" s="42"/>
    </row>
    <row r="8013" spans="1:72" x14ac:dyDescent="0.25">
      <c r="A8013" s="90">
        <v>36860</v>
      </c>
      <c r="B8013" s="20">
        <v>0.125</v>
      </c>
      <c r="D8013">
        <v>48.019999999999996</v>
      </c>
      <c r="E8013" t="str">
        <f t="shared" si="284"/>
        <v>WEEKDAY</v>
      </c>
      <c r="F8013" t="e">
        <f t="shared" si="285"/>
        <v>#N/A</v>
      </c>
      <c r="G8013" s="74">
        <v>28824</v>
      </c>
      <c r="H8013" s="77">
        <v>0.125</v>
      </c>
      <c r="J8013">
        <v>39.92</v>
      </c>
      <c r="M8013" s="74">
        <v>36129</v>
      </c>
      <c r="N8013" s="77">
        <v>0.125</v>
      </c>
      <c r="P8013">
        <v>48.2</v>
      </c>
      <c r="S8013" s="74">
        <v>36860</v>
      </c>
      <c r="T8013" s="77">
        <v>0.125</v>
      </c>
      <c r="V8013">
        <v>41</v>
      </c>
      <c r="X8013" s="42"/>
      <c r="AB8013">
        <v>41.5</v>
      </c>
      <c r="AC8013">
        <v>39.92</v>
      </c>
      <c r="AE8013" s="74"/>
      <c r="AF8013" s="77"/>
      <c r="AH8013" s="497">
        <v>46.4</v>
      </c>
      <c r="AJ8013" s="42"/>
      <c r="AK8013" s="74"/>
      <c r="AL8013" s="77"/>
      <c r="AN8013" s="497">
        <v>28.94</v>
      </c>
      <c r="AP8013" s="42"/>
      <c r="AQ8013" s="74"/>
      <c r="AR8013" s="77"/>
      <c r="AT8013" s="497">
        <v>33.979999999999997</v>
      </c>
      <c r="AV8013" s="42"/>
      <c r="AW8013" s="74"/>
      <c r="AX8013" s="77"/>
      <c r="BA8013" s="497">
        <v>44.06</v>
      </c>
      <c r="BB8013" s="42"/>
      <c r="BC8013" s="74"/>
      <c r="BD8013" s="77"/>
      <c r="BF8013">
        <v>37.94</v>
      </c>
      <c r="BH8013" s="42"/>
      <c r="BI8013" s="74"/>
      <c r="BJ8013" s="77"/>
      <c r="BL8013" s="497">
        <v>35.96</v>
      </c>
      <c r="BN8013" s="42"/>
      <c r="BO8013" s="74"/>
      <c r="BP8013" s="77"/>
      <c r="BR8013" s="497">
        <v>35.96</v>
      </c>
      <c r="BT8013" s="42"/>
    </row>
    <row r="8014" spans="1:72" x14ac:dyDescent="0.25">
      <c r="A8014" s="90">
        <v>36860</v>
      </c>
      <c r="B8014" s="20">
        <v>0.16666666666666666</v>
      </c>
      <c r="D8014">
        <v>46.94</v>
      </c>
      <c r="E8014" t="str">
        <f t="shared" si="284"/>
        <v>WEEKDAY</v>
      </c>
      <c r="F8014" t="e">
        <f t="shared" si="285"/>
        <v>#N/A</v>
      </c>
      <c r="G8014" s="74">
        <v>28824</v>
      </c>
      <c r="H8014" s="77">
        <v>0.16666666666666666</v>
      </c>
      <c r="J8014">
        <v>39.019999999999996</v>
      </c>
      <c r="M8014" s="74">
        <v>36129</v>
      </c>
      <c r="N8014" s="77">
        <v>0.16666666666666666</v>
      </c>
      <c r="P8014">
        <v>46.4</v>
      </c>
      <c r="S8014" s="74">
        <v>36860</v>
      </c>
      <c r="T8014" s="77">
        <v>0.16666666666666666</v>
      </c>
      <c r="V8014">
        <v>41</v>
      </c>
      <c r="X8014" s="42"/>
      <c r="AB8014">
        <v>41.2</v>
      </c>
      <c r="AC8014">
        <v>39.019999999999996</v>
      </c>
      <c r="AE8014" s="74"/>
      <c r="AF8014" s="77"/>
      <c r="AH8014" s="497">
        <v>48.2</v>
      </c>
      <c r="AJ8014" s="42"/>
      <c r="AK8014" s="74"/>
      <c r="AL8014" s="77"/>
      <c r="AN8014" s="497">
        <v>32</v>
      </c>
      <c r="AP8014" s="42"/>
      <c r="AQ8014" s="74"/>
      <c r="AR8014" s="77"/>
      <c r="AT8014" s="497">
        <v>33.979999999999997</v>
      </c>
      <c r="AV8014" s="42"/>
      <c r="AW8014" s="74"/>
      <c r="AX8014" s="77"/>
      <c r="BA8014" s="497">
        <v>44.06</v>
      </c>
      <c r="BB8014" s="42"/>
      <c r="BC8014" s="74"/>
      <c r="BD8014" s="77"/>
      <c r="BF8014">
        <v>41</v>
      </c>
      <c r="BH8014" s="42"/>
      <c r="BI8014" s="74"/>
      <c r="BJ8014" s="77"/>
      <c r="BL8014" s="497">
        <v>37.94</v>
      </c>
      <c r="BN8014" s="42"/>
      <c r="BO8014" s="74"/>
      <c r="BP8014" s="77"/>
      <c r="BR8014" s="497">
        <v>35.96</v>
      </c>
      <c r="BT8014" s="42"/>
    </row>
    <row r="8015" spans="1:72" x14ac:dyDescent="0.25">
      <c r="A8015" s="90">
        <v>36860</v>
      </c>
      <c r="B8015" s="20">
        <v>0.20833333333333334</v>
      </c>
      <c r="D8015">
        <v>46.94</v>
      </c>
      <c r="E8015" t="str">
        <f t="shared" si="284"/>
        <v>WEEKDAY</v>
      </c>
      <c r="F8015" t="e">
        <f t="shared" si="285"/>
        <v>#N/A</v>
      </c>
      <c r="G8015" s="74">
        <v>28824</v>
      </c>
      <c r="H8015" s="77">
        <v>0.20833333333333334</v>
      </c>
      <c r="J8015">
        <v>39.019999999999996</v>
      </c>
      <c r="M8015" s="74">
        <v>36129</v>
      </c>
      <c r="N8015" s="77">
        <v>0.20833333333333334</v>
      </c>
      <c r="P8015">
        <v>46.4</v>
      </c>
      <c r="S8015" s="74">
        <v>36860</v>
      </c>
      <c r="T8015" s="77">
        <v>0.20833333333333334</v>
      </c>
      <c r="V8015">
        <v>41</v>
      </c>
      <c r="X8015" s="42"/>
      <c r="AB8015">
        <v>40.799999999999997</v>
      </c>
      <c r="AC8015">
        <v>39.019999999999996</v>
      </c>
      <c r="AE8015" s="74"/>
      <c r="AF8015" s="77"/>
      <c r="AH8015" s="497">
        <v>46.4</v>
      </c>
      <c r="AJ8015" s="42"/>
      <c r="AK8015" s="74"/>
      <c r="AL8015" s="77"/>
      <c r="AN8015" s="497">
        <v>32</v>
      </c>
      <c r="AP8015" s="42"/>
      <c r="AQ8015" s="74"/>
      <c r="AR8015" s="77"/>
      <c r="AT8015" s="497">
        <v>33.08</v>
      </c>
      <c r="AV8015" s="42"/>
      <c r="AW8015" s="74"/>
      <c r="AX8015" s="77"/>
      <c r="BA8015" s="497">
        <v>44.06</v>
      </c>
      <c r="BB8015" s="42"/>
      <c r="BC8015" s="74"/>
      <c r="BD8015" s="77"/>
      <c r="BF8015">
        <v>41</v>
      </c>
      <c r="BH8015" s="42"/>
      <c r="BI8015" s="74"/>
      <c r="BJ8015" s="77"/>
      <c r="BL8015" s="497">
        <v>39.019999999999996</v>
      </c>
      <c r="BN8015" s="42"/>
      <c r="BO8015" s="74"/>
      <c r="BP8015" s="77"/>
      <c r="BR8015" s="497">
        <v>35.96</v>
      </c>
      <c r="BT8015" s="42"/>
    </row>
    <row r="8016" spans="1:72" x14ac:dyDescent="0.25">
      <c r="A8016" s="90">
        <v>36860</v>
      </c>
      <c r="B8016" s="20">
        <v>0.25</v>
      </c>
      <c r="D8016">
        <v>48.019999999999996</v>
      </c>
      <c r="E8016" t="str">
        <f t="shared" si="284"/>
        <v>WEEKDAY</v>
      </c>
      <c r="F8016" t="e">
        <f t="shared" si="285"/>
        <v>#N/A</v>
      </c>
      <c r="G8016" s="74">
        <v>28824</v>
      </c>
      <c r="H8016" s="77">
        <v>0.25</v>
      </c>
      <c r="J8016">
        <v>39.019999999999996</v>
      </c>
      <c r="M8016" s="74">
        <v>36129</v>
      </c>
      <c r="N8016" s="77">
        <v>0.25</v>
      </c>
      <c r="P8016">
        <v>46.4</v>
      </c>
      <c r="S8016" s="74">
        <v>36860</v>
      </c>
      <c r="T8016" s="77">
        <v>0.25</v>
      </c>
      <c r="V8016">
        <v>41</v>
      </c>
      <c r="X8016" s="42"/>
      <c r="AB8016">
        <v>40.6</v>
      </c>
      <c r="AC8016">
        <v>39.019999999999996</v>
      </c>
      <c r="AE8016" s="74"/>
      <c r="AF8016" s="77"/>
      <c r="AH8016" s="497">
        <v>48.2</v>
      </c>
      <c r="AJ8016" s="42"/>
      <c r="AK8016" s="74"/>
      <c r="AL8016" s="77"/>
      <c r="AN8016" s="497">
        <v>33.08</v>
      </c>
      <c r="AP8016" s="42"/>
      <c r="AQ8016" s="74"/>
      <c r="AR8016" s="77"/>
      <c r="AT8016" s="497">
        <v>33.979999999999997</v>
      </c>
      <c r="AV8016" s="42"/>
      <c r="AW8016" s="74"/>
      <c r="AX8016" s="77"/>
      <c r="BA8016" s="497">
        <v>44.06</v>
      </c>
      <c r="BB8016" s="42"/>
      <c r="BC8016" s="74"/>
      <c r="BD8016" s="77"/>
      <c r="BF8016">
        <v>41</v>
      </c>
      <c r="BH8016" s="42"/>
      <c r="BI8016" s="74"/>
      <c r="BJ8016" s="77"/>
      <c r="BL8016" s="497">
        <v>39.92</v>
      </c>
      <c r="BN8016" s="42"/>
      <c r="BO8016" s="74"/>
      <c r="BP8016" s="77"/>
      <c r="BR8016" s="497">
        <v>35.96</v>
      </c>
      <c r="BT8016" s="42"/>
    </row>
    <row r="8017" spans="1:72" x14ac:dyDescent="0.25">
      <c r="A8017" s="90">
        <v>36860</v>
      </c>
      <c r="B8017" s="20">
        <v>0.29166666666666669</v>
      </c>
      <c r="D8017">
        <v>48.019999999999996</v>
      </c>
      <c r="E8017" t="str">
        <f t="shared" si="284"/>
        <v>WEEKDAY</v>
      </c>
      <c r="F8017" t="e">
        <f t="shared" si="285"/>
        <v>#N/A</v>
      </c>
      <c r="G8017" s="74">
        <v>28824</v>
      </c>
      <c r="H8017" s="77">
        <v>0.29166666666666669</v>
      </c>
      <c r="J8017">
        <v>39.92</v>
      </c>
      <c r="M8017" s="74">
        <v>36129</v>
      </c>
      <c r="N8017" s="77">
        <v>0.29166666666666669</v>
      </c>
      <c r="P8017">
        <v>46.4</v>
      </c>
      <c r="S8017" s="74">
        <v>36860</v>
      </c>
      <c r="T8017" s="77">
        <v>0.29166666666666669</v>
      </c>
      <c r="V8017">
        <v>41</v>
      </c>
      <c r="X8017" s="42"/>
      <c r="AB8017">
        <v>40.5</v>
      </c>
      <c r="AC8017">
        <v>37.94</v>
      </c>
      <c r="AE8017" s="74"/>
      <c r="AF8017" s="77"/>
      <c r="AH8017" s="497">
        <v>48.2</v>
      </c>
      <c r="AJ8017" s="42"/>
      <c r="AK8017" s="74"/>
      <c r="AL8017" s="77"/>
      <c r="AN8017" s="497">
        <v>33.08</v>
      </c>
      <c r="AP8017" s="42"/>
      <c r="AQ8017" s="74"/>
      <c r="AR8017" s="77"/>
      <c r="AT8017" s="497">
        <v>33.08</v>
      </c>
      <c r="AV8017" s="42"/>
      <c r="AW8017" s="74"/>
      <c r="AX8017" s="77"/>
      <c r="BA8017" s="497">
        <v>44.06</v>
      </c>
      <c r="BB8017" s="42"/>
      <c r="BC8017" s="74"/>
      <c r="BD8017" s="77"/>
      <c r="BF8017">
        <v>41</v>
      </c>
      <c r="BH8017" s="42"/>
      <c r="BI8017" s="74"/>
      <c r="BJ8017" s="77"/>
      <c r="BL8017" s="497">
        <v>39.92</v>
      </c>
      <c r="BN8017" s="42"/>
      <c r="BO8017" s="74"/>
      <c r="BP8017" s="77"/>
      <c r="BR8017" s="497">
        <v>37.04</v>
      </c>
      <c r="BT8017" s="42"/>
    </row>
    <row r="8018" spans="1:72" x14ac:dyDescent="0.25">
      <c r="A8018" s="90">
        <v>36860</v>
      </c>
      <c r="B8018" s="20">
        <v>0.33333333333333331</v>
      </c>
      <c r="D8018">
        <v>48.019999999999996</v>
      </c>
      <c r="E8018" t="str">
        <f t="shared" si="284"/>
        <v>WEEKDAY</v>
      </c>
      <c r="F8018" t="e">
        <f t="shared" si="285"/>
        <v>#N/A</v>
      </c>
      <c r="G8018" s="74">
        <v>28824</v>
      </c>
      <c r="H8018" s="77">
        <v>0.33333333333333331</v>
      </c>
      <c r="J8018">
        <v>39.92</v>
      </c>
      <c r="M8018" s="74">
        <v>36129</v>
      </c>
      <c r="N8018" s="77">
        <v>0.33333333333333331</v>
      </c>
      <c r="P8018">
        <v>46.4</v>
      </c>
      <c r="S8018" s="74">
        <v>36860</v>
      </c>
      <c r="T8018" s="77">
        <v>0.33333333333333331</v>
      </c>
      <c r="V8018">
        <v>41</v>
      </c>
      <c r="X8018" s="42"/>
      <c r="AB8018">
        <v>40.5</v>
      </c>
      <c r="AC8018">
        <v>39.019999999999996</v>
      </c>
      <c r="AE8018" s="74"/>
      <c r="AF8018" s="77"/>
      <c r="AH8018" s="497">
        <v>48.2</v>
      </c>
      <c r="AJ8018" s="42"/>
      <c r="AK8018" s="74"/>
      <c r="AL8018" s="77"/>
      <c r="AN8018" s="497">
        <v>33.08</v>
      </c>
      <c r="AP8018" s="42"/>
      <c r="AQ8018" s="74"/>
      <c r="AR8018" s="77"/>
      <c r="AT8018" s="497">
        <v>32</v>
      </c>
      <c r="AV8018" s="42"/>
      <c r="AW8018" s="74"/>
      <c r="AX8018" s="77"/>
      <c r="BA8018" s="497">
        <v>44.06</v>
      </c>
      <c r="BB8018" s="42"/>
      <c r="BC8018" s="74"/>
      <c r="BD8018" s="77"/>
      <c r="BF8018">
        <v>42.08</v>
      </c>
      <c r="BH8018" s="42"/>
      <c r="BI8018" s="74"/>
      <c r="BJ8018" s="77"/>
      <c r="BL8018" s="497">
        <v>39.92</v>
      </c>
      <c r="BN8018" s="42"/>
      <c r="BO8018" s="74"/>
      <c r="BP8018" s="77"/>
      <c r="BR8018" s="497">
        <v>35.96</v>
      </c>
      <c r="BT8018" s="42"/>
    </row>
    <row r="8019" spans="1:72" x14ac:dyDescent="0.25">
      <c r="A8019" s="90">
        <v>36860</v>
      </c>
      <c r="B8019" s="20">
        <v>0.375</v>
      </c>
      <c r="D8019">
        <v>48.019999999999996</v>
      </c>
      <c r="E8019" t="str">
        <f t="shared" ref="E8019:E8082" si="286">IF(COUNTIF($DI$18:$DI$22, WEEKDAY(A8019))=1, "WEEKDAY", IF(WEEKDAY(A8019) = 1, "SUNDAY", "SATURDAY"))</f>
        <v>WEEKDAY</v>
      </c>
      <c r="F8019" t="e">
        <f t="shared" si="285"/>
        <v>#N/A</v>
      </c>
      <c r="G8019" s="74">
        <v>28824</v>
      </c>
      <c r="H8019" s="77">
        <v>0.375</v>
      </c>
      <c r="J8019">
        <v>41</v>
      </c>
      <c r="M8019" s="74">
        <v>36129</v>
      </c>
      <c r="N8019" s="77">
        <v>0.375</v>
      </c>
      <c r="P8019">
        <v>48.2</v>
      </c>
      <c r="S8019" s="74">
        <v>36860</v>
      </c>
      <c r="T8019" s="77">
        <v>0.375</v>
      </c>
      <c r="V8019">
        <v>41</v>
      </c>
      <c r="X8019" s="42"/>
      <c r="AB8019">
        <v>41.4</v>
      </c>
      <c r="AC8019">
        <v>39.019999999999996</v>
      </c>
      <c r="AE8019" s="74"/>
      <c r="AF8019" s="77"/>
      <c r="AH8019" s="497">
        <v>50</v>
      </c>
      <c r="AJ8019" s="42"/>
      <c r="AK8019" s="74"/>
      <c r="AL8019" s="77"/>
      <c r="AN8019" s="497">
        <v>35.96</v>
      </c>
      <c r="AP8019" s="42"/>
      <c r="AQ8019" s="74"/>
      <c r="AR8019" s="77"/>
      <c r="AT8019" s="497">
        <v>35.06</v>
      </c>
      <c r="AV8019" s="42"/>
      <c r="AW8019" s="74"/>
      <c r="AX8019" s="77"/>
      <c r="BA8019" s="497">
        <v>44.06</v>
      </c>
      <c r="BB8019" s="42"/>
      <c r="BC8019" s="74"/>
      <c r="BD8019" s="77"/>
      <c r="BF8019">
        <v>42.08</v>
      </c>
      <c r="BH8019" s="42"/>
      <c r="BI8019" s="74"/>
      <c r="BJ8019" s="77"/>
      <c r="BL8019" s="497">
        <v>41</v>
      </c>
      <c r="BN8019" s="42"/>
      <c r="BO8019" s="74"/>
      <c r="BP8019" s="77"/>
      <c r="BR8019" s="497">
        <v>41</v>
      </c>
      <c r="BT8019" s="42"/>
    </row>
    <row r="8020" spans="1:72" x14ac:dyDescent="0.25">
      <c r="A8020" s="90">
        <v>36860</v>
      </c>
      <c r="B8020" s="20">
        <v>0.41666666666666669</v>
      </c>
      <c r="D8020">
        <v>48.92</v>
      </c>
      <c r="E8020" t="str">
        <f t="shared" si="286"/>
        <v>WEEKDAY</v>
      </c>
      <c r="F8020" t="e">
        <f t="shared" si="285"/>
        <v>#N/A</v>
      </c>
      <c r="G8020" s="74">
        <v>28824</v>
      </c>
      <c r="H8020" s="77">
        <v>0.41666666666666669</v>
      </c>
      <c r="J8020">
        <v>42.980000000000004</v>
      </c>
      <c r="M8020" s="74">
        <v>36129</v>
      </c>
      <c r="N8020" s="77">
        <v>0.41666666666666669</v>
      </c>
      <c r="P8020">
        <v>48.2</v>
      </c>
      <c r="S8020" s="74">
        <v>36860</v>
      </c>
      <c r="T8020" s="77">
        <v>0.41666666666666669</v>
      </c>
      <c r="V8020">
        <v>41</v>
      </c>
      <c r="X8020" s="42"/>
      <c r="AB8020">
        <v>43.1</v>
      </c>
      <c r="AC8020">
        <v>39.92</v>
      </c>
      <c r="AE8020" s="74"/>
      <c r="AF8020" s="77"/>
      <c r="AH8020" s="497">
        <v>57.2</v>
      </c>
      <c r="AJ8020" s="42"/>
      <c r="AK8020" s="74"/>
      <c r="AL8020" s="77"/>
      <c r="AN8020" s="497">
        <v>37.04</v>
      </c>
      <c r="AP8020" s="42"/>
      <c r="AQ8020" s="74"/>
      <c r="AR8020" s="77"/>
      <c r="AT8020" s="497">
        <v>35.96</v>
      </c>
      <c r="AV8020" s="42"/>
      <c r="AW8020" s="74"/>
      <c r="AX8020" s="77"/>
      <c r="BA8020" s="497">
        <v>44.96</v>
      </c>
      <c r="BB8020" s="42"/>
      <c r="BC8020" s="74"/>
      <c r="BD8020" s="77"/>
      <c r="BF8020">
        <v>42.980000000000004</v>
      </c>
      <c r="BH8020" s="42"/>
      <c r="BI8020" s="74"/>
      <c r="BJ8020" s="77"/>
      <c r="BL8020" s="497">
        <v>44.96</v>
      </c>
      <c r="BN8020" s="42"/>
      <c r="BO8020" s="74"/>
      <c r="BP8020" s="77"/>
      <c r="BR8020" s="497">
        <v>41</v>
      </c>
      <c r="BT8020" s="42"/>
    </row>
    <row r="8021" spans="1:72" x14ac:dyDescent="0.25">
      <c r="A8021" s="90">
        <v>36860</v>
      </c>
      <c r="B8021" s="20">
        <v>0.45833333333333331</v>
      </c>
      <c r="D8021">
        <v>50</v>
      </c>
      <c r="E8021" t="str">
        <f t="shared" si="286"/>
        <v>WEEKDAY</v>
      </c>
      <c r="F8021" t="e">
        <f t="shared" si="285"/>
        <v>#N/A</v>
      </c>
      <c r="G8021" s="74">
        <v>28824</v>
      </c>
      <c r="H8021" s="77">
        <v>0.45833333333333331</v>
      </c>
      <c r="J8021">
        <v>44.06</v>
      </c>
      <c r="M8021" s="74">
        <v>36129</v>
      </c>
      <c r="N8021" s="77">
        <v>0.45833333333333331</v>
      </c>
      <c r="P8021">
        <v>50</v>
      </c>
      <c r="S8021" s="74">
        <v>36860</v>
      </c>
      <c r="T8021" s="77">
        <v>0.45833333333333331</v>
      </c>
      <c r="V8021">
        <v>41</v>
      </c>
      <c r="X8021" s="42"/>
      <c r="AB8021">
        <v>44.7</v>
      </c>
      <c r="AC8021">
        <v>42.08</v>
      </c>
      <c r="AE8021" s="74"/>
      <c r="AF8021" s="77"/>
      <c r="AH8021" s="497">
        <v>57.2</v>
      </c>
      <c r="AJ8021" s="42"/>
      <c r="AK8021" s="74"/>
      <c r="AL8021" s="77"/>
      <c r="AN8021" s="497">
        <v>39.92</v>
      </c>
      <c r="AP8021" s="42"/>
      <c r="AQ8021" s="74"/>
      <c r="AR8021" s="77"/>
      <c r="AT8021" s="497">
        <v>37.94</v>
      </c>
      <c r="AV8021" s="42"/>
      <c r="AW8021" s="74"/>
      <c r="AX8021" s="77"/>
      <c r="BA8021" s="497">
        <v>44.06</v>
      </c>
      <c r="BB8021" s="42"/>
      <c r="BC8021" s="74"/>
      <c r="BD8021" s="77"/>
      <c r="BF8021">
        <v>42.980000000000004</v>
      </c>
      <c r="BH8021" s="42"/>
      <c r="BI8021" s="74"/>
      <c r="BJ8021" s="77"/>
      <c r="BL8021" s="497">
        <v>44.96</v>
      </c>
      <c r="BN8021" s="42"/>
      <c r="BO8021" s="74"/>
      <c r="BP8021" s="77"/>
      <c r="BR8021" s="497">
        <v>42.08</v>
      </c>
      <c r="BT8021" s="42"/>
    </row>
    <row r="8022" spans="1:72" x14ac:dyDescent="0.25">
      <c r="A8022" s="90">
        <v>36860</v>
      </c>
      <c r="B8022" s="20">
        <v>0.5</v>
      </c>
      <c r="D8022">
        <v>51.08</v>
      </c>
      <c r="E8022" t="str">
        <f t="shared" si="286"/>
        <v>WEEKDAY</v>
      </c>
      <c r="F8022" t="e">
        <f t="shared" si="285"/>
        <v>#N/A</v>
      </c>
      <c r="G8022" s="74">
        <v>28824</v>
      </c>
      <c r="H8022" s="77">
        <v>0.5</v>
      </c>
      <c r="J8022">
        <v>44.96</v>
      </c>
      <c r="M8022" s="74">
        <v>36129</v>
      </c>
      <c r="N8022" s="77">
        <v>0.5</v>
      </c>
      <c r="P8022">
        <v>53.6</v>
      </c>
      <c r="S8022" s="74">
        <v>36860</v>
      </c>
      <c r="T8022" s="77">
        <v>0.5</v>
      </c>
      <c r="V8022">
        <v>42.08</v>
      </c>
      <c r="X8022" s="42"/>
      <c r="AB8022">
        <v>46</v>
      </c>
      <c r="AC8022">
        <v>44.06</v>
      </c>
      <c r="AE8022" s="74"/>
      <c r="AF8022" s="77"/>
      <c r="AH8022" s="497">
        <v>62.6</v>
      </c>
      <c r="AJ8022" s="42"/>
      <c r="AK8022" s="74"/>
      <c r="AL8022" s="77"/>
      <c r="AN8022" s="497">
        <v>41</v>
      </c>
      <c r="AP8022" s="42"/>
      <c r="AQ8022" s="74"/>
      <c r="AR8022" s="77"/>
      <c r="AT8022" s="497">
        <v>37.04</v>
      </c>
      <c r="AV8022" s="42"/>
      <c r="AW8022" s="74"/>
      <c r="AX8022" s="77"/>
      <c r="BA8022" s="497">
        <v>44.06</v>
      </c>
      <c r="BB8022" s="42"/>
      <c r="BC8022" s="74"/>
      <c r="BD8022" s="77"/>
      <c r="BF8022">
        <v>39.92</v>
      </c>
      <c r="BH8022" s="42"/>
      <c r="BI8022" s="74"/>
      <c r="BJ8022" s="77"/>
      <c r="BL8022" s="497">
        <v>46.04</v>
      </c>
      <c r="BN8022" s="42"/>
      <c r="BO8022" s="74"/>
      <c r="BP8022" s="77"/>
      <c r="BR8022" s="497">
        <v>42.08</v>
      </c>
      <c r="BT8022" s="42"/>
    </row>
    <row r="8023" spans="1:72" x14ac:dyDescent="0.25">
      <c r="A8023" s="90">
        <v>36860</v>
      </c>
      <c r="B8023" s="20">
        <v>0.54166666666666663</v>
      </c>
      <c r="D8023">
        <v>51.08</v>
      </c>
      <c r="E8023" t="str">
        <f t="shared" si="286"/>
        <v>WEEKDAY</v>
      </c>
      <c r="F8023" t="e">
        <f t="shared" si="285"/>
        <v>#N/A</v>
      </c>
      <c r="G8023" s="74">
        <v>28824</v>
      </c>
      <c r="H8023" s="77">
        <v>0.54166666666666663</v>
      </c>
      <c r="J8023">
        <v>46.04</v>
      </c>
      <c r="M8023" s="74">
        <v>36129</v>
      </c>
      <c r="N8023" s="77">
        <v>0.54166666666666663</v>
      </c>
      <c r="P8023">
        <v>55.400000000000006</v>
      </c>
      <c r="S8023" s="74">
        <v>36860</v>
      </c>
      <c r="T8023" s="77">
        <v>0.54166666666666663</v>
      </c>
      <c r="V8023">
        <v>44.96</v>
      </c>
      <c r="X8023" s="42"/>
      <c r="AB8023">
        <v>47</v>
      </c>
      <c r="AC8023">
        <v>48.019999999999996</v>
      </c>
      <c r="AE8023" s="74"/>
      <c r="AF8023" s="77"/>
      <c r="AH8023" s="497">
        <v>62.6</v>
      </c>
      <c r="AJ8023" s="42"/>
      <c r="AK8023" s="74"/>
      <c r="AL8023" s="77"/>
      <c r="AN8023" s="497">
        <v>42.08</v>
      </c>
      <c r="AP8023" s="42"/>
      <c r="AQ8023" s="74"/>
      <c r="AR8023" s="77"/>
      <c r="AT8023" s="497">
        <v>39.92</v>
      </c>
      <c r="AV8023" s="42"/>
      <c r="AW8023" s="74"/>
      <c r="AX8023" s="77"/>
      <c r="BA8023" s="497">
        <v>44.96</v>
      </c>
      <c r="BB8023" s="42"/>
      <c r="BC8023" s="74"/>
      <c r="BD8023" s="77"/>
      <c r="BF8023">
        <v>39.92</v>
      </c>
      <c r="BH8023" s="42"/>
      <c r="BI8023" s="74"/>
      <c r="BJ8023" s="77"/>
      <c r="BL8023" s="497">
        <v>44.96</v>
      </c>
      <c r="BN8023" s="42"/>
      <c r="BO8023" s="74"/>
      <c r="BP8023" s="77"/>
      <c r="BR8023" s="497">
        <v>42.980000000000004</v>
      </c>
      <c r="BT8023" s="42"/>
    </row>
    <row r="8024" spans="1:72" x14ac:dyDescent="0.25">
      <c r="A8024" s="90">
        <v>36860</v>
      </c>
      <c r="B8024" s="20">
        <v>0.58333333333333337</v>
      </c>
      <c r="D8024">
        <v>51.08</v>
      </c>
      <c r="E8024" t="str">
        <f t="shared" si="286"/>
        <v>WEEKDAY</v>
      </c>
      <c r="F8024" t="e">
        <f t="shared" si="285"/>
        <v>#N/A</v>
      </c>
      <c r="G8024" s="74">
        <v>28824</v>
      </c>
      <c r="H8024" s="77">
        <v>0.58333333333333337</v>
      </c>
      <c r="J8024">
        <v>46.94</v>
      </c>
      <c r="M8024" s="74">
        <v>36129</v>
      </c>
      <c r="N8024" s="77">
        <v>0.58333333333333337</v>
      </c>
      <c r="P8024">
        <v>57.2</v>
      </c>
      <c r="S8024" s="74">
        <v>36860</v>
      </c>
      <c r="T8024" s="77">
        <v>0.58333333333333337</v>
      </c>
      <c r="V8024">
        <v>44.06</v>
      </c>
      <c r="X8024" s="42"/>
      <c r="AB8024">
        <v>47.5</v>
      </c>
      <c r="AC8024">
        <v>48.92</v>
      </c>
      <c r="AE8024" s="74"/>
      <c r="AF8024" s="77"/>
      <c r="AH8024" s="497">
        <v>62.6</v>
      </c>
      <c r="AJ8024" s="42"/>
      <c r="AK8024" s="74"/>
      <c r="AL8024" s="77"/>
      <c r="AN8024" s="497">
        <v>44.96</v>
      </c>
      <c r="AP8024" s="42"/>
      <c r="AQ8024" s="74"/>
      <c r="AR8024" s="77"/>
      <c r="AT8024" s="497">
        <v>41</v>
      </c>
      <c r="AV8024" s="42"/>
      <c r="AW8024" s="74"/>
      <c r="AX8024" s="77"/>
      <c r="BA8024" s="497">
        <v>44.96</v>
      </c>
      <c r="BB8024" s="42"/>
      <c r="BC8024" s="74"/>
      <c r="BD8024" s="77"/>
      <c r="BF8024">
        <v>39.019999999999996</v>
      </c>
      <c r="BH8024" s="42"/>
      <c r="BI8024" s="74"/>
      <c r="BJ8024" s="77"/>
      <c r="BL8024" s="497">
        <v>42.980000000000004</v>
      </c>
      <c r="BN8024" s="42"/>
      <c r="BO8024" s="74"/>
      <c r="BP8024" s="77"/>
      <c r="BR8024" s="497">
        <v>42.08</v>
      </c>
      <c r="BT8024" s="42"/>
    </row>
    <row r="8025" spans="1:72" x14ac:dyDescent="0.25">
      <c r="A8025" s="90">
        <v>36860</v>
      </c>
      <c r="B8025" s="20">
        <v>0.625</v>
      </c>
      <c r="D8025">
        <v>51.08</v>
      </c>
      <c r="E8025" t="str">
        <f t="shared" si="286"/>
        <v>WEEKDAY</v>
      </c>
      <c r="F8025" t="e">
        <f t="shared" si="285"/>
        <v>#N/A</v>
      </c>
      <c r="G8025" s="74">
        <v>28824</v>
      </c>
      <c r="H8025" s="77">
        <v>0.625</v>
      </c>
      <c r="J8025">
        <v>46.94</v>
      </c>
      <c r="M8025" s="74">
        <v>36129</v>
      </c>
      <c r="N8025" s="77">
        <v>0.625</v>
      </c>
      <c r="P8025">
        <v>57.2</v>
      </c>
      <c r="S8025" s="74">
        <v>36860</v>
      </c>
      <c r="T8025" s="77">
        <v>0.625</v>
      </c>
      <c r="V8025">
        <v>42.08</v>
      </c>
      <c r="X8025" s="42"/>
      <c r="AB8025">
        <v>47.7</v>
      </c>
      <c r="AC8025">
        <v>48.92</v>
      </c>
      <c r="AE8025" s="74"/>
      <c r="AF8025" s="77"/>
      <c r="AH8025" s="497">
        <v>62.6</v>
      </c>
      <c r="AJ8025" s="42"/>
      <c r="AK8025" s="74"/>
      <c r="AL8025" s="77"/>
      <c r="AN8025" s="497">
        <v>44.96</v>
      </c>
      <c r="AP8025" s="42"/>
      <c r="AQ8025" s="74"/>
      <c r="AR8025" s="77"/>
      <c r="AT8025" s="497">
        <v>41</v>
      </c>
      <c r="AV8025" s="42"/>
      <c r="AW8025" s="74"/>
      <c r="AX8025" s="77"/>
      <c r="BA8025" s="497">
        <v>44.06</v>
      </c>
      <c r="BB8025" s="42"/>
      <c r="BC8025" s="74"/>
      <c r="BD8025" s="77"/>
      <c r="BF8025">
        <v>39.019999999999996</v>
      </c>
      <c r="BH8025" s="42"/>
      <c r="BI8025" s="74"/>
      <c r="BJ8025" s="77"/>
      <c r="BL8025" s="497">
        <v>42.08</v>
      </c>
      <c r="BN8025" s="42"/>
      <c r="BO8025" s="74"/>
      <c r="BP8025" s="77"/>
      <c r="BR8025" s="497">
        <v>42.08</v>
      </c>
      <c r="BT8025" s="42"/>
    </row>
    <row r="8026" spans="1:72" x14ac:dyDescent="0.25">
      <c r="A8026" s="90">
        <v>36860</v>
      </c>
      <c r="B8026" s="20">
        <v>0.66666666666666663</v>
      </c>
      <c r="D8026">
        <v>50</v>
      </c>
      <c r="E8026" t="str">
        <f t="shared" si="286"/>
        <v>WEEKDAY</v>
      </c>
      <c r="F8026" t="e">
        <f t="shared" si="285"/>
        <v>#N/A</v>
      </c>
      <c r="G8026" s="74">
        <v>28824</v>
      </c>
      <c r="H8026" s="77">
        <v>0.66666666666666663</v>
      </c>
      <c r="J8026">
        <v>46.04</v>
      </c>
      <c r="M8026" s="74">
        <v>36129</v>
      </c>
      <c r="N8026" s="77">
        <v>0.66666666666666663</v>
      </c>
      <c r="P8026">
        <v>53.6</v>
      </c>
      <c r="S8026" s="74">
        <v>36860</v>
      </c>
      <c r="T8026" s="77">
        <v>0.66666666666666663</v>
      </c>
      <c r="V8026">
        <v>42.980000000000004</v>
      </c>
      <c r="X8026" s="42"/>
      <c r="AB8026">
        <v>47.4</v>
      </c>
      <c r="AC8026">
        <v>46.94</v>
      </c>
      <c r="AE8026" s="74"/>
      <c r="AF8026" s="77"/>
      <c r="AH8026" s="497">
        <v>62.6</v>
      </c>
      <c r="AJ8026" s="42"/>
      <c r="AK8026" s="74"/>
      <c r="AL8026" s="77"/>
      <c r="AN8026" s="497">
        <v>42.980000000000004</v>
      </c>
      <c r="AP8026" s="42"/>
      <c r="AQ8026" s="74"/>
      <c r="AR8026" s="77"/>
      <c r="AT8026" s="497">
        <v>39.92</v>
      </c>
      <c r="AV8026" s="42"/>
      <c r="AW8026" s="74"/>
      <c r="AX8026" s="77"/>
      <c r="BA8026" s="497">
        <v>42.980000000000004</v>
      </c>
      <c r="BB8026" s="42"/>
      <c r="BC8026" s="74"/>
      <c r="BD8026" s="77"/>
      <c r="BF8026">
        <v>39.019999999999996</v>
      </c>
      <c r="BH8026" s="42"/>
      <c r="BI8026" s="74"/>
      <c r="BJ8026" s="77"/>
      <c r="BL8026" s="497">
        <v>39.92</v>
      </c>
      <c r="BN8026" s="42"/>
      <c r="BO8026" s="74"/>
      <c r="BP8026" s="77"/>
      <c r="BR8026" s="497">
        <v>39.92</v>
      </c>
      <c r="BT8026" s="42"/>
    </row>
    <row r="8027" spans="1:72" x14ac:dyDescent="0.25">
      <c r="A8027" s="90">
        <v>36860</v>
      </c>
      <c r="B8027" s="20">
        <v>0.70833333333333337</v>
      </c>
      <c r="D8027">
        <v>48.019999999999996</v>
      </c>
      <c r="E8027" t="str">
        <f t="shared" si="286"/>
        <v>WEEKDAY</v>
      </c>
      <c r="F8027" t="e">
        <f t="shared" si="285"/>
        <v>#N/A</v>
      </c>
      <c r="G8027" s="74">
        <v>28824</v>
      </c>
      <c r="H8027" s="77">
        <v>0.70833333333333337</v>
      </c>
      <c r="J8027">
        <v>44.96</v>
      </c>
      <c r="M8027" s="74">
        <v>36129</v>
      </c>
      <c r="N8027" s="77">
        <v>0.70833333333333337</v>
      </c>
      <c r="P8027">
        <v>51.8</v>
      </c>
      <c r="S8027" s="74">
        <v>36860</v>
      </c>
      <c r="T8027" s="77">
        <v>0.70833333333333337</v>
      </c>
      <c r="V8027">
        <v>41</v>
      </c>
      <c r="X8027" s="42"/>
      <c r="AB8027">
        <v>46.3</v>
      </c>
      <c r="AC8027">
        <v>44.06</v>
      </c>
      <c r="AE8027" s="74"/>
      <c r="AF8027" s="77"/>
      <c r="AH8027" s="497">
        <v>64.400000000000006</v>
      </c>
      <c r="AJ8027" s="42"/>
      <c r="AK8027" s="74"/>
      <c r="AL8027" s="77"/>
      <c r="AN8027" s="497">
        <v>42.08</v>
      </c>
      <c r="AP8027" s="42"/>
      <c r="AQ8027" s="74"/>
      <c r="AR8027" s="77"/>
      <c r="AT8027" s="497">
        <v>39.019999999999996</v>
      </c>
      <c r="AV8027" s="42"/>
      <c r="AW8027" s="74"/>
      <c r="AX8027" s="77"/>
      <c r="BA8027" s="497">
        <v>42.08</v>
      </c>
      <c r="BB8027" s="42"/>
      <c r="BC8027" s="74"/>
      <c r="BD8027" s="77"/>
      <c r="BF8027">
        <v>39.019999999999996</v>
      </c>
      <c r="BH8027" s="42"/>
      <c r="BI8027" s="74"/>
      <c r="BJ8027" s="77"/>
      <c r="BL8027" s="497">
        <v>39.019999999999996</v>
      </c>
      <c r="BN8027" s="42"/>
      <c r="BO8027" s="74"/>
      <c r="BP8027" s="77"/>
      <c r="BR8027" s="497">
        <v>37.94</v>
      </c>
      <c r="BT8027" s="42"/>
    </row>
    <row r="8028" spans="1:72" x14ac:dyDescent="0.25">
      <c r="A8028" s="90">
        <v>36860</v>
      </c>
      <c r="B8028" s="20">
        <v>0.75</v>
      </c>
      <c r="D8028">
        <v>48.019999999999996</v>
      </c>
      <c r="E8028" t="str">
        <f t="shared" si="286"/>
        <v>WEEKDAY</v>
      </c>
      <c r="F8028" t="e">
        <f t="shared" si="285"/>
        <v>#N/A</v>
      </c>
      <c r="G8028" s="74">
        <v>28824</v>
      </c>
      <c r="H8028" s="77">
        <v>0.75</v>
      </c>
      <c r="J8028">
        <v>44.96</v>
      </c>
      <c r="M8028" s="74">
        <v>36129</v>
      </c>
      <c r="N8028" s="77">
        <v>0.75</v>
      </c>
      <c r="P8028">
        <v>50</v>
      </c>
      <c r="S8028" s="74">
        <v>36860</v>
      </c>
      <c r="T8028" s="77">
        <v>0.75</v>
      </c>
      <c r="V8028">
        <v>41</v>
      </c>
      <c r="X8028" s="42"/>
      <c r="AB8028">
        <v>45.1</v>
      </c>
      <c r="AC8028">
        <v>44.06</v>
      </c>
      <c r="AE8028" s="74"/>
      <c r="AF8028" s="77"/>
      <c r="AH8028" s="497">
        <v>64.400000000000006</v>
      </c>
      <c r="AJ8028" s="42"/>
      <c r="AK8028" s="74"/>
      <c r="AL8028" s="77"/>
      <c r="AN8028" s="497">
        <v>41</v>
      </c>
      <c r="AP8028" s="42"/>
      <c r="AQ8028" s="74"/>
      <c r="AR8028" s="77"/>
      <c r="AT8028" s="497">
        <v>39.019999999999996</v>
      </c>
      <c r="AV8028" s="42"/>
      <c r="AW8028" s="74"/>
      <c r="AX8028" s="77"/>
      <c r="BA8028" s="497">
        <v>39.019999999999996</v>
      </c>
      <c r="BB8028" s="42"/>
      <c r="BC8028" s="74"/>
      <c r="BD8028" s="77"/>
      <c r="BF8028">
        <v>39.019999999999996</v>
      </c>
      <c r="BH8028" s="42"/>
      <c r="BI8028" s="74"/>
      <c r="BJ8028" s="77"/>
      <c r="BL8028" s="497">
        <v>37.04</v>
      </c>
      <c r="BN8028" s="42"/>
      <c r="BO8028" s="74"/>
      <c r="BP8028" s="77"/>
      <c r="BR8028" s="497">
        <v>37.94</v>
      </c>
      <c r="BT8028" s="42"/>
    </row>
    <row r="8029" spans="1:72" x14ac:dyDescent="0.25">
      <c r="A8029" s="90">
        <v>36860</v>
      </c>
      <c r="B8029" s="20">
        <v>0.79166666666666663</v>
      </c>
      <c r="D8029">
        <v>46.04</v>
      </c>
      <c r="E8029" t="str">
        <f t="shared" si="286"/>
        <v>WEEKDAY</v>
      </c>
      <c r="F8029" t="e">
        <f t="shared" si="285"/>
        <v>#N/A</v>
      </c>
      <c r="G8029" s="74">
        <v>28824</v>
      </c>
      <c r="H8029" s="77">
        <v>0.79166666666666663</v>
      </c>
      <c r="J8029">
        <v>46.04</v>
      </c>
      <c r="M8029" s="74">
        <v>36129</v>
      </c>
      <c r="N8029" s="77">
        <v>0.79166666666666663</v>
      </c>
      <c r="P8029">
        <v>50</v>
      </c>
      <c r="S8029" s="74">
        <v>36860</v>
      </c>
      <c r="T8029" s="77">
        <v>0.79166666666666663</v>
      </c>
      <c r="V8029">
        <v>41</v>
      </c>
      <c r="X8029" s="42"/>
      <c r="AB8029">
        <v>44.7</v>
      </c>
      <c r="AC8029">
        <v>44.06</v>
      </c>
      <c r="AE8029" s="74"/>
      <c r="AF8029" s="77"/>
      <c r="AH8029" s="497">
        <v>64.400000000000006</v>
      </c>
      <c r="AJ8029" s="42"/>
      <c r="AK8029" s="74"/>
      <c r="AL8029" s="77"/>
      <c r="AN8029" s="497">
        <v>39.92</v>
      </c>
      <c r="AP8029" s="42"/>
      <c r="AQ8029" s="74"/>
      <c r="AR8029" s="77"/>
      <c r="AT8029" s="497">
        <v>39.019999999999996</v>
      </c>
      <c r="AV8029" s="42"/>
      <c r="AW8029" s="74"/>
      <c r="AX8029" s="77"/>
      <c r="BA8029" s="497">
        <v>39.92</v>
      </c>
      <c r="BB8029" s="42"/>
      <c r="BC8029" s="74"/>
      <c r="BD8029" s="77"/>
      <c r="BF8029">
        <v>37.04</v>
      </c>
      <c r="BH8029" s="42"/>
      <c r="BI8029" s="74"/>
      <c r="BJ8029" s="77"/>
      <c r="BL8029" s="497">
        <v>37.94</v>
      </c>
      <c r="BN8029" s="42"/>
      <c r="BO8029" s="74"/>
      <c r="BP8029" s="77"/>
      <c r="BR8029" s="497">
        <v>37.04</v>
      </c>
      <c r="BT8029" s="42"/>
    </row>
    <row r="8030" spans="1:72" x14ac:dyDescent="0.25">
      <c r="A8030" s="90">
        <v>36860</v>
      </c>
      <c r="B8030" s="20">
        <v>0.83333333333333337</v>
      </c>
      <c r="D8030">
        <v>44.06</v>
      </c>
      <c r="E8030" t="str">
        <f t="shared" si="286"/>
        <v>WEEKDAY</v>
      </c>
      <c r="F8030" t="e">
        <f t="shared" si="285"/>
        <v>#N/A</v>
      </c>
      <c r="G8030" s="74">
        <v>28824</v>
      </c>
      <c r="H8030" s="77">
        <v>0.83333333333333337</v>
      </c>
      <c r="J8030">
        <v>46.04</v>
      </c>
      <c r="M8030" s="74">
        <v>36129</v>
      </c>
      <c r="N8030" s="77">
        <v>0.83333333333333337</v>
      </c>
      <c r="P8030">
        <v>50</v>
      </c>
      <c r="S8030" s="74">
        <v>36860</v>
      </c>
      <c r="T8030" s="77">
        <v>0.83333333333333337</v>
      </c>
      <c r="V8030">
        <v>41</v>
      </c>
      <c r="X8030" s="42"/>
      <c r="AB8030">
        <v>44.3</v>
      </c>
      <c r="AC8030">
        <v>44.06</v>
      </c>
      <c r="AE8030" s="74"/>
      <c r="AF8030" s="77"/>
      <c r="AH8030" s="497">
        <v>64.400000000000006</v>
      </c>
      <c r="AJ8030" s="42"/>
      <c r="AK8030" s="74"/>
      <c r="AL8030" s="77"/>
      <c r="AN8030" s="497">
        <v>39.92</v>
      </c>
      <c r="AP8030" s="42"/>
      <c r="AQ8030" s="74"/>
      <c r="AR8030" s="77"/>
      <c r="AT8030" s="497">
        <v>37.94</v>
      </c>
      <c r="AV8030" s="42"/>
      <c r="AW8030" s="74"/>
      <c r="AX8030" s="77"/>
      <c r="BA8030" s="497">
        <v>39.92</v>
      </c>
      <c r="BB8030" s="42"/>
      <c r="BC8030" s="74"/>
      <c r="BD8030" s="77"/>
      <c r="BF8030">
        <v>37.94</v>
      </c>
      <c r="BH8030" s="42"/>
      <c r="BI8030" s="74"/>
      <c r="BJ8030" s="77"/>
      <c r="BL8030" s="497">
        <v>37.94</v>
      </c>
      <c r="BN8030" s="42"/>
      <c r="BO8030" s="74"/>
      <c r="BP8030" s="77"/>
      <c r="BR8030" s="497">
        <v>37.04</v>
      </c>
      <c r="BT8030" s="42"/>
    </row>
    <row r="8031" spans="1:72" x14ac:dyDescent="0.25">
      <c r="A8031" s="90">
        <v>36860</v>
      </c>
      <c r="B8031" s="20">
        <v>0.875</v>
      </c>
      <c r="D8031">
        <v>42.08</v>
      </c>
      <c r="E8031" t="str">
        <f t="shared" si="286"/>
        <v>WEEKDAY</v>
      </c>
      <c r="F8031" t="e">
        <f t="shared" si="285"/>
        <v>#N/A</v>
      </c>
      <c r="G8031" s="74">
        <v>28824</v>
      </c>
      <c r="H8031" s="77">
        <v>0.875</v>
      </c>
      <c r="J8031">
        <v>46.04</v>
      </c>
      <c r="M8031" s="74">
        <v>36129</v>
      </c>
      <c r="N8031" s="77">
        <v>0.875</v>
      </c>
      <c r="P8031">
        <v>48.2</v>
      </c>
      <c r="S8031" s="74">
        <v>36860</v>
      </c>
      <c r="T8031" s="77">
        <v>0.875</v>
      </c>
      <c r="V8031">
        <v>39.92</v>
      </c>
      <c r="X8031" s="42"/>
      <c r="AB8031">
        <v>43.8</v>
      </c>
      <c r="AC8031">
        <v>44.96</v>
      </c>
      <c r="AE8031" s="74"/>
      <c r="AF8031" s="77"/>
      <c r="AH8031" s="497">
        <v>64.400000000000006</v>
      </c>
      <c r="AJ8031" s="42"/>
      <c r="AK8031" s="74"/>
      <c r="AL8031" s="77"/>
      <c r="AN8031" s="497">
        <v>39.019999999999996</v>
      </c>
      <c r="AP8031" s="42"/>
      <c r="AQ8031" s="74"/>
      <c r="AR8031" s="77"/>
      <c r="AT8031" s="497">
        <v>39.019999999999996</v>
      </c>
      <c r="AV8031" s="42"/>
      <c r="AW8031" s="74"/>
      <c r="AX8031" s="77"/>
      <c r="BA8031" s="497">
        <v>41</v>
      </c>
      <c r="BB8031" s="42"/>
      <c r="BC8031" s="74"/>
      <c r="BD8031" s="77"/>
      <c r="BF8031">
        <v>35.96</v>
      </c>
      <c r="BH8031" s="42"/>
      <c r="BI8031" s="74"/>
      <c r="BJ8031" s="77"/>
      <c r="BL8031" s="497">
        <v>37.04</v>
      </c>
      <c r="BN8031" s="42"/>
      <c r="BO8031" s="74"/>
      <c r="BP8031" s="77"/>
      <c r="BR8031" s="497">
        <v>35.96</v>
      </c>
      <c r="BT8031" s="42"/>
    </row>
    <row r="8032" spans="1:72" x14ac:dyDescent="0.25">
      <c r="A8032" s="90">
        <v>36860</v>
      </c>
      <c r="B8032" s="20">
        <v>0.91666666666666663</v>
      </c>
      <c r="D8032">
        <v>42.620000000000005</v>
      </c>
      <c r="E8032" t="str">
        <f t="shared" si="286"/>
        <v>WEEKDAY</v>
      </c>
      <c r="F8032" t="e">
        <f t="shared" si="285"/>
        <v>#N/A</v>
      </c>
      <c r="G8032" s="74">
        <v>28824</v>
      </c>
      <c r="H8032" s="77">
        <v>0.91666666666666663</v>
      </c>
      <c r="J8032">
        <v>45.68</v>
      </c>
      <c r="M8032" s="74">
        <v>36129</v>
      </c>
      <c r="N8032" s="77">
        <v>0.91666666666666663</v>
      </c>
      <c r="P8032">
        <v>46.22</v>
      </c>
      <c r="S8032" s="74">
        <v>36860</v>
      </c>
      <c r="T8032" s="77">
        <v>0.91666666666666663</v>
      </c>
      <c r="V8032">
        <v>40.82</v>
      </c>
      <c r="X8032" s="42"/>
      <c r="AB8032">
        <v>43.2</v>
      </c>
      <c r="AC8032">
        <v>44.96</v>
      </c>
      <c r="AE8032" s="74"/>
      <c r="AF8032" s="77"/>
      <c r="AH8032" s="497">
        <v>61.519999999999996</v>
      </c>
      <c r="AJ8032" s="42"/>
      <c r="AK8032" s="74"/>
      <c r="AL8032" s="77"/>
      <c r="AN8032" s="497">
        <v>36.68</v>
      </c>
      <c r="AP8032" s="42"/>
      <c r="AQ8032" s="74"/>
      <c r="AR8032" s="77"/>
      <c r="AT8032" s="497">
        <v>37.04</v>
      </c>
      <c r="AV8032" s="42"/>
      <c r="AW8032" s="74"/>
      <c r="AX8032" s="77"/>
      <c r="BA8032" s="497">
        <v>40.28</v>
      </c>
      <c r="BB8032" s="42"/>
      <c r="BC8032" s="74"/>
      <c r="BD8032" s="77"/>
      <c r="BF8032">
        <v>37.58</v>
      </c>
      <c r="BH8032" s="42"/>
      <c r="BI8032" s="74"/>
      <c r="BJ8032" s="77"/>
      <c r="BL8032" s="497">
        <v>38.119999999999997</v>
      </c>
      <c r="BN8032" s="42"/>
      <c r="BO8032" s="74"/>
      <c r="BP8032" s="77"/>
      <c r="BR8032" s="497">
        <v>33.619999999999997</v>
      </c>
      <c r="BT8032" s="42"/>
    </row>
    <row r="8033" spans="1:72" x14ac:dyDescent="0.25">
      <c r="A8033" s="90">
        <v>36860</v>
      </c>
      <c r="B8033" s="20">
        <v>0.95833333333333337</v>
      </c>
      <c r="D8033">
        <v>43.16</v>
      </c>
      <c r="E8033" t="str">
        <f t="shared" si="286"/>
        <v>WEEKDAY</v>
      </c>
      <c r="F8033" t="e">
        <f t="shared" si="285"/>
        <v>#N/A</v>
      </c>
      <c r="G8033" s="74">
        <v>28824</v>
      </c>
      <c r="H8033" s="77">
        <v>0.95833333333333337</v>
      </c>
      <c r="J8033">
        <v>45.5</v>
      </c>
      <c r="M8033" s="74">
        <v>36129</v>
      </c>
      <c r="N8033" s="77">
        <v>0.95833333333333337</v>
      </c>
      <c r="P8033">
        <v>44.06</v>
      </c>
      <c r="S8033" s="74">
        <v>36860</v>
      </c>
      <c r="T8033" s="77">
        <v>0.95833333333333337</v>
      </c>
      <c r="V8033">
        <v>41.72</v>
      </c>
      <c r="X8033" s="42"/>
      <c r="AB8033">
        <v>42.8</v>
      </c>
      <c r="AC8033">
        <v>44.78</v>
      </c>
      <c r="AE8033" s="74"/>
      <c r="AF8033" s="77"/>
      <c r="AH8033" s="497">
        <v>58.82</v>
      </c>
      <c r="AJ8033" s="42"/>
      <c r="AK8033" s="74"/>
      <c r="AL8033" s="77"/>
      <c r="AN8033" s="497">
        <v>34.520000000000003</v>
      </c>
      <c r="AP8033" s="42"/>
      <c r="AQ8033" s="74"/>
      <c r="AR8033" s="77"/>
      <c r="AT8033" s="497">
        <v>35.06</v>
      </c>
      <c r="AV8033" s="42"/>
      <c r="AW8033" s="74"/>
      <c r="AX8033" s="77"/>
      <c r="BA8033" s="497">
        <v>39.56</v>
      </c>
      <c r="BB8033" s="42"/>
      <c r="BC8033" s="74"/>
      <c r="BD8033" s="77"/>
      <c r="BF8033">
        <v>39.019999999999996</v>
      </c>
      <c r="BH8033" s="42"/>
      <c r="BI8033" s="74"/>
      <c r="BJ8033" s="77"/>
      <c r="BL8033" s="497">
        <v>39.380000000000003</v>
      </c>
      <c r="BN8033" s="42"/>
      <c r="BO8033" s="74"/>
      <c r="BP8033" s="77"/>
      <c r="BR8033" s="497">
        <v>31.64</v>
      </c>
      <c r="BT8033" s="42"/>
    </row>
    <row r="8034" spans="1:72" x14ac:dyDescent="0.25">
      <c r="A8034" s="90">
        <v>36860</v>
      </c>
      <c r="B8034" s="20">
        <v>1</v>
      </c>
      <c r="D8034">
        <v>43.7</v>
      </c>
      <c r="E8034" t="str">
        <f t="shared" si="286"/>
        <v>WEEKDAY</v>
      </c>
      <c r="F8034" t="e">
        <f t="shared" si="285"/>
        <v>#N/A</v>
      </c>
      <c r="G8034" s="74">
        <v>28824</v>
      </c>
      <c r="H8034" s="77">
        <v>1</v>
      </c>
      <c r="J8034">
        <v>45.14</v>
      </c>
      <c r="M8034" s="74">
        <v>36129</v>
      </c>
      <c r="N8034" s="80">
        <v>1</v>
      </c>
      <c r="P8034">
        <v>42.08</v>
      </c>
      <c r="S8034" s="74">
        <v>36860</v>
      </c>
      <c r="T8034" s="80">
        <v>1</v>
      </c>
      <c r="V8034">
        <v>42.620000000000005</v>
      </c>
      <c r="X8034" s="42"/>
      <c r="AB8034">
        <v>42.4</v>
      </c>
      <c r="AC8034">
        <v>44.78</v>
      </c>
      <c r="AE8034" s="74"/>
      <c r="AF8034" s="80"/>
      <c r="AH8034" s="497">
        <v>55.94</v>
      </c>
      <c r="AJ8034" s="42"/>
      <c r="AK8034" s="74"/>
      <c r="AL8034" s="80"/>
      <c r="AN8034" s="497">
        <v>32.18</v>
      </c>
      <c r="AP8034" s="42"/>
      <c r="AQ8034" s="74"/>
      <c r="AR8034" s="80"/>
      <c r="AT8034" s="497">
        <v>33.08</v>
      </c>
      <c r="AV8034" s="42"/>
      <c r="AW8034" s="74"/>
      <c r="AX8034" s="80"/>
      <c r="BA8034" s="497">
        <v>38.840000000000003</v>
      </c>
      <c r="BB8034" s="42"/>
      <c r="BC8034" s="74"/>
      <c r="BD8034" s="80"/>
      <c r="BF8034">
        <v>40.64</v>
      </c>
      <c r="BH8034" s="42"/>
      <c r="BI8034" s="74"/>
      <c r="BJ8034" s="80"/>
      <c r="BL8034" s="497">
        <v>40.46</v>
      </c>
      <c r="BN8034" s="42"/>
      <c r="BO8034" s="74"/>
      <c r="BP8034" s="80"/>
      <c r="BR8034" s="497">
        <v>29.3</v>
      </c>
      <c r="BT8034" s="42"/>
    </row>
    <row r="8035" spans="1:72" x14ac:dyDescent="0.25">
      <c r="A8035" s="90">
        <v>35765</v>
      </c>
      <c r="B8035" s="20">
        <v>4.1666666666666664E-2</v>
      </c>
      <c r="D8035">
        <v>44.42</v>
      </c>
      <c r="E8035" t="str">
        <f t="shared" si="286"/>
        <v>WEEKDAY</v>
      </c>
      <c r="F8035" t="e">
        <f t="shared" si="285"/>
        <v>#N/A</v>
      </c>
      <c r="G8035" s="74">
        <v>28460</v>
      </c>
      <c r="H8035" s="77">
        <v>4.1666666666666664E-2</v>
      </c>
      <c r="J8035">
        <v>44.96</v>
      </c>
      <c r="M8035" s="74">
        <v>36861</v>
      </c>
      <c r="N8035" s="77">
        <v>4.1666666666666664E-2</v>
      </c>
      <c r="P8035">
        <v>39.92</v>
      </c>
      <c r="S8035" s="74">
        <v>35765</v>
      </c>
      <c r="T8035" s="77">
        <v>4.1666666666666664E-2</v>
      </c>
      <c r="V8035">
        <v>43.34</v>
      </c>
      <c r="X8035" s="42"/>
      <c r="AB8035">
        <v>42</v>
      </c>
      <c r="AC8035">
        <v>44.78</v>
      </c>
      <c r="AE8035" s="74"/>
      <c r="AF8035" s="77"/>
      <c r="AH8035" s="497">
        <v>53.06</v>
      </c>
      <c r="AJ8035" s="42"/>
      <c r="AK8035" s="74"/>
      <c r="AL8035" s="77"/>
      <c r="AN8035" s="497">
        <v>30.02</v>
      </c>
      <c r="AP8035" s="42"/>
      <c r="AQ8035" s="74"/>
      <c r="AR8035" s="77"/>
      <c r="AT8035" s="497">
        <v>31.1</v>
      </c>
      <c r="AV8035" s="42"/>
      <c r="AW8035" s="74"/>
      <c r="AX8035" s="77"/>
      <c r="BA8035" s="497">
        <v>38.119999999999997</v>
      </c>
      <c r="BB8035" s="42"/>
      <c r="BC8035" s="74"/>
      <c r="BD8035" s="77"/>
      <c r="BF8035">
        <v>42.26</v>
      </c>
      <c r="BH8035" s="42"/>
      <c r="BI8035" s="74"/>
      <c r="BJ8035" s="77"/>
      <c r="BL8035" s="497">
        <v>41.54</v>
      </c>
      <c r="BN8035" s="42"/>
      <c r="BO8035" s="74"/>
      <c r="BP8035" s="77"/>
      <c r="BR8035" s="497">
        <v>26.96</v>
      </c>
      <c r="BT8035" s="42"/>
    </row>
    <row r="8036" spans="1:72" x14ac:dyDescent="0.25">
      <c r="A8036" s="90">
        <v>35765</v>
      </c>
      <c r="B8036" s="20">
        <v>8.3333333333333329E-2</v>
      </c>
      <c r="D8036">
        <v>44.96</v>
      </c>
      <c r="E8036" t="str">
        <f t="shared" si="286"/>
        <v>WEEKDAY</v>
      </c>
      <c r="F8036" t="e">
        <f t="shared" si="285"/>
        <v>#N/A</v>
      </c>
      <c r="G8036" s="74">
        <v>28460</v>
      </c>
      <c r="H8036" s="77">
        <v>8.3333333333333329E-2</v>
      </c>
      <c r="J8036">
        <v>44.6</v>
      </c>
      <c r="M8036" s="74">
        <v>36861</v>
      </c>
      <c r="N8036" s="77">
        <v>8.3333333333333329E-2</v>
      </c>
      <c r="P8036">
        <v>37.94</v>
      </c>
      <c r="S8036" s="74">
        <v>35765</v>
      </c>
      <c r="T8036" s="77">
        <v>8.3333333333333329E-2</v>
      </c>
      <c r="V8036">
        <v>44.24</v>
      </c>
      <c r="X8036" s="42"/>
      <c r="AB8036">
        <v>41.5</v>
      </c>
      <c r="AC8036">
        <v>44.78</v>
      </c>
      <c r="AE8036" s="74"/>
      <c r="AF8036" s="77"/>
      <c r="AH8036" s="497">
        <v>50.18</v>
      </c>
      <c r="AJ8036" s="42"/>
      <c r="AK8036" s="74"/>
      <c r="AL8036" s="77"/>
      <c r="AN8036" s="497">
        <v>27.68</v>
      </c>
      <c r="AP8036" s="42"/>
      <c r="AQ8036" s="74"/>
      <c r="AR8036" s="77"/>
      <c r="AT8036" s="497">
        <v>29.12</v>
      </c>
      <c r="AV8036" s="42"/>
      <c r="AW8036" s="74"/>
      <c r="AX8036" s="77"/>
      <c r="BA8036" s="497">
        <v>37.4</v>
      </c>
      <c r="BB8036" s="42"/>
      <c r="BC8036" s="74"/>
      <c r="BD8036" s="77"/>
      <c r="BF8036">
        <v>43.879999999999995</v>
      </c>
      <c r="BH8036" s="42"/>
      <c r="BI8036" s="74"/>
      <c r="BJ8036" s="77"/>
      <c r="BL8036" s="497">
        <v>42.620000000000005</v>
      </c>
      <c r="BN8036" s="42"/>
      <c r="BO8036" s="74"/>
      <c r="BP8036" s="77"/>
      <c r="BR8036" s="497">
        <v>24.62</v>
      </c>
      <c r="BT8036" s="42"/>
    </row>
    <row r="8037" spans="1:72" x14ac:dyDescent="0.25">
      <c r="A8037" s="90">
        <v>35765</v>
      </c>
      <c r="B8037" s="20">
        <v>0.125</v>
      </c>
      <c r="D8037">
        <v>45.5</v>
      </c>
      <c r="E8037" t="str">
        <f t="shared" si="286"/>
        <v>WEEKDAY</v>
      </c>
      <c r="F8037" t="e">
        <f t="shared" si="285"/>
        <v>#N/A</v>
      </c>
      <c r="G8037" s="74">
        <v>28460</v>
      </c>
      <c r="H8037" s="77">
        <v>0.125</v>
      </c>
      <c r="J8037">
        <v>44.42</v>
      </c>
      <c r="M8037" s="74">
        <v>36861</v>
      </c>
      <c r="N8037" s="77">
        <v>0.125</v>
      </c>
      <c r="P8037">
        <v>35.78</v>
      </c>
      <c r="S8037" s="74">
        <v>35765</v>
      </c>
      <c r="T8037" s="77">
        <v>0.125</v>
      </c>
      <c r="V8037">
        <v>45.14</v>
      </c>
      <c r="X8037" s="42"/>
      <c r="AB8037">
        <v>41</v>
      </c>
      <c r="AC8037">
        <v>44.6</v>
      </c>
      <c r="AE8037" s="74"/>
      <c r="AF8037" s="77"/>
      <c r="AH8037" s="497">
        <v>47.480000000000004</v>
      </c>
      <c r="AJ8037" s="42"/>
      <c r="AK8037" s="74"/>
      <c r="AL8037" s="77"/>
      <c r="AN8037" s="497">
        <v>25.52</v>
      </c>
      <c r="AP8037" s="42"/>
      <c r="AQ8037" s="74"/>
      <c r="AR8037" s="77"/>
      <c r="AT8037" s="497">
        <v>27.14</v>
      </c>
      <c r="AV8037" s="42"/>
      <c r="AW8037" s="74"/>
      <c r="AX8037" s="77"/>
      <c r="BA8037" s="497">
        <v>36.68</v>
      </c>
      <c r="BB8037" s="42"/>
      <c r="BC8037" s="74"/>
      <c r="BD8037" s="77"/>
      <c r="BF8037">
        <v>45.32</v>
      </c>
      <c r="BH8037" s="42"/>
      <c r="BI8037" s="74"/>
      <c r="BJ8037" s="77"/>
      <c r="BL8037" s="497">
        <v>43.879999999999995</v>
      </c>
      <c r="BN8037" s="42"/>
      <c r="BO8037" s="74"/>
      <c r="BP8037" s="77"/>
      <c r="BR8037" s="497">
        <v>22.46</v>
      </c>
      <c r="BT8037" s="42"/>
    </row>
    <row r="8038" spans="1:72" x14ac:dyDescent="0.25">
      <c r="A8038" s="90">
        <v>35765</v>
      </c>
      <c r="B8038" s="20">
        <v>0.16666666666666666</v>
      </c>
      <c r="D8038">
        <v>46.04</v>
      </c>
      <c r="E8038" t="str">
        <f t="shared" si="286"/>
        <v>WEEKDAY</v>
      </c>
      <c r="F8038" t="e">
        <f t="shared" si="285"/>
        <v>#N/A</v>
      </c>
      <c r="G8038" s="74">
        <v>28460</v>
      </c>
      <c r="H8038" s="77">
        <v>0.16666666666666666</v>
      </c>
      <c r="J8038">
        <v>44.06</v>
      </c>
      <c r="M8038" s="74">
        <v>36861</v>
      </c>
      <c r="N8038" s="77">
        <v>0.16666666666666666</v>
      </c>
      <c r="P8038">
        <v>33.799999999999997</v>
      </c>
      <c r="S8038" s="74">
        <v>35765</v>
      </c>
      <c r="T8038" s="77">
        <v>0.16666666666666666</v>
      </c>
      <c r="V8038">
        <v>46.04</v>
      </c>
      <c r="X8038" s="42"/>
      <c r="AB8038">
        <v>40.700000000000003</v>
      </c>
      <c r="AC8038">
        <v>44.6</v>
      </c>
      <c r="AE8038" s="74"/>
      <c r="AF8038" s="77"/>
      <c r="AH8038" s="497">
        <v>44.6</v>
      </c>
      <c r="AJ8038" s="42"/>
      <c r="AK8038" s="74"/>
      <c r="AL8038" s="77"/>
      <c r="AN8038" s="497">
        <v>23</v>
      </c>
      <c r="AP8038" s="42"/>
      <c r="AQ8038" s="74"/>
      <c r="AR8038" s="77"/>
      <c r="AT8038" s="497">
        <v>24.98</v>
      </c>
      <c r="AV8038" s="42"/>
      <c r="AW8038" s="74"/>
      <c r="AX8038" s="77"/>
      <c r="BA8038" s="497">
        <v>35.96</v>
      </c>
      <c r="BB8038" s="42"/>
      <c r="BC8038" s="74"/>
      <c r="BD8038" s="77"/>
      <c r="BF8038">
        <v>46.94</v>
      </c>
      <c r="BH8038" s="42"/>
      <c r="BI8038" s="74"/>
      <c r="BJ8038" s="77"/>
      <c r="BL8038" s="497">
        <v>44.96</v>
      </c>
      <c r="BN8038" s="42"/>
      <c r="BO8038" s="74"/>
      <c r="BP8038" s="77"/>
      <c r="BR8038" s="497">
        <v>19.939999999999998</v>
      </c>
      <c r="BT8038" s="42"/>
    </row>
    <row r="8039" spans="1:72" x14ac:dyDescent="0.25">
      <c r="A8039" s="90">
        <v>35765</v>
      </c>
      <c r="B8039" s="20">
        <v>0.20833333333333334</v>
      </c>
      <c r="D8039">
        <v>46.94</v>
      </c>
      <c r="E8039" t="str">
        <f t="shared" si="286"/>
        <v>WEEKDAY</v>
      </c>
      <c r="F8039" t="e">
        <f t="shared" si="285"/>
        <v>#N/A</v>
      </c>
      <c r="G8039" s="74">
        <v>28460</v>
      </c>
      <c r="H8039" s="77">
        <v>0.20833333333333334</v>
      </c>
      <c r="J8039">
        <v>44.06</v>
      </c>
      <c r="M8039" s="74">
        <v>36861</v>
      </c>
      <c r="N8039" s="77">
        <v>0.20833333333333334</v>
      </c>
      <c r="P8039">
        <v>33.799999999999997</v>
      </c>
      <c r="S8039" s="74">
        <v>35765</v>
      </c>
      <c r="T8039" s="77">
        <v>0.20833333333333334</v>
      </c>
      <c r="V8039">
        <v>42.980000000000004</v>
      </c>
      <c r="X8039" s="42"/>
      <c r="AB8039">
        <v>40.4</v>
      </c>
      <c r="AC8039">
        <v>44.6</v>
      </c>
      <c r="AE8039" s="74"/>
      <c r="AF8039" s="77"/>
      <c r="AH8039" s="497">
        <v>44.6</v>
      </c>
      <c r="AJ8039" s="42"/>
      <c r="AK8039" s="74"/>
      <c r="AL8039" s="77"/>
      <c r="AN8039" s="497">
        <v>21.92</v>
      </c>
      <c r="AP8039" s="42"/>
      <c r="AQ8039" s="74"/>
      <c r="AR8039" s="77"/>
      <c r="AT8039" s="497">
        <v>23.36</v>
      </c>
      <c r="AV8039" s="42"/>
      <c r="AW8039" s="74"/>
      <c r="AX8039" s="77"/>
      <c r="BA8039" s="497">
        <v>36.32</v>
      </c>
      <c r="BB8039" s="42"/>
      <c r="BC8039" s="74"/>
      <c r="BD8039" s="77"/>
      <c r="BF8039">
        <v>48.019999999999996</v>
      </c>
      <c r="BH8039" s="42"/>
      <c r="BI8039" s="74"/>
      <c r="BJ8039" s="77"/>
      <c r="BL8039" s="497">
        <v>44.96</v>
      </c>
      <c r="BN8039" s="42"/>
      <c r="BO8039" s="74"/>
      <c r="BP8039" s="77"/>
      <c r="BR8039" s="497">
        <v>17.96</v>
      </c>
      <c r="BT8039" s="42"/>
    </row>
    <row r="8040" spans="1:72" x14ac:dyDescent="0.25">
      <c r="A8040" s="90">
        <v>35765</v>
      </c>
      <c r="B8040" s="20">
        <v>0.25</v>
      </c>
      <c r="D8040">
        <v>48.019999999999996</v>
      </c>
      <c r="E8040" t="str">
        <f t="shared" si="286"/>
        <v>WEEKDAY</v>
      </c>
      <c r="F8040" t="e">
        <f t="shared" si="285"/>
        <v>#N/A</v>
      </c>
      <c r="G8040" s="74">
        <v>28460</v>
      </c>
      <c r="H8040" s="77">
        <v>0.25</v>
      </c>
      <c r="J8040">
        <v>44.96</v>
      </c>
      <c r="M8040" s="74">
        <v>36861</v>
      </c>
      <c r="N8040" s="77">
        <v>0.25</v>
      </c>
      <c r="P8040">
        <v>33.799999999999997</v>
      </c>
      <c r="S8040" s="74">
        <v>35765</v>
      </c>
      <c r="T8040" s="77">
        <v>0.25</v>
      </c>
      <c r="V8040">
        <v>41</v>
      </c>
      <c r="X8040" s="42"/>
      <c r="AB8040">
        <v>40.200000000000003</v>
      </c>
      <c r="AC8040">
        <v>44.6</v>
      </c>
      <c r="AE8040" s="74"/>
      <c r="AF8040" s="77"/>
      <c r="AH8040" s="497">
        <v>46.4</v>
      </c>
      <c r="AJ8040" s="42"/>
      <c r="AK8040" s="74"/>
      <c r="AL8040" s="77"/>
      <c r="AN8040" s="497">
        <v>23</v>
      </c>
      <c r="AP8040" s="42"/>
      <c r="AQ8040" s="74"/>
      <c r="AR8040" s="77"/>
      <c r="AT8040" s="497">
        <v>21.560000000000002</v>
      </c>
      <c r="AV8040" s="42"/>
      <c r="AW8040" s="74"/>
      <c r="AX8040" s="77"/>
      <c r="BA8040" s="497">
        <v>36.68</v>
      </c>
      <c r="BB8040" s="42"/>
      <c r="BC8040" s="74"/>
      <c r="BD8040" s="77"/>
      <c r="BF8040">
        <v>50</v>
      </c>
      <c r="BH8040" s="42"/>
      <c r="BI8040" s="74"/>
      <c r="BJ8040" s="77"/>
      <c r="BL8040" s="497">
        <v>44.96</v>
      </c>
      <c r="BN8040" s="42"/>
      <c r="BO8040" s="74"/>
      <c r="BP8040" s="77"/>
      <c r="BR8040" s="497">
        <v>12.920000000000002</v>
      </c>
      <c r="BT8040" s="42"/>
    </row>
    <row r="8041" spans="1:72" x14ac:dyDescent="0.25">
      <c r="A8041" s="90">
        <v>35765</v>
      </c>
      <c r="B8041" s="20">
        <v>0.29166666666666669</v>
      </c>
      <c r="D8041">
        <v>48.019999999999996</v>
      </c>
      <c r="E8041" t="str">
        <f t="shared" si="286"/>
        <v>WEEKDAY</v>
      </c>
      <c r="F8041" t="e">
        <f t="shared" si="285"/>
        <v>#N/A</v>
      </c>
      <c r="G8041" s="74">
        <v>28460</v>
      </c>
      <c r="H8041" s="77">
        <v>0.29166666666666669</v>
      </c>
      <c r="J8041">
        <v>44.96</v>
      </c>
      <c r="M8041" s="74">
        <v>36861</v>
      </c>
      <c r="N8041" s="77">
        <v>0.29166666666666669</v>
      </c>
      <c r="P8041">
        <v>35.6</v>
      </c>
      <c r="S8041" s="74">
        <v>35765</v>
      </c>
      <c r="T8041" s="77">
        <v>0.29166666666666669</v>
      </c>
      <c r="V8041">
        <v>41</v>
      </c>
      <c r="X8041" s="42"/>
      <c r="AB8041">
        <v>40.1</v>
      </c>
      <c r="AC8041">
        <v>44.6</v>
      </c>
      <c r="AE8041" s="74"/>
      <c r="AF8041" s="77"/>
      <c r="AH8041" s="497">
        <v>48.2</v>
      </c>
      <c r="AJ8041" s="42"/>
      <c r="AK8041" s="74"/>
      <c r="AL8041" s="77"/>
      <c r="AN8041" s="497">
        <v>24.08</v>
      </c>
      <c r="AP8041" s="42"/>
      <c r="AQ8041" s="74"/>
      <c r="AR8041" s="77"/>
      <c r="AT8041" s="497">
        <v>19.939999999999998</v>
      </c>
      <c r="AV8041" s="42"/>
      <c r="AW8041" s="74"/>
      <c r="AX8041" s="77"/>
      <c r="BA8041" s="497">
        <v>37.04</v>
      </c>
      <c r="BB8041" s="42"/>
      <c r="BC8041" s="74"/>
      <c r="BD8041" s="77"/>
      <c r="BF8041">
        <v>51.08</v>
      </c>
      <c r="BH8041" s="42"/>
      <c r="BI8041" s="74"/>
      <c r="BJ8041" s="77"/>
      <c r="BL8041" s="497">
        <v>46.04</v>
      </c>
      <c r="BN8041" s="42"/>
      <c r="BO8041" s="74"/>
      <c r="BP8041" s="77"/>
      <c r="BR8041" s="497">
        <v>15.079999999999998</v>
      </c>
      <c r="BT8041" s="42"/>
    </row>
    <row r="8042" spans="1:72" x14ac:dyDescent="0.25">
      <c r="A8042" s="90">
        <v>35765</v>
      </c>
      <c r="B8042" s="20">
        <v>0.33333333333333331</v>
      </c>
      <c r="D8042">
        <v>50</v>
      </c>
      <c r="E8042" t="str">
        <f t="shared" si="286"/>
        <v>WEEKDAY</v>
      </c>
      <c r="F8042" t="e">
        <f t="shared" si="285"/>
        <v>#N/A</v>
      </c>
      <c r="G8042" s="74">
        <v>28460</v>
      </c>
      <c r="H8042" s="77">
        <v>0.33333333333333331</v>
      </c>
      <c r="J8042">
        <v>44.96</v>
      </c>
      <c r="M8042" s="74">
        <v>36861</v>
      </c>
      <c r="N8042" s="77">
        <v>0.33333333333333331</v>
      </c>
      <c r="P8042">
        <v>33.799999999999997</v>
      </c>
      <c r="S8042" s="74">
        <v>35765</v>
      </c>
      <c r="T8042" s="77">
        <v>0.33333333333333331</v>
      </c>
      <c r="V8042">
        <v>39.92</v>
      </c>
      <c r="X8042" s="42"/>
      <c r="AB8042">
        <v>40.1</v>
      </c>
      <c r="AC8042">
        <v>42.8</v>
      </c>
      <c r="AE8042" s="74"/>
      <c r="AF8042" s="77"/>
      <c r="AH8042" s="497">
        <v>50</v>
      </c>
      <c r="AJ8042" s="42"/>
      <c r="AK8042" s="74"/>
      <c r="AL8042" s="77"/>
      <c r="AN8042" s="497">
        <v>24.98</v>
      </c>
      <c r="AP8042" s="42"/>
      <c r="AQ8042" s="74"/>
      <c r="AR8042" s="77"/>
      <c r="AT8042" s="497">
        <v>24.259999999999998</v>
      </c>
      <c r="AV8042" s="42"/>
      <c r="AW8042" s="74"/>
      <c r="AX8042" s="77"/>
      <c r="BA8042" s="497">
        <v>38.299999999999997</v>
      </c>
      <c r="BB8042" s="42"/>
      <c r="BC8042" s="74"/>
      <c r="BD8042" s="77"/>
      <c r="BF8042">
        <v>51.980000000000004</v>
      </c>
      <c r="BH8042" s="42"/>
      <c r="BI8042" s="74"/>
      <c r="BJ8042" s="77"/>
      <c r="BL8042" s="497">
        <v>48.92</v>
      </c>
      <c r="BN8042" s="42"/>
      <c r="BO8042" s="74"/>
      <c r="BP8042" s="77"/>
      <c r="BR8042" s="497">
        <v>17.96</v>
      </c>
      <c r="BT8042" s="42"/>
    </row>
    <row r="8043" spans="1:72" x14ac:dyDescent="0.25">
      <c r="A8043" s="90">
        <v>35765</v>
      </c>
      <c r="B8043" s="20">
        <v>0.375</v>
      </c>
      <c r="D8043">
        <v>50</v>
      </c>
      <c r="E8043" t="str">
        <f t="shared" si="286"/>
        <v>WEEKDAY</v>
      </c>
      <c r="F8043" t="e">
        <f t="shared" ref="F8043:F8106" si="287">IF(E8043="WEEKDAY",VLOOKUP(B8043,$DD$19:$DG$42,2),IF(E8043="SATURDAY",VLOOKUP(B8043,$DD$19:$DG$42,3),VLOOKUP(B8043,$DD$19:$DG$42,4)))</f>
        <v>#N/A</v>
      </c>
      <c r="G8043" s="74">
        <v>28460</v>
      </c>
      <c r="H8043" s="77">
        <v>0.375</v>
      </c>
      <c r="J8043">
        <v>44.96</v>
      </c>
      <c r="M8043" s="74">
        <v>36861</v>
      </c>
      <c r="N8043" s="77">
        <v>0.375</v>
      </c>
      <c r="P8043">
        <v>33.799999999999997</v>
      </c>
      <c r="S8043" s="74">
        <v>35765</v>
      </c>
      <c r="T8043" s="77">
        <v>0.375</v>
      </c>
      <c r="V8043">
        <v>41</v>
      </c>
      <c r="X8043" s="42"/>
      <c r="AB8043">
        <v>41</v>
      </c>
      <c r="AC8043">
        <v>42.8</v>
      </c>
      <c r="AE8043" s="74"/>
      <c r="AF8043" s="77"/>
      <c r="AH8043" s="497">
        <v>51.8</v>
      </c>
      <c r="AJ8043" s="42"/>
      <c r="AK8043" s="74"/>
      <c r="AL8043" s="77"/>
      <c r="AN8043" s="497">
        <v>26.96</v>
      </c>
      <c r="AP8043" s="42"/>
      <c r="AQ8043" s="74"/>
      <c r="AR8043" s="77"/>
      <c r="AT8043" s="497">
        <v>28.759999999999998</v>
      </c>
      <c r="AV8043" s="42"/>
      <c r="AW8043" s="74"/>
      <c r="AX8043" s="77"/>
      <c r="BA8043" s="497">
        <v>39.74</v>
      </c>
      <c r="BB8043" s="42"/>
      <c r="BC8043" s="74"/>
      <c r="BD8043" s="77"/>
      <c r="BF8043">
        <v>55.94</v>
      </c>
      <c r="BH8043" s="42"/>
      <c r="BI8043" s="74"/>
      <c r="BJ8043" s="77"/>
      <c r="BL8043" s="497">
        <v>48.92</v>
      </c>
      <c r="BN8043" s="42"/>
      <c r="BO8043" s="74"/>
      <c r="BP8043" s="77"/>
      <c r="BR8043" s="497">
        <v>24.98</v>
      </c>
      <c r="BT8043" s="42"/>
    </row>
    <row r="8044" spans="1:72" x14ac:dyDescent="0.25">
      <c r="A8044" s="90">
        <v>35765</v>
      </c>
      <c r="B8044" s="20">
        <v>0.41666666666666669</v>
      </c>
      <c r="D8044">
        <v>51.08</v>
      </c>
      <c r="E8044" t="str">
        <f t="shared" si="286"/>
        <v>WEEKDAY</v>
      </c>
      <c r="F8044" t="e">
        <f t="shared" si="287"/>
        <v>#N/A</v>
      </c>
      <c r="G8044" s="74">
        <v>28460</v>
      </c>
      <c r="H8044" s="77">
        <v>0.41666666666666669</v>
      </c>
      <c r="J8044">
        <v>44.96</v>
      </c>
      <c r="M8044" s="74">
        <v>36861</v>
      </c>
      <c r="N8044" s="77">
        <v>0.41666666666666669</v>
      </c>
      <c r="P8044">
        <v>37.4</v>
      </c>
      <c r="S8044" s="74">
        <v>35765</v>
      </c>
      <c r="T8044" s="77">
        <v>0.41666666666666669</v>
      </c>
      <c r="V8044">
        <v>42.08</v>
      </c>
      <c r="X8044" s="42"/>
      <c r="AB8044">
        <v>42.7</v>
      </c>
      <c r="AC8044">
        <v>41</v>
      </c>
      <c r="AE8044" s="74"/>
      <c r="AF8044" s="77"/>
      <c r="AH8044" s="497">
        <v>53.6</v>
      </c>
      <c r="AJ8044" s="42"/>
      <c r="AK8044" s="74"/>
      <c r="AL8044" s="77"/>
      <c r="AN8044" s="497">
        <v>30.02</v>
      </c>
      <c r="AP8044" s="42"/>
      <c r="AQ8044" s="74"/>
      <c r="AR8044" s="77"/>
      <c r="AT8044" s="497">
        <v>33.08</v>
      </c>
      <c r="AV8044" s="42"/>
      <c r="AW8044" s="74"/>
      <c r="AX8044" s="77"/>
      <c r="BA8044" s="497">
        <v>41</v>
      </c>
      <c r="BB8044" s="42"/>
      <c r="BC8044" s="74"/>
      <c r="BD8044" s="77"/>
      <c r="BF8044">
        <v>57.92</v>
      </c>
      <c r="BH8044" s="42"/>
      <c r="BI8044" s="74"/>
      <c r="BJ8044" s="77"/>
      <c r="BL8044" s="497">
        <v>51.980000000000004</v>
      </c>
      <c r="BN8044" s="42"/>
      <c r="BO8044" s="74"/>
      <c r="BP8044" s="77"/>
      <c r="BR8044" s="497">
        <v>28.04</v>
      </c>
      <c r="BT8044" s="42"/>
    </row>
    <row r="8045" spans="1:72" x14ac:dyDescent="0.25">
      <c r="A8045" s="90">
        <v>35765</v>
      </c>
      <c r="B8045" s="20">
        <v>0.45833333333333331</v>
      </c>
      <c r="D8045">
        <v>46.94</v>
      </c>
      <c r="E8045" t="str">
        <f t="shared" si="286"/>
        <v>WEEKDAY</v>
      </c>
      <c r="F8045" t="e">
        <f t="shared" si="287"/>
        <v>#N/A</v>
      </c>
      <c r="G8045" s="74">
        <v>28460</v>
      </c>
      <c r="H8045" s="77">
        <v>0.45833333333333331</v>
      </c>
      <c r="J8045">
        <v>44.96</v>
      </c>
      <c r="M8045" s="74">
        <v>36861</v>
      </c>
      <c r="N8045" s="77">
        <v>0.45833333333333331</v>
      </c>
      <c r="P8045">
        <v>39.200000000000003</v>
      </c>
      <c r="S8045" s="74">
        <v>35765</v>
      </c>
      <c r="T8045" s="77">
        <v>0.45833333333333331</v>
      </c>
      <c r="V8045">
        <v>41</v>
      </c>
      <c r="X8045" s="42"/>
      <c r="AB8045">
        <v>44.2</v>
      </c>
      <c r="AC8045">
        <v>41</v>
      </c>
      <c r="AE8045" s="74"/>
      <c r="AF8045" s="77"/>
      <c r="AH8045" s="497">
        <v>53.6</v>
      </c>
      <c r="AJ8045" s="42"/>
      <c r="AK8045" s="74"/>
      <c r="AL8045" s="77"/>
      <c r="AN8045" s="497">
        <v>32</v>
      </c>
      <c r="AP8045" s="42"/>
      <c r="AQ8045" s="74"/>
      <c r="AR8045" s="77"/>
      <c r="AT8045" s="497">
        <v>35.42</v>
      </c>
      <c r="AV8045" s="42"/>
      <c r="AW8045" s="74"/>
      <c r="AX8045" s="77"/>
      <c r="BA8045" s="497">
        <v>44.96</v>
      </c>
      <c r="BB8045" s="42"/>
      <c r="BC8045" s="74"/>
      <c r="BD8045" s="77"/>
      <c r="BF8045">
        <v>59</v>
      </c>
      <c r="BH8045" s="42"/>
      <c r="BI8045" s="74"/>
      <c r="BJ8045" s="77"/>
      <c r="BL8045" s="497">
        <v>57.019999999999996</v>
      </c>
      <c r="BN8045" s="42"/>
      <c r="BO8045" s="74"/>
      <c r="BP8045" s="77"/>
      <c r="BR8045" s="497">
        <v>30.02</v>
      </c>
      <c r="BT8045" s="42"/>
    </row>
    <row r="8046" spans="1:72" x14ac:dyDescent="0.25">
      <c r="A8046" s="90">
        <v>35765</v>
      </c>
      <c r="B8046" s="20">
        <v>0.5</v>
      </c>
      <c r="D8046">
        <v>46.94</v>
      </c>
      <c r="E8046" t="str">
        <f t="shared" si="286"/>
        <v>WEEKDAY</v>
      </c>
      <c r="F8046" t="e">
        <f t="shared" si="287"/>
        <v>#N/A</v>
      </c>
      <c r="G8046" s="74">
        <v>28460</v>
      </c>
      <c r="H8046" s="77">
        <v>0.5</v>
      </c>
      <c r="J8046">
        <v>44.96</v>
      </c>
      <c r="M8046" s="74">
        <v>36861</v>
      </c>
      <c r="N8046" s="77">
        <v>0.5</v>
      </c>
      <c r="P8046">
        <v>41</v>
      </c>
      <c r="S8046" s="74">
        <v>35765</v>
      </c>
      <c r="T8046" s="77">
        <v>0.5</v>
      </c>
      <c r="V8046">
        <v>41</v>
      </c>
      <c r="X8046" s="42"/>
      <c r="AB8046">
        <v>45.5</v>
      </c>
      <c r="AC8046">
        <v>41</v>
      </c>
      <c r="AE8046" s="74"/>
      <c r="AF8046" s="77"/>
      <c r="AH8046" s="497">
        <v>51.8</v>
      </c>
      <c r="AJ8046" s="42"/>
      <c r="AK8046" s="74"/>
      <c r="AL8046" s="77"/>
      <c r="AN8046" s="497">
        <v>35.06</v>
      </c>
      <c r="AP8046" s="42"/>
      <c r="AQ8046" s="74"/>
      <c r="AR8046" s="77"/>
      <c r="AT8046" s="497">
        <v>37.58</v>
      </c>
      <c r="AV8046" s="42"/>
      <c r="AW8046" s="74"/>
      <c r="AX8046" s="77"/>
      <c r="BA8046" s="497">
        <v>49.1</v>
      </c>
      <c r="BB8046" s="42"/>
      <c r="BC8046" s="74"/>
      <c r="BD8046" s="77"/>
      <c r="BF8046">
        <v>57.019999999999996</v>
      </c>
      <c r="BH8046" s="42"/>
      <c r="BI8046" s="74"/>
      <c r="BJ8046" s="77"/>
      <c r="BL8046" s="497">
        <v>59</v>
      </c>
      <c r="BN8046" s="42"/>
      <c r="BO8046" s="74"/>
      <c r="BP8046" s="77"/>
      <c r="BR8046" s="497">
        <v>30.92</v>
      </c>
      <c r="BT8046" s="42"/>
    </row>
    <row r="8047" spans="1:72" x14ac:dyDescent="0.25">
      <c r="A8047" s="90">
        <v>35765</v>
      </c>
      <c r="B8047" s="20">
        <v>0.54166666666666663</v>
      </c>
      <c r="D8047">
        <v>50</v>
      </c>
      <c r="E8047" t="str">
        <f t="shared" si="286"/>
        <v>WEEKDAY</v>
      </c>
      <c r="F8047" t="e">
        <f t="shared" si="287"/>
        <v>#N/A</v>
      </c>
      <c r="G8047" s="74">
        <v>28460</v>
      </c>
      <c r="H8047" s="77">
        <v>0.54166666666666663</v>
      </c>
      <c r="J8047">
        <v>44.96</v>
      </c>
      <c r="M8047" s="74">
        <v>36861</v>
      </c>
      <c r="N8047" s="77">
        <v>0.54166666666666663</v>
      </c>
      <c r="P8047">
        <v>39.200000000000003</v>
      </c>
      <c r="S8047" s="74">
        <v>35765</v>
      </c>
      <c r="T8047" s="77">
        <v>0.54166666666666663</v>
      </c>
      <c r="V8047">
        <v>41</v>
      </c>
      <c r="X8047" s="42"/>
      <c r="AB8047">
        <v>46.5</v>
      </c>
      <c r="AC8047">
        <v>42.8</v>
      </c>
      <c r="AE8047" s="74"/>
      <c r="AF8047" s="77"/>
      <c r="AH8047" s="497">
        <v>51.8</v>
      </c>
      <c r="AJ8047" s="42"/>
      <c r="AK8047" s="74"/>
      <c r="AL8047" s="77"/>
      <c r="AN8047" s="497">
        <v>37.04</v>
      </c>
      <c r="AP8047" s="42"/>
      <c r="AQ8047" s="74"/>
      <c r="AR8047" s="77"/>
      <c r="AT8047" s="497">
        <v>39.92</v>
      </c>
      <c r="AV8047" s="42"/>
      <c r="AW8047" s="74"/>
      <c r="AX8047" s="77"/>
      <c r="BA8047" s="497">
        <v>53.06</v>
      </c>
      <c r="BB8047" s="42"/>
      <c r="BC8047" s="74"/>
      <c r="BD8047" s="77"/>
      <c r="BF8047">
        <v>57.019999999999996</v>
      </c>
      <c r="BH8047" s="42"/>
      <c r="BI8047" s="74"/>
      <c r="BJ8047" s="77"/>
      <c r="BL8047" s="497">
        <v>60.08</v>
      </c>
      <c r="BN8047" s="42"/>
      <c r="BO8047" s="74"/>
      <c r="BP8047" s="77"/>
      <c r="BR8047" s="497">
        <v>30.92</v>
      </c>
      <c r="BT8047" s="42"/>
    </row>
    <row r="8048" spans="1:72" x14ac:dyDescent="0.25">
      <c r="A8048" s="90">
        <v>35765</v>
      </c>
      <c r="B8048" s="20">
        <v>0.58333333333333337</v>
      </c>
      <c r="D8048">
        <v>48.92</v>
      </c>
      <c r="E8048" t="str">
        <f t="shared" si="286"/>
        <v>WEEKDAY</v>
      </c>
      <c r="F8048" t="e">
        <f t="shared" si="287"/>
        <v>#N/A</v>
      </c>
      <c r="G8048" s="74">
        <v>28460</v>
      </c>
      <c r="H8048" s="77">
        <v>0.58333333333333337</v>
      </c>
      <c r="J8048">
        <v>46.04</v>
      </c>
      <c r="M8048" s="74">
        <v>36861</v>
      </c>
      <c r="N8048" s="77">
        <v>0.58333333333333337</v>
      </c>
      <c r="P8048">
        <v>39.200000000000003</v>
      </c>
      <c r="S8048" s="74">
        <v>35765</v>
      </c>
      <c r="T8048" s="77">
        <v>0.58333333333333337</v>
      </c>
      <c r="V8048">
        <v>39.92</v>
      </c>
      <c r="X8048" s="42"/>
      <c r="AB8048">
        <v>47</v>
      </c>
      <c r="AC8048">
        <v>42.8</v>
      </c>
      <c r="AE8048" s="74"/>
      <c r="AF8048" s="77"/>
      <c r="AH8048" s="497">
        <v>53.6</v>
      </c>
      <c r="AJ8048" s="42"/>
      <c r="AK8048" s="74"/>
      <c r="AL8048" s="77"/>
      <c r="AN8048" s="497">
        <v>39.019999999999996</v>
      </c>
      <c r="AP8048" s="42"/>
      <c r="AQ8048" s="74"/>
      <c r="AR8048" s="77"/>
      <c r="AT8048" s="497">
        <v>39.200000000000003</v>
      </c>
      <c r="AV8048" s="42"/>
      <c r="AW8048" s="74"/>
      <c r="AX8048" s="77"/>
      <c r="BA8048" s="497">
        <v>53.96</v>
      </c>
      <c r="BB8048" s="42"/>
      <c r="BC8048" s="74"/>
      <c r="BD8048" s="77"/>
      <c r="BF8048">
        <v>46.94</v>
      </c>
      <c r="BH8048" s="42"/>
      <c r="BI8048" s="74"/>
      <c r="BJ8048" s="77"/>
      <c r="BL8048" s="497">
        <v>62.06</v>
      </c>
      <c r="BN8048" s="42"/>
      <c r="BO8048" s="74"/>
      <c r="BP8048" s="77"/>
      <c r="BR8048" s="497">
        <v>32</v>
      </c>
      <c r="BT8048" s="42"/>
    </row>
    <row r="8049" spans="1:72" x14ac:dyDescent="0.25">
      <c r="A8049" s="90">
        <v>35765</v>
      </c>
      <c r="B8049" s="20">
        <v>0.625</v>
      </c>
      <c r="D8049">
        <v>42.980000000000004</v>
      </c>
      <c r="E8049" t="str">
        <f t="shared" si="286"/>
        <v>WEEKDAY</v>
      </c>
      <c r="F8049" t="e">
        <f t="shared" si="287"/>
        <v>#N/A</v>
      </c>
      <c r="G8049" s="74">
        <v>28460</v>
      </c>
      <c r="H8049" s="77">
        <v>0.625</v>
      </c>
      <c r="J8049">
        <v>46.04</v>
      </c>
      <c r="M8049" s="74">
        <v>36861</v>
      </c>
      <c r="N8049" s="77">
        <v>0.625</v>
      </c>
      <c r="P8049">
        <v>38.659999999999997</v>
      </c>
      <c r="S8049" s="74">
        <v>35765</v>
      </c>
      <c r="T8049" s="77">
        <v>0.625</v>
      </c>
      <c r="V8049">
        <v>41</v>
      </c>
      <c r="X8049" s="42"/>
      <c r="AB8049">
        <v>47.2</v>
      </c>
      <c r="AC8049">
        <v>42.8</v>
      </c>
      <c r="AE8049" s="74"/>
      <c r="AF8049" s="77"/>
      <c r="AH8049" s="497">
        <v>51.8</v>
      </c>
      <c r="AJ8049" s="42"/>
      <c r="AK8049" s="74"/>
      <c r="AL8049" s="77"/>
      <c r="AN8049" s="497">
        <v>39.019999999999996</v>
      </c>
      <c r="AP8049" s="42"/>
      <c r="AQ8049" s="74"/>
      <c r="AR8049" s="77"/>
      <c r="AT8049" s="497">
        <v>38.659999999999997</v>
      </c>
      <c r="AV8049" s="42"/>
      <c r="AW8049" s="74"/>
      <c r="AX8049" s="77"/>
      <c r="BA8049" s="497">
        <v>55.040000000000006</v>
      </c>
      <c r="BB8049" s="42"/>
      <c r="BC8049" s="74"/>
      <c r="BD8049" s="77"/>
      <c r="BF8049">
        <v>44.96</v>
      </c>
      <c r="BH8049" s="42"/>
      <c r="BI8049" s="74"/>
      <c r="BJ8049" s="77"/>
      <c r="BL8049" s="497">
        <v>50</v>
      </c>
      <c r="BN8049" s="42"/>
      <c r="BO8049" s="74"/>
      <c r="BP8049" s="77"/>
      <c r="BR8049" s="497">
        <v>32</v>
      </c>
      <c r="BT8049" s="42"/>
    </row>
    <row r="8050" spans="1:72" x14ac:dyDescent="0.25">
      <c r="A8050" s="90">
        <v>35765</v>
      </c>
      <c r="B8050" s="20">
        <v>0.66666666666666663</v>
      </c>
      <c r="D8050">
        <v>42.980000000000004</v>
      </c>
      <c r="E8050" t="str">
        <f t="shared" si="286"/>
        <v>WEEKDAY</v>
      </c>
      <c r="F8050" t="e">
        <f t="shared" si="287"/>
        <v>#N/A</v>
      </c>
      <c r="G8050" s="74">
        <v>28460</v>
      </c>
      <c r="H8050" s="77">
        <v>0.66666666666666663</v>
      </c>
      <c r="J8050">
        <v>46.04</v>
      </c>
      <c r="M8050" s="74">
        <v>36861</v>
      </c>
      <c r="N8050" s="77">
        <v>0.66666666666666663</v>
      </c>
      <c r="P8050">
        <v>37.4</v>
      </c>
      <c r="S8050" s="74">
        <v>35765</v>
      </c>
      <c r="T8050" s="77">
        <v>0.66666666666666663</v>
      </c>
      <c r="V8050">
        <v>39.019999999999996</v>
      </c>
      <c r="X8050" s="42"/>
      <c r="AB8050">
        <v>46.9</v>
      </c>
      <c r="AC8050">
        <v>41</v>
      </c>
      <c r="AE8050" s="74"/>
      <c r="AF8050" s="77"/>
      <c r="AH8050" s="497">
        <v>48.2</v>
      </c>
      <c r="AJ8050" s="42"/>
      <c r="AK8050" s="74"/>
      <c r="AL8050" s="77"/>
      <c r="AN8050" s="497">
        <v>37.04</v>
      </c>
      <c r="AP8050" s="42"/>
      <c r="AQ8050" s="74"/>
      <c r="AR8050" s="77"/>
      <c r="AT8050" s="497">
        <v>37.94</v>
      </c>
      <c r="AV8050" s="42"/>
      <c r="AW8050" s="74"/>
      <c r="AX8050" s="77"/>
      <c r="BA8050" s="497">
        <v>55.94</v>
      </c>
      <c r="BB8050" s="42"/>
      <c r="BC8050" s="74"/>
      <c r="BD8050" s="77"/>
      <c r="BF8050">
        <v>44.96</v>
      </c>
      <c r="BH8050" s="42"/>
      <c r="BI8050" s="74"/>
      <c r="BJ8050" s="77"/>
      <c r="BL8050" s="497">
        <v>48.019999999999996</v>
      </c>
      <c r="BN8050" s="42"/>
      <c r="BO8050" s="74"/>
      <c r="BP8050" s="77"/>
      <c r="BR8050" s="497">
        <v>30.92</v>
      </c>
      <c r="BT8050" s="42"/>
    </row>
    <row r="8051" spans="1:72" x14ac:dyDescent="0.25">
      <c r="A8051" s="90">
        <v>35765</v>
      </c>
      <c r="B8051" s="20">
        <v>0.70833333333333337</v>
      </c>
      <c r="D8051">
        <v>42.08</v>
      </c>
      <c r="E8051" t="str">
        <f t="shared" si="286"/>
        <v>WEEKDAY</v>
      </c>
      <c r="F8051" t="e">
        <f t="shared" si="287"/>
        <v>#N/A</v>
      </c>
      <c r="G8051" s="74">
        <v>28460</v>
      </c>
      <c r="H8051" s="77">
        <v>0.70833333333333337</v>
      </c>
      <c r="J8051">
        <v>46.04</v>
      </c>
      <c r="M8051" s="74">
        <v>36861</v>
      </c>
      <c r="N8051" s="77">
        <v>0.70833333333333337</v>
      </c>
      <c r="P8051">
        <v>35.6</v>
      </c>
      <c r="S8051" s="74">
        <v>35765</v>
      </c>
      <c r="T8051" s="77">
        <v>0.70833333333333337</v>
      </c>
      <c r="V8051">
        <v>37.94</v>
      </c>
      <c r="X8051" s="42"/>
      <c r="AB8051">
        <v>45.9</v>
      </c>
      <c r="AC8051">
        <v>39.200000000000003</v>
      </c>
      <c r="AE8051" s="74"/>
      <c r="AF8051" s="77"/>
      <c r="AH8051" s="497">
        <v>48.2</v>
      </c>
      <c r="AJ8051" s="42"/>
      <c r="AK8051" s="74"/>
      <c r="AL8051" s="77"/>
      <c r="AN8051" s="497">
        <v>35.96</v>
      </c>
      <c r="AP8051" s="42"/>
      <c r="AQ8051" s="74"/>
      <c r="AR8051" s="77"/>
      <c r="AT8051" s="497">
        <v>37.58</v>
      </c>
      <c r="AV8051" s="42"/>
      <c r="AW8051" s="74"/>
      <c r="AX8051" s="77"/>
      <c r="BA8051" s="497">
        <v>52.879999999999995</v>
      </c>
      <c r="BB8051" s="42"/>
      <c r="BC8051" s="74"/>
      <c r="BD8051" s="77"/>
      <c r="BF8051">
        <v>44.96</v>
      </c>
      <c r="BH8051" s="42"/>
      <c r="BI8051" s="74"/>
      <c r="BJ8051" s="77"/>
      <c r="BL8051" s="497">
        <v>46.94</v>
      </c>
      <c r="BN8051" s="42"/>
      <c r="BO8051" s="74"/>
      <c r="BP8051" s="77"/>
      <c r="BR8051" s="497">
        <v>30.02</v>
      </c>
      <c r="BT8051" s="42"/>
    </row>
    <row r="8052" spans="1:72" x14ac:dyDescent="0.25">
      <c r="A8052" s="90">
        <v>35765</v>
      </c>
      <c r="B8052" s="20">
        <v>0.75</v>
      </c>
      <c r="D8052">
        <v>39.92</v>
      </c>
      <c r="E8052" t="str">
        <f t="shared" si="286"/>
        <v>WEEKDAY</v>
      </c>
      <c r="F8052" t="e">
        <f t="shared" si="287"/>
        <v>#N/A</v>
      </c>
      <c r="G8052" s="74">
        <v>28460</v>
      </c>
      <c r="H8052" s="77">
        <v>0.75</v>
      </c>
      <c r="J8052">
        <v>46.04</v>
      </c>
      <c r="M8052" s="74">
        <v>36861</v>
      </c>
      <c r="N8052" s="77">
        <v>0.75</v>
      </c>
      <c r="P8052">
        <v>35.6</v>
      </c>
      <c r="S8052" s="74">
        <v>35765</v>
      </c>
      <c r="T8052" s="77">
        <v>0.75</v>
      </c>
      <c r="V8052">
        <v>35.96</v>
      </c>
      <c r="X8052" s="42"/>
      <c r="AB8052">
        <v>44.7</v>
      </c>
      <c r="AC8052">
        <v>37.4</v>
      </c>
      <c r="AE8052" s="74"/>
      <c r="AF8052" s="77"/>
      <c r="AH8052" s="497">
        <v>46.4</v>
      </c>
      <c r="AJ8052" s="42"/>
      <c r="AK8052" s="74"/>
      <c r="AL8052" s="77"/>
      <c r="AN8052" s="497">
        <v>35.06</v>
      </c>
      <c r="AP8052" s="42"/>
      <c r="AQ8052" s="74"/>
      <c r="AR8052" s="77"/>
      <c r="AT8052" s="497">
        <v>37.4</v>
      </c>
      <c r="AV8052" s="42"/>
      <c r="AW8052" s="74"/>
      <c r="AX8052" s="77"/>
      <c r="BA8052" s="497">
        <v>50</v>
      </c>
      <c r="BB8052" s="42"/>
      <c r="BC8052" s="74"/>
      <c r="BD8052" s="77"/>
      <c r="BF8052">
        <v>44.06</v>
      </c>
      <c r="BH8052" s="42"/>
      <c r="BI8052" s="74"/>
      <c r="BJ8052" s="77"/>
      <c r="BL8052" s="497">
        <v>46.04</v>
      </c>
      <c r="BN8052" s="42"/>
      <c r="BO8052" s="74"/>
      <c r="BP8052" s="77"/>
      <c r="BR8052" s="497">
        <v>30.02</v>
      </c>
      <c r="BT8052" s="42"/>
    </row>
    <row r="8053" spans="1:72" x14ac:dyDescent="0.25">
      <c r="A8053" s="90">
        <v>35765</v>
      </c>
      <c r="B8053" s="20">
        <v>0.79166666666666663</v>
      </c>
      <c r="D8053">
        <v>39.92</v>
      </c>
      <c r="E8053" t="str">
        <f t="shared" si="286"/>
        <v>WEEKDAY</v>
      </c>
      <c r="F8053" t="e">
        <f t="shared" si="287"/>
        <v>#N/A</v>
      </c>
      <c r="G8053" s="74">
        <v>28460</v>
      </c>
      <c r="H8053" s="77">
        <v>0.79166666666666663</v>
      </c>
      <c r="J8053">
        <v>46.94</v>
      </c>
      <c r="M8053" s="74">
        <v>36861</v>
      </c>
      <c r="N8053" s="77">
        <v>0.79166666666666663</v>
      </c>
      <c r="P8053">
        <v>35.6</v>
      </c>
      <c r="S8053" s="74">
        <v>35765</v>
      </c>
      <c r="T8053" s="77">
        <v>0.79166666666666663</v>
      </c>
      <c r="V8053">
        <v>35.06</v>
      </c>
      <c r="X8053" s="42"/>
      <c r="AB8053">
        <v>44.2</v>
      </c>
      <c r="AC8053">
        <v>37.4</v>
      </c>
      <c r="AE8053" s="74"/>
      <c r="AF8053" s="77"/>
      <c r="AH8053" s="497">
        <v>46.4</v>
      </c>
      <c r="AJ8053" s="42"/>
      <c r="AK8053" s="74"/>
      <c r="AL8053" s="77"/>
      <c r="AN8053" s="497">
        <v>33.979999999999997</v>
      </c>
      <c r="AP8053" s="42"/>
      <c r="AQ8053" s="74"/>
      <c r="AR8053" s="77"/>
      <c r="AT8053" s="497">
        <v>37.04</v>
      </c>
      <c r="AV8053" s="42"/>
      <c r="AW8053" s="74"/>
      <c r="AX8053" s="77"/>
      <c r="BA8053" s="497">
        <v>46.94</v>
      </c>
      <c r="BB8053" s="42"/>
      <c r="BC8053" s="74"/>
      <c r="BD8053" s="77"/>
      <c r="BF8053">
        <v>44.06</v>
      </c>
      <c r="BH8053" s="42"/>
      <c r="BI8053" s="74"/>
      <c r="BJ8053" s="77"/>
      <c r="BL8053" s="497">
        <v>46.04</v>
      </c>
      <c r="BN8053" s="42"/>
      <c r="BO8053" s="74"/>
      <c r="BP8053" s="77"/>
      <c r="BR8053" s="497">
        <v>30.92</v>
      </c>
      <c r="BT8053" s="42"/>
    </row>
    <row r="8054" spans="1:72" x14ac:dyDescent="0.25">
      <c r="A8054" s="90">
        <v>35765</v>
      </c>
      <c r="B8054" s="20">
        <v>0.83333333333333337</v>
      </c>
      <c r="D8054">
        <v>39.92</v>
      </c>
      <c r="E8054" t="str">
        <f t="shared" si="286"/>
        <v>WEEKDAY</v>
      </c>
      <c r="F8054" t="e">
        <f t="shared" si="287"/>
        <v>#N/A</v>
      </c>
      <c r="G8054" s="74">
        <v>28460</v>
      </c>
      <c r="H8054" s="77">
        <v>0.83333333333333337</v>
      </c>
      <c r="J8054">
        <v>46.94</v>
      </c>
      <c r="M8054" s="74">
        <v>36861</v>
      </c>
      <c r="N8054" s="77">
        <v>0.83333333333333337</v>
      </c>
      <c r="P8054">
        <v>33.799999999999997</v>
      </c>
      <c r="S8054" s="74">
        <v>35765</v>
      </c>
      <c r="T8054" s="77">
        <v>0.83333333333333337</v>
      </c>
      <c r="V8054">
        <v>33.979999999999997</v>
      </c>
      <c r="X8054" s="42"/>
      <c r="AB8054">
        <v>43.9</v>
      </c>
      <c r="AC8054">
        <v>35.6</v>
      </c>
      <c r="AE8054" s="74"/>
      <c r="AF8054" s="77"/>
      <c r="AH8054" s="497">
        <v>46.4</v>
      </c>
      <c r="AJ8054" s="42"/>
      <c r="AK8054" s="74"/>
      <c r="AL8054" s="77"/>
      <c r="AN8054" s="497">
        <v>33.979999999999997</v>
      </c>
      <c r="AP8054" s="42"/>
      <c r="AQ8054" s="74"/>
      <c r="AR8054" s="77"/>
      <c r="AT8054" s="497">
        <v>37.04</v>
      </c>
      <c r="AV8054" s="42"/>
      <c r="AW8054" s="74"/>
      <c r="AX8054" s="77"/>
      <c r="BA8054" s="497">
        <v>46.94</v>
      </c>
      <c r="BB8054" s="42"/>
      <c r="BC8054" s="74"/>
      <c r="BD8054" s="77"/>
      <c r="BF8054">
        <v>42.980000000000004</v>
      </c>
      <c r="BH8054" s="42"/>
      <c r="BI8054" s="74"/>
      <c r="BJ8054" s="77"/>
      <c r="BL8054" s="497">
        <v>46.04</v>
      </c>
      <c r="BN8054" s="42"/>
      <c r="BO8054" s="74"/>
      <c r="BP8054" s="77"/>
      <c r="BR8054" s="497">
        <v>30.02</v>
      </c>
      <c r="BT8054" s="42"/>
    </row>
    <row r="8055" spans="1:72" x14ac:dyDescent="0.25">
      <c r="A8055" s="90">
        <v>35765</v>
      </c>
      <c r="B8055" s="20">
        <v>0.875</v>
      </c>
      <c r="D8055">
        <v>37.94</v>
      </c>
      <c r="E8055" t="str">
        <f t="shared" si="286"/>
        <v>WEEKDAY</v>
      </c>
      <c r="F8055" t="e">
        <f t="shared" si="287"/>
        <v>#N/A</v>
      </c>
      <c r="G8055" s="74">
        <v>28460</v>
      </c>
      <c r="H8055" s="77">
        <v>0.875</v>
      </c>
      <c r="J8055">
        <v>46.94</v>
      </c>
      <c r="M8055" s="74">
        <v>36861</v>
      </c>
      <c r="N8055" s="77">
        <v>0.875</v>
      </c>
      <c r="P8055">
        <v>32</v>
      </c>
      <c r="S8055" s="74">
        <v>35765</v>
      </c>
      <c r="T8055" s="77">
        <v>0.875</v>
      </c>
      <c r="V8055">
        <v>33.979999999999997</v>
      </c>
      <c r="X8055" s="42"/>
      <c r="AB8055">
        <v>43.5</v>
      </c>
      <c r="AC8055">
        <v>33.799999999999997</v>
      </c>
      <c r="AE8055" s="74"/>
      <c r="AF8055" s="77"/>
      <c r="AH8055" s="497">
        <v>44.6</v>
      </c>
      <c r="AJ8055" s="42"/>
      <c r="AK8055" s="74"/>
      <c r="AL8055" s="77"/>
      <c r="AN8055" s="497">
        <v>33.979999999999997</v>
      </c>
      <c r="AP8055" s="42"/>
      <c r="AQ8055" s="74"/>
      <c r="AR8055" s="77"/>
      <c r="AT8055" s="497">
        <v>37.04</v>
      </c>
      <c r="AV8055" s="42"/>
      <c r="AW8055" s="74"/>
      <c r="AX8055" s="77"/>
      <c r="BA8055" s="497">
        <v>46.94</v>
      </c>
      <c r="BB8055" s="42"/>
      <c r="BC8055" s="74"/>
      <c r="BD8055" s="77"/>
      <c r="BF8055">
        <v>42.980000000000004</v>
      </c>
      <c r="BH8055" s="42"/>
      <c r="BI8055" s="74"/>
      <c r="BJ8055" s="77"/>
      <c r="BL8055" s="497">
        <v>46.04</v>
      </c>
      <c r="BN8055" s="42"/>
      <c r="BO8055" s="74"/>
      <c r="BP8055" s="77"/>
      <c r="BR8055" s="497">
        <v>30.02</v>
      </c>
      <c r="BT8055" s="42"/>
    </row>
    <row r="8056" spans="1:72" x14ac:dyDescent="0.25">
      <c r="A8056" s="90">
        <v>35765</v>
      </c>
      <c r="B8056" s="20">
        <v>0.91666666666666663</v>
      </c>
      <c r="D8056">
        <v>37.94</v>
      </c>
      <c r="E8056" t="str">
        <f t="shared" si="286"/>
        <v>WEEKDAY</v>
      </c>
      <c r="F8056" t="e">
        <f t="shared" si="287"/>
        <v>#N/A</v>
      </c>
      <c r="G8056" s="74">
        <v>28460</v>
      </c>
      <c r="H8056" s="77">
        <v>0.91666666666666663</v>
      </c>
      <c r="J8056">
        <v>46.94</v>
      </c>
      <c r="M8056" s="74">
        <v>36861</v>
      </c>
      <c r="N8056" s="77">
        <v>0.91666666666666663</v>
      </c>
      <c r="P8056">
        <v>30.92</v>
      </c>
      <c r="S8056" s="74">
        <v>35765</v>
      </c>
      <c r="T8056" s="77">
        <v>0.91666666666666663</v>
      </c>
      <c r="V8056">
        <v>33.979999999999997</v>
      </c>
      <c r="X8056" s="42"/>
      <c r="AB8056">
        <v>42.9</v>
      </c>
      <c r="AC8056">
        <v>35.6</v>
      </c>
      <c r="AE8056" s="74"/>
      <c r="AF8056" s="77"/>
      <c r="AH8056" s="497">
        <v>44.6</v>
      </c>
      <c r="AJ8056" s="42"/>
      <c r="AK8056" s="74"/>
      <c r="AL8056" s="77"/>
      <c r="AN8056" s="497">
        <v>33.979999999999997</v>
      </c>
      <c r="AP8056" s="42"/>
      <c r="AQ8056" s="74"/>
      <c r="AR8056" s="77"/>
      <c r="AT8056" s="497">
        <v>37.04</v>
      </c>
      <c r="AV8056" s="42"/>
      <c r="AW8056" s="74"/>
      <c r="AX8056" s="77"/>
      <c r="BA8056" s="497">
        <v>46.94</v>
      </c>
      <c r="BB8056" s="42"/>
      <c r="BC8056" s="74"/>
      <c r="BD8056" s="77"/>
      <c r="BF8056">
        <v>42.980000000000004</v>
      </c>
      <c r="BH8056" s="42"/>
      <c r="BI8056" s="74"/>
      <c r="BJ8056" s="77"/>
      <c r="BL8056" s="497">
        <v>44.06</v>
      </c>
      <c r="BN8056" s="42"/>
      <c r="BO8056" s="74"/>
      <c r="BP8056" s="77"/>
      <c r="BR8056" s="497">
        <v>33.08</v>
      </c>
      <c r="BT8056" s="42"/>
    </row>
    <row r="8057" spans="1:72" x14ac:dyDescent="0.25">
      <c r="A8057" s="90">
        <v>35765</v>
      </c>
      <c r="B8057" s="20">
        <v>0.95833333333333337</v>
      </c>
      <c r="D8057">
        <v>37.04</v>
      </c>
      <c r="E8057" t="str">
        <f t="shared" si="286"/>
        <v>WEEKDAY</v>
      </c>
      <c r="F8057" t="e">
        <f t="shared" si="287"/>
        <v>#N/A</v>
      </c>
      <c r="G8057" s="74">
        <v>28460</v>
      </c>
      <c r="H8057" s="77">
        <v>0.95833333333333337</v>
      </c>
      <c r="J8057">
        <v>46.94</v>
      </c>
      <c r="M8057" s="74">
        <v>36861</v>
      </c>
      <c r="N8057" s="77">
        <v>0.95833333333333337</v>
      </c>
      <c r="P8057">
        <v>30.2</v>
      </c>
      <c r="S8057" s="74">
        <v>35765</v>
      </c>
      <c r="T8057" s="77">
        <v>0.95833333333333337</v>
      </c>
      <c r="V8057">
        <v>35.06</v>
      </c>
      <c r="X8057" s="42"/>
      <c r="AB8057">
        <v>42.4</v>
      </c>
      <c r="AC8057">
        <v>35.6</v>
      </c>
      <c r="AE8057" s="74"/>
      <c r="AF8057" s="77"/>
      <c r="AH8057" s="497">
        <v>44.6</v>
      </c>
      <c r="AJ8057" s="42"/>
      <c r="AK8057" s="74"/>
      <c r="AL8057" s="77"/>
      <c r="AN8057" s="497">
        <v>33.979999999999997</v>
      </c>
      <c r="AP8057" s="42"/>
      <c r="AQ8057" s="74"/>
      <c r="AR8057" s="77"/>
      <c r="AT8057" s="497">
        <v>36.32</v>
      </c>
      <c r="AV8057" s="42"/>
      <c r="AW8057" s="74"/>
      <c r="AX8057" s="77"/>
      <c r="BA8057" s="497">
        <v>44.6</v>
      </c>
      <c r="BB8057" s="42"/>
      <c r="BC8057" s="74"/>
      <c r="BD8057" s="77"/>
      <c r="BF8057">
        <v>42.08</v>
      </c>
      <c r="BH8057" s="42"/>
      <c r="BI8057" s="74"/>
      <c r="BJ8057" s="77"/>
      <c r="BL8057" s="497">
        <v>42.980000000000004</v>
      </c>
      <c r="BN8057" s="42"/>
      <c r="BO8057" s="74"/>
      <c r="BP8057" s="77"/>
      <c r="BR8057" s="497">
        <v>33.08</v>
      </c>
      <c r="BT8057" s="42"/>
    </row>
    <row r="8058" spans="1:72" x14ac:dyDescent="0.25">
      <c r="A8058" s="90">
        <v>35765</v>
      </c>
      <c r="B8058" s="20">
        <v>1</v>
      </c>
      <c r="D8058">
        <v>37.04</v>
      </c>
      <c r="E8058" t="str">
        <f t="shared" si="286"/>
        <v>WEEKDAY</v>
      </c>
      <c r="F8058" t="e">
        <f t="shared" si="287"/>
        <v>#N/A</v>
      </c>
      <c r="G8058" s="74">
        <v>28460</v>
      </c>
      <c r="H8058" s="77">
        <v>1</v>
      </c>
      <c r="J8058">
        <v>46.94</v>
      </c>
      <c r="M8058" s="74">
        <v>36861</v>
      </c>
      <c r="N8058" s="80">
        <v>1</v>
      </c>
      <c r="P8058">
        <v>30.2</v>
      </c>
      <c r="S8058" s="74">
        <v>35765</v>
      </c>
      <c r="T8058" s="80">
        <v>1</v>
      </c>
      <c r="V8058">
        <v>35.06</v>
      </c>
      <c r="X8058" s="42"/>
      <c r="AB8058">
        <v>42</v>
      </c>
      <c r="AC8058">
        <v>35.6</v>
      </c>
      <c r="AE8058" s="74"/>
      <c r="AF8058" s="80"/>
      <c r="AH8058" s="497">
        <v>42.8</v>
      </c>
      <c r="AJ8058" s="42"/>
      <c r="AK8058" s="74"/>
      <c r="AL8058" s="80"/>
      <c r="AN8058" s="497">
        <v>33.08</v>
      </c>
      <c r="AP8058" s="42"/>
      <c r="AQ8058" s="74"/>
      <c r="AR8058" s="80"/>
      <c r="AT8058" s="497">
        <v>35.78</v>
      </c>
      <c r="AV8058" s="42"/>
      <c r="AW8058" s="74"/>
      <c r="AX8058" s="80"/>
      <c r="BA8058" s="497">
        <v>42.26</v>
      </c>
      <c r="BB8058" s="42"/>
      <c r="BC8058" s="74"/>
      <c r="BD8058" s="80"/>
      <c r="BF8058">
        <v>41</v>
      </c>
      <c r="BH8058" s="42"/>
      <c r="BI8058" s="74"/>
      <c r="BJ8058" s="80"/>
      <c r="BL8058" s="497">
        <v>42.08</v>
      </c>
      <c r="BN8058" s="42"/>
      <c r="BO8058" s="74"/>
      <c r="BP8058" s="80"/>
      <c r="BR8058" s="497">
        <v>35.06</v>
      </c>
      <c r="BT8058" s="42"/>
    </row>
    <row r="8059" spans="1:72" x14ac:dyDescent="0.25">
      <c r="A8059" s="90">
        <v>35766</v>
      </c>
      <c r="B8059" s="20">
        <v>4.1666666666666664E-2</v>
      </c>
      <c r="D8059">
        <v>37.04</v>
      </c>
      <c r="E8059" t="str">
        <f t="shared" si="286"/>
        <v>WEEKDAY</v>
      </c>
      <c r="F8059" t="e">
        <f t="shared" si="287"/>
        <v>#N/A</v>
      </c>
      <c r="G8059" s="74">
        <v>28461</v>
      </c>
      <c r="H8059" s="77">
        <v>4.1666666666666664E-2</v>
      </c>
      <c r="J8059">
        <v>46.04</v>
      </c>
      <c r="M8059" s="74">
        <v>36862</v>
      </c>
      <c r="N8059" s="77">
        <v>4.1666666666666664E-2</v>
      </c>
      <c r="P8059">
        <v>30.2</v>
      </c>
      <c r="S8059" s="74">
        <v>35766</v>
      </c>
      <c r="T8059" s="77">
        <v>4.1666666666666664E-2</v>
      </c>
      <c r="V8059">
        <v>35.06</v>
      </c>
      <c r="X8059" s="42"/>
      <c r="AB8059">
        <v>41.6</v>
      </c>
      <c r="AC8059">
        <v>35.6</v>
      </c>
      <c r="AE8059" s="74"/>
      <c r="AF8059" s="77"/>
      <c r="AH8059" s="497">
        <v>42.8</v>
      </c>
      <c r="AJ8059" s="42"/>
      <c r="AK8059" s="74"/>
      <c r="AL8059" s="77"/>
      <c r="AN8059" s="497">
        <v>33.979999999999997</v>
      </c>
      <c r="AP8059" s="42"/>
      <c r="AQ8059" s="74"/>
      <c r="AR8059" s="77"/>
      <c r="AT8059" s="497">
        <v>35.06</v>
      </c>
      <c r="AV8059" s="42"/>
      <c r="AW8059" s="74"/>
      <c r="AX8059" s="77"/>
      <c r="BA8059" s="497">
        <v>39.92</v>
      </c>
      <c r="BB8059" s="42"/>
      <c r="BC8059" s="74"/>
      <c r="BD8059" s="77"/>
      <c r="BF8059">
        <v>41</v>
      </c>
      <c r="BH8059" s="42"/>
      <c r="BI8059" s="74"/>
      <c r="BJ8059" s="77"/>
      <c r="BL8059" s="497">
        <v>42.08</v>
      </c>
      <c r="BN8059" s="42"/>
      <c r="BO8059" s="74"/>
      <c r="BP8059" s="77"/>
      <c r="BR8059" s="497">
        <v>33.979999999999997</v>
      </c>
      <c r="BT8059" s="42"/>
    </row>
    <row r="8060" spans="1:72" x14ac:dyDescent="0.25">
      <c r="A8060" s="90">
        <v>35766</v>
      </c>
      <c r="B8060" s="20">
        <v>8.3333333333333329E-2</v>
      </c>
      <c r="D8060">
        <v>37.04</v>
      </c>
      <c r="E8060" t="str">
        <f t="shared" si="286"/>
        <v>WEEKDAY</v>
      </c>
      <c r="F8060" t="e">
        <f t="shared" si="287"/>
        <v>#N/A</v>
      </c>
      <c r="G8060" s="74">
        <v>28461</v>
      </c>
      <c r="H8060" s="77">
        <v>8.3333333333333329E-2</v>
      </c>
      <c r="J8060">
        <v>44.96</v>
      </c>
      <c r="M8060" s="74">
        <v>36862</v>
      </c>
      <c r="N8060" s="77">
        <v>8.3333333333333329E-2</v>
      </c>
      <c r="P8060">
        <v>28.4</v>
      </c>
      <c r="S8060" s="74">
        <v>35766</v>
      </c>
      <c r="T8060" s="77">
        <v>8.3333333333333329E-2</v>
      </c>
      <c r="V8060">
        <v>35.06</v>
      </c>
      <c r="X8060" s="42"/>
      <c r="AB8060">
        <v>41.1</v>
      </c>
      <c r="AC8060">
        <v>35.6</v>
      </c>
      <c r="AE8060" s="74"/>
      <c r="AF8060" s="77"/>
      <c r="AH8060" s="497">
        <v>42.8</v>
      </c>
      <c r="AJ8060" s="42"/>
      <c r="AK8060" s="74"/>
      <c r="AL8060" s="77"/>
      <c r="AN8060" s="497">
        <v>33.979999999999997</v>
      </c>
      <c r="AP8060" s="42"/>
      <c r="AQ8060" s="74"/>
      <c r="AR8060" s="77"/>
      <c r="AT8060" s="497">
        <v>35.42</v>
      </c>
      <c r="AV8060" s="42"/>
      <c r="AW8060" s="74"/>
      <c r="AX8060" s="77"/>
      <c r="BA8060" s="497">
        <v>41</v>
      </c>
      <c r="BB8060" s="42"/>
      <c r="BC8060" s="74"/>
      <c r="BD8060" s="77"/>
      <c r="BF8060">
        <v>41</v>
      </c>
      <c r="BH8060" s="42"/>
      <c r="BI8060" s="74"/>
      <c r="BJ8060" s="77"/>
      <c r="BL8060" s="497">
        <v>42.08</v>
      </c>
      <c r="BN8060" s="42"/>
      <c r="BO8060" s="74"/>
      <c r="BP8060" s="77"/>
      <c r="BR8060" s="497">
        <v>32</v>
      </c>
      <c r="BT8060" s="42"/>
    </row>
    <row r="8061" spans="1:72" x14ac:dyDescent="0.25">
      <c r="A8061" s="90">
        <v>35766</v>
      </c>
      <c r="B8061" s="20">
        <v>0.125</v>
      </c>
      <c r="D8061">
        <v>35.96</v>
      </c>
      <c r="E8061" t="str">
        <f t="shared" si="286"/>
        <v>WEEKDAY</v>
      </c>
      <c r="F8061" t="e">
        <f t="shared" si="287"/>
        <v>#N/A</v>
      </c>
      <c r="G8061" s="74">
        <v>28461</v>
      </c>
      <c r="H8061" s="77">
        <v>0.125</v>
      </c>
      <c r="J8061">
        <v>44.96</v>
      </c>
      <c r="M8061" s="74">
        <v>36862</v>
      </c>
      <c r="N8061" s="77">
        <v>0.125</v>
      </c>
      <c r="P8061">
        <v>28.4</v>
      </c>
      <c r="S8061" s="74">
        <v>35766</v>
      </c>
      <c r="T8061" s="77">
        <v>0.125</v>
      </c>
      <c r="V8061">
        <v>33.979999999999997</v>
      </c>
      <c r="X8061" s="42"/>
      <c r="AB8061">
        <v>40.6</v>
      </c>
      <c r="AC8061">
        <v>35.6</v>
      </c>
      <c r="AE8061" s="74"/>
      <c r="AF8061" s="77"/>
      <c r="AH8061" s="497">
        <v>42.8</v>
      </c>
      <c r="AJ8061" s="42"/>
      <c r="AK8061" s="74"/>
      <c r="AL8061" s="77"/>
      <c r="AN8061" s="497">
        <v>35.06</v>
      </c>
      <c r="AP8061" s="42"/>
      <c r="AQ8061" s="74"/>
      <c r="AR8061" s="77"/>
      <c r="AT8061" s="497">
        <v>35.6</v>
      </c>
      <c r="AV8061" s="42"/>
      <c r="AW8061" s="74"/>
      <c r="AX8061" s="77"/>
      <c r="BA8061" s="497">
        <v>41.9</v>
      </c>
      <c r="BB8061" s="42"/>
      <c r="BC8061" s="74"/>
      <c r="BD8061" s="77"/>
      <c r="BF8061">
        <v>41</v>
      </c>
      <c r="BH8061" s="42"/>
      <c r="BI8061" s="74"/>
      <c r="BJ8061" s="77"/>
      <c r="BL8061" s="497">
        <v>42.08</v>
      </c>
      <c r="BN8061" s="42"/>
      <c r="BO8061" s="74"/>
      <c r="BP8061" s="77"/>
      <c r="BR8061" s="497">
        <v>32</v>
      </c>
      <c r="BT8061" s="42"/>
    </row>
    <row r="8062" spans="1:72" x14ac:dyDescent="0.25">
      <c r="A8062" s="90">
        <v>35766</v>
      </c>
      <c r="B8062" s="20">
        <v>0.16666666666666666</v>
      </c>
      <c r="D8062">
        <v>35.96</v>
      </c>
      <c r="E8062" t="str">
        <f t="shared" si="286"/>
        <v>WEEKDAY</v>
      </c>
      <c r="F8062" t="e">
        <f t="shared" si="287"/>
        <v>#N/A</v>
      </c>
      <c r="G8062" s="74">
        <v>28461</v>
      </c>
      <c r="H8062" s="77">
        <v>0.16666666666666666</v>
      </c>
      <c r="J8062">
        <v>44.96</v>
      </c>
      <c r="M8062" s="74">
        <v>36862</v>
      </c>
      <c r="N8062" s="77">
        <v>0.16666666666666666</v>
      </c>
      <c r="P8062">
        <v>26.6</v>
      </c>
      <c r="S8062" s="74">
        <v>35766</v>
      </c>
      <c r="T8062" s="77">
        <v>0.16666666666666666</v>
      </c>
      <c r="V8062">
        <v>33.979999999999997</v>
      </c>
      <c r="X8062" s="42"/>
      <c r="AB8062">
        <v>40.299999999999997</v>
      </c>
      <c r="AC8062">
        <v>35.6</v>
      </c>
      <c r="AE8062" s="74"/>
      <c r="AF8062" s="77"/>
      <c r="AH8062" s="497">
        <v>41</v>
      </c>
      <c r="AJ8062" s="42"/>
      <c r="AK8062" s="74"/>
      <c r="AL8062" s="77"/>
      <c r="AN8062" s="497">
        <v>35.06</v>
      </c>
      <c r="AP8062" s="42"/>
      <c r="AQ8062" s="74"/>
      <c r="AR8062" s="77"/>
      <c r="AT8062" s="497">
        <v>35.96</v>
      </c>
      <c r="AV8062" s="42"/>
      <c r="AW8062" s="74"/>
      <c r="AX8062" s="77"/>
      <c r="BA8062" s="497">
        <v>42.980000000000004</v>
      </c>
      <c r="BB8062" s="42"/>
      <c r="BC8062" s="74"/>
      <c r="BD8062" s="77"/>
      <c r="BF8062">
        <v>42.08</v>
      </c>
      <c r="BH8062" s="42"/>
      <c r="BI8062" s="74"/>
      <c r="BJ8062" s="77"/>
      <c r="BL8062" s="497">
        <v>42.980000000000004</v>
      </c>
      <c r="BN8062" s="42"/>
      <c r="BO8062" s="74"/>
      <c r="BP8062" s="77"/>
      <c r="BR8062" s="497">
        <v>30.92</v>
      </c>
      <c r="BT8062" s="42"/>
    </row>
    <row r="8063" spans="1:72" x14ac:dyDescent="0.25">
      <c r="A8063" s="90">
        <v>35766</v>
      </c>
      <c r="B8063" s="20">
        <v>0.20833333333333334</v>
      </c>
      <c r="D8063">
        <v>35.06</v>
      </c>
      <c r="E8063" t="str">
        <f t="shared" si="286"/>
        <v>WEEKDAY</v>
      </c>
      <c r="F8063" t="e">
        <f t="shared" si="287"/>
        <v>#N/A</v>
      </c>
      <c r="G8063" s="74">
        <v>28461</v>
      </c>
      <c r="H8063" s="77">
        <v>0.20833333333333334</v>
      </c>
      <c r="J8063">
        <v>44.06</v>
      </c>
      <c r="M8063" s="74">
        <v>36862</v>
      </c>
      <c r="N8063" s="77">
        <v>0.20833333333333334</v>
      </c>
      <c r="P8063">
        <v>26.6</v>
      </c>
      <c r="S8063" s="74">
        <v>35766</v>
      </c>
      <c r="T8063" s="77">
        <v>0.20833333333333334</v>
      </c>
      <c r="V8063">
        <v>33.979999999999997</v>
      </c>
      <c r="X8063" s="42"/>
      <c r="AB8063">
        <v>39.9</v>
      </c>
      <c r="AC8063">
        <v>33.799999999999997</v>
      </c>
      <c r="AE8063" s="74"/>
      <c r="AF8063" s="77"/>
      <c r="AH8063" s="497">
        <v>39.200000000000003</v>
      </c>
      <c r="AJ8063" s="42"/>
      <c r="AK8063" s="74"/>
      <c r="AL8063" s="77"/>
      <c r="AN8063" s="497">
        <v>35.96</v>
      </c>
      <c r="AP8063" s="42"/>
      <c r="AQ8063" s="74"/>
      <c r="AR8063" s="77"/>
      <c r="AT8063" s="497">
        <v>36.32</v>
      </c>
      <c r="AV8063" s="42"/>
      <c r="AW8063" s="74"/>
      <c r="AX8063" s="77"/>
      <c r="BA8063" s="497">
        <v>43.34</v>
      </c>
      <c r="BB8063" s="42"/>
      <c r="BC8063" s="74"/>
      <c r="BD8063" s="77"/>
      <c r="BF8063">
        <v>42.08</v>
      </c>
      <c r="BH8063" s="42"/>
      <c r="BI8063" s="74"/>
      <c r="BJ8063" s="77"/>
      <c r="BL8063" s="497">
        <v>42.980000000000004</v>
      </c>
      <c r="BN8063" s="42"/>
      <c r="BO8063" s="74"/>
      <c r="BP8063" s="77"/>
      <c r="BR8063" s="497">
        <v>28.04</v>
      </c>
      <c r="BT8063" s="42"/>
    </row>
    <row r="8064" spans="1:72" x14ac:dyDescent="0.25">
      <c r="A8064" s="90">
        <v>35766</v>
      </c>
      <c r="B8064" s="20">
        <v>0.25</v>
      </c>
      <c r="D8064">
        <v>35.06</v>
      </c>
      <c r="E8064" t="str">
        <f t="shared" si="286"/>
        <v>WEEKDAY</v>
      </c>
      <c r="F8064" t="e">
        <f t="shared" si="287"/>
        <v>#N/A</v>
      </c>
      <c r="G8064" s="74">
        <v>28461</v>
      </c>
      <c r="H8064" s="77">
        <v>0.25</v>
      </c>
      <c r="J8064">
        <v>44.06</v>
      </c>
      <c r="M8064" s="74">
        <v>36862</v>
      </c>
      <c r="N8064" s="77">
        <v>0.25</v>
      </c>
      <c r="P8064">
        <v>26.6</v>
      </c>
      <c r="S8064" s="74">
        <v>35766</v>
      </c>
      <c r="T8064" s="77">
        <v>0.25</v>
      </c>
      <c r="V8064">
        <v>33.979999999999997</v>
      </c>
      <c r="X8064" s="42"/>
      <c r="AB8064">
        <v>39.799999999999997</v>
      </c>
      <c r="AC8064">
        <v>33.799999999999997</v>
      </c>
      <c r="AE8064" s="74"/>
      <c r="AF8064" s="77"/>
      <c r="AH8064" s="497">
        <v>41</v>
      </c>
      <c r="AJ8064" s="42"/>
      <c r="AK8064" s="74"/>
      <c r="AL8064" s="77"/>
      <c r="AN8064" s="497">
        <v>35.96</v>
      </c>
      <c r="AP8064" s="42"/>
      <c r="AQ8064" s="74"/>
      <c r="AR8064" s="77"/>
      <c r="AT8064" s="497">
        <v>36.68</v>
      </c>
      <c r="AV8064" s="42"/>
      <c r="AW8064" s="74"/>
      <c r="AX8064" s="77"/>
      <c r="BA8064" s="497">
        <v>43.7</v>
      </c>
      <c r="BB8064" s="42"/>
      <c r="BC8064" s="74"/>
      <c r="BD8064" s="77"/>
      <c r="BF8064">
        <v>41</v>
      </c>
      <c r="BH8064" s="42"/>
      <c r="BI8064" s="74"/>
      <c r="BJ8064" s="77"/>
      <c r="BL8064" s="497">
        <v>42.980000000000004</v>
      </c>
      <c r="BN8064" s="42"/>
      <c r="BO8064" s="74"/>
      <c r="BP8064" s="77"/>
      <c r="BR8064" s="497">
        <v>26.96</v>
      </c>
      <c r="BT8064" s="42"/>
    </row>
    <row r="8065" spans="1:72" x14ac:dyDescent="0.25">
      <c r="A8065" s="90">
        <v>35766</v>
      </c>
      <c r="B8065" s="20">
        <v>0.29166666666666669</v>
      </c>
      <c r="D8065">
        <v>35.06</v>
      </c>
      <c r="E8065" t="str">
        <f t="shared" si="286"/>
        <v>WEEKDAY</v>
      </c>
      <c r="F8065" t="e">
        <f t="shared" si="287"/>
        <v>#N/A</v>
      </c>
      <c r="G8065" s="74">
        <v>28461</v>
      </c>
      <c r="H8065" s="77">
        <v>0.29166666666666669</v>
      </c>
      <c r="J8065">
        <v>44.06</v>
      </c>
      <c r="M8065" s="74">
        <v>36862</v>
      </c>
      <c r="N8065" s="77">
        <v>0.29166666666666669</v>
      </c>
      <c r="P8065">
        <v>24.8</v>
      </c>
      <c r="S8065" s="74">
        <v>35766</v>
      </c>
      <c r="T8065" s="77">
        <v>0.29166666666666669</v>
      </c>
      <c r="V8065">
        <v>33.979999999999997</v>
      </c>
      <c r="X8065" s="42"/>
      <c r="AB8065">
        <v>39.6</v>
      </c>
      <c r="AC8065">
        <v>33.799999999999997</v>
      </c>
      <c r="AE8065" s="74"/>
      <c r="AF8065" s="77"/>
      <c r="AH8065" s="497">
        <v>41</v>
      </c>
      <c r="AJ8065" s="42"/>
      <c r="AK8065" s="74"/>
      <c r="AL8065" s="77"/>
      <c r="AN8065" s="497">
        <v>35.96</v>
      </c>
      <c r="AP8065" s="42"/>
      <c r="AQ8065" s="74"/>
      <c r="AR8065" s="77"/>
      <c r="AT8065" s="497">
        <v>37.04</v>
      </c>
      <c r="AV8065" s="42"/>
      <c r="AW8065" s="74"/>
      <c r="AX8065" s="77"/>
      <c r="BA8065" s="497">
        <v>44.06</v>
      </c>
      <c r="BB8065" s="42"/>
      <c r="BC8065" s="74"/>
      <c r="BD8065" s="77"/>
      <c r="BF8065">
        <v>39.92</v>
      </c>
      <c r="BH8065" s="42"/>
      <c r="BI8065" s="74"/>
      <c r="BJ8065" s="77"/>
      <c r="BL8065" s="497">
        <v>42.08</v>
      </c>
      <c r="BN8065" s="42"/>
      <c r="BO8065" s="74"/>
      <c r="BP8065" s="77"/>
      <c r="BR8065" s="497">
        <v>26.060000000000002</v>
      </c>
      <c r="BT8065" s="42"/>
    </row>
    <row r="8066" spans="1:72" x14ac:dyDescent="0.25">
      <c r="A8066" s="90">
        <v>35766</v>
      </c>
      <c r="B8066" s="20">
        <v>0.33333333333333331</v>
      </c>
      <c r="D8066">
        <v>30.92</v>
      </c>
      <c r="E8066" t="str">
        <f t="shared" si="286"/>
        <v>WEEKDAY</v>
      </c>
      <c r="F8066" t="e">
        <f t="shared" si="287"/>
        <v>#N/A</v>
      </c>
      <c r="G8066" s="74">
        <v>28461</v>
      </c>
      <c r="H8066" s="77">
        <v>0.33333333333333331</v>
      </c>
      <c r="J8066">
        <v>44.06</v>
      </c>
      <c r="M8066" s="74">
        <v>36862</v>
      </c>
      <c r="N8066" s="77">
        <v>0.33333333333333331</v>
      </c>
      <c r="P8066">
        <v>25.88</v>
      </c>
      <c r="S8066" s="74">
        <v>35766</v>
      </c>
      <c r="T8066" s="77">
        <v>0.33333333333333331</v>
      </c>
      <c r="V8066">
        <v>33.979999999999997</v>
      </c>
      <c r="X8066" s="42"/>
      <c r="AB8066">
        <v>39.700000000000003</v>
      </c>
      <c r="AC8066">
        <v>35.6</v>
      </c>
      <c r="AE8066" s="74"/>
      <c r="AF8066" s="77"/>
      <c r="AH8066" s="497">
        <v>39.200000000000003</v>
      </c>
      <c r="AJ8066" s="42"/>
      <c r="AK8066" s="74"/>
      <c r="AL8066" s="77"/>
      <c r="AN8066" s="497">
        <v>33.08</v>
      </c>
      <c r="AP8066" s="42"/>
      <c r="AQ8066" s="74"/>
      <c r="AR8066" s="77"/>
      <c r="AT8066" s="497">
        <v>37.76</v>
      </c>
      <c r="AV8066" s="42"/>
      <c r="AW8066" s="74"/>
      <c r="AX8066" s="77"/>
      <c r="BA8066" s="497">
        <v>44.42</v>
      </c>
      <c r="BB8066" s="42"/>
      <c r="BC8066" s="74"/>
      <c r="BD8066" s="77"/>
      <c r="BF8066">
        <v>39.92</v>
      </c>
      <c r="BH8066" s="42"/>
      <c r="BI8066" s="74"/>
      <c r="BJ8066" s="77"/>
      <c r="BL8066" s="497">
        <v>42.08</v>
      </c>
      <c r="BN8066" s="42"/>
      <c r="BO8066" s="74"/>
      <c r="BP8066" s="77"/>
      <c r="BR8066" s="497">
        <v>24.08</v>
      </c>
      <c r="BT8066" s="42"/>
    </row>
    <row r="8067" spans="1:72" x14ac:dyDescent="0.25">
      <c r="A8067" s="90">
        <v>35766</v>
      </c>
      <c r="B8067" s="20">
        <v>0.375</v>
      </c>
      <c r="D8067">
        <v>33.979999999999997</v>
      </c>
      <c r="E8067" t="str">
        <f t="shared" si="286"/>
        <v>WEEKDAY</v>
      </c>
      <c r="F8067" t="e">
        <f t="shared" si="287"/>
        <v>#N/A</v>
      </c>
      <c r="G8067" s="74">
        <v>28461</v>
      </c>
      <c r="H8067" s="77">
        <v>0.375</v>
      </c>
      <c r="J8067">
        <v>44.96</v>
      </c>
      <c r="M8067" s="74">
        <v>36862</v>
      </c>
      <c r="N8067" s="77">
        <v>0.375</v>
      </c>
      <c r="P8067">
        <v>28.4</v>
      </c>
      <c r="S8067" s="74">
        <v>35766</v>
      </c>
      <c r="T8067" s="77">
        <v>0.375</v>
      </c>
      <c r="V8067">
        <v>35.96</v>
      </c>
      <c r="X8067" s="42"/>
      <c r="AB8067">
        <v>40.5</v>
      </c>
      <c r="AC8067">
        <v>37.4</v>
      </c>
      <c r="AE8067" s="74"/>
      <c r="AF8067" s="77"/>
      <c r="AH8067" s="497">
        <v>41</v>
      </c>
      <c r="AJ8067" s="42"/>
      <c r="AK8067" s="74"/>
      <c r="AL8067" s="77"/>
      <c r="AN8067" s="497">
        <v>33.08</v>
      </c>
      <c r="AP8067" s="42"/>
      <c r="AQ8067" s="74"/>
      <c r="AR8067" s="77"/>
      <c r="AT8067" s="497">
        <v>38.299999999999997</v>
      </c>
      <c r="AV8067" s="42"/>
      <c r="AW8067" s="74"/>
      <c r="AX8067" s="77"/>
      <c r="BA8067" s="497">
        <v>44.6</v>
      </c>
      <c r="BB8067" s="42"/>
      <c r="BC8067" s="74"/>
      <c r="BD8067" s="77"/>
      <c r="BF8067">
        <v>39.92</v>
      </c>
      <c r="BH8067" s="42"/>
      <c r="BI8067" s="74"/>
      <c r="BJ8067" s="77"/>
      <c r="BL8067" s="497">
        <v>41</v>
      </c>
      <c r="BN8067" s="42"/>
      <c r="BO8067" s="74"/>
      <c r="BP8067" s="77"/>
      <c r="BR8067" s="497">
        <v>21.92</v>
      </c>
      <c r="BT8067" s="42"/>
    </row>
    <row r="8068" spans="1:72" x14ac:dyDescent="0.25">
      <c r="A8068" s="90">
        <v>35766</v>
      </c>
      <c r="B8068" s="20">
        <v>0.41666666666666669</v>
      </c>
      <c r="D8068">
        <v>35.06</v>
      </c>
      <c r="E8068" t="str">
        <f t="shared" si="286"/>
        <v>WEEKDAY</v>
      </c>
      <c r="F8068" t="e">
        <f t="shared" si="287"/>
        <v>#N/A</v>
      </c>
      <c r="G8068" s="74">
        <v>28461</v>
      </c>
      <c r="H8068" s="77">
        <v>0.41666666666666669</v>
      </c>
      <c r="J8068">
        <v>44.96</v>
      </c>
      <c r="M8068" s="74">
        <v>36862</v>
      </c>
      <c r="N8068" s="77">
        <v>0.41666666666666669</v>
      </c>
      <c r="P8068">
        <v>30.02</v>
      </c>
      <c r="S8068" s="74">
        <v>35766</v>
      </c>
      <c r="T8068" s="77">
        <v>0.41666666666666669</v>
      </c>
      <c r="V8068">
        <v>37.94</v>
      </c>
      <c r="X8068" s="42"/>
      <c r="AB8068">
        <v>42.2</v>
      </c>
      <c r="AC8068">
        <v>39.200000000000003</v>
      </c>
      <c r="AE8068" s="74"/>
      <c r="AF8068" s="77"/>
      <c r="AH8068" s="497">
        <v>41</v>
      </c>
      <c r="AJ8068" s="42"/>
      <c r="AK8068" s="74"/>
      <c r="AL8068" s="77"/>
      <c r="AN8068" s="497">
        <v>33.08</v>
      </c>
      <c r="AP8068" s="42"/>
      <c r="AQ8068" s="74"/>
      <c r="AR8068" s="77"/>
      <c r="AT8068" s="497">
        <v>39.019999999999996</v>
      </c>
      <c r="AV8068" s="42"/>
      <c r="AW8068" s="74"/>
      <c r="AX8068" s="77"/>
      <c r="BA8068" s="497">
        <v>44.96</v>
      </c>
      <c r="BB8068" s="42"/>
      <c r="BC8068" s="74"/>
      <c r="BD8068" s="77"/>
      <c r="BF8068">
        <v>39.019999999999996</v>
      </c>
      <c r="BH8068" s="42"/>
      <c r="BI8068" s="74"/>
      <c r="BJ8068" s="77"/>
      <c r="BL8068" s="497">
        <v>41</v>
      </c>
      <c r="BN8068" s="42"/>
      <c r="BO8068" s="74"/>
      <c r="BP8068" s="77"/>
      <c r="BR8068" s="497">
        <v>21.92</v>
      </c>
      <c r="BT8068" s="42"/>
    </row>
    <row r="8069" spans="1:72" x14ac:dyDescent="0.25">
      <c r="A8069" s="90">
        <v>35766</v>
      </c>
      <c r="B8069" s="20">
        <v>0.45833333333333331</v>
      </c>
      <c r="D8069">
        <v>35.96</v>
      </c>
      <c r="E8069" t="str">
        <f t="shared" si="286"/>
        <v>WEEKDAY</v>
      </c>
      <c r="F8069" t="e">
        <f t="shared" si="287"/>
        <v>#N/A</v>
      </c>
      <c r="G8069" s="74">
        <v>28461</v>
      </c>
      <c r="H8069" s="77">
        <v>0.45833333333333331</v>
      </c>
      <c r="J8069">
        <v>46.04</v>
      </c>
      <c r="M8069" s="74">
        <v>36862</v>
      </c>
      <c r="N8069" s="77">
        <v>0.45833333333333331</v>
      </c>
      <c r="P8069">
        <v>32</v>
      </c>
      <c r="S8069" s="74">
        <v>35766</v>
      </c>
      <c r="T8069" s="77">
        <v>0.45833333333333331</v>
      </c>
      <c r="V8069">
        <v>39.92</v>
      </c>
      <c r="X8069" s="42"/>
      <c r="AB8069">
        <v>43.7</v>
      </c>
      <c r="AC8069">
        <v>41</v>
      </c>
      <c r="AE8069" s="74"/>
      <c r="AF8069" s="77"/>
      <c r="AH8069" s="497">
        <v>42.8</v>
      </c>
      <c r="AJ8069" s="42"/>
      <c r="AK8069" s="74"/>
      <c r="AL8069" s="77"/>
      <c r="AN8069" s="497">
        <v>32</v>
      </c>
      <c r="AP8069" s="42"/>
      <c r="AQ8069" s="74"/>
      <c r="AR8069" s="77"/>
      <c r="AT8069" s="497">
        <v>38.659999999999997</v>
      </c>
      <c r="AV8069" s="42"/>
      <c r="AW8069" s="74"/>
      <c r="AX8069" s="77"/>
      <c r="BA8069" s="497">
        <v>44.96</v>
      </c>
      <c r="BB8069" s="42"/>
      <c r="BC8069" s="74"/>
      <c r="BD8069" s="77"/>
      <c r="BF8069">
        <v>37.04</v>
      </c>
      <c r="BH8069" s="42"/>
      <c r="BI8069" s="74"/>
      <c r="BJ8069" s="77"/>
      <c r="BL8069" s="497">
        <v>41</v>
      </c>
      <c r="BN8069" s="42"/>
      <c r="BO8069" s="74"/>
      <c r="BP8069" s="77"/>
      <c r="BR8069" s="497">
        <v>21.92</v>
      </c>
      <c r="BT8069" s="42"/>
    </row>
    <row r="8070" spans="1:72" x14ac:dyDescent="0.25">
      <c r="A8070" s="90">
        <v>35766</v>
      </c>
      <c r="B8070" s="20">
        <v>0.5</v>
      </c>
      <c r="D8070">
        <v>33.979999999999997</v>
      </c>
      <c r="E8070" t="str">
        <f t="shared" si="286"/>
        <v>WEEKDAY</v>
      </c>
      <c r="F8070" t="e">
        <f t="shared" si="287"/>
        <v>#N/A</v>
      </c>
      <c r="G8070" s="74">
        <v>28461</v>
      </c>
      <c r="H8070" s="77">
        <v>0.5</v>
      </c>
      <c r="J8070">
        <v>46.94</v>
      </c>
      <c r="M8070" s="74">
        <v>36862</v>
      </c>
      <c r="N8070" s="77">
        <v>0.5</v>
      </c>
      <c r="P8070">
        <v>32</v>
      </c>
      <c r="S8070" s="74">
        <v>35766</v>
      </c>
      <c r="T8070" s="77">
        <v>0.5</v>
      </c>
      <c r="V8070">
        <v>41</v>
      </c>
      <c r="X8070" s="42"/>
      <c r="AB8070">
        <v>45.1</v>
      </c>
      <c r="AC8070">
        <v>41</v>
      </c>
      <c r="AE8070" s="74"/>
      <c r="AF8070" s="77"/>
      <c r="AH8070" s="497">
        <v>42.8</v>
      </c>
      <c r="AJ8070" s="42"/>
      <c r="AK8070" s="74"/>
      <c r="AL8070" s="77"/>
      <c r="AN8070" s="497">
        <v>30.92</v>
      </c>
      <c r="AP8070" s="42"/>
      <c r="AQ8070" s="74"/>
      <c r="AR8070" s="77"/>
      <c r="AT8070" s="497">
        <v>38.299999999999997</v>
      </c>
      <c r="AV8070" s="42"/>
      <c r="AW8070" s="74"/>
      <c r="AX8070" s="77"/>
      <c r="BA8070" s="497">
        <v>44.96</v>
      </c>
      <c r="BB8070" s="42"/>
      <c r="BC8070" s="74"/>
      <c r="BD8070" s="77"/>
      <c r="BF8070">
        <v>35.96</v>
      </c>
      <c r="BH8070" s="42"/>
      <c r="BI8070" s="74"/>
      <c r="BJ8070" s="77"/>
      <c r="BL8070" s="497">
        <v>39.92</v>
      </c>
      <c r="BN8070" s="42"/>
      <c r="BO8070" s="74"/>
      <c r="BP8070" s="77"/>
      <c r="BR8070" s="497">
        <v>24.08</v>
      </c>
      <c r="BT8070" s="42"/>
    </row>
    <row r="8071" spans="1:72" x14ac:dyDescent="0.25">
      <c r="A8071" s="90">
        <v>35766</v>
      </c>
      <c r="B8071" s="20">
        <v>0.54166666666666663</v>
      </c>
      <c r="D8071">
        <v>35.96</v>
      </c>
      <c r="E8071" t="str">
        <f t="shared" si="286"/>
        <v>WEEKDAY</v>
      </c>
      <c r="F8071" t="e">
        <f t="shared" si="287"/>
        <v>#N/A</v>
      </c>
      <c r="G8071" s="74">
        <v>28461</v>
      </c>
      <c r="H8071" s="77">
        <v>0.54166666666666663</v>
      </c>
      <c r="J8071">
        <v>46.94</v>
      </c>
      <c r="M8071" s="74">
        <v>36862</v>
      </c>
      <c r="N8071" s="77">
        <v>0.54166666666666663</v>
      </c>
      <c r="P8071">
        <v>33.799999999999997</v>
      </c>
      <c r="S8071" s="74">
        <v>35766</v>
      </c>
      <c r="T8071" s="77">
        <v>0.54166666666666663</v>
      </c>
      <c r="V8071">
        <v>42.980000000000004</v>
      </c>
      <c r="X8071" s="42"/>
      <c r="AB8071">
        <v>46</v>
      </c>
      <c r="AC8071">
        <v>42.8</v>
      </c>
      <c r="AE8071" s="74"/>
      <c r="AF8071" s="77"/>
      <c r="AH8071" s="497">
        <v>44.6</v>
      </c>
      <c r="AJ8071" s="42"/>
      <c r="AK8071" s="74"/>
      <c r="AL8071" s="77"/>
      <c r="AN8071" s="497">
        <v>30.02</v>
      </c>
      <c r="AP8071" s="42"/>
      <c r="AQ8071" s="74"/>
      <c r="AR8071" s="77"/>
      <c r="AT8071" s="497">
        <v>37.94</v>
      </c>
      <c r="AV8071" s="42"/>
      <c r="AW8071" s="74"/>
      <c r="AX8071" s="77"/>
      <c r="BA8071" s="497">
        <v>44.96</v>
      </c>
      <c r="BB8071" s="42"/>
      <c r="BC8071" s="74"/>
      <c r="BD8071" s="77"/>
      <c r="BF8071">
        <v>37.04</v>
      </c>
      <c r="BH8071" s="42"/>
      <c r="BI8071" s="74"/>
      <c r="BJ8071" s="77"/>
      <c r="BL8071" s="497">
        <v>41</v>
      </c>
      <c r="BN8071" s="42"/>
      <c r="BO8071" s="74"/>
      <c r="BP8071" s="77"/>
      <c r="BR8071" s="497">
        <v>24.98</v>
      </c>
      <c r="BT8071" s="42"/>
    </row>
    <row r="8072" spans="1:72" x14ac:dyDescent="0.25">
      <c r="A8072" s="90">
        <v>35766</v>
      </c>
      <c r="B8072" s="20">
        <v>0.58333333333333337</v>
      </c>
      <c r="D8072">
        <v>33.08</v>
      </c>
      <c r="E8072" t="str">
        <f t="shared" si="286"/>
        <v>WEEKDAY</v>
      </c>
      <c r="F8072" t="e">
        <f t="shared" si="287"/>
        <v>#N/A</v>
      </c>
      <c r="G8072" s="74">
        <v>28461</v>
      </c>
      <c r="H8072" s="77">
        <v>0.58333333333333337</v>
      </c>
      <c r="J8072">
        <v>46.94</v>
      </c>
      <c r="M8072" s="74">
        <v>36862</v>
      </c>
      <c r="N8072" s="77">
        <v>0.58333333333333337</v>
      </c>
      <c r="P8072">
        <v>33.799999999999997</v>
      </c>
      <c r="S8072" s="74">
        <v>35766</v>
      </c>
      <c r="T8072" s="77">
        <v>0.58333333333333337</v>
      </c>
      <c r="V8072">
        <v>44.06</v>
      </c>
      <c r="X8072" s="42"/>
      <c r="AB8072">
        <v>46.6</v>
      </c>
      <c r="AC8072">
        <v>42.8</v>
      </c>
      <c r="AE8072" s="74"/>
      <c r="AF8072" s="77"/>
      <c r="AH8072" s="497">
        <v>44.6</v>
      </c>
      <c r="AJ8072" s="42"/>
      <c r="AK8072" s="74"/>
      <c r="AL8072" s="77"/>
      <c r="AN8072" s="497">
        <v>30.02</v>
      </c>
      <c r="AP8072" s="42"/>
      <c r="AQ8072" s="74"/>
      <c r="AR8072" s="77"/>
      <c r="AT8072" s="497">
        <v>36.68</v>
      </c>
      <c r="AV8072" s="42"/>
      <c r="AW8072" s="74"/>
      <c r="AX8072" s="77"/>
      <c r="BA8072" s="497">
        <v>44.24</v>
      </c>
      <c r="BB8072" s="42"/>
      <c r="BC8072" s="74"/>
      <c r="BD8072" s="77"/>
      <c r="BF8072">
        <v>37.04</v>
      </c>
      <c r="BH8072" s="42"/>
      <c r="BI8072" s="74"/>
      <c r="BJ8072" s="77"/>
      <c r="BL8072" s="497">
        <v>41</v>
      </c>
      <c r="BN8072" s="42"/>
      <c r="BO8072" s="74"/>
      <c r="BP8072" s="77"/>
      <c r="BR8072" s="497">
        <v>24.98</v>
      </c>
      <c r="BT8072" s="42"/>
    </row>
    <row r="8073" spans="1:72" x14ac:dyDescent="0.25">
      <c r="A8073" s="90">
        <v>35766</v>
      </c>
      <c r="B8073" s="20">
        <v>0.625</v>
      </c>
      <c r="D8073">
        <v>33.979999999999997</v>
      </c>
      <c r="E8073" t="str">
        <f t="shared" si="286"/>
        <v>WEEKDAY</v>
      </c>
      <c r="F8073" t="e">
        <f t="shared" si="287"/>
        <v>#N/A</v>
      </c>
      <c r="G8073" s="74">
        <v>28461</v>
      </c>
      <c r="H8073" s="77">
        <v>0.625</v>
      </c>
      <c r="J8073">
        <v>46.94</v>
      </c>
      <c r="M8073" s="74">
        <v>36862</v>
      </c>
      <c r="N8073" s="77">
        <v>0.625</v>
      </c>
      <c r="P8073">
        <v>33.799999999999997</v>
      </c>
      <c r="S8073" s="74">
        <v>35766</v>
      </c>
      <c r="T8073" s="77">
        <v>0.625</v>
      </c>
      <c r="V8073">
        <v>44.06</v>
      </c>
      <c r="X8073" s="42"/>
      <c r="AB8073">
        <v>46.8</v>
      </c>
      <c r="AC8073">
        <v>44.6</v>
      </c>
      <c r="AE8073" s="74"/>
      <c r="AF8073" s="77"/>
      <c r="AH8073" s="497">
        <v>46.4</v>
      </c>
      <c r="AJ8073" s="42"/>
      <c r="AK8073" s="74"/>
      <c r="AL8073" s="77"/>
      <c r="AN8073" s="497">
        <v>28.94</v>
      </c>
      <c r="AP8073" s="42"/>
      <c r="AQ8073" s="74"/>
      <c r="AR8073" s="77"/>
      <c r="AT8073" s="497">
        <v>35.24</v>
      </c>
      <c r="AV8073" s="42"/>
      <c r="AW8073" s="74"/>
      <c r="AX8073" s="77"/>
      <c r="BA8073" s="497">
        <v>43.7</v>
      </c>
      <c r="BB8073" s="42"/>
      <c r="BC8073" s="74"/>
      <c r="BD8073" s="77"/>
      <c r="BF8073">
        <v>37.04</v>
      </c>
      <c r="BH8073" s="42"/>
      <c r="BI8073" s="74"/>
      <c r="BJ8073" s="77"/>
      <c r="BL8073" s="497">
        <v>39.92</v>
      </c>
      <c r="BN8073" s="42"/>
      <c r="BO8073" s="74"/>
      <c r="BP8073" s="77"/>
      <c r="BR8073" s="497">
        <v>24.08</v>
      </c>
      <c r="BT8073" s="42"/>
    </row>
    <row r="8074" spans="1:72" x14ac:dyDescent="0.25">
      <c r="A8074" s="90">
        <v>35766</v>
      </c>
      <c r="B8074" s="20">
        <v>0.66666666666666663</v>
      </c>
      <c r="D8074">
        <v>32</v>
      </c>
      <c r="E8074" t="str">
        <f t="shared" si="286"/>
        <v>WEEKDAY</v>
      </c>
      <c r="F8074" t="e">
        <f t="shared" si="287"/>
        <v>#N/A</v>
      </c>
      <c r="G8074" s="74">
        <v>28461</v>
      </c>
      <c r="H8074" s="77">
        <v>0.66666666666666663</v>
      </c>
      <c r="J8074">
        <v>46.94</v>
      </c>
      <c r="M8074" s="74">
        <v>36862</v>
      </c>
      <c r="N8074" s="77">
        <v>0.66666666666666663</v>
      </c>
      <c r="P8074">
        <v>33.799999999999997</v>
      </c>
      <c r="S8074" s="74">
        <v>35766</v>
      </c>
      <c r="T8074" s="77">
        <v>0.66666666666666663</v>
      </c>
      <c r="V8074">
        <v>42.980000000000004</v>
      </c>
      <c r="X8074" s="42"/>
      <c r="AB8074">
        <v>46.4</v>
      </c>
      <c r="AC8074">
        <v>42.8</v>
      </c>
      <c r="AE8074" s="74"/>
      <c r="AF8074" s="77"/>
      <c r="AH8074" s="497">
        <v>44.6</v>
      </c>
      <c r="AJ8074" s="42"/>
      <c r="AK8074" s="74"/>
      <c r="AL8074" s="77"/>
      <c r="AN8074" s="497">
        <v>30.02</v>
      </c>
      <c r="AP8074" s="42"/>
      <c r="AQ8074" s="74"/>
      <c r="AR8074" s="77"/>
      <c r="AT8074" s="497">
        <v>33.979999999999997</v>
      </c>
      <c r="AV8074" s="42"/>
      <c r="AW8074" s="74"/>
      <c r="AX8074" s="77"/>
      <c r="BA8074" s="497">
        <v>42.980000000000004</v>
      </c>
      <c r="BB8074" s="42"/>
      <c r="BC8074" s="74"/>
      <c r="BD8074" s="77"/>
      <c r="BF8074">
        <v>37.94</v>
      </c>
      <c r="BH8074" s="42"/>
      <c r="BI8074" s="74"/>
      <c r="BJ8074" s="77"/>
      <c r="BL8074" s="497">
        <v>39.019999999999996</v>
      </c>
      <c r="BN8074" s="42"/>
      <c r="BO8074" s="74"/>
      <c r="BP8074" s="77"/>
      <c r="BR8074" s="497">
        <v>21.92</v>
      </c>
      <c r="BT8074" s="42"/>
    </row>
    <row r="8075" spans="1:72" x14ac:dyDescent="0.25">
      <c r="A8075" s="90">
        <v>35766</v>
      </c>
      <c r="B8075" s="20">
        <v>0.70833333333333337</v>
      </c>
      <c r="D8075">
        <v>30.92</v>
      </c>
      <c r="E8075" t="str">
        <f t="shared" si="286"/>
        <v>WEEKDAY</v>
      </c>
      <c r="F8075" t="e">
        <f t="shared" si="287"/>
        <v>#N/A</v>
      </c>
      <c r="G8075" s="74">
        <v>28461</v>
      </c>
      <c r="H8075" s="77">
        <v>0.70833333333333337</v>
      </c>
      <c r="J8075">
        <v>46.94</v>
      </c>
      <c r="M8075" s="74">
        <v>36862</v>
      </c>
      <c r="N8075" s="77">
        <v>0.70833333333333337</v>
      </c>
      <c r="P8075">
        <v>33.799999999999997</v>
      </c>
      <c r="S8075" s="74">
        <v>35766</v>
      </c>
      <c r="T8075" s="77">
        <v>0.70833333333333337</v>
      </c>
      <c r="V8075">
        <v>41</v>
      </c>
      <c r="X8075" s="42"/>
      <c r="AB8075">
        <v>45.5</v>
      </c>
      <c r="AC8075">
        <v>41</v>
      </c>
      <c r="AE8075" s="74"/>
      <c r="AF8075" s="77"/>
      <c r="AH8075" s="497">
        <v>41</v>
      </c>
      <c r="AJ8075" s="42"/>
      <c r="AK8075" s="74"/>
      <c r="AL8075" s="77"/>
      <c r="AN8075" s="497">
        <v>26.96</v>
      </c>
      <c r="AP8075" s="42"/>
      <c r="AQ8075" s="74"/>
      <c r="AR8075" s="77"/>
      <c r="AT8075" s="497">
        <v>32.9</v>
      </c>
      <c r="AV8075" s="42"/>
      <c r="AW8075" s="74"/>
      <c r="AX8075" s="77"/>
      <c r="BA8075" s="497">
        <v>41.72</v>
      </c>
      <c r="BB8075" s="42"/>
      <c r="BC8075" s="74"/>
      <c r="BD8075" s="77"/>
      <c r="BF8075">
        <v>37.04</v>
      </c>
      <c r="BH8075" s="42"/>
      <c r="BI8075" s="74"/>
      <c r="BJ8075" s="77"/>
      <c r="BL8075" s="497">
        <v>39.019999999999996</v>
      </c>
      <c r="BN8075" s="42"/>
      <c r="BO8075" s="74"/>
      <c r="BP8075" s="77"/>
      <c r="BR8075" s="497">
        <v>19.939999999999998</v>
      </c>
      <c r="BT8075" s="42"/>
    </row>
    <row r="8076" spans="1:72" x14ac:dyDescent="0.25">
      <c r="A8076" s="90">
        <v>35766</v>
      </c>
      <c r="B8076" s="20">
        <v>0.75</v>
      </c>
      <c r="D8076">
        <v>30.02</v>
      </c>
      <c r="E8076" t="str">
        <f t="shared" si="286"/>
        <v>WEEKDAY</v>
      </c>
      <c r="F8076" t="e">
        <f t="shared" si="287"/>
        <v>#N/A</v>
      </c>
      <c r="G8076" s="74">
        <v>28461</v>
      </c>
      <c r="H8076" s="77">
        <v>0.75</v>
      </c>
      <c r="J8076">
        <v>46.94</v>
      </c>
      <c r="M8076" s="74">
        <v>36862</v>
      </c>
      <c r="N8076" s="77">
        <v>0.75</v>
      </c>
      <c r="P8076">
        <v>30.2</v>
      </c>
      <c r="S8076" s="74">
        <v>35766</v>
      </c>
      <c r="T8076" s="77">
        <v>0.75</v>
      </c>
      <c r="V8076">
        <v>41</v>
      </c>
      <c r="X8076" s="42"/>
      <c r="AB8076">
        <v>44.3</v>
      </c>
      <c r="AC8076">
        <v>39.200000000000003</v>
      </c>
      <c r="AE8076" s="74"/>
      <c r="AF8076" s="77"/>
      <c r="AH8076" s="497">
        <v>35.6</v>
      </c>
      <c r="AJ8076" s="42"/>
      <c r="AK8076" s="74"/>
      <c r="AL8076" s="77"/>
      <c r="AN8076" s="497">
        <v>26.060000000000002</v>
      </c>
      <c r="AP8076" s="42"/>
      <c r="AQ8076" s="74"/>
      <c r="AR8076" s="77"/>
      <c r="AT8076" s="497">
        <v>32</v>
      </c>
      <c r="AV8076" s="42"/>
      <c r="AW8076" s="74"/>
      <c r="AX8076" s="77"/>
      <c r="BA8076" s="497">
        <v>40.28</v>
      </c>
      <c r="BB8076" s="42"/>
      <c r="BC8076" s="74"/>
      <c r="BD8076" s="77"/>
      <c r="BF8076">
        <v>35.06</v>
      </c>
      <c r="BH8076" s="42"/>
      <c r="BI8076" s="74"/>
      <c r="BJ8076" s="77"/>
      <c r="BL8076" s="497">
        <v>37.94</v>
      </c>
      <c r="BN8076" s="42"/>
      <c r="BO8076" s="74"/>
      <c r="BP8076" s="77"/>
      <c r="BR8076" s="497">
        <v>17.96</v>
      </c>
      <c r="BT8076" s="42"/>
    </row>
    <row r="8077" spans="1:72" x14ac:dyDescent="0.25">
      <c r="A8077" s="90">
        <v>35766</v>
      </c>
      <c r="B8077" s="20">
        <v>0.79166666666666663</v>
      </c>
      <c r="D8077">
        <v>28.94</v>
      </c>
      <c r="E8077" t="str">
        <f t="shared" si="286"/>
        <v>WEEKDAY</v>
      </c>
      <c r="F8077" t="e">
        <f t="shared" si="287"/>
        <v>#N/A</v>
      </c>
      <c r="G8077" s="74">
        <v>28461</v>
      </c>
      <c r="H8077" s="77">
        <v>0.79166666666666663</v>
      </c>
      <c r="J8077">
        <v>46.94</v>
      </c>
      <c r="M8077" s="74">
        <v>36862</v>
      </c>
      <c r="N8077" s="77">
        <v>0.79166666666666663</v>
      </c>
      <c r="P8077">
        <v>28.22</v>
      </c>
      <c r="S8077" s="74">
        <v>35766</v>
      </c>
      <c r="T8077" s="77">
        <v>0.79166666666666663</v>
      </c>
      <c r="V8077">
        <v>39.92</v>
      </c>
      <c r="X8077" s="42"/>
      <c r="AB8077">
        <v>43.8</v>
      </c>
      <c r="AC8077">
        <v>39.200000000000003</v>
      </c>
      <c r="AE8077" s="74"/>
      <c r="AF8077" s="77"/>
      <c r="AH8077" s="497">
        <v>32</v>
      </c>
      <c r="AJ8077" s="42"/>
      <c r="AK8077" s="74"/>
      <c r="AL8077" s="77"/>
      <c r="AN8077" s="497">
        <v>24.08</v>
      </c>
      <c r="AP8077" s="42"/>
      <c r="AQ8077" s="74"/>
      <c r="AR8077" s="77"/>
      <c r="AT8077" s="497">
        <v>30.92</v>
      </c>
      <c r="AV8077" s="42"/>
      <c r="AW8077" s="74"/>
      <c r="AX8077" s="77"/>
      <c r="BA8077" s="497">
        <v>39.019999999999996</v>
      </c>
      <c r="BB8077" s="42"/>
      <c r="BC8077" s="74"/>
      <c r="BD8077" s="77"/>
      <c r="BF8077">
        <v>33.979999999999997</v>
      </c>
      <c r="BH8077" s="42"/>
      <c r="BI8077" s="74"/>
      <c r="BJ8077" s="77"/>
      <c r="BL8077" s="497">
        <v>37.04</v>
      </c>
      <c r="BN8077" s="42"/>
      <c r="BO8077" s="74"/>
      <c r="BP8077" s="77"/>
      <c r="BR8077" s="497">
        <v>17.059999999999999</v>
      </c>
      <c r="BT8077" s="42"/>
    </row>
    <row r="8078" spans="1:72" x14ac:dyDescent="0.25">
      <c r="A8078" s="90">
        <v>35766</v>
      </c>
      <c r="B8078" s="20">
        <v>0.83333333333333337</v>
      </c>
      <c r="D8078">
        <v>28.04</v>
      </c>
      <c r="E8078" t="str">
        <f t="shared" si="286"/>
        <v>WEEKDAY</v>
      </c>
      <c r="F8078" t="e">
        <f t="shared" si="287"/>
        <v>#N/A</v>
      </c>
      <c r="G8078" s="74">
        <v>28461</v>
      </c>
      <c r="H8078" s="77">
        <v>0.83333333333333337</v>
      </c>
      <c r="J8078">
        <v>46.94</v>
      </c>
      <c r="M8078" s="74">
        <v>36862</v>
      </c>
      <c r="N8078" s="77">
        <v>0.83333333333333337</v>
      </c>
      <c r="P8078">
        <v>26.6</v>
      </c>
      <c r="S8078" s="74">
        <v>35766</v>
      </c>
      <c r="T8078" s="77">
        <v>0.83333333333333337</v>
      </c>
      <c r="V8078">
        <v>39.019999999999996</v>
      </c>
      <c r="X8078" s="42"/>
      <c r="AB8078">
        <v>43.6</v>
      </c>
      <c r="AC8078">
        <v>37.4</v>
      </c>
      <c r="AE8078" s="74"/>
      <c r="AF8078" s="77"/>
      <c r="AH8078" s="497">
        <v>30.2</v>
      </c>
      <c r="AJ8078" s="42"/>
      <c r="AK8078" s="74"/>
      <c r="AL8078" s="77"/>
      <c r="AN8078" s="497">
        <v>23</v>
      </c>
      <c r="AP8078" s="42"/>
      <c r="AQ8078" s="74"/>
      <c r="AR8078" s="77"/>
      <c r="AT8078" s="497">
        <v>29.66</v>
      </c>
      <c r="AV8078" s="42"/>
      <c r="AW8078" s="74"/>
      <c r="AX8078" s="77"/>
      <c r="BA8078" s="497">
        <v>38.659999999999997</v>
      </c>
      <c r="BB8078" s="42"/>
      <c r="BC8078" s="74"/>
      <c r="BD8078" s="77"/>
      <c r="BF8078">
        <v>35.96</v>
      </c>
      <c r="BH8078" s="42"/>
      <c r="BI8078" s="74"/>
      <c r="BJ8078" s="77"/>
      <c r="BL8078" s="497">
        <v>33.979999999999997</v>
      </c>
      <c r="BN8078" s="42"/>
      <c r="BO8078" s="74"/>
      <c r="BP8078" s="77"/>
      <c r="BR8078" s="497">
        <v>15.98</v>
      </c>
      <c r="BT8078" s="42"/>
    </row>
    <row r="8079" spans="1:72" x14ac:dyDescent="0.25">
      <c r="A8079" s="90">
        <v>35766</v>
      </c>
      <c r="B8079" s="20">
        <v>0.875</v>
      </c>
      <c r="D8079">
        <v>26.060000000000002</v>
      </c>
      <c r="E8079" t="str">
        <f t="shared" si="286"/>
        <v>WEEKDAY</v>
      </c>
      <c r="F8079" t="e">
        <f t="shared" si="287"/>
        <v>#N/A</v>
      </c>
      <c r="G8079" s="74">
        <v>28461</v>
      </c>
      <c r="H8079" s="77">
        <v>0.875</v>
      </c>
      <c r="J8079">
        <v>46.94</v>
      </c>
      <c r="M8079" s="74">
        <v>36862</v>
      </c>
      <c r="N8079" s="77">
        <v>0.875</v>
      </c>
      <c r="P8079">
        <v>25.52</v>
      </c>
      <c r="S8079" s="74">
        <v>35766</v>
      </c>
      <c r="T8079" s="77">
        <v>0.875</v>
      </c>
      <c r="V8079">
        <v>37.04</v>
      </c>
      <c r="X8079" s="42"/>
      <c r="AB8079">
        <v>43.1</v>
      </c>
      <c r="AC8079">
        <v>37.4</v>
      </c>
      <c r="AE8079" s="74"/>
      <c r="AF8079" s="77"/>
      <c r="AH8079" s="497">
        <v>30.2</v>
      </c>
      <c r="AJ8079" s="42"/>
      <c r="AK8079" s="74"/>
      <c r="AL8079" s="77"/>
      <c r="AN8079" s="497">
        <v>23</v>
      </c>
      <c r="AP8079" s="42"/>
      <c r="AQ8079" s="74"/>
      <c r="AR8079" s="77"/>
      <c r="AT8079" s="497">
        <v>28.22</v>
      </c>
      <c r="AV8079" s="42"/>
      <c r="AW8079" s="74"/>
      <c r="AX8079" s="77"/>
      <c r="BA8079" s="497">
        <v>38.299999999999997</v>
      </c>
      <c r="BB8079" s="42"/>
      <c r="BC8079" s="74"/>
      <c r="BD8079" s="77"/>
      <c r="BF8079">
        <v>35.06</v>
      </c>
      <c r="BH8079" s="42"/>
      <c r="BI8079" s="74"/>
      <c r="BJ8079" s="77"/>
      <c r="BL8079" s="497">
        <v>35.06</v>
      </c>
      <c r="BN8079" s="42"/>
      <c r="BO8079" s="74"/>
      <c r="BP8079" s="77"/>
      <c r="BR8079" s="497">
        <v>10.039999999999999</v>
      </c>
      <c r="BT8079" s="42"/>
    </row>
    <row r="8080" spans="1:72" x14ac:dyDescent="0.25">
      <c r="A8080" s="90">
        <v>35766</v>
      </c>
      <c r="B8080" s="20">
        <v>0.91666666666666663</v>
      </c>
      <c r="D8080">
        <v>26.060000000000002</v>
      </c>
      <c r="E8080" t="str">
        <f t="shared" si="286"/>
        <v>WEEKDAY</v>
      </c>
      <c r="F8080" t="e">
        <f t="shared" si="287"/>
        <v>#N/A</v>
      </c>
      <c r="G8080" s="74">
        <v>28461</v>
      </c>
      <c r="H8080" s="77">
        <v>0.91666666666666663</v>
      </c>
      <c r="J8080">
        <v>46.94</v>
      </c>
      <c r="M8080" s="74">
        <v>36862</v>
      </c>
      <c r="N8080" s="77">
        <v>0.91666666666666663</v>
      </c>
      <c r="P8080">
        <v>24.8</v>
      </c>
      <c r="S8080" s="74">
        <v>35766</v>
      </c>
      <c r="T8080" s="77">
        <v>0.91666666666666663</v>
      </c>
      <c r="V8080">
        <v>37.04</v>
      </c>
      <c r="X8080" s="42"/>
      <c r="AB8080">
        <v>42.5</v>
      </c>
      <c r="AC8080">
        <v>37.4</v>
      </c>
      <c r="AE8080" s="74"/>
      <c r="AF8080" s="77"/>
      <c r="AH8080" s="497">
        <v>30.2</v>
      </c>
      <c r="AJ8080" s="42"/>
      <c r="AK8080" s="74"/>
      <c r="AL8080" s="77"/>
      <c r="AN8080" s="497">
        <v>21.92</v>
      </c>
      <c r="AP8080" s="42"/>
      <c r="AQ8080" s="74"/>
      <c r="AR8080" s="77"/>
      <c r="AT8080" s="497">
        <v>26.96</v>
      </c>
      <c r="AV8080" s="42"/>
      <c r="AW8080" s="74"/>
      <c r="AX8080" s="77"/>
      <c r="BA8080" s="497">
        <v>37.94</v>
      </c>
      <c r="BB8080" s="42"/>
      <c r="BC8080" s="74"/>
      <c r="BD8080" s="77"/>
      <c r="BF8080">
        <v>33.979999999999997</v>
      </c>
      <c r="BH8080" s="42"/>
      <c r="BI8080" s="74"/>
      <c r="BJ8080" s="77"/>
      <c r="BL8080" s="497">
        <v>35.06</v>
      </c>
      <c r="BN8080" s="42"/>
      <c r="BO8080" s="74"/>
      <c r="BP8080" s="77"/>
      <c r="BR8080" s="497">
        <v>10.039999999999999</v>
      </c>
      <c r="BT8080" s="42"/>
    </row>
    <row r="8081" spans="1:72" x14ac:dyDescent="0.25">
      <c r="A8081" s="90">
        <v>35766</v>
      </c>
      <c r="B8081" s="20">
        <v>0.95833333333333337</v>
      </c>
      <c r="D8081">
        <v>24.98</v>
      </c>
      <c r="E8081" t="str">
        <f t="shared" si="286"/>
        <v>WEEKDAY</v>
      </c>
      <c r="F8081" t="e">
        <f t="shared" si="287"/>
        <v>#N/A</v>
      </c>
      <c r="G8081" s="74">
        <v>28461</v>
      </c>
      <c r="H8081" s="77">
        <v>0.95833333333333337</v>
      </c>
      <c r="J8081">
        <v>44.96</v>
      </c>
      <c r="M8081" s="74">
        <v>36862</v>
      </c>
      <c r="N8081" s="77">
        <v>0.95833333333333337</v>
      </c>
      <c r="P8081">
        <v>23.9</v>
      </c>
      <c r="S8081" s="74">
        <v>35766</v>
      </c>
      <c r="T8081" s="77">
        <v>0.95833333333333337</v>
      </c>
      <c r="V8081">
        <v>35.96</v>
      </c>
      <c r="X8081" s="42"/>
      <c r="AB8081">
        <v>42.1</v>
      </c>
      <c r="AC8081">
        <v>35.6</v>
      </c>
      <c r="AE8081" s="74"/>
      <c r="AF8081" s="77"/>
      <c r="AH8081" s="497">
        <v>30.2</v>
      </c>
      <c r="AJ8081" s="42"/>
      <c r="AK8081" s="74"/>
      <c r="AL8081" s="77"/>
      <c r="AN8081" s="497">
        <v>21.92</v>
      </c>
      <c r="AP8081" s="42"/>
      <c r="AQ8081" s="74"/>
      <c r="AR8081" s="77"/>
      <c r="AT8081" s="497">
        <v>25.34</v>
      </c>
      <c r="AV8081" s="42"/>
      <c r="AW8081" s="74"/>
      <c r="AX8081" s="77"/>
      <c r="BA8081" s="497">
        <v>37.04</v>
      </c>
      <c r="BB8081" s="42"/>
      <c r="BC8081" s="74"/>
      <c r="BD8081" s="77"/>
      <c r="BF8081">
        <v>35.06</v>
      </c>
      <c r="BH8081" s="42"/>
      <c r="BI8081" s="74"/>
      <c r="BJ8081" s="77"/>
      <c r="BL8081" s="497">
        <v>35.06</v>
      </c>
      <c r="BN8081" s="42"/>
      <c r="BO8081" s="74"/>
      <c r="BP8081" s="77"/>
      <c r="BR8081" s="497">
        <v>8.9599999999999973</v>
      </c>
      <c r="BT8081" s="42"/>
    </row>
    <row r="8082" spans="1:72" x14ac:dyDescent="0.25">
      <c r="A8082" s="90">
        <v>35766</v>
      </c>
      <c r="B8082" s="20">
        <v>1</v>
      </c>
      <c r="D8082">
        <v>24.08</v>
      </c>
      <c r="E8082" t="str">
        <f t="shared" si="286"/>
        <v>WEEKDAY</v>
      </c>
      <c r="F8082" t="e">
        <f t="shared" si="287"/>
        <v>#N/A</v>
      </c>
      <c r="G8082" s="74">
        <v>28461</v>
      </c>
      <c r="H8082" s="77">
        <v>1</v>
      </c>
      <c r="J8082">
        <v>44.96</v>
      </c>
      <c r="M8082" s="74">
        <v>36862</v>
      </c>
      <c r="N8082" s="80">
        <v>1</v>
      </c>
      <c r="P8082">
        <v>23</v>
      </c>
      <c r="S8082" s="74">
        <v>35766</v>
      </c>
      <c r="T8082" s="80">
        <v>1</v>
      </c>
      <c r="V8082">
        <v>35.96</v>
      </c>
      <c r="X8082" s="42"/>
      <c r="AB8082">
        <v>41.7</v>
      </c>
      <c r="AC8082">
        <v>35.6</v>
      </c>
      <c r="AE8082" s="74"/>
      <c r="AF8082" s="80"/>
      <c r="AH8082" s="497">
        <v>28.4</v>
      </c>
      <c r="AJ8082" s="42"/>
      <c r="AK8082" s="74"/>
      <c r="AL8082" s="80"/>
      <c r="AN8082" s="497">
        <v>21.92</v>
      </c>
      <c r="AP8082" s="42"/>
      <c r="AQ8082" s="74"/>
      <c r="AR8082" s="80"/>
      <c r="AT8082" s="497">
        <v>23.54</v>
      </c>
      <c r="AV8082" s="42"/>
      <c r="AW8082" s="74"/>
      <c r="AX8082" s="80"/>
      <c r="BA8082" s="497">
        <v>35.96</v>
      </c>
      <c r="BB8082" s="42"/>
      <c r="BC8082" s="74"/>
      <c r="BD8082" s="80"/>
      <c r="BF8082">
        <v>35.96</v>
      </c>
      <c r="BH8082" s="42"/>
      <c r="BI8082" s="74"/>
      <c r="BJ8082" s="80"/>
      <c r="BL8082" s="497">
        <v>35.06</v>
      </c>
      <c r="BN8082" s="42"/>
      <c r="BO8082" s="74"/>
      <c r="BP8082" s="80"/>
      <c r="BR8082" s="497">
        <v>3.9200000000000017</v>
      </c>
      <c r="BT8082" s="42"/>
    </row>
    <row r="8083" spans="1:72" x14ac:dyDescent="0.25">
      <c r="A8083" s="90">
        <v>35767</v>
      </c>
      <c r="B8083" s="20">
        <v>4.1666666666666664E-2</v>
      </c>
      <c r="D8083">
        <v>24.08</v>
      </c>
      <c r="E8083" t="str">
        <f t="shared" ref="E8083:E8146" si="288">IF(COUNTIF($DI$18:$DI$22, WEEKDAY(A8083))=1, "WEEKDAY", IF(WEEKDAY(A8083) = 1, "SUNDAY", "SATURDAY"))</f>
        <v>WEEKDAY</v>
      </c>
      <c r="F8083" t="e">
        <f t="shared" si="287"/>
        <v>#N/A</v>
      </c>
      <c r="G8083" s="74">
        <v>28462</v>
      </c>
      <c r="H8083" s="77">
        <v>4.1666666666666664E-2</v>
      </c>
      <c r="J8083">
        <v>44.96</v>
      </c>
      <c r="M8083" s="74">
        <v>36863</v>
      </c>
      <c r="N8083" s="77">
        <v>4.1666666666666664E-2</v>
      </c>
      <c r="P8083">
        <v>21.2</v>
      </c>
      <c r="S8083" s="74">
        <v>35767</v>
      </c>
      <c r="T8083" s="77">
        <v>4.1666666666666664E-2</v>
      </c>
      <c r="V8083">
        <v>35.06</v>
      </c>
      <c r="X8083" s="42"/>
      <c r="AB8083">
        <v>41.3</v>
      </c>
      <c r="AC8083">
        <v>35.6</v>
      </c>
      <c r="AE8083" s="74"/>
      <c r="AF8083" s="77"/>
      <c r="AH8083" s="497">
        <v>26.6</v>
      </c>
      <c r="AJ8083" s="42"/>
      <c r="AK8083" s="74"/>
      <c r="AL8083" s="77"/>
      <c r="AN8083" s="497">
        <v>21.92</v>
      </c>
      <c r="AP8083" s="42"/>
      <c r="AQ8083" s="74"/>
      <c r="AR8083" s="77"/>
      <c r="AT8083" s="497">
        <v>21.92</v>
      </c>
      <c r="AV8083" s="42"/>
      <c r="AW8083" s="74"/>
      <c r="AX8083" s="77"/>
      <c r="BA8083" s="497">
        <v>35.06</v>
      </c>
      <c r="BB8083" s="42"/>
      <c r="BC8083" s="74"/>
      <c r="BD8083" s="77"/>
      <c r="BF8083">
        <v>35.96</v>
      </c>
      <c r="BH8083" s="42"/>
      <c r="BI8083" s="74"/>
      <c r="BJ8083" s="77"/>
      <c r="BL8083" s="497">
        <v>35.06</v>
      </c>
      <c r="BN8083" s="42"/>
      <c r="BO8083" s="74"/>
      <c r="BP8083" s="77"/>
      <c r="BR8083" s="497">
        <v>-3.9999999999999147E-2</v>
      </c>
      <c r="BT8083" s="42"/>
    </row>
    <row r="8084" spans="1:72" x14ac:dyDescent="0.25">
      <c r="A8084" s="90">
        <v>35767</v>
      </c>
      <c r="B8084" s="20">
        <v>8.3333333333333329E-2</v>
      </c>
      <c r="D8084">
        <v>24.08</v>
      </c>
      <c r="E8084" t="str">
        <f t="shared" si="288"/>
        <v>WEEKDAY</v>
      </c>
      <c r="F8084" t="e">
        <f t="shared" si="287"/>
        <v>#N/A</v>
      </c>
      <c r="G8084" s="74">
        <v>28462</v>
      </c>
      <c r="H8084" s="77">
        <v>8.3333333333333329E-2</v>
      </c>
      <c r="J8084">
        <v>42.980000000000004</v>
      </c>
      <c r="M8084" s="74">
        <v>36863</v>
      </c>
      <c r="N8084" s="77">
        <v>8.3333333333333329E-2</v>
      </c>
      <c r="P8084">
        <v>21.2</v>
      </c>
      <c r="S8084" s="74">
        <v>35767</v>
      </c>
      <c r="T8084" s="77">
        <v>8.3333333333333329E-2</v>
      </c>
      <c r="V8084">
        <v>35.06</v>
      </c>
      <c r="X8084" s="42"/>
      <c r="AB8084">
        <v>40.799999999999997</v>
      </c>
      <c r="AC8084">
        <v>33.799999999999997</v>
      </c>
      <c r="AE8084" s="74"/>
      <c r="AF8084" s="77"/>
      <c r="AH8084" s="497">
        <v>26.6</v>
      </c>
      <c r="AJ8084" s="42"/>
      <c r="AK8084" s="74"/>
      <c r="AL8084" s="77"/>
      <c r="AN8084" s="497">
        <v>17.96</v>
      </c>
      <c r="AP8084" s="42"/>
      <c r="AQ8084" s="74"/>
      <c r="AR8084" s="77"/>
      <c r="AT8084" s="497">
        <v>19.939999999999998</v>
      </c>
      <c r="AV8084" s="42"/>
      <c r="AW8084" s="74"/>
      <c r="AX8084" s="77"/>
      <c r="BA8084" s="497">
        <v>35.96</v>
      </c>
      <c r="BB8084" s="42"/>
      <c r="BC8084" s="74"/>
      <c r="BD8084" s="77"/>
      <c r="BF8084">
        <v>35.96</v>
      </c>
      <c r="BH8084" s="42"/>
      <c r="BI8084" s="74"/>
      <c r="BJ8084" s="77"/>
      <c r="BL8084" s="497">
        <v>35.96</v>
      </c>
      <c r="BN8084" s="42"/>
      <c r="BO8084" s="74"/>
      <c r="BP8084" s="77"/>
      <c r="BR8084" s="497">
        <v>-0.94000000000000483</v>
      </c>
      <c r="BT8084" s="42"/>
    </row>
    <row r="8085" spans="1:72" x14ac:dyDescent="0.25">
      <c r="A8085" s="90">
        <v>35767</v>
      </c>
      <c r="B8085" s="20">
        <v>0.125</v>
      </c>
      <c r="D8085">
        <v>23</v>
      </c>
      <c r="E8085" t="str">
        <f t="shared" si="288"/>
        <v>WEEKDAY</v>
      </c>
      <c r="F8085" t="e">
        <f t="shared" si="287"/>
        <v>#N/A</v>
      </c>
      <c r="G8085" s="74">
        <v>28462</v>
      </c>
      <c r="H8085" s="77">
        <v>0.125</v>
      </c>
      <c r="J8085">
        <v>41</v>
      </c>
      <c r="M8085" s="74">
        <v>36863</v>
      </c>
      <c r="N8085" s="77">
        <v>0.125</v>
      </c>
      <c r="P8085">
        <v>20.12</v>
      </c>
      <c r="S8085" s="74">
        <v>35767</v>
      </c>
      <c r="T8085" s="77">
        <v>0.125</v>
      </c>
      <c r="V8085">
        <v>33.979999999999997</v>
      </c>
      <c r="X8085" s="42"/>
      <c r="AB8085">
        <v>40.4</v>
      </c>
      <c r="AC8085">
        <v>32</v>
      </c>
      <c r="AE8085" s="74"/>
      <c r="AF8085" s="77"/>
      <c r="AH8085" s="497">
        <v>26.6</v>
      </c>
      <c r="AJ8085" s="42"/>
      <c r="AK8085" s="74"/>
      <c r="AL8085" s="77"/>
      <c r="AN8085" s="497">
        <v>19.04</v>
      </c>
      <c r="AP8085" s="42"/>
      <c r="AQ8085" s="74"/>
      <c r="AR8085" s="77"/>
      <c r="AT8085" s="497">
        <v>17.96</v>
      </c>
      <c r="AV8085" s="42"/>
      <c r="AW8085" s="74"/>
      <c r="AX8085" s="77"/>
      <c r="BA8085" s="497">
        <v>37.04</v>
      </c>
      <c r="BB8085" s="42"/>
      <c r="BC8085" s="74"/>
      <c r="BD8085" s="77"/>
      <c r="BF8085">
        <v>35.96</v>
      </c>
      <c r="BH8085" s="42"/>
      <c r="BI8085" s="74"/>
      <c r="BJ8085" s="77"/>
      <c r="BL8085" s="497">
        <v>35.06</v>
      </c>
      <c r="BN8085" s="42"/>
      <c r="BO8085" s="74"/>
      <c r="BP8085" s="77"/>
      <c r="BR8085" s="497">
        <v>-4</v>
      </c>
      <c r="BT8085" s="42"/>
    </row>
    <row r="8086" spans="1:72" x14ac:dyDescent="0.25">
      <c r="A8086" s="90">
        <v>35767</v>
      </c>
      <c r="B8086" s="20">
        <v>0.16666666666666666</v>
      </c>
      <c r="D8086">
        <v>23</v>
      </c>
      <c r="E8086" t="str">
        <f t="shared" si="288"/>
        <v>WEEKDAY</v>
      </c>
      <c r="F8086" t="e">
        <f t="shared" si="287"/>
        <v>#N/A</v>
      </c>
      <c r="G8086" s="74">
        <v>28462</v>
      </c>
      <c r="H8086" s="77">
        <v>0.16666666666666666</v>
      </c>
      <c r="J8086">
        <v>42.08</v>
      </c>
      <c r="M8086" s="74">
        <v>36863</v>
      </c>
      <c r="N8086" s="77">
        <v>0.16666666666666666</v>
      </c>
      <c r="P8086">
        <v>19.399999999999999</v>
      </c>
      <c r="S8086" s="74">
        <v>35767</v>
      </c>
      <c r="T8086" s="77">
        <v>0.16666666666666666</v>
      </c>
      <c r="V8086">
        <v>33.979999999999997</v>
      </c>
      <c r="X8086" s="42"/>
      <c r="AB8086">
        <v>40</v>
      </c>
      <c r="AC8086">
        <v>32</v>
      </c>
      <c r="AE8086" s="74"/>
      <c r="AF8086" s="77"/>
      <c r="AH8086" s="497">
        <v>26.6</v>
      </c>
      <c r="AJ8086" s="42"/>
      <c r="AK8086" s="74"/>
      <c r="AL8086" s="77"/>
      <c r="AN8086" s="497">
        <v>17.96</v>
      </c>
      <c r="AP8086" s="42"/>
      <c r="AQ8086" s="74"/>
      <c r="AR8086" s="77"/>
      <c r="AT8086" s="497">
        <v>15.98</v>
      </c>
      <c r="AV8086" s="42"/>
      <c r="AW8086" s="74"/>
      <c r="AX8086" s="77"/>
      <c r="BA8086" s="497">
        <v>37.94</v>
      </c>
      <c r="BB8086" s="42"/>
      <c r="BC8086" s="74"/>
      <c r="BD8086" s="77"/>
      <c r="BF8086">
        <v>35.96</v>
      </c>
      <c r="BH8086" s="42"/>
      <c r="BI8086" s="74"/>
      <c r="BJ8086" s="77"/>
      <c r="BL8086" s="497">
        <v>35.06</v>
      </c>
      <c r="BN8086" s="42"/>
      <c r="BO8086" s="74"/>
      <c r="BP8086" s="77"/>
      <c r="BR8086" s="497">
        <v>-2.9200000000000017</v>
      </c>
      <c r="BT8086" s="42"/>
    </row>
    <row r="8087" spans="1:72" x14ac:dyDescent="0.25">
      <c r="A8087" s="90">
        <v>35767</v>
      </c>
      <c r="B8087" s="20">
        <v>0.20833333333333334</v>
      </c>
      <c r="D8087">
        <v>23</v>
      </c>
      <c r="E8087" t="str">
        <f t="shared" si="288"/>
        <v>WEEKDAY</v>
      </c>
      <c r="F8087" t="e">
        <f t="shared" si="287"/>
        <v>#N/A</v>
      </c>
      <c r="G8087" s="74">
        <v>28462</v>
      </c>
      <c r="H8087" s="77">
        <v>0.20833333333333334</v>
      </c>
      <c r="J8087">
        <v>41</v>
      </c>
      <c r="M8087" s="74">
        <v>36863</v>
      </c>
      <c r="N8087" s="77">
        <v>0.20833333333333334</v>
      </c>
      <c r="P8087">
        <v>17.600000000000001</v>
      </c>
      <c r="S8087" s="74">
        <v>35767</v>
      </c>
      <c r="T8087" s="77">
        <v>0.20833333333333334</v>
      </c>
      <c r="V8087">
        <v>33.08</v>
      </c>
      <c r="X8087" s="42"/>
      <c r="AB8087">
        <v>39.700000000000003</v>
      </c>
      <c r="AC8087">
        <v>32</v>
      </c>
      <c r="AE8087" s="74"/>
      <c r="AF8087" s="77"/>
      <c r="AH8087" s="497">
        <v>24.8</v>
      </c>
      <c r="AJ8087" s="42"/>
      <c r="AK8087" s="74"/>
      <c r="AL8087" s="77"/>
      <c r="AN8087" s="497">
        <v>19.04</v>
      </c>
      <c r="AP8087" s="42"/>
      <c r="AQ8087" s="74"/>
      <c r="AR8087" s="77"/>
      <c r="AT8087" s="497">
        <v>15.620000000000001</v>
      </c>
      <c r="AV8087" s="42"/>
      <c r="AW8087" s="74"/>
      <c r="AX8087" s="77"/>
      <c r="BA8087" s="497">
        <v>37.22</v>
      </c>
      <c r="BB8087" s="42"/>
      <c r="BC8087" s="74"/>
      <c r="BD8087" s="77"/>
      <c r="BF8087">
        <v>35.06</v>
      </c>
      <c r="BH8087" s="42"/>
      <c r="BI8087" s="74"/>
      <c r="BJ8087" s="77"/>
      <c r="BL8087" s="497">
        <v>35.06</v>
      </c>
      <c r="BN8087" s="42"/>
      <c r="BO8087" s="74"/>
      <c r="BP8087" s="77"/>
      <c r="BR8087" s="497">
        <v>-2.019999999999996</v>
      </c>
      <c r="BT8087" s="42"/>
    </row>
    <row r="8088" spans="1:72" x14ac:dyDescent="0.25">
      <c r="A8088" s="90">
        <v>35767</v>
      </c>
      <c r="B8088" s="20">
        <v>0.25</v>
      </c>
      <c r="D8088">
        <v>23</v>
      </c>
      <c r="E8088" t="str">
        <f t="shared" si="288"/>
        <v>WEEKDAY</v>
      </c>
      <c r="F8088" t="e">
        <f t="shared" si="287"/>
        <v>#N/A</v>
      </c>
      <c r="G8088" s="74">
        <v>28462</v>
      </c>
      <c r="H8088" s="77">
        <v>0.25</v>
      </c>
      <c r="J8088">
        <v>41</v>
      </c>
      <c r="M8088" s="74">
        <v>36863</v>
      </c>
      <c r="N8088" s="77">
        <v>0.25</v>
      </c>
      <c r="P8088">
        <v>18.5</v>
      </c>
      <c r="S8088" s="74">
        <v>35767</v>
      </c>
      <c r="T8088" s="77">
        <v>0.25</v>
      </c>
      <c r="V8088">
        <v>32</v>
      </c>
      <c r="X8088" s="42"/>
      <c r="AB8088">
        <v>39.6</v>
      </c>
      <c r="AC8088">
        <v>33.799999999999997</v>
      </c>
      <c r="AE8088" s="74"/>
      <c r="AF8088" s="77"/>
      <c r="AH8088" s="497">
        <v>24.8</v>
      </c>
      <c r="AJ8088" s="42"/>
      <c r="AK8088" s="74"/>
      <c r="AL8088" s="77"/>
      <c r="AN8088" s="497">
        <v>19.939999999999998</v>
      </c>
      <c r="AP8088" s="42"/>
      <c r="AQ8088" s="74"/>
      <c r="AR8088" s="77"/>
      <c r="AT8088" s="497">
        <v>15.440000000000001</v>
      </c>
      <c r="AV8088" s="42"/>
      <c r="AW8088" s="74"/>
      <c r="AX8088" s="77"/>
      <c r="BA8088" s="497">
        <v>36.68</v>
      </c>
      <c r="BB8088" s="42"/>
      <c r="BC8088" s="74"/>
      <c r="BD8088" s="77"/>
      <c r="BF8088">
        <v>35.06</v>
      </c>
      <c r="BH8088" s="42"/>
      <c r="BI8088" s="74"/>
      <c r="BJ8088" s="77"/>
      <c r="BL8088" s="497">
        <v>35.06</v>
      </c>
      <c r="BN8088" s="42"/>
      <c r="BO8088" s="74"/>
      <c r="BP8088" s="77"/>
      <c r="BR8088" s="497">
        <v>-2.9200000000000017</v>
      </c>
      <c r="BT8088" s="42"/>
    </row>
    <row r="8089" spans="1:72" x14ac:dyDescent="0.25">
      <c r="A8089" s="90">
        <v>35767</v>
      </c>
      <c r="B8089" s="20">
        <v>0.29166666666666669</v>
      </c>
      <c r="D8089">
        <v>23</v>
      </c>
      <c r="E8089" t="str">
        <f t="shared" si="288"/>
        <v>WEEKDAY</v>
      </c>
      <c r="F8089" t="e">
        <f t="shared" si="287"/>
        <v>#N/A</v>
      </c>
      <c r="G8089" s="74">
        <v>28462</v>
      </c>
      <c r="H8089" s="77">
        <v>0.29166666666666669</v>
      </c>
      <c r="J8089">
        <v>41</v>
      </c>
      <c r="M8089" s="74">
        <v>36863</v>
      </c>
      <c r="N8089" s="77">
        <v>0.29166666666666669</v>
      </c>
      <c r="P8089">
        <v>19.399999999999999</v>
      </c>
      <c r="S8089" s="74">
        <v>35767</v>
      </c>
      <c r="T8089" s="77">
        <v>0.29166666666666669</v>
      </c>
      <c r="V8089">
        <v>33.979999999999997</v>
      </c>
      <c r="X8089" s="42"/>
      <c r="AB8089">
        <v>39.4</v>
      </c>
      <c r="AC8089">
        <v>32</v>
      </c>
      <c r="AE8089" s="74"/>
      <c r="AF8089" s="77"/>
      <c r="AH8089" s="497">
        <v>24.8</v>
      </c>
      <c r="AJ8089" s="42"/>
      <c r="AK8089" s="74"/>
      <c r="AL8089" s="77"/>
      <c r="AN8089" s="497">
        <v>21.92</v>
      </c>
      <c r="AP8089" s="42"/>
      <c r="AQ8089" s="74"/>
      <c r="AR8089" s="77"/>
      <c r="AT8089" s="497">
        <v>15.079999999999998</v>
      </c>
      <c r="AV8089" s="42"/>
      <c r="AW8089" s="74"/>
      <c r="AX8089" s="77"/>
      <c r="BA8089" s="497">
        <v>35.96</v>
      </c>
      <c r="BB8089" s="42"/>
      <c r="BC8089" s="74"/>
      <c r="BD8089" s="77"/>
      <c r="BF8089">
        <v>33.979999999999997</v>
      </c>
      <c r="BH8089" s="42"/>
      <c r="BI8089" s="74"/>
      <c r="BJ8089" s="77"/>
      <c r="BL8089" s="497">
        <v>33.979999999999997</v>
      </c>
      <c r="BN8089" s="42"/>
      <c r="BO8089" s="74"/>
      <c r="BP8089" s="77"/>
      <c r="BR8089" s="497">
        <v>-0.94000000000000483</v>
      </c>
      <c r="BT8089" s="42"/>
    </row>
    <row r="8090" spans="1:72" x14ac:dyDescent="0.25">
      <c r="A8090" s="90">
        <v>35767</v>
      </c>
      <c r="B8090" s="20">
        <v>0.33333333333333331</v>
      </c>
      <c r="D8090">
        <v>23</v>
      </c>
      <c r="E8090" t="str">
        <f t="shared" si="288"/>
        <v>WEEKDAY</v>
      </c>
      <c r="F8090" t="e">
        <f t="shared" si="287"/>
        <v>#N/A</v>
      </c>
      <c r="G8090" s="74">
        <v>28462</v>
      </c>
      <c r="H8090" s="77">
        <v>0.33333333333333331</v>
      </c>
      <c r="J8090">
        <v>41</v>
      </c>
      <c r="M8090" s="74">
        <v>36863</v>
      </c>
      <c r="N8090" s="77">
        <v>0.33333333333333331</v>
      </c>
      <c r="P8090">
        <v>21.2</v>
      </c>
      <c r="S8090" s="74">
        <v>35767</v>
      </c>
      <c r="T8090" s="77">
        <v>0.33333333333333331</v>
      </c>
      <c r="V8090">
        <v>33.979999999999997</v>
      </c>
      <c r="X8090" s="42"/>
      <c r="AB8090">
        <v>39.5</v>
      </c>
      <c r="AC8090">
        <v>33.799999999999997</v>
      </c>
      <c r="AE8090" s="74"/>
      <c r="AF8090" s="77"/>
      <c r="AH8090" s="497">
        <v>28.4</v>
      </c>
      <c r="AJ8090" s="42"/>
      <c r="AK8090" s="74"/>
      <c r="AL8090" s="77"/>
      <c r="AN8090" s="497">
        <v>23</v>
      </c>
      <c r="AP8090" s="42"/>
      <c r="AQ8090" s="74"/>
      <c r="AR8090" s="77"/>
      <c r="AT8090" s="497">
        <v>16.340000000000003</v>
      </c>
      <c r="AV8090" s="42"/>
      <c r="AW8090" s="74"/>
      <c r="AX8090" s="77"/>
      <c r="BA8090" s="497">
        <v>36.68</v>
      </c>
      <c r="BB8090" s="42"/>
      <c r="BC8090" s="74"/>
      <c r="BD8090" s="77"/>
      <c r="BF8090">
        <v>33.08</v>
      </c>
      <c r="BH8090" s="42"/>
      <c r="BI8090" s="74"/>
      <c r="BJ8090" s="77"/>
      <c r="BL8090" s="497">
        <v>33.979999999999997</v>
      </c>
      <c r="BN8090" s="42"/>
      <c r="BO8090" s="74"/>
      <c r="BP8090" s="77"/>
      <c r="BR8090" s="497">
        <v>1.0399999999999991</v>
      </c>
      <c r="BT8090" s="42"/>
    </row>
    <row r="8091" spans="1:72" x14ac:dyDescent="0.25">
      <c r="A8091" s="90">
        <v>35767</v>
      </c>
      <c r="B8091" s="20">
        <v>0.375</v>
      </c>
      <c r="D8091">
        <v>24.08</v>
      </c>
      <c r="E8091" t="str">
        <f t="shared" si="288"/>
        <v>WEEKDAY</v>
      </c>
      <c r="F8091" t="e">
        <f t="shared" si="287"/>
        <v>#N/A</v>
      </c>
      <c r="G8091" s="74">
        <v>28462</v>
      </c>
      <c r="H8091" s="77">
        <v>0.375</v>
      </c>
      <c r="J8091">
        <v>41</v>
      </c>
      <c r="M8091" s="74">
        <v>36863</v>
      </c>
      <c r="N8091" s="77">
        <v>0.375</v>
      </c>
      <c r="P8091">
        <v>23</v>
      </c>
      <c r="S8091" s="74">
        <v>35767</v>
      </c>
      <c r="T8091" s="77">
        <v>0.375</v>
      </c>
      <c r="V8091">
        <v>37.04</v>
      </c>
      <c r="X8091" s="42"/>
      <c r="AB8091">
        <v>40.200000000000003</v>
      </c>
      <c r="AC8091">
        <v>37.4</v>
      </c>
      <c r="AE8091" s="74"/>
      <c r="AF8091" s="77"/>
      <c r="AH8091" s="497">
        <v>30.2</v>
      </c>
      <c r="AJ8091" s="42"/>
      <c r="AK8091" s="74"/>
      <c r="AL8091" s="77"/>
      <c r="AN8091" s="497">
        <v>23</v>
      </c>
      <c r="AP8091" s="42"/>
      <c r="AQ8091" s="74"/>
      <c r="AR8091" s="77"/>
      <c r="AT8091" s="497">
        <v>17.78</v>
      </c>
      <c r="AV8091" s="42"/>
      <c r="AW8091" s="74"/>
      <c r="AX8091" s="77"/>
      <c r="BA8091" s="497">
        <v>37.22</v>
      </c>
      <c r="BB8091" s="42"/>
      <c r="BC8091" s="74"/>
      <c r="BD8091" s="77"/>
      <c r="BF8091">
        <v>33.979999999999997</v>
      </c>
      <c r="BH8091" s="42"/>
      <c r="BI8091" s="74"/>
      <c r="BJ8091" s="77"/>
      <c r="BL8091" s="497">
        <v>33.979999999999997</v>
      </c>
      <c r="BN8091" s="42"/>
      <c r="BO8091" s="74"/>
      <c r="BP8091" s="77"/>
      <c r="BR8091" s="497">
        <v>3.019999999999996</v>
      </c>
      <c r="BT8091" s="42"/>
    </row>
    <row r="8092" spans="1:72" x14ac:dyDescent="0.25">
      <c r="A8092" s="90">
        <v>35767</v>
      </c>
      <c r="B8092" s="20">
        <v>0.41666666666666669</v>
      </c>
      <c r="D8092">
        <v>24.98</v>
      </c>
      <c r="E8092" t="str">
        <f t="shared" si="288"/>
        <v>WEEKDAY</v>
      </c>
      <c r="F8092" t="e">
        <f t="shared" si="287"/>
        <v>#N/A</v>
      </c>
      <c r="G8092" s="74">
        <v>28462</v>
      </c>
      <c r="H8092" s="77">
        <v>0.41666666666666669</v>
      </c>
      <c r="J8092">
        <v>42.08</v>
      </c>
      <c r="M8092" s="74">
        <v>36863</v>
      </c>
      <c r="N8092" s="77">
        <v>0.41666666666666669</v>
      </c>
      <c r="P8092">
        <v>26.6</v>
      </c>
      <c r="S8092" s="74">
        <v>35767</v>
      </c>
      <c r="T8092" s="77">
        <v>0.41666666666666669</v>
      </c>
      <c r="V8092">
        <v>41</v>
      </c>
      <c r="X8092" s="42"/>
      <c r="AB8092">
        <v>41.9</v>
      </c>
      <c r="AC8092">
        <v>41</v>
      </c>
      <c r="AE8092" s="74"/>
      <c r="AF8092" s="77"/>
      <c r="AH8092" s="497">
        <v>35.6</v>
      </c>
      <c r="AJ8092" s="42"/>
      <c r="AK8092" s="74"/>
      <c r="AL8092" s="77"/>
      <c r="AN8092" s="497">
        <v>24.08</v>
      </c>
      <c r="AP8092" s="42"/>
      <c r="AQ8092" s="74"/>
      <c r="AR8092" s="77"/>
      <c r="AT8092" s="497">
        <v>19.04</v>
      </c>
      <c r="AV8092" s="42"/>
      <c r="AW8092" s="74"/>
      <c r="AX8092" s="77"/>
      <c r="BA8092" s="497">
        <v>37.94</v>
      </c>
      <c r="BB8092" s="42"/>
      <c r="BC8092" s="74"/>
      <c r="BD8092" s="77"/>
      <c r="BF8092">
        <v>33.979999999999997</v>
      </c>
      <c r="BH8092" s="42"/>
      <c r="BI8092" s="74"/>
      <c r="BJ8092" s="77"/>
      <c r="BL8092" s="497">
        <v>35.06</v>
      </c>
      <c r="BN8092" s="42"/>
      <c r="BO8092" s="74"/>
      <c r="BP8092" s="77"/>
      <c r="BR8092" s="497">
        <v>5</v>
      </c>
      <c r="BT8092" s="42"/>
    </row>
    <row r="8093" spans="1:72" x14ac:dyDescent="0.25">
      <c r="A8093" s="90">
        <v>35767</v>
      </c>
      <c r="B8093" s="20">
        <v>0.45833333333333331</v>
      </c>
      <c r="D8093">
        <v>26.060000000000002</v>
      </c>
      <c r="E8093" t="str">
        <f t="shared" si="288"/>
        <v>WEEKDAY</v>
      </c>
      <c r="F8093" t="e">
        <f t="shared" si="287"/>
        <v>#N/A</v>
      </c>
      <c r="G8093" s="74">
        <v>28462</v>
      </c>
      <c r="H8093" s="77">
        <v>0.45833333333333331</v>
      </c>
      <c r="J8093">
        <v>44.06</v>
      </c>
      <c r="M8093" s="74">
        <v>36863</v>
      </c>
      <c r="N8093" s="77">
        <v>0.45833333333333331</v>
      </c>
      <c r="P8093">
        <v>30.2</v>
      </c>
      <c r="S8093" s="74">
        <v>35767</v>
      </c>
      <c r="T8093" s="77">
        <v>0.45833333333333331</v>
      </c>
      <c r="V8093">
        <v>42.980000000000004</v>
      </c>
      <c r="X8093" s="42"/>
      <c r="AB8093">
        <v>43.5</v>
      </c>
      <c r="AC8093">
        <v>46.4</v>
      </c>
      <c r="AE8093" s="74"/>
      <c r="AF8093" s="77"/>
      <c r="AH8093" s="497">
        <v>41</v>
      </c>
      <c r="AJ8093" s="42"/>
      <c r="AK8093" s="74"/>
      <c r="AL8093" s="77"/>
      <c r="AN8093" s="497">
        <v>24.98</v>
      </c>
      <c r="AP8093" s="42"/>
      <c r="AQ8093" s="74"/>
      <c r="AR8093" s="77"/>
      <c r="AT8093" s="497">
        <v>19.759999999999998</v>
      </c>
      <c r="AV8093" s="42"/>
      <c r="AW8093" s="74"/>
      <c r="AX8093" s="77"/>
      <c r="BA8093" s="497">
        <v>38.659999999999997</v>
      </c>
      <c r="BB8093" s="42"/>
      <c r="BC8093" s="74"/>
      <c r="BD8093" s="77"/>
      <c r="BF8093">
        <v>33.979999999999997</v>
      </c>
      <c r="BH8093" s="42"/>
      <c r="BI8093" s="74"/>
      <c r="BJ8093" s="77"/>
      <c r="BL8093" s="497">
        <v>35.06</v>
      </c>
      <c r="BN8093" s="42"/>
      <c r="BO8093" s="74"/>
      <c r="BP8093" s="77"/>
      <c r="BR8093" s="497">
        <v>8.9599999999999973</v>
      </c>
      <c r="BT8093" s="42"/>
    </row>
    <row r="8094" spans="1:72" x14ac:dyDescent="0.25">
      <c r="A8094" s="90">
        <v>35767</v>
      </c>
      <c r="B8094" s="20">
        <v>0.5</v>
      </c>
      <c r="D8094">
        <v>28.04</v>
      </c>
      <c r="E8094" t="str">
        <f t="shared" si="288"/>
        <v>WEEKDAY</v>
      </c>
      <c r="F8094" t="e">
        <f t="shared" si="287"/>
        <v>#N/A</v>
      </c>
      <c r="G8094" s="74">
        <v>28462</v>
      </c>
      <c r="H8094" s="77">
        <v>0.5</v>
      </c>
      <c r="J8094">
        <v>44.96</v>
      </c>
      <c r="M8094" s="74">
        <v>36863</v>
      </c>
      <c r="N8094" s="77">
        <v>0.5</v>
      </c>
      <c r="P8094">
        <v>32</v>
      </c>
      <c r="S8094" s="74">
        <v>35767</v>
      </c>
      <c r="T8094" s="77">
        <v>0.5</v>
      </c>
      <c r="V8094">
        <v>46.04</v>
      </c>
      <c r="X8094" s="42"/>
      <c r="AB8094">
        <v>44.8</v>
      </c>
      <c r="AC8094">
        <v>50</v>
      </c>
      <c r="AE8094" s="74"/>
      <c r="AF8094" s="77"/>
      <c r="AH8094" s="497">
        <v>42.8</v>
      </c>
      <c r="AJ8094" s="42"/>
      <c r="AK8094" s="74"/>
      <c r="AL8094" s="77"/>
      <c r="AN8094" s="497">
        <v>26.060000000000002</v>
      </c>
      <c r="AP8094" s="42"/>
      <c r="AQ8094" s="74"/>
      <c r="AR8094" s="77"/>
      <c r="AT8094" s="497">
        <v>20.299999999999997</v>
      </c>
      <c r="AV8094" s="42"/>
      <c r="AW8094" s="74"/>
      <c r="AX8094" s="77"/>
      <c r="BA8094" s="497">
        <v>39.200000000000003</v>
      </c>
      <c r="BB8094" s="42"/>
      <c r="BC8094" s="74"/>
      <c r="BD8094" s="77"/>
      <c r="BF8094">
        <v>33.08</v>
      </c>
      <c r="BH8094" s="42"/>
      <c r="BI8094" s="74"/>
      <c r="BJ8094" s="77"/>
      <c r="BL8094" s="497">
        <v>35.06</v>
      </c>
      <c r="BN8094" s="42"/>
      <c r="BO8094" s="74"/>
      <c r="BP8094" s="77"/>
      <c r="BR8094" s="497">
        <v>10.039999999999999</v>
      </c>
      <c r="BT8094" s="42"/>
    </row>
    <row r="8095" spans="1:72" x14ac:dyDescent="0.25">
      <c r="A8095" s="90">
        <v>35767</v>
      </c>
      <c r="B8095" s="20">
        <v>0.54166666666666663</v>
      </c>
      <c r="D8095">
        <v>30.02</v>
      </c>
      <c r="E8095" t="str">
        <f t="shared" si="288"/>
        <v>WEEKDAY</v>
      </c>
      <c r="F8095" t="e">
        <f t="shared" si="287"/>
        <v>#N/A</v>
      </c>
      <c r="G8095" s="74">
        <v>28462</v>
      </c>
      <c r="H8095" s="77">
        <v>0.54166666666666663</v>
      </c>
      <c r="J8095">
        <v>46.04</v>
      </c>
      <c r="M8095" s="74">
        <v>36863</v>
      </c>
      <c r="N8095" s="77">
        <v>0.54166666666666663</v>
      </c>
      <c r="P8095">
        <v>33.799999999999997</v>
      </c>
      <c r="S8095" s="74">
        <v>35767</v>
      </c>
      <c r="T8095" s="77">
        <v>0.54166666666666663</v>
      </c>
      <c r="V8095">
        <v>46.94</v>
      </c>
      <c r="X8095" s="42"/>
      <c r="AB8095">
        <v>45.7</v>
      </c>
      <c r="AC8095">
        <v>51.8</v>
      </c>
      <c r="AE8095" s="74"/>
      <c r="AF8095" s="77"/>
      <c r="AH8095" s="497">
        <v>42.8</v>
      </c>
      <c r="AJ8095" s="42"/>
      <c r="AK8095" s="74"/>
      <c r="AL8095" s="77"/>
      <c r="AN8095" s="497">
        <v>26.060000000000002</v>
      </c>
      <c r="AP8095" s="42"/>
      <c r="AQ8095" s="74"/>
      <c r="AR8095" s="77"/>
      <c r="AT8095" s="497">
        <v>21.02</v>
      </c>
      <c r="AV8095" s="42"/>
      <c r="AW8095" s="74"/>
      <c r="AX8095" s="77"/>
      <c r="BA8095" s="497">
        <v>39.92</v>
      </c>
      <c r="BB8095" s="42"/>
      <c r="BC8095" s="74"/>
      <c r="BD8095" s="77"/>
      <c r="BF8095">
        <v>32</v>
      </c>
      <c r="BH8095" s="42"/>
      <c r="BI8095" s="74"/>
      <c r="BJ8095" s="77"/>
      <c r="BL8095" s="497">
        <v>35.06</v>
      </c>
      <c r="BN8095" s="42"/>
      <c r="BO8095" s="74"/>
      <c r="BP8095" s="77"/>
      <c r="BR8095" s="497">
        <v>10.039999999999999</v>
      </c>
      <c r="BT8095" s="42"/>
    </row>
    <row r="8096" spans="1:72" x14ac:dyDescent="0.25">
      <c r="A8096" s="90">
        <v>35767</v>
      </c>
      <c r="B8096" s="20">
        <v>0.58333333333333337</v>
      </c>
      <c r="D8096">
        <v>30.92</v>
      </c>
      <c r="E8096" t="str">
        <f t="shared" si="288"/>
        <v>WEEKDAY</v>
      </c>
      <c r="F8096" t="e">
        <f t="shared" si="287"/>
        <v>#N/A</v>
      </c>
      <c r="G8096" s="74">
        <v>28462</v>
      </c>
      <c r="H8096" s="77">
        <v>0.58333333333333337</v>
      </c>
      <c r="J8096">
        <v>46.04</v>
      </c>
      <c r="M8096" s="74">
        <v>36863</v>
      </c>
      <c r="N8096" s="77">
        <v>0.58333333333333337</v>
      </c>
      <c r="P8096">
        <v>35.6</v>
      </c>
      <c r="S8096" s="74">
        <v>35767</v>
      </c>
      <c r="T8096" s="77">
        <v>0.58333333333333337</v>
      </c>
      <c r="V8096">
        <v>48.019999999999996</v>
      </c>
      <c r="X8096" s="42"/>
      <c r="AB8096">
        <v>46.3</v>
      </c>
      <c r="AC8096">
        <v>53.6</v>
      </c>
      <c r="AE8096" s="74"/>
      <c r="AF8096" s="77"/>
      <c r="AH8096" s="497">
        <v>44.6</v>
      </c>
      <c r="AJ8096" s="42"/>
      <c r="AK8096" s="74"/>
      <c r="AL8096" s="77"/>
      <c r="AN8096" s="497">
        <v>26.96</v>
      </c>
      <c r="AP8096" s="42"/>
      <c r="AQ8096" s="74"/>
      <c r="AR8096" s="77"/>
      <c r="AT8096" s="497">
        <v>22.64</v>
      </c>
      <c r="AV8096" s="42"/>
      <c r="AW8096" s="74"/>
      <c r="AX8096" s="77"/>
      <c r="BA8096" s="497">
        <v>37.94</v>
      </c>
      <c r="BB8096" s="42"/>
      <c r="BC8096" s="74"/>
      <c r="BD8096" s="77"/>
      <c r="BF8096">
        <v>32</v>
      </c>
      <c r="BH8096" s="42"/>
      <c r="BI8096" s="74"/>
      <c r="BJ8096" s="77"/>
      <c r="BL8096" s="497">
        <v>33.979999999999997</v>
      </c>
      <c r="BN8096" s="42"/>
      <c r="BO8096" s="74"/>
      <c r="BP8096" s="77"/>
      <c r="BR8096" s="497">
        <v>10.940000000000001</v>
      </c>
      <c r="BT8096" s="42"/>
    </row>
    <row r="8097" spans="1:72" x14ac:dyDescent="0.25">
      <c r="A8097" s="90">
        <v>35767</v>
      </c>
      <c r="B8097" s="20">
        <v>0.625</v>
      </c>
      <c r="D8097">
        <v>32</v>
      </c>
      <c r="E8097" t="str">
        <f t="shared" si="288"/>
        <v>WEEKDAY</v>
      </c>
      <c r="F8097" t="e">
        <f t="shared" si="287"/>
        <v>#N/A</v>
      </c>
      <c r="G8097" s="74">
        <v>28462</v>
      </c>
      <c r="H8097" s="77">
        <v>0.625</v>
      </c>
      <c r="J8097">
        <v>46.94</v>
      </c>
      <c r="M8097" s="74">
        <v>36863</v>
      </c>
      <c r="N8097" s="77">
        <v>0.625</v>
      </c>
      <c r="P8097">
        <v>37.4</v>
      </c>
      <c r="S8097" s="74">
        <v>35767</v>
      </c>
      <c r="T8097" s="77">
        <v>0.625</v>
      </c>
      <c r="V8097">
        <v>46.94</v>
      </c>
      <c r="X8097" s="42"/>
      <c r="AB8097">
        <v>46.4</v>
      </c>
      <c r="AC8097">
        <v>51.8</v>
      </c>
      <c r="AE8097" s="74"/>
      <c r="AF8097" s="77"/>
      <c r="AH8097" s="497">
        <v>42.8</v>
      </c>
      <c r="AJ8097" s="42"/>
      <c r="AK8097" s="74"/>
      <c r="AL8097" s="77"/>
      <c r="AN8097" s="497">
        <v>28.04</v>
      </c>
      <c r="AP8097" s="42"/>
      <c r="AQ8097" s="74"/>
      <c r="AR8097" s="77"/>
      <c r="AT8097" s="497">
        <v>24.439999999999998</v>
      </c>
      <c r="AV8097" s="42"/>
      <c r="AW8097" s="74"/>
      <c r="AX8097" s="77"/>
      <c r="BA8097" s="497">
        <v>35.96</v>
      </c>
      <c r="BB8097" s="42"/>
      <c r="BC8097" s="74"/>
      <c r="BD8097" s="77"/>
      <c r="BF8097">
        <v>30.92</v>
      </c>
      <c r="BH8097" s="42"/>
      <c r="BI8097" s="74"/>
      <c r="BJ8097" s="77"/>
      <c r="BL8097" s="497">
        <v>33.979999999999997</v>
      </c>
      <c r="BN8097" s="42"/>
      <c r="BO8097" s="74"/>
      <c r="BP8097" s="77"/>
      <c r="BR8097" s="497">
        <v>10.039999999999999</v>
      </c>
      <c r="BT8097" s="42"/>
    </row>
    <row r="8098" spans="1:72" x14ac:dyDescent="0.25">
      <c r="A8098" s="90">
        <v>35767</v>
      </c>
      <c r="B8098" s="20">
        <v>0.66666666666666663</v>
      </c>
      <c r="D8098">
        <v>32</v>
      </c>
      <c r="E8098" t="str">
        <f t="shared" si="288"/>
        <v>WEEKDAY</v>
      </c>
      <c r="F8098" t="e">
        <f t="shared" si="287"/>
        <v>#N/A</v>
      </c>
      <c r="G8098" s="74">
        <v>28462</v>
      </c>
      <c r="H8098" s="77">
        <v>0.66666666666666663</v>
      </c>
      <c r="J8098">
        <v>46.04</v>
      </c>
      <c r="M8098" s="74">
        <v>36863</v>
      </c>
      <c r="N8098" s="77">
        <v>0.66666666666666663</v>
      </c>
      <c r="P8098">
        <v>33.799999999999997</v>
      </c>
      <c r="S8098" s="74">
        <v>35767</v>
      </c>
      <c r="T8098" s="77">
        <v>0.66666666666666663</v>
      </c>
      <c r="V8098">
        <v>46.04</v>
      </c>
      <c r="X8098" s="42"/>
      <c r="AB8098">
        <v>46.1</v>
      </c>
      <c r="AC8098">
        <v>48.2</v>
      </c>
      <c r="AE8098" s="74"/>
      <c r="AF8098" s="77"/>
      <c r="AH8098" s="497">
        <v>42.8</v>
      </c>
      <c r="AJ8098" s="42"/>
      <c r="AK8098" s="74"/>
      <c r="AL8098" s="77"/>
      <c r="AN8098" s="497">
        <v>30.92</v>
      </c>
      <c r="AP8098" s="42"/>
      <c r="AQ8098" s="74"/>
      <c r="AR8098" s="77"/>
      <c r="AT8098" s="497">
        <v>26.060000000000002</v>
      </c>
      <c r="AV8098" s="42"/>
      <c r="AW8098" s="74"/>
      <c r="AX8098" s="77"/>
      <c r="BA8098" s="497">
        <v>33.979999999999997</v>
      </c>
      <c r="BB8098" s="42"/>
      <c r="BC8098" s="74"/>
      <c r="BD8098" s="77"/>
      <c r="BF8098">
        <v>32</v>
      </c>
      <c r="BH8098" s="42"/>
      <c r="BI8098" s="74"/>
      <c r="BJ8098" s="77"/>
      <c r="BL8098" s="497">
        <v>33.979999999999997</v>
      </c>
      <c r="BN8098" s="42"/>
      <c r="BO8098" s="74"/>
      <c r="BP8098" s="77"/>
      <c r="BR8098" s="497">
        <v>12.02</v>
      </c>
      <c r="BT8098" s="42"/>
    </row>
    <row r="8099" spans="1:72" x14ac:dyDescent="0.25">
      <c r="A8099" s="90">
        <v>35767</v>
      </c>
      <c r="B8099" s="20">
        <v>0.70833333333333337</v>
      </c>
      <c r="D8099">
        <v>32</v>
      </c>
      <c r="E8099" t="str">
        <f t="shared" si="288"/>
        <v>WEEKDAY</v>
      </c>
      <c r="F8099" t="e">
        <f t="shared" si="287"/>
        <v>#N/A</v>
      </c>
      <c r="G8099" s="74">
        <v>28462</v>
      </c>
      <c r="H8099" s="77">
        <v>0.70833333333333337</v>
      </c>
      <c r="J8099">
        <v>44.96</v>
      </c>
      <c r="M8099" s="74">
        <v>36863</v>
      </c>
      <c r="N8099" s="77">
        <v>0.70833333333333337</v>
      </c>
      <c r="P8099">
        <v>33.799999999999997</v>
      </c>
      <c r="S8099" s="74">
        <v>35767</v>
      </c>
      <c r="T8099" s="77">
        <v>0.70833333333333337</v>
      </c>
      <c r="V8099">
        <v>46.04</v>
      </c>
      <c r="X8099" s="42"/>
      <c r="AB8099">
        <v>45.2</v>
      </c>
      <c r="AC8099">
        <v>42.8</v>
      </c>
      <c r="AE8099" s="74"/>
      <c r="AF8099" s="77"/>
      <c r="AH8099" s="497">
        <v>39.200000000000003</v>
      </c>
      <c r="AJ8099" s="42"/>
      <c r="AK8099" s="74"/>
      <c r="AL8099" s="77"/>
      <c r="AN8099" s="497">
        <v>33.979999999999997</v>
      </c>
      <c r="AP8099" s="42"/>
      <c r="AQ8099" s="74"/>
      <c r="AR8099" s="77"/>
      <c r="AT8099" s="497">
        <v>26.78</v>
      </c>
      <c r="AV8099" s="42"/>
      <c r="AW8099" s="74"/>
      <c r="AX8099" s="77"/>
      <c r="BA8099" s="497">
        <v>33.979999999999997</v>
      </c>
      <c r="BB8099" s="42"/>
      <c r="BC8099" s="74"/>
      <c r="BD8099" s="77"/>
      <c r="BF8099">
        <v>32</v>
      </c>
      <c r="BH8099" s="42"/>
      <c r="BI8099" s="74"/>
      <c r="BJ8099" s="77"/>
      <c r="BL8099" s="497">
        <v>33.08</v>
      </c>
      <c r="BN8099" s="42"/>
      <c r="BO8099" s="74"/>
      <c r="BP8099" s="77"/>
      <c r="BR8099" s="497">
        <v>12.02</v>
      </c>
      <c r="BT8099" s="42"/>
    </row>
    <row r="8100" spans="1:72" x14ac:dyDescent="0.25">
      <c r="A8100" s="90">
        <v>35767</v>
      </c>
      <c r="B8100" s="20">
        <v>0.75</v>
      </c>
      <c r="D8100">
        <v>30.92</v>
      </c>
      <c r="E8100" t="str">
        <f t="shared" si="288"/>
        <v>WEEKDAY</v>
      </c>
      <c r="F8100" t="e">
        <f t="shared" si="287"/>
        <v>#N/A</v>
      </c>
      <c r="G8100" s="74">
        <v>28462</v>
      </c>
      <c r="H8100" s="77">
        <v>0.75</v>
      </c>
      <c r="J8100">
        <v>46.04</v>
      </c>
      <c r="M8100" s="74">
        <v>36863</v>
      </c>
      <c r="N8100" s="77">
        <v>0.75</v>
      </c>
      <c r="P8100">
        <v>32</v>
      </c>
      <c r="S8100" s="74">
        <v>35767</v>
      </c>
      <c r="T8100" s="77">
        <v>0.75</v>
      </c>
      <c r="V8100">
        <v>41</v>
      </c>
      <c r="X8100" s="42"/>
      <c r="AB8100">
        <v>44.1</v>
      </c>
      <c r="AC8100">
        <v>42.8</v>
      </c>
      <c r="AE8100" s="74"/>
      <c r="AF8100" s="77"/>
      <c r="AH8100" s="497">
        <v>37.4</v>
      </c>
      <c r="AJ8100" s="42"/>
      <c r="AK8100" s="74"/>
      <c r="AL8100" s="77"/>
      <c r="AN8100" s="497">
        <v>35.96</v>
      </c>
      <c r="AP8100" s="42"/>
      <c r="AQ8100" s="74"/>
      <c r="AR8100" s="77"/>
      <c r="AT8100" s="497">
        <v>27.32</v>
      </c>
      <c r="AV8100" s="42"/>
      <c r="AW8100" s="74"/>
      <c r="AX8100" s="77"/>
      <c r="BA8100" s="497">
        <v>33.979999999999997</v>
      </c>
      <c r="BB8100" s="42"/>
      <c r="BC8100" s="74"/>
      <c r="BD8100" s="77"/>
      <c r="BF8100">
        <v>30.92</v>
      </c>
      <c r="BH8100" s="42"/>
      <c r="BI8100" s="74"/>
      <c r="BJ8100" s="77"/>
      <c r="BL8100" s="497">
        <v>33.08</v>
      </c>
      <c r="BN8100" s="42"/>
      <c r="BO8100" s="74"/>
      <c r="BP8100" s="77"/>
      <c r="BR8100" s="497">
        <v>12.02</v>
      </c>
      <c r="BT8100" s="42"/>
    </row>
    <row r="8101" spans="1:72" x14ac:dyDescent="0.25">
      <c r="A8101" s="90">
        <v>35767</v>
      </c>
      <c r="B8101" s="20">
        <v>0.79166666666666663</v>
      </c>
      <c r="D8101">
        <v>30.92</v>
      </c>
      <c r="E8101" t="str">
        <f t="shared" si="288"/>
        <v>WEEKDAY</v>
      </c>
      <c r="F8101" t="e">
        <f t="shared" si="287"/>
        <v>#N/A</v>
      </c>
      <c r="G8101" s="74">
        <v>28462</v>
      </c>
      <c r="H8101" s="77">
        <v>0.79166666666666663</v>
      </c>
      <c r="J8101">
        <v>46.04</v>
      </c>
      <c r="M8101" s="74">
        <v>36863</v>
      </c>
      <c r="N8101" s="77">
        <v>0.79166666666666663</v>
      </c>
      <c r="P8101">
        <v>30.2</v>
      </c>
      <c r="S8101" s="74">
        <v>35767</v>
      </c>
      <c r="T8101" s="77">
        <v>0.79166666666666663</v>
      </c>
      <c r="V8101">
        <v>41</v>
      </c>
      <c r="X8101" s="42"/>
      <c r="AB8101">
        <v>43.6</v>
      </c>
      <c r="AC8101">
        <v>41</v>
      </c>
      <c r="AE8101" s="74"/>
      <c r="AF8101" s="77"/>
      <c r="AH8101" s="497">
        <v>35.6</v>
      </c>
      <c r="AJ8101" s="42"/>
      <c r="AK8101" s="74"/>
      <c r="AL8101" s="77"/>
      <c r="AN8101" s="497">
        <v>37.04</v>
      </c>
      <c r="AP8101" s="42"/>
      <c r="AQ8101" s="74"/>
      <c r="AR8101" s="77"/>
      <c r="AT8101" s="497">
        <v>28.04</v>
      </c>
      <c r="AV8101" s="42"/>
      <c r="AW8101" s="74"/>
      <c r="AX8101" s="77"/>
      <c r="BA8101" s="497">
        <v>33.979999999999997</v>
      </c>
      <c r="BB8101" s="42"/>
      <c r="BC8101" s="74"/>
      <c r="BD8101" s="77"/>
      <c r="BF8101">
        <v>30.02</v>
      </c>
      <c r="BH8101" s="42"/>
      <c r="BI8101" s="74"/>
      <c r="BJ8101" s="77"/>
      <c r="BL8101" s="497">
        <v>33.08</v>
      </c>
      <c r="BN8101" s="42"/>
      <c r="BO8101" s="74"/>
      <c r="BP8101" s="77"/>
      <c r="BR8101" s="497">
        <v>12.920000000000002</v>
      </c>
      <c r="BT8101" s="42"/>
    </row>
    <row r="8102" spans="1:72" x14ac:dyDescent="0.25">
      <c r="A8102" s="90">
        <v>35767</v>
      </c>
      <c r="B8102" s="20">
        <v>0.83333333333333337</v>
      </c>
      <c r="D8102">
        <v>30.92</v>
      </c>
      <c r="E8102" t="str">
        <f t="shared" si="288"/>
        <v>WEEKDAY</v>
      </c>
      <c r="F8102" t="e">
        <f t="shared" si="287"/>
        <v>#N/A</v>
      </c>
      <c r="G8102" s="74">
        <v>28462</v>
      </c>
      <c r="H8102" s="77">
        <v>0.83333333333333337</v>
      </c>
      <c r="J8102">
        <v>46.04</v>
      </c>
      <c r="M8102" s="74">
        <v>36863</v>
      </c>
      <c r="N8102" s="77">
        <v>0.83333333333333337</v>
      </c>
      <c r="P8102">
        <v>30.2</v>
      </c>
      <c r="S8102" s="74">
        <v>35767</v>
      </c>
      <c r="T8102" s="77">
        <v>0.83333333333333337</v>
      </c>
      <c r="V8102">
        <v>42.08</v>
      </c>
      <c r="X8102" s="42"/>
      <c r="AB8102">
        <v>43.4</v>
      </c>
      <c r="AC8102">
        <v>41</v>
      </c>
      <c r="AE8102" s="74"/>
      <c r="AF8102" s="77"/>
      <c r="AH8102" s="497">
        <v>35.6</v>
      </c>
      <c r="AJ8102" s="42"/>
      <c r="AK8102" s="74"/>
      <c r="AL8102" s="77"/>
      <c r="AN8102" s="497">
        <v>37.94</v>
      </c>
      <c r="AP8102" s="42"/>
      <c r="AQ8102" s="74"/>
      <c r="AR8102" s="77"/>
      <c r="AT8102" s="497">
        <v>29.66</v>
      </c>
      <c r="AV8102" s="42"/>
      <c r="AW8102" s="74"/>
      <c r="AX8102" s="77"/>
      <c r="BA8102" s="497">
        <v>33.619999999999997</v>
      </c>
      <c r="BB8102" s="42"/>
      <c r="BC8102" s="74"/>
      <c r="BD8102" s="77"/>
      <c r="BF8102">
        <v>28.94</v>
      </c>
      <c r="BH8102" s="42"/>
      <c r="BI8102" s="74"/>
      <c r="BJ8102" s="77"/>
      <c r="BL8102" s="497">
        <v>32</v>
      </c>
      <c r="BN8102" s="42"/>
      <c r="BO8102" s="74"/>
      <c r="BP8102" s="77"/>
      <c r="BR8102" s="497">
        <v>14</v>
      </c>
      <c r="BT8102" s="42"/>
    </row>
    <row r="8103" spans="1:72" x14ac:dyDescent="0.25">
      <c r="A8103" s="90">
        <v>35767</v>
      </c>
      <c r="B8103" s="20">
        <v>0.875</v>
      </c>
      <c r="D8103">
        <v>30.02</v>
      </c>
      <c r="E8103" t="str">
        <f t="shared" si="288"/>
        <v>WEEKDAY</v>
      </c>
      <c r="F8103" t="e">
        <f t="shared" si="287"/>
        <v>#N/A</v>
      </c>
      <c r="G8103" s="74">
        <v>28462</v>
      </c>
      <c r="H8103" s="77">
        <v>0.875</v>
      </c>
      <c r="J8103">
        <v>44.96</v>
      </c>
      <c r="M8103" s="74">
        <v>36863</v>
      </c>
      <c r="N8103" s="77">
        <v>0.875</v>
      </c>
      <c r="P8103">
        <v>30.2</v>
      </c>
      <c r="S8103" s="74">
        <v>35767</v>
      </c>
      <c r="T8103" s="77">
        <v>0.875</v>
      </c>
      <c r="V8103">
        <v>41</v>
      </c>
      <c r="X8103" s="42"/>
      <c r="AB8103">
        <v>42.9</v>
      </c>
      <c r="AC8103">
        <v>41</v>
      </c>
      <c r="AE8103" s="74"/>
      <c r="AF8103" s="77"/>
      <c r="AH8103" s="497">
        <v>33.799999999999997</v>
      </c>
      <c r="AJ8103" s="42"/>
      <c r="AK8103" s="74"/>
      <c r="AL8103" s="77"/>
      <c r="AN8103" s="497">
        <v>37.94</v>
      </c>
      <c r="AP8103" s="42"/>
      <c r="AQ8103" s="74"/>
      <c r="AR8103" s="77"/>
      <c r="AT8103" s="497">
        <v>31.46</v>
      </c>
      <c r="AV8103" s="42"/>
      <c r="AW8103" s="74"/>
      <c r="AX8103" s="77"/>
      <c r="BA8103" s="497">
        <v>33.44</v>
      </c>
      <c r="BB8103" s="42"/>
      <c r="BC8103" s="74"/>
      <c r="BD8103" s="77"/>
      <c r="BF8103">
        <v>28.04</v>
      </c>
      <c r="BH8103" s="42"/>
      <c r="BI8103" s="74"/>
      <c r="BJ8103" s="77"/>
      <c r="BL8103" s="497">
        <v>32</v>
      </c>
      <c r="BN8103" s="42"/>
      <c r="BO8103" s="74"/>
      <c r="BP8103" s="77"/>
      <c r="BR8103" s="497">
        <v>14</v>
      </c>
      <c r="BT8103" s="42"/>
    </row>
    <row r="8104" spans="1:72" x14ac:dyDescent="0.25">
      <c r="A8104" s="90">
        <v>35767</v>
      </c>
      <c r="B8104" s="20">
        <v>0.91666666666666663</v>
      </c>
      <c r="D8104">
        <v>28.94</v>
      </c>
      <c r="E8104" t="str">
        <f t="shared" si="288"/>
        <v>WEEKDAY</v>
      </c>
      <c r="F8104" t="e">
        <f t="shared" si="287"/>
        <v>#N/A</v>
      </c>
      <c r="G8104" s="74">
        <v>28462</v>
      </c>
      <c r="H8104" s="77">
        <v>0.91666666666666663</v>
      </c>
      <c r="J8104">
        <v>44.06</v>
      </c>
      <c r="M8104" s="74">
        <v>36863</v>
      </c>
      <c r="N8104" s="77">
        <v>0.91666666666666663</v>
      </c>
      <c r="P8104">
        <v>30.2</v>
      </c>
      <c r="S8104" s="74">
        <v>35767</v>
      </c>
      <c r="T8104" s="77">
        <v>0.91666666666666663</v>
      </c>
      <c r="V8104">
        <v>44.06</v>
      </c>
      <c r="X8104" s="42"/>
      <c r="AB8104">
        <v>42.3</v>
      </c>
      <c r="AC8104">
        <v>35.6</v>
      </c>
      <c r="AE8104" s="74"/>
      <c r="AF8104" s="77"/>
      <c r="AH8104" s="497">
        <v>33.799999999999997</v>
      </c>
      <c r="AJ8104" s="42"/>
      <c r="AK8104" s="74"/>
      <c r="AL8104" s="77"/>
      <c r="AN8104" s="497">
        <v>39.019999999999996</v>
      </c>
      <c r="AP8104" s="42"/>
      <c r="AQ8104" s="74"/>
      <c r="AR8104" s="77"/>
      <c r="AT8104" s="497">
        <v>33.08</v>
      </c>
      <c r="AV8104" s="42"/>
      <c r="AW8104" s="74"/>
      <c r="AX8104" s="77"/>
      <c r="BA8104" s="497">
        <v>33.08</v>
      </c>
      <c r="BB8104" s="42"/>
      <c r="BC8104" s="74"/>
      <c r="BD8104" s="77"/>
      <c r="BF8104">
        <v>28.94</v>
      </c>
      <c r="BH8104" s="42"/>
      <c r="BI8104" s="74"/>
      <c r="BJ8104" s="77"/>
      <c r="BL8104" s="497">
        <v>30.92</v>
      </c>
      <c r="BN8104" s="42"/>
      <c r="BO8104" s="74"/>
      <c r="BP8104" s="77"/>
      <c r="BR8104" s="497">
        <v>15.98</v>
      </c>
      <c r="BT8104" s="42"/>
    </row>
    <row r="8105" spans="1:72" x14ac:dyDescent="0.25">
      <c r="A8105" s="90">
        <v>35767</v>
      </c>
      <c r="B8105" s="20">
        <v>0.95833333333333337</v>
      </c>
      <c r="D8105">
        <v>28.94</v>
      </c>
      <c r="E8105" t="str">
        <f t="shared" si="288"/>
        <v>WEEKDAY</v>
      </c>
      <c r="F8105" t="e">
        <f t="shared" si="287"/>
        <v>#N/A</v>
      </c>
      <c r="G8105" s="74">
        <v>28462</v>
      </c>
      <c r="H8105" s="77">
        <v>0.95833333333333337</v>
      </c>
      <c r="J8105">
        <v>42.980000000000004</v>
      </c>
      <c r="M8105" s="74">
        <v>36863</v>
      </c>
      <c r="N8105" s="77">
        <v>0.95833333333333337</v>
      </c>
      <c r="P8105">
        <v>28.4</v>
      </c>
      <c r="S8105" s="74">
        <v>35767</v>
      </c>
      <c r="T8105" s="77">
        <v>0.95833333333333337</v>
      </c>
      <c r="V8105">
        <v>44.06</v>
      </c>
      <c r="X8105" s="42"/>
      <c r="AB8105">
        <v>41.9</v>
      </c>
      <c r="AC8105">
        <v>41</v>
      </c>
      <c r="AE8105" s="74"/>
      <c r="AF8105" s="77"/>
      <c r="AH8105" s="497">
        <v>32</v>
      </c>
      <c r="AJ8105" s="42"/>
      <c r="AK8105" s="74"/>
      <c r="AL8105" s="77"/>
      <c r="AN8105" s="497">
        <v>39.92</v>
      </c>
      <c r="AP8105" s="42"/>
      <c r="AQ8105" s="74"/>
      <c r="AR8105" s="77"/>
      <c r="AT8105" s="497">
        <v>33.979999999999997</v>
      </c>
      <c r="AV8105" s="42"/>
      <c r="AW8105" s="74"/>
      <c r="AX8105" s="77"/>
      <c r="BA8105" s="497">
        <v>32.36</v>
      </c>
      <c r="BB8105" s="42"/>
      <c r="BC8105" s="74"/>
      <c r="BD8105" s="77"/>
      <c r="BF8105">
        <v>28.94</v>
      </c>
      <c r="BH8105" s="42"/>
      <c r="BI8105" s="74"/>
      <c r="BJ8105" s="77"/>
      <c r="BL8105" s="497">
        <v>30.02</v>
      </c>
      <c r="BN8105" s="42"/>
      <c r="BO8105" s="74"/>
      <c r="BP8105" s="77"/>
      <c r="BR8105" s="497">
        <v>17.96</v>
      </c>
      <c r="BT8105" s="42"/>
    </row>
    <row r="8106" spans="1:72" x14ac:dyDescent="0.25">
      <c r="A8106" s="90">
        <v>35767</v>
      </c>
      <c r="B8106" s="20">
        <v>1</v>
      </c>
      <c r="D8106">
        <v>28.94</v>
      </c>
      <c r="E8106" t="str">
        <f t="shared" si="288"/>
        <v>WEEKDAY</v>
      </c>
      <c r="F8106" t="e">
        <f t="shared" si="287"/>
        <v>#N/A</v>
      </c>
      <c r="G8106" s="74">
        <v>28462</v>
      </c>
      <c r="H8106" s="77">
        <v>1</v>
      </c>
      <c r="J8106">
        <v>41</v>
      </c>
      <c r="M8106" s="74">
        <v>36863</v>
      </c>
      <c r="N8106" s="80">
        <v>1</v>
      </c>
      <c r="P8106">
        <v>28.4</v>
      </c>
      <c r="S8106" s="74">
        <v>35767</v>
      </c>
      <c r="T8106" s="80">
        <v>1</v>
      </c>
      <c r="V8106">
        <v>42.980000000000004</v>
      </c>
      <c r="X8106" s="42"/>
      <c r="AB8106">
        <v>41.5</v>
      </c>
      <c r="AC8106">
        <v>44.6</v>
      </c>
      <c r="AE8106" s="74"/>
      <c r="AF8106" s="80"/>
      <c r="AH8106" s="497">
        <v>30.2</v>
      </c>
      <c r="AJ8106" s="42"/>
      <c r="AK8106" s="74"/>
      <c r="AL8106" s="80"/>
      <c r="AN8106" s="497">
        <v>41</v>
      </c>
      <c r="AP8106" s="42"/>
      <c r="AQ8106" s="74"/>
      <c r="AR8106" s="80"/>
      <c r="AT8106" s="497">
        <v>35.06</v>
      </c>
      <c r="AV8106" s="42"/>
      <c r="AW8106" s="74"/>
      <c r="AX8106" s="80"/>
      <c r="BA8106" s="497">
        <v>31.64</v>
      </c>
      <c r="BB8106" s="42"/>
      <c r="BC8106" s="74"/>
      <c r="BD8106" s="80"/>
      <c r="BF8106">
        <v>28.94</v>
      </c>
      <c r="BH8106" s="42"/>
      <c r="BI8106" s="74"/>
      <c r="BJ8106" s="80"/>
      <c r="BL8106" s="497">
        <v>28.94</v>
      </c>
      <c r="BN8106" s="42"/>
      <c r="BO8106" s="74"/>
      <c r="BP8106" s="80"/>
      <c r="BR8106" s="497">
        <v>17.96</v>
      </c>
      <c r="BT8106" s="42"/>
    </row>
    <row r="8107" spans="1:72" x14ac:dyDescent="0.25">
      <c r="A8107" s="90">
        <v>35768</v>
      </c>
      <c r="B8107" s="20">
        <v>4.1666666666666664E-2</v>
      </c>
      <c r="D8107">
        <v>28.94</v>
      </c>
      <c r="E8107" t="str">
        <f t="shared" si="288"/>
        <v>WEEKDAY</v>
      </c>
      <c r="F8107" t="e">
        <f t="shared" ref="F8107:F8170" si="289">IF(E8107="WEEKDAY",VLOOKUP(B8107,$DD$19:$DG$42,2),IF(E8107="SATURDAY",VLOOKUP(B8107,$DD$19:$DG$42,3),VLOOKUP(B8107,$DD$19:$DG$42,4)))</f>
        <v>#N/A</v>
      </c>
      <c r="G8107" s="74">
        <v>28463</v>
      </c>
      <c r="H8107" s="77">
        <v>4.1666666666666664E-2</v>
      </c>
      <c r="J8107">
        <v>42.08</v>
      </c>
      <c r="M8107" s="74">
        <v>36864</v>
      </c>
      <c r="N8107" s="77">
        <v>4.1666666666666664E-2</v>
      </c>
      <c r="P8107">
        <v>28.4</v>
      </c>
      <c r="S8107" s="74">
        <v>35768</v>
      </c>
      <c r="T8107" s="77">
        <v>4.1666666666666664E-2</v>
      </c>
      <c r="V8107">
        <v>42.08</v>
      </c>
      <c r="X8107" s="42"/>
      <c r="AB8107">
        <v>41</v>
      </c>
      <c r="AC8107">
        <v>44.6</v>
      </c>
      <c r="AE8107" s="74"/>
      <c r="AF8107" s="77"/>
      <c r="AH8107" s="497">
        <v>30.2</v>
      </c>
      <c r="AJ8107" s="42"/>
      <c r="AK8107" s="74"/>
      <c r="AL8107" s="77"/>
      <c r="AN8107" s="497">
        <v>41</v>
      </c>
      <c r="AP8107" s="42"/>
      <c r="AQ8107" s="74"/>
      <c r="AR8107" s="77"/>
      <c r="AT8107" s="497">
        <v>35.96</v>
      </c>
      <c r="AV8107" s="42"/>
      <c r="AW8107" s="74"/>
      <c r="AX8107" s="77"/>
      <c r="BA8107" s="497">
        <v>30.92</v>
      </c>
      <c r="BB8107" s="42"/>
      <c r="BC8107" s="74"/>
      <c r="BD8107" s="77"/>
      <c r="BF8107">
        <v>28.94</v>
      </c>
      <c r="BH8107" s="42"/>
      <c r="BI8107" s="74"/>
      <c r="BJ8107" s="77"/>
      <c r="BL8107" s="497">
        <v>28.94</v>
      </c>
      <c r="BN8107" s="42"/>
      <c r="BO8107" s="74"/>
      <c r="BP8107" s="77"/>
      <c r="BR8107" s="497">
        <v>19.939999999999998</v>
      </c>
      <c r="BT8107" s="42"/>
    </row>
    <row r="8108" spans="1:72" x14ac:dyDescent="0.25">
      <c r="A8108" s="90">
        <v>35768</v>
      </c>
      <c r="B8108" s="20">
        <v>8.3333333333333329E-2</v>
      </c>
      <c r="D8108">
        <v>28.94</v>
      </c>
      <c r="E8108" t="str">
        <f t="shared" si="288"/>
        <v>WEEKDAY</v>
      </c>
      <c r="F8108" t="e">
        <f t="shared" si="289"/>
        <v>#N/A</v>
      </c>
      <c r="G8108" s="74">
        <v>28463</v>
      </c>
      <c r="H8108" s="77">
        <v>8.3333333333333329E-2</v>
      </c>
      <c r="J8108">
        <v>39.92</v>
      </c>
      <c r="M8108" s="74">
        <v>36864</v>
      </c>
      <c r="N8108" s="77">
        <v>8.3333333333333329E-2</v>
      </c>
      <c r="P8108">
        <v>26.6</v>
      </c>
      <c r="S8108" s="74">
        <v>35768</v>
      </c>
      <c r="T8108" s="77">
        <v>8.3333333333333329E-2</v>
      </c>
      <c r="V8108">
        <v>44.06</v>
      </c>
      <c r="X8108" s="42"/>
      <c r="AB8108">
        <v>40.5</v>
      </c>
      <c r="AC8108">
        <v>46.4</v>
      </c>
      <c r="AE8108" s="74"/>
      <c r="AF8108" s="77"/>
      <c r="AH8108" s="497">
        <v>28.4</v>
      </c>
      <c r="AJ8108" s="42"/>
      <c r="AK8108" s="74"/>
      <c r="AL8108" s="77"/>
      <c r="AN8108" s="497">
        <v>42.980000000000004</v>
      </c>
      <c r="AP8108" s="42"/>
      <c r="AQ8108" s="74"/>
      <c r="AR8108" s="77"/>
      <c r="AT8108" s="497">
        <v>36.68</v>
      </c>
      <c r="AV8108" s="42"/>
      <c r="AW8108" s="74"/>
      <c r="AX8108" s="77"/>
      <c r="BA8108" s="497">
        <v>30.2</v>
      </c>
      <c r="BB8108" s="42"/>
      <c r="BC8108" s="74"/>
      <c r="BD8108" s="77"/>
      <c r="BF8108">
        <v>30.02</v>
      </c>
      <c r="BH8108" s="42"/>
      <c r="BI8108" s="74"/>
      <c r="BJ8108" s="77"/>
      <c r="BL8108" s="497">
        <v>28.04</v>
      </c>
      <c r="BN8108" s="42"/>
      <c r="BO8108" s="74"/>
      <c r="BP8108" s="77"/>
      <c r="BR8108" s="497">
        <v>21.02</v>
      </c>
      <c r="BT8108" s="42"/>
    </row>
    <row r="8109" spans="1:72" x14ac:dyDescent="0.25">
      <c r="A8109" s="90">
        <v>35768</v>
      </c>
      <c r="B8109" s="20">
        <v>0.125</v>
      </c>
      <c r="D8109">
        <v>28.94</v>
      </c>
      <c r="E8109" t="str">
        <f t="shared" si="288"/>
        <v>WEEKDAY</v>
      </c>
      <c r="F8109" t="e">
        <f t="shared" si="289"/>
        <v>#N/A</v>
      </c>
      <c r="G8109" s="74">
        <v>28463</v>
      </c>
      <c r="H8109" s="77">
        <v>0.125</v>
      </c>
      <c r="J8109">
        <v>39.019999999999996</v>
      </c>
      <c r="M8109" s="74">
        <v>36864</v>
      </c>
      <c r="N8109" s="77">
        <v>0.125</v>
      </c>
      <c r="P8109">
        <v>24.8</v>
      </c>
      <c r="S8109" s="74">
        <v>35768</v>
      </c>
      <c r="T8109" s="77">
        <v>0.125</v>
      </c>
      <c r="V8109">
        <v>41</v>
      </c>
      <c r="X8109" s="42"/>
      <c r="AB8109">
        <v>40</v>
      </c>
      <c r="AC8109">
        <v>44.6</v>
      </c>
      <c r="AE8109" s="74"/>
      <c r="AF8109" s="77"/>
      <c r="AH8109" s="497">
        <v>28.4</v>
      </c>
      <c r="AJ8109" s="42"/>
      <c r="AK8109" s="74"/>
      <c r="AL8109" s="77"/>
      <c r="AN8109" s="497">
        <v>42.980000000000004</v>
      </c>
      <c r="AP8109" s="42"/>
      <c r="AQ8109" s="74"/>
      <c r="AR8109" s="77"/>
      <c r="AT8109" s="497">
        <v>37.22</v>
      </c>
      <c r="AV8109" s="42"/>
      <c r="AW8109" s="74"/>
      <c r="AX8109" s="77"/>
      <c r="BA8109" s="497">
        <v>29.66</v>
      </c>
      <c r="BB8109" s="42"/>
      <c r="BC8109" s="74"/>
      <c r="BD8109" s="77"/>
      <c r="BF8109">
        <v>30.02</v>
      </c>
      <c r="BH8109" s="42"/>
      <c r="BI8109" s="74"/>
      <c r="BJ8109" s="77"/>
      <c r="BL8109" s="497">
        <v>26.060000000000002</v>
      </c>
      <c r="BN8109" s="42"/>
      <c r="BO8109" s="74"/>
      <c r="BP8109" s="77"/>
      <c r="BR8109" s="497">
        <v>23</v>
      </c>
      <c r="BT8109" s="42"/>
    </row>
    <row r="8110" spans="1:72" x14ac:dyDescent="0.25">
      <c r="A8110" s="90">
        <v>35768</v>
      </c>
      <c r="B8110" s="20">
        <v>0.16666666666666666</v>
      </c>
      <c r="D8110">
        <v>30.02</v>
      </c>
      <c r="E8110" t="str">
        <f t="shared" si="288"/>
        <v>WEEKDAY</v>
      </c>
      <c r="F8110" t="e">
        <f t="shared" si="289"/>
        <v>#N/A</v>
      </c>
      <c r="G8110" s="74">
        <v>28463</v>
      </c>
      <c r="H8110" s="77">
        <v>0.16666666666666666</v>
      </c>
      <c r="J8110">
        <v>37.04</v>
      </c>
      <c r="M8110" s="74">
        <v>36864</v>
      </c>
      <c r="N8110" s="77">
        <v>0.16666666666666666</v>
      </c>
      <c r="P8110">
        <v>24.8</v>
      </c>
      <c r="S8110" s="74">
        <v>35768</v>
      </c>
      <c r="T8110" s="77">
        <v>0.16666666666666666</v>
      </c>
      <c r="V8110">
        <v>42.08</v>
      </c>
      <c r="X8110" s="42"/>
      <c r="AB8110">
        <v>39.700000000000003</v>
      </c>
      <c r="AC8110">
        <v>44.6</v>
      </c>
      <c r="AE8110" s="74"/>
      <c r="AF8110" s="77"/>
      <c r="AH8110" s="497">
        <v>24.8</v>
      </c>
      <c r="AJ8110" s="42"/>
      <c r="AK8110" s="74"/>
      <c r="AL8110" s="77"/>
      <c r="AN8110" s="497">
        <v>42.980000000000004</v>
      </c>
      <c r="AP8110" s="42"/>
      <c r="AQ8110" s="74"/>
      <c r="AR8110" s="77"/>
      <c r="AT8110" s="497">
        <v>37.94</v>
      </c>
      <c r="AV8110" s="42"/>
      <c r="AW8110" s="74"/>
      <c r="AX8110" s="77"/>
      <c r="BA8110" s="497">
        <v>28.94</v>
      </c>
      <c r="BB8110" s="42"/>
      <c r="BC8110" s="74"/>
      <c r="BD8110" s="77"/>
      <c r="BF8110">
        <v>30.02</v>
      </c>
      <c r="BH8110" s="42"/>
      <c r="BI8110" s="74"/>
      <c r="BJ8110" s="77"/>
      <c r="BL8110" s="497">
        <v>26.060000000000002</v>
      </c>
      <c r="BN8110" s="42"/>
      <c r="BO8110" s="74"/>
      <c r="BP8110" s="77"/>
      <c r="BR8110" s="497">
        <v>24.08</v>
      </c>
      <c r="BT8110" s="42"/>
    </row>
    <row r="8111" spans="1:72" x14ac:dyDescent="0.25">
      <c r="A8111" s="90">
        <v>35768</v>
      </c>
      <c r="B8111" s="20">
        <v>0.20833333333333334</v>
      </c>
      <c r="D8111">
        <v>30.02</v>
      </c>
      <c r="E8111" t="str">
        <f t="shared" si="288"/>
        <v>WEEKDAY</v>
      </c>
      <c r="F8111" t="e">
        <f t="shared" si="289"/>
        <v>#N/A</v>
      </c>
      <c r="G8111" s="74">
        <v>28463</v>
      </c>
      <c r="H8111" s="77">
        <v>0.20833333333333334</v>
      </c>
      <c r="J8111">
        <v>37.04</v>
      </c>
      <c r="M8111" s="74">
        <v>36864</v>
      </c>
      <c r="N8111" s="77">
        <v>0.20833333333333334</v>
      </c>
      <c r="P8111">
        <v>24.8</v>
      </c>
      <c r="S8111" s="74">
        <v>35768</v>
      </c>
      <c r="T8111" s="77">
        <v>0.20833333333333334</v>
      </c>
      <c r="V8111">
        <v>42.08</v>
      </c>
      <c r="X8111" s="42"/>
      <c r="AB8111">
        <v>39.299999999999997</v>
      </c>
      <c r="AC8111">
        <v>44.6</v>
      </c>
      <c r="AE8111" s="74"/>
      <c r="AF8111" s="77"/>
      <c r="AH8111" s="497">
        <v>23</v>
      </c>
      <c r="AJ8111" s="42"/>
      <c r="AK8111" s="74"/>
      <c r="AL8111" s="77"/>
      <c r="AN8111" s="497">
        <v>44.06</v>
      </c>
      <c r="AP8111" s="42"/>
      <c r="AQ8111" s="74"/>
      <c r="AR8111" s="77"/>
      <c r="AT8111" s="497">
        <v>39.019999999999996</v>
      </c>
      <c r="AV8111" s="42"/>
      <c r="AW8111" s="74"/>
      <c r="AX8111" s="77"/>
      <c r="BA8111" s="497">
        <v>28.58</v>
      </c>
      <c r="BB8111" s="42"/>
      <c r="BC8111" s="74"/>
      <c r="BD8111" s="77"/>
      <c r="BF8111">
        <v>28.04</v>
      </c>
      <c r="BH8111" s="42"/>
      <c r="BI8111" s="74"/>
      <c r="BJ8111" s="77"/>
      <c r="BL8111" s="497">
        <v>26.96</v>
      </c>
      <c r="BN8111" s="42"/>
      <c r="BO8111" s="74"/>
      <c r="BP8111" s="77"/>
      <c r="BR8111" s="497">
        <v>26.060000000000002</v>
      </c>
      <c r="BT8111" s="42"/>
    </row>
    <row r="8112" spans="1:72" x14ac:dyDescent="0.25">
      <c r="A8112" s="90">
        <v>35768</v>
      </c>
      <c r="B8112" s="20">
        <v>0.25</v>
      </c>
      <c r="D8112">
        <v>30.02</v>
      </c>
      <c r="E8112" t="str">
        <f t="shared" si="288"/>
        <v>WEEKDAY</v>
      </c>
      <c r="F8112" t="e">
        <f t="shared" si="289"/>
        <v>#N/A</v>
      </c>
      <c r="G8112" s="74">
        <v>28463</v>
      </c>
      <c r="H8112" s="77">
        <v>0.25</v>
      </c>
      <c r="J8112">
        <v>37.04</v>
      </c>
      <c r="M8112" s="74">
        <v>36864</v>
      </c>
      <c r="N8112" s="77">
        <v>0.25</v>
      </c>
      <c r="P8112">
        <v>24.8</v>
      </c>
      <c r="S8112" s="74">
        <v>35768</v>
      </c>
      <c r="T8112" s="77">
        <v>0.25</v>
      </c>
      <c r="V8112">
        <v>42.08</v>
      </c>
      <c r="X8112" s="42"/>
      <c r="AB8112">
        <v>39.200000000000003</v>
      </c>
      <c r="AC8112">
        <v>44.6</v>
      </c>
      <c r="AE8112" s="74"/>
      <c r="AF8112" s="77"/>
      <c r="AH8112" s="497">
        <v>21.2</v>
      </c>
      <c r="AJ8112" s="42"/>
      <c r="AK8112" s="74"/>
      <c r="AL8112" s="77"/>
      <c r="AN8112" s="497">
        <v>44.06</v>
      </c>
      <c r="AP8112" s="42"/>
      <c r="AQ8112" s="74"/>
      <c r="AR8112" s="77"/>
      <c r="AT8112" s="497">
        <v>39.92</v>
      </c>
      <c r="AV8112" s="42"/>
      <c r="AW8112" s="74"/>
      <c r="AX8112" s="77"/>
      <c r="BA8112" s="497">
        <v>28.4</v>
      </c>
      <c r="BB8112" s="42"/>
      <c r="BC8112" s="74"/>
      <c r="BD8112" s="77"/>
      <c r="BF8112">
        <v>28.94</v>
      </c>
      <c r="BH8112" s="42"/>
      <c r="BI8112" s="74"/>
      <c r="BJ8112" s="77"/>
      <c r="BL8112" s="497">
        <v>28.94</v>
      </c>
      <c r="BN8112" s="42"/>
      <c r="BO8112" s="74"/>
      <c r="BP8112" s="77"/>
      <c r="BR8112" s="497">
        <v>26.060000000000002</v>
      </c>
      <c r="BT8112" s="42"/>
    </row>
    <row r="8113" spans="1:72" x14ac:dyDescent="0.25">
      <c r="A8113" s="90">
        <v>35768</v>
      </c>
      <c r="B8113" s="20">
        <v>0.29166666666666669</v>
      </c>
      <c r="D8113">
        <v>30.02</v>
      </c>
      <c r="E8113" t="str">
        <f t="shared" si="288"/>
        <v>WEEKDAY</v>
      </c>
      <c r="F8113" t="e">
        <f t="shared" si="289"/>
        <v>#N/A</v>
      </c>
      <c r="G8113" s="74">
        <v>28463</v>
      </c>
      <c r="H8113" s="77">
        <v>0.29166666666666669</v>
      </c>
      <c r="J8113">
        <v>35.06</v>
      </c>
      <c r="M8113" s="74">
        <v>36864</v>
      </c>
      <c r="N8113" s="77">
        <v>0.29166666666666669</v>
      </c>
      <c r="P8113">
        <v>24.8</v>
      </c>
      <c r="S8113" s="74">
        <v>35768</v>
      </c>
      <c r="T8113" s="77">
        <v>0.29166666666666669</v>
      </c>
      <c r="V8113">
        <v>42.980000000000004</v>
      </c>
      <c r="X8113" s="42"/>
      <c r="AB8113">
        <v>39.1</v>
      </c>
      <c r="AC8113">
        <v>46.4</v>
      </c>
      <c r="AE8113" s="74"/>
      <c r="AF8113" s="77"/>
      <c r="AH8113" s="497">
        <v>21.2</v>
      </c>
      <c r="AJ8113" s="42"/>
      <c r="AK8113" s="74"/>
      <c r="AL8113" s="77"/>
      <c r="AN8113" s="497">
        <v>44.96</v>
      </c>
      <c r="AP8113" s="42"/>
      <c r="AQ8113" s="74"/>
      <c r="AR8113" s="77"/>
      <c r="AT8113" s="497">
        <v>41</v>
      </c>
      <c r="AV8113" s="42"/>
      <c r="AW8113" s="74"/>
      <c r="AX8113" s="77"/>
      <c r="BA8113" s="497">
        <v>28.04</v>
      </c>
      <c r="BB8113" s="42"/>
      <c r="BC8113" s="74"/>
      <c r="BD8113" s="77"/>
      <c r="BF8113">
        <v>28.04</v>
      </c>
      <c r="BH8113" s="42"/>
      <c r="BI8113" s="74"/>
      <c r="BJ8113" s="77"/>
      <c r="BL8113" s="497">
        <v>28.94</v>
      </c>
      <c r="BN8113" s="42"/>
      <c r="BO8113" s="74"/>
      <c r="BP8113" s="77"/>
      <c r="BR8113" s="497">
        <v>28.04</v>
      </c>
      <c r="BT8113" s="42"/>
    </row>
    <row r="8114" spans="1:72" x14ac:dyDescent="0.25">
      <c r="A8114" s="90">
        <v>35768</v>
      </c>
      <c r="B8114" s="20">
        <v>0.33333333333333331</v>
      </c>
      <c r="D8114">
        <v>32</v>
      </c>
      <c r="E8114" t="str">
        <f t="shared" si="288"/>
        <v>WEEKDAY</v>
      </c>
      <c r="F8114" t="e">
        <f t="shared" si="289"/>
        <v>#N/A</v>
      </c>
      <c r="G8114" s="74">
        <v>28463</v>
      </c>
      <c r="H8114" s="77">
        <v>0.33333333333333331</v>
      </c>
      <c r="J8114">
        <v>35.06</v>
      </c>
      <c r="M8114" s="74">
        <v>36864</v>
      </c>
      <c r="N8114" s="77">
        <v>0.33333333333333331</v>
      </c>
      <c r="P8114">
        <v>26.6</v>
      </c>
      <c r="S8114" s="74">
        <v>35768</v>
      </c>
      <c r="T8114" s="77">
        <v>0.33333333333333331</v>
      </c>
      <c r="V8114">
        <v>42.980000000000004</v>
      </c>
      <c r="X8114" s="42"/>
      <c r="AB8114">
        <v>39.1</v>
      </c>
      <c r="AC8114">
        <v>46.4</v>
      </c>
      <c r="AE8114" s="74"/>
      <c r="AF8114" s="77"/>
      <c r="AH8114" s="497">
        <v>21.2</v>
      </c>
      <c r="AJ8114" s="42"/>
      <c r="AK8114" s="74"/>
      <c r="AL8114" s="77"/>
      <c r="AN8114" s="497">
        <v>46.04</v>
      </c>
      <c r="AP8114" s="42"/>
      <c r="AQ8114" s="74"/>
      <c r="AR8114" s="77"/>
      <c r="AT8114" s="497">
        <v>42.980000000000004</v>
      </c>
      <c r="AV8114" s="42"/>
      <c r="AW8114" s="74"/>
      <c r="AX8114" s="77"/>
      <c r="BA8114" s="497">
        <v>30.02</v>
      </c>
      <c r="BB8114" s="42"/>
      <c r="BC8114" s="74"/>
      <c r="BD8114" s="77"/>
      <c r="BF8114">
        <v>28.04</v>
      </c>
      <c r="BH8114" s="42"/>
      <c r="BI8114" s="74"/>
      <c r="BJ8114" s="77"/>
      <c r="BL8114" s="497">
        <v>30.02</v>
      </c>
      <c r="BN8114" s="42"/>
      <c r="BO8114" s="74"/>
      <c r="BP8114" s="77"/>
      <c r="BR8114" s="497">
        <v>30.92</v>
      </c>
      <c r="BT8114" s="42"/>
    </row>
    <row r="8115" spans="1:72" x14ac:dyDescent="0.25">
      <c r="A8115" s="90">
        <v>35768</v>
      </c>
      <c r="B8115" s="20">
        <v>0.375</v>
      </c>
      <c r="D8115">
        <v>33.979999999999997</v>
      </c>
      <c r="E8115" t="str">
        <f t="shared" si="288"/>
        <v>WEEKDAY</v>
      </c>
      <c r="F8115" t="e">
        <f t="shared" si="289"/>
        <v>#N/A</v>
      </c>
      <c r="G8115" s="74">
        <v>28463</v>
      </c>
      <c r="H8115" s="77">
        <v>0.375</v>
      </c>
      <c r="J8115">
        <v>35.06</v>
      </c>
      <c r="M8115" s="74">
        <v>36864</v>
      </c>
      <c r="N8115" s="77">
        <v>0.375</v>
      </c>
      <c r="P8115">
        <v>26.6</v>
      </c>
      <c r="S8115" s="74">
        <v>35768</v>
      </c>
      <c r="T8115" s="77">
        <v>0.375</v>
      </c>
      <c r="V8115">
        <v>44.96</v>
      </c>
      <c r="X8115" s="42"/>
      <c r="AB8115">
        <v>39.799999999999997</v>
      </c>
      <c r="AC8115">
        <v>46.4</v>
      </c>
      <c r="AE8115" s="74"/>
      <c r="AF8115" s="77"/>
      <c r="AH8115" s="497">
        <v>30.2</v>
      </c>
      <c r="AJ8115" s="42"/>
      <c r="AK8115" s="74"/>
      <c r="AL8115" s="77"/>
      <c r="AN8115" s="497">
        <v>46.94</v>
      </c>
      <c r="AP8115" s="42"/>
      <c r="AQ8115" s="74"/>
      <c r="AR8115" s="77"/>
      <c r="AT8115" s="497">
        <v>44.96</v>
      </c>
      <c r="AV8115" s="42"/>
      <c r="AW8115" s="74"/>
      <c r="AX8115" s="77"/>
      <c r="BA8115" s="497">
        <v>32</v>
      </c>
      <c r="BB8115" s="42"/>
      <c r="BC8115" s="74"/>
      <c r="BD8115" s="77"/>
      <c r="BF8115">
        <v>28.04</v>
      </c>
      <c r="BH8115" s="42"/>
      <c r="BI8115" s="74"/>
      <c r="BJ8115" s="77"/>
      <c r="BL8115" s="497">
        <v>30.02</v>
      </c>
      <c r="BN8115" s="42"/>
      <c r="BO8115" s="74"/>
      <c r="BP8115" s="77"/>
      <c r="BR8115" s="497">
        <v>32</v>
      </c>
      <c r="BT8115" s="42"/>
    </row>
    <row r="8116" spans="1:72" x14ac:dyDescent="0.25">
      <c r="A8116" s="90">
        <v>35768</v>
      </c>
      <c r="B8116" s="20">
        <v>0.41666666666666669</v>
      </c>
      <c r="D8116">
        <v>35.06</v>
      </c>
      <c r="E8116" t="str">
        <f t="shared" si="288"/>
        <v>WEEKDAY</v>
      </c>
      <c r="F8116" t="e">
        <f t="shared" si="289"/>
        <v>#N/A</v>
      </c>
      <c r="G8116" s="74">
        <v>28463</v>
      </c>
      <c r="H8116" s="77">
        <v>0.41666666666666669</v>
      </c>
      <c r="J8116">
        <v>35.96</v>
      </c>
      <c r="M8116" s="74">
        <v>36864</v>
      </c>
      <c r="N8116" s="77">
        <v>0.41666666666666669</v>
      </c>
      <c r="P8116">
        <v>32</v>
      </c>
      <c r="S8116" s="74">
        <v>35768</v>
      </c>
      <c r="T8116" s="77">
        <v>0.41666666666666669</v>
      </c>
      <c r="V8116">
        <v>44.96</v>
      </c>
      <c r="X8116" s="42"/>
      <c r="AB8116">
        <v>41.5</v>
      </c>
      <c r="AC8116">
        <v>48.2</v>
      </c>
      <c r="AE8116" s="74"/>
      <c r="AF8116" s="77"/>
      <c r="AH8116" s="497">
        <v>32</v>
      </c>
      <c r="AJ8116" s="42"/>
      <c r="AK8116" s="74"/>
      <c r="AL8116" s="77"/>
      <c r="AN8116" s="497">
        <v>48.92</v>
      </c>
      <c r="AP8116" s="42"/>
      <c r="AQ8116" s="74"/>
      <c r="AR8116" s="77"/>
      <c r="AT8116" s="497">
        <v>46.94</v>
      </c>
      <c r="AV8116" s="42"/>
      <c r="AW8116" s="74"/>
      <c r="AX8116" s="77"/>
      <c r="BA8116" s="497">
        <v>33.979999999999997</v>
      </c>
      <c r="BB8116" s="42"/>
      <c r="BC8116" s="74"/>
      <c r="BD8116" s="77"/>
      <c r="BF8116">
        <v>28.94</v>
      </c>
      <c r="BH8116" s="42"/>
      <c r="BI8116" s="74"/>
      <c r="BJ8116" s="77"/>
      <c r="BL8116" s="497">
        <v>30.02</v>
      </c>
      <c r="BN8116" s="42"/>
      <c r="BO8116" s="74"/>
      <c r="BP8116" s="77"/>
      <c r="BR8116" s="497">
        <v>33.979999999999997</v>
      </c>
      <c r="BT8116" s="42"/>
    </row>
    <row r="8117" spans="1:72" x14ac:dyDescent="0.25">
      <c r="A8117" s="90">
        <v>35768</v>
      </c>
      <c r="B8117" s="20">
        <v>0.45833333333333331</v>
      </c>
      <c r="D8117">
        <v>35.96</v>
      </c>
      <c r="E8117" t="str">
        <f t="shared" si="288"/>
        <v>WEEKDAY</v>
      </c>
      <c r="F8117" t="e">
        <f t="shared" si="289"/>
        <v>#N/A</v>
      </c>
      <c r="G8117" s="74">
        <v>28463</v>
      </c>
      <c r="H8117" s="77">
        <v>0.45833333333333331</v>
      </c>
      <c r="J8117">
        <v>37.04</v>
      </c>
      <c r="M8117" s="74">
        <v>36864</v>
      </c>
      <c r="N8117" s="77">
        <v>0.45833333333333331</v>
      </c>
      <c r="P8117">
        <v>35.6</v>
      </c>
      <c r="S8117" s="74">
        <v>35768</v>
      </c>
      <c r="T8117" s="77">
        <v>0.45833333333333331</v>
      </c>
      <c r="V8117">
        <v>46.04</v>
      </c>
      <c r="X8117" s="42"/>
      <c r="AB8117">
        <v>43</v>
      </c>
      <c r="AC8117">
        <v>48.2</v>
      </c>
      <c r="AE8117" s="74"/>
      <c r="AF8117" s="77"/>
      <c r="AH8117" s="497">
        <v>35.6</v>
      </c>
      <c r="AJ8117" s="42"/>
      <c r="AK8117" s="74"/>
      <c r="AL8117" s="77"/>
      <c r="AN8117" s="497">
        <v>51.08</v>
      </c>
      <c r="AP8117" s="42"/>
      <c r="AQ8117" s="74"/>
      <c r="AR8117" s="77"/>
      <c r="AT8117" s="497">
        <v>48.019999999999996</v>
      </c>
      <c r="AV8117" s="42"/>
      <c r="AW8117" s="74"/>
      <c r="AX8117" s="77"/>
      <c r="BA8117" s="497">
        <v>33.26</v>
      </c>
      <c r="BB8117" s="42"/>
      <c r="BC8117" s="74"/>
      <c r="BD8117" s="77"/>
      <c r="BF8117">
        <v>30.02</v>
      </c>
      <c r="BH8117" s="42"/>
      <c r="BI8117" s="74"/>
      <c r="BJ8117" s="77"/>
      <c r="BL8117" s="497">
        <v>30.92</v>
      </c>
      <c r="BN8117" s="42"/>
      <c r="BO8117" s="74"/>
      <c r="BP8117" s="77"/>
      <c r="BR8117" s="497">
        <v>46.94</v>
      </c>
      <c r="BT8117" s="42"/>
    </row>
    <row r="8118" spans="1:72" x14ac:dyDescent="0.25">
      <c r="A8118" s="90">
        <v>35768</v>
      </c>
      <c r="B8118" s="20">
        <v>0.5</v>
      </c>
      <c r="D8118">
        <v>37.94</v>
      </c>
      <c r="E8118" t="str">
        <f t="shared" si="288"/>
        <v>WEEKDAY</v>
      </c>
      <c r="F8118" t="e">
        <f t="shared" si="289"/>
        <v>#N/A</v>
      </c>
      <c r="G8118" s="74">
        <v>28463</v>
      </c>
      <c r="H8118" s="77">
        <v>0.5</v>
      </c>
      <c r="J8118">
        <v>37.94</v>
      </c>
      <c r="M8118" s="74">
        <v>36864</v>
      </c>
      <c r="N8118" s="77">
        <v>0.5</v>
      </c>
      <c r="P8118">
        <v>37.4</v>
      </c>
      <c r="S8118" s="74">
        <v>35768</v>
      </c>
      <c r="T8118" s="77">
        <v>0.5</v>
      </c>
      <c r="V8118">
        <v>46.04</v>
      </c>
      <c r="X8118" s="42"/>
      <c r="AB8118">
        <v>44.3</v>
      </c>
      <c r="AC8118">
        <v>48.2</v>
      </c>
      <c r="AE8118" s="74"/>
      <c r="AF8118" s="77"/>
      <c r="AH8118" s="497">
        <v>37.4</v>
      </c>
      <c r="AJ8118" s="42"/>
      <c r="AK8118" s="74"/>
      <c r="AL8118" s="77"/>
      <c r="AN8118" s="497">
        <v>53.96</v>
      </c>
      <c r="AP8118" s="42"/>
      <c r="AQ8118" s="74"/>
      <c r="AR8118" s="77"/>
      <c r="AT8118" s="497">
        <v>48.92</v>
      </c>
      <c r="AV8118" s="42"/>
      <c r="AW8118" s="74"/>
      <c r="AX8118" s="77"/>
      <c r="BA8118" s="497">
        <v>32.72</v>
      </c>
      <c r="BB8118" s="42"/>
      <c r="BC8118" s="74"/>
      <c r="BD8118" s="77"/>
      <c r="BF8118">
        <v>32</v>
      </c>
      <c r="BH8118" s="42"/>
      <c r="BI8118" s="74"/>
      <c r="BJ8118" s="77"/>
      <c r="BL8118" s="497">
        <v>32</v>
      </c>
      <c r="BN8118" s="42"/>
      <c r="BO8118" s="74"/>
      <c r="BP8118" s="77"/>
      <c r="BR8118" s="497">
        <v>46.94</v>
      </c>
      <c r="BT8118" s="42"/>
    </row>
    <row r="8119" spans="1:72" x14ac:dyDescent="0.25">
      <c r="A8119" s="90">
        <v>35768</v>
      </c>
      <c r="B8119" s="20">
        <v>0.54166666666666663</v>
      </c>
      <c r="D8119">
        <v>39.92</v>
      </c>
      <c r="E8119" t="str">
        <f t="shared" si="288"/>
        <v>WEEKDAY</v>
      </c>
      <c r="F8119" t="e">
        <f t="shared" si="289"/>
        <v>#N/A</v>
      </c>
      <c r="G8119" s="74">
        <v>28463</v>
      </c>
      <c r="H8119" s="77">
        <v>0.54166666666666663</v>
      </c>
      <c r="J8119">
        <v>39.019999999999996</v>
      </c>
      <c r="M8119" s="74">
        <v>36864</v>
      </c>
      <c r="N8119" s="77">
        <v>0.54166666666666663</v>
      </c>
      <c r="P8119">
        <v>41</v>
      </c>
      <c r="S8119" s="74">
        <v>35768</v>
      </c>
      <c r="T8119" s="77">
        <v>0.54166666666666663</v>
      </c>
      <c r="V8119">
        <v>48.019999999999996</v>
      </c>
      <c r="X8119" s="42"/>
      <c r="AB8119">
        <v>45.2</v>
      </c>
      <c r="AC8119">
        <v>48.2</v>
      </c>
      <c r="AE8119" s="74"/>
      <c r="AF8119" s="77"/>
      <c r="AH8119" s="497">
        <v>37.4</v>
      </c>
      <c r="AJ8119" s="42"/>
      <c r="AK8119" s="74"/>
      <c r="AL8119" s="77"/>
      <c r="AN8119" s="497">
        <v>55.040000000000006</v>
      </c>
      <c r="AP8119" s="42"/>
      <c r="AQ8119" s="74"/>
      <c r="AR8119" s="77"/>
      <c r="AT8119" s="497">
        <v>50</v>
      </c>
      <c r="AV8119" s="42"/>
      <c r="AW8119" s="74"/>
      <c r="AX8119" s="77"/>
      <c r="BA8119" s="497">
        <v>32</v>
      </c>
      <c r="BB8119" s="42"/>
      <c r="BC8119" s="74"/>
      <c r="BD8119" s="77"/>
      <c r="BF8119">
        <v>30.92</v>
      </c>
      <c r="BH8119" s="42"/>
      <c r="BI8119" s="74"/>
      <c r="BJ8119" s="77"/>
      <c r="BL8119" s="497">
        <v>32</v>
      </c>
      <c r="BN8119" s="42"/>
      <c r="BO8119" s="74"/>
      <c r="BP8119" s="77"/>
      <c r="BR8119" s="497">
        <v>44.96</v>
      </c>
      <c r="BT8119" s="42"/>
    </row>
    <row r="8120" spans="1:72" x14ac:dyDescent="0.25">
      <c r="A8120" s="90">
        <v>35768</v>
      </c>
      <c r="B8120" s="20">
        <v>0.58333333333333337</v>
      </c>
      <c r="D8120">
        <v>41</v>
      </c>
      <c r="E8120" t="str">
        <f t="shared" si="288"/>
        <v>WEEKDAY</v>
      </c>
      <c r="F8120" t="e">
        <f t="shared" si="289"/>
        <v>#N/A</v>
      </c>
      <c r="G8120" s="74">
        <v>28463</v>
      </c>
      <c r="H8120" s="77">
        <v>0.58333333333333337</v>
      </c>
      <c r="J8120">
        <v>39.92</v>
      </c>
      <c r="M8120" s="74">
        <v>36864</v>
      </c>
      <c r="N8120" s="77">
        <v>0.58333333333333337</v>
      </c>
      <c r="P8120">
        <v>42.8</v>
      </c>
      <c r="S8120" s="74">
        <v>35768</v>
      </c>
      <c r="T8120" s="77">
        <v>0.58333333333333337</v>
      </c>
      <c r="V8120">
        <v>50</v>
      </c>
      <c r="X8120" s="42"/>
      <c r="AB8120">
        <v>45.7</v>
      </c>
      <c r="AC8120">
        <v>48.2</v>
      </c>
      <c r="AE8120" s="74"/>
      <c r="AF8120" s="77"/>
      <c r="AH8120" s="497">
        <v>39.200000000000003</v>
      </c>
      <c r="AJ8120" s="42"/>
      <c r="AK8120" s="74"/>
      <c r="AL8120" s="77"/>
      <c r="AN8120" s="497">
        <v>55.040000000000006</v>
      </c>
      <c r="AP8120" s="42"/>
      <c r="AQ8120" s="74"/>
      <c r="AR8120" s="77"/>
      <c r="AT8120" s="497">
        <v>48.74</v>
      </c>
      <c r="AV8120" s="42"/>
      <c r="AW8120" s="74"/>
      <c r="AX8120" s="77"/>
      <c r="BA8120" s="497">
        <v>31.64</v>
      </c>
      <c r="BB8120" s="42"/>
      <c r="BC8120" s="74"/>
      <c r="BD8120" s="77"/>
      <c r="BF8120">
        <v>32</v>
      </c>
      <c r="BH8120" s="42"/>
      <c r="BI8120" s="74"/>
      <c r="BJ8120" s="77"/>
      <c r="BL8120" s="497">
        <v>33.08</v>
      </c>
      <c r="BN8120" s="42"/>
      <c r="BO8120" s="74"/>
      <c r="BP8120" s="77"/>
      <c r="BR8120" s="497">
        <v>44.06</v>
      </c>
      <c r="BT8120" s="42"/>
    </row>
    <row r="8121" spans="1:72" x14ac:dyDescent="0.25">
      <c r="A8121" s="90">
        <v>35768</v>
      </c>
      <c r="B8121" s="20">
        <v>0.625</v>
      </c>
      <c r="D8121">
        <v>42.08</v>
      </c>
      <c r="E8121" t="str">
        <f t="shared" si="288"/>
        <v>WEEKDAY</v>
      </c>
      <c r="F8121" t="e">
        <f t="shared" si="289"/>
        <v>#N/A</v>
      </c>
      <c r="G8121" s="74">
        <v>28463</v>
      </c>
      <c r="H8121" s="77">
        <v>0.625</v>
      </c>
      <c r="J8121">
        <v>39.92</v>
      </c>
      <c r="M8121" s="74">
        <v>36864</v>
      </c>
      <c r="N8121" s="77">
        <v>0.625</v>
      </c>
      <c r="P8121">
        <v>44.6</v>
      </c>
      <c r="S8121" s="74">
        <v>35768</v>
      </c>
      <c r="T8121" s="77">
        <v>0.625</v>
      </c>
      <c r="V8121">
        <v>50</v>
      </c>
      <c r="X8121" s="42"/>
      <c r="AB8121">
        <v>45.9</v>
      </c>
      <c r="AC8121">
        <v>48.2</v>
      </c>
      <c r="AE8121" s="74"/>
      <c r="AF8121" s="77"/>
      <c r="AH8121" s="497">
        <v>41</v>
      </c>
      <c r="AJ8121" s="42"/>
      <c r="AK8121" s="74"/>
      <c r="AL8121" s="77"/>
      <c r="AN8121" s="497">
        <v>53.96</v>
      </c>
      <c r="AP8121" s="42"/>
      <c r="AQ8121" s="74"/>
      <c r="AR8121" s="77"/>
      <c r="AT8121" s="497">
        <v>47.3</v>
      </c>
      <c r="AV8121" s="42"/>
      <c r="AW8121" s="74"/>
      <c r="AX8121" s="77"/>
      <c r="BA8121" s="497">
        <v>31.28</v>
      </c>
      <c r="BB8121" s="42"/>
      <c r="BC8121" s="74"/>
      <c r="BD8121" s="77"/>
      <c r="BF8121">
        <v>32</v>
      </c>
      <c r="BH8121" s="42"/>
      <c r="BI8121" s="74"/>
      <c r="BJ8121" s="77"/>
      <c r="BL8121" s="497">
        <v>32</v>
      </c>
      <c r="BN8121" s="42"/>
      <c r="BO8121" s="74"/>
      <c r="BP8121" s="77"/>
      <c r="BR8121" s="497">
        <v>39.019999999999996</v>
      </c>
      <c r="BT8121" s="42"/>
    </row>
    <row r="8122" spans="1:72" x14ac:dyDescent="0.25">
      <c r="A8122" s="90">
        <v>35768</v>
      </c>
      <c r="B8122" s="20">
        <v>0.66666666666666663</v>
      </c>
      <c r="D8122">
        <v>41</v>
      </c>
      <c r="E8122" t="str">
        <f t="shared" si="288"/>
        <v>WEEKDAY</v>
      </c>
      <c r="F8122" t="e">
        <f t="shared" si="289"/>
        <v>#N/A</v>
      </c>
      <c r="G8122" s="74">
        <v>28463</v>
      </c>
      <c r="H8122" s="77">
        <v>0.66666666666666663</v>
      </c>
      <c r="J8122">
        <v>39.92</v>
      </c>
      <c r="M8122" s="74">
        <v>36864</v>
      </c>
      <c r="N8122" s="77">
        <v>0.66666666666666663</v>
      </c>
      <c r="P8122">
        <v>42.8</v>
      </c>
      <c r="S8122" s="74">
        <v>35768</v>
      </c>
      <c r="T8122" s="77">
        <v>0.66666666666666663</v>
      </c>
      <c r="V8122">
        <v>46.94</v>
      </c>
      <c r="X8122" s="42"/>
      <c r="AB8122">
        <v>45.6</v>
      </c>
      <c r="AC8122">
        <v>48.2</v>
      </c>
      <c r="AE8122" s="74"/>
      <c r="AF8122" s="77"/>
      <c r="AH8122" s="497">
        <v>39.200000000000003</v>
      </c>
      <c r="AJ8122" s="42"/>
      <c r="AK8122" s="74"/>
      <c r="AL8122" s="77"/>
      <c r="AN8122" s="497">
        <v>48.92</v>
      </c>
      <c r="AP8122" s="42"/>
      <c r="AQ8122" s="74"/>
      <c r="AR8122" s="77"/>
      <c r="AT8122" s="497">
        <v>46.04</v>
      </c>
      <c r="AV8122" s="42"/>
      <c r="AW8122" s="74"/>
      <c r="AX8122" s="77"/>
      <c r="BA8122" s="497">
        <v>30.92</v>
      </c>
      <c r="BB8122" s="42"/>
      <c r="BC8122" s="74"/>
      <c r="BD8122" s="77"/>
      <c r="BF8122">
        <v>30.92</v>
      </c>
      <c r="BH8122" s="42"/>
      <c r="BI8122" s="74"/>
      <c r="BJ8122" s="77"/>
      <c r="BL8122" s="497">
        <v>30.92</v>
      </c>
      <c r="BN8122" s="42"/>
      <c r="BO8122" s="74"/>
      <c r="BP8122" s="77"/>
      <c r="BR8122" s="497">
        <v>37.94</v>
      </c>
      <c r="BT8122" s="42"/>
    </row>
    <row r="8123" spans="1:72" x14ac:dyDescent="0.25">
      <c r="A8123" s="90">
        <v>35768</v>
      </c>
      <c r="B8123" s="20">
        <v>0.70833333333333337</v>
      </c>
      <c r="D8123">
        <v>41</v>
      </c>
      <c r="E8123" t="str">
        <f t="shared" si="288"/>
        <v>WEEKDAY</v>
      </c>
      <c r="F8123" t="e">
        <f t="shared" si="289"/>
        <v>#N/A</v>
      </c>
      <c r="G8123" s="74">
        <v>28463</v>
      </c>
      <c r="H8123" s="77">
        <v>0.70833333333333337</v>
      </c>
      <c r="J8123">
        <v>39.92</v>
      </c>
      <c r="M8123" s="74">
        <v>36864</v>
      </c>
      <c r="N8123" s="77">
        <v>0.70833333333333337</v>
      </c>
      <c r="P8123">
        <v>39.200000000000003</v>
      </c>
      <c r="S8123" s="74">
        <v>35768</v>
      </c>
      <c r="T8123" s="77">
        <v>0.70833333333333337</v>
      </c>
      <c r="V8123">
        <v>44.96</v>
      </c>
      <c r="X8123" s="42"/>
      <c r="AB8123">
        <v>44.7</v>
      </c>
      <c r="AC8123">
        <v>44.6</v>
      </c>
      <c r="AE8123" s="74"/>
      <c r="AF8123" s="77"/>
      <c r="AH8123" s="497">
        <v>37.4</v>
      </c>
      <c r="AJ8123" s="42"/>
      <c r="AK8123" s="74"/>
      <c r="AL8123" s="77"/>
      <c r="AN8123" s="497">
        <v>42.980000000000004</v>
      </c>
      <c r="AP8123" s="42"/>
      <c r="AQ8123" s="74"/>
      <c r="AR8123" s="77"/>
      <c r="AT8123" s="497">
        <v>43.34</v>
      </c>
      <c r="AV8123" s="42"/>
      <c r="AW8123" s="74"/>
      <c r="AX8123" s="77"/>
      <c r="BA8123" s="497">
        <v>30.92</v>
      </c>
      <c r="BB8123" s="42"/>
      <c r="BC8123" s="74"/>
      <c r="BD8123" s="77"/>
      <c r="BF8123">
        <v>28.04</v>
      </c>
      <c r="BH8123" s="42"/>
      <c r="BI8123" s="74"/>
      <c r="BJ8123" s="77"/>
      <c r="BL8123" s="497">
        <v>28.94</v>
      </c>
      <c r="BN8123" s="42"/>
      <c r="BO8123" s="74"/>
      <c r="BP8123" s="77"/>
      <c r="BR8123" s="497">
        <v>35.06</v>
      </c>
      <c r="BT8123" s="42"/>
    </row>
    <row r="8124" spans="1:72" x14ac:dyDescent="0.25">
      <c r="A8124" s="90">
        <v>35768</v>
      </c>
      <c r="B8124" s="20">
        <v>0.75</v>
      </c>
      <c r="D8124">
        <v>39.92</v>
      </c>
      <c r="E8124" t="str">
        <f t="shared" si="288"/>
        <v>WEEKDAY</v>
      </c>
      <c r="F8124" t="e">
        <f t="shared" si="289"/>
        <v>#N/A</v>
      </c>
      <c r="G8124" s="74">
        <v>28463</v>
      </c>
      <c r="H8124" s="77">
        <v>0.75</v>
      </c>
      <c r="J8124">
        <v>39.019999999999996</v>
      </c>
      <c r="M8124" s="74">
        <v>36864</v>
      </c>
      <c r="N8124" s="77">
        <v>0.75</v>
      </c>
      <c r="P8124">
        <v>32</v>
      </c>
      <c r="S8124" s="74">
        <v>35768</v>
      </c>
      <c r="T8124" s="77">
        <v>0.75</v>
      </c>
      <c r="V8124">
        <v>46.94</v>
      </c>
      <c r="X8124" s="42"/>
      <c r="AB8124">
        <v>43.6</v>
      </c>
      <c r="AC8124">
        <v>44.6</v>
      </c>
      <c r="AE8124" s="74"/>
      <c r="AF8124" s="77"/>
      <c r="AH8124" s="497">
        <v>39.200000000000003</v>
      </c>
      <c r="AJ8124" s="42"/>
      <c r="AK8124" s="74"/>
      <c r="AL8124" s="77"/>
      <c r="AN8124" s="497">
        <v>39.92</v>
      </c>
      <c r="AP8124" s="42"/>
      <c r="AQ8124" s="74"/>
      <c r="AR8124" s="77"/>
      <c r="AT8124" s="497">
        <v>40.64</v>
      </c>
      <c r="AV8124" s="42"/>
      <c r="AW8124" s="74"/>
      <c r="AX8124" s="77"/>
      <c r="BA8124" s="497">
        <v>30.92</v>
      </c>
      <c r="BB8124" s="42"/>
      <c r="BC8124" s="74"/>
      <c r="BD8124" s="77"/>
      <c r="BF8124">
        <v>26.96</v>
      </c>
      <c r="BH8124" s="42"/>
      <c r="BI8124" s="74"/>
      <c r="BJ8124" s="77"/>
      <c r="BL8124" s="497">
        <v>28.94</v>
      </c>
      <c r="BN8124" s="42"/>
      <c r="BO8124" s="74"/>
      <c r="BP8124" s="77"/>
      <c r="BR8124" s="497">
        <v>33.979999999999997</v>
      </c>
      <c r="BT8124" s="42"/>
    </row>
    <row r="8125" spans="1:72" x14ac:dyDescent="0.25">
      <c r="A8125" s="90">
        <v>35768</v>
      </c>
      <c r="B8125" s="20">
        <v>0.79166666666666663</v>
      </c>
      <c r="D8125">
        <v>39.019999999999996</v>
      </c>
      <c r="E8125" t="str">
        <f t="shared" si="288"/>
        <v>WEEKDAY</v>
      </c>
      <c r="F8125" t="e">
        <f t="shared" si="289"/>
        <v>#N/A</v>
      </c>
      <c r="G8125" s="74">
        <v>28463</v>
      </c>
      <c r="H8125" s="77">
        <v>0.79166666666666663</v>
      </c>
      <c r="J8125">
        <v>37.94</v>
      </c>
      <c r="M8125" s="74">
        <v>36864</v>
      </c>
      <c r="N8125" s="77">
        <v>0.79166666666666663</v>
      </c>
      <c r="P8125">
        <v>32</v>
      </c>
      <c r="S8125" s="74">
        <v>35768</v>
      </c>
      <c r="T8125" s="77">
        <v>0.79166666666666663</v>
      </c>
      <c r="V8125">
        <v>48.019999999999996</v>
      </c>
      <c r="X8125" s="42"/>
      <c r="AB8125">
        <v>43.2</v>
      </c>
      <c r="AC8125">
        <v>42.8</v>
      </c>
      <c r="AE8125" s="74"/>
      <c r="AF8125" s="77"/>
      <c r="AH8125" s="497">
        <v>39.200000000000003</v>
      </c>
      <c r="AJ8125" s="42"/>
      <c r="AK8125" s="74"/>
      <c r="AL8125" s="77"/>
      <c r="AN8125" s="497">
        <v>35.96</v>
      </c>
      <c r="AP8125" s="42"/>
      <c r="AQ8125" s="74"/>
      <c r="AR8125" s="77"/>
      <c r="AT8125" s="497">
        <v>37.94</v>
      </c>
      <c r="AV8125" s="42"/>
      <c r="AW8125" s="74"/>
      <c r="AX8125" s="77"/>
      <c r="BA8125" s="497">
        <v>30.92</v>
      </c>
      <c r="BB8125" s="42"/>
      <c r="BC8125" s="74"/>
      <c r="BD8125" s="77"/>
      <c r="BF8125">
        <v>26.96</v>
      </c>
      <c r="BH8125" s="42"/>
      <c r="BI8125" s="74"/>
      <c r="BJ8125" s="77"/>
      <c r="BL8125" s="497">
        <v>30.02</v>
      </c>
      <c r="BN8125" s="42"/>
      <c r="BO8125" s="74"/>
      <c r="BP8125" s="77"/>
      <c r="BR8125" s="497">
        <v>33.08</v>
      </c>
      <c r="BT8125" s="42"/>
    </row>
    <row r="8126" spans="1:72" x14ac:dyDescent="0.25">
      <c r="A8126" s="90">
        <v>35768</v>
      </c>
      <c r="B8126" s="20">
        <v>0.83333333333333337</v>
      </c>
      <c r="D8126">
        <v>37.04</v>
      </c>
      <c r="E8126" t="str">
        <f t="shared" si="288"/>
        <v>WEEKDAY</v>
      </c>
      <c r="F8126" t="e">
        <f t="shared" si="289"/>
        <v>#N/A</v>
      </c>
      <c r="G8126" s="74">
        <v>28463</v>
      </c>
      <c r="H8126" s="77">
        <v>0.83333333333333337</v>
      </c>
      <c r="J8126">
        <v>37.94</v>
      </c>
      <c r="M8126" s="74">
        <v>36864</v>
      </c>
      <c r="N8126" s="77">
        <v>0.83333333333333337</v>
      </c>
      <c r="P8126">
        <v>30.2</v>
      </c>
      <c r="S8126" s="74">
        <v>35768</v>
      </c>
      <c r="T8126" s="77">
        <v>0.83333333333333337</v>
      </c>
      <c r="V8126">
        <v>48.019999999999996</v>
      </c>
      <c r="X8126" s="42"/>
      <c r="AB8126">
        <v>42.9</v>
      </c>
      <c r="AC8126">
        <v>44.6</v>
      </c>
      <c r="AE8126" s="74"/>
      <c r="AF8126" s="77"/>
      <c r="AH8126" s="497">
        <v>39.200000000000003</v>
      </c>
      <c r="AJ8126" s="42"/>
      <c r="AK8126" s="74"/>
      <c r="AL8126" s="77"/>
      <c r="AN8126" s="497">
        <v>33.979999999999997</v>
      </c>
      <c r="AP8126" s="42"/>
      <c r="AQ8126" s="74"/>
      <c r="AR8126" s="77"/>
      <c r="AT8126" s="497">
        <v>37.22</v>
      </c>
      <c r="AV8126" s="42"/>
      <c r="AW8126" s="74"/>
      <c r="AX8126" s="77"/>
      <c r="BA8126" s="497">
        <v>30.56</v>
      </c>
      <c r="BB8126" s="42"/>
      <c r="BC8126" s="74"/>
      <c r="BD8126" s="77"/>
      <c r="BF8126">
        <v>28.04</v>
      </c>
      <c r="BH8126" s="42"/>
      <c r="BI8126" s="74"/>
      <c r="BJ8126" s="77"/>
      <c r="BL8126" s="497">
        <v>30.02</v>
      </c>
      <c r="BN8126" s="42"/>
      <c r="BO8126" s="74"/>
      <c r="BP8126" s="77"/>
      <c r="BR8126" s="497">
        <v>33.08</v>
      </c>
      <c r="BT8126" s="42"/>
    </row>
    <row r="8127" spans="1:72" x14ac:dyDescent="0.25">
      <c r="A8127" s="90">
        <v>35768</v>
      </c>
      <c r="B8127" s="20">
        <v>0.875</v>
      </c>
      <c r="D8127">
        <v>37.94</v>
      </c>
      <c r="E8127" t="str">
        <f t="shared" si="288"/>
        <v>WEEKDAY</v>
      </c>
      <c r="F8127" t="e">
        <f t="shared" si="289"/>
        <v>#N/A</v>
      </c>
      <c r="G8127" s="74">
        <v>28463</v>
      </c>
      <c r="H8127" s="77">
        <v>0.875</v>
      </c>
      <c r="J8127">
        <v>37.94</v>
      </c>
      <c r="M8127" s="74">
        <v>36864</v>
      </c>
      <c r="N8127" s="77">
        <v>0.875</v>
      </c>
      <c r="P8127">
        <v>26.6</v>
      </c>
      <c r="S8127" s="74">
        <v>35768</v>
      </c>
      <c r="T8127" s="77">
        <v>0.875</v>
      </c>
      <c r="V8127">
        <v>48.019999999999996</v>
      </c>
      <c r="X8127" s="42"/>
      <c r="AB8127">
        <v>42.4</v>
      </c>
      <c r="AC8127">
        <v>44.6</v>
      </c>
      <c r="AE8127" s="74"/>
      <c r="AF8127" s="77"/>
      <c r="AH8127" s="497">
        <v>39.200000000000003</v>
      </c>
      <c r="AJ8127" s="42"/>
      <c r="AK8127" s="74"/>
      <c r="AL8127" s="77"/>
      <c r="AN8127" s="497">
        <v>35.06</v>
      </c>
      <c r="AP8127" s="42"/>
      <c r="AQ8127" s="74"/>
      <c r="AR8127" s="77"/>
      <c r="AT8127" s="497">
        <v>36.68</v>
      </c>
      <c r="AV8127" s="42"/>
      <c r="AW8127" s="74"/>
      <c r="AX8127" s="77"/>
      <c r="BA8127" s="497">
        <v>30.38</v>
      </c>
      <c r="BB8127" s="42"/>
      <c r="BC8127" s="74"/>
      <c r="BD8127" s="77"/>
      <c r="BF8127">
        <v>28.04</v>
      </c>
      <c r="BH8127" s="42"/>
      <c r="BI8127" s="74"/>
      <c r="BJ8127" s="77"/>
      <c r="BL8127" s="497">
        <v>30.02</v>
      </c>
      <c r="BN8127" s="42"/>
      <c r="BO8127" s="74"/>
      <c r="BP8127" s="77"/>
      <c r="BR8127" s="497">
        <v>32</v>
      </c>
      <c r="BT8127" s="42"/>
    </row>
    <row r="8128" spans="1:72" x14ac:dyDescent="0.25">
      <c r="A8128" s="90">
        <v>35768</v>
      </c>
      <c r="B8128" s="20">
        <v>0.91666666666666663</v>
      </c>
      <c r="D8128">
        <v>37.94</v>
      </c>
      <c r="E8128" t="str">
        <f t="shared" si="288"/>
        <v>WEEKDAY</v>
      </c>
      <c r="F8128" t="e">
        <f t="shared" si="289"/>
        <v>#N/A</v>
      </c>
      <c r="G8128" s="74">
        <v>28463</v>
      </c>
      <c r="H8128" s="77">
        <v>0.91666666666666663</v>
      </c>
      <c r="J8128">
        <v>37.04</v>
      </c>
      <c r="M8128" s="74">
        <v>36864</v>
      </c>
      <c r="N8128" s="77">
        <v>0.91666666666666663</v>
      </c>
      <c r="P8128">
        <v>26.24</v>
      </c>
      <c r="S8128" s="74">
        <v>35768</v>
      </c>
      <c r="T8128" s="77">
        <v>0.91666666666666663</v>
      </c>
      <c r="V8128">
        <v>46.04</v>
      </c>
      <c r="X8128" s="42"/>
      <c r="AB8128">
        <v>41.9</v>
      </c>
      <c r="AC8128">
        <v>44.6</v>
      </c>
      <c r="AE8128" s="74"/>
      <c r="AF8128" s="77"/>
      <c r="AH8128" s="497">
        <v>41</v>
      </c>
      <c r="AJ8128" s="42"/>
      <c r="AK8128" s="74"/>
      <c r="AL8128" s="77"/>
      <c r="AN8128" s="497">
        <v>35.06</v>
      </c>
      <c r="AP8128" s="42"/>
      <c r="AQ8128" s="74"/>
      <c r="AR8128" s="77"/>
      <c r="AT8128" s="497">
        <v>35.96</v>
      </c>
      <c r="AV8128" s="42"/>
      <c r="AW8128" s="74"/>
      <c r="AX8128" s="77"/>
      <c r="BA8128" s="497">
        <v>30.02</v>
      </c>
      <c r="BB8128" s="42"/>
      <c r="BC8128" s="74"/>
      <c r="BD8128" s="77"/>
      <c r="BF8128">
        <v>26.060000000000002</v>
      </c>
      <c r="BH8128" s="42"/>
      <c r="BI8128" s="74"/>
      <c r="BJ8128" s="77"/>
      <c r="BL8128" s="497">
        <v>30.02</v>
      </c>
      <c r="BN8128" s="42"/>
      <c r="BO8128" s="74"/>
      <c r="BP8128" s="77"/>
      <c r="BR8128" s="497">
        <v>30.92</v>
      </c>
      <c r="BT8128" s="42"/>
    </row>
    <row r="8129" spans="1:72" x14ac:dyDescent="0.25">
      <c r="A8129" s="90">
        <v>35768</v>
      </c>
      <c r="B8129" s="20">
        <v>0.95833333333333337</v>
      </c>
      <c r="D8129">
        <v>37.04</v>
      </c>
      <c r="E8129" t="str">
        <f t="shared" si="288"/>
        <v>WEEKDAY</v>
      </c>
      <c r="F8129" t="e">
        <f t="shared" si="289"/>
        <v>#N/A</v>
      </c>
      <c r="G8129" s="74">
        <v>28463</v>
      </c>
      <c r="H8129" s="77">
        <v>0.95833333333333337</v>
      </c>
      <c r="J8129">
        <v>37.04</v>
      </c>
      <c r="M8129" s="74">
        <v>36864</v>
      </c>
      <c r="N8129" s="77">
        <v>0.95833333333333337</v>
      </c>
      <c r="P8129">
        <v>24.8</v>
      </c>
      <c r="S8129" s="74">
        <v>35768</v>
      </c>
      <c r="T8129" s="77">
        <v>0.95833333333333337</v>
      </c>
      <c r="V8129">
        <v>46.94</v>
      </c>
      <c r="X8129" s="42"/>
      <c r="AB8129">
        <v>41.4</v>
      </c>
      <c r="AC8129">
        <v>44.6</v>
      </c>
      <c r="AE8129" s="74"/>
      <c r="AF8129" s="77"/>
      <c r="AH8129" s="497">
        <v>39.200000000000003</v>
      </c>
      <c r="AJ8129" s="42"/>
      <c r="AK8129" s="74"/>
      <c r="AL8129" s="77"/>
      <c r="AN8129" s="497">
        <v>35.06</v>
      </c>
      <c r="AP8129" s="42"/>
      <c r="AQ8129" s="74"/>
      <c r="AR8129" s="77"/>
      <c r="AT8129" s="497">
        <v>35.06</v>
      </c>
      <c r="AV8129" s="42"/>
      <c r="AW8129" s="74"/>
      <c r="AX8129" s="77"/>
      <c r="BA8129" s="497">
        <v>28.759999999999998</v>
      </c>
      <c r="BB8129" s="42"/>
      <c r="BC8129" s="74"/>
      <c r="BD8129" s="77"/>
      <c r="BF8129">
        <v>24.98</v>
      </c>
      <c r="BH8129" s="42"/>
      <c r="BI8129" s="74"/>
      <c r="BJ8129" s="77"/>
      <c r="BL8129" s="497">
        <v>30.02</v>
      </c>
      <c r="BN8129" s="42"/>
      <c r="BO8129" s="74"/>
      <c r="BP8129" s="77"/>
      <c r="BR8129" s="497">
        <v>30.92</v>
      </c>
      <c r="BT8129" s="42"/>
    </row>
    <row r="8130" spans="1:72" x14ac:dyDescent="0.25">
      <c r="A8130" s="90">
        <v>35768</v>
      </c>
      <c r="B8130" s="20">
        <v>1</v>
      </c>
      <c r="D8130">
        <v>35.96</v>
      </c>
      <c r="E8130" t="str">
        <f t="shared" si="288"/>
        <v>WEEKDAY</v>
      </c>
      <c r="F8130" t="e">
        <f t="shared" si="289"/>
        <v>#N/A</v>
      </c>
      <c r="G8130" s="74">
        <v>28463</v>
      </c>
      <c r="H8130" s="77">
        <v>1</v>
      </c>
      <c r="J8130">
        <v>37.04</v>
      </c>
      <c r="M8130" s="74">
        <v>36864</v>
      </c>
      <c r="N8130" s="80">
        <v>1</v>
      </c>
      <c r="P8130">
        <v>24.439999999999998</v>
      </c>
      <c r="S8130" s="74">
        <v>35768</v>
      </c>
      <c r="T8130" s="80">
        <v>1</v>
      </c>
      <c r="V8130">
        <v>46.04</v>
      </c>
      <c r="X8130" s="42"/>
      <c r="AB8130">
        <v>41</v>
      </c>
      <c r="AC8130">
        <v>42.8</v>
      </c>
      <c r="AE8130" s="74"/>
      <c r="AF8130" s="80"/>
      <c r="AH8130" s="497">
        <v>39.200000000000003</v>
      </c>
      <c r="AJ8130" s="42"/>
      <c r="AK8130" s="74"/>
      <c r="AL8130" s="80"/>
      <c r="AN8130" s="497">
        <v>33.979999999999997</v>
      </c>
      <c r="AP8130" s="42"/>
      <c r="AQ8130" s="74"/>
      <c r="AR8130" s="80"/>
      <c r="AT8130" s="497">
        <v>33.979999999999997</v>
      </c>
      <c r="AV8130" s="42"/>
      <c r="AW8130" s="74"/>
      <c r="AX8130" s="80"/>
      <c r="BA8130" s="497">
        <v>27.32</v>
      </c>
      <c r="BB8130" s="42"/>
      <c r="BC8130" s="74"/>
      <c r="BD8130" s="80"/>
      <c r="BF8130">
        <v>24.08</v>
      </c>
      <c r="BH8130" s="42"/>
      <c r="BI8130" s="74"/>
      <c r="BJ8130" s="80"/>
      <c r="BL8130" s="497">
        <v>30.02</v>
      </c>
      <c r="BN8130" s="42"/>
      <c r="BO8130" s="74"/>
      <c r="BP8130" s="80"/>
      <c r="BR8130" s="497">
        <v>30.92</v>
      </c>
      <c r="BT8130" s="42"/>
    </row>
    <row r="8131" spans="1:72" x14ac:dyDescent="0.25">
      <c r="A8131" s="90">
        <v>35769</v>
      </c>
      <c r="B8131" s="20">
        <v>4.1666666666666664E-2</v>
      </c>
      <c r="D8131">
        <v>37.04</v>
      </c>
      <c r="E8131" t="str">
        <f t="shared" si="288"/>
        <v>WEEKDAY</v>
      </c>
      <c r="F8131" t="e">
        <f t="shared" si="289"/>
        <v>#N/A</v>
      </c>
      <c r="G8131" s="74">
        <v>28464</v>
      </c>
      <c r="H8131" s="77">
        <v>4.1666666666666664E-2</v>
      </c>
      <c r="J8131">
        <v>37.04</v>
      </c>
      <c r="M8131" s="74">
        <v>36865</v>
      </c>
      <c r="N8131" s="77">
        <v>4.1666666666666664E-2</v>
      </c>
      <c r="P8131">
        <v>24.08</v>
      </c>
      <c r="S8131" s="74">
        <v>35769</v>
      </c>
      <c r="T8131" s="77">
        <v>4.1666666666666664E-2</v>
      </c>
      <c r="V8131">
        <v>44.96</v>
      </c>
      <c r="X8131" s="42"/>
      <c r="AB8131">
        <v>40.6</v>
      </c>
      <c r="AC8131">
        <v>42.8</v>
      </c>
      <c r="AE8131" s="74"/>
      <c r="AF8131" s="77"/>
      <c r="AH8131" s="497">
        <v>42.8</v>
      </c>
      <c r="AJ8131" s="42"/>
      <c r="AK8131" s="74"/>
      <c r="AL8131" s="77"/>
      <c r="AN8131" s="497">
        <v>33.979999999999997</v>
      </c>
      <c r="AP8131" s="42"/>
      <c r="AQ8131" s="74"/>
      <c r="AR8131" s="77"/>
      <c r="AT8131" s="497">
        <v>33.08</v>
      </c>
      <c r="AV8131" s="42"/>
      <c r="AW8131" s="74"/>
      <c r="AX8131" s="77"/>
      <c r="BA8131" s="497">
        <v>26.060000000000002</v>
      </c>
      <c r="BB8131" s="42"/>
      <c r="BC8131" s="74"/>
      <c r="BD8131" s="77"/>
      <c r="BF8131">
        <v>21.92</v>
      </c>
      <c r="BH8131" s="42"/>
      <c r="BI8131" s="74"/>
      <c r="BJ8131" s="77"/>
      <c r="BL8131" s="497">
        <v>28.04</v>
      </c>
      <c r="BN8131" s="42"/>
      <c r="BO8131" s="74"/>
      <c r="BP8131" s="77"/>
      <c r="BR8131" s="497">
        <v>30.02</v>
      </c>
      <c r="BT8131" s="42"/>
    </row>
    <row r="8132" spans="1:72" x14ac:dyDescent="0.25">
      <c r="A8132" s="90">
        <v>35769</v>
      </c>
      <c r="B8132" s="20">
        <v>8.3333333333333329E-2</v>
      </c>
      <c r="D8132">
        <v>35.06</v>
      </c>
      <c r="E8132" t="str">
        <f t="shared" si="288"/>
        <v>WEEKDAY</v>
      </c>
      <c r="F8132" t="e">
        <f t="shared" si="289"/>
        <v>#N/A</v>
      </c>
      <c r="G8132" s="74">
        <v>28464</v>
      </c>
      <c r="H8132" s="77">
        <v>8.3333333333333329E-2</v>
      </c>
      <c r="J8132">
        <v>35.96</v>
      </c>
      <c r="M8132" s="74">
        <v>36865</v>
      </c>
      <c r="N8132" s="77">
        <v>8.3333333333333329E-2</v>
      </c>
      <c r="P8132">
        <v>23.54</v>
      </c>
      <c r="S8132" s="74">
        <v>35769</v>
      </c>
      <c r="T8132" s="77">
        <v>8.3333333333333329E-2</v>
      </c>
      <c r="V8132">
        <v>46.04</v>
      </c>
      <c r="X8132" s="42"/>
      <c r="AB8132">
        <v>40.1</v>
      </c>
      <c r="AC8132">
        <v>44.6</v>
      </c>
      <c r="AE8132" s="74"/>
      <c r="AF8132" s="77"/>
      <c r="AH8132" s="497">
        <v>42.8</v>
      </c>
      <c r="AJ8132" s="42"/>
      <c r="AK8132" s="74"/>
      <c r="AL8132" s="77"/>
      <c r="AN8132" s="497">
        <v>33.979999999999997</v>
      </c>
      <c r="AP8132" s="42"/>
      <c r="AQ8132" s="74"/>
      <c r="AR8132" s="77"/>
      <c r="AT8132" s="497">
        <v>32.72</v>
      </c>
      <c r="AV8132" s="42"/>
      <c r="AW8132" s="74"/>
      <c r="AX8132" s="77"/>
      <c r="BA8132" s="497">
        <v>24.98</v>
      </c>
      <c r="BB8132" s="42"/>
      <c r="BC8132" s="74"/>
      <c r="BD8132" s="77"/>
      <c r="BF8132">
        <v>21.02</v>
      </c>
      <c r="BH8132" s="42"/>
      <c r="BI8132" s="74"/>
      <c r="BJ8132" s="77"/>
      <c r="BL8132" s="497">
        <v>28.04</v>
      </c>
      <c r="BN8132" s="42"/>
      <c r="BO8132" s="74"/>
      <c r="BP8132" s="77"/>
      <c r="BR8132" s="497">
        <v>28.94</v>
      </c>
      <c r="BT8132" s="42"/>
    </row>
    <row r="8133" spans="1:72" x14ac:dyDescent="0.25">
      <c r="A8133" s="90">
        <v>35769</v>
      </c>
      <c r="B8133" s="20">
        <v>0.125</v>
      </c>
      <c r="D8133">
        <v>35.06</v>
      </c>
      <c r="E8133" t="str">
        <f t="shared" si="288"/>
        <v>WEEKDAY</v>
      </c>
      <c r="F8133" t="e">
        <f t="shared" si="289"/>
        <v>#N/A</v>
      </c>
      <c r="G8133" s="74">
        <v>28464</v>
      </c>
      <c r="H8133" s="77">
        <v>0.125</v>
      </c>
      <c r="J8133">
        <v>35.96</v>
      </c>
      <c r="M8133" s="74">
        <v>36865</v>
      </c>
      <c r="N8133" s="77">
        <v>0.125</v>
      </c>
      <c r="P8133">
        <v>22.28</v>
      </c>
      <c r="S8133" s="74">
        <v>35769</v>
      </c>
      <c r="T8133" s="77">
        <v>0.125</v>
      </c>
      <c r="V8133">
        <v>46.04</v>
      </c>
      <c r="X8133" s="42"/>
      <c r="AB8133">
        <v>39.700000000000003</v>
      </c>
      <c r="AC8133">
        <v>44.6</v>
      </c>
      <c r="AE8133" s="74"/>
      <c r="AF8133" s="77"/>
      <c r="AH8133" s="497">
        <v>39.200000000000003</v>
      </c>
      <c r="AJ8133" s="42"/>
      <c r="AK8133" s="74"/>
      <c r="AL8133" s="77"/>
      <c r="AN8133" s="497">
        <v>32</v>
      </c>
      <c r="AP8133" s="42"/>
      <c r="AQ8133" s="74"/>
      <c r="AR8133" s="77"/>
      <c r="AT8133" s="497">
        <v>32.36</v>
      </c>
      <c r="AV8133" s="42"/>
      <c r="AW8133" s="74"/>
      <c r="AX8133" s="77"/>
      <c r="BA8133" s="497">
        <v>24.08</v>
      </c>
      <c r="BB8133" s="42"/>
      <c r="BC8133" s="74"/>
      <c r="BD8133" s="77"/>
      <c r="BF8133">
        <v>23</v>
      </c>
      <c r="BH8133" s="42"/>
      <c r="BI8133" s="74"/>
      <c r="BJ8133" s="77"/>
      <c r="BL8133" s="497">
        <v>28.04</v>
      </c>
      <c r="BN8133" s="42"/>
      <c r="BO8133" s="74"/>
      <c r="BP8133" s="77"/>
      <c r="BR8133" s="497">
        <v>30.02</v>
      </c>
      <c r="BT8133" s="42"/>
    </row>
    <row r="8134" spans="1:72" x14ac:dyDescent="0.25">
      <c r="A8134" s="90">
        <v>35769</v>
      </c>
      <c r="B8134" s="20">
        <v>0.16666666666666666</v>
      </c>
      <c r="D8134">
        <v>33.979999999999997</v>
      </c>
      <c r="E8134" t="str">
        <f t="shared" si="288"/>
        <v>WEEKDAY</v>
      </c>
      <c r="F8134" t="e">
        <f t="shared" si="289"/>
        <v>#N/A</v>
      </c>
      <c r="G8134" s="74">
        <v>28464</v>
      </c>
      <c r="H8134" s="77">
        <v>0.16666666666666666</v>
      </c>
      <c r="J8134">
        <v>35.06</v>
      </c>
      <c r="M8134" s="74">
        <v>36865</v>
      </c>
      <c r="N8134" s="77">
        <v>0.16666666666666666</v>
      </c>
      <c r="P8134">
        <v>22.64</v>
      </c>
      <c r="S8134" s="74">
        <v>35769</v>
      </c>
      <c r="T8134" s="77">
        <v>0.16666666666666666</v>
      </c>
      <c r="V8134">
        <v>44.06</v>
      </c>
      <c r="X8134" s="42"/>
      <c r="AB8134">
        <v>39.4</v>
      </c>
      <c r="AC8134">
        <v>42.8</v>
      </c>
      <c r="AE8134" s="74"/>
      <c r="AF8134" s="77"/>
      <c r="AH8134" s="497">
        <v>39.200000000000003</v>
      </c>
      <c r="AJ8134" s="42"/>
      <c r="AK8134" s="74"/>
      <c r="AL8134" s="77"/>
      <c r="AN8134" s="497">
        <v>30.02</v>
      </c>
      <c r="AP8134" s="42"/>
      <c r="AQ8134" s="74"/>
      <c r="AR8134" s="77"/>
      <c r="AT8134" s="497">
        <v>32</v>
      </c>
      <c r="AV8134" s="42"/>
      <c r="AW8134" s="74"/>
      <c r="AX8134" s="77"/>
      <c r="BA8134" s="497">
        <v>23</v>
      </c>
      <c r="BB8134" s="42"/>
      <c r="BC8134" s="74"/>
      <c r="BD8134" s="77"/>
      <c r="BF8134">
        <v>26.060000000000002</v>
      </c>
      <c r="BH8134" s="42"/>
      <c r="BI8134" s="74"/>
      <c r="BJ8134" s="77"/>
      <c r="BL8134" s="497">
        <v>26.96</v>
      </c>
      <c r="BN8134" s="42"/>
      <c r="BO8134" s="74"/>
      <c r="BP8134" s="77"/>
      <c r="BR8134" s="497">
        <v>30.02</v>
      </c>
      <c r="BT8134" s="42"/>
    </row>
    <row r="8135" spans="1:72" x14ac:dyDescent="0.25">
      <c r="A8135" s="90">
        <v>35769</v>
      </c>
      <c r="B8135" s="20">
        <v>0.20833333333333334</v>
      </c>
      <c r="D8135">
        <v>33.979999999999997</v>
      </c>
      <c r="E8135" t="str">
        <f t="shared" si="288"/>
        <v>WEEKDAY</v>
      </c>
      <c r="F8135" t="e">
        <f t="shared" si="289"/>
        <v>#N/A</v>
      </c>
      <c r="G8135" s="74">
        <v>28464</v>
      </c>
      <c r="H8135" s="77">
        <v>0.20833333333333334</v>
      </c>
      <c r="J8135">
        <v>35.06</v>
      </c>
      <c r="M8135" s="74">
        <v>36865</v>
      </c>
      <c r="N8135" s="77">
        <v>0.20833333333333334</v>
      </c>
      <c r="P8135">
        <v>23.18</v>
      </c>
      <c r="S8135" s="74">
        <v>35769</v>
      </c>
      <c r="T8135" s="77">
        <v>0.20833333333333334</v>
      </c>
      <c r="V8135">
        <v>42.980000000000004</v>
      </c>
      <c r="X8135" s="42"/>
      <c r="AB8135">
        <v>39</v>
      </c>
      <c r="AC8135">
        <v>42.8</v>
      </c>
      <c r="AE8135" s="74"/>
      <c r="AF8135" s="77"/>
      <c r="AH8135" s="497">
        <v>37.4</v>
      </c>
      <c r="AJ8135" s="42"/>
      <c r="AK8135" s="74"/>
      <c r="AL8135" s="77"/>
      <c r="AN8135" s="497">
        <v>32</v>
      </c>
      <c r="AP8135" s="42"/>
      <c r="AQ8135" s="74"/>
      <c r="AR8135" s="77"/>
      <c r="AT8135" s="497">
        <v>29.3</v>
      </c>
      <c r="AV8135" s="42"/>
      <c r="AW8135" s="74"/>
      <c r="AX8135" s="77"/>
      <c r="BA8135" s="497">
        <v>23.36</v>
      </c>
      <c r="BB8135" s="42"/>
      <c r="BC8135" s="74"/>
      <c r="BD8135" s="77"/>
      <c r="BF8135">
        <v>26.060000000000002</v>
      </c>
      <c r="BH8135" s="42"/>
      <c r="BI8135" s="74"/>
      <c r="BJ8135" s="77"/>
      <c r="BL8135" s="497">
        <v>28.04</v>
      </c>
      <c r="BN8135" s="42"/>
      <c r="BO8135" s="74"/>
      <c r="BP8135" s="77"/>
      <c r="BR8135" s="497">
        <v>30.02</v>
      </c>
      <c r="BT8135" s="42"/>
    </row>
    <row r="8136" spans="1:72" x14ac:dyDescent="0.25">
      <c r="A8136" s="90">
        <v>35769</v>
      </c>
      <c r="B8136" s="20">
        <v>0.25</v>
      </c>
      <c r="D8136">
        <v>33.979999999999997</v>
      </c>
      <c r="E8136" t="str">
        <f t="shared" si="288"/>
        <v>WEEKDAY</v>
      </c>
      <c r="F8136" t="e">
        <f t="shared" si="289"/>
        <v>#N/A</v>
      </c>
      <c r="G8136" s="74">
        <v>28464</v>
      </c>
      <c r="H8136" s="77">
        <v>0.25</v>
      </c>
      <c r="J8136">
        <v>35.06</v>
      </c>
      <c r="M8136" s="74">
        <v>36865</v>
      </c>
      <c r="N8136" s="77">
        <v>0.25</v>
      </c>
      <c r="P8136">
        <v>22.82</v>
      </c>
      <c r="S8136" s="74">
        <v>35769</v>
      </c>
      <c r="T8136" s="77">
        <v>0.25</v>
      </c>
      <c r="V8136">
        <v>42.980000000000004</v>
      </c>
      <c r="X8136" s="42"/>
      <c r="AB8136">
        <v>38.9</v>
      </c>
      <c r="AC8136">
        <v>42.8</v>
      </c>
      <c r="AE8136" s="74"/>
      <c r="AF8136" s="77"/>
      <c r="AH8136" s="497">
        <v>35.6</v>
      </c>
      <c r="AJ8136" s="42"/>
      <c r="AK8136" s="74"/>
      <c r="AL8136" s="77"/>
      <c r="AN8136" s="497">
        <v>30.92</v>
      </c>
      <c r="AP8136" s="42"/>
      <c r="AQ8136" s="74"/>
      <c r="AR8136" s="77"/>
      <c r="AT8136" s="497">
        <v>26.78</v>
      </c>
      <c r="AV8136" s="42"/>
      <c r="AW8136" s="74"/>
      <c r="AX8136" s="77"/>
      <c r="BA8136" s="497">
        <v>23.72</v>
      </c>
      <c r="BB8136" s="42"/>
      <c r="BC8136" s="74"/>
      <c r="BD8136" s="77"/>
      <c r="BF8136">
        <v>26.96</v>
      </c>
      <c r="BH8136" s="42"/>
      <c r="BI8136" s="74"/>
      <c r="BJ8136" s="77"/>
      <c r="BL8136" s="497">
        <v>26.060000000000002</v>
      </c>
      <c r="BN8136" s="42"/>
      <c r="BO8136" s="74"/>
      <c r="BP8136" s="77"/>
      <c r="BR8136" s="497">
        <v>30.02</v>
      </c>
      <c r="BT8136" s="42"/>
    </row>
    <row r="8137" spans="1:72" x14ac:dyDescent="0.25">
      <c r="A8137" s="90">
        <v>35769</v>
      </c>
      <c r="B8137" s="20">
        <v>0.29166666666666669</v>
      </c>
      <c r="D8137">
        <v>35.06</v>
      </c>
      <c r="E8137" t="str">
        <f t="shared" si="288"/>
        <v>WEEKDAY</v>
      </c>
      <c r="F8137" t="e">
        <f t="shared" si="289"/>
        <v>#N/A</v>
      </c>
      <c r="G8137" s="74">
        <v>28464</v>
      </c>
      <c r="H8137" s="77">
        <v>0.29166666666666669</v>
      </c>
      <c r="J8137">
        <v>35.06</v>
      </c>
      <c r="M8137" s="74">
        <v>36865</v>
      </c>
      <c r="N8137" s="77">
        <v>0.29166666666666669</v>
      </c>
      <c r="P8137">
        <v>23.18</v>
      </c>
      <c r="S8137" s="74">
        <v>35769</v>
      </c>
      <c r="T8137" s="77">
        <v>0.29166666666666669</v>
      </c>
      <c r="V8137">
        <v>42.08</v>
      </c>
      <c r="X8137" s="42"/>
      <c r="AB8137">
        <v>38.799999999999997</v>
      </c>
      <c r="AC8137">
        <v>42.8</v>
      </c>
      <c r="AE8137" s="74"/>
      <c r="AF8137" s="77"/>
      <c r="AH8137" s="497">
        <v>37.4</v>
      </c>
      <c r="AJ8137" s="42"/>
      <c r="AK8137" s="74"/>
      <c r="AL8137" s="77"/>
      <c r="AN8137" s="497">
        <v>30.92</v>
      </c>
      <c r="AP8137" s="42"/>
      <c r="AQ8137" s="74"/>
      <c r="AR8137" s="77"/>
      <c r="AT8137" s="497">
        <v>24.08</v>
      </c>
      <c r="AV8137" s="42"/>
      <c r="AW8137" s="74"/>
      <c r="AX8137" s="77"/>
      <c r="BA8137" s="497">
        <v>24.08</v>
      </c>
      <c r="BB8137" s="42"/>
      <c r="BC8137" s="74"/>
      <c r="BD8137" s="77"/>
      <c r="BF8137">
        <v>26.060000000000002</v>
      </c>
      <c r="BH8137" s="42"/>
      <c r="BI8137" s="74"/>
      <c r="BJ8137" s="77"/>
      <c r="BL8137" s="497">
        <v>26.060000000000002</v>
      </c>
      <c r="BN8137" s="42"/>
      <c r="BO8137" s="74"/>
      <c r="BP8137" s="77"/>
      <c r="BR8137" s="497">
        <v>30.02</v>
      </c>
      <c r="BT8137" s="42"/>
    </row>
    <row r="8138" spans="1:72" x14ac:dyDescent="0.25">
      <c r="A8138" s="90">
        <v>35769</v>
      </c>
      <c r="B8138" s="20">
        <v>0.33333333333333331</v>
      </c>
      <c r="D8138">
        <v>33.979999999999997</v>
      </c>
      <c r="E8138" t="str">
        <f t="shared" si="288"/>
        <v>WEEKDAY</v>
      </c>
      <c r="F8138" t="e">
        <f t="shared" si="289"/>
        <v>#N/A</v>
      </c>
      <c r="G8138" s="74">
        <v>28464</v>
      </c>
      <c r="H8138" s="77">
        <v>0.33333333333333331</v>
      </c>
      <c r="J8138">
        <v>35.06</v>
      </c>
      <c r="M8138" s="74">
        <v>36865</v>
      </c>
      <c r="N8138" s="77">
        <v>0.33333333333333331</v>
      </c>
      <c r="P8138">
        <v>24.62</v>
      </c>
      <c r="S8138" s="74">
        <v>35769</v>
      </c>
      <c r="T8138" s="77">
        <v>0.33333333333333331</v>
      </c>
      <c r="V8138">
        <v>42.08</v>
      </c>
      <c r="X8138" s="42"/>
      <c r="AB8138">
        <v>38.799999999999997</v>
      </c>
      <c r="AC8138">
        <v>42.8</v>
      </c>
      <c r="AE8138" s="74"/>
      <c r="AF8138" s="77"/>
      <c r="AH8138" s="497">
        <v>39.200000000000003</v>
      </c>
      <c r="AJ8138" s="42"/>
      <c r="AK8138" s="74"/>
      <c r="AL8138" s="77"/>
      <c r="AN8138" s="497">
        <v>28.94</v>
      </c>
      <c r="AP8138" s="42"/>
      <c r="AQ8138" s="74"/>
      <c r="AR8138" s="77"/>
      <c r="AT8138" s="497">
        <v>28.4</v>
      </c>
      <c r="AV8138" s="42"/>
      <c r="AW8138" s="74"/>
      <c r="AX8138" s="77"/>
      <c r="BA8138" s="497">
        <v>24.8</v>
      </c>
      <c r="BB8138" s="42"/>
      <c r="BC8138" s="74"/>
      <c r="BD8138" s="77"/>
      <c r="BF8138">
        <v>26.96</v>
      </c>
      <c r="BH8138" s="42"/>
      <c r="BI8138" s="74"/>
      <c r="BJ8138" s="77"/>
      <c r="BL8138" s="497">
        <v>26.060000000000002</v>
      </c>
      <c r="BN8138" s="42"/>
      <c r="BO8138" s="74"/>
      <c r="BP8138" s="77"/>
      <c r="BR8138" s="497">
        <v>30.92</v>
      </c>
      <c r="BT8138" s="42"/>
    </row>
    <row r="8139" spans="1:72" x14ac:dyDescent="0.25">
      <c r="A8139" s="90">
        <v>35769</v>
      </c>
      <c r="B8139" s="20">
        <v>0.375</v>
      </c>
      <c r="D8139">
        <v>33.979999999999997</v>
      </c>
      <c r="E8139" t="str">
        <f t="shared" si="288"/>
        <v>WEEKDAY</v>
      </c>
      <c r="F8139" t="e">
        <f t="shared" si="289"/>
        <v>#N/A</v>
      </c>
      <c r="G8139" s="74">
        <v>28464</v>
      </c>
      <c r="H8139" s="77">
        <v>0.375</v>
      </c>
      <c r="J8139">
        <v>35.06</v>
      </c>
      <c r="M8139" s="74">
        <v>36865</v>
      </c>
      <c r="N8139" s="77">
        <v>0.375</v>
      </c>
      <c r="P8139">
        <v>25.16</v>
      </c>
      <c r="S8139" s="74">
        <v>35769</v>
      </c>
      <c r="T8139" s="77">
        <v>0.375</v>
      </c>
      <c r="V8139">
        <v>42.980000000000004</v>
      </c>
      <c r="X8139" s="42"/>
      <c r="AB8139">
        <v>39.5</v>
      </c>
      <c r="AC8139">
        <v>42.8</v>
      </c>
      <c r="AE8139" s="74"/>
      <c r="AF8139" s="77"/>
      <c r="AH8139" s="497">
        <v>44.6</v>
      </c>
      <c r="AJ8139" s="42"/>
      <c r="AK8139" s="74"/>
      <c r="AL8139" s="77"/>
      <c r="AN8139" s="497">
        <v>32</v>
      </c>
      <c r="AP8139" s="42"/>
      <c r="AQ8139" s="74"/>
      <c r="AR8139" s="77"/>
      <c r="AT8139" s="497">
        <v>32.72</v>
      </c>
      <c r="AV8139" s="42"/>
      <c r="AW8139" s="74"/>
      <c r="AX8139" s="77"/>
      <c r="BA8139" s="497">
        <v>25.34</v>
      </c>
      <c r="BB8139" s="42"/>
      <c r="BC8139" s="74"/>
      <c r="BD8139" s="77"/>
      <c r="BF8139">
        <v>26.96</v>
      </c>
      <c r="BH8139" s="42"/>
      <c r="BI8139" s="74"/>
      <c r="BJ8139" s="77"/>
      <c r="BL8139" s="497">
        <v>26.96</v>
      </c>
      <c r="BN8139" s="42"/>
      <c r="BO8139" s="74"/>
      <c r="BP8139" s="77"/>
      <c r="BR8139" s="497">
        <v>32</v>
      </c>
      <c r="BT8139" s="42"/>
    </row>
    <row r="8140" spans="1:72" x14ac:dyDescent="0.25">
      <c r="A8140" s="90">
        <v>35769</v>
      </c>
      <c r="B8140" s="20">
        <v>0.41666666666666669</v>
      </c>
      <c r="D8140">
        <v>33.979999999999997</v>
      </c>
      <c r="E8140" t="str">
        <f t="shared" si="288"/>
        <v>WEEKDAY</v>
      </c>
      <c r="F8140" t="e">
        <f t="shared" si="289"/>
        <v>#N/A</v>
      </c>
      <c r="G8140" s="74">
        <v>28464</v>
      </c>
      <c r="H8140" s="77">
        <v>0.41666666666666669</v>
      </c>
      <c r="J8140">
        <v>35.06</v>
      </c>
      <c r="M8140" s="74">
        <v>36865</v>
      </c>
      <c r="N8140" s="77">
        <v>0.41666666666666669</v>
      </c>
      <c r="P8140">
        <v>29.12</v>
      </c>
      <c r="S8140" s="74">
        <v>35769</v>
      </c>
      <c r="T8140" s="77">
        <v>0.41666666666666669</v>
      </c>
      <c r="V8140">
        <v>42.980000000000004</v>
      </c>
      <c r="X8140" s="42"/>
      <c r="AB8140">
        <v>41.1</v>
      </c>
      <c r="AC8140">
        <v>42.8</v>
      </c>
      <c r="AE8140" s="74"/>
      <c r="AF8140" s="77"/>
      <c r="AH8140" s="497">
        <v>48.2</v>
      </c>
      <c r="AJ8140" s="42"/>
      <c r="AK8140" s="74"/>
      <c r="AL8140" s="77"/>
      <c r="AN8140" s="497">
        <v>33.08</v>
      </c>
      <c r="AP8140" s="42"/>
      <c r="AQ8140" s="74"/>
      <c r="AR8140" s="77"/>
      <c r="AT8140" s="497">
        <v>37.04</v>
      </c>
      <c r="AV8140" s="42"/>
      <c r="AW8140" s="74"/>
      <c r="AX8140" s="77"/>
      <c r="BA8140" s="497">
        <v>26.060000000000002</v>
      </c>
      <c r="BB8140" s="42"/>
      <c r="BC8140" s="74"/>
      <c r="BD8140" s="77"/>
      <c r="BF8140">
        <v>26.060000000000002</v>
      </c>
      <c r="BH8140" s="42"/>
      <c r="BI8140" s="74"/>
      <c r="BJ8140" s="77"/>
      <c r="BL8140" s="497">
        <v>28.04</v>
      </c>
      <c r="BN8140" s="42"/>
      <c r="BO8140" s="74"/>
      <c r="BP8140" s="77"/>
      <c r="BR8140" s="497">
        <v>33.979999999999997</v>
      </c>
      <c r="BT8140" s="42"/>
    </row>
    <row r="8141" spans="1:72" x14ac:dyDescent="0.25">
      <c r="A8141" s="90">
        <v>35769</v>
      </c>
      <c r="B8141" s="20">
        <v>0.45833333333333331</v>
      </c>
      <c r="D8141">
        <v>33.08</v>
      </c>
      <c r="E8141" t="str">
        <f t="shared" si="288"/>
        <v>WEEKDAY</v>
      </c>
      <c r="F8141" t="e">
        <f t="shared" si="289"/>
        <v>#N/A</v>
      </c>
      <c r="G8141" s="74">
        <v>28464</v>
      </c>
      <c r="H8141" s="77">
        <v>0.45833333333333331</v>
      </c>
      <c r="J8141">
        <v>33.979999999999997</v>
      </c>
      <c r="M8141" s="74">
        <v>36865</v>
      </c>
      <c r="N8141" s="77">
        <v>0.45833333333333331</v>
      </c>
      <c r="P8141">
        <v>32.36</v>
      </c>
      <c r="S8141" s="74">
        <v>35769</v>
      </c>
      <c r="T8141" s="77">
        <v>0.45833333333333331</v>
      </c>
      <c r="V8141">
        <v>42.08</v>
      </c>
      <c r="X8141" s="42"/>
      <c r="AB8141">
        <v>42.6</v>
      </c>
      <c r="AC8141">
        <v>44.6</v>
      </c>
      <c r="AE8141" s="74"/>
      <c r="AF8141" s="77"/>
      <c r="AH8141" s="497">
        <v>51.8</v>
      </c>
      <c r="AJ8141" s="42"/>
      <c r="AK8141" s="74"/>
      <c r="AL8141" s="77"/>
      <c r="AN8141" s="497">
        <v>37.04</v>
      </c>
      <c r="AP8141" s="42"/>
      <c r="AQ8141" s="74"/>
      <c r="AR8141" s="77"/>
      <c r="AT8141" s="497">
        <v>39.380000000000003</v>
      </c>
      <c r="AV8141" s="42"/>
      <c r="AW8141" s="74"/>
      <c r="AX8141" s="77"/>
      <c r="BA8141" s="497">
        <v>26.060000000000002</v>
      </c>
      <c r="BB8141" s="42"/>
      <c r="BC8141" s="74"/>
      <c r="BD8141" s="77"/>
      <c r="BF8141">
        <v>24.98</v>
      </c>
      <c r="BH8141" s="42"/>
      <c r="BI8141" s="74"/>
      <c r="BJ8141" s="77"/>
      <c r="BL8141" s="497">
        <v>28.04</v>
      </c>
      <c r="BN8141" s="42"/>
      <c r="BO8141" s="74"/>
      <c r="BP8141" s="77"/>
      <c r="BR8141" s="497">
        <v>35.96</v>
      </c>
      <c r="BT8141" s="42"/>
    </row>
    <row r="8142" spans="1:72" x14ac:dyDescent="0.25">
      <c r="A8142" s="90">
        <v>35769</v>
      </c>
      <c r="B8142" s="20">
        <v>0.5</v>
      </c>
      <c r="D8142">
        <v>32</v>
      </c>
      <c r="E8142" t="str">
        <f t="shared" si="288"/>
        <v>WEEKDAY</v>
      </c>
      <c r="F8142" t="e">
        <f t="shared" si="289"/>
        <v>#N/A</v>
      </c>
      <c r="G8142" s="74">
        <v>28464</v>
      </c>
      <c r="H8142" s="77">
        <v>0.5</v>
      </c>
      <c r="J8142">
        <v>33.979999999999997</v>
      </c>
      <c r="M8142" s="74">
        <v>36865</v>
      </c>
      <c r="N8142" s="77">
        <v>0.5</v>
      </c>
      <c r="P8142">
        <v>33.619999999999997</v>
      </c>
      <c r="S8142" s="74">
        <v>35769</v>
      </c>
      <c r="T8142" s="77">
        <v>0.5</v>
      </c>
      <c r="V8142">
        <v>42.980000000000004</v>
      </c>
      <c r="X8142" s="42"/>
      <c r="AB8142">
        <v>43.8</v>
      </c>
      <c r="AC8142">
        <v>44.6</v>
      </c>
      <c r="AE8142" s="74"/>
      <c r="AF8142" s="77"/>
      <c r="AH8142" s="497">
        <v>51.8</v>
      </c>
      <c r="AJ8142" s="42"/>
      <c r="AK8142" s="74"/>
      <c r="AL8142" s="77"/>
      <c r="AN8142" s="497">
        <v>37.94</v>
      </c>
      <c r="AP8142" s="42"/>
      <c r="AQ8142" s="74"/>
      <c r="AR8142" s="77"/>
      <c r="AT8142" s="497">
        <v>41.72</v>
      </c>
      <c r="AV8142" s="42"/>
      <c r="AW8142" s="74"/>
      <c r="AX8142" s="77"/>
      <c r="BA8142" s="497">
        <v>26.060000000000002</v>
      </c>
      <c r="BB8142" s="42"/>
      <c r="BC8142" s="74"/>
      <c r="BD8142" s="77"/>
      <c r="BF8142">
        <v>24.98</v>
      </c>
      <c r="BH8142" s="42"/>
      <c r="BI8142" s="74"/>
      <c r="BJ8142" s="77"/>
      <c r="BL8142" s="497">
        <v>28.04</v>
      </c>
      <c r="BN8142" s="42"/>
      <c r="BO8142" s="74"/>
      <c r="BP8142" s="77"/>
      <c r="BR8142" s="497">
        <v>37.04</v>
      </c>
      <c r="BT8142" s="42"/>
    </row>
    <row r="8143" spans="1:72" x14ac:dyDescent="0.25">
      <c r="A8143" s="90">
        <v>35769</v>
      </c>
      <c r="B8143" s="20">
        <v>0.54166666666666663</v>
      </c>
      <c r="D8143">
        <v>30.02</v>
      </c>
      <c r="E8143" t="str">
        <f t="shared" si="288"/>
        <v>WEEKDAY</v>
      </c>
      <c r="F8143" t="e">
        <f t="shared" si="289"/>
        <v>#N/A</v>
      </c>
      <c r="G8143" s="74">
        <v>28464</v>
      </c>
      <c r="H8143" s="77">
        <v>0.54166666666666663</v>
      </c>
      <c r="J8143">
        <v>35.06</v>
      </c>
      <c r="M8143" s="74">
        <v>36865</v>
      </c>
      <c r="N8143" s="77">
        <v>0.54166666666666663</v>
      </c>
      <c r="P8143">
        <v>36.86</v>
      </c>
      <c r="S8143" s="74">
        <v>35769</v>
      </c>
      <c r="T8143" s="77">
        <v>0.54166666666666663</v>
      </c>
      <c r="V8143">
        <v>42.08</v>
      </c>
      <c r="X8143" s="42"/>
      <c r="AB8143">
        <v>44.8</v>
      </c>
      <c r="AC8143">
        <v>44.6</v>
      </c>
      <c r="AE8143" s="74"/>
      <c r="AF8143" s="77"/>
      <c r="AH8143" s="497">
        <v>51.8</v>
      </c>
      <c r="AJ8143" s="42"/>
      <c r="AK8143" s="74"/>
      <c r="AL8143" s="77"/>
      <c r="AN8143" s="497">
        <v>39.019999999999996</v>
      </c>
      <c r="AP8143" s="42"/>
      <c r="AQ8143" s="74"/>
      <c r="AR8143" s="77"/>
      <c r="AT8143" s="497">
        <v>44.06</v>
      </c>
      <c r="AV8143" s="42"/>
      <c r="AW8143" s="74"/>
      <c r="AX8143" s="77"/>
      <c r="BA8143" s="497">
        <v>26.060000000000002</v>
      </c>
      <c r="BB8143" s="42"/>
      <c r="BC8143" s="74"/>
      <c r="BD8143" s="77"/>
      <c r="BF8143">
        <v>24.98</v>
      </c>
      <c r="BH8143" s="42"/>
      <c r="BI8143" s="74"/>
      <c r="BJ8143" s="77"/>
      <c r="BL8143" s="497">
        <v>26.96</v>
      </c>
      <c r="BN8143" s="42"/>
      <c r="BO8143" s="74"/>
      <c r="BP8143" s="77"/>
      <c r="BR8143" s="497">
        <v>39.92</v>
      </c>
      <c r="BT8143" s="42"/>
    </row>
    <row r="8144" spans="1:72" x14ac:dyDescent="0.25">
      <c r="A8144" s="90">
        <v>35769</v>
      </c>
      <c r="B8144" s="20">
        <v>0.58333333333333337</v>
      </c>
      <c r="D8144">
        <v>28.94</v>
      </c>
      <c r="E8144" t="str">
        <f t="shared" si="288"/>
        <v>WEEKDAY</v>
      </c>
      <c r="F8144" t="e">
        <f t="shared" si="289"/>
        <v>#N/A</v>
      </c>
      <c r="G8144" s="74">
        <v>28464</v>
      </c>
      <c r="H8144" s="77">
        <v>0.58333333333333337</v>
      </c>
      <c r="J8144">
        <v>37.04</v>
      </c>
      <c r="M8144" s="74">
        <v>36865</v>
      </c>
      <c r="N8144" s="77">
        <v>0.58333333333333337</v>
      </c>
      <c r="P8144">
        <v>38.299999999999997</v>
      </c>
      <c r="S8144" s="74">
        <v>35769</v>
      </c>
      <c r="T8144" s="77">
        <v>0.58333333333333337</v>
      </c>
      <c r="V8144">
        <v>41</v>
      </c>
      <c r="X8144" s="42"/>
      <c r="AB8144">
        <v>45.3</v>
      </c>
      <c r="AC8144">
        <v>42.8</v>
      </c>
      <c r="AE8144" s="74"/>
      <c r="AF8144" s="77"/>
      <c r="AH8144" s="497">
        <v>51.8</v>
      </c>
      <c r="AJ8144" s="42"/>
      <c r="AK8144" s="74"/>
      <c r="AL8144" s="77"/>
      <c r="AN8144" s="497">
        <v>39.92</v>
      </c>
      <c r="AP8144" s="42"/>
      <c r="AQ8144" s="74"/>
      <c r="AR8144" s="77"/>
      <c r="AT8144" s="497">
        <v>43.34</v>
      </c>
      <c r="AV8144" s="42"/>
      <c r="AW8144" s="74"/>
      <c r="AX8144" s="77"/>
      <c r="BA8144" s="497">
        <v>26.060000000000002</v>
      </c>
      <c r="BB8144" s="42"/>
      <c r="BC8144" s="74"/>
      <c r="BD8144" s="77"/>
      <c r="BF8144">
        <v>24.98</v>
      </c>
      <c r="BH8144" s="42"/>
      <c r="BI8144" s="74"/>
      <c r="BJ8144" s="77"/>
      <c r="BL8144" s="497">
        <v>26.96</v>
      </c>
      <c r="BN8144" s="42"/>
      <c r="BO8144" s="74"/>
      <c r="BP8144" s="77"/>
      <c r="BR8144" s="497">
        <v>37.04</v>
      </c>
      <c r="BT8144" s="42"/>
    </row>
    <row r="8145" spans="1:72" x14ac:dyDescent="0.25">
      <c r="A8145" s="90">
        <v>35769</v>
      </c>
      <c r="B8145" s="20">
        <v>0.625</v>
      </c>
      <c r="D8145">
        <v>28.94</v>
      </c>
      <c r="E8145" t="str">
        <f t="shared" si="288"/>
        <v>WEEKDAY</v>
      </c>
      <c r="F8145" t="e">
        <f t="shared" si="289"/>
        <v>#N/A</v>
      </c>
      <c r="G8145" s="74">
        <v>28464</v>
      </c>
      <c r="H8145" s="77">
        <v>0.625</v>
      </c>
      <c r="J8145">
        <v>37.04</v>
      </c>
      <c r="M8145" s="74">
        <v>36865</v>
      </c>
      <c r="N8145" s="77">
        <v>0.625</v>
      </c>
      <c r="P8145">
        <v>39.56</v>
      </c>
      <c r="S8145" s="74">
        <v>35769</v>
      </c>
      <c r="T8145" s="77">
        <v>0.625</v>
      </c>
      <c r="V8145">
        <v>39.92</v>
      </c>
      <c r="X8145" s="42"/>
      <c r="AB8145">
        <v>45.5</v>
      </c>
      <c r="AC8145">
        <v>41</v>
      </c>
      <c r="AE8145" s="74"/>
      <c r="AF8145" s="77"/>
      <c r="AH8145" s="497">
        <v>48.2</v>
      </c>
      <c r="AJ8145" s="42"/>
      <c r="AK8145" s="74"/>
      <c r="AL8145" s="77"/>
      <c r="AN8145" s="497">
        <v>39.92</v>
      </c>
      <c r="AP8145" s="42"/>
      <c r="AQ8145" s="74"/>
      <c r="AR8145" s="77"/>
      <c r="AT8145" s="497">
        <v>42.8</v>
      </c>
      <c r="AV8145" s="42"/>
      <c r="AW8145" s="74"/>
      <c r="AX8145" s="77"/>
      <c r="BA8145" s="497">
        <v>26.060000000000002</v>
      </c>
      <c r="BB8145" s="42"/>
      <c r="BC8145" s="74"/>
      <c r="BD8145" s="77"/>
      <c r="BF8145">
        <v>24.98</v>
      </c>
      <c r="BH8145" s="42"/>
      <c r="BI8145" s="74"/>
      <c r="BJ8145" s="77"/>
      <c r="BL8145" s="497">
        <v>26.96</v>
      </c>
      <c r="BN8145" s="42"/>
      <c r="BO8145" s="74"/>
      <c r="BP8145" s="77"/>
      <c r="BR8145" s="497">
        <v>39.92</v>
      </c>
      <c r="BT8145" s="42"/>
    </row>
    <row r="8146" spans="1:72" x14ac:dyDescent="0.25">
      <c r="A8146" s="90">
        <v>35769</v>
      </c>
      <c r="B8146" s="20">
        <v>0.66666666666666663</v>
      </c>
      <c r="D8146">
        <v>28.94</v>
      </c>
      <c r="E8146" t="str">
        <f t="shared" si="288"/>
        <v>WEEKDAY</v>
      </c>
      <c r="F8146" t="e">
        <f t="shared" si="289"/>
        <v>#N/A</v>
      </c>
      <c r="G8146" s="74">
        <v>28464</v>
      </c>
      <c r="H8146" s="77">
        <v>0.66666666666666663</v>
      </c>
      <c r="J8146">
        <v>37.94</v>
      </c>
      <c r="M8146" s="74">
        <v>36865</v>
      </c>
      <c r="N8146" s="77">
        <v>0.66666666666666663</v>
      </c>
      <c r="P8146">
        <v>39.200000000000003</v>
      </c>
      <c r="S8146" s="74">
        <v>35769</v>
      </c>
      <c r="T8146" s="77">
        <v>0.66666666666666663</v>
      </c>
      <c r="V8146">
        <v>39.92</v>
      </c>
      <c r="X8146" s="42"/>
      <c r="AB8146">
        <v>45.2</v>
      </c>
      <c r="AC8146">
        <v>39.200000000000003</v>
      </c>
      <c r="AE8146" s="74"/>
      <c r="AF8146" s="77"/>
      <c r="AH8146" s="497">
        <v>46.4</v>
      </c>
      <c r="AJ8146" s="42"/>
      <c r="AK8146" s="74"/>
      <c r="AL8146" s="77"/>
      <c r="AN8146" s="497">
        <v>41</v>
      </c>
      <c r="AP8146" s="42"/>
      <c r="AQ8146" s="74"/>
      <c r="AR8146" s="77"/>
      <c r="AT8146" s="497">
        <v>42.08</v>
      </c>
      <c r="AV8146" s="42"/>
      <c r="AW8146" s="74"/>
      <c r="AX8146" s="77"/>
      <c r="BA8146" s="497">
        <v>26.060000000000002</v>
      </c>
      <c r="BB8146" s="42"/>
      <c r="BC8146" s="74"/>
      <c r="BD8146" s="77"/>
      <c r="BF8146">
        <v>24.98</v>
      </c>
      <c r="BH8146" s="42"/>
      <c r="BI8146" s="74"/>
      <c r="BJ8146" s="77"/>
      <c r="BL8146" s="497">
        <v>26.060000000000002</v>
      </c>
      <c r="BN8146" s="42"/>
      <c r="BO8146" s="74"/>
      <c r="BP8146" s="77"/>
      <c r="BR8146" s="497">
        <v>39.019999999999996</v>
      </c>
      <c r="BT8146" s="42"/>
    </row>
    <row r="8147" spans="1:72" x14ac:dyDescent="0.25">
      <c r="A8147" s="90">
        <v>35769</v>
      </c>
      <c r="B8147" s="20">
        <v>0.70833333333333337</v>
      </c>
      <c r="D8147">
        <v>28.04</v>
      </c>
      <c r="E8147" t="str">
        <f t="shared" ref="E8147:E8210" si="290">IF(COUNTIF($DI$18:$DI$22, WEEKDAY(A8147))=1, "WEEKDAY", IF(WEEKDAY(A8147) = 1, "SUNDAY", "SATURDAY"))</f>
        <v>WEEKDAY</v>
      </c>
      <c r="F8147" t="e">
        <f t="shared" si="289"/>
        <v>#N/A</v>
      </c>
      <c r="G8147" s="74">
        <v>28464</v>
      </c>
      <c r="H8147" s="77">
        <v>0.70833333333333337</v>
      </c>
      <c r="J8147">
        <v>39.019999999999996</v>
      </c>
      <c r="M8147" s="74">
        <v>36865</v>
      </c>
      <c r="N8147" s="77">
        <v>0.70833333333333337</v>
      </c>
      <c r="P8147">
        <v>37.4</v>
      </c>
      <c r="S8147" s="74">
        <v>35769</v>
      </c>
      <c r="T8147" s="77">
        <v>0.70833333333333337</v>
      </c>
      <c r="V8147">
        <v>39.92</v>
      </c>
      <c r="X8147" s="42"/>
      <c r="AB8147">
        <v>44.3</v>
      </c>
      <c r="AC8147">
        <v>37.4</v>
      </c>
      <c r="AE8147" s="74"/>
      <c r="AF8147" s="77"/>
      <c r="AH8147" s="497">
        <v>42.8</v>
      </c>
      <c r="AJ8147" s="42"/>
      <c r="AK8147" s="74"/>
      <c r="AL8147" s="77"/>
      <c r="AN8147" s="497">
        <v>39.019999999999996</v>
      </c>
      <c r="AP8147" s="42"/>
      <c r="AQ8147" s="74"/>
      <c r="AR8147" s="77"/>
      <c r="AT8147" s="497">
        <v>39.019999999999996</v>
      </c>
      <c r="AV8147" s="42"/>
      <c r="AW8147" s="74"/>
      <c r="AX8147" s="77"/>
      <c r="BA8147" s="497">
        <v>26.060000000000002</v>
      </c>
      <c r="BB8147" s="42"/>
      <c r="BC8147" s="74"/>
      <c r="BD8147" s="77"/>
      <c r="BF8147">
        <v>24.08</v>
      </c>
      <c r="BH8147" s="42"/>
      <c r="BI8147" s="74"/>
      <c r="BJ8147" s="77"/>
      <c r="BL8147" s="497">
        <v>26.060000000000002</v>
      </c>
      <c r="BN8147" s="42"/>
      <c r="BO8147" s="74"/>
      <c r="BP8147" s="77"/>
      <c r="BR8147" s="497">
        <v>37.04</v>
      </c>
      <c r="BT8147" s="42"/>
    </row>
    <row r="8148" spans="1:72" x14ac:dyDescent="0.25">
      <c r="A8148" s="90">
        <v>35769</v>
      </c>
      <c r="B8148" s="20">
        <v>0.75</v>
      </c>
      <c r="D8148">
        <v>28.94</v>
      </c>
      <c r="E8148" t="str">
        <f t="shared" si="290"/>
        <v>WEEKDAY</v>
      </c>
      <c r="F8148" t="e">
        <f t="shared" si="289"/>
        <v>#N/A</v>
      </c>
      <c r="G8148" s="74">
        <v>28464</v>
      </c>
      <c r="H8148" s="77">
        <v>0.75</v>
      </c>
      <c r="J8148">
        <v>39.019999999999996</v>
      </c>
      <c r="M8148" s="74">
        <v>36865</v>
      </c>
      <c r="N8148" s="77">
        <v>0.75</v>
      </c>
      <c r="P8148">
        <v>37.4</v>
      </c>
      <c r="S8148" s="74">
        <v>35769</v>
      </c>
      <c r="T8148" s="77">
        <v>0.75</v>
      </c>
      <c r="V8148">
        <v>39.92</v>
      </c>
      <c r="X8148" s="42"/>
      <c r="AB8148">
        <v>43.2</v>
      </c>
      <c r="AC8148">
        <v>37.4</v>
      </c>
      <c r="AE8148" s="74"/>
      <c r="AF8148" s="77"/>
      <c r="AH8148" s="497">
        <v>39.200000000000003</v>
      </c>
      <c r="AJ8148" s="42"/>
      <c r="AK8148" s="74"/>
      <c r="AL8148" s="77"/>
      <c r="AN8148" s="497">
        <v>35.96</v>
      </c>
      <c r="AP8148" s="42"/>
      <c r="AQ8148" s="74"/>
      <c r="AR8148" s="77"/>
      <c r="AT8148" s="497">
        <v>36.14</v>
      </c>
      <c r="AV8148" s="42"/>
      <c r="AW8148" s="74"/>
      <c r="AX8148" s="77"/>
      <c r="BA8148" s="497">
        <v>26.060000000000002</v>
      </c>
      <c r="BB8148" s="42"/>
      <c r="BC8148" s="74"/>
      <c r="BD8148" s="77"/>
      <c r="BF8148">
        <v>24.08</v>
      </c>
      <c r="BH8148" s="42"/>
      <c r="BI8148" s="74"/>
      <c r="BJ8148" s="77"/>
      <c r="BL8148" s="497">
        <v>26.96</v>
      </c>
      <c r="BN8148" s="42"/>
      <c r="BO8148" s="74"/>
      <c r="BP8148" s="77"/>
      <c r="BR8148" s="497">
        <v>37.04</v>
      </c>
      <c r="BT8148" s="42"/>
    </row>
    <row r="8149" spans="1:72" x14ac:dyDescent="0.25">
      <c r="A8149" s="90">
        <v>35769</v>
      </c>
      <c r="B8149" s="20">
        <v>0.79166666666666663</v>
      </c>
      <c r="D8149">
        <v>26.96</v>
      </c>
      <c r="E8149" t="str">
        <f t="shared" si="290"/>
        <v>WEEKDAY</v>
      </c>
      <c r="F8149" t="e">
        <f t="shared" si="289"/>
        <v>#N/A</v>
      </c>
      <c r="G8149" s="74">
        <v>28464</v>
      </c>
      <c r="H8149" s="77">
        <v>0.79166666666666663</v>
      </c>
      <c r="J8149">
        <v>39.019999999999996</v>
      </c>
      <c r="M8149" s="74">
        <v>36865</v>
      </c>
      <c r="N8149" s="77">
        <v>0.79166666666666663</v>
      </c>
      <c r="P8149">
        <v>37.4</v>
      </c>
      <c r="S8149" s="74">
        <v>35769</v>
      </c>
      <c r="T8149" s="77">
        <v>0.79166666666666663</v>
      </c>
      <c r="V8149">
        <v>39.019999999999996</v>
      </c>
      <c r="X8149" s="42"/>
      <c r="AB8149">
        <v>42.8</v>
      </c>
      <c r="AC8149">
        <v>37.4</v>
      </c>
      <c r="AE8149" s="74"/>
      <c r="AF8149" s="77"/>
      <c r="AH8149" s="497">
        <v>37.4</v>
      </c>
      <c r="AJ8149" s="42"/>
      <c r="AK8149" s="74"/>
      <c r="AL8149" s="77"/>
      <c r="AN8149" s="497">
        <v>35.96</v>
      </c>
      <c r="AP8149" s="42"/>
      <c r="AQ8149" s="74"/>
      <c r="AR8149" s="77"/>
      <c r="AT8149" s="497">
        <v>33.08</v>
      </c>
      <c r="AV8149" s="42"/>
      <c r="AW8149" s="74"/>
      <c r="AX8149" s="77"/>
      <c r="BA8149" s="497">
        <v>26.060000000000002</v>
      </c>
      <c r="BB8149" s="42"/>
      <c r="BC8149" s="74"/>
      <c r="BD8149" s="77"/>
      <c r="BF8149">
        <v>24.08</v>
      </c>
      <c r="BH8149" s="42"/>
      <c r="BI8149" s="74"/>
      <c r="BJ8149" s="77"/>
      <c r="BL8149" s="497">
        <v>26.96</v>
      </c>
      <c r="BN8149" s="42"/>
      <c r="BO8149" s="74"/>
      <c r="BP8149" s="77"/>
      <c r="BR8149" s="497">
        <v>37.94</v>
      </c>
      <c r="BT8149" s="42"/>
    </row>
    <row r="8150" spans="1:72" x14ac:dyDescent="0.25">
      <c r="A8150" s="90">
        <v>35769</v>
      </c>
      <c r="B8150" s="20">
        <v>0.83333333333333337</v>
      </c>
      <c r="D8150">
        <v>28.04</v>
      </c>
      <c r="E8150" t="str">
        <f t="shared" si="290"/>
        <v>WEEKDAY</v>
      </c>
      <c r="F8150" t="e">
        <f t="shared" si="289"/>
        <v>#N/A</v>
      </c>
      <c r="G8150" s="74">
        <v>28464</v>
      </c>
      <c r="H8150" s="77">
        <v>0.83333333333333337</v>
      </c>
      <c r="J8150">
        <v>39.019999999999996</v>
      </c>
      <c r="M8150" s="74">
        <v>36865</v>
      </c>
      <c r="N8150" s="77">
        <v>0.83333333333333337</v>
      </c>
      <c r="P8150">
        <v>35.6</v>
      </c>
      <c r="S8150" s="74">
        <v>35769</v>
      </c>
      <c r="T8150" s="77">
        <v>0.83333333333333337</v>
      </c>
      <c r="V8150">
        <v>39.019999999999996</v>
      </c>
      <c r="X8150" s="42"/>
      <c r="AB8150">
        <v>42.5</v>
      </c>
      <c r="AC8150">
        <v>37.4</v>
      </c>
      <c r="AE8150" s="74"/>
      <c r="AF8150" s="77"/>
      <c r="AH8150" s="497">
        <v>35.6</v>
      </c>
      <c r="AJ8150" s="42"/>
      <c r="AK8150" s="74"/>
      <c r="AL8150" s="77"/>
      <c r="AN8150" s="497">
        <v>35.06</v>
      </c>
      <c r="AP8150" s="42"/>
      <c r="AQ8150" s="74"/>
      <c r="AR8150" s="77"/>
      <c r="AT8150" s="497">
        <v>34.700000000000003</v>
      </c>
      <c r="AV8150" s="42"/>
      <c r="AW8150" s="74"/>
      <c r="AX8150" s="77"/>
      <c r="BA8150" s="497">
        <v>26.42</v>
      </c>
      <c r="BB8150" s="42"/>
      <c r="BC8150" s="74"/>
      <c r="BD8150" s="77"/>
      <c r="BF8150">
        <v>24.98</v>
      </c>
      <c r="BH8150" s="42"/>
      <c r="BI8150" s="74"/>
      <c r="BJ8150" s="77"/>
      <c r="BL8150" s="497">
        <v>28.04</v>
      </c>
      <c r="BN8150" s="42"/>
      <c r="BO8150" s="74"/>
      <c r="BP8150" s="77"/>
      <c r="BR8150" s="497">
        <v>37.94</v>
      </c>
      <c r="BT8150" s="42"/>
    </row>
    <row r="8151" spans="1:72" x14ac:dyDescent="0.25">
      <c r="A8151" s="90">
        <v>35769</v>
      </c>
      <c r="B8151" s="20">
        <v>0.875</v>
      </c>
      <c r="D8151">
        <v>30.02</v>
      </c>
      <c r="E8151" t="str">
        <f t="shared" si="290"/>
        <v>WEEKDAY</v>
      </c>
      <c r="F8151" t="e">
        <f t="shared" si="289"/>
        <v>#N/A</v>
      </c>
      <c r="G8151" s="74">
        <v>28464</v>
      </c>
      <c r="H8151" s="77">
        <v>0.875</v>
      </c>
      <c r="J8151">
        <v>39.019999999999996</v>
      </c>
      <c r="M8151" s="74">
        <v>36865</v>
      </c>
      <c r="N8151" s="77">
        <v>0.875</v>
      </c>
      <c r="P8151">
        <v>33.799999999999997</v>
      </c>
      <c r="S8151" s="74">
        <v>35769</v>
      </c>
      <c r="T8151" s="77">
        <v>0.875</v>
      </c>
      <c r="V8151">
        <v>37.94</v>
      </c>
      <c r="X8151" s="42"/>
      <c r="AB8151">
        <v>42</v>
      </c>
      <c r="AC8151">
        <v>37.4</v>
      </c>
      <c r="AE8151" s="74"/>
      <c r="AF8151" s="77"/>
      <c r="AH8151" s="497">
        <v>30.2</v>
      </c>
      <c r="AJ8151" s="42"/>
      <c r="AK8151" s="74"/>
      <c r="AL8151" s="77"/>
      <c r="AN8151" s="497">
        <v>35.96</v>
      </c>
      <c r="AP8151" s="42"/>
      <c r="AQ8151" s="74"/>
      <c r="AR8151" s="77"/>
      <c r="AT8151" s="497">
        <v>36.32</v>
      </c>
      <c r="AV8151" s="42"/>
      <c r="AW8151" s="74"/>
      <c r="AX8151" s="77"/>
      <c r="BA8151" s="497">
        <v>26.6</v>
      </c>
      <c r="BB8151" s="42"/>
      <c r="BC8151" s="74"/>
      <c r="BD8151" s="77"/>
      <c r="BF8151">
        <v>24.98</v>
      </c>
      <c r="BH8151" s="42"/>
      <c r="BI8151" s="74"/>
      <c r="BJ8151" s="77"/>
      <c r="BL8151" s="497">
        <v>28.04</v>
      </c>
      <c r="BN8151" s="42"/>
      <c r="BO8151" s="74"/>
      <c r="BP8151" s="77"/>
      <c r="BR8151" s="497">
        <v>37.04</v>
      </c>
      <c r="BT8151" s="42"/>
    </row>
    <row r="8152" spans="1:72" x14ac:dyDescent="0.25">
      <c r="A8152" s="90">
        <v>35769</v>
      </c>
      <c r="B8152" s="20">
        <v>0.91666666666666663</v>
      </c>
      <c r="D8152">
        <v>32</v>
      </c>
      <c r="E8152" t="str">
        <f t="shared" si="290"/>
        <v>WEEKDAY</v>
      </c>
      <c r="F8152" t="e">
        <f t="shared" si="289"/>
        <v>#N/A</v>
      </c>
      <c r="G8152" s="74">
        <v>28464</v>
      </c>
      <c r="H8152" s="77">
        <v>0.91666666666666663</v>
      </c>
      <c r="J8152">
        <v>39.92</v>
      </c>
      <c r="M8152" s="74">
        <v>36865</v>
      </c>
      <c r="N8152" s="77">
        <v>0.91666666666666663</v>
      </c>
      <c r="P8152">
        <v>32</v>
      </c>
      <c r="S8152" s="74">
        <v>35769</v>
      </c>
      <c r="T8152" s="77">
        <v>0.91666666666666663</v>
      </c>
      <c r="V8152">
        <v>35.96</v>
      </c>
      <c r="X8152" s="42"/>
      <c r="AB8152">
        <v>41.4</v>
      </c>
      <c r="AC8152">
        <v>37.4</v>
      </c>
      <c r="AE8152" s="74"/>
      <c r="AF8152" s="77"/>
      <c r="AH8152" s="497">
        <v>28.4</v>
      </c>
      <c r="AJ8152" s="42"/>
      <c r="AK8152" s="74"/>
      <c r="AL8152" s="77"/>
      <c r="AN8152" s="497">
        <v>35.96</v>
      </c>
      <c r="AP8152" s="42"/>
      <c r="AQ8152" s="74"/>
      <c r="AR8152" s="77"/>
      <c r="AT8152" s="497">
        <v>37.94</v>
      </c>
      <c r="AV8152" s="42"/>
      <c r="AW8152" s="74"/>
      <c r="AX8152" s="77"/>
      <c r="BA8152" s="497">
        <v>26.96</v>
      </c>
      <c r="BB8152" s="42"/>
      <c r="BC8152" s="74"/>
      <c r="BD8152" s="77"/>
      <c r="BF8152">
        <v>24.98</v>
      </c>
      <c r="BH8152" s="42"/>
      <c r="BI8152" s="74"/>
      <c r="BJ8152" s="77"/>
      <c r="BL8152" s="497">
        <v>28.04</v>
      </c>
      <c r="BN8152" s="42"/>
      <c r="BO8152" s="74"/>
      <c r="BP8152" s="77"/>
      <c r="BR8152" s="497">
        <v>35.06</v>
      </c>
      <c r="BT8152" s="42"/>
    </row>
    <row r="8153" spans="1:72" x14ac:dyDescent="0.25">
      <c r="A8153" s="90">
        <v>35769</v>
      </c>
      <c r="B8153" s="20">
        <v>0.95833333333333337</v>
      </c>
      <c r="D8153">
        <v>30.92</v>
      </c>
      <c r="E8153" t="str">
        <f t="shared" si="290"/>
        <v>WEEKDAY</v>
      </c>
      <c r="F8153" t="e">
        <f t="shared" si="289"/>
        <v>#N/A</v>
      </c>
      <c r="G8153" s="74">
        <v>28464</v>
      </c>
      <c r="H8153" s="77">
        <v>0.95833333333333337</v>
      </c>
      <c r="J8153">
        <v>39.92</v>
      </c>
      <c r="M8153" s="74">
        <v>36865</v>
      </c>
      <c r="N8153" s="77">
        <v>0.95833333333333337</v>
      </c>
      <c r="P8153">
        <v>30.2</v>
      </c>
      <c r="S8153" s="74">
        <v>35769</v>
      </c>
      <c r="T8153" s="77">
        <v>0.95833333333333337</v>
      </c>
      <c r="V8153">
        <v>35.96</v>
      </c>
      <c r="X8153" s="42"/>
      <c r="AB8153">
        <v>41</v>
      </c>
      <c r="AC8153">
        <v>35.6</v>
      </c>
      <c r="AE8153" s="74"/>
      <c r="AF8153" s="77"/>
      <c r="AH8153" s="497">
        <v>30.2</v>
      </c>
      <c r="AJ8153" s="42"/>
      <c r="AK8153" s="74"/>
      <c r="AL8153" s="77"/>
      <c r="AN8153" s="497">
        <v>35.96</v>
      </c>
      <c r="AP8153" s="42"/>
      <c r="AQ8153" s="74"/>
      <c r="AR8153" s="77"/>
      <c r="AT8153" s="497">
        <v>37.04</v>
      </c>
      <c r="AV8153" s="42"/>
      <c r="AW8153" s="74"/>
      <c r="AX8153" s="77"/>
      <c r="BA8153" s="497">
        <v>27.32</v>
      </c>
      <c r="BB8153" s="42"/>
      <c r="BC8153" s="74"/>
      <c r="BD8153" s="77"/>
      <c r="BF8153">
        <v>24.98</v>
      </c>
      <c r="BH8153" s="42"/>
      <c r="BI8153" s="74"/>
      <c r="BJ8153" s="77"/>
      <c r="BL8153" s="497">
        <v>28.94</v>
      </c>
      <c r="BN8153" s="42"/>
      <c r="BO8153" s="74"/>
      <c r="BP8153" s="77"/>
      <c r="BR8153" s="497">
        <v>35.96</v>
      </c>
      <c r="BT8153" s="42"/>
    </row>
    <row r="8154" spans="1:72" x14ac:dyDescent="0.25">
      <c r="A8154" s="90">
        <v>35769</v>
      </c>
      <c r="B8154" s="20">
        <v>1</v>
      </c>
      <c r="D8154">
        <v>30.02</v>
      </c>
      <c r="E8154" t="str">
        <f t="shared" si="290"/>
        <v>WEEKDAY</v>
      </c>
      <c r="F8154" t="e">
        <f t="shared" si="289"/>
        <v>#N/A</v>
      </c>
      <c r="G8154" s="74">
        <v>28464</v>
      </c>
      <c r="H8154" s="77">
        <v>1</v>
      </c>
      <c r="J8154">
        <v>39.92</v>
      </c>
      <c r="M8154" s="74">
        <v>36865</v>
      </c>
      <c r="N8154" s="80">
        <v>1</v>
      </c>
      <c r="P8154">
        <v>28.4</v>
      </c>
      <c r="S8154" s="74">
        <v>35769</v>
      </c>
      <c r="T8154" s="80">
        <v>1</v>
      </c>
      <c r="V8154">
        <v>35.96</v>
      </c>
      <c r="X8154" s="42"/>
      <c r="AB8154">
        <v>40.5</v>
      </c>
      <c r="AC8154">
        <v>35.6</v>
      </c>
      <c r="AE8154" s="74"/>
      <c r="AF8154" s="80"/>
      <c r="AH8154" s="497">
        <v>28.4</v>
      </c>
      <c r="AJ8154" s="42"/>
      <c r="AK8154" s="74"/>
      <c r="AL8154" s="80"/>
      <c r="AN8154" s="497">
        <v>37.04</v>
      </c>
      <c r="AP8154" s="42"/>
      <c r="AQ8154" s="74"/>
      <c r="AR8154" s="80"/>
      <c r="AT8154" s="497">
        <v>35.96</v>
      </c>
      <c r="AV8154" s="42"/>
      <c r="AW8154" s="74"/>
      <c r="AX8154" s="80"/>
      <c r="BA8154" s="497">
        <v>27.68</v>
      </c>
      <c r="BB8154" s="42"/>
      <c r="BC8154" s="74"/>
      <c r="BD8154" s="80"/>
      <c r="BF8154">
        <v>26.060000000000002</v>
      </c>
      <c r="BH8154" s="42"/>
      <c r="BI8154" s="74"/>
      <c r="BJ8154" s="80"/>
      <c r="BL8154" s="497">
        <v>28.94</v>
      </c>
      <c r="BN8154" s="42"/>
      <c r="BO8154" s="74"/>
      <c r="BP8154" s="80"/>
      <c r="BR8154" s="497">
        <v>37.04</v>
      </c>
      <c r="BT8154" s="42"/>
    </row>
    <row r="8155" spans="1:72" x14ac:dyDescent="0.25">
      <c r="A8155" s="90">
        <v>35770</v>
      </c>
      <c r="B8155" s="20">
        <v>4.1666666666666664E-2</v>
      </c>
      <c r="D8155">
        <v>30.02</v>
      </c>
      <c r="E8155" t="str">
        <f t="shared" si="290"/>
        <v>SATURDAY</v>
      </c>
      <c r="F8155" t="e">
        <f t="shared" si="289"/>
        <v>#N/A</v>
      </c>
      <c r="G8155" s="74">
        <v>28465</v>
      </c>
      <c r="H8155" s="77">
        <v>4.1666666666666664E-2</v>
      </c>
      <c r="J8155">
        <v>39.92</v>
      </c>
      <c r="M8155" s="74">
        <v>36866</v>
      </c>
      <c r="N8155" s="77">
        <v>4.1666666666666664E-2</v>
      </c>
      <c r="P8155">
        <v>26.6</v>
      </c>
      <c r="S8155" s="74">
        <v>35770</v>
      </c>
      <c r="T8155" s="77">
        <v>4.1666666666666664E-2</v>
      </c>
      <c r="V8155">
        <v>33.979999999999997</v>
      </c>
      <c r="X8155" s="42"/>
      <c r="AB8155">
        <v>40.1</v>
      </c>
      <c r="AC8155">
        <v>33.799999999999997</v>
      </c>
      <c r="AE8155" s="74"/>
      <c r="AF8155" s="77"/>
      <c r="AH8155" s="497">
        <v>26.6</v>
      </c>
      <c r="AJ8155" s="42"/>
      <c r="AK8155" s="74"/>
      <c r="AL8155" s="77"/>
      <c r="AN8155" s="497">
        <v>37.04</v>
      </c>
      <c r="AP8155" s="42"/>
      <c r="AQ8155" s="74"/>
      <c r="AR8155" s="77"/>
      <c r="AT8155" s="497">
        <v>35.06</v>
      </c>
      <c r="AV8155" s="42"/>
      <c r="AW8155" s="74"/>
      <c r="AX8155" s="77"/>
      <c r="BA8155" s="497">
        <v>28.04</v>
      </c>
      <c r="BB8155" s="42"/>
      <c r="BC8155" s="74"/>
      <c r="BD8155" s="77"/>
      <c r="BF8155">
        <v>26.060000000000002</v>
      </c>
      <c r="BH8155" s="42"/>
      <c r="BI8155" s="74"/>
      <c r="BJ8155" s="77"/>
      <c r="BL8155" s="497">
        <v>28.94</v>
      </c>
      <c r="BN8155" s="42"/>
      <c r="BO8155" s="74"/>
      <c r="BP8155" s="77"/>
      <c r="BR8155" s="497">
        <v>37.04</v>
      </c>
      <c r="BT8155" s="42"/>
    </row>
    <row r="8156" spans="1:72" x14ac:dyDescent="0.25">
      <c r="A8156" s="90">
        <v>35770</v>
      </c>
      <c r="B8156" s="20">
        <v>8.3333333333333329E-2</v>
      </c>
      <c r="D8156">
        <v>28.94</v>
      </c>
      <c r="E8156" t="str">
        <f t="shared" si="290"/>
        <v>SATURDAY</v>
      </c>
      <c r="F8156" t="e">
        <f t="shared" si="289"/>
        <v>#N/A</v>
      </c>
      <c r="G8156" s="74">
        <v>28465</v>
      </c>
      <c r="H8156" s="77">
        <v>8.3333333333333329E-2</v>
      </c>
      <c r="J8156">
        <v>39.019999999999996</v>
      </c>
      <c r="M8156" s="74">
        <v>36866</v>
      </c>
      <c r="N8156" s="77">
        <v>8.3333333333333329E-2</v>
      </c>
      <c r="P8156">
        <v>26.6</v>
      </c>
      <c r="S8156" s="74">
        <v>35770</v>
      </c>
      <c r="T8156" s="77">
        <v>8.3333333333333329E-2</v>
      </c>
      <c r="V8156">
        <v>33.979999999999997</v>
      </c>
      <c r="X8156" s="42"/>
      <c r="AB8156">
        <v>39.6</v>
      </c>
      <c r="AC8156">
        <v>32</v>
      </c>
      <c r="AE8156" s="74"/>
      <c r="AF8156" s="77"/>
      <c r="AH8156" s="497">
        <v>26.6</v>
      </c>
      <c r="AJ8156" s="42"/>
      <c r="AK8156" s="74"/>
      <c r="AL8156" s="77"/>
      <c r="AN8156" s="497">
        <v>35.96</v>
      </c>
      <c r="AP8156" s="42"/>
      <c r="AQ8156" s="74"/>
      <c r="AR8156" s="77"/>
      <c r="AT8156" s="497">
        <v>35.06</v>
      </c>
      <c r="AV8156" s="42"/>
      <c r="AW8156" s="74"/>
      <c r="AX8156" s="77"/>
      <c r="BA8156" s="497">
        <v>28.4</v>
      </c>
      <c r="BB8156" s="42"/>
      <c r="BC8156" s="74"/>
      <c r="BD8156" s="77"/>
      <c r="BF8156">
        <v>26.060000000000002</v>
      </c>
      <c r="BH8156" s="42"/>
      <c r="BI8156" s="74"/>
      <c r="BJ8156" s="77"/>
      <c r="BL8156" s="497">
        <v>28.04</v>
      </c>
      <c r="BN8156" s="42"/>
      <c r="BO8156" s="74"/>
      <c r="BP8156" s="77"/>
      <c r="BR8156" s="497">
        <v>35.96</v>
      </c>
      <c r="BT8156" s="42"/>
    </row>
    <row r="8157" spans="1:72" x14ac:dyDescent="0.25">
      <c r="A8157" s="90">
        <v>35770</v>
      </c>
      <c r="B8157" s="20">
        <v>0.125</v>
      </c>
      <c r="D8157">
        <v>28.94</v>
      </c>
      <c r="E8157" t="str">
        <f t="shared" si="290"/>
        <v>SATURDAY</v>
      </c>
      <c r="F8157" t="e">
        <f t="shared" si="289"/>
        <v>#N/A</v>
      </c>
      <c r="G8157" s="74">
        <v>28465</v>
      </c>
      <c r="H8157" s="77">
        <v>0.125</v>
      </c>
      <c r="J8157">
        <v>37.04</v>
      </c>
      <c r="M8157" s="74">
        <v>36866</v>
      </c>
      <c r="N8157" s="77">
        <v>0.125</v>
      </c>
      <c r="P8157">
        <v>24.8</v>
      </c>
      <c r="S8157" s="74">
        <v>35770</v>
      </c>
      <c r="T8157" s="77">
        <v>0.125</v>
      </c>
      <c r="V8157">
        <v>33.08</v>
      </c>
      <c r="X8157" s="42"/>
      <c r="AB8157">
        <v>39.200000000000003</v>
      </c>
      <c r="AC8157">
        <v>32</v>
      </c>
      <c r="AE8157" s="74"/>
      <c r="AF8157" s="77"/>
      <c r="AH8157" s="497">
        <v>24.8</v>
      </c>
      <c r="AJ8157" s="42"/>
      <c r="AK8157" s="74"/>
      <c r="AL8157" s="77"/>
      <c r="AN8157" s="497">
        <v>35.96</v>
      </c>
      <c r="AP8157" s="42"/>
      <c r="AQ8157" s="74"/>
      <c r="AR8157" s="77"/>
      <c r="AT8157" s="497">
        <v>35.06</v>
      </c>
      <c r="AV8157" s="42"/>
      <c r="AW8157" s="74"/>
      <c r="AX8157" s="77"/>
      <c r="BA8157" s="497">
        <v>28.58</v>
      </c>
      <c r="BB8157" s="42"/>
      <c r="BC8157" s="74"/>
      <c r="BD8157" s="77"/>
      <c r="BF8157">
        <v>26.060000000000002</v>
      </c>
      <c r="BH8157" s="42"/>
      <c r="BI8157" s="74"/>
      <c r="BJ8157" s="77"/>
      <c r="BL8157" s="497">
        <v>28.04</v>
      </c>
      <c r="BN8157" s="42"/>
      <c r="BO8157" s="74"/>
      <c r="BP8157" s="77"/>
      <c r="BR8157" s="497">
        <v>37.04</v>
      </c>
      <c r="BT8157" s="42"/>
    </row>
    <row r="8158" spans="1:72" x14ac:dyDescent="0.25">
      <c r="A8158" s="90">
        <v>35770</v>
      </c>
      <c r="B8158" s="20">
        <v>0.16666666666666666</v>
      </c>
      <c r="D8158">
        <v>28.94</v>
      </c>
      <c r="E8158" t="str">
        <f t="shared" si="290"/>
        <v>SATURDAY</v>
      </c>
      <c r="F8158" t="e">
        <f t="shared" si="289"/>
        <v>#N/A</v>
      </c>
      <c r="G8158" s="74">
        <v>28465</v>
      </c>
      <c r="H8158" s="77">
        <v>0.16666666666666666</v>
      </c>
      <c r="J8158">
        <v>37.04</v>
      </c>
      <c r="M8158" s="74">
        <v>36866</v>
      </c>
      <c r="N8158" s="77">
        <v>0.16666666666666666</v>
      </c>
      <c r="P8158">
        <v>24.8</v>
      </c>
      <c r="S8158" s="74">
        <v>35770</v>
      </c>
      <c r="T8158" s="77">
        <v>0.16666666666666666</v>
      </c>
      <c r="V8158">
        <v>33.08</v>
      </c>
      <c r="X8158" s="42"/>
      <c r="AB8158">
        <v>38.9</v>
      </c>
      <c r="AC8158">
        <v>32</v>
      </c>
      <c r="AE8158" s="74"/>
      <c r="AF8158" s="77"/>
      <c r="AH8158" s="497">
        <v>24.8</v>
      </c>
      <c r="AJ8158" s="42"/>
      <c r="AK8158" s="74"/>
      <c r="AL8158" s="77"/>
      <c r="AN8158" s="497">
        <v>33.08</v>
      </c>
      <c r="AP8158" s="42"/>
      <c r="AQ8158" s="74"/>
      <c r="AR8158" s="77"/>
      <c r="AT8158" s="497">
        <v>35.06</v>
      </c>
      <c r="AV8158" s="42"/>
      <c r="AW8158" s="74"/>
      <c r="AX8158" s="77"/>
      <c r="BA8158" s="497">
        <v>28.94</v>
      </c>
      <c r="BB8158" s="42"/>
      <c r="BC8158" s="74"/>
      <c r="BD8158" s="77"/>
      <c r="BF8158">
        <v>24.08</v>
      </c>
      <c r="BH8158" s="42"/>
      <c r="BI8158" s="74"/>
      <c r="BJ8158" s="77"/>
      <c r="BL8158" s="497">
        <v>28.04</v>
      </c>
      <c r="BN8158" s="42"/>
      <c r="BO8158" s="74"/>
      <c r="BP8158" s="77"/>
      <c r="BR8158" s="497">
        <v>37.94</v>
      </c>
      <c r="BT8158" s="42"/>
    </row>
    <row r="8159" spans="1:72" x14ac:dyDescent="0.25">
      <c r="A8159" s="90">
        <v>35770</v>
      </c>
      <c r="B8159" s="20">
        <v>0.20833333333333334</v>
      </c>
      <c r="D8159">
        <v>28.94</v>
      </c>
      <c r="E8159" t="str">
        <f t="shared" si="290"/>
        <v>SATURDAY</v>
      </c>
      <c r="F8159" t="e">
        <f t="shared" si="289"/>
        <v>#N/A</v>
      </c>
      <c r="G8159" s="74">
        <v>28465</v>
      </c>
      <c r="H8159" s="77">
        <v>0.20833333333333334</v>
      </c>
      <c r="J8159">
        <v>37.04</v>
      </c>
      <c r="M8159" s="74">
        <v>36866</v>
      </c>
      <c r="N8159" s="77">
        <v>0.20833333333333334</v>
      </c>
      <c r="P8159">
        <v>24.8</v>
      </c>
      <c r="S8159" s="74">
        <v>35770</v>
      </c>
      <c r="T8159" s="77">
        <v>0.20833333333333334</v>
      </c>
      <c r="V8159">
        <v>32</v>
      </c>
      <c r="X8159" s="42"/>
      <c r="AB8159">
        <v>38.5</v>
      </c>
      <c r="AC8159">
        <v>32</v>
      </c>
      <c r="AE8159" s="74"/>
      <c r="AF8159" s="77"/>
      <c r="AH8159" s="497">
        <v>26.6</v>
      </c>
      <c r="AJ8159" s="42"/>
      <c r="AK8159" s="74"/>
      <c r="AL8159" s="77"/>
      <c r="AN8159" s="497">
        <v>35.06</v>
      </c>
      <c r="AP8159" s="42"/>
      <c r="AQ8159" s="74"/>
      <c r="AR8159" s="77"/>
      <c r="AT8159" s="497">
        <v>33.44</v>
      </c>
      <c r="AV8159" s="42"/>
      <c r="AW8159" s="74"/>
      <c r="AX8159" s="77"/>
      <c r="BA8159" s="497">
        <v>29.3</v>
      </c>
      <c r="BB8159" s="42"/>
      <c r="BC8159" s="74"/>
      <c r="BD8159" s="77"/>
      <c r="BF8159">
        <v>23</v>
      </c>
      <c r="BH8159" s="42"/>
      <c r="BI8159" s="74"/>
      <c r="BJ8159" s="77"/>
      <c r="BL8159" s="497">
        <v>28.04</v>
      </c>
      <c r="BN8159" s="42"/>
      <c r="BO8159" s="74"/>
      <c r="BP8159" s="77"/>
      <c r="BR8159" s="497">
        <v>37.04</v>
      </c>
      <c r="BT8159" s="42"/>
    </row>
    <row r="8160" spans="1:72" x14ac:dyDescent="0.25">
      <c r="A8160" s="90">
        <v>35770</v>
      </c>
      <c r="B8160" s="20">
        <v>0.25</v>
      </c>
      <c r="D8160">
        <v>28.04</v>
      </c>
      <c r="E8160" t="str">
        <f t="shared" si="290"/>
        <v>SATURDAY</v>
      </c>
      <c r="F8160" t="e">
        <f t="shared" si="289"/>
        <v>#N/A</v>
      </c>
      <c r="G8160" s="74">
        <v>28465</v>
      </c>
      <c r="H8160" s="77">
        <v>0.25</v>
      </c>
      <c r="J8160">
        <v>37.04</v>
      </c>
      <c r="M8160" s="74">
        <v>36866</v>
      </c>
      <c r="N8160" s="77">
        <v>0.25</v>
      </c>
      <c r="P8160">
        <v>23</v>
      </c>
      <c r="S8160" s="74">
        <v>35770</v>
      </c>
      <c r="T8160" s="77">
        <v>0.25</v>
      </c>
      <c r="V8160">
        <v>32</v>
      </c>
      <c r="X8160" s="42"/>
      <c r="AB8160">
        <v>38.4</v>
      </c>
      <c r="AC8160">
        <v>32</v>
      </c>
      <c r="AE8160" s="74"/>
      <c r="AF8160" s="77"/>
      <c r="AH8160" s="497">
        <v>24.8</v>
      </c>
      <c r="AJ8160" s="42"/>
      <c r="AK8160" s="74"/>
      <c r="AL8160" s="77"/>
      <c r="AN8160" s="497">
        <v>33.979999999999997</v>
      </c>
      <c r="AP8160" s="42"/>
      <c r="AQ8160" s="74"/>
      <c r="AR8160" s="77"/>
      <c r="AT8160" s="497">
        <v>31.64</v>
      </c>
      <c r="AV8160" s="42"/>
      <c r="AW8160" s="74"/>
      <c r="AX8160" s="77"/>
      <c r="BA8160" s="497">
        <v>29.66</v>
      </c>
      <c r="BB8160" s="42"/>
      <c r="BC8160" s="74"/>
      <c r="BD8160" s="77"/>
      <c r="BF8160">
        <v>24.08</v>
      </c>
      <c r="BH8160" s="42"/>
      <c r="BI8160" s="74"/>
      <c r="BJ8160" s="77"/>
      <c r="BL8160" s="497">
        <v>28.04</v>
      </c>
      <c r="BN8160" s="42"/>
      <c r="BO8160" s="74"/>
      <c r="BP8160" s="77"/>
      <c r="BR8160" s="497">
        <v>37.04</v>
      </c>
      <c r="BT8160" s="42"/>
    </row>
    <row r="8161" spans="1:72" x14ac:dyDescent="0.25">
      <c r="A8161" s="90">
        <v>35770</v>
      </c>
      <c r="B8161" s="20">
        <v>0.29166666666666669</v>
      </c>
      <c r="D8161">
        <v>28.04</v>
      </c>
      <c r="E8161" t="str">
        <f t="shared" si="290"/>
        <v>SATURDAY</v>
      </c>
      <c r="F8161" t="e">
        <f t="shared" si="289"/>
        <v>#N/A</v>
      </c>
      <c r="G8161" s="74">
        <v>28465</v>
      </c>
      <c r="H8161" s="77">
        <v>0.29166666666666669</v>
      </c>
      <c r="J8161">
        <v>37.04</v>
      </c>
      <c r="M8161" s="74">
        <v>36866</v>
      </c>
      <c r="N8161" s="77">
        <v>0.29166666666666669</v>
      </c>
      <c r="P8161">
        <v>23</v>
      </c>
      <c r="S8161" s="74">
        <v>35770</v>
      </c>
      <c r="T8161" s="77">
        <v>0.29166666666666669</v>
      </c>
      <c r="V8161">
        <v>32</v>
      </c>
      <c r="X8161" s="42"/>
      <c r="AB8161">
        <v>38.299999999999997</v>
      </c>
      <c r="AC8161">
        <v>30.2</v>
      </c>
      <c r="AE8161" s="74"/>
      <c r="AF8161" s="77"/>
      <c r="AH8161" s="497">
        <v>26.6</v>
      </c>
      <c r="AJ8161" s="42"/>
      <c r="AK8161" s="74"/>
      <c r="AL8161" s="77"/>
      <c r="AN8161" s="497">
        <v>33.979999999999997</v>
      </c>
      <c r="AP8161" s="42"/>
      <c r="AQ8161" s="74"/>
      <c r="AR8161" s="77"/>
      <c r="AT8161" s="497">
        <v>30.02</v>
      </c>
      <c r="AV8161" s="42"/>
      <c r="AW8161" s="74"/>
      <c r="AX8161" s="77"/>
      <c r="BA8161" s="497">
        <v>30.02</v>
      </c>
      <c r="BB8161" s="42"/>
      <c r="BC8161" s="74"/>
      <c r="BD8161" s="77"/>
      <c r="BF8161">
        <v>23</v>
      </c>
      <c r="BH8161" s="42"/>
      <c r="BI8161" s="74"/>
      <c r="BJ8161" s="77"/>
      <c r="BL8161" s="497">
        <v>28.04</v>
      </c>
      <c r="BN8161" s="42"/>
      <c r="BO8161" s="74"/>
      <c r="BP8161" s="77"/>
      <c r="BR8161" s="497">
        <v>37.04</v>
      </c>
      <c r="BT8161" s="42"/>
    </row>
    <row r="8162" spans="1:72" x14ac:dyDescent="0.25">
      <c r="A8162" s="90">
        <v>35770</v>
      </c>
      <c r="B8162" s="20">
        <v>0.33333333333333331</v>
      </c>
      <c r="D8162">
        <v>28.04</v>
      </c>
      <c r="E8162" t="str">
        <f t="shared" si="290"/>
        <v>SATURDAY</v>
      </c>
      <c r="F8162" t="e">
        <f t="shared" si="289"/>
        <v>#N/A</v>
      </c>
      <c r="G8162" s="74">
        <v>28465</v>
      </c>
      <c r="H8162" s="77">
        <v>0.33333333333333331</v>
      </c>
      <c r="J8162">
        <v>37.94</v>
      </c>
      <c r="M8162" s="74">
        <v>36866</v>
      </c>
      <c r="N8162" s="77">
        <v>0.33333333333333331</v>
      </c>
      <c r="P8162">
        <v>23</v>
      </c>
      <c r="S8162" s="74">
        <v>35770</v>
      </c>
      <c r="T8162" s="77">
        <v>0.33333333333333331</v>
      </c>
      <c r="V8162">
        <v>33.08</v>
      </c>
      <c r="X8162" s="42"/>
      <c r="AB8162">
        <v>38.299999999999997</v>
      </c>
      <c r="AC8162">
        <v>33.799999999999997</v>
      </c>
      <c r="AE8162" s="74"/>
      <c r="AF8162" s="77"/>
      <c r="AH8162" s="497">
        <v>28.4</v>
      </c>
      <c r="AJ8162" s="42"/>
      <c r="AK8162" s="74"/>
      <c r="AL8162" s="77"/>
      <c r="AN8162" s="497">
        <v>33.979999999999997</v>
      </c>
      <c r="AP8162" s="42"/>
      <c r="AQ8162" s="74"/>
      <c r="AR8162" s="77"/>
      <c r="AT8162" s="497">
        <v>34.340000000000003</v>
      </c>
      <c r="AV8162" s="42"/>
      <c r="AW8162" s="74"/>
      <c r="AX8162" s="77"/>
      <c r="BA8162" s="497">
        <v>30.02</v>
      </c>
      <c r="BB8162" s="42"/>
      <c r="BC8162" s="74"/>
      <c r="BD8162" s="77"/>
      <c r="BF8162">
        <v>23</v>
      </c>
      <c r="BH8162" s="42"/>
      <c r="BI8162" s="74"/>
      <c r="BJ8162" s="77"/>
      <c r="BL8162" s="497">
        <v>28.04</v>
      </c>
      <c r="BN8162" s="42"/>
      <c r="BO8162" s="74"/>
      <c r="BP8162" s="77"/>
      <c r="BR8162" s="497">
        <v>37.04</v>
      </c>
      <c r="BT8162" s="42"/>
    </row>
    <row r="8163" spans="1:72" x14ac:dyDescent="0.25">
      <c r="A8163" s="90">
        <v>35770</v>
      </c>
      <c r="B8163" s="20">
        <v>0.375</v>
      </c>
      <c r="D8163">
        <v>26.060000000000002</v>
      </c>
      <c r="E8163" t="str">
        <f t="shared" si="290"/>
        <v>SATURDAY</v>
      </c>
      <c r="F8163" t="e">
        <f t="shared" si="289"/>
        <v>#N/A</v>
      </c>
      <c r="G8163" s="74">
        <v>28465</v>
      </c>
      <c r="H8163" s="77">
        <v>0.375</v>
      </c>
      <c r="J8163">
        <v>37.04</v>
      </c>
      <c r="M8163" s="74">
        <v>36866</v>
      </c>
      <c r="N8163" s="77">
        <v>0.375</v>
      </c>
      <c r="P8163">
        <v>23</v>
      </c>
      <c r="S8163" s="74">
        <v>35770</v>
      </c>
      <c r="T8163" s="77">
        <v>0.375</v>
      </c>
      <c r="V8163">
        <v>33.979999999999997</v>
      </c>
      <c r="X8163" s="42"/>
      <c r="AB8163">
        <v>39</v>
      </c>
      <c r="AC8163">
        <v>33.799999999999997</v>
      </c>
      <c r="AE8163" s="74"/>
      <c r="AF8163" s="77"/>
      <c r="AH8163" s="497">
        <v>28.4</v>
      </c>
      <c r="AJ8163" s="42"/>
      <c r="AK8163" s="74"/>
      <c r="AL8163" s="77"/>
      <c r="AN8163" s="497">
        <v>37.94</v>
      </c>
      <c r="AP8163" s="42"/>
      <c r="AQ8163" s="74"/>
      <c r="AR8163" s="77"/>
      <c r="AT8163" s="497">
        <v>38.659999999999997</v>
      </c>
      <c r="AV8163" s="42"/>
      <c r="AW8163" s="74"/>
      <c r="AX8163" s="77"/>
      <c r="BA8163" s="497">
        <v>30.02</v>
      </c>
      <c r="BB8163" s="42"/>
      <c r="BC8163" s="74"/>
      <c r="BD8163" s="77"/>
      <c r="BF8163">
        <v>23</v>
      </c>
      <c r="BH8163" s="42"/>
      <c r="BI8163" s="74"/>
      <c r="BJ8163" s="77"/>
      <c r="BL8163" s="497">
        <v>28.04</v>
      </c>
      <c r="BN8163" s="42"/>
      <c r="BO8163" s="74"/>
      <c r="BP8163" s="77"/>
      <c r="BR8163" s="497">
        <v>37.94</v>
      </c>
      <c r="BT8163" s="42"/>
    </row>
    <row r="8164" spans="1:72" x14ac:dyDescent="0.25">
      <c r="A8164" s="90">
        <v>35770</v>
      </c>
      <c r="B8164" s="20">
        <v>0.41666666666666669</v>
      </c>
      <c r="D8164">
        <v>24.98</v>
      </c>
      <c r="E8164" t="str">
        <f t="shared" si="290"/>
        <v>SATURDAY</v>
      </c>
      <c r="F8164" t="e">
        <f t="shared" si="289"/>
        <v>#N/A</v>
      </c>
      <c r="G8164" s="74">
        <v>28465</v>
      </c>
      <c r="H8164" s="77">
        <v>0.41666666666666669</v>
      </c>
      <c r="J8164">
        <v>37.04</v>
      </c>
      <c r="M8164" s="74">
        <v>36866</v>
      </c>
      <c r="N8164" s="77">
        <v>0.41666666666666669</v>
      </c>
      <c r="P8164">
        <v>24.8</v>
      </c>
      <c r="S8164" s="74">
        <v>35770</v>
      </c>
      <c r="T8164" s="77">
        <v>0.41666666666666669</v>
      </c>
      <c r="V8164">
        <v>35.06</v>
      </c>
      <c r="X8164" s="42"/>
      <c r="AB8164">
        <v>40.5</v>
      </c>
      <c r="AC8164">
        <v>37.4</v>
      </c>
      <c r="AE8164" s="74"/>
      <c r="AF8164" s="77"/>
      <c r="AH8164" s="497">
        <v>30.2</v>
      </c>
      <c r="AJ8164" s="42"/>
      <c r="AK8164" s="74"/>
      <c r="AL8164" s="77"/>
      <c r="AN8164" s="497">
        <v>39.92</v>
      </c>
      <c r="AP8164" s="42"/>
      <c r="AQ8164" s="74"/>
      <c r="AR8164" s="77"/>
      <c r="AT8164" s="497">
        <v>42.980000000000004</v>
      </c>
      <c r="AV8164" s="42"/>
      <c r="AW8164" s="74"/>
      <c r="AX8164" s="77"/>
      <c r="BA8164" s="497">
        <v>30.02</v>
      </c>
      <c r="BB8164" s="42"/>
      <c r="BC8164" s="74"/>
      <c r="BD8164" s="77"/>
      <c r="BF8164">
        <v>23</v>
      </c>
      <c r="BH8164" s="42"/>
      <c r="BI8164" s="74"/>
      <c r="BJ8164" s="77"/>
      <c r="BL8164" s="497">
        <v>28.04</v>
      </c>
      <c r="BN8164" s="42"/>
      <c r="BO8164" s="74"/>
      <c r="BP8164" s="77"/>
      <c r="BR8164" s="497">
        <v>35.06</v>
      </c>
      <c r="BT8164" s="42"/>
    </row>
    <row r="8165" spans="1:72" x14ac:dyDescent="0.25">
      <c r="A8165" s="90">
        <v>35770</v>
      </c>
      <c r="B8165" s="20">
        <v>0.45833333333333331</v>
      </c>
      <c r="D8165">
        <v>24.98</v>
      </c>
      <c r="E8165" t="str">
        <f t="shared" si="290"/>
        <v>SATURDAY</v>
      </c>
      <c r="F8165" t="e">
        <f t="shared" si="289"/>
        <v>#N/A</v>
      </c>
      <c r="G8165" s="74">
        <v>28465</v>
      </c>
      <c r="H8165" s="77">
        <v>0.45833333333333331</v>
      </c>
      <c r="J8165">
        <v>37.04</v>
      </c>
      <c r="M8165" s="74">
        <v>36866</v>
      </c>
      <c r="N8165" s="77">
        <v>0.45833333333333331</v>
      </c>
      <c r="P8165">
        <v>26.6</v>
      </c>
      <c r="S8165" s="74">
        <v>35770</v>
      </c>
      <c r="T8165" s="77">
        <v>0.45833333333333331</v>
      </c>
      <c r="V8165">
        <v>37.04</v>
      </c>
      <c r="X8165" s="42"/>
      <c r="AB8165">
        <v>42</v>
      </c>
      <c r="AC8165">
        <v>37.4</v>
      </c>
      <c r="AE8165" s="74"/>
      <c r="AF8165" s="77"/>
      <c r="AH8165" s="497">
        <v>32</v>
      </c>
      <c r="AJ8165" s="42"/>
      <c r="AK8165" s="74"/>
      <c r="AL8165" s="77"/>
      <c r="AN8165" s="497">
        <v>42.980000000000004</v>
      </c>
      <c r="AP8165" s="42"/>
      <c r="AQ8165" s="74"/>
      <c r="AR8165" s="77"/>
      <c r="AT8165" s="497">
        <v>46.04</v>
      </c>
      <c r="AV8165" s="42"/>
      <c r="AW8165" s="74"/>
      <c r="AX8165" s="77"/>
      <c r="BA8165" s="497">
        <v>30.02</v>
      </c>
      <c r="BB8165" s="42"/>
      <c r="BC8165" s="74"/>
      <c r="BD8165" s="77"/>
      <c r="BF8165">
        <v>24.08</v>
      </c>
      <c r="BH8165" s="42"/>
      <c r="BI8165" s="74"/>
      <c r="BJ8165" s="77"/>
      <c r="BL8165" s="497">
        <v>26.96</v>
      </c>
      <c r="BN8165" s="42"/>
      <c r="BO8165" s="74"/>
      <c r="BP8165" s="77"/>
      <c r="BR8165" s="497">
        <v>42.08</v>
      </c>
      <c r="BT8165" s="42"/>
    </row>
    <row r="8166" spans="1:72" x14ac:dyDescent="0.25">
      <c r="A8166" s="90">
        <v>35770</v>
      </c>
      <c r="B8166" s="20">
        <v>0.5</v>
      </c>
      <c r="D8166">
        <v>26.060000000000002</v>
      </c>
      <c r="E8166" t="str">
        <f t="shared" si="290"/>
        <v>SATURDAY</v>
      </c>
      <c r="F8166" t="e">
        <f t="shared" si="289"/>
        <v>#N/A</v>
      </c>
      <c r="G8166" s="74">
        <v>28465</v>
      </c>
      <c r="H8166" s="77">
        <v>0.5</v>
      </c>
      <c r="J8166">
        <v>37.04</v>
      </c>
      <c r="M8166" s="74">
        <v>36866</v>
      </c>
      <c r="N8166" s="77">
        <v>0.5</v>
      </c>
      <c r="P8166">
        <v>26.6</v>
      </c>
      <c r="S8166" s="74">
        <v>35770</v>
      </c>
      <c r="T8166" s="77">
        <v>0.5</v>
      </c>
      <c r="V8166">
        <v>37.94</v>
      </c>
      <c r="X8166" s="42"/>
      <c r="AB8166">
        <v>43.3</v>
      </c>
      <c r="AC8166">
        <v>39.200000000000003</v>
      </c>
      <c r="AE8166" s="74"/>
      <c r="AF8166" s="77"/>
      <c r="AH8166" s="497">
        <v>33.799999999999997</v>
      </c>
      <c r="AJ8166" s="42"/>
      <c r="AK8166" s="74"/>
      <c r="AL8166" s="77"/>
      <c r="AN8166" s="497">
        <v>46.04</v>
      </c>
      <c r="AP8166" s="42"/>
      <c r="AQ8166" s="74"/>
      <c r="AR8166" s="77"/>
      <c r="AT8166" s="497">
        <v>48.92</v>
      </c>
      <c r="AV8166" s="42"/>
      <c r="AW8166" s="74"/>
      <c r="AX8166" s="77"/>
      <c r="BA8166" s="497">
        <v>30.02</v>
      </c>
      <c r="BB8166" s="42"/>
      <c r="BC8166" s="74"/>
      <c r="BD8166" s="77"/>
      <c r="BF8166">
        <v>24.08</v>
      </c>
      <c r="BH8166" s="42"/>
      <c r="BI8166" s="74"/>
      <c r="BJ8166" s="77"/>
      <c r="BL8166" s="497">
        <v>26.96</v>
      </c>
      <c r="BN8166" s="42"/>
      <c r="BO8166" s="74"/>
      <c r="BP8166" s="77"/>
      <c r="BR8166" s="497">
        <v>42.08</v>
      </c>
      <c r="BT8166" s="42"/>
    </row>
    <row r="8167" spans="1:72" x14ac:dyDescent="0.25">
      <c r="A8167" s="90">
        <v>35770</v>
      </c>
      <c r="B8167" s="20">
        <v>0.54166666666666663</v>
      </c>
      <c r="D8167">
        <v>24.98</v>
      </c>
      <c r="E8167" t="str">
        <f t="shared" si="290"/>
        <v>SATURDAY</v>
      </c>
      <c r="F8167" t="e">
        <f t="shared" si="289"/>
        <v>#N/A</v>
      </c>
      <c r="G8167" s="74">
        <v>28465</v>
      </c>
      <c r="H8167" s="77">
        <v>0.54166666666666663</v>
      </c>
      <c r="J8167">
        <v>35.96</v>
      </c>
      <c r="M8167" s="74">
        <v>36866</v>
      </c>
      <c r="N8167" s="77">
        <v>0.54166666666666663</v>
      </c>
      <c r="P8167">
        <v>28.4</v>
      </c>
      <c r="S8167" s="74">
        <v>35770</v>
      </c>
      <c r="T8167" s="77">
        <v>0.54166666666666663</v>
      </c>
      <c r="V8167">
        <v>37.94</v>
      </c>
      <c r="X8167" s="42"/>
      <c r="AB8167">
        <v>44.2</v>
      </c>
      <c r="AC8167">
        <v>41</v>
      </c>
      <c r="AE8167" s="74"/>
      <c r="AF8167" s="77"/>
      <c r="AH8167" s="497">
        <v>30.2</v>
      </c>
      <c r="AJ8167" s="42"/>
      <c r="AK8167" s="74"/>
      <c r="AL8167" s="77"/>
      <c r="AN8167" s="497">
        <v>39.92</v>
      </c>
      <c r="AP8167" s="42"/>
      <c r="AQ8167" s="74"/>
      <c r="AR8167" s="77"/>
      <c r="AT8167" s="497">
        <v>51.980000000000004</v>
      </c>
      <c r="AV8167" s="42"/>
      <c r="AW8167" s="74"/>
      <c r="AX8167" s="77"/>
      <c r="BA8167" s="497">
        <v>30.02</v>
      </c>
      <c r="BB8167" s="42"/>
      <c r="BC8167" s="74"/>
      <c r="BD8167" s="77"/>
      <c r="BF8167">
        <v>24.08</v>
      </c>
      <c r="BH8167" s="42"/>
      <c r="BI8167" s="74"/>
      <c r="BJ8167" s="77"/>
      <c r="BL8167" s="497">
        <v>26.96</v>
      </c>
      <c r="BN8167" s="42"/>
      <c r="BO8167" s="74"/>
      <c r="BP8167" s="77"/>
      <c r="BR8167" s="497">
        <v>42.980000000000004</v>
      </c>
      <c r="BT8167" s="42"/>
    </row>
    <row r="8168" spans="1:72" x14ac:dyDescent="0.25">
      <c r="A8168" s="90">
        <v>35770</v>
      </c>
      <c r="B8168" s="20">
        <v>0.58333333333333337</v>
      </c>
      <c r="D8168">
        <v>26.060000000000002</v>
      </c>
      <c r="E8168" t="str">
        <f t="shared" si="290"/>
        <v>SATURDAY</v>
      </c>
      <c r="F8168" t="e">
        <f t="shared" si="289"/>
        <v>#N/A</v>
      </c>
      <c r="G8168" s="74">
        <v>28465</v>
      </c>
      <c r="H8168" s="77">
        <v>0.58333333333333337</v>
      </c>
      <c r="J8168">
        <v>37.04</v>
      </c>
      <c r="M8168" s="74">
        <v>36866</v>
      </c>
      <c r="N8168" s="77">
        <v>0.58333333333333337</v>
      </c>
      <c r="P8168">
        <v>28.4</v>
      </c>
      <c r="S8168" s="74">
        <v>35770</v>
      </c>
      <c r="T8168" s="77">
        <v>0.58333333333333337</v>
      </c>
      <c r="V8168">
        <v>37.94</v>
      </c>
      <c r="X8168" s="42"/>
      <c r="AB8168">
        <v>44.8</v>
      </c>
      <c r="AC8168">
        <v>41</v>
      </c>
      <c r="AE8168" s="74"/>
      <c r="AF8168" s="77"/>
      <c r="AH8168" s="497">
        <v>28.4</v>
      </c>
      <c r="AJ8168" s="42"/>
      <c r="AK8168" s="74"/>
      <c r="AL8168" s="77"/>
      <c r="AN8168" s="497">
        <v>46.94</v>
      </c>
      <c r="AP8168" s="42"/>
      <c r="AQ8168" s="74"/>
      <c r="AR8168" s="77"/>
      <c r="AT8168" s="497">
        <v>50</v>
      </c>
      <c r="AV8168" s="42"/>
      <c r="AW8168" s="74"/>
      <c r="AX8168" s="77"/>
      <c r="BA8168" s="497">
        <v>28.94</v>
      </c>
      <c r="BB8168" s="42"/>
      <c r="BC8168" s="74"/>
      <c r="BD8168" s="77"/>
      <c r="BF8168">
        <v>24.08</v>
      </c>
      <c r="BH8168" s="42"/>
      <c r="BI8168" s="74"/>
      <c r="BJ8168" s="77"/>
      <c r="BL8168" s="497">
        <v>26.060000000000002</v>
      </c>
      <c r="BN8168" s="42"/>
      <c r="BO8168" s="74"/>
      <c r="BP8168" s="77"/>
      <c r="BR8168" s="497">
        <v>41</v>
      </c>
      <c r="BT8168" s="42"/>
    </row>
    <row r="8169" spans="1:72" x14ac:dyDescent="0.25">
      <c r="A8169" s="90">
        <v>35770</v>
      </c>
      <c r="B8169" s="20">
        <v>0.625</v>
      </c>
      <c r="D8169">
        <v>26.060000000000002</v>
      </c>
      <c r="E8169" t="str">
        <f t="shared" si="290"/>
        <v>SATURDAY</v>
      </c>
      <c r="F8169" t="e">
        <f t="shared" si="289"/>
        <v>#N/A</v>
      </c>
      <c r="G8169" s="74">
        <v>28465</v>
      </c>
      <c r="H8169" s="77">
        <v>0.625</v>
      </c>
      <c r="J8169">
        <v>35.06</v>
      </c>
      <c r="M8169" s="74">
        <v>36866</v>
      </c>
      <c r="N8169" s="77">
        <v>0.625</v>
      </c>
      <c r="P8169">
        <v>28.4</v>
      </c>
      <c r="S8169" s="74">
        <v>35770</v>
      </c>
      <c r="T8169" s="77">
        <v>0.625</v>
      </c>
      <c r="V8169">
        <v>39.019999999999996</v>
      </c>
      <c r="X8169" s="42"/>
      <c r="AB8169">
        <v>45</v>
      </c>
      <c r="AC8169">
        <v>39.200000000000003</v>
      </c>
      <c r="AE8169" s="74"/>
      <c r="AF8169" s="77"/>
      <c r="AH8169" s="497">
        <v>30.2</v>
      </c>
      <c r="AJ8169" s="42"/>
      <c r="AK8169" s="74"/>
      <c r="AL8169" s="77"/>
      <c r="AN8169" s="497">
        <v>46.94</v>
      </c>
      <c r="AP8169" s="42"/>
      <c r="AQ8169" s="74"/>
      <c r="AR8169" s="77"/>
      <c r="AT8169" s="497">
        <v>48.019999999999996</v>
      </c>
      <c r="AV8169" s="42"/>
      <c r="AW8169" s="74"/>
      <c r="AX8169" s="77"/>
      <c r="BA8169" s="497">
        <v>28.04</v>
      </c>
      <c r="BB8169" s="42"/>
      <c r="BC8169" s="74"/>
      <c r="BD8169" s="77"/>
      <c r="BF8169">
        <v>23</v>
      </c>
      <c r="BH8169" s="42"/>
      <c r="BI8169" s="74"/>
      <c r="BJ8169" s="77"/>
      <c r="BL8169" s="497">
        <v>24.98</v>
      </c>
      <c r="BN8169" s="42"/>
      <c r="BO8169" s="74"/>
      <c r="BP8169" s="77"/>
      <c r="BR8169" s="497">
        <v>42.08</v>
      </c>
      <c r="BT8169" s="42"/>
    </row>
    <row r="8170" spans="1:72" x14ac:dyDescent="0.25">
      <c r="A8170" s="90">
        <v>35770</v>
      </c>
      <c r="B8170" s="20">
        <v>0.66666666666666663</v>
      </c>
      <c r="D8170">
        <v>26.060000000000002</v>
      </c>
      <c r="E8170" t="str">
        <f t="shared" si="290"/>
        <v>SATURDAY</v>
      </c>
      <c r="F8170" t="e">
        <f t="shared" si="289"/>
        <v>#N/A</v>
      </c>
      <c r="G8170" s="74">
        <v>28465</v>
      </c>
      <c r="H8170" s="77">
        <v>0.66666666666666663</v>
      </c>
      <c r="J8170">
        <v>33.979999999999997</v>
      </c>
      <c r="M8170" s="74">
        <v>36866</v>
      </c>
      <c r="N8170" s="77">
        <v>0.66666666666666663</v>
      </c>
      <c r="P8170">
        <v>28.4</v>
      </c>
      <c r="S8170" s="74">
        <v>35770</v>
      </c>
      <c r="T8170" s="77">
        <v>0.66666666666666663</v>
      </c>
      <c r="V8170">
        <v>37.94</v>
      </c>
      <c r="X8170" s="42"/>
      <c r="AB8170">
        <v>44.7</v>
      </c>
      <c r="AC8170">
        <v>37.4</v>
      </c>
      <c r="AE8170" s="74"/>
      <c r="AF8170" s="77"/>
      <c r="AH8170" s="497">
        <v>30.2</v>
      </c>
      <c r="AJ8170" s="42"/>
      <c r="AK8170" s="74"/>
      <c r="AL8170" s="77"/>
      <c r="AN8170" s="497">
        <v>44.96</v>
      </c>
      <c r="AP8170" s="42"/>
      <c r="AQ8170" s="74"/>
      <c r="AR8170" s="77"/>
      <c r="AT8170" s="497">
        <v>46.04</v>
      </c>
      <c r="AV8170" s="42"/>
      <c r="AW8170" s="74"/>
      <c r="AX8170" s="77"/>
      <c r="BA8170" s="497">
        <v>26.96</v>
      </c>
      <c r="BB8170" s="42"/>
      <c r="BC8170" s="74"/>
      <c r="BD8170" s="77"/>
      <c r="BF8170">
        <v>21.92</v>
      </c>
      <c r="BH8170" s="42"/>
      <c r="BI8170" s="74"/>
      <c r="BJ8170" s="77"/>
      <c r="BL8170" s="497">
        <v>24.98</v>
      </c>
      <c r="BN8170" s="42"/>
      <c r="BO8170" s="74"/>
      <c r="BP8170" s="77"/>
      <c r="BR8170" s="497">
        <v>39.92</v>
      </c>
      <c r="BT8170" s="42"/>
    </row>
    <row r="8171" spans="1:72" x14ac:dyDescent="0.25">
      <c r="A8171" s="90">
        <v>35770</v>
      </c>
      <c r="B8171" s="20">
        <v>0.70833333333333337</v>
      </c>
      <c r="D8171">
        <v>26.96</v>
      </c>
      <c r="E8171" t="str">
        <f t="shared" si="290"/>
        <v>SATURDAY</v>
      </c>
      <c r="F8171" t="e">
        <f t="shared" ref="F8171:F8234" si="291">IF(E8171="WEEKDAY",VLOOKUP(B8171,$DD$19:$DG$42,2),IF(E8171="SATURDAY",VLOOKUP(B8171,$DD$19:$DG$42,3),VLOOKUP(B8171,$DD$19:$DG$42,4)))</f>
        <v>#N/A</v>
      </c>
      <c r="G8171" s="74">
        <v>28465</v>
      </c>
      <c r="H8171" s="77">
        <v>0.70833333333333337</v>
      </c>
      <c r="J8171">
        <v>33.08</v>
      </c>
      <c r="M8171" s="74">
        <v>36866</v>
      </c>
      <c r="N8171" s="77">
        <v>0.70833333333333337</v>
      </c>
      <c r="P8171">
        <v>26.6</v>
      </c>
      <c r="S8171" s="74">
        <v>35770</v>
      </c>
      <c r="T8171" s="77">
        <v>0.70833333333333337</v>
      </c>
      <c r="V8171">
        <v>35.96</v>
      </c>
      <c r="X8171" s="42"/>
      <c r="AB8171">
        <v>43.8</v>
      </c>
      <c r="AC8171">
        <v>37.4</v>
      </c>
      <c r="AE8171" s="74"/>
      <c r="AF8171" s="77"/>
      <c r="AH8171" s="497">
        <v>30.2</v>
      </c>
      <c r="AJ8171" s="42"/>
      <c r="AK8171" s="74"/>
      <c r="AL8171" s="77"/>
      <c r="AN8171" s="497">
        <v>41</v>
      </c>
      <c r="AP8171" s="42"/>
      <c r="AQ8171" s="74"/>
      <c r="AR8171" s="77"/>
      <c r="AT8171" s="497">
        <v>44.78</v>
      </c>
      <c r="AV8171" s="42"/>
      <c r="AW8171" s="74"/>
      <c r="AX8171" s="77"/>
      <c r="BA8171" s="497">
        <v>26.060000000000002</v>
      </c>
      <c r="BB8171" s="42"/>
      <c r="BC8171" s="74"/>
      <c r="BD8171" s="77"/>
      <c r="BF8171">
        <v>21.92</v>
      </c>
      <c r="BH8171" s="42"/>
      <c r="BI8171" s="74"/>
      <c r="BJ8171" s="77"/>
      <c r="BL8171" s="497">
        <v>23</v>
      </c>
      <c r="BN8171" s="42"/>
      <c r="BO8171" s="74"/>
      <c r="BP8171" s="77"/>
      <c r="BR8171" s="497">
        <v>37.04</v>
      </c>
      <c r="BT8171" s="42"/>
    </row>
    <row r="8172" spans="1:72" x14ac:dyDescent="0.25">
      <c r="A8172" s="90">
        <v>35770</v>
      </c>
      <c r="B8172" s="20">
        <v>0.75</v>
      </c>
      <c r="D8172">
        <v>26.96</v>
      </c>
      <c r="E8172" t="str">
        <f t="shared" si="290"/>
        <v>SATURDAY</v>
      </c>
      <c r="F8172" t="e">
        <f t="shared" si="291"/>
        <v>#N/A</v>
      </c>
      <c r="G8172" s="74">
        <v>28465</v>
      </c>
      <c r="H8172" s="77">
        <v>0.75</v>
      </c>
      <c r="J8172">
        <v>33.08</v>
      </c>
      <c r="M8172" s="74">
        <v>36866</v>
      </c>
      <c r="N8172" s="77">
        <v>0.75</v>
      </c>
      <c r="P8172">
        <v>24.8</v>
      </c>
      <c r="S8172" s="74">
        <v>35770</v>
      </c>
      <c r="T8172" s="77">
        <v>0.75</v>
      </c>
      <c r="V8172">
        <v>35.06</v>
      </c>
      <c r="X8172" s="42"/>
      <c r="AB8172">
        <v>42.7</v>
      </c>
      <c r="AC8172">
        <v>35.6</v>
      </c>
      <c r="AE8172" s="74"/>
      <c r="AF8172" s="77"/>
      <c r="AH8172" s="497">
        <v>30.2</v>
      </c>
      <c r="AJ8172" s="42"/>
      <c r="AK8172" s="74"/>
      <c r="AL8172" s="77"/>
      <c r="AN8172" s="497">
        <v>39.92</v>
      </c>
      <c r="AP8172" s="42"/>
      <c r="AQ8172" s="74"/>
      <c r="AR8172" s="77"/>
      <c r="AT8172" s="497">
        <v>43.34</v>
      </c>
      <c r="AV8172" s="42"/>
      <c r="AW8172" s="74"/>
      <c r="AX8172" s="77"/>
      <c r="BA8172" s="497">
        <v>24.98</v>
      </c>
      <c r="BB8172" s="42"/>
      <c r="BC8172" s="74"/>
      <c r="BD8172" s="77"/>
      <c r="BF8172">
        <v>21.02</v>
      </c>
      <c r="BH8172" s="42"/>
      <c r="BI8172" s="74"/>
      <c r="BJ8172" s="77"/>
      <c r="BL8172" s="497">
        <v>23</v>
      </c>
      <c r="BN8172" s="42"/>
      <c r="BO8172" s="74"/>
      <c r="BP8172" s="77"/>
      <c r="BR8172" s="497">
        <v>37.94</v>
      </c>
      <c r="BT8172" s="42"/>
    </row>
    <row r="8173" spans="1:72" x14ac:dyDescent="0.25">
      <c r="A8173" s="90">
        <v>35770</v>
      </c>
      <c r="B8173" s="20">
        <v>0.79166666666666663</v>
      </c>
      <c r="D8173">
        <v>28.04</v>
      </c>
      <c r="E8173" t="str">
        <f t="shared" si="290"/>
        <v>SATURDAY</v>
      </c>
      <c r="F8173" t="e">
        <f t="shared" si="291"/>
        <v>#N/A</v>
      </c>
      <c r="G8173" s="74">
        <v>28465</v>
      </c>
      <c r="H8173" s="77">
        <v>0.79166666666666663</v>
      </c>
      <c r="J8173">
        <v>33.08</v>
      </c>
      <c r="M8173" s="74">
        <v>36866</v>
      </c>
      <c r="N8173" s="77">
        <v>0.79166666666666663</v>
      </c>
      <c r="P8173">
        <v>25.52</v>
      </c>
      <c r="S8173" s="74">
        <v>35770</v>
      </c>
      <c r="T8173" s="77">
        <v>0.79166666666666663</v>
      </c>
      <c r="V8173">
        <v>33.979999999999997</v>
      </c>
      <c r="X8173" s="42"/>
      <c r="AB8173">
        <v>42.3</v>
      </c>
      <c r="AC8173">
        <v>35.6</v>
      </c>
      <c r="AE8173" s="74"/>
      <c r="AF8173" s="77"/>
      <c r="AH8173" s="497">
        <v>30.2</v>
      </c>
      <c r="AJ8173" s="42"/>
      <c r="AK8173" s="74"/>
      <c r="AL8173" s="77"/>
      <c r="AN8173" s="497">
        <v>39.019999999999996</v>
      </c>
      <c r="AP8173" s="42"/>
      <c r="AQ8173" s="74"/>
      <c r="AR8173" s="77"/>
      <c r="AT8173" s="497">
        <v>42.08</v>
      </c>
      <c r="AV8173" s="42"/>
      <c r="AW8173" s="74"/>
      <c r="AX8173" s="77"/>
      <c r="BA8173" s="497">
        <v>24.08</v>
      </c>
      <c r="BB8173" s="42"/>
      <c r="BC8173" s="74"/>
      <c r="BD8173" s="77"/>
      <c r="BF8173">
        <v>19.939999999999998</v>
      </c>
      <c r="BH8173" s="42"/>
      <c r="BI8173" s="74"/>
      <c r="BJ8173" s="77"/>
      <c r="BL8173" s="497">
        <v>23</v>
      </c>
      <c r="BN8173" s="42"/>
      <c r="BO8173" s="74"/>
      <c r="BP8173" s="77"/>
      <c r="BR8173" s="497">
        <v>37.94</v>
      </c>
      <c r="BT8173" s="42"/>
    </row>
    <row r="8174" spans="1:72" x14ac:dyDescent="0.25">
      <c r="A8174" s="90">
        <v>35770</v>
      </c>
      <c r="B8174" s="20">
        <v>0.83333333333333337</v>
      </c>
      <c r="D8174">
        <v>26.96</v>
      </c>
      <c r="E8174" t="str">
        <f t="shared" si="290"/>
        <v>SATURDAY</v>
      </c>
      <c r="F8174" t="e">
        <f t="shared" si="291"/>
        <v>#N/A</v>
      </c>
      <c r="G8174" s="74">
        <v>28465</v>
      </c>
      <c r="H8174" s="77">
        <v>0.83333333333333337</v>
      </c>
      <c r="J8174">
        <v>32</v>
      </c>
      <c r="M8174" s="74">
        <v>36866</v>
      </c>
      <c r="N8174" s="77">
        <v>0.83333333333333337</v>
      </c>
      <c r="P8174">
        <v>26.6</v>
      </c>
      <c r="S8174" s="74">
        <v>35770</v>
      </c>
      <c r="T8174" s="77">
        <v>0.83333333333333337</v>
      </c>
      <c r="V8174">
        <v>32</v>
      </c>
      <c r="X8174" s="42"/>
      <c r="AB8174">
        <v>42.1</v>
      </c>
      <c r="AC8174">
        <v>33.799999999999997</v>
      </c>
      <c r="AE8174" s="74"/>
      <c r="AF8174" s="77"/>
      <c r="AH8174" s="497">
        <v>30.2</v>
      </c>
      <c r="AJ8174" s="42"/>
      <c r="AK8174" s="74"/>
      <c r="AL8174" s="77"/>
      <c r="AN8174" s="497">
        <v>39.019999999999996</v>
      </c>
      <c r="AP8174" s="42"/>
      <c r="AQ8174" s="74"/>
      <c r="AR8174" s="77"/>
      <c r="AT8174" s="497">
        <v>38.119999999999997</v>
      </c>
      <c r="AV8174" s="42"/>
      <c r="AW8174" s="74"/>
      <c r="AX8174" s="77"/>
      <c r="BA8174" s="497">
        <v>23.72</v>
      </c>
      <c r="BB8174" s="42"/>
      <c r="BC8174" s="74"/>
      <c r="BD8174" s="77"/>
      <c r="BF8174">
        <v>19.939999999999998</v>
      </c>
      <c r="BH8174" s="42"/>
      <c r="BI8174" s="74"/>
      <c r="BJ8174" s="77"/>
      <c r="BL8174" s="497">
        <v>21.92</v>
      </c>
      <c r="BN8174" s="42"/>
      <c r="BO8174" s="74"/>
      <c r="BP8174" s="77"/>
      <c r="BR8174" s="497">
        <v>37.94</v>
      </c>
      <c r="BT8174" s="42"/>
    </row>
    <row r="8175" spans="1:72" x14ac:dyDescent="0.25">
      <c r="A8175" s="90">
        <v>35770</v>
      </c>
      <c r="B8175" s="20">
        <v>0.875</v>
      </c>
      <c r="D8175">
        <v>26.96</v>
      </c>
      <c r="E8175" t="str">
        <f t="shared" si="290"/>
        <v>SATURDAY</v>
      </c>
      <c r="F8175" t="e">
        <f t="shared" si="291"/>
        <v>#N/A</v>
      </c>
      <c r="G8175" s="74">
        <v>28465</v>
      </c>
      <c r="H8175" s="77">
        <v>0.875</v>
      </c>
      <c r="J8175">
        <v>30.92</v>
      </c>
      <c r="M8175" s="74">
        <v>36866</v>
      </c>
      <c r="N8175" s="77">
        <v>0.875</v>
      </c>
      <c r="P8175">
        <v>26.6</v>
      </c>
      <c r="S8175" s="74">
        <v>35770</v>
      </c>
      <c r="T8175" s="77">
        <v>0.875</v>
      </c>
      <c r="V8175">
        <v>32</v>
      </c>
      <c r="X8175" s="42"/>
      <c r="AB8175">
        <v>41.6</v>
      </c>
      <c r="AC8175">
        <v>32</v>
      </c>
      <c r="AE8175" s="74"/>
      <c r="AF8175" s="77"/>
      <c r="AH8175" s="497">
        <v>30.2</v>
      </c>
      <c r="AJ8175" s="42"/>
      <c r="AK8175" s="74"/>
      <c r="AL8175" s="77"/>
      <c r="AN8175" s="497">
        <v>37.04</v>
      </c>
      <c r="AP8175" s="42"/>
      <c r="AQ8175" s="74"/>
      <c r="AR8175" s="77"/>
      <c r="AT8175" s="497">
        <v>33.979999999999997</v>
      </c>
      <c r="AV8175" s="42"/>
      <c r="AW8175" s="74"/>
      <c r="AX8175" s="77"/>
      <c r="BA8175" s="497">
        <v>23.36</v>
      </c>
      <c r="BB8175" s="42"/>
      <c r="BC8175" s="74"/>
      <c r="BD8175" s="77"/>
      <c r="BF8175">
        <v>19.939999999999998</v>
      </c>
      <c r="BH8175" s="42"/>
      <c r="BI8175" s="74"/>
      <c r="BJ8175" s="77"/>
      <c r="BL8175" s="497">
        <v>21.92</v>
      </c>
      <c r="BN8175" s="42"/>
      <c r="BO8175" s="74"/>
      <c r="BP8175" s="77"/>
      <c r="BR8175" s="497">
        <v>35.96</v>
      </c>
      <c r="BT8175" s="42"/>
    </row>
    <row r="8176" spans="1:72" x14ac:dyDescent="0.25">
      <c r="A8176" s="90">
        <v>35770</v>
      </c>
      <c r="B8176" s="20">
        <v>0.91666666666666663</v>
      </c>
      <c r="D8176">
        <v>26.96</v>
      </c>
      <c r="E8176" t="str">
        <f t="shared" si="290"/>
        <v>SATURDAY</v>
      </c>
      <c r="F8176" t="e">
        <f t="shared" si="291"/>
        <v>#N/A</v>
      </c>
      <c r="G8176" s="74">
        <v>28465</v>
      </c>
      <c r="H8176" s="77">
        <v>0.91666666666666663</v>
      </c>
      <c r="J8176">
        <v>30.02</v>
      </c>
      <c r="M8176" s="74">
        <v>36866</v>
      </c>
      <c r="N8176" s="77">
        <v>0.91666666666666663</v>
      </c>
      <c r="P8176">
        <v>26.6</v>
      </c>
      <c r="S8176" s="74">
        <v>35770</v>
      </c>
      <c r="T8176" s="77">
        <v>0.91666666666666663</v>
      </c>
      <c r="V8176">
        <v>30.92</v>
      </c>
      <c r="X8176" s="42"/>
      <c r="AB8176">
        <v>41.1</v>
      </c>
      <c r="AC8176">
        <v>32</v>
      </c>
      <c r="AE8176" s="74"/>
      <c r="AF8176" s="77"/>
      <c r="AH8176" s="497">
        <v>30.2</v>
      </c>
      <c r="AJ8176" s="42"/>
      <c r="AK8176" s="74"/>
      <c r="AL8176" s="77"/>
      <c r="AN8176" s="497">
        <v>35.96</v>
      </c>
      <c r="AP8176" s="42"/>
      <c r="AQ8176" s="74"/>
      <c r="AR8176" s="77"/>
      <c r="AT8176" s="497">
        <v>30.02</v>
      </c>
      <c r="AV8176" s="42"/>
      <c r="AW8176" s="74"/>
      <c r="AX8176" s="77"/>
      <c r="BA8176" s="497">
        <v>23</v>
      </c>
      <c r="BB8176" s="42"/>
      <c r="BC8176" s="74"/>
      <c r="BD8176" s="77"/>
      <c r="BF8176">
        <v>19.04</v>
      </c>
      <c r="BH8176" s="42"/>
      <c r="BI8176" s="74"/>
      <c r="BJ8176" s="77"/>
      <c r="BL8176" s="497">
        <v>21.92</v>
      </c>
      <c r="BN8176" s="42"/>
      <c r="BO8176" s="74"/>
      <c r="BP8176" s="77"/>
      <c r="BR8176" s="497">
        <v>35.96</v>
      </c>
      <c r="BT8176" s="42"/>
    </row>
    <row r="8177" spans="1:72" x14ac:dyDescent="0.25">
      <c r="A8177" s="90">
        <v>35770</v>
      </c>
      <c r="B8177" s="20">
        <v>0.95833333333333337</v>
      </c>
      <c r="D8177">
        <v>28.04</v>
      </c>
      <c r="E8177" t="str">
        <f t="shared" si="290"/>
        <v>SATURDAY</v>
      </c>
      <c r="F8177" t="e">
        <f t="shared" si="291"/>
        <v>#N/A</v>
      </c>
      <c r="G8177" s="74">
        <v>28465</v>
      </c>
      <c r="H8177" s="77">
        <v>0.95833333333333337</v>
      </c>
      <c r="J8177">
        <v>30.02</v>
      </c>
      <c r="M8177" s="74">
        <v>36866</v>
      </c>
      <c r="N8177" s="77">
        <v>0.95833333333333337</v>
      </c>
      <c r="P8177">
        <v>24.8</v>
      </c>
      <c r="S8177" s="74">
        <v>35770</v>
      </c>
      <c r="T8177" s="77">
        <v>0.95833333333333337</v>
      </c>
      <c r="V8177">
        <v>30.92</v>
      </c>
      <c r="X8177" s="42"/>
      <c r="AB8177">
        <v>40.6</v>
      </c>
      <c r="AC8177">
        <v>32</v>
      </c>
      <c r="AE8177" s="74"/>
      <c r="AF8177" s="77"/>
      <c r="AH8177" s="497">
        <v>30.2</v>
      </c>
      <c r="AJ8177" s="42"/>
      <c r="AK8177" s="74"/>
      <c r="AL8177" s="77"/>
      <c r="AN8177" s="497">
        <v>37.04</v>
      </c>
      <c r="AP8177" s="42"/>
      <c r="AQ8177" s="74"/>
      <c r="AR8177" s="77"/>
      <c r="AT8177" s="497">
        <v>32.36</v>
      </c>
      <c r="AV8177" s="42"/>
      <c r="AW8177" s="74"/>
      <c r="AX8177" s="77"/>
      <c r="BA8177" s="497">
        <v>23</v>
      </c>
      <c r="BB8177" s="42"/>
      <c r="BC8177" s="74"/>
      <c r="BD8177" s="77"/>
      <c r="BF8177">
        <v>19.04</v>
      </c>
      <c r="BH8177" s="42"/>
      <c r="BI8177" s="74"/>
      <c r="BJ8177" s="77"/>
      <c r="BL8177" s="497">
        <v>21.92</v>
      </c>
      <c r="BN8177" s="42"/>
      <c r="BO8177" s="74"/>
      <c r="BP8177" s="77"/>
      <c r="BR8177" s="497">
        <v>37.04</v>
      </c>
      <c r="BT8177" s="42"/>
    </row>
    <row r="8178" spans="1:72" x14ac:dyDescent="0.25">
      <c r="A8178" s="90">
        <v>35770</v>
      </c>
      <c r="B8178" s="20">
        <v>1</v>
      </c>
      <c r="D8178">
        <v>28.04</v>
      </c>
      <c r="E8178" t="str">
        <f t="shared" si="290"/>
        <v>SATURDAY</v>
      </c>
      <c r="F8178" t="e">
        <f t="shared" si="291"/>
        <v>#N/A</v>
      </c>
      <c r="G8178" s="74">
        <v>28465</v>
      </c>
      <c r="H8178" s="77">
        <v>1</v>
      </c>
      <c r="J8178">
        <v>30.02</v>
      </c>
      <c r="M8178" s="74">
        <v>36866</v>
      </c>
      <c r="N8178" s="80">
        <v>1</v>
      </c>
      <c r="P8178">
        <v>24.8</v>
      </c>
      <c r="S8178" s="74">
        <v>35770</v>
      </c>
      <c r="T8178" s="80">
        <v>1</v>
      </c>
      <c r="V8178">
        <v>30.92</v>
      </c>
      <c r="X8178" s="42"/>
      <c r="AB8178">
        <v>40.1</v>
      </c>
      <c r="AC8178">
        <v>30.2</v>
      </c>
      <c r="AE8178" s="74"/>
      <c r="AF8178" s="80"/>
      <c r="AH8178" s="497">
        <v>30.2</v>
      </c>
      <c r="AJ8178" s="42"/>
      <c r="AK8178" s="74"/>
      <c r="AL8178" s="80"/>
      <c r="AN8178" s="497">
        <v>37.04</v>
      </c>
      <c r="AP8178" s="42"/>
      <c r="AQ8178" s="74"/>
      <c r="AR8178" s="80"/>
      <c r="AT8178" s="497">
        <v>34.700000000000003</v>
      </c>
      <c r="AV8178" s="42"/>
      <c r="AW8178" s="74"/>
      <c r="AX8178" s="80"/>
      <c r="BA8178" s="497">
        <v>23</v>
      </c>
      <c r="BB8178" s="42"/>
      <c r="BC8178" s="74"/>
      <c r="BD8178" s="80"/>
      <c r="BF8178">
        <v>17.96</v>
      </c>
      <c r="BH8178" s="42"/>
      <c r="BI8178" s="74"/>
      <c r="BJ8178" s="80"/>
      <c r="BL8178" s="497">
        <v>21.02</v>
      </c>
      <c r="BN8178" s="42"/>
      <c r="BO8178" s="74"/>
      <c r="BP8178" s="80"/>
      <c r="BR8178" s="497">
        <v>35.96</v>
      </c>
      <c r="BT8178" s="42"/>
    </row>
    <row r="8179" spans="1:72" x14ac:dyDescent="0.25">
      <c r="A8179" s="90">
        <v>35771</v>
      </c>
      <c r="B8179" s="20">
        <v>4.1666666666666664E-2</v>
      </c>
      <c r="D8179">
        <v>28.04</v>
      </c>
      <c r="E8179" t="str">
        <f t="shared" si="290"/>
        <v>SUNDAY</v>
      </c>
      <c r="F8179" t="e">
        <f t="shared" si="291"/>
        <v>#N/A</v>
      </c>
      <c r="G8179" s="74">
        <v>28466</v>
      </c>
      <c r="H8179" s="77">
        <v>4.1666666666666664E-2</v>
      </c>
      <c r="J8179">
        <v>28.04</v>
      </c>
      <c r="M8179" s="74">
        <v>36867</v>
      </c>
      <c r="N8179" s="77">
        <v>4.1666666666666664E-2</v>
      </c>
      <c r="P8179">
        <v>24.98</v>
      </c>
      <c r="S8179" s="74">
        <v>35771</v>
      </c>
      <c r="T8179" s="77">
        <v>4.1666666666666664E-2</v>
      </c>
      <c r="V8179">
        <v>30.02</v>
      </c>
      <c r="X8179" s="42"/>
      <c r="AB8179">
        <v>39.799999999999997</v>
      </c>
      <c r="AC8179">
        <v>30.2</v>
      </c>
      <c r="AE8179" s="74"/>
      <c r="AF8179" s="77"/>
      <c r="AH8179" s="497">
        <v>30.2</v>
      </c>
      <c r="AJ8179" s="42"/>
      <c r="AK8179" s="74"/>
      <c r="AL8179" s="77"/>
      <c r="AN8179" s="497">
        <v>51.08</v>
      </c>
      <c r="AP8179" s="42"/>
      <c r="AQ8179" s="74"/>
      <c r="AR8179" s="77"/>
      <c r="AT8179" s="497">
        <v>37.04</v>
      </c>
      <c r="AV8179" s="42"/>
      <c r="AW8179" s="74"/>
      <c r="AX8179" s="77"/>
      <c r="BA8179" s="497">
        <v>23</v>
      </c>
      <c r="BB8179" s="42"/>
      <c r="BC8179" s="74"/>
      <c r="BD8179" s="77"/>
      <c r="BF8179">
        <v>19.04</v>
      </c>
      <c r="BH8179" s="42"/>
      <c r="BI8179" s="74"/>
      <c r="BJ8179" s="77"/>
      <c r="BL8179" s="497">
        <v>21.02</v>
      </c>
      <c r="BN8179" s="42"/>
      <c r="BO8179" s="74"/>
      <c r="BP8179" s="77"/>
      <c r="BR8179" s="497">
        <v>33.979999999999997</v>
      </c>
      <c r="BT8179" s="42"/>
    </row>
    <row r="8180" spans="1:72" x14ac:dyDescent="0.25">
      <c r="A8180" s="90">
        <v>35771</v>
      </c>
      <c r="B8180" s="20">
        <v>8.3333333333333329E-2</v>
      </c>
      <c r="D8180">
        <v>28.04</v>
      </c>
      <c r="E8180" t="str">
        <f t="shared" si="290"/>
        <v>SUNDAY</v>
      </c>
      <c r="F8180" t="e">
        <f t="shared" si="291"/>
        <v>#N/A</v>
      </c>
      <c r="G8180" s="74">
        <v>28466</v>
      </c>
      <c r="H8180" s="77">
        <v>8.3333333333333329E-2</v>
      </c>
      <c r="J8180">
        <v>26.96</v>
      </c>
      <c r="M8180" s="74">
        <v>36867</v>
      </c>
      <c r="N8180" s="77">
        <v>8.3333333333333329E-2</v>
      </c>
      <c r="P8180">
        <v>24.8</v>
      </c>
      <c r="S8180" s="74">
        <v>35771</v>
      </c>
      <c r="T8180" s="77">
        <v>8.3333333333333329E-2</v>
      </c>
      <c r="V8180">
        <v>30.02</v>
      </c>
      <c r="X8180" s="42"/>
      <c r="AB8180">
        <v>39.299999999999997</v>
      </c>
      <c r="AC8180">
        <v>30.2</v>
      </c>
      <c r="AE8180" s="74"/>
      <c r="AF8180" s="77"/>
      <c r="AH8180" s="497">
        <v>32</v>
      </c>
      <c r="AJ8180" s="42"/>
      <c r="AK8180" s="74"/>
      <c r="AL8180" s="77"/>
      <c r="AN8180" s="497">
        <v>37.04</v>
      </c>
      <c r="AP8180" s="42"/>
      <c r="AQ8180" s="74"/>
      <c r="AR8180" s="77"/>
      <c r="AT8180" s="497">
        <v>37.4</v>
      </c>
      <c r="AV8180" s="42"/>
      <c r="AW8180" s="74"/>
      <c r="AX8180" s="77"/>
      <c r="BA8180" s="497">
        <v>22.64</v>
      </c>
      <c r="BB8180" s="42"/>
      <c r="BC8180" s="74"/>
      <c r="BD8180" s="77"/>
      <c r="BF8180">
        <v>19.04</v>
      </c>
      <c r="BH8180" s="42"/>
      <c r="BI8180" s="74"/>
      <c r="BJ8180" s="77"/>
      <c r="BL8180" s="497">
        <v>21.02</v>
      </c>
      <c r="BN8180" s="42"/>
      <c r="BO8180" s="74"/>
      <c r="BP8180" s="77"/>
      <c r="BR8180" s="497">
        <v>32</v>
      </c>
      <c r="BT8180" s="42"/>
    </row>
    <row r="8181" spans="1:72" x14ac:dyDescent="0.25">
      <c r="A8181" s="90">
        <v>35771</v>
      </c>
      <c r="B8181" s="20">
        <v>0.125</v>
      </c>
      <c r="D8181">
        <v>26.96</v>
      </c>
      <c r="E8181" t="str">
        <f t="shared" si="290"/>
        <v>SUNDAY</v>
      </c>
      <c r="F8181" t="e">
        <f t="shared" si="291"/>
        <v>#N/A</v>
      </c>
      <c r="G8181" s="74">
        <v>28466</v>
      </c>
      <c r="H8181" s="77">
        <v>0.125</v>
      </c>
      <c r="J8181">
        <v>26.96</v>
      </c>
      <c r="M8181" s="74">
        <v>36867</v>
      </c>
      <c r="N8181" s="77">
        <v>0.125</v>
      </c>
      <c r="P8181">
        <v>24.62</v>
      </c>
      <c r="S8181" s="74">
        <v>35771</v>
      </c>
      <c r="T8181" s="77">
        <v>0.125</v>
      </c>
      <c r="V8181">
        <v>30.92</v>
      </c>
      <c r="X8181" s="42"/>
      <c r="AB8181">
        <v>38.9</v>
      </c>
      <c r="AC8181">
        <v>30.2</v>
      </c>
      <c r="AE8181" s="74"/>
      <c r="AF8181" s="77"/>
      <c r="AH8181" s="497">
        <v>32</v>
      </c>
      <c r="AJ8181" s="42"/>
      <c r="AK8181" s="74"/>
      <c r="AL8181" s="77"/>
      <c r="AN8181" s="497">
        <v>35.96</v>
      </c>
      <c r="AP8181" s="42"/>
      <c r="AQ8181" s="74"/>
      <c r="AR8181" s="77"/>
      <c r="AT8181" s="497">
        <v>37.58</v>
      </c>
      <c r="AV8181" s="42"/>
      <c r="AW8181" s="74"/>
      <c r="AX8181" s="77"/>
      <c r="BA8181" s="497">
        <v>22.28</v>
      </c>
      <c r="BB8181" s="42"/>
      <c r="BC8181" s="74"/>
      <c r="BD8181" s="77"/>
      <c r="BF8181">
        <v>17.96</v>
      </c>
      <c r="BH8181" s="42"/>
      <c r="BI8181" s="74"/>
      <c r="BJ8181" s="77"/>
      <c r="BL8181" s="497">
        <v>21.02</v>
      </c>
      <c r="BN8181" s="42"/>
      <c r="BO8181" s="74"/>
      <c r="BP8181" s="77"/>
      <c r="BR8181" s="497">
        <v>32</v>
      </c>
      <c r="BT8181" s="42"/>
    </row>
    <row r="8182" spans="1:72" x14ac:dyDescent="0.25">
      <c r="A8182" s="90">
        <v>35771</v>
      </c>
      <c r="B8182" s="20">
        <v>0.16666666666666666</v>
      </c>
      <c r="D8182">
        <v>26.060000000000002</v>
      </c>
      <c r="E8182" t="str">
        <f t="shared" si="290"/>
        <v>SUNDAY</v>
      </c>
      <c r="F8182" t="e">
        <f t="shared" si="291"/>
        <v>#N/A</v>
      </c>
      <c r="G8182" s="74">
        <v>28466</v>
      </c>
      <c r="H8182" s="77">
        <v>0.16666666666666666</v>
      </c>
      <c r="J8182">
        <v>26.96</v>
      </c>
      <c r="M8182" s="74">
        <v>36867</v>
      </c>
      <c r="N8182" s="77">
        <v>0.16666666666666666</v>
      </c>
      <c r="P8182">
        <v>24.8</v>
      </c>
      <c r="S8182" s="74">
        <v>35771</v>
      </c>
      <c r="T8182" s="77">
        <v>0.16666666666666666</v>
      </c>
      <c r="V8182">
        <v>30.92</v>
      </c>
      <c r="X8182" s="42"/>
      <c r="AB8182">
        <v>38.6</v>
      </c>
      <c r="AC8182">
        <v>30.2</v>
      </c>
      <c r="AE8182" s="74"/>
      <c r="AF8182" s="77"/>
      <c r="AH8182" s="497">
        <v>32</v>
      </c>
      <c r="AJ8182" s="42"/>
      <c r="AK8182" s="74"/>
      <c r="AL8182" s="77"/>
      <c r="AN8182" s="497">
        <v>35.06</v>
      </c>
      <c r="AP8182" s="42"/>
      <c r="AQ8182" s="74"/>
      <c r="AR8182" s="77"/>
      <c r="AT8182" s="497">
        <v>37.94</v>
      </c>
      <c r="AV8182" s="42"/>
      <c r="AW8182" s="74"/>
      <c r="AX8182" s="77"/>
      <c r="BA8182" s="497">
        <v>21.92</v>
      </c>
      <c r="BB8182" s="42"/>
      <c r="BC8182" s="74"/>
      <c r="BD8182" s="77"/>
      <c r="BF8182">
        <v>17.96</v>
      </c>
      <c r="BH8182" s="42"/>
      <c r="BI8182" s="74"/>
      <c r="BJ8182" s="77"/>
      <c r="BL8182" s="497">
        <v>21.02</v>
      </c>
      <c r="BN8182" s="42"/>
      <c r="BO8182" s="74"/>
      <c r="BP8182" s="77"/>
      <c r="BR8182" s="497">
        <v>30.02</v>
      </c>
      <c r="BT8182" s="42"/>
    </row>
    <row r="8183" spans="1:72" x14ac:dyDescent="0.25">
      <c r="A8183" s="90">
        <v>35771</v>
      </c>
      <c r="B8183" s="20">
        <v>0.20833333333333334</v>
      </c>
      <c r="D8183">
        <v>26.96</v>
      </c>
      <c r="E8183" t="str">
        <f t="shared" si="290"/>
        <v>SUNDAY</v>
      </c>
      <c r="F8183" t="e">
        <f t="shared" si="291"/>
        <v>#N/A</v>
      </c>
      <c r="G8183" s="74">
        <v>28466</v>
      </c>
      <c r="H8183" s="77">
        <v>0.20833333333333334</v>
      </c>
      <c r="J8183">
        <v>26.060000000000002</v>
      </c>
      <c r="M8183" s="74">
        <v>36867</v>
      </c>
      <c r="N8183" s="77">
        <v>0.20833333333333334</v>
      </c>
      <c r="P8183">
        <v>24.8</v>
      </c>
      <c r="S8183" s="74">
        <v>35771</v>
      </c>
      <c r="T8183" s="77">
        <v>0.20833333333333334</v>
      </c>
      <c r="V8183">
        <v>32</v>
      </c>
      <c r="X8183" s="42"/>
      <c r="AB8183">
        <v>38.299999999999997</v>
      </c>
      <c r="AC8183">
        <v>30.2</v>
      </c>
      <c r="AE8183" s="74"/>
      <c r="AF8183" s="77"/>
      <c r="AH8183" s="497">
        <v>32</v>
      </c>
      <c r="AJ8183" s="42"/>
      <c r="AK8183" s="74"/>
      <c r="AL8183" s="77"/>
      <c r="AN8183" s="497">
        <v>33.979999999999997</v>
      </c>
      <c r="AP8183" s="42"/>
      <c r="AQ8183" s="74"/>
      <c r="AR8183" s="77"/>
      <c r="AT8183" s="497">
        <v>37.04</v>
      </c>
      <c r="AV8183" s="42"/>
      <c r="AW8183" s="74"/>
      <c r="AX8183" s="77"/>
      <c r="BA8183" s="497">
        <v>21.2</v>
      </c>
      <c r="BB8183" s="42"/>
      <c r="BC8183" s="74"/>
      <c r="BD8183" s="77"/>
      <c r="BF8183">
        <v>17.96</v>
      </c>
      <c r="BH8183" s="42"/>
      <c r="BI8183" s="74"/>
      <c r="BJ8183" s="77"/>
      <c r="BL8183" s="497">
        <v>21.02</v>
      </c>
      <c r="BN8183" s="42"/>
      <c r="BO8183" s="74"/>
      <c r="BP8183" s="77"/>
      <c r="BR8183" s="497">
        <v>28.94</v>
      </c>
      <c r="BT8183" s="42"/>
    </row>
    <row r="8184" spans="1:72" x14ac:dyDescent="0.25">
      <c r="A8184" s="90">
        <v>35771</v>
      </c>
      <c r="B8184" s="20">
        <v>0.25</v>
      </c>
      <c r="D8184">
        <v>26.060000000000002</v>
      </c>
      <c r="E8184" t="str">
        <f t="shared" si="290"/>
        <v>SUNDAY</v>
      </c>
      <c r="F8184" t="e">
        <f t="shared" si="291"/>
        <v>#N/A</v>
      </c>
      <c r="G8184" s="74">
        <v>28466</v>
      </c>
      <c r="H8184" s="77">
        <v>0.25</v>
      </c>
      <c r="J8184">
        <v>26.060000000000002</v>
      </c>
      <c r="M8184" s="74">
        <v>36867</v>
      </c>
      <c r="N8184" s="77">
        <v>0.25</v>
      </c>
      <c r="P8184">
        <v>26.6</v>
      </c>
      <c r="S8184" s="74">
        <v>35771</v>
      </c>
      <c r="T8184" s="77">
        <v>0.25</v>
      </c>
      <c r="V8184">
        <v>32</v>
      </c>
      <c r="X8184" s="42"/>
      <c r="AB8184">
        <v>38.200000000000003</v>
      </c>
      <c r="AC8184">
        <v>30.2</v>
      </c>
      <c r="AE8184" s="74"/>
      <c r="AF8184" s="77"/>
      <c r="AH8184" s="497">
        <v>32</v>
      </c>
      <c r="AJ8184" s="42"/>
      <c r="AK8184" s="74"/>
      <c r="AL8184" s="77"/>
      <c r="AN8184" s="497">
        <v>33.08</v>
      </c>
      <c r="AP8184" s="42"/>
      <c r="AQ8184" s="74"/>
      <c r="AR8184" s="77"/>
      <c r="AT8184" s="497">
        <v>35.96</v>
      </c>
      <c r="AV8184" s="42"/>
      <c r="AW8184" s="74"/>
      <c r="AX8184" s="77"/>
      <c r="BA8184" s="497">
        <v>20.66</v>
      </c>
      <c r="BB8184" s="42"/>
      <c r="BC8184" s="74"/>
      <c r="BD8184" s="77"/>
      <c r="BF8184">
        <v>17.96</v>
      </c>
      <c r="BH8184" s="42"/>
      <c r="BI8184" s="74"/>
      <c r="BJ8184" s="77"/>
      <c r="BL8184" s="497">
        <v>21.02</v>
      </c>
      <c r="BN8184" s="42"/>
      <c r="BO8184" s="74"/>
      <c r="BP8184" s="77"/>
      <c r="BR8184" s="497">
        <v>30.02</v>
      </c>
      <c r="BT8184" s="42"/>
    </row>
    <row r="8185" spans="1:72" x14ac:dyDescent="0.25">
      <c r="A8185" s="90">
        <v>35771</v>
      </c>
      <c r="B8185" s="20">
        <v>0.29166666666666669</v>
      </c>
      <c r="D8185">
        <v>26.060000000000002</v>
      </c>
      <c r="E8185" t="str">
        <f t="shared" si="290"/>
        <v>SUNDAY</v>
      </c>
      <c r="F8185" t="e">
        <f t="shared" si="291"/>
        <v>#N/A</v>
      </c>
      <c r="G8185" s="74">
        <v>28466</v>
      </c>
      <c r="H8185" s="77">
        <v>0.29166666666666669</v>
      </c>
      <c r="J8185">
        <v>26.96</v>
      </c>
      <c r="M8185" s="74">
        <v>36867</v>
      </c>
      <c r="N8185" s="77">
        <v>0.29166666666666669</v>
      </c>
      <c r="P8185">
        <v>26.6</v>
      </c>
      <c r="S8185" s="74">
        <v>35771</v>
      </c>
      <c r="T8185" s="77">
        <v>0.29166666666666669</v>
      </c>
      <c r="V8185">
        <v>33.08</v>
      </c>
      <c r="X8185" s="42"/>
      <c r="AB8185">
        <v>38.1</v>
      </c>
      <c r="AC8185">
        <v>32</v>
      </c>
      <c r="AE8185" s="74"/>
      <c r="AF8185" s="77"/>
      <c r="AH8185" s="497">
        <v>32</v>
      </c>
      <c r="AJ8185" s="42"/>
      <c r="AK8185" s="74"/>
      <c r="AL8185" s="77"/>
      <c r="AN8185" s="497">
        <v>33.979999999999997</v>
      </c>
      <c r="AP8185" s="42"/>
      <c r="AQ8185" s="74"/>
      <c r="AR8185" s="77"/>
      <c r="AT8185" s="497">
        <v>35.06</v>
      </c>
      <c r="AV8185" s="42"/>
      <c r="AW8185" s="74"/>
      <c r="AX8185" s="77"/>
      <c r="BA8185" s="497">
        <v>19.939999999999998</v>
      </c>
      <c r="BB8185" s="42"/>
      <c r="BC8185" s="74"/>
      <c r="BD8185" s="77"/>
      <c r="BF8185">
        <v>17.059999999999999</v>
      </c>
      <c r="BH8185" s="42"/>
      <c r="BI8185" s="74"/>
      <c r="BJ8185" s="77"/>
      <c r="BL8185" s="497">
        <v>21.02</v>
      </c>
      <c r="BN8185" s="42"/>
      <c r="BO8185" s="74"/>
      <c r="BP8185" s="77"/>
      <c r="BR8185" s="497">
        <v>28.94</v>
      </c>
      <c r="BT8185" s="42"/>
    </row>
    <row r="8186" spans="1:72" x14ac:dyDescent="0.25">
      <c r="A8186" s="90">
        <v>35771</v>
      </c>
      <c r="B8186" s="20">
        <v>0.33333333333333331</v>
      </c>
      <c r="D8186">
        <v>26.060000000000002</v>
      </c>
      <c r="E8186" t="str">
        <f t="shared" si="290"/>
        <v>SUNDAY</v>
      </c>
      <c r="F8186" t="e">
        <f t="shared" si="291"/>
        <v>#N/A</v>
      </c>
      <c r="G8186" s="74">
        <v>28466</v>
      </c>
      <c r="H8186" s="77">
        <v>0.33333333333333331</v>
      </c>
      <c r="J8186">
        <v>26.96</v>
      </c>
      <c r="M8186" s="74">
        <v>36867</v>
      </c>
      <c r="N8186" s="77">
        <v>0.33333333333333331</v>
      </c>
      <c r="P8186">
        <v>26.6</v>
      </c>
      <c r="S8186" s="74">
        <v>35771</v>
      </c>
      <c r="T8186" s="77">
        <v>0.33333333333333331</v>
      </c>
      <c r="V8186">
        <v>32</v>
      </c>
      <c r="X8186" s="42"/>
      <c r="AB8186">
        <v>38.1</v>
      </c>
      <c r="AC8186">
        <v>32</v>
      </c>
      <c r="AE8186" s="74"/>
      <c r="AF8186" s="77"/>
      <c r="AH8186" s="497">
        <v>33.799999999999997</v>
      </c>
      <c r="AJ8186" s="42"/>
      <c r="AK8186" s="74"/>
      <c r="AL8186" s="77"/>
      <c r="AN8186" s="497">
        <v>33.979999999999997</v>
      </c>
      <c r="AP8186" s="42"/>
      <c r="AQ8186" s="74"/>
      <c r="AR8186" s="77"/>
      <c r="AT8186" s="497">
        <v>36.68</v>
      </c>
      <c r="AV8186" s="42"/>
      <c r="AW8186" s="74"/>
      <c r="AX8186" s="77"/>
      <c r="BA8186" s="497">
        <v>20.66</v>
      </c>
      <c r="BB8186" s="42"/>
      <c r="BC8186" s="74"/>
      <c r="BD8186" s="77"/>
      <c r="BF8186">
        <v>17.059999999999999</v>
      </c>
      <c r="BH8186" s="42"/>
      <c r="BI8186" s="74"/>
      <c r="BJ8186" s="77"/>
      <c r="BL8186" s="497">
        <v>19.939999999999998</v>
      </c>
      <c r="BN8186" s="42"/>
      <c r="BO8186" s="74"/>
      <c r="BP8186" s="77"/>
      <c r="BR8186" s="497">
        <v>28.94</v>
      </c>
      <c r="BT8186" s="42"/>
    </row>
    <row r="8187" spans="1:72" x14ac:dyDescent="0.25">
      <c r="A8187" s="90">
        <v>35771</v>
      </c>
      <c r="B8187" s="20">
        <v>0.375</v>
      </c>
      <c r="D8187">
        <v>24.08</v>
      </c>
      <c r="E8187" t="str">
        <f t="shared" si="290"/>
        <v>SUNDAY</v>
      </c>
      <c r="F8187" t="e">
        <f t="shared" si="291"/>
        <v>#N/A</v>
      </c>
      <c r="G8187" s="74">
        <v>28466</v>
      </c>
      <c r="H8187" s="77">
        <v>0.375</v>
      </c>
      <c r="J8187">
        <v>26.96</v>
      </c>
      <c r="M8187" s="74">
        <v>36867</v>
      </c>
      <c r="N8187" s="77">
        <v>0.375</v>
      </c>
      <c r="P8187">
        <v>26.6</v>
      </c>
      <c r="S8187" s="74">
        <v>35771</v>
      </c>
      <c r="T8187" s="77">
        <v>0.375</v>
      </c>
      <c r="V8187">
        <v>35.06</v>
      </c>
      <c r="X8187" s="42"/>
      <c r="AB8187">
        <v>38.700000000000003</v>
      </c>
      <c r="AC8187">
        <v>35.6</v>
      </c>
      <c r="AE8187" s="74"/>
      <c r="AF8187" s="77"/>
      <c r="AH8187" s="497">
        <v>33.799999999999997</v>
      </c>
      <c r="AJ8187" s="42"/>
      <c r="AK8187" s="74"/>
      <c r="AL8187" s="77"/>
      <c r="AN8187" s="497">
        <v>35.96</v>
      </c>
      <c r="AP8187" s="42"/>
      <c r="AQ8187" s="74"/>
      <c r="AR8187" s="77"/>
      <c r="AT8187" s="497">
        <v>38.299999999999997</v>
      </c>
      <c r="AV8187" s="42"/>
      <c r="AW8187" s="74"/>
      <c r="AX8187" s="77"/>
      <c r="BA8187" s="497">
        <v>21.2</v>
      </c>
      <c r="BB8187" s="42"/>
      <c r="BC8187" s="74"/>
      <c r="BD8187" s="77"/>
      <c r="BF8187">
        <v>17.96</v>
      </c>
      <c r="BH8187" s="42"/>
      <c r="BI8187" s="74"/>
      <c r="BJ8187" s="77"/>
      <c r="BL8187" s="497">
        <v>21.02</v>
      </c>
      <c r="BN8187" s="42"/>
      <c r="BO8187" s="74"/>
      <c r="BP8187" s="77"/>
      <c r="BR8187" s="497">
        <v>30.92</v>
      </c>
      <c r="BT8187" s="42"/>
    </row>
    <row r="8188" spans="1:72" x14ac:dyDescent="0.25">
      <c r="A8188" s="90">
        <v>35771</v>
      </c>
      <c r="B8188" s="20">
        <v>0.41666666666666669</v>
      </c>
      <c r="D8188">
        <v>26.060000000000002</v>
      </c>
      <c r="E8188" t="str">
        <f t="shared" si="290"/>
        <v>SUNDAY</v>
      </c>
      <c r="F8188" t="e">
        <f t="shared" si="291"/>
        <v>#N/A</v>
      </c>
      <c r="G8188" s="74">
        <v>28466</v>
      </c>
      <c r="H8188" s="77">
        <v>0.41666666666666669</v>
      </c>
      <c r="J8188">
        <v>26.96</v>
      </c>
      <c r="M8188" s="74">
        <v>36867</v>
      </c>
      <c r="N8188" s="77">
        <v>0.41666666666666669</v>
      </c>
      <c r="P8188">
        <v>26.6</v>
      </c>
      <c r="S8188" s="74">
        <v>35771</v>
      </c>
      <c r="T8188" s="77">
        <v>0.41666666666666669</v>
      </c>
      <c r="V8188">
        <v>37.04</v>
      </c>
      <c r="X8188" s="42"/>
      <c r="AB8188">
        <v>40.200000000000003</v>
      </c>
      <c r="AC8188">
        <v>37.4</v>
      </c>
      <c r="AE8188" s="74"/>
      <c r="AF8188" s="77"/>
      <c r="AH8188" s="497">
        <v>33.799999999999997</v>
      </c>
      <c r="AJ8188" s="42"/>
      <c r="AK8188" s="74"/>
      <c r="AL8188" s="77"/>
      <c r="AN8188" s="497">
        <v>37.04</v>
      </c>
      <c r="AP8188" s="42"/>
      <c r="AQ8188" s="74"/>
      <c r="AR8188" s="77"/>
      <c r="AT8188" s="497">
        <v>39.92</v>
      </c>
      <c r="AV8188" s="42"/>
      <c r="AW8188" s="74"/>
      <c r="AX8188" s="77"/>
      <c r="BA8188" s="497">
        <v>21.92</v>
      </c>
      <c r="BB8188" s="42"/>
      <c r="BC8188" s="74"/>
      <c r="BD8188" s="77"/>
      <c r="BF8188">
        <v>19.04</v>
      </c>
      <c r="BH8188" s="42"/>
      <c r="BI8188" s="74"/>
      <c r="BJ8188" s="77"/>
      <c r="BL8188" s="497">
        <v>21.02</v>
      </c>
      <c r="BN8188" s="42"/>
      <c r="BO8188" s="74"/>
      <c r="BP8188" s="77"/>
      <c r="BR8188" s="497">
        <v>30.92</v>
      </c>
      <c r="BT8188" s="42"/>
    </row>
    <row r="8189" spans="1:72" x14ac:dyDescent="0.25">
      <c r="A8189" s="90">
        <v>35771</v>
      </c>
      <c r="B8189" s="20">
        <v>0.45833333333333331</v>
      </c>
      <c r="D8189">
        <v>26.96</v>
      </c>
      <c r="E8189" t="str">
        <f t="shared" si="290"/>
        <v>SUNDAY</v>
      </c>
      <c r="F8189" t="e">
        <f t="shared" si="291"/>
        <v>#N/A</v>
      </c>
      <c r="G8189" s="74">
        <v>28466</v>
      </c>
      <c r="H8189" s="77">
        <v>0.45833333333333331</v>
      </c>
      <c r="J8189">
        <v>28.04</v>
      </c>
      <c r="M8189" s="74">
        <v>36867</v>
      </c>
      <c r="N8189" s="77">
        <v>0.45833333333333331</v>
      </c>
      <c r="P8189">
        <v>28.4</v>
      </c>
      <c r="S8189" s="74">
        <v>35771</v>
      </c>
      <c r="T8189" s="77">
        <v>0.45833333333333331</v>
      </c>
      <c r="V8189">
        <v>37.94</v>
      </c>
      <c r="X8189" s="42"/>
      <c r="AB8189">
        <v>41.7</v>
      </c>
      <c r="AC8189">
        <v>37.4</v>
      </c>
      <c r="AE8189" s="74"/>
      <c r="AF8189" s="77"/>
      <c r="AH8189" s="497">
        <v>33.799999999999997</v>
      </c>
      <c r="AJ8189" s="42"/>
      <c r="AK8189" s="74"/>
      <c r="AL8189" s="77"/>
      <c r="AN8189" s="497">
        <v>37.94</v>
      </c>
      <c r="AP8189" s="42"/>
      <c r="AQ8189" s="74"/>
      <c r="AR8189" s="77"/>
      <c r="AT8189" s="497">
        <v>40.64</v>
      </c>
      <c r="AV8189" s="42"/>
      <c r="AW8189" s="74"/>
      <c r="AX8189" s="77"/>
      <c r="BA8189" s="497">
        <v>22.28</v>
      </c>
      <c r="BB8189" s="42"/>
      <c r="BC8189" s="74"/>
      <c r="BD8189" s="77"/>
      <c r="BF8189">
        <v>19.939999999999998</v>
      </c>
      <c r="BH8189" s="42"/>
      <c r="BI8189" s="74"/>
      <c r="BJ8189" s="77"/>
      <c r="BL8189" s="497">
        <v>21.02</v>
      </c>
      <c r="BN8189" s="42"/>
      <c r="BO8189" s="74"/>
      <c r="BP8189" s="77"/>
      <c r="BR8189" s="497">
        <v>30.92</v>
      </c>
      <c r="BT8189" s="42"/>
    </row>
    <row r="8190" spans="1:72" x14ac:dyDescent="0.25">
      <c r="A8190" s="90">
        <v>35771</v>
      </c>
      <c r="B8190" s="20">
        <v>0.5</v>
      </c>
      <c r="D8190">
        <v>28.94</v>
      </c>
      <c r="E8190" t="str">
        <f t="shared" si="290"/>
        <v>SUNDAY</v>
      </c>
      <c r="F8190" t="e">
        <f t="shared" si="291"/>
        <v>#N/A</v>
      </c>
      <c r="G8190" s="74">
        <v>28466</v>
      </c>
      <c r="H8190" s="77">
        <v>0.5</v>
      </c>
      <c r="J8190">
        <v>28.04</v>
      </c>
      <c r="M8190" s="74">
        <v>36867</v>
      </c>
      <c r="N8190" s="77">
        <v>0.5</v>
      </c>
      <c r="P8190">
        <v>30.2</v>
      </c>
      <c r="S8190" s="74">
        <v>35771</v>
      </c>
      <c r="T8190" s="77">
        <v>0.5</v>
      </c>
      <c r="V8190">
        <v>37.94</v>
      </c>
      <c r="X8190" s="42"/>
      <c r="AB8190">
        <v>42.9</v>
      </c>
      <c r="AC8190">
        <v>39.200000000000003</v>
      </c>
      <c r="AE8190" s="74"/>
      <c r="AF8190" s="77"/>
      <c r="AH8190" s="497">
        <v>33.799999999999997</v>
      </c>
      <c r="AJ8190" s="42"/>
      <c r="AK8190" s="74"/>
      <c r="AL8190" s="77"/>
      <c r="AN8190" s="497">
        <v>39.019999999999996</v>
      </c>
      <c r="AP8190" s="42"/>
      <c r="AQ8190" s="74"/>
      <c r="AR8190" s="77"/>
      <c r="AT8190" s="497">
        <v>41.36</v>
      </c>
      <c r="AV8190" s="42"/>
      <c r="AW8190" s="74"/>
      <c r="AX8190" s="77"/>
      <c r="BA8190" s="497">
        <v>22.64</v>
      </c>
      <c r="BB8190" s="42"/>
      <c r="BC8190" s="74"/>
      <c r="BD8190" s="77"/>
      <c r="BF8190">
        <v>21.02</v>
      </c>
      <c r="BH8190" s="42"/>
      <c r="BI8190" s="74"/>
      <c r="BJ8190" s="77"/>
      <c r="BL8190" s="497">
        <v>21.92</v>
      </c>
      <c r="BN8190" s="42"/>
      <c r="BO8190" s="74"/>
      <c r="BP8190" s="77"/>
      <c r="BR8190" s="497">
        <v>30.92</v>
      </c>
      <c r="BT8190" s="42"/>
    </row>
    <row r="8191" spans="1:72" x14ac:dyDescent="0.25">
      <c r="A8191" s="90">
        <v>35771</v>
      </c>
      <c r="B8191" s="20">
        <v>0.54166666666666663</v>
      </c>
      <c r="D8191">
        <v>30.02</v>
      </c>
      <c r="E8191" t="str">
        <f t="shared" si="290"/>
        <v>SUNDAY</v>
      </c>
      <c r="F8191" t="e">
        <f t="shared" si="291"/>
        <v>#N/A</v>
      </c>
      <c r="G8191" s="74">
        <v>28466</v>
      </c>
      <c r="H8191" s="77">
        <v>0.54166666666666663</v>
      </c>
      <c r="J8191">
        <v>26.96</v>
      </c>
      <c r="M8191" s="74">
        <v>36867</v>
      </c>
      <c r="N8191" s="77">
        <v>0.54166666666666663</v>
      </c>
      <c r="P8191">
        <v>30.2</v>
      </c>
      <c r="S8191" s="74">
        <v>35771</v>
      </c>
      <c r="T8191" s="77">
        <v>0.54166666666666663</v>
      </c>
      <c r="V8191">
        <v>39.019999999999996</v>
      </c>
      <c r="X8191" s="42"/>
      <c r="AB8191">
        <v>43.8</v>
      </c>
      <c r="AC8191">
        <v>39.200000000000003</v>
      </c>
      <c r="AE8191" s="74"/>
      <c r="AF8191" s="77"/>
      <c r="AH8191" s="497">
        <v>33.799999999999997</v>
      </c>
      <c r="AJ8191" s="42"/>
      <c r="AK8191" s="74"/>
      <c r="AL8191" s="77"/>
      <c r="AN8191" s="497">
        <v>39.92</v>
      </c>
      <c r="AP8191" s="42"/>
      <c r="AQ8191" s="74"/>
      <c r="AR8191" s="77"/>
      <c r="AT8191" s="497">
        <v>42.08</v>
      </c>
      <c r="AV8191" s="42"/>
      <c r="AW8191" s="74"/>
      <c r="AX8191" s="77"/>
      <c r="BA8191" s="497">
        <v>23</v>
      </c>
      <c r="BB8191" s="42"/>
      <c r="BC8191" s="74"/>
      <c r="BD8191" s="77"/>
      <c r="BF8191">
        <v>23</v>
      </c>
      <c r="BH8191" s="42"/>
      <c r="BI8191" s="74"/>
      <c r="BJ8191" s="77"/>
      <c r="BL8191" s="497">
        <v>21.92</v>
      </c>
      <c r="BN8191" s="42"/>
      <c r="BO8191" s="74"/>
      <c r="BP8191" s="77"/>
      <c r="BR8191" s="497">
        <v>32</v>
      </c>
      <c r="BT8191" s="42"/>
    </row>
    <row r="8192" spans="1:72" x14ac:dyDescent="0.25">
      <c r="A8192" s="90">
        <v>35771</v>
      </c>
      <c r="B8192" s="20">
        <v>0.58333333333333337</v>
      </c>
      <c r="D8192">
        <v>30.92</v>
      </c>
      <c r="E8192" t="str">
        <f t="shared" si="290"/>
        <v>SUNDAY</v>
      </c>
      <c r="F8192" t="e">
        <f t="shared" si="291"/>
        <v>#N/A</v>
      </c>
      <c r="G8192" s="74">
        <v>28466</v>
      </c>
      <c r="H8192" s="77">
        <v>0.58333333333333337</v>
      </c>
      <c r="J8192">
        <v>26.96</v>
      </c>
      <c r="M8192" s="74">
        <v>36867</v>
      </c>
      <c r="N8192" s="77">
        <v>0.58333333333333337</v>
      </c>
      <c r="P8192">
        <v>30.2</v>
      </c>
      <c r="S8192" s="74">
        <v>35771</v>
      </c>
      <c r="T8192" s="77">
        <v>0.58333333333333337</v>
      </c>
      <c r="V8192">
        <v>41</v>
      </c>
      <c r="X8192" s="42"/>
      <c r="AB8192">
        <v>44.4</v>
      </c>
      <c r="AC8192">
        <v>39.200000000000003</v>
      </c>
      <c r="AE8192" s="74"/>
      <c r="AF8192" s="77"/>
      <c r="AH8192" s="497">
        <v>33.799999999999997</v>
      </c>
      <c r="AJ8192" s="42"/>
      <c r="AK8192" s="74"/>
      <c r="AL8192" s="77"/>
      <c r="AN8192" s="497">
        <v>41</v>
      </c>
      <c r="AP8192" s="42"/>
      <c r="AQ8192" s="74"/>
      <c r="AR8192" s="77"/>
      <c r="AT8192" s="497">
        <v>42.08</v>
      </c>
      <c r="AV8192" s="42"/>
      <c r="AW8192" s="74"/>
      <c r="AX8192" s="77"/>
      <c r="BA8192" s="497">
        <v>22.64</v>
      </c>
      <c r="BB8192" s="42"/>
      <c r="BC8192" s="74"/>
      <c r="BD8192" s="77"/>
      <c r="BF8192">
        <v>24.08</v>
      </c>
      <c r="BH8192" s="42"/>
      <c r="BI8192" s="74"/>
      <c r="BJ8192" s="77"/>
      <c r="BL8192" s="497">
        <v>23</v>
      </c>
      <c r="BN8192" s="42"/>
      <c r="BO8192" s="74"/>
      <c r="BP8192" s="77"/>
      <c r="BR8192" s="497">
        <v>32</v>
      </c>
      <c r="BT8192" s="42"/>
    </row>
    <row r="8193" spans="1:72" x14ac:dyDescent="0.25">
      <c r="A8193" s="90">
        <v>35771</v>
      </c>
      <c r="B8193" s="20">
        <v>0.625</v>
      </c>
      <c r="D8193">
        <v>30.92</v>
      </c>
      <c r="E8193" t="str">
        <f t="shared" si="290"/>
        <v>SUNDAY</v>
      </c>
      <c r="F8193" t="e">
        <f t="shared" si="291"/>
        <v>#N/A</v>
      </c>
      <c r="G8193" s="74">
        <v>28466</v>
      </c>
      <c r="H8193" s="77">
        <v>0.625</v>
      </c>
      <c r="J8193">
        <v>28.04</v>
      </c>
      <c r="M8193" s="74">
        <v>36867</v>
      </c>
      <c r="N8193" s="77">
        <v>0.625</v>
      </c>
      <c r="P8193">
        <v>32</v>
      </c>
      <c r="S8193" s="74">
        <v>35771</v>
      </c>
      <c r="T8193" s="77">
        <v>0.625</v>
      </c>
      <c r="V8193">
        <v>39.92</v>
      </c>
      <c r="X8193" s="42"/>
      <c r="AB8193">
        <v>44.5</v>
      </c>
      <c r="AC8193">
        <v>41</v>
      </c>
      <c r="AE8193" s="74"/>
      <c r="AF8193" s="77"/>
      <c r="AH8193" s="497">
        <v>33.799999999999997</v>
      </c>
      <c r="AJ8193" s="42"/>
      <c r="AK8193" s="74"/>
      <c r="AL8193" s="77"/>
      <c r="AN8193" s="497">
        <v>42.08</v>
      </c>
      <c r="AP8193" s="42"/>
      <c r="AQ8193" s="74"/>
      <c r="AR8193" s="77"/>
      <c r="AT8193" s="497">
        <v>42.08</v>
      </c>
      <c r="AV8193" s="42"/>
      <c r="AW8193" s="74"/>
      <c r="AX8193" s="77"/>
      <c r="BA8193" s="497">
        <v>22.28</v>
      </c>
      <c r="BB8193" s="42"/>
      <c r="BC8193" s="74"/>
      <c r="BD8193" s="77"/>
      <c r="BF8193">
        <v>24.08</v>
      </c>
      <c r="BH8193" s="42"/>
      <c r="BI8193" s="74"/>
      <c r="BJ8193" s="77"/>
      <c r="BL8193" s="497">
        <v>23</v>
      </c>
      <c r="BN8193" s="42"/>
      <c r="BO8193" s="74"/>
      <c r="BP8193" s="77"/>
      <c r="BR8193" s="497">
        <v>30.92</v>
      </c>
      <c r="BT8193" s="42"/>
    </row>
    <row r="8194" spans="1:72" x14ac:dyDescent="0.25">
      <c r="A8194" s="90">
        <v>35771</v>
      </c>
      <c r="B8194" s="20">
        <v>0.66666666666666663</v>
      </c>
      <c r="D8194">
        <v>30.92</v>
      </c>
      <c r="E8194" t="str">
        <f t="shared" si="290"/>
        <v>SUNDAY</v>
      </c>
      <c r="F8194" t="e">
        <f t="shared" si="291"/>
        <v>#N/A</v>
      </c>
      <c r="G8194" s="74">
        <v>28466</v>
      </c>
      <c r="H8194" s="77">
        <v>0.66666666666666663</v>
      </c>
      <c r="J8194">
        <v>28.04</v>
      </c>
      <c r="M8194" s="74">
        <v>36867</v>
      </c>
      <c r="N8194" s="77">
        <v>0.66666666666666663</v>
      </c>
      <c r="P8194">
        <v>30.2</v>
      </c>
      <c r="S8194" s="74">
        <v>35771</v>
      </c>
      <c r="T8194" s="77">
        <v>0.66666666666666663</v>
      </c>
      <c r="V8194">
        <v>39.92</v>
      </c>
      <c r="X8194" s="42"/>
      <c r="AB8194">
        <v>44.3</v>
      </c>
      <c r="AC8194">
        <v>41</v>
      </c>
      <c r="AE8194" s="74"/>
      <c r="AF8194" s="77"/>
      <c r="AH8194" s="497">
        <v>35.6</v>
      </c>
      <c r="AJ8194" s="42"/>
      <c r="AK8194" s="74"/>
      <c r="AL8194" s="77"/>
      <c r="AN8194" s="497">
        <v>39.92</v>
      </c>
      <c r="AP8194" s="42"/>
      <c r="AQ8194" s="74"/>
      <c r="AR8194" s="77"/>
      <c r="AT8194" s="497">
        <v>42.08</v>
      </c>
      <c r="AV8194" s="42"/>
      <c r="AW8194" s="74"/>
      <c r="AX8194" s="77"/>
      <c r="BA8194" s="497">
        <v>21.92</v>
      </c>
      <c r="BB8194" s="42"/>
      <c r="BC8194" s="74"/>
      <c r="BD8194" s="77"/>
      <c r="BF8194">
        <v>23</v>
      </c>
      <c r="BH8194" s="42"/>
      <c r="BI8194" s="74"/>
      <c r="BJ8194" s="77"/>
      <c r="BL8194" s="497">
        <v>23</v>
      </c>
      <c r="BN8194" s="42"/>
      <c r="BO8194" s="74"/>
      <c r="BP8194" s="77"/>
      <c r="BR8194" s="497">
        <v>30.92</v>
      </c>
      <c r="BT8194" s="42"/>
    </row>
    <row r="8195" spans="1:72" x14ac:dyDescent="0.25">
      <c r="A8195" s="90">
        <v>35771</v>
      </c>
      <c r="B8195" s="20">
        <v>0.70833333333333337</v>
      </c>
      <c r="D8195">
        <v>30.02</v>
      </c>
      <c r="E8195" t="str">
        <f t="shared" si="290"/>
        <v>SUNDAY</v>
      </c>
      <c r="F8195" t="e">
        <f t="shared" si="291"/>
        <v>#N/A</v>
      </c>
      <c r="G8195" s="74">
        <v>28466</v>
      </c>
      <c r="H8195" s="77">
        <v>0.70833333333333337</v>
      </c>
      <c r="J8195">
        <v>28.04</v>
      </c>
      <c r="M8195" s="74">
        <v>36867</v>
      </c>
      <c r="N8195" s="77">
        <v>0.70833333333333337</v>
      </c>
      <c r="P8195">
        <v>28.4</v>
      </c>
      <c r="S8195" s="74">
        <v>35771</v>
      </c>
      <c r="T8195" s="77">
        <v>0.70833333333333337</v>
      </c>
      <c r="V8195">
        <v>41</v>
      </c>
      <c r="X8195" s="42"/>
      <c r="AB8195">
        <v>43.4</v>
      </c>
      <c r="AC8195">
        <v>39.200000000000003</v>
      </c>
      <c r="AE8195" s="74"/>
      <c r="AF8195" s="77"/>
      <c r="AH8195" s="497">
        <v>39.200000000000003</v>
      </c>
      <c r="AJ8195" s="42"/>
      <c r="AK8195" s="74"/>
      <c r="AL8195" s="77"/>
      <c r="AN8195" s="497">
        <v>39.019999999999996</v>
      </c>
      <c r="AP8195" s="42"/>
      <c r="AQ8195" s="74"/>
      <c r="AR8195" s="77"/>
      <c r="AT8195" s="497">
        <v>41</v>
      </c>
      <c r="AV8195" s="42"/>
      <c r="AW8195" s="74"/>
      <c r="AX8195" s="77"/>
      <c r="BA8195" s="497">
        <v>22.64</v>
      </c>
      <c r="BB8195" s="42"/>
      <c r="BC8195" s="74"/>
      <c r="BD8195" s="77"/>
      <c r="BF8195">
        <v>21.92</v>
      </c>
      <c r="BH8195" s="42"/>
      <c r="BI8195" s="74"/>
      <c r="BJ8195" s="77"/>
      <c r="BL8195" s="497">
        <v>23</v>
      </c>
      <c r="BN8195" s="42"/>
      <c r="BO8195" s="74"/>
      <c r="BP8195" s="77"/>
      <c r="BR8195" s="497">
        <v>30.02</v>
      </c>
      <c r="BT8195" s="42"/>
    </row>
    <row r="8196" spans="1:72" x14ac:dyDescent="0.25">
      <c r="A8196" s="90">
        <v>35771</v>
      </c>
      <c r="B8196" s="20">
        <v>0.75</v>
      </c>
      <c r="D8196">
        <v>30.02</v>
      </c>
      <c r="E8196" t="str">
        <f t="shared" si="290"/>
        <v>SUNDAY</v>
      </c>
      <c r="F8196" t="e">
        <f t="shared" si="291"/>
        <v>#N/A</v>
      </c>
      <c r="G8196" s="74">
        <v>28466</v>
      </c>
      <c r="H8196" s="77">
        <v>0.75</v>
      </c>
      <c r="J8196">
        <v>28.04</v>
      </c>
      <c r="M8196" s="74">
        <v>36867</v>
      </c>
      <c r="N8196" s="77">
        <v>0.75</v>
      </c>
      <c r="P8196">
        <v>27.32</v>
      </c>
      <c r="S8196" s="74">
        <v>35771</v>
      </c>
      <c r="T8196" s="77">
        <v>0.75</v>
      </c>
      <c r="V8196">
        <v>41</v>
      </c>
      <c r="X8196" s="42"/>
      <c r="AB8196">
        <v>42.4</v>
      </c>
      <c r="AC8196">
        <v>39.200000000000003</v>
      </c>
      <c r="AE8196" s="74"/>
      <c r="AF8196" s="77"/>
      <c r="AH8196" s="497">
        <v>35.6</v>
      </c>
      <c r="AJ8196" s="42"/>
      <c r="AK8196" s="74"/>
      <c r="AL8196" s="77"/>
      <c r="AN8196" s="497">
        <v>39.019999999999996</v>
      </c>
      <c r="AP8196" s="42"/>
      <c r="AQ8196" s="74"/>
      <c r="AR8196" s="77"/>
      <c r="AT8196" s="497">
        <v>40.1</v>
      </c>
      <c r="AV8196" s="42"/>
      <c r="AW8196" s="74"/>
      <c r="AX8196" s="77"/>
      <c r="BA8196" s="497">
        <v>23.36</v>
      </c>
      <c r="BB8196" s="42"/>
      <c r="BC8196" s="74"/>
      <c r="BD8196" s="77"/>
      <c r="BF8196">
        <v>19.939999999999998</v>
      </c>
      <c r="BH8196" s="42"/>
      <c r="BI8196" s="74"/>
      <c r="BJ8196" s="77"/>
      <c r="BL8196" s="497">
        <v>21.02</v>
      </c>
      <c r="BN8196" s="42"/>
      <c r="BO8196" s="74"/>
      <c r="BP8196" s="77"/>
      <c r="BR8196" s="497">
        <v>30.02</v>
      </c>
      <c r="BT8196" s="42"/>
    </row>
    <row r="8197" spans="1:72" x14ac:dyDescent="0.25">
      <c r="A8197" s="90">
        <v>35771</v>
      </c>
      <c r="B8197" s="20">
        <v>0.79166666666666663</v>
      </c>
      <c r="D8197">
        <v>30.02</v>
      </c>
      <c r="E8197" t="str">
        <f t="shared" si="290"/>
        <v>SUNDAY</v>
      </c>
      <c r="F8197" t="e">
        <f t="shared" si="291"/>
        <v>#N/A</v>
      </c>
      <c r="G8197" s="74">
        <v>28466</v>
      </c>
      <c r="H8197" s="77">
        <v>0.79166666666666663</v>
      </c>
      <c r="J8197">
        <v>28.04</v>
      </c>
      <c r="M8197" s="74">
        <v>36867</v>
      </c>
      <c r="N8197" s="77">
        <v>0.79166666666666663</v>
      </c>
      <c r="P8197">
        <v>26.6</v>
      </c>
      <c r="S8197" s="74">
        <v>35771</v>
      </c>
      <c r="T8197" s="77">
        <v>0.79166666666666663</v>
      </c>
      <c r="V8197">
        <v>41</v>
      </c>
      <c r="X8197" s="42"/>
      <c r="AB8197">
        <v>42</v>
      </c>
      <c r="AC8197">
        <v>41</v>
      </c>
      <c r="AE8197" s="74"/>
      <c r="AF8197" s="77"/>
      <c r="AH8197" s="497">
        <v>35.6</v>
      </c>
      <c r="AJ8197" s="42"/>
      <c r="AK8197" s="74"/>
      <c r="AL8197" s="77"/>
      <c r="AN8197" s="497">
        <v>41</v>
      </c>
      <c r="AP8197" s="42"/>
      <c r="AQ8197" s="74"/>
      <c r="AR8197" s="77"/>
      <c r="AT8197" s="497">
        <v>39.019999999999996</v>
      </c>
      <c r="AV8197" s="42"/>
      <c r="AW8197" s="74"/>
      <c r="AX8197" s="77"/>
      <c r="BA8197" s="497">
        <v>24.08</v>
      </c>
      <c r="BB8197" s="42"/>
      <c r="BC8197" s="74"/>
      <c r="BD8197" s="77"/>
      <c r="BF8197">
        <v>17.96</v>
      </c>
      <c r="BH8197" s="42"/>
      <c r="BI8197" s="74"/>
      <c r="BJ8197" s="77"/>
      <c r="BL8197" s="497">
        <v>23</v>
      </c>
      <c r="BN8197" s="42"/>
      <c r="BO8197" s="74"/>
      <c r="BP8197" s="77"/>
      <c r="BR8197" s="497">
        <v>30.02</v>
      </c>
      <c r="BT8197" s="42"/>
    </row>
    <row r="8198" spans="1:72" x14ac:dyDescent="0.25">
      <c r="A8198" s="90">
        <v>35771</v>
      </c>
      <c r="B8198" s="20">
        <v>0.83333333333333337</v>
      </c>
      <c r="D8198">
        <v>28.04</v>
      </c>
      <c r="E8198" t="str">
        <f t="shared" si="290"/>
        <v>SUNDAY</v>
      </c>
      <c r="F8198" t="e">
        <f t="shared" si="291"/>
        <v>#N/A</v>
      </c>
      <c r="G8198" s="74">
        <v>28466</v>
      </c>
      <c r="H8198" s="77">
        <v>0.83333333333333337</v>
      </c>
      <c r="J8198">
        <v>28.04</v>
      </c>
      <c r="M8198" s="74">
        <v>36867</v>
      </c>
      <c r="N8198" s="77">
        <v>0.83333333333333337</v>
      </c>
      <c r="P8198">
        <v>26.6</v>
      </c>
      <c r="S8198" s="74">
        <v>35771</v>
      </c>
      <c r="T8198" s="77">
        <v>0.83333333333333337</v>
      </c>
      <c r="V8198">
        <v>39.92</v>
      </c>
      <c r="X8198" s="42"/>
      <c r="AB8198">
        <v>41.8</v>
      </c>
      <c r="AC8198">
        <v>39.200000000000003</v>
      </c>
      <c r="AE8198" s="74"/>
      <c r="AF8198" s="77"/>
      <c r="AH8198" s="497">
        <v>35.6</v>
      </c>
      <c r="AJ8198" s="42"/>
      <c r="AK8198" s="74"/>
      <c r="AL8198" s="77"/>
      <c r="AN8198" s="497">
        <v>41</v>
      </c>
      <c r="AP8198" s="42"/>
      <c r="AQ8198" s="74"/>
      <c r="AR8198" s="77"/>
      <c r="AT8198" s="497">
        <v>36.68</v>
      </c>
      <c r="AV8198" s="42"/>
      <c r="AW8198" s="74"/>
      <c r="AX8198" s="77"/>
      <c r="BA8198" s="497">
        <v>22.1</v>
      </c>
      <c r="BB8198" s="42"/>
      <c r="BC8198" s="74"/>
      <c r="BD8198" s="77"/>
      <c r="BF8198">
        <v>17.059999999999999</v>
      </c>
      <c r="BH8198" s="42"/>
      <c r="BI8198" s="74"/>
      <c r="BJ8198" s="77"/>
      <c r="BL8198" s="497">
        <v>21.92</v>
      </c>
      <c r="BN8198" s="42"/>
      <c r="BO8198" s="74"/>
      <c r="BP8198" s="77"/>
      <c r="BR8198" s="497">
        <v>30.92</v>
      </c>
      <c r="BT8198" s="42"/>
    </row>
    <row r="8199" spans="1:72" x14ac:dyDescent="0.25">
      <c r="A8199" s="90">
        <v>35771</v>
      </c>
      <c r="B8199" s="20">
        <v>0.875</v>
      </c>
      <c r="D8199">
        <v>28.04</v>
      </c>
      <c r="E8199" t="str">
        <f t="shared" si="290"/>
        <v>SUNDAY</v>
      </c>
      <c r="F8199" t="e">
        <f t="shared" si="291"/>
        <v>#N/A</v>
      </c>
      <c r="G8199" s="74">
        <v>28466</v>
      </c>
      <c r="H8199" s="77">
        <v>0.875</v>
      </c>
      <c r="J8199">
        <v>26.96</v>
      </c>
      <c r="M8199" s="74">
        <v>36867</v>
      </c>
      <c r="N8199" s="77">
        <v>0.875</v>
      </c>
      <c r="P8199">
        <v>26.6</v>
      </c>
      <c r="S8199" s="74">
        <v>35771</v>
      </c>
      <c r="T8199" s="77">
        <v>0.875</v>
      </c>
      <c r="V8199">
        <v>39.92</v>
      </c>
      <c r="X8199" s="42"/>
      <c r="AB8199">
        <v>41.3</v>
      </c>
      <c r="AC8199">
        <v>37.4</v>
      </c>
      <c r="AE8199" s="74"/>
      <c r="AF8199" s="77"/>
      <c r="AH8199" s="497">
        <v>37.4</v>
      </c>
      <c r="AJ8199" s="42"/>
      <c r="AK8199" s="74"/>
      <c r="AL8199" s="77"/>
      <c r="AN8199" s="497">
        <v>42.980000000000004</v>
      </c>
      <c r="AP8199" s="42"/>
      <c r="AQ8199" s="74"/>
      <c r="AR8199" s="77"/>
      <c r="AT8199" s="497">
        <v>34.340000000000003</v>
      </c>
      <c r="AV8199" s="42"/>
      <c r="AW8199" s="74"/>
      <c r="AX8199" s="77"/>
      <c r="BA8199" s="497">
        <v>19.939999999999998</v>
      </c>
      <c r="BB8199" s="42"/>
      <c r="BC8199" s="74"/>
      <c r="BD8199" s="77"/>
      <c r="BF8199">
        <v>15.98</v>
      </c>
      <c r="BH8199" s="42"/>
      <c r="BI8199" s="74"/>
      <c r="BJ8199" s="77"/>
      <c r="BL8199" s="497">
        <v>21.92</v>
      </c>
      <c r="BN8199" s="42"/>
      <c r="BO8199" s="74"/>
      <c r="BP8199" s="77"/>
      <c r="BR8199" s="497">
        <v>30.92</v>
      </c>
      <c r="BT8199" s="42"/>
    </row>
    <row r="8200" spans="1:72" x14ac:dyDescent="0.25">
      <c r="A8200" s="90">
        <v>35771</v>
      </c>
      <c r="B8200" s="20">
        <v>0.91666666666666663</v>
      </c>
      <c r="D8200">
        <v>26.96</v>
      </c>
      <c r="E8200" t="str">
        <f t="shared" si="290"/>
        <v>SUNDAY</v>
      </c>
      <c r="F8200" t="e">
        <f t="shared" si="291"/>
        <v>#N/A</v>
      </c>
      <c r="G8200" s="74">
        <v>28466</v>
      </c>
      <c r="H8200" s="77">
        <v>0.91666666666666663</v>
      </c>
      <c r="J8200">
        <v>26.96</v>
      </c>
      <c r="M8200" s="74">
        <v>36867</v>
      </c>
      <c r="N8200" s="77">
        <v>0.91666666666666663</v>
      </c>
      <c r="P8200">
        <v>24.8</v>
      </c>
      <c r="S8200" s="74">
        <v>35771</v>
      </c>
      <c r="T8200" s="77">
        <v>0.91666666666666663</v>
      </c>
      <c r="V8200">
        <v>41</v>
      </c>
      <c r="X8200" s="42"/>
      <c r="AB8200">
        <v>40.799999999999997</v>
      </c>
      <c r="AC8200">
        <v>39.200000000000003</v>
      </c>
      <c r="AE8200" s="74"/>
      <c r="AF8200" s="77"/>
      <c r="AH8200" s="497">
        <v>37.4</v>
      </c>
      <c r="AJ8200" s="42"/>
      <c r="AK8200" s="74"/>
      <c r="AL8200" s="77"/>
      <c r="AN8200" s="497">
        <v>46.04</v>
      </c>
      <c r="AP8200" s="42"/>
      <c r="AQ8200" s="74"/>
      <c r="AR8200" s="77"/>
      <c r="AT8200" s="497">
        <v>32</v>
      </c>
      <c r="AV8200" s="42"/>
      <c r="AW8200" s="74"/>
      <c r="AX8200" s="77"/>
      <c r="BA8200" s="497">
        <v>17.96</v>
      </c>
      <c r="BB8200" s="42"/>
      <c r="BC8200" s="74"/>
      <c r="BD8200" s="77"/>
      <c r="BF8200">
        <v>17.96</v>
      </c>
      <c r="BH8200" s="42"/>
      <c r="BI8200" s="74"/>
      <c r="BJ8200" s="77"/>
      <c r="BL8200" s="497">
        <v>21.02</v>
      </c>
      <c r="BN8200" s="42"/>
      <c r="BO8200" s="74"/>
      <c r="BP8200" s="77"/>
      <c r="BR8200" s="497">
        <v>30.92</v>
      </c>
      <c r="BT8200" s="42"/>
    </row>
    <row r="8201" spans="1:72" x14ac:dyDescent="0.25">
      <c r="A8201" s="90">
        <v>35771</v>
      </c>
      <c r="B8201" s="20">
        <v>0.95833333333333337</v>
      </c>
      <c r="D8201">
        <v>26.96</v>
      </c>
      <c r="E8201" t="str">
        <f t="shared" si="290"/>
        <v>SUNDAY</v>
      </c>
      <c r="F8201" t="e">
        <f t="shared" si="291"/>
        <v>#N/A</v>
      </c>
      <c r="G8201" s="74">
        <v>28466</v>
      </c>
      <c r="H8201" s="77">
        <v>0.95833333333333337</v>
      </c>
      <c r="J8201">
        <v>26.96</v>
      </c>
      <c r="M8201" s="74">
        <v>36867</v>
      </c>
      <c r="N8201" s="77">
        <v>0.95833333333333337</v>
      </c>
      <c r="P8201">
        <v>26.6</v>
      </c>
      <c r="S8201" s="74">
        <v>35771</v>
      </c>
      <c r="T8201" s="77">
        <v>0.95833333333333337</v>
      </c>
      <c r="V8201">
        <v>41</v>
      </c>
      <c r="X8201" s="42"/>
      <c r="AB8201">
        <v>40.299999999999997</v>
      </c>
      <c r="AC8201">
        <v>39.200000000000003</v>
      </c>
      <c r="AE8201" s="74"/>
      <c r="AF8201" s="77"/>
      <c r="AH8201" s="497">
        <v>37.4</v>
      </c>
      <c r="AJ8201" s="42"/>
      <c r="AK8201" s="74"/>
      <c r="AL8201" s="77"/>
      <c r="AN8201" s="497">
        <v>46.04</v>
      </c>
      <c r="AP8201" s="42"/>
      <c r="AQ8201" s="74"/>
      <c r="AR8201" s="77"/>
      <c r="AT8201" s="497">
        <v>35.6</v>
      </c>
      <c r="AV8201" s="42"/>
      <c r="AW8201" s="74"/>
      <c r="AX8201" s="77"/>
      <c r="BA8201" s="497">
        <v>17.600000000000001</v>
      </c>
      <c r="BB8201" s="42"/>
      <c r="BC8201" s="74"/>
      <c r="BD8201" s="77"/>
      <c r="BF8201">
        <v>17.96</v>
      </c>
      <c r="BH8201" s="42"/>
      <c r="BI8201" s="74"/>
      <c r="BJ8201" s="77"/>
      <c r="BL8201" s="497">
        <v>19.939999999999998</v>
      </c>
      <c r="BN8201" s="42"/>
      <c r="BO8201" s="74"/>
      <c r="BP8201" s="77"/>
      <c r="BR8201" s="497">
        <v>30.92</v>
      </c>
      <c r="BT8201" s="42"/>
    </row>
    <row r="8202" spans="1:72" x14ac:dyDescent="0.25">
      <c r="A8202" s="90">
        <v>35771</v>
      </c>
      <c r="B8202" s="20">
        <v>1</v>
      </c>
      <c r="D8202">
        <v>26.96</v>
      </c>
      <c r="E8202" t="str">
        <f t="shared" si="290"/>
        <v>SUNDAY</v>
      </c>
      <c r="F8202" t="e">
        <f t="shared" si="291"/>
        <v>#N/A</v>
      </c>
      <c r="G8202" s="74">
        <v>28466</v>
      </c>
      <c r="H8202" s="77">
        <v>1</v>
      </c>
      <c r="J8202">
        <v>26.96</v>
      </c>
      <c r="M8202" s="74">
        <v>36867</v>
      </c>
      <c r="N8202" s="80">
        <v>1</v>
      </c>
      <c r="P8202">
        <v>24.8</v>
      </c>
      <c r="S8202" s="74">
        <v>35771</v>
      </c>
      <c r="T8202" s="80">
        <v>1</v>
      </c>
      <c r="V8202">
        <v>41</v>
      </c>
      <c r="X8202" s="42"/>
      <c r="AB8202">
        <v>39.799999999999997</v>
      </c>
      <c r="AC8202">
        <v>39.200000000000003</v>
      </c>
      <c r="AE8202" s="74"/>
      <c r="AF8202" s="80"/>
      <c r="AH8202" s="497">
        <v>37.4</v>
      </c>
      <c r="AJ8202" s="42"/>
      <c r="AK8202" s="74"/>
      <c r="AL8202" s="80"/>
      <c r="AN8202" s="497">
        <v>44.96</v>
      </c>
      <c r="AP8202" s="42"/>
      <c r="AQ8202" s="74"/>
      <c r="AR8202" s="80"/>
      <c r="AT8202" s="497">
        <v>39.380000000000003</v>
      </c>
      <c r="AV8202" s="42"/>
      <c r="AW8202" s="74"/>
      <c r="AX8202" s="80"/>
      <c r="BA8202" s="497">
        <v>17.420000000000002</v>
      </c>
      <c r="BB8202" s="42"/>
      <c r="BC8202" s="74"/>
      <c r="BD8202" s="80"/>
      <c r="BF8202">
        <v>19.939999999999998</v>
      </c>
      <c r="BH8202" s="42"/>
      <c r="BI8202" s="74"/>
      <c r="BJ8202" s="80"/>
      <c r="BL8202" s="497">
        <v>21.02</v>
      </c>
      <c r="BN8202" s="42"/>
      <c r="BO8202" s="74"/>
      <c r="BP8202" s="80"/>
      <c r="BR8202" s="497">
        <v>30.02</v>
      </c>
      <c r="BT8202" s="42"/>
    </row>
    <row r="8203" spans="1:72" x14ac:dyDescent="0.25">
      <c r="A8203" s="90">
        <v>35772</v>
      </c>
      <c r="B8203" s="20">
        <v>4.1666666666666664E-2</v>
      </c>
      <c r="D8203">
        <v>26.060000000000002</v>
      </c>
      <c r="E8203" t="str">
        <f t="shared" si="290"/>
        <v>WEEKDAY</v>
      </c>
      <c r="F8203" t="e">
        <f t="shared" si="291"/>
        <v>#N/A</v>
      </c>
      <c r="G8203" s="74">
        <v>28467</v>
      </c>
      <c r="H8203" s="77">
        <v>4.1666666666666664E-2</v>
      </c>
      <c r="J8203">
        <v>26.060000000000002</v>
      </c>
      <c r="M8203" s="74">
        <v>36868</v>
      </c>
      <c r="N8203" s="77">
        <v>4.1666666666666664E-2</v>
      </c>
      <c r="P8203">
        <v>24.8</v>
      </c>
      <c r="S8203" s="74">
        <v>35772</v>
      </c>
      <c r="T8203" s="77">
        <v>4.1666666666666664E-2</v>
      </c>
      <c r="V8203">
        <v>41</v>
      </c>
      <c r="X8203" s="42"/>
      <c r="AB8203">
        <v>39.5</v>
      </c>
      <c r="AC8203">
        <v>37.4</v>
      </c>
      <c r="AE8203" s="74"/>
      <c r="AF8203" s="77"/>
      <c r="AH8203" s="497">
        <v>37.4</v>
      </c>
      <c r="AJ8203" s="42"/>
      <c r="AK8203" s="74"/>
      <c r="AL8203" s="77"/>
      <c r="AN8203" s="497">
        <v>46.04</v>
      </c>
      <c r="AP8203" s="42"/>
      <c r="AQ8203" s="74"/>
      <c r="AR8203" s="77"/>
      <c r="AT8203" s="497">
        <v>42.980000000000004</v>
      </c>
      <c r="AV8203" s="42"/>
      <c r="AW8203" s="74"/>
      <c r="AX8203" s="77"/>
      <c r="BA8203" s="497">
        <v>17.059999999999999</v>
      </c>
      <c r="BB8203" s="42"/>
      <c r="BC8203" s="74"/>
      <c r="BD8203" s="77"/>
      <c r="BF8203">
        <v>19.939999999999998</v>
      </c>
      <c r="BH8203" s="42"/>
      <c r="BI8203" s="74"/>
      <c r="BJ8203" s="77"/>
      <c r="BL8203" s="497">
        <v>19.939999999999998</v>
      </c>
      <c r="BN8203" s="42"/>
      <c r="BO8203" s="74"/>
      <c r="BP8203" s="77"/>
      <c r="BR8203" s="497">
        <v>30.02</v>
      </c>
      <c r="BT8203" s="42"/>
    </row>
    <row r="8204" spans="1:72" x14ac:dyDescent="0.25">
      <c r="A8204" s="90">
        <v>35772</v>
      </c>
      <c r="B8204" s="20">
        <v>8.3333333333333329E-2</v>
      </c>
      <c r="D8204">
        <v>26.060000000000002</v>
      </c>
      <c r="E8204" t="str">
        <f t="shared" si="290"/>
        <v>WEEKDAY</v>
      </c>
      <c r="F8204" t="e">
        <f t="shared" si="291"/>
        <v>#N/A</v>
      </c>
      <c r="G8204" s="74">
        <v>28467</v>
      </c>
      <c r="H8204" s="77">
        <v>8.3333333333333329E-2</v>
      </c>
      <c r="J8204">
        <v>26.060000000000002</v>
      </c>
      <c r="M8204" s="74">
        <v>36868</v>
      </c>
      <c r="N8204" s="77">
        <v>8.3333333333333329E-2</v>
      </c>
      <c r="P8204">
        <v>24.8</v>
      </c>
      <c r="S8204" s="74">
        <v>35772</v>
      </c>
      <c r="T8204" s="77">
        <v>8.3333333333333329E-2</v>
      </c>
      <c r="V8204">
        <v>39.92</v>
      </c>
      <c r="X8204" s="42"/>
      <c r="AB8204">
        <v>39.1</v>
      </c>
      <c r="AC8204">
        <v>35.6</v>
      </c>
      <c r="AE8204" s="74"/>
      <c r="AF8204" s="77"/>
      <c r="AH8204" s="497">
        <v>37.4</v>
      </c>
      <c r="AJ8204" s="42"/>
      <c r="AK8204" s="74"/>
      <c r="AL8204" s="77"/>
      <c r="AN8204" s="497">
        <v>46.04</v>
      </c>
      <c r="AP8204" s="42"/>
      <c r="AQ8204" s="74"/>
      <c r="AR8204" s="77"/>
      <c r="AT8204" s="497">
        <v>43.7</v>
      </c>
      <c r="AV8204" s="42"/>
      <c r="AW8204" s="74"/>
      <c r="AX8204" s="77"/>
      <c r="BA8204" s="497">
        <v>17.78</v>
      </c>
      <c r="BB8204" s="42"/>
      <c r="BC8204" s="74"/>
      <c r="BD8204" s="77"/>
      <c r="BF8204">
        <v>19.04</v>
      </c>
      <c r="BH8204" s="42"/>
      <c r="BI8204" s="74"/>
      <c r="BJ8204" s="77"/>
      <c r="BL8204" s="497">
        <v>19.04</v>
      </c>
      <c r="BN8204" s="42"/>
      <c r="BO8204" s="74"/>
      <c r="BP8204" s="77"/>
      <c r="BR8204" s="497">
        <v>28.94</v>
      </c>
      <c r="BT8204" s="42"/>
    </row>
    <row r="8205" spans="1:72" x14ac:dyDescent="0.25">
      <c r="A8205" s="90">
        <v>35772</v>
      </c>
      <c r="B8205" s="20">
        <v>0.125</v>
      </c>
      <c r="D8205">
        <v>24.98</v>
      </c>
      <c r="E8205" t="str">
        <f t="shared" si="290"/>
        <v>WEEKDAY</v>
      </c>
      <c r="F8205" t="e">
        <f t="shared" si="291"/>
        <v>#N/A</v>
      </c>
      <c r="G8205" s="74">
        <v>28467</v>
      </c>
      <c r="H8205" s="77">
        <v>0.125</v>
      </c>
      <c r="J8205">
        <v>26.060000000000002</v>
      </c>
      <c r="M8205" s="74">
        <v>36868</v>
      </c>
      <c r="N8205" s="77">
        <v>0.125</v>
      </c>
      <c r="P8205">
        <v>24.8</v>
      </c>
      <c r="S8205" s="74">
        <v>35772</v>
      </c>
      <c r="T8205" s="77">
        <v>0.125</v>
      </c>
      <c r="V8205">
        <v>39.019999999999996</v>
      </c>
      <c r="X8205" s="42"/>
      <c r="AB8205">
        <v>38.700000000000003</v>
      </c>
      <c r="AC8205">
        <v>35.6</v>
      </c>
      <c r="AE8205" s="74"/>
      <c r="AF8205" s="77"/>
      <c r="AH8205" s="497">
        <v>39.200000000000003</v>
      </c>
      <c r="AJ8205" s="42"/>
      <c r="AK8205" s="74"/>
      <c r="AL8205" s="77"/>
      <c r="AN8205" s="497">
        <v>44.06</v>
      </c>
      <c r="AP8205" s="42"/>
      <c r="AQ8205" s="74"/>
      <c r="AR8205" s="77"/>
      <c r="AT8205" s="497">
        <v>44.24</v>
      </c>
      <c r="AV8205" s="42"/>
      <c r="AW8205" s="74"/>
      <c r="AX8205" s="77"/>
      <c r="BA8205" s="497">
        <v>18.32</v>
      </c>
      <c r="BB8205" s="42"/>
      <c r="BC8205" s="74"/>
      <c r="BD8205" s="77"/>
      <c r="BF8205">
        <v>17.059999999999999</v>
      </c>
      <c r="BH8205" s="42"/>
      <c r="BI8205" s="74"/>
      <c r="BJ8205" s="77"/>
      <c r="BL8205" s="497">
        <v>15.98</v>
      </c>
      <c r="BN8205" s="42"/>
      <c r="BO8205" s="74"/>
      <c r="BP8205" s="77"/>
      <c r="BR8205" s="497">
        <v>28.94</v>
      </c>
      <c r="BT8205" s="42"/>
    </row>
    <row r="8206" spans="1:72" x14ac:dyDescent="0.25">
      <c r="A8206" s="90">
        <v>35772</v>
      </c>
      <c r="B8206" s="20">
        <v>0.16666666666666666</v>
      </c>
      <c r="D8206">
        <v>24.98</v>
      </c>
      <c r="E8206" t="str">
        <f t="shared" si="290"/>
        <v>WEEKDAY</v>
      </c>
      <c r="F8206" t="e">
        <f t="shared" si="291"/>
        <v>#N/A</v>
      </c>
      <c r="G8206" s="74">
        <v>28467</v>
      </c>
      <c r="H8206" s="77">
        <v>0.16666666666666666</v>
      </c>
      <c r="J8206">
        <v>24.98</v>
      </c>
      <c r="M8206" s="74">
        <v>36868</v>
      </c>
      <c r="N8206" s="77">
        <v>0.16666666666666666</v>
      </c>
      <c r="P8206">
        <v>24.8</v>
      </c>
      <c r="S8206" s="74">
        <v>35772</v>
      </c>
      <c r="T8206" s="77">
        <v>0.16666666666666666</v>
      </c>
      <c r="V8206">
        <v>39.019999999999996</v>
      </c>
      <c r="X8206" s="42"/>
      <c r="AB8206">
        <v>38.299999999999997</v>
      </c>
      <c r="AC8206">
        <v>33.799999999999997</v>
      </c>
      <c r="AE8206" s="74"/>
      <c r="AF8206" s="77"/>
      <c r="AH8206" s="497">
        <v>39.200000000000003</v>
      </c>
      <c r="AJ8206" s="42"/>
      <c r="AK8206" s="74"/>
      <c r="AL8206" s="77"/>
      <c r="AN8206" s="497">
        <v>44.06</v>
      </c>
      <c r="AP8206" s="42"/>
      <c r="AQ8206" s="74"/>
      <c r="AR8206" s="77"/>
      <c r="AT8206" s="497">
        <v>44.96</v>
      </c>
      <c r="AV8206" s="42"/>
      <c r="AW8206" s="74"/>
      <c r="AX8206" s="77"/>
      <c r="BA8206" s="497">
        <v>19.04</v>
      </c>
      <c r="BB8206" s="42"/>
      <c r="BC8206" s="74"/>
      <c r="BD8206" s="77"/>
      <c r="BF8206">
        <v>17.059999999999999</v>
      </c>
      <c r="BH8206" s="42"/>
      <c r="BI8206" s="74"/>
      <c r="BJ8206" s="77"/>
      <c r="BL8206" s="497">
        <v>17.059999999999999</v>
      </c>
      <c r="BN8206" s="42"/>
      <c r="BO8206" s="74"/>
      <c r="BP8206" s="77"/>
      <c r="BR8206" s="497">
        <v>28.94</v>
      </c>
      <c r="BT8206" s="42"/>
    </row>
    <row r="8207" spans="1:72" x14ac:dyDescent="0.25">
      <c r="A8207" s="90">
        <v>35772</v>
      </c>
      <c r="B8207" s="20">
        <v>0.20833333333333334</v>
      </c>
      <c r="D8207">
        <v>24.98</v>
      </c>
      <c r="E8207" t="str">
        <f t="shared" si="290"/>
        <v>WEEKDAY</v>
      </c>
      <c r="F8207" t="e">
        <f t="shared" si="291"/>
        <v>#N/A</v>
      </c>
      <c r="G8207" s="74">
        <v>28467</v>
      </c>
      <c r="H8207" s="77">
        <v>0.20833333333333334</v>
      </c>
      <c r="J8207">
        <v>24.98</v>
      </c>
      <c r="M8207" s="74">
        <v>36868</v>
      </c>
      <c r="N8207" s="77">
        <v>0.20833333333333334</v>
      </c>
      <c r="P8207">
        <v>23</v>
      </c>
      <c r="S8207" s="74">
        <v>35772</v>
      </c>
      <c r="T8207" s="77">
        <v>0.20833333333333334</v>
      </c>
      <c r="V8207">
        <v>41</v>
      </c>
      <c r="X8207" s="42"/>
      <c r="AB8207">
        <v>38</v>
      </c>
      <c r="AC8207">
        <v>33.799999999999997</v>
      </c>
      <c r="AE8207" s="74"/>
      <c r="AF8207" s="77"/>
      <c r="AH8207" s="497">
        <v>41</v>
      </c>
      <c r="AJ8207" s="42"/>
      <c r="AK8207" s="74"/>
      <c r="AL8207" s="77"/>
      <c r="AN8207" s="497">
        <v>44.96</v>
      </c>
      <c r="AP8207" s="42"/>
      <c r="AQ8207" s="74"/>
      <c r="AR8207" s="77"/>
      <c r="AT8207" s="497">
        <v>44.96</v>
      </c>
      <c r="AV8207" s="42"/>
      <c r="AW8207" s="74"/>
      <c r="AX8207" s="77"/>
      <c r="BA8207" s="497">
        <v>19.399999999999999</v>
      </c>
      <c r="BB8207" s="42"/>
      <c r="BC8207" s="74"/>
      <c r="BD8207" s="77"/>
      <c r="BF8207">
        <v>17.059999999999999</v>
      </c>
      <c r="BH8207" s="42"/>
      <c r="BI8207" s="74"/>
      <c r="BJ8207" s="77"/>
      <c r="BL8207" s="497">
        <v>12.02</v>
      </c>
      <c r="BN8207" s="42"/>
      <c r="BO8207" s="74"/>
      <c r="BP8207" s="77"/>
      <c r="BR8207" s="497">
        <v>28.94</v>
      </c>
      <c r="BT8207" s="42"/>
    </row>
    <row r="8208" spans="1:72" x14ac:dyDescent="0.25">
      <c r="A8208" s="90">
        <v>35772</v>
      </c>
      <c r="B8208" s="20">
        <v>0.25</v>
      </c>
      <c r="D8208">
        <v>26.060000000000002</v>
      </c>
      <c r="E8208" t="str">
        <f t="shared" si="290"/>
        <v>WEEKDAY</v>
      </c>
      <c r="F8208" t="e">
        <f t="shared" si="291"/>
        <v>#N/A</v>
      </c>
      <c r="G8208" s="74">
        <v>28467</v>
      </c>
      <c r="H8208" s="77">
        <v>0.25</v>
      </c>
      <c r="J8208">
        <v>24.98</v>
      </c>
      <c r="M8208" s="74">
        <v>36868</v>
      </c>
      <c r="N8208" s="77">
        <v>0.25</v>
      </c>
      <c r="P8208">
        <v>23</v>
      </c>
      <c r="S8208" s="74">
        <v>35772</v>
      </c>
      <c r="T8208" s="77">
        <v>0.25</v>
      </c>
      <c r="V8208">
        <v>39.92</v>
      </c>
      <c r="X8208" s="42"/>
      <c r="AB8208">
        <v>37.799999999999997</v>
      </c>
      <c r="AC8208">
        <v>33.799999999999997</v>
      </c>
      <c r="AE8208" s="74"/>
      <c r="AF8208" s="77"/>
      <c r="AH8208" s="497">
        <v>42.8</v>
      </c>
      <c r="AJ8208" s="42"/>
      <c r="AK8208" s="74"/>
      <c r="AL8208" s="77"/>
      <c r="AN8208" s="497">
        <v>44.96</v>
      </c>
      <c r="AP8208" s="42"/>
      <c r="AQ8208" s="74"/>
      <c r="AR8208" s="77"/>
      <c r="AT8208" s="497">
        <v>44.96</v>
      </c>
      <c r="AV8208" s="42"/>
      <c r="AW8208" s="74"/>
      <c r="AX8208" s="77"/>
      <c r="BA8208" s="497">
        <v>19.579999999999998</v>
      </c>
      <c r="BB8208" s="42"/>
      <c r="BC8208" s="74"/>
      <c r="BD8208" s="77"/>
      <c r="BF8208">
        <v>17.059999999999999</v>
      </c>
      <c r="BH8208" s="42"/>
      <c r="BI8208" s="74"/>
      <c r="BJ8208" s="77"/>
      <c r="BL8208" s="497">
        <v>10.039999999999999</v>
      </c>
      <c r="BN8208" s="42"/>
      <c r="BO8208" s="74"/>
      <c r="BP8208" s="77"/>
      <c r="BR8208" s="497">
        <v>28.94</v>
      </c>
      <c r="BT8208" s="42"/>
    </row>
    <row r="8209" spans="1:72" x14ac:dyDescent="0.25">
      <c r="A8209" s="90">
        <v>35772</v>
      </c>
      <c r="B8209" s="20">
        <v>0.29166666666666669</v>
      </c>
      <c r="D8209">
        <v>26.060000000000002</v>
      </c>
      <c r="E8209" t="str">
        <f t="shared" si="290"/>
        <v>WEEKDAY</v>
      </c>
      <c r="F8209" t="e">
        <f t="shared" si="291"/>
        <v>#N/A</v>
      </c>
      <c r="G8209" s="74">
        <v>28467</v>
      </c>
      <c r="H8209" s="77">
        <v>0.29166666666666669</v>
      </c>
      <c r="J8209">
        <v>24.98</v>
      </c>
      <c r="M8209" s="74">
        <v>36868</v>
      </c>
      <c r="N8209" s="77">
        <v>0.29166666666666669</v>
      </c>
      <c r="P8209">
        <v>23</v>
      </c>
      <c r="S8209" s="74">
        <v>35772</v>
      </c>
      <c r="T8209" s="77">
        <v>0.29166666666666669</v>
      </c>
      <c r="V8209">
        <v>39.019999999999996</v>
      </c>
      <c r="X8209" s="42"/>
      <c r="AB8209">
        <v>37.700000000000003</v>
      </c>
      <c r="AC8209">
        <v>33.799999999999997</v>
      </c>
      <c r="AE8209" s="74"/>
      <c r="AF8209" s="77"/>
      <c r="AH8209" s="497">
        <v>42.8</v>
      </c>
      <c r="AJ8209" s="42"/>
      <c r="AK8209" s="74"/>
      <c r="AL8209" s="77"/>
      <c r="AN8209" s="497">
        <v>46.04</v>
      </c>
      <c r="AP8209" s="42"/>
      <c r="AQ8209" s="74"/>
      <c r="AR8209" s="77"/>
      <c r="AT8209" s="497">
        <v>44.96</v>
      </c>
      <c r="AV8209" s="42"/>
      <c r="AW8209" s="74"/>
      <c r="AX8209" s="77"/>
      <c r="BA8209" s="497">
        <v>19.939999999999998</v>
      </c>
      <c r="BB8209" s="42"/>
      <c r="BC8209" s="74"/>
      <c r="BD8209" s="77"/>
      <c r="BF8209">
        <v>12.920000000000002</v>
      </c>
      <c r="BH8209" s="42"/>
      <c r="BI8209" s="74"/>
      <c r="BJ8209" s="77"/>
      <c r="BL8209" s="497">
        <v>6.98</v>
      </c>
      <c r="BN8209" s="42"/>
      <c r="BO8209" s="74"/>
      <c r="BP8209" s="77"/>
      <c r="BR8209" s="497">
        <v>28.94</v>
      </c>
      <c r="BT8209" s="42"/>
    </row>
    <row r="8210" spans="1:72" x14ac:dyDescent="0.25">
      <c r="A8210" s="90">
        <v>35772</v>
      </c>
      <c r="B8210" s="20">
        <v>0.33333333333333331</v>
      </c>
      <c r="D8210">
        <v>26.060000000000002</v>
      </c>
      <c r="E8210" t="str">
        <f t="shared" si="290"/>
        <v>WEEKDAY</v>
      </c>
      <c r="F8210" t="e">
        <f t="shared" si="291"/>
        <v>#N/A</v>
      </c>
      <c r="G8210" s="74">
        <v>28467</v>
      </c>
      <c r="H8210" s="77">
        <v>0.33333333333333331</v>
      </c>
      <c r="J8210">
        <v>24.98</v>
      </c>
      <c r="M8210" s="74">
        <v>36868</v>
      </c>
      <c r="N8210" s="77">
        <v>0.33333333333333331</v>
      </c>
      <c r="P8210">
        <v>24.8</v>
      </c>
      <c r="S8210" s="74">
        <v>35772</v>
      </c>
      <c r="T8210" s="77">
        <v>0.33333333333333331</v>
      </c>
      <c r="V8210">
        <v>41</v>
      </c>
      <c r="X8210" s="42"/>
      <c r="AB8210">
        <v>37.700000000000003</v>
      </c>
      <c r="AC8210">
        <v>35.6</v>
      </c>
      <c r="AE8210" s="74"/>
      <c r="AF8210" s="77"/>
      <c r="AH8210" s="497">
        <v>44.6</v>
      </c>
      <c r="AJ8210" s="42"/>
      <c r="AK8210" s="74"/>
      <c r="AL8210" s="77"/>
      <c r="AN8210" s="497">
        <v>46.04</v>
      </c>
      <c r="AP8210" s="42"/>
      <c r="AQ8210" s="74"/>
      <c r="AR8210" s="77"/>
      <c r="AT8210" s="497">
        <v>45.32</v>
      </c>
      <c r="AV8210" s="42"/>
      <c r="AW8210" s="74"/>
      <c r="AX8210" s="77"/>
      <c r="BA8210" s="497">
        <v>19.939999999999998</v>
      </c>
      <c r="BB8210" s="42"/>
      <c r="BC8210" s="74"/>
      <c r="BD8210" s="77"/>
      <c r="BF8210">
        <v>15.079999999999998</v>
      </c>
      <c r="BH8210" s="42"/>
      <c r="BI8210" s="74"/>
      <c r="BJ8210" s="77"/>
      <c r="BL8210" s="497">
        <v>8.0599999999999987</v>
      </c>
      <c r="BN8210" s="42"/>
      <c r="BO8210" s="74"/>
      <c r="BP8210" s="77"/>
      <c r="BR8210" s="497">
        <v>28.94</v>
      </c>
      <c r="BT8210" s="42"/>
    </row>
    <row r="8211" spans="1:72" x14ac:dyDescent="0.25">
      <c r="A8211" s="90">
        <v>35772</v>
      </c>
      <c r="B8211" s="20">
        <v>0.375</v>
      </c>
      <c r="D8211">
        <v>28.04</v>
      </c>
      <c r="E8211" t="str">
        <f t="shared" ref="E8211:E8274" si="292">IF(COUNTIF($DI$18:$DI$22, WEEKDAY(A8211))=1, "WEEKDAY", IF(WEEKDAY(A8211) = 1, "SUNDAY", "SATURDAY"))</f>
        <v>WEEKDAY</v>
      </c>
      <c r="F8211" t="e">
        <f t="shared" si="291"/>
        <v>#N/A</v>
      </c>
      <c r="G8211" s="74">
        <v>28467</v>
      </c>
      <c r="H8211" s="77">
        <v>0.375</v>
      </c>
      <c r="J8211">
        <v>24.98</v>
      </c>
      <c r="M8211" s="74">
        <v>36868</v>
      </c>
      <c r="N8211" s="77">
        <v>0.375</v>
      </c>
      <c r="P8211">
        <v>24.8</v>
      </c>
      <c r="S8211" s="74">
        <v>35772</v>
      </c>
      <c r="T8211" s="77">
        <v>0.375</v>
      </c>
      <c r="V8211">
        <v>42.08</v>
      </c>
      <c r="X8211" s="42"/>
      <c r="AB8211">
        <v>38.299999999999997</v>
      </c>
      <c r="AC8211">
        <v>41</v>
      </c>
      <c r="AE8211" s="74"/>
      <c r="AF8211" s="77"/>
      <c r="AH8211" s="497">
        <v>48.2</v>
      </c>
      <c r="AJ8211" s="42"/>
      <c r="AK8211" s="74"/>
      <c r="AL8211" s="77"/>
      <c r="AN8211" s="497">
        <v>46.04</v>
      </c>
      <c r="AP8211" s="42"/>
      <c r="AQ8211" s="74"/>
      <c r="AR8211" s="77"/>
      <c r="AT8211" s="497">
        <v>45.68</v>
      </c>
      <c r="AV8211" s="42"/>
      <c r="AW8211" s="74"/>
      <c r="AX8211" s="77"/>
      <c r="BA8211" s="497">
        <v>19.939999999999998</v>
      </c>
      <c r="BB8211" s="42"/>
      <c r="BC8211" s="74"/>
      <c r="BD8211" s="77"/>
      <c r="BF8211">
        <v>17.059999999999999</v>
      </c>
      <c r="BH8211" s="42"/>
      <c r="BI8211" s="74"/>
      <c r="BJ8211" s="77"/>
      <c r="BL8211" s="497">
        <v>10.039999999999999</v>
      </c>
      <c r="BN8211" s="42"/>
      <c r="BO8211" s="74"/>
      <c r="BP8211" s="77"/>
      <c r="BR8211" s="497">
        <v>30.02</v>
      </c>
      <c r="BT8211" s="42"/>
    </row>
    <row r="8212" spans="1:72" x14ac:dyDescent="0.25">
      <c r="A8212" s="90">
        <v>35772</v>
      </c>
      <c r="B8212" s="20">
        <v>0.41666666666666669</v>
      </c>
      <c r="D8212">
        <v>28.94</v>
      </c>
      <c r="E8212" t="str">
        <f t="shared" si="292"/>
        <v>WEEKDAY</v>
      </c>
      <c r="F8212" t="e">
        <f t="shared" si="291"/>
        <v>#N/A</v>
      </c>
      <c r="G8212" s="74">
        <v>28467</v>
      </c>
      <c r="H8212" s="77">
        <v>0.41666666666666669</v>
      </c>
      <c r="J8212">
        <v>24.98</v>
      </c>
      <c r="M8212" s="74">
        <v>36868</v>
      </c>
      <c r="N8212" s="77">
        <v>0.41666666666666669</v>
      </c>
      <c r="P8212">
        <v>24.8</v>
      </c>
      <c r="S8212" s="74">
        <v>35772</v>
      </c>
      <c r="T8212" s="77">
        <v>0.41666666666666669</v>
      </c>
      <c r="V8212">
        <v>42.980000000000004</v>
      </c>
      <c r="X8212" s="42"/>
      <c r="AB8212">
        <v>39.799999999999997</v>
      </c>
      <c r="AC8212">
        <v>44.6</v>
      </c>
      <c r="AE8212" s="74"/>
      <c r="AF8212" s="77"/>
      <c r="AH8212" s="497">
        <v>55.400000000000006</v>
      </c>
      <c r="AJ8212" s="42"/>
      <c r="AK8212" s="74"/>
      <c r="AL8212" s="77"/>
      <c r="AN8212" s="497">
        <v>46.94</v>
      </c>
      <c r="AP8212" s="42"/>
      <c r="AQ8212" s="74"/>
      <c r="AR8212" s="77"/>
      <c r="AT8212" s="497">
        <v>46.04</v>
      </c>
      <c r="AV8212" s="42"/>
      <c r="AW8212" s="74"/>
      <c r="AX8212" s="77"/>
      <c r="BA8212" s="497">
        <v>19.939999999999998</v>
      </c>
      <c r="BB8212" s="42"/>
      <c r="BC8212" s="74"/>
      <c r="BD8212" s="77"/>
      <c r="BF8212">
        <v>19.939999999999998</v>
      </c>
      <c r="BH8212" s="42"/>
      <c r="BI8212" s="74"/>
      <c r="BJ8212" s="77"/>
      <c r="BL8212" s="497">
        <v>17.96</v>
      </c>
      <c r="BN8212" s="42"/>
      <c r="BO8212" s="74"/>
      <c r="BP8212" s="77"/>
      <c r="BR8212" s="497">
        <v>30.02</v>
      </c>
      <c r="BT8212" s="42"/>
    </row>
    <row r="8213" spans="1:72" x14ac:dyDescent="0.25">
      <c r="A8213" s="90">
        <v>35772</v>
      </c>
      <c r="B8213" s="20">
        <v>0.45833333333333331</v>
      </c>
      <c r="D8213">
        <v>32</v>
      </c>
      <c r="E8213" t="str">
        <f t="shared" si="292"/>
        <v>WEEKDAY</v>
      </c>
      <c r="F8213" t="e">
        <f t="shared" si="291"/>
        <v>#N/A</v>
      </c>
      <c r="G8213" s="74">
        <v>28467</v>
      </c>
      <c r="H8213" s="77">
        <v>0.45833333333333331</v>
      </c>
      <c r="J8213">
        <v>28.94</v>
      </c>
      <c r="M8213" s="74">
        <v>36868</v>
      </c>
      <c r="N8213" s="77">
        <v>0.45833333333333331</v>
      </c>
      <c r="P8213">
        <v>26.6</v>
      </c>
      <c r="S8213" s="74">
        <v>35772</v>
      </c>
      <c r="T8213" s="77">
        <v>0.45833333333333331</v>
      </c>
      <c r="V8213">
        <v>44.96</v>
      </c>
      <c r="X8213" s="42"/>
      <c r="AB8213">
        <v>41.2</v>
      </c>
      <c r="AC8213">
        <v>44.6</v>
      </c>
      <c r="AE8213" s="74"/>
      <c r="AF8213" s="77"/>
      <c r="AH8213" s="497">
        <v>55.400000000000006</v>
      </c>
      <c r="AJ8213" s="42"/>
      <c r="AK8213" s="74"/>
      <c r="AL8213" s="77"/>
      <c r="AN8213" s="497">
        <v>46.94</v>
      </c>
      <c r="AP8213" s="42"/>
      <c r="AQ8213" s="74"/>
      <c r="AR8213" s="77"/>
      <c r="AT8213" s="497">
        <v>46.76</v>
      </c>
      <c r="AV8213" s="42"/>
      <c r="AW8213" s="74"/>
      <c r="AX8213" s="77"/>
      <c r="BA8213" s="497">
        <v>21.560000000000002</v>
      </c>
      <c r="BB8213" s="42"/>
      <c r="BC8213" s="74"/>
      <c r="BD8213" s="77"/>
      <c r="BF8213">
        <v>21.02</v>
      </c>
      <c r="BH8213" s="42"/>
      <c r="BI8213" s="74"/>
      <c r="BJ8213" s="77"/>
      <c r="BL8213" s="497">
        <v>19.939999999999998</v>
      </c>
      <c r="BN8213" s="42"/>
      <c r="BO8213" s="74"/>
      <c r="BP8213" s="77"/>
      <c r="BR8213" s="497">
        <v>30.92</v>
      </c>
      <c r="BT8213" s="42"/>
    </row>
    <row r="8214" spans="1:72" x14ac:dyDescent="0.25">
      <c r="A8214" s="90">
        <v>35772</v>
      </c>
      <c r="B8214" s="20">
        <v>0.5</v>
      </c>
      <c r="D8214">
        <v>33.979999999999997</v>
      </c>
      <c r="E8214" t="str">
        <f t="shared" si="292"/>
        <v>WEEKDAY</v>
      </c>
      <c r="F8214" t="e">
        <f t="shared" si="291"/>
        <v>#N/A</v>
      </c>
      <c r="G8214" s="74">
        <v>28467</v>
      </c>
      <c r="H8214" s="77">
        <v>0.5</v>
      </c>
      <c r="J8214">
        <v>30.02</v>
      </c>
      <c r="M8214" s="74">
        <v>36868</v>
      </c>
      <c r="N8214" s="77">
        <v>0.5</v>
      </c>
      <c r="P8214">
        <v>26.6</v>
      </c>
      <c r="S8214" s="74">
        <v>35772</v>
      </c>
      <c r="T8214" s="77">
        <v>0.5</v>
      </c>
      <c r="V8214">
        <v>44.96</v>
      </c>
      <c r="X8214" s="42"/>
      <c r="AB8214">
        <v>42.5</v>
      </c>
      <c r="AC8214">
        <v>46.4</v>
      </c>
      <c r="AE8214" s="74"/>
      <c r="AF8214" s="77"/>
      <c r="AH8214" s="497">
        <v>57.2</v>
      </c>
      <c r="AJ8214" s="42"/>
      <c r="AK8214" s="74"/>
      <c r="AL8214" s="77"/>
      <c r="AN8214" s="497">
        <v>48.019999999999996</v>
      </c>
      <c r="AP8214" s="42"/>
      <c r="AQ8214" s="74"/>
      <c r="AR8214" s="77"/>
      <c r="AT8214" s="497">
        <v>47.3</v>
      </c>
      <c r="AV8214" s="42"/>
      <c r="AW8214" s="74"/>
      <c r="AX8214" s="77"/>
      <c r="BA8214" s="497">
        <v>23.36</v>
      </c>
      <c r="BB8214" s="42"/>
      <c r="BC8214" s="74"/>
      <c r="BD8214" s="77"/>
      <c r="BF8214">
        <v>21.02</v>
      </c>
      <c r="BH8214" s="42"/>
      <c r="BI8214" s="74"/>
      <c r="BJ8214" s="77"/>
      <c r="BL8214" s="497">
        <v>21.92</v>
      </c>
      <c r="BN8214" s="42"/>
      <c r="BO8214" s="74"/>
      <c r="BP8214" s="77"/>
      <c r="BR8214" s="497">
        <v>32</v>
      </c>
      <c r="BT8214" s="42"/>
    </row>
    <row r="8215" spans="1:72" x14ac:dyDescent="0.25">
      <c r="A8215" s="90">
        <v>35772</v>
      </c>
      <c r="B8215" s="20">
        <v>0.54166666666666663</v>
      </c>
      <c r="D8215">
        <v>35.06</v>
      </c>
      <c r="E8215" t="str">
        <f t="shared" si="292"/>
        <v>WEEKDAY</v>
      </c>
      <c r="F8215" t="e">
        <f t="shared" si="291"/>
        <v>#N/A</v>
      </c>
      <c r="G8215" s="74">
        <v>28467</v>
      </c>
      <c r="H8215" s="77">
        <v>0.54166666666666663</v>
      </c>
      <c r="J8215">
        <v>30.92</v>
      </c>
      <c r="M8215" s="74">
        <v>36868</v>
      </c>
      <c r="N8215" s="77">
        <v>0.54166666666666663</v>
      </c>
      <c r="P8215">
        <v>26.6</v>
      </c>
      <c r="S8215" s="74">
        <v>35772</v>
      </c>
      <c r="T8215" s="77">
        <v>0.54166666666666663</v>
      </c>
      <c r="V8215">
        <v>44.96</v>
      </c>
      <c r="X8215" s="42"/>
      <c r="AB8215">
        <v>43.3</v>
      </c>
      <c r="AC8215">
        <v>48.2</v>
      </c>
      <c r="AE8215" s="74"/>
      <c r="AF8215" s="77"/>
      <c r="AH8215" s="497">
        <v>55.400000000000006</v>
      </c>
      <c r="AJ8215" s="42"/>
      <c r="AK8215" s="74"/>
      <c r="AL8215" s="77"/>
      <c r="AN8215" s="497">
        <v>48.019999999999996</v>
      </c>
      <c r="AP8215" s="42"/>
      <c r="AQ8215" s="74"/>
      <c r="AR8215" s="77"/>
      <c r="AT8215" s="497">
        <v>48.019999999999996</v>
      </c>
      <c r="AV8215" s="42"/>
      <c r="AW8215" s="74"/>
      <c r="AX8215" s="77"/>
      <c r="BA8215" s="497">
        <v>24.98</v>
      </c>
      <c r="BB8215" s="42"/>
      <c r="BC8215" s="74"/>
      <c r="BD8215" s="77"/>
      <c r="BF8215">
        <v>21.92</v>
      </c>
      <c r="BH8215" s="42"/>
      <c r="BI8215" s="74"/>
      <c r="BJ8215" s="77"/>
      <c r="BL8215" s="497">
        <v>21.92</v>
      </c>
      <c r="BN8215" s="42"/>
      <c r="BO8215" s="74"/>
      <c r="BP8215" s="77"/>
      <c r="BR8215" s="497">
        <v>32</v>
      </c>
      <c r="BT8215" s="42"/>
    </row>
    <row r="8216" spans="1:72" x14ac:dyDescent="0.25">
      <c r="A8216" s="90">
        <v>35772</v>
      </c>
      <c r="B8216" s="20">
        <v>0.58333333333333337</v>
      </c>
      <c r="D8216">
        <v>37.04</v>
      </c>
      <c r="E8216" t="str">
        <f t="shared" si="292"/>
        <v>WEEKDAY</v>
      </c>
      <c r="F8216" t="e">
        <f t="shared" si="291"/>
        <v>#N/A</v>
      </c>
      <c r="G8216" s="74">
        <v>28467</v>
      </c>
      <c r="H8216" s="77">
        <v>0.58333333333333337</v>
      </c>
      <c r="J8216">
        <v>32</v>
      </c>
      <c r="M8216" s="74">
        <v>36868</v>
      </c>
      <c r="N8216" s="77">
        <v>0.58333333333333337</v>
      </c>
      <c r="P8216">
        <v>26.6</v>
      </c>
      <c r="S8216" s="74">
        <v>35772</v>
      </c>
      <c r="T8216" s="77">
        <v>0.58333333333333337</v>
      </c>
      <c r="V8216">
        <v>44.96</v>
      </c>
      <c r="X8216" s="42"/>
      <c r="AB8216">
        <v>43.9</v>
      </c>
      <c r="AC8216">
        <v>46.4</v>
      </c>
      <c r="AE8216" s="74"/>
      <c r="AF8216" s="77"/>
      <c r="AH8216" s="497">
        <v>57.2</v>
      </c>
      <c r="AJ8216" s="42"/>
      <c r="AK8216" s="74"/>
      <c r="AL8216" s="77"/>
      <c r="AN8216" s="497">
        <v>48.92</v>
      </c>
      <c r="AP8216" s="42"/>
      <c r="AQ8216" s="74"/>
      <c r="AR8216" s="77"/>
      <c r="AT8216" s="497">
        <v>48.019999999999996</v>
      </c>
      <c r="AV8216" s="42"/>
      <c r="AW8216" s="74"/>
      <c r="AX8216" s="77"/>
      <c r="BA8216" s="497">
        <v>23.36</v>
      </c>
      <c r="BB8216" s="42"/>
      <c r="BC8216" s="74"/>
      <c r="BD8216" s="77"/>
      <c r="BF8216">
        <v>24.08</v>
      </c>
      <c r="BH8216" s="42"/>
      <c r="BI8216" s="74"/>
      <c r="BJ8216" s="77"/>
      <c r="BL8216" s="497">
        <v>26.060000000000002</v>
      </c>
      <c r="BN8216" s="42"/>
      <c r="BO8216" s="74"/>
      <c r="BP8216" s="77"/>
      <c r="BR8216" s="497">
        <v>33.08</v>
      </c>
      <c r="BT8216" s="42"/>
    </row>
    <row r="8217" spans="1:72" x14ac:dyDescent="0.25">
      <c r="A8217" s="90">
        <v>35772</v>
      </c>
      <c r="B8217" s="20">
        <v>0.625</v>
      </c>
      <c r="D8217">
        <v>37.04</v>
      </c>
      <c r="E8217" t="str">
        <f t="shared" si="292"/>
        <v>WEEKDAY</v>
      </c>
      <c r="F8217" t="e">
        <f t="shared" si="291"/>
        <v>#N/A</v>
      </c>
      <c r="G8217" s="74">
        <v>28467</v>
      </c>
      <c r="H8217" s="77">
        <v>0.625</v>
      </c>
      <c r="J8217">
        <v>33.979999999999997</v>
      </c>
      <c r="M8217" s="74">
        <v>36868</v>
      </c>
      <c r="N8217" s="77">
        <v>0.625</v>
      </c>
      <c r="P8217">
        <v>26.6</v>
      </c>
      <c r="S8217" s="74">
        <v>35772</v>
      </c>
      <c r="T8217" s="77">
        <v>0.625</v>
      </c>
      <c r="V8217">
        <v>44.06</v>
      </c>
      <c r="X8217" s="42"/>
      <c r="AB8217">
        <v>44.1</v>
      </c>
      <c r="AC8217">
        <v>46.4</v>
      </c>
      <c r="AE8217" s="74"/>
      <c r="AF8217" s="77"/>
      <c r="AH8217" s="497">
        <v>55.400000000000006</v>
      </c>
      <c r="AJ8217" s="42"/>
      <c r="AK8217" s="74"/>
      <c r="AL8217" s="77"/>
      <c r="AN8217" s="497">
        <v>50</v>
      </c>
      <c r="AP8217" s="42"/>
      <c r="AQ8217" s="74"/>
      <c r="AR8217" s="77"/>
      <c r="AT8217" s="497">
        <v>48.019999999999996</v>
      </c>
      <c r="AV8217" s="42"/>
      <c r="AW8217" s="74"/>
      <c r="AX8217" s="77"/>
      <c r="BA8217" s="497">
        <v>21.560000000000002</v>
      </c>
      <c r="BB8217" s="42"/>
      <c r="BC8217" s="74"/>
      <c r="BD8217" s="77"/>
      <c r="BF8217">
        <v>24.98</v>
      </c>
      <c r="BH8217" s="42"/>
      <c r="BI8217" s="74"/>
      <c r="BJ8217" s="77"/>
      <c r="BL8217" s="497">
        <v>26.060000000000002</v>
      </c>
      <c r="BN8217" s="42"/>
      <c r="BO8217" s="74"/>
      <c r="BP8217" s="77"/>
      <c r="BR8217" s="497">
        <v>33.08</v>
      </c>
      <c r="BT8217" s="42"/>
    </row>
    <row r="8218" spans="1:72" x14ac:dyDescent="0.25">
      <c r="A8218" s="90">
        <v>35772</v>
      </c>
      <c r="B8218" s="20">
        <v>0.66666666666666663</v>
      </c>
      <c r="D8218">
        <v>37.04</v>
      </c>
      <c r="E8218" t="str">
        <f t="shared" si="292"/>
        <v>WEEKDAY</v>
      </c>
      <c r="F8218" t="e">
        <f t="shared" si="291"/>
        <v>#N/A</v>
      </c>
      <c r="G8218" s="74">
        <v>28467</v>
      </c>
      <c r="H8218" s="77">
        <v>0.66666666666666663</v>
      </c>
      <c r="J8218">
        <v>32</v>
      </c>
      <c r="M8218" s="74">
        <v>36868</v>
      </c>
      <c r="N8218" s="77">
        <v>0.66666666666666663</v>
      </c>
      <c r="P8218">
        <v>26.6</v>
      </c>
      <c r="S8218" s="74">
        <v>35772</v>
      </c>
      <c r="T8218" s="77">
        <v>0.66666666666666663</v>
      </c>
      <c r="V8218">
        <v>42.980000000000004</v>
      </c>
      <c r="X8218" s="42"/>
      <c r="AB8218">
        <v>43.8</v>
      </c>
      <c r="AC8218">
        <v>44.6</v>
      </c>
      <c r="AE8218" s="74"/>
      <c r="AF8218" s="77"/>
      <c r="AH8218" s="497">
        <v>53.6</v>
      </c>
      <c r="AJ8218" s="42"/>
      <c r="AK8218" s="74"/>
      <c r="AL8218" s="77"/>
      <c r="AN8218" s="497">
        <v>51.08</v>
      </c>
      <c r="AP8218" s="42"/>
      <c r="AQ8218" s="74"/>
      <c r="AR8218" s="77"/>
      <c r="AT8218" s="497">
        <v>48.019999999999996</v>
      </c>
      <c r="AV8218" s="42"/>
      <c r="AW8218" s="74"/>
      <c r="AX8218" s="77"/>
      <c r="BA8218" s="497">
        <v>19.939999999999998</v>
      </c>
      <c r="BB8218" s="42"/>
      <c r="BC8218" s="74"/>
      <c r="BD8218" s="77"/>
      <c r="BF8218">
        <v>26.060000000000002</v>
      </c>
      <c r="BH8218" s="42"/>
      <c r="BI8218" s="74"/>
      <c r="BJ8218" s="77"/>
      <c r="BL8218" s="497">
        <v>26.060000000000002</v>
      </c>
      <c r="BN8218" s="42"/>
      <c r="BO8218" s="74"/>
      <c r="BP8218" s="77"/>
      <c r="BR8218" s="497">
        <v>32</v>
      </c>
      <c r="BT8218" s="42"/>
    </row>
    <row r="8219" spans="1:72" x14ac:dyDescent="0.25">
      <c r="A8219" s="90">
        <v>35772</v>
      </c>
      <c r="B8219" s="20">
        <v>0.70833333333333337</v>
      </c>
      <c r="D8219">
        <v>37.04</v>
      </c>
      <c r="E8219" t="str">
        <f t="shared" si="292"/>
        <v>WEEKDAY</v>
      </c>
      <c r="F8219" t="e">
        <f t="shared" si="291"/>
        <v>#N/A</v>
      </c>
      <c r="G8219" s="74">
        <v>28467</v>
      </c>
      <c r="H8219" s="77">
        <v>0.70833333333333337</v>
      </c>
      <c r="J8219">
        <v>32</v>
      </c>
      <c r="M8219" s="74">
        <v>36868</v>
      </c>
      <c r="N8219" s="77">
        <v>0.70833333333333337</v>
      </c>
      <c r="P8219">
        <v>26.6</v>
      </c>
      <c r="S8219" s="74">
        <v>35772</v>
      </c>
      <c r="T8219" s="77">
        <v>0.70833333333333337</v>
      </c>
      <c r="V8219">
        <v>41</v>
      </c>
      <c r="X8219" s="42"/>
      <c r="AB8219">
        <v>43</v>
      </c>
      <c r="AC8219">
        <v>41</v>
      </c>
      <c r="AE8219" s="74"/>
      <c r="AF8219" s="77"/>
      <c r="AH8219" s="497">
        <v>50</v>
      </c>
      <c r="AJ8219" s="42"/>
      <c r="AK8219" s="74"/>
      <c r="AL8219" s="77"/>
      <c r="AN8219" s="497">
        <v>48.019999999999996</v>
      </c>
      <c r="AP8219" s="42"/>
      <c r="AQ8219" s="74"/>
      <c r="AR8219" s="77"/>
      <c r="AT8219" s="497">
        <v>47.3</v>
      </c>
      <c r="AV8219" s="42"/>
      <c r="AW8219" s="74"/>
      <c r="AX8219" s="77"/>
      <c r="BA8219" s="497">
        <v>19.939999999999998</v>
      </c>
      <c r="BB8219" s="42"/>
      <c r="BC8219" s="74"/>
      <c r="BD8219" s="77"/>
      <c r="BF8219">
        <v>26.060000000000002</v>
      </c>
      <c r="BH8219" s="42"/>
      <c r="BI8219" s="74"/>
      <c r="BJ8219" s="77"/>
      <c r="BL8219" s="497">
        <v>26.060000000000002</v>
      </c>
      <c r="BN8219" s="42"/>
      <c r="BO8219" s="74"/>
      <c r="BP8219" s="77"/>
      <c r="BR8219" s="497">
        <v>30.92</v>
      </c>
      <c r="BT8219" s="42"/>
    </row>
    <row r="8220" spans="1:72" x14ac:dyDescent="0.25">
      <c r="A8220" s="90">
        <v>35772</v>
      </c>
      <c r="B8220" s="20">
        <v>0.75</v>
      </c>
      <c r="D8220">
        <v>35.96</v>
      </c>
      <c r="E8220" t="str">
        <f t="shared" si="292"/>
        <v>WEEKDAY</v>
      </c>
      <c r="F8220" t="e">
        <f t="shared" si="291"/>
        <v>#N/A</v>
      </c>
      <c r="G8220" s="74">
        <v>28467</v>
      </c>
      <c r="H8220" s="77">
        <v>0.75</v>
      </c>
      <c r="J8220">
        <v>32</v>
      </c>
      <c r="M8220" s="74">
        <v>36868</v>
      </c>
      <c r="N8220" s="77">
        <v>0.75</v>
      </c>
      <c r="P8220">
        <v>24.8</v>
      </c>
      <c r="S8220" s="74">
        <v>35772</v>
      </c>
      <c r="T8220" s="77">
        <v>0.75</v>
      </c>
      <c r="V8220">
        <v>39.019999999999996</v>
      </c>
      <c r="X8220" s="42"/>
      <c r="AB8220">
        <v>42</v>
      </c>
      <c r="AC8220">
        <v>37.4</v>
      </c>
      <c r="AE8220" s="74"/>
      <c r="AF8220" s="77"/>
      <c r="AH8220" s="497">
        <v>48.2</v>
      </c>
      <c r="AJ8220" s="42"/>
      <c r="AK8220" s="74"/>
      <c r="AL8220" s="77"/>
      <c r="AN8220" s="497">
        <v>42.08</v>
      </c>
      <c r="AP8220" s="42"/>
      <c r="AQ8220" s="74"/>
      <c r="AR8220" s="77"/>
      <c r="AT8220" s="497">
        <v>46.76</v>
      </c>
      <c r="AV8220" s="42"/>
      <c r="AW8220" s="74"/>
      <c r="AX8220" s="77"/>
      <c r="BA8220" s="497">
        <v>19.939999999999998</v>
      </c>
      <c r="BB8220" s="42"/>
      <c r="BC8220" s="74"/>
      <c r="BD8220" s="77"/>
      <c r="BF8220">
        <v>26.060000000000002</v>
      </c>
      <c r="BH8220" s="42"/>
      <c r="BI8220" s="74"/>
      <c r="BJ8220" s="77"/>
      <c r="BL8220" s="497">
        <v>26.060000000000002</v>
      </c>
      <c r="BN8220" s="42"/>
      <c r="BO8220" s="74"/>
      <c r="BP8220" s="77"/>
      <c r="BR8220" s="497">
        <v>30.92</v>
      </c>
      <c r="BT8220" s="42"/>
    </row>
    <row r="8221" spans="1:72" x14ac:dyDescent="0.25">
      <c r="A8221" s="90">
        <v>35772</v>
      </c>
      <c r="B8221" s="20">
        <v>0.79166666666666663</v>
      </c>
      <c r="D8221">
        <v>35.96</v>
      </c>
      <c r="E8221" t="str">
        <f t="shared" si="292"/>
        <v>WEEKDAY</v>
      </c>
      <c r="F8221" t="e">
        <f t="shared" si="291"/>
        <v>#N/A</v>
      </c>
      <c r="G8221" s="74">
        <v>28467</v>
      </c>
      <c r="H8221" s="77">
        <v>0.79166666666666663</v>
      </c>
      <c r="J8221">
        <v>32</v>
      </c>
      <c r="M8221" s="74">
        <v>36868</v>
      </c>
      <c r="N8221" s="77">
        <v>0.79166666666666663</v>
      </c>
      <c r="P8221">
        <v>24.8</v>
      </c>
      <c r="S8221" s="74">
        <v>35772</v>
      </c>
      <c r="T8221" s="77">
        <v>0.79166666666666663</v>
      </c>
      <c r="V8221">
        <v>39.019999999999996</v>
      </c>
      <c r="X8221" s="42"/>
      <c r="AB8221">
        <v>41.5</v>
      </c>
      <c r="AC8221">
        <v>33.799999999999997</v>
      </c>
      <c r="AE8221" s="74"/>
      <c r="AF8221" s="77"/>
      <c r="AH8221" s="497">
        <v>46.4</v>
      </c>
      <c r="AJ8221" s="42"/>
      <c r="AK8221" s="74"/>
      <c r="AL8221" s="77"/>
      <c r="AN8221" s="497">
        <v>39.92</v>
      </c>
      <c r="AP8221" s="42"/>
      <c r="AQ8221" s="74"/>
      <c r="AR8221" s="77"/>
      <c r="AT8221" s="497">
        <v>46.04</v>
      </c>
      <c r="AV8221" s="42"/>
      <c r="AW8221" s="74"/>
      <c r="AX8221" s="77"/>
      <c r="BA8221" s="497">
        <v>19.939999999999998</v>
      </c>
      <c r="BB8221" s="42"/>
      <c r="BC8221" s="74"/>
      <c r="BD8221" s="77"/>
      <c r="BF8221">
        <v>24.98</v>
      </c>
      <c r="BH8221" s="42"/>
      <c r="BI8221" s="74"/>
      <c r="BJ8221" s="77"/>
      <c r="BL8221" s="497">
        <v>26.060000000000002</v>
      </c>
      <c r="BN8221" s="42"/>
      <c r="BO8221" s="74"/>
      <c r="BP8221" s="77"/>
      <c r="BR8221" s="497">
        <v>30.92</v>
      </c>
      <c r="BT8221" s="42"/>
    </row>
    <row r="8222" spans="1:72" x14ac:dyDescent="0.25">
      <c r="A8222" s="90">
        <v>35772</v>
      </c>
      <c r="B8222" s="20">
        <v>0.83333333333333337</v>
      </c>
      <c r="D8222">
        <v>35.06</v>
      </c>
      <c r="E8222" t="str">
        <f t="shared" si="292"/>
        <v>WEEKDAY</v>
      </c>
      <c r="F8222" t="e">
        <f t="shared" si="291"/>
        <v>#N/A</v>
      </c>
      <c r="G8222" s="74">
        <v>28467</v>
      </c>
      <c r="H8222" s="77">
        <v>0.83333333333333337</v>
      </c>
      <c r="J8222">
        <v>30.92</v>
      </c>
      <c r="M8222" s="74">
        <v>36868</v>
      </c>
      <c r="N8222" s="77">
        <v>0.83333333333333337</v>
      </c>
      <c r="P8222">
        <v>24.8</v>
      </c>
      <c r="S8222" s="74">
        <v>35772</v>
      </c>
      <c r="T8222" s="77">
        <v>0.83333333333333337</v>
      </c>
      <c r="V8222">
        <v>37.94</v>
      </c>
      <c r="X8222" s="42"/>
      <c r="AB8222">
        <v>41.3</v>
      </c>
      <c r="AC8222">
        <v>33.799999999999997</v>
      </c>
      <c r="AE8222" s="74"/>
      <c r="AF8222" s="77"/>
      <c r="AH8222" s="497">
        <v>42.8</v>
      </c>
      <c r="AJ8222" s="42"/>
      <c r="AK8222" s="74"/>
      <c r="AL8222" s="77"/>
      <c r="AN8222" s="497">
        <v>39.019999999999996</v>
      </c>
      <c r="AP8222" s="42"/>
      <c r="AQ8222" s="74"/>
      <c r="AR8222" s="77"/>
      <c r="AT8222" s="497">
        <v>45.32</v>
      </c>
      <c r="AV8222" s="42"/>
      <c r="AW8222" s="74"/>
      <c r="AX8222" s="77"/>
      <c r="BA8222" s="497">
        <v>21.38</v>
      </c>
      <c r="BB8222" s="42"/>
      <c r="BC8222" s="74"/>
      <c r="BD8222" s="77"/>
      <c r="BF8222">
        <v>24.98</v>
      </c>
      <c r="BH8222" s="42"/>
      <c r="BI8222" s="74"/>
      <c r="BJ8222" s="77"/>
      <c r="BL8222" s="497">
        <v>26.060000000000002</v>
      </c>
      <c r="BN8222" s="42"/>
      <c r="BO8222" s="74"/>
      <c r="BP8222" s="77"/>
      <c r="BR8222" s="497">
        <v>30.92</v>
      </c>
      <c r="BT8222" s="42"/>
    </row>
    <row r="8223" spans="1:72" x14ac:dyDescent="0.25">
      <c r="A8223" s="90">
        <v>35772</v>
      </c>
      <c r="B8223" s="20">
        <v>0.875</v>
      </c>
      <c r="D8223">
        <v>37.04</v>
      </c>
      <c r="E8223" t="str">
        <f t="shared" si="292"/>
        <v>WEEKDAY</v>
      </c>
      <c r="F8223" t="e">
        <f t="shared" si="291"/>
        <v>#N/A</v>
      </c>
      <c r="G8223" s="74">
        <v>28467</v>
      </c>
      <c r="H8223" s="77">
        <v>0.875</v>
      </c>
      <c r="J8223">
        <v>30.92</v>
      </c>
      <c r="M8223" s="74">
        <v>36868</v>
      </c>
      <c r="N8223" s="77">
        <v>0.875</v>
      </c>
      <c r="P8223">
        <v>24.8</v>
      </c>
      <c r="S8223" s="74">
        <v>35772</v>
      </c>
      <c r="T8223" s="77">
        <v>0.875</v>
      </c>
      <c r="V8223">
        <v>37.04</v>
      </c>
      <c r="X8223" s="42"/>
      <c r="AB8223">
        <v>40.799999999999997</v>
      </c>
      <c r="AC8223">
        <v>33.799999999999997</v>
      </c>
      <c r="AE8223" s="74"/>
      <c r="AF8223" s="77"/>
      <c r="AH8223" s="497">
        <v>42.8</v>
      </c>
      <c r="AJ8223" s="42"/>
      <c r="AK8223" s="74"/>
      <c r="AL8223" s="77"/>
      <c r="AN8223" s="497">
        <v>39.019999999999996</v>
      </c>
      <c r="AP8223" s="42"/>
      <c r="AQ8223" s="74"/>
      <c r="AR8223" s="77"/>
      <c r="AT8223" s="497">
        <v>44.78</v>
      </c>
      <c r="AV8223" s="42"/>
      <c r="AW8223" s="74"/>
      <c r="AX8223" s="77"/>
      <c r="BA8223" s="497">
        <v>22.64</v>
      </c>
      <c r="BB8223" s="42"/>
      <c r="BC8223" s="74"/>
      <c r="BD8223" s="77"/>
      <c r="BF8223">
        <v>24.08</v>
      </c>
      <c r="BH8223" s="42"/>
      <c r="BI8223" s="74"/>
      <c r="BJ8223" s="77"/>
      <c r="BL8223" s="497">
        <v>24.08</v>
      </c>
      <c r="BN8223" s="42"/>
      <c r="BO8223" s="74"/>
      <c r="BP8223" s="77"/>
      <c r="BR8223" s="497">
        <v>30.92</v>
      </c>
      <c r="BT8223" s="42"/>
    </row>
    <row r="8224" spans="1:72" x14ac:dyDescent="0.25">
      <c r="A8224" s="90">
        <v>35772</v>
      </c>
      <c r="B8224" s="20">
        <v>0.91666666666666663</v>
      </c>
      <c r="D8224">
        <v>35.96</v>
      </c>
      <c r="E8224" t="str">
        <f t="shared" si="292"/>
        <v>WEEKDAY</v>
      </c>
      <c r="F8224" t="e">
        <f t="shared" si="291"/>
        <v>#N/A</v>
      </c>
      <c r="G8224" s="74">
        <v>28467</v>
      </c>
      <c r="H8224" s="77">
        <v>0.91666666666666663</v>
      </c>
      <c r="J8224">
        <v>30.92</v>
      </c>
      <c r="M8224" s="74">
        <v>36868</v>
      </c>
      <c r="N8224" s="77">
        <v>0.91666666666666663</v>
      </c>
      <c r="P8224">
        <v>24.8</v>
      </c>
      <c r="S8224" s="74">
        <v>35772</v>
      </c>
      <c r="T8224" s="77">
        <v>0.91666666666666663</v>
      </c>
      <c r="V8224">
        <v>33.979999999999997</v>
      </c>
      <c r="X8224" s="42"/>
      <c r="AB8224">
        <v>40.299999999999997</v>
      </c>
      <c r="AC8224">
        <v>33.799999999999997</v>
      </c>
      <c r="AE8224" s="74"/>
      <c r="AF8224" s="77"/>
      <c r="AH8224" s="497">
        <v>39.200000000000003</v>
      </c>
      <c r="AJ8224" s="42"/>
      <c r="AK8224" s="74"/>
      <c r="AL8224" s="77"/>
      <c r="AN8224" s="497">
        <v>37.94</v>
      </c>
      <c r="AP8224" s="42"/>
      <c r="AQ8224" s="74"/>
      <c r="AR8224" s="77"/>
      <c r="AT8224" s="497">
        <v>44.06</v>
      </c>
      <c r="AV8224" s="42"/>
      <c r="AW8224" s="74"/>
      <c r="AX8224" s="77"/>
      <c r="BA8224" s="497">
        <v>24.08</v>
      </c>
      <c r="BB8224" s="42"/>
      <c r="BC8224" s="74"/>
      <c r="BD8224" s="77"/>
      <c r="BF8224">
        <v>24.98</v>
      </c>
      <c r="BH8224" s="42"/>
      <c r="BI8224" s="74"/>
      <c r="BJ8224" s="77"/>
      <c r="BL8224" s="497">
        <v>24.98</v>
      </c>
      <c r="BN8224" s="42"/>
      <c r="BO8224" s="74"/>
      <c r="BP8224" s="77"/>
      <c r="BR8224" s="497">
        <v>28.94</v>
      </c>
      <c r="BT8224" s="42"/>
    </row>
    <row r="8225" spans="1:72" x14ac:dyDescent="0.25">
      <c r="A8225" s="90">
        <v>35772</v>
      </c>
      <c r="B8225" s="20">
        <v>0.95833333333333337</v>
      </c>
      <c r="D8225">
        <v>35.06</v>
      </c>
      <c r="E8225" t="str">
        <f t="shared" si="292"/>
        <v>WEEKDAY</v>
      </c>
      <c r="F8225" t="e">
        <f t="shared" si="291"/>
        <v>#N/A</v>
      </c>
      <c r="G8225" s="74">
        <v>28467</v>
      </c>
      <c r="H8225" s="77">
        <v>0.95833333333333337</v>
      </c>
      <c r="J8225">
        <v>32</v>
      </c>
      <c r="M8225" s="74">
        <v>36868</v>
      </c>
      <c r="N8225" s="77">
        <v>0.95833333333333337</v>
      </c>
      <c r="P8225">
        <v>23</v>
      </c>
      <c r="S8225" s="74">
        <v>35772</v>
      </c>
      <c r="T8225" s="77">
        <v>0.95833333333333337</v>
      </c>
      <c r="V8225">
        <v>33.979999999999997</v>
      </c>
      <c r="X8225" s="42"/>
      <c r="AB8225">
        <v>39.799999999999997</v>
      </c>
      <c r="AC8225">
        <v>28.4</v>
      </c>
      <c r="AE8225" s="74"/>
      <c r="AF8225" s="77"/>
      <c r="AH8225" s="497">
        <v>32</v>
      </c>
      <c r="AJ8225" s="42"/>
      <c r="AK8225" s="74"/>
      <c r="AL8225" s="77"/>
      <c r="AN8225" s="497">
        <v>37.94</v>
      </c>
      <c r="AP8225" s="42"/>
      <c r="AQ8225" s="74"/>
      <c r="AR8225" s="77"/>
      <c r="AT8225" s="497">
        <v>42.980000000000004</v>
      </c>
      <c r="AV8225" s="42"/>
      <c r="AW8225" s="74"/>
      <c r="AX8225" s="77"/>
      <c r="BA8225" s="497">
        <v>24.98</v>
      </c>
      <c r="BB8225" s="42"/>
      <c r="BC8225" s="74"/>
      <c r="BD8225" s="77"/>
      <c r="BF8225">
        <v>24.98</v>
      </c>
      <c r="BH8225" s="42"/>
      <c r="BI8225" s="74"/>
      <c r="BJ8225" s="77"/>
      <c r="BL8225" s="497">
        <v>26.060000000000002</v>
      </c>
      <c r="BN8225" s="42"/>
      <c r="BO8225" s="74"/>
      <c r="BP8225" s="77"/>
      <c r="BR8225" s="497">
        <v>28.94</v>
      </c>
      <c r="BT8225" s="42"/>
    </row>
    <row r="8226" spans="1:72" x14ac:dyDescent="0.25">
      <c r="A8226" s="90">
        <v>35772</v>
      </c>
      <c r="B8226" s="20">
        <v>1</v>
      </c>
      <c r="D8226">
        <v>33.979999999999997</v>
      </c>
      <c r="E8226" t="str">
        <f t="shared" si="292"/>
        <v>WEEKDAY</v>
      </c>
      <c r="F8226" t="e">
        <f t="shared" si="291"/>
        <v>#N/A</v>
      </c>
      <c r="G8226" s="74">
        <v>28467</v>
      </c>
      <c r="H8226" s="77">
        <v>1</v>
      </c>
      <c r="J8226">
        <v>32</v>
      </c>
      <c r="M8226" s="74">
        <v>36868</v>
      </c>
      <c r="N8226" s="80">
        <v>1</v>
      </c>
      <c r="P8226">
        <v>21.2</v>
      </c>
      <c r="S8226" s="74">
        <v>35772</v>
      </c>
      <c r="T8226" s="80">
        <v>1</v>
      </c>
      <c r="V8226">
        <v>33.979999999999997</v>
      </c>
      <c r="X8226" s="42"/>
      <c r="AB8226">
        <v>39.4</v>
      </c>
      <c r="AC8226">
        <v>32</v>
      </c>
      <c r="AE8226" s="74"/>
      <c r="AF8226" s="80"/>
      <c r="AH8226" s="497">
        <v>32</v>
      </c>
      <c r="AJ8226" s="42"/>
      <c r="AK8226" s="74"/>
      <c r="AL8226" s="80"/>
      <c r="AN8226" s="497">
        <v>35.06</v>
      </c>
      <c r="AP8226" s="42"/>
      <c r="AQ8226" s="74"/>
      <c r="AR8226" s="80"/>
      <c r="AT8226" s="497">
        <v>42.08</v>
      </c>
      <c r="AV8226" s="42"/>
      <c r="AW8226" s="74"/>
      <c r="AX8226" s="80"/>
      <c r="BA8226" s="497">
        <v>26.060000000000002</v>
      </c>
      <c r="BB8226" s="42"/>
      <c r="BC8226" s="74"/>
      <c r="BD8226" s="80"/>
      <c r="BF8226">
        <v>30.02</v>
      </c>
      <c r="BH8226" s="42"/>
      <c r="BI8226" s="74"/>
      <c r="BJ8226" s="80"/>
      <c r="BL8226" s="497">
        <v>28.04</v>
      </c>
      <c r="BN8226" s="42"/>
      <c r="BO8226" s="74"/>
      <c r="BP8226" s="80"/>
      <c r="BR8226" s="497">
        <v>28.94</v>
      </c>
      <c r="BT8226" s="42"/>
    </row>
    <row r="8227" spans="1:72" x14ac:dyDescent="0.25">
      <c r="A8227" s="90">
        <v>35773</v>
      </c>
      <c r="B8227" s="20">
        <v>4.1666666666666664E-2</v>
      </c>
      <c r="D8227">
        <v>33.08</v>
      </c>
      <c r="E8227" t="str">
        <f t="shared" si="292"/>
        <v>WEEKDAY</v>
      </c>
      <c r="F8227" t="e">
        <f t="shared" si="291"/>
        <v>#N/A</v>
      </c>
      <c r="G8227" s="74">
        <v>28468</v>
      </c>
      <c r="H8227" s="77">
        <v>4.1666666666666664E-2</v>
      </c>
      <c r="J8227">
        <v>33.979999999999997</v>
      </c>
      <c r="M8227" s="74">
        <v>36869</v>
      </c>
      <c r="N8227" s="77">
        <v>4.1666666666666664E-2</v>
      </c>
      <c r="P8227">
        <v>21.2</v>
      </c>
      <c r="S8227" s="74">
        <v>35773</v>
      </c>
      <c r="T8227" s="77">
        <v>4.1666666666666664E-2</v>
      </c>
      <c r="V8227">
        <v>30.92</v>
      </c>
      <c r="X8227" s="42"/>
      <c r="AB8227">
        <v>39.1</v>
      </c>
      <c r="AC8227">
        <v>32</v>
      </c>
      <c r="AE8227" s="74"/>
      <c r="AF8227" s="77"/>
      <c r="AH8227" s="497">
        <v>30.2</v>
      </c>
      <c r="AJ8227" s="42"/>
      <c r="AK8227" s="74"/>
      <c r="AL8227" s="77"/>
      <c r="AN8227" s="497">
        <v>33.979999999999997</v>
      </c>
      <c r="AP8227" s="42"/>
      <c r="AQ8227" s="74"/>
      <c r="AR8227" s="77"/>
      <c r="AT8227" s="497">
        <v>41</v>
      </c>
      <c r="AV8227" s="42"/>
      <c r="AW8227" s="74"/>
      <c r="AX8227" s="77"/>
      <c r="BA8227" s="497">
        <v>26.96</v>
      </c>
      <c r="BB8227" s="42"/>
      <c r="BC8227" s="74"/>
      <c r="BD8227" s="77"/>
      <c r="BF8227">
        <v>30.92</v>
      </c>
      <c r="BH8227" s="42"/>
      <c r="BI8227" s="74"/>
      <c r="BJ8227" s="77"/>
      <c r="BL8227" s="497">
        <v>28.94</v>
      </c>
      <c r="BN8227" s="42"/>
      <c r="BO8227" s="74"/>
      <c r="BP8227" s="77"/>
      <c r="BR8227" s="497">
        <v>28.04</v>
      </c>
      <c r="BT8227" s="42"/>
    </row>
    <row r="8228" spans="1:72" x14ac:dyDescent="0.25">
      <c r="A8228" s="90">
        <v>35773</v>
      </c>
      <c r="B8228" s="20">
        <v>8.3333333333333329E-2</v>
      </c>
      <c r="D8228">
        <v>33.08</v>
      </c>
      <c r="E8228" t="str">
        <f t="shared" si="292"/>
        <v>WEEKDAY</v>
      </c>
      <c r="F8228" t="e">
        <f t="shared" si="291"/>
        <v>#N/A</v>
      </c>
      <c r="G8228" s="74">
        <v>28468</v>
      </c>
      <c r="H8228" s="77">
        <v>8.3333333333333329E-2</v>
      </c>
      <c r="J8228">
        <v>35.96</v>
      </c>
      <c r="M8228" s="74">
        <v>36869</v>
      </c>
      <c r="N8228" s="77">
        <v>8.3333333333333329E-2</v>
      </c>
      <c r="P8228">
        <v>23</v>
      </c>
      <c r="S8228" s="74">
        <v>35773</v>
      </c>
      <c r="T8228" s="77">
        <v>8.3333333333333329E-2</v>
      </c>
      <c r="V8228">
        <v>30.92</v>
      </c>
      <c r="X8228" s="42"/>
      <c r="AB8228">
        <v>38.6</v>
      </c>
      <c r="AC8228">
        <v>30.2</v>
      </c>
      <c r="AE8228" s="74"/>
      <c r="AF8228" s="77"/>
      <c r="AH8228" s="497">
        <v>30.2</v>
      </c>
      <c r="AJ8228" s="42"/>
      <c r="AK8228" s="74"/>
      <c r="AL8228" s="77"/>
      <c r="AN8228" s="497">
        <v>33.08</v>
      </c>
      <c r="AP8228" s="42"/>
      <c r="AQ8228" s="74"/>
      <c r="AR8228" s="77"/>
      <c r="AT8228" s="497">
        <v>39.380000000000003</v>
      </c>
      <c r="AV8228" s="42"/>
      <c r="AW8228" s="74"/>
      <c r="AX8228" s="77"/>
      <c r="BA8228" s="497">
        <v>27.68</v>
      </c>
      <c r="BB8228" s="42"/>
      <c r="BC8228" s="74"/>
      <c r="BD8228" s="77"/>
      <c r="BF8228">
        <v>30.92</v>
      </c>
      <c r="BH8228" s="42"/>
      <c r="BI8228" s="74"/>
      <c r="BJ8228" s="77"/>
      <c r="BL8228" s="497">
        <v>30.02</v>
      </c>
      <c r="BN8228" s="42"/>
      <c r="BO8228" s="74"/>
      <c r="BP8228" s="77"/>
      <c r="BR8228" s="497">
        <v>26.96</v>
      </c>
      <c r="BT8228" s="42"/>
    </row>
    <row r="8229" spans="1:72" x14ac:dyDescent="0.25">
      <c r="A8229" s="90">
        <v>35773</v>
      </c>
      <c r="B8229" s="20">
        <v>0.125</v>
      </c>
      <c r="D8229">
        <v>33.08</v>
      </c>
      <c r="E8229" t="str">
        <f t="shared" si="292"/>
        <v>WEEKDAY</v>
      </c>
      <c r="F8229" t="e">
        <f t="shared" si="291"/>
        <v>#N/A</v>
      </c>
      <c r="G8229" s="74">
        <v>28468</v>
      </c>
      <c r="H8229" s="77">
        <v>0.125</v>
      </c>
      <c r="J8229">
        <v>39.019999999999996</v>
      </c>
      <c r="M8229" s="74">
        <v>36869</v>
      </c>
      <c r="N8229" s="77">
        <v>0.125</v>
      </c>
      <c r="P8229">
        <v>23</v>
      </c>
      <c r="S8229" s="74">
        <v>35773</v>
      </c>
      <c r="T8229" s="77">
        <v>0.125</v>
      </c>
      <c r="V8229">
        <v>30.02</v>
      </c>
      <c r="X8229" s="42"/>
      <c r="AB8229">
        <v>38.200000000000003</v>
      </c>
      <c r="AC8229">
        <v>26.6</v>
      </c>
      <c r="AE8229" s="74"/>
      <c r="AF8229" s="77"/>
      <c r="AH8229" s="497">
        <v>30.2</v>
      </c>
      <c r="AJ8229" s="42"/>
      <c r="AK8229" s="74"/>
      <c r="AL8229" s="77"/>
      <c r="AN8229" s="497">
        <v>33.08</v>
      </c>
      <c r="AP8229" s="42"/>
      <c r="AQ8229" s="74"/>
      <c r="AR8229" s="77"/>
      <c r="AT8229" s="497">
        <v>37.58</v>
      </c>
      <c r="AV8229" s="42"/>
      <c r="AW8229" s="74"/>
      <c r="AX8229" s="77"/>
      <c r="BA8229" s="497">
        <v>28.22</v>
      </c>
      <c r="BB8229" s="42"/>
      <c r="BC8229" s="74"/>
      <c r="BD8229" s="77"/>
      <c r="BF8229">
        <v>30.92</v>
      </c>
      <c r="BH8229" s="42"/>
      <c r="BI8229" s="74"/>
      <c r="BJ8229" s="77"/>
      <c r="BL8229" s="497">
        <v>30.02</v>
      </c>
      <c r="BN8229" s="42"/>
      <c r="BO8229" s="74"/>
      <c r="BP8229" s="77"/>
      <c r="BR8229" s="497">
        <v>26.96</v>
      </c>
      <c r="BT8229" s="42"/>
    </row>
    <row r="8230" spans="1:72" x14ac:dyDescent="0.25">
      <c r="A8230" s="90">
        <v>35773</v>
      </c>
      <c r="B8230" s="20">
        <v>0.16666666666666666</v>
      </c>
      <c r="D8230">
        <v>33.08</v>
      </c>
      <c r="E8230" t="str">
        <f t="shared" si="292"/>
        <v>WEEKDAY</v>
      </c>
      <c r="F8230" t="e">
        <f t="shared" si="291"/>
        <v>#N/A</v>
      </c>
      <c r="G8230" s="74">
        <v>28468</v>
      </c>
      <c r="H8230" s="77">
        <v>0.16666666666666666</v>
      </c>
      <c r="J8230">
        <v>39.019999999999996</v>
      </c>
      <c r="M8230" s="74">
        <v>36869</v>
      </c>
      <c r="N8230" s="77">
        <v>0.16666666666666666</v>
      </c>
      <c r="P8230">
        <v>24.8</v>
      </c>
      <c r="S8230" s="74">
        <v>35773</v>
      </c>
      <c r="T8230" s="77">
        <v>0.16666666666666666</v>
      </c>
      <c r="V8230">
        <v>30.02</v>
      </c>
      <c r="X8230" s="42"/>
      <c r="AB8230">
        <v>37.9</v>
      </c>
      <c r="AC8230">
        <v>26.6</v>
      </c>
      <c r="AE8230" s="74"/>
      <c r="AF8230" s="77"/>
      <c r="AH8230" s="497">
        <v>30.2</v>
      </c>
      <c r="AJ8230" s="42"/>
      <c r="AK8230" s="74"/>
      <c r="AL8230" s="77"/>
      <c r="AN8230" s="497">
        <v>33.08</v>
      </c>
      <c r="AP8230" s="42"/>
      <c r="AQ8230" s="74"/>
      <c r="AR8230" s="77"/>
      <c r="AT8230" s="497">
        <v>35.96</v>
      </c>
      <c r="AV8230" s="42"/>
      <c r="AW8230" s="74"/>
      <c r="AX8230" s="77"/>
      <c r="BA8230" s="497">
        <v>28.94</v>
      </c>
      <c r="BB8230" s="42"/>
      <c r="BC8230" s="74"/>
      <c r="BD8230" s="77"/>
      <c r="BF8230">
        <v>32</v>
      </c>
      <c r="BH8230" s="42"/>
      <c r="BI8230" s="74"/>
      <c r="BJ8230" s="77"/>
      <c r="BL8230" s="497">
        <v>30.92</v>
      </c>
      <c r="BN8230" s="42"/>
      <c r="BO8230" s="74"/>
      <c r="BP8230" s="77"/>
      <c r="BR8230" s="497">
        <v>26.060000000000002</v>
      </c>
      <c r="BT8230" s="42"/>
    </row>
    <row r="8231" spans="1:72" x14ac:dyDescent="0.25">
      <c r="A8231" s="90">
        <v>35773</v>
      </c>
      <c r="B8231" s="20">
        <v>0.20833333333333334</v>
      </c>
      <c r="D8231">
        <v>32</v>
      </c>
      <c r="E8231" t="str">
        <f t="shared" si="292"/>
        <v>WEEKDAY</v>
      </c>
      <c r="F8231" t="e">
        <f t="shared" si="291"/>
        <v>#N/A</v>
      </c>
      <c r="G8231" s="74">
        <v>28468</v>
      </c>
      <c r="H8231" s="77">
        <v>0.20833333333333334</v>
      </c>
      <c r="J8231">
        <v>42.08</v>
      </c>
      <c r="M8231" s="74">
        <v>36869</v>
      </c>
      <c r="N8231" s="77">
        <v>0.20833333333333334</v>
      </c>
      <c r="P8231">
        <v>24.8</v>
      </c>
      <c r="S8231" s="74">
        <v>35773</v>
      </c>
      <c r="T8231" s="77">
        <v>0.20833333333333334</v>
      </c>
      <c r="V8231">
        <v>30.92</v>
      </c>
      <c r="X8231" s="42"/>
      <c r="AB8231">
        <v>37.5</v>
      </c>
      <c r="AC8231">
        <v>24.8</v>
      </c>
      <c r="AE8231" s="74"/>
      <c r="AF8231" s="77"/>
      <c r="AH8231" s="497">
        <v>28.4</v>
      </c>
      <c r="AJ8231" s="42"/>
      <c r="AK8231" s="74"/>
      <c r="AL8231" s="77"/>
      <c r="AN8231" s="497">
        <v>32</v>
      </c>
      <c r="AP8231" s="42"/>
      <c r="AQ8231" s="74"/>
      <c r="AR8231" s="77"/>
      <c r="AT8231" s="497">
        <v>35.24</v>
      </c>
      <c r="AV8231" s="42"/>
      <c r="AW8231" s="74"/>
      <c r="AX8231" s="77"/>
      <c r="BA8231" s="497">
        <v>30.56</v>
      </c>
      <c r="BB8231" s="42"/>
      <c r="BC8231" s="74"/>
      <c r="BD8231" s="77"/>
      <c r="BF8231">
        <v>33.08</v>
      </c>
      <c r="BH8231" s="42"/>
      <c r="BI8231" s="74"/>
      <c r="BJ8231" s="77"/>
      <c r="BL8231" s="497">
        <v>32</v>
      </c>
      <c r="BN8231" s="42"/>
      <c r="BO8231" s="74"/>
      <c r="BP8231" s="77"/>
      <c r="BR8231" s="497">
        <v>24.98</v>
      </c>
      <c r="BT8231" s="42"/>
    </row>
    <row r="8232" spans="1:72" x14ac:dyDescent="0.25">
      <c r="A8232" s="90">
        <v>35773</v>
      </c>
      <c r="B8232" s="20">
        <v>0.25</v>
      </c>
      <c r="D8232">
        <v>32</v>
      </c>
      <c r="E8232" t="str">
        <f t="shared" si="292"/>
        <v>WEEKDAY</v>
      </c>
      <c r="F8232" t="e">
        <f t="shared" si="291"/>
        <v>#N/A</v>
      </c>
      <c r="G8232" s="74">
        <v>28468</v>
      </c>
      <c r="H8232" s="77">
        <v>0.25</v>
      </c>
      <c r="J8232">
        <v>39.92</v>
      </c>
      <c r="M8232" s="74">
        <v>36869</v>
      </c>
      <c r="N8232" s="77">
        <v>0.25</v>
      </c>
      <c r="P8232">
        <v>26.6</v>
      </c>
      <c r="S8232" s="74">
        <v>35773</v>
      </c>
      <c r="T8232" s="77">
        <v>0.25</v>
      </c>
      <c r="V8232">
        <v>30.02</v>
      </c>
      <c r="X8232" s="42"/>
      <c r="AB8232">
        <v>37.4</v>
      </c>
      <c r="AC8232">
        <v>26.6</v>
      </c>
      <c r="AE8232" s="74"/>
      <c r="AF8232" s="77"/>
      <c r="AH8232" s="497">
        <v>28.4</v>
      </c>
      <c r="AJ8232" s="42"/>
      <c r="AK8232" s="74"/>
      <c r="AL8232" s="77"/>
      <c r="AN8232" s="497">
        <v>32</v>
      </c>
      <c r="AP8232" s="42"/>
      <c r="AQ8232" s="74"/>
      <c r="AR8232" s="77"/>
      <c r="AT8232" s="497">
        <v>34.700000000000003</v>
      </c>
      <c r="AV8232" s="42"/>
      <c r="AW8232" s="74"/>
      <c r="AX8232" s="77"/>
      <c r="BA8232" s="497">
        <v>32.36</v>
      </c>
      <c r="BB8232" s="42"/>
      <c r="BC8232" s="74"/>
      <c r="BD8232" s="77"/>
      <c r="BF8232">
        <v>33.979999999999997</v>
      </c>
      <c r="BH8232" s="42"/>
      <c r="BI8232" s="74"/>
      <c r="BJ8232" s="77"/>
      <c r="BL8232" s="497">
        <v>33.08</v>
      </c>
      <c r="BN8232" s="42"/>
      <c r="BO8232" s="74"/>
      <c r="BP8232" s="77"/>
      <c r="BR8232" s="497">
        <v>24.08</v>
      </c>
      <c r="BT8232" s="42"/>
    </row>
    <row r="8233" spans="1:72" x14ac:dyDescent="0.25">
      <c r="A8233" s="90">
        <v>35773</v>
      </c>
      <c r="B8233" s="20">
        <v>0.29166666666666669</v>
      </c>
      <c r="D8233">
        <v>32</v>
      </c>
      <c r="E8233" t="str">
        <f t="shared" si="292"/>
        <v>WEEKDAY</v>
      </c>
      <c r="F8233" t="e">
        <f t="shared" si="291"/>
        <v>#N/A</v>
      </c>
      <c r="G8233" s="74">
        <v>28468</v>
      </c>
      <c r="H8233" s="77">
        <v>0.29166666666666669</v>
      </c>
      <c r="J8233">
        <v>37.94</v>
      </c>
      <c r="M8233" s="74">
        <v>36869</v>
      </c>
      <c r="N8233" s="77">
        <v>0.29166666666666669</v>
      </c>
      <c r="P8233">
        <v>26.6</v>
      </c>
      <c r="S8233" s="74">
        <v>35773</v>
      </c>
      <c r="T8233" s="77">
        <v>0.29166666666666669</v>
      </c>
      <c r="V8233">
        <v>30.02</v>
      </c>
      <c r="X8233" s="42"/>
      <c r="AB8233">
        <v>37.200000000000003</v>
      </c>
      <c r="AC8233">
        <v>24.8</v>
      </c>
      <c r="AE8233" s="74"/>
      <c r="AF8233" s="77"/>
      <c r="AH8233" s="497">
        <v>28.4</v>
      </c>
      <c r="AJ8233" s="42"/>
      <c r="AK8233" s="74"/>
      <c r="AL8233" s="77"/>
      <c r="AN8233" s="497">
        <v>30.92</v>
      </c>
      <c r="AP8233" s="42"/>
      <c r="AQ8233" s="74"/>
      <c r="AR8233" s="77"/>
      <c r="AT8233" s="497">
        <v>33.979999999999997</v>
      </c>
      <c r="AV8233" s="42"/>
      <c r="AW8233" s="74"/>
      <c r="AX8233" s="77"/>
      <c r="BA8233" s="497">
        <v>33.979999999999997</v>
      </c>
      <c r="BB8233" s="42"/>
      <c r="BC8233" s="74"/>
      <c r="BD8233" s="77"/>
      <c r="BF8233">
        <v>33.08</v>
      </c>
      <c r="BH8233" s="42"/>
      <c r="BI8233" s="74"/>
      <c r="BJ8233" s="77"/>
      <c r="BL8233" s="497">
        <v>33.979999999999997</v>
      </c>
      <c r="BN8233" s="42"/>
      <c r="BO8233" s="74"/>
      <c r="BP8233" s="77"/>
      <c r="BR8233" s="497">
        <v>24.08</v>
      </c>
      <c r="BT8233" s="42"/>
    </row>
    <row r="8234" spans="1:72" x14ac:dyDescent="0.25">
      <c r="A8234" s="90">
        <v>35773</v>
      </c>
      <c r="B8234" s="20">
        <v>0.33333333333333331</v>
      </c>
      <c r="D8234">
        <v>32</v>
      </c>
      <c r="E8234" t="str">
        <f t="shared" si="292"/>
        <v>WEEKDAY</v>
      </c>
      <c r="F8234" t="e">
        <f t="shared" si="291"/>
        <v>#N/A</v>
      </c>
      <c r="G8234" s="74">
        <v>28468</v>
      </c>
      <c r="H8234" s="77">
        <v>0.33333333333333331</v>
      </c>
      <c r="J8234">
        <v>37.94</v>
      </c>
      <c r="M8234" s="74">
        <v>36869</v>
      </c>
      <c r="N8234" s="77">
        <v>0.33333333333333331</v>
      </c>
      <c r="P8234">
        <v>26.6</v>
      </c>
      <c r="S8234" s="74">
        <v>35773</v>
      </c>
      <c r="T8234" s="77">
        <v>0.33333333333333331</v>
      </c>
      <c r="V8234">
        <v>30.92</v>
      </c>
      <c r="X8234" s="42"/>
      <c r="AB8234">
        <v>37.200000000000003</v>
      </c>
      <c r="AC8234">
        <v>28.4</v>
      </c>
      <c r="AE8234" s="74"/>
      <c r="AF8234" s="77"/>
      <c r="AH8234" s="497">
        <v>28.4</v>
      </c>
      <c r="AJ8234" s="42"/>
      <c r="AK8234" s="74"/>
      <c r="AL8234" s="77"/>
      <c r="AN8234" s="497">
        <v>30.02</v>
      </c>
      <c r="AP8234" s="42"/>
      <c r="AQ8234" s="74"/>
      <c r="AR8234" s="77"/>
      <c r="AT8234" s="497">
        <v>33.619999999999997</v>
      </c>
      <c r="AV8234" s="42"/>
      <c r="AW8234" s="74"/>
      <c r="AX8234" s="77"/>
      <c r="BA8234" s="497">
        <v>35.06</v>
      </c>
      <c r="BB8234" s="42"/>
      <c r="BC8234" s="74"/>
      <c r="BD8234" s="77"/>
      <c r="BF8234">
        <v>33.08</v>
      </c>
      <c r="BH8234" s="42"/>
      <c r="BI8234" s="74"/>
      <c r="BJ8234" s="77"/>
      <c r="BL8234" s="497">
        <v>35.06</v>
      </c>
      <c r="BN8234" s="42"/>
      <c r="BO8234" s="74"/>
      <c r="BP8234" s="77"/>
      <c r="BR8234" s="497">
        <v>23</v>
      </c>
      <c r="BT8234" s="42"/>
    </row>
    <row r="8235" spans="1:72" x14ac:dyDescent="0.25">
      <c r="A8235" s="90">
        <v>35773</v>
      </c>
      <c r="B8235" s="20">
        <v>0.375</v>
      </c>
      <c r="D8235">
        <v>33.08</v>
      </c>
      <c r="E8235" t="str">
        <f t="shared" si="292"/>
        <v>WEEKDAY</v>
      </c>
      <c r="F8235" t="e">
        <f t="shared" ref="F8235:F8298" si="293">IF(E8235="WEEKDAY",VLOOKUP(B8235,$DD$19:$DG$42,2),IF(E8235="SATURDAY",VLOOKUP(B8235,$DD$19:$DG$42,3),VLOOKUP(B8235,$DD$19:$DG$42,4)))</f>
        <v>#N/A</v>
      </c>
      <c r="G8235" s="74">
        <v>28468</v>
      </c>
      <c r="H8235" s="77">
        <v>0.375</v>
      </c>
      <c r="J8235">
        <v>39.019999999999996</v>
      </c>
      <c r="M8235" s="74">
        <v>36869</v>
      </c>
      <c r="N8235" s="77">
        <v>0.375</v>
      </c>
      <c r="P8235">
        <v>28.4</v>
      </c>
      <c r="S8235" s="74">
        <v>35773</v>
      </c>
      <c r="T8235" s="77">
        <v>0.375</v>
      </c>
      <c r="V8235">
        <v>33.08</v>
      </c>
      <c r="X8235" s="42"/>
      <c r="AB8235">
        <v>37.700000000000003</v>
      </c>
      <c r="AC8235">
        <v>33.799999999999997</v>
      </c>
      <c r="AE8235" s="74"/>
      <c r="AF8235" s="77"/>
      <c r="AH8235" s="497">
        <v>30.2</v>
      </c>
      <c r="AJ8235" s="42"/>
      <c r="AK8235" s="74"/>
      <c r="AL8235" s="77"/>
      <c r="AN8235" s="497">
        <v>28.04</v>
      </c>
      <c r="AP8235" s="42"/>
      <c r="AQ8235" s="74"/>
      <c r="AR8235" s="77"/>
      <c r="AT8235" s="497">
        <v>33.44</v>
      </c>
      <c r="AV8235" s="42"/>
      <c r="AW8235" s="74"/>
      <c r="AX8235" s="77"/>
      <c r="BA8235" s="497">
        <v>35.96</v>
      </c>
      <c r="BB8235" s="42"/>
      <c r="BC8235" s="74"/>
      <c r="BD8235" s="77"/>
      <c r="BF8235">
        <v>28.94</v>
      </c>
      <c r="BH8235" s="42"/>
      <c r="BI8235" s="74"/>
      <c r="BJ8235" s="77"/>
      <c r="BL8235" s="497">
        <v>33.979999999999997</v>
      </c>
      <c r="BN8235" s="42"/>
      <c r="BO8235" s="74"/>
      <c r="BP8235" s="77"/>
      <c r="BR8235" s="497">
        <v>23</v>
      </c>
      <c r="BT8235" s="42"/>
    </row>
    <row r="8236" spans="1:72" x14ac:dyDescent="0.25">
      <c r="A8236" s="90">
        <v>35773</v>
      </c>
      <c r="B8236" s="20">
        <v>0.41666666666666669</v>
      </c>
      <c r="D8236">
        <v>33.08</v>
      </c>
      <c r="E8236" t="str">
        <f t="shared" si="292"/>
        <v>WEEKDAY</v>
      </c>
      <c r="F8236" t="e">
        <f t="shared" si="293"/>
        <v>#N/A</v>
      </c>
      <c r="G8236" s="74">
        <v>28468</v>
      </c>
      <c r="H8236" s="77">
        <v>0.41666666666666669</v>
      </c>
      <c r="J8236">
        <v>39.92</v>
      </c>
      <c r="M8236" s="74">
        <v>36869</v>
      </c>
      <c r="N8236" s="77">
        <v>0.41666666666666669</v>
      </c>
      <c r="P8236">
        <v>30.2</v>
      </c>
      <c r="S8236" s="74">
        <v>35773</v>
      </c>
      <c r="T8236" s="77">
        <v>0.41666666666666669</v>
      </c>
      <c r="V8236">
        <v>35.06</v>
      </c>
      <c r="X8236" s="42"/>
      <c r="AB8236">
        <v>39.299999999999997</v>
      </c>
      <c r="AC8236">
        <v>37.4</v>
      </c>
      <c r="AE8236" s="74"/>
      <c r="AF8236" s="77"/>
      <c r="AH8236" s="497">
        <v>35.6</v>
      </c>
      <c r="AJ8236" s="42"/>
      <c r="AK8236" s="74"/>
      <c r="AL8236" s="77"/>
      <c r="AN8236" s="497">
        <v>28.04</v>
      </c>
      <c r="AP8236" s="42"/>
      <c r="AQ8236" s="74"/>
      <c r="AR8236" s="77"/>
      <c r="AT8236" s="497">
        <v>33.08</v>
      </c>
      <c r="AV8236" s="42"/>
      <c r="AW8236" s="74"/>
      <c r="AX8236" s="77"/>
      <c r="BA8236" s="497">
        <v>37.04</v>
      </c>
      <c r="BB8236" s="42"/>
      <c r="BC8236" s="74"/>
      <c r="BD8236" s="77"/>
      <c r="BF8236">
        <v>28.94</v>
      </c>
      <c r="BH8236" s="42"/>
      <c r="BI8236" s="74"/>
      <c r="BJ8236" s="77"/>
      <c r="BL8236" s="497">
        <v>30.92</v>
      </c>
      <c r="BN8236" s="42"/>
      <c r="BO8236" s="74"/>
      <c r="BP8236" s="77"/>
      <c r="BR8236" s="497">
        <v>21.92</v>
      </c>
      <c r="BT8236" s="42"/>
    </row>
    <row r="8237" spans="1:72" x14ac:dyDescent="0.25">
      <c r="A8237" s="90">
        <v>35773</v>
      </c>
      <c r="B8237" s="20">
        <v>0.45833333333333331</v>
      </c>
      <c r="D8237">
        <v>33.979999999999997</v>
      </c>
      <c r="E8237" t="str">
        <f t="shared" si="292"/>
        <v>WEEKDAY</v>
      </c>
      <c r="F8237" t="e">
        <f t="shared" si="293"/>
        <v>#N/A</v>
      </c>
      <c r="G8237" s="74">
        <v>28468</v>
      </c>
      <c r="H8237" s="77">
        <v>0.45833333333333331</v>
      </c>
      <c r="J8237">
        <v>41</v>
      </c>
      <c r="M8237" s="74">
        <v>36869</v>
      </c>
      <c r="N8237" s="77">
        <v>0.45833333333333331</v>
      </c>
      <c r="P8237">
        <v>30.2</v>
      </c>
      <c r="S8237" s="74">
        <v>35773</v>
      </c>
      <c r="T8237" s="77">
        <v>0.45833333333333331</v>
      </c>
      <c r="V8237">
        <v>37.94</v>
      </c>
      <c r="X8237" s="42"/>
      <c r="AB8237">
        <v>40.700000000000003</v>
      </c>
      <c r="AC8237">
        <v>39.200000000000003</v>
      </c>
      <c r="AE8237" s="74"/>
      <c r="AF8237" s="77"/>
      <c r="AH8237" s="497">
        <v>39.200000000000003</v>
      </c>
      <c r="AJ8237" s="42"/>
      <c r="AK8237" s="74"/>
      <c r="AL8237" s="77"/>
      <c r="AN8237" s="497">
        <v>28.04</v>
      </c>
      <c r="AP8237" s="42"/>
      <c r="AQ8237" s="74"/>
      <c r="AR8237" s="77"/>
      <c r="AT8237" s="497">
        <v>32.36</v>
      </c>
      <c r="AV8237" s="42"/>
      <c r="AW8237" s="74"/>
      <c r="AX8237" s="77"/>
      <c r="BA8237" s="497">
        <v>35.42</v>
      </c>
      <c r="BB8237" s="42"/>
      <c r="BC8237" s="74"/>
      <c r="BD8237" s="77"/>
      <c r="BF8237">
        <v>26.96</v>
      </c>
      <c r="BH8237" s="42"/>
      <c r="BI8237" s="74"/>
      <c r="BJ8237" s="77"/>
      <c r="BL8237" s="497">
        <v>30.92</v>
      </c>
      <c r="BN8237" s="42"/>
      <c r="BO8237" s="74"/>
      <c r="BP8237" s="77"/>
      <c r="BR8237" s="497">
        <v>23</v>
      </c>
      <c r="BT8237" s="42"/>
    </row>
    <row r="8238" spans="1:72" x14ac:dyDescent="0.25">
      <c r="A8238" s="90">
        <v>35773</v>
      </c>
      <c r="B8238" s="20">
        <v>0.5</v>
      </c>
      <c r="D8238">
        <v>33.979999999999997</v>
      </c>
      <c r="E8238" t="str">
        <f t="shared" si="292"/>
        <v>WEEKDAY</v>
      </c>
      <c r="F8238" t="e">
        <f t="shared" si="293"/>
        <v>#N/A</v>
      </c>
      <c r="G8238" s="74">
        <v>28468</v>
      </c>
      <c r="H8238" s="77">
        <v>0.5</v>
      </c>
      <c r="J8238">
        <v>41</v>
      </c>
      <c r="M8238" s="74">
        <v>36869</v>
      </c>
      <c r="N8238" s="77">
        <v>0.5</v>
      </c>
      <c r="P8238">
        <v>30.2</v>
      </c>
      <c r="S8238" s="74">
        <v>35773</v>
      </c>
      <c r="T8238" s="77">
        <v>0.5</v>
      </c>
      <c r="V8238">
        <v>37.94</v>
      </c>
      <c r="X8238" s="42"/>
      <c r="AB8238">
        <v>41.9</v>
      </c>
      <c r="AC8238">
        <v>42.8</v>
      </c>
      <c r="AE8238" s="74"/>
      <c r="AF8238" s="77"/>
      <c r="AH8238" s="497">
        <v>41</v>
      </c>
      <c r="AJ8238" s="42"/>
      <c r="AK8238" s="74"/>
      <c r="AL8238" s="77"/>
      <c r="AN8238" s="497">
        <v>28.04</v>
      </c>
      <c r="AP8238" s="42"/>
      <c r="AQ8238" s="74"/>
      <c r="AR8238" s="77"/>
      <c r="AT8238" s="497">
        <v>31.64</v>
      </c>
      <c r="AV8238" s="42"/>
      <c r="AW8238" s="74"/>
      <c r="AX8238" s="77"/>
      <c r="BA8238" s="497">
        <v>33.619999999999997</v>
      </c>
      <c r="BB8238" s="42"/>
      <c r="BC8238" s="74"/>
      <c r="BD8238" s="77"/>
      <c r="BF8238">
        <v>24.98</v>
      </c>
      <c r="BH8238" s="42"/>
      <c r="BI8238" s="74"/>
      <c r="BJ8238" s="77"/>
      <c r="BL8238" s="497">
        <v>30.02</v>
      </c>
      <c r="BN8238" s="42"/>
      <c r="BO8238" s="74"/>
      <c r="BP8238" s="77"/>
      <c r="BR8238" s="497">
        <v>21.92</v>
      </c>
      <c r="BT8238" s="42"/>
    </row>
    <row r="8239" spans="1:72" x14ac:dyDescent="0.25">
      <c r="A8239" s="90">
        <v>35773</v>
      </c>
      <c r="B8239" s="20">
        <v>0.54166666666666663</v>
      </c>
      <c r="D8239">
        <v>35.06</v>
      </c>
      <c r="E8239" t="str">
        <f t="shared" si="292"/>
        <v>WEEKDAY</v>
      </c>
      <c r="F8239" t="e">
        <f t="shared" si="293"/>
        <v>#N/A</v>
      </c>
      <c r="G8239" s="74">
        <v>28468</v>
      </c>
      <c r="H8239" s="77">
        <v>0.54166666666666663</v>
      </c>
      <c r="J8239">
        <v>41</v>
      </c>
      <c r="M8239" s="74">
        <v>36869</v>
      </c>
      <c r="N8239" s="77">
        <v>0.54166666666666663</v>
      </c>
      <c r="P8239">
        <v>32</v>
      </c>
      <c r="S8239" s="74">
        <v>35773</v>
      </c>
      <c r="T8239" s="77">
        <v>0.54166666666666663</v>
      </c>
      <c r="V8239">
        <v>39.019999999999996</v>
      </c>
      <c r="X8239" s="42"/>
      <c r="AB8239">
        <v>42.8</v>
      </c>
      <c r="AC8239">
        <v>44.6</v>
      </c>
      <c r="AE8239" s="74"/>
      <c r="AF8239" s="77"/>
      <c r="AH8239" s="497">
        <v>44.6</v>
      </c>
      <c r="AJ8239" s="42"/>
      <c r="AK8239" s="74"/>
      <c r="AL8239" s="77"/>
      <c r="AN8239" s="497">
        <v>26.96</v>
      </c>
      <c r="AP8239" s="42"/>
      <c r="AQ8239" s="74"/>
      <c r="AR8239" s="77"/>
      <c r="AT8239" s="497">
        <v>30.92</v>
      </c>
      <c r="AV8239" s="42"/>
      <c r="AW8239" s="74"/>
      <c r="AX8239" s="77"/>
      <c r="BA8239" s="497">
        <v>32</v>
      </c>
      <c r="BB8239" s="42"/>
      <c r="BC8239" s="74"/>
      <c r="BD8239" s="77"/>
      <c r="BF8239">
        <v>23</v>
      </c>
      <c r="BH8239" s="42"/>
      <c r="BI8239" s="74"/>
      <c r="BJ8239" s="77"/>
      <c r="BL8239" s="497">
        <v>28.04</v>
      </c>
      <c r="BN8239" s="42"/>
      <c r="BO8239" s="74"/>
      <c r="BP8239" s="77"/>
      <c r="BR8239" s="497">
        <v>21.92</v>
      </c>
      <c r="BT8239" s="42"/>
    </row>
    <row r="8240" spans="1:72" x14ac:dyDescent="0.25">
      <c r="A8240" s="90">
        <v>35773</v>
      </c>
      <c r="B8240" s="20">
        <v>0.58333333333333337</v>
      </c>
      <c r="D8240">
        <v>35.96</v>
      </c>
      <c r="E8240" t="str">
        <f t="shared" si="292"/>
        <v>WEEKDAY</v>
      </c>
      <c r="F8240" t="e">
        <f t="shared" si="293"/>
        <v>#N/A</v>
      </c>
      <c r="G8240" s="74">
        <v>28468</v>
      </c>
      <c r="H8240" s="77">
        <v>0.58333333333333337</v>
      </c>
      <c r="J8240">
        <v>39.92</v>
      </c>
      <c r="M8240" s="74">
        <v>36869</v>
      </c>
      <c r="N8240" s="77">
        <v>0.58333333333333337</v>
      </c>
      <c r="P8240">
        <v>32</v>
      </c>
      <c r="S8240" s="74">
        <v>35773</v>
      </c>
      <c r="T8240" s="77">
        <v>0.58333333333333337</v>
      </c>
      <c r="V8240">
        <v>39.92</v>
      </c>
      <c r="X8240" s="42"/>
      <c r="AB8240">
        <v>43.4</v>
      </c>
      <c r="AC8240">
        <v>42.8</v>
      </c>
      <c r="AE8240" s="74"/>
      <c r="AF8240" s="77"/>
      <c r="AH8240" s="497">
        <v>44.6</v>
      </c>
      <c r="AJ8240" s="42"/>
      <c r="AK8240" s="74"/>
      <c r="AL8240" s="77"/>
      <c r="AN8240" s="497">
        <v>26.96</v>
      </c>
      <c r="AP8240" s="42"/>
      <c r="AQ8240" s="74"/>
      <c r="AR8240" s="77"/>
      <c r="AT8240" s="497">
        <v>30.92</v>
      </c>
      <c r="AV8240" s="42"/>
      <c r="AW8240" s="74"/>
      <c r="AX8240" s="77"/>
      <c r="BA8240" s="497">
        <v>30.02</v>
      </c>
      <c r="BB8240" s="42"/>
      <c r="BC8240" s="74"/>
      <c r="BD8240" s="77"/>
      <c r="BF8240">
        <v>23</v>
      </c>
      <c r="BH8240" s="42"/>
      <c r="BI8240" s="74"/>
      <c r="BJ8240" s="77"/>
      <c r="BL8240" s="497">
        <v>26.060000000000002</v>
      </c>
      <c r="BN8240" s="42"/>
      <c r="BO8240" s="74"/>
      <c r="BP8240" s="77"/>
      <c r="BR8240" s="497">
        <v>21.92</v>
      </c>
      <c r="BT8240" s="42"/>
    </row>
    <row r="8241" spans="1:72" x14ac:dyDescent="0.25">
      <c r="A8241" s="90">
        <v>35773</v>
      </c>
      <c r="B8241" s="20">
        <v>0.625</v>
      </c>
      <c r="D8241">
        <v>35.96</v>
      </c>
      <c r="E8241" t="str">
        <f t="shared" si="292"/>
        <v>WEEKDAY</v>
      </c>
      <c r="F8241" t="e">
        <f t="shared" si="293"/>
        <v>#N/A</v>
      </c>
      <c r="G8241" s="74">
        <v>28468</v>
      </c>
      <c r="H8241" s="77">
        <v>0.625</v>
      </c>
      <c r="J8241">
        <v>39.92</v>
      </c>
      <c r="M8241" s="74">
        <v>36869</v>
      </c>
      <c r="N8241" s="77">
        <v>0.625</v>
      </c>
      <c r="P8241">
        <v>31.46</v>
      </c>
      <c r="S8241" s="74">
        <v>35773</v>
      </c>
      <c r="T8241" s="77">
        <v>0.625</v>
      </c>
      <c r="V8241">
        <v>39.92</v>
      </c>
      <c r="X8241" s="42"/>
      <c r="AB8241">
        <v>43.6</v>
      </c>
      <c r="AC8241">
        <v>42.8</v>
      </c>
      <c r="AE8241" s="74"/>
      <c r="AF8241" s="77"/>
      <c r="AH8241" s="497">
        <v>44.6</v>
      </c>
      <c r="AJ8241" s="42"/>
      <c r="AK8241" s="74"/>
      <c r="AL8241" s="77"/>
      <c r="AN8241" s="497">
        <v>26.96</v>
      </c>
      <c r="AP8241" s="42"/>
      <c r="AQ8241" s="74"/>
      <c r="AR8241" s="77"/>
      <c r="AT8241" s="497">
        <v>30.92</v>
      </c>
      <c r="AV8241" s="42"/>
      <c r="AW8241" s="74"/>
      <c r="AX8241" s="77"/>
      <c r="BA8241" s="497">
        <v>28.04</v>
      </c>
      <c r="BB8241" s="42"/>
      <c r="BC8241" s="74"/>
      <c r="BD8241" s="77"/>
      <c r="BF8241">
        <v>21.92</v>
      </c>
      <c r="BH8241" s="42"/>
      <c r="BI8241" s="74"/>
      <c r="BJ8241" s="77"/>
      <c r="BL8241" s="497">
        <v>23</v>
      </c>
      <c r="BN8241" s="42"/>
      <c r="BO8241" s="74"/>
      <c r="BP8241" s="77"/>
      <c r="BR8241" s="497">
        <v>23</v>
      </c>
      <c r="BT8241" s="42"/>
    </row>
    <row r="8242" spans="1:72" x14ac:dyDescent="0.25">
      <c r="A8242" s="90">
        <v>35773</v>
      </c>
      <c r="B8242" s="20">
        <v>0.66666666666666663</v>
      </c>
      <c r="D8242">
        <v>35.96</v>
      </c>
      <c r="E8242" t="str">
        <f t="shared" si="292"/>
        <v>WEEKDAY</v>
      </c>
      <c r="F8242" t="e">
        <f t="shared" si="293"/>
        <v>#N/A</v>
      </c>
      <c r="G8242" s="74">
        <v>28468</v>
      </c>
      <c r="H8242" s="77">
        <v>0.66666666666666663</v>
      </c>
      <c r="J8242">
        <v>39.92</v>
      </c>
      <c r="M8242" s="74">
        <v>36869</v>
      </c>
      <c r="N8242" s="77">
        <v>0.66666666666666663</v>
      </c>
      <c r="P8242">
        <v>30.2</v>
      </c>
      <c r="S8242" s="74">
        <v>35773</v>
      </c>
      <c r="T8242" s="77">
        <v>0.66666666666666663</v>
      </c>
      <c r="V8242">
        <v>42.08</v>
      </c>
      <c r="X8242" s="42"/>
      <c r="AB8242">
        <v>43.3</v>
      </c>
      <c r="AC8242">
        <v>39.200000000000003</v>
      </c>
      <c r="AE8242" s="74"/>
      <c r="AF8242" s="77"/>
      <c r="AH8242" s="497">
        <v>44.6</v>
      </c>
      <c r="AJ8242" s="42"/>
      <c r="AK8242" s="74"/>
      <c r="AL8242" s="77"/>
      <c r="AN8242" s="497">
        <v>26.060000000000002</v>
      </c>
      <c r="AP8242" s="42"/>
      <c r="AQ8242" s="74"/>
      <c r="AR8242" s="77"/>
      <c r="AT8242" s="497">
        <v>30.92</v>
      </c>
      <c r="AV8242" s="42"/>
      <c r="AW8242" s="74"/>
      <c r="AX8242" s="77"/>
      <c r="BA8242" s="497">
        <v>26.060000000000002</v>
      </c>
      <c r="BB8242" s="42"/>
      <c r="BC8242" s="74"/>
      <c r="BD8242" s="77"/>
      <c r="BF8242">
        <v>19.939999999999998</v>
      </c>
      <c r="BH8242" s="42"/>
      <c r="BI8242" s="74"/>
      <c r="BJ8242" s="77"/>
      <c r="BL8242" s="497">
        <v>19.939999999999998</v>
      </c>
      <c r="BN8242" s="42"/>
      <c r="BO8242" s="74"/>
      <c r="BP8242" s="77"/>
      <c r="BR8242" s="497">
        <v>21.92</v>
      </c>
      <c r="BT8242" s="42"/>
    </row>
    <row r="8243" spans="1:72" x14ac:dyDescent="0.25">
      <c r="A8243" s="90">
        <v>35773</v>
      </c>
      <c r="B8243" s="20">
        <v>0.70833333333333337</v>
      </c>
      <c r="D8243">
        <v>37.04</v>
      </c>
      <c r="E8243" t="str">
        <f t="shared" si="292"/>
        <v>WEEKDAY</v>
      </c>
      <c r="F8243" t="e">
        <f t="shared" si="293"/>
        <v>#N/A</v>
      </c>
      <c r="G8243" s="74">
        <v>28468</v>
      </c>
      <c r="H8243" s="77">
        <v>0.70833333333333337</v>
      </c>
      <c r="J8243">
        <v>39.92</v>
      </c>
      <c r="M8243" s="74">
        <v>36869</v>
      </c>
      <c r="N8243" s="77">
        <v>0.70833333333333337</v>
      </c>
      <c r="P8243">
        <v>28.4</v>
      </c>
      <c r="S8243" s="74">
        <v>35773</v>
      </c>
      <c r="T8243" s="77">
        <v>0.70833333333333337</v>
      </c>
      <c r="V8243">
        <v>39.92</v>
      </c>
      <c r="X8243" s="42"/>
      <c r="AB8243">
        <v>42.5</v>
      </c>
      <c r="AC8243">
        <v>39.200000000000003</v>
      </c>
      <c r="AE8243" s="74"/>
      <c r="AF8243" s="77"/>
      <c r="AH8243" s="497">
        <v>44.6</v>
      </c>
      <c r="AJ8243" s="42"/>
      <c r="AK8243" s="74"/>
      <c r="AL8243" s="77"/>
      <c r="AN8243" s="497">
        <v>26.060000000000002</v>
      </c>
      <c r="AP8243" s="42"/>
      <c r="AQ8243" s="74"/>
      <c r="AR8243" s="77"/>
      <c r="AT8243" s="497">
        <v>30.02</v>
      </c>
      <c r="AV8243" s="42"/>
      <c r="AW8243" s="74"/>
      <c r="AX8243" s="77"/>
      <c r="BA8243" s="497">
        <v>23.36</v>
      </c>
      <c r="BB8243" s="42"/>
      <c r="BC8243" s="74"/>
      <c r="BD8243" s="77"/>
      <c r="BF8243">
        <v>19.04</v>
      </c>
      <c r="BH8243" s="42"/>
      <c r="BI8243" s="74"/>
      <c r="BJ8243" s="77"/>
      <c r="BL8243" s="497">
        <v>17.96</v>
      </c>
      <c r="BN8243" s="42"/>
      <c r="BO8243" s="74"/>
      <c r="BP8243" s="77"/>
      <c r="BR8243" s="497">
        <v>21.92</v>
      </c>
      <c r="BT8243" s="42"/>
    </row>
    <row r="8244" spans="1:72" x14ac:dyDescent="0.25">
      <c r="A8244" s="90">
        <v>35773</v>
      </c>
      <c r="B8244" s="20">
        <v>0.75</v>
      </c>
      <c r="D8244">
        <v>37.94</v>
      </c>
      <c r="E8244" t="str">
        <f t="shared" si="292"/>
        <v>WEEKDAY</v>
      </c>
      <c r="F8244" t="e">
        <f t="shared" si="293"/>
        <v>#N/A</v>
      </c>
      <c r="G8244" s="74">
        <v>28468</v>
      </c>
      <c r="H8244" s="77">
        <v>0.75</v>
      </c>
      <c r="J8244">
        <v>37.94</v>
      </c>
      <c r="M8244" s="74">
        <v>36869</v>
      </c>
      <c r="N8244" s="77">
        <v>0.75</v>
      </c>
      <c r="P8244">
        <v>26.6</v>
      </c>
      <c r="S8244" s="74">
        <v>35773</v>
      </c>
      <c r="T8244" s="77">
        <v>0.75</v>
      </c>
      <c r="V8244">
        <v>39.019999999999996</v>
      </c>
      <c r="X8244" s="42"/>
      <c r="AB8244">
        <v>41.5</v>
      </c>
      <c r="AC8244">
        <v>37.4</v>
      </c>
      <c r="AE8244" s="74"/>
      <c r="AF8244" s="77"/>
      <c r="AH8244" s="497">
        <v>44.6</v>
      </c>
      <c r="AJ8244" s="42"/>
      <c r="AK8244" s="74"/>
      <c r="AL8244" s="77"/>
      <c r="AN8244" s="497">
        <v>24.08</v>
      </c>
      <c r="AP8244" s="42"/>
      <c r="AQ8244" s="74"/>
      <c r="AR8244" s="77"/>
      <c r="AT8244" s="497">
        <v>28.94</v>
      </c>
      <c r="AV8244" s="42"/>
      <c r="AW8244" s="74"/>
      <c r="AX8244" s="77"/>
      <c r="BA8244" s="497">
        <v>20.66</v>
      </c>
      <c r="BB8244" s="42"/>
      <c r="BC8244" s="74"/>
      <c r="BD8244" s="77"/>
      <c r="BF8244">
        <v>19.04</v>
      </c>
      <c r="BH8244" s="42"/>
      <c r="BI8244" s="74"/>
      <c r="BJ8244" s="77"/>
      <c r="BL8244" s="497">
        <v>15.98</v>
      </c>
      <c r="BN8244" s="42"/>
      <c r="BO8244" s="74"/>
      <c r="BP8244" s="77"/>
      <c r="BR8244" s="497">
        <v>21.92</v>
      </c>
      <c r="BT8244" s="42"/>
    </row>
    <row r="8245" spans="1:72" x14ac:dyDescent="0.25">
      <c r="A8245" s="90">
        <v>35773</v>
      </c>
      <c r="B8245" s="20">
        <v>0.79166666666666663</v>
      </c>
      <c r="D8245">
        <v>37.04</v>
      </c>
      <c r="E8245" t="str">
        <f t="shared" si="292"/>
        <v>WEEKDAY</v>
      </c>
      <c r="F8245" t="e">
        <f t="shared" si="293"/>
        <v>#N/A</v>
      </c>
      <c r="G8245" s="74">
        <v>28468</v>
      </c>
      <c r="H8245" s="77">
        <v>0.79166666666666663</v>
      </c>
      <c r="J8245">
        <v>35.96</v>
      </c>
      <c r="M8245" s="74">
        <v>36869</v>
      </c>
      <c r="N8245" s="77">
        <v>0.79166666666666663</v>
      </c>
      <c r="P8245">
        <v>24.8</v>
      </c>
      <c r="S8245" s="74">
        <v>35773</v>
      </c>
      <c r="T8245" s="77">
        <v>0.79166666666666663</v>
      </c>
      <c r="V8245">
        <v>37.04</v>
      </c>
      <c r="X8245" s="42"/>
      <c r="AB8245">
        <v>41.1</v>
      </c>
      <c r="AC8245">
        <v>37.4</v>
      </c>
      <c r="AE8245" s="74"/>
      <c r="AF8245" s="77"/>
      <c r="AH8245" s="497">
        <v>42.8</v>
      </c>
      <c r="AJ8245" s="42"/>
      <c r="AK8245" s="74"/>
      <c r="AL8245" s="77"/>
      <c r="AN8245" s="497">
        <v>24.08</v>
      </c>
      <c r="AP8245" s="42"/>
      <c r="AQ8245" s="74"/>
      <c r="AR8245" s="77"/>
      <c r="AT8245" s="497">
        <v>28.04</v>
      </c>
      <c r="AV8245" s="42"/>
      <c r="AW8245" s="74"/>
      <c r="AX8245" s="77"/>
      <c r="BA8245" s="497">
        <v>17.96</v>
      </c>
      <c r="BB8245" s="42"/>
      <c r="BC8245" s="74"/>
      <c r="BD8245" s="77"/>
      <c r="BF8245">
        <v>17.059999999999999</v>
      </c>
      <c r="BH8245" s="42"/>
      <c r="BI8245" s="74"/>
      <c r="BJ8245" s="77"/>
      <c r="BL8245" s="497">
        <v>15.98</v>
      </c>
      <c r="BN8245" s="42"/>
      <c r="BO8245" s="74"/>
      <c r="BP8245" s="77"/>
      <c r="BR8245" s="497">
        <v>19.939999999999998</v>
      </c>
      <c r="BT8245" s="42"/>
    </row>
    <row r="8246" spans="1:72" x14ac:dyDescent="0.25">
      <c r="A8246" s="90">
        <v>35773</v>
      </c>
      <c r="B8246" s="20">
        <v>0.83333333333333337</v>
      </c>
      <c r="D8246">
        <v>37.04</v>
      </c>
      <c r="E8246" t="str">
        <f t="shared" si="292"/>
        <v>WEEKDAY</v>
      </c>
      <c r="F8246" t="e">
        <f t="shared" si="293"/>
        <v>#N/A</v>
      </c>
      <c r="G8246" s="74">
        <v>28468</v>
      </c>
      <c r="H8246" s="77">
        <v>0.83333333333333337</v>
      </c>
      <c r="J8246">
        <v>30.02</v>
      </c>
      <c r="M8246" s="74">
        <v>36869</v>
      </c>
      <c r="N8246" s="77">
        <v>0.83333333333333337</v>
      </c>
      <c r="P8246">
        <v>24.8</v>
      </c>
      <c r="S8246" s="74">
        <v>35773</v>
      </c>
      <c r="T8246" s="77">
        <v>0.83333333333333337</v>
      </c>
      <c r="V8246">
        <v>37.94</v>
      </c>
      <c r="X8246" s="42"/>
      <c r="AB8246">
        <v>40.9</v>
      </c>
      <c r="AC8246">
        <v>33.799999999999997</v>
      </c>
      <c r="AE8246" s="74"/>
      <c r="AF8246" s="77"/>
      <c r="AH8246" s="497">
        <v>42.8</v>
      </c>
      <c r="AJ8246" s="42"/>
      <c r="AK8246" s="74"/>
      <c r="AL8246" s="77"/>
      <c r="AN8246" s="497">
        <v>24.08</v>
      </c>
      <c r="AP8246" s="42"/>
      <c r="AQ8246" s="74"/>
      <c r="AR8246" s="77"/>
      <c r="AT8246" s="497">
        <v>27.32</v>
      </c>
      <c r="AV8246" s="42"/>
      <c r="AW8246" s="74"/>
      <c r="AX8246" s="77"/>
      <c r="BA8246" s="497">
        <v>17.240000000000002</v>
      </c>
      <c r="BB8246" s="42"/>
      <c r="BC8246" s="74"/>
      <c r="BD8246" s="77"/>
      <c r="BF8246">
        <v>15.98</v>
      </c>
      <c r="BH8246" s="42"/>
      <c r="BI8246" s="74"/>
      <c r="BJ8246" s="77"/>
      <c r="BL8246" s="497">
        <v>17.059999999999999</v>
      </c>
      <c r="BN8246" s="42"/>
      <c r="BO8246" s="74"/>
      <c r="BP8246" s="77"/>
      <c r="BR8246" s="497">
        <v>19.04</v>
      </c>
      <c r="BT8246" s="42"/>
    </row>
    <row r="8247" spans="1:72" x14ac:dyDescent="0.25">
      <c r="A8247" s="90">
        <v>35773</v>
      </c>
      <c r="B8247" s="20">
        <v>0.875</v>
      </c>
      <c r="D8247">
        <v>37.04</v>
      </c>
      <c r="E8247" t="str">
        <f t="shared" si="292"/>
        <v>WEEKDAY</v>
      </c>
      <c r="F8247" t="e">
        <f t="shared" si="293"/>
        <v>#N/A</v>
      </c>
      <c r="G8247" s="74">
        <v>28468</v>
      </c>
      <c r="H8247" s="77">
        <v>0.875</v>
      </c>
      <c r="J8247">
        <v>28.04</v>
      </c>
      <c r="M8247" s="74">
        <v>36869</v>
      </c>
      <c r="N8247" s="77">
        <v>0.875</v>
      </c>
      <c r="P8247">
        <v>24.8</v>
      </c>
      <c r="S8247" s="74">
        <v>35773</v>
      </c>
      <c r="T8247" s="77">
        <v>0.875</v>
      </c>
      <c r="V8247">
        <v>37.94</v>
      </c>
      <c r="X8247" s="42"/>
      <c r="AB8247">
        <v>40.5</v>
      </c>
      <c r="AC8247">
        <v>33.799999999999997</v>
      </c>
      <c r="AE8247" s="74"/>
      <c r="AF8247" s="77"/>
      <c r="AH8247" s="497">
        <v>39.200000000000003</v>
      </c>
      <c r="AJ8247" s="42"/>
      <c r="AK8247" s="74"/>
      <c r="AL8247" s="77"/>
      <c r="AN8247" s="497">
        <v>24.08</v>
      </c>
      <c r="AP8247" s="42"/>
      <c r="AQ8247" s="74"/>
      <c r="AR8247" s="77"/>
      <c r="AT8247" s="497">
        <v>26.78</v>
      </c>
      <c r="AV8247" s="42"/>
      <c r="AW8247" s="74"/>
      <c r="AX8247" s="77"/>
      <c r="BA8247" s="497">
        <v>16.7</v>
      </c>
      <c r="BB8247" s="42"/>
      <c r="BC8247" s="74"/>
      <c r="BD8247" s="77"/>
      <c r="BF8247">
        <v>17.059999999999999</v>
      </c>
      <c r="BH8247" s="42"/>
      <c r="BI8247" s="74"/>
      <c r="BJ8247" s="77"/>
      <c r="BL8247" s="497">
        <v>17.059999999999999</v>
      </c>
      <c r="BN8247" s="42"/>
      <c r="BO8247" s="74"/>
      <c r="BP8247" s="77"/>
      <c r="BR8247" s="497">
        <v>19.04</v>
      </c>
      <c r="BT8247" s="42"/>
    </row>
    <row r="8248" spans="1:72" x14ac:dyDescent="0.25">
      <c r="A8248" s="90">
        <v>35773</v>
      </c>
      <c r="B8248" s="20">
        <v>0.91666666666666663</v>
      </c>
      <c r="D8248">
        <v>37.04</v>
      </c>
      <c r="E8248" t="str">
        <f t="shared" si="292"/>
        <v>WEEKDAY</v>
      </c>
      <c r="F8248" t="e">
        <f t="shared" si="293"/>
        <v>#N/A</v>
      </c>
      <c r="G8248" s="74">
        <v>28468</v>
      </c>
      <c r="H8248" s="77">
        <v>0.91666666666666663</v>
      </c>
      <c r="J8248">
        <v>24.98</v>
      </c>
      <c r="M8248" s="74">
        <v>36869</v>
      </c>
      <c r="N8248" s="77">
        <v>0.91666666666666663</v>
      </c>
      <c r="P8248">
        <v>24.8</v>
      </c>
      <c r="S8248" s="74">
        <v>35773</v>
      </c>
      <c r="T8248" s="77">
        <v>0.91666666666666663</v>
      </c>
      <c r="V8248">
        <v>37.94</v>
      </c>
      <c r="X8248" s="42"/>
      <c r="AB8248">
        <v>39.9</v>
      </c>
      <c r="AC8248">
        <v>33.799999999999997</v>
      </c>
      <c r="AE8248" s="74"/>
      <c r="AF8248" s="77"/>
      <c r="AH8248" s="497">
        <v>39.200000000000003</v>
      </c>
      <c r="AJ8248" s="42"/>
      <c r="AK8248" s="74"/>
      <c r="AL8248" s="77"/>
      <c r="AN8248" s="497">
        <v>21.92</v>
      </c>
      <c r="AP8248" s="42"/>
      <c r="AQ8248" s="74"/>
      <c r="AR8248" s="77"/>
      <c r="AT8248" s="497">
        <v>26.060000000000002</v>
      </c>
      <c r="AV8248" s="42"/>
      <c r="AW8248" s="74"/>
      <c r="AX8248" s="77"/>
      <c r="BA8248" s="497">
        <v>15.98</v>
      </c>
      <c r="BB8248" s="42"/>
      <c r="BC8248" s="74"/>
      <c r="BD8248" s="77"/>
      <c r="BF8248">
        <v>15.98</v>
      </c>
      <c r="BH8248" s="42"/>
      <c r="BI8248" s="74"/>
      <c r="BJ8248" s="77"/>
      <c r="BL8248" s="497">
        <v>17.96</v>
      </c>
      <c r="BN8248" s="42"/>
      <c r="BO8248" s="74"/>
      <c r="BP8248" s="77"/>
      <c r="BR8248" s="497">
        <v>19.04</v>
      </c>
      <c r="BT8248" s="42"/>
    </row>
    <row r="8249" spans="1:72" x14ac:dyDescent="0.25">
      <c r="A8249" s="90">
        <v>35773</v>
      </c>
      <c r="B8249" s="20">
        <v>0.95833333333333337</v>
      </c>
      <c r="D8249">
        <v>37.04</v>
      </c>
      <c r="E8249" t="str">
        <f t="shared" si="292"/>
        <v>WEEKDAY</v>
      </c>
      <c r="F8249" t="e">
        <f t="shared" si="293"/>
        <v>#N/A</v>
      </c>
      <c r="G8249" s="74">
        <v>28468</v>
      </c>
      <c r="H8249" s="77">
        <v>0.95833333333333337</v>
      </c>
      <c r="J8249">
        <v>23</v>
      </c>
      <c r="M8249" s="74">
        <v>36869</v>
      </c>
      <c r="N8249" s="77">
        <v>0.95833333333333337</v>
      </c>
      <c r="P8249">
        <v>23</v>
      </c>
      <c r="S8249" s="74">
        <v>35773</v>
      </c>
      <c r="T8249" s="77">
        <v>0.95833333333333337</v>
      </c>
      <c r="V8249">
        <v>37.94</v>
      </c>
      <c r="X8249" s="42"/>
      <c r="AB8249">
        <v>39.5</v>
      </c>
      <c r="AC8249">
        <v>33.799999999999997</v>
      </c>
      <c r="AE8249" s="74"/>
      <c r="AF8249" s="77"/>
      <c r="AH8249" s="497">
        <v>39.200000000000003</v>
      </c>
      <c r="AJ8249" s="42"/>
      <c r="AK8249" s="74"/>
      <c r="AL8249" s="77"/>
      <c r="AN8249" s="497">
        <v>21.02</v>
      </c>
      <c r="AP8249" s="42"/>
      <c r="AQ8249" s="74"/>
      <c r="AR8249" s="77"/>
      <c r="AT8249" s="497">
        <v>26.060000000000002</v>
      </c>
      <c r="AV8249" s="42"/>
      <c r="AW8249" s="74"/>
      <c r="AX8249" s="77"/>
      <c r="BA8249" s="497">
        <v>15.98</v>
      </c>
      <c r="BB8249" s="42"/>
      <c r="BC8249" s="74"/>
      <c r="BD8249" s="77"/>
      <c r="BF8249">
        <v>15.98</v>
      </c>
      <c r="BH8249" s="42"/>
      <c r="BI8249" s="74"/>
      <c r="BJ8249" s="77"/>
      <c r="BL8249" s="497">
        <v>17.059999999999999</v>
      </c>
      <c r="BN8249" s="42"/>
      <c r="BO8249" s="74"/>
      <c r="BP8249" s="77"/>
      <c r="BR8249" s="497">
        <v>21.02</v>
      </c>
      <c r="BT8249" s="42"/>
    </row>
    <row r="8250" spans="1:72" x14ac:dyDescent="0.25">
      <c r="A8250" s="90">
        <v>35773</v>
      </c>
      <c r="B8250" s="20">
        <v>1</v>
      </c>
      <c r="D8250">
        <v>35.96</v>
      </c>
      <c r="E8250" t="str">
        <f t="shared" si="292"/>
        <v>WEEKDAY</v>
      </c>
      <c r="F8250" t="e">
        <f t="shared" si="293"/>
        <v>#N/A</v>
      </c>
      <c r="G8250" s="74">
        <v>28468</v>
      </c>
      <c r="H8250" s="77">
        <v>1</v>
      </c>
      <c r="J8250">
        <v>23</v>
      </c>
      <c r="M8250" s="74">
        <v>36869</v>
      </c>
      <c r="N8250" s="80">
        <v>1</v>
      </c>
      <c r="P8250">
        <v>21.2</v>
      </c>
      <c r="S8250" s="74">
        <v>35773</v>
      </c>
      <c r="T8250" s="80">
        <v>1</v>
      </c>
      <c r="V8250">
        <v>37.94</v>
      </c>
      <c r="X8250" s="42"/>
      <c r="AB8250">
        <v>39</v>
      </c>
      <c r="AC8250">
        <v>35.6</v>
      </c>
      <c r="AE8250" s="74"/>
      <c r="AF8250" s="80"/>
      <c r="AH8250" s="497">
        <v>39.200000000000003</v>
      </c>
      <c r="AJ8250" s="42"/>
      <c r="AK8250" s="74"/>
      <c r="AL8250" s="80"/>
      <c r="AN8250" s="497">
        <v>19.04</v>
      </c>
      <c r="AP8250" s="42"/>
      <c r="AQ8250" s="74"/>
      <c r="AR8250" s="80"/>
      <c r="AT8250" s="497">
        <v>26.060000000000002</v>
      </c>
      <c r="AV8250" s="42"/>
      <c r="AW8250" s="74"/>
      <c r="AX8250" s="80"/>
      <c r="BA8250" s="497">
        <v>15.98</v>
      </c>
      <c r="BB8250" s="42"/>
      <c r="BC8250" s="74"/>
      <c r="BD8250" s="80"/>
      <c r="BF8250">
        <v>15.079999999999998</v>
      </c>
      <c r="BH8250" s="42"/>
      <c r="BI8250" s="74"/>
      <c r="BJ8250" s="80"/>
      <c r="BL8250" s="497">
        <v>17.059999999999999</v>
      </c>
      <c r="BN8250" s="42"/>
      <c r="BO8250" s="74"/>
      <c r="BP8250" s="80"/>
      <c r="BR8250" s="497">
        <v>21.02</v>
      </c>
      <c r="BT8250" s="42"/>
    </row>
    <row r="8251" spans="1:72" x14ac:dyDescent="0.25">
      <c r="A8251" s="90">
        <v>35774</v>
      </c>
      <c r="B8251" s="20">
        <v>4.1666666666666664E-2</v>
      </c>
      <c r="D8251">
        <v>37.04</v>
      </c>
      <c r="E8251" t="str">
        <f t="shared" si="292"/>
        <v>WEEKDAY</v>
      </c>
      <c r="F8251" t="e">
        <f t="shared" si="293"/>
        <v>#N/A</v>
      </c>
      <c r="G8251" s="74">
        <v>28469</v>
      </c>
      <c r="H8251" s="77">
        <v>4.1666666666666664E-2</v>
      </c>
      <c r="J8251">
        <v>21.02</v>
      </c>
      <c r="M8251" s="74">
        <v>36870</v>
      </c>
      <c r="N8251" s="77">
        <v>4.1666666666666664E-2</v>
      </c>
      <c r="P8251">
        <v>21.2</v>
      </c>
      <c r="S8251" s="74">
        <v>35774</v>
      </c>
      <c r="T8251" s="77">
        <v>4.1666666666666664E-2</v>
      </c>
      <c r="V8251">
        <v>37.94</v>
      </c>
      <c r="X8251" s="42"/>
      <c r="AB8251">
        <v>38.799999999999997</v>
      </c>
      <c r="AC8251">
        <v>35.6</v>
      </c>
      <c r="AE8251" s="74"/>
      <c r="AF8251" s="77"/>
      <c r="AH8251" s="497">
        <v>39.200000000000003</v>
      </c>
      <c r="AJ8251" s="42"/>
      <c r="AK8251" s="74"/>
      <c r="AL8251" s="77"/>
      <c r="AN8251" s="497">
        <v>17.059999999999999</v>
      </c>
      <c r="AP8251" s="42"/>
      <c r="AQ8251" s="74"/>
      <c r="AR8251" s="77"/>
      <c r="AT8251" s="497">
        <v>26.060000000000002</v>
      </c>
      <c r="AV8251" s="42"/>
      <c r="AW8251" s="74"/>
      <c r="AX8251" s="77"/>
      <c r="BA8251" s="497">
        <v>15.98</v>
      </c>
      <c r="BB8251" s="42"/>
      <c r="BC8251" s="74"/>
      <c r="BD8251" s="77"/>
      <c r="BF8251">
        <v>14</v>
      </c>
      <c r="BH8251" s="42"/>
      <c r="BI8251" s="74"/>
      <c r="BJ8251" s="77"/>
      <c r="BL8251" s="497">
        <v>17.059999999999999</v>
      </c>
      <c r="BN8251" s="42"/>
      <c r="BO8251" s="74"/>
      <c r="BP8251" s="77"/>
      <c r="BR8251" s="497">
        <v>21.02</v>
      </c>
      <c r="BT8251" s="42"/>
    </row>
    <row r="8252" spans="1:72" x14ac:dyDescent="0.25">
      <c r="A8252" s="90">
        <v>35774</v>
      </c>
      <c r="B8252" s="20">
        <v>8.3333333333333329E-2</v>
      </c>
      <c r="D8252">
        <v>37.04</v>
      </c>
      <c r="E8252" t="str">
        <f t="shared" si="292"/>
        <v>WEEKDAY</v>
      </c>
      <c r="F8252" t="e">
        <f t="shared" si="293"/>
        <v>#N/A</v>
      </c>
      <c r="G8252" s="74">
        <v>28469</v>
      </c>
      <c r="H8252" s="77">
        <v>8.3333333333333329E-2</v>
      </c>
      <c r="J8252">
        <v>21.02</v>
      </c>
      <c r="M8252" s="74">
        <v>36870</v>
      </c>
      <c r="N8252" s="77">
        <v>8.3333333333333329E-2</v>
      </c>
      <c r="P8252">
        <v>23</v>
      </c>
      <c r="S8252" s="74">
        <v>35774</v>
      </c>
      <c r="T8252" s="77">
        <v>8.3333333333333329E-2</v>
      </c>
      <c r="V8252">
        <v>37.94</v>
      </c>
      <c r="X8252" s="42"/>
      <c r="AB8252">
        <v>38.4</v>
      </c>
      <c r="AC8252">
        <v>35.6</v>
      </c>
      <c r="AE8252" s="74"/>
      <c r="AF8252" s="77"/>
      <c r="AH8252" s="497">
        <v>39.200000000000003</v>
      </c>
      <c r="AJ8252" s="42"/>
      <c r="AK8252" s="74"/>
      <c r="AL8252" s="77"/>
      <c r="AN8252" s="497">
        <v>15.98</v>
      </c>
      <c r="AP8252" s="42"/>
      <c r="AQ8252" s="74"/>
      <c r="AR8252" s="77"/>
      <c r="AT8252" s="497">
        <v>24.98</v>
      </c>
      <c r="AV8252" s="42"/>
      <c r="AW8252" s="74"/>
      <c r="AX8252" s="77"/>
      <c r="BA8252" s="497">
        <v>15.259999999999998</v>
      </c>
      <c r="BB8252" s="42"/>
      <c r="BC8252" s="74"/>
      <c r="BD8252" s="77"/>
      <c r="BF8252">
        <v>14</v>
      </c>
      <c r="BH8252" s="42"/>
      <c r="BI8252" s="74"/>
      <c r="BJ8252" s="77"/>
      <c r="BL8252" s="497">
        <v>17.059999999999999</v>
      </c>
      <c r="BN8252" s="42"/>
      <c r="BO8252" s="74"/>
      <c r="BP8252" s="77"/>
      <c r="BR8252" s="497">
        <v>19.939999999999998</v>
      </c>
      <c r="BT8252" s="42"/>
    </row>
    <row r="8253" spans="1:72" x14ac:dyDescent="0.25">
      <c r="A8253" s="90">
        <v>35774</v>
      </c>
      <c r="B8253" s="20">
        <v>0.125</v>
      </c>
      <c r="D8253">
        <v>37.04</v>
      </c>
      <c r="E8253" t="str">
        <f t="shared" si="292"/>
        <v>WEEKDAY</v>
      </c>
      <c r="F8253" t="e">
        <f t="shared" si="293"/>
        <v>#N/A</v>
      </c>
      <c r="G8253" s="74">
        <v>28469</v>
      </c>
      <c r="H8253" s="77">
        <v>0.125</v>
      </c>
      <c r="J8253">
        <v>19.939999999999998</v>
      </c>
      <c r="M8253" s="74">
        <v>36870</v>
      </c>
      <c r="N8253" s="77">
        <v>0.125</v>
      </c>
      <c r="P8253">
        <v>23</v>
      </c>
      <c r="S8253" s="74">
        <v>35774</v>
      </c>
      <c r="T8253" s="77">
        <v>0.125</v>
      </c>
      <c r="V8253">
        <v>37.94</v>
      </c>
      <c r="X8253" s="42"/>
      <c r="AB8253">
        <v>38</v>
      </c>
      <c r="AC8253">
        <v>35.6</v>
      </c>
      <c r="AE8253" s="74"/>
      <c r="AF8253" s="77"/>
      <c r="AH8253" s="497">
        <v>39.200000000000003</v>
      </c>
      <c r="AJ8253" s="42"/>
      <c r="AK8253" s="74"/>
      <c r="AL8253" s="77"/>
      <c r="AN8253" s="497">
        <v>15.98</v>
      </c>
      <c r="AP8253" s="42"/>
      <c r="AQ8253" s="74"/>
      <c r="AR8253" s="77"/>
      <c r="AT8253" s="497">
        <v>24.08</v>
      </c>
      <c r="AV8253" s="42"/>
      <c r="AW8253" s="74"/>
      <c r="AX8253" s="77"/>
      <c r="BA8253" s="497">
        <v>14.719999999999999</v>
      </c>
      <c r="BB8253" s="42"/>
      <c r="BC8253" s="74"/>
      <c r="BD8253" s="77"/>
      <c r="BF8253">
        <v>14</v>
      </c>
      <c r="BH8253" s="42"/>
      <c r="BI8253" s="74"/>
      <c r="BJ8253" s="77"/>
      <c r="BL8253" s="497">
        <v>17.059999999999999</v>
      </c>
      <c r="BN8253" s="42"/>
      <c r="BO8253" s="74"/>
      <c r="BP8253" s="77"/>
      <c r="BR8253" s="497">
        <v>15.98</v>
      </c>
      <c r="BT8253" s="42"/>
    </row>
    <row r="8254" spans="1:72" x14ac:dyDescent="0.25">
      <c r="A8254" s="90">
        <v>35774</v>
      </c>
      <c r="B8254" s="20">
        <v>0.16666666666666666</v>
      </c>
      <c r="D8254">
        <v>37.04</v>
      </c>
      <c r="E8254" t="str">
        <f t="shared" si="292"/>
        <v>WEEKDAY</v>
      </c>
      <c r="F8254" t="e">
        <f t="shared" si="293"/>
        <v>#N/A</v>
      </c>
      <c r="G8254" s="74">
        <v>28469</v>
      </c>
      <c r="H8254" s="77">
        <v>0.16666666666666666</v>
      </c>
      <c r="J8254">
        <v>19.939999999999998</v>
      </c>
      <c r="M8254" s="74">
        <v>36870</v>
      </c>
      <c r="N8254" s="77">
        <v>0.16666666666666666</v>
      </c>
      <c r="P8254">
        <v>21.2</v>
      </c>
      <c r="S8254" s="74">
        <v>35774</v>
      </c>
      <c r="T8254" s="77">
        <v>0.16666666666666666</v>
      </c>
      <c r="V8254">
        <v>37.94</v>
      </c>
      <c r="X8254" s="42"/>
      <c r="AB8254">
        <v>37.6</v>
      </c>
      <c r="AC8254">
        <v>37.4</v>
      </c>
      <c r="AE8254" s="74"/>
      <c r="AF8254" s="77"/>
      <c r="AH8254" s="497">
        <v>41</v>
      </c>
      <c r="AJ8254" s="42"/>
      <c r="AK8254" s="74"/>
      <c r="AL8254" s="77"/>
      <c r="AN8254" s="497">
        <v>15.98</v>
      </c>
      <c r="AP8254" s="42"/>
      <c r="AQ8254" s="74"/>
      <c r="AR8254" s="77"/>
      <c r="AT8254" s="497">
        <v>23</v>
      </c>
      <c r="AV8254" s="42"/>
      <c r="AW8254" s="74"/>
      <c r="AX8254" s="77"/>
      <c r="BA8254" s="497">
        <v>14</v>
      </c>
      <c r="BB8254" s="42"/>
      <c r="BC8254" s="74"/>
      <c r="BD8254" s="77"/>
      <c r="BF8254">
        <v>12.920000000000002</v>
      </c>
      <c r="BH8254" s="42"/>
      <c r="BI8254" s="74"/>
      <c r="BJ8254" s="77"/>
      <c r="BL8254" s="497">
        <v>17.059999999999999</v>
      </c>
      <c r="BN8254" s="42"/>
      <c r="BO8254" s="74"/>
      <c r="BP8254" s="77"/>
      <c r="BR8254" s="497">
        <v>14</v>
      </c>
      <c r="BT8254" s="42"/>
    </row>
    <row r="8255" spans="1:72" x14ac:dyDescent="0.25">
      <c r="A8255" s="90">
        <v>35774</v>
      </c>
      <c r="B8255" s="20">
        <v>0.20833333333333334</v>
      </c>
      <c r="D8255">
        <v>35.96</v>
      </c>
      <c r="E8255" t="str">
        <f t="shared" si="292"/>
        <v>WEEKDAY</v>
      </c>
      <c r="F8255" t="e">
        <f t="shared" si="293"/>
        <v>#N/A</v>
      </c>
      <c r="G8255" s="74">
        <v>28469</v>
      </c>
      <c r="H8255" s="77">
        <v>0.20833333333333334</v>
      </c>
      <c r="J8255">
        <v>19.939999999999998</v>
      </c>
      <c r="M8255" s="74">
        <v>36870</v>
      </c>
      <c r="N8255" s="77">
        <v>0.20833333333333334</v>
      </c>
      <c r="P8255">
        <v>23</v>
      </c>
      <c r="S8255" s="74">
        <v>35774</v>
      </c>
      <c r="T8255" s="77">
        <v>0.20833333333333334</v>
      </c>
      <c r="V8255">
        <v>37.94</v>
      </c>
      <c r="X8255" s="42"/>
      <c r="AB8255">
        <v>37.299999999999997</v>
      </c>
      <c r="AC8255">
        <v>37.4</v>
      </c>
      <c r="AE8255" s="74"/>
      <c r="AF8255" s="77"/>
      <c r="AH8255" s="497">
        <v>40.46</v>
      </c>
      <c r="AJ8255" s="42"/>
      <c r="AK8255" s="74"/>
      <c r="AL8255" s="77"/>
      <c r="AN8255" s="497">
        <v>15.98</v>
      </c>
      <c r="AP8255" s="42"/>
      <c r="AQ8255" s="74"/>
      <c r="AR8255" s="77"/>
      <c r="AT8255" s="497">
        <v>22.28</v>
      </c>
      <c r="AV8255" s="42"/>
      <c r="AW8255" s="74"/>
      <c r="AX8255" s="77"/>
      <c r="BA8255" s="497">
        <v>13.64</v>
      </c>
      <c r="BB8255" s="42"/>
      <c r="BC8255" s="74"/>
      <c r="BD8255" s="77"/>
      <c r="BF8255">
        <v>8.0599999999999987</v>
      </c>
      <c r="BH8255" s="42"/>
      <c r="BI8255" s="74"/>
      <c r="BJ8255" s="77"/>
      <c r="BL8255" s="497">
        <v>15.079999999999998</v>
      </c>
      <c r="BN8255" s="42"/>
      <c r="BO8255" s="74"/>
      <c r="BP8255" s="77"/>
      <c r="BR8255" s="497">
        <v>15.98</v>
      </c>
      <c r="BT8255" s="42"/>
    </row>
    <row r="8256" spans="1:72" x14ac:dyDescent="0.25">
      <c r="A8256" s="90">
        <v>35774</v>
      </c>
      <c r="B8256" s="20">
        <v>0.25</v>
      </c>
      <c r="D8256">
        <v>37.04</v>
      </c>
      <c r="E8256" t="str">
        <f t="shared" si="292"/>
        <v>WEEKDAY</v>
      </c>
      <c r="F8256" t="e">
        <f t="shared" si="293"/>
        <v>#N/A</v>
      </c>
      <c r="G8256" s="74">
        <v>28469</v>
      </c>
      <c r="H8256" s="77">
        <v>0.25</v>
      </c>
      <c r="J8256">
        <v>19.939999999999998</v>
      </c>
      <c r="M8256" s="74">
        <v>36870</v>
      </c>
      <c r="N8256" s="77">
        <v>0.25</v>
      </c>
      <c r="P8256">
        <v>21.2</v>
      </c>
      <c r="S8256" s="74">
        <v>35774</v>
      </c>
      <c r="T8256" s="77">
        <v>0.25</v>
      </c>
      <c r="V8256">
        <v>37.94</v>
      </c>
      <c r="X8256" s="42"/>
      <c r="AB8256">
        <v>37.200000000000003</v>
      </c>
      <c r="AC8256">
        <v>37.4</v>
      </c>
      <c r="AE8256" s="74"/>
      <c r="AF8256" s="77"/>
      <c r="AH8256" s="497">
        <v>39.92</v>
      </c>
      <c r="AJ8256" s="42"/>
      <c r="AK8256" s="74"/>
      <c r="AL8256" s="77"/>
      <c r="AN8256" s="497">
        <v>15.079999999999998</v>
      </c>
      <c r="AP8256" s="42"/>
      <c r="AQ8256" s="74"/>
      <c r="AR8256" s="77"/>
      <c r="AT8256" s="497">
        <v>21.740000000000002</v>
      </c>
      <c r="AV8256" s="42"/>
      <c r="AW8256" s="74"/>
      <c r="AX8256" s="77"/>
      <c r="BA8256" s="497">
        <v>13.279999999999998</v>
      </c>
      <c r="BB8256" s="42"/>
      <c r="BC8256" s="74"/>
      <c r="BD8256" s="77"/>
      <c r="BF8256">
        <v>8.0599999999999987</v>
      </c>
      <c r="BH8256" s="42"/>
      <c r="BI8256" s="74"/>
      <c r="BJ8256" s="77"/>
      <c r="BL8256" s="497">
        <v>8.0599999999999987</v>
      </c>
      <c r="BN8256" s="42"/>
      <c r="BO8256" s="74"/>
      <c r="BP8256" s="77"/>
      <c r="BR8256" s="497">
        <v>10.940000000000001</v>
      </c>
      <c r="BT8256" s="42"/>
    </row>
    <row r="8257" spans="1:72" x14ac:dyDescent="0.25">
      <c r="A8257" s="90">
        <v>35774</v>
      </c>
      <c r="B8257" s="20">
        <v>0.29166666666666669</v>
      </c>
      <c r="D8257">
        <v>37.94</v>
      </c>
      <c r="E8257" t="str">
        <f t="shared" si="292"/>
        <v>WEEKDAY</v>
      </c>
      <c r="F8257" t="e">
        <f t="shared" si="293"/>
        <v>#N/A</v>
      </c>
      <c r="G8257" s="74">
        <v>28469</v>
      </c>
      <c r="H8257" s="77">
        <v>0.29166666666666669</v>
      </c>
      <c r="J8257">
        <v>21.02</v>
      </c>
      <c r="M8257" s="74">
        <v>36870</v>
      </c>
      <c r="N8257" s="77">
        <v>0.29166666666666669</v>
      </c>
      <c r="P8257">
        <v>21.2</v>
      </c>
      <c r="S8257" s="74">
        <v>35774</v>
      </c>
      <c r="T8257" s="77">
        <v>0.29166666666666669</v>
      </c>
      <c r="V8257">
        <v>39.019999999999996</v>
      </c>
      <c r="X8257" s="42"/>
      <c r="AB8257">
        <v>37</v>
      </c>
      <c r="AC8257">
        <v>37.4</v>
      </c>
      <c r="AE8257" s="74"/>
      <c r="AF8257" s="77"/>
      <c r="AH8257" s="497">
        <v>39.200000000000003</v>
      </c>
      <c r="AJ8257" s="42"/>
      <c r="AK8257" s="74"/>
      <c r="AL8257" s="77"/>
      <c r="AN8257" s="497">
        <v>15.98</v>
      </c>
      <c r="AP8257" s="42"/>
      <c r="AQ8257" s="74"/>
      <c r="AR8257" s="77"/>
      <c r="AT8257" s="497">
        <v>21.02</v>
      </c>
      <c r="AV8257" s="42"/>
      <c r="AW8257" s="74"/>
      <c r="AX8257" s="77"/>
      <c r="BA8257" s="497">
        <v>12.920000000000002</v>
      </c>
      <c r="BB8257" s="42"/>
      <c r="BC8257" s="74"/>
      <c r="BD8257" s="77"/>
      <c r="BF8257">
        <v>8.9599999999999973</v>
      </c>
      <c r="BH8257" s="42"/>
      <c r="BI8257" s="74"/>
      <c r="BJ8257" s="77"/>
      <c r="BL8257" s="497">
        <v>5</v>
      </c>
      <c r="BN8257" s="42"/>
      <c r="BO8257" s="74"/>
      <c r="BP8257" s="77"/>
      <c r="BR8257" s="497">
        <v>8.0599999999999987</v>
      </c>
      <c r="BT8257" s="42"/>
    </row>
    <row r="8258" spans="1:72" x14ac:dyDescent="0.25">
      <c r="A8258" s="90">
        <v>35774</v>
      </c>
      <c r="B8258" s="20">
        <v>0.33333333333333331</v>
      </c>
      <c r="D8258">
        <v>37.94</v>
      </c>
      <c r="E8258" t="str">
        <f t="shared" si="292"/>
        <v>WEEKDAY</v>
      </c>
      <c r="F8258" t="e">
        <f t="shared" si="293"/>
        <v>#N/A</v>
      </c>
      <c r="G8258" s="74">
        <v>28469</v>
      </c>
      <c r="H8258" s="77">
        <v>0.33333333333333331</v>
      </c>
      <c r="J8258">
        <v>19.939999999999998</v>
      </c>
      <c r="M8258" s="74">
        <v>36870</v>
      </c>
      <c r="N8258" s="77">
        <v>0.33333333333333331</v>
      </c>
      <c r="P8258">
        <v>23</v>
      </c>
      <c r="S8258" s="74">
        <v>35774</v>
      </c>
      <c r="T8258" s="77">
        <v>0.33333333333333331</v>
      </c>
      <c r="V8258">
        <v>39.019999999999996</v>
      </c>
      <c r="X8258" s="42"/>
      <c r="AB8258">
        <v>37</v>
      </c>
      <c r="AC8258">
        <v>37.4</v>
      </c>
      <c r="AE8258" s="74"/>
      <c r="AF8258" s="77"/>
      <c r="AH8258" s="497">
        <v>39.200000000000003</v>
      </c>
      <c r="AJ8258" s="42"/>
      <c r="AK8258" s="74"/>
      <c r="AL8258" s="77"/>
      <c r="AN8258" s="497">
        <v>15.079999999999998</v>
      </c>
      <c r="AP8258" s="42"/>
      <c r="AQ8258" s="74"/>
      <c r="AR8258" s="77"/>
      <c r="AT8258" s="497">
        <v>21.740000000000002</v>
      </c>
      <c r="AV8258" s="42"/>
      <c r="AW8258" s="74"/>
      <c r="AX8258" s="77"/>
      <c r="BA8258" s="497">
        <v>14</v>
      </c>
      <c r="BB8258" s="42"/>
      <c r="BC8258" s="74"/>
      <c r="BD8258" s="77"/>
      <c r="BF8258">
        <v>8.0599999999999987</v>
      </c>
      <c r="BH8258" s="42"/>
      <c r="BI8258" s="74"/>
      <c r="BJ8258" s="77"/>
      <c r="BL8258" s="497">
        <v>10.039999999999999</v>
      </c>
      <c r="BN8258" s="42"/>
      <c r="BO8258" s="74"/>
      <c r="BP8258" s="77"/>
      <c r="BR8258" s="497">
        <v>6.0799999999999983</v>
      </c>
      <c r="BT8258" s="42"/>
    </row>
    <row r="8259" spans="1:72" x14ac:dyDescent="0.25">
      <c r="A8259" s="90">
        <v>35774</v>
      </c>
      <c r="B8259" s="20">
        <v>0.375</v>
      </c>
      <c r="D8259">
        <v>39.92</v>
      </c>
      <c r="E8259" t="str">
        <f t="shared" si="292"/>
        <v>WEEKDAY</v>
      </c>
      <c r="F8259" t="e">
        <f t="shared" si="293"/>
        <v>#N/A</v>
      </c>
      <c r="G8259" s="74">
        <v>28469</v>
      </c>
      <c r="H8259" s="77">
        <v>0.375</v>
      </c>
      <c r="J8259">
        <v>21.02</v>
      </c>
      <c r="M8259" s="74">
        <v>36870</v>
      </c>
      <c r="N8259" s="77">
        <v>0.375</v>
      </c>
      <c r="P8259">
        <v>26.6</v>
      </c>
      <c r="S8259" s="74">
        <v>35774</v>
      </c>
      <c r="T8259" s="77">
        <v>0.375</v>
      </c>
      <c r="V8259">
        <v>39.92</v>
      </c>
      <c r="X8259" s="42"/>
      <c r="AB8259">
        <v>37.6</v>
      </c>
      <c r="AC8259">
        <v>39.200000000000003</v>
      </c>
      <c r="AE8259" s="74"/>
      <c r="AF8259" s="77"/>
      <c r="AH8259" s="497">
        <v>41</v>
      </c>
      <c r="AJ8259" s="42"/>
      <c r="AK8259" s="74"/>
      <c r="AL8259" s="77"/>
      <c r="AN8259" s="497">
        <v>15.98</v>
      </c>
      <c r="AP8259" s="42"/>
      <c r="AQ8259" s="74"/>
      <c r="AR8259" s="77"/>
      <c r="AT8259" s="497">
        <v>22.28</v>
      </c>
      <c r="AV8259" s="42"/>
      <c r="AW8259" s="74"/>
      <c r="AX8259" s="77"/>
      <c r="BA8259" s="497">
        <v>14.899999999999999</v>
      </c>
      <c r="BB8259" s="42"/>
      <c r="BC8259" s="74"/>
      <c r="BD8259" s="77"/>
      <c r="BF8259">
        <v>10.940000000000001</v>
      </c>
      <c r="BH8259" s="42"/>
      <c r="BI8259" s="74"/>
      <c r="BJ8259" s="77"/>
      <c r="BL8259" s="497">
        <v>10.039999999999999</v>
      </c>
      <c r="BN8259" s="42"/>
      <c r="BO8259" s="74"/>
      <c r="BP8259" s="77"/>
      <c r="BR8259" s="497">
        <v>5</v>
      </c>
      <c r="BT8259" s="42"/>
    </row>
    <row r="8260" spans="1:72" x14ac:dyDescent="0.25">
      <c r="A8260" s="90">
        <v>35774</v>
      </c>
      <c r="B8260" s="20">
        <v>0.41666666666666669</v>
      </c>
      <c r="D8260">
        <v>41</v>
      </c>
      <c r="E8260" t="str">
        <f t="shared" si="292"/>
        <v>WEEKDAY</v>
      </c>
      <c r="F8260" t="e">
        <f t="shared" si="293"/>
        <v>#N/A</v>
      </c>
      <c r="G8260" s="74">
        <v>28469</v>
      </c>
      <c r="H8260" s="77">
        <v>0.41666666666666669</v>
      </c>
      <c r="J8260">
        <v>23</v>
      </c>
      <c r="M8260" s="74">
        <v>36870</v>
      </c>
      <c r="N8260" s="77">
        <v>0.41666666666666669</v>
      </c>
      <c r="P8260">
        <v>30.2</v>
      </c>
      <c r="S8260" s="74">
        <v>35774</v>
      </c>
      <c r="T8260" s="77">
        <v>0.41666666666666669</v>
      </c>
      <c r="V8260">
        <v>41</v>
      </c>
      <c r="X8260" s="42"/>
      <c r="AB8260">
        <v>39.1</v>
      </c>
      <c r="AC8260">
        <v>41</v>
      </c>
      <c r="AE8260" s="74"/>
      <c r="AF8260" s="77"/>
      <c r="AH8260" s="497">
        <v>41</v>
      </c>
      <c r="AJ8260" s="42"/>
      <c r="AK8260" s="74"/>
      <c r="AL8260" s="77"/>
      <c r="AN8260" s="497">
        <v>17.059999999999999</v>
      </c>
      <c r="AP8260" s="42"/>
      <c r="AQ8260" s="74"/>
      <c r="AR8260" s="77"/>
      <c r="AT8260" s="497">
        <v>23</v>
      </c>
      <c r="AV8260" s="42"/>
      <c r="AW8260" s="74"/>
      <c r="AX8260" s="77"/>
      <c r="BA8260" s="497">
        <v>15.98</v>
      </c>
      <c r="BB8260" s="42"/>
      <c r="BC8260" s="74"/>
      <c r="BD8260" s="77"/>
      <c r="BF8260">
        <v>14</v>
      </c>
      <c r="BH8260" s="42"/>
      <c r="BI8260" s="74"/>
      <c r="BJ8260" s="77"/>
      <c r="BL8260" s="497">
        <v>14</v>
      </c>
      <c r="BN8260" s="42"/>
      <c r="BO8260" s="74"/>
      <c r="BP8260" s="77"/>
      <c r="BR8260" s="497">
        <v>3.9200000000000017</v>
      </c>
      <c r="BT8260" s="42"/>
    </row>
    <row r="8261" spans="1:72" x14ac:dyDescent="0.25">
      <c r="A8261" s="90">
        <v>35774</v>
      </c>
      <c r="B8261" s="20">
        <v>0.45833333333333331</v>
      </c>
      <c r="D8261">
        <v>42.980000000000004</v>
      </c>
      <c r="E8261" t="str">
        <f t="shared" si="292"/>
        <v>WEEKDAY</v>
      </c>
      <c r="F8261" t="e">
        <f t="shared" si="293"/>
        <v>#N/A</v>
      </c>
      <c r="G8261" s="74">
        <v>28469</v>
      </c>
      <c r="H8261" s="77">
        <v>0.45833333333333331</v>
      </c>
      <c r="J8261">
        <v>24.08</v>
      </c>
      <c r="M8261" s="74">
        <v>36870</v>
      </c>
      <c r="N8261" s="77">
        <v>0.45833333333333331</v>
      </c>
      <c r="P8261">
        <v>32</v>
      </c>
      <c r="S8261" s="74">
        <v>35774</v>
      </c>
      <c r="T8261" s="77">
        <v>0.45833333333333331</v>
      </c>
      <c r="V8261">
        <v>42.08</v>
      </c>
      <c r="X8261" s="42"/>
      <c r="AB8261">
        <v>40.5</v>
      </c>
      <c r="AC8261">
        <v>41</v>
      </c>
      <c r="AE8261" s="74"/>
      <c r="AF8261" s="77"/>
      <c r="AH8261" s="497">
        <v>41</v>
      </c>
      <c r="AJ8261" s="42"/>
      <c r="AK8261" s="74"/>
      <c r="AL8261" s="77"/>
      <c r="AN8261" s="497">
        <v>17.96</v>
      </c>
      <c r="AP8261" s="42"/>
      <c r="AQ8261" s="74"/>
      <c r="AR8261" s="77"/>
      <c r="AT8261" s="497">
        <v>23.36</v>
      </c>
      <c r="AV8261" s="42"/>
      <c r="AW8261" s="74"/>
      <c r="AX8261" s="77"/>
      <c r="BA8261" s="497">
        <v>15.98</v>
      </c>
      <c r="BB8261" s="42"/>
      <c r="BC8261" s="74"/>
      <c r="BD8261" s="77"/>
      <c r="BF8261">
        <v>15.079999999999998</v>
      </c>
      <c r="BH8261" s="42"/>
      <c r="BI8261" s="74"/>
      <c r="BJ8261" s="77"/>
      <c r="BL8261" s="497">
        <v>17.059999999999999</v>
      </c>
      <c r="BN8261" s="42"/>
      <c r="BO8261" s="74"/>
      <c r="BP8261" s="77"/>
      <c r="BR8261" s="497">
        <v>3.019999999999996</v>
      </c>
      <c r="BT8261" s="42"/>
    </row>
    <row r="8262" spans="1:72" x14ac:dyDescent="0.25">
      <c r="A8262" s="90">
        <v>35774</v>
      </c>
      <c r="B8262" s="20">
        <v>0.5</v>
      </c>
      <c r="D8262">
        <v>42.980000000000004</v>
      </c>
      <c r="E8262" t="str">
        <f t="shared" si="292"/>
        <v>WEEKDAY</v>
      </c>
      <c r="F8262" t="e">
        <f t="shared" si="293"/>
        <v>#N/A</v>
      </c>
      <c r="G8262" s="74">
        <v>28469</v>
      </c>
      <c r="H8262" s="77">
        <v>0.5</v>
      </c>
      <c r="J8262">
        <v>26.060000000000002</v>
      </c>
      <c r="M8262" s="74">
        <v>36870</v>
      </c>
      <c r="N8262" s="77">
        <v>0.5</v>
      </c>
      <c r="P8262">
        <v>33.799999999999997</v>
      </c>
      <c r="S8262" s="74">
        <v>35774</v>
      </c>
      <c r="T8262" s="77">
        <v>0.5</v>
      </c>
      <c r="V8262">
        <v>41</v>
      </c>
      <c r="X8262" s="42"/>
      <c r="AB8262">
        <v>41.7</v>
      </c>
      <c r="AC8262">
        <v>42.8</v>
      </c>
      <c r="AE8262" s="74"/>
      <c r="AF8262" s="77"/>
      <c r="AH8262" s="497">
        <v>41</v>
      </c>
      <c r="AJ8262" s="42"/>
      <c r="AK8262" s="74"/>
      <c r="AL8262" s="77"/>
      <c r="AN8262" s="497">
        <v>17.96</v>
      </c>
      <c r="AP8262" s="42"/>
      <c r="AQ8262" s="74"/>
      <c r="AR8262" s="77"/>
      <c r="AT8262" s="497">
        <v>23.72</v>
      </c>
      <c r="AV8262" s="42"/>
      <c r="AW8262" s="74"/>
      <c r="AX8262" s="77"/>
      <c r="BA8262" s="497">
        <v>15.98</v>
      </c>
      <c r="BB8262" s="42"/>
      <c r="BC8262" s="74"/>
      <c r="BD8262" s="77"/>
      <c r="BF8262">
        <v>15.079999999999998</v>
      </c>
      <c r="BH8262" s="42"/>
      <c r="BI8262" s="74"/>
      <c r="BJ8262" s="77"/>
      <c r="BL8262" s="497">
        <v>17.059999999999999</v>
      </c>
      <c r="BN8262" s="42"/>
      <c r="BO8262" s="74"/>
      <c r="BP8262" s="77"/>
      <c r="BR8262" s="497">
        <v>3.9200000000000017</v>
      </c>
      <c r="BT8262" s="42"/>
    </row>
    <row r="8263" spans="1:72" x14ac:dyDescent="0.25">
      <c r="A8263" s="90">
        <v>35774</v>
      </c>
      <c r="B8263" s="20">
        <v>0.54166666666666663</v>
      </c>
      <c r="D8263">
        <v>44.06</v>
      </c>
      <c r="E8263" t="str">
        <f t="shared" si="292"/>
        <v>WEEKDAY</v>
      </c>
      <c r="F8263" t="e">
        <f t="shared" si="293"/>
        <v>#N/A</v>
      </c>
      <c r="G8263" s="74">
        <v>28469</v>
      </c>
      <c r="H8263" s="77">
        <v>0.54166666666666663</v>
      </c>
      <c r="J8263">
        <v>26.060000000000002</v>
      </c>
      <c r="M8263" s="74">
        <v>36870</v>
      </c>
      <c r="N8263" s="77">
        <v>0.54166666666666663</v>
      </c>
      <c r="P8263">
        <v>37.4</v>
      </c>
      <c r="S8263" s="74">
        <v>35774</v>
      </c>
      <c r="T8263" s="77">
        <v>0.54166666666666663</v>
      </c>
      <c r="V8263">
        <v>39.92</v>
      </c>
      <c r="X8263" s="42"/>
      <c r="AB8263">
        <v>42.6</v>
      </c>
      <c r="AC8263">
        <v>41</v>
      </c>
      <c r="AE8263" s="74"/>
      <c r="AF8263" s="77"/>
      <c r="AH8263" s="497">
        <v>42.8</v>
      </c>
      <c r="AJ8263" s="42"/>
      <c r="AK8263" s="74"/>
      <c r="AL8263" s="77"/>
      <c r="AN8263" s="497">
        <v>19.04</v>
      </c>
      <c r="AP8263" s="42"/>
      <c r="AQ8263" s="74"/>
      <c r="AR8263" s="77"/>
      <c r="AT8263" s="497">
        <v>24.08</v>
      </c>
      <c r="AV8263" s="42"/>
      <c r="AW8263" s="74"/>
      <c r="AX8263" s="77"/>
      <c r="BA8263" s="497">
        <v>15.98</v>
      </c>
      <c r="BB8263" s="42"/>
      <c r="BC8263" s="74"/>
      <c r="BD8263" s="77"/>
      <c r="BF8263">
        <v>15.98</v>
      </c>
      <c r="BH8263" s="42"/>
      <c r="BI8263" s="74"/>
      <c r="BJ8263" s="77"/>
      <c r="BL8263" s="497">
        <v>17.059999999999999</v>
      </c>
      <c r="BN8263" s="42"/>
      <c r="BO8263" s="74"/>
      <c r="BP8263" s="77"/>
      <c r="BR8263" s="497">
        <v>3.9200000000000017</v>
      </c>
      <c r="BT8263" s="42"/>
    </row>
    <row r="8264" spans="1:72" x14ac:dyDescent="0.25">
      <c r="A8264" s="90">
        <v>35774</v>
      </c>
      <c r="B8264" s="20">
        <v>0.58333333333333337</v>
      </c>
      <c r="D8264">
        <v>46.94</v>
      </c>
      <c r="E8264" t="str">
        <f t="shared" si="292"/>
        <v>WEEKDAY</v>
      </c>
      <c r="F8264" t="e">
        <f t="shared" si="293"/>
        <v>#N/A</v>
      </c>
      <c r="G8264" s="74">
        <v>28469</v>
      </c>
      <c r="H8264" s="77">
        <v>0.58333333333333337</v>
      </c>
      <c r="J8264">
        <v>26.96</v>
      </c>
      <c r="M8264" s="74">
        <v>36870</v>
      </c>
      <c r="N8264" s="77">
        <v>0.58333333333333337</v>
      </c>
      <c r="P8264">
        <v>37.4</v>
      </c>
      <c r="S8264" s="74">
        <v>35774</v>
      </c>
      <c r="T8264" s="77">
        <v>0.58333333333333337</v>
      </c>
      <c r="V8264">
        <v>35.96</v>
      </c>
      <c r="X8264" s="42"/>
      <c r="AB8264">
        <v>43.2</v>
      </c>
      <c r="AC8264">
        <v>35.6</v>
      </c>
      <c r="AE8264" s="74"/>
      <c r="AF8264" s="77"/>
      <c r="AH8264" s="497">
        <v>42.8</v>
      </c>
      <c r="AJ8264" s="42"/>
      <c r="AK8264" s="74"/>
      <c r="AL8264" s="77"/>
      <c r="AN8264" s="497">
        <v>19.04</v>
      </c>
      <c r="AP8264" s="42"/>
      <c r="AQ8264" s="74"/>
      <c r="AR8264" s="77"/>
      <c r="AT8264" s="497">
        <v>23.36</v>
      </c>
      <c r="AV8264" s="42"/>
      <c r="AW8264" s="74"/>
      <c r="AX8264" s="77"/>
      <c r="BA8264" s="497">
        <v>15.259999999999998</v>
      </c>
      <c r="BB8264" s="42"/>
      <c r="BC8264" s="74"/>
      <c r="BD8264" s="77"/>
      <c r="BF8264">
        <v>17.059999999999999</v>
      </c>
      <c r="BH8264" s="42"/>
      <c r="BI8264" s="74"/>
      <c r="BJ8264" s="77"/>
      <c r="BL8264" s="497">
        <v>15.079999999999998</v>
      </c>
      <c r="BN8264" s="42"/>
      <c r="BO8264" s="74"/>
      <c r="BP8264" s="77"/>
      <c r="BR8264" s="497">
        <v>5</v>
      </c>
      <c r="BT8264" s="42"/>
    </row>
    <row r="8265" spans="1:72" x14ac:dyDescent="0.25">
      <c r="A8265" s="90">
        <v>35774</v>
      </c>
      <c r="B8265" s="20">
        <v>0.625</v>
      </c>
      <c r="D8265">
        <v>48.92</v>
      </c>
      <c r="E8265" t="str">
        <f t="shared" si="292"/>
        <v>WEEKDAY</v>
      </c>
      <c r="F8265" t="e">
        <f t="shared" si="293"/>
        <v>#N/A</v>
      </c>
      <c r="G8265" s="74">
        <v>28469</v>
      </c>
      <c r="H8265" s="77">
        <v>0.625</v>
      </c>
      <c r="J8265">
        <v>26.96</v>
      </c>
      <c r="M8265" s="74">
        <v>36870</v>
      </c>
      <c r="N8265" s="77">
        <v>0.625</v>
      </c>
      <c r="P8265">
        <v>37.4</v>
      </c>
      <c r="S8265" s="74">
        <v>35774</v>
      </c>
      <c r="T8265" s="77">
        <v>0.625</v>
      </c>
      <c r="V8265">
        <v>35.96</v>
      </c>
      <c r="X8265" s="42"/>
      <c r="AB8265">
        <v>43.4</v>
      </c>
      <c r="AC8265">
        <v>35.6</v>
      </c>
      <c r="AE8265" s="74"/>
      <c r="AF8265" s="77"/>
      <c r="AH8265" s="497">
        <v>42.8</v>
      </c>
      <c r="AJ8265" s="42"/>
      <c r="AK8265" s="74"/>
      <c r="AL8265" s="77"/>
      <c r="AN8265" s="497">
        <v>17.96</v>
      </c>
      <c r="AP8265" s="42"/>
      <c r="AQ8265" s="74"/>
      <c r="AR8265" s="77"/>
      <c r="AT8265" s="497">
        <v>22.64</v>
      </c>
      <c r="AV8265" s="42"/>
      <c r="AW8265" s="74"/>
      <c r="AX8265" s="77"/>
      <c r="BA8265" s="497">
        <v>14.719999999999999</v>
      </c>
      <c r="BB8265" s="42"/>
      <c r="BC8265" s="74"/>
      <c r="BD8265" s="77"/>
      <c r="BF8265">
        <v>15.079999999999998</v>
      </c>
      <c r="BH8265" s="42"/>
      <c r="BI8265" s="74"/>
      <c r="BJ8265" s="77"/>
      <c r="BL8265" s="497">
        <v>14</v>
      </c>
      <c r="BN8265" s="42"/>
      <c r="BO8265" s="74"/>
      <c r="BP8265" s="77"/>
      <c r="BR8265" s="497">
        <v>5</v>
      </c>
      <c r="BT8265" s="42"/>
    </row>
    <row r="8266" spans="1:72" x14ac:dyDescent="0.25">
      <c r="A8266" s="90">
        <v>35774</v>
      </c>
      <c r="B8266" s="20">
        <v>0.66666666666666663</v>
      </c>
      <c r="D8266">
        <v>50</v>
      </c>
      <c r="E8266" t="str">
        <f t="shared" si="292"/>
        <v>WEEKDAY</v>
      </c>
      <c r="F8266" t="e">
        <f t="shared" si="293"/>
        <v>#N/A</v>
      </c>
      <c r="G8266" s="74">
        <v>28469</v>
      </c>
      <c r="H8266" s="77">
        <v>0.66666666666666663</v>
      </c>
      <c r="J8266">
        <v>28.04</v>
      </c>
      <c r="M8266" s="74">
        <v>36870</v>
      </c>
      <c r="N8266" s="77">
        <v>0.66666666666666663</v>
      </c>
      <c r="P8266">
        <v>37.4</v>
      </c>
      <c r="S8266" s="74">
        <v>35774</v>
      </c>
      <c r="T8266" s="77">
        <v>0.66666666666666663</v>
      </c>
      <c r="V8266">
        <v>35.96</v>
      </c>
      <c r="X8266" s="42"/>
      <c r="AB8266">
        <v>43.2</v>
      </c>
      <c r="AC8266">
        <v>35.6</v>
      </c>
      <c r="AE8266" s="74"/>
      <c r="AF8266" s="77"/>
      <c r="AH8266" s="497">
        <v>42.8</v>
      </c>
      <c r="AJ8266" s="42"/>
      <c r="AK8266" s="74"/>
      <c r="AL8266" s="77"/>
      <c r="AN8266" s="497">
        <v>17.96</v>
      </c>
      <c r="AP8266" s="42"/>
      <c r="AQ8266" s="74"/>
      <c r="AR8266" s="77"/>
      <c r="AT8266" s="497">
        <v>21.92</v>
      </c>
      <c r="AV8266" s="42"/>
      <c r="AW8266" s="74"/>
      <c r="AX8266" s="77"/>
      <c r="BA8266" s="497">
        <v>14</v>
      </c>
      <c r="BB8266" s="42"/>
      <c r="BC8266" s="74"/>
      <c r="BD8266" s="77"/>
      <c r="BF8266">
        <v>12.920000000000002</v>
      </c>
      <c r="BH8266" s="42"/>
      <c r="BI8266" s="74"/>
      <c r="BJ8266" s="77"/>
      <c r="BL8266" s="497">
        <v>12.920000000000002</v>
      </c>
      <c r="BN8266" s="42"/>
      <c r="BO8266" s="74"/>
      <c r="BP8266" s="77"/>
      <c r="BR8266" s="497">
        <v>5</v>
      </c>
      <c r="BT8266" s="42"/>
    </row>
    <row r="8267" spans="1:72" x14ac:dyDescent="0.25">
      <c r="A8267" s="90">
        <v>35774</v>
      </c>
      <c r="B8267" s="20">
        <v>0.70833333333333337</v>
      </c>
      <c r="D8267">
        <v>50</v>
      </c>
      <c r="E8267" t="str">
        <f t="shared" si="292"/>
        <v>WEEKDAY</v>
      </c>
      <c r="F8267" t="e">
        <f t="shared" si="293"/>
        <v>#N/A</v>
      </c>
      <c r="G8267" s="74">
        <v>28469</v>
      </c>
      <c r="H8267" s="77">
        <v>0.70833333333333337</v>
      </c>
      <c r="J8267">
        <v>26.060000000000002</v>
      </c>
      <c r="M8267" s="74">
        <v>36870</v>
      </c>
      <c r="N8267" s="77">
        <v>0.70833333333333337</v>
      </c>
      <c r="P8267">
        <v>35.6</v>
      </c>
      <c r="S8267" s="74">
        <v>35774</v>
      </c>
      <c r="T8267" s="77">
        <v>0.70833333333333337</v>
      </c>
      <c r="V8267">
        <v>35.96</v>
      </c>
      <c r="X8267" s="42"/>
      <c r="AB8267">
        <v>42.4</v>
      </c>
      <c r="AC8267">
        <v>35.6</v>
      </c>
      <c r="AE8267" s="74"/>
      <c r="AF8267" s="77"/>
      <c r="AH8267" s="497">
        <v>42.8</v>
      </c>
      <c r="AJ8267" s="42"/>
      <c r="AK8267" s="74"/>
      <c r="AL8267" s="77"/>
      <c r="AN8267" s="497">
        <v>15.98</v>
      </c>
      <c r="AP8267" s="42"/>
      <c r="AQ8267" s="74"/>
      <c r="AR8267" s="77"/>
      <c r="AT8267" s="497">
        <v>20.299999999999997</v>
      </c>
      <c r="AV8267" s="42"/>
      <c r="AW8267" s="74"/>
      <c r="AX8267" s="77"/>
      <c r="BA8267" s="497">
        <v>12.920000000000002</v>
      </c>
      <c r="BB8267" s="42"/>
      <c r="BC8267" s="74"/>
      <c r="BD8267" s="77"/>
      <c r="BF8267">
        <v>10.940000000000001</v>
      </c>
      <c r="BH8267" s="42"/>
      <c r="BI8267" s="74"/>
      <c r="BJ8267" s="77"/>
      <c r="BL8267" s="497">
        <v>10.039999999999999</v>
      </c>
      <c r="BN8267" s="42"/>
      <c r="BO8267" s="74"/>
      <c r="BP8267" s="77"/>
      <c r="BR8267" s="497">
        <v>1.9400000000000013</v>
      </c>
      <c r="BT8267" s="42"/>
    </row>
    <row r="8268" spans="1:72" x14ac:dyDescent="0.25">
      <c r="A8268" s="90">
        <v>35774</v>
      </c>
      <c r="B8268" s="20">
        <v>0.75</v>
      </c>
      <c r="D8268">
        <v>48.019999999999996</v>
      </c>
      <c r="E8268" t="str">
        <f t="shared" si="292"/>
        <v>WEEKDAY</v>
      </c>
      <c r="F8268" t="e">
        <f t="shared" si="293"/>
        <v>#N/A</v>
      </c>
      <c r="G8268" s="74">
        <v>28469</v>
      </c>
      <c r="H8268" s="77">
        <v>0.75</v>
      </c>
      <c r="J8268">
        <v>24.08</v>
      </c>
      <c r="M8268" s="74">
        <v>36870</v>
      </c>
      <c r="N8268" s="77">
        <v>0.75</v>
      </c>
      <c r="P8268">
        <v>35.6</v>
      </c>
      <c r="S8268" s="74">
        <v>35774</v>
      </c>
      <c r="T8268" s="77">
        <v>0.75</v>
      </c>
      <c r="V8268">
        <v>35.96</v>
      </c>
      <c r="X8268" s="42"/>
      <c r="AB8268">
        <v>41.4</v>
      </c>
      <c r="AC8268">
        <v>35.6</v>
      </c>
      <c r="AE8268" s="74"/>
      <c r="AF8268" s="77"/>
      <c r="AH8268" s="497">
        <v>42.8</v>
      </c>
      <c r="AJ8268" s="42"/>
      <c r="AK8268" s="74"/>
      <c r="AL8268" s="77"/>
      <c r="AN8268" s="497">
        <v>15.079999999999998</v>
      </c>
      <c r="AP8268" s="42"/>
      <c r="AQ8268" s="74"/>
      <c r="AR8268" s="77"/>
      <c r="AT8268" s="497">
        <v>18.68</v>
      </c>
      <c r="AV8268" s="42"/>
      <c r="AW8268" s="74"/>
      <c r="AX8268" s="77"/>
      <c r="BA8268" s="497">
        <v>12.02</v>
      </c>
      <c r="BB8268" s="42"/>
      <c r="BC8268" s="74"/>
      <c r="BD8268" s="77"/>
      <c r="BF8268">
        <v>8.9599999999999973</v>
      </c>
      <c r="BH8268" s="42"/>
      <c r="BI8268" s="74"/>
      <c r="BJ8268" s="77"/>
      <c r="BL8268" s="497">
        <v>8.9599999999999973</v>
      </c>
      <c r="BN8268" s="42"/>
      <c r="BO8268" s="74"/>
      <c r="BP8268" s="77"/>
      <c r="BR8268" s="497">
        <v>1.9400000000000013</v>
      </c>
      <c r="BT8268" s="42"/>
    </row>
    <row r="8269" spans="1:72" x14ac:dyDescent="0.25">
      <c r="A8269" s="90">
        <v>35774</v>
      </c>
      <c r="B8269" s="20">
        <v>0.79166666666666663</v>
      </c>
      <c r="D8269">
        <v>48.92</v>
      </c>
      <c r="E8269" t="str">
        <f t="shared" si="292"/>
        <v>WEEKDAY</v>
      </c>
      <c r="F8269" t="e">
        <f t="shared" si="293"/>
        <v>#N/A</v>
      </c>
      <c r="G8269" s="74">
        <v>28469</v>
      </c>
      <c r="H8269" s="77">
        <v>0.79166666666666663</v>
      </c>
      <c r="J8269">
        <v>23</v>
      </c>
      <c r="M8269" s="74">
        <v>36870</v>
      </c>
      <c r="N8269" s="77">
        <v>0.79166666666666663</v>
      </c>
      <c r="P8269">
        <v>35.6</v>
      </c>
      <c r="S8269" s="74">
        <v>35774</v>
      </c>
      <c r="T8269" s="77">
        <v>0.79166666666666663</v>
      </c>
      <c r="V8269">
        <v>35.96</v>
      </c>
      <c r="X8269" s="42"/>
      <c r="AB8269">
        <v>40.9</v>
      </c>
      <c r="AC8269">
        <v>37.4</v>
      </c>
      <c r="AE8269" s="74"/>
      <c r="AF8269" s="77"/>
      <c r="AH8269" s="497">
        <v>44.6</v>
      </c>
      <c r="AJ8269" s="42"/>
      <c r="AK8269" s="74"/>
      <c r="AL8269" s="77"/>
      <c r="AN8269" s="497">
        <v>14</v>
      </c>
      <c r="AP8269" s="42"/>
      <c r="AQ8269" s="74"/>
      <c r="AR8269" s="77"/>
      <c r="AT8269" s="497">
        <v>17.059999999999999</v>
      </c>
      <c r="AV8269" s="42"/>
      <c r="AW8269" s="74"/>
      <c r="AX8269" s="77"/>
      <c r="BA8269" s="497">
        <v>10.940000000000001</v>
      </c>
      <c r="BB8269" s="42"/>
      <c r="BC8269" s="74"/>
      <c r="BD8269" s="77"/>
      <c r="BF8269">
        <v>8.0599999999999987</v>
      </c>
      <c r="BH8269" s="42"/>
      <c r="BI8269" s="74"/>
      <c r="BJ8269" s="77"/>
      <c r="BL8269" s="497">
        <v>8.0599999999999987</v>
      </c>
      <c r="BN8269" s="42"/>
      <c r="BO8269" s="74"/>
      <c r="BP8269" s="77"/>
      <c r="BR8269" s="497">
        <v>-3.9999999999999147E-2</v>
      </c>
      <c r="BT8269" s="42"/>
    </row>
    <row r="8270" spans="1:72" x14ac:dyDescent="0.25">
      <c r="A8270" s="90">
        <v>35774</v>
      </c>
      <c r="B8270" s="20">
        <v>0.83333333333333337</v>
      </c>
      <c r="D8270">
        <v>50</v>
      </c>
      <c r="E8270" t="str">
        <f t="shared" si="292"/>
        <v>WEEKDAY</v>
      </c>
      <c r="F8270" t="e">
        <f t="shared" si="293"/>
        <v>#N/A</v>
      </c>
      <c r="G8270" s="74">
        <v>28469</v>
      </c>
      <c r="H8270" s="77">
        <v>0.83333333333333337</v>
      </c>
      <c r="J8270">
        <v>21.02</v>
      </c>
      <c r="M8270" s="74">
        <v>36870</v>
      </c>
      <c r="N8270" s="77">
        <v>0.83333333333333337</v>
      </c>
      <c r="P8270">
        <v>35.6</v>
      </c>
      <c r="S8270" s="74">
        <v>35774</v>
      </c>
      <c r="T8270" s="77">
        <v>0.83333333333333337</v>
      </c>
      <c r="V8270">
        <v>35.96</v>
      </c>
      <c r="X8270" s="42"/>
      <c r="AB8270">
        <v>40.700000000000003</v>
      </c>
      <c r="AC8270">
        <v>37.4</v>
      </c>
      <c r="AE8270" s="74"/>
      <c r="AF8270" s="77"/>
      <c r="AH8270" s="497">
        <v>44.6</v>
      </c>
      <c r="AJ8270" s="42"/>
      <c r="AK8270" s="74"/>
      <c r="AL8270" s="77"/>
      <c r="AN8270" s="497">
        <v>12.920000000000002</v>
      </c>
      <c r="AP8270" s="42"/>
      <c r="AQ8270" s="74"/>
      <c r="AR8270" s="77"/>
      <c r="AT8270" s="497">
        <v>17.78</v>
      </c>
      <c r="AV8270" s="42"/>
      <c r="AW8270" s="74"/>
      <c r="AX8270" s="77"/>
      <c r="BA8270" s="497">
        <v>8.240000000000002</v>
      </c>
      <c r="BB8270" s="42"/>
      <c r="BC8270" s="74"/>
      <c r="BD8270" s="77"/>
      <c r="BF8270">
        <v>6.0799999999999983</v>
      </c>
      <c r="BH8270" s="42"/>
      <c r="BI8270" s="74"/>
      <c r="BJ8270" s="77"/>
      <c r="BL8270" s="497">
        <v>10.039999999999999</v>
      </c>
      <c r="BN8270" s="42"/>
      <c r="BO8270" s="74"/>
      <c r="BP8270" s="77"/>
      <c r="BR8270" s="497">
        <v>-0.94000000000000483</v>
      </c>
      <c r="BT8270" s="42"/>
    </row>
    <row r="8271" spans="1:72" x14ac:dyDescent="0.25">
      <c r="A8271" s="90">
        <v>35774</v>
      </c>
      <c r="B8271" s="20">
        <v>0.875</v>
      </c>
      <c r="D8271">
        <v>50</v>
      </c>
      <c r="E8271" t="str">
        <f t="shared" si="292"/>
        <v>WEEKDAY</v>
      </c>
      <c r="F8271" t="e">
        <f t="shared" si="293"/>
        <v>#N/A</v>
      </c>
      <c r="G8271" s="74">
        <v>28469</v>
      </c>
      <c r="H8271" s="77">
        <v>0.875</v>
      </c>
      <c r="J8271">
        <v>21.02</v>
      </c>
      <c r="M8271" s="74">
        <v>36870</v>
      </c>
      <c r="N8271" s="77">
        <v>0.875</v>
      </c>
      <c r="P8271">
        <v>37.4</v>
      </c>
      <c r="S8271" s="74">
        <v>35774</v>
      </c>
      <c r="T8271" s="77">
        <v>0.875</v>
      </c>
      <c r="V8271">
        <v>35.96</v>
      </c>
      <c r="X8271" s="42"/>
      <c r="AB8271">
        <v>40.200000000000003</v>
      </c>
      <c r="AC8271">
        <v>37.4</v>
      </c>
      <c r="AE8271" s="74"/>
      <c r="AF8271" s="77"/>
      <c r="AH8271" s="497">
        <v>41</v>
      </c>
      <c r="AJ8271" s="42"/>
      <c r="AK8271" s="74"/>
      <c r="AL8271" s="77"/>
      <c r="AN8271" s="497">
        <v>14</v>
      </c>
      <c r="AP8271" s="42"/>
      <c r="AQ8271" s="74"/>
      <c r="AR8271" s="77"/>
      <c r="AT8271" s="497">
        <v>18.32</v>
      </c>
      <c r="AV8271" s="42"/>
      <c r="AW8271" s="74"/>
      <c r="AX8271" s="77"/>
      <c r="BA8271" s="497">
        <v>5.7199999999999989</v>
      </c>
      <c r="BB8271" s="42"/>
      <c r="BC8271" s="74"/>
      <c r="BD8271" s="77"/>
      <c r="BF8271">
        <v>6.0799999999999983</v>
      </c>
      <c r="BH8271" s="42"/>
      <c r="BI8271" s="74"/>
      <c r="BJ8271" s="77"/>
      <c r="BL8271" s="497">
        <v>5</v>
      </c>
      <c r="BN8271" s="42"/>
      <c r="BO8271" s="74"/>
      <c r="BP8271" s="77"/>
      <c r="BR8271" s="497">
        <v>-2.019999999999996</v>
      </c>
      <c r="BT8271" s="42"/>
    </row>
    <row r="8272" spans="1:72" x14ac:dyDescent="0.25">
      <c r="A8272" s="90">
        <v>35774</v>
      </c>
      <c r="B8272" s="20">
        <v>0.91666666666666663</v>
      </c>
      <c r="D8272">
        <v>51.08</v>
      </c>
      <c r="E8272" t="str">
        <f t="shared" si="292"/>
        <v>WEEKDAY</v>
      </c>
      <c r="F8272" t="e">
        <f t="shared" si="293"/>
        <v>#N/A</v>
      </c>
      <c r="G8272" s="74">
        <v>28469</v>
      </c>
      <c r="H8272" s="77">
        <v>0.91666666666666663</v>
      </c>
      <c r="J8272">
        <v>19.939999999999998</v>
      </c>
      <c r="M8272" s="74">
        <v>36870</v>
      </c>
      <c r="N8272" s="77">
        <v>0.91666666666666663</v>
      </c>
      <c r="P8272">
        <v>35.6</v>
      </c>
      <c r="S8272" s="74">
        <v>35774</v>
      </c>
      <c r="T8272" s="77">
        <v>0.91666666666666663</v>
      </c>
      <c r="V8272">
        <v>35.96</v>
      </c>
      <c r="X8272" s="42"/>
      <c r="AB8272">
        <v>39.700000000000003</v>
      </c>
      <c r="AC8272">
        <v>37.4</v>
      </c>
      <c r="AE8272" s="74"/>
      <c r="AF8272" s="77"/>
      <c r="AH8272" s="497">
        <v>41</v>
      </c>
      <c r="AJ8272" s="42"/>
      <c r="AK8272" s="74"/>
      <c r="AL8272" s="77"/>
      <c r="AN8272" s="497">
        <v>14</v>
      </c>
      <c r="AP8272" s="42"/>
      <c r="AQ8272" s="74"/>
      <c r="AR8272" s="77"/>
      <c r="AT8272" s="497">
        <v>19.04</v>
      </c>
      <c r="AV8272" s="42"/>
      <c r="AW8272" s="74"/>
      <c r="AX8272" s="77"/>
      <c r="BA8272" s="497">
        <v>3.019999999999996</v>
      </c>
      <c r="BB8272" s="42"/>
      <c r="BC8272" s="74"/>
      <c r="BD8272" s="77"/>
      <c r="BF8272">
        <v>6.0799999999999983</v>
      </c>
      <c r="BH8272" s="42"/>
      <c r="BI8272" s="74"/>
      <c r="BJ8272" s="77"/>
      <c r="BL8272" s="497">
        <v>3.019999999999996</v>
      </c>
      <c r="BN8272" s="42"/>
      <c r="BO8272" s="74"/>
      <c r="BP8272" s="77"/>
      <c r="BR8272" s="497">
        <v>1.0399999999999991</v>
      </c>
      <c r="BT8272" s="42"/>
    </row>
    <row r="8273" spans="1:72" x14ac:dyDescent="0.25">
      <c r="A8273" s="90">
        <v>35774</v>
      </c>
      <c r="B8273" s="20">
        <v>0.95833333333333337</v>
      </c>
      <c r="D8273">
        <v>51.980000000000004</v>
      </c>
      <c r="E8273" t="str">
        <f t="shared" si="292"/>
        <v>WEEKDAY</v>
      </c>
      <c r="F8273" t="e">
        <f t="shared" si="293"/>
        <v>#N/A</v>
      </c>
      <c r="G8273" s="74">
        <v>28469</v>
      </c>
      <c r="H8273" s="77">
        <v>0.95833333333333337</v>
      </c>
      <c r="J8273">
        <v>19.939999999999998</v>
      </c>
      <c r="M8273" s="74">
        <v>36870</v>
      </c>
      <c r="N8273" s="77">
        <v>0.95833333333333337</v>
      </c>
      <c r="P8273">
        <v>35.6</v>
      </c>
      <c r="S8273" s="74">
        <v>35774</v>
      </c>
      <c r="T8273" s="77">
        <v>0.95833333333333337</v>
      </c>
      <c r="V8273">
        <v>35.96</v>
      </c>
      <c r="X8273" s="42"/>
      <c r="AB8273">
        <v>39.200000000000003</v>
      </c>
      <c r="AC8273">
        <v>37.4</v>
      </c>
      <c r="AE8273" s="74"/>
      <c r="AF8273" s="77"/>
      <c r="AH8273" s="497">
        <v>41</v>
      </c>
      <c r="AJ8273" s="42"/>
      <c r="AK8273" s="74"/>
      <c r="AL8273" s="77"/>
      <c r="AN8273" s="497">
        <v>14</v>
      </c>
      <c r="AP8273" s="42"/>
      <c r="AQ8273" s="74"/>
      <c r="AR8273" s="77"/>
      <c r="AT8273" s="497">
        <v>19.04</v>
      </c>
      <c r="AV8273" s="42"/>
      <c r="AW8273" s="74"/>
      <c r="AX8273" s="77"/>
      <c r="BA8273" s="497">
        <v>2.6599999999999966</v>
      </c>
      <c r="BB8273" s="42"/>
      <c r="BC8273" s="74"/>
      <c r="BD8273" s="77"/>
      <c r="BF8273">
        <v>6.98</v>
      </c>
      <c r="BH8273" s="42"/>
      <c r="BI8273" s="74"/>
      <c r="BJ8273" s="77"/>
      <c r="BL8273" s="497">
        <v>-3.9999999999999147E-2</v>
      </c>
      <c r="BN8273" s="42"/>
      <c r="BO8273" s="74"/>
      <c r="BP8273" s="77"/>
      <c r="BR8273" s="497">
        <v>1.9400000000000013</v>
      </c>
      <c r="BT8273" s="42"/>
    </row>
    <row r="8274" spans="1:72" x14ac:dyDescent="0.25">
      <c r="A8274" s="90">
        <v>35774</v>
      </c>
      <c r="B8274" s="20">
        <v>1</v>
      </c>
      <c r="D8274">
        <v>51.980000000000004</v>
      </c>
      <c r="E8274" t="str">
        <f t="shared" si="292"/>
        <v>WEEKDAY</v>
      </c>
      <c r="F8274" t="e">
        <f t="shared" si="293"/>
        <v>#N/A</v>
      </c>
      <c r="G8274" s="74">
        <v>28469</v>
      </c>
      <c r="H8274" s="77">
        <v>1</v>
      </c>
      <c r="J8274">
        <v>19.939999999999998</v>
      </c>
      <c r="M8274" s="74">
        <v>36870</v>
      </c>
      <c r="N8274" s="80">
        <v>1</v>
      </c>
      <c r="P8274">
        <v>35.6</v>
      </c>
      <c r="S8274" s="74">
        <v>35774</v>
      </c>
      <c r="T8274" s="80">
        <v>1</v>
      </c>
      <c r="V8274">
        <v>35.96</v>
      </c>
      <c r="X8274" s="42"/>
      <c r="AB8274">
        <v>38.799999999999997</v>
      </c>
      <c r="AC8274">
        <v>37.4</v>
      </c>
      <c r="AE8274" s="74"/>
      <c r="AF8274" s="80"/>
      <c r="AH8274" s="497">
        <v>41</v>
      </c>
      <c r="AJ8274" s="42"/>
      <c r="AK8274" s="74"/>
      <c r="AL8274" s="80"/>
      <c r="AN8274" s="497">
        <v>15.079999999999998</v>
      </c>
      <c r="AP8274" s="42"/>
      <c r="AQ8274" s="74"/>
      <c r="AR8274" s="80"/>
      <c r="AT8274" s="497">
        <v>19.04</v>
      </c>
      <c r="AV8274" s="42"/>
      <c r="AW8274" s="74"/>
      <c r="AX8274" s="80"/>
      <c r="BA8274" s="497">
        <v>2.3000000000000007</v>
      </c>
      <c r="BB8274" s="42"/>
      <c r="BC8274" s="74"/>
      <c r="BD8274" s="80"/>
      <c r="BF8274">
        <v>3.019999999999996</v>
      </c>
      <c r="BH8274" s="42"/>
      <c r="BI8274" s="74"/>
      <c r="BJ8274" s="80"/>
      <c r="BL8274" s="497">
        <v>1.0399999999999991</v>
      </c>
      <c r="BN8274" s="42"/>
      <c r="BO8274" s="74"/>
      <c r="BP8274" s="80"/>
      <c r="BR8274" s="497">
        <v>3.019999999999996</v>
      </c>
      <c r="BT8274" s="42"/>
    </row>
    <row r="8275" spans="1:72" x14ac:dyDescent="0.25">
      <c r="A8275" s="90">
        <v>35775</v>
      </c>
      <c r="B8275" s="20">
        <v>4.1666666666666664E-2</v>
      </c>
      <c r="D8275">
        <v>51.980000000000004</v>
      </c>
      <c r="E8275" t="str">
        <f t="shared" ref="E8275:E8338" si="294">IF(COUNTIF($DI$18:$DI$22, WEEKDAY(A8275))=1, "WEEKDAY", IF(WEEKDAY(A8275) = 1, "SUNDAY", "SATURDAY"))</f>
        <v>WEEKDAY</v>
      </c>
      <c r="F8275" t="e">
        <f t="shared" si="293"/>
        <v>#N/A</v>
      </c>
      <c r="G8275" s="74">
        <v>28470</v>
      </c>
      <c r="H8275" s="77">
        <v>4.1666666666666664E-2</v>
      </c>
      <c r="J8275">
        <v>19.04</v>
      </c>
      <c r="M8275" s="74">
        <v>36871</v>
      </c>
      <c r="N8275" s="77">
        <v>4.1666666666666664E-2</v>
      </c>
      <c r="P8275">
        <v>35.6</v>
      </c>
      <c r="S8275" s="74">
        <v>35775</v>
      </c>
      <c r="T8275" s="77">
        <v>4.1666666666666664E-2</v>
      </c>
      <c r="V8275">
        <v>33.979999999999997</v>
      </c>
      <c r="X8275" s="42"/>
      <c r="AB8275">
        <v>38.5</v>
      </c>
      <c r="AC8275">
        <v>37.4</v>
      </c>
      <c r="AE8275" s="74"/>
      <c r="AF8275" s="77"/>
      <c r="AH8275" s="497">
        <v>41</v>
      </c>
      <c r="AJ8275" s="42"/>
      <c r="AK8275" s="74"/>
      <c r="AL8275" s="77"/>
      <c r="AN8275" s="497">
        <v>15.079999999999998</v>
      </c>
      <c r="AP8275" s="42"/>
      <c r="AQ8275" s="74"/>
      <c r="AR8275" s="77"/>
      <c r="AT8275" s="497">
        <v>19.04</v>
      </c>
      <c r="AV8275" s="42"/>
      <c r="AW8275" s="74"/>
      <c r="AX8275" s="77"/>
      <c r="BA8275" s="497">
        <v>1.9400000000000013</v>
      </c>
      <c r="BB8275" s="42"/>
      <c r="BC8275" s="74"/>
      <c r="BD8275" s="77"/>
      <c r="BF8275">
        <v>3.019999999999996</v>
      </c>
      <c r="BH8275" s="42"/>
      <c r="BI8275" s="74"/>
      <c r="BJ8275" s="77"/>
      <c r="BL8275" s="497">
        <v>-3.9999999999999147E-2</v>
      </c>
      <c r="BN8275" s="42"/>
      <c r="BO8275" s="74"/>
      <c r="BP8275" s="77"/>
      <c r="BR8275" s="497">
        <v>3.019999999999996</v>
      </c>
      <c r="BT8275" s="42"/>
    </row>
    <row r="8276" spans="1:72" x14ac:dyDescent="0.25">
      <c r="A8276" s="90">
        <v>35775</v>
      </c>
      <c r="B8276" s="20">
        <v>8.3333333333333329E-2</v>
      </c>
      <c r="D8276">
        <v>53.06</v>
      </c>
      <c r="E8276" t="str">
        <f t="shared" si="294"/>
        <v>WEEKDAY</v>
      </c>
      <c r="F8276" t="e">
        <f t="shared" si="293"/>
        <v>#N/A</v>
      </c>
      <c r="G8276" s="74">
        <v>28470</v>
      </c>
      <c r="H8276" s="77">
        <v>8.3333333333333329E-2</v>
      </c>
      <c r="J8276">
        <v>19.04</v>
      </c>
      <c r="M8276" s="74">
        <v>36871</v>
      </c>
      <c r="N8276" s="77">
        <v>8.3333333333333329E-2</v>
      </c>
      <c r="P8276">
        <v>35.6</v>
      </c>
      <c r="S8276" s="74">
        <v>35775</v>
      </c>
      <c r="T8276" s="77">
        <v>8.3333333333333329E-2</v>
      </c>
      <c r="V8276">
        <v>35.06</v>
      </c>
      <c r="X8276" s="42"/>
      <c r="AB8276">
        <v>38.1</v>
      </c>
      <c r="AC8276">
        <v>35.6</v>
      </c>
      <c r="AE8276" s="74"/>
      <c r="AF8276" s="77"/>
      <c r="AH8276" s="497">
        <v>41</v>
      </c>
      <c r="AJ8276" s="42"/>
      <c r="AK8276" s="74"/>
      <c r="AL8276" s="77"/>
      <c r="AN8276" s="497">
        <v>15.079999999999998</v>
      </c>
      <c r="AP8276" s="42"/>
      <c r="AQ8276" s="74"/>
      <c r="AR8276" s="77"/>
      <c r="AT8276" s="497">
        <v>18.68</v>
      </c>
      <c r="AV8276" s="42"/>
      <c r="AW8276" s="74"/>
      <c r="AX8276" s="77"/>
      <c r="BA8276" s="497">
        <v>0.68000000000000327</v>
      </c>
      <c r="BB8276" s="42"/>
      <c r="BC8276" s="74"/>
      <c r="BD8276" s="77"/>
      <c r="BF8276">
        <v>3.019999999999996</v>
      </c>
      <c r="BH8276" s="42"/>
      <c r="BI8276" s="74"/>
      <c r="BJ8276" s="77"/>
      <c r="BL8276" s="497">
        <v>1.9400000000000013</v>
      </c>
      <c r="BN8276" s="42"/>
      <c r="BO8276" s="74"/>
      <c r="BP8276" s="77"/>
      <c r="BR8276" s="497">
        <v>3.9200000000000017</v>
      </c>
      <c r="BT8276" s="42"/>
    </row>
    <row r="8277" spans="1:72" x14ac:dyDescent="0.25">
      <c r="A8277" s="90">
        <v>35775</v>
      </c>
      <c r="B8277" s="20">
        <v>0.125</v>
      </c>
      <c r="D8277">
        <v>53.06</v>
      </c>
      <c r="E8277" t="str">
        <f t="shared" si="294"/>
        <v>WEEKDAY</v>
      </c>
      <c r="F8277" t="e">
        <f t="shared" si="293"/>
        <v>#N/A</v>
      </c>
      <c r="G8277" s="74">
        <v>28470</v>
      </c>
      <c r="H8277" s="77">
        <v>0.125</v>
      </c>
      <c r="J8277">
        <v>17.059999999999999</v>
      </c>
      <c r="M8277" s="74">
        <v>36871</v>
      </c>
      <c r="N8277" s="77">
        <v>0.125</v>
      </c>
      <c r="P8277">
        <v>34.520000000000003</v>
      </c>
      <c r="S8277" s="74">
        <v>35775</v>
      </c>
      <c r="T8277" s="77">
        <v>0.125</v>
      </c>
      <c r="V8277">
        <v>35.06</v>
      </c>
      <c r="X8277" s="42"/>
      <c r="AB8277">
        <v>37.700000000000003</v>
      </c>
      <c r="AC8277">
        <v>35.6</v>
      </c>
      <c r="AE8277" s="74"/>
      <c r="AF8277" s="77"/>
      <c r="AH8277" s="497">
        <v>41</v>
      </c>
      <c r="AJ8277" s="42"/>
      <c r="AK8277" s="74"/>
      <c r="AL8277" s="77"/>
      <c r="AN8277" s="497">
        <v>15.079999999999998</v>
      </c>
      <c r="AP8277" s="42"/>
      <c r="AQ8277" s="74"/>
      <c r="AR8277" s="77"/>
      <c r="AT8277" s="497">
        <v>18.32</v>
      </c>
      <c r="AV8277" s="42"/>
      <c r="AW8277" s="74"/>
      <c r="AX8277" s="77"/>
      <c r="BA8277" s="497">
        <v>-0.75999999999999801</v>
      </c>
      <c r="BB8277" s="42"/>
      <c r="BC8277" s="74"/>
      <c r="BD8277" s="77"/>
      <c r="BF8277">
        <v>3.019999999999996</v>
      </c>
      <c r="BH8277" s="42"/>
      <c r="BI8277" s="74"/>
      <c r="BJ8277" s="77"/>
      <c r="BL8277" s="497">
        <v>-2.9200000000000017</v>
      </c>
      <c r="BN8277" s="42"/>
      <c r="BO8277" s="74"/>
      <c r="BP8277" s="77"/>
      <c r="BR8277" s="497">
        <v>5</v>
      </c>
      <c r="BT8277" s="42"/>
    </row>
    <row r="8278" spans="1:72" x14ac:dyDescent="0.25">
      <c r="A8278" s="90">
        <v>35775</v>
      </c>
      <c r="B8278" s="20">
        <v>0.16666666666666666</v>
      </c>
      <c r="D8278">
        <v>53.06</v>
      </c>
      <c r="E8278" t="str">
        <f t="shared" si="294"/>
        <v>WEEKDAY</v>
      </c>
      <c r="F8278" t="e">
        <f t="shared" si="293"/>
        <v>#N/A</v>
      </c>
      <c r="G8278" s="74">
        <v>28470</v>
      </c>
      <c r="H8278" s="77">
        <v>0.16666666666666666</v>
      </c>
      <c r="J8278">
        <v>17.059999999999999</v>
      </c>
      <c r="M8278" s="74">
        <v>36871</v>
      </c>
      <c r="N8278" s="77">
        <v>0.16666666666666666</v>
      </c>
      <c r="P8278">
        <v>33.799999999999997</v>
      </c>
      <c r="S8278" s="74">
        <v>35775</v>
      </c>
      <c r="T8278" s="77">
        <v>0.16666666666666666</v>
      </c>
      <c r="V8278">
        <v>35.06</v>
      </c>
      <c r="X8278" s="42"/>
      <c r="AB8278">
        <v>37.4</v>
      </c>
      <c r="AC8278">
        <v>35.6</v>
      </c>
      <c r="AE8278" s="74"/>
      <c r="AF8278" s="77"/>
      <c r="AH8278" s="497">
        <v>41</v>
      </c>
      <c r="AJ8278" s="42"/>
      <c r="AK8278" s="74"/>
      <c r="AL8278" s="77"/>
      <c r="AN8278" s="497">
        <v>15.079999999999998</v>
      </c>
      <c r="AP8278" s="42"/>
      <c r="AQ8278" s="74"/>
      <c r="AR8278" s="77"/>
      <c r="AT8278" s="497">
        <v>17.96</v>
      </c>
      <c r="AV8278" s="42"/>
      <c r="AW8278" s="74"/>
      <c r="AX8278" s="77"/>
      <c r="BA8278" s="497">
        <v>-2.019999999999996</v>
      </c>
      <c r="BB8278" s="42"/>
      <c r="BC8278" s="74"/>
      <c r="BD8278" s="77"/>
      <c r="BF8278">
        <v>1.0399999999999991</v>
      </c>
      <c r="BH8278" s="42"/>
      <c r="BI8278" s="74"/>
      <c r="BJ8278" s="77"/>
      <c r="BL8278" s="497">
        <v>-2.9200000000000017</v>
      </c>
      <c r="BN8278" s="42"/>
      <c r="BO8278" s="74"/>
      <c r="BP8278" s="77"/>
      <c r="BR8278" s="497">
        <v>5</v>
      </c>
      <c r="BT8278" s="42"/>
    </row>
    <row r="8279" spans="1:72" x14ac:dyDescent="0.25">
      <c r="A8279" s="90">
        <v>35775</v>
      </c>
      <c r="B8279" s="20">
        <v>0.20833333333333334</v>
      </c>
      <c r="D8279">
        <v>53.96</v>
      </c>
      <c r="E8279" t="str">
        <f t="shared" si="294"/>
        <v>WEEKDAY</v>
      </c>
      <c r="F8279" t="e">
        <f t="shared" si="293"/>
        <v>#N/A</v>
      </c>
      <c r="G8279" s="74">
        <v>28470</v>
      </c>
      <c r="H8279" s="77">
        <v>0.20833333333333334</v>
      </c>
      <c r="J8279">
        <v>17.059999999999999</v>
      </c>
      <c r="M8279" s="74">
        <v>36871</v>
      </c>
      <c r="N8279" s="77">
        <v>0.20833333333333334</v>
      </c>
      <c r="P8279">
        <v>33.799999999999997</v>
      </c>
      <c r="S8279" s="74">
        <v>35775</v>
      </c>
      <c r="T8279" s="77">
        <v>0.20833333333333334</v>
      </c>
      <c r="V8279">
        <v>35.06</v>
      </c>
      <c r="X8279" s="42"/>
      <c r="AB8279">
        <v>37.1</v>
      </c>
      <c r="AC8279">
        <v>35.6</v>
      </c>
      <c r="AE8279" s="74"/>
      <c r="AF8279" s="77"/>
      <c r="AH8279" s="497">
        <v>41</v>
      </c>
      <c r="AJ8279" s="42"/>
      <c r="AK8279" s="74"/>
      <c r="AL8279" s="77"/>
      <c r="AN8279" s="497">
        <v>15.079999999999998</v>
      </c>
      <c r="AP8279" s="42"/>
      <c r="AQ8279" s="74"/>
      <c r="AR8279" s="77"/>
      <c r="AT8279" s="497">
        <v>17.240000000000002</v>
      </c>
      <c r="AV8279" s="42"/>
      <c r="AW8279" s="74"/>
      <c r="AX8279" s="77"/>
      <c r="BA8279" s="497">
        <v>-3.6400000000000006</v>
      </c>
      <c r="BB8279" s="42"/>
      <c r="BC8279" s="74"/>
      <c r="BD8279" s="77"/>
      <c r="BF8279">
        <v>1.0399999999999991</v>
      </c>
      <c r="BH8279" s="42"/>
      <c r="BI8279" s="74"/>
      <c r="BJ8279" s="77"/>
      <c r="BL8279" s="497">
        <v>-4</v>
      </c>
      <c r="BN8279" s="42"/>
      <c r="BO8279" s="74"/>
      <c r="BP8279" s="77"/>
      <c r="BR8279" s="497">
        <v>6.98</v>
      </c>
      <c r="BT8279" s="42"/>
    </row>
    <row r="8280" spans="1:72" x14ac:dyDescent="0.25">
      <c r="A8280" s="90">
        <v>35775</v>
      </c>
      <c r="B8280" s="20">
        <v>0.25</v>
      </c>
      <c r="D8280">
        <v>55.040000000000006</v>
      </c>
      <c r="E8280" t="str">
        <f t="shared" si="294"/>
        <v>WEEKDAY</v>
      </c>
      <c r="F8280" t="e">
        <f t="shared" si="293"/>
        <v>#N/A</v>
      </c>
      <c r="G8280" s="74">
        <v>28470</v>
      </c>
      <c r="H8280" s="77">
        <v>0.25</v>
      </c>
      <c r="J8280">
        <v>17.059999999999999</v>
      </c>
      <c r="M8280" s="74">
        <v>36871</v>
      </c>
      <c r="N8280" s="77">
        <v>0.25</v>
      </c>
      <c r="P8280">
        <v>32</v>
      </c>
      <c r="S8280" s="74">
        <v>35775</v>
      </c>
      <c r="T8280" s="77">
        <v>0.25</v>
      </c>
      <c r="V8280">
        <v>35.06</v>
      </c>
      <c r="X8280" s="42"/>
      <c r="AB8280">
        <v>36.9</v>
      </c>
      <c r="AC8280">
        <v>35.6</v>
      </c>
      <c r="AE8280" s="74"/>
      <c r="AF8280" s="77"/>
      <c r="AH8280" s="497">
        <v>41</v>
      </c>
      <c r="AJ8280" s="42"/>
      <c r="AK8280" s="74"/>
      <c r="AL8280" s="77"/>
      <c r="AN8280" s="497">
        <v>15.079999999999998</v>
      </c>
      <c r="AP8280" s="42"/>
      <c r="AQ8280" s="74"/>
      <c r="AR8280" s="77"/>
      <c r="AT8280" s="497">
        <v>16.7</v>
      </c>
      <c r="AV8280" s="42"/>
      <c r="AW8280" s="74"/>
      <c r="AX8280" s="77"/>
      <c r="BA8280" s="497">
        <v>-5.4400000000000048</v>
      </c>
      <c r="BB8280" s="42"/>
      <c r="BC8280" s="74"/>
      <c r="BD8280" s="77"/>
      <c r="BF8280">
        <v>-2.019999999999996</v>
      </c>
      <c r="BH8280" s="42"/>
      <c r="BI8280" s="74"/>
      <c r="BJ8280" s="77"/>
      <c r="BL8280" s="497">
        <v>-5.0800000000000054</v>
      </c>
      <c r="BN8280" s="42"/>
      <c r="BO8280" s="74"/>
      <c r="BP8280" s="77"/>
      <c r="BR8280" s="497">
        <v>8.9599999999999973</v>
      </c>
      <c r="BT8280" s="42"/>
    </row>
    <row r="8281" spans="1:72" x14ac:dyDescent="0.25">
      <c r="A8281" s="90">
        <v>35775</v>
      </c>
      <c r="B8281" s="20">
        <v>0.29166666666666669</v>
      </c>
      <c r="D8281">
        <v>55.94</v>
      </c>
      <c r="E8281" t="str">
        <f t="shared" si="294"/>
        <v>WEEKDAY</v>
      </c>
      <c r="F8281" t="e">
        <f t="shared" si="293"/>
        <v>#N/A</v>
      </c>
      <c r="G8281" s="74">
        <v>28470</v>
      </c>
      <c r="H8281" s="77">
        <v>0.29166666666666669</v>
      </c>
      <c r="J8281">
        <v>15.079999999999998</v>
      </c>
      <c r="M8281" s="74">
        <v>36871</v>
      </c>
      <c r="N8281" s="77">
        <v>0.29166666666666669</v>
      </c>
      <c r="P8281">
        <v>32</v>
      </c>
      <c r="S8281" s="74">
        <v>35775</v>
      </c>
      <c r="T8281" s="77">
        <v>0.29166666666666669</v>
      </c>
      <c r="V8281">
        <v>35.06</v>
      </c>
      <c r="X8281" s="42"/>
      <c r="AB8281">
        <v>36.799999999999997</v>
      </c>
      <c r="AC8281">
        <v>35.6</v>
      </c>
      <c r="AE8281" s="74"/>
      <c r="AF8281" s="77"/>
      <c r="AH8281" s="497">
        <v>41</v>
      </c>
      <c r="AJ8281" s="42"/>
      <c r="AK8281" s="74"/>
      <c r="AL8281" s="77"/>
      <c r="AN8281" s="497">
        <v>14</v>
      </c>
      <c r="AP8281" s="42"/>
      <c r="AQ8281" s="74"/>
      <c r="AR8281" s="77"/>
      <c r="AT8281" s="497">
        <v>15.98</v>
      </c>
      <c r="AV8281" s="42"/>
      <c r="AW8281" s="74"/>
      <c r="AX8281" s="77"/>
      <c r="BA8281" s="497">
        <v>-7.0600000000000023</v>
      </c>
      <c r="BB8281" s="42"/>
      <c r="BC8281" s="74"/>
      <c r="BD8281" s="77"/>
      <c r="BF8281">
        <v>1.9400000000000013</v>
      </c>
      <c r="BH8281" s="42"/>
      <c r="BI8281" s="74"/>
      <c r="BJ8281" s="77"/>
      <c r="BL8281" s="497">
        <v>-5.0800000000000054</v>
      </c>
      <c r="BN8281" s="42"/>
      <c r="BO8281" s="74"/>
      <c r="BP8281" s="77"/>
      <c r="BR8281" s="497">
        <v>10.940000000000001</v>
      </c>
      <c r="BT8281" s="42"/>
    </row>
    <row r="8282" spans="1:72" x14ac:dyDescent="0.25">
      <c r="A8282" s="90">
        <v>35775</v>
      </c>
      <c r="B8282" s="20">
        <v>0.33333333333333331</v>
      </c>
      <c r="D8282">
        <v>57.019999999999996</v>
      </c>
      <c r="E8282" t="str">
        <f t="shared" si="294"/>
        <v>WEEKDAY</v>
      </c>
      <c r="F8282" t="e">
        <f t="shared" si="293"/>
        <v>#N/A</v>
      </c>
      <c r="G8282" s="74">
        <v>28470</v>
      </c>
      <c r="H8282" s="77">
        <v>0.33333333333333331</v>
      </c>
      <c r="J8282">
        <v>15.079999999999998</v>
      </c>
      <c r="M8282" s="74">
        <v>36871</v>
      </c>
      <c r="N8282" s="77">
        <v>0.33333333333333331</v>
      </c>
      <c r="P8282">
        <v>30.2</v>
      </c>
      <c r="S8282" s="74">
        <v>35775</v>
      </c>
      <c r="T8282" s="77">
        <v>0.33333333333333331</v>
      </c>
      <c r="V8282">
        <v>35.06</v>
      </c>
      <c r="X8282" s="42"/>
      <c r="AB8282">
        <v>36.799999999999997</v>
      </c>
      <c r="AC8282">
        <v>35.6</v>
      </c>
      <c r="AE8282" s="74"/>
      <c r="AF8282" s="77"/>
      <c r="AH8282" s="497">
        <v>42.8</v>
      </c>
      <c r="AJ8282" s="42"/>
      <c r="AK8282" s="74"/>
      <c r="AL8282" s="77"/>
      <c r="AN8282" s="497">
        <v>12.920000000000002</v>
      </c>
      <c r="AP8282" s="42"/>
      <c r="AQ8282" s="74"/>
      <c r="AR8282" s="77"/>
      <c r="AT8282" s="497">
        <v>17.600000000000001</v>
      </c>
      <c r="AV8282" s="42"/>
      <c r="AW8282" s="74"/>
      <c r="AX8282" s="77"/>
      <c r="BA8282" s="497">
        <v>-4.7199999999999989</v>
      </c>
      <c r="BB8282" s="42"/>
      <c r="BC8282" s="74"/>
      <c r="BD8282" s="77"/>
      <c r="BF8282">
        <v>5</v>
      </c>
      <c r="BH8282" s="42"/>
      <c r="BI8282" s="74"/>
      <c r="BJ8282" s="77"/>
      <c r="BL8282" s="497">
        <v>-5.980000000000004</v>
      </c>
      <c r="BN8282" s="42"/>
      <c r="BO8282" s="74"/>
      <c r="BP8282" s="77"/>
      <c r="BR8282" s="497">
        <v>12.920000000000002</v>
      </c>
      <c r="BT8282" s="42"/>
    </row>
    <row r="8283" spans="1:72" x14ac:dyDescent="0.25">
      <c r="A8283" s="90">
        <v>35775</v>
      </c>
      <c r="B8283" s="20">
        <v>0.375</v>
      </c>
      <c r="D8283">
        <v>57.92</v>
      </c>
      <c r="E8283" t="str">
        <f t="shared" si="294"/>
        <v>WEEKDAY</v>
      </c>
      <c r="F8283" t="e">
        <f t="shared" si="293"/>
        <v>#N/A</v>
      </c>
      <c r="G8283" s="74">
        <v>28470</v>
      </c>
      <c r="H8283" s="77">
        <v>0.375</v>
      </c>
      <c r="J8283">
        <v>15.079999999999998</v>
      </c>
      <c r="M8283" s="74">
        <v>36871</v>
      </c>
      <c r="N8283" s="77">
        <v>0.375</v>
      </c>
      <c r="P8283">
        <v>33.799999999999997</v>
      </c>
      <c r="S8283" s="74">
        <v>35775</v>
      </c>
      <c r="T8283" s="77">
        <v>0.375</v>
      </c>
      <c r="V8283">
        <v>33.979999999999997</v>
      </c>
      <c r="X8283" s="42"/>
      <c r="AB8283">
        <v>37.299999999999997</v>
      </c>
      <c r="AC8283">
        <v>35.6</v>
      </c>
      <c r="AE8283" s="74"/>
      <c r="AF8283" s="77"/>
      <c r="AH8283" s="497">
        <v>42.8</v>
      </c>
      <c r="AJ8283" s="42"/>
      <c r="AK8283" s="74"/>
      <c r="AL8283" s="77"/>
      <c r="AN8283" s="497">
        <v>14</v>
      </c>
      <c r="AP8283" s="42"/>
      <c r="AQ8283" s="74"/>
      <c r="AR8283" s="77"/>
      <c r="AT8283" s="497">
        <v>19.399999999999999</v>
      </c>
      <c r="AV8283" s="42"/>
      <c r="AW8283" s="74"/>
      <c r="AX8283" s="77"/>
      <c r="BA8283" s="497">
        <v>-2.3800000000000026</v>
      </c>
      <c r="BB8283" s="42"/>
      <c r="BC8283" s="74"/>
      <c r="BD8283" s="77"/>
      <c r="BF8283">
        <v>6.98</v>
      </c>
      <c r="BH8283" s="42"/>
      <c r="BI8283" s="74"/>
      <c r="BJ8283" s="77"/>
      <c r="BL8283" s="497">
        <v>-3.9999999999999147E-2</v>
      </c>
      <c r="BN8283" s="42"/>
      <c r="BO8283" s="74"/>
      <c r="BP8283" s="77"/>
      <c r="BR8283" s="497">
        <v>17.96</v>
      </c>
      <c r="BT8283" s="42"/>
    </row>
    <row r="8284" spans="1:72" x14ac:dyDescent="0.25">
      <c r="A8284" s="90">
        <v>35775</v>
      </c>
      <c r="B8284" s="20">
        <v>0.41666666666666669</v>
      </c>
      <c r="D8284">
        <v>59</v>
      </c>
      <c r="E8284" t="str">
        <f t="shared" si="294"/>
        <v>WEEKDAY</v>
      </c>
      <c r="F8284" t="e">
        <f t="shared" si="293"/>
        <v>#N/A</v>
      </c>
      <c r="G8284" s="74">
        <v>28470</v>
      </c>
      <c r="H8284" s="77">
        <v>0.41666666666666669</v>
      </c>
      <c r="J8284">
        <v>19.04</v>
      </c>
      <c r="M8284" s="74">
        <v>36871</v>
      </c>
      <c r="N8284" s="77">
        <v>0.41666666666666669</v>
      </c>
      <c r="P8284">
        <v>37.4</v>
      </c>
      <c r="S8284" s="74">
        <v>35775</v>
      </c>
      <c r="T8284" s="77">
        <v>0.41666666666666669</v>
      </c>
      <c r="V8284">
        <v>35.06</v>
      </c>
      <c r="X8284" s="42"/>
      <c r="AB8284">
        <v>38.700000000000003</v>
      </c>
      <c r="AC8284">
        <v>33.799999999999997</v>
      </c>
      <c r="AE8284" s="74"/>
      <c r="AF8284" s="77"/>
      <c r="AH8284" s="497">
        <v>44.6</v>
      </c>
      <c r="AJ8284" s="42"/>
      <c r="AK8284" s="74"/>
      <c r="AL8284" s="77"/>
      <c r="AN8284" s="497">
        <v>15.079999999999998</v>
      </c>
      <c r="AP8284" s="42"/>
      <c r="AQ8284" s="74"/>
      <c r="AR8284" s="77"/>
      <c r="AT8284" s="497">
        <v>21.02</v>
      </c>
      <c r="AV8284" s="42"/>
      <c r="AW8284" s="74"/>
      <c r="AX8284" s="77"/>
      <c r="BA8284" s="497">
        <v>-3.9999999999999147E-2</v>
      </c>
      <c r="BB8284" s="42"/>
      <c r="BC8284" s="74"/>
      <c r="BD8284" s="77"/>
      <c r="BF8284">
        <v>8.0599999999999987</v>
      </c>
      <c r="BH8284" s="42"/>
      <c r="BI8284" s="74"/>
      <c r="BJ8284" s="77"/>
      <c r="BL8284" s="497">
        <v>5</v>
      </c>
      <c r="BN8284" s="42"/>
      <c r="BO8284" s="74"/>
      <c r="BP8284" s="77"/>
      <c r="BR8284" s="497">
        <v>21.92</v>
      </c>
      <c r="BT8284" s="42"/>
    </row>
    <row r="8285" spans="1:72" x14ac:dyDescent="0.25">
      <c r="A8285" s="90">
        <v>35775</v>
      </c>
      <c r="B8285" s="20">
        <v>0.45833333333333331</v>
      </c>
      <c r="D8285">
        <v>57.92</v>
      </c>
      <c r="E8285" t="str">
        <f t="shared" si="294"/>
        <v>WEEKDAY</v>
      </c>
      <c r="F8285" t="e">
        <f t="shared" si="293"/>
        <v>#N/A</v>
      </c>
      <c r="G8285" s="74">
        <v>28470</v>
      </c>
      <c r="H8285" s="77">
        <v>0.45833333333333331</v>
      </c>
      <c r="J8285">
        <v>21.02</v>
      </c>
      <c r="M8285" s="74">
        <v>36871</v>
      </c>
      <c r="N8285" s="77">
        <v>0.45833333333333331</v>
      </c>
      <c r="P8285">
        <v>39.200000000000003</v>
      </c>
      <c r="S8285" s="74">
        <v>35775</v>
      </c>
      <c r="T8285" s="77">
        <v>0.45833333333333331</v>
      </c>
      <c r="V8285">
        <v>35.06</v>
      </c>
      <c r="X8285" s="42"/>
      <c r="AB8285">
        <v>40.1</v>
      </c>
      <c r="AC8285">
        <v>33.799999999999997</v>
      </c>
      <c r="AE8285" s="74"/>
      <c r="AF8285" s="77"/>
      <c r="AH8285" s="497">
        <v>46.4</v>
      </c>
      <c r="AJ8285" s="42"/>
      <c r="AK8285" s="74"/>
      <c r="AL8285" s="77"/>
      <c r="AN8285" s="497">
        <v>17.059999999999999</v>
      </c>
      <c r="AP8285" s="42"/>
      <c r="AQ8285" s="74"/>
      <c r="AR8285" s="77"/>
      <c r="AT8285" s="497">
        <v>23.36</v>
      </c>
      <c r="AV8285" s="42"/>
      <c r="AW8285" s="74"/>
      <c r="AX8285" s="77"/>
      <c r="BA8285" s="497">
        <v>3.9200000000000017</v>
      </c>
      <c r="BB8285" s="42"/>
      <c r="BC8285" s="74"/>
      <c r="BD8285" s="77"/>
      <c r="BF8285">
        <v>10.039999999999999</v>
      </c>
      <c r="BH8285" s="42"/>
      <c r="BI8285" s="74"/>
      <c r="BJ8285" s="77"/>
      <c r="BL8285" s="497">
        <v>8.0599999999999987</v>
      </c>
      <c r="BN8285" s="42"/>
      <c r="BO8285" s="74"/>
      <c r="BP8285" s="77"/>
      <c r="BR8285" s="497">
        <v>24.08</v>
      </c>
      <c r="BT8285" s="42"/>
    </row>
    <row r="8286" spans="1:72" x14ac:dyDescent="0.25">
      <c r="A8286" s="90">
        <v>35775</v>
      </c>
      <c r="B8286" s="20">
        <v>0.5</v>
      </c>
      <c r="D8286">
        <v>57.019999999999996</v>
      </c>
      <c r="E8286" t="str">
        <f t="shared" si="294"/>
        <v>WEEKDAY</v>
      </c>
      <c r="F8286" t="e">
        <f t="shared" si="293"/>
        <v>#N/A</v>
      </c>
      <c r="G8286" s="74">
        <v>28470</v>
      </c>
      <c r="H8286" s="77">
        <v>0.5</v>
      </c>
      <c r="J8286">
        <v>21.92</v>
      </c>
      <c r="M8286" s="74">
        <v>36871</v>
      </c>
      <c r="N8286" s="77">
        <v>0.5</v>
      </c>
      <c r="P8286">
        <v>39.200000000000003</v>
      </c>
      <c r="S8286" s="74">
        <v>35775</v>
      </c>
      <c r="T8286" s="77">
        <v>0.5</v>
      </c>
      <c r="V8286">
        <v>35.06</v>
      </c>
      <c r="X8286" s="42"/>
      <c r="AB8286">
        <v>41.3</v>
      </c>
      <c r="AC8286">
        <v>33.799999999999997</v>
      </c>
      <c r="AE8286" s="74"/>
      <c r="AF8286" s="77"/>
      <c r="AH8286" s="497">
        <v>46.4</v>
      </c>
      <c r="AJ8286" s="42"/>
      <c r="AK8286" s="74"/>
      <c r="AL8286" s="77"/>
      <c r="AN8286" s="497">
        <v>17.96</v>
      </c>
      <c r="AP8286" s="42"/>
      <c r="AQ8286" s="74"/>
      <c r="AR8286" s="77"/>
      <c r="AT8286" s="497">
        <v>25.7</v>
      </c>
      <c r="AV8286" s="42"/>
      <c r="AW8286" s="74"/>
      <c r="AX8286" s="77"/>
      <c r="BA8286" s="497">
        <v>8.0599999999999987</v>
      </c>
      <c r="BB8286" s="42"/>
      <c r="BC8286" s="74"/>
      <c r="BD8286" s="77"/>
      <c r="BF8286">
        <v>12.920000000000002</v>
      </c>
      <c r="BH8286" s="42"/>
      <c r="BI8286" s="74"/>
      <c r="BJ8286" s="77"/>
      <c r="BL8286" s="497">
        <v>12.920000000000002</v>
      </c>
      <c r="BN8286" s="42"/>
      <c r="BO8286" s="74"/>
      <c r="BP8286" s="77"/>
      <c r="BR8286" s="497">
        <v>24.08</v>
      </c>
      <c r="BT8286" s="42"/>
    </row>
    <row r="8287" spans="1:72" x14ac:dyDescent="0.25">
      <c r="A8287" s="90">
        <v>35775</v>
      </c>
      <c r="B8287" s="20">
        <v>0.54166666666666663</v>
      </c>
      <c r="D8287">
        <v>53.06</v>
      </c>
      <c r="E8287" t="str">
        <f t="shared" si="294"/>
        <v>WEEKDAY</v>
      </c>
      <c r="F8287" t="e">
        <f t="shared" si="293"/>
        <v>#N/A</v>
      </c>
      <c r="G8287" s="74">
        <v>28470</v>
      </c>
      <c r="H8287" s="77">
        <v>0.54166666666666663</v>
      </c>
      <c r="J8287">
        <v>24.08</v>
      </c>
      <c r="M8287" s="74">
        <v>36871</v>
      </c>
      <c r="N8287" s="77">
        <v>0.54166666666666663</v>
      </c>
      <c r="P8287">
        <v>39.200000000000003</v>
      </c>
      <c r="S8287" s="74">
        <v>35775</v>
      </c>
      <c r="T8287" s="77">
        <v>0.54166666666666663</v>
      </c>
      <c r="V8287">
        <v>35.06</v>
      </c>
      <c r="X8287" s="42"/>
      <c r="AB8287">
        <v>42.2</v>
      </c>
      <c r="AC8287">
        <v>33.799999999999997</v>
      </c>
      <c r="AE8287" s="74"/>
      <c r="AF8287" s="77"/>
      <c r="AH8287" s="497">
        <v>48.2</v>
      </c>
      <c r="AJ8287" s="42"/>
      <c r="AK8287" s="74"/>
      <c r="AL8287" s="77"/>
      <c r="AN8287" s="497">
        <v>21.02</v>
      </c>
      <c r="AP8287" s="42"/>
      <c r="AQ8287" s="74"/>
      <c r="AR8287" s="77"/>
      <c r="AT8287" s="497">
        <v>28.04</v>
      </c>
      <c r="AV8287" s="42"/>
      <c r="AW8287" s="74"/>
      <c r="AX8287" s="77"/>
      <c r="BA8287" s="497">
        <v>12.02</v>
      </c>
      <c r="BB8287" s="42"/>
      <c r="BC8287" s="74"/>
      <c r="BD8287" s="77"/>
      <c r="BF8287">
        <v>15.079999999999998</v>
      </c>
      <c r="BH8287" s="42"/>
      <c r="BI8287" s="74"/>
      <c r="BJ8287" s="77"/>
      <c r="BL8287" s="497">
        <v>15.079999999999998</v>
      </c>
      <c r="BN8287" s="42"/>
      <c r="BO8287" s="74"/>
      <c r="BP8287" s="77"/>
      <c r="BR8287" s="497">
        <v>24.98</v>
      </c>
      <c r="BT8287" s="42"/>
    </row>
    <row r="8288" spans="1:72" x14ac:dyDescent="0.25">
      <c r="A8288" s="90">
        <v>35775</v>
      </c>
      <c r="B8288" s="20">
        <v>0.58333333333333337</v>
      </c>
      <c r="D8288">
        <v>53.06</v>
      </c>
      <c r="E8288" t="str">
        <f t="shared" si="294"/>
        <v>WEEKDAY</v>
      </c>
      <c r="F8288" t="e">
        <f t="shared" si="293"/>
        <v>#N/A</v>
      </c>
      <c r="G8288" s="74">
        <v>28470</v>
      </c>
      <c r="H8288" s="77">
        <v>0.58333333333333337</v>
      </c>
      <c r="J8288">
        <v>24.08</v>
      </c>
      <c r="M8288" s="74">
        <v>36871</v>
      </c>
      <c r="N8288" s="77">
        <v>0.58333333333333337</v>
      </c>
      <c r="P8288">
        <v>39.200000000000003</v>
      </c>
      <c r="S8288" s="74">
        <v>35775</v>
      </c>
      <c r="T8288" s="77">
        <v>0.58333333333333337</v>
      </c>
      <c r="V8288">
        <v>33.979999999999997</v>
      </c>
      <c r="X8288" s="42"/>
      <c r="AB8288">
        <v>42.8</v>
      </c>
      <c r="AC8288">
        <v>33.799999999999997</v>
      </c>
      <c r="AE8288" s="74"/>
      <c r="AF8288" s="77"/>
      <c r="AH8288" s="497">
        <v>48.2</v>
      </c>
      <c r="AJ8288" s="42"/>
      <c r="AK8288" s="74"/>
      <c r="AL8288" s="77"/>
      <c r="AN8288" s="497">
        <v>21.02</v>
      </c>
      <c r="AP8288" s="42"/>
      <c r="AQ8288" s="74"/>
      <c r="AR8288" s="77"/>
      <c r="AT8288" s="497">
        <v>27.68</v>
      </c>
      <c r="AV8288" s="42"/>
      <c r="AW8288" s="74"/>
      <c r="AX8288" s="77"/>
      <c r="BA8288" s="497">
        <v>11.3</v>
      </c>
      <c r="BB8288" s="42"/>
      <c r="BC8288" s="74"/>
      <c r="BD8288" s="77"/>
      <c r="BF8288">
        <v>17.96</v>
      </c>
      <c r="BH8288" s="42"/>
      <c r="BI8288" s="74"/>
      <c r="BJ8288" s="77"/>
      <c r="BL8288" s="497">
        <v>15.079999999999998</v>
      </c>
      <c r="BN8288" s="42"/>
      <c r="BO8288" s="74"/>
      <c r="BP8288" s="77"/>
      <c r="BR8288" s="497">
        <v>26.96</v>
      </c>
      <c r="BT8288" s="42"/>
    </row>
    <row r="8289" spans="1:72" x14ac:dyDescent="0.25">
      <c r="A8289" s="90">
        <v>35775</v>
      </c>
      <c r="B8289" s="20">
        <v>0.625</v>
      </c>
      <c r="D8289">
        <v>55.94</v>
      </c>
      <c r="E8289" t="str">
        <f t="shared" si="294"/>
        <v>WEEKDAY</v>
      </c>
      <c r="F8289" t="e">
        <f t="shared" si="293"/>
        <v>#N/A</v>
      </c>
      <c r="G8289" s="74">
        <v>28470</v>
      </c>
      <c r="H8289" s="77">
        <v>0.625</v>
      </c>
      <c r="J8289">
        <v>24.08</v>
      </c>
      <c r="M8289" s="74">
        <v>36871</v>
      </c>
      <c r="N8289" s="77">
        <v>0.625</v>
      </c>
      <c r="P8289">
        <v>39.200000000000003</v>
      </c>
      <c r="S8289" s="74">
        <v>35775</v>
      </c>
      <c r="T8289" s="77">
        <v>0.625</v>
      </c>
      <c r="V8289">
        <v>33.979999999999997</v>
      </c>
      <c r="X8289" s="42"/>
      <c r="AB8289">
        <v>43.1</v>
      </c>
      <c r="AC8289">
        <v>33.799999999999997</v>
      </c>
      <c r="AE8289" s="74"/>
      <c r="AF8289" s="77"/>
      <c r="AH8289" s="497">
        <v>50</v>
      </c>
      <c r="AJ8289" s="42"/>
      <c r="AK8289" s="74"/>
      <c r="AL8289" s="77"/>
      <c r="AN8289" s="497">
        <v>21.02</v>
      </c>
      <c r="AP8289" s="42"/>
      <c r="AQ8289" s="74"/>
      <c r="AR8289" s="77"/>
      <c r="AT8289" s="497">
        <v>27.32</v>
      </c>
      <c r="AV8289" s="42"/>
      <c r="AW8289" s="74"/>
      <c r="AX8289" s="77"/>
      <c r="BA8289" s="497">
        <v>10.759999999999998</v>
      </c>
      <c r="BB8289" s="42"/>
      <c r="BC8289" s="74"/>
      <c r="BD8289" s="77"/>
      <c r="BF8289">
        <v>17.059999999999999</v>
      </c>
      <c r="BH8289" s="42"/>
      <c r="BI8289" s="74"/>
      <c r="BJ8289" s="77"/>
      <c r="BL8289" s="497">
        <v>14</v>
      </c>
      <c r="BN8289" s="42"/>
      <c r="BO8289" s="74"/>
      <c r="BP8289" s="77"/>
      <c r="BR8289" s="497">
        <v>26.060000000000002</v>
      </c>
      <c r="BT8289" s="42"/>
    </row>
    <row r="8290" spans="1:72" x14ac:dyDescent="0.25">
      <c r="A8290" s="90">
        <v>35775</v>
      </c>
      <c r="B8290" s="20">
        <v>0.66666666666666663</v>
      </c>
      <c r="D8290">
        <v>53.96</v>
      </c>
      <c r="E8290" t="str">
        <f t="shared" si="294"/>
        <v>WEEKDAY</v>
      </c>
      <c r="F8290" t="e">
        <f t="shared" si="293"/>
        <v>#N/A</v>
      </c>
      <c r="G8290" s="74">
        <v>28470</v>
      </c>
      <c r="H8290" s="77">
        <v>0.66666666666666663</v>
      </c>
      <c r="J8290">
        <v>21.92</v>
      </c>
      <c r="M8290" s="74">
        <v>36871</v>
      </c>
      <c r="N8290" s="77">
        <v>0.66666666666666663</v>
      </c>
      <c r="P8290">
        <v>37.4</v>
      </c>
      <c r="S8290" s="74">
        <v>35775</v>
      </c>
      <c r="T8290" s="77">
        <v>0.66666666666666663</v>
      </c>
      <c r="V8290">
        <v>33.979999999999997</v>
      </c>
      <c r="X8290" s="42"/>
      <c r="AB8290">
        <v>42.8</v>
      </c>
      <c r="AC8290">
        <v>33.799999999999997</v>
      </c>
      <c r="AE8290" s="74"/>
      <c r="AF8290" s="77"/>
      <c r="AH8290" s="497">
        <v>48.2</v>
      </c>
      <c r="AJ8290" s="42"/>
      <c r="AK8290" s="74"/>
      <c r="AL8290" s="77"/>
      <c r="AN8290" s="497">
        <v>19.939999999999998</v>
      </c>
      <c r="AP8290" s="42"/>
      <c r="AQ8290" s="74"/>
      <c r="AR8290" s="77"/>
      <c r="AT8290" s="497">
        <v>26.96</v>
      </c>
      <c r="AV8290" s="42"/>
      <c r="AW8290" s="74"/>
      <c r="AX8290" s="77"/>
      <c r="BA8290" s="497">
        <v>10.039999999999999</v>
      </c>
      <c r="BB8290" s="42"/>
      <c r="BC8290" s="74"/>
      <c r="BD8290" s="77"/>
      <c r="BF8290">
        <v>15.98</v>
      </c>
      <c r="BH8290" s="42"/>
      <c r="BI8290" s="74"/>
      <c r="BJ8290" s="77"/>
      <c r="BL8290" s="497">
        <v>12.02</v>
      </c>
      <c r="BN8290" s="42"/>
      <c r="BO8290" s="74"/>
      <c r="BP8290" s="77"/>
      <c r="BR8290" s="497">
        <v>24.08</v>
      </c>
      <c r="BT8290" s="42"/>
    </row>
    <row r="8291" spans="1:72" x14ac:dyDescent="0.25">
      <c r="A8291" s="90">
        <v>35775</v>
      </c>
      <c r="B8291" s="20">
        <v>0.70833333333333337</v>
      </c>
      <c r="D8291">
        <v>53.06</v>
      </c>
      <c r="E8291" t="str">
        <f t="shared" si="294"/>
        <v>WEEKDAY</v>
      </c>
      <c r="F8291" t="e">
        <f t="shared" si="293"/>
        <v>#N/A</v>
      </c>
      <c r="G8291" s="74">
        <v>28470</v>
      </c>
      <c r="H8291" s="77">
        <v>0.70833333333333337</v>
      </c>
      <c r="J8291">
        <v>21.92</v>
      </c>
      <c r="M8291" s="74">
        <v>36871</v>
      </c>
      <c r="N8291" s="77">
        <v>0.70833333333333337</v>
      </c>
      <c r="P8291">
        <v>35.6</v>
      </c>
      <c r="S8291" s="74">
        <v>35775</v>
      </c>
      <c r="T8291" s="77">
        <v>0.70833333333333337</v>
      </c>
      <c r="V8291">
        <v>33.979999999999997</v>
      </c>
      <c r="X8291" s="42"/>
      <c r="AB8291">
        <v>42</v>
      </c>
      <c r="AC8291">
        <v>33.799999999999997</v>
      </c>
      <c r="AE8291" s="74"/>
      <c r="AF8291" s="77"/>
      <c r="AH8291" s="497">
        <v>48.2</v>
      </c>
      <c r="AJ8291" s="42"/>
      <c r="AK8291" s="74"/>
      <c r="AL8291" s="77"/>
      <c r="AN8291" s="497">
        <v>19.939999999999998</v>
      </c>
      <c r="AP8291" s="42"/>
      <c r="AQ8291" s="74"/>
      <c r="AR8291" s="77"/>
      <c r="AT8291" s="497">
        <v>23.36</v>
      </c>
      <c r="AV8291" s="42"/>
      <c r="AW8291" s="74"/>
      <c r="AX8291" s="77"/>
      <c r="BA8291" s="497">
        <v>9.32</v>
      </c>
      <c r="BB8291" s="42"/>
      <c r="BC8291" s="74"/>
      <c r="BD8291" s="77"/>
      <c r="BF8291">
        <v>12.02</v>
      </c>
      <c r="BH8291" s="42"/>
      <c r="BI8291" s="74"/>
      <c r="BJ8291" s="77"/>
      <c r="BL8291" s="497">
        <v>12.920000000000002</v>
      </c>
      <c r="BN8291" s="42"/>
      <c r="BO8291" s="74"/>
      <c r="BP8291" s="77"/>
      <c r="BR8291" s="497">
        <v>23</v>
      </c>
      <c r="BT8291" s="42"/>
    </row>
    <row r="8292" spans="1:72" x14ac:dyDescent="0.25">
      <c r="A8292" s="90">
        <v>35775</v>
      </c>
      <c r="B8292" s="20">
        <v>0.75</v>
      </c>
      <c r="D8292">
        <v>51.980000000000004</v>
      </c>
      <c r="E8292" t="str">
        <f t="shared" si="294"/>
        <v>WEEKDAY</v>
      </c>
      <c r="F8292" t="e">
        <f t="shared" si="293"/>
        <v>#N/A</v>
      </c>
      <c r="G8292" s="74">
        <v>28470</v>
      </c>
      <c r="H8292" s="77">
        <v>0.75</v>
      </c>
      <c r="J8292">
        <v>21.02</v>
      </c>
      <c r="M8292" s="74">
        <v>36871</v>
      </c>
      <c r="N8292" s="77">
        <v>0.75</v>
      </c>
      <c r="P8292">
        <v>33.799999999999997</v>
      </c>
      <c r="S8292" s="74">
        <v>35775</v>
      </c>
      <c r="T8292" s="77">
        <v>0.75</v>
      </c>
      <c r="V8292">
        <v>33.08</v>
      </c>
      <c r="X8292" s="42"/>
      <c r="AB8292">
        <v>40.9</v>
      </c>
      <c r="AC8292">
        <v>33.799999999999997</v>
      </c>
      <c r="AE8292" s="74"/>
      <c r="AF8292" s="77"/>
      <c r="AH8292" s="497">
        <v>48.2</v>
      </c>
      <c r="AJ8292" s="42"/>
      <c r="AK8292" s="74"/>
      <c r="AL8292" s="77"/>
      <c r="AN8292" s="497">
        <v>19.04</v>
      </c>
      <c r="AP8292" s="42"/>
      <c r="AQ8292" s="74"/>
      <c r="AR8292" s="77"/>
      <c r="AT8292" s="497">
        <v>19.579999999999998</v>
      </c>
      <c r="AV8292" s="42"/>
      <c r="AW8292" s="74"/>
      <c r="AX8292" s="77"/>
      <c r="BA8292" s="497">
        <v>8.7799999999999976</v>
      </c>
      <c r="BB8292" s="42"/>
      <c r="BC8292" s="74"/>
      <c r="BD8292" s="77"/>
      <c r="BF8292">
        <v>10.039999999999999</v>
      </c>
      <c r="BH8292" s="42"/>
      <c r="BI8292" s="74"/>
      <c r="BJ8292" s="77"/>
      <c r="BL8292" s="497">
        <v>8.0599999999999987</v>
      </c>
      <c r="BN8292" s="42"/>
      <c r="BO8292" s="74"/>
      <c r="BP8292" s="77"/>
      <c r="BR8292" s="497">
        <v>19.04</v>
      </c>
      <c r="BT8292" s="42"/>
    </row>
    <row r="8293" spans="1:72" x14ac:dyDescent="0.25">
      <c r="A8293" s="90">
        <v>35775</v>
      </c>
      <c r="B8293" s="20">
        <v>0.79166666666666663</v>
      </c>
      <c r="D8293">
        <v>48.92</v>
      </c>
      <c r="E8293" t="str">
        <f t="shared" si="294"/>
        <v>WEEKDAY</v>
      </c>
      <c r="F8293" t="e">
        <f t="shared" si="293"/>
        <v>#N/A</v>
      </c>
      <c r="G8293" s="74">
        <v>28470</v>
      </c>
      <c r="H8293" s="77">
        <v>0.79166666666666663</v>
      </c>
      <c r="J8293">
        <v>19.939999999999998</v>
      </c>
      <c r="M8293" s="74">
        <v>36871</v>
      </c>
      <c r="N8293" s="77">
        <v>0.79166666666666663</v>
      </c>
      <c r="P8293">
        <v>33.799999999999997</v>
      </c>
      <c r="S8293" s="74">
        <v>35775</v>
      </c>
      <c r="T8293" s="77">
        <v>0.79166666666666663</v>
      </c>
      <c r="V8293">
        <v>33.08</v>
      </c>
      <c r="X8293" s="42"/>
      <c r="AB8293">
        <v>40.5</v>
      </c>
      <c r="AC8293">
        <v>35.6</v>
      </c>
      <c r="AE8293" s="74"/>
      <c r="AF8293" s="77"/>
      <c r="AH8293" s="497">
        <v>46.4</v>
      </c>
      <c r="AJ8293" s="42"/>
      <c r="AK8293" s="74"/>
      <c r="AL8293" s="77"/>
      <c r="AN8293" s="497">
        <v>17.96</v>
      </c>
      <c r="AP8293" s="42"/>
      <c r="AQ8293" s="74"/>
      <c r="AR8293" s="77"/>
      <c r="AT8293" s="497">
        <v>15.98</v>
      </c>
      <c r="AV8293" s="42"/>
      <c r="AW8293" s="74"/>
      <c r="AX8293" s="77"/>
      <c r="BA8293" s="497">
        <v>8.0599999999999987</v>
      </c>
      <c r="BB8293" s="42"/>
      <c r="BC8293" s="74"/>
      <c r="BD8293" s="77"/>
      <c r="BF8293">
        <v>10.039999999999999</v>
      </c>
      <c r="BH8293" s="42"/>
      <c r="BI8293" s="74"/>
      <c r="BJ8293" s="77"/>
      <c r="BL8293" s="497">
        <v>6.98</v>
      </c>
      <c r="BN8293" s="42"/>
      <c r="BO8293" s="74"/>
      <c r="BP8293" s="77"/>
      <c r="BR8293" s="497">
        <v>17.96</v>
      </c>
      <c r="BT8293" s="42"/>
    </row>
    <row r="8294" spans="1:72" x14ac:dyDescent="0.25">
      <c r="A8294" s="90">
        <v>35775</v>
      </c>
      <c r="B8294" s="20">
        <v>0.83333333333333337</v>
      </c>
      <c r="D8294">
        <v>46.94</v>
      </c>
      <c r="E8294" t="str">
        <f t="shared" si="294"/>
        <v>WEEKDAY</v>
      </c>
      <c r="F8294" t="e">
        <f t="shared" si="293"/>
        <v>#N/A</v>
      </c>
      <c r="G8294" s="74">
        <v>28470</v>
      </c>
      <c r="H8294" s="77">
        <v>0.83333333333333337</v>
      </c>
      <c r="J8294">
        <v>19.939999999999998</v>
      </c>
      <c r="M8294" s="74">
        <v>36871</v>
      </c>
      <c r="N8294" s="77">
        <v>0.83333333333333337</v>
      </c>
      <c r="P8294">
        <v>33.799999999999997</v>
      </c>
      <c r="S8294" s="74">
        <v>35775</v>
      </c>
      <c r="T8294" s="77">
        <v>0.83333333333333337</v>
      </c>
      <c r="V8294">
        <v>33.08</v>
      </c>
      <c r="X8294" s="42"/>
      <c r="AB8294">
        <v>40.299999999999997</v>
      </c>
      <c r="AC8294">
        <v>35.6</v>
      </c>
      <c r="AE8294" s="74"/>
      <c r="AF8294" s="77"/>
      <c r="AH8294" s="497">
        <v>46.4</v>
      </c>
      <c r="AJ8294" s="42"/>
      <c r="AK8294" s="74"/>
      <c r="AL8294" s="77"/>
      <c r="AN8294" s="497">
        <v>17.059999999999999</v>
      </c>
      <c r="AP8294" s="42"/>
      <c r="AQ8294" s="74"/>
      <c r="AR8294" s="77"/>
      <c r="AT8294" s="497">
        <v>14</v>
      </c>
      <c r="AV8294" s="42"/>
      <c r="AW8294" s="74"/>
      <c r="AX8294" s="77"/>
      <c r="BA8294" s="497">
        <v>8.4200000000000017</v>
      </c>
      <c r="BB8294" s="42"/>
      <c r="BC8294" s="74"/>
      <c r="BD8294" s="77"/>
      <c r="BF8294">
        <v>3.9200000000000017</v>
      </c>
      <c r="BH8294" s="42"/>
      <c r="BI8294" s="74"/>
      <c r="BJ8294" s="77"/>
      <c r="BL8294" s="497">
        <v>3.9200000000000017</v>
      </c>
      <c r="BN8294" s="42"/>
      <c r="BO8294" s="74"/>
      <c r="BP8294" s="77"/>
      <c r="BR8294" s="497">
        <v>14</v>
      </c>
      <c r="BT8294" s="42"/>
    </row>
    <row r="8295" spans="1:72" x14ac:dyDescent="0.25">
      <c r="A8295" s="90">
        <v>35775</v>
      </c>
      <c r="B8295" s="20">
        <v>0.875</v>
      </c>
      <c r="D8295">
        <v>44.06</v>
      </c>
      <c r="E8295" t="str">
        <f t="shared" si="294"/>
        <v>WEEKDAY</v>
      </c>
      <c r="F8295" t="e">
        <f t="shared" si="293"/>
        <v>#N/A</v>
      </c>
      <c r="G8295" s="74">
        <v>28470</v>
      </c>
      <c r="H8295" s="77">
        <v>0.875</v>
      </c>
      <c r="J8295">
        <v>19.04</v>
      </c>
      <c r="M8295" s="74">
        <v>36871</v>
      </c>
      <c r="N8295" s="77">
        <v>0.875</v>
      </c>
      <c r="P8295">
        <v>35.6</v>
      </c>
      <c r="S8295" s="74">
        <v>35775</v>
      </c>
      <c r="T8295" s="77">
        <v>0.875</v>
      </c>
      <c r="V8295">
        <v>33.979999999999997</v>
      </c>
      <c r="X8295" s="42"/>
      <c r="AB8295">
        <v>39.799999999999997</v>
      </c>
      <c r="AC8295">
        <v>35.6</v>
      </c>
      <c r="AE8295" s="74"/>
      <c r="AF8295" s="77"/>
      <c r="AH8295" s="497">
        <v>46.4</v>
      </c>
      <c r="AJ8295" s="42"/>
      <c r="AK8295" s="74"/>
      <c r="AL8295" s="77"/>
      <c r="AN8295" s="497">
        <v>17.059999999999999</v>
      </c>
      <c r="AP8295" s="42"/>
      <c r="AQ8295" s="74"/>
      <c r="AR8295" s="77"/>
      <c r="AT8295" s="497">
        <v>12.02</v>
      </c>
      <c r="AV8295" s="42"/>
      <c r="AW8295" s="74"/>
      <c r="AX8295" s="77"/>
      <c r="BA8295" s="497">
        <v>8.5999999999999979</v>
      </c>
      <c r="BB8295" s="42"/>
      <c r="BC8295" s="74"/>
      <c r="BD8295" s="77"/>
      <c r="BF8295">
        <v>6.98</v>
      </c>
      <c r="BH8295" s="42"/>
      <c r="BI8295" s="74"/>
      <c r="BJ8295" s="77"/>
      <c r="BL8295" s="497">
        <v>1.0399999999999991</v>
      </c>
      <c r="BN8295" s="42"/>
      <c r="BO8295" s="74"/>
      <c r="BP8295" s="77"/>
      <c r="BR8295" s="497">
        <v>12.920000000000002</v>
      </c>
      <c r="BT8295" s="42"/>
    </row>
    <row r="8296" spans="1:72" x14ac:dyDescent="0.25">
      <c r="A8296" s="90">
        <v>35775</v>
      </c>
      <c r="B8296" s="20">
        <v>0.91666666666666663</v>
      </c>
      <c r="D8296">
        <v>42.980000000000004</v>
      </c>
      <c r="E8296" t="str">
        <f t="shared" si="294"/>
        <v>WEEKDAY</v>
      </c>
      <c r="F8296" t="e">
        <f t="shared" si="293"/>
        <v>#N/A</v>
      </c>
      <c r="G8296" s="74">
        <v>28470</v>
      </c>
      <c r="H8296" s="77">
        <v>0.91666666666666663</v>
      </c>
      <c r="J8296">
        <v>19.04</v>
      </c>
      <c r="M8296" s="74">
        <v>36871</v>
      </c>
      <c r="N8296" s="77">
        <v>0.91666666666666663</v>
      </c>
      <c r="P8296">
        <v>37.4</v>
      </c>
      <c r="S8296" s="74">
        <v>35775</v>
      </c>
      <c r="T8296" s="77">
        <v>0.91666666666666663</v>
      </c>
      <c r="V8296">
        <v>33.979999999999997</v>
      </c>
      <c r="X8296" s="42"/>
      <c r="AB8296">
        <v>39.299999999999997</v>
      </c>
      <c r="AC8296">
        <v>35.6</v>
      </c>
      <c r="AE8296" s="74"/>
      <c r="AF8296" s="77"/>
      <c r="AH8296" s="497">
        <v>44.6</v>
      </c>
      <c r="AJ8296" s="42"/>
      <c r="AK8296" s="74"/>
      <c r="AL8296" s="77"/>
      <c r="AN8296" s="497">
        <v>19.04</v>
      </c>
      <c r="AP8296" s="42"/>
      <c r="AQ8296" s="74"/>
      <c r="AR8296" s="77"/>
      <c r="AT8296" s="497">
        <v>10.039999999999999</v>
      </c>
      <c r="AV8296" s="42"/>
      <c r="AW8296" s="74"/>
      <c r="AX8296" s="77"/>
      <c r="BA8296" s="497">
        <v>8.9599999999999973</v>
      </c>
      <c r="BB8296" s="42"/>
      <c r="BC8296" s="74"/>
      <c r="BD8296" s="77"/>
      <c r="BF8296">
        <v>8.0599999999999987</v>
      </c>
      <c r="BH8296" s="42"/>
      <c r="BI8296" s="74"/>
      <c r="BJ8296" s="77"/>
      <c r="BL8296" s="497">
        <v>-2.019999999999996</v>
      </c>
      <c r="BN8296" s="42"/>
      <c r="BO8296" s="74"/>
      <c r="BP8296" s="77"/>
      <c r="BR8296" s="497">
        <v>10.039999999999999</v>
      </c>
      <c r="BT8296" s="42"/>
    </row>
    <row r="8297" spans="1:72" x14ac:dyDescent="0.25">
      <c r="A8297" s="90">
        <v>35775</v>
      </c>
      <c r="B8297" s="20">
        <v>0.95833333333333337</v>
      </c>
      <c r="D8297">
        <v>42.08</v>
      </c>
      <c r="E8297" t="str">
        <f t="shared" si="294"/>
        <v>WEEKDAY</v>
      </c>
      <c r="F8297" t="e">
        <f t="shared" si="293"/>
        <v>#N/A</v>
      </c>
      <c r="G8297" s="74">
        <v>28470</v>
      </c>
      <c r="H8297" s="77">
        <v>0.95833333333333337</v>
      </c>
      <c r="J8297">
        <v>19.04</v>
      </c>
      <c r="M8297" s="74">
        <v>36871</v>
      </c>
      <c r="N8297" s="77">
        <v>0.95833333333333337</v>
      </c>
      <c r="P8297">
        <v>37.4</v>
      </c>
      <c r="S8297" s="74">
        <v>35775</v>
      </c>
      <c r="T8297" s="77">
        <v>0.95833333333333337</v>
      </c>
      <c r="V8297">
        <v>33.979999999999997</v>
      </c>
      <c r="X8297" s="42"/>
      <c r="AB8297">
        <v>38.799999999999997</v>
      </c>
      <c r="AC8297">
        <v>35.6</v>
      </c>
      <c r="AE8297" s="74"/>
      <c r="AF8297" s="77"/>
      <c r="AH8297" s="497">
        <v>44.6</v>
      </c>
      <c r="AJ8297" s="42"/>
      <c r="AK8297" s="74"/>
      <c r="AL8297" s="77"/>
      <c r="AN8297" s="497">
        <v>19.939999999999998</v>
      </c>
      <c r="AP8297" s="42"/>
      <c r="AQ8297" s="74"/>
      <c r="AR8297" s="77"/>
      <c r="AT8297" s="497">
        <v>12.02</v>
      </c>
      <c r="AV8297" s="42"/>
      <c r="AW8297" s="74"/>
      <c r="AX8297" s="77"/>
      <c r="BA8297" s="497">
        <v>5.8999999999999986</v>
      </c>
      <c r="BB8297" s="42"/>
      <c r="BC8297" s="74"/>
      <c r="BD8297" s="77"/>
      <c r="BF8297">
        <v>3.9200000000000017</v>
      </c>
      <c r="BH8297" s="42"/>
      <c r="BI8297" s="74"/>
      <c r="BJ8297" s="77"/>
      <c r="BL8297" s="497">
        <v>-0.94000000000000483</v>
      </c>
      <c r="BN8297" s="42"/>
      <c r="BO8297" s="74"/>
      <c r="BP8297" s="77"/>
      <c r="BR8297" s="497">
        <v>15.079999999999998</v>
      </c>
      <c r="BT8297" s="42"/>
    </row>
    <row r="8298" spans="1:72" x14ac:dyDescent="0.25">
      <c r="A8298" s="90">
        <v>35775</v>
      </c>
      <c r="B8298" s="20">
        <v>1</v>
      </c>
      <c r="D8298">
        <v>41</v>
      </c>
      <c r="E8298" t="str">
        <f t="shared" si="294"/>
        <v>WEEKDAY</v>
      </c>
      <c r="F8298" t="e">
        <f t="shared" si="293"/>
        <v>#N/A</v>
      </c>
      <c r="G8298" s="74">
        <v>28470</v>
      </c>
      <c r="H8298" s="77">
        <v>1</v>
      </c>
      <c r="J8298">
        <v>19.04</v>
      </c>
      <c r="M8298" s="74">
        <v>36871</v>
      </c>
      <c r="N8298" s="80">
        <v>1</v>
      </c>
      <c r="P8298">
        <v>39.200000000000003</v>
      </c>
      <c r="S8298" s="74">
        <v>35775</v>
      </c>
      <c r="T8298" s="80">
        <v>1</v>
      </c>
      <c r="V8298">
        <v>35.06</v>
      </c>
      <c r="X8298" s="42"/>
      <c r="AB8298">
        <v>38.4</v>
      </c>
      <c r="AC8298">
        <v>35.6</v>
      </c>
      <c r="AE8298" s="74"/>
      <c r="AF8298" s="80"/>
      <c r="AH8298" s="497">
        <v>44.6</v>
      </c>
      <c r="AJ8298" s="42"/>
      <c r="AK8298" s="74"/>
      <c r="AL8298" s="80"/>
      <c r="AN8298" s="497">
        <v>21.92</v>
      </c>
      <c r="AP8298" s="42"/>
      <c r="AQ8298" s="74"/>
      <c r="AR8298" s="80"/>
      <c r="AT8298" s="497">
        <v>14</v>
      </c>
      <c r="AV8298" s="42"/>
      <c r="AW8298" s="74"/>
      <c r="AX8298" s="80"/>
      <c r="BA8298" s="497">
        <v>3.019999999999996</v>
      </c>
      <c r="BB8298" s="42"/>
      <c r="BC8298" s="74"/>
      <c r="BD8298" s="80"/>
      <c r="BF8298">
        <v>5</v>
      </c>
      <c r="BH8298" s="42"/>
      <c r="BI8298" s="74"/>
      <c r="BJ8298" s="80"/>
      <c r="BL8298" s="497">
        <v>-2.019999999999996</v>
      </c>
      <c r="BN8298" s="42"/>
      <c r="BO8298" s="74"/>
      <c r="BP8298" s="80"/>
      <c r="BR8298" s="497">
        <v>17.96</v>
      </c>
      <c r="BT8298" s="42"/>
    </row>
    <row r="8299" spans="1:72" x14ac:dyDescent="0.25">
      <c r="A8299" s="90">
        <v>35776</v>
      </c>
      <c r="B8299" s="20">
        <v>4.1666666666666664E-2</v>
      </c>
      <c r="D8299">
        <v>41</v>
      </c>
      <c r="E8299" t="str">
        <f t="shared" si="294"/>
        <v>WEEKDAY</v>
      </c>
      <c r="F8299" t="e">
        <f t="shared" ref="F8299:F8362" si="295">IF(E8299="WEEKDAY",VLOOKUP(B8299,$DD$19:$DG$42,2),IF(E8299="SATURDAY",VLOOKUP(B8299,$DD$19:$DG$42,3),VLOOKUP(B8299,$DD$19:$DG$42,4)))</f>
        <v>#N/A</v>
      </c>
      <c r="G8299" s="74">
        <v>28471</v>
      </c>
      <c r="H8299" s="77">
        <v>4.1666666666666664E-2</v>
      </c>
      <c r="J8299">
        <v>17.96</v>
      </c>
      <c r="M8299" s="74">
        <v>36872</v>
      </c>
      <c r="N8299" s="77">
        <v>4.1666666666666664E-2</v>
      </c>
      <c r="P8299">
        <v>39.200000000000003</v>
      </c>
      <c r="S8299" s="74">
        <v>35776</v>
      </c>
      <c r="T8299" s="77">
        <v>4.1666666666666664E-2</v>
      </c>
      <c r="V8299">
        <v>33.08</v>
      </c>
      <c r="X8299" s="42"/>
      <c r="AB8299">
        <v>38.1</v>
      </c>
      <c r="AC8299">
        <v>35.6</v>
      </c>
      <c r="AE8299" s="74"/>
      <c r="AF8299" s="77"/>
      <c r="AH8299" s="497">
        <v>42.8</v>
      </c>
      <c r="AJ8299" s="42"/>
      <c r="AK8299" s="74"/>
      <c r="AL8299" s="77"/>
      <c r="AN8299" s="497">
        <v>21.02</v>
      </c>
      <c r="AP8299" s="42"/>
      <c r="AQ8299" s="74"/>
      <c r="AR8299" s="77"/>
      <c r="AT8299" s="497">
        <v>15.98</v>
      </c>
      <c r="AV8299" s="42"/>
      <c r="AW8299" s="74"/>
      <c r="AX8299" s="77"/>
      <c r="BA8299" s="497">
        <v>-3.9999999999999147E-2</v>
      </c>
      <c r="BB8299" s="42"/>
      <c r="BC8299" s="74"/>
      <c r="BD8299" s="77"/>
      <c r="BF8299">
        <v>8.0599999999999987</v>
      </c>
      <c r="BH8299" s="42"/>
      <c r="BI8299" s="74"/>
      <c r="BJ8299" s="77"/>
      <c r="BL8299" s="497">
        <v>-0.94000000000000483</v>
      </c>
      <c r="BN8299" s="42"/>
      <c r="BO8299" s="74"/>
      <c r="BP8299" s="77"/>
      <c r="BR8299" s="497">
        <v>21.92</v>
      </c>
      <c r="BT8299" s="42"/>
    </row>
    <row r="8300" spans="1:72" x14ac:dyDescent="0.25">
      <c r="A8300" s="90">
        <v>35776</v>
      </c>
      <c r="B8300" s="20">
        <v>8.3333333333333329E-2</v>
      </c>
      <c r="D8300">
        <v>41</v>
      </c>
      <c r="E8300" t="str">
        <f t="shared" si="294"/>
        <v>WEEKDAY</v>
      </c>
      <c r="F8300" t="e">
        <f t="shared" si="295"/>
        <v>#N/A</v>
      </c>
      <c r="G8300" s="74">
        <v>28471</v>
      </c>
      <c r="H8300" s="77">
        <v>8.3333333333333329E-2</v>
      </c>
      <c r="J8300">
        <v>17.96</v>
      </c>
      <c r="M8300" s="74">
        <v>36872</v>
      </c>
      <c r="N8300" s="77">
        <v>8.3333333333333329E-2</v>
      </c>
      <c r="P8300">
        <v>44.6</v>
      </c>
      <c r="S8300" s="74">
        <v>35776</v>
      </c>
      <c r="T8300" s="77">
        <v>8.3333333333333329E-2</v>
      </c>
      <c r="V8300">
        <v>33.979999999999997</v>
      </c>
      <c r="X8300" s="42"/>
      <c r="AB8300">
        <v>37.700000000000003</v>
      </c>
      <c r="AC8300">
        <v>35.6</v>
      </c>
      <c r="AE8300" s="74"/>
      <c r="AF8300" s="77"/>
      <c r="AH8300" s="497">
        <v>42.8</v>
      </c>
      <c r="AJ8300" s="42"/>
      <c r="AK8300" s="74"/>
      <c r="AL8300" s="77"/>
      <c r="AN8300" s="497">
        <v>21.02</v>
      </c>
      <c r="AP8300" s="42"/>
      <c r="AQ8300" s="74"/>
      <c r="AR8300" s="77"/>
      <c r="AT8300" s="497">
        <v>16.7</v>
      </c>
      <c r="AV8300" s="42"/>
      <c r="AW8300" s="74"/>
      <c r="AX8300" s="77"/>
      <c r="BA8300" s="497">
        <v>-1.3000000000000043</v>
      </c>
      <c r="BB8300" s="42"/>
      <c r="BC8300" s="74"/>
      <c r="BD8300" s="77"/>
      <c r="BF8300">
        <v>8.0599999999999987</v>
      </c>
      <c r="BH8300" s="42"/>
      <c r="BI8300" s="74"/>
      <c r="BJ8300" s="77"/>
      <c r="BL8300" s="497">
        <v>3.9200000000000017</v>
      </c>
      <c r="BN8300" s="42"/>
      <c r="BO8300" s="74"/>
      <c r="BP8300" s="77"/>
      <c r="BR8300" s="497">
        <v>23</v>
      </c>
      <c r="BT8300" s="42"/>
    </row>
    <row r="8301" spans="1:72" x14ac:dyDescent="0.25">
      <c r="A8301" s="90">
        <v>35776</v>
      </c>
      <c r="B8301" s="20">
        <v>0.125</v>
      </c>
      <c r="D8301">
        <v>39.92</v>
      </c>
      <c r="E8301" t="str">
        <f t="shared" si="294"/>
        <v>WEEKDAY</v>
      </c>
      <c r="F8301" t="e">
        <f t="shared" si="295"/>
        <v>#N/A</v>
      </c>
      <c r="G8301" s="74">
        <v>28471</v>
      </c>
      <c r="H8301" s="77">
        <v>0.125</v>
      </c>
      <c r="J8301">
        <v>17.96</v>
      </c>
      <c r="M8301" s="74">
        <v>36872</v>
      </c>
      <c r="N8301" s="77">
        <v>0.125</v>
      </c>
      <c r="P8301">
        <v>44.6</v>
      </c>
      <c r="S8301" s="74">
        <v>35776</v>
      </c>
      <c r="T8301" s="77">
        <v>0.125</v>
      </c>
      <c r="V8301">
        <v>35.06</v>
      </c>
      <c r="X8301" s="42"/>
      <c r="AB8301">
        <v>37.299999999999997</v>
      </c>
      <c r="AC8301">
        <v>37.4</v>
      </c>
      <c r="AE8301" s="74"/>
      <c r="AF8301" s="77"/>
      <c r="AH8301" s="497">
        <v>41</v>
      </c>
      <c r="AJ8301" s="42"/>
      <c r="AK8301" s="74"/>
      <c r="AL8301" s="77"/>
      <c r="AN8301" s="497">
        <v>21.02</v>
      </c>
      <c r="AP8301" s="42"/>
      <c r="AQ8301" s="74"/>
      <c r="AR8301" s="77"/>
      <c r="AT8301" s="497">
        <v>17.240000000000002</v>
      </c>
      <c r="AV8301" s="42"/>
      <c r="AW8301" s="74"/>
      <c r="AX8301" s="77"/>
      <c r="BA8301" s="497">
        <v>-2.740000000000002</v>
      </c>
      <c r="BB8301" s="42"/>
      <c r="BC8301" s="74"/>
      <c r="BD8301" s="77"/>
      <c r="BF8301">
        <v>10.039999999999999</v>
      </c>
      <c r="BH8301" s="42"/>
      <c r="BI8301" s="74"/>
      <c r="BJ8301" s="77"/>
      <c r="BL8301" s="497">
        <v>3.9200000000000017</v>
      </c>
      <c r="BN8301" s="42"/>
      <c r="BO8301" s="74"/>
      <c r="BP8301" s="77"/>
      <c r="BR8301" s="497">
        <v>24.08</v>
      </c>
      <c r="BT8301" s="42"/>
    </row>
    <row r="8302" spans="1:72" x14ac:dyDescent="0.25">
      <c r="A8302" s="90">
        <v>35776</v>
      </c>
      <c r="B8302" s="20">
        <v>0.16666666666666666</v>
      </c>
      <c r="D8302">
        <v>39.019999999999996</v>
      </c>
      <c r="E8302" t="str">
        <f t="shared" si="294"/>
        <v>WEEKDAY</v>
      </c>
      <c r="F8302" t="e">
        <f t="shared" si="295"/>
        <v>#N/A</v>
      </c>
      <c r="G8302" s="74">
        <v>28471</v>
      </c>
      <c r="H8302" s="77">
        <v>0.16666666666666666</v>
      </c>
      <c r="J8302">
        <v>17.059999999999999</v>
      </c>
      <c r="M8302" s="74">
        <v>36872</v>
      </c>
      <c r="N8302" s="77">
        <v>0.16666666666666666</v>
      </c>
      <c r="P8302">
        <v>46.4</v>
      </c>
      <c r="S8302" s="74">
        <v>35776</v>
      </c>
      <c r="T8302" s="77">
        <v>0.16666666666666666</v>
      </c>
      <c r="V8302">
        <v>33.979999999999997</v>
      </c>
      <c r="X8302" s="42"/>
      <c r="AB8302">
        <v>37</v>
      </c>
      <c r="AC8302">
        <v>37.4</v>
      </c>
      <c r="AE8302" s="74"/>
      <c r="AF8302" s="77"/>
      <c r="AH8302" s="497">
        <v>39.200000000000003</v>
      </c>
      <c r="AJ8302" s="42"/>
      <c r="AK8302" s="74"/>
      <c r="AL8302" s="77"/>
      <c r="AN8302" s="497">
        <v>21.92</v>
      </c>
      <c r="AP8302" s="42"/>
      <c r="AQ8302" s="74"/>
      <c r="AR8302" s="77"/>
      <c r="AT8302" s="497">
        <v>17.96</v>
      </c>
      <c r="AV8302" s="42"/>
      <c r="AW8302" s="74"/>
      <c r="AX8302" s="77"/>
      <c r="BA8302" s="497">
        <v>-4</v>
      </c>
      <c r="BB8302" s="42"/>
      <c r="BC8302" s="74"/>
      <c r="BD8302" s="77"/>
      <c r="BF8302">
        <v>12.02</v>
      </c>
      <c r="BH8302" s="42"/>
      <c r="BI8302" s="74"/>
      <c r="BJ8302" s="77"/>
      <c r="BL8302" s="497">
        <v>5</v>
      </c>
      <c r="BN8302" s="42"/>
      <c r="BO8302" s="74"/>
      <c r="BP8302" s="77"/>
      <c r="BR8302" s="497">
        <v>24.98</v>
      </c>
      <c r="BT8302" s="42"/>
    </row>
    <row r="8303" spans="1:72" x14ac:dyDescent="0.25">
      <c r="A8303" s="90">
        <v>35776</v>
      </c>
      <c r="B8303" s="20">
        <v>0.20833333333333334</v>
      </c>
      <c r="D8303">
        <v>39.019999999999996</v>
      </c>
      <c r="E8303" t="str">
        <f t="shared" si="294"/>
        <v>WEEKDAY</v>
      </c>
      <c r="F8303" t="e">
        <f t="shared" si="295"/>
        <v>#N/A</v>
      </c>
      <c r="G8303" s="74">
        <v>28471</v>
      </c>
      <c r="H8303" s="77">
        <v>0.20833333333333334</v>
      </c>
      <c r="J8303">
        <v>17.059999999999999</v>
      </c>
      <c r="M8303" s="74">
        <v>36872</v>
      </c>
      <c r="N8303" s="77">
        <v>0.20833333333333334</v>
      </c>
      <c r="P8303">
        <v>46.4</v>
      </c>
      <c r="S8303" s="74">
        <v>35776</v>
      </c>
      <c r="T8303" s="77">
        <v>0.20833333333333334</v>
      </c>
      <c r="V8303">
        <v>33.979999999999997</v>
      </c>
      <c r="X8303" s="42"/>
      <c r="AB8303">
        <v>36.700000000000003</v>
      </c>
      <c r="AC8303">
        <v>37.4</v>
      </c>
      <c r="AE8303" s="74"/>
      <c r="AF8303" s="77"/>
      <c r="AH8303" s="497">
        <v>39.200000000000003</v>
      </c>
      <c r="AJ8303" s="42"/>
      <c r="AK8303" s="74"/>
      <c r="AL8303" s="77"/>
      <c r="AN8303" s="497">
        <v>21.92</v>
      </c>
      <c r="AP8303" s="42"/>
      <c r="AQ8303" s="74"/>
      <c r="AR8303" s="77"/>
      <c r="AT8303" s="497">
        <v>18.68</v>
      </c>
      <c r="AV8303" s="42"/>
      <c r="AW8303" s="74"/>
      <c r="AX8303" s="77"/>
      <c r="BA8303" s="497">
        <v>-2.3800000000000026</v>
      </c>
      <c r="BB8303" s="42"/>
      <c r="BC8303" s="74"/>
      <c r="BD8303" s="77"/>
      <c r="BF8303">
        <v>14</v>
      </c>
      <c r="BH8303" s="42"/>
      <c r="BI8303" s="74"/>
      <c r="BJ8303" s="77"/>
      <c r="BL8303" s="497">
        <v>8.0599999999999987</v>
      </c>
      <c r="BN8303" s="42"/>
      <c r="BO8303" s="74"/>
      <c r="BP8303" s="77"/>
      <c r="BR8303" s="497">
        <v>24.98</v>
      </c>
      <c r="BT8303" s="42"/>
    </row>
    <row r="8304" spans="1:72" x14ac:dyDescent="0.25">
      <c r="A8304" s="90">
        <v>35776</v>
      </c>
      <c r="B8304" s="20">
        <v>0.25</v>
      </c>
      <c r="D8304">
        <v>39.019999999999996</v>
      </c>
      <c r="E8304" t="str">
        <f t="shared" si="294"/>
        <v>WEEKDAY</v>
      </c>
      <c r="F8304" t="e">
        <f t="shared" si="295"/>
        <v>#N/A</v>
      </c>
      <c r="G8304" s="74">
        <v>28471</v>
      </c>
      <c r="H8304" s="77">
        <v>0.25</v>
      </c>
      <c r="J8304">
        <v>17.96</v>
      </c>
      <c r="M8304" s="74">
        <v>36872</v>
      </c>
      <c r="N8304" s="77">
        <v>0.25</v>
      </c>
      <c r="P8304">
        <v>48.2</v>
      </c>
      <c r="S8304" s="74">
        <v>35776</v>
      </c>
      <c r="T8304" s="77">
        <v>0.25</v>
      </c>
      <c r="V8304">
        <v>35.06</v>
      </c>
      <c r="X8304" s="42"/>
      <c r="AB8304">
        <v>36.6</v>
      </c>
      <c r="AC8304">
        <v>37.4</v>
      </c>
      <c r="AE8304" s="74"/>
      <c r="AF8304" s="77"/>
      <c r="AH8304" s="497">
        <v>39.200000000000003</v>
      </c>
      <c r="AJ8304" s="42"/>
      <c r="AK8304" s="74"/>
      <c r="AL8304" s="77"/>
      <c r="AN8304" s="497">
        <v>21.92</v>
      </c>
      <c r="AP8304" s="42"/>
      <c r="AQ8304" s="74"/>
      <c r="AR8304" s="77"/>
      <c r="AT8304" s="497">
        <v>19.22</v>
      </c>
      <c r="AV8304" s="42"/>
      <c r="AW8304" s="74"/>
      <c r="AX8304" s="77"/>
      <c r="BA8304" s="497">
        <v>-0.5800000000000054</v>
      </c>
      <c r="BB8304" s="42"/>
      <c r="BC8304" s="74"/>
      <c r="BD8304" s="77"/>
      <c r="BF8304">
        <v>15.079999999999998</v>
      </c>
      <c r="BH8304" s="42"/>
      <c r="BI8304" s="74"/>
      <c r="BJ8304" s="77"/>
      <c r="BL8304" s="497">
        <v>8.0599999999999987</v>
      </c>
      <c r="BN8304" s="42"/>
      <c r="BO8304" s="74"/>
      <c r="BP8304" s="77"/>
      <c r="BR8304" s="497">
        <v>26.060000000000002</v>
      </c>
      <c r="BT8304" s="42"/>
    </row>
    <row r="8305" spans="1:72" x14ac:dyDescent="0.25">
      <c r="A8305" s="90">
        <v>35776</v>
      </c>
      <c r="B8305" s="20">
        <v>0.29166666666666669</v>
      </c>
      <c r="D8305">
        <v>37.94</v>
      </c>
      <c r="E8305" t="str">
        <f t="shared" si="294"/>
        <v>WEEKDAY</v>
      </c>
      <c r="F8305" t="e">
        <f t="shared" si="295"/>
        <v>#N/A</v>
      </c>
      <c r="G8305" s="74">
        <v>28471</v>
      </c>
      <c r="H8305" s="77">
        <v>0.29166666666666669</v>
      </c>
      <c r="J8305">
        <v>17.059999999999999</v>
      </c>
      <c r="M8305" s="74">
        <v>36872</v>
      </c>
      <c r="N8305" s="77">
        <v>0.29166666666666669</v>
      </c>
      <c r="P8305">
        <v>50</v>
      </c>
      <c r="S8305" s="74">
        <v>35776</v>
      </c>
      <c r="T8305" s="77">
        <v>0.29166666666666669</v>
      </c>
      <c r="V8305">
        <v>35.06</v>
      </c>
      <c r="X8305" s="42"/>
      <c r="AB8305">
        <v>36.4</v>
      </c>
      <c r="AC8305">
        <v>37.4</v>
      </c>
      <c r="AE8305" s="74"/>
      <c r="AF8305" s="77"/>
      <c r="AH8305" s="497">
        <v>39.200000000000003</v>
      </c>
      <c r="AJ8305" s="42"/>
      <c r="AK8305" s="74"/>
      <c r="AL8305" s="77"/>
      <c r="AN8305" s="497">
        <v>23</v>
      </c>
      <c r="AP8305" s="42"/>
      <c r="AQ8305" s="74"/>
      <c r="AR8305" s="77"/>
      <c r="AT8305" s="497">
        <v>19.939999999999998</v>
      </c>
      <c r="AV8305" s="42"/>
      <c r="AW8305" s="74"/>
      <c r="AX8305" s="77"/>
      <c r="BA8305" s="497">
        <v>1.0399999999999991</v>
      </c>
      <c r="BB8305" s="42"/>
      <c r="BC8305" s="74"/>
      <c r="BD8305" s="77"/>
      <c r="BF8305">
        <v>15.079999999999998</v>
      </c>
      <c r="BH8305" s="42"/>
      <c r="BI8305" s="74"/>
      <c r="BJ8305" s="77"/>
      <c r="BL8305" s="497">
        <v>10.940000000000001</v>
      </c>
      <c r="BN8305" s="42"/>
      <c r="BO8305" s="74"/>
      <c r="BP8305" s="77"/>
      <c r="BR8305" s="497">
        <v>26.060000000000002</v>
      </c>
      <c r="BT8305" s="42"/>
    </row>
    <row r="8306" spans="1:72" x14ac:dyDescent="0.25">
      <c r="A8306" s="90">
        <v>35776</v>
      </c>
      <c r="B8306" s="20">
        <v>0.33333333333333331</v>
      </c>
      <c r="D8306">
        <v>37.94</v>
      </c>
      <c r="E8306" t="str">
        <f t="shared" si="294"/>
        <v>WEEKDAY</v>
      </c>
      <c r="F8306" t="e">
        <f t="shared" si="295"/>
        <v>#N/A</v>
      </c>
      <c r="G8306" s="74">
        <v>28471</v>
      </c>
      <c r="H8306" s="77">
        <v>0.33333333333333331</v>
      </c>
      <c r="J8306">
        <v>17.059999999999999</v>
      </c>
      <c r="M8306" s="74">
        <v>36872</v>
      </c>
      <c r="N8306" s="77">
        <v>0.33333333333333331</v>
      </c>
      <c r="P8306">
        <v>50</v>
      </c>
      <c r="S8306" s="74">
        <v>35776</v>
      </c>
      <c r="T8306" s="77">
        <v>0.33333333333333331</v>
      </c>
      <c r="V8306">
        <v>35.96</v>
      </c>
      <c r="X8306" s="42"/>
      <c r="AB8306">
        <v>36.4</v>
      </c>
      <c r="AC8306">
        <v>37.4</v>
      </c>
      <c r="AE8306" s="74"/>
      <c r="AF8306" s="77"/>
      <c r="AH8306" s="497">
        <v>37.4</v>
      </c>
      <c r="AJ8306" s="42"/>
      <c r="AK8306" s="74"/>
      <c r="AL8306" s="77"/>
      <c r="AN8306" s="497">
        <v>24.08</v>
      </c>
      <c r="AP8306" s="42"/>
      <c r="AQ8306" s="74"/>
      <c r="AR8306" s="77"/>
      <c r="AT8306" s="497">
        <v>21.38</v>
      </c>
      <c r="AV8306" s="42"/>
      <c r="AW8306" s="74"/>
      <c r="AX8306" s="77"/>
      <c r="BA8306" s="497">
        <v>3.379999999999999</v>
      </c>
      <c r="BB8306" s="42"/>
      <c r="BC8306" s="74"/>
      <c r="BD8306" s="77"/>
      <c r="BF8306">
        <v>15.98</v>
      </c>
      <c r="BH8306" s="42"/>
      <c r="BI8306" s="74"/>
      <c r="BJ8306" s="77"/>
      <c r="BL8306" s="497">
        <v>12.02</v>
      </c>
      <c r="BN8306" s="42"/>
      <c r="BO8306" s="74"/>
      <c r="BP8306" s="77"/>
      <c r="BR8306" s="497">
        <v>26.060000000000002</v>
      </c>
      <c r="BT8306" s="42"/>
    </row>
    <row r="8307" spans="1:72" x14ac:dyDescent="0.25">
      <c r="A8307" s="90">
        <v>35776</v>
      </c>
      <c r="B8307" s="20">
        <v>0.375</v>
      </c>
      <c r="D8307">
        <v>37.94</v>
      </c>
      <c r="E8307" t="str">
        <f t="shared" si="294"/>
        <v>WEEKDAY</v>
      </c>
      <c r="F8307" t="e">
        <f t="shared" si="295"/>
        <v>#N/A</v>
      </c>
      <c r="G8307" s="74">
        <v>28471</v>
      </c>
      <c r="H8307" s="77">
        <v>0.375</v>
      </c>
      <c r="J8307">
        <v>17.96</v>
      </c>
      <c r="M8307" s="74">
        <v>36872</v>
      </c>
      <c r="N8307" s="77">
        <v>0.375</v>
      </c>
      <c r="P8307">
        <v>50</v>
      </c>
      <c r="S8307" s="74">
        <v>35776</v>
      </c>
      <c r="T8307" s="77">
        <v>0.375</v>
      </c>
      <c r="V8307">
        <v>35.96</v>
      </c>
      <c r="X8307" s="42"/>
      <c r="AB8307">
        <v>36.9</v>
      </c>
      <c r="AC8307">
        <v>39.200000000000003</v>
      </c>
      <c r="AE8307" s="74"/>
      <c r="AF8307" s="77"/>
      <c r="AH8307" s="497">
        <v>39.200000000000003</v>
      </c>
      <c r="AJ8307" s="42"/>
      <c r="AK8307" s="74"/>
      <c r="AL8307" s="77"/>
      <c r="AN8307" s="497">
        <v>24.98</v>
      </c>
      <c r="AP8307" s="42"/>
      <c r="AQ8307" s="74"/>
      <c r="AR8307" s="77"/>
      <c r="AT8307" s="497">
        <v>22.64</v>
      </c>
      <c r="AV8307" s="42"/>
      <c r="AW8307" s="74"/>
      <c r="AX8307" s="77"/>
      <c r="BA8307" s="497">
        <v>5.7199999999999989</v>
      </c>
      <c r="BB8307" s="42"/>
      <c r="BC8307" s="74"/>
      <c r="BD8307" s="77"/>
      <c r="BF8307">
        <v>15.98</v>
      </c>
      <c r="BH8307" s="42"/>
      <c r="BI8307" s="74"/>
      <c r="BJ8307" s="77"/>
      <c r="BL8307" s="497">
        <v>14</v>
      </c>
      <c r="BN8307" s="42"/>
      <c r="BO8307" s="74"/>
      <c r="BP8307" s="77"/>
      <c r="BR8307" s="497">
        <v>28.04</v>
      </c>
      <c r="BT8307" s="42"/>
    </row>
    <row r="8308" spans="1:72" x14ac:dyDescent="0.25">
      <c r="A8308" s="90">
        <v>35776</v>
      </c>
      <c r="B8308" s="20">
        <v>0.41666666666666669</v>
      </c>
      <c r="D8308">
        <v>39.019999999999996</v>
      </c>
      <c r="E8308" t="str">
        <f t="shared" si="294"/>
        <v>WEEKDAY</v>
      </c>
      <c r="F8308" t="e">
        <f t="shared" si="295"/>
        <v>#N/A</v>
      </c>
      <c r="G8308" s="74">
        <v>28471</v>
      </c>
      <c r="H8308" s="77">
        <v>0.41666666666666669</v>
      </c>
      <c r="J8308">
        <v>21.92</v>
      </c>
      <c r="M8308" s="74">
        <v>36872</v>
      </c>
      <c r="N8308" s="77">
        <v>0.41666666666666669</v>
      </c>
      <c r="P8308">
        <v>44.6</v>
      </c>
      <c r="S8308" s="74">
        <v>35776</v>
      </c>
      <c r="T8308" s="77">
        <v>0.41666666666666669</v>
      </c>
      <c r="V8308">
        <v>37.04</v>
      </c>
      <c r="X8308" s="42"/>
      <c r="AB8308">
        <v>38.299999999999997</v>
      </c>
      <c r="AC8308">
        <v>39.200000000000003</v>
      </c>
      <c r="AE8308" s="74"/>
      <c r="AF8308" s="77"/>
      <c r="AH8308" s="497">
        <v>39.200000000000003</v>
      </c>
      <c r="AJ8308" s="42"/>
      <c r="AK8308" s="74"/>
      <c r="AL8308" s="77"/>
      <c r="AN8308" s="497">
        <v>26.96</v>
      </c>
      <c r="AP8308" s="42"/>
      <c r="AQ8308" s="74"/>
      <c r="AR8308" s="77"/>
      <c r="AT8308" s="497">
        <v>24.08</v>
      </c>
      <c r="AV8308" s="42"/>
      <c r="AW8308" s="74"/>
      <c r="AX8308" s="77"/>
      <c r="BA8308" s="497">
        <v>8.0599999999999987</v>
      </c>
      <c r="BB8308" s="42"/>
      <c r="BC8308" s="74"/>
      <c r="BD8308" s="77"/>
      <c r="BF8308">
        <v>17.96</v>
      </c>
      <c r="BH8308" s="42"/>
      <c r="BI8308" s="74"/>
      <c r="BJ8308" s="77"/>
      <c r="BL8308" s="497">
        <v>15.98</v>
      </c>
      <c r="BN8308" s="42"/>
      <c r="BO8308" s="74"/>
      <c r="BP8308" s="77"/>
      <c r="BR8308" s="497">
        <v>28.94</v>
      </c>
      <c r="BT8308" s="42"/>
    </row>
    <row r="8309" spans="1:72" x14ac:dyDescent="0.25">
      <c r="A8309" s="90">
        <v>35776</v>
      </c>
      <c r="B8309" s="20">
        <v>0.45833333333333331</v>
      </c>
      <c r="D8309">
        <v>39.92</v>
      </c>
      <c r="E8309" t="str">
        <f t="shared" si="294"/>
        <v>WEEKDAY</v>
      </c>
      <c r="F8309" t="e">
        <f t="shared" si="295"/>
        <v>#N/A</v>
      </c>
      <c r="G8309" s="74">
        <v>28471</v>
      </c>
      <c r="H8309" s="77">
        <v>0.45833333333333331</v>
      </c>
      <c r="J8309">
        <v>23</v>
      </c>
      <c r="M8309" s="74">
        <v>36872</v>
      </c>
      <c r="N8309" s="77">
        <v>0.45833333333333331</v>
      </c>
      <c r="P8309">
        <v>39.200000000000003</v>
      </c>
      <c r="S8309" s="74">
        <v>35776</v>
      </c>
      <c r="T8309" s="77">
        <v>0.45833333333333331</v>
      </c>
      <c r="V8309">
        <v>37.94</v>
      </c>
      <c r="X8309" s="42"/>
      <c r="AB8309">
        <v>39.700000000000003</v>
      </c>
      <c r="AC8309">
        <v>39.200000000000003</v>
      </c>
      <c r="AE8309" s="74"/>
      <c r="AF8309" s="77"/>
      <c r="AH8309" s="497">
        <v>39.200000000000003</v>
      </c>
      <c r="AJ8309" s="42"/>
      <c r="AK8309" s="74"/>
      <c r="AL8309" s="77"/>
      <c r="AN8309" s="497">
        <v>30.02</v>
      </c>
      <c r="AP8309" s="42"/>
      <c r="AQ8309" s="74"/>
      <c r="AR8309" s="77"/>
      <c r="AT8309" s="497">
        <v>25.7</v>
      </c>
      <c r="AV8309" s="42"/>
      <c r="AW8309" s="74"/>
      <c r="AX8309" s="77"/>
      <c r="BA8309" s="497">
        <v>10.759999999999998</v>
      </c>
      <c r="BB8309" s="42"/>
      <c r="BC8309" s="74"/>
      <c r="BD8309" s="77"/>
      <c r="BF8309">
        <v>21.92</v>
      </c>
      <c r="BH8309" s="42"/>
      <c r="BI8309" s="74"/>
      <c r="BJ8309" s="77"/>
      <c r="BL8309" s="497">
        <v>17.96</v>
      </c>
      <c r="BN8309" s="42"/>
      <c r="BO8309" s="74"/>
      <c r="BP8309" s="77"/>
      <c r="BR8309" s="497">
        <v>30.02</v>
      </c>
      <c r="BT8309" s="42"/>
    </row>
    <row r="8310" spans="1:72" x14ac:dyDescent="0.25">
      <c r="A8310" s="90">
        <v>35776</v>
      </c>
      <c r="B8310" s="20">
        <v>0.5</v>
      </c>
      <c r="D8310">
        <v>41</v>
      </c>
      <c r="E8310" t="str">
        <f t="shared" si="294"/>
        <v>WEEKDAY</v>
      </c>
      <c r="F8310" t="e">
        <f t="shared" si="295"/>
        <v>#N/A</v>
      </c>
      <c r="G8310" s="74">
        <v>28471</v>
      </c>
      <c r="H8310" s="77">
        <v>0.5</v>
      </c>
      <c r="J8310">
        <v>23</v>
      </c>
      <c r="M8310" s="74">
        <v>36872</v>
      </c>
      <c r="N8310" s="77">
        <v>0.5</v>
      </c>
      <c r="P8310">
        <v>39.200000000000003</v>
      </c>
      <c r="S8310" s="74">
        <v>35776</v>
      </c>
      <c r="T8310" s="77">
        <v>0.5</v>
      </c>
      <c r="V8310">
        <v>37.94</v>
      </c>
      <c r="X8310" s="42"/>
      <c r="AB8310">
        <v>40.799999999999997</v>
      </c>
      <c r="AC8310">
        <v>41</v>
      </c>
      <c r="AE8310" s="74"/>
      <c r="AF8310" s="77"/>
      <c r="AH8310" s="497">
        <v>41</v>
      </c>
      <c r="AJ8310" s="42"/>
      <c r="AK8310" s="74"/>
      <c r="AL8310" s="77"/>
      <c r="AN8310" s="497">
        <v>30.02</v>
      </c>
      <c r="AP8310" s="42"/>
      <c r="AQ8310" s="74"/>
      <c r="AR8310" s="77"/>
      <c r="AT8310" s="497">
        <v>27.32</v>
      </c>
      <c r="AV8310" s="42"/>
      <c r="AW8310" s="74"/>
      <c r="AX8310" s="77"/>
      <c r="BA8310" s="497">
        <v>13.279999999999998</v>
      </c>
      <c r="BB8310" s="42"/>
      <c r="BC8310" s="74"/>
      <c r="BD8310" s="77"/>
      <c r="BF8310">
        <v>21.92</v>
      </c>
      <c r="BH8310" s="42"/>
      <c r="BI8310" s="74"/>
      <c r="BJ8310" s="77"/>
      <c r="BL8310" s="497">
        <v>17.96</v>
      </c>
      <c r="BN8310" s="42"/>
      <c r="BO8310" s="74"/>
      <c r="BP8310" s="77"/>
      <c r="BR8310" s="497">
        <v>30.92</v>
      </c>
      <c r="BT8310" s="42"/>
    </row>
    <row r="8311" spans="1:72" x14ac:dyDescent="0.25">
      <c r="A8311" s="90">
        <v>35776</v>
      </c>
      <c r="B8311" s="20">
        <v>0.54166666666666663</v>
      </c>
      <c r="D8311">
        <v>41</v>
      </c>
      <c r="E8311" t="str">
        <f t="shared" si="294"/>
        <v>WEEKDAY</v>
      </c>
      <c r="F8311" t="e">
        <f t="shared" si="295"/>
        <v>#N/A</v>
      </c>
      <c r="G8311" s="74">
        <v>28471</v>
      </c>
      <c r="H8311" s="77">
        <v>0.54166666666666663</v>
      </c>
      <c r="J8311">
        <v>23</v>
      </c>
      <c r="M8311" s="74">
        <v>36872</v>
      </c>
      <c r="N8311" s="77">
        <v>0.54166666666666663</v>
      </c>
      <c r="P8311">
        <v>39.200000000000003</v>
      </c>
      <c r="S8311" s="74">
        <v>35776</v>
      </c>
      <c r="T8311" s="77">
        <v>0.54166666666666663</v>
      </c>
      <c r="V8311">
        <v>37.94</v>
      </c>
      <c r="X8311" s="42"/>
      <c r="AB8311">
        <v>41.7</v>
      </c>
      <c r="AC8311">
        <v>41</v>
      </c>
      <c r="AE8311" s="74"/>
      <c r="AF8311" s="77"/>
      <c r="AH8311" s="497">
        <v>42.8</v>
      </c>
      <c r="AJ8311" s="42"/>
      <c r="AK8311" s="74"/>
      <c r="AL8311" s="77"/>
      <c r="AN8311" s="497">
        <v>30.92</v>
      </c>
      <c r="AP8311" s="42"/>
      <c r="AQ8311" s="74"/>
      <c r="AR8311" s="77"/>
      <c r="AT8311" s="497">
        <v>28.94</v>
      </c>
      <c r="AV8311" s="42"/>
      <c r="AW8311" s="74"/>
      <c r="AX8311" s="77"/>
      <c r="BA8311" s="497">
        <v>15.98</v>
      </c>
      <c r="BB8311" s="42"/>
      <c r="BC8311" s="74"/>
      <c r="BD8311" s="77"/>
      <c r="BF8311">
        <v>23</v>
      </c>
      <c r="BH8311" s="42"/>
      <c r="BI8311" s="74"/>
      <c r="BJ8311" s="77"/>
      <c r="BL8311" s="497">
        <v>17.96</v>
      </c>
      <c r="BN8311" s="42"/>
      <c r="BO8311" s="74"/>
      <c r="BP8311" s="77"/>
      <c r="BR8311" s="497">
        <v>33.08</v>
      </c>
      <c r="BT8311" s="42"/>
    </row>
    <row r="8312" spans="1:72" x14ac:dyDescent="0.25">
      <c r="A8312" s="90">
        <v>35776</v>
      </c>
      <c r="B8312" s="20">
        <v>0.58333333333333337</v>
      </c>
      <c r="D8312">
        <v>41</v>
      </c>
      <c r="E8312" t="str">
        <f t="shared" si="294"/>
        <v>WEEKDAY</v>
      </c>
      <c r="F8312" t="e">
        <f t="shared" si="295"/>
        <v>#N/A</v>
      </c>
      <c r="G8312" s="74">
        <v>28471</v>
      </c>
      <c r="H8312" s="77">
        <v>0.58333333333333337</v>
      </c>
      <c r="J8312">
        <v>23</v>
      </c>
      <c r="M8312" s="74">
        <v>36872</v>
      </c>
      <c r="N8312" s="77">
        <v>0.58333333333333337</v>
      </c>
      <c r="P8312">
        <v>37.4</v>
      </c>
      <c r="S8312" s="74">
        <v>35776</v>
      </c>
      <c r="T8312" s="77">
        <v>0.58333333333333337</v>
      </c>
      <c r="V8312">
        <v>39.019999999999996</v>
      </c>
      <c r="X8312" s="42"/>
      <c r="AB8312">
        <v>42.3</v>
      </c>
      <c r="AC8312">
        <v>41</v>
      </c>
      <c r="AE8312" s="74"/>
      <c r="AF8312" s="77"/>
      <c r="AH8312" s="497">
        <v>41</v>
      </c>
      <c r="AJ8312" s="42"/>
      <c r="AK8312" s="74"/>
      <c r="AL8312" s="77"/>
      <c r="AN8312" s="497">
        <v>32</v>
      </c>
      <c r="AP8312" s="42"/>
      <c r="AQ8312" s="74"/>
      <c r="AR8312" s="77"/>
      <c r="AT8312" s="497">
        <v>29.3</v>
      </c>
      <c r="AV8312" s="42"/>
      <c r="AW8312" s="74"/>
      <c r="AX8312" s="77"/>
      <c r="BA8312" s="497">
        <v>16.340000000000003</v>
      </c>
      <c r="BB8312" s="42"/>
      <c r="BC8312" s="74"/>
      <c r="BD8312" s="77"/>
      <c r="BF8312">
        <v>24.08</v>
      </c>
      <c r="BH8312" s="42"/>
      <c r="BI8312" s="74"/>
      <c r="BJ8312" s="77"/>
      <c r="BL8312" s="497">
        <v>21.02</v>
      </c>
      <c r="BN8312" s="42"/>
      <c r="BO8312" s="74"/>
      <c r="BP8312" s="77"/>
      <c r="BR8312" s="497">
        <v>32</v>
      </c>
      <c r="BT8312" s="42"/>
    </row>
    <row r="8313" spans="1:72" x14ac:dyDescent="0.25">
      <c r="A8313" s="90">
        <v>35776</v>
      </c>
      <c r="B8313" s="20">
        <v>0.625</v>
      </c>
      <c r="D8313">
        <v>41</v>
      </c>
      <c r="E8313" t="str">
        <f t="shared" si="294"/>
        <v>WEEKDAY</v>
      </c>
      <c r="F8313" t="e">
        <f t="shared" si="295"/>
        <v>#N/A</v>
      </c>
      <c r="G8313" s="74">
        <v>28471</v>
      </c>
      <c r="H8313" s="77">
        <v>0.625</v>
      </c>
      <c r="J8313">
        <v>23</v>
      </c>
      <c r="M8313" s="74">
        <v>36872</v>
      </c>
      <c r="N8313" s="77">
        <v>0.625</v>
      </c>
      <c r="P8313">
        <v>37.4</v>
      </c>
      <c r="S8313" s="74">
        <v>35776</v>
      </c>
      <c r="T8313" s="77">
        <v>0.625</v>
      </c>
      <c r="V8313">
        <v>41</v>
      </c>
      <c r="X8313" s="42"/>
      <c r="AB8313">
        <v>42.6</v>
      </c>
      <c r="AC8313">
        <v>39.200000000000003</v>
      </c>
      <c r="AE8313" s="74"/>
      <c r="AF8313" s="77"/>
      <c r="AH8313" s="497">
        <v>41</v>
      </c>
      <c r="AJ8313" s="42"/>
      <c r="AK8313" s="74"/>
      <c r="AL8313" s="77"/>
      <c r="AN8313" s="497">
        <v>33.08</v>
      </c>
      <c r="AP8313" s="42"/>
      <c r="AQ8313" s="74"/>
      <c r="AR8313" s="77"/>
      <c r="AT8313" s="497">
        <v>29.66</v>
      </c>
      <c r="AV8313" s="42"/>
      <c r="AW8313" s="74"/>
      <c r="AX8313" s="77"/>
      <c r="BA8313" s="497">
        <v>16.7</v>
      </c>
      <c r="BB8313" s="42"/>
      <c r="BC8313" s="74"/>
      <c r="BD8313" s="77"/>
      <c r="BF8313">
        <v>26.060000000000002</v>
      </c>
      <c r="BH8313" s="42"/>
      <c r="BI8313" s="74"/>
      <c r="BJ8313" s="77"/>
      <c r="BL8313" s="497">
        <v>24.98</v>
      </c>
      <c r="BN8313" s="42"/>
      <c r="BO8313" s="74"/>
      <c r="BP8313" s="77"/>
      <c r="BR8313" s="497">
        <v>32</v>
      </c>
      <c r="BT8313" s="42"/>
    </row>
    <row r="8314" spans="1:72" x14ac:dyDescent="0.25">
      <c r="A8314" s="90">
        <v>35776</v>
      </c>
      <c r="B8314" s="20">
        <v>0.66666666666666663</v>
      </c>
      <c r="D8314">
        <v>41</v>
      </c>
      <c r="E8314" t="str">
        <f t="shared" si="294"/>
        <v>WEEKDAY</v>
      </c>
      <c r="F8314" t="e">
        <f t="shared" si="295"/>
        <v>#N/A</v>
      </c>
      <c r="G8314" s="74">
        <v>28471</v>
      </c>
      <c r="H8314" s="77">
        <v>0.66666666666666663</v>
      </c>
      <c r="J8314">
        <v>26.96</v>
      </c>
      <c r="M8314" s="74">
        <v>36872</v>
      </c>
      <c r="N8314" s="77">
        <v>0.66666666666666663</v>
      </c>
      <c r="P8314">
        <v>35.6</v>
      </c>
      <c r="S8314" s="74">
        <v>35776</v>
      </c>
      <c r="T8314" s="77">
        <v>0.66666666666666663</v>
      </c>
      <c r="V8314">
        <v>41</v>
      </c>
      <c r="X8314" s="42"/>
      <c r="AB8314">
        <v>42.4</v>
      </c>
      <c r="AC8314">
        <v>39.200000000000003</v>
      </c>
      <c r="AE8314" s="74"/>
      <c r="AF8314" s="77"/>
      <c r="AH8314" s="497">
        <v>39.200000000000003</v>
      </c>
      <c r="AJ8314" s="42"/>
      <c r="AK8314" s="74"/>
      <c r="AL8314" s="77"/>
      <c r="AN8314" s="497">
        <v>33.08</v>
      </c>
      <c r="AP8314" s="42"/>
      <c r="AQ8314" s="74"/>
      <c r="AR8314" s="77"/>
      <c r="AT8314" s="497">
        <v>30.02</v>
      </c>
      <c r="AV8314" s="42"/>
      <c r="AW8314" s="74"/>
      <c r="AX8314" s="77"/>
      <c r="BA8314" s="497">
        <v>17.059999999999999</v>
      </c>
      <c r="BB8314" s="42"/>
      <c r="BC8314" s="74"/>
      <c r="BD8314" s="77"/>
      <c r="BF8314">
        <v>26.96</v>
      </c>
      <c r="BH8314" s="42"/>
      <c r="BI8314" s="74"/>
      <c r="BJ8314" s="77"/>
      <c r="BL8314" s="497">
        <v>26.96</v>
      </c>
      <c r="BN8314" s="42"/>
      <c r="BO8314" s="74"/>
      <c r="BP8314" s="77"/>
      <c r="BR8314" s="497">
        <v>32</v>
      </c>
      <c r="BT8314" s="42"/>
    </row>
    <row r="8315" spans="1:72" x14ac:dyDescent="0.25">
      <c r="A8315" s="90">
        <v>35776</v>
      </c>
      <c r="B8315" s="20">
        <v>0.70833333333333337</v>
      </c>
      <c r="D8315">
        <v>39.019999999999996</v>
      </c>
      <c r="E8315" t="str">
        <f t="shared" si="294"/>
        <v>WEEKDAY</v>
      </c>
      <c r="F8315" t="e">
        <f t="shared" si="295"/>
        <v>#N/A</v>
      </c>
      <c r="G8315" s="74">
        <v>28471</v>
      </c>
      <c r="H8315" s="77">
        <v>0.70833333333333337</v>
      </c>
      <c r="J8315">
        <v>28.04</v>
      </c>
      <c r="M8315" s="74">
        <v>36872</v>
      </c>
      <c r="N8315" s="77">
        <v>0.70833333333333337</v>
      </c>
      <c r="P8315">
        <v>32</v>
      </c>
      <c r="S8315" s="74">
        <v>35776</v>
      </c>
      <c r="T8315" s="77">
        <v>0.70833333333333337</v>
      </c>
      <c r="V8315">
        <v>39.019999999999996</v>
      </c>
      <c r="X8315" s="42"/>
      <c r="AB8315">
        <v>41.6</v>
      </c>
      <c r="AC8315">
        <v>37.4</v>
      </c>
      <c r="AE8315" s="74"/>
      <c r="AF8315" s="77"/>
      <c r="AH8315" s="497">
        <v>39.200000000000003</v>
      </c>
      <c r="AJ8315" s="42"/>
      <c r="AK8315" s="74"/>
      <c r="AL8315" s="77"/>
      <c r="AN8315" s="497">
        <v>32</v>
      </c>
      <c r="AP8315" s="42"/>
      <c r="AQ8315" s="74"/>
      <c r="AR8315" s="77"/>
      <c r="AT8315" s="497">
        <v>30.02</v>
      </c>
      <c r="AV8315" s="42"/>
      <c r="AW8315" s="74"/>
      <c r="AX8315" s="77"/>
      <c r="BA8315" s="497">
        <v>17.059999999999999</v>
      </c>
      <c r="BB8315" s="42"/>
      <c r="BC8315" s="74"/>
      <c r="BD8315" s="77"/>
      <c r="BF8315">
        <v>30.92</v>
      </c>
      <c r="BH8315" s="42"/>
      <c r="BI8315" s="74"/>
      <c r="BJ8315" s="77"/>
      <c r="BL8315" s="497">
        <v>28.04</v>
      </c>
      <c r="BN8315" s="42"/>
      <c r="BO8315" s="74"/>
      <c r="BP8315" s="77"/>
      <c r="BR8315" s="497">
        <v>32</v>
      </c>
      <c r="BT8315" s="42"/>
    </row>
    <row r="8316" spans="1:72" x14ac:dyDescent="0.25">
      <c r="A8316" s="90">
        <v>35776</v>
      </c>
      <c r="B8316" s="20">
        <v>0.75</v>
      </c>
      <c r="D8316">
        <v>39.019999999999996</v>
      </c>
      <c r="E8316" t="str">
        <f t="shared" si="294"/>
        <v>WEEKDAY</v>
      </c>
      <c r="F8316" t="e">
        <f t="shared" si="295"/>
        <v>#N/A</v>
      </c>
      <c r="G8316" s="74">
        <v>28471</v>
      </c>
      <c r="H8316" s="77">
        <v>0.75</v>
      </c>
      <c r="J8316">
        <v>26.96</v>
      </c>
      <c r="M8316" s="74">
        <v>36872</v>
      </c>
      <c r="N8316" s="77">
        <v>0.75</v>
      </c>
      <c r="P8316">
        <v>32</v>
      </c>
      <c r="S8316" s="74">
        <v>35776</v>
      </c>
      <c r="T8316" s="77">
        <v>0.75</v>
      </c>
      <c r="V8316">
        <v>39.019999999999996</v>
      </c>
      <c r="X8316" s="42"/>
      <c r="AB8316">
        <v>40.6</v>
      </c>
      <c r="AC8316">
        <v>37.4</v>
      </c>
      <c r="AE8316" s="74"/>
      <c r="AF8316" s="77"/>
      <c r="AH8316" s="497">
        <v>37.4</v>
      </c>
      <c r="AJ8316" s="42"/>
      <c r="AK8316" s="74"/>
      <c r="AL8316" s="77"/>
      <c r="AN8316" s="497">
        <v>30.92</v>
      </c>
      <c r="AP8316" s="42"/>
      <c r="AQ8316" s="74"/>
      <c r="AR8316" s="77"/>
      <c r="AT8316" s="497">
        <v>30.02</v>
      </c>
      <c r="AV8316" s="42"/>
      <c r="AW8316" s="74"/>
      <c r="AX8316" s="77"/>
      <c r="BA8316" s="497">
        <v>17.059999999999999</v>
      </c>
      <c r="BB8316" s="42"/>
      <c r="BC8316" s="74"/>
      <c r="BD8316" s="77"/>
      <c r="BF8316">
        <v>32</v>
      </c>
      <c r="BH8316" s="42"/>
      <c r="BI8316" s="74"/>
      <c r="BJ8316" s="77"/>
      <c r="BL8316" s="497">
        <v>30.02</v>
      </c>
      <c r="BN8316" s="42"/>
      <c r="BO8316" s="74"/>
      <c r="BP8316" s="77"/>
      <c r="BR8316" s="497">
        <v>33.08</v>
      </c>
      <c r="BT8316" s="42"/>
    </row>
    <row r="8317" spans="1:72" x14ac:dyDescent="0.25">
      <c r="A8317" s="90">
        <v>35776</v>
      </c>
      <c r="B8317" s="20">
        <v>0.79166666666666663</v>
      </c>
      <c r="D8317">
        <v>37.94</v>
      </c>
      <c r="E8317" t="str">
        <f t="shared" si="294"/>
        <v>WEEKDAY</v>
      </c>
      <c r="F8317" t="e">
        <f t="shared" si="295"/>
        <v>#N/A</v>
      </c>
      <c r="G8317" s="74">
        <v>28471</v>
      </c>
      <c r="H8317" s="77">
        <v>0.79166666666666663</v>
      </c>
      <c r="J8317">
        <v>26.96</v>
      </c>
      <c r="M8317" s="74">
        <v>36872</v>
      </c>
      <c r="N8317" s="77">
        <v>0.79166666666666663</v>
      </c>
      <c r="P8317">
        <v>28.4</v>
      </c>
      <c r="S8317" s="74">
        <v>35776</v>
      </c>
      <c r="T8317" s="77">
        <v>0.79166666666666663</v>
      </c>
      <c r="V8317">
        <v>39.019999999999996</v>
      </c>
      <c r="X8317" s="42"/>
      <c r="AB8317">
        <v>40.1</v>
      </c>
      <c r="AC8317">
        <v>35.6</v>
      </c>
      <c r="AE8317" s="74"/>
      <c r="AF8317" s="77"/>
      <c r="AH8317" s="497">
        <v>39.200000000000003</v>
      </c>
      <c r="AJ8317" s="42"/>
      <c r="AK8317" s="74"/>
      <c r="AL8317" s="77"/>
      <c r="AN8317" s="497">
        <v>28.94</v>
      </c>
      <c r="AP8317" s="42"/>
      <c r="AQ8317" s="74"/>
      <c r="AR8317" s="77"/>
      <c r="AT8317" s="497">
        <v>30.02</v>
      </c>
      <c r="AV8317" s="42"/>
      <c r="AW8317" s="74"/>
      <c r="AX8317" s="77"/>
      <c r="BA8317" s="497">
        <v>17.059999999999999</v>
      </c>
      <c r="BB8317" s="42"/>
      <c r="BC8317" s="74"/>
      <c r="BD8317" s="77"/>
      <c r="BF8317">
        <v>30.92</v>
      </c>
      <c r="BH8317" s="42"/>
      <c r="BI8317" s="74"/>
      <c r="BJ8317" s="77"/>
      <c r="BL8317" s="497">
        <v>30.02</v>
      </c>
      <c r="BN8317" s="42"/>
      <c r="BO8317" s="74"/>
      <c r="BP8317" s="77"/>
      <c r="BR8317" s="497">
        <v>32</v>
      </c>
      <c r="BT8317" s="42"/>
    </row>
    <row r="8318" spans="1:72" x14ac:dyDescent="0.25">
      <c r="A8318" s="90">
        <v>35776</v>
      </c>
      <c r="B8318" s="20">
        <v>0.83333333333333337</v>
      </c>
      <c r="D8318">
        <v>37.94</v>
      </c>
      <c r="E8318" t="str">
        <f t="shared" si="294"/>
        <v>WEEKDAY</v>
      </c>
      <c r="F8318" t="e">
        <f t="shared" si="295"/>
        <v>#N/A</v>
      </c>
      <c r="G8318" s="74">
        <v>28471</v>
      </c>
      <c r="H8318" s="77">
        <v>0.83333333333333337</v>
      </c>
      <c r="J8318">
        <v>28.04</v>
      </c>
      <c r="M8318" s="74">
        <v>36872</v>
      </c>
      <c r="N8318" s="77">
        <v>0.83333333333333337</v>
      </c>
      <c r="P8318">
        <v>28.4</v>
      </c>
      <c r="S8318" s="74">
        <v>35776</v>
      </c>
      <c r="T8318" s="77">
        <v>0.83333333333333337</v>
      </c>
      <c r="V8318">
        <v>37.04</v>
      </c>
      <c r="X8318" s="42"/>
      <c r="AB8318">
        <v>39.9</v>
      </c>
      <c r="AC8318">
        <v>33.799999999999997</v>
      </c>
      <c r="AE8318" s="74"/>
      <c r="AF8318" s="77"/>
      <c r="AH8318" s="497">
        <v>39.200000000000003</v>
      </c>
      <c r="AJ8318" s="42"/>
      <c r="AK8318" s="74"/>
      <c r="AL8318" s="77"/>
      <c r="AN8318" s="497">
        <v>28.94</v>
      </c>
      <c r="AP8318" s="42"/>
      <c r="AQ8318" s="74"/>
      <c r="AR8318" s="77"/>
      <c r="AT8318" s="497">
        <v>29.66</v>
      </c>
      <c r="AV8318" s="42"/>
      <c r="AW8318" s="74"/>
      <c r="AX8318" s="77"/>
      <c r="BA8318" s="497">
        <v>17.78</v>
      </c>
      <c r="BB8318" s="42"/>
      <c r="BC8318" s="74"/>
      <c r="BD8318" s="77"/>
      <c r="BF8318">
        <v>30.02</v>
      </c>
      <c r="BH8318" s="42"/>
      <c r="BI8318" s="74"/>
      <c r="BJ8318" s="77"/>
      <c r="BL8318" s="497">
        <v>30.92</v>
      </c>
      <c r="BN8318" s="42"/>
      <c r="BO8318" s="74"/>
      <c r="BP8318" s="77"/>
      <c r="BR8318" s="497">
        <v>30.92</v>
      </c>
      <c r="BT8318" s="42"/>
    </row>
    <row r="8319" spans="1:72" x14ac:dyDescent="0.25">
      <c r="A8319" s="90">
        <v>35776</v>
      </c>
      <c r="B8319" s="20">
        <v>0.875</v>
      </c>
      <c r="D8319">
        <v>37.94</v>
      </c>
      <c r="E8319" t="str">
        <f t="shared" si="294"/>
        <v>WEEKDAY</v>
      </c>
      <c r="F8319" t="e">
        <f t="shared" si="295"/>
        <v>#N/A</v>
      </c>
      <c r="G8319" s="74">
        <v>28471</v>
      </c>
      <c r="H8319" s="77">
        <v>0.875</v>
      </c>
      <c r="J8319">
        <v>30.92</v>
      </c>
      <c r="M8319" s="74">
        <v>36872</v>
      </c>
      <c r="N8319" s="77">
        <v>0.875</v>
      </c>
      <c r="P8319">
        <v>26.6</v>
      </c>
      <c r="S8319" s="74">
        <v>35776</v>
      </c>
      <c r="T8319" s="77">
        <v>0.875</v>
      </c>
      <c r="V8319">
        <v>37.04</v>
      </c>
      <c r="X8319" s="42"/>
      <c r="AB8319">
        <v>39.4</v>
      </c>
      <c r="AC8319">
        <v>33.799999999999997</v>
      </c>
      <c r="AE8319" s="74"/>
      <c r="AF8319" s="77"/>
      <c r="AH8319" s="497">
        <v>41</v>
      </c>
      <c r="AJ8319" s="42"/>
      <c r="AK8319" s="74"/>
      <c r="AL8319" s="77"/>
      <c r="AN8319" s="497">
        <v>28.94</v>
      </c>
      <c r="AP8319" s="42"/>
      <c r="AQ8319" s="74"/>
      <c r="AR8319" s="77"/>
      <c r="AT8319" s="497">
        <v>29.3</v>
      </c>
      <c r="AV8319" s="42"/>
      <c r="AW8319" s="74"/>
      <c r="AX8319" s="77"/>
      <c r="BA8319" s="497">
        <v>18.32</v>
      </c>
      <c r="BB8319" s="42"/>
      <c r="BC8319" s="74"/>
      <c r="BD8319" s="77"/>
      <c r="BF8319">
        <v>30.02</v>
      </c>
      <c r="BH8319" s="42"/>
      <c r="BI8319" s="74"/>
      <c r="BJ8319" s="77"/>
      <c r="BL8319" s="497">
        <v>32</v>
      </c>
      <c r="BN8319" s="42"/>
      <c r="BO8319" s="74"/>
      <c r="BP8319" s="77"/>
      <c r="BR8319" s="497">
        <v>30.02</v>
      </c>
      <c r="BT8319" s="42"/>
    </row>
    <row r="8320" spans="1:72" x14ac:dyDescent="0.25">
      <c r="A8320" s="90">
        <v>35776</v>
      </c>
      <c r="B8320" s="20">
        <v>0.91666666666666663</v>
      </c>
      <c r="D8320">
        <v>37.04</v>
      </c>
      <c r="E8320" t="str">
        <f t="shared" si="294"/>
        <v>WEEKDAY</v>
      </c>
      <c r="F8320" t="e">
        <f t="shared" si="295"/>
        <v>#N/A</v>
      </c>
      <c r="G8320" s="74">
        <v>28471</v>
      </c>
      <c r="H8320" s="77">
        <v>0.91666666666666663</v>
      </c>
      <c r="J8320">
        <v>32</v>
      </c>
      <c r="M8320" s="74">
        <v>36872</v>
      </c>
      <c r="N8320" s="77">
        <v>0.91666666666666663</v>
      </c>
      <c r="P8320">
        <v>24.8</v>
      </c>
      <c r="S8320" s="74">
        <v>35776</v>
      </c>
      <c r="T8320" s="77">
        <v>0.91666666666666663</v>
      </c>
      <c r="V8320">
        <v>37.04</v>
      </c>
      <c r="X8320" s="42"/>
      <c r="AB8320">
        <v>38.9</v>
      </c>
      <c r="AC8320">
        <v>33.799999999999997</v>
      </c>
      <c r="AE8320" s="74"/>
      <c r="AF8320" s="77"/>
      <c r="AH8320" s="497">
        <v>39.200000000000003</v>
      </c>
      <c r="AJ8320" s="42"/>
      <c r="AK8320" s="74"/>
      <c r="AL8320" s="77"/>
      <c r="AN8320" s="497">
        <v>30.02</v>
      </c>
      <c r="AP8320" s="42"/>
      <c r="AQ8320" s="74"/>
      <c r="AR8320" s="77"/>
      <c r="AT8320" s="497">
        <v>28.94</v>
      </c>
      <c r="AV8320" s="42"/>
      <c r="AW8320" s="74"/>
      <c r="AX8320" s="77"/>
      <c r="BA8320" s="497">
        <v>19.04</v>
      </c>
      <c r="BB8320" s="42"/>
      <c r="BC8320" s="74"/>
      <c r="BD8320" s="77"/>
      <c r="BF8320">
        <v>32</v>
      </c>
      <c r="BH8320" s="42"/>
      <c r="BI8320" s="74"/>
      <c r="BJ8320" s="77"/>
      <c r="BL8320" s="497">
        <v>35.06</v>
      </c>
      <c r="BN8320" s="42"/>
      <c r="BO8320" s="74"/>
      <c r="BP8320" s="77"/>
      <c r="BR8320" s="497">
        <v>30.02</v>
      </c>
      <c r="BT8320" s="42"/>
    </row>
    <row r="8321" spans="1:72" x14ac:dyDescent="0.25">
      <c r="A8321" s="90">
        <v>35776</v>
      </c>
      <c r="B8321" s="20">
        <v>0.95833333333333337</v>
      </c>
      <c r="D8321">
        <v>35.96</v>
      </c>
      <c r="E8321" t="str">
        <f t="shared" si="294"/>
        <v>WEEKDAY</v>
      </c>
      <c r="F8321" t="e">
        <f t="shared" si="295"/>
        <v>#N/A</v>
      </c>
      <c r="G8321" s="74">
        <v>28471</v>
      </c>
      <c r="H8321" s="77">
        <v>0.95833333333333337</v>
      </c>
      <c r="J8321">
        <v>32</v>
      </c>
      <c r="M8321" s="74">
        <v>36872</v>
      </c>
      <c r="N8321" s="77">
        <v>0.95833333333333337</v>
      </c>
      <c r="P8321">
        <v>24.8</v>
      </c>
      <c r="S8321" s="74">
        <v>35776</v>
      </c>
      <c r="T8321" s="77">
        <v>0.95833333333333337</v>
      </c>
      <c r="V8321">
        <v>37.04</v>
      </c>
      <c r="X8321" s="42"/>
      <c r="AB8321">
        <v>38.4</v>
      </c>
      <c r="AC8321">
        <v>33.799999999999997</v>
      </c>
      <c r="AE8321" s="74"/>
      <c r="AF8321" s="77"/>
      <c r="AH8321" s="497">
        <v>39.200000000000003</v>
      </c>
      <c r="AJ8321" s="42"/>
      <c r="AK8321" s="74"/>
      <c r="AL8321" s="77"/>
      <c r="AN8321" s="497">
        <v>30.02</v>
      </c>
      <c r="AP8321" s="42"/>
      <c r="AQ8321" s="74"/>
      <c r="AR8321" s="77"/>
      <c r="AT8321" s="497">
        <v>28.94</v>
      </c>
      <c r="AV8321" s="42"/>
      <c r="AW8321" s="74"/>
      <c r="AX8321" s="77"/>
      <c r="BA8321" s="497">
        <v>19.04</v>
      </c>
      <c r="BB8321" s="42"/>
      <c r="BC8321" s="74"/>
      <c r="BD8321" s="77"/>
      <c r="BF8321">
        <v>32</v>
      </c>
      <c r="BH8321" s="42"/>
      <c r="BI8321" s="74"/>
      <c r="BJ8321" s="77"/>
      <c r="BL8321" s="497">
        <v>35.06</v>
      </c>
      <c r="BN8321" s="42"/>
      <c r="BO8321" s="74"/>
      <c r="BP8321" s="77"/>
      <c r="BR8321" s="497">
        <v>30.92</v>
      </c>
      <c r="BT8321" s="42"/>
    </row>
    <row r="8322" spans="1:72" x14ac:dyDescent="0.25">
      <c r="A8322" s="90">
        <v>35776</v>
      </c>
      <c r="B8322" s="20">
        <v>1</v>
      </c>
      <c r="D8322">
        <v>35.96</v>
      </c>
      <c r="E8322" t="str">
        <f t="shared" si="294"/>
        <v>WEEKDAY</v>
      </c>
      <c r="F8322" t="e">
        <f t="shared" si="295"/>
        <v>#N/A</v>
      </c>
      <c r="G8322" s="74">
        <v>28471</v>
      </c>
      <c r="H8322" s="77">
        <v>1</v>
      </c>
      <c r="J8322">
        <v>32</v>
      </c>
      <c r="M8322" s="74">
        <v>36872</v>
      </c>
      <c r="N8322" s="80">
        <v>1</v>
      </c>
      <c r="P8322">
        <v>23</v>
      </c>
      <c r="S8322" s="74">
        <v>35776</v>
      </c>
      <c r="T8322" s="80">
        <v>1</v>
      </c>
      <c r="V8322">
        <v>37.94</v>
      </c>
      <c r="X8322" s="42"/>
      <c r="AB8322">
        <v>38</v>
      </c>
      <c r="AC8322">
        <v>33.799999999999997</v>
      </c>
      <c r="AE8322" s="74"/>
      <c r="AF8322" s="80"/>
      <c r="AH8322" s="497">
        <v>39.200000000000003</v>
      </c>
      <c r="AJ8322" s="42"/>
      <c r="AK8322" s="74"/>
      <c r="AL8322" s="80"/>
      <c r="AN8322" s="497">
        <v>30.02</v>
      </c>
      <c r="AP8322" s="42"/>
      <c r="AQ8322" s="74"/>
      <c r="AR8322" s="80"/>
      <c r="AT8322" s="497">
        <v>28.94</v>
      </c>
      <c r="AV8322" s="42"/>
      <c r="AW8322" s="74"/>
      <c r="AX8322" s="80"/>
      <c r="BA8322" s="497">
        <v>19.04</v>
      </c>
      <c r="BB8322" s="42"/>
      <c r="BC8322" s="74"/>
      <c r="BD8322" s="80"/>
      <c r="BF8322">
        <v>33.979999999999997</v>
      </c>
      <c r="BH8322" s="42"/>
      <c r="BI8322" s="74"/>
      <c r="BJ8322" s="80"/>
      <c r="BL8322" s="497">
        <v>33.979999999999997</v>
      </c>
      <c r="BN8322" s="42"/>
      <c r="BO8322" s="74"/>
      <c r="BP8322" s="80"/>
      <c r="BR8322" s="497">
        <v>30.92</v>
      </c>
      <c r="BT8322" s="42"/>
    </row>
    <row r="8323" spans="1:72" x14ac:dyDescent="0.25">
      <c r="A8323" s="90">
        <v>35777</v>
      </c>
      <c r="B8323" s="20">
        <v>4.1666666666666664E-2</v>
      </c>
      <c r="D8323">
        <v>33.979999999999997</v>
      </c>
      <c r="E8323" t="str">
        <f t="shared" si="294"/>
        <v>SATURDAY</v>
      </c>
      <c r="F8323" t="e">
        <f t="shared" si="295"/>
        <v>#N/A</v>
      </c>
      <c r="G8323" s="74">
        <v>28472</v>
      </c>
      <c r="H8323" s="77">
        <v>4.1666666666666664E-2</v>
      </c>
      <c r="J8323">
        <v>33.979999999999997</v>
      </c>
      <c r="M8323" s="74">
        <v>36873</v>
      </c>
      <c r="N8323" s="77">
        <v>4.1666666666666664E-2</v>
      </c>
      <c r="P8323">
        <v>21.2</v>
      </c>
      <c r="S8323" s="74">
        <v>35777</v>
      </c>
      <c r="T8323" s="77">
        <v>4.1666666666666664E-2</v>
      </c>
      <c r="V8323">
        <v>37.04</v>
      </c>
      <c r="X8323" s="42"/>
      <c r="AB8323">
        <v>37.700000000000003</v>
      </c>
      <c r="AC8323">
        <v>30.2</v>
      </c>
      <c r="AE8323" s="74"/>
      <c r="AF8323" s="77"/>
      <c r="AH8323" s="497">
        <v>39.200000000000003</v>
      </c>
      <c r="AJ8323" s="42"/>
      <c r="AK8323" s="74"/>
      <c r="AL8323" s="77"/>
      <c r="AN8323" s="497">
        <v>28.04</v>
      </c>
      <c r="AP8323" s="42"/>
      <c r="AQ8323" s="74"/>
      <c r="AR8323" s="77"/>
      <c r="AT8323" s="497">
        <v>28.94</v>
      </c>
      <c r="AV8323" s="42"/>
      <c r="AW8323" s="74"/>
      <c r="AX8323" s="77"/>
      <c r="BA8323" s="497">
        <v>19.04</v>
      </c>
      <c r="BB8323" s="42"/>
      <c r="BC8323" s="74"/>
      <c r="BD8323" s="77"/>
      <c r="BF8323">
        <v>35.06</v>
      </c>
      <c r="BH8323" s="42"/>
      <c r="BI8323" s="74"/>
      <c r="BJ8323" s="77"/>
      <c r="BL8323" s="497">
        <v>33.979999999999997</v>
      </c>
      <c r="BN8323" s="42"/>
      <c r="BO8323" s="74"/>
      <c r="BP8323" s="77"/>
      <c r="BR8323" s="497">
        <v>32</v>
      </c>
      <c r="BT8323" s="42"/>
    </row>
    <row r="8324" spans="1:72" x14ac:dyDescent="0.25">
      <c r="A8324" s="90">
        <v>35777</v>
      </c>
      <c r="B8324" s="20">
        <v>8.3333333333333329E-2</v>
      </c>
      <c r="D8324">
        <v>33.979999999999997</v>
      </c>
      <c r="E8324" t="str">
        <f t="shared" si="294"/>
        <v>SATURDAY</v>
      </c>
      <c r="F8324" t="e">
        <f t="shared" si="295"/>
        <v>#N/A</v>
      </c>
      <c r="G8324" s="74">
        <v>28472</v>
      </c>
      <c r="H8324" s="77">
        <v>8.3333333333333329E-2</v>
      </c>
      <c r="J8324">
        <v>33.979999999999997</v>
      </c>
      <c r="M8324" s="74">
        <v>36873</v>
      </c>
      <c r="N8324" s="77">
        <v>8.3333333333333329E-2</v>
      </c>
      <c r="P8324">
        <v>21.2</v>
      </c>
      <c r="S8324" s="74">
        <v>35777</v>
      </c>
      <c r="T8324" s="77">
        <v>8.3333333333333329E-2</v>
      </c>
      <c r="V8324">
        <v>35.96</v>
      </c>
      <c r="X8324" s="42"/>
      <c r="AB8324">
        <v>37.299999999999997</v>
      </c>
      <c r="AC8324">
        <v>32</v>
      </c>
      <c r="AE8324" s="74"/>
      <c r="AF8324" s="77"/>
      <c r="AH8324" s="497">
        <v>39.200000000000003</v>
      </c>
      <c r="AJ8324" s="42"/>
      <c r="AK8324" s="74"/>
      <c r="AL8324" s="77"/>
      <c r="AN8324" s="497">
        <v>28.94</v>
      </c>
      <c r="AP8324" s="42"/>
      <c r="AQ8324" s="74"/>
      <c r="AR8324" s="77"/>
      <c r="AT8324" s="497">
        <v>29.66</v>
      </c>
      <c r="AV8324" s="42"/>
      <c r="AW8324" s="74"/>
      <c r="AX8324" s="77"/>
      <c r="BA8324" s="497">
        <v>19.399999999999999</v>
      </c>
      <c r="BB8324" s="42"/>
      <c r="BC8324" s="74"/>
      <c r="BD8324" s="77"/>
      <c r="BF8324">
        <v>33.979999999999997</v>
      </c>
      <c r="BH8324" s="42"/>
      <c r="BI8324" s="74"/>
      <c r="BJ8324" s="77"/>
      <c r="BL8324" s="497">
        <v>33.979999999999997</v>
      </c>
      <c r="BN8324" s="42"/>
      <c r="BO8324" s="74"/>
      <c r="BP8324" s="77"/>
      <c r="BR8324" s="497">
        <v>33.08</v>
      </c>
      <c r="BT8324" s="42"/>
    </row>
    <row r="8325" spans="1:72" x14ac:dyDescent="0.25">
      <c r="A8325" s="90">
        <v>35777</v>
      </c>
      <c r="B8325" s="20">
        <v>0.125</v>
      </c>
      <c r="D8325">
        <v>33.08</v>
      </c>
      <c r="E8325" t="str">
        <f t="shared" si="294"/>
        <v>SATURDAY</v>
      </c>
      <c r="F8325" t="e">
        <f t="shared" si="295"/>
        <v>#N/A</v>
      </c>
      <c r="G8325" s="74">
        <v>28472</v>
      </c>
      <c r="H8325" s="77">
        <v>0.125</v>
      </c>
      <c r="J8325">
        <v>33.979999999999997</v>
      </c>
      <c r="M8325" s="74">
        <v>36873</v>
      </c>
      <c r="N8325" s="77">
        <v>0.125</v>
      </c>
      <c r="P8325">
        <v>21.2</v>
      </c>
      <c r="S8325" s="74">
        <v>35777</v>
      </c>
      <c r="T8325" s="77">
        <v>0.125</v>
      </c>
      <c r="V8325">
        <v>35.96</v>
      </c>
      <c r="X8325" s="42"/>
      <c r="AB8325">
        <v>36.9</v>
      </c>
      <c r="AC8325">
        <v>35.6</v>
      </c>
      <c r="AE8325" s="74"/>
      <c r="AF8325" s="77"/>
      <c r="AH8325" s="497">
        <v>41</v>
      </c>
      <c r="AJ8325" s="42"/>
      <c r="AK8325" s="74"/>
      <c r="AL8325" s="77"/>
      <c r="AN8325" s="497">
        <v>28.94</v>
      </c>
      <c r="AP8325" s="42"/>
      <c r="AQ8325" s="74"/>
      <c r="AR8325" s="77"/>
      <c r="AT8325" s="497">
        <v>30.2</v>
      </c>
      <c r="AV8325" s="42"/>
      <c r="AW8325" s="74"/>
      <c r="AX8325" s="77"/>
      <c r="BA8325" s="497">
        <v>19.579999999999998</v>
      </c>
      <c r="BB8325" s="42"/>
      <c r="BC8325" s="74"/>
      <c r="BD8325" s="77"/>
      <c r="BF8325">
        <v>35.06</v>
      </c>
      <c r="BH8325" s="42"/>
      <c r="BI8325" s="74"/>
      <c r="BJ8325" s="77"/>
      <c r="BL8325" s="497">
        <v>35.06</v>
      </c>
      <c r="BN8325" s="42"/>
      <c r="BO8325" s="74"/>
      <c r="BP8325" s="77"/>
      <c r="BR8325" s="497">
        <v>33.08</v>
      </c>
      <c r="BT8325" s="42"/>
    </row>
    <row r="8326" spans="1:72" x14ac:dyDescent="0.25">
      <c r="A8326" s="90">
        <v>35777</v>
      </c>
      <c r="B8326" s="20">
        <v>0.16666666666666666</v>
      </c>
      <c r="D8326">
        <v>32</v>
      </c>
      <c r="E8326" t="str">
        <f t="shared" si="294"/>
        <v>SATURDAY</v>
      </c>
      <c r="F8326" t="e">
        <f t="shared" si="295"/>
        <v>#N/A</v>
      </c>
      <c r="G8326" s="74">
        <v>28472</v>
      </c>
      <c r="H8326" s="77">
        <v>0.16666666666666666</v>
      </c>
      <c r="J8326">
        <v>33.979999999999997</v>
      </c>
      <c r="M8326" s="74">
        <v>36873</v>
      </c>
      <c r="N8326" s="77">
        <v>0.16666666666666666</v>
      </c>
      <c r="P8326">
        <v>19.399999999999999</v>
      </c>
      <c r="S8326" s="74">
        <v>35777</v>
      </c>
      <c r="T8326" s="77">
        <v>0.16666666666666666</v>
      </c>
      <c r="V8326">
        <v>35.06</v>
      </c>
      <c r="X8326" s="42"/>
      <c r="AB8326">
        <v>36.6</v>
      </c>
      <c r="AC8326">
        <v>35.6</v>
      </c>
      <c r="AE8326" s="74"/>
      <c r="AF8326" s="77"/>
      <c r="AH8326" s="497">
        <v>41</v>
      </c>
      <c r="AJ8326" s="42"/>
      <c r="AK8326" s="74"/>
      <c r="AL8326" s="77"/>
      <c r="AN8326" s="497">
        <v>30.02</v>
      </c>
      <c r="AP8326" s="42"/>
      <c r="AQ8326" s="74"/>
      <c r="AR8326" s="77"/>
      <c r="AT8326" s="497">
        <v>30.92</v>
      </c>
      <c r="AV8326" s="42"/>
      <c r="AW8326" s="74"/>
      <c r="AX8326" s="77"/>
      <c r="BA8326" s="497">
        <v>19.939999999999998</v>
      </c>
      <c r="BB8326" s="42"/>
      <c r="BC8326" s="74"/>
      <c r="BD8326" s="77"/>
      <c r="BF8326">
        <v>33.979999999999997</v>
      </c>
      <c r="BH8326" s="42"/>
      <c r="BI8326" s="74"/>
      <c r="BJ8326" s="77"/>
      <c r="BL8326" s="497">
        <v>35.06</v>
      </c>
      <c r="BN8326" s="42"/>
      <c r="BO8326" s="74"/>
      <c r="BP8326" s="77"/>
      <c r="BR8326" s="497">
        <v>33.08</v>
      </c>
      <c r="BT8326" s="42"/>
    </row>
    <row r="8327" spans="1:72" x14ac:dyDescent="0.25">
      <c r="A8327" s="90">
        <v>35777</v>
      </c>
      <c r="B8327" s="20">
        <v>0.20833333333333334</v>
      </c>
      <c r="D8327">
        <v>32</v>
      </c>
      <c r="E8327" t="str">
        <f t="shared" si="294"/>
        <v>SATURDAY</v>
      </c>
      <c r="F8327" t="e">
        <f t="shared" si="295"/>
        <v>#N/A</v>
      </c>
      <c r="G8327" s="74">
        <v>28472</v>
      </c>
      <c r="H8327" s="77">
        <v>0.20833333333333334</v>
      </c>
      <c r="J8327">
        <v>33.08</v>
      </c>
      <c r="M8327" s="74">
        <v>36873</v>
      </c>
      <c r="N8327" s="77">
        <v>0.20833333333333334</v>
      </c>
      <c r="P8327">
        <v>19.399999999999999</v>
      </c>
      <c r="S8327" s="74">
        <v>35777</v>
      </c>
      <c r="T8327" s="77">
        <v>0.20833333333333334</v>
      </c>
      <c r="V8327">
        <v>35.06</v>
      </c>
      <c r="X8327" s="42"/>
      <c r="AB8327">
        <v>36.200000000000003</v>
      </c>
      <c r="AC8327">
        <v>33.799999999999997</v>
      </c>
      <c r="AE8327" s="74"/>
      <c r="AF8327" s="77"/>
      <c r="AH8327" s="497">
        <v>37.4</v>
      </c>
      <c r="AJ8327" s="42"/>
      <c r="AK8327" s="74"/>
      <c r="AL8327" s="77"/>
      <c r="AN8327" s="497">
        <v>30.02</v>
      </c>
      <c r="AP8327" s="42"/>
      <c r="AQ8327" s="74"/>
      <c r="AR8327" s="77"/>
      <c r="AT8327" s="497">
        <v>31.28</v>
      </c>
      <c r="AV8327" s="42"/>
      <c r="AW8327" s="74"/>
      <c r="AX8327" s="77"/>
      <c r="BA8327" s="497">
        <v>20.66</v>
      </c>
      <c r="BB8327" s="42"/>
      <c r="BC8327" s="74"/>
      <c r="BD8327" s="77"/>
      <c r="BF8327">
        <v>33.979999999999997</v>
      </c>
      <c r="BH8327" s="42"/>
      <c r="BI8327" s="74"/>
      <c r="BJ8327" s="77"/>
      <c r="BL8327" s="497">
        <v>35.96</v>
      </c>
      <c r="BN8327" s="42"/>
      <c r="BO8327" s="74"/>
      <c r="BP8327" s="77"/>
      <c r="BR8327" s="497">
        <v>30.92</v>
      </c>
      <c r="BT8327" s="42"/>
    </row>
    <row r="8328" spans="1:72" x14ac:dyDescent="0.25">
      <c r="A8328" s="90">
        <v>35777</v>
      </c>
      <c r="B8328" s="20">
        <v>0.25</v>
      </c>
      <c r="D8328">
        <v>30.92</v>
      </c>
      <c r="E8328" t="str">
        <f t="shared" si="294"/>
        <v>SATURDAY</v>
      </c>
      <c r="F8328" t="e">
        <f t="shared" si="295"/>
        <v>#N/A</v>
      </c>
      <c r="G8328" s="74">
        <v>28472</v>
      </c>
      <c r="H8328" s="77">
        <v>0.25</v>
      </c>
      <c r="J8328">
        <v>35.06</v>
      </c>
      <c r="M8328" s="74">
        <v>36873</v>
      </c>
      <c r="N8328" s="77">
        <v>0.25</v>
      </c>
      <c r="P8328">
        <v>19.399999999999999</v>
      </c>
      <c r="S8328" s="74">
        <v>35777</v>
      </c>
      <c r="T8328" s="77">
        <v>0.25</v>
      </c>
      <c r="V8328">
        <v>35.06</v>
      </c>
      <c r="X8328" s="42"/>
      <c r="AB8328">
        <v>36.1</v>
      </c>
      <c r="AC8328">
        <v>35.6</v>
      </c>
      <c r="AE8328" s="74"/>
      <c r="AF8328" s="77"/>
      <c r="AH8328" s="497">
        <v>41</v>
      </c>
      <c r="AJ8328" s="42"/>
      <c r="AK8328" s="74"/>
      <c r="AL8328" s="77"/>
      <c r="AN8328" s="497">
        <v>30.92</v>
      </c>
      <c r="AP8328" s="42"/>
      <c r="AQ8328" s="74"/>
      <c r="AR8328" s="77"/>
      <c r="AT8328" s="497">
        <v>31.64</v>
      </c>
      <c r="AV8328" s="42"/>
      <c r="AW8328" s="74"/>
      <c r="AX8328" s="77"/>
      <c r="BA8328" s="497">
        <v>21.2</v>
      </c>
      <c r="BB8328" s="42"/>
      <c r="BC8328" s="74"/>
      <c r="BD8328" s="77"/>
      <c r="BF8328">
        <v>33.979999999999997</v>
      </c>
      <c r="BH8328" s="42"/>
      <c r="BI8328" s="74"/>
      <c r="BJ8328" s="77"/>
      <c r="BL8328" s="497">
        <v>35.96</v>
      </c>
      <c r="BN8328" s="42"/>
      <c r="BO8328" s="74"/>
      <c r="BP8328" s="77"/>
      <c r="BR8328" s="497">
        <v>30.02</v>
      </c>
      <c r="BT8328" s="42"/>
    </row>
    <row r="8329" spans="1:72" x14ac:dyDescent="0.25">
      <c r="A8329" s="90">
        <v>35777</v>
      </c>
      <c r="B8329" s="20">
        <v>0.29166666666666669</v>
      </c>
      <c r="D8329">
        <v>30.92</v>
      </c>
      <c r="E8329" t="str">
        <f t="shared" si="294"/>
        <v>SATURDAY</v>
      </c>
      <c r="F8329" t="e">
        <f t="shared" si="295"/>
        <v>#N/A</v>
      </c>
      <c r="G8329" s="74">
        <v>28472</v>
      </c>
      <c r="H8329" s="77">
        <v>0.29166666666666669</v>
      </c>
      <c r="J8329">
        <v>35.96</v>
      </c>
      <c r="M8329" s="74">
        <v>36873</v>
      </c>
      <c r="N8329" s="77">
        <v>0.29166666666666669</v>
      </c>
      <c r="P8329">
        <v>17.600000000000001</v>
      </c>
      <c r="S8329" s="74">
        <v>35777</v>
      </c>
      <c r="T8329" s="77">
        <v>0.29166666666666669</v>
      </c>
      <c r="V8329">
        <v>33.979999999999997</v>
      </c>
      <c r="X8329" s="42"/>
      <c r="AB8329">
        <v>36</v>
      </c>
      <c r="AC8329">
        <v>33.799999999999997</v>
      </c>
      <c r="AE8329" s="74"/>
      <c r="AF8329" s="77"/>
      <c r="AH8329" s="497">
        <v>39.200000000000003</v>
      </c>
      <c r="AJ8329" s="42"/>
      <c r="AK8329" s="74"/>
      <c r="AL8329" s="77"/>
      <c r="AN8329" s="497">
        <v>30.92</v>
      </c>
      <c r="AP8329" s="42"/>
      <c r="AQ8329" s="74"/>
      <c r="AR8329" s="77"/>
      <c r="AT8329" s="497">
        <v>32</v>
      </c>
      <c r="AV8329" s="42"/>
      <c r="AW8329" s="74"/>
      <c r="AX8329" s="77"/>
      <c r="BA8329" s="497">
        <v>21.92</v>
      </c>
      <c r="BB8329" s="42"/>
      <c r="BC8329" s="74"/>
      <c r="BD8329" s="77"/>
      <c r="BF8329">
        <v>35.06</v>
      </c>
      <c r="BH8329" s="42"/>
      <c r="BI8329" s="74"/>
      <c r="BJ8329" s="77"/>
      <c r="BL8329" s="497">
        <v>35.96</v>
      </c>
      <c r="BN8329" s="42"/>
      <c r="BO8329" s="74"/>
      <c r="BP8329" s="77"/>
      <c r="BR8329" s="497">
        <v>30.92</v>
      </c>
      <c r="BT8329" s="42"/>
    </row>
    <row r="8330" spans="1:72" x14ac:dyDescent="0.25">
      <c r="A8330" s="90">
        <v>35777</v>
      </c>
      <c r="B8330" s="20">
        <v>0.33333333333333331</v>
      </c>
      <c r="D8330">
        <v>30.92</v>
      </c>
      <c r="E8330" t="str">
        <f t="shared" si="294"/>
        <v>SATURDAY</v>
      </c>
      <c r="F8330" t="e">
        <f t="shared" si="295"/>
        <v>#N/A</v>
      </c>
      <c r="G8330" s="74">
        <v>28472</v>
      </c>
      <c r="H8330" s="77">
        <v>0.33333333333333331</v>
      </c>
      <c r="J8330">
        <v>35.96</v>
      </c>
      <c r="M8330" s="74">
        <v>36873</v>
      </c>
      <c r="N8330" s="77">
        <v>0.33333333333333331</v>
      </c>
      <c r="P8330">
        <v>17.600000000000001</v>
      </c>
      <c r="S8330" s="74">
        <v>35777</v>
      </c>
      <c r="T8330" s="77">
        <v>0.33333333333333331</v>
      </c>
      <c r="V8330">
        <v>33.979999999999997</v>
      </c>
      <c r="X8330" s="42"/>
      <c r="AB8330">
        <v>35.9</v>
      </c>
      <c r="AC8330">
        <v>32</v>
      </c>
      <c r="AE8330" s="74"/>
      <c r="AF8330" s="77"/>
      <c r="AH8330" s="497">
        <v>41</v>
      </c>
      <c r="AJ8330" s="42"/>
      <c r="AK8330" s="74"/>
      <c r="AL8330" s="77"/>
      <c r="AN8330" s="497">
        <v>30.92</v>
      </c>
      <c r="AP8330" s="42"/>
      <c r="AQ8330" s="74"/>
      <c r="AR8330" s="77"/>
      <c r="AT8330" s="497">
        <v>32.36</v>
      </c>
      <c r="AV8330" s="42"/>
      <c r="AW8330" s="74"/>
      <c r="AX8330" s="77"/>
      <c r="BA8330" s="497">
        <v>22.64</v>
      </c>
      <c r="BB8330" s="42"/>
      <c r="BC8330" s="74"/>
      <c r="BD8330" s="77"/>
      <c r="BF8330">
        <v>35.06</v>
      </c>
      <c r="BH8330" s="42"/>
      <c r="BI8330" s="74"/>
      <c r="BJ8330" s="77"/>
      <c r="BL8330" s="497">
        <v>37.04</v>
      </c>
      <c r="BN8330" s="42"/>
      <c r="BO8330" s="74"/>
      <c r="BP8330" s="77"/>
      <c r="BR8330" s="497">
        <v>33.08</v>
      </c>
      <c r="BT8330" s="42"/>
    </row>
    <row r="8331" spans="1:72" x14ac:dyDescent="0.25">
      <c r="A8331" s="90">
        <v>35777</v>
      </c>
      <c r="B8331" s="20">
        <v>0.375</v>
      </c>
      <c r="D8331">
        <v>30.92</v>
      </c>
      <c r="E8331" t="str">
        <f t="shared" si="294"/>
        <v>SATURDAY</v>
      </c>
      <c r="F8331" t="e">
        <f t="shared" si="295"/>
        <v>#N/A</v>
      </c>
      <c r="G8331" s="74">
        <v>28472</v>
      </c>
      <c r="H8331" s="77">
        <v>0.375</v>
      </c>
      <c r="J8331">
        <v>35.96</v>
      </c>
      <c r="M8331" s="74">
        <v>36873</v>
      </c>
      <c r="N8331" s="77">
        <v>0.375</v>
      </c>
      <c r="P8331">
        <v>19.399999999999999</v>
      </c>
      <c r="S8331" s="74">
        <v>35777</v>
      </c>
      <c r="T8331" s="77">
        <v>0.375</v>
      </c>
      <c r="V8331">
        <v>33.979999999999997</v>
      </c>
      <c r="X8331" s="42"/>
      <c r="AB8331">
        <v>36.4</v>
      </c>
      <c r="AC8331">
        <v>35.6</v>
      </c>
      <c r="AE8331" s="74"/>
      <c r="AF8331" s="77"/>
      <c r="AH8331" s="497">
        <v>41</v>
      </c>
      <c r="AJ8331" s="42"/>
      <c r="AK8331" s="74"/>
      <c r="AL8331" s="77"/>
      <c r="AN8331" s="497">
        <v>32</v>
      </c>
      <c r="AP8331" s="42"/>
      <c r="AQ8331" s="74"/>
      <c r="AR8331" s="77"/>
      <c r="AT8331" s="497">
        <v>32.72</v>
      </c>
      <c r="AV8331" s="42"/>
      <c r="AW8331" s="74"/>
      <c r="AX8331" s="77"/>
      <c r="BA8331" s="497">
        <v>23.36</v>
      </c>
      <c r="BB8331" s="42"/>
      <c r="BC8331" s="74"/>
      <c r="BD8331" s="77"/>
      <c r="BF8331">
        <v>35.06</v>
      </c>
      <c r="BH8331" s="42"/>
      <c r="BI8331" s="74"/>
      <c r="BJ8331" s="77"/>
      <c r="BL8331" s="497">
        <v>37.04</v>
      </c>
      <c r="BN8331" s="42"/>
      <c r="BO8331" s="74"/>
      <c r="BP8331" s="77"/>
      <c r="BR8331" s="497">
        <v>35.06</v>
      </c>
      <c r="BT8331" s="42"/>
    </row>
    <row r="8332" spans="1:72" x14ac:dyDescent="0.25">
      <c r="A8332" s="90">
        <v>35777</v>
      </c>
      <c r="B8332" s="20">
        <v>0.41666666666666669</v>
      </c>
      <c r="D8332">
        <v>32</v>
      </c>
      <c r="E8332" t="str">
        <f t="shared" si="294"/>
        <v>SATURDAY</v>
      </c>
      <c r="F8332" t="e">
        <f t="shared" si="295"/>
        <v>#N/A</v>
      </c>
      <c r="G8332" s="74">
        <v>28472</v>
      </c>
      <c r="H8332" s="77">
        <v>0.41666666666666669</v>
      </c>
      <c r="J8332">
        <v>35.06</v>
      </c>
      <c r="M8332" s="74">
        <v>36873</v>
      </c>
      <c r="N8332" s="77">
        <v>0.41666666666666669</v>
      </c>
      <c r="P8332">
        <v>23</v>
      </c>
      <c r="S8332" s="74">
        <v>35777</v>
      </c>
      <c r="T8332" s="77">
        <v>0.41666666666666669</v>
      </c>
      <c r="V8332">
        <v>35.96</v>
      </c>
      <c r="X8332" s="42"/>
      <c r="AB8332">
        <v>37.799999999999997</v>
      </c>
      <c r="AC8332">
        <v>39.200000000000003</v>
      </c>
      <c r="AE8332" s="74"/>
      <c r="AF8332" s="77"/>
      <c r="AH8332" s="497">
        <v>41</v>
      </c>
      <c r="AJ8332" s="42"/>
      <c r="AK8332" s="74"/>
      <c r="AL8332" s="77"/>
      <c r="AN8332" s="497">
        <v>33.979999999999997</v>
      </c>
      <c r="AP8332" s="42"/>
      <c r="AQ8332" s="74"/>
      <c r="AR8332" s="77"/>
      <c r="AT8332" s="497">
        <v>33.08</v>
      </c>
      <c r="AV8332" s="42"/>
      <c r="AW8332" s="74"/>
      <c r="AX8332" s="77"/>
      <c r="BA8332" s="497">
        <v>24.08</v>
      </c>
      <c r="BB8332" s="42"/>
      <c r="BC8332" s="74"/>
      <c r="BD8332" s="77"/>
      <c r="BF8332">
        <v>37.04</v>
      </c>
      <c r="BH8332" s="42"/>
      <c r="BI8332" s="74"/>
      <c r="BJ8332" s="77"/>
      <c r="BL8332" s="497">
        <v>37.04</v>
      </c>
      <c r="BN8332" s="42"/>
      <c r="BO8332" s="74"/>
      <c r="BP8332" s="77"/>
      <c r="BR8332" s="497">
        <v>35.06</v>
      </c>
      <c r="BT8332" s="42"/>
    </row>
    <row r="8333" spans="1:72" x14ac:dyDescent="0.25">
      <c r="A8333" s="90">
        <v>35777</v>
      </c>
      <c r="B8333" s="20">
        <v>0.45833333333333331</v>
      </c>
      <c r="D8333">
        <v>32</v>
      </c>
      <c r="E8333" t="str">
        <f t="shared" si="294"/>
        <v>SATURDAY</v>
      </c>
      <c r="F8333" t="e">
        <f t="shared" si="295"/>
        <v>#N/A</v>
      </c>
      <c r="G8333" s="74">
        <v>28472</v>
      </c>
      <c r="H8333" s="77">
        <v>0.45833333333333331</v>
      </c>
      <c r="J8333">
        <v>35.96</v>
      </c>
      <c r="M8333" s="74">
        <v>36873</v>
      </c>
      <c r="N8333" s="77">
        <v>0.45833333333333331</v>
      </c>
      <c r="P8333">
        <v>24.8</v>
      </c>
      <c r="S8333" s="74">
        <v>35777</v>
      </c>
      <c r="T8333" s="77">
        <v>0.45833333333333331</v>
      </c>
      <c r="V8333">
        <v>37.76</v>
      </c>
      <c r="X8333" s="42"/>
      <c r="AB8333">
        <v>39.200000000000003</v>
      </c>
      <c r="AC8333">
        <v>39.200000000000003</v>
      </c>
      <c r="AE8333" s="74"/>
      <c r="AF8333" s="77"/>
      <c r="AH8333" s="497">
        <v>42.8</v>
      </c>
      <c r="AJ8333" s="42"/>
      <c r="AK8333" s="74"/>
      <c r="AL8333" s="77"/>
      <c r="AN8333" s="497">
        <v>35.96</v>
      </c>
      <c r="AP8333" s="42"/>
      <c r="AQ8333" s="74"/>
      <c r="AR8333" s="77"/>
      <c r="AT8333" s="497">
        <v>33.799999999999997</v>
      </c>
      <c r="AV8333" s="42"/>
      <c r="AW8333" s="74"/>
      <c r="AX8333" s="77"/>
      <c r="BA8333" s="497">
        <v>24.439999999999998</v>
      </c>
      <c r="BB8333" s="42"/>
      <c r="BC8333" s="74"/>
      <c r="BD8333" s="77"/>
      <c r="BF8333">
        <v>37.04</v>
      </c>
      <c r="BH8333" s="42"/>
      <c r="BI8333" s="74"/>
      <c r="BJ8333" s="77"/>
      <c r="BL8333" s="497">
        <v>37.04</v>
      </c>
      <c r="BN8333" s="42"/>
      <c r="BO8333" s="74"/>
      <c r="BP8333" s="77"/>
      <c r="BR8333" s="497">
        <v>37.94</v>
      </c>
      <c r="BT8333" s="42"/>
    </row>
    <row r="8334" spans="1:72" x14ac:dyDescent="0.25">
      <c r="A8334" s="90">
        <v>35777</v>
      </c>
      <c r="B8334" s="20">
        <v>0.5</v>
      </c>
      <c r="D8334">
        <v>33.08</v>
      </c>
      <c r="E8334" t="str">
        <f t="shared" si="294"/>
        <v>SATURDAY</v>
      </c>
      <c r="F8334" t="e">
        <f t="shared" si="295"/>
        <v>#N/A</v>
      </c>
      <c r="G8334" s="74">
        <v>28472</v>
      </c>
      <c r="H8334" s="77">
        <v>0.5</v>
      </c>
      <c r="J8334">
        <v>37.94</v>
      </c>
      <c r="M8334" s="74">
        <v>36873</v>
      </c>
      <c r="N8334" s="77">
        <v>0.5</v>
      </c>
      <c r="P8334">
        <v>26.6</v>
      </c>
      <c r="S8334" s="74">
        <v>35777</v>
      </c>
      <c r="T8334" s="77">
        <v>0.5</v>
      </c>
      <c r="V8334">
        <v>37.94</v>
      </c>
      <c r="X8334" s="42"/>
      <c r="AB8334">
        <v>40.4</v>
      </c>
      <c r="AC8334">
        <v>41</v>
      </c>
      <c r="AE8334" s="74"/>
      <c r="AF8334" s="77"/>
      <c r="AH8334" s="497">
        <v>44.6</v>
      </c>
      <c r="AJ8334" s="42"/>
      <c r="AK8334" s="74"/>
      <c r="AL8334" s="77"/>
      <c r="AN8334" s="497">
        <v>37.94</v>
      </c>
      <c r="AP8334" s="42"/>
      <c r="AQ8334" s="74"/>
      <c r="AR8334" s="77"/>
      <c r="AT8334" s="497">
        <v>34.340000000000003</v>
      </c>
      <c r="AV8334" s="42"/>
      <c r="AW8334" s="74"/>
      <c r="AX8334" s="77"/>
      <c r="BA8334" s="497">
        <v>24.62</v>
      </c>
      <c r="BB8334" s="42"/>
      <c r="BC8334" s="74"/>
      <c r="BD8334" s="77"/>
      <c r="BF8334">
        <v>37.04</v>
      </c>
      <c r="BH8334" s="42"/>
      <c r="BI8334" s="74"/>
      <c r="BJ8334" s="77"/>
      <c r="BL8334" s="497">
        <v>37.04</v>
      </c>
      <c r="BN8334" s="42"/>
      <c r="BO8334" s="74"/>
      <c r="BP8334" s="77"/>
      <c r="BR8334" s="497">
        <v>37.94</v>
      </c>
      <c r="BT8334" s="42"/>
    </row>
    <row r="8335" spans="1:72" x14ac:dyDescent="0.25">
      <c r="A8335" s="90">
        <v>35777</v>
      </c>
      <c r="B8335" s="20">
        <v>0.54166666666666663</v>
      </c>
      <c r="D8335">
        <v>33.08</v>
      </c>
      <c r="E8335" t="str">
        <f t="shared" si="294"/>
        <v>SATURDAY</v>
      </c>
      <c r="F8335" t="e">
        <f t="shared" si="295"/>
        <v>#N/A</v>
      </c>
      <c r="G8335" s="74">
        <v>28472</v>
      </c>
      <c r="H8335" s="77">
        <v>0.54166666666666663</v>
      </c>
      <c r="J8335">
        <v>37.94</v>
      </c>
      <c r="M8335" s="74">
        <v>36873</v>
      </c>
      <c r="N8335" s="77">
        <v>0.54166666666666663</v>
      </c>
      <c r="P8335">
        <v>28.4</v>
      </c>
      <c r="S8335" s="74">
        <v>35777</v>
      </c>
      <c r="T8335" s="77">
        <v>0.54166666666666663</v>
      </c>
      <c r="V8335">
        <v>39.019999999999996</v>
      </c>
      <c r="X8335" s="42"/>
      <c r="AB8335">
        <v>41.3</v>
      </c>
      <c r="AC8335">
        <v>41</v>
      </c>
      <c r="AE8335" s="74"/>
      <c r="AF8335" s="77"/>
      <c r="AH8335" s="497">
        <v>44.6</v>
      </c>
      <c r="AJ8335" s="42"/>
      <c r="AK8335" s="74"/>
      <c r="AL8335" s="77"/>
      <c r="AN8335" s="497">
        <v>37.94</v>
      </c>
      <c r="AP8335" s="42"/>
      <c r="AQ8335" s="74"/>
      <c r="AR8335" s="77"/>
      <c r="AT8335" s="497">
        <v>35.06</v>
      </c>
      <c r="AV8335" s="42"/>
      <c r="AW8335" s="74"/>
      <c r="AX8335" s="77"/>
      <c r="BA8335" s="497">
        <v>24.98</v>
      </c>
      <c r="BB8335" s="42"/>
      <c r="BC8335" s="74"/>
      <c r="BD8335" s="77"/>
      <c r="BF8335">
        <v>37.94</v>
      </c>
      <c r="BH8335" s="42"/>
      <c r="BI8335" s="74"/>
      <c r="BJ8335" s="77"/>
      <c r="BL8335" s="497">
        <v>37.04</v>
      </c>
      <c r="BN8335" s="42"/>
      <c r="BO8335" s="74"/>
      <c r="BP8335" s="77"/>
      <c r="BR8335" s="497">
        <v>35.96</v>
      </c>
      <c r="BT8335" s="42"/>
    </row>
    <row r="8336" spans="1:72" x14ac:dyDescent="0.25">
      <c r="A8336" s="90">
        <v>35777</v>
      </c>
      <c r="B8336" s="20">
        <v>0.58333333333333337</v>
      </c>
      <c r="D8336">
        <v>33.08</v>
      </c>
      <c r="E8336" t="str">
        <f t="shared" si="294"/>
        <v>SATURDAY</v>
      </c>
      <c r="F8336" t="e">
        <f t="shared" si="295"/>
        <v>#N/A</v>
      </c>
      <c r="G8336" s="74">
        <v>28472</v>
      </c>
      <c r="H8336" s="77">
        <v>0.58333333333333337</v>
      </c>
      <c r="J8336">
        <v>35.96</v>
      </c>
      <c r="M8336" s="74">
        <v>36873</v>
      </c>
      <c r="N8336" s="77">
        <v>0.58333333333333337</v>
      </c>
      <c r="P8336">
        <v>30.2</v>
      </c>
      <c r="S8336" s="74">
        <v>35777</v>
      </c>
      <c r="T8336" s="77">
        <v>0.58333333333333337</v>
      </c>
      <c r="V8336">
        <v>39.019999999999996</v>
      </c>
      <c r="X8336" s="42"/>
      <c r="AB8336">
        <v>41.9</v>
      </c>
      <c r="AC8336">
        <v>41</v>
      </c>
      <c r="AE8336" s="74"/>
      <c r="AF8336" s="77"/>
      <c r="AH8336" s="497">
        <v>39.200000000000003</v>
      </c>
      <c r="AJ8336" s="42"/>
      <c r="AK8336" s="74"/>
      <c r="AL8336" s="77"/>
      <c r="AN8336" s="497">
        <v>37.94</v>
      </c>
      <c r="AP8336" s="42"/>
      <c r="AQ8336" s="74"/>
      <c r="AR8336" s="77"/>
      <c r="AT8336" s="497">
        <v>36.32</v>
      </c>
      <c r="AV8336" s="42"/>
      <c r="AW8336" s="74"/>
      <c r="AX8336" s="77"/>
      <c r="BA8336" s="497">
        <v>25.7</v>
      </c>
      <c r="BB8336" s="42"/>
      <c r="BC8336" s="74"/>
      <c r="BD8336" s="77"/>
      <c r="BF8336">
        <v>37.04</v>
      </c>
      <c r="BH8336" s="42"/>
      <c r="BI8336" s="74"/>
      <c r="BJ8336" s="77"/>
      <c r="BL8336" s="497">
        <v>37.04</v>
      </c>
      <c r="BN8336" s="42"/>
      <c r="BO8336" s="74"/>
      <c r="BP8336" s="77"/>
      <c r="BR8336" s="497">
        <v>35.06</v>
      </c>
      <c r="BT8336" s="42"/>
    </row>
    <row r="8337" spans="1:72" x14ac:dyDescent="0.25">
      <c r="A8337" s="90">
        <v>35777</v>
      </c>
      <c r="B8337" s="20">
        <v>0.625</v>
      </c>
      <c r="D8337">
        <v>33.08</v>
      </c>
      <c r="E8337" t="str">
        <f t="shared" si="294"/>
        <v>SATURDAY</v>
      </c>
      <c r="F8337" t="e">
        <f t="shared" si="295"/>
        <v>#N/A</v>
      </c>
      <c r="G8337" s="74">
        <v>28472</v>
      </c>
      <c r="H8337" s="77">
        <v>0.625</v>
      </c>
      <c r="J8337">
        <v>35.06</v>
      </c>
      <c r="M8337" s="74">
        <v>36873</v>
      </c>
      <c r="N8337" s="77">
        <v>0.625</v>
      </c>
      <c r="P8337">
        <v>30.2</v>
      </c>
      <c r="S8337" s="74">
        <v>35777</v>
      </c>
      <c r="T8337" s="77">
        <v>0.625</v>
      </c>
      <c r="V8337">
        <v>37.94</v>
      </c>
      <c r="X8337" s="42"/>
      <c r="AB8337">
        <v>42.2</v>
      </c>
      <c r="AC8337">
        <v>39.200000000000003</v>
      </c>
      <c r="AE8337" s="74"/>
      <c r="AF8337" s="77"/>
      <c r="AH8337" s="497">
        <v>42.8</v>
      </c>
      <c r="AJ8337" s="42"/>
      <c r="AK8337" s="74"/>
      <c r="AL8337" s="77"/>
      <c r="AN8337" s="497">
        <v>37.94</v>
      </c>
      <c r="AP8337" s="42"/>
      <c r="AQ8337" s="74"/>
      <c r="AR8337" s="77"/>
      <c r="AT8337" s="497">
        <v>37.76</v>
      </c>
      <c r="AV8337" s="42"/>
      <c r="AW8337" s="74"/>
      <c r="AX8337" s="77"/>
      <c r="BA8337" s="497">
        <v>26.24</v>
      </c>
      <c r="BB8337" s="42"/>
      <c r="BC8337" s="74"/>
      <c r="BD8337" s="77"/>
      <c r="BF8337">
        <v>37.04</v>
      </c>
      <c r="BH8337" s="42"/>
      <c r="BI8337" s="74"/>
      <c r="BJ8337" s="77"/>
      <c r="BL8337" s="497">
        <v>37.04</v>
      </c>
      <c r="BN8337" s="42"/>
      <c r="BO8337" s="74"/>
      <c r="BP8337" s="77"/>
      <c r="BR8337" s="497">
        <v>35.06</v>
      </c>
      <c r="BT8337" s="42"/>
    </row>
    <row r="8338" spans="1:72" x14ac:dyDescent="0.25">
      <c r="A8338" s="90">
        <v>35777</v>
      </c>
      <c r="B8338" s="20">
        <v>0.66666666666666663</v>
      </c>
      <c r="D8338">
        <v>33.08</v>
      </c>
      <c r="E8338" t="str">
        <f t="shared" si="294"/>
        <v>SATURDAY</v>
      </c>
      <c r="F8338" t="e">
        <f t="shared" si="295"/>
        <v>#N/A</v>
      </c>
      <c r="G8338" s="74">
        <v>28472</v>
      </c>
      <c r="H8338" s="77">
        <v>0.66666666666666663</v>
      </c>
      <c r="J8338">
        <v>35.06</v>
      </c>
      <c r="M8338" s="74">
        <v>36873</v>
      </c>
      <c r="N8338" s="77">
        <v>0.66666666666666663</v>
      </c>
      <c r="P8338">
        <v>29.84</v>
      </c>
      <c r="S8338" s="74">
        <v>35777</v>
      </c>
      <c r="T8338" s="77">
        <v>0.66666666666666663</v>
      </c>
      <c r="V8338">
        <v>37.94</v>
      </c>
      <c r="X8338" s="42"/>
      <c r="AB8338">
        <v>42</v>
      </c>
      <c r="AC8338">
        <v>39.200000000000003</v>
      </c>
      <c r="AE8338" s="74"/>
      <c r="AF8338" s="77"/>
      <c r="AH8338" s="497">
        <v>41</v>
      </c>
      <c r="AJ8338" s="42"/>
      <c r="AK8338" s="74"/>
      <c r="AL8338" s="77"/>
      <c r="AN8338" s="497">
        <v>37.94</v>
      </c>
      <c r="AP8338" s="42"/>
      <c r="AQ8338" s="74"/>
      <c r="AR8338" s="77"/>
      <c r="AT8338" s="497">
        <v>39.019999999999996</v>
      </c>
      <c r="AV8338" s="42"/>
      <c r="AW8338" s="74"/>
      <c r="AX8338" s="77"/>
      <c r="BA8338" s="497">
        <v>26.96</v>
      </c>
      <c r="BB8338" s="42"/>
      <c r="BC8338" s="74"/>
      <c r="BD8338" s="77"/>
      <c r="BF8338">
        <v>37.04</v>
      </c>
      <c r="BH8338" s="42"/>
      <c r="BI8338" s="74"/>
      <c r="BJ8338" s="77"/>
      <c r="BL8338" s="497">
        <v>37.04</v>
      </c>
      <c r="BN8338" s="42"/>
      <c r="BO8338" s="74"/>
      <c r="BP8338" s="77"/>
      <c r="BR8338" s="497">
        <v>35.96</v>
      </c>
      <c r="BT8338" s="42"/>
    </row>
    <row r="8339" spans="1:72" x14ac:dyDescent="0.25">
      <c r="A8339" s="90">
        <v>35777</v>
      </c>
      <c r="B8339" s="20">
        <v>0.70833333333333337</v>
      </c>
      <c r="D8339">
        <v>33.08</v>
      </c>
      <c r="E8339" t="str">
        <f t="shared" ref="E8339:E8402" si="296">IF(COUNTIF($DI$18:$DI$22, WEEKDAY(A8339))=1, "WEEKDAY", IF(WEEKDAY(A8339) = 1, "SUNDAY", "SATURDAY"))</f>
        <v>SATURDAY</v>
      </c>
      <c r="F8339" t="e">
        <f t="shared" si="295"/>
        <v>#N/A</v>
      </c>
      <c r="G8339" s="74">
        <v>28472</v>
      </c>
      <c r="H8339" s="77">
        <v>0.70833333333333337</v>
      </c>
      <c r="J8339">
        <v>35.06</v>
      </c>
      <c r="M8339" s="74">
        <v>36873</v>
      </c>
      <c r="N8339" s="77">
        <v>0.70833333333333337</v>
      </c>
      <c r="P8339">
        <v>28.4</v>
      </c>
      <c r="S8339" s="74">
        <v>35777</v>
      </c>
      <c r="T8339" s="77">
        <v>0.70833333333333337</v>
      </c>
      <c r="V8339">
        <v>37.04</v>
      </c>
      <c r="X8339" s="42"/>
      <c r="AB8339">
        <v>41.2</v>
      </c>
      <c r="AC8339">
        <v>37.4</v>
      </c>
      <c r="AE8339" s="74"/>
      <c r="AF8339" s="77"/>
      <c r="AH8339" s="497">
        <v>39.200000000000003</v>
      </c>
      <c r="AJ8339" s="42"/>
      <c r="AK8339" s="74"/>
      <c r="AL8339" s="77"/>
      <c r="AN8339" s="497">
        <v>37.04</v>
      </c>
      <c r="AP8339" s="42"/>
      <c r="AQ8339" s="74"/>
      <c r="AR8339" s="77"/>
      <c r="AT8339" s="497">
        <v>38.659999999999997</v>
      </c>
      <c r="AV8339" s="42"/>
      <c r="AW8339" s="74"/>
      <c r="AX8339" s="77"/>
      <c r="BA8339" s="497">
        <v>26.96</v>
      </c>
      <c r="BB8339" s="42"/>
      <c r="BC8339" s="74"/>
      <c r="BD8339" s="77"/>
      <c r="BF8339">
        <v>37.04</v>
      </c>
      <c r="BH8339" s="42"/>
      <c r="BI8339" s="74"/>
      <c r="BJ8339" s="77"/>
      <c r="BL8339" s="497">
        <v>37.04</v>
      </c>
      <c r="BN8339" s="42"/>
      <c r="BO8339" s="74"/>
      <c r="BP8339" s="77"/>
      <c r="BR8339" s="497">
        <v>35.96</v>
      </c>
      <c r="BT8339" s="42"/>
    </row>
    <row r="8340" spans="1:72" x14ac:dyDescent="0.25">
      <c r="A8340" s="90">
        <v>35777</v>
      </c>
      <c r="B8340" s="20">
        <v>0.75</v>
      </c>
      <c r="D8340">
        <v>32</v>
      </c>
      <c r="E8340" t="str">
        <f t="shared" si="296"/>
        <v>SATURDAY</v>
      </c>
      <c r="F8340" t="e">
        <f t="shared" si="295"/>
        <v>#N/A</v>
      </c>
      <c r="G8340" s="74">
        <v>28472</v>
      </c>
      <c r="H8340" s="77">
        <v>0.75</v>
      </c>
      <c r="J8340">
        <v>35.06</v>
      </c>
      <c r="M8340" s="74">
        <v>36873</v>
      </c>
      <c r="N8340" s="77">
        <v>0.75</v>
      </c>
      <c r="P8340">
        <v>28.4</v>
      </c>
      <c r="S8340" s="74">
        <v>35777</v>
      </c>
      <c r="T8340" s="77">
        <v>0.75</v>
      </c>
      <c r="V8340">
        <v>37.04</v>
      </c>
      <c r="X8340" s="42"/>
      <c r="AB8340">
        <v>40.200000000000003</v>
      </c>
      <c r="AC8340">
        <v>37.4</v>
      </c>
      <c r="AE8340" s="74"/>
      <c r="AF8340" s="77"/>
      <c r="AH8340" s="497">
        <v>37.4</v>
      </c>
      <c r="AJ8340" s="42"/>
      <c r="AK8340" s="74"/>
      <c r="AL8340" s="77"/>
      <c r="AN8340" s="497">
        <v>35.06</v>
      </c>
      <c r="AP8340" s="42"/>
      <c r="AQ8340" s="74"/>
      <c r="AR8340" s="77"/>
      <c r="AT8340" s="497">
        <v>38.299999999999997</v>
      </c>
      <c r="AV8340" s="42"/>
      <c r="AW8340" s="74"/>
      <c r="AX8340" s="77"/>
      <c r="BA8340" s="497">
        <v>26.96</v>
      </c>
      <c r="BB8340" s="42"/>
      <c r="BC8340" s="74"/>
      <c r="BD8340" s="77"/>
      <c r="BF8340">
        <v>37.94</v>
      </c>
      <c r="BH8340" s="42"/>
      <c r="BI8340" s="74"/>
      <c r="BJ8340" s="77"/>
      <c r="BL8340" s="497">
        <v>37.04</v>
      </c>
      <c r="BN8340" s="42"/>
      <c r="BO8340" s="74"/>
      <c r="BP8340" s="77"/>
      <c r="BR8340" s="497">
        <v>37.04</v>
      </c>
      <c r="BT8340" s="42"/>
    </row>
    <row r="8341" spans="1:72" x14ac:dyDescent="0.25">
      <c r="A8341" s="90">
        <v>35777</v>
      </c>
      <c r="B8341" s="20">
        <v>0.79166666666666663</v>
      </c>
      <c r="D8341">
        <v>32</v>
      </c>
      <c r="E8341" t="str">
        <f t="shared" si="296"/>
        <v>SATURDAY</v>
      </c>
      <c r="F8341" t="e">
        <f t="shared" si="295"/>
        <v>#N/A</v>
      </c>
      <c r="G8341" s="74">
        <v>28472</v>
      </c>
      <c r="H8341" s="77">
        <v>0.79166666666666663</v>
      </c>
      <c r="J8341">
        <v>35.06</v>
      </c>
      <c r="M8341" s="74">
        <v>36873</v>
      </c>
      <c r="N8341" s="77">
        <v>0.79166666666666663</v>
      </c>
      <c r="P8341">
        <v>28.4</v>
      </c>
      <c r="S8341" s="74">
        <v>35777</v>
      </c>
      <c r="T8341" s="77">
        <v>0.79166666666666663</v>
      </c>
      <c r="V8341">
        <v>37.94</v>
      </c>
      <c r="X8341" s="42"/>
      <c r="AB8341">
        <v>39.799999999999997</v>
      </c>
      <c r="AC8341">
        <v>35.6</v>
      </c>
      <c r="AE8341" s="74"/>
      <c r="AF8341" s="77"/>
      <c r="AH8341" s="497">
        <v>37.4</v>
      </c>
      <c r="AJ8341" s="42"/>
      <c r="AK8341" s="74"/>
      <c r="AL8341" s="77"/>
      <c r="AN8341" s="497">
        <v>32</v>
      </c>
      <c r="AP8341" s="42"/>
      <c r="AQ8341" s="74"/>
      <c r="AR8341" s="77"/>
      <c r="AT8341" s="497">
        <v>37.94</v>
      </c>
      <c r="AV8341" s="42"/>
      <c r="AW8341" s="74"/>
      <c r="AX8341" s="77"/>
      <c r="BA8341" s="497">
        <v>26.96</v>
      </c>
      <c r="BB8341" s="42"/>
      <c r="BC8341" s="74"/>
      <c r="BD8341" s="77"/>
      <c r="BF8341">
        <v>39.019999999999996</v>
      </c>
      <c r="BH8341" s="42"/>
      <c r="BI8341" s="74"/>
      <c r="BJ8341" s="77"/>
      <c r="BL8341" s="497">
        <v>37.04</v>
      </c>
      <c r="BN8341" s="42"/>
      <c r="BO8341" s="74"/>
      <c r="BP8341" s="77"/>
      <c r="BR8341" s="497">
        <v>37.04</v>
      </c>
      <c r="BT8341" s="42"/>
    </row>
    <row r="8342" spans="1:72" x14ac:dyDescent="0.25">
      <c r="A8342" s="90">
        <v>35777</v>
      </c>
      <c r="B8342" s="20">
        <v>0.83333333333333337</v>
      </c>
      <c r="D8342">
        <v>30.92</v>
      </c>
      <c r="E8342" t="str">
        <f t="shared" si="296"/>
        <v>SATURDAY</v>
      </c>
      <c r="F8342" t="e">
        <f t="shared" si="295"/>
        <v>#N/A</v>
      </c>
      <c r="G8342" s="74">
        <v>28472</v>
      </c>
      <c r="H8342" s="77">
        <v>0.83333333333333337</v>
      </c>
      <c r="J8342">
        <v>35.06</v>
      </c>
      <c r="M8342" s="74">
        <v>36873</v>
      </c>
      <c r="N8342" s="77">
        <v>0.83333333333333337</v>
      </c>
      <c r="P8342">
        <v>28.4</v>
      </c>
      <c r="S8342" s="74">
        <v>35777</v>
      </c>
      <c r="T8342" s="77">
        <v>0.83333333333333337</v>
      </c>
      <c r="V8342">
        <v>37.94</v>
      </c>
      <c r="X8342" s="42"/>
      <c r="AB8342">
        <v>39.6</v>
      </c>
      <c r="AC8342">
        <v>35.6</v>
      </c>
      <c r="AE8342" s="74"/>
      <c r="AF8342" s="77"/>
      <c r="AH8342" s="497">
        <v>37.4</v>
      </c>
      <c r="AJ8342" s="42"/>
      <c r="AK8342" s="74"/>
      <c r="AL8342" s="77"/>
      <c r="AN8342" s="497">
        <v>32</v>
      </c>
      <c r="AP8342" s="42"/>
      <c r="AQ8342" s="74"/>
      <c r="AR8342" s="77"/>
      <c r="AT8342" s="497">
        <v>36.68</v>
      </c>
      <c r="AV8342" s="42"/>
      <c r="AW8342" s="74"/>
      <c r="AX8342" s="77"/>
      <c r="BA8342" s="497">
        <v>28.58</v>
      </c>
      <c r="BB8342" s="42"/>
      <c r="BC8342" s="74"/>
      <c r="BD8342" s="77"/>
      <c r="BF8342">
        <v>39.019999999999996</v>
      </c>
      <c r="BH8342" s="42"/>
      <c r="BI8342" s="74"/>
      <c r="BJ8342" s="77"/>
      <c r="BL8342" s="497">
        <v>37.04</v>
      </c>
      <c r="BN8342" s="42"/>
      <c r="BO8342" s="74"/>
      <c r="BP8342" s="77"/>
      <c r="BR8342" s="497">
        <v>35.06</v>
      </c>
      <c r="BT8342" s="42"/>
    </row>
    <row r="8343" spans="1:72" x14ac:dyDescent="0.25">
      <c r="A8343" s="90">
        <v>35777</v>
      </c>
      <c r="B8343" s="20">
        <v>0.875</v>
      </c>
      <c r="D8343">
        <v>30.92</v>
      </c>
      <c r="E8343" t="str">
        <f t="shared" si="296"/>
        <v>SATURDAY</v>
      </c>
      <c r="F8343" t="e">
        <f t="shared" si="295"/>
        <v>#N/A</v>
      </c>
      <c r="G8343" s="74">
        <v>28472</v>
      </c>
      <c r="H8343" s="77">
        <v>0.875</v>
      </c>
      <c r="J8343">
        <v>35.06</v>
      </c>
      <c r="M8343" s="74">
        <v>36873</v>
      </c>
      <c r="N8343" s="77">
        <v>0.875</v>
      </c>
      <c r="P8343">
        <v>26.6</v>
      </c>
      <c r="S8343" s="74">
        <v>35777</v>
      </c>
      <c r="T8343" s="77">
        <v>0.875</v>
      </c>
      <c r="V8343">
        <v>37.94</v>
      </c>
      <c r="X8343" s="42"/>
      <c r="AB8343">
        <v>39.1</v>
      </c>
      <c r="AC8343">
        <v>37.4</v>
      </c>
      <c r="AE8343" s="74"/>
      <c r="AF8343" s="77"/>
      <c r="AH8343" s="497">
        <v>37.4</v>
      </c>
      <c r="AJ8343" s="42"/>
      <c r="AK8343" s="74"/>
      <c r="AL8343" s="77"/>
      <c r="AN8343" s="497">
        <v>30.92</v>
      </c>
      <c r="AP8343" s="42"/>
      <c r="AQ8343" s="74"/>
      <c r="AR8343" s="77"/>
      <c r="AT8343" s="497">
        <v>35.24</v>
      </c>
      <c r="AV8343" s="42"/>
      <c r="AW8343" s="74"/>
      <c r="AX8343" s="77"/>
      <c r="BA8343" s="497">
        <v>30.38</v>
      </c>
      <c r="BB8343" s="42"/>
      <c r="BC8343" s="74"/>
      <c r="BD8343" s="77"/>
      <c r="BF8343">
        <v>39.92</v>
      </c>
      <c r="BH8343" s="42"/>
      <c r="BI8343" s="74"/>
      <c r="BJ8343" s="77"/>
      <c r="BL8343" s="497">
        <v>37.04</v>
      </c>
      <c r="BN8343" s="42"/>
      <c r="BO8343" s="74"/>
      <c r="BP8343" s="77"/>
      <c r="BR8343" s="497">
        <v>35.06</v>
      </c>
      <c r="BT8343" s="42"/>
    </row>
    <row r="8344" spans="1:72" x14ac:dyDescent="0.25">
      <c r="A8344" s="90">
        <v>35777</v>
      </c>
      <c r="B8344" s="20">
        <v>0.91666666666666663</v>
      </c>
      <c r="D8344">
        <v>30.92</v>
      </c>
      <c r="E8344" t="str">
        <f t="shared" si="296"/>
        <v>SATURDAY</v>
      </c>
      <c r="F8344" t="e">
        <f t="shared" si="295"/>
        <v>#N/A</v>
      </c>
      <c r="G8344" s="74">
        <v>28472</v>
      </c>
      <c r="H8344" s="77">
        <v>0.91666666666666663</v>
      </c>
      <c r="J8344">
        <v>35.06</v>
      </c>
      <c r="M8344" s="74">
        <v>36873</v>
      </c>
      <c r="N8344" s="77">
        <v>0.91666666666666663</v>
      </c>
      <c r="P8344">
        <v>26.6</v>
      </c>
      <c r="S8344" s="74">
        <v>35777</v>
      </c>
      <c r="T8344" s="77">
        <v>0.91666666666666663</v>
      </c>
      <c r="V8344">
        <v>37.94</v>
      </c>
      <c r="X8344" s="42"/>
      <c r="AB8344">
        <v>38.6</v>
      </c>
      <c r="AC8344">
        <v>37.4</v>
      </c>
      <c r="AE8344" s="74"/>
      <c r="AF8344" s="77"/>
      <c r="AH8344" s="497">
        <v>35.6</v>
      </c>
      <c r="AJ8344" s="42"/>
      <c r="AK8344" s="74"/>
      <c r="AL8344" s="77"/>
      <c r="AN8344" s="497">
        <v>30.92</v>
      </c>
      <c r="AP8344" s="42"/>
      <c r="AQ8344" s="74"/>
      <c r="AR8344" s="77"/>
      <c r="AT8344" s="497">
        <v>33.979999999999997</v>
      </c>
      <c r="AV8344" s="42"/>
      <c r="AW8344" s="74"/>
      <c r="AX8344" s="77"/>
      <c r="BA8344" s="497">
        <v>32</v>
      </c>
      <c r="BB8344" s="42"/>
      <c r="BC8344" s="74"/>
      <c r="BD8344" s="77"/>
      <c r="BF8344">
        <v>39.92</v>
      </c>
      <c r="BH8344" s="42"/>
      <c r="BI8344" s="74"/>
      <c r="BJ8344" s="77"/>
      <c r="BL8344" s="497">
        <v>37.04</v>
      </c>
      <c r="BN8344" s="42"/>
      <c r="BO8344" s="74"/>
      <c r="BP8344" s="77"/>
      <c r="BR8344" s="497">
        <v>35.06</v>
      </c>
      <c r="BT8344" s="42"/>
    </row>
    <row r="8345" spans="1:72" x14ac:dyDescent="0.25">
      <c r="A8345" s="90">
        <v>35777</v>
      </c>
      <c r="B8345" s="20">
        <v>0.95833333333333337</v>
      </c>
      <c r="D8345">
        <v>30.92</v>
      </c>
      <c r="E8345" t="str">
        <f t="shared" si="296"/>
        <v>SATURDAY</v>
      </c>
      <c r="F8345" t="e">
        <f t="shared" si="295"/>
        <v>#N/A</v>
      </c>
      <c r="G8345" s="74">
        <v>28472</v>
      </c>
      <c r="H8345" s="77">
        <v>0.95833333333333337</v>
      </c>
      <c r="J8345">
        <v>37.94</v>
      </c>
      <c r="M8345" s="74">
        <v>36873</v>
      </c>
      <c r="N8345" s="77">
        <v>0.95833333333333337</v>
      </c>
      <c r="P8345">
        <v>26.6</v>
      </c>
      <c r="S8345" s="74">
        <v>35777</v>
      </c>
      <c r="T8345" s="77">
        <v>0.95833333333333337</v>
      </c>
      <c r="V8345">
        <v>37.94</v>
      </c>
      <c r="X8345" s="42"/>
      <c r="AB8345">
        <v>38</v>
      </c>
      <c r="AC8345">
        <v>37.4</v>
      </c>
      <c r="AE8345" s="74"/>
      <c r="AF8345" s="77"/>
      <c r="AH8345" s="497">
        <v>35.6</v>
      </c>
      <c r="AJ8345" s="42"/>
      <c r="AK8345" s="74"/>
      <c r="AL8345" s="77"/>
      <c r="AN8345" s="497">
        <v>30.02</v>
      </c>
      <c r="AP8345" s="42"/>
      <c r="AQ8345" s="74"/>
      <c r="AR8345" s="77"/>
      <c r="AT8345" s="497">
        <v>34.340000000000003</v>
      </c>
      <c r="AV8345" s="42"/>
      <c r="AW8345" s="74"/>
      <c r="AX8345" s="77"/>
      <c r="BA8345" s="497">
        <v>33.08</v>
      </c>
      <c r="BB8345" s="42"/>
      <c r="BC8345" s="74"/>
      <c r="BD8345" s="77"/>
      <c r="BF8345">
        <v>39.92</v>
      </c>
      <c r="BH8345" s="42"/>
      <c r="BI8345" s="74"/>
      <c r="BJ8345" s="77"/>
      <c r="BL8345" s="497">
        <v>37.94</v>
      </c>
      <c r="BN8345" s="42"/>
      <c r="BO8345" s="74"/>
      <c r="BP8345" s="77"/>
      <c r="BR8345" s="497">
        <v>33.979999999999997</v>
      </c>
      <c r="BT8345" s="42"/>
    </row>
    <row r="8346" spans="1:72" x14ac:dyDescent="0.25">
      <c r="A8346" s="90">
        <v>35777</v>
      </c>
      <c r="B8346" s="20">
        <v>1</v>
      </c>
      <c r="D8346">
        <v>30.02</v>
      </c>
      <c r="E8346" t="str">
        <f t="shared" si="296"/>
        <v>SATURDAY</v>
      </c>
      <c r="F8346" t="e">
        <f t="shared" si="295"/>
        <v>#N/A</v>
      </c>
      <c r="G8346" s="74">
        <v>28472</v>
      </c>
      <c r="H8346" s="77">
        <v>1</v>
      </c>
      <c r="J8346">
        <v>35.96</v>
      </c>
      <c r="M8346" s="74">
        <v>36873</v>
      </c>
      <c r="N8346" s="80">
        <v>1</v>
      </c>
      <c r="P8346">
        <v>28.4</v>
      </c>
      <c r="S8346" s="74">
        <v>35777</v>
      </c>
      <c r="T8346" s="80">
        <v>1</v>
      </c>
      <c r="V8346">
        <v>37.04</v>
      </c>
      <c r="X8346" s="42"/>
      <c r="AB8346">
        <v>37.6</v>
      </c>
      <c r="AC8346">
        <v>37.4</v>
      </c>
      <c r="AE8346" s="74"/>
      <c r="AF8346" s="80"/>
      <c r="AH8346" s="497">
        <v>35.6</v>
      </c>
      <c r="AJ8346" s="42"/>
      <c r="AK8346" s="74"/>
      <c r="AL8346" s="80"/>
      <c r="AN8346" s="497">
        <v>30.02</v>
      </c>
      <c r="AP8346" s="42"/>
      <c r="AQ8346" s="74"/>
      <c r="AR8346" s="80"/>
      <c r="AT8346" s="497">
        <v>34.700000000000003</v>
      </c>
      <c r="AV8346" s="42"/>
      <c r="AW8346" s="74"/>
      <c r="AX8346" s="80"/>
      <c r="BA8346" s="497">
        <v>33.979999999999997</v>
      </c>
      <c r="BB8346" s="42"/>
      <c r="BC8346" s="74"/>
      <c r="BD8346" s="80"/>
      <c r="BF8346">
        <v>42.08</v>
      </c>
      <c r="BH8346" s="42"/>
      <c r="BI8346" s="74"/>
      <c r="BJ8346" s="80"/>
      <c r="BL8346" s="497">
        <v>37.94</v>
      </c>
      <c r="BN8346" s="42"/>
      <c r="BO8346" s="74"/>
      <c r="BP8346" s="80"/>
      <c r="BR8346" s="497">
        <v>33.979999999999997</v>
      </c>
      <c r="BT8346" s="42"/>
    </row>
    <row r="8347" spans="1:72" x14ac:dyDescent="0.25">
      <c r="A8347" s="90">
        <v>35778</v>
      </c>
      <c r="B8347" s="20">
        <v>4.1666666666666664E-2</v>
      </c>
      <c r="D8347">
        <v>30.02</v>
      </c>
      <c r="E8347" t="str">
        <f t="shared" si="296"/>
        <v>SUNDAY</v>
      </c>
      <c r="F8347" t="e">
        <f t="shared" si="295"/>
        <v>#N/A</v>
      </c>
      <c r="G8347" s="74">
        <v>28473</v>
      </c>
      <c r="H8347" s="77">
        <v>4.1666666666666664E-2</v>
      </c>
      <c r="J8347">
        <v>35.06</v>
      </c>
      <c r="M8347" s="74">
        <v>36874</v>
      </c>
      <c r="N8347" s="77">
        <v>4.1666666666666664E-2</v>
      </c>
      <c r="P8347">
        <v>28.4</v>
      </c>
      <c r="S8347" s="74">
        <v>35778</v>
      </c>
      <c r="T8347" s="77">
        <v>4.1666666666666664E-2</v>
      </c>
      <c r="V8347">
        <v>37.04</v>
      </c>
      <c r="X8347" s="42"/>
      <c r="AB8347">
        <v>37.299999999999997</v>
      </c>
      <c r="AC8347">
        <v>37.4</v>
      </c>
      <c r="AE8347" s="74"/>
      <c r="AF8347" s="77"/>
      <c r="AH8347" s="497">
        <v>35.6</v>
      </c>
      <c r="AJ8347" s="42"/>
      <c r="AK8347" s="74"/>
      <c r="AL8347" s="77"/>
      <c r="AN8347" s="497">
        <v>28.94</v>
      </c>
      <c r="AP8347" s="42"/>
      <c r="AQ8347" s="74"/>
      <c r="AR8347" s="77"/>
      <c r="AT8347" s="497">
        <v>35.06</v>
      </c>
      <c r="AV8347" s="42"/>
      <c r="AW8347" s="74"/>
      <c r="AX8347" s="77"/>
      <c r="BA8347" s="497">
        <v>35.06</v>
      </c>
      <c r="BB8347" s="42"/>
      <c r="BC8347" s="74"/>
      <c r="BD8347" s="77"/>
      <c r="BF8347">
        <v>42.08</v>
      </c>
      <c r="BH8347" s="42"/>
      <c r="BI8347" s="74"/>
      <c r="BJ8347" s="77"/>
      <c r="BL8347" s="497">
        <v>37.94</v>
      </c>
      <c r="BN8347" s="42"/>
      <c r="BO8347" s="74"/>
      <c r="BP8347" s="77"/>
      <c r="BR8347" s="497">
        <v>33.979999999999997</v>
      </c>
      <c r="BT8347" s="42"/>
    </row>
    <row r="8348" spans="1:72" x14ac:dyDescent="0.25">
      <c r="A8348" s="90">
        <v>35778</v>
      </c>
      <c r="B8348" s="20">
        <v>8.3333333333333329E-2</v>
      </c>
      <c r="D8348">
        <v>28.94</v>
      </c>
      <c r="E8348" t="str">
        <f t="shared" si="296"/>
        <v>SUNDAY</v>
      </c>
      <c r="F8348" t="e">
        <f t="shared" si="295"/>
        <v>#N/A</v>
      </c>
      <c r="G8348" s="74">
        <v>28473</v>
      </c>
      <c r="H8348" s="77">
        <v>8.3333333333333329E-2</v>
      </c>
      <c r="J8348">
        <v>35.06</v>
      </c>
      <c r="M8348" s="74">
        <v>36874</v>
      </c>
      <c r="N8348" s="77">
        <v>8.3333333333333329E-2</v>
      </c>
      <c r="P8348">
        <v>30.2</v>
      </c>
      <c r="S8348" s="74">
        <v>35778</v>
      </c>
      <c r="T8348" s="77">
        <v>8.3333333333333329E-2</v>
      </c>
      <c r="V8348">
        <v>35.96</v>
      </c>
      <c r="X8348" s="42"/>
      <c r="AB8348">
        <v>37</v>
      </c>
      <c r="AC8348">
        <v>35.6</v>
      </c>
      <c r="AE8348" s="74"/>
      <c r="AF8348" s="77"/>
      <c r="AH8348" s="497">
        <v>35.6</v>
      </c>
      <c r="AJ8348" s="42"/>
      <c r="AK8348" s="74"/>
      <c r="AL8348" s="77"/>
      <c r="AN8348" s="497">
        <v>28.94</v>
      </c>
      <c r="AP8348" s="42"/>
      <c r="AQ8348" s="74"/>
      <c r="AR8348" s="77"/>
      <c r="AT8348" s="497">
        <v>34.700000000000003</v>
      </c>
      <c r="AV8348" s="42"/>
      <c r="AW8348" s="74"/>
      <c r="AX8348" s="77"/>
      <c r="BA8348" s="497">
        <v>35.78</v>
      </c>
      <c r="BB8348" s="42"/>
      <c r="BC8348" s="74"/>
      <c r="BD8348" s="77"/>
      <c r="BF8348">
        <v>42.08</v>
      </c>
      <c r="BH8348" s="42"/>
      <c r="BI8348" s="74"/>
      <c r="BJ8348" s="77"/>
      <c r="BL8348" s="497">
        <v>39.92</v>
      </c>
      <c r="BN8348" s="42"/>
      <c r="BO8348" s="74"/>
      <c r="BP8348" s="77"/>
      <c r="BR8348" s="497">
        <v>32</v>
      </c>
      <c r="BT8348" s="42"/>
    </row>
    <row r="8349" spans="1:72" x14ac:dyDescent="0.25">
      <c r="A8349" s="90">
        <v>35778</v>
      </c>
      <c r="B8349" s="20">
        <v>0.125</v>
      </c>
      <c r="D8349">
        <v>28.94</v>
      </c>
      <c r="E8349" t="str">
        <f t="shared" si="296"/>
        <v>SUNDAY</v>
      </c>
      <c r="F8349" t="e">
        <f t="shared" si="295"/>
        <v>#N/A</v>
      </c>
      <c r="G8349" s="74">
        <v>28473</v>
      </c>
      <c r="H8349" s="77">
        <v>0.125</v>
      </c>
      <c r="J8349">
        <v>35.06</v>
      </c>
      <c r="M8349" s="74">
        <v>36874</v>
      </c>
      <c r="N8349" s="77">
        <v>0.125</v>
      </c>
      <c r="P8349">
        <v>32</v>
      </c>
      <c r="S8349" s="74">
        <v>35778</v>
      </c>
      <c r="T8349" s="77">
        <v>0.125</v>
      </c>
      <c r="V8349">
        <v>35.96</v>
      </c>
      <c r="X8349" s="42"/>
      <c r="AB8349">
        <v>36.6</v>
      </c>
      <c r="AC8349">
        <v>32</v>
      </c>
      <c r="AE8349" s="74"/>
      <c r="AF8349" s="77"/>
      <c r="AH8349" s="497">
        <v>35.6</v>
      </c>
      <c r="AJ8349" s="42"/>
      <c r="AK8349" s="74"/>
      <c r="AL8349" s="77"/>
      <c r="AN8349" s="497">
        <v>28.04</v>
      </c>
      <c r="AP8349" s="42"/>
      <c r="AQ8349" s="74"/>
      <c r="AR8349" s="77"/>
      <c r="AT8349" s="497">
        <v>34.340000000000003</v>
      </c>
      <c r="AV8349" s="42"/>
      <c r="AW8349" s="74"/>
      <c r="AX8349" s="77"/>
      <c r="BA8349" s="497">
        <v>36.32</v>
      </c>
      <c r="BB8349" s="42"/>
      <c r="BC8349" s="74"/>
      <c r="BD8349" s="77"/>
      <c r="BF8349">
        <v>42.08</v>
      </c>
      <c r="BH8349" s="42"/>
      <c r="BI8349" s="74"/>
      <c r="BJ8349" s="77"/>
      <c r="BL8349" s="497">
        <v>41</v>
      </c>
      <c r="BN8349" s="42"/>
      <c r="BO8349" s="74"/>
      <c r="BP8349" s="77"/>
      <c r="BR8349" s="497">
        <v>30.92</v>
      </c>
      <c r="BT8349" s="42"/>
    </row>
    <row r="8350" spans="1:72" x14ac:dyDescent="0.25">
      <c r="A8350" s="90">
        <v>35778</v>
      </c>
      <c r="B8350" s="20">
        <v>0.16666666666666666</v>
      </c>
      <c r="D8350">
        <v>28.04</v>
      </c>
      <c r="E8350" t="str">
        <f t="shared" si="296"/>
        <v>SUNDAY</v>
      </c>
      <c r="F8350" t="e">
        <f t="shared" si="295"/>
        <v>#N/A</v>
      </c>
      <c r="G8350" s="74">
        <v>28473</v>
      </c>
      <c r="H8350" s="77">
        <v>0.16666666666666666</v>
      </c>
      <c r="J8350">
        <v>35.06</v>
      </c>
      <c r="M8350" s="74">
        <v>36874</v>
      </c>
      <c r="N8350" s="77">
        <v>0.16666666666666666</v>
      </c>
      <c r="P8350">
        <v>32</v>
      </c>
      <c r="S8350" s="74">
        <v>35778</v>
      </c>
      <c r="T8350" s="77">
        <v>0.16666666666666666</v>
      </c>
      <c r="V8350">
        <v>33.979999999999997</v>
      </c>
      <c r="X8350" s="42"/>
      <c r="AB8350">
        <v>36.299999999999997</v>
      </c>
      <c r="AC8350">
        <v>32</v>
      </c>
      <c r="AE8350" s="74"/>
      <c r="AF8350" s="77"/>
      <c r="AH8350" s="497">
        <v>35.6</v>
      </c>
      <c r="AJ8350" s="42"/>
      <c r="AK8350" s="74"/>
      <c r="AL8350" s="77"/>
      <c r="AN8350" s="497">
        <v>28.04</v>
      </c>
      <c r="AP8350" s="42"/>
      <c r="AQ8350" s="74"/>
      <c r="AR8350" s="77"/>
      <c r="AT8350" s="497">
        <v>33.979999999999997</v>
      </c>
      <c r="AV8350" s="42"/>
      <c r="AW8350" s="74"/>
      <c r="AX8350" s="77"/>
      <c r="BA8350" s="497">
        <v>37.04</v>
      </c>
      <c r="BB8350" s="42"/>
      <c r="BC8350" s="74"/>
      <c r="BD8350" s="77"/>
      <c r="BF8350">
        <v>42.08</v>
      </c>
      <c r="BH8350" s="42"/>
      <c r="BI8350" s="74"/>
      <c r="BJ8350" s="77"/>
      <c r="BL8350" s="497">
        <v>42.08</v>
      </c>
      <c r="BN8350" s="42"/>
      <c r="BO8350" s="74"/>
      <c r="BP8350" s="77"/>
      <c r="BR8350" s="497">
        <v>30.02</v>
      </c>
      <c r="BT8350" s="42"/>
    </row>
    <row r="8351" spans="1:72" x14ac:dyDescent="0.25">
      <c r="A8351" s="90">
        <v>35778</v>
      </c>
      <c r="B8351" s="20">
        <v>0.20833333333333334</v>
      </c>
      <c r="D8351">
        <v>28.94</v>
      </c>
      <c r="E8351" t="str">
        <f t="shared" si="296"/>
        <v>SUNDAY</v>
      </c>
      <c r="F8351" t="e">
        <f t="shared" si="295"/>
        <v>#N/A</v>
      </c>
      <c r="G8351" s="74">
        <v>28473</v>
      </c>
      <c r="H8351" s="77">
        <v>0.20833333333333334</v>
      </c>
      <c r="J8351">
        <v>33.979999999999997</v>
      </c>
      <c r="M8351" s="74">
        <v>36874</v>
      </c>
      <c r="N8351" s="77">
        <v>0.20833333333333334</v>
      </c>
      <c r="P8351">
        <v>33.799999999999997</v>
      </c>
      <c r="S8351" s="74">
        <v>35778</v>
      </c>
      <c r="T8351" s="77">
        <v>0.20833333333333334</v>
      </c>
      <c r="V8351">
        <v>33.979999999999997</v>
      </c>
      <c r="X8351" s="42"/>
      <c r="AB8351">
        <v>36</v>
      </c>
      <c r="AC8351">
        <v>32</v>
      </c>
      <c r="AE8351" s="74"/>
      <c r="AF8351" s="77"/>
      <c r="AH8351" s="497">
        <v>35.6</v>
      </c>
      <c r="AJ8351" s="42"/>
      <c r="AK8351" s="74"/>
      <c r="AL8351" s="77"/>
      <c r="AN8351" s="497">
        <v>26.96</v>
      </c>
      <c r="AP8351" s="42"/>
      <c r="AQ8351" s="74"/>
      <c r="AR8351" s="77"/>
      <c r="AT8351" s="497">
        <v>33.619999999999997</v>
      </c>
      <c r="AV8351" s="42"/>
      <c r="AW8351" s="74"/>
      <c r="AX8351" s="77"/>
      <c r="BA8351" s="497">
        <v>37.4</v>
      </c>
      <c r="BB8351" s="42"/>
      <c r="BC8351" s="74"/>
      <c r="BD8351" s="77"/>
      <c r="BF8351">
        <v>42.08</v>
      </c>
      <c r="BH8351" s="42"/>
      <c r="BI8351" s="74"/>
      <c r="BJ8351" s="77"/>
      <c r="BL8351" s="497">
        <v>41</v>
      </c>
      <c r="BN8351" s="42"/>
      <c r="BO8351" s="74"/>
      <c r="BP8351" s="77"/>
      <c r="BR8351" s="497">
        <v>24.98</v>
      </c>
      <c r="BT8351" s="42"/>
    </row>
    <row r="8352" spans="1:72" x14ac:dyDescent="0.25">
      <c r="A8352" s="90">
        <v>35778</v>
      </c>
      <c r="B8352" s="20">
        <v>0.25</v>
      </c>
      <c r="D8352">
        <v>28.94</v>
      </c>
      <c r="E8352" t="str">
        <f t="shared" si="296"/>
        <v>SUNDAY</v>
      </c>
      <c r="F8352" t="e">
        <f t="shared" si="295"/>
        <v>#N/A</v>
      </c>
      <c r="G8352" s="74">
        <v>28473</v>
      </c>
      <c r="H8352" s="77">
        <v>0.25</v>
      </c>
      <c r="J8352">
        <v>35.06</v>
      </c>
      <c r="M8352" s="74">
        <v>36874</v>
      </c>
      <c r="N8352" s="77">
        <v>0.25</v>
      </c>
      <c r="P8352">
        <v>35.6</v>
      </c>
      <c r="S8352" s="74">
        <v>35778</v>
      </c>
      <c r="T8352" s="77">
        <v>0.25</v>
      </c>
      <c r="V8352">
        <v>33.979999999999997</v>
      </c>
      <c r="X8352" s="42"/>
      <c r="AB8352">
        <v>35.9</v>
      </c>
      <c r="AC8352">
        <v>30.2</v>
      </c>
      <c r="AE8352" s="74"/>
      <c r="AF8352" s="77"/>
      <c r="AH8352" s="497">
        <v>35.6</v>
      </c>
      <c r="AJ8352" s="42"/>
      <c r="AK8352" s="74"/>
      <c r="AL8352" s="77"/>
      <c r="AN8352" s="497">
        <v>24.98</v>
      </c>
      <c r="AP8352" s="42"/>
      <c r="AQ8352" s="74"/>
      <c r="AR8352" s="77"/>
      <c r="AT8352" s="497">
        <v>33.44</v>
      </c>
      <c r="AV8352" s="42"/>
      <c r="AW8352" s="74"/>
      <c r="AX8352" s="77"/>
      <c r="BA8352" s="497">
        <v>37.58</v>
      </c>
      <c r="BB8352" s="42"/>
      <c r="BC8352" s="74"/>
      <c r="BD8352" s="77"/>
      <c r="BF8352">
        <v>42.08</v>
      </c>
      <c r="BH8352" s="42"/>
      <c r="BI8352" s="74"/>
      <c r="BJ8352" s="77"/>
      <c r="BL8352" s="497">
        <v>39.92</v>
      </c>
      <c r="BN8352" s="42"/>
      <c r="BO8352" s="74"/>
      <c r="BP8352" s="77"/>
      <c r="BR8352" s="497">
        <v>21.02</v>
      </c>
      <c r="BT8352" s="42"/>
    </row>
    <row r="8353" spans="1:72" x14ac:dyDescent="0.25">
      <c r="A8353" s="90">
        <v>35778</v>
      </c>
      <c r="B8353" s="20">
        <v>0.29166666666666669</v>
      </c>
      <c r="D8353">
        <v>30.02</v>
      </c>
      <c r="E8353" t="str">
        <f t="shared" si="296"/>
        <v>SUNDAY</v>
      </c>
      <c r="F8353" t="e">
        <f t="shared" si="295"/>
        <v>#N/A</v>
      </c>
      <c r="G8353" s="74">
        <v>28473</v>
      </c>
      <c r="H8353" s="77">
        <v>0.29166666666666669</v>
      </c>
      <c r="J8353">
        <v>39.92</v>
      </c>
      <c r="M8353" s="74">
        <v>36874</v>
      </c>
      <c r="N8353" s="77">
        <v>0.29166666666666669</v>
      </c>
      <c r="P8353">
        <v>35.6</v>
      </c>
      <c r="S8353" s="74">
        <v>35778</v>
      </c>
      <c r="T8353" s="77">
        <v>0.29166666666666669</v>
      </c>
      <c r="V8353">
        <v>33.08</v>
      </c>
      <c r="X8353" s="42"/>
      <c r="AB8353">
        <v>35.799999999999997</v>
      </c>
      <c r="AC8353">
        <v>32</v>
      </c>
      <c r="AE8353" s="74"/>
      <c r="AF8353" s="77"/>
      <c r="AH8353" s="497">
        <v>33.799999999999997</v>
      </c>
      <c r="AJ8353" s="42"/>
      <c r="AK8353" s="74"/>
      <c r="AL8353" s="77"/>
      <c r="AN8353" s="497">
        <v>26.060000000000002</v>
      </c>
      <c r="AP8353" s="42"/>
      <c r="AQ8353" s="74"/>
      <c r="AR8353" s="77"/>
      <c r="AT8353" s="497">
        <v>33.08</v>
      </c>
      <c r="AV8353" s="42"/>
      <c r="AW8353" s="74"/>
      <c r="AX8353" s="77"/>
      <c r="BA8353" s="497">
        <v>37.94</v>
      </c>
      <c r="BB8353" s="42"/>
      <c r="BC8353" s="74"/>
      <c r="BD8353" s="77"/>
      <c r="BF8353">
        <v>42.980000000000004</v>
      </c>
      <c r="BH8353" s="42"/>
      <c r="BI8353" s="74"/>
      <c r="BJ8353" s="77"/>
      <c r="BL8353" s="497">
        <v>39.92</v>
      </c>
      <c r="BN8353" s="42"/>
      <c r="BO8353" s="74"/>
      <c r="BP8353" s="77"/>
      <c r="BR8353" s="497">
        <v>17.96</v>
      </c>
      <c r="BT8353" s="42"/>
    </row>
    <row r="8354" spans="1:72" x14ac:dyDescent="0.25">
      <c r="A8354" s="90">
        <v>35778</v>
      </c>
      <c r="B8354" s="20">
        <v>0.33333333333333331</v>
      </c>
      <c r="D8354">
        <v>30.92</v>
      </c>
      <c r="E8354" t="str">
        <f t="shared" si="296"/>
        <v>SUNDAY</v>
      </c>
      <c r="F8354" t="e">
        <f t="shared" si="295"/>
        <v>#N/A</v>
      </c>
      <c r="G8354" s="74">
        <v>28473</v>
      </c>
      <c r="H8354" s="77">
        <v>0.33333333333333331</v>
      </c>
      <c r="J8354">
        <v>35.96</v>
      </c>
      <c r="M8354" s="74">
        <v>36874</v>
      </c>
      <c r="N8354" s="77">
        <v>0.33333333333333331</v>
      </c>
      <c r="P8354">
        <v>33.799999999999997</v>
      </c>
      <c r="S8354" s="74">
        <v>35778</v>
      </c>
      <c r="T8354" s="77">
        <v>0.33333333333333331</v>
      </c>
      <c r="V8354">
        <v>33.979999999999997</v>
      </c>
      <c r="X8354" s="42"/>
      <c r="AB8354">
        <v>35.799999999999997</v>
      </c>
      <c r="AC8354">
        <v>32</v>
      </c>
      <c r="AE8354" s="74"/>
      <c r="AF8354" s="77"/>
      <c r="AH8354" s="497">
        <v>32</v>
      </c>
      <c r="AJ8354" s="42"/>
      <c r="AK8354" s="74"/>
      <c r="AL8354" s="77"/>
      <c r="AN8354" s="497">
        <v>24.98</v>
      </c>
      <c r="AP8354" s="42"/>
      <c r="AQ8354" s="74"/>
      <c r="AR8354" s="77"/>
      <c r="AT8354" s="497">
        <v>32.36</v>
      </c>
      <c r="AV8354" s="42"/>
      <c r="AW8354" s="74"/>
      <c r="AX8354" s="77"/>
      <c r="BA8354" s="497">
        <v>37.58</v>
      </c>
      <c r="BB8354" s="42"/>
      <c r="BC8354" s="74"/>
      <c r="BD8354" s="77"/>
      <c r="BF8354">
        <v>42.980000000000004</v>
      </c>
      <c r="BH8354" s="42"/>
      <c r="BI8354" s="74"/>
      <c r="BJ8354" s="77"/>
      <c r="BL8354" s="497">
        <v>39.92</v>
      </c>
      <c r="BN8354" s="42"/>
      <c r="BO8354" s="74"/>
      <c r="BP8354" s="77"/>
      <c r="BR8354" s="497">
        <v>17.96</v>
      </c>
      <c r="BT8354" s="42"/>
    </row>
    <row r="8355" spans="1:72" x14ac:dyDescent="0.25">
      <c r="A8355" s="90">
        <v>35778</v>
      </c>
      <c r="B8355" s="20">
        <v>0.375</v>
      </c>
      <c r="D8355">
        <v>28.94</v>
      </c>
      <c r="E8355" t="str">
        <f t="shared" si="296"/>
        <v>SUNDAY</v>
      </c>
      <c r="F8355" t="e">
        <f t="shared" si="295"/>
        <v>#N/A</v>
      </c>
      <c r="G8355" s="74">
        <v>28473</v>
      </c>
      <c r="H8355" s="77">
        <v>0.375</v>
      </c>
      <c r="J8355">
        <v>37.04</v>
      </c>
      <c r="M8355" s="74">
        <v>36874</v>
      </c>
      <c r="N8355" s="77">
        <v>0.375</v>
      </c>
      <c r="P8355">
        <v>35.6</v>
      </c>
      <c r="S8355" s="74">
        <v>35778</v>
      </c>
      <c r="T8355" s="77">
        <v>0.375</v>
      </c>
      <c r="V8355">
        <v>35.96</v>
      </c>
      <c r="X8355" s="42"/>
      <c r="AB8355">
        <v>36.299999999999997</v>
      </c>
      <c r="AC8355">
        <v>37.4</v>
      </c>
      <c r="AE8355" s="74"/>
      <c r="AF8355" s="77"/>
      <c r="AH8355" s="497">
        <v>28.4</v>
      </c>
      <c r="AJ8355" s="42"/>
      <c r="AK8355" s="74"/>
      <c r="AL8355" s="77"/>
      <c r="AN8355" s="497">
        <v>24.98</v>
      </c>
      <c r="AP8355" s="42"/>
      <c r="AQ8355" s="74"/>
      <c r="AR8355" s="77"/>
      <c r="AT8355" s="497">
        <v>31.64</v>
      </c>
      <c r="AV8355" s="42"/>
      <c r="AW8355" s="74"/>
      <c r="AX8355" s="77"/>
      <c r="BA8355" s="497">
        <v>37.4</v>
      </c>
      <c r="BB8355" s="42"/>
      <c r="BC8355" s="74"/>
      <c r="BD8355" s="77"/>
      <c r="BF8355">
        <v>42.08</v>
      </c>
      <c r="BH8355" s="42"/>
      <c r="BI8355" s="74"/>
      <c r="BJ8355" s="77"/>
      <c r="BL8355" s="497">
        <v>39.92</v>
      </c>
      <c r="BN8355" s="42"/>
      <c r="BO8355" s="74"/>
      <c r="BP8355" s="77"/>
      <c r="BR8355" s="497">
        <v>17.96</v>
      </c>
      <c r="BT8355" s="42"/>
    </row>
    <row r="8356" spans="1:72" x14ac:dyDescent="0.25">
      <c r="A8356" s="90">
        <v>35778</v>
      </c>
      <c r="B8356" s="20">
        <v>0.41666666666666669</v>
      </c>
      <c r="D8356">
        <v>28.94</v>
      </c>
      <c r="E8356" t="str">
        <f t="shared" si="296"/>
        <v>SUNDAY</v>
      </c>
      <c r="F8356" t="e">
        <f t="shared" si="295"/>
        <v>#N/A</v>
      </c>
      <c r="G8356" s="74">
        <v>28473</v>
      </c>
      <c r="H8356" s="77">
        <v>0.41666666666666669</v>
      </c>
      <c r="J8356">
        <v>37.04</v>
      </c>
      <c r="M8356" s="74">
        <v>36874</v>
      </c>
      <c r="N8356" s="77">
        <v>0.41666666666666669</v>
      </c>
      <c r="P8356">
        <v>37.4</v>
      </c>
      <c r="S8356" s="74">
        <v>35778</v>
      </c>
      <c r="T8356" s="77">
        <v>0.41666666666666669</v>
      </c>
      <c r="V8356">
        <v>39.019999999999996</v>
      </c>
      <c r="X8356" s="42"/>
      <c r="AB8356">
        <v>37.700000000000003</v>
      </c>
      <c r="AC8356">
        <v>41</v>
      </c>
      <c r="AE8356" s="74"/>
      <c r="AF8356" s="77"/>
      <c r="AH8356" s="497">
        <v>28.4</v>
      </c>
      <c r="AJ8356" s="42"/>
      <c r="AK8356" s="74"/>
      <c r="AL8356" s="77"/>
      <c r="AN8356" s="497">
        <v>24.08</v>
      </c>
      <c r="AP8356" s="42"/>
      <c r="AQ8356" s="74"/>
      <c r="AR8356" s="77"/>
      <c r="AT8356" s="497">
        <v>30.92</v>
      </c>
      <c r="AV8356" s="42"/>
      <c r="AW8356" s="74"/>
      <c r="AX8356" s="77"/>
      <c r="BA8356" s="497">
        <v>37.04</v>
      </c>
      <c r="BB8356" s="42"/>
      <c r="BC8356" s="74"/>
      <c r="BD8356" s="77"/>
      <c r="BF8356">
        <v>42.08</v>
      </c>
      <c r="BH8356" s="42"/>
      <c r="BI8356" s="74"/>
      <c r="BJ8356" s="77"/>
      <c r="BL8356" s="497">
        <v>41</v>
      </c>
      <c r="BN8356" s="42"/>
      <c r="BO8356" s="74"/>
      <c r="BP8356" s="77"/>
      <c r="BR8356" s="497">
        <v>17.059999999999999</v>
      </c>
      <c r="BT8356" s="42"/>
    </row>
    <row r="8357" spans="1:72" x14ac:dyDescent="0.25">
      <c r="A8357" s="90">
        <v>35778</v>
      </c>
      <c r="B8357" s="20">
        <v>0.45833333333333331</v>
      </c>
      <c r="D8357">
        <v>28.94</v>
      </c>
      <c r="E8357" t="str">
        <f t="shared" si="296"/>
        <v>SUNDAY</v>
      </c>
      <c r="F8357" t="e">
        <f t="shared" si="295"/>
        <v>#N/A</v>
      </c>
      <c r="G8357" s="74">
        <v>28473</v>
      </c>
      <c r="H8357" s="77">
        <v>0.45833333333333331</v>
      </c>
      <c r="J8357">
        <v>37.04</v>
      </c>
      <c r="M8357" s="74">
        <v>36874</v>
      </c>
      <c r="N8357" s="77">
        <v>0.45833333333333331</v>
      </c>
      <c r="P8357">
        <v>41</v>
      </c>
      <c r="S8357" s="74">
        <v>35778</v>
      </c>
      <c r="T8357" s="77">
        <v>0.45833333333333331</v>
      </c>
      <c r="V8357">
        <v>42.08</v>
      </c>
      <c r="X8357" s="42"/>
      <c r="AB8357">
        <v>39.1</v>
      </c>
      <c r="AC8357">
        <v>42.8</v>
      </c>
      <c r="AE8357" s="74"/>
      <c r="AF8357" s="77"/>
      <c r="AH8357" s="497">
        <v>30.2</v>
      </c>
      <c r="AJ8357" s="42"/>
      <c r="AK8357" s="74"/>
      <c r="AL8357" s="77"/>
      <c r="AN8357" s="497">
        <v>26.060000000000002</v>
      </c>
      <c r="AP8357" s="42"/>
      <c r="AQ8357" s="74"/>
      <c r="AR8357" s="77"/>
      <c r="AT8357" s="497">
        <v>30.56</v>
      </c>
      <c r="AV8357" s="42"/>
      <c r="AW8357" s="74"/>
      <c r="AX8357" s="77"/>
      <c r="BA8357" s="497">
        <v>37.04</v>
      </c>
      <c r="BB8357" s="42"/>
      <c r="BC8357" s="74"/>
      <c r="BD8357" s="77"/>
      <c r="BF8357">
        <v>42.08</v>
      </c>
      <c r="BH8357" s="42"/>
      <c r="BI8357" s="74"/>
      <c r="BJ8357" s="77"/>
      <c r="BL8357" s="497">
        <v>41</v>
      </c>
      <c r="BN8357" s="42"/>
      <c r="BO8357" s="74"/>
      <c r="BP8357" s="77"/>
      <c r="BR8357" s="497">
        <v>15.98</v>
      </c>
      <c r="BT8357" s="42"/>
    </row>
    <row r="8358" spans="1:72" x14ac:dyDescent="0.25">
      <c r="A8358" s="90">
        <v>35778</v>
      </c>
      <c r="B8358" s="20">
        <v>0.5</v>
      </c>
      <c r="D8358">
        <v>28.94</v>
      </c>
      <c r="E8358" t="str">
        <f t="shared" si="296"/>
        <v>SUNDAY</v>
      </c>
      <c r="F8358" t="e">
        <f t="shared" si="295"/>
        <v>#N/A</v>
      </c>
      <c r="G8358" s="74">
        <v>28473</v>
      </c>
      <c r="H8358" s="77">
        <v>0.5</v>
      </c>
      <c r="J8358">
        <v>37.04</v>
      </c>
      <c r="M8358" s="74">
        <v>36874</v>
      </c>
      <c r="N8358" s="77">
        <v>0.5</v>
      </c>
      <c r="P8358">
        <v>39.200000000000003</v>
      </c>
      <c r="S8358" s="74">
        <v>35778</v>
      </c>
      <c r="T8358" s="77">
        <v>0.5</v>
      </c>
      <c r="V8358">
        <v>42.980000000000004</v>
      </c>
      <c r="X8358" s="42"/>
      <c r="AB8358">
        <v>40.299999999999997</v>
      </c>
      <c r="AC8358">
        <v>42.8</v>
      </c>
      <c r="AE8358" s="74"/>
      <c r="AF8358" s="77"/>
      <c r="AH8358" s="497">
        <v>30.2</v>
      </c>
      <c r="AJ8358" s="42"/>
      <c r="AK8358" s="74"/>
      <c r="AL8358" s="77"/>
      <c r="AN8358" s="497">
        <v>26.060000000000002</v>
      </c>
      <c r="AP8358" s="42"/>
      <c r="AQ8358" s="74"/>
      <c r="AR8358" s="77"/>
      <c r="AT8358" s="497">
        <v>30.38</v>
      </c>
      <c r="AV8358" s="42"/>
      <c r="AW8358" s="74"/>
      <c r="AX8358" s="77"/>
      <c r="BA8358" s="497">
        <v>37.04</v>
      </c>
      <c r="BB8358" s="42"/>
      <c r="BC8358" s="74"/>
      <c r="BD8358" s="77"/>
      <c r="BF8358">
        <v>41</v>
      </c>
      <c r="BH8358" s="42"/>
      <c r="BI8358" s="74"/>
      <c r="BJ8358" s="77"/>
      <c r="BL8358" s="497">
        <v>42.08</v>
      </c>
      <c r="BN8358" s="42"/>
      <c r="BO8358" s="74"/>
      <c r="BP8358" s="77"/>
      <c r="BR8358" s="497">
        <v>17.96</v>
      </c>
      <c r="BT8358" s="42"/>
    </row>
    <row r="8359" spans="1:72" x14ac:dyDescent="0.25">
      <c r="A8359" s="90">
        <v>35778</v>
      </c>
      <c r="B8359" s="20">
        <v>0.54166666666666663</v>
      </c>
      <c r="D8359">
        <v>30.02</v>
      </c>
      <c r="E8359" t="str">
        <f t="shared" si="296"/>
        <v>SUNDAY</v>
      </c>
      <c r="F8359" t="e">
        <f t="shared" si="295"/>
        <v>#N/A</v>
      </c>
      <c r="G8359" s="74">
        <v>28473</v>
      </c>
      <c r="H8359" s="77">
        <v>0.54166666666666663</v>
      </c>
      <c r="J8359">
        <v>37.94</v>
      </c>
      <c r="M8359" s="74">
        <v>36874</v>
      </c>
      <c r="N8359" s="77">
        <v>0.54166666666666663</v>
      </c>
      <c r="P8359">
        <v>41</v>
      </c>
      <c r="S8359" s="74">
        <v>35778</v>
      </c>
      <c r="T8359" s="77">
        <v>0.54166666666666663</v>
      </c>
      <c r="V8359">
        <v>44.06</v>
      </c>
      <c r="X8359" s="42"/>
      <c r="AB8359">
        <v>41.1</v>
      </c>
      <c r="AC8359">
        <v>44.6</v>
      </c>
      <c r="AE8359" s="74"/>
      <c r="AF8359" s="77"/>
      <c r="AH8359" s="497">
        <v>32</v>
      </c>
      <c r="AJ8359" s="42"/>
      <c r="AK8359" s="74"/>
      <c r="AL8359" s="77"/>
      <c r="AN8359" s="497">
        <v>26.96</v>
      </c>
      <c r="AP8359" s="42"/>
      <c r="AQ8359" s="74"/>
      <c r="AR8359" s="77"/>
      <c r="AT8359" s="497">
        <v>30.02</v>
      </c>
      <c r="AV8359" s="42"/>
      <c r="AW8359" s="74"/>
      <c r="AX8359" s="77"/>
      <c r="BA8359" s="497">
        <v>37.04</v>
      </c>
      <c r="BB8359" s="42"/>
      <c r="BC8359" s="74"/>
      <c r="BD8359" s="77"/>
      <c r="BF8359">
        <v>41</v>
      </c>
      <c r="BH8359" s="42"/>
      <c r="BI8359" s="74"/>
      <c r="BJ8359" s="77"/>
      <c r="BL8359" s="497">
        <v>42.980000000000004</v>
      </c>
      <c r="BN8359" s="42"/>
      <c r="BO8359" s="74"/>
      <c r="BP8359" s="77"/>
      <c r="BR8359" s="497">
        <v>19.939999999999998</v>
      </c>
      <c r="BT8359" s="42"/>
    </row>
    <row r="8360" spans="1:72" x14ac:dyDescent="0.25">
      <c r="A8360" s="90">
        <v>35778</v>
      </c>
      <c r="B8360" s="20">
        <v>0.58333333333333337</v>
      </c>
      <c r="D8360">
        <v>32</v>
      </c>
      <c r="E8360" t="str">
        <f t="shared" si="296"/>
        <v>SUNDAY</v>
      </c>
      <c r="F8360" t="e">
        <f t="shared" si="295"/>
        <v>#N/A</v>
      </c>
      <c r="G8360" s="74">
        <v>28473</v>
      </c>
      <c r="H8360" s="77">
        <v>0.58333333333333337</v>
      </c>
      <c r="J8360">
        <v>39.019999999999996</v>
      </c>
      <c r="M8360" s="74">
        <v>36874</v>
      </c>
      <c r="N8360" s="77">
        <v>0.58333333333333337</v>
      </c>
      <c r="P8360">
        <v>41</v>
      </c>
      <c r="S8360" s="74">
        <v>35778</v>
      </c>
      <c r="T8360" s="77">
        <v>0.58333333333333337</v>
      </c>
      <c r="V8360">
        <v>41</v>
      </c>
      <c r="X8360" s="42"/>
      <c r="AB8360">
        <v>41.8</v>
      </c>
      <c r="AC8360">
        <v>42.8</v>
      </c>
      <c r="AE8360" s="74"/>
      <c r="AF8360" s="77"/>
      <c r="AH8360" s="497">
        <v>32</v>
      </c>
      <c r="AJ8360" s="42"/>
      <c r="AK8360" s="74"/>
      <c r="AL8360" s="77"/>
      <c r="AN8360" s="497">
        <v>26.060000000000002</v>
      </c>
      <c r="AP8360" s="42"/>
      <c r="AQ8360" s="74"/>
      <c r="AR8360" s="77"/>
      <c r="AT8360" s="497">
        <v>30.02</v>
      </c>
      <c r="AV8360" s="42"/>
      <c r="AW8360" s="74"/>
      <c r="AX8360" s="77"/>
      <c r="BA8360" s="497">
        <v>37.04</v>
      </c>
      <c r="BB8360" s="42"/>
      <c r="BC8360" s="74"/>
      <c r="BD8360" s="77"/>
      <c r="BF8360">
        <v>42.08</v>
      </c>
      <c r="BH8360" s="42"/>
      <c r="BI8360" s="74"/>
      <c r="BJ8360" s="77"/>
      <c r="BL8360" s="497">
        <v>42.980000000000004</v>
      </c>
      <c r="BN8360" s="42"/>
      <c r="BO8360" s="74"/>
      <c r="BP8360" s="77"/>
      <c r="BR8360" s="497">
        <v>21.02</v>
      </c>
      <c r="BT8360" s="42"/>
    </row>
    <row r="8361" spans="1:72" x14ac:dyDescent="0.25">
      <c r="A8361" s="90">
        <v>35778</v>
      </c>
      <c r="B8361" s="20">
        <v>0.625</v>
      </c>
      <c r="D8361">
        <v>33.979999999999997</v>
      </c>
      <c r="E8361" t="str">
        <f t="shared" si="296"/>
        <v>SUNDAY</v>
      </c>
      <c r="F8361" t="e">
        <f t="shared" si="295"/>
        <v>#N/A</v>
      </c>
      <c r="G8361" s="74">
        <v>28473</v>
      </c>
      <c r="H8361" s="77">
        <v>0.625</v>
      </c>
      <c r="J8361">
        <v>41</v>
      </c>
      <c r="M8361" s="74">
        <v>36874</v>
      </c>
      <c r="N8361" s="77">
        <v>0.625</v>
      </c>
      <c r="P8361">
        <v>42.8</v>
      </c>
      <c r="S8361" s="74">
        <v>35778</v>
      </c>
      <c r="T8361" s="77">
        <v>0.625</v>
      </c>
      <c r="V8361">
        <v>42.08</v>
      </c>
      <c r="X8361" s="42"/>
      <c r="AB8361">
        <v>42.1</v>
      </c>
      <c r="AC8361">
        <v>42.8</v>
      </c>
      <c r="AE8361" s="74"/>
      <c r="AF8361" s="77"/>
      <c r="AH8361" s="497">
        <v>30.2</v>
      </c>
      <c r="AJ8361" s="42"/>
      <c r="AK8361" s="74"/>
      <c r="AL8361" s="77"/>
      <c r="AN8361" s="497">
        <v>26.96</v>
      </c>
      <c r="AP8361" s="42"/>
      <c r="AQ8361" s="74"/>
      <c r="AR8361" s="77"/>
      <c r="AT8361" s="497">
        <v>30.02</v>
      </c>
      <c r="AV8361" s="42"/>
      <c r="AW8361" s="74"/>
      <c r="AX8361" s="77"/>
      <c r="BA8361" s="497">
        <v>37.04</v>
      </c>
      <c r="BB8361" s="42"/>
      <c r="BC8361" s="74"/>
      <c r="BD8361" s="77"/>
      <c r="BF8361">
        <v>42.08</v>
      </c>
      <c r="BH8361" s="42"/>
      <c r="BI8361" s="74"/>
      <c r="BJ8361" s="77"/>
      <c r="BL8361" s="497">
        <v>42.08</v>
      </c>
      <c r="BN8361" s="42"/>
      <c r="BO8361" s="74"/>
      <c r="BP8361" s="77"/>
      <c r="BR8361" s="497">
        <v>21.92</v>
      </c>
      <c r="BT8361" s="42"/>
    </row>
    <row r="8362" spans="1:72" x14ac:dyDescent="0.25">
      <c r="A8362" s="90">
        <v>35778</v>
      </c>
      <c r="B8362" s="20">
        <v>0.66666666666666663</v>
      </c>
      <c r="D8362">
        <v>35.06</v>
      </c>
      <c r="E8362" t="str">
        <f t="shared" si="296"/>
        <v>SUNDAY</v>
      </c>
      <c r="F8362" t="e">
        <f t="shared" si="295"/>
        <v>#N/A</v>
      </c>
      <c r="G8362" s="74">
        <v>28473</v>
      </c>
      <c r="H8362" s="77">
        <v>0.66666666666666663</v>
      </c>
      <c r="J8362">
        <v>50</v>
      </c>
      <c r="M8362" s="74">
        <v>36874</v>
      </c>
      <c r="N8362" s="77">
        <v>0.66666666666666663</v>
      </c>
      <c r="P8362">
        <v>46.4</v>
      </c>
      <c r="S8362" s="74">
        <v>35778</v>
      </c>
      <c r="T8362" s="77">
        <v>0.66666666666666663</v>
      </c>
      <c r="V8362">
        <v>39.92</v>
      </c>
      <c r="X8362" s="42"/>
      <c r="AB8362">
        <v>41.9</v>
      </c>
      <c r="AC8362">
        <v>41</v>
      </c>
      <c r="AE8362" s="74"/>
      <c r="AF8362" s="77"/>
      <c r="AH8362" s="497">
        <v>30.2</v>
      </c>
      <c r="AJ8362" s="42"/>
      <c r="AK8362" s="74"/>
      <c r="AL8362" s="77"/>
      <c r="AN8362" s="497">
        <v>28.04</v>
      </c>
      <c r="AP8362" s="42"/>
      <c r="AQ8362" s="74"/>
      <c r="AR8362" s="77"/>
      <c r="AT8362" s="497">
        <v>30.02</v>
      </c>
      <c r="AV8362" s="42"/>
      <c r="AW8362" s="74"/>
      <c r="AX8362" s="77"/>
      <c r="BA8362" s="497">
        <v>37.04</v>
      </c>
      <c r="BB8362" s="42"/>
      <c r="BC8362" s="74"/>
      <c r="BD8362" s="77"/>
      <c r="BF8362">
        <v>41</v>
      </c>
      <c r="BH8362" s="42"/>
      <c r="BI8362" s="74"/>
      <c r="BJ8362" s="77"/>
      <c r="BL8362" s="497">
        <v>41</v>
      </c>
      <c r="BN8362" s="42"/>
      <c r="BO8362" s="74"/>
      <c r="BP8362" s="77"/>
      <c r="BR8362" s="497">
        <v>21.92</v>
      </c>
      <c r="BT8362" s="42"/>
    </row>
    <row r="8363" spans="1:72" x14ac:dyDescent="0.25">
      <c r="A8363" s="90">
        <v>35778</v>
      </c>
      <c r="B8363" s="20">
        <v>0.70833333333333337</v>
      </c>
      <c r="D8363">
        <v>35.06</v>
      </c>
      <c r="E8363" t="str">
        <f t="shared" si="296"/>
        <v>SUNDAY</v>
      </c>
      <c r="F8363" t="e">
        <f t="shared" ref="F8363:F8426" si="297">IF(E8363="WEEKDAY",VLOOKUP(B8363,$DD$19:$DG$42,2),IF(E8363="SATURDAY",VLOOKUP(B8363,$DD$19:$DG$42,3),VLOOKUP(B8363,$DD$19:$DG$42,4)))</f>
        <v>#N/A</v>
      </c>
      <c r="G8363" s="74">
        <v>28473</v>
      </c>
      <c r="H8363" s="77">
        <v>0.70833333333333337</v>
      </c>
      <c r="J8363">
        <v>50</v>
      </c>
      <c r="M8363" s="74">
        <v>36874</v>
      </c>
      <c r="N8363" s="77">
        <v>0.70833333333333337</v>
      </c>
      <c r="P8363">
        <v>44.24</v>
      </c>
      <c r="S8363" s="74">
        <v>35778</v>
      </c>
      <c r="T8363" s="77">
        <v>0.70833333333333337</v>
      </c>
      <c r="V8363">
        <v>37.04</v>
      </c>
      <c r="X8363" s="42"/>
      <c r="AB8363">
        <v>41.1</v>
      </c>
      <c r="AC8363">
        <v>37.4</v>
      </c>
      <c r="AE8363" s="74"/>
      <c r="AF8363" s="77"/>
      <c r="AH8363" s="497">
        <v>28.4</v>
      </c>
      <c r="AJ8363" s="42"/>
      <c r="AK8363" s="74"/>
      <c r="AL8363" s="77"/>
      <c r="AN8363" s="497">
        <v>26.060000000000002</v>
      </c>
      <c r="AP8363" s="42"/>
      <c r="AQ8363" s="74"/>
      <c r="AR8363" s="77"/>
      <c r="AT8363" s="497">
        <v>28.94</v>
      </c>
      <c r="AV8363" s="42"/>
      <c r="AW8363" s="74"/>
      <c r="AX8363" s="77"/>
      <c r="BA8363" s="497">
        <v>37.04</v>
      </c>
      <c r="BB8363" s="42"/>
      <c r="BC8363" s="74"/>
      <c r="BD8363" s="77"/>
      <c r="BF8363">
        <v>39.92</v>
      </c>
      <c r="BH8363" s="42"/>
      <c r="BI8363" s="74"/>
      <c r="BJ8363" s="77"/>
      <c r="BL8363" s="497">
        <v>39.92</v>
      </c>
      <c r="BN8363" s="42"/>
      <c r="BO8363" s="74"/>
      <c r="BP8363" s="77"/>
      <c r="BR8363" s="497">
        <v>21.92</v>
      </c>
      <c r="BT8363" s="42"/>
    </row>
    <row r="8364" spans="1:72" x14ac:dyDescent="0.25">
      <c r="A8364" s="90">
        <v>35778</v>
      </c>
      <c r="B8364" s="20">
        <v>0.75</v>
      </c>
      <c r="D8364">
        <v>37.04</v>
      </c>
      <c r="E8364" t="str">
        <f t="shared" si="296"/>
        <v>SUNDAY</v>
      </c>
      <c r="F8364" t="e">
        <f t="shared" si="297"/>
        <v>#N/A</v>
      </c>
      <c r="G8364" s="74">
        <v>28473</v>
      </c>
      <c r="H8364" s="77">
        <v>0.75</v>
      </c>
      <c r="J8364">
        <v>51.08</v>
      </c>
      <c r="M8364" s="74">
        <v>36874</v>
      </c>
      <c r="N8364" s="77">
        <v>0.75</v>
      </c>
      <c r="P8364">
        <v>42.8</v>
      </c>
      <c r="S8364" s="74">
        <v>35778</v>
      </c>
      <c r="T8364" s="77">
        <v>0.75</v>
      </c>
      <c r="V8364">
        <v>35.96</v>
      </c>
      <c r="X8364" s="42"/>
      <c r="AB8364">
        <v>40.1</v>
      </c>
      <c r="AC8364">
        <v>35.6</v>
      </c>
      <c r="AE8364" s="74"/>
      <c r="AF8364" s="77"/>
      <c r="AH8364" s="497">
        <v>26.6</v>
      </c>
      <c r="AJ8364" s="42"/>
      <c r="AK8364" s="74"/>
      <c r="AL8364" s="77"/>
      <c r="AN8364" s="497">
        <v>24.98</v>
      </c>
      <c r="AP8364" s="42"/>
      <c r="AQ8364" s="74"/>
      <c r="AR8364" s="77"/>
      <c r="AT8364" s="497">
        <v>28.04</v>
      </c>
      <c r="AV8364" s="42"/>
      <c r="AW8364" s="74"/>
      <c r="AX8364" s="77"/>
      <c r="BA8364" s="497">
        <v>37.04</v>
      </c>
      <c r="BB8364" s="42"/>
      <c r="BC8364" s="74"/>
      <c r="BD8364" s="77"/>
      <c r="BF8364">
        <v>39.92</v>
      </c>
      <c r="BH8364" s="42"/>
      <c r="BI8364" s="74"/>
      <c r="BJ8364" s="77"/>
      <c r="BL8364" s="497">
        <v>39.92</v>
      </c>
      <c r="BN8364" s="42"/>
      <c r="BO8364" s="74"/>
      <c r="BP8364" s="77"/>
      <c r="BR8364" s="497">
        <v>19.939999999999998</v>
      </c>
      <c r="BT8364" s="42"/>
    </row>
    <row r="8365" spans="1:72" x14ac:dyDescent="0.25">
      <c r="A8365" s="90">
        <v>35778</v>
      </c>
      <c r="B8365" s="20">
        <v>0.79166666666666663</v>
      </c>
      <c r="D8365">
        <v>39.019999999999996</v>
      </c>
      <c r="E8365" t="str">
        <f t="shared" si="296"/>
        <v>SUNDAY</v>
      </c>
      <c r="F8365" t="e">
        <f t="shared" si="297"/>
        <v>#N/A</v>
      </c>
      <c r="G8365" s="74">
        <v>28473</v>
      </c>
      <c r="H8365" s="77">
        <v>0.79166666666666663</v>
      </c>
      <c r="J8365">
        <v>51.980000000000004</v>
      </c>
      <c r="M8365" s="74">
        <v>36874</v>
      </c>
      <c r="N8365" s="77">
        <v>0.79166666666666663</v>
      </c>
      <c r="P8365">
        <v>41</v>
      </c>
      <c r="S8365" s="74">
        <v>35778</v>
      </c>
      <c r="T8365" s="77">
        <v>0.79166666666666663</v>
      </c>
      <c r="V8365">
        <v>33.08</v>
      </c>
      <c r="X8365" s="42"/>
      <c r="AB8365">
        <v>39.700000000000003</v>
      </c>
      <c r="AC8365">
        <v>33.799999999999997</v>
      </c>
      <c r="AE8365" s="74"/>
      <c r="AF8365" s="77"/>
      <c r="AH8365" s="497">
        <v>24.8</v>
      </c>
      <c r="AJ8365" s="42"/>
      <c r="AK8365" s="74"/>
      <c r="AL8365" s="77"/>
      <c r="AN8365" s="497">
        <v>24.98</v>
      </c>
      <c r="AP8365" s="42"/>
      <c r="AQ8365" s="74"/>
      <c r="AR8365" s="77"/>
      <c r="AT8365" s="497">
        <v>26.96</v>
      </c>
      <c r="AV8365" s="42"/>
      <c r="AW8365" s="74"/>
      <c r="AX8365" s="77"/>
      <c r="BA8365" s="497">
        <v>37.04</v>
      </c>
      <c r="BB8365" s="42"/>
      <c r="BC8365" s="74"/>
      <c r="BD8365" s="77"/>
      <c r="BF8365">
        <v>39.019999999999996</v>
      </c>
      <c r="BH8365" s="42"/>
      <c r="BI8365" s="74"/>
      <c r="BJ8365" s="77"/>
      <c r="BL8365" s="497">
        <v>37.94</v>
      </c>
      <c r="BN8365" s="42"/>
      <c r="BO8365" s="74"/>
      <c r="BP8365" s="77"/>
      <c r="BR8365" s="497">
        <v>19.939999999999998</v>
      </c>
      <c r="BT8365" s="42"/>
    </row>
    <row r="8366" spans="1:72" x14ac:dyDescent="0.25">
      <c r="A8366" s="90">
        <v>35778</v>
      </c>
      <c r="B8366" s="20">
        <v>0.83333333333333337</v>
      </c>
      <c r="D8366">
        <v>42.08</v>
      </c>
      <c r="E8366" t="str">
        <f t="shared" si="296"/>
        <v>SUNDAY</v>
      </c>
      <c r="F8366" t="e">
        <f t="shared" si="297"/>
        <v>#N/A</v>
      </c>
      <c r="G8366" s="74">
        <v>28473</v>
      </c>
      <c r="H8366" s="77">
        <v>0.83333333333333337</v>
      </c>
      <c r="J8366">
        <v>51.980000000000004</v>
      </c>
      <c r="M8366" s="74">
        <v>36874</v>
      </c>
      <c r="N8366" s="77">
        <v>0.83333333333333337</v>
      </c>
      <c r="P8366">
        <v>39.200000000000003</v>
      </c>
      <c r="S8366" s="74">
        <v>35778</v>
      </c>
      <c r="T8366" s="77">
        <v>0.83333333333333337</v>
      </c>
      <c r="V8366">
        <v>32</v>
      </c>
      <c r="X8366" s="42"/>
      <c r="AB8366">
        <v>39.4</v>
      </c>
      <c r="AC8366">
        <v>32</v>
      </c>
      <c r="AE8366" s="74"/>
      <c r="AF8366" s="77"/>
      <c r="AH8366" s="497">
        <v>24.8</v>
      </c>
      <c r="AJ8366" s="42"/>
      <c r="AK8366" s="74"/>
      <c r="AL8366" s="77"/>
      <c r="AN8366" s="497">
        <v>24.98</v>
      </c>
      <c r="AP8366" s="42"/>
      <c r="AQ8366" s="74"/>
      <c r="AR8366" s="77"/>
      <c r="AT8366" s="497">
        <v>25.7</v>
      </c>
      <c r="AV8366" s="42"/>
      <c r="AW8366" s="74"/>
      <c r="AX8366" s="77"/>
      <c r="BA8366" s="497">
        <v>36.68</v>
      </c>
      <c r="BB8366" s="42"/>
      <c r="BC8366" s="74"/>
      <c r="BD8366" s="77"/>
      <c r="BF8366">
        <v>37.04</v>
      </c>
      <c r="BH8366" s="42"/>
      <c r="BI8366" s="74"/>
      <c r="BJ8366" s="77"/>
      <c r="BL8366" s="497">
        <v>37.94</v>
      </c>
      <c r="BN8366" s="42"/>
      <c r="BO8366" s="74"/>
      <c r="BP8366" s="77"/>
      <c r="BR8366" s="497">
        <v>21.92</v>
      </c>
      <c r="BT8366" s="42"/>
    </row>
    <row r="8367" spans="1:72" x14ac:dyDescent="0.25">
      <c r="A8367" s="90">
        <v>35778</v>
      </c>
      <c r="B8367" s="20">
        <v>0.875</v>
      </c>
      <c r="D8367">
        <v>41</v>
      </c>
      <c r="E8367" t="str">
        <f t="shared" si="296"/>
        <v>SUNDAY</v>
      </c>
      <c r="F8367" t="e">
        <f t="shared" si="297"/>
        <v>#N/A</v>
      </c>
      <c r="G8367" s="74">
        <v>28473</v>
      </c>
      <c r="H8367" s="77">
        <v>0.875</v>
      </c>
      <c r="J8367">
        <v>53.06</v>
      </c>
      <c r="M8367" s="74">
        <v>36874</v>
      </c>
      <c r="N8367" s="77">
        <v>0.875</v>
      </c>
      <c r="P8367">
        <v>41</v>
      </c>
      <c r="S8367" s="74">
        <v>35778</v>
      </c>
      <c r="T8367" s="77">
        <v>0.875</v>
      </c>
      <c r="V8367">
        <v>30.92</v>
      </c>
      <c r="X8367" s="42"/>
      <c r="AB8367">
        <v>39</v>
      </c>
      <c r="AC8367">
        <v>32</v>
      </c>
      <c r="AE8367" s="74"/>
      <c r="AF8367" s="77"/>
      <c r="AH8367" s="497">
        <v>24.8</v>
      </c>
      <c r="AJ8367" s="42"/>
      <c r="AK8367" s="74"/>
      <c r="AL8367" s="77"/>
      <c r="AN8367" s="497">
        <v>24.98</v>
      </c>
      <c r="AP8367" s="42"/>
      <c r="AQ8367" s="74"/>
      <c r="AR8367" s="77"/>
      <c r="AT8367" s="497">
        <v>24.259999999999998</v>
      </c>
      <c r="AV8367" s="42"/>
      <c r="AW8367" s="74"/>
      <c r="AX8367" s="77"/>
      <c r="BA8367" s="497">
        <v>36.32</v>
      </c>
      <c r="BB8367" s="42"/>
      <c r="BC8367" s="74"/>
      <c r="BD8367" s="77"/>
      <c r="BF8367">
        <v>35.96</v>
      </c>
      <c r="BH8367" s="42"/>
      <c r="BI8367" s="74"/>
      <c r="BJ8367" s="77"/>
      <c r="BL8367" s="497">
        <v>39.019999999999996</v>
      </c>
      <c r="BN8367" s="42"/>
      <c r="BO8367" s="74"/>
      <c r="BP8367" s="77"/>
      <c r="BR8367" s="497">
        <v>28.94</v>
      </c>
      <c r="BT8367" s="42"/>
    </row>
    <row r="8368" spans="1:72" x14ac:dyDescent="0.25">
      <c r="A8368" s="90">
        <v>35778</v>
      </c>
      <c r="B8368" s="20">
        <v>0.91666666666666663</v>
      </c>
      <c r="D8368">
        <v>41</v>
      </c>
      <c r="E8368" t="str">
        <f t="shared" si="296"/>
        <v>SUNDAY</v>
      </c>
      <c r="F8368" t="e">
        <f t="shared" si="297"/>
        <v>#N/A</v>
      </c>
      <c r="G8368" s="74">
        <v>28473</v>
      </c>
      <c r="H8368" s="77">
        <v>0.91666666666666663</v>
      </c>
      <c r="J8368">
        <v>55.94</v>
      </c>
      <c r="M8368" s="74">
        <v>36874</v>
      </c>
      <c r="N8368" s="77">
        <v>0.91666666666666663</v>
      </c>
      <c r="P8368">
        <v>37.4</v>
      </c>
      <c r="S8368" s="74">
        <v>35778</v>
      </c>
      <c r="T8368" s="77">
        <v>0.91666666666666663</v>
      </c>
      <c r="V8368">
        <v>30.02</v>
      </c>
      <c r="X8368" s="42"/>
      <c r="AB8368">
        <v>38.5</v>
      </c>
      <c r="AC8368">
        <v>28.4</v>
      </c>
      <c r="AE8368" s="74"/>
      <c r="AF8368" s="77"/>
      <c r="AH8368" s="497">
        <v>24.8</v>
      </c>
      <c r="AJ8368" s="42"/>
      <c r="AK8368" s="74"/>
      <c r="AL8368" s="77"/>
      <c r="AN8368" s="497">
        <v>24.08</v>
      </c>
      <c r="AP8368" s="42"/>
      <c r="AQ8368" s="74"/>
      <c r="AR8368" s="77"/>
      <c r="AT8368" s="497">
        <v>23</v>
      </c>
      <c r="AV8368" s="42"/>
      <c r="AW8368" s="74"/>
      <c r="AX8368" s="77"/>
      <c r="BA8368" s="497">
        <v>35.96</v>
      </c>
      <c r="BB8368" s="42"/>
      <c r="BC8368" s="74"/>
      <c r="BD8368" s="77"/>
      <c r="BF8368">
        <v>35.96</v>
      </c>
      <c r="BH8368" s="42"/>
      <c r="BI8368" s="74"/>
      <c r="BJ8368" s="77"/>
      <c r="BL8368" s="497">
        <v>39.019999999999996</v>
      </c>
      <c r="BN8368" s="42"/>
      <c r="BO8368" s="74"/>
      <c r="BP8368" s="77"/>
      <c r="BR8368" s="497">
        <v>24.98</v>
      </c>
      <c r="BT8368" s="42"/>
    </row>
    <row r="8369" spans="1:72" x14ac:dyDescent="0.25">
      <c r="A8369" s="90">
        <v>35778</v>
      </c>
      <c r="B8369" s="20">
        <v>0.95833333333333337</v>
      </c>
      <c r="D8369">
        <v>39.92</v>
      </c>
      <c r="E8369" t="str">
        <f t="shared" si="296"/>
        <v>SUNDAY</v>
      </c>
      <c r="F8369" t="e">
        <f t="shared" si="297"/>
        <v>#N/A</v>
      </c>
      <c r="G8369" s="74">
        <v>28473</v>
      </c>
      <c r="H8369" s="77">
        <v>0.95833333333333337</v>
      </c>
      <c r="J8369">
        <v>53.06</v>
      </c>
      <c r="M8369" s="74">
        <v>36874</v>
      </c>
      <c r="N8369" s="77">
        <v>0.95833333333333337</v>
      </c>
      <c r="P8369">
        <v>37.4</v>
      </c>
      <c r="S8369" s="74">
        <v>35778</v>
      </c>
      <c r="T8369" s="77">
        <v>0.95833333333333337</v>
      </c>
      <c r="V8369">
        <v>28.94</v>
      </c>
      <c r="X8369" s="42"/>
      <c r="AB8369">
        <v>37.9</v>
      </c>
      <c r="AC8369">
        <v>26.6</v>
      </c>
      <c r="AE8369" s="74"/>
      <c r="AF8369" s="77"/>
      <c r="AH8369" s="497">
        <v>21.2</v>
      </c>
      <c r="AJ8369" s="42"/>
      <c r="AK8369" s="74"/>
      <c r="AL8369" s="77"/>
      <c r="AN8369" s="497">
        <v>24.08</v>
      </c>
      <c r="AP8369" s="42"/>
      <c r="AQ8369" s="74"/>
      <c r="AR8369" s="77"/>
      <c r="AT8369" s="497">
        <v>23</v>
      </c>
      <c r="AV8369" s="42"/>
      <c r="AW8369" s="74"/>
      <c r="AX8369" s="77"/>
      <c r="BA8369" s="497">
        <v>35.6</v>
      </c>
      <c r="BB8369" s="42"/>
      <c r="BC8369" s="74"/>
      <c r="BD8369" s="77"/>
      <c r="BF8369">
        <v>35.96</v>
      </c>
      <c r="BH8369" s="42"/>
      <c r="BI8369" s="74"/>
      <c r="BJ8369" s="77"/>
      <c r="BL8369" s="497">
        <v>37.94</v>
      </c>
      <c r="BN8369" s="42"/>
      <c r="BO8369" s="74"/>
      <c r="BP8369" s="77"/>
      <c r="BR8369" s="497">
        <v>24.98</v>
      </c>
      <c r="BT8369" s="42"/>
    </row>
    <row r="8370" spans="1:72" x14ac:dyDescent="0.25">
      <c r="A8370" s="90">
        <v>35778</v>
      </c>
      <c r="B8370" s="20">
        <v>1</v>
      </c>
      <c r="D8370">
        <v>39.92</v>
      </c>
      <c r="E8370" t="str">
        <f t="shared" si="296"/>
        <v>SUNDAY</v>
      </c>
      <c r="F8370" t="e">
        <f t="shared" si="297"/>
        <v>#N/A</v>
      </c>
      <c r="G8370" s="74">
        <v>28473</v>
      </c>
      <c r="H8370" s="77">
        <v>1</v>
      </c>
      <c r="J8370">
        <v>53.06</v>
      </c>
      <c r="M8370" s="74">
        <v>36874</v>
      </c>
      <c r="N8370" s="80">
        <v>1</v>
      </c>
      <c r="P8370">
        <v>35.6</v>
      </c>
      <c r="S8370" s="74">
        <v>35778</v>
      </c>
      <c r="T8370" s="80">
        <v>1</v>
      </c>
      <c r="V8370">
        <v>28.94</v>
      </c>
      <c r="X8370" s="42"/>
      <c r="AB8370">
        <v>37.5</v>
      </c>
      <c r="AC8370">
        <v>26.6</v>
      </c>
      <c r="AE8370" s="74"/>
      <c r="AF8370" s="80"/>
      <c r="AH8370" s="497">
        <v>21.2</v>
      </c>
      <c r="AJ8370" s="42"/>
      <c r="AK8370" s="74"/>
      <c r="AL8370" s="80"/>
      <c r="AN8370" s="497">
        <v>24.08</v>
      </c>
      <c r="AP8370" s="42"/>
      <c r="AQ8370" s="74"/>
      <c r="AR8370" s="80"/>
      <c r="AT8370" s="497">
        <v>23</v>
      </c>
      <c r="AV8370" s="42"/>
      <c r="AW8370" s="74"/>
      <c r="AX8370" s="80"/>
      <c r="BA8370" s="497">
        <v>35.42</v>
      </c>
      <c r="BB8370" s="42"/>
      <c r="BC8370" s="74"/>
      <c r="BD8370" s="80"/>
      <c r="BF8370">
        <v>35.96</v>
      </c>
      <c r="BH8370" s="42"/>
      <c r="BI8370" s="74"/>
      <c r="BJ8370" s="80"/>
      <c r="BL8370" s="497">
        <v>37.94</v>
      </c>
      <c r="BN8370" s="42"/>
      <c r="BO8370" s="74"/>
      <c r="BP8370" s="80"/>
      <c r="BR8370" s="497">
        <v>24.98</v>
      </c>
      <c r="BT8370" s="42"/>
    </row>
    <row r="8371" spans="1:72" x14ac:dyDescent="0.25">
      <c r="A8371" s="90">
        <v>35779</v>
      </c>
      <c r="B8371" s="20">
        <v>4.1666666666666664E-2</v>
      </c>
      <c r="D8371">
        <v>41</v>
      </c>
      <c r="E8371" t="str">
        <f t="shared" si="296"/>
        <v>WEEKDAY</v>
      </c>
      <c r="F8371" t="e">
        <f t="shared" si="297"/>
        <v>#N/A</v>
      </c>
      <c r="G8371" s="74">
        <v>28474</v>
      </c>
      <c r="H8371" s="77">
        <v>4.1666666666666664E-2</v>
      </c>
      <c r="J8371">
        <v>51.980000000000004</v>
      </c>
      <c r="M8371" s="74">
        <v>36875</v>
      </c>
      <c r="N8371" s="77">
        <v>4.1666666666666664E-2</v>
      </c>
      <c r="P8371">
        <v>35.6</v>
      </c>
      <c r="S8371" s="74">
        <v>35779</v>
      </c>
      <c r="T8371" s="77">
        <v>4.1666666666666664E-2</v>
      </c>
      <c r="V8371">
        <v>28.04</v>
      </c>
      <c r="X8371" s="42"/>
      <c r="AB8371">
        <v>37.200000000000003</v>
      </c>
      <c r="AC8371">
        <v>28.4</v>
      </c>
      <c r="AE8371" s="74"/>
      <c r="AF8371" s="77"/>
      <c r="AH8371" s="497">
        <v>21.2</v>
      </c>
      <c r="AJ8371" s="42"/>
      <c r="AK8371" s="74"/>
      <c r="AL8371" s="77"/>
      <c r="AN8371" s="497">
        <v>23</v>
      </c>
      <c r="AP8371" s="42"/>
      <c r="AQ8371" s="74"/>
      <c r="AR8371" s="77"/>
      <c r="AT8371" s="497">
        <v>23</v>
      </c>
      <c r="AV8371" s="42"/>
      <c r="AW8371" s="74"/>
      <c r="AX8371" s="77"/>
      <c r="BA8371" s="497">
        <v>35.06</v>
      </c>
      <c r="BB8371" s="42"/>
      <c r="BC8371" s="74"/>
      <c r="BD8371" s="77"/>
      <c r="BF8371">
        <v>35.96</v>
      </c>
      <c r="BH8371" s="42"/>
      <c r="BI8371" s="74"/>
      <c r="BJ8371" s="77"/>
      <c r="BL8371" s="497">
        <v>35.96</v>
      </c>
      <c r="BN8371" s="42"/>
      <c r="BO8371" s="74"/>
      <c r="BP8371" s="77"/>
      <c r="BR8371" s="497">
        <v>26.060000000000002</v>
      </c>
      <c r="BT8371" s="42"/>
    </row>
    <row r="8372" spans="1:72" x14ac:dyDescent="0.25">
      <c r="A8372" s="90">
        <v>35779</v>
      </c>
      <c r="B8372" s="20">
        <v>8.3333333333333329E-2</v>
      </c>
      <c r="D8372">
        <v>37.04</v>
      </c>
      <c r="E8372" t="str">
        <f t="shared" si="296"/>
        <v>WEEKDAY</v>
      </c>
      <c r="F8372" t="e">
        <f t="shared" si="297"/>
        <v>#N/A</v>
      </c>
      <c r="G8372" s="74">
        <v>28474</v>
      </c>
      <c r="H8372" s="77">
        <v>8.3333333333333329E-2</v>
      </c>
      <c r="J8372">
        <v>55.040000000000006</v>
      </c>
      <c r="M8372" s="74">
        <v>36875</v>
      </c>
      <c r="N8372" s="77">
        <v>8.3333333333333329E-2</v>
      </c>
      <c r="P8372">
        <v>35.6</v>
      </c>
      <c r="S8372" s="74">
        <v>35779</v>
      </c>
      <c r="T8372" s="77">
        <v>8.3333333333333329E-2</v>
      </c>
      <c r="V8372">
        <v>28.04</v>
      </c>
      <c r="X8372" s="42"/>
      <c r="AB8372">
        <v>36.799999999999997</v>
      </c>
      <c r="AC8372">
        <v>26.6</v>
      </c>
      <c r="AE8372" s="74"/>
      <c r="AF8372" s="77"/>
      <c r="AH8372" s="497">
        <v>17.600000000000001</v>
      </c>
      <c r="AJ8372" s="42"/>
      <c r="AK8372" s="74"/>
      <c r="AL8372" s="77"/>
      <c r="AN8372" s="497">
        <v>24.08</v>
      </c>
      <c r="AP8372" s="42"/>
      <c r="AQ8372" s="74"/>
      <c r="AR8372" s="77"/>
      <c r="AT8372" s="497">
        <v>23.72</v>
      </c>
      <c r="AV8372" s="42"/>
      <c r="AW8372" s="74"/>
      <c r="AX8372" s="77"/>
      <c r="BA8372" s="497">
        <v>34.700000000000003</v>
      </c>
      <c r="BB8372" s="42"/>
      <c r="BC8372" s="74"/>
      <c r="BD8372" s="77"/>
      <c r="BF8372">
        <v>35.06</v>
      </c>
      <c r="BH8372" s="42"/>
      <c r="BI8372" s="74"/>
      <c r="BJ8372" s="77"/>
      <c r="BL8372" s="497">
        <v>35.96</v>
      </c>
      <c r="BN8372" s="42"/>
      <c r="BO8372" s="74"/>
      <c r="BP8372" s="77"/>
      <c r="BR8372" s="497">
        <v>28.04</v>
      </c>
      <c r="BT8372" s="42"/>
    </row>
    <row r="8373" spans="1:72" x14ac:dyDescent="0.25">
      <c r="A8373" s="90">
        <v>35779</v>
      </c>
      <c r="B8373" s="20">
        <v>0.125</v>
      </c>
      <c r="D8373">
        <v>33.08</v>
      </c>
      <c r="E8373" t="str">
        <f t="shared" si="296"/>
        <v>WEEKDAY</v>
      </c>
      <c r="F8373" t="e">
        <f t="shared" si="297"/>
        <v>#N/A</v>
      </c>
      <c r="G8373" s="74">
        <v>28474</v>
      </c>
      <c r="H8373" s="77">
        <v>0.125</v>
      </c>
      <c r="J8373">
        <v>55.040000000000006</v>
      </c>
      <c r="M8373" s="74">
        <v>36875</v>
      </c>
      <c r="N8373" s="77">
        <v>0.125</v>
      </c>
      <c r="P8373">
        <v>33.799999999999997</v>
      </c>
      <c r="S8373" s="74">
        <v>35779</v>
      </c>
      <c r="T8373" s="77">
        <v>0.125</v>
      </c>
      <c r="V8373">
        <v>28.04</v>
      </c>
      <c r="X8373" s="42"/>
      <c r="AB8373">
        <v>36.5</v>
      </c>
      <c r="AC8373">
        <v>26.6</v>
      </c>
      <c r="AE8373" s="74"/>
      <c r="AF8373" s="77"/>
      <c r="AH8373" s="497">
        <v>19.399999999999999</v>
      </c>
      <c r="AJ8373" s="42"/>
      <c r="AK8373" s="74"/>
      <c r="AL8373" s="77"/>
      <c r="AN8373" s="497">
        <v>23</v>
      </c>
      <c r="AP8373" s="42"/>
      <c r="AQ8373" s="74"/>
      <c r="AR8373" s="77"/>
      <c r="AT8373" s="497">
        <v>24.259999999999998</v>
      </c>
      <c r="AV8373" s="42"/>
      <c r="AW8373" s="74"/>
      <c r="AX8373" s="77"/>
      <c r="BA8373" s="497">
        <v>34.340000000000003</v>
      </c>
      <c r="BB8373" s="42"/>
      <c r="BC8373" s="74"/>
      <c r="BD8373" s="77"/>
      <c r="BF8373">
        <v>35.96</v>
      </c>
      <c r="BH8373" s="42"/>
      <c r="BI8373" s="74"/>
      <c r="BJ8373" s="77"/>
      <c r="BL8373" s="497">
        <v>35.96</v>
      </c>
      <c r="BN8373" s="42"/>
      <c r="BO8373" s="74"/>
      <c r="BP8373" s="77"/>
      <c r="BR8373" s="497">
        <v>28.04</v>
      </c>
      <c r="BT8373" s="42"/>
    </row>
    <row r="8374" spans="1:72" x14ac:dyDescent="0.25">
      <c r="A8374" s="90">
        <v>35779</v>
      </c>
      <c r="B8374" s="20">
        <v>0.16666666666666666</v>
      </c>
      <c r="D8374">
        <v>32</v>
      </c>
      <c r="E8374" t="str">
        <f t="shared" si="296"/>
        <v>WEEKDAY</v>
      </c>
      <c r="F8374" t="e">
        <f t="shared" si="297"/>
        <v>#N/A</v>
      </c>
      <c r="G8374" s="74">
        <v>28474</v>
      </c>
      <c r="H8374" s="77">
        <v>0.16666666666666666</v>
      </c>
      <c r="J8374">
        <v>51.980000000000004</v>
      </c>
      <c r="M8374" s="74">
        <v>36875</v>
      </c>
      <c r="N8374" s="77">
        <v>0.16666666666666666</v>
      </c>
      <c r="P8374">
        <v>33.799999999999997</v>
      </c>
      <c r="S8374" s="74">
        <v>35779</v>
      </c>
      <c r="T8374" s="77">
        <v>0.16666666666666666</v>
      </c>
      <c r="V8374">
        <v>26.96</v>
      </c>
      <c r="X8374" s="42"/>
      <c r="AB8374">
        <v>36.200000000000003</v>
      </c>
      <c r="AC8374">
        <v>26.6</v>
      </c>
      <c r="AE8374" s="74"/>
      <c r="AF8374" s="77"/>
      <c r="AH8374" s="497">
        <v>17.600000000000001</v>
      </c>
      <c r="AJ8374" s="42"/>
      <c r="AK8374" s="74"/>
      <c r="AL8374" s="77"/>
      <c r="AN8374" s="497">
        <v>24.08</v>
      </c>
      <c r="AP8374" s="42"/>
      <c r="AQ8374" s="74"/>
      <c r="AR8374" s="77"/>
      <c r="AT8374" s="497">
        <v>24.98</v>
      </c>
      <c r="AV8374" s="42"/>
      <c r="AW8374" s="74"/>
      <c r="AX8374" s="77"/>
      <c r="BA8374" s="497">
        <v>33.979999999999997</v>
      </c>
      <c r="BB8374" s="42"/>
      <c r="BC8374" s="74"/>
      <c r="BD8374" s="77"/>
      <c r="BF8374">
        <v>37.04</v>
      </c>
      <c r="BH8374" s="42"/>
      <c r="BI8374" s="74"/>
      <c r="BJ8374" s="77"/>
      <c r="BL8374" s="497">
        <v>35.96</v>
      </c>
      <c r="BN8374" s="42"/>
      <c r="BO8374" s="74"/>
      <c r="BP8374" s="77"/>
      <c r="BR8374" s="497">
        <v>28.94</v>
      </c>
      <c r="BT8374" s="42"/>
    </row>
    <row r="8375" spans="1:72" x14ac:dyDescent="0.25">
      <c r="A8375" s="90">
        <v>35779</v>
      </c>
      <c r="B8375" s="20">
        <v>0.20833333333333334</v>
      </c>
      <c r="D8375">
        <v>32</v>
      </c>
      <c r="E8375" t="str">
        <f t="shared" si="296"/>
        <v>WEEKDAY</v>
      </c>
      <c r="F8375" t="e">
        <f t="shared" si="297"/>
        <v>#N/A</v>
      </c>
      <c r="G8375" s="74">
        <v>28474</v>
      </c>
      <c r="H8375" s="77">
        <v>0.20833333333333334</v>
      </c>
      <c r="J8375">
        <v>48.019999999999996</v>
      </c>
      <c r="M8375" s="74">
        <v>36875</v>
      </c>
      <c r="N8375" s="77">
        <v>0.20833333333333334</v>
      </c>
      <c r="P8375">
        <v>33.799999999999997</v>
      </c>
      <c r="S8375" s="74">
        <v>35779</v>
      </c>
      <c r="T8375" s="77">
        <v>0.20833333333333334</v>
      </c>
      <c r="V8375">
        <v>26.96</v>
      </c>
      <c r="X8375" s="42"/>
      <c r="AB8375">
        <v>35.9</v>
      </c>
      <c r="AC8375">
        <v>26.6</v>
      </c>
      <c r="AE8375" s="74"/>
      <c r="AF8375" s="77"/>
      <c r="AH8375" s="497">
        <v>21.2</v>
      </c>
      <c r="AJ8375" s="42"/>
      <c r="AK8375" s="74"/>
      <c r="AL8375" s="77"/>
      <c r="AN8375" s="497">
        <v>24.08</v>
      </c>
      <c r="AP8375" s="42"/>
      <c r="AQ8375" s="74"/>
      <c r="AR8375" s="77"/>
      <c r="AT8375" s="497">
        <v>24.62</v>
      </c>
      <c r="AV8375" s="42"/>
      <c r="AW8375" s="74"/>
      <c r="AX8375" s="77"/>
      <c r="BA8375" s="497">
        <v>33.979999999999997</v>
      </c>
      <c r="BB8375" s="42"/>
      <c r="BC8375" s="74"/>
      <c r="BD8375" s="77"/>
      <c r="BF8375">
        <v>37.04</v>
      </c>
      <c r="BH8375" s="42"/>
      <c r="BI8375" s="74"/>
      <c r="BJ8375" s="77"/>
      <c r="BL8375" s="497">
        <v>35.96</v>
      </c>
      <c r="BN8375" s="42"/>
      <c r="BO8375" s="74"/>
      <c r="BP8375" s="77"/>
      <c r="BR8375" s="497">
        <v>28.94</v>
      </c>
      <c r="BT8375" s="42"/>
    </row>
    <row r="8376" spans="1:72" x14ac:dyDescent="0.25">
      <c r="A8376" s="90">
        <v>35779</v>
      </c>
      <c r="B8376" s="20">
        <v>0.25</v>
      </c>
      <c r="D8376">
        <v>32</v>
      </c>
      <c r="E8376" t="str">
        <f t="shared" si="296"/>
        <v>WEEKDAY</v>
      </c>
      <c r="F8376" t="e">
        <f t="shared" si="297"/>
        <v>#N/A</v>
      </c>
      <c r="G8376" s="74">
        <v>28474</v>
      </c>
      <c r="H8376" s="77">
        <v>0.25</v>
      </c>
      <c r="J8376">
        <v>48.019999999999996</v>
      </c>
      <c r="M8376" s="74">
        <v>36875</v>
      </c>
      <c r="N8376" s="77">
        <v>0.25</v>
      </c>
      <c r="P8376">
        <v>30.2</v>
      </c>
      <c r="S8376" s="74">
        <v>35779</v>
      </c>
      <c r="T8376" s="77">
        <v>0.25</v>
      </c>
      <c r="V8376">
        <v>26.060000000000002</v>
      </c>
      <c r="X8376" s="42"/>
      <c r="AB8376">
        <v>35.700000000000003</v>
      </c>
      <c r="AC8376">
        <v>26.6</v>
      </c>
      <c r="AE8376" s="74"/>
      <c r="AF8376" s="77"/>
      <c r="AH8376" s="497">
        <v>19.399999999999999</v>
      </c>
      <c r="AJ8376" s="42"/>
      <c r="AK8376" s="74"/>
      <c r="AL8376" s="77"/>
      <c r="AN8376" s="497">
        <v>24.98</v>
      </c>
      <c r="AP8376" s="42"/>
      <c r="AQ8376" s="74"/>
      <c r="AR8376" s="77"/>
      <c r="AT8376" s="497">
        <v>24.439999999999998</v>
      </c>
      <c r="AV8376" s="42"/>
      <c r="AW8376" s="74"/>
      <c r="AX8376" s="77"/>
      <c r="BA8376" s="497">
        <v>33.979999999999997</v>
      </c>
      <c r="BB8376" s="42"/>
      <c r="BC8376" s="74"/>
      <c r="BD8376" s="77"/>
      <c r="BF8376">
        <v>35.96</v>
      </c>
      <c r="BH8376" s="42"/>
      <c r="BI8376" s="74"/>
      <c r="BJ8376" s="77"/>
      <c r="BL8376" s="497">
        <v>37.04</v>
      </c>
      <c r="BN8376" s="42"/>
      <c r="BO8376" s="74"/>
      <c r="BP8376" s="77"/>
      <c r="BR8376" s="497">
        <v>30.02</v>
      </c>
      <c r="BT8376" s="42"/>
    </row>
    <row r="8377" spans="1:72" x14ac:dyDescent="0.25">
      <c r="A8377" s="90">
        <v>35779</v>
      </c>
      <c r="B8377" s="20">
        <v>0.29166666666666669</v>
      </c>
      <c r="D8377">
        <v>32</v>
      </c>
      <c r="E8377" t="str">
        <f t="shared" si="296"/>
        <v>WEEKDAY</v>
      </c>
      <c r="F8377" t="e">
        <f t="shared" si="297"/>
        <v>#N/A</v>
      </c>
      <c r="G8377" s="74">
        <v>28474</v>
      </c>
      <c r="H8377" s="77">
        <v>0.29166666666666669</v>
      </c>
      <c r="J8377">
        <v>46.94</v>
      </c>
      <c r="M8377" s="74">
        <v>36875</v>
      </c>
      <c r="N8377" s="77">
        <v>0.29166666666666669</v>
      </c>
      <c r="P8377">
        <v>28.4</v>
      </c>
      <c r="S8377" s="74">
        <v>35779</v>
      </c>
      <c r="T8377" s="77">
        <v>0.29166666666666669</v>
      </c>
      <c r="V8377">
        <v>24.98</v>
      </c>
      <c r="X8377" s="42"/>
      <c r="AB8377">
        <v>35.700000000000003</v>
      </c>
      <c r="AC8377">
        <v>24.8</v>
      </c>
      <c r="AE8377" s="74"/>
      <c r="AF8377" s="77"/>
      <c r="AH8377" s="497">
        <v>19.399999999999999</v>
      </c>
      <c r="AJ8377" s="42"/>
      <c r="AK8377" s="74"/>
      <c r="AL8377" s="77"/>
      <c r="AN8377" s="497">
        <v>24.98</v>
      </c>
      <c r="AP8377" s="42"/>
      <c r="AQ8377" s="74"/>
      <c r="AR8377" s="77"/>
      <c r="AT8377" s="497">
        <v>24.08</v>
      </c>
      <c r="AV8377" s="42"/>
      <c r="AW8377" s="74"/>
      <c r="AX8377" s="77"/>
      <c r="BA8377" s="497">
        <v>33.979999999999997</v>
      </c>
      <c r="BB8377" s="42"/>
      <c r="BC8377" s="74"/>
      <c r="BD8377" s="77"/>
      <c r="BF8377">
        <v>35.96</v>
      </c>
      <c r="BH8377" s="42"/>
      <c r="BI8377" s="74"/>
      <c r="BJ8377" s="77"/>
      <c r="BL8377" s="497">
        <v>37.04</v>
      </c>
      <c r="BN8377" s="42"/>
      <c r="BO8377" s="74"/>
      <c r="BP8377" s="77"/>
      <c r="BR8377" s="497">
        <v>30.02</v>
      </c>
      <c r="BT8377" s="42"/>
    </row>
    <row r="8378" spans="1:72" x14ac:dyDescent="0.25">
      <c r="A8378" s="90">
        <v>35779</v>
      </c>
      <c r="B8378" s="20">
        <v>0.33333333333333331</v>
      </c>
      <c r="D8378">
        <v>32</v>
      </c>
      <c r="E8378" t="str">
        <f t="shared" si="296"/>
        <v>WEEKDAY</v>
      </c>
      <c r="F8378" t="e">
        <f t="shared" si="297"/>
        <v>#N/A</v>
      </c>
      <c r="G8378" s="74">
        <v>28474</v>
      </c>
      <c r="H8378" s="77">
        <v>0.33333333333333331</v>
      </c>
      <c r="J8378">
        <v>46.04</v>
      </c>
      <c r="M8378" s="74">
        <v>36875</v>
      </c>
      <c r="N8378" s="77">
        <v>0.33333333333333331</v>
      </c>
      <c r="P8378">
        <v>28.4</v>
      </c>
      <c r="S8378" s="74">
        <v>35779</v>
      </c>
      <c r="T8378" s="77">
        <v>0.33333333333333331</v>
      </c>
      <c r="V8378">
        <v>28.04</v>
      </c>
      <c r="X8378" s="42"/>
      <c r="AB8378">
        <v>35.700000000000003</v>
      </c>
      <c r="AC8378">
        <v>24.8</v>
      </c>
      <c r="AE8378" s="74"/>
      <c r="AF8378" s="77"/>
      <c r="AH8378" s="497">
        <v>19.399999999999999</v>
      </c>
      <c r="AJ8378" s="42"/>
      <c r="AK8378" s="74"/>
      <c r="AL8378" s="77"/>
      <c r="AN8378" s="497">
        <v>26.060000000000002</v>
      </c>
      <c r="AP8378" s="42"/>
      <c r="AQ8378" s="74"/>
      <c r="AR8378" s="77"/>
      <c r="AT8378" s="497">
        <v>25.34</v>
      </c>
      <c r="AV8378" s="42"/>
      <c r="AW8378" s="74"/>
      <c r="AX8378" s="77"/>
      <c r="BA8378" s="497">
        <v>33.619999999999997</v>
      </c>
      <c r="BB8378" s="42"/>
      <c r="BC8378" s="74"/>
      <c r="BD8378" s="77"/>
      <c r="BF8378">
        <v>35.96</v>
      </c>
      <c r="BH8378" s="42"/>
      <c r="BI8378" s="74"/>
      <c r="BJ8378" s="77"/>
      <c r="BL8378" s="497">
        <v>37.04</v>
      </c>
      <c r="BN8378" s="42"/>
      <c r="BO8378" s="74"/>
      <c r="BP8378" s="77"/>
      <c r="BR8378" s="497">
        <v>30.92</v>
      </c>
      <c r="BT8378" s="42"/>
    </row>
    <row r="8379" spans="1:72" x14ac:dyDescent="0.25">
      <c r="A8379" s="90">
        <v>35779</v>
      </c>
      <c r="B8379" s="20">
        <v>0.375</v>
      </c>
      <c r="D8379">
        <v>32</v>
      </c>
      <c r="E8379" t="str">
        <f t="shared" si="296"/>
        <v>WEEKDAY</v>
      </c>
      <c r="F8379" t="e">
        <f t="shared" si="297"/>
        <v>#N/A</v>
      </c>
      <c r="G8379" s="74">
        <v>28474</v>
      </c>
      <c r="H8379" s="77">
        <v>0.375</v>
      </c>
      <c r="J8379">
        <v>46.04</v>
      </c>
      <c r="M8379" s="74">
        <v>36875</v>
      </c>
      <c r="N8379" s="77">
        <v>0.375</v>
      </c>
      <c r="P8379">
        <v>30.2</v>
      </c>
      <c r="S8379" s="74">
        <v>35779</v>
      </c>
      <c r="T8379" s="77">
        <v>0.375</v>
      </c>
      <c r="V8379">
        <v>30.92</v>
      </c>
      <c r="X8379" s="42"/>
      <c r="AB8379">
        <v>36.200000000000003</v>
      </c>
      <c r="AC8379">
        <v>30.2</v>
      </c>
      <c r="AE8379" s="74"/>
      <c r="AF8379" s="77"/>
      <c r="AH8379" s="497">
        <v>21.2</v>
      </c>
      <c r="AJ8379" s="42"/>
      <c r="AK8379" s="74"/>
      <c r="AL8379" s="77"/>
      <c r="AN8379" s="497">
        <v>28.04</v>
      </c>
      <c r="AP8379" s="42"/>
      <c r="AQ8379" s="74"/>
      <c r="AR8379" s="77"/>
      <c r="AT8379" s="497">
        <v>26.78</v>
      </c>
      <c r="AV8379" s="42"/>
      <c r="AW8379" s="74"/>
      <c r="AX8379" s="77"/>
      <c r="BA8379" s="497">
        <v>33.44</v>
      </c>
      <c r="BB8379" s="42"/>
      <c r="BC8379" s="74"/>
      <c r="BD8379" s="77"/>
      <c r="BF8379">
        <v>35.96</v>
      </c>
      <c r="BH8379" s="42"/>
      <c r="BI8379" s="74"/>
      <c r="BJ8379" s="77"/>
      <c r="BL8379" s="497">
        <v>37.04</v>
      </c>
      <c r="BN8379" s="42"/>
      <c r="BO8379" s="74"/>
      <c r="BP8379" s="77"/>
      <c r="BR8379" s="497">
        <v>32</v>
      </c>
      <c r="BT8379" s="42"/>
    </row>
    <row r="8380" spans="1:72" x14ac:dyDescent="0.25">
      <c r="A8380" s="90">
        <v>35779</v>
      </c>
      <c r="B8380" s="20">
        <v>0.41666666666666669</v>
      </c>
      <c r="D8380">
        <v>33.979999999999997</v>
      </c>
      <c r="E8380" t="str">
        <f t="shared" si="296"/>
        <v>WEEKDAY</v>
      </c>
      <c r="F8380" t="e">
        <f t="shared" si="297"/>
        <v>#N/A</v>
      </c>
      <c r="G8380" s="74">
        <v>28474</v>
      </c>
      <c r="H8380" s="77">
        <v>0.41666666666666669</v>
      </c>
      <c r="J8380">
        <v>46.04</v>
      </c>
      <c r="M8380" s="74">
        <v>36875</v>
      </c>
      <c r="N8380" s="77">
        <v>0.41666666666666669</v>
      </c>
      <c r="P8380">
        <v>30.2</v>
      </c>
      <c r="S8380" s="74">
        <v>35779</v>
      </c>
      <c r="T8380" s="77">
        <v>0.41666666666666669</v>
      </c>
      <c r="V8380">
        <v>32</v>
      </c>
      <c r="X8380" s="42"/>
      <c r="AB8380">
        <v>37.6</v>
      </c>
      <c r="AC8380">
        <v>33.799999999999997</v>
      </c>
      <c r="AE8380" s="74"/>
      <c r="AF8380" s="77"/>
      <c r="AH8380" s="497">
        <v>23</v>
      </c>
      <c r="AJ8380" s="42"/>
      <c r="AK8380" s="74"/>
      <c r="AL8380" s="77"/>
      <c r="AN8380" s="497">
        <v>28.94</v>
      </c>
      <c r="AP8380" s="42"/>
      <c r="AQ8380" s="74"/>
      <c r="AR8380" s="77"/>
      <c r="AT8380" s="497">
        <v>28.04</v>
      </c>
      <c r="AV8380" s="42"/>
      <c r="AW8380" s="74"/>
      <c r="AX8380" s="77"/>
      <c r="BA8380" s="497">
        <v>33.08</v>
      </c>
      <c r="BB8380" s="42"/>
      <c r="BC8380" s="74"/>
      <c r="BD8380" s="77"/>
      <c r="BF8380">
        <v>35.96</v>
      </c>
      <c r="BH8380" s="42"/>
      <c r="BI8380" s="74"/>
      <c r="BJ8380" s="77"/>
      <c r="BL8380" s="497">
        <v>37.04</v>
      </c>
      <c r="BN8380" s="42"/>
      <c r="BO8380" s="74"/>
      <c r="BP8380" s="77"/>
      <c r="BR8380" s="497">
        <v>32</v>
      </c>
      <c r="BT8380" s="42"/>
    </row>
    <row r="8381" spans="1:72" x14ac:dyDescent="0.25">
      <c r="A8381" s="90">
        <v>35779</v>
      </c>
      <c r="B8381" s="20">
        <v>0.45833333333333331</v>
      </c>
      <c r="D8381">
        <v>35.96</v>
      </c>
      <c r="E8381" t="str">
        <f t="shared" si="296"/>
        <v>WEEKDAY</v>
      </c>
      <c r="F8381" t="e">
        <f t="shared" si="297"/>
        <v>#N/A</v>
      </c>
      <c r="G8381" s="74">
        <v>28474</v>
      </c>
      <c r="H8381" s="77">
        <v>0.45833333333333331</v>
      </c>
      <c r="J8381">
        <v>46.04</v>
      </c>
      <c r="M8381" s="74">
        <v>36875</v>
      </c>
      <c r="N8381" s="77">
        <v>0.45833333333333331</v>
      </c>
      <c r="P8381">
        <v>33.799999999999997</v>
      </c>
      <c r="S8381" s="74">
        <v>35779</v>
      </c>
      <c r="T8381" s="77">
        <v>0.45833333333333331</v>
      </c>
      <c r="V8381">
        <v>33.979999999999997</v>
      </c>
      <c r="X8381" s="42"/>
      <c r="AB8381">
        <v>39</v>
      </c>
      <c r="AC8381">
        <v>35.6</v>
      </c>
      <c r="AE8381" s="74"/>
      <c r="AF8381" s="77"/>
      <c r="AH8381" s="497">
        <v>24.8</v>
      </c>
      <c r="AJ8381" s="42"/>
      <c r="AK8381" s="74"/>
      <c r="AL8381" s="77"/>
      <c r="AN8381" s="497">
        <v>30.02</v>
      </c>
      <c r="AP8381" s="42"/>
      <c r="AQ8381" s="74"/>
      <c r="AR8381" s="77"/>
      <c r="AT8381" s="497">
        <v>30.02</v>
      </c>
      <c r="AV8381" s="42"/>
      <c r="AW8381" s="74"/>
      <c r="AX8381" s="77"/>
      <c r="BA8381" s="497">
        <v>33.44</v>
      </c>
      <c r="BB8381" s="42"/>
      <c r="BC8381" s="74"/>
      <c r="BD8381" s="77"/>
      <c r="BF8381">
        <v>35.96</v>
      </c>
      <c r="BH8381" s="42"/>
      <c r="BI8381" s="74"/>
      <c r="BJ8381" s="77"/>
      <c r="BL8381" s="497">
        <v>37.04</v>
      </c>
      <c r="BN8381" s="42"/>
      <c r="BO8381" s="74"/>
      <c r="BP8381" s="77"/>
      <c r="BR8381" s="497">
        <v>32</v>
      </c>
      <c r="BT8381" s="42"/>
    </row>
    <row r="8382" spans="1:72" x14ac:dyDescent="0.25">
      <c r="A8382" s="90">
        <v>35779</v>
      </c>
      <c r="B8382" s="20">
        <v>0.5</v>
      </c>
      <c r="D8382">
        <v>37.04</v>
      </c>
      <c r="E8382" t="str">
        <f t="shared" si="296"/>
        <v>WEEKDAY</v>
      </c>
      <c r="F8382" t="e">
        <f t="shared" si="297"/>
        <v>#N/A</v>
      </c>
      <c r="G8382" s="74">
        <v>28474</v>
      </c>
      <c r="H8382" s="77">
        <v>0.5</v>
      </c>
      <c r="J8382">
        <v>46.04</v>
      </c>
      <c r="M8382" s="74">
        <v>36875</v>
      </c>
      <c r="N8382" s="77">
        <v>0.5</v>
      </c>
      <c r="P8382">
        <v>35.6</v>
      </c>
      <c r="S8382" s="74">
        <v>35779</v>
      </c>
      <c r="T8382" s="77">
        <v>0.5</v>
      </c>
      <c r="V8382">
        <v>35.96</v>
      </c>
      <c r="X8382" s="42"/>
      <c r="AB8382">
        <v>40.200000000000003</v>
      </c>
      <c r="AC8382">
        <v>35.6</v>
      </c>
      <c r="AE8382" s="74"/>
      <c r="AF8382" s="77"/>
      <c r="AH8382" s="497">
        <v>26.6</v>
      </c>
      <c r="AJ8382" s="42"/>
      <c r="AK8382" s="74"/>
      <c r="AL8382" s="77"/>
      <c r="AN8382" s="497">
        <v>33.08</v>
      </c>
      <c r="AP8382" s="42"/>
      <c r="AQ8382" s="74"/>
      <c r="AR8382" s="77"/>
      <c r="AT8382" s="497">
        <v>32</v>
      </c>
      <c r="AV8382" s="42"/>
      <c r="AW8382" s="74"/>
      <c r="AX8382" s="77"/>
      <c r="BA8382" s="497">
        <v>33.619999999999997</v>
      </c>
      <c r="BB8382" s="42"/>
      <c r="BC8382" s="74"/>
      <c r="BD8382" s="77"/>
      <c r="BF8382">
        <v>35.96</v>
      </c>
      <c r="BH8382" s="42"/>
      <c r="BI8382" s="74"/>
      <c r="BJ8382" s="77"/>
      <c r="BL8382" s="497">
        <v>37.04</v>
      </c>
      <c r="BN8382" s="42"/>
      <c r="BO8382" s="74"/>
      <c r="BP8382" s="77"/>
      <c r="BR8382" s="497">
        <v>33.979999999999997</v>
      </c>
      <c r="BT8382" s="42"/>
    </row>
    <row r="8383" spans="1:72" x14ac:dyDescent="0.25">
      <c r="A8383" s="90">
        <v>35779</v>
      </c>
      <c r="B8383" s="20">
        <v>0.54166666666666663</v>
      </c>
      <c r="D8383">
        <v>37.94</v>
      </c>
      <c r="E8383" t="str">
        <f t="shared" si="296"/>
        <v>WEEKDAY</v>
      </c>
      <c r="F8383" t="e">
        <f t="shared" si="297"/>
        <v>#N/A</v>
      </c>
      <c r="G8383" s="74">
        <v>28474</v>
      </c>
      <c r="H8383" s="77">
        <v>0.54166666666666663</v>
      </c>
      <c r="J8383">
        <v>48.019999999999996</v>
      </c>
      <c r="M8383" s="74">
        <v>36875</v>
      </c>
      <c r="N8383" s="77">
        <v>0.54166666666666663</v>
      </c>
      <c r="P8383">
        <v>35.6</v>
      </c>
      <c r="S8383" s="74">
        <v>35779</v>
      </c>
      <c r="T8383" s="77">
        <v>0.54166666666666663</v>
      </c>
      <c r="V8383">
        <v>37.04</v>
      </c>
      <c r="X8383" s="42"/>
      <c r="AB8383">
        <v>41.1</v>
      </c>
      <c r="AC8383">
        <v>37.4</v>
      </c>
      <c r="AE8383" s="74"/>
      <c r="AF8383" s="77"/>
      <c r="AH8383" s="497">
        <v>28.4</v>
      </c>
      <c r="AJ8383" s="42"/>
      <c r="AK8383" s="74"/>
      <c r="AL8383" s="77"/>
      <c r="AN8383" s="497">
        <v>35.06</v>
      </c>
      <c r="AP8383" s="42"/>
      <c r="AQ8383" s="74"/>
      <c r="AR8383" s="77"/>
      <c r="AT8383" s="497">
        <v>33.979999999999997</v>
      </c>
      <c r="AV8383" s="42"/>
      <c r="AW8383" s="74"/>
      <c r="AX8383" s="77"/>
      <c r="BA8383" s="497">
        <v>33.979999999999997</v>
      </c>
      <c r="BB8383" s="42"/>
      <c r="BC8383" s="74"/>
      <c r="BD8383" s="77"/>
      <c r="BF8383">
        <v>37.04</v>
      </c>
      <c r="BH8383" s="42"/>
      <c r="BI8383" s="74"/>
      <c r="BJ8383" s="77"/>
      <c r="BL8383" s="497">
        <v>37.04</v>
      </c>
      <c r="BN8383" s="42"/>
      <c r="BO8383" s="74"/>
      <c r="BP8383" s="77"/>
      <c r="BR8383" s="497">
        <v>33.979999999999997</v>
      </c>
      <c r="BT8383" s="42"/>
    </row>
    <row r="8384" spans="1:72" x14ac:dyDescent="0.25">
      <c r="A8384" s="90">
        <v>35779</v>
      </c>
      <c r="B8384" s="20">
        <v>0.58333333333333337</v>
      </c>
      <c r="D8384">
        <v>37.94</v>
      </c>
      <c r="E8384" t="str">
        <f t="shared" si="296"/>
        <v>WEEKDAY</v>
      </c>
      <c r="F8384" t="e">
        <f t="shared" si="297"/>
        <v>#N/A</v>
      </c>
      <c r="G8384" s="74">
        <v>28474</v>
      </c>
      <c r="H8384" s="77">
        <v>0.58333333333333337</v>
      </c>
      <c r="J8384">
        <v>46.04</v>
      </c>
      <c r="M8384" s="74">
        <v>36875</v>
      </c>
      <c r="N8384" s="77">
        <v>0.58333333333333337</v>
      </c>
      <c r="P8384">
        <v>35.6</v>
      </c>
      <c r="S8384" s="74">
        <v>35779</v>
      </c>
      <c r="T8384" s="77">
        <v>0.58333333333333337</v>
      </c>
      <c r="V8384">
        <v>39.019999999999996</v>
      </c>
      <c r="X8384" s="42"/>
      <c r="AB8384">
        <v>41.8</v>
      </c>
      <c r="AC8384">
        <v>39.200000000000003</v>
      </c>
      <c r="AE8384" s="74"/>
      <c r="AF8384" s="77"/>
      <c r="AH8384" s="497">
        <v>28.4</v>
      </c>
      <c r="AJ8384" s="42"/>
      <c r="AK8384" s="74"/>
      <c r="AL8384" s="77"/>
      <c r="AN8384" s="497">
        <v>37.04</v>
      </c>
      <c r="AP8384" s="42"/>
      <c r="AQ8384" s="74"/>
      <c r="AR8384" s="77"/>
      <c r="AT8384" s="497">
        <v>34.700000000000003</v>
      </c>
      <c r="AV8384" s="42"/>
      <c r="AW8384" s="74"/>
      <c r="AX8384" s="77"/>
      <c r="BA8384" s="497">
        <v>34.340000000000003</v>
      </c>
      <c r="BB8384" s="42"/>
      <c r="BC8384" s="74"/>
      <c r="BD8384" s="77"/>
      <c r="BF8384">
        <v>37.04</v>
      </c>
      <c r="BH8384" s="42"/>
      <c r="BI8384" s="74"/>
      <c r="BJ8384" s="77"/>
      <c r="BL8384" s="497">
        <v>37.04</v>
      </c>
      <c r="BN8384" s="42"/>
      <c r="BO8384" s="74"/>
      <c r="BP8384" s="77"/>
      <c r="BR8384" s="497">
        <v>33.979999999999997</v>
      </c>
      <c r="BT8384" s="42"/>
    </row>
    <row r="8385" spans="1:72" x14ac:dyDescent="0.25">
      <c r="A8385" s="90">
        <v>35779</v>
      </c>
      <c r="B8385" s="20">
        <v>0.625</v>
      </c>
      <c r="D8385">
        <v>39.019999999999996</v>
      </c>
      <c r="E8385" t="str">
        <f t="shared" si="296"/>
        <v>WEEKDAY</v>
      </c>
      <c r="F8385" t="e">
        <f t="shared" si="297"/>
        <v>#N/A</v>
      </c>
      <c r="G8385" s="74">
        <v>28474</v>
      </c>
      <c r="H8385" s="77">
        <v>0.625</v>
      </c>
      <c r="J8385">
        <v>44.96</v>
      </c>
      <c r="M8385" s="74">
        <v>36875</v>
      </c>
      <c r="N8385" s="77">
        <v>0.625</v>
      </c>
      <c r="P8385">
        <v>35.6</v>
      </c>
      <c r="S8385" s="74">
        <v>35779</v>
      </c>
      <c r="T8385" s="77">
        <v>0.625</v>
      </c>
      <c r="V8385">
        <v>39.92</v>
      </c>
      <c r="X8385" s="42"/>
      <c r="AB8385">
        <v>42</v>
      </c>
      <c r="AC8385">
        <v>39.200000000000003</v>
      </c>
      <c r="AE8385" s="74"/>
      <c r="AF8385" s="77"/>
      <c r="AH8385" s="497">
        <v>30.2</v>
      </c>
      <c r="AJ8385" s="42"/>
      <c r="AK8385" s="74"/>
      <c r="AL8385" s="77"/>
      <c r="AN8385" s="497">
        <v>39.92</v>
      </c>
      <c r="AP8385" s="42"/>
      <c r="AQ8385" s="74"/>
      <c r="AR8385" s="77"/>
      <c r="AT8385" s="497">
        <v>35.24</v>
      </c>
      <c r="AV8385" s="42"/>
      <c r="AW8385" s="74"/>
      <c r="AX8385" s="77"/>
      <c r="BA8385" s="497">
        <v>34.700000000000003</v>
      </c>
      <c r="BB8385" s="42"/>
      <c r="BC8385" s="74"/>
      <c r="BD8385" s="77"/>
      <c r="BF8385">
        <v>37.04</v>
      </c>
      <c r="BH8385" s="42"/>
      <c r="BI8385" s="74"/>
      <c r="BJ8385" s="77"/>
      <c r="BL8385" s="497">
        <v>37.94</v>
      </c>
      <c r="BN8385" s="42"/>
      <c r="BO8385" s="74"/>
      <c r="BP8385" s="77"/>
      <c r="BR8385" s="497">
        <v>33.979999999999997</v>
      </c>
      <c r="BT8385" s="42"/>
    </row>
    <row r="8386" spans="1:72" x14ac:dyDescent="0.25">
      <c r="A8386" s="90">
        <v>35779</v>
      </c>
      <c r="B8386" s="20">
        <v>0.66666666666666663</v>
      </c>
      <c r="D8386">
        <v>37.94</v>
      </c>
      <c r="E8386" t="str">
        <f t="shared" si="296"/>
        <v>WEEKDAY</v>
      </c>
      <c r="F8386" t="e">
        <f t="shared" si="297"/>
        <v>#N/A</v>
      </c>
      <c r="G8386" s="74">
        <v>28474</v>
      </c>
      <c r="H8386" s="77">
        <v>0.66666666666666663</v>
      </c>
      <c r="J8386">
        <v>44.06</v>
      </c>
      <c r="M8386" s="74">
        <v>36875</v>
      </c>
      <c r="N8386" s="77">
        <v>0.66666666666666663</v>
      </c>
      <c r="P8386">
        <v>33.799999999999997</v>
      </c>
      <c r="S8386" s="74">
        <v>35779</v>
      </c>
      <c r="T8386" s="77">
        <v>0.66666666666666663</v>
      </c>
      <c r="V8386">
        <v>39.92</v>
      </c>
      <c r="X8386" s="42"/>
      <c r="AB8386">
        <v>41.9</v>
      </c>
      <c r="AC8386">
        <v>39.200000000000003</v>
      </c>
      <c r="AE8386" s="74"/>
      <c r="AF8386" s="77"/>
      <c r="AH8386" s="497">
        <v>28.4</v>
      </c>
      <c r="AJ8386" s="42"/>
      <c r="AK8386" s="74"/>
      <c r="AL8386" s="77"/>
      <c r="AN8386" s="497">
        <v>39.92</v>
      </c>
      <c r="AP8386" s="42"/>
      <c r="AQ8386" s="74"/>
      <c r="AR8386" s="77"/>
      <c r="AT8386" s="497">
        <v>35.96</v>
      </c>
      <c r="AV8386" s="42"/>
      <c r="AW8386" s="74"/>
      <c r="AX8386" s="77"/>
      <c r="BA8386" s="497">
        <v>35.06</v>
      </c>
      <c r="BB8386" s="42"/>
      <c r="BC8386" s="74"/>
      <c r="BD8386" s="77"/>
      <c r="BF8386">
        <v>37.04</v>
      </c>
      <c r="BH8386" s="42"/>
      <c r="BI8386" s="74"/>
      <c r="BJ8386" s="77"/>
      <c r="BL8386" s="497">
        <v>37.04</v>
      </c>
      <c r="BN8386" s="42"/>
      <c r="BO8386" s="74"/>
      <c r="BP8386" s="77"/>
      <c r="BR8386" s="497">
        <v>33.979999999999997</v>
      </c>
      <c r="BT8386" s="42"/>
    </row>
    <row r="8387" spans="1:72" x14ac:dyDescent="0.25">
      <c r="A8387" s="90">
        <v>35779</v>
      </c>
      <c r="B8387" s="20">
        <v>0.70833333333333337</v>
      </c>
      <c r="D8387">
        <v>37.94</v>
      </c>
      <c r="E8387" t="str">
        <f t="shared" si="296"/>
        <v>WEEKDAY</v>
      </c>
      <c r="F8387" t="e">
        <f t="shared" si="297"/>
        <v>#N/A</v>
      </c>
      <c r="G8387" s="74">
        <v>28474</v>
      </c>
      <c r="H8387" s="77">
        <v>0.70833333333333337</v>
      </c>
      <c r="J8387">
        <v>42.08</v>
      </c>
      <c r="M8387" s="74">
        <v>36875</v>
      </c>
      <c r="N8387" s="77">
        <v>0.70833333333333337</v>
      </c>
      <c r="P8387">
        <v>33.799999999999997</v>
      </c>
      <c r="S8387" s="74">
        <v>35779</v>
      </c>
      <c r="T8387" s="77">
        <v>0.70833333333333337</v>
      </c>
      <c r="V8387">
        <v>39.019999999999996</v>
      </c>
      <c r="X8387" s="42"/>
      <c r="AB8387">
        <v>41.1</v>
      </c>
      <c r="AC8387">
        <v>37.4</v>
      </c>
      <c r="AE8387" s="74"/>
      <c r="AF8387" s="77"/>
      <c r="AH8387" s="497">
        <v>26.6</v>
      </c>
      <c r="AJ8387" s="42"/>
      <c r="AK8387" s="74"/>
      <c r="AL8387" s="77"/>
      <c r="AN8387" s="497">
        <v>37.04</v>
      </c>
      <c r="AP8387" s="42"/>
      <c r="AQ8387" s="74"/>
      <c r="AR8387" s="77"/>
      <c r="AT8387" s="497">
        <v>33.979999999999997</v>
      </c>
      <c r="AV8387" s="42"/>
      <c r="AW8387" s="74"/>
      <c r="AX8387" s="77"/>
      <c r="BA8387" s="497">
        <v>35.06</v>
      </c>
      <c r="BB8387" s="42"/>
      <c r="BC8387" s="74"/>
      <c r="BD8387" s="77"/>
      <c r="BF8387">
        <v>37.04</v>
      </c>
      <c r="BH8387" s="42"/>
      <c r="BI8387" s="74"/>
      <c r="BJ8387" s="77"/>
      <c r="BL8387" s="497">
        <v>37.04</v>
      </c>
      <c r="BN8387" s="42"/>
      <c r="BO8387" s="74"/>
      <c r="BP8387" s="77"/>
      <c r="BR8387" s="497">
        <v>33.979999999999997</v>
      </c>
      <c r="BT8387" s="42"/>
    </row>
    <row r="8388" spans="1:72" x14ac:dyDescent="0.25">
      <c r="A8388" s="90">
        <v>35779</v>
      </c>
      <c r="B8388" s="20">
        <v>0.75</v>
      </c>
      <c r="D8388">
        <v>37.04</v>
      </c>
      <c r="E8388" t="str">
        <f t="shared" si="296"/>
        <v>WEEKDAY</v>
      </c>
      <c r="F8388" t="e">
        <f t="shared" si="297"/>
        <v>#N/A</v>
      </c>
      <c r="G8388" s="74">
        <v>28474</v>
      </c>
      <c r="H8388" s="77">
        <v>0.75</v>
      </c>
      <c r="J8388">
        <v>44.06</v>
      </c>
      <c r="M8388" s="74">
        <v>36875</v>
      </c>
      <c r="N8388" s="77">
        <v>0.75</v>
      </c>
      <c r="P8388">
        <v>32</v>
      </c>
      <c r="S8388" s="74">
        <v>35779</v>
      </c>
      <c r="T8388" s="77">
        <v>0.75</v>
      </c>
      <c r="V8388">
        <v>37.94</v>
      </c>
      <c r="X8388" s="42"/>
      <c r="AB8388">
        <v>40.1</v>
      </c>
      <c r="AC8388">
        <v>37.4</v>
      </c>
      <c r="AE8388" s="74"/>
      <c r="AF8388" s="77"/>
      <c r="AH8388" s="497">
        <v>26.6</v>
      </c>
      <c r="AJ8388" s="42"/>
      <c r="AK8388" s="74"/>
      <c r="AL8388" s="77"/>
      <c r="AN8388" s="497">
        <v>35.96</v>
      </c>
      <c r="AP8388" s="42"/>
      <c r="AQ8388" s="74"/>
      <c r="AR8388" s="77"/>
      <c r="AT8388" s="497">
        <v>32</v>
      </c>
      <c r="AV8388" s="42"/>
      <c r="AW8388" s="74"/>
      <c r="AX8388" s="77"/>
      <c r="BA8388" s="497">
        <v>35.06</v>
      </c>
      <c r="BB8388" s="42"/>
      <c r="BC8388" s="74"/>
      <c r="BD8388" s="77"/>
      <c r="BF8388">
        <v>37.04</v>
      </c>
      <c r="BH8388" s="42"/>
      <c r="BI8388" s="74"/>
      <c r="BJ8388" s="77"/>
      <c r="BL8388" s="497">
        <v>35.96</v>
      </c>
      <c r="BN8388" s="42"/>
      <c r="BO8388" s="74"/>
      <c r="BP8388" s="77"/>
      <c r="BR8388" s="497">
        <v>33.979999999999997</v>
      </c>
      <c r="BT8388" s="42"/>
    </row>
    <row r="8389" spans="1:72" x14ac:dyDescent="0.25">
      <c r="A8389" s="90">
        <v>35779</v>
      </c>
      <c r="B8389" s="20">
        <v>0.79166666666666663</v>
      </c>
      <c r="D8389">
        <v>37.04</v>
      </c>
      <c r="E8389" t="str">
        <f t="shared" si="296"/>
        <v>WEEKDAY</v>
      </c>
      <c r="F8389" t="e">
        <f t="shared" si="297"/>
        <v>#N/A</v>
      </c>
      <c r="G8389" s="74">
        <v>28474</v>
      </c>
      <c r="H8389" s="77">
        <v>0.79166666666666663</v>
      </c>
      <c r="J8389">
        <v>44.96</v>
      </c>
      <c r="M8389" s="74">
        <v>36875</v>
      </c>
      <c r="N8389" s="77">
        <v>0.79166666666666663</v>
      </c>
      <c r="P8389">
        <v>32</v>
      </c>
      <c r="S8389" s="74">
        <v>35779</v>
      </c>
      <c r="T8389" s="77">
        <v>0.79166666666666663</v>
      </c>
      <c r="V8389">
        <v>37.94</v>
      </c>
      <c r="X8389" s="42"/>
      <c r="AB8389">
        <v>39.700000000000003</v>
      </c>
      <c r="AC8389">
        <v>39.200000000000003</v>
      </c>
      <c r="AE8389" s="74"/>
      <c r="AF8389" s="77"/>
      <c r="AH8389" s="497">
        <v>21.2</v>
      </c>
      <c r="AJ8389" s="42"/>
      <c r="AK8389" s="74"/>
      <c r="AL8389" s="77"/>
      <c r="AN8389" s="497">
        <v>37.04</v>
      </c>
      <c r="AP8389" s="42"/>
      <c r="AQ8389" s="74"/>
      <c r="AR8389" s="77"/>
      <c r="AT8389" s="497">
        <v>30.02</v>
      </c>
      <c r="AV8389" s="42"/>
      <c r="AW8389" s="74"/>
      <c r="AX8389" s="77"/>
      <c r="BA8389" s="497">
        <v>35.06</v>
      </c>
      <c r="BB8389" s="42"/>
      <c r="BC8389" s="74"/>
      <c r="BD8389" s="77"/>
      <c r="BF8389">
        <v>35.96</v>
      </c>
      <c r="BH8389" s="42"/>
      <c r="BI8389" s="74"/>
      <c r="BJ8389" s="77"/>
      <c r="BL8389" s="497">
        <v>35.96</v>
      </c>
      <c r="BN8389" s="42"/>
      <c r="BO8389" s="74"/>
      <c r="BP8389" s="77"/>
      <c r="BR8389" s="497">
        <v>35.06</v>
      </c>
      <c r="BT8389" s="42"/>
    </row>
    <row r="8390" spans="1:72" x14ac:dyDescent="0.25">
      <c r="A8390" s="90">
        <v>35779</v>
      </c>
      <c r="B8390" s="20">
        <v>0.83333333333333337</v>
      </c>
      <c r="D8390">
        <v>35.96</v>
      </c>
      <c r="E8390" t="str">
        <f t="shared" si="296"/>
        <v>WEEKDAY</v>
      </c>
      <c r="F8390" t="e">
        <f t="shared" si="297"/>
        <v>#N/A</v>
      </c>
      <c r="G8390" s="74">
        <v>28474</v>
      </c>
      <c r="H8390" s="77">
        <v>0.83333333333333337</v>
      </c>
      <c r="J8390">
        <v>42.980000000000004</v>
      </c>
      <c r="M8390" s="74">
        <v>36875</v>
      </c>
      <c r="N8390" s="77">
        <v>0.83333333333333337</v>
      </c>
      <c r="P8390">
        <v>32</v>
      </c>
      <c r="S8390" s="74">
        <v>35779</v>
      </c>
      <c r="T8390" s="77">
        <v>0.83333333333333337</v>
      </c>
      <c r="V8390">
        <v>37.94</v>
      </c>
      <c r="X8390" s="42"/>
      <c r="AB8390">
        <v>39.4</v>
      </c>
      <c r="AC8390">
        <v>37.4</v>
      </c>
      <c r="AE8390" s="74"/>
      <c r="AF8390" s="77"/>
      <c r="AH8390" s="497">
        <v>21.2</v>
      </c>
      <c r="AJ8390" s="42"/>
      <c r="AK8390" s="74"/>
      <c r="AL8390" s="77"/>
      <c r="AN8390" s="497">
        <v>35.96</v>
      </c>
      <c r="AP8390" s="42"/>
      <c r="AQ8390" s="74"/>
      <c r="AR8390" s="77"/>
      <c r="AT8390" s="497">
        <v>28.759999999999998</v>
      </c>
      <c r="AV8390" s="42"/>
      <c r="AW8390" s="74"/>
      <c r="AX8390" s="77"/>
      <c r="BA8390" s="497">
        <v>35.06</v>
      </c>
      <c r="BB8390" s="42"/>
      <c r="BC8390" s="74"/>
      <c r="BD8390" s="77"/>
      <c r="BF8390">
        <v>35.96</v>
      </c>
      <c r="BH8390" s="42"/>
      <c r="BI8390" s="74"/>
      <c r="BJ8390" s="77"/>
      <c r="BL8390" s="497">
        <v>35.96</v>
      </c>
      <c r="BN8390" s="42"/>
      <c r="BO8390" s="74"/>
      <c r="BP8390" s="77"/>
      <c r="BR8390" s="497">
        <v>35.06</v>
      </c>
      <c r="BT8390" s="42"/>
    </row>
    <row r="8391" spans="1:72" x14ac:dyDescent="0.25">
      <c r="A8391" s="90">
        <v>35779</v>
      </c>
      <c r="B8391" s="20">
        <v>0.875</v>
      </c>
      <c r="D8391">
        <v>35.96</v>
      </c>
      <c r="E8391" t="str">
        <f t="shared" si="296"/>
        <v>WEEKDAY</v>
      </c>
      <c r="F8391" t="e">
        <f t="shared" si="297"/>
        <v>#N/A</v>
      </c>
      <c r="G8391" s="74">
        <v>28474</v>
      </c>
      <c r="H8391" s="77">
        <v>0.875</v>
      </c>
      <c r="J8391">
        <v>42.980000000000004</v>
      </c>
      <c r="M8391" s="74">
        <v>36875</v>
      </c>
      <c r="N8391" s="77">
        <v>0.875</v>
      </c>
      <c r="P8391">
        <v>30.2</v>
      </c>
      <c r="S8391" s="74">
        <v>35779</v>
      </c>
      <c r="T8391" s="77">
        <v>0.875</v>
      </c>
      <c r="V8391">
        <v>37.94</v>
      </c>
      <c r="X8391" s="42"/>
      <c r="AB8391">
        <v>39</v>
      </c>
      <c r="AC8391">
        <v>37.4</v>
      </c>
      <c r="AE8391" s="74"/>
      <c r="AF8391" s="77"/>
      <c r="AH8391" s="497">
        <v>19.399999999999999</v>
      </c>
      <c r="AJ8391" s="42"/>
      <c r="AK8391" s="74"/>
      <c r="AL8391" s="77"/>
      <c r="AN8391" s="497">
        <v>35.96</v>
      </c>
      <c r="AP8391" s="42"/>
      <c r="AQ8391" s="74"/>
      <c r="AR8391" s="77"/>
      <c r="AT8391" s="497">
        <v>27.32</v>
      </c>
      <c r="AV8391" s="42"/>
      <c r="AW8391" s="74"/>
      <c r="AX8391" s="77"/>
      <c r="BA8391" s="497">
        <v>35.06</v>
      </c>
      <c r="BB8391" s="42"/>
      <c r="BC8391" s="74"/>
      <c r="BD8391" s="77"/>
      <c r="BF8391">
        <v>35.96</v>
      </c>
      <c r="BH8391" s="42"/>
      <c r="BI8391" s="74"/>
      <c r="BJ8391" s="77"/>
      <c r="BL8391" s="497">
        <v>35.96</v>
      </c>
      <c r="BN8391" s="42"/>
      <c r="BO8391" s="74"/>
      <c r="BP8391" s="77"/>
      <c r="BR8391" s="497">
        <v>35.06</v>
      </c>
      <c r="BT8391" s="42"/>
    </row>
    <row r="8392" spans="1:72" x14ac:dyDescent="0.25">
      <c r="A8392" s="90">
        <v>35779</v>
      </c>
      <c r="B8392" s="20">
        <v>0.91666666666666663</v>
      </c>
      <c r="D8392">
        <v>35.96</v>
      </c>
      <c r="E8392" t="str">
        <f t="shared" si="296"/>
        <v>WEEKDAY</v>
      </c>
      <c r="F8392" t="e">
        <f t="shared" si="297"/>
        <v>#N/A</v>
      </c>
      <c r="G8392" s="74">
        <v>28474</v>
      </c>
      <c r="H8392" s="77">
        <v>0.91666666666666663</v>
      </c>
      <c r="J8392">
        <v>41</v>
      </c>
      <c r="M8392" s="74">
        <v>36875</v>
      </c>
      <c r="N8392" s="77">
        <v>0.91666666666666663</v>
      </c>
      <c r="P8392">
        <v>32</v>
      </c>
      <c r="S8392" s="74">
        <v>35779</v>
      </c>
      <c r="T8392" s="77">
        <v>0.91666666666666663</v>
      </c>
      <c r="V8392">
        <v>37.94</v>
      </c>
      <c r="X8392" s="42"/>
      <c r="AB8392">
        <v>38.5</v>
      </c>
      <c r="AC8392">
        <v>39.200000000000003</v>
      </c>
      <c r="AE8392" s="74"/>
      <c r="AF8392" s="77"/>
      <c r="AH8392" s="497">
        <v>19.399999999999999</v>
      </c>
      <c r="AJ8392" s="42"/>
      <c r="AK8392" s="74"/>
      <c r="AL8392" s="77"/>
      <c r="AN8392" s="497">
        <v>35.96</v>
      </c>
      <c r="AP8392" s="42"/>
      <c r="AQ8392" s="74"/>
      <c r="AR8392" s="77"/>
      <c r="AT8392" s="497">
        <v>26.060000000000002</v>
      </c>
      <c r="AV8392" s="42"/>
      <c r="AW8392" s="74"/>
      <c r="AX8392" s="77"/>
      <c r="BA8392" s="497">
        <v>35.06</v>
      </c>
      <c r="BB8392" s="42"/>
      <c r="BC8392" s="74"/>
      <c r="BD8392" s="77"/>
      <c r="BF8392">
        <v>35.96</v>
      </c>
      <c r="BH8392" s="42"/>
      <c r="BI8392" s="74"/>
      <c r="BJ8392" s="77"/>
      <c r="BL8392" s="497">
        <v>35.96</v>
      </c>
      <c r="BN8392" s="42"/>
      <c r="BO8392" s="74"/>
      <c r="BP8392" s="77"/>
      <c r="BR8392" s="497">
        <v>35.96</v>
      </c>
      <c r="BT8392" s="42"/>
    </row>
    <row r="8393" spans="1:72" x14ac:dyDescent="0.25">
      <c r="A8393" s="90">
        <v>35779</v>
      </c>
      <c r="B8393" s="20">
        <v>0.95833333333333337</v>
      </c>
      <c r="D8393">
        <v>35.06</v>
      </c>
      <c r="E8393" t="str">
        <f t="shared" si="296"/>
        <v>WEEKDAY</v>
      </c>
      <c r="F8393" t="e">
        <f t="shared" si="297"/>
        <v>#N/A</v>
      </c>
      <c r="G8393" s="74">
        <v>28474</v>
      </c>
      <c r="H8393" s="77">
        <v>0.95833333333333337</v>
      </c>
      <c r="J8393">
        <v>41</v>
      </c>
      <c r="M8393" s="74">
        <v>36875</v>
      </c>
      <c r="N8393" s="77">
        <v>0.95833333333333337</v>
      </c>
      <c r="P8393">
        <v>32</v>
      </c>
      <c r="S8393" s="74">
        <v>35779</v>
      </c>
      <c r="T8393" s="77">
        <v>0.95833333333333337</v>
      </c>
      <c r="V8393">
        <v>37.94</v>
      </c>
      <c r="X8393" s="42"/>
      <c r="AB8393">
        <v>38</v>
      </c>
      <c r="AC8393">
        <v>39.200000000000003</v>
      </c>
      <c r="AE8393" s="74"/>
      <c r="AF8393" s="77"/>
      <c r="AH8393" s="497">
        <v>17.600000000000001</v>
      </c>
      <c r="AJ8393" s="42"/>
      <c r="AK8393" s="74"/>
      <c r="AL8393" s="77"/>
      <c r="AN8393" s="497">
        <v>35.96</v>
      </c>
      <c r="AP8393" s="42"/>
      <c r="AQ8393" s="74"/>
      <c r="AR8393" s="77"/>
      <c r="AT8393" s="497">
        <v>28.4</v>
      </c>
      <c r="AV8393" s="42"/>
      <c r="AW8393" s="74"/>
      <c r="AX8393" s="77"/>
      <c r="BA8393" s="497">
        <v>35.06</v>
      </c>
      <c r="BB8393" s="42"/>
      <c r="BC8393" s="74"/>
      <c r="BD8393" s="77"/>
      <c r="BF8393">
        <v>35.06</v>
      </c>
      <c r="BH8393" s="42"/>
      <c r="BI8393" s="74"/>
      <c r="BJ8393" s="77"/>
      <c r="BL8393" s="497">
        <v>35.96</v>
      </c>
      <c r="BN8393" s="42"/>
      <c r="BO8393" s="74"/>
      <c r="BP8393" s="77"/>
      <c r="BR8393" s="497">
        <v>37.04</v>
      </c>
      <c r="BT8393" s="42"/>
    </row>
    <row r="8394" spans="1:72" x14ac:dyDescent="0.25">
      <c r="A8394" s="90">
        <v>35779</v>
      </c>
      <c r="B8394" s="20">
        <v>1</v>
      </c>
      <c r="D8394">
        <v>35.06</v>
      </c>
      <c r="E8394" t="str">
        <f t="shared" si="296"/>
        <v>WEEKDAY</v>
      </c>
      <c r="F8394" t="e">
        <f t="shared" si="297"/>
        <v>#N/A</v>
      </c>
      <c r="G8394" s="74">
        <v>28474</v>
      </c>
      <c r="H8394" s="77">
        <v>1</v>
      </c>
      <c r="J8394">
        <v>41</v>
      </c>
      <c r="M8394" s="74">
        <v>36875</v>
      </c>
      <c r="N8394" s="80">
        <v>1</v>
      </c>
      <c r="P8394">
        <v>32</v>
      </c>
      <c r="S8394" s="74">
        <v>35779</v>
      </c>
      <c r="T8394" s="80">
        <v>1</v>
      </c>
      <c r="V8394">
        <v>37.04</v>
      </c>
      <c r="X8394" s="42"/>
      <c r="AB8394">
        <v>37.6</v>
      </c>
      <c r="AC8394">
        <v>37.4</v>
      </c>
      <c r="AE8394" s="74"/>
      <c r="AF8394" s="80"/>
      <c r="AH8394" s="497">
        <v>15.8</v>
      </c>
      <c r="AJ8394" s="42"/>
      <c r="AK8394" s="74"/>
      <c r="AL8394" s="80"/>
      <c r="AN8394" s="497">
        <v>35.06</v>
      </c>
      <c r="AP8394" s="42"/>
      <c r="AQ8394" s="74"/>
      <c r="AR8394" s="80"/>
      <c r="AT8394" s="497">
        <v>30.74</v>
      </c>
      <c r="AV8394" s="42"/>
      <c r="AW8394" s="74"/>
      <c r="AX8394" s="80"/>
      <c r="BA8394" s="497">
        <v>35.06</v>
      </c>
      <c r="BB8394" s="42"/>
      <c r="BC8394" s="74"/>
      <c r="BD8394" s="80"/>
      <c r="BF8394">
        <v>33.979999999999997</v>
      </c>
      <c r="BH8394" s="42"/>
      <c r="BI8394" s="74"/>
      <c r="BJ8394" s="80"/>
      <c r="BL8394" s="497">
        <v>35.96</v>
      </c>
      <c r="BN8394" s="42"/>
      <c r="BO8394" s="74"/>
      <c r="BP8394" s="80"/>
      <c r="BR8394" s="497">
        <v>37.94</v>
      </c>
      <c r="BT8394" s="42"/>
    </row>
    <row r="8395" spans="1:72" x14ac:dyDescent="0.25">
      <c r="A8395" s="90">
        <v>35780</v>
      </c>
      <c r="B8395" s="20">
        <v>4.1666666666666664E-2</v>
      </c>
      <c r="D8395">
        <v>35.06</v>
      </c>
      <c r="E8395" t="str">
        <f t="shared" si="296"/>
        <v>WEEKDAY</v>
      </c>
      <c r="F8395" t="e">
        <f t="shared" si="297"/>
        <v>#N/A</v>
      </c>
      <c r="G8395" s="74">
        <v>28475</v>
      </c>
      <c r="H8395" s="77">
        <v>4.1666666666666664E-2</v>
      </c>
      <c r="J8395">
        <v>42.980000000000004</v>
      </c>
      <c r="M8395" s="74">
        <v>36876</v>
      </c>
      <c r="N8395" s="77">
        <v>4.1666666666666664E-2</v>
      </c>
      <c r="P8395">
        <v>32</v>
      </c>
      <c r="S8395" s="74">
        <v>35780</v>
      </c>
      <c r="T8395" s="77">
        <v>4.1666666666666664E-2</v>
      </c>
      <c r="V8395">
        <v>35.96</v>
      </c>
      <c r="X8395" s="42"/>
      <c r="AB8395">
        <v>37.299999999999997</v>
      </c>
      <c r="AC8395">
        <v>35.6</v>
      </c>
      <c r="AE8395" s="74"/>
      <c r="AF8395" s="77"/>
      <c r="AH8395" s="497">
        <v>15.8</v>
      </c>
      <c r="AJ8395" s="42"/>
      <c r="AK8395" s="74"/>
      <c r="AL8395" s="77"/>
      <c r="AN8395" s="497">
        <v>33.979999999999997</v>
      </c>
      <c r="AP8395" s="42"/>
      <c r="AQ8395" s="74"/>
      <c r="AR8395" s="77"/>
      <c r="AT8395" s="497">
        <v>33.08</v>
      </c>
      <c r="AV8395" s="42"/>
      <c r="AW8395" s="74"/>
      <c r="AX8395" s="77"/>
      <c r="BA8395" s="497">
        <v>35.06</v>
      </c>
      <c r="BB8395" s="42"/>
      <c r="BC8395" s="74"/>
      <c r="BD8395" s="77"/>
      <c r="BF8395">
        <v>35.06</v>
      </c>
      <c r="BH8395" s="42"/>
      <c r="BI8395" s="74"/>
      <c r="BJ8395" s="77"/>
      <c r="BL8395" s="497">
        <v>35.96</v>
      </c>
      <c r="BN8395" s="42"/>
      <c r="BO8395" s="74"/>
      <c r="BP8395" s="77"/>
      <c r="BR8395" s="497">
        <v>37.94</v>
      </c>
      <c r="BT8395" s="42"/>
    </row>
    <row r="8396" spans="1:72" x14ac:dyDescent="0.25">
      <c r="A8396" s="90">
        <v>35780</v>
      </c>
      <c r="B8396" s="20">
        <v>8.3333333333333329E-2</v>
      </c>
      <c r="D8396">
        <v>33.979999999999997</v>
      </c>
      <c r="E8396" t="str">
        <f t="shared" si="296"/>
        <v>WEEKDAY</v>
      </c>
      <c r="F8396" t="e">
        <f t="shared" si="297"/>
        <v>#N/A</v>
      </c>
      <c r="G8396" s="74">
        <v>28475</v>
      </c>
      <c r="H8396" s="77">
        <v>8.3333333333333329E-2</v>
      </c>
      <c r="J8396">
        <v>41</v>
      </c>
      <c r="M8396" s="74">
        <v>36876</v>
      </c>
      <c r="N8396" s="77">
        <v>8.3333333333333329E-2</v>
      </c>
      <c r="P8396">
        <v>32</v>
      </c>
      <c r="S8396" s="74">
        <v>35780</v>
      </c>
      <c r="T8396" s="77">
        <v>8.3333333333333329E-2</v>
      </c>
      <c r="V8396">
        <v>33.979999999999997</v>
      </c>
      <c r="X8396" s="42"/>
      <c r="AB8396">
        <v>36.9</v>
      </c>
      <c r="AC8396">
        <v>35.6</v>
      </c>
      <c r="AE8396" s="74"/>
      <c r="AF8396" s="77"/>
      <c r="AH8396" s="497">
        <v>17.600000000000001</v>
      </c>
      <c r="AJ8396" s="42"/>
      <c r="AK8396" s="74"/>
      <c r="AL8396" s="77"/>
      <c r="AN8396" s="497">
        <v>33.08</v>
      </c>
      <c r="AP8396" s="42"/>
      <c r="AQ8396" s="74"/>
      <c r="AR8396" s="77"/>
      <c r="AT8396" s="497">
        <v>30.74</v>
      </c>
      <c r="AV8396" s="42"/>
      <c r="AW8396" s="74"/>
      <c r="AX8396" s="77"/>
      <c r="BA8396" s="497">
        <v>34.340000000000003</v>
      </c>
      <c r="BB8396" s="42"/>
      <c r="BC8396" s="74"/>
      <c r="BD8396" s="77"/>
      <c r="BF8396">
        <v>35.06</v>
      </c>
      <c r="BH8396" s="42"/>
      <c r="BI8396" s="74"/>
      <c r="BJ8396" s="77"/>
      <c r="BL8396" s="497">
        <v>35.96</v>
      </c>
      <c r="BN8396" s="42"/>
      <c r="BO8396" s="74"/>
      <c r="BP8396" s="77"/>
      <c r="BR8396" s="497">
        <v>37.04</v>
      </c>
      <c r="BT8396" s="42"/>
    </row>
    <row r="8397" spans="1:72" x14ac:dyDescent="0.25">
      <c r="A8397" s="90">
        <v>35780</v>
      </c>
      <c r="B8397" s="20">
        <v>0.125</v>
      </c>
      <c r="D8397">
        <v>33.979999999999997</v>
      </c>
      <c r="E8397" t="str">
        <f t="shared" si="296"/>
        <v>WEEKDAY</v>
      </c>
      <c r="F8397" t="e">
        <f t="shared" si="297"/>
        <v>#N/A</v>
      </c>
      <c r="G8397" s="74">
        <v>28475</v>
      </c>
      <c r="H8397" s="77">
        <v>0.125</v>
      </c>
      <c r="J8397">
        <v>42.08</v>
      </c>
      <c r="M8397" s="74">
        <v>36876</v>
      </c>
      <c r="N8397" s="77">
        <v>0.125</v>
      </c>
      <c r="P8397">
        <v>31.82</v>
      </c>
      <c r="S8397" s="74">
        <v>35780</v>
      </c>
      <c r="T8397" s="77">
        <v>0.125</v>
      </c>
      <c r="V8397">
        <v>32</v>
      </c>
      <c r="X8397" s="42"/>
      <c r="AB8397">
        <v>36.700000000000003</v>
      </c>
      <c r="AC8397">
        <v>33.799999999999997</v>
      </c>
      <c r="AE8397" s="74"/>
      <c r="AF8397" s="77"/>
      <c r="AH8397" s="497">
        <v>15.8</v>
      </c>
      <c r="AJ8397" s="42"/>
      <c r="AK8397" s="74"/>
      <c r="AL8397" s="77"/>
      <c r="AN8397" s="497">
        <v>33.979999999999997</v>
      </c>
      <c r="AP8397" s="42"/>
      <c r="AQ8397" s="74"/>
      <c r="AR8397" s="77"/>
      <c r="AT8397" s="497">
        <v>28.4</v>
      </c>
      <c r="AV8397" s="42"/>
      <c r="AW8397" s="74"/>
      <c r="AX8397" s="77"/>
      <c r="BA8397" s="497">
        <v>33.799999999999997</v>
      </c>
      <c r="BB8397" s="42"/>
      <c r="BC8397" s="74"/>
      <c r="BD8397" s="77"/>
      <c r="BF8397">
        <v>33.979999999999997</v>
      </c>
      <c r="BH8397" s="42"/>
      <c r="BI8397" s="74"/>
      <c r="BJ8397" s="77"/>
      <c r="BL8397" s="497">
        <v>35.96</v>
      </c>
      <c r="BN8397" s="42"/>
      <c r="BO8397" s="74"/>
      <c r="BP8397" s="77"/>
      <c r="BR8397" s="497">
        <v>37.04</v>
      </c>
      <c r="BT8397" s="42"/>
    </row>
    <row r="8398" spans="1:72" x14ac:dyDescent="0.25">
      <c r="A8398" s="90">
        <v>35780</v>
      </c>
      <c r="B8398" s="20">
        <v>0.16666666666666666</v>
      </c>
      <c r="D8398">
        <v>33.979999999999997</v>
      </c>
      <c r="E8398" t="str">
        <f t="shared" si="296"/>
        <v>WEEKDAY</v>
      </c>
      <c r="F8398" t="e">
        <f t="shared" si="297"/>
        <v>#N/A</v>
      </c>
      <c r="G8398" s="74">
        <v>28475</v>
      </c>
      <c r="H8398" s="77">
        <v>0.16666666666666666</v>
      </c>
      <c r="J8398">
        <v>39.92</v>
      </c>
      <c r="M8398" s="74">
        <v>36876</v>
      </c>
      <c r="N8398" s="77">
        <v>0.16666666666666666</v>
      </c>
      <c r="P8398">
        <v>32</v>
      </c>
      <c r="S8398" s="74">
        <v>35780</v>
      </c>
      <c r="T8398" s="77">
        <v>0.16666666666666666</v>
      </c>
      <c r="V8398">
        <v>32</v>
      </c>
      <c r="X8398" s="42"/>
      <c r="AB8398">
        <v>36.299999999999997</v>
      </c>
      <c r="AC8398">
        <v>32</v>
      </c>
      <c r="AE8398" s="74"/>
      <c r="AF8398" s="77"/>
      <c r="AH8398" s="497">
        <v>15.8</v>
      </c>
      <c r="AJ8398" s="42"/>
      <c r="AK8398" s="74"/>
      <c r="AL8398" s="77"/>
      <c r="AN8398" s="497">
        <v>33.979999999999997</v>
      </c>
      <c r="AP8398" s="42"/>
      <c r="AQ8398" s="74"/>
      <c r="AR8398" s="77"/>
      <c r="AT8398" s="497">
        <v>26.060000000000002</v>
      </c>
      <c r="AV8398" s="42"/>
      <c r="AW8398" s="74"/>
      <c r="AX8398" s="77"/>
      <c r="BA8398" s="497">
        <v>33.08</v>
      </c>
      <c r="BB8398" s="42"/>
      <c r="BC8398" s="74"/>
      <c r="BD8398" s="77"/>
      <c r="BF8398">
        <v>33.979999999999997</v>
      </c>
      <c r="BH8398" s="42"/>
      <c r="BI8398" s="74"/>
      <c r="BJ8398" s="77"/>
      <c r="BL8398" s="497">
        <v>35.96</v>
      </c>
      <c r="BN8398" s="42"/>
      <c r="BO8398" s="74"/>
      <c r="BP8398" s="77"/>
      <c r="BR8398" s="497">
        <v>37.04</v>
      </c>
      <c r="BT8398" s="42"/>
    </row>
    <row r="8399" spans="1:72" x14ac:dyDescent="0.25">
      <c r="A8399" s="90">
        <v>35780</v>
      </c>
      <c r="B8399" s="20">
        <v>0.20833333333333334</v>
      </c>
      <c r="D8399">
        <v>33.979999999999997</v>
      </c>
      <c r="E8399" t="str">
        <f t="shared" si="296"/>
        <v>WEEKDAY</v>
      </c>
      <c r="F8399" t="e">
        <f t="shared" si="297"/>
        <v>#N/A</v>
      </c>
      <c r="G8399" s="74">
        <v>28475</v>
      </c>
      <c r="H8399" s="77">
        <v>0.20833333333333334</v>
      </c>
      <c r="J8399">
        <v>37.94</v>
      </c>
      <c r="M8399" s="74">
        <v>36876</v>
      </c>
      <c r="N8399" s="77">
        <v>0.20833333333333334</v>
      </c>
      <c r="P8399">
        <v>32.9</v>
      </c>
      <c r="S8399" s="74">
        <v>35780</v>
      </c>
      <c r="T8399" s="77">
        <v>0.20833333333333334</v>
      </c>
      <c r="V8399">
        <v>33.08</v>
      </c>
      <c r="X8399" s="42"/>
      <c r="AB8399">
        <v>36.1</v>
      </c>
      <c r="AC8399">
        <v>33.799999999999997</v>
      </c>
      <c r="AE8399" s="74"/>
      <c r="AF8399" s="77"/>
      <c r="AH8399" s="497">
        <v>24.8</v>
      </c>
      <c r="AJ8399" s="42"/>
      <c r="AK8399" s="74"/>
      <c r="AL8399" s="77"/>
      <c r="AN8399" s="497">
        <v>32</v>
      </c>
      <c r="AP8399" s="42"/>
      <c r="AQ8399" s="74"/>
      <c r="AR8399" s="77"/>
      <c r="AT8399" s="497">
        <v>24.08</v>
      </c>
      <c r="AV8399" s="42"/>
      <c r="AW8399" s="74"/>
      <c r="AX8399" s="77"/>
      <c r="BA8399" s="497">
        <v>33.08</v>
      </c>
      <c r="BB8399" s="42"/>
      <c r="BC8399" s="74"/>
      <c r="BD8399" s="77"/>
      <c r="BF8399">
        <v>32</v>
      </c>
      <c r="BH8399" s="42"/>
      <c r="BI8399" s="74"/>
      <c r="BJ8399" s="77"/>
      <c r="BL8399" s="497">
        <v>33.979999999999997</v>
      </c>
      <c r="BN8399" s="42"/>
      <c r="BO8399" s="74"/>
      <c r="BP8399" s="77"/>
      <c r="BR8399" s="497">
        <v>37.04</v>
      </c>
      <c r="BT8399" s="42"/>
    </row>
    <row r="8400" spans="1:72" x14ac:dyDescent="0.25">
      <c r="A8400" s="90">
        <v>35780</v>
      </c>
      <c r="B8400" s="20">
        <v>0.25</v>
      </c>
      <c r="D8400">
        <v>35.06</v>
      </c>
      <c r="E8400" t="str">
        <f t="shared" si="296"/>
        <v>WEEKDAY</v>
      </c>
      <c r="F8400" t="e">
        <f t="shared" si="297"/>
        <v>#N/A</v>
      </c>
      <c r="G8400" s="74">
        <v>28475</v>
      </c>
      <c r="H8400" s="77">
        <v>0.25</v>
      </c>
      <c r="J8400">
        <v>39.019999999999996</v>
      </c>
      <c r="M8400" s="74">
        <v>36876</v>
      </c>
      <c r="N8400" s="77">
        <v>0.25</v>
      </c>
      <c r="P8400">
        <v>33.799999999999997</v>
      </c>
      <c r="S8400" s="74">
        <v>35780</v>
      </c>
      <c r="T8400" s="77">
        <v>0.25</v>
      </c>
      <c r="V8400">
        <v>32</v>
      </c>
      <c r="X8400" s="42"/>
      <c r="AB8400">
        <v>35.9</v>
      </c>
      <c r="AC8400">
        <v>33.619999999999997</v>
      </c>
      <c r="AE8400" s="74"/>
      <c r="AF8400" s="77"/>
      <c r="AH8400" s="497">
        <v>24.8</v>
      </c>
      <c r="AJ8400" s="42"/>
      <c r="AK8400" s="74"/>
      <c r="AL8400" s="77"/>
      <c r="AN8400" s="497">
        <v>30.02</v>
      </c>
      <c r="AP8400" s="42"/>
      <c r="AQ8400" s="74"/>
      <c r="AR8400" s="77"/>
      <c r="AT8400" s="497">
        <v>21.92</v>
      </c>
      <c r="AV8400" s="42"/>
      <c r="AW8400" s="74"/>
      <c r="AX8400" s="77"/>
      <c r="BA8400" s="497">
        <v>33.08</v>
      </c>
      <c r="BB8400" s="42"/>
      <c r="BC8400" s="74"/>
      <c r="BD8400" s="77"/>
      <c r="BF8400">
        <v>30.92</v>
      </c>
      <c r="BH8400" s="42"/>
      <c r="BI8400" s="74"/>
      <c r="BJ8400" s="77"/>
      <c r="BL8400" s="497">
        <v>33.979999999999997</v>
      </c>
      <c r="BN8400" s="42"/>
      <c r="BO8400" s="74"/>
      <c r="BP8400" s="77"/>
      <c r="BR8400" s="497">
        <v>35.06</v>
      </c>
      <c r="BT8400" s="42"/>
    </row>
    <row r="8401" spans="1:72" x14ac:dyDescent="0.25">
      <c r="A8401" s="90">
        <v>35780</v>
      </c>
      <c r="B8401" s="20">
        <v>0.29166666666666669</v>
      </c>
      <c r="D8401">
        <v>33.979999999999997</v>
      </c>
      <c r="E8401" t="str">
        <f t="shared" si="296"/>
        <v>WEEKDAY</v>
      </c>
      <c r="F8401" t="e">
        <f t="shared" si="297"/>
        <v>#N/A</v>
      </c>
      <c r="G8401" s="74">
        <v>28475</v>
      </c>
      <c r="H8401" s="77">
        <v>0.29166666666666669</v>
      </c>
      <c r="J8401">
        <v>37.94</v>
      </c>
      <c r="M8401" s="74">
        <v>36876</v>
      </c>
      <c r="N8401" s="77">
        <v>0.29166666666666669</v>
      </c>
      <c r="P8401">
        <v>33.799999999999997</v>
      </c>
      <c r="S8401" s="74">
        <v>35780</v>
      </c>
      <c r="T8401" s="77">
        <v>0.29166666666666669</v>
      </c>
      <c r="V8401">
        <v>30.92</v>
      </c>
      <c r="X8401" s="42"/>
      <c r="AB8401">
        <v>35.9</v>
      </c>
      <c r="AC8401">
        <v>33.799999999999997</v>
      </c>
      <c r="AE8401" s="74"/>
      <c r="AF8401" s="77"/>
      <c r="AH8401" s="497">
        <v>24.8</v>
      </c>
      <c r="AJ8401" s="42"/>
      <c r="AK8401" s="74"/>
      <c r="AL8401" s="77"/>
      <c r="AN8401" s="497">
        <v>30.92</v>
      </c>
      <c r="AP8401" s="42"/>
      <c r="AQ8401" s="74"/>
      <c r="AR8401" s="77"/>
      <c r="AT8401" s="497">
        <v>19.939999999999998</v>
      </c>
      <c r="AV8401" s="42"/>
      <c r="AW8401" s="74"/>
      <c r="AX8401" s="77"/>
      <c r="BA8401" s="497">
        <v>33.08</v>
      </c>
      <c r="BB8401" s="42"/>
      <c r="BC8401" s="74"/>
      <c r="BD8401" s="77"/>
      <c r="BF8401">
        <v>30.02</v>
      </c>
      <c r="BH8401" s="42"/>
      <c r="BI8401" s="74"/>
      <c r="BJ8401" s="77"/>
      <c r="BL8401" s="497">
        <v>35.06</v>
      </c>
      <c r="BN8401" s="42"/>
      <c r="BO8401" s="74"/>
      <c r="BP8401" s="77"/>
      <c r="BR8401" s="497">
        <v>35.06</v>
      </c>
      <c r="BT8401" s="42"/>
    </row>
    <row r="8402" spans="1:72" x14ac:dyDescent="0.25">
      <c r="A8402" s="90">
        <v>35780</v>
      </c>
      <c r="B8402" s="20">
        <v>0.33333333333333331</v>
      </c>
      <c r="D8402">
        <v>33.979999999999997</v>
      </c>
      <c r="E8402" t="str">
        <f t="shared" si="296"/>
        <v>WEEKDAY</v>
      </c>
      <c r="F8402" t="e">
        <f t="shared" si="297"/>
        <v>#N/A</v>
      </c>
      <c r="G8402" s="74">
        <v>28475</v>
      </c>
      <c r="H8402" s="77">
        <v>0.33333333333333331</v>
      </c>
      <c r="J8402">
        <v>37.04</v>
      </c>
      <c r="M8402" s="74">
        <v>36876</v>
      </c>
      <c r="N8402" s="77">
        <v>0.33333333333333331</v>
      </c>
      <c r="P8402">
        <v>35.6</v>
      </c>
      <c r="S8402" s="74">
        <v>35780</v>
      </c>
      <c r="T8402" s="77">
        <v>0.33333333333333331</v>
      </c>
      <c r="V8402">
        <v>35.06</v>
      </c>
      <c r="X8402" s="42"/>
      <c r="AB8402">
        <v>35.9</v>
      </c>
      <c r="AC8402">
        <v>32</v>
      </c>
      <c r="AE8402" s="74"/>
      <c r="AF8402" s="77"/>
      <c r="AH8402" s="497">
        <v>26.6</v>
      </c>
      <c r="AJ8402" s="42"/>
      <c r="AK8402" s="74"/>
      <c r="AL8402" s="77"/>
      <c r="AN8402" s="497">
        <v>28.94</v>
      </c>
      <c r="AP8402" s="42"/>
      <c r="AQ8402" s="74"/>
      <c r="AR8402" s="77"/>
      <c r="AT8402" s="497">
        <v>26.24</v>
      </c>
      <c r="AV8402" s="42"/>
      <c r="AW8402" s="74"/>
      <c r="AX8402" s="77"/>
      <c r="BA8402" s="497">
        <v>33.979999999999997</v>
      </c>
      <c r="BB8402" s="42"/>
      <c r="BC8402" s="74"/>
      <c r="BD8402" s="77"/>
      <c r="BF8402">
        <v>33.08</v>
      </c>
      <c r="BH8402" s="42"/>
      <c r="BI8402" s="74"/>
      <c r="BJ8402" s="77"/>
      <c r="BL8402" s="497">
        <v>35.06</v>
      </c>
      <c r="BN8402" s="42"/>
      <c r="BO8402" s="74"/>
      <c r="BP8402" s="77"/>
      <c r="BR8402" s="497">
        <v>33.979999999999997</v>
      </c>
      <c r="BT8402" s="42"/>
    </row>
    <row r="8403" spans="1:72" x14ac:dyDescent="0.25">
      <c r="A8403" s="90">
        <v>35780</v>
      </c>
      <c r="B8403" s="20">
        <v>0.375</v>
      </c>
      <c r="D8403">
        <v>35.96</v>
      </c>
      <c r="E8403" t="str">
        <f t="shared" ref="E8403:E8466" si="298">IF(COUNTIF($DI$18:$DI$22, WEEKDAY(A8403))=1, "WEEKDAY", IF(WEEKDAY(A8403) = 1, "SUNDAY", "SATURDAY"))</f>
        <v>WEEKDAY</v>
      </c>
      <c r="F8403" t="e">
        <f t="shared" si="297"/>
        <v>#N/A</v>
      </c>
      <c r="G8403" s="74">
        <v>28475</v>
      </c>
      <c r="H8403" s="77">
        <v>0.375</v>
      </c>
      <c r="J8403">
        <v>37.04</v>
      </c>
      <c r="M8403" s="74">
        <v>36876</v>
      </c>
      <c r="N8403" s="77">
        <v>0.375</v>
      </c>
      <c r="P8403">
        <v>35.6</v>
      </c>
      <c r="S8403" s="74">
        <v>35780</v>
      </c>
      <c r="T8403" s="77">
        <v>0.375</v>
      </c>
      <c r="V8403">
        <v>39.92</v>
      </c>
      <c r="X8403" s="42"/>
      <c r="AB8403">
        <v>36.4</v>
      </c>
      <c r="AC8403">
        <v>39.200000000000003</v>
      </c>
      <c r="AE8403" s="74"/>
      <c r="AF8403" s="77"/>
      <c r="AH8403" s="497">
        <v>26.6</v>
      </c>
      <c r="AJ8403" s="42"/>
      <c r="AK8403" s="74"/>
      <c r="AL8403" s="77"/>
      <c r="AN8403" s="497">
        <v>32</v>
      </c>
      <c r="AP8403" s="42"/>
      <c r="AQ8403" s="74"/>
      <c r="AR8403" s="77"/>
      <c r="AT8403" s="497">
        <v>32.72</v>
      </c>
      <c r="AV8403" s="42"/>
      <c r="AW8403" s="74"/>
      <c r="AX8403" s="77"/>
      <c r="BA8403" s="497">
        <v>35.06</v>
      </c>
      <c r="BB8403" s="42"/>
      <c r="BC8403" s="74"/>
      <c r="BD8403" s="77"/>
      <c r="BF8403">
        <v>33.08</v>
      </c>
      <c r="BH8403" s="42"/>
      <c r="BI8403" s="74"/>
      <c r="BJ8403" s="77"/>
      <c r="BL8403" s="497">
        <v>35.06</v>
      </c>
      <c r="BN8403" s="42"/>
      <c r="BO8403" s="74"/>
      <c r="BP8403" s="77"/>
      <c r="BR8403" s="497">
        <v>35.06</v>
      </c>
      <c r="BT8403" s="42"/>
    </row>
    <row r="8404" spans="1:72" x14ac:dyDescent="0.25">
      <c r="A8404" s="90">
        <v>35780</v>
      </c>
      <c r="B8404" s="20">
        <v>0.41666666666666669</v>
      </c>
      <c r="D8404">
        <v>37.94</v>
      </c>
      <c r="E8404" t="str">
        <f t="shared" si="298"/>
        <v>WEEKDAY</v>
      </c>
      <c r="F8404" t="e">
        <f t="shared" si="297"/>
        <v>#N/A</v>
      </c>
      <c r="G8404" s="74">
        <v>28475</v>
      </c>
      <c r="H8404" s="77">
        <v>0.41666666666666669</v>
      </c>
      <c r="J8404">
        <v>39.019999999999996</v>
      </c>
      <c r="M8404" s="74">
        <v>36876</v>
      </c>
      <c r="N8404" s="77">
        <v>0.41666666666666669</v>
      </c>
      <c r="P8404">
        <v>37.4</v>
      </c>
      <c r="S8404" s="74">
        <v>35780</v>
      </c>
      <c r="T8404" s="77">
        <v>0.41666666666666669</v>
      </c>
      <c r="V8404">
        <v>42.08</v>
      </c>
      <c r="X8404" s="42"/>
      <c r="AB8404">
        <v>37.799999999999997</v>
      </c>
      <c r="AC8404">
        <v>46.4</v>
      </c>
      <c r="AE8404" s="74"/>
      <c r="AF8404" s="77"/>
      <c r="AH8404" s="497">
        <v>28.4</v>
      </c>
      <c r="AJ8404" s="42"/>
      <c r="AK8404" s="74"/>
      <c r="AL8404" s="77"/>
      <c r="AN8404" s="497">
        <v>33.979999999999997</v>
      </c>
      <c r="AP8404" s="42"/>
      <c r="AQ8404" s="74"/>
      <c r="AR8404" s="77"/>
      <c r="AT8404" s="497">
        <v>39.019999999999996</v>
      </c>
      <c r="AV8404" s="42"/>
      <c r="AW8404" s="74"/>
      <c r="AX8404" s="77"/>
      <c r="BA8404" s="497">
        <v>35.96</v>
      </c>
      <c r="BB8404" s="42"/>
      <c r="BC8404" s="74"/>
      <c r="BD8404" s="77"/>
      <c r="BF8404">
        <v>33.979999999999997</v>
      </c>
      <c r="BH8404" s="42"/>
      <c r="BI8404" s="74"/>
      <c r="BJ8404" s="77"/>
      <c r="BL8404" s="497">
        <v>35.96</v>
      </c>
      <c r="BN8404" s="42"/>
      <c r="BO8404" s="74"/>
      <c r="BP8404" s="77"/>
      <c r="BR8404" s="497">
        <v>37.04</v>
      </c>
      <c r="BT8404" s="42"/>
    </row>
    <row r="8405" spans="1:72" x14ac:dyDescent="0.25">
      <c r="A8405" s="90">
        <v>35780</v>
      </c>
      <c r="B8405" s="20">
        <v>0.45833333333333331</v>
      </c>
      <c r="D8405">
        <v>41</v>
      </c>
      <c r="E8405" t="str">
        <f t="shared" si="298"/>
        <v>WEEKDAY</v>
      </c>
      <c r="F8405" t="e">
        <f t="shared" si="297"/>
        <v>#N/A</v>
      </c>
      <c r="G8405" s="74">
        <v>28475</v>
      </c>
      <c r="H8405" s="77">
        <v>0.45833333333333331</v>
      </c>
      <c r="J8405">
        <v>41</v>
      </c>
      <c r="M8405" s="74">
        <v>36876</v>
      </c>
      <c r="N8405" s="77">
        <v>0.45833333333333331</v>
      </c>
      <c r="P8405">
        <v>37.4</v>
      </c>
      <c r="S8405" s="74">
        <v>35780</v>
      </c>
      <c r="T8405" s="77">
        <v>0.45833333333333331</v>
      </c>
      <c r="V8405">
        <v>42.980000000000004</v>
      </c>
      <c r="X8405" s="42"/>
      <c r="AB8405">
        <v>39.200000000000003</v>
      </c>
      <c r="AC8405">
        <v>48.2</v>
      </c>
      <c r="AE8405" s="74"/>
      <c r="AF8405" s="77"/>
      <c r="AH8405" s="497">
        <v>30.2</v>
      </c>
      <c r="AJ8405" s="42"/>
      <c r="AK8405" s="74"/>
      <c r="AL8405" s="77"/>
      <c r="AN8405" s="497">
        <v>35.96</v>
      </c>
      <c r="AP8405" s="42"/>
      <c r="AQ8405" s="74"/>
      <c r="AR8405" s="77"/>
      <c r="AT8405" s="497">
        <v>40.64</v>
      </c>
      <c r="AV8405" s="42"/>
      <c r="AW8405" s="74"/>
      <c r="AX8405" s="77"/>
      <c r="BA8405" s="497">
        <v>37.58</v>
      </c>
      <c r="BB8405" s="42"/>
      <c r="BC8405" s="74"/>
      <c r="BD8405" s="77"/>
      <c r="BF8405">
        <v>37.04</v>
      </c>
      <c r="BH8405" s="42"/>
      <c r="BI8405" s="74"/>
      <c r="BJ8405" s="77"/>
      <c r="BL8405" s="497">
        <v>39.92</v>
      </c>
      <c r="BN8405" s="42"/>
      <c r="BO8405" s="74"/>
      <c r="BP8405" s="77"/>
      <c r="BR8405" s="497">
        <v>39.019999999999996</v>
      </c>
      <c r="BT8405" s="42"/>
    </row>
    <row r="8406" spans="1:72" x14ac:dyDescent="0.25">
      <c r="A8406" s="90">
        <v>35780</v>
      </c>
      <c r="B8406" s="20">
        <v>0.5</v>
      </c>
      <c r="D8406">
        <v>42.980000000000004</v>
      </c>
      <c r="E8406" t="str">
        <f t="shared" si="298"/>
        <v>WEEKDAY</v>
      </c>
      <c r="F8406" t="e">
        <f t="shared" si="297"/>
        <v>#N/A</v>
      </c>
      <c r="G8406" s="74">
        <v>28475</v>
      </c>
      <c r="H8406" s="77">
        <v>0.5</v>
      </c>
      <c r="J8406">
        <v>41</v>
      </c>
      <c r="M8406" s="74">
        <v>36876</v>
      </c>
      <c r="N8406" s="77">
        <v>0.5</v>
      </c>
      <c r="P8406">
        <v>37.4</v>
      </c>
      <c r="S8406" s="74">
        <v>35780</v>
      </c>
      <c r="T8406" s="77">
        <v>0.5</v>
      </c>
      <c r="V8406">
        <v>46.04</v>
      </c>
      <c r="X8406" s="42"/>
      <c r="AB8406">
        <v>40.4</v>
      </c>
      <c r="AC8406">
        <v>50</v>
      </c>
      <c r="AE8406" s="74"/>
      <c r="AF8406" s="77"/>
      <c r="AH8406" s="497">
        <v>33.799999999999997</v>
      </c>
      <c r="AJ8406" s="42"/>
      <c r="AK8406" s="74"/>
      <c r="AL8406" s="77"/>
      <c r="AN8406" s="497">
        <v>37.94</v>
      </c>
      <c r="AP8406" s="42"/>
      <c r="AQ8406" s="74"/>
      <c r="AR8406" s="77"/>
      <c r="AT8406" s="497">
        <v>42.44</v>
      </c>
      <c r="AV8406" s="42"/>
      <c r="AW8406" s="74"/>
      <c r="AX8406" s="77"/>
      <c r="BA8406" s="497">
        <v>39.380000000000003</v>
      </c>
      <c r="BB8406" s="42"/>
      <c r="BC8406" s="74"/>
      <c r="BD8406" s="77"/>
      <c r="BF8406">
        <v>39.92</v>
      </c>
      <c r="BH8406" s="42"/>
      <c r="BI8406" s="74"/>
      <c r="BJ8406" s="77"/>
      <c r="BL8406" s="497">
        <v>39.92</v>
      </c>
      <c r="BN8406" s="42"/>
      <c r="BO8406" s="74"/>
      <c r="BP8406" s="77"/>
      <c r="BR8406" s="497">
        <v>39.92</v>
      </c>
      <c r="BT8406" s="42"/>
    </row>
    <row r="8407" spans="1:72" x14ac:dyDescent="0.25">
      <c r="A8407" s="90">
        <v>35780</v>
      </c>
      <c r="B8407" s="20">
        <v>0.54166666666666663</v>
      </c>
      <c r="D8407">
        <v>46.04</v>
      </c>
      <c r="E8407" t="str">
        <f t="shared" si="298"/>
        <v>WEEKDAY</v>
      </c>
      <c r="F8407" t="e">
        <f t="shared" si="297"/>
        <v>#N/A</v>
      </c>
      <c r="G8407" s="74">
        <v>28475</v>
      </c>
      <c r="H8407" s="77">
        <v>0.54166666666666663</v>
      </c>
      <c r="J8407">
        <v>42.980000000000004</v>
      </c>
      <c r="M8407" s="74">
        <v>36876</v>
      </c>
      <c r="N8407" s="77">
        <v>0.54166666666666663</v>
      </c>
      <c r="P8407">
        <v>39.200000000000003</v>
      </c>
      <c r="S8407" s="74">
        <v>35780</v>
      </c>
      <c r="T8407" s="77">
        <v>0.54166666666666663</v>
      </c>
      <c r="V8407">
        <v>48.019999999999996</v>
      </c>
      <c r="X8407" s="42"/>
      <c r="AB8407">
        <v>41.3</v>
      </c>
      <c r="AC8407">
        <v>53.6</v>
      </c>
      <c r="AE8407" s="74"/>
      <c r="AF8407" s="77"/>
      <c r="AH8407" s="497">
        <v>35.6</v>
      </c>
      <c r="AJ8407" s="42"/>
      <c r="AK8407" s="74"/>
      <c r="AL8407" s="77"/>
      <c r="AN8407" s="497">
        <v>39.92</v>
      </c>
      <c r="AP8407" s="42"/>
      <c r="AQ8407" s="74"/>
      <c r="AR8407" s="77"/>
      <c r="AT8407" s="497">
        <v>44.06</v>
      </c>
      <c r="AV8407" s="42"/>
      <c r="AW8407" s="74"/>
      <c r="AX8407" s="77"/>
      <c r="BA8407" s="497">
        <v>41</v>
      </c>
      <c r="BB8407" s="42"/>
      <c r="BC8407" s="74"/>
      <c r="BD8407" s="77"/>
      <c r="BF8407">
        <v>42.08</v>
      </c>
      <c r="BH8407" s="42"/>
      <c r="BI8407" s="74"/>
      <c r="BJ8407" s="77"/>
      <c r="BL8407" s="497">
        <v>42.08</v>
      </c>
      <c r="BN8407" s="42"/>
      <c r="BO8407" s="74"/>
      <c r="BP8407" s="77"/>
      <c r="BR8407" s="497">
        <v>39.019999999999996</v>
      </c>
      <c r="BT8407" s="42"/>
    </row>
    <row r="8408" spans="1:72" x14ac:dyDescent="0.25">
      <c r="A8408" s="90">
        <v>35780</v>
      </c>
      <c r="B8408" s="20">
        <v>0.58333333333333337</v>
      </c>
      <c r="D8408">
        <v>46.94</v>
      </c>
      <c r="E8408" t="str">
        <f t="shared" si="298"/>
        <v>WEEKDAY</v>
      </c>
      <c r="F8408" t="e">
        <f t="shared" si="297"/>
        <v>#N/A</v>
      </c>
      <c r="G8408" s="74">
        <v>28475</v>
      </c>
      <c r="H8408" s="77">
        <v>0.58333333333333337</v>
      </c>
      <c r="J8408">
        <v>42.980000000000004</v>
      </c>
      <c r="M8408" s="74">
        <v>36876</v>
      </c>
      <c r="N8408" s="77">
        <v>0.58333333333333337</v>
      </c>
      <c r="P8408">
        <v>39.200000000000003</v>
      </c>
      <c r="S8408" s="74">
        <v>35780</v>
      </c>
      <c r="T8408" s="77">
        <v>0.58333333333333337</v>
      </c>
      <c r="V8408">
        <v>50</v>
      </c>
      <c r="X8408" s="42"/>
      <c r="AB8408">
        <v>41.9</v>
      </c>
      <c r="AC8408">
        <v>55.400000000000006</v>
      </c>
      <c r="AE8408" s="74"/>
      <c r="AF8408" s="77"/>
      <c r="AH8408" s="497">
        <v>39.200000000000003</v>
      </c>
      <c r="AJ8408" s="42"/>
      <c r="AK8408" s="74"/>
      <c r="AL8408" s="77"/>
      <c r="AN8408" s="497">
        <v>41</v>
      </c>
      <c r="AP8408" s="42"/>
      <c r="AQ8408" s="74"/>
      <c r="AR8408" s="77"/>
      <c r="AT8408" s="497">
        <v>43.7</v>
      </c>
      <c r="AV8408" s="42"/>
      <c r="AW8408" s="74"/>
      <c r="AX8408" s="77"/>
      <c r="BA8408" s="497">
        <v>41</v>
      </c>
      <c r="BB8408" s="42"/>
      <c r="BC8408" s="74"/>
      <c r="BD8408" s="77"/>
      <c r="BF8408">
        <v>42.08</v>
      </c>
      <c r="BH8408" s="42"/>
      <c r="BI8408" s="74"/>
      <c r="BJ8408" s="77"/>
      <c r="BL8408" s="497">
        <v>42.08</v>
      </c>
      <c r="BN8408" s="42"/>
      <c r="BO8408" s="74"/>
      <c r="BP8408" s="77"/>
      <c r="BR8408" s="497">
        <v>39.92</v>
      </c>
      <c r="BT8408" s="42"/>
    </row>
    <row r="8409" spans="1:72" x14ac:dyDescent="0.25">
      <c r="A8409" s="90">
        <v>35780</v>
      </c>
      <c r="B8409" s="20">
        <v>0.625</v>
      </c>
      <c r="D8409">
        <v>46.04</v>
      </c>
      <c r="E8409" t="str">
        <f t="shared" si="298"/>
        <v>WEEKDAY</v>
      </c>
      <c r="F8409" t="e">
        <f t="shared" si="297"/>
        <v>#N/A</v>
      </c>
      <c r="G8409" s="74">
        <v>28475</v>
      </c>
      <c r="H8409" s="77">
        <v>0.625</v>
      </c>
      <c r="J8409">
        <v>48.019999999999996</v>
      </c>
      <c r="M8409" s="74">
        <v>36876</v>
      </c>
      <c r="N8409" s="77">
        <v>0.625</v>
      </c>
      <c r="P8409">
        <v>41</v>
      </c>
      <c r="S8409" s="74">
        <v>35780</v>
      </c>
      <c r="T8409" s="77">
        <v>0.625</v>
      </c>
      <c r="V8409">
        <v>51.08</v>
      </c>
      <c r="X8409" s="42"/>
      <c r="AB8409">
        <v>42.2</v>
      </c>
      <c r="AC8409">
        <v>55.400000000000006</v>
      </c>
      <c r="AE8409" s="74"/>
      <c r="AF8409" s="77"/>
      <c r="AH8409" s="497">
        <v>39.200000000000003</v>
      </c>
      <c r="AJ8409" s="42"/>
      <c r="AK8409" s="74"/>
      <c r="AL8409" s="77"/>
      <c r="AN8409" s="497">
        <v>42.08</v>
      </c>
      <c r="AP8409" s="42"/>
      <c r="AQ8409" s="74"/>
      <c r="AR8409" s="77"/>
      <c r="AT8409" s="497">
        <v>43.34</v>
      </c>
      <c r="AV8409" s="42"/>
      <c r="AW8409" s="74"/>
      <c r="AX8409" s="77"/>
      <c r="BA8409" s="497">
        <v>41</v>
      </c>
      <c r="BB8409" s="42"/>
      <c r="BC8409" s="74"/>
      <c r="BD8409" s="77"/>
      <c r="BF8409">
        <v>41</v>
      </c>
      <c r="BH8409" s="42"/>
      <c r="BI8409" s="74"/>
      <c r="BJ8409" s="77"/>
      <c r="BL8409" s="497">
        <v>42.08</v>
      </c>
      <c r="BN8409" s="42"/>
      <c r="BO8409" s="74"/>
      <c r="BP8409" s="77"/>
      <c r="BR8409" s="497">
        <v>39.019999999999996</v>
      </c>
      <c r="BT8409" s="42"/>
    </row>
    <row r="8410" spans="1:72" x14ac:dyDescent="0.25">
      <c r="A8410" s="90">
        <v>35780</v>
      </c>
      <c r="B8410" s="20">
        <v>0.66666666666666663</v>
      </c>
      <c r="D8410">
        <v>42.08</v>
      </c>
      <c r="E8410" t="str">
        <f t="shared" si="298"/>
        <v>WEEKDAY</v>
      </c>
      <c r="F8410" t="e">
        <f t="shared" si="297"/>
        <v>#N/A</v>
      </c>
      <c r="G8410" s="74">
        <v>28475</v>
      </c>
      <c r="H8410" s="77">
        <v>0.66666666666666663</v>
      </c>
      <c r="J8410">
        <v>48.019999999999996</v>
      </c>
      <c r="M8410" s="74">
        <v>36876</v>
      </c>
      <c r="N8410" s="77">
        <v>0.66666666666666663</v>
      </c>
      <c r="P8410">
        <v>41</v>
      </c>
      <c r="S8410" s="74">
        <v>35780</v>
      </c>
      <c r="T8410" s="77">
        <v>0.66666666666666663</v>
      </c>
      <c r="V8410">
        <v>48.019999999999996</v>
      </c>
      <c r="X8410" s="42"/>
      <c r="AB8410">
        <v>42.1</v>
      </c>
      <c r="AC8410">
        <v>53.6</v>
      </c>
      <c r="AE8410" s="74"/>
      <c r="AF8410" s="77"/>
      <c r="AH8410" s="497">
        <v>39.200000000000003</v>
      </c>
      <c r="AJ8410" s="42"/>
      <c r="AK8410" s="74"/>
      <c r="AL8410" s="77"/>
      <c r="AN8410" s="497">
        <v>39.92</v>
      </c>
      <c r="AP8410" s="42"/>
      <c r="AQ8410" s="74"/>
      <c r="AR8410" s="77"/>
      <c r="AT8410" s="497">
        <v>42.980000000000004</v>
      </c>
      <c r="AV8410" s="42"/>
      <c r="AW8410" s="74"/>
      <c r="AX8410" s="77"/>
      <c r="BA8410" s="497">
        <v>41</v>
      </c>
      <c r="BB8410" s="42"/>
      <c r="BC8410" s="74"/>
      <c r="BD8410" s="77"/>
      <c r="BF8410">
        <v>39.92</v>
      </c>
      <c r="BH8410" s="42"/>
      <c r="BI8410" s="74"/>
      <c r="BJ8410" s="77"/>
      <c r="BL8410" s="497">
        <v>42.08</v>
      </c>
      <c r="BN8410" s="42"/>
      <c r="BO8410" s="74"/>
      <c r="BP8410" s="77"/>
      <c r="BR8410" s="497">
        <v>37.04</v>
      </c>
      <c r="BT8410" s="42"/>
    </row>
    <row r="8411" spans="1:72" x14ac:dyDescent="0.25">
      <c r="A8411" s="90">
        <v>35780</v>
      </c>
      <c r="B8411" s="20">
        <v>0.70833333333333337</v>
      </c>
      <c r="D8411">
        <v>42.08</v>
      </c>
      <c r="E8411" t="str">
        <f t="shared" si="298"/>
        <v>WEEKDAY</v>
      </c>
      <c r="F8411" t="e">
        <f t="shared" si="297"/>
        <v>#N/A</v>
      </c>
      <c r="G8411" s="74">
        <v>28475</v>
      </c>
      <c r="H8411" s="77">
        <v>0.70833333333333337</v>
      </c>
      <c r="J8411">
        <v>46.04</v>
      </c>
      <c r="M8411" s="74">
        <v>36876</v>
      </c>
      <c r="N8411" s="77">
        <v>0.70833333333333337</v>
      </c>
      <c r="P8411">
        <v>41.54</v>
      </c>
      <c r="S8411" s="74">
        <v>35780</v>
      </c>
      <c r="T8411" s="77">
        <v>0.70833333333333337</v>
      </c>
      <c r="V8411">
        <v>46.04</v>
      </c>
      <c r="X8411" s="42"/>
      <c r="AB8411">
        <v>41.3</v>
      </c>
      <c r="AC8411">
        <v>48.2</v>
      </c>
      <c r="AE8411" s="74"/>
      <c r="AF8411" s="77"/>
      <c r="AH8411" s="497">
        <v>35.6</v>
      </c>
      <c r="AJ8411" s="42"/>
      <c r="AK8411" s="74"/>
      <c r="AL8411" s="77"/>
      <c r="AN8411" s="497">
        <v>39.019999999999996</v>
      </c>
      <c r="AP8411" s="42"/>
      <c r="AQ8411" s="74"/>
      <c r="AR8411" s="77"/>
      <c r="AT8411" s="497">
        <v>38.659999999999997</v>
      </c>
      <c r="AV8411" s="42"/>
      <c r="AW8411" s="74"/>
      <c r="AX8411" s="77"/>
      <c r="BA8411" s="497">
        <v>39.019999999999996</v>
      </c>
      <c r="BB8411" s="42"/>
      <c r="BC8411" s="74"/>
      <c r="BD8411" s="77"/>
      <c r="BF8411">
        <v>37.94</v>
      </c>
      <c r="BH8411" s="42"/>
      <c r="BI8411" s="74"/>
      <c r="BJ8411" s="77"/>
      <c r="BL8411" s="497">
        <v>39.019999999999996</v>
      </c>
      <c r="BN8411" s="42"/>
      <c r="BO8411" s="74"/>
      <c r="BP8411" s="77"/>
      <c r="BR8411" s="497">
        <v>33.979999999999997</v>
      </c>
      <c r="BT8411" s="42"/>
    </row>
    <row r="8412" spans="1:72" x14ac:dyDescent="0.25">
      <c r="A8412" s="90">
        <v>35780</v>
      </c>
      <c r="B8412" s="20">
        <v>0.75</v>
      </c>
      <c r="D8412">
        <v>42.980000000000004</v>
      </c>
      <c r="E8412" t="str">
        <f t="shared" si="298"/>
        <v>WEEKDAY</v>
      </c>
      <c r="F8412" t="e">
        <f t="shared" si="297"/>
        <v>#N/A</v>
      </c>
      <c r="G8412" s="74">
        <v>28475</v>
      </c>
      <c r="H8412" s="77">
        <v>0.75</v>
      </c>
      <c r="J8412">
        <v>44.96</v>
      </c>
      <c r="M8412" s="74">
        <v>36876</v>
      </c>
      <c r="N8412" s="77">
        <v>0.75</v>
      </c>
      <c r="P8412">
        <v>42.8</v>
      </c>
      <c r="S8412" s="74">
        <v>35780</v>
      </c>
      <c r="T8412" s="77">
        <v>0.75</v>
      </c>
      <c r="V8412">
        <v>42.08</v>
      </c>
      <c r="X8412" s="42"/>
      <c r="AB8412">
        <v>40.299999999999997</v>
      </c>
      <c r="AC8412">
        <v>44.6</v>
      </c>
      <c r="AE8412" s="74"/>
      <c r="AF8412" s="77"/>
      <c r="AH8412" s="497">
        <v>33.799999999999997</v>
      </c>
      <c r="AJ8412" s="42"/>
      <c r="AK8412" s="74"/>
      <c r="AL8412" s="77"/>
      <c r="AN8412" s="497">
        <v>37.94</v>
      </c>
      <c r="AP8412" s="42"/>
      <c r="AQ8412" s="74"/>
      <c r="AR8412" s="77"/>
      <c r="AT8412" s="497">
        <v>34.340000000000003</v>
      </c>
      <c r="AV8412" s="42"/>
      <c r="AW8412" s="74"/>
      <c r="AX8412" s="77"/>
      <c r="BA8412" s="497">
        <v>37.04</v>
      </c>
      <c r="BB8412" s="42"/>
      <c r="BC8412" s="74"/>
      <c r="BD8412" s="77"/>
      <c r="BF8412">
        <v>37.94</v>
      </c>
      <c r="BH8412" s="42"/>
      <c r="BI8412" s="74"/>
      <c r="BJ8412" s="77"/>
      <c r="BL8412" s="497">
        <v>39.019999999999996</v>
      </c>
      <c r="BN8412" s="42"/>
      <c r="BO8412" s="74"/>
      <c r="BP8412" s="77"/>
      <c r="BR8412" s="497">
        <v>28.94</v>
      </c>
      <c r="BT8412" s="42"/>
    </row>
    <row r="8413" spans="1:72" x14ac:dyDescent="0.25">
      <c r="A8413" s="90">
        <v>35780</v>
      </c>
      <c r="B8413" s="20">
        <v>0.79166666666666663</v>
      </c>
      <c r="D8413">
        <v>42.980000000000004</v>
      </c>
      <c r="E8413" t="str">
        <f t="shared" si="298"/>
        <v>WEEKDAY</v>
      </c>
      <c r="F8413" t="e">
        <f t="shared" si="297"/>
        <v>#N/A</v>
      </c>
      <c r="G8413" s="74">
        <v>28475</v>
      </c>
      <c r="H8413" s="77">
        <v>0.79166666666666663</v>
      </c>
      <c r="J8413">
        <v>44.06</v>
      </c>
      <c r="M8413" s="74">
        <v>36876</v>
      </c>
      <c r="N8413" s="77">
        <v>0.79166666666666663</v>
      </c>
      <c r="P8413">
        <v>44.6</v>
      </c>
      <c r="S8413" s="74">
        <v>35780</v>
      </c>
      <c r="T8413" s="77">
        <v>0.79166666666666663</v>
      </c>
      <c r="V8413">
        <v>44.06</v>
      </c>
      <c r="X8413" s="42"/>
      <c r="AB8413">
        <v>39.9</v>
      </c>
      <c r="AC8413">
        <v>41</v>
      </c>
      <c r="AE8413" s="74"/>
      <c r="AF8413" s="77"/>
      <c r="AH8413" s="497">
        <v>35.6</v>
      </c>
      <c r="AJ8413" s="42"/>
      <c r="AK8413" s="74"/>
      <c r="AL8413" s="77"/>
      <c r="AN8413" s="497">
        <v>39.019999999999996</v>
      </c>
      <c r="AP8413" s="42"/>
      <c r="AQ8413" s="74"/>
      <c r="AR8413" s="77"/>
      <c r="AT8413" s="497">
        <v>30.02</v>
      </c>
      <c r="AV8413" s="42"/>
      <c r="AW8413" s="74"/>
      <c r="AX8413" s="77"/>
      <c r="BA8413" s="497">
        <v>35.06</v>
      </c>
      <c r="BB8413" s="42"/>
      <c r="BC8413" s="74"/>
      <c r="BD8413" s="77"/>
      <c r="BF8413">
        <v>37.04</v>
      </c>
      <c r="BH8413" s="42"/>
      <c r="BI8413" s="74"/>
      <c r="BJ8413" s="77"/>
      <c r="BL8413" s="497">
        <v>37.04</v>
      </c>
      <c r="BN8413" s="42"/>
      <c r="BO8413" s="74"/>
      <c r="BP8413" s="77"/>
      <c r="BR8413" s="497">
        <v>28.04</v>
      </c>
      <c r="BT8413" s="42"/>
    </row>
    <row r="8414" spans="1:72" x14ac:dyDescent="0.25">
      <c r="A8414" s="90">
        <v>35780</v>
      </c>
      <c r="B8414" s="20">
        <v>0.83333333333333337</v>
      </c>
      <c r="D8414">
        <v>44.06</v>
      </c>
      <c r="E8414" t="str">
        <f t="shared" si="298"/>
        <v>WEEKDAY</v>
      </c>
      <c r="F8414" t="e">
        <f t="shared" si="297"/>
        <v>#N/A</v>
      </c>
      <c r="G8414" s="74">
        <v>28475</v>
      </c>
      <c r="H8414" s="77">
        <v>0.83333333333333337</v>
      </c>
      <c r="J8414">
        <v>42.980000000000004</v>
      </c>
      <c r="M8414" s="74">
        <v>36876</v>
      </c>
      <c r="N8414" s="77">
        <v>0.83333333333333337</v>
      </c>
      <c r="P8414">
        <v>46.4</v>
      </c>
      <c r="S8414" s="74">
        <v>35780</v>
      </c>
      <c r="T8414" s="77">
        <v>0.83333333333333337</v>
      </c>
      <c r="V8414">
        <v>41</v>
      </c>
      <c r="X8414" s="42"/>
      <c r="AB8414">
        <v>39.700000000000003</v>
      </c>
      <c r="AC8414">
        <v>39.200000000000003</v>
      </c>
      <c r="AE8414" s="74"/>
      <c r="AF8414" s="77"/>
      <c r="AH8414" s="497">
        <v>35.6</v>
      </c>
      <c r="AJ8414" s="42"/>
      <c r="AK8414" s="74"/>
      <c r="AL8414" s="77"/>
      <c r="AN8414" s="497">
        <v>39.019999999999996</v>
      </c>
      <c r="AP8414" s="42"/>
      <c r="AQ8414" s="74"/>
      <c r="AR8414" s="77"/>
      <c r="AT8414" s="497">
        <v>28.759999999999998</v>
      </c>
      <c r="AV8414" s="42"/>
      <c r="AW8414" s="74"/>
      <c r="AX8414" s="77"/>
      <c r="BA8414" s="497">
        <v>33.979999999999997</v>
      </c>
      <c r="BB8414" s="42"/>
      <c r="BC8414" s="74"/>
      <c r="BD8414" s="77"/>
      <c r="BF8414">
        <v>37.04</v>
      </c>
      <c r="BH8414" s="42"/>
      <c r="BI8414" s="74"/>
      <c r="BJ8414" s="77"/>
      <c r="BL8414" s="497">
        <v>37.04</v>
      </c>
      <c r="BN8414" s="42"/>
      <c r="BO8414" s="74"/>
      <c r="BP8414" s="77"/>
      <c r="BR8414" s="497">
        <v>26.96</v>
      </c>
      <c r="BT8414" s="42"/>
    </row>
    <row r="8415" spans="1:72" x14ac:dyDescent="0.25">
      <c r="A8415" s="90">
        <v>35780</v>
      </c>
      <c r="B8415" s="20">
        <v>0.875</v>
      </c>
      <c r="D8415">
        <v>44.06</v>
      </c>
      <c r="E8415" t="str">
        <f t="shared" si="298"/>
        <v>WEEKDAY</v>
      </c>
      <c r="F8415" t="e">
        <f t="shared" si="297"/>
        <v>#N/A</v>
      </c>
      <c r="G8415" s="74">
        <v>28475</v>
      </c>
      <c r="H8415" s="77">
        <v>0.875</v>
      </c>
      <c r="J8415">
        <v>42.980000000000004</v>
      </c>
      <c r="M8415" s="74">
        <v>36876</v>
      </c>
      <c r="N8415" s="77">
        <v>0.875</v>
      </c>
      <c r="P8415">
        <v>48.2</v>
      </c>
      <c r="S8415" s="74">
        <v>35780</v>
      </c>
      <c r="T8415" s="77">
        <v>0.875</v>
      </c>
      <c r="V8415">
        <v>42.08</v>
      </c>
      <c r="X8415" s="42"/>
      <c r="AB8415">
        <v>39.200000000000003</v>
      </c>
      <c r="AC8415">
        <v>42.8</v>
      </c>
      <c r="AE8415" s="74"/>
      <c r="AF8415" s="77"/>
      <c r="AH8415" s="497">
        <v>26.6</v>
      </c>
      <c r="AJ8415" s="42"/>
      <c r="AK8415" s="74"/>
      <c r="AL8415" s="77"/>
      <c r="AN8415" s="497">
        <v>39.019999999999996</v>
      </c>
      <c r="AP8415" s="42"/>
      <c r="AQ8415" s="74"/>
      <c r="AR8415" s="77"/>
      <c r="AT8415" s="497">
        <v>27.32</v>
      </c>
      <c r="AV8415" s="42"/>
      <c r="AW8415" s="74"/>
      <c r="AX8415" s="77"/>
      <c r="BA8415" s="497">
        <v>33.08</v>
      </c>
      <c r="BB8415" s="42"/>
      <c r="BC8415" s="74"/>
      <c r="BD8415" s="77"/>
      <c r="BF8415">
        <v>37.04</v>
      </c>
      <c r="BH8415" s="42"/>
      <c r="BI8415" s="74"/>
      <c r="BJ8415" s="77"/>
      <c r="BL8415" s="497">
        <v>37.04</v>
      </c>
      <c r="BN8415" s="42"/>
      <c r="BO8415" s="74"/>
      <c r="BP8415" s="77"/>
      <c r="BR8415" s="497">
        <v>26.060000000000002</v>
      </c>
      <c r="BT8415" s="42"/>
    </row>
    <row r="8416" spans="1:72" x14ac:dyDescent="0.25">
      <c r="A8416" s="90">
        <v>35780</v>
      </c>
      <c r="B8416" s="20">
        <v>0.91666666666666663</v>
      </c>
      <c r="D8416">
        <v>44.06</v>
      </c>
      <c r="E8416" t="str">
        <f t="shared" si="298"/>
        <v>WEEKDAY</v>
      </c>
      <c r="F8416" t="e">
        <f t="shared" si="297"/>
        <v>#N/A</v>
      </c>
      <c r="G8416" s="74">
        <v>28475</v>
      </c>
      <c r="H8416" s="77">
        <v>0.91666666666666663</v>
      </c>
      <c r="J8416">
        <v>41</v>
      </c>
      <c r="M8416" s="74">
        <v>36876</v>
      </c>
      <c r="N8416" s="77">
        <v>0.91666666666666663</v>
      </c>
      <c r="P8416">
        <v>48.2</v>
      </c>
      <c r="S8416" s="74">
        <v>35780</v>
      </c>
      <c r="T8416" s="77">
        <v>0.91666666666666663</v>
      </c>
      <c r="V8416">
        <v>42.08</v>
      </c>
      <c r="X8416" s="42"/>
      <c r="AB8416">
        <v>38.700000000000003</v>
      </c>
      <c r="AC8416">
        <v>37.4</v>
      </c>
      <c r="AE8416" s="74"/>
      <c r="AF8416" s="77"/>
      <c r="AH8416" s="497">
        <v>24.8</v>
      </c>
      <c r="AJ8416" s="42"/>
      <c r="AK8416" s="74"/>
      <c r="AL8416" s="77"/>
      <c r="AN8416" s="497">
        <v>39.019999999999996</v>
      </c>
      <c r="AP8416" s="42"/>
      <c r="AQ8416" s="74"/>
      <c r="AR8416" s="77"/>
      <c r="AT8416" s="497">
        <v>26.060000000000002</v>
      </c>
      <c r="AV8416" s="42"/>
      <c r="AW8416" s="74"/>
      <c r="AX8416" s="77"/>
      <c r="BA8416" s="497">
        <v>32</v>
      </c>
      <c r="BB8416" s="42"/>
      <c r="BC8416" s="74"/>
      <c r="BD8416" s="77"/>
      <c r="BF8416">
        <v>35.96</v>
      </c>
      <c r="BH8416" s="42"/>
      <c r="BI8416" s="74"/>
      <c r="BJ8416" s="77"/>
      <c r="BL8416" s="497">
        <v>37.04</v>
      </c>
      <c r="BN8416" s="42"/>
      <c r="BO8416" s="74"/>
      <c r="BP8416" s="77"/>
      <c r="BR8416" s="497">
        <v>30.02</v>
      </c>
      <c r="BT8416" s="42"/>
    </row>
    <row r="8417" spans="1:72" x14ac:dyDescent="0.25">
      <c r="A8417" s="90">
        <v>35780</v>
      </c>
      <c r="B8417" s="20">
        <v>0.95833333333333337</v>
      </c>
      <c r="D8417">
        <v>44.96</v>
      </c>
      <c r="E8417" t="str">
        <f t="shared" si="298"/>
        <v>WEEKDAY</v>
      </c>
      <c r="F8417" t="e">
        <f t="shared" si="297"/>
        <v>#N/A</v>
      </c>
      <c r="G8417" s="74">
        <v>28475</v>
      </c>
      <c r="H8417" s="77">
        <v>0.95833333333333337</v>
      </c>
      <c r="J8417">
        <v>41</v>
      </c>
      <c r="M8417" s="74">
        <v>36876</v>
      </c>
      <c r="N8417" s="77">
        <v>0.95833333333333337</v>
      </c>
      <c r="P8417">
        <v>50</v>
      </c>
      <c r="S8417" s="74">
        <v>35780</v>
      </c>
      <c r="T8417" s="77">
        <v>0.95833333333333337</v>
      </c>
      <c r="V8417">
        <v>41</v>
      </c>
      <c r="X8417" s="42"/>
      <c r="AB8417">
        <v>38.299999999999997</v>
      </c>
      <c r="AC8417">
        <v>33.799999999999997</v>
      </c>
      <c r="AE8417" s="74"/>
      <c r="AF8417" s="77"/>
      <c r="AH8417" s="497">
        <v>24.8</v>
      </c>
      <c r="AJ8417" s="42"/>
      <c r="AK8417" s="74"/>
      <c r="AL8417" s="77"/>
      <c r="AN8417" s="497">
        <v>39.92</v>
      </c>
      <c r="AP8417" s="42"/>
      <c r="AQ8417" s="74"/>
      <c r="AR8417" s="77"/>
      <c r="AT8417" s="497">
        <v>30.38</v>
      </c>
      <c r="AV8417" s="42"/>
      <c r="AW8417" s="74"/>
      <c r="AX8417" s="77"/>
      <c r="BA8417" s="497">
        <v>31.64</v>
      </c>
      <c r="BB8417" s="42"/>
      <c r="BC8417" s="74"/>
      <c r="BD8417" s="77"/>
      <c r="BF8417">
        <v>35.06</v>
      </c>
      <c r="BH8417" s="42"/>
      <c r="BI8417" s="74"/>
      <c r="BJ8417" s="77"/>
      <c r="BL8417" s="497">
        <v>35.96</v>
      </c>
      <c r="BN8417" s="42"/>
      <c r="BO8417" s="74"/>
      <c r="BP8417" s="77"/>
      <c r="BR8417" s="497">
        <v>32</v>
      </c>
      <c r="BT8417" s="42"/>
    </row>
    <row r="8418" spans="1:72" x14ac:dyDescent="0.25">
      <c r="A8418" s="90">
        <v>35780</v>
      </c>
      <c r="B8418" s="20">
        <v>1</v>
      </c>
      <c r="D8418">
        <v>44.96</v>
      </c>
      <c r="E8418" t="str">
        <f t="shared" si="298"/>
        <v>WEEKDAY</v>
      </c>
      <c r="F8418" t="e">
        <f t="shared" si="297"/>
        <v>#N/A</v>
      </c>
      <c r="G8418" s="74">
        <v>28475</v>
      </c>
      <c r="H8418" s="77">
        <v>1</v>
      </c>
      <c r="J8418">
        <v>39.92</v>
      </c>
      <c r="M8418" s="74">
        <v>36876</v>
      </c>
      <c r="N8418" s="80">
        <v>1</v>
      </c>
      <c r="P8418">
        <v>50</v>
      </c>
      <c r="S8418" s="74">
        <v>35780</v>
      </c>
      <c r="T8418" s="80">
        <v>1</v>
      </c>
      <c r="V8418">
        <v>39.019999999999996</v>
      </c>
      <c r="X8418" s="42"/>
      <c r="AB8418">
        <v>37.799999999999997</v>
      </c>
      <c r="AC8418">
        <v>35.6</v>
      </c>
      <c r="AE8418" s="74"/>
      <c r="AF8418" s="80"/>
      <c r="AH8418" s="497">
        <v>26.6</v>
      </c>
      <c r="AJ8418" s="42"/>
      <c r="AK8418" s="74"/>
      <c r="AL8418" s="80"/>
      <c r="AN8418" s="497">
        <v>37.94</v>
      </c>
      <c r="AP8418" s="42"/>
      <c r="AQ8418" s="74"/>
      <c r="AR8418" s="80"/>
      <c r="AT8418" s="497">
        <v>34.700000000000003</v>
      </c>
      <c r="AV8418" s="42"/>
      <c r="AW8418" s="74"/>
      <c r="AX8418" s="80"/>
      <c r="BA8418" s="497">
        <v>31.28</v>
      </c>
      <c r="BB8418" s="42"/>
      <c r="BC8418" s="74"/>
      <c r="BD8418" s="80"/>
      <c r="BF8418">
        <v>33.979999999999997</v>
      </c>
      <c r="BH8418" s="42"/>
      <c r="BI8418" s="74"/>
      <c r="BJ8418" s="80"/>
      <c r="BL8418" s="497">
        <v>35.96</v>
      </c>
      <c r="BN8418" s="42"/>
      <c r="BO8418" s="74"/>
      <c r="BP8418" s="80"/>
      <c r="BR8418" s="497">
        <v>33.08</v>
      </c>
      <c r="BT8418" s="42"/>
    </row>
    <row r="8419" spans="1:72" x14ac:dyDescent="0.25">
      <c r="A8419" s="90">
        <v>35781</v>
      </c>
      <c r="B8419" s="20">
        <v>4.1666666666666664E-2</v>
      </c>
      <c r="D8419">
        <v>44.06</v>
      </c>
      <c r="E8419" t="str">
        <f t="shared" si="298"/>
        <v>WEEKDAY</v>
      </c>
      <c r="F8419" t="e">
        <f t="shared" si="297"/>
        <v>#N/A</v>
      </c>
      <c r="G8419" s="74">
        <v>28476</v>
      </c>
      <c r="H8419" s="77">
        <v>4.1666666666666664E-2</v>
      </c>
      <c r="J8419">
        <v>37.94</v>
      </c>
      <c r="M8419" s="74">
        <v>36877</v>
      </c>
      <c r="N8419" s="77">
        <v>4.1666666666666664E-2</v>
      </c>
      <c r="P8419">
        <v>50</v>
      </c>
      <c r="S8419" s="74">
        <v>35781</v>
      </c>
      <c r="T8419" s="77">
        <v>4.1666666666666664E-2</v>
      </c>
      <c r="V8419">
        <v>37.94</v>
      </c>
      <c r="X8419" s="42"/>
      <c r="AB8419">
        <v>37.5</v>
      </c>
      <c r="AC8419">
        <v>39.200000000000003</v>
      </c>
      <c r="AE8419" s="74"/>
      <c r="AF8419" s="77"/>
      <c r="AH8419" s="497">
        <v>26.6</v>
      </c>
      <c r="AJ8419" s="42"/>
      <c r="AK8419" s="74"/>
      <c r="AL8419" s="77"/>
      <c r="AN8419" s="497">
        <v>33.979999999999997</v>
      </c>
      <c r="AP8419" s="42"/>
      <c r="AQ8419" s="74"/>
      <c r="AR8419" s="77"/>
      <c r="AT8419" s="497">
        <v>39.019999999999996</v>
      </c>
      <c r="AV8419" s="42"/>
      <c r="AW8419" s="74"/>
      <c r="AX8419" s="77"/>
      <c r="BA8419" s="497">
        <v>30.92</v>
      </c>
      <c r="BB8419" s="42"/>
      <c r="BC8419" s="74"/>
      <c r="BD8419" s="77"/>
      <c r="BF8419">
        <v>33.08</v>
      </c>
      <c r="BH8419" s="42"/>
      <c r="BI8419" s="74"/>
      <c r="BJ8419" s="77"/>
      <c r="BL8419" s="497">
        <v>35.96</v>
      </c>
      <c r="BN8419" s="42"/>
      <c r="BO8419" s="74"/>
      <c r="BP8419" s="77"/>
      <c r="BR8419" s="497">
        <v>30.92</v>
      </c>
      <c r="BT8419" s="42"/>
    </row>
    <row r="8420" spans="1:72" x14ac:dyDescent="0.25">
      <c r="A8420" s="90">
        <v>35781</v>
      </c>
      <c r="B8420" s="20">
        <v>8.3333333333333329E-2</v>
      </c>
      <c r="D8420">
        <v>44.06</v>
      </c>
      <c r="E8420" t="str">
        <f t="shared" si="298"/>
        <v>WEEKDAY</v>
      </c>
      <c r="F8420" t="e">
        <f t="shared" si="297"/>
        <v>#N/A</v>
      </c>
      <c r="G8420" s="74">
        <v>28476</v>
      </c>
      <c r="H8420" s="77">
        <v>8.3333333333333329E-2</v>
      </c>
      <c r="J8420">
        <v>37.04</v>
      </c>
      <c r="M8420" s="74">
        <v>36877</v>
      </c>
      <c r="N8420" s="77">
        <v>8.3333333333333329E-2</v>
      </c>
      <c r="P8420">
        <v>50</v>
      </c>
      <c r="S8420" s="74">
        <v>35781</v>
      </c>
      <c r="T8420" s="77">
        <v>8.3333333333333329E-2</v>
      </c>
      <c r="V8420">
        <v>37.04</v>
      </c>
      <c r="X8420" s="42"/>
      <c r="AB8420">
        <v>37.200000000000003</v>
      </c>
      <c r="AC8420">
        <v>33.799999999999997</v>
      </c>
      <c r="AE8420" s="74"/>
      <c r="AF8420" s="77"/>
      <c r="AH8420" s="497">
        <v>26.6</v>
      </c>
      <c r="AJ8420" s="42"/>
      <c r="AK8420" s="74"/>
      <c r="AL8420" s="77"/>
      <c r="AN8420" s="497">
        <v>35.06</v>
      </c>
      <c r="AP8420" s="42"/>
      <c r="AQ8420" s="74"/>
      <c r="AR8420" s="77"/>
      <c r="AT8420" s="497">
        <v>37.4</v>
      </c>
      <c r="AV8420" s="42"/>
      <c r="AW8420" s="74"/>
      <c r="AX8420" s="77"/>
      <c r="BA8420" s="497">
        <v>30.92</v>
      </c>
      <c r="BB8420" s="42"/>
      <c r="BC8420" s="74"/>
      <c r="BD8420" s="77"/>
      <c r="BF8420">
        <v>33.08</v>
      </c>
      <c r="BH8420" s="42"/>
      <c r="BI8420" s="74"/>
      <c r="BJ8420" s="77"/>
      <c r="BL8420" s="497">
        <v>35.96</v>
      </c>
      <c r="BN8420" s="42"/>
      <c r="BO8420" s="74"/>
      <c r="BP8420" s="77"/>
      <c r="BR8420" s="497">
        <v>30.92</v>
      </c>
      <c r="BT8420" s="42"/>
    </row>
    <row r="8421" spans="1:72" x14ac:dyDescent="0.25">
      <c r="A8421" s="90">
        <v>35781</v>
      </c>
      <c r="B8421" s="20">
        <v>0.125</v>
      </c>
      <c r="D8421">
        <v>44.06</v>
      </c>
      <c r="E8421" t="str">
        <f t="shared" si="298"/>
        <v>WEEKDAY</v>
      </c>
      <c r="F8421" t="e">
        <f t="shared" si="297"/>
        <v>#N/A</v>
      </c>
      <c r="G8421" s="74">
        <v>28476</v>
      </c>
      <c r="H8421" s="77">
        <v>0.125</v>
      </c>
      <c r="J8421">
        <v>35.96</v>
      </c>
      <c r="M8421" s="74">
        <v>36877</v>
      </c>
      <c r="N8421" s="77">
        <v>0.125</v>
      </c>
      <c r="P8421">
        <v>50.72</v>
      </c>
      <c r="S8421" s="74">
        <v>35781</v>
      </c>
      <c r="T8421" s="77">
        <v>0.125</v>
      </c>
      <c r="V8421">
        <v>35.96</v>
      </c>
      <c r="X8421" s="42"/>
      <c r="AB8421">
        <v>36.9</v>
      </c>
      <c r="AC8421">
        <v>30.2</v>
      </c>
      <c r="AE8421" s="74"/>
      <c r="AF8421" s="77"/>
      <c r="AH8421" s="497">
        <v>26.6</v>
      </c>
      <c r="AJ8421" s="42"/>
      <c r="AK8421" s="74"/>
      <c r="AL8421" s="77"/>
      <c r="AN8421" s="497">
        <v>35.06</v>
      </c>
      <c r="AP8421" s="42"/>
      <c r="AQ8421" s="74"/>
      <c r="AR8421" s="77"/>
      <c r="AT8421" s="497">
        <v>35.6</v>
      </c>
      <c r="AV8421" s="42"/>
      <c r="AW8421" s="74"/>
      <c r="AX8421" s="77"/>
      <c r="BA8421" s="497">
        <v>30.92</v>
      </c>
      <c r="BB8421" s="42"/>
      <c r="BC8421" s="74"/>
      <c r="BD8421" s="77"/>
      <c r="BF8421">
        <v>33.08</v>
      </c>
      <c r="BH8421" s="42"/>
      <c r="BI8421" s="74"/>
      <c r="BJ8421" s="77"/>
      <c r="BL8421" s="497">
        <v>35.06</v>
      </c>
      <c r="BN8421" s="42"/>
      <c r="BO8421" s="74"/>
      <c r="BP8421" s="77"/>
      <c r="BR8421" s="497">
        <v>30.02</v>
      </c>
      <c r="BT8421" s="42"/>
    </row>
    <row r="8422" spans="1:72" x14ac:dyDescent="0.25">
      <c r="A8422" s="90">
        <v>35781</v>
      </c>
      <c r="B8422" s="20">
        <v>0.16666666666666666</v>
      </c>
      <c r="D8422">
        <v>44.96</v>
      </c>
      <c r="E8422" t="str">
        <f t="shared" si="298"/>
        <v>WEEKDAY</v>
      </c>
      <c r="F8422" t="e">
        <f t="shared" si="297"/>
        <v>#N/A</v>
      </c>
      <c r="G8422" s="74">
        <v>28476</v>
      </c>
      <c r="H8422" s="77">
        <v>0.16666666666666666</v>
      </c>
      <c r="J8422">
        <v>35.96</v>
      </c>
      <c r="M8422" s="74">
        <v>36877</v>
      </c>
      <c r="N8422" s="77">
        <v>0.16666666666666666</v>
      </c>
      <c r="P8422">
        <v>51.8</v>
      </c>
      <c r="S8422" s="74">
        <v>35781</v>
      </c>
      <c r="T8422" s="77">
        <v>0.16666666666666666</v>
      </c>
      <c r="V8422">
        <v>35.06</v>
      </c>
      <c r="X8422" s="42"/>
      <c r="AB8422">
        <v>36.5</v>
      </c>
      <c r="AC8422">
        <v>30.2</v>
      </c>
      <c r="AE8422" s="74"/>
      <c r="AF8422" s="77"/>
      <c r="AH8422" s="497">
        <v>33.799999999999997</v>
      </c>
      <c r="AJ8422" s="42"/>
      <c r="AK8422" s="74"/>
      <c r="AL8422" s="77"/>
      <c r="AN8422" s="497">
        <v>35.06</v>
      </c>
      <c r="AP8422" s="42"/>
      <c r="AQ8422" s="74"/>
      <c r="AR8422" s="77"/>
      <c r="AT8422" s="497">
        <v>33.979999999999997</v>
      </c>
      <c r="AV8422" s="42"/>
      <c r="AW8422" s="74"/>
      <c r="AX8422" s="77"/>
      <c r="BA8422" s="497">
        <v>30.92</v>
      </c>
      <c r="BB8422" s="42"/>
      <c r="BC8422" s="74"/>
      <c r="BD8422" s="77"/>
      <c r="BF8422">
        <v>33.08</v>
      </c>
      <c r="BH8422" s="42"/>
      <c r="BI8422" s="74"/>
      <c r="BJ8422" s="77"/>
      <c r="BL8422" s="497">
        <v>33.979999999999997</v>
      </c>
      <c r="BN8422" s="42"/>
      <c r="BO8422" s="74"/>
      <c r="BP8422" s="77"/>
      <c r="BR8422" s="497">
        <v>30.92</v>
      </c>
      <c r="BT8422" s="42"/>
    </row>
    <row r="8423" spans="1:72" x14ac:dyDescent="0.25">
      <c r="A8423" s="90">
        <v>35781</v>
      </c>
      <c r="B8423" s="20">
        <v>0.20833333333333334</v>
      </c>
      <c r="D8423">
        <v>44.96</v>
      </c>
      <c r="E8423" t="str">
        <f t="shared" si="298"/>
        <v>WEEKDAY</v>
      </c>
      <c r="F8423" t="e">
        <f t="shared" si="297"/>
        <v>#N/A</v>
      </c>
      <c r="G8423" s="74">
        <v>28476</v>
      </c>
      <c r="H8423" s="77">
        <v>0.20833333333333334</v>
      </c>
      <c r="J8423">
        <v>35.96</v>
      </c>
      <c r="M8423" s="74">
        <v>36877</v>
      </c>
      <c r="N8423" s="77">
        <v>0.20833333333333334</v>
      </c>
      <c r="P8423">
        <v>57.2</v>
      </c>
      <c r="S8423" s="74">
        <v>35781</v>
      </c>
      <c r="T8423" s="77">
        <v>0.20833333333333334</v>
      </c>
      <c r="V8423">
        <v>35.96</v>
      </c>
      <c r="X8423" s="42"/>
      <c r="AB8423">
        <v>36.299999999999997</v>
      </c>
      <c r="AC8423">
        <v>28.4</v>
      </c>
      <c r="AE8423" s="74"/>
      <c r="AF8423" s="77"/>
      <c r="AH8423" s="497">
        <v>35.6</v>
      </c>
      <c r="AJ8423" s="42"/>
      <c r="AK8423" s="74"/>
      <c r="AL8423" s="77"/>
      <c r="AN8423" s="497">
        <v>33.979999999999997</v>
      </c>
      <c r="AP8423" s="42"/>
      <c r="AQ8423" s="74"/>
      <c r="AR8423" s="77"/>
      <c r="AT8423" s="497">
        <v>33.979999999999997</v>
      </c>
      <c r="AV8423" s="42"/>
      <c r="AW8423" s="74"/>
      <c r="AX8423" s="77"/>
      <c r="BA8423" s="497">
        <v>30.02</v>
      </c>
      <c r="BB8423" s="42"/>
      <c r="BC8423" s="74"/>
      <c r="BD8423" s="77"/>
      <c r="BF8423">
        <v>33.08</v>
      </c>
      <c r="BH8423" s="42"/>
      <c r="BI8423" s="74"/>
      <c r="BJ8423" s="77"/>
      <c r="BL8423" s="497">
        <v>33.08</v>
      </c>
      <c r="BN8423" s="42"/>
      <c r="BO8423" s="74"/>
      <c r="BP8423" s="77"/>
      <c r="BR8423" s="497">
        <v>32</v>
      </c>
      <c r="BT8423" s="42"/>
    </row>
    <row r="8424" spans="1:72" x14ac:dyDescent="0.25">
      <c r="A8424" s="90">
        <v>35781</v>
      </c>
      <c r="B8424" s="20">
        <v>0.25</v>
      </c>
      <c r="D8424">
        <v>48.92</v>
      </c>
      <c r="E8424" t="str">
        <f t="shared" si="298"/>
        <v>WEEKDAY</v>
      </c>
      <c r="F8424" t="e">
        <f t="shared" si="297"/>
        <v>#N/A</v>
      </c>
      <c r="G8424" s="74">
        <v>28476</v>
      </c>
      <c r="H8424" s="77">
        <v>0.25</v>
      </c>
      <c r="J8424">
        <v>35.96</v>
      </c>
      <c r="M8424" s="74">
        <v>36877</v>
      </c>
      <c r="N8424" s="77">
        <v>0.25</v>
      </c>
      <c r="P8424">
        <v>59</v>
      </c>
      <c r="S8424" s="74">
        <v>35781</v>
      </c>
      <c r="T8424" s="77">
        <v>0.25</v>
      </c>
      <c r="V8424">
        <v>33.979999999999997</v>
      </c>
      <c r="X8424" s="42"/>
      <c r="AB8424">
        <v>36.1</v>
      </c>
      <c r="AC8424">
        <v>28.4</v>
      </c>
      <c r="AE8424" s="74"/>
      <c r="AF8424" s="77"/>
      <c r="AH8424" s="497">
        <v>35.6</v>
      </c>
      <c r="AJ8424" s="42"/>
      <c r="AK8424" s="74"/>
      <c r="AL8424" s="77"/>
      <c r="AN8424" s="497">
        <v>33.979999999999997</v>
      </c>
      <c r="AP8424" s="42"/>
      <c r="AQ8424" s="74"/>
      <c r="AR8424" s="77"/>
      <c r="AT8424" s="497">
        <v>33.979999999999997</v>
      </c>
      <c r="AV8424" s="42"/>
      <c r="AW8424" s="74"/>
      <c r="AX8424" s="77"/>
      <c r="BA8424" s="497">
        <v>28.94</v>
      </c>
      <c r="BB8424" s="42"/>
      <c r="BC8424" s="74"/>
      <c r="BD8424" s="77"/>
      <c r="BF8424">
        <v>33.08</v>
      </c>
      <c r="BH8424" s="42"/>
      <c r="BI8424" s="74"/>
      <c r="BJ8424" s="77"/>
      <c r="BL8424" s="497">
        <v>33.08</v>
      </c>
      <c r="BN8424" s="42"/>
      <c r="BO8424" s="74"/>
      <c r="BP8424" s="77"/>
      <c r="BR8424" s="497">
        <v>30.92</v>
      </c>
      <c r="BT8424" s="42"/>
    </row>
    <row r="8425" spans="1:72" x14ac:dyDescent="0.25">
      <c r="A8425" s="90">
        <v>35781</v>
      </c>
      <c r="B8425" s="20">
        <v>0.29166666666666669</v>
      </c>
      <c r="D8425">
        <v>48.019999999999996</v>
      </c>
      <c r="E8425" t="str">
        <f t="shared" si="298"/>
        <v>WEEKDAY</v>
      </c>
      <c r="F8425" t="e">
        <f t="shared" si="297"/>
        <v>#N/A</v>
      </c>
      <c r="G8425" s="74">
        <v>28476</v>
      </c>
      <c r="H8425" s="77">
        <v>0.29166666666666669</v>
      </c>
      <c r="J8425">
        <v>37.94</v>
      </c>
      <c r="M8425" s="74">
        <v>36877</v>
      </c>
      <c r="N8425" s="77">
        <v>0.29166666666666669</v>
      </c>
      <c r="P8425">
        <v>60.8</v>
      </c>
      <c r="S8425" s="74">
        <v>35781</v>
      </c>
      <c r="T8425" s="77">
        <v>0.29166666666666669</v>
      </c>
      <c r="V8425">
        <v>35.96</v>
      </c>
      <c r="X8425" s="42"/>
      <c r="AB8425">
        <v>36.1</v>
      </c>
      <c r="AC8425">
        <v>33.799999999999997</v>
      </c>
      <c r="AE8425" s="74"/>
      <c r="AF8425" s="77"/>
      <c r="AH8425" s="497">
        <v>37.4</v>
      </c>
      <c r="AJ8425" s="42"/>
      <c r="AK8425" s="74"/>
      <c r="AL8425" s="77"/>
      <c r="AN8425" s="497">
        <v>33.08</v>
      </c>
      <c r="AP8425" s="42"/>
      <c r="AQ8425" s="74"/>
      <c r="AR8425" s="77"/>
      <c r="AT8425" s="497">
        <v>33.979999999999997</v>
      </c>
      <c r="AV8425" s="42"/>
      <c r="AW8425" s="74"/>
      <c r="AX8425" s="77"/>
      <c r="BA8425" s="497">
        <v>28.04</v>
      </c>
      <c r="BB8425" s="42"/>
      <c r="BC8425" s="74"/>
      <c r="BD8425" s="77"/>
      <c r="BF8425">
        <v>32</v>
      </c>
      <c r="BH8425" s="42"/>
      <c r="BI8425" s="74"/>
      <c r="BJ8425" s="77"/>
      <c r="BL8425" s="497">
        <v>33.979999999999997</v>
      </c>
      <c r="BN8425" s="42"/>
      <c r="BO8425" s="74"/>
      <c r="BP8425" s="77"/>
      <c r="BR8425" s="497">
        <v>33.979999999999997</v>
      </c>
      <c r="BT8425" s="42"/>
    </row>
    <row r="8426" spans="1:72" x14ac:dyDescent="0.25">
      <c r="A8426" s="90">
        <v>35781</v>
      </c>
      <c r="B8426" s="20">
        <v>0.33333333333333331</v>
      </c>
      <c r="D8426">
        <v>50</v>
      </c>
      <c r="E8426" t="str">
        <f t="shared" si="298"/>
        <v>WEEKDAY</v>
      </c>
      <c r="F8426" t="e">
        <f t="shared" si="297"/>
        <v>#N/A</v>
      </c>
      <c r="G8426" s="74">
        <v>28476</v>
      </c>
      <c r="H8426" s="77">
        <v>0.33333333333333331</v>
      </c>
      <c r="J8426">
        <v>37.04</v>
      </c>
      <c r="M8426" s="74">
        <v>36877</v>
      </c>
      <c r="N8426" s="77">
        <v>0.33333333333333331</v>
      </c>
      <c r="P8426">
        <v>60.8</v>
      </c>
      <c r="S8426" s="74">
        <v>35781</v>
      </c>
      <c r="T8426" s="77">
        <v>0.33333333333333331</v>
      </c>
      <c r="V8426">
        <v>37.94</v>
      </c>
      <c r="X8426" s="42"/>
      <c r="AB8426">
        <v>36.1</v>
      </c>
      <c r="AC8426">
        <v>35.6</v>
      </c>
      <c r="AE8426" s="74"/>
      <c r="AF8426" s="77"/>
      <c r="AH8426" s="497">
        <v>35.6</v>
      </c>
      <c r="AJ8426" s="42"/>
      <c r="AK8426" s="74"/>
      <c r="AL8426" s="77"/>
      <c r="AN8426" s="497">
        <v>33.08</v>
      </c>
      <c r="AP8426" s="42"/>
      <c r="AQ8426" s="74"/>
      <c r="AR8426" s="77"/>
      <c r="AT8426" s="497">
        <v>35.06</v>
      </c>
      <c r="AV8426" s="42"/>
      <c r="AW8426" s="74"/>
      <c r="AX8426" s="77"/>
      <c r="BA8426" s="497">
        <v>28.94</v>
      </c>
      <c r="BB8426" s="42"/>
      <c r="BC8426" s="74"/>
      <c r="BD8426" s="77"/>
      <c r="BF8426">
        <v>32</v>
      </c>
      <c r="BH8426" s="42"/>
      <c r="BI8426" s="74"/>
      <c r="BJ8426" s="77"/>
      <c r="BL8426" s="497">
        <v>33.08</v>
      </c>
      <c r="BN8426" s="42"/>
      <c r="BO8426" s="74"/>
      <c r="BP8426" s="77"/>
      <c r="BR8426" s="497">
        <v>35.06</v>
      </c>
      <c r="BT8426" s="42"/>
    </row>
    <row r="8427" spans="1:72" x14ac:dyDescent="0.25">
      <c r="A8427" s="90">
        <v>35781</v>
      </c>
      <c r="B8427" s="20">
        <v>0.375</v>
      </c>
      <c r="D8427">
        <v>51.08</v>
      </c>
      <c r="E8427" t="str">
        <f t="shared" si="298"/>
        <v>WEEKDAY</v>
      </c>
      <c r="F8427" t="e">
        <f t="shared" ref="F8427:F8490" si="299">IF(E8427="WEEKDAY",VLOOKUP(B8427,$DD$19:$DG$42,2),IF(E8427="SATURDAY",VLOOKUP(B8427,$DD$19:$DG$42,3),VLOOKUP(B8427,$DD$19:$DG$42,4)))</f>
        <v>#N/A</v>
      </c>
      <c r="G8427" s="74">
        <v>28476</v>
      </c>
      <c r="H8427" s="77">
        <v>0.375</v>
      </c>
      <c r="J8427">
        <v>37.04</v>
      </c>
      <c r="M8427" s="74">
        <v>36877</v>
      </c>
      <c r="N8427" s="77">
        <v>0.375</v>
      </c>
      <c r="P8427">
        <v>60.8</v>
      </c>
      <c r="S8427" s="74">
        <v>35781</v>
      </c>
      <c r="T8427" s="77">
        <v>0.375</v>
      </c>
      <c r="V8427">
        <v>42.08</v>
      </c>
      <c r="X8427" s="42"/>
      <c r="AB8427">
        <v>36.5</v>
      </c>
      <c r="AC8427">
        <v>42.8</v>
      </c>
      <c r="AE8427" s="74"/>
      <c r="AF8427" s="77"/>
      <c r="AH8427" s="497">
        <v>37.4</v>
      </c>
      <c r="AJ8427" s="42"/>
      <c r="AK8427" s="74"/>
      <c r="AL8427" s="77"/>
      <c r="AN8427" s="497">
        <v>33.08</v>
      </c>
      <c r="AP8427" s="42"/>
      <c r="AQ8427" s="74"/>
      <c r="AR8427" s="77"/>
      <c r="AT8427" s="497">
        <v>35.96</v>
      </c>
      <c r="AV8427" s="42"/>
      <c r="AW8427" s="74"/>
      <c r="AX8427" s="77"/>
      <c r="BA8427" s="497">
        <v>30.02</v>
      </c>
      <c r="BB8427" s="42"/>
      <c r="BC8427" s="74"/>
      <c r="BD8427" s="77"/>
      <c r="BF8427">
        <v>33.08</v>
      </c>
      <c r="BH8427" s="42"/>
      <c r="BI8427" s="74"/>
      <c r="BJ8427" s="77"/>
      <c r="BL8427" s="497">
        <v>33.979999999999997</v>
      </c>
      <c r="BN8427" s="42"/>
      <c r="BO8427" s="74"/>
      <c r="BP8427" s="77"/>
      <c r="BR8427" s="497">
        <v>33.979999999999997</v>
      </c>
      <c r="BT8427" s="42"/>
    </row>
    <row r="8428" spans="1:72" x14ac:dyDescent="0.25">
      <c r="A8428" s="90">
        <v>35781</v>
      </c>
      <c r="B8428" s="20">
        <v>0.41666666666666669</v>
      </c>
      <c r="D8428">
        <v>53.96</v>
      </c>
      <c r="E8428" t="str">
        <f t="shared" si="298"/>
        <v>WEEKDAY</v>
      </c>
      <c r="F8428" t="e">
        <f t="shared" si="299"/>
        <v>#N/A</v>
      </c>
      <c r="G8428" s="74">
        <v>28476</v>
      </c>
      <c r="H8428" s="77">
        <v>0.41666666666666669</v>
      </c>
      <c r="J8428">
        <v>39.019999999999996</v>
      </c>
      <c r="M8428" s="74">
        <v>36877</v>
      </c>
      <c r="N8428" s="77">
        <v>0.41666666666666669</v>
      </c>
      <c r="P8428">
        <v>59</v>
      </c>
      <c r="S8428" s="74">
        <v>35781</v>
      </c>
      <c r="T8428" s="77">
        <v>0.41666666666666669</v>
      </c>
      <c r="V8428">
        <v>46.94</v>
      </c>
      <c r="X8428" s="42"/>
      <c r="AB8428">
        <v>37.9</v>
      </c>
      <c r="AC8428">
        <v>48.2</v>
      </c>
      <c r="AE8428" s="74"/>
      <c r="AF8428" s="77"/>
      <c r="AH8428" s="497">
        <v>41</v>
      </c>
      <c r="AJ8428" s="42"/>
      <c r="AK8428" s="74"/>
      <c r="AL8428" s="77"/>
      <c r="AN8428" s="497">
        <v>32</v>
      </c>
      <c r="AP8428" s="42"/>
      <c r="AQ8428" s="74"/>
      <c r="AR8428" s="77"/>
      <c r="AT8428" s="497">
        <v>37.04</v>
      </c>
      <c r="AV8428" s="42"/>
      <c r="AW8428" s="74"/>
      <c r="AX8428" s="77"/>
      <c r="BA8428" s="497">
        <v>30.92</v>
      </c>
      <c r="BB8428" s="42"/>
      <c r="BC8428" s="74"/>
      <c r="BD8428" s="77"/>
      <c r="BF8428">
        <v>33.08</v>
      </c>
      <c r="BH8428" s="42"/>
      <c r="BI8428" s="74"/>
      <c r="BJ8428" s="77"/>
      <c r="BL8428" s="497">
        <v>35.06</v>
      </c>
      <c r="BN8428" s="42"/>
      <c r="BO8428" s="74"/>
      <c r="BP8428" s="77"/>
      <c r="BR8428" s="497">
        <v>33.979999999999997</v>
      </c>
      <c r="BT8428" s="42"/>
    </row>
    <row r="8429" spans="1:72" x14ac:dyDescent="0.25">
      <c r="A8429" s="90">
        <v>35781</v>
      </c>
      <c r="B8429" s="20">
        <v>0.45833333333333331</v>
      </c>
      <c r="D8429">
        <v>55.040000000000006</v>
      </c>
      <c r="E8429" t="str">
        <f t="shared" si="298"/>
        <v>WEEKDAY</v>
      </c>
      <c r="F8429" t="e">
        <f t="shared" si="299"/>
        <v>#N/A</v>
      </c>
      <c r="G8429" s="74">
        <v>28476</v>
      </c>
      <c r="H8429" s="77">
        <v>0.45833333333333331</v>
      </c>
      <c r="J8429">
        <v>42.08</v>
      </c>
      <c r="M8429" s="74">
        <v>36877</v>
      </c>
      <c r="N8429" s="77">
        <v>0.45833333333333331</v>
      </c>
      <c r="P8429">
        <v>60.8</v>
      </c>
      <c r="S8429" s="74">
        <v>35781</v>
      </c>
      <c r="T8429" s="77">
        <v>0.45833333333333331</v>
      </c>
      <c r="V8429">
        <v>51.08</v>
      </c>
      <c r="X8429" s="42"/>
      <c r="AB8429">
        <v>39.299999999999997</v>
      </c>
      <c r="AC8429">
        <v>53.6</v>
      </c>
      <c r="AE8429" s="74"/>
      <c r="AF8429" s="77"/>
      <c r="AH8429" s="497">
        <v>39.200000000000003</v>
      </c>
      <c r="AJ8429" s="42"/>
      <c r="AK8429" s="74"/>
      <c r="AL8429" s="77"/>
      <c r="AN8429" s="497">
        <v>32</v>
      </c>
      <c r="AP8429" s="42"/>
      <c r="AQ8429" s="74"/>
      <c r="AR8429" s="77"/>
      <c r="AT8429" s="497">
        <v>36.68</v>
      </c>
      <c r="AV8429" s="42"/>
      <c r="AW8429" s="74"/>
      <c r="AX8429" s="77"/>
      <c r="BA8429" s="497">
        <v>32</v>
      </c>
      <c r="BB8429" s="42"/>
      <c r="BC8429" s="74"/>
      <c r="BD8429" s="77"/>
      <c r="BF8429">
        <v>33.979999999999997</v>
      </c>
      <c r="BH8429" s="42"/>
      <c r="BI8429" s="74"/>
      <c r="BJ8429" s="77"/>
      <c r="BL8429" s="497">
        <v>35.96</v>
      </c>
      <c r="BN8429" s="42"/>
      <c r="BO8429" s="74"/>
      <c r="BP8429" s="77"/>
      <c r="BR8429" s="497">
        <v>32</v>
      </c>
      <c r="BT8429" s="42"/>
    </row>
    <row r="8430" spans="1:72" x14ac:dyDescent="0.25">
      <c r="A8430" s="90">
        <v>35781</v>
      </c>
      <c r="B8430" s="20">
        <v>0.5</v>
      </c>
      <c r="D8430">
        <v>53.96</v>
      </c>
      <c r="E8430" t="str">
        <f t="shared" si="298"/>
        <v>WEEKDAY</v>
      </c>
      <c r="F8430" t="e">
        <f t="shared" si="299"/>
        <v>#N/A</v>
      </c>
      <c r="G8430" s="74">
        <v>28476</v>
      </c>
      <c r="H8430" s="77">
        <v>0.5</v>
      </c>
      <c r="J8430">
        <v>42.980000000000004</v>
      </c>
      <c r="M8430" s="74">
        <v>36877</v>
      </c>
      <c r="N8430" s="77">
        <v>0.5</v>
      </c>
      <c r="P8430">
        <v>59</v>
      </c>
      <c r="S8430" s="74">
        <v>35781</v>
      </c>
      <c r="T8430" s="77">
        <v>0.5</v>
      </c>
      <c r="V8430">
        <v>53.96</v>
      </c>
      <c r="X8430" s="42"/>
      <c r="AB8430">
        <v>40.4</v>
      </c>
      <c r="AC8430">
        <v>57.2</v>
      </c>
      <c r="AE8430" s="74"/>
      <c r="AF8430" s="77"/>
      <c r="AH8430" s="497">
        <v>41</v>
      </c>
      <c r="AJ8430" s="42"/>
      <c r="AK8430" s="74"/>
      <c r="AL8430" s="77"/>
      <c r="AN8430" s="497">
        <v>30.92</v>
      </c>
      <c r="AP8430" s="42"/>
      <c r="AQ8430" s="74"/>
      <c r="AR8430" s="77"/>
      <c r="AT8430" s="497">
        <v>36.32</v>
      </c>
      <c r="AV8430" s="42"/>
      <c r="AW8430" s="74"/>
      <c r="AX8430" s="77"/>
      <c r="BA8430" s="497">
        <v>32.9</v>
      </c>
      <c r="BB8430" s="42"/>
      <c r="BC8430" s="74"/>
      <c r="BD8430" s="77"/>
      <c r="BF8430">
        <v>35.06</v>
      </c>
      <c r="BH8430" s="42"/>
      <c r="BI8430" s="74"/>
      <c r="BJ8430" s="77"/>
      <c r="BL8430" s="497">
        <v>35.96</v>
      </c>
      <c r="BN8430" s="42"/>
      <c r="BO8430" s="74"/>
      <c r="BP8430" s="77"/>
      <c r="BR8430" s="497">
        <v>32</v>
      </c>
      <c r="BT8430" s="42"/>
    </row>
    <row r="8431" spans="1:72" x14ac:dyDescent="0.25">
      <c r="A8431" s="90">
        <v>35781</v>
      </c>
      <c r="B8431" s="20">
        <v>0.54166666666666663</v>
      </c>
      <c r="D8431">
        <v>53.06</v>
      </c>
      <c r="E8431" t="str">
        <f t="shared" si="298"/>
        <v>WEEKDAY</v>
      </c>
      <c r="F8431" t="e">
        <f t="shared" si="299"/>
        <v>#N/A</v>
      </c>
      <c r="G8431" s="74">
        <v>28476</v>
      </c>
      <c r="H8431" s="77">
        <v>0.54166666666666663</v>
      </c>
      <c r="J8431">
        <v>44.96</v>
      </c>
      <c r="M8431" s="74">
        <v>36877</v>
      </c>
      <c r="N8431" s="77">
        <v>0.54166666666666663</v>
      </c>
      <c r="P8431">
        <v>59</v>
      </c>
      <c r="S8431" s="74">
        <v>35781</v>
      </c>
      <c r="T8431" s="77">
        <v>0.54166666666666663</v>
      </c>
      <c r="V8431">
        <v>53.96</v>
      </c>
      <c r="X8431" s="42"/>
      <c r="AB8431">
        <v>41.3</v>
      </c>
      <c r="AC8431">
        <v>55.400000000000006</v>
      </c>
      <c r="AE8431" s="74"/>
      <c r="AF8431" s="77"/>
      <c r="AH8431" s="497">
        <v>39.200000000000003</v>
      </c>
      <c r="AJ8431" s="42"/>
      <c r="AK8431" s="74"/>
      <c r="AL8431" s="77"/>
      <c r="AN8431" s="497">
        <v>32</v>
      </c>
      <c r="AP8431" s="42"/>
      <c r="AQ8431" s="74"/>
      <c r="AR8431" s="77"/>
      <c r="AT8431" s="497">
        <v>35.96</v>
      </c>
      <c r="AV8431" s="42"/>
      <c r="AW8431" s="74"/>
      <c r="AX8431" s="77"/>
      <c r="BA8431" s="497">
        <v>33.979999999999997</v>
      </c>
      <c r="BB8431" s="42"/>
      <c r="BC8431" s="74"/>
      <c r="BD8431" s="77"/>
      <c r="BF8431">
        <v>35.96</v>
      </c>
      <c r="BH8431" s="42"/>
      <c r="BI8431" s="74"/>
      <c r="BJ8431" s="77"/>
      <c r="BL8431" s="497">
        <v>35.96</v>
      </c>
      <c r="BN8431" s="42"/>
      <c r="BO8431" s="74"/>
      <c r="BP8431" s="77"/>
      <c r="BR8431" s="497">
        <v>32</v>
      </c>
      <c r="BT8431" s="42"/>
    </row>
    <row r="8432" spans="1:72" x14ac:dyDescent="0.25">
      <c r="A8432" s="90">
        <v>35781</v>
      </c>
      <c r="B8432" s="20">
        <v>0.58333333333333337</v>
      </c>
      <c r="D8432">
        <v>53.96</v>
      </c>
      <c r="E8432" t="str">
        <f t="shared" si="298"/>
        <v>WEEKDAY</v>
      </c>
      <c r="F8432" t="e">
        <f t="shared" si="299"/>
        <v>#N/A</v>
      </c>
      <c r="G8432" s="74">
        <v>28476</v>
      </c>
      <c r="H8432" s="77">
        <v>0.58333333333333337</v>
      </c>
      <c r="J8432">
        <v>44.06</v>
      </c>
      <c r="M8432" s="74">
        <v>36877</v>
      </c>
      <c r="N8432" s="77">
        <v>0.58333333333333337</v>
      </c>
      <c r="P8432">
        <v>55.400000000000006</v>
      </c>
      <c r="S8432" s="74">
        <v>35781</v>
      </c>
      <c r="T8432" s="77">
        <v>0.58333333333333337</v>
      </c>
      <c r="V8432">
        <v>53.96</v>
      </c>
      <c r="X8432" s="42"/>
      <c r="AB8432">
        <v>42</v>
      </c>
      <c r="AC8432">
        <v>55.400000000000006</v>
      </c>
      <c r="AE8432" s="74"/>
      <c r="AF8432" s="77"/>
      <c r="AH8432" s="497">
        <v>37.4</v>
      </c>
      <c r="AJ8432" s="42"/>
      <c r="AK8432" s="74"/>
      <c r="AL8432" s="77"/>
      <c r="AN8432" s="497">
        <v>30.92</v>
      </c>
      <c r="AP8432" s="42"/>
      <c r="AQ8432" s="74"/>
      <c r="AR8432" s="77"/>
      <c r="AT8432" s="497">
        <v>35.06</v>
      </c>
      <c r="AV8432" s="42"/>
      <c r="AW8432" s="74"/>
      <c r="AX8432" s="77"/>
      <c r="BA8432" s="497">
        <v>33.979999999999997</v>
      </c>
      <c r="BB8432" s="42"/>
      <c r="BC8432" s="74"/>
      <c r="BD8432" s="77"/>
      <c r="BF8432">
        <v>35.96</v>
      </c>
      <c r="BH8432" s="42"/>
      <c r="BI8432" s="74"/>
      <c r="BJ8432" s="77"/>
      <c r="BL8432" s="497">
        <v>35.96</v>
      </c>
      <c r="BN8432" s="42"/>
      <c r="BO8432" s="74"/>
      <c r="BP8432" s="77"/>
      <c r="BR8432" s="497">
        <v>30.02</v>
      </c>
      <c r="BT8432" s="42"/>
    </row>
    <row r="8433" spans="1:72" x14ac:dyDescent="0.25">
      <c r="A8433" s="90">
        <v>35781</v>
      </c>
      <c r="B8433" s="20">
        <v>0.625</v>
      </c>
      <c r="D8433">
        <v>51.08</v>
      </c>
      <c r="E8433" t="str">
        <f t="shared" si="298"/>
        <v>WEEKDAY</v>
      </c>
      <c r="F8433" t="e">
        <f t="shared" si="299"/>
        <v>#N/A</v>
      </c>
      <c r="G8433" s="74">
        <v>28476</v>
      </c>
      <c r="H8433" s="77">
        <v>0.625</v>
      </c>
      <c r="J8433">
        <v>44.06</v>
      </c>
      <c r="M8433" s="74">
        <v>36877</v>
      </c>
      <c r="N8433" s="77">
        <v>0.625</v>
      </c>
      <c r="P8433">
        <v>55.400000000000006</v>
      </c>
      <c r="S8433" s="74">
        <v>35781</v>
      </c>
      <c r="T8433" s="77">
        <v>0.625</v>
      </c>
      <c r="V8433">
        <v>53.96</v>
      </c>
      <c r="X8433" s="42"/>
      <c r="AB8433">
        <v>42.2</v>
      </c>
      <c r="AC8433">
        <v>55.400000000000006</v>
      </c>
      <c r="AE8433" s="74"/>
      <c r="AF8433" s="77"/>
      <c r="AH8433" s="497">
        <v>37.4</v>
      </c>
      <c r="AJ8433" s="42"/>
      <c r="AK8433" s="74"/>
      <c r="AL8433" s="77"/>
      <c r="AN8433" s="497">
        <v>28.94</v>
      </c>
      <c r="AP8433" s="42"/>
      <c r="AQ8433" s="74"/>
      <c r="AR8433" s="77"/>
      <c r="AT8433" s="497">
        <v>33.979999999999997</v>
      </c>
      <c r="AV8433" s="42"/>
      <c r="AW8433" s="74"/>
      <c r="AX8433" s="77"/>
      <c r="BA8433" s="497">
        <v>33.979999999999997</v>
      </c>
      <c r="BB8433" s="42"/>
      <c r="BC8433" s="74"/>
      <c r="BD8433" s="77"/>
      <c r="BF8433">
        <v>35.06</v>
      </c>
      <c r="BH8433" s="42"/>
      <c r="BI8433" s="74"/>
      <c r="BJ8433" s="77"/>
      <c r="BL8433" s="497">
        <v>35.96</v>
      </c>
      <c r="BN8433" s="42"/>
      <c r="BO8433" s="74"/>
      <c r="BP8433" s="77"/>
      <c r="BR8433" s="497">
        <v>28.94</v>
      </c>
      <c r="BT8433" s="42"/>
    </row>
    <row r="8434" spans="1:72" x14ac:dyDescent="0.25">
      <c r="A8434" s="90">
        <v>35781</v>
      </c>
      <c r="B8434" s="20">
        <v>0.66666666666666663</v>
      </c>
      <c r="D8434">
        <v>46.04</v>
      </c>
      <c r="E8434" t="str">
        <f t="shared" si="298"/>
        <v>WEEKDAY</v>
      </c>
      <c r="F8434" t="e">
        <f t="shared" si="299"/>
        <v>#N/A</v>
      </c>
      <c r="G8434" s="74">
        <v>28476</v>
      </c>
      <c r="H8434" s="77">
        <v>0.66666666666666663</v>
      </c>
      <c r="J8434">
        <v>44.06</v>
      </c>
      <c r="M8434" s="74">
        <v>36877</v>
      </c>
      <c r="N8434" s="77">
        <v>0.66666666666666663</v>
      </c>
      <c r="P8434">
        <v>51.8</v>
      </c>
      <c r="S8434" s="74">
        <v>35781</v>
      </c>
      <c r="T8434" s="77">
        <v>0.66666666666666663</v>
      </c>
      <c r="V8434">
        <v>50</v>
      </c>
      <c r="X8434" s="42"/>
      <c r="AB8434">
        <v>42.1</v>
      </c>
      <c r="AC8434">
        <v>51.8</v>
      </c>
      <c r="AE8434" s="74"/>
      <c r="AF8434" s="77"/>
      <c r="AH8434" s="497">
        <v>37.4</v>
      </c>
      <c r="AJ8434" s="42"/>
      <c r="AK8434" s="74"/>
      <c r="AL8434" s="77"/>
      <c r="AN8434" s="497">
        <v>28.04</v>
      </c>
      <c r="AP8434" s="42"/>
      <c r="AQ8434" s="74"/>
      <c r="AR8434" s="77"/>
      <c r="AT8434" s="497">
        <v>33.08</v>
      </c>
      <c r="AV8434" s="42"/>
      <c r="AW8434" s="74"/>
      <c r="AX8434" s="77"/>
      <c r="BA8434" s="497">
        <v>33.979999999999997</v>
      </c>
      <c r="BB8434" s="42"/>
      <c r="BC8434" s="74"/>
      <c r="BD8434" s="77"/>
      <c r="BF8434">
        <v>33.979999999999997</v>
      </c>
      <c r="BH8434" s="42"/>
      <c r="BI8434" s="74"/>
      <c r="BJ8434" s="77"/>
      <c r="BL8434" s="497">
        <v>35.06</v>
      </c>
      <c r="BN8434" s="42"/>
      <c r="BO8434" s="74"/>
      <c r="BP8434" s="77"/>
      <c r="BR8434" s="497">
        <v>28.04</v>
      </c>
      <c r="BT8434" s="42"/>
    </row>
    <row r="8435" spans="1:72" x14ac:dyDescent="0.25">
      <c r="A8435" s="90">
        <v>35781</v>
      </c>
      <c r="B8435" s="20">
        <v>0.70833333333333337</v>
      </c>
      <c r="D8435">
        <v>42.980000000000004</v>
      </c>
      <c r="E8435" t="str">
        <f t="shared" si="298"/>
        <v>WEEKDAY</v>
      </c>
      <c r="F8435" t="e">
        <f t="shared" si="299"/>
        <v>#N/A</v>
      </c>
      <c r="G8435" s="74">
        <v>28476</v>
      </c>
      <c r="H8435" s="77">
        <v>0.70833333333333337</v>
      </c>
      <c r="J8435">
        <v>42.08</v>
      </c>
      <c r="M8435" s="74">
        <v>36877</v>
      </c>
      <c r="N8435" s="77">
        <v>0.70833333333333337</v>
      </c>
      <c r="P8435">
        <v>59</v>
      </c>
      <c r="S8435" s="74">
        <v>35781</v>
      </c>
      <c r="T8435" s="77">
        <v>0.70833333333333337</v>
      </c>
      <c r="V8435">
        <v>48.019999999999996</v>
      </c>
      <c r="X8435" s="42"/>
      <c r="AB8435">
        <v>41.3</v>
      </c>
      <c r="AC8435">
        <v>48.2</v>
      </c>
      <c r="AE8435" s="74"/>
      <c r="AF8435" s="77"/>
      <c r="AH8435" s="497">
        <v>33.799999999999997</v>
      </c>
      <c r="AJ8435" s="42"/>
      <c r="AK8435" s="74"/>
      <c r="AL8435" s="77"/>
      <c r="AN8435" s="497">
        <v>26.96</v>
      </c>
      <c r="AP8435" s="42"/>
      <c r="AQ8435" s="74"/>
      <c r="AR8435" s="77"/>
      <c r="AT8435" s="497">
        <v>32</v>
      </c>
      <c r="AV8435" s="42"/>
      <c r="AW8435" s="74"/>
      <c r="AX8435" s="77"/>
      <c r="BA8435" s="497">
        <v>32.72</v>
      </c>
      <c r="BB8435" s="42"/>
      <c r="BC8435" s="74"/>
      <c r="BD8435" s="77"/>
      <c r="BF8435">
        <v>33.08</v>
      </c>
      <c r="BH8435" s="42"/>
      <c r="BI8435" s="74"/>
      <c r="BJ8435" s="77"/>
      <c r="BL8435" s="497">
        <v>33.979999999999997</v>
      </c>
      <c r="BN8435" s="42"/>
      <c r="BO8435" s="74"/>
      <c r="BP8435" s="77"/>
      <c r="BR8435" s="497">
        <v>26.96</v>
      </c>
      <c r="BT8435" s="42"/>
    </row>
    <row r="8436" spans="1:72" x14ac:dyDescent="0.25">
      <c r="A8436" s="90">
        <v>35781</v>
      </c>
      <c r="B8436" s="20">
        <v>0.75</v>
      </c>
      <c r="D8436">
        <v>42.08</v>
      </c>
      <c r="E8436" t="str">
        <f t="shared" si="298"/>
        <v>WEEKDAY</v>
      </c>
      <c r="F8436" t="e">
        <f t="shared" si="299"/>
        <v>#N/A</v>
      </c>
      <c r="G8436" s="74">
        <v>28476</v>
      </c>
      <c r="H8436" s="77">
        <v>0.75</v>
      </c>
      <c r="J8436">
        <v>41</v>
      </c>
      <c r="M8436" s="74">
        <v>36877</v>
      </c>
      <c r="N8436" s="77">
        <v>0.75</v>
      </c>
      <c r="P8436">
        <v>48.2</v>
      </c>
      <c r="S8436" s="74">
        <v>35781</v>
      </c>
      <c r="T8436" s="77">
        <v>0.75</v>
      </c>
      <c r="V8436">
        <v>46.94</v>
      </c>
      <c r="X8436" s="42"/>
      <c r="AB8436">
        <v>40.299999999999997</v>
      </c>
      <c r="AC8436">
        <v>44.6</v>
      </c>
      <c r="AE8436" s="74"/>
      <c r="AF8436" s="77"/>
      <c r="AH8436" s="497">
        <v>30.2</v>
      </c>
      <c r="AJ8436" s="42"/>
      <c r="AK8436" s="74"/>
      <c r="AL8436" s="77"/>
      <c r="AN8436" s="497">
        <v>26.96</v>
      </c>
      <c r="AP8436" s="42"/>
      <c r="AQ8436" s="74"/>
      <c r="AR8436" s="77"/>
      <c r="AT8436" s="497">
        <v>31.1</v>
      </c>
      <c r="AV8436" s="42"/>
      <c r="AW8436" s="74"/>
      <c r="AX8436" s="77"/>
      <c r="BA8436" s="497">
        <v>31.28</v>
      </c>
      <c r="BB8436" s="42"/>
      <c r="BC8436" s="74"/>
      <c r="BD8436" s="77"/>
      <c r="BF8436">
        <v>32</v>
      </c>
      <c r="BH8436" s="42"/>
      <c r="BI8436" s="74"/>
      <c r="BJ8436" s="77"/>
      <c r="BL8436" s="497">
        <v>33.979999999999997</v>
      </c>
      <c r="BN8436" s="42"/>
      <c r="BO8436" s="74"/>
      <c r="BP8436" s="77"/>
      <c r="BR8436" s="497">
        <v>24.98</v>
      </c>
      <c r="BT8436" s="42"/>
    </row>
    <row r="8437" spans="1:72" x14ac:dyDescent="0.25">
      <c r="A8437" s="90">
        <v>35781</v>
      </c>
      <c r="B8437" s="20">
        <v>0.79166666666666663</v>
      </c>
      <c r="D8437">
        <v>42.08</v>
      </c>
      <c r="E8437" t="str">
        <f t="shared" si="298"/>
        <v>WEEKDAY</v>
      </c>
      <c r="F8437" t="e">
        <f t="shared" si="299"/>
        <v>#N/A</v>
      </c>
      <c r="G8437" s="74">
        <v>28476</v>
      </c>
      <c r="H8437" s="77">
        <v>0.79166666666666663</v>
      </c>
      <c r="J8437">
        <v>39.019999999999996</v>
      </c>
      <c r="M8437" s="74">
        <v>36877</v>
      </c>
      <c r="N8437" s="77">
        <v>0.79166666666666663</v>
      </c>
      <c r="P8437">
        <v>46.22</v>
      </c>
      <c r="S8437" s="74">
        <v>35781</v>
      </c>
      <c r="T8437" s="77">
        <v>0.79166666666666663</v>
      </c>
      <c r="V8437">
        <v>46.04</v>
      </c>
      <c r="X8437" s="42"/>
      <c r="AB8437">
        <v>39.9</v>
      </c>
      <c r="AC8437">
        <v>42.8</v>
      </c>
      <c r="AE8437" s="74"/>
      <c r="AF8437" s="77"/>
      <c r="AH8437" s="497">
        <v>28.4</v>
      </c>
      <c r="AJ8437" s="42"/>
      <c r="AK8437" s="74"/>
      <c r="AL8437" s="77"/>
      <c r="AN8437" s="497">
        <v>26.060000000000002</v>
      </c>
      <c r="AP8437" s="42"/>
      <c r="AQ8437" s="74"/>
      <c r="AR8437" s="77"/>
      <c r="AT8437" s="497">
        <v>30.02</v>
      </c>
      <c r="AV8437" s="42"/>
      <c r="AW8437" s="74"/>
      <c r="AX8437" s="77"/>
      <c r="BA8437" s="497">
        <v>30.02</v>
      </c>
      <c r="BB8437" s="42"/>
      <c r="BC8437" s="74"/>
      <c r="BD8437" s="77"/>
      <c r="BF8437">
        <v>32</v>
      </c>
      <c r="BH8437" s="42"/>
      <c r="BI8437" s="74"/>
      <c r="BJ8437" s="77"/>
      <c r="BL8437" s="497">
        <v>33.979999999999997</v>
      </c>
      <c r="BN8437" s="42"/>
      <c r="BO8437" s="74"/>
      <c r="BP8437" s="77"/>
      <c r="BR8437" s="497">
        <v>24.08</v>
      </c>
      <c r="BT8437" s="42"/>
    </row>
    <row r="8438" spans="1:72" x14ac:dyDescent="0.25">
      <c r="A8438" s="90">
        <v>35781</v>
      </c>
      <c r="B8438" s="20">
        <v>0.83333333333333337</v>
      </c>
      <c r="D8438">
        <v>37.94</v>
      </c>
      <c r="E8438" t="str">
        <f t="shared" si="298"/>
        <v>WEEKDAY</v>
      </c>
      <c r="F8438" t="e">
        <f t="shared" si="299"/>
        <v>#N/A</v>
      </c>
      <c r="G8438" s="74">
        <v>28476</v>
      </c>
      <c r="H8438" s="77">
        <v>0.83333333333333337</v>
      </c>
      <c r="J8438">
        <v>37.94</v>
      </c>
      <c r="M8438" s="74">
        <v>36877</v>
      </c>
      <c r="N8438" s="77">
        <v>0.83333333333333337</v>
      </c>
      <c r="P8438">
        <v>44.6</v>
      </c>
      <c r="S8438" s="74">
        <v>35781</v>
      </c>
      <c r="T8438" s="77">
        <v>0.83333333333333337</v>
      </c>
      <c r="V8438">
        <v>44.06</v>
      </c>
      <c r="X8438" s="42"/>
      <c r="AB8438">
        <v>39.6</v>
      </c>
      <c r="AC8438">
        <v>42.8</v>
      </c>
      <c r="AE8438" s="74"/>
      <c r="AF8438" s="77"/>
      <c r="AH8438" s="497">
        <v>24.8</v>
      </c>
      <c r="AJ8438" s="42"/>
      <c r="AK8438" s="74"/>
      <c r="AL8438" s="77"/>
      <c r="AN8438" s="497">
        <v>26.96</v>
      </c>
      <c r="AP8438" s="42"/>
      <c r="AQ8438" s="74"/>
      <c r="AR8438" s="77"/>
      <c r="AT8438" s="497">
        <v>29.3</v>
      </c>
      <c r="AV8438" s="42"/>
      <c r="AW8438" s="74"/>
      <c r="AX8438" s="77"/>
      <c r="BA8438" s="497">
        <v>29.3</v>
      </c>
      <c r="BB8438" s="42"/>
      <c r="BC8438" s="74"/>
      <c r="BD8438" s="77"/>
      <c r="BF8438">
        <v>33.08</v>
      </c>
      <c r="BH8438" s="42"/>
      <c r="BI8438" s="74"/>
      <c r="BJ8438" s="77"/>
      <c r="BL8438" s="497">
        <v>33.08</v>
      </c>
      <c r="BN8438" s="42"/>
      <c r="BO8438" s="74"/>
      <c r="BP8438" s="77"/>
      <c r="BR8438" s="497">
        <v>21.92</v>
      </c>
      <c r="BT8438" s="42"/>
    </row>
    <row r="8439" spans="1:72" x14ac:dyDescent="0.25">
      <c r="A8439" s="90">
        <v>35781</v>
      </c>
      <c r="B8439" s="20">
        <v>0.875</v>
      </c>
      <c r="D8439">
        <v>37.04</v>
      </c>
      <c r="E8439" t="str">
        <f t="shared" si="298"/>
        <v>WEEKDAY</v>
      </c>
      <c r="F8439" t="e">
        <f t="shared" si="299"/>
        <v>#N/A</v>
      </c>
      <c r="G8439" s="74">
        <v>28476</v>
      </c>
      <c r="H8439" s="77">
        <v>0.875</v>
      </c>
      <c r="J8439">
        <v>37.94</v>
      </c>
      <c r="M8439" s="74">
        <v>36877</v>
      </c>
      <c r="N8439" s="77">
        <v>0.875</v>
      </c>
      <c r="P8439">
        <v>39.200000000000003</v>
      </c>
      <c r="S8439" s="74">
        <v>35781</v>
      </c>
      <c r="T8439" s="77">
        <v>0.875</v>
      </c>
      <c r="V8439">
        <v>42.08</v>
      </c>
      <c r="X8439" s="42"/>
      <c r="AB8439">
        <v>39.200000000000003</v>
      </c>
      <c r="AC8439">
        <v>41</v>
      </c>
      <c r="AE8439" s="74"/>
      <c r="AF8439" s="77"/>
      <c r="AH8439" s="497">
        <v>23</v>
      </c>
      <c r="AJ8439" s="42"/>
      <c r="AK8439" s="74"/>
      <c r="AL8439" s="77"/>
      <c r="AN8439" s="497">
        <v>24.98</v>
      </c>
      <c r="AP8439" s="42"/>
      <c r="AQ8439" s="74"/>
      <c r="AR8439" s="77"/>
      <c r="AT8439" s="497">
        <v>28.759999999999998</v>
      </c>
      <c r="AV8439" s="42"/>
      <c r="AW8439" s="74"/>
      <c r="AX8439" s="77"/>
      <c r="BA8439" s="497">
        <v>28.759999999999998</v>
      </c>
      <c r="BB8439" s="42"/>
      <c r="BC8439" s="74"/>
      <c r="BD8439" s="77"/>
      <c r="BF8439">
        <v>33.08</v>
      </c>
      <c r="BH8439" s="42"/>
      <c r="BI8439" s="74"/>
      <c r="BJ8439" s="77"/>
      <c r="BL8439" s="497">
        <v>33.08</v>
      </c>
      <c r="BN8439" s="42"/>
      <c r="BO8439" s="74"/>
      <c r="BP8439" s="77"/>
      <c r="BR8439" s="497">
        <v>19.939999999999998</v>
      </c>
      <c r="BT8439" s="42"/>
    </row>
    <row r="8440" spans="1:72" x14ac:dyDescent="0.25">
      <c r="A8440" s="90">
        <v>35781</v>
      </c>
      <c r="B8440" s="20">
        <v>0.91666666666666663</v>
      </c>
      <c r="D8440">
        <v>37.94</v>
      </c>
      <c r="E8440" t="str">
        <f t="shared" si="298"/>
        <v>WEEKDAY</v>
      </c>
      <c r="F8440" t="e">
        <f t="shared" si="299"/>
        <v>#N/A</v>
      </c>
      <c r="G8440" s="74">
        <v>28476</v>
      </c>
      <c r="H8440" s="77">
        <v>0.91666666666666663</v>
      </c>
      <c r="J8440">
        <v>39.019999999999996</v>
      </c>
      <c r="M8440" s="74">
        <v>36877</v>
      </c>
      <c r="N8440" s="77">
        <v>0.91666666666666663</v>
      </c>
      <c r="P8440">
        <v>35.6</v>
      </c>
      <c r="S8440" s="74">
        <v>35781</v>
      </c>
      <c r="T8440" s="77">
        <v>0.91666666666666663</v>
      </c>
      <c r="V8440">
        <v>41</v>
      </c>
      <c r="X8440" s="42"/>
      <c r="AB8440">
        <v>38.700000000000003</v>
      </c>
      <c r="AC8440">
        <v>41</v>
      </c>
      <c r="AE8440" s="74"/>
      <c r="AF8440" s="77"/>
      <c r="AH8440" s="497">
        <v>21.2</v>
      </c>
      <c r="AJ8440" s="42"/>
      <c r="AK8440" s="74"/>
      <c r="AL8440" s="77"/>
      <c r="AN8440" s="497">
        <v>24.98</v>
      </c>
      <c r="AP8440" s="42"/>
      <c r="AQ8440" s="74"/>
      <c r="AR8440" s="77"/>
      <c r="AT8440" s="497">
        <v>28.04</v>
      </c>
      <c r="AV8440" s="42"/>
      <c r="AW8440" s="74"/>
      <c r="AX8440" s="77"/>
      <c r="BA8440" s="497">
        <v>28.04</v>
      </c>
      <c r="BB8440" s="42"/>
      <c r="BC8440" s="74"/>
      <c r="BD8440" s="77"/>
      <c r="BF8440">
        <v>32</v>
      </c>
      <c r="BH8440" s="42"/>
      <c r="BI8440" s="74"/>
      <c r="BJ8440" s="77"/>
      <c r="BL8440" s="497">
        <v>32</v>
      </c>
      <c r="BN8440" s="42"/>
      <c r="BO8440" s="74"/>
      <c r="BP8440" s="77"/>
      <c r="BR8440" s="497">
        <v>17.96</v>
      </c>
      <c r="BT8440" s="42"/>
    </row>
    <row r="8441" spans="1:72" x14ac:dyDescent="0.25">
      <c r="A8441" s="90">
        <v>35781</v>
      </c>
      <c r="B8441" s="20">
        <v>0.95833333333333337</v>
      </c>
      <c r="D8441">
        <v>37.94</v>
      </c>
      <c r="E8441" t="str">
        <f t="shared" si="298"/>
        <v>WEEKDAY</v>
      </c>
      <c r="F8441" t="e">
        <f t="shared" si="299"/>
        <v>#N/A</v>
      </c>
      <c r="G8441" s="74">
        <v>28476</v>
      </c>
      <c r="H8441" s="77">
        <v>0.95833333333333337</v>
      </c>
      <c r="J8441">
        <v>39.019999999999996</v>
      </c>
      <c r="M8441" s="74">
        <v>36877</v>
      </c>
      <c r="N8441" s="77">
        <v>0.95833333333333337</v>
      </c>
      <c r="P8441">
        <v>33.799999999999997</v>
      </c>
      <c r="S8441" s="74">
        <v>35781</v>
      </c>
      <c r="T8441" s="77">
        <v>0.95833333333333337</v>
      </c>
      <c r="V8441">
        <v>39.92</v>
      </c>
      <c r="X8441" s="42"/>
      <c r="AB8441">
        <v>38.200000000000003</v>
      </c>
      <c r="AC8441">
        <v>39.200000000000003</v>
      </c>
      <c r="AE8441" s="74"/>
      <c r="AF8441" s="77"/>
      <c r="AH8441" s="497">
        <v>19.399999999999999</v>
      </c>
      <c r="AJ8441" s="42"/>
      <c r="AK8441" s="74"/>
      <c r="AL8441" s="77"/>
      <c r="AN8441" s="497">
        <v>24.98</v>
      </c>
      <c r="AP8441" s="42"/>
      <c r="AQ8441" s="74"/>
      <c r="AR8441" s="77"/>
      <c r="AT8441" s="497">
        <v>27.32</v>
      </c>
      <c r="AV8441" s="42"/>
      <c r="AW8441" s="74"/>
      <c r="AX8441" s="77"/>
      <c r="BA8441" s="497">
        <v>26.96</v>
      </c>
      <c r="BB8441" s="42"/>
      <c r="BC8441" s="74"/>
      <c r="BD8441" s="77"/>
      <c r="BF8441">
        <v>32</v>
      </c>
      <c r="BH8441" s="42"/>
      <c r="BI8441" s="74"/>
      <c r="BJ8441" s="77"/>
      <c r="BL8441" s="497">
        <v>30.92</v>
      </c>
      <c r="BN8441" s="42"/>
      <c r="BO8441" s="74"/>
      <c r="BP8441" s="77"/>
      <c r="BR8441" s="497">
        <v>17.059999999999999</v>
      </c>
      <c r="BT8441" s="42"/>
    </row>
    <row r="8442" spans="1:72" x14ac:dyDescent="0.25">
      <c r="A8442" s="90">
        <v>35781</v>
      </c>
      <c r="B8442" s="20">
        <v>1</v>
      </c>
      <c r="D8442">
        <v>35.96</v>
      </c>
      <c r="E8442" t="str">
        <f t="shared" si="298"/>
        <v>WEEKDAY</v>
      </c>
      <c r="F8442" t="e">
        <f t="shared" si="299"/>
        <v>#N/A</v>
      </c>
      <c r="G8442" s="74">
        <v>28476</v>
      </c>
      <c r="H8442" s="77">
        <v>1</v>
      </c>
      <c r="J8442">
        <v>39.019999999999996</v>
      </c>
      <c r="M8442" s="74">
        <v>36877</v>
      </c>
      <c r="N8442" s="80">
        <v>1</v>
      </c>
      <c r="P8442">
        <v>33.799999999999997</v>
      </c>
      <c r="S8442" s="74">
        <v>35781</v>
      </c>
      <c r="T8442" s="80">
        <v>1</v>
      </c>
      <c r="V8442">
        <v>37.04</v>
      </c>
      <c r="X8442" s="42"/>
      <c r="AB8442">
        <v>37.700000000000003</v>
      </c>
      <c r="AC8442">
        <v>37.4</v>
      </c>
      <c r="AE8442" s="74"/>
      <c r="AF8442" s="80"/>
      <c r="AH8442" s="497">
        <v>19.399999999999999</v>
      </c>
      <c r="AJ8442" s="42"/>
      <c r="AK8442" s="74"/>
      <c r="AL8442" s="80"/>
      <c r="AN8442" s="497">
        <v>24.08</v>
      </c>
      <c r="AP8442" s="42"/>
      <c r="AQ8442" s="74"/>
      <c r="AR8442" s="80"/>
      <c r="AT8442" s="497">
        <v>26.78</v>
      </c>
      <c r="AV8442" s="42"/>
      <c r="AW8442" s="74"/>
      <c r="AX8442" s="80"/>
      <c r="BA8442" s="497">
        <v>26.060000000000002</v>
      </c>
      <c r="BB8442" s="42"/>
      <c r="BC8442" s="74"/>
      <c r="BD8442" s="80"/>
      <c r="BF8442">
        <v>32</v>
      </c>
      <c r="BH8442" s="42"/>
      <c r="BI8442" s="74"/>
      <c r="BJ8442" s="80"/>
      <c r="BL8442" s="497">
        <v>30.92</v>
      </c>
      <c r="BN8442" s="42"/>
      <c r="BO8442" s="74"/>
      <c r="BP8442" s="80"/>
      <c r="BR8442" s="497">
        <v>15.079999999999998</v>
      </c>
      <c r="BT8442" s="42"/>
    </row>
    <row r="8443" spans="1:72" x14ac:dyDescent="0.25">
      <c r="A8443" s="90">
        <v>35782</v>
      </c>
      <c r="B8443" s="20">
        <v>4.1666666666666664E-2</v>
      </c>
      <c r="D8443">
        <v>35.06</v>
      </c>
      <c r="E8443" t="str">
        <f t="shared" si="298"/>
        <v>WEEKDAY</v>
      </c>
      <c r="F8443" t="e">
        <f t="shared" si="299"/>
        <v>#N/A</v>
      </c>
      <c r="G8443" s="74">
        <v>28477</v>
      </c>
      <c r="H8443" s="77">
        <v>4.1666666666666664E-2</v>
      </c>
      <c r="J8443">
        <v>35.06</v>
      </c>
      <c r="M8443" s="74">
        <v>36878</v>
      </c>
      <c r="N8443" s="77">
        <v>4.1666666666666664E-2</v>
      </c>
      <c r="P8443">
        <v>30.2</v>
      </c>
      <c r="S8443" s="74">
        <v>35782</v>
      </c>
      <c r="T8443" s="77">
        <v>4.1666666666666664E-2</v>
      </c>
      <c r="V8443">
        <v>35.96</v>
      </c>
      <c r="X8443" s="42"/>
      <c r="AB8443">
        <v>37.4</v>
      </c>
      <c r="AC8443">
        <v>37.4</v>
      </c>
      <c r="AE8443" s="74"/>
      <c r="AF8443" s="77"/>
      <c r="AH8443" s="497">
        <v>17.600000000000001</v>
      </c>
      <c r="AJ8443" s="42"/>
      <c r="AK8443" s="74"/>
      <c r="AL8443" s="77"/>
      <c r="AN8443" s="497">
        <v>23</v>
      </c>
      <c r="AP8443" s="42"/>
      <c r="AQ8443" s="74"/>
      <c r="AR8443" s="77"/>
      <c r="AT8443" s="497">
        <v>26.060000000000002</v>
      </c>
      <c r="AV8443" s="42"/>
      <c r="AW8443" s="74"/>
      <c r="AX8443" s="77"/>
      <c r="BA8443" s="497">
        <v>24.98</v>
      </c>
      <c r="BB8443" s="42"/>
      <c r="BC8443" s="74"/>
      <c r="BD8443" s="77"/>
      <c r="BF8443">
        <v>33.08</v>
      </c>
      <c r="BH8443" s="42"/>
      <c r="BI8443" s="74"/>
      <c r="BJ8443" s="77"/>
      <c r="BL8443" s="497">
        <v>30.02</v>
      </c>
      <c r="BN8443" s="42"/>
      <c r="BO8443" s="74"/>
      <c r="BP8443" s="77"/>
      <c r="BR8443" s="497">
        <v>12.920000000000002</v>
      </c>
      <c r="BT8443" s="42"/>
    </row>
    <row r="8444" spans="1:72" x14ac:dyDescent="0.25">
      <c r="A8444" s="90">
        <v>35782</v>
      </c>
      <c r="B8444" s="20">
        <v>8.3333333333333329E-2</v>
      </c>
      <c r="D8444">
        <v>33.979999999999997</v>
      </c>
      <c r="E8444" t="str">
        <f t="shared" si="298"/>
        <v>WEEKDAY</v>
      </c>
      <c r="F8444" t="e">
        <f t="shared" si="299"/>
        <v>#N/A</v>
      </c>
      <c r="G8444" s="74">
        <v>28477</v>
      </c>
      <c r="H8444" s="77">
        <v>8.3333333333333329E-2</v>
      </c>
      <c r="J8444">
        <v>35.06</v>
      </c>
      <c r="M8444" s="74">
        <v>36878</v>
      </c>
      <c r="N8444" s="77">
        <v>8.3333333333333329E-2</v>
      </c>
      <c r="P8444">
        <v>28.4</v>
      </c>
      <c r="S8444" s="74">
        <v>35782</v>
      </c>
      <c r="T8444" s="77">
        <v>8.3333333333333329E-2</v>
      </c>
      <c r="V8444">
        <v>35.06</v>
      </c>
      <c r="X8444" s="42"/>
      <c r="AB8444">
        <v>37</v>
      </c>
      <c r="AC8444">
        <v>35.6</v>
      </c>
      <c r="AE8444" s="74"/>
      <c r="AF8444" s="77"/>
      <c r="AH8444" s="497">
        <v>17.600000000000001</v>
      </c>
      <c r="AJ8444" s="42"/>
      <c r="AK8444" s="74"/>
      <c r="AL8444" s="77"/>
      <c r="AN8444" s="497">
        <v>21.02</v>
      </c>
      <c r="AP8444" s="42"/>
      <c r="AQ8444" s="74"/>
      <c r="AR8444" s="77"/>
      <c r="AT8444" s="497">
        <v>24.08</v>
      </c>
      <c r="AV8444" s="42"/>
      <c r="AW8444" s="74"/>
      <c r="AX8444" s="77"/>
      <c r="BA8444" s="497">
        <v>24.259999999999998</v>
      </c>
      <c r="BB8444" s="42"/>
      <c r="BC8444" s="74"/>
      <c r="BD8444" s="77"/>
      <c r="BF8444">
        <v>33.979999999999997</v>
      </c>
      <c r="BH8444" s="42"/>
      <c r="BI8444" s="74"/>
      <c r="BJ8444" s="77"/>
      <c r="BL8444" s="497">
        <v>30.02</v>
      </c>
      <c r="BN8444" s="42"/>
      <c r="BO8444" s="74"/>
      <c r="BP8444" s="77"/>
      <c r="BR8444" s="497">
        <v>12.02</v>
      </c>
      <c r="BT8444" s="42"/>
    </row>
    <row r="8445" spans="1:72" x14ac:dyDescent="0.25">
      <c r="A8445" s="90">
        <v>35782</v>
      </c>
      <c r="B8445" s="20">
        <v>0.125</v>
      </c>
      <c r="D8445">
        <v>33.979999999999997</v>
      </c>
      <c r="E8445" t="str">
        <f t="shared" si="298"/>
        <v>WEEKDAY</v>
      </c>
      <c r="F8445" t="e">
        <f t="shared" si="299"/>
        <v>#N/A</v>
      </c>
      <c r="G8445" s="74">
        <v>28477</v>
      </c>
      <c r="H8445" s="77">
        <v>0.125</v>
      </c>
      <c r="J8445">
        <v>33.979999999999997</v>
      </c>
      <c r="M8445" s="74">
        <v>36878</v>
      </c>
      <c r="N8445" s="77">
        <v>0.125</v>
      </c>
      <c r="P8445">
        <v>28.4</v>
      </c>
      <c r="S8445" s="74">
        <v>35782</v>
      </c>
      <c r="T8445" s="77">
        <v>0.125</v>
      </c>
      <c r="V8445">
        <v>35.06</v>
      </c>
      <c r="X8445" s="42"/>
      <c r="AB8445">
        <v>36.700000000000003</v>
      </c>
      <c r="AC8445">
        <v>35.6</v>
      </c>
      <c r="AE8445" s="74"/>
      <c r="AF8445" s="77"/>
      <c r="AH8445" s="497">
        <v>15.8</v>
      </c>
      <c r="AJ8445" s="42"/>
      <c r="AK8445" s="74"/>
      <c r="AL8445" s="77"/>
      <c r="AN8445" s="497">
        <v>19.939999999999998</v>
      </c>
      <c r="AP8445" s="42"/>
      <c r="AQ8445" s="74"/>
      <c r="AR8445" s="77"/>
      <c r="AT8445" s="497">
        <v>21.92</v>
      </c>
      <c r="AV8445" s="42"/>
      <c r="AW8445" s="74"/>
      <c r="AX8445" s="77"/>
      <c r="BA8445" s="497">
        <v>23.72</v>
      </c>
      <c r="BB8445" s="42"/>
      <c r="BC8445" s="74"/>
      <c r="BD8445" s="77"/>
      <c r="BF8445">
        <v>33.979999999999997</v>
      </c>
      <c r="BH8445" s="42"/>
      <c r="BI8445" s="74"/>
      <c r="BJ8445" s="77"/>
      <c r="BL8445" s="497">
        <v>30.02</v>
      </c>
      <c r="BN8445" s="42"/>
      <c r="BO8445" s="74"/>
      <c r="BP8445" s="77"/>
      <c r="BR8445" s="497">
        <v>10.940000000000001</v>
      </c>
      <c r="BT8445" s="42"/>
    </row>
    <row r="8446" spans="1:72" x14ac:dyDescent="0.25">
      <c r="A8446" s="90">
        <v>35782</v>
      </c>
      <c r="B8446" s="20">
        <v>0.16666666666666666</v>
      </c>
      <c r="D8446">
        <v>33.979999999999997</v>
      </c>
      <c r="E8446" t="str">
        <f t="shared" si="298"/>
        <v>WEEKDAY</v>
      </c>
      <c r="F8446" t="e">
        <f t="shared" si="299"/>
        <v>#N/A</v>
      </c>
      <c r="G8446" s="74">
        <v>28477</v>
      </c>
      <c r="H8446" s="77">
        <v>0.16666666666666666</v>
      </c>
      <c r="J8446">
        <v>33.979999999999997</v>
      </c>
      <c r="M8446" s="74">
        <v>36878</v>
      </c>
      <c r="N8446" s="77">
        <v>0.16666666666666666</v>
      </c>
      <c r="P8446">
        <v>26.6</v>
      </c>
      <c r="S8446" s="74">
        <v>35782</v>
      </c>
      <c r="T8446" s="77">
        <v>0.16666666666666666</v>
      </c>
      <c r="V8446">
        <v>33.979999999999997</v>
      </c>
      <c r="X8446" s="42"/>
      <c r="AB8446">
        <v>36.4</v>
      </c>
      <c r="AC8446">
        <v>35.6</v>
      </c>
      <c r="AE8446" s="74"/>
      <c r="AF8446" s="77"/>
      <c r="AH8446" s="497">
        <v>15.8</v>
      </c>
      <c r="AJ8446" s="42"/>
      <c r="AK8446" s="74"/>
      <c r="AL8446" s="77"/>
      <c r="AN8446" s="497">
        <v>19.04</v>
      </c>
      <c r="AP8446" s="42"/>
      <c r="AQ8446" s="74"/>
      <c r="AR8446" s="77"/>
      <c r="AT8446" s="497">
        <v>19.939999999999998</v>
      </c>
      <c r="AV8446" s="42"/>
      <c r="AW8446" s="74"/>
      <c r="AX8446" s="77"/>
      <c r="BA8446" s="497">
        <v>23</v>
      </c>
      <c r="BB8446" s="42"/>
      <c r="BC8446" s="74"/>
      <c r="BD8446" s="77"/>
      <c r="BF8446">
        <v>33.979999999999997</v>
      </c>
      <c r="BH8446" s="42"/>
      <c r="BI8446" s="74"/>
      <c r="BJ8446" s="77"/>
      <c r="BL8446" s="497">
        <v>30.92</v>
      </c>
      <c r="BN8446" s="42"/>
      <c r="BO8446" s="74"/>
      <c r="BP8446" s="77"/>
      <c r="BR8446" s="497">
        <v>10.039999999999999</v>
      </c>
      <c r="BT8446" s="42"/>
    </row>
    <row r="8447" spans="1:72" x14ac:dyDescent="0.25">
      <c r="A8447" s="90">
        <v>35782</v>
      </c>
      <c r="B8447" s="20">
        <v>0.20833333333333334</v>
      </c>
      <c r="D8447">
        <v>33.979999999999997</v>
      </c>
      <c r="E8447" t="str">
        <f t="shared" si="298"/>
        <v>WEEKDAY</v>
      </c>
      <c r="F8447" t="e">
        <f t="shared" si="299"/>
        <v>#N/A</v>
      </c>
      <c r="G8447" s="74">
        <v>28477</v>
      </c>
      <c r="H8447" s="77">
        <v>0.20833333333333334</v>
      </c>
      <c r="J8447">
        <v>33.08</v>
      </c>
      <c r="M8447" s="74">
        <v>36878</v>
      </c>
      <c r="N8447" s="77">
        <v>0.20833333333333334</v>
      </c>
      <c r="P8447">
        <v>26.6</v>
      </c>
      <c r="S8447" s="74">
        <v>35782</v>
      </c>
      <c r="T8447" s="77">
        <v>0.20833333333333334</v>
      </c>
      <c r="V8447">
        <v>33.08</v>
      </c>
      <c r="X8447" s="42"/>
      <c r="AB8447">
        <v>36.200000000000003</v>
      </c>
      <c r="AC8447">
        <v>35.6</v>
      </c>
      <c r="AE8447" s="74"/>
      <c r="AF8447" s="77"/>
      <c r="AH8447" s="497">
        <v>15.8</v>
      </c>
      <c r="AJ8447" s="42"/>
      <c r="AK8447" s="74"/>
      <c r="AL8447" s="77"/>
      <c r="AN8447" s="497">
        <v>19.04</v>
      </c>
      <c r="AP8447" s="42"/>
      <c r="AQ8447" s="74"/>
      <c r="AR8447" s="77"/>
      <c r="AT8447" s="497">
        <v>19.579999999999998</v>
      </c>
      <c r="AV8447" s="42"/>
      <c r="AW8447" s="74"/>
      <c r="AX8447" s="77"/>
      <c r="BA8447" s="497">
        <v>24.08</v>
      </c>
      <c r="BB8447" s="42"/>
      <c r="BC8447" s="74"/>
      <c r="BD8447" s="77"/>
      <c r="BF8447">
        <v>35.06</v>
      </c>
      <c r="BH8447" s="42"/>
      <c r="BI8447" s="74"/>
      <c r="BJ8447" s="77"/>
      <c r="BL8447" s="497">
        <v>30.92</v>
      </c>
      <c r="BN8447" s="42"/>
      <c r="BO8447" s="74"/>
      <c r="BP8447" s="77"/>
      <c r="BR8447" s="497">
        <v>8.9599999999999973</v>
      </c>
      <c r="BT8447" s="42"/>
    </row>
    <row r="8448" spans="1:72" x14ac:dyDescent="0.25">
      <c r="A8448" s="90">
        <v>35782</v>
      </c>
      <c r="B8448" s="20">
        <v>0.25</v>
      </c>
      <c r="D8448">
        <v>33.08</v>
      </c>
      <c r="E8448" t="str">
        <f t="shared" si="298"/>
        <v>WEEKDAY</v>
      </c>
      <c r="F8448" t="e">
        <f t="shared" si="299"/>
        <v>#N/A</v>
      </c>
      <c r="G8448" s="74">
        <v>28477</v>
      </c>
      <c r="H8448" s="77">
        <v>0.25</v>
      </c>
      <c r="J8448">
        <v>33.979999999999997</v>
      </c>
      <c r="M8448" s="74">
        <v>36878</v>
      </c>
      <c r="N8448" s="77">
        <v>0.25</v>
      </c>
      <c r="P8448">
        <v>26.6</v>
      </c>
      <c r="S8448" s="74">
        <v>35782</v>
      </c>
      <c r="T8448" s="77">
        <v>0.25</v>
      </c>
      <c r="V8448">
        <v>33.08</v>
      </c>
      <c r="X8448" s="42"/>
      <c r="AB8448">
        <v>35.9</v>
      </c>
      <c r="AC8448">
        <v>33.799999999999997</v>
      </c>
      <c r="AE8448" s="74"/>
      <c r="AF8448" s="77"/>
      <c r="AH8448" s="497">
        <v>14</v>
      </c>
      <c r="AJ8448" s="42"/>
      <c r="AK8448" s="74"/>
      <c r="AL8448" s="77"/>
      <c r="AN8448" s="497">
        <v>17.96</v>
      </c>
      <c r="AP8448" s="42"/>
      <c r="AQ8448" s="74"/>
      <c r="AR8448" s="77"/>
      <c r="AT8448" s="497">
        <v>19.399999999999999</v>
      </c>
      <c r="AV8448" s="42"/>
      <c r="AW8448" s="74"/>
      <c r="AX8448" s="77"/>
      <c r="BA8448" s="497">
        <v>24.98</v>
      </c>
      <c r="BB8448" s="42"/>
      <c r="BC8448" s="74"/>
      <c r="BD8448" s="77"/>
      <c r="BF8448">
        <v>35.06</v>
      </c>
      <c r="BH8448" s="42"/>
      <c r="BI8448" s="74"/>
      <c r="BJ8448" s="77"/>
      <c r="BL8448" s="497">
        <v>30.92</v>
      </c>
      <c r="BN8448" s="42"/>
      <c r="BO8448" s="74"/>
      <c r="BP8448" s="77"/>
      <c r="BR8448" s="497">
        <v>6.98</v>
      </c>
      <c r="BT8448" s="42"/>
    </row>
    <row r="8449" spans="1:72" x14ac:dyDescent="0.25">
      <c r="A8449" s="90">
        <v>35782</v>
      </c>
      <c r="B8449" s="20">
        <v>0.29166666666666669</v>
      </c>
      <c r="D8449">
        <v>33.08</v>
      </c>
      <c r="E8449" t="str">
        <f t="shared" si="298"/>
        <v>WEEKDAY</v>
      </c>
      <c r="F8449" t="e">
        <f t="shared" si="299"/>
        <v>#N/A</v>
      </c>
      <c r="G8449" s="74">
        <v>28477</v>
      </c>
      <c r="H8449" s="77">
        <v>0.29166666666666669</v>
      </c>
      <c r="J8449">
        <v>33.979999999999997</v>
      </c>
      <c r="M8449" s="74">
        <v>36878</v>
      </c>
      <c r="N8449" s="77">
        <v>0.29166666666666669</v>
      </c>
      <c r="P8449">
        <v>26.6</v>
      </c>
      <c r="S8449" s="74">
        <v>35782</v>
      </c>
      <c r="T8449" s="77">
        <v>0.29166666666666669</v>
      </c>
      <c r="V8449">
        <v>33.08</v>
      </c>
      <c r="X8449" s="42"/>
      <c r="AB8449">
        <v>35.9</v>
      </c>
      <c r="AC8449">
        <v>33.799999999999997</v>
      </c>
      <c r="AE8449" s="74"/>
      <c r="AF8449" s="77"/>
      <c r="AH8449" s="497">
        <v>14</v>
      </c>
      <c r="AJ8449" s="42"/>
      <c r="AK8449" s="74"/>
      <c r="AL8449" s="77"/>
      <c r="AN8449" s="497">
        <v>17.96</v>
      </c>
      <c r="AP8449" s="42"/>
      <c r="AQ8449" s="74"/>
      <c r="AR8449" s="77"/>
      <c r="AT8449" s="497">
        <v>19.04</v>
      </c>
      <c r="AV8449" s="42"/>
      <c r="AW8449" s="74"/>
      <c r="AX8449" s="77"/>
      <c r="BA8449" s="497">
        <v>26.060000000000002</v>
      </c>
      <c r="BB8449" s="42"/>
      <c r="BC8449" s="74"/>
      <c r="BD8449" s="77"/>
      <c r="BF8449">
        <v>35.96</v>
      </c>
      <c r="BH8449" s="42"/>
      <c r="BI8449" s="74"/>
      <c r="BJ8449" s="77"/>
      <c r="BL8449" s="497">
        <v>32</v>
      </c>
      <c r="BN8449" s="42"/>
      <c r="BO8449" s="74"/>
      <c r="BP8449" s="77"/>
      <c r="BR8449" s="497">
        <v>6.98</v>
      </c>
      <c r="BT8449" s="42"/>
    </row>
    <row r="8450" spans="1:72" x14ac:dyDescent="0.25">
      <c r="A8450" s="90">
        <v>35782</v>
      </c>
      <c r="B8450" s="20">
        <v>0.33333333333333331</v>
      </c>
      <c r="D8450">
        <v>33.08</v>
      </c>
      <c r="E8450" t="str">
        <f t="shared" si="298"/>
        <v>WEEKDAY</v>
      </c>
      <c r="F8450" t="e">
        <f t="shared" si="299"/>
        <v>#N/A</v>
      </c>
      <c r="G8450" s="74">
        <v>28477</v>
      </c>
      <c r="H8450" s="77">
        <v>0.33333333333333331</v>
      </c>
      <c r="J8450">
        <v>35.96</v>
      </c>
      <c r="M8450" s="74">
        <v>36878</v>
      </c>
      <c r="N8450" s="77">
        <v>0.33333333333333331</v>
      </c>
      <c r="P8450">
        <v>26.78</v>
      </c>
      <c r="S8450" s="74">
        <v>35782</v>
      </c>
      <c r="T8450" s="77">
        <v>0.33333333333333331</v>
      </c>
      <c r="V8450">
        <v>33.979999999999997</v>
      </c>
      <c r="X8450" s="42"/>
      <c r="AB8450">
        <v>35.9</v>
      </c>
      <c r="AC8450">
        <v>33.799999999999997</v>
      </c>
      <c r="AE8450" s="74"/>
      <c r="AF8450" s="77"/>
      <c r="AH8450" s="497">
        <v>14</v>
      </c>
      <c r="AJ8450" s="42"/>
      <c r="AK8450" s="74"/>
      <c r="AL8450" s="77"/>
      <c r="AN8450" s="497">
        <v>17.96</v>
      </c>
      <c r="AP8450" s="42"/>
      <c r="AQ8450" s="74"/>
      <c r="AR8450" s="77"/>
      <c r="AT8450" s="497">
        <v>20.66</v>
      </c>
      <c r="AV8450" s="42"/>
      <c r="AW8450" s="74"/>
      <c r="AX8450" s="77"/>
      <c r="BA8450" s="497">
        <v>26.96</v>
      </c>
      <c r="BB8450" s="42"/>
      <c r="BC8450" s="74"/>
      <c r="BD8450" s="77"/>
      <c r="BF8450">
        <v>35.96</v>
      </c>
      <c r="BH8450" s="42"/>
      <c r="BI8450" s="74"/>
      <c r="BJ8450" s="77"/>
      <c r="BL8450" s="497">
        <v>32</v>
      </c>
      <c r="BN8450" s="42"/>
      <c r="BO8450" s="74"/>
      <c r="BP8450" s="77"/>
      <c r="BR8450" s="497">
        <v>6.98</v>
      </c>
      <c r="BT8450" s="42"/>
    </row>
    <row r="8451" spans="1:72" x14ac:dyDescent="0.25">
      <c r="A8451" s="90">
        <v>35782</v>
      </c>
      <c r="B8451" s="20">
        <v>0.375</v>
      </c>
      <c r="D8451">
        <v>33.979999999999997</v>
      </c>
      <c r="E8451" t="str">
        <f t="shared" si="298"/>
        <v>WEEKDAY</v>
      </c>
      <c r="F8451" t="e">
        <f t="shared" si="299"/>
        <v>#N/A</v>
      </c>
      <c r="G8451" s="74">
        <v>28477</v>
      </c>
      <c r="H8451" s="77">
        <v>0.375</v>
      </c>
      <c r="J8451">
        <v>35.06</v>
      </c>
      <c r="M8451" s="74">
        <v>36878</v>
      </c>
      <c r="N8451" s="77">
        <v>0.375</v>
      </c>
      <c r="P8451">
        <v>28.4</v>
      </c>
      <c r="S8451" s="74">
        <v>35782</v>
      </c>
      <c r="T8451" s="77">
        <v>0.375</v>
      </c>
      <c r="V8451">
        <v>37.94</v>
      </c>
      <c r="X8451" s="42"/>
      <c r="AB8451">
        <v>36.299999999999997</v>
      </c>
      <c r="AC8451">
        <v>41</v>
      </c>
      <c r="AE8451" s="74"/>
      <c r="AF8451" s="77"/>
      <c r="AH8451" s="497">
        <v>19.399999999999999</v>
      </c>
      <c r="AJ8451" s="42"/>
      <c r="AK8451" s="74"/>
      <c r="AL8451" s="77"/>
      <c r="AN8451" s="497">
        <v>19.939999999999998</v>
      </c>
      <c r="AP8451" s="42"/>
      <c r="AQ8451" s="74"/>
      <c r="AR8451" s="77"/>
      <c r="AT8451" s="497">
        <v>22.46</v>
      </c>
      <c r="AV8451" s="42"/>
      <c r="AW8451" s="74"/>
      <c r="AX8451" s="77"/>
      <c r="BA8451" s="497">
        <v>28.04</v>
      </c>
      <c r="BB8451" s="42"/>
      <c r="BC8451" s="74"/>
      <c r="BD8451" s="77"/>
      <c r="BF8451">
        <v>35.96</v>
      </c>
      <c r="BH8451" s="42"/>
      <c r="BI8451" s="74"/>
      <c r="BJ8451" s="77"/>
      <c r="BL8451" s="497">
        <v>32</v>
      </c>
      <c r="BN8451" s="42"/>
      <c r="BO8451" s="74"/>
      <c r="BP8451" s="77"/>
      <c r="BR8451" s="497">
        <v>6.98</v>
      </c>
      <c r="BT8451" s="42"/>
    </row>
    <row r="8452" spans="1:72" x14ac:dyDescent="0.25">
      <c r="A8452" s="90">
        <v>35782</v>
      </c>
      <c r="B8452" s="20">
        <v>0.41666666666666669</v>
      </c>
      <c r="D8452">
        <v>35.06</v>
      </c>
      <c r="E8452" t="str">
        <f t="shared" si="298"/>
        <v>WEEKDAY</v>
      </c>
      <c r="F8452" t="e">
        <f t="shared" si="299"/>
        <v>#N/A</v>
      </c>
      <c r="G8452" s="74">
        <v>28477</v>
      </c>
      <c r="H8452" s="77">
        <v>0.41666666666666669</v>
      </c>
      <c r="J8452">
        <v>35.06</v>
      </c>
      <c r="M8452" s="74">
        <v>36878</v>
      </c>
      <c r="N8452" s="77">
        <v>0.41666666666666669</v>
      </c>
      <c r="P8452">
        <v>30.2</v>
      </c>
      <c r="S8452" s="74">
        <v>35782</v>
      </c>
      <c r="T8452" s="77">
        <v>0.41666666666666669</v>
      </c>
      <c r="V8452">
        <v>39.92</v>
      </c>
      <c r="X8452" s="42"/>
      <c r="AB8452">
        <v>37.799999999999997</v>
      </c>
      <c r="AC8452">
        <v>42.8</v>
      </c>
      <c r="AE8452" s="74"/>
      <c r="AF8452" s="77"/>
      <c r="AH8452" s="497">
        <v>26.6</v>
      </c>
      <c r="AJ8452" s="42"/>
      <c r="AK8452" s="74"/>
      <c r="AL8452" s="77"/>
      <c r="AN8452" s="497">
        <v>21.02</v>
      </c>
      <c r="AP8452" s="42"/>
      <c r="AQ8452" s="74"/>
      <c r="AR8452" s="77"/>
      <c r="AT8452" s="497">
        <v>24.08</v>
      </c>
      <c r="AV8452" s="42"/>
      <c r="AW8452" s="74"/>
      <c r="AX8452" s="77"/>
      <c r="BA8452" s="497">
        <v>28.94</v>
      </c>
      <c r="BB8452" s="42"/>
      <c r="BC8452" s="74"/>
      <c r="BD8452" s="77"/>
      <c r="BF8452">
        <v>35.96</v>
      </c>
      <c r="BH8452" s="42"/>
      <c r="BI8452" s="74"/>
      <c r="BJ8452" s="77"/>
      <c r="BL8452" s="497">
        <v>32</v>
      </c>
      <c r="BN8452" s="42"/>
      <c r="BO8452" s="74"/>
      <c r="BP8452" s="77"/>
      <c r="BR8452" s="497">
        <v>8.9599999999999973</v>
      </c>
      <c r="BT8452" s="42"/>
    </row>
    <row r="8453" spans="1:72" x14ac:dyDescent="0.25">
      <c r="A8453" s="90">
        <v>35782</v>
      </c>
      <c r="B8453" s="20">
        <v>0.45833333333333331</v>
      </c>
      <c r="D8453">
        <v>35.96</v>
      </c>
      <c r="E8453" t="str">
        <f t="shared" si="298"/>
        <v>WEEKDAY</v>
      </c>
      <c r="F8453" t="e">
        <f t="shared" si="299"/>
        <v>#N/A</v>
      </c>
      <c r="G8453" s="74">
        <v>28477</v>
      </c>
      <c r="H8453" s="77">
        <v>0.45833333333333331</v>
      </c>
      <c r="J8453">
        <v>35.06</v>
      </c>
      <c r="M8453" s="74">
        <v>36878</v>
      </c>
      <c r="N8453" s="77">
        <v>0.45833333333333331</v>
      </c>
      <c r="P8453">
        <v>32</v>
      </c>
      <c r="S8453" s="74">
        <v>35782</v>
      </c>
      <c r="T8453" s="77">
        <v>0.45833333333333331</v>
      </c>
      <c r="V8453">
        <v>42.08</v>
      </c>
      <c r="X8453" s="42"/>
      <c r="AB8453">
        <v>39.1</v>
      </c>
      <c r="AC8453">
        <v>44.6</v>
      </c>
      <c r="AE8453" s="74"/>
      <c r="AF8453" s="77"/>
      <c r="AH8453" s="497">
        <v>28.4</v>
      </c>
      <c r="AJ8453" s="42"/>
      <c r="AK8453" s="74"/>
      <c r="AL8453" s="77"/>
      <c r="AN8453" s="497">
        <v>21.92</v>
      </c>
      <c r="AP8453" s="42"/>
      <c r="AQ8453" s="74"/>
      <c r="AR8453" s="77"/>
      <c r="AT8453" s="497">
        <v>25.34</v>
      </c>
      <c r="AV8453" s="42"/>
      <c r="AW8453" s="74"/>
      <c r="AX8453" s="77"/>
      <c r="BA8453" s="497">
        <v>28.94</v>
      </c>
      <c r="BB8453" s="42"/>
      <c r="BC8453" s="74"/>
      <c r="BD8453" s="77"/>
      <c r="BF8453">
        <v>35.96</v>
      </c>
      <c r="BH8453" s="42"/>
      <c r="BI8453" s="74"/>
      <c r="BJ8453" s="77"/>
      <c r="BL8453" s="497">
        <v>33.08</v>
      </c>
      <c r="BN8453" s="42"/>
      <c r="BO8453" s="74"/>
      <c r="BP8453" s="77"/>
      <c r="BR8453" s="497">
        <v>8.9599999999999973</v>
      </c>
      <c r="BT8453" s="42"/>
    </row>
    <row r="8454" spans="1:72" x14ac:dyDescent="0.25">
      <c r="A8454" s="90">
        <v>35782</v>
      </c>
      <c r="B8454" s="20">
        <v>0.5</v>
      </c>
      <c r="D8454">
        <v>35.96</v>
      </c>
      <c r="E8454" t="str">
        <f t="shared" si="298"/>
        <v>WEEKDAY</v>
      </c>
      <c r="F8454" t="e">
        <f t="shared" si="299"/>
        <v>#N/A</v>
      </c>
      <c r="G8454" s="74">
        <v>28477</v>
      </c>
      <c r="H8454" s="77">
        <v>0.5</v>
      </c>
      <c r="J8454">
        <v>35.06</v>
      </c>
      <c r="M8454" s="74">
        <v>36878</v>
      </c>
      <c r="N8454" s="77">
        <v>0.5</v>
      </c>
      <c r="P8454">
        <v>32</v>
      </c>
      <c r="S8454" s="74">
        <v>35782</v>
      </c>
      <c r="T8454" s="77">
        <v>0.5</v>
      </c>
      <c r="V8454">
        <v>42.980000000000004</v>
      </c>
      <c r="X8454" s="42"/>
      <c r="AB8454">
        <v>40.200000000000003</v>
      </c>
      <c r="AC8454">
        <v>44.6</v>
      </c>
      <c r="AE8454" s="74"/>
      <c r="AF8454" s="77"/>
      <c r="AH8454" s="497">
        <v>32</v>
      </c>
      <c r="AJ8454" s="42"/>
      <c r="AK8454" s="74"/>
      <c r="AL8454" s="77"/>
      <c r="AN8454" s="497">
        <v>23</v>
      </c>
      <c r="AP8454" s="42"/>
      <c r="AQ8454" s="74"/>
      <c r="AR8454" s="77"/>
      <c r="AT8454" s="497">
        <v>26.78</v>
      </c>
      <c r="AV8454" s="42"/>
      <c r="AW8454" s="74"/>
      <c r="AX8454" s="77"/>
      <c r="BA8454" s="497">
        <v>28.94</v>
      </c>
      <c r="BB8454" s="42"/>
      <c r="BC8454" s="74"/>
      <c r="BD8454" s="77"/>
      <c r="BF8454">
        <v>35.96</v>
      </c>
      <c r="BH8454" s="42"/>
      <c r="BI8454" s="74"/>
      <c r="BJ8454" s="77"/>
      <c r="BL8454" s="497">
        <v>35.06</v>
      </c>
      <c r="BN8454" s="42"/>
      <c r="BO8454" s="74"/>
      <c r="BP8454" s="77"/>
      <c r="BR8454" s="497">
        <v>8.9599999999999973</v>
      </c>
      <c r="BT8454" s="42"/>
    </row>
    <row r="8455" spans="1:72" x14ac:dyDescent="0.25">
      <c r="A8455" s="90">
        <v>35782</v>
      </c>
      <c r="B8455" s="20">
        <v>0.54166666666666663</v>
      </c>
      <c r="D8455">
        <v>35.96</v>
      </c>
      <c r="E8455" t="str">
        <f t="shared" si="298"/>
        <v>WEEKDAY</v>
      </c>
      <c r="F8455" t="e">
        <f t="shared" si="299"/>
        <v>#N/A</v>
      </c>
      <c r="G8455" s="74">
        <v>28477</v>
      </c>
      <c r="H8455" s="77">
        <v>0.54166666666666663</v>
      </c>
      <c r="J8455">
        <v>35.96</v>
      </c>
      <c r="M8455" s="74">
        <v>36878</v>
      </c>
      <c r="N8455" s="77">
        <v>0.54166666666666663</v>
      </c>
      <c r="P8455">
        <v>33.799999999999997</v>
      </c>
      <c r="S8455" s="74">
        <v>35782</v>
      </c>
      <c r="T8455" s="77">
        <v>0.54166666666666663</v>
      </c>
      <c r="V8455">
        <v>44.96</v>
      </c>
      <c r="X8455" s="42"/>
      <c r="AB8455">
        <v>41.1</v>
      </c>
      <c r="AC8455">
        <v>46.4</v>
      </c>
      <c r="AE8455" s="74"/>
      <c r="AF8455" s="77"/>
      <c r="AH8455" s="497">
        <v>33.799999999999997</v>
      </c>
      <c r="AJ8455" s="42"/>
      <c r="AK8455" s="74"/>
      <c r="AL8455" s="77"/>
      <c r="AN8455" s="497">
        <v>24.08</v>
      </c>
      <c r="AP8455" s="42"/>
      <c r="AQ8455" s="74"/>
      <c r="AR8455" s="77"/>
      <c r="AT8455" s="497">
        <v>28.04</v>
      </c>
      <c r="AV8455" s="42"/>
      <c r="AW8455" s="74"/>
      <c r="AX8455" s="77"/>
      <c r="BA8455" s="497">
        <v>28.94</v>
      </c>
      <c r="BB8455" s="42"/>
      <c r="BC8455" s="74"/>
      <c r="BD8455" s="77"/>
      <c r="BF8455">
        <v>39.019999999999996</v>
      </c>
      <c r="BH8455" s="42"/>
      <c r="BI8455" s="74"/>
      <c r="BJ8455" s="77"/>
      <c r="BL8455" s="497">
        <v>35.06</v>
      </c>
      <c r="BN8455" s="42"/>
      <c r="BO8455" s="74"/>
      <c r="BP8455" s="77"/>
      <c r="BR8455" s="497">
        <v>8.9599999999999973</v>
      </c>
      <c r="BT8455" s="42"/>
    </row>
    <row r="8456" spans="1:72" x14ac:dyDescent="0.25">
      <c r="A8456" s="90">
        <v>35782</v>
      </c>
      <c r="B8456" s="20">
        <v>0.58333333333333337</v>
      </c>
      <c r="D8456">
        <v>35.96</v>
      </c>
      <c r="E8456" t="str">
        <f t="shared" si="298"/>
        <v>WEEKDAY</v>
      </c>
      <c r="F8456" t="e">
        <f t="shared" si="299"/>
        <v>#N/A</v>
      </c>
      <c r="G8456" s="74">
        <v>28477</v>
      </c>
      <c r="H8456" s="77">
        <v>0.58333333333333337</v>
      </c>
      <c r="J8456">
        <v>35.96</v>
      </c>
      <c r="M8456" s="74">
        <v>36878</v>
      </c>
      <c r="N8456" s="77">
        <v>0.58333333333333337</v>
      </c>
      <c r="P8456">
        <v>33.799999999999997</v>
      </c>
      <c r="S8456" s="74">
        <v>35782</v>
      </c>
      <c r="T8456" s="77">
        <v>0.58333333333333337</v>
      </c>
      <c r="V8456">
        <v>46.04</v>
      </c>
      <c r="X8456" s="42"/>
      <c r="AB8456">
        <v>41.8</v>
      </c>
      <c r="AC8456">
        <v>46.4</v>
      </c>
      <c r="AE8456" s="74"/>
      <c r="AF8456" s="77"/>
      <c r="AH8456" s="497">
        <v>35.6</v>
      </c>
      <c r="AJ8456" s="42"/>
      <c r="AK8456" s="74"/>
      <c r="AL8456" s="77"/>
      <c r="AN8456" s="497">
        <v>24.98</v>
      </c>
      <c r="AP8456" s="42"/>
      <c r="AQ8456" s="74"/>
      <c r="AR8456" s="77"/>
      <c r="AT8456" s="497">
        <v>26.42</v>
      </c>
      <c r="AV8456" s="42"/>
      <c r="AW8456" s="74"/>
      <c r="AX8456" s="77"/>
      <c r="BA8456" s="497">
        <v>29.3</v>
      </c>
      <c r="BB8456" s="42"/>
      <c r="BC8456" s="74"/>
      <c r="BD8456" s="77"/>
      <c r="BF8456">
        <v>37.04</v>
      </c>
      <c r="BH8456" s="42"/>
      <c r="BI8456" s="74"/>
      <c r="BJ8456" s="77"/>
      <c r="BL8456" s="497">
        <v>35.96</v>
      </c>
      <c r="BN8456" s="42"/>
      <c r="BO8456" s="74"/>
      <c r="BP8456" s="77"/>
      <c r="BR8456" s="497">
        <v>10.039999999999999</v>
      </c>
      <c r="BT8456" s="42"/>
    </row>
    <row r="8457" spans="1:72" x14ac:dyDescent="0.25">
      <c r="A8457" s="90">
        <v>35782</v>
      </c>
      <c r="B8457" s="20">
        <v>0.625</v>
      </c>
      <c r="D8457">
        <v>35.96</v>
      </c>
      <c r="E8457" t="str">
        <f t="shared" si="298"/>
        <v>WEEKDAY</v>
      </c>
      <c r="F8457" t="e">
        <f t="shared" si="299"/>
        <v>#N/A</v>
      </c>
      <c r="G8457" s="74">
        <v>28477</v>
      </c>
      <c r="H8457" s="77">
        <v>0.625</v>
      </c>
      <c r="J8457">
        <v>33.979999999999997</v>
      </c>
      <c r="M8457" s="74">
        <v>36878</v>
      </c>
      <c r="N8457" s="77">
        <v>0.625</v>
      </c>
      <c r="P8457">
        <v>33.799999999999997</v>
      </c>
      <c r="S8457" s="74">
        <v>35782</v>
      </c>
      <c r="T8457" s="77">
        <v>0.625</v>
      </c>
      <c r="V8457">
        <v>42.980000000000004</v>
      </c>
      <c r="X8457" s="42"/>
      <c r="AB8457">
        <v>42.1</v>
      </c>
      <c r="AC8457">
        <v>46.4</v>
      </c>
      <c r="AE8457" s="74"/>
      <c r="AF8457" s="77"/>
      <c r="AH8457" s="497">
        <v>37.4</v>
      </c>
      <c r="AJ8457" s="42"/>
      <c r="AK8457" s="74"/>
      <c r="AL8457" s="77"/>
      <c r="AN8457" s="497">
        <v>24.98</v>
      </c>
      <c r="AP8457" s="42"/>
      <c r="AQ8457" s="74"/>
      <c r="AR8457" s="77"/>
      <c r="AT8457" s="497">
        <v>24.62</v>
      </c>
      <c r="AV8457" s="42"/>
      <c r="AW8457" s="74"/>
      <c r="AX8457" s="77"/>
      <c r="BA8457" s="497">
        <v>29.66</v>
      </c>
      <c r="BB8457" s="42"/>
      <c r="BC8457" s="74"/>
      <c r="BD8457" s="77"/>
      <c r="BF8457">
        <v>37.94</v>
      </c>
      <c r="BH8457" s="42"/>
      <c r="BI8457" s="74"/>
      <c r="BJ8457" s="77"/>
      <c r="BL8457" s="497">
        <v>35.96</v>
      </c>
      <c r="BN8457" s="42"/>
      <c r="BO8457" s="74"/>
      <c r="BP8457" s="77"/>
      <c r="BR8457" s="497">
        <v>10.039999999999999</v>
      </c>
      <c r="BT8457" s="42"/>
    </row>
    <row r="8458" spans="1:72" x14ac:dyDescent="0.25">
      <c r="A8458" s="90">
        <v>35782</v>
      </c>
      <c r="B8458" s="20">
        <v>0.66666666666666663</v>
      </c>
      <c r="D8458">
        <v>35.96</v>
      </c>
      <c r="E8458" t="str">
        <f t="shared" si="298"/>
        <v>WEEKDAY</v>
      </c>
      <c r="F8458" t="e">
        <f t="shared" si="299"/>
        <v>#N/A</v>
      </c>
      <c r="G8458" s="74">
        <v>28477</v>
      </c>
      <c r="H8458" s="77">
        <v>0.66666666666666663</v>
      </c>
      <c r="J8458">
        <v>33.08</v>
      </c>
      <c r="M8458" s="74">
        <v>36878</v>
      </c>
      <c r="N8458" s="77">
        <v>0.66666666666666663</v>
      </c>
      <c r="P8458">
        <v>33.799999999999997</v>
      </c>
      <c r="S8458" s="74">
        <v>35782</v>
      </c>
      <c r="T8458" s="77">
        <v>0.66666666666666663</v>
      </c>
      <c r="V8458">
        <v>42.08</v>
      </c>
      <c r="X8458" s="42"/>
      <c r="AB8458">
        <v>41.9</v>
      </c>
      <c r="AC8458">
        <v>44.6</v>
      </c>
      <c r="AE8458" s="74"/>
      <c r="AF8458" s="77"/>
      <c r="AH8458" s="497">
        <v>35.6</v>
      </c>
      <c r="AJ8458" s="42"/>
      <c r="AK8458" s="74"/>
      <c r="AL8458" s="77"/>
      <c r="AN8458" s="497">
        <v>26.060000000000002</v>
      </c>
      <c r="AP8458" s="42"/>
      <c r="AQ8458" s="74"/>
      <c r="AR8458" s="77"/>
      <c r="AT8458" s="497">
        <v>23</v>
      </c>
      <c r="AV8458" s="42"/>
      <c r="AW8458" s="74"/>
      <c r="AX8458" s="77"/>
      <c r="BA8458" s="497">
        <v>30.02</v>
      </c>
      <c r="BB8458" s="42"/>
      <c r="BC8458" s="74"/>
      <c r="BD8458" s="77"/>
      <c r="BF8458">
        <v>37.94</v>
      </c>
      <c r="BH8458" s="42"/>
      <c r="BI8458" s="74"/>
      <c r="BJ8458" s="77"/>
      <c r="BL8458" s="497">
        <v>35.96</v>
      </c>
      <c r="BN8458" s="42"/>
      <c r="BO8458" s="74"/>
      <c r="BP8458" s="77"/>
      <c r="BR8458" s="497">
        <v>10.039999999999999</v>
      </c>
      <c r="BT8458" s="42"/>
    </row>
    <row r="8459" spans="1:72" x14ac:dyDescent="0.25">
      <c r="A8459" s="90">
        <v>35782</v>
      </c>
      <c r="B8459" s="20">
        <v>0.70833333333333337</v>
      </c>
      <c r="D8459">
        <v>35.06</v>
      </c>
      <c r="E8459" t="str">
        <f t="shared" si="298"/>
        <v>WEEKDAY</v>
      </c>
      <c r="F8459" t="e">
        <f t="shared" si="299"/>
        <v>#N/A</v>
      </c>
      <c r="G8459" s="74">
        <v>28477</v>
      </c>
      <c r="H8459" s="77">
        <v>0.70833333333333337</v>
      </c>
      <c r="J8459">
        <v>33.979999999999997</v>
      </c>
      <c r="M8459" s="74">
        <v>36878</v>
      </c>
      <c r="N8459" s="77">
        <v>0.70833333333333337</v>
      </c>
      <c r="P8459">
        <v>32</v>
      </c>
      <c r="S8459" s="74">
        <v>35782</v>
      </c>
      <c r="T8459" s="77">
        <v>0.70833333333333337</v>
      </c>
      <c r="V8459">
        <v>37.94</v>
      </c>
      <c r="X8459" s="42"/>
      <c r="AB8459">
        <v>41.1</v>
      </c>
      <c r="AC8459">
        <v>41</v>
      </c>
      <c r="AE8459" s="74"/>
      <c r="AF8459" s="77"/>
      <c r="AH8459" s="497">
        <v>30.2</v>
      </c>
      <c r="AJ8459" s="42"/>
      <c r="AK8459" s="74"/>
      <c r="AL8459" s="77"/>
      <c r="AN8459" s="497">
        <v>23</v>
      </c>
      <c r="AP8459" s="42"/>
      <c r="AQ8459" s="74"/>
      <c r="AR8459" s="77"/>
      <c r="AT8459" s="497">
        <v>21.02</v>
      </c>
      <c r="AV8459" s="42"/>
      <c r="AW8459" s="74"/>
      <c r="AX8459" s="77"/>
      <c r="BA8459" s="497">
        <v>30.02</v>
      </c>
      <c r="BB8459" s="42"/>
      <c r="BC8459" s="74"/>
      <c r="BD8459" s="77"/>
      <c r="BF8459">
        <v>39.019999999999996</v>
      </c>
      <c r="BH8459" s="42"/>
      <c r="BI8459" s="74"/>
      <c r="BJ8459" s="77"/>
      <c r="BL8459" s="497">
        <v>35.96</v>
      </c>
      <c r="BN8459" s="42"/>
      <c r="BO8459" s="74"/>
      <c r="BP8459" s="77"/>
      <c r="BR8459" s="497">
        <v>8.9599999999999973</v>
      </c>
      <c r="BT8459" s="42"/>
    </row>
    <row r="8460" spans="1:72" x14ac:dyDescent="0.25">
      <c r="A8460" s="90">
        <v>35782</v>
      </c>
      <c r="B8460" s="20">
        <v>0.75</v>
      </c>
      <c r="D8460">
        <v>35.96</v>
      </c>
      <c r="E8460" t="str">
        <f t="shared" si="298"/>
        <v>WEEKDAY</v>
      </c>
      <c r="F8460" t="e">
        <f t="shared" si="299"/>
        <v>#N/A</v>
      </c>
      <c r="G8460" s="74">
        <v>28477</v>
      </c>
      <c r="H8460" s="77">
        <v>0.75</v>
      </c>
      <c r="J8460">
        <v>33.979999999999997</v>
      </c>
      <c r="M8460" s="74">
        <v>36878</v>
      </c>
      <c r="N8460" s="77">
        <v>0.75</v>
      </c>
      <c r="P8460">
        <v>30.2</v>
      </c>
      <c r="S8460" s="74">
        <v>35782</v>
      </c>
      <c r="T8460" s="77">
        <v>0.75</v>
      </c>
      <c r="V8460">
        <v>37.94</v>
      </c>
      <c r="X8460" s="42"/>
      <c r="AB8460">
        <v>40.1</v>
      </c>
      <c r="AC8460">
        <v>35.6</v>
      </c>
      <c r="AE8460" s="74"/>
      <c r="AF8460" s="77"/>
      <c r="AH8460" s="497">
        <v>28.4</v>
      </c>
      <c r="AJ8460" s="42"/>
      <c r="AK8460" s="74"/>
      <c r="AL8460" s="77"/>
      <c r="AN8460" s="497">
        <v>21.02</v>
      </c>
      <c r="AP8460" s="42"/>
      <c r="AQ8460" s="74"/>
      <c r="AR8460" s="77"/>
      <c r="AT8460" s="497">
        <v>19.04</v>
      </c>
      <c r="AV8460" s="42"/>
      <c r="AW8460" s="74"/>
      <c r="AX8460" s="77"/>
      <c r="BA8460" s="497">
        <v>30.02</v>
      </c>
      <c r="BB8460" s="42"/>
      <c r="BC8460" s="74"/>
      <c r="BD8460" s="77"/>
      <c r="BF8460">
        <v>37.94</v>
      </c>
      <c r="BH8460" s="42"/>
      <c r="BI8460" s="74"/>
      <c r="BJ8460" s="77"/>
      <c r="BL8460" s="497">
        <v>35.96</v>
      </c>
      <c r="BN8460" s="42"/>
      <c r="BO8460" s="74"/>
      <c r="BP8460" s="77"/>
      <c r="BR8460" s="497">
        <v>8.9599999999999973</v>
      </c>
      <c r="BT8460" s="42"/>
    </row>
    <row r="8461" spans="1:72" x14ac:dyDescent="0.25">
      <c r="A8461" s="90">
        <v>35782</v>
      </c>
      <c r="B8461" s="20">
        <v>0.79166666666666663</v>
      </c>
      <c r="D8461">
        <v>35.06</v>
      </c>
      <c r="E8461" t="str">
        <f t="shared" si="298"/>
        <v>WEEKDAY</v>
      </c>
      <c r="F8461" t="e">
        <f t="shared" si="299"/>
        <v>#N/A</v>
      </c>
      <c r="G8461" s="74">
        <v>28477</v>
      </c>
      <c r="H8461" s="77">
        <v>0.79166666666666663</v>
      </c>
      <c r="J8461">
        <v>35.06</v>
      </c>
      <c r="M8461" s="74">
        <v>36878</v>
      </c>
      <c r="N8461" s="77">
        <v>0.79166666666666663</v>
      </c>
      <c r="P8461">
        <v>28.4</v>
      </c>
      <c r="S8461" s="74">
        <v>35782</v>
      </c>
      <c r="T8461" s="77">
        <v>0.79166666666666663</v>
      </c>
      <c r="V8461">
        <v>37.04</v>
      </c>
      <c r="X8461" s="42"/>
      <c r="AB8461">
        <v>39.6</v>
      </c>
      <c r="AC8461">
        <v>32</v>
      </c>
      <c r="AE8461" s="74"/>
      <c r="AF8461" s="77"/>
      <c r="AH8461" s="497">
        <v>26.6</v>
      </c>
      <c r="AJ8461" s="42"/>
      <c r="AK8461" s="74"/>
      <c r="AL8461" s="77"/>
      <c r="AN8461" s="497">
        <v>19.939999999999998</v>
      </c>
      <c r="AP8461" s="42"/>
      <c r="AQ8461" s="74"/>
      <c r="AR8461" s="77"/>
      <c r="AT8461" s="497">
        <v>17.059999999999999</v>
      </c>
      <c r="AV8461" s="42"/>
      <c r="AW8461" s="74"/>
      <c r="AX8461" s="77"/>
      <c r="BA8461" s="497">
        <v>30.02</v>
      </c>
      <c r="BB8461" s="42"/>
      <c r="BC8461" s="74"/>
      <c r="BD8461" s="77"/>
      <c r="BF8461">
        <v>37.94</v>
      </c>
      <c r="BH8461" s="42"/>
      <c r="BI8461" s="74"/>
      <c r="BJ8461" s="77"/>
      <c r="BL8461" s="497">
        <v>35.96</v>
      </c>
      <c r="BN8461" s="42"/>
      <c r="BO8461" s="74"/>
      <c r="BP8461" s="77"/>
      <c r="BR8461" s="497">
        <v>8.9599999999999973</v>
      </c>
      <c r="BT8461" s="42"/>
    </row>
    <row r="8462" spans="1:72" x14ac:dyDescent="0.25">
      <c r="A8462" s="90">
        <v>35782</v>
      </c>
      <c r="B8462" s="20">
        <v>0.83333333333333337</v>
      </c>
      <c r="D8462">
        <v>35.06</v>
      </c>
      <c r="E8462" t="str">
        <f t="shared" si="298"/>
        <v>WEEKDAY</v>
      </c>
      <c r="F8462" t="e">
        <f t="shared" si="299"/>
        <v>#N/A</v>
      </c>
      <c r="G8462" s="74">
        <v>28477</v>
      </c>
      <c r="H8462" s="77">
        <v>0.83333333333333337</v>
      </c>
      <c r="J8462">
        <v>35.96</v>
      </c>
      <c r="M8462" s="74">
        <v>36878</v>
      </c>
      <c r="N8462" s="77">
        <v>0.83333333333333337</v>
      </c>
      <c r="P8462">
        <v>28.4</v>
      </c>
      <c r="S8462" s="74">
        <v>35782</v>
      </c>
      <c r="T8462" s="77">
        <v>0.83333333333333337</v>
      </c>
      <c r="V8462">
        <v>37.94</v>
      </c>
      <c r="X8462" s="42"/>
      <c r="AB8462">
        <v>39.299999999999997</v>
      </c>
      <c r="AC8462">
        <v>32</v>
      </c>
      <c r="AE8462" s="74"/>
      <c r="AF8462" s="77"/>
      <c r="AH8462" s="497">
        <v>26.6</v>
      </c>
      <c r="AJ8462" s="42"/>
      <c r="AK8462" s="74"/>
      <c r="AL8462" s="77"/>
      <c r="AN8462" s="497">
        <v>15.079999999999998</v>
      </c>
      <c r="AP8462" s="42"/>
      <c r="AQ8462" s="74"/>
      <c r="AR8462" s="77"/>
      <c r="AT8462" s="497">
        <v>16.7</v>
      </c>
      <c r="AV8462" s="42"/>
      <c r="AW8462" s="74"/>
      <c r="AX8462" s="77"/>
      <c r="BA8462" s="497">
        <v>30.02</v>
      </c>
      <c r="BB8462" s="42"/>
      <c r="BC8462" s="74"/>
      <c r="BD8462" s="77"/>
      <c r="BF8462">
        <v>37.04</v>
      </c>
      <c r="BH8462" s="42"/>
      <c r="BI8462" s="74"/>
      <c r="BJ8462" s="77"/>
      <c r="BL8462" s="497">
        <v>35.96</v>
      </c>
      <c r="BN8462" s="42"/>
      <c r="BO8462" s="74"/>
      <c r="BP8462" s="77"/>
      <c r="BR8462" s="497">
        <v>8.0599999999999987</v>
      </c>
      <c r="BT8462" s="42"/>
    </row>
    <row r="8463" spans="1:72" x14ac:dyDescent="0.25">
      <c r="A8463" s="90">
        <v>35782</v>
      </c>
      <c r="B8463" s="20">
        <v>0.875</v>
      </c>
      <c r="D8463">
        <v>35.06</v>
      </c>
      <c r="E8463" t="str">
        <f t="shared" si="298"/>
        <v>WEEKDAY</v>
      </c>
      <c r="F8463" t="e">
        <f t="shared" si="299"/>
        <v>#N/A</v>
      </c>
      <c r="G8463" s="74">
        <v>28477</v>
      </c>
      <c r="H8463" s="77">
        <v>0.875</v>
      </c>
      <c r="J8463">
        <v>37.04</v>
      </c>
      <c r="M8463" s="74">
        <v>36878</v>
      </c>
      <c r="N8463" s="77">
        <v>0.875</v>
      </c>
      <c r="P8463">
        <v>28.4</v>
      </c>
      <c r="S8463" s="74">
        <v>35782</v>
      </c>
      <c r="T8463" s="77">
        <v>0.875</v>
      </c>
      <c r="V8463">
        <v>37.04</v>
      </c>
      <c r="X8463" s="42"/>
      <c r="AB8463">
        <v>38.799999999999997</v>
      </c>
      <c r="AC8463">
        <v>32</v>
      </c>
      <c r="AE8463" s="74"/>
      <c r="AF8463" s="77"/>
      <c r="AH8463" s="497">
        <v>26.6</v>
      </c>
      <c r="AJ8463" s="42"/>
      <c r="AK8463" s="74"/>
      <c r="AL8463" s="77"/>
      <c r="AN8463" s="497">
        <v>14</v>
      </c>
      <c r="AP8463" s="42"/>
      <c r="AQ8463" s="74"/>
      <c r="AR8463" s="77"/>
      <c r="AT8463" s="497">
        <v>16.340000000000003</v>
      </c>
      <c r="AV8463" s="42"/>
      <c r="AW8463" s="74"/>
      <c r="AX8463" s="77"/>
      <c r="BA8463" s="497">
        <v>30.02</v>
      </c>
      <c r="BB8463" s="42"/>
      <c r="BC8463" s="74"/>
      <c r="BD8463" s="77"/>
      <c r="BF8463">
        <v>37.04</v>
      </c>
      <c r="BH8463" s="42"/>
      <c r="BI8463" s="74"/>
      <c r="BJ8463" s="77"/>
      <c r="BL8463" s="497">
        <v>35.06</v>
      </c>
      <c r="BN8463" s="42"/>
      <c r="BO8463" s="74"/>
      <c r="BP8463" s="77"/>
      <c r="BR8463" s="497">
        <v>8.0599999999999987</v>
      </c>
      <c r="BT8463" s="42"/>
    </row>
    <row r="8464" spans="1:72" x14ac:dyDescent="0.25">
      <c r="A8464" s="90">
        <v>35782</v>
      </c>
      <c r="B8464" s="20">
        <v>0.91666666666666663</v>
      </c>
      <c r="D8464">
        <v>35.06</v>
      </c>
      <c r="E8464" t="str">
        <f t="shared" si="298"/>
        <v>WEEKDAY</v>
      </c>
      <c r="F8464" t="e">
        <f t="shared" si="299"/>
        <v>#N/A</v>
      </c>
      <c r="G8464" s="74">
        <v>28477</v>
      </c>
      <c r="H8464" s="77">
        <v>0.91666666666666663</v>
      </c>
      <c r="J8464">
        <v>35.96</v>
      </c>
      <c r="M8464" s="74">
        <v>36878</v>
      </c>
      <c r="N8464" s="77">
        <v>0.91666666666666663</v>
      </c>
      <c r="P8464">
        <v>26.6</v>
      </c>
      <c r="S8464" s="74">
        <v>35782</v>
      </c>
      <c r="T8464" s="77">
        <v>0.91666666666666663</v>
      </c>
      <c r="V8464">
        <v>35.96</v>
      </c>
      <c r="X8464" s="42"/>
      <c r="AB8464">
        <v>38.299999999999997</v>
      </c>
      <c r="AC8464">
        <v>30.2</v>
      </c>
      <c r="AE8464" s="74"/>
      <c r="AF8464" s="77"/>
      <c r="AH8464" s="497">
        <v>24.8</v>
      </c>
      <c r="AJ8464" s="42"/>
      <c r="AK8464" s="74"/>
      <c r="AL8464" s="77"/>
      <c r="AN8464" s="497">
        <v>12.920000000000002</v>
      </c>
      <c r="AP8464" s="42"/>
      <c r="AQ8464" s="74"/>
      <c r="AR8464" s="77"/>
      <c r="AT8464" s="497">
        <v>15.98</v>
      </c>
      <c r="AV8464" s="42"/>
      <c r="AW8464" s="74"/>
      <c r="AX8464" s="77"/>
      <c r="BA8464" s="497">
        <v>30.02</v>
      </c>
      <c r="BB8464" s="42"/>
      <c r="BC8464" s="74"/>
      <c r="BD8464" s="77"/>
      <c r="BF8464">
        <v>37.04</v>
      </c>
      <c r="BH8464" s="42"/>
      <c r="BI8464" s="74"/>
      <c r="BJ8464" s="77"/>
      <c r="BL8464" s="497">
        <v>35.06</v>
      </c>
      <c r="BN8464" s="42"/>
      <c r="BO8464" s="74"/>
      <c r="BP8464" s="77"/>
      <c r="BR8464" s="497">
        <v>8.0599999999999987</v>
      </c>
      <c r="BT8464" s="42"/>
    </row>
    <row r="8465" spans="1:72" x14ac:dyDescent="0.25">
      <c r="A8465" s="90">
        <v>35782</v>
      </c>
      <c r="B8465" s="20">
        <v>0.95833333333333337</v>
      </c>
      <c r="D8465">
        <v>35.06</v>
      </c>
      <c r="E8465" t="str">
        <f t="shared" si="298"/>
        <v>WEEKDAY</v>
      </c>
      <c r="F8465" t="e">
        <f t="shared" si="299"/>
        <v>#N/A</v>
      </c>
      <c r="G8465" s="74">
        <v>28477</v>
      </c>
      <c r="H8465" s="77">
        <v>0.95833333333333337</v>
      </c>
      <c r="J8465">
        <v>35.06</v>
      </c>
      <c r="M8465" s="74">
        <v>36878</v>
      </c>
      <c r="N8465" s="77">
        <v>0.95833333333333337</v>
      </c>
      <c r="P8465">
        <v>26.6</v>
      </c>
      <c r="S8465" s="74">
        <v>35782</v>
      </c>
      <c r="T8465" s="77">
        <v>0.95833333333333337</v>
      </c>
      <c r="V8465">
        <v>35.96</v>
      </c>
      <c r="X8465" s="42"/>
      <c r="AB8465">
        <v>37.9</v>
      </c>
      <c r="AC8465">
        <v>32</v>
      </c>
      <c r="AE8465" s="74"/>
      <c r="AF8465" s="77"/>
      <c r="AH8465" s="497">
        <v>21.2</v>
      </c>
      <c r="AJ8465" s="42"/>
      <c r="AK8465" s="74"/>
      <c r="AL8465" s="77"/>
      <c r="AN8465" s="497">
        <v>12.02</v>
      </c>
      <c r="AP8465" s="42"/>
      <c r="AQ8465" s="74"/>
      <c r="AR8465" s="77"/>
      <c r="AT8465" s="497">
        <v>15.620000000000001</v>
      </c>
      <c r="AV8465" s="42"/>
      <c r="AW8465" s="74"/>
      <c r="AX8465" s="77"/>
      <c r="BA8465" s="497">
        <v>30.38</v>
      </c>
      <c r="BB8465" s="42"/>
      <c r="BC8465" s="74"/>
      <c r="BD8465" s="77"/>
      <c r="BF8465">
        <v>35.96</v>
      </c>
      <c r="BH8465" s="42"/>
      <c r="BI8465" s="74"/>
      <c r="BJ8465" s="77"/>
      <c r="BL8465" s="497">
        <v>35.06</v>
      </c>
      <c r="BN8465" s="42"/>
      <c r="BO8465" s="74"/>
      <c r="BP8465" s="77"/>
      <c r="BR8465" s="497">
        <v>6.0799999999999983</v>
      </c>
      <c r="BT8465" s="42"/>
    </row>
    <row r="8466" spans="1:72" x14ac:dyDescent="0.25">
      <c r="A8466" s="90">
        <v>35782</v>
      </c>
      <c r="B8466" s="20">
        <v>1</v>
      </c>
      <c r="D8466">
        <v>35.06</v>
      </c>
      <c r="E8466" t="str">
        <f t="shared" si="298"/>
        <v>WEEKDAY</v>
      </c>
      <c r="F8466" t="e">
        <f t="shared" si="299"/>
        <v>#N/A</v>
      </c>
      <c r="G8466" s="74">
        <v>28477</v>
      </c>
      <c r="H8466" s="77">
        <v>1</v>
      </c>
      <c r="J8466">
        <v>35.96</v>
      </c>
      <c r="M8466" s="74">
        <v>36878</v>
      </c>
      <c r="N8466" s="80">
        <v>1</v>
      </c>
      <c r="P8466">
        <v>24.8</v>
      </c>
      <c r="S8466" s="74">
        <v>35782</v>
      </c>
      <c r="T8466" s="80">
        <v>1</v>
      </c>
      <c r="V8466">
        <v>37.04</v>
      </c>
      <c r="X8466" s="42"/>
      <c r="AB8466">
        <v>37.4</v>
      </c>
      <c r="AC8466">
        <v>32</v>
      </c>
      <c r="AE8466" s="74"/>
      <c r="AF8466" s="80"/>
      <c r="AH8466" s="497">
        <v>23</v>
      </c>
      <c r="AJ8466" s="42"/>
      <c r="AK8466" s="74"/>
      <c r="AL8466" s="80"/>
      <c r="AN8466" s="497">
        <v>12.02</v>
      </c>
      <c r="AP8466" s="42"/>
      <c r="AQ8466" s="74"/>
      <c r="AR8466" s="80"/>
      <c r="AT8466" s="497">
        <v>15.440000000000001</v>
      </c>
      <c r="AV8466" s="42"/>
      <c r="AW8466" s="74"/>
      <c r="AX8466" s="80"/>
      <c r="BA8466" s="497">
        <v>30.56</v>
      </c>
      <c r="BB8466" s="42"/>
      <c r="BC8466" s="74"/>
      <c r="BD8466" s="80"/>
      <c r="BF8466">
        <v>35.06</v>
      </c>
      <c r="BH8466" s="42"/>
      <c r="BI8466" s="74"/>
      <c r="BJ8466" s="80"/>
      <c r="BL8466" s="497">
        <v>33.979999999999997</v>
      </c>
      <c r="BN8466" s="42"/>
      <c r="BO8466" s="74"/>
      <c r="BP8466" s="80"/>
      <c r="BR8466" s="497">
        <v>6.0799999999999983</v>
      </c>
      <c r="BT8466" s="42"/>
    </row>
    <row r="8467" spans="1:72" x14ac:dyDescent="0.25">
      <c r="A8467" s="90">
        <v>35783</v>
      </c>
      <c r="B8467" s="20">
        <v>4.1666666666666664E-2</v>
      </c>
      <c r="D8467">
        <v>33.979999999999997</v>
      </c>
      <c r="E8467" t="str">
        <f t="shared" ref="E8467:E8530" si="300">IF(COUNTIF($DI$18:$DI$22, WEEKDAY(A8467))=1, "WEEKDAY", IF(WEEKDAY(A8467) = 1, "SUNDAY", "SATURDAY"))</f>
        <v>WEEKDAY</v>
      </c>
      <c r="F8467" t="e">
        <f t="shared" si="299"/>
        <v>#N/A</v>
      </c>
      <c r="G8467" s="74">
        <v>28478</v>
      </c>
      <c r="H8467" s="77">
        <v>4.1666666666666664E-2</v>
      </c>
      <c r="J8467">
        <v>35.96</v>
      </c>
      <c r="M8467" s="74">
        <v>36879</v>
      </c>
      <c r="N8467" s="77">
        <v>4.1666666666666664E-2</v>
      </c>
      <c r="P8467">
        <v>24.8</v>
      </c>
      <c r="S8467" s="74">
        <v>35783</v>
      </c>
      <c r="T8467" s="77">
        <v>4.1666666666666664E-2</v>
      </c>
      <c r="V8467">
        <v>37.04</v>
      </c>
      <c r="X8467" s="42"/>
      <c r="AB8467">
        <v>37.1</v>
      </c>
      <c r="AC8467">
        <v>32</v>
      </c>
      <c r="AE8467" s="74"/>
      <c r="AF8467" s="77"/>
      <c r="AH8467" s="497">
        <v>21.2</v>
      </c>
      <c r="AJ8467" s="42"/>
      <c r="AK8467" s="74"/>
      <c r="AL8467" s="77"/>
      <c r="AN8467" s="497">
        <v>12.02</v>
      </c>
      <c r="AP8467" s="42"/>
      <c r="AQ8467" s="74"/>
      <c r="AR8467" s="77"/>
      <c r="AT8467" s="497">
        <v>15.079999999999998</v>
      </c>
      <c r="AV8467" s="42"/>
      <c r="AW8467" s="74"/>
      <c r="AX8467" s="77"/>
      <c r="BA8467" s="497">
        <v>30.92</v>
      </c>
      <c r="BB8467" s="42"/>
      <c r="BC8467" s="74"/>
      <c r="BD8467" s="77"/>
      <c r="BF8467">
        <v>35.06</v>
      </c>
      <c r="BH8467" s="42"/>
      <c r="BI8467" s="74"/>
      <c r="BJ8467" s="77"/>
      <c r="BL8467" s="497">
        <v>33.979999999999997</v>
      </c>
      <c r="BN8467" s="42"/>
      <c r="BO8467" s="74"/>
      <c r="BP8467" s="77"/>
      <c r="BR8467" s="497">
        <v>5</v>
      </c>
      <c r="BT8467" s="42"/>
    </row>
    <row r="8468" spans="1:72" x14ac:dyDescent="0.25">
      <c r="A8468" s="90">
        <v>35783</v>
      </c>
      <c r="B8468" s="20">
        <v>8.3333333333333329E-2</v>
      </c>
      <c r="D8468">
        <v>33.979999999999997</v>
      </c>
      <c r="E8468" t="str">
        <f t="shared" si="300"/>
        <v>WEEKDAY</v>
      </c>
      <c r="F8468" t="e">
        <f t="shared" si="299"/>
        <v>#N/A</v>
      </c>
      <c r="G8468" s="74">
        <v>28478</v>
      </c>
      <c r="H8468" s="77">
        <v>8.3333333333333329E-2</v>
      </c>
      <c r="J8468">
        <v>37.04</v>
      </c>
      <c r="M8468" s="74">
        <v>36879</v>
      </c>
      <c r="N8468" s="77">
        <v>8.3333333333333329E-2</v>
      </c>
      <c r="P8468">
        <v>24.8</v>
      </c>
      <c r="S8468" s="74">
        <v>35783</v>
      </c>
      <c r="T8468" s="77">
        <v>8.3333333333333329E-2</v>
      </c>
      <c r="V8468">
        <v>37.04</v>
      </c>
      <c r="X8468" s="42"/>
      <c r="AB8468">
        <v>36.700000000000003</v>
      </c>
      <c r="AC8468">
        <v>28.4</v>
      </c>
      <c r="AE8468" s="74"/>
      <c r="AF8468" s="77"/>
      <c r="AH8468" s="497">
        <v>21.2</v>
      </c>
      <c r="AJ8468" s="42"/>
      <c r="AK8468" s="74"/>
      <c r="AL8468" s="77"/>
      <c r="AN8468" s="497">
        <v>10.940000000000001</v>
      </c>
      <c r="AP8468" s="42"/>
      <c r="AQ8468" s="74"/>
      <c r="AR8468" s="77"/>
      <c r="AT8468" s="497">
        <v>15.079999999999998</v>
      </c>
      <c r="AV8468" s="42"/>
      <c r="AW8468" s="74"/>
      <c r="AX8468" s="77"/>
      <c r="BA8468" s="497">
        <v>30.92</v>
      </c>
      <c r="BB8468" s="42"/>
      <c r="BC8468" s="74"/>
      <c r="BD8468" s="77"/>
      <c r="BF8468">
        <v>35.06</v>
      </c>
      <c r="BH8468" s="42"/>
      <c r="BI8468" s="74"/>
      <c r="BJ8468" s="77"/>
      <c r="BL8468" s="497">
        <v>33.08</v>
      </c>
      <c r="BN8468" s="42"/>
      <c r="BO8468" s="74"/>
      <c r="BP8468" s="77"/>
      <c r="BR8468" s="497">
        <v>5</v>
      </c>
      <c r="BT8468" s="42"/>
    </row>
    <row r="8469" spans="1:72" x14ac:dyDescent="0.25">
      <c r="A8469" s="90">
        <v>35783</v>
      </c>
      <c r="B8469" s="20">
        <v>0.125</v>
      </c>
      <c r="D8469">
        <v>33.08</v>
      </c>
      <c r="E8469" t="str">
        <f t="shared" si="300"/>
        <v>WEEKDAY</v>
      </c>
      <c r="F8469" t="e">
        <f t="shared" si="299"/>
        <v>#N/A</v>
      </c>
      <c r="G8469" s="74">
        <v>28478</v>
      </c>
      <c r="H8469" s="77">
        <v>0.125</v>
      </c>
      <c r="J8469">
        <v>37.94</v>
      </c>
      <c r="M8469" s="74">
        <v>36879</v>
      </c>
      <c r="N8469" s="77">
        <v>0.125</v>
      </c>
      <c r="P8469">
        <v>23</v>
      </c>
      <c r="S8469" s="74">
        <v>35783</v>
      </c>
      <c r="T8469" s="77">
        <v>0.125</v>
      </c>
      <c r="V8469">
        <v>37.94</v>
      </c>
      <c r="X8469" s="42"/>
      <c r="AB8469">
        <v>36.4</v>
      </c>
      <c r="AC8469">
        <v>28.4</v>
      </c>
      <c r="AE8469" s="74"/>
      <c r="AF8469" s="77"/>
      <c r="AH8469" s="497">
        <v>24.8</v>
      </c>
      <c r="AJ8469" s="42"/>
      <c r="AK8469" s="74"/>
      <c r="AL8469" s="77"/>
      <c r="AN8469" s="497">
        <v>10.039999999999999</v>
      </c>
      <c r="AP8469" s="42"/>
      <c r="AQ8469" s="74"/>
      <c r="AR8469" s="77"/>
      <c r="AT8469" s="497">
        <v>15.079999999999998</v>
      </c>
      <c r="AV8469" s="42"/>
      <c r="AW8469" s="74"/>
      <c r="AX8469" s="77"/>
      <c r="BA8469" s="497">
        <v>30.92</v>
      </c>
      <c r="BB8469" s="42"/>
      <c r="BC8469" s="74"/>
      <c r="BD8469" s="77"/>
      <c r="BF8469">
        <v>35.06</v>
      </c>
      <c r="BH8469" s="42"/>
      <c r="BI8469" s="74"/>
      <c r="BJ8469" s="77"/>
      <c r="BL8469" s="497">
        <v>33.08</v>
      </c>
      <c r="BN8469" s="42"/>
      <c r="BO8469" s="74"/>
      <c r="BP8469" s="77"/>
      <c r="BR8469" s="497">
        <v>3.9200000000000017</v>
      </c>
      <c r="BT8469" s="42"/>
    </row>
    <row r="8470" spans="1:72" x14ac:dyDescent="0.25">
      <c r="A8470" s="90">
        <v>35783</v>
      </c>
      <c r="B8470" s="20">
        <v>0.16666666666666666</v>
      </c>
      <c r="D8470">
        <v>33.08</v>
      </c>
      <c r="E8470" t="str">
        <f t="shared" si="300"/>
        <v>WEEKDAY</v>
      </c>
      <c r="F8470" t="e">
        <f t="shared" si="299"/>
        <v>#N/A</v>
      </c>
      <c r="G8470" s="74">
        <v>28478</v>
      </c>
      <c r="H8470" s="77">
        <v>0.16666666666666666</v>
      </c>
      <c r="J8470">
        <v>37.94</v>
      </c>
      <c r="M8470" s="74">
        <v>36879</v>
      </c>
      <c r="N8470" s="77">
        <v>0.16666666666666666</v>
      </c>
      <c r="P8470">
        <v>23.9</v>
      </c>
      <c r="S8470" s="74">
        <v>35783</v>
      </c>
      <c r="T8470" s="77">
        <v>0.16666666666666666</v>
      </c>
      <c r="V8470">
        <v>37.04</v>
      </c>
      <c r="X8470" s="42"/>
      <c r="AB8470">
        <v>36.1</v>
      </c>
      <c r="AC8470">
        <v>37.4</v>
      </c>
      <c r="AE8470" s="74"/>
      <c r="AF8470" s="77"/>
      <c r="AH8470" s="497">
        <v>26.6</v>
      </c>
      <c r="AJ8470" s="42"/>
      <c r="AK8470" s="74"/>
      <c r="AL8470" s="77"/>
      <c r="AN8470" s="497">
        <v>8.9599999999999973</v>
      </c>
      <c r="AP8470" s="42"/>
      <c r="AQ8470" s="74"/>
      <c r="AR8470" s="77"/>
      <c r="AT8470" s="497">
        <v>15.079999999999998</v>
      </c>
      <c r="AV8470" s="42"/>
      <c r="AW8470" s="74"/>
      <c r="AX8470" s="77"/>
      <c r="BA8470" s="497">
        <v>30.92</v>
      </c>
      <c r="BB8470" s="42"/>
      <c r="BC8470" s="74"/>
      <c r="BD8470" s="77"/>
      <c r="BF8470">
        <v>35.06</v>
      </c>
      <c r="BH8470" s="42"/>
      <c r="BI8470" s="74"/>
      <c r="BJ8470" s="77"/>
      <c r="BL8470" s="497">
        <v>33.08</v>
      </c>
      <c r="BN8470" s="42"/>
      <c r="BO8470" s="74"/>
      <c r="BP8470" s="77"/>
      <c r="BR8470" s="497">
        <v>3.9200000000000017</v>
      </c>
      <c r="BT8470" s="42"/>
    </row>
    <row r="8471" spans="1:72" x14ac:dyDescent="0.25">
      <c r="A8471" s="90">
        <v>35783</v>
      </c>
      <c r="B8471" s="20">
        <v>0.20833333333333334</v>
      </c>
      <c r="D8471">
        <v>32</v>
      </c>
      <c r="E8471" t="str">
        <f t="shared" si="300"/>
        <v>WEEKDAY</v>
      </c>
      <c r="F8471" t="e">
        <f t="shared" si="299"/>
        <v>#N/A</v>
      </c>
      <c r="G8471" s="74">
        <v>28478</v>
      </c>
      <c r="H8471" s="77">
        <v>0.20833333333333334</v>
      </c>
      <c r="J8471">
        <v>37.94</v>
      </c>
      <c r="M8471" s="74">
        <v>36879</v>
      </c>
      <c r="N8471" s="77">
        <v>0.20833333333333334</v>
      </c>
      <c r="P8471">
        <v>24.8</v>
      </c>
      <c r="S8471" s="74">
        <v>35783</v>
      </c>
      <c r="T8471" s="77">
        <v>0.20833333333333334</v>
      </c>
      <c r="V8471">
        <v>37.94</v>
      </c>
      <c r="X8471" s="42"/>
      <c r="AB8471">
        <v>35.799999999999997</v>
      </c>
      <c r="AC8471">
        <v>37.4</v>
      </c>
      <c r="AE8471" s="74"/>
      <c r="AF8471" s="77"/>
      <c r="AH8471" s="497">
        <v>26.6</v>
      </c>
      <c r="AJ8471" s="42"/>
      <c r="AK8471" s="74"/>
      <c r="AL8471" s="77"/>
      <c r="AN8471" s="497">
        <v>8.0599999999999987</v>
      </c>
      <c r="AP8471" s="42"/>
      <c r="AQ8471" s="74"/>
      <c r="AR8471" s="77"/>
      <c r="AT8471" s="497">
        <v>15.079999999999998</v>
      </c>
      <c r="AV8471" s="42"/>
      <c r="AW8471" s="74"/>
      <c r="AX8471" s="77"/>
      <c r="BA8471" s="497">
        <v>30.92</v>
      </c>
      <c r="BB8471" s="42"/>
      <c r="BC8471" s="74"/>
      <c r="BD8471" s="77"/>
      <c r="BF8471">
        <v>35.06</v>
      </c>
      <c r="BH8471" s="42"/>
      <c r="BI8471" s="74"/>
      <c r="BJ8471" s="77"/>
      <c r="BL8471" s="497">
        <v>33.08</v>
      </c>
      <c r="BN8471" s="42"/>
      <c r="BO8471" s="74"/>
      <c r="BP8471" s="77"/>
      <c r="BR8471" s="497">
        <v>3.9200000000000017</v>
      </c>
      <c r="BT8471" s="42"/>
    </row>
    <row r="8472" spans="1:72" x14ac:dyDescent="0.25">
      <c r="A8472" s="90">
        <v>35783</v>
      </c>
      <c r="B8472" s="20">
        <v>0.25</v>
      </c>
      <c r="D8472">
        <v>32</v>
      </c>
      <c r="E8472" t="str">
        <f t="shared" si="300"/>
        <v>WEEKDAY</v>
      </c>
      <c r="F8472" t="e">
        <f t="shared" si="299"/>
        <v>#N/A</v>
      </c>
      <c r="G8472" s="74">
        <v>28478</v>
      </c>
      <c r="H8472" s="77">
        <v>0.25</v>
      </c>
      <c r="J8472">
        <v>37.94</v>
      </c>
      <c r="M8472" s="74">
        <v>36879</v>
      </c>
      <c r="N8472" s="77">
        <v>0.25</v>
      </c>
      <c r="P8472">
        <v>24.8</v>
      </c>
      <c r="S8472" s="74">
        <v>35783</v>
      </c>
      <c r="T8472" s="77">
        <v>0.25</v>
      </c>
      <c r="V8472">
        <v>37.94</v>
      </c>
      <c r="X8472" s="42"/>
      <c r="AB8472">
        <v>35.6</v>
      </c>
      <c r="AC8472">
        <v>37.4</v>
      </c>
      <c r="AE8472" s="74"/>
      <c r="AF8472" s="77"/>
      <c r="AH8472" s="497">
        <v>28.4</v>
      </c>
      <c r="AJ8472" s="42"/>
      <c r="AK8472" s="74"/>
      <c r="AL8472" s="77"/>
      <c r="AN8472" s="497">
        <v>8.9599999999999973</v>
      </c>
      <c r="AP8472" s="42"/>
      <c r="AQ8472" s="74"/>
      <c r="AR8472" s="77"/>
      <c r="AT8472" s="497">
        <v>15.079999999999998</v>
      </c>
      <c r="AV8472" s="42"/>
      <c r="AW8472" s="74"/>
      <c r="AX8472" s="77"/>
      <c r="BA8472" s="497">
        <v>30.92</v>
      </c>
      <c r="BB8472" s="42"/>
      <c r="BC8472" s="74"/>
      <c r="BD8472" s="77"/>
      <c r="BF8472">
        <v>35.06</v>
      </c>
      <c r="BH8472" s="42"/>
      <c r="BI8472" s="74"/>
      <c r="BJ8472" s="77"/>
      <c r="BL8472" s="497">
        <v>33.08</v>
      </c>
      <c r="BN8472" s="42"/>
      <c r="BO8472" s="74"/>
      <c r="BP8472" s="77"/>
      <c r="BR8472" s="497">
        <v>3.9200000000000017</v>
      </c>
      <c r="BT8472" s="42"/>
    </row>
    <row r="8473" spans="1:72" x14ac:dyDescent="0.25">
      <c r="A8473" s="90">
        <v>35783</v>
      </c>
      <c r="B8473" s="20">
        <v>0.29166666666666669</v>
      </c>
      <c r="D8473">
        <v>32</v>
      </c>
      <c r="E8473" t="str">
        <f t="shared" si="300"/>
        <v>WEEKDAY</v>
      </c>
      <c r="F8473" t="e">
        <f t="shared" si="299"/>
        <v>#N/A</v>
      </c>
      <c r="G8473" s="74">
        <v>28478</v>
      </c>
      <c r="H8473" s="77">
        <v>0.29166666666666669</v>
      </c>
      <c r="J8473">
        <v>39.019999999999996</v>
      </c>
      <c r="M8473" s="74">
        <v>36879</v>
      </c>
      <c r="N8473" s="77">
        <v>0.29166666666666669</v>
      </c>
      <c r="P8473">
        <v>24.8</v>
      </c>
      <c r="S8473" s="74">
        <v>35783</v>
      </c>
      <c r="T8473" s="77">
        <v>0.29166666666666669</v>
      </c>
      <c r="V8473">
        <v>37.94</v>
      </c>
      <c r="X8473" s="42"/>
      <c r="AB8473">
        <v>35.6</v>
      </c>
      <c r="AC8473">
        <v>39.200000000000003</v>
      </c>
      <c r="AE8473" s="74"/>
      <c r="AF8473" s="77"/>
      <c r="AH8473" s="497">
        <v>28.4</v>
      </c>
      <c r="AJ8473" s="42"/>
      <c r="AK8473" s="74"/>
      <c r="AL8473" s="77"/>
      <c r="AN8473" s="497">
        <v>8.9599999999999973</v>
      </c>
      <c r="AP8473" s="42"/>
      <c r="AQ8473" s="74"/>
      <c r="AR8473" s="77"/>
      <c r="AT8473" s="497">
        <v>15.079999999999998</v>
      </c>
      <c r="AV8473" s="42"/>
      <c r="AW8473" s="74"/>
      <c r="AX8473" s="77"/>
      <c r="BA8473" s="497">
        <v>30.92</v>
      </c>
      <c r="BB8473" s="42"/>
      <c r="BC8473" s="74"/>
      <c r="BD8473" s="77"/>
      <c r="BF8473">
        <v>33.979999999999997</v>
      </c>
      <c r="BH8473" s="42"/>
      <c r="BI8473" s="74"/>
      <c r="BJ8473" s="77"/>
      <c r="BL8473" s="497">
        <v>33.08</v>
      </c>
      <c r="BN8473" s="42"/>
      <c r="BO8473" s="74"/>
      <c r="BP8473" s="77"/>
      <c r="BR8473" s="497">
        <v>5</v>
      </c>
      <c r="BT8473" s="42"/>
    </row>
    <row r="8474" spans="1:72" x14ac:dyDescent="0.25">
      <c r="A8474" s="90">
        <v>35783</v>
      </c>
      <c r="B8474" s="20">
        <v>0.33333333333333331</v>
      </c>
      <c r="D8474">
        <v>30.92</v>
      </c>
      <c r="E8474" t="str">
        <f t="shared" si="300"/>
        <v>WEEKDAY</v>
      </c>
      <c r="F8474" t="e">
        <f t="shared" si="299"/>
        <v>#N/A</v>
      </c>
      <c r="G8474" s="74">
        <v>28478</v>
      </c>
      <c r="H8474" s="77">
        <v>0.33333333333333331</v>
      </c>
      <c r="J8474">
        <v>39.019999999999996</v>
      </c>
      <c r="M8474" s="74">
        <v>36879</v>
      </c>
      <c r="N8474" s="77">
        <v>0.33333333333333331</v>
      </c>
      <c r="P8474">
        <v>26.6</v>
      </c>
      <c r="S8474" s="74">
        <v>35783</v>
      </c>
      <c r="T8474" s="77">
        <v>0.33333333333333331</v>
      </c>
      <c r="V8474">
        <v>37.94</v>
      </c>
      <c r="X8474" s="42"/>
      <c r="AB8474">
        <v>35.6</v>
      </c>
      <c r="AC8474">
        <v>41</v>
      </c>
      <c r="AE8474" s="74"/>
      <c r="AF8474" s="77"/>
      <c r="AH8474" s="497">
        <v>30.2</v>
      </c>
      <c r="AJ8474" s="42"/>
      <c r="AK8474" s="74"/>
      <c r="AL8474" s="77"/>
      <c r="AN8474" s="497">
        <v>10.039999999999999</v>
      </c>
      <c r="AP8474" s="42"/>
      <c r="AQ8474" s="74"/>
      <c r="AR8474" s="77"/>
      <c r="AT8474" s="497">
        <v>16.340000000000003</v>
      </c>
      <c r="AV8474" s="42"/>
      <c r="AW8474" s="74"/>
      <c r="AX8474" s="77"/>
      <c r="BA8474" s="497">
        <v>31.64</v>
      </c>
      <c r="BB8474" s="42"/>
      <c r="BC8474" s="74"/>
      <c r="BD8474" s="77"/>
      <c r="BF8474">
        <v>33.08</v>
      </c>
      <c r="BH8474" s="42"/>
      <c r="BI8474" s="74"/>
      <c r="BJ8474" s="77"/>
      <c r="BL8474" s="497">
        <v>33.979999999999997</v>
      </c>
      <c r="BN8474" s="42"/>
      <c r="BO8474" s="74"/>
      <c r="BP8474" s="77"/>
      <c r="BR8474" s="497">
        <v>5</v>
      </c>
      <c r="BT8474" s="42"/>
    </row>
    <row r="8475" spans="1:72" x14ac:dyDescent="0.25">
      <c r="A8475" s="90">
        <v>35783</v>
      </c>
      <c r="B8475" s="20">
        <v>0.375</v>
      </c>
      <c r="D8475">
        <v>32</v>
      </c>
      <c r="E8475" t="str">
        <f t="shared" si="300"/>
        <v>WEEKDAY</v>
      </c>
      <c r="F8475" t="e">
        <f t="shared" si="299"/>
        <v>#N/A</v>
      </c>
      <c r="G8475" s="74">
        <v>28478</v>
      </c>
      <c r="H8475" s="77">
        <v>0.375</v>
      </c>
      <c r="J8475">
        <v>39.019999999999996</v>
      </c>
      <c r="M8475" s="74">
        <v>36879</v>
      </c>
      <c r="N8475" s="77">
        <v>0.375</v>
      </c>
      <c r="P8475">
        <v>28.4</v>
      </c>
      <c r="S8475" s="74">
        <v>35783</v>
      </c>
      <c r="T8475" s="77">
        <v>0.375</v>
      </c>
      <c r="V8475">
        <v>42.08</v>
      </c>
      <c r="X8475" s="42"/>
      <c r="AB8475">
        <v>36</v>
      </c>
      <c r="AC8475">
        <v>44.6</v>
      </c>
      <c r="AE8475" s="74"/>
      <c r="AF8475" s="77"/>
      <c r="AH8475" s="497">
        <v>32</v>
      </c>
      <c r="AJ8475" s="42"/>
      <c r="AK8475" s="74"/>
      <c r="AL8475" s="77"/>
      <c r="AN8475" s="497">
        <v>10.940000000000001</v>
      </c>
      <c r="AP8475" s="42"/>
      <c r="AQ8475" s="74"/>
      <c r="AR8475" s="77"/>
      <c r="AT8475" s="497">
        <v>17.78</v>
      </c>
      <c r="AV8475" s="42"/>
      <c r="AW8475" s="74"/>
      <c r="AX8475" s="77"/>
      <c r="BA8475" s="497">
        <v>32.36</v>
      </c>
      <c r="BB8475" s="42"/>
      <c r="BC8475" s="74"/>
      <c r="BD8475" s="77"/>
      <c r="BF8475">
        <v>33.08</v>
      </c>
      <c r="BH8475" s="42"/>
      <c r="BI8475" s="74"/>
      <c r="BJ8475" s="77"/>
      <c r="BL8475" s="497">
        <v>33.979999999999997</v>
      </c>
      <c r="BN8475" s="42"/>
      <c r="BO8475" s="74"/>
      <c r="BP8475" s="77"/>
      <c r="BR8475" s="497">
        <v>6.0799999999999983</v>
      </c>
      <c r="BT8475" s="42"/>
    </row>
    <row r="8476" spans="1:72" x14ac:dyDescent="0.25">
      <c r="A8476" s="90">
        <v>35783</v>
      </c>
      <c r="B8476" s="20">
        <v>0.41666666666666669</v>
      </c>
      <c r="D8476">
        <v>32</v>
      </c>
      <c r="E8476" t="str">
        <f t="shared" si="300"/>
        <v>WEEKDAY</v>
      </c>
      <c r="F8476" t="e">
        <f t="shared" si="299"/>
        <v>#N/A</v>
      </c>
      <c r="G8476" s="74">
        <v>28478</v>
      </c>
      <c r="H8476" s="77">
        <v>0.41666666666666669</v>
      </c>
      <c r="J8476">
        <v>39.92</v>
      </c>
      <c r="M8476" s="74">
        <v>36879</v>
      </c>
      <c r="N8476" s="77">
        <v>0.41666666666666669</v>
      </c>
      <c r="P8476">
        <v>30.2</v>
      </c>
      <c r="S8476" s="74">
        <v>35783</v>
      </c>
      <c r="T8476" s="77">
        <v>0.41666666666666669</v>
      </c>
      <c r="V8476">
        <v>42.980000000000004</v>
      </c>
      <c r="X8476" s="42"/>
      <c r="AB8476">
        <v>37.4</v>
      </c>
      <c r="AC8476">
        <v>46.4</v>
      </c>
      <c r="AE8476" s="74"/>
      <c r="AF8476" s="77"/>
      <c r="AH8476" s="497">
        <v>33.799999999999997</v>
      </c>
      <c r="AJ8476" s="42"/>
      <c r="AK8476" s="74"/>
      <c r="AL8476" s="77"/>
      <c r="AN8476" s="497">
        <v>14</v>
      </c>
      <c r="AP8476" s="42"/>
      <c r="AQ8476" s="74"/>
      <c r="AR8476" s="77"/>
      <c r="AT8476" s="497">
        <v>19.04</v>
      </c>
      <c r="AV8476" s="42"/>
      <c r="AW8476" s="74"/>
      <c r="AX8476" s="77"/>
      <c r="BA8476" s="497">
        <v>33.08</v>
      </c>
      <c r="BB8476" s="42"/>
      <c r="BC8476" s="74"/>
      <c r="BD8476" s="77"/>
      <c r="BF8476">
        <v>33.08</v>
      </c>
      <c r="BH8476" s="42"/>
      <c r="BI8476" s="74"/>
      <c r="BJ8476" s="77"/>
      <c r="BL8476" s="497">
        <v>33.979999999999997</v>
      </c>
      <c r="BN8476" s="42"/>
      <c r="BO8476" s="74"/>
      <c r="BP8476" s="77"/>
      <c r="BR8476" s="497">
        <v>8.0599999999999987</v>
      </c>
      <c r="BT8476" s="42"/>
    </row>
    <row r="8477" spans="1:72" x14ac:dyDescent="0.25">
      <c r="A8477" s="90">
        <v>35783</v>
      </c>
      <c r="B8477" s="20">
        <v>0.45833333333333331</v>
      </c>
      <c r="D8477">
        <v>33.08</v>
      </c>
      <c r="E8477" t="str">
        <f t="shared" si="300"/>
        <v>WEEKDAY</v>
      </c>
      <c r="F8477" t="e">
        <f t="shared" si="299"/>
        <v>#N/A</v>
      </c>
      <c r="G8477" s="74">
        <v>28478</v>
      </c>
      <c r="H8477" s="77">
        <v>0.45833333333333331</v>
      </c>
      <c r="J8477">
        <v>39.019999999999996</v>
      </c>
      <c r="M8477" s="74">
        <v>36879</v>
      </c>
      <c r="N8477" s="77">
        <v>0.45833333333333331</v>
      </c>
      <c r="P8477">
        <v>33.799999999999997</v>
      </c>
      <c r="S8477" s="74">
        <v>35783</v>
      </c>
      <c r="T8477" s="77">
        <v>0.45833333333333331</v>
      </c>
      <c r="V8477">
        <v>46.04</v>
      </c>
      <c r="X8477" s="42"/>
      <c r="AB8477">
        <v>38.700000000000003</v>
      </c>
      <c r="AC8477">
        <v>51.8</v>
      </c>
      <c r="AE8477" s="74"/>
      <c r="AF8477" s="77"/>
      <c r="AH8477" s="497">
        <v>37.4</v>
      </c>
      <c r="AJ8477" s="42"/>
      <c r="AK8477" s="74"/>
      <c r="AL8477" s="77"/>
      <c r="AN8477" s="497">
        <v>15.98</v>
      </c>
      <c r="AP8477" s="42"/>
      <c r="AQ8477" s="74"/>
      <c r="AR8477" s="77"/>
      <c r="AT8477" s="497">
        <v>20.66</v>
      </c>
      <c r="AV8477" s="42"/>
      <c r="AW8477" s="74"/>
      <c r="AX8477" s="77"/>
      <c r="BA8477" s="497">
        <v>33.799999999999997</v>
      </c>
      <c r="BB8477" s="42"/>
      <c r="BC8477" s="74"/>
      <c r="BD8477" s="77"/>
      <c r="BF8477">
        <v>33.08</v>
      </c>
      <c r="BH8477" s="42"/>
      <c r="BI8477" s="74"/>
      <c r="BJ8477" s="77"/>
      <c r="BL8477" s="497">
        <v>33.979999999999997</v>
      </c>
      <c r="BN8477" s="42"/>
      <c r="BO8477" s="74"/>
      <c r="BP8477" s="77"/>
      <c r="BR8477" s="497">
        <v>10.039999999999999</v>
      </c>
      <c r="BT8477" s="42"/>
    </row>
    <row r="8478" spans="1:72" x14ac:dyDescent="0.25">
      <c r="A8478" s="90">
        <v>35783</v>
      </c>
      <c r="B8478" s="20">
        <v>0.5</v>
      </c>
      <c r="D8478">
        <v>33.979999999999997</v>
      </c>
      <c r="E8478" t="str">
        <f t="shared" si="300"/>
        <v>WEEKDAY</v>
      </c>
      <c r="F8478" t="e">
        <f t="shared" si="299"/>
        <v>#N/A</v>
      </c>
      <c r="G8478" s="74">
        <v>28478</v>
      </c>
      <c r="H8478" s="77">
        <v>0.5</v>
      </c>
      <c r="J8478">
        <v>39.92</v>
      </c>
      <c r="M8478" s="74">
        <v>36879</v>
      </c>
      <c r="N8478" s="77">
        <v>0.5</v>
      </c>
      <c r="P8478">
        <v>33.799999999999997</v>
      </c>
      <c r="S8478" s="74">
        <v>35783</v>
      </c>
      <c r="T8478" s="77">
        <v>0.5</v>
      </c>
      <c r="V8478">
        <v>48.019999999999996</v>
      </c>
      <c r="X8478" s="42"/>
      <c r="AB8478">
        <v>39.9</v>
      </c>
      <c r="AC8478">
        <v>53.6</v>
      </c>
      <c r="AE8478" s="74"/>
      <c r="AF8478" s="77"/>
      <c r="AH8478" s="497">
        <v>37.4</v>
      </c>
      <c r="AJ8478" s="42"/>
      <c r="AK8478" s="74"/>
      <c r="AL8478" s="77"/>
      <c r="AN8478" s="497">
        <v>17.96</v>
      </c>
      <c r="AP8478" s="42"/>
      <c r="AQ8478" s="74"/>
      <c r="AR8478" s="77"/>
      <c r="AT8478" s="497">
        <v>22.46</v>
      </c>
      <c r="AV8478" s="42"/>
      <c r="AW8478" s="74"/>
      <c r="AX8478" s="77"/>
      <c r="BA8478" s="497">
        <v>34.340000000000003</v>
      </c>
      <c r="BB8478" s="42"/>
      <c r="BC8478" s="74"/>
      <c r="BD8478" s="77"/>
      <c r="BF8478">
        <v>33.08</v>
      </c>
      <c r="BH8478" s="42"/>
      <c r="BI8478" s="74"/>
      <c r="BJ8478" s="77"/>
      <c r="BL8478" s="497">
        <v>33.979999999999997</v>
      </c>
      <c r="BN8478" s="42"/>
      <c r="BO8478" s="74"/>
      <c r="BP8478" s="77"/>
      <c r="BR8478" s="497">
        <v>12.02</v>
      </c>
      <c r="BT8478" s="42"/>
    </row>
    <row r="8479" spans="1:72" x14ac:dyDescent="0.25">
      <c r="A8479" s="90">
        <v>35783</v>
      </c>
      <c r="B8479" s="20">
        <v>0.54166666666666663</v>
      </c>
      <c r="D8479">
        <v>33.979999999999997</v>
      </c>
      <c r="E8479" t="str">
        <f t="shared" si="300"/>
        <v>WEEKDAY</v>
      </c>
      <c r="F8479" t="e">
        <f t="shared" si="299"/>
        <v>#N/A</v>
      </c>
      <c r="G8479" s="74">
        <v>28478</v>
      </c>
      <c r="H8479" s="77">
        <v>0.54166666666666663</v>
      </c>
      <c r="J8479">
        <v>39.92</v>
      </c>
      <c r="M8479" s="74">
        <v>36879</v>
      </c>
      <c r="N8479" s="77">
        <v>0.54166666666666663</v>
      </c>
      <c r="P8479">
        <v>35.6</v>
      </c>
      <c r="S8479" s="74">
        <v>35783</v>
      </c>
      <c r="T8479" s="77">
        <v>0.54166666666666663</v>
      </c>
      <c r="V8479">
        <v>50</v>
      </c>
      <c r="X8479" s="42"/>
      <c r="AB8479">
        <v>40.9</v>
      </c>
      <c r="AC8479">
        <v>53.6</v>
      </c>
      <c r="AE8479" s="74"/>
      <c r="AF8479" s="77"/>
      <c r="AH8479" s="497">
        <v>37.4</v>
      </c>
      <c r="AJ8479" s="42"/>
      <c r="AK8479" s="74"/>
      <c r="AL8479" s="77"/>
      <c r="AN8479" s="497">
        <v>17.96</v>
      </c>
      <c r="AP8479" s="42"/>
      <c r="AQ8479" s="74"/>
      <c r="AR8479" s="77"/>
      <c r="AT8479" s="497">
        <v>24.08</v>
      </c>
      <c r="AV8479" s="42"/>
      <c r="AW8479" s="74"/>
      <c r="AX8479" s="77"/>
      <c r="BA8479" s="497">
        <v>35.06</v>
      </c>
      <c r="BB8479" s="42"/>
      <c r="BC8479" s="74"/>
      <c r="BD8479" s="77"/>
      <c r="BF8479">
        <v>35.06</v>
      </c>
      <c r="BH8479" s="42"/>
      <c r="BI8479" s="74"/>
      <c r="BJ8479" s="77"/>
      <c r="BL8479" s="497">
        <v>35.06</v>
      </c>
      <c r="BN8479" s="42"/>
      <c r="BO8479" s="74"/>
      <c r="BP8479" s="77"/>
      <c r="BR8479" s="497">
        <v>14</v>
      </c>
      <c r="BT8479" s="42"/>
    </row>
    <row r="8480" spans="1:72" x14ac:dyDescent="0.25">
      <c r="A8480" s="90">
        <v>35783</v>
      </c>
      <c r="B8480" s="20">
        <v>0.58333333333333337</v>
      </c>
      <c r="D8480">
        <v>33.979999999999997</v>
      </c>
      <c r="E8480" t="str">
        <f t="shared" si="300"/>
        <v>WEEKDAY</v>
      </c>
      <c r="F8480" t="e">
        <f t="shared" si="299"/>
        <v>#N/A</v>
      </c>
      <c r="G8480" s="74">
        <v>28478</v>
      </c>
      <c r="H8480" s="77">
        <v>0.58333333333333337</v>
      </c>
      <c r="J8480">
        <v>39.92</v>
      </c>
      <c r="M8480" s="74">
        <v>36879</v>
      </c>
      <c r="N8480" s="77">
        <v>0.58333333333333337</v>
      </c>
      <c r="P8480">
        <v>35.6</v>
      </c>
      <c r="S8480" s="74">
        <v>35783</v>
      </c>
      <c r="T8480" s="77">
        <v>0.58333333333333337</v>
      </c>
      <c r="V8480">
        <v>51.08</v>
      </c>
      <c r="X8480" s="42"/>
      <c r="AB8480">
        <v>41.6</v>
      </c>
      <c r="AC8480">
        <v>51.8</v>
      </c>
      <c r="AE8480" s="74"/>
      <c r="AF8480" s="77"/>
      <c r="AH8480" s="497">
        <v>39.200000000000003</v>
      </c>
      <c r="AJ8480" s="42"/>
      <c r="AK8480" s="74"/>
      <c r="AL8480" s="77"/>
      <c r="AN8480" s="497">
        <v>17.96</v>
      </c>
      <c r="AP8480" s="42"/>
      <c r="AQ8480" s="74"/>
      <c r="AR8480" s="77"/>
      <c r="AT8480" s="497">
        <v>23.72</v>
      </c>
      <c r="AV8480" s="42"/>
      <c r="AW8480" s="74"/>
      <c r="AX8480" s="77"/>
      <c r="BA8480" s="497">
        <v>35.06</v>
      </c>
      <c r="BB8480" s="42"/>
      <c r="BC8480" s="74"/>
      <c r="BD8480" s="77"/>
      <c r="BF8480">
        <v>35.06</v>
      </c>
      <c r="BH8480" s="42"/>
      <c r="BI8480" s="74"/>
      <c r="BJ8480" s="77"/>
      <c r="BL8480" s="497">
        <v>35.06</v>
      </c>
      <c r="BN8480" s="42"/>
      <c r="BO8480" s="74"/>
      <c r="BP8480" s="77"/>
      <c r="BR8480" s="497">
        <v>15.079999999999998</v>
      </c>
      <c r="BT8480" s="42"/>
    </row>
    <row r="8481" spans="1:72" x14ac:dyDescent="0.25">
      <c r="A8481" s="90">
        <v>35783</v>
      </c>
      <c r="B8481" s="20">
        <v>0.625</v>
      </c>
      <c r="D8481">
        <v>35.06</v>
      </c>
      <c r="E8481" t="str">
        <f t="shared" si="300"/>
        <v>WEEKDAY</v>
      </c>
      <c r="F8481" t="e">
        <f t="shared" si="299"/>
        <v>#N/A</v>
      </c>
      <c r="G8481" s="74">
        <v>28478</v>
      </c>
      <c r="H8481" s="77">
        <v>0.625</v>
      </c>
      <c r="J8481">
        <v>39.92</v>
      </c>
      <c r="M8481" s="74">
        <v>36879</v>
      </c>
      <c r="N8481" s="77">
        <v>0.625</v>
      </c>
      <c r="P8481">
        <v>35.6</v>
      </c>
      <c r="S8481" s="74">
        <v>35783</v>
      </c>
      <c r="T8481" s="77">
        <v>0.625</v>
      </c>
      <c r="V8481">
        <v>50</v>
      </c>
      <c r="X8481" s="42"/>
      <c r="AB8481">
        <v>41.9</v>
      </c>
      <c r="AC8481">
        <v>51.8</v>
      </c>
      <c r="AE8481" s="74"/>
      <c r="AF8481" s="77"/>
      <c r="AH8481" s="497">
        <v>39.200000000000003</v>
      </c>
      <c r="AJ8481" s="42"/>
      <c r="AK8481" s="74"/>
      <c r="AL8481" s="77"/>
      <c r="AN8481" s="497">
        <v>17.96</v>
      </c>
      <c r="AP8481" s="42"/>
      <c r="AQ8481" s="74"/>
      <c r="AR8481" s="77"/>
      <c r="AT8481" s="497">
        <v>23.36</v>
      </c>
      <c r="AV8481" s="42"/>
      <c r="AW8481" s="74"/>
      <c r="AX8481" s="77"/>
      <c r="BA8481" s="497">
        <v>35.06</v>
      </c>
      <c r="BB8481" s="42"/>
      <c r="BC8481" s="74"/>
      <c r="BD8481" s="77"/>
      <c r="BF8481">
        <v>35.06</v>
      </c>
      <c r="BH8481" s="42"/>
      <c r="BI8481" s="74"/>
      <c r="BJ8481" s="77"/>
      <c r="BL8481" s="497">
        <v>35.06</v>
      </c>
      <c r="BN8481" s="42"/>
      <c r="BO8481" s="74"/>
      <c r="BP8481" s="77"/>
      <c r="BR8481" s="497">
        <v>15.98</v>
      </c>
      <c r="BT8481" s="42"/>
    </row>
    <row r="8482" spans="1:72" x14ac:dyDescent="0.25">
      <c r="A8482" s="90">
        <v>35783</v>
      </c>
      <c r="B8482" s="20">
        <v>0.66666666666666663</v>
      </c>
      <c r="D8482">
        <v>35.96</v>
      </c>
      <c r="E8482" t="str">
        <f t="shared" si="300"/>
        <v>WEEKDAY</v>
      </c>
      <c r="F8482" t="e">
        <f t="shared" si="299"/>
        <v>#N/A</v>
      </c>
      <c r="G8482" s="74">
        <v>28478</v>
      </c>
      <c r="H8482" s="77">
        <v>0.66666666666666663</v>
      </c>
      <c r="J8482">
        <v>39.019999999999996</v>
      </c>
      <c r="M8482" s="74">
        <v>36879</v>
      </c>
      <c r="N8482" s="77">
        <v>0.66666666666666663</v>
      </c>
      <c r="P8482">
        <v>37.4</v>
      </c>
      <c r="S8482" s="74">
        <v>35783</v>
      </c>
      <c r="T8482" s="77">
        <v>0.66666666666666663</v>
      </c>
      <c r="V8482">
        <v>48.92</v>
      </c>
      <c r="X8482" s="42"/>
      <c r="AB8482">
        <v>41.7</v>
      </c>
      <c r="AC8482">
        <v>51.8</v>
      </c>
      <c r="AE8482" s="74"/>
      <c r="AF8482" s="77"/>
      <c r="AH8482" s="497">
        <v>37.4</v>
      </c>
      <c r="AJ8482" s="42"/>
      <c r="AK8482" s="74"/>
      <c r="AL8482" s="77"/>
      <c r="AN8482" s="497">
        <v>17.96</v>
      </c>
      <c r="AP8482" s="42"/>
      <c r="AQ8482" s="74"/>
      <c r="AR8482" s="77"/>
      <c r="AT8482" s="497">
        <v>23</v>
      </c>
      <c r="AV8482" s="42"/>
      <c r="AW8482" s="74"/>
      <c r="AX8482" s="77"/>
      <c r="BA8482" s="497">
        <v>35.06</v>
      </c>
      <c r="BB8482" s="42"/>
      <c r="BC8482" s="74"/>
      <c r="BD8482" s="77"/>
      <c r="BF8482">
        <v>35.06</v>
      </c>
      <c r="BH8482" s="42"/>
      <c r="BI8482" s="74"/>
      <c r="BJ8482" s="77"/>
      <c r="BL8482" s="497">
        <v>35.06</v>
      </c>
      <c r="BN8482" s="42"/>
      <c r="BO8482" s="74"/>
      <c r="BP8482" s="77"/>
      <c r="BR8482" s="497">
        <v>15.079999999999998</v>
      </c>
      <c r="BT8482" s="42"/>
    </row>
    <row r="8483" spans="1:72" x14ac:dyDescent="0.25">
      <c r="A8483" s="90">
        <v>35783</v>
      </c>
      <c r="B8483" s="20">
        <v>0.70833333333333337</v>
      </c>
      <c r="D8483">
        <v>35.96</v>
      </c>
      <c r="E8483" t="str">
        <f t="shared" si="300"/>
        <v>WEEKDAY</v>
      </c>
      <c r="F8483" t="e">
        <f t="shared" si="299"/>
        <v>#N/A</v>
      </c>
      <c r="G8483" s="74">
        <v>28478</v>
      </c>
      <c r="H8483" s="77">
        <v>0.70833333333333337</v>
      </c>
      <c r="J8483">
        <v>41</v>
      </c>
      <c r="M8483" s="74">
        <v>36879</v>
      </c>
      <c r="N8483" s="77">
        <v>0.70833333333333337</v>
      </c>
      <c r="P8483">
        <v>35.6</v>
      </c>
      <c r="S8483" s="74">
        <v>35783</v>
      </c>
      <c r="T8483" s="77">
        <v>0.70833333333333337</v>
      </c>
      <c r="V8483">
        <v>48.92</v>
      </c>
      <c r="X8483" s="42"/>
      <c r="AB8483">
        <v>40.9</v>
      </c>
      <c r="AC8483">
        <v>48.2</v>
      </c>
      <c r="AE8483" s="74"/>
      <c r="AF8483" s="77"/>
      <c r="AH8483" s="497">
        <v>37.4</v>
      </c>
      <c r="AJ8483" s="42"/>
      <c r="AK8483" s="74"/>
      <c r="AL8483" s="77"/>
      <c r="AN8483" s="497">
        <v>17.059999999999999</v>
      </c>
      <c r="AP8483" s="42"/>
      <c r="AQ8483" s="74"/>
      <c r="AR8483" s="77"/>
      <c r="AT8483" s="497">
        <v>22.28</v>
      </c>
      <c r="AV8483" s="42"/>
      <c r="AW8483" s="74"/>
      <c r="AX8483" s="77"/>
      <c r="BA8483" s="497">
        <v>34.340000000000003</v>
      </c>
      <c r="BB8483" s="42"/>
      <c r="BC8483" s="74"/>
      <c r="BD8483" s="77"/>
      <c r="BF8483">
        <v>35.06</v>
      </c>
      <c r="BH8483" s="42"/>
      <c r="BI8483" s="74"/>
      <c r="BJ8483" s="77"/>
      <c r="BL8483" s="497">
        <v>35.06</v>
      </c>
      <c r="BN8483" s="42"/>
      <c r="BO8483" s="74"/>
      <c r="BP8483" s="77"/>
      <c r="BR8483" s="497">
        <v>15.079999999999998</v>
      </c>
      <c r="BT8483" s="42"/>
    </row>
    <row r="8484" spans="1:72" x14ac:dyDescent="0.25">
      <c r="A8484" s="90">
        <v>35783</v>
      </c>
      <c r="B8484" s="20">
        <v>0.75</v>
      </c>
      <c r="D8484">
        <v>35.96</v>
      </c>
      <c r="E8484" t="str">
        <f t="shared" si="300"/>
        <v>WEEKDAY</v>
      </c>
      <c r="F8484" t="e">
        <f t="shared" si="299"/>
        <v>#N/A</v>
      </c>
      <c r="G8484" s="74">
        <v>28478</v>
      </c>
      <c r="H8484" s="77">
        <v>0.75</v>
      </c>
      <c r="J8484">
        <v>41</v>
      </c>
      <c r="M8484" s="74">
        <v>36879</v>
      </c>
      <c r="N8484" s="77">
        <v>0.75</v>
      </c>
      <c r="P8484">
        <v>35.6</v>
      </c>
      <c r="S8484" s="74">
        <v>35783</v>
      </c>
      <c r="T8484" s="77">
        <v>0.75</v>
      </c>
      <c r="V8484">
        <v>48.019999999999996</v>
      </c>
      <c r="X8484" s="42"/>
      <c r="AB8484">
        <v>39.9</v>
      </c>
      <c r="AC8484">
        <v>48.2</v>
      </c>
      <c r="AE8484" s="74"/>
      <c r="AF8484" s="77"/>
      <c r="AH8484" s="497">
        <v>35.6</v>
      </c>
      <c r="AJ8484" s="42"/>
      <c r="AK8484" s="74"/>
      <c r="AL8484" s="77"/>
      <c r="AN8484" s="497">
        <v>15.079999999999998</v>
      </c>
      <c r="AP8484" s="42"/>
      <c r="AQ8484" s="74"/>
      <c r="AR8484" s="77"/>
      <c r="AT8484" s="497">
        <v>21.740000000000002</v>
      </c>
      <c r="AV8484" s="42"/>
      <c r="AW8484" s="74"/>
      <c r="AX8484" s="77"/>
      <c r="BA8484" s="497">
        <v>33.799999999999997</v>
      </c>
      <c r="BB8484" s="42"/>
      <c r="BC8484" s="74"/>
      <c r="BD8484" s="77"/>
      <c r="BF8484">
        <v>33.979999999999997</v>
      </c>
      <c r="BH8484" s="42"/>
      <c r="BI8484" s="74"/>
      <c r="BJ8484" s="77"/>
      <c r="BL8484" s="497">
        <v>35.06</v>
      </c>
      <c r="BN8484" s="42"/>
      <c r="BO8484" s="74"/>
      <c r="BP8484" s="77"/>
      <c r="BR8484" s="497">
        <v>14</v>
      </c>
      <c r="BT8484" s="42"/>
    </row>
    <row r="8485" spans="1:72" x14ac:dyDescent="0.25">
      <c r="A8485" s="90">
        <v>35783</v>
      </c>
      <c r="B8485" s="20">
        <v>0.79166666666666663</v>
      </c>
      <c r="D8485">
        <v>35.96</v>
      </c>
      <c r="E8485" t="str">
        <f t="shared" si="300"/>
        <v>WEEKDAY</v>
      </c>
      <c r="F8485" t="e">
        <f t="shared" si="299"/>
        <v>#N/A</v>
      </c>
      <c r="G8485" s="74">
        <v>28478</v>
      </c>
      <c r="H8485" s="77">
        <v>0.79166666666666663</v>
      </c>
      <c r="J8485">
        <v>42.08</v>
      </c>
      <c r="M8485" s="74">
        <v>36879</v>
      </c>
      <c r="N8485" s="77">
        <v>0.79166666666666663</v>
      </c>
      <c r="P8485">
        <v>35.6</v>
      </c>
      <c r="S8485" s="74">
        <v>35783</v>
      </c>
      <c r="T8485" s="77">
        <v>0.79166666666666663</v>
      </c>
      <c r="V8485">
        <v>48.92</v>
      </c>
      <c r="X8485" s="42"/>
      <c r="AB8485">
        <v>39.4</v>
      </c>
      <c r="AC8485">
        <v>46.4</v>
      </c>
      <c r="AE8485" s="74"/>
      <c r="AF8485" s="77"/>
      <c r="AH8485" s="497">
        <v>35.6</v>
      </c>
      <c r="AJ8485" s="42"/>
      <c r="AK8485" s="74"/>
      <c r="AL8485" s="77"/>
      <c r="AN8485" s="497">
        <v>15.98</v>
      </c>
      <c r="AP8485" s="42"/>
      <c r="AQ8485" s="74"/>
      <c r="AR8485" s="77"/>
      <c r="AT8485" s="497">
        <v>21.02</v>
      </c>
      <c r="AV8485" s="42"/>
      <c r="AW8485" s="74"/>
      <c r="AX8485" s="77"/>
      <c r="BA8485" s="497">
        <v>33.08</v>
      </c>
      <c r="BB8485" s="42"/>
      <c r="BC8485" s="74"/>
      <c r="BD8485" s="77"/>
      <c r="BF8485">
        <v>33.979999999999997</v>
      </c>
      <c r="BH8485" s="42"/>
      <c r="BI8485" s="74"/>
      <c r="BJ8485" s="77"/>
      <c r="BL8485" s="497">
        <v>35.06</v>
      </c>
      <c r="BN8485" s="42"/>
      <c r="BO8485" s="74"/>
      <c r="BP8485" s="77"/>
      <c r="BR8485" s="497">
        <v>15.079999999999998</v>
      </c>
      <c r="BT8485" s="42"/>
    </row>
    <row r="8486" spans="1:72" x14ac:dyDescent="0.25">
      <c r="A8486" s="90">
        <v>35783</v>
      </c>
      <c r="B8486" s="20">
        <v>0.83333333333333337</v>
      </c>
      <c r="D8486">
        <v>35.96</v>
      </c>
      <c r="E8486" t="str">
        <f t="shared" si="300"/>
        <v>WEEKDAY</v>
      </c>
      <c r="F8486" t="e">
        <f t="shared" si="299"/>
        <v>#N/A</v>
      </c>
      <c r="G8486" s="74">
        <v>28478</v>
      </c>
      <c r="H8486" s="77">
        <v>0.83333333333333337</v>
      </c>
      <c r="J8486">
        <v>39.92</v>
      </c>
      <c r="M8486" s="74">
        <v>36879</v>
      </c>
      <c r="N8486" s="77">
        <v>0.83333333333333337</v>
      </c>
      <c r="P8486">
        <v>35.6</v>
      </c>
      <c r="S8486" s="74">
        <v>35783</v>
      </c>
      <c r="T8486" s="77">
        <v>0.83333333333333337</v>
      </c>
      <c r="V8486">
        <v>44.96</v>
      </c>
      <c r="X8486" s="42"/>
      <c r="AB8486">
        <v>39.200000000000003</v>
      </c>
      <c r="AC8486">
        <v>46.4</v>
      </c>
      <c r="AE8486" s="74"/>
      <c r="AF8486" s="77"/>
      <c r="AH8486" s="497">
        <v>26.6</v>
      </c>
      <c r="AJ8486" s="42"/>
      <c r="AK8486" s="74"/>
      <c r="AL8486" s="77"/>
      <c r="AN8486" s="497">
        <v>15.079999999999998</v>
      </c>
      <c r="AP8486" s="42"/>
      <c r="AQ8486" s="74"/>
      <c r="AR8486" s="77"/>
      <c r="AT8486" s="497">
        <v>21.02</v>
      </c>
      <c r="AV8486" s="42"/>
      <c r="AW8486" s="74"/>
      <c r="AX8486" s="77"/>
      <c r="BA8486" s="497">
        <v>32.72</v>
      </c>
      <c r="BB8486" s="42"/>
      <c r="BC8486" s="74"/>
      <c r="BD8486" s="77"/>
      <c r="BF8486">
        <v>35.06</v>
      </c>
      <c r="BH8486" s="42"/>
      <c r="BI8486" s="74"/>
      <c r="BJ8486" s="77"/>
      <c r="BL8486" s="497">
        <v>35.06</v>
      </c>
      <c r="BN8486" s="42"/>
      <c r="BO8486" s="74"/>
      <c r="BP8486" s="77"/>
      <c r="BR8486" s="497">
        <v>15.079999999999998</v>
      </c>
      <c r="BT8486" s="42"/>
    </row>
    <row r="8487" spans="1:72" x14ac:dyDescent="0.25">
      <c r="A8487" s="90">
        <v>35783</v>
      </c>
      <c r="B8487" s="20">
        <v>0.875</v>
      </c>
      <c r="D8487">
        <v>35.06</v>
      </c>
      <c r="E8487" t="str">
        <f t="shared" si="300"/>
        <v>WEEKDAY</v>
      </c>
      <c r="F8487" t="e">
        <f t="shared" si="299"/>
        <v>#N/A</v>
      </c>
      <c r="G8487" s="74">
        <v>28478</v>
      </c>
      <c r="H8487" s="77">
        <v>0.875</v>
      </c>
      <c r="J8487">
        <v>41</v>
      </c>
      <c r="M8487" s="74">
        <v>36879</v>
      </c>
      <c r="N8487" s="77">
        <v>0.875</v>
      </c>
      <c r="P8487">
        <v>35.6</v>
      </c>
      <c r="S8487" s="74">
        <v>35783</v>
      </c>
      <c r="T8487" s="77">
        <v>0.875</v>
      </c>
      <c r="V8487">
        <v>46.94</v>
      </c>
      <c r="X8487" s="42"/>
      <c r="AB8487">
        <v>38.700000000000003</v>
      </c>
      <c r="AC8487">
        <v>42.8</v>
      </c>
      <c r="AE8487" s="74"/>
      <c r="AF8487" s="77"/>
      <c r="AH8487" s="497">
        <v>24.8</v>
      </c>
      <c r="AJ8487" s="42"/>
      <c r="AK8487" s="74"/>
      <c r="AL8487" s="77"/>
      <c r="AN8487" s="497">
        <v>14</v>
      </c>
      <c r="AP8487" s="42"/>
      <c r="AQ8487" s="74"/>
      <c r="AR8487" s="77"/>
      <c r="AT8487" s="497">
        <v>21.02</v>
      </c>
      <c r="AV8487" s="42"/>
      <c r="AW8487" s="74"/>
      <c r="AX8487" s="77"/>
      <c r="BA8487" s="497">
        <v>32.36</v>
      </c>
      <c r="BB8487" s="42"/>
      <c r="BC8487" s="74"/>
      <c r="BD8487" s="77"/>
      <c r="BF8487">
        <v>35.06</v>
      </c>
      <c r="BH8487" s="42"/>
      <c r="BI8487" s="74"/>
      <c r="BJ8487" s="77"/>
      <c r="BL8487" s="497">
        <v>35.06</v>
      </c>
      <c r="BN8487" s="42"/>
      <c r="BO8487" s="74"/>
      <c r="BP8487" s="77"/>
      <c r="BR8487" s="497">
        <v>14</v>
      </c>
      <c r="BT8487" s="42"/>
    </row>
    <row r="8488" spans="1:72" x14ac:dyDescent="0.25">
      <c r="A8488" s="90">
        <v>35783</v>
      </c>
      <c r="B8488" s="20">
        <v>0.91666666666666663</v>
      </c>
      <c r="D8488">
        <v>35.06</v>
      </c>
      <c r="E8488" t="str">
        <f t="shared" si="300"/>
        <v>WEEKDAY</v>
      </c>
      <c r="F8488" t="e">
        <f t="shared" si="299"/>
        <v>#N/A</v>
      </c>
      <c r="G8488" s="74">
        <v>28478</v>
      </c>
      <c r="H8488" s="77">
        <v>0.91666666666666663</v>
      </c>
      <c r="J8488">
        <v>41</v>
      </c>
      <c r="M8488" s="74">
        <v>36879</v>
      </c>
      <c r="N8488" s="77">
        <v>0.91666666666666663</v>
      </c>
      <c r="P8488">
        <v>35.6</v>
      </c>
      <c r="S8488" s="74">
        <v>35783</v>
      </c>
      <c r="T8488" s="77">
        <v>0.91666666666666663</v>
      </c>
      <c r="V8488">
        <v>42.08</v>
      </c>
      <c r="X8488" s="42"/>
      <c r="AB8488">
        <v>38.1</v>
      </c>
      <c r="AC8488">
        <v>42.8</v>
      </c>
      <c r="AE8488" s="74"/>
      <c r="AF8488" s="77"/>
      <c r="AH8488" s="497">
        <v>21.2</v>
      </c>
      <c r="AJ8488" s="42"/>
      <c r="AK8488" s="74"/>
      <c r="AL8488" s="77"/>
      <c r="AN8488" s="497">
        <v>14</v>
      </c>
      <c r="AP8488" s="42"/>
      <c r="AQ8488" s="74"/>
      <c r="AR8488" s="77"/>
      <c r="AT8488" s="497">
        <v>21.02</v>
      </c>
      <c r="AV8488" s="42"/>
      <c r="AW8488" s="74"/>
      <c r="AX8488" s="77"/>
      <c r="BA8488" s="497">
        <v>32</v>
      </c>
      <c r="BB8488" s="42"/>
      <c r="BC8488" s="74"/>
      <c r="BD8488" s="77"/>
      <c r="BF8488">
        <v>35.06</v>
      </c>
      <c r="BH8488" s="42"/>
      <c r="BI8488" s="74"/>
      <c r="BJ8488" s="77"/>
      <c r="BL8488" s="497">
        <v>35.06</v>
      </c>
      <c r="BN8488" s="42"/>
      <c r="BO8488" s="74"/>
      <c r="BP8488" s="77"/>
      <c r="BR8488" s="497">
        <v>10.940000000000001</v>
      </c>
      <c r="BT8488" s="42"/>
    </row>
    <row r="8489" spans="1:72" x14ac:dyDescent="0.25">
      <c r="A8489" s="90">
        <v>35783</v>
      </c>
      <c r="B8489" s="20">
        <v>0.95833333333333337</v>
      </c>
      <c r="D8489">
        <v>35.06</v>
      </c>
      <c r="E8489" t="str">
        <f t="shared" si="300"/>
        <v>WEEKDAY</v>
      </c>
      <c r="F8489" t="e">
        <f t="shared" si="299"/>
        <v>#N/A</v>
      </c>
      <c r="G8489" s="74">
        <v>28478</v>
      </c>
      <c r="H8489" s="77">
        <v>0.95833333333333337</v>
      </c>
      <c r="J8489">
        <v>39.92</v>
      </c>
      <c r="M8489" s="74">
        <v>36879</v>
      </c>
      <c r="N8489" s="77">
        <v>0.95833333333333337</v>
      </c>
      <c r="P8489">
        <v>35.6</v>
      </c>
      <c r="S8489" s="74">
        <v>35783</v>
      </c>
      <c r="T8489" s="77">
        <v>0.95833333333333337</v>
      </c>
      <c r="V8489">
        <v>39.92</v>
      </c>
      <c r="X8489" s="42"/>
      <c r="AB8489">
        <v>37.700000000000003</v>
      </c>
      <c r="AC8489">
        <v>39.200000000000003</v>
      </c>
      <c r="AE8489" s="74"/>
      <c r="AF8489" s="77"/>
      <c r="AH8489" s="497">
        <v>19.399999999999999</v>
      </c>
      <c r="AJ8489" s="42"/>
      <c r="AK8489" s="74"/>
      <c r="AL8489" s="77"/>
      <c r="AN8489" s="497">
        <v>12.920000000000002</v>
      </c>
      <c r="AP8489" s="42"/>
      <c r="AQ8489" s="74"/>
      <c r="AR8489" s="77"/>
      <c r="AT8489" s="497">
        <v>21.38</v>
      </c>
      <c r="AV8489" s="42"/>
      <c r="AW8489" s="74"/>
      <c r="AX8489" s="77"/>
      <c r="BA8489" s="497">
        <v>32</v>
      </c>
      <c r="BB8489" s="42"/>
      <c r="BC8489" s="74"/>
      <c r="BD8489" s="77"/>
      <c r="BF8489">
        <v>35.06</v>
      </c>
      <c r="BH8489" s="42"/>
      <c r="BI8489" s="74"/>
      <c r="BJ8489" s="77"/>
      <c r="BL8489" s="497">
        <v>35.06</v>
      </c>
      <c r="BN8489" s="42"/>
      <c r="BO8489" s="74"/>
      <c r="BP8489" s="77"/>
      <c r="BR8489" s="497">
        <v>10.039999999999999</v>
      </c>
      <c r="BT8489" s="42"/>
    </row>
    <row r="8490" spans="1:72" x14ac:dyDescent="0.25">
      <c r="A8490" s="90">
        <v>35783</v>
      </c>
      <c r="B8490" s="20">
        <v>1</v>
      </c>
      <c r="D8490">
        <v>35.06</v>
      </c>
      <c r="E8490" t="str">
        <f t="shared" si="300"/>
        <v>WEEKDAY</v>
      </c>
      <c r="F8490" t="e">
        <f t="shared" si="299"/>
        <v>#N/A</v>
      </c>
      <c r="G8490" s="74">
        <v>28478</v>
      </c>
      <c r="H8490" s="77">
        <v>1</v>
      </c>
      <c r="J8490">
        <v>41</v>
      </c>
      <c r="M8490" s="74">
        <v>36879</v>
      </c>
      <c r="N8490" s="80">
        <v>1</v>
      </c>
      <c r="P8490">
        <v>33.799999999999997</v>
      </c>
      <c r="S8490" s="74">
        <v>35783</v>
      </c>
      <c r="T8490" s="80">
        <v>1</v>
      </c>
      <c r="V8490">
        <v>42.08</v>
      </c>
      <c r="X8490" s="42"/>
      <c r="AB8490">
        <v>37.299999999999997</v>
      </c>
      <c r="AC8490">
        <v>37.4</v>
      </c>
      <c r="AE8490" s="74"/>
      <c r="AF8490" s="80"/>
      <c r="AH8490" s="497">
        <v>17.96</v>
      </c>
      <c r="AJ8490" s="42"/>
      <c r="AK8490" s="74"/>
      <c r="AL8490" s="80"/>
      <c r="AN8490" s="497">
        <v>14</v>
      </c>
      <c r="AP8490" s="42"/>
      <c r="AQ8490" s="74"/>
      <c r="AR8490" s="80"/>
      <c r="AT8490" s="497">
        <v>21.560000000000002</v>
      </c>
      <c r="AV8490" s="42"/>
      <c r="AW8490" s="74"/>
      <c r="AX8490" s="80"/>
      <c r="BA8490" s="497">
        <v>32</v>
      </c>
      <c r="BB8490" s="42"/>
      <c r="BC8490" s="74"/>
      <c r="BD8490" s="80"/>
      <c r="BF8490">
        <v>33.08</v>
      </c>
      <c r="BH8490" s="42"/>
      <c r="BI8490" s="74"/>
      <c r="BJ8490" s="80"/>
      <c r="BL8490" s="497">
        <v>35.06</v>
      </c>
      <c r="BN8490" s="42"/>
      <c r="BO8490" s="74"/>
      <c r="BP8490" s="80"/>
      <c r="BR8490" s="497">
        <v>8.9599999999999973</v>
      </c>
      <c r="BT8490" s="42"/>
    </row>
    <row r="8491" spans="1:72" x14ac:dyDescent="0.25">
      <c r="A8491" s="90">
        <v>35784</v>
      </c>
      <c r="B8491" s="20">
        <v>4.1666666666666664E-2</v>
      </c>
      <c r="D8491">
        <v>35.06</v>
      </c>
      <c r="E8491" t="str">
        <f t="shared" si="300"/>
        <v>SATURDAY</v>
      </c>
      <c r="F8491" t="e">
        <f t="shared" ref="F8491:F8554" si="301">IF(E8491="WEEKDAY",VLOOKUP(B8491,$DD$19:$DG$42,2),IF(E8491="SATURDAY",VLOOKUP(B8491,$DD$19:$DG$42,3),VLOOKUP(B8491,$DD$19:$DG$42,4)))</f>
        <v>#N/A</v>
      </c>
      <c r="G8491" s="74">
        <v>28479</v>
      </c>
      <c r="H8491" s="77">
        <v>4.1666666666666664E-2</v>
      </c>
      <c r="J8491">
        <v>39.92</v>
      </c>
      <c r="M8491" s="74">
        <v>36880</v>
      </c>
      <c r="N8491" s="77">
        <v>4.1666666666666664E-2</v>
      </c>
      <c r="P8491">
        <v>33.799999999999997</v>
      </c>
      <c r="S8491" s="74">
        <v>35784</v>
      </c>
      <c r="T8491" s="77">
        <v>4.1666666666666664E-2</v>
      </c>
      <c r="V8491">
        <v>41</v>
      </c>
      <c r="X8491" s="42"/>
      <c r="AB8491">
        <v>36.9</v>
      </c>
      <c r="AC8491">
        <v>39.200000000000003</v>
      </c>
      <c r="AE8491" s="74"/>
      <c r="AF8491" s="77"/>
      <c r="AH8491" s="497">
        <v>17.600000000000001</v>
      </c>
      <c r="AJ8491" s="42"/>
      <c r="AK8491" s="74"/>
      <c r="AL8491" s="77"/>
      <c r="AN8491" s="497">
        <v>15.079999999999998</v>
      </c>
      <c r="AP8491" s="42"/>
      <c r="AQ8491" s="74"/>
      <c r="AR8491" s="77"/>
      <c r="AT8491" s="497">
        <v>21.92</v>
      </c>
      <c r="AV8491" s="42"/>
      <c r="AW8491" s="74"/>
      <c r="AX8491" s="77"/>
      <c r="BA8491" s="497">
        <v>32</v>
      </c>
      <c r="BB8491" s="42"/>
      <c r="BC8491" s="74"/>
      <c r="BD8491" s="77"/>
      <c r="BF8491">
        <v>33.08</v>
      </c>
      <c r="BH8491" s="42"/>
      <c r="BI8491" s="74"/>
      <c r="BJ8491" s="77"/>
      <c r="BL8491" s="497">
        <v>35.06</v>
      </c>
      <c r="BN8491" s="42"/>
      <c r="BO8491" s="74"/>
      <c r="BP8491" s="77"/>
      <c r="BR8491" s="497">
        <v>8.0599999999999987</v>
      </c>
      <c r="BT8491" s="42"/>
    </row>
    <row r="8492" spans="1:72" x14ac:dyDescent="0.25">
      <c r="A8492" s="90">
        <v>35784</v>
      </c>
      <c r="B8492" s="20">
        <v>8.3333333333333329E-2</v>
      </c>
      <c r="D8492">
        <v>33.979999999999997</v>
      </c>
      <c r="E8492" t="str">
        <f t="shared" si="300"/>
        <v>SATURDAY</v>
      </c>
      <c r="F8492" t="e">
        <f t="shared" si="301"/>
        <v>#N/A</v>
      </c>
      <c r="G8492" s="74">
        <v>28479</v>
      </c>
      <c r="H8492" s="77">
        <v>8.3333333333333329E-2</v>
      </c>
      <c r="J8492">
        <v>39.019999999999996</v>
      </c>
      <c r="M8492" s="74">
        <v>36880</v>
      </c>
      <c r="N8492" s="77">
        <v>8.3333333333333329E-2</v>
      </c>
      <c r="P8492">
        <v>33.799999999999997</v>
      </c>
      <c r="S8492" s="74">
        <v>35784</v>
      </c>
      <c r="T8492" s="77">
        <v>8.3333333333333329E-2</v>
      </c>
      <c r="V8492">
        <v>42.08</v>
      </c>
      <c r="X8492" s="42"/>
      <c r="AB8492">
        <v>36.5</v>
      </c>
      <c r="AC8492">
        <v>39.200000000000003</v>
      </c>
      <c r="AE8492" s="74"/>
      <c r="AF8492" s="77"/>
      <c r="AH8492" s="497">
        <v>15.8</v>
      </c>
      <c r="AJ8492" s="42"/>
      <c r="AK8492" s="74"/>
      <c r="AL8492" s="77"/>
      <c r="AN8492" s="497">
        <v>15.079999999999998</v>
      </c>
      <c r="AP8492" s="42"/>
      <c r="AQ8492" s="74"/>
      <c r="AR8492" s="77"/>
      <c r="AT8492" s="497">
        <v>21.2</v>
      </c>
      <c r="AV8492" s="42"/>
      <c r="AW8492" s="74"/>
      <c r="AX8492" s="77"/>
      <c r="BA8492" s="497">
        <v>31.28</v>
      </c>
      <c r="BB8492" s="42"/>
      <c r="BC8492" s="74"/>
      <c r="BD8492" s="77"/>
      <c r="BF8492">
        <v>33.08</v>
      </c>
      <c r="BH8492" s="42"/>
      <c r="BI8492" s="74"/>
      <c r="BJ8492" s="77"/>
      <c r="BL8492" s="497">
        <v>35.06</v>
      </c>
      <c r="BN8492" s="42"/>
      <c r="BO8492" s="74"/>
      <c r="BP8492" s="77"/>
      <c r="BR8492" s="497">
        <v>8.0599999999999987</v>
      </c>
      <c r="BT8492" s="42"/>
    </row>
    <row r="8493" spans="1:72" x14ac:dyDescent="0.25">
      <c r="A8493" s="90">
        <v>35784</v>
      </c>
      <c r="B8493" s="20">
        <v>0.125</v>
      </c>
      <c r="D8493">
        <v>33.979999999999997</v>
      </c>
      <c r="E8493" t="str">
        <f t="shared" si="300"/>
        <v>SATURDAY</v>
      </c>
      <c r="F8493" t="e">
        <f t="shared" si="301"/>
        <v>#N/A</v>
      </c>
      <c r="G8493" s="74">
        <v>28479</v>
      </c>
      <c r="H8493" s="77">
        <v>0.125</v>
      </c>
      <c r="J8493">
        <v>37.94</v>
      </c>
      <c r="M8493" s="74">
        <v>36880</v>
      </c>
      <c r="N8493" s="77">
        <v>0.125</v>
      </c>
      <c r="P8493">
        <v>30.2</v>
      </c>
      <c r="S8493" s="74">
        <v>35784</v>
      </c>
      <c r="T8493" s="77">
        <v>0.125</v>
      </c>
      <c r="V8493">
        <v>41</v>
      </c>
      <c r="X8493" s="42"/>
      <c r="AB8493">
        <v>36.200000000000003</v>
      </c>
      <c r="AC8493">
        <v>39.200000000000003</v>
      </c>
      <c r="AE8493" s="74"/>
      <c r="AF8493" s="77"/>
      <c r="AH8493" s="497">
        <v>12.2</v>
      </c>
      <c r="AJ8493" s="42"/>
      <c r="AK8493" s="74"/>
      <c r="AL8493" s="77"/>
      <c r="AN8493" s="497">
        <v>15.98</v>
      </c>
      <c r="AP8493" s="42"/>
      <c r="AQ8493" s="74"/>
      <c r="AR8493" s="77"/>
      <c r="AT8493" s="497">
        <v>20.66</v>
      </c>
      <c r="AV8493" s="42"/>
      <c r="AW8493" s="74"/>
      <c r="AX8493" s="77"/>
      <c r="BA8493" s="497">
        <v>30.74</v>
      </c>
      <c r="BB8493" s="42"/>
      <c r="BC8493" s="74"/>
      <c r="BD8493" s="77"/>
      <c r="BF8493">
        <v>33.08</v>
      </c>
      <c r="BH8493" s="42"/>
      <c r="BI8493" s="74"/>
      <c r="BJ8493" s="77"/>
      <c r="BL8493" s="497">
        <v>35.96</v>
      </c>
      <c r="BN8493" s="42"/>
      <c r="BO8493" s="74"/>
      <c r="BP8493" s="77"/>
      <c r="BR8493" s="497">
        <v>6.98</v>
      </c>
      <c r="BT8493" s="42"/>
    </row>
    <row r="8494" spans="1:72" x14ac:dyDescent="0.25">
      <c r="A8494" s="90">
        <v>35784</v>
      </c>
      <c r="B8494" s="20">
        <v>0.16666666666666666</v>
      </c>
      <c r="D8494">
        <v>33.08</v>
      </c>
      <c r="E8494" t="str">
        <f t="shared" si="300"/>
        <v>SATURDAY</v>
      </c>
      <c r="F8494" t="e">
        <f t="shared" si="301"/>
        <v>#N/A</v>
      </c>
      <c r="G8494" s="74">
        <v>28479</v>
      </c>
      <c r="H8494" s="77">
        <v>0.16666666666666666</v>
      </c>
      <c r="J8494">
        <v>37.94</v>
      </c>
      <c r="M8494" s="74">
        <v>36880</v>
      </c>
      <c r="N8494" s="77">
        <v>0.16666666666666666</v>
      </c>
      <c r="P8494">
        <v>30.2</v>
      </c>
      <c r="S8494" s="74">
        <v>35784</v>
      </c>
      <c r="T8494" s="77">
        <v>0.16666666666666666</v>
      </c>
      <c r="V8494">
        <v>42.08</v>
      </c>
      <c r="X8494" s="42"/>
      <c r="AB8494">
        <v>35.799999999999997</v>
      </c>
      <c r="AC8494">
        <v>39.200000000000003</v>
      </c>
      <c r="AE8494" s="74"/>
      <c r="AF8494" s="77"/>
      <c r="AH8494" s="497">
        <v>12.2</v>
      </c>
      <c r="AJ8494" s="42"/>
      <c r="AK8494" s="74"/>
      <c r="AL8494" s="77"/>
      <c r="AN8494" s="497">
        <v>15.98</v>
      </c>
      <c r="AP8494" s="42"/>
      <c r="AQ8494" s="74"/>
      <c r="AR8494" s="77"/>
      <c r="AT8494" s="497">
        <v>19.939999999999998</v>
      </c>
      <c r="AV8494" s="42"/>
      <c r="AW8494" s="74"/>
      <c r="AX8494" s="77"/>
      <c r="BA8494" s="497">
        <v>30.02</v>
      </c>
      <c r="BB8494" s="42"/>
      <c r="BC8494" s="74"/>
      <c r="BD8494" s="77"/>
      <c r="BF8494">
        <v>33.08</v>
      </c>
      <c r="BH8494" s="42"/>
      <c r="BI8494" s="74"/>
      <c r="BJ8494" s="77"/>
      <c r="BL8494" s="497">
        <v>35.96</v>
      </c>
      <c r="BN8494" s="42"/>
      <c r="BO8494" s="74"/>
      <c r="BP8494" s="77"/>
      <c r="BR8494" s="497">
        <v>6.0799999999999983</v>
      </c>
      <c r="BT8494" s="42"/>
    </row>
    <row r="8495" spans="1:72" x14ac:dyDescent="0.25">
      <c r="A8495" s="90">
        <v>35784</v>
      </c>
      <c r="B8495" s="20">
        <v>0.20833333333333334</v>
      </c>
      <c r="D8495">
        <v>33.08</v>
      </c>
      <c r="E8495" t="str">
        <f t="shared" si="300"/>
        <v>SATURDAY</v>
      </c>
      <c r="F8495" t="e">
        <f t="shared" si="301"/>
        <v>#N/A</v>
      </c>
      <c r="G8495" s="74">
        <v>28479</v>
      </c>
      <c r="H8495" s="77">
        <v>0.20833333333333334</v>
      </c>
      <c r="J8495">
        <v>37.04</v>
      </c>
      <c r="M8495" s="74">
        <v>36880</v>
      </c>
      <c r="N8495" s="77">
        <v>0.20833333333333334</v>
      </c>
      <c r="P8495">
        <v>30.2</v>
      </c>
      <c r="S8495" s="74">
        <v>35784</v>
      </c>
      <c r="T8495" s="77">
        <v>0.20833333333333334</v>
      </c>
      <c r="V8495">
        <v>42.08</v>
      </c>
      <c r="X8495" s="42"/>
      <c r="AB8495">
        <v>35.6</v>
      </c>
      <c r="AC8495">
        <v>39.200000000000003</v>
      </c>
      <c r="AE8495" s="74"/>
      <c r="AF8495" s="77"/>
      <c r="AH8495" s="497">
        <v>10.940000000000001</v>
      </c>
      <c r="AJ8495" s="42"/>
      <c r="AK8495" s="74"/>
      <c r="AL8495" s="77"/>
      <c r="AN8495" s="497">
        <v>17.059999999999999</v>
      </c>
      <c r="AP8495" s="42"/>
      <c r="AQ8495" s="74"/>
      <c r="AR8495" s="77"/>
      <c r="AT8495" s="497">
        <v>19.579999999999998</v>
      </c>
      <c r="AV8495" s="42"/>
      <c r="AW8495" s="74"/>
      <c r="AX8495" s="77"/>
      <c r="BA8495" s="497">
        <v>30.74</v>
      </c>
      <c r="BB8495" s="42"/>
      <c r="BC8495" s="74"/>
      <c r="BD8495" s="77"/>
      <c r="BF8495">
        <v>33.08</v>
      </c>
      <c r="BH8495" s="42"/>
      <c r="BI8495" s="74"/>
      <c r="BJ8495" s="77"/>
      <c r="BL8495" s="497">
        <v>35.96</v>
      </c>
      <c r="BN8495" s="42"/>
      <c r="BO8495" s="74"/>
      <c r="BP8495" s="77"/>
      <c r="BR8495" s="497">
        <v>6.0799999999999983</v>
      </c>
      <c r="BT8495" s="42"/>
    </row>
    <row r="8496" spans="1:72" x14ac:dyDescent="0.25">
      <c r="A8496" s="90">
        <v>35784</v>
      </c>
      <c r="B8496" s="20">
        <v>0.25</v>
      </c>
      <c r="D8496">
        <v>33.08</v>
      </c>
      <c r="E8496" t="str">
        <f t="shared" si="300"/>
        <v>SATURDAY</v>
      </c>
      <c r="F8496" t="e">
        <f t="shared" si="301"/>
        <v>#N/A</v>
      </c>
      <c r="G8496" s="74">
        <v>28479</v>
      </c>
      <c r="H8496" s="77">
        <v>0.25</v>
      </c>
      <c r="J8496">
        <v>35.96</v>
      </c>
      <c r="M8496" s="74">
        <v>36880</v>
      </c>
      <c r="N8496" s="77">
        <v>0.25</v>
      </c>
      <c r="P8496">
        <v>30.2</v>
      </c>
      <c r="S8496" s="74">
        <v>35784</v>
      </c>
      <c r="T8496" s="77">
        <v>0.25</v>
      </c>
      <c r="V8496">
        <v>39.019999999999996</v>
      </c>
      <c r="X8496" s="42"/>
      <c r="AB8496">
        <v>35.4</v>
      </c>
      <c r="AC8496">
        <v>33.799999999999997</v>
      </c>
      <c r="AE8496" s="74"/>
      <c r="AF8496" s="77"/>
      <c r="AH8496" s="497">
        <v>9.68</v>
      </c>
      <c r="AJ8496" s="42"/>
      <c r="AK8496" s="74"/>
      <c r="AL8496" s="77"/>
      <c r="AN8496" s="497">
        <v>17.059999999999999</v>
      </c>
      <c r="AP8496" s="42"/>
      <c r="AQ8496" s="74"/>
      <c r="AR8496" s="77"/>
      <c r="AT8496" s="497">
        <v>19.399999999999999</v>
      </c>
      <c r="AV8496" s="42"/>
      <c r="AW8496" s="74"/>
      <c r="AX8496" s="77"/>
      <c r="BA8496" s="497">
        <v>31.28</v>
      </c>
      <c r="BB8496" s="42"/>
      <c r="BC8496" s="74"/>
      <c r="BD8496" s="77"/>
      <c r="BF8496">
        <v>33.08</v>
      </c>
      <c r="BH8496" s="42"/>
      <c r="BI8496" s="74"/>
      <c r="BJ8496" s="77"/>
      <c r="BL8496" s="497">
        <v>35.96</v>
      </c>
      <c r="BN8496" s="42"/>
      <c r="BO8496" s="74"/>
      <c r="BP8496" s="77"/>
      <c r="BR8496" s="497">
        <v>5</v>
      </c>
      <c r="BT8496" s="42"/>
    </row>
    <row r="8497" spans="1:72" x14ac:dyDescent="0.25">
      <c r="A8497" s="90">
        <v>35784</v>
      </c>
      <c r="B8497" s="20">
        <v>0.29166666666666669</v>
      </c>
      <c r="D8497">
        <v>32</v>
      </c>
      <c r="E8497" t="str">
        <f t="shared" si="300"/>
        <v>SATURDAY</v>
      </c>
      <c r="F8497" t="e">
        <f t="shared" si="301"/>
        <v>#N/A</v>
      </c>
      <c r="G8497" s="74">
        <v>28479</v>
      </c>
      <c r="H8497" s="77">
        <v>0.29166666666666669</v>
      </c>
      <c r="J8497">
        <v>35.06</v>
      </c>
      <c r="M8497" s="74">
        <v>36880</v>
      </c>
      <c r="N8497" s="77">
        <v>0.29166666666666669</v>
      </c>
      <c r="P8497">
        <v>30.2</v>
      </c>
      <c r="S8497" s="74">
        <v>35784</v>
      </c>
      <c r="T8497" s="77">
        <v>0.29166666666666669</v>
      </c>
      <c r="V8497">
        <v>35.06</v>
      </c>
      <c r="X8497" s="42"/>
      <c r="AB8497">
        <v>35.4</v>
      </c>
      <c r="AC8497">
        <v>33.799999999999997</v>
      </c>
      <c r="AE8497" s="74"/>
      <c r="AF8497" s="77"/>
      <c r="AH8497" s="497">
        <v>7.52</v>
      </c>
      <c r="AJ8497" s="42"/>
      <c r="AK8497" s="74"/>
      <c r="AL8497" s="77"/>
      <c r="AN8497" s="497">
        <v>17.059999999999999</v>
      </c>
      <c r="AP8497" s="42"/>
      <c r="AQ8497" s="74"/>
      <c r="AR8497" s="77"/>
      <c r="AT8497" s="497">
        <v>19.04</v>
      </c>
      <c r="AV8497" s="42"/>
      <c r="AW8497" s="74"/>
      <c r="AX8497" s="77"/>
      <c r="BA8497" s="497">
        <v>32</v>
      </c>
      <c r="BB8497" s="42"/>
      <c r="BC8497" s="74"/>
      <c r="BD8497" s="77"/>
      <c r="BF8497">
        <v>33.08</v>
      </c>
      <c r="BH8497" s="42"/>
      <c r="BI8497" s="74"/>
      <c r="BJ8497" s="77"/>
      <c r="BL8497" s="497">
        <v>33.08</v>
      </c>
      <c r="BN8497" s="42"/>
      <c r="BO8497" s="74"/>
      <c r="BP8497" s="77"/>
      <c r="BR8497" s="497">
        <v>3.9200000000000017</v>
      </c>
      <c r="BT8497" s="42"/>
    </row>
    <row r="8498" spans="1:72" x14ac:dyDescent="0.25">
      <c r="A8498" s="90">
        <v>35784</v>
      </c>
      <c r="B8498" s="20">
        <v>0.33333333333333331</v>
      </c>
      <c r="D8498">
        <v>32</v>
      </c>
      <c r="E8498" t="str">
        <f t="shared" si="300"/>
        <v>SATURDAY</v>
      </c>
      <c r="F8498" t="e">
        <f t="shared" si="301"/>
        <v>#N/A</v>
      </c>
      <c r="G8498" s="74">
        <v>28479</v>
      </c>
      <c r="H8498" s="77">
        <v>0.33333333333333331</v>
      </c>
      <c r="J8498">
        <v>35.06</v>
      </c>
      <c r="M8498" s="74">
        <v>36880</v>
      </c>
      <c r="N8498" s="77">
        <v>0.33333333333333331</v>
      </c>
      <c r="P8498">
        <v>30.2</v>
      </c>
      <c r="S8498" s="74">
        <v>35784</v>
      </c>
      <c r="T8498" s="77">
        <v>0.33333333333333331</v>
      </c>
      <c r="V8498">
        <v>35.96</v>
      </c>
      <c r="X8498" s="42"/>
      <c r="AB8498">
        <v>35.299999999999997</v>
      </c>
      <c r="AC8498">
        <v>33.799999999999997</v>
      </c>
      <c r="AE8498" s="74"/>
      <c r="AF8498" s="77"/>
      <c r="AH8498" s="497">
        <v>6.0799999999999983</v>
      </c>
      <c r="AJ8498" s="42"/>
      <c r="AK8498" s="74"/>
      <c r="AL8498" s="77"/>
      <c r="AN8498" s="497">
        <v>17.96</v>
      </c>
      <c r="AP8498" s="42"/>
      <c r="AQ8498" s="74"/>
      <c r="AR8498" s="77"/>
      <c r="AT8498" s="497">
        <v>20.66</v>
      </c>
      <c r="AV8498" s="42"/>
      <c r="AW8498" s="74"/>
      <c r="AX8498" s="77"/>
      <c r="BA8498" s="497">
        <v>32.72</v>
      </c>
      <c r="BB8498" s="42"/>
      <c r="BC8498" s="74"/>
      <c r="BD8498" s="77"/>
      <c r="BF8498">
        <v>33.08</v>
      </c>
      <c r="BH8498" s="42"/>
      <c r="BI8498" s="74"/>
      <c r="BJ8498" s="77"/>
      <c r="BL8498" s="497">
        <v>33.08</v>
      </c>
      <c r="BN8498" s="42"/>
      <c r="BO8498" s="74"/>
      <c r="BP8498" s="77"/>
      <c r="BR8498" s="497">
        <v>6.0799999999999983</v>
      </c>
      <c r="BT8498" s="42"/>
    </row>
    <row r="8499" spans="1:72" x14ac:dyDescent="0.25">
      <c r="A8499" s="90">
        <v>35784</v>
      </c>
      <c r="B8499" s="20">
        <v>0.375</v>
      </c>
      <c r="D8499">
        <v>33.08</v>
      </c>
      <c r="E8499" t="str">
        <f t="shared" si="300"/>
        <v>SATURDAY</v>
      </c>
      <c r="F8499" t="e">
        <f t="shared" si="301"/>
        <v>#N/A</v>
      </c>
      <c r="G8499" s="74">
        <v>28479</v>
      </c>
      <c r="H8499" s="77">
        <v>0.375</v>
      </c>
      <c r="J8499">
        <v>35.06</v>
      </c>
      <c r="M8499" s="74">
        <v>36880</v>
      </c>
      <c r="N8499" s="77">
        <v>0.375</v>
      </c>
      <c r="P8499">
        <v>30.2</v>
      </c>
      <c r="S8499" s="74">
        <v>35784</v>
      </c>
      <c r="T8499" s="77">
        <v>0.375</v>
      </c>
      <c r="V8499">
        <v>42.980000000000004</v>
      </c>
      <c r="X8499" s="42"/>
      <c r="AB8499">
        <v>35.700000000000003</v>
      </c>
      <c r="AC8499">
        <v>41</v>
      </c>
      <c r="AE8499" s="74"/>
      <c r="AF8499" s="77"/>
      <c r="AH8499" s="497">
        <v>7.52</v>
      </c>
      <c r="AJ8499" s="42"/>
      <c r="AK8499" s="74"/>
      <c r="AL8499" s="77"/>
      <c r="AN8499" s="497">
        <v>17.96</v>
      </c>
      <c r="AP8499" s="42"/>
      <c r="AQ8499" s="74"/>
      <c r="AR8499" s="77"/>
      <c r="AT8499" s="497">
        <v>22.46</v>
      </c>
      <c r="AV8499" s="42"/>
      <c r="AW8499" s="74"/>
      <c r="AX8499" s="77"/>
      <c r="BA8499" s="497">
        <v>33.26</v>
      </c>
      <c r="BB8499" s="42"/>
      <c r="BC8499" s="74"/>
      <c r="BD8499" s="77"/>
      <c r="BF8499">
        <v>33.08</v>
      </c>
      <c r="BH8499" s="42"/>
      <c r="BI8499" s="74"/>
      <c r="BJ8499" s="77"/>
      <c r="BL8499" s="497">
        <v>33.979999999999997</v>
      </c>
      <c r="BN8499" s="42"/>
      <c r="BO8499" s="74"/>
      <c r="BP8499" s="77"/>
      <c r="BR8499" s="497">
        <v>8.0599999999999987</v>
      </c>
      <c r="BT8499" s="42"/>
    </row>
    <row r="8500" spans="1:72" x14ac:dyDescent="0.25">
      <c r="A8500" s="90">
        <v>35784</v>
      </c>
      <c r="B8500" s="20">
        <v>0.41666666666666669</v>
      </c>
      <c r="D8500">
        <v>33.979999999999997</v>
      </c>
      <c r="E8500" t="str">
        <f t="shared" si="300"/>
        <v>SATURDAY</v>
      </c>
      <c r="F8500" t="e">
        <f t="shared" si="301"/>
        <v>#N/A</v>
      </c>
      <c r="G8500" s="74">
        <v>28479</v>
      </c>
      <c r="H8500" s="77">
        <v>0.41666666666666669</v>
      </c>
      <c r="J8500">
        <v>35.06</v>
      </c>
      <c r="M8500" s="74">
        <v>36880</v>
      </c>
      <c r="N8500" s="77">
        <v>0.41666666666666669</v>
      </c>
      <c r="P8500">
        <v>33.799999999999997</v>
      </c>
      <c r="S8500" s="74">
        <v>35784</v>
      </c>
      <c r="T8500" s="77">
        <v>0.41666666666666669</v>
      </c>
      <c r="V8500">
        <v>46.94</v>
      </c>
      <c r="X8500" s="42"/>
      <c r="AB8500">
        <v>37.200000000000003</v>
      </c>
      <c r="AC8500">
        <v>46.4</v>
      </c>
      <c r="AE8500" s="74"/>
      <c r="AF8500" s="77"/>
      <c r="AH8500" s="497">
        <v>8.9599999999999973</v>
      </c>
      <c r="AJ8500" s="42"/>
      <c r="AK8500" s="74"/>
      <c r="AL8500" s="77"/>
      <c r="AN8500" s="497">
        <v>19.939999999999998</v>
      </c>
      <c r="AP8500" s="42"/>
      <c r="AQ8500" s="74"/>
      <c r="AR8500" s="77"/>
      <c r="AT8500" s="497">
        <v>24.08</v>
      </c>
      <c r="AV8500" s="42"/>
      <c r="AW8500" s="74"/>
      <c r="AX8500" s="77"/>
      <c r="BA8500" s="497">
        <v>33.979999999999997</v>
      </c>
      <c r="BB8500" s="42"/>
      <c r="BC8500" s="74"/>
      <c r="BD8500" s="77"/>
      <c r="BF8500">
        <v>35.96</v>
      </c>
      <c r="BH8500" s="42"/>
      <c r="BI8500" s="74"/>
      <c r="BJ8500" s="77"/>
      <c r="BL8500" s="497">
        <v>35.06</v>
      </c>
      <c r="BN8500" s="42"/>
      <c r="BO8500" s="74"/>
      <c r="BP8500" s="77"/>
      <c r="BR8500" s="497">
        <v>10.039999999999999</v>
      </c>
      <c r="BT8500" s="42"/>
    </row>
    <row r="8501" spans="1:72" x14ac:dyDescent="0.25">
      <c r="A8501" s="90">
        <v>35784</v>
      </c>
      <c r="B8501" s="20">
        <v>0.45833333333333331</v>
      </c>
      <c r="D8501">
        <v>35.96</v>
      </c>
      <c r="E8501" t="str">
        <f t="shared" si="300"/>
        <v>SATURDAY</v>
      </c>
      <c r="F8501" t="e">
        <f t="shared" si="301"/>
        <v>#N/A</v>
      </c>
      <c r="G8501" s="74">
        <v>28479</v>
      </c>
      <c r="H8501" s="77">
        <v>0.45833333333333331</v>
      </c>
      <c r="J8501">
        <v>35.96</v>
      </c>
      <c r="M8501" s="74">
        <v>36880</v>
      </c>
      <c r="N8501" s="77">
        <v>0.45833333333333331</v>
      </c>
      <c r="P8501">
        <v>30.2</v>
      </c>
      <c r="S8501" s="74">
        <v>35784</v>
      </c>
      <c r="T8501" s="77">
        <v>0.45833333333333331</v>
      </c>
      <c r="V8501">
        <v>48.019999999999996</v>
      </c>
      <c r="X8501" s="42"/>
      <c r="AB8501">
        <v>38.5</v>
      </c>
      <c r="AC8501">
        <v>50</v>
      </c>
      <c r="AE8501" s="74"/>
      <c r="AF8501" s="77"/>
      <c r="AH8501" s="497">
        <v>10.399999999999999</v>
      </c>
      <c r="AJ8501" s="42"/>
      <c r="AK8501" s="74"/>
      <c r="AL8501" s="77"/>
      <c r="AN8501" s="497">
        <v>21.92</v>
      </c>
      <c r="AP8501" s="42"/>
      <c r="AQ8501" s="74"/>
      <c r="AR8501" s="77"/>
      <c r="AT8501" s="497">
        <v>24.8</v>
      </c>
      <c r="AV8501" s="42"/>
      <c r="AW8501" s="74"/>
      <c r="AX8501" s="77"/>
      <c r="BA8501" s="497">
        <v>35.06</v>
      </c>
      <c r="BB8501" s="42"/>
      <c r="BC8501" s="74"/>
      <c r="BD8501" s="77"/>
      <c r="BF8501">
        <v>37.04</v>
      </c>
      <c r="BH8501" s="42"/>
      <c r="BI8501" s="74"/>
      <c r="BJ8501" s="77"/>
      <c r="BL8501" s="497">
        <v>35.96</v>
      </c>
      <c r="BN8501" s="42"/>
      <c r="BO8501" s="74"/>
      <c r="BP8501" s="77"/>
      <c r="BR8501" s="497">
        <v>10.940000000000001</v>
      </c>
      <c r="BT8501" s="42"/>
    </row>
    <row r="8502" spans="1:72" x14ac:dyDescent="0.25">
      <c r="A8502" s="90">
        <v>35784</v>
      </c>
      <c r="B8502" s="20">
        <v>0.5</v>
      </c>
      <c r="D8502">
        <v>37.04</v>
      </c>
      <c r="E8502" t="str">
        <f t="shared" si="300"/>
        <v>SATURDAY</v>
      </c>
      <c r="F8502" t="e">
        <f t="shared" si="301"/>
        <v>#N/A</v>
      </c>
      <c r="G8502" s="74">
        <v>28479</v>
      </c>
      <c r="H8502" s="77">
        <v>0.5</v>
      </c>
      <c r="J8502">
        <v>35.96</v>
      </c>
      <c r="M8502" s="74">
        <v>36880</v>
      </c>
      <c r="N8502" s="77">
        <v>0.5</v>
      </c>
      <c r="P8502">
        <v>30.2</v>
      </c>
      <c r="S8502" s="74">
        <v>35784</v>
      </c>
      <c r="T8502" s="77">
        <v>0.5</v>
      </c>
      <c r="V8502">
        <v>48.019999999999996</v>
      </c>
      <c r="X8502" s="42"/>
      <c r="AB8502">
        <v>39.700000000000003</v>
      </c>
      <c r="AC8502">
        <v>50</v>
      </c>
      <c r="AE8502" s="74"/>
      <c r="AF8502" s="77"/>
      <c r="AH8502" s="497">
        <v>12.2</v>
      </c>
      <c r="AJ8502" s="42"/>
      <c r="AK8502" s="74"/>
      <c r="AL8502" s="77"/>
      <c r="AN8502" s="497">
        <v>21.92</v>
      </c>
      <c r="AP8502" s="42"/>
      <c r="AQ8502" s="74"/>
      <c r="AR8502" s="77"/>
      <c r="AT8502" s="497">
        <v>25.34</v>
      </c>
      <c r="AV8502" s="42"/>
      <c r="AW8502" s="74"/>
      <c r="AX8502" s="77"/>
      <c r="BA8502" s="497">
        <v>35.96</v>
      </c>
      <c r="BB8502" s="42"/>
      <c r="BC8502" s="74"/>
      <c r="BD8502" s="77"/>
      <c r="BF8502">
        <v>35.96</v>
      </c>
      <c r="BH8502" s="42"/>
      <c r="BI8502" s="74"/>
      <c r="BJ8502" s="77"/>
      <c r="BL8502" s="497">
        <v>35.96</v>
      </c>
      <c r="BN8502" s="42"/>
      <c r="BO8502" s="74"/>
      <c r="BP8502" s="77"/>
      <c r="BR8502" s="497">
        <v>12.920000000000002</v>
      </c>
      <c r="BT8502" s="42"/>
    </row>
    <row r="8503" spans="1:72" x14ac:dyDescent="0.25">
      <c r="A8503" s="90">
        <v>35784</v>
      </c>
      <c r="B8503" s="20">
        <v>0.54166666666666663</v>
      </c>
      <c r="D8503">
        <v>37.94</v>
      </c>
      <c r="E8503" t="str">
        <f t="shared" si="300"/>
        <v>SATURDAY</v>
      </c>
      <c r="F8503" t="e">
        <f t="shared" si="301"/>
        <v>#N/A</v>
      </c>
      <c r="G8503" s="74">
        <v>28479</v>
      </c>
      <c r="H8503" s="77">
        <v>0.54166666666666663</v>
      </c>
      <c r="J8503">
        <v>37.04</v>
      </c>
      <c r="M8503" s="74">
        <v>36880</v>
      </c>
      <c r="N8503" s="77">
        <v>0.54166666666666663</v>
      </c>
      <c r="P8503">
        <v>30.2</v>
      </c>
      <c r="S8503" s="74">
        <v>35784</v>
      </c>
      <c r="T8503" s="77">
        <v>0.54166666666666663</v>
      </c>
      <c r="V8503">
        <v>48.92</v>
      </c>
      <c r="X8503" s="42"/>
      <c r="AB8503">
        <v>40.700000000000003</v>
      </c>
      <c r="AC8503">
        <v>51.8</v>
      </c>
      <c r="AE8503" s="74"/>
      <c r="AF8503" s="77"/>
      <c r="AH8503" s="497">
        <v>15.8</v>
      </c>
      <c r="AJ8503" s="42"/>
      <c r="AK8503" s="74"/>
      <c r="AL8503" s="77"/>
      <c r="AN8503" s="497">
        <v>23</v>
      </c>
      <c r="AP8503" s="42"/>
      <c r="AQ8503" s="74"/>
      <c r="AR8503" s="77"/>
      <c r="AT8503" s="497">
        <v>26.060000000000002</v>
      </c>
      <c r="AV8503" s="42"/>
      <c r="AW8503" s="74"/>
      <c r="AX8503" s="77"/>
      <c r="BA8503" s="497">
        <v>37.04</v>
      </c>
      <c r="BB8503" s="42"/>
      <c r="BC8503" s="74"/>
      <c r="BD8503" s="77"/>
      <c r="BF8503">
        <v>33.08</v>
      </c>
      <c r="BH8503" s="42"/>
      <c r="BI8503" s="74"/>
      <c r="BJ8503" s="77"/>
      <c r="BL8503" s="497">
        <v>37.04</v>
      </c>
      <c r="BN8503" s="42"/>
      <c r="BO8503" s="74"/>
      <c r="BP8503" s="77"/>
      <c r="BR8503" s="497">
        <v>14</v>
      </c>
      <c r="BT8503" s="42"/>
    </row>
    <row r="8504" spans="1:72" x14ac:dyDescent="0.25">
      <c r="A8504" s="90">
        <v>35784</v>
      </c>
      <c r="B8504" s="20">
        <v>0.58333333333333337</v>
      </c>
      <c r="D8504">
        <v>37.94</v>
      </c>
      <c r="E8504" t="str">
        <f t="shared" si="300"/>
        <v>SATURDAY</v>
      </c>
      <c r="F8504" t="e">
        <f t="shared" si="301"/>
        <v>#N/A</v>
      </c>
      <c r="G8504" s="74">
        <v>28479</v>
      </c>
      <c r="H8504" s="77">
        <v>0.58333333333333337</v>
      </c>
      <c r="J8504">
        <v>39.019999999999996</v>
      </c>
      <c r="M8504" s="74">
        <v>36880</v>
      </c>
      <c r="N8504" s="77">
        <v>0.58333333333333337</v>
      </c>
      <c r="P8504">
        <v>30.2</v>
      </c>
      <c r="S8504" s="74">
        <v>35784</v>
      </c>
      <c r="T8504" s="77">
        <v>0.58333333333333337</v>
      </c>
      <c r="V8504">
        <v>50</v>
      </c>
      <c r="X8504" s="42"/>
      <c r="AB8504">
        <v>41.4</v>
      </c>
      <c r="AC8504">
        <v>50</v>
      </c>
      <c r="AE8504" s="74"/>
      <c r="AF8504" s="77"/>
      <c r="AH8504" s="497">
        <v>15.8</v>
      </c>
      <c r="AJ8504" s="42"/>
      <c r="AK8504" s="74"/>
      <c r="AL8504" s="77"/>
      <c r="AN8504" s="497">
        <v>23</v>
      </c>
      <c r="AP8504" s="42"/>
      <c r="AQ8504" s="74"/>
      <c r="AR8504" s="77"/>
      <c r="AT8504" s="497">
        <v>25.7</v>
      </c>
      <c r="AV8504" s="42"/>
      <c r="AW8504" s="74"/>
      <c r="AX8504" s="77"/>
      <c r="BA8504" s="497">
        <v>37.04</v>
      </c>
      <c r="BB8504" s="42"/>
      <c r="BC8504" s="74"/>
      <c r="BD8504" s="77"/>
      <c r="BF8504">
        <v>33.08</v>
      </c>
      <c r="BH8504" s="42"/>
      <c r="BI8504" s="74"/>
      <c r="BJ8504" s="77"/>
      <c r="BL8504" s="497">
        <v>35.06</v>
      </c>
      <c r="BN8504" s="42"/>
      <c r="BO8504" s="74"/>
      <c r="BP8504" s="77"/>
      <c r="BR8504" s="497">
        <v>14</v>
      </c>
      <c r="BT8504" s="42"/>
    </row>
    <row r="8505" spans="1:72" x14ac:dyDescent="0.25">
      <c r="A8505" s="90">
        <v>35784</v>
      </c>
      <c r="B8505" s="20">
        <v>0.625</v>
      </c>
      <c r="D8505">
        <v>37.04</v>
      </c>
      <c r="E8505" t="str">
        <f t="shared" si="300"/>
        <v>SATURDAY</v>
      </c>
      <c r="F8505" t="e">
        <f t="shared" si="301"/>
        <v>#N/A</v>
      </c>
      <c r="G8505" s="74">
        <v>28479</v>
      </c>
      <c r="H8505" s="77">
        <v>0.625</v>
      </c>
      <c r="J8505">
        <v>39.019999999999996</v>
      </c>
      <c r="M8505" s="74">
        <v>36880</v>
      </c>
      <c r="N8505" s="77">
        <v>0.625</v>
      </c>
      <c r="P8505">
        <v>30.2</v>
      </c>
      <c r="S8505" s="74">
        <v>35784</v>
      </c>
      <c r="T8505" s="77">
        <v>0.625</v>
      </c>
      <c r="V8505">
        <v>46.94</v>
      </c>
      <c r="X8505" s="42"/>
      <c r="AB8505">
        <v>41.8</v>
      </c>
      <c r="AC8505">
        <v>46.4</v>
      </c>
      <c r="AE8505" s="74"/>
      <c r="AF8505" s="77"/>
      <c r="AH8505" s="497">
        <v>14</v>
      </c>
      <c r="AJ8505" s="42"/>
      <c r="AK8505" s="74"/>
      <c r="AL8505" s="77"/>
      <c r="AN8505" s="497">
        <v>24.08</v>
      </c>
      <c r="AP8505" s="42"/>
      <c r="AQ8505" s="74"/>
      <c r="AR8505" s="77"/>
      <c r="AT8505" s="497">
        <v>25.34</v>
      </c>
      <c r="AV8505" s="42"/>
      <c r="AW8505" s="74"/>
      <c r="AX8505" s="77"/>
      <c r="BA8505" s="497">
        <v>37.04</v>
      </c>
      <c r="BB8505" s="42"/>
      <c r="BC8505" s="74"/>
      <c r="BD8505" s="77"/>
      <c r="BF8505">
        <v>33.08</v>
      </c>
      <c r="BH8505" s="42"/>
      <c r="BI8505" s="74"/>
      <c r="BJ8505" s="77"/>
      <c r="BL8505" s="497">
        <v>35.96</v>
      </c>
      <c r="BN8505" s="42"/>
      <c r="BO8505" s="74"/>
      <c r="BP8505" s="77"/>
      <c r="BR8505" s="497">
        <v>15.079999999999998</v>
      </c>
      <c r="BT8505" s="42"/>
    </row>
    <row r="8506" spans="1:72" x14ac:dyDescent="0.25">
      <c r="A8506" s="90">
        <v>35784</v>
      </c>
      <c r="B8506" s="20">
        <v>0.66666666666666663</v>
      </c>
      <c r="D8506">
        <v>37.04</v>
      </c>
      <c r="E8506" t="str">
        <f t="shared" si="300"/>
        <v>SATURDAY</v>
      </c>
      <c r="F8506" t="e">
        <f t="shared" si="301"/>
        <v>#N/A</v>
      </c>
      <c r="G8506" s="74">
        <v>28479</v>
      </c>
      <c r="H8506" s="77">
        <v>0.66666666666666663</v>
      </c>
      <c r="J8506">
        <v>39.019999999999996</v>
      </c>
      <c r="M8506" s="74">
        <v>36880</v>
      </c>
      <c r="N8506" s="77">
        <v>0.66666666666666663</v>
      </c>
      <c r="P8506">
        <v>30.2</v>
      </c>
      <c r="S8506" s="74">
        <v>35784</v>
      </c>
      <c r="T8506" s="77">
        <v>0.66666666666666663</v>
      </c>
      <c r="V8506">
        <v>46.04</v>
      </c>
      <c r="X8506" s="42"/>
      <c r="AB8506">
        <v>41.6</v>
      </c>
      <c r="AC8506">
        <v>44.6</v>
      </c>
      <c r="AE8506" s="74"/>
      <c r="AF8506" s="77"/>
      <c r="AH8506" s="497">
        <v>12.2</v>
      </c>
      <c r="AJ8506" s="42"/>
      <c r="AK8506" s="74"/>
      <c r="AL8506" s="77"/>
      <c r="AN8506" s="497">
        <v>24.98</v>
      </c>
      <c r="AP8506" s="42"/>
      <c r="AQ8506" s="74"/>
      <c r="AR8506" s="77"/>
      <c r="AT8506" s="497">
        <v>24.98</v>
      </c>
      <c r="AV8506" s="42"/>
      <c r="AW8506" s="74"/>
      <c r="AX8506" s="77"/>
      <c r="BA8506" s="497">
        <v>37.04</v>
      </c>
      <c r="BB8506" s="42"/>
      <c r="BC8506" s="74"/>
      <c r="BD8506" s="77"/>
      <c r="BF8506">
        <v>39.92</v>
      </c>
      <c r="BH8506" s="42"/>
      <c r="BI8506" s="74"/>
      <c r="BJ8506" s="77"/>
      <c r="BL8506" s="497">
        <v>35.96</v>
      </c>
      <c r="BN8506" s="42"/>
      <c r="BO8506" s="74"/>
      <c r="BP8506" s="77"/>
      <c r="BR8506" s="497">
        <v>15.98</v>
      </c>
      <c r="BT8506" s="42"/>
    </row>
    <row r="8507" spans="1:72" x14ac:dyDescent="0.25">
      <c r="A8507" s="90">
        <v>35784</v>
      </c>
      <c r="B8507" s="20">
        <v>0.70833333333333337</v>
      </c>
      <c r="D8507">
        <v>35.96</v>
      </c>
      <c r="E8507" t="str">
        <f t="shared" si="300"/>
        <v>SATURDAY</v>
      </c>
      <c r="F8507" t="e">
        <f t="shared" si="301"/>
        <v>#N/A</v>
      </c>
      <c r="G8507" s="74">
        <v>28479</v>
      </c>
      <c r="H8507" s="77">
        <v>0.70833333333333337</v>
      </c>
      <c r="J8507">
        <v>39.019999999999996</v>
      </c>
      <c r="M8507" s="74">
        <v>36880</v>
      </c>
      <c r="N8507" s="77">
        <v>0.70833333333333337</v>
      </c>
      <c r="P8507">
        <v>28.4</v>
      </c>
      <c r="S8507" s="74">
        <v>35784</v>
      </c>
      <c r="T8507" s="77">
        <v>0.70833333333333337</v>
      </c>
      <c r="V8507">
        <v>44.06</v>
      </c>
      <c r="X8507" s="42"/>
      <c r="AB8507">
        <v>40.799999999999997</v>
      </c>
      <c r="AC8507">
        <v>42.8</v>
      </c>
      <c r="AE8507" s="74"/>
      <c r="AF8507" s="77"/>
      <c r="AH8507" s="497">
        <v>10.399999999999999</v>
      </c>
      <c r="AJ8507" s="42"/>
      <c r="AK8507" s="74"/>
      <c r="AL8507" s="77"/>
      <c r="AN8507" s="497">
        <v>26.060000000000002</v>
      </c>
      <c r="AP8507" s="42"/>
      <c r="AQ8507" s="74"/>
      <c r="AR8507" s="77"/>
      <c r="AT8507" s="497">
        <v>24.98</v>
      </c>
      <c r="AV8507" s="42"/>
      <c r="AW8507" s="74"/>
      <c r="AX8507" s="77"/>
      <c r="BA8507" s="497">
        <v>35.78</v>
      </c>
      <c r="BB8507" s="42"/>
      <c r="BC8507" s="74"/>
      <c r="BD8507" s="77"/>
      <c r="BF8507">
        <v>39.92</v>
      </c>
      <c r="BH8507" s="42"/>
      <c r="BI8507" s="74"/>
      <c r="BJ8507" s="77"/>
      <c r="BL8507" s="497">
        <v>37.94</v>
      </c>
      <c r="BN8507" s="42"/>
      <c r="BO8507" s="74"/>
      <c r="BP8507" s="77"/>
      <c r="BR8507" s="497">
        <v>15.98</v>
      </c>
      <c r="BT8507" s="42"/>
    </row>
    <row r="8508" spans="1:72" x14ac:dyDescent="0.25">
      <c r="A8508" s="90">
        <v>35784</v>
      </c>
      <c r="B8508" s="20">
        <v>0.75</v>
      </c>
      <c r="D8508">
        <v>35.06</v>
      </c>
      <c r="E8508" t="str">
        <f t="shared" si="300"/>
        <v>SATURDAY</v>
      </c>
      <c r="F8508" t="e">
        <f t="shared" si="301"/>
        <v>#N/A</v>
      </c>
      <c r="G8508" s="74">
        <v>28479</v>
      </c>
      <c r="H8508" s="77">
        <v>0.75</v>
      </c>
      <c r="J8508">
        <v>41</v>
      </c>
      <c r="M8508" s="74">
        <v>36880</v>
      </c>
      <c r="N8508" s="77">
        <v>0.75</v>
      </c>
      <c r="P8508">
        <v>28.4</v>
      </c>
      <c r="S8508" s="74">
        <v>35784</v>
      </c>
      <c r="T8508" s="77">
        <v>0.75</v>
      </c>
      <c r="V8508">
        <v>44.06</v>
      </c>
      <c r="X8508" s="42"/>
      <c r="AB8508">
        <v>39.799999999999997</v>
      </c>
      <c r="AC8508">
        <v>41</v>
      </c>
      <c r="AE8508" s="74"/>
      <c r="AF8508" s="77"/>
      <c r="AH8508" s="497">
        <v>8.5999999999999979</v>
      </c>
      <c r="AJ8508" s="42"/>
      <c r="AK8508" s="74"/>
      <c r="AL8508" s="77"/>
      <c r="AN8508" s="497">
        <v>26.96</v>
      </c>
      <c r="AP8508" s="42"/>
      <c r="AQ8508" s="74"/>
      <c r="AR8508" s="77"/>
      <c r="AT8508" s="497">
        <v>24.98</v>
      </c>
      <c r="AV8508" s="42"/>
      <c r="AW8508" s="74"/>
      <c r="AX8508" s="77"/>
      <c r="BA8508" s="497">
        <v>34.340000000000003</v>
      </c>
      <c r="BB8508" s="42"/>
      <c r="BC8508" s="74"/>
      <c r="BD8508" s="77"/>
      <c r="BF8508">
        <v>39.019999999999996</v>
      </c>
      <c r="BH8508" s="42"/>
      <c r="BI8508" s="74"/>
      <c r="BJ8508" s="77"/>
      <c r="BL8508" s="497">
        <v>37.94</v>
      </c>
      <c r="BN8508" s="42"/>
      <c r="BO8508" s="74"/>
      <c r="BP8508" s="77"/>
      <c r="BR8508" s="497">
        <v>15.079999999999998</v>
      </c>
      <c r="BT8508" s="42"/>
    </row>
    <row r="8509" spans="1:72" x14ac:dyDescent="0.25">
      <c r="A8509" s="90">
        <v>35784</v>
      </c>
      <c r="B8509" s="20">
        <v>0.79166666666666663</v>
      </c>
      <c r="D8509">
        <v>33.979999999999997</v>
      </c>
      <c r="E8509" t="str">
        <f t="shared" si="300"/>
        <v>SATURDAY</v>
      </c>
      <c r="F8509" t="e">
        <f t="shared" si="301"/>
        <v>#N/A</v>
      </c>
      <c r="G8509" s="74">
        <v>28479</v>
      </c>
      <c r="H8509" s="77">
        <v>0.79166666666666663</v>
      </c>
      <c r="J8509">
        <v>41</v>
      </c>
      <c r="M8509" s="74">
        <v>36880</v>
      </c>
      <c r="N8509" s="77">
        <v>0.79166666666666663</v>
      </c>
      <c r="P8509">
        <v>28.4</v>
      </c>
      <c r="S8509" s="74">
        <v>35784</v>
      </c>
      <c r="T8509" s="77">
        <v>0.79166666666666663</v>
      </c>
      <c r="V8509">
        <v>42.08</v>
      </c>
      <c r="X8509" s="42"/>
      <c r="AB8509">
        <v>39.299999999999997</v>
      </c>
      <c r="AC8509">
        <v>39.200000000000003</v>
      </c>
      <c r="AE8509" s="74"/>
      <c r="AF8509" s="77"/>
      <c r="AH8509" s="497">
        <v>6.8000000000000007</v>
      </c>
      <c r="AJ8509" s="42"/>
      <c r="AK8509" s="74"/>
      <c r="AL8509" s="77"/>
      <c r="AN8509" s="497">
        <v>28.04</v>
      </c>
      <c r="AP8509" s="42"/>
      <c r="AQ8509" s="74"/>
      <c r="AR8509" s="77"/>
      <c r="AT8509" s="497">
        <v>24.98</v>
      </c>
      <c r="AV8509" s="42"/>
      <c r="AW8509" s="74"/>
      <c r="AX8509" s="77"/>
      <c r="BA8509" s="497">
        <v>33.08</v>
      </c>
      <c r="BB8509" s="42"/>
      <c r="BC8509" s="74"/>
      <c r="BD8509" s="77"/>
      <c r="BF8509">
        <v>39.019999999999996</v>
      </c>
      <c r="BH8509" s="42"/>
      <c r="BI8509" s="74"/>
      <c r="BJ8509" s="77"/>
      <c r="BL8509" s="497">
        <v>37.94</v>
      </c>
      <c r="BN8509" s="42"/>
      <c r="BO8509" s="74"/>
      <c r="BP8509" s="77"/>
      <c r="BR8509" s="497">
        <v>15.079999999999998</v>
      </c>
      <c r="BT8509" s="42"/>
    </row>
    <row r="8510" spans="1:72" x14ac:dyDescent="0.25">
      <c r="A8510" s="90">
        <v>35784</v>
      </c>
      <c r="B8510" s="20">
        <v>0.83333333333333337</v>
      </c>
      <c r="D8510">
        <v>32</v>
      </c>
      <c r="E8510" t="str">
        <f t="shared" si="300"/>
        <v>SATURDAY</v>
      </c>
      <c r="F8510" t="e">
        <f t="shared" si="301"/>
        <v>#N/A</v>
      </c>
      <c r="G8510" s="74">
        <v>28479</v>
      </c>
      <c r="H8510" s="77">
        <v>0.83333333333333337</v>
      </c>
      <c r="J8510">
        <v>39.92</v>
      </c>
      <c r="M8510" s="74">
        <v>36880</v>
      </c>
      <c r="N8510" s="77">
        <v>0.83333333333333337</v>
      </c>
      <c r="P8510">
        <v>26.6</v>
      </c>
      <c r="S8510" s="74">
        <v>35784</v>
      </c>
      <c r="T8510" s="77">
        <v>0.83333333333333337</v>
      </c>
      <c r="V8510">
        <v>41</v>
      </c>
      <c r="X8510" s="42"/>
      <c r="AB8510">
        <v>39.1</v>
      </c>
      <c r="AC8510">
        <v>41</v>
      </c>
      <c r="AE8510" s="74"/>
      <c r="AF8510" s="77"/>
      <c r="AH8510" s="497">
        <v>1.3999999999999986</v>
      </c>
      <c r="AJ8510" s="42"/>
      <c r="AK8510" s="74"/>
      <c r="AL8510" s="77"/>
      <c r="AN8510" s="497">
        <v>30.02</v>
      </c>
      <c r="AP8510" s="42"/>
      <c r="AQ8510" s="74"/>
      <c r="AR8510" s="77"/>
      <c r="AT8510" s="497">
        <v>26.6</v>
      </c>
      <c r="AV8510" s="42"/>
      <c r="AW8510" s="74"/>
      <c r="AX8510" s="77"/>
      <c r="BA8510" s="497">
        <v>33.44</v>
      </c>
      <c r="BB8510" s="42"/>
      <c r="BC8510" s="74"/>
      <c r="BD8510" s="77"/>
      <c r="BF8510">
        <v>37.94</v>
      </c>
      <c r="BH8510" s="42"/>
      <c r="BI8510" s="74"/>
      <c r="BJ8510" s="77"/>
      <c r="BL8510" s="497">
        <v>37.94</v>
      </c>
      <c r="BN8510" s="42"/>
      <c r="BO8510" s="74"/>
      <c r="BP8510" s="77"/>
      <c r="BR8510" s="497">
        <v>15.98</v>
      </c>
      <c r="BT8510" s="42"/>
    </row>
    <row r="8511" spans="1:72" x14ac:dyDescent="0.25">
      <c r="A8511" s="90">
        <v>35784</v>
      </c>
      <c r="B8511" s="20">
        <v>0.875</v>
      </c>
      <c r="D8511">
        <v>30.92</v>
      </c>
      <c r="E8511" t="str">
        <f t="shared" si="300"/>
        <v>SATURDAY</v>
      </c>
      <c r="F8511" t="e">
        <f t="shared" si="301"/>
        <v>#N/A</v>
      </c>
      <c r="G8511" s="74">
        <v>28479</v>
      </c>
      <c r="H8511" s="77">
        <v>0.875</v>
      </c>
      <c r="J8511">
        <v>39.92</v>
      </c>
      <c r="M8511" s="74">
        <v>36880</v>
      </c>
      <c r="N8511" s="77">
        <v>0.875</v>
      </c>
      <c r="P8511">
        <v>26.6</v>
      </c>
      <c r="S8511" s="74">
        <v>35784</v>
      </c>
      <c r="T8511" s="77">
        <v>0.875</v>
      </c>
      <c r="V8511">
        <v>41</v>
      </c>
      <c r="X8511" s="42"/>
      <c r="AB8511">
        <v>38.6</v>
      </c>
      <c r="AC8511">
        <v>42.8</v>
      </c>
      <c r="AE8511" s="74"/>
      <c r="AF8511" s="77"/>
      <c r="AH8511" s="497">
        <v>1.3999999999999986</v>
      </c>
      <c r="AJ8511" s="42"/>
      <c r="AK8511" s="74"/>
      <c r="AL8511" s="77"/>
      <c r="AN8511" s="497">
        <v>30.02</v>
      </c>
      <c r="AP8511" s="42"/>
      <c r="AQ8511" s="74"/>
      <c r="AR8511" s="77"/>
      <c r="AT8511" s="497">
        <v>28.4</v>
      </c>
      <c r="AV8511" s="42"/>
      <c r="AW8511" s="74"/>
      <c r="AX8511" s="77"/>
      <c r="BA8511" s="497">
        <v>33.619999999999997</v>
      </c>
      <c r="BB8511" s="42"/>
      <c r="BC8511" s="74"/>
      <c r="BD8511" s="77"/>
      <c r="BF8511">
        <v>37.94</v>
      </c>
      <c r="BH8511" s="42"/>
      <c r="BI8511" s="74"/>
      <c r="BJ8511" s="77"/>
      <c r="BL8511" s="497">
        <v>37.94</v>
      </c>
      <c r="BN8511" s="42"/>
      <c r="BO8511" s="74"/>
      <c r="BP8511" s="77"/>
      <c r="BR8511" s="497">
        <v>15.079999999999998</v>
      </c>
      <c r="BT8511" s="42"/>
    </row>
    <row r="8512" spans="1:72" x14ac:dyDescent="0.25">
      <c r="A8512" s="90">
        <v>35784</v>
      </c>
      <c r="B8512" s="20">
        <v>0.91666666666666663</v>
      </c>
      <c r="D8512">
        <v>30.02</v>
      </c>
      <c r="E8512" t="str">
        <f t="shared" si="300"/>
        <v>SATURDAY</v>
      </c>
      <c r="F8512" t="e">
        <f t="shared" si="301"/>
        <v>#N/A</v>
      </c>
      <c r="G8512" s="74">
        <v>28479</v>
      </c>
      <c r="H8512" s="77">
        <v>0.91666666666666663</v>
      </c>
      <c r="J8512">
        <v>39.92</v>
      </c>
      <c r="M8512" s="74">
        <v>36880</v>
      </c>
      <c r="N8512" s="77">
        <v>0.91666666666666663</v>
      </c>
      <c r="P8512">
        <v>26.6</v>
      </c>
      <c r="S8512" s="74">
        <v>35784</v>
      </c>
      <c r="T8512" s="77">
        <v>0.91666666666666663</v>
      </c>
      <c r="V8512">
        <v>39.92</v>
      </c>
      <c r="X8512" s="42"/>
      <c r="AB8512">
        <v>38</v>
      </c>
      <c r="AC8512">
        <v>39.200000000000003</v>
      </c>
      <c r="AE8512" s="74"/>
      <c r="AF8512" s="77"/>
      <c r="AH8512" s="497">
        <v>3.1999999999999993</v>
      </c>
      <c r="AJ8512" s="42"/>
      <c r="AK8512" s="74"/>
      <c r="AL8512" s="77"/>
      <c r="AN8512" s="497">
        <v>30.92</v>
      </c>
      <c r="AP8512" s="42"/>
      <c r="AQ8512" s="74"/>
      <c r="AR8512" s="77"/>
      <c r="AT8512" s="497">
        <v>30.02</v>
      </c>
      <c r="AV8512" s="42"/>
      <c r="AW8512" s="74"/>
      <c r="AX8512" s="77"/>
      <c r="BA8512" s="497">
        <v>33.979999999999997</v>
      </c>
      <c r="BB8512" s="42"/>
      <c r="BC8512" s="74"/>
      <c r="BD8512" s="77"/>
      <c r="BF8512">
        <v>37.94</v>
      </c>
      <c r="BH8512" s="42"/>
      <c r="BI8512" s="74"/>
      <c r="BJ8512" s="77"/>
      <c r="BL8512" s="497">
        <v>37.94</v>
      </c>
      <c r="BN8512" s="42"/>
      <c r="BO8512" s="74"/>
      <c r="BP8512" s="77"/>
      <c r="BR8512" s="497">
        <v>15.079999999999998</v>
      </c>
      <c r="BT8512" s="42"/>
    </row>
    <row r="8513" spans="1:72" x14ac:dyDescent="0.25">
      <c r="A8513" s="90">
        <v>35784</v>
      </c>
      <c r="B8513" s="20">
        <v>0.95833333333333337</v>
      </c>
      <c r="D8513">
        <v>30.02</v>
      </c>
      <c r="E8513" t="str">
        <f t="shared" si="300"/>
        <v>SATURDAY</v>
      </c>
      <c r="F8513" t="e">
        <f t="shared" si="301"/>
        <v>#N/A</v>
      </c>
      <c r="G8513" s="74">
        <v>28479</v>
      </c>
      <c r="H8513" s="77">
        <v>0.95833333333333337</v>
      </c>
      <c r="J8513">
        <v>41</v>
      </c>
      <c r="M8513" s="74">
        <v>36880</v>
      </c>
      <c r="N8513" s="77">
        <v>0.95833333333333337</v>
      </c>
      <c r="P8513">
        <v>24.8</v>
      </c>
      <c r="S8513" s="74">
        <v>35784</v>
      </c>
      <c r="T8513" s="77">
        <v>0.95833333333333337</v>
      </c>
      <c r="V8513">
        <v>39.019999999999996</v>
      </c>
      <c r="X8513" s="42"/>
      <c r="AB8513">
        <v>37.6</v>
      </c>
      <c r="AC8513">
        <v>37.4</v>
      </c>
      <c r="AE8513" s="74"/>
      <c r="AF8513" s="77"/>
      <c r="AH8513" s="497">
        <v>-0.39999999999999858</v>
      </c>
      <c r="AJ8513" s="42"/>
      <c r="AK8513" s="74"/>
      <c r="AL8513" s="77"/>
      <c r="AN8513" s="497">
        <v>32</v>
      </c>
      <c r="AP8513" s="42"/>
      <c r="AQ8513" s="74"/>
      <c r="AR8513" s="77"/>
      <c r="AT8513" s="497">
        <v>30.74</v>
      </c>
      <c r="AV8513" s="42"/>
      <c r="AW8513" s="74"/>
      <c r="AX8513" s="77"/>
      <c r="BA8513" s="497">
        <v>33.619999999999997</v>
      </c>
      <c r="BB8513" s="42"/>
      <c r="BC8513" s="74"/>
      <c r="BD8513" s="77"/>
      <c r="BF8513">
        <v>37.94</v>
      </c>
      <c r="BH8513" s="42"/>
      <c r="BI8513" s="74"/>
      <c r="BJ8513" s="77"/>
      <c r="BL8513" s="497">
        <v>37.94</v>
      </c>
      <c r="BN8513" s="42"/>
      <c r="BO8513" s="74"/>
      <c r="BP8513" s="77"/>
      <c r="BR8513" s="497">
        <v>15.079999999999998</v>
      </c>
      <c r="BT8513" s="42"/>
    </row>
    <row r="8514" spans="1:72" x14ac:dyDescent="0.25">
      <c r="A8514" s="90">
        <v>35784</v>
      </c>
      <c r="B8514" s="20">
        <v>1</v>
      </c>
      <c r="D8514">
        <v>28.04</v>
      </c>
      <c r="E8514" t="str">
        <f t="shared" si="300"/>
        <v>SATURDAY</v>
      </c>
      <c r="F8514" t="e">
        <f t="shared" si="301"/>
        <v>#N/A</v>
      </c>
      <c r="G8514" s="74">
        <v>28479</v>
      </c>
      <c r="H8514" s="77">
        <v>1</v>
      </c>
      <c r="J8514">
        <v>41</v>
      </c>
      <c r="M8514" s="74">
        <v>36880</v>
      </c>
      <c r="N8514" s="80">
        <v>1</v>
      </c>
      <c r="P8514">
        <v>24.8</v>
      </c>
      <c r="S8514" s="74">
        <v>35784</v>
      </c>
      <c r="T8514" s="80">
        <v>1</v>
      </c>
      <c r="V8514">
        <v>37.94</v>
      </c>
      <c r="X8514" s="42"/>
      <c r="AB8514">
        <v>37.1</v>
      </c>
      <c r="AC8514">
        <v>37.4</v>
      </c>
      <c r="AE8514" s="74"/>
      <c r="AF8514" s="80"/>
      <c r="AH8514" s="497">
        <v>-0.39999999999999858</v>
      </c>
      <c r="AJ8514" s="42"/>
      <c r="AK8514" s="74"/>
      <c r="AL8514" s="80"/>
      <c r="AN8514" s="497">
        <v>33.979999999999997</v>
      </c>
      <c r="AP8514" s="42"/>
      <c r="AQ8514" s="74"/>
      <c r="AR8514" s="80"/>
      <c r="AT8514" s="497">
        <v>31.28</v>
      </c>
      <c r="AV8514" s="42"/>
      <c r="AW8514" s="74"/>
      <c r="AX8514" s="80"/>
      <c r="BA8514" s="497">
        <v>33.44</v>
      </c>
      <c r="BB8514" s="42"/>
      <c r="BC8514" s="74"/>
      <c r="BD8514" s="80"/>
      <c r="BF8514">
        <v>37.94</v>
      </c>
      <c r="BH8514" s="42"/>
      <c r="BI8514" s="74"/>
      <c r="BJ8514" s="80"/>
      <c r="BL8514" s="497">
        <v>37.94</v>
      </c>
      <c r="BN8514" s="42"/>
      <c r="BO8514" s="74"/>
      <c r="BP8514" s="80"/>
      <c r="BR8514" s="497">
        <v>17.059999999999999</v>
      </c>
      <c r="BT8514" s="42"/>
    </row>
    <row r="8515" spans="1:72" x14ac:dyDescent="0.25">
      <c r="A8515" s="90">
        <v>35785</v>
      </c>
      <c r="B8515" s="20">
        <v>4.1666666666666664E-2</v>
      </c>
      <c r="D8515">
        <v>26.96</v>
      </c>
      <c r="E8515" t="str">
        <f t="shared" si="300"/>
        <v>SUNDAY</v>
      </c>
      <c r="F8515" t="e">
        <f t="shared" si="301"/>
        <v>#N/A</v>
      </c>
      <c r="G8515" s="74">
        <v>28480</v>
      </c>
      <c r="H8515" s="77">
        <v>4.1666666666666664E-2</v>
      </c>
      <c r="J8515">
        <v>41</v>
      </c>
      <c r="M8515" s="74">
        <v>36881</v>
      </c>
      <c r="N8515" s="77">
        <v>4.1666666666666664E-2</v>
      </c>
      <c r="P8515">
        <v>24.08</v>
      </c>
      <c r="S8515" s="74">
        <v>35785</v>
      </c>
      <c r="T8515" s="77">
        <v>4.1666666666666664E-2</v>
      </c>
      <c r="V8515">
        <v>37.04</v>
      </c>
      <c r="X8515" s="42"/>
      <c r="AB8515">
        <v>36.799999999999997</v>
      </c>
      <c r="AC8515">
        <v>37.4</v>
      </c>
      <c r="AE8515" s="74"/>
      <c r="AF8515" s="77"/>
      <c r="AH8515" s="497">
        <v>-0.39999999999999858</v>
      </c>
      <c r="AJ8515" s="42"/>
      <c r="AK8515" s="74"/>
      <c r="AL8515" s="77"/>
      <c r="AN8515" s="497">
        <v>33.979999999999997</v>
      </c>
      <c r="AP8515" s="42"/>
      <c r="AQ8515" s="74"/>
      <c r="AR8515" s="77"/>
      <c r="AT8515" s="497">
        <v>32</v>
      </c>
      <c r="AV8515" s="42"/>
      <c r="AW8515" s="74"/>
      <c r="AX8515" s="77"/>
      <c r="BA8515" s="497">
        <v>33.08</v>
      </c>
      <c r="BB8515" s="42"/>
      <c r="BC8515" s="74"/>
      <c r="BD8515" s="77"/>
      <c r="BF8515">
        <v>37.94</v>
      </c>
      <c r="BH8515" s="42"/>
      <c r="BI8515" s="74"/>
      <c r="BJ8515" s="77"/>
      <c r="BL8515" s="497">
        <v>37.94</v>
      </c>
      <c r="BN8515" s="42"/>
      <c r="BO8515" s="74"/>
      <c r="BP8515" s="77"/>
      <c r="BR8515" s="497">
        <v>17.059999999999999</v>
      </c>
      <c r="BT8515" s="42"/>
    </row>
    <row r="8516" spans="1:72" x14ac:dyDescent="0.25">
      <c r="A8516" s="90">
        <v>35785</v>
      </c>
      <c r="B8516" s="20">
        <v>8.3333333333333329E-2</v>
      </c>
      <c r="D8516">
        <v>26.96</v>
      </c>
      <c r="E8516" t="str">
        <f t="shared" si="300"/>
        <v>SUNDAY</v>
      </c>
      <c r="F8516" t="e">
        <f t="shared" si="301"/>
        <v>#N/A</v>
      </c>
      <c r="G8516" s="74">
        <v>28480</v>
      </c>
      <c r="H8516" s="77">
        <v>8.3333333333333329E-2</v>
      </c>
      <c r="J8516">
        <v>41</v>
      </c>
      <c r="M8516" s="74">
        <v>36881</v>
      </c>
      <c r="N8516" s="77">
        <v>8.3333333333333329E-2</v>
      </c>
      <c r="P8516">
        <v>23</v>
      </c>
      <c r="S8516" s="74">
        <v>35785</v>
      </c>
      <c r="T8516" s="77">
        <v>8.3333333333333329E-2</v>
      </c>
      <c r="V8516">
        <v>35.96</v>
      </c>
      <c r="X8516" s="42"/>
      <c r="AB8516">
        <v>36.4</v>
      </c>
      <c r="AC8516">
        <v>33.799999999999997</v>
      </c>
      <c r="AE8516" s="74"/>
      <c r="AF8516" s="77"/>
      <c r="AH8516" s="497">
        <v>-0.39999999999999858</v>
      </c>
      <c r="AJ8516" s="42"/>
      <c r="AK8516" s="74"/>
      <c r="AL8516" s="77"/>
      <c r="AN8516" s="497">
        <v>33.979999999999997</v>
      </c>
      <c r="AP8516" s="42"/>
      <c r="AQ8516" s="74"/>
      <c r="AR8516" s="77"/>
      <c r="AT8516" s="497">
        <v>32.72</v>
      </c>
      <c r="AV8516" s="42"/>
      <c r="AW8516" s="74"/>
      <c r="AX8516" s="77"/>
      <c r="BA8516" s="497">
        <v>33.44</v>
      </c>
      <c r="BB8516" s="42"/>
      <c r="BC8516" s="74"/>
      <c r="BD8516" s="77"/>
      <c r="BF8516">
        <v>39.019999999999996</v>
      </c>
      <c r="BH8516" s="42"/>
      <c r="BI8516" s="74"/>
      <c r="BJ8516" s="77"/>
      <c r="BL8516" s="497">
        <v>37.94</v>
      </c>
      <c r="BN8516" s="42"/>
      <c r="BO8516" s="74"/>
      <c r="BP8516" s="77"/>
      <c r="BR8516" s="497">
        <v>17.96</v>
      </c>
      <c r="BT8516" s="42"/>
    </row>
    <row r="8517" spans="1:72" x14ac:dyDescent="0.25">
      <c r="A8517" s="90">
        <v>35785</v>
      </c>
      <c r="B8517" s="20">
        <v>0.125</v>
      </c>
      <c r="D8517">
        <v>26.060000000000002</v>
      </c>
      <c r="E8517" t="str">
        <f t="shared" si="300"/>
        <v>SUNDAY</v>
      </c>
      <c r="F8517" t="e">
        <f t="shared" si="301"/>
        <v>#N/A</v>
      </c>
      <c r="G8517" s="74">
        <v>28480</v>
      </c>
      <c r="H8517" s="77">
        <v>0.125</v>
      </c>
      <c r="J8517">
        <v>42.08</v>
      </c>
      <c r="M8517" s="74">
        <v>36881</v>
      </c>
      <c r="N8517" s="77">
        <v>0.125</v>
      </c>
      <c r="P8517">
        <v>21.2</v>
      </c>
      <c r="S8517" s="74">
        <v>35785</v>
      </c>
      <c r="T8517" s="77">
        <v>0.125</v>
      </c>
      <c r="V8517">
        <v>35.96</v>
      </c>
      <c r="X8517" s="42"/>
      <c r="AB8517">
        <v>36</v>
      </c>
      <c r="AC8517">
        <v>33.799999999999997</v>
      </c>
      <c r="AE8517" s="74"/>
      <c r="AF8517" s="77"/>
      <c r="AH8517" s="497">
        <v>1.3999999999999986</v>
      </c>
      <c r="AJ8517" s="42"/>
      <c r="AK8517" s="74"/>
      <c r="AL8517" s="77"/>
      <c r="AN8517" s="497">
        <v>35.06</v>
      </c>
      <c r="AP8517" s="42"/>
      <c r="AQ8517" s="74"/>
      <c r="AR8517" s="77"/>
      <c r="AT8517" s="497">
        <v>33.26</v>
      </c>
      <c r="AV8517" s="42"/>
      <c r="AW8517" s="74"/>
      <c r="AX8517" s="77"/>
      <c r="BA8517" s="497">
        <v>33.619999999999997</v>
      </c>
      <c r="BB8517" s="42"/>
      <c r="BC8517" s="74"/>
      <c r="BD8517" s="77"/>
      <c r="BF8517">
        <v>37.04</v>
      </c>
      <c r="BH8517" s="42"/>
      <c r="BI8517" s="74"/>
      <c r="BJ8517" s="77"/>
      <c r="BL8517" s="497">
        <v>37.94</v>
      </c>
      <c r="BN8517" s="42"/>
      <c r="BO8517" s="74"/>
      <c r="BP8517" s="77"/>
      <c r="BR8517" s="497">
        <v>17.96</v>
      </c>
      <c r="BT8517" s="42"/>
    </row>
    <row r="8518" spans="1:72" x14ac:dyDescent="0.25">
      <c r="A8518" s="90">
        <v>35785</v>
      </c>
      <c r="B8518" s="20">
        <v>0.16666666666666666</v>
      </c>
      <c r="D8518">
        <v>26.060000000000002</v>
      </c>
      <c r="E8518" t="str">
        <f t="shared" si="300"/>
        <v>SUNDAY</v>
      </c>
      <c r="F8518" t="e">
        <f t="shared" si="301"/>
        <v>#N/A</v>
      </c>
      <c r="G8518" s="74">
        <v>28480</v>
      </c>
      <c r="H8518" s="77">
        <v>0.16666666666666666</v>
      </c>
      <c r="J8518">
        <v>42.08</v>
      </c>
      <c r="M8518" s="74">
        <v>36881</v>
      </c>
      <c r="N8518" s="77">
        <v>0.16666666666666666</v>
      </c>
      <c r="P8518">
        <v>21.2</v>
      </c>
      <c r="S8518" s="74">
        <v>35785</v>
      </c>
      <c r="T8518" s="77">
        <v>0.16666666666666666</v>
      </c>
      <c r="V8518">
        <v>33.979999999999997</v>
      </c>
      <c r="X8518" s="42"/>
      <c r="AB8518">
        <v>35.700000000000003</v>
      </c>
      <c r="AC8518">
        <v>33.799999999999997</v>
      </c>
      <c r="AE8518" s="74"/>
      <c r="AF8518" s="77"/>
      <c r="AH8518" s="497">
        <v>1.3999999999999986</v>
      </c>
      <c r="AJ8518" s="42"/>
      <c r="AK8518" s="74"/>
      <c r="AL8518" s="77"/>
      <c r="AN8518" s="497">
        <v>35.96</v>
      </c>
      <c r="AP8518" s="42"/>
      <c r="AQ8518" s="74"/>
      <c r="AR8518" s="77"/>
      <c r="AT8518" s="497">
        <v>33.979999999999997</v>
      </c>
      <c r="AV8518" s="42"/>
      <c r="AW8518" s="74"/>
      <c r="AX8518" s="77"/>
      <c r="BA8518" s="497">
        <v>33.979999999999997</v>
      </c>
      <c r="BB8518" s="42"/>
      <c r="BC8518" s="74"/>
      <c r="BD8518" s="77"/>
      <c r="BF8518">
        <v>35.06</v>
      </c>
      <c r="BH8518" s="42"/>
      <c r="BI8518" s="74"/>
      <c r="BJ8518" s="77"/>
      <c r="BL8518" s="497">
        <v>37.04</v>
      </c>
      <c r="BN8518" s="42"/>
      <c r="BO8518" s="74"/>
      <c r="BP8518" s="77"/>
      <c r="BR8518" s="497">
        <v>21.02</v>
      </c>
      <c r="BT8518" s="42"/>
    </row>
    <row r="8519" spans="1:72" x14ac:dyDescent="0.25">
      <c r="A8519" s="90">
        <v>35785</v>
      </c>
      <c r="B8519" s="20">
        <v>0.20833333333333334</v>
      </c>
      <c r="D8519">
        <v>26.060000000000002</v>
      </c>
      <c r="E8519" t="str">
        <f t="shared" si="300"/>
        <v>SUNDAY</v>
      </c>
      <c r="F8519" t="e">
        <f t="shared" si="301"/>
        <v>#N/A</v>
      </c>
      <c r="G8519" s="74">
        <v>28480</v>
      </c>
      <c r="H8519" s="77">
        <v>0.20833333333333334</v>
      </c>
      <c r="J8519">
        <v>42.08</v>
      </c>
      <c r="M8519" s="74">
        <v>36881</v>
      </c>
      <c r="N8519" s="77">
        <v>0.20833333333333334</v>
      </c>
      <c r="P8519">
        <v>19.399999999999999</v>
      </c>
      <c r="S8519" s="74">
        <v>35785</v>
      </c>
      <c r="T8519" s="77">
        <v>0.20833333333333334</v>
      </c>
      <c r="V8519">
        <v>32</v>
      </c>
      <c r="X8519" s="42"/>
      <c r="AB8519">
        <v>35.5</v>
      </c>
      <c r="AC8519">
        <v>32</v>
      </c>
      <c r="AE8519" s="74"/>
      <c r="AF8519" s="77"/>
      <c r="AH8519" s="497">
        <v>3.1999999999999993</v>
      </c>
      <c r="AJ8519" s="42"/>
      <c r="AK8519" s="74"/>
      <c r="AL8519" s="77"/>
      <c r="AN8519" s="497">
        <v>35.06</v>
      </c>
      <c r="AP8519" s="42"/>
      <c r="AQ8519" s="74"/>
      <c r="AR8519" s="77"/>
      <c r="AT8519" s="497">
        <v>34.340000000000003</v>
      </c>
      <c r="AV8519" s="42"/>
      <c r="AW8519" s="74"/>
      <c r="AX8519" s="77"/>
      <c r="BA8519" s="497">
        <v>33.979999999999997</v>
      </c>
      <c r="BB8519" s="42"/>
      <c r="BC8519" s="74"/>
      <c r="BD8519" s="77"/>
      <c r="BF8519">
        <v>33.979999999999997</v>
      </c>
      <c r="BH8519" s="42"/>
      <c r="BI8519" s="74"/>
      <c r="BJ8519" s="77"/>
      <c r="BL8519" s="497">
        <v>37.04</v>
      </c>
      <c r="BN8519" s="42"/>
      <c r="BO8519" s="74"/>
      <c r="BP8519" s="77"/>
      <c r="BR8519" s="497">
        <v>21.92</v>
      </c>
      <c r="BT8519" s="42"/>
    </row>
    <row r="8520" spans="1:72" x14ac:dyDescent="0.25">
      <c r="A8520" s="90">
        <v>35785</v>
      </c>
      <c r="B8520" s="20">
        <v>0.25</v>
      </c>
      <c r="D8520">
        <v>26.96</v>
      </c>
      <c r="E8520" t="str">
        <f t="shared" si="300"/>
        <v>SUNDAY</v>
      </c>
      <c r="F8520" t="e">
        <f t="shared" si="301"/>
        <v>#N/A</v>
      </c>
      <c r="G8520" s="74">
        <v>28480</v>
      </c>
      <c r="H8520" s="77">
        <v>0.25</v>
      </c>
      <c r="J8520">
        <v>42.08</v>
      </c>
      <c r="M8520" s="74">
        <v>36881</v>
      </c>
      <c r="N8520" s="77">
        <v>0.25</v>
      </c>
      <c r="P8520">
        <v>21.2</v>
      </c>
      <c r="S8520" s="74">
        <v>35785</v>
      </c>
      <c r="T8520" s="77">
        <v>0.25</v>
      </c>
      <c r="V8520">
        <v>32</v>
      </c>
      <c r="X8520" s="42"/>
      <c r="AB8520">
        <v>35.299999999999997</v>
      </c>
      <c r="AC8520">
        <v>31.82</v>
      </c>
      <c r="AE8520" s="74"/>
      <c r="AF8520" s="77"/>
      <c r="AH8520" s="497">
        <v>3.1999999999999993</v>
      </c>
      <c r="AJ8520" s="42"/>
      <c r="AK8520" s="74"/>
      <c r="AL8520" s="77"/>
      <c r="AN8520" s="497">
        <v>35.96</v>
      </c>
      <c r="AP8520" s="42"/>
      <c r="AQ8520" s="74"/>
      <c r="AR8520" s="77"/>
      <c r="AT8520" s="497">
        <v>34.700000000000003</v>
      </c>
      <c r="AV8520" s="42"/>
      <c r="AW8520" s="74"/>
      <c r="AX8520" s="77"/>
      <c r="BA8520" s="497">
        <v>33.979999999999997</v>
      </c>
      <c r="BB8520" s="42"/>
      <c r="BC8520" s="74"/>
      <c r="BD8520" s="77"/>
      <c r="BF8520">
        <v>33.979999999999997</v>
      </c>
      <c r="BH8520" s="42"/>
      <c r="BI8520" s="74"/>
      <c r="BJ8520" s="77"/>
      <c r="BL8520" s="497">
        <v>37.04</v>
      </c>
      <c r="BN8520" s="42"/>
      <c r="BO8520" s="74"/>
      <c r="BP8520" s="77"/>
      <c r="BR8520" s="497">
        <v>28.94</v>
      </c>
      <c r="BT8520" s="42"/>
    </row>
    <row r="8521" spans="1:72" x14ac:dyDescent="0.25">
      <c r="A8521" s="90">
        <v>35785</v>
      </c>
      <c r="B8521" s="20">
        <v>0.29166666666666669</v>
      </c>
      <c r="D8521">
        <v>28.04</v>
      </c>
      <c r="E8521" t="str">
        <f t="shared" si="300"/>
        <v>SUNDAY</v>
      </c>
      <c r="F8521" t="e">
        <f t="shared" si="301"/>
        <v>#N/A</v>
      </c>
      <c r="G8521" s="74">
        <v>28480</v>
      </c>
      <c r="H8521" s="77">
        <v>0.29166666666666669</v>
      </c>
      <c r="J8521">
        <v>44.06</v>
      </c>
      <c r="M8521" s="74">
        <v>36881</v>
      </c>
      <c r="N8521" s="77">
        <v>0.29166666666666669</v>
      </c>
      <c r="P8521">
        <v>21.2</v>
      </c>
      <c r="S8521" s="74">
        <v>35785</v>
      </c>
      <c r="T8521" s="77">
        <v>0.29166666666666669</v>
      </c>
      <c r="V8521">
        <v>30.92</v>
      </c>
      <c r="X8521" s="42"/>
      <c r="AB8521">
        <v>35.299999999999997</v>
      </c>
      <c r="AC8521">
        <v>32</v>
      </c>
      <c r="AE8521" s="74"/>
      <c r="AF8521" s="77"/>
      <c r="AH8521" s="497">
        <v>3.1999999999999993</v>
      </c>
      <c r="AJ8521" s="42"/>
      <c r="AK8521" s="74"/>
      <c r="AL8521" s="77"/>
      <c r="AN8521" s="497">
        <v>35.96</v>
      </c>
      <c r="AP8521" s="42"/>
      <c r="AQ8521" s="74"/>
      <c r="AR8521" s="77"/>
      <c r="AT8521" s="497">
        <v>35.06</v>
      </c>
      <c r="AV8521" s="42"/>
      <c r="AW8521" s="74"/>
      <c r="AX8521" s="77"/>
      <c r="BA8521" s="497">
        <v>33.979999999999997</v>
      </c>
      <c r="BB8521" s="42"/>
      <c r="BC8521" s="74"/>
      <c r="BD8521" s="77"/>
      <c r="BF8521">
        <v>33.08</v>
      </c>
      <c r="BH8521" s="42"/>
      <c r="BI8521" s="74"/>
      <c r="BJ8521" s="77"/>
      <c r="BL8521" s="497">
        <v>35.96</v>
      </c>
      <c r="BN8521" s="42"/>
      <c r="BO8521" s="74"/>
      <c r="BP8521" s="77"/>
      <c r="BR8521" s="497">
        <v>33.08</v>
      </c>
      <c r="BT8521" s="42"/>
    </row>
    <row r="8522" spans="1:72" x14ac:dyDescent="0.25">
      <c r="A8522" s="90">
        <v>35785</v>
      </c>
      <c r="B8522" s="20">
        <v>0.33333333333333331</v>
      </c>
      <c r="D8522">
        <v>28.94</v>
      </c>
      <c r="E8522" t="str">
        <f t="shared" si="300"/>
        <v>SUNDAY</v>
      </c>
      <c r="F8522" t="e">
        <f t="shared" si="301"/>
        <v>#N/A</v>
      </c>
      <c r="G8522" s="74">
        <v>28480</v>
      </c>
      <c r="H8522" s="77">
        <v>0.33333333333333331</v>
      </c>
      <c r="J8522">
        <v>48.019999999999996</v>
      </c>
      <c r="M8522" s="74">
        <v>36881</v>
      </c>
      <c r="N8522" s="77">
        <v>0.33333333333333331</v>
      </c>
      <c r="P8522">
        <v>21.2</v>
      </c>
      <c r="S8522" s="74">
        <v>35785</v>
      </c>
      <c r="T8522" s="77">
        <v>0.33333333333333331</v>
      </c>
      <c r="V8522">
        <v>30.92</v>
      </c>
      <c r="X8522" s="42"/>
      <c r="AB8522">
        <v>35.200000000000003</v>
      </c>
      <c r="AC8522">
        <v>32</v>
      </c>
      <c r="AE8522" s="74"/>
      <c r="AF8522" s="77"/>
      <c r="AH8522" s="497">
        <v>3.1999999999999993</v>
      </c>
      <c r="AJ8522" s="42"/>
      <c r="AK8522" s="74"/>
      <c r="AL8522" s="77"/>
      <c r="AN8522" s="497">
        <v>35.96</v>
      </c>
      <c r="AP8522" s="42"/>
      <c r="AQ8522" s="74"/>
      <c r="AR8522" s="77"/>
      <c r="AT8522" s="497">
        <v>35.78</v>
      </c>
      <c r="AV8522" s="42"/>
      <c r="AW8522" s="74"/>
      <c r="AX8522" s="77"/>
      <c r="BA8522" s="497">
        <v>33.619999999999997</v>
      </c>
      <c r="BB8522" s="42"/>
      <c r="BC8522" s="74"/>
      <c r="BD8522" s="77"/>
      <c r="BF8522">
        <v>33.08</v>
      </c>
      <c r="BH8522" s="42"/>
      <c r="BI8522" s="74"/>
      <c r="BJ8522" s="77"/>
      <c r="BL8522" s="497">
        <v>35.06</v>
      </c>
      <c r="BN8522" s="42"/>
      <c r="BO8522" s="74"/>
      <c r="BP8522" s="77"/>
      <c r="BR8522" s="497">
        <v>35.96</v>
      </c>
      <c r="BT8522" s="42"/>
    </row>
    <row r="8523" spans="1:72" x14ac:dyDescent="0.25">
      <c r="A8523" s="90">
        <v>35785</v>
      </c>
      <c r="B8523" s="20">
        <v>0.375</v>
      </c>
      <c r="D8523">
        <v>30.92</v>
      </c>
      <c r="E8523" t="str">
        <f t="shared" si="300"/>
        <v>SUNDAY</v>
      </c>
      <c r="F8523" t="e">
        <f t="shared" si="301"/>
        <v>#N/A</v>
      </c>
      <c r="G8523" s="74">
        <v>28480</v>
      </c>
      <c r="H8523" s="77">
        <v>0.375</v>
      </c>
      <c r="J8523">
        <v>48.019999999999996</v>
      </c>
      <c r="M8523" s="74">
        <v>36881</v>
      </c>
      <c r="N8523" s="77">
        <v>0.375</v>
      </c>
      <c r="P8523">
        <v>24.8</v>
      </c>
      <c r="S8523" s="74">
        <v>35785</v>
      </c>
      <c r="T8523" s="77">
        <v>0.375</v>
      </c>
      <c r="V8523">
        <v>32</v>
      </c>
      <c r="X8523" s="42"/>
      <c r="AB8523">
        <v>35.6</v>
      </c>
      <c r="AC8523">
        <v>32</v>
      </c>
      <c r="AE8523" s="74"/>
      <c r="AF8523" s="77"/>
      <c r="AH8523" s="497">
        <v>8.5999999999999979</v>
      </c>
      <c r="AJ8523" s="42"/>
      <c r="AK8523" s="74"/>
      <c r="AL8523" s="77"/>
      <c r="AN8523" s="497">
        <v>35.06</v>
      </c>
      <c r="AP8523" s="42"/>
      <c r="AQ8523" s="74"/>
      <c r="AR8523" s="77"/>
      <c r="AT8523" s="497">
        <v>36.32</v>
      </c>
      <c r="AV8523" s="42"/>
      <c r="AW8523" s="74"/>
      <c r="AX8523" s="77"/>
      <c r="BA8523" s="497">
        <v>33.44</v>
      </c>
      <c r="BB8523" s="42"/>
      <c r="BC8523" s="74"/>
      <c r="BD8523" s="77"/>
      <c r="BF8523">
        <v>33.08</v>
      </c>
      <c r="BH8523" s="42"/>
      <c r="BI8523" s="74"/>
      <c r="BJ8523" s="77"/>
      <c r="BL8523" s="497">
        <v>35.06</v>
      </c>
      <c r="BN8523" s="42"/>
      <c r="BO8523" s="74"/>
      <c r="BP8523" s="77"/>
      <c r="BR8523" s="497">
        <v>35.06</v>
      </c>
      <c r="BT8523" s="42"/>
    </row>
    <row r="8524" spans="1:72" x14ac:dyDescent="0.25">
      <c r="A8524" s="90">
        <v>35785</v>
      </c>
      <c r="B8524" s="20">
        <v>0.41666666666666669</v>
      </c>
      <c r="D8524">
        <v>30.92</v>
      </c>
      <c r="E8524" t="str">
        <f t="shared" si="300"/>
        <v>SUNDAY</v>
      </c>
      <c r="F8524" t="e">
        <f t="shared" si="301"/>
        <v>#N/A</v>
      </c>
      <c r="G8524" s="74">
        <v>28480</v>
      </c>
      <c r="H8524" s="77">
        <v>0.41666666666666669</v>
      </c>
      <c r="J8524">
        <v>48.92</v>
      </c>
      <c r="M8524" s="74">
        <v>36881</v>
      </c>
      <c r="N8524" s="77">
        <v>0.41666666666666669</v>
      </c>
      <c r="P8524">
        <v>28.4</v>
      </c>
      <c r="S8524" s="74">
        <v>35785</v>
      </c>
      <c r="T8524" s="77">
        <v>0.41666666666666669</v>
      </c>
      <c r="V8524">
        <v>33.08</v>
      </c>
      <c r="X8524" s="42"/>
      <c r="AB8524">
        <v>37.1</v>
      </c>
      <c r="AC8524">
        <v>33.799999999999997</v>
      </c>
      <c r="AE8524" s="74"/>
      <c r="AF8524" s="77"/>
      <c r="AH8524" s="497">
        <v>14</v>
      </c>
      <c r="AJ8524" s="42"/>
      <c r="AK8524" s="74"/>
      <c r="AL8524" s="77"/>
      <c r="AN8524" s="497">
        <v>35.06</v>
      </c>
      <c r="AP8524" s="42"/>
      <c r="AQ8524" s="74"/>
      <c r="AR8524" s="77"/>
      <c r="AT8524" s="497">
        <v>37.04</v>
      </c>
      <c r="AV8524" s="42"/>
      <c r="AW8524" s="74"/>
      <c r="AX8524" s="77"/>
      <c r="BA8524" s="497">
        <v>33.08</v>
      </c>
      <c r="BB8524" s="42"/>
      <c r="BC8524" s="74"/>
      <c r="BD8524" s="77"/>
      <c r="BF8524">
        <v>33.08</v>
      </c>
      <c r="BH8524" s="42"/>
      <c r="BI8524" s="74"/>
      <c r="BJ8524" s="77"/>
      <c r="BL8524" s="497">
        <v>35.06</v>
      </c>
      <c r="BN8524" s="42"/>
      <c r="BO8524" s="74"/>
      <c r="BP8524" s="77"/>
      <c r="BR8524" s="497">
        <v>33.979999999999997</v>
      </c>
      <c r="BT8524" s="42"/>
    </row>
    <row r="8525" spans="1:72" x14ac:dyDescent="0.25">
      <c r="A8525" s="90">
        <v>35785</v>
      </c>
      <c r="B8525" s="20">
        <v>0.45833333333333331</v>
      </c>
      <c r="D8525">
        <v>33.979999999999997</v>
      </c>
      <c r="E8525" t="str">
        <f t="shared" si="300"/>
        <v>SUNDAY</v>
      </c>
      <c r="F8525" t="e">
        <f t="shared" si="301"/>
        <v>#N/A</v>
      </c>
      <c r="G8525" s="74">
        <v>28480</v>
      </c>
      <c r="H8525" s="77">
        <v>0.45833333333333331</v>
      </c>
      <c r="J8525">
        <v>44.96</v>
      </c>
      <c r="M8525" s="74">
        <v>36881</v>
      </c>
      <c r="N8525" s="77">
        <v>0.45833333333333331</v>
      </c>
      <c r="P8525">
        <v>28.4</v>
      </c>
      <c r="S8525" s="74">
        <v>35785</v>
      </c>
      <c r="T8525" s="77">
        <v>0.45833333333333331</v>
      </c>
      <c r="V8525">
        <v>35.06</v>
      </c>
      <c r="X8525" s="42"/>
      <c r="AB8525">
        <v>38.4</v>
      </c>
      <c r="AC8525">
        <v>33.799999999999997</v>
      </c>
      <c r="AE8525" s="74"/>
      <c r="AF8525" s="77"/>
      <c r="AH8525" s="497">
        <v>17.600000000000001</v>
      </c>
      <c r="AJ8525" s="42"/>
      <c r="AK8525" s="74"/>
      <c r="AL8525" s="77"/>
      <c r="AN8525" s="497">
        <v>33.08</v>
      </c>
      <c r="AP8525" s="42"/>
      <c r="AQ8525" s="74"/>
      <c r="AR8525" s="77"/>
      <c r="AT8525" s="497">
        <v>37.94</v>
      </c>
      <c r="AV8525" s="42"/>
      <c r="AW8525" s="74"/>
      <c r="AX8525" s="77"/>
      <c r="BA8525" s="497">
        <v>33.44</v>
      </c>
      <c r="BB8525" s="42"/>
      <c r="BC8525" s="74"/>
      <c r="BD8525" s="77"/>
      <c r="BF8525">
        <v>33.08</v>
      </c>
      <c r="BH8525" s="42"/>
      <c r="BI8525" s="74"/>
      <c r="BJ8525" s="77"/>
      <c r="BL8525" s="497">
        <v>35.06</v>
      </c>
      <c r="BN8525" s="42"/>
      <c r="BO8525" s="74"/>
      <c r="BP8525" s="77"/>
      <c r="BR8525" s="497">
        <v>33.08</v>
      </c>
      <c r="BT8525" s="42"/>
    </row>
    <row r="8526" spans="1:72" x14ac:dyDescent="0.25">
      <c r="A8526" s="90">
        <v>35785</v>
      </c>
      <c r="B8526" s="20">
        <v>0.5</v>
      </c>
      <c r="D8526">
        <v>35.06</v>
      </c>
      <c r="E8526" t="str">
        <f t="shared" si="300"/>
        <v>SUNDAY</v>
      </c>
      <c r="F8526" t="e">
        <f t="shared" si="301"/>
        <v>#N/A</v>
      </c>
      <c r="G8526" s="74">
        <v>28480</v>
      </c>
      <c r="H8526" s="77">
        <v>0.5</v>
      </c>
      <c r="J8526">
        <v>46.04</v>
      </c>
      <c r="M8526" s="74">
        <v>36881</v>
      </c>
      <c r="N8526" s="77">
        <v>0.5</v>
      </c>
      <c r="P8526">
        <v>30.2</v>
      </c>
      <c r="S8526" s="74">
        <v>35785</v>
      </c>
      <c r="T8526" s="77">
        <v>0.5</v>
      </c>
      <c r="V8526">
        <v>35.96</v>
      </c>
      <c r="X8526" s="42"/>
      <c r="AB8526">
        <v>39.6</v>
      </c>
      <c r="AC8526">
        <v>35.6</v>
      </c>
      <c r="AE8526" s="74"/>
      <c r="AF8526" s="77"/>
      <c r="AH8526" s="497">
        <v>21.2</v>
      </c>
      <c r="AJ8526" s="42"/>
      <c r="AK8526" s="74"/>
      <c r="AL8526" s="77"/>
      <c r="AN8526" s="497">
        <v>32</v>
      </c>
      <c r="AP8526" s="42"/>
      <c r="AQ8526" s="74"/>
      <c r="AR8526" s="77"/>
      <c r="AT8526" s="497">
        <v>39.019999999999996</v>
      </c>
      <c r="AV8526" s="42"/>
      <c r="AW8526" s="74"/>
      <c r="AX8526" s="77"/>
      <c r="BA8526" s="497">
        <v>33.619999999999997</v>
      </c>
      <c r="BB8526" s="42"/>
      <c r="BC8526" s="74"/>
      <c r="BD8526" s="77"/>
      <c r="BF8526">
        <v>33.08</v>
      </c>
      <c r="BH8526" s="42"/>
      <c r="BI8526" s="74"/>
      <c r="BJ8526" s="77"/>
      <c r="BL8526" s="497">
        <v>33.979999999999997</v>
      </c>
      <c r="BN8526" s="42"/>
      <c r="BO8526" s="74"/>
      <c r="BP8526" s="77"/>
      <c r="BR8526" s="497">
        <v>24.08</v>
      </c>
      <c r="BT8526" s="42"/>
    </row>
    <row r="8527" spans="1:72" x14ac:dyDescent="0.25">
      <c r="A8527" s="90">
        <v>35785</v>
      </c>
      <c r="B8527" s="20">
        <v>0.54166666666666663</v>
      </c>
      <c r="D8527">
        <v>35.96</v>
      </c>
      <c r="E8527" t="str">
        <f t="shared" si="300"/>
        <v>SUNDAY</v>
      </c>
      <c r="F8527" t="e">
        <f t="shared" si="301"/>
        <v>#N/A</v>
      </c>
      <c r="G8527" s="74">
        <v>28480</v>
      </c>
      <c r="H8527" s="77">
        <v>0.54166666666666663</v>
      </c>
      <c r="J8527">
        <v>53.96</v>
      </c>
      <c r="M8527" s="74">
        <v>36881</v>
      </c>
      <c r="N8527" s="77">
        <v>0.54166666666666663</v>
      </c>
      <c r="P8527">
        <v>30.2</v>
      </c>
      <c r="S8527" s="74">
        <v>35785</v>
      </c>
      <c r="T8527" s="77">
        <v>0.54166666666666663</v>
      </c>
      <c r="V8527">
        <v>37.04</v>
      </c>
      <c r="X8527" s="42"/>
      <c r="AB8527">
        <v>40.6</v>
      </c>
      <c r="AC8527">
        <v>37.4</v>
      </c>
      <c r="AE8527" s="74"/>
      <c r="AF8527" s="77"/>
      <c r="AH8527" s="497">
        <v>24.8</v>
      </c>
      <c r="AJ8527" s="42"/>
      <c r="AK8527" s="74"/>
      <c r="AL8527" s="77"/>
      <c r="AN8527" s="497">
        <v>32</v>
      </c>
      <c r="AP8527" s="42"/>
      <c r="AQ8527" s="74"/>
      <c r="AR8527" s="77"/>
      <c r="AT8527" s="497">
        <v>39.92</v>
      </c>
      <c r="AV8527" s="42"/>
      <c r="AW8527" s="74"/>
      <c r="AX8527" s="77"/>
      <c r="BA8527" s="497">
        <v>33.979999999999997</v>
      </c>
      <c r="BB8527" s="42"/>
      <c r="BC8527" s="74"/>
      <c r="BD8527" s="77"/>
      <c r="BF8527">
        <v>33.08</v>
      </c>
      <c r="BH8527" s="42"/>
      <c r="BI8527" s="74"/>
      <c r="BJ8527" s="77"/>
      <c r="BL8527" s="497">
        <v>33.979999999999997</v>
      </c>
      <c r="BN8527" s="42"/>
      <c r="BO8527" s="74"/>
      <c r="BP8527" s="77"/>
      <c r="BR8527" s="497">
        <v>21.02</v>
      </c>
      <c r="BT8527" s="42"/>
    </row>
    <row r="8528" spans="1:72" x14ac:dyDescent="0.25">
      <c r="A8528" s="90">
        <v>35785</v>
      </c>
      <c r="B8528" s="20">
        <v>0.58333333333333337</v>
      </c>
      <c r="D8528">
        <v>37.94</v>
      </c>
      <c r="E8528" t="str">
        <f t="shared" si="300"/>
        <v>SUNDAY</v>
      </c>
      <c r="F8528" t="e">
        <f t="shared" si="301"/>
        <v>#N/A</v>
      </c>
      <c r="G8528" s="74">
        <v>28480</v>
      </c>
      <c r="H8528" s="77">
        <v>0.58333333333333337</v>
      </c>
      <c r="J8528">
        <v>53.96</v>
      </c>
      <c r="M8528" s="74">
        <v>36881</v>
      </c>
      <c r="N8528" s="77">
        <v>0.58333333333333337</v>
      </c>
      <c r="P8528">
        <v>30.2</v>
      </c>
      <c r="S8528" s="74">
        <v>35785</v>
      </c>
      <c r="T8528" s="77">
        <v>0.58333333333333337</v>
      </c>
      <c r="V8528">
        <v>37.94</v>
      </c>
      <c r="X8528" s="42"/>
      <c r="AB8528">
        <v>41.3</v>
      </c>
      <c r="AC8528">
        <v>37.4</v>
      </c>
      <c r="AE8528" s="74"/>
      <c r="AF8528" s="77"/>
      <c r="AH8528" s="497">
        <v>26.6</v>
      </c>
      <c r="AJ8528" s="42"/>
      <c r="AK8528" s="74"/>
      <c r="AL8528" s="77"/>
      <c r="AN8528" s="497">
        <v>30.02</v>
      </c>
      <c r="AP8528" s="42"/>
      <c r="AQ8528" s="74"/>
      <c r="AR8528" s="77"/>
      <c r="AT8528" s="497">
        <v>37.22</v>
      </c>
      <c r="AV8528" s="42"/>
      <c r="AW8528" s="74"/>
      <c r="AX8528" s="77"/>
      <c r="BA8528" s="497">
        <v>33.979999999999997</v>
      </c>
      <c r="BB8528" s="42"/>
      <c r="BC8528" s="74"/>
      <c r="BD8528" s="77"/>
      <c r="BF8528">
        <v>33.08</v>
      </c>
      <c r="BH8528" s="42"/>
      <c r="BI8528" s="74"/>
      <c r="BJ8528" s="77"/>
      <c r="BL8528" s="497">
        <v>33.979999999999997</v>
      </c>
      <c r="BN8528" s="42"/>
      <c r="BO8528" s="74"/>
      <c r="BP8528" s="77"/>
      <c r="BR8528" s="497">
        <v>21.92</v>
      </c>
      <c r="BT8528" s="42"/>
    </row>
    <row r="8529" spans="1:72" x14ac:dyDescent="0.25">
      <c r="A8529" s="90">
        <v>35785</v>
      </c>
      <c r="B8529" s="20">
        <v>0.625</v>
      </c>
      <c r="D8529">
        <v>39.019999999999996</v>
      </c>
      <c r="E8529" t="str">
        <f t="shared" si="300"/>
        <v>SUNDAY</v>
      </c>
      <c r="F8529" t="e">
        <f t="shared" si="301"/>
        <v>#N/A</v>
      </c>
      <c r="G8529" s="74">
        <v>28480</v>
      </c>
      <c r="H8529" s="77">
        <v>0.625</v>
      </c>
      <c r="J8529">
        <v>53.06</v>
      </c>
      <c r="M8529" s="74">
        <v>36881</v>
      </c>
      <c r="N8529" s="77">
        <v>0.625</v>
      </c>
      <c r="P8529">
        <v>32</v>
      </c>
      <c r="S8529" s="74">
        <v>35785</v>
      </c>
      <c r="T8529" s="77">
        <v>0.625</v>
      </c>
      <c r="V8529">
        <v>37.94</v>
      </c>
      <c r="X8529" s="42"/>
      <c r="AB8529">
        <v>41.7</v>
      </c>
      <c r="AC8529">
        <v>35.6</v>
      </c>
      <c r="AE8529" s="74"/>
      <c r="AF8529" s="77"/>
      <c r="AH8529" s="497">
        <v>28.4</v>
      </c>
      <c r="AJ8529" s="42"/>
      <c r="AK8529" s="74"/>
      <c r="AL8529" s="77"/>
      <c r="AN8529" s="497">
        <v>28.94</v>
      </c>
      <c r="AP8529" s="42"/>
      <c r="AQ8529" s="74"/>
      <c r="AR8529" s="77"/>
      <c r="AT8529" s="497">
        <v>34.700000000000003</v>
      </c>
      <c r="AV8529" s="42"/>
      <c r="AW8529" s="74"/>
      <c r="AX8529" s="77"/>
      <c r="BA8529" s="497">
        <v>33.979999999999997</v>
      </c>
      <c r="BB8529" s="42"/>
      <c r="BC8529" s="74"/>
      <c r="BD8529" s="77"/>
      <c r="BF8529">
        <v>33.08</v>
      </c>
      <c r="BH8529" s="42"/>
      <c r="BI8529" s="74"/>
      <c r="BJ8529" s="77"/>
      <c r="BL8529" s="497">
        <v>33.979999999999997</v>
      </c>
      <c r="BN8529" s="42"/>
      <c r="BO8529" s="74"/>
      <c r="BP8529" s="77"/>
      <c r="BR8529" s="497">
        <v>21.02</v>
      </c>
      <c r="BT8529" s="42"/>
    </row>
    <row r="8530" spans="1:72" x14ac:dyDescent="0.25">
      <c r="A8530" s="90">
        <v>35785</v>
      </c>
      <c r="B8530" s="20">
        <v>0.66666666666666663</v>
      </c>
      <c r="D8530">
        <v>39.019999999999996</v>
      </c>
      <c r="E8530" t="str">
        <f t="shared" si="300"/>
        <v>SUNDAY</v>
      </c>
      <c r="F8530" t="e">
        <f t="shared" si="301"/>
        <v>#N/A</v>
      </c>
      <c r="G8530" s="74">
        <v>28480</v>
      </c>
      <c r="H8530" s="77">
        <v>0.66666666666666663</v>
      </c>
      <c r="J8530">
        <v>51.980000000000004</v>
      </c>
      <c r="M8530" s="74">
        <v>36881</v>
      </c>
      <c r="N8530" s="77">
        <v>0.66666666666666663</v>
      </c>
      <c r="P8530">
        <v>30.2</v>
      </c>
      <c r="S8530" s="74">
        <v>35785</v>
      </c>
      <c r="T8530" s="77">
        <v>0.66666666666666663</v>
      </c>
      <c r="V8530">
        <v>37.04</v>
      </c>
      <c r="X8530" s="42"/>
      <c r="AB8530">
        <v>41.6</v>
      </c>
      <c r="AC8530">
        <v>35.6</v>
      </c>
      <c r="AE8530" s="74"/>
      <c r="AF8530" s="77"/>
      <c r="AH8530" s="497">
        <v>28.4</v>
      </c>
      <c r="AJ8530" s="42"/>
      <c r="AK8530" s="74"/>
      <c r="AL8530" s="77"/>
      <c r="AN8530" s="497">
        <v>28.94</v>
      </c>
      <c r="AP8530" s="42"/>
      <c r="AQ8530" s="74"/>
      <c r="AR8530" s="77"/>
      <c r="AT8530" s="497">
        <v>32</v>
      </c>
      <c r="AV8530" s="42"/>
      <c r="AW8530" s="74"/>
      <c r="AX8530" s="77"/>
      <c r="BA8530" s="497">
        <v>33.979999999999997</v>
      </c>
      <c r="BB8530" s="42"/>
      <c r="BC8530" s="74"/>
      <c r="BD8530" s="77"/>
      <c r="BF8530">
        <v>33.08</v>
      </c>
      <c r="BH8530" s="42"/>
      <c r="BI8530" s="74"/>
      <c r="BJ8530" s="77"/>
      <c r="BL8530" s="497">
        <v>33.979999999999997</v>
      </c>
      <c r="BN8530" s="42"/>
      <c r="BO8530" s="74"/>
      <c r="BP8530" s="77"/>
      <c r="BR8530" s="497">
        <v>21.02</v>
      </c>
      <c r="BT8530" s="42"/>
    </row>
    <row r="8531" spans="1:72" x14ac:dyDescent="0.25">
      <c r="A8531" s="90">
        <v>35785</v>
      </c>
      <c r="B8531" s="20">
        <v>0.70833333333333337</v>
      </c>
      <c r="D8531">
        <v>37.94</v>
      </c>
      <c r="E8531" t="str">
        <f t="shared" ref="E8531:E8594" si="302">IF(COUNTIF($DI$18:$DI$22, WEEKDAY(A8531))=1, "WEEKDAY", IF(WEEKDAY(A8531) = 1, "SUNDAY", "SATURDAY"))</f>
        <v>SUNDAY</v>
      </c>
      <c r="F8531" t="e">
        <f t="shared" si="301"/>
        <v>#N/A</v>
      </c>
      <c r="G8531" s="74">
        <v>28480</v>
      </c>
      <c r="H8531" s="77">
        <v>0.70833333333333337</v>
      </c>
      <c r="J8531">
        <v>48.92</v>
      </c>
      <c r="M8531" s="74">
        <v>36881</v>
      </c>
      <c r="N8531" s="77">
        <v>0.70833333333333337</v>
      </c>
      <c r="P8531">
        <v>28.4</v>
      </c>
      <c r="S8531" s="74">
        <v>35785</v>
      </c>
      <c r="T8531" s="77">
        <v>0.70833333333333337</v>
      </c>
      <c r="V8531">
        <v>35.06</v>
      </c>
      <c r="X8531" s="42"/>
      <c r="AB8531">
        <v>40.799999999999997</v>
      </c>
      <c r="AC8531">
        <v>32</v>
      </c>
      <c r="AE8531" s="74"/>
      <c r="AF8531" s="77"/>
      <c r="AH8531" s="497">
        <v>28.4</v>
      </c>
      <c r="AJ8531" s="42"/>
      <c r="AK8531" s="74"/>
      <c r="AL8531" s="77"/>
      <c r="AN8531" s="497">
        <v>28.94</v>
      </c>
      <c r="AP8531" s="42"/>
      <c r="AQ8531" s="74"/>
      <c r="AR8531" s="77"/>
      <c r="AT8531" s="497">
        <v>30.92</v>
      </c>
      <c r="AV8531" s="42"/>
      <c r="AW8531" s="74"/>
      <c r="AX8531" s="77"/>
      <c r="BA8531" s="497">
        <v>33.979999999999997</v>
      </c>
      <c r="BB8531" s="42"/>
      <c r="BC8531" s="74"/>
      <c r="BD8531" s="77"/>
      <c r="BF8531">
        <v>33.08</v>
      </c>
      <c r="BH8531" s="42"/>
      <c r="BI8531" s="74"/>
      <c r="BJ8531" s="77"/>
      <c r="BL8531" s="497">
        <v>33.979999999999997</v>
      </c>
      <c r="BN8531" s="42"/>
      <c r="BO8531" s="74"/>
      <c r="BP8531" s="77"/>
      <c r="BR8531" s="497">
        <v>19.939999999999998</v>
      </c>
      <c r="BT8531" s="42"/>
    </row>
    <row r="8532" spans="1:72" x14ac:dyDescent="0.25">
      <c r="A8532" s="90">
        <v>35785</v>
      </c>
      <c r="B8532" s="20">
        <v>0.75</v>
      </c>
      <c r="D8532">
        <v>37.94</v>
      </c>
      <c r="E8532" t="str">
        <f t="shared" si="302"/>
        <v>SUNDAY</v>
      </c>
      <c r="F8532" t="e">
        <f t="shared" si="301"/>
        <v>#N/A</v>
      </c>
      <c r="G8532" s="74">
        <v>28480</v>
      </c>
      <c r="H8532" s="77">
        <v>0.75</v>
      </c>
      <c r="J8532">
        <v>46.04</v>
      </c>
      <c r="M8532" s="74">
        <v>36881</v>
      </c>
      <c r="N8532" s="77">
        <v>0.75</v>
      </c>
      <c r="P8532">
        <v>28.4</v>
      </c>
      <c r="S8532" s="74">
        <v>35785</v>
      </c>
      <c r="T8532" s="77">
        <v>0.75</v>
      </c>
      <c r="V8532">
        <v>35.06</v>
      </c>
      <c r="X8532" s="42"/>
      <c r="AB8532">
        <v>39.700000000000003</v>
      </c>
      <c r="AC8532">
        <v>30.2</v>
      </c>
      <c r="AE8532" s="74"/>
      <c r="AF8532" s="77"/>
      <c r="AH8532" s="497">
        <v>24.8</v>
      </c>
      <c r="AJ8532" s="42"/>
      <c r="AK8532" s="74"/>
      <c r="AL8532" s="77"/>
      <c r="AN8532" s="497">
        <v>28.94</v>
      </c>
      <c r="AP8532" s="42"/>
      <c r="AQ8532" s="74"/>
      <c r="AR8532" s="77"/>
      <c r="AT8532" s="497">
        <v>30.02</v>
      </c>
      <c r="AV8532" s="42"/>
      <c r="AW8532" s="74"/>
      <c r="AX8532" s="77"/>
      <c r="BA8532" s="497">
        <v>33.979999999999997</v>
      </c>
      <c r="BB8532" s="42"/>
      <c r="BC8532" s="74"/>
      <c r="BD8532" s="77"/>
      <c r="BF8532">
        <v>32</v>
      </c>
      <c r="BH8532" s="42"/>
      <c r="BI8532" s="74"/>
      <c r="BJ8532" s="77"/>
      <c r="BL8532" s="497">
        <v>33.08</v>
      </c>
      <c r="BN8532" s="42"/>
      <c r="BO8532" s="74"/>
      <c r="BP8532" s="77"/>
      <c r="BR8532" s="497">
        <v>19.04</v>
      </c>
      <c r="BT8532" s="42"/>
    </row>
    <row r="8533" spans="1:72" x14ac:dyDescent="0.25">
      <c r="A8533" s="90">
        <v>35785</v>
      </c>
      <c r="B8533" s="20">
        <v>0.79166666666666663</v>
      </c>
      <c r="D8533">
        <v>37.94</v>
      </c>
      <c r="E8533" t="str">
        <f t="shared" si="302"/>
        <v>SUNDAY</v>
      </c>
      <c r="F8533" t="e">
        <f t="shared" si="301"/>
        <v>#N/A</v>
      </c>
      <c r="G8533" s="74">
        <v>28480</v>
      </c>
      <c r="H8533" s="77">
        <v>0.79166666666666663</v>
      </c>
      <c r="J8533">
        <v>44.06</v>
      </c>
      <c r="M8533" s="74">
        <v>36881</v>
      </c>
      <c r="N8533" s="77">
        <v>0.79166666666666663</v>
      </c>
      <c r="P8533">
        <v>28.4</v>
      </c>
      <c r="S8533" s="74">
        <v>35785</v>
      </c>
      <c r="T8533" s="77">
        <v>0.79166666666666663</v>
      </c>
      <c r="V8533">
        <v>30.92</v>
      </c>
      <c r="X8533" s="42"/>
      <c r="AB8533">
        <v>39.200000000000003</v>
      </c>
      <c r="AC8533">
        <v>30.2</v>
      </c>
      <c r="AE8533" s="74"/>
      <c r="AF8533" s="77"/>
      <c r="AH8533" s="497">
        <v>21.2</v>
      </c>
      <c r="AJ8533" s="42"/>
      <c r="AK8533" s="74"/>
      <c r="AL8533" s="77"/>
      <c r="AN8533" s="497">
        <v>28.04</v>
      </c>
      <c r="AP8533" s="42"/>
      <c r="AQ8533" s="74"/>
      <c r="AR8533" s="77"/>
      <c r="AT8533" s="497">
        <v>28.94</v>
      </c>
      <c r="AV8533" s="42"/>
      <c r="AW8533" s="74"/>
      <c r="AX8533" s="77"/>
      <c r="BA8533" s="497">
        <v>33.979999999999997</v>
      </c>
      <c r="BB8533" s="42"/>
      <c r="BC8533" s="74"/>
      <c r="BD8533" s="77"/>
      <c r="BF8533">
        <v>30.92</v>
      </c>
      <c r="BH8533" s="42"/>
      <c r="BI8533" s="74"/>
      <c r="BJ8533" s="77"/>
      <c r="BL8533" s="497">
        <v>33.08</v>
      </c>
      <c r="BN8533" s="42"/>
      <c r="BO8533" s="74"/>
      <c r="BP8533" s="77"/>
      <c r="BR8533" s="497">
        <v>19.04</v>
      </c>
      <c r="BT8533" s="42"/>
    </row>
    <row r="8534" spans="1:72" x14ac:dyDescent="0.25">
      <c r="A8534" s="90">
        <v>35785</v>
      </c>
      <c r="B8534" s="20">
        <v>0.83333333333333337</v>
      </c>
      <c r="D8534">
        <v>37.94</v>
      </c>
      <c r="E8534" t="str">
        <f t="shared" si="302"/>
        <v>SUNDAY</v>
      </c>
      <c r="F8534" t="e">
        <f t="shared" si="301"/>
        <v>#N/A</v>
      </c>
      <c r="G8534" s="74">
        <v>28480</v>
      </c>
      <c r="H8534" s="77">
        <v>0.83333333333333337</v>
      </c>
      <c r="J8534">
        <v>42.980000000000004</v>
      </c>
      <c r="M8534" s="74">
        <v>36881</v>
      </c>
      <c r="N8534" s="77">
        <v>0.83333333333333337</v>
      </c>
      <c r="P8534">
        <v>26.6</v>
      </c>
      <c r="S8534" s="74">
        <v>35785</v>
      </c>
      <c r="T8534" s="77">
        <v>0.83333333333333337</v>
      </c>
      <c r="V8534">
        <v>32</v>
      </c>
      <c r="X8534" s="42"/>
      <c r="AB8534">
        <v>39</v>
      </c>
      <c r="AC8534">
        <v>30.2</v>
      </c>
      <c r="AE8534" s="74"/>
      <c r="AF8534" s="77"/>
      <c r="AH8534" s="497">
        <v>19.399999999999999</v>
      </c>
      <c r="AJ8534" s="42"/>
      <c r="AK8534" s="74"/>
      <c r="AL8534" s="77"/>
      <c r="AN8534" s="497">
        <v>26.96</v>
      </c>
      <c r="AP8534" s="42"/>
      <c r="AQ8534" s="74"/>
      <c r="AR8534" s="77"/>
      <c r="AT8534" s="497">
        <v>27.68</v>
      </c>
      <c r="AV8534" s="42"/>
      <c r="AW8534" s="74"/>
      <c r="AX8534" s="77"/>
      <c r="BA8534" s="497">
        <v>33.619999999999997</v>
      </c>
      <c r="BB8534" s="42"/>
      <c r="BC8534" s="74"/>
      <c r="BD8534" s="77"/>
      <c r="BF8534">
        <v>30.02</v>
      </c>
      <c r="BH8534" s="42"/>
      <c r="BI8534" s="74"/>
      <c r="BJ8534" s="77"/>
      <c r="BL8534" s="497">
        <v>33.08</v>
      </c>
      <c r="BN8534" s="42"/>
      <c r="BO8534" s="74"/>
      <c r="BP8534" s="77"/>
      <c r="BR8534" s="497">
        <v>17.96</v>
      </c>
      <c r="BT8534" s="42"/>
    </row>
    <row r="8535" spans="1:72" x14ac:dyDescent="0.25">
      <c r="A8535" s="90">
        <v>35785</v>
      </c>
      <c r="B8535" s="20">
        <v>0.875</v>
      </c>
      <c r="D8535">
        <v>37.94</v>
      </c>
      <c r="E8535" t="str">
        <f t="shared" si="302"/>
        <v>SUNDAY</v>
      </c>
      <c r="F8535" t="e">
        <f t="shared" si="301"/>
        <v>#N/A</v>
      </c>
      <c r="G8535" s="74">
        <v>28480</v>
      </c>
      <c r="H8535" s="77">
        <v>0.875</v>
      </c>
      <c r="J8535">
        <v>42.980000000000004</v>
      </c>
      <c r="M8535" s="74">
        <v>36881</v>
      </c>
      <c r="N8535" s="77">
        <v>0.875</v>
      </c>
      <c r="P8535">
        <v>30.2</v>
      </c>
      <c r="S8535" s="74">
        <v>35785</v>
      </c>
      <c r="T8535" s="77">
        <v>0.875</v>
      </c>
      <c r="V8535">
        <v>30.02</v>
      </c>
      <c r="X8535" s="42"/>
      <c r="AB8535">
        <v>38.5</v>
      </c>
      <c r="AC8535">
        <v>30.2</v>
      </c>
      <c r="AE8535" s="74"/>
      <c r="AF8535" s="77"/>
      <c r="AH8535" s="497">
        <v>17.600000000000001</v>
      </c>
      <c r="AJ8535" s="42"/>
      <c r="AK8535" s="74"/>
      <c r="AL8535" s="77"/>
      <c r="AN8535" s="497">
        <v>26.060000000000002</v>
      </c>
      <c r="AP8535" s="42"/>
      <c r="AQ8535" s="74"/>
      <c r="AR8535" s="77"/>
      <c r="AT8535" s="497">
        <v>26.24</v>
      </c>
      <c r="AV8535" s="42"/>
      <c r="AW8535" s="74"/>
      <c r="AX8535" s="77"/>
      <c r="BA8535" s="497">
        <v>33.44</v>
      </c>
      <c r="BB8535" s="42"/>
      <c r="BC8535" s="74"/>
      <c r="BD8535" s="77"/>
      <c r="BF8535">
        <v>30.02</v>
      </c>
      <c r="BH8535" s="42"/>
      <c r="BI8535" s="74"/>
      <c r="BJ8535" s="77"/>
      <c r="BL8535" s="497">
        <v>32</v>
      </c>
      <c r="BN8535" s="42"/>
      <c r="BO8535" s="74"/>
      <c r="BP8535" s="77"/>
      <c r="BR8535" s="497">
        <v>17.059999999999999</v>
      </c>
      <c r="BT8535" s="42"/>
    </row>
    <row r="8536" spans="1:72" x14ac:dyDescent="0.25">
      <c r="A8536" s="90">
        <v>35785</v>
      </c>
      <c r="B8536" s="20">
        <v>0.91666666666666663</v>
      </c>
      <c r="D8536">
        <v>37.94</v>
      </c>
      <c r="E8536" t="str">
        <f t="shared" si="302"/>
        <v>SUNDAY</v>
      </c>
      <c r="F8536" t="e">
        <f t="shared" si="301"/>
        <v>#N/A</v>
      </c>
      <c r="G8536" s="74">
        <v>28480</v>
      </c>
      <c r="H8536" s="77">
        <v>0.91666666666666663</v>
      </c>
      <c r="J8536">
        <v>39.92</v>
      </c>
      <c r="M8536" s="74">
        <v>36881</v>
      </c>
      <c r="N8536" s="77">
        <v>0.91666666666666663</v>
      </c>
      <c r="P8536">
        <v>30.2</v>
      </c>
      <c r="S8536" s="74">
        <v>35785</v>
      </c>
      <c r="T8536" s="77">
        <v>0.91666666666666663</v>
      </c>
      <c r="V8536">
        <v>28.94</v>
      </c>
      <c r="X8536" s="42"/>
      <c r="AB8536">
        <v>37.9</v>
      </c>
      <c r="AC8536">
        <v>28.4</v>
      </c>
      <c r="AE8536" s="74"/>
      <c r="AF8536" s="77"/>
      <c r="AH8536" s="497">
        <v>15.8</v>
      </c>
      <c r="AJ8536" s="42"/>
      <c r="AK8536" s="74"/>
      <c r="AL8536" s="77"/>
      <c r="AN8536" s="497">
        <v>26.96</v>
      </c>
      <c r="AP8536" s="42"/>
      <c r="AQ8536" s="74"/>
      <c r="AR8536" s="77"/>
      <c r="AT8536" s="497">
        <v>24.98</v>
      </c>
      <c r="AV8536" s="42"/>
      <c r="AW8536" s="74"/>
      <c r="AX8536" s="77"/>
      <c r="BA8536" s="497">
        <v>33.08</v>
      </c>
      <c r="BB8536" s="42"/>
      <c r="BC8536" s="74"/>
      <c r="BD8536" s="77"/>
      <c r="BF8536">
        <v>28.94</v>
      </c>
      <c r="BH8536" s="42"/>
      <c r="BI8536" s="74"/>
      <c r="BJ8536" s="77"/>
      <c r="BL8536" s="497">
        <v>32</v>
      </c>
      <c r="BN8536" s="42"/>
      <c r="BO8536" s="74"/>
      <c r="BP8536" s="77"/>
      <c r="BR8536" s="497">
        <v>17.059999999999999</v>
      </c>
      <c r="BT8536" s="42"/>
    </row>
    <row r="8537" spans="1:72" x14ac:dyDescent="0.25">
      <c r="A8537" s="90">
        <v>35785</v>
      </c>
      <c r="B8537" s="20">
        <v>0.95833333333333337</v>
      </c>
      <c r="D8537">
        <v>37.94</v>
      </c>
      <c r="E8537" t="str">
        <f t="shared" si="302"/>
        <v>SUNDAY</v>
      </c>
      <c r="F8537" t="e">
        <f t="shared" si="301"/>
        <v>#N/A</v>
      </c>
      <c r="G8537" s="74">
        <v>28480</v>
      </c>
      <c r="H8537" s="77">
        <v>0.95833333333333337</v>
      </c>
      <c r="J8537">
        <v>39.92</v>
      </c>
      <c r="M8537" s="74">
        <v>36881</v>
      </c>
      <c r="N8537" s="77">
        <v>0.95833333333333337</v>
      </c>
      <c r="P8537">
        <v>30.2</v>
      </c>
      <c r="S8537" s="74">
        <v>35785</v>
      </c>
      <c r="T8537" s="77">
        <v>0.95833333333333337</v>
      </c>
      <c r="V8537">
        <v>28.94</v>
      </c>
      <c r="X8537" s="42"/>
      <c r="AB8537">
        <v>37.5</v>
      </c>
      <c r="AC8537">
        <v>26.6</v>
      </c>
      <c r="AE8537" s="74"/>
      <c r="AF8537" s="77"/>
      <c r="AH8537" s="497">
        <v>15.8</v>
      </c>
      <c r="AJ8537" s="42"/>
      <c r="AK8537" s="74"/>
      <c r="AL8537" s="77"/>
      <c r="AN8537" s="497">
        <v>26.060000000000002</v>
      </c>
      <c r="AP8537" s="42"/>
      <c r="AQ8537" s="74"/>
      <c r="AR8537" s="77"/>
      <c r="AT8537" s="497">
        <v>24.98</v>
      </c>
      <c r="AV8537" s="42"/>
      <c r="AW8537" s="74"/>
      <c r="AX8537" s="77"/>
      <c r="BA8537" s="497">
        <v>32.36</v>
      </c>
      <c r="BB8537" s="42"/>
      <c r="BC8537" s="74"/>
      <c r="BD8537" s="77"/>
      <c r="BF8537">
        <v>28.04</v>
      </c>
      <c r="BH8537" s="42"/>
      <c r="BI8537" s="74"/>
      <c r="BJ8537" s="77"/>
      <c r="BL8537" s="497">
        <v>30.92</v>
      </c>
      <c r="BN8537" s="42"/>
      <c r="BO8537" s="74"/>
      <c r="BP8537" s="77"/>
      <c r="BR8537" s="497">
        <v>15.98</v>
      </c>
      <c r="BT8537" s="42"/>
    </row>
    <row r="8538" spans="1:72" x14ac:dyDescent="0.25">
      <c r="A8538" s="90">
        <v>35785</v>
      </c>
      <c r="B8538" s="20">
        <v>1</v>
      </c>
      <c r="D8538">
        <v>37.94</v>
      </c>
      <c r="E8538" t="str">
        <f t="shared" si="302"/>
        <v>SUNDAY</v>
      </c>
      <c r="F8538" t="e">
        <f t="shared" si="301"/>
        <v>#N/A</v>
      </c>
      <c r="G8538" s="74">
        <v>28480</v>
      </c>
      <c r="H8538" s="77">
        <v>1</v>
      </c>
      <c r="J8538">
        <v>39.92</v>
      </c>
      <c r="M8538" s="74">
        <v>36881</v>
      </c>
      <c r="N8538" s="80">
        <v>1</v>
      </c>
      <c r="P8538">
        <v>30.2</v>
      </c>
      <c r="S8538" s="74">
        <v>35785</v>
      </c>
      <c r="T8538" s="80">
        <v>1</v>
      </c>
      <c r="V8538">
        <v>26.060000000000002</v>
      </c>
      <c r="X8538" s="42"/>
      <c r="AB8538">
        <v>37</v>
      </c>
      <c r="AC8538">
        <v>26.6</v>
      </c>
      <c r="AE8538" s="74"/>
      <c r="AF8538" s="80"/>
      <c r="AH8538" s="497">
        <v>14</v>
      </c>
      <c r="AJ8538" s="42"/>
      <c r="AK8538" s="74"/>
      <c r="AL8538" s="80"/>
      <c r="AN8538" s="497">
        <v>26.060000000000002</v>
      </c>
      <c r="AP8538" s="42"/>
      <c r="AQ8538" s="74"/>
      <c r="AR8538" s="80"/>
      <c r="AT8538" s="497">
        <v>24.98</v>
      </c>
      <c r="AV8538" s="42"/>
      <c r="AW8538" s="74"/>
      <c r="AX8538" s="80"/>
      <c r="BA8538" s="497">
        <v>31.64</v>
      </c>
      <c r="BB8538" s="42"/>
      <c r="BC8538" s="74"/>
      <c r="BD8538" s="80"/>
      <c r="BF8538">
        <v>28.04</v>
      </c>
      <c r="BH8538" s="42"/>
      <c r="BI8538" s="74"/>
      <c r="BJ8538" s="80"/>
      <c r="BL8538" s="497">
        <v>30.02</v>
      </c>
      <c r="BN8538" s="42"/>
      <c r="BO8538" s="74"/>
      <c r="BP8538" s="80"/>
      <c r="BR8538" s="497">
        <v>15.079999999999998</v>
      </c>
      <c r="BT8538" s="42"/>
    </row>
    <row r="8539" spans="1:72" x14ac:dyDescent="0.25">
      <c r="A8539" s="90">
        <v>35786</v>
      </c>
      <c r="B8539" s="20">
        <v>4.1666666666666664E-2</v>
      </c>
      <c r="D8539">
        <v>39.019999999999996</v>
      </c>
      <c r="E8539" t="str">
        <f t="shared" si="302"/>
        <v>WEEKDAY</v>
      </c>
      <c r="F8539" t="e">
        <f t="shared" si="301"/>
        <v>#N/A</v>
      </c>
      <c r="G8539" s="74">
        <v>28481</v>
      </c>
      <c r="H8539" s="77">
        <v>4.1666666666666664E-2</v>
      </c>
      <c r="J8539">
        <v>39.019999999999996</v>
      </c>
      <c r="M8539" s="74">
        <v>36882</v>
      </c>
      <c r="N8539" s="77">
        <v>4.1666666666666664E-2</v>
      </c>
      <c r="P8539">
        <v>28.4</v>
      </c>
      <c r="S8539" s="74">
        <v>35786</v>
      </c>
      <c r="T8539" s="77">
        <v>4.1666666666666664E-2</v>
      </c>
      <c r="V8539">
        <v>26.060000000000002</v>
      </c>
      <c r="X8539" s="42"/>
      <c r="AB8539">
        <v>36.6</v>
      </c>
      <c r="AC8539">
        <v>21.2</v>
      </c>
      <c r="AE8539" s="74"/>
      <c r="AF8539" s="77"/>
      <c r="AH8539" s="497">
        <v>12.2</v>
      </c>
      <c r="AJ8539" s="42"/>
      <c r="AK8539" s="74"/>
      <c r="AL8539" s="77"/>
      <c r="AN8539" s="497">
        <v>24.98</v>
      </c>
      <c r="AP8539" s="42"/>
      <c r="AQ8539" s="74"/>
      <c r="AR8539" s="77"/>
      <c r="AT8539" s="497">
        <v>24.98</v>
      </c>
      <c r="AV8539" s="42"/>
      <c r="AW8539" s="74"/>
      <c r="AX8539" s="77"/>
      <c r="BA8539" s="497">
        <v>30.92</v>
      </c>
      <c r="BB8539" s="42"/>
      <c r="BC8539" s="74"/>
      <c r="BD8539" s="77"/>
      <c r="BF8539">
        <v>28.04</v>
      </c>
      <c r="BH8539" s="42"/>
      <c r="BI8539" s="74"/>
      <c r="BJ8539" s="77"/>
      <c r="BL8539" s="497">
        <v>30.02</v>
      </c>
      <c r="BN8539" s="42"/>
      <c r="BO8539" s="74"/>
      <c r="BP8539" s="77"/>
      <c r="BR8539" s="497">
        <v>15.079999999999998</v>
      </c>
      <c r="BT8539" s="42"/>
    </row>
    <row r="8540" spans="1:72" x14ac:dyDescent="0.25">
      <c r="A8540" s="90">
        <v>35786</v>
      </c>
      <c r="B8540" s="20">
        <v>8.3333333333333329E-2</v>
      </c>
      <c r="D8540">
        <v>37.94</v>
      </c>
      <c r="E8540" t="str">
        <f t="shared" si="302"/>
        <v>WEEKDAY</v>
      </c>
      <c r="F8540" t="e">
        <f t="shared" si="301"/>
        <v>#N/A</v>
      </c>
      <c r="G8540" s="74">
        <v>28481</v>
      </c>
      <c r="H8540" s="77">
        <v>8.3333333333333329E-2</v>
      </c>
      <c r="J8540">
        <v>37.94</v>
      </c>
      <c r="M8540" s="74">
        <v>36882</v>
      </c>
      <c r="N8540" s="77">
        <v>8.3333333333333329E-2</v>
      </c>
      <c r="P8540">
        <v>30.2</v>
      </c>
      <c r="S8540" s="74">
        <v>35786</v>
      </c>
      <c r="T8540" s="77">
        <v>8.3333333333333329E-2</v>
      </c>
      <c r="V8540">
        <v>26.96</v>
      </c>
      <c r="X8540" s="42"/>
      <c r="AB8540">
        <v>36.200000000000003</v>
      </c>
      <c r="AC8540">
        <v>24.8</v>
      </c>
      <c r="AE8540" s="74"/>
      <c r="AF8540" s="77"/>
      <c r="AH8540" s="497">
        <v>14</v>
      </c>
      <c r="AJ8540" s="42"/>
      <c r="AK8540" s="74"/>
      <c r="AL8540" s="77"/>
      <c r="AN8540" s="497">
        <v>24.98</v>
      </c>
      <c r="AP8540" s="42"/>
      <c r="AQ8540" s="74"/>
      <c r="AR8540" s="77"/>
      <c r="AT8540" s="497">
        <v>24.98</v>
      </c>
      <c r="AV8540" s="42"/>
      <c r="AW8540" s="74"/>
      <c r="AX8540" s="77"/>
      <c r="BA8540" s="497">
        <v>30.2</v>
      </c>
      <c r="BB8540" s="42"/>
      <c r="BC8540" s="74"/>
      <c r="BD8540" s="77"/>
      <c r="BF8540">
        <v>26.96</v>
      </c>
      <c r="BH8540" s="42"/>
      <c r="BI8540" s="74"/>
      <c r="BJ8540" s="77"/>
      <c r="BL8540" s="497">
        <v>30.02</v>
      </c>
      <c r="BN8540" s="42"/>
      <c r="BO8540" s="74"/>
      <c r="BP8540" s="77"/>
      <c r="BR8540" s="497">
        <v>15.079999999999998</v>
      </c>
      <c r="BT8540" s="42"/>
    </row>
    <row r="8541" spans="1:72" x14ac:dyDescent="0.25">
      <c r="A8541" s="90">
        <v>35786</v>
      </c>
      <c r="B8541" s="20">
        <v>0.125</v>
      </c>
      <c r="D8541">
        <v>39.019999999999996</v>
      </c>
      <c r="E8541" t="str">
        <f t="shared" si="302"/>
        <v>WEEKDAY</v>
      </c>
      <c r="F8541" t="e">
        <f t="shared" si="301"/>
        <v>#N/A</v>
      </c>
      <c r="G8541" s="74">
        <v>28481</v>
      </c>
      <c r="H8541" s="77">
        <v>0.125</v>
      </c>
      <c r="J8541">
        <v>37.04</v>
      </c>
      <c r="M8541" s="74">
        <v>36882</v>
      </c>
      <c r="N8541" s="77">
        <v>0.125</v>
      </c>
      <c r="P8541">
        <v>30.2</v>
      </c>
      <c r="S8541" s="74">
        <v>35786</v>
      </c>
      <c r="T8541" s="77">
        <v>0.125</v>
      </c>
      <c r="V8541">
        <v>26.96</v>
      </c>
      <c r="X8541" s="42"/>
      <c r="AB8541">
        <v>35.799999999999997</v>
      </c>
      <c r="AC8541">
        <v>23</v>
      </c>
      <c r="AE8541" s="74"/>
      <c r="AF8541" s="77"/>
      <c r="AH8541" s="497">
        <v>14</v>
      </c>
      <c r="AJ8541" s="42"/>
      <c r="AK8541" s="74"/>
      <c r="AL8541" s="77"/>
      <c r="AN8541" s="497">
        <v>24.98</v>
      </c>
      <c r="AP8541" s="42"/>
      <c r="AQ8541" s="74"/>
      <c r="AR8541" s="77"/>
      <c r="AT8541" s="497">
        <v>24.98</v>
      </c>
      <c r="AV8541" s="42"/>
      <c r="AW8541" s="74"/>
      <c r="AX8541" s="77"/>
      <c r="BA8541" s="497">
        <v>29.66</v>
      </c>
      <c r="BB8541" s="42"/>
      <c r="BC8541" s="74"/>
      <c r="BD8541" s="77"/>
      <c r="BF8541">
        <v>26.060000000000002</v>
      </c>
      <c r="BH8541" s="42"/>
      <c r="BI8541" s="74"/>
      <c r="BJ8541" s="77"/>
      <c r="BL8541" s="497">
        <v>28.94</v>
      </c>
      <c r="BN8541" s="42"/>
      <c r="BO8541" s="74"/>
      <c r="BP8541" s="77"/>
      <c r="BR8541" s="497">
        <v>14</v>
      </c>
      <c r="BT8541" s="42"/>
    </row>
    <row r="8542" spans="1:72" x14ac:dyDescent="0.25">
      <c r="A8542" s="90">
        <v>35786</v>
      </c>
      <c r="B8542" s="20">
        <v>0.16666666666666666</v>
      </c>
      <c r="D8542">
        <v>37.94</v>
      </c>
      <c r="E8542" t="str">
        <f t="shared" si="302"/>
        <v>WEEKDAY</v>
      </c>
      <c r="F8542" t="e">
        <f t="shared" si="301"/>
        <v>#N/A</v>
      </c>
      <c r="G8542" s="74">
        <v>28481</v>
      </c>
      <c r="H8542" s="77">
        <v>0.16666666666666666</v>
      </c>
      <c r="J8542">
        <v>35.96</v>
      </c>
      <c r="M8542" s="74">
        <v>36882</v>
      </c>
      <c r="N8542" s="77">
        <v>0.16666666666666666</v>
      </c>
      <c r="P8542">
        <v>30.2</v>
      </c>
      <c r="S8542" s="74">
        <v>35786</v>
      </c>
      <c r="T8542" s="77">
        <v>0.16666666666666666</v>
      </c>
      <c r="V8542">
        <v>26.060000000000002</v>
      </c>
      <c r="X8542" s="42"/>
      <c r="AB8542">
        <v>35.5</v>
      </c>
      <c r="AC8542">
        <v>23</v>
      </c>
      <c r="AE8542" s="74"/>
      <c r="AF8542" s="77"/>
      <c r="AH8542" s="497">
        <v>15.8</v>
      </c>
      <c r="AJ8542" s="42"/>
      <c r="AK8542" s="74"/>
      <c r="AL8542" s="77"/>
      <c r="AN8542" s="497">
        <v>24.98</v>
      </c>
      <c r="AP8542" s="42"/>
      <c r="AQ8542" s="74"/>
      <c r="AR8542" s="77"/>
      <c r="AT8542" s="497">
        <v>24.98</v>
      </c>
      <c r="AV8542" s="42"/>
      <c r="AW8542" s="74"/>
      <c r="AX8542" s="77"/>
      <c r="BA8542" s="497">
        <v>28.94</v>
      </c>
      <c r="BB8542" s="42"/>
      <c r="BC8542" s="74"/>
      <c r="BD8542" s="77"/>
      <c r="BF8542">
        <v>26.060000000000002</v>
      </c>
      <c r="BH8542" s="42"/>
      <c r="BI8542" s="74"/>
      <c r="BJ8542" s="77"/>
      <c r="BL8542" s="497">
        <v>28.94</v>
      </c>
      <c r="BN8542" s="42"/>
      <c r="BO8542" s="74"/>
      <c r="BP8542" s="77"/>
      <c r="BR8542" s="497">
        <v>12.920000000000002</v>
      </c>
      <c r="BT8542" s="42"/>
    </row>
    <row r="8543" spans="1:72" x14ac:dyDescent="0.25">
      <c r="A8543" s="90">
        <v>35786</v>
      </c>
      <c r="B8543" s="20">
        <v>0.20833333333333334</v>
      </c>
      <c r="D8543">
        <v>37.94</v>
      </c>
      <c r="E8543" t="str">
        <f t="shared" si="302"/>
        <v>WEEKDAY</v>
      </c>
      <c r="F8543" t="e">
        <f t="shared" si="301"/>
        <v>#N/A</v>
      </c>
      <c r="G8543" s="74">
        <v>28481</v>
      </c>
      <c r="H8543" s="77">
        <v>0.20833333333333334</v>
      </c>
      <c r="J8543">
        <v>35.06</v>
      </c>
      <c r="M8543" s="74">
        <v>36882</v>
      </c>
      <c r="N8543" s="77">
        <v>0.20833333333333334</v>
      </c>
      <c r="P8543">
        <v>28.4</v>
      </c>
      <c r="S8543" s="74">
        <v>35786</v>
      </c>
      <c r="T8543" s="77">
        <v>0.20833333333333334</v>
      </c>
      <c r="V8543">
        <v>24.98</v>
      </c>
      <c r="X8543" s="42"/>
      <c r="AB8543">
        <v>35.299999999999997</v>
      </c>
      <c r="AC8543">
        <v>23</v>
      </c>
      <c r="AE8543" s="74"/>
      <c r="AF8543" s="77"/>
      <c r="AH8543" s="497">
        <v>14</v>
      </c>
      <c r="AJ8543" s="42"/>
      <c r="AK8543" s="74"/>
      <c r="AL8543" s="77"/>
      <c r="AN8543" s="497">
        <v>26.060000000000002</v>
      </c>
      <c r="AP8543" s="42"/>
      <c r="AQ8543" s="74"/>
      <c r="AR8543" s="77"/>
      <c r="AT8543" s="497">
        <v>24.62</v>
      </c>
      <c r="AV8543" s="42"/>
      <c r="AW8543" s="74"/>
      <c r="AX8543" s="77"/>
      <c r="BA8543" s="497">
        <v>28.22</v>
      </c>
      <c r="BB8543" s="42"/>
      <c r="BC8543" s="74"/>
      <c r="BD8543" s="77"/>
      <c r="BF8543">
        <v>24.98</v>
      </c>
      <c r="BH8543" s="42"/>
      <c r="BI8543" s="74"/>
      <c r="BJ8543" s="77"/>
      <c r="BL8543" s="497">
        <v>28.94</v>
      </c>
      <c r="BN8543" s="42"/>
      <c r="BO8543" s="74"/>
      <c r="BP8543" s="77"/>
      <c r="BR8543" s="497">
        <v>6.98</v>
      </c>
      <c r="BT8543" s="42"/>
    </row>
    <row r="8544" spans="1:72" x14ac:dyDescent="0.25">
      <c r="A8544" s="90">
        <v>35786</v>
      </c>
      <c r="B8544" s="20">
        <v>0.25</v>
      </c>
      <c r="D8544">
        <v>37.04</v>
      </c>
      <c r="E8544" t="str">
        <f t="shared" si="302"/>
        <v>WEEKDAY</v>
      </c>
      <c r="F8544" t="e">
        <f t="shared" si="301"/>
        <v>#N/A</v>
      </c>
      <c r="G8544" s="74">
        <v>28481</v>
      </c>
      <c r="H8544" s="77">
        <v>0.25</v>
      </c>
      <c r="J8544">
        <v>33.979999999999997</v>
      </c>
      <c r="M8544" s="74">
        <v>36882</v>
      </c>
      <c r="N8544" s="77">
        <v>0.25</v>
      </c>
      <c r="P8544">
        <v>28.4</v>
      </c>
      <c r="S8544" s="74">
        <v>35786</v>
      </c>
      <c r="T8544" s="77">
        <v>0.25</v>
      </c>
      <c r="V8544">
        <v>24.98</v>
      </c>
      <c r="X8544" s="42"/>
      <c r="AB8544">
        <v>35.1</v>
      </c>
      <c r="AC8544">
        <v>19.399999999999999</v>
      </c>
      <c r="AE8544" s="74"/>
      <c r="AF8544" s="77"/>
      <c r="AH8544" s="497">
        <v>15.8</v>
      </c>
      <c r="AJ8544" s="42"/>
      <c r="AK8544" s="74"/>
      <c r="AL8544" s="77"/>
      <c r="AN8544" s="497">
        <v>26.060000000000002</v>
      </c>
      <c r="AP8544" s="42"/>
      <c r="AQ8544" s="74"/>
      <c r="AR8544" s="77"/>
      <c r="AT8544" s="497">
        <v>24.439999999999998</v>
      </c>
      <c r="AV8544" s="42"/>
      <c r="AW8544" s="74"/>
      <c r="AX8544" s="77"/>
      <c r="BA8544" s="497">
        <v>27.68</v>
      </c>
      <c r="BB8544" s="42"/>
      <c r="BC8544" s="74"/>
      <c r="BD8544" s="77"/>
      <c r="BF8544">
        <v>24.08</v>
      </c>
      <c r="BH8544" s="42"/>
      <c r="BI8544" s="74"/>
      <c r="BJ8544" s="77"/>
      <c r="BL8544" s="497">
        <v>28.04</v>
      </c>
      <c r="BN8544" s="42"/>
      <c r="BO8544" s="74"/>
      <c r="BP8544" s="77"/>
      <c r="BR8544" s="497">
        <v>3.9200000000000017</v>
      </c>
      <c r="BT8544" s="42"/>
    </row>
    <row r="8545" spans="1:72" x14ac:dyDescent="0.25">
      <c r="A8545" s="90">
        <v>35786</v>
      </c>
      <c r="B8545" s="20">
        <v>0.29166666666666669</v>
      </c>
      <c r="D8545">
        <v>37.04</v>
      </c>
      <c r="E8545" t="str">
        <f t="shared" si="302"/>
        <v>WEEKDAY</v>
      </c>
      <c r="F8545" t="e">
        <f t="shared" si="301"/>
        <v>#N/A</v>
      </c>
      <c r="G8545" s="74">
        <v>28481</v>
      </c>
      <c r="H8545" s="77">
        <v>0.29166666666666669</v>
      </c>
      <c r="J8545">
        <v>33.979999999999997</v>
      </c>
      <c r="M8545" s="74">
        <v>36882</v>
      </c>
      <c r="N8545" s="77">
        <v>0.29166666666666669</v>
      </c>
      <c r="P8545">
        <v>28.4</v>
      </c>
      <c r="S8545" s="74">
        <v>35786</v>
      </c>
      <c r="T8545" s="77">
        <v>0.29166666666666669</v>
      </c>
      <c r="V8545">
        <v>23</v>
      </c>
      <c r="X8545" s="42"/>
      <c r="AB8545">
        <v>35.1</v>
      </c>
      <c r="AC8545">
        <v>24.8</v>
      </c>
      <c r="AE8545" s="74"/>
      <c r="AF8545" s="77"/>
      <c r="AH8545" s="497">
        <v>15.8</v>
      </c>
      <c r="AJ8545" s="42"/>
      <c r="AK8545" s="74"/>
      <c r="AL8545" s="77"/>
      <c r="AN8545" s="497">
        <v>26.060000000000002</v>
      </c>
      <c r="AP8545" s="42"/>
      <c r="AQ8545" s="74"/>
      <c r="AR8545" s="77"/>
      <c r="AT8545" s="497">
        <v>24.08</v>
      </c>
      <c r="AV8545" s="42"/>
      <c r="AW8545" s="74"/>
      <c r="AX8545" s="77"/>
      <c r="BA8545" s="497">
        <v>26.96</v>
      </c>
      <c r="BB8545" s="42"/>
      <c r="BC8545" s="74"/>
      <c r="BD8545" s="77"/>
      <c r="BF8545">
        <v>24.08</v>
      </c>
      <c r="BH8545" s="42"/>
      <c r="BI8545" s="74"/>
      <c r="BJ8545" s="77"/>
      <c r="BL8545" s="497">
        <v>28.04</v>
      </c>
      <c r="BN8545" s="42"/>
      <c r="BO8545" s="74"/>
      <c r="BP8545" s="77"/>
      <c r="BR8545" s="497">
        <v>3.9200000000000017</v>
      </c>
      <c r="BT8545" s="42"/>
    </row>
    <row r="8546" spans="1:72" x14ac:dyDescent="0.25">
      <c r="A8546" s="90">
        <v>35786</v>
      </c>
      <c r="B8546" s="20">
        <v>0.33333333333333331</v>
      </c>
      <c r="D8546">
        <v>37.04</v>
      </c>
      <c r="E8546" t="str">
        <f t="shared" si="302"/>
        <v>WEEKDAY</v>
      </c>
      <c r="F8546" t="e">
        <f t="shared" si="301"/>
        <v>#N/A</v>
      </c>
      <c r="G8546" s="74">
        <v>28481</v>
      </c>
      <c r="H8546" s="77">
        <v>0.33333333333333331</v>
      </c>
      <c r="J8546">
        <v>33.08</v>
      </c>
      <c r="M8546" s="74">
        <v>36882</v>
      </c>
      <c r="N8546" s="77">
        <v>0.33333333333333331</v>
      </c>
      <c r="P8546">
        <v>26.6</v>
      </c>
      <c r="S8546" s="74">
        <v>35786</v>
      </c>
      <c r="T8546" s="77">
        <v>0.33333333333333331</v>
      </c>
      <c r="V8546">
        <v>24.08</v>
      </c>
      <c r="X8546" s="42"/>
      <c r="AB8546">
        <v>35.1</v>
      </c>
      <c r="AC8546">
        <v>23</v>
      </c>
      <c r="AE8546" s="74"/>
      <c r="AF8546" s="77"/>
      <c r="AH8546" s="497">
        <v>15.8</v>
      </c>
      <c r="AJ8546" s="42"/>
      <c r="AK8546" s="74"/>
      <c r="AL8546" s="77"/>
      <c r="AN8546" s="497">
        <v>26.060000000000002</v>
      </c>
      <c r="AP8546" s="42"/>
      <c r="AQ8546" s="74"/>
      <c r="AR8546" s="77"/>
      <c r="AT8546" s="497">
        <v>25.7</v>
      </c>
      <c r="AV8546" s="42"/>
      <c r="AW8546" s="74"/>
      <c r="AX8546" s="77"/>
      <c r="BA8546" s="497">
        <v>28.04</v>
      </c>
      <c r="BB8546" s="42"/>
      <c r="BC8546" s="74"/>
      <c r="BD8546" s="77"/>
      <c r="BF8546">
        <v>24.08</v>
      </c>
      <c r="BH8546" s="42"/>
      <c r="BI8546" s="74"/>
      <c r="BJ8546" s="77"/>
      <c r="BL8546" s="497">
        <v>28.04</v>
      </c>
      <c r="BN8546" s="42"/>
      <c r="BO8546" s="74"/>
      <c r="BP8546" s="77"/>
      <c r="BR8546" s="497">
        <v>-0.94000000000000483</v>
      </c>
      <c r="BT8546" s="42"/>
    </row>
    <row r="8547" spans="1:72" x14ac:dyDescent="0.25">
      <c r="A8547" s="90">
        <v>35786</v>
      </c>
      <c r="B8547" s="20">
        <v>0.375</v>
      </c>
      <c r="D8547">
        <v>39.92</v>
      </c>
      <c r="E8547" t="str">
        <f t="shared" si="302"/>
        <v>WEEKDAY</v>
      </c>
      <c r="F8547" t="e">
        <f t="shared" si="301"/>
        <v>#N/A</v>
      </c>
      <c r="G8547" s="74">
        <v>28481</v>
      </c>
      <c r="H8547" s="77">
        <v>0.375</v>
      </c>
      <c r="J8547">
        <v>33.979999999999997</v>
      </c>
      <c r="M8547" s="74">
        <v>36882</v>
      </c>
      <c r="N8547" s="77">
        <v>0.375</v>
      </c>
      <c r="P8547">
        <v>28.4</v>
      </c>
      <c r="S8547" s="74">
        <v>35786</v>
      </c>
      <c r="T8547" s="77">
        <v>0.375</v>
      </c>
      <c r="V8547">
        <v>26.96</v>
      </c>
      <c r="X8547" s="42"/>
      <c r="AB8547">
        <v>35.5</v>
      </c>
      <c r="AC8547">
        <v>28.4</v>
      </c>
      <c r="AE8547" s="74"/>
      <c r="AF8547" s="77"/>
      <c r="AH8547" s="497">
        <v>21.2</v>
      </c>
      <c r="AJ8547" s="42"/>
      <c r="AK8547" s="74"/>
      <c r="AL8547" s="77"/>
      <c r="AN8547" s="497">
        <v>26.96</v>
      </c>
      <c r="AP8547" s="42"/>
      <c r="AQ8547" s="74"/>
      <c r="AR8547" s="77"/>
      <c r="AT8547" s="497">
        <v>27.32</v>
      </c>
      <c r="AV8547" s="42"/>
      <c r="AW8547" s="74"/>
      <c r="AX8547" s="77"/>
      <c r="BA8547" s="497">
        <v>28.94</v>
      </c>
      <c r="BB8547" s="42"/>
      <c r="BC8547" s="74"/>
      <c r="BD8547" s="77"/>
      <c r="BF8547">
        <v>26.060000000000002</v>
      </c>
      <c r="BH8547" s="42"/>
      <c r="BI8547" s="74"/>
      <c r="BJ8547" s="77"/>
      <c r="BL8547" s="497">
        <v>28.04</v>
      </c>
      <c r="BN8547" s="42"/>
      <c r="BO8547" s="74"/>
      <c r="BP8547" s="77"/>
      <c r="BR8547" s="497">
        <v>6.98</v>
      </c>
      <c r="BT8547" s="42"/>
    </row>
    <row r="8548" spans="1:72" x14ac:dyDescent="0.25">
      <c r="A8548" s="90">
        <v>35786</v>
      </c>
      <c r="B8548" s="20">
        <v>0.41666666666666669</v>
      </c>
      <c r="D8548">
        <v>41</v>
      </c>
      <c r="E8548" t="str">
        <f t="shared" si="302"/>
        <v>WEEKDAY</v>
      </c>
      <c r="F8548" t="e">
        <f t="shared" si="301"/>
        <v>#N/A</v>
      </c>
      <c r="G8548" s="74">
        <v>28481</v>
      </c>
      <c r="H8548" s="77">
        <v>0.41666666666666669</v>
      </c>
      <c r="J8548">
        <v>35.06</v>
      </c>
      <c r="M8548" s="74">
        <v>36882</v>
      </c>
      <c r="N8548" s="77">
        <v>0.41666666666666669</v>
      </c>
      <c r="P8548">
        <v>30.2</v>
      </c>
      <c r="S8548" s="74">
        <v>35786</v>
      </c>
      <c r="T8548" s="77">
        <v>0.41666666666666669</v>
      </c>
      <c r="V8548">
        <v>28.04</v>
      </c>
      <c r="X8548" s="42"/>
      <c r="AB8548">
        <v>37</v>
      </c>
      <c r="AC8548">
        <v>30.2</v>
      </c>
      <c r="AE8548" s="74"/>
      <c r="AF8548" s="77"/>
      <c r="AH8548" s="497">
        <v>28.4</v>
      </c>
      <c r="AJ8548" s="42"/>
      <c r="AK8548" s="74"/>
      <c r="AL8548" s="77"/>
      <c r="AN8548" s="497">
        <v>26.96</v>
      </c>
      <c r="AP8548" s="42"/>
      <c r="AQ8548" s="74"/>
      <c r="AR8548" s="77"/>
      <c r="AT8548" s="497">
        <v>28.94</v>
      </c>
      <c r="AV8548" s="42"/>
      <c r="AW8548" s="74"/>
      <c r="AX8548" s="77"/>
      <c r="BA8548" s="497">
        <v>30.02</v>
      </c>
      <c r="BB8548" s="42"/>
      <c r="BC8548" s="74"/>
      <c r="BD8548" s="77"/>
      <c r="BF8548">
        <v>28.04</v>
      </c>
      <c r="BH8548" s="42"/>
      <c r="BI8548" s="74"/>
      <c r="BJ8548" s="77"/>
      <c r="BL8548" s="497">
        <v>28.04</v>
      </c>
      <c r="BN8548" s="42"/>
      <c r="BO8548" s="74"/>
      <c r="BP8548" s="77"/>
      <c r="BR8548" s="497">
        <v>10.940000000000001</v>
      </c>
      <c r="BT8548" s="42"/>
    </row>
    <row r="8549" spans="1:72" x14ac:dyDescent="0.25">
      <c r="A8549" s="90">
        <v>35786</v>
      </c>
      <c r="B8549" s="20">
        <v>0.45833333333333331</v>
      </c>
      <c r="D8549">
        <v>44.96</v>
      </c>
      <c r="E8549" t="str">
        <f t="shared" si="302"/>
        <v>WEEKDAY</v>
      </c>
      <c r="F8549" t="e">
        <f t="shared" si="301"/>
        <v>#N/A</v>
      </c>
      <c r="G8549" s="74">
        <v>28481</v>
      </c>
      <c r="H8549" s="77">
        <v>0.45833333333333331</v>
      </c>
      <c r="J8549">
        <v>35.96</v>
      </c>
      <c r="M8549" s="74">
        <v>36882</v>
      </c>
      <c r="N8549" s="77">
        <v>0.45833333333333331</v>
      </c>
      <c r="P8549">
        <v>30.2</v>
      </c>
      <c r="S8549" s="74">
        <v>35786</v>
      </c>
      <c r="T8549" s="77">
        <v>0.45833333333333331</v>
      </c>
      <c r="V8549">
        <v>30.02</v>
      </c>
      <c r="X8549" s="42"/>
      <c r="AB8549">
        <v>38.299999999999997</v>
      </c>
      <c r="AC8549">
        <v>33.799999999999997</v>
      </c>
      <c r="AE8549" s="74"/>
      <c r="AF8549" s="77"/>
      <c r="AH8549" s="497">
        <v>35.6</v>
      </c>
      <c r="AJ8549" s="42"/>
      <c r="AK8549" s="74"/>
      <c r="AL8549" s="77"/>
      <c r="AN8549" s="497">
        <v>28.04</v>
      </c>
      <c r="AP8549" s="42"/>
      <c r="AQ8549" s="74"/>
      <c r="AR8549" s="77"/>
      <c r="AT8549" s="497">
        <v>30.38</v>
      </c>
      <c r="AV8549" s="42"/>
      <c r="AW8549" s="74"/>
      <c r="AX8549" s="77"/>
      <c r="BA8549" s="497">
        <v>30.74</v>
      </c>
      <c r="BB8549" s="42"/>
      <c r="BC8549" s="74"/>
      <c r="BD8549" s="77"/>
      <c r="BF8549">
        <v>30.02</v>
      </c>
      <c r="BH8549" s="42"/>
      <c r="BI8549" s="74"/>
      <c r="BJ8549" s="77"/>
      <c r="BL8549" s="497">
        <v>28.94</v>
      </c>
      <c r="BN8549" s="42"/>
      <c r="BO8549" s="74"/>
      <c r="BP8549" s="77"/>
      <c r="BR8549" s="497">
        <v>15.079999999999998</v>
      </c>
      <c r="BT8549" s="42"/>
    </row>
    <row r="8550" spans="1:72" x14ac:dyDescent="0.25">
      <c r="A8550" s="90">
        <v>35786</v>
      </c>
      <c r="B8550" s="20">
        <v>0.5</v>
      </c>
      <c r="D8550">
        <v>44.96</v>
      </c>
      <c r="E8550" t="str">
        <f t="shared" si="302"/>
        <v>WEEKDAY</v>
      </c>
      <c r="F8550" t="e">
        <f t="shared" si="301"/>
        <v>#N/A</v>
      </c>
      <c r="G8550" s="74">
        <v>28481</v>
      </c>
      <c r="H8550" s="77">
        <v>0.5</v>
      </c>
      <c r="J8550">
        <v>37.04</v>
      </c>
      <c r="M8550" s="74">
        <v>36882</v>
      </c>
      <c r="N8550" s="77">
        <v>0.5</v>
      </c>
      <c r="P8550">
        <v>30.2</v>
      </c>
      <c r="S8550" s="74">
        <v>35786</v>
      </c>
      <c r="T8550" s="77">
        <v>0.5</v>
      </c>
      <c r="V8550">
        <v>33.08</v>
      </c>
      <c r="X8550" s="42"/>
      <c r="AB8550">
        <v>39.5</v>
      </c>
      <c r="AC8550">
        <v>33.799999999999997</v>
      </c>
      <c r="AE8550" s="74"/>
      <c r="AF8550" s="77"/>
      <c r="AH8550" s="497">
        <v>37.4</v>
      </c>
      <c r="AJ8550" s="42"/>
      <c r="AK8550" s="74"/>
      <c r="AL8550" s="77"/>
      <c r="AN8550" s="497">
        <v>28.04</v>
      </c>
      <c r="AP8550" s="42"/>
      <c r="AQ8550" s="74"/>
      <c r="AR8550" s="77"/>
      <c r="AT8550" s="497">
        <v>31.64</v>
      </c>
      <c r="AV8550" s="42"/>
      <c r="AW8550" s="74"/>
      <c r="AX8550" s="77"/>
      <c r="BA8550" s="497">
        <v>31.28</v>
      </c>
      <c r="BB8550" s="42"/>
      <c r="BC8550" s="74"/>
      <c r="BD8550" s="77"/>
      <c r="BF8550">
        <v>30.02</v>
      </c>
      <c r="BH8550" s="42"/>
      <c r="BI8550" s="74"/>
      <c r="BJ8550" s="77"/>
      <c r="BL8550" s="497">
        <v>30.02</v>
      </c>
      <c r="BN8550" s="42"/>
      <c r="BO8550" s="74"/>
      <c r="BP8550" s="77"/>
      <c r="BR8550" s="497">
        <v>19.939999999999998</v>
      </c>
      <c r="BT8550" s="42"/>
    </row>
    <row r="8551" spans="1:72" x14ac:dyDescent="0.25">
      <c r="A8551" s="90">
        <v>35786</v>
      </c>
      <c r="B8551" s="20">
        <v>0.54166666666666663</v>
      </c>
      <c r="D8551">
        <v>46.94</v>
      </c>
      <c r="E8551" t="str">
        <f t="shared" si="302"/>
        <v>WEEKDAY</v>
      </c>
      <c r="F8551" t="e">
        <f t="shared" si="301"/>
        <v>#N/A</v>
      </c>
      <c r="G8551" s="74">
        <v>28481</v>
      </c>
      <c r="H8551" s="77">
        <v>0.54166666666666663</v>
      </c>
      <c r="J8551">
        <v>37.94</v>
      </c>
      <c r="M8551" s="74">
        <v>36882</v>
      </c>
      <c r="N8551" s="77">
        <v>0.54166666666666663</v>
      </c>
      <c r="P8551">
        <v>30.92</v>
      </c>
      <c r="S8551" s="74">
        <v>35786</v>
      </c>
      <c r="T8551" s="77">
        <v>0.54166666666666663</v>
      </c>
      <c r="V8551">
        <v>33.08</v>
      </c>
      <c r="X8551" s="42"/>
      <c r="AB8551">
        <v>40.5</v>
      </c>
      <c r="AC8551">
        <v>35.6</v>
      </c>
      <c r="AE8551" s="74"/>
      <c r="AF8551" s="77"/>
      <c r="AH8551" s="497">
        <v>39.200000000000003</v>
      </c>
      <c r="AJ8551" s="42"/>
      <c r="AK8551" s="74"/>
      <c r="AL8551" s="77"/>
      <c r="AN8551" s="497">
        <v>28.94</v>
      </c>
      <c r="AP8551" s="42"/>
      <c r="AQ8551" s="74"/>
      <c r="AR8551" s="77"/>
      <c r="AT8551" s="497">
        <v>33.08</v>
      </c>
      <c r="AV8551" s="42"/>
      <c r="AW8551" s="74"/>
      <c r="AX8551" s="77"/>
      <c r="BA8551" s="497">
        <v>32</v>
      </c>
      <c r="BB8551" s="42"/>
      <c r="BC8551" s="74"/>
      <c r="BD8551" s="77"/>
      <c r="BF8551">
        <v>30.02</v>
      </c>
      <c r="BH8551" s="42"/>
      <c r="BI8551" s="74"/>
      <c r="BJ8551" s="77"/>
      <c r="BL8551" s="497">
        <v>30.92</v>
      </c>
      <c r="BN8551" s="42"/>
      <c r="BO8551" s="74"/>
      <c r="BP8551" s="77"/>
      <c r="BR8551" s="497">
        <v>21.92</v>
      </c>
      <c r="BT8551" s="42"/>
    </row>
    <row r="8552" spans="1:72" x14ac:dyDescent="0.25">
      <c r="A8552" s="90">
        <v>35786</v>
      </c>
      <c r="B8552" s="20">
        <v>0.58333333333333337</v>
      </c>
      <c r="D8552">
        <v>48.92</v>
      </c>
      <c r="E8552" t="str">
        <f t="shared" si="302"/>
        <v>WEEKDAY</v>
      </c>
      <c r="F8552" t="e">
        <f t="shared" si="301"/>
        <v>#N/A</v>
      </c>
      <c r="G8552" s="74">
        <v>28481</v>
      </c>
      <c r="H8552" s="77">
        <v>0.58333333333333337</v>
      </c>
      <c r="J8552">
        <v>37.94</v>
      </c>
      <c r="M8552" s="74">
        <v>36882</v>
      </c>
      <c r="N8552" s="77">
        <v>0.58333333333333337</v>
      </c>
      <c r="P8552">
        <v>32</v>
      </c>
      <c r="S8552" s="74">
        <v>35786</v>
      </c>
      <c r="T8552" s="77">
        <v>0.58333333333333337</v>
      </c>
      <c r="V8552">
        <v>33.979999999999997</v>
      </c>
      <c r="X8552" s="42"/>
      <c r="AB8552">
        <v>41.2</v>
      </c>
      <c r="AC8552">
        <v>35.6</v>
      </c>
      <c r="AE8552" s="74"/>
      <c r="AF8552" s="77"/>
      <c r="AH8552" s="497">
        <v>46.4</v>
      </c>
      <c r="AJ8552" s="42"/>
      <c r="AK8552" s="74"/>
      <c r="AL8552" s="77"/>
      <c r="AN8552" s="497">
        <v>28.94</v>
      </c>
      <c r="AP8552" s="42"/>
      <c r="AQ8552" s="74"/>
      <c r="AR8552" s="77"/>
      <c r="AT8552" s="497">
        <v>33.44</v>
      </c>
      <c r="AV8552" s="42"/>
      <c r="AW8552" s="74"/>
      <c r="AX8552" s="77"/>
      <c r="BA8552" s="497">
        <v>32.36</v>
      </c>
      <c r="BB8552" s="42"/>
      <c r="BC8552" s="74"/>
      <c r="BD8552" s="77"/>
      <c r="BF8552">
        <v>33.08</v>
      </c>
      <c r="BH8552" s="42"/>
      <c r="BI8552" s="74"/>
      <c r="BJ8552" s="77"/>
      <c r="BL8552" s="497">
        <v>30.92</v>
      </c>
      <c r="BN8552" s="42"/>
      <c r="BO8552" s="74"/>
      <c r="BP8552" s="77"/>
      <c r="BR8552" s="497">
        <v>23</v>
      </c>
      <c r="BT8552" s="42"/>
    </row>
    <row r="8553" spans="1:72" x14ac:dyDescent="0.25">
      <c r="A8553" s="90">
        <v>35786</v>
      </c>
      <c r="B8553" s="20">
        <v>0.625</v>
      </c>
      <c r="D8553">
        <v>50</v>
      </c>
      <c r="E8553" t="str">
        <f t="shared" si="302"/>
        <v>WEEKDAY</v>
      </c>
      <c r="F8553" t="e">
        <f t="shared" si="301"/>
        <v>#N/A</v>
      </c>
      <c r="G8553" s="74">
        <v>28481</v>
      </c>
      <c r="H8553" s="77">
        <v>0.625</v>
      </c>
      <c r="J8553">
        <v>37.94</v>
      </c>
      <c r="M8553" s="74">
        <v>36882</v>
      </c>
      <c r="N8553" s="77">
        <v>0.625</v>
      </c>
      <c r="P8553">
        <v>28.4</v>
      </c>
      <c r="S8553" s="74">
        <v>35786</v>
      </c>
      <c r="T8553" s="77">
        <v>0.625</v>
      </c>
      <c r="V8553">
        <v>35.06</v>
      </c>
      <c r="X8553" s="42"/>
      <c r="AB8553">
        <v>41.6</v>
      </c>
      <c r="AC8553">
        <v>37.4</v>
      </c>
      <c r="AE8553" s="74"/>
      <c r="AF8553" s="77"/>
      <c r="AH8553" s="497">
        <v>44.6</v>
      </c>
      <c r="AJ8553" s="42"/>
      <c r="AK8553" s="74"/>
      <c r="AL8553" s="77"/>
      <c r="AN8553" s="497">
        <v>28.94</v>
      </c>
      <c r="AP8553" s="42"/>
      <c r="AQ8553" s="74"/>
      <c r="AR8553" s="77"/>
      <c r="AT8553" s="497">
        <v>33.619999999999997</v>
      </c>
      <c r="AV8553" s="42"/>
      <c r="AW8553" s="74"/>
      <c r="AX8553" s="77"/>
      <c r="BA8553" s="497">
        <v>32.72</v>
      </c>
      <c r="BB8553" s="42"/>
      <c r="BC8553" s="74"/>
      <c r="BD8553" s="77"/>
      <c r="BF8553">
        <v>33.08</v>
      </c>
      <c r="BH8553" s="42"/>
      <c r="BI8553" s="74"/>
      <c r="BJ8553" s="77"/>
      <c r="BL8553" s="497">
        <v>30.92</v>
      </c>
      <c r="BN8553" s="42"/>
      <c r="BO8553" s="74"/>
      <c r="BP8553" s="77"/>
      <c r="BR8553" s="497">
        <v>23</v>
      </c>
      <c r="BT8553" s="42"/>
    </row>
    <row r="8554" spans="1:72" x14ac:dyDescent="0.25">
      <c r="A8554" s="90">
        <v>35786</v>
      </c>
      <c r="B8554" s="20">
        <v>0.66666666666666663</v>
      </c>
      <c r="D8554">
        <v>50</v>
      </c>
      <c r="E8554" t="str">
        <f t="shared" si="302"/>
        <v>WEEKDAY</v>
      </c>
      <c r="F8554" t="e">
        <f t="shared" si="301"/>
        <v>#N/A</v>
      </c>
      <c r="G8554" s="74">
        <v>28481</v>
      </c>
      <c r="H8554" s="77">
        <v>0.66666666666666663</v>
      </c>
      <c r="J8554">
        <v>37.04</v>
      </c>
      <c r="M8554" s="74">
        <v>36882</v>
      </c>
      <c r="N8554" s="77">
        <v>0.66666666666666663</v>
      </c>
      <c r="P8554">
        <v>30.2</v>
      </c>
      <c r="S8554" s="74">
        <v>35786</v>
      </c>
      <c r="T8554" s="77">
        <v>0.66666666666666663</v>
      </c>
      <c r="V8554">
        <v>35.06</v>
      </c>
      <c r="X8554" s="42"/>
      <c r="AB8554">
        <v>41.5</v>
      </c>
      <c r="AC8554">
        <v>35.6</v>
      </c>
      <c r="AE8554" s="74"/>
      <c r="AF8554" s="77"/>
      <c r="AH8554" s="497">
        <v>42.8</v>
      </c>
      <c r="AJ8554" s="42"/>
      <c r="AK8554" s="74"/>
      <c r="AL8554" s="77"/>
      <c r="AN8554" s="497">
        <v>30.02</v>
      </c>
      <c r="AP8554" s="42"/>
      <c r="AQ8554" s="74"/>
      <c r="AR8554" s="77"/>
      <c r="AT8554" s="497">
        <v>33.979999999999997</v>
      </c>
      <c r="AV8554" s="42"/>
      <c r="AW8554" s="74"/>
      <c r="AX8554" s="77"/>
      <c r="BA8554" s="497">
        <v>33.08</v>
      </c>
      <c r="BB8554" s="42"/>
      <c r="BC8554" s="74"/>
      <c r="BD8554" s="77"/>
      <c r="BF8554">
        <v>32</v>
      </c>
      <c r="BH8554" s="42"/>
      <c r="BI8554" s="74"/>
      <c r="BJ8554" s="77"/>
      <c r="BL8554" s="497">
        <v>30.92</v>
      </c>
      <c r="BN8554" s="42"/>
      <c r="BO8554" s="74"/>
      <c r="BP8554" s="77"/>
      <c r="BR8554" s="497">
        <v>21.92</v>
      </c>
      <c r="BT8554" s="42"/>
    </row>
    <row r="8555" spans="1:72" x14ac:dyDescent="0.25">
      <c r="A8555" s="90">
        <v>35786</v>
      </c>
      <c r="B8555" s="20">
        <v>0.70833333333333337</v>
      </c>
      <c r="D8555">
        <v>50</v>
      </c>
      <c r="E8555" t="str">
        <f t="shared" si="302"/>
        <v>WEEKDAY</v>
      </c>
      <c r="F8555" t="e">
        <f t="shared" ref="F8555:F8618" si="303">IF(E8555="WEEKDAY",VLOOKUP(B8555,$DD$19:$DG$42,2),IF(E8555="SATURDAY",VLOOKUP(B8555,$DD$19:$DG$42,3),VLOOKUP(B8555,$DD$19:$DG$42,4)))</f>
        <v>#N/A</v>
      </c>
      <c r="G8555" s="74">
        <v>28481</v>
      </c>
      <c r="H8555" s="77">
        <v>0.70833333333333337</v>
      </c>
      <c r="J8555">
        <v>37.04</v>
      </c>
      <c r="M8555" s="74">
        <v>36882</v>
      </c>
      <c r="N8555" s="77">
        <v>0.70833333333333337</v>
      </c>
      <c r="P8555">
        <v>30.2</v>
      </c>
      <c r="S8555" s="74">
        <v>35786</v>
      </c>
      <c r="T8555" s="77">
        <v>0.70833333333333337</v>
      </c>
      <c r="V8555">
        <v>35.96</v>
      </c>
      <c r="X8555" s="42"/>
      <c r="AB8555">
        <v>40.700000000000003</v>
      </c>
      <c r="AC8555">
        <v>35.6</v>
      </c>
      <c r="AE8555" s="74"/>
      <c r="AF8555" s="77"/>
      <c r="AH8555" s="497">
        <v>37.4</v>
      </c>
      <c r="AJ8555" s="42"/>
      <c r="AK8555" s="74"/>
      <c r="AL8555" s="77"/>
      <c r="AN8555" s="497">
        <v>28.94</v>
      </c>
      <c r="AP8555" s="42"/>
      <c r="AQ8555" s="74"/>
      <c r="AR8555" s="77"/>
      <c r="AT8555" s="497">
        <v>32.9</v>
      </c>
      <c r="AV8555" s="42"/>
      <c r="AW8555" s="74"/>
      <c r="AX8555" s="77"/>
      <c r="BA8555" s="497">
        <v>32.72</v>
      </c>
      <c r="BB8555" s="42"/>
      <c r="BC8555" s="74"/>
      <c r="BD8555" s="77"/>
      <c r="BF8555">
        <v>30.92</v>
      </c>
      <c r="BH8555" s="42"/>
      <c r="BI8555" s="74"/>
      <c r="BJ8555" s="77"/>
      <c r="BL8555" s="497">
        <v>32</v>
      </c>
      <c r="BN8555" s="42"/>
      <c r="BO8555" s="74"/>
      <c r="BP8555" s="77"/>
      <c r="BR8555" s="497">
        <v>21.02</v>
      </c>
      <c r="BT8555" s="42"/>
    </row>
    <row r="8556" spans="1:72" x14ac:dyDescent="0.25">
      <c r="A8556" s="90">
        <v>35786</v>
      </c>
      <c r="B8556" s="20">
        <v>0.75</v>
      </c>
      <c r="D8556">
        <v>50</v>
      </c>
      <c r="E8556" t="str">
        <f t="shared" si="302"/>
        <v>WEEKDAY</v>
      </c>
      <c r="F8556" t="e">
        <f t="shared" si="303"/>
        <v>#N/A</v>
      </c>
      <c r="G8556" s="74">
        <v>28481</v>
      </c>
      <c r="H8556" s="77">
        <v>0.75</v>
      </c>
      <c r="J8556">
        <v>35.06</v>
      </c>
      <c r="M8556" s="74">
        <v>36882</v>
      </c>
      <c r="N8556" s="77">
        <v>0.75</v>
      </c>
      <c r="P8556">
        <v>28.4</v>
      </c>
      <c r="S8556" s="74">
        <v>35786</v>
      </c>
      <c r="T8556" s="77">
        <v>0.75</v>
      </c>
      <c r="V8556">
        <v>35.96</v>
      </c>
      <c r="X8556" s="42"/>
      <c r="AB8556">
        <v>39.6</v>
      </c>
      <c r="AC8556">
        <v>35.6</v>
      </c>
      <c r="AE8556" s="74"/>
      <c r="AF8556" s="77"/>
      <c r="AH8556" s="497">
        <v>30.2</v>
      </c>
      <c r="AJ8556" s="42"/>
      <c r="AK8556" s="74"/>
      <c r="AL8556" s="77"/>
      <c r="AN8556" s="497">
        <v>28.94</v>
      </c>
      <c r="AP8556" s="42"/>
      <c r="AQ8556" s="74"/>
      <c r="AR8556" s="77"/>
      <c r="AT8556" s="497">
        <v>32</v>
      </c>
      <c r="AV8556" s="42"/>
      <c r="AW8556" s="74"/>
      <c r="AX8556" s="77"/>
      <c r="BA8556" s="497">
        <v>32.36</v>
      </c>
      <c r="BB8556" s="42"/>
      <c r="BC8556" s="74"/>
      <c r="BD8556" s="77"/>
      <c r="BF8556">
        <v>30.02</v>
      </c>
      <c r="BH8556" s="42"/>
      <c r="BI8556" s="74"/>
      <c r="BJ8556" s="77"/>
      <c r="BL8556" s="497">
        <v>32</v>
      </c>
      <c r="BN8556" s="42"/>
      <c r="BO8556" s="74"/>
      <c r="BP8556" s="77"/>
      <c r="BR8556" s="497">
        <v>19.939999999999998</v>
      </c>
      <c r="BT8556" s="42"/>
    </row>
    <row r="8557" spans="1:72" x14ac:dyDescent="0.25">
      <c r="A8557" s="90">
        <v>35786</v>
      </c>
      <c r="B8557" s="20">
        <v>0.79166666666666663</v>
      </c>
      <c r="D8557">
        <v>48.92</v>
      </c>
      <c r="E8557" t="str">
        <f t="shared" si="302"/>
        <v>WEEKDAY</v>
      </c>
      <c r="F8557" t="e">
        <f t="shared" si="303"/>
        <v>#N/A</v>
      </c>
      <c r="G8557" s="74">
        <v>28481</v>
      </c>
      <c r="H8557" s="77">
        <v>0.79166666666666663</v>
      </c>
      <c r="J8557">
        <v>35.06</v>
      </c>
      <c r="M8557" s="74">
        <v>36882</v>
      </c>
      <c r="N8557" s="77">
        <v>0.79166666666666663</v>
      </c>
      <c r="P8557">
        <v>28.4</v>
      </c>
      <c r="S8557" s="74">
        <v>35786</v>
      </c>
      <c r="T8557" s="77">
        <v>0.79166666666666663</v>
      </c>
      <c r="V8557">
        <v>35.96</v>
      </c>
      <c r="X8557" s="42"/>
      <c r="AB8557">
        <v>39.1</v>
      </c>
      <c r="AC8557">
        <v>35.6</v>
      </c>
      <c r="AE8557" s="74"/>
      <c r="AF8557" s="77"/>
      <c r="AH8557" s="497">
        <v>30.2</v>
      </c>
      <c r="AJ8557" s="42"/>
      <c r="AK8557" s="74"/>
      <c r="AL8557" s="77"/>
      <c r="AN8557" s="497">
        <v>28.94</v>
      </c>
      <c r="AP8557" s="42"/>
      <c r="AQ8557" s="74"/>
      <c r="AR8557" s="77"/>
      <c r="AT8557" s="497">
        <v>30.92</v>
      </c>
      <c r="AV8557" s="42"/>
      <c r="AW8557" s="74"/>
      <c r="AX8557" s="77"/>
      <c r="BA8557" s="497">
        <v>32</v>
      </c>
      <c r="BB8557" s="42"/>
      <c r="BC8557" s="74"/>
      <c r="BD8557" s="77"/>
      <c r="BF8557">
        <v>30.02</v>
      </c>
      <c r="BH8557" s="42"/>
      <c r="BI8557" s="74"/>
      <c r="BJ8557" s="77"/>
      <c r="BL8557" s="497">
        <v>30.92</v>
      </c>
      <c r="BN8557" s="42"/>
      <c r="BO8557" s="74"/>
      <c r="BP8557" s="77"/>
      <c r="BR8557" s="497">
        <v>19.939999999999998</v>
      </c>
      <c r="BT8557" s="42"/>
    </row>
    <row r="8558" spans="1:72" x14ac:dyDescent="0.25">
      <c r="A8558" s="90">
        <v>35786</v>
      </c>
      <c r="B8558" s="20">
        <v>0.83333333333333337</v>
      </c>
      <c r="D8558">
        <v>48.92</v>
      </c>
      <c r="E8558" t="str">
        <f t="shared" si="302"/>
        <v>WEEKDAY</v>
      </c>
      <c r="F8558" t="e">
        <f t="shared" si="303"/>
        <v>#N/A</v>
      </c>
      <c r="G8558" s="74">
        <v>28481</v>
      </c>
      <c r="H8558" s="77">
        <v>0.83333333333333337</v>
      </c>
      <c r="J8558">
        <v>33.979999999999997</v>
      </c>
      <c r="M8558" s="74">
        <v>36882</v>
      </c>
      <c r="N8558" s="77">
        <v>0.83333333333333337</v>
      </c>
      <c r="P8558">
        <v>26.6</v>
      </c>
      <c r="S8558" s="74">
        <v>35786</v>
      </c>
      <c r="T8558" s="77">
        <v>0.83333333333333337</v>
      </c>
      <c r="V8558">
        <v>35.6</v>
      </c>
      <c r="X8558" s="42"/>
      <c r="AB8558">
        <v>38.799999999999997</v>
      </c>
      <c r="AC8558">
        <v>35.6</v>
      </c>
      <c r="AE8558" s="74"/>
      <c r="AF8558" s="77"/>
      <c r="AH8558" s="497">
        <v>28.4</v>
      </c>
      <c r="AJ8558" s="42"/>
      <c r="AK8558" s="74"/>
      <c r="AL8558" s="77"/>
      <c r="AN8558" s="497">
        <v>28.94</v>
      </c>
      <c r="AP8558" s="42"/>
      <c r="AQ8558" s="74"/>
      <c r="AR8558" s="77"/>
      <c r="AT8558" s="497">
        <v>30.02</v>
      </c>
      <c r="AV8558" s="42"/>
      <c r="AW8558" s="74"/>
      <c r="AX8558" s="77"/>
      <c r="BA8558" s="497">
        <v>32</v>
      </c>
      <c r="BB8558" s="42"/>
      <c r="BC8558" s="74"/>
      <c r="BD8558" s="77"/>
      <c r="BF8558">
        <v>28.94</v>
      </c>
      <c r="BH8558" s="42"/>
      <c r="BI8558" s="74"/>
      <c r="BJ8558" s="77"/>
      <c r="BL8558" s="497">
        <v>32</v>
      </c>
      <c r="BN8558" s="42"/>
      <c r="BO8558" s="74"/>
      <c r="BP8558" s="77"/>
      <c r="BR8558" s="497">
        <v>23</v>
      </c>
      <c r="BT8558" s="42"/>
    </row>
    <row r="8559" spans="1:72" x14ac:dyDescent="0.25">
      <c r="A8559" s="90">
        <v>35786</v>
      </c>
      <c r="B8559" s="20">
        <v>0.875</v>
      </c>
      <c r="D8559">
        <v>48.92</v>
      </c>
      <c r="E8559" t="str">
        <f t="shared" si="302"/>
        <v>WEEKDAY</v>
      </c>
      <c r="F8559" t="e">
        <f t="shared" si="303"/>
        <v>#N/A</v>
      </c>
      <c r="G8559" s="74">
        <v>28481</v>
      </c>
      <c r="H8559" s="77">
        <v>0.875</v>
      </c>
      <c r="J8559">
        <v>33.979999999999997</v>
      </c>
      <c r="M8559" s="74">
        <v>36882</v>
      </c>
      <c r="N8559" s="77">
        <v>0.875</v>
      </c>
      <c r="P8559">
        <v>24.8</v>
      </c>
      <c r="S8559" s="74">
        <v>35786</v>
      </c>
      <c r="T8559" s="77">
        <v>0.875</v>
      </c>
      <c r="V8559">
        <v>35.06</v>
      </c>
      <c r="X8559" s="42"/>
      <c r="AB8559">
        <v>38.299999999999997</v>
      </c>
      <c r="AC8559">
        <v>35.6</v>
      </c>
      <c r="AE8559" s="74"/>
      <c r="AF8559" s="77"/>
      <c r="AH8559" s="497">
        <v>28.4</v>
      </c>
      <c r="AJ8559" s="42"/>
      <c r="AK8559" s="74"/>
      <c r="AL8559" s="77"/>
      <c r="AN8559" s="497">
        <v>30.02</v>
      </c>
      <c r="AP8559" s="42"/>
      <c r="AQ8559" s="74"/>
      <c r="AR8559" s="77"/>
      <c r="AT8559" s="497">
        <v>28.94</v>
      </c>
      <c r="AV8559" s="42"/>
      <c r="AW8559" s="74"/>
      <c r="AX8559" s="77"/>
      <c r="BA8559" s="497">
        <v>32</v>
      </c>
      <c r="BB8559" s="42"/>
      <c r="BC8559" s="74"/>
      <c r="BD8559" s="77"/>
      <c r="BF8559">
        <v>28.94</v>
      </c>
      <c r="BH8559" s="42"/>
      <c r="BI8559" s="74"/>
      <c r="BJ8559" s="77"/>
      <c r="BL8559" s="497">
        <v>32</v>
      </c>
      <c r="BN8559" s="42"/>
      <c r="BO8559" s="74"/>
      <c r="BP8559" s="77"/>
      <c r="BR8559" s="497">
        <v>28.94</v>
      </c>
      <c r="BT8559" s="42"/>
    </row>
    <row r="8560" spans="1:72" x14ac:dyDescent="0.25">
      <c r="A8560" s="90">
        <v>35786</v>
      </c>
      <c r="B8560" s="20">
        <v>0.91666666666666663</v>
      </c>
      <c r="D8560">
        <v>48.019999999999996</v>
      </c>
      <c r="E8560" t="str">
        <f t="shared" si="302"/>
        <v>WEEKDAY</v>
      </c>
      <c r="F8560" t="e">
        <f t="shared" si="303"/>
        <v>#N/A</v>
      </c>
      <c r="G8560" s="74">
        <v>28481</v>
      </c>
      <c r="H8560" s="77">
        <v>0.91666666666666663</v>
      </c>
      <c r="J8560">
        <v>33.979999999999997</v>
      </c>
      <c r="M8560" s="74">
        <v>36882</v>
      </c>
      <c r="N8560" s="77">
        <v>0.91666666666666663</v>
      </c>
      <c r="P8560">
        <v>19.399999999999999</v>
      </c>
      <c r="S8560" s="74">
        <v>35786</v>
      </c>
      <c r="T8560" s="77">
        <v>0.91666666666666663</v>
      </c>
      <c r="V8560">
        <v>35.96</v>
      </c>
      <c r="X8560" s="42"/>
      <c r="AB8560">
        <v>37.700000000000003</v>
      </c>
      <c r="AC8560">
        <v>35.6</v>
      </c>
      <c r="AE8560" s="74"/>
      <c r="AF8560" s="77"/>
      <c r="AH8560" s="497">
        <v>26.6</v>
      </c>
      <c r="AJ8560" s="42"/>
      <c r="AK8560" s="74"/>
      <c r="AL8560" s="77"/>
      <c r="AN8560" s="497">
        <v>30.02</v>
      </c>
      <c r="AP8560" s="42"/>
      <c r="AQ8560" s="74"/>
      <c r="AR8560" s="77"/>
      <c r="AT8560" s="497">
        <v>28.04</v>
      </c>
      <c r="AV8560" s="42"/>
      <c r="AW8560" s="74"/>
      <c r="AX8560" s="77"/>
      <c r="BA8560" s="497">
        <v>32</v>
      </c>
      <c r="BB8560" s="42"/>
      <c r="BC8560" s="74"/>
      <c r="BD8560" s="77"/>
      <c r="BF8560">
        <v>28.04</v>
      </c>
      <c r="BH8560" s="42"/>
      <c r="BI8560" s="74"/>
      <c r="BJ8560" s="77"/>
      <c r="BL8560" s="497">
        <v>30.02</v>
      </c>
      <c r="BN8560" s="42"/>
      <c r="BO8560" s="74"/>
      <c r="BP8560" s="77"/>
      <c r="BR8560" s="497">
        <v>33.08</v>
      </c>
      <c r="BT8560" s="42"/>
    </row>
    <row r="8561" spans="1:72" x14ac:dyDescent="0.25">
      <c r="A8561" s="90">
        <v>35786</v>
      </c>
      <c r="B8561" s="20">
        <v>0.95833333333333337</v>
      </c>
      <c r="D8561">
        <v>48.019999999999996</v>
      </c>
      <c r="E8561" t="str">
        <f t="shared" si="302"/>
        <v>WEEKDAY</v>
      </c>
      <c r="F8561" t="e">
        <f t="shared" si="303"/>
        <v>#N/A</v>
      </c>
      <c r="G8561" s="74">
        <v>28481</v>
      </c>
      <c r="H8561" s="77">
        <v>0.95833333333333337</v>
      </c>
      <c r="J8561">
        <v>33.979999999999997</v>
      </c>
      <c r="M8561" s="74">
        <v>36882</v>
      </c>
      <c r="N8561" s="77">
        <v>0.95833333333333337</v>
      </c>
      <c r="P8561">
        <v>17.600000000000001</v>
      </c>
      <c r="S8561" s="74">
        <v>35786</v>
      </c>
      <c r="T8561" s="77">
        <v>0.95833333333333337</v>
      </c>
      <c r="V8561">
        <v>35.96</v>
      </c>
      <c r="X8561" s="42"/>
      <c r="AB8561">
        <v>37.299999999999997</v>
      </c>
      <c r="AC8561">
        <v>37.4</v>
      </c>
      <c r="AE8561" s="74"/>
      <c r="AF8561" s="77"/>
      <c r="AH8561" s="497">
        <v>26.6</v>
      </c>
      <c r="AJ8561" s="42"/>
      <c r="AK8561" s="74"/>
      <c r="AL8561" s="77"/>
      <c r="AN8561" s="497">
        <v>28.94</v>
      </c>
      <c r="AP8561" s="42"/>
      <c r="AQ8561" s="74"/>
      <c r="AR8561" s="77"/>
      <c r="AT8561" s="497">
        <v>28.4</v>
      </c>
      <c r="AV8561" s="42"/>
      <c r="AW8561" s="74"/>
      <c r="AX8561" s="77"/>
      <c r="BA8561" s="497">
        <v>30.74</v>
      </c>
      <c r="BB8561" s="42"/>
      <c r="BC8561" s="74"/>
      <c r="BD8561" s="77"/>
      <c r="BF8561">
        <v>24.98</v>
      </c>
      <c r="BH8561" s="42"/>
      <c r="BI8561" s="74"/>
      <c r="BJ8561" s="77"/>
      <c r="BL8561" s="497">
        <v>28.94</v>
      </c>
      <c r="BN8561" s="42"/>
      <c r="BO8561" s="74"/>
      <c r="BP8561" s="77"/>
      <c r="BR8561" s="497">
        <v>33.979999999999997</v>
      </c>
      <c r="BT8561" s="42"/>
    </row>
    <row r="8562" spans="1:72" x14ac:dyDescent="0.25">
      <c r="A8562" s="90">
        <v>35786</v>
      </c>
      <c r="B8562" s="20">
        <v>1</v>
      </c>
      <c r="D8562">
        <v>48.019999999999996</v>
      </c>
      <c r="E8562" t="str">
        <f t="shared" si="302"/>
        <v>WEEKDAY</v>
      </c>
      <c r="F8562" t="e">
        <f t="shared" si="303"/>
        <v>#N/A</v>
      </c>
      <c r="G8562" s="74">
        <v>28481</v>
      </c>
      <c r="H8562" s="77">
        <v>1</v>
      </c>
      <c r="J8562">
        <v>33.979999999999997</v>
      </c>
      <c r="M8562" s="74">
        <v>36882</v>
      </c>
      <c r="N8562" s="80">
        <v>1</v>
      </c>
      <c r="P8562">
        <v>15.8</v>
      </c>
      <c r="S8562" s="74">
        <v>35786</v>
      </c>
      <c r="T8562" s="80">
        <v>1</v>
      </c>
      <c r="V8562">
        <v>37.04</v>
      </c>
      <c r="X8562" s="42"/>
      <c r="AB8562">
        <v>36.799999999999997</v>
      </c>
      <c r="AC8562">
        <v>37.4</v>
      </c>
      <c r="AE8562" s="74"/>
      <c r="AF8562" s="80"/>
      <c r="AH8562" s="497">
        <v>30.2</v>
      </c>
      <c r="AJ8562" s="42"/>
      <c r="AK8562" s="74"/>
      <c r="AL8562" s="80"/>
      <c r="AN8562" s="497">
        <v>30.02</v>
      </c>
      <c r="AP8562" s="42"/>
      <c r="AQ8562" s="74"/>
      <c r="AR8562" s="80"/>
      <c r="AT8562" s="497">
        <v>28.58</v>
      </c>
      <c r="AV8562" s="42"/>
      <c r="AW8562" s="74"/>
      <c r="AX8562" s="80"/>
      <c r="BA8562" s="497">
        <v>29.3</v>
      </c>
      <c r="BB8562" s="42"/>
      <c r="BC8562" s="74"/>
      <c r="BD8562" s="80"/>
      <c r="BF8562">
        <v>26.060000000000002</v>
      </c>
      <c r="BH8562" s="42"/>
      <c r="BI8562" s="74"/>
      <c r="BJ8562" s="80"/>
      <c r="BL8562" s="497">
        <v>26.060000000000002</v>
      </c>
      <c r="BN8562" s="42"/>
      <c r="BO8562" s="74"/>
      <c r="BP8562" s="80"/>
      <c r="BR8562" s="497">
        <v>33.979999999999997</v>
      </c>
      <c r="BT8562" s="42"/>
    </row>
    <row r="8563" spans="1:72" x14ac:dyDescent="0.25">
      <c r="A8563" s="90">
        <v>35787</v>
      </c>
      <c r="B8563" s="20">
        <v>4.1666666666666664E-2</v>
      </c>
      <c r="D8563">
        <v>46.94</v>
      </c>
      <c r="E8563" t="str">
        <f t="shared" si="302"/>
        <v>WEEKDAY</v>
      </c>
      <c r="F8563" t="e">
        <f t="shared" si="303"/>
        <v>#N/A</v>
      </c>
      <c r="G8563" s="74">
        <v>28482</v>
      </c>
      <c r="H8563" s="77">
        <v>4.1666666666666664E-2</v>
      </c>
      <c r="J8563">
        <v>33.979999999999997</v>
      </c>
      <c r="M8563" s="74">
        <v>36883</v>
      </c>
      <c r="N8563" s="77">
        <v>4.1666666666666664E-2</v>
      </c>
      <c r="P8563">
        <v>15.8</v>
      </c>
      <c r="S8563" s="74">
        <v>35787</v>
      </c>
      <c r="T8563" s="77">
        <v>4.1666666666666664E-2</v>
      </c>
      <c r="V8563">
        <v>39.019999999999996</v>
      </c>
      <c r="X8563" s="42"/>
      <c r="AB8563">
        <v>36.4</v>
      </c>
      <c r="AC8563">
        <v>37.4</v>
      </c>
      <c r="AE8563" s="74"/>
      <c r="AF8563" s="77"/>
      <c r="AH8563" s="497">
        <v>30.2</v>
      </c>
      <c r="AJ8563" s="42"/>
      <c r="AK8563" s="74"/>
      <c r="AL8563" s="77"/>
      <c r="AN8563" s="497">
        <v>30.02</v>
      </c>
      <c r="AP8563" s="42"/>
      <c r="AQ8563" s="74"/>
      <c r="AR8563" s="77"/>
      <c r="AT8563" s="497">
        <v>28.94</v>
      </c>
      <c r="AV8563" s="42"/>
      <c r="AW8563" s="74"/>
      <c r="AX8563" s="77"/>
      <c r="BA8563" s="497">
        <v>28.04</v>
      </c>
      <c r="BB8563" s="42"/>
      <c r="BC8563" s="74"/>
      <c r="BD8563" s="77"/>
      <c r="BF8563">
        <v>26.96</v>
      </c>
      <c r="BH8563" s="42"/>
      <c r="BI8563" s="74"/>
      <c r="BJ8563" s="77"/>
      <c r="BL8563" s="497">
        <v>28.04</v>
      </c>
      <c r="BN8563" s="42"/>
      <c r="BO8563" s="74"/>
      <c r="BP8563" s="77"/>
      <c r="BR8563" s="497">
        <v>35.06</v>
      </c>
      <c r="BT8563" s="42"/>
    </row>
    <row r="8564" spans="1:72" x14ac:dyDescent="0.25">
      <c r="A8564" s="90">
        <v>35787</v>
      </c>
      <c r="B8564" s="20">
        <v>8.3333333333333329E-2</v>
      </c>
      <c r="D8564">
        <v>46.94</v>
      </c>
      <c r="E8564" t="str">
        <f t="shared" si="302"/>
        <v>WEEKDAY</v>
      </c>
      <c r="F8564" t="e">
        <f t="shared" si="303"/>
        <v>#N/A</v>
      </c>
      <c r="G8564" s="74">
        <v>28482</v>
      </c>
      <c r="H8564" s="77">
        <v>8.3333333333333329E-2</v>
      </c>
      <c r="J8564">
        <v>33.08</v>
      </c>
      <c r="M8564" s="74">
        <v>36883</v>
      </c>
      <c r="N8564" s="77">
        <v>8.3333333333333329E-2</v>
      </c>
      <c r="P8564">
        <v>14</v>
      </c>
      <c r="S8564" s="74">
        <v>35787</v>
      </c>
      <c r="T8564" s="77">
        <v>8.3333333333333329E-2</v>
      </c>
      <c r="V8564">
        <v>39.019999999999996</v>
      </c>
      <c r="X8564" s="42"/>
      <c r="AB8564">
        <v>35.9</v>
      </c>
      <c r="AC8564">
        <v>39.200000000000003</v>
      </c>
      <c r="AE8564" s="74"/>
      <c r="AF8564" s="77"/>
      <c r="AH8564" s="497">
        <v>32</v>
      </c>
      <c r="AJ8564" s="42"/>
      <c r="AK8564" s="74"/>
      <c r="AL8564" s="77"/>
      <c r="AN8564" s="497">
        <v>30.02</v>
      </c>
      <c r="AP8564" s="42"/>
      <c r="AQ8564" s="74"/>
      <c r="AR8564" s="77"/>
      <c r="AT8564" s="497">
        <v>29.3</v>
      </c>
      <c r="AV8564" s="42"/>
      <c r="AW8564" s="74"/>
      <c r="AX8564" s="77"/>
      <c r="BA8564" s="497">
        <v>28.04</v>
      </c>
      <c r="BB8564" s="42"/>
      <c r="BC8564" s="74"/>
      <c r="BD8564" s="77"/>
      <c r="BF8564">
        <v>26.96</v>
      </c>
      <c r="BH8564" s="42"/>
      <c r="BI8564" s="74"/>
      <c r="BJ8564" s="77"/>
      <c r="BL8564" s="497">
        <v>28.94</v>
      </c>
      <c r="BN8564" s="42"/>
      <c r="BO8564" s="74"/>
      <c r="BP8564" s="77"/>
      <c r="BR8564" s="497">
        <v>35.06</v>
      </c>
      <c r="BT8564" s="42"/>
    </row>
    <row r="8565" spans="1:72" x14ac:dyDescent="0.25">
      <c r="A8565" s="90">
        <v>35787</v>
      </c>
      <c r="B8565" s="20">
        <v>0.125</v>
      </c>
      <c r="D8565">
        <v>46.94</v>
      </c>
      <c r="E8565" t="str">
        <f t="shared" si="302"/>
        <v>WEEKDAY</v>
      </c>
      <c r="F8565" t="e">
        <f t="shared" si="303"/>
        <v>#N/A</v>
      </c>
      <c r="G8565" s="74">
        <v>28482</v>
      </c>
      <c r="H8565" s="77">
        <v>0.125</v>
      </c>
      <c r="J8565">
        <v>33.08</v>
      </c>
      <c r="M8565" s="74">
        <v>36883</v>
      </c>
      <c r="N8565" s="77">
        <v>0.125</v>
      </c>
      <c r="P8565">
        <v>14</v>
      </c>
      <c r="S8565" s="74">
        <v>35787</v>
      </c>
      <c r="T8565" s="77">
        <v>0.125</v>
      </c>
      <c r="V8565">
        <v>39.019999999999996</v>
      </c>
      <c r="X8565" s="42"/>
      <c r="AB8565">
        <v>35.6</v>
      </c>
      <c r="AC8565">
        <v>39.200000000000003</v>
      </c>
      <c r="AE8565" s="74"/>
      <c r="AF8565" s="77"/>
      <c r="AH8565" s="497">
        <v>32</v>
      </c>
      <c r="AJ8565" s="42"/>
      <c r="AK8565" s="74"/>
      <c r="AL8565" s="77"/>
      <c r="AN8565" s="497">
        <v>30.92</v>
      </c>
      <c r="AP8565" s="42"/>
      <c r="AQ8565" s="74"/>
      <c r="AR8565" s="77"/>
      <c r="AT8565" s="497">
        <v>29.66</v>
      </c>
      <c r="AV8565" s="42"/>
      <c r="AW8565" s="74"/>
      <c r="AX8565" s="77"/>
      <c r="BA8565" s="497">
        <v>28.04</v>
      </c>
      <c r="BB8565" s="42"/>
      <c r="BC8565" s="74"/>
      <c r="BD8565" s="77"/>
      <c r="BF8565">
        <v>28.94</v>
      </c>
      <c r="BH8565" s="42"/>
      <c r="BI8565" s="74"/>
      <c r="BJ8565" s="77"/>
      <c r="BL8565" s="497">
        <v>30.92</v>
      </c>
      <c r="BN8565" s="42"/>
      <c r="BO8565" s="74"/>
      <c r="BP8565" s="77"/>
      <c r="BR8565" s="497">
        <v>35.06</v>
      </c>
      <c r="BT8565" s="42"/>
    </row>
    <row r="8566" spans="1:72" x14ac:dyDescent="0.25">
      <c r="A8566" s="90">
        <v>35787</v>
      </c>
      <c r="B8566" s="20">
        <v>0.16666666666666666</v>
      </c>
      <c r="D8566">
        <v>46.94</v>
      </c>
      <c r="E8566" t="str">
        <f t="shared" si="302"/>
        <v>WEEKDAY</v>
      </c>
      <c r="F8566" t="e">
        <f t="shared" si="303"/>
        <v>#N/A</v>
      </c>
      <c r="G8566" s="74">
        <v>28482</v>
      </c>
      <c r="H8566" s="77">
        <v>0.16666666666666666</v>
      </c>
      <c r="J8566">
        <v>32</v>
      </c>
      <c r="M8566" s="74">
        <v>36883</v>
      </c>
      <c r="N8566" s="77">
        <v>0.16666666666666666</v>
      </c>
      <c r="P8566">
        <v>13.099999999999998</v>
      </c>
      <c r="S8566" s="74">
        <v>35787</v>
      </c>
      <c r="T8566" s="77">
        <v>0.16666666666666666</v>
      </c>
      <c r="V8566">
        <v>39.019999999999996</v>
      </c>
      <c r="X8566" s="42"/>
      <c r="AB8566">
        <v>35.299999999999997</v>
      </c>
      <c r="AC8566">
        <v>39.200000000000003</v>
      </c>
      <c r="AE8566" s="74"/>
      <c r="AF8566" s="77"/>
      <c r="AH8566" s="497">
        <v>33.799999999999997</v>
      </c>
      <c r="AJ8566" s="42"/>
      <c r="AK8566" s="74"/>
      <c r="AL8566" s="77"/>
      <c r="AN8566" s="497">
        <v>30.92</v>
      </c>
      <c r="AP8566" s="42"/>
      <c r="AQ8566" s="74"/>
      <c r="AR8566" s="77"/>
      <c r="AT8566" s="497">
        <v>30.02</v>
      </c>
      <c r="AV8566" s="42"/>
      <c r="AW8566" s="74"/>
      <c r="AX8566" s="77"/>
      <c r="BA8566" s="497">
        <v>28.04</v>
      </c>
      <c r="BB8566" s="42"/>
      <c r="BC8566" s="74"/>
      <c r="BD8566" s="77"/>
      <c r="BF8566">
        <v>28.94</v>
      </c>
      <c r="BH8566" s="42"/>
      <c r="BI8566" s="74"/>
      <c r="BJ8566" s="77"/>
      <c r="BL8566" s="497">
        <v>30.92</v>
      </c>
      <c r="BN8566" s="42"/>
      <c r="BO8566" s="74"/>
      <c r="BP8566" s="77"/>
      <c r="BR8566" s="497">
        <v>35.06</v>
      </c>
      <c r="BT8566" s="42"/>
    </row>
    <row r="8567" spans="1:72" x14ac:dyDescent="0.25">
      <c r="A8567" s="90">
        <v>35787</v>
      </c>
      <c r="B8567" s="20">
        <v>0.20833333333333334</v>
      </c>
      <c r="D8567">
        <v>46.94</v>
      </c>
      <c r="E8567" t="str">
        <f t="shared" si="302"/>
        <v>WEEKDAY</v>
      </c>
      <c r="F8567" t="e">
        <f t="shared" si="303"/>
        <v>#N/A</v>
      </c>
      <c r="G8567" s="74">
        <v>28482</v>
      </c>
      <c r="H8567" s="77">
        <v>0.20833333333333334</v>
      </c>
      <c r="J8567">
        <v>32</v>
      </c>
      <c r="M8567" s="74">
        <v>36883</v>
      </c>
      <c r="N8567" s="77">
        <v>0.20833333333333334</v>
      </c>
      <c r="P8567">
        <v>12.2</v>
      </c>
      <c r="S8567" s="74">
        <v>35787</v>
      </c>
      <c r="T8567" s="77">
        <v>0.20833333333333334</v>
      </c>
      <c r="V8567">
        <v>37.04</v>
      </c>
      <c r="X8567" s="42"/>
      <c r="AB8567">
        <v>35.1</v>
      </c>
      <c r="AC8567">
        <v>39.200000000000003</v>
      </c>
      <c r="AE8567" s="74"/>
      <c r="AF8567" s="77"/>
      <c r="AH8567" s="497">
        <v>35.6</v>
      </c>
      <c r="AJ8567" s="42"/>
      <c r="AK8567" s="74"/>
      <c r="AL8567" s="77"/>
      <c r="AN8567" s="497">
        <v>32</v>
      </c>
      <c r="AP8567" s="42"/>
      <c r="AQ8567" s="74"/>
      <c r="AR8567" s="77"/>
      <c r="AT8567" s="497">
        <v>30.38</v>
      </c>
      <c r="AV8567" s="42"/>
      <c r="AW8567" s="74"/>
      <c r="AX8567" s="77"/>
      <c r="BA8567" s="497">
        <v>28.94</v>
      </c>
      <c r="BB8567" s="42"/>
      <c r="BC8567" s="74"/>
      <c r="BD8567" s="77"/>
      <c r="BF8567">
        <v>28.94</v>
      </c>
      <c r="BH8567" s="42"/>
      <c r="BI8567" s="74"/>
      <c r="BJ8567" s="77"/>
      <c r="BL8567" s="497">
        <v>30.92</v>
      </c>
      <c r="BN8567" s="42"/>
      <c r="BO8567" s="74"/>
      <c r="BP8567" s="77"/>
      <c r="BR8567" s="497">
        <v>35.06</v>
      </c>
      <c r="BT8567" s="42"/>
    </row>
    <row r="8568" spans="1:72" x14ac:dyDescent="0.25">
      <c r="A8568" s="90">
        <v>35787</v>
      </c>
      <c r="B8568" s="20">
        <v>0.25</v>
      </c>
      <c r="D8568">
        <v>48.019999999999996</v>
      </c>
      <c r="E8568" t="str">
        <f t="shared" si="302"/>
        <v>WEEKDAY</v>
      </c>
      <c r="F8568" t="e">
        <f t="shared" si="303"/>
        <v>#N/A</v>
      </c>
      <c r="G8568" s="74">
        <v>28482</v>
      </c>
      <c r="H8568" s="77">
        <v>0.25</v>
      </c>
      <c r="J8568">
        <v>33.08</v>
      </c>
      <c r="M8568" s="74">
        <v>36883</v>
      </c>
      <c r="N8568" s="77">
        <v>0.25</v>
      </c>
      <c r="P8568">
        <v>14</v>
      </c>
      <c r="S8568" s="74">
        <v>35787</v>
      </c>
      <c r="T8568" s="77">
        <v>0.25</v>
      </c>
      <c r="V8568">
        <v>37.94</v>
      </c>
      <c r="X8568" s="42"/>
      <c r="AB8568">
        <v>34.9</v>
      </c>
      <c r="AC8568">
        <v>39.200000000000003</v>
      </c>
      <c r="AE8568" s="74"/>
      <c r="AF8568" s="77"/>
      <c r="AH8568" s="497">
        <v>48.2</v>
      </c>
      <c r="AJ8568" s="42"/>
      <c r="AK8568" s="74"/>
      <c r="AL8568" s="77"/>
      <c r="AN8568" s="497">
        <v>30.02</v>
      </c>
      <c r="AP8568" s="42"/>
      <c r="AQ8568" s="74"/>
      <c r="AR8568" s="77"/>
      <c r="AT8568" s="497">
        <v>30.56</v>
      </c>
      <c r="AV8568" s="42"/>
      <c r="AW8568" s="74"/>
      <c r="AX8568" s="77"/>
      <c r="BA8568" s="497">
        <v>30.02</v>
      </c>
      <c r="BB8568" s="42"/>
      <c r="BC8568" s="74"/>
      <c r="BD8568" s="77"/>
      <c r="BF8568">
        <v>30.02</v>
      </c>
      <c r="BH8568" s="42"/>
      <c r="BI8568" s="74"/>
      <c r="BJ8568" s="77"/>
      <c r="BL8568" s="497">
        <v>32</v>
      </c>
      <c r="BN8568" s="42"/>
      <c r="BO8568" s="74"/>
      <c r="BP8568" s="77"/>
      <c r="BR8568" s="497">
        <v>33.979999999999997</v>
      </c>
      <c r="BT8568" s="42"/>
    </row>
    <row r="8569" spans="1:72" x14ac:dyDescent="0.25">
      <c r="A8569" s="90">
        <v>35787</v>
      </c>
      <c r="B8569" s="20">
        <v>0.29166666666666669</v>
      </c>
      <c r="D8569">
        <v>46.04</v>
      </c>
      <c r="E8569" t="str">
        <f t="shared" si="302"/>
        <v>WEEKDAY</v>
      </c>
      <c r="F8569" t="e">
        <f t="shared" si="303"/>
        <v>#N/A</v>
      </c>
      <c r="G8569" s="74">
        <v>28482</v>
      </c>
      <c r="H8569" s="77">
        <v>0.29166666666666669</v>
      </c>
      <c r="J8569">
        <v>33.08</v>
      </c>
      <c r="M8569" s="74">
        <v>36883</v>
      </c>
      <c r="N8569" s="77">
        <v>0.29166666666666669</v>
      </c>
      <c r="P8569">
        <v>14</v>
      </c>
      <c r="S8569" s="74">
        <v>35787</v>
      </c>
      <c r="T8569" s="77">
        <v>0.29166666666666669</v>
      </c>
      <c r="V8569">
        <v>35.96</v>
      </c>
      <c r="X8569" s="42"/>
      <c r="AB8569">
        <v>34.9</v>
      </c>
      <c r="AC8569">
        <v>41</v>
      </c>
      <c r="AE8569" s="74"/>
      <c r="AF8569" s="77"/>
      <c r="AH8569" s="497">
        <v>50</v>
      </c>
      <c r="AJ8569" s="42"/>
      <c r="AK8569" s="74"/>
      <c r="AL8569" s="77"/>
      <c r="AN8569" s="497">
        <v>28.94</v>
      </c>
      <c r="AP8569" s="42"/>
      <c r="AQ8569" s="74"/>
      <c r="AR8569" s="77"/>
      <c r="AT8569" s="497">
        <v>30.92</v>
      </c>
      <c r="AV8569" s="42"/>
      <c r="AW8569" s="74"/>
      <c r="AX8569" s="77"/>
      <c r="BA8569" s="497">
        <v>30.92</v>
      </c>
      <c r="BB8569" s="42"/>
      <c r="BC8569" s="74"/>
      <c r="BD8569" s="77"/>
      <c r="BF8569">
        <v>32</v>
      </c>
      <c r="BH8569" s="42"/>
      <c r="BI8569" s="74"/>
      <c r="BJ8569" s="77"/>
      <c r="BL8569" s="497">
        <v>32</v>
      </c>
      <c r="BN8569" s="42"/>
      <c r="BO8569" s="74"/>
      <c r="BP8569" s="77"/>
      <c r="BR8569" s="497">
        <v>33.979999999999997</v>
      </c>
      <c r="BT8569" s="42"/>
    </row>
    <row r="8570" spans="1:72" x14ac:dyDescent="0.25">
      <c r="A8570" s="90">
        <v>35787</v>
      </c>
      <c r="B8570" s="20">
        <v>0.33333333333333331</v>
      </c>
      <c r="D8570">
        <v>46.04</v>
      </c>
      <c r="E8570" t="str">
        <f t="shared" si="302"/>
        <v>WEEKDAY</v>
      </c>
      <c r="F8570" t="e">
        <f t="shared" si="303"/>
        <v>#N/A</v>
      </c>
      <c r="G8570" s="74">
        <v>28482</v>
      </c>
      <c r="H8570" s="77">
        <v>0.33333333333333331</v>
      </c>
      <c r="J8570">
        <v>33.979999999999997</v>
      </c>
      <c r="M8570" s="74">
        <v>36883</v>
      </c>
      <c r="N8570" s="77">
        <v>0.33333333333333331</v>
      </c>
      <c r="P8570">
        <v>14</v>
      </c>
      <c r="S8570" s="74">
        <v>35787</v>
      </c>
      <c r="T8570" s="77">
        <v>0.33333333333333331</v>
      </c>
      <c r="V8570">
        <v>35.96</v>
      </c>
      <c r="X8570" s="42"/>
      <c r="AB8570">
        <v>34.9</v>
      </c>
      <c r="AC8570">
        <v>37.4</v>
      </c>
      <c r="AE8570" s="74"/>
      <c r="AF8570" s="77"/>
      <c r="AH8570" s="497">
        <v>51.8</v>
      </c>
      <c r="AJ8570" s="42"/>
      <c r="AK8570" s="74"/>
      <c r="AL8570" s="77"/>
      <c r="AN8570" s="497">
        <v>28.04</v>
      </c>
      <c r="AP8570" s="42"/>
      <c r="AQ8570" s="74"/>
      <c r="AR8570" s="77"/>
      <c r="AT8570" s="497">
        <v>32.36</v>
      </c>
      <c r="AV8570" s="42"/>
      <c r="AW8570" s="74"/>
      <c r="AX8570" s="77"/>
      <c r="BA8570" s="497">
        <v>32.54</v>
      </c>
      <c r="BB8570" s="42"/>
      <c r="BC8570" s="74"/>
      <c r="BD8570" s="77"/>
      <c r="BF8570">
        <v>33.08</v>
      </c>
      <c r="BH8570" s="42"/>
      <c r="BI8570" s="74"/>
      <c r="BJ8570" s="77"/>
      <c r="BL8570" s="497">
        <v>33.08</v>
      </c>
      <c r="BN8570" s="42"/>
      <c r="BO8570" s="74"/>
      <c r="BP8570" s="77"/>
      <c r="BR8570" s="497">
        <v>33.08</v>
      </c>
      <c r="BT8570" s="42"/>
    </row>
    <row r="8571" spans="1:72" x14ac:dyDescent="0.25">
      <c r="A8571" s="90">
        <v>35787</v>
      </c>
      <c r="B8571" s="20">
        <v>0.375</v>
      </c>
      <c r="D8571">
        <v>46.94</v>
      </c>
      <c r="E8571" t="str">
        <f t="shared" si="302"/>
        <v>WEEKDAY</v>
      </c>
      <c r="F8571" t="e">
        <f t="shared" si="303"/>
        <v>#N/A</v>
      </c>
      <c r="G8571" s="74">
        <v>28482</v>
      </c>
      <c r="H8571" s="77">
        <v>0.375</v>
      </c>
      <c r="J8571">
        <v>35.96</v>
      </c>
      <c r="M8571" s="74">
        <v>36883</v>
      </c>
      <c r="N8571" s="77">
        <v>0.375</v>
      </c>
      <c r="P8571">
        <v>15.8</v>
      </c>
      <c r="S8571" s="74">
        <v>35787</v>
      </c>
      <c r="T8571" s="77">
        <v>0.375</v>
      </c>
      <c r="V8571">
        <v>37.04</v>
      </c>
      <c r="X8571" s="42"/>
      <c r="AB8571">
        <v>35.4</v>
      </c>
      <c r="AC8571">
        <v>35.6</v>
      </c>
      <c r="AE8571" s="74"/>
      <c r="AF8571" s="77"/>
      <c r="AH8571" s="497">
        <v>53.6</v>
      </c>
      <c r="AJ8571" s="42"/>
      <c r="AK8571" s="74"/>
      <c r="AL8571" s="77"/>
      <c r="AN8571" s="497">
        <v>28.94</v>
      </c>
      <c r="AP8571" s="42"/>
      <c r="AQ8571" s="74"/>
      <c r="AR8571" s="77"/>
      <c r="AT8571" s="497">
        <v>33.619999999999997</v>
      </c>
      <c r="AV8571" s="42"/>
      <c r="AW8571" s="74"/>
      <c r="AX8571" s="77"/>
      <c r="BA8571" s="497">
        <v>34.340000000000003</v>
      </c>
      <c r="BB8571" s="42"/>
      <c r="BC8571" s="74"/>
      <c r="BD8571" s="77"/>
      <c r="BF8571">
        <v>33.08</v>
      </c>
      <c r="BH8571" s="42"/>
      <c r="BI8571" s="74"/>
      <c r="BJ8571" s="77"/>
      <c r="BL8571" s="497">
        <v>35.06</v>
      </c>
      <c r="BN8571" s="42"/>
      <c r="BO8571" s="74"/>
      <c r="BP8571" s="77"/>
      <c r="BR8571" s="497">
        <v>32</v>
      </c>
      <c r="BT8571" s="42"/>
    </row>
    <row r="8572" spans="1:72" x14ac:dyDescent="0.25">
      <c r="A8572" s="90">
        <v>35787</v>
      </c>
      <c r="B8572" s="20">
        <v>0.41666666666666669</v>
      </c>
      <c r="D8572">
        <v>48.92</v>
      </c>
      <c r="E8572" t="str">
        <f t="shared" si="302"/>
        <v>WEEKDAY</v>
      </c>
      <c r="F8572" t="e">
        <f t="shared" si="303"/>
        <v>#N/A</v>
      </c>
      <c r="G8572" s="74">
        <v>28482</v>
      </c>
      <c r="H8572" s="77">
        <v>0.41666666666666669</v>
      </c>
      <c r="J8572">
        <v>37.94</v>
      </c>
      <c r="M8572" s="74">
        <v>36883</v>
      </c>
      <c r="N8572" s="77">
        <v>0.41666666666666669</v>
      </c>
      <c r="P8572">
        <v>17.600000000000001</v>
      </c>
      <c r="S8572" s="74">
        <v>35787</v>
      </c>
      <c r="T8572" s="77">
        <v>0.41666666666666669</v>
      </c>
      <c r="V8572">
        <v>37.94</v>
      </c>
      <c r="X8572" s="42"/>
      <c r="AB8572">
        <v>36.799999999999997</v>
      </c>
      <c r="AC8572">
        <v>37.4</v>
      </c>
      <c r="AE8572" s="74"/>
      <c r="AF8572" s="77"/>
      <c r="AH8572" s="497">
        <v>55.400000000000006</v>
      </c>
      <c r="AJ8572" s="42"/>
      <c r="AK8572" s="74"/>
      <c r="AL8572" s="77"/>
      <c r="AN8572" s="497">
        <v>30.02</v>
      </c>
      <c r="AP8572" s="42"/>
      <c r="AQ8572" s="74"/>
      <c r="AR8572" s="77"/>
      <c r="AT8572" s="497">
        <v>35.06</v>
      </c>
      <c r="AV8572" s="42"/>
      <c r="AW8572" s="74"/>
      <c r="AX8572" s="77"/>
      <c r="BA8572" s="497">
        <v>35.96</v>
      </c>
      <c r="BB8572" s="42"/>
      <c r="BC8572" s="74"/>
      <c r="BD8572" s="77"/>
      <c r="BF8572">
        <v>33.979999999999997</v>
      </c>
      <c r="BH8572" s="42"/>
      <c r="BI8572" s="74"/>
      <c r="BJ8572" s="77"/>
      <c r="BL8572" s="497">
        <v>35.06</v>
      </c>
      <c r="BN8572" s="42"/>
      <c r="BO8572" s="74"/>
      <c r="BP8572" s="77"/>
      <c r="BR8572" s="497">
        <v>33.08</v>
      </c>
      <c r="BT8572" s="42"/>
    </row>
    <row r="8573" spans="1:72" x14ac:dyDescent="0.25">
      <c r="A8573" s="90">
        <v>35787</v>
      </c>
      <c r="B8573" s="20">
        <v>0.45833333333333331</v>
      </c>
      <c r="D8573">
        <v>51.08</v>
      </c>
      <c r="E8573" t="str">
        <f t="shared" si="302"/>
        <v>WEEKDAY</v>
      </c>
      <c r="F8573" t="e">
        <f t="shared" si="303"/>
        <v>#N/A</v>
      </c>
      <c r="G8573" s="74">
        <v>28482</v>
      </c>
      <c r="H8573" s="77">
        <v>0.45833333333333331</v>
      </c>
      <c r="J8573">
        <v>39.019999999999996</v>
      </c>
      <c r="M8573" s="74">
        <v>36883</v>
      </c>
      <c r="N8573" s="77">
        <v>0.45833333333333331</v>
      </c>
      <c r="P8573">
        <v>21.2</v>
      </c>
      <c r="S8573" s="74">
        <v>35787</v>
      </c>
      <c r="T8573" s="77">
        <v>0.45833333333333331</v>
      </c>
      <c r="V8573">
        <v>39.019999999999996</v>
      </c>
      <c r="X8573" s="42"/>
      <c r="AB8573">
        <v>38.1</v>
      </c>
      <c r="AC8573">
        <v>37.4</v>
      </c>
      <c r="AE8573" s="74"/>
      <c r="AF8573" s="77"/>
      <c r="AH8573" s="497">
        <v>55.400000000000006</v>
      </c>
      <c r="AJ8573" s="42"/>
      <c r="AK8573" s="74"/>
      <c r="AL8573" s="77"/>
      <c r="AN8573" s="497">
        <v>32</v>
      </c>
      <c r="AP8573" s="42"/>
      <c r="AQ8573" s="74"/>
      <c r="AR8573" s="77"/>
      <c r="AT8573" s="497">
        <v>37.4</v>
      </c>
      <c r="AV8573" s="42"/>
      <c r="AW8573" s="74"/>
      <c r="AX8573" s="77"/>
      <c r="BA8573" s="497">
        <v>36.68</v>
      </c>
      <c r="BB8573" s="42"/>
      <c r="BC8573" s="74"/>
      <c r="BD8573" s="77"/>
      <c r="BF8573">
        <v>35.96</v>
      </c>
      <c r="BH8573" s="42"/>
      <c r="BI8573" s="74"/>
      <c r="BJ8573" s="77"/>
      <c r="BL8573" s="497">
        <v>37.04</v>
      </c>
      <c r="BN8573" s="42"/>
      <c r="BO8573" s="74"/>
      <c r="BP8573" s="77"/>
      <c r="BR8573" s="497">
        <v>35.06</v>
      </c>
      <c r="BT8573" s="42"/>
    </row>
    <row r="8574" spans="1:72" x14ac:dyDescent="0.25">
      <c r="A8574" s="90">
        <v>35787</v>
      </c>
      <c r="B8574" s="20">
        <v>0.5</v>
      </c>
      <c r="D8574">
        <v>51.08</v>
      </c>
      <c r="E8574" t="str">
        <f t="shared" si="302"/>
        <v>WEEKDAY</v>
      </c>
      <c r="F8574" t="e">
        <f t="shared" si="303"/>
        <v>#N/A</v>
      </c>
      <c r="G8574" s="74">
        <v>28482</v>
      </c>
      <c r="H8574" s="77">
        <v>0.5</v>
      </c>
      <c r="J8574">
        <v>41</v>
      </c>
      <c r="M8574" s="74">
        <v>36883</v>
      </c>
      <c r="N8574" s="77">
        <v>0.5</v>
      </c>
      <c r="P8574">
        <v>23</v>
      </c>
      <c r="S8574" s="74">
        <v>35787</v>
      </c>
      <c r="T8574" s="77">
        <v>0.5</v>
      </c>
      <c r="V8574">
        <v>39.019999999999996</v>
      </c>
      <c r="X8574" s="42"/>
      <c r="AB8574">
        <v>39.299999999999997</v>
      </c>
      <c r="AC8574">
        <v>39.200000000000003</v>
      </c>
      <c r="AE8574" s="74"/>
      <c r="AF8574" s="77"/>
      <c r="AH8574" s="497">
        <v>55.400000000000006</v>
      </c>
      <c r="AJ8574" s="42"/>
      <c r="AK8574" s="74"/>
      <c r="AL8574" s="77"/>
      <c r="AN8574" s="497">
        <v>32</v>
      </c>
      <c r="AP8574" s="42"/>
      <c r="AQ8574" s="74"/>
      <c r="AR8574" s="77"/>
      <c r="AT8574" s="497">
        <v>39.74</v>
      </c>
      <c r="AV8574" s="42"/>
      <c r="AW8574" s="74"/>
      <c r="AX8574" s="77"/>
      <c r="BA8574" s="497">
        <v>37.22</v>
      </c>
      <c r="BB8574" s="42"/>
      <c r="BC8574" s="74"/>
      <c r="BD8574" s="77"/>
      <c r="BF8574">
        <v>37.04</v>
      </c>
      <c r="BH8574" s="42"/>
      <c r="BI8574" s="74"/>
      <c r="BJ8574" s="77"/>
      <c r="BL8574" s="497">
        <v>37.94</v>
      </c>
      <c r="BN8574" s="42"/>
      <c r="BO8574" s="74"/>
      <c r="BP8574" s="77"/>
      <c r="BR8574" s="497">
        <v>35.96</v>
      </c>
      <c r="BT8574" s="42"/>
    </row>
    <row r="8575" spans="1:72" x14ac:dyDescent="0.25">
      <c r="A8575" s="90">
        <v>35787</v>
      </c>
      <c r="B8575" s="20">
        <v>0.54166666666666663</v>
      </c>
      <c r="D8575">
        <v>53.06</v>
      </c>
      <c r="E8575" t="str">
        <f t="shared" si="302"/>
        <v>WEEKDAY</v>
      </c>
      <c r="F8575" t="e">
        <f t="shared" si="303"/>
        <v>#N/A</v>
      </c>
      <c r="G8575" s="74">
        <v>28482</v>
      </c>
      <c r="H8575" s="77">
        <v>0.54166666666666663</v>
      </c>
      <c r="J8575">
        <v>44.96</v>
      </c>
      <c r="M8575" s="74">
        <v>36883</v>
      </c>
      <c r="N8575" s="77">
        <v>0.54166666666666663</v>
      </c>
      <c r="P8575">
        <v>24.8</v>
      </c>
      <c r="S8575" s="74">
        <v>35787</v>
      </c>
      <c r="T8575" s="77">
        <v>0.54166666666666663</v>
      </c>
      <c r="V8575">
        <v>37.94</v>
      </c>
      <c r="X8575" s="42"/>
      <c r="AB8575">
        <v>40.299999999999997</v>
      </c>
      <c r="AC8575">
        <v>41</v>
      </c>
      <c r="AE8575" s="74"/>
      <c r="AF8575" s="77"/>
      <c r="AH8575" s="497">
        <v>55.400000000000006</v>
      </c>
      <c r="AJ8575" s="42"/>
      <c r="AK8575" s="74"/>
      <c r="AL8575" s="77"/>
      <c r="AN8575" s="497">
        <v>33.08</v>
      </c>
      <c r="AP8575" s="42"/>
      <c r="AQ8575" s="74"/>
      <c r="AR8575" s="77"/>
      <c r="AT8575" s="497">
        <v>42.08</v>
      </c>
      <c r="AV8575" s="42"/>
      <c r="AW8575" s="74"/>
      <c r="AX8575" s="77"/>
      <c r="BA8575" s="497">
        <v>37.94</v>
      </c>
      <c r="BB8575" s="42"/>
      <c r="BC8575" s="74"/>
      <c r="BD8575" s="77"/>
      <c r="BF8575">
        <v>39.019999999999996</v>
      </c>
      <c r="BH8575" s="42"/>
      <c r="BI8575" s="74"/>
      <c r="BJ8575" s="77"/>
      <c r="BL8575" s="497">
        <v>39.92</v>
      </c>
      <c r="BN8575" s="42"/>
      <c r="BO8575" s="74"/>
      <c r="BP8575" s="77"/>
      <c r="BR8575" s="497">
        <v>37.04</v>
      </c>
      <c r="BT8575" s="42"/>
    </row>
    <row r="8576" spans="1:72" x14ac:dyDescent="0.25">
      <c r="A8576" s="90">
        <v>35787</v>
      </c>
      <c r="B8576" s="20">
        <v>0.58333333333333337</v>
      </c>
      <c r="D8576">
        <v>53.06</v>
      </c>
      <c r="E8576" t="str">
        <f t="shared" si="302"/>
        <v>WEEKDAY</v>
      </c>
      <c r="F8576" t="e">
        <f t="shared" si="303"/>
        <v>#N/A</v>
      </c>
      <c r="G8576" s="74">
        <v>28482</v>
      </c>
      <c r="H8576" s="77">
        <v>0.58333333333333337</v>
      </c>
      <c r="J8576">
        <v>46.04</v>
      </c>
      <c r="M8576" s="74">
        <v>36883</v>
      </c>
      <c r="N8576" s="77">
        <v>0.58333333333333337</v>
      </c>
      <c r="P8576">
        <v>28.4</v>
      </c>
      <c r="S8576" s="74">
        <v>35787</v>
      </c>
      <c r="T8576" s="77">
        <v>0.58333333333333337</v>
      </c>
      <c r="V8576">
        <v>37.94</v>
      </c>
      <c r="X8576" s="42"/>
      <c r="AB8576">
        <v>41</v>
      </c>
      <c r="AC8576">
        <v>39.200000000000003</v>
      </c>
      <c r="AE8576" s="74"/>
      <c r="AF8576" s="77"/>
      <c r="AH8576" s="497">
        <v>57.2</v>
      </c>
      <c r="AJ8576" s="42"/>
      <c r="AK8576" s="74"/>
      <c r="AL8576" s="77"/>
      <c r="AN8576" s="497">
        <v>33.08</v>
      </c>
      <c r="AP8576" s="42"/>
      <c r="AQ8576" s="74"/>
      <c r="AR8576" s="77"/>
      <c r="AT8576" s="497">
        <v>40.64</v>
      </c>
      <c r="AV8576" s="42"/>
      <c r="AW8576" s="74"/>
      <c r="AX8576" s="77"/>
      <c r="BA8576" s="497">
        <v>38.659999999999997</v>
      </c>
      <c r="BB8576" s="42"/>
      <c r="BC8576" s="74"/>
      <c r="BD8576" s="77"/>
      <c r="BF8576">
        <v>39.92</v>
      </c>
      <c r="BH8576" s="42"/>
      <c r="BI8576" s="74"/>
      <c r="BJ8576" s="77"/>
      <c r="BL8576" s="497">
        <v>42.08</v>
      </c>
      <c r="BN8576" s="42"/>
      <c r="BO8576" s="74"/>
      <c r="BP8576" s="77"/>
      <c r="BR8576" s="497">
        <v>37.04</v>
      </c>
      <c r="BT8576" s="42"/>
    </row>
    <row r="8577" spans="1:72" x14ac:dyDescent="0.25">
      <c r="A8577" s="90">
        <v>35787</v>
      </c>
      <c r="B8577" s="20">
        <v>0.625</v>
      </c>
      <c r="D8577">
        <v>51.980000000000004</v>
      </c>
      <c r="E8577" t="str">
        <f t="shared" si="302"/>
        <v>WEEKDAY</v>
      </c>
      <c r="F8577" t="e">
        <f t="shared" si="303"/>
        <v>#N/A</v>
      </c>
      <c r="G8577" s="74">
        <v>28482</v>
      </c>
      <c r="H8577" s="77">
        <v>0.625</v>
      </c>
      <c r="J8577">
        <v>48.019999999999996</v>
      </c>
      <c r="M8577" s="74">
        <v>36883</v>
      </c>
      <c r="N8577" s="77">
        <v>0.625</v>
      </c>
      <c r="P8577">
        <v>26.6</v>
      </c>
      <c r="S8577" s="74">
        <v>35787</v>
      </c>
      <c r="T8577" s="77">
        <v>0.625</v>
      </c>
      <c r="V8577">
        <v>37.94</v>
      </c>
      <c r="X8577" s="42"/>
      <c r="AB8577">
        <v>41.3</v>
      </c>
      <c r="AC8577">
        <v>37.4</v>
      </c>
      <c r="AE8577" s="74"/>
      <c r="AF8577" s="77"/>
      <c r="AH8577" s="497">
        <v>60.8</v>
      </c>
      <c r="AJ8577" s="42"/>
      <c r="AK8577" s="74"/>
      <c r="AL8577" s="77"/>
      <c r="AN8577" s="497">
        <v>33.08</v>
      </c>
      <c r="AP8577" s="42"/>
      <c r="AQ8577" s="74"/>
      <c r="AR8577" s="77"/>
      <c r="AT8577" s="497">
        <v>39.380000000000003</v>
      </c>
      <c r="AV8577" s="42"/>
      <c r="AW8577" s="74"/>
      <c r="AX8577" s="77"/>
      <c r="BA8577" s="497">
        <v>39.200000000000003</v>
      </c>
      <c r="BB8577" s="42"/>
      <c r="BC8577" s="74"/>
      <c r="BD8577" s="77"/>
      <c r="BF8577">
        <v>41</v>
      </c>
      <c r="BH8577" s="42"/>
      <c r="BI8577" s="74"/>
      <c r="BJ8577" s="77"/>
      <c r="BL8577" s="497">
        <v>41</v>
      </c>
      <c r="BN8577" s="42"/>
      <c r="BO8577" s="74"/>
      <c r="BP8577" s="77"/>
      <c r="BR8577" s="497">
        <v>37.04</v>
      </c>
      <c r="BT8577" s="42"/>
    </row>
    <row r="8578" spans="1:72" x14ac:dyDescent="0.25">
      <c r="A8578" s="90">
        <v>35787</v>
      </c>
      <c r="B8578" s="20">
        <v>0.66666666666666663</v>
      </c>
      <c r="D8578">
        <v>51.08</v>
      </c>
      <c r="E8578" t="str">
        <f t="shared" si="302"/>
        <v>WEEKDAY</v>
      </c>
      <c r="F8578" t="e">
        <f t="shared" si="303"/>
        <v>#N/A</v>
      </c>
      <c r="G8578" s="74">
        <v>28482</v>
      </c>
      <c r="H8578" s="77">
        <v>0.66666666666666663</v>
      </c>
      <c r="J8578">
        <v>48.019999999999996</v>
      </c>
      <c r="M8578" s="74">
        <v>36883</v>
      </c>
      <c r="N8578" s="77">
        <v>0.66666666666666663</v>
      </c>
      <c r="P8578">
        <v>28.4</v>
      </c>
      <c r="S8578" s="74">
        <v>35787</v>
      </c>
      <c r="T8578" s="77">
        <v>0.66666666666666663</v>
      </c>
      <c r="V8578">
        <v>37.94</v>
      </c>
      <c r="X8578" s="42"/>
      <c r="AB8578">
        <v>41.2</v>
      </c>
      <c r="AC8578">
        <v>39.200000000000003</v>
      </c>
      <c r="AE8578" s="74"/>
      <c r="AF8578" s="77"/>
      <c r="AH8578" s="497">
        <v>60.8</v>
      </c>
      <c r="AJ8578" s="42"/>
      <c r="AK8578" s="74"/>
      <c r="AL8578" s="77"/>
      <c r="AN8578" s="497">
        <v>33.08</v>
      </c>
      <c r="AP8578" s="42"/>
      <c r="AQ8578" s="74"/>
      <c r="AR8578" s="77"/>
      <c r="AT8578" s="497">
        <v>37.94</v>
      </c>
      <c r="AV8578" s="42"/>
      <c r="AW8578" s="74"/>
      <c r="AX8578" s="77"/>
      <c r="BA8578" s="497">
        <v>39.92</v>
      </c>
      <c r="BB8578" s="42"/>
      <c r="BC8578" s="74"/>
      <c r="BD8578" s="77"/>
      <c r="BF8578">
        <v>39.92</v>
      </c>
      <c r="BH8578" s="42"/>
      <c r="BI8578" s="74"/>
      <c r="BJ8578" s="77"/>
      <c r="BL8578" s="497">
        <v>41</v>
      </c>
      <c r="BN8578" s="42"/>
      <c r="BO8578" s="74"/>
      <c r="BP8578" s="77"/>
      <c r="BR8578" s="497">
        <v>35.06</v>
      </c>
      <c r="BT8578" s="42"/>
    </row>
    <row r="8579" spans="1:72" x14ac:dyDescent="0.25">
      <c r="A8579" s="90">
        <v>35787</v>
      </c>
      <c r="B8579" s="20">
        <v>0.70833333333333337</v>
      </c>
      <c r="D8579">
        <v>48.92</v>
      </c>
      <c r="E8579" t="str">
        <f t="shared" si="302"/>
        <v>WEEKDAY</v>
      </c>
      <c r="F8579" t="e">
        <f t="shared" si="303"/>
        <v>#N/A</v>
      </c>
      <c r="G8579" s="74">
        <v>28482</v>
      </c>
      <c r="H8579" s="77">
        <v>0.70833333333333337</v>
      </c>
      <c r="J8579">
        <v>46.04</v>
      </c>
      <c r="M8579" s="74">
        <v>36883</v>
      </c>
      <c r="N8579" s="77">
        <v>0.70833333333333337</v>
      </c>
      <c r="P8579">
        <v>26.6</v>
      </c>
      <c r="S8579" s="74">
        <v>35787</v>
      </c>
      <c r="T8579" s="77">
        <v>0.70833333333333337</v>
      </c>
      <c r="V8579">
        <v>37.94</v>
      </c>
      <c r="X8579" s="42"/>
      <c r="AB8579">
        <v>40.4</v>
      </c>
      <c r="AC8579">
        <v>39.200000000000003</v>
      </c>
      <c r="AE8579" s="74"/>
      <c r="AF8579" s="77"/>
      <c r="AH8579" s="497">
        <v>57.2</v>
      </c>
      <c r="AJ8579" s="42"/>
      <c r="AK8579" s="74"/>
      <c r="AL8579" s="77"/>
      <c r="AN8579" s="497">
        <v>30.92</v>
      </c>
      <c r="AP8579" s="42"/>
      <c r="AQ8579" s="74"/>
      <c r="AR8579" s="77"/>
      <c r="AT8579" s="497">
        <v>36.68</v>
      </c>
      <c r="AV8579" s="42"/>
      <c r="AW8579" s="74"/>
      <c r="AX8579" s="77"/>
      <c r="BA8579" s="497">
        <v>38.299999999999997</v>
      </c>
      <c r="BB8579" s="42"/>
      <c r="BC8579" s="74"/>
      <c r="BD8579" s="77"/>
      <c r="BF8579">
        <v>39.92</v>
      </c>
      <c r="BH8579" s="42"/>
      <c r="BI8579" s="74"/>
      <c r="BJ8579" s="77"/>
      <c r="BL8579" s="497">
        <v>39.92</v>
      </c>
      <c r="BN8579" s="42"/>
      <c r="BO8579" s="74"/>
      <c r="BP8579" s="77"/>
      <c r="BR8579" s="497">
        <v>35.06</v>
      </c>
      <c r="BT8579" s="42"/>
    </row>
    <row r="8580" spans="1:72" x14ac:dyDescent="0.25">
      <c r="A8580" s="90">
        <v>35787</v>
      </c>
      <c r="B8580" s="20">
        <v>0.75</v>
      </c>
      <c r="D8580">
        <v>48.92</v>
      </c>
      <c r="E8580" t="str">
        <f t="shared" si="302"/>
        <v>WEEKDAY</v>
      </c>
      <c r="F8580" t="e">
        <f t="shared" si="303"/>
        <v>#N/A</v>
      </c>
      <c r="G8580" s="74">
        <v>28482</v>
      </c>
      <c r="H8580" s="77">
        <v>0.75</v>
      </c>
      <c r="J8580">
        <v>44.06</v>
      </c>
      <c r="M8580" s="74">
        <v>36883</v>
      </c>
      <c r="N8580" s="77">
        <v>0.75</v>
      </c>
      <c r="P8580">
        <v>24.8</v>
      </c>
      <c r="S8580" s="74">
        <v>35787</v>
      </c>
      <c r="T8580" s="77">
        <v>0.75</v>
      </c>
      <c r="V8580">
        <v>39.019999999999996</v>
      </c>
      <c r="X8580" s="42"/>
      <c r="AB8580">
        <v>39.299999999999997</v>
      </c>
      <c r="AC8580">
        <v>39.200000000000003</v>
      </c>
      <c r="AE8580" s="74"/>
      <c r="AF8580" s="77"/>
      <c r="AH8580" s="497">
        <v>51.8</v>
      </c>
      <c r="AJ8580" s="42"/>
      <c r="AK8580" s="74"/>
      <c r="AL8580" s="77"/>
      <c r="AN8580" s="497">
        <v>28.94</v>
      </c>
      <c r="AP8580" s="42"/>
      <c r="AQ8580" s="74"/>
      <c r="AR8580" s="77"/>
      <c r="AT8580" s="497">
        <v>35.24</v>
      </c>
      <c r="AV8580" s="42"/>
      <c r="AW8580" s="74"/>
      <c r="AX8580" s="77"/>
      <c r="BA8580" s="497">
        <v>36.68</v>
      </c>
      <c r="BB8580" s="42"/>
      <c r="BC8580" s="74"/>
      <c r="BD8580" s="77"/>
      <c r="BF8580">
        <v>39.019999999999996</v>
      </c>
      <c r="BH8580" s="42"/>
      <c r="BI8580" s="74"/>
      <c r="BJ8580" s="77"/>
      <c r="BL8580" s="497">
        <v>37.04</v>
      </c>
      <c r="BN8580" s="42"/>
      <c r="BO8580" s="74"/>
      <c r="BP8580" s="77"/>
      <c r="BR8580" s="497">
        <v>33.979999999999997</v>
      </c>
      <c r="BT8580" s="42"/>
    </row>
    <row r="8581" spans="1:72" x14ac:dyDescent="0.25">
      <c r="A8581" s="90">
        <v>35787</v>
      </c>
      <c r="B8581" s="20">
        <v>0.79166666666666663</v>
      </c>
      <c r="D8581">
        <v>48.019999999999996</v>
      </c>
      <c r="E8581" t="str">
        <f t="shared" si="302"/>
        <v>WEEKDAY</v>
      </c>
      <c r="F8581" t="e">
        <f t="shared" si="303"/>
        <v>#N/A</v>
      </c>
      <c r="G8581" s="74">
        <v>28482</v>
      </c>
      <c r="H8581" s="77">
        <v>0.79166666666666663</v>
      </c>
      <c r="J8581">
        <v>44.06</v>
      </c>
      <c r="M8581" s="74">
        <v>36883</v>
      </c>
      <c r="N8581" s="77">
        <v>0.79166666666666663</v>
      </c>
      <c r="P8581">
        <v>24.8</v>
      </c>
      <c r="S8581" s="74">
        <v>35787</v>
      </c>
      <c r="T8581" s="77">
        <v>0.79166666666666663</v>
      </c>
      <c r="V8581">
        <v>39.019999999999996</v>
      </c>
      <c r="X8581" s="42"/>
      <c r="AB8581">
        <v>38.799999999999997</v>
      </c>
      <c r="AC8581">
        <v>37.4</v>
      </c>
      <c r="AE8581" s="74"/>
      <c r="AF8581" s="77"/>
      <c r="AH8581" s="497">
        <v>51.8</v>
      </c>
      <c r="AJ8581" s="42"/>
      <c r="AK8581" s="74"/>
      <c r="AL8581" s="77"/>
      <c r="AN8581" s="497">
        <v>28.94</v>
      </c>
      <c r="AP8581" s="42"/>
      <c r="AQ8581" s="74"/>
      <c r="AR8581" s="77"/>
      <c r="AT8581" s="497">
        <v>33.979999999999997</v>
      </c>
      <c r="AV8581" s="42"/>
      <c r="AW8581" s="74"/>
      <c r="AX8581" s="77"/>
      <c r="BA8581" s="497">
        <v>35.06</v>
      </c>
      <c r="BB8581" s="42"/>
      <c r="BC8581" s="74"/>
      <c r="BD8581" s="77"/>
      <c r="BF8581">
        <v>39.019999999999996</v>
      </c>
      <c r="BH8581" s="42"/>
      <c r="BI8581" s="74"/>
      <c r="BJ8581" s="77"/>
      <c r="BL8581" s="497">
        <v>37.94</v>
      </c>
      <c r="BN8581" s="42"/>
      <c r="BO8581" s="74"/>
      <c r="BP8581" s="77"/>
      <c r="BR8581" s="497">
        <v>33.08</v>
      </c>
      <c r="BT8581" s="42"/>
    </row>
    <row r="8582" spans="1:72" x14ac:dyDescent="0.25">
      <c r="A8582" s="90">
        <v>35787</v>
      </c>
      <c r="B8582" s="20">
        <v>0.83333333333333337</v>
      </c>
      <c r="D8582">
        <v>48.019999999999996</v>
      </c>
      <c r="E8582" t="str">
        <f t="shared" si="302"/>
        <v>WEEKDAY</v>
      </c>
      <c r="F8582" t="e">
        <f t="shared" si="303"/>
        <v>#N/A</v>
      </c>
      <c r="G8582" s="74">
        <v>28482</v>
      </c>
      <c r="H8582" s="77">
        <v>0.83333333333333337</v>
      </c>
      <c r="J8582">
        <v>42.980000000000004</v>
      </c>
      <c r="M8582" s="74">
        <v>36883</v>
      </c>
      <c r="N8582" s="77">
        <v>0.83333333333333337</v>
      </c>
      <c r="P8582">
        <v>24.8</v>
      </c>
      <c r="S8582" s="74">
        <v>35787</v>
      </c>
      <c r="T8582" s="77">
        <v>0.83333333333333337</v>
      </c>
      <c r="V8582">
        <v>37.94</v>
      </c>
      <c r="X8582" s="42"/>
      <c r="AB8582">
        <v>38.6</v>
      </c>
      <c r="AC8582">
        <v>37.4</v>
      </c>
      <c r="AE8582" s="74"/>
      <c r="AF8582" s="77"/>
      <c r="AH8582" s="497">
        <v>51.8</v>
      </c>
      <c r="AJ8582" s="42"/>
      <c r="AK8582" s="74"/>
      <c r="AL8582" s="77"/>
      <c r="AN8582" s="497">
        <v>28.94</v>
      </c>
      <c r="AP8582" s="42"/>
      <c r="AQ8582" s="74"/>
      <c r="AR8582" s="77"/>
      <c r="AT8582" s="497">
        <v>32</v>
      </c>
      <c r="AV8582" s="42"/>
      <c r="AW8582" s="74"/>
      <c r="AX8582" s="77"/>
      <c r="BA8582" s="497">
        <v>35.78</v>
      </c>
      <c r="BB8582" s="42"/>
      <c r="BC8582" s="74"/>
      <c r="BD8582" s="77"/>
      <c r="BF8582">
        <v>39.019999999999996</v>
      </c>
      <c r="BH8582" s="42"/>
      <c r="BI8582" s="74"/>
      <c r="BJ8582" s="77"/>
      <c r="BL8582" s="497">
        <v>39.019999999999996</v>
      </c>
      <c r="BN8582" s="42"/>
      <c r="BO8582" s="74"/>
      <c r="BP8582" s="77"/>
      <c r="BR8582" s="497">
        <v>30.02</v>
      </c>
      <c r="BT8582" s="42"/>
    </row>
    <row r="8583" spans="1:72" x14ac:dyDescent="0.25">
      <c r="A8583" s="90">
        <v>35787</v>
      </c>
      <c r="B8583" s="20">
        <v>0.875</v>
      </c>
      <c r="D8583">
        <v>48.019999999999996</v>
      </c>
      <c r="E8583" t="str">
        <f t="shared" si="302"/>
        <v>WEEKDAY</v>
      </c>
      <c r="F8583" t="e">
        <f t="shared" si="303"/>
        <v>#N/A</v>
      </c>
      <c r="G8583" s="74">
        <v>28482</v>
      </c>
      <c r="H8583" s="77">
        <v>0.875</v>
      </c>
      <c r="J8583">
        <v>42.08</v>
      </c>
      <c r="M8583" s="74">
        <v>36883</v>
      </c>
      <c r="N8583" s="77">
        <v>0.875</v>
      </c>
      <c r="P8583">
        <v>24.8</v>
      </c>
      <c r="S8583" s="74">
        <v>35787</v>
      </c>
      <c r="T8583" s="77">
        <v>0.875</v>
      </c>
      <c r="V8583">
        <v>37.94</v>
      </c>
      <c r="X8583" s="42"/>
      <c r="AB8583">
        <v>38</v>
      </c>
      <c r="AC8583">
        <v>35.6</v>
      </c>
      <c r="AE8583" s="74"/>
      <c r="AF8583" s="77"/>
      <c r="AH8583" s="497">
        <v>50</v>
      </c>
      <c r="AJ8583" s="42"/>
      <c r="AK8583" s="74"/>
      <c r="AL8583" s="77"/>
      <c r="AN8583" s="497">
        <v>28.94</v>
      </c>
      <c r="AP8583" s="42"/>
      <c r="AQ8583" s="74"/>
      <c r="AR8583" s="77"/>
      <c r="AT8583" s="497">
        <v>30.02</v>
      </c>
      <c r="AV8583" s="42"/>
      <c r="AW8583" s="74"/>
      <c r="AX8583" s="77"/>
      <c r="BA8583" s="497">
        <v>36.32</v>
      </c>
      <c r="BB8583" s="42"/>
      <c r="BC8583" s="74"/>
      <c r="BD8583" s="77"/>
      <c r="BF8583">
        <v>37.94</v>
      </c>
      <c r="BH8583" s="42"/>
      <c r="BI8583" s="74"/>
      <c r="BJ8583" s="77"/>
      <c r="BL8583" s="497">
        <v>35.96</v>
      </c>
      <c r="BN8583" s="42"/>
      <c r="BO8583" s="74"/>
      <c r="BP8583" s="77"/>
      <c r="BR8583" s="497">
        <v>28.04</v>
      </c>
      <c r="BT8583" s="42"/>
    </row>
    <row r="8584" spans="1:72" x14ac:dyDescent="0.25">
      <c r="A8584" s="90">
        <v>35787</v>
      </c>
      <c r="B8584" s="20">
        <v>0.91666666666666663</v>
      </c>
      <c r="D8584">
        <v>48.019999999999996</v>
      </c>
      <c r="E8584" t="str">
        <f t="shared" si="302"/>
        <v>WEEKDAY</v>
      </c>
      <c r="F8584" t="e">
        <f t="shared" si="303"/>
        <v>#N/A</v>
      </c>
      <c r="G8584" s="74">
        <v>28482</v>
      </c>
      <c r="H8584" s="77">
        <v>0.91666666666666663</v>
      </c>
      <c r="J8584">
        <v>42.08</v>
      </c>
      <c r="M8584" s="74">
        <v>36883</v>
      </c>
      <c r="N8584" s="77">
        <v>0.91666666666666663</v>
      </c>
      <c r="P8584">
        <v>24.8</v>
      </c>
      <c r="S8584" s="74">
        <v>35787</v>
      </c>
      <c r="T8584" s="77">
        <v>0.91666666666666663</v>
      </c>
      <c r="V8584">
        <v>39.019999999999996</v>
      </c>
      <c r="X8584" s="42"/>
      <c r="AB8584">
        <v>37.4</v>
      </c>
      <c r="AC8584">
        <v>37.4</v>
      </c>
      <c r="AE8584" s="74"/>
      <c r="AF8584" s="77"/>
      <c r="AH8584" s="497">
        <v>46.4</v>
      </c>
      <c r="AJ8584" s="42"/>
      <c r="AK8584" s="74"/>
      <c r="AL8584" s="77"/>
      <c r="AN8584" s="497">
        <v>28.04</v>
      </c>
      <c r="AP8584" s="42"/>
      <c r="AQ8584" s="74"/>
      <c r="AR8584" s="77"/>
      <c r="AT8584" s="497">
        <v>28.04</v>
      </c>
      <c r="AV8584" s="42"/>
      <c r="AW8584" s="74"/>
      <c r="AX8584" s="77"/>
      <c r="BA8584" s="497">
        <v>37.04</v>
      </c>
      <c r="BB8584" s="42"/>
      <c r="BC8584" s="74"/>
      <c r="BD8584" s="77"/>
      <c r="BF8584">
        <v>35.96</v>
      </c>
      <c r="BH8584" s="42"/>
      <c r="BI8584" s="74"/>
      <c r="BJ8584" s="77"/>
      <c r="BL8584" s="497">
        <v>35.96</v>
      </c>
      <c r="BN8584" s="42"/>
      <c r="BO8584" s="74"/>
      <c r="BP8584" s="77"/>
      <c r="BR8584" s="497">
        <v>26.060000000000002</v>
      </c>
      <c r="BT8584" s="42"/>
    </row>
    <row r="8585" spans="1:72" x14ac:dyDescent="0.25">
      <c r="A8585" s="90">
        <v>35787</v>
      </c>
      <c r="B8585" s="20">
        <v>0.95833333333333337</v>
      </c>
      <c r="D8585">
        <v>48.92</v>
      </c>
      <c r="E8585" t="str">
        <f t="shared" si="302"/>
        <v>WEEKDAY</v>
      </c>
      <c r="F8585" t="e">
        <f t="shared" si="303"/>
        <v>#N/A</v>
      </c>
      <c r="G8585" s="74">
        <v>28482</v>
      </c>
      <c r="H8585" s="77">
        <v>0.95833333333333337</v>
      </c>
      <c r="J8585">
        <v>41</v>
      </c>
      <c r="M8585" s="74">
        <v>36883</v>
      </c>
      <c r="N8585" s="77">
        <v>0.95833333333333337</v>
      </c>
      <c r="P8585">
        <v>23</v>
      </c>
      <c r="S8585" s="74">
        <v>35787</v>
      </c>
      <c r="T8585" s="77">
        <v>0.95833333333333337</v>
      </c>
      <c r="V8585">
        <v>39.019999999999996</v>
      </c>
      <c r="X8585" s="42"/>
      <c r="AB8585">
        <v>37</v>
      </c>
      <c r="AC8585">
        <v>37.4</v>
      </c>
      <c r="AE8585" s="74"/>
      <c r="AF8585" s="77"/>
      <c r="AH8585" s="497">
        <v>41</v>
      </c>
      <c r="AJ8585" s="42"/>
      <c r="AK8585" s="74"/>
      <c r="AL8585" s="77"/>
      <c r="AN8585" s="497">
        <v>28.94</v>
      </c>
      <c r="AP8585" s="42"/>
      <c r="AQ8585" s="74"/>
      <c r="AR8585" s="77"/>
      <c r="AT8585" s="497">
        <v>28.4</v>
      </c>
      <c r="AV8585" s="42"/>
      <c r="AW8585" s="74"/>
      <c r="AX8585" s="77"/>
      <c r="BA8585" s="497">
        <v>37.04</v>
      </c>
      <c r="BB8585" s="42"/>
      <c r="BC8585" s="74"/>
      <c r="BD8585" s="77"/>
      <c r="BF8585">
        <v>37.94</v>
      </c>
      <c r="BH8585" s="42"/>
      <c r="BI8585" s="74"/>
      <c r="BJ8585" s="77"/>
      <c r="BL8585" s="497">
        <v>35.06</v>
      </c>
      <c r="BN8585" s="42"/>
      <c r="BO8585" s="74"/>
      <c r="BP8585" s="77"/>
      <c r="BR8585" s="497">
        <v>23</v>
      </c>
      <c r="BT8585" s="42"/>
    </row>
    <row r="8586" spans="1:72" x14ac:dyDescent="0.25">
      <c r="A8586" s="90">
        <v>35787</v>
      </c>
      <c r="B8586" s="20">
        <v>1</v>
      </c>
      <c r="D8586">
        <v>50</v>
      </c>
      <c r="E8586" t="str">
        <f t="shared" si="302"/>
        <v>WEEKDAY</v>
      </c>
      <c r="F8586" t="e">
        <f t="shared" si="303"/>
        <v>#N/A</v>
      </c>
      <c r="G8586" s="74">
        <v>28482</v>
      </c>
      <c r="H8586" s="77">
        <v>1</v>
      </c>
      <c r="J8586">
        <v>41</v>
      </c>
      <c r="M8586" s="74">
        <v>36883</v>
      </c>
      <c r="N8586" s="80">
        <v>1</v>
      </c>
      <c r="P8586">
        <v>19.399999999999999</v>
      </c>
      <c r="S8586" s="74">
        <v>35787</v>
      </c>
      <c r="T8586" s="80">
        <v>1</v>
      </c>
      <c r="V8586">
        <v>39.019999999999996</v>
      </c>
      <c r="X8586" s="42"/>
      <c r="AB8586">
        <v>36.5</v>
      </c>
      <c r="AC8586">
        <v>37.4</v>
      </c>
      <c r="AE8586" s="74"/>
      <c r="AF8586" s="80"/>
      <c r="AH8586" s="497">
        <v>37.4</v>
      </c>
      <c r="AJ8586" s="42"/>
      <c r="AK8586" s="74"/>
      <c r="AL8586" s="80"/>
      <c r="AN8586" s="497">
        <v>24.98</v>
      </c>
      <c r="AP8586" s="42"/>
      <c r="AQ8586" s="74"/>
      <c r="AR8586" s="80"/>
      <c r="AT8586" s="497">
        <v>28.58</v>
      </c>
      <c r="AV8586" s="42"/>
      <c r="AW8586" s="74"/>
      <c r="AX8586" s="80"/>
      <c r="BA8586" s="497">
        <v>37.04</v>
      </c>
      <c r="BB8586" s="42"/>
      <c r="BC8586" s="74"/>
      <c r="BD8586" s="80"/>
      <c r="BF8586">
        <v>37.94</v>
      </c>
      <c r="BH8586" s="42"/>
      <c r="BI8586" s="74"/>
      <c r="BJ8586" s="80"/>
      <c r="BL8586" s="497">
        <v>35.06</v>
      </c>
      <c r="BN8586" s="42"/>
      <c r="BO8586" s="74"/>
      <c r="BP8586" s="80"/>
      <c r="BR8586" s="497">
        <v>19.04</v>
      </c>
      <c r="BT8586" s="42"/>
    </row>
    <row r="8587" spans="1:72" x14ac:dyDescent="0.25">
      <c r="A8587" s="90">
        <v>35788</v>
      </c>
      <c r="B8587" s="20">
        <v>4.1666666666666664E-2</v>
      </c>
      <c r="D8587">
        <v>50</v>
      </c>
      <c r="E8587" t="str">
        <f t="shared" si="302"/>
        <v>WEEKDAY</v>
      </c>
      <c r="F8587" t="e">
        <f t="shared" si="303"/>
        <v>#N/A</v>
      </c>
      <c r="G8587" s="74">
        <v>28483</v>
      </c>
      <c r="H8587" s="77">
        <v>4.1666666666666664E-2</v>
      </c>
      <c r="J8587">
        <v>41</v>
      </c>
      <c r="M8587" s="74">
        <v>36884</v>
      </c>
      <c r="N8587" s="77">
        <v>4.1666666666666664E-2</v>
      </c>
      <c r="P8587">
        <v>21.2</v>
      </c>
      <c r="S8587" s="74">
        <v>35788</v>
      </c>
      <c r="T8587" s="77">
        <v>4.1666666666666664E-2</v>
      </c>
      <c r="V8587">
        <v>39.019999999999996</v>
      </c>
      <c r="X8587" s="42"/>
      <c r="AB8587">
        <v>36.1</v>
      </c>
      <c r="AC8587">
        <v>37.4</v>
      </c>
      <c r="AE8587" s="74"/>
      <c r="AF8587" s="77"/>
      <c r="AH8587" s="497">
        <v>35.6</v>
      </c>
      <c r="AJ8587" s="42"/>
      <c r="AK8587" s="74"/>
      <c r="AL8587" s="77"/>
      <c r="AN8587" s="497">
        <v>24.08</v>
      </c>
      <c r="AP8587" s="42"/>
      <c r="AQ8587" s="74"/>
      <c r="AR8587" s="77"/>
      <c r="AT8587" s="497">
        <v>28.94</v>
      </c>
      <c r="AV8587" s="42"/>
      <c r="AW8587" s="74"/>
      <c r="AX8587" s="77"/>
      <c r="BA8587" s="497">
        <v>37.04</v>
      </c>
      <c r="BB8587" s="42"/>
      <c r="BC8587" s="74"/>
      <c r="BD8587" s="77"/>
      <c r="BF8587">
        <v>37.04</v>
      </c>
      <c r="BH8587" s="42"/>
      <c r="BI8587" s="74"/>
      <c r="BJ8587" s="77"/>
      <c r="BL8587" s="497">
        <v>33.979999999999997</v>
      </c>
      <c r="BN8587" s="42"/>
      <c r="BO8587" s="74"/>
      <c r="BP8587" s="77"/>
      <c r="BR8587" s="497">
        <v>19.939999999999998</v>
      </c>
      <c r="BT8587" s="42"/>
    </row>
    <row r="8588" spans="1:72" x14ac:dyDescent="0.25">
      <c r="A8588" s="90">
        <v>35788</v>
      </c>
      <c r="B8588" s="20">
        <v>8.3333333333333329E-2</v>
      </c>
      <c r="D8588">
        <v>50</v>
      </c>
      <c r="E8588" t="str">
        <f t="shared" si="302"/>
        <v>WEEKDAY</v>
      </c>
      <c r="F8588" t="e">
        <f t="shared" si="303"/>
        <v>#N/A</v>
      </c>
      <c r="G8588" s="74">
        <v>28483</v>
      </c>
      <c r="H8588" s="77">
        <v>8.3333333333333329E-2</v>
      </c>
      <c r="J8588">
        <v>41</v>
      </c>
      <c r="M8588" s="74">
        <v>36884</v>
      </c>
      <c r="N8588" s="77">
        <v>8.3333333333333329E-2</v>
      </c>
      <c r="P8588">
        <v>19.399999999999999</v>
      </c>
      <c r="S8588" s="74">
        <v>35788</v>
      </c>
      <c r="T8588" s="77">
        <v>8.3333333333333329E-2</v>
      </c>
      <c r="V8588">
        <v>37.04</v>
      </c>
      <c r="X8588" s="42"/>
      <c r="AB8588">
        <v>35.6</v>
      </c>
      <c r="AC8588">
        <v>37.4</v>
      </c>
      <c r="AE8588" s="74"/>
      <c r="AF8588" s="77"/>
      <c r="AH8588" s="497">
        <v>33.799999999999997</v>
      </c>
      <c r="AJ8588" s="42"/>
      <c r="AK8588" s="74"/>
      <c r="AL8588" s="77"/>
      <c r="AN8588" s="497">
        <v>23</v>
      </c>
      <c r="AP8588" s="42"/>
      <c r="AQ8588" s="74"/>
      <c r="AR8588" s="77"/>
      <c r="AT8588" s="497">
        <v>26.24</v>
      </c>
      <c r="AV8588" s="42"/>
      <c r="AW8588" s="74"/>
      <c r="AX8588" s="77"/>
      <c r="BA8588" s="497">
        <v>35.96</v>
      </c>
      <c r="BB8588" s="42"/>
      <c r="BC8588" s="74"/>
      <c r="BD8588" s="77"/>
      <c r="BF8588">
        <v>37.04</v>
      </c>
      <c r="BH8588" s="42"/>
      <c r="BI8588" s="74"/>
      <c r="BJ8588" s="77"/>
      <c r="BL8588" s="497">
        <v>33.08</v>
      </c>
      <c r="BN8588" s="42"/>
      <c r="BO8588" s="74"/>
      <c r="BP8588" s="77"/>
      <c r="BR8588" s="497">
        <v>19.939999999999998</v>
      </c>
      <c r="BT8588" s="42"/>
    </row>
    <row r="8589" spans="1:72" x14ac:dyDescent="0.25">
      <c r="A8589" s="90">
        <v>35788</v>
      </c>
      <c r="B8589" s="20">
        <v>0.125</v>
      </c>
      <c r="D8589">
        <v>50</v>
      </c>
      <c r="E8589" t="str">
        <f t="shared" si="302"/>
        <v>WEEKDAY</v>
      </c>
      <c r="F8589" t="e">
        <f t="shared" si="303"/>
        <v>#N/A</v>
      </c>
      <c r="G8589" s="74">
        <v>28483</v>
      </c>
      <c r="H8589" s="77">
        <v>0.125</v>
      </c>
      <c r="J8589">
        <v>41</v>
      </c>
      <c r="M8589" s="74">
        <v>36884</v>
      </c>
      <c r="N8589" s="77">
        <v>0.125</v>
      </c>
      <c r="P8589">
        <v>20.12</v>
      </c>
      <c r="S8589" s="74">
        <v>35788</v>
      </c>
      <c r="T8589" s="77">
        <v>0.125</v>
      </c>
      <c r="V8589">
        <v>39.019999999999996</v>
      </c>
      <c r="X8589" s="42"/>
      <c r="AB8589">
        <v>35.299999999999997</v>
      </c>
      <c r="AC8589">
        <v>37.4</v>
      </c>
      <c r="AE8589" s="74"/>
      <c r="AF8589" s="77"/>
      <c r="AH8589" s="497">
        <v>32</v>
      </c>
      <c r="AJ8589" s="42"/>
      <c r="AK8589" s="74"/>
      <c r="AL8589" s="77"/>
      <c r="AN8589" s="497">
        <v>21.92</v>
      </c>
      <c r="AP8589" s="42"/>
      <c r="AQ8589" s="74"/>
      <c r="AR8589" s="77"/>
      <c r="AT8589" s="497">
        <v>23.72</v>
      </c>
      <c r="AV8589" s="42"/>
      <c r="AW8589" s="74"/>
      <c r="AX8589" s="77"/>
      <c r="BA8589" s="497">
        <v>35.06</v>
      </c>
      <c r="BB8589" s="42"/>
      <c r="BC8589" s="74"/>
      <c r="BD8589" s="77"/>
      <c r="BF8589">
        <v>37.04</v>
      </c>
      <c r="BH8589" s="42"/>
      <c r="BI8589" s="74"/>
      <c r="BJ8589" s="77"/>
      <c r="BL8589" s="497">
        <v>33.979999999999997</v>
      </c>
      <c r="BN8589" s="42"/>
      <c r="BO8589" s="74"/>
      <c r="BP8589" s="77"/>
      <c r="BR8589" s="497">
        <v>15.079999999999998</v>
      </c>
      <c r="BT8589" s="42"/>
    </row>
    <row r="8590" spans="1:72" x14ac:dyDescent="0.25">
      <c r="A8590" s="90">
        <v>35788</v>
      </c>
      <c r="B8590" s="20">
        <v>0.16666666666666666</v>
      </c>
      <c r="D8590">
        <v>51.980000000000004</v>
      </c>
      <c r="E8590" t="str">
        <f t="shared" si="302"/>
        <v>WEEKDAY</v>
      </c>
      <c r="F8590" t="e">
        <f t="shared" si="303"/>
        <v>#N/A</v>
      </c>
      <c r="G8590" s="74">
        <v>28483</v>
      </c>
      <c r="H8590" s="77">
        <v>0.16666666666666666</v>
      </c>
      <c r="J8590">
        <v>41</v>
      </c>
      <c r="M8590" s="74">
        <v>36884</v>
      </c>
      <c r="N8590" s="77">
        <v>0.16666666666666666</v>
      </c>
      <c r="P8590">
        <v>21.2</v>
      </c>
      <c r="S8590" s="74">
        <v>35788</v>
      </c>
      <c r="T8590" s="77">
        <v>0.16666666666666666</v>
      </c>
      <c r="V8590">
        <v>37.94</v>
      </c>
      <c r="X8590" s="42"/>
      <c r="AB8590">
        <v>35</v>
      </c>
      <c r="AC8590">
        <v>35.6</v>
      </c>
      <c r="AE8590" s="74"/>
      <c r="AF8590" s="77"/>
      <c r="AH8590" s="497">
        <v>30.2</v>
      </c>
      <c r="AJ8590" s="42"/>
      <c r="AK8590" s="74"/>
      <c r="AL8590" s="77"/>
      <c r="AN8590" s="497">
        <v>19.939999999999998</v>
      </c>
      <c r="AP8590" s="42"/>
      <c r="AQ8590" s="74"/>
      <c r="AR8590" s="77"/>
      <c r="AT8590" s="497">
        <v>21.02</v>
      </c>
      <c r="AV8590" s="42"/>
      <c r="AW8590" s="74"/>
      <c r="AX8590" s="77"/>
      <c r="BA8590" s="497">
        <v>33.979999999999997</v>
      </c>
      <c r="BB8590" s="42"/>
      <c r="BC8590" s="74"/>
      <c r="BD8590" s="77"/>
      <c r="BF8590">
        <v>35.96</v>
      </c>
      <c r="BH8590" s="42"/>
      <c r="BI8590" s="74"/>
      <c r="BJ8590" s="77"/>
      <c r="BL8590" s="497">
        <v>35.06</v>
      </c>
      <c r="BN8590" s="42"/>
      <c r="BO8590" s="74"/>
      <c r="BP8590" s="77"/>
      <c r="BR8590" s="497">
        <v>14</v>
      </c>
      <c r="BT8590" s="42"/>
    </row>
    <row r="8591" spans="1:72" x14ac:dyDescent="0.25">
      <c r="A8591" s="90">
        <v>35788</v>
      </c>
      <c r="B8591" s="20">
        <v>0.20833333333333334</v>
      </c>
      <c r="D8591">
        <v>51.980000000000004</v>
      </c>
      <c r="E8591" t="str">
        <f t="shared" si="302"/>
        <v>WEEKDAY</v>
      </c>
      <c r="F8591" t="e">
        <f t="shared" si="303"/>
        <v>#N/A</v>
      </c>
      <c r="G8591" s="74">
        <v>28483</v>
      </c>
      <c r="H8591" s="77">
        <v>0.20833333333333334</v>
      </c>
      <c r="J8591">
        <v>39.019999999999996</v>
      </c>
      <c r="M8591" s="74">
        <v>36884</v>
      </c>
      <c r="N8591" s="77">
        <v>0.20833333333333334</v>
      </c>
      <c r="P8591">
        <v>19.399999999999999</v>
      </c>
      <c r="S8591" s="74">
        <v>35788</v>
      </c>
      <c r="T8591" s="77">
        <v>0.20833333333333334</v>
      </c>
      <c r="V8591">
        <v>37.94</v>
      </c>
      <c r="X8591" s="42"/>
      <c r="AB8591">
        <v>34.799999999999997</v>
      </c>
      <c r="AC8591">
        <v>33.799999999999997</v>
      </c>
      <c r="AE8591" s="74"/>
      <c r="AF8591" s="77"/>
      <c r="AH8591" s="497">
        <v>30.2</v>
      </c>
      <c r="AJ8591" s="42"/>
      <c r="AK8591" s="74"/>
      <c r="AL8591" s="77"/>
      <c r="AN8591" s="497">
        <v>19.939999999999998</v>
      </c>
      <c r="AP8591" s="42"/>
      <c r="AQ8591" s="74"/>
      <c r="AR8591" s="77"/>
      <c r="AT8591" s="497">
        <v>19.939999999999998</v>
      </c>
      <c r="AV8591" s="42"/>
      <c r="AW8591" s="74"/>
      <c r="AX8591" s="77"/>
      <c r="BA8591" s="497">
        <v>32.72</v>
      </c>
      <c r="BB8591" s="42"/>
      <c r="BC8591" s="74"/>
      <c r="BD8591" s="77"/>
      <c r="BF8591">
        <v>35.96</v>
      </c>
      <c r="BH8591" s="42"/>
      <c r="BI8591" s="74"/>
      <c r="BJ8591" s="77"/>
      <c r="BL8591" s="497">
        <v>35.96</v>
      </c>
      <c r="BN8591" s="42"/>
      <c r="BO8591" s="74"/>
      <c r="BP8591" s="77"/>
      <c r="BR8591" s="497">
        <v>12.02</v>
      </c>
      <c r="BT8591" s="42"/>
    </row>
    <row r="8592" spans="1:72" x14ac:dyDescent="0.25">
      <c r="A8592" s="90">
        <v>35788</v>
      </c>
      <c r="B8592" s="20">
        <v>0.25</v>
      </c>
      <c r="D8592">
        <v>53.06</v>
      </c>
      <c r="E8592" t="str">
        <f t="shared" si="302"/>
        <v>WEEKDAY</v>
      </c>
      <c r="F8592" t="e">
        <f t="shared" si="303"/>
        <v>#N/A</v>
      </c>
      <c r="G8592" s="74">
        <v>28483</v>
      </c>
      <c r="H8592" s="77">
        <v>0.25</v>
      </c>
      <c r="J8592">
        <v>39.019999999999996</v>
      </c>
      <c r="M8592" s="74">
        <v>36884</v>
      </c>
      <c r="N8592" s="77">
        <v>0.25</v>
      </c>
      <c r="P8592">
        <v>17.600000000000001</v>
      </c>
      <c r="S8592" s="74">
        <v>35788</v>
      </c>
      <c r="T8592" s="77">
        <v>0.25</v>
      </c>
      <c r="V8592">
        <v>37.94</v>
      </c>
      <c r="X8592" s="42"/>
      <c r="AB8592">
        <v>34.6</v>
      </c>
      <c r="AC8592">
        <v>35.6</v>
      </c>
      <c r="AE8592" s="74"/>
      <c r="AF8592" s="77"/>
      <c r="AH8592" s="497">
        <v>28.4</v>
      </c>
      <c r="AJ8592" s="42"/>
      <c r="AK8592" s="74"/>
      <c r="AL8592" s="77"/>
      <c r="AN8592" s="497">
        <v>19.939999999999998</v>
      </c>
      <c r="AP8592" s="42"/>
      <c r="AQ8592" s="74"/>
      <c r="AR8592" s="77"/>
      <c r="AT8592" s="497">
        <v>19.04</v>
      </c>
      <c r="AV8592" s="42"/>
      <c r="AW8592" s="74"/>
      <c r="AX8592" s="77"/>
      <c r="BA8592" s="497">
        <v>31.28</v>
      </c>
      <c r="BB8592" s="42"/>
      <c r="BC8592" s="74"/>
      <c r="BD8592" s="77"/>
      <c r="BF8592">
        <v>35.96</v>
      </c>
      <c r="BH8592" s="42"/>
      <c r="BI8592" s="74"/>
      <c r="BJ8592" s="77"/>
      <c r="BL8592" s="497">
        <v>35.96</v>
      </c>
      <c r="BN8592" s="42"/>
      <c r="BO8592" s="74"/>
      <c r="BP8592" s="77"/>
      <c r="BR8592" s="497">
        <v>12.02</v>
      </c>
      <c r="BT8592" s="42"/>
    </row>
    <row r="8593" spans="1:72" x14ac:dyDescent="0.25">
      <c r="A8593" s="90">
        <v>35788</v>
      </c>
      <c r="B8593" s="20">
        <v>0.29166666666666669</v>
      </c>
      <c r="D8593">
        <v>53.96</v>
      </c>
      <c r="E8593" t="str">
        <f t="shared" si="302"/>
        <v>WEEKDAY</v>
      </c>
      <c r="F8593" t="e">
        <f t="shared" si="303"/>
        <v>#N/A</v>
      </c>
      <c r="G8593" s="74">
        <v>28483</v>
      </c>
      <c r="H8593" s="77">
        <v>0.29166666666666669</v>
      </c>
      <c r="J8593">
        <v>37.94</v>
      </c>
      <c r="M8593" s="74">
        <v>36884</v>
      </c>
      <c r="N8593" s="77">
        <v>0.29166666666666669</v>
      </c>
      <c r="P8593">
        <v>17.600000000000001</v>
      </c>
      <c r="S8593" s="74">
        <v>35788</v>
      </c>
      <c r="T8593" s="77">
        <v>0.29166666666666669</v>
      </c>
      <c r="V8593">
        <v>37.94</v>
      </c>
      <c r="X8593" s="42"/>
      <c r="AB8593">
        <v>34.700000000000003</v>
      </c>
      <c r="AC8593">
        <v>35.6</v>
      </c>
      <c r="AE8593" s="74"/>
      <c r="AF8593" s="77"/>
      <c r="AH8593" s="497">
        <v>28.4</v>
      </c>
      <c r="AJ8593" s="42"/>
      <c r="AK8593" s="74"/>
      <c r="AL8593" s="77"/>
      <c r="AN8593" s="497">
        <v>19.04</v>
      </c>
      <c r="AP8593" s="42"/>
      <c r="AQ8593" s="74"/>
      <c r="AR8593" s="77"/>
      <c r="AT8593" s="497">
        <v>17.96</v>
      </c>
      <c r="AV8593" s="42"/>
      <c r="AW8593" s="74"/>
      <c r="AX8593" s="77"/>
      <c r="BA8593" s="497">
        <v>30.02</v>
      </c>
      <c r="BB8593" s="42"/>
      <c r="BC8593" s="74"/>
      <c r="BD8593" s="77"/>
      <c r="BF8593">
        <v>35.06</v>
      </c>
      <c r="BH8593" s="42"/>
      <c r="BI8593" s="74"/>
      <c r="BJ8593" s="77"/>
      <c r="BL8593" s="497">
        <v>35.06</v>
      </c>
      <c r="BN8593" s="42"/>
      <c r="BO8593" s="74"/>
      <c r="BP8593" s="77"/>
      <c r="BR8593" s="497">
        <v>10.940000000000001</v>
      </c>
      <c r="BT8593" s="42"/>
    </row>
    <row r="8594" spans="1:72" x14ac:dyDescent="0.25">
      <c r="A8594" s="90">
        <v>35788</v>
      </c>
      <c r="B8594" s="20">
        <v>0.33333333333333331</v>
      </c>
      <c r="D8594">
        <v>55.94</v>
      </c>
      <c r="E8594" t="str">
        <f t="shared" si="302"/>
        <v>WEEKDAY</v>
      </c>
      <c r="F8594" t="e">
        <f t="shared" si="303"/>
        <v>#N/A</v>
      </c>
      <c r="G8594" s="74">
        <v>28483</v>
      </c>
      <c r="H8594" s="77">
        <v>0.33333333333333331</v>
      </c>
      <c r="J8594">
        <v>35.96</v>
      </c>
      <c r="M8594" s="74">
        <v>36884</v>
      </c>
      <c r="N8594" s="77">
        <v>0.33333333333333331</v>
      </c>
      <c r="P8594">
        <v>26.6</v>
      </c>
      <c r="S8594" s="74">
        <v>35788</v>
      </c>
      <c r="T8594" s="77">
        <v>0.33333333333333331</v>
      </c>
      <c r="V8594">
        <v>35.96</v>
      </c>
      <c r="X8594" s="42"/>
      <c r="AB8594">
        <v>34.700000000000003</v>
      </c>
      <c r="AC8594">
        <v>35.6</v>
      </c>
      <c r="AE8594" s="74"/>
      <c r="AF8594" s="77"/>
      <c r="AH8594" s="497">
        <v>28.4</v>
      </c>
      <c r="AJ8594" s="42"/>
      <c r="AK8594" s="74"/>
      <c r="AL8594" s="77"/>
      <c r="AN8594" s="497">
        <v>19.04</v>
      </c>
      <c r="AP8594" s="42"/>
      <c r="AQ8594" s="74"/>
      <c r="AR8594" s="77"/>
      <c r="AT8594" s="497">
        <v>21.38</v>
      </c>
      <c r="AV8594" s="42"/>
      <c r="AW8594" s="74"/>
      <c r="AX8594" s="77"/>
      <c r="BA8594" s="497">
        <v>31.1</v>
      </c>
      <c r="BB8594" s="42"/>
      <c r="BC8594" s="74"/>
      <c r="BD8594" s="77"/>
      <c r="BF8594">
        <v>35.06</v>
      </c>
      <c r="BH8594" s="42"/>
      <c r="BI8594" s="74"/>
      <c r="BJ8594" s="77"/>
      <c r="BL8594" s="497">
        <v>35.06</v>
      </c>
      <c r="BN8594" s="42"/>
      <c r="BO8594" s="74"/>
      <c r="BP8594" s="77"/>
      <c r="BR8594" s="497">
        <v>10.039999999999999</v>
      </c>
      <c r="BT8594" s="42"/>
    </row>
    <row r="8595" spans="1:72" x14ac:dyDescent="0.25">
      <c r="A8595" s="90">
        <v>35788</v>
      </c>
      <c r="B8595" s="20">
        <v>0.375</v>
      </c>
      <c r="D8595">
        <v>53.96</v>
      </c>
      <c r="E8595" t="str">
        <f t="shared" ref="E8595:E8658" si="304">IF(COUNTIF($DI$18:$DI$22, WEEKDAY(A8595))=1, "WEEKDAY", IF(WEEKDAY(A8595) = 1, "SUNDAY", "SATURDAY"))</f>
        <v>WEEKDAY</v>
      </c>
      <c r="F8595" t="e">
        <f t="shared" si="303"/>
        <v>#N/A</v>
      </c>
      <c r="G8595" s="74">
        <v>28483</v>
      </c>
      <c r="H8595" s="77">
        <v>0.375</v>
      </c>
      <c r="J8595">
        <v>41</v>
      </c>
      <c r="M8595" s="74">
        <v>36884</v>
      </c>
      <c r="N8595" s="77">
        <v>0.375</v>
      </c>
      <c r="P8595">
        <v>24.8</v>
      </c>
      <c r="S8595" s="74">
        <v>35788</v>
      </c>
      <c r="T8595" s="77">
        <v>0.375</v>
      </c>
      <c r="V8595">
        <v>37.94</v>
      </c>
      <c r="X8595" s="42"/>
      <c r="AB8595">
        <v>35.1</v>
      </c>
      <c r="AC8595">
        <v>39.200000000000003</v>
      </c>
      <c r="AE8595" s="74"/>
      <c r="AF8595" s="77"/>
      <c r="AH8595" s="497">
        <v>28.4</v>
      </c>
      <c r="AJ8595" s="42"/>
      <c r="AK8595" s="74"/>
      <c r="AL8595" s="77"/>
      <c r="AN8595" s="497">
        <v>23</v>
      </c>
      <c r="AP8595" s="42"/>
      <c r="AQ8595" s="74"/>
      <c r="AR8595" s="77"/>
      <c r="AT8595" s="497">
        <v>24.62</v>
      </c>
      <c r="AV8595" s="42"/>
      <c r="AW8595" s="74"/>
      <c r="AX8595" s="77"/>
      <c r="BA8595" s="497">
        <v>32</v>
      </c>
      <c r="BB8595" s="42"/>
      <c r="BC8595" s="74"/>
      <c r="BD8595" s="77"/>
      <c r="BF8595">
        <v>33.979999999999997</v>
      </c>
      <c r="BH8595" s="42"/>
      <c r="BI8595" s="74"/>
      <c r="BJ8595" s="77"/>
      <c r="BL8595" s="497">
        <v>35.06</v>
      </c>
      <c r="BN8595" s="42"/>
      <c r="BO8595" s="74"/>
      <c r="BP8595" s="77"/>
      <c r="BR8595" s="497">
        <v>14</v>
      </c>
      <c r="BT8595" s="42"/>
    </row>
    <row r="8596" spans="1:72" x14ac:dyDescent="0.25">
      <c r="A8596" s="90">
        <v>35788</v>
      </c>
      <c r="B8596" s="20">
        <v>0.41666666666666669</v>
      </c>
      <c r="D8596">
        <v>53.96</v>
      </c>
      <c r="E8596" t="str">
        <f t="shared" si="304"/>
        <v>WEEKDAY</v>
      </c>
      <c r="F8596" t="e">
        <f t="shared" si="303"/>
        <v>#N/A</v>
      </c>
      <c r="G8596" s="74">
        <v>28483</v>
      </c>
      <c r="H8596" s="77">
        <v>0.41666666666666669</v>
      </c>
      <c r="J8596">
        <v>44.96</v>
      </c>
      <c r="M8596" s="74">
        <v>36884</v>
      </c>
      <c r="N8596" s="77">
        <v>0.41666666666666669</v>
      </c>
      <c r="P8596">
        <v>26.6</v>
      </c>
      <c r="S8596" s="74">
        <v>35788</v>
      </c>
      <c r="T8596" s="77">
        <v>0.41666666666666669</v>
      </c>
      <c r="V8596">
        <v>39.019999999999996</v>
      </c>
      <c r="X8596" s="42"/>
      <c r="AB8596">
        <v>36.6</v>
      </c>
      <c r="AC8596">
        <v>39.200000000000003</v>
      </c>
      <c r="AE8596" s="74"/>
      <c r="AF8596" s="77"/>
      <c r="AH8596" s="497">
        <v>30.2</v>
      </c>
      <c r="AJ8596" s="42"/>
      <c r="AK8596" s="74"/>
      <c r="AL8596" s="77"/>
      <c r="AN8596" s="497">
        <v>26.060000000000002</v>
      </c>
      <c r="AP8596" s="42"/>
      <c r="AQ8596" s="74"/>
      <c r="AR8596" s="77"/>
      <c r="AT8596" s="497">
        <v>28.04</v>
      </c>
      <c r="AV8596" s="42"/>
      <c r="AW8596" s="74"/>
      <c r="AX8596" s="77"/>
      <c r="BA8596" s="497">
        <v>33.08</v>
      </c>
      <c r="BB8596" s="42"/>
      <c r="BC8596" s="74"/>
      <c r="BD8596" s="77"/>
      <c r="BF8596">
        <v>35.06</v>
      </c>
      <c r="BH8596" s="42"/>
      <c r="BI8596" s="74"/>
      <c r="BJ8596" s="77"/>
      <c r="BL8596" s="497">
        <v>35.96</v>
      </c>
      <c r="BN8596" s="42"/>
      <c r="BO8596" s="74"/>
      <c r="BP8596" s="77"/>
      <c r="BR8596" s="497">
        <v>21.92</v>
      </c>
      <c r="BT8596" s="42"/>
    </row>
    <row r="8597" spans="1:72" x14ac:dyDescent="0.25">
      <c r="A8597" s="90">
        <v>35788</v>
      </c>
      <c r="B8597" s="20">
        <v>0.45833333333333331</v>
      </c>
      <c r="D8597">
        <v>53.06</v>
      </c>
      <c r="E8597" t="str">
        <f t="shared" si="304"/>
        <v>WEEKDAY</v>
      </c>
      <c r="F8597" t="e">
        <f t="shared" si="303"/>
        <v>#N/A</v>
      </c>
      <c r="G8597" s="74">
        <v>28483</v>
      </c>
      <c r="H8597" s="77">
        <v>0.45833333333333331</v>
      </c>
      <c r="J8597">
        <v>46.94</v>
      </c>
      <c r="M8597" s="74">
        <v>36884</v>
      </c>
      <c r="N8597" s="77">
        <v>0.45833333333333331</v>
      </c>
      <c r="P8597">
        <v>30.2</v>
      </c>
      <c r="S8597" s="74">
        <v>35788</v>
      </c>
      <c r="T8597" s="77">
        <v>0.45833333333333331</v>
      </c>
      <c r="V8597">
        <v>39.92</v>
      </c>
      <c r="X8597" s="42"/>
      <c r="AB8597">
        <v>37.9</v>
      </c>
      <c r="AC8597">
        <v>41</v>
      </c>
      <c r="AE8597" s="74"/>
      <c r="AF8597" s="77"/>
      <c r="AH8597" s="497">
        <v>33.799999999999997</v>
      </c>
      <c r="AJ8597" s="42"/>
      <c r="AK8597" s="74"/>
      <c r="AL8597" s="77"/>
      <c r="AN8597" s="497">
        <v>28.94</v>
      </c>
      <c r="AP8597" s="42"/>
      <c r="AQ8597" s="74"/>
      <c r="AR8597" s="77"/>
      <c r="AT8597" s="497">
        <v>29.66</v>
      </c>
      <c r="AV8597" s="42"/>
      <c r="AW8597" s="74"/>
      <c r="AX8597" s="77"/>
      <c r="BA8597" s="497">
        <v>35.06</v>
      </c>
      <c r="BB8597" s="42"/>
      <c r="BC8597" s="74"/>
      <c r="BD8597" s="77"/>
      <c r="BF8597">
        <v>35.96</v>
      </c>
      <c r="BH8597" s="42"/>
      <c r="BI8597" s="74"/>
      <c r="BJ8597" s="77"/>
      <c r="BL8597" s="497">
        <v>37.94</v>
      </c>
      <c r="BN8597" s="42"/>
      <c r="BO8597" s="74"/>
      <c r="BP8597" s="77"/>
      <c r="BR8597" s="497">
        <v>23</v>
      </c>
      <c r="BT8597" s="42"/>
    </row>
    <row r="8598" spans="1:72" x14ac:dyDescent="0.25">
      <c r="A8598" s="90">
        <v>35788</v>
      </c>
      <c r="B8598" s="20">
        <v>0.5</v>
      </c>
      <c r="D8598">
        <v>55.94</v>
      </c>
      <c r="E8598" t="str">
        <f t="shared" si="304"/>
        <v>WEEKDAY</v>
      </c>
      <c r="F8598" t="e">
        <f t="shared" si="303"/>
        <v>#N/A</v>
      </c>
      <c r="G8598" s="74">
        <v>28483</v>
      </c>
      <c r="H8598" s="77">
        <v>0.5</v>
      </c>
      <c r="J8598">
        <v>50</v>
      </c>
      <c r="M8598" s="74">
        <v>36884</v>
      </c>
      <c r="N8598" s="77">
        <v>0.5</v>
      </c>
      <c r="P8598">
        <v>30.2</v>
      </c>
      <c r="S8598" s="74">
        <v>35788</v>
      </c>
      <c r="T8598" s="77">
        <v>0.5</v>
      </c>
      <c r="V8598">
        <v>39.92</v>
      </c>
      <c r="X8598" s="42"/>
      <c r="AB8598">
        <v>39.1</v>
      </c>
      <c r="AC8598">
        <v>41</v>
      </c>
      <c r="AE8598" s="74"/>
      <c r="AF8598" s="77"/>
      <c r="AH8598" s="497">
        <v>32</v>
      </c>
      <c r="AJ8598" s="42"/>
      <c r="AK8598" s="74"/>
      <c r="AL8598" s="77"/>
      <c r="AN8598" s="497">
        <v>30.02</v>
      </c>
      <c r="AP8598" s="42"/>
      <c r="AQ8598" s="74"/>
      <c r="AR8598" s="77"/>
      <c r="AT8598" s="497">
        <v>31.46</v>
      </c>
      <c r="AV8598" s="42"/>
      <c r="AW8598" s="74"/>
      <c r="AX8598" s="77"/>
      <c r="BA8598" s="497">
        <v>37.04</v>
      </c>
      <c r="BB8598" s="42"/>
      <c r="BC8598" s="74"/>
      <c r="BD8598" s="77"/>
      <c r="BF8598">
        <v>37.94</v>
      </c>
      <c r="BH8598" s="42"/>
      <c r="BI8598" s="74"/>
      <c r="BJ8598" s="77"/>
      <c r="BL8598" s="497">
        <v>39.019999999999996</v>
      </c>
      <c r="BN8598" s="42"/>
      <c r="BO8598" s="74"/>
      <c r="BP8598" s="77"/>
      <c r="BR8598" s="497">
        <v>24.08</v>
      </c>
      <c r="BT8598" s="42"/>
    </row>
    <row r="8599" spans="1:72" x14ac:dyDescent="0.25">
      <c r="A8599" s="90">
        <v>35788</v>
      </c>
      <c r="B8599" s="20">
        <v>0.54166666666666663</v>
      </c>
      <c r="D8599">
        <v>57.019999999999996</v>
      </c>
      <c r="E8599" t="str">
        <f t="shared" si="304"/>
        <v>WEEKDAY</v>
      </c>
      <c r="F8599" t="e">
        <f t="shared" si="303"/>
        <v>#N/A</v>
      </c>
      <c r="G8599" s="74">
        <v>28483</v>
      </c>
      <c r="H8599" s="77">
        <v>0.54166666666666663</v>
      </c>
      <c r="J8599">
        <v>50</v>
      </c>
      <c r="M8599" s="74">
        <v>36884</v>
      </c>
      <c r="N8599" s="77">
        <v>0.54166666666666663</v>
      </c>
      <c r="P8599">
        <v>30.2</v>
      </c>
      <c r="S8599" s="74">
        <v>35788</v>
      </c>
      <c r="T8599" s="77">
        <v>0.54166666666666663</v>
      </c>
      <c r="V8599">
        <v>41</v>
      </c>
      <c r="X8599" s="42"/>
      <c r="AB8599">
        <v>40.1</v>
      </c>
      <c r="AC8599">
        <v>42.8</v>
      </c>
      <c r="AE8599" s="74"/>
      <c r="AF8599" s="77"/>
      <c r="AH8599" s="497">
        <v>33.799999999999997</v>
      </c>
      <c r="AJ8599" s="42"/>
      <c r="AK8599" s="74"/>
      <c r="AL8599" s="77"/>
      <c r="AN8599" s="497">
        <v>30.92</v>
      </c>
      <c r="AP8599" s="42"/>
      <c r="AQ8599" s="74"/>
      <c r="AR8599" s="77"/>
      <c r="AT8599" s="497">
        <v>33.08</v>
      </c>
      <c r="AV8599" s="42"/>
      <c r="AW8599" s="74"/>
      <c r="AX8599" s="77"/>
      <c r="BA8599" s="497">
        <v>39.019999999999996</v>
      </c>
      <c r="BB8599" s="42"/>
      <c r="BC8599" s="74"/>
      <c r="BD8599" s="77"/>
      <c r="BF8599">
        <v>41</v>
      </c>
      <c r="BH8599" s="42"/>
      <c r="BI8599" s="74"/>
      <c r="BJ8599" s="77"/>
      <c r="BL8599" s="497">
        <v>39.92</v>
      </c>
      <c r="BN8599" s="42"/>
      <c r="BO8599" s="74"/>
      <c r="BP8599" s="77"/>
      <c r="BR8599" s="497">
        <v>24.98</v>
      </c>
      <c r="BT8599" s="42"/>
    </row>
    <row r="8600" spans="1:72" x14ac:dyDescent="0.25">
      <c r="A8600" s="90">
        <v>35788</v>
      </c>
      <c r="B8600" s="20">
        <v>0.58333333333333337</v>
      </c>
      <c r="D8600">
        <v>53.96</v>
      </c>
      <c r="E8600" t="str">
        <f t="shared" si="304"/>
        <v>WEEKDAY</v>
      </c>
      <c r="F8600" t="e">
        <f t="shared" si="303"/>
        <v>#N/A</v>
      </c>
      <c r="G8600" s="74">
        <v>28483</v>
      </c>
      <c r="H8600" s="77">
        <v>0.58333333333333337</v>
      </c>
      <c r="J8600">
        <v>51.980000000000004</v>
      </c>
      <c r="M8600" s="74">
        <v>36884</v>
      </c>
      <c r="N8600" s="77">
        <v>0.58333333333333337</v>
      </c>
      <c r="P8600">
        <v>28.4</v>
      </c>
      <c r="S8600" s="74">
        <v>35788</v>
      </c>
      <c r="T8600" s="77">
        <v>0.58333333333333337</v>
      </c>
      <c r="V8600">
        <v>41</v>
      </c>
      <c r="X8600" s="42"/>
      <c r="AB8600">
        <v>40.700000000000003</v>
      </c>
      <c r="AC8600">
        <v>41</v>
      </c>
      <c r="AE8600" s="74"/>
      <c r="AF8600" s="77"/>
      <c r="AH8600" s="497">
        <v>33.799999999999997</v>
      </c>
      <c r="AJ8600" s="42"/>
      <c r="AK8600" s="74"/>
      <c r="AL8600" s="77"/>
      <c r="AN8600" s="497">
        <v>30.92</v>
      </c>
      <c r="AP8600" s="42"/>
      <c r="AQ8600" s="74"/>
      <c r="AR8600" s="77"/>
      <c r="AT8600" s="497">
        <v>32.72</v>
      </c>
      <c r="AV8600" s="42"/>
      <c r="AW8600" s="74"/>
      <c r="AX8600" s="77"/>
      <c r="BA8600" s="497">
        <v>39.380000000000003</v>
      </c>
      <c r="BB8600" s="42"/>
      <c r="BC8600" s="74"/>
      <c r="BD8600" s="77"/>
      <c r="BF8600">
        <v>42.08</v>
      </c>
      <c r="BH8600" s="42"/>
      <c r="BI8600" s="74"/>
      <c r="BJ8600" s="77"/>
      <c r="BL8600" s="497">
        <v>41</v>
      </c>
      <c r="BN8600" s="42"/>
      <c r="BO8600" s="74"/>
      <c r="BP8600" s="77"/>
      <c r="BR8600" s="497">
        <v>26.060000000000002</v>
      </c>
      <c r="BT8600" s="42"/>
    </row>
    <row r="8601" spans="1:72" x14ac:dyDescent="0.25">
      <c r="A8601" s="90">
        <v>35788</v>
      </c>
      <c r="B8601" s="20">
        <v>0.625</v>
      </c>
      <c r="D8601">
        <v>53.06</v>
      </c>
      <c r="E8601" t="str">
        <f t="shared" si="304"/>
        <v>WEEKDAY</v>
      </c>
      <c r="F8601" t="e">
        <f t="shared" si="303"/>
        <v>#N/A</v>
      </c>
      <c r="G8601" s="74">
        <v>28483</v>
      </c>
      <c r="H8601" s="77">
        <v>0.625</v>
      </c>
      <c r="J8601">
        <v>51.08</v>
      </c>
      <c r="M8601" s="74">
        <v>36884</v>
      </c>
      <c r="N8601" s="77">
        <v>0.625</v>
      </c>
      <c r="P8601">
        <v>30.2</v>
      </c>
      <c r="S8601" s="74">
        <v>35788</v>
      </c>
      <c r="T8601" s="77">
        <v>0.625</v>
      </c>
      <c r="V8601">
        <v>39.92</v>
      </c>
      <c r="X8601" s="42"/>
      <c r="AB8601">
        <v>41.1</v>
      </c>
      <c r="AC8601">
        <v>41</v>
      </c>
      <c r="AE8601" s="74"/>
      <c r="AF8601" s="77"/>
      <c r="AH8601" s="497">
        <v>33.799999999999997</v>
      </c>
      <c r="AJ8601" s="42"/>
      <c r="AK8601" s="74"/>
      <c r="AL8601" s="77"/>
      <c r="AN8601" s="497">
        <v>30.92</v>
      </c>
      <c r="AP8601" s="42"/>
      <c r="AQ8601" s="74"/>
      <c r="AR8601" s="77"/>
      <c r="AT8601" s="497">
        <v>32.36</v>
      </c>
      <c r="AV8601" s="42"/>
      <c r="AW8601" s="74"/>
      <c r="AX8601" s="77"/>
      <c r="BA8601" s="497">
        <v>39.56</v>
      </c>
      <c r="BB8601" s="42"/>
      <c r="BC8601" s="74"/>
      <c r="BD8601" s="77"/>
      <c r="BF8601">
        <v>42.980000000000004</v>
      </c>
      <c r="BH8601" s="42"/>
      <c r="BI8601" s="74"/>
      <c r="BJ8601" s="77"/>
      <c r="BL8601" s="497">
        <v>42.08</v>
      </c>
      <c r="BN8601" s="42"/>
      <c r="BO8601" s="74"/>
      <c r="BP8601" s="77"/>
      <c r="BR8601" s="497">
        <v>26.96</v>
      </c>
      <c r="BT8601" s="42"/>
    </row>
    <row r="8602" spans="1:72" x14ac:dyDescent="0.25">
      <c r="A8602" s="90">
        <v>35788</v>
      </c>
      <c r="B8602" s="20">
        <v>0.66666666666666663</v>
      </c>
      <c r="D8602">
        <v>53.06</v>
      </c>
      <c r="E8602" t="str">
        <f t="shared" si="304"/>
        <v>WEEKDAY</v>
      </c>
      <c r="F8602" t="e">
        <f t="shared" si="303"/>
        <v>#N/A</v>
      </c>
      <c r="G8602" s="74">
        <v>28483</v>
      </c>
      <c r="H8602" s="77">
        <v>0.66666666666666663</v>
      </c>
      <c r="J8602">
        <v>48.92</v>
      </c>
      <c r="M8602" s="74">
        <v>36884</v>
      </c>
      <c r="N8602" s="77">
        <v>0.66666666666666663</v>
      </c>
      <c r="P8602">
        <v>30.2</v>
      </c>
      <c r="S8602" s="74">
        <v>35788</v>
      </c>
      <c r="T8602" s="77">
        <v>0.66666666666666663</v>
      </c>
      <c r="V8602">
        <v>39.019999999999996</v>
      </c>
      <c r="X8602" s="42"/>
      <c r="AB8602">
        <v>41</v>
      </c>
      <c r="AC8602">
        <v>39.200000000000003</v>
      </c>
      <c r="AE8602" s="74"/>
      <c r="AF8602" s="77"/>
      <c r="AH8602" s="497">
        <v>32</v>
      </c>
      <c r="AJ8602" s="42"/>
      <c r="AK8602" s="74"/>
      <c r="AL8602" s="77"/>
      <c r="AN8602" s="497">
        <v>30.92</v>
      </c>
      <c r="AP8602" s="42"/>
      <c r="AQ8602" s="74"/>
      <c r="AR8602" s="77"/>
      <c r="AT8602" s="497">
        <v>32</v>
      </c>
      <c r="AV8602" s="42"/>
      <c r="AW8602" s="74"/>
      <c r="AX8602" s="77"/>
      <c r="BA8602" s="497">
        <v>39.92</v>
      </c>
      <c r="BB8602" s="42"/>
      <c r="BC8602" s="74"/>
      <c r="BD8602" s="77"/>
      <c r="BF8602">
        <v>42.980000000000004</v>
      </c>
      <c r="BH8602" s="42"/>
      <c r="BI8602" s="74"/>
      <c r="BJ8602" s="77"/>
      <c r="BL8602" s="497">
        <v>42.980000000000004</v>
      </c>
      <c r="BN8602" s="42"/>
      <c r="BO8602" s="74"/>
      <c r="BP8602" s="77"/>
      <c r="BR8602" s="497">
        <v>26.96</v>
      </c>
      <c r="BT8602" s="42"/>
    </row>
    <row r="8603" spans="1:72" x14ac:dyDescent="0.25">
      <c r="A8603" s="90">
        <v>35788</v>
      </c>
      <c r="B8603" s="20">
        <v>0.70833333333333337</v>
      </c>
      <c r="D8603">
        <v>53.06</v>
      </c>
      <c r="E8603" t="str">
        <f t="shared" si="304"/>
        <v>WEEKDAY</v>
      </c>
      <c r="F8603" t="e">
        <f t="shared" si="303"/>
        <v>#N/A</v>
      </c>
      <c r="G8603" s="74">
        <v>28483</v>
      </c>
      <c r="H8603" s="77">
        <v>0.70833333333333337</v>
      </c>
      <c r="J8603">
        <v>46.94</v>
      </c>
      <c r="M8603" s="74">
        <v>36884</v>
      </c>
      <c r="N8603" s="77">
        <v>0.70833333333333337</v>
      </c>
      <c r="P8603">
        <v>28.4</v>
      </c>
      <c r="S8603" s="74">
        <v>35788</v>
      </c>
      <c r="T8603" s="77">
        <v>0.70833333333333337</v>
      </c>
      <c r="V8603">
        <v>37.04</v>
      </c>
      <c r="X8603" s="42"/>
      <c r="AB8603">
        <v>40.200000000000003</v>
      </c>
      <c r="AC8603">
        <v>37.4</v>
      </c>
      <c r="AE8603" s="74"/>
      <c r="AF8603" s="77"/>
      <c r="AH8603" s="497">
        <v>30.2</v>
      </c>
      <c r="AJ8603" s="42"/>
      <c r="AK8603" s="74"/>
      <c r="AL8603" s="77"/>
      <c r="AN8603" s="497">
        <v>30.92</v>
      </c>
      <c r="AP8603" s="42"/>
      <c r="AQ8603" s="74"/>
      <c r="AR8603" s="77"/>
      <c r="AT8603" s="497">
        <v>32.72</v>
      </c>
      <c r="AV8603" s="42"/>
      <c r="AW8603" s="74"/>
      <c r="AX8603" s="77"/>
      <c r="BA8603" s="497">
        <v>39.92</v>
      </c>
      <c r="BB8603" s="42"/>
      <c r="BC8603" s="74"/>
      <c r="BD8603" s="77"/>
      <c r="BF8603">
        <v>42.980000000000004</v>
      </c>
      <c r="BH8603" s="42"/>
      <c r="BI8603" s="74"/>
      <c r="BJ8603" s="77"/>
      <c r="BL8603" s="497">
        <v>39.92</v>
      </c>
      <c r="BN8603" s="42"/>
      <c r="BO8603" s="74"/>
      <c r="BP8603" s="77"/>
      <c r="BR8603" s="497">
        <v>26.96</v>
      </c>
      <c r="BT8603" s="42"/>
    </row>
    <row r="8604" spans="1:72" x14ac:dyDescent="0.25">
      <c r="A8604" s="90">
        <v>35788</v>
      </c>
      <c r="B8604" s="20">
        <v>0.75</v>
      </c>
      <c r="D8604">
        <v>51.980000000000004</v>
      </c>
      <c r="E8604" t="str">
        <f t="shared" si="304"/>
        <v>WEEKDAY</v>
      </c>
      <c r="F8604" t="e">
        <f t="shared" si="303"/>
        <v>#N/A</v>
      </c>
      <c r="G8604" s="74">
        <v>28483</v>
      </c>
      <c r="H8604" s="77">
        <v>0.75</v>
      </c>
      <c r="J8604">
        <v>44.06</v>
      </c>
      <c r="M8604" s="74">
        <v>36884</v>
      </c>
      <c r="N8604" s="77">
        <v>0.75</v>
      </c>
      <c r="P8604">
        <v>28.4</v>
      </c>
      <c r="S8604" s="74">
        <v>35788</v>
      </c>
      <c r="T8604" s="77">
        <v>0.75</v>
      </c>
      <c r="V8604">
        <v>37.04</v>
      </c>
      <c r="X8604" s="42"/>
      <c r="AB8604">
        <v>39.1</v>
      </c>
      <c r="AC8604">
        <v>33.799999999999997</v>
      </c>
      <c r="AE8604" s="74"/>
      <c r="AF8604" s="77"/>
      <c r="AH8604" s="497">
        <v>28.4</v>
      </c>
      <c r="AJ8604" s="42"/>
      <c r="AK8604" s="74"/>
      <c r="AL8604" s="77"/>
      <c r="AN8604" s="497">
        <v>30.92</v>
      </c>
      <c r="AP8604" s="42"/>
      <c r="AQ8604" s="74"/>
      <c r="AR8604" s="77"/>
      <c r="AT8604" s="497">
        <v>33.26</v>
      </c>
      <c r="AV8604" s="42"/>
      <c r="AW8604" s="74"/>
      <c r="AX8604" s="77"/>
      <c r="BA8604" s="497">
        <v>39.92</v>
      </c>
      <c r="BB8604" s="42"/>
      <c r="BC8604" s="74"/>
      <c r="BD8604" s="77"/>
      <c r="BF8604">
        <v>39.019999999999996</v>
      </c>
      <c r="BH8604" s="42"/>
      <c r="BI8604" s="74"/>
      <c r="BJ8604" s="77"/>
      <c r="BL8604" s="497">
        <v>39.92</v>
      </c>
      <c r="BN8604" s="42"/>
      <c r="BO8604" s="74"/>
      <c r="BP8604" s="77"/>
      <c r="BR8604" s="497">
        <v>28.04</v>
      </c>
      <c r="BT8604" s="42"/>
    </row>
    <row r="8605" spans="1:72" x14ac:dyDescent="0.25">
      <c r="A8605" s="90">
        <v>35788</v>
      </c>
      <c r="B8605" s="20">
        <v>0.79166666666666663</v>
      </c>
      <c r="D8605">
        <v>51.980000000000004</v>
      </c>
      <c r="E8605" t="str">
        <f t="shared" si="304"/>
        <v>WEEKDAY</v>
      </c>
      <c r="F8605" t="e">
        <f t="shared" si="303"/>
        <v>#N/A</v>
      </c>
      <c r="G8605" s="74">
        <v>28483</v>
      </c>
      <c r="H8605" s="77">
        <v>0.79166666666666663</v>
      </c>
      <c r="J8605">
        <v>42.980000000000004</v>
      </c>
      <c r="M8605" s="74">
        <v>36884</v>
      </c>
      <c r="N8605" s="77">
        <v>0.79166666666666663</v>
      </c>
      <c r="P8605">
        <v>26.6</v>
      </c>
      <c r="S8605" s="74">
        <v>35788</v>
      </c>
      <c r="T8605" s="77">
        <v>0.79166666666666663</v>
      </c>
      <c r="V8605">
        <v>35.96</v>
      </c>
      <c r="X8605" s="42"/>
      <c r="AB8605">
        <v>38.6</v>
      </c>
      <c r="AC8605">
        <v>33.799999999999997</v>
      </c>
      <c r="AE8605" s="74"/>
      <c r="AF8605" s="77"/>
      <c r="AH8605" s="497">
        <v>28.4</v>
      </c>
      <c r="AJ8605" s="42"/>
      <c r="AK8605" s="74"/>
      <c r="AL8605" s="77"/>
      <c r="AN8605" s="497">
        <v>30.02</v>
      </c>
      <c r="AP8605" s="42"/>
      <c r="AQ8605" s="74"/>
      <c r="AR8605" s="77"/>
      <c r="AT8605" s="497">
        <v>33.979999999999997</v>
      </c>
      <c r="AV8605" s="42"/>
      <c r="AW8605" s="74"/>
      <c r="AX8605" s="77"/>
      <c r="BA8605" s="497">
        <v>39.92</v>
      </c>
      <c r="BB8605" s="42"/>
      <c r="BC8605" s="74"/>
      <c r="BD8605" s="77"/>
      <c r="BF8605">
        <v>41</v>
      </c>
      <c r="BH8605" s="42"/>
      <c r="BI8605" s="74"/>
      <c r="BJ8605" s="77"/>
      <c r="BL8605" s="497">
        <v>39.92</v>
      </c>
      <c r="BN8605" s="42"/>
      <c r="BO8605" s="74"/>
      <c r="BP8605" s="77"/>
      <c r="BR8605" s="497">
        <v>26.96</v>
      </c>
      <c r="BT8605" s="42"/>
    </row>
    <row r="8606" spans="1:72" x14ac:dyDescent="0.25">
      <c r="A8606" s="90">
        <v>35788</v>
      </c>
      <c r="B8606" s="20">
        <v>0.83333333333333337</v>
      </c>
      <c r="D8606">
        <v>53.96</v>
      </c>
      <c r="E8606" t="str">
        <f t="shared" si="304"/>
        <v>WEEKDAY</v>
      </c>
      <c r="F8606" t="e">
        <f t="shared" si="303"/>
        <v>#N/A</v>
      </c>
      <c r="G8606" s="74">
        <v>28483</v>
      </c>
      <c r="H8606" s="77">
        <v>0.83333333333333337</v>
      </c>
      <c r="J8606">
        <v>42.980000000000004</v>
      </c>
      <c r="M8606" s="74">
        <v>36884</v>
      </c>
      <c r="N8606" s="77">
        <v>0.83333333333333337</v>
      </c>
      <c r="P8606">
        <v>26.6</v>
      </c>
      <c r="S8606" s="74">
        <v>35788</v>
      </c>
      <c r="T8606" s="77">
        <v>0.83333333333333337</v>
      </c>
      <c r="V8606">
        <v>37.94</v>
      </c>
      <c r="X8606" s="42"/>
      <c r="AB8606">
        <v>38.4</v>
      </c>
      <c r="AC8606">
        <v>33.799999999999997</v>
      </c>
      <c r="AE8606" s="74"/>
      <c r="AF8606" s="77"/>
      <c r="AH8606" s="497">
        <v>28.4</v>
      </c>
      <c r="AJ8606" s="42"/>
      <c r="AK8606" s="74"/>
      <c r="AL8606" s="77"/>
      <c r="AN8606" s="497">
        <v>30.92</v>
      </c>
      <c r="AP8606" s="42"/>
      <c r="AQ8606" s="74"/>
      <c r="AR8606" s="77"/>
      <c r="AT8606" s="497">
        <v>33.619999999999997</v>
      </c>
      <c r="AV8606" s="42"/>
      <c r="AW8606" s="74"/>
      <c r="AX8606" s="77"/>
      <c r="BA8606" s="497">
        <v>41</v>
      </c>
      <c r="BB8606" s="42"/>
      <c r="BC8606" s="74"/>
      <c r="BD8606" s="77"/>
      <c r="BF8606">
        <v>42.08</v>
      </c>
      <c r="BH8606" s="42"/>
      <c r="BI8606" s="74"/>
      <c r="BJ8606" s="77"/>
      <c r="BL8606" s="497">
        <v>42.08</v>
      </c>
      <c r="BN8606" s="42"/>
      <c r="BO8606" s="74"/>
      <c r="BP8606" s="77"/>
      <c r="BR8606" s="497">
        <v>26.96</v>
      </c>
      <c r="BT8606" s="42"/>
    </row>
    <row r="8607" spans="1:72" x14ac:dyDescent="0.25">
      <c r="A8607" s="90">
        <v>35788</v>
      </c>
      <c r="B8607" s="20">
        <v>0.875</v>
      </c>
      <c r="D8607">
        <v>51.980000000000004</v>
      </c>
      <c r="E8607" t="str">
        <f t="shared" si="304"/>
        <v>WEEKDAY</v>
      </c>
      <c r="F8607" t="e">
        <f t="shared" si="303"/>
        <v>#N/A</v>
      </c>
      <c r="G8607" s="74">
        <v>28483</v>
      </c>
      <c r="H8607" s="77">
        <v>0.875</v>
      </c>
      <c r="J8607">
        <v>41</v>
      </c>
      <c r="M8607" s="74">
        <v>36884</v>
      </c>
      <c r="N8607" s="77">
        <v>0.875</v>
      </c>
      <c r="P8607">
        <v>26.6</v>
      </c>
      <c r="S8607" s="74">
        <v>35788</v>
      </c>
      <c r="T8607" s="77">
        <v>0.875</v>
      </c>
      <c r="V8607">
        <v>37.94</v>
      </c>
      <c r="X8607" s="42"/>
      <c r="AB8607">
        <v>37.799999999999997</v>
      </c>
      <c r="AC8607">
        <v>33.799999999999997</v>
      </c>
      <c r="AE8607" s="74"/>
      <c r="AF8607" s="77"/>
      <c r="AH8607" s="497">
        <v>26.6</v>
      </c>
      <c r="AJ8607" s="42"/>
      <c r="AK8607" s="74"/>
      <c r="AL8607" s="77"/>
      <c r="AN8607" s="497">
        <v>30.92</v>
      </c>
      <c r="AP8607" s="42"/>
      <c r="AQ8607" s="74"/>
      <c r="AR8607" s="77"/>
      <c r="AT8607" s="497">
        <v>33.44</v>
      </c>
      <c r="AV8607" s="42"/>
      <c r="AW8607" s="74"/>
      <c r="AX8607" s="77"/>
      <c r="BA8607" s="497">
        <v>41.9</v>
      </c>
      <c r="BB8607" s="42"/>
      <c r="BC8607" s="74"/>
      <c r="BD8607" s="77"/>
      <c r="BF8607">
        <v>42.980000000000004</v>
      </c>
      <c r="BH8607" s="42"/>
      <c r="BI8607" s="74"/>
      <c r="BJ8607" s="77"/>
      <c r="BL8607" s="497">
        <v>42.08</v>
      </c>
      <c r="BN8607" s="42"/>
      <c r="BO8607" s="74"/>
      <c r="BP8607" s="77"/>
      <c r="BR8607" s="497">
        <v>28.04</v>
      </c>
      <c r="BT8607" s="42"/>
    </row>
    <row r="8608" spans="1:72" x14ac:dyDescent="0.25">
      <c r="A8608" s="90">
        <v>35788</v>
      </c>
      <c r="B8608" s="20">
        <v>0.91666666666666663</v>
      </c>
      <c r="D8608">
        <v>50</v>
      </c>
      <c r="E8608" t="str">
        <f t="shared" si="304"/>
        <v>WEEKDAY</v>
      </c>
      <c r="F8608" t="e">
        <f t="shared" si="303"/>
        <v>#N/A</v>
      </c>
      <c r="G8608" s="74">
        <v>28483</v>
      </c>
      <c r="H8608" s="77">
        <v>0.91666666666666663</v>
      </c>
      <c r="J8608">
        <v>41</v>
      </c>
      <c r="M8608" s="74">
        <v>36884</v>
      </c>
      <c r="N8608" s="77">
        <v>0.91666666666666663</v>
      </c>
      <c r="P8608">
        <v>24.8</v>
      </c>
      <c r="S8608" s="74">
        <v>35788</v>
      </c>
      <c r="T8608" s="77">
        <v>0.91666666666666663</v>
      </c>
      <c r="V8608">
        <v>39.019999999999996</v>
      </c>
      <c r="X8608" s="42"/>
      <c r="AB8608">
        <v>37.200000000000003</v>
      </c>
      <c r="AC8608">
        <v>35.6</v>
      </c>
      <c r="AE8608" s="74"/>
      <c r="AF8608" s="77"/>
      <c r="AH8608" s="497">
        <v>24.8</v>
      </c>
      <c r="AJ8608" s="42"/>
      <c r="AK8608" s="74"/>
      <c r="AL8608" s="77"/>
      <c r="AN8608" s="497">
        <v>30.92</v>
      </c>
      <c r="AP8608" s="42"/>
      <c r="AQ8608" s="74"/>
      <c r="AR8608" s="77"/>
      <c r="AT8608" s="497">
        <v>33.08</v>
      </c>
      <c r="AV8608" s="42"/>
      <c r="AW8608" s="74"/>
      <c r="AX8608" s="77"/>
      <c r="BA8608" s="497">
        <v>42.980000000000004</v>
      </c>
      <c r="BB8608" s="42"/>
      <c r="BC8608" s="74"/>
      <c r="BD8608" s="77"/>
      <c r="BF8608">
        <v>44.06</v>
      </c>
      <c r="BH8608" s="42"/>
      <c r="BI8608" s="74"/>
      <c r="BJ8608" s="77"/>
      <c r="BL8608" s="497">
        <v>42.980000000000004</v>
      </c>
      <c r="BN8608" s="42"/>
      <c r="BO8608" s="74"/>
      <c r="BP8608" s="77"/>
      <c r="BR8608" s="497">
        <v>28.94</v>
      </c>
      <c r="BT8608" s="42"/>
    </row>
    <row r="8609" spans="1:72" x14ac:dyDescent="0.25">
      <c r="A8609" s="90">
        <v>35788</v>
      </c>
      <c r="B8609" s="20">
        <v>0.95833333333333337</v>
      </c>
      <c r="D8609">
        <v>48.92</v>
      </c>
      <c r="E8609" t="str">
        <f t="shared" si="304"/>
        <v>WEEKDAY</v>
      </c>
      <c r="F8609" t="e">
        <f t="shared" si="303"/>
        <v>#N/A</v>
      </c>
      <c r="G8609" s="74">
        <v>28483</v>
      </c>
      <c r="H8609" s="77">
        <v>0.95833333333333337</v>
      </c>
      <c r="J8609">
        <v>42.08</v>
      </c>
      <c r="M8609" s="74">
        <v>36884</v>
      </c>
      <c r="N8609" s="77">
        <v>0.95833333333333337</v>
      </c>
      <c r="P8609">
        <v>26.6</v>
      </c>
      <c r="S8609" s="74">
        <v>35788</v>
      </c>
      <c r="T8609" s="77">
        <v>0.95833333333333337</v>
      </c>
      <c r="V8609">
        <v>39.019999999999996</v>
      </c>
      <c r="X8609" s="42"/>
      <c r="AB8609">
        <v>36.799999999999997</v>
      </c>
      <c r="AC8609">
        <v>37.4</v>
      </c>
      <c r="AE8609" s="74"/>
      <c r="AF8609" s="77"/>
      <c r="AH8609" s="497">
        <v>21.2</v>
      </c>
      <c r="AJ8609" s="42"/>
      <c r="AK8609" s="74"/>
      <c r="AL8609" s="77"/>
      <c r="AN8609" s="497">
        <v>32</v>
      </c>
      <c r="AP8609" s="42"/>
      <c r="AQ8609" s="74"/>
      <c r="AR8609" s="77"/>
      <c r="AT8609" s="497">
        <v>32.36</v>
      </c>
      <c r="AV8609" s="42"/>
      <c r="AW8609" s="74"/>
      <c r="AX8609" s="77"/>
      <c r="BA8609" s="497">
        <v>42.26</v>
      </c>
      <c r="BB8609" s="42"/>
      <c r="BC8609" s="74"/>
      <c r="BD8609" s="77"/>
      <c r="BF8609">
        <v>42.08</v>
      </c>
      <c r="BH8609" s="42"/>
      <c r="BI8609" s="74"/>
      <c r="BJ8609" s="77"/>
      <c r="BL8609" s="497">
        <v>44.06</v>
      </c>
      <c r="BN8609" s="42"/>
      <c r="BO8609" s="74"/>
      <c r="BP8609" s="77"/>
      <c r="BR8609" s="497">
        <v>28.04</v>
      </c>
      <c r="BT8609" s="42"/>
    </row>
    <row r="8610" spans="1:72" x14ac:dyDescent="0.25">
      <c r="A8610" s="90">
        <v>35788</v>
      </c>
      <c r="B8610" s="20">
        <v>1</v>
      </c>
      <c r="D8610">
        <v>46.94</v>
      </c>
      <c r="E8610" t="str">
        <f t="shared" si="304"/>
        <v>WEEKDAY</v>
      </c>
      <c r="F8610" t="e">
        <f t="shared" si="303"/>
        <v>#N/A</v>
      </c>
      <c r="G8610" s="74">
        <v>28483</v>
      </c>
      <c r="H8610" s="77">
        <v>1</v>
      </c>
      <c r="J8610">
        <v>42.980000000000004</v>
      </c>
      <c r="M8610" s="74">
        <v>36884</v>
      </c>
      <c r="N8610" s="80">
        <v>1</v>
      </c>
      <c r="P8610">
        <v>24.8</v>
      </c>
      <c r="S8610" s="74">
        <v>35788</v>
      </c>
      <c r="T8610" s="80">
        <v>1</v>
      </c>
      <c r="V8610">
        <v>37.94</v>
      </c>
      <c r="X8610" s="42"/>
      <c r="AB8610">
        <v>36.299999999999997</v>
      </c>
      <c r="AC8610">
        <v>37.4</v>
      </c>
      <c r="AE8610" s="74"/>
      <c r="AF8610" s="80"/>
      <c r="AH8610" s="497">
        <v>19.399999999999999</v>
      </c>
      <c r="AJ8610" s="42"/>
      <c r="AK8610" s="74"/>
      <c r="AL8610" s="80"/>
      <c r="AN8610" s="497">
        <v>30.92</v>
      </c>
      <c r="AP8610" s="42"/>
      <c r="AQ8610" s="74"/>
      <c r="AR8610" s="80"/>
      <c r="AT8610" s="497">
        <v>31.64</v>
      </c>
      <c r="AV8610" s="42"/>
      <c r="AW8610" s="74"/>
      <c r="AX8610" s="80"/>
      <c r="BA8610" s="497">
        <v>41.72</v>
      </c>
      <c r="BB8610" s="42"/>
      <c r="BC8610" s="74"/>
      <c r="BD8610" s="80"/>
      <c r="BF8610">
        <v>42.980000000000004</v>
      </c>
      <c r="BH8610" s="42"/>
      <c r="BI8610" s="74"/>
      <c r="BJ8610" s="80"/>
      <c r="BL8610" s="497">
        <v>42.08</v>
      </c>
      <c r="BN8610" s="42"/>
      <c r="BO8610" s="74"/>
      <c r="BP8610" s="80"/>
      <c r="BR8610" s="497">
        <v>26.96</v>
      </c>
      <c r="BT8610" s="42"/>
    </row>
    <row r="8611" spans="1:72" x14ac:dyDescent="0.25">
      <c r="A8611" s="90">
        <v>35789</v>
      </c>
      <c r="B8611" s="20">
        <v>4.1666666666666664E-2</v>
      </c>
      <c r="D8611">
        <v>46.04</v>
      </c>
      <c r="E8611" t="str">
        <f t="shared" si="304"/>
        <v>WEEKDAY</v>
      </c>
      <c r="F8611" t="e">
        <f t="shared" si="303"/>
        <v>#N/A</v>
      </c>
      <c r="G8611" s="74">
        <v>28484</v>
      </c>
      <c r="H8611" s="77">
        <v>4.1666666666666664E-2</v>
      </c>
      <c r="J8611">
        <v>44.06</v>
      </c>
      <c r="M8611" s="74">
        <v>36885</v>
      </c>
      <c r="N8611" s="77">
        <v>4.1666666666666664E-2</v>
      </c>
      <c r="P8611">
        <v>24.8</v>
      </c>
      <c r="S8611" s="74">
        <v>35789</v>
      </c>
      <c r="T8611" s="77">
        <v>4.1666666666666664E-2</v>
      </c>
      <c r="V8611">
        <v>41</v>
      </c>
      <c r="X8611" s="42"/>
      <c r="AB8611">
        <v>35.799999999999997</v>
      </c>
      <c r="AC8611">
        <v>39.200000000000003</v>
      </c>
      <c r="AE8611" s="74"/>
      <c r="AF8611" s="77"/>
      <c r="AH8611" s="497">
        <v>19.399999999999999</v>
      </c>
      <c r="AJ8611" s="42"/>
      <c r="AK8611" s="74"/>
      <c r="AL8611" s="77"/>
      <c r="AN8611" s="497">
        <v>30.02</v>
      </c>
      <c r="AP8611" s="42"/>
      <c r="AQ8611" s="74"/>
      <c r="AR8611" s="77"/>
      <c r="AT8611" s="497">
        <v>30.92</v>
      </c>
      <c r="AV8611" s="42"/>
      <c r="AW8611" s="74"/>
      <c r="AX8611" s="77"/>
      <c r="BA8611" s="497">
        <v>41</v>
      </c>
      <c r="BB8611" s="42"/>
      <c r="BC8611" s="74"/>
      <c r="BD8611" s="77"/>
      <c r="BF8611">
        <v>42.980000000000004</v>
      </c>
      <c r="BH8611" s="42"/>
      <c r="BI8611" s="74"/>
      <c r="BJ8611" s="77"/>
      <c r="BL8611" s="497">
        <v>42.980000000000004</v>
      </c>
      <c r="BN8611" s="42"/>
      <c r="BO8611" s="74"/>
      <c r="BP8611" s="77"/>
      <c r="BR8611" s="497">
        <v>28.94</v>
      </c>
      <c r="BT8611" s="42"/>
    </row>
    <row r="8612" spans="1:72" x14ac:dyDescent="0.25">
      <c r="A8612" s="90">
        <v>35789</v>
      </c>
      <c r="B8612" s="20">
        <v>8.3333333333333329E-2</v>
      </c>
      <c r="D8612">
        <v>44.96</v>
      </c>
      <c r="E8612" t="str">
        <f t="shared" si="304"/>
        <v>WEEKDAY</v>
      </c>
      <c r="F8612" t="e">
        <f t="shared" si="303"/>
        <v>#N/A</v>
      </c>
      <c r="G8612" s="74">
        <v>28484</v>
      </c>
      <c r="H8612" s="77">
        <v>8.3333333333333329E-2</v>
      </c>
      <c r="J8612">
        <v>44.06</v>
      </c>
      <c r="M8612" s="74">
        <v>36885</v>
      </c>
      <c r="N8612" s="77">
        <v>8.3333333333333329E-2</v>
      </c>
      <c r="P8612">
        <v>24.8</v>
      </c>
      <c r="S8612" s="74">
        <v>35789</v>
      </c>
      <c r="T8612" s="77">
        <v>8.3333333333333329E-2</v>
      </c>
      <c r="V8612">
        <v>42.08</v>
      </c>
      <c r="X8612" s="42"/>
      <c r="AB8612">
        <v>35.299999999999997</v>
      </c>
      <c r="AC8612">
        <v>42.8</v>
      </c>
      <c r="AE8612" s="74"/>
      <c r="AF8612" s="77"/>
      <c r="AH8612" s="497">
        <v>17.600000000000001</v>
      </c>
      <c r="AJ8612" s="42"/>
      <c r="AK8612" s="74"/>
      <c r="AL8612" s="77"/>
      <c r="AN8612" s="497">
        <v>28.04</v>
      </c>
      <c r="AP8612" s="42"/>
      <c r="AQ8612" s="74"/>
      <c r="AR8612" s="77"/>
      <c r="AT8612" s="497">
        <v>31.28</v>
      </c>
      <c r="AV8612" s="42"/>
      <c r="AW8612" s="74"/>
      <c r="AX8612" s="77"/>
      <c r="BA8612" s="497">
        <v>42.26</v>
      </c>
      <c r="BB8612" s="42"/>
      <c r="BC8612" s="74"/>
      <c r="BD8612" s="77"/>
      <c r="BF8612">
        <v>44.06</v>
      </c>
      <c r="BH8612" s="42"/>
      <c r="BI8612" s="74"/>
      <c r="BJ8612" s="77"/>
      <c r="BL8612" s="497">
        <v>44.06</v>
      </c>
      <c r="BN8612" s="42"/>
      <c r="BO8612" s="74"/>
      <c r="BP8612" s="77"/>
      <c r="BR8612" s="497">
        <v>28.94</v>
      </c>
      <c r="BT8612" s="42"/>
    </row>
    <row r="8613" spans="1:72" x14ac:dyDescent="0.25">
      <c r="A8613" s="90">
        <v>35789</v>
      </c>
      <c r="B8613" s="20">
        <v>0.125</v>
      </c>
      <c r="D8613">
        <v>44.06</v>
      </c>
      <c r="E8613" t="str">
        <f t="shared" si="304"/>
        <v>WEEKDAY</v>
      </c>
      <c r="F8613" t="e">
        <f t="shared" si="303"/>
        <v>#N/A</v>
      </c>
      <c r="G8613" s="74">
        <v>28484</v>
      </c>
      <c r="H8613" s="77">
        <v>0.125</v>
      </c>
      <c r="J8613">
        <v>44.06</v>
      </c>
      <c r="M8613" s="74">
        <v>36885</v>
      </c>
      <c r="N8613" s="77">
        <v>0.125</v>
      </c>
      <c r="P8613">
        <v>23</v>
      </c>
      <c r="S8613" s="74">
        <v>35789</v>
      </c>
      <c r="T8613" s="77">
        <v>0.125</v>
      </c>
      <c r="V8613">
        <v>42.980000000000004</v>
      </c>
      <c r="X8613" s="42"/>
      <c r="AB8613">
        <v>35</v>
      </c>
      <c r="AC8613">
        <v>44.6</v>
      </c>
      <c r="AE8613" s="74"/>
      <c r="AF8613" s="77"/>
      <c r="AH8613" s="497">
        <v>17.600000000000001</v>
      </c>
      <c r="AJ8613" s="42"/>
      <c r="AK8613" s="74"/>
      <c r="AL8613" s="77"/>
      <c r="AN8613" s="497">
        <v>28.04</v>
      </c>
      <c r="AP8613" s="42"/>
      <c r="AQ8613" s="74"/>
      <c r="AR8613" s="77"/>
      <c r="AT8613" s="497">
        <v>31.64</v>
      </c>
      <c r="AV8613" s="42"/>
      <c r="AW8613" s="74"/>
      <c r="AX8613" s="77"/>
      <c r="BA8613" s="497">
        <v>43.7</v>
      </c>
      <c r="BB8613" s="42"/>
      <c r="BC8613" s="74"/>
      <c r="BD8613" s="77"/>
      <c r="BF8613">
        <v>42.980000000000004</v>
      </c>
      <c r="BH8613" s="42"/>
      <c r="BI8613" s="74"/>
      <c r="BJ8613" s="77"/>
      <c r="BL8613" s="497">
        <v>46.04</v>
      </c>
      <c r="BN8613" s="42"/>
      <c r="BO8613" s="74"/>
      <c r="BP8613" s="77"/>
      <c r="BR8613" s="497">
        <v>28.04</v>
      </c>
      <c r="BT8613" s="42"/>
    </row>
    <row r="8614" spans="1:72" x14ac:dyDescent="0.25">
      <c r="A8614" s="90">
        <v>35789</v>
      </c>
      <c r="B8614" s="20">
        <v>0.16666666666666666</v>
      </c>
      <c r="D8614">
        <v>42.980000000000004</v>
      </c>
      <c r="E8614" t="str">
        <f t="shared" si="304"/>
        <v>WEEKDAY</v>
      </c>
      <c r="F8614" t="e">
        <f t="shared" si="303"/>
        <v>#N/A</v>
      </c>
      <c r="G8614" s="74">
        <v>28484</v>
      </c>
      <c r="H8614" s="77">
        <v>0.16666666666666666</v>
      </c>
      <c r="J8614">
        <v>44.06</v>
      </c>
      <c r="M8614" s="74">
        <v>36885</v>
      </c>
      <c r="N8614" s="77">
        <v>0.16666666666666666</v>
      </c>
      <c r="P8614">
        <v>21.2</v>
      </c>
      <c r="S8614" s="74">
        <v>35789</v>
      </c>
      <c r="T8614" s="77">
        <v>0.16666666666666666</v>
      </c>
      <c r="V8614">
        <v>46.4</v>
      </c>
      <c r="X8614" s="42"/>
      <c r="AB8614">
        <v>34.799999999999997</v>
      </c>
      <c r="AC8614">
        <v>46.4</v>
      </c>
      <c r="AE8614" s="74"/>
      <c r="AF8614" s="77"/>
      <c r="AH8614" s="497">
        <v>15.8</v>
      </c>
      <c r="AJ8614" s="42"/>
      <c r="AK8614" s="74"/>
      <c r="AL8614" s="77"/>
      <c r="AN8614" s="497">
        <v>28.04</v>
      </c>
      <c r="AP8614" s="42"/>
      <c r="AQ8614" s="74"/>
      <c r="AR8614" s="77"/>
      <c r="AT8614" s="497">
        <v>32</v>
      </c>
      <c r="AV8614" s="42"/>
      <c r="AW8614" s="74"/>
      <c r="AX8614" s="77"/>
      <c r="BA8614" s="497">
        <v>44.96</v>
      </c>
      <c r="BB8614" s="42"/>
      <c r="BC8614" s="74"/>
      <c r="BD8614" s="77"/>
      <c r="BF8614">
        <v>39.019999999999996</v>
      </c>
      <c r="BH8614" s="42"/>
      <c r="BI8614" s="74"/>
      <c r="BJ8614" s="77"/>
      <c r="BL8614" s="497">
        <v>44.06</v>
      </c>
      <c r="BN8614" s="42"/>
      <c r="BO8614" s="74"/>
      <c r="BP8614" s="77"/>
      <c r="BR8614" s="497">
        <v>24.98</v>
      </c>
      <c r="BT8614" s="42"/>
    </row>
    <row r="8615" spans="1:72" x14ac:dyDescent="0.25">
      <c r="A8615" s="90">
        <v>35789</v>
      </c>
      <c r="B8615" s="20">
        <v>0.20833333333333334</v>
      </c>
      <c r="D8615">
        <v>42.08</v>
      </c>
      <c r="E8615" t="str">
        <f t="shared" si="304"/>
        <v>WEEKDAY</v>
      </c>
      <c r="F8615" t="e">
        <f t="shared" si="303"/>
        <v>#N/A</v>
      </c>
      <c r="G8615" s="74">
        <v>28484</v>
      </c>
      <c r="H8615" s="77">
        <v>0.20833333333333334</v>
      </c>
      <c r="J8615">
        <v>44.96</v>
      </c>
      <c r="M8615" s="74">
        <v>36885</v>
      </c>
      <c r="N8615" s="77">
        <v>0.20833333333333334</v>
      </c>
      <c r="P8615">
        <v>21.2</v>
      </c>
      <c r="S8615" s="74">
        <v>35789</v>
      </c>
      <c r="T8615" s="77">
        <v>0.20833333333333334</v>
      </c>
      <c r="V8615">
        <v>46.04</v>
      </c>
      <c r="X8615" s="42"/>
      <c r="AB8615">
        <v>34.5</v>
      </c>
      <c r="AC8615">
        <v>46.4</v>
      </c>
      <c r="AE8615" s="74"/>
      <c r="AF8615" s="77"/>
      <c r="AH8615" s="497">
        <v>15.8</v>
      </c>
      <c r="AJ8615" s="42"/>
      <c r="AK8615" s="74"/>
      <c r="AL8615" s="77"/>
      <c r="AN8615" s="497">
        <v>26.96</v>
      </c>
      <c r="AP8615" s="42"/>
      <c r="AQ8615" s="74"/>
      <c r="AR8615" s="77"/>
      <c r="AT8615" s="497">
        <v>32</v>
      </c>
      <c r="AV8615" s="42"/>
      <c r="AW8615" s="74"/>
      <c r="AX8615" s="77"/>
      <c r="BA8615" s="497">
        <v>43.34</v>
      </c>
      <c r="BB8615" s="42"/>
      <c r="BC8615" s="74"/>
      <c r="BD8615" s="77"/>
      <c r="BF8615">
        <v>37.04</v>
      </c>
      <c r="BH8615" s="42"/>
      <c r="BI8615" s="74"/>
      <c r="BJ8615" s="77"/>
      <c r="BL8615" s="497">
        <v>39.92</v>
      </c>
      <c r="BN8615" s="42"/>
      <c r="BO8615" s="74"/>
      <c r="BP8615" s="77"/>
      <c r="BR8615" s="497">
        <v>24.08</v>
      </c>
      <c r="BT8615" s="42"/>
    </row>
    <row r="8616" spans="1:72" x14ac:dyDescent="0.25">
      <c r="A8616" s="90">
        <v>35789</v>
      </c>
      <c r="B8616" s="20">
        <v>0.25</v>
      </c>
      <c r="D8616">
        <v>42.08</v>
      </c>
      <c r="E8616" t="str">
        <f t="shared" si="304"/>
        <v>WEEKDAY</v>
      </c>
      <c r="F8616" t="e">
        <f t="shared" si="303"/>
        <v>#N/A</v>
      </c>
      <c r="G8616" s="74">
        <v>28484</v>
      </c>
      <c r="H8616" s="77">
        <v>0.25</v>
      </c>
      <c r="J8616">
        <v>44.96</v>
      </c>
      <c r="M8616" s="74">
        <v>36885</v>
      </c>
      <c r="N8616" s="77">
        <v>0.25</v>
      </c>
      <c r="P8616">
        <v>19.399999999999999</v>
      </c>
      <c r="S8616" s="74">
        <v>35789</v>
      </c>
      <c r="T8616" s="77">
        <v>0.25</v>
      </c>
      <c r="V8616">
        <v>46.94</v>
      </c>
      <c r="X8616" s="42"/>
      <c r="AB8616">
        <v>34.4</v>
      </c>
      <c r="AC8616">
        <v>46.4</v>
      </c>
      <c r="AE8616" s="74"/>
      <c r="AF8616" s="77"/>
      <c r="AH8616" s="497">
        <v>15.8</v>
      </c>
      <c r="AJ8616" s="42"/>
      <c r="AK8616" s="74"/>
      <c r="AL8616" s="77"/>
      <c r="AN8616" s="497">
        <v>26.96</v>
      </c>
      <c r="AP8616" s="42"/>
      <c r="AQ8616" s="74"/>
      <c r="AR8616" s="77"/>
      <c r="AT8616" s="497">
        <v>32</v>
      </c>
      <c r="AV8616" s="42"/>
      <c r="AW8616" s="74"/>
      <c r="AX8616" s="77"/>
      <c r="BA8616" s="497">
        <v>41.54</v>
      </c>
      <c r="BB8616" s="42"/>
      <c r="BC8616" s="74"/>
      <c r="BD8616" s="77"/>
      <c r="BF8616">
        <v>35.06</v>
      </c>
      <c r="BH8616" s="42"/>
      <c r="BI8616" s="74"/>
      <c r="BJ8616" s="77"/>
      <c r="BL8616" s="497">
        <v>37.04</v>
      </c>
      <c r="BN8616" s="42"/>
      <c r="BO8616" s="74"/>
      <c r="BP8616" s="77"/>
      <c r="BR8616" s="497">
        <v>23</v>
      </c>
      <c r="BT8616" s="42"/>
    </row>
    <row r="8617" spans="1:72" x14ac:dyDescent="0.25">
      <c r="A8617" s="90">
        <v>35789</v>
      </c>
      <c r="B8617" s="20">
        <v>0.29166666666666669</v>
      </c>
      <c r="D8617">
        <v>42.08</v>
      </c>
      <c r="E8617" t="str">
        <f t="shared" si="304"/>
        <v>WEEKDAY</v>
      </c>
      <c r="F8617" t="e">
        <f t="shared" si="303"/>
        <v>#N/A</v>
      </c>
      <c r="G8617" s="74">
        <v>28484</v>
      </c>
      <c r="H8617" s="77">
        <v>0.29166666666666669</v>
      </c>
      <c r="J8617">
        <v>48.019999999999996</v>
      </c>
      <c r="M8617" s="74">
        <v>36885</v>
      </c>
      <c r="N8617" s="77">
        <v>0.29166666666666669</v>
      </c>
      <c r="P8617">
        <v>19.399999999999999</v>
      </c>
      <c r="S8617" s="74">
        <v>35789</v>
      </c>
      <c r="T8617" s="77">
        <v>0.29166666666666669</v>
      </c>
      <c r="V8617">
        <v>48.019999999999996</v>
      </c>
      <c r="X8617" s="42"/>
      <c r="AB8617">
        <v>34.5</v>
      </c>
      <c r="AC8617">
        <v>48.2</v>
      </c>
      <c r="AE8617" s="74"/>
      <c r="AF8617" s="77"/>
      <c r="AH8617" s="497">
        <v>14</v>
      </c>
      <c r="AJ8617" s="42"/>
      <c r="AK8617" s="74"/>
      <c r="AL8617" s="77"/>
      <c r="AN8617" s="497">
        <v>26.96</v>
      </c>
      <c r="AP8617" s="42"/>
      <c r="AQ8617" s="74"/>
      <c r="AR8617" s="77"/>
      <c r="AT8617" s="497">
        <v>32</v>
      </c>
      <c r="AV8617" s="42"/>
      <c r="AW8617" s="74"/>
      <c r="AX8617" s="77"/>
      <c r="BA8617" s="497">
        <v>39.92</v>
      </c>
      <c r="BB8617" s="42"/>
      <c r="BC8617" s="74"/>
      <c r="BD8617" s="77"/>
      <c r="BF8617">
        <v>32</v>
      </c>
      <c r="BH8617" s="42"/>
      <c r="BI8617" s="74"/>
      <c r="BJ8617" s="77"/>
      <c r="BL8617" s="497">
        <v>37.04</v>
      </c>
      <c r="BN8617" s="42"/>
      <c r="BO8617" s="74"/>
      <c r="BP8617" s="77"/>
      <c r="BR8617" s="497">
        <v>23</v>
      </c>
      <c r="BT8617" s="42"/>
    </row>
    <row r="8618" spans="1:72" x14ac:dyDescent="0.25">
      <c r="A8618" s="90">
        <v>35789</v>
      </c>
      <c r="B8618" s="20">
        <v>0.33333333333333331</v>
      </c>
      <c r="D8618">
        <v>42.08</v>
      </c>
      <c r="E8618" t="str">
        <f t="shared" si="304"/>
        <v>WEEKDAY</v>
      </c>
      <c r="F8618" t="e">
        <f t="shared" si="303"/>
        <v>#N/A</v>
      </c>
      <c r="G8618" s="74">
        <v>28484</v>
      </c>
      <c r="H8618" s="77">
        <v>0.33333333333333331</v>
      </c>
      <c r="J8618">
        <v>50</v>
      </c>
      <c r="M8618" s="74">
        <v>36885</v>
      </c>
      <c r="N8618" s="77">
        <v>0.33333333333333331</v>
      </c>
      <c r="P8618">
        <v>17.600000000000001</v>
      </c>
      <c r="S8618" s="74">
        <v>35789</v>
      </c>
      <c r="T8618" s="77">
        <v>0.33333333333333331</v>
      </c>
      <c r="V8618">
        <v>48.92</v>
      </c>
      <c r="X8618" s="42"/>
      <c r="AB8618">
        <v>34.5</v>
      </c>
      <c r="AC8618">
        <v>48.2</v>
      </c>
      <c r="AE8618" s="74"/>
      <c r="AF8618" s="77"/>
      <c r="AH8618" s="497">
        <v>15.8</v>
      </c>
      <c r="AJ8618" s="42"/>
      <c r="AK8618" s="74"/>
      <c r="AL8618" s="77"/>
      <c r="AN8618" s="497">
        <v>26.96</v>
      </c>
      <c r="AP8618" s="42"/>
      <c r="AQ8618" s="74"/>
      <c r="AR8618" s="77"/>
      <c r="AT8618" s="497">
        <v>32</v>
      </c>
      <c r="AV8618" s="42"/>
      <c r="AW8618" s="74"/>
      <c r="AX8618" s="77"/>
      <c r="BA8618" s="497">
        <v>38.299999999999997</v>
      </c>
      <c r="BB8618" s="42"/>
      <c r="BC8618" s="74"/>
      <c r="BD8618" s="77"/>
      <c r="BF8618">
        <v>30.02</v>
      </c>
      <c r="BH8618" s="42"/>
      <c r="BI8618" s="74"/>
      <c r="BJ8618" s="77"/>
      <c r="BL8618" s="497">
        <v>35.06</v>
      </c>
      <c r="BN8618" s="42"/>
      <c r="BO8618" s="74"/>
      <c r="BP8618" s="77"/>
      <c r="BR8618" s="497">
        <v>23</v>
      </c>
      <c r="BT8618" s="42"/>
    </row>
    <row r="8619" spans="1:72" x14ac:dyDescent="0.25">
      <c r="A8619" s="90">
        <v>35789</v>
      </c>
      <c r="B8619" s="20">
        <v>0.375</v>
      </c>
      <c r="D8619">
        <v>42.08</v>
      </c>
      <c r="E8619" t="str">
        <f t="shared" si="304"/>
        <v>WEEKDAY</v>
      </c>
      <c r="F8619" t="e">
        <f t="shared" ref="F8619:F8682" si="305">IF(E8619="WEEKDAY",VLOOKUP(B8619,$DD$19:$DG$42,2),IF(E8619="SATURDAY",VLOOKUP(B8619,$DD$19:$DG$42,3),VLOOKUP(B8619,$DD$19:$DG$42,4)))</f>
        <v>#N/A</v>
      </c>
      <c r="G8619" s="74">
        <v>28484</v>
      </c>
      <c r="H8619" s="77">
        <v>0.375</v>
      </c>
      <c r="J8619">
        <v>48.92</v>
      </c>
      <c r="M8619" s="74">
        <v>36885</v>
      </c>
      <c r="N8619" s="77">
        <v>0.375</v>
      </c>
      <c r="P8619">
        <v>17.600000000000001</v>
      </c>
      <c r="S8619" s="74">
        <v>35789</v>
      </c>
      <c r="T8619" s="77">
        <v>0.375</v>
      </c>
      <c r="V8619">
        <v>51.08</v>
      </c>
      <c r="X8619" s="42"/>
      <c r="AB8619">
        <v>34.9</v>
      </c>
      <c r="AC8619">
        <v>50</v>
      </c>
      <c r="AE8619" s="74"/>
      <c r="AF8619" s="77"/>
      <c r="AH8619" s="497">
        <v>21.2</v>
      </c>
      <c r="AJ8619" s="42"/>
      <c r="AK8619" s="74"/>
      <c r="AL8619" s="77"/>
      <c r="AN8619" s="497">
        <v>28.04</v>
      </c>
      <c r="AP8619" s="42"/>
      <c r="AQ8619" s="74"/>
      <c r="AR8619" s="77"/>
      <c r="AT8619" s="497">
        <v>32</v>
      </c>
      <c r="AV8619" s="42"/>
      <c r="AW8619" s="74"/>
      <c r="AX8619" s="77"/>
      <c r="BA8619" s="497">
        <v>36.68</v>
      </c>
      <c r="BB8619" s="42"/>
      <c r="BC8619" s="74"/>
      <c r="BD8619" s="77"/>
      <c r="BF8619">
        <v>28.04</v>
      </c>
      <c r="BH8619" s="42"/>
      <c r="BI8619" s="74"/>
      <c r="BJ8619" s="77"/>
      <c r="BL8619" s="497">
        <v>33.08</v>
      </c>
      <c r="BN8619" s="42"/>
      <c r="BO8619" s="74"/>
      <c r="BP8619" s="77"/>
      <c r="BR8619" s="497">
        <v>23</v>
      </c>
      <c r="BT8619" s="42"/>
    </row>
    <row r="8620" spans="1:72" x14ac:dyDescent="0.25">
      <c r="A8620" s="90">
        <v>35789</v>
      </c>
      <c r="B8620" s="20">
        <v>0.41666666666666669</v>
      </c>
      <c r="D8620">
        <v>41</v>
      </c>
      <c r="E8620" t="str">
        <f t="shared" si="304"/>
        <v>WEEKDAY</v>
      </c>
      <c r="F8620" t="e">
        <f t="shared" si="305"/>
        <v>#N/A</v>
      </c>
      <c r="G8620" s="74">
        <v>28484</v>
      </c>
      <c r="H8620" s="77">
        <v>0.41666666666666669</v>
      </c>
      <c r="J8620">
        <v>46.94</v>
      </c>
      <c r="M8620" s="74">
        <v>36885</v>
      </c>
      <c r="N8620" s="77">
        <v>0.41666666666666669</v>
      </c>
      <c r="P8620">
        <v>17.600000000000001</v>
      </c>
      <c r="S8620" s="74">
        <v>35789</v>
      </c>
      <c r="T8620" s="77">
        <v>0.41666666666666669</v>
      </c>
      <c r="V8620">
        <v>50</v>
      </c>
      <c r="X8620" s="42"/>
      <c r="AB8620">
        <v>36.299999999999997</v>
      </c>
      <c r="AC8620">
        <v>51.8</v>
      </c>
      <c r="AE8620" s="74"/>
      <c r="AF8620" s="77"/>
      <c r="AH8620" s="497">
        <v>24.8</v>
      </c>
      <c r="AJ8620" s="42"/>
      <c r="AK8620" s="74"/>
      <c r="AL8620" s="77"/>
      <c r="AN8620" s="497">
        <v>28.94</v>
      </c>
      <c r="AP8620" s="42"/>
      <c r="AQ8620" s="74"/>
      <c r="AR8620" s="77"/>
      <c r="AT8620" s="497">
        <v>32</v>
      </c>
      <c r="AV8620" s="42"/>
      <c r="AW8620" s="74"/>
      <c r="AX8620" s="77"/>
      <c r="BA8620" s="497">
        <v>35.06</v>
      </c>
      <c r="BB8620" s="42"/>
      <c r="BC8620" s="74"/>
      <c r="BD8620" s="77"/>
      <c r="BF8620">
        <v>26.060000000000002</v>
      </c>
      <c r="BH8620" s="42"/>
      <c r="BI8620" s="74"/>
      <c r="BJ8620" s="77"/>
      <c r="BL8620" s="497">
        <v>32</v>
      </c>
      <c r="BN8620" s="42"/>
      <c r="BO8620" s="74"/>
      <c r="BP8620" s="77"/>
      <c r="BR8620" s="497">
        <v>21.92</v>
      </c>
      <c r="BT8620" s="42"/>
    </row>
    <row r="8621" spans="1:72" x14ac:dyDescent="0.25">
      <c r="A8621" s="90">
        <v>35789</v>
      </c>
      <c r="B8621" s="20">
        <v>0.45833333333333331</v>
      </c>
      <c r="D8621">
        <v>42.08</v>
      </c>
      <c r="E8621" t="str">
        <f t="shared" si="304"/>
        <v>WEEKDAY</v>
      </c>
      <c r="F8621" t="e">
        <f t="shared" si="305"/>
        <v>#N/A</v>
      </c>
      <c r="G8621" s="74">
        <v>28484</v>
      </c>
      <c r="H8621" s="77">
        <v>0.45833333333333331</v>
      </c>
      <c r="J8621">
        <v>46.94</v>
      </c>
      <c r="M8621" s="74">
        <v>36885</v>
      </c>
      <c r="N8621" s="77">
        <v>0.45833333333333331</v>
      </c>
      <c r="P8621">
        <v>19.399999999999999</v>
      </c>
      <c r="S8621" s="74">
        <v>35789</v>
      </c>
      <c r="T8621" s="77">
        <v>0.45833333333333331</v>
      </c>
      <c r="V8621">
        <v>46.94</v>
      </c>
      <c r="X8621" s="42"/>
      <c r="AB8621">
        <v>37.700000000000003</v>
      </c>
      <c r="AC8621">
        <v>51.8</v>
      </c>
      <c r="AE8621" s="74"/>
      <c r="AF8621" s="77"/>
      <c r="AH8621" s="497">
        <v>26.6</v>
      </c>
      <c r="AJ8621" s="42"/>
      <c r="AK8621" s="74"/>
      <c r="AL8621" s="77"/>
      <c r="AN8621" s="497">
        <v>28.94</v>
      </c>
      <c r="AP8621" s="42"/>
      <c r="AQ8621" s="74"/>
      <c r="AR8621" s="77"/>
      <c r="AT8621" s="497">
        <v>32.72</v>
      </c>
      <c r="AV8621" s="42"/>
      <c r="AW8621" s="74"/>
      <c r="AX8621" s="77"/>
      <c r="BA8621" s="497">
        <v>35.06</v>
      </c>
      <c r="BB8621" s="42"/>
      <c r="BC8621" s="74"/>
      <c r="BD8621" s="77"/>
      <c r="BF8621">
        <v>26.060000000000002</v>
      </c>
      <c r="BH8621" s="42"/>
      <c r="BI8621" s="74"/>
      <c r="BJ8621" s="77"/>
      <c r="BL8621" s="497">
        <v>30.92</v>
      </c>
      <c r="BN8621" s="42"/>
      <c r="BO8621" s="74"/>
      <c r="BP8621" s="77"/>
      <c r="BR8621" s="497">
        <v>21.92</v>
      </c>
      <c r="BT8621" s="42"/>
    </row>
    <row r="8622" spans="1:72" x14ac:dyDescent="0.25">
      <c r="A8622" s="90">
        <v>35789</v>
      </c>
      <c r="B8622" s="20">
        <v>0.5</v>
      </c>
      <c r="D8622">
        <v>42.08</v>
      </c>
      <c r="E8622" t="str">
        <f t="shared" si="304"/>
        <v>WEEKDAY</v>
      </c>
      <c r="F8622" t="e">
        <f t="shared" si="305"/>
        <v>#N/A</v>
      </c>
      <c r="G8622" s="74">
        <v>28484</v>
      </c>
      <c r="H8622" s="77">
        <v>0.5</v>
      </c>
      <c r="J8622">
        <v>48.92</v>
      </c>
      <c r="M8622" s="74">
        <v>36885</v>
      </c>
      <c r="N8622" s="77">
        <v>0.5</v>
      </c>
      <c r="P8622">
        <v>19.759999999999998</v>
      </c>
      <c r="S8622" s="74">
        <v>35789</v>
      </c>
      <c r="T8622" s="77">
        <v>0.5</v>
      </c>
      <c r="V8622">
        <v>48.92</v>
      </c>
      <c r="X8622" s="42"/>
      <c r="AB8622">
        <v>38.799999999999997</v>
      </c>
      <c r="AC8622">
        <v>53.6</v>
      </c>
      <c r="AE8622" s="74"/>
      <c r="AF8622" s="77"/>
      <c r="AH8622" s="497">
        <v>26.6</v>
      </c>
      <c r="AJ8622" s="42"/>
      <c r="AK8622" s="74"/>
      <c r="AL8622" s="77"/>
      <c r="AN8622" s="497">
        <v>30.02</v>
      </c>
      <c r="AP8622" s="42"/>
      <c r="AQ8622" s="74"/>
      <c r="AR8622" s="77"/>
      <c r="AT8622" s="497">
        <v>33.26</v>
      </c>
      <c r="AV8622" s="42"/>
      <c r="AW8622" s="74"/>
      <c r="AX8622" s="77"/>
      <c r="BA8622" s="497">
        <v>35.06</v>
      </c>
      <c r="BB8622" s="42"/>
      <c r="BC8622" s="74"/>
      <c r="BD8622" s="77"/>
      <c r="BF8622">
        <v>24.98</v>
      </c>
      <c r="BH8622" s="42"/>
      <c r="BI8622" s="74"/>
      <c r="BJ8622" s="77"/>
      <c r="BL8622" s="497">
        <v>30.02</v>
      </c>
      <c r="BN8622" s="42"/>
      <c r="BO8622" s="74"/>
      <c r="BP8622" s="77"/>
      <c r="BR8622" s="497">
        <v>21.92</v>
      </c>
      <c r="BT8622" s="42"/>
    </row>
    <row r="8623" spans="1:72" x14ac:dyDescent="0.25">
      <c r="A8623" s="90">
        <v>35789</v>
      </c>
      <c r="B8623" s="20">
        <v>0.54166666666666663</v>
      </c>
      <c r="D8623">
        <v>42.08</v>
      </c>
      <c r="E8623" t="str">
        <f t="shared" si="304"/>
        <v>WEEKDAY</v>
      </c>
      <c r="F8623" t="e">
        <f t="shared" si="305"/>
        <v>#N/A</v>
      </c>
      <c r="G8623" s="74">
        <v>28484</v>
      </c>
      <c r="H8623" s="77">
        <v>0.54166666666666663</v>
      </c>
      <c r="J8623">
        <v>48.92</v>
      </c>
      <c r="M8623" s="74">
        <v>36885</v>
      </c>
      <c r="N8623" s="77">
        <v>0.54166666666666663</v>
      </c>
      <c r="P8623">
        <v>19.399999999999999</v>
      </c>
      <c r="S8623" s="74">
        <v>35789</v>
      </c>
      <c r="T8623" s="77">
        <v>0.54166666666666663</v>
      </c>
      <c r="V8623">
        <v>48.92</v>
      </c>
      <c r="X8623" s="42"/>
      <c r="AB8623">
        <v>39.9</v>
      </c>
      <c r="AC8623">
        <v>50</v>
      </c>
      <c r="AE8623" s="74"/>
      <c r="AF8623" s="77"/>
      <c r="AH8623" s="497">
        <v>28.4</v>
      </c>
      <c r="AJ8623" s="42"/>
      <c r="AK8623" s="74"/>
      <c r="AL8623" s="77"/>
      <c r="AN8623" s="497">
        <v>30.02</v>
      </c>
      <c r="AP8623" s="42"/>
      <c r="AQ8623" s="74"/>
      <c r="AR8623" s="77"/>
      <c r="AT8623" s="497">
        <v>33.979999999999997</v>
      </c>
      <c r="AV8623" s="42"/>
      <c r="AW8623" s="74"/>
      <c r="AX8623" s="77"/>
      <c r="BA8623" s="497">
        <v>35.06</v>
      </c>
      <c r="BB8623" s="42"/>
      <c r="BC8623" s="74"/>
      <c r="BD8623" s="77"/>
      <c r="BF8623">
        <v>24.08</v>
      </c>
      <c r="BH8623" s="42"/>
      <c r="BI8623" s="74"/>
      <c r="BJ8623" s="77"/>
      <c r="BL8623" s="497">
        <v>28.94</v>
      </c>
      <c r="BN8623" s="42"/>
      <c r="BO8623" s="74"/>
      <c r="BP8623" s="77"/>
      <c r="BR8623" s="497">
        <v>23</v>
      </c>
      <c r="BT8623" s="42"/>
    </row>
    <row r="8624" spans="1:72" x14ac:dyDescent="0.25">
      <c r="A8624" s="90">
        <v>35789</v>
      </c>
      <c r="B8624" s="20">
        <v>0.58333333333333337</v>
      </c>
      <c r="D8624">
        <v>42.08</v>
      </c>
      <c r="E8624" t="str">
        <f t="shared" si="304"/>
        <v>WEEKDAY</v>
      </c>
      <c r="F8624" t="e">
        <f t="shared" si="305"/>
        <v>#N/A</v>
      </c>
      <c r="G8624" s="74">
        <v>28484</v>
      </c>
      <c r="H8624" s="77">
        <v>0.58333333333333337</v>
      </c>
      <c r="J8624">
        <v>48.019999999999996</v>
      </c>
      <c r="M8624" s="74">
        <v>36885</v>
      </c>
      <c r="N8624" s="77">
        <v>0.58333333333333337</v>
      </c>
      <c r="P8624">
        <v>19.399999999999999</v>
      </c>
      <c r="S8624" s="74">
        <v>35789</v>
      </c>
      <c r="T8624" s="77">
        <v>0.58333333333333337</v>
      </c>
      <c r="V8624">
        <v>50</v>
      </c>
      <c r="X8624" s="42"/>
      <c r="AB8624">
        <v>40.6</v>
      </c>
      <c r="AC8624">
        <v>50</v>
      </c>
      <c r="AE8624" s="74"/>
      <c r="AF8624" s="77"/>
      <c r="AH8624" s="497">
        <v>28.4</v>
      </c>
      <c r="AJ8624" s="42"/>
      <c r="AK8624" s="74"/>
      <c r="AL8624" s="77"/>
      <c r="AN8624" s="497">
        <v>30.02</v>
      </c>
      <c r="AP8624" s="42"/>
      <c r="AQ8624" s="74"/>
      <c r="AR8624" s="77"/>
      <c r="AT8624" s="497">
        <v>34.340000000000003</v>
      </c>
      <c r="AV8624" s="42"/>
      <c r="AW8624" s="74"/>
      <c r="AX8624" s="77"/>
      <c r="BA8624" s="497">
        <v>33.44</v>
      </c>
      <c r="BB8624" s="42"/>
      <c r="BC8624" s="74"/>
      <c r="BD8624" s="77"/>
      <c r="BF8624">
        <v>24.08</v>
      </c>
      <c r="BH8624" s="42"/>
      <c r="BI8624" s="74"/>
      <c r="BJ8624" s="77"/>
      <c r="BL8624" s="497">
        <v>28.94</v>
      </c>
      <c r="BN8624" s="42"/>
      <c r="BO8624" s="74"/>
      <c r="BP8624" s="77"/>
      <c r="BR8624" s="497">
        <v>23</v>
      </c>
      <c r="BT8624" s="42"/>
    </row>
    <row r="8625" spans="1:72" x14ac:dyDescent="0.25">
      <c r="A8625" s="90">
        <v>35789</v>
      </c>
      <c r="B8625" s="20">
        <v>0.625</v>
      </c>
      <c r="D8625">
        <v>42.08</v>
      </c>
      <c r="E8625" t="str">
        <f t="shared" si="304"/>
        <v>WEEKDAY</v>
      </c>
      <c r="F8625" t="e">
        <f t="shared" si="305"/>
        <v>#N/A</v>
      </c>
      <c r="G8625" s="74">
        <v>28484</v>
      </c>
      <c r="H8625" s="77">
        <v>0.625</v>
      </c>
      <c r="J8625">
        <v>46.94</v>
      </c>
      <c r="M8625" s="74">
        <v>36885</v>
      </c>
      <c r="N8625" s="77">
        <v>0.625</v>
      </c>
      <c r="P8625">
        <v>19.399999999999999</v>
      </c>
      <c r="S8625" s="74">
        <v>35789</v>
      </c>
      <c r="T8625" s="77">
        <v>0.625</v>
      </c>
      <c r="V8625">
        <v>50</v>
      </c>
      <c r="X8625" s="42"/>
      <c r="AB8625">
        <v>40.9</v>
      </c>
      <c r="AC8625">
        <v>50</v>
      </c>
      <c r="AE8625" s="74"/>
      <c r="AF8625" s="77"/>
      <c r="AH8625" s="497">
        <v>26.6</v>
      </c>
      <c r="AJ8625" s="42"/>
      <c r="AK8625" s="74"/>
      <c r="AL8625" s="77"/>
      <c r="AN8625" s="497">
        <v>30.92</v>
      </c>
      <c r="AP8625" s="42"/>
      <c r="AQ8625" s="74"/>
      <c r="AR8625" s="77"/>
      <c r="AT8625" s="497">
        <v>34.700000000000003</v>
      </c>
      <c r="AV8625" s="42"/>
      <c r="AW8625" s="74"/>
      <c r="AX8625" s="77"/>
      <c r="BA8625" s="497">
        <v>31.64</v>
      </c>
      <c r="BB8625" s="42"/>
      <c r="BC8625" s="74"/>
      <c r="BD8625" s="77"/>
      <c r="BF8625">
        <v>23</v>
      </c>
      <c r="BH8625" s="42"/>
      <c r="BI8625" s="74"/>
      <c r="BJ8625" s="77"/>
      <c r="BL8625" s="497">
        <v>28.04</v>
      </c>
      <c r="BN8625" s="42"/>
      <c r="BO8625" s="74"/>
      <c r="BP8625" s="77"/>
      <c r="BR8625" s="497">
        <v>21.92</v>
      </c>
      <c r="BT8625" s="42"/>
    </row>
    <row r="8626" spans="1:72" x14ac:dyDescent="0.25">
      <c r="A8626" s="90">
        <v>35789</v>
      </c>
      <c r="B8626" s="20">
        <v>0.66666666666666663</v>
      </c>
      <c r="D8626">
        <v>41</v>
      </c>
      <c r="E8626" t="str">
        <f t="shared" si="304"/>
        <v>WEEKDAY</v>
      </c>
      <c r="F8626" t="e">
        <f t="shared" si="305"/>
        <v>#N/A</v>
      </c>
      <c r="G8626" s="74">
        <v>28484</v>
      </c>
      <c r="H8626" s="77">
        <v>0.66666666666666663</v>
      </c>
      <c r="J8626">
        <v>44.96</v>
      </c>
      <c r="M8626" s="74">
        <v>36885</v>
      </c>
      <c r="N8626" s="77">
        <v>0.66666666666666663</v>
      </c>
      <c r="P8626">
        <v>17.600000000000001</v>
      </c>
      <c r="S8626" s="74">
        <v>35789</v>
      </c>
      <c r="T8626" s="77">
        <v>0.66666666666666663</v>
      </c>
      <c r="V8626">
        <v>48.92</v>
      </c>
      <c r="X8626" s="42"/>
      <c r="AB8626">
        <v>40.799999999999997</v>
      </c>
      <c r="AC8626">
        <v>50</v>
      </c>
      <c r="AE8626" s="74"/>
      <c r="AF8626" s="77"/>
      <c r="AH8626" s="497">
        <v>26.6</v>
      </c>
      <c r="AJ8626" s="42"/>
      <c r="AK8626" s="74"/>
      <c r="AL8626" s="77"/>
      <c r="AN8626" s="497">
        <v>30.02</v>
      </c>
      <c r="AP8626" s="42"/>
      <c r="AQ8626" s="74"/>
      <c r="AR8626" s="77"/>
      <c r="AT8626" s="497">
        <v>35.06</v>
      </c>
      <c r="AV8626" s="42"/>
      <c r="AW8626" s="74"/>
      <c r="AX8626" s="77"/>
      <c r="BA8626" s="497">
        <v>30.02</v>
      </c>
      <c r="BB8626" s="42"/>
      <c r="BC8626" s="74"/>
      <c r="BD8626" s="77"/>
      <c r="BF8626">
        <v>21.02</v>
      </c>
      <c r="BH8626" s="42"/>
      <c r="BI8626" s="74"/>
      <c r="BJ8626" s="77"/>
      <c r="BL8626" s="497">
        <v>24.98</v>
      </c>
      <c r="BN8626" s="42"/>
      <c r="BO8626" s="74"/>
      <c r="BP8626" s="77"/>
      <c r="BR8626" s="497">
        <v>21.92</v>
      </c>
      <c r="BT8626" s="42"/>
    </row>
    <row r="8627" spans="1:72" x14ac:dyDescent="0.25">
      <c r="A8627" s="90">
        <v>35789</v>
      </c>
      <c r="B8627" s="20">
        <v>0.70833333333333337</v>
      </c>
      <c r="D8627">
        <v>39.019999999999996</v>
      </c>
      <c r="E8627" t="str">
        <f t="shared" si="304"/>
        <v>WEEKDAY</v>
      </c>
      <c r="F8627" t="e">
        <f t="shared" si="305"/>
        <v>#N/A</v>
      </c>
      <c r="G8627" s="74">
        <v>28484</v>
      </c>
      <c r="H8627" s="77">
        <v>0.70833333333333337</v>
      </c>
      <c r="J8627">
        <v>44.96</v>
      </c>
      <c r="M8627" s="74">
        <v>36885</v>
      </c>
      <c r="N8627" s="77">
        <v>0.70833333333333337</v>
      </c>
      <c r="P8627">
        <v>17.600000000000001</v>
      </c>
      <c r="S8627" s="74">
        <v>35789</v>
      </c>
      <c r="T8627" s="77">
        <v>0.70833333333333337</v>
      </c>
      <c r="V8627">
        <v>48.92</v>
      </c>
      <c r="X8627" s="42"/>
      <c r="AB8627">
        <v>40</v>
      </c>
      <c r="AC8627">
        <v>48.2</v>
      </c>
      <c r="AE8627" s="74"/>
      <c r="AF8627" s="77"/>
      <c r="AH8627" s="497">
        <v>24.8</v>
      </c>
      <c r="AJ8627" s="42"/>
      <c r="AK8627" s="74"/>
      <c r="AL8627" s="77"/>
      <c r="AN8627" s="497">
        <v>30.02</v>
      </c>
      <c r="AP8627" s="42"/>
      <c r="AQ8627" s="74"/>
      <c r="AR8627" s="77"/>
      <c r="AT8627" s="497">
        <v>33.619999999999997</v>
      </c>
      <c r="AV8627" s="42"/>
      <c r="AW8627" s="74"/>
      <c r="AX8627" s="77"/>
      <c r="BA8627" s="497">
        <v>28.4</v>
      </c>
      <c r="BB8627" s="42"/>
      <c r="BC8627" s="74"/>
      <c r="BD8627" s="77"/>
      <c r="BF8627">
        <v>19.939999999999998</v>
      </c>
      <c r="BH8627" s="42"/>
      <c r="BI8627" s="74"/>
      <c r="BJ8627" s="77"/>
      <c r="BL8627" s="497">
        <v>24.98</v>
      </c>
      <c r="BN8627" s="42"/>
      <c r="BO8627" s="74"/>
      <c r="BP8627" s="77"/>
      <c r="BR8627" s="497">
        <v>23</v>
      </c>
      <c r="BT8627" s="42"/>
    </row>
    <row r="8628" spans="1:72" x14ac:dyDescent="0.25">
      <c r="A8628" s="90">
        <v>35789</v>
      </c>
      <c r="B8628" s="20">
        <v>0.75</v>
      </c>
      <c r="D8628">
        <v>39.019999999999996</v>
      </c>
      <c r="E8628" t="str">
        <f t="shared" si="304"/>
        <v>WEEKDAY</v>
      </c>
      <c r="F8628" t="e">
        <f t="shared" si="305"/>
        <v>#N/A</v>
      </c>
      <c r="G8628" s="74">
        <v>28484</v>
      </c>
      <c r="H8628" s="77">
        <v>0.75</v>
      </c>
      <c r="J8628">
        <v>42.980000000000004</v>
      </c>
      <c r="M8628" s="74">
        <v>36885</v>
      </c>
      <c r="N8628" s="77">
        <v>0.75</v>
      </c>
      <c r="P8628">
        <v>15.8</v>
      </c>
      <c r="S8628" s="74">
        <v>35789</v>
      </c>
      <c r="T8628" s="77">
        <v>0.75</v>
      </c>
      <c r="V8628">
        <v>42.980000000000004</v>
      </c>
      <c r="X8628" s="42"/>
      <c r="AB8628">
        <v>38.9</v>
      </c>
      <c r="AC8628">
        <v>48.2</v>
      </c>
      <c r="AE8628" s="74"/>
      <c r="AF8628" s="77"/>
      <c r="AH8628" s="497">
        <v>24.8</v>
      </c>
      <c r="AJ8628" s="42"/>
      <c r="AK8628" s="74"/>
      <c r="AL8628" s="77"/>
      <c r="AN8628" s="497">
        <v>28.04</v>
      </c>
      <c r="AP8628" s="42"/>
      <c r="AQ8628" s="74"/>
      <c r="AR8628" s="77"/>
      <c r="AT8628" s="497">
        <v>32.36</v>
      </c>
      <c r="AV8628" s="42"/>
      <c r="AW8628" s="74"/>
      <c r="AX8628" s="77"/>
      <c r="BA8628" s="497">
        <v>26.6</v>
      </c>
      <c r="BB8628" s="42"/>
      <c r="BC8628" s="74"/>
      <c r="BD8628" s="77"/>
      <c r="BF8628">
        <v>17.96</v>
      </c>
      <c r="BH8628" s="42"/>
      <c r="BI8628" s="74"/>
      <c r="BJ8628" s="77"/>
      <c r="BL8628" s="497">
        <v>24.08</v>
      </c>
      <c r="BN8628" s="42"/>
      <c r="BO8628" s="74"/>
      <c r="BP8628" s="77"/>
      <c r="BR8628" s="497">
        <v>23</v>
      </c>
      <c r="BT8628" s="42"/>
    </row>
    <row r="8629" spans="1:72" x14ac:dyDescent="0.25">
      <c r="A8629" s="90">
        <v>35789</v>
      </c>
      <c r="B8629" s="20">
        <v>0.79166666666666663</v>
      </c>
      <c r="D8629">
        <v>39.019999999999996</v>
      </c>
      <c r="E8629" t="str">
        <f t="shared" si="304"/>
        <v>WEEKDAY</v>
      </c>
      <c r="F8629" t="e">
        <f t="shared" si="305"/>
        <v>#N/A</v>
      </c>
      <c r="G8629" s="74">
        <v>28484</v>
      </c>
      <c r="H8629" s="77">
        <v>0.79166666666666663</v>
      </c>
      <c r="J8629">
        <v>42.08</v>
      </c>
      <c r="M8629" s="74">
        <v>36885</v>
      </c>
      <c r="N8629" s="77">
        <v>0.79166666666666663</v>
      </c>
      <c r="P8629">
        <v>15.8</v>
      </c>
      <c r="S8629" s="74">
        <v>35789</v>
      </c>
      <c r="T8629" s="77">
        <v>0.79166666666666663</v>
      </c>
      <c r="V8629">
        <v>48.019999999999996</v>
      </c>
      <c r="X8629" s="42"/>
      <c r="AB8629">
        <v>38.4</v>
      </c>
      <c r="AC8629">
        <v>44.6</v>
      </c>
      <c r="AE8629" s="74"/>
      <c r="AF8629" s="77"/>
      <c r="AH8629" s="497">
        <v>21.2</v>
      </c>
      <c r="AJ8629" s="42"/>
      <c r="AK8629" s="74"/>
      <c r="AL8629" s="77"/>
      <c r="AN8629" s="497">
        <v>28.04</v>
      </c>
      <c r="AP8629" s="42"/>
      <c r="AQ8629" s="74"/>
      <c r="AR8629" s="77"/>
      <c r="AT8629" s="497">
        <v>30.92</v>
      </c>
      <c r="AV8629" s="42"/>
      <c r="AW8629" s="74"/>
      <c r="AX8629" s="77"/>
      <c r="BA8629" s="497">
        <v>24.98</v>
      </c>
      <c r="BB8629" s="42"/>
      <c r="BC8629" s="74"/>
      <c r="BD8629" s="77"/>
      <c r="BF8629">
        <v>17.059999999999999</v>
      </c>
      <c r="BH8629" s="42"/>
      <c r="BI8629" s="74"/>
      <c r="BJ8629" s="77"/>
      <c r="BL8629" s="497">
        <v>23</v>
      </c>
      <c r="BN8629" s="42"/>
      <c r="BO8629" s="74"/>
      <c r="BP8629" s="77"/>
      <c r="BR8629" s="497">
        <v>24.08</v>
      </c>
      <c r="BT8629" s="42"/>
    </row>
    <row r="8630" spans="1:72" x14ac:dyDescent="0.25">
      <c r="A8630" s="90">
        <v>35789</v>
      </c>
      <c r="B8630" s="20">
        <v>0.83333333333333337</v>
      </c>
      <c r="D8630">
        <v>37.04</v>
      </c>
      <c r="E8630" t="str">
        <f t="shared" si="304"/>
        <v>WEEKDAY</v>
      </c>
      <c r="F8630" t="e">
        <f t="shared" si="305"/>
        <v>#N/A</v>
      </c>
      <c r="G8630" s="74">
        <v>28484</v>
      </c>
      <c r="H8630" s="77">
        <v>0.83333333333333337</v>
      </c>
      <c r="J8630">
        <v>39.019999999999996</v>
      </c>
      <c r="M8630" s="74">
        <v>36885</v>
      </c>
      <c r="N8630" s="77">
        <v>0.83333333333333337</v>
      </c>
      <c r="P8630">
        <v>14</v>
      </c>
      <c r="S8630" s="74">
        <v>35789</v>
      </c>
      <c r="T8630" s="77">
        <v>0.83333333333333337</v>
      </c>
      <c r="V8630">
        <v>46.04</v>
      </c>
      <c r="X8630" s="42"/>
      <c r="AB8630">
        <v>38.200000000000003</v>
      </c>
      <c r="AC8630">
        <v>42.8</v>
      </c>
      <c r="AE8630" s="74"/>
      <c r="AF8630" s="77"/>
      <c r="AH8630" s="497">
        <v>19.399999999999999</v>
      </c>
      <c r="AJ8630" s="42"/>
      <c r="AK8630" s="74"/>
      <c r="AL8630" s="77"/>
      <c r="AN8630" s="497">
        <v>24.98</v>
      </c>
      <c r="AP8630" s="42"/>
      <c r="AQ8630" s="74"/>
      <c r="AR8630" s="77"/>
      <c r="AT8630" s="497">
        <v>31.28</v>
      </c>
      <c r="AV8630" s="42"/>
      <c r="AW8630" s="74"/>
      <c r="AX8630" s="77"/>
      <c r="BA8630" s="497">
        <v>23.9</v>
      </c>
      <c r="BB8630" s="42"/>
      <c r="BC8630" s="74"/>
      <c r="BD8630" s="77"/>
      <c r="BF8630">
        <v>15.98</v>
      </c>
      <c r="BH8630" s="42"/>
      <c r="BI8630" s="74"/>
      <c r="BJ8630" s="77"/>
      <c r="BL8630" s="497">
        <v>21.92</v>
      </c>
      <c r="BN8630" s="42"/>
      <c r="BO8630" s="74"/>
      <c r="BP8630" s="77"/>
      <c r="BR8630" s="497">
        <v>24.08</v>
      </c>
      <c r="BT8630" s="42"/>
    </row>
    <row r="8631" spans="1:72" x14ac:dyDescent="0.25">
      <c r="A8631" s="90">
        <v>35789</v>
      </c>
      <c r="B8631" s="20">
        <v>0.875</v>
      </c>
      <c r="D8631">
        <v>37.04</v>
      </c>
      <c r="E8631" t="str">
        <f t="shared" si="304"/>
        <v>WEEKDAY</v>
      </c>
      <c r="F8631" t="e">
        <f t="shared" si="305"/>
        <v>#N/A</v>
      </c>
      <c r="G8631" s="74">
        <v>28484</v>
      </c>
      <c r="H8631" s="77">
        <v>0.875</v>
      </c>
      <c r="J8631">
        <v>37.04</v>
      </c>
      <c r="M8631" s="74">
        <v>36885</v>
      </c>
      <c r="N8631" s="77">
        <v>0.875</v>
      </c>
      <c r="P8631">
        <v>14</v>
      </c>
      <c r="S8631" s="74">
        <v>35789</v>
      </c>
      <c r="T8631" s="77">
        <v>0.875</v>
      </c>
      <c r="V8631">
        <v>44.96</v>
      </c>
      <c r="X8631" s="42"/>
      <c r="AB8631">
        <v>37.6</v>
      </c>
      <c r="AC8631">
        <v>42.8</v>
      </c>
      <c r="AE8631" s="74"/>
      <c r="AF8631" s="77"/>
      <c r="AH8631" s="497">
        <v>17.600000000000001</v>
      </c>
      <c r="AJ8631" s="42"/>
      <c r="AK8631" s="74"/>
      <c r="AL8631" s="77"/>
      <c r="AN8631" s="497">
        <v>24.98</v>
      </c>
      <c r="AP8631" s="42"/>
      <c r="AQ8631" s="74"/>
      <c r="AR8631" s="77"/>
      <c r="AT8631" s="497">
        <v>31.64</v>
      </c>
      <c r="AV8631" s="42"/>
      <c r="AW8631" s="74"/>
      <c r="AX8631" s="77"/>
      <c r="BA8631" s="497">
        <v>23</v>
      </c>
      <c r="BB8631" s="42"/>
      <c r="BC8631" s="74"/>
      <c r="BD8631" s="77"/>
      <c r="BF8631">
        <v>15.079999999999998</v>
      </c>
      <c r="BH8631" s="42"/>
      <c r="BI8631" s="74"/>
      <c r="BJ8631" s="77"/>
      <c r="BL8631" s="497">
        <v>19.939999999999998</v>
      </c>
      <c r="BN8631" s="42"/>
      <c r="BO8631" s="74"/>
      <c r="BP8631" s="77"/>
      <c r="BR8631" s="497">
        <v>26.060000000000002</v>
      </c>
      <c r="BT8631" s="42"/>
    </row>
    <row r="8632" spans="1:72" x14ac:dyDescent="0.25">
      <c r="A8632" s="90">
        <v>35789</v>
      </c>
      <c r="B8632" s="20">
        <v>0.91666666666666663</v>
      </c>
      <c r="D8632">
        <v>35.96</v>
      </c>
      <c r="E8632" t="str">
        <f t="shared" si="304"/>
        <v>WEEKDAY</v>
      </c>
      <c r="F8632" t="e">
        <f t="shared" si="305"/>
        <v>#N/A</v>
      </c>
      <c r="G8632" s="74">
        <v>28484</v>
      </c>
      <c r="H8632" s="77">
        <v>0.91666666666666663</v>
      </c>
      <c r="J8632">
        <v>37.04</v>
      </c>
      <c r="M8632" s="74">
        <v>36885</v>
      </c>
      <c r="N8632" s="77">
        <v>0.91666666666666663</v>
      </c>
      <c r="P8632">
        <v>14</v>
      </c>
      <c r="S8632" s="74">
        <v>35789</v>
      </c>
      <c r="T8632" s="77">
        <v>0.91666666666666663</v>
      </c>
      <c r="V8632">
        <v>44.06</v>
      </c>
      <c r="X8632" s="42"/>
      <c r="AB8632">
        <v>37</v>
      </c>
      <c r="AC8632">
        <v>42.8</v>
      </c>
      <c r="AE8632" s="74"/>
      <c r="AF8632" s="77"/>
      <c r="AH8632" s="497">
        <v>17.600000000000001</v>
      </c>
      <c r="AJ8632" s="42"/>
      <c r="AK8632" s="74"/>
      <c r="AL8632" s="77"/>
      <c r="AN8632" s="497">
        <v>24.98</v>
      </c>
      <c r="AP8632" s="42"/>
      <c r="AQ8632" s="74"/>
      <c r="AR8632" s="77"/>
      <c r="AT8632" s="497">
        <v>32</v>
      </c>
      <c r="AV8632" s="42"/>
      <c r="AW8632" s="74"/>
      <c r="AX8632" s="77"/>
      <c r="BA8632" s="497">
        <v>21.92</v>
      </c>
      <c r="BB8632" s="42"/>
      <c r="BC8632" s="74"/>
      <c r="BD8632" s="77"/>
      <c r="BF8632">
        <v>14</v>
      </c>
      <c r="BH8632" s="42"/>
      <c r="BI8632" s="74"/>
      <c r="BJ8632" s="77"/>
      <c r="BL8632" s="497">
        <v>17.96</v>
      </c>
      <c r="BN8632" s="42"/>
      <c r="BO8632" s="74"/>
      <c r="BP8632" s="77"/>
      <c r="BR8632" s="497">
        <v>26.060000000000002</v>
      </c>
      <c r="BT8632" s="42"/>
    </row>
    <row r="8633" spans="1:72" x14ac:dyDescent="0.25">
      <c r="A8633" s="90">
        <v>35789</v>
      </c>
      <c r="B8633" s="20">
        <v>0.95833333333333337</v>
      </c>
      <c r="D8633">
        <v>35.06</v>
      </c>
      <c r="E8633" t="str">
        <f t="shared" si="304"/>
        <v>WEEKDAY</v>
      </c>
      <c r="F8633" t="e">
        <f t="shared" si="305"/>
        <v>#N/A</v>
      </c>
      <c r="G8633" s="74">
        <v>28484</v>
      </c>
      <c r="H8633" s="77">
        <v>0.95833333333333337</v>
      </c>
      <c r="J8633">
        <v>35.96</v>
      </c>
      <c r="M8633" s="74">
        <v>36885</v>
      </c>
      <c r="N8633" s="77">
        <v>0.95833333333333337</v>
      </c>
      <c r="P8633">
        <v>14</v>
      </c>
      <c r="S8633" s="74">
        <v>35789</v>
      </c>
      <c r="T8633" s="77">
        <v>0.95833333333333337</v>
      </c>
      <c r="V8633">
        <v>44.06</v>
      </c>
      <c r="X8633" s="42"/>
      <c r="AB8633">
        <v>36.6</v>
      </c>
      <c r="AC8633">
        <v>44.6</v>
      </c>
      <c r="AE8633" s="74"/>
      <c r="AF8633" s="77"/>
      <c r="AH8633" s="497">
        <v>17.600000000000001</v>
      </c>
      <c r="AJ8633" s="42"/>
      <c r="AK8633" s="74"/>
      <c r="AL8633" s="77"/>
      <c r="AN8633" s="497">
        <v>24.98</v>
      </c>
      <c r="AP8633" s="42"/>
      <c r="AQ8633" s="74"/>
      <c r="AR8633" s="77"/>
      <c r="AT8633" s="497">
        <v>30.92</v>
      </c>
      <c r="AV8633" s="42"/>
      <c r="AW8633" s="74"/>
      <c r="AX8633" s="77"/>
      <c r="BA8633" s="497">
        <v>20.66</v>
      </c>
      <c r="BB8633" s="42"/>
      <c r="BC8633" s="74"/>
      <c r="BD8633" s="77"/>
      <c r="BF8633">
        <v>12.920000000000002</v>
      </c>
      <c r="BH8633" s="42"/>
      <c r="BI8633" s="74"/>
      <c r="BJ8633" s="77"/>
      <c r="BL8633" s="497">
        <v>15.98</v>
      </c>
      <c r="BN8633" s="42"/>
      <c r="BO8633" s="74"/>
      <c r="BP8633" s="77"/>
      <c r="BR8633" s="497">
        <v>26.96</v>
      </c>
      <c r="BT8633" s="42"/>
    </row>
    <row r="8634" spans="1:72" x14ac:dyDescent="0.25">
      <c r="A8634" s="90">
        <v>35789</v>
      </c>
      <c r="B8634" s="20">
        <v>1</v>
      </c>
      <c r="D8634">
        <v>35.06</v>
      </c>
      <c r="E8634" t="str">
        <f t="shared" si="304"/>
        <v>WEEKDAY</v>
      </c>
      <c r="F8634" t="e">
        <f t="shared" si="305"/>
        <v>#N/A</v>
      </c>
      <c r="G8634" s="74">
        <v>28484</v>
      </c>
      <c r="H8634" s="77">
        <v>1</v>
      </c>
      <c r="J8634">
        <v>35.06</v>
      </c>
      <c r="M8634" s="74">
        <v>36885</v>
      </c>
      <c r="N8634" s="80">
        <v>1</v>
      </c>
      <c r="P8634">
        <v>14</v>
      </c>
      <c r="S8634" s="74">
        <v>35789</v>
      </c>
      <c r="T8634" s="80">
        <v>1</v>
      </c>
      <c r="V8634">
        <v>41</v>
      </c>
      <c r="X8634" s="42"/>
      <c r="AB8634">
        <v>36.1</v>
      </c>
      <c r="AC8634">
        <v>41</v>
      </c>
      <c r="AE8634" s="74"/>
      <c r="AF8634" s="80"/>
      <c r="AH8634" s="497">
        <v>15.8</v>
      </c>
      <c r="AJ8634" s="42"/>
      <c r="AK8634" s="74"/>
      <c r="AL8634" s="80"/>
      <c r="AN8634" s="497">
        <v>24.98</v>
      </c>
      <c r="AP8634" s="42"/>
      <c r="AQ8634" s="74"/>
      <c r="AR8634" s="80"/>
      <c r="AT8634" s="497">
        <v>30.02</v>
      </c>
      <c r="AV8634" s="42"/>
      <c r="AW8634" s="74"/>
      <c r="AX8634" s="80"/>
      <c r="BA8634" s="497">
        <v>19.22</v>
      </c>
      <c r="BB8634" s="42"/>
      <c r="BC8634" s="74"/>
      <c r="BD8634" s="80"/>
      <c r="BF8634">
        <v>12.02</v>
      </c>
      <c r="BH8634" s="42"/>
      <c r="BI8634" s="74"/>
      <c r="BJ8634" s="80"/>
      <c r="BL8634" s="497">
        <v>15.98</v>
      </c>
      <c r="BN8634" s="42"/>
      <c r="BO8634" s="74"/>
      <c r="BP8634" s="80"/>
      <c r="BR8634" s="497">
        <v>26.96</v>
      </c>
      <c r="BT8634" s="42"/>
    </row>
    <row r="8635" spans="1:72" x14ac:dyDescent="0.25">
      <c r="A8635" s="90">
        <v>35790</v>
      </c>
      <c r="B8635" s="20">
        <v>4.1666666666666664E-2</v>
      </c>
      <c r="D8635">
        <v>33.979999999999997</v>
      </c>
      <c r="E8635" t="str">
        <f t="shared" si="304"/>
        <v>WEEKDAY</v>
      </c>
      <c r="F8635" t="e">
        <f t="shared" si="305"/>
        <v>#N/A</v>
      </c>
      <c r="G8635" s="74">
        <v>28485</v>
      </c>
      <c r="H8635" s="77">
        <v>4.1666666666666664E-2</v>
      </c>
      <c r="J8635">
        <v>33.979999999999997</v>
      </c>
      <c r="M8635" s="74">
        <v>36886</v>
      </c>
      <c r="N8635" s="77">
        <v>4.1666666666666664E-2</v>
      </c>
      <c r="P8635">
        <v>12.2</v>
      </c>
      <c r="S8635" s="74">
        <v>35790</v>
      </c>
      <c r="T8635" s="77">
        <v>4.1666666666666664E-2</v>
      </c>
      <c r="V8635">
        <v>37.94</v>
      </c>
      <c r="X8635" s="42"/>
      <c r="AB8635">
        <v>35.6</v>
      </c>
      <c r="AC8635">
        <v>41</v>
      </c>
      <c r="AE8635" s="74"/>
      <c r="AF8635" s="77"/>
      <c r="AH8635" s="497">
        <v>15.8</v>
      </c>
      <c r="AJ8635" s="42"/>
      <c r="AK8635" s="74"/>
      <c r="AL8635" s="77"/>
      <c r="AN8635" s="497">
        <v>24.98</v>
      </c>
      <c r="AP8635" s="42"/>
      <c r="AQ8635" s="74"/>
      <c r="AR8635" s="77"/>
      <c r="AT8635" s="497">
        <v>28.94</v>
      </c>
      <c r="AV8635" s="42"/>
      <c r="AW8635" s="74"/>
      <c r="AX8635" s="77"/>
      <c r="BA8635" s="497">
        <v>17.96</v>
      </c>
      <c r="BB8635" s="42"/>
      <c r="BC8635" s="74"/>
      <c r="BD8635" s="77"/>
      <c r="BF8635">
        <v>12.02</v>
      </c>
      <c r="BH8635" s="42"/>
      <c r="BI8635" s="74"/>
      <c r="BJ8635" s="77"/>
      <c r="BL8635" s="497">
        <v>14</v>
      </c>
      <c r="BN8635" s="42"/>
      <c r="BO8635" s="74"/>
      <c r="BP8635" s="77"/>
      <c r="BR8635" s="497">
        <v>28.04</v>
      </c>
      <c r="BT8635" s="42"/>
    </row>
    <row r="8636" spans="1:72" x14ac:dyDescent="0.25">
      <c r="A8636" s="90">
        <v>35790</v>
      </c>
      <c r="B8636" s="20">
        <v>8.3333333333333329E-2</v>
      </c>
      <c r="D8636">
        <v>33.979999999999997</v>
      </c>
      <c r="E8636" t="str">
        <f t="shared" si="304"/>
        <v>WEEKDAY</v>
      </c>
      <c r="F8636" t="e">
        <f t="shared" si="305"/>
        <v>#N/A</v>
      </c>
      <c r="G8636" s="74">
        <v>28485</v>
      </c>
      <c r="H8636" s="77">
        <v>8.3333333333333329E-2</v>
      </c>
      <c r="J8636">
        <v>33.08</v>
      </c>
      <c r="M8636" s="74">
        <v>36886</v>
      </c>
      <c r="N8636" s="77">
        <v>8.3333333333333329E-2</v>
      </c>
      <c r="P8636">
        <v>12.2</v>
      </c>
      <c r="S8636" s="74">
        <v>35790</v>
      </c>
      <c r="T8636" s="77">
        <v>8.3333333333333329E-2</v>
      </c>
      <c r="V8636">
        <v>42.08</v>
      </c>
      <c r="X8636" s="42"/>
      <c r="AB8636">
        <v>35.200000000000003</v>
      </c>
      <c r="AC8636">
        <v>42.8</v>
      </c>
      <c r="AE8636" s="74"/>
      <c r="AF8636" s="77"/>
      <c r="AH8636" s="497">
        <v>15.8</v>
      </c>
      <c r="AJ8636" s="42"/>
      <c r="AK8636" s="74"/>
      <c r="AL8636" s="77"/>
      <c r="AN8636" s="497">
        <v>24.98</v>
      </c>
      <c r="AP8636" s="42"/>
      <c r="AQ8636" s="74"/>
      <c r="AR8636" s="77"/>
      <c r="AT8636" s="497">
        <v>28.94</v>
      </c>
      <c r="AV8636" s="42"/>
      <c r="AW8636" s="74"/>
      <c r="AX8636" s="77"/>
      <c r="BA8636" s="497">
        <v>17.059999999999999</v>
      </c>
      <c r="BB8636" s="42"/>
      <c r="BC8636" s="74"/>
      <c r="BD8636" s="77"/>
      <c r="BF8636">
        <v>10.940000000000001</v>
      </c>
      <c r="BH8636" s="42"/>
      <c r="BI8636" s="74"/>
      <c r="BJ8636" s="77"/>
      <c r="BL8636" s="497">
        <v>14</v>
      </c>
      <c r="BN8636" s="42"/>
      <c r="BO8636" s="74"/>
      <c r="BP8636" s="77"/>
      <c r="BR8636" s="497">
        <v>28.04</v>
      </c>
      <c r="BT8636" s="42"/>
    </row>
    <row r="8637" spans="1:72" x14ac:dyDescent="0.25">
      <c r="A8637" s="90">
        <v>35790</v>
      </c>
      <c r="B8637" s="20">
        <v>0.125</v>
      </c>
      <c r="D8637">
        <v>33.979999999999997</v>
      </c>
      <c r="E8637" t="str">
        <f t="shared" si="304"/>
        <v>WEEKDAY</v>
      </c>
      <c r="F8637" t="e">
        <f t="shared" si="305"/>
        <v>#N/A</v>
      </c>
      <c r="G8637" s="74">
        <v>28485</v>
      </c>
      <c r="H8637" s="77">
        <v>0.125</v>
      </c>
      <c r="J8637">
        <v>30.92</v>
      </c>
      <c r="M8637" s="74">
        <v>36886</v>
      </c>
      <c r="N8637" s="77">
        <v>0.125</v>
      </c>
      <c r="P8637">
        <v>12.2</v>
      </c>
      <c r="S8637" s="74">
        <v>35790</v>
      </c>
      <c r="T8637" s="77">
        <v>0.125</v>
      </c>
      <c r="V8637">
        <v>44.06</v>
      </c>
      <c r="X8637" s="42"/>
      <c r="AB8637">
        <v>34.9</v>
      </c>
      <c r="AC8637">
        <v>42.8</v>
      </c>
      <c r="AE8637" s="74"/>
      <c r="AF8637" s="77"/>
      <c r="AH8637" s="497">
        <v>14</v>
      </c>
      <c r="AJ8637" s="42"/>
      <c r="AK8637" s="74"/>
      <c r="AL8637" s="77"/>
      <c r="AN8637" s="497">
        <v>24.98</v>
      </c>
      <c r="AP8637" s="42"/>
      <c r="AQ8637" s="74"/>
      <c r="AR8637" s="77"/>
      <c r="AT8637" s="497">
        <v>28.94</v>
      </c>
      <c r="AV8637" s="42"/>
      <c r="AW8637" s="74"/>
      <c r="AX8637" s="77"/>
      <c r="BA8637" s="497">
        <v>15.98</v>
      </c>
      <c r="BB8637" s="42"/>
      <c r="BC8637" s="74"/>
      <c r="BD8637" s="77"/>
      <c r="BF8637">
        <v>10.940000000000001</v>
      </c>
      <c r="BH8637" s="42"/>
      <c r="BI8637" s="74"/>
      <c r="BJ8637" s="77"/>
      <c r="BL8637" s="497">
        <v>12.920000000000002</v>
      </c>
      <c r="BN8637" s="42"/>
      <c r="BO8637" s="74"/>
      <c r="BP8637" s="77"/>
      <c r="BR8637" s="497">
        <v>28.04</v>
      </c>
      <c r="BT8637" s="42"/>
    </row>
    <row r="8638" spans="1:72" x14ac:dyDescent="0.25">
      <c r="A8638" s="90">
        <v>35790</v>
      </c>
      <c r="B8638" s="20">
        <v>0.16666666666666666</v>
      </c>
      <c r="D8638">
        <v>33.979999999999997</v>
      </c>
      <c r="E8638" t="str">
        <f t="shared" si="304"/>
        <v>WEEKDAY</v>
      </c>
      <c r="F8638" t="e">
        <f t="shared" si="305"/>
        <v>#N/A</v>
      </c>
      <c r="G8638" s="74">
        <v>28485</v>
      </c>
      <c r="H8638" s="77">
        <v>0.16666666666666666</v>
      </c>
      <c r="J8638">
        <v>28.04</v>
      </c>
      <c r="M8638" s="74">
        <v>36886</v>
      </c>
      <c r="N8638" s="77">
        <v>0.16666666666666666</v>
      </c>
      <c r="P8638">
        <v>12.2</v>
      </c>
      <c r="S8638" s="74">
        <v>35790</v>
      </c>
      <c r="T8638" s="77">
        <v>0.16666666666666666</v>
      </c>
      <c r="V8638">
        <v>42.08</v>
      </c>
      <c r="X8638" s="42"/>
      <c r="AB8638">
        <v>34.6</v>
      </c>
      <c r="AC8638">
        <v>44.6</v>
      </c>
      <c r="AE8638" s="74"/>
      <c r="AF8638" s="77"/>
      <c r="AH8638" s="497">
        <v>14</v>
      </c>
      <c r="AJ8638" s="42"/>
      <c r="AK8638" s="74"/>
      <c r="AL8638" s="77"/>
      <c r="AN8638" s="497">
        <v>24.98</v>
      </c>
      <c r="AP8638" s="42"/>
      <c r="AQ8638" s="74"/>
      <c r="AR8638" s="77"/>
      <c r="AT8638" s="497">
        <v>28.94</v>
      </c>
      <c r="AV8638" s="42"/>
      <c r="AW8638" s="74"/>
      <c r="AX8638" s="77"/>
      <c r="BA8638" s="497">
        <v>15.079999999999998</v>
      </c>
      <c r="BB8638" s="42"/>
      <c r="BC8638" s="74"/>
      <c r="BD8638" s="77"/>
      <c r="BF8638">
        <v>10.940000000000001</v>
      </c>
      <c r="BH8638" s="42"/>
      <c r="BI8638" s="74"/>
      <c r="BJ8638" s="77"/>
      <c r="BL8638" s="497">
        <v>14</v>
      </c>
      <c r="BN8638" s="42"/>
      <c r="BO8638" s="74"/>
      <c r="BP8638" s="77"/>
      <c r="BR8638" s="497">
        <v>28.94</v>
      </c>
      <c r="BT8638" s="42"/>
    </row>
    <row r="8639" spans="1:72" x14ac:dyDescent="0.25">
      <c r="A8639" s="90">
        <v>35790</v>
      </c>
      <c r="B8639" s="20">
        <v>0.20833333333333334</v>
      </c>
      <c r="D8639">
        <v>33.08</v>
      </c>
      <c r="E8639" t="str">
        <f t="shared" si="304"/>
        <v>WEEKDAY</v>
      </c>
      <c r="F8639" t="e">
        <f t="shared" si="305"/>
        <v>#N/A</v>
      </c>
      <c r="G8639" s="74">
        <v>28485</v>
      </c>
      <c r="H8639" s="77">
        <v>0.20833333333333334</v>
      </c>
      <c r="J8639">
        <v>26.060000000000002</v>
      </c>
      <c r="M8639" s="74">
        <v>36886</v>
      </c>
      <c r="N8639" s="77">
        <v>0.20833333333333334</v>
      </c>
      <c r="P8639">
        <v>12.2</v>
      </c>
      <c r="S8639" s="74">
        <v>35790</v>
      </c>
      <c r="T8639" s="77">
        <v>0.20833333333333334</v>
      </c>
      <c r="V8639">
        <v>42.08</v>
      </c>
      <c r="X8639" s="42"/>
      <c r="AB8639">
        <v>34.4</v>
      </c>
      <c r="AC8639">
        <v>42.8</v>
      </c>
      <c r="AE8639" s="74"/>
      <c r="AF8639" s="77"/>
      <c r="AH8639" s="497">
        <v>14</v>
      </c>
      <c r="AJ8639" s="42"/>
      <c r="AK8639" s="74"/>
      <c r="AL8639" s="77"/>
      <c r="AN8639" s="497">
        <v>24.98</v>
      </c>
      <c r="AP8639" s="42"/>
      <c r="AQ8639" s="74"/>
      <c r="AR8639" s="77"/>
      <c r="AT8639" s="497">
        <v>28.22</v>
      </c>
      <c r="AV8639" s="42"/>
      <c r="AW8639" s="74"/>
      <c r="AX8639" s="77"/>
      <c r="BA8639" s="497">
        <v>15.440000000000001</v>
      </c>
      <c r="BB8639" s="42"/>
      <c r="BC8639" s="74"/>
      <c r="BD8639" s="77"/>
      <c r="BF8639">
        <v>10.039999999999999</v>
      </c>
      <c r="BH8639" s="42"/>
      <c r="BI8639" s="74"/>
      <c r="BJ8639" s="77"/>
      <c r="BL8639" s="497">
        <v>15.079999999999998</v>
      </c>
      <c r="BN8639" s="42"/>
      <c r="BO8639" s="74"/>
      <c r="BP8639" s="77"/>
      <c r="BR8639" s="497">
        <v>28.04</v>
      </c>
      <c r="BT8639" s="42"/>
    </row>
    <row r="8640" spans="1:72" x14ac:dyDescent="0.25">
      <c r="A8640" s="90">
        <v>35790</v>
      </c>
      <c r="B8640" s="20">
        <v>0.25</v>
      </c>
      <c r="D8640">
        <v>32</v>
      </c>
      <c r="E8640" t="str">
        <f t="shared" si="304"/>
        <v>WEEKDAY</v>
      </c>
      <c r="F8640" t="e">
        <f t="shared" si="305"/>
        <v>#N/A</v>
      </c>
      <c r="G8640" s="74">
        <v>28485</v>
      </c>
      <c r="H8640" s="77">
        <v>0.25</v>
      </c>
      <c r="J8640">
        <v>24.08</v>
      </c>
      <c r="M8640" s="74">
        <v>36886</v>
      </c>
      <c r="N8640" s="77">
        <v>0.25</v>
      </c>
      <c r="P8640">
        <v>14</v>
      </c>
      <c r="S8640" s="74">
        <v>35790</v>
      </c>
      <c r="T8640" s="77">
        <v>0.25</v>
      </c>
      <c r="V8640">
        <v>42.980000000000004</v>
      </c>
      <c r="X8640" s="42"/>
      <c r="AB8640">
        <v>34.299999999999997</v>
      </c>
      <c r="AC8640">
        <v>44.6</v>
      </c>
      <c r="AE8640" s="74"/>
      <c r="AF8640" s="77"/>
      <c r="AH8640" s="497">
        <v>15.8</v>
      </c>
      <c r="AJ8640" s="42"/>
      <c r="AK8640" s="74"/>
      <c r="AL8640" s="77"/>
      <c r="AN8640" s="497">
        <v>24.98</v>
      </c>
      <c r="AP8640" s="42"/>
      <c r="AQ8640" s="74"/>
      <c r="AR8640" s="77"/>
      <c r="AT8640" s="497">
        <v>27.68</v>
      </c>
      <c r="AV8640" s="42"/>
      <c r="AW8640" s="74"/>
      <c r="AX8640" s="77"/>
      <c r="BA8640" s="497">
        <v>15.620000000000001</v>
      </c>
      <c r="BB8640" s="42"/>
      <c r="BC8640" s="74"/>
      <c r="BD8640" s="77"/>
      <c r="BF8640">
        <v>10.039999999999999</v>
      </c>
      <c r="BH8640" s="42"/>
      <c r="BI8640" s="74"/>
      <c r="BJ8640" s="77"/>
      <c r="BL8640" s="497">
        <v>14</v>
      </c>
      <c r="BN8640" s="42"/>
      <c r="BO8640" s="74"/>
      <c r="BP8640" s="77"/>
      <c r="BR8640" s="497">
        <v>28.04</v>
      </c>
      <c r="BT8640" s="42"/>
    </row>
    <row r="8641" spans="1:72" x14ac:dyDescent="0.25">
      <c r="A8641" s="90">
        <v>35790</v>
      </c>
      <c r="B8641" s="20">
        <v>0.29166666666666669</v>
      </c>
      <c r="D8641">
        <v>33.08</v>
      </c>
      <c r="E8641" t="str">
        <f t="shared" si="304"/>
        <v>WEEKDAY</v>
      </c>
      <c r="F8641" t="e">
        <f t="shared" si="305"/>
        <v>#N/A</v>
      </c>
      <c r="G8641" s="74">
        <v>28485</v>
      </c>
      <c r="H8641" s="77">
        <v>0.29166666666666669</v>
      </c>
      <c r="J8641">
        <v>23</v>
      </c>
      <c r="M8641" s="74">
        <v>36886</v>
      </c>
      <c r="N8641" s="77">
        <v>0.29166666666666669</v>
      </c>
      <c r="P8641">
        <v>15.8</v>
      </c>
      <c r="S8641" s="74">
        <v>35790</v>
      </c>
      <c r="T8641" s="77">
        <v>0.29166666666666669</v>
      </c>
      <c r="V8641">
        <v>44.06</v>
      </c>
      <c r="X8641" s="42"/>
      <c r="AB8641">
        <v>34.299999999999997</v>
      </c>
      <c r="AC8641">
        <v>44.6</v>
      </c>
      <c r="AE8641" s="74"/>
      <c r="AF8641" s="77"/>
      <c r="AH8641" s="497">
        <v>15.8</v>
      </c>
      <c r="AJ8641" s="42"/>
      <c r="AK8641" s="74"/>
      <c r="AL8641" s="77"/>
      <c r="AN8641" s="497">
        <v>24.98</v>
      </c>
      <c r="AP8641" s="42"/>
      <c r="AQ8641" s="74"/>
      <c r="AR8641" s="77"/>
      <c r="AT8641" s="497">
        <v>26.96</v>
      </c>
      <c r="AV8641" s="42"/>
      <c r="AW8641" s="74"/>
      <c r="AX8641" s="77"/>
      <c r="BA8641" s="497">
        <v>15.98</v>
      </c>
      <c r="BB8641" s="42"/>
      <c r="BC8641" s="74"/>
      <c r="BD8641" s="77"/>
      <c r="BF8641">
        <v>10.039999999999999</v>
      </c>
      <c r="BH8641" s="42"/>
      <c r="BI8641" s="74"/>
      <c r="BJ8641" s="77"/>
      <c r="BL8641" s="497">
        <v>12.920000000000002</v>
      </c>
      <c r="BN8641" s="42"/>
      <c r="BO8641" s="74"/>
      <c r="BP8641" s="77"/>
      <c r="BR8641" s="497">
        <v>28.04</v>
      </c>
      <c r="BT8641" s="42"/>
    </row>
    <row r="8642" spans="1:72" x14ac:dyDescent="0.25">
      <c r="A8642" s="90">
        <v>35790</v>
      </c>
      <c r="B8642" s="20">
        <v>0.33333333333333331</v>
      </c>
      <c r="D8642">
        <v>33.08</v>
      </c>
      <c r="E8642" t="str">
        <f t="shared" si="304"/>
        <v>WEEKDAY</v>
      </c>
      <c r="F8642" t="e">
        <f t="shared" si="305"/>
        <v>#N/A</v>
      </c>
      <c r="G8642" s="74">
        <v>28485</v>
      </c>
      <c r="H8642" s="77">
        <v>0.33333333333333331</v>
      </c>
      <c r="J8642">
        <v>21.92</v>
      </c>
      <c r="M8642" s="74">
        <v>36886</v>
      </c>
      <c r="N8642" s="77">
        <v>0.33333333333333331</v>
      </c>
      <c r="P8642">
        <v>15.8</v>
      </c>
      <c r="S8642" s="74">
        <v>35790</v>
      </c>
      <c r="T8642" s="77">
        <v>0.33333333333333331</v>
      </c>
      <c r="V8642">
        <v>44.06</v>
      </c>
      <c r="X8642" s="42"/>
      <c r="AB8642">
        <v>34.299999999999997</v>
      </c>
      <c r="AC8642">
        <v>44.6</v>
      </c>
      <c r="AE8642" s="74"/>
      <c r="AF8642" s="77"/>
      <c r="AH8642" s="497">
        <v>15.8</v>
      </c>
      <c r="AJ8642" s="42"/>
      <c r="AK8642" s="74"/>
      <c r="AL8642" s="77"/>
      <c r="AN8642" s="497">
        <v>24.98</v>
      </c>
      <c r="AP8642" s="42"/>
      <c r="AQ8642" s="74"/>
      <c r="AR8642" s="77"/>
      <c r="AT8642" s="497">
        <v>27.68</v>
      </c>
      <c r="AV8642" s="42"/>
      <c r="AW8642" s="74"/>
      <c r="AX8642" s="77"/>
      <c r="BA8642" s="497">
        <v>16.340000000000003</v>
      </c>
      <c r="BB8642" s="42"/>
      <c r="BC8642" s="74"/>
      <c r="BD8642" s="77"/>
      <c r="BF8642">
        <v>8.9599999999999973</v>
      </c>
      <c r="BH8642" s="42"/>
      <c r="BI8642" s="74"/>
      <c r="BJ8642" s="77"/>
      <c r="BL8642" s="497">
        <v>12.920000000000002</v>
      </c>
      <c r="BN8642" s="42"/>
      <c r="BO8642" s="74"/>
      <c r="BP8642" s="77"/>
      <c r="BR8642" s="497">
        <v>26.96</v>
      </c>
      <c r="BT8642" s="42"/>
    </row>
    <row r="8643" spans="1:72" x14ac:dyDescent="0.25">
      <c r="A8643" s="90">
        <v>35790</v>
      </c>
      <c r="B8643" s="20">
        <v>0.375</v>
      </c>
      <c r="D8643">
        <v>33.979999999999997</v>
      </c>
      <c r="E8643" t="str">
        <f t="shared" si="304"/>
        <v>WEEKDAY</v>
      </c>
      <c r="F8643" t="e">
        <f t="shared" si="305"/>
        <v>#N/A</v>
      </c>
      <c r="G8643" s="74">
        <v>28485</v>
      </c>
      <c r="H8643" s="77">
        <v>0.375</v>
      </c>
      <c r="J8643">
        <v>23</v>
      </c>
      <c r="M8643" s="74">
        <v>36886</v>
      </c>
      <c r="N8643" s="77">
        <v>0.375</v>
      </c>
      <c r="P8643">
        <v>17.600000000000001</v>
      </c>
      <c r="S8643" s="74">
        <v>35790</v>
      </c>
      <c r="T8643" s="77">
        <v>0.375</v>
      </c>
      <c r="V8643">
        <v>44.06</v>
      </c>
      <c r="X8643" s="42"/>
      <c r="AB8643">
        <v>34.700000000000003</v>
      </c>
      <c r="AC8643">
        <v>46.4</v>
      </c>
      <c r="AE8643" s="74"/>
      <c r="AF8643" s="77"/>
      <c r="AH8643" s="497">
        <v>17.600000000000001</v>
      </c>
      <c r="AJ8643" s="42"/>
      <c r="AK8643" s="74"/>
      <c r="AL8643" s="77"/>
      <c r="AN8643" s="497">
        <v>24.08</v>
      </c>
      <c r="AP8643" s="42"/>
      <c r="AQ8643" s="74"/>
      <c r="AR8643" s="77"/>
      <c r="AT8643" s="497">
        <v>28.22</v>
      </c>
      <c r="AV8643" s="42"/>
      <c r="AW8643" s="74"/>
      <c r="AX8643" s="77"/>
      <c r="BA8643" s="497">
        <v>16.7</v>
      </c>
      <c r="BB8643" s="42"/>
      <c r="BC8643" s="74"/>
      <c r="BD8643" s="77"/>
      <c r="BF8643">
        <v>8.9599999999999973</v>
      </c>
      <c r="BH8643" s="42"/>
      <c r="BI8643" s="74"/>
      <c r="BJ8643" s="77"/>
      <c r="BL8643" s="497">
        <v>12.920000000000002</v>
      </c>
      <c r="BN8643" s="42"/>
      <c r="BO8643" s="74"/>
      <c r="BP8643" s="77"/>
      <c r="BR8643" s="497">
        <v>26.96</v>
      </c>
      <c r="BT8643" s="42"/>
    </row>
    <row r="8644" spans="1:72" x14ac:dyDescent="0.25">
      <c r="A8644" s="90">
        <v>35790</v>
      </c>
      <c r="B8644" s="20">
        <v>0.41666666666666669</v>
      </c>
      <c r="D8644">
        <v>35.96</v>
      </c>
      <c r="E8644" t="str">
        <f t="shared" si="304"/>
        <v>WEEKDAY</v>
      </c>
      <c r="F8644" t="e">
        <f t="shared" si="305"/>
        <v>#N/A</v>
      </c>
      <c r="G8644" s="74">
        <v>28485</v>
      </c>
      <c r="H8644" s="77">
        <v>0.41666666666666669</v>
      </c>
      <c r="J8644">
        <v>24.08</v>
      </c>
      <c r="M8644" s="74">
        <v>36886</v>
      </c>
      <c r="N8644" s="77">
        <v>0.41666666666666669</v>
      </c>
      <c r="P8644">
        <v>19.399999999999999</v>
      </c>
      <c r="S8644" s="74">
        <v>35790</v>
      </c>
      <c r="T8644" s="77">
        <v>0.41666666666666669</v>
      </c>
      <c r="V8644">
        <v>46.94</v>
      </c>
      <c r="X8644" s="42"/>
      <c r="AB8644">
        <v>36.200000000000003</v>
      </c>
      <c r="AC8644">
        <v>48.2</v>
      </c>
      <c r="AE8644" s="74"/>
      <c r="AF8644" s="77"/>
      <c r="AH8644" s="497">
        <v>21.2</v>
      </c>
      <c r="AJ8644" s="42"/>
      <c r="AK8644" s="74"/>
      <c r="AL8644" s="77"/>
      <c r="AN8644" s="497">
        <v>23</v>
      </c>
      <c r="AP8644" s="42"/>
      <c r="AQ8644" s="74"/>
      <c r="AR8644" s="77"/>
      <c r="AT8644" s="497">
        <v>28.94</v>
      </c>
      <c r="AV8644" s="42"/>
      <c r="AW8644" s="74"/>
      <c r="AX8644" s="77"/>
      <c r="BA8644" s="497">
        <v>17.059999999999999</v>
      </c>
      <c r="BB8644" s="42"/>
      <c r="BC8644" s="74"/>
      <c r="BD8644" s="77"/>
      <c r="BF8644">
        <v>10.039999999999999</v>
      </c>
      <c r="BH8644" s="42"/>
      <c r="BI8644" s="74"/>
      <c r="BJ8644" s="77"/>
      <c r="BL8644" s="497">
        <v>15.079999999999998</v>
      </c>
      <c r="BN8644" s="42"/>
      <c r="BO8644" s="74"/>
      <c r="BP8644" s="77"/>
      <c r="BR8644" s="497">
        <v>26.96</v>
      </c>
      <c r="BT8644" s="42"/>
    </row>
    <row r="8645" spans="1:72" x14ac:dyDescent="0.25">
      <c r="A8645" s="90">
        <v>35790</v>
      </c>
      <c r="B8645" s="20">
        <v>0.45833333333333331</v>
      </c>
      <c r="D8645">
        <v>37.04</v>
      </c>
      <c r="E8645" t="str">
        <f t="shared" si="304"/>
        <v>WEEKDAY</v>
      </c>
      <c r="F8645" t="e">
        <f t="shared" si="305"/>
        <v>#N/A</v>
      </c>
      <c r="G8645" s="74">
        <v>28485</v>
      </c>
      <c r="H8645" s="77">
        <v>0.45833333333333331</v>
      </c>
      <c r="J8645">
        <v>24.98</v>
      </c>
      <c r="M8645" s="74">
        <v>36886</v>
      </c>
      <c r="N8645" s="77">
        <v>0.45833333333333331</v>
      </c>
      <c r="P8645">
        <v>23</v>
      </c>
      <c r="S8645" s="74">
        <v>35790</v>
      </c>
      <c r="T8645" s="77">
        <v>0.45833333333333331</v>
      </c>
      <c r="V8645">
        <v>48.019999999999996</v>
      </c>
      <c r="X8645" s="42"/>
      <c r="AB8645">
        <v>37.5</v>
      </c>
      <c r="AC8645">
        <v>50</v>
      </c>
      <c r="AE8645" s="74"/>
      <c r="AF8645" s="77"/>
      <c r="AH8645" s="497">
        <v>24.8</v>
      </c>
      <c r="AJ8645" s="42"/>
      <c r="AK8645" s="74"/>
      <c r="AL8645" s="77"/>
      <c r="AN8645" s="497">
        <v>23</v>
      </c>
      <c r="AP8645" s="42"/>
      <c r="AQ8645" s="74"/>
      <c r="AR8645" s="77"/>
      <c r="AT8645" s="497">
        <v>30.02</v>
      </c>
      <c r="AV8645" s="42"/>
      <c r="AW8645" s="74"/>
      <c r="AX8645" s="77"/>
      <c r="BA8645" s="497">
        <v>17.78</v>
      </c>
      <c r="BB8645" s="42"/>
      <c r="BC8645" s="74"/>
      <c r="BD8645" s="77"/>
      <c r="BF8645">
        <v>12.920000000000002</v>
      </c>
      <c r="BH8645" s="42"/>
      <c r="BI8645" s="74"/>
      <c r="BJ8645" s="77"/>
      <c r="BL8645" s="497">
        <v>15.079999999999998</v>
      </c>
      <c r="BN8645" s="42"/>
      <c r="BO8645" s="74"/>
      <c r="BP8645" s="77"/>
      <c r="BR8645" s="497">
        <v>28.94</v>
      </c>
      <c r="BT8645" s="42"/>
    </row>
    <row r="8646" spans="1:72" x14ac:dyDescent="0.25">
      <c r="A8646" s="90">
        <v>35790</v>
      </c>
      <c r="B8646" s="20">
        <v>0.5</v>
      </c>
      <c r="D8646">
        <v>37.94</v>
      </c>
      <c r="E8646" t="str">
        <f t="shared" si="304"/>
        <v>WEEKDAY</v>
      </c>
      <c r="F8646" t="e">
        <f t="shared" si="305"/>
        <v>#N/A</v>
      </c>
      <c r="G8646" s="74">
        <v>28485</v>
      </c>
      <c r="H8646" s="77">
        <v>0.5</v>
      </c>
      <c r="J8646">
        <v>24.98</v>
      </c>
      <c r="M8646" s="74">
        <v>36886</v>
      </c>
      <c r="N8646" s="77">
        <v>0.5</v>
      </c>
      <c r="P8646">
        <v>24.8</v>
      </c>
      <c r="S8646" s="74">
        <v>35790</v>
      </c>
      <c r="T8646" s="77">
        <v>0.5</v>
      </c>
      <c r="V8646">
        <v>48.92</v>
      </c>
      <c r="X8646" s="42"/>
      <c r="AB8646">
        <v>38.700000000000003</v>
      </c>
      <c r="AC8646">
        <v>50</v>
      </c>
      <c r="AE8646" s="74"/>
      <c r="AF8646" s="77"/>
      <c r="AH8646" s="497">
        <v>24.8</v>
      </c>
      <c r="AJ8646" s="42"/>
      <c r="AK8646" s="74"/>
      <c r="AL8646" s="77"/>
      <c r="AN8646" s="497">
        <v>23</v>
      </c>
      <c r="AP8646" s="42"/>
      <c r="AQ8646" s="74"/>
      <c r="AR8646" s="77"/>
      <c r="AT8646" s="497">
        <v>30.92</v>
      </c>
      <c r="AV8646" s="42"/>
      <c r="AW8646" s="74"/>
      <c r="AX8646" s="77"/>
      <c r="BA8646" s="497">
        <v>18.32</v>
      </c>
      <c r="BB8646" s="42"/>
      <c r="BC8646" s="74"/>
      <c r="BD8646" s="77"/>
      <c r="BF8646">
        <v>14</v>
      </c>
      <c r="BH8646" s="42"/>
      <c r="BI8646" s="74"/>
      <c r="BJ8646" s="77"/>
      <c r="BL8646" s="497">
        <v>15.98</v>
      </c>
      <c r="BN8646" s="42"/>
      <c r="BO8646" s="74"/>
      <c r="BP8646" s="77"/>
      <c r="BR8646" s="497">
        <v>28.94</v>
      </c>
      <c r="BT8646" s="42"/>
    </row>
    <row r="8647" spans="1:72" x14ac:dyDescent="0.25">
      <c r="A8647" s="90">
        <v>35790</v>
      </c>
      <c r="B8647" s="20">
        <v>0.54166666666666663</v>
      </c>
      <c r="D8647">
        <v>39.019999999999996</v>
      </c>
      <c r="E8647" t="str">
        <f t="shared" si="304"/>
        <v>WEEKDAY</v>
      </c>
      <c r="F8647" t="e">
        <f t="shared" si="305"/>
        <v>#N/A</v>
      </c>
      <c r="G8647" s="74">
        <v>28485</v>
      </c>
      <c r="H8647" s="77">
        <v>0.54166666666666663</v>
      </c>
      <c r="J8647">
        <v>26.96</v>
      </c>
      <c r="M8647" s="74">
        <v>36886</v>
      </c>
      <c r="N8647" s="77">
        <v>0.54166666666666663</v>
      </c>
      <c r="P8647">
        <v>26.6</v>
      </c>
      <c r="S8647" s="74">
        <v>35790</v>
      </c>
      <c r="T8647" s="77">
        <v>0.54166666666666663</v>
      </c>
      <c r="V8647">
        <v>50</v>
      </c>
      <c r="X8647" s="42"/>
      <c r="AB8647">
        <v>39.700000000000003</v>
      </c>
      <c r="AC8647">
        <v>51.8</v>
      </c>
      <c r="AE8647" s="74"/>
      <c r="AF8647" s="77"/>
      <c r="AH8647" s="497">
        <v>26.6</v>
      </c>
      <c r="AJ8647" s="42"/>
      <c r="AK8647" s="74"/>
      <c r="AL8647" s="77"/>
      <c r="AN8647" s="497">
        <v>24.08</v>
      </c>
      <c r="AP8647" s="42"/>
      <c r="AQ8647" s="74"/>
      <c r="AR8647" s="77"/>
      <c r="AT8647" s="497">
        <v>32</v>
      </c>
      <c r="AV8647" s="42"/>
      <c r="AW8647" s="74"/>
      <c r="AX8647" s="77"/>
      <c r="BA8647" s="497">
        <v>19.04</v>
      </c>
      <c r="BB8647" s="42"/>
      <c r="BC8647" s="74"/>
      <c r="BD8647" s="77"/>
      <c r="BF8647">
        <v>15.079999999999998</v>
      </c>
      <c r="BH8647" s="42"/>
      <c r="BI8647" s="74"/>
      <c r="BJ8647" s="77"/>
      <c r="BL8647" s="497">
        <v>17.059999999999999</v>
      </c>
      <c r="BN8647" s="42"/>
      <c r="BO8647" s="74"/>
      <c r="BP8647" s="77"/>
      <c r="BR8647" s="497">
        <v>28.94</v>
      </c>
      <c r="BT8647" s="42"/>
    </row>
    <row r="8648" spans="1:72" x14ac:dyDescent="0.25">
      <c r="A8648" s="90">
        <v>35790</v>
      </c>
      <c r="B8648" s="20">
        <v>0.58333333333333337</v>
      </c>
      <c r="D8648">
        <v>39.92</v>
      </c>
      <c r="E8648" t="str">
        <f t="shared" si="304"/>
        <v>WEEKDAY</v>
      </c>
      <c r="F8648" t="e">
        <f t="shared" si="305"/>
        <v>#N/A</v>
      </c>
      <c r="G8648" s="74">
        <v>28485</v>
      </c>
      <c r="H8648" s="77">
        <v>0.58333333333333337</v>
      </c>
      <c r="J8648">
        <v>26.96</v>
      </c>
      <c r="M8648" s="74">
        <v>36886</v>
      </c>
      <c r="N8648" s="77">
        <v>0.58333333333333337</v>
      </c>
      <c r="P8648">
        <v>26.6</v>
      </c>
      <c r="S8648" s="74">
        <v>35790</v>
      </c>
      <c r="T8648" s="77">
        <v>0.58333333333333337</v>
      </c>
      <c r="V8648">
        <v>48.019999999999996</v>
      </c>
      <c r="X8648" s="42"/>
      <c r="AB8648">
        <v>40.4</v>
      </c>
      <c r="AC8648">
        <v>48.2</v>
      </c>
      <c r="AE8648" s="74"/>
      <c r="AF8648" s="77"/>
      <c r="AH8648" s="497">
        <v>26.6</v>
      </c>
      <c r="AJ8648" s="42"/>
      <c r="AK8648" s="74"/>
      <c r="AL8648" s="77"/>
      <c r="AN8648" s="497">
        <v>24.08</v>
      </c>
      <c r="AP8648" s="42"/>
      <c r="AQ8648" s="74"/>
      <c r="AR8648" s="77"/>
      <c r="AT8648" s="497">
        <v>30.92</v>
      </c>
      <c r="AV8648" s="42"/>
      <c r="AW8648" s="74"/>
      <c r="AX8648" s="77"/>
      <c r="BA8648" s="497">
        <v>18.32</v>
      </c>
      <c r="BB8648" s="42"/>
      <c r="BC8648" s="74"/>
      <c r="BD8648" s="77"/>
      <c r="BF8648">
        <v>15.079999999999998</v>
      </c>
      <c r="BH8648" s="42"/>
      <c r="BI8648" s="74"/>
      <c r="BJ8648" s="77"/>
      <c r="BL8648" s="497">
        <v>15.98</v>
      </c>
      <c r="BN8648" s="42"/>
      <c r="BO8648" s="74"/>
      <c r="BP8648" s="77"/>
      <c r="BR8648" s="497">
        <v>28.94</v>
      </c>
      <c r="BT8648" s="42"/>
    </row>
    <row r="8649" spans="1:72" x14ac:dyDescent="0.25">
      <c r="A8649" s="90">
        <v>35790</v>
      </c>
      <c r="B8649" s="20">
        <v>0.625</v>
      </c>
      <c r="D8649">
        <v>42.08</v>
      </c>
      <c r="E8649" t="str">
        <f t="shared" si="304"/>
        <v>WEEKDAY</v>
      </c>
      <c r="F8649" t="e">
        <f t="shared" si="305"/>
        <v>#N/A</v>
      </c>
      <c r="G8649" s="74">
        <v>28485</v>
      </c>
      <c r="H8649" s="77">
        <v>0.625</v>
      </c>
      <c r="J8649">
        <v>26.96</v>
      </c>
      <c r="M8649" s="74">
        <v>36886</v>
      </c>
      <c r="N8649" s="77">
        <v>0.625</v>
      </c>
      <c r="P8649">
        <v>26.6</v>
      </c>
      <c r="S8649" s="74">
        <v>35790</v>
      </c>
      <c r="T8649" s="77">
        <v>0.625</v>
      </c>
      <c r="V8649">
        <v>46.94</v>
      </c>
      <c r="X8649" s="42"/>
      <c r="AB8649">
        <v>40.700000000000003</v>
      </c>
      <c r="AC8649">
        <v>48.2</v>
      </c>
      <c r="AE8649" s="74"/>
      <c r="AF8649" s="77"/>
      <c r="AH8649" s="497">
        <v>24.8</v>
      </c>
      <c r="AJ8649" s="42"/>
      <c r="AK8649" s="74"/>
      <c r="AL8649" s="77"/>
      <c r="AN8649" s="497">
        <v>24.08</v>
      </c>
      <c r="AP8649" s="42"/>
      <c r="AQ8649" s="74"/>
      <c r="AR8649" s="77"/>
      <c r="AT8649" s="497">
        <v>30.02</v>
      </c>
      <c r="AV8649" s="42"/>
      <c r="AW8649" s="74"/>
      <c r="AX8649" s="77"/>
      <c r="BA8649" s="497">
        <v>17.78</v>
      </c>
      <c r="BB8649" s="42"/>
      <c r="BC8649" s="74"/>
      <c r="BD8649" s="77"/>
      <c r="BF8649">
        <v>15.079999999999998</v>
      </c>
      <c r="BH8649" s="42"/>
      <c r="BI8649" s="74"/>
      <c r="BJ8649" s="77"/>
      <c r="BL8649" s="497">
        <v>15.98</v>
      </c>
      <c r="BN8649" s="42"/>
      <c r="BO8649" s="74"/>
      <c r="BP8649" s="77"/>
      <c r="BR8649" s="497">
        <v>28.94</v>
      </c>
      <c r="BT8649" s="42"/>
    </row>
    <row r="8650" spans="1:72" x14ac:dyDescent="0.25">
      <c r="A8650" s="90">
        <v>35790</v>
      </c>
      <c r="B8650" s="20">
        <v>0.66666666666666663</v>
      </c>
      <c r="D8650">
        <v>42.08</v>
      </c>
      <c r="E8650" t="str">
        <f t="shared" si="304"/>
        <v>WEEKDAY</v>
      </c>
      <c r="F8650" t="e">
        <f t="shared" si="305"/>
        <v>#N/A</v>
      </c>
      <c r="G8650" s="74">
        <v>28485</v>
      </c>
      <c r="H8650" s="77">
        <v>0.66666666666666663</v>
      </c>
      <c r="J8650">
        <v>26.96</v>
      </c>
      <c r="M8650" s="74">
        <v>36886</v>
      </c>
      <c r="N8650" s="77">
        <v>0.66666666666666663</v>
      </c>
      <c r="P8650">
        <v>26.6</v>
      </c>
      <c r="S8650" s="74">
        <v>35790</v>
      </c>
      <c r="T8650" s="77">
        <v>0.66666666666666663</v>
      </c>
      <c r="V8650">
        <v>46.94</v>
      </c>
      <c r="X8650" s="42"/>
      <c r="AB8650">
        <v>40.6</v>
      </c>
      <c r="AC8650">
        <v>48.2</v>
      </c>
      <c r="AE8650" s="74"/>
      <c r="AF8650" s="77"/>
      <c r="AH8650" s="497">
        <v>24.8</v>
      </c>
      <c r="AJ8650" s="42"/>
      <c r="AK8650" s="74"/>
      <c r="AL8650" s="77"/>
      <c r="AN8650" s="497">
        <v>24.08</v>
      </c>
      <c r="AP8650" s="42"/>
      <c r="AQ8650" s="74"/>
      <c r="AR8650" s="77"/>
      <c r="AT8650" s="497">
        <v>28.94</v>
      </c>
      <c r="AV8650" s="42"/>
      <c r="AW8650" s="74"/>
      <c r="AX8650" s="77"/>
      <c r="BA8650" s="497">
        <v>17.059999999999999</v>
      </c>
      <c r="BB8650" s="42"/>
      <c r="BC8650" s="74"/>
      <c r="BD8650" s="77"/>
      <c r="BF8650">
        <v>15.079999999999998</v>
      </c>
      <c r="BH8650" s="42"/>
      <c r="BI8650" s="74"/>
      <c r="BJ8650" s="77"/>
      <c r="BL8650" s="497">
        <v>15.98</v>
      </c>
      <c r="BN8650" s="42"/>
      <c r="BO8650" s="74"/>
      <c r="BP8650" s="77"/>
      <c r="BR8650" s="497">
        <v>26.96</v>
      </c>
      <c r="BT8650" s="42"/>
    </row>
    <row r="8651" spans="1:72" x14ac:dyDescent="0.25">
      <c r="A8651" s="90">
        <v>35790</v>
      </c>
      <c r="B8651" s="20">
        <v>0.70833333333333337</v>
      </c>
      <c r="D8651">
        <v>42.08</v>
      </c>
      <c r="E8651" t="str">
        <f t="shared" si="304"/>
        <v>WEEKDAY</v>
      </c>
      <c r="F8651" t="e">
        <f t="shared" si="305"/>
        <v>#N/A</v>
      </c>
      <c r="G8651" s="74">
        <v>28485</v>
      </c>
      <c r="H8651" s="77">
        <v>0.70833333333333337</v>
      </c>
      <c r="J8651">
        <v>24.98</v>
      </c>
      <c r="M8651" s="74">
        <v>36886</v>
      </c>
      <c r="N8651" s="77">
        <v>0.70833333333333337</v>
      </c>
      <c r="P8651">
        <v>26.6</v>
      </c>
      <c r="S8651" s="74">
        <v>35790</v>
      </c>
      <c r="T8651" s="77">
        <v>0.70833333333333337</v>
      </c>
      <c r="V8651">
        <v>44.96</v>
      </c>
      <c r="X8651" s="42"/>
      <c r="AB8651">
        <v>39.9</v>
      </c>
      <c r="AC8651">
        <v>46.4</v>
      </c>
      <c r="AE8651" s="74"/>
      <c r="AF8651" s="77"/>
      <c r="AH8651" s="497">
        <v>24.8</v>
      </c>
      <c r="AJ8651" s="42"/>
      <c r="AK8651" s="74"/>
      <c r="AL8651" s="77"/>
      <c r="AN8651" s="497">
        <v>23</v>
      </c>
      <c r="AP8651" s="42"/>
      <c r="AQ8651" s="74"/>
      <c r="AR8651" s="77"/>
      <c r="AT8651" s="497">
        <v>26.24</v>
      </c>
      <c r="AV8651" s="42"/>
      <c r="AW8651" s="74"/>
      <c r="AX8651" s="77"/>
      <c r="BA8651" s="497">
        <v>16.340000000000003</v>
      </c>
      <c r="BB8651" s="42"/>
      <c r="BC8651" s="74"/>
      <c r="BD8651" s="77"/>
      <c r="BF8651">
        <v>14</v>
      </c>
      <c r="BH8651" s="42"/>
      <c r="BI8651" s="74"/>
      <c r="BJ8651" s="77"/>
      <c r="BL8651" s="497">
        <v>15.079999999999998</v>
      </c>
      <c r="BN8651" s="42"/>
      <c r="BO8651" s="74"/>
      <c r="BP8651" s="77"/>
      <c r="BR8651" s="497">
        <v>24.98</v>
      </c>
      <c r="BT8651" s="42"/>
    </row>
    <row r="8652" spans="1:72" x14ac:dyDescent="0.25">
      <c r="A8652" s="90">
        <v>35790</v>
      </c>
      <c r="B8652" s="20">
        <v>0.75</v>
      </c>
      <c r="D8652">
        <v>42.08</v>
      </c>
      <c r="E8652" t="str">
        <f t="shared" si="304"/>
        <v>WEEKDAY</v>
      </c>
      <c r="F8652" t="e">
        <f t="shared" si="305"/>
        <v>#N/A</v>
      </c>
      <c r="G8652" s="74">
        <v>28485</v>
      </c>
      <c r="H8652" s="77">
        <v>0.75</v>
      </c>
      <c r="J8652">
        <v>24.08</v>
      </c>
      <c r="M8652" s="74">
        <v>36886</v>
      </c>
      <c r="N8652" s="77">
        <v>0.75</v>
      </c>
      <c r="P8652">
        <v>24.8</v>
      </c>
      <c r="S8652" s="74">
        <v>35790</v>
      </c>
      <c r="T8652" s="77">
        <v>0.75</v>
      </c>
      <c r="V8652">
        <v>44.06</v>
      </c>
      <c r="X8652" s="42"/>
      <c r="AB8652">
        <v>38.799999999999997</v>
      </c>
      <c r="AC8652">
        <v>42.8</v>
      </c>
      <c r="AE8652" s="74"/>
      <c r="AF8652" s="77"/>
      <c r="AH8652" s="497">
        <v>24.8</v>
      </c>
      <c r="AJ8652" s="42"/>
      <c r="AK8652" s="74"/>
      <c r="AL8652" s="77"/>
      <c r="AN8652" s="497">
        <v>23</v>
      </c>
      <c r="AP8652" s="42"/>
      <c r="AQ8652" s="74"/>
      <c r="AR8652" s="77"/>
      <c r="AT8652" s="497">
        <v>23.72</v>
      </c>
      <c r="AV8652" s="42"/>
      <c r="AW8652" s="74"/>
      <c r="AX8652" s="77"/>
      <c r="BA8652" s="497">
        <v>15.8</v>
      </c>
      <c r="BB8652" s="42"/>
      <c r="BC8652" s="74"/>
      <c r="BD8652" s="77"/>
      <c r="BF8652">
        <v>14</v>
      </c>
      <c r="BH8652" s="42"/>
      <c r="BI8652" s="74"/>
      <c r="BJ8652" s="77"/>
      <c r="BL8652" s="497">
        <v>14</v>
      </c>
      <c r="BN8652" s="42"/>
      <c r="BO8652" s="74"/>
      <c r="BP8652" s="77"/>
      <c r="BR8652" s="497">
        <v>23</v>
      </c>
      <c r="BT8652" s="42"/>
    </row>
    <row r="8653" spans="1:72" x14ac:dyDescent="0.25">
      <c r="A8653" s="90">
        <v>35790</v>
      </c>
      <c r="B8653" s="20">
        <v>0.79166666666666663</v>
      </c>
      <c r="D8653">
        <v>42.08</v>
      </c>
      <c r="E8653" t="str">
        <f t="shared" si="304"/>
        <v>WEEKDAY</v>
      </c>
      <c r="F8653" t="e">
        <f t="shared" si="305"/>
        <v>#N/A</v>
      </c>
      <c r="G8653" s="74">
        <v>28485</v>
      </c>
      <c r="H8653" s="77">
        <v>0.79166666666666663</v>
      </c>
      <c r="J8653">
        <v>23</v>
      </c>
      <c r="M8653" s="74">
        <v>36886</v>
      </c>
      <c r="N8653" s="77">
        <v>0.79166666666666663</v>
      </c>
      <c r="P8653">
        <v>24.8</v>
      </c>
      <c r="S8653" s="74">
        <v>35790</v>
      </c>
      <c r="T8653" s="77">
        <v>0.79166666666666663</v>
      </c>
      <c r="V8653">
        <v>44.96</v>
      </c>
      <c r="X8653" s="42"/>
      <c r="AB8653">
        <v>38.299999999999997</v>
      </c>
      <c r="AC8653">
        <v>41</v>
      </c>
      <c r="AE8653" s="74"/>
      <c r="AF8653" s="77"/>
      <c r="AH8653" s="497">
        <v>24.8</v>
      </c>
      <c r="AJ8653" s="42"/>
      <c r="AK8653" s="74"/>
      <c r="AL8653" s="77"/>
      <c r="AN8653" s="497">
        <v>23</v>
      </c>
      <c r="AP8653" s="42"/>
      <c r="AQ8653" s="74"/>
      <c r="AR8653" s="77"/>
      <c r="AT8653" s="497">
        <v>21.02</v>
      </c>
      <c r="AV8653" s="42"/>
      <c r="AW8653" s="74"/>
      <c r="AX8653" s="77"/>
      <c r="BA8653" s="497">
        <v>15.079999999999998</v>
      </c>
      <c r="BB8653" s="42"/>
      <c r="BC8653" s="74"/>
      <c r="BD8653" s="77"/>
      <c r="BF8653">
        <v>14</v>
      </c>
      <c r="BH8653" s="42"/>
      <c r="BI8653" s="74"/>
      <c r="BJ8653" s="77"/>
      <c r="BL8653" s="497">
        <v>14</v>
      </c>
      <c r="BN8653" s="42"/>
      <c r="BO8653" s="74"/>
      <c r="BP8653" s="77"/>
      <c r="BR8653" s="497">
        <v>21.92</v>
      </c>
      <c r="BT8653" s="42"/>
    </row>
    <row r="8654" spans="1:72" x14ac:dyDescent="0.25">
      <c r="A8654" s="90">
        <v>35790</v>
      </c>
      <c r="B8654" s="20">
        <v>0.83333333333333337</v>
      </c>
      <c r="D8654">
        <v>42.08</v>
      </c>
      <c r="E8654" t="str">
        <f t="shared" si="304"/>
        <v>WEEKDAY</v>
      </c>
      <c r="F8654" t="e">
        <f t="shared" si="305"/>
        <v>#N/A</v>
      </c>
      <c r="G8654" s="74">
        <v>28485</v>
      </c>
      <c r="H8654" s="77">
        <v>0.83333333333333337</v>
      </c>
      <c r="J8654">
        <v>21.92</v>
      </c>
      <c r="M8654" s="74">
        <v>36886</v>
      </c>
      <c r="N8654" s="77">
        <v>0.83333333333333337</v>
      </c>
      <c r="P8654">
        <v>24.8</v>
      </c>
      <c r="S8654" s="74">
        <v>35790</v>
      </c>
      <c r="T8654" s="77">
        <v>0.83333333333333337</v>
      </c>
      <c r="V8654">
        <v>44.96</v>
      </c>
      <c r="X8654" s="42"/>
      <c r="AB8654">
        <v>38.1</v>
      </c>
      <c r="AC8654">
        <v>39.200000000000003</v>
      </c>
      <c r="AE8654" s="74"/>
      <c r="AF8654" s="77"/>
      <c r="AH8654" s="497">
        <v>24.8</v>
      </c>
      <c r="AJ8654" s="42"/>
      <c r="AK8654" s="74"/>
      <c r="AL8654" s="77"/>
      <c r="AN8654" s="497">
        <v>23</v>
      </c>
      <c r="AP8654" s="42"/>
      <c r="AQ8654" s="74"/>
      <c r="AR8654" s="77"/>
      <c r="AT8654" s="497">
        <v>20.66</v>
      </c>
      <c r="AV8654" s="42"/>
      <c r="AW8654" s="74"/>
      <c r="AX8654" s="77"/>
      <c r="BA8654" s="497">
        <v>15.079999999999998</v>
      </c>
      <c r="BB8654" s="42"/>
      <c r="BC8654" s="74"/>
      <c r="BD8654" s="77"/>
      <c r="BF8654">
        <v>14</v>
      </c>
      <c r="BH8654" s="42"/>
      <c r="BI8654" s="74"/>
      <c r="BJ8654" s="77"/>
      <c r="BL8654" s="497">
        <v>14</v>
      </c>
      <c r="BN8654" s="42"/>
      <c r="BO8654" s="74"/>
      <c r="BP8654" s="77"/>
      <c r="BR8654" s="497">
        <v>26.060000000000002</v>
      </c>
      <c r="BT8654" s="42"/>
    </row>
    <row r="8655" spans="1:72" x14ac:dyDescent="0.25">
      <c r="A8655" s="90">
        <v>35790</v>
      </c>
      <c r="B8655" s="20">
        <v>0.875</v>
      </c>
      <c r="D8655">
        <v>42.08</v>
      </c>
      <c r="E8655" t="str">
        <f t="shared" si="304"/>
        <v>WEEKDAY</v>
      </c>
      <c r="F8655" t="e">
        <f t="shared" si="305"/>
        <v>#N/A</v>
      </c>
      <c r="G8655" s="74">
        <v>28485</v>
      </c>
      <c r="H8655" s="77">
        <v>0.875</v>
      </c>
      <c r="J8655">
        <v>21.02</v>
      </c>
      <c r="M8655" s="74">
        <v>36886</v>
      </c>
      <c r="N8655" s="77">
        <v>0.875</v>
      </c>
      <c r="P8655">
        <v>24.8</v>
      </c>
      <c r="S8655" s="74">
        <v>35790</v>
      </c>
      <c r="T8655" s="77">
        <v>0.875</v>
      </c>
      <c r="V8655">
        <v>44.06</v>
      </c>
      <c r="X8655" s="42"/>
      <c r="AB8655">
        <v>37.5</v>
      </c>
      <c r="AC8655">
        <v>37.4</v>
      </c>
      <c r="AE8655" s="74"/>
      <c r="AF8655" s="77"/>
      <c r="AH8655" s="497">
        <v>23</v>
      </c>
      <c r="AJ8655" s="42"/>
      <c r="AK8655" s="74"/>
      <c r="AL8655" s="77"/>
      <c r="AN8655" s="497">
        <v>23</v>
      </c>
      <c r="AP8655" s="42"/>
      <c r="AQ8655" s="74"/>
      <c r="AR8655" s="77"/>
      <c r="AT8655" s="497">
        <v>20.299999999999997</v>
      </c>
      <c r="AV8655" s="42"/>
      <c r="AW8655" s="74"/>
      <c r="AX8655" s="77"/>
      <c r="BA8655" s="497">
        <v>15.079999999999998</v>
      </c>
      <c r="BB8655" s="42"/>
      <c r="BC8655" s="74"/>
      <c r="BD8655" s="77"/>
      <c r="BF8655">
        <v>12.02</v>
      </c>
      <c r="BH8655" s="42"/>
      <c r="BI8655" s="74"/>
      <c r="BJ8655" s="77"/>
      <c r="BL8655" s="497">
        <v>12.920000000000002</v>
      </c>
      <c r="BN8655" s="42"/>
      <c r="BO8655" s="74"/>
      <c r="BP8655" s="77"/>
      <c r="BR8655" s="497">
        <v>26.060000000000002</v>
      </c>
      <c r="BT8655" s="42"/>
    </row>
    <row r="8656" spans="1:72" x14ac:dyDescent="0.25">
      <c r="A8656" s="90">
        <v>35790</v>
      </c>
      <c r="B8656" s="20">
        <v>0.91666666666666663</v>
      </c>
      <c r="D8656">
        <v>42.08</v>
      </c>
      <c r="E8656" t="str">
        <f t="shared" si="304"/>
        <v>WEEKDAY</v>
      </c>
      <c r="F8656" t="e">
        <f t="shared" si="305"/>
        <v>#N/A</v>
      </c>
      <c r="G8656" s="74">
        <v>28485</v>
      </c>
      <c r="H8656" s="77">
        <v>0.91666666666666663</v>
      </c>
      <c r="J8656">
        <v>19.939999999999998</v>
      </c>
      <c r="M8656" s="74">
        <v>36886</v>
      </c>
      <c r="N8656" s="77">
        <v>0.91666666666666663</v>
      </c>
      <c r="P8656">
        <v>24.8</v>
      </c>
      <c r="S8656" s="74">
        <v>35790</v>
      </c>
      <c r="T8656" s="77">
        <v>0.91666666666666663</v>
      </c>
      <c r="V8656">
        <v>42.08</v>
      </c>
      <c r="X8656" s="42"/>
      <c r="AB8656">
        <v>36.9</v>
      </c>
      <c r="AC8656">
        <v>37.4</v>
      </c>
      <c r="AE8656" s="74"/>
      <c r="AF8656" s="77"/>
      <c r="AH8656" s="497">
        <v>23</v>
      </c>
      <c r="AJ8656" s="42"/>
      <c r="AK8656" s="74"/>
      <c r="AL8656" s="77"/>
      <c r="AN8656" s="497">
        <v>23</v>
      </c>
      <c r="AP8656" s="42"/>
      <c r="AQ8656" s="74"/>
      <c r="AR8656" s="77"/>
      <c r="AT8656" s="497">
        <v>19.939999999999998</v>
      </c>
      <c r="AV8656" s="42"/>
      <c r="AW8656" s="74"/>
      <c r="AX8656" s="77"/>
      <c r="BA8656" s="497">
        <v>15.079999999999998</v>
      </c>
      <c r="BB8656" s="42"/>
      <c r="BC8656" s="74"/>
      <c r="BD8656" s="77"/>
      <c r="BF8656">
        <v>12.02</v>
      </c>
      <c r="BH8656" s="42"/>
      <c r="BI8656" s="74"/>
      <c r="BJ8656" s="77"/>
      <c r="BL8656" s="497">
        <v>12.920000000000002</v>
      </c>
      <c r="BN8656" s="42"/>
      <c r="BO8656" s="74"/>
      <c r="BP8656" s="77"/>
      <c r="BR8656" s="497">
        <v>26.060000000000002</v>
      </c>
      <c r="BT8656" s="42"/>
    </row>
    <row r="8657" spans="1:72" x14ac:dyDescent="0.25">
      <c r="A8657" s="90">
        <v>35790</v>
      </c>
      <c r="B8657" s="20">
        <v>0.95833333333333337</v>
      </c>
      <c r="D8657">
        <v>41</v>
      </c>
      <c r="E8657" t="str">
        <f t="shared" si="304"/>
        <v>WEEKDAY</v>
      </c>
      <c r="F8657" t="e">
        <f t="shared" si="305"/>
        <v>#N/A</v>
      </c>
      <c r="G8657" s="74">
        <v>28485</v>
      </c>
      <c r="H8657" s="77">
        <v>0.95833333333333337</v>
      </c>
      <c r="J8657">
        <v>19.939999999999998</v>
      </c>
      <c r="M8657" s="74">
        <v>36886</v>
      </c>
      <c r="N8657" s="77">
        <v>0.95833333333333337</v>
      </c>
      <c r="P8657">
        <v>23</v>
      </c>
      <c r="S8657" s="74">
        <v>35790</v>
      </c>
      <c r="T8657" s="77">
        <v>0.95833333333333337</v>
      </c>
      <c r="V8657">
        <v>39.92</v>
      </c>
      <c r="X8657" s="42"/>
      <c r="AB8657">
        <v>36.5</v>
      </c>
      <c r="AC8657">
        <v>39.200000000000003</v>
      </c>
      <c r="AE8657" s="74"/>
      <c r="AF8657" s="77"/>
      <c r="AH8657" s="497">
        <v>23</v>
      </c>
      <c r="AJ8657" s="42"/>
      <c r="AK8657" s="74"/>
      <c r="AL8657" s="77"/>
      <c r="AN8657" s="497">
        <v>23</v>
      </c>
      <c r="AP8657" s="42"/>
      <c r="AQ8657" s="74"/>
      <c r="AR8657" s="77"/>
      <c r="AT8657" s="497">
        <v>21.02</v>
      </c>
      <c r="AV8657" s="42"/>
      <c r="AW8657" s="74"/>
      <c r="AX8657" s="77"/>
      <c r="BA8657" s="497">
        <v>14.719999999999999</v>
      </c>
      <c r="BB8657" s="42"/>
      <c r="BC8657" s="74"/>
      <c r="BD8657" s="77"/>
      <c r="BF8657">
        <v>12.02</v>
      </c>
      <c r="BH8657" s="42"/>
      <c r="BI8657" s="74"/>
      <c r="BJ8657" s="77"/>
      <c r="BL8657" s="497">
        <v>12.920000000000002</v>
      </c>
      <c r="BN8657" s="42"/>
      <c r="BO8657" s="74"/>
      <c r="BP8657" s="77"/>
      <c r="BR8657" s="497">
        <v>24.98</v>
      </c>
      <c r="BT8657" s="42"/>
    </row>
    <row r="8658" spans="1:72" x14ac:dyDescent="0.25">
      <c r="A8658" s="90">
        <v>35790</v>
      </c>
      <c r="B8658" s="20">
        <v>1</v>
      </c>
      <c r="D8658">
        <v>41</v>
      </c>
      <c r="E8658" t="str">
        <f t="shared" si="304"/>
        <v>WEEKDAY</v>
      </c>
      <c r="F8658" t="e">
        <f t="shared" si="305"/>
        <v>#N/A</v>
      </c>
      <c r="G8658" s="74">
        <v>28485</v>
      </c>
      <c r="H8658" s="77">
        <v>1</v>
      </c>
      <c r="J8658">
        <v>19.04</v>
      </c>
      <c r="M8658" s="74">
        <v>36886</v>
      </c>
      <c r="N8658" s="80">
        <v>1</v>
      </c>
      <c r="P8658">
        <v>23</v>
      </c>
      <c r="S8658" s="74">
        <v>35790</v>
      </c>
      <c r="T8658" s="80">
        <v>1</v>
      </c>
      <c r="V8658">
        <v>39.019999999999996</v>
      </c>
      <c r="X8658" s="42"/>
      <c r="AB8658">
        <v>36.1</v>
      </c>
      <c r="AC8658">
        <v>33.799999999999997</v>
      </c>
      <c r="AE8658" s="74"/>
      <c r="AF8658" s="80"/>
      <c r="AH8658" s="497">
        <v>21.2</v>
      </c>
      <c r="AJ8658" s="42"/>
      <c r="AK8658" s="74"/>
      <c r="AL8658" s="80"/>
      <c r="AN8658" s="497">
        <v>23</v>
      </c>
      <c r="AP8658" s="42"/>
      <c r="AQ8658" s="74"/>
      <c r="AR8658" s="80"/>
      <c r="AT8658" s="497">
        <v>21.92</v>
      </c>
      <c r="AV8658" s="42"/>
      <c r="AW8658" s="74"/>
      <c r="AX8658" s="80"/>
      <c r="BA8658" s="497">
        <v>14.36</v>
      </c>
      <c r="BB8658" s="42"/>
      <c r="BC8658" s="74"/>
      <c r="BD8658" s="80"/>
      <c r="BF8658">
        <v>12.02</v>
      </c>
      <c r="BH8658" s="42"/>
      <c r="BI8658" s="74"/>
      <c r="BJ8658" s="80"/>
      <c r="BL8658" s="497">
        <v>14</v>
      </c>
      <c r="BN8658" s="42"/>
      <c r="BO8658" s="74"/>
      <c r="BP8658" s="80"/>
      <c r="BR8658" s="497">
        <v>24.98</v>
      </c>
      <c r="BT8658" s="42"/>
    </row>
    <row r="8659" spans="1:72" x14ac:dyDescent="0.25">
      <c r="A8659" s="90">
        <v>35791</v>
      </c>
      <c r="B8659" s="20">
        <v>4.1666666666666664E-2</v>
      </c>
      <c r="D8659">
        <v>39.92</v>
      </c>
      <c r="E8659" t="str">
        <f t="shared" ref="E8659:E8722" si="306">IF(COUNTIF($DI$18:$DI$22, WEEKDAY(A8659))=1, "WEEKDAY", IF(WEEKDAY(A8659) = 1, "SUNDAY", "SATURDAY"))</f>
        <v>SATURDAY</v>
      </c>
      <c r="F8659" t="e">
        <f t="shared" si="305"/>
        <v>#N/A</v>
      </c>
      <c r="G8659" s="74">
        <v>28486</v>
      </c>
      <c r="H8659" s="77">
        <v>4.1666666666666664E-2</v>
      </c>
      <c r="J8659">
        <v>17.96</v>
      </c>
      <c r="M8659" s="74">
        <v>36887</v>
      </c>
      <c r="N8659" s="77">
        <v>4.1666666666666664E-2</v>
      </c>
      <c r="P8659">
        <v>23</v>
      </c>
      <c r="S8659" s="74">
        <v>35791</v>
      </c>
      <c r="T8659" s="77">
        <v>4.1666666666666664E-2</v>
      </c>
      <c r="V8659">
        <v>39.019999999999996</v>
      </c>
      <c r="X8659" s="42"/>
      <c r="AB8659">
        <v>35.6</v>
      </c>
      <c r="AC8659">
        <v>35.6</v>
      </c>
      <c r="AE8659" s="74"/>
      <c r="AF8659" s="77"/>
      <c r="AH8659" s="497">
        <v>21.2</v>
      </c>
      <c r="AJ8659" s="42"/>
      <c r="AK8659" s="74"/>
      <c r="AL8659" s="77"/>
      <c r="AN8659" s="497">
        <v>23</v>
      </c>
      <c r="AP8659" s="42"/>
      <c r="AQ8659" s="74"/>
      <c r="AR8659" s="77"/>
      <c r="AT8659" s="497">
        <v>23</v>
      </c>
      <c r="AV8659" s="42"/>
      <c r="AW8659" s="74"/>
      <c r="AX8659" s="77"/>
      <c r="BA8659" s="497">
        <v>14</v>
      </c>
      <c r="BB8659" s="42"/>
      <c r="BC8659" s="74"/>
      <c r="BD8659" s="77"/>
      <c r="BF8659">
        <v>10.039999999999999</v>
      </c>
      <c r="BH8659" s="42"/>
      <c r="BI8659" s="74"/>
      <c r="BJ8659" s="77"/>
      <c r="BL8659" s="497">
        <v>14</v>
      </c>
      <c r="BN8659" s="42"/>
      <c r="BO8659" s="74"/>
      <c r="BP8659" s="77"/>
      <c r="BR8659" s="497">
        <v>21.92</v>
      </c>
      <c r="BT8659" s="42"/>
    </row>
    <row r="8660" spans="1:72" x14ac:dyDescent="0.25">
      <c r="A8660" s="90">
        <v>35791</v>
      </c>
      <c r="B8660" s="20">
        <v>8.3333333333333329E-2</v>
      </c>
      <c r="D8660">
        <v>39.019999999999996</v>
      </c>
      <c r="E8660" t="str">
        <f t="shared" si="306"/>
        <v>SATURDAY</v>
      </c>
      <c r="F8660" t="e">
        <f t="shared" si="305"/>
        <v>#N/A</v>
      </c>
      <c r="G8660" s="74">
        <v>28486</v>
      </c>
      <c r="H8660" s="77">
        <v>8.3333333333333329E-2</v>
      </c>
      <c r="J8660">
        <v>17.059999999999999</v>
      </c>
      <c r="M8660" s="74">
        <v>36887</v>
      </c>
      <c r="N8660" s="77">
        <v>8.3333333333333329E-2</v>
      </c>
      <c r="P8660">
        <v>23</v>
      </c>
      <c r="S8660" s="74">
        <v>35791</v>
      </c>
      <c r="T8660" s="77">
        <v>8.3333333333333329E-2</v>
      </c>
      <c r="V8660">
        <v>39.019999999999996</v>
      </c>
      <c r="X8660" s="42"/>
      <c r="AB8660">
        <v>35.1</v>
      </c>
      <c r="AC8660">
        <v>33.799999999999997</v>
      </c>
      <c r="AE8660" s="74"/>
      <c r="AF8660" s="77"/>
      <c r="AH8660" s="497">
        <v>23</v>
      </c>
      <c r="AJ8660" s="42"/>
      <c r="AK8660" s="74"/>
      <c r="AL8660" s="77"/>
      <c r="AN8660" s="497">
        <v>21.92</v>
      </c>
      <c r="AP8660" s="42"/>
      <c r="AQ8660" s="74"/>
      <c r="AR8660" s="77"/>
      <c r="AT8660" s="497">
        <v>23.72</v>
      </c>
      <c r="AV8660" s="42"/>
      <c r="AW8660" s="74"/>
      <c r="AX8660" s="77"/>
      <c r="BA8660" s="497">
        <v>13.64</v>
      </c>
      <c r="BB8660" s="42"/>
      <c r="BC8660" s="74"/>
      <c r="BD8660" s="77"/>
      <c r="BF8660">
        <v>10.940000000000001</v>
      </c>
      <c r="BH8660" s="42"/>
      <c r="BI8660" s="74"/>
      <c r="BJ8660" s="77"/>
      <c r="BL8660" s="497">
        <v>14</v>
      </c>
      <c r="BN8660" s="42"/>
      <c r="BO8660" s="74"/>
      <c r="BP8660" s="77"/>
      <c r="BR8660" s="497">
        <v>21.02</v>
      </c>
      <c r="BT8660" s="42"/>
    </row>
    <row r="8661" spans="1:72" x14ac:dyDescent="0.25">
      <c r="A8661" s="90">
        <v>35791</v>
      </c>
      <c r="B8661" s="20">
        <v>0.125</v>
      </c>
      <c r="D8661">
        <v>39.92</v>
      </c>
      <c r="E8661" t="str">
        <f t="shared" si="306"/>
        <v>SATURDAY</v>
      </c>
      <c r="F8661" t="e">
        <f t="shared" si="305"/>
        <v>#N/A</v>
      </c>
      <c r="G8661" s="74">
        <v>28486</v>
      </c>
      <c r="H8661" s="77">
        <v>0.125</v>
      </c>
      <c r="J8661">
        <v>17.059999999999999</v>
      </c>
      <c r="M8661" s="74">
        <v>36887</v>
      </c>
      <c r="N8661" s="77">
        <v>0.125</v>
      </c>
      <c r="P8661">
        <v>23</v>
      </c>
      <c r="S8661" s="74">
        <v>35791</v>
      </c>
      <c r="T8661" s="77">
        <v>0.125</v>
      </c>
      <c r="V8661">
        <v>39.019999999999996</v>
      </c>
      <c r="X8661" s="42"/>
      <c r="AB8661">
        <v>34.799999999999997</v>
      </c>
      <c r="AC8661">
        <v>33.799999999999997</v>
      </c>
      <c r="AE8661" s="74"/>
      <c r="AF8661" s="77"/>
      <c r="AH8661" s="497">
        <v>21.2</v>
      </c>
      <c r="AJ8661" s="42"/>
      <c r="AK8661" s="74"/>
      <c r="AL8661" s="77"/>
      <c r="AN8661" s="497">
        <v>21.02</v>
      </c>
      <c r="AP8661" s="42"/>
      <c r="AQ8661" s="74"/>
      <c r="AR8661" s="77"/>
      <c r="AT8661" s="497">
        <v>24.259999999999998</v>
      </c>
      <c r="AV8661" s="42"/>
      <c r="AW8661" s="74"/>
      <c r="AX8661" s="77"/>
      <c r="BA8661" s="497">
        <v>13.279999999999998</v>
      </c>
      <c r="BB8661" s="42"/>
      <c r="BC8661" s="74"/>
      <c r="BD8661" s="77"/>
      <c r="BF8661">
        <v>10.940000000000001</v>
      </c>
      <c r="BH8661" s="42"/>
      <c r="BI8661" s="74"/>
      <c r="BJ8661" s="77"/>
      <c r="BL8661" s="497">
        <v>12.920000000000002</v>
      </c>
      <c r="BN8661" s="42"/>
      <c r="BO8661" s="74"/>
      <c r="BP8661" s="77"/>
      <c r="BR8661" s="497">
        <v>19.939999999999998</v>
      </c>
      <c r="BT8661" s="42"/>
    </row>
    <row r="8662" spans="1:72" x14ac:dyDescent="0.25">
      <c r="A8662" s="90">
        <v>35791</v>
      </c>
      <c r="B8662" s="20">
        <v>0.16666666666666666</v>
      </c>
      <c r="D8662">
        <v>39.92</v>
      </c>
      <c r="E8662" t="str">
        <f t="shared" si="306"/>
        <v>SATURDAY</v>
      </c>
      <c r="F8662" t="e">
        <f t="shared" si="305"/>
        <v>#N/A</v>
      </c>
      <c r="G8662" s="74">
        <v>28486</v>
      </c>
      <c r="H8662" s="77">
        <v>0.16666666666666666</v>
      </c>
      <c r="J8662">
        <v>17.059999999999999</v>
      </c>
      <c r="M8662" s="74">
        <v>36887</v>
      </c>
      <c r="N8662" s="77">
        <v>0.16666666666666666</v>
      </c>
      <c r="P8662">
        <v>23</v>
      </c>
      <c r="S8662" s="74">
        <v>35791</v>
      </c>
      <c r="T8662" s="77">
        <v>0.16666666666666666</v>
      </c>
      <c r="V8662">
        <v>37.94</v>
      </c>
      <c r="X8662" s="42"/>
      <c r="AB8662">
        <v>34.6</v>
      </c>
      <c r="AC8662">
        <v>32</v>
      </c>
      <c r="AE8662" s="74"/>
      <c r="AF8662" s="77"/>
      <c r="AH8662" s="497">
        <v>21.2</v>
      </c>
      <c r="AJ8662" s="42"/>
      <c r="AK8662" s="74"/>
      <c r="AL8662" s="77"/>
      <c r="AN8662" s="497">
        <v>21.02</v>
      </c>
      <c r="AP8662" s="42"/>
      <c r="AQ8662" s="74"/>
      <c r="AR8662" s="77"/>
      <c r="AT8662" s="497">
        <v>24.98</v>
      </c>
      <c r="AV8662" s="42"/>
      <c r="AW8662" s="74"/>
      <c r="AX8662" s="77"/>
      <c r="BA8662" s="497">
        <v>12.920000000000002</v>
      </c>
      <c r="BB8662" s="42"/>
      <c r="BC8662" s="74"/>
      <c r="BD8662" s="77"/>
      <c r="BF8662">
        <v>10.940000000000001</v>
      </c>
      <c r="BH8662" s="42"/>
      <c r="BI8662" s="74"/>
      <c r="BJ8662" s="77"/>
      <c r="BL8662" s="497">
        <v>14</v>
      </c>
      <c r="BN8662" s="42"/>
      <c r="BO8662" s="74"/>
      <c r="BP8662" s="77"/>
      <c r="BR8662" s="497">
        <v>19.939999999999998</v>
      </c>
      <c r="BT8662" s="42"/>
    </row>
    <row r="8663" spans="1:72" x14ac:dyDescent="0.25">
      <c r="A8663" s="90">
        <v>35791</v>
      </c>
      <c r="B8663" s="20">
        <v>0.20833333333333334</v>
      </c>
      <c r="D8663">
        <v>39.92</v>
      </c>
      <c r="E8663" t="str">
        <f t="shared" si="306"/>
        <v>SATURDAY</v>
      </c>
      <c r="F8663" t="e">
        <f t="shared" si="305"/>
        <v>#N/A</v>
      </c>
      <c r="G8663" s="74">
        <v>28486</v>
      </c>
      <c r="H8663" s="77">
        <v>0.20833333333333334</v>
      </c>
      <c r="J8663">
        <v>15.98</v>
      </c>
      <c r="M8663" s="74">
        <v>36887</v>
      </c>
      <c r="N8663" s="77">
        <v>0.20833333333333334</v>
      </c>
      <c r="P8663">
        <v>23</v>
      </c>
      <c r="S8663" s="74">
        <v>35791</v>
      </c>
      <c r="T8663" s="77">
        <v>0.20833333333333334</v>
      </c>
      <c r="V8663">
        <v>39.019999999999996</v>
      </c>
      <c r="X8663" s="42"/>
      <c r="AB8663">
        <v>34.4</v>
      </c>
      <c r="AC8663">
        <v>32</v>
      </c>
      <c r="AE8663" s="74"/>
      <c r="AF8663" s="77"/>
      <c r="AH8663" s="497">
        <v>21.2</v>
      </c>
      <c r="AJ8663" s="42"/>
      <c r="AK8663" s="74"/>
      <c r="AL8663" s="77"/>
      <c r="AN8663" s="497">
        <v>21.02</v>
      </c>
      <c r="AP8663" s="42"/>
      <c r="AQ8663" s="74"/>
      <c r="AR8663" s="77"/>
      <c r="AT8663" s="497">
        <v>25.34</v>
      </c>
      <c r="AV8663" s="42"/>
      <c r="AW8663" s="74"/>
      <c r="AX8663" s="77"/>
      <c r="BA8663" s="497">
        <v>12.920000000000002</v>
      </c>
      <c r="BB8663" s="42"/>
      <c r="BC8663" s="74"/>
      <c r="BD8663" s="77"/>
      <c r="BF8663">
        <v>10.940000000000001</v>
      </c>
      <c r="BH8663" s="42"/>
      <c r="BI8663" s="74"/>
      <c r="BJ8663" s="77"/>
      <c r="BL8663" s="497">
        <v>14</v>
      </c>
      <c r="BN8663" s="42"/>
      <c r="BO8663" s="74"/>
      <c r="BP8663" s="77"/>
      <c r="BR8663" s="497">
        <v>19.04</v>
      </c>
      <c r="BT8663" s="42"/>
    </row>
    <row r="8664" spans="1:72" x14ac:dyDescent="0.25">
      <c r="A8664" s="90">
        <v>35791</v>
      </c>
      <c r="B8664" s="20">
        <v>0.25</v>
      </c>
      <c r="D8664">
        <v>39.92</v>
      </c>
      <c r="E8664" t="str">
        <f t="shared" si="306"/>
        <v>SATURDAY</v>
      </c>
      <c r="F8664" t="e">
        <f t="shared" si="305"/>
        <v>#N/A</v>
      </c>
      <c r="G8664" s="74">
        <v>28486</v>
      </c>
      <c r="H8664" s="77">
        <v>0.25</v>
      </c>
      <c r="J8664">
        <v>15.079999999999998</v>
      </c>
      <c r="M8664" s="74">
        <v>36887</v>
      </c>
      <c r="N8664" s="77">
        <v>0.25</v>
      </c>
      <c r="P8664">
        <v>23</v>
      </c>
      <c r="S8664" s="74">
        <v>35791</v>
      </c>
      <c r="T8664" s="77">
        <v>0.25</v>
      </c>
      <c r="V8664">
        <v>39.019999999999996</v>
      </c>
      <c r="X8664" s="42"/>
      <c r="AB8664">
        <v>34.200000000000003</v>
      </c>
      <c r="AC8664">
        <v>32</v>
      </c>
      <c r="AE8664" s="74"/>
      <c r="AF8664" s="77"/>
      <c r="AH8664" s="497">
        <v>21.2</v>
      </c>
      <c r="AJ8664" s="42"/>
      <c r="AK8664" s="74"/>
      <c r="AL8664" s="77"/>
      <c r="AN8664" s="497">
        <v>21.92</v>
      </c>
      <c r="AP8664" s="42"/>
      <c r="AQ8664" s="74"/>
      <c r="AR8664" s="77"/>
      <c r="AT8664" s="497">
        <v>25.7</v>
      </c>
      <c r="AV8664" s="42"/>
      <c r="AW8664" s="74"/>
      <c r="AX8664" s="77"/>
      <c r="BA8664" s="497">
        <v>12.920000000000002</v>
      </c>
      <c r="BB8664" s="42"/>
      <c r="BC8664" s="74"/>
      <c r="BD8664" s="77"/>
      <c r="BF8664">
        <v>12.02</v>
      </c>
      <c r="BH8664" s="42"/>
      <c r="BI8664" s="74"/>
      <c r="BJ8664" s="77"/>
      <c r="BL8664" s="497">
        <v>14</v>
      </c>
      <c r="BN8664" s="42"/>
      <c r="BO8664" s="74"/>
      <c r="BP8664" s="77"/>
      <c r="BR8664" s="497">
        <v>17.96</v>
      </c>
      <c r="BT8664" s="42"/>
    </row>
    <row r="8665" spans="1:72" x14ac:dyDescent="0.25">
      <c r="A8665" s="90">
        <v>35791</v>
      </c>
      <c r="B8665" s="20">
        <v>0.29166666666666669</v>
      </c>
      <c r="D8665">
        <v>39.92</v>
      </c>
      <c r="E8665" t="str">
        <f t="shared" si="306"/>
        <v>SATURDAY</v>
      </c>
      <c r="F8665" t="e">
        <f t="shared" si="305"/>
        <v>#N/A</v>
      </c>
      <c r="G8665" s="74">
        <v>28486</v>
      </c>
      <c r="H8665" s="77">
        <v>0.29166666666666669</v>
      </c>
      <c r="J8665">
        <v>15.079999999999998</v>
      </c>
      <c r="M8665" s="74">
        <v>36887</v>
      </c>
      <c r="N8665" s="77">
        <v>0.29166666666666669</v>
      </c>
      <c r="P8665">
        <v>23</v>
      </c>
      <c r="S8665" s="74">
        <v>35791</v>
      </c>
      <c r="T8665" s="77">
        <v>0.29166666666666669</v>
      </c>
      <c r="V8665">
        <v>39.92</v>
      </c>
      <c r="X8665" s="42"/>
      <c r="AB8665">
        <v>34.299999999999997</v>
      </c>
      <c r="AC8665">
        <v>33.799999999999997</v>
      </c>
      <c r="AE8665" s="74"/>
      <c r="AF8665" s="77"/>
      <c r="AH8665" s="497">
        <v>19.399999999999999</v>
      </c>
      <c r="AJ8665" s="42"/>
      <c r="AK8665" s="74"/>
      <c r="AL8665" s="77"/>
      <c r="AN8665" s="497">
        <v>21.92</v>
      </c>
      <c r="AP8665" s="42"/>
      <c r="AQ8665" s="74"/>
      <c r="AR8665" s="77"/>
      <c r="AT8665" s="497">
        <v>26.060000000000002</v>
      </c>
      <c r="AV8665" s="42"/>
      <c r="AW8665" s="74"/>
      <c r="AX8665" s="77"/>
      <c r="BA8665" s="497">
        <v>12.920000000000002</v>
      </c>
      <c r="BB8665" s="42"/>
      <c r="BC8665" s="74"/>
      <c r="BD8665" s="77"/>
      <c r="BF8665">
        <v>12.02</v>
      </c>
      <c r="BH8665" s="42"/>
      <c r="BI8665" s="74"/>
      <c r="BJ8665" s="77"/>
      <c r="BL8665" s="497">
        <v>14</v>
      </c>
      <c r="BN8665" s="42"/>
      <c r="BO8665" s="74"/>
      <c r="BP8665" s="77"/>
      <c r="BR8665" s="497">
        <v>17.059999999999999</v>
      </c>
      <c r="BT8665" s="42"/>
    </row>
    <row r="8666" spans="1:72" x14ac:dyDescent="0.25">
      <c r="A8666" s="90">
        <v>35791</v>
      </c>
      <c r="B8666" s="20">
        <v>0.33333333333333331</v>
      </c>
      <c r="D8666">
        <v>39.92</v>
      </c>
      <c r="E8666" t="str">
        <f t="shared" si="306"/>
        <v>SATURDAY</v>
      </c>
      <c r="F8666" t="e">
        <f t="shared" si="305"/>
        <v>#N/A</v>
      </c>
      <c r="G8666" s="74">
        <v>28486</v>
      </c>
      <c r="H8666" s="77">
        <v>0.33333333333333331</v>
      </c>
      <c r="J8666">
        <v>15.079999999999998</v>
      </c>
      <c r="M8666" s="74">
        <v>36887</v>
      </c>
      <c r="N8666" s="77">
        <v>0.33333333333333331</v>
      </c>
      <c r="P8666">
        <v>24.8</v>
      </c>
      <c r="S8666" s="74">
        <v>35791</v>
      </c>
      <c r="T8666" s="77">
        <v>0.33333333333333331</v>
      </c>
      <c r="V8666">
        <v>39.019999999999996</v>
      </c>
      <c r="X8666" s="42"/>
      <c r="AB8666">
        <v>34.299999999999997</v>
      </c>
      <c r="AC8666">
        <v>35.6</v>
      </c>
      <c r="AE8666" s="74"/>
      <c r="AF8666" s="77"/>
      <c r="AH8666" s="497">
        <v>19.399999999999999</v>
      </c>
      <c r="AJ8666" s="42"/>
      <c r="AK8666" s="74"/>
      <c r="AL8666" s="77"/>
      <c r="AN8666" s="497">
        <v>21.92</v>
      </c>
      <c r="AP8666" s="42"/>
      <c r="AQ8666" s="74"/>
      <c r="AR8666" s="77"/>
      <c r="AT8666" s="497">
        <v>26.42</v>
      </c>
      <c r="AV8666" s="42"/>
      <c r="AW8666" s="74"/>
      <c r="AX8666" s="77"/>
      <c r="BA8666" s="497">
        <v>14.36</v>
      </c>
      <c r="BB8666" s="42"/>
      <c r="BC8666" s="74"/>
      <c r="BD8666" s="77"/>
      <c r="BF8666">
        <v>12.920000000000002</v>
      </c>
      <c r="BH8666" s="42"/>
      <c r="BI8666" s="74"/>
      <c r="BJ8666" s="77"/>
      <c r="BL8666" s="497">
        <v>14</v>
      </c>
      <c r="BN8666" s="42"/>
      <c r="BO8666" s="74"/>
      <c r="BP8666" s="77"/>
      <c r="BR8666" s="497">
        <v>17.059999999999999</v>
      </c>
      <c r="BT8666" s="42"/>
    </row>
    <row r="8667" spans="1:72" x14ac:dyDescent="0.25">
      <c r="A8667" s="90">
        <v>35791</v>
      </c>
      <c r="B8667" s="20">
        <v>0.375</v>
      </c>
      <c r="D8667">
        <v>41</v>
      </c>
      <c r="E8667" t="str">
        <f t="shared" si="306"/>
        <v>SATURDAY</v>
      </c>
      <c r="F8667" t="e">
        <f t="shared" si="305"/>
        <v>#N/A</v>
      </c>
      <c r="G8667" s="74">
        <v>28486</v>
      </c>
      <c r="H8667" s="77">
        <v>0.375</v>
      </c>
      <c r="J8667">
        <v>17.96</v>
      </c>
      <c r="M8667" s="74">
        <v>36887</v>
      </c>
      <c r="N8667" s="77">
        <v>0.375</v>
      </c>
      <c r="P8667">
        <v>26.6</v>
      </c>
      <c r="S8667" s="74">
        <v>35791</v>
      </c>
      <c r="T8667" s="77">
        <v>0.375</v>
      </c>
      <c r="V8667">
        <v>35.96</v>
      </c>
      <c r="X8667" s="42"/>
      <c r="AB8667">
        <v>34.700000000000003</v>
      </c>
      <c r="AC8667">
        <v>37.4</v>
      </c>
      <c r="AE8667" s="74"/>
      <c r="AF8667" s="77"/>
      <c r="AH8667" s="497">
        <v>19.399999999999999</v>
      </c>
      <c r="AJ8667" s="42"/>
      <c r="AK8667" s="74"/>
      <c r="AL8667" s="77"/>
      <c r="AN8667" s="497">
        <v>21.92</v>
      </c>
      <c r="AP8667" s="42"/>
      <c r="AQ8667" s="74"/>
      <c r="AR8667" s="77"/>
      <c r="AT8667" s="497">
        <v>26.6</v>
      </c>
      <c r="AV8667" s="42"/>
      <c r="AW8667" s="74"/>
      <c r="AX8667" s="77"/>
      <c r="BA8667" s="497">
        <v>15.620000000000001</v>
      </c>
      <c r="BB8667" s="42"/>
      <c r="BC8667" s="74"/>
      <c r="BD8667" s="77"/>
      <c r="BF8667">
        <v>12.920000000000002</v>
      </c>
      <c r="BH8667" s="42"/>
      <c r="BI8667" s="74"/>
      <c r="BJ8667" s="77"/>
      <c r="BL8667" s="497">
        <v>15.079999999999998</v>
      </c>
      <c r="BN8667" s="42"/>
      <c r="BO8667" s="74"/>
      <c r="BP8667" s="77"/>
      <c r="BR8667" s="497">
        <v>17.96</v>
      </c>
      <c r="BT8667" s="42"/>
    </row>
    <row r="8668" spans="1:72" x14ac:dyDescent="0.25">
      <c r="A8668" s="90">
        <v>35791</v>
      </c>
      <c r="B8668" s="20">
        <v>0.41666666666666669</v>
      </c>
      <c r="D8668">
        <v>42.980000000000004</v>
      </c>
      <c r="E8668" t="str">
        <f t="shared" si="306"/>
        <v>SATURDAY</v>
      </c>
      <c r="F8668" t="e">
        <f t="shared" si="305"/>
        <v>#N/A</v>
      </c>
      <c r="G8668" s="74">
        <v>28486</v>
      </c>
      <c r="H8668" s="77">
        <v>0.41666666666666669</v>
      </c>
      <c r="J8668">
        <v>19.939999999999998</v>
      </c>
      <c r="M8668" s="74">
        <v>36887</v>
      </c>
      <c r="N8668" s="77">
        <v>0.41666666666666669</v>
      </c>
      <c r="P8668">
        <v>26.6</v>
      </c>
      <c r="S8668" s="74">
        <v>35791</v>
      </c>
      <c r="T8668" s="77">
        <v>0.41666666666666669</v>
      </c>
      <c r="V8668">
        <v>35.06</v>
      </c>
      <c r="X8668" s="42"/>
      <c r="AB8668">
        <v>36.1</v>
      </c>
      <c r="AC8668">
        <v>37.4</v>
      </c>
      <c r="AE8668" s="74"/>
      <c r="AF8668" s="77"/>
      <c r="AH8668" s="497">
        <v>17.600000000000001</v>
      </c>
      <c r="AJ8668" s="42"/>
      <c r="AK8668" s="74"/>
      <c r="AL8668" s="77"/>
      <c r="AN8668" s="497">
        <v>23</v>
      </c>
      <c r="AP8668" s="42"/>
      <c r="AQ8668" s="74"/>
      <c r="AR8668" s="77"/>
      <c r="AT8668" s="497">
        <v>26.96</v>
      </c>
      <c r="AV8668" s="42"/>
      <c r="AW8668" s="74"/>
      <c r="AX8668" s="77"/>
      <c r="BA8668" s="497">
        <v>17.059999999999999</v>
      </c>
      <c r="BB8668" s="42"/>
      <c r="BC8668" s="74"/>
      <c r="BD8668" s="77"/>
      <c r="BF8668">
        <v>12.920000000000002</v>
      </c>
      <c r="BH8668" s="42"/>
      <c r="BI8668" s="74"/>
      <c r="BJ8668" s="77"/>
      <c r="BL8668" s="497">
        <v>17.059999999999999</v>
      </c>
      <c r="BN8668" s="42"/>
      <c r="BO8668" s="74"/>
      <c r="BP8668" s="77"/>
      <c r="BR8668" s="497">
        <v>15.079999999999998</v>
      </c>
      <c r="BT8668" s="42"/>
    </row>
    <row r="8669" spans="1:72" x14ac:dyDescent="0.25">
      <c r="A8669" s="90">
        <v>35791</v>
      </c>
      <c r="B8669" s="20">
        <v>0.45833333333333331</v>
      </c>
      <c r="D8669">
        <v>46.04</v>
      </c>
      <c r="E8669" t="str">
        <f t="shared" si="306"/>
        <v>SATURDAY</v>
      </c>
      <c r="F8669" t="e">
        <f t="shared" si="305"/>
        <v>#N/A</v>
      </c>
      <c r="G8669" s="74">
        <v>28486</v>
      </c>
      <c r="H8669" s="77">
        <v>0.45833333333333331</v>
      </c>
      <c r="J8669">
        <v>23</v>
      </c>
      <c r="M8669" s="74">
        <v>36887</v>
      </c>
      <c r="N8669" s="77">
        <v>0.45833333333333331</v>
      </c>
      <c r="P8669">
        <v>28.4</v>
      </c>
      <c r="S8669" s="74">
        <v>35791</v>
      </c>
      <c r="T8669" s="77">
        <v>0.45833333333333331</v>
      </c>
      <c r="V8669">
        <v>35.06</v>
      </c>
      <c r="X8669" s="42"/>
      <c r="AB8669">
        <v>37.5</v>
      </c>
      <c r="AC8669">
        <v>35.6</v>
      </c>
      <c r="AE8669" s="74"/>
      <c r="AF8669" s="77"/>
      <c r="AH8669" s="497">
        <v>19.399999999999999</v>
      </c>
      <c r="AJ8669" s="42"/>
      <c r="AK8669" s="74"/>
      <c r="AL8669" s="77"/>
      <c r="AN8669" s="497">
        <v>24.08</v>
      </c>
      <c r="AP8669" s="42"/>
      <c r="AQ8669" s="74"/>
      <c r="AR8669" s="77"/>
      <c r="AT8669" s="497">
        <v>27.68</v>
      </c>
      <c r="AV8669" s="42"/>
      <c r="AW8669" s="74"/>
      <c r="AX8669" s="77"/>
      <c r="BA8669" s="497">
        <v>18.32</v>
      </c>
      <c r="BB8669" s="42"/>
      <c r="BC8669" s="74"/>
      <c r="BD8669" s="77"/>
      <c r="BF8669">
        <v>15.079999999999998</v>
      </c>
      <c r="BH8669" s="42"/>
      <c r="BI8669" s="74"/>
      <c r="BJ8669" s="77"/>
      <c r="BL8669" s="497">
        <v>19.04</v>
      </c>
      <c r="BN8669" s="42"/>
      <c r="BO8669" s="74"/>
      <c r="BP8669" s="77"/>
      <c r="BR8669" s="497">
        <v>15.079999999999998</v>
      </c>
      <c r="BT8669" s="42"/>
    </row>
    <row r="8670" spans="1:72" x14ac:dyDescent="0.25">
      <c r="A8670" s="90">
        <v>35791</v>
      </c>
      <c r="B8670" s="20">
        <v>0.5</v>
      </c>
      <c r="D8670">
        <v>48.019999999999996</v>
      </c>
      <c r="E8670" t="str">
        <f t="shared" si="306"/>
        <v>SATURDAY</v>
      </c>
      <c r="F8670" t="e">
        <f t="shared" si="305"/>
        <v>#N/A</v>
      </c>
      <c r="G8670" s="74">
        <v>28486</v>
      </c>
      <c r="H8670" s="77">
        <v>0.5</v>
      </c>
      <c r="J8670">
        <v>24.08</v>
      </c>
      <c r="M8670" s="74">
        <v>36887</v>
      </c>
      <c r="N8670" s="77">
        <v>0.5</v>
      </c>
      <c r="P8670">
        <v>30.2</v>
      </c>
      <c r="S8670" s="74">
        <v>35791</v>
      </c>
      <c r="T8670" s="77">
        <v>0.5</v>
      </c>
      <c r="V8670">
        <v>35.06</v>
      </c>
      <c r="X8670" s="42"/>
      <c r="AB8670">
        <v>38.700000000000003</v>
      </c>
      <c r="AC8670">
        <v>35.6</v>
      </c>
      <c r="AE8670" s="74"/>
      <c r="AF8670" s="77"/>
      <c r="AH8670" s="497">
        <v>21.2</v>
      </c>
      <c r="AJ8670" s="42"/>
      <c r="AK8670" s="74"/>
      <c r="AL8670" s="77"/>
      <c r="AN8670" s="497">
        <v>24.08</v>
      </c>
      <c r="AP8670" s="42"/>
      <c r="AQ8670" s="74"/>
      <c r="AR8670" s="77"/>
      <c r="AT8670" s="497">
        <v>28.22</v>
      </c>
      <c r="AV8670" s="42"/>
      <c r="AW8670" s="74"/>
      <c r="AX8670" s="77"/>
      <c r="BA8670" s="497">
        <v>19.759999999999998</v>
      </c>
      <c r="BB8670" s="42"/>
      <c r="BC8670" s="74"/>
      <c r="BD8670" s="77"/>
      <c r="BF8670">
        <v>15.98</v>
      </c>
      <c r="BH8670" s="42"/>
      <c r="BI8670" s="74"/>
      <c r="BJ8670" s="77"/>
      <c r="BL8670" s="497">
        <v>19.939999999999998</v>
      </c>
      <c r="BN8670" s="42"/>
      <c r="BO8670" s="74"/>
      <c r="BP8670" s="77"/>
      <c r="BR8670" s="497">
        <v>17.059999999999999</v>
      </c>
      <c r="BT8670" s="42"/>
    </row>
    <row r="8671" spans="1:72" x14ac:dyDescent="0.25">
      <c r="A8671" s="90">
        <v>35791</v>
      </c>
      <c r="B8671" s="20">
        <v>0.54166666666666663</v>
      </c>
      <c r="D8671">
        <v>50</v>
      </c>
      <c r="E8671" t="str">
        <f t="shared" si="306"/>
        <v>SATURDAY</v>
      </c>
      <c r="F8671" t="e">
        <f t="shared" si="305"/>
        <v>#N/A</v>
      </c>
      <c r="G8671" s="74">
        <v>28486</v>
      </c>
      <c r="H8671" s="77">
        <v>0.54166666666666663</v>
      </c>
      <c r="J8671">
        <v>24.98</v>
      </c>
      <c r="M8671" s="74">
        <v>36887</v>
      </c>
      <c r="N8671" s="77">
        <v>0.54166666666666663</v>
      </c>
      <c r="P8671">
        <v>30.2</v>
      </c>
      <c r="S8671" s="74">
        <v>35791</v>
      </c>
      <c r="T8671" s="77">
        <v>0.54166666666666663</v>
      </c>
      <c r="V8671">
        <v>35.06</v>
      </c>
      <c r="X8671" s="42"/>
      <c r="AB8671">
        <v>39.700000000000003</v>
      </c>
      <c r="AC8671">
        <v>35.6</v>
      </c>
      <c r="AE8671" s="74"/>
      <c r="AF8671" s="77"/>
      <c r="AH8671" s="497">
        <v>21.2</v>
      </c>
      <c r="AJ8671" s="42"/>
      <c r="AK8671" s="74"/>
      <c r="AL8671" s="77"/>
      <c r="AN8671" s="497">
        <v>24.98</v>
      </c>
      <c r="AP8671" s="42"/>
      <c r="AQ8671" s="74"/>
      <c r="AR8671" s="77"/>
      <c r="AT8671" s="497">
        <v>28.94</v>
      </c>
      <c r="AV8671" s="42"/>
      <c r="AW8671" s="74"/>
      <c r="AX8671" s="77"/>
      <c r="BA8671" s="497">
        <v>21.02</v>
      </c>
      <c r="BB8671" s="42"/>
      <c r="BC8671" s="74"/>
      <c r="BD8671" s="77"/>
      <c r="BF8671">
        <v>17.96</v>
      </c>
      <c r="BH8671" s="42"/>
      <c r="BI8671" s="74"/>
      <c r="BJ8671" s="77"/>
      <c r="BL8671" s="497">
        <v>21.02</v>
      </c>
      <c r="BN8671" s="42"/>
      <c r="BO8671" s="74"/>
      <c r="BP8671" s="77"/>
      <c r="BR8671" s="497">
        <v>17.96</v>
      </c>
      <c r="BT8671" s="42"/>
    </row>
    <row r="8672" spans="1:72" x14ac:dyDescent="0.25">
      <c r="A8672" s="90">
        <v>35791</v>
      </c>
      <c r="B8672" s="20">
        <v>0.58333333333333337</v>
      </c>
      <c r="D8672">
        <v>51.08</v>
      </c>
      <c r="E8672" t="str">
        <f t="shared" si="306"/>
        <v>SATURDAY</v>
      </c>
      <c r="F8672" t="e">
        <f t="shared" si="305"/>
        <v>#N/A</v>
      </c>
      <c r="G8672" s="74">
        <v>28486</v>
      </c>
      <c r="H8672" s="77">
        <v>0.58333333333333337</v>
      </c>
      <c r="J8672">
        <v>24.98</v>
      </c>
      <c r="M8672" s="74">
        <v>36887</v>
      </c>
      <c r="N8672" s="77">
        <v>0.58333333333333337</v>
      </c>
      <c r="P8672">
        <v>30.2</v>
      </c>
      <c r="S8672" s="74">
        <v>35791</v>
      </c>
      <c r="T8672" s="77">
        <v>0.58333333333333337</v>
      </c>
      <c r="V8672">
        <v>33.979999999999997</v>
      </c>
      <c r="X8672" s="42"/>
      <c r="AB8672">
        <v>40.299999999999997</v>
      </c>
      <c r="AC8672">
        <v>33.799999999999997</v>
      </c>
      <c r="AE8672" s="74"/>
      <c r="AF8672" s="77"/>
      <c r="AH8672" s="497">
        <v>23</v>
      </c>
      <c r="AJ8672" s="42"/>
      <c r="AK8672" s="74"/>
      <c r="AL8672" s="77"/>
      <c r="AN8672" s="497">
        <v>24.08</v>
      </c>
      <c r="AP8672" s="42"/>
      <c r="AQ8672" s="74"/>
      <c r="AR8672" s="77"/>
      <c r="AT8672" s="497">
        <v>28.22</v>
      </c>
      <c r="AV8672" s="42"/>
      <c r="AW8672" s="74"/>
      <c r="AX8672" s="77"/>
      <c r="BA8672" s="497">
        <v>21.38</v>
      </c>
      <c r="BB8672" s="42"/>
      <c r="BC8672" s="74"/>
      <c r="BD8672" s="77"/>
      <c r="BF8672">
        <v>19.04</v>
      </c>
      <c r="BH8672" s="42"/>
      <c r="BI8672" s="74"/>
      <c r="BJ8672" s="77"/>
      <c r="BL8672" s="497">
        <v>21.02</v>
      </c>
      <c r="BN8672" s="42"/>
      <c r="BO8672" s="74"/>
      <c r="BP8672" s="77"/>
      <c r="BR8672" s="497">
        <v>17.96</v>
      </c>
      <c r="BT8672" s="42"/>
    </row>
    <row r="8673" spans="1:72" x14ac:dyDescent="0.25">
      <c r="A8673" s="90">
        <v>35791</v>
      </c>
      <c r="B8673" s="20">
        <v>0.625</v>
      </c>
      <c r="D8673">
        <v>51.980000000000004</v>
      </c>
      <c r="E8673" t="str">
        <f t="shared" si="306"/>
        <v>SATURDAY</v>
      </c>
      <c r="F8673" t="e">
        <f t="shared" si="305"/>
        <v>#N/A</v>
      </c>
      <c r="G8673" s="74">
        <v>28486</v>
      </c>
      <c r="H8673" s="77">
        <v>0.625</v>
      </c>
      <c r="J8673">
        <v>24.98</v>
      </c>
      <c r="M8673" s="74">
        <v>36887</v>
      </c>
      <c r="N8673" s="77">
        <v>0.625</v>
      </c>
      <c r="P8673">
        <v>30.2</v>
      </c>
      <c r="S8673" s="74">
        <v>35791</v>
      </c>
      <c r="T8673" s="77">
        <v>0.625</v>
      </c>
      <c r="V8673">
        <v>33.979999999999997</v>
      </c>
      <c r="X8673" s="42"/>
      <c r="AB8673">
        <v>40.6</v>
      </c>
      <c r="AC8673">
        <v>33.799999999999997</v>
      </c>
      <c r="AE8673" s="74"/>
      <c r="AF8673" s="77"/>
      <c r="AH8673" s="497">
        <v>23</v>
      </c>
      <c r="AJ8673" s="42"/>
      <c r="AK8673" s="74"/>
      <c r="AL8673" s="77"/>
      <c r="AN8673" s="497">
        <v>23</v>
      </c>
      <c r="AP8673" s="42"/>
      <c r="AQ8673" s="74"/>
      <c r="AR8673" s="77"/>
      <c r="AT8673" s="497">
        <v>27.68</v>
      </c>
      <c r="AV8673" s="42"/>
      <c r="AW8673" s="74"/>
      <c r="AX8673" s="77"/>
      <c r="BA8673" s="497">
        <v>21.560000000000002</v>
      </c>
      <c r="BB8673" s="42"/>
      <c r="BC8673" s="74"/>
      <c r="BD8673" s="77"/>
      <c r="BF8673">
        <v>19.04</v>
      </c>
      <c r="BH8673" s="42"/>
      <c r="BI8673" s="74"/>
      <c r="BJ8673" s="77"/>
      <c r="BL8673" s="497">
        <v>21.02</v>
      </c>
      <c r="BN8673" s="42"/>
      <c r="BO8673" s="74"/>
      <c r="BP8673" s="77"/>
      <c r="BR8673" s="497">
        <v>19.939999999999998</v>
      </c>
      <c r="BT8673" s="42"/>
    </row>
    <row r="8674" spans="1:72" x14ac:dyDescent="0.25">
      <c r="A8674" s="90">
        <v>35791</v>
      </c>
      <c r="B8674" s="20">
        <v>0.66666666666666663</v>
      </c>
      <c r="D8674">
        <v>51.08</v>
      </c>
      <c r="E8674" t="str">
        <f t="shared" si="306"/>
        <v>SATURDAY</v>
      </c>
      <c r="F8674" t="e">
        <f t="shared" si="305"/>
        <v>#N/A</v>
      </c>
      <c r="G8674" s="74">
        <v>28486</v>
      </c>
      <c r="H8674" s="77">
        <v>0.66666666666666663</v>
      </c>
      <c r="J8674">
        <v>24.98</v>
      </c>
      <c r="M8674" s="74">
        <v>36887</v>
      </c>
      <c r="N8674" s="77">
        <v>0.66666666666666663</v>
      </c>
      <c r="P8674">
        <v>30.2</v>
      </c>
      <c r="S8674" s="74">
        <v>35791</v>
      </c>
      <c r="T8674" s="77">
        <v>0.66666666666666663</v>
      </c>
      <c r="V8674">
        <v>35.06</v>
      </c>
      <c r="X8674" s="42"/>
      <c r="AB8674">
        <v>40.6</v>
      </c>
      <c r="AC8674">
        <v>33.799999999999997</v>
      </c>
      <c r="AE8674" s="74"/>
      <c r="AF8674" s="77"/>
      <c r="AH8674" s="497">
        <v>21.2</v>
      </c>
      <c r="AJ8674" s="42"/>
      <c r="AK8674" s="74"/>
      <c r="AL8674" s="77"/>
      <c r="AN8674" s="497">
        <v>23</v>
      </c>
      <c r="AP8674" s="42"/>
      <c r="AQ8674" s="74"/>
      <c r="AR8674" s="77"/>
      <c r="AT8674" s="497">
        <v>26.96</v>
      </c>
      <c r="AV8674" s="42"/>
      <c r="AW8674" s="74"/>
      <c r="AX8674" s="77"/>
      <c r="BA8674" s="497">
        <v>21.92</v>
      </c>
      <c r="BB8674" s="42"/>
      <c r="BC8674" s="74"/>
      <c r="BD8674" s="77"/>
      <c r="BF8674">
        <v>15.98</v>
      </c>
      <c r="BH8674" s="42"/>
      <c r="BI8674" s="74"/>
      <c r="BJ8674" s="77"/>
      <c r="BL8674" s="497">
        <v>19.939999999999998</v>
      </c>
      <c r="BN8674" s="42"/>
      <c r="BO8674" s="74"/>
      <c r="BP8674" s="77"/>
      <c r="BR8674" s="497">
        <v>19.04</v>
      </c>
      <c r="BT8674" s="42"/>
    </row>
    <row r="8675" spans="1:72" x14ac:dyDescent="0.25">
      <c r="A8675" s="90">
        <v>35791</v>
      </c>
      <c r="B8675" s="20">
        <v>0.70833333333333337</v>
      </c>
      <c r="D8675">
        <v>50</v>
      </c>
      <c r="E8675" t="str">
        <f t="shared" si="306"/>
        <v>SATURDAY</v>
      </c>
      <c r="F8675" t="e">
        <f t="shared" si="305"/>
        <v>#N/A</v>
      </c>
      <c r="G8675" s="74">
        <v>28486</v>
      </c>
      <c r="H8675" s="77">
        <v>0.70833333333333337</v>
      </c>
      <c r="J8675">
        <v>24.08</v>
      </c>
      <c r="M8675" s="74">
        <v>36887</v>
      </c>
      <c r="N8675" s="77">
        <v>0.70833333333333337</v>
      </c>
      <c r="P8675">
        <v>28.4</v>
      </c>
      <c r="S8675" s="74">
        <v>35791</v>
      </c>
      <c r="T8675" s="77">
        <v>0.70833333333333337</v>
      </c>
      <c r="V8675">
        <v>35.6</v>
      </c>
      <c r="X8675" s="42"/>
      <c r="AB8675">
        <v>39.799999999999997</v>
      </c>
      <c r="AC8675">
        <v>33.799999999999997</v>
      </c>
      <c r="AE8675" s="74"/>
      <c r="AF8675" s="77"/>
      <c r="AH8675" s="497">
        <v>19.399999999999999</v>
      </c>
      <c r="AJ8675" s="42"/>
      <c r="AK8675" s="74"/>
      <c r="AL8675" s="77"/>
      <c r="AN8675" s="497">
        <v>21.92</v>
      </c>
      <c r="AP8675" s="42"/>
      <c r="AQ8675" s="74"/>
      <c r="AR8675" s="77"/>
      <c r="AT8675" s="497">
        <v>26.060000000000002</v>
      </c>
      <c r="AV8675" s="42"/>
      <c r="AW8675" s="74"/>
      <c r="AX8675" s="77"/>
      <c r="BA8675" s="497">
        <v>21.02</v>
      </c>
      <c r="BB8675" s="42"/>
      <c r="BC8675" s="74"/>
      <c r="BD8675" s="77"/>
      <c r="BF8675">
        <v>15.079999999999998</v>
      </c>
      <c r="BH8675" s="42"/>
      <c r="BI8675" s="74"/>
      <c r="BJ8675" s="77"/>
      <c r="BL8675" s="497">
        <v>19.04</v>
      </c>
      <c r="BN8675" s="42"/>
      <c r="BO8675" s="74"/>
      <c r="BP8675" s="77"/>
      <c r="BR8675" s="497">
        <v>19.04</v>
      </c>
      <c r="BT8675" s="42"/>
    </row>
    <row r="8676" spans="1:72" x14ac:dyDescent="0.25">
      <c r="A8676" s="90">
        <v>35791</v>
      </c>
      <c r="B8676" s="20">
        <v>0.75</v>
      </c>
      <c r="D8676">
        <v>48.019999999999996</v>
      </c>
      <c r="E8676" t="str">
        <f t="shared" si="306"/>
        <v>SATURDAY</v>
      </c>
      <c r="F8676" t="e">
        <f t="shared" si="305"/>
        <v>#N/A</v>
      </c>
      <c r="G8676" s="74">
        <v>28486</v>
      </c>
      <c r="H8676" s="77">
        <v>0.75</v>
      </c>
      <c r="J8676">
        <v>24.08</v>
      </c>
      <c r="M8676" s="74">
        <v>36887</v>
      </c>
      <c r="N8676" s="77">
        <v>0.75</v>
      </c>
      <c r="P8676">
        <v>28.4</v>
      </c>
      <c r="S8676" s="74">
        <v>35791</v>
      </c>
      <c r="T8676" s="77">
        <v>0.75</v>
      </c>
      <c r="V8676">
        <v>35.06</v>
      </c>
      <c r="X8676" s="42"/>
      <c r="AB8676">
        <v>38.700000000000003</v>
      </c>
      <c r="AC8676">
        <v>33.799999999999997</v>
      </c>
      <c r="AE8676" s="74"/>
      <c r="AF8676" s="77"/>
      <c r="AH8676" s="497">
        <v>19.399999999999999</v>
      </c>
      <c r="AJ8676" s="42"/>
      <c r="AK8676" s="74"/>
      <c r="AL8676" s="77"/>
      <c r="AN8676" s="497">
        <v>19.939999999999998</v>
      </c>
      <c r="AP8676" s="42"/>
      <c r="AQ8676" s="74"/>
      <c r="AR8676" s="77"/>
      <c r="AT8676" s="497">
        <v>24.98</v>
      </c>
      <c r="AV8676" s="42"/>
      <c r="AW8676" s="74"/>
      <c r="AX8676" s="77"/>
      <c r="BA8676" s="497">
        <v>19.939999999999998</v>
      </c>
      <c r="BB8676" s="42"/>
      <c r="BC8676" s="74"/>
      <c r="BD8676" s="77"/>
      <c r="BF8676">
        <v>15.98</v>
      </c>
      <c r="BH8676" s="42"/>
      <c r="BI8676" s="74"/>
      <c r="BJ8676" s="77"/>
      <c r="BL8676" s="497">
        <v>17.96</v>
      </c>
      <c r="BN8676" s="42"/>
      <c r="BO8676" s="74"/>
      <c r="BP8676" s="77"/>
      <c r="BR8676" s="497">
        <v>17.96</v>
      </c>
      <c r="BT8676" s="42"/>
    </row>
    <row r="8677" spans="1:72" x14ac:dyDescent="0.25">
      <c r="A8677" s="90">
        <v>35791</v>
      </c>
      <c r="B8677" s="20">
        <v>0.79166666666666663</v>
      </c>
      <c r="D8677">
        <v>46.04</v>
      </c>
      <c r="E8677" t="str">
        <f t="shared" si="306"/>
        <v>SATURDAY</v>
      </c>
      <c r="F8677" t="e">
        <f t="shared" si="305"/>
        <v>#N/A</v>
      </c>
      <c r="G8677" s="74">
        <v>28486</v>
      </c>
      <c r="H8677" s="77">
        <v>0.79166666666666663</v>
      </c>
      <c r="J8677">
        <v>23</v>
      </c>
      <c r="M8677" s="74">
        <v>36887</v>
      </c>
      <c r="N8677" s="77">
        <v>0.79166666666666663</v>
      </c>
      <c r="P8677">
        <v>28.4</v>
      </c>
      <c r="S8677" s="74">
        <v>35791</v>
      </c>
      <c r="T8677" s="77">
        <v>0.79166666666666663</v>
      </c>
      <c r="V8677">
        <v>35.06</v>
      </c>
      <c r="X8677" s="42"/>
      <c r="AB8677">
        <v>38.200000000000003</v>
      </c>
      <c r="AC8677">
        <v>35.6</v>
      </c>
      <c r="AE8677" s="74"/>
      <c r="AF8677" s="77"/>
      <c r="AH8677" s="497">
        <v>17.600000000000001</v>
      </c>
      <c r="AJ8677" s="42"/>
      <c r="AK8677" s="74"/>
      <c r="AL8677" s="77"/>
      <c r="AN8677" s="497">
        <v>19.939999999999998</v>
      </c>
      <c r="AP8677" s="42"/>
      <c r="AQ8677" s="74"/>
      <c r="AR8677" s="77"/>
      <c r="AT8677" s="497">
        <v>24.08</v>
      </c>
      <c r="AV8677" s="42"/>
      <c r="AW8677" s="74"/>
      <c r="AX8677" s="77"/>
      <c r="BA8677" s="497">
        <v>19.04</v>
      </c>
      <c r="BB8677" s="42"/>
      <c r="BC8677" s="74"/>
      <c r="BD8677" s="77"/>
      <c r="BF8677">
        <v>15.079999999999998</v>
      </c>
      <c r="BH8677" s="42"/>
      <c r="BI8677" s="74"/>
      <c r="BJ8677" s="77"/>
      <c r="BL8677" s="497">
        <v>17.96</v>
      </c>
      <c r="BN8677" s="42"/>
      <c r="BO8677" s="74"/>
      <c r="BP8677" s="77"/>
      <c r="BR8677" s="497">
        <v>17.96</v>
      </c>
      <c r="BT8677" s="42"/>
    </row>
    <row r="8678" spans="1:72" x14ac:dyDescent="0.25">
      <c r="A8678" s="90">
        <v>35791</v>
      </c>
      <c r="B8678" s="20">
        <v>0.83333333333333337</v>
      </c>
      <c r="D8678">
        <v>44.96</v>
      </c>
      <c r="E8678" t="str">
        <f t="shared" si="306"/>
        <v>SATURDAY</v>
      </c>
      <c r="F8678" t="e">
        <f t="shared" si="305"/>
        <v>#N/A</v>
      </c>
      <c r="G8678" s="74">
        <v>28486</v>
      </c>
      <c r="H8678" s="77">
        <v>0.83333333333333337</v>
      </c>
      <c r="J8678">
        <v>23</v>
      </c>
      <c r="M8678" s="74">
        <v>36887</v>
      </c>
      <c r="N8678" s="77">
        <v>0.83333333333333337</v>
      </c>
      <c r="P8678">
        <v>26.6</v>
      </c>
      <c r="S8678" s="74">
        <v>35791</v>
      </c>
      <c r="T8678" s="77">
        <v>0.83333333333333337</v>
      </c>
      <c r="V8678">
        <v>33.979999999999997</v>
      </c>
      <c r="X8678" s="42"/>
      <c r="AB8678">
        <v>38</v>
      </c>
      <c r="AC8678">
        <v>35.6</v>
      </c>
      <c r="AE8678" s="74"/>
      <c r="AF8678" s="77"/>
      <c r="AH8678" s="497">
        <v>17.600000000000001</v>
      </c>
      <c r="AJ8678" s="42"/>
      <c r="AK8678" s="74"/>
      <c r="AL8678" s="77"/>
      <c r="AN8678" s="497">
        <v>19.04</v>
      </c>
      <c r="AP8678" s="42"/>
      <c r="AQ8678" s="74"/>
      <c r="AR8678" s="77"/>
      <c r="AT8678" s="497">
        <v>23.72</v>
      </c>
      <c r="AV8678" s="42"/>
      <c r="AW8678" s="74"/>
      <c r="AX8678" s="77"/>
      <c r="BA8678" s="497">
        <v>17.96</v>
      </c>
      <c r="BB8678" s="42"/>
      <c r="BC8678" s="74"/>
      <c r="BD8678" s="77"/>
      <c r="BF8678">
        <v>14</v>
      </c>
      <c r="BH8678" s="42"/>
      <c r="BI8678" s="74"/>
      <c r="BJ8678" s="77"/>
      <c r="BL8678" s="497">
        <v>17.059999999999999</v>
      </c>
      <c r="BN8678" s="42"/>
      <c r="BO8678" s="74"/>
      <c r="BP8678" s="77"/>
      <c r="BR8678" s="497">
        <v>17.96</v>
      </c>
      <c r="BT8678" s="42"/>
    </row>
    <row r="8679" spans="1:72" x14ac:dyDescent="0.25">
      <c r="A8679" s="90">
        <v>35791</v>
      </c>
      <c r="B8679" s="20">
        <v>0.875</v>
      </c>
      <c r="D8679">
        <v>42.980000000000004</v>
      </c>
      <c r="E8679" t="str">
        <f t="shared" si="306"/>
        <v>SATURDAY</v>
      </c>
      <c r="F8679" t="e">
        <f t="shared" si="305"/>
        <v>#N/A</v>
      </c>
      <c r="G8679" s="74">
        <v>28486</v>
      </c>
      <c r="H8679" s="77">
        <v>0.875</v>
      </c>
      <c r="J8679">
        <v>23</v>
      </c>
      <c r="M8679" s="74">
        <v>36887</v>
      </c>
      <c r="N8679" s="77">
        <v>0.875</v>
      </c>
      <c r="P8679">
        <v>26.6</v>
      </c>
      <c r="S8679" s="74">
        <v>35791</v>
      </c>
      <c r="T8679" s="77">
        <v>0.875</v>
      </c>
      <c r="V8679">
        <v>33.08</v>
      </c>
      <c r="X8679" s="42"/>
      <c r="AB8679">
        <v>37.5</v>
      </c>
      <c r="AC8679">
        <v>35.6</v>
      </c>
      <c r="AE8679" s="74"/>
      <c r="AF8679" s="77"/>
      <c r="AH8679" s="497">
        <v>14</v>
      </c>
      <c r="AJ8679" s="42"/>
      <c r="AK8679" s="74"/>
      <c r="AL8679" s="77"/>
      <c r="AN8679" s="497">
        <v>17.96</v>
      </c>
      <c r="AP8679" s="42"/>
      <c r="AQ8679" s="74"/>
      <c r="AR8679" s="77"/>
      <c r="AT8679" s="497">
        <v>23.36</v>
      </c>
      <c r="AV8679" s="42"/>
      <c r="AW8679" s="74"/>
      <c r="AX8679" s="77"/>
      <c r="BA8679" s="497">
        <v>17.059999999999999</v>
      </c>
      <c r="BB8679" s="42"/>
      <c r="BC8679" s="74"/>
      <c r="BD8679" s="77"/>
      <c r="BF8679">
        <v>12.920000000000002</v>
      </c>
      <c r="BH8679" s="42"/>
      <c r="BI8679" s="74"/>
      <c r="BJ8679" s="77"/>
      <c r="BL8679" s="497">
        <v>17.059999999999999</v>
      </c>
      <c r="BN8679" s="42"/>
      <c r="BO8679" s="74"/>
      <c r="BP8679" s="77"/>
      <c r="BR8679" s="497">
        <v>15.98</v>
      </c>
      <c r="BT8679" s="42"/>
    </row>
    <row r="8680" spans="1:72" x14ac:dyDescent="0.25">
      <c r="A8680" s="90">
        <v>35791</v>
      </c>
      <c r="B8680" s="20">
        <v>0.91666666666666663</v>
      </c>
      <c r="D8680">
        <v>41</v>
      </c>
      <c r="E8680" t="str">
        <f t="shared" si="306"/>
        <v>SATURDAY</v>
      </c>
      <c r="F8680" t="e">
        <f t="shared" si="305"/>
        <v>#N/A</v>
      </c>
      <c r="G8680" s="74">
        <v>28486</v>
      </c>
      <c r="H8680" s="77">
        <v>0.91666666666666663</v>
      </c>
      <c r="J8680">
        <v>23</v>
      </c>
      <c r="M8680" s="74">
        <v>36887</v>
      </c>
      <c r="N8680" s="77">
        <v>0.91666666666666663</v>
      </c>
      <c r="P8680">
        <v>26.6</v>
      </c>
      <c r="S8680" s="74">
        <v>35791</v>
      </c>
      <c r="T8680" s="77">
        <v>0.91666666666666663</v>
      </c>
      <c r="V8680">
        <v>33.08</v>
      </c>
      <c r="X8680" s="42"/>
      <c r="AB8680">
        <v>36.9</v>
      </c>
      <c r="AC8680">
        <v>33.799999999999997</v>
      </c>
      <c r="AE8680" s="74"/>
      <c r="AF8680" s="77"/>
      <c r="AH8680" s="497">
        <v>15.8</v>
      </c>
      <c r="AJ8680" s="42"/>
      <c r="AK8680" s="74"/>
      <c r="AL8680" s="77"/>
      <c r="AN8680" s="497">
        <v>17.96</v>
      </c>
      <c r="AP8680" s="42"/>
      <c r="AQ8680" s="74"/>
      <c r="AR8680" s="77"/>
      <c r="AT8680" s="497">
        <v>23</v>
      </c>
      <c r="AV8680" s="42"/>
      <c r="AW8680" s="74"/>
      <c r="AX8680" s="77"/>
      <c r="BA8680" s="497">
        <v>15.98</v>
      </c>
      <c r="BB8680" s="42"/>
      <c r="BC8680" s="74"/>
      <c r="BD8680" s="77"/>
      <c r="BF8680">
        <v>12.920000000000002</v>
      </c>
      <c r="BH8680" s="42"/>
      <c r="BI8680" s="74"/>
      <c r="BJ8680" s="77"/>
      <c r="BL8680" s="497">
        <v>15.079999999999998</v>
      </c>
      <c r="BN8680" s="42"/>
      <c r="BO8680" s="74"/>
      <c r="BP8680" s="77"/>
      <c r="BR8680" s="497">
        <v>15.079999999999998</v>
      </c>
      <c r="BT8680" s="42"/>
    </row>
    <row r="8681" spans="1:72" x14ac:dyDescent="0.25">
      <c r="A8681" s="90">
        <v>35791</v>
      </c>
      <c r="B8681" s="20">
        <v>0.95833333333333337</v>
      </c>
      <c r="D8681">
        <v>41</v>
      </c>
      <c r="E8681" t="str">
        <f t="shared" si="306"/>
        <v>SATURDAY</v>
      </c>
      <c r="F8681" t="e">
        <f t="shared" si="305"/>
        <v>#N/A</v>
      </c>
      <c r="G8681" s="74">
        <v>28486</v>
      </c>
      <c r="H8681" s="77">
        <v>0.95833333333333337</v>
      </c>
      <c r="J8681">
        <v>23</v>
      </c>
      <c r="M8681" s="74">
        <v>36887</v>
      </c>
      <c r="N8681" s="77">
        <v>0.95833333333333337</v>
      </c>
      <c r="P8681">
        <v>26.6</v>
      </c>
      <c r="S8681" s="74">
        <v>35791</v>
      </c>
      <c r="T8681" s="77">
        <v>0.95833333333333337</v>
      </c>
      <c r="V8681">
        <v>33.08</v>
      </c>
      <c r="X8681" s="42"/>
      <c r="AB8681">
        <v>36.5</v>
      </c>
      <c r="AC8681">
        <v>33.799999999999997</v>
      </c>
      <c r="AE8681" s="74"/>
      <c r="AF8681" s="77"/>
      <c r="AH8681" s="497">
        <v>12.2</v>
      </c>
      <c r="AJ8681" s="42"/>
      <c r="AK8681" s="74"/>
      <c r="AL8681" s="77"/>
      <c r="AN8681" s="497">
        <v>17.96</v>
      </c>
      <c r="AP8681" s="42"/>
      <c r="AQ8681" s="74"/>
      <c r="AR8681" s="77"/>
      <c r="AT8681" s="497">
        <v>21.92</v>
      </c>
      <c r="AV8681" s="42"/>
      <c r="AW8681" s="74"/>
      <c r="AX8681" s="77"/>
      <c r="BA8681" s="497">
        <v>15.620000000000001</v>
      </c>
      <c r="BB8681" s="42"/>
      <c r="BC8681" s="74"/>
      <c r="BD8681" s="77"/>
      <c r="BF8681">
        <v>12.920000000000002</v>
      </c>
      <c r="BH8681" s="42"/>
      <c r="BI8681" s="74"/>
      <c r="BJ8681" s="77"/>
      <c r="BL8681" s="497">
        <v>14</v>
      </c>
      <c r="BN8681" s="42"/>
      <c r="BO8681" s="74"/>
      <c r="BP8681" s="77"/>
      <c r="BR8681" s="497">
        <v>15.079999999999998</v>
      </c>
      <c r="BT8681" s="42"/>
    </row>
    <row r="8682" spans="1:72" x14ac:dyDescent="0.25">
      <c r="A8682" s="90">
        <v>35791</v>
      </c>
      <c r="B8682" s="20">
        <v>1</v>
      </c>
      <c r="D8682">
        <v>39.92</v>
      </c>
      <c r="E8682" t="str">
        <f t="shared" si="306"/>
        <v>SATURDAY</v>
      </c>
      <c r="F8682" t="e">
        <f t="shared" si="305"/>
        <v>#N/A</v>
      </c>
      <c r="G8682" s="74">
        <v>28486</v>
      </c>
      <c r="H8682" s="77">
        <v>1</v>
      </c>
      <c r="J8682">
        <v>23</v>
      </c>
      <c r="M8682" s="74">
        <v>36887</v>
      </c>
      <c r="N8682" s="80">
        <v>1</v>
      </c>
      <c r="P8682">
        <v>26.6</v>
      </c>
      <c r="S8682" s="74">
        <v>35791</v>
      </c>
      <c r="T8682" s="80">
        <v>1</v>
      </c>
      <c r="V8682">
        <v>33.08</v>
      </c>
      <c r="X8682" s="42"/>
      <c r="AB8682">
        <v>36.1</v>
      </c>
      <c r="AC8682">
        <v>33.799999999999997</v>
      </c>
      <c r="AE8682" s="74"/>
      <c r="AF8682" s="80"/>
      <c r="AH8682" s="497">
        <v>8.5999999999999979</v>
      </c>
      <c r="AJ8682" s="42"/>
      <c r="AK8682" s="74"/>
      <c r="AL8682" s="80"/>
      <c r="AN8682" s="497">
        <v>17.96</v>
      </c>
      <c r="AP8682" s="42"/>
      <c r="AQ8682" s="74"/>
      <c r="AR8682" s="80"/>
      <c r="AT8682" s="497">
        <v>21.02</v>
      </c>
      <c r="AV8682" s="42"/>
      <c r="AW8682" s="74"/>
      <c r="AX8682" s="80"/>
      <c r="BA8682" s="497">
        <v>15.440000000000001</v>
      </c>
      <c r="BB8682" s="42"/>
      <c r="BC8682" s="74"/>
      <c r="BD8682" s="80"/>
      <c r="BF8682">
        <v>12.920000000000002</v>
      </c>
      <c r="BH8682" s="42"/>
      <c r="BI8682" s="74"/>
      <c r="BJ8682" s="80"/>
      <c r="BL8682" s="497">
        <v>12.920000000000002</v>
      </c>
      <c r="BN8682" s="42"/>
      <c r="BO8682" s="74"/>
      <c r="BP8682" s="80"/>
      <c r="BR8682" s="497">
        <v>15.079999999999998</v>
      </c>
      <c r="BT8682" s="42"/>
    </row>
    <row r="8683" spans="1:72" x14ac:dyDescent="0.25">
      <c r="A8683" s="90">
        <v>35792</v>
      </c>
      <c r="B8683" s="20">
        <v>4.1666666666666664E-2</v>
      </c>
      <c r="D8683">
        <v>39.019999999999996</v>
      </c>
      <c r="E8683" t="str">
        <f t="shared" si="306"/>
        <v>SUNDAY</v>
      </c>
      <c r="F8683" t="e">
        <f t="shared" ref="F8683:F8746" si="307">IF(E8683="WEEKDAY",VLOOKUP(B8683,$DD$19:$DG$42,2),IF(E8683="SATURDAY",VLOOKUP(B8683,$DD$19:$DG$42,3),VLOOKUP(B8683,$DD$19:$DG$42,4)))</f>
        <v>#N/A</v>
      </c>
      <c r="G8683" s="74">
        <v>28487</v>
      </c>
      <c r="H8683" s="77">
        <v>4.1666666666666664E-2</v>
      </c>
      <c r="J8683">
        <v>23</v>
      </c>
      <c r="M8683" s="74">
        <v>36888</v>
      </c>
      <c r="N8683" s="77">
        <v>4.1666666666666664E-2</v>
      </c>
      <c r="P8683">
        <v>24.8</v>
      </c>
      <c r="S8683" s="74">
        <v>35792</v>
      </c>
      <c r="T8683" s="77">
        <v>4.1666666666666664E-2</v>
      </c>
      <c r="V8683">
        <v>33.979999999999997</v>
      </c>
      <c r="X8683" s="42"/>
      <c r="AB8683">
        <v>35.5</v>
      </c>
      <c r="AC8683">
        <v>33.799999999999997</v>
      </c>
      <c r="AE8683" s="74"/>
      <c r="AF8683" s="77"/>
      <c r="AH8683" s="497">
        <v>6.8000000000000007</v>
      </c>
      <c r="AJ8683" s="42"/>
      <c r="AK8683" s="74"/>
      <c r="AL8683" s="77"/>
      <c r="AN8683" s="497">
        <v>17.059999999999999</v>
      </c>
      <c r="AP8683" s="42"/>
      <c r="AQ8683" s="74"/>
      <c r="AR8683" s="77"/>
      <c r="AT8683" s="497">
        <v>19.939999999999998</v>
      </c>
      <c r="AV8683" s="42"/>
      <c r="AW8683" s="74"/>
      <c r="AX8683" s="77"/>
      <c r="BA8683" s="497">
        <v>15.079999999999998</v>
      </c>
      <c r="BB8683" s="42"/>
      <c r="BC8683" s="74"/>
      <c r="BD8683" s="77"/>
      <c r="BF8683">
        <v>14</v>
      </c>
      <c r="BH8683" s="42"/>
      <c r="BI8683" s="74"/>
      <c r="BJ8683" s="77"/>
      <c r="BL8683" s="497">
        <v>12.920000000000002</v>
      </c>
      <c r="BN8683" s="42"/>
      <c r="BO8683" s="74"/>
      <c r="BP8683" s="77"/>
      <c r="BR8683" s="497">
        <v>10.940000000000001</v>
      </c>
      <c r="BT8683" s="42"/>
    </row>
    <row r="8684" spans="1:72" x14ac:dyDescent="0.25">
      <c r="A8684" s="90">
        <v>35792</v>
      </c>
      <c r="B8684" s="20">
        <v>8.3333333333333329E-2</v>
      </c>
      <c r="D8684">
        <v>37.94</v>
      </c>
      <c r="E8684" t="str">
        <f t="shared" si="306"/>
        <v>SUNDAY</v>
      </c>
      <c r="F8684" t="e">
        <f t="shared" si="307"/>
        <v>#N/A</v>
      </c>
      <c r="G8684" s="74">
        <v>28487</v>
      </c>
      <c r="H8684" s="77">
        <v>8.3333333333333329E-2</v>
      </c>
      <c r="J8684">
        <v>21.92</v>
      </c>
      <c r="M8684" s="74">
        <v>36888</v>
      </c>
      <c r="N8684" s="77">
        <v>8.3333333333333329E-2</v>
      </c>
      <c r="P8684">
        <v>24.8</v>
      </c>
      <c r="S8684" s="74">
        <v>35792</v>
      </c>
      <c r="T8684" s="77">
        <v>8.3333333333333329E-2</v>
      </c>
      <c r="V8684">
        <v>35.06</v>
      </c>
      <c r="X8684" s="42"/>
      <c r="AB8684">
        <v>35.1</v>
      </c>
      <c r="AC8684">
        <v>33.799999999999997</v>
      </c>
      <c r="AE8684" s="74"/>
      <c r="AF8684" s="77"/>
      <c r="AH8684" s="497">
        <v>3.1999999999999993</v>
      </c>
      <c r="AJ8684" s="42"/>
      <c r="AK8684" s="74"/>
      <c r="AL8684" s="77"/>
      <c r="AN8684" s="497">
        <v>17.059999999999999</v>
      </c>
      <c r="AP8684" s="42"/>
      <c r="AQ8684" s="74"/>
      <c r="AR8684" s="77"/>
      <c r="AT8684" s="497">
        <v>19.04</v>
      </c>
      <c r="AV8684" s="42"/>
      <c r="AW8684" s="74"/>
      <c r="AX8684" s="77"/>
      <c r="BA8684" s="497">
        <v>14.36</v>
      </c>
      <c r="BB8684" s="42"/>
      <c r="BC8684" s="74"/>
      <c r="BD8684" s="77"/>
      <c r="BF8684">
        <v>12.920000000000002</v>
      </c>
      <c r="BH8684" s="42"/>
      <c r="BI8684" s="74"/>
      <c r="BJ8684" s="77"/>
      <c r="BL8684" s="497">
        <v>12.920000000000002</v>
      </c>
      <c r="BN8684" s="42"/>
      <c r="BO8684" s="74"/>
      <c r="BP8684" s="77"/>
      <c r="BR8684" s="497">
        <v>10.039999999999999</v>
      </c>
      <c r="BT8684" s="42"/>
    </row>
    <row r="8685" spans="1:72" x14ac:dyDescent="0.25">
      <c r="A8685" s="90">
        <v>35792</v>
      </c>
      <c r="B8685" s="20">
        <v>0.125</v>
      </c>
      <c r="D8685">
        <v>39.019999999999996</v>
      </c>
      <c r="E8685" t="str">
        <f t="shared" si="306"/>
        <v>SUNDAY</v>
      </c>
      <c r="F8685" t="e">
        <f t="shared" si="307"/>
        <v>#N/A</v>
      </c>
      <c r="G8685" s="74">
        <v>28487</v>
      </c>
      <c r="H8685" s="77">
        <v>0.125</v>
      </c>
      <c r="J8685">
        <v>21.92</v>
      </c>
      <c r="M8685" s="74">
        <v>36888</v>
      </c>
      <c r="N8685" s="77">
        <v>0.125</v>
      </c>
      <c r="P8685">
        <v>24.08</v>
      </c>
      <c r="S8685" s="74">
        <v>35792</v>
      </c>
      <c r="T8685" s="77">
        <v>0.125</v>
      </c>
      <c r="V8685">
        <v>35.06</v>
      </c>
      <c r="X8685" s="42"/>
      <c r="AB8685">
        <v>34.799999999999997</v>
      </c>
      <c r="AC8685">
        <v>33.799999999999997</v>
      </c>
      <c r="AE8685" s="74"/>
      <c r="AF8685" s="77"/>
      <c r="AH8685" s="497">
        <v>3.1999999999999993</v>
      </c>
      <c r="AJ8685" s="42"/>
      <c r="AK8685" s="74"/>
      <c r="AL8685" s="77"/>
      <c r="AN8685" s="497">
        <v>17.059999999999999</v>
      </c>
      <c r="AP8685" s="42"/>
      <c r="AQ8685" s="74"/>
      <c r="AR8685" s="77"/>
      <c r="AT8685" s="497">
        <v>17.96</v>
      </c>
      <c r="AV8685" s="42"/>
      <c r="AW8685" s="74"/>
      <c r="AX8685" s="77"/>
      <c r="BA8685" s="497">
        <v>13.64</v>
      </c>
      <c r="BB8685" s="42"/>
      <c r="BC8685" s="74"/>
      <c r="BD8685" s="77"/>
      <c r="BF8685">
        <v>12.920000000000002</v>
      </c>
      <c r="BH8685" s="42"/>
      <c r="BI8685" s="74"/>
      <c r="BJ8685" s="77"/>
      <c r="BL8685" s="497">
        <v>12.02</v>
      </c>
      <c r="BN8685" s="42"/>
      <c r="BO8685" s="74"/>
      <c r="BP8685" s="77"/>
      <c r="BR8685" s="497">
        <v>8.9599999999999973</v>
      </c>
      <c r="BT8685" s="42"/>
    </row>
    <row r="8686" spans="1:72" x14ac:dyDescent="0.25">
      <c r="A8686" s="90">
        <v>35792</v>
      </c>
      <c r="B8686" s="20">
        <v>0.16666666666666666</v>
      </c>
      <c r="D8686">
        <v>37.94</v>
      </c>
      <c r="E8686" t="str">
        <f t="shared" si="306"/>
        <v>SUNDAY</v>
      </c>
      <c r="F8686" t="e">
        <f t="shared" si="307"/>
        <v>#N/A</v>
      </c>
      <c r="G8686" s="74">
        <v>28487</v>
      </c>
      <c r="H8686" s="77">
        <v>0.16666666666666666</v>
      </c>
      <c r="J8686">
        <v>21.02</v>
      </c>
      <c r="M8686" s="74">
        <v>36888</v>
      </c>
      <c r="N8686" s="77">
        <v>0.16666666666666666</v>
      </c>
      <c r="P8686">
        <v>23.72</v>
      </c>
      <c r="S8686" s="74">
        <v>35792</v>
      </c>
      <c r="T8686" s="77">
        <v>0.16666666666666666</v>
      </c>
      <c r="V8686">
        <v>33.979999999999997</v>
      </c>
      <c r="X8686" s="42"/>
      <c r="AB8686">
        <v>34.6</v>
      </c>
      <c r="AC8686">
        <v>35.6</v>
      </c>
      <c r="AE8686" s="74"/>
      <c r="AF8686" s="77"/>
      <c r="AH8686" s="497">
        <v>1.3999999999999986</v>
      </c>
      <c r="AJ8686" s="42"/>
      <c r="AK8686" s="74"/>
      <c r="AL8686" s="77"/>
      <c r="AN8686" s="497">
        <v>17.96</v>
      </c>
      <c r="AP8686" s="42"/>
      <c r="AQ8686" s="74"/>
      <c r="AR8686" s="77"/>
      <c r="AT8686" s="497">
        <v>17.059999999999999</v>
      </c>
      <c r="AV8686" s="42"/>
      <c r="AW8686" s="74"/>
      <c r="AX8686" s="77"/>
      <c r="BA8686" s="497">
        <v>12.920000000000002</v>
      </c>
      <c r="BB8686" s="42"/>
      <c r="BC8686" s="74"/>
      <c r="BD8686" s="77"/>
      <c r="BF8686">
        <v>12.02</v>
      </c>
      <c r="BH8686" s="42"/>
      <c r="BI8686" s="74"/>
      <c r="BJ8686" s="77"/>
      <c r="BL8686" s="497">
        <v>10.940000000000001</v>
      </c>
      <c r="BN8686" s="42"/>
      <c r="BO8686" s="74"/>
      <c r="BP8686" s="77"/>
      <c r="BR8686" s="497">
        <v>8.0599999999999987</v>
      </c>
      <c r="BT8686" s="42"/>
    </row>
    <row r="8687" spans="1:72" x14ac:dyDescent="0.25">
      <c r="A8687" s="90">
        <v>35792</v>
      </c>
      <c r="B8687" s="20">
        <v>0.20833333333333334</v>
      </c>
      <c r="D8687">
        <v>37.04</v>
      </c>
      <c r="E8687" t="str">
        <f t="shared" si="306"/>
        <v>SUNDAY</v>
      </c>
      <c r="F8687" t="e">
        <f t="shared" si="307"/>
        <v>#N/A</v>
      </c>
      <c r="G8687" s="74">
        <v>28487</v>
      </c>
      <c r="H8687" s="77">
        <v>0.20833333333333334</v>
      </c>
      <c r="J8687">
        <v>19.939999999999998</v>
      </c>
      <c r="M8687" s="74">
        <v>36888</v>
      </c>
      <c r="N8687" s="77">
        <v>0.20833333333333334</v>
      </c>
      <c r="P8687">
        <v>23.36</v>
      </c>
      <c r="S8687" s="74">
        <v>35792</v>
      </c>
      <c r="T8687" s="77">
        <v>0.20833333333333334</v>
      </c>
      <c r="V8687">
        <v>33.979999999999997</v>
      </c>
      <c r="X8687" s="42"/>
      <c r="AB8687">
        <v>34.4</v>
      </c>
      <c r="AC8687">
        <v>35.6</v>
      </c>
      <c r="AE8687" s="74"/>
      <c r="AF8687" s="77"/>
      <c r="AH8687" s="497">
        <v>1.3999999999999986</v>
      </c>
      <c r="AJ8687" s="42"/>
      <c r="AK8687" s="74"/>
      <c r="AL8687" s="77"/>
      <c r="AN8687" s="497">
        <v>17.96</v>
      </c>
      <c r="AP8687" s="42"/>
      <c r="AQ8687" s="74"/>
      <c r="AR8687" s="77"/>
      <c r="AT8687" s="497">
        <v>15.620000000000001</v>
      </c>
      <c r="AV8687" s="42"/>
      <c r="AW8687" s="74"/>
      <c r="AX8687" s="77"/>
      <c r="BA8687" s="497">
        <v>12.02</v>
      </c>
      <c r="BB8687" s="42"/>
      <c r="BC8687" s="74"/>
      <c r="BD8687" s="77"/>
      <c r="BF8687">
        <v>10.940000000000001</v>
      </c>
      <c r="BH8687" s="42"/>
      <c r="BI8687" s="74"/>
      <c r="BJ8687" s="77"/>
      <c r="BL8687" s="497">
        <v>12.02</v>
      </c>
      <c r="BN8687" s="42"/>
      <c r="BO8687" s="74"/>
      <c r="BP8687" s="77"/>
      <c r="BR8687" s="497">
        <v>8.0599999999999987</v>
      </c>
      <c r="BT8687" s="42"/>
    </row>
    <row r="8688" spans="1:72" x14ac:dyDescent="0.25">
      <c r="A8688" s="90">
        <v>35792</v>
      </c>
      <c r="B8688" s="20">
        <v>0.25</v>
      </c>
      <c r="D8688">
        <v>35.96</v>
      </c>
      <c r="E8688" t="str">
        <f t="shared" si="306"/>
        <v>SUNDAY</v>
      </c>
      <c r="F8688" t="e">
        <f t="shared" si="307"/>
        <v>#N/A</v>
      </c>
      <c r="G8688" s="74">
        <v>28487</v>
      </c>
      <c r="H8688" s="77">
        <v>0.25</v>
      </c>
      <c r="J8688">
        <v>19.04</v>
      </c>
      <c r="M8688" s="74">
        <v>36888</v>
      </c>
      <c r="N8688" s="77">
        <v>0.25</v>
      </c>
      <c r="P8688">
        <v>23</v>
      </c>
      <c r="S8688" s="74">
        <v>35792</v>
      </c>
      <c r="T8688" s="77">
        <v>0.25</v>
      </c>
      <c r="V8688">
        <v>33.979999999999997</v>
      </c>
      <c r="X8688" s="42"/>
      <c r="AB8688">
        <v>34.200000000000003</v>
      </c>
      <c r="AC8688">
        <v>33.799999999999997</v>
      </c>
      <c r="AE8688" s="74"/>
      <c r="AF8688" s="77"/>
      <c r="AH8688" s="497">
        <v>1.3999999999999986</v>
      </c>
      <c r="AJ8688" s="42"/>
      <c r="AK8688" s="74"/>
      <c r="AL8688" s="77"/>
      <c r="AN8688" s="497">
        <v>17.96</v>
      </c>
      <c r="AP8688" s="42"/>
      <c r="AQ8688" s="74"/>
      <c r="AR8688" s="77"/>
      <c r="AT8688" s="497">
        <v>14.36</v>
      </c>
      <c r="AV8688" s="42"/>
      <c r="AW8688" s="74"/>
      <c r="AX8688" s="77"/>
      <c r="BA8688" s="497">
        <v>10.940000000000001</v>
      </c>
      <c r="BB8688" s="42"/>
      <c r="BC8688" s="74"/>
      <c r="BD8688" s="77"/>
      <c r="BF8688">
        <v>10.039999999999999</v>
      </c>
      <c r="BH8688" s="42"/>
      <c r="BI8688" s="74"/>
      <c r="BJ8688" s="77"/>
      <c r="BL8688" s="497">
        <v>10.940000000000001</v>
      </c>
      <c r="BN8688" s="42"/>
      <c r="BO8688" s="74"/>
      <c r="BP8688" s="77"/>
      <c r="BR8688" s="497">
        <v>6.0799999999999983</v>
      </c>
      <c r="BT8688" s="42"/>
    </row>
    <row r="8689" spans="1:72" x14ac:dyDescent="0.25">
      <c r="A8689" s="90">
        <v>35792</v>
      </c>
      <c r="B8689" s="20">
        <v>0.29166666666666669</v>
      </c>
      <c r="D8689">
        <v>37.04</v>
      </c>
      <c r="E8689" t="str">
        <f t="shared" si="306"/>
        <v>SUNDAY</v>
      </c>
      <c r="F8689" t="e">
        <f t="shared" si="307"/>
        <v>#N/A</v>
      </c>
      <c r="G8689" s="74">
        <v>28487</v>
      </c>
      <c r="H8689" s="77">
        <v>0.29166666666666669</v>
      </c>
      <c r="J8689">
        <v>19.04</v>
      </c>
      <c r="M8689" s="74">
        <v>36888</v>
      </c>
      <c r="N8689" s="77">
        <v>0.29166666666666669</v>
      </c>
      <c r="P8689">
        <v>21.2</v>
      </c>
      <c r="S8689" s="74">
        <v>35792</v>
      </c>
      <c r="T8689" s="77">
        <v>0.29166666666666669</v>
      </c>
      <c r="V8689">
        <v>33.08</v>
      </c>
      <c r="X8689" s="42"/>
      <c r="AB8689">
        <v>34.200000000000003</v>
      </c>
      <c r="AC8689">
        <v>33.799999999999997</v>
      </c>
      <c r="AE8689" s="74"/>
      <c r="AF8689" s="77"/>
      <c r="AH8689" s="497">
        <v>1.3999999999999986</v>
      </c>
      <c r="AJ8689" s="42"/>
      <c r="AK8689" s="74"/>
      <c r="AL8689" s="77"/>
      <c r="AN8689" s="497">
        <v>17.059999999999999</v>
      </c>
      <c r="AP8689" s="42"/>
      <c r="AQ8689" s="74"/>
      <c r="AR8689" s="77"/>
      <c r="AT8689" s="497">
        <v>12.920000000000002</v>
      </c>
      <c r="AV8689" s="42"/>
      <c r="AW8689" s="74"/>
      <c r="AX8689" s="77"/>
      <c r="BA8689" s="497">
        <v>10.039999999999999</v>
      </c>
      <c r="BB8689" s="42"/>
      <c r="BC8689" s="74"/>
      <c r="BD8689" s="77"/>
      <c r="BF8689">
        <v>10.039999999999999</v>
      </c>
      <c r="BH8689" s="42"/>
      <c r="BI8689" s="74"/>
      <c r="BJ8689" s="77"/>
      <c r="BL8689" s="497">
        <v>10.940000000000001</v>
      </c>
      <c r="BN8689" s="42"/>
      <c r="BO8689" s="74"/>
      <c r="BP8689" s="77"/>
      <c r="BR8689" s="497">
        <v>5</v>
      </c>
      <c r="BT8689" s="42"/>
    </row>
    <row r="8690" spans="1:72" x14ac:dyDescent="0.25">
      <c r="A8690" s="90">
        <v>35792</v>
      </c>
      <c r="B8690" s="20">
        <v>0.33333333333333331</v>
      </c>
      <c r="D8690">
        <v>37.04</v>
      </c>
      <c r="E8690" t="str">
        <f t="shared" si="306"/>
        <v>SUNDAY</v>
      </c>
      <c r="F8690" t="e">
        <f t="shared" si="307"/>
        <v>#N/A</v>
      </c>
      <c r="G8690" s="74">
        <v>28487</v>
      </c>
      <c r="H8690" s="77">
        <v>0.33333333333333331</v>
      </c>
      <c r="J8690">
        <v>19.04</v>
      </c>
      <c r="M8690" s="74">
        <v>36888</v>
      </c>
      <c r="N8690" s="77">
        <v>0.33333333333333331</v>
      </c>
      <c r="P8690">
        <v>21.2</v>
      </c>
      <c r="S8690" s="74">
        <v>35792</v>
      </c>
      <c r="T8690" s="77">
        <v>0.33333333333333331</v>
      </c>
      <c r="V8690">
        <v>33.08</v>
      </c>
      <c r="X8690" s="42"/>
      <c r="AB8690">
        <v>34.299999999999997</v>
      </c>
      <c r="AC8690">
        <v>33.799999999999997</v>
      </c>
      <c r="AE8690" s="74"/>
      <c r="AF8690" s="77"/>
      <c r="AH8690" s="497">
        <v>1.3999999999999986</v>
      </c>
      <c r="AJ8690" s="42"/>
      <c r="AK8690" s="74"/>
      <c r="AL8690" s="77"/>
      <c r="AN8690" s="497">
        <v>17.059999999999999</v>
      </c>
      <c r="AP8690" s="42"/>
      <c r="AQ8690" s="74"/>
      <c r="AR8690" s="77"/>
      <c r="AT8690" s="497">
        <v>14</v>
      </c>
      <c r="AV8690" s="42"/>
      <c r="AW8690" s="74"/>
      <c r="AX8690" s="77"/>
      <c r="BA8690" s="497">
        <v>12.379999999999999</v>
      </c>
      <c r="BB8690" s="42"/>
      <c r="BC8690" s="74"/>
      <c r="BD8690" s="77"/>
      <c r="BF8690">
        <v>10.039999999999999</v>
      </c>
      <c r="BH8690" s="42"/>
      <c r="BI8690" s="74"/>
      <c r="BJ8690" s="77"/>
      <c r="BL8690" s="497">
        <v>12.02</v>
      </c>
      <c r="BN8690" s="42"/>
      <c r="BO8690" s="74"/>
      <c r="BP8690" s="77"/>
      <c r="BR8690" s="497">
        <v>3.9200000000000017</v>
      </c>
      <c r="BT8690" s="42"/>
    </row>
    <row r="8691" spans="1:72" x14ac:dyDescent="0.25">
      <c r="A8691" s="90">
        <v>35792</v>
      </c>
      <c r="B8691" s="20">
        <v>0.375</v>
      </c>
      <c r="D8691">
        <v>37.94</v>
      </c>
      <c r="E8691" t="str">
        <f t="shared" si="306"/>
        <v>SUNDAY</v>
      </c>
      <c r="F8691" t="e">
        <f t="shared" si="307"/>
        <v>#N/A</v>
      </c>
      <c r="G8691" s="74">
        <v>28487</v>
      </c>
      <c r="H8691" s="77">
        <v>0.375</v>
      </c>
      <c r="J8691">
        <v>19.939999999999998</v>
      </c>
      <c r="M8691" s="74">
        <v>36888</v>
      </c>
      <c r="N8691" s="77">
        <v>0.375</v>
      </c>
      <c r="P8691">
        <v>21.2</v>
      </c>
      <c r="S8691" s="74">
        <v>35792</v>
      </c>
      <c r="T8691" s="77">
        <v>0.375</v>
      </c>
      <c r="V8691">
        <v>33.979999999999997</v>
      </c>
      <c r="X8691" s="42"/>
      <c r="AB8691">
        <v>34.700000000000003</v>
      </c>
      <c r="AC8691">
        <v>33.799999999999997</v>
      </c>
      <c r="AE8691" s="74"/>
      <c r="AF8691" s="77"/>
      <c r="AH8691" s="497">
        <v>8.5999999999999979</v>
      </c>
      <c r="AJ8691" s="42"/>
      <c r="AK8691" s="74"/>
      <c r="AL8691" s="77"/>
      <c r="AN8691" s="497">
        <v>17.059999999999999</v>
      </c>
      <c r="AP8691" s="42"/>
      <c r="AQ8691" s="74"/>
      <c r="AR8691" s="77"/>
      <c r="AT8691" s="497">
        <v>14.899999999999999</v>
      </c>
      <c r="AV8691" s="42"/>
      <c r="AW8691" s="74"/>
      <c r="AX8691" s="77"/>
      <c r="BA8691" s="497">
        <v>14.719999999999999</v>
      </c>
      <c r="BB8691" s="42"/>
      <c r="BC8691" s="74"/>
      <c r="BD8691" s="77"/>
      <c r="BF8691">
        <v>10.940000000000001</v>
      </c>
      <c r="BH8691" s="42"/>
      <c r="BI8691" s="74"/>
      <c r="BJ8691" s="77"/>
      <c r="BL8691" s="497">
        <v>12.920000000000002</v>
      </c>
      <c r="BN8691" s="42"/>
      <c r="BO8691" s="74"/>
      <c r="BP8691" s="77"/>
      <c r="BR8691" s="497">
        <v>5</v>
      </c>
      <c r="BT8691" s="42"/>
    </row>
    <row r="8692" spans="1:72" x14ac:dyDescent="0.25">
      <c r="A8692" s="90">
        <v>35792</v>
      </c>
      <c r="B8692" s="20">
        <v>0.41666666666666669</v>
      </c>
      <c r="D8692">
        <v>39.92</v>
      </c>
      <c r="E8692" t="str">
        <f t="shared" si="306"/>
        <v>SUNDAY</v>
      </c>
      <c r="F8692" t="e">
        <f t="shared" si="307"/>
        <v>#N/A</v>
      </c>
      <c r="G8692" s="74">
        <v>28487</v>
      </c>
      <c r="H8692" s="77">
        <v>0.41666666666666669</v>
      </c>
      <c r="J8692">
        <v>21.92</v>
      </c>
      <c r="M8692" s="74">
        <v>36888</v>
      </c>
      <c r="N8692" s="77">
        <v>0.41666666666666669</v>
      </c>
      <c r="P8692">
        <v>21.2</v>
      </c>
      <c r="S8692" s="74">
        <v>35792</v>
      </c>
      <c r="T8692" s="77">
        <v>0.41666666666666669</v>
      </c>
      <c r="V8692">
        <v>35.06</v>
      </c>
      <c r="X8692" s="42"/>
      <c r="AB8692">
        <v>36.1</v>
      </c>
      <c r="AC8692">
        <v>35.6</v>
      </c>
      <c r="AE8692" s="74"/>
      <c r="AF8692" s="77"/>
      <c r="AH8692" s="497">
        <v>17.600000000000001</v>
      </c>
      <c r="AJ8692" s="42"/>
      <c r="AK8692" s="74"/>
      <c r="AL8692" s="77"/>
      <c r="AN8692" s="497">
        <v>17.059999999999999</v>
      </c>
      <c r="AP8692" s="42"/>
      <c r="AQ8692" s="74"/>
      <c r="AR8692" s="77"/>
      <c r="AT8692" s="497">
        <v>15.98</v>
      </c>
      <c r="AV8692" s="42"/>
      <c r="AW8692" s="74"/>
      <c r="AX8692" s="77"/>
      <c r="BA8692" s="497">
        <v>17.059999999999999</v>
      </c>
      <c r="BB8692" s="42"/>
      <c r="BC8692" s="74"/>
      <c r="BD8692" s="77"/>
      <c r="BF8692">
        <v>10.940000000000001</v>
      </c>
      <c r="BH8692" s="42"/>
      <c r="BI8692" s="74"/>
      <c r="BJ8692" s="77"/>
      <c r="BL8692" s="497">
        <v>15.079999999999998</v>
      </c>
      <c r="BN8692" s="42"/>
      <c r="BO8692" s="74"/>
      <c r="BP8692" s="77"/>
      <c r="BR8692" s="497">
        <v>6.0799999999999983</v>
      </c>
      <c r="BT8692" s="42"/>
    </row>
    <row r="8693" spans="1:72" x14ac:dyDescent="0.25">
      <c r="A8693" s="90">
        <v>35792</v>
      </c>
      <c r="B8693" s="20">
        <v>0.45833333333333331</v>
      </c>
      <c r="D8693">
        <v>44.06</v>
      </c>
      <c r="E8693" t="str">
        <f t="shared" si="306"/>
        <v>SUNDAY</v>
      </c>
      <c r="F8693" t="e">
        <f t="shared" si="307"/>
        <v>#N/A</v>
      </c>
      <c r="G8693" s="74">
        <v>28487</v>
      </c>
      <c r="H8693" s="77">
        <v>0.45833333333333331</v>
      </c>
      <c r="J8693">
        <v>24.08</v>
      </c>
      <c r="M8693" s="74">
        <v>36888</v>
      </c>
      <c r="N8693" s="77">
        <v>0.45833333333333331</v>
      </c>
      <c r="P8693">
        <v>21.2</v>
      </c>
      <c r="S8693" s="74">
        <v>35792</v>
      </c>
      <c r="T8693" s="77">
        <v>0.45833333333333331</v>
      </c>
      <c r="V8693">
        <v>37.04</v>
      </c>
      <c r="X8693" s="42"/>
      <c r="AB8693">
        <v>37.5</v>
      </c>
      <c r="AC8693">
        <v>35.6</v>
      </c>
      <c r="AE8693" s="74"/>
      <c r="AF8693" s="77"/>
      <c r="AH8693" s="497">
        <v>19.399999999999999</v>
      </c>
      <c r="AJ8693" s="42"/>
      <c r="AK8693" s="74"/>
      <c r="AL8693" s="77"/>
      <c r="AN8693" s="497">
        <v>17.96</v>
      </c>
      <c r="AP8693" s="42"/>
      <c r="AQ8693" s="74"/>
      <c r="AR8693" s="77"/>
      <c r="AT8693" s="497">
        <v>17.240000000000002</v>
      </c>
      <c r="AV8693" s="42"/>
      <c r="AW8693" s="74"/>
      <c r="AX8693" s="77"/>
      <c r="BA8693" s="497">
        <v>19.04</v>
      </c>
      <c r="BB8693" s="42"/>
      <c r="BC8693" s="74"/>
      <c r="BD8693" s="77"/>
      <c r="BF8693">
        <v>12.920000000000002</v>
      </c>
      <c r="BH8693" s="42"/>
      <c r="BI8693" s="74"/>
      <c r="BJ8693" s="77"/>
      <c r="BL8693" s="497">
        <v>15.98</v>
      </c>
      <c r="BN8693" s="42"/>
      <c r="BO8693" s="74"/>
      <c r="BP8693" s="77"/>
      <c r="BR8693" s="497">
        <v>6.98</v>
      </c>
      <c r="BT8693" s="42"/>
    </row>
    <row r="8694" spans="1:72" x14ac:dyDescent="0.25">
      <c r="A8694" s="90">
        <v>35792</v>
      </c>
      <c r="B8694" s="20">
        <v>0.5</v>
      </c>
      <c r="D8694">
        <v>46.04</v>
      </c>
      <c r="E8694" t="str">
        <f t="shared" si="306"/>
        <v>SUNDAY</v>
      </c>
      <c r="F8694" t="e">
        <f t="shared" si="307"/>
        <v>#N/A</v>
      </c>
      <c r="G8694" s="74">
        <v>28487</v>
      </c>
      <c r="H8694" s="77">
        <v>0.5</v>
      </c>
      <c r="J8694">
        <v>24.98</v>
      </c>
      <c r="M8694" s="74">
        <v>36888</v>
      </c>
      <c r="N8694" s="77">
        <v>0.5</v>
      </c>
      <c r="P8694">
        <v>23</v>
      </c>
      <c r="S8694" s="74">
        <v>35792</v>
      </c>
      <c r="T8694" s="77">
        <v>0.5</v>
      </c>
      <c r="V8694">
        <v>35.96</v>
      </c>
      <c r="X8694" s="42"/>
      <c r="AB8694">
        <v>38.700000000000003</v>
      </c>
      <c r="AC8694">
        <v>35.6</v>
      </c>
      <c r="AE8694" s="74"/>
      <c r="AF8694" s="77"/>
      <c r="AH8694" s="497">
        <v>21.2</v>
      </c>
      <c r="AJ8694" s="42"/>
      <c r="AK8694" s="74"/>
      <c r="AL8694" s="77"/>
      <c r="AN8694" s="497">
        <v>17.96</v>
      </c>
      <c r="AP8694" s="42"/>
      <c r="AQ8694" s="74"/>
      <c r="AR8694" s="77"/>
      <c r="AT8694" s="497">
        <v>18.68</v>
      </c>
      <c r="AV8694" s="42"/>
      <c r="AW8694" s="74"/>
      <c r="AX8694" s="77"/>
      <c r="BA8694" s="497">
        <v>21.02</v>
      </c>
      <c r="BB8694" s="42"/>
      <c r="BC8694" s="74"/>
      <c r="BD8694" s="77"/>
      <c r="BF8694">
        <v>14</v>
      </c>
      <c r="BH8694" s="42"/>
      <c r="BI8694" s="74"/>
      <c r="BJ8694" s="77"/>
      <c r="BL8694" s="497">
        <v>17.96</v>
      </c>
      <c r="BN8694" s="42"/>
      <c r="BO8694" s="74"/>
      <c r="BP8694" s="77"/>
      <c r="BR8694" s="497">
        <v>10.039999999999999</v>
      </c>
      <c r="BT8694" s="42"/>
    </row>
    <row r="8695" spans="1:72" x14ac:dyDescent="0.25">
      <c r="A8695" s="90">
        <v>35792</v>
      </c>
      <c r="B8695" s="20">
        <v>0.54166666666666663</v>
      </c>
      <c r="D8695">
        <v>48.92</v>
      </c>
      <c r="E8695" t="str">
        <f t="shared" si="306"/>
        <v>SUNDAY</v>
      </c>
      <c r="F8695" t="e">
        <f t="shared" si="307"/>
        <v>#N/A</v>
      </c>
      <c r="G8695" s="74">
        <v>28487</v>
      </c>
      <c r="H8695" s="77">
        <v>0.54166666666666663</v>
      </c>
      <c r="J8695">
        <v>24.98</v>
      </c>
      <c r="M8695" s="74">
        <v>36888</v>
      </c>
      <c r="N8695" s="77">
        <v>0.54166666666666663</v>
      </c>
      <c r="P8695">
        <v>23</v>
      </c>
      <c r="S8695" s="74">
        <v>35792</v>
      </c>
      <c r="T8695" s="77">
        <v>0.54166666666666663</v>
      </c>
      <c r="V8695">
        <v>37.94</v>
      </c>
      <c r="X8695" s="42"/>
      <c r="AB8695">
        <v>39.700000000000003</v>
      </c>
      <c r="AC8695">
        <v>37.4</v>
      </c>
      <c r="AE8695" s="74"/>
      <c r="AF8695" s="77"/>
      <c r="AH8695" s="497">
        <v>23</v>
      </c>
      <c r="AJ8695" s="42"/>
      <c r="AK8695" s="74"/>
      <c r="AL8695" s="77"/>
      <c r="AN8695" s="497">
        <v>19.939999999999998</v>
      </c>
      <c r="AP8695" s="42"/>
      <c r="AQ8695" s="74"/>
      <c r="AR8695" s="77"/>
      <c r="AT8695" s="497">
        <v>19.939999999999998</v>
      </c>
      <c r="AV8695" s="42"/>
      <c r="AW8695" s="74"/>
      <c r="AX8695" s="77"/>
      <c r="BA8695" s="497">
        <v>23</v>
      </c>
      <c r="BB8695" s="42"/>
      <c r="BC8695" s="74"/>
      <c r="BD8695" s="77"/>
      <c r="BF8695">
        <v>15.079999999999998</v>
      </c>
      <c r="BH8695" s="42"/>
      <c r="BI8695" s="74"/>
      <c r="BJ8695" s="77"/>
      <c r="BL8695" s="497">
        <v>19.04</v>
      </c>
      <c r="BN8695" s="42"/>
      <c r="BO8695" s="74"/>
      <c r="BP8695" s="77"/>
      <c r="BR8695" s="497">
        <v>12.02</v>
      </c>
      <c r="BT8695" s="42"/>
    </row>
    <row r="8696" spans="1:72" x14ac:dyDescent="0.25">
      <c r="A8696" s="90">
        <v>35792</v>
      </c>
      <c r="B8696" s="20">
        <v>0.58333333333333337</v>
      </c>
      <c r="D8696">
        <v>51.08</v>
      </c>
      <c r="E8696" t="str">
        <f t="shared" si="306"/>
        <v>SUNDAY</v>
      </c>
      <c r="F8696" t="e">
        <f t="shared" si="307"/>
        <v>#N/A</v>
      </c>
      <c r="G8696" s="74">
        <v>28487</v>
      </c>
      <c r="H8696" s="77">
        <v>0.58333333333333337</v>
      </c>
      <c r="J8696">
        <v>28.04</v>
      </c>
      <c r="M8696" s="74">
        <v>36888</v>
      </c>
      <c r="N8696" s="77">
        <v>0.58333333333333337</v>
      </c>
      <c r="P8696">
        <v>24.8</v>
      </c>
      <c r="S8696" s="74">
        <v>35792</v>
      </c>
      <c r="T8696" s="77">
        <v>0.58333333333333337</v>
      </c>
      <c r="V8696">
        <v>39.019999999999996</v>
      </c>
      <c r="X8696" s="42"/>
      <c r="AB8696">
        <v>40.4</v>
      </c>
      <c r="AC8696">
        <v>37.4</v>
      </c>
      <c r="AE8696" s="74"/>
      <c r="AF8696" s="77"/>
      <c r="AH8696" s="497">
        <v>24.8</v>
      </c>
      <c r="AJ8696" s="42"/>
      <c r="AK8696" s="74"/>
      <c r="AL8696" s="77"/>
      <c r="AN8696" s="497">
        <v>19.04</v>
      </c>
      <c r="AP8696" s="42"/>
      <c r="AQ8696" s="74"/>
      <c r="AR8696" s="77"/>
      <c r="AT8696" s="497">
        <v>19.939999999999998</v>
      </c>
      <c r="AV8696" s="42"/>
      <c r="AW8696" s="74"/>
      <c r="AX8696" s="77"/>
      <c r="BA8696" s="497">
        <v>22.28</v>
      </c>
      <c r="BB8696" s="42"/>
      <c r="BC8696" s="74"/>
      <c r="BD8696" s="77"/>
      <c r="BF8696">
        <v>15.079999999999998</v>
      </c>
      <c r="BH8696" s="42"/>
      <c r="BI8696" s="74"/>
      <c r="BJ8696" s="77"/>
      <c r="BL8696" s="497">
        <v>19.939999999999998</v>
      </c>
      <c r="BN8696" s="42"/>
      <c r="BO8696" s="74"/>
      <c r="BP8696" s="77"/>
      <c r="BR8696" s="497">
        <v>12.02</v>
      </c>
      <c r="BT8696" s="42"/>
    </row>
    <row r="8697" spans="1:72" x14ac:dyDescent="0.25">
      <c r="A8697" s="90">
        <v>35792</v>
      </c>
      <c r="B8697" s="20">
        <v>0.625</v>
      </c>
      <c r="D8697">
        <v>51.08</v>
      </c>
      <c r="E8697" t="str">
        <f t="shared" si="306"/>
        <v>SUNDAY</v>
      </c>
      <c r="F8697" t="e">
        <f t="shared" si="307"/>
        <v>#N/A</v>
      </c>
      <c r="G8697" s="74">
        <v>28487</v>
      </c>
      <c r="H8697" s="77">
        <v>0.625</v>
      </c>
      <c r="J8697">
        <v>26.96</v>
      </c>
      <c r="M8697" s="74">
        <v>36888</v>
      </c>
      <c r="N8697" s="77">
        <v>0.625</v>
      </c>
      <c r="P8697">
        <v>24.8</v>
      </c>
      <c r="S8697" s="74">
        <v>35792</v>
      </c>
      <c r="T8697" s="77">
        <v>0.625</v>
      </c>
      <c r="V8697">
        <v>37.04</v>
      </c>
      <c r="X8697" s="42"/>
      <c r="AB8697">
        <v>40.700000000000003</v>
      </c>
      <c r="AC8697">
        <v>37.4</v>
      </c>
      <c r="AE8697" s="74"/>
      <c r="AF8697" s="77"/>
      <c r="AH8697" s="497">
        <v>26.6</v>
      </c>
      <c r="AJ8697" s="42"/>
      <c r="AK8697" s="74"/>
      <c r="AL8697" s="77"/>
      <c r="AN8697" s="497">
        <v>19.04</v>
      </c>
      <c r="AP8697" s="42"/>
      <c r="AQ8697" s="74"/>
      <c r="AR8697" s="77"/>
      <c r="AT8697" s="497">
        <v>19.939999999999998</v>
      </c>
      <c r="AV8697" s="42"/>
      <c r="AW8697" s="74"/>
      <c r="AX8697" s="77"/>
      <c r="BA8697" s="497">
        <v>21.740000000000002</v>
      </c>
      <c r="BB8697" s="42"/>
      <c r="BC8697" s="74"/>
      <c r="BD8697" s="77"/>
      <c r="BF8697">
        <v>15.98</v>
      </c>
      <c r="BH8697" s="42"/>
      <c r="BI8697" s="74"/>
      <c r="BJ8697" s="77"/>
      <c r="BL8697" s="497">
        <v>21.02</v>
      </c>
      <c r="BN8697" s="42"/>
      <c r="BO8697" s="74"/>
      <c r="BP8697" s="77"/>
      <c r="BR8697" s="497">
        <v>12.02</v>
      </c>
      <c r="BT8697" s="42"/>
    </row>
    <row r="8698" spans="1:72" x14ac:dyDescent="0.25">
      <c r="A8698" s="90">
        <v>35792</v>
      </c>
      <c r="B8698" s="20">
        <v>0.66666666666666663</v>
      </c>
      <c r="D8698">
        <v>51.08</v>
      </c>
      <c r="E8698" t="str">
        <f t="shared" si="306"/>
        <v>SUNDAY</v>
      </c>
      <c r="F8698" t="e">
        <f t="shared" si="307"/>
        <v>#N/A</v>
      </c>
      <c r="G8698" s="74">
        <v>28487</v>
      </c>
      <c r="H8698" s="77">
        <v>0.66666666666666663</v>
      </c>
      <c r="J8698">
        <v>26.060000000000002</v>
      </c>
      <c r="M8698" s="74">
        <v>36888</v>
      </c>
      <c r="N8698" s="77">
        <v>0.66666666666666663</v>
      </c>
      <c r="P8698">
        <v>24.8</v>
      </c>
      <c r="S8698" s="74">
        <v>35792</v>
      </c>
      <c r="T8698" s="77">
        <v>0.66666666666666663</v>
      </c>
      <c r="V8698">
        <v>37.94</v>
      </c>
      <c r="X8698" s="42"/>
      <c r="AB8698">
        <v>40.6</v>
      </c>
      <c r="AC8698">
        <v>37.4</v>
      </c>
      <c r="AE8698" s="74"/>
      <c r="AF8698" s="77"/>
      <c r="AH8698" s="497">
        <v>26.6</v>
      </c>
      <c r="AJ8698" s="42"/>
      <c r="AK8698" s="74"/>
      <c r="AL8698" s="77"/>
      <c r="AN8698" s="497">
        <v>17.96</v>
      </c>
      <c r="AP8698" s="42"/>
      <c r="AQ8698" s="74"/>
      <c r="AR8698" s="77"/>
      <c r="AT8698" s="497">
        <v>19.939999999999998</v>
      </c>
      <c r="AV8698" s="42"/>
      <c r="AW8698" s="74"/>
      <c r="AX8698" s="77"/>
      <c r="BA8698" s="497">
        <v>21.02</v>
      </c>
      <c r="BB8698" s="42"/>
      <c r="BC8698" s="74"/>
      <c r="BD8698" s="77"/>
      <c r="BF8698">
        <v>15.98</v>
      </c>
      <c r="BH8698" s="42"/>
      <c r="BI8698" s="74"/>
      <c r="BJ8698" s="77"/>
      <c r="BL8698" s="497">
        <v>21.02</v>
      </c>
      <c r="BN8698" s="42"/>
      <c r="BO8698" s="74"/>
      <c r="BP8698" s="77"/>
      <c r="BR8698" s="497">
        <v>12.02</v>
      </c>
      <c r="BT8698" s="42"/>
    </row>
    <row r="8699" spans="1:72" x14ac:dyDescent="0.25">
      <c r="A8699" s="90">
        <v>35792</v>
      </c>
      <c r="B8699" s="20">
        <v>0.70833333333333337</v>
      </c>
      <c r="D8699">
        <v>46.94</v>
      </c>
      <c r="E8699" t="str">
        <f t="shared" si="306"/>
        <v>SUNDAY</v>
      </c>
      <c r="F8699" t="e">
        <f t="shared" si="307"/>
        <v>#N/A</v>
      </c>
      <c r="G8699" s="74">
        <v>28487</v>
      </c>
      <c r="H8699" s="77">
        <v>0.70833333333333337</v>
      </c>
      <c r="J8699">
        <v>24.98</v>
      </c>
      <c r="M8699" s="74">
        <v>36888</v>
      </c>
      <c r="N8699" s="77">
        <v>0.70833333333333337</v>
      </c>
      <c r="P8699">
        <v>23</v>
      </c>
      <c r="S8699" s="74">
        <v>35792</v>
      </c>
      <c r="T8699" s="77">
        <v>0.70833333333333337</v>
      </c>
      <c r="V8699">
        <v>35.96</v>
      </c>
      <c r="X8699" s="42"/>
      <c r="AB8699">
        <v>39.799999999999997</v>
      </c>
      <c r="AC8699">
        <v>35.6</v>
      </c>
      <c r="AE8699" s="74"/>
      <c r="AF8699" s="77"/>
      <c r="AH8699" s="497">
        <v>24.8</v>
      </c>
      <c r="AJ8699" s="42"/>
      <c r="AK8699" s="74"/>
      <c r="AL8699" s="77"/>
      <c r="AN8699" s="497">
        <v>15.98</v>
      </c>
      <c r="AP8699" s="42"/>
      <c r="AQ8699" s="74"/>
      <c r="AR8699" s="77"/>
      <c r="AT8699" s="497">
        <v>18.68</v>
      </c>
      <c r="AV8699" s="42"/>
      <c r="AW8699" s="74"/>
      <c r="AX8699" s="77"/>
      <c r="BA8699" s="497">
        <v>20.299999999999997</v>
      </c>
      <c r="BB8699" s="42"/>
      <c r="BC8699" s="74"/>
      <c r="BD8699" s="77"/>
      <c r="BF8699">
        <v>15.079999999999998</v>
      </c>
      <c r="BH8699" s="42"/>
      <c r="BI8699" s="74"/>
      <c r="BJ8699" s="77"/>
      <c r="BL8699" s="497">
        <v>19.939999999999998</v>
      </c>
      <c r="BN8699" s="42"/>
      <c r="BO8699" s="74"/>
      <c r="BP8699" s="77"/>
      <c r="BR8699" s="497">
        <v>10.940000000000001</v>
      </c>
      <c r="BT8699" s="42"/>
    </row>
    <row r="8700" spans="1:72" x14ac:dyDescent="0.25">
      <c r="A8700" s="90">
        <v>35792</v>
      </c>
      <c r="B8700" s="20">
        <v>0.75</v>
      </c>
      <c r="D8700">
        <v>44.96</v>
      </c>
      <c r="E8700" t="str">
        <f t="shared" si="306"/>
        <v>SUNDAY</v>
      </c>
      <c r="F8700" t="e">
        <f t="shared" si="307"/>
        <v>#N/A</v>
      </c>
      <c r="G8700" s="74">
        <v>28487</v>
      </c>
      <c r="H8700" s="77">
        <v>0.75</v>
      </c>
      <c r="J8700">
        <v>24.98</v>
      </c>
      <c r="M8700" s="74">
        <v>36888</v>
      </c>
      <c r="N8700" s="77">
        <v>0.75</v>
      </c>
      <c r="P8700">
        <v>21.2</v>
      </c>
      <c r="S8700" s="74">
        <v>35792</v>
      </c>
      <c r="T8700" s="77">
        <v>0.75</v>
      </c>
      <c r="V8700">
        <v>35.96</v>
      </c>
      <c r="X8700" s="42"/>
      <c r="AB8700">
        <v>38.799999999999997</v>
      </c>
      <c r="AC8700">
        <v>28.4</v>
      </c>
      <c r="AE8700" s="74"/>
      <c r="AF8700" s="77"/>
      <c r="AH8700" s="497">
        <v>24.8</v>
      </c>
      <c r="AJ8700" s="42"/>
      <c r="AK8700" s="74"/>
      <c r="AL8700" s="77"/>
      <c r="AN8700" s="497">
        <v>15.98</v>
      </c>
      <c r="AP8700" s="42"/>
      <c r="AQ8700" s="74"/>
      <c r="AR8700" s="77"/>
      <c r="AT8700" s="497">
        <v>17.240000000000002</v>
      </c>
      <c r="AV8700" s="42"/>
      <c r="AW8700" s="74"/>
      <c r="AX8700" s="77"/>
      <c r="BA8700" s="497">
        <v>19.759999999999998</v>
      </c>
      <c r="BB8700" s="42"/>
      <c r="BC8700" s="74"/>
      <c r="BD8700" s="77"/>
      <c r="BF8700">
        <v>15.079999999999998</v>
      </c>
      <c r="BH8700" s="42"/>
      <c r="BI8700" s="74"/>
      <c r="BJ8700" s="77"/>
      <c r="BL8700" s="497">
        <v>19.04</v>
      </c>
      <c r="BN8700" s="42"/>
      <c r="BO8700" s="74"/>
      <c r="BP8700" s="77"/>
      <c r="BR8700" s="497">
        <v>12.02</v>
      </c>
      <c r="BT8700" s="42"/>
    </row>
    <row r="8701" spans="1:72" x14ac:dyDescent="0.25">
      <c r="A8701" s="90">
        <v>35792</v>
      </c>
      <c r="B8701" s="20">
        <v>0.79166666666666663</v>
      </c>
      <c r="D8701">
        <v>44.06</v>
      </c>
      <c r="E8701" t="str">
        <f t="shared" si="306"/>
        <v>SUNDAY</v>
      </c>
      <c r="F8701" t="e">
        <f t="shared" si="307"/>
        <v>#N/A</v>
      </c>
      <c r="G8701" s="74">
        <v>28487</v>
      </c>
      <c r="H8701" s="77">
        <v>0.79166666666666663</v>
      </c>
      <c r="J8701">
        <v>24.98</v>
      </c>
      <c r="M8701" s="74">
        <v>36888</v>
      </c>
      <c r="N8701" s="77">
        <v>0.79166666666666663</v>
      </c>
      <c r="P8701">
        <v>19.399999999999999</v>
      </c>
      <c r="S8701" s="74">
        <v>35792</v>
      </c>
      <c r="T8701" s="77">
        <v>0.79166666666666663</v>
      </c>
      <c r="V8701">
        <v>35.06</v>
      </c>
      <c r="X8701" s="42"/>
      <c r="AB8701">
        <v>38.200000000000003</v>
      </c>
      <c r="AC8701">
        <v>26.6</v>
      </c>
      <c r="AE8701" s="74"/>
      <c r="AF8701" s="77"/>
      <c r="AH8701" s="497">
        <v>24.8</v>
      </c>
      <c r="AJ8701" s="42"/>
      <c r="AK8701" s="74"/>
      <c r="AL8701" s="77"/>
      <c r="AN8701" s="497">
        <v>15.079999999999998</v>
      </c>
      <c r="AP8701" s="42"/>
      <c r="AQ8701" s="74"/>
      <c r="AR8701" s="77"/>
      <c r="AT8701" s="497">
        <v>15.98</v>
      </c>
      <c r="AV8701" s="42"/>
      <c r="AW8701" s="74"/>
      <c r="AX8701" s="77"/>
      <c r="BA8701" s="497">
        <v>19.04</v>
      </c>
      <c r="BB8701" s="42"/>
      <c r="BC8701" s="74"/>
      <c r="BD8701" s="77"/>
      <c r="BF8701">
        <v>15.079999999999998</v>
      </c>
      <c r="BH8701" s="42"/>
      <c r="BI8701" s="74"/>
      <c r="BJ8701" s="77"/>
      <c r="BL8701" s="497">
        <v>19.04</v>
      </c>
      <c r="BN8701" s="42"/>
      <c r="BO8701" s="74"/>
      <c r="BP8701" s="77"/>
      <c r="BR8701" s="497">
        <v>12.920000000000002</v>
      </c>
      <c r="BT8701" s="42"/>
    </row>
    <row r="8702" spans="1:72" x14ac:dyDescent="0.25">
      <c r="A8702" s="90">
        <v>35792</v>
      </c>
      <c r="B8702" s="20">
        <v>0.83333333333333337</v>
      </c>
      <c r="D8702">
        <v>42.08</v>
      </c>
      <c r="E8702" t="str">
        <f t="shared" si="306"/>
        <v>SUNDAY</v>
      </c>
      <c r="F8702" t="e">
        <f t="shared" si="307"/>
        <v>#N/A</v>
      </c>
      <c r="G8702" s="74">
        <v>28487</v>
      </c>
      <c r="H8702" s="77">
        <v>0.83333333333333337</v>
      </c>
      <c r="J8702">
        <v>24.98</v>
      </c>
      <c r="M8702" s="74">
        <v>36888</v>
      </c>
      <c r="N8702" s="77">
        <v>0.83333333333333337</v>
      </c>
      <c r="P8702">
        <v>19.399999999999999</v>
      </c>
      <c r="S8702" s="74">
        <v>35792</v>
      </c>
      <c r="T8702" s="77">
        <v>0.83333333333333337</v>
      </c>
      <c r="V8702">
        <v>35.06</v>
      </c>
      <c r="X8702" s="42"/>
      <c r="AB8702">
        <v>38</v>
      </c>
      <c r="AC8702">
        <v>25.7</v>
      </c>
      <c r="AE8702" s="74"/>
      <c r="AF8702" s="77"/>
      <c r="AH8702" s="497">
        <v>24.8</v>
      </c>
      <c r="AJ8702" s="42"/>
      <c r="AK8702" s="74"/>
      <c r="AL8702" s="77"/>
      <c r="AN8702" s="497">
        <v>14</v>
      </c>
      <c r="AP8702" s="42"/>
      <c r="AQ8702" s="74"/>
      <c r="AR8702" s="77"/>
      <c r="AT8702" s="497">
        <v>14.719999999999999</v>
      </c>
      <c r="AV8702" s="42"/>
      <c r="AW8702" s="74"/>
      <c r="AX8702" s="77"/>
      <c r="BA8702" s="497">
        <v>17.78</v>
      </c>
      <c r="BB8702" s="42"/>
      <c r="BC8702" s="74"/>
      <c r="BD8702" s="77"/>
      <c r="BF8702">
        <v>15.079999999999998</v>
      </c>
      <c r="BH8702" s="42"/>
      <c r="BI8702" s="74"/>
      <c r="BJ8702" s="77"/>
      <c r="BL8702" s="497">
        <v>17.96</v>
      </c>
      <c r="BN8702" s="42"/>
      <c r="BO8702" s="74"/>
      <c r="BP8702" s="77"/>
      <c r="BR8702" s="497">
        <v>12.920000000000002</v>
      </c>
      <c r="BT8702" s="42"/>
    </row>
    <row r="8703" spans="1:72" x14ac:dyDescent="0.25">
      <c r="A8703" s="90">
        <v>35792</v>
      </c>
      <c r="B8703" s="20">
        <v>0.875</v>
      </c>
      <c r="D8703">
        <v>42.980000000000004</v>
      </c>
      <c r="E8703" t="str">
        <f t="shared" si="306"/>
        <v>SUNDAY</v>
      </c>
      <c r="F8703" t="e">
        <f t="shared" si="307"/>
        <v>#N/A</v>
      </c>
      <c r="G8703" s="74">
        <v>28487</v>
      </c>
      <c r="H8703" s="77">
        <v>0.875</v>
      </c>
      <c r="J8703">
        <v>23</v>
      </c>
      <c r="M8703" s="74">
        <v>36888</v>
      </c>
      <c r="N8703" s="77">
        <v>0.875</v>
      </c>
      <c r="P8703">
        <v>17.600000000000001</v>
      </c>
      <c r="S8703" s="74">
        <v>35792</v>
      </c>
      <c r="T8703" s="77">
        <v>0.875</v>
      </c>
      <c r="V8703">
        <v>33.979999999999997</v>
      </c>
      <c r="X8703" s="42"/>
      <c r="AB8703">
        <v>37.5</v>
      </c>
      <c r="AC8703">
        <v>24.8</v>
      </c>
      <c r="AE8703" s="74"/>
      <c r="AF8703" s="77"/>
      <c r="AH8703" s="497">
        <v>24.8</v>
      </c>
      <c r="AJ8703" s="42"/>
      <c r="AK8703" s="74"/>
      <c r="AL8703" s="77"/>
      <c r="AN8703" s="497">
        <v>15.079999999999998</v>
      </c>
      <c r="AP8703" s="42"/>
      <c r="AQ8703" s="74"/>
      <c r="AR8703" s="77"/>
      <c r="AT8703" s="497">
        <v>13.279999999999998</v>
      </c>
      <c r="AV8703" s="42"/>
      <c r="AW8703" s="74"/>
      <c r="AX8703" s="77"/>
      <c r="BA8703" s="497">
        <v>16.340000000000003</v>
      </c>
      <c r="BB8703" s="42"/>
      <c r="BC8703" s="74"/>
      <c r="BD8703" s="77"/>
      <c r="BF8703">
        <v>15.079999999999998</v>
      </c>
      <c r="BH8703" s="42"/>
      <c r="BI8703" s="74"/>
      <c r="BJ8703" s="77"/>
      <c r="BL8703" s="497">
        <v>17.059999999999999</v>
      </c>
      <c r="BN8703" s="42"/>
      <c r="BO8703" s="74"/>
      <c r="BP8703" s="77"/>
      <c r="BR8703" s="497">
        <v>12.920000000000002</v>
      </c>
      <c r="BT8703" s="42"/>
    </row>
    <row r="8704" spans="1:72" x14ac:dyDescent="0.25">
      <c r="A8704" s="90">
        <v>35792</v>
      </c>
      <c r="B8704" s="20">
        <v>0.91666666666666663</v>
      </c>
      <c r="D8704">
        <v>42.08</v>
      </c>
      <c r="E8704" t="str">
        <f t="shared" si="306"/>
        <v>SUNDAY</v>
      </c>
      <c r="F8704" t="e">
        <f t="shared" si="307"/>
        <v>#N/A</v>
      </c>
      <c r="G8704" s="74">
        <v>28487</v>
      </c>
      <c r="H8704" s="77">
        <v>0.91666666666666663</v>
      </c>
      <c r="J8704">
        <v>21.92</v>
      </c>
      <c r="M8704" s="74">
        <v>36888</v>
      </c>
      <c r="N8704" s="77">
        <v>0.91666666666666663</v>
      </c>
      <c r="P8704">
        <v>17.600000000000001</v>
      </c>
      <c r="S8704" s="74">
        <v>35792</v>
      </c>
      <c r="T8704" s="77">
        <v>0.91666666666666663</v>
      </c>
      <c r="V8704">
        <v>33.08</v>
      </c>
      <c r="X8704" s="42"/>
      <c r="AB8704">
        <v>36.9</v>
      </c>
      <c r="AC8704">
        <v>24.8</v>
      </c>
      <c r="AE8704" s="74"/>
      <c r="AF8704" s="77"/>
      <c r="AH8704" s="497">
        <v>26.6</v>
      </c>
      <c r="AJ8704" s="42"/>
      <c r="AK8704" s="74"/>
      <c r="AL8704" s="77"/>
      <c r="AN8704" s="497">
        <v>15.079999999999998</v>
      </c>
      <c r="AP8704" s="42"/>
      <c r="AQ8704" s="74"/>
      <c r="AR8704" s="77"/>
      <c r="AT8704" s="497">
        <v>12.02</v>
      </c>
      <c r="AV8704" s="42"/>
      <c r="AW8704" s="74"/>
      <c r="AX8704" s="77"/>
      <c r="BA8704" s="497">
        <v>15.079999999999998</v>
      </c>
      <c r="BB8704" s="42"/>
      <c r="BC8704" s="74"/>
      <c r="BD8704" s="77"/>
      <c r="BF8704">
        <v>15.079999999999998</v>
      </c>
      <c r="BH8704" s="42"/>
      <c r="BI8704" s="74"/>
      <c r="BJ8704" s="77"/>
      <c r="BL8704" s="497">
        <v>17.059999999999999</v>
      </c>
      <c r="BN8704" s="42"/>
      <c r="BO8704" s="74"/>
      <c r="BP8704" s="77"/>
      <c r="BR8704" s="497">
        <v>12.920000000000002</v>
      </c>
      <c r="BT8704" s="42"/>
    </row>
    <row r="8705" spans="1:72" x14ac:dyDescent="0.25">
      <c r="A8705" s="90">
        <v>35792</v>
      </c>
      <c r="B8705" s="20">
        <v>0.95833333333333337</v>
      </c>
      <c r="D8705">
        <v>42.08</v>
      </c>
      <c r="E8705" t="str">
        <f t="shared" si="306"/>
        <v>SUNDAY</v>
      </c>
      <c r="F8705" t="e">
        <f t="shared" si="307"/>
        <v>#N/A</v>
      </c>
      <c r="G8705" s="74">
        <v>28487</v>
      </c>
      <c r="H8705" s="77">
        <v>0.95833333333333337</v>
      </c>
      <c r="J8705">
        <v>21.02</v>
      </c>
      <c r="M8705" s="74">
        <v>36888</v>
      </c>
      <c r="N8705" s="77">
        <v>0.95833333333333337</v>
      </c>
      <c r="P8705">
        <v>17.600000000000001</v>
      </c>
      <c r="S8705" s="74">
        <v>35792</v>
      </c>
      <c r="T8705" s="77">
        <v>0.95833333333333337</v>
      </c>
      <c r="V8705">
        <v>30.02</v>
      </c>
      <c r="X8705" s="42"/>
      <c r="AB8705">
        <v>36.5</v>
      </c>
      <c r="AC8705">
        <v>23</v>
      </c>
      <c r="AE8705" s="74"/>
      <c r="AF8705" s="77"/>
      <c r="AH8705" s="497">
        <v>26.6</v>
      </c>
      <c r="AJ8705" s="42"/>
      <c r="AK8705" s="74"/>
      <c r="AL8705" s="77"/>
      <c r="AN8705" s="497">
        <v>15.079999999999998</v>
      </c>
      <c r="AP8705" s="42"/>
      <c r="AQ8705" s="74"/>
      <c r="AR8705" s="77"/>
      <c r="AT8705" s="497">
        <v>10.399999999999999</v>
      </c>
      <c r="AV8705" s="42"/>
      <c r="AW8705" s="74"/>
      <c r="AX8705" s="77"/>
      <c r="BA8705" s="497">
        <v>15.8</v>
      </c>
      <c r="BB8705" s="42"/>
      <c r="BC8705" s="74"/>
      <c r="BD8705" s="77"/>
      <c r="BF8705">
        <v>15.079999999999998</v>
      </c>
      <c r="BH8705" s="42"/>
      <c r="BI8705" s="74"/>
      <c r="BJ8705" s="77"/>
      <c r="BL8705" s="497">
        <v>17.96</v>
      </c>
      <c r="BN8705" s="42"/>
      <c r="BO8705" s="74"/>
      <c r="BP8705" s="77"/>
      <c r="BR8705" s="497">
        <v>12.920000000000002</v>
      </c>
      <c r="BT8705" s="42"/>
    </row>
    <row r="8706" spans="1:72" x14ac:dyDescent="0.25">
      <c r="A8706" s="90">
        <v>35792</v>
      </c>
      <c r="B8706" s="20">
        <v>1</v>
      </c>
      <c r="D8706">
        <v>42.08</v>
      </c>
      <c r="E8706" t="str">
        <f t="shared" si="306"/>
        <v>SUNDAY</v>
      </c>
      <c r="F8706" t="e">
        <f t="shared" si="307"/>
        <v>#N/A</v>
      </c>
      <c r="G8706" s="74">
        <v>28487</v>
      </c>
      <c r="H8706" s="77">
        <v>1</v>
      </c>
      <c r="J8706">
        <v>19.04</v>
      </c>
      <c r="M8706" s="74">
        <v>36888</v>
      </c>
      <c r="N8706" s="80">
        <v>1</v>
      </c>
      <c r="P8706">
        <v>17.600000000000001</v>
      </c>
      <c r="S8706" s="74">
        <v>35792</v>
      </c>
      <c r="T8706" s="80">
        <v>1</v>
      </c>
      <c r="V8706">
        <v>28.04</v>
      </c>
      <c r="X8706" s="42"/>
      <c r="AB8706">
        <v>36.1</v>
      </c>
      <c r="AC8706">
        <v>23</v>
      </c>
      <c r="AE8706" s="74"/>
      <c r="AF8706" s="80"/>
      <c r="AH8706" s="497">
        <v>26.6</v>
      </c>
      <c r="AJ8706" s="42"/>
      <c r="AK8706" s="74"/>
      <c r="AL8706" s="80"/>
      <c r="AN8706" s="497">
        <v>15.079999999999998</v>
      </c>
      <c r="AP8706" s="42"/>
      <c r="AQ8706" s="74"/>
      <c r="AR8706" s="80"/>
      <c r="AT8706" s="497">
        <v>8.5999999999999979</v>
      </c>
      <c r="AV8706" s="42"/>
      <c r="AW8706" s="74"/>
      <c r="AX8706" s="80"/>
      <c r="BA8706" s="497">
        <v>16.340000000000003</v>
      </c>
      <c r="BB8706" s="42"/>
      <c r="BC8706" s="74"/>
      <c r="BD8706" s="80"/>
      <c r="BF8706">
        <v>15.079999999999998</v>
      </c>
      <c r="BH8706" s="42"/>
      <c r="BI8706" s="74"/>
      <c r="BJ8706" s="80"/>
      <c r="BL8706" s="497">
        <v>19.04</v>
      </c>
      <c r="BN8706" s="42"/>
      <c r="BO8706" s="74"/>
      <c r="BP8706" s="80"/>
      <c r="BR8706" s="497">
        <v>12.02</v>
      </c>
      <c r="BT8706" s="42"/>
    </row>
    <row r="8707" spans="1:72" x14ac:dyDescent="0.25">
      <c r="A8707" s="90">
        <v>35793</v>
      </c>
      <c r="B8707" s="20">
        <v>4.1666666666666664E-2</v>
      </c>
      <c r="D8707">
        <v>41</v>
      </c>
      <c r="E8707" t="str">
        <f t="shared" si="306"/>
        <v>WEEKDAY</v>
      </c>
      <c r="F8707" t="e">
        <f t="shared" si="307"/>
        <v>#N/A</v>
      </c>
      <c r="G8707" s="74">
        <v>28488</v>
      </c>
      <c r="H8707" s="77">
        <v>4.1666666666666664E-2</v>
      </c>
      <c r="J8707">
        <v>19.04</v>
      </c>
      <c r="M8707" s="74">
        <v>36889</v>
      </c>
      <c r="N8707" s="77">
        <v>4.1666666666666664E-2</v>
      </c>
      <c r="P8707">
        <v>15.8</v>
      </c>
      <c r="S8707" s="74">
        <v>35793</v>
      </c>
      <c r="T8707" s="77">
        <v>4.1666666666666664E-2</v>
      </c>
      <c r="V8707">
        <v>26.96</v>
      </c>
      <c r="X8707" s="42"/>
      <c r="AB8707">
        <v>35.5</v>
      </c>
      <c r="AC8707">
        <v>24.8</v>
      </c>
      <c r="AE8707" s="74"/>
      <c r="AF8707" s="77"/>
      <c r="AH8707" s="497">
        <v>26.6</v>
      </c>
      <c r="AJ8707" s="42"/>
      <c r="AK8707" s="74"/>
      <c r="AL8707" s="77"/>
      <c r="AN8707" s="497">
        <v>12.02</v>
      </c>
      <c r="AP8707" s="42"/>
      <c r="AQ8707" s="74"/>
      <c r="AR8707" s="77"/>
      <c r="AT8707" s="497">
        <v>6.98</v>
      </c>
      <c r="AV8707" s="42"/>
      <c r="AW8707" s="74"/>
      <c r="AX8707" s="77"/>
      <c r="BA8707" s="497">
        <v>17.059999999999999</v>
      </c>
      <c r="BB8707" s="42"/>
      <c r="BC8707" s="74"/>
      <c r="BD8707" s="77"/>
      <c r="BF8707">
        <v>15.079999999999998</v>
      </c>
      <c r="BH8707" s="42"/>
      <c r="BI8707" s="74"/>
      <c r="BJ8707" s="77"/>
      <c r="BL8707" s="497">
        <v>19.939999999999998</v>
      </c>
      <c r="BN8707" s="42"/>
      <c r="BO8707" s="74"/>
      <c r="BP8707" s="77"/>
      <c r="BR8707" s="497">
        <v>10.940000000000001</v>
      </c>
      <c r="BT8707" s="42"/>
    </row>
    <row r="8708" spans="1:72" x14ac:dyDescent="0.25">
      <c r="A8708" s="90">
        <v>35793</v>
      </c>
      <c r="B8708" s="20">
        <v>8.3333333333333329E-2</v>
      </c>
      <c r="D8708">
        <v>41</v>
      </c>
      <c r="E8708" t="str">
        <f t="shared" si="306"/>
        <v>WEEKDAY</v>
      </c>
      <c r="F8708" t="e">
        <f t="shared" si="307"/>
        <v>#N/A</v>
      </c>
      <c r="G8708" s="74">
        <v>28488</v>
      </c>
      <c r="H8708" s="77">
        <v>8.3333333333333329E-2</v>
      </c>
      <c r="J8708">
        <v>19.04</v>
      </c>
      <c r="M8708" s="74">
        <v>36889</v>
      </c>
      <c r="N8708" s="77">
        <v>8.3333333333333329E-2</v>
      </c>
      <c r="P8708">
        <v>15.8</v>
      </c>
      <c r="S8708" s="74">
        <v>35793</v>
      </c>
      <c r="T8708" s="77">
        <v>8.3333333333333329E-2</v>
      </c>
      <c r="V8708">
        <v>28.94</v>
      </c>
      <c r="X8708" s="42"/>
      <c r="AB8708">
        <v>35.1</v>
      </c>
      <c r="AC8708">
        <v>28.4</v>
      </c>
      <c r="AE8708" s="74"/>
      <c r="AF8708" s="77"/>
      <c r="AH8708" s="497">
        <v>28.4</v>
      </c>
      <c r="AJ8708" s="42"/>
      <c r="AK8708" s="74"/>
      <c r="AL8708" s="77"/>
      <c r="AN8708" s="497">
        <v>10.039999999999999</v>
      </c>
      <c r="AP8708" s="42"/>
      <c r="AQ8708" s="74"/>
      <c r="AR8708" s="77"/>
      <c r="AT8708" s="497">
        <v>6.98</v>
      </c>
      <c r="AV8708" s="42"/>
      <c r="AW8708" s="74"/>
      <c r="AX8708" s="77"/>
      <c r="BA8708" s="497">
        <v>16.340000000000003</v>
      </c>
      <c r="BB8708" s="42"/>
      <c r="BC8708" s="74"/>
      <c r="BD8708" s="77"/>
      <c r="BF8708">
        <v>15.98</v>
      </c>
      <c r="BH8708" s="42"/>
      <c r="BI8708" s="74"/>
      <c r="BJ8708" s="77"/>
      <c r="BL8708" s="497">
        <v>19.04</v>
      </c>
      <c r="BN8708" s="42"/>
      <c r="BO8708" s="74"/>
      <c r="BP8708" s="77"/>
      <c r="BR8708" s="497">
        <v>10.940000000000001</v>
      </c>
      <c r="BT8708" s="42"/>
    </row>
    <row r="8709" spans="1:72" x14ac:dyDescent="0.25">
      <c r="A8709" s="90">
        <v>35793</v>
      </c>
      <c r="B8709" s="20">
        <v>0.125</v>
      </c>
      <c r="D8709">
        <v>39.019999999999996</v>
      </c>
      <c r="E8709" t="str">
        <f t="shared" si="306"/>
        <v>WEEKDAY</v>
      </c>
      <c r="F8709" t="e">
        <f t="shared" si="307"/>
        <v>#N/A</v>
      </c>
      <c r="G8709" s="74">
        <v>28488</v>
      </c>
      <c r="H8709" s="77">
        <v>0.125</v>
      </c>
      <c r="J8709">
        <v>19.04</v>
      </c>
      <c r="M8709" s="74">
        <v>36889</v>
      </c>
      <c r="N8709" s="77">
        <v>0.125</v>
      </c>
      <c r="P8709">
        <v>15.620000000000001</v>
      </c>
      <c r="S8709" s="74">
        <v>35793</v>
      </c>
      <c r="T8709" s="77">
        <v>0.125</v>
      </c>
      <c r="V8709">
        <v>26.96</v>
      </c>
      <c r="X8709" s="42"/>
      <c r="AB8709">
        <v>34.700000000000003</v>
      </c>
      <c r="AC8709">
        <v>28.4</v>
      </c>
      <c r="AE8709" s="74"/>
      <c r="AF8709" s="77"/>
      <c r="AH8709" s="497">
        <v>30.2</v>
      </c>
      <c r="AJ8709" s="42"/>
      <c r="AK8709" s="74"/>
      <c r="AL8709" s="77"/>
      <c r="AN8709" s="497">
        <v>10.039999999999999</v>
      </c>
      <c r="AP8709" s="42"/>
      <c r="AQ8709" s="74"/>
      <c r="AR8709" s="77"/>
      <c r="AT8709" s="497">
        <v>6.98</v>
      </c>
      <c r="AV8709" s="42"/>
      <c r="AW8709" s="74"/>
      <c r="AX8709" s="77"/>
      <c r="BA8709" s="497">
        <v>15.8</v>
      </c>
      <c r="BB8709" s="42"/>
      <c r="BC8709" s="74"/>
      <c r="BD8709" s="77"/>
      <c r="BF8709">
        <v>17.059999999999999</v>
      </c>
      <c r="BH8709" s="42"/>
      <c r="BI8709" s="74"/>
      <c r="BJ8709" s="77"/>
      <c r="BL8709" s="497">
        <v>19.04</v>
      </c>
      <c r="BN8709" s="42"/>
      <c r="BO8709" s="74"/>
      <c r="BP8709" s="77"/>
      <c r="BR8709" s="497">
        <v>10.039999999999999</v>
      </c>
      <c r="BT8709" s="42"/>
    </row>
    <row r="8710" spans="1:72" x14ac:dyDescent="0.25">
      <c r="A8710" s="90">
        <v>35793</v>
      </c>
      <c r="B8710" s="20">
        <v>0.16666666666666666</v>
      </c>
      <c r="D8710">
        <v>39.019999999999996</v>
      </c>
      <c r="E8710" t="str">
        <f t="shared" si="306"/>
        <v>WEEKDAY</v>
      </c>
      <c r="F8710" t="e">
        <f t="shared" si="307"/>
        <v>#N/A</v>
      </c>
      <c r="G8710" s="74">
        <v>28488</v>
      </c>
      <c r="H8710" s="77">
        <v>0.16666666666666666</v>
      </c>
      <c r="J8710">
        <v>19.04</v>
      </c>
      <c r="M8710" s="74">
        <v>36889</v>
      </c>
      <c r="N8710" s="77">
        <v>0.16666666666666666</v>
      </c>
      <c r="P8710">
        <v>15.8</v>
      </c>
      <c r="S8710" s="74">
        <v>35793</v>
      </c>
      <c r="T8710" s="77">
        <v>0.16666666666666666</v>
      </c>
      <c r="V8710">
        <v>28.94</v>
      </c>
      <c r="X8710" s="42"/>
      <c r="AB8710">
        <v>34.5</v>
      </c>
      <c r="AC8710">
        <v>30.2</v>
      </c>
      <c r="AE8710" s="74"/>
      <c r="AF8710" s="77"/>
      <c r="AH8710" s="497">
        <v>30.2</v>
      </c>
      <c r="AJ8710" s="42"/>
      <c r="AK8710" s="74"/>
      <c r="AL8710" s="77"/>
      <c r="AN8710" s="497">
        <v>10.940000000000001</v>
      </c>
      <c r="AP8710" s="42"/>
      <c r="AQ8710" s="74"/>
      <c r="AR8710" s="77"/>
      <c r="AT8710" s="497">
        <v>6.98</v>
      </c>
      <c r="AV8710" s="42"/>
      <c r="AW8710" s="74"/>
      <c r="AX8710" s="77"/>
      <c r="BA8710" s="497">
        <v>15.079999999999998</v>
      </c>
      <c r="BB8710" s="42"/>
      <c r="BC8710" s="74"/>
      <c r="BD8710" s="77"/>
      <c r="BF8710">
        <v>17.96</v>
      </c>
      <c r="BH8710" s="42"/>
      <c r="BI8710" s="74"/>
      <c r="BJ8710" s="77"/>
      <c r="BL8710" s="497">
        <v>19.04</v>
      </c>
      <c r="BN8710" s="42"/>
      <c r="BO8710" s="74"/>
      <c r="BP8710" s="77"/>
      <c r="BR8710" s="497">
        <v>10.039999999999999</v>
      </c>
      <c r="BT8710" s="42"/>
    </row>
    <row r="8711" spans="1:72" x14ac:dyDescent="0.25">
      <c r="A8711" s="90">
        <v>35793</v>
      </c>
      <c r="B8711" s="20">
        <v>0.20833333333333334</v>
      </c>
      <c r="D8711">
        <v>37.94</v>
      </c>
      <c r="E8711" t="str">
        <f t="shared" si="306"/>
        <v>WEEKDAY</v>
      </c>
      <c r="F8711" t="e">
        <f t="shared" si="307"/>
        <v>#N/A</v>
      </c>
      <c r="G8711" s="74">
        <v>28488</v>
      </c>
      <c r="H8711" s="77">
        <v>0.20833333333333334</v>
      </c>
      <c r="J8711">
        <v>17.96</v>
      </c>
      <c r="M8711" s="74">
        <v>36889</v>
      </c>
      <c r="N8711" s="77">
        <v>0.20833333333333334</v>
      </c>
      <c r="P8711">
        <v>15.8</v>
      </c>
      <c r="S8711" s="74">
        <v>35793</v>
      </c>
      <c r="T8711" s="77">
        <v>0.20833333333333334</v>
      </c>
      <c r="V8711">
        <v>32</v>
      </c>
      <c r="X8711" s="42"/>
      <c r="AB8711">
        <v>34.299999999999997</v>
      </c>
      <c r="AC8711">
        <v>30.2</v>
      </c>
      <c r="AE8711" s="74"/>
      <c r="AF8711" s="77"/>
      <c r="AH8711" s="497">
        <v>30.56</v>
      </c>
      <c r="AJ8711" s="42"/>
      <c r="AK8711" s="74"/>
      <c r="AL8711" s="77"/>
      <c r="AN8711" s="497">
        <v>10.039999999999999</v>
      </c>
      <c r="AP8711" s="42"/>
      <c r="AQ8711" s="74"/>
      <c r="AR8711" s="77"/>
      <c r="AT8711" s="497">
        <v>6.98</v>
      </c>
      <c r="AV8711" s="42"/>
      <c r="AW8711" s="74"/>
      <c r="AX8711" s="77"/>
      <c r="BA8711" s="497">
        <v>16.7</v>
      </c>
      <c r="BB8711" s="42"/>
      <c r="BC8711" s="74"/>
      <c r="BD8711" s="77"/>
      <c r="BF8711">
        <v>17.059999999999999</v>
      </c>
      <c r="BH8711" s="42"/>
      <c r="BI8711" s="74"/>
      <c r="BJ8711" s="77"/>
      <c r="BL8711" s="497">
        <v>19.939999999999998</v>
      </c>
      <c r="BN8711" s="42"/>
      <c r="BO8711" s="74"/>
      <c r="BP8711" s="77"/>
      <c r="BR8711" s="497">
        <v>8.0599999999999987</v>
      </c>
      <c r="BT8711" s="42"/>
    </row>
    <row r="8712" spans="1:72" x14ac:dyDescent="0.25">
      <c r="A8712" s="90">
        <v>35793</v>
      </c>
      <c r="B8712" s="20">
        <v>0.25</v>
      </c>
      <c r="D8712">
        <v>39.019999999999996</v>
      </c>
      <c r="E8712" t="str">
        <f t="shared" si="306"/>
        <v>WEEKDAY</v>
      </c>
      <c r="F8712" t="e">
        <f t="shared" si="307"/>
        <v>#N/A</v>
      </c>
      <c r="G8712" s="74">
        <v>28488</v>
      </c>
      <c r="H8712" s="77">
        <v>0.25</v>
      </c>
      <c r="J8712">
        <v>17.96</v>
      </c>
      <c r="M8712" s="74">
        <v>36889</v>
      </c>
      <c r="N8712" s="77">
        <v>0.25</v>
      </c>
      <c r="P8712">
        <v>15.8</v>
      </c>
      <c r="S8712" s="74">
        <v>35793</v>
      </c>
      <c r="T8712" s="77">
        <v>0.25</v>
      </c>
      <c r="V8712">
        <v>33.08</v>
      </c>
      <c r="X8712" s="42"/>
      <c r="AB8712">
        <v>34.1</v>
      </c>
      <c r="AC8712">
        <v>30.2</v>
      </c>
      <c r="AE8712" s="74"/>
      <c r="AF8712" s="77"/>
      <c r="AH8712" s="497">
        <v>30.92</v>
      </c>
      <c r="AJ8712" s="42"/>
      <c r="AK8712" s="74"/>
      <c r="AL8712" s="77"/>
      <c r="AN8712" s="497">
        <v>6.98</v>
      </c>
      <c r="AP8712" s="42"/>
      <c r="AQ8712" s="74"/>
      <c r="AR8712" s="77"/>
      <c r="AT8712" s="497">
        <v>6.98</v>
      </c>
      <c r="AV8712" s="42"/>
      <c r="AW8712" s="74"/>
      <c r="AX8712" s="77"/>
      <c r="BA8712" s="497">
        <v>18.32</v>
      </c>
      <c r="BB8712" s="42"/>
      <c r="BC8712" s="74"/>
      <c r="BD8712" s="77"/>
      <c r="BF8712">
        <v>17.059999999999999</v>
      </c>
      <c r="BH8712" s="42"/>
      <c r="BI8712" s="74"/>
      <c r="BJ8712" s="77"/>
      <c r="BL8712" s="497">
        <v>17.96</v>
      </c>
      <c r="BN8712" s="42"/>
      <c r="BO8712" s="74"/>
      <c r="BP8712" s="77"/>
      <c r="BR8712" s="497">
        <v>8.0599999999999987</v>
      </c>
      <c r="BT8712" s="42"/>
    </row>
    <row r="8713" spans="1:72" x14ac:dyDescent="0.25">
      <c r="A8713" s="90">
        <v>35793</v>
      </c>
      <c r="B8713" s="20">
        <v>0.29166666666666669</v>
      </c>
      <c r="D8713">
        <v>39.019999999999996</v>
      </c>
      <c r="E8713" t="str">
        <f t="shared" si="306"/>
        <v>WEEKDAY</v>
      </c>
      <c r="F8713" t="e">
        <f t="shared" si="307"/>
        <v>#N/A</v>
      </c>
      <c r="G8713" s="74">
        <v>28488</v>
      </c>
      <c r="H8713" s="77">
        <v>0.29166666666666669</v>
      </c>
      <c r="J8713">
        <v>17.96</v>
      </c>
      <c r="M8713" s="74">
        <v>36889</v>
      </c>
      <c r="N8713" s="77">
        <v>0.29166666666666669</v>
      </c>
      <c r="P8713">
        <v>15.8</v>
      </c>
      <c r="S8713" s="74">
        <v>35793</v>
      </c>
      <c r="T8713" s="77">
        <v>0.29166666666666669</v>
      </c>
      <c r="V8713">
        <v>33.08</v>
      </c>
      <c r="X8713" s="42"/>
      <c r="AB8713">
        <v>34.1</v>
      </c>
      <c r="AC8713">
        <v>30.2</v>
      </c>
      <c r="AE8713" s="74"/>
      <c r="AF8713" s="77"/>
      <c r="AH8713" s="497">
        <v>31.28</v>
      </c>
      <c r="AJ8713" s="42"/>
      <c r="AK8713" s="74"/>
      <c r="AL8713" s="77"/>
      <c r="AN8713" s="497">
        <v>6.98</v>
      </c>
      <c r="AP8713" s="42"/>
      <c r="AQ8713" s="74"/>
      <c r="AR8713" s="77"/>
      <c r="AT8713" s="497">
        <v>6.98</v>
      </c>
      <c r="AV8713" s="42"/>
      <c r="AW8713" s="74"/>
      <c r="AX8713" s="77"/>
      <c r="BA8713" s="497">
        <v>19.939999999999998</v>
      </c>
      <c r="BB8713" s="42"/>
      <c r="BC8713" s="74"/>
      <c r="BD8713" s="77"/>
      <c r="BF8713">
        <v>19.04</v>
      </c>
      <c r="BH8713" s="42"/>
      <c r="BI8713" s="74"/>
      <c r="BJ8713" s="77"/>
      <c r="BL8713" s="497">
        <v>17.96</v>
      </c>
      <c r="BN8713" s="42"/>
      <c r="BO8713" s="74"/>
      <c r="BP8713" s="77"/>
      <c r="BR8713" s="497">
        <v>6.98</v>
      </c>
      <c r="BT8713" s="42"/>
    </row>
    <row r="8714" spans="1:72" x14ac:dyDescent="0.25">
      <c r="A8714" s="90">
        <v>35793</v>
      </c>
      <c r="B8714" s="20">
        <v>0.33333333333333331</v>
      </c>
      <c r="D8714">
        <v>39.019999999999996</v>
      </c>
      <c r="E8714" t="str">
        <f t="shared" si="306"/>
        <v>WEEKDAY</v>
      </c>
      <c r="F8714" t="e">
        <f t="shared" si="307"/>
        <v>#N/A</v>
      </c>
      <c r="G8714" s="74">
        <v>28488</v>
      </c>
      <c r="H8714" s="77">
        <v>0.33333333333333331</v>
      </c>
      <c r="J8714">
        <v>17.96</v>
      </c>
      <c r="M8714" s="74">
        <v>36889</v>
      </c>
      <c r="N8714" s="77">
        <v>0.33333333333333331</v>
      </c>
      <c r="P8714">
        <v>15.8</v>
      </c>
      <c r="S8714" s="74">
        <v>35793</v>
      </c>
      <c r="T8714" s="77">
        <v>0.33333333333333331</v>
      </c>
      <c r="V8714">
        <v>33.08</v>
      </c>
      <c r="X8714" s="42"/>
      <c r="AB8714">
        <v>34.1</v>
      </c>
      <c r="AC8714">
        <v>30.2</v>
      </c>
      <c r="AE8714" s="74"/>
      <c r="AF8714" s="77"/>
      <c r="AH8714" s="497">
        <v>32</v>
      </c>
      <c r="AJ8714" s="42"/>
      <c r="AK8714" s="74"/>
      <c r="AL8714" s="77"/>
      <c r="AN8714" s="497">
        <v>6.98</v>
      </c>
      <c r="AP8714" s="42"/>
      <c r="AQ8714" s="74"/>
      <c r="AR8714" s="77"/>
      <c r="AT8714" s="497">
        <v>8.0599999999999987</v>
      </c>
      <c r="AV8714" s="42"/>
      <c r="AW8714" s="74"/>
      <c r="AX8714" s="77"/>
      <c r="BA8714" s="497">
        <v>21.02</v>
      </c>
      <c r="BB8714" s="42"/>
      <c r="BC8714" s="74"/>
      <c r="BD8714" s="77"/>
      <c r="BF8714">
        <v>19.939999999999998</v>
      </c>
      <c r="BH8714" s="42"/>
      <c r="BI8714" s="74"/>
      <c r="BJ8714" s="77"/>
      <c r="BL8714" s="497">
        <v>17.059999999999999</v>
      </c>
      <c r="BN8714" s="42"/>
      <c r="BO8714" s="74"/>
      <c r="BP8714" s="77"/>
      <c r="BR8714" s="497">
        <v>6.0799999999999983</v>
      </c>
      <c r="BT8714" s="42"/>
    </row>
    <row r="8715" spans="1:72" x14ac:dyDescent="0.25">
      <c r="A8715" s="90">
        <v>35793</v>
      </c>
      <c r="B8715" s="20">
        <v>0.375</v>
      </c>
      <c r="D8715">
        <v>41</v>
      </c>
      <c r="E8715" t="str">
        <f t="shared" si="306"/>
        <v>WEEKDAY</v>
      </c>
      <c r="F8715" t="e">
        <f t="shared" si="307"/>
        <v>#N/A</v>
      </c>
      <c r="G8715" s="74">
        <v>28488</v>
      </c>
      <c r="H8715" s="77">
        <v>0.375</v>
      </c>
      <c r="J8715">
        <v>19.939999999999998</v>
      </c>
      <c r="M8715" s="74">
        <v>36889</v>
      </c>
      <c r="N8715" s="77">
        <v>0.375</v>
      </c>
      <c r="P8715">
        <v>17.600000000000001</v>
      </c>
      <c r="S8715" s="74">
        <v>35793</v>
      </c>
      <c r="T8715" s="77">
        <v>0.375</v>
      </c>
      <c r="V8715">
        <v>33.979999999999997</v>
      </c>
      <c r="X8715" s="42"/>
      <c r="AB8715">
        <v>34.5</v>
      </c>
      <c r="AC8715">
        <v>35.6</v>
      </c>
      <c r="AE8715" s="74"/>
      <c r="AF8715" s="77"/>
      <c r="AH8715" s="497">
        <v>33.799999999999997</v>
      </c>
      <c r="AJ8715" s="42"/>
      <c r="AK8715" s="74"/>
      <c r="AL8715" s="77"/>
      <c r="AN8715" s="497">
        <v>8.9599999999999973</v>
      </c>
      <c r="AP8715" s="42"/>
      <c r="AQ8715" s="74"/>
      <c r="AR8715" s="77"/>
      <c r="AT8715" s="497">
        <v>8.9599999999999973</v>
      </c>
      <c r="AV8715" s="42"/>
      <c r="AW8715" s="74"/>
      <c r="AX8715" s="77"/>
      <c r="BA8715" s="497">
        <v>21.92</v>
      </c>
      <c r="BB8715" s="42"/>
      <c r="BC8715" s="74"/>
      <c r="BD8715" s="77"/>
      <c r="BF8715">
        <v>19.939999999999998</v>
      </c>
      <c r="BH8715" s="42"/>
      <c r="BI8715" s="74"/>
      <c r="BJ8715" s="77"/>
      <c r="BL8715" s="497">
        <v>21.02</v>
      </c>
      <c r="BN8715" s="42"/>
      <c r="BO8715" s="74"/>
      <c r="BP8715" s="77"/>
      <c r="BR8715" s="497">
        <v>6.0799999999999983</v>
      </c>
      <c r="BT8715" s="42"/>
    </row>
    <row r="8716" spans="1:72" x14ac:dyDescent="0.25">
      <c r="A8716" s="90">
        <v>35793</v>
      </c>
      <c r="B8716" s="20">
        <v>0.41666666666666669</v>
      </c>
      <c r="D8716">
        <v>44.06</v>
      </c>
      <c r="E8716" t="str">
        <f t="shared" si="306"/>
        <v>WEEKDAY</v>
      </c>
      <c r="F8716" t="e">
        <f t="shared" si="307"/>
        <v>#N/A</v>
      </c>
      <c r="G8716" s="74">
        <v>28488</v>
      </c>
      <c r="H8716" s="77">
        <v>0.41666666666666669</v>
      </c>
      <c r="J8716">
        <v>21.92</v>
      </c>
      <c r="M8716" s="74">
        <v>36889</v>
      </c>
      <c r="N8716" s="77">
        <v>0.41666666666666669</v>
      </c>
      <c r="P8716">
        <v>21.2</v>
      </c>
      <c r="S8716" s="74">
        <v>35793</v>
      </c>
      <c r="T8716" s="77">
        <v>0.41666666666666669</v>
      </c>
      <c r="V8716">
        <v>37.04</v>
      </c>
      <c r="X8716" s="42"/>
      <c r="AB8716">
        <v>35.9</v>
      </c>
      <c r="AC8716">
        <v>37.4</v>
      </c>
      <c r="AE8716" s="74"/>
      <c r="AF8716" s="77"/>
      <c r="AH8716" s="497">
        <v>33.799999999999997</v>
      </c>
      <c r="AJ8716" s="42"/>
      <c r="AK8716" s="74"/>
      <c r="AL8716" s="77"/>
      <c r="AN8716" s="497">
        <v>10.039999999999999</v>
      </c>
      <c r="AP8716" s="42"/>
      <c r="AQ8716" s="74"/>
      <c r="AR8716" s="77"/>
      <c r="AT8716" s="497">
        <v>10.039999999999999</v>
      </c>
      <c r="AV8716" s="42"/>
      <c r="AW8716" s="74"/>
      <c r="AX8716" s="77"/>
      <c r="BA8716" s="497">
        <v>23</v>
      </c>
      <c r="BB8716" s="42"/>
      <c r="BC8716" s="74"/>
      <c r="BD8716" s="77"/>
      <c r="BF8716">
        <v>21.02</v>
      </c>
      <c r="BH8716" s="42"/>
      <c r="BI8716" s="74"/>
      <c r="BJ8716" s="77"/>
      <c r="BL8716" s="497">
        <v>21.02</v>
      </c>
      <c r="BN8716" s="42"/>
      <c r="BO8716" s="74"/>
      <c r="BP8716" s="77"/>
      <c r="BR8716" s="497">
        <v>8.0599999999999987</v>
      </c>
      <c r="BT8716" s="42"/>
    </row>
    <row r="8717" spans="1:72" x14ac:dyDescent="0.25">
      <c r="A8717" s="90">
        <v>35793</v>
      </c>
      <c r="B8717" s="20">
        <v>0.45833333333333331</v>
      </c>
      <c r="D8717">
        <v>46.04</v>
      </c>
      <c r="E8717" t="str">
        <f t="shared" si="306"/>
        <v>WEEKDAY</v>
      </c>
      <c r="F8717" t="e">
        <f t="shared" si="307"/>
        <v>#N/A</v>
      </c>
      <c r="G8717" s="74">
        <v>28488</v>
      </c>
      <c r="H8717" s="77">
        <v>0.45833333333333331</v>
      </c>
      <c r="J8717">
        <v>24.98</v>
      </c>
      <c r="M8717" s="74">
        <v>36889</v>
      </c>
      <c r="N8717" s="77">
        <v>0.45833333333333331</v>
      </c>
      <c r="P8717">
        <v>23</v>
      </c>
      <c r="S8717" s="74">
        <v>35793</v>
      </c>
      <c r="T8717" s="77">
        <v>0.45833333333333331</v>
      </c>
      <c r="V8717">
        <v>37.94</v>
      </c>
      <c r="X8717" s="42"/>
      <c r="AB8717">
        <v>37.299999999999997</v>
      </c>
      <c r="AC8717">
        <v>42.8</v>
      </c>
      <c r="AE8717" s="74"/>
      <c r="AF8717" s="77"/>
      <c r="AH8717" s="497">
        <v>35.6</v>
      </c>
      <c r="AJ8717" s="42"/>
      <c r="AK8717" s="74"/>
      <c r="AL8717" s="77"/>
      <c r="AN8717" s="497">
        <v>10.940000000000001</v>
      </c>
      <c r="AP8717" s="42"/>
      <c r="AQ8717" s="74"/>
      <c r="AR8717" s="77"/>
      <c r="AT8717" s="497">
        <v>13.279999999999998</v>
      </c>
      <c r="AV8717" s="42"/>
      <c r="AW8717" s="74"/>
      <c r="AX8717" s="77"/>
      <c r="BA8717" s="497">
        <v>24.62</v>
      </c>
      <c r="BB8717" s="42"/>
      <c r="BC8717" s="74"/>
      <c r="BD8717" s="77"/>
      <c r="BF8717">
        <v>21.92</v>
      </c>
      <c r="BH8717" s="42"/>
      <c r="BI8717" s="74"/>
      <c r="BJ8717" s="77"/>
      <c r="BL8717" s="497">
        <v>24.08</v>
      </c>
      <c r="BN8717" s="42"/>
      <c r="BO8717" s="74"/>
      <c r="BP8717" s="77"/>
      <c r="BR8717" s="497">
        <v>8.9599999999999973</v>
      </c>
      <c r="BT8717" s="42"/>
    </row>
    <row r="8718" spans="1:72" x14ac:dyDescent="0.25">
      <c r="A8718" s="90">
        <v>35793</v>
      </c>
      <c r="B8718" s="20">
        <v>0.5</v>
      </c>
      <c r="D8718">
        <v>50</v>
      </c>
      <c r="E8718" t="str">
        <f t="shared" si="306"/>
        <v>WEEKDAY</v>
      </c>
      <c r="F8718" t="e">
        <f t="shared" si="307"/>
        <v>#N/A</v>
      </c>
      <c r="G8718" s="74">
        <v>28488</v>
      </c>
      <c r="H8718" s="77">
        <v>0.5</v>
      </c>
      <c r="J8718">
        <v>26.060000000000002</v>
      </c>
      <c r="M8718" s="74">
        <v>36889</v>
      </c>
      <c r="N8718" s="77">
        <v>0.5</v>
      </c>
      <c r="P8718">
        <v>24.8</v>
      </c>
      <c r="S8718" s="74">
        <v>35793</v>
      </c>
      <c r="T8718" s="77">
        <v>0.5</v>
      </c>
      <c r="V8718">
        <v>39.019999999999996</v>
      </c>
      <c r="X8718" s="42"/>
      <c r="AB8718">
        <v>38.4</v>
      </c>
      <c r="AC8718">
        <v>41</v>
      </c>
      <c r="AE8718" s="74"/>
      <c r="AF8718" s="77"/>
      <c r="AH8718" s="497">
        <v>37.4</v>
      </c>
      <c r="AJ8718" s="42"/>
      <c r="AK8718" s="74"/>
      <c r="AL8718" s="77"/>
      <c r="AN8718" s="497">
        <v>12.920000000000002</v>
      </c>
      <c r="AP8718" s="42"/>
      <c r="AQ8718" s="74"/>
      <c r="AR8718" s="77"/>
      <c r="AT8718" s="497">
        <v>16.7</v>
      </c>
      <c r="AV8718" s="42"/>
      <c r="AW8718" s="74"/>
      <c r="AX8718" s="77"/>
      <c r="BA8718" s="497">
        <v>26.42</v>
      </c>
      <c r="BB8718" s="42"/>
      <c r="BC8718" s="74"/>
      <c r="BD8718" s="77"/>
      <c r="BF8718">
        <v>24.08</v>
      </c>
      <c r="BH8718" s="42"/>
      <c r="BI8718" s="74"/>
      <c r="BJ8718" s="77"/>
      <c r="BL8718" s="497">
        <v>26.060000000000002</v>
      </c>
      <c r="BN8718" s="42"/>
      <c r="BO8718" s="74"/>
      <c r="BP8718" s="77"/>
      <c r="BR8718" s="497">
        <v>10.940000000000001</v>
      </c>
      <c r="BT8718" s="42"/>
    </row>
    <row r="8719" spans="1:72" x14ac:dyDescent="0.25">
      <c r="A8719" s="90">
        <v>35793</v>
      </c>
      <c r="B8719" s="20">
        <v>0.54166666666666663</v>
      </c>
      <c r="D8719">
        <v>51.980000000000004</v>
      </c>
      <c r="E8719" t="str">
        <f t="shared" si="306"/>
        <v>WEEKDAY</v>
      </c>
      <c r="F8719" t="e">
        <f t="shared" si="307"/>
        <v>#N/A</v>
      </c>
      <c r="G8719" s="74">
        <v>28488</v>
      </c>
      <c r="H8719" s="77">
        <v>0.54166666666666663</v>
      </c>
      <c r="J8719">
        <v>26.96</v>
      </c>
      <c r="M8719" s="74">
        <v>36889</v>
      </c>
      <c r="N8719" s="77">
        <v>0.54166666666666663</v>
      </c>
      <c r="P8719">
        <v>28.4</v>
      </c>
      <c r="S8719" s="74">
        <v>35793</v>
      </c>
      <c r="T8719" s="77">
        <v>0.54166666666666663</v>
      </c>
      <c r="V8719">
        <v>37.94</v>
      </c>
      <c r="X8719" s="42"/>
      <c r="AB8719">
        <v>39.5</v>
      </c>
      <c r="AC8719">
        <v>41</v>
      </c>
      <c r="AE8719" s="74"/>
      <c r="AF8719" s="77"/>
      <c r="AH8719" s="497">
        <v>39.200000000000003</v>
      </c>
      <c r="AJ8719" s="42"/>
      <c r="AK8719" s="74"/>
      <c r="AL8719" s="77"/>
      <c r="AN8719" s="497">
        <v>15.079999999999998</v>
      </c>
      <c r="AP8719" s="42"/>
      <c r="AQ8719" s="74"/>
      <c r="AR8719" s="77"/>
      <c r="AT8719" s="497">
        <v>19.939999999999998</v>
      </c>
      <c r="AV8719" s="42"/>
      <c r="AW8719" s="74"/>
      <c r="AX8719" s="77"/>
      <c r="BA8719" s="497">
        <v>28.04</v>
      </c>
      <c r="BB8719" s="42"/>
      <c r="BC8719" s="74"/>
      <c r="BD8719" s="77"/>
      <c r="BF8719">
        <v>21.92</v>
      </c>
      <c r="BH8719" s="42"/>
      <c r="BI8719" s="74"/>
      <c r="BJ8719" s="77"/>
      <c r="BL8719" s="497">
        <v>26.96</v>
      </c>
      <c r="BN8719" s="42"/>
      <c r="BO8719" s="74"/>
      <c r="BP8719" s="77"/>
      <c r="BR8719" s="497">
        <v>12.02</v>
      </c>
      <c r="BT8719" s="42"/>
    </row>
    <row r="8720" spans="1:72" x14ac:dyDescent="0.25">
      <c r="A8720" s="90">
        <v>35793</v>
      </c>
      <c r="B8720" s="20">
        <v>0.58333333333333337</v>
      </c>
      <c r="D8720">
        <v>53.96</v>
      </c>
      <c r="E8720" t="str">
        <f t="shared" si="306"/>
        <v>WEEKDAY</v>
      </c>
      <c r="F8720" t="e">
        <f t="shared" si="307"/>
        <v>#N/A</v>
      </c>
      <c r="G8720" s="74">
        <v>28488</v>
      </c>
      <c r="H8720" s="77">
        <v>0.58333333333333337</v>
      </c>
      <c r="J8720">
        <v>28.94</v>
      </c>
      <c r="M8720" s="74">
        <v>36889</v>
      </c>
      <c r="N8720" s="77">
        <v>0.58333333333333337</v>
      </c>
      <c r="P8720">
        <v>30.2</v>
      </c>
      <c r="S8720" s="74">
        <v>35793</v>
      </c>
      <c r="T8720" s="77">
        <v>0.58333333333333337</v>
      </c>
      <c r="V8720">
        <v>37.94</v>
      </c>
      <c r="X8720" s="42"/>
      <c r="AB8720">
        <v>40.200000000000003</v>
      </c>
      <c r="AC8720">
        <v>42.8</v>
      </c>
      <c r="AE8720" s="74"/>
      <c r="AF8720" s="77"/>
      <c r="AH8720" s="497">
        <v>41</v>
      </c>
      <c r="AJ8720" s="42"/>
      <c r="AK8720" s="74"/>
      <c r="AL8720" s="77"/>
      <c r="AN8720" s="497">
        <v>17.059999999999999</v>
      </c>
      <c r="AP8720" s="42"/>
      <c r="AQ8720" s="74"/>
      <c r="AR8720" s="77"/>
      <c r="AT8720" s="497">
        <v>19.579999999999998</v>
      </c>
      <c r="AV8720" s="42"/>
      <c r="AW8720" s="74"/>
      <c r="AX8720" s="77"/>
      <c r="BA8720" s="497">
        <v>27.68</v>
      </c>
      <c r="BB8720" s="42"/>
      <c r="BC8720" s="74"/>
      <c r="BD8720" s="77"/>
      <c r="BF8720">
        <v>21.92</v>
      </c>
      <c r="BH8720" s="42"/>
      <c r="BI8720" s="74"/>
      <c r="BJ8720" s="77"/>
      <c r="BL8720" s="497">
        <v>26.96</v>
      </c>
      <c r="BN8720" s="42"/>
      <c r="BO8720" s="74"/>
      <c r="BP8720" s="77"/>
      <c r="BR8720" s="497">
        <v>12.920000000000002</v>
      </c>
      <c r="BT8720" s="42"/>
    </row>
    <row r="8721" spans="1:72" x14ac:dyDescent="0.25">
      <c r="A8721" s="90">
        <v>35793</v>
      </c>
      <c r="B8721" s="20">
        <v>0.625</v>
      </c>
      <c r="D8721">
        <v>55.040000000000006</v>
      </c>
      <c r="E8721" t="str">
        <f t="shared" si="306"/>
        <v>WEEKDAY</v>
      </c>
      <c r="F8721" t="e">
        <f t="shared" si="307"/>
        <v>#N/A</v>
      </c>
      <c r="G8721" s="74">
        <v>28488</v>
      </c>
      <c r="H8721" s="77">
        <v>0.625</v>
      </c>
      <c r="J8721">
        <v>28.94</v>
      </c>
      <c r="M8721" s="74">
        <v>36889</v>
      </c>
      <c r="N8721" s="77">
        <v>0.625</v>
      </c>
      <c r="P8721">
        <v>30.2</v>
      </c>
      <c r="S8721" s="74">
        <v>35793</v>
      </c>
      <c r="T8721" s="77">
        <v>0.625</v>
      </c>
      <c r="V8721">
        <v>39.019999999999996</v>
      </c>
      <c r="X8721" s="42"/>
      <c r="AB8721">
        <v>40.5</v>
      </c>
      <c r="AC8721">
        <v>44.6</v>
      </c>
      <c r="AE8721" s="74"/>
      <c r="AF8721" s="77"/>
      <c r="AH8721" s="497">
        <v>41</v>
      </c>
      <c r="AJ8721" s="42"/>
      <c r="AK8721" s="74"/>
      <c r="AL8721" s="77"/>
      <c r="AN8721" s="497">
        <v>19.939999999999998</v>
      </c>
      <c r="AP8721" s="42"/>
      <c r="AQ8721" s="74"/>
      <c r="AR8721" s="77"/>
      <c r="AT8721" s="497">
        <v>19.399999999999999</v>
      </c>
      <c r="AV8721" s="42"/>
      <c r="AW8721" s="74"/>
      <c r="AX8721" s="77"/>
      <c r="BA8721" s="497">
        <v>27.32</v>
      </c>
      <c r="BB8721" s="42"/>
      <c r="BC8721" s="74"/>
      <c r="BD8721" s="77"/>
      <c r="BF8721">
        <v>26.060000000000002</v>
      </c>
      <c r="BH8721" s="42"/>
      <c r="BI8721" s="74"/>
      <c r="BJ8721" s="77"/>
      <c r="BL8721" s="497">
        <v>26.060000000000002</v>
      </c>
      <c r="BN8721" s="42"/>
      <c r="BO8721" s="74"/>
      <c r="BP8721" s="77"/>
      <c r="BR8721" s="497">
        <v>12.920000000000002</v>
      </c>
      <c r="BT8721" s="42"/>
    </row>
    <row r="8722" spans="1:72" x14ac:dyDescent="0.25">
      <c r="A8722" s="90">
        <v>35793</v>
      </c>
      <c r="B8722" s="20">
        <v>0.66666666666666663</v>
      </c>
      <c r="D8722">
        <v>51.08</v>
      </c>
      <c r="E8722" t="str">
        <f t="shared" si="306"/>
        <v>WEEKDAY</v>
      </c>
      <c r="F8722" t="e">
        <f t="shared" si="307"/>
        <v>#N/A</v>
      </c>
      <c r="G8722" s="74">
        <v>28488</v>
      </c>
      <c r="H8722" s="77">
        <v>0.66666666666666663</v>
      </c>
      <c r="J8722">
        <v>28.94</v>
      </c>
      <c r="M8722" s="74">
        <v>36889</v>
      </c>
      <c r="N8722" s="77">
        <v>0.66666666666666663</v>
      </c>
      <c r="P8722">
        <v>28.4</v>
      </c>
      <c r="S8722" s="74">
        <v>35793</v>
      </c>
      <c r="T8722" s="77">
        <v>0.66666666666666663</v>
      </c>
      <c r="V8722">
        <v>41</v>
      </c>
      <c r="X8722" s="42"/>
      <c r="AB8722">
        <v>40.5</v>
      </c>
      <c r="AC8722">
        <v>42.8</v>
      </c>
      <c r="AE8722" s="74"/>
      <c r="AF8722" s="77"/>
      <c r="AH8722" s="497">
        <v>39.200000000000003</v>
      </c>
      <c r="AJ8722" s="42"/>
      <c r="AK8722" s="74"/>
      <c r="AL8722" s="77"/>
      <c r="AN8722" s="497">
        <v>19.04</v>
      </c>
      <c r="AP8722" s="42"/>
      <c r="AQ8722" s="74"/>
      <c r="AR8722" s="77"/>
      <c r="AT8722" s="497">
        <v>19.04</v>
      </c>
      <c r="AV8722" s="42"/>
      <c r="AW8722" s="74"/>
      <c r="AX8722" s="77"/>
      <c r="BA8722" s="497">
        <v>26.96</v>
      </c>
      <c r="BB8722" s="42"/>
      <c r="BC8722" s="74"/>
      <c r="BD8722" s="77"/>
      <c r="BF8722">
        <v>26.96</v>
      </c>
      <c r="BH8722" s="42"/>
      <c r="BI8722" s="74"/>
      <c r="BJ8722" s="77"/>
      <c r="BL8722" s="497">
        <v>26.060000000000002</v>
      </c>
      <c r="BN8722" s="42"/>
      <c r="BO8722" s="74"/>
      <c r="BP8722" s="77"/>
      <c r="BR8722" s="497">
        <v>12.02</v>
      </c>
      <c r="BT8722" s="42"/>
    </row>
    <row r="8723" spans="1:72" x14ac:dyDescent="0.25">
      <c r="A8723" s="90">
        <v>35793</v>
      </c>
      <c r="B8723" s="20">
        <v>0.70833333333333337</v>
      </c>
      <c r="D8723">
        <v>48.019999999999996</v>
      </c>
      <c r="E8723" t="str">
        <f t="shared" ref="E8723:E8778" si="308">IF(COUNTIF($DI$18:$DI$22, WEEKDAY(A8723))=1, "WEEKDAY", IF(WEEKDAY(A8723) = 1, "SUNDAY", "SATURDAY"))</f>
        <v>WEEKDAY</v>
      </c>
      <c r="F8723" t="e">
        <f t="shared" si="307"/>
        <v>#N/A</v>
      </c>
      <c r="G8723" s="74">
        <v>28488</v>
      </c>
      <c r="H8723" s="77">
        <v>0.70833333333333337</v>
      </c>
      <c r="J8723">
        <v>28.94</v>
      </c>
      <c r="M8723" s="74">
        <v>36889</v>
      </c>
      <c r="N8723" s="77">
        <v>0.70833333333333337</v>
      </c>
      <c r="P8723">
        <v>26.6</v>
      </c>
      <c r="S8723" s="74">
        <v>35793</v>
      </c>
      <c r="T8723" s="77">
        <v>0.70833333333333337</v>
      </c>
      <c r="V8723">
        <v>42.980000000000004</v>
      </c>
      <c r="X8723" s="42"/>
      <c r="AB8723">
        <v>39.700000000000003</v>
      </c>
      <c r="AC8723">
        <v>42.8</v>
      </c>
      <c r="AE8723" s="74"/>
      <c r="AF8723" s="77"/>
      <c r="AH8723" s="497">
        <v>37.4</v>
      </c>
      <c r="AJ8723" s="42"/>
      <c r="AK8723" s="74"/>
      <c r="AL8723" s="77"/>
      <c r="AN8723" s="497">
        <v>19.04</v>
      </c>
      <c r="AP8723" s="42"/>
      <c r="AQ8723" s="74"/>
      <c r="AR8723" s="77"/>
      <c r="AT8723" s="497">
        <v>17.059999999999999</v>
      </c>
      <c r="AV8723" s="42"/>
      <c r="AW8723" s="74"/>
      <c r="AX8723" s="77"/>
      <c r="BA8723" s="497">
        <v>26.6</v>
      </c>
      <c r="BB8723" s="42"/>
      <c r="BC8723" s="74"/>
      <c r="BD8723" s="77"/>
      <c r="BF8723">
        <v>26.96</v>
      </c>
      <c r="BH8723" s="42"/>
      <c r="BI8723" s="74"/>
      <c r="BJ8723" s="77"/>
      <c r="BL8723" s="497">
        <v>24.98</v>
      </c>
      <c r="BN8723" s="42"/>
      <c r="BO8723" s="74"/>
      <c r="BP8723" s="77"/>
      <c r="BR8723" s="497">
        <v>10.940000000000001</v>
      </c>
      <c r="BT8723" s="42"/>
    </row>
    <row r="8724" spans="1:72" x14ac:dyDescent="0.25">
      <c r="A8724" s="90">
        <v>35793</v>
      </c>
      <c r="B8724" s="20">
        <v>0.75</v>
      </c>
      <c r="D8724">
        <v>46.04</v>
      </c>
      <c r="E8724" t="str">
        <f t="shared" si="308"/>
        <v>WEEKDAY</v>
      </c>
      <c r="F8724" t="e">
        <f t="shared" si="307"/>
        <v>#N/A</v>
      </c>
      <c r="G8724" s="74">
        <v>28488</v>
      </c>
      <c r="H8724" s="77">
        <v>0.75</v>
      </c>
      <c r="J8724">
        <v>28.94</v>
      </c>
      <c r="M8724" s="74">
        <v>36889</v>
      </c>
      <c r="N8724" s="77">
        <v>0.75</v>
      </c>
      <c r="P8724">
        <v>24.8</v>
      </c>
      <c r="S8724" s="74">
        <v>35793</v>
      </c>
      <c r="T8724" s="77">
        <v>0.75</v>
      </c>
      <c r="V8724">
        <v>42.980000000000004</v>
      </c>
      <c r="X8724" s="42"/>
      <c r="AB8724">
        <v>38.6</v>
      </c>
      <c r="AC8724">
        <v>42.8</v>
      </c>
      <c r="AE8724" s="74"/>
      <c r="AF8724" s="77"/>
      <c r="AH8724" s="497">
        <v>35.6</v>
      </c>
      <c r="AJ8724" s="42"/>
      <c r="AK8724" s="74"/>
      <c r="AL8724" s="77"/>
      <c r="AN8724" s="497">
        <v>17.96</v>
      </c>
      <c r="AP8724" s="42"/>
      <c r="AQ8724" s="74"/>
      <c r="AR8724" s="77"/>
      <c r="AT8724" s="497">
        <v>14.899999999999999</v>
      </c>
      <c r="AV8724" s="42"/>
      <c r="AW8724" s="74"/>
      <c r="AX8724" s="77"/>
      <c r="BA8724" s="497">
        <v>26.42</v>
      </c>
      <c r="BB8724" s="42"/>
      <c r="BC8724" s="74"/>
      <c r="BD8724" s="77"/>
      <c r="BF8724">
        <v>24.98</v>
      </c>
      <c r="BH8724" s="42"/>
      <c r="BI8724" s="74"/>
      <c r="BJ8724" s="77"/>
      <c r="BL8724" s="497">
        <v>26.96</v>
      </c>
      <c r="BN8724" s="42"/>
      <c r="BO8724" s="74"/>
      <c r="BP8724" s="77"/>
      <c r="BR8724" s="497">
        <v>6.98</v>
      </c>
      <c r="BT8724" s="42"/>
    </row>
    <row r="8725" spans="1:72" x14ac:dyDescent="0.25">
      <c r="A8725" s="90">
        <v>35793</v>
      </c>
      <c r="B8725" s="20">
        <v>0.79166666666666663</v>
      </c>
      <c r="D8725">
        <v>46.04</v>
      </c>
      <c r="E8725" t="str">
        <f t="shared" si="308"/>
        <v>WEEKDAY</v>
      </c>
      <c r="F8725" t="e">
        <f t="shared" si="307"/>
        <v>#N/A</v>
      </c>
      <c r="G8725" s="74">
        <v>28488</v>
      </c>
      <c r="H8725" s="77">
        <v>0.79166666666666663</v>
      </c>
      <c r="J8725">
        <v>28.04</v>
      </c>
      <c r="M8725" s="74">
        <v>36889</v>
      </c>
      <c r="N8725" s="77">
        <v>0.79166666666666663</v>
      </c>
      <c r="P8725">
        <v>24.62</v>
      </c>
      <c r="S8725" s="74">
        <v>35793</v>
      </c>
      <c r="T8725" s="77">
        <v>0.79166666666666663</v>
      </c>
      <c r="V8725">
        <v>42.08</v>
      </c>
      <c r="X8725" s="42"/>
      <c r="AB8725">
        <v>38</v>
      </c>
      <c r="AC8725">
        <v>42.8</v>
      </c>
      <c r="AE8725" s="74"/>
      <c r="AF8725" s="77"/>
      <c r="AH8725" s="497">
        <v>35.6</v>
      </c>
      <c r="AJ8725" s="42"/>
      <c r="AK8725" s="74"/>
      <c r="AL8725" s="77"/>
      <c r="AN8725" s="497">
        <v>17.059999999999999</v>
      </c>
      <c r="AP8725" s="42"/>
      <c r="AQ8725" s="74"/>
      <c r="AR8725" s="77"/>
      <c r="AT8725" s="497">
        <v>12.920000000000002</v>
      </c>
      <c r="AV8725" s="42"/>
      <c r="AW8725" s="74"/>
      <c r="AX8725" s="77"/>
      <c r="BA8725" s="497">
        <v>26.060000000000002</v>
      </c>
      <c r="BB8725" s="42"/>
      <c r="BC8725" s="74"/>
      <c r="BD8725" s="77"/>
      <c r="BF8725">
        <v>24.98</v>
      </c>
      <c r="BH8725" s="42"/>
      <c r="BI8725" s="74"/>
      <c r="BJ8725" s="77"/>
      <c r="BL8725" s="497">
        <v>28.04</v>
      </c>
      <c r="BN8725" s="42"/>
      <c r="BO8725" s="74"/>
      <c r="BP8725" s="77"/>
      <c r="BR8725" s="497">
        <v>3.019999999999996</v>
      </c>
      <c r="BT8725" s="42"/>
    </row>
    <row r="8726" spans="1:72" x14ac:dyDescent="0.25">
      <c r="A8726" s="90">
        <v>35793</v>
      </c>
      <c r="B8726" s="20">
        <v>0.83333333333333337</v>
      </c>
      <c r="D8726">
        <v>46.04</v>
      </c>
      <c r="E8726" t="str">
        <f t="shared" si="308"/>
        <v>WEEKDAY</v>
      </c>
      <c r="F8726" t="e">
        <f t="shared" si="307"/>
        <v>#N/A</v>
      </c>
      <c r="G8726" s="74">
        <v>28488</v>
      </c>
      <c r="H8726" s="77">
        <v>0.83333333333333337</v>
      </c>
      <c r="J8726">
        <v>28.04</v>
      </c>
      <c r="M8726" s="74">
        <v>36889</v>
      </c>
      <c r="N8726" s="77">
        <v>0.83333333333333337</v>
      </c>
      <c r="P8726">
        <v>24.8</v>
      </c>
      <c r="S8726" s="74">
        <v>35793</v>
      </c>
      <c r="T8726" s="77">
        <v>0.83333333333333337</v>
      </c>
      <c r="V8726">
        <v>41</v>
      </c>
      <c r="X8726" s="42"/>
      <c r="AB8726">
        <v>37.799999999999997</v>
      </c>
      <c r="AC8726">
        <v>42.8</v>
      </c>
      <c r="AE8726" s="74"/>
      <c r="AF8726" s="77"/>
      <c r="AH8726" s="497">
        <v>35.6</v>
      </c>
      <c r="AJ8726" s="42"/>
      <c r="AK8726" s="74"/>
      <c r="AL8726" s="77"/>
      <c r="AN8726" s="497">
        <v>17.059999999999999</v>
      </c>
      <c r="AP8726" s="42"/>
      <c r="AQ8726" s="74"/>
      <c r="AR8726" s="77"/>
      <c r="AT8726" s="497">
        <v>11.659999999999997</v>
      </c>
      <c r="AV8726" s="42"/>
      <c r="AW8726" s="74"/>
      <c r="AX8726" s="77"/>
      <c r="BA8726" s="497">
        <v>26.78</v>
      </c>
      <c r="BB8726" s="42"/>
      <c r="BC8726" s="74"/>
      <c r="BD8726" s="77"/>
      <c r="BF8726">
        <v>26.060000000000002</v>
      </c>
      <c r="BH8726" s="42"/>
      <c r="BI8726" s="74"/>
      <c r="BJ8726" s="77"/>
      <c r="BL8726" s="497">
        <v>26.96</v>
      </c>
      <c r="BN8726" s="42"/>
      <c r="BO8726" s="74"/>
      <c r="BP8726" s="77"/>
      <c r="BR8726" s="497">
        <v>-3.9999999999999147E-2</v>
      </c>
      <c r="BT8726" s="42"/>
    </row>
    <row r="8727" spans="1:72" x14ac:dyDescent="0.25">
      <c r="A8727" s="90">
        <v>35793</v>
      </c>
      <c r="B8727" s="20">
        <v>0.875</v>
      </c>
      <c r="D8727">
        <v>46.94</v>
      </c>
      <c r="E8727" t="str">
        <f t="shared" si="308"/>
        <v>WEEKDAY</v>
      </c>
      <c r="F8727" t="e">
        <f t="shared" si="307"/>
        <v>#N/A</v>
      </c>
      <c r="G8727" s="74">
        <v>28488</v>
      </c>
      <c r="H8727" s="77">
        <v>0.875</v>
      </c>
      <c r="J8727">
        <v>28.94</v>
      </c>
      <c r="M8727" s="74">
        <v>36889</v>
      </c>
      <c r="N8727" s="77">
        <v>0.875</v>
      </c>
      <c r="P8727">
        <v>23.72</v>
      </c>
      <c r="S8727" s="74">
        <v>35793</v>
      </c>
      <c r="T8727" s="77">
        <v>0.875</v>
      </c>
      <c r="V8727">
        <v>39.92</v>
      </c>
      <c r="X8727" s="42"/>
      <c r="AB8727">
        <v>37.200000000000003</v>
      </c>
      <c r="AC8727">
        <v>41</v>
      </c>
      <c r="AE8727" s="74"/>
      <c r="AF8727" s="77"/>
      <c r="AH8727" s="497">
        <v>35.6</v>
      </c>
      <c r="AJ8727" s="42"/>
      <c r="AK8727" s="74"/>
      <c r="AL8727" s="77"/>
      <c r="AN8727" s="497">
        <v>15.98</v>
      </c>
      <c r="AP8727" s="42"/>
      <c r="AQ8727" s="74"/>
      <c r="AR8727" s="77"/>
      <c r="AT8727" s="497">
        <v>10.219999999999999</v>
      </c>
      <c r="AV8727" s="42"/>
      <c r="AW8727" s="74"/>
      <c r="AX8727" s="77"/>
      <c r="BA8727" s="497">
        <v>27.32</v>
      </c>
      <c r="BB8727" s="42"/>
      <c r="BC8727" s="74"/>
      <c r="BD8727" s="77"/>
      <c r="BF8727">
        <v>26.060000000000002</v>
      </c>
      <c r="BH8727" s="42"/>
      <c r="BI8727" s="74"/>
      <c r="BJ8727" s="77"/>
      <c r="BL8727" s="497">
        <v>26.96</v>
      </c>
      <c r="BN8727" s="42"/>
      <c r="BO8727" s="74"/>
      <c r="BP8727" s="77"/>
      <c r="BR8727" s="497">
        <v>-3.9999999999999147E-2</v>
      </c>
      <c r="BT8727" s="42"/>
    </row>
    <row r="8728" spans="1:72" x14ac:dyDescent="0.25">
      <c r="A8728" s="90">
        <v>35793</v>
      </c>
      <c r="B8728" s="20">
        <v>0.91666666666666663</v>
      </c>
      <c r="D8728">
        <v>46.94</v>
      </c>
      <c r="E8728" t="str">
        <f t="shared" si="308"/>
        <v>WEEKDAY</v>
      </c>
      <c r="F8728" t="e">
        <f t="shared" si="307"/>
        <v>#N/A</v>
      </c>
      <c r="G8728" s="74">
        <v>28488</v>
      </c>
      <c r="H8728" s="77">
        <v>0.91666666666666663</v>
      </c>
      <c r="J8728">
        <v>30.92</v>
      </c>
      <c r="M8728" s="74">
        <v>36889</v>
      </c>
      <c r="N8728" s="77">
        <v>0.91666666666666663</v>
      </c>
      <c r="P8728">
        <v>23</v>
      </c>
      <c r="S8728" s="74">
        <v>35793</v>
      </c>
      <c r="T8728" s="77">
        <v>0.91666666666666663</v>
      </c>
      <c r="V8728">
        <v>39.92</v>
      </c>
      <c r="X8728" s="42"/>
      <c r="AB8728">
        <v>36.700000000000003</v>
      </c>
      <c r="AC8728">
        <v>42.8</v>
      </c>
      <c r="AE8728" s="74"/>
      <c r="AF8728" s="77"/>
      <c r="AH8728" s="497">
        <v>33.799999999999997</v>
      </c>
      <c r="AJ8728" s="42"/>
      <c r="AK8728" s="74"/>
      <c r="AL8728" s="77"/>
      <c r="AN8728" s="497">
        <v>17.059999999999999</v>
      </c>
      <c r="AP8728" s="42"/>
      <c r="AQ8728" s="74"/>
      <c r="AR8728" s="77"/>
      <c r="AT8728" s="497">
        <v>8.9599999999999973</v>
      </c>
      <c r="AV8728" s="42"/>
      <c r="AW8728" s="74"/>
      <c r="AX8728" s="77"/>
      <c r="BA8728" s="497">
        <v>28.04</v>
      </c>
      <c r="BB8728" s="42"/>
      <c r="BC8728" s="74"/>
      <c r="BD8728" s="77"/>
      <c r="BF8728">
        <v>26.060000000000002</v>
      </c>
      <c r="BH8728" s="42"/>
      <c r="BI8728" s="74"/>
      <c r="BJ8728" s="77"/>
      <c r="BL8728" s="497">
        <v>28.04</v>
      </c>
      <c r="BN8728" s="42"/>
      <c r="BO8728" s="74"/>
      <c r="BP8728" s="77"/>
      <c r="BR8728" s="497">
        <v>-2.019999999999996</v>
      </c>
      <c r="BT8728" s="42"/>
    </row>
    <row r="8729" spans="1:72" x14ac:dyDescent="0.25">
      <c r="A8729" s="90">
        <v>35793</v>
      </c>
      <c r="B8729" s="20">
        <v>0.95833333333333337</v>
      </c>
      <c r="D8729">
        <v>46.94</v>
      </c>
      <c r="E8729" t="str">
        <f t="shared" si="308"/>
        <v>WEEKDAY</v>
      </c>
      <c r="F8729" t="e">
        <f t="shared" si="307"/>
        <v>#N/A</v>
      </c>
      <c r="G8729" s="74">
        <v>28488</v>
      </c>
      <c r="H8729" s="77">
        <v>0.95833333333333337</v>
      </c>
      <c r="J8729">
        <v>32</v>
      </c>
      <c r="M8729" s="74">
        <v>36889</v>
      </c>
      <c r="N8729" s="77">
        <v>0.95833333333333337</v>
      </c>
      <c r="P8729">
        <v>23</v>
      </c>
      <c r="S8729" s="74">
        <v>35793</v>
      </c>
      <c r="T8729" s="77">
        <v>0.95833333333333337</v>
      </c>
      <c r="V8729">
        <v>39.92</v>
      </c>
      <c r="X8729" s="42"/>
      <c r="AB8729">
        <v>36.299999999999997</v>
      </c>
      <c r="AC8729">
        <v>50</v>
      </c>
      <c r="AE8729" s="74"/>
      <c r="AF8729" s="77"/>
      <c r="AH8729" s="497">
        <v>33.799999999999997</v>
      </c>
      <c r="AJ8729" s="42"/>
      <c r="AK8729" s="74"/>
      <c r="AL8729" s="77"/>
      <c r="AN8729" s="497">
        <v>17.96</v>
      </c>
      <c r="AP8729" s="42"/>
      <c r="AQ8729" s="74"/>
      <c r="AR8729" s="77"/>
      <c r="AT8729" s="497">
        <v>8.9599999999999973</v>
      </c>
      <c r="AV8729" s="42"/>
      <c r="AW8729" s="74"/>
      <c r="AX8729" s="77"/>
      <c r="BA8729" s="497">
        <v>28.04</v>
      </c>
      <c r="BB8729" s="42"/>
      <c r="BC8729" s="74"/>
      <c r="BD8729" s="77"/>
      <c r="BF8729">
        <v>26.060000000000002</v>
      </c>
      <c r="BH8729" s="42"/>
      <c r="BI8729" s="74"/>
      <c r="BJ8729" s="77"/>
      <c r="BL8729" s="497">
        <v>28.04</v>
      </c>
      <c r="BN8729" s="42"/>
      <c r="BO8729" s="74"/>
      <c r="BP8729" s="77"/>
      <c r="BR8729" s="497">
        <v>-2.019999999999996</v>
      </c>
      <c r="BT8729" s="42"/>
    </row>
    <row r="8730" spans="1:72" x14ac:dyDescent="0.25">
      <c r="A8730" s="90">
        <v>35793</v>
      </c>
      <c r="B8730" s="20">
        <v>1</v>
      </c>
      <c r="D8730">
        <v>44.96</v>
      </c>
      <c r="E8730" t="str">
        <f t="shared" si="308"/>
        <v>WEEKDAY</v>
      </c>
      <c r="F8730" t="e">
        <f t="shared" si="307"/>
        <v>#N/A</v>
      </c>
      <c r="G8730" s="74">
        <v>28488</v>
      </c>
      <c r="H8730" s="77">
        <v>1</v>
      </c>
      <c r="J8730">
        <v>30.02</v>
      </c>
      <c r="M8730" s="74">
        <v>36889</v>
      </c>
      <c r="N8730" s="80">
        <v>1</v>
      </c>
      <c r="P8730">
        <v>23</v>
      </c>
      <c r="S8730" s="74">
        <v>35793</v>
      </c>
      <c r="T8730" s="80">
        <v>1</v>
      </c>
      <c r="V8730">
        <v>41</v>
      </c>
      <c r="X8730" s="42"/>
      <c r="AB8730">
        <v>35.799999999999997</v>
      </c>
      <c r="AC8730">
        <v>51.8</v>
      </c>
      <c r="AE8730" s="74"/>
      <c r="AF8730" s="80"/>
      <c r="AH8730" s="497">
        <v>35.6</v>
      </c>
      <c r="AJ8730" s="42"/>
      <c r="AK8730" s="74"/>
      <c r="AL8730" s="80"/>
      <c r="AN8730" s="497">
        <v>17.96</v>
      </c>
      <c r="AP8730" s="42"/>
      <c r="AQ8730" s="74"/>
      <c r="AR8730" s="80"/>
      <c r="AT8730" s="497">
        <v>8.9599999999999973</v>
      </c>
      <c r="AV8730" s="42"/>
      <c r="AW8730" s="74"/>
      <c r="AX8730" s="80"/>
      <c r="BA8730" s="497">
        <v>28.04</v>
      </c>
      <c r="BB8730" s="42"/>
      <c r="BC8730" s="74"/>
      <c r="BD8730" s="80"/>
      <c r="BF8730">
        <v>26.060000000000002</v>
      </c>
      <c r="BH8730" s="42"/>
      <c r="BI8730" s="74"/>
      <c r="BJ8730" s="80"/>
      <c r="BL8730" s="497">
        <v>28.04</v>
      </c>
      <c r="BN8730" s="42"/>
      <c r="BO8730" s="74"/>
      <c r="BP8730" s="80"/>
      <c r="BR8730" s="497">
        <v>-2.9200000000000017</v>
      </c>
      <c r="BT8730" s="42"/>
    </row>
    <row r="8731" spans="1:72" x14ac:dyDescent="0.25">
      <c r="A8731" s="90">
        <v>35794</v>
      </c>
      <c r="B8731" s="20">
        <v>4.1666666666666664E-2</v>
      </c>
      <c r="D8731">
        <v>44.06</v>
      </c>
      <c r="E8731" t="str">
        <f t="shared" si="308"/>
        <v>WEEKDAY</v>
      </c>
      <c r="F8731" t="e">
        <f t="shared" si="307"/>
        <v>#N/A</v>
      </c>
      <c r="G8731" s="74">
        <v>28489</v>
      </c>
      <c r="H8731" s="77">
        <v>4.1666666666666664E-2</v>
      </c>
      <c r="J8731">
        <v>30.02</v>
      </c>
      <c r="M8731" s="74">
        <v>36890</v>
      </c>
      <c r="N8731" s="77">
        <v>4.1666666666666664E-2</v>
      </c>
      <c r="P8731">
        <v>23</v>
      </c>
      <c r="S8731" s="74">
        <v>35794</v>
      </c>
      <c r="T8731" s="77">
        <v>4.1666666666666664E-2</v>
      </c>
      <c r="V8731">
        <v>41</v>
      </c>
      <c r="X8731" s="42"/>
      <c r="AB8731">
        <v>35.299999999999997</v>
      </c>
      <c r="AC8731">
        <v>48.2</v>
      </c>
      <c r="AE8731" s="74"/>
      <c r="AF8731" s="77"/>
      <c r="AH8731" s="497">
        <v>33.799999999999997</v>
      </c>
      <c r="AJ8731" s="42"/>
      <c r="AK8731" s="74"/>
      <c r="AL8731" s="77"/>
      <c r="AN8731" s="497">
        <v>17.059999999999999</v>
      </c>
      <c r="AP8731" s="42"/>
      <c r="AQ8731" s="74"/>
      <c r="AR8731" s="77"/>
      <c r="AT8731" s="497">
        <v>8.9599999999999973</v>
      </c>
      <c r="AV8731" s="42"/>
      <c r="AW8731" s="74"/>
      <c r="AX8731" s="77"/>
      <c r="BA8731" s="497">
        <v>28.04</v>
      </c>
      <c r="BB8731" s="42"/>
      <c r="BC8731" s="74"/>
      <c r="BD8731" s="77"/>
      <c r="BF8731">
        <v>26.060000000000002</v>
      </c>
      <c r="BH8731" s="42"/>
      <c r="BI8731" s="74"/>
      <c r="BJ8731" s="77"/>
      <c r="BL8731" s="497">
        <v>28.04</v>
      </c>
      <c r="BN8731" s="42"/>
      <c r="BO8731" s="74"/>
      <c r="BP8731" s="77"/>
      <c r="BR8731" s="497">
        <v>-2.9200000000000017</v>
      </c>
      <c r="BT8731" s="42"/>
    </row>
    <row r="8732" spans="1:72" x14ac:dyDescent="0.25">
      <c r="A8732" s="90">
        <v>35794</v>
      </c>
      <c r="B8732" s="20">
        <v>8.3333333333333329E-2</v>
      </c>
      <c r="D8732">
        <v>44.06</v>
      </c>
      <c r="E8732" t="str">
        <f t="shared" si="308"/>
        <v>WEEKDAY</v>
      </c>
      <c r="F8732" t="e">
        <f t="shared" si="307"/>
        <v>#N/A</v>
      </c>
      <c r="G8732" s="74">
        <v>28489</v>
      </c>
      <c r="H8732" s="77">
        <v>8.3333333333333329E-2</v>
      </c>
      <c r="J8732">
        <v>30.02</v>
      </c>
      <c r="M8732" s="74">
        <v>36890</v>
      </c>
      <c r="N8732" s="77">
        <v>8.3333333333333329E-2</v>
      </c>
      <c r="P8732">
        <v>23</v>
      </c>
      <c r="S8732" s="74">
        <v>35794</v>
      </c>
      <c r="T8732" s="77">
        <v>8.3333333333333329E-2</v>
      </c>
      <c r="V8732">
        <v>37.94</v>
      </c>
      <c r="X8732" s="42"/>
      <c r="AB8732">
        <v>34.799999999999997</v>
      </c>
      <c r="AC8732">
        <v>44.6</v>
      </c>
      <c r="AE8732" s="74"/>
      <c r="AF8732" s="77"/>
      <c r="AH8732" s="497">
        <v>33.799999999999997</v>
      </c>
      <c r="AJ8732" s="42"/>
      <c r="AK8732" s="74"/>
      <c r="AL8732" s="77"/>
      <c r="AN8732" s="497">
        <v>17.059999999999999</v>
      </c>
      <c r="AP8732" s="42"/>
      <c r="AQ8732" s="74"/>
      <c r="AR8732" s="77"/>
      <c r="AT8732" s="497">
        <v>9.68</v>
      </c>
      <c r="AV8732" s="42"/>
      <c r="AW8732" s="74"/>
      <c r="AX8732" s="77"/>
      <c r="BA8732" s="497">
        <v>28.4</v>
      </c>
      <c r="BB8732" s="42"/>
      <c r="BC8732" s="74"/>
      <c r="BD8732" s="77"/>
      <c r="BF8732">
        <v>24.98</v>
      </c>
      <c r="BH8732" s="42"/>
      <c r="BI8732" s="74"/>
      <c r="BJ8732" s="77"/>
      <c r="BL8732" s="497">
        <v>28.04</v>
      </c>
      <c r="BN8732" s="42"/>
      <c r="BO8732" s="74"/>
      <c r="BP8732" s="77"/>
      <c r="BR8732" s="497">
        <v>-4</v>
      </c>
      <c r="BT8732" s="42"/>
    </row>
    <row r="8733" spans="1:72" x14ac:dyDescent="0.25">
      <c r="A8733" s="90">
        <v>35794</v>
      </c>
      <c r="B8733" s="20">
        <v>0.125</v>
      </c>
      <c r="D8733">
        <v>44.06</v>
      </c>
      <c r="E8733" t="str">
        <f t="shared" si="308"/>
        <v>WEEKDAY</v>
      </c>
      <c r="F8733" t="e">
        <f t="shared" si="307"/>
        <v>#N/A</v>
      </c>
      <c r="G8733" s="74">
        <v>28489</v>
      </c>
      <c r="H8733" s="77">
        <v>0.125</v>
      </c>
      <c r="J8733">
        <v>28.94</v>
      </c>
      <c r="M8733" s="74">
        <v>36890</v>
      </c>
      <c r="N8733" s="77">
        <v>0.125</v>
      </c>
      <c r="P8733">
        <v>23</v>
      </c>
      <c r="S8733" s="74">
        <v>35794</v>
      </c>
      <c r="T8733" s="77">
        <v>0.125</v>
      </c>
      <c r="V8733">
        <v>37.94</v>
      </c>
      <c r="X8733" s="42"/>
      <c r="AB8733">
        <v>34.5</v>
      </c>
      <c r="AC8733">
        <v>42.8</v>
      </c>
      <c r="AE8733" s="74"/>
      <c r="AF8733" s="77"/>
      <c r="AH8733" s="497">
        <v>32</v>
      </c>
      <c r="AJ8733" s="42"/>
      <c r="AK8733" s="74"/>
      <c r="AL8733" s="77"/>
      <c r="AN8733" s="497">
        <v>15.079999999999998</v>
      </c>
      <c r="AP8733" s="42"/>
      <c r="AQ8733" s="74"/>
      <c r="AR8733" s="77"/>
      <c r="AT8733" s="497">
        <v>10.219999999999999</v>
      </c>
      <c r="AV8733" s="42"/>
      <c r="AW8733" s="74"/>
      <c r="AX8733" s="77"/>
      <c r="BA8733" s="497">
        <v>28.58</v>
      </c>
      <c r="BB8733" s="42"/>
      <c r="BC8733" s="74"/>
      <c r="BD8733" s="77"/>
      <c r="BF8733">
        <v>24.98</v>
      </c>
      <c r="BH8733" s="42"/>
      <c r="BI8733" s="74"/>
      <c r="BJ8733" s="77"/>
      <c r="BL8733" s="497">
        <v>28.04</v>
      </c>
      <c r="BN8733" s="42"/>
      <c r="BO8733" s="74"/>
      <c r="BP8733" s="77"/>
      <c r="BR8733" s="497">
        <v>-4</v>
      </c>
      <c r="BT8733" s="42"/>
    </row>
    <row r="8734" spans="1:72" x14ac:dyDescent="0.25">
      <c r="A8734" s="90">
        <v>35794</v>
      </c>
      <c r="B8734" s="20">
        <v>0.16666666666666666</v>
      </c>
      <c r="D8734">
        <v>44.96</v>
      </c>
      <c r="E8734" t="str">
        <f t="shared" si="308"/>
        <v>WEEKDAY</v>
      </c>
      <c r="F8734" t="e">
        <f t="shared" si="307"/>
        <v>#N/A</v>
      </c>
      <c r="G8734" s="74">
        <v>28489</v>
      </c>
      <c r="H8734" s="77">
        <v>0.16666666666666666</v>
      </c>
      <c r="J8734">
        <v>30.02</v>
      </c>
      <c r="M8734" s="74">
        <v>36890</v>
      </c>
      <c r="N8734" s="77">
        <v>0.16666666666666666</v>
      </c>
      <c r="P8734">
        <v>23</v>
      </c>
      <c r="S8734" s="74">
        <v>35794</v>
      </c>
      <c r="T8734" s="77">
        <v>0.16666666666666666</v>
      </c>
      <c r="V8734">
        <v>39.019999999999996</v>
      </c>
      <c r="X8734" s="42"/>
      <c r="AB8734">
        <v>34.299999999999997</v>
      </c>
      <c r="AC8734">
        <v>42.8</v>
      </c>
      <c r="AE8734" s="74"/>
      <c r="AF8734" s="77"/>
      <c r="AH8734" s="497">
        <v>32</v>
      </c>
      <c r="AJ8734" s="42"/>
      <c r="AK8734" s="74"/>
      <c r="AL8734" s="77"/>
      <c r="AN8734" s="497">
        <v>15.079999999999998</v>
      </c>
      <c r="AP8734" s="42"/>
      <c r="AQ8734" s="74"/>
      <c r="AR8734" s="77"/>
      <c r="AT8734" s="497">
        <v>10.940000000000001</v>
      </c>
      <c r="AV8734" s="42"/>
      <c r="AW8734" s="74"/>
      <c r="AX8734" s="77"/>
      <c r="BA8734" s="497">
        <v>28.94</v>
      </c>
      <c r="BB8734" s="42"/>
      <c r="BC8734" s="74"/>
      <c r="BD8734" s="77"/>
      <c r="BF8734">
        <v>24.98</v>
      </c>
      <c r="BH8734" s="42"/>
      <c r="BI8734" s="74"/>
      <c r="BJ8734" s="77"/>
      <c r="BL8734" s="497">
        <v>26.96</v>
      </c>
      <c r="BN8734" s="42"/>
      <c r="BO8734" s="74"/>
      <c r="BP8734" s="77"/>
      <c r="BR8734" s="497">
        <v>-4</v>
      </c>
      <c r="BT8734" s="42"/>
    </row>
    <row r="8735" spans="1:72" x14ac:dyDescent="0.25">
      <c r="A8735" s="90">
        <v>35794</v>
      </c>
      <c r="B8735" s="20">
        <v>0.20833333333333334</v>
      </c>
      <c r="D8735">
        <v>46.04</v>
      </c>
      <c r="E8735" t="str">
        <f t="shared" si="308"/>
        <v>WEEKDAY</v>
      </c>
      <c r="F8735" t="e">
        <f t="shared" si="307"/>
        <v>#N/A</v>
      </c>
      <c r="G8735" s="74">
        <v>28489</v>
      </c>
      <c r="H8735" s="77">
        <v>0.20833333333333334</v>
      </c>
      <c r="J8735">
        <v>30.02</v>
      </c>
      <c r="M8735" s="74">
        <v>36890</v>
      </c>
      <c r="N8735" s="77">
        <v>0.20833333333333334</v>
      </c>
      <c r="P8735">
        <v>24.8</v>
      </c>
      <c r="S8735" s="74">
        <v>35794</v>
      </c>
      <c r="T8735" s="77">
        <v>0.20833333333333334</v>
      </c>
      <c r="V8735">
        <v>41</v>
      </c>
      <c r="X8735" s="42"/>
      <c r="AB8735">
        <v>34</v>
      </c>
      <c r="AC8735">
        <v>42.8</v>
      </c>
      <c r="AE8735" s="74"/>
      <c r="AF8735" s="77"/>
      <c r="AH8735" s="497">
        <v>32</v>
      </c>
      <c r="AJ8735" s="42"/>
      <c r="AK8735" s="74"/>
      <c r="AL8735" s="77"/>
      <c r="AN8735" s="497">
        <v>17.059999999999999</v>
      </c>
      <c r="AP8735" s="42"/>
      <c r="AQ8735" s="74"/>
      <c r="AR8735" s="77"/>
      <c r="AT8735" s="497">
        <v>10.219999999999999</v>
      </c>
      <c r="AV8735" s="42"/>
      <c r="AW8735" s="74"/>
      <c r="AX8735" s="77"/>
      <c r="BA8735" s="497">
        <v>28.58</v>
      </c>
      <c r="BB8735" s="42"/>
      <c r="BC8735" s="74"/>
      <c r="BD8735" s="77"/>
      <c r="BF8735">
        <v>24.98</v>
      </c>
      <c r="BH8735" s="42"/>
      <c r="BI8735" s="74"/>
      <c r="BJ8735" s="77"/>
      <c r="BL8735" s="497">
        <v>28.04</v>
      </c>
      <c r="BN8735" s="42"/>
      <c r="BO8735" s="74"/>
      <c r="BP8735" s="77"/>
      <c r="BR8735" s="497">
        <v>-0.94000000000000483</v>
      </c>
      <c r="BT8735" s="42"/>
    </row>
    <row r="8736" spans="1:72" x14ac:dyDescent="0.25">
      <c r="A8736" s="90">
        <v>35794</v>
      </c>
      <c r="B8736" s="20">
        <v>0.25</v>
      </c>
      <c r="D8736">
        <v>46.04</v>
      </c>
      <c r="E8736" t="str">
        <f t="shared" si="308"/>
        <v>WEEKDAY</v>
      </c>
      <c r="F8736" t="e">
        <f t="shared" si="307"/>
        <v>#N/A</v>
      </c>
      <c r="G8736" s="74">
        <v>28489</v>
      </c>
      <c r="H8736" s="77">
        <v>0.25</v>
      </c>
      <c r="J8736">
        <v>28.94</v>
      </c>
      <c r="M8736" s="74">
        <v>36890</v>
      </c>
      <c r="N8736" s="77">
        <v>0.25</v>
      </c>
      <c r="P8736">
        <v>23</v>
      </c>
      <c r="S8736" s="74">
        <v>35794</v>
      </c>
      <c r="T8736" s="77">
        <v>0.25</v>
      </c>
      <c r="V8736">
        <v>39.92</v>
      </c>
      <c r="X8736" s="42"/>
      <c r="AB8736">
        <v>33.799999999999997</v>
      </c>
      <c r="AC8736">
        <v>42.8</v>
      </c>
      <c r="AE8736" s="74"/>
      <c r="AF8736" s="77"/>
      <c r="AH8736" s="497">
        <v>32</v>
      </c>
      <c r="AJ8736" s="42"/>
      <c r="AK8736" s="74"/>
      <c r="AL8736" s="77"/>
      <c r="AN8736" s="497">
        <v>17.059999999999999</v>
      </c>
      <c r="AP8736" s="42"/>
      <c r="AQ8736" s="74"/>
      <c r="AR8736" s="77"/>
      <c r="AT8736" s="497">
        <v>9.68</v>
      </c>
      <c r="AV8736" s="42"/>
      <c r="AW8736" s="74"/>
      <c r="AX8736" s="77"/>
      <c r="BA8736" s="497">
        <v>28.4</v>
      </c>
      <c r="BB8736" s="42"/>
      <c r="BC8736" s="74"/>
      <c r="BD8736" s="77"/>
      <c r="BF8736">
        <v>24.98</v>
      </c>
      <c r="BH8736" s="42"/>
      <c r="BI8736" s="74"/>
      <c r="BJ8736" s="77"/>
      <c r="BL8736" s="497">
        <v>28.04</v>
      </c>
      <c r="BN8736" s="42"/>
      <c r="BO8736" s="74"/>
      <c r="BP8736" s="77"/>
      <c r="BR8736" s="497">
        <v>-0.94000000000000483</v>
      </c>
      <c r="BT8736" s="42"/>
    </row>
    <row r="8737" spans="1:72" x14ac:dyDescent="0.25">
      <c r="A8737" s="90">
        <v>35794</v>
      </c>
      <c r="B8737" s="20">
        <v>0.29166666666666669</v>
      </c>
      <c r="D8737">
        <v>46.94</v>
      </c>
      <c r="E8737" t="str">
        <f t="shared" si="308"/>
        <v>WEEKDAY</v>
      </c>
      <c r="F8737" t="e">
        <f t="shared" si="307"/>
        <v>#N/A</v>
      </c>
      <c r="G8737" s="74">
        <v>28489</v>
      </c>
      <c r="H8737" s="77">
        <v>0.29166666666666669</v>
      </c>
      <c r="J8737">
        <v>28.94</v>
      </c>
      <c r="M8737" s="74">
        <v>36890</v>
      </c>
      <c r="N8737" s="77">
        <v>0.29166666666666669</v>
      </c>
      <c r="P8737">
        <v>24.8</v>
      </c>
      <c r="S8737" s="74">
        <v>35794</v>
      </c>
      <c r="T8737" s="77">
        <v>0.29166666666666669</v>
      </c>
      <c r="V8737">
        <v>37.04</v>
      </c>
      <c r="X8737" s="42"/>
      <c r="AB8737">
        <v>33.799999999999997</v>
      </c>
      <c r="AC8737">
        <v>41</v>
      </c>
      <c r="AE8737" s="74"/>
      <c r="AF8737" s="77"/>
      <c r="AH8737" s="497">
        <v>32</v>
      </c>
      <c r="AJ8737" s="42"/>
      <c r="AK8737" s="74"/>
      <c r="AL8737" s="77"/>
      <c r="AN8737" s="497">
        <v>17.059999999999999</v>
      </c>
      <c r="AP8737" s="42"/>
      <c r="AQ8737" s="74"/>
      <c r="AR8737" s="77"/>
      <c r="AT8737" s="497">
        <v>8.9599999999999973</v>
      </c>
      <c r="AV8737" s="42"/>
      <c r="AW8737" s="74"/>
      <c r="AX8737" s="77"/>
      <c r="BA8737" s="497">
        <v>28.04</v>
      </c>
      <c r="BB8737" s="42"/>
      <c r="BC8737" s="74"/>
      <c r="BD8737" s="77"/>
      <c r="BF8737">
        <v>26.96</v>
      </c>
      <c r="BH8737" s="42"/>
      <c r="BI8737" s="74"/>
      <c r="BJ8737" s="77"/>
      <c r="BL8737" s="497">
        <v>28.94</v>
      </c>
      <c r="BN8737" s="42"/>
      <c r="BO8737" s="74"/>
      <c r="BP8737" s="77"/>
      <c r="BR8737" s="497">
        <v>1.0399999999999991</v>
      </c>
      <c r="BT8737" s="42"/>
    </row>
    <row r="8738" spans="1:72" x14ac:dyDescent="0.25">
      <c r="A8738" s="90">
        <v>35794</v>
      </c>
      <c r="B8738" s="20">
        <v>0.33333333333333331</v>
      </c>
      <c r="D8738">
        <v>48.92</v>
      </c>
      <c r="E8738" t="str">
        <f t="shared" si="308"/>
        <v>WEEKDAY</v>
      </c>
      <c r="F8738" t="e">
        <f t="shared" si="307"/>
        <v>#N/A</v>
      </c>
      <c r="G8738" s="74">
        <v>28489</v>
      </c>
      <c r="H8738" s="77">
        <v>0.33333333333333331</v>
      </c>
      <c r="J8738">
        <v>30.02</v>
      </c>
      <c r="M8738" s="74">
        <v>36890</v>
      </c>
      <c r="N8738" s="77">
        <v>0.33333333333333331</v>
      </c>
      <c r="P8738">
        <v>26.6</v>
      </c>
      <c r="S8738" s="74">
        <v>35794</v>
      </c>
      <c r="T8738" s="77">
        <v>0.33333333333333331</v>
      </c>
      <c r="V8738">
        <v>37.04</v>
      </c>
      <c r="X8738" s="42"/>
      <c r="AB8738">
        <v>33.799999999999997</v>
      </c>
      <c r="AC8738">
        <v>39.200000000000003</v>
      </c>
      <c r="AE8738" s="74"/>
      <c r="AF8738" s="77"/>
      <c r="AH8738" s="497">
        <v>32</v>
      </c>
      <c r="AJ8738" s="42"/>
      <c r="AK8738" s="74"/>
      <c r="AL8738" s="77"/>
      <c r="AN8738" s="497">
        <v>19.04</v>
      </c>
      <c r="AP8738" s="42"/>
      <c r="AQ8738" s="74"/>
      <c r="AR8738" s="77"/>
      <c r="AT8738" s="497">
        <v>10.219999999999999</v>
      </c>
      <c r="AV8738" s="42"/>
      <c r="AW8738" s="74"/>
      <c r="AX8738" s="77"/>
      <c r="BA8738" s="497">
        <v>28.759999999999998</v>
      </c>
      <c r="BB8738" s="42"/>
      <c r="BC8738" s="74"/>
      <c r="BD8738" s="77"/>
      <c r="BF8738">
        <v>28.94</v>
      </c>
      <c r="BH8738" s="42"/>
      <c r="BI8738" s="74"/>
      <c r="BJ8738" s="77"/>
      <c r="BL8738" s="497">
        <v>28.94</v>
      </c>
      <c r="BN8738" s="42"/>
      <c r="BO8738" s="74"/>
      <c r="BP8738" s="77"/>
      <c r="BR8738" s="497">
        <v>3.019999999999996</v>
      </c>
      <c r="BT8738" s="42"/>
    </row>
    <row r="8739" spans="1:72" x14ac:dyDescent="0.25">
      <c r="A8739" s="90">
        <v>35794</v>
      </c>
      <c r="B8739" s="20">
        <v>0.375</v>
      </c>
      <c r="D8739">
        <v>50</v>
      </c>
      <c r="E8739" t="str">
        <f t="shared" si="308"/>
        <v>WEEKDAY</v>
      </c>
      <c r="F8739" t="e">
        <f t="shared" si="307"/>
        <v>#N/A</v>
      </c>
      <c r="G8739" s="74">
        <v>28489</v>
      </c>
      <c r="H8739" s="77">
        <v>0.375</v>
      </c>
      <c r="J8739">
        <v>32</v>
      </c>
      <c r="M8739" s="74">
        <v>36890</v>
      </c>
      <c r="N8739" s="77">
        <v>0.375</v>
      </c>
      <c r="P8739">
        <v>26.6</v>
      </c>
      <c r="S8739" s="74">
        <v>35794</v>
      </c>
      <c r="T8739" s="77">
        <v>0.375</v>
      </c>
      <c r="V8739">
        <v>35.96</v>
      </c>
      <c r="X8739" s="42"/>
      <c r="AB8739">
        <v>34.200000000000003</v>
      </c>
      <c r="AC8739">
        <v>39.200000000000003</v>
      </c>
      <c r="AE8739" s="74"/>
      <c r="AF8739" s="77"/>
      <c r="AH8739" s="497">
        <v>33.799999999999997</v>
      </c>
      <c r="AJ8739" s="42"/>
      <c r="AK8739" s="74"/>
      <c r="AL8739" s="77"/>
      <c r="AN8739" s="497">
        <v>19.939999999999998</v>
      </c>
      <c r="AP8739" s="42"/>
      <c r="AQ8739" s="74"/>
      <c r="AR8739" s="77"/>
      <c r="AT8739" s="497">
        <v>11.659999999999997</v>
      </c>
      <c r="AV8739" s="42"/>
      <c r="AW8739" s="74"/>
      <c r="AX8739" s="77"/>
      <c r="BA8739" s="497">
        <v>29.3</v>
      </c>
      <c r="BB8739" s="42"/>
      <c r="BC8739" s="74"/>
      <c r="BD8739" s="77"/>
      <c r="BF8739">
        <v>30.92</v>
      </c>
      <c r="BH8739" s="42"/>
      <c r="BI8739" s="74"/>
      <c r="BJ8739" s="77"/>
      <c r="BL8739" s="497">
        <v>30.02</v>
      </c>
      <c r="BN8739" s="42"/>
      <c r="BO8739" s="74"/>
      <c r="BP8739" s="77"/>
      <c r="BR8739" s="497">
        <v>6.98</v>
      </c>
      <c r="BT8739" s="42"/>
    </row>
    <row r="8740" spans="1:72" x14ac:dyDescent="0.25">
      <c r="A8740" s="90">
        <v>35794</v>
      </c>
      <c r="B8740" s="20">
        <v>0.41666666666666669</v>
      </c>
      <c r="D8740">
        <v>51.08</v>
      </c>
      <c r="E8740" t="str">
        <f t="shared" si="308"/>
        <v>WEEKDAY</v>
      </c>
      <c r="F8740" t="e">
        <f t="shared" si="307"/>
        <v>#N/A</v>
      </c>
      <c r="G8740" s="74">
        <v>28489</v>
      </c>
      <c r="H8740" s="77">
        <v>0.41666666666666669</v>
      </c>
      <c r="J8740">
        <v>33.979999999999997</v>
      </c>
      <c r="M8740" s="74">
        <v>36890</v>
      </c>
      <c r="N8740" s="77">
        <v>0.41666666666666669</v>
      </c>
      <c r="P8740">
        <v>26.6</v>
      </c>
      <c r="S8740" s="74">
        <v>35794</v>
      </c>
      <c r="T8740" s="77">
        <v>0.41666666666666669</v>
      </c>
      <c r="V8740">
        <v>35.96</v>
      </c>
      <c r="X8740" s="42"/>
      <c r="AB8740">
        <v>35.6</v>
      </c>
      <c r="AC8740">
        <v>39.200000000000003</v>
      </c>
      <c r="AE8740" s="74"/>
      <c r="AF8740" s="77"/>
      <c r="AH8740" s="497">
        <v>35.6</v>
      </c>
      <c r="AJ8740" s="42"/>
      <c r="AK8740" s="74"/>
      <c r="AL8740" s="77"/>
      <c r="AN8740" s="497">
        <v>23</v>
      </c>
      <c r="AP8740" s="42"/>
      <c r="AQ8740" s="74"/>
      <c r="AR8740" s="77"/>
      <c r="AT8740" s="497">
        <v>12.920000000000002</v>
      </c>
      <c r="AV8740" s="42"/>
      <c r="AW8740" s="74"/>
      <c r="AX8740" s="77"/>
      <c r="BA8740" s="497">
        <v>30.02</v>
      </c>
      <c r="BB8740" s="42"/>
      <c r="BC8740" s="74"/>
      <c r="BD8740" s="77"/>
      <c r="BF8740">
        <v>30.92</v>
      </c>
      <c r="BH8740" s="42"/>
      <c r="BI8740" s="74"/>
      <c r="BJ8740" s="77"/>
      <c r="BL8740" s="497">
        <v>32</v>
      </c>
      <c r="BN8740" s="42"/>
      <c r="BO8740" s="74"/>
      <c r="BP8740" s="77"/>
      <c r="BR8740" s="497">
        <v>10.940000000000001</v>
      </c>
      <c r="BT8740" s="42"/>
    </row>
    <row r="8741" spans="1:72" x14ac:dyDescent="0.25">
      <c r="A8741" s="90">
        <v>35794</v>
      </c>
      <c r="B8741" s="20">
        <v>0.45833333333333331</v>
      </c>
      <c r="D8741">
        <v>51.980000000000004</v>
      </c>
      <c r="E8741" t="str">
        <f t="shared" si="308"/>
        <v>WEEKDAY</v>
      </c>
      <c r="F8741" t="e">
        <f t="shared" si="307"/>
        <v>#N/A</v>
      </c>
      <c r="G8741" s="74">
        <v>28489</v>
      </c>
      <c r="H8741" s="77">
        <v>0.45833333333333331</v>
      </c>
      <c r="J8741">
        <v>37.04</v>
      </c>
      <c r="M8741" s="74">
        <v>36890</v>
      </c>
      <c r="N8741" s="77">
        <v>0.45833333333333331</v>
      </c>
      <c r="P8741">
        <v>26.6</v>
      </c>
      <c r="S8741" s="74">
        <v>35794</v>
      </c>
      <c r="T8741" s="77">
        <v>0.45833333333333331</v>
      </c>
      <c r="V8741">
        <v>35.06</v>
      </c>
      <c r="X8741" s="42"/>
      <c r="AB8741">
        <v>36.9</v>
      </c>
      <c r="AC8741">
        <v>39.200000000000003</v>
      </c>
      <c r="AE8741" s="74"/>
      <c r="AF8741" s="77"/>
      <c r="AH8741" s="497">
        <v>37.4</v>
      </c>
      <c r="AJ8741" s="42"/>
      <c r="AK8741" s="74"/>
      <c r="AL8741" s="77"/>
      <c r="AN8741" s="497">
        <v>24.98</v>
      </c>
      <c r="AP8741" s="42"/>
      <c r="AQ8741" s="74"/>
      <c r="AR8741" s="77"/>
      <c r="AT8741" s="497">
        <v>15.259999999999998</v>
      </c>
      <c r="AV8741" s="42"/>
      <c r="AW8741" s="74"/>
      <c r="AX8741" s="77"/>
      <c r="BA8741" s="497">
        <v>32</v>
      </c>
      <c r="BB8741" s="42"/>
      <c r="BC8741" s="74"/>
      <c r="BD8741" s="77"/>
      <c r="BF8741">
        <v>32</v>
      </c>
      <c r="BH8741" s="42"/>
      <c r="BI8741" s="74"/>
      <c r="BJ8741" s="77"/>
      <c r="BL8741" s="497">
        <v>33.979999999999997</v>
      </c>
      <c r="BN8741" s="42"/>
      <c r="BO8741" s="74"/>
      <c r="BP8741" s="77"/>
      <c r="BR8741" s="497">
        <v>12.02</v>
      </c>
      <c r="BT8741" s="42"/>
    </row>
    <row r="8742" spans="1:72" x14ac:dyDescent="0.25">
      <c r="A8742" s="90">
        <v>35794</v>
      </c>
      <c r="B8742" s="20">
        <v>0.5</v>
      </c>
      <c r="D8742">
        <v>51.980000000000004</v>
      </c>
      <c r="E8742" t="str">
        <f t="shared" si="308"/>
        <v>WEEKDAY</v>
      </c>
      <c r="F8742" t="e">
        <f t="shared" si="307"/>
        <v>#N/A</v>
      </c>
      <c r="G8742" s="74">
        <v>28489</v>
      </c>
      <c r="H8742" s="77">
        <v>0.5</v>
      </c>
      <c r="J8742">
        <v>37.94</v>
      </c>
      <c r="M8742" s="74">
        <v>36890</v>
      </c>
      <c r="N8742" s="77">
        <v>0.5</v>
      </c>
      <c r="P8742">
        <v>26.6</v>
      </c>
      <c r="S8742" s="74">
        <v>35794</v>
      </c>
      <c r="T8742" s="77">
        <v>0.5</v>
      </c>
      <c r="V8742">
        <v>35.06</v>
      </c>
      <c r="X8742" s="42"/>
      <c r="AB8742">
        <v>38.1</v>
      </c>
      <c r="AC8742">
        <v>37.4</v>
      </c>
      <c r="AE8742" s="74"/>
      <c r="AF8742" s="77"/>
      <c r="AH8742" s="497">
        <v>41</v>
      </c>
      <c r="AJ8742" s="42"/>
      <c r="AK8742" s="74"/>
      <c r="AL8742" s="77"/>
      <c r="AN8742" s="497">
        <v>26.96</v>
      </c>
      <c r="AP8742" s="42"/>
      <c r="AQ8742" s="74"/>
      <c r="AR8742" s="77"/>
      <c r="AT8742" s="497">
        <v>17.600000000000001</v>
      </c>
      <c r="AV8742" s="42"/>
      <c r="AW8742" s="74"/>
      <c r="AX8742" s="77"/>
      <c r="BA8742" s="497">
        <v>33.979999999999997</v>
      </c>
      <c r="BB8742" s="42"/>
      <c r="BC8742" s="74"/>
      <c r="BD8742" s="77"/>
      <c r="BF8742">
        <v>32</v>
      </c>
      <c r="BH8742" s="42"/>
      <c r="BI8742" s="74"/>
      <c r="BJ8742" s="77"/>
      <c r="BL8742" s="497">
        <v>35.06</v>
      </c>
      <c r="BN8742" s="42"/>
      <c r="BO8742" s="74"/>
      <c r="BP8742" s="77"/>
      <c r="BR8742" s="497">
        <v>15.079999999999998</v>
      </c>
      <c r="BT8742" s="42"/>
    </row>
    <row r="8743" spans="1:72" x14ac:dyDescent="0.25">
      <c r="A8743" s="90">
        <v>35794</v>
      </c>
      <c r="B8743" s="20">
        <v>0.54166666666666663</v>
      </c>
      <c r="D8743">
        <v>51.08</v>
      </c>
      <c r="E8743" t="str">
        <f t="shared" si="308"/>
        <v>WEEKDAY</v>
      </c>
      <c r="F8743" t="e">
        <f t="shared" si="307"/>
        <v>#N/A</v>
      </c>
      <c r="G8743" s="74">
        <v>28489</v>
      </c>
      <c r="H8743" s="77">
        <v>0.54166666666666663</v>
      </c>
      <c r="J8743">
        <v>42.08</v>
      </c>
      <c r="M8743" s="74">
        <v>36890</v>
      </c>
      <c r="N8743" s="77">
        <v>0.54166666666666663</v>
      </c>
      <c r="P8743">
        <v>26.6</v>
      </c>
      <c r="S8743" s="74">
        <v>35794</v>
      </c>
      <c r="T8743" s="77">
        <v>0.54166666666666663</v>
      </c>
      <c r="V8743">
        <v>35.06</v>
      </c>
      <c r="X8743" s="42"/>
      <c r="AB8743">
        <v>39.1</v>
      </c>
      <c r="AC8743">
        <v>37.4</v>
      </c>
      <c r="AE8743" s="74"/>
      <c r="AF8743" s="77"/>
      <c r="AH8743" s="497">
        <v>39.200000000000003</v>
      </c>
      <c r="AJ8743" s="42"/>
      <c r="AK8743" s="74"/>
      <c r="AL8743" s="77"/>
      <c r="AN8743" s="497">
        <v>28.94</v>
      </c>
      <c r="AP8743" s="42"/>
      <c r="AQ8743" s="74"/>
      <c r="AR8743" s="77"/>
      <c r="AT8743" s="497">
        <v>19.939999999999998</v>
      </c>
      <c r="AV8743" s="42"/>
      <c r="AW8743" s="74"/>
      <c r="AX8743" s="77"/>
      <c r="BA8743" s="497">
        <v>35.96</v>
      </c>
      <c r="BB8743" s="42"/>
      <c r="BC8743" s="74"/>
      <c r="BD8743" s="77"/>
      <c r="BF8743">
        <v>33.08</v>
      </c>
      <c r="BH8743" s="42"/>
      <c r="BI8743" s="74"/>
      <c r="BJ8743" s="77"/>
      <c r="BL8743" s="497">
        <v>35.96</v>
      </c>
      <c r="BN8743" s="42"/>
      <c r="BO8743" s="74"/>
      <c r="BP8743" s="77"/>
      <c r="BR8743" s="497">
        <v>17.96</v>
      </c>
      <c r="BT8743" s="42"/>
    </row>
    <row r="8744" spans="1:72" x14ac:dyDescent="0.25">
      <c r="A8744" s="90">
        <v>35794</v>
      </c>
      <c r="B8744" s="20">
        <v>0.58333333333333337</v>
      </c>
      <c r="D8744">
        <v>50</v>
      </c>
      <c r="E8744" t="str">
        <f t="shared" si="308"/>
        <v>WEEKDAY</v>
      </c>
      <c r="F8744" t="e">
        <f t="shared" si="307"/>
        <v>#N/A</v>
      </c>
      <c r="G8744" s="74">
        <v>28489</v>
      </c>
      <c r="H8744" s="77">
        <v>0.58333333333333337</v>
      </c>
      <c r="J8744">
        <v>42.980000000000004</v>
      </c>
      <c r="M8744" s="74">
        <v>36890</v>
      </c>
      <c r="N8744" s="77">
        <v>0.58333333333333337</v>
      </c>
      <c r="P8744">
        <v>24.8</v>
      </c>
      <c r="S8744" s="74">
        <v>35794</v>
      </c>
      <c r="T8744" s="77">
        <v>0.58333333333333337</v>
      </c>
      <c r="V8744">
        <v>35.06</v>
      </c>
      <c r="X8744" s="42"/>
      <c r="AB8744">
        <v>39.9</v>
      </c>
      <c r="AC8744">
        <v>37.4</v>
      </c>
      <c r="AE8744" s="74"/>
      <c r="AF8744" s="77"/>
      <c r="AH8744" s="497">
        <v>41</v>
      </c>
      <c r="AJ8744" s="42"/>
      <c r="AK8744" s="74"/>
      <c r="AL8744" s="77"/>
      <c r="AN8744" s="497">
        <v>30.92</v>
      </c>
      <c r="AP8744" s="42"/>
      <c r="AQ8744" s="74"/>
      <c r="AR8744" s="77"/>
      <c r="AT8744" s="497">
        <v>21.92</v>
      </c>
      <c r="AV8744" s="42"/>
      <c r="AW8744" s="74"/>
      <c r="AX8744" s="77"/>
      <c r="BA8744" s="497">
        <v>35.6</v>
      </c>
      <c r="BB8744" s="42"/>
      <c r="BC8744" s="74"/>
      <c r="BD8744" s="77"/>
      <c r="BF8744">
        <v>33.08</v>
      </c>
      <c r="BH8744" s="42"/>
      <c r="BI8744" s="74"/>
      <c r="BJ8744" s="77"/>
      <c r="BL8744" s="497">
        <v>35.96</v>
      </c>
      <c r="BN8744" s="42"/>
      <c r="BO8744" s="74"/>
      <c r="BP8744" s="77"/>
      <c r="BR8744" s="497">
        <v>17.96</v>
      </c>
      <c r="BT8744" s="42"/>
    </row>
    <row r="8745" spans="1:72" x14ac:dyDescent="0.25">
      <c r="A8745" s="90">
        <v>35794</v>
      </c>
      <c r="B8745" s="20">
        <v>0.625</v>
      </c>
      <c r="D8745">
        <v>48.92</v>
      </c>
      <c r="E8745" t="str">
        <f t="shared" si="308"/>
        <v>WEEKDAY</v>
      </c>
      <c r="F8745" t="e">
        <f t="shared" si="307"/>
        <v>#N/A</v>
      </c>
      <c r="G8745" s="74">
        <v>28489</v>
      </c>
      <c r="H8745" s="77">
        <v>0.625</v>
      </c>
      <c r="J8745">
        <v>44.06</v>
      </c>
      <c r="M8745" s="74">
        <v>36890</v>
      </c>
      <c r="N8745" s="77">
        <v>0.625</v>
      </c>
      <c r="P8745">
        <v>24.8</v>
      </c>
      <c r="S8745" s="74">
        <v>35794</v>
      </c>
      <c r="T8745" s="77">
        <v>0.625</v>
      </c>
      <c r="V8745">
        <v>35.06</v>
      </c>
      <c r="X8745" s="42"/>
      <c r="AB8745">
        <v>40.200000000000003</v>
      </c>
      <c r="AC8745">
        <v>35.6</v>
      </c>
      <c r="AE8745" s="74"/>
      <c r="AF8745" s="77"/>
      <c r="AH8745" s="497">
        <v>41</v>
      </c>
      <c r="AJ8745" s="42"/>
      <c r="AK8745" s="74"/>
      <c r="AL8745" s="77"/>
      <c r="AN8745" s="497">
        <v>30.92</v>
      </c>
      <c r="AP8745" s="42"/>
      <c r="AQ8745" s="74"/>
      <c r="AR8745" s="77"/>
      <c r="AT8745" s="497">
        <v>24.08</v>
      </c>
      <c r="AV8745" s="42"/>
      <c r="AW8745" s="74"/>
      <c r="AX8745" s="77"/>
      <c r="BA8745" s="497">
        <v>35.42</v>
      </c>
      <c r="BB8745" s="42"/>
      <c r="BC8745" s="74"/>
      <c r="BD8745" s="77"/>
      <c r="BF8745">
        <v>33.08</v>
      </c>
      <c r="BH8745" s="42"/>
      <c r="BI8745" s="74"/>
      <c r="BJ8745" s="77"/>
      <c r="BL8745" s="497">
        <v>35.96</v>
      </c>
      <c r="BN8745" s="42"/>
      <c r="BO8745" s="74"/>
      <c r="BP8745" s="77"/>
      <c r="BR8745" s="497">
        <v>17.96</v>
      </c>
      <c r="BT8745" s="42"/>
    </row>
    <row r="8746" spans="1:72" x14ac:dyDescent="0.25">
      <c r="A8746" s="90">
        <v>35794</v>
      </c>
      <c r="B8746" s="20">
        <v>0.66666666666666663</v>
      </c>
      <c r="D8746">
        <v>46.94</v>
      </c>
      <c r="E8746" t="str">
        <f t="shared" si="308"/>
        <v>WEEKDAY</v>
      </c>
      <c r="F8746" t="e">
        <f t="shared" si="307"/>
        <v>#N/A</v>
      </c>
      <c r="G8746" s="74">
        <v>28489</v>
      </c>
      <c r="H8746" s="77">
        <v>0.66666666666666663</v>
      </c>
      <c r="J8746">
        <v>46.94</v>
      </c>
      <c r="M8746" s="74">
        <v>36890</v>
      </c>
      <c r="N8746" s="77">
        <v>0.66666666666666663</v>
      </c>
      <c r="P8746">
        <v>24.8</v>
      </c>
      <c r="S8746" s="74">
        <v>35794</v>
      </c>
      <c r="T8746" s="77">
        <v>0.66666666666666663</v>
      </c>
      <c r="V8746">
        <v>33.979999999999997</v>
      </c>
      <c r="X8746" s="42"/>
      <c r="AB8746">
        <v>40.1</v>
      </c>
      <c r="AC8746">
        <v>37.4</v>
      </c>
      <c r="AE8746" s="74"/>
      <c r="AF8746" s="77"/>
      <c r="AH8746" s="497">
        <v>41</v>
      </c>
      <c r="AJ8746" s="42"/>
      <c r="AK8746" s="74"/>
      <c r="AL8746" s="77"/>
      <c r="AN8746" s="497">
        <v>30.92</v>
      </c>
      <c r="AP8746" s="42"/>
      <c r="AQ8746" s="74"/>
      <c r="AR8746" s="77"/>
      <c r="AT8746" s="497">
        <v>26.060000000000002</v>
      </c>
      <c r="AV8746" s="42"/>
      <c r="AW8746" s="74"/>
      <c r="AX8746" s="77"/>
      <c r="BA8746" s="497">
        <v>35.06</v>
      </c>
      <c r="BB8746" s="42"/>
      <c r="BC8746" s="74"/>
      <c r="BD8746" s="77"/>
      <c r="BF8746">
        <v>33.08</v>
      </c>
      <c r="BH8746" s="42"/>
      <c r="BI8746" s="74"/>
      <c r="BJ8746" s="77"/>
      <c r="BL8746" s="497">
        <v>35.06</v>
      </c>
      <c r="BN8746" s="42"/>
      <c r="BO8746" s="74"/>
      <c r="BP8746" s="77"/>
      <c r="BR8746" s="497">
        <v>17.059999999999999</v>
      </c>
      <c r="BT8746" s="42"/>
    </row>
    <row r="8747" spans="1:72" x14ac:dyDescent="0.25">
      <c r="A8747" s="90">
        <v>35794</v>
      </c>
      <c r="B8747" s="20">
        <v>0.70833333333333337</v>
      </c>
      <c r="D8747">
        <v>46.04</v>
      </c>
      <c r="E8747" t="str">
        <f t="shared" si="308"/>
        <v>WEEKDAY</v>
      </c>
      <c r="F8747" t="e">
        <f t="shared" ref="F8747:F8778" si="309">IF(E8747="WEEKDAY",VLOOKUP(B8747,$DD$19:$DG$42,2),IF(E8747="SATURDAY",VLOOKUP(B8747,$DD$19:$DG$42,3),VLOOKUP(B8747,$DD$19:$DG$42,4)))</f>
        <v>#N/A</v>
      </c>
      <c r="G8747" s="74">
        <v>28489</v>
      </c>
      <c r="H8747" s="77">
        <v>0.70833333333333337</v>
      </c>
      <c r="J8747">
        <v>44.06</v>
      </c>
      <c r="M8747" s="74">
        <v>36890</v>
      </c>
      <c r="N8747" s="77">
        <v>0.70833333333333337</v>
      </c>
      <c r="P8747">
        <v>26.6</v>
      </c>
      <c r="S8747" s="74">
        <v>35794</v>
      </c>
      <c r="T8747" s="77">
        <v>0.70833333333333337</v>
      </c>
      <c r="V8747">
        <v>35.06</v>
      </c>
      <c r="X8747" s="42"/>
      <c r="AB8747">
        <v>39.4</v>
      </c>
      <c r="AC8747">
        <v>37.4</v>
      </c>
      <c r="AE8747" s="74"/>
      <c r="AF8747" s="77"/>
      <c r="AH8747" s="497">
        <v>35.6</v>
      </c>
      <c r="AJ8747" s="42"/>
      <c r="AK8747" s="74"/>
      <c r="AL8747" s="77"/>
      <c r="AN8747" s="497">
        <v>30.02</v>
      </c>
      <c r="AP8747" s="42"/>
      <c r="AQ8747" s="74"/>
      <c r="AR8747" s="77"/>
      <c r="AT8747" s="497">
        <v>24.08</v>
      </c>
      <c r="AV8747" s="42"/>
      <c r="AW8747" s="74"/>
      <c r="AX8747" s="77"/>
      <c r="BA8747" s="497">
        <v>34.700000000000003</v>
      </c>
      <c r="BB8747" s="42"/>
      <c r="BC8747" s="74"/>
      <c r="BD8747" s="77"/>
      <c r="BF8747">
        <v>33.08</v>
      </c>
      <c r="BH8747" s="42"/>
      <c r="BI8747" s="74"/>
      <c r="BJ8747" s="77"/>
      <c r="BL8747" s="497">
        <v>35.06</v>
      </c>
      <c r="BN8747" s="42"/>
      <c r="BO8747" s="74"/>
      <c r="BP8747" s="77"/>
      <c r="BR8747" s="497">
        <v>15.98</v>
      </c>
      <c r="BT8747" s="42"/>
    </row>
    <row r="8748" spans="1:72" x14ac:dyDescent="0.25">
      <c r="A8748" s="90">
        <v>35794</v>
      </c>
      <c r="B8748" s="20">
        <v>0.75</v>
      </c>
      <c r="D8748">
        <v>44.96</v>
      </c>
      <c r="E8748" t="str">
        <f t="shared" si="308"/>
        <v>WEEKDAY</v>
      </c>
      <c r="F8748" t="e">
        <f t="shared" si="309"/>
        <v>#N/A</v>
      </c>
      <c r="G8748" s="74">
        <v>28489</v>
      </c>
      <c r="H8748" s="77">
        <v>0.75</v>
      </c>
      <c r="J8748">
        <v>42.980000000000004</v>
      </c>
      <c r="M8748" s="74">
        <v>36890</v>
      </c>
      <c r="N8748" s="77">
        <v>0.75</v>
      </c>
      <c r="P8748">
        <v>28.4</v>
      </c>
      <c r="S8748" s="74">
        <v>35794</v>
      </c>
      <c r="T8748" s="77">
        <v>0.75</v>
      </c>
      <c r="V8748">
        <v>35.06</v>
      </c>
      <c r="X8748" s="42"/>
      <c r="AB8748">
        <v>38.299999999999997</v>
      </c>
      <c r="AC8748">
        <v>37.4</v>
      </c>
      <c r="AE8748" s="74"/>
      <c r="AF8748" s="77"/>
      <c r="AH8748" s="497">
        <v>30.2</v>
      </c>
      <c r="AJ8748" s="42"/>
      <c r="AK8748" s="74"/>
      <c r="AL8748" s="77"/>
      <c r="AN8748" s="497">
        <v>30.02</v>
      </c>
      <c r="AP8748" s="42"/>
      <c r="AQ8748" s="74"/>
      <c r="AR8748" s="77"/>
      <c r="AT8748" s="497">
        <v>21.92</v>
      </c>
      <c r="AV8748" s="42"/>
      <c r="AW8748" s="74"/>
      <c r="AX8748" s="77"/>
      <c r="BA8748" s="497">
        <v>34.340000000000003</v>
      </c>
      <c r="BB8748" s="42"/>
      <c r="BC8748" s="74"/>
      <c r="BD8748" s="77"/>
      <c r="BF8748">
        <v>33.08</v>
      </c>
      <c r="BH8748" s="42"/>
      <c r="BI8748" s="74"/>
      <c r="BJ8748" s="77"/>
      <c r="BL8748" s="497">
        <v>35.06</v>
      </c>
      <c r="BN8748" s="42"/>
      <c r="BO8748" s="74"/>
      <c r="BP8748" s="77"/>
      <c r="BR8748" s="497">
        <v>17.059999999999999</v>
      </c>
      <c r="BT8748" s="42"/>
    </row>
    <row r="8749" spans="1:72" x14ac:dyDescent="0.25">
      <c r="A8749" s="90">
        <v>35794</v>
      </c>
      <c r="B8749" s="20">
        <v>0.79166666666666663</v>
      </c>
      <c r="D8749">
        <v>44.06</v>
      </c>
      <c r="E8749" t="str">
        <f t="shared" si="308"/>
        <v>WEEKDAY</v>
      </c>
      <c r="F8749" t="e">
        <f t="shared" si="309"/>
        <v>#N/A</v>
      </c>
      <c r="G8749" s="74">
        <v>28489</v>
      </c>
      <c r="H8749" s="77">
        <v>0.79166666666666663</v>
      </c>
      <c r="J8749">
        <v>42.980000000000004</v>
      </c>
      <c r="M8749" s="74">
        <v>36890</v>
      </c>
      <c r="N8749" s="77">
        <v>0.79166666666666663</v>
      </c>
      <c r="P8749">
        <v>28.22</v>
      </c>
      <c r="S8749" s="74">
        <v>35794</v>
      </c>
      <c r="T8749" s="77">
        <v>0.79166666666666663</v>
      </c>
      <c r="V8749">
        <v>37.04</v>
      </c>
      <c r="X8749" s="42"/>
      <c r="AB8749">
        <v>37.700000000000003</v>
      </c>
      <c r="AC8749">
        <v>37.4</v>
      </c>
      <c r="AE8749" s="74"/>
      <c r="AF8749" s="77"/>
      <c r="AH8749" s="497">
        <v>28.4</v>
      </c>
      <c r="AJ8749" s="42"/>
      <c r="AK8749" s="74"/>
      <c r="AL8749" s="77"/>
      <c r="AN8749" s="497">
        <v>30.02</v>
      </c>
      <c r="AP8749" s="42"/>
      <c r="AQ8749" s="74"/>
      <c r="AR8749" s="77"/>
      <c r="AT8749" s="497">
        <v>19.939999999999998</v>
      </c>
      <c r="AV8749" s="42"/>
      <c r="AW8749" s="74"/>
      <c r="AX8749" s="77"/>
      <c r="BA8749" s="497">
        <v>33.979999999999997</v>
      </c>
      <c r="BB8749" s="42"/>
      <c r="BC8749" s="74"/>
      <c r="BD8749" s="77"/>
      <c r="BF8749">
        <v>33.08</v>
      </c>
      <c r="BH8749" s="42"/>
      <c r="BI8749" s="74"/>
      <c r="BJ8749" s="77"/>
      <c r="BL8749" s="497">
        <v>35.06</v>
      </c>
      <c r="BN8749" s="42"/>
      <c r="BO8749" s="74"/>
      <c r="BP8749" s="77"/>
      <c r="BR8749" s="497">
        <v>17.059999999999999</v>
      </c>
      <c r="BT8749" s="42"/>
    </row>
    <row r="8750" spans="1:72" x14ac:dyDescent="0.25">
      <c r="A8750" s="90">
        <v>35794</v>
      </c>
      <c r="B8750" s="20">
        <v>0.83333333333333337</v>
      </c>
      <c r="D8750">
        <v>42.980000000000004</v>
      </c>
      <c r="E8750" t="str">
        <f t="shared" si="308"/>
        <v>WEEKDAY</v>
      </c>
      <c r="F8750" t="e">
        <f t="shared" si="309"/>
        <v>#N/A</v>
      </c>
      <c r="G8750" s="74">
        <v>28489</v>
      </c>
      <c r="H8750" s="77">
        <v>0.83333333333333337</v>
      </c>
      <c r="J8750">
        <v>42.980000000000004</v>
      </c>
      <c r="M8750" s="74">
        <v>36890</v>
      </c>
      <c r="N8750" s="77">
        <v>0.83333333333333337</v>
      </c>
      <c r="P8750">
        <v>28.4</v>
      </c>
      <c r="S8750" s="74">
        <v>35794</v>
      </c>
      <c r="T8750" s="77">
        <v>0.83333333333333337</v>
      </c>
      <c r="V8750">
        <v>35.96</v>
      </c>
      <c r="X8750" s="42"/>
      <c r="AB8750">
        <v>37.5</v>
      </c>
      <c r="AC8750">
        <v>37.4</v>
      </c>
      <c r="AE8750" s="74"/>
      <c r="AF8750" s="77"/>
      <c r="AH8750" s="497">
        <v>28.4</v>
      </c>
      <c r="AJ8750" s="42"/>
      <c r="AK8750" s="74"/>
      <c r="AL8750" s="77"/>
      <c r="AN8750" s="497">
        <v>30.02</v>
      </c>
      <c r="AP8750" s="42"/>
      <c r="AQ8750" s="74"/>
      <c r="AR8750" s="77"/>
      <c r="AT8750" s="497">
        <v>20.66</v>
      </c>
      <c r="AV8750" s="42"/>
      <c r="AW8750" s="74"/>
      <c r="AX8750" s="77"/>
      <c r="BA8750" s="497">
        <v>33.979999999999997</v>
      </c>
      <c r="BB8750" s="42"/>
      <c r="BC8750" s="74"/>
      <c r="BD8750" s="77"/>
      <c r="BF8750">
        <v>33.08</v>
      </c>
      <c r="BH8750" s="42"/>
      <c r="BI8750" s="74"/>
      <c r="BJ8750" s="77"/>
      <c r="BL8750" s="497">
        <v>35.06</v>
      </c>
      <c r="BN8750" s="42"/>
      <c r="BO8750" s="74"/>
      <c r="BP8750" s="77"/>
      <c r="BR8750" s="497">
        <v>17.059999999999999</v>
      </c>
      <c r="BT8750" s="42"/>
    </row>
    <row r="8751" spans="1:72" x14ac:dyDescent="0.25">
      <c r="A8751" s="90">
        <v>35794</v>
      </c>
      <c r="B8751" s="20">
        <v>0.875</v>
      </c>
      <c r="D8751">
        <v>42.08</v>
      </c>
      <c r="E8751" t="str">
        <f t="shared" si="308"/>
        <v>WEEKDAY</v>
      </c>
      <c r="F8751" t="e">
        <f t="shared" si="309"/>
        <v>#N/A</v>
      </c>
      <c r="G8751" s="74">
        <v>28489</v>
      </c>
      <c r="H8751" s="77">
        <v>0.875</v>
      </c>
      <c r="J8751">
        <v>41</v>
      </c>
      <c r="M8751" s="74">
        <v>36890</v>
      </c>
      <c r="N8751" s="77">
        <v>0.875</v>
      </c>
      <c r="P8751">
        <v>26.6</v>
      </c>
      <c r="S8751" s="74">
        <v>35794</v>
      </c>
      <c r="T8751" s="77">
        <v>0.875</v>
      </c>
      <c r="V8751">
        <v>35.96</v>
      </c>
      <c r="X8751" s="42"/>
      <c r="AB8751">
        <v>36.9</v>
      </c>
      <c r="AC8751">
        <v>37.4</v>
      </c>
      <c r="AE8751" s="74"/>
      <c r="AF8751" s="77"/>
      <c r="AH8751" s="497">
        <v>26.6</v>
      </c>
      <c r="AJ8751" s="42"/>
      <c r="AK8751" s="74"/>
      <c r="AL8751" s="77"/>
      <c r="AN8751" s="497">
        <v>30.02</v>
      </c>
      <c r="AP8751" s="42"/>
      <c r="AQ8751" s="74"/>
      <c r="AR8751" s="77"/>
      <c r="AT8751" s="497">
        <v>21.2</v>
      </c>
      <c r="AV8751" s="42"/>
      <c r="AW8751" s="74"/>
      <c r="AX8751" s="77"/>
      <c r="BA8751" s="497">
        <v>33.979999999999997</v>
      </c>
      <c r="BB8751" s="42"/>
      <c r="BC8751" s="74"/>
      <c r="BD8751" s="77"/>
      <c r="BF8751">
        <v>33.08</v>
      </c>
      <c r="BH8751" s="42"/>
      <c r="BI8751" s="74"/>
      <c r="BJ8751" s="77"/>
      <c r="BL8751" s="497">
        <v>33.979999999999997</v>
      </c>
      <c r="BN8751" s="42"/>
      <c r="BO8751" s="74"/>
      <c r="BP8751" s="77"/>
      <c r="BR8751" s="497">
        <v>17.96</v>
      </c>
      <c r="BT8751" s="42"/>
    </row>
    <row r="8752" spans="1:72" x14ac:dyDescent="0.25">
      <c r="A8752" s="90">
        <v>35794</v>
      </c>
      <c r="B8752" s="20">
        <v>0.91666666666666663</v>
      </c>
      <c r="D8752">
        <v>42.08</v>
      </c>
      <c r="E8752" t="str">
        <f t="shared" si="308"/>
        <v>WEEKDAY</v>
      </c>
      <c r="F8752" t="e">
        <f t="shared" si="309"/>
        <v>#N/A</v>
      </c>
      <c r="G8752" s="74">
        <v>28489</v>
      </c>
      <c r="H8752" s="77">
        <v>0.91666666666666663</v>
      </c>
      <c r="J8752">
        <v>42.08</v>
      </c>
      <c r="M8752" s="74">
        <v>36890</v>
      </c>
      <c r="N8752" s="77">
        <v>0.91666666666666663</v>
      </c>
      <c r="P8752">
        <v>26.6</v>
      </c>
      <c r="S8752" s="74">
        <v>35794</v>
      </c>
      <c r="T8752" s="77">
        <v>0.91666666666666663</v>
      </c>
      <c r="V8752">
        <v>35.96</v>
      </c>
      <c r="X8752" s="42"/>
      <c r="AB8752">
        <v>36.4</v>
      </c>
      <c r="AC8752">
        <v>37.4</v>
      </c>
      <c r="AE8752" s="74"/>
      <c r="AF8752" s="77"/>
      <c r="AH8752" s="497">
        <v>26.6</v>
      </c>
      <c r="AJ8752" s="42"/>
      <c r="AK8752" s="74"/>
      <c r="AL8752" s="77"/>
      <c r="AN8752" s="497">
        <v>30.02</v>
      </c>
      <c r="AP8752" s="42"/>
      <c r="AQ8752" s="74"/>
      <c r="AR8752" s="77"/>
      <c r="AT8752" s="497">
        <v>21.92</v>
      </c>
      <c r="AV8752" s="42"/>
      <c r="AW8752" s="74"/>
      <c r="AX8752" s="77"/>
      <c r="BA8752" s="497">
        <v>33.979999999999997</v>
      </c>
      <c r="BB8752" s="42"/>
      <c r="BC8752" s="74"/>
      <c r="BD8752" s="77"/>
      <c r="BF8752">
        <v>32</v>
      </c>
      <c r="BH8752" s="42"/>
      <c r="BI8752" s="74"/>
      <c r="BJ8752" s="77"/>
      <c r="BL8752" s="497">
        <v>33.08</v>
      </c>
      <c r="BN8752" s="42"/>
      <c r="BO8752" s="74"/>
      <c r="BP8752" s="77"/>
      <c r="BR8752" s="497">
        <v>19.04</v>
      </c>
      <c r="BT8752" s="42"/>
    </row>
    <row r="8753" spans="1:72" x14ac:dyDescent="0.25">
      <c r="A8753" s="90">
        <v>35794</v>
      </c>
      <c r="B8753" s="20">
        <v>0.95833333333333337</v>
      </c>
      <c r="D8753">
        <v>41</v>
      </c>
      <c r="E8753" t="str">
        <f t="shared" si="308"/>
        <v>WEEKDAY</v>
      </c>
      <c r="F8753" t="e">
        <f t="shared" si="309"/>
        <v>#N/A</v>
      </c>
      <c r="G8753" s="74">
        <v>28489</v>
      </c>
      <c r="H8753" s="77">
        <v>0.95833333333333337</v>
      </c>
      <c r="J8753">
        <v>39.92</v>
      </c>
      <c r="M8753" s="74">
        <v>36890</v>
      </c>
      <c r="N8753" s="77">
        <v>0.95833333333333337</v>
      </c>
      <c r="P8753">
        <v>26.6</v>
      </c>
      <c r="S8753" s="74">
        <v>35794</v>
      </c>
      <c r="T8753" s="77">
        <v>0.95833333333333337</v>
      </c>
      <c r="V8753">
        <v>35.06</v>
      </c>
      <c r="X8753" s="42"/>
      <c r="AB8753">
        <v>35.9</v>
      </c>
      <c r="AC8753">
        <v>37.4</v>
      </c>
      <c r="AE8753" s="74"/>
      <c r="AF8753" s="77"/>
      <c r="AH8753" s="497">
        <v>28.4</v>
      </c>
      <c r="AJ8753" s="42"/>
      <c r="AK8753" s="74"/>
      <c r="AL8753" s="77"/>
      <c r="AN8753" s="497">
        <v>30.02</v>
      </c>
      <c r="AP8753" s="42"/>
      <c r="AQ8753" s="74"/>
      <c r="AR8753" s="77"/>
      <c r="AT8753" s="497">
        <v>22.28</v>
      </c>
      <c r="AV8753" s="42"/>
      <c r="AW8753" s="74"/>
      <c r="AX8753" s="77"/>
      <c r="BA8753" s="497">
        <v>33.619999999999997</v>
      </c>
      <c r="BB8753" s="42"/>
      <c r="BC8753" s="74"/>
      <c r="BD8753" s="77"/>
      <c r="BF8753">
        <v>30.92</v>
      </c>
      <c r="BH8753" s="42"/>
      <c r="BI8753" s="74"/>
      <c r="BJ8753" s="77"/>
      <c r="BL8753" s="497">
        <v>33.08</v>
      </c>
      <c r="BN8753" s="42"/>
      <c r="BO8753" s="74"/>
      <c r="BP8753" s="77"/>
      <c r="BR8753" s="497">
        <v>19.04</v>
      </c>
      <c r="BT8753" s="42"/>
    </row>
    <row r="8754" spans="1:72" x14ac:dyDescent="0.25">
      <c r="A8754" s="90">
        <v>35794</v>
      </c>
      <c r="B8754" s="20">
        <v>1</v>
      </c>
      <c r="D8754">
        <v>41</v>
      </c>
      <c r="E8754" t="str">
        <f t="shared" si="308"/>
        <v>WEEKDAY</v>
      </c>
      <c r="F8754" t="e">
        <f t="shared" si="309"/>
        <v>#N/A</v>
      </c>
      <c r="G8754" s="74">
        <v>28489</v>
      </c>
      <c r="H8754" s="77">
        <v>1</v>
      </c>
      <c r="J8754">
        <v>37.94</v>
      </c>
      <c r="M8754" s="74">
        <v>36890</v>
      </c>
      <c r="N8754" s="80">
        <v>1</v>
      </c>
      <c r="P8754">
        <v>24.8</v>
      </c>
      <c r="S8754" s="74">
        <v>35794</v>
      </c>
      <c r="T8754" s="80">
        <v>1</v>
      </c>
      <c r="V8754">
        <v>35.06</v>
      </c>
      <c r="X8754" s="42"/>
      <c r="AB8754">
        <v>35.4</v>
      </c>
      <c r="AC8754">
        <v>37.4</v>
      </c>
      <c r="AE8754" s="74"/>
      <c r="AF8754" s="80"/>
      <c r="AH8754" s="497">
        <v>33.799999999999997</v>
      </c>
      <c r="AJ8754" s="42"/>
      <c r="AK8754" s="74"/>
      <c r="AL8754" s="80"/>
      <c r="AN8754" s="497">
        <v>30.02</v>
      </c>
      <c r="AP8754" s="42"/>
      <c r="AQ8754" s="74"/>
      <c r="AR8754" s="80"/>
      <c r="AT8754" s="497">
        <v>22.64</v>
      </c>
      <c r="AV8754" s="42"/>
      <c r="AW8754" s="74"/>
      <c r="AX8754" s="80"/>
      <c r="BA8754" s="497">
        <v>33.44</v>
      </c>
      <c r="BB8754" s="42"/>
      <c r="BC8754" s="74"/>
      <c r="BD8754" s="80"/>
      <c r="BF8754">
        <v>30.02</v>
      </c>
      <c r="BH8754" s="42"/>
      <c r="BI8754" s="74"/>
      <c r="BJ8754" s="80"/>
      <c r="BL8754" s="497">
        <v>32</v>
      </c>
      <c r="BN8754" s="42"/>
      <c r="BO8754" s="74"/>
      <c r="BP8754" s="80"/>
      <c r="BR8754" s="497">
        <v>19.04</v>
      </c>
      <c r="BT8754" s="42"/>
    </row>
    <row r="8755" spans="1:72" x14ac:dyDescent="0.25">
      <c r="A8755" s="90">
        <v>35795</v>
      </c>
      <c r="B8755" s="20">
        <v>4.1666666666666664E-2</v>
      </c>
      <c r="D8755">
        <v>41</v>
      </c>
      <c r="E8755" t="str">
        <f t="shared" si="308"/>
        <v>WEEKDAY</v>
      </c>
      <c r="F8755" t="e">
        <f t="shared" si="309"/>
        <v>#N/A</v>
      </c>
      <c r="G8755" s="74">
        <v>28490</v>
      </c>
      <c r="H8755" s="77">
        <v>4.1666666666666664E-2</v>
      </c>
      <c r="J8755">
        <v>37.04</v>
      </c>
      <c r="M8755" s="74">
        <v>36891</v>
      </c>
      <c r="N8755" s="77">
        <v>4.1666666666666664E-2</v>
      </c>
      <c r="P8755">
        <v>24.8</v>
      </c>
      <c r="S8755" s="74">
        <v>35795</v>
      </c>
      <c r="T8755" s="77">
        <v>4.1666666666666664E-2</v>
      </c>
      <c r="V8755">
        <v>33.979999999999997</v>
      </c>
      <c r="X8755" s="42"/>
      <c r="AB8755">
        <v>34.9</v>
      </c>
      <c r="AC8755">
        <v>35.6</v>
      </c>
      <c r="AE8755" s="74"/>
      <c r="AF8755" s="77"/>
      <c r="AH8755" s="497">
        <v>35.6</v>
      </c>
      <c r="AJ8755" s="42"/>
      <c r="AK8755" s="74"/>
      <c r="AL8755" s="77"/>
      <c r="AN8755" s="497">
        <v>28.94</v>
      </c>
      <c r="AP8755" s="42"/>
      <c r="AQ8755" s="74"/>
      <c r="AR8755" s="77"/>
      <c r="AT8755" s="497">
        <v>23</v>
      </c>
      <c r="AV8755" s="42"/>
      <c r="AW8755" s="74"/>
      <c r="AX8755" s="77"/>
      <c r="BA8755" s="497">
        <v>33.08</v>
      </c>
      <c r="BB8755" s="42"/>
      <c r="BC8755" s="74"/>
      <c r="BD8755" s="77"/>
      <c r="BF8755">
        <v>30.02</v>
      </c>
      <c r="BH8755" s="42"/>
      <c r="BI8755" s="74"/>
      <c r="BJ8755" s="77"/>
      <c r="BL8755" s="497">
        <v>32</v>
      </c>
      <c r="BN8755" s="42"/>
      <c r="BO8755" s="74"/>
      <c r="BP8755" s="77"/>
      <c r="BR8755" s="497">
        <v>19.939999999999998</v>
      </c>
      <c r="BT8755" s="42"/>
    </row>
    <row r="8756" spans="1:72" x14ac:dyDescent="0.25">
      <c r="A8756" s="90">
        <v>35795</v>
      </c>
      <c r="B8756" s="20">
        <v>8.3333333333333329E-2</v>
      </c>
      <c r="D8756">
        <v>41</v>
      </c>
      <c r="E8756" t="str">
        <f t="shared" si="308"/>
        <v>WEEKDAY</v>
      </c>
      <c r="F8756" t="e">
        <f t="shared" si="309"/>
        <v>#N/A</v>
      </c>
      <c r="G8756" s="74">
        <v>28490</v>
      </c>
      <c r="H8756" s="77">
        <v>8.3333333333333329E-2</v>
      </c>
      <c r="J8756">
        <v>37.04</v>
      </c>
      <c r="M8756" s="74">
        <v>36891</v>
      </c>
      <c r="N8756" s="77">
        <v>8.3333333333333329E-2</v>
      </c>
      <c r="P8756">
        <v>24.8</v>
      </c>
      <c r="S8756" s="74">
        <v>35795</v>
      </c>
      <c r="T8756" s="77">
        <v>8.3333333333333329E-2</v>
      </c>
      <c r="V8756">
        <v>33.08</v>
      </c>
      <c r="X8756" s="42"/>
      <c r="AB8756">
        <v>34.4</v>
      </c>
      <c r="AC8756">
        <v>35.6</v>
      </c>
      <c r="AE8756" s="74"/>
      <c r="AF8756" s="77"/>
      <c r="AH8756" s="497">
        <v>33.799999999999997</v>
      </c>
      <c r="AJ8756" s="42"/>
      <c r="AK8756" s="74"/>
      <c r="AL8756" s="77"/>
      <c r="AN8756" s="497">
        <v>28.94</v>
      </c>
      <c r="AP8756" s="42"/>
      <c r="AQ8756" s="74"/>
      <c r="AR8756" s="77"/>
      <c r="AT8756" s="497">
        <v>24.08</v>
      </c>
      <c r="AV8756" s="42"/>
      <c r="AW8756" s="74"/>
      <c r="AX8756" s="77"/>
      <c r="BA8756" s="497">
        <v>32.36</v>
      </c>
      <c r="BB8756" s="42"/>
      <c r="BC8756" s="74"/>
      <c r="BD8756" s="77"/>
      <c r="BF8756">
        <v>28.94</v>
      </c>
      <c r="BH8756" s="42"/>
      <c r="BI8756" s="74"/>
      <c r="BJ8756" s="77"/>
      <c r="BL8756" s="497">
        <v>32</v>
      </c>
      <c r="BN8756" s="42"/>
      <c r="BO8756" s="74"/>
      <c r="BP8756" s="77"/>
      <c r="BR8756" s="497">
        <v>19.04</v>
      </c>
      <c r="BT8756" s="42"/>
    </row>
    <row r="8757" spans="1:72" x14ac:dyDescent="0.25">
      <c r="A8757" s="90">
        <v>35795</v>
      </c>
      <c r="B8757" s="20">
        <v>0.125</v>
      </c>
      <c r="D8757">
        <v>39.92</v>
      </c>
      <c r="E8757" t="str">
        <f t="shared" si="308"/>
        <v>WEEKDAY</v>
      </c>
      <c r="F8757" t="e">
        <f t="shared" si="309"/>
        <v>#N/A</v>
      </c>
      <c r="G8757" s="74">
        <v>28490</v>
      </c>
      <c r="H8757" s="77">
        <v>0.125</v>
      </c>
      <c r="J8757">
        <v>37.04</v>
      </c>
      <c r="M8757" s="74">
        <v>36891</v>
      </c>
      <c r="N8757" s="77">
        <v>0.125</v>
      </c>
      <c r="P8757">
        <v>24.8</v>
      </c>
      <c r="S8757" s="74">
        <v>35795</v>
      </c>
      <c r="T8757" s="77">
        <v>0.125</v>
      </c>
      <c r="V8757">
        <v>30.92</v>
      </c>
      <c r="X8757" s="42"/>
      <c r="AB8757">
        <v>34.200000000000003</v>
      </c>
      <c r="AC8757">
        <v>35.6</v>
      </c>
      <c r="AE8757" s="74"/>
      <c r="AF8757" s="77"/>
      <c r="AH8757" s="497">
        <v>35.6</v>
      </c>
      <c r="AJ8757" s="42"/>
      <c r="AK8757" s="74"/>
      <c r="AL8757" s="77"/>
      <c r="AN8757" s="497">
        <v>28.94</v>
      </c>
      <c r="AP8757" s="42"/>
      <c r="AQ8757" s="74"/>
      <c r="AR8757" s="77"/>
      <c r="AT8757" s="497">
        <v>24.98</v>
      </c>
      <c r="AV8757" s="42"/>
      <c r="AW8757" s="74"/>
      <c r="AX8757" s="77"/>
      <c r="BA8757" s="497">
        <v>31.64</v>
      </c>
      <c r="BB8757" s="42"/>
      <c r="BC8757" s="74"/>
      <c r="BD8757" s="77"/>
      <c r="BF8757">
        <v>28.94</v>
      </c>
      <c r="BH8757" s="42"/>
      <c r="BI8757" s="74"/>
      <c r="BJ8757" s="77"/>
      <c r="BL8757" s="497">
        <v>32</v>
      </c>
      <c r="BN8757" s="42"/>
      <c r="BO8757" s="74"/>
      <c r="BP8757" s="77"/>
      <c r="BR8757" s="497">
        <v>19.04</v>
      </c>
      <c r="BT8757" s="42"/>
    </row>
    <row r="8758" spans="1:72" x14ac:dyDescent="0.25">
      <c r="A8758" s="90">
        <v>35795</v>
      </c>
      <c r="B8758" s="20">
        <v>0.16666666666666666</v>
      </c>
      <c r="D8758">
        <v>39.92</v>
      </c>
      <c r="E8758" t="str">
        <f t="shared" si="308"/>
        <v>WEEKDAY</v>
      </c>
      <c r="F8758" t="e">
        <f t="shared" si="309"/>
        <v>#N/A</v>
      </c>
      <c r="G8758" s="74">
        <v>28490</v>
      </c>
      <c r="H8758" s="77">
        <v>0.16666666666666666</v>
      </c>
      <c r="J8758">
        <v>37.04</v>
      </c>
      <c r="M8758" s="74">
        <v>36891</v>
      </c>
      <c r="N8758" s="77">
        <v>0.16666666666666666</v>
      </c>
      <c r="P8758">
        <v>24.8</v>
      </c>
      <c r="S8758" s="74">
        <v>35795</v>
      </c>
      <c r="T8758" s="77">
        <v>0.16666666666666666</v>
      </c>
      <c r="V8758">
        <v>30.02</v>
      </c>
      <c r="X8758" s="42"/>
      <c r="AB8758">
        <v>33.9</v>
      </c>
      <c r="AC8758">
        <v>33.799999999999997</v>
      </c>
      <c r="AE8758" s="74"/>
      <c r="AF8758" s="77"/>
      <c r="AH8758" s="497">
        <v>33.799999999999997</v>
      </c>
      <c r="AJ8758" s="42"/>
      <c r="AK8758" s="74"/>
      <c r="AL8758" s="77"/>
      <c r="AN8758" s="497">
        <v>30.02</v>
      </c>
      <c r="AP8758" s="42"/>
      <c r="AQ8758" s="74"/>
      <c r="AR8758" s="77"/>
      <c r="AT8758" s="497">
        <v>26.060000000000002</v>
      </c>
      <c r="AV8758" s="42"/>
      <c r="AW8758" s="74"/>
      <c r="AX8758" s="77"/>
      <c r="BA8758" s="497">
        <v>30.92</v>
      </c>
      <c r="BB8758" s="42"/>
      <c r="BC8758" s="74"/>
      <c r="BD8758" s="77"/>
      <c r="BF8758">
        <v>28.94</v>
      </c>
      <c r="BH8758" s="42"/>
      <c r="BI8758" s="74"/>
      <c r="BJ8758" s="77"/>
      <c r="BL8758" s="497">
        <v>32</v>
      </c>
      <c r="BN8758" s="42"/>
      <c r="BO8758" s="74"/>
      <c r="BP8758" s="77"/>
      <c r="BR8758" s="497">
        <v>19.939999999999998</v>
      </c>
      <c r="BT8758" s="42"/>
    </row>
    <row r="8759" spans="1:72" x14ac:dyDescent="0.25">
      <c r="A8759" s="90">
        <v>35795</v>
      </c>
      <c r="B8759" s="20">
        <v>0.20833333333333334</v>
      </c>
      <c r="D8759">
        <v>39.92</v>
      </c>
      <c r="E8759" t="str">
        <f t="shared" si="308"/>
        <v>WEEKDAY</v>
      </c>
      <c r="F8759" t="e">
        <f t="shared" si="309"/>
        <v>#N/A</v>
      </c>
      <c r="G8759" s="74">
        <v>28490</v>
      </c>
      <c r="H8759" s="77">
        <v>0.20833333333333334</v>
      </c>
      <c r="J8759">
        <v>37.04</v>
      </c>
      <c r="M8759" s="74">
        <v>36891</v>
      </c>
      <c r="N8759" s="77">
        <v>0.20833333333333334</v>
      </c>
      <c r="P8759">
        <v>24.8</v>
      </c>
      <c r="S8759" s="74">
        <v>35795</v>
      </c>
      <c r="T8759" s="77">
        <v>0.20833333333333334</v>
      </c>
      <c r="V8759">
        <v>30.02</v>
      </c>
      <c r="X8759" s="42"/>
      <c r="AB8759">
        <v>33.6</v>
      </c>
      <c r="AC8759">
        <v>32</v>
      </c>
      <c r="AE8759" s="74"/>
      <c r="AF8759" s="77"/>
      <c r="AH8759" s="497">
        <v>33.799999999999997</v>
      </c>
      <c r="AJ8759" s="42"/>
      <c r="AK8759" s="74"/>
      <c r="AL8759" s="77"/>
      <c r="AN8759" s="497">
        <v>30.02</v>
      </c>
      <c r="AP8759" s="42"/>
      <c r="AQ8759" s="74"/>
      <c r="AR8759" s="77"/>
      <c r="AT8759" s="497">
        <v>26.42</v>
      </c>
      <c r="AV8759" s="42"/>
      <c r="AW8759" s="74"/>
      <c r="AX8759" s="77"/>
      <c r="BA8759" s="497">
        <v>30.2</v>
      </c>
      <c r="BB8759" s="42"/>
      <c r="BC8759" s="74"/>
      <c r="BD8759" s="77"/>
      <c r="BF8759">
        <v>28.94</v>
      </c>
      <c r="BH8759" s="42"/>
      <c r="BI8759" s="74"/>
      <c r="BJ8759" s="77"/>
      <c r="BL8759" s="497">
        <v>32</v>
      </c>
      <c r="BN8759" s="42"/>
      <c r="BO8759" s="74"/>
      <c r="BP8759" s="77"/>
      <c r="BR8759" s="497">
        <v>19.939999999999998</v>
      </c>
      <c r="BT8759" s="42"/>
    </row>
    <row r="8760" spans="1:72" x14ac:dyDescent="0.25">
      <c r="A8760" s="90">
        <v>35795</v>
      </c>
      <c r="B8760" s="20">
        <v>0.25</v>
      </c>
      <c r="D8760">
        <v>39.019999999999996</v>
      </c>
      <c r="E8760" t="str">
        <f t="shared" si="308"/>
        <v>WEEKDAY</v>
      </c>
      <c r="F8760" t="e">
        <f t="shared" si="309"/>
        <v>#N/A</v>
      </c>
      <c r="G8760" s="74">
        <v>28490</v>
      </c>
      <c r="H8760" s="77">
        <v>0.25</v>
      </c>
      <c r="J8760">
        <v>37.04</v>
      </c>
      <c r="M8760" s="74">
        <v>36891</v>
      </c>
      <c r="N8760" s="77">
        <v>0.25</v>
      </c>
      <c r="P8760">
        <v>24.8</v>
      </c>
      <c r="S8760" s="74">
        <v>35795</v>
      </c>
      <c r="T8760" s="77">
        <v>0.25</v>
      </c>
      <c r="V8760">
        <v>28.94</v>
      </c>
      <c r="X8760" s="42"/>
      <c r="AB8760">
        <v>33.5</v>
      </c>
      <c r="AC8760">
        <v>32</v>
      </c>
      <c r="AE8760" s="74"/>
      <c r="AF8760" s="77"/>
      <c r="AH8760" s="497">
        <v>33.799999999999997</v>
      </c>
      <c r="AJ8760" s="42"/>
      <c r="AK8760" s="74"/>
      <c r="AL8760" s="77"/>
      <c r="AN8760" s="497">
        <v>30.92</v>
      </c>
      <c r="AP8760" s="42"/>
      <c r="AQ8760" s="74"/>
      <c r="AR8760" s="77"/>
      <c r="AT8760" s="497">
        <v>26.6</v>
      </c>
      <c r="AV8760" s="42"/>
      <c r="AW8760" s="74"/>
      <c r="AX8760" s="77"/>
      <c r="BA8760" s="497">
        <v>29.66</v>
      </c>
      <c r="BB8760" s="42"/>
      <c r="BC8760" s="74"/>
      <c r="BD8760" s="77"/>
      <c r="BF8760">
        <v>28.94</v>
      </c>
      <c r="BH8760" s="42"/>
      <c r="BI8760" s="74"/>
      <c r="BJ8760" s="77"/>
      <c r="BL8760" s="497">
        <v>30.92</v>
      </c>
      <c r="BN8760" s="42"/>
      <c r="BO8760" s="74"/>
      <c r="BP8760" s="77"/>
      <c r="BR8760" s="497">
        <v>21.02</v>
      </c>
      <c r="BT8760" s="42"/>
    </row>
    <row r="8761" spans="1:72" x14ac:dyDescent="0.25">
      <c r="A8761" s="90">
        <v>35795</v>
      </c>
      <c r="B8761" s="20">
        <v>0.29166666666666669</v>
      </c>
      <c r="D8761">
        <v>39.019999999999996</v>
      </c>
      <c r="E8761" t="str">
        <f t="shared" si="308"/>
        <v>WEEKDAY</v>
      </c>
      <c r="F8761" t="e">
        <f t="shared" si="309"/>
        <v>#N/A</v>
      </c>
      <c r="G8761" s="74">
        <v>28490</v>
      </c>
      <c r="H8761" s="77">
        <v>0.29166666666666669</v>
      </c>
      <c r="J8761">
        <v>37.04</v>
      </c>
      <c r="M8761" s="74">
        <v>36891</v>
      </c>
      <c r="N8761" s="77">
        <v>0.29166666666666669</v>
      </c>
      <c r="P8761">
        <v>24.8</v>
      </c>
      <c r="S8761" s="74">
        <v>35795</v>
      </c>
      <c r="T8761" s="77">
        <v>0.29166666666666669</v>
      </c>
      <c r="V8761">
        <v>28.94</v>
      </c>
      <c r="X8761" s="42"/>
      <c r="AB8761">
        <v>33.4</v>
      </c>
      <c r="AC8761">
        <v>30.2</v>
      </c>
      <c r="AE8761" s="74"/>
      <c r="AF8761" s="77"/>
      <c r="AH8761" s="497">
        <v>39.200000000000003</v>
      </c>
      <c r="AJ8761" s="42"/>
      <c r="AK8761" s="74"/>
      <c r="AL8761" s="77"/>
      <c r="AN8761" s="497">
        <v>30.02</v>
      </c>
      <c r="AP8761" s="42"/>
      <c r="AQ8761" s="74"/>
      <c r="AR8761" s="77"/>
      <c r="AT8761" s="497">
        <v>26.96</v>
      </c>
      <c r="AV8761" s="42"/>
      <c r="AW8761" s="74"/>
      <c r="AX8761" s="77"/>
      <c r="BA8761" s="497">
        <v>28.94</v>
      </c>
      <c r="BB8761" s="42"/>
      <c r="BC8761" s="74"/>
      <c r="BD8761" s="77"/>
      <c r="BF8761">
        <v>28.04</v>
      </c>
      <c r="BH8761" s="42"/>
      <c r="BI8761" s="74"/>
      <c r="BJ8761" s="77"/>
      <c r="BL8761" s="497">
        <v>30.92</v>
      </c>
      <c r="BN8761" s="42"/>
      <c r="BO8761" s="74"/>
      <c r="BP8761" s="77"/>
      <c r="BR8761" s="497">
        <v>21.92</v>
      </c>
      <c r="BT8761" s="42"/>
    </row>
    <row r="8762" spans="1:72" x14ac:dyDescent="0.25">
      <c r="A8762" s="90">
        <v>35795</v>
      </c>
      <c r="B8762" s="20">
        <v>0.33333333333333331</v>
      </c>
      <c r="D8762">
        <v>39.019999999999996</v>
      </c>
      <c r="E8762" t="str">
        <f t="shared" si="308"/>
        <v>WEEKDAY</v>
      </c>
      <c r="F8762" t="e">
        <f t="shared" si="309"/>
        <v>#N/A</v>
      </c>
      <c r="G8762" s="74">
        <v>28490</v>
      </c>
      <c r="H8762" s="77">
        <v>0.33333333333333331</v>
      </c>
      <c r="J8762">
        <v>39.019999999999996</v>
      </c>
      <c r="M8762" s="74">
        <v>36891</v>
      </c>
      <c r="N8762" s="77">
        <v>0.33333333333333331</v>
      </c>
      <c r="P8762">
        <v>24.8</v>
      </c>
      <c r="S8762" s="74">
        <v>35795</v>
      </c>
      <c r="T8762" s="77">
        <v>0.33333333333333331</v>
      </c>
      <c r="V8762">
        <v>28.94</v>
      </c>
      <c r="X8762" s="42"/>
      <c r="AB8762">
        <v>33.4</v>
      </c>
      <c r="AC8762">
        <v>30.2</v>
      </c>
      <c r="AE8762" s="74"/>
      <c r="AF8762" s="77"/>
      <c r="AH8762" s="497">
        <v>39.200000000000003</v>
      </c>
      <c r="AJ8762" s="42"/>
      <c r="AK8762" s="74"/>
      <c r="AL8762" s="77"/>
      <c r="AN8762" s="497">
        <v>30.02</v>
      </c>
      <c r="AP8762" s="42"/>
      <c r="AQ8762" s="74"/>
      <c r="AR8762" s="77"/>
      <c r="AT8762" s="497">
        <v>30.02</v>
      </c>
      <c r="AV8762" s="42"/>
      <c r="AW8762" s="74"/>
      <c r="AX8762" s="77"/>
      <c r="BA8762" s="497">
        <v>28.94</v>
      </c>
      <c r="BB8762" s="42"/>
      <c r="BC8762" s="74"/>
      <c r="BD8762" s="77"/>
      <c r="BF8762">
        <v>28.04</v>
      </c>
      <c r="BH8762" s="42"/>
      <c r="BI8762" s="74"/>
      <c r="BJ8762" s="77"/>
      <c r="BL8762" s="497">
        <v>30.02</v>
      </c>
      <c r="BN8762" s="42"/>
      <c r="BO8762" s="74"/>
      <c r="BP8762" s="77"/>
      <c r="BR8762" s="497">
        <v>21.92</v>
      </c>
      <c r="BT8762" s="42"/>
    </row>
    <row r="8763" spans="1:72" x14ac:dyDescent="0.25">
      <c r="A8763" s="90">
        <v>35795</v>
      </c>
      <c r="B8763" s="20">
        <v>0.375</v>
      </c>
      <c r="D8763">
        <v>39.019999999999996</v>
      </c>
      <c r="E8763" t="str">
        <f t="shared" si="308"/>
        <v>WEEKDAY</v>
      </c>
      <c r="F8763" t="e">
        <f t="shared" si="309"/>
        <v>#N/A</v>
      </c>
      <c r="G8763" s="74">
        <v>28490</v>
      </c>
      <c r="H8763" s="77">
        <v>0.375</v>
      </c>
      <c r="J8763">
        <v>37.94</v>
      </c>
      <c r="M8763" s="74">
        <v>36891</v>
      </c>
      <c r="N8763" s="77">
        <v>0.375</v>
      </c>
      <c r="P8763">
        <v>24.8</v>
      </c>
      <c r="S8763" s="74">
        <v>35795</v>
      </c>
      <c r="T8763" s="77">
        <v>0.375</v>
      </c>
      <c r="V8763">
        <v>28.94</v>
      </c>
      <c r="X8763" s="42"/>
      <c r="AB8763">
        <v>33.799999999999997</v>
      </c>
      <c r="AC8763">
        <v>30.2</v>
      </c>
      <c r="AE8763" s="74"/>
      <c r="AF8763" s="77"/>
      <c r="AH8763" s="497">
        <v>37.4</v>
      </c>
      <c r="AJ8763" s="42"/>
      <c r="AK8763" s="74"/>
      <c r="AL8763" s="77"/>
      <c r="AN8763" s="497">
        <v>30.92</v>
      </c>
      <c r="AP8763" s="42"/>
      <c r="AQ8763" s="74"/>
      <c r="AR8763" s="77"/>
      <c r="AT8763" s="497">
        <v>32.9</v>
      </c>
      <c r="AV8763" s="42"/>
      <c r="AW8763" s="74"/>
      <c r="AX8763" s="77"/>
      <c r="BA8763" s="497">
        <v>28.94</v>
      </c>
      <c r="BB8763" s="42"/>
      <c r="BC8763" s="74"/>
      <c r="BD8763" s="77"/>
      <c r="BF8763">
        <v>28.04</v>
      </c>
      <c r="BH8763" s="42"/>
      <c r="BI8763" s="74"/>
      <c r="BJ8763" s="77"/>
      <c r="BL8763" s="497">
        <v>30.02</v>
      </c>
      <c r="BN8763" s="42"/>
      <c r="BO8763" s="74"/>
      <c r="BP8763" s="77"/>
      <c r="BR8763" s="497">
        <v>21.92</v>
      </c>
      <c r="BT8763" s="42"/>
    </row>
    <row r="8764" spans="1:72" x14ac:dyDescent="0.25">
      <c r="A8764" s="90">
        <v>35795</v>
      </c>
      <c r="B8764" s="20">
        <v>0.41666666666666669</v>
      </c>
      <c r="D8764">
        <v>39.019999999999996</v>
      </c>
      <c r="E8764" t="str">
        <f t="shared" si="308"/>
        <v>WEEKDAY</v>
      </c>
      <c r="F8764" t="e">
        <f t="shared" si="309"/>
        <v>#N/A</v>
      </c>
      <c r="G8764" s="74">
        <v>28490</v>
      </c>
      <c r="H8764" s="77">
        <v>0.41666666666666669</v>
      </c>
      <c r="J8764">
        <v>39.019999999999996</v>
      </c>
      <c r="M8764" s="74">
        <v>36891</v>
      </c>
      <c r="N8764" s="77">
        <v>0.41666666666666669</v>
      </c>
      <c r="P8764">
        <v>26.6</v>
      </c>
      <c r="S8764" s="74">
        <v>35795</v>
      </c>
      <c r="T8764" s="77">
        <v>0.41666666666666669</v>
      </c>
      <c r="V8764">
        <v>30.02</v>
      </c>
      <c r="X8764" s="42"/>
      <c r="AB8764">
        <v>35.1</v>
      </c>
      <c r="AC8764">
        <v>30.2</v>
      </c>
      <c r="AE8764" s="74"/>
      <c r="AF8764" s="77"/>
      <c r="AH8764" s="497">
        <v>41</v>
      </c>
      <c r="AJ8764" s="42"/>
      <c r="AK8764" s="74"/>
      <c r="AL8764" s="77"/>
      <c r="AN8764" s="497">
        <v>32</v>
      </c>
      <c r="AP8764" s="42"/>
      <c r="AQ8764" s="74"/>
      <c r="AR8764" s="77"/>
      <c r="AT8764" s="497">
        <v>35.96</v>
      </c>
      <c r="AV8764" s="42"/>
      <c r="AW8764" s="74"/>
      <c r="AX8764" s="77"/>
      <c r="BA8764" s="497">
        <v>28.94</v>
      </c>
      <c r="BB8764" s="42"/>
      <c r="BC8764" s="74"/>
      <c r="BD8764" s="77"/>
      <c r="BF8764">
        <v>28.94</v>
      </c>
      <c r="BH8764" s="42"/>
      <c r="BI8764" s="74"/>
      <c r="BJ8764" s="77"/>
      <c r="BL8764" s="497">
        <v>30.02</v>
      </c>
      <c r="BN8764" s="42"/>
      <c r="BO8764" s="74"/>
      <c r="BP8764" s="77"/>
      <c r="BR8764" s="497">
        <v>21.92</v>
      </c>
      <c r="BT8764" s="42"/>
    </row>
    <row r="8765" spans="1:72" x14ac:dyDescent="0.25">
      <c r="A8765" s="90">
        <v>35795</v>
      </c>
      <c r="B8765" s="20">
        <v>0.45833333333333331</v>
      </c>
      <c r="D8765">
        <v>41</v>
      </c>
      <c r="E8765" t="str">
        <f t="shared" si="308"/>
        <v>WEEKDAY</v>
      </c>
      <c r="F8765" t="e">
        <f t="shared" si="309"/>
        <v>#N/A</v>
      </c>
      <c r="G8765" s="74">
        <v>28490</v>
      </c>
      <c r="H8765" s="77">
        <v>0.45833333333333331</v>
      </c>
      <c r="J8765">
        <v>39.92</v>
      </c>
      <c r="M8765" s="74">
        <v>36891</v>
      </c>
      <c r="N8765" s="77">
        <v>0.45833333333333331</v>
      </c>
      <c r="P8765">
        <v>28.4</v>
      </c>
      <c r="S8765" s="74">
        <v>35795</v>
      </c>
      <c r="T8765" s="77">
        <v>0.45833333333333331</v>
      </c>
      <c r="V8765">
        <v>30.02</v>
      </c>
      <c r="X8765" s="42"/>
      <c r="AB8765">
        <v>36.4</v>
      </c>
      <c r="AC8765">
        <v>32</v>
      </c>
      <c r="AE8765" s="74"/>
      <c r="AF8765" s="77"/>
      <c r="AH8765" s="497">
        <v>44.6</v>
      </c>
      <c r="AJ8765" s="42"/>
      <c r="AK8765" s="74"/>
      <c r="AL8765" s="77"/>
      <c r="AN8765" s="497">
        <v>32</v>
      </c>
      <c r="AP8765" s="42"/>
      <c r="AQ8765" s="74"/>
      <c r="AR8765" s="77"/>
      <c r="AT8765" s="497">
        <v>35.96</v>
      </c>
      <c r="AV8765" s="42"/>
      <c r="AW8765" s="74"/>
      <c r="AX8765" s="77"/>
      <c r="BA8765" s="497">
        <v>30.02</v>
      </c>
      <c r="BB8765" s="42"/>
      <c r="BC8765" s="74"/>
      <c r="BD8765" s="77"/>
      <c r="BF8765">
        <v>30.02</v>
      </c>
      <c r="BH8765" s="42"/>
      <c r="BI8765" s="74"/>
      <c r="BJ8765" s="77"/>
      <c r="BL8765" s="497">
        <v>30.92</v>
      </c>
      <c r="BN8765" s="42"/>
      <c r="BO8765" s="74"/>
      <c r="BP8765" s="77"/>
      <c r="BR8765" s="497">
        <v>24.98</v>
      </c>
      <c r="BT8765" s="42"/>
    </row>
    <row r="8766" spans="1:72" x14ac:dyDescent="0.25">
      <c r="A8766" s="90">
        <v>35795</v>
      </c>
      <c r="B8766" s="20">
        <v>0.5</v>
      </c>
      <c r="D8766">
        <v>42.08</v>
      </c>
      <c r="E8766" t="str">
        <f t="shared" si="308"/>
        <v>WEEKDAY</v>
      </c>
      <c r="F8766" t="e">
        <f t="shared" si="309"/>
        <v>#N/A</v>
      </c>
      <c r="G8766" s="74">
        <v>28490</v>
      </c>
      <c r="H8766" s="77">
        <v>0.5</v>
      </c>
      <c r="J8766">
        <v>41</v>
      </c>
      <c r="M8766" s="74">
        <v>36891</v>
      </c>
      <c r="N8766" s="77">
        <v>0.5</v>
      </c>
      <c r="P8766">
        <v>28.4</v>
      </c>
      <c r="S8766" s="74">
        <v>35795</v>
      </c>
      <c r="T8766" s="77">
        <v>0.5</v>
      </c>
      <c r="V8766">
        <v>30.92</v>
      </c>
      <c r="X8766" s="42"/>
      <c r="AB8766">
        <v>37.6</v>
      </c>
      <c r="AC8766">
        <v>30.2</v>
      </c>
      <c r="AE8766" s="74"/>
      <c r="AF8766" s="77"/>
      <c r="AH8766" s="497">
        <v>44.6</v>
      </c>
      <c r="AJ8766" s="42"/>
      <c r="AK8766" s="74"/>
      <c r="AL8766" s="77"/>
      <c r="AN8766" s="497">
        <v>32</v>
      </c>
      <c r="AP8766" s="42"/>
      <c r="AQ8766" s="74"/>
      <c r="AR8766" s="77"/>
      <c r="AT8766" s="497">
        <v>35.96</v>
      </c>
      <c r="AV8766" s="42"/>
      <c r="AW8766" s="74"/>
      <c r="AX8766" s="77"/>
      <c r="BA8766" s="497">
        <v>30.92</v>
      </c>
      <c r="BB8766" s="42"/>
      <c r="BC8766" s="74"/>
      <c r="BD8766" s="77"/>
      <c r="BF8766">
        <v>28.94</v>
      </c>
      <c r="BH8766" s="42"/>
      <c r="BI8766" s="74"/>
      <c r="BJ8766" s="77"/>
      <c r="BL8766" s="497">
        <v>30.92</v>
      </c>
      <c r="BN8766" s="42"/>
      <c r="BO8766" s="74"/>
      <c r="BP8766" s="77"/>
      <c r="BR8766" s="497">
        <v>26.060000000000002</v>
      </c>
      <c r="BT8766" s="42"/>
    </row>
    <row r="8767" spans="1:72" x14ac:dyDescent="0.25">
      <c r="A8767" s="90">
        <v>35795</v>
      </c>
      <c r="B8767" s="20">
        <v>0.54166666666666663</v>
      </c>
      <c r="D8767">
        <v>42.980000000000004</v>
      </c>
      <c r="E8767" t="str">
        <f t="shared" si="308"/>
        <v>WEEKDAY</v>
      </c>
      <c r="F8767" t="e">
        <f t="shared" si="309"/>
        <v>#N/A</v>
      </c>
      <c r="G8767" s="74">
        <v>28490</v>
      </c>
      <c r="H8767" s="77">
        <v>0.54166666666666663</v>
      </c>
      <c r="J8767">
        <v>42.08</v>
      </c>
      <c r="M8767" s="74">
        <v>36891</v>
      </c>
      <c r="N8767" s="77">
        <v>0.54166666666666663</v>
      </c>
      <c r="P8767">
        <v>28.4</v>
      </c>
      <c r="S8767" s="74">
        <v>35795</v>
      </c>
      <c r="T8767" s="77">
        <v>0.54166666666666663</v>
      </c>
      <c r="V8767">
        <v>30.02</v>
      </c>
      <c r="X8767" s="42"/>
      <c r="AB8767">
        <v>38.6</v>
      </c>
      <c r="AC8767">
        <v>30.2</v>
      </c>
      <c r="AE8767" s="74"/>
      <c r="AF8767" s="77"/>
      <c r="AH8767" s="497">
        <v>46.4</v>
      </c>
      <c r="AJ8767" s="42"/>
      <c r="AK8767" s="74"/>
      <c r="AL8767" s="77"/>
      <c r="AN8767" s="497">
        <v>33.08</v>
      </c>
      <c r="AP8767" s="42"/>
      <c r="AQ8767" s="74"/>
      <c r="AR8767" s="77"/>
      <c r="AT8767" s="497">
        <v>35.96</v>
      </c>
      <c r="AV8767" s="42"/>
      <c r="AW8767" s="74"/>
      <c r="AX8767" s="77"/>
      <c r="BA8767" s="497">
        <v>32</v>
      </c>
      <c r="BB8767" s="42"/>
      <c r="BC8767" s="74"/>
      <c r="BD8767" s="77"/>
      <c r="BF8767">
        <v>30.02</v>
      </c>
      <c r="BH8767" s="42"/>
      <c r="BI8767" s="74"/>
      <c r="BJ8767" s="77"/>
      <c r="BL8767" s="497">
        <v>32</v>
      </c>
      <c r="BN8767" s="42"/>
      <c r="BO8767" s="74"/>
      <c r="BP8767" s="77"/>
      <c r="BR8767" s="497">
        <v>26.96</v>
      </c>
      <c r="BT8767" s="42"/>
    </row>
    <row r="8768" spans="1:72" x14ac:dyDescent="0.25">
      <c r="A8768" s="90">
        <v>35795</v>
      </c>
      <c r="B8768" s="20">
        <v>0.58333333333333337</v>
      </c>
      <c r="D8768">
        <v>44.96</v>
      </c>
      <c r="E8768" t="str">
        <f t="shared" si="308"/>
        <v>WEEKDAY</v>
      </c>
      <c r="F8768" t="e">
        <f t="shared" si="309"/>
        <v>#N/A</v>
      </c>
      <c r="G8768" s="74">
        <v>28490</v>
      </c>
      <c r="H8768" s="77">
        <v>0.58333333333333337</v>
      </c>
      <c r="J8768">
        <v>42.980000000000004</v>
      </c>
      <c r="M8768" s="74">
        <v>36891</v>
      </c>
      <c r="N8768" s="77">
        <v>0.58333333333333337</v>
      </c>
      <c r="P8768">
        <v>28.4</v>
      </c>
      <c r="S8768" s="74">
        <v>35795</v>
      </c>
      <c r="T8768" s="77">
        <v>0.58333333333333337</v>
      </c>
      <c r="V8768">
        <v>30.02</v>
      </c>
      <c r="X8768" s="42"/>
      <c r="AB8768">
        <v>39.4</v>
      </c>
      <c r="AC8768">
        <v>30.2</v>
      </c>
      <c r="AE8768" s="74"/>
      <c r="AF8768" s="77"/>
      <c r="AH8768" s="497">
        <v>50</v>
      </c>
      <c r="AJ8768" s="42"/>
      <c r="AK8768" s="74"/>
      <c r="AL8768" s="77"/>
      <c r="AN8768" s="497">
        <v>33.979999999999997</v>
      </c>
      <c r="AP8768" s="42"/>
      <c r="AQ8768" s="74"/>
      <c r="AR8768" s="77"/>
      <c r="AT8768" s="497">
        <v>36.32</v>
      </c>
      <c r="AV8768" s="42"/>
      <c r="AW8768" s="74"/>
      <c r="AX8768" s="77"/>
      <c r="BA8768" s="497">
        <v>31.28</v>
      </c>
      <c r="BB8768" s="42"/>
      <c r="BC8768" s="74"/>
      <c r="BD8768" s="77"/>
      <c r="BF8768">
        <v>30.02</v>
      </c>
      <c r="BH8768" s="42"/>
      <c r="BI8768" s="74"/>
      <c r="BJ8768" s="77"/>
      <c r="BL8768" s="497">
        <v>32</v>
      </c>
      <c r="BN8768" s="42"/>
      <c r="BO8768" s="74"/>
      <c r="BP8768" s="77"/>
      <c r="BR8768" s="497">
        <v>26.96</v>
      </c>
      <c r="BT8768" s="42"/>
    </row>
    <row r="8769" spans="1:72" x14ac:dyDescent="0.25">
      <c r="A8769" s="90">
        <v>35795</v>
      </c>
      <c r="B8769" s="20">
        <v>0.625</v>
      </c>
      <c r="D8769">
        <v>46.04</v>
      </c>
      <c r="E8769" t="str">
        <f t="shared" si="308"/>
        <v>WEEKDAY</v>
      </c>
      <c r="F8769" t="e">
        <f t="shared" si="309"/>
        <v>#N/A</v>
      </c>
      <c r="G8769" s="74">
        <v>28490</v>
      </c>
      <c r="H8769" s="77">
        <v>0.625</v>
      </c>
      <c r="J8769">
        <v>44.06</v>
      </c>
      <c r="M8769" s="74">
        <v>36891</v>
      </c>
      <c r="N8769" s="77">
        <v>0.625</v>
      </c>
      <c r="P8769">
        <v>28.4</v>
      </c>
      <c r="S8769" s="74">
        <v>35795</v>
      </c>
      <c r="T8769" s="77">
        <v>0.625</v>
      </c>
      <c r="V8769">
        <v>28.94</v>
      </c>
      <c r="X8769" s="42"/>
      <c r="AB8769">
        <v>39.700000000000003</v>
      </c>
      <c r="AC8769">
        <v>28.4</v>
      </c>
      <c r="AE8769" s="74"/>
      <c r="AF8769" s="77"/>
      <c r="AH8769" s="497">
        <v>50</v>
      </c>
      <c r="AJ8769" s="42"/>
      <c r="AK8769" s="74"/>
      <c r="AL8769" s="77"/>
      <c r="AN8769" s="497">
        <v>33.979999999999997</v>
      </c>
      <c r="AP8769" s="42"/>
      <c r="AQ8769" s="74"/>
      <c r="AR8769" s="77"/>
      <c r="AT8769" s="497">
        <v>36.68</v>
      </c>
      <c r="AV8769" s="42"/>
      <c r="AW8769" s="74"/>
      <c r="AX8769" s="77"/>
      <c r="BA8769" s="497">
        <v>30.74</v>
      </c>
      <c r="BB8769" s="42"/>
      <c r="BC8769" s="74"/>
      <c r="BD8769" s="77"/>
      <c r="BF8769">
        <v>30.02</v>
      </c>
      <c r="BH8769" s="42"/>
      <c r="BI8769" s="74"/>
      <c r="BJ8769" s="77"/>
      <c r="BL8769" s="497">
        <v>30.92</v>
      </c>
      <c r="BN8769" s="42"/>
      <c r="BO8769" s="74"/>
      <c r="BP8769" s="77"/>
      <c r="BR8769" s="497">
        <v>26.96</v>
      </c>
      <c r="BT8769" s="42"/>
    </row>
    <row r="8770" spans="1:72" x14ac:dyDescent="0.25">
      <c r="A8770" s="90">
        <v>35795</v>
      </c>
      <c r="B8770" s="20">
        <v>0.66666666666666663</v>
      </c>
      <c r="D8770">
        <v>46.04</v>
      </c>
      <c r="E8770" t="str">
        <f t="shared" si="308"/>
        <v>WEEKDAY</v>
      </c>
      <c r="F8770" t="e">
        <f t="shared" si="309"/>
        <v>#N/A</v>
      </c>
      <c r="G8770" s="74">
        <v>28490</v>
      </c>
      <c r="H8770" s="77">
        <v>0.66666666666666663</v>
      </c>
      <c r="J8770">
        <v>41</v>
      </c>
      <c r="M8770" s="74">
        <v>36891</v>
      </c>
      <c r="N8770" s="77">
        <v>0.66666666666666663</v>
      </c>
      <c r="P8770">
        <v>26.6</v>
      </c>
      <c r="S8770" s="74">
        <v>35795</v>
      </c>
      <c r="T8770" s="77">
        <v>0.66666666666666663</v>
      </c>
      <c r="V8770">
        <v>26.96</v>
      </c>
      <c r="X8770" s="42"/>
      <c r="AB8770">
        <v>39.6</v>
      </c>
      <c r="AC8770">
        <v>26.6</v>
      </c>
      <c r="AE8770" s="74"/>
      <c r="AF8770" s="77"/>
      <c r="AH8770" s="497">
        <v>50</v>
      </c>
      <c r="AJ8770" s="42"/>
      <c r="AK8770" s="74"/>
      <c r="AL8770" s="77"/>
      <c r="AN8770" s="497">
        <v>35.06</v>
      </c>
      <c r="AP8770" s="42"/>
      <c r="AQ8770" s="74"/>
      <c r="AR8770" s="77"/>
      <c r="AT8770" s="497">
        <v>37.04</v>
      </c>
      <c r="AV8770" s="42"/>
      <c r="AW8770" s="74"/>
      <c r="AX8770" s="77"/>
      <c r="BA8770" s="497">
        <v>30.02</v>
      </c>
      <c r="BB8770" s="42"/>
      <c r="BC8770" s="74"/>
      <c r="BD8770" s="77"/>
      <c r="BF8770">
        <v>28.94</v>
      </c>
      <c r="BH8770" s="42"/>
      <c r="BI8770" s="74"/>
      <c r="BJ8770" s="77"/>
      <c r="BL8770" s="497">
        <v>30.02</v>
      </c>
      <c r="BN8770" s="42"/>
      <c r="BO8770" s="74"/>
      <c r="BP8770" s="77"/>
      <c r="BR8770" s="497">
        <v>28.04</v>
      </c>
      <c r="BT8770" s="42"/>
    </row>
    <row r="8771" spans="1:72" x14ac:dyDescent="0.25">
      <c r="A8771" s="90">
        <v>35795</v>
      </c>
      <c r="B8771" s="20">
        <v>0.70833333333333337</v>
      </c>
      <c r="D8771">
        <v>44.96</v>
      </c>
      <c r="E8771" t="str">
        <f t="shared" si="308"/>
        <v>WEEKDAY</v>
      </c>
      <c r="F8771" t="e">
        <f t="shared" si="309"/>
        <v>#N/A</v>
      </c>
      <c r="G8771" s="74">
        <v>28490</v>
      </c>
      <c r="H8771" s="77">
        <v>0.70833333333333337</v>
      </c>
      <c r="J8771">
        <v>39.019999999999996</v>
      </c>
      <c r="M8771" s="74">
        <v>36891</v>
      </c>
      <c r="N8771" s="77">
        <v>0.70833333333333337</v>
      </c>
      <c r="P8771">
        <v>26.6</v>
      </c>
      <c r="S8771" s="74">
        <v>35795</v>
      </c>
      <c r="T8771" s="77">
        <v>0.70833333333333337</v>
      </c>
      <c r="V8771">
        <v>24.08</v>
      </c>
      <c r="X8771" s="42"/>
      <c r="AB8771">
        <v>38.9</v>
      </c>
      <c r="AC8771">
        <v>24.8</v>
      </c>
      <c r="AE8771" s="74"/>
      <c r="AF8771" s="77"/>
      <c r="AH8771" s="497">
        <v>50</v>
      </c>
      <c r="AJ8771" s="42"/>
      <c r="AK8771" s="74"/>
      <c r="AL8771" s="77"/>
      <c r="AN8771" s="497">
        <v>35.96</v>
      </c>
      <c r="AP8771" s="42"/>
      <c r="AQ8771" s="74"/>
      <c r="AR8771" s="77"/>
      <c r="AT8771" s="497">
        <v>37.4</v>
      </c>
      <c r="AV8771" s="42"/>
      <c r="AW8771" s="74"/>
      <c r="AX8771" s="77"/>
      <c r="BA8771" s="497">
        <v>28.04</v>
      </c>
      <c r="BB8771" s="42"/>
      <c r="BC8771" s="74"/>
      <c r="BD8771" s="77"/>
      <c r="BF8771">
        <v>28.94</v>
      </c>
      <c r="BH8771" s="42"/>
      <c r="BI8771" s="74"/>
      <c r="BJ8771" s="77"/>
      <c r="BL8771" s="497">
        <v>30.02</v>
      </c>
      <c r="BN8771" s="42"/>
      <c r="BO8771" s="74"/>
      <c r="BP8771" s="77"/>
      <c r="BR8771" s="497">
        <v>28.04</v>
      </c>
      <c r="BT8771" s="42"/>
    </row>
    <row r="8772" spans="1:72" x14ac:dyDescent="0.25">
      <c r="A8772" s="90">
        <v>35795</v>
      </c>
      <c r="B8772" s="20">
        <v>0.75</v>
      </c>
      <c r="D8772">
        <v>44.96</v>
      </c>
      <c r="E8772" t="str">
        <f t="shared" si="308"/>
        <v>WEEKDAY</v>
      </c>
      <c r="F8772" t="e">
        <f t="shared" si="309"/>
        <v>#N/A</v>
      </c>
      <c r="G8772" s="74">
        <v>28490</v>
      </c>
      <c r="H8772" s="77">
        <v>0.75</v>
      </c>
      <c r="J8772">
        <v>37.04</v>
      </c>
      <c r="M8772" s="74">
        <v>36891</v>
      </c>
      <c r="N8772" s="77">
        <v>0.75</v>
      </c>
      <c r="P8772">
        <v>24.8</v>
      </c>
      <c r="S8772" s="74">
        <v>35795</v>
      </c>
      <c r="T8772" s="77">
        <v>0.75</v>
      </c>
      <c r="V8772">
        <v>23</v>
      </c>
      <c r="X8772" s="42"/>
      <c r="AB8772">
        <v>37.799999999999997</v>
      </c>
      <c r="AC8772">
        <v>24.8</v>
      </c>
      <c r="AE8772" s="74"/>
      <c r="AF8772" s="77"/>
      <c r="AH8772" s="497">
        <v>48.2</v>
      </c>
      <c r="AJ8772" s="42"/>
      <c r="AK8772" s="74"/>
      <c r="AL8772" s="77"/>
      <c r="AN8772" s="497">
        <v>35.96</v>
      </c>
      <c r="AP8772" s="42"/>
      <c r="AQ8772" s="74"/>
      <c r="AR8772" s="77"/>
      <c r="AT8772" s="497">
        <v>37.58</v>
      </c>
      <c r="AV8772" s="42"/>
      <c r="AW8772" s="74"/>
      <c r="AX8772" s="77"/>
      <c r="BA8772" s="497">
        <v>26.060000000000002</v>
      </c>
      <c r="BB8772" s="42"/>
      <c r="BC8772" s="74"/>
      <c r="BD8772" s="77"/>
      <c r="BF8772">
        <v>26.96</v>
      </c>
      <c r="BH8772" s="42"/>
      <c r="BI8772" s="74"/>
      <c r="BJ8772" s="77"/>
      <c r="BL8772" s="497">
        <v>28.94</v>
      </c>
      <c r="BN8772" s="42"/>
      <c r="BO8772" s="74"/>
      <c r="BP8772" s="77"/>
      <c r="BR8772" s="497">
        <v>28.04</v>
      </c>
      <c r="BT8772" s="42"/>
    </row>
    <row r="8773" spans="1:72" x14ac:dyDescent="0.25">
      <c r="A8773" s="90">
        <v>35795</v>
      </c>
      <c r="B8773" s="20">
        <v>0.79166666666666663</v>
      </c>
      <c r="D8773">
        <v>44.96</v>
      </c>
      <c r="E8773" t="str">
        <f t="shared" si="308"/>
        <v>WEEKDAY</v>
      </c>
      <c r="F8773" t="e">
        <f t="shared" si="309"/>
        <v>#N/A</v>
      </c>
      <c r="G8773" s="74">
        <v>28490</v>
      </c>
      <c r="H8773" s="77">
        <v>0.79166666666666663</v>
      </c>
      <c r="J8773">
        <v>35.96</v>
      </c>
      <c r="M8773" s="74">
        <v>36891</v>
      </c>
      <c r="N8773" s="77">
        <v>0.79166666666666663</v>
      </c>
      <c r="P8773">
        <v>24.8</v>
      </c>
      <c r="S8773" s="74">
        <v>35795</v>
      </c>
      <c r="T8773" s="77">
        <v>0.79166666666666663</v>
      </c>
      <c r="V8773">
        <v>21.92</v>
      </c>
      <c r="X8773" s="42"/>
      <c r="AB8773">
        <v>37.200000000000003</v>
      </c>
      <c r="AC8773">
        <v>23</v>
      </c>
      <c r="AE8773" s="74"/>
      <c r="AF8773" s="77"/>
      <c r="AH8773" s="497">
        <v>48.2</v>
      </c>
      <c r="AJ8773" s="42"/>
      <c r="AK8773" s="74"/>
      <c r="AL8773" s="77"/>
      <c r="AN8773" s="497">
        <v>37.04</v>
      </c>
      <c r="AP8773" s="42"/>
      <c r="AQ8773" s="74"/>
      <c r="AR8773" s="77"/>
      <c r="AT8773" s="497">
        <v>37.94</v>
      </c>
      <c r="AV8773" s="42"/>
      <c r="AW8773" s="74"/>
      <c r="AX8773" s="77"/>
      <c r="BA8773" s="497">
        <v>24.08</v>
      </c>
      <c r="BB8773" s="42"/>
      <c r="BC8773" s="74"/>
      <c r="BD8773" s="77"/>
      <c r="BF8773">
        <v>24.98</v>
      </c>
      <c r="BH8773" s="42"/>
      <c r="BI8773" s="74"/>
      <c r="BJ8773" s="77"/>
      <c r="BL8773" s="497">
        <v>28.04</v>
      </c>
      <c r="BN8773" s="42"/>
      <c r="BO8773" s="74"/>
      <c r="BP8773" s="77"/>
      <c r="BR8773" s="497">
        <v>28.94</v>
      </c>
      <c r="BT8773" s="42"/>
    </row>
    <row r="8774" spans="1:72" x14ac:dyDescent="0.25">
      <c r="A8774" s="90">
        <v>35795</v>
      </c>
      <c r="B8774" s="20">
        <v>0.83333333333333337</v>
      </c>
      <c r="D8774">
        <v>44.06</v>
      </c>
      <c r="E8774" t="str">
        <f t="shared" si="308"/>
        <v>WEEKDAY</v>
      </c>
      <c r="F8774" t="e">
        <f t="shared" si="309"/>
        <v>#N/A</v>
      </c>
      <c r="G8774" s="74">
        <v>28490</v>
      </c>
      <c r="H8774" s="77">
        <v>0.83333333333333337</v>
      </c>
      <c r="J8774">
        <v>35.06</v>
      </c>
      <c r="M8774" s="74">
        <v>36891</v>
      </c>
      <c r="N8774" s="77">
        <v>0.83333333333333337</v>
      </c>
      <c r="P8774">
        <v>24.8</v>
      </c>
      <c r="S8774" s="74">
        <v>35795</v>
      </c>
      <c r="T8774" s="77">
        <v>0.83333333333333337</v>
      </c>
      <c r="V8774">
        <v>21.02</v>
      </c>
      <c r="X8774" s="42"/>
      <c r="AB8774">
        <v>36.9</v>
      </c>
      <c r="AC8774">
        <v>23</v>
      </c>
      <c r="AE8774" s="74"/>
      <c r="AF8774" s="77"/>
      <c r="AH8774" s="497">
        <v>45.68</v>
      </c>
      <c r="AJ8774" s="42"/>
      <c r="AK8774" s="74"/>
      <c r="AL8774" s="77"/>
      <c r="AN8774" s="497">
        <v>37.04</v>
      </c>
      <c r="AP8774" s="42"/>
      <c r="AQ8774" s="74"/>
      <c r="AR8774" s="77"/>
      <c r="AT8774" s="497">
        <v>37.94</v>
      </c>
      <c r="AV8774" s="42"/>
      <c r="AW8774" s="74"/>
      <c r="AX8774" s="77"/>
      <c r="BA8774" s="497">
        <v>22.1</v>
      </c>
      <c r="BB8774" s="42"/>
      <c r="BC8774" s="74"/>
      <c r="BD8774" s="77"/>
      <c r="BF8774">
        <v>24.08</v>
      </c>
      <c r="BH8774" s="42"/>
      <c r="BI8774" s="74"/>
      <c r="BJ8774" s="77"/>
      <c r="BL8774" s="497">
        <v>26.96</v>
      </c>
      <c r="BN8774" s="42"/>
      <c r="BO8774" s="74"/>
      <c r="BP8774" s="77"/>
      <c r="BR8774" s="497">
        <v>28.94</v>
      </c>
      <c r="BT8774" s="42"/>
    </row>
    <row r="8775" spans="1:72" x14ac:dyDescent="0.25">
      <c r="A8775" s="90">
        <v>35795</v>
      </c>
      <c r="B8775" s="20">
        <v>0.875</v>
      </c>
      <c r="D8775">
        <v>42.980000000000004</v>
      </c>
      <c r="E8775" t="str">
        <f t="shared" si="308"/>
        <v>WEEKDAY</v>
      </c>
      <c r="F8775" t="e">
        <f t="shared" si="309"/>
        <v>#N/A</v>
      </c>
      <c r="G8775" s="74">
        <v>28490</v>
      </c>
      <c r="H8775" s="77">
        <v>0.875</v>
      </c>
      <c r="J8775">
        <v>33.979999999999997</v>
      </c>
      <c r="M8775" s="74">
        <v>36891</v>
      </c>
      <c r="N8775" s="77">
        <v>0.875</v>
      </c>
      <c r="P8775">
        <v>24.8</v>
      </c>
      <c r="S8775" s="74">
        <v>35795</v>
      </c>
      <c r="T8775" s="77">
        <v>0.875</v>
      </c>
      <c r="V8775">
        <v>19.939999999999998</v>
      </c>
      <c r="X8775" s="42"/>
      <c r="AB8775">
        <v>36.299999999999997</v>
      </c>
      <c r="AC8775">
        <v>21.2</v>
      </c>
      <c r="AE8775" s="74"/>
      <c r="AF8775" s="77"/>
      <c r="AH8775" s="497">
        <v>43.34</v>
      </c>
      <c r="AJ8775" s="42"/>
      <c r="AK8775" s="74"/>
      <c r="AL8775" s="77"/>
      <c r="AN8775" s="497">
        <v>37.94</v>
      </c>
      <c r="AP8775" s="42"/>
      <c r="AQ8775" s="74"/>
      <c r="AR8775" s="77"/>
      <c r="AT8775" s="497">
        <v>37.94</v>
      </c>
      <c r="AV8775" s="42"/>
      <c r="AW8775" s="74"/>
      <c r="AX8775" s="77"/>
      <c r="BA8775" s="497">
        <v>19.939999999999998</v>
      </c>
      <c r="BB8775" s="42"/>
      <c r="BC8775" s="74"/>
      <c r="BD8775" s="77"/>
      <c r="BF8775">
        <v>21.92</v>
      </c>
      <c r="BH8775" s="42"/>
      <c r="BI8775" s="74"/>
      <c r="BJ8775" s="77"/>
      <c r="BL8775" s="497">
        <v>26.96</v>
      </c>
      <c r="BN8775" s="42"/>
      <c r="BO8775" s="74"/>
      <c r="BP8775" s="77"/>
      <c r="BR8775" s="497">
        <v>28.94</v>
      </c>
      <c r="BT8775" s="42"/>
    </row>
    <row r="8776" spans="1:72" x14ac:dyDescent="0.25">
      <c r="A8776" s="90">
        <v>35795</v>
      </c>
      <c r="B8776" s="20">
        <v>0.91666666666666663</v>
      </c>
      <c r="D8776">
        <v>42.980000000000004</v>
      </c>
      <c r="E8776" t="str">
        <f t="shared" si="308"/>
        <v>WEEKDAY</v>
      </c>
      <c r="F8776" t="e">
        <f t="shared" si="309"/>
        <v>#N/A</v>
      </c>
      <c r="G8776" s="74">
        <v>28490</v>
      </c>
      <c r="H8776" s="77">
        <v>0.91666666666666663</v>
      </c>
      <c r="J8776">
        <v>33.979999999999997</v>
      </c>
      <c r="M8776" s="74">
        <v>36891</v>
      </c>
      <c r="N8776" s="77">
        <v>0.91666666666666663</v>
      </c>
      <c r="P8776">
        <v>24.8</v>
      </c>
      <c r="S8776" s="74">
        <v>35795</v>
      </c>
      <c r="T8776" s="77">
        <v>0.91666666666666663</v>
      </c>
      <c r="V8776">
        <v>19.04</v>
      </c>
      <c r="X8776" s="42"/>
      <c r="AB8776">
        <v>35.799999999999997</v>
      </c>
      <c r="AC8776">
        <v>21.2</v>
      </c>
      <c r="AE8776" s="74"/>
      <c r="AF8776" s="77"/>
      <c r="AH8776" s="497">
        <v>41.36</v>
      </c>
      <c r="AJ8776" s="42"/>
      <c r="AK8776" s="74"/>
      <c r="AL8776" s="77"/>
      <c r="AN8776" s="497">
        <v>39.019999999999996</v>
      </c>
      <c r="AP8776" s="42"/>
      <c r="AQ8776" s="74"/>
      <c r="AR8776" s="77"/>
      <c r="AT8776" s="497">
        <v>37.94</v>
      </c>
      <c r="AV8776" s="42"/>
      <c r="AW8776" s="74"/>
      <c r="AX8776" s="77"/>
      <c r="BA8776" s="497">
        <v>17.96</v>
      </c>
      <c r="BB8776" s="42"/>
      <c r="BC8776" s="74"/>
      <c r="BD8776" s="77"/>
      <c r="BF8776">
        <v>21.02</v>
      </c>
      <c r="BH8776" s="42"/>
      <c r="BI8776" s="74"/>
      <c r="BJ8776" s="77"/>
      <c r="BL8776" s="497">
        <v>28.04</v>
      </c>
      <c r="BN8776" s="42"/>
      <c r="BO8776" s="74"/>
      <c r="BP8776" s="77"/>
      <c r="BR8776" s="497">
        <v>30.02</v>
      </c>
      <c r="BT8776" s="42"/>
    </row>
    <row r="8777" spans="1:72" x14ac:dyDescent="0.25">
      <c r="A8777" s="90">
        <v>35795</v>
      </c>
      <c r="B8777" s="20">
        <v>0.95833333333333337</v>
      </c>
      <c r="D8777">
        <v>42.980000000000004</v>
      </c>
      <c r="E8777" t="str">
        <f t="shared" si="308"/>
        <v>WEEKDAY</v>
      </c>
      <c r="F8777" t="e">
        <f t="shared" si="309"/>
        <v>#N/A</v>
      </c>
      <c r="G8777" s="74">
        <v>28490</v>
      </c>
      <c r="H8777" s="77">
        <v>0.95833333333333337</v>
      </c>
      <c r="J8777">
        <v>32</v>
      </c>
      <c r="M8777" s="74">
        <v>36891</v>
      </c>
      <c r="N8777" s="77">
        <v>0.95833333333333337</v>
      </c>
      <c r="P8777">
        <v>24.8</v>
      </c>
      <c r="S8777" s="74">
        <v>35795</v>
      </c>
      <c r="T8777" s="77">
        <v>0.95833333333333337</v>
      </c>
      <c r="V8777">
        <v>17.96</v>
      </c>
      <c r="X8777" s="42"/>
      <c r="AB8777">
        <v>35.4</v>
      </c>
      <c r="AC8777">
        <v>20.299999999999997</v>
      </c>
      <c r="AE8777" s="74"/>
      <c r="AF8777" s="77"/>
      <c r="AH8777" s="497">
        <v>39.200000000000003</v>
      </c>
      <c r="AJ8777" s="42"/>
      <c r="AK8777" s="74"/>
      <c r="AL8777" s="77"/>
      <c r="AN8777" s="497">
        <v>39.92</v>
      </c>
      <c r="AP8777" s="42"/>
      <c r="AQ8777" s="74"/>
      <c r="AR8777" s="77"/>
      <c r="AT8777" s="497">
        <v>38.659999999999997</v>
      </c>
      <c r="AV8777" s="42"/>
      <c r="AW8777" s="74"/>
      <c r="AX8777" s="77"/>
      <c r="BA8777" s="497">
        <v>17.059999999999999</v>
      </c>
      <c r="BB8777" s="42"/>
      <c r="BC8777" s="74"/>
      <c r="BD8777" s="77"/>
      <c r="BF8777">
        <v>19.939999999999998</v>
      </c>
      <c r="BH8777" s="42"/>
      <c r="BI8777" s="74"/>
      <c r="BJ8777" s="77"/>
      <c r="BL8777" s="497">
        <v>26.96</v>
      </c>
      <c r="BN8777" s="42"/>
      <c r="BO8777" s="74"/>
      <c r="BP8777" s="77"/>
      <c r="BR8777" s="497">
        <v>30.92</v>
      </c>
      <c r="BT8777" s="42"/>
    </row>
    <row r="8778" spans="1:72" x14ac:dyDescent="0.25">
      <c r="A8778" s="90">
        <v>35795</v>
      </c>
      <c r="B8778" s="85">
        <v>1</v>
      </c>
      <c r="C8778" s="86"/>
      <c r="D8778">
        <v>42.980000000000004</v>
      </c>
      <c r="E8778" s="86" t="str">
        <f t="shared" si="308"/>
        <v>WEEKDAY</v>
      </c>
      <c r="F8778" s="86" t="e">
        <f t="shared" si="309"/>
        <v>#N/A</v>
      </c>
      <c r="G8778" s="84">
        <v>28490</v>
      </c>
      <c r="H8778" s="87">
        <v>1</v>
      </c>
      <c r="I8778" s="86"/>
      <c r="J8778">
        <v>30.92</v>
      </c>
      <c r="K8778" s="86"/>
      <c r="L8778" s="86"/>
      <c r="M8778" s="84">
        <v>36891</v>
      </c>
      <c r="N8778" s="88">
        <v>1</v>
      </c>
      <c r="O8778" s="86"/>
      <c r="P8778">
        <v>23</v>
      </c>
      <c r="Q8778" s="86"/>
      <c r="R8778" s="86"/>
      <c r="S8778" s="84">
        <v>35795</v>
      </c>
      <c r="T8778" s="88">
        <v>1</v>
      </c>
      <c r="U8778" s="86"/>
      <c r="V8778">
        <v>17.059999999999999</v>
      </c>
      <c r="W8778" s="86"/>
      <c r="X8778" s="89"/>
      <c r="AA8778" s="86"/>
      <c r="AB8778">
        <v>34.9</v>
      </c>
      <c r="AC8778" s="86">
        <v>19.399999999999999</v>
      </c>
      <c r="AE8778" s="84"/>
      <c r="AF8778" s="88"/>
      <c r="AH8778" s="497">
        <v>36.86</v>
      </c>
      <c r="AI8778" s="86"/>
      <c r="AJ8778" s="89"/>
      <c r="AK8778" s="84"/>
      <c r="AL8778" s="88"/>
      <c r="AN8778" s="497">
        <v>41</v>
      </c>
      <c r="AO8778" s="86"/>
      <c r="AP8778" s="89"/>
      <c r="AQ8778" s="84"/>
      <c r="AR8778" s="88"/>
      <c r="AT8778" s="497">
        <v>39.200000000000003</v>
      </c>
      <c r="AU8778" s="86"/>
      <c r="AV8778" s="89"/>
      <c r="AW8778" s="84"/>
      <c r="AX8778" s="88"/>
      <c r="AY8778" s="86"/>
      <c r="BA8778" s="497">
        <v>15.98</v>
      </c>
      <c r="BB8778" s="89"/>
      <c r="BC8778" s="84"/>
      <c r="BD8778" s="88"/>
      <c r="BF8778" s="86">
        <v>19.939999999999998</v>
      </c>
      <c r="BG8778" s="86"/>
      <c r="BH8778" s="89"/>
      <c r="BI8778" s="84"/>
      <c r="BJ8778" s="88"/>
      <c r="BL8778" s="497">
        <v>26.060000000000002</v>
      </c>
      <c r="BM8778" s="86"/>
      <c r="BN8778" s="89"/>
      <c r="BO8778" s="84"/>
      <c r="BP8778" s="88"/>
      <c r="BR8778" s="497">
        <v>32</v>
      </c>
      <c r="BS8778" s="86"/>
      <c r="BT8778" s="89"/>
    </row>
    <row r="8779" spans="1:72" x14ac:dyDescent="0.25">
      <c r="AN8779" s="497"/>
      <c r="BL8779" s="497"/>
    </row>
  </sheetData>
  <mergeCells count="15">
    <mergeCell ref="CC7:CN7"/>
    <mergeCell ref="CO7:CZ7"/>
    <mergeCell ref="BZ16:CB16"/>
    <mergeCell ref="CC16:CD16"/>
    <mergeCell ref="CE16:CF16"/>
    <mergeCell ref="CG16:CH16"/>
    <mergeCell ref="CI16:CJ16"/>
    <mergeCell ref="CK16:CL16"/>
    <mergeCell ref="CM16:CN16"/>
    <mergeCell ref="CO16:CP16"/>
    <mergeCell ref="CQ16:CR16"/>
    <mergeCell ref="CS16:CT16"/>
    <mergeCell ref="CU16:CV16"/>
    <mergeCell ref="CW16:CX16"/>
    <mergeCell ref="CY16:CZ16"/>
  </mergeCells>
  <pageMargins left="0.7" right="0.7" top="0.75" bottom="0.75" header="0.3" footer="0.3"/>
  <pageSetup orientation="portrait" r:id="rId1"/>
  <headerFooter>
    <oddFooter>&amp;C_x000D_&amp;1#&amp;"Calibri"&amp;22&amp;K0073CF INTERNAL</oddFooter>
  </headerFooter>
  <ignoredErrors>
    <ignoredError sqref="CD17:CY17 F42" 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68736c2-19d6-47bb-9ac3-740642f34861">
      <Terms xmlns="http://schemas.microsoft.com/office/infopath/2007/PartnerControls"/>
    </lcf76f155ced4ddcb4097134ff3c332f>
    <Date xmlns="768736c2-19d6-47bb-9ac3-740642f34861" xsi:nil="true"/>
    <TaxCatchAll xmlns="8a4296bc-d819-4b7d-bdf0-f52043404af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728AF53F999944BA229D44D48909661" ma:contentTypeVersion="17" ma:contentTypeDescription="Create a new document." ma:contentTypeScope="" ma:versionID="43f99a65e8e8fb1b3c9ff812219405c4">
  <xsd:schema xmlns:xsd="http://www.w3.org/2001/XMLSchema" xmlns:xs="http://www.w3.org/2001/XMLSchema" xmlns:p="http://schemas.microsoft.com/office/2006/metadata/properties" xmlns:ns2="768736c2-19d6-47bb-9ac3-740642f34861" xmlns:ns3="8a4296bc-d819-4b7d-bdf0-f52043404af7" targetNamespace="http://schemas.microsoft.com/office/2006/metadata/properties" ma:root="true" ma:fieldsID="aa8e7a0d4457628da8842c08b98ccfc4" ns2:_="" ns3:_="">
    <xsd:import namespace="768736c2-19d6-47bb-9ac3-740642f34861"/>
    <xsd:import namespace="8a4296bc-d819-4b7d-bdf0-f52043404a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at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8736c2-19d6-47bb-9ac3-740642f348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8286605c-d6c9-4ea2-b44b-324d009c185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Date" ma:index="22" nillable="true" ma:displayName="Date" ma:format="DateOnly" ma:internalName="Date">
      <xsd:simpleType>
        <xsd:restriction base="dms:DateTim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4296bc-d819-4b7d-bdf0-f52043404af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fa1a823c-4327-40a7-af9f-1a2369748e43}" ma:internalName="TaxCatchAll" ma:showField="CatchAllData" ma:web="8a4296bc-d819-4b7d-bdf0-f52043404a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D590E0C-675B-4FA2-9E39-540A16E34551}">
  <ds:schemaRefs>
    <ds:schemaRef ds:uri="http://schemas.microsoft.com/sharepoint/v3/contenttype/forms"/>
  </ds:schemaRefs>
</ds:datastoreItem>
</file>

<file path=customXml/itemProps2.xml><?xml version="1.0" encoding="utf-8"?>
<ds:datastoreItem xmlns:ds="http://schemas.openxmlformats.org/officeDocument/2006/customXml" ds:itemID="{CF2B2AF4-6409-410C-9A85-8916F2825EB0}">
  <ds:schemaRef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768736c2-19d6-47bb-9ac3-740642f34861"/>
    <ds:schemaRef ds:uri="http://schemas.microsoft.com/office/2006/metadata/properties"/>
    <ds:schemaRef ds:uri="http://schemas.microsoft.com/office/2006/documentManagement/types"/>
    <ds:schemaRef ds:uri="8a4296bc-d819-4b7d-bdf0-f52043404af7"/>
    <ds:schemaRef ds:uri="http://www.w3.org/XML/1998/namespace"/>
  </ds:schemaRefs>
</ds:datastoreItem>
</file>

<file path=customXml/itemProps3.xml><?xml version="1.0" encoding="utf-8"?>
<ds:datastoreItem xmlns:ds="http://schemas.openxmlformats.org/officeDocument/2006/customXml" ds:itemID="{D06C7DC5-B7D6-47D1-9E28-8DE3311341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8736c2-19d6-47bb-9ac3-740642f34861"/>
    <ds:schemaRef ds:uri="8a4296bc-d819-4b7d-bdf0-f52043404a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Instructions</vt:lpstr>
      <vt:lpstr>Inputs</vt:lpstr>
      <vt:lpstr>Measure Inputs</vt:lpstr>
      <vt:lpstr>Results Summary</vt:lpstr>
      <vt:lpstr>EPlus Comparison</vt:lpstr>
      <vt:lpstr>Envelope Calcs</vt:lpstr>
      <vt:lpstr>Building Profiles</vt:lpstr>
      <vt:lpstr>Picklists</vt:lpstr>
      <vt:lpstr>Weather Data</vt:lpstr>
      <vt:lpstr>Peak_Consump_LF</vt:lpstr>
      <vt:lpstr>Zip Code Lines_1</vt:lpstr>
      <vt:lpstr>DOE prototypical models</vt:lpstr>
      <vt:lpstr>Bldg_Type</vt:lpstr>
      <vt:lpstr>CoolingBalance</vt:lpstr>
      <vt:lpstr>CoolingDesign</vt:lpstr>
      <vt:lpstr>FloorIns</vt:lpstr>
      <vt:lpstr>HeatingBalance</vt:lpstr>
      <vt:lpstr>HeatingDesign</vt:lpstr>
      <vt:lpstr>WallIns</vt:lpstr>
      <vt:lpstr>WindowType</vt:lpstr>
    </vt:vector>
  </TitlesOfParts>
  <Manager/>
  <Company>Consolidated Edison Company of New York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Ryali, Pavan</dc:creator>
  <cp:keywords/>
  <dc:description/>
  <cp:lastModifiedBy>Johnson, Erik M.</cp:lastModifiedBy>
  <cp:revision/>
  <dcterms:created xsi:type="dcterms:W3CDTF">2023-05-23T16:36:54Z</dcterms:created>
  <dcterms:modified xsi:type="dcterms:W3CDTF">2024-04-10T13:12:56Z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0x010100D728AF53F999944BA229D44D48909661</vt:lpwstr>
  </property>
  <property fmtid="{D5CDD505-2E9C-101B-9397-08002B2CF9AE}" pid="3" name="MediaServiceImageTags">
    <vt:lpwstr/>
  </property>
  <property fmtid="{D5CDD505-2E9C-101B-9397-08002B2CF9AE}" pid="4" name="MSIP_Label_c80150e9-b158-425e-97d7-738cc28226d7_Enabled">
    <vt:lpwstr>true</vt:lpwstr>
  </property>
  <property fmtid="{D5CDD505-2E9C-101B-9397-08002B2CF9AE}" pid="5" name="MSIP_Label_c80150e9-b158-425e-97d7-738cc28226d7_SetDate">
    <vt:lpwstr>2023-10-23T16:09:14Z</vt:lpwstr>
  </property>
  <property fmtid="{D5CDD505-2E9C-101B-9397-08002B2CF9AE}" pid="6" name="MSIP_Label_c80150e9-b158-425e-97d7-738cc28226d7_Method">
    <vt:lpwstr>Standard</vt:lpwstr>
  </property>
  <property fmtid="{D5CDD505-2E9C-101B-9397-08002B2CF9AE}" pid="7" name="MSIP_Label_c80150e9-b158-425e-97d7-738cc28226d7_Name">
    <vt:lpwstr>Internal - Privacy</vt:lpwstr>
  </property>
  <property fmtid="{D5CDD505-2E9C-101B-9397-08002B2CF9AE}" pid="8" name="MSIP_Label_c80150e9-b158-425e-97d7-738cc28226d7_SiteId">
    <vt:lpwstr>e9aef9b7-25ca-4518-a881-33e546773136</vt:lpwstr>
  </property>
  <property fmtid="{D5CDD505-2E9C-101B-9397-08002B2CF9AE}" pid="9" name="MSIP_Label_c80150e9-b158-425e-97d7-738cc28226d7_ActionId">
    <vt:lpwstr>3b660335-c598-4471-8d81-2ad19ddea5d1</vt:lpwstr>
  </property>
  <property fmtid="{D5CDD505-2E9C-101B-9397-08002B2CF9AE}" pid="10" name="MSIP_Label_c80150e9-b158-425e-97d7-738cc28226d7_ContentBits">
    <vt:lpwstr>2</vt:lpwstr>
  </property>
</Properties>
</file>